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3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9.xml.rels" ContentType="application/vnd.openxmlformats-package.relationships+xml"/>
  <Override PartName="/xl/externalLinks/_rels/externalLink8.xml.rels" ContentType="application/vnd.openxmlformats-package.relationships+xml"/>
  <Override PartName="/xl/externalLinks/_rels/externalLink7.xml.rels" ContentType="application/vnd.openxmlformats-package.relationships+xml"/>
  <Override PartName="/xl/externalLinks/_rels/externalLink11.xml.rels" ContentType="application/vnd.openxmlformats-package.relationships+xml"/>
  <Override PartName="/xl/externalLinks/_rels/externalLink6.xml.rels" ContentType="application/vnd.openxmlformats-package.relationships+xml"/>
  <Override PartName="/xl/externalLinks/_rels/externalLink10.xml.rels" ContentType="application/vnd.openxmlformats-package.relationships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harts/_rels/chart1.xml.rels" ContentType="application/vnd.openxmlformats-package.relationships+xml"/>
  <Override PartName="/xl/charts/chart1.xml" ContentType="application/vnd.openxmlformats-officedocument.drawingml.chart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5.xml" ContentType="application/vnd.ms-excel.controlpropertie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drawing3.xml" ContentType="application/vnd.openxmlformats-officedocument.drawing+xml"/>
  <Override PartName="/xl/drawings/drawing4.xml" ContentType="application/vnd.openxmlformats-officedocument.drawingml.chartshapes+xml"/>
  <Override PartName="/xl/comments13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XXXXXX" sheetId="1" state="hidden" r:id="rId3"/>
    <sheet name="Escalating commodity" sheetId="2" state="visible" r:id="rId4"/>
    <sheet name="Summary" sheetId="3" state="visible" r:id="rId5"/>
    <sheet name="ANR OK vs ML7" sheetId="4" state="visible" r:id="rId6"/>
    <sheet name="ANR LA vs ML7" sheetId="5" state="visible" r:id="rId7"/>
    <sheet name="PEPL vs Dawn" sheetId="6" state="visible" r:id="rId8"/>
    <sheet name="ML7 vs St. Clair" sheetId="7" state="visible" r:id="rId9"/>
    <sheet name="St.Clair vs Chippawa" sheetId="8" state="visible" r:id="rId10"/>
    <sheet name="Ojibway vs Dawn" sheetId="9" state="visible" r:id="rId11"/>
    <sheet name="Empress vs Chippewa" sheetId="10" state="visible" r:id="rId12"/>
    <sheet name="Dawn vs Chippewa" sheetId="11" state="visible" r:id="rId13"/>
    <sheet name="Curves" sheetId="12" state="visible" r:id="rId14"/>
    <sheet name="InputOutputSheet" sheetId="13" state="visible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function="false" hidden="false" localSheetId="3" name="_xlnm.Print_Area" vbProcedure="false">'ANR OK vs ML7'!$A$1:$AY$45</definedName>
    <definedName function="false" hidden="false" localSheetId="1" name="_xlnm.Print_Area" vbProcedure="false">'Escalating commodity'!$B$23:$J$185</definedName>
    <definedName function="false" hidden="false" localSheetId="1" name="_xlnm.Print_Titles" vbProcedure="false">'Escalating commodity'!$19:$22</definedName>
    <definedName function="false" hidden="false" localSheetId="12" name="_xlnm.Print_Area" vbProcedure="false">InputOutputSheet!$A$1:$G$44</definedName>
    <definedName function="false" hidden="false" localSheetId="2" name="_xlnm.Print_Area" vbProcedure="false">Summary!$B$1:$AA$50</definedName>
    <definedName function="false" hidden="false" name="buckettable" vbProcedure="false">[2]DateTable!$D$4:$F$288</definedName>
    <definedName function="false" hidden="false" name="ColGasCurve" vbProcedure="false">Summary!$F$33</definedName>
    <definedName function="false" hidden="false" name="ColGulfCurve" vbProcedure="false">Summary!$F$31</definedName>
    <definedName function="false" hidden="false" name="correlationone" vbProcedure="false">OFFSET([1]Intracorrel!$A$2,0,0,COUNT([1]Intracorrel!$A$1:$A$1048576)+2,COUNT([1]Intracorrel!$A$5:$XFD$5))</definedName>
    <definedName function="false" hidden="false" name="correlationtwo" vbProcedure="false">OFFSET([1]Intercorrel!$A$1,0,0,COUNT([1]Intercorrel!$A$1:$A$1048576),COUNT([1]Intercorrel!$A$3:$XFD$3))</definedName>
    <definedName function="false" hidden="false" name="correlfrom" vbProcedure="false">OFFSET([1]Intracorrel!$A$2,0,0,1,COUNT(correlmatchline))</definedName>
    <definedName function="false" hidden="false" name="correlmatchline" vbProcedure="false">OFFSET([1]Intracorrel!$A$1,0,0,1,COUNT([1]Intracorrel!$A$1:$XFD$1))</definedName>
    <definedName function="false" hidden="false" name="CORRELFROM1" vbProcedure="false">OFFSET([1]Intracorrel!$A$2,0,0,1,COUNT(correlmatchline))</definedName>
    <definedName function="false" hidden="false" name="correlto" vbProcedure="false">OFFSET([1]Intracorrel!$A$3,0,0,1,COUNT(correlmatchline))</definedName>
    <definedName function="false" hidden="false" name="CurveCode" vbProcedure="false">OFFSET(Curves!$C$13,0,0,1,COUNT(Curves!$17:$17))</definedName>
    <definedName function="false" hidden="false" name="CurveCodes" vbProcedure="false">Curves!$C$13:$Q$13</definedName>
    <definedName function="false" hidden="false" name="CurveMonth" vbProcedure="false">Curves!$C$8:$C$400</definedName>
    <definedName function="false" hidden="false" name="CurveRange" vbProcedure="false">Curves!$D$11</definedName>
    <definedName function="false" hidden="false" name="Curves" vbProcedure="false">Curves!$C$8:$BG$8</definedName>
    <definedName function="false" hidden="false" name="CurveTable" vbProcedure="false">Curves!$C$8:$Q$400</definedName>
    <definedName function="false" hidden="false" name="CurveType" vbProcedure="false">Curves!$C$8:$Q$8</definedName>
    <definedName function="false" hidden="false" name="CurveValues" vbProcedure="false">Curves!$C$11:$AQ$377</definedName>
    <definedName function="false" hidden="false" name="curvevalues2" vbProcedure="false">OFFSET(Curves!$C$11,0,0,COUNT(Curves!$C:$C)+5,COUNT(Curves!$17:$17))</definedName>
    <definedName function="false" hidden="false" name="CurveValuesExtra" vbProcedure="false">Curves!$C$11:$Q$367</definedName>
    <definedName function="false" hidden="false" name="Dailydemandcharge" vbProcedure="false">OFFSET('[1]Mainline to Leach'!$K$21,0,0,Enddate-'[1]Mainline to Leach'!$A$20,1)</definedName>
    <definedName function="false" hidden="false" name="Enddate" vbProcedure="false">'[1]Mainline to Leach'!$H$6</definedName>
    <definedName function="false" hidden="false" name="Dailydiscountedadjustedspread" vbProcedure="false">OFFSET('[1]Mainline to Leach'!$M$21,0,0,Enddate-'[1]Mainline to Leach'!$A$20,1)</definedName>
    <definedName function="false" hidden="false" name="Dailydiscountedintrinsicvalue" vbProcedure="false">OFFSET('[1]Mainline to Leach'!$O$21,0,0,Enddate-'[1]Mainline to Leach'!$A$20,1)</definedName>
    <definedName function="false" hidden="false" name="Dailydiscountedspread" vbProcedure="false">OFFSET('[1]Mainline to Leach'!$O$21,0,0,Enddate-'[1]Mainline to Leach'!$A$20,1)</definedName>
    <definedName function="false" hidden="false" name="Dailyoptionprice" vbProcedure="false">OFFSET('[1]Mainline to Leach'!$J$21,0,0,'[1]Mainline to Leach'!$H$6-'[1]Mainline to Leach'!$A$20,1)</definedName>
    <definedName function="false" hidden="false" name="days_month" vbProcedure="false">[3]Curves!$B$34</definedName>
    <definedName function="false" hidden="false" name="days_year" vbProcedure="false">[3]Curves!$B$33</definedName>
    <definedName function="false" hidden="false" name="DBase" vbProcedure="false">Curves!$C$3</definedName>
    <definedName function="false" hidden="false" name="End_Year" vbProcedure="false">[3]Curves!$E$19</definedName>
    <definedName function="false" hidden="false" name="escalator" vbProcedure="false">#REF!</definedName>
    <definedName function="false" hidden="false" name="Excel_BuiltIn_Print_Area" vbProcedure="false">#REF!</definedName>
    <definedName function="false" hidden="false" name="FGTCapVolumes" vbProcedure="false">#REF!</definedName>
    <definedName function="false" hidden="false" name="FGTSummerVolumes" vbProcedure="false">#REF!</definedName>
    <definedName function="false" hidden="false" name="Gas_Price" vbProcedure="false">[3]Curves!$B$11</definedName>
    <definedName function="false" hidden="false" name="Heat_Rate" vbProcedure="false">[3]Curves!$B$6</definedName>
    <definedName function="false" hidden="false" name="hours_year" vbProcedure="false">[3]Curves!$B$35</definedName>
    <definedName function="false" hidden="false" name="HP" vbProcedure="false">[3]Curves!$B$5</definedName>
    <definedName function="false" hidden="false" name="kW_HP" vbProcedure="false">[3]Curves!$B$40</definedName>
    <definedName function="false" hidden="false" name="Load2" vbProcedure="false">#REF!</definedName>
    <definedName function="false" hidden="false" name="Min_Load" vbProcedure="false">[3]Curves!$B$29</definedName>
    <definedName function="false" hidden="false" name="MKTCapVolumes" vbProcedure="false">#REF!</definedName>
    <definedName function="false" hidden="false" name="MKTCapVolumeswithSummer" vbProcedure="false">#REF!</definedName>
    <definedName function="false" hidden="false" name="mthbeg" vbProcedure="false">'ANR OK vs ML7'!$A$3</definedName>
    <definedName function="false" hidden="false" name="mthend" vbProcedure="false">'ANR OK vs ML7'!$B$3</definedName>
    <definedName function="false" hidden="false" name="Password" vbProcedure="false">Curves!$C$2</definedName>
    <definedName function="false" hidden="false" name="sencount" vbProcedure="false">1</definedName>
    <definedName function="false" hidden="false" name="Table" vbProcedure="false">Curves!$C$17:$BG$1000</definedName>
    <definedName function="false" hidden="false" name="today" vbProcedure="false">Curves!$A$6</definedName>
    <definedName function="false" hidden="false" name="UpperLeftOfCurveTable" vbProcedure="false">Curves!$C$11</definedName>
    <definedName function="false" hidden="false" name="UserName" vbProcedure="false">Curves!$C$1</definedName>
    <definedName function="false" hidden="false" localSheetId="2" name="AMC" vbProcedure="false">[5]Inputs!$E$5</definedName>
    <definedName function="false" hidden="false" localSheetId="2" name="Avg_Load" vbProcedure="false">[5]Inputs!$B$28</definedName>
    <definedName function="false" hidden="false" localSheetId="2" name="CurveCode" vbProcedure="false">OFFSET([4]Curves!$C$13,0,0,1,COUNT([4]Curves!$A$17:$XFD$17))</definedName>
    <definedName function="false" hidden="false" localSheetId="2" name="curvevalues2" vbProcedure="false">OFFSET([4]Curves!$C$11,0,0,COUNT([4]Curves!$C$1:$C$1048576)+5,COUNT([4]Curves!$A$17:$XFD$17))</definedName>
    <definedName function="false" hidden="false" localSheetId="2" name="days_month" vbProcedure="false">[5]Inputs!$B$34</definedName>
    <definedName function="false" hidden="false" localSheetId="2" name="days_year" vbProcedure="false">[5]Inputs!$B$33</definedName>
    <definedName function="false" hidden="false" localSheetId="2" name="End_Year" vbProcedure="false">[5]Inputs!$E$19</definedName>
    <definedName function="false" hidden="false" localSheetId="2" name="escalator" vbProcedure="false">'[6]SONAT-5YR'!$W$8</definedName>
    <definedName function="false" hidden="false" localSheetId="2" name="Gas_Price" vbProcedure="false">[5]Inputs!$B$11</definedName>
    <definedName function="false" hidden="false" localSheetId="2" name="Heat_Rate" vbProcedure="false">[5]Inputs!$B$6</definedName>
    <definedName function="false" hidden="false" localSheetId="2" name="hours_year" vbProcedure="false">[5]Inputs!$B$35</definedName>
    <definedName function="false" hidden="false" localSheetId="2" name="HP" vbProcedure="false">[5]Inputs!$B$5</definedName>
    <definedName function="false" hidden="false" localSheetId="2" name="kW_HP" vbProcedure="false">[5]Inputs!$B$40</definedName>
    <definedName function="false" hidden="false" localSheetId="2" name="Min_Load" vbProcedure="false">[5]Inputs!$B$29</definedName>
    <definedName function="false" hidden="false" localSheetId="2" name="mthbeg" vbProcedure="false">#REF!</definedName>
    <definedName function="false" hidden="false" localSheetId="2" name="mthend" vbProcedure="false">#REF!</definedName>
    <definedName function="false" hidden="false" localSheetId="2" name="Start_Year" vbProcedure="false">[5]Inputs!$E$18</definedName>
    <definedName function="false" hidden="false" localSheetId="2" name="Table" vbProcedure="false">#REF!</definedName>
    <definedName function="false" hidden="false" localSheetId="2" name="weeks_month" vbProcedure="false">[5]Inputs!$B$38</definedName>
    <definedName function="false" hidden="false" localSheetId="4" name="correlfrom" vbProcedure="false">OFFSET([1]Intracorrel!$A$2,0,0,1,COUNT(correlmatchline))</definedName>
    <definedName function="false" hidden="false" localSheetId="4" name="correlto" vbProcedure="false">OFFSET([1]Intracorrel!$A$3,0,0,1,COUNT(correlmatchline))</definedName>
    <definedName function="false" hidden="false" localSheetId="4" name="Dailydemandcharge" vbProcedure="false">OFFSET('[1]Mainline to Leach'!$K$21,0,0,Enddate-'[1]Mainline to Leach'!$A$20,1)</definedName>
    <definedName function="false" hidden="false" localSheetId="4" name="Dailydiscountedadjustedspread" vbProcedure="false">OFFSET('[1]Mainline to Leach'!$M$21,0,0,Enddate-'[1]Mainline to Leach'!$A$20,1)</definedName>
    <definedName function="false" hidden="false" localSheetId="4" name="Dailydiscountedintrinsicvalue" vbProcedure="false">OFFSET('[1]Mainline to Leach'!$O$21,0,0,Enddate-'[1]Mainline to Leach'!$A$20,1)</definedName>
    <definedName function="false" hidden="false" localSheetId="4" name="Dailydiscountedspread" vbProcedure="false">OFFSET('[1]Mainline to Leach'!$O$21,0,0,Enddate-'[1]Mainline to Leach'!$A$20,1)</definedName>
    <definedName function="false" hidden="false" localSheetId="4" name="mthbeg" vbProcedure="false">'ANR LA vs ML7'!$A$3</definedName>
    <definedName function="false" hidden="false" localSheetId="4" name="mthend" vbProcedure="false">'ANR LA vs ML7'!$B$3</definedName>
    <definedName function="false" hidden="false" localSheetId="5" name="correlfrom" vbProcedure="false">OFFSET([1]Intracorrel!$A$2,0,0,1,COUNT(correlmatchline))</definedName>
    <definedName function="false" hidden="false" localSheetId="5" name="correlto" vbProcedure="false">OFFSET([1]Intracorrel!$A$3,0,0,1,COUNT(correlmatchline))</definedName>
    <definedName function="false" hidden="false" localSheetId="5" name="Dailydemandcharge" vbProcedure="false">OFFSET('[1]Mainline to Leach'!$K$21,0,0,Enddate-'[1]Mainline to Leach'!$A$20,1)</definedName>
    <definedName function="false" hidden="false" localSheetId="5" name="Dailydiscountedadjustedspread" vbProcedure="false">OFFSET('[1]Mainline to Leach'!$M$21,0,0,Enddate-'[1]Mainline to Leach'!$A$20,1)</definedName>
    <definedName function="false" hidden="false" localSheetId="5" name="Dailydiscountedintrinsicvalue" vbProcedure="false">OFFSET('[1]Mainline to Leach'!$O$21,0,0,Enddate-'[1]Mainline to Leach'!$A$20,1)</definedName>
    <definedName function="false" hidden="false" localSheetId="5" name="Dailydiscountedspread" vbProcedure="false">OFFSET('[1]Mainline to Leach'!$O$21,0,0,Enddate-'[1]Mainline to Leach'!$A$20,1)</definedName>
    <definedName function="false" hidden="false" localSheetId="5" name="mthbeg" vbProcedure="false">'PEPL vs Dawn'!$A$3</definedName>
    <definedName function="false" hidden="false" localSheetId="5" name="mthend" vbProcedure="false">'PEPL vs Dawn'!$B$3</definedName>
    <definedName function="false" hidden="false" localSheetId="6" name="correlfrom" vbProcedure="false">OFFSET([1]Intracorrel!$A$2,0,0,1,COUNT(correlmatchline))</definedName>
    <definedName function="false" hidden="false" localSheetId="6" name="correlto" vbProcedure="false">OFFSET([1]Intracorrel!$A$3,0,0,1,COUNT(correlmatchline))</definedName>
    <definedName function="false" hidden="false" localSheetId="6" name="Dailydemandcharge" vbProcedure="false">OFFSET('[1]Mainline to Leach'!$K$21,0,0,Enddate-'[1]Mainline to Leach'!$A$20,1)</definedName>
    <definedName function="false" hidden="false" localSheetId="6" name="Dailydiscountedadjustedspread" vbProcedure="false">OFFSET('[1]Mainline to Leach'!$M$21,0,0,Enddate-'[1]Mainline to Leach'!$A$20,1)</definedName>
    <definedName function="false" hidden="false" localSheetId="6" name="Dailydiscountedintrinsicvalue" vbProcedure="false">OFFSET('[1]Mainline to Leach'!$O$21,0,0,Enddate-'[1]Mainline to Leach'!$A$20,1)</definedName>
    <definedName function="false" hidden="false" localSheetId="6" name="Dailydiscountedspread" vbProcedure="false">OFFSET('[1]Mainline to Leach'!$O$21,0,0,Enddate-'[1]Mainline to Leach'!$A$20,1)</definedName>
    <definedName function="false" hidden="false" localSheetId="6" name="mthbeg" vbProcedure="false">'ML7 vs St. Clair'!$A$3</definedName>
    <definedName function="false" hidden="false" localSheetId="6" name="mthend" vbProcedure="false">'ML7 vs St. Clair'!$B$3</definedName>
    <definedName function="false" hidden="false" localSheetId="7" name="correlfrom" vbProcedure="false">OFFSET([1]Intracorrel!$A$2,0,0,1,COUNT(correlmatchline))</definedName>
    <definedName function="false" hidden="false" localSheetId="7" name="correlto" vbProcedure="false">OFFSET([1]Intracorrel!$A$3,0,0,1,COUNT(correlmatchline))</definedName>
    <definedName function="false" hidden="false" localSheetId="7" name="Dailydemandcharge" vbProcedure="false">OFFSET('[1]Mainline to Leach'!$K$21,0,0,Enddate-'[1]Mainline to Leach'!$A$20,1)</definedName>
    <definedName function="false" hidden="false" localSheetId="7" name="Dailydiscountedadjustedspread" vbProcedure="false">OFFSET('[1]Mainline to Leach'!$M$21,0,0,Enddate-'[1]Mainline to Leach'!$A$20,1)</definedName>
    <definedName function="false" hidden="false" localSheetId="7" name="Dailydiscountedintrinsicvalue" vbProcedure="false">OFFSET('[1]Mainline to Leach'!$O$21,0,0,Enddate-'[1]Mainline to Leach'!$A$20,1)</definedName>
    <definedName function="false" hidden="false" localSheetId="7" name="Dailydiscountedspread" vbProcedure="false">OFFSET('[1]Mainline to Leach'!$O$21,0,0,Enddate-'[1]Mainline to Leach'!$A$20,1)</definedName>
    <definedName function="false" hidden="false" localSheetId="7" name="mthbeg" vbProcedure="false">'St.Clair vs Chippawa'!$A$3</definedName>
    <definedName function="false" hidden="false" localSheetId="7" name="mthend" vbProcedure="false">'St.Clair vs Chippawa'!$B$3</definedName>
    <definedName function="false" hidden="false" localSheetId="8" name="correlfrom" vbProcedure="false">OFFSET([1]Intracorrel!$A$2,0,0,1,COUNT(correlmatchline))</definedName>
    <definedName function="false" hidden="false" localSheetId="8" name="correlto" vbProcedure="false">OFFSET([1]Intracorrel!$A$3,0,0,1,COUNT(correlmatchline))</definedName>
    <definedName function="false" hidden="false" localSheetId="8" name="Dailydemandcharge" vbProcedure="false">OFFSET('[1]Mainline to Leach'!$K$21,0,0,Enddate-'[1]Mainline to Leach'!$A$20,1)</definedName>
    <definedName function="false" hidden="false" localSheetId="8" name="Dailydiscountedadjustedspread" vbProcedure="false">OFFSET('[1]Mainline to Leach'!$M$21,0,0,Enddate-'[1]Mainline to Leach'!$A$20,1)</definedName>
    <definedName function="false" hidden="false" localSheetId="8" name="Dailydiscountedintrinsicvalue" vbProcedure="false">OFFSET('[1]Mainline to Leach'!$O$21,0,0,Enddate-'[1]Mainline to Leach'!$A$20,1)</definedName>
    <definedName function="false" hidden="false" localSheetId="8" name="Dailydiscountedspread" vbProcedure="false">OFFSET('[1]Mainline to Leach'!$O$21,0,0,Enddate-'[1]Mainline to Leach'!$A$20,1)</definedName>
    <definedName function="false" hidden="false" localSheetId="8" name="mthbeg" vbProcedure="false">'Ojibway vs Dawn'!$A$3</definedName>
    <definedName function="false" hidden="false" localSheetId="8" name="mthend" vbProcedure="false">'Ojibway vs Dawn'!$B$3</definedName>
    <definedName function="false" hidden="false" localSheetId="9" name="correlfrom" vbProcedure="false">OFFSET([1]Intracorrel!$A$2,0,0,1,COUNT(correlmatchline))</definedName>
    <definedName function="false" hidden="false" localSheetId="9" name="correlto" vbProcedure="false">OFFSET([1]Intracorrel!$A$3,0,0,1,COUNT(correlmatchline))</definedName>
    <definedName function="false" hidden="false" localSheetId="9" name="Dailydemandcharge" vbProcedure="false">OFFSET('[1]Mainline to Leach'!$K$21,0,0,Enddate-'[1]Mainline to Leach'!$A$20,1)</definedName>
    <definedName function="false" hidden="false" localSheetId="9" name="Dailydiscountedadjustedspread" vbProcedure="false">OFFSET('[1]Mainline to Leach'!$M$21,0,0,Enddate-'[1]Mainline to Leach'!$A$20,1)</definedName>
    <definedName function="false" hidden="false" localSheetId="9" name="Dailydiscountedintrinsicvalue" vbProcedure="false">OFFSET('[1]Mainline to Leach'!$O$21,0,0,Enddate-'[1]Mainline to Leach'!$A$20,1)</definedName>
    <definedName function="false" hidden="false" localSheetId="9" name="Dailydiscountedspread" vbProcedure="false">OFFSET('[1]Mainline to Leach'!$O$21,0,0,Enddate-'[1]Mainline to Leach'!$A$20,1)</definedName>
    <definedName function="false" hidden="false" localSheetId="9" name="mthbeg" vbProcedure="false">'Empress vs Chippewa'!$A$3</definedName>
    <definedName function="false" hidden="false" localSheetId="9" name="mthend" vbProcedure="false">'Empress vs Chippewa'!$B$3</definedName>
    <definedName function="false" hidden="false" localSheetId="10" name="correlfrom" vbProcedure="false">OFFSET([1]Intracorrel!$A$2,0,0,1,COUNT(correlmatchline))</definedName>
    <definedName function="false" hidden="false" localSheetId="10" name="CORRELFROM1" vbProcedure="false">OFFSET([1]Intracorrel!$A$2,0,0,1,COUNT(correlmatchline))</definedName>
    <definedName function="false" hidden="false" localSheetId="10" name="correlto" vbProcedure="false">OFFSET([1]Intracorrel!$A$3,0,0,1,COUNT(correlmatchline))</definedName>
    <definedName function="false" hidden="false" localSheetId="10" name="Dailydemandcharge" vbProcedure="false">OFFSET('[1]Mainline to Leach'!$K$21,0,0,Enddate-'[1]Mainline to Leach'!$A$20,1)</definedName>
    <definedName function="false" hidden="false" localSheetId="10" name="Dailydiscountedadjustedspread" vbProcedure="false">OFFSET('[1]Mainline to Leach'!$M$21,0,0,Enddate-'[1]Mainline to Leach'!$A$20,1)</definedName>
    <definedName function="false" hidden="false" localSheetId="10" name="Dailydiscountedintrinsicvalue" vbProcedure="false">OFFSET('[1]Mainline to Leach'!$O$21,0,0,Enddate-'[1]Mainline to Leach'!$A$20,1)</definedName>
    <definedName function="false" hidden="false" localSheetId="10" name="Dailydiscountedspread" vbProcedure="false">OFFSET('[1]Mainline to Leach'!$O$21,0,0,Enddate-'[1]Mainline to Leach'!$A$20,1)</definedName>
    <definedName function="false" hidden="false" localSheetId="10" name="mthbeg" vbProcedure="false">'Dawn vs Chippewa'!$A$3</definedName>
    <definedName function="false" hidden="false" localSheetId="10" name="mthend" vbProcedure="false">'Dawn vs Chippewa'!$B$3</definedName>
    <definedName function="true" hidden="false" name="SPRDOPT" vbProcedure="true"/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C18" authorId="0">
      <text>
        <r>
          <rPr>
            <b val="true"/>
            <sz val="8"/>
            <color rgb="FF000000"/>
            <rFont val="Tahoma"/>
            <family val="0"/>
          </rPr>
          <t xml:space="preserve">Sanjeev K Khanna:
</t>
        </r>
        <r>
          <rPr>
            <sz val="8"/>
            <color rgb="FF000000"/>
            <rFont val="Tahoma"/>
            <family val="0"/>
          </rPr>
          <t xml:space="preserve">Please make sure the monthly vol for this curve is listed
If not, please use Nymex or another proxy location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16</xdr:row>
                <xdr:rowOff>8</xdr:rowOff>
              </xdr:from>
              <xdr:to>
                <xdr:col>5</xdr:col>
                <xdr:colOff>155</xdr:colOff>
                <xdr:row>19</xdr:row>
                <xdr:rowOff>4</xdr:rowOff>
              </xdr:to>
            </anchor>
          </commentPr>
        </mc:Choice>
        <mc:Fallback/>
      </mc:AlternateContent>
    </comment>
    <comment ref="C19" authorId="0">
      <text>
        <r>
          <rPr>
            <b val="true"/>
            <sz val="8"/>
            <color rgb="FF000000"/>
            <rFont val="Tahoma"/>
            <family val="0"/>
          </rPr>
          <t xml:space="preserve">Sanjeev K Khanna:
</t>
        </r>
        <r>
          <rPr>
            <sz val="8"/>
            <color rgb="FF000000"/>
            <rFont val="Tahoma"/>
            <family val="0"/>
          </rPr>
          <t xml:space="preserve">Please make sure the monthly vol for this curve is listed
If not, please use Nymex or another proxy location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17</xdr:row>
                <xdr:rowOff>8</xdr:rowOff>
              </xdr:from>
              <xdr:to>
                <xdr:col>5</xdr:col>
                <xdr:colOff>130</xdr:colOff>
                <xdr:row>21</xdr:row>
                <xdr:rowOff>6</xdr:rowOff>
              </xdr:to>
            </anchor>
          </commentPr>
        </mc:Choice>
        <mc:Fallback/>
      </mc:AlternateContent>
    </comment>
    <comment ref="F13" authorId="0">
      <text>
        <r>
          <rPr>
            <b val="true"/>
            <sz val="8"/>
            <color rgb="FF000000"/>
            <rFont val="Tahoma"/>
            <family val="0"/>
          </rPr>
          <t xml:space="preserve">Sanjeev K Khanna:
</t>
        </r>
        <r>
          <rPr>
            <sz val="8"/>
            <color rgb="FF000000"/>
            <rFont val="Tahoma"/>
            <family val="0"/>
          </rPr>
          <t xml:space="preserve">Spreads are diff from mid to bid/offer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225</xdr:colOff>
                <xdr:row>11</xdr:row>
                <xdr:rowOff>2</xdr:rowOff>
              </xdr:from>
              <xdr:to>
                <xdr:col>9</xdr:col>
                <xdr:colOff>54</xdr:colOff>
                <xdr:row>15</xdr:row>
                <xdr:rowOff>14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S5" authorId="0">
      <text>
        <r>
          <rPr>
            <sz val="8"/>
            <color rgb="FF000000"/>
            <rFont val="Tahoma"/>
            <family val="0"/>
          </rPr>
          <t xml:space="preserve">You must add ACA onto the commodity to make it feed through the model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19</xdr:col>
                <xdr:colOff>91</xdr:colOff>
                <xdr:row>3</xdr:row>
                <xdr:rowOff>8</xdr:rowOff>
              </xdr:from>
              <xdr:to>
                <xdr:col>21</xdr:col>
                <xdr:colOff>32</xdr:colOff>
                <xdr:row>7</xdr:row>
                <xdr:rowOff>11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<sst xmlns="http://schemas.openxmlformats.org/spreadsheetml/2006/main" count="1437" uniqueCount="252">
  <si>
    <t xml:space="preserve">Spread Option Model Escalators</t>
  </si>
  <si>
    <t xml:space="preserve">Sithe Variable Charges</t>
  </si>
  <si>
    <t xml:space="preserve">ANR OK vs ML7</t>
  </si>
  <si>
    <t xml:space="preserve">ANR LA vs ML7</t>
  </si>
  <si>
    <t xml:space="preserve">PEPL vs Ojibway</t>
  </si>
  <si>
    <t xml:space="preserve">ML7 vs St. Clair</t>
  </si>
  <si>
    <t xml:space="preserve">St. Clair vs Chippawa</t>
  </si>
  <si>
    <t xml:space="preserve">Ojibway vs Dawn</t>
  </si>
  <si>
    <t xml:space="preserve">Empress vs Chippawa</t>
  </si>
  <si>
    <t xml:space="preserve">Dawn vs Chippawa</t>
  </si>
  <si>
    <t xml:space="preserve">ANR SW</t>
  </si>
  <si>
    <t xml:space="preserve">ANR SE</t>
  </si>
  <si>
    <t xml:space="preserve">PEPL</t>
  </si>
  <si>
    <t xml:space="preserve">Great Lakes</t>
  </si>
  <si>
    <t xml:space="preserve">TCPL</t>
  </si>
  <si>
    <t xml:space="preserve">Union</t>
  </si>
  <si>
    <t xml:space="preserve">Sithe Transport Spread Option - Non Optimized Pathing</t>
  </si>
  <si>
    <t xml:space="preserve">Run at Libor = 1, 10% = 2</t>
  </si>
  <si>
    <t xml:space="preserve">Pricing Input</t>
  </si>
  <si>
    <t xml:space="preserve">Path 1</t>
  </si>
  <si>
    <t xml:space="preserve">Path 2</t>
  </si>
  <si>
    <t xml:space="preserve">Path 3</t>
  </si>
  <si>
    <t xml:space="preserve">Escalating Commodity</t>
  </si>
  <si>
    <t xml:space="preserve">Curve</t>
  </si>
  <si>
    <t xml:space="preserve">Mark</t>
  </si>
  <si>
    <t xml:space="preserve">Start</t>
  </si>
  <si>
    <t xml:space="preserve">Stop</t>
  </si>
  <si>
    <t xml:space="preserve">Receipt</t>
  </si>
  <si>
    <t xml:space="preserve">Delivery </t>
  </si>
  <si>
    <t xml:space="preserve">Daily Volatility</t>
  </si>
  <si>
    <t xml:space="preserve">Monthly Volatility</t>
  </si>
  <si>
    <t xml:space="preserve">Daily</t>
  </si>
  <si>
    <t xml:space="preserve">Monthly</t>
  </si>
  <si>
    <t xml:space="preserve">Daily </t>
  </si>
  <si>
    <t xml:space="preserve">Cost of </t>
  </si>
  <si>
    <t xml:space="preserve">Demand Chrg</t>
  </si>
  <si>
    <t xml:space="preserve">Commodity Chrg</t>
  </si>
  <si>
    <t xml:space="preserve">Fuel Chrg</t>
  </si>
  <si>
    <t xml:space="preserve">Commodity Chrg </t>
  </si>
  <si>
    <t xml:space="preserve">GRI</t>
  </si>
  <si>
    <t xml:space="preserve">Kirkwall to Chippewa</t>
  </si>
  <si>
    <t xml:space="preserve">Dawn to Chip</t>
  </si>
  <si>
    <t xml:space="preserve">Path</t>
  </si>
  <si>
    <t xml:space="preserve"> Date</t>
  </si>
  <si>
    <t xml:space="preserve">Date</t>
  </si>
  <si>
    <t xml:space="preserve">Point</t>
  </si>
  <si>
    <t xml:space="preserve">at Receipt Point</t>
  </si>
  <si>
    <t xml:space="preserve">at Delivery Point</t>
  </si>
  <si>
    <t xml:space="preserve">Correlation</t>
  </si>
  <si>
    <t xml:space="preserve">Quantity</t>
  </si>
  <si>
    <t xml:space="preserve">Funds</t>
  </si>
  <si>
    <t xml:space="preserve"> ($/mmbtu)</t>
  </si>
  <si>
    <t xml:space="preserve">($/mmbtu)</t>
  </si>
  <si>
    <t xml:space="preserve">Summer</t>
  </si>
  <si>
    <t xml:space="preserve">Winter</t>
  </si>
  <si>
    <t xml:space="preserve">Escalator</t>
  </si>
  <si>
    <t xml:space="preserve">Path 20</t>
  </si>
  <si>
    <t xml:space="preserve">Path 39</t>
  </si>
  <si>
    <t xml:space="preserve">Path 22</t>
  </si>
  <si>
    <t xml:space="preserve">ANR OK vs ML7 </t>
  </si>
  <si>
    <t xml:space="preserve">IF-ANR/OK</t>
  </si>
  <si>
    <t xml:space="preserve">ML7/CG</t>
  </si>
  <si>
    <t xml:space="preserve">NG_OMICRON_3</t>
  </si>
  <si>
    <t xml:space="preserve">NG_OMICRON_11</t>
  </si>
  <si>
    <t xml:space="preserve">MICH/CONS</t>
  </si>
  <si>
    <t xml:space="preserve">Y</t>
  </si>
  <si>
    <t xml:space="preserve">IF-ANR/LA</t>
  </si>
  <si>
    <t xml:space="preserve">NG_OMICRON_1</t>
  </si>
  <si>
    <t xml:space="preserve">NG</t>
  </si>
  <si>
    <t xml:space="preserve">PEPL TxOk vs Dawn</t>
  </si>
  <si>
    <t xml:space="preserve">IF-PAN/TX/OK</t>
  </si>
  <si>
    <t xml:space="preserve">CGPR-DAWN</t>
  </si>
  <si>
    <t xml:space="preserve">ML-7 vs St.Clair</t>
  </si>
  <si>
    <t xml:space="preserve">CGPR-ST.CLAIR</t>
  </si>
  <si>
    <t xml:space="preserve">St.Clair vs Chippawa</t>
  </si>
  <si>
    <t xml:space="preserve">CGPR-CHIPPAWA</t>
  </si>
  <si>
    <t xml:space="preserve">CGPR-Ojibway</t>
  </si>
  <si>
    <t xml:space="preserve">US Empress</t>
  </si>
  <si>
    <t xml:space="preserve">NG_OMICRON_9</t>
  </si>
  <si>
    <t xml:space="preserve">Dawn to Chippawa</t>
  </si>
  <si>
    <t xml:space="preserve">N</t>
  </si>
  <si>
    <t xml:space="preserve"> </t>
  </si>
  <si>
    <t xml:space="preserve">Pricing Output</t>
  </si>
  <si>
    <t xml:space="preserve">MDQ</t>
  </si>
  <si>
    <t xml:space="preserve">Commodity</t>
  </si>
  <si>
    <t xml:space="preserve">Fuel </t>
  </si>
  <si>
    <t xml:space="preserve">Intrinsic</t>
  </si>
  <si>
    <t xml:space="preserve">Extrinsic </t>
  </si>
  <si>
    <t xml:space="preserve">Price</t>
  </si>
  <si>
    <t xml:space="preserve">Basis Offer</t>
  </si>
  <si>
    <t xml:space="preserve">Index Offer</t>
  </si>
  <si>
    <t xml:space="preserve">Basis Bid</t>
  </si>
  <si>
    <t xml:space="preserve">Index Bid </t>
  </si>
  <si>
    <t xml:space="preserve">Real</t>
  </si>
  <si>
    <t xml:space="preserve">PV</t>
  </si>
  <si>
    <t xml:space="preserve">Intrinsic </t>
  </si>
  <si>
    <t xml:space="preserve">Extrinsic</t>
  </si>
  <si>
    <t xml:space="preserve">Total</t>
  </si>
  <si>
    <t xml:space="preserve">Term</t>
  </si>
  <si>
    <t xml:space="preserve">(Mmbtu)</t>
  </si>
  <si>
    <t xml:space="preserve"> Rate</t>
  </si>
  <si>
    <t xml:space="preserve">Charge</t>
  </si>
  <si>
    <t xml:space="preserve">Premium</t>
  </si>
  <si>
    <t xml:space="preserve">at Rcpt Pt</t>
  </si>
  <si>
    <t xml:space="preserve">at Rect. Point</t>
  </si>
  <si>
    <t xml:space="preserve">at Dlv Pt</t>
  </si>
  <si>
    <t xml:space="preserve">at Dev. Point</t>
  </si>
  <si>
    <t xml:space="preserve">Value (Nominal)</t>
  </si>
  <si>
    <t xml:space="preserve">Value (PV'dl)</t>
  </si>
  <si>
    <t xml:space="preserve">Value (PV'd)</t>
  </si>
  <si>
    <t xml:space="preserve">Variable Cost Analysis</t>
  </si>
  <si>
    <t xml:space="preserve">ANR</t>
  </si>
  <si>
    <t xml:space="preserve">GLGT</t>
  </si>
  <si>
    <t xml:space="preserve">Total Value by Pipe</t>
  </si>
  <si>
    <t xml:space="preserve">Basis Swap Model</t>
  </si>
  <si>
    <t xml:space="preserve">Mark Date</t>
  </si>
  <si>
    <t xml:space="preserve">MMBtu/day 1</t>
  </si>
  <si>
    <t xml:space="preserve">Cost of Funds</t>
  </si>
  <si>
    <t xml:space="preserve">Basis</t>
  </si>
  <si>
    <t xml:space="preserve">Index</t>
  </si>
  <si>
    <t xml:space="preserve">Start Date</t>
  </si>
  <si>
    <t xml:space="preserve">Stop Date</t>
  </si>
  <si>
    <t xml:space="preserve">Curve Date</t>
  </si>
  <si>
    <t xml:space="preserve">Phy1 Fin2</t>
  </si>
  <si>
    <t xml:space="preserve">Buy1 Sell2</t>
  </si>
  <si>
    <t xml:space="preserve">MMBtu/month 2</t>
  </si>
  <si>
    <t xml:space="preserve">Adjustment (bp)</t>
  </si>
  <si>
    <t xml:space="preserve">Delivery Pt.</t>
  </si>
  <si>
    <t xml:space="preserve">Receipt Pt</t>
  </si>
  <si>
    <t xml:space="preserve">Option Type</t>
  </si>
  <si>
    <t xml:space="preserve">Dlvd Path</t>
  </si>
  <si>
    <t xml:space="preserve">Receipt Path</t>
  </si>
  <si>
    <t xml:space="preserve">TOTAL</t>
  </si>
  <si>
    <t xml:space="preserve">NG-P</t>
  </si>
  <si>
    <t xml:space="preserve">Fuel</t>
  </si>
  <si>
    <t xml:space="preserve">Blended A</t>
  </si>
  <si>
    <t xml:space="preserve">Blended B</t>
  </si>
  <si>
    <t xml:space="preserve">Accum</t>
  </si>
  <si>
    <t xml:space="preserve">LIBOR-AA</t>
  </si>
  <si>
    <t xml:space="preserve">Nominal</t>
  </si>
  <si>
    <t xml:space="preserve">PV'd</t>
  </si>
  <si>
    <t xml:space="preserve">Delivery</t>
  </si>
  <si>
    <t xml:space="preserve">Nymex</t>
  </si>
  <si>
    <t xml:space="preserve">Vol</t>
  </si>
  <si>
    <t xml:space="preserve">Vol </t>
  </si>
  <si>
    <t xml:space="preserve">Demand </t>
  </si>
  <si>
    <t xml:space="preserve">Option</t>
  </si>
  <si>
    <t xml:space="preserve">Calendar</t>
  </si>
  <si>
    <t xml:space="preserve">Discount</t>
  </si>
  <si>
    <t xml:space="preserve">Libor</t>
  </si>
  <si>
    <t xml:space="preserve">Active</t>
  </si>
  <si>
    <t xml:space="preserve">Demand</t>
  </si>
  <si>
    <t xml:space="preserve">Month</t>
  </si>
  <si>
    <t xml:space="preserve">MMBtu</t>
  </si>
  <si>
    <t xml:space="preserve">MMbtu</t>
  </si>
  <si>
    <t xml:space="preserve">Mid</t>
  </si>
  <si>
    <t xml:space="preserve">Bid</t>
  </si>
  <si>
    <t xml:space="preserve">Offer</t>
  </si>
  <si>
    <t xml:space="preserve">Strike</t>
  </si>
  <si>
    <t xml:space="preserve">Expire Date</t>
  </si>
  <si>
    <t xml:space="preserve">Expire Days</t>
  </si>
  <si>
    <t xml:space="preserve">Days</t>
  </si>
  <si>
    <t xml:space="preserve">AA</t>
  </si>
  <si>
    <t xml:space="preserve">Factor</t>
  </si>
  <si>
    <t xml:space="preserve">Months</t>
  </si>
  <si>
    <t xml:space="preserve">Value</t>
  </si>
  <si>
    <t xml:space="preserve">SWAP PRICE</t>
  </si>
  <si>
    <t xml:space="preserve">Commodity,</t>
  </si>
  <si>
    <t xml:space="preserve">ACA &amp; GRI</t>
  </si>
  <si>
    <t xml:space="preserve">User ID:</t>
  </si>
  <si>
    <t xml:space="preserve">mbennet_pc</t>
  </si>
  <si>
    <t xml:space="preserve">Please enter a valid User ID for ERMS/RUNM</t>
  </si>
  <si>
    <t xml:space="preserve">Password:</t>
  </si>
  <si>
    <t xml:space="preserve">Please enter the Password for the User ID</t>
  </si>
  <si>
    <t xml:space="preserve">Database:</t>
  </si>
  <si>
    <t xml:space="preserve">egsprod</t>
  </si>
  <si>
    <t xml:space="preserve">Database into which the curves will be loaded (ex: egsprod = ERMS Prod, egstest = ERMS Test, etc.)</t>
  </si>
  <si>
    <t xml:space="preserve">Fake Chippawa</t>
  </si>
  <si>
    <t xml:space="preserve">CGPR-OJIBWAY-I</t>
  </si>
  <si>
    <t xml:space="preserve">Effective Date</t>
  </si>
  <si>
    <t xml:space="preserve">Prompt Month</t>
  </si>
  <si>
    <t xml:space="preserve">Curve Code</t>
  </si>
  <si>
    <t xml:space="preserve">INTNS</t>
  </si>
  <si>
    <t xml:space="preserve">IF-CGT/APPALAC</t>
  </si>
  <si>
    <t xml:space="preserve">NG_OMICRON_7</t>
  </si>
  <si>
    <t xml:space="preserve">NGI-MICH_CG</t>
  </si>
  <si>
    <t xml:space="preserve">NGI/CHI. GATE</t>
  </si>
  <si>
    <t xml:space="preserve">CGPR-AECO/BASIS</t>
  </si>
  <si>
    <t xml:space="preserve">TRANS:AECO/EMP</t>
  </si>
  <si>
    <t xml:space="preserve">CAD/USD</t>
  </si>
  <si>
    <t xml:space="preserve">CGPR-OJIBWAY</t>
  </si>
  <si>
    <t xml:space="preserve">1 Canadian = x US$</t>
  </si>
  <si>
    <t xml:space="preserve">Us Empress Adder</t>
  </si>
  <si>
    <t xml:space="preserve">Curve Type</t>
  </si>
  <si>
    <t xml:space="preserve">PR</t>
  </si>
  <si>
    <t xml:space="preserve">VO</t>
  </si>
  <si>
    <t xml:space="preserve">FX</t>
  </si>
  <si>
    <t xml:space="preserve">Book Code 1</t>
  </si>
  <si>
    <t xml:space="preserve">R</t>
  </si>
  <si>
    <t xml:space="preserve">P</t>
  </si>
  <si>
    <t xml:space="preserve">D</t>
  </si>
  <si>
    <t xml:space="preserve">I</t>
  </si>
  <si>
    <t xml:space="preserve">F</t>
  </si>
  <si>
    <t xml:space="preserve">Publisher</t>
  </si>
  <si>
    <t xml:space="preserve">ATEST_PC</t>
  </si>
  <si>
    <t xml:space="preserve">DQUIGLE</t>
  </si>
  <si>
    <t xml:space="preserve">GHUAN</t>
  </si>
  <si>
    <t xml:space="preserve">BMILLS</t>
  </si>
  <si>
    <t xml:space="preserve">BMCKAY_PC</t>
  </si>
  <si>
    <t xml:space="preserve">GGREENA</t>
  </si>
  <si>
    <t xml:space="preserve">PRYDER</t>
  </si>
  <si>
    <t xml:space="preserve">Please add new curves in the Curve List file</t>
  </si>
  <si>
    <t xml:space="preserve">Transport Option Pricing Model</t>
  </si>
  <si>
    <t xml:space="preserve">CurveList</t>
  </si>
  <si>
    <t xml:space="preserve">Price Curve</t>
  </si>
  <si>
    <t xml:space="preserve">Dly Vol Curve</t>
  </si>
  <si>
    <t xml:space="preserve">Mthly Vol Curve</t>
  </si>
  <si>
    <t xml:space="preserve">Inputs</t>
  </si>
  <si>
    <t xml:space="preserve">Counter Party</t>
  </si>
  <si>
    <t xml:space="preserve">ABC of America</t>
  </si>
  <si>
    <t xml:space="preserve">Structurer</t>
  </si>
  <si>
    <t xml:space="preserve">Sanjeev Khanna</t>
  </si>
  <si>
    <t xml:space="preserve">Version</t>
  </si>
  <si>
    <t xml:space="preserve">Originator</t>
  </si>
  <si>
    <t xml:space="preserve">Daily Volume</t>
  </si>
  <si>
    <t xml:space="preserve">Valuation Date</t>
  </si>
  <si>
    <t xml:space="preserve">Physical or Financial</t>
  </si>
  <si>
    <t xml:space="preserve">Buy or Sell</t>
  </si>
  <si>
    <t xml:space="preserve">Term Start Date</t>
  </si>
  <si>
    <t xml:space="preserve">Cost of Funds Adj (bp)</t>
  </si>
  <si>
    <t xml:space="preserve">Term End Date</t>
  </si>
  <si>
    <t xml:space="preserve">Delivery Location</t>
  </si>
  <si>
    <t xml:space="preserve">Physical</t>
  </si>
  <si>
    <t xml:space="preserve">Receipt Location</t>
  </si>
  <si>
    <t xml:space="preserve">Financial</t>
  </si>
  <si>
    <t xml:space="preserve">Buy</t>
  </si>
  <si>
    <t xml:space="preserve">Sell</t>
  </si>
  <si>
    <t xml:space="preserve">Demand Charge ($/mmbtu)</t>
  </si>
  <si>
    <t xml:space="preserve">Commodity Charge ($/mmbtu)</t>
  </si>
  <si>
    <t xml:space="preserve">Fuel Charge for Summer ($/mmbtu)</t>
  </si>
  <si>
    <t xml:space="preserve">Fuel Charge for Winter ($/mmbtu)</t>
  </si>
  <si>
    <t xml:space="preserve">Outputs</t>
  </si>
  <si>
    <t xml:space="preserve">Option Premium ($/mmbtu)</t>
  </si>
  <si>
    <t xml:space="preserve">Total Option Premium ($)</t>
  </si>
  <si>
    <t xml:space="preserve">Intrinsic Premium ($/mmbtu)</t>
  </si>
  <si>
    <t xml:space="preserve">Intrinsic Value ($)</t>
  </si>
  <si>
    <t xml:space="preserve">Extrinsic Premium ($/mmbtu)</t>
  </si>
  <si>
    <t xml:space="preserve">Extrinsic Value ($)</t>
  </si>
  <si>
    <t xml:space="preserve">PV Volume (mmbtu)</t>
  </si>
  <si>
    <t xml:space="preserve">Demand Charges (PV)</t>
  </si>
  <si>
    <t xml:space="preserve">Notional Volume (mmbtu)</t>
  </si>
  <si>
    <t xml:space="preserve">MTM Profit/(Loss) ($)</t>
  </si>
</sst>
</file>

<file path=xl/styles.xml><?xml version="1.0" encoding="utf-8"?>
<styleSheet xmlns="http://schemas.openxmlformats.org/spreadsheetml/2006/main">
  <numFmts count="39">
    <numFmt numFmtId="164" formatCode="General"/>
    <numFmt numFmtId="165" formatCode="0"/>
    <numFmt numFmtId="166" formatCode="\$#,##0_);[RED]&quot;($&quot;#,##0\)"/>
    <numFmt numFmtId="167" formatCode="[$-409]#,##0_);\(#,##0\)"/>
    <numFmt numFmtId="168" formatCode="0.00%"/>
    <numFmt numFmtId="169" formatCode="[$-409]#,##0_);[RED]\(#,##0\)"/>
    <numFmt numFmtId="170" formatCode="[$-409]#,##0.00_);[RED]\(#,##0.00\)"/>
    <numFmt numFmtId="171" formatCode="#,##0"/>
    <numFmt numFmtId="172" formatCode="[$-409]m/d/yyyy"/>
    <numFmt numFmtId="173" formatCode="_(* #,##0.00_);_(* \(#,##0.00\);_(* \-??_);_(@_)"/>
    <numFmt numFmtId="174" formatCode="_(* #,##0.000_);_(* \(#,##0.000\);_(* \-??_);_(@_)"/>
    <numFmt numFmtId="175" formatCode="[$-409]mmm\-yy"/>
    <numFmt numFmtId="176" formatCode="0.0000"/>
    <numFmt numFmtId="177" formatCode="0.00"/>
    <numFmt numFmtId="178" formatCode="[$-409]d\-mmm\-yy"/>
    <numFmt numFmtId="179" formatCode="\$#,##0.0000;[RED]&quot;-$&quot;#,##0.0000"/>
    <numFmt numFmtId="180" formatCode="\$#,##0.0000_);[RED]&quot;($&quot;#,##0.0000\)"/>
    <numFmt numFmtId="181" formatCode="0%"/>
    <numFmt numFmtId="182" formatCode="_(\$* #,##0.00_);_(\$* \(#,##0.00\);_(\$* \-??_);_(@_)"/>
    <numFmt numFmtId="183" formatCode="0.0000%"/>
    <numFmt numFmtId="184" formatCode="_(* #,##0_);_(* \(#,##0\);_(* \-??_);_(@_)"/>
    <numFmt numFmtId="185" formatCode="\$#,##0"/>
    <numFmt numFmtId="186" formatCode="0.0%"/>
    <numFmt numFmtId="187" formatCode="[$-409]#,##0.00_);\(#,##0.00\)"/>
    <numFmt numFmtId="188" formatCode="mm/dd/yy"/>
    <numFmt numFmtId="189" formatCode="\$#,##0.0000"/>
    <numFmt numFmtId="190" formatCode="_(\$* #,##0.0000_);_(\$* \(#,##0.0000\);_(\$* \-??_);_(@_)"/>
    <numFmt numFmtId="191" formatCode="0.0000_);\(0.0000\)"/>
    <numFmt numFmtId="192" formatCode="_(\$* #,##0_);_(\$* \(#,##0\);_(\$* \-??_);_(@_)"/>
    <numFmt numFmtId="193" formatCode="mm/yy"/>
    <numFmt numFmtId="194" formatCode="#,##0.00;\(#,##0.00\)"/>
    <numFmt numFmtId="195" formatCode="0.000"/>
    <numFmt numFmtId="196" formatCode="_(\$* #,##0.00000_);_(\$* \(#,##0.00000\);_(\$* \-??_);_(@_)"/>
    <numFmt numFmtId="197" formatCode="_(* #,##0.00000_);_(* \(#,##0.00000\);_(* \-??_);_(@_)"/>
    <numFmt numFmtId="198" formatCode="0.0000000"/>
    <numFmt numFmtId="199" formatCode="_(* #,##0.0000_);_(* \(#,##0.0000\);_(* \-??_);_(@_)"/>
    <numFmt numFmtId="200" formatCode="_(* #,##0.0_);_(* \(#,##0.0\);_(* \-??_);_(@_)"/>
    <numFmt numFmtId="201" formatCode="mmmm\-yy"/>
    <numFmt numFmtId="202" formatCode="\$#,##0.00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0"/>
    </font>
    <font>
      <b val="true"/>
      <sz val="10"/>
      <name val="Arial"/>
      <family val="0"/>
    </font>
    <font>
      <b val="true"/>
      <sz val="8"/>
      <name val="Arial"/>
      <family val="0"/>
    </font>
    <font>
      <sz val="11"/>
      <name val="??"/>
      <family val="3"/>
      <charset val="129"/>
    </font>
    <font>
      <u val="single"/>
      <sz val="10"/>
      <color rgb="FF800080"/>
      <name val="Arial"/>
      <family val="0"/>
    </font>
    <font>
      <sz val="8"/>
      <name val="Arial"/>
      <family val="2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7"/>
      <name val="Small Fonts"/>
      <family val="0"/>
    </font>
    <font>
      <b val="true"/>
      <i val="true"/>
      <sz val="16"/>
      <name val="Arial"/>
      <family val="0"/>
    </font>
    <font>
      <sz val="11"/>
      <name val="Arial"/>
      <family val="0"/>
    </font>
    <font>
      <sz val="8"/>
      <name val="Arial"/>
      <family val="0"/>
    </font>
    <font>
      <sz val="8"/>
      <color rgb="FF0000FF"/>
      <name val="Arial"/>
      <family val="2"/>
    </font>
    <font>
      <sz val="10"/>
      <color rgb="FF008000"/>
      <name val="Arial"/>
      <family val="2"/>
    </font>
    <font>
      <b val="true"/>
      <sz val="10"/>
      <color rgb="FF008000"/>
      <name val="Arial"/>
      <family val="2"/>
    </font>
    <font>
      <b val="true"/>
      <sz val="10"/>
      <name val="Arial"/>
      <family val="2"/>
    </font>
    <font>
      <i val="true"/>
      <sz val="10"/>
      <name val="Arial"/>
      <family val="2"/>
    </font>
    <font>
      <sz val="10"/>
      <color rgb="FF800080"/>
      <name val="Arial"/>
      <family val="2"/>
    </font>
    <font>
      <sz val="10"/>
      <name val="Arial"/>
      <family val="2"/>
    </font>
    <font>
      <b val="true"/>
      <sz val="11"/>
      <name val="Arial"/>
      <family val="2"/>
    </font>
    <font>
      <b val="true"/>
      <sz val="10"/>
      <color rgb="FF0000FF"/>
      <name val="Arial"/>
      <family val="2"/>
    </font>
    <font>
      <sz val="10"/>
      <color rgb="FFFF6600"/>
      <name val="Arial"/>
      <family val="2"/>
    </font>
    <font>
      <sz val="12"/>
      <name val="Arial"/>
      <family val="2"/>
    </font>
    <font>
      <b val="true"/>
      <sz val="10"/>
      <color rgb="FF000000"/>
      <name val="Arial"/>
      <family val="2"/>
    </font>
    <font>
      <sz val="10"/>
      <color rgb="FF000000"/>
      <name val="Arial"/>
      <family val="0"/>
    </font>
    <font>
      <sz val="10"/>
      <color rgb="FFFFFFFF"/>
      <name val="Arial"/>
      <family val="2"/>
    </font>
    <font>
      <u val="single"/>
      <sz val="10"/>
      <name val="Arial"/>
      <family val="2"/>
    </font>
    <font>
      <sz val="8"/>
      <color rgb="FF000000"/>
      <name val="Tahoma"/>
      <family val="0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</font>
    <font>
      <sz val="8"/>
      <name val="Times New Roman"/>
      <family val="1"/>
    </font>
    <font>
      <b val="true"/>
      <sz val="8"/>
      <name val="Times New Roman"/>
      <family val="1"/>
    </font>
    <font>
      <b val="true"/>
      <sz val="9"/>
      <name val="Times New Roman"/>
      <family val="1"/>
    </font>
    <font>
      <sz val="8"/>
      <color rgb="FF0000FF"/>
      <name val="Times New Roman"/>
      <family val="1"/>
    </font>
    <font>
      <b val="true"/>
      <sz val="14"/>
      <name val="Arial"/>
      <family val="2"/>
    </font>
    <font>
      <b val="true"/>
      <sz val="24"/>
      <name val="Arial"/>
      <family val="2"/>
    </font>
    <font>
      <b val="true"/>
      <sz val="22"/>
      <name val="Arial"/>
      <family val="2"/>
    </font>
    <font>
      <b val="true"/>
      <sz val="16"/>
      <name val="Arial"/>
      <family val="2"/>
    </font>
    <font>
      <b val="true"/>
      <sz val="12"/>
      <name val="Arial"/>
      <family val="2"/>
    </font>
    <font>
      <b val="true"/>
      <sz val="12"/>
      <color rgb="FF0000FF"/>
      <name val="Arial"/>
      <family val="2"/>
    </font>
    <font>
      <sz val="8"/>
      <color rgb="FFFFFFFF"/>
      <name val="Arial"/>
      <family val="2"/>
    </font>
    <font>
      <b val="true"/>
      <sz val="8"/>
      <color rgb="FF000000"/>
      <name val="Tahoma"/>
      <family val="0"/>
    </font>
    <font>
      <b val="true"/>
      <sz val="9"/>
      <name val="Arial"/>
      <family val="2"/>
    </font>
    <font>
      <sz val="8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rgb="FFC0C0C0"/>
        <bgColor rgb="FFCCCCFF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33CCCC"/>
      </patternFill>
    </fill>
    <fill>
      <patternFill patternType="solid">
        <fgColor rgb="FFFF6600"/>
        <bgColor rgb="FFFF9900"/>
      </patternFill>
    </fill>
    <fill>
      <patternFill patternType="solid">
        <fgColor rgb="FF00FFFF"/>
        <bgColor rgb="FF00FFFF"/>
      </patternFill>
    </fill>
    <fill>
      <patternFill patternType="solid">
        <fgColor rgb="FFCC99FF"/>
        <bgColor rgb="FF9999FF"/>
      </patternFill>
    </fill>
    <fill>
      <patternFill patternType="solid">
        <fgColor rgb="FFCCFFFF"/>
        <bgColor rgb="FFCCFFFF"/>
      </patternFill>
    </fill>
  </fills>
  <borders count="36">
    <border diagonalUp="false" diagonalDown="false">
      <left/>
      <right/>
      <top/>
      <bottom/>
      <diagonal/>
    </border>
    <border diagonalUp="false" diagonalDown="false">
      <left style="double"/>
      <right/>
      <top/>
      <bottom style="hair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 style="medium"/>
      <top/>
      <bottom style="thin"/>
      <diagonal/>
    </border>
  </borders>
  <cellStyleXfs count="5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8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1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2" borderId="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8" fillId="0" borderId="0" applyFont="true" applyBorder="false" applyAlignment="false" applyProtection="false"/>
    <xf numFmtId="164" fontId="9" fillId="3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1" fillId="0" borderId="3" applyFont="true" applyBorder="true" applyAlignment="false" applyProtection="false"/>
    <xf numFmtId="164" fontId="9" fillId="4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4" fontId="0" fillId="0" borderId="4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9" fillId="5" borderId="0" applyFont="true" applyBorder="false" applyAlignment="false" applyProtection="false"/>
    <xf numFmtId="167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6" fillId="0" borderId="3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</cellStyleXfs>
  <cellXfs count="3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8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2" fontId="17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7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7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7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7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7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7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7" fillId="0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4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4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4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5" borderId="2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5" borderId="1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2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5" borderId="17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15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1" fillId="5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5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4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6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0" borderId="7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1" fillId="6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1" fillId="6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7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7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1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7" fillId="0" borderId="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22" fillId="0" borderId="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2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2" fillId="0" borderId="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2" fillId="0" borderId="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9" fillId="0" borderId="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2" fillId="0" borderId="7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22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11" fillId="0" borderId="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9" fillId="0" borderId="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4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7" borderId="16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16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7" fillId="0" borderId="16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2" fillId="0" borderId="0" xfId="42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1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6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7" fillId="0" borderId="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2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22" fillId="0" borderId="16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7" fillId="0" borderId="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8" fillId="0" borderId="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8" fillId="0" borderId="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10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5" borderId="15" xfId="42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16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22" fillId="0" borderId="7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22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2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2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2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22" fillId="0" borderId="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2" fillId="0" borderId="5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19" fillId="0" borderId="8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2" fillId="0" borderId="10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2" fillId="0" borderId="2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2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19" fillId="0" borderId="11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2" fillId="0" borderId="12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2" fillId="0" borderId="19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2" fillId="0" borderId="5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2" fillId="0" borderId="16" xfId="4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22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19" fillId="0" borderId="11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2" fillId="0" borderId="12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2" fillId="0" borderId="19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9" fillId="0" borderId="13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2" fillId="0" borderId="15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2" fillId="0" borderId="17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2" fillId="0" borderId="0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2" fillId="0" borderId="0" xfId="4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2" fillId="0" borderId="0" xfId="4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6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6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6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2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2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32" fillId="8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32" fillId="8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22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8" xfId="39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8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8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8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32" fillId="8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9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9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1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32" fillId="1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2" fillId="5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1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1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32" fillId="1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2" fillId="5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1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1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32" fillId="10" borderId="1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2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0" fontId="1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1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33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2" fontId="22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3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4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1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27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5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1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7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1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2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22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22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8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8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9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1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1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32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1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9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8" fontId="3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3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6" fillId="1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36" fillId="0" borderId="0" xfId="4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22" fillId="0" borderId="0" xfId="3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3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3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3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6" fillId="0" borderId="0" xfId="4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3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5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2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5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5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12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12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1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1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2" borderId="2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12" borderId="2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12" borderId="2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200" fontId="16" fillId="12" borderId="29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12" borderId="2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12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12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84" fontId="16" fillId="12" borderId="28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8" fontId="16" fillId="12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6" fillId="12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1" fontId="46" fillId="12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6" fillId="12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9" fontId="16" fillId="12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6" fillId="12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201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12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12" borderId="28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12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46" fillId="12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6" fontId="16" fillId="12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" fillId="12" borderId="2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6" fontId="16" fillId="12" borderId="1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9" fillId="12" borderId="1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16" fillId="12" borderId="33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5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2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9" fillId="1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12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1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9" fillId="1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9" fillId="12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9" fillId="1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9" fillId="12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12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2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12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5" borderId="0" xfId="38" applyFont="true" applyBorder="true" applyAlignment="true" applyProtection="false">
      <alignment horizontal="left" vertical="bottom" textRotation="0" wrapText="false" indent="0" shrinkToFit="false"/>
      <protection locked="true" hidden="false"/>
    </xf>
  </cellXfs>
  <cellStyles count="3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" xfId="20"/>
    <cellStyle name="Actual Date" xfId="21"/>
    <cellStyle name="Column_Title" xfId="22"/>
    <cellStyle name="Date" xfId="23"/>
    <cellStyle name="Fixed" xfId="24"/>
    <cellStyle name="Followe೤ Hyperlink" xfId="25"/>
    <cellStyle name="Grey" xfId="26"/>
    <cellStyle name="HEADER" xfId="27"/>
    <cellStyle name="Heading 1" xfId="28"/>
    <cellStyle name="Heading2" xfId="29"/>
    <cellStyle name="HIGHLIGHT" xfId="30"/>
    <cellStyle name="Input [yellow]" xfId="31"/>
    <cellStyle name="Milliers [0]_laroux" xfId="32"/>
    <cellStyle name="Milliers_laroux" xfId="33"/>
    <cellStyle name="Monétaire [0]_laroux" xfId="34"/>
    <cellStyle name="Monétaire_laroux" xfId="35"/>
    <cellStyle name="no dec" xfId="36"/>
    <cellStyle name="Normal - Style1" xfId="37"/>
    <cellStyle name="Normal_Codes2" xfId="38"/>
    <cellStyle name="Normal_Curves" xfId="39"/>
    <cellStyle name="Normal_June Options 97" xfId="40"/>
    <cellStyle name="Normal_PriceSheet" xfId="41"/>
    <cellStyle name="Normal_PriceSheet_1" xfId="42"/>
    <cellStyle name="Percent [2]" xfId="43"/>
    <cellStyle name="Total" xfId="44"/>
    <cellStyle name="Tusental (0)_laroux" xfId="45"/>
    <cellStyle name="Tusental_laroux" xfId="46"/>
    <cellStyle name="Unprot" xfId="47"/>
    <cellStyle name="Unprot$" xfId="48"/>
    <cellStyle name="Unprotect" xfId="49"/>
    <cellStyle name="Valuta (0)_laroux" xfId="50"/>
    <cellStyle name="Valuta_laroux" xfId="51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externalLink" Target="externalLinks/externalLink1.xml"/><Relationship Id="rId17" Type="http://schemas.openxmlformats.org/officeDocument/2006/relationships/externalLink" Target="externalLinks/externalLink2.xml"/><Relationship Id="rId18" Type="http://schemas.openxmlformats.org/officeDocument/2006/relationships/externalLink" Target="externalLinks/externalLink3.xml"/><Relationship Id="rId19" Type="http://schemas.openxmlformats.org/officeDocument/2006/relationships/externalLink" Target="externalLinks/externalLink4.xml"/><Relationship Id="rId20" Type="http://schemas.openxmlformats.org/officeDocument/2006/relationships/externalLink" Target="externalLinks/externalLink5.xml"/><Relationship Id="rId21" Type="http://schemas.openxmlformats.org/officeDocument/2006/relationships/externalLink" Target="externalLinks/externalLink6.xml"/><Relationship Id="rId22" Type="http://schemas.openxmlformats.org/officeDocument/2006/relationships/externalLink" Target="externalLinks/externalLink7.xml"/><Relationship Id="rId23" Type="http://schemas.openxmlformats.org/officeDocument/2006/relationships/externalLink" Target="externalLinks/externalLink8.xml"/><Relationship Id="rId24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1.xml"/><Relationship Id="rId27" Type="http://schemas.openxmlformats.org/officeDocument/2006/relationships/sharedStrings" Target="sharedStrings.xml"/>
</Relationships>
</file>

<file path=xl/charts/_rels/chart1.xml.rels><?xml version="1.0" encoding="UTF-8"?>
<Relationships xmlns="http://schemas.openxmlformats.org/package/2006/relationships"><Relationship Id="rId1" Type="http://schemas.openxmlformats.org/officeDocument/2006/relationships/chartUserShapes" Target="../drawings/drawing4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628438882295825"/>
          <c:y val="0.114673531476714"/>
          <c:w val="0.886773114683353"/>
          <c:h val="0.777322724081442"/>
        </c:manualLayout>
      </c:layout>
      <c:lineChart>
        <c:grouping val="standard"/>
        <c:varyColors val="0"/>
        <c:ser>
          <c:idx val="0"/>
          <c:order val="0"/>
          <c:tx>
            <c:strRef>
              <c:f>"Basis Differntial"</c:f>
              <c:strCache>
                <c:ptCount val="1"/>
                <c:pt idx="0">
                  <c:v>Basis Differntial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Curves!$C$17:$C$76</c:f>
              <c:strCache>
                <c:ptCount val="60"/>
                <c:pt idx="0">
                  <c:v>#VALUE!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  <c:pt idx="9">
                  <c:v>#VALUE!</c:v>
                </c:pt>
                <c:pt idx="10">
                  <c:v>#VALUE!</c:v>
                </c:pt>
                <c:pt idx="11">
                  <c:v>#VALUE!</c:v>
                </c:pt>
                <c:pt idx="12">
                  <c:v>#VALUE!</c:v>
                </c:pt>
                <c:pt idx="13">
                  <c:v>#VALUE!</c:v>
                </c:pt>
                <c:pt idx="14">
                  <c:v>#VALUE!</c:v>
                </c:pt>
                <c:pt idx="15">
                  <c:v>#VALUE!</c:v>
                </c:pt>
                <c:pt idx="16">
                  <c:v>#VALUE!</c:v>
                </c:pt>
                <c:pt idx="17">
                  <c:v>#VALUE!</c:v>
                </c:pt>
                <c:pt idx="18">
                  <c:v>#VALUE!</c:v>
                </c:pt>
                <c:pt idx="19">
                  <c:v>#VALUE!</c:v>
                </c:pt>
                <c:pt idx="20">
                  <c:v>#VALUE!</c:v>
                </c:pt>
                <c:pt idx="21">
                  <c:v>#VALUE!</c:v>
                </c:pt>
                <c:pt idx="22">
                  <c:v>#VALUE!</c:v>
                </c:pt>
                <c:pt idx="23">
                  <c:v>#VALUE!</c:v>
                </c:pt>
                <c:pt idx="24">
                  <c:v>#VALUE!</c:v>
                </c:pt>
                <c:pt idx="25">
                  <c:v>#VALUE!</c:v>
                </c:pt>
                <c:pt idx="26">
                  <c:v>#VALUE!</c:v>
                </c:pt>
                <c:pt idx="27">
                  <c:v>#VALUE!</c:v>
                </c:pt>
                <c:pt idx="28">
                  <c:v>#VALUE!</c:v>
                </c:pt>
                <c:pt idx="29">
                  <c:v>#VALUE!</c:v>
                </c:pt>
                <c:pt idx="30">
                  <c:v>#VALUE!</c:v>
                </c:pt>
                <c:pt idx="31">
                  <c:v>#VALUE!</c:v>
                </c:pt>
                <c:pt idx="32">
                  <c:v>#VALUE!</c:v>
                </c:pt>
                <c:pt idx="33">
                  <c:v>#VALUE!</c:v>
                </c:pt>
                <c:pt idx="34">
                  <c:v>#VALUE!</c:v>
                </c:pt>
                <c:pt idx="35">
                  <c:v>#VALUE!</c:v>
                </c:pt>
                <c:pt idx="36">
                  <c:v>#VALUE!</c:v>
                </c:pt>
                <c:pt idx="37">
                  <c:v>#VALUE!</c:v>
                </c:pt>
                <c:pt idx="38">
                  <c:v>#VALUE!</c:v>
                </c:pt>
                <c:pt idx="39">
                  <c:v>#VALUE!</c:v>
                </c:pt>
                <c:pt idx="40">
                  <c:v>#VALUE!</c:v>
                </c:pt>
                <c:pt idx="41">
                  <c:v>#VALUE!</c:v>
                </c:pt>
                <c:pt idx="42">
                  <c:v>#VALUE!</c:v>
                </c:pt>
                <c:pt idx="43">
                  <c:v>#VALUE!</c:v>
                </c:pt>
                <c:pt idx="44">
                  <c:v>#VALUE!</c:v>
                </c:pt>
                <c:pt idx="45">
                  <c:v>#VALUE!</c:v>
                </c:pt>
                <c:pt idx="46">
                  <c:v>#VALUE!</c:v>
                </c:pt>
                <c:pt idx="47">
                  <c:v>#VALUE!</c:v>
                </c:pt>
                <c:pt idx="48">
                  <c:v>#VALUE!</c:v>
                </c:pt>
                <c:pt idx="49">
                  <c:v>#VALUE!</c:v>
                </c:pt>
                <c:pt idx="50">
                  <c:v>#VALUE!</c:v>
                </c:pt>
                <c:pt idx="51">
                  <c:v>#VALUE!</c:v>
                </c:pt>
                <c:pt idx="52">
                  <c:v>#VALUE!</c:v>
                </c:pt>
                <c:pt idx="53">
                  <c:v>#VALUE!</c:v>
                </c:pt>
                <c:pt idx="54">
                  <c:v>#VALUE!</c:v>
                </c:pt>
                <c:pt idx="55">
                  <c:v>#VALUE!</c:v>
                </c:pt>
                <c:pt idx="56">
                  <c:v>#VALUE!</c:v>
                </c:pt>
                <c:pt idx="57">
                  <c:v>#VALUE!</c:v>
                </c:pt>
                <c:pt idx="58">
                  <c:v>#VALUE!</c:v>
                </c:pt>
                <c:pt idx="59">
                  <c:v>#VALUE!</c:v>
                </c:pt>
              </c:strCache>
            </c:strRef>
          </c:cat>
          <c:val>
            <c:numRef>
              <c:f>Curves!$AC$17:$AC$76</c:f>
              <c:numCache>
                <c:formatCode>General</c:formatCode>
                <c:ptCount val="60"/>
                <c:pt idx="0">
                  <c:v>0.22</c:v>
                </c:pt>
                <c:pt idx="1">
                  <c:v>0.2275</c:v>
                </c:pt>
                <c:pt idx="2">
                  <c:v>0.255</c:v>
                </c:pt>
                <c:pt idx="3">
                  <c:v>0.21</c:v>
                </c:pt>
                <c:pt idx="4">
                  <c:v>0.2325</c:v>
                </c:pt>
                <c:pt idx="5">
                  <c:v>0.27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0.27</c:v>
                </c:pt>
                <c:pt idx="10">
                  <c:v>0.205</c:v>
                </c:pt>
                <c:pt idx="11">
                  <c:v>0.195</c:v>
                </c:pt>
                <c:pt idx="12">
                  <c:v>0.205</c:v>
                </c:pt>
                <c:pt idx="13">
                  <c:v>0.24</c:v>
                </c:pt>
                <c:pt idx="14">
                  <c:v>0.24</c:v>
                </c:pt>
                <c:pt idx="15">
                  <c:v>0.21</c:v>
                </c:pt>
                <c:pt idx="16">
                  <c:v>0.205</c:v>
                </c:pt>
                <c:pt idx="17">
                  <c:v>0.28</c:v>
                </c:pt>
                <c:pt idx="18">
                  <c:v>0.32</c:v>
                </c:pt>
                <c:pt idx="19">
                  <c:v>0.32</c:v>
                </c:pt>
                <c:pt idx="20">
                  <c:v>0.3</c:v>
                </c:pt>
                <c:pt idx="21">
                  <c:v>0.28</c:v>
                </c:pt>
                <c:pt idx="22">
                  <c:v>0.195</c:v>
                </c:pt>
                <c:pt idx="23">
                  <c:v>0.185</c:v>
                </c:pt>
                <c:pt idx="24">
                  <c:v>0.195</c:v>
                </c:pt>
                <c:pt idx="25">
                  <c:v>0.2</c:v>
                </c:pt>
                <c:pt idx="26">
                  <c:v>0.21</c:v>
                </c:pt>
                <c:pt idx="27">
                  <c:v>0.185</c:v>
                </c:pt>
                <c:pt idx="28">
                  <c:v>0.195</c:v>
                </c:pt>
                <c:pt idx="29">
                  <c:v>0.28</c:v>
                </c:pt>
                <c:pt idx="30">
                  <c:v>0.32</c:v>
                </c:pt>
                <c:pt idx="31">
                  <c:v>0.32</c:v>
                </c:pt>
                <c:pt idx="32">
                  <c:v>0.3</c:v>
                </c:pt>
                <c:pt idx="33">
                  <c:v>0.28</c:v>
                </c:pt>
                <c:pt idx="34">
                  <c:v>0.195</c:v>
                </c:pt>
                <c:pt idx="35">
                  <c:v>0.185</c:v>
                </c:pt>
                <c:pt idx="36">
                  <c:v>0.195</c:v>
                </c:pt>
                <c:pt idx="37">
                  <c:v>0.2</c:v>
                </c:pt>
                <c:pt idx="38">
                  <c:v>0.21</c:v>
                </c:pt>
                <c:pt idx="39">
                  <c:v>0.185</c:v>
                </c:pt>
                <c:pt idx="40">
                  <c:v>0.195</c:v>
                </c:pt>
                <c:pt idx="41">
                  <c:v>0.28</c:v>
                </c:pt>
                <c:pt idx="42">
                  <c:v>0.32</c:v>
                </c:pt>
                <c:pt idx="43">
                  <c:v>0.32</c:v>
                </c:pt>
                <c:pt idx="44">
                  <c:v>0.3</c:v>
                </c:pt>
                <c:pt idx="45">
                  <c:v>0.28</c:v>
                </c:pt>
                <c:pt idx="46">
                  <c:v>0.195</c:v>
                </c:pt>
                <c:pt idx="47">
                  <c:v>0.185</c:v>
                </c:pt>
                <c:pt idx="48">
                  <c:v>0.195</c:v>
                </c:pt>
                <c:pt idx="49">
                  <c:v>0.2</c:v>
                </c:pt>
                <c:pt idx="50">
                  <c:v>0.21</c:v>
                </c:pt>
                <c:pt idx="51">
                  <c:v>0.185</c:v>
                </c:pt>
                <c:pt idx="52">
                  <c:v>0.195</c:v>
                </c:pt>
                <c:pt idx="53">
                  <c:v>0.28</c:v>
                </c:pt>
                <c:pt idx="54">
                  <c:v>0.32</c:v>
                </c:pt>
                <c:pt idx="55">
                  <c:v>0.32</c:v>
                </c:pt>
                <c:pt idx="56">
                  <c:v>0.3</c:v>
                </c:pt>
                <c:pt idx="57">
                  <c:v>0.28</c:v>
                </c:pt>
                <c:pt idx="58">
                  <c:v>0.195</c:v>
                </c:pt>
                <c:pt idx="59">
                  <c:v>0.185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triangle"/>
            <c:size val="5"/>
            <c:spPr>
              <a:solidFill>
                <a:srgbClr val="ffff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Curves!$C$17:$C$76</c:f>
              <c:strCache>
                <c:ptCount val="60"/>
                <c:pt idx="0">
                  <c:v>#VALUE!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  <c:pt idx="9">
                  <c:v>#VALUE!</c:v>
                </c:pt>
                <c:pt idx="10">
                  <c:v>#VALUE!</c:v>
                </c:pt>
                <c:pt idx="11">
                  <c:v>#VALUE!</c:v>
                </c:pt>
                <c:pt idx="12">
                  <c:v>#VALUE!</c:v>
                </c:pt>
                <c:pt idx="13">
                  <c:v>#VALUE!</c:v>
                </c:pt>
                <c:pt idx="14">
                  <c:v>#VALUE!</c:v>
                </c:pt>
                <c:pt idx="15">
                  <c:v>#VALUE!</c:v>
                </c:pt>
                <c:pt idx="16">
                  <c:v>#VALUE!</c:v>
                </c:pt>
                <c:pt idx="17">
                  <c:v>#VALUE!</c:v>
                </c:pt>
                <c:pt idx="18">
                  <c:v>#VALUE!</c:v>
                </c:pt>
                <c:pt idx="19">
                  <c:v>#VALUE!</c:v>
                </c:pt>
                <c:pt idx="20">
                  <c:v>#VALUE!</c:v>
                </c:pt>
                <c:pt idx="21">
                  <c:v>#VALUE!</c:v>
                </c:pt>
                <c:pt idx="22">
                  <c:v>#VALUE!</c:v>
                </c:pt>
                <c:pt idx="23">
                  <c:v>#VALUE!</c:v>
                </c:pt>
                <c:pt idx="24">
                  <c:v>#VALUE!</c:v>
                </c:pt>
                <c:pt idx="25">
                  <c:v>#VALUE!</c:v>
                </c:pt>
                <c:pt idx="26">
                  <c:v>#VALUE!</c:v>
                </c:pt>
                <c:pt idx="27">
                  <c:v>#VALUE!</c:v>
                </c:pt>
                <c:pt idx="28">
                  <c:v>#VALUE!</c:v>
                </c:pt>
                <c:pt idx="29">
                  <c:v>#VALUE!</c:v>
                </c:pt>
                <c:pt idx="30">
                  <c:v>#VALUE!</c:v>
                </c:pt>
                <c:pt idx="31">
                  <c:v>#VALUE!</c:v>
                </c:pt>
                <c:pt idx="32">
                  <c:v>#VALUE!</c:v>
                </c:pt>
                <c:pt idx="33">
                  <c:v>#VALUE!</c:v>
                </c:pt>
                <c:pt idx="34">
                  <c:v>#VALUE!</c:v>
                </c:pt>
                <c:pt idx="35">
                  <c:v>#VALUE!</c:v>
                </c:pt>
                <c:pt idx="36">
                  <c:v>#VALUE!</c:v>
                </c:pt>
                <c:pt idx="37">
                  <c:v>#VALUE!</c:v>
                </c:pt>
                <c:pt idx="38">
                  <c:v>#VALUE!</c:v>
                </c:pt>
                <c:pt idx="39">
                  <c:v>#VALUE!</c:v>
                </c:pt>
                <c:pt idx="40">
                  <c:v>#VALUE!</c:v>
                </c:pt>
                <c:pt idx="41">
                  <c:v>#VALUE!</c:v>
                </c:pt>
                <c:pt idx="42">
                  <c:v>#VALUE!</c:v>
                </c:pt>
                <c:pt idx="43">
                  <c:v>#VALUE!</c:v>
                </c:pt>
                <c:pt idx="44">
                  <c:v>#VALUE!</c:v>
                </c:pt>
                <c:pt idx="45">
                  <c:v>#VALUE!</c:v>
                </c:pt>
                <c:pt idx="46">
                  <c:v>#VALUE!</c:v>
                </c:pt>
                <c:pt idx="47">
                  <c:v>#VALUE!</c:v>
                </c:pt>
                <c:pt idx="48">
                  <c:v>#VALUE!</c:v>
                </c:pt>
                <c:pt idx="49">
                  <c:v>#VALUE!</c:v>
                </c:pt>
                <c:pt idx="50">
                  <c:v>#VALUE!</c:v>
                </c:pt>
                <c:pt idx="51">
                  <c:v>#VALUE!</c:v>
                </c:pt>
                <c:pt idx="52">
                  <c:v>#VALUE!</c:v>
                </c:pt>
                <c:pt idx="53">
                  <c:v>#VALUE!</c:v>
                </c:pt>
                <c:pt idx="54">
                  <c:v>#VALUE!</c:v>
                </c:pt>
                <c:pt idx="55">
                  <c:v>#VALUE!</c:v>
                </c:pt>
                <c:pt idx="56">
                  <c:v>#VALUE!</c:v>
                </c:pt>
                <c:pt idx="57">
                  <c:v>#VALUE!</c:v>
                </c:pt>
                <c:pt idx="58">
                  <c:v>#VALUE!</c:v>
                </c:pt>
                <c:pt idx="59">
                  <c:v>#VALUE!</c:v>
                </c:pt>
              </c:strCache>
            </c:strRef>
          </c:cat>
          <c:val>
            <c:numRef>
              <c:f>Curves!$AE$17:$AE$76</c:f>
              <c:numCache>
                <c:formatCode>General</c:formatCode>
                <c:ptCount val="60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0.12</c:v>
                </c:pt>
                <c:pt idx="6">
                  <c:v>0.16</c:v>
                </c:pt>
                <c:pt idx="7">
                  <c:v>0.215</c:v>
                </c:pt>
                <c:pt idx="8">
                  <c:v>0.205</c:v>
                </c:pt>
                <c:pt idx="9">
                  <c:v>0.2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0.12</c:v>
                </c:pt>
                <c:pt idx="18">
                  <c:v>0.15</c:v>
                </c:pt>
                <c:pt idx="19">
                  <c:v>0.17</c:v>
                </c:pt>
                <c:pt idx="20">
                  <c:v>0.17</c:v>
                </c:pt>
                <c:pt idx="21">
                  <c:v>0.16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0.09</c:v>
                </c:pt>
                <c:pt idx="28">
                  <c:v>0.09</c:v>
                </c:pt>
                <c:pt idx="29">
                  <c:v>0.17</c:v>
                </c:pt>
                <c:pt idx="30">
                  <c:v>0.17</c:v>
                </c:pt>
                <c:pt idx="31">
                  <c:v>0.17</c:v>
                </c:pt>
                <c:pt idx="32">
                  <c:v>0.17</c:v>
                </c:pt>
                <c:pt idx="33">
                  <c:v>0.17</c:v>
                </c:pt>
                <c:pt idx="34">
                  <c:v>0.095</c:v>
                </c:pt>
                <c:pt idx="35">
                  <c:v>0.095</c:v>
                </c:pt>
                <c:pt idx="36">
                  <c:v>0.095</c:v>
                </c:pt>
                <c:pt idx="37">
                  <c:v>0.095</c:v>
                </c:pt>
                <c:pt idx="38">
                  <c:v>0.095</c:v>
                </c:pt>
                <c:pt idx="39">
                  <c:v>0.095</c:v>
                </c:pt>
                <c:pt idx="40">
                  <c:v>0.095</c:v>
                </c:pt>
                <c:pt idx="41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0.17</c:v>
                </c:pt>
                <c:pt idx="45">
                  <c:v>0.17</c:v>
                </c:pt>
                <c:pt idx="46">
                  <c:v>0.095</c:v>
                </c:pt>
                <c:pt idx="47">
                  <c:v>0.095</c:v>
                </c:pt>
                <c:pt idx="48">
                  <c:v>0.095</c:v>
                </c:pt>
                <c:pt idx="49">
                  <c:v>0.095</c:v>
                </c:pt>
                <c:pt idx="50">
                  <c:v>0.095</c:v>
                </c:pt>
                <c:pt idx="51">
                  <c:v>0.095</c:v>
                </c:pt>
                <c:pt idx="52">
                  <c:v>0.095</c:v>
                </c:pt>
                <c:pt idx="53">
                  <c:v>0.175</c:v>
                </c:pt>
                <c:pt idx="54">
                  <c:v>0.175</c:v>
                </c:pt>
                <c:pt idx="55">
                  <c:v>0.175</c:v>
                </c:pt>
                <c:pt idx="56">
                  <c:v>0.175</c:v>
                </c:pt>
                <c:pt idx="57">
                  <c:v>0.175</c:v>
                </c:pt>
                <c:pt idx="58">
                  <c:v>0.09</c:v>
                </c:pt>
                <c:pt idx="59">
                  <c:v>0.09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94740392"/>
        <c:axId val="15835057"/>
      </c:lineChart>
      <c:lineChart>
        <c:grouping val="standard"/>
        <c:varyColors val="0"/>
        <c:ser>
          <c:idx val="2"/>
          <c:order val="2"/>
          <c:tx>
            <c:strRef>
              <c:f>"Nymex"</c:f>
              <c:strCache>
                <c:ptCount val="1"/>
                <c:pt idx="0">
                  <c:v>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Curves!$C$17:$C$76</c:f>
              <c:strCache>
                <c:ptCount val="60"/>
                <c:pt idx="0">
                  <c:v>#VALUE!</c:v>
                </c:pt>
                <c:pt idx="1">
                  <c:v>#VALUE!</c:v>
                </c:pt>
                <c:pt idx="2">
                  <c:v>#VALUE!</c:v>
                </c:pt>
                <c:pt idx="3">
                  <c:v>#VALUE!</c:v>
                </c:pt>
                <c:pt idx="4">
                  <c:v>#VALUE!</c:v>
                </c:pt>
                <c:pt idx="5">
                  <c:v>#VALUE!</c:v>
                </c:pt>
                <c:pt idx="6">
                  <c:v>#VALUE!</c:v>
                </c:pt>
                <c:pt idx="7">
                  <c:v>#VALUE!</c:v>
                </c:pt>
                <c:pt idx="8">
                  <c:v>#VALUE!</c:v>
                </c:pt>
                <c:pt idx="9">
                  <c:v>#VALUE!</c:v>
                </c:pt>
                <c:pt idx="10">
                  <c:v>#VALUE!</c:v>
                </c:pt>
                <c:pt idx="11">
                  <c:v>#VALUE!</c:v>
                </c:pt>
                <c:pt idx="12">
                  <c:v>#VALUE!</c:v>
                </c:pt>
                <c:pt idx="13">
                  <c:v>#VALUE!</c:v>
                </c:pt>
                <c:pt idx="14">
                  <c:v>#VALUE!</c:v>
                </c:pt>
                <c:pt idx="15">
                  <c:v>#VALUE!</c:v>
                </c:pt>
                <c:pt idx="16">
                  <c:v>#VALUE!</c:v>
                </c:pt>
                <c:pt idx="17">
                  <c:v>#VALUE!</c:v>
                </c:pt>
                <c:pt idx="18">
                  <c:v>#VALUE!</c:v>
                </c:pt>
                <c:pt idx="19">
                  <c:v>#VALUE!</c:v>
                </c:pt>
                <c:pt idx="20">
                  <c:v>#VALUE!</c:v>
                </c:pt>
                <c:pt idx="21">
                  <c:v>#VALUE!</c:v>
                </c:pt>
                <c:pt idx="22">
                  <c:v>#VALUE!</c:v>
                </c:pt>
                <c:pt idx="23">
                  <c:v>#VALUE!</c:v>
                </c:pt>
                <c:pt idx="24">
                  <c:v>#VALUE!</c:v>
                </c:pt>
                <c:pt idx="25">
                  <c:v>#VALUE!</c:v>
                </c:pt>
                <c:pt idx="26">
                  <c:v>#VALUE!</c:v>
                </c:pt>
                <c:pt idx="27">
                  <c:v>#VALUE!</c:v>
                </c:pt>
                <c:pt idx="28">
                  <c:v>#VALUE!</c:v>
                </c:pt>
                <c:pt idx="29">
                  <c:v>#VALUE!</c:v>
                </c:pt>
                <c:pt idx="30">
                  <c:v>#VALUE!</c:v>
                </c:pt>
                <c:pt idx="31">
                  <c:v>#VALUE!</c:v>
                </c:pt>
                <c:pt idx="32">
                  <c:v>#VALUE!</c:v>
                </c:pt>
                <c:pt idx="33">
                  <c:v>#VALUE!</c:v>
                </c:pt>
                <c:pt idx="34">
                  <c:v>#VALUE!</c:v>
                </c:pt>
                <c:pt idx="35">
                  <c:v>#VALUE!</c:v>
                </c:pt>
                <c:pt idx="36">
                  <c:v>#VALUE!</c:v>
                </c:pt>
                <c:pt idx="37">
                  <c:v>#VALUE!</c:v>
                </c:pt>
                <c:pt idx="38">
                  <c:v>#VALUE!</c:v>
                </c:pt>
                <c:pt idx="39">
                  <c:v>#VALUE!</c:v>
                </c:pt>
                <c:pt idx="40">
                  <c:v>#VALUE!</c:v>
                </c:pt>
                <c:pt idx="41">
                  <c:v>#VALUE!</c:v>
                </c:pt>
                <c:pt idx="42">
                  <c:v>#VALUE!</c:v>
                </c:pt>
                <c:pt idx="43">
                  <c:v>#VALUE!</c:v>
                </c:pt>
                <c:pt idx="44">
                  <c:v>#VALUE!</c:v>
                </c:pt>
                <c:pt idx="45">
                  <c:v>#VALUE!</c:v>
                </c:pt>
                <c:pt idx="46">
                  <c:v>#VALUE!</c:v>
                </c:pt>
                <c:pt idx="47">
                  <c:v>#VALUE!</c:v>
                </c:pt>
                <c:pt idx="48">
                  <c:v>#VALUE!</c:v>
                </c:pt>
                <c:pt idx="49">
                  <c:v>#VALUE!</c:v>
                </c:pt>
                <c:pt idx="50">
                  <c:v>#VALUE!</c:v>
                </c:pt>
                <c:pt idx="51">
                  <c:v>#VALUE!</c:v>
                </c:pt>
                <c:pt idx="52">
                  <c:v>#VALUE!</c:v>
                </c:pt>
                <c:pt idx="53">
                  <c:v>#VALUE!</c:v>
                </c:pt>
                <c:pt idx="54">
                  <c:v>#VALUE!</c:v>
                </c:pt>
                <c:pt idx="55">
                  <c:v>#VALUE!</c:v>
                </c:pt>
                <c:pt idx="56">
                  <c:v>#VALUE!</c:v>
                </c:pt>
                <c:pt idx="57">
                  <c:v>#VALUE!</c:v>
                </c:pt>
                <c:pt idx="58">
                  <c:v>#VALUE!</c:v>
                </c:pt>
                <c:pt idx="59">
                  <c:v>#VALUE!</c:v>
                </c:pt>
              </c:strCache>
            </c:strRef>
          </c:cat>
          <c:val>
            <c:numRef>
              <c:f>Curves!$E$17:$E$76</c:f>
              <c:numCache>
                <c:formatCode>General</c:formatCode>
                <c:ptCount val="60"/>
                <c:pt idx="0">
                  <c:v>4.394</c:v>
                </c:pt>
                <c:pt idx="1">
                  <c:v>4.465</c:v>
                </c:pt>
                <c:pt idx="2">
                  <c:v>4.528</c:v>
                </c:pt>
                <c:pt idx="3">
                  <c:v>4.543</c:v>
                </c:pt>
                <c:pt idx="4">
                  <c:v>4.563</c:v>
                </c:pt>
                <c:pt idx="5">
                  <c:v>4.728</c:v>
                </c:pt>
                <c:pt idx="6">
                  <c:v>4.885</c:v>
                </c:pt>
                <c:pt idx="7">
                  <c:v>4.947</c:v>
                </c:pt>
                <c:pt idx="8">
                  <c:v>4.817</c:v>
                </c:pt>
                <c:pt idx="9">
                  <c:v>4.63</c:v>
                </c:pt>
                <c:pt idx="10">
                  <c:v>4.292</c:v>
                </c:pt>
                <c:pt idx="11">
                  <c:v>4.212</c:v>
                </c:pt>
                <c:pt idx="12">
                  <c:v>4.252</c:v>
                </c:pt>
                <c:pt idx="13">
                  <c:v>4.297</c:v>
                </c:pt>
                <c:pt idx="14">
                  <c:v>4.322</c:v>
                </c:pt>
                <c:pt idx="15">
                  <c:v>4.327</c:v>
                </c:pt>
                <c:pt idx="16">
                  <c:v>4.337</c:v>
                </c:pt>
                <c:pt idx="17">
                  <c:v>4.477</c:v>
                </c:pt>
                <c:pt idx="18">
                  <c:v>4.607</c:v>
                </c:pt>
                <c:pt idx="19">
                  <c:v>4.651</c:v>
                </c:pt>
                <c:pt idx="20">
                  <c:v>4.496</c:v>
                </c:pt>
                <c:pt idx="21">
                  <c:v>4.308</c:v>
                </c:pt>
                <c:pt idx="22">
                  <c:v>3.98</c:v>
                </c:pt>
                <c:pt idx="23">
                  <c:v>3.94</c:v>
                </c:pt>
                <c:pt idx="24">
                  <c:v>3.97</c:v>
                </c:pt>
                <c:pt idx="25">
                  <c:v>4.01</c:v>
                </c:pt>
                <c:pt idx="26">
                  <c:v>4.056</c:v>
                </c:pt>
                <c:pt idx="27">
                  <c:v>4.065</c:v>
                </c:pt>
                <c:pt idx="28">
                  <c:v>4.086</c:v>
                </c:pt>
                <c:pt idx="29">
                  <c:v>4.199</c:v>
                </c:pt>
                <c:pt idx="30">
                  <c:v>4.337</c:v>
                </c:pt>
                <c:pt idx="31">
                  <c:v>4.394</c:v>
                </c:pt>
                <c:pt idx="32">
                  <c:v>4.274</c:v>
                </c:pt>
                <c:pt idx="33">
                  <c:v>4.135</c:v>
                </c:pt>
                <c:pt idx="34">
                  <c:v>3.96</c:v>
                </c:pt>
                <c:pt idx="35">
                  <c:v>3.93</c:v>
                </c:pt>
                <c:pt idx="36">
                  <c:v>4</c:v>
                </c:pt>
                <c:pt idx="37">
                  <c:v>4.055</c:v>
                </c:pt>
                <c:pt idx="38">
                  <c:v>4.111</c:v>
                </c:pt>
                <c:pt idx="39">
                  <c:v>4.125</c:v>
                </c:pt>
                <c:pt idx="40">
                  <c:v>4.156</c:v>
                </c:pt>
                <c:pt idx="41">
                  <c:v>4.289</c:v>
                </c:pt>
                <c:pt idx="42">
                  <c:v>4.427</c:v>
                </c:pt>
                <c:pt idx="43">
                  <c:v>4.414</c:v>
                </c:pt>
                <c:pt idx="44">
                  <c:v>4.294</c:v>
                </c:pt>
                <c:pt idx="45">
                  <c:v>4.155</c:v>
                </c:pt>
                <c:pt idx="46">
                  <c:v>3.98</c:v>
                </c:pt>
                <c:pt idx="47">
                  <c:v>3.95</c:v>
                </c:pt>
                <c:pt idx="48">
                  <c:v>4.02</c:v>
                </c:pt>
                <c:pt idx="49">
                  <c:v>4.075</c:v>
                </c:pt>
                <c:pt idx="50">
                  <c:v>4.131</c:v>
                </c:pt>
                <c:pt idx="51">
                  <c:v>4.145</c:v>
                </c:pt>
                <c:pt idx="52">
                  <c:v>4.176</c:v>
                </c:pt>
                <c:pt idx="53">
                  <c:v>4.309</c:v>
                </c:pt>
                <c:pt idx="54">
                  <c:v>4.447</c:v>
                </c:pt>
                <c:pt idx="55">
                  <c:v>4.444</c:v>
                </c:pt>
                <c:pt idx="56">
                  <c:v>4.324</c:v>
                </c:pt>
                <c:pt idx="57">
                  <c:v>4.185</c:v>
                </c:pt>
                <c:pt idx="58">
                  <c:v>4.01</c:v>
                </c:pt>
                <c:pt idx="59">
                  <c:v>3.98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91883566"/>
        <c:axId val="44098387"/>
      </c:lineChart>
      <c:catAx>
        <c:axId val="94740392"/>
        <c:scaling>
          <c:orientation val="minMax"/>
        </c:scaling>
        <c:delete val="0"/>
        <c:axPos val="b"/>
        <c:numFmt formatCode="mm/dd/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835057"/>
        <c:crossesAt val="0"/>
        <c:auto val="1"/>
        <c:lblAlgn val="ctr"/>
        <c:lblOffset val="100"/>
        <c:noMultiLvlLbl val="0"/>
      </c:catAx>
      <c:valAx>
        <c:axId val="1583505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\$#,##0.00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4740392"/>
        <c:crossesAt val="1"/>
        <c:crossBetween val="midCat"/>
      </c:valAx>
      <c:catAx>
        <c:axId val="91883566"/>
        <c:scaling>
          <c:orientation val="minMax"/>
        </c:scaling>
        <c:delete val="1"/>
        <c:axPos val="t"/>
        <c:numFmt formatCode="mm/dd/yy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098387"/>
        <c:auto val="1"/>
        <c:lblAlgn val="ctr"/>
        <c:lblOffset val="100"/>
        <c:noMultiLvlLbl val="0"/>
      </c:catAx>
      <c:valAx>
        <c:axId val="44098387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0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Nymex ($/mmbtu)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\$#,##0.00" sourceLinked="0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1883566"/>
        <c:crosses val="max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365465530262164"/>
          <c:y val="0.89585771120992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  <c:userShapes r:id="rId1"/>
</c:chartSpace>
</file>

<file path=xl/ctrlProps/ctrlProps2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673920</xdr:colOff>
          <xdr:row>10</xdr:row>
          <xdr:rowOff>9720</xdr:rowOff>
        </xdr:from>
        <xdr:to>
          <xdr:col>1</xdr:col>
          <xdr:colOff>977400</xdr:colOff>
          <xdr:row>14</xdr:row>
          <xdr:rowOff>76320</xdr:rowOff>
        </xdr:to>
        <xdr:sp>
          <xdr:nvSpPr>
            <xdr:cNvPr id="1001" name="Button 4" descr="Fetch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Fetch Curves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9720</xdr:colOff>
          <xdr:row>22</xdr:row>
          <xdr:rowOff>133560</xdr:rowOff>
        </xdr:from>
        <xdr:to>
          <xdr:col>6</xdr:col>
          <xdr:colOff>987120</xdr:colOff>
          <xdr:row>24</xdr:row>
          <xdr:rowOff>9000</xdr:rowOff>
        </xdr:to>
        <xdr:sp>
          <xdr:nvSpPr>
            <xdr:cNvPr id="1001" name="Button 1" descr="Fetch Curves and Value Transpor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Fetch Curves and Value Transport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9720</xdr:colOff>
      <xdr:row>30</xdr:row>
      <xdr:rowOff>142920</xdr:rowOff>
    </xdr:from>
    <xdr:to>
      <xdr:col>6</xdr:col>
      <xdr:colOff>997200</xdr:colOff>
      <xdr:row>49</xdr:row>
      <xdr:rowOff>142560</xdr:rowOff>
    </xdr:to>
    <xdr:graphicFrame>
      <xdr:nvGraphicFramePr>
        <xdr:cNvPr id="0" name="Chart 2"/>
        <xdr:cNvGraphicFramePr/>
      </xdr:nvGraphicFramePr>
      <xdr:xfrm>
        <a:off x="381240" y="6058080"/>
        <a:ext cx="6673320" cy="3076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372600</xdr:colOff>
      <xdr:row>2</xdr:row>
      <xdr:rowOff>124200</xdr:rowOff>
    </xdr:from>
    <xdr:to>
      <xdr:col>6</xdr:col>
      <xdr:colOff>987120</xdr:colOff>
      <xdr:row>5</xdr:row>
      <xdr:rowOff>181440</xdr:rowOff>
    </xdr:to>
    <xdr:sp>
      <xdr:nvSpPr>
        <xdr:cNvPr id="3" name="AutoShape 3"/>
        <xdr:cNvSpPr txBox="1"/>
      </xdr:nvSpPr>
      <xdr:spPr>
        <a:xfrm>
          <a:off x="3983760" y="609840"/>
          <a:ext cx="3060720" cy="447840"/>
        </a:xfrm>
        <a:prstGeom prst="rect">
          <a:avLst/>
        </a:prstGeom>
      </xdr:spPr>
      <xdr:txBody>
        <a:bodyPr wrap="none" lIns="20160" rIns="20160" tIns="20160" bIns="20160" anchor="t">
          <a:prstTxWarp prst="textWave1">
            <a:avLst>
              <a:gd name="adj1" fmla="val 6481"/>
              <a:gd name="adj2" fmla="val 0"/>
            </a:avLst>
          </a:prstTxWarp>
          <a:noAutofit/>
        </a:bodyPr>
        <a:p>
          <a:pPr/>
          <a:r>
            <a:rPr b="0" lang="en-US" sz="1200" spc="3" strike="noStrike" u="none">
              <a:ln w="0">
                <a:noFill/>
              </a:ln>
              <a:solidFill>
                <a:srgbClr val="ff0000"/>
              </a:solidFill>
              <a:effectLst>
                <a:outerShdw dist="53966" dir="2700000" blurRad="0" rotWithShape="0">
                  <a:srgbClr val="c0c0c0"/>
                </a:outerShdw>
              </a:effectLst>
              <a:uFillTx/>
              <a:latin typeface="Times New Roman"/>
            </a:rPr>
            <a:t>Draft Indicative Quote</a:t>
          </a:r>
          <a:endParaRPr b="0" lang="en-US" sz="1200" spc="3" strike="noStrike" u="none">
            <a:ln w="0">
              <a:noFill/>
            </a:ln>
            <a:solidFill>
              <a:srgbClr val="ff0000"/>
            </a:solidFill>
            <a:effectLst>
              <a:outerShdw dist="53966" dir="2700000" blurRad="0" rotWithShape="0">
                <a:srgbClr val="c0c0c0"/>
              </a:outerShdw>
            </a:effectLst>
            <a:uFillTx/>
            <a:latin typeface="Times New Roman"/>
            <a:ea typeface="Times New Roman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433080</xdr:colOff>
          <xdr:row>11</xdr:row>
          <xdr:rowOff>0</xdr:rowOff>
        </xdr:from>
        <xdr:to>
          <xdr:col>4</xdr:col>
          <xdr:colOff>-8640</xdr:colOff>
          <xdr:row>12</xdr:row>
          <xdr:rowOff>0</xdr:rowOff>
        </xdr:to>
        <xdr:sp>
          <xdr:nvSpPr>
            <xdr:cNvPr id="0" name="Drop Down 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412920</xdr:colOff>
          <xdr:row>12</xdr:row>
          <xdr:rowOff>9720</xdr:rowOff>
        </xdr:from>
        <xdr:to>
          <xdr:col>4</xdr:col>
          <xdr:colOff>-28440</xdr:colOff>
          <xdr:row>13</xdr:row>
          <xdr:rowOff>47160</xdr:rowOff>
        </xdr:to>
        <xdr:sp>
          <xdr:nvSpPr>
            <xdr:cNvPr id="0" name="Drop Down 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1509120</xdr:colOff>
          <xdr:row>13</xdr:row>
          <xdr:rowOff>47160</xdr:rowOff>
        </xdr:from>
        <xdr:to>
          <xdr:col>3</xdr:col>
          <xdr:colOff>1430640</xdr:colOff>
          <xdr:row>14</xdr:row>
          <xdr:rowOff>-9000</xdr:rowOff>
        </xdr:to>
        <xdr:sp>
          <xdr:nvSpPr>
            <xdr:cNvPr id="0" name="Drop Down 1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1509120</xdr:colOff>
          <xdr:row>14</xdr:row>
          <xdr:rowOff>47160</xdr:rowOff>
        </xdr:from>
        <xdr:to>
          <xdr:col>3</xdr:col>
          <xdr:colOff>1430640</xdr:colOff>
          <xdr:row>15</xdr:row>
          <xdr:rowOff>-9000</xdr:rowOff>
        </xdr:to>
        <xdr:sp>
          <xdr:nvSpPr>
            <xdr:cNvPr id="0" name="Drop Down 1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1509120</xdr:colOff>
          <xdr:row>15</xdr:row>
          <xdr:rowOff>38160</xdr:rowOff>
        </xdr:from>
        <xdr:to>
          <xdr:col>3</xdr:col>
          <xdr:colOff>1440360</xdr:colOff>
          <xdr:row>16</xdr:row>
          <xdr:rowOff>-19080</xdr:rowOff>
        </xdr:to>
        <xdr:sp>
          <xdr:nvSpPr>
            <xdr:cNvPr id="0" name="Drop Down 1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1518840</xdr:colOff>
          <xdr:row>16</xdr:row>
          <xdr:rowOff>47160</xdr:rowOff>
        </xdr:from>
        <xdr:to>
          <xdr:col>3</xdr:col>
          <xdr:colOff>1430640</xdr:colOff>
          <xdr:row>17</xdr:row>
          <xdr:rowOff>-9000</xdr:rowOff>
        </xdr:to>
        <xdr:sp>
          <xdr:nvSpPr>
            <xdr:cNvPr id="0" name="Drop Down 1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1518840</xdr:colOff>
          <xdr:row>17</xdr:row>
          <xdr:rowOff>47520</xdr:rowOff>
        </xdr:from>
        <xdr:to>
          <xdr:col>3</xdr:col>
          <xdr:colOff>1430640</xdr:colOff>
          <xdr:row>18</xdr:row>
          <xdr:rowOff>-9000</xdr:rowOff>
        </xdr:to>
        <xdr:sp>
          <xdr:nvSpPr>
            <xdr:cNvPr id="0" name="Drop Down 2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1509120</xdr:colOff>
          <xdr:row>18</xdr:row>
          <xdr:rowOff>38160</xdr:rowOff>
        </xdr:from>
        <xdr:to>
          <xdr:col>3</xdr:col>
          <xdr:colOff>1430640</xdr:colOff>
          <xdr:row>19</xdr:row>
          <xdr:rowOff>-19080</xdr:rowOff>
        </xdr:to>
        <xdr:sp>
          <xdr:nvSpPr>
            <xdr:cNvPr id="0" name="Drop Down 2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142920</xdr:rowOff>
        </xdr:from>
        <xdr:to>
          <xdr:col>7</xdr:col>
          <xdr:colOff>-9000</xdr:colOff>
          <xdr:row>10</xdr:row>
          <xdr:rowOff>19080</xdr:rowOff>
        </xdr:to>
        <xdr:sp>
          <xdr:nvSpPr>
            <xdr:cNvPr id="0" name="Drop Down 2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10080</xdr:rowOff>
        </xdr:from>
        <xdr:to>
          <xdr:col>7</xdr:col>
          <xdr:colOff>-9000</xdr:colOff>
          <xdr:row>11</xdr:row>
          <xdr:rowOff>0</xdr:rowOff>
        </xdr:to>
        <xdr:sp>
          <xdr:nvSpPr>
            <xdr:cNvPr id="0" name="Drop Down 2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xdr:twoCellAnchor editAs="oneCell">
    <xdr:from>
      <xdr:col>0</xdr:col>
      <xdr:colOff>120240</xdr:colOff>
      <xdr:row>0</xdr:row>
      <xdr:rowOff>85680</xdr:rowOff>
    </xdr:from>
    <xdr:to>
      <xdr:col>6</xdr:col>
      <xdr:colOff>866160</xdr:colOff>
      <xdr:row>24</xdr:row>
      <xdr:rowOff>162000</xdr:rowOff>
    </xdr:to>
    <xdr:sp>
      <xdr:nvSpPr>
        <xdr:cNvPr id="4" name="Line 35"/>
        <xdr:cNvSpPr/>
      </xdr:nvSpPr>
      <xdr:spPr>
        <a:xfrm>
          <a:off x="120240" y="85680"/>
          <a:ext cx="6803280" cy="4924440"/>
        </a:xfrm>
        <a:prstGeom prst="line">
          <a:avLst/>
        </a:prstGeom>
        <a:ln w="381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4.xml><?xml version="1.0" encoding="utf-8"?>
<c:userShapes xmlns:cdr="http://schemas.openxmlformats.org/drawingml/2006/chartDrawing" xmlns:a="http://schemas.openxmlformats.org/drawingml/2006/main" xmlns:c="http://schemas.openxmlformats.org/drawingml/2006/chart" xmlns:r="http://schemas.openxmlformats.org/officeDocument/2006/relationships">
  <cdr:relSizeAnchor>
    <cdr:from>
      <cdr:x>0.122774840867407</cdr:x>
      <cdr:y>0.015211794991809</cdr:y>
    </cdr:from>
    <cdr:to>
      <cdr:x>0.901014133131945</cdr:x>
      <cdr:y>0.0695062017318044</cdr:y>
    </cdr:to>
    <cdr:sp>
      <cdr:nvSpPr>
        <cdr:cNvPr id="1" name="Text 1"/>
        <cdr:cNvSpPr/>
      </cdr:nvSpPr>
      <cdr:spPr>
        <a:xfrm>
          <a:off x="819360" y="46800"/>
          <a:ext cx="5193720" cy="167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cdr:spPr>
      <cdr:style>
        <a:lnRef idx="0"/>
        <a:fillRef idx="0"/>
        <a:effectRef idx="0"/>
        <a:fontRef idx="minor"/>
      </cdr:style>
      <cdr:txBody>
        <a:bodyPr lIns="20160" rIns="20160" tIns="20160" bIns="20160" anchor="ctr">
          <a:noAutofit/>
        </a:bodyPr>
        <a:p>
          <a:pPr algn="ctr"/>
          <a:r>
            <a:rPr b="1" sz="900" strike="noStrike" u="none">
              <a:effectLst/>
              <a:uFillTx/>
              <a:latin typeface="Arial"/>
            </a:rPr>
            <a:t>Nymex and Basis Differential (IF-CNG/APPALACH - IF-TGT/ZSL)</a:t>
          </a:r>
          <a:endParaRPr b="0" sz="900" strike="noStrike" u="none">
            <a:effectLst/>
            <a:uFillTx/>
            <a:latin typeface="Times New Roman"/>
          </a:endParaRPr>
        </a:p>
      </cdr:txBody>
    </cdr:sp>
  </cdr:relSizeAnchor>
  <cdr:relSizeAnchor>
    <cdr:from>
      <cdr:x>0</cdr:x>
      <cdr:y>0.0652937046571495</cdr:y>
    </cdr:from>
    <cdr:to>
      <cdr:x>0.0627360017261841</cdr:x>
      <cdr:y>0.883805289024105</cdr:y>
    </cdr:to>
    <cdr:sp>
      <cdr:nvSpPr>
        <cdr:cNvPr id="2" name="Text 2"/>
        <cdr:cNvSpPr/>
      </cdr:nvSpPr>
      <cdr:spPr>
        <a:xfrm>
          <a:off x="0" y="200880"/>
          <a:ext cx="418680" cy="25182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cdr:spPr>
      <cdr:style>
        <a:lnRef idx="0"/>
        <a:fillRef idx="0"/>
        <a:effectRef idx="0"/>
        <a:fontRef idx="minor"/>
      </cdr:style>
      <cdr:txBody>
        <a:bodyPr lIns="20160" rIns="20160" tIns="20160" bIns="20160" anchor="ctr" anchorCtr="1" vert="eaVert" rot="-10800000">
          <a:noAutofit/>
        </a:bodyPr>
        <a:p>
          <a:pPr algn="ctr"/>
          <a:r>
            <a:rPr b="0" sz="800" strike="noStrike" u="none">
              <a:effectLst/>
              <a:uFillTx/>
              <a:latin typeface="Arial"/>
            </a:rPr>
            <a:t>Basis Differential (IF-CNG/APPALACH - IF-TGT/ZSL) ($/mmbtu)</a:t>
          </a:r>
          <a:endParaRPr b="0" sz="800" strike="noStrike" u="none">
            <a:effectLst/>
            <a:uFillTx/>
            <a:latin typeface="Times New Roman"/>
          </a:endParaRPr>
        </a:p>
      </cdr:txBody>
    </cdr:sp>
  </cdr:relSizeAnchor>
</c:userShape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H:/EXCEL/Fall%201999%20Projects/Transport%20Book/Positions.xls" TargetMode="External"/>
</Relationships>
</file>

<file path=xl/externalLinks/_rels/externalLink10.xml.rels><?xml version="1.0" encoding="UTF-8"?>
<Relationships xmlns="http://schemas.openxmlformats.org/package/2006/relationships"><Relationship Id="rId1" Type="http://schemas.openxmlformats.org/officeDocument/2006/relationships/externalLinkPath" Target="../xls/Curve%20Table.xls" TargetMode="External"/>
</Relationships>
</file>

<file path=xl/externalLinks/_rels/externalLink1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H:/Gas%20Structuring/Models(NewSKK)/CurvesList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Physical%20Deal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H:/NAES/NATTS/ADM/Industrials/Avondale/Curveload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TEMP/Fgt-St8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H:/Gas%20Structuring/EcoGas/EcoGasPricingSheet082800.xls" TargetMode="External"/>
</Relationships>
</file>

<file path=xl/externalLinks/_rels/externalLink6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H:/Excel%20Files/Enron%20Caribbean/QUOTE_David_Fairley.xls" TargetMode="External"/>
</Relationships>
</file>

<file path=xl/externalLinks/_rels/externalLink7.xml.rels><?xml version="1.0" encoding="UTF-8"?>
<Relationships xmlns="http://schemas.openxmlformats.org/package/2006/relationships"><Relationship Id="rId1" Type="http://schemas.openxmlformats.org/officeDocument/2006/relationships/externalLinkPath" Target="../xls/Pipeline%20Charge%20Escalators.xls" TargetMode="External"/>
</Relationships>
</file>

<file path=xl/externalLinks/_rels/externalLink8.xml.rels><?xml version="1.0" encoding="UTF-8"?>
<Relationships xmlns="http://schemas.openxmlformats.org/package/2006/relationships"><Relationship Id="rId1" Type="http://schemas.openxmlformats.org/officeDocument/2006/relationships/externalLinkPath" Target="../xls/Sithe%20Capacity%20Valuation%20Backup.xls" TargetMode="External"/>
</Relationships>
</file>

<file path=xl/externalLinks/_rels/externalLink9.xml.rels><?xml version="1.0" encoding="UTF-8"?>
<Relationships xmlns="http://schemas.openxmlformats.org/package/2006/relationships"><Relationship Id="rId1" Type="http://schemas.openxmlformats.org/officeDocument/2006/relationships/externalLinkPath" Target="../xls/Sithe%20Transport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Summary"/>
      <sheetName val="Mainline to Leach"/>
      <sheetName val="Onshore to Mainline"/>
      <sheetName val="Niagara to Leidy"/>
      <sheetName val="Brazos 133B to TSta. 30"/>
      <sheetName val="Mobile Bay to Colonial"/>
      <sheetName val="Ventura to Chicago"/>
      <sheetName val="Monchy to Chicago"/>
      <sheetName val="NGPLTXOK to Gulf"/>
      <sheetName val="SJ to Valero"/>
      <sheetName val="Ignacio to Bloomfield"/>
      <sheetName val="LaPlata to Pecos"/>
      <sheetName val="Topock to PGECG"/>
      <sheetName val="Topock to PGECG 2"/>
      <sheetName val="Kingsgate to Malin"/>
      <sheetName val="ELSJ to Socal"/>
      <sheetName val="ELSJ to Topock"/>
      <sheetName val="Curves"/>
      <sheetName val="Intracorrel"/>
      <sheetName val="Intercorrel"/>
      <sheetName val="Correlations"/>
      <sheetName val="Data"/>
      <sheetName val="DateTable"/>
      <sheetName val="POSI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8">
          <cell r="AA8">
            <v>0.122</v>
          </cell>
        </row>
        <row r="9">
          <cell r="AA9">
            <v>0.122</v>
          </cell>
        </row>
        <row r="10">
          <cell r="AA10">
            <v>0.122</v>
          </cell>
        </row>
        <row r="11">
          <cell r="AA11">
            <v>0.122</v>
          </cell>
        </row>
        <row r="12">
          <cell r="AA12">
            <v>0.122</v>
          </cell>
        </row>
        <row r="13">
          <cell r="AA13">
            <v>0.171071428571429</v>
          </cell>
        </row>
        <row r="14">
          <cell r="AA14">
            <v>0.176071428571429</v>
          </cell>
        </row>
        <row r="15">
          <cell r="AA15">
            <v>0.176071428571429</v>
          </cell>
        </row>
        <row r="16">
          <cell r="AA16">
            <v>0.176071428571429</v>
          </cell>
        </row>
        <row r="17">
          <cell r="AA17">
            <v>0.176071428571429</v>
          </cell>
        </row>
        <row r="18">
          <cell r="AA18">
            <v>0.132</v>
          </cell>
        </row>
        <row r="19">
          <cell r="AA19">
            <v>0.132</v>
          </cell>
        </row>
        <row r="20">
          <cell r="AA20">
            <v>0.132</v>
          </cell>
        </row>
        <row r="21">
          <cell r="AA21">
            <v>0.132</v>
          </cell>
        </row>
        <row r="22">
          <cell r="AA22">
            <v>0.132</v>
          </cell>
        </row>
        <row r="23">
          <cell r="AA23">
            <v>0.132</v>
          </cell>
        </row>
        <row r="24">
          <cell r="AA24">
            <v>0.132</v>
          </cell>
        </row>
        <row r="25">
          <cell r="AA25">
            <v>0.183571428571429</v>
          </cell>
        </row>
        <row r="26">
          <cell r="AA26">
            <v>0.188571428571429</v>
          </cell>
        </row>
        <row r="27">
          <cell r="AA27">
            <v>0.188571428571429</v>
          </cell>
        </row>
        <row r="28">
          <cell r="AA28">
            <v>0.188571428571429</v>
          </cell>
        </row>
        <row r="29">
          <cell r="AA29">
            <v>0.188571428571429</v>
          </cell>
        </row>
        <row r="30">
          <cell r="AA30">
            <v>0.1495</v>
          </cell>
        </row>
        <row r="31">
          <cell r="AA31">
            <v>0.1495</v>
          </cell>
        </row>
        <row r="32">
          <cell r="AA32">
            <v>0.1495</v>
          </cell>
        </row>
        <row r="33">
          <cell r="AA33">
            <v>0.1495</v>
          </cell>
        </row>
        <row r="34">
          <cell r="AA34">
            <v>0.1495</v>
          </cell>
        </row>
        <row r="35">
          <cell r="AA35">
            <v>0.1495</v>
          </cell>
        </row>
        <row r="36">
          <cell r="AA36">
            <v>0.1495</v>
          </cell>
        </row>
        <row r="37">
          <cell r="AA37">
            <v>0.193571428571429</v>
          </cell>
        </row>
        <row r="38">
          <cell r="AA38">
            <v>0.198571428571429</v>
          </cell>
        </row>
        <row r="39">
          <cell r="AA39">
            <v>0.198571428571429</v>
          </cell>
        </row>
        <row r="40">
          <cell r="AA40">
            <v>0.198571428571429</v>
          </cell>
        </row>
        <row r="41">
          <cell r="AA41">
            <v>0.198571428571429</v>
          </cell>
        </row>
        <row r="42">
          <cell r="AA42">
            <v>0.1495</v>
          </cell>
        </row>
        <row r="43">
          <cell r="AA43">
            <v>0.1495</v>
          </cell>
        </row>
        <row r="44">
          <cell r="AA44">
            <v>0.1495</v>
          </cell>
        </row>
        <row r="45">
          <cell r="AA45">
            <v>0.1495</v>
          </cell>
        </row>
        <row r="46">
          <cell r="AA46">
            <v>0.1495</v>
          </cell>
        </row>
        <row r="47">
          <cell r="AA47">
            <v>0.1495</v>
          </cell>
        </row>
        <row r="48">
          <cell r="AA48">
            <v>0.1495</v>
          </cell>
        </row>
        <row r="49">
          <cell r="AA49">
            <v>0.201071428571429</v>
          </cell>
        </row>
        <row r="50">
          <cell r="AA50">
            <v>0.206071428571429</v>
          </cell>
        </row>
        <row r="51">
          <cell r="AA51">
            <v>0.206071428571429</v>
          </cell>
        </row>
        <row r="52">
          <cell r="AA52">
            <v>0.206071428571429</v>
          </cell>
        </row>
        <row r="53">
          <cell r="AA53">
            <v>0.206071428571429</v>
          </cell>
        </row>
        <row r="54">
          <cell r="AA54">
            <v>0.152</v>
          </cell>
        </row>
        <row r="55">
          <cell r="AA55">
            <v>0.152</v>
          </cell>
        </row>
        <row r="56">
          <cell r="AA56">
            <v>0.152</v>
          </cell>
        </row>
        <row r="57">
          <cell r="AA57">
            <v>0.152</v>
          </cell>
        </row>
        <row r="58">
          <cell r="AA58">
            <v>0.152</v>
          </cell>
        </row>
        <row r="59">
          <cell r="AA59">
            <v>0.152</v>
          </cell>
        </row>
        <row r="60">
          <cell r="AA60">
            <v>0.152</v>
          </cell>
        </row>
        <row r="61">
          <cell r="AA61">
            <v>0.193571428571429</v>
          </cell>
        </row>
        <row r="62">
          <cell r="AA62">
            <v>0.198571428571429</v>
          </cell>
        </row>
        <row r="63">
          <cell r="AA63">
            <v>0.198571428571429</v>
          </cell>
        </row>
        <row r="64">
          <cell r="AA64">
            <v>0.198571428571429</v>
          </cell>
        </row>
        <row r="65">
          <cell r="AA65">
            <v>0.198571428571429</v>
          </cell>
        </row>
        <row r="66">
          <cell r="AA66">
            <v>0.1495</v>
          </cell>
        </row>
        <row r="67">
          <cell r="AA67">
            <v>0.1495</v>
          </cell>
        </row>
        <row r="68">
          <cell r="AA68">
            <v>0.1495</v>
          </cell>
        </row>
        <row r="69">
          <cell r="AA69">
            <v>0.1495</v>
          </cell>
        </row>
        <row r="70">
          <cell r="AA70">
            <v>0.1495</v>
          </cell>
        </row>
        <row r="71">
          <cell r="AA71">
            <v>0.1495</v>
          </cell>
        </row>
        <row r="72">
          <cell r="AA72">
            <v>0.1495</v>
          </cell>
        </row>
        <row r="73">
          <cell r="AA73">
            <v>0.196071428571429</v>
          </cell>
        </row>
        <row r="74">
          <cell r="AA74">
            <v>0.201071428571429</v>
          </cell>
        </row>
        <row r="75">
          <cell r="AA75">
            <v>0.201071428571429</v>
          </cell>
        </row>
        <row r="76">
          <cell r="AA76">
            <v>0.201071428571429</v>
          </cell>
        </row>
        <row r="77">
          <cell r="AA77">
            <v>0.201071428571429</v>
          </cell>
        </row>
        <row r="78">
          <cell r="AA78">
            <v>0.152</v>
          </cell>
        </row>
        <row r="79">
          <cell r="AA79">
            <v>0.152</v>
          </cell>
        </row>
        <row r="80">
          <cell r="AA80">
            <v>0.152</v>
          </cell>
        </row>
        <row r="81">
          <cell r="AA81">
            <v>0.152</v>
          </cell>
        </row>
        <row r="82">
          <cell r="AA82">
            <v>0.152</v>
          </cell>
        </row>
        <row r="83">
          <cell r="AA83">
            <v>0.152</v>
          </cell>
        </row>
        <row r="84">
          <cell r="AA84">
            <v>0.152</v>
          </cell>
        </row>
        <row r="85">
          <cell r="AA85">
            <v>0.198571428571429</v>
          </cell>
        </row>
        <row r="86">
          <cell r="AA86">
            <v>0.203571428571429</v>
          </cell>
        </row>
        <row r="87">
          <cell r="AA87">
            <v>0.203571428571429</v>
          </cell>
        </row>
        <row r="88">
          <cell r="AA88">
            <v>0.203571428571429</v>
          </cell>
        </row>
        <row r="89">
          <cell r="AA89">
            <v>0.203571428571429</v>
          </cell>
        </row>
        <row r="90">
          <cell r="AA90">
            <v>0.1545</v>
          </cell>
        </row>
        <row r="91">
          <cell r="AA91">
            <v>0.1545</v>
          </cell>
        </row>
        <row r="92">
          <cell r="AA92">
            <v>0.1545</v>
          </cell>
        </row>
        <row r="93">
          <cell r="AA93">
            <v>0.1545</v>
          </cell>
        </row>
        <row r="94">
          <cell r="AA94">
            <v>0.1545</v>
          </cell>
        </row>
        <row r="95">
          <cell r="AA95">
            <v>0.1545</v>
          </cell>
        </row>
        <row r="96">
          <cell r="AA96">
            <v>0.1545</v>
          </cell>
        </row>
        <row r="97">
          <cell r="AA97">
            <v>0.201071428571429</v>
          </cell>
        </row>
        <row r="98">
          <cell r="AA98">
            <v>0.206071428571429</v>
          </cell>
        </row>
        <row r="99">
          <cell r="AA99">
            <v>0.206071428571429</v>
          </cell>
        </row>
        <row r="100">
          <cell r="AA100">
            <v>0.206071428571429</v>
          </cell>
        </row>
        <row r="101">
          <cell r="AA101">
            <v>0.206071428571429</v>
          </cell>
        </row>
        <row r="102">
          <cell r="AA102">
            <v>0.157</v>
          </cell>
        </row>
        <row r="103">
          <cell r="AA103">
            <v>0.157</v>
          </cell>
        </row>
        <row r="104">
          <cell r="AA104">
            <v>0.157</v>
          </cell>
        </row>
        <row r="105">
          <cell r="AA105">
            <v>0.157</v>
          </cell>
        </row>
        <row r="106">
          <cell r="AA106">
            <v>0.157</v>
          </cell>
        </row>
        <row r="107">
          <cell r="AA107">
            <v>0.157</v>
          </cell>
        </row>
        <row r="108">
          <cell r="AA108">
            <v>0.157</v>
          </cell>
        </row>
        <row r="109">
          <cell r="AA109">
            <v>0.204071428571429</v>
          </cell>
        </row>
        <row r="110">
          <cell r="AA110">
            <v>0.209071428571429</v>
          </cell>
        </row>
        <row r="111">
          <cell r="AA111">
            <v>0.209071428571429</v>
          </cell>
        </row>
        <row r="112">
          <cell r="AA112">
            <v>0.209071428571429</v>
          </cell>
        </row>
        <row r="113">
          <cell r="AA113">
            <v>0.209071428571429</v>
          </cell>
        </row>
        <row r="114">
          <cell r="AA114">
            <v>0.16</v>
          </cell>
        </row>
        <row r="115">
          <cell r="AA115">
            <v>0.16</v>
          </cell>
        </row>
        <row r="116">
          <cell r="AA116">
            <v>0.16</v>
          </cell>
        </row>
        <row r="117">
          <cell r="AA117">
            <v>0.16</v>
          </cell>
        </row>
        <row r="118">
          <cell r="AA118">
            <v>0.16</v>
          </cell>
        </row>
        <row r="119">
          <cell r="AA119">
            <v>0.16</v>
          </cell>
        </row>
        <row r="120">
          <cell r="AA120">
            <v>0.16</v>
          </cell>
        </row>
        <row r="121">
          <cell r="AA121">
            <v>0.207071428571429</v>
          </cell>
        </row>
        <row r="122">
          <cell r="AA122">
            <v>0.212071428571429</v>
          </cell>
        </row>
        <row r="123">
          <cell r="AA123">
            <v>0.212071428571429</v>
          </cell>
        </row>
        <row r="124">
          <cell r="AA124">
            <v>0.212071428571429</v>
          </cell>
        </row>
        <row r="125">
          <cell r="AA125">
            <v>0.212071428571429</v>
          </cell>
        </row>
        <row r="126">
          <cell r="AA126">
            <v>0.163</v>
          </cell>
        </row>
        <row r="127">
          <cell r="AA127">
            <v>0.163</v>
          </cell>
        </row>
        <row r="128">
          <cell r="AA128">
            <v>0.163</v>
          </cell>
        </row>
        <row r="129">
          <cell r="AA129">
            <v>0.163</v>
          </cell>
        </row>
        <row r="130">
          <cell r="AA130">
            <v>0.163</v>
          </cell>
        </row>
        <row r="131">
          <cell r="AA131">
            <v>0.163</v>
          </cell>
        </row>
        <row r="132">
          <cell r="AA132">
            <v>0.163</v>
          </cell>
        </row>
        <row r="133">
          <cell r="AA133">
            <v>0.210071428571429</v>
          </cell>
        </row>
        <row r="134">
          <cell r="AA134">
            <v>0.215071428571429</v>
          </cell>
        </row>
        <row r="135">
          <cell r="AA135">
            <v>0.215071428571429</v>
          </cell>
        </row>
        <row r="136">
          <cell r="AA136">
            <v>0.215071428571429</v>
          </cell>
        </row>
        <row r="137">
          <cell r="AA137">
            <v>0.215071428571429</v>
          </cell>
        </row>
        <row r="138">
          <cell r="AA138">
            <v>0.166</v>
          </cell>
        </row>
        <row r="139">
          <cell r="AA139">
            <v>0.166</v>
          </cell>
        </row>
        <row r="140">
          <cell r="AA140">
            <v>0.166</v>
          </cell>
        </row>
        <row r="141">
          <cell r="AA141">
            <v>0.166</v>
          </cell>
        </row>
        <row r="142">
          <cell r="AA142">
            <v>0.166</v>
          </cell>
        </row>
        <row r="143">
          <cell r="AA143">
            <v>0.166</v>
          </cell>
        </row>
        <row r="144">
          <cell r="AA144">
            <v>0.166</v>
          </cell>
        </row>
        <row r="145">
          <cell r="AA145">
            <v>0.213071428571429</v>
          </cell>
        </row>
        <row r="146">
          <cell r="AA146">
            <v>0.218071428571429</v>
          </cell>
        </row>
        <row r="147">
          <cell r="AA147">
            <v>0.218071428571429</v>
          </cell>
        </row>
        <row r="148">
          <cell r="AA148">
            <v>0.218071428571429</v>
          </cell>
        </row>
        <row r="149">
          <cell r="AA149">
            <v>0.218071428571429</v>
          </cell>
        </row>
        <row r="150">
          <cell r="AA150">
            <v>0.169</v>
          </cell>
        </row>
        <row r="151">
          <cell r="AA151">
            <v>0.169</v>
          </cell>
        </row>
        <row r="152">
          <cell r="AA152">
            <v>0.169</v>
          </cell>
        </row>
        <row r="153">
          <cell r="AA153">
            <v>0.169</v>
          </cell>
        </row>
        <row r="154">
          <cell r="AA154">
            <v>0.169</v>
          </cell>
        </row>
        <row r="155">
          <cell r="AA155">
            <v>0.169</v>
          </cell>
        </row>
        <row r="156">
          <cell r="AA156">
            <v>0.169</v>
          </cell>
        </row>
        <row r="157">
          <cell r="AA157">
            <v>0.216071428571429</v>
          </cell>
        </row>
        <row r="158">
          <cell r="AA158">
            <v>0.221071428571429</v>
          </cell>
        </row>
        <row r="159">
          <cell r="AA159">
            <v>0.221071428571429</v>
          </cell>
        </row>
        <row r="160">
          <cell r="AA160">
            <v>0.221071428571429</v>
          </cell>
        </row>
        <row r="161">
          <cell r="AA161">
            <v>0.221071428571429</v>
          </cell>
        </row>
        <row r="162">
          <cell r="AA162">
            <v>0.172</v>
          </cell>
        </row>
        <row r="163">
          <cell r="AA163">
            <v>0.172</v>
          </cell>
        </row>
        <row r="164">
          <cell r="AA164">
            <v>0.172</v>
          </cell>
        </row>
        <row r="165">
          <cell r="AA165">
            <v>0.172</v>
          </cell>
        </row>
        <row r="166">
          <cell r="AA166">
            <v>0.172</v>
          </cell>
        </row>
        <row r="167">
          <cell r="AA167">
            <v>0.172</v>
          </cell>
        </row>
        <row r="168">
          <cell r="AA168">
            <v>0.172</v>
          </cell>
        </row>
        <row r="169">
          <cell r="AA169">
            <v>0.219071428571429</v>
          </cell>
        </row>
        <row r="170">
          <cell r="AA170">
            <v>0.224071428571429</v>
          </cell>
        </row>
        <row r="171">
          <cell r="AA171">
            <v>0.226071428571429</v>
          </cell>
        </row>
        <row r="172">
          <cell r="AA172">
            <v>0.226071428571429</v>
          </cell>
        </row>
        <row r="173">
          <cell r="AA173">
            <v>0.226071428571429</v>
          </cell>
        </row>
        <row r="174">
          <cell r="AA174">
            <v>0.177</v>
          </cell>
        </row>
        <row r="175">
          <cell r="AA175">
            <v>0.177</v>
          </cell>
        </row>
        <row r="176">
          <cell r="AA176">
            <v>0.177</v>
          </cell>
        </row>
        <row r="177">
          <cell r="AA177">
            <v>0.177</v>
          </cell>
        </row>
        <row r="178">
          <cell r="AA178">
            <v>0.177</v>
          </cell>
        </row>
        <row r="179">
          <cell r="AA179">
            <v>0.207</v>
          </cell>
        </row>
        <row r="180">
          <cell r="AA180">
            <v>0.207</v>
          </cell>
        </row>
        <row r="181">
          <cell r="AA181">
            <v>0.253571428571429</v>
          </cell>
        </row>
        <row r="182">
          <cell r="AA182">
            <v>0.253571428571429</v>
          </cell>
        </row>
        <row r="183">
          <cell r="AA183">
            <v>0.253571428571429</v>
          </cell>
        </row>
        <row r="184">
          <cell r="AA184">
            <v>0.253571428571429</v>
          </cell>
        </row>
        <row r="185">
          <cell r="AA185">
            <v>0.253571428571429</v>
          </cell>
        </row>
        <row r="186">
          <cell r="AA186">
            <v>0.207</v>
          </cell>
        </row>
        <row r="187">
          <cell r="AA187">
            <v>0.207</v>
          </cell>
        </row>
        <row r="193">
          <cell r="AA193">
            <v>0.207</v>
          </cell>
        </row>
        <row r="194">
          <cell r="Y194">
            <v>1.055056</v>
          </cell>
        </row>
        <row r="194">
          <cell r="AA194">
            <v>0.253571428571429</v>
          </cell>
        </row>
        <row r="195">
          <cell r="AA195">
            <v>25</v>
          </cell>
        </row>
        <row r="196">
          <cell r="AA196">
            <v>25</v>
          </cell>
        </row>
        <row r="198">
          <cell r="AA198" t="str">
            <v>Fake Chippawa</v>
          </cell>
        </row>
        <row r="199">
          <cell r="AA199">
            <v>0.122</v>
          </cell>
        </row>
        <row r="200">
          <cell r="AA200">
            <v>0.122</v>
          </cell>
        </row>
        <row r="201">
          <cell r="AA201">
            <v>0.122</v>
          </cell>
        </row>
        <row r="202">
          <cell r="AA202">
            <v>0.122</v>
          </cell>
        </row>
        <row r="203">
          <cell r="AA203">
            <v>0.122</v>
          </cell>
        </row>
        <row r="204">
          <cell r="AA204">
            <v>0.171071428571429</v>
          </cell>
        </row>
        <row r="205">
          <cell r="AA205">
            <v>0.176071428571429</v>
          </cell>
        </row>
        <row r="206">
          <cell r="AA206">
            <v>0.176071428571429</v>
          </cell>
        </row>
        <row r="207">
          <cell r="AA207">
            <v>0.176071428571429</v>
          </cell>
        </row>
        <row r="208">
          <cell r="AA208">
            <v>0.176071428571429</v>
          </cell>
        </row>
        <row r="209">
          <cell r="AA209">
            <v>0.132</v>
          </cell>
        </row>
        <row r="210">
          <cell r="AA210">
            <v>0.132</v>
          </cell>
        </row>
        <row r="211">
          <cell r="AA211">
            <v>0.132</v>
          </cell>
        </row>
        <row r="212">
          <cell r="AA212">
            <v>0.132</v>
          </cell>
        </row>
        <row r="213">
          <cell r="AA213">
            <v>0.132</v>
          </cell>
        </row>
        <row r="214">
          <cell r="AA214">
            <v>0.132</v>
          </cell>
        </row>
        <row r="215">
          <cell r="AA215">
            <v>0.132</v>
          </cell>
        </row>
        <row r="216">
          <cell r="AA216">
            <v>0.183571428571429</v>
          </cell>
        </row>
        <row r="217">
          <cell r="AA217">
            <v>0.188571428571429</v>
          </cell>
        </row>
        <row r="218">
          <cell r="AA218">
            <v>0.188571428571429</v>
          </cell>
        </row>
        <row r="219">
          <cell r="AA219">
            <v>0.188571428571429</v>
          </cell>
        </row>
        <row r="220">
          <cell r="AA220">
            <v>0.188571428571429</v>
          </cell>
        </row>
        <row r="221">
          <cell r="AA221">
            <v>0.1495</v>
          </cell>
        </row>
        <row r="222">
          <cell r="AA222">
            <v>0.1495</v>
          </cell>
        </row>
        <row r="223">
          <cell r="AA223">
            <v>0.1495</v>
          </cell>
        </row>
        <row r="224">
          <cell r="AA224">
            <v>0.1495</v>
          </cell>
        </row>
        <row r="225">
          <cell r="AA225">
            <v>0.1495</v>
          </cell>
        </row>
        <row r="226">
          <cell r="AA226">
            <v>0.1495</v>
          </cell>
        </row>
        <row r="227">
          <cell r="AA227">
            <v>0.1495</v>
          </cell>
        </row>
        <row r="228">
          <cell r="AA228">
            <v>0.193571428571429</v>
          </cell>
        </row>
        <row r="229">
          <cell r="AA229">
            <v>0.198571428571429</v>
          </cell>
        </row>
        <row r="230">
          <cell r="AA230">
            <v>0.198571428571429</v>
          </cell>
        </row>
        <row r="231">
          <cell r="AA231">
            <v>0.198571428571429</v>
          </cell>
        </row>
        <row r="232">
          <cell r="AA232">
            <v>0.198571428571429</v>
          </cell>
        </row>
        <row r="233">
          <cell r="AA233">
            <v>0.1495</v>
          </cell>
        </row>
        <row r="234">
          <cell r="AA234">
            <v>0.1495</v>
          </cell>
        </row>
        <row r="235">
          <cell r="AA235">
            <v>0.1495</v>
          </cell>
        </row>
        <row r="236">
          <cell r="AA236">
            <v>0.1495</v>
          </cell>
        </row>
        <row r="237">
          <cell r="AA237">
            <v>0.1495</v>
          </cell>
        </row>
        <row r="238">
          <cell r="AA238">
            <v>0.1495</v>
          </cell>
        </row>
        <row r="239">
          <cell r="AA239">
            <v>0.1495</v>
          </cell>
        </row>
        <row r="240">
          <cell r="AA240">
            <v>0.201071428571429</v>
          </cell>
        </row>
        <row r="241">
          <cell r="AA241">
            <v>0.206071428571429</v>
          </cell>
        </row>
        <row r="242">
          <cell r="AA242">
            <v>0.206071428571429</v>
          </cell>
        </row>
        <row r="243">
          <cell r="AA243">
            <v>0.206071428571429</v>
          </cell>
        </row>
        <row r="244">
          <cell r="AA244">
            <v>0.206071428571429</v>
          </cell>
        </row>
        <row r="245">
          <cell r="AA245">
            <v>0.152</v>
          </cell>
        </row>
        <row r="246">
          <cell r="AA246">
            <v>0.152</v>
          </cell>
        </row>
        <row r="247">
          <cell r="AA247">
            <v>0.152</v>
          </cell>
        </row>
        <row r="248">
          <cell r="AA248">
            <v>0.152</v>
          </cell>
        </row>
        <row r="249">
          <cell r="AA249">
            <v>0.152</v>
          </cell>
        </row>
        <row r="250">
          <cell r="AA250">
            <v>0.152</v>
          </cell>
        </row>
        <row r="251">
          <cell r="AA251">
            <v>0.152</v>
          </cell>
        </row>
        <row r="252">
          <cell r="AA252">
            <v>0.193571428571429</v>
          </cell>
        </row>
        <row r="253">
          <cell r="AA253">
            <v>0.198571428571429</v>
          </cell>
        </row>
        <row r="254">
          <cell r="AA254">
            <v>0.198571428571429</v>
          </cell>
        </row>
        <row r="255">
          <cell r="AA255">
            <v>0.198571428571429</v>
          </cell>
        </row>
        <row r="256">
          <cell r="AA256">
            <v>0.198571428571429</v>
          </cell>
        </row>
        <row r="257">
          <cell r="AA257">
            <v>0.1495</v>
          </cell>
        </row>
        <row r="258">
          <cell r="AA258">
            <v>0.1495</v>
          </cell>
        </row>
        <row r="259">
          <cell r="AA259">
            <v>0.1495</v>
          </cell>
        </row>
        <row r="260">
          <cell r="AA260">
            <v>0.1495</v>
          </cell>
        </row>
        <row r="261">
          <cell r="AA261">
            <v>0.1495</v>
          </cell>
        </row>
        <row r="262">
          <cell r="AA262">
            <v>0.1495</v>
          </cell>
        </row>
        <row r="263">
          <cell r="AA263">
            <v>0.1495</v>
          </cell>
        </row>
        <row r="264">
          <cell r="AA264">
            <v>0.196071428571429</v>
          </cell>
        </row>
        <row r="265">
          <cell r="AA265">
            <v>0.201071428571429</v>
          </cell>
        </row>
        <row r="266">
          <cell r="AA266">
            <v>0.201071428571429</v>
          </cell>
        </row>
        <row r="267">
          <cell r="AA267">
            <v>0.201071428571429</v>
          </cell>
        </row>
        <row r="268">
          <cell r="AA268">
            <v>0.201071428571429</v>
          </cell>
        </row>
        <row r="269">
          <cell r="AA269">
            <v>0.152</v>
          </cell>
        </row>
        <row r="270">
          <cell r="AA270">
            <v>0.152</v>
          </cell>
        </row>
        <row r="271">
          <cell r="AA271">
            <v>0.152</v>
          </cell>
        </row>
        <row r="272">
          <cell r="AA272">
            <v>0.152</v>
          </cell>
        </row>
        <row r="273">
          <cell r="AA273">
            <v>0.152</v>
          </cell>
        </row>
        <row r="274">
          <cell r="AA274">
            <v>0.152</v>
          </cell>
        </row>
        <row r="275">
          <cell r="AA275">
            <v>0.152</v>
          </cell>
        </row>
        <row r="276">
          <cell r="AA276">
            <v>0.198571428571429</v>
          </cell>
        </row>
        <row r="277">
          <cell r="AA277">
            <v>0.203571428571429</v>
          </cell>
        </row>
        <row r="278">
          <cell r="AA278">
            <v>0.203571428571429</v>
          </cell>
        </row>
        <row r="279">
          <cell r="AA279">
            <v>0.203571428571429</v>
          </cell>
        </row>
        <row r="280">
          <cell r="AA280">
            <v>0.203571428571429</v>
          </cell>
        </row>
        <row r="281">
          <cell r="AA281">
            <v>0.1545</v>
          </cell>
        </row>
        <row r="282">
          <cell r="AA282">
            <v>0.1545</v>
          </cell>
        </row>
        <row r="283">
          <cell r="AA283">
            <v>0.1545</v>
          </cell>
        </row>
        <row r="284">
          <cell r="AA284">
            <v>0.1545</v>
          </cell>
        </row>
        <row r="285">
          <cell r="AA285">
            <v>0.1545</v>
          </cell>
        </row>
        <row r="286">
          <cell r="AA286">
            <v>0.1545</v>
          </cell>
        </row>
        <row r="287">
          <cell r="AA287">
            <v>0.1545</v>
          </cell>
        </row>
        <row r="288">
          <cell r="AA288">
            <v>0.201071428571429</v>
          </cell>
        </row>
        <row r="289">
          <cell r="AA289">
            <v>0.206071428571429</v>
          </cell>
        </row>
        <row r="290">
          <cell r="AA290">
            <v>0.206071428571429</v>
          </cell>
        </row>
        <row r="291">
          <cell r="AA291">
            <v>0.206071428571429</v>
          </cell>
        </row>
        <row r="292">
          <cell r="AA292">
            <v>0.206071428571429</v>
          </cell>
        </row>
        <row r="293">
          <cell r="AA293">
            <v>0.157</v>
          </cell>
        </row>
        <row r="294">
          <cell r="AA294">
            <v>0.157</v>
          </cell>
        </row>
        <row r="295">
          <cell r="AA295">
            <v>0.157</v>
          </cell>
        </row>
        <row r="296">
          <cell r="AA296">
            <v>0.157</v>
          </cell>
        </row>
        <row r="297">
          <cell r="AA297">
            <v>0.157</v>
          </cell>
        </row>
        <row r="298">
          <cell r="AA298">
            <v>0.157</v>
          </cell>
        </row>
        <row r="299">
          <cell r="AA299">
            <v>0.157</v>
          </cell>
        </row>
        <row r="300">
          <cell r="AA300">
            <v>0.204071428571429</v>
          </cell>
        </row>
        <row r="301">
          <cell r="AA301">
            <v>0.209071428571429</v>
          </cell>
        </row>
        <row r="302">
          <cell r="AA302">
            <v>0.209071428571429</v>
          </cell>
        </row>
        <row r="303">
          <cell r="AA303">
            <v>0.209071428571429</v>
          </cell>
        </row>
        <row r="304">
          <cell r="AA304">
            <v>0.209071428571429</v>
          </cell>
        </row>
        <row r="305">
          <cell r="AA305">
            <v>0.16</v>
          </cell>
        </row>
        <row r="306">
          <cell r="AA306">
            <v>0.16</v>
          </cell>
        </row>
        <row r="307">
          <cell r="AA307">
            <v>0.16</v>
          </cell>
        </row>
        <row r="308">
          <cell r="AA308">
            <v>0.16</v>
          </cell>
        </row>
        <row r="309">
          <cell r="AA309">
            <v>0.16</v>
          </cell>
        </row>
        <row r="310">
          <cell r="AA310">
            <v>0.16</v>
          </cell>
        </row>
        <row r="311">
          <cell r="AA311">
            <v>0.16</v>
          </cell>
        </row>
        <row r="312">
          <cell r="AA312">
            <v>0.207071428571429</v>
          </cell>
        </row>
        <row r="313">
          <cell r="AA313">
            <v>0.212071428571429</v>
          </cell>
        </row>
        <row r="314">
          <cell r="AA314">
            <v>0.212071428571429</v>
          </cell>
        </row>
        <row r="315">
          <cell r="AA315">
            <v>0.212071428571429</v>
          </cell>
        </row>
        <row r="316">
          <cell r="AA316">
            <v>0.212071428571429</v>
          </cell>
        </row>
        <row r="317">
          <cell r="AA317">
            <v>0.163</v>
          </cell>
        </row>
        <row r="318">
          <cell r="AA318">
            <v>0.163</v>
          </cell>
        </row>
        <row r="319">
          <cell r="AA319">
            <v>0.163</v>
          </cell>
        </row>
        <row r="320">
          <cell r="AA320">
            <v>0.163</v>
          </cell>
        </row>
        <row r="321">
          <cell r="AA321">
            <v>0.163</v>
          </cell>
        </row>
        <row r="322">
          <cell r="AA322">
            <v>0.163</v>
          </cell>
        </row>
        <row r="323">
          <cell r="AA323">
            <v>0.163</v>
          </cell>
        </row>
        <row r="324">
          <cell r="AA324">
            <v>0.210071428571429</v>
          </cell>
        </row>
        <row r="325">
          <cell r="AA325">
            <v>0.215071428571429</v>
          </cell>
        </row>
        <row r="326">
          <cell r="AA326">
            <v>0.215071428571429</v>
          </cell>
        </row>
        <row r="327">
          <cell r="AA327">
            <v>0.215071428571429</v>
          </cell>
        </row>
        <row r="328">
          <cell r="AA328">
            <v>0.215071428571429</v>
          </cell>
        </row>
        <row r="329">
          <cell r="AA329">
            <v>0.166</v>
          </cell>
        </row>
        <row r="330">
          <cell r="AA330">
            <v>0.166</v>
          </cell>
        </row>
        <row r="331">
          <cell r="AA331">
            <v>0.166</v>
          </cell>
        </row>
        <row r="332">
          <cell r="AA332">
            <v>0.166</v>
          </cell>
        </row>
        <row r="333">
          <cell r="AA333">
            <v>0.166</v>
          </cell>
        </row>
        <row r="334">
          <cell r="AA334">
            <v>0.166</v>
          </cell>
        </row>
        <row r="335">
          <cell r="AA335">
            <v>0.166</v>
          </cell>
        </row>
        <row r="336">
          <cell r="AA336">
            <v>0.213071428571429</v>
          </cell>
        </row>
        <row r="337">
          <cell r="AA337">
            <v>0.218071428571429</v>
          </cell>
        </row>
        <row r="338">
          <cell r="AA338">
            <v>0.218071428571429</v>
          </cell>
        </row>
        <row r="339">
          <cell r="AA339">
            <v>0.218071428571429</v>
          </cell>
        </row>
        <row r="340">
          <cell r="AA340">
            <v>0.218071428571429</v>
          </cell>
        </row>
        <row r="341">
          <cell r="AA341">
            <v>0.169</v>
          </cell>
        </row>
        <row r="342">
          <cell r="AA342">
            <v>0.169</v>
          </cell>
        </row>
        <row r="343">
          <cell r="AA343">
            <v>0.169</v>
          </cell>
        </row>
        <row r="344">
          <cell r="AA344">
            <v>0.169</v>
          </cell>
        </row>
        <row r="345">
          <cell r="AA345">
            <v>0.169</v>
          </cell>
        </row>
        <row r="346">
          <cell r="AA346">
            <v>0.169</v>
          </cell>
        </row>
        <row r="347">
          <cell r="AA347">
            <v>0.169</v>
          </cell>
        </row>
        <row r="348">
          <cell r="AA348">
            <v>0.216071428571429</v>
          </cell>
        </row>
        <row r="349">
          <cell r="AA349">
            <v>0.221071428571429</v>
          </cell>
        </row>
        <row r="350">
          <cell r="AA350">
            <v>0.221071428571429</v>
          </cell>
        </row>
        <row r="351">
          <cell r="AA351">
            <v>0.221071428571429</v>
          </cell>
        </row>
        <row r="352">
          <cell r="AA352">
            <v>0.221071428571429</v>
          </cell>
        </row>
        <row r="353">
          <cell r="AA353">
            <v>0.172</v>
          </cell>
        </row>
        <row r="354">
          <cell r="AA354">
            <v>0.172</v>
          </cell>
        </row>
        <row r="355">
          <cell r="AA355">
            <v>0.172</v>
          </cell>
        </row>
        <row r="356">
          <cell r="AA356">
            <v>0.172</v>
          </cell>
        </row>
        <row r="357">
          <cell r="AA357">
            <v>0.172</v>
          </cell>
        </row>
        <row r="358">
          <cell r="AA358">
            <v>0.172</v>
          </cell>
        </row>
        <row r="359">
          <cell r="AA359">
            <v>0.172</v>
          </cell>
        </row>
        <row r="360">
          <cell r="AA360">
            <v>0.219071428571429</v>
          </cell>
        </row>
        <row r="361">
          <cell r="AA361">
            <v>0.224071428571429</v>
          </cell>
        </row>
        <row r="362">
          <cell r="AA362">
            <v>0.226071428571429</v>
          </cell>
        </row>
        <row r="363">
          <cell r="AA363">
            <v>0.226071428571429</v>
          </cell>
        </row>
        <row r="364">
          <cell r="AA364">
            <v>0.226071428571429</v>
          </cell>
        </row>
        <row r="365">
          <cell r="AA365">
            <v>0.177</v>
          </cell>
        </row>
        <row r="366">
          <cell r="AA366">
            <v>0.177</v>
          </cell>
        </row>
        <row r="367">
          <cell r="AA367">
            <v>0.177</v>
          </cell>
        </row>
        <row r="368">
          <cell r="AA368">
            <v>0.177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urveList"/>
      <sheetName val="Module1"/>
    </sheetNames>
    <sheetDataSet>
      <sheetData sheetId="0">
        <row r="5">
          <cell r="B5">
            <v>1</v>
          </cell>
          <cell r="C5" t="str">
            <v>GCHO</v>
          </cell>
          <cell r="D5" t="str">
            <v>#2 Oil Gulf Coast</v>
          </cell>
        </row>
        <row r="5">
          <cell r="F5">
            <v>1</v>
          </cell>
          <cell r="G5" t="str">
            <v>NG_OMICRON_9</v>
          </cell>
          <cell r="H5" t="str">
            <v>Omi Vol - Alberta/Sumas</v>
          </cell>
        </row>
        <row r="6">
          <cell r="B6">
            <v>2</v>
          </cell>
          <cell r="C6" t="str">
            <v>NXHO</v>
          </cell>
          <cell r="D6" t="str">
            <v>#2 Oil New York</v>
          </cell>
        </row>
        <row r="6">
          <cell r="F6">
            <v>2</v>
          </cell>
          <cell r="G6" t="str">
            <v>NG_OMICRON_7</v>
          </cell>
          <cell r="H6" t="str">
            <v>Omi Vol - Appalachia</v>
          </cell>
        </row>
        <row r="7">
          <cell r="B7">
            <v>3</v>
          </cell>
          <cell r="C7" t="str">
            <v>61GC</v>
          </cell>
          <cell r="D7" t="str">
            <v>#6 Oil 1%S Gulf coast</v>
          </cell>
        </row>
        <row r="7">
          <cell r="F7">
            <v>3</v>
          </cell>
          <cell r="G7" t="str">
            <v>NG_OMICRON_11</v>
          </cell>
          <cell r="H7" t="str">
            <v>Omi Vol - Chicago</v>
          </cell>
        </row>
        <row r="8">
          <cell r="B8">
            <v>4</v>
          </cell>
          <cell r="C8" t="str">
            <v>61NY</v>
          </cell>
          <cell r="D8" t="str">
            <v>#6 Oil 1%S New York</v>
          </cell>
        </row>
        <row r="8">
          <cell r="F8">
            <v>4</v>
          </cell>
          <cell r="G8" t="str">
            <v>NG_OMICRON_12</v>
          </cell>
          <cell r="H8" t="str">
            <v>Omi Vol - FGT</v>
          </cell>
        </row>
        <row r="9">
          <cell r="B9">
            <v>5</v>
          </cell>
          <cell r="C9" t="str">
            <v>62NY</v>
          </cell>
          <cell r="D9" t="str">
            <v>#6 Oil 2%S New York</v>
          </cell>
        </row>
        <row r="9">
          <cell r="F9">
            <v>5</v>
          </cell>
          <cell r="G9" t="str">
            <v>NG_OMICRON_2</v>
          </cell>
          <cell r="H9" t="str">
            <v>Omi Vol - HSC/Katy/ETX</v>
          </cell>
        </row>
        <row r="10">
          <cell r="B10">
            <v>6</v>
          </cell>
          <cell r="C10" t="str">
            <v>63GC</v>
          </cell>
          <cell r="D10" t="str">
            <v>#6 Oil 3%S Gulf coast</v>
          </cell>
        </row>
        <row r="10">
          <cell r="F10">
            <v>6</v>
          </cell>
          <cell r="G10" t="str">
            <v>NG_OMICRON_1</v>
          </cell>
          <cell r="H10" t="str">
            <v>Omi Vol - LA/Offshore South</v>
          </cell>
        </row>
        <row r="11">
          <cell r="B11">
            <v>7</v>
          </cell>
          <cell r="C11" t="str">
            <v>CGPR-AECO/BASIS</v>
          </cell>
          <cell r="D11" t="str">
            <v>Alberta Aeco Basis</v>
          </cell>
        </row>
        <row r="11">
          <cell r="F11">
            <v>7</v>
          </cell>
          <cell r="G11" t="str">
            <v>NG_OMICRON_6</v>
          </cell>
          <cell r="H11" t="str">
            <v>Omi Vol - NE Market Area</v>
          </cell>
        </row>
        <row r="12">
          <cell r="B12">
            <v>8</v>
          </cell>
          <cell r="C12" t="str">
            <v>CAD/USD</v>
          </cell>
          <cell r="D12" t="str">
            <v>Canada/US Dollar</v>
          </cell>
        </row>
        <row r="12">
          <cell r="F12">
            <v>8</v>
          </cell>
          <cell r="G12" t="str">
            <v>NG_OMICRON_5</v>
          </cell>
          <cell r="H12" t="str">
            <v>Omi Vol - NNG Demrc/Vent</v>
          </cell>
        </row>
        <row r="13">
          <cell r="B13">
            <v>9</v>
          </cell>
          <cell r="C13" t="str">
            <v>CGPR-CHIPPAWA</v>
          </cell>
          <cell r="D13" t="str">
            <v>CGPR-Chippawa</v>
          </cell>
        </row>
        <row r="13">
          <cell r="F13">
            <v>9</v>
          </cell>
          <cell r="G13" t="str">
            <v>NG_OMICRON_3</v>
          </cell>
          <cell r="H13" t="str">
            <v>Omi Vol - OK/Mid Continent</v>
          </cell>
        </row>
        <row r="14">
          <cell r="B14">
            <v>10</v>
          </cell>
          <cell r="C14" t="str">
            <v>CGPR-CORNWALL</v>
          </cell>
          <cell r="D14" t="str">
            <v>CGPR-Cornwall</v>
          </cell>
        </row>
        <row r="14">
          <cell r="F14">
            <v>10</v>
          </cell>
          <cell r="G14" t="str">
            <v>NG_OMICRON_4</v>
          </cell>
          <cell r="H14" t="str">
            <v>Omi Vol - Permian/San Juan</v>
          </cell>
        </row>
        <row r="15">
          <cell r="B15">
            <v>11</v>
          </cell>
          <cell r="C15" t="str">
            <v>CGPR-DAWN</v>
          </cell>
          <cell r="D15" t="str">
            <v>CGPR-Dawn</v>
          </cell>
        </row>
        <row r="15">
          <cell r="F15">
            <v>11</v>
          </cell>
          <cell r="G15" t="str">
            <v>NG_OMICRON_8</v>
          </cell>
          <cell r="H15" t="str">
            <v>Omi Vol - Rocky Mountains</v>
          </cell>
        </row>
        <row r="16">
          <cell r="B16">
            <v>12</v>
          </cell>
          <cell r="C16" t="str">
            <v>CGPR-EMPRESS-US</v>
          </cell>
          <cell r="D16" t="str">
            <v>CGPR-Empress</v>
          </cell>
        </row>
        <row r="16">
          <cell r="F16">
            <v>12</v>
          </cell>
          <cell r="G16" t="str">
            <v>NG_OMICRON_10</v>
          </cell>
          <cell r="H16" t="str">
            <v>Omi Vol - Sithe (ANR/LA)</v>
          </cell>
        </row>
        <row r="17">
          <cell r="B17">
            <v>13</v>
          </cell>
          <cell r="C17" t="str">
            <v>CGPR-NIAGARA</v>
          </cell>
          <cell r="D17" t="str">
            <v>CGPR-Niagara</v>
          </cell>
        </row>
        <row r="17">
          <cell r="F17">
            <v>13</v>
          </cell>
          <cell r="G17" t="str">
            <v>NG_OMICRON_13</v>
          </cell>
          <cell r="H17" t="str">
            <v>Omi Vol - Transco Zn 6</v>
          </cell>
        </row>
        <row r="18">
          <cell r="B18">
            <v>14</v>
          </cell>
          <cell r="C18" t="str">
            <v>CGPR-OJIBWAY</v>
          </cell>
          <cell r="D18" t="str">
            <v>CGPR-Ojibway</v>
          </cell>
        </row>
        <row r="18">
          <cell r="F18">
            <v>14</v>
          </cell>
        </row>
        <row r="19">
          <cell r="B19">
            <v>15</v>
          </cell>
          <cell r="C19" t="str">
            <v>CGPR-STCLAIR</v>
          </cell>
          <cell r="D19" t="str">
            <v>CGPR-St. Clair</v>
          </cell>
        </row>
        <row r="19">
          <cell r="F19">
            <v>15</v>
          </cell>
        </row>
        <row r="20">
          <cell r="B20">
            <v>16</v>
          </cell>
          <cell r="C20" t="str">
            <v>NAT/FUEL/LEIDY</v>
          </cell>
          <cell r="D20" t="str">
            <v>CNG LEIDY</v>
          </cell>
        </row>
        <row r="20">
          <cell r="F20">
            <v>16</v>
          </cell>
        </row>
        <row r="21">
          <cell r="B21">
            <v>17</v>
          </cell>
          <cell r="C21" t="str">
            <v>C2CN</v>
          </cell>
          <cell r="D21" t="str">
            <v>Conway Ethane</v>
          </cell>
        </row>
        <row r="21">
          <cell r="F21">
            <v>17</v>
          </cell>
        </row>
        <row r="22">
          <cell r="B22">
            <v>18</v>
          </cell>
          <cell r="C22" t="str">
            <v>IBCN</v>
          </cell>
          <cell r="D22" t="str">
            <v>Conway Iso-Butane</v>
          </cell>
        </row>
        <row r="22">
          <cell r="F22">
            <v>18</v>
          </cell>
        </row>
        <row r="23">
          <cell r="B23">
            <v>19</v>
          </cell>
          <cell r="C23" t="str">
            <v>C5CN</v>
          </cell>
          <cell r="D23" t="str">
            <v>Conway Nat Gasoline</v>
          </cell>
        </row>
        <row r="23">
          <cell r="F23">
            <v>19</v>
          </cell>
        </row>
        <row r="24">
          <cell r="B24">
            <v>20</v>
          </cell>
          <cell r="C24" t="str">
            <v>NBCN</v>
          </cell>
          <cell r="D24" t="str">
            <v>Conway N-Butane</v>
          </cell>
        </row>
        <row r="24">
          <cell r="F24">
            <v>20</v>
          </cell>
        </row>
        <row r="25">
          <cell r="B25">
            <v>21</v>
          </cell>
          <cell r="C25" t="str">
            <v>C3CN</v>
          </cell>
          <cell r="D25" t="str">
            <v>Conway Propane</v>
          </cell>
        </row>
        <row r="26">
          <cell r="B26">
            <v>22</v>
          </cell>
          <cell r="C26" t="str">
            <v>DJ/BASIN/CIG</v>
          </cell>
          <cell r="D26" t="str">
            <v>DJ BASIN </v>
          </cell>
        </row>
        <row r="27">
          <cell r="B27">
            <v>23</v>
          </cell>
          <cell r="C27" t="str">
            <v>IF-FGT/MKTAREA</v>
          </cell>
          <cell r="D27" t="str">
            <v>FGT City Gate</v>
          </cell>
        </row>
        <row r="28">
          <cell r="B28">
            <v>24</v>
          </cell>
          <cell r="C28" t="str">
            <v>IF-FGT/MKTAREA</v>
          </cell>
          <cell r="D28" t="str">
            <v>FGT Market Area Transport Cost</v>
          </cell>
        </row>
        <row r="29">
          <cell r="B29">
            <v>25</v>
          </cell>
          <cell r="C29" t="str">
            <v>IF-AGUA DULCE</v>
          </cell>
          <cell r="D29" t="str">
            <v>IF Agua Dulce</v>
          </cell>
        </row>
        <row r="30">
          <cell r="B30">
            <v>26</v>
          </cell>
          <cell r="C30" t="str">
            <v>IF-ANR/LA</v>
          </cell>
          <cell r="D30" t="str">
            <v>IF ANR Louisiana</v>
          </cell>
        </row>
        <row r="31">
          <cell r="B31">
            <v>27</v>
          </cell>
          <cell r="C31" t="str">
            <v>IF-ANR/LA_ONSHO</v>
          </cell>
          <cell r="D31" t="str">
            <v>IF ANR Onshore</v>
          </cell>
        </row>
        <row r="32">
          <cell r="B32">
            <v>28</v>
          </cell>
          <cell r="C32" t="str">
            <v>IF-ANR/OK</v>
          </cell>
          <cell r="D32" t="str">
            <v>IF ANR Oklahoma</v>
          </cell>
        </row>
        <row r="33">
          <cell r="B33">
            <v>29</v>
          </cell>
          <cell r="C33" t="str">
            <v>IF-ARKLA/ARK-OK</v>
          </cell>
          <cell r="D33" t="str">
            <v>IF Arkla/Ark,OK-50%</v>
          </cell>
        </row>
        <row r="34">
          <cell r="B34">
            <v>30</v>
          </cell>
          <cell r="C34" t="str">
            <v>IF-CARTHAGE</v>
          </cell>
          <cell r="D34" t="str">
            <v>IF Carthage</v>
          </cell>
        </row>
        <row r="35">
          <cell r="B35">
            <v>31</v>
          </cell>
          <cell r="C35" t="str">
            <v>IF-CIG/RKYMTN</v>
          </cell>
          <cell r="D35" t="str">
            <v>IF CIG Rocky Mountains</v>
          </cell>
        </row>
        <row r="36">
          <cell r="B36">
            <v>32</v>
          </cell>
          <cell r="C36" t="str">
            <v>IF-CIG/WINDRVR</v>
          </cell>
          <cell r="D36" t="str">
            <v>IF CIG Wind River</v>
          </cell>
        </row>
        <row r="37">
          <cell r="B37">
            <v>33</v>
          </cell>
          <cell r="C37" t="str">
            <v>IF-CNG/APPALACH</v>
          </cell>
          <cell r="D37" t="str">
            <v>IF CNG Appalachia</v>
          </cell>
        </row>
        <row r="38">
          <cell r="B38">
            <v>34</v>
          </cell>
          <cell r="C38" t="str">
            <v>IF-CGT/APPALAC</v>
          </cell>
          <cell r="D38" t="str">
            <v>IF Columbia Gas Appalachia</v>
          </cell>
        </row>
        <row r="39">
          <cell r="B39">
            <v>35</v>
          </cell>
          <cell r="C39" t="str">
            <v>IF-CGT/CITYGATE</v>
          </cell>
          <cell r="D39" t="str">
            <v>IF Columbia Gas City Gate</v>
          </cell>
        </row>
        <row r="40">
          <cell r="B40">
            <v>36</v>
          </cell>
          <cell r="C40" t="str">
            <v>IF-COLGULF/LA</v>
          </cell>
          <cell r="D40" t="str">
            <v>IF Columbia Gulf Louisiana</v>
          </cell>
        </row>
        <row r="41">
          <cell r="B41">
            <v>37</v>
          </cell>
          <cell r="C41" t="str">
            <v>IF-COLGUL/RAYNE</v>
          </cell>
          <cell r="D41" t="str">
            <v>IF Columbia Gulf Rayne</v>
          </cell>
        </row>
        <row r="42">
          <cell r="B42">
            <v>38</v>
          </cell>
          <cell r="C42" t="str">
            <v>IF/ELPO/ANADARK</v>
          </cell>
          <cell r="D42" t="str">
            <v>IF EL Paso Anadarko</v>
          </cell>
        </row>
        <row r="43">
          <cell r="B43">
            <v>39</v>
          </cell>
          <cell r="C43" t="str">
            <v>IF-ELPO/PERMIAN</v>
          </cell>
          <cell r="D43" t="str">
            <v>IF EL Paso Permian</v>
          </cell>
        </row>
        <row r="44">
          <cell r="B44">
            <v>40</v>
          </cell>
          <cell r="C44" t="str">
            <v>IF-ELPO/SJ</v>
          </cell>
          <cell r="D44" t="str">
            <v>IF EL Paso San Juan</v>
          </cell>
        </row>
        <row r="45">
          <cell r="B45">
            <v>41</v>
          </cell>
          <cell r="C45" t="str">
            <v>IF-FGT/Z1</v>
          </cell>
          <cell r="D45" t="str">
            <v>IF FGT Zone 1</v>
          </cell>
        </row>
        <row r="46">
          <cell r="B46">
            <v>42</v>
          </cell>
          <cell r="C46" t="str">
            <v>IF-FGT/Z2</v>
          </cell>
          <cell r="D46" t="str">
            <v>IF FGT Zone 2</v>
          </cell>
        </row>
        <row r="47">
          <cell r="B47">
            <v>43</v>
          </cell>
          <cell r="C47" t="str">
            <v>IF-FGT/Z3</v>
          </cell>
          <cell r="D47" t="str">
            <v>IF FGT Zone 3</v>
          </cell>
        </row>
        <row r="48">
          <cell r="B48">
            <v>44</v>
          </cell>
          <cell r="C48" t="str">
            <v>IF-HEHUB</v>
          </cell>
          <cell r="D48" t="str">
            <v>IF Henry Hub</v>
          </cell>
        </row>
        <row r="49">
          <cell r="B49">
            <v>45</v>
          </cell>
          <cell r="C49" t="str">
            <v>IF-HPL/SHPCHAN</v>
          </cell>
          <cell r="D49" t="str">
            <v>IF HPL Ship Channel</v>
          </cell>
        </row>
        <row r="50">
          <cell r="B50">
            <v>46</v>
          </cell>
          <cell r="C50" t="str">
            <v>IF-KATY</v>
          </cell>
          <cell r="D50" t="str">
            <v>IF KATY Hub East Texas</v>
          </cell>
        </row>
        <row r="51">
          <cell r="B51">
            <v>47</v>
          </cell>
          <cell r="C51" t="str">
            <v>IF-KERN/RIVER</v>
          </cell>
          <cell r="D51" t="str">
            <v>IF Kern River Wyoming</v>
          </cell>
        </row>
        <row r="52">
          <cell r="B52">
            <v>48</v>
          </cell>
          <cell r="C52" t="str">
            <v>IF-KOCH/LA</v>
          </cell>
          <cell r="D52" t="str">
            <v>IF Koch Louisiana</v>
          </cell>
        </row>
        <row r="53">
          <cell r="B53">
            <v>49</v>
          </cell>
          <cell r="C53" t="str">
            <v>IF-KOCH/TX</v>
          </cell>
          <cell r="D53" t="str">
            <v>IF Koch Texas</v>
          </cell>
        </row>
        <row r="54">
          <cell r="B54">
            <v>50</v>
          </cell>
          <cell r="C54" t="str">
            <v>IF-NGPL/HARPER</v>
          </cell>
          <cell r="D54" t="str">
            <v>IF NGPL Harper</v>
          </cell>
        </row>
        <row r="55">
          <cell r="B55">
            <v>51</v>
          </cell>
          <cell r="C55" t="str">
            <v>IF-NGPL/LA</v>
          </cell>
          <cell r="D55" t="str">
            <v>IF NGPL Louisiana</v>
          </cell>
        </row>
        <row r="56">
          <cell r="B56">
            <v>52</v>
          </cell>
          <cell r="C56" t="str">
            <v>IF-NGPL/MIDCON</v>
          </cell>
          <cell r="D56" t="str">
            <v>IF NGPL Mid Continent</v>
          </cell>
        </row>
        <row r="57">
          <cell r="B57">
            <v>53</v>
          </cell>
          <cell r="C57" t="str">
            <v>IF-NGPL/OK-NW</v>
          </cell>
          <cell r="D57" t="str">
            <v>IF NGPL OK NW ( GAGE)</v>
          </cell>
        </row>
        <row r="58">
          <cell r="B58">
            <v>54</v>
          </cell>
          <cell r="C58" t="str">
            <v>IF-NGPL/TX</v>
          </cell>
          <cell r="D58" t="str">
            <v>IF NGPL South Texas</v>
          </cell>
        </row>
        <row r="59">
          <cell r="B59">
            <v>55</v>
          </cell>
          <cell r="C59" t="str">
            <v>IF-NGPLTXOK</v>
          </cell>
          <cell r="D59" t="str">
            <v>IF NGPL TX-OK</v>
          </cell>
        </row>
        <row r="60">
          <cell r="B60">
            <v>56</v>
          </cell>
          <cell r="C60" t="str">
            <v>IF-NNG/DEMARCAT</v>
          </cell>
          <cell r="D60" t="str">
            <v>IF NNG Demarcation</v>
          </cell>
        </row>
        <row r="61">
          <cell r="B61">
            <v>57</v>
          </cell>
          <cell r="C61" t="str">
            <v>IF-NNG/TOK</v>
          </cell>
          <cell r="D61" t="str">
            <v>IF NNG TX-OK-KS</v>
          </cell>
        </row>
        <row r="62">
          <cell r="B62">
            <v>58</v>
          </cell>
          <cell r="C62" t="str">
            <v>IF-NNG/VENT</v>
          </cell>
          <cell r="D62" t="str">
            <v>IF NNG Ventura</v>
          </cell>
        </row>
        <row r="63">
          <cell r="B63">
            <v>59</v>
          </cell>
          <cell r="C63" t="str">
            <v>IF-NORAM/EAST</v>
          </cell>
          <cell r="D63" t="str">
            <v>IF NorAm East</v>
          </cell>
        </row>
        <row r="64">
          <cell r="B64">
            <v>60</v>
          </cell>
          <cell r="C64" t="str">
            <v>IF-NORAM/WEST</v>
          </cell>
          <cell r="D64" t="str">
            <v>IF NorAm West</v>
          </cell>
        </row>
        <row r="65">
          <cell r="B65">
            <v>61</v>
          </cell>
          <cell r="C65" t="str">
            <v>IF-NTHWST/CANBR</v>
          </cell>
          <cell r="D65" t="str">
            <v>IF NWPL Canadian Border</v>
          </cell>
        </row>
        <row r="66">
          <cell r="B66">
            <v>62</v>
          </cell>
          <cell r="C66" t="str">
            <v>IF-NWPL_ROCKY_M</v>
          </cell>
          <cell r="D66" t="str">
            <v>IF NWPL Rocky Mountains</v>
          </cell>
        </row>
        <row r="67">
          <cell r="B67">
            <v>63</v>
          </cell>
          <cell r="C67" t="str">
            <v>IF-ONG/OKLAHOMA</v>
          </cell>
          <cell r="D67" t="str">
            <v>IF ONG Oklahoma</v>
          </cell>
        </row>
        <row r="68">
          <cell r="B68">
            <v>64</v>
          </cell>
          <cell r="C68" t="str">
            <v>IF-PAN/TX/OK</v>
          </cell>
          <cell r="D68" t="str">
            <v>IF PEPL TX-OK</v>
          </cell>
        </row>
        <row r="69">
          <cell r="B69">
            <v>65</v>
          </cell>
          <cell r="C69" t="str">
            <v>IF-QUESTAR</v>
          </cell>
          <cell r="D69" t="str">
            <v>IF Questar Rocky Mountains</v>
          </cell>
        </row>
        <row r="70">
          <cell r="B70">
            <v>66</v>
          </cell>
          <cell r="C70" t="str">
            <v>IF-SONAT/LA</v>
          </cell>
          <cell r="D70" t="str">
            <v>IF Sonat Louisiana</v>
          </cell>
        </row>
        <row r="71">
          <cell r="B71">
            <v>67</v>
          </cell>
          <cell r="C71" t="str">
            <v>IF-TENN/LA</v>
          </cell>
          <cell r="D71" t="str">
            <v>IF Tenn LA Zone 1 (500 Line)</v>
          </cell>
        </row>
        <row r="72">
          <cell r="B72">
            <v>68</v>
          </cell>
          <cell r="C72" t="str">
            <v>IF-TENN/LA_OFF</v>
          </cell>
          <cell r="D72" t="str">
            <v>IF Tenn LA Zone 1 (800 Line)</v>
          </cell>
        </row>
        <row r="73">
          <cell r="B73">
            <v>69</v>
          </cell>
          <cell r="C73" t="str">
            <v>IF-TENN/TX</v>
          </cell>
          <cell r="D73" t="str">
            <v>IF Tenn TX Zone 0 (100 Line)</v>
          </cell>
        </row>
        <row r="74">
          <cell r="B74">
            <v>70</v>
          </cell>
          <cell r="C74" t="str">
            <v>IF-TETCO/ELA</v>
          </cell>
          <cell r="D74" t="str">
            <v>IF TETCO East Louisiana</v>
          </cell>
        </row>
        <row r="75">
          <cell r="B75">
            <v>71</v>
          </cell>
          <cell r="C75" t="str">
            <v>IF-TETCO/ETX</v>
          </cell>
          <cell r="D75" t="str">
            <v>IF TETCO East Texas</v>
          </cell>
        </row>
        <row r="76">
          <cell r="B76">
            <v>72</v>
          </cell>
          <cell r="C76" t="str">
            <v>IF-TETCO/STX</v>
          </cell>
          <cell r="D76" t="str">
            <v>IF TETCO South Texas</v>
          </cell>
        </row>
        <row r="77">
          <cell r="B77">
            <v>73</v>
          </cell>
          <cell r="C77" t="str">
            <v>IF-TETCO/WLA</v>
          </cell>
          <cell r="D77" t="str">
            <v>IF TETCO West Louisiana</v>
          </cell>
        </row>
        <row r="78">
          <cell r="B78">
            <v>74</v>
          </cell>
          <cell r="C78" t="str">
            <v>IF-TETCO/M1</v>
          </cell>
          <cell r="D78" t="str">
            <v>IF TETCO Zone M1</v>
          </cell>
        </row>
        <row r="79">
          <cell r="B79">
            <v>75</v>
          </cell>
          <cell r="C79" t="str">
            <v>IF-TETCO/M3</v>
          </cell>
          <cell r="D79" t="str">
            <v>IF TETCO Zone M3 (Market)</v>
          </cell>
        </row>
        <row r="80">
          <cell r="B80">
            <v>76</v>
          </cell>
          <cell r="C80" t="str">
            <v>IF-TGT/ZSL</v>
          </cell>
          <cell r="D80" t="str">
            <v>IF TGT South Louisiana</v>
          </cell>
        </row>
        <row r="81">
          <cell r="B81">
            <v>77</v>
          </cell>
          <cell r="C81" t="str">
            <v>IF-TGT/Z1</v>
          </cell>
          <cell r="D81" t="str">
            <v>IF TGT Zone 1</v>
          </cell>
        </row>
        <row r="82">
          <cell r="B82">
            <v>78</v>
          </cell>
          <cell r="C82" t="str">
            <v>IF-TRANSCO/Z4</v>
          </cell>
          <cell r="D82" t="str">
            <v>IF Transco Miss/Ala  (85)</v>
          </cell>
        </row>
        <row r="83">
          <cell r="B83">
            <v>79</v>
          </cell>
          <cell r="C83" t="str">
            <v>IF-TRANSCO/Z1</v>
          </cell>
          <cell r="D83" t="str">
            <v>IF Transco Zone 1  (30)</v>
          </cell>
        </row>
        <row r="84">
          <cell r="B84">
            <v>80</v>
          </cell>
          <cell r="C84" t="str">
            <v>IF-TRANSCO/Z2</v>
          </cell>
          <cell r="D84" t="str">
            <v>IF Transco Zone 2  (45)</v>
          </cell>
        </row>
        <row r="85">
          <cell r="B85">
            <v>81</v>
          </cell>
          <cell r="C85" t="str">
            <v>IF-TRANSCO/Z3</v>
          </cell>
          <cell r="D85" t="str">
            <v>IF Transco Zone 3  (50,62,65)</v>
          </cell>
        </row>
        <row r="86">
          <cell r="B86">
            <v>82</v>
          </cell>
          <cell r="C86" t="str">
            <v>IF-TRANSCO/Z6</v>
          </cell>
          <cell r="D86" t="str">
            <v>IF Transco Zone 6 (Market)</v>
          </cell>
        </row>
        <row r="87">
          <cell r="B87">
            <v>83</v>
          </cell>
          <cell r="C87" t="str">
            <v>IF-TRUNKL/LA</v>
          </cell>
          <cell r="D87" t="str">
            <v>IF Trunkline Louisiana</v>
          </cell>
        </row>
        <row r="88">
          <cell r="B88">
            <v>84</v>
          </cell>
          <cell r="C88" t="str">
            <v>IF-TRUNKL/TX</v>
          </cell>
          <cell r="D88" t="str">
            <v>IF Trunkline Texas</v>
          </cell>
        </row>
        <row r="89">
          <cell r="B89">
            <v>85</v>
          </cell>
          <cell r="C89" t="str">
            <v>IF-TW/PERMIAN</v>
          </cell>
          <cell r="D89" t="str">
            <v>IF TW Permian</v>
          </cell>
        </row>
        <row r="90">
          <cell r="B90">
            <v>86</v>
          </cell>
          <cell r="C90" t="str">
            <v>IF-VALERO/TX</v>
          </cell>
          <cell r="D90" t="str">
            <v>IF Valero Texas</v>
          </cell>
        </row>
        <row r="91">
          <cell r="B91">
            <v>87</v>
          </cell>
          <cell r="C91" t="str">
            <v>IF-WNG/TOK</v>
          </cell>
          <cell r="D91" t="str">
            <v>IF Williams TX-OK-KS</v>
          </cell>
        </row>
        <row r="92">
          <cell r="B92">
            <v>88</v>
          </cell>
          <cell r="C92" t="str">
            <v>IF-CNG/NORTH</v>
          </cell>
          <cell r="D92" t="str">
            <v>IF-CNG/NORTH</v>
          </cell>
        </row>
        <row r="93">
          <cell r="B93">
            <v>89</v>
          </cell>
          <cell r="C93" t="str">
            <v>IF-CNG/N_CITYGA</v>
          </cell>
          <cell r="D93" t="str">
            <v>IF-CNG/NORTH CITYGATE</v>
          </cell>
        </row>
        <row r="94">
          <cell r="B94">
            <v>90</v>
          </cell>
          <cell r="C94" t="str">
            <v>IF-TENN/Z5</v>
          </cell>
          <cell r="D94" t="str">
            <v>IF-TENN/Z5</v>
          </cell>
        </row>
        <row r="95">
          <cell r="B95">
            <v>91</v>
          </cell>
          <cell r="C95" t="str">
            <v>IF-TENN/Z6</v>
          </cell>
          <cell r="D95" t="str">
            <v>IF-TENN/Z6</v>
          </cell>
        </row>
        <row r="96">
          <cell r="B96">
            <v>92</v>
          </cell>
          <cell r="C96" t="str">
            <v>IF-TRANSCO/Z5</v>
          </cell>
          <cell r="D96" t="str">
            <v>IF-TRANSCO/Z5</v>
          </cell>
        </row>
        <row r="97">
          <cell r="B97">
            <v>93</v>
          </cell>
          <cell r="C97" t="str">
            <v>KERO-NYPHY</v>
          </cell>
          <cell r="D97" t="str">
            <v>KERO-NYPHY</v>
          </cell>
        </row>
        <row r="98">
          <cell r="B98">
            <v>94</v>
          </cell>
          <cell r="C98" t="str">
            <v>INT</v>
          </cell>
          <cell r="D98" t="str">
            <v>Libor AA Interest Rate</v>
          </cell>
        </row>
        <row r="99">
          <cell r="B99">
            <v>95</v>
          </cell>
          <cell r="C99" t="str">
            <v>C2GC</v>
          </cell>
          <cell r="D99" t="str">
            <v>MB Ethane</v>
          </cell>
        </row>
        <row r="100">
          <cell r="B100">
            <v>96</v>
          </cell>
          <cell r="C100" t="str">
            <v>EPMX</v>
          </cell>
          <cell r="D100" t="str">
            <v>MB Ethane/Propane Mix</v>
          </cell>
        </row>
        <row r="101">
          <cell r="B101">
            <v>97</v>
          </cell>
          <cell r="C101" t="str">
            <v>IBXT</v>
          </cell>
          <cell r="D101" t="str">
            <v>MB NTET Iso-Butane</v>
          </cell>
        </row>
        <row r="102">
          <cell r="B102">
            <v>98</v>
          </cell>
          <cell r="C102" t="str">
            <v>C5XT</v>
          </cell>
          <cell r="D102" t="str">
            <v>MB NTET Nat Gasoline</v>
          </cell>
        </row>
        <row r="103">
          <cell r="B103">
            <v>99</v>
          </cell>
          <cell r="C103" t="str">
            <v>NBXT</v>
          </cell>
          <cell r="D103" t="str">
            <v>MB NTET N-Butane</v>
          </cell>
        </row>
        <row r="104">
          <cell r="B104">
            <v>100</v>
          </cell>
          <cell r="C104" t="str">
            <v>C3XT</v>
          </cell>
          <cell r="D104" t="str">
            <v>MB NTET Propane</v>
          </cell>
        </row>
        <row r="105">
          <cell r="B105">
            <v>101</v>
          </cell>
          <cell r="C105" t="str">
            <v>IC4</v>
          </cell>
          <cell r="D105" t="str">
            <v>MB TET Iso-Butane</v>
          </cell>
        </row>
        <row r="106">
          <cell r="B106">
            <v>102</v>
          </cell>
          <cell r="C106" t="str">
            <v>C5+</v>
          </cell>
          <cell r="D106" t="str">
            <v>MB TET Nat Gasoline</v>
          </cell>
        </row>
        <row r="107">
          <cell r="B107">
            <v>103</v>
          </cell>
          <cell r="C107" t="str">
            <v>NC4</v>
          </cell>
          <cell r="D107" t="str">
            <v>MB TET N-Butane</v>
          </cell>
        </row>
        <row r="108">
          <cell r="B108">
            <v>104</v>
          </cell>
          <cell r="C108" t="str">
            <v>C3GC</v>
          </cell>
          <cell r="D108" t="str">
            <v>MB TET Propane</v>
          </cell>
        </row>
        <row r="109">
          <cell r="B109">
            <v>105</v>
          </cell>
          <cell r="C109" t="str">
            <v>GD-LOW_IROQUOIS</v>
          </cell>
          <cell r="D109" t="str">
            <v>GD Low Iroquois</v>
          </cell>
        </row>
        <row r="110">
          <cell r="B110">
            <v>106</v>
          </cell>
          <cell r="C110" t="str">
            <v>MEOH</v>
          </cell>
          <cell r="D110" t="str">
            <v>Methanol Gulf Coast</v>
          </cell>
        </row>
        <row r="111">
          <cell r="B111">
            <v>107</v>
          </cell>
          <cell r="C111" t="str">
            <v>MICH/CONS</v>
          </cell>
          <cell r="D111" t="str">
            <v>MichCon Consumers</v>
          </cell>
        </row>
        <row r="112">
          <cell r="B112">
            <v>108</v>
          </cell>
          <cell r="C112" t="str">
            <v>ML7/CG</v>
          </cell>
          <cell r="D112" t="str">
            <v>ML7 CITYGATE (CRYSTAL FALLS)</v>
          </cell>
        </row>
        <row r="113">
          <cell r="B113">
            <v>109</v>
          </cell>
          <cell r="C113" t="str">
            <v>MTBE</v>
          </cell>
          <cell r="D113" t="str">
            <v>MTBE Gulf coast</v>
          </cell>
        </row>
        <row r="114">
          <cell r="B114">
            <v>110</v>
          </cell>
          <cell r="C114" t="str">
            <v>NGI/CHI. GATE</v>
          </cell>
          <cell r="D114" t="str">
            <v>NGI Chicago City Gate</v>
          </cell>
        </row>
        <row r="115">
          <cell r="B115">
            <v>111</v>
          </cell>
          <cell r="C115" t="str">
            <v>NGI-MALIN</v>
          </cell>
          <cell r="D115" t="str">
            <v>NGI Malin (North Cal Border)</v>
          </cell>
        </row>
        <row r="116">
          <cell r="B116">
            <v>112</v>
          </cell>
          <cell r="C116" t="str">
            <v>NGI-MICH_CG</v>
          </cell>
          <cell r="D116" t="str">
            <v>NGI Michigan ConsoIidated</v>
          </cell>
        </row>
        <row r="117">
          <cell r="B117">
            <v>113</v>
          </cell>
          <cell r="C117" t="str">
            <v>NGI-PGE/CG</v>
          </cell>
          <cell r="D117" t="str">
            <v>NGI PGE City Gate</v>
          </cell>
        </row>
        <row r="118">
          <cell r="B118">
            <v>114</v>
          </cell>
          <cell r="C118" t="str">
            <v>NGI-SOCAL</v>
          </cell>
          <cell r="D118" t="str">
            <v>NGI Socal (South Cal Border)</v>
          </cell>
        </row>
        <row r="119">
          <cell r="B119">
            <v>115</v>
          </cell>
          <cell r="C119" t="str">
            <v>NGW-ALGO/CITY</v>
          </cell>
          <cell r="D119" t="str">
            <v>NGW Algonquin City Gate</v>
          </cell>
        </row>
        <row r="120">
          <cell r="B120">
            <v>116</v>
          </cell>
          <cell r="C120" t="str">
            <v>NGW-ALGONQUIN</v>
          </cell>
          <cell r="D120" t="str">
            <v>NGW Algonquin </v>
          </cell>
        </row>
        <row r="121">
          <cell r="B121">
            <v>117</v>
          </cell>
          <cell r="C121" t="str">
            <v>NGW-IROQ/WADD</v>
          </cell>
          <cell r="D121" t="str">
            <v>NGW Iroquois/Waddington</v>
          </cell>
        </row>
        <row r="122">
          <cell r="B122">
            <v>118</v>
          </cell>
          <cell r="C122" t="str">
            <v>NG</v>
          </cell>
          <cell r="D122" t="str">
            <v>Nymex Natural Gas</v>
          </cell>
        </row>
        <row r="123">
          <cell r="B123">
            <v>119</v>
          </cell>
          <cell r="C123" t="str">
            <v>HU</v>
          </cell>
          <cell r="D123" t="str">
            <v>Unleaded Gasoline</v>
          </cell>
        </row>
        <row r="124">
          <cell r="B124">
            <v>120</v>
          </cell>
          <cell r="C124" t="str">
            <v>WAHA KCBT</v>
          </cell>
          <cell r="D124" t="str">
            <v>Waha Hub West Texas</v>
          </cell>
        </row>
        <row r="125">
          <cell r="B125">
            <v>121</v>
          </cell>
          <cell r="C125" t="str">
            <v>WTI</v>
          </cell>
          <cell r="D125" t="str">
            <v>WTI Crude Oil</v>
          </cell>
        </row>
        <row r="126">
          <cell r="B126">
            <v>122</v>
          </cell>
        </row>
        <row r="126">
          <cell r="D126" t="str">
            <v>Open</v>
          </cell>
        </row>
        <row r="127">
          <cell r="B127">
            <v>123</v>
          </cell>
        </row>
        <row r="127">
          <cell r="D127" t="str">
            <v>Open</v>
          </cell>
        </row>
        <row r="128">
          <cell r="B128">
            <v>124</v>
          </cell>
        </row>
        <row r="128">
          <cell r="D128" t="str">
            <v>Open</v>
          </cell>
        </row>
        <row r="129">
          <cell r="B129">
            <v>125</v>
          </cell>
        </row>
        <row r="129">
          <cell r="D129" t="str">
            <v>Open</v>
          </cell>
        </row>
        <row r="130">
          <cell r="B130">
            <v>126</v>
          </cell>
        </row>
        <row r="130">
          <cell r="D130" t="str">
            <v>Open</v>
          </cell>
        </row>
        <row r="131">
          <cell r="B131">
            <v>127</v>
          </cell>
        </row>
        <row r="131">
          <cell r="D131" t="str">
            <v>Open</v>
          </cell>
        </row>
        <row r="132">
          <cell r="B132">
            <v>128</v>
          </cell>
        </row>
        <row r="132">
          <cell r="D132" t="str">
            <v>Open</v>
          </cell>
        </row>
        <row r="133">
          <cell r="B133">
            <v>129</v>
          </cell>
        </row>
        <row r="133">
          <cell r="D133" t="str">
            <v>Open</v>
          </cell>
        </row>
        <row r="134">
          <cell r="B134">
            <v>130</v>
          </cell>
        </row>
        <row r="134">
          <cell r="D134" t="str">
            <v>Open</v>
          </cell>
        </row>
        <row r="135">
          <cell r="B135">
            <v>131</v>
          </cell>
        </row>
        <row r="135">
          <cell r="D135" t="str">
            <v>Open</v>
          </cell>
        </row>
        <row r="136">
          <cell r="B136">
            <v>132</v>
          </cell>
        </row>
        <row r="136">
          <cell r="D136" t="str">
            <v>Open</v>
          </cell>
        </row>
        <row r="137">
          <cell r="B137">
            <v>133</v>
          </cell>
        </row>
        <row r="137">
          <cell r="D137" t="str">
            <v>Open</v>
          </cell>
        </row>
        <row r="138">
          <cell r="B138">
            <v>134</v>
          </cell>
        </row>
        <row r="138">
          <cell r="D138" t="str">
            <v>Open</v>
          </cell>
        </row>
        <row r="139">
          <cell r="B139">
            <v>135</v>
          </cell>
        </row>
        <row r="139">
          <cell r="D139" t="str">
            <v>Open</v>
          </cell>
        </row>
        <row r="140">
          <cell r="B140">
            <v>136</v>
          </cell>
        </row>
        <row r="140">
          <cell r="D140" t="str">
            <v>Open</v>
          </cell>
        </row>
        <row r="141">
          <cell r="B141">
            <v>137</v>
          </cell>
        </row>
        <row r="141">
          <cell r="D141" t="str">
            <v>Open</v>
          </cell>
        </row>
        <row r="142">
          <cell r="B142">
            <v>138</v>
          </cell>
        </row>
        <row r="142">
          <cell r="D142" t="str">
            <v>Open</v>
          </cell>
        </row>
        <row r="143">
          <cell r="B143">
            <v>139</v>
          </cell>
        </row>
        <row r="143">
          <cell r="D143" t="str">
            <v>Open</v>
          </cell>
        </row>
        <row r="144">
          <cell r="B144">
            <v>140</v>
          </cell>
        </row>
        <row r="144">
          <cell r="D144" t="str">
            <v>Open</v>
          </cell>
        </row>
        <row r="145">
          <cell r="B145">
            <v>141</v>
          </cell>
        </row>
        <row r="145">
          <cell r="D145" t="str">
            <v>Open</v>
          </cell>
        </row>
        <row r="146">
          <cell r="B146">
            <v>142</v>
          </cell>
        </row>
        <row r="146">
          <cell r="D146" t="str">
            <v>Open</v>
          </cell>
        </row>
        <row r="147">
          <cell r="B147">
            <v>143</v>
          </cell>
        </row>
        <row r="147">
          <cell r="D147" t="str">
            <v>Open</v>
          </cell>
        </row>
        <row r="148">
          <cell r="B148">
            <v>144</v>
          </cell>
        </row>
        <row r="148">
          <cell r="D148" t="str">
            <v>Open</v>
          </cell>
        </row>
        <row r="149">
          <cell r="B149">
            <v>145</v>
          </cell>
        </row>
        <row r="150">
          <cell r="B150">
            <v>146</v>
          </cell>
        </row>
        <row r="151">
          <cell r="B151">
            <v>147</v>
          </cell>
        </row>
        <row r="152">
          <cell r="B152">
            <v>148</v>
          </cell>
        </row>
        <row r="153">
          <cell r="B153">
            <v>149</v>
          </cell>
        </row>
        <row r="154">
          <cell r="B154">
            <v>150</v>
          </cell>
        </row>
        <row r="155">
          <cell r="B155">
            <v>151</v>
          </cell>
        </row>
        <row r="156">
          <cell r="B156">
            <v>152</v>
          </cell>
        </row>
        <row r="157">
          <cell r="B157">
            <v>153</v>
          </cell>
        </row>
        <row r="158">
          <cell r="B158">
            <v>154</v>
          </cell>
        </row>
        <row r="159">
          <cell r="B159">
            <v>155</v>
          </cell>
        </row>
        <row r="160">
          <cell r="B160">
            <v>156</v>
          </cell>
        </row>
        <row r="161">
          <cell r="B161">
            <v>157</v>
          </cell>
        </row>
        <row r="162">
          <cell r="B162">
            <v>158</v>
          </cell>
        </row>
        <row r="163">
          <cell r="B163">
            <v>159</v>
          </cell>
        </row>
        <row r="164">
          <cell r="B164">
            <v>160</v>
          </cell>
        </row>
        <row r="165">
          <cell r="B165">
            <v>161</v>
          </cell>
        </row>
        <row r="166">
          <cell r="B166">
            <v>162</v>
          </cell>
        </row>
        <row r="167">
          <cell r="B167">
            <v>163</v>
          </cell>
        </row>
        <row r="168">
          <cell r="B168">
            <v>164</v>
          </cell>
        </row>
        <row r="169">
          <cell r="B169">
            <v>165</v>
          </cell>
        </row>
        <row r="170">
          <cell r="B170">
            <v>166</v>
          </cell>
        </row>
        <row r="171">
          <cell r="B171">
            <v>167</v>
          </cell>
        </row>
        <row r="172">
          <cell r="B172">
            <v>168</v>
          </cell>
        </row>
        <row r="173">
          <cell r="B173">
            <v>169</v>
          </cell>
        </row>
        <row r="174">
          <cell r="B174">
            <v>170</v>
          </cell>
        </row>
        <row r="175">
          <cell r="B175">
            <v>171</v>
          </cell>
        </row>
        <row r="176">
          <cell r="B176">
            <v>172</v>
          </cell>
        </row>
        <row r="177">
          <cell r="B177">
            <v>173</v>
          </cell>
        </row>
        <row r="178">
          <cell r="B178">
            <v>174</v>
          </cell>
        </row>
        <row r="179">
          <cell r="B179">
            <v>175</v>
          </cell>
        </row>
        <row r="180">
          <cell r="B180">
            <v>176</v>
          </cell>
        </row>
        <row r="181">
          <cell r="B181">
            <v>177</v>
          </cell>
        </row>
        <row r="182">
          <cell r="B182">
            <v>178</v>
          </cell>
        </row>
        <row r="183">
          <cell r="B183">
            <v>179</v>
          </cell>
        </row>
        <row r="184">
          <cell r="B184">
            <v>180</v>
          </cell>
        </row>
        <row r="185">
          <cell r="B185">
            <v>181</v>
          </cell>
        </row>
        <row r="186">
          <cell r="B186">
            <v>182</v>
          </cell>
        </row>
        <row r="187">
          <cell r="B187">
            <v>183</v>
          </cell>
        </row>
        <row r="188">
          <cell r="B188">
            <v>184</v>
          </cell>
        </row>
        <row r="189">
          <cell r="B189">
            <v>185</v>
          </cell>
        </row>
        <row r="190">
          <cell r="B190">
            <v>186</v>
          </cell>
        </row>
        <row r="191">
          <cell r="B191">
            <v>187</v>
          </cell>
        </row>
        <row r="192">
          <cell r="B192">
            <v>188</v>
          </cell>
        </row>
        <row r="193">
          <cell r="B193">
            <v>189</v>
          </cell>
        </row>
        <row r="194">
          <cell r="B194">
            <v>190</v>
          </cell>
        </row>
        <row r="195">
          <cell r="B195">
            <v>191</v>
          </cell>
        </row>
        <row r="196">
          <cell r="B196">
            <v>192</v>
          </cell>
        </row>
        <row r="197">
          <cell r="B197">
            <v>193</v>
          </cell>
        </row>
        <row r="198">
          <cell r="B198">
            <v>194</v>
          </cell>
        </row>
        <row r="199">
          <cell r="B199">
            <v>195</v>
          </cell>
        </row>
        <row r="200">
          <cell r="B200">
            <v>196</v>
          </cell>
        </row>
        <row r="201">
          <cell r="B201">
            <v>197</v>
          </cell>
        </row>
        <row r="202">
          <cell r="B202">
            <v>198</v>
          </cell>
        </row>
        <row r="203">
          <cell r="B203">
            <v>199</v>
          </cell>
        </row>
        <row r="204">
          <cell r="B204">
            <v>200</v>
          </cell>
        </row>
        <row r="205">
          <cell r="B205">
            <v>201</v>
          </cell>
        </row>
        <row r="206">
          <cell r="B206">
            <v>202</v>
          </cell>
        </row>
        <row r="207">
          <cell r="B207">
            <v>203</v>
          </cell>
        </row>
        <row r="208">
          <cell r="B208">
            <v>204</v>
          </cell>
        </row>
        <row r="209">
          <cell r="B209">
            <v>205</v>
          </cell>
        </row>
        <row r="210">
          <cell r="B210">
            <v>206</v>
          </cell>
        </row>
        <row r="211">
          <cell r="B211">
            <v>207</v>
          </cell>
        </row>
        <row r="212">
          <cell r="B212">
            <v>208</v>
          </cell>
        </row>
        <row r="213">
          <cell r="B213">
            <v>209</v>
          </cell>
        </row>
        <row r="214">
          <cell r="B214">
            <v>210</v>
          </cell>
        </row>
        <row r="215">
          <cell r="B215">
            <v>211</v>
          </cell>
        </row>
        <row r="216">
          <cell r="B216">
            <v>212</v>
          </cell>
        </row>
        <row r="217">
          <cell r="B217">
            <v>213</v>
          </cell>
        </row>
        <row r="218">
          <cell r="B218">
            <v>214</v>
          </cell>
        </row>
        <row r="219">
          <cell r="B219">
            <v>215</v>
          </cell>
        </row>
        <row r="220">
          <cell r="B220">
            <v>216</v>
          </cell>
        </row>
        <row r="221">
          <cell r="B221">
            <v>217</v>
          </cell>
        </row>
        <row r="222">
          <cell r="B222">
            <v>218</v>
          </cell>
        </row>
        <row r="223">
          <cell r="B223">
            <v>219</v>
          </cell>
        </row>
        <row r="224">
          <cell r="B224">
            <v>220</v>
          </cell>
        </row>
        <row r="225">
          <cell r="B225">
            <v>221</v>
          </cell>
        </row>
        <row r="226">
          <cell r="B226">
            <v>222</v>
          </cell>
        </row>
        <row r="227">
          <cell r="B227">
            <v>223</v>
          </cell>
        </row>
        <row r="228">
          <cell r="B228">
            <v>224</v>
          </cell>
        </row>
        <row r="229">
          <cell r="B229">
            <v>225</v>
          </cell>
        </row>
        <row r="230">
          <cell r="B230">
            <v>226</v>
          </cell>
        </row>
        <row r="231">
          <cell r="B231">
            <v>227</v>
          </cell>
        </row>
        <row r="232">
          <cell r="B232">
            <v>228</v>
          </cell>
        </row>
        <row r="233">
          <cell r="B233">
            <v>229</v>
          </cell>
        </row>
        <row r="234">
          <cell r="B234">
            <v>230</v>
          </cell>
        </row>
        <row r="235">
          <cell r="B235">
            <v>231</v>
          </cell>
        </row>
        <row r="236">
          <cell r="B236">
            <v>232</v>
          </cell>
        </row>
        <row r="237">
          <cell r="B237">
            <v>233</v>
          </cell>
        </row>
        <row r="238">
          <cell r="B238">
            <v>234</v>
          </cell>
        </row>
        <row r="239">
          <cell r="B239">
            <v>235</v>
          </cell>
        </row>
        <row r="240">
          <cell r="B240">
            <v>236</v>
          </cell>
        </row>
        <row r="241">
          <cell r="B241">
            <v>237</v>
          </cell>
        </row>
        <row r="242">
          <cell r="B242">
            <v>238</v>
          </cell>
        </row>
        <row r="243">
          <cell r="B243">
            <v>239</v>
          </cell>
        </row>
        <row r="244">
          <cell r="B244">
            <v>240</v>
          </cell>
        </row>
        <row r="245">
          <cell r="B245">
            <v>241</v>
          </cell>
        </row>
        <row r="246">
          <cell r="B246">
            <v>242</v>
          </cell>
        </row>
        <row r="247">
          <cell r="B247">
            <v>243</v>
          </cell>
        </row>
        <row r="248">
          <cell r="B248">
            <v>244</v>
          </cell>
        </row>
        <row r="249">
          <cell r="B249">
            <v>245</v>
          </cell>
        </row>
        <row r="250">
          <cell r="B250">
            <v>246</v>
          </cell>
        </row>
        <row r="251">
          <cell r="B251">
            <v>247</v>
          </cell>
        </row>
        <row r="252">
          <cell r="B252">
            <v>248</v>
          </cell>
        </row>
        <row r="253">
          <cell r="B253">
            <v>249</v>
          </cell>
        </row>
        <row r="254">
          <cell r="B254">
            <v>250</v>
          </cell>
        </row>
        <row r="255">
          <cell r="B255">
            <v>251</v>
          </cell>
        </row>
        <row r="256">
          <cell r="B256">
            <v>252</v>
          </cell>
        </row>
        <row r="257">
          <cell r="B257">
            <v>253</v>
          </cell>
        </row>
        <row r="258">
          <cell r="B258">
            <v>254</v>
          </cell>
        </row>
        <row r="259">
          <cell r="B259">
            <v>255</v>
          </cell>
        </row>
        <row r="260">
          <cell r="B260">
            <v>256</v>
          </cell>
        </row>
        <row r="261">
          <cell r="B261">
            <v>257</v>
          </cell>
        </row>
        <row r="262">
          <cell r="B262">
            <v>258</v>
          </cell>
        </row>
        <row r="263">
          <cell r="B263">
            <v>259</v>
          </cell>
        </row>
        <row r="264">
          <cell r="B264">
            <v>260</v>
          </cell>
        </row>
        <row r="265">
          <cell r="B265">
            <v>261</v>
          </cell>
        </row>
        <row r="266">
          <cell r="B266">
            <v>262</v>
          </cell>
        </row>
        <row r="267">
          <cell r="B267">
            <v>263</v>
          </cell>
        </row>
        <row r="268">
          <cell r="B268">
            <v>264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Summary"/>
      <sheetName val="Mainline to Leach"/>
      <sheetName val="Onshore to Mainline"/>
      <sheetName val="Niagara to Leidy"/>
      <sheetName val="Brazos 133B to TSta. 30"/>
      <sheetName val="Mobile Bay to Colonial"/>
      <sheetName val="Ventura to Chicago"/>
      <sheetName val="Monchy to Chicago"/>
      <sheetName val="NGPLTXOK to Gulf"/>
      <sheetName val="SJ to Valero"/>
      <sheetName val="Ignacio to Bloomfield"/>
      <sheetName val="LaPlata to Pecos"/>
      <sheetName val="Topock to PGECG"/>
      <sheetName val="Topock to PGECG 2"/>
      <sheetName val="Kingsgate to Malin"/>
      <sheetName val="ELSJ to Socal"/>
      <sheetName val="ELSJ to Topock"/>
      <sheetName val="Curves"/>
      <sheetName val="Intracorrel"/>
      <sheetName val="Intercorrel"/>
      <sheetName val="Correlations"/>
      <sheetName val="Data"/>
      <sheetName val="Date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urve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puts"/>
      <sheetName val="Gas Flow"/>
      <sheetName val="Electric Rate"/>
      <sheetName val="ECS CF"/>
      <sheetName val="Electric C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Quote Summary"/>
      <sheetName val="Summary"/>
      <sheetName val="Gas Price"/>
      <sheetName val="Curv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***??"/>
      <sheetName val="Summary"/>
      <sheetName val="Basis-Quote (Sonat)"/>
      <sheetName val="Index-Quote (Sonat)"/>
      <sheetName val="SONAT-5YR"/>
      <sheetName val="SONAT-10YR "/>
      <sheetName val="SONAT-20Y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5">
          <cell r="C5" t="str">
            <v>ANR SE</v>
          </cell>
          <cell r="D5" t="str">
            <v>ANR SW</v>
          </cell>
          <cell r="E5" t="str">
            <v>ANR C/G AREA</v>
          </cell>
          <cell r="F5" t="str">
            <v>PEPL</v>
          </cell>
          <cell r="G5" t="str">
            <v>Great Lakes</v>
          </cell>
          <cell r="H5" t="str">
            <v>TCPL</v>
          </cell>
          <cell r="I5" t="str">
            <v>Union</v>
          </cell>
        </row>
        <row r="6">
          <cell r="B6">
            <v>37257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1.052</v>
          </cell>
          <cell r="I6">
            <v>1</v>
          </cell>
        </row>
        <row r="7">
          <cell r="B7">
            <v>37622</v>
          </cell>
          <cell r="C7">
            <v>1.03</v>
          </cell>
          <cell r="D7">
            <v>1.03</v>
          </cell>
          <cell r="E7">
            <v>1.03</v>
          </cell>
          <cell r="F7">
            <v>1</v>
          </cell>
          <cell r="G7">
            <v>1</v>
          </cell>
          <cell r="H7">
            <v>1.3</v>
          </cell>
          <cell r="I7">
            <v>1</v>
          </cell>
        </row>
        <row r="8">
          <cell r="B8">
            <v>37987</v>
          </cell>
          <cell r="C8">
            <v>1.2</v>
          </cell>
          <cell r="D8">
            <v>1.2</v>
          </cell>
          <cell r="E8">
            <v>1.2</v>
          </cell>
          <cell r="F8">
            <v>1</v>
          </cell>
          <cell r="G8">
            <v>1</v>
          </cell>
          <cell r="H8">
            <v>1.02</v>
          </cell>
          <cell r="I8">
            <v>1</v>
          </cell>
        </row>
        <row r="9">
          <cell r="B9">
            <v>38353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1.03</v>
          </cell>
          <cell r="H9">
            <v>1.02</v>
          </cell>
          <cell r="I9">
            <v>1</v>
          </cell>
        </row>
        <row r="10">
          <cell r="B10">
            <v>38718</v>
          </cell>
          <cell r="C10">
            <v>1</v>
          </cell>
          <cell r="D10">
            <v>1</v>
          </cell>
          <cell r="E10">
            <v>1</v>
          </cell>
          <cell r="F10">
            <v>1</v>
          </cell>
          <cell r="G10">
            <v>1.2</v>
          </cell>
          <cell r="H10">
            <v>1.02</v>
          </cell>
          <cell r="I10">
            <v>1</v>
          </cell>
        </row>
        <row r="11">
          <cell r="B11">
            <v>39083</v>
          </cell>
          <cell r="C11">
            <v>1</v>
          </cell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1.02</v>
          </cell>
          <cell r="I11">
            <v>1</v>
          </cell>
        </row>
        <row r="12">
          <cell r="B12">
            <v>39448</v>
          </cell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1.02</v>
          </cell>
          <cell r="I12">
            <v>1</v>
          </cell>
        </row>
        <row r="13">
          <cell r="B13">
            <v>39814</v>
          </cell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1.02</v>
          </cell>
          <cell r="I13">
            <v>1</v>
          </cell>
        </row>
        <row r="14">
          <cell r="B14">
            <v>40179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1.02</v>
          </cell>
          <cell r="I14">
            <v>1</v>
          </cell>
        </row>
        <row r="15">
          <cell r="B15">
            <v>40544</v>
          </cell>
          <cell r="C15">
            <v>1</v>
          </cell>
          <cell r="D15">
            <v>1</v>
          </cell>
          <cell r="E15">
            <v>1</v>
          </cell>
          <cell r="F15">
            <v>1</v>
          </cell>
          <cell r="G15">
            <v>1</v>
          </cell>
          <cell r="H15">
            <v>1.02</v>
          </cell>
          <cell r="I15">
            <v>1</v>
          </cell>
        </row>
        <row r="16">
          <cell r="B16">
            <v>40909</v>
          </cell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1.02</v>
          </cell>
          <cell r="I16">
            <v>1</v>
          </cell>
        </row>
        <row r="17">
          <cell r="B17">
            <v>41275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1.02</v>
          </cell>
          <cell r="I17">
            <v>1</v>
          </cell>
        </row>
        <row r="18">
          <cell r="B18">
            <v>41640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1.02</v>
          </cell>
          <cell r="I18">
            <v>1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Escalation sheet"/>
      <sheetName val="Model Operations"/>
      <sheetName val="Value Summary"/>
      <sheetName val="Curves"/>
      <sheetName val="From Storage"/>
      <sheetName val="From Load"/>
      <sheetName val="ScratchPad"/>
      <sheetName val="ContractTbl"/>
      <sheetName val="Demand"/>
      <sheetName val="Monthly Vols"/>
      <sheetName val="Expenses"/>
      <sheetName val="Hedging Cost"/>
      <sheetName val="Pvalue"/>
      <sheetName val="Summary"/>
      <sheetName val="SummaryBreak"/>
      <sheetName val="In the $ Summary"/>
      <sheetName val="For Fletch"/>
      <sheetName val="Bid-Offer New"/>
      <sheetName val="Desk Bids-Offers"/>
      <sheetName val="In th Money Volumes"/>
      <sheetName val="Calc Excess"/>
      <sheetName val="In the $ Vols"/>
      <sheetName val="Summary of Stranded"/>
      <sheetName val="Path1"/>
      <sheetName val="Path2"/>
      <sheetName val="Path3"/>
      <sheetName val="Path4"/>
      <sheetName val="Path5"/>
      <sheetName val="Path6"/>
      <sheetName val="Path7"/>
      <sheetName val="Path8"/>
      <sheetName val="Path9"/>
      <sheetName val="Path10"/>
      <sheetName val="Path11"/>
      <sheetName val="Path12"/>
      <sheetName val="Path13"/>
      <sheetName val="Path14"/>
      <sheetName val="Path15"/>
      <sheetName val="Path16"/>
      <sheetName val="Path17"/>
      <sheetName val="Path18"/>
      <sheetName val="Path19"/>
      <sheetName val="Path20"/>
      <sheetName val="Path21"/>
      <sheetName val="Path22"/>
      <sheetName val="Path23"/>
      <sheetName val="Path24"/>
      <sheetName val="Path25"/>
      <sheetName val="Path26"/>
      <sheetName val="Path27"/>
      <sheetName val="Path28"/>
      <sheetName val="Path29"/>
      <sheetName val="Path30"/>
      <sheetName val="Path31"/>
      <sheetName val="Path32"/>
      <sheetName val="Path33"/>
      <sheetName val="Path34"/>
      <sheetName val="Path35"/>
      <sheetName val="Path36"/>
      <sheetName val="Path37"/>
      <sheetName val="Path38"/>
      <sheetName val="Path39"/>
      <sheetName val="Path40"/>
      <sheetName val="Path41"/>
      <sheetName val="Path42"/>
      <sheetName val="Path43"/>
      <sheetName val="Path44"/>
      <sheetName val="Path45"/>
      <sheetName val="Path46"/>
      <sheetName val="Path47"/>
      <sheetName val="Path48"/>
      <sheetName val="Path49"/>
      <sheetName val="Path50"/>
      <sheetName val="Path51"/>
      <sheetName val="Path52"/>
      <sheetName val="Path53"/>
      <sheetName val="Path54"/>
    </sheetNames>
    <sheetDataSet>
      <sheetData sheetId="0">
        <row r="20">
          <cell r="X20">
            <v>0.0341143917152</v>
          </cell>
        </row>
        <row r="21">
          <cell r="X21">
            <v>0.0341143917152</v>
          </cell>
        </row>
        <row r="22">
          <cell r="X22">
            <v>0.0341143917152</v>
          </cell>
        </row>
        <row r="23">
          <cell r="X23">
            <v>0.0341143917152</v>
          </cell>
        </row>
        <row r="24">
          <cell r="X24">
            <v>0.0341143917152</v>
          </cell>
        </row>
        <row r="25">
          <cell r="X25">
            <v>0.0341143917152</v>
          </cell>
        </row>
        <row r="26">
          <cell r="X26">
            <v>0.0341143917152</v>
          </cell>
        </row>
        <row r="27">
          <cell r="X27">
            <v>0.0358883400843904</v>
          </cell>
        </row>
        <row r="28">
          <cell r="X28">
            <v>0.0358883400843904</v>
          </cell>
        </row>
        <row r="29">
          <cell r="X29">
            <v>0.0358883400843904</v>
          </cell>
        </row>
        <row r="30">
          <cell r="X30">
            <v>0.0358883400843904</v>
          </cell>
        </row>
        <row r="31">
          <cell r="X31">
            <v>0.0358883400843904</v>
          </cell>
        </row>
        <row r="32">
          <cell r="X32">
            <v>0.0358883400843904</v>
          </cell>
        </row>
        <row r="33">
          <cell r="X33">
            <v>0.0358883400843904</v>
          </cell>
        </row>
        <row r="34">
          <cell r="X34">
            <v>0.0358883400843904</v>
          </cell>
        </row>
        <row r="35">
          <cell r="X35">
            <v>0.0358883400843904</v>
          </cell>
        </row>
        <row r="36">
          <cell r="X36">
            <v>0.0358883400843904</v>
          </cell>
        </row>
        <row r="37">
          <cell r="X37">
            <v>0.0358883400843904</v>
          </cell>
        </row>
        <row r="38">
          <cell r="X38">
            <v>0.0358883400843904</v>
          </cell>
        </row>
        <row r="39">
          <cell r="X39">
            <v>0.0466548421097075</v>
          </cell>
        </row>
        <row r="40">
          <cell r="X40">
            <v>0.0466548421097075</v>
          </cell>
        </row>
        <row r="41">
          <cell r="X41">
            <v>0.0466548421097075</v>
          </cell>
        </row>
        <row r="42">
          <cell r="X42">
            <v>0.0466548421097075</v>
          </cell>
        </row>
        <row r="43">
          <cell r="X43">
            <v>0.0466548421097075</v>
          </cell>
        </row>
        <row r="44">
          <cell r="X44">
            <v>0.0466548421097075</v>
          </cell>
        </row>
        <row r="45">
          <cell r="X45">
            <v>0.0466548421097075</v>
          </cell>
        </row>
        <row r="46">
          <cell r="X46">
            <v>0.0466548421097075</v>
          </cell>
        </row>
        <row r="47">
          <cell r="X47">
            <v>0.0466548421097075</v>
          </cell>
        </row>
        <row r="48">
          <cell r="X48">
            <v>0.0466548421097075</v>
          </cell>
        </row>
        <row r="49">
          <cell r="X49">
            <v>0.0466548421097075</v>
          </cell>
        </row>
        <row r="50">
          <cell r="X50">
            <v>0.0466548421097075</v>
          </cell>
        </row>
        <row r="51">
          <cell r="X51">
            <v>0.0475879389519017</v>
          </cell>
        </row>
        <row r="52">
          <cell r="X52">
            <v>0.0475879389519017</v>
          </cell>
        </row>
        <row r="53">
          <cell r="X53">
            <v>0.0475879389519017</v>
          </cell>
        </row>
        <row r="54">
          <cell r="X54">
            <v>0.0475879389519017</v>
          </cell>
        </row>
        <row r="55">
          <cell r="X55">
            <v>0.0475879389519017</v>
          </cell>
        </row>
        <row r="56">
          <cell r="X56">
            <v>0.0475879389519017</v>
          </cell>
        </row>
        <row r="57">
          <cell r="X57">
            <v>0.0475879389519017</v>
          </cell>
        </row>
        <row r="58">
          <cell r="X58">
            <v>0.0475879389519017</v>
          </cell>
        </row>
        <row r="59">
          <cell r="X59">
            <v>0.0475879389519017</v>
          </cell>
        </row>
        <row r="60">
          <cell r="X60">
            <v>0.0475879389519017</v>
          </cell>
        </row>
        <row r="61">
          <cell r="X61">
            <v>0.0475879389519017</v>
          </cell>
        </row>
        <row r="62">
          <cell r="X62">
            <v>0.0475879389519017</v>
          </cell>
        </row>
        <row r="63">
          <cell r="X63">
            <v>0.0485396977309397</v>
          </cell>
        </row>
        <row r="64">
          <cell r="X64">
            <v>0.0485396977309397</v>
          </cell>
        </row>
        <row r="65">
          <cell r="X65">
            <v>0.0485396977309397</v>
          </cell>
        </row>
        <row r="66">
          <cell r="X66">
            <v>0.0485396977309397</v>
          </cell>
        </row>
        <row r="67">
          <cell r="X67">
            <v>0.0485396977309397</v>
          </cell>
        </row>
        <row r="68">
          <cell r="X68">
            <v>0.0485396977309397</v>
          </cell>
        </row>
        <row r="69">
          <cell r="X69">
            <v>0.0485396977309397</v>
          </cell>
        </row>
        <row r="70">
          <cell r="X70">
            <v>0.0485396977309397</v>
          </cell>
        </row>
        <row r="71">
          <cell r="X71">
            <v>0.0485396977309397</v>
          </cell>
        </row>
        <row r="72">
          <cell r="X72">
            <v>0.0485396977309397</v>
          </cell>
        </row>
        <row r="73">
          <cell r="X73">
            <v>0.0485396977309397</v>
          </cell>
        </row>
        <row r="74">
          <cell r="X74">
            <v>0.0485396977309397</v>
          </cell>
        </row>
        <row r="75">
          <cell r="X75">
            <v>0.0495104916855585</v>
          </cell>
        </row>
        <row r="76">
          <cell r="X76">
            <v>0.0495104916855585</v>
          </cell>
        </row>
        <row r="77">
          <cell r="X77">
            <v>0.0495104916855585</v>
          </cell>
        </row>
        <row r="78">
          <cell r="X78">
            <v>0.0495104916855585</v>
          </cell>
        </row>
        <row r="79">
          <cell r="X79">
            <v>0.0495104916855585</v>
          </cell>
        </row>
        <row r="80">
          <cell r="X80">
            <v>0.0495104916855585</v>
          </cell>
        </row>
        <row r="81">
          <cell r="X81">
            <v>0.0495104916855585</v>
          </cell>
        </row>
        <row r="82">
          <cell r="X82">
            <v>0.0495104916855585</v>
          </cell>
        </row>
        <row r="83">
          <cell r="X83">
            <v>0.0495104916855585</v>
          </cell>
        </row>
        <row r="84">
          <cell r="X84">
            <v>0.0495104916855585</v>
          </cell>
        </row>
        <row r="85">
          <cell r="X85">
            <v>0.0495104916855585</v>
          </cell>
        </row>
        <row r="86">
          <cell r="X86">
            <v>0.0495104916855585</v>
          </cell>
        </row>
        <row r="87">
          <cell r="X87">
            <v>0.0505007015192697</v>
          </cell>
        </row>
        <row r="88">
          <cell r="X88">
            <v>0.0505007015192697</v>
          </cell>
        </row>
        <row r="89">
          <cell r="X89">
            <v>0.0505007015192697</v>
          </cell>
        </row>
        <row r="90">
          <cell r="X90">
            <v>0.0505007015192697</v>
          </cell>
        </row>
        <row r="91">
          <cell r="X91">
            <v>0.0505007015192697</v>
          </cell>
        </row>
        <row r="92">
          <cell r="X92">
            <v>0.0505007015192697</v>
          </cell>
        </row>
        <row r="93">
          <cell r="X93">
            <v>0.0505007015192697</v>
          </cell>
        </row>
        <row r="94">
          <cell r="X94">
            <v>0.0505007015192697</v>
          </cell>
        </row>
        <row r="95">
          <cell r="X95">
            <v>0.0505007015192697</v>
          </cell>
        </row>
        <row r="96">
          <cell r="X96">
            <v>0.0505007015192697</v>
          </cell>
        </row>
        <row r="97">
          <cell r="X97">
            <v>0.0505007015192697</v>
          </cell>
        </row>
        <row r="98">
          <cell r="X98">
            <v>0.0505007015192697</v>
          </cell>
        </row>
        <row r="99">
          <cell r="X99">
            <v>0.0515107155496551</v>
          </cell>
        </row>
        <row r="100">
          <cell r="X100">
            <v>0.0515107155496551</v>
          </cell>
        </row>
        <row r="101">
          <cell r="X101">
            <v>0.0515107155496551</v>
          </cell>
        </row>
        <row r="102">
          <cell r="X102">
            <v>0.0515107155496551</v>
          </cell>
        </row>
        <row r="103">
          <cell r="X103">
            <v>0.0515107155496551</v>
          </cell>
        </row>
        <row r="104">
          <cell r="X104">
            <v>0.0515107155496551</v>
          </cell>
        </row>
        <row r="105">
          <cell r="X105">
            <v>0.0515107155496551</v>
          </cell>
        </row>
        <row r="106">
          <cell r="X106">
            <v>0.0515107155496551</v>
          </cell>
        </row>
        <row r="107">
          <cell r="X107">
            <v>0.0515107155496551</v>
          </cell>
        </row>
        <row r="108">
          <cell r="X108">
            <v>0.0515107155496551</v>
          </cell>
        </row>
        <row r="109">
          <cell r="X109">
            <v>0.0515107155496551</v>
          </cell>
        </row>
        <row r="110">
          <cell r="X110">
            <v>0.0515107155496551</v>
          </cell>
        </row>
        <row r="111">
          <cell r="X111">
            <v>0.0525409298606482</v>
          </cell>
        </row>
        <row r="112">
          <cell r="X112">
            <v>0.0525409298606482</v>
          </cell>
        </row>
        <row r="113">
          <cell r="X113">
            <v>0.0525409298606482</v>
          </cell>
        </row>
        <row r="114">
          <cell r="X114">
            <v>0.0525409298606482</v>
          </cell>
        </row>
        <row r="115">
          <cell r="X115">
            <v>0.0525409298606482</v>
          </cell>
        </row>
        <row r="116">
          <cell r="X116">
            <v>0.0525409298606482</v>
          </cell>
        </row>
        <row r="117">
          <cell r="X117">
            <v>0.0525409298606482</v>
          </cell>
        </row>
        <row r="118">
          <cell r="X118">
            <v>0.0525409298606482</v>
          </cell>
        </row>
        <row r="119">
          <cell r="X119">
            <v>0.0525409298606482</v>
          </cell>
        </row>
        <row r="120">
          <cell r="X120">
            <v>0.0525409298606482</v>
          </cell>
        </row>
        <row r="121">
          <cell r="X121">
            <v>0.0525409298606482</v>
          </cell>
        </row>
        <row r="122">
          <cell r="X122">
            <v>0.0525409298606482</v>
          </cell>
        </row>
        <row r="123">
          <cell r="X123">
            <v>0.0535917484578611</v>
          </cell>
        </row>
        <row r="124">
          <cell r="X124">
            <v>0.0535917484578611</v>
          </cell>
        </row>
        <row r="125">
          <cell r="X125">
            <v>0.0535917484578611</v>
          </cell>
        </row>
        <row r="126">
          <cell r="X126">
            <v>0.0535917484578611</v>
          </cell>
        </row>
        <row r="127">
          <cell r="X127">
            <v>0.0535917484578611</v>
          </cell>
        </row>
        <row r="128">
          <cell r="X128">
            <v>0.0535917484578611</v>
          </cell>
        </row>
        <row r="129">
          <cell r="X129">
            <v>0.0535917484578611</v>
          </cell>
        </row>
        <row r="130">
          <cell r="X130">
            <v>0.0535917484578611</v>
          </cell>
        </row>
        <row r="131">
          <cell r="X131">
            <v>0.0535917484578611</v>
          </cell>
        </row>
        <row r="132">
          <cell r="X132">
            <v>0.0535917484578611</v>
          </cell>
        </row>
        <row r="133">
          <cell r="X133">
            <v>0.0535917484578611</v>
          </cell>
        </row>
        <row r="134">
          <cell r="X134">
            <v>0.0535917484578611</v>
          </cell>
        </row>
        <row r="135">
          <cell r="X135">
            <v>0.0546635834270183</v>
          </cell>
        </row>
        <row r="136">
          <cell r="X136">
            <v>0.0546635834270183</v>
          </cell>
        </row>
        <row r="137">
          <cell r="X137">
            <v>0.0546635834270183</v>
          </cell>
        </row>
        <row r="138">
          <cell r="X138">
            <v>0.0546635834270183</v>
          </cell>
        </row>
        <row r="139">
          <cell r="X139">
            <v>0.0546635834270183</v>
          </cell>
        </row>
        <row r="140">
          <cell r="X140">
            <v>0.0546635834270183</v>
          </cell>
        </row>
        <row r="141">
          <cell r="X141">
            <v>0.0546635834270183</v>
          </cell>
        </row>
        <row r="142">
          <cell r="X142">
            <v>0.0546635834270183</v>
          </cell>
        </row>
        <row r="143">
          <cell r="X143">
            <v>0.0546635834270183</v>
          </cell>
        </row>
        <row r="144">
          <cell r="X144">
            <v>0.0546635834270183</v>
          </cell>
        </row>
        <row r="145">
          <cell r="X145">
            <v>0.0546635834270183</v>
          </cell>
        </row>
        <row r="146">
          <cell r="X146">
            <v>0.0546635834270183</v>
          </cell>
        </row>
        <row r="147">
          <cell r="X147">
            <v>0.0557568550955587</v>
          </cell>
        </row>
        <row r="148">
          <cell r="X148">
            <v>0.0557568550955587</v>
          </cell>
        </row>
        <row r="149">
          <cell r="X149">
            <v>0.0557568550955587</v>
          </cell>
        </row>
        <row r="150">
          <cell r="X150">
            <v>0.0557568550955587</v>
          </cell>
        </row>
        <row r="151">
          <cell r="X151">
            <v>0.0557568550955587</v>
          </cell>
        </row>
        <row r="152">
          <cell r="X152">
            <v>0.0557568550955587</v>
          </cell>
        </row>
        <row r="153">
          <cell r="X153">
            <v>0.0557568550955587</v>
          </cell>
        </row>
        <row r="154">
          <cell r="X154">
            <v>0.0557568550955587</v>
          </cell>
        </row>
        <row r="155">
          <cell r="X155">
            <v>0.0557568550955587</v>
          </cell>
        </row>
        <row r="156">
          <cell r="X156">
            <v>0.0557568550955587</v>
          </cell>
        </row>
        <row r="157">
          <cell r="X157">
            <v>0.0557568550955587</v>
          </cell>
        </row>
        <row r="158">
          <cell r="X158">
            <v>0.0557568550955587</v>
          </cell>
        </row>
        <row r="159">
          <cell r="X159">
            <v>0.0568719921974699</v>
          </cell>
        </row>
        <row r="160">
          <cell r="X160">
            <v>0.0568719921974699</v>
          </cell>
        </row>
        <row r="161">
          <cell r="X161">
            <v>0.0568719921974699</v>
          </cell>
        </row>
        <row r="162">
          <cell r="X162">
            <v>0.0568719921974699</v>
          </cell>
        </row>
        <row r="163">
          <cell r="X163">
            <v>0.0568719921974699</v>
          </cell>
        </row>
        <row r="164">
          <cell r="X164">
            <v>0.0568719921974699</v>
          </cell>
        </row>
        <row r="165">
          <cell r="X165">
            <v>0.0568719921974699</v>
          </cell>
        </row>
        <row r="166">
          <cell r="X166">
            <v>0.0568719921974699</v>
          </cell>
        </row>
        <row r="167">
          <cell r="X167">
            <v>0.0568719921974699</v>
          </cell>
        </row>
        <row r="168">
          <cell r="X168">
            <v>0.0568719921974699</v>
          </cell>
        </row>
        <row r="169">
          <cell r="X169">
            <v>0.0568719921974699</v>
          </cell>
        </row>
        <row r="170">
          <cell r="X170">
            <v>0.0568719921974699</v>
          </cell>
        </row>
        <row r="171">
          <cell r="X171">
            <v>0.0580094320414193</v>
          </cell>
        </row>
        <row r="172">
          <cell r="X172">
            <v>0.0580094320414193</v>
          </cell>
        </row>
        <row r="173">
          <cell r="X173">
            <v>0.0580094320414193</v>
          </cell>
        </row>
        <row r="174">
          <cell r="X174">
            <v>0.0580094320414193</v>
          </cell>
        </row>
        <row r="175">
          <cell r="X175">
            <v>0.0580094320414193</v>
          </cell>
        </row>
        <row r="176">
          <cell r="X176">
            <v>0.0580094320414193</v>
          </cell>
        </row>
        <row r="177">
          <cell r="X177">
            <v>0.0580094320414193</v>
          </cell>
        </row>
        <row r="178">
          <cell r="X178">
            <v>0.0580094320414193</v>
          </cell>
        </row>
        <row r="179">
          <cell r="X179">
            <v>0.0580094320414193</v>
          </cell>
        </row>
        <row r="180">
          <cell r="X180">
            <v>0.0580094320414193</v>
          </cell>
        </row>
        <row r="181">
          <cell r="X181">
            <v>0.0580094320414193</v>
          </cell>
        </row>
        <row r="182">
          <cell r="X182">
            <v>0.0580094320414193</v>
          </cell>
        </row>
      </sheetData>
      <sheetData sheetId="1">
        <row r="62">
          <cell r="C62">
            <v>0.0011522266576</v>
          </cell>
        </row>
        <row r="62">
          <cell r="E62">
            <v>0.0036970217296</v>
          </cell>
        </row>
        <row r="63">
          <cell r="C63">
            <v>0.0011522266576</v>
          </cell>
        </row>
        <row r="63">
          <cell r="E63">
            <v>0.0036970217296</v>
          </cell>
        </row>
        <row r="64">
          <cell r="C64">
            <v>0.0011522266576</v>
          </cell>
        </row>
        <row r="64">
          <cell r="E64">
            <v>0.0036970217296</v>
          </cell>
        </row>
        <row r="65">
          <cell r="C65">
            <v>0.0011522266576</v>
          </cell>
        </row>
        <row r="65">
          <cell r="E65">
            <v>0.0036970217296</v>
          </cell>
        </row>
        <row r="66">
          <cell r="C66">
            <v>0.0011522266576</v>
          </cell>
        </row>
        <row r="66">
          <cell r="E66">
            <v>0.0036970217296</v>
          </cell>
        </row>
        <row r="67">
          <cell r="C67">
            <v>0.0011522266576</v>
          </cell>
        </row>
        <row r="67">
          <cell r="E67">
            <v>0.0036970217296</v>
          </cell>
        </row>
        <row r="68">
          <cell r="C68">
            <v>0.0011522266576</v>
          </cell>
        </row>
        <row r="68">
          <cell r="E68">
            <v>0.0036970217296</v>
          </cell>
        </row>
        <row r="69">
          <cell r="C69">
            <v>0.0012121424437952</v>
          </cell>
        </row>
        <row r="69">
          <cell r="E69">
            <v>0.0038892668595392</v>
          </cell>
        </row>
        <row r="70">
          <cell r="C70">
            <v>0.0012121424437952</v>
          </cell>
        </row>
        <row r="70">
          <cell r="E70">
            <v>0.0038892668595392</v>
          </cell>
        </row>
        <row r="71">
          <cell r="C71">
            <v>0.0012121424437952</v>
          </cell>
        </row>
        <row r="71">
          <cell r="E71">
            <v>0.0038892668595392</v>
          </cell>
        </row>
        <row r="72">
          <cell r="C72">
            <v>0.0012121424437952</v>
          </cell>
        </row>
        <row r="72">
          <cell r="E72">
            <v>0.0038892668595392</v>
          </cell>
        </row>
        <row r="73">
          <cell r="C73">
            <v>0.0012121424437952</v>
          </cell>
        </row>
        <row r="73">
          <cell r="E73">
            <v>0.0038892668595392</v>
          </cell>
        </row>
        <row r="74">
          <cell r="C74">
            <v>0.0012121424437952</v>
          </cell>
        </row>
        <row r="74">
          <cell r="E74">
            <v>0.0038892668595392</v>
          </cell>
        </row>
        <row r="75">
          <cell r="C75">
            <v>0.0012121424437952</v>
          </cell>
        </row>
        <row r="75">
          <cell r="E75">
            <v>0.0038892668595392</v>
          </cell>
        </row>
        <row r="76">
          <cell r="C76">
            <v>0.0012121424437952</v>
          </cell>
        </row>
        <row r="76">
          <cell r="E76">
            <v>0.0038892668595392</v>
          </cell>
        </row>
        <row r="77">
          <cell r="C77">
            <v>0.0012121424437952</v>
          </cell>
        </row>
        <row r="77">
          <cell r="E77">
            <v>0.0038892668595392</v>
          </cell>
        </row>
        <row r="78">
          <cell r="C78">
            <v>0.0012121424437952</v>
          </cell>
        </row>
        <row r="78">
          <cell r="E78">
            <v>0.0038892668595392</v>
          </cell>
        </row>
        <row r="79">
          <cell r="C79">
            <v>0.0012121424437952</v>
          </cell>
        </row>
        <row r="79">
          <cell r="E79">
            <v>0.0038892668595392</v>
          </cell>
        </row>
        <row r="80">
          <cell r="C80">
            <v>0.0012121424437952</v>
          </cell>
        </row>
        <row r="80">
          <cell r="E80">
            <v>0.0038892668595392</v>
          </cell>
        </row>
        <row r="81">
          <cell r="C81">
            <v>0.00157578517693376</v>
          </cell>
        </row>
        <row r="81">
          <cell r="E81">
            <v>0.00505604691740096</v>
          </cell>
        </row>
        <row r="82">
          <cell r="C82">
            <v>0.00157578517693376</v>
          </cell>
        </row>
        <row r="82">
          <cell r="E82">
            <v>0.00505604691740096</v>
          </cell>
        </row>
        <row r="83">
          <cell r="C83">
            <v>0.00157578517693376</v>
          </cell>
        </row>
        <row r="83">
          <cell r="E83">
            <v>0.00505604691740096</v>
          </cell>
        </row>
        <row r="84">
          <cell r="C84">
            <v>0.00157578517693376</v>
          </cell>
        </row>
        <row r="84">
          <cell r="E84">
            <v>0.00505604691740096</v>
          </cell>
        </row>
        <row r="85">
          <cell r="C85">
            <v>0.00157578517693376</v>
          </cell>
        </row>
        <row r="85">
          <cell r="E85">
            <v>0.00505604691740096</v>
          </cell>
        </row>
        <row r="86">
          <cell r="C86">
            <v>0.00157578517693376</v>
          </cell>
        </row>
        <row r="86">
          <cell r="E86">
            <v>0.00505604691740096</v>
          </cell>
        </row>
        <row r="87">
          <cell r="C87">
            <v>0.00157578517693376</v>
          </cell>
        </row>
        <row r="87">
          <cell r="E87">
            <v>0.00505604691740096</v>
          </cell>
        </row>
        <row r="88">
          <cell r="C88">
            <v>0.00157578517693376</v>
          </cell>
        </row>
        <row r="88">
          <cell r="E88">
            <v>0.00505604691740096</v>
          </cell>
        </row>
        <row r="89">
          <cell r="C89">
            <v>0.00157578517693376</v>
          </cell>
        </row>
        <row r="89">
          <cell r="E89">
            <v>0.00505604691740096</v>
          </cell>
        </row>
        <row r="90">
          <cell r="C90">
            <v>0.00157578517693376</v>
          </cell>
        </row>
        <row r="90">
          <cell r="E90">
            <v>0.00505604691740096</v>
          </cell>
        </row>
        <row r="91">
          <cell r="C91">
            <v>0.00157578517693376</v>
          </cell>
        </row>
        <row r="91">
          <cell r="E91">
            <v>0.00505604691740096</v>
          </cell>
        </row>
        <row r="92">
          <cell r="C92">
            <v>0.00157578517693376</v>
          </cell>
        </row>
        <row r="92">
          <cell r="E92">
            <v>0.00505604691740096</v>
          </cell>
        </row>
        <row r="93">
          <cell r="C93">
            <v>0.00165457443578045</v>
          </cell>
        </row>
        <row r="93">
          <cell r="E93">
            <v>0.00530884926327101</v>
          </cell>
        </row>
        <row r="94">
          <cell r="C94">
            <v>0.00165457443578045</v>
          </cell>
        </row>
        <row r="94">
          <cell r="E94">
            <v>0.00530884926327101</v>
          </cell>
        </row>
        <row r="95">
          <cell r="C95">
            <v>0.00165457443578045</v>
          </cell>
        </row>
        <row r="95">
          <cell r="E95">
            <v>0.00530884926327101</v>
          </cell>
        </row>
        <row r="96">
          <cell r="C96">
            <v>0.00165457443578045</v>
          </cell>
        </row>
        <row r="96">
          <cell r="E96">
            <v>0.00530884926327101</v>
          </cell>
        </row>
        <row r="97">
          <cell r="C97">
            <v>0.00165457443578045</v>
          </cell>
        </row>
        <row r="97">
          <cell r="E97">
            <v>0.00530884926327101</v>
          </cell>
        </row>
        <row r="98">
          <cell r="C98">
            <v>0.00165457443578045</v>
          </cell>
        </row>
        <row r="98">
          <cell r="E98">
            <v>0.00530884926327101</v>
          </cell>
        </row>
        <row r="99">
          <cell r="C99">
            <v>0.00165457443578045</v>
          </cell>
        </row>
        <row r="99">
          <cell r="E99">
            <v>0.00530884926327101</v>
          </cell>
        </row>
        <row r="100">
          <cell r="C100">
            <v>0.00165457443578045</v>
          </cell>
        </row>
        <row r="100">
          <cell r="E100">
            <v>0.00530884926327101</v>
          </cell>
        </row>
        <row r="101">
          <cell r="C101">
            <v>0.00165457443578045</v>
          </cell>
        </row>
        <row r="101">
          <cell r="E101">
            <v>0.00530884926327101</v>
          </cell>
        </row>
        <row r="102">
          <cell r="C102">
            <v>0.00165457443578045</v>
          </cell>
        </row>
        <row r="102">
          <cell r="E102">
            <v>0.00530884926327101</v>
          </cell>
        </row>
        <row r="103">
          <cell r="C103">
            <v>0.00165457443578045</v>
          </cell>
        </row>
        <row r="103">
          <cell r="E103">
            <v>0.00530884926327101</v>
          </cell>
        </row>
        <row r="104">
          <cell r="C104">
            <v>0.00165457443578045</v>
          </cell>
        </row>
        <row r="104">
          <cell r="E104">
            <v>0.00530884926327101</v>
          </cell>
        </row>
        <row r="105">
          <cell r="C105">
            <v>0.00173730315756947</v>
          </cell>
        </row>
        <row r="105">
          <cell r="E105">
            <v>0.00557429172643456</v>
          </cell>
        </row>
        <row r="106">
          <cell r="C106">
            <v>0.00173730315756947</v>
          </cell>
        </row>
        <row r="106">
          <cell r="E106">
            <v>0.00557429172643456</v>
          </cell>
        </row>
        <row r="107">
          <cell r="C107">
            <v>0.00173730315756947</v>
          </cell>
        </row>
        <row r="107">
          <cell r="E107">
            <v>0.00557429172643456</v>
          </cell>
        </row>
        <row r="108">
          <cell r="C108">
            <v>0.00173730315756947</v>
          </cell>
        </row>
        <row r="108">
          <cell r="E108">
            <v>0.00557429172643456</v>
          </cell>
        </row>
        <row r="109">
          <cell r="C109">
            <v>0.00173730315756947</v>
          </cell>
        </row>
        <row r="109">
          <cell r="E109">
            <v>0.00557429172643456</v>
          </cell>
        </row>
        <row r="110">
          <cell r="C110">
            <v>0.00173730315756947</v>
          </cell>
        </row>
        <row r="110">
          <cell r="E110">
            <v>0.00557429172643456</v>
          </cell>
        </row>
        <row r="111">
          <cell r="C111">
            <v>0.00173730315756947</v>
          </cell>
        </row>
        <row r="111">
          <cell r="E111">
            <v>0.00557429172643456</v>
          </cell>
        </row>
        <row r="112">
          <cell r="C112">
            <v>0.00173730315756947</v>
          </cell>
        </row>
        <row r="112">
          <cell r="E112">
            <v>0.00557429172643456</v>
          </cell>
        </row>
        <row r="113">
          <cell r="C113">
            <v>0.00173730315756947</v>
          </cell>
        </row>
        <row r="113">
          <cell r="E113">
            <v>0.00557429172643456</v>
          </cell>
        </row>
        <row r="114">
          <cell r="C114">
            <v>0.00173730315756947</v>
          </cell>
        </row>
        <row r="114">
          <cell r="E114">
            <v>0.00557429172643456</v>
          </cell>
        </row>
        <row r="115">
          <cell r="C115">
            <v>0.00173730315756947</v>
          </cell>
        </row>
        <row r="115">
          <cell r="E115">
            <v>0.00557429172643456</v>
          </cell>
        </row>
        <row r="116">
          <cell r="C116">
            <v>0.00173730315756947</v>
          </cell>
        </row>
        <row r="116">
          <cell r="E116">
            <v>0.00557429172643456</v>
          </cell>
        </row>
        <row r="117">
          <cell r="C117">
            <v>0.00182416831544794</v>
          </cell>
        </row>
        <row r="117">
          <cell r="E117">
            <v>0.00585300631275629</v>
          </cell>
        </row>
        <row r="118">
          <cell r="C118">
            <v>0.00182416831544794</v>
          </cell>
        </row>
        <row r="118">
          <cell r="E118">
            <v>0.00585300631275629</v>
          </cell>
        </row>
        <row r="119">
          <cell r="C119">
            <v>0.00182416831544794</v>
          </cell>
        </row>
        <row r="119">
          <cell r="E119">
            <v>0.00585300631275629</v>
          </cell>
        </row>
        <row r="120">
          <cell r="C120">
            <v>0.00182416831544794</v>
          </cell>
        </row>
        <row r="120">
          <cell r="E120">
            <v>0.00585300631275629</v>
          </cell>
        </row>
        <row r="121">
          <cell r="C121">
            <v>0.00182416831544794</v>
          </cell>
        </row>
        <row r="121">
          <cell r="E121">
            <v>0.00585300631275629</v>
          </cell>
        </row>
        <row r="122">
          <cell r="C122">
            <v>0.00182416831544794</v>
          </cell>
        </row>
        <row r="122">
          <cell r="E122">
            <v>0.00585300631275629</v>
          </cell>
        </row>
        <row r="123">
          <cell r="C123">
            <v>0.00182416831544794</v>
          </cell>
        </row>
        <row r="123">
          <cell r="E123">
            <v>0.00585300631275629</v>
          </cell>
        </row>
        <row r="124">
          <cell r="C124">
            <v>0.00182416831544794</v>
          </cell>
        </row>
        <row r="124">
          <cell r="E124">
            <v>0.00585300631275629</v>
          </cell>
        </row>
        <row r="125">
          <cell r="C125">
            <v>0.00182416831544794</v>
          </cell>
        </row>
        <row r="125">
          <cell r="E125">
            <v>0.00585300631275629</v>
          </cell>
        </row>
        <row r="126">
          <cell r="C126">
            <v>0.00182416831544794</v>
          </cell>
        </row>
        <row r="126">
          <cell r="E126">
            <v>0.00585300631275629</v>
          </cell>
        </row>
        <row r="127">
          <cell r="C127">
            <v>0.00182416831544794</v>
          </cell>
        </row>
        <row r="127">
          <cell r="E127">
            <v>0.00585300631275629</v>
          </cell>
        </row>
        <row r="128">
          <cell r="C128">
            <v>0.00182416831544794</v>
          </cell>
        </row>
        <row r="128">
          <cell r="E128">
            <v>0.00585300631275629</v>
          </cell>
        </row>
        <row r="129">
          <cell r="C129">
            <v>0.00191537673122034</v>
          </cell>
        </row>
        <row r="129">
          <cell r="E129">
            <v>0.0061456566283941</v>
          </cell>
        </row>
        <row r="130">
          <cell r="C130">
            <v>0.00191537673122034</v>
          </cell>
        </row>
        <row r="130">
          <cell r="E130">
            <v>0.0061456566283941</v>
          </cell>
        </row>
        <row r="131">
          <cell r="C131">
            <v>0.00191537673122034</v>
          </cell>
        </row>
        <row r="131">
          <cell r="E131">
            <v>0.0061456566283941</v>
          </cell>
        </row>
        <row r="132">
          <cell r="C132">
            <v>0.00191537673122034</v>
          </cell>
        </row>
        <row r="132">
          <cell r="E132">
            <v>0.0061456566283941</v>
          </cell>
        </row>
        <row r="133">
          <cell r="C133">
            <v>0.00191537673122034</v>
          </cell>
        </row>
        <row r="133">
          <cell r="E133">
            <v>0.0061456566283941</v>
          </cell>
        </row>
        <row r="134">
          <cell r="C134">
            <v>0.00191537673122034</v>
          </cell>
        </row>
        <row r="134">
          <cell r="E134">
            <v>0.0061456566283941</v>
          </cell>
        </row>
        <row r="135">
          <cell r="C135">
            <v>0.00191537673122034</v>
          </cell>
        </row>
        <row r="135">
          <cell r="E135">
            <v>0.0061456566283941</v>
          </cell>
        </row>
        <row r="136">
          <cell r="C136">
            <v>0.00191537673122034</v>
          </cell>
        </row>
        <row r="136">
          <cell r="E136">
            <v>0.0061456566283941</v>
          </cell>
        </row>
        <row r="137">
          <cell r="C137">
            <v>0.00191537673122034</v>
          </cell>
        </row>
        <row r="137">
          <cell r="E137">
            <v>0.0061456566283941</v>
          </cell>
        </row>
        <row r="138">
          <cell r="C138">
            <v>0.00191537673122034</v>
          </cell>
        </row>
        <row r="138">
          <cell r="E138">
            <v>0.0061456566283941</v>
          </cell>
        </row>
        <row r="139">
          <cell r="C139">
            <v>0.00191537673122034</v>
          </cell>
        </row>
        <row r="139">
          <cell r="E139">
            <v>0.0061456566283941</v>
          </cell>
        </row>
        <row r="140">
          <cell r="C140">
            <v>0.00191537673122034</v>
          </cell>
        </row>
        <row r="140">
          <cell r="E140">
            <v>0.0061456566283941</v>
          </cell>
        </row>
        <row r="141">
          <cell r="C141">
            <v>0.00201114556778136</v>
          </cell>
        </row>
        <row r="141">
          <cell r="E141">
            <v>0.00645293945981381</v>
          </cell>
        </row>
        <row r="142">
          <cell r="C142">
            <v>0.00201114556778136</v>
          </cell>
        </row>
        <row r="142">
          <cell r="E142">
            <v>0.00645293945981381</v>
          </cell>
        </row>
        <row r="143">
          <cell r="C143">
            <v>0.00201114556778136</v>
          </cell>
        </row>
        <row r="143">
          <cell r="E143">
            <v>0.00645293945981381</v>
          </cell>
        </row>
        <row r="144">
          <cell r="C144">
            <v>0.00201114556778136</v>
          </cell>
        </row>
        <row r="144">
          <cell r="E144">
            <v>0.00645293945981381</v>
          </cell>
        </row>
        <row r="145">
          <cell r="C145">
            <v>0.00201114556778136</v>
          </cell>
        </row>
        <row r="145">
          <cell r="E145">
            <v>0.00645293945981381</v>
          </cell>
        </row>
        <row r="146">
          <cell r="C146">
            <v>0.00201114556778136</v>
          </cell>
        </row>
        <row r="146">
          <cell r="E146">
            <v>0.00645293945981381</v>
          </cell>
        </row>
        <row r="147">
          <cell r="C147">
            <v>0.00201114556778136</v>
          </cell>
        </row>
        <row r="147">
          <cell r="E147">
            <v>0.00645293945981381</v>
          </cell>
        </row>
        <row r="148">
          <cell r="C148">
            <v>0.00201114556778136</v>
          </cell>
        </row>
        <row r="148">
          <cell r="E148">
            <v>0.00645293945981381</v>
          </cell>
        </row>
        <row r="149">
          <cell r="C149">
            <v>0.00201114556778136</v>
          </cell>
        </row>
        <row r="149">
          <cell r="E149">
            <v>0.00645293945981381</v>
          </cell>
        </row>
        <row r="150">
          <cell r="C150">
            <v>0.00201114556778136</v>
          </cell>
        </row>
        <row r="150">
          <cell r="E150">
            <v>0.00645293945981381</v>
          </cell>
        </row>
        <row r="151">
          <cell r="C151">
            <v>0.00201114556778136</v>
          </cell>
        </row>
        <row r="151">
          <cell r="E151">
            <v>0.00645293945981381</v>
          </cell>
        </row>
        <row r="152">
          <cell r="C152">
            <v>0.00201114556778136</v>
          </cell>
        </row>
        <row r="152">
          <cell r="E152">
            <v>0.00645293945981381</v>
          </cell>
        </row>
        <row r="153">
          <cell r="C153">
            <v>0.00211170284617043</v>
          </cell>
        </row>
        <row r="153">
          <cell r="E153">
            <v>0.0067755864328045</v>
          </cell>
        </row>
        <row r="154">
          <cell r="C154">
            <v>0.00211170284617043</v>
          </cell>
        </row>
        <row r="154">
          <cell r="E154">
            <v>0.0067755864328045</v>
          </cell>
        </row>
        <row r="155">
          <cell r="C155">
            <v>0.00211170284617043</v>
          </cell>
        </row>
        <row r="155">
          <cell r="E155">
            <v>0.0067755864328045</v>
          </cell>
        </row>
        <row r="156">
          <cell r="C156">
            <v>0.00211170284617043</v>
          </cell>
        </row>
        <row r="156">
          <cell r="E156">
            <v>0.0067755864328045</v>
          </cell>
        </row>
        <row r="157">
          <cell r="C157">
            <v>0.00211170284617043</v>
          </cell>
        </row>
        <row r="157">
          <cell r="E157">
            <v>0.0067755864328045</v>
          </cell>
        </row>
        <row r="158">
          <cell r="C158">
            <v>0.00211170284617043</v>
          </cell>
        </row>
        <row r="158">
          <cell r="E158">
            <v>0.0067755864328045</v>
          </cell>
        </row>
        <row r="159">
          <cell r="C159">
            <v>0.00211170284617043</v>
          </cell>
        </row>
        <row r="159">
          <cell r="E159">
            <v>0.0067755864328045</v>
          </cell>
        </row>
        <row r="160">
          <cell r="C160">
            <v>0.00211170284617043</v>
          </cell>
        </row>
        <row r="160">
          <cell r="E160">
            <v>0.0067755864328045</v>
          </cell>
        </row>
        <row r="161">
          <cell r="C161">
            <v>0.00211170284617043</v>
          </cell>
        </row>
        <row r="161">
          <cell r="E161">
            <v>0.0067755864328045</v>
          </cell>
        </row>
        <row r="162">
          <cell r="C162">
            <v>0.00211170284617043</v>
          </cell>
        </row>
        <row r="162">
          <cell r="E162">
            <v>0.0067755864328045</v>
          </cell>
        </row>
        <row r="163">
          <cell r="C163">
            <v>0.00211170284617043</v>
          </cell>
        </row>
        <row r="163">
          <cell r="E163">
            <v>0.0067755864328045</v>
          </cell>
        </row>
        <row r="164">
          <cell r="C164">
            <v>0.00211170284617043</v>
          </cell>
        </row>
        <row r="164">
          <cell r="E164">
            <v>0.0067755864328045</v>
          </cell>
        </row>
        <row r="165">
          <cell r="C165">
            <v>0.00221728798847895</v>
          </cell>
        </row>
        <row r="165">
          <cell r="E165">
            <v>0.00711436575444473</v>
          </cell>
        </row>
        <row r="166">
          <cell r="C166">
            <v>0.00221728798847895</v>
          </cell>
        </row>
        <row r="166">
          <cell r="E166">
            <v>0.00711436575444473</v>
          </cell>
        </row>
        <row r="167">
          <cell r="C167">
            <v>0.00221728798847895</v>
          </cell>
        </row>
        <row r="167">
          <cell r="E167">
            <v>0.00711436575444473</v>
          </cell>
        </row>
        <row r="168">
          <cell r="C168">
            <v>0.00221728798847895</v>
          </cell>
        </row>
        <row r="168">
          <cell r="E168">
            <v>0.00711436575444473</v>
          </cell>
        </row>
        <row r="169">
          <cell r="C169">
            <v>0.00221728798847895</v>
          </cell>
        </row>
        <row r="169">
          <cell r="E169">
            <v>0.00711436575444473</v>
          </cell>
        </row>
        <row r="170">
          <cell r="C170">
            <v>0.00221728798847895</v>
          </cell>
        </row>
        <row r="170">
          <cell r="E170">
            <v>0.00711436575444473</v>
          </cell>
        </row>
        <row r="171">
          <cell r="C171">
            <v>0.00221728798847895</v>
          </cell>
        </row>
        <row r="171">
          <cell r="E171">
            <v>0.00711436575444473</v>
          </cell>
        </row>
        <row r="172">
          <cell r="C172">
            <v>0.00221728798847895</v>
          </cell>
        </row>
        <row r="172">
          <cell r="E172">
            <v>0.00711436575444473</v>
          </cell>
        </row>
        <row r="173">
          <cell r="C173">
            <v>0.00221728798847895</v>
          </cell>
        </row>
        <row r="173">
          <cell r="E173">
            <v>0.00711436575444473</v>
          </cell>
        </row>
        <row r="174">
          <cell r="C174">
            <v>0.00221728798847895</v>
          </cell>
        </row>
        <row r="174">
          <cell r="E174">
            <v>0.00711436575444473</v>
          </cell>
        </row>
        <row r="175">
          <cell r="C175">
            <v>0.00221728798847895</v>
          </cell>
        </row>
        <row r="175">
          <cell r="E175">
            <v>0.00711436575444473</v>
          </cell>
        </row>
        <row r="176">
          <cell r="C176">
            <v>0.00221728798847895</v>
          </cell>
        </row>
        <row r="176">
          <cell r="E176">
            <v>0.00711436575444473</v>
          </cell>
        </row>
        <row r="177">
          <cell r="C177">
            <v>0.0023281523879029</v>
          </cell>
        </row>
        <row r="177">
          <cell r="E177">
            <v>0.00747008404216696</v>
          </cell>
        </row>
        <row r="178">
          <cell r="C178">
            <v>0.0023281523879029</v>
          </cell>
        </row>
        <row r="178">
          <cell r="E178">
            <v>0.00747008404216696</v>
          </cell>
        </row>
        <row r="179">
          <cell r="C179">
            <v>0.0023281523879029</v>
          </cell>
        </row>
        <row r="179">
          <cell r="E179">
            <v>0.00747008404216696</v>
          </cell>
        </row>
        <row r="180">
          <cell r="C180">
            <v>0.0023281523879029</v>
          </cell>
        </row>
        <row r="180">
          <cell r="E180">
            <v>0.00747008404216696</v>
          </cell>
        </row>
        <row r="181">
          <cell r="C181">
            <v>0.0023281523879029</v>
          </cell>
        </row>
        <row r="181">
          <cell r="E181">
            <v>0.00747008404216696</v>
          </cell>
        </row>
        <row r="182">
          <cell r="C182">
            <v>0.0023281523879029</v>
          </cell>
        </row>
        <row r="182">
          <cell r="E182">
            <v>0.00747008404216696</v>
          </cell>
        </row>
        <row r="183">
          <cell r="C183">
            <v>0.0023281523879029</v>
          </cell>
        </row>
        <row r="183">
          <cell r="E183">
            <v>0.00747008404216696</v>
          </cell>
        </row>
        <row r="184">
          <cell r="C184">
            <v>0.0023281523879029</v>
          </cell>
        </row>
        <row r="184">
          <cell r="E184">
            <v>0.00747008404216696</v>
          </cell>
        </row>
        <row r="185">
          <cell r="C185">
            <v>0.0023281523879029</v>
          </cell>
        </row>
        <row r="185">
          <cell r="E185">
            <v>0.00747008404216696</v>
          </cell>
        </row>
        <row r="186">
          <cell r="C186">
            <v>0.0023281523879029</v>
          </cell>
        </row>
        <row r="186">
          <cell r="E186">
            <v>0.00747008404216696</v>
          </cell>
        </row>
        <row r="187">
          <cell r="C187">
            <v>0.0023281523879029</v>
          </cell>
        </row>
        <row r="187">
          <cell r="E187">
            <v>0.00747008404216696</v>
          </cell>
        </row>
        <row r="188">
          <cell r="C188">
            <v>0.0023281523879029</v>
          </cell>
        </row>
        <row r="188">
          <cell r="E188">
            <v>0.00747008404216696</v>
          </cell>
        </row>
        <row r="189">
          <cell r="C189">
            <v>0.00244456000729804</v>
          </cell>
        </row>
        <row r="189">
          <cell r="E189">
            <v>0.00784358824427531</v>
          </cell>
        </row>
        <row r="190">
          <cell r="C190">
            <v>0.00244456000729804</v>
          </cell>
        </row>
        <row r="190">
          <cell r="E190">
            <v>0.00784358824427531</v>
          </cell>
        </row>
        <row r="191">
          <cell r="C191">
            <v>0.00244456000729804</v>
          </cell>
        </row>
        <row r="191">
          <cell r="E191">
            <v>0.00784358824427531</v>
          </cell>
        </row>
        <row r="192">
          <cell r="C192">
            <v>0.00244456000729804</v>
          </cell>
        </row>
        <row r="192">
          <cell r="E192">
            <v>0.00784358824427531</v>
          </cell>
        </row>
        <row r="193">
          <cell r="C193">
            <v>0.00244456000729804</v>
          </cell>
        </row>
        <row r="193">
          <cell r="E193">
            <v>0.00784358824427531</v>
          </cell>
        </row>
        <row r="194">
          <cell r="C194">
            <v>0.00244456000729804</v>
          </cell>
        </row>
        <row r="194">
          <cell r="E194">
            <v>0.00784358824427531</v>
          </cell>
        </row>
        <row r="195">
          <cell r="C195">
            <v>0.00244456000729804</v>
          </cell>
        </row>
        <row r="195">
          <cell r="E195">
            <v>0.00784358824427531</v>
          </cell>
        </row>
        <row r="196">
          <cell r="C196">
            <v>0.00244456000729804</v>
          </cell>
        </row>
        <row r="196">
          <cell r="E196">
            <v>0.00784358824427531</v>
          </cell>
        </row>
        <row r="197">
          <cell r="C197">
            <v>0.00244456000729804</v>
          </cell>
        </row>
        <row r="197">
          <cell r="E197">
            <v>0.00784358824427531</v>
          </cell>
        </row>
        <row r="198">
          <cell r="C198">
            <v>0.00244456000729804</v>
          </cell>
        </row>
        <row r="198">
          <cell r="E198">
            <v>0.00784358824427531</v>
          </cell>
        </row>
        <row r="199">
          <cell r="C199">
            <v>0.00244456000729804</v>
          </cell>
        </row>
        <row r="199">
          <cell r="E199">
            <v>0.00784358824427531</v>
          </cell>
        </row>
        <row r="200">
          <cell r="C200">
            <v>0.00244456000729804</v>
          </cell>
        </row>
        <row r="200">
          <cell r="E200">
            <v>0.00784358824427531</v>
          </cell>
        </row>
        <row r="201">
          <cell r="C201">
            <v>0.00256678800766294</v>
          </cell>
        </row>
        <row r="201">
          <cell r="E201">
            <v>0.00823576765648908</v>
          </cell>
        </row>
        <row r="202">
          <cell r="C202">
            <v>0.00256678800766294</v>
          </cell>
        </row>
        <row r="202">
          <cell r="E202">
            <v>0.00823576765648908</v>
          </cell>
        </row>
        <row r="203">
          <cell r="C203">
            <v>0.00256678800766294</v>
          </cell>
        </row>
        <row r="203">
          <cell r="E203">
            <v>0.00823576765648908</v>
          </cell>
        </row>
        <row r="204">
          <cell r="C204">
            <v>0.00256678800766294</v>
          </cell>
        </row>
        <row r="204">
          <cell r="E204">
            <v>0.00823576765648908</v>
          </cell>
        </row>
        <row r="205">
          <cell r="C205">
            <v>0.00256678800766294</v>
          </cell>
        </row>
        <row r="205">
          <cell r="E205">
            <v>0.00823576765648908</v>
          </cell>
        </row>
        <row r="206">
          <cell r="C206">
            <v>0.00256678800766294</v>
          </cell>
        </row>
        <row r="206">
          <cell r="E206">
            <v>0.00823576765648908</v>
          </cell>
        </row>
        <row r="207">
          <cell r="C207">
            <v>0.00256678800766294</v>
          </cell>
        </row>
        <row r="207">
          <cell r="E207">
            <v>0.00823576765648908</v>
          </cell>
        </row>
        <row r="208">
          <cell r="C208">
            <v>0.00256678800766294</v>
          </cell>
        </row>
        <row r="208">
          <cell r="E208">
            <v>0.00823576765648908</v>
          </cell>
        </row>
        <row r="209">
          <cell r="C209">
            <v>0.00256678800766294</v>
          </cell>
        </row>
        <row r="209">
          <cell r="E209">
            <v>0.00823576765648908</v>
          </cell>
        </row>
        <row r="210">
          <cell r="C210">
            <v>0.00256678800766294</v>
          </cell>
        </row>
        <row r="210">
          <cell r="E210">
            <v>0.00823576765648908</v>
          </cell>
        </row>
        <row r="211">
          <cell r="C211">
            <v>0.00256678800766294</v>
          </cell>
        </row>
        <row r="211">
          <cell r="E211">
            <v>0.00823576765648908</v>
          </cell>
        </row>
        <row r="212">
          <cell r="C212">
            <v>0.00256678800766294</v>
          </cell>
        </row>
        <row r="212">
          <cell r="E212">
            <v>0.00823576765648908</v>
          </cell>
        </row>
        <row r="213">
          <cell r="C213">
            <v>0.00269512740804609</v>
          </cell>
        </row>
        <row r="213">
          <cell r="E213">
            <v>0.00864755603931353</v>
          </cell>
        </row>
        <row r="214">
          <cell r="C214">
            <v>0.00269512740804609</v>
          </cell>
        </row>
        <row r="214">
          <cell r="E214">
            <v>0.00864755603931353</v>
          </cell>
        </row>
        <row r="215">
          <cell r="C215">
            <v>0.00269512740804609</v>
          </cell>
        </row>
        <row r="215">
          <cell r="E215">
            <v>0.00864755603931353</v>
          </cell>
        </row>
        <row r="216">
          <cell r="C216">
            <v>0.00269512740804609</v>
          </cell>
        </row>
        <row r="216">
          <cell r="E216">
            <v>0.00864755603931353</v>
          </cell>
        </row>
        <row r="217">
          <cell r="C217">
            <v>0.00269512740804609</v>
          </cell>
        </row>
        <row r="217">
          <cell r="E217">
            <v>0.00864755603931353</v>
          </cell>
        </row>
        <row r="218">
          <cell r="C218">
            <v>0.00269512740804609</v>
          </cell>
        </row>
        <row r="218">
          <cell r="E218">
            <v>0.00864755603931353</v>
          </cell>
        </row>
        <row r="219">
          <cell r="C219">
            <v>0.00269512740804609</v>
          </cell>
        </row>
        <row r="219">
          <cell r="E219">
            <v>0.00864755603931353</v>
          </cell>
        </row>
        <row r="220">
          <cell r="C220">
            <v>0.00269512740804609</v>
          </cell>
        </row>
        <row r="220">
          <cell r="E220">
            <v>0.00864755603931353</v>
          </cell>
        </row>
        <row r="221">
          <cell r="C221">
            <v>0.00269512740804609</v>
          </cell>
        </row>
        <row r="221">
          <cell r="E221">
            <v>0.00864755603931353</v>
          </cell>
        </row>
        <row r="222">
          <cell r="C222">
            <v>0.00269512740804609</v>
          </cell>
        </row>
        <row r="222">
          <cell r="E222">
            <v>0.00864755603931353</v>
          </cell>
        </row>
        <row r="223">
          <cell r="C223">
            <v>0.00269512740804609</v>
          </cell>
        </row>
        <row r="223">
          <cell r="E223">
            <v>0.00864755603931353</v>
          </cell>
        </row>
        <row r="224">
          <cell r="C224">
            <v>0.00269512740804609</v>
          </cell>
        </row>
        <row r="224">
          <cell r="E224">
            <v>0.00864755603931353</v>
          </cell>
        </row>
      </sheetData>
      <sheetData sheetId="2"/>
      <sheetData sheetId="3"/>
      <sheetData sheetId="4"/>
      <sheetData sheetId="5"/>
      <sheetData sheetId="6"/>
      <sheetData sheetId="7">
        <row r="20">
          <cell r="X20">
            <v>0.0341143917152</v>
          </cell>
        </row>
        <row r="20">
          <cell r="AO20">
            <v>0.0036970217296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Empress"/>
      <sheetName val="Model Operations"/>
      <sheetName val="Sithe Sheet"/>
      <sheetName val="Value Summary"/>
      <sheetName val="Curves"/>
      <sheetName val="From Storage"/>
      <sheetName val="From Load"/>
      <sheetName val="ContractTbl"/>
      <sheetName val="Demand summary (2)"/>
      <sheetName val="Demand summary"/>
      <sheetName val="Demand"/>
      <sheetName val="Monthly Vols"/>
      <sheetName val="Expenses"/>
      <sheetName val="Calc Excess"/>
      <sheetName val="In the $ Vols"/>
      <sheetName val="Summary of Stranded"/>
      <sheetName val="Path1"/>
      <sheetName val="Path2"/>
      <sheetName val="Path3"/>
      <sheetName val="Path4"/>
      <sheetName val="Path5"/>
      <sheetName val="Path6"/>
      <sheetName val="Path7"/>
      <sheetName val="Path8"/>
      <sheetName val="Path9"/>
      <sheetName val="Path10"/>
      <sheetName val="Path11"/>
      <sheetName val="Path12"/>
      <sheetName val="Path13"/>
      <sheetName val="Path14"/>
      <sheetName val="Path15"/>
      <sheetName val="Path16"/>
      <sheetName val="Path17"/>
      <sheetName val="Path18"/>
      <sheetName val="Path19"/>
      <sheetName val="Path20"/>
      <sheetName val="Path21"/>
      <sheetName val="Path22"/>
      <sheetName val="Path23"/>
      <sheetName val="Path24"/>
      <sheetName val="Path25"/>
      <sheetName val="Path26"/>
      <sheetName val="Path27"/>
      <sheetName val="Path28"/>
      <sheetName val="Path29"/>
      <sheetName val="Path30"/>
      <sheetName val="Path31"/>
      <sheetName val="Path32"/>
      <sheetName val="Path33"/>
      <sheetName val="Path34"/>
      <sheetName val="Path35"/>
      <sheetName val="Path36"/>
      <sheetName val="Path37"/>
      <sheetName val="Path38"/>
      <sheetName val="Path39"/>
      <sheetName val="Path40"/>
      <sheetName val="Path41"/>
      <sheetName val="Path42"/>
      <sheetName val="Path43"/>
      <sheetName val="Path44"/>
      <sheetName val="Path45"/>
      <sheetName val="Path46"/>
      <sheetName val="Path47"/>
      <sheetName val="Path48"/>
      <sheetName val="Path49"/>
      <sheetName val="Path50"/>
      <sheetName val="Path51"/>
      <sheetName val="Path52"/>
      <sheetName val="Path53"/>
      <sheetName val="Path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C12">
            <v>40000</v>
          </cell>
          <cell r="D12">
            <v>80000</v>
          </cell>
          <cell r="E12">
            <v>36050</v>
          </cell>
          <cell r="F12">
            <v>119740</v>
          </cell>
          <cell r="G12">
            <v>124142</v>
          </cell>
        </row>
        <row r="12">
          <cell r="I12">
            <v>28400</v>
          </cell>
        </row>
        <row r="12">
          <cell r="L12">
            <v>39326</v>
          </cell>
        </row>
        <row r="20">
          <cell r="C20">
            <v>0.016</v>
          </cell>
          <cell r="D20">
            <v>0.014</v>
          </cell>
          <cell r="E20">
            <v>0.0395</v>
          </cell>
          <cell r="F20">
            <v>0.0106</v>
          </cell>
          <cell r="G20">
            <v>0.0036970217296</v>
          </cell>
        </row>
        <row r="20">
          <cell r="I20">
            <v>0.0341143917152</v>
          </cell>
        </row>
        <row r="24">
          <cell r="C24">
            <v>0.0022</v>
          </cell>
          <cell r="D24">
            <v>0.0022</v>
          </cell>
          <cell r="E24">
            <v>0.0022</v>
          </cell>
        </row>
        <row r="25">
          <cell r="F25" t="str">
            <v>N</v>
          </cell>
          <cell r="G25" t="str">
            <v>N</v>
          </cell>
          <cell r="H25" t="str">
            <v>N</v>
          </cell>
          <cell r="I25" t="str">
            <v>N</v>
          </cell>
        </row>
        <row r="26">
          <cell r="C26">
            <v>0.0461</v>
          </cell>
          <cell r="D26">
            <v>0.0497</v>
          </cell>
          <cell r="E26">
            <v>0.0457</v>
          </cell>
          <cell r="F26">
            <v>0.008</v>
          </cell>
          <cell r="G26">
            <v>0.01055056</v>
          </cell>
        </row>
        <row r="26">
          <cell r="I26">
            <v>0.07385392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<Relationship Id="rId4" Type="http://schemas.openxmlformats.org/officeDocument/2006/relationships/ctrlProp" Target="../ctrlProps/ctrlProps5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H722"/>
  <sheetViews>
    <sheetView showFormulas="false" showGridLines="false" showRowColHeaders="true" showZeros="true" rightToLeft="false" tabSelected="false" showOutlineSymbols="true" defaultGridColor="true" view="normal" topLeftCell="K1" colorId="64" zoomScale="80" zoomScaleNormal="80" zoomScalePageLayoutView="100" workbookViewId="0">
      <selection pane="topLeft" activeCell="AH8" activeCellId="0" sqref="AH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3" min="3" style="21" width="5.13"/>
    <col collapsed="false" customWidth="true" hidden="false" outlineLevel="0" max="4" min="4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8" min="8" style="21" width="14.56"/>
    <col collapsed="false" customWidth="true" hidden="false" outlineLevel="0" max="9" min="9" style="21" width="9.99"/>
    <col collapsed="false" customWidth="true" hidden="false" outlineLevel="0" max="10" min="10" style="21" width="23.7"/>
    <col collapsed="false" customWidth="true" hidden="false" outlineLevel="0" max="11" min="11" style="21" width="18.28"/>
    <col collapsed="false" customWidth="true" hidden="false" outlineLevel="0" max="12" min="12" style="21" width="19.14"/>
    <col collapsed="false" customWidth="true" hidden="false" outlineLevel="0" max="13" min="13" style="21" width="14.99"/>
    <col collapsed="false" customWidth="true" hidden="false" outlineLevel="0" max="14" min="14" style="21" width="1.41"/>
    <col collapsed="false" customWidth="true" hidden="false" outlineLevel="0" max="15" min="15" style="21" width="14.99"/>
    <col collapsed="false" customWidth="true" hidden="false" outlineLevel="0" max="16" min="16" style="21" width="16.84"/>
    <col collapsed="false" customWidth="true" hidden="false" outlineLevel="0" max="17" min="17" style="21" width="2.99"/>
    <col collapsed="false" customWidth="true" hidden="false" outlineLevel="0" max="18" min="18" style="21" width="20.13"/>
    <col collapsed="false" customWidth="true" hidden="false" outlineLevel="0" max="19" min="19" style="21" width="17.85"/>
    <col collapsed="false" customWidth="true" hidden="false" outlineLevel="0" max="20" min="20" style="21" width="21.56"/>
    <col collapsed="false" customWidth="true" hidden="false" outlineLevel="0" max="21" min="21" style="21" width="14.99"/>
    <col collapsed="false" customWidth="true" hidden="false" outlineLevel="0" max="22" min="22" style="21" width="10.99"/>
    <col collapsed="false" customWidth="true" hidden="false" outlineLevel="0" max="23" min="23" style="21" width="14.99"/>
    <col collapsed="false" customWidth="true" hidden="false" outlineLevel="0" max="24" min="24" style="21" width="16.84"/>
    <col collapsed="false" customWidth="true" hidden="false" outlineLevel="0" max="25" min="25" style="21" width="1.99"/>
    <col collapsed="false" customWidth="true" hidden="false" outlineLevel="0" max="26" min="26" style="137" width="15.99"/>
    <col collapsed="false" customWidth="true" hidden="false" outlineLevel="0" max="27" min="27" style="137" width="20.28"/>
    <col collapsed="false" customWidth="true" hidden="false" outlineLevel="0" max="28" min="28" style="137" width="15.28"/>
    <col collapsed="false" customWidth="true" hidden="false" outlineLevel="0" max="29" min="29" style="137" width="20.28"/>
    <col collapsed="false" customWidth="true" hidden="false" outlineLevel="0" max="31" min="30" style="137" width="15.7"/>
    <col collapsed="false" customWidth="true" hidden="false" outlineLevel="0" max="32" min="32" style="137" width="17.56"/>
    <col collapsed="false" customWidth="true" hidden="false" outlineLevel="0" max="33" min="33" style="137" width="13.41"/>
    <col collapsed="false" customWidth="true" hidden="false" outlineLevel="0" max="34" min="34" style="137" width="13.85"/>
    <col collapsed="false" customWidth="true" hidden="false" outlineLevel="0" max="35" min="35" style="137" width="14.14"/>
    <col collapsed="false" customWidth="true" hidden="false" outlineLevel="0" max="36" min="36" style="21" width="12.56"/>
    <col collapsed="false" customWidth="true" hidden="false" outlineLevel="0" max="37" min="37" style="21" width="10.71"/>
    <col collapsed="false" customWidth="false" hidden="false" outlineLevel="0" max="38" min="38" style="21" width="9.14"/>
    <col collapsed="false" customWidth="true" hidden="false" outlineLevel="0" max="39" min="39" style="21" width="10.41"/>
    <col collapsed="false" customWidth="false" hidden="false" outlineLevel="0" max="40" min="40" style="21" width="9.14"/>
    <col collapsed="false" customWidth="true" hidden="false" outlineLevel="0" max="41" min="41" style="137" width="8.28"/>
    <col collapsed="false" customWidth="true" hidden="false" outlineLevel="0" max="43" min="42" style="137" width="8.56"/>
    <col collapsed="false" customWidth="true" hidden="false" outlineLevel="0" max="44" min="44" style="137" width="11.7"/>
    <col collapsed="false" customWidth="true" hidden="false" outlineLevel="0" max="45" min="45" style="137" width="10.28"/>
    <col collapsed="false" customWidth="true" hidden="false" outlineLevel="0" max="46" min="46" style="137" width="7.56"/>
    <col collapsed="false" customWidth="true" hidden="false" outlineLevel="0" max="47" min="47" style="137" width="6.41"/>
    <col collapsed="false" customWidth="true" hidden="false" outlineLevel="0" max="48" min="48" style="21" width="1.41"/>
    <col collapsed="false" customWidth="true" hidden="false" outlineLevel="0" max="49" min="49" style="138" width="14.28"/>
    <col collapsed="false" customWidth="true" hidden="false" outlineLevel="0" max="51" min="50" style="21" width="14.28"/>
    <col collapsed="false" customWidth="false" hidden="false" outlineLevel="0" max="52" min="52" style="21" width="9.14"/>
    <col collapsed="false" customWidth="true" hidden="false" outlineLevel="0" max="53" min="53" style="21" width="14.28"/>
    <col collapsed="false" customWidth="false" hidden="false" outlineLevel="0" max="54" min="54" style="21" width="9.14"/>
    <col collapsed="false" customWidth="true" hidden="false" outlineLevel="0" max="55" min="55" style="21" width="14.28"/>
    <col collapsed="false" customWidth="false" hidden="false" outlineLevel="0" max="257" min="56" style="21" width="9.14"/>
  </cols>
  <sheetData>
    <row r="1" customFormat="false" ht="13.5" hidden="false" customHeight="false" outlineLevel="0" collapsed="false">
      <c r="A1" s="139" t="s">
        <v>114</v>
      </c>
      <c r="C1" s="140"/>
      <c r="D1" s="140" t="s">
        <v>115</v>
      </c>
      <c r="E1" s="141" t="n">
        <f aca="false">Summary!D12</f>
        <v>45926</v>
      </c>
      <c r="H1" s="142" t="s">
        <v>116</v>
      </c>
      <c r="I1" s="143" t="s">
        <v>117</v>
      </c>
      <c r="J1" s="142" t="s">
        <v>118</v>
      </c>
      <c r="K1" s="143" t="s">
        <v>119</v>
      </c>
      <c r="R1" s="142" t="s">
        <v>118</v>
      </c>
      <c r="S1" s="143" t="s">
        <v>119</v>
      </c>
      <c r="Z1" s="144" t="str">
        <f aca="false">Summary!J13</f>
        <v>NG_OMICRON_11</v>
      </c>
      <c r="AA1" s="144" t="str">
        <f aca="false">Summary!L13</f>
        <v>CGPR-DAWN</v>
      </c>
      <c r="AC1" s="144" t="str">
        <f aca="false">Summary!I13</f>
        <v>NG_OMICRON_9</v>
      </c>
      <c r="AD1" s="144" t="str">
        <f aca="false">Summary!K13</f>
        <v>CGPR-DAWN</v>
      </c>
      <c r="AJ1" s="83"/>
    </row>
    <row r="2" customFormat="false" ht="12.75" hidden="false" customHeight="false" outlineLevel="0" collapsed="false">
      <c r="A2" s="142" t="s">
        <v>120</v>
      </c>
      <c r="B2" s="145" t="s">
        <v>121</v>
      </c>
      <c r="C2" s="145"/>
      <c r="D2" s="146" t="s">
        <v>122</v>
      </c>
      <c r="E2" s="145" t="s">
        <v>98</v>
      </c>
      <c r="F2" s="145" t="s">
        <v>123</v>
      </c>
      <c r="G2" s="145" t="s">
        <v>124</v>
      </c>
      <c r="H2" s="147" t="s">
        <v>125</v>
      </c>
      <c r="I2" s="148" t="s">
        <v>126</v>
      </c>
      <c r="J2" s="149" t="s">
        <v>127</v>
      </c>
      <c r="K2" s="148" t="s">
        <v>127</v>
      </c>
      <c r="R2" s="149" t="s">
        <v>128</v>
      </c>
      <c r="S2" s="148" t="str">
        <f aca="false">R2</f>
        <v>Receipt Pt</v>
      </c>
      <c r="AI2" s="137" t="s">
        <v>129</v>
      </c>
      <c r="AJ2" s="21" t="n">
        <v>1</v>
      </c>
    </row>
    <row r="3" customFormat="false" ht="13.5" hidden="false" customHeight="false" outlineLevel="0" collapsed="false">
      <c r="A3" s="150" t="n">
        <f aca="false">Summary!E13</f>
        <v>37043</v>
      </c>
      <c r="B3" s="151" t="n">
        <f aca="false">Summary!F13</f>
        <v>42094</v>
      </c>
      <c r="C3" s="152"/>
      <c r="D3" s="152" t="n">
        <f aca="false">Summary!C13</f>
        <v>37025</v>
      </c>
      <c r="E3" s="153" t="str">
        <f aca="false">CONCATENATE(INT(AT8/12)," Y - ",AT8-INT(AT8/12)*12," M")</f>
        <v>13 Y - 10 M</v>
      </c>
      <c r="F3" s="154" t="n">
        <v>2</v>
      </c>
      <c r="G3" s="154" t="n">
        <v>1</v>
      </c>
      <c r="H3" s="155" t="n">
        <v>1</v>
      </c>
      <c r="I3" s="156" t="n">
        <f aca="false">Summary!P13</f>
        <v>0</v>
      </c>
      <c r="J3" s="157" t="str">
        <f aca="false">Summary!H13</f>
        <v>CGPR-CHIPPAWA</v>
      </c>
      <c r="K3" s="156" t="str">
        <f aca="false">J3</f>
        <v>CGPR-CHIPPAWA</v>
      </c>
      <c r="R3" s="157" t="str">
        <f aca="false">Summary!G13</f>
        <v>US Empress</v>
      </c>
      <c r="S3" s="156" t="str">
        <f aca="false">R3</f>
        <v>US Empress</v>
      </c>
      <c r="Z3" s="219" t="s">
        <v>130</v>
      </c>
      <c r="AA3" s="220" t="s">
        <v>130</v>
      </c>
      <c r="AB3" s="221" t="s">
        <v>130</v>
      </c>
      <c r="AC3" s="219" t="s">
        <v>131</v>
      </c>
      <c r="AD3" s="220" t="s">
        <v>131</v>
      </c>
      <c r="AE3" s="221" t="s">
        <v>131</v>
      </c>
    </row>
    <row r="4" customFormat="false" ht="12.75" hidden="false" customHeight="false" outlineLevel="0" collapsed="false">
      <c r="A4" s="158"/>
      <c r="B4" s="158"/>
      <c r="C4" s="158"/>
      <c r="D4" s="158" t="s">
        <v>132</v>
      </c>
      <c r="E4" s="158" t="s">
        <v>93</v>
      </c>
      <c r="F4" s="158" t="s">
        <v>94</v>
      </c>
      <c r="G4" s="159" t="s">
        <v>133</v>
      </c>
      <c r="H4" s="160"/>
      <c r="I4" s="158"/>
      <c r="J4" s="159" t="str">
        <f aca="false">CONCATENATE(J3,"-","D")</f>
        <v>CGPR-CHIPPAWA-D</v>
      </c>
      <c r="K4" s="160" t="str">
        <f aca="false">J3</f>
        <v>CGPR-CHIPPAWA</v>
      </c>
      <c r="L4" s="229" t="s">
        <v>81</v>
      </c>
      <c r="M4" s="160" t="str">
        <f aca="false">K3</f>
        <v>CGPR-CHIPPAWA</v>
      </c>
      <c r="O4" s="160" t="str">
        <f aca="false">K4</f>
        <v>CGPR-CHIPPAWA</v>
      </c>
      <c r="P4" s="160" t="str">
        <f aca="false">J4</f>
        <v>CGPR-CHIPPAWA-D</v>
      </c>
      <c r="Q4" s="158"/>
      <c r="R4" s="229" t="str">
        <f aca="false">R3</f>
        <v>US Empress</v>
      </c>
      <c r="S4" s="160" t="str">
        <f aca="false">R3</f>
        <v>US Empress</v>
      </c>
      <c r="T4" s="229" t="str">
        <f aca="false">R4</f>
        <v>US Empress</v>
      </c>
      <c r="U4" s="160" t="str">
        <f aca="false">S3</f>
        <v>US Empress</v>
      </c>
      <c r="V4" s="160" t="s">
        <v>134</v>
      </c>
      <c r="W4" s="160" t="str">
        <f aca="false">S4</f>
        <v>US Empress</v>
      </c>
      <c r="X4" s="160" t="str">
        <f aca="false">R4</f>
        <v>US Empress</v>
      </c>
      <c r="Z4" s="161" t="str">
        <f aca="false">IF(Z1="NG",CONCATENATE(Z1,"-","VO"),CONCATENATE(Z1,"-","P"))</f>
        <v>NG_OMICRON_11-P</v>
      </c>
      <c r="AA4" s="162" t="str">
        <f aca="false">IF(AA1="NG",CONCATENATE(AA1,"-","VO"),CONCATENATE(AA1,"-","P"))</f>
        <v>CGPR-DAWN-P</v>
      </c>
      <c r="AB4" s="162" t="s">
        <v>135</v>
      </c>
      <c r="AC4" s="161" t="str">
        <f aca="false">IF(AC1="NG",CONCATENATE(AC1,"-","VO"),CONCATENATE(AC1,"-","P"))</f>
        <v>NG_OMICRON_9-P</v>
      </c>
      <c r="AD4" s="162" t="str">
        <f aca="false">IF(AD1="NG",CONCATENATE(AD1,"-","VO"),CONCATENATE(AD1,"-","P"))</f>
        <v>CGPR-DAWN-P</v>
      </c>
      <c r="AE4" s="163" t="s">
        <v>136</v>
      </c>
      <c r="AF4" s="160" t="str">
        <f aca="false">J3</f>
        <v>CGPR-CHIPPAWA</v>
      </c>
      <c r="AG4" s="160" t="s">
        <v>81</v>
      </c>
      <c r="AH4" s="160" t="s">
        <v>167</v>
      </c>
      <c r="AI4" s="160" t="s">
        <v>81</v>
      </c>
      <c r="AJ4" s="160"/>
      <c r="AK4" s="160"/>
      <c r="AL4" s="160"/>
      <c r="AM4" s="160"/>
      <c r="AN4" s="160"/>
      <c r="AO4" s="164"/>
      <c r="AP4" s="164"/>
      <c r="AQ4" s="164" t="s">
        <v>137</v>
      </c>
      <c r="AR4" s="159" t="s">
        <v>138</v>
      </c>
      <c r="AS4" s="164"/>
      <c r="AT4" s="164"/>
      <c r="AU4" s="164"/>
      <c r="AW4" s="164"/>
      <c r="AX4" s="164" t="s">
        <v>139</v>
      </c>
      <c r="AY4" s="164"/>
      <c r="BA4" s="164"/>
      <c r="BC4" s="165" t="s">
        <v>140</v>
      </c>
    </row>
    <row r="5" customFormat="false" ht="12.75" hidden="false" customHeight="false" outlineLevel="0" collapsed="false">
      <c r="A5" s="158" t="s">
        <v>141</v>
      </c>
      <c r="B5" s="158" t="s">
        <v>32</v>
      </c>
      <c r="C5" s="158"/>
      <c r="D5" s="158" t="s">
        <v>32</v>
      </c>
      <c r="E5" s="158" t="s">
        <v>32</v>
      </c>
      <c r="F5" s="158" t="s">
        <v>32</v>
      </c>
      <c r="G5" s="158" t="s">
        <v>142</v>
      </c>
      <c r="H5" s="158" t="s">
        <v>142</v>
      </c>
      <c r="I5" s="158"/>
      <c r="J5" s="158" t="s">
        <v>118</v>
      </c>
      <c r="K5" s="158" t="s">
        <v>118</v>
      </c>
      <c r="L5" s="158" t="s">
        <v>119</v>
      </c>
      <c r="M5" s="158" t="s">
        <v>119</v>
      </c>
      <c r="O5" s="158" t="s">
        <v>97</v>
      </c>
      <c r="P5" s="158" t="s">
        <v>97</v>
      </c>
      <c r="Q5" s="158"/>
      <c r="R5" s="158" t="s">
        <v>118</v>
      </c>
      <c r="S5" s="158" t="s">
        <v>118</v>
      </c>
      <c r="T5" s="158" t="s">
        <v>119</v>
      </c>
      <c r="U5" s="158" t="s">
        <v>119</v>
      </c>
      <c r="V5" s="158" t="s">
        <v>101</v>
      </c>
      <c r="W5" s="158" t="s">
        <v>97</v>
      </c>
      <c r="X5" s="158" t="s">
        <v>97</v>
      </c>
      <c r="Z5" s="166" t="s">
        <v>143</v>
      </c>
      <c r="AA5" s="158" t="s">
        <v>143</v>
      </c>
      <c r="AB5" s="167" t="s">
        <v>143</v>
      </c>
      <c r="AC5" s="166" t="s">
        <v>143</v>
      </c>
      <c r="AD5" s="158" t="s">
        <v>143</v>
      </c>
      <c r="AE5" s="167" t="s">
        <v>144</v>
      </c>
      <c r="AF5" s="158" t="str">
        <f aca="false">S3</f>
        <v>US Empress</v>
      </c>
      <c r="AG5" s="158" t="s">
        <v>151</v>
      </c>
      <c r="AH5" s="158" t="s">
        <v>168</v>
      </c>
      <c r="AI5" s="158"/>
      <c r="AJ5" s="158" t="s">
        <v>146</v>
      </c>
      <c r="AK5" s="158" t="s">
        <v>146</v>
      </c>
      <c r="AL5" s="158" t="s">
        <v>146</v>
      </c>
      <c r="AM5" s="158" t="s">
        <v>86</v>
      </c>
      <c r="AN5" s="158" t="s">
        <v>96</v>
      </c>
      <c r="AO5" s="168" t="s">
        <v>147</v>
      </c>
      <c r="AP5" s="168" t="s">
        <v>148</v>
      </c>
      <c r="AQ5" s="168" t="s">
        <v>148</v>
      </c>
      <c r="AR5" s="169" t="s">
        <v>149</v>
      </c>
      <c r="AS5" s="168" t="s">
        <v>148</v>
      </c>
      <c r="AT5" s="168" t="s">
        <v>150</v>
      </c>
      <c r="AU5" s="168" t="s">
        <v>150</v>
      </c>
      <c r="AW5" s="168" t="s">
        <v>97</v>
      </c>
      <c r="AX5" s="168" t="s">
        <v>86</v>
      </c>
      <c r="AY5" s="168" t="s">
        <v>96</v>
      </c>
      <c r="BA5" s="168" t="s">
        <v>151</v>
      </c>
      <c r="BC5" s="170" t="s">
        <v>86</v>
      </c>
    </row>
    <row r="6" customFormat="false" ht="12.75" hidden="false" customHeight="false" outlineLevel="0" collapsed="false">
      <c r="A6" s="171" t="s">
        <v>152</v>
      </c>
      <c r="B6" s="171" t="s">
        <v>153</v>
      </c>
      <c r="C6" s="171"/>
      <c r="D6" s="171" t="s">
        <v>153</v>
      </c>
      <c r="E6" s="171" t="s">
        <v>154</v>
      </c>
      <c r="F6" s="171" t="s">
        <v>154</v>
      </c>
      <c r="G6" s="171" t="s">
        <v>155</v>
      </c>
      <c r="H6" s="171" t="str">
        <f aca="false">CHOOSE(G3,"Bid","Offer")</f>
        <v>Bid</v>
      </c>
      <c r="I6" s="171"/>
      <c r="J6" s="171" t="s">
        <v>155</v>
      </c>
      <c r="K6" s="171" t="str">
        <f aca="false">H6</f>
        <v>Bid</v>
      </c>
      <c r="L6" s="171" t="s">
        <v>155</v>
      </c>
      <c r="M6" s="171" t="str">
        <f aca="false">K6</f>
        <v>Bid</v>
      </c>
      <c r="O6" s="171" t="s">
        <v>155</v>
      </c>
      <c r="P6" s="171" t="str">
        <f aca="false">K6</f>
        <v>Bid</v>
      </c>
      <c r="Q6" s="158"/>
      <c r="R6" s="171" t="s">
        <v>155</v>
      </c>
      <c r="S6" s="171" t="str">
        <f aca="false">IF(K6="Offer","Bid","Offer")</f>
        <v>Offer</v>
      </c>
      <c r="T6" s="171" t="s">
        <v>155</v>
      </c>
      <c r="U6" s="171" t="str">
        <f aca="false">S6</f>
        <v>Offer</v>
      </c>
      <c r="V6" s="171"/>
      <c r="W6" s="171" t="s">
        <v>155</v>
      </c>
      <c r="X6" s="171" t="str">
        <f aca="false">S6</f>
        <v>Offer</v>
      </c>
      <c r="Z6" s="172" t="s">
        <v>155</v>
      </c>
      <c r="AA6" s="171" t="str">
        <f aca="false">P6</f>
        <v>Bid</v>
      </c>
      <c r="AB6" s="173" t="s">
        <v>156</v>
      </c>
      <c r="AC6" s="172" t="str">
        <f aca="false">U6</f>
        <v>Offer</v>
      </c>
      <c r="AD6" s="171" t="s">
        <v>157</v>
      </c>
      <c r="AE6" s="173" t="s">
        <v>157</v>
      </c>
      <c r="AF6" s="174" t="s">
        <v>48</v>
      </c>
      <c r="AG6" s="171" t="s">
        <v>101</v>
      </c>
      <c r="AH6" s="171" t="s">
        <v>101</v>
      </c>
      <c r="AI6" s="171" t="s">
        <v>158</v>
      </c>
      <c r="AJ6" s="171" t="s">
        <v>159</v>
      </c>
      <c r="AK6" s="171" t="s">
        <v>160</v>
      </c>
      <c r="AL6" s="171" t="s">
        <v>102</v>
      </c>
      <c r="AM6" s="171" t="s">
        <v>102</v>
      </c>
      <c r="AN6" s="171" t="s">
        <v>102</v>
      </c>
      <c r="AO6" s="175" t="s">
        <v>161</v>
      </c>
      <c r="AP6" s="175" t="s">
        <v>44</v>
      </c>
      <c r="AQ6" s="175" t="s">
        <v>161</v>
      </c>
      <c r="AR6" s="176" t="s">
        <v>162</v>
      </c>
      <c r="AS6" s="175" t="s">
        <v>163</v>
      </c>
      <c r="AT6" s="175" t="s">
        <v>164</v>
      </c>
      <c r="AU6" s="175" t="s">
        <v>161</v>
      </c>
      <c r="AW6" s="175" t="s">
        <v>102</v>
      </c>
      <c r="AX6" s="175" t="s">
        <v>165</v>
      </c>
      <c r="AY6" s="175" t="s">
        <v>165</v>
      </c>
      <c r="BA6" s="175" t="s">
        <v>101</v>
      </c>
      <c r="BC6" s="177" t="s">
        <v>165</v>
      </c>
    </row>
    <row r="7" customFormat="false" ht="13.5" hidden="false" customHeight="false" outlineLevel="0" collapsed="false">
      <c r="A7" s="178"/>
      <c r="B7" s="178"/>
      <c r="C7" s="178"/>
      <c r="D7" s="178"/>
      <c r="Z7" s="21"/>
      <c r="AA7" s="21"/>
      <c r="AB7" s="21"/>
      <c r="AC7" s="21"/>
      <c r="AD7" s="21"/>
      <c r="AE7" s="21"/>
      <c r="AF7" s="21"/>
      <c r="AG7" s="21"/>
      <c r="AH7" s="21"/>
      <c r="AI7" s="21"/>
      <c r="AQ7" s="144"/>
      <c r="BC7" s="179"/>
    </row>
    <row r="8" customFormat="false" ht="13.5" hidden="false" customHeight="false" outlineLevel="0" collapsed="false">
      <c r="A8" s="180" t="s">
        <v>166</v>
      </c>
      <c r="B8" s="181"/>
      <c r="C8" s="181"/>
      <c r="D8" s="181" t="n">
        <f aca="false">SUM(D10:D500)</f>
        <v>4714400</v>
      </c>
      <c r="E8" s="181" t="n">
        <f aca="false">SUM(E10:E500)</f>
        <v>143476800</v>
      </c>
      <c r="F8" s="181" t="n">
        <f aca="false">SUM(F10:F370)</f>
        <v>848407314.496435</v>
      </c>
      <c r="G8" s="182" t="e">
        <f aca="false">SUMPRODUCT(G10:G499,$F$10:$F$499)/SUM($F$10:$F$499)</f>
        <v>#N/A</v>
      </c>
      <c r="H8" s="182" t="e">
        <f aca="false">SUMPRODUCT(H10:H499,$F$10:$F$499)/SUM($F$10:$F$499)</f>
        <v>#N/A</v>
      </c>
      <c r="I8" s="182"/>
      <c r="J8" s="182" t="e">
        <f aca="false">SUMPRODUCT(J10:J499,$F$10:$F$499)/SUM($F$10:$F$499)</f>
        <v>#N/A</v>
      </c>
      <c r="K8" s="182" t="e">
        <f aca="false">SUMPRODUCT(K10:K499,$F$10:$F$499)/SUM($F$10:$F$499)</f>
        <v>#N/A</v>
      </c>
      <c r="L8" s="182" t="n">
        <f aca="false">SUMPRODUCT(L10:L499,$F$10:$F$499)/SUM($F$10:$F$499)</f>
        <v>0</v>
      </c>
      <c r="M8" s="182" t="n">
        <f aca="false">SUMPRODUCT(M10:M499,$F$10:$F$499)/SUM($F$10:$F$499)</f>
        <v>0</v>
      </c>
      <c r="O8" s="182" t="e">
        <f aca="false">SUMPRODUCT(O10:O499,$F$10:$F$499)/SUM($F$10:$F$499)</f>
        <v>#N/A</v>
      </c>
      <c r="P8" s="182" t="e">
        <f aca="false">SUMPRODUCT(P10:P499,$F$10:$F$499)/SUM($F$10:$F$499)</f>
        <v>#N/A</v>
      </c>
      <c r="Q8" s="182"/>
      <c r="R8" s="182" t="e">
        <f aca="false">SUMPRODUCT(R10:R499,$F$10:$F$499)/SUM($F$10:$F$499)</f>
        <v>#N/A</v>
      </c>
      <c r="S8" s="182" t="e">
        <f aca="false">SUMPRODUCT(S10:S499,$F$10:$F$499)/SUM($F$10:$F$499)</f>
        <v>#N/A</v>
      </c>
      <c r="T8" s="182" t="n">
        <f aca="false">SUMPRODUCT(T10:T499,$F$10:$F$499)/SUM($F$10:$F$499)</f>
        <v>0</v>
      </c>
      <c r="U8" s="182" t="n">
        <f aca="false">SUMPRODUCT(U10:U499,$F$10:$F$499)/SUM($F$10:$F$499)</f>
        <v>0</v>
      </c>
      <c r="V8" s="183" t="e">
        <f aca="false">SUMPRODUCT(V10:V499,F10:F499)/F8</f>
        <v>#N/A</v>
      </c>
      <c r="W8" s="182" t="e">
        <f aca="false">SUMPRODUCT(W10:W499,$F$10:$F$499)/SUM($F$10:$F$499)</f>
        <v>#N/A</v>
      </c>
      <c r="X8" s="182" t="e">
        <f aca="false">SUMPRODUCT(X10:X499,$F$10:$F$499)/SUM($F$10:$F$499)</f>
        <v>#N/A</v>
      </c>
      <c r="Y8" s="182"/>
      <c r="Z8" s="184"/>
      <c r="AA8" s="185"/>
      <c r="AB8" s="185"/>
      <c r="AC8" s="185"/>
      <c r="AD8" s="185"/>
      <c r="AE8" s="185"/>
      <c r="AF8" s="182"/>
      <c r="AG8" s="182"/>
      <c r="AH8" s="182" t="n">
        <f aca="false">SUMPRODUCT(AH10:AH499,F10:F499)/F8</f>
        <v>0.0474900007431044</v>
      </c>
      <c r="AI8" s="182"/>
      <c r="AJ8" s="182"/>
      <c r="AK8" s="182"/>
      <c r="AL8" s="182" t="e">
        <f aca="false">AW8/$E8</f>
        <v>#NAME?</v>
      </c>
      <c r="AM8" s="182" t="e">
        <f aca="false">BC8/$F8</f>
        <v>#N/A</v>
      </c>
      <c r="AN8" s="182" t="e">
        <f aca="false">AY8/$E8</f>
        <v>#N/A</v>
      </c>
      <c r="AR8" s="186"/>
      <c r="AT8" s="187" t="n">
        <f aca="false">SUM(AT10:AT500)</f>
        <v>166</v>
      </c>
      <c r="AU8" s="187" t="n">
        <f aca="false">SUM(AU10:AU500)</f>
        <v>5052</v>
      </c>
      <c r="AW8" s="188" t="e">
        <f aca="false">SUM(AW10:AW501)</f>
        <v>#NAME?</v>
      </c>
      <c r="AX8" s="188" t="e">
        <f aca="false">SUM(AX10:AX501)</f>
        <v>#N/A</v>
      </c>
      <c r="AY8" s="188" t="e">
        <f aca="false">SUM(AY10:AY501)</f>
        <v>#N/A</v>
      </c>
      <c r="BA8" s="188" t="n">
        <f aca="false">SUM(BA10:BA501)</f>
        <v>0</v>
      </c>
      <c r="BC8" s="189" t="e">
        <f aca="false">SUM(BC10:BC501)</f>
        <v>#N/A</v>
      </c>
    </row>
    <row r="9" customFormat="false" ht="12.75" hidden="false" customHeight="false" outlineLevel="0" collapsed="false">
      <c r="B9" s="190"/>
      <c r="C9" s="190"/>
      <c r="D9" s="190"/>
      <c r="E9" s="190"/>
      <c r="F9" s="190"/>
      <c r="G9" s="191"/>
      <c r="H9" s="191"/>
      <c r="I9" s="191"/>
      <c r="J9" s="191"/>
      <c r="K9" s="191"/>
      <c r="L9" s="191"/>
      <c r="M9" s="191"/>
      <c r="O9" s="191"/>
      <c r="P9" s="191"/>
      <c r="Q9" s="191"/>
      <c r="R9" s="191"/>
      <c r="S9" s="191"/>
      <c r="T9" s="191"/>
      <c r="U9" s="191"/>
      <c r="V9" s="228"/>
      <c r="W9" s="191"/>
      <c r="X9" s="191"/>
      <c r="Y9" s="191"/>
      <c r="Z9" s="193"/>
      <c r="AA9" s="185"/>
      <c r="AB9" s="185"/>
      <c r="AC9" s="185"/>
      <c r="AD9" s="185"/>
      <c r="AE9" s="185"/>
      <c r="AF9" s="194"/>
      <c r="AG9" s="182"/>
      <c r="AH9" s="182"/>
      <c r="AI9" s="182"/>
      <c r="AJ9" s="191"/>
      <c r="AK9" s="191"/>
      <c r="AL9" s="191"/>
      <c r="AM9" s="191"/>
      <c r="AN9" s="191"/>
      <c r="AW9" s="195"/>
      <c r="BC9" s="179"/>
    </row>
    <row r="10" customFormat="false" ht="12.75" hidden="false" customHeight="false" outlineLevel="0" collapsed="false">
      <c r="A10" s="196" t="n">
        <f aca="false">A3</f>
        <v>37043</v>
      </c>
      <c r="B10" s="197" t="n">
        <f aca="false">Summary!O13</f>
        <v>28400</v>
      </c>
      <c r="C10" s="198"/>
      <c r="D10" s="197" t="n">
        <f aca="false">IF(A11&lt;&gt;"",B10+C10,"")</f>
        <v>28400</v>
      </c>
      <c r="E10" s="199" t="n">
        <f aca="false">IF(A11="","",IF(AND(AT10=1,$H$3=1),D10*AO10,IF($H$3=2,D10,"N/A")))</f>
        <v>852000</v>
      </c>
      <c r="F10" s="199" t="n">
        <f aca="false">IF(A11="","",E10*AS10)</f>
        <v>9143259.05330845</v>
      </c>
      <c r="G10" s="200" t="e">
        <f aca="false">IF($A11="","",VLOOKUP($A10,Table,MATCH(G$4,Curves,0)))</f>
        <v>#N/A</v>
      </c>
      <c r="H10" s="201" t="e">
        <f aca="false">IF(A11="","",G10)</f>
        <v>#N/A</v>
      </c>
      <c r="I10" s="202"/>
      <c r="J10" s="200" t="e">
        <f aca="false">IF($A11="","",VLOOKUP($A10,Table,MATCH(J$4,Curves,0)))</f>
        <v>#N/A</v>
      </c>
      <c r="K10" s="201" t="e">
        <f aca="false">IF(A11="","",J10)</f>
        <v>#N/A</v>
      </c>
      <c r="L10" s="185" t="n">
        <v>0</v>
      </c>
      <c r="M10" s="201" t="n">
        <f aca="false">IF(A11="","",L10)</f>
        <v>0</v>
      </c>
      <c r="N10" s="203"/>
      <c r="O10" s="200" t="e">
        <f aca="false">IF(A11="","",L10+J10+G10)</f>
        <v>#N/A</v>
      </c>
      <c r="P10" s="200" t="e">
        <f aca="false">IF(A11="","",M10+K10+H10)</f>
        <v>#N/A</v>
      </c>
      <c r="Q10" s="204"/>
      <c r="R10" s="200" t="e">
        <f aca="false">IF($A11="","",VLOOKUP($A10,Table,MATCH(R$4,Curves,0)))</f>
        <v>#N/A</v>
      </c>
      <c r="S10" s="201" t="e">
        <f aca="false">IF(A11="","",R10)</f>
        <v>#N/A</v>
      </c>
      <c r="T10" s="185" t="n">
        <v>0</v>
      </c>
      <c r="U10" s="201" t="n">
        <f aca="false">IF(A11="","",T10)</f>
        <v>0</v>
      </c>
      <c r="V10" s="205" t="e">
        <f aca="false">(G10+R10)/(1-Summary!$T$13)*Summary!$T$13</f>
        <v>#N/A</v>
      </c>
      <c r="W10" s="202" t="e">
        <f aca="false">IF($A11="","",(T10+R10+G10+V10))</f>
        <v>#N/A</v>
      </c>
      <c r="X10" s="202" t="e">
        <f aca="false">IF($A11="","",(U10+S10+H10+V10))</f>
        <v>#N/A</v>
      </c>
      <c r="Y10" s="202"/>
      <c r="Z10" s="185" t="e">
        <f aca="false">IF($A11="","",VLOOKUP($A10,Table,MATCH(Z$4,Curves,0)))</f>
        <v>#N/A</v>
      </c>
      <c r="AA10" s="185" t="e">
        <f aca="false">IF($A11="","",VLOOKUP($A10,Table,MATCH(AA$4,Curves,0)))</f>
        <v>#N/A</v>
      </c>
      <c r="AB10" s="185" t="e">
        <f aca="false">SQRT((AA10^2*(A10-$D$3)+Z10^2*(DAY(EOMONTH(A10,0))/2))/AK10)</f>
        <v>#N/A</v>
      </c>
      <c r="AC10" s="185" t="e">
        <f aca="false">IF($A11="","",VLOOKUP($A10,Table,MATCH(AC$4,Curves,0)))</f>
        <v>#N/A</v>
      </c>
      <c r="AD10" s="185" t="e">
        <f aca="false">IF($A11="","",VLOOKUP($A10,Table,MATCH(AD$4,Curves,0)))</f>
        <v>#N/A</v>
      </c>
      <c r="AE10" s="185" t="e">
        <f aca="false">SQRT((AD10^2*(A10-$D$3)+AC10^2*(DAY(EOMONTH(A10,0))/2))/AK10)</f>
        <v>#N/A</v>
      </c>
      <c r="AF10" s="224" t="e">
        <f aca="false">((Summary!$N$13*(AA10*AD10)*(A10-$D$3))+(Summary!$M$13*Z10*AC10*(AJ10-EOMONTH(EDATE(A10,-1),0))))/(AK10*AB10*AE10)</f>
        <v>#N/A</v>
      </c>
      <c r="AG10" s="207" t="n">
        <f aca="false">IF($A11="","",Summary!$Q$13)</f>
        <v>0</v>
      </c>
      <c r="AH10" s="207" t="n">
        <f aca="false">IF($A11="","",IF(Summary!$R$12="Y",(VLOOKUP($A10,Summary!$AD$6:$AF$9,3)+'Escalating commodity'!I23),'Escalating commodity'!I23))</f>
        <v>0.0341143917152</v>
      </c>
      <c r="AI10" s="207" t="n">
        <f aca="false">IF($A11="","",AH10)</f>
        <v>0.0341143917152</v>
      </c>
      <c r="AJ10" s="208" t="n">
        <f aca="false">A10+DAY(EOMONTH(A10,0))/2-1</f>
        <v>37057</v>
      </c>
      <c r="AK10" s="209" t="n">
        <f aca="false">IF($A11="","",$A10-$E$1)</f>
        <v>-8883</v>
      </c>
      <c r="AL10" s="182" t="e">
        <f aca="false">IF($A11="","",SPRDOPT(P10,X10,AI10,0,AB10,AE10,AF10,AK10,$AJ$2,0))</f>
        <v>#NAME?</v>
      </c>
      <c r="AM10" s="210" t="e">
        <f aca="false">IF($A11="","",MAX(0,O10-W10-AI10))</f>
        <v>#N/A</v>
      </c>
      <c r="AN10" s="211" t="e">
        <f aca="false">IF($A11="","",AL10-AM10)</f>
        <v>#N/A</v>
      </c>
      <c r="AO10" s="137" t="n">
        <f aca="false">IF(A11="","",A11-A10)</f>
        <v>30</v>
      </c>
      <c r="AP10" s="212" t="n">
        <f aca="false">IF(A11="","",CHOOSE(F$3,A11+24,A10))</f>
        <v>37043</v>
      </c>
      <c r="AQ10" s="209" t="n">
        <f aca="false">IF(A11="","",AP10-$E$1)</f>
        <v>-8883</v>
      </c>
      <c r="AR10" s="185" t="n">
        <f aca="false">'ANR OK vs ML7'!AR10</f>
        <v>0.1</v>
      </c>
      <c r="AS10" s="213" t="n">
        <f aca="false">IF(A11="","",1/(1+CHOOSE(F$3,(AR11+($I$3/10000))/2,(AR10+($I$3/10000))/2))^(2*AQ10/365.25))</f>
        <v>10.7315247104559</v>
      </c>
      <c r="AT10" s="137" t="n">
        <f aca="false">IF(A11="","",IF(AND(mthbeg&lt;=A10,mthend&gt;=A10),1,0))</f>
        <v>1</v>
      </c>
      <c r="AU10" s="137" t="n">
        <f aca="false">IF(A11="","",AO10*AT10)</f>
        <v>30</v>
      </c>
      <c r="AW10" s="195" t="e">
        <f aca="false">IF($A11="","",AL10*$E10)</f>
        <v>#NAME?</v>
      </c>
      <c r="AX10" s="195" t="e">
        <f aca="false">IF($A11="","",AM10*$E10)</f>
        <v>#N/A</v>
      </c>
      <c r="AY10" s="195" t="e">
        <f aca="false">IF($A11="","",AN10*$E10)</f>
        <v>#N/A</v>
      </c>
      <c r="AZ10" s="214"/>
      <c r="BA10" s="195" t="n">
        <f aca="false">IF($A11="","",F10*Summary!$Q$13)</f>
        <v>0</v>
      </c>
      <c r="BC10" s="179" t="e">
        <f aca="false">IF(A11="","",AM10*F10)</f>
        <v>#N/A</v>
      </c>
    </row>
    <row r="11" customFormat="false" ht="12.75" hidden="false" customHeight="false" outlineLevel="0" collapsed="false">
      <c r="A11" s="196" t="n">
        <f aca="false">IF(A10&lt;mthend,EDATE(A10,1),"")</f>
        <v>37073</v>
      </c>
      <c r="B11" s="197" t="n">
        <f aca="false">IF(A11&lt;mthend,B10,"")</f>
        <v>28400</v>
      </c>
      <c r="C11" s="215"/>
      <c r="D11" s="197" t="n">
        <f aca="false">IF(A12&lt;&gt;"",B11+C11,"")</f>
        <v>28400</v>
      </c>
      <c r="E11" s="199" t="n">
        <f aca="false">IF(A12="","",IF(AND(AT11=1,$H$3=1),D11*AO11,IF($H$3=2,D11,"N/A")))</f>
        <v>880400</v>
      </c>
      <c r="F11" s="199" t="n">
        <f aca="false">IF(A12="","",E11*AS11)</f>
        <v>9372612.79052769</v>
      </c>
      <c r="G11" s="200" t="e">
        <f aca="false">IF($A12="","",VLOOKUP($A11,Table,MATCH(G$4,Curves,0)))</f>
        <v>#N/A</v>
      </c>
      <c r="H11" s="201" t="e">
        <f aca="false">IF(A12="","",G11)</f>
        <v>#N/A</v>
      </c>
      <c r="I11" s="202"/>
      <c r="J11" s="200" t="e">
        <f aca="false">IF($A12="","",VLOOKUP($A11,Table,MATCH(J$4,Curves,0)))</f>
        <v>#N/A</v>
      </c>
      <c r="K11" s="201" t="e">
        <f aca="false">IF(A12="","",J11)</f>
        <v>#N/A</v>
      </c>
      <c r="L11" s="185" t="n">
        <v>0</v>
      </c>
      <c r="M11" s="201" t="n">
        <f aca="false">IF(A12="","",L11)</f>
        <v>0</v>
      </c>
      <c r="N11" s="203"/>
      <c r="O11" s="200" t="e">
        <f aca="false">IF(A12="","",L11+J11+G11)</f>
        <v>#N/A</v>
      </c>
      <c r="P11" s="200" t="e">
        <f aca="false">IF(A12="","",M11+K11+H11)</f>
        <v>#N/A</v>
      </c>
      <c r="Q11" s="204"/>
      <c r="R11" s="200" t="e">
        <f aca="false">IF($A12="","",VLOOKUP($A11,Table,MATCH(R$4,Curves,0)))</f>
        <v>#N/A</v>
      </c>
      <c r="S11" s="201" t="e">
        <f aca="false">IF(A12="","",R11)</f>
        <v>#N/A</v>
      </c>
      <c r="T11" s="185" t="n">
        <v>0</v>
      </c>
      <c r="U11" s="201" t="n">
        <f aca="false">IF(A12="","",T11)</f>
        <v>0</v>
      </c>
      <c r="V11" s="205" t="e">
        <f aca="false">(G11+R11)/(1-Summary!$T$13)*Summary!$T$13</f>
        <v>#N/A</v>
      </c>
      <c r="W11" s="202" t="e">
        <f aca="false">IF($A12="","",(T11+R11+G11+V11))</f>
        <v>#N/A</v>
      </c>
      <c r="X11" s="202" t="e">
        <f aca="false">IF($A12="","",(U11+S11+H11+V11))</f>
        <v>#N/A</v>
      </c>
      <c r="Y11" s="202"/>
      <c r="Z11" s="185" t="e">
        <f aca="false">IF($A12="","",VLOOKUP($A11,Table,MATCH(Z$4,Curves,0)))</f>
        <v>#N/A</v>
      </c>
      <c r="AA11" s="185" t="e">
        <f aca="false">IF($A12="","",VLOOKUP($A11,Table,MATCH(AA$4,Curves,0)))</f>
        <v>#N/A</v>
      </c>
      <c r="AB11" s="185" t="e">
        <f aca="false">SQRT((AA11^2*(A11-$D$3)+Z11^2*(DAY(EOMONTH(A11,0))/2))/AK11)</f>
        <v>#N/A</v>
      </c>
      <c r="AC11" s="185" t="e">
        <f aca="false">IF($A12="","",VLOOKUP($A11,Table,MATCH(AC$4,Curves,0)))</f>
        <v>#N/A</v>
      </c>
      <c r="AD11" s="185" t="e">
        <f aca="false">IF($A12="","",VLOOKUP($A11,Table,MATCH(AD$4,Curves,0)))</f>
        <v>#N/A</v>
      </c>
      <c r="AE11" s="185" t="e">
        <f aca="false">SQRT((AD11^2*(A11-$D$3)+AC11^2*(DAY(EOMONTH(A11,0))/2))/AK11)</f>
        <v>#N/A</v>
      </c>
      <c r="AF11" s="224" t="e">
        <f aca="false">((Summary!$N$13*(AA11*AD11)*(A11-$D$3))+(Summary!$M$13*Z11*AC11*(AJ11-EOMONTH(EDATE(A11,-1),0))))/(AK11*AB11*AE11)</f>
        <v>#N/A</v>
      </c>
      <c r="AG11" s="207" t="n">
        <f aca="false">IF($A12="","",Summary!$Q$13)</f>
        <v>0</v>
      </c>
      <c r="AH11" s="207" t="n">
        <f aca="false">IF($A12="","",IF(Summary!$R$12="Y",(VLOOKUP($A11,Summary!$AD$6:$AF$9,3)+'Escalating commodity'!I24),'Escalating commodity'!I24))</f>
        <v>0.0341143917152</v>
      </c>
      <c r="AI11" s="207" t="n">
        <f aca="false">IF($A12="","",AH11)</f>
        <v>0.0341143917152</v>
      </c>
      <c r="AJ11" s="208" t="n">
        <f aca="false">A11+DAY(EOMONTH(A11,0))/2-1</f>
        <v>37087.5</v>
      </c>
      <c r="AK11" s="209" t="n">
        <f aca="false">IF($A12="","",$A11-$E$1)</f>
        <v>-8853</v>
      </c>
      <c r="AL11" s="182" t="e">
        <f aca="false">IF($A12="","",SPRDOPT(P11,X11,AI11,0,AB11,AE11,AF11,AK11,$AJ$2,0))</f>
        <v>#NAME?</v>
      </c>
      <c r="AM11" s="210" t="e">
        <f aca="false">IF($A12="","",MAX(0,O11-W11-AI11))</f>
        <v>#N/A</v>
      </c>
      <c r="AN11" s="211" t="e">
        <f aca="false">IF($A12="","",AL11-AM11)</f>
        <v>#N/A</v>
      </c>
      <c r="AO11" s="137" t="n">
        <f aca="false">IF(A12="","",A12-A11)</f>
        <v>31</v>
      </c>
      <c r="AP11" s="212" t="n">
        <f aca="false">IF(A12="","",CHOOSE(F$3,A12+24,A11))</f>
        <v>37073</v>
      </c>
      <c r="AQ11" s="209" t="n">
        <f aca="false">IF(A12="","",AP11-$E$1)</f>
        <v>-8853</v>
      </c>
      <c r="AR11" s="185" t="n">
        <f aca="false">'ANR OK vs ML7'!AR11</f>
        <v>0.1</v>
      </c>
      <c r="AS11" s="213" t="n">
        <f aca="false">IF(A12="","",1/(1+CHOOSE(F$3,(AR12+($I$3/10000))/2,(AR11+($I$3/10000))/2))^(2*AQ11/365.25))</f>
        <v>10.6458573268147</v>
      </c>
      <c r="AT11" s="137" t="n">
        <f aca="false">IF(A12="","",IF(AND(mthbeg&lt;=A11,mthend&gt;=A11),1,0))</f>
        <v>1</v>
      </c>
      <c r="AU11" s="137" t="n">
        <f aca="false">IF(A12="","",AO11*AT11)</f>
        <v>31</v>
      </c>
      <c r="AW11" s="195" t="e">
        <f aca="false">IF($A12="","",AL11*$E11)</f>
        <v>#NAME?</v>
      </c>
      <c r="AX11" s="195" t="e">
        <f aca="false">IF($A12="","",AM11*$E11)</f>
        <v>#N/A</v>
      </c>
      <c r="AY11" s="195" t="e">
        <f aca="false">IF($A12="","",AN11*$E11)</f>
        <v>#N/A</v>
      </c>
      <c r="BA11" s="195" t="n">
        <f aca="false">IF($A12="","",F11*Summary!$Q$13)</f>
        <v>0</v>
      </c>
      <c r="BC11" s="179" t="e">
        <f aca="false">IF(A12="","",AM11*F11)</f>
        <v>#N/A</v>
      </c>
    </row>
    <row r="12" customFormat="false" ht="12.75" hidden="false" customHeight="false" outlineLevel="0" collapsed="false">
      <c r="A12" s="196" t="n">
        <f aca="false">IF(A11&lt;mthend,EDATE(A11,1),"")</f>
        <v>37104</v>
      </c>
      <c r="B12" s="197" t="n">
        <f aca="false">IF(A12&lt;mthend,B11,"")</f>
        <v>28400</v>
      </c>
      <c r="C12" s="215"/>
      <c r="D12" s="197" t="n">
        <f aca="false">IF(A13&lt;&gt;"",B12+C12,"")</f>
        <v>28400</v>
      </c>
      <c r="E12" s="199" t="n">
        <f aca="false">IF(A13="","",IF(AND(AT12=1,$H$3=1),D12*AO12,IF($H$3=2,D12,"N/A")))</f>
        <v>880400</v>
      </c>
      <c r="F12" s="199" t="n">
        <f aca="false">IF(A13="","",E12*AS12)</f>
        <v>9295309.62941075</v>
      </c>
      <c r="G12" s="200" t="e">
        <f aca="false">IF($A13="","",VLOOKUP($A12,Table,MATCH(G$4,Curves,0)))</f>
        <v>#N/A</v>
      </c>
      <c r="H12" s="201" t="e">
        <f aca="false">IF(A13="","",G12)</f>
        <v>#N/A</v>
      </c>
      <c r="I12" s="202"/>
      <c r="J12" s="200" t="e">
        <f aca="false">IF($A13="","",VLOOKUP($A12,Table,MATCH(J$4,Curves,0)))</f>
        <v>#N/A</v>
      </c>
      <c r="K12" s="201" t="e">
        <f aca="false">IF(A13="","",J12)</f>
        <v>#N/A</v>
      </c>
      <c r="L12" s="185" t="n">
        <v>0</v>
      </c>
      <c r="M12" s="201" t="n">
        <f aca="false">IF(A13="","",L12)</f>
        <v>0</v>
      </c>
      <c r="N12" s="203"/>
      <c r="O12" s="200" t="e">
        <f aca="false">IF(A13="","",L12+J12+G12)</f>
        <v>#N/A</v>
      </c>
      <c r="P12" s="200" t="e">
        <f aca="false">IF(A13="","",M12+K12+H12)</f>
        <v>#N/A</v>
      </c>
      <c r="Q12" s="204"/>
      <c r="R12" s="200" t="e">
        <f aca="false">IF($A13="","",VLOOKUP($A12,Table,MATCH(R$4,Curves,0)))</f>
        <v>#N/A</v>
      </c>
      <c r="S12" s="201" t="e">
        <f aca="false">IF(A13="","",R12)</f>
        <v>#N/A</v>
      </c>
      <c r="T12" s="185" t="n">
        <v>0</v>
      </c>
      <c r="U12" s="201" t="n">
        <f aca="false">IF(A13="","",T12)</f>
        <v>0</v>
      </c>
      <c r="V12" s="205" t="e">
        <f aca="false">(G12+R12)/(1-Summary!$T$13)*Summary!$T$13</f>
        <v>#N/A</v>
      </c>
      <c r="W12" s="202" t="e">
        <f aca="false">IF($A13="","",(T12+R12+G12+V12))</f>
        <v>#N/A</v>
      </c>
      <c r="X12" s="202" t="e">
        <f aca="false">IF($A13="","",(U12+S12+H12+V12))</f>
        <v>#N/A</v>
      </c>
      <c r="Y12" s="202"/>
      <c r="Z12" s="185" t="e">
        <f aca="false">IF($A13="","",VLOOKUP($A12,Table,MATCH(Z$4,Curves,0)))</f>
        <v>#N/A</v>
      </c>
      <c r="AA12" s="185" t="e">
        <f aca="false">IF($A13="","",VLOOKUP($A12,Table,MATCH(AA$4,Curves,0)))</f>
        <v>#N/A</v>
      </c>
      <c r="AB12" s="185" t="e">
        <f aca="false">SQRT((AA12^2*(A12-$D$3)+Z12^2*(DAY(EOMONTH(A12,0))/2))/AK12)</f>
        <v>#N/A</v>
      </c>
      <c r="AC12" s="185" t="e">
        <f aca="false">IF($A13="","",VLOOKUP($A12,Table,MATCH(AC$4,Curves,0)))</f>
        <v>#N/A</v>
      </c>
      <c r="AD12" s="185" t="e">
        <f aca="false">IF($A13="","",VLOOKUP($A12,Table,MATCH(AD$4,Curves,0)))</f>
        <v>#N/A</v>
      </c>
      <c r="AE12" s="185" t="e">
        <f aca="false">SQRT((AD12^2*(A12-$D$3)+AC12^2*(DAY(EOMONTH(A12,0))/2))/AK12)</f>
        <v>#N/A</v>
      </c>
      <c r="AF12" s="224" t="e">
        <f aca="false">((Summary!$N$13*(AA12*AD12)*(A12-$D$3))+(Summary!$M$13*Z12*AC12*(AJ12-EOMONTH(EDATE(A12,-1),0))))/(AK12*AB12*AE12)</f>
        <v>#N/A</v>
      </c>
      <c r="AG12" s="207" t="n">
        <f aca="false">IF($A13="","",Summary!$Q$13)</f>
        <v>0</v>
      </c>
      <c r="AH12" s="207" t="n">
        <f aca="false">IF($A13="","",IF(Summary!$R$12="Y",(VLOOKUP($A12,Summary!$AD$6:$AF$9,3)+'Escalating commodity'!I25),'Escalating commodity'!I25))</f>
        <v>0.0341143917152</v>
      </c>
      <c r="AI12" s="207" t="n">
        <f aca="false">IF($A13="","",AH12)</f>
        <v>0.0341143917152</v>
      </c>
      <c r="AJ12" s="208" t="n">
        <f aca="false">A12+DAY(EOMONTH(A12,0))/2-1</f>
        <v>37118.5</v>
      </c>
      <c r="AK12" s="209" t="n">
        <f aca="false">IF($A13="","",$A12-$E$1)</f>
        <v>-8822</v>
      </c>
      <c r="AL12" s="182" t="e">
        <f aca="false">IF($A13="","",SPRDOPT(P12,X12,AI12,0,AB12,AE12,AF12,AK12,$AJ$2,0))</f>
        <v>#NAME?</v>
      </c>
      <c r="AM12" s="210" t="e">
        <f aca="false">IF($A13="","",MAX(0,O12-W12-AI12))</f>
        <v>#N/A</v>
      </c>
      <c r="AN12" s="211" t="e">
        <f aca="false">IF($A13="","",AL12-AM12)</f>
        <v>#N/A</v>
      </c>
      <c r="AO12" s="137" t="n">
        <f aca="false">IF(A13="","",A13-A12)</f>
        <v>31</v>
      </c>
      <c r="AP12" s="212" t="n">
        <f aca="false">IF(A13="","",CHOOSE(F$3,A13+24,A12))</f>
        <v>37104</v>
      </c>
      <c r="AQ12" s="209" t="n">
        <f aca="false">IF(A13="","",AP12-$E$1)</f>
        <v>-8822</v>
      </c>
      <c r="AR12" s="185" t="n">
        <f aca="false">'ANR OK vs ML7'!AR12</f>
        <v>0.1</v>
      </c>
      <c r="AS12" s="213" t="n">
        <f aca="false">IF(A13="","",1/(1+CHOOSE(F$3,(AR13+($I$3/10000))/2,(AR12+($I$3/10000))/2))^(2*AQ12/365.25))</f>
        <v>10.5580527367228</v>
      </c>
      <c r="AT12" s="137" t="n">
        <f aca="false">IF(A13="","",IF(AND(mthbeg&lt;=A12,mthend&gt;=A12),1,0))</f>
        <v>1</v>
      </c>
      <c r="AU12" s="137" t="n">
        <f aca="false">IF(A13="","",AO12*AT12)</f>
        <v>31</v>
      </c>
      <c r="AW12" s="195" t="e">
        <f aca="false">IF($A13="","",AL12*$E12)</f>
        <v>#NAME?</v>
      </c>
      <c r="AX12" s="195" t="e">
        <f aca="false">IF($A13="","",AM12*$E12)</f>
        <v>#N/A</v>
      </c>
      <c r="AY12" s="195" t="e">
        <f aca="false">IF($A13="","",AN12*$E12)</f>
        <v>#N/A</v>
      </c>
      <c r="BA12" s="195" t="n">
        <f aca="false">IF($A13="","",F12*Summary!$Q$13)</f>
        <v>0</v>
      </c>
      <c r="BC12" s="179" t="e">
        <f aca="false">IF(A13="","",AM12*F12)</f>
        <v>#N/A</v>
      </c>
    </row>
    <row r="13" customFormat="false" ht="12.75" hidden="false" customHeight="false" outlineLevel="0" collapsed="false">
      <c r="A13" s="196" t="n">
        <f aca="false">IF(A12&lt;mthend,EDATE(A12,1),"")</f>
        <v>37135</v>
      </c>
      <c r="B13" s="197" t="n">
        <f aca="false">IF(A13&lt;mthend,B12,"")</f>
        <v>28400</v>
      </c>
      <c r="C13" s="215"/>
      <c r="D13" s="197" t="n">
        <f aca="false">IF(A14&lt;&gt;"",B13+C13,"")</f>
        <v>28400</v>
      </c>
      <c r="E13" s="199" t="n">
        <f aca="false">IF(A14="","",IF(AND(AT13=1,$H$3=1),D13*AO13,IF($H$3=2,D13,"N/A")))</f>
        <v>852000</v>
      </c>
      <c r="F13" s="199" t="n">
        <f aca="false">IF(A14="","",E13*AS13)</f>
        <v>8921268.43262008</v>
      </c>
      <c r="G13" s="200" t="e">
        <f aca="false">IF($A14="","",VLOOKUP($A13,Table,MATCH(G$4,Curves,0)))</f>
        <v>#N/A</v>
      </c>
      <c r="H13" s="201" t="e">
        <f aca="false">IF(A14="","",G13)</f>
        <v>#N/A</v>
      </c>
      <c r="I13" s="202"/>
      <c r="J13" s="200" t="e">
        <f aca="false">IF($A14="","",VLOOKUP($A13,Table,MATCH(J$4,Curves,0)))</f>
        <v>#N/A</v>
      </c>
      <c r="K13" s="201" t="e">
        <f aca="false">IF(A14="","",J13)</f>
        <v>#N/A</v>
      </c>
      <c r="L13" s="185" t="n">
        <v>0</v>
      </c>
      <c r="M13" s="201" t="n">
        <f aca="false">IF(A14="","",L13)</f>
        <v>0</v>
      </c>
      <c r="N13" s="203"/>
      <c r="O13" s="200" t="e">
        <f aca="false">IF(A14="","",L13+J13+G13)</f>
        <v>#N/A</v>
      </c>
      <c r="P13" s="200" t="e">
        <f aca="false">IF(A14="","",M13+K13+H13)</f>
        <v>#N/A</v>
      </c>
      <c r="Q13" s="204"/>
      <c r="R13" s="200" t="e">
        <f aca="false">IF($A14="","",VLOOKUP($A13,Table,MATCH(R$4,Curves,0)))</f>
        <v>#N/A</v>
      </c>
      <c r="S13" s="201" t="e">
        <f aca="false">IF(A14="","",R13)</f>
        <v>#N/A</v>
      </c>
      <c r="T13" s="185" t="n">
        <v>0</v>
      </c>
      <c r="U13" s="201" t="n">
        <f aca="false">IF(A14="","",T13)</f>
        <v>0</v>
      </c>
      <c r="V13" s="205" t="e">
        <f aca="false">(G13+R13)/(1-Summary!$T$13)*Summary!$T$13</f>
        <v>#N/A</v>
      </c>
      <c r="W13" s="202" t="e">
        <f aca="false">IF($A14="","",(T13+R13+G13+V13))</f>
        <v>#N/A</v>
      </c>
      <c r="X13" s="202" t="e">
        <f aca="false">IF($A14="","",(U13+S13+H13+V13))</f>
        <v>#N/A</v>
      </c>
      <c r="Y13" s="202"/>
      <c r="Z13" s="185" t="e">
        <f aca="false">IF($A14="","",VLOOKUP($A13,Table,MATCH(Z$4,Curves,0)))</f>
        <v>#N/A</v>
      </c>
      <c r="AA13" s="185" t="e">
        <f aca="false">IF($A14="","",VLOOKUP($A13,Table,MATCH(AA$4,Curves,0)))</f>
        <v>#N/A</v>
      </c>
      <c r="AB13" s="185" t="e">
        <f aca="false">SQRT((AA13^2*(A13-$D$3)+Z13^2*(DAY(EOMONTH(A13,0))/2))/AK13)</f>
        <v>#N/A</v>
      </c>
      <c r="AC13" s="185" t="e">
        <f aca="false">IF($A14="","",VLOOKUP($A13,Table,MATCH(AC$4,Curves,0)))</f>
        <v>#N/A</v>
      </c>
      <c r="AD13" s="185" t="e">
        <f aca="false">IF($A14="","",VLOOKUP($A13,Table,MATCH(AD$4,Curves,0)))</f>
        <v>#N/A</v>
      </c>
      <c r="AE13" s="185" t="e">
        <f aca="false">SQRT((AD13^2*(A13-$D$3)+AC13^2*(DAY(EOMONTH(A13,0))/2))/AK13)</f>
        <v>#N/A</v>
      </c>
      <c r="AF13" s="224" t="e">
        <f aca="false">((Summary!$N$13*(AA13*AD13)*(A13-$D$3))+(Summary!$M$13*Z13*AC13*(AJ13-EOMONTH(EDATE(A13,-1),0))))/(AK13*AB13*AE13)</f>
        <v>#N/A</v>
      </c>
      <c r="AG13" s="207" t="n">
        <f aca="false">IF($A14="","",Summary!$Q$13)</f>
        <v>0</v>
      </c>
      <c r="AH13" s="207" t="n">
        <f aca="false">IF($A14="","",IF(Summary!$R$12="Y",(VLOOKUP($A13,Summary!$AD$6:$AF$9,3)+'Escalating commodity'!I26),'Escalating commodity'!I26))</f>
        <v>0.0341143917152</v>
      </c>
      <c r="AI13" s="207" t="n">
        <f aca="false">IF($A14="","",AH13)</f>
        <v>0.0341143917152</v>
      </c>
      <c r="AJ13" s="208" t="n">
        <f aca="false">A13+DAY(EOMONTH(A13,0))/2-1</f>
        <v>37149</v>
      </c>
      <c r="AK13" s="209" t="n">
        <f aca="false">IF($A14="","",$A13-$E$1)</f>
        <v>-8791</v>
      </c>
      <c r="AL13" s="182" t="e">
        <f aca="false">IF($A14="","",SPRDOPT(P13,X13,AI13,0,AB13,AE13,AF13,AK13,$AJ$2,0))</f>
        <v>#NAME?</v>
      </c>
      <c r="AM13" s="210" t="e">
        <f aca="false">IF($A14="","",MAX(0,O13-W13-AI13))</f>
        <v>#N/A</v>
      </c>
      <c r="AN13" s="211" t="e">
        <f aca="false">IF($A14="","",AL13-AM13)</f>
        <v>#N/A</v>
      </c>
      <c r="AO13" s="137" t="n">
        <f aca="false">IF(A14="","",A14-A13)</f>
        <v>30</v>
      </c>
      <c r="AP13" s="212" t="n">
        <f aca="false">IF(A14="","",CHOOSE(F$3,A14+24,A13))</f>
        <v>37135</v>
      </c>
      <c r="AQ13" s="209" t="n">
        <f aca="false">IF(A14="","",AP13-$E$1)</f>
        <v>-8791</v>
      </c>
      <c r="AR13" s="185" t="n">
        <f aca="false">'ANR OK vs ML7'!AR13</f>
        <v>0.1</v>
      </c>
      <c r="AS13" s="213" t="n">
        <f aca="false">IF(A14="","",1/(1+CHOOSE(F$3,(AR14+($I$3/10000))/2,(AR13+($I$3/10000))/2))^(2*AQ13/365.25))</f>
        <v>10.470972338756</v>
      </c>
      <c r="AT13" s="137" t="n">
        <f aca="false">IF(A14="","",IF(AND(mthbeg&lt;=A13,mthend&gt;=A13),1,0))</f>
        <v>1</v>
      </c>
      <c r="AU13" s="137" t="n">
        <f aca="false">IF(A14="","",AO13*AT13)</f>
        <v>30</v>
      </c>
      <c r="AW13" s="195" t="e">
        <f aca="false">IF($A14="","",AL13*$E13)</f>
        <v>#NAME?</v>
      </c>
      <c r="AX13" s="195" t="e">
        <f aca="false">IF($A14="","",AM13*$E13)</f>
        <v>#N/A</v>
      </c>
      <c r="AY13" s="195" t="e">
        <f aca="false">IF($A14="","",AN13*$E13)</f>
        <v>#N/A</v>
      </c>
      <c r="BA13" s="195" t="n">
        <f aca="false">IF($A14="","",F13*Summary!$Q$13)</f>
        <v>0</v>
      </c>
      <c r="BC13" s="179" t="e">
        <f aca="false">IF(A14="","",AM13*F13)</f>
        <v>#N/A</v>
      </c>
    </row>
    <row r="14" customFormat="false" ht="12.75" hidden="false" customHeight="false" outlineLevel="0" collapsed="false">
      <c r="A14" s="196" t="n">
        <f aca="false">IF(A13&lt;mthend,EDATE(A13,1),"")</f>
        <v>37165</v>
      </c>
      <c r="B14" s="197" t="n">
        <f aca="false">IF(A14&lt;mthend,B13,"")</f>
        <v>28400</v>
      </c>
      <c r="C14" s="215"/>
      <c r="D14" s="197" t="n">
        <f aca="false">IF(A15&lt;&gt;"",B14+C14,"")</f>
        <v>28400</v>
      </c>
      <c r="E14" s="199" t="n">
        <f aca="false">IF(A15="","",IF(AND(AT14=1,$H$3=1),D14*AO14,IF($H$3=2,D14,"N/A")))</f>
        <v>880400</v>
      </c>
      <c r="F14" s="199" t="n">
        <f aca="false">IF(A15="","",E14*AS14)</f>
        <v>9145053.65447892</v>
      </c>
      <c r="G14" s="200" t="e">
        <f aca="false">IF($A15="","",VLOOKUP($A14,Table,MATCH(G$4,Curves,0)))</f>
        <v>#N/A</v>
      </c>
      <c r="H14" s="201" t="e">
        <f aca="false">IF(A15="","",G14)</f>
        <v>#N/A</v>
      </c>
      <c r="I14" s="202"/>
      <c r="J14" s="200" t="e">
        <f aca="false">IF($A15="","",VLOOKUP($A14,Table,MATCH(J$4,Curves,0)))</f>
        <v>#N/A</v>
      </c>
      <c r="K14" s="201" t="e">
        <f aca="false">IF(A15="","",J14)</f>
        <v>#N/A</v>
      </c>
      <c r="L14" s="185" t="n">
        <v>0</v>
      </c>
      <c r="M14" s="201" t="n">
        <f aca="false">IF(A15="","",L14)</f>
        <v>0</v>
      </c>
      <c r="N14" s="203"/>
      <c r="O14" s="200" t="e">
        <f aca="false">IF(A15="","",L14+J14+G14)</f>
        <v>#N/A</v>
      </c>
      <c r="P14" s="200" t="e">
        <f aca="false">IF(A15="","",M14+K14+H14)</f>
        <v>#N/A</v>
      </c>
      <c r="Q14" s="204"/>
      <c r="R14" s="200" t="e">
        <f aca="false">IF($A15="","",VLOOKUP($A14,Table,MATCH(R$4,Curves,0)))</f>
        <v>#N/A</v>
      </c>
      <c r="S14" s="201" t="e">
        <f aca="false">IF(A15="","",R14)</f>
        <v>#N/A</v>
      </c>
      <c r="T14" s="185" t="n">
        <v>0</v>
      </c>
      <c r="U14" s="201" t="n">
        <f aca="false">IF(A15="","",T14)</f>
        <v>0</v>
      </c>
      <c r="V14" s="205" t="e">
        <f aca="false">(G14+R14)/(1-Summary!$T$13)*Summary!$T$13</f>
        <v>#N/A</v>
      </c>
      <c r="W14" s="202" t="e">
        <f aca="false">IF($A15="","",(T14+R14+G14+V14))</f>
        <v>#N/A</v>
      </c>
      <c r="X14" s="202" t="e">
        <f aca="false">IF($A15="","",(U14+S14+H14+V14))</f>
        <v>#N/A</v>
      </c>
      <c r="Y14" s="202"/>
      <c r="Z14" s="185" t="e">
        <f aca="false">IF($A15="","",VLOOKUP($A14,Table,MATCH(Z$4,Curves,0)))</f>
        <v>#N/A</v>
      </c>
      <c r="AA14" s="185" t="e">
        <f aca="false">IF($A15="","",VLOOKUP($A14,Table,MATCH(AA$4,Curves,0)))</f>
        <v>#N/A</v>
      </c>
      <c r="AB14" s="185" t="e">
        <f aca="false">SQRT((AA14^2*(A14-$D$3)+Z14^2*(DAY(EOMONTH(A14,0))/2))/AK14)</f>
        <v>#N/A</v>
      </c>
      <c r="AC14" s="185" t="e">
        <f aca="false">IF($A15="","",VLOOKUP($A14,Table,MATCH(AC$4,Curves,0)))</f>
        <v>#N/A</v>
      </c>
      <c r="AD14" s="185" t="e">
        <f aca="false">IF($A15="","",VLOOKUP($A14,Table,MATCH(AD$4,Curves,0)))</f>
        <v>#N/A</v>
      </c>
      <c r="AE14" s="185" t="e">
        <f aca="false">SQRT((AD14^2*(A14-$D$3)+AC14^2*(DAY(EOMONTH(A14,0))/2))/AK14)</f>
        <v>#N/A</v>
      </c>
      <c r="AF14" s="224" t="e">
        <f aca="false">((Summary!$N$13*(AA14*AD14)*(A14-$D$3))+(Summary!$M$13*Z14*AC14*(AJ14-EOMONTH(EDATE(A14,-1),0))))/(AK14*AB14*AE14)</f>
        <v>#N/A</v>
      </c>
      <c r="AG14" s="207" t="n">
        <f aca="false">IF($A15="","",Summary!$Q$13)</f>
        <v>0</v>
      </c>
      <c r="AH14" s="207" t="n">
        <f aca="false">IF($A15="","",IF(Summary!$R$12="Y",(VLOOKUP($A14,Summary!$AD$6:$AF$9,3)+'Escalating commodity'!I27),'Escalating commodity'!I27))</f>
        <v>0.0341143917152</v>
      </c>
      <c r="AI14" s="207" t="n">
        <f aca="false">IF($A15="","",AH14)</f>
        <v>0.0341143917152</v>
      </c>
      <c r="AJ14" s="208" t="n">
        <f aca="false">A14+DAY(EOMONTH(A14,0))/2-1</f>
        <v>37179.5</v>
      </c>
      <c r="AK14" s="209" t="n">
        <f aca="false">IF($A15="","",$A14-$E$1)</f>
        <v>-8761</v>
      </c>
      <c r="AL14" s="182" t="e">
        <f aca="false">IF($A15="","",SPRDOPT(P14,X14,AI14,0,AB14,AE14,AF14,AK14,$AJ$2,0))</f>
        <v>#NAME?</v>
      </c>
      <c r="AM14" s="210" t="e">
        <f aca="false">IF($A15="","",MAX(0,O14-W14-AI14))</f>
        <v>#N/A</v>
      </c>
      <c r="AN14" s="211" t="e">
        <f aca="false">IF($A15="","",AL14-AM14)</f>
        <v>#N/A</v>
      </c>
      <c r="AO14" s="137" t="n">
        <f aca="false">IF(A15="","",A15-A14)</f>
        <v>31</v>
      </c>
      <c r="AP14" s="212" t="n">
        <f aca="false">IF(A15="","",CHOOSE(F$3,A15+24,A14))</f>
        <v>37165</v>
      </c>
      <c r="AQ14" s="209" t="n">
        <f aca="false">IF(A15="","",AP14-$E$1)</f>
        <v>-8761</v>
      </c>
      <c r="AR14" s="185" t="n">
        <f aca="false">'ANR OK vs ML7'!AR14</f>
        <v>0.1</v>
      </c>
      <c r="AS14" s="213" t="n">
        <f aca="false">IF(A15="","",1/(1+CHOOSE(F$3,(AR15+($I$3/10000))/2,(AR14+($I$3/10000))/2))^(2*AQ14/365.25))</f>
        <v>10.3873848869592</v>
      </c>
      <c r="AT14" s="137" t="n">
        <f aca="false">IF(A15="","",IF(AND(mthbeg&lt;=A14,mthend&gt;=A14),1,0))</f>
        <v>1</v>
      </c>
      <c r="AU14" s="137" t="n">
        <f aca="false">IF(A15="","",AO14*AT14)</f>
        <v>31</v>
      </c>
      <c r="AW14" s="195" t="e">
        <f aca="false">IF($A15="","",AL14*$E14)</f>
        <v>#NAME?</v>
      </c>
      <c r="AX14" s="195" t="e">
        <f aca="false">IF($A15="","",AM14*$E14)</f>
        <v>#N/A</v>
      </c>
      <c r="AY14" s="195" t="e">
        <f aca="false">IF($A15="","",AN14*$E14)</f>
        <v>#N/A</v>
      </c>
      <c r="BA14" s="195" t="n">
        <f aca="false">IF($A15="","",F14*Summary!$Q$13)</f>
        <v>0</v>
      </c>
      <c r="BC14" s="179" t="e">
        <f aca="false">IF(A15="","",AM14*F14)</f>
        <v>#N/A</v>
      </c>
    </row>
    <row r="15" customFormat="false" ht="12.75" hidden="false" customHeight="false" outlineLevel="0" collapsed="false">
      <c r="A15" s="196" t="n">
        <f aca="false">IF(A14&lt;mthend,EDATE(A14,1),"")</f>
        <v>37196</v>
      </c>
      <c r="B15" s="197" t="n">
        <f aca="false">IF(A15&lt;mthend,B14,"")</f>
        <v>28400</v>
      </c>
      <c r="C15" s="215"/>
      <c r="D15" s="197" t="n">
        <f aca="false">IF(A16&lt;&gt;"",B15+C15,"")</f>
        <v>28400</v>
      </c>
      <c r="E15" s="199" t="n">
        <f aca="false">IF(A16="","",IF(AND(AT15=1,$H$3=1),D15*AO15,IF($H$3=2,D15,"N/A")))</f>
        <v>852000</v>
      </c>
      <c r="F15" s="199" t="n">
        <f aca="false">IF(A16="","",E15*AS15)</f>
        <v>8777058.72477662</v>
      </c>
      <c r="G15" s="200" t="e">
        <f aca="false">IF($A16="","",VLOOKUP($A15,Table,MATCH(G$4,Curves,0)))</f>
        <v>#N/A</v>
      </c>
      <c r="H15" s="201" t="e">
        <f aca="false">IF(A16="","",G15)</f>
        <v>#N/A</v>
      </c>
      <c r="I15" s="202"/>
      <c r="J15" s="200" t="e">
        <f aca="false">IF($A16="","",VLOOKUP($A15,Table,MATCH(J$4,Curves,0)))</f>
        <v>#N/A</v>
      </c>
      <c r="K15" s="201" t="e">
        <f aca="false">IF(A16="","",J15)</f>
        <v>#N/A</v>
      </c>
      <c r="L15" s="185" t="n">
        <v>0</v>
      </c>
      <c r="M15" s="201" t="n">
        <f aca="false">IF(A16="","",L15)</f>
        <v>0</v>
      </c>
      <c r="N15" s="203"/>
      <c r="O15" s="200" t="e">
        <f aca="false">IF(A16="","",L15+J15+G15)</f>
        <v>#N/A</v>
      </c>
      <c r="P15" s="200" t="e">
        <f aca="false">IF(A16="","",M15+K15+H15)</f>
        <v>#N/A</v>
      </c>
      <c r="Q15" s="204"/>
      <c r="R15" s="200" t="e">
        <f aca="false">IF($A16="","",VLOOKUP($A15,Table,MATCH(R$4,Curves,0)))</f>
        <v>#N/A</v>
      </c>
      <c r="S15" s="201" t="e">
        <f aca="false">IF(A16="","",R15)</f>
        <v>#N/A</v>
      </c>
      <c r="T15" s="185" t="n">
        <v>0</v>
      </c>
      <c r="U15" s="201" t="n">
        <f aca="false">IF(A16="","",T15)</f>
        <v>0</v>
      </c>
      <c r="V15" s="205" t="e">
        <f aca="false">(G15+R15)/(1-Summary!$T$13)*Summary!$T$13</f>
        <v>#N/A</v>
      </c>
      <c r="W15" s="202" t="e">
        <f aca="false">IF($A16="","",(T15+R15+G15+V15))</f>
        <v>#N/A</v>
      </c>
      <c r="X15" s="202" t="e">
        <f aca="false">IF($A16="","",(U15+S15+H15+V15))</f>
        <v>#N/A</v>
      </c>
      <c r="Y15" s="202"/>
      <c r="Z15" s="185" t="e">
        <f aca="false">IF($A16="","",VLOOKUP($A15,Table,MATCH(Z$4,Curves,0)))</f>
        <v>#N/A</v>
      </c>
      <c r="AA15" s="185" t="e">
        <f aca="false">IF($A16="","",VLOOKUP($A15,Table,MATCH(AA$4,Curves,0)))</f>
        <v>#N/A</v>
      </c>
      <c r="AB15" s="185" t="e">
        <f aca="false">SQRT((AA15^2*(A15-$D$3)+Z15^2*(DAY(EOMONTH(A15,0))/2))/AK15)</f>
        <v>#N/A</v>
      </c>
      <c r="AC15" s="185" t="e">
        <f aca="false">IF($A16="","",VLOOKUP($A15,Table,MATCH(AC$4,Curves,0)))</f>
        <v>#N/A</v>
      </c>
      <c r="AD15" s="185" t="e">
        <f aca="false">IF($A16="","",VLOOKUP($A15,Table,MATCH(AD$4,Curves,0)))</f>
        <v>#N/A</v>
      </c>
      <c r="AE15" s="185" t="e">
        <f aca="false">SQRT((AD15^2*(A15-$D$3)+AC15^2*(DAY(EOMONTH(A15,0))/2))/AK15)</f>
        <v>#N/A</v>
      </c>
      <c r="AF15" s="224" t="e">
        <f aca="false">((Summary!$N$13*(AA15*AD15)*(A15-$D$3))+(Summary!$M$13*Z15*AC15*(AJ15-EOMONTH(EDATE(A15,-1),0))))/(AK15*AB15*AE15)</f>
        <v>#N/A</v>
      </c>
      <c r="AG15" s="207" t="n">
        <f aca="false">IF($A16="","",Summary!$Q$13)</f>
        <v>0</v>
      </c>
      <c r="AH15" s="207" t="n">
        <f aca="false">IF($A16="","",IF(Summary!$R$12="Y",(VLOOKUP($A15,Summary!$AD$6:$AF$9,3)+'Escalating commodity'!I28),'Escalating commodity'!I28))</f>
        <v>0.0341143917152</v>
      </c>
      <c r="AI15" s="207" t="n">
        <f aca="false">IF($A16="","",AH15)</f>
        <v>0.0341143917152</v>
      </c>
      <c r="AJ15" s="208" t="n">
        <f aca="false">A15+DAY(EOMONTH(A15,0))/2-1</f>
        <v>37210</v>
      </c>
      <c r="AK15" s="209" t="n">
        <f aca="false">IF($A16="","",$A15-$E$1)</f>
        <v>-8730</v>
      </c>
      <c r="AL15" s="182" t="e">
        <f aca="false">IF($A16="","",SPRDOPT(P15,X15,AI15,0,AB15,AE15,AF15,AK15,$AJ$2,0))</f>
        <v>#NAME?</v>
      </c>
      <c r="AM15" s="210" t="e">
        <f aca="false">IF($A16="","",MAX(0,O15-W15-AI15))</f>
        <v>#N/A</v>
      </c>
      <c r="AN15" s="211" t="e">
        <f aca="false">IF($A16="","",AL15-AM15)</f>
        <v>#N/A</v>
      </c>
      <c r="AO15" s="137" t="n">
        <f aca="false">IF(A16="","",A16-A15)</f>
        <v>30</v>
      </c>
      <c r="AP15" s="212" t="n">
        <f aca="false">IF(A16="","",CHOOSE(F$3,A16+24,A15))</f>
        <v>37196</v>
      </c>
      <c r="AQ15" s="209" t="n">
        <f aca="false">IF(A16="","",AP15-$E$1)</f>
        <v>-8730</v>
      </c>
      <c r="AR15" s="185" t="n">
        <f aca="false">'ANR OK vs ML7'!AR15</f>
        <v>0.1</v>
      </c>
      <c r="AS15" s="213" t="n">
        <f aca="false">IF(A16="","",1/(1+CHOOSE(F$3,(AR16+($I$3/10000))/2,(AR15+($I$3/10000))/2))^(2*AQ15/365.25))</f>
        <v>10.3017121182824</v>
      </c>
      <c r="AT15" s="137" t="n">
        <f aca="false">IF(A16="","",IF(AND(mthbeg&lt;=A15,mthend&gt;=A15),1,0))</f>
        <v>1</v>
      </c>
      <c r="AU15" s="137" t="n">
        <f aca="false">IF(A16="","",AO15*AT15)</f>
        <v>30</v>
      </c>
      <c r="AW15" s="195" t="e">
        <f aca="false">IF($A16="","",AL15*$E15)</f>
        <v>#NAME?</v>
      </c>
      <c r="AX15" s="195" t="e">
        <f aca="false">IF($A16="","",AM15*$E15)</f>
        <v>#N/A</v>
      </c>
      <c r="AY15" s="195" t="e">
        <f aca="false">IF($A16="","",AN15*$E15)</f>
        <v>#N/A</v>
      </c>
      <c r="BA15" s="195" t="n">
        <f aca="false">IF($A16="","",F15*Summary!$Q$13)</f>
        <v>0</v>
      </c>
      <c r="BC15" s="179" t="e">
        <f aca="false">IF(A16="","",AM15*F15)</f>
        <v>#N/A</v>
      </c>
    </row>
    <row r="16" customFormat="false" ht="12.75" hidden="false" customHeight="false" outlineLevel="0" collapsed="false">
      <c r="A16" s="196" t="n">
        <f aca="false">IF(A15&lt;mthend,EDATE(A15,1),"")</f>
        <v>37226</v>
      </c>
      <c r="B16" s="197" t="n">
        <f aca="false">IF(A16&lt;mthend,B15,"")</f>
        <v>28400</v>
      </c>
      <c r="C16" s="215"/>
      <c r="D16" s="197" t="n">
        <f aca="false">IF(A17&lt;&gt;"",B16+C16,"")</f>
        <v>28400</v>
      </c>
      <c r="E16" s="199" t="n">
        <f aca="false">IF(A17="","",IF(AND(AT16=1,$H$3=1),D16*AO16,IF($H$3=2,D16,"N/A")))</f>
        <v>880400</v>
      </c>
      <c r="F16" s="199" t="n">
        <f aca="false">IF(A17="","",E16*AS16)</f>
        <v>8997226.52365265</v>
      </c>
      <c r="G16" s="200" t="e">
        <f aca="false">IF($A17="","",VLOOKUP($A16,Table,MATCH(G$4,Curves,0)))</f>
        <v>#N/A</v>
      </c>
      <c r="H16" s="201" t="e">
        <f aca="false">IF(A17="","",G16)</f>
        <v>#N/A</v>
      </c>
      <c r="I16" s="202"/>
      <c r="J16" s="200" t="e">
        <f aca="false">IF($A17="","",VLOOKUP($A16,Table,MATCH(J$4,Curves,0)))</f>
        <v>#N/A</v>
      </c>
      <c r="K16" s="201" t="e">
        <f aca="false">IF(A17="","",J16)</f>
        <v>#N/A</v>
      </c>
      <c r="L16" s="185" t="n">
        <v>0</v>
      </c>
      <c r="M16" s="201" t="n">
        <f aca="false">IF(A17="","",L16)</f>
        <v>0</v>
      </c>
      <c r="N16" s="203"/>
      <c r="O16" s="200" t="e">
        <f aca="false">IF(A17="","",L16+J16+G16)</f>
        <v>#N/A</v>
      </c>
      <c r="P16" s="200" t="e">
        <f aca="false">IF(A17="","",M16+K16+H16)</f>
        <v>#N/A</v>
      </c>
      <c r="Q16" s="204"/>
      <c r="R16" s="200" t="e">
        <f aca="false">IF($A17="","",VLOOKUP($A16,Table,MATCH(R$4,Curves,0)))</f>
        <v>#N/A</v>
      </c>
      <c r="S16" s="201" t="e">
        <f aca="false">IF(A17="","",R16)</f>
        <v>#N/A</v>
      </c>
      <c r="T16" s="185" t="n">
        <v>0</v>
      </c>
      <c r="U16" s="201" t="n">
        <f aca="false">IF(A17="","",T16)</f>
        <v>0</v>
      </c>
      <c r="V16" s="205" t="e">
        <f aca="false">(G16+R16)/(1-Summary!$T$13)*Summary!$T$13</f>
        <v>#N/A</v>
      </c>
      <c r="W16" s="202" t="e">
        <f aca="false">IF($A17="","",(T16+R16+G16+V16))</f>
        <v>#N/A</v>
      </c>
      <c r="X16" s="202" t="e">
        <f aca="false">IF($A17="","",(U16+S16+H16+V16))</f>
        <v>#N/A</v>
      </c>
      <c r="Y16" s="202"/>
      <c r="Z16" s="185" t="e">
        <f aca="false">IF($A17="","",VLOOKUP($A16,Table,MATCH(Z$4,Curves,0)))</f>
        <v>#N/A</v>
      </c>
      <c r="AA16" s="185" t="e">
        <f aca="false">IF($A17="","",VLOOKUP($A16,Table,MATCH(AA$4,Curves,0)))</f>
        <v>#N/A</v>
      </c>
      <c r="AB16" s="185" t="e">
        <f aca="false">SQRT((AA16^2*(A16-$D$3)+Z16^2*(DAY(EOMONTH(A16,0))/2))/AK16)</f>
        <v>#N/A</v>
      </c>
      <c r="AC16" s="185" t="e">
        <f aca="false">IF($A17="","",VLOOKUP($A16,Table,MATCH(AC$4,Curves,0)))</f>
        <v>#N/A</v>
      </c>
      <c r="AD16" s="185" t="e">
        <f aca="false">IF($A17="","",VLOOKUP($A16,Table,MATCH(AD$4,Curves,0)))</f>
        <v>#N/A</v>
      </c>
      <c r="AE16" s="185" t="e">
        <f aca="false">SQRT((AD16^2*(A16-$D$3)+AC16^2*(DAY(EOMONTH(A16,0))/2))/AK16)</f>
        <v>#N/A</v>
      </c>
      <c r="AF16" s="224" t="e">
        <f aca="false">((Summary!$N$13*(AA16*AD16)*(A16-$D$3))+(Summary!$M$13*Z16*AC16*(AJ16-EOMONTH(EDATE(A16,-1),0))))/(AK16*AB16*AE16)</f>
        <v>#N/A</v>
      </c>
      <c r="AG16" s="207" t="n">
        <f aca="false">IF($A17="","",Summary!$Q$13)</f>
        <v>0</v>
      </c>
      <c r="AH16" s="207" t="n">
        <f aca="false">IF($A17="","",IF(Summary!$R$12="Y",(VLOOKUP($A16,Summary!$AD$6:$AF$9,3)+'Escalating commodity'!I29),'Escalating commodity'!I29))</f>
        <v>0.0341143917152</v>
      </c>
      <c r="AI16" s="207" t="n">
        <f aca="false">IF($A17="","",AH16)</f>
        <v>0.0341143917152</v>
      </c>
      <c r="AJ16" s="208" t="n">
        <f aca="false">A16+DAY(EOMONTH(A16,0))/2-1</f>
        <v>37240.5</v>
      </c>
      <c r="AK16" s="209" t="n">
        <f aca="false">IF($A17="","",$A16-$E$1)</f>
        <v>-8700</v>
      </c>
      <c r="AL16" s="182" t="e">
        <f aca="false">IF($A17="","",SPRDOPT(P16,X16,AI16,0,AB16,AE16,AF16,AK16,$AJ$2,0))</f>
        <v>#NAME?</v>
      </c>
      <c r="AM16" s="210" t="e">
        <f aca="false">IF($A17="","",MAX(0,O16-W16-AI16))</f>
        <v>#N/A</v>
      </c>
      <c r="AN16" s="211" t="e">
        <f aca="false">IF($A17="","",AL16-AM16)</f>
        <v>#N/A</v>
      </c>
      <c r="AO16" s="137" t="n">
        <f aca="false">IF(A17="","",A17-A16)</f>
        <v>31</v>
      </c>
      <c r="AP16" s="212" t="n">
        <f aca="false">IF(A17="","",CHOOSE(F$3,A17+24,A16))</f>
        <v>37226</v>
      </c>
      <c r="AQ16" s="209" t="n">
        <f aca="false">IF(A17="","",AP16-$E$1)</f>
        <v>-8700</v>
      </c>
      <c r="AR16" s="185" t="n">
        <f aca="false">'ANR OK vs ML7'!AR16</f>
        <v>0.1</v>
      </c>
      <c r="AS16" s="213" t="n">
        <f aca="false">IF(A17="","",1/(1+CHOOSE(F$3,(AR17+($I$3/10000))/2,(AR16+($I$3/10000))/2))^(2*AQ16/365.25))</f>
        <v>10.2194758333174</v>
      </c>
      <c r="AT16" s="137" t="n">
        <f aca="false">IF(A17="","",IF(AND(mthbeg&lt;=A16,mthend&gt;=A16),1,0))</f>
        <v>1</v>
      </c>
      <c r="AU16" s="137" t="n">
        <f aca="false">IF(A17="","",AO16*AT16)</f>
        <v>31</v>
      </c>
      <c r="AW16" s="195" t="e">
        <f aca="false">IF($A17="","",AL16*$E16)</f>
        <v>#NAME?</v>
      </c>
      <c r="AX16" s="195" t="e">
        <f aca="false">IF($A17="","",AM16*$E16)</f>
        <v>#N/A</v>
      </c>
      <c r="AY16" s="195" t="e">
        <f aca="false">IF($A17="","",AN16*$E16)</f>
        <v>#N/A</v>
      </c>
      <c r="BA16" s="195" t="n">
        <f aca="false">IF($A17="","",F16*Summary!$Q$13)</f>
        <v>0</v>
      </c>
      <c r="BC16" s="179" t="e">
        <f aca="false">IF(A17="","",AM16*F16)</f>
        <v>#N/A</v>
      </c>
    </row>
    <row r="17" customFormat="false" ht="12.75" hidden="false" customHeight="false" outlineLevel="0" collapsed="false">
      <c r="A17" s="196" t="n">
        <f aca="false">IF(A16&lt;mthend,EDATE(A16,1),"")</f>
        <v>37257</v>
      </c>
      <c r="B17" s="197" t="n">
        <f aca="false">IF(A17&lt;mthend,B16,"")</f>
        <v>28400</v>
      </c>
      <c r="C17" s="215"/>
      <c r="D17" s="197" t="n">
        <f aca="false">IF(A18&lt;&gt;"",B17+C17,"")</f>
        <v>28400</v>
      </c>
      <c r="E17" s="199" t="n">
        <f aca="false">IF(A18="","",IF(AND(AT17=1,$H$3=1),D17*AO17,IF($H$3=2,D17,"N/A")))</f>
        <v>880400</v>
      </c>
      <c r="F17" s="199" t="n">
        <f aca="false">IF(A18="","",E17*AS17)</f>
        <v>8923019.46238725</v>
      </c>
      <c r="G17" s="200" t="e">
        <f aca="false">IF($A18="","",VLOOKUP($A17,Table,MATCH(G$4,Curves,0)))</f>
        <v>#N/A</v>
      </c>
      <c r="H17" s="201" t="e">
        <f aca="false">IF(A18="","",G17)</f>
        <v>#N/A</v>
      </c>
      <c r="I17" s="202"/>
      <c r="J17" s="200" t="e">
        <f aca="false">IF($A18="","",VLOOKUP($A17,Table,MATCH(J$4,Curves,0)))</f>
        <v>#N/A</v>
      </c>
      <c r="K17" s="201" t="e">
        <f aca="false">IF(A18="","",J17)</f>
        <v>#N/A</v>
      </c>
      <c r="L17" s="185" t="n">
        <v>0</v>
      </c>
      <c r="M17" s="201" t="n">
        <f aca="false">IF(A18="","",L17)</f>
        <v>0</v>
      </c>
      <c r="N17" s="203"/>
      <c r="O17" s="200" t="e">
        <f aca="false">IF(A18="","",L17+J17+G17)</f>
        <v>#N/A</v>
      </c>
      <c r="P17" s="200" t="e">
        <f aca="false">IF(A18="","",M17+K17+H17)</f>
        <v>#N/A</v>
      </c>
      <c r="Q17" s="204"/>
      <c r="R17" s="200" t="e">
        <f aca="false">IF($A18="","",VLOOKUP($A17,Table,MATCH(R$4,Curves,0)))</f>
        <v>#N/A</v>
      </c>
      <c r="S17" s="201" t="e">
        <f aca="false">IF(A18="","",R17)</f>
        <v>#N/A</v>
      </c>
      <c r="T17" s="185" t="n">
        <v>0</v>
      </c>
      <c r="U17" s="201" t="n">
        <f aca="false">IF(A18="","",T17)</f>
        <v>0</v>
      </c>
      <c r="V17" s="205" t="e">
        <f aca="false">(G17+R17)/(1-Summary!$T$13)*Summary!$T$13</f>
        <v>#N/A</v>
      </c>
      <c r="W17" s="202" t="e">
        <f aca="false">IF($A18="","",(T17+R17+G17+V17))</f>
        <v>#N/A</v>
      </c>
      <c r="X17" s="202" t="e">
        <f aca="false">IF($A18="","",(U17+S17+H17+V17))</f>
        <v>#N/A</v>
      </c>
      <c r="Y17" s="202"/>
      <c r="Z17" s="185" t="e">
        <f aca="false">IF($A18="","",VLOOKUP($A17,Table,MATCH(Z$4,Curves,0)))</f>
        <v>#N/A</v>
      </c>
      <c r="AA17" s="185" t="e">
        <f aca="false">IF($A18="","",VLOOKUP($A17,Table,MATCH(AA$4,Curves,0)))</f>
        <v>#N/A</v>
      </c>
      <c r="AB17" s="185" t="e">
        <f aca="false">SQRT((AA17^2*(A17-$D$3)+Z17^2*(DAY(EOMONTH(A17,0))/2))/AK17)</f>
        <v>#N/A</v>
      </c>
      <c r="AC17" s="185" t="e">
        <f aca="false">IF($A18="","",VLOOKUP($A17,Table,MATCH(AC$4,Curves,0)))</f>
        <v>#N/A</v>
      </c>
      <c r="AD17" s="185" t="e">
        <f aca="false">IF($A18="","",VLOOKUP($A17,Table,MATCH(AD$4,Curves,0)))</f>
        <v>#N/A</v>
      </c>
      <c r="AE17" s="185" t="e">
        <f aca="false">SQRT((AD17^2*(A17-$D$3)+AC17^2*(DAY(EOMONTH(A17,0))/2))/AK17)</f>
        <v>#N/A</v>
      </c>
      <c r="AF17" s="224" t="e">
        <f aca="false">((Summary!$N$13*(AA17*AD17)*(A17-$D$3))+(Summary!$M$13*Z17*AC17*(AJ17-EOMONTH(EDATE(A17,-1),0))))/(AK17*AB17*AE17)</f>
        <v>#N/A</v>
      </c>
      <c r="AG17" s="207" t="n">
        <f aca="false">IF($A18="","",Summary!$Q$13)</f>
        <v>0</v>
      </c>
      <c r="AH17" s="207" t="n">
        <f aca="false">IF($A18="","",IF(Summary!$R$12="Y",(VLOOKUP($A17,Summary!$AD$6:$AF$9,3)+'Escalating commodity'!I30),'Escalating commodity'!I30))</f>
        <v>0.0358883400843904</v>
      </c>
      <c r="AI17" s="207" t="n">
        <f aca="false">IF($A18="","",AH17)</f>
        <v>0.0358883400843904</v>
      </c>
      <c r="AJ17" s="208" t="n">
        <f aca="false">A17+DAY(EOMONTH(A17,0))/2-1</f>
        <v>37271.5</v>
      </c>
      <c r="AK17" s="209" t="n">
        <f aca="false">IF($A18="","",$A17-$E$1)</f>
        <v>-8669</v>
      </c>
      <c r="AL17" s="182" t="e">
        <f aca="false">IF($A18="","",SPRDOPT(P17,X17,AI17,0,AB17,AE17,AF17,AK17,$AJ$2,0))</f>
        <v>#NAME?</v>
      </c>
      <c r="AM17" s="210" t="e">
        <f aca="false">IF($A18="","",MAX(0,O17-W17-AI17))</f>
        <v>#N/A</v>
      </c>
      <c r="AN17" s="211" t="e">
        <f aca="false">IF($A18="","",AL17-AM17)</f>
        <v>#N/A</v>
      </c>
      <c r="AO17" s="137" t="n">
        <f aca="false">IF(A18="","",A18-A17)</f>
        <v>31</v>
      </c>
      <c r="AP17" s="212" t="n">
        <f aca="false">IF(A18="","",CHOOSE(F$3,A18+24,A17))</f>
        <v>37257</v>
      </c>
      <c r="AQ17" s="209" t="n">
        <f aca="false">IF(A18="","",AP17-$E$1)</f>
        <v>-8669</v>
      </c>
      <c r="AR17" s="185" t="n">
        <f aca="false">'ANR OK vs ML7'!AR17</f>
        <v>0.1</v>
      </c>
      <c r="AS17" s="213" t="n">
        <f aca="false">IF(A18="","",1/(1+CHOOSE(F$3,(AR18+($I$3/10000))/2,(AR17+($I$3/10000))/2))^(2*AQ17/365.25))</f>
        <v>10.1351879400128</v>
      </c>
      <c r="AT17" s="137" t="n">
        <f aca="false">IF(A18="","",IF(AND(mthbeg&lt;=A17,mthend&gt;=A17),1,0))</f>
        <v>1</v>
      </c>
      <c r="AU17" s="137" t="n">
        <f aca="false">IF(A18="","",AO17*AT17)</f>
        <v>31</v>
      </c>
      <c r="AW17" s="195" t="e">
        <f aca="false">IF($A18="","",AL17*$E17)</f>
        <v>#NAME?</v>
      </c>
      <c r="AX17" s="195" t="e">
        <f aca="false">IF($A18="","",AM17*$E17)</f>
        <v>#N/A</v>
      </c>
      <c r="AY17" s="195" t="e">
        <f aca="false">IF($A18="","",AN17*$E17)</f>
        <v>#N/A</v>
      </c>
      <c r="BA17" s="195" t="n">
        <f aca="false">IF($A18="","",F17*Summary!$Q$13)</f>
        <v>0</v>
      </c>
      <c r="BC17" s="179" t="e">
        <f aca="false">IF(A18="","",AM17*F17)</f>
        <v>#N/A</v>
      </c>
    </row>
    <row r="18" customFormat="false" ht="12.75" hidden="false" customHeight="false" outlineLevel="0" collapsed="false">
      <c r="A18" s="196" t="n">
        <f aca="false">IF(A17&lt;mthend,EDATE(A17,1),"")</f>
        <v>37288</v>
      </c>
      <c r="B18" s="197" t="n">
        <f aca="false">IF(A18&lt;mthend,B17,"")</f>
        <v>28400</v>
      </c>
      <c r="C18" s="215"/>
      <c r="D18" s="197" t="n">
        <f aca="false">IF(A19&lt;&gt;"",B18+C18,"")</f>
        <v>28400</v>
      </c>
      <c r="E18" s="199" t="n">
        <f aca="false">IF(A19="","",IF(AND(AT18=1,$H$3=1),D18*AO18,IF($H$3=2,D18,"N/A")))</f>
        <v>795200</v>
      </c>
      <c r="F18" s="199" t="n">
        <f aca="false">IF(A19="","",E18*AS18)</f>
        <v>7993028.53001681</v>
      </c>
      <c r="G18" s="200" t="e">
        <f aca="false">IF($A19="","",VLOOKUP($A18,Table,MATCH(G$4,Curves,0)))</f>
        <v>#N/A</v>
      </c>
      <c r="H18" s="201" t="e">
        <f aca="false">IF(A19="","",G18)</f>
        <v>#N/A</v>
      </c>
      <c r="I18" s="202"/>
      <c r="J18" s="200" t="e">
        <f aca="false">IF($A19="","",VLOOKUP($A18,Table,MATCH(J$4,Curves,0)))</f>
        <v>#N/A</v>
      </c>
      <c r="K18" s="201" t="e">
        <f aca="false">IF(A19="","",J18)</f>
        <v>#N/A</v>
      </c>
      <c r="L18" s="185" t="n">
        <v>0</v>
      </c>
      <c r="M18" s="201" t="n">
        <f aca="false">IF(A19="","",L18)</f>
        <v>0</v>
      </c>
      <c r="N18" s="203"/>
      <c r="O18" s="200" t="e">
        <f aca="false">IF(A19="","",L18+J18+G18)</f>
        <v>#N/A</v>
      </c>
      <c r="P18" s="200" t="e">
        <f aca="false">IF(A19="","",M18+K18+H18)</f>
        <v>#N/A</v>
      </c>
      <c r="Q18" s="204"/>
      <c r="R18" s="200" t="e">
        <f aca="false">IF($A19="","",VLOOKUP($A18,Table,MATCH(R$4,Curves,0)))</f>
        <v>#N/A</v>
      </c>
      <c r="S18" s="201" t="e">
        <f aca="false">IF(A19="","",R18)</f>
        <v>#N/A</v>
      </c>
      <c r="T18" s="185" t="n">
        <v>0</v>
      </c>
      <c r="U18" s="201" t="n">
        <f aca="false">IF(A19="","",T18)</f>
        <v>0</v>
      </c>
      <c r="V18" s="205" t="e">
        <f aca="false">(G18+R18)/(1-Summary!$T$13)*Summary!$T$13</f>
        <v>#N/A</v>
      </c>
      <c r="W18" s="202" t="e">
        <f aca="false">IF($A19="","",(T18+R18+G18+V18))</f>
        <v>#N/A</v>
      </c>
      <c r="X18" s="202" t="e">
        <f aca="false">IF($A19="","",(U18+S18+H18+V18))</f>
        <v>#N/A</v>
      </c>
      <c r="Y18" s="202"/>
      <c r="Z18" s="185" t="e">
        <f aca="false">IF($A19="","",VLOOKUP($A18,Table,MATCH(Z$4,Curves,0)))</f>
        <v>#N/A</v>
      </c>
      <c r="AA18" s="185" t="e">
        <f aca="false">IF($A19="","",VLOOKUP($A18,Table,MATCH(AA$4,Curves,0)))</f>
        <v>#N/A</v>
      </c>
      <c r="AB18" s="185" t="e">
        <f aca="false">SQRT((AA18^2*(A18-$D$3)+Z18^2*(DAY(EOMONTH(A18,0))/2))/AK18)</f>
        <v>#N/A</v>
      </c>
      <c r="AC18" s="185" t="e">
        <f aca="false">IF($A19="","",VLOOKUP($A18,Table,MATCH(AC$4,Curves,0)))</f>
        <v>#N/A</v>
      </c>
      <c r="AD18" s="185" t="e">
        <f aca="false">IF($A19="","",VLOOKUP($A18,Table,MATCH(AD$4,Curves,0)))</f>
        <v>#N/A</v>
      </c>
      <c r="AE18" s="185" t="e">
        <f aca="false">SQRT((AD18^2*(A18-$D$3)+AC18^2*(DAY(EOMONTH(A18,0))/2))/AK18)</f>
        <v>#N/A</v>
      </c>
      <c r="AF18" s="224" t="e">
        <f aca="false">((Summary!$N$13*(AA18*AD18)*(A18-$D$3))+(Summary!$M$13*Z18*AC18*(AJ18-EOMONTH(EDATE(A18,-1),0))))/(AK18*AB18*AE18)</f>
        <v>#N/A</v>
      </c>
      <c r="AG18" s="207" t="n">
        <f aca="false">IF($A19="","",Summary!$Q$13)</f>
        <v>0</v>
      </c>
      <c r="AH18" s="207" t="n">
        <f aca="false">IF($A19="","",IF(Summary!$R$12="Y",(VLOOKUP($A18,Summary!$AD$6:$AF$9,3)+'Escalating commodity'!I31),'Escalating commodity'!I31))</f>
        <v>0.0358883400843904</v>
      </c>
      <c r="AI18" s="207" t="n">
        <f aca="false">IF($A19="","",AH18)</f>
        <v>0.0358883400843904</v>
      </c>
      <c r="AJ18" s="208" t="n">
        <f aca="false">A18+DAY(EOMONTH(A18,0))/2-1</f>
        <v>37301</v>
      </c>
      <c r="AK18" s="209" t="n">
        <f aca="false">IF($A19="","",$A18-$E$1)</f>
        <v>-8638</v>
      </c>
      <c r="AL18" s="182" t="e">
        <f aca="false">IF($A19="","",SPRDOPT(P18,X18,AI18,0,AB18,AE18,AF18,AK18,$AJ$2,0))</f>
        <v>#NAME?</v>
      </c>
      <c r="AM18" s="210" t="e">
        <f aca="false">IF($A19="","",MAX(0,O18-W18-AI18))</f>
        <v>#N/A</v>
      </c>
      <c r="AN18" s="211" t="e">
        <f aca="false">IF($A19="","",AL18-AM18)</f>
        <v>#N/A</v>
      </c>
      <c r="AO18" s="137" t="n">
        <f aca="false">IF(A19="","",A19-A18)</f>
        <v>28</v>
      </c>
      <c r="AP18" s="212" t="n">
        <f aca="false">IF(A19="","",CHOOSE(F$3,A19+24,A18))</f>
        <v>37288</v>
      </c>
      <c r="AQ18" s="209" t="n">
        <f aca="false">IF(A19="","",AP18-$E$1)</f>
        <v>-8638</v>
      </c>
      <c r="AR18" s="185" t="n">
        <f aca="false">'ANR OK vs ML7'!AR18</f>
        <v>0.1</v>
      </c>
      <c r="AS18" s="213" t="n">
        <f aca="false">IF(A19="","",1/(1+CHOOSE(F$3,(AR19+($I$3/10000))/2,(AR18+($I$3/10000))/2))^(2*AQ18/365.25))</f>
        <v>10.0515952339246</v>
      </c>
      <c r="AT18" s="137" t="n">
        <f aca="false">IF(A19="","",IF(AND(mthbeg&lt;=A18,mthend&gt;=A18),1,0))</f>
        <v>1</v>
      </c>
      <c r="AU18" s="137" t="n">
        <f aca="false">IF(A19="","",AO18*AT18)</f>
        <v>28</v>
      </c>
      <c r="AW18" s="195" t="e">
        <f aca="false">IF($A19="","",AL18*$E18)</f>
        <v>#NAME?</v>
      </c>
      <c r="AX18" s="195" t="e">
        <f aca="false">IF($A19="","",AM18*$E18)</f>
        <v>#N/A</v>
      </c>
      <c r="AY18" s="195" t="e">
        <f aca="false">IF($A19="","",AN18*$E18)</f>
        <v>#N/A</v>
      </c>
      <c r="BA18" s="195" t="n">
        <f aca="false">IF($A19="","",F18*Summary!$Q$13)</f>
        <v>0</v>
      </c>
      <c r="BC18" s="179" t="e">
        <f aca="false">IF(A19="","",AM18*F18)</f>
        <v>#N/A</v>
      </c>
    </row>
    <row r="19" customFormat="false" ht="12.75" hidden="false" customHeight="false" outlineLevel="0" collapsed="false">
      <c r="A19" s="196" t="n">
        <f aca="false">IF(A18&lt;mthend,EDATE(A18,1),"")</f>
        <v>37316</v>
      </c>
      <c r="B19" s="197" t="n">
        <f aca="false">IF(A19&lt;mthend,B18,"")</f>
        <v>28400</v>
      </c>
      <c r="C19" s="215"/>
      <c r="D19" s="197" t="n">
        <f aca="false">IF(A20&lt;&gt;"",B19+C19,"")</f>
        <v>28400</v>
      </c>
      <c r="E19" s="199" t="n">
        <f aca="false">IF(A20="","",IF(AND(AT19=1,$H$3=1),D19*AO19,IF($H$3=2,D19,"N/A")))</f>
        <v>880400</v>
      </c>
      <c r="F19" s="199" t="n">
        <f aca="false">IF(A20="","",E19*AS19)</f>
        <v>8783473.38819979</v>
      </c>
      <c r="G19" s="200" t="e">
        <f aca="false">IF($A20="","",VLOOKUP($A19,Table,MATCH(G$4,Curves,0)))</f>
        <v>#N/A</v>
      </c>
      <c r="H19" s="201" t="e">
        <f aca="false">IF(A20="","",G19)</f>
        <v>#N/A</v>
      </c>
      <c r="I19" s="202"/>
      <c r="J19" s="200" t="e">
        <f aca="false">IF($A20="","",VLOOKUP($A19,Table,MATCH(J$4,Curves,0)))</f>
        <v>#N/A</v>
      </c>
      <c r="K19" s="201" t="e">
        <f aca="false">IF(A20="","",J19)</f>
        <v>#N/A</v>
      </c>
      <c r="L19" s="185" t="n">
        <v>0</v>
      </c>
      <c r="M19" s="201" t="n">
        <f aca="false">IF(A20="","",L19)</f>
        <v>0</v>
      </c>
      <c r="N19" s="203"/>
      <c r="O19" s="200" t="e">
        <f aca="false">IF(A20="","",L19+J19+G19)</f>
        <v>#N/A</v>
      </c>
      <c r="P19" s="200" t="e">
        <f aca="false">IF(A20="","",M19+K19+H19)</f>
        <v>#N/A</v>
      </c>
      <c r="Q19" s="204"/>
      <c r="R19" s="200" t="e">
        <f aca="false">IF($A20="","",VLOOKUP($A19,Table,MATCH(R$4,Curves,0)))</f>
        <v>#N/A</v>
      </c>
      <c r="S19" s="201" t="e">
        <f aca="false">IF(A20="","",R19)</f>
        <v>#N/A</v>
      </c>
      <c r="T19" s="185" t="n">
        <v>0</v>
      </c>
      <c r="U19" s="201" t="n">
        <f aca="false">IF(A20="","",T19)</f>
        <v>0</v>
      </c>
      <c r="V19" s="205" t="e">
        <f aca="false">(G19+R19)/(1-Summary!$T$13)*Summary!$T$13</f>
        <v>#N/A</v>
      </c>
      <c r="W19" s="202" t="e">
        <f aca="false">IF($A20="","",(T19+R19+G19+V19))</f>
        <v>#N/A</v>
      </c>
      <c r="X19" s="202" t="e">
        <f aca="false">IF($A20="","",(U19+S19+H19+V19))</f>
        <v>#N/A</v>
      </c>
      <c r="Y19" s="202"/>
      <c r="Z19" s="185" t="e">
        <f aca="false">IF($A20="","",VLOOKUP($A19,Table,MATCH(Z$4,Curves,0)))</f>
        <v>#N/A</v>
      </c>
      <c r="AA19" s="185" t="e">
        <f aca="false">IF($A20="","",VLOOKUP($A19,Table,MATCH(AA$4,Curves,0)))</f>
        <v>#N/A</v>
      </c>
      <c r="AB19" s="185" t="e">
        <f aca="false">SQRT((AA19^2*(A19-$D$3)+Z19^2*(DAY(EOMONTH(A19,0))/2))/AK19)</f>
        <v>#N/A</v>
      </c>
      <c r="AC19" s="185" t="e">
        <f aca="false">IF($A20="","",VLOOKUP($A19,Table,MATCH(AC$4,Curves,0)))</f>
        <v>#N/A</v>
      </c>
      <c r="AD19" s="185" t="e">
        <f aca="false">IF($A20="","",VLOOKUP($A19,Table,MATCH(AD$4,Curves,0)))</f>
        <v>#N/A</v>
      </c>
      <c r="AE19" s="185" t="e">
        <f aca="false">SQRT((AD19^2*(A19-$D$3)+AC19^2*(DAY(EOMONTH(A19,0))/2))/AK19)</f>
        <v>#N/A</v>
      </c>
      <c r="AF19" s="224" t="e">
        <f aca="false">((Summary!$N$13*(AA19*AD19)*(A19-$D$3))+(Summary!$M$13*Z19*AC19*(AJ19-EOMONTH(EDATE(A19,-1),0))))/(AK19*AB19*AE19)</f>
        <v>#N/A</v>
      </c>
      <c r="AG19" s="207" t="n">
        <f aca="false">IF($A20="","",Summary!$Q$13)</f>
        <v>0</v>
      </c>
      <c r="AH19" s="207" t="n">
        <f aca="false">IF($A20="","",IF(Summary!$R$12="Y",(VLOOKUP($A19,Summary!$AD$6:$AF$9,3)+'Escalating commodity'!I32),'Escalating commodity'!I32))</f>
        <v>0.0358883400843904</v>
      </c>
      <c r="AI19" s="207" t="n">
        <f aca="false">IF($A20="","",AH19)</f>
        <v>0.0358883400843904</v>
      </c>
      <c r="AJ19" s="208" t="n">
        <f aca="false">A19+DAY(EOMONTH(A19,0))/2-1</f>
        <v>37330.5</v>
      </c>
      <c r="AK19" s="209" t="n">
        <f aca="false">IF($A20="","",$A19-$E$1)</f>
        <v>-8610</v>
      </c>
      <c r="AL19" s="182" t="e">
        <f aca="false">IF($A20="","",SPRDOPT(P19,X19,AI19,0,AB19,AE19,AF19,AK19,$AJ$2,0))</f>
        <v>#NAME?</v>
      </c>
      <c r="AM19" s="210" t="e">
        <f aca="false">IF($A20="","",MAX(0,O19-W19-AI19))</f>
        <v>#N/A</v>
      </c>
      <c r="AN19" s="211" t="e">
        <f aca="false">IF($A20="","",AL19-AM19)</f>
        <v>#N/A</v>
      </c>
      <c r="AO19" s="137" t="n">
        <f aca="false">IF(A20="","",A20-A19)</f>
        <v>31</v>
      </c>
      <c r="AP19" s="212" t="n">
        <f aca="false">IF(A20="","",CHOOSE(F$3,A20+24,A19))</f>
        <v>37316</v>
      </c>
      <c r="AQ19" s="209" t="n">
        <f aca="false">IF(A20="","",AP19-$E$1)</f>
        <v>-8610</v>
      </c>
      <c r="AR19" s="185" t="n">
        <f aca="false">'ANR OK vs ML7'!AR19</f>
        <v>0.1</v>
      </c>
      <c r="AS19" s="213" t="n">
        <f aca="false">IF(A20="","",1/(1+CHOOSE(F$3,(AR20+($I$3/10000))/2,(AR19+($I$3/10000))/2))^(2*AQ19/365.25))</f>
        <v>9.97668490254406</v>
      </c>
      <c r="AT19" s="137" t="n">
        <f aca="false">IF(A20="","",IF(AND(mthbeg&lt;=A19,mthend&gt;=A19),1,0))</f>
        <v>1</v>
      </c>
      <c r="AU19" s="137" t="n">
        <f aca="false">IF(A20="","",AO19*AT19)</f>
        <v>31</v>
      </c>
      <c r="AW19" s="195" t="e">
        <f aca="false">IF($A20="","",AL19*$E19)</f>
        <v>#NAME?</v>
      </c>
      <c r="AX19" s="195" t="e">
        <f aca="false">IF($A20="","",AM19*$E19)</f>
        <v>#N/A</v>
      </c>
      <c r="AY19" s="195" t="e">
        <f aca="false">IF($A20="","",AN19*$E19)</f>
        <v>#N/A</v>
      </c>
      <c r="BA19" s="195" t="n">
        <f aca="false">IF($A20="","",F19*Summary!$Q$13)</f>
        <v>0</v>
      </c>
      <c r="BC19" s="179" t="e">
        <f aca="false">IF(A20="","",AM19*F19)</f>
        <v>#N/A</v>
      </c>
    </row>
    <row r="20" customFormat="false" ht="12.75" hidden="false" customHeight="false" outlineLevel="0" collapsed="false">
      <c r="A20" s="196" t="n">
        <f aca="false">IF(A19&lt;mthend,EDATE(A19,1),"")</f>
        <v>37347</v>
      </c>
      <c r="B20" s="197" t="n">
        <f aca="false">IF(A20&lt;mthend,B19,"")</f>
        <v>28400</v>
      </c>
      <c r="C20" s="215"/>
      <c r="D20" s="197" t="n">
        <f aca="false">IF(A21&lt;&gt;"",B20+C20,"")</f>
        <v>28400</v>
      </c>
      <c r="E20" s="199" t="n">
        <f aca="false">IF(A21="","",IF(AND(AT20=1,$H$3=1),D20*AO20,IF($H$3=2,D20,"N/A")))</f>
        <v>852000</v>
      </c>
      <c r="F20" s="199" t="n">
        <f aca="false">IF(A21="","",E20*AS20)</f>
        <v>8430028.36817527</v>
      </c>
      <c r="G20" s="200" t="e">
        <f aca="false">IF($A21="","",VLOOKUP($A20,Table,MATCH(G$4,Curves,0)))</f>
        <v>#N/A</v>
      </c>
      <c r="H20" s="201" t="e">
        <f aca="false">IF(A21="","",G20)</f>
        <v>#N/A</v>
      </c>
      <c r="I20" s="202"/>
      <c r="J20" s="200" t="e">
        <f aca="false">IF($A21="","",VLOOKUP($A20,Table,MATCH(J$4,Curves,0)))</f>
        <v>#N/A</v>
      </c>
      <c r="K20" s="201" t="e">
        <f aca="false">IF(A21="","",J20)</f>
        <v>#N/A</v>
      </c>
      <c r="L20" s="185" t="n">
        <v>0</v>
      </c>
      <c r="M20" s="201" t="n">
        <f aca="false">IF(A21="","",L20)</f>
        <v>0</v>
      </c>
      <c r="N20" s="203"/>
      <c r="O20" s="200" t="e">
        <f aca="false">IF(A21="","",L20+J20+G20)</f>
        <v>#N/A</v>
      </c>
      <c r="P20" s="200" t="e">
        <f aca="false">IF(A21="","",M20+K20+H20)</f>
        <v>#N/A</v>
      </c>
      <c r="Q20" s="204"/>
      <c r="R20" s="200" t="e">
        <f aca="false">IF($A21="","",VLOOKUP($A20,Table,MATCH(R$4,Curves,0)))</f>
        <v>#N/A</v>
      </c>
      <c r="S20" s="201" t="e">
        <f aca="false">IF(A21="","",R20)</f>
        <v>#N/A</v>
      </c>
      <c r="T20" s="185" t="n">
        <v>0</v>
      </c>
      <c r="U20" s="201" t="n">
        <f aca="false">IF(A21="","",T20)</f>
        <v>0</v>
      </c>
      <c r="V20" s="205" t="e">
        <f aca="false">(G20+R20)/(1-Summary!$T$13)*Summary!$T$13</f>
        <v>#N/A</v>
      </c>
      <c r="W20" s="202" t="e">
        <f aca="false">IF($A21="","",(T20+R20+G20+V20))</f>
        <v>#N/A</v>
      </c>
      <c r="X20" s="202" t="e">
        <f aca="false">IF($A21="","",(U20+S20+H20+V20))</f>
        <v>#N/A</v>
      </c>
      <c r="Y20" s="202"/>
      <c r="Z20" s="185" t="e">
        <f aca="false">IF($A21="","",VLOOKUP($A20,Table,MATCH(Z$4,Curves,0)))</f>
        <v>#N/A</v>
      </c>
      <c r="AA20" s="185" t="e">
        <f aca="false">IF($A21="","",VLOOKUP($A20,Table,MATCH(AA$4,Curves,0)))</f>
        <v>#N/A</v>
      </c>
      <c r="AB20" s="185" t="e">
        <f aca="false">SQRT((AA20^2*(A20-$D$3)+Z20^2*(DAY(EOMONTH(A20,0))/2))/AK20)</f>
        <v>#N/A</v>
      </c>
      <c r="AC20" s="185" t="e">
        <f aca="false">IF($A21="","",VLOOKUP($A20,Table,MATCH(AC$4,Curves,0)))</f>
        <v>#N/A</v>
      </c>
      <c r="AD20" s="185" t="e">
        <f aca="false">IF($A21="","",VLOOKUP($A20,Table,MATCH(AD$4,Curves,0)))</f>
        <v>#N/A</v>
      </c>
      <c r="AE20" s="185" t="e">
        <f aca="false">SQRT((AD20^2*(A20-$D$3)+AC20^2*(DAY(EOMONTH(A20,0))/2))/AK20)</f>
        <v>#N/A</v>
      </c>
      <c r="AF20" s="224" t="e">
        <f aca="false">((Summary!$N$13*(AA20*AD20)*(A20-$D$3))+(Summary!$M$13*Z20*AC20*(AJ20-EOMONTH(EDATE(A20,-1),0))))/(AK20*AB20*AE20)</f>
        <v>#N/A</v>
      </c>
      <c r="AG20" s="207" t="n">
        <f aca="false">IF($A21="","",Summary!$Q$13)</f>
        <v>0</v>
      </c>
      <c r="AH20" s="207" t="n">
        <f aca="false">IF($A21="","",IF(Summary!$R$12="Y",(VLOOKUP($A20,Summary!$AD$6:$AF$9,3)+'Escalating commodity'!I33),'Escalating commodity'!I33))</f>
        <v>0.0358883400843904</v>
      </c>
      <c r="AI20" s="207" t="n">
        <f aca="false">IF($A21="","",AH20)</f>
        <v>0.0358883400843904</v>
      </c>
      <c r="AJ20" s="208" t="n">
        <f aca="false">A20+DAY(EOMONTH(A20,0))/2-1</f>
        <v>37361</v>
      </c>
      <c r="AK20" s="209" t="n">
        <f aca="false">IF($A21="","",$A20-$E$1)</f>
        <v>-8579</v>
      </c>
      <c r="AL20" s="182" t="e">
        <f aca="false">IF($A21="","",SPRDOPT(P20,X20,AI20,0,AB20,AE20,AF20,AK20,$AJ$2,0))</f>
        <v>#NAME?</v>
      </c>
      <c r="AM20" s="210" t="e">
        <f aca="false">IF($A21="","",MAX(0,O20-W20-AI20))</f>
        <v>#N/A</v>
      </c>
      <c r="AN20" s="211" t="e">
        <f aca="false">IF($A21="","",AL20-AM20)</f>
        <v>#N/A</v>
      </c>
      <c r="AO20" s="137" t="n">
        <f aca="false">IF(A21="","",A21-A20)</f>
        <v>30</v>
      </c>
      <c r="AP20" s="212" t="n">
        <f aca="false">IF(A21="","",CHOOSE(F$3,A21+24,A20))</f>
        <v>37347</v>
      </c>
      <c r="AQ20" s="209" t="n">
        <f aca="false">IF(A21="","",AP20-$E$1)</f>
        <v>-8579</v>
      </c>
      <c r="AR20" s="185" t="n">
        <f aca="false">'ANR OK vs ML7'!AR20</f>
        <v>0.1</v>
      </c>
      <c r="AS20" s="213" t="n">
        <f aca="false">IF(A21="","",1/(1+CHOOSE(F$3,(AR21+($I$3/10000))/2,(AR20+($I$3/10000))/2))^(2*AQ20/365.25))</f>
        <v>9.89439949316346</v>
      </c>
      <c r="AT20" s="137" t="n">
        <f aca="false">IF(A21="","",IF(AND(mthbeg&lt;=A20,mthend&gt;=A20),1,0))</f>
        <v>1</v>
      </c>
      <c r="AU20" s="137" t="n">
        <f aca="false">IF(A21="","",AO20*AT20)</f>
        <v>30</v>
      </c>
      <c r="AW20" s="195" t="e">
        <f aca="false">IF($A21="","",AL20*$E20)</f>
        <v>#NAME?</v>
      </c>
      <c r="AX20" s="195" t="e">
        <f aca="false">IF($A21="","",AM20*$E20)</f>
        <v>#N/A</v>
      </c>
      <c r="AY20" s="195" t="e">
        <f aca="false">IF($A21="","",AN20*$E20)</f>
        <v>#N/A</v>
      </c>
      <c r="BA20" s="195" t="n">
        <f aca="false">IF($A21="","",F20*Summary!$Q$13)</f>
        <v>0</v>
      </c>
      <c r="BC20" s="179" t="e">
        <f aca="false">IF(A21="","",AM20*F20)</f>
        <v>#N/A</v>
      </c>
    </row>
    <row r="21" customFormat="false" ht="12.75" hidden="false" customHeight="false" outlineLevel="0" collapsed="false">
      <c r="A21" s="196" t="n">
        <f aca="false">IF(A20&lt;mthend,EDATE(A20,1),"")</f>
        <v>37377</v>
      </c>
      <c r="B21" s="197" t="n">
        <f aca="false">IF(A21&lt;mthend,B20,"")</f>
        <v>28400</v>
      </c>
      <c r="C21" s="215"/>
      <c r="D21" s="197" t="n">
        <f aca="false">IF(A22&lt;&gt;"",B21+C21,"")</f>
        <v>28400</v>
      </c>
      <c r="E21" s="199" t="n">
        <f aca="false">IF(A22="","",IF(AND(AT21=1,$H$3=1),D21*AO21,IF($H$3=2,D21,"N/A")))</f>
        <v>880400</v>
      </c>
      <c r="F21" s="199" t="n">
        <f aca="false">IF(A22="","",E21*AS21)</f>
        <v>8641491.09714669</v>
      </c>
      <c r="G21" s="200" t="e">
        <f aca="false">IF($A22="","",VLOOKUP($A21,Table,MATCH(G$4,Curves,0)))</f>
        <v>#N/A</v>
      </c>
      <c r="H21" s="201" t="e">
        <f aca="false">IF(A22="","",G21)</f>
        <v>#N/A</v>
      </c>
      <c r="I21" s="202"/>
      <c r="J21" s="200" t="e">
        <f aca="false">IF($A22="","",VLOOKUP($A21,Table,MATCH(J$4,Curves,0)))</f>
        <v>#N/A</v>
      </c>
      <c r="K21" s="201" t="e">
        <f aca="false">IF(A22="","",J21)</f>
        <v>#N/A</v>
      </c>
      <c r="L21" s="185" t="n">
        <v>0</v>
      </c>
      <c r="M21" s="201" t="n">
        <f aca="false">IF(A22="","",L21)</f>
        <v>0</v>
      </c>
      <c r="N21" s="203"/>
      <c r="O21" s="200" t="e">
        <f aca="false">IF(A22="","",L21+J21+G21)</f>
        <v>#N/A</v>
      </c>
      <c r="P21" s="200" t="e">
        <f aca="false">IF(A22="","",M21+K21+H21)</f>
        <v>#N/A</v>
      </c>
      <c r="Q21" s="204"/>
      <c r="R21" s="200" t="e">
        <f aca="false">IF($A22="","",VLOOKUP($A21,Table,MATCH(R$4,Curves,0)))</f>
        <v>#N/A</v>
      </c>
      <c r="S21" s="201" t="e">
        <f aca="false">IF(A22="","",R21)</f>
        <v>#N/A</v>
      </c>
      <c r="T21" s="185" t="n">
        <v>0</v>
      </c>
      <c r="U21" s="201" t="n">
        <f aca="false">IF(A22="","",T21)</f>
        <v>0</v>
      </c>
      <c r="V21" s="205" t="e">
        <f aca="false">(G21+R21)/(1-Summary!$T$13)*Summary!$T$13</f>
        <v>#N/A</v>
      </c>
      <c r="W21" s="202" t="e">
        <f aca="false">IF($A22="","",(T21+R21+G21+V21))</f>
        <v>#N/A</v>
      </c>
      <c r="X21" s="202" t="e">
        <f aca="false">IF($A22="","",(U21+S21+H21+V21))</f>
        <v>#N/A</v>
      </c>
      <c r="Y21" s="202"/>
      <c r="Z21" s="185" t="e">
        <f aca="false">IF($A22="","",VLOOKUP($A21,Table,MATCH(Z$4,Curves,0)))</f>
        <v>#N/A</v>
      </c>
      <c r="AA21" s="185" t="e">
        <f aca="false">IF($A22="","",VLOOKUP($A21,Table,MATCH(AA$4,Curves,0)))</f>
        <v>#N/A</v>
      </c>
      <c r="AB21" s="185" t="e">
        <f aca="false">SQRT((AA21^2*(A21-$D$3)+Z21^2*(DAY(EOMONTH(A21,0))/2))/AK21)</f>
        <v>#N/A</v>
      </c>
      <c r="AC21" s="185" t="e">
        <f aca="false">IF($A22="","",VLOOKUP($A21,Table,MATCH(AC$4,Curves,0)))</f>
        <v>#N/A</v>
      </c>
      <c r="AD21" s="185" t="e">
        <f aca="false">IF($A22="","",VLOOKUP($A21,Table,MATCH(AD$4,Curves,0)))</f>
        <v>#N/A</v>
      </c>
      <c r="AE21" s="185" t="e">
        <f aca="false">SQRT((AD21^2*(A21-$D$3)+AC21^2*(DAY(EOMONTH(A21,0))/2))/AK21)</f>
        <v>#N/A</v>
      </c>
      <c r="AF21" s="224" t="e">
        <f aca="false">((Summary!$N$13*(AA21*AD21)*(A21-$D$3))+(Summary!$M$13*Z21*AC21*(AJ21-EOMONTH(EDATE(A21,-1),0))))/(AK21*AB21*AE21)</f>
        <v>#N/A</v>
      </c>
      <c r="AG21" s="207" t="n">
        <f aca="false">IF($A22="","",Summary!$Q$13)</f>
        <v>0</v>
      </c>
      <c r="AH21" s="207" t="n">
        <f aca="false">IF($A22="","",IF(Summary!$R$12="Y",(VLOOKUP($A21,Summary!$AD$6:$AF$9,3)+'Escalating commodity'!I34),'Escalating commodity'!I34))</f>
        <v>0.0358883400843904</v>
      </c>
      <c r="AI21" s="207" t="n">
        <f aca="false">IF($A22="","",AH21)</f>
        <v>0.0358883400843904</v>
      </c>
      <c r="AJ21" s="208" t="n">
        <f aca="false">A21+DAY(EOMONTH(A21,0))/2-1</f>
        <v>37391.5</v>
      </c>
      <c r="AK21" s="209" t="n">
        <f aca="false">IF($A22="","",$A21-$E$1)</f>
        <v>-8549</v>
      </c>
      <c r="AL21" s="182" t="e">
        <f aca="false">IF($A22="","",SPRDOPT(P21,X21,AI21,0,AB21,AE21,AF21,AK21,$AJ$2,0))</f>
        <v>#NAME?</v>
      </c>
      <c r="AM21" s="210" t="e">
        <f aca="false">IF($A22="","",MAX(0,O21-W21-AI21))</f>
        <v>#N/A</v>
      </c>
      <c r="AN21" s="211" t="e">
        <f aca="false">IF($A22="","",AL21-AM21)</f>
        <v>#N/A</v>
      </c>
      <c r="AO21" s="137" t="n">
        <f aca="false">IF(A22="","",A22-A21)</f>
        <v>31</v>
      </c>
      <c r="AP21" s="212" t="n">
        <f aca="false">IF(A22="","",CHOOSE(F$3,A22+24,A21))</f>
        <v>37377</v>
      </c>
      <c r="AQ21" s="209" t="n">
        <f aca="false">IF(A22="","",AP21-$E$1)</f>
        <v>-8549</v>
      </c>
      <c r="AR21" s="185" t="n">
        <f aca="false">'ANR OK vs ML7'!AR21</f>
        <v>0.1</v>
      </c>
      <c r="AS21" s="213" t="n">
        <f aca="false">IF(A22="","",1/(1+CHOOSE(F$3,(AR22+($I$3/10000))/2,(AR21+($I$3/10000))/2))^(2*AQ21/365.25))</f>
        <v>9.81541469462368</v>
      </c>
      <c r="AT21" s="137" t="n">
        <f aca="false">IF(A22="","",IF(AND(mthbeg&lt;=A21,mthend&gt;=A21),1,0))</f>
        <v>1</v>
      </c>
      <c r="AU21" s="137" t="n">
        <f aca="false">IF(A22="","",AO21*AT21)</f>
        <v>31</v>
      </c>
      <c r="AW21" s="195" t="e">
        <f aca="false">IF($A22="","",AL21*$E21)</f>
        <v>#NAME?</v>
      </c>
      <c r="AX21" s="195" t="e">
        <f aca="false">IF($A22="","",AM21*$E21)</f>
        <v>#N/A</v>
      </c>
      <c r="AY21" s="195" t="e">
        <f aca="false">IF($A22="","",AN21*$E21)</f>
        <v>#N/A</v>
      </c>
      <c r="BA21" s="195" t="n">
        <f aca="false">IF($A22="","",F21*Summary!$Q$13)</f>
        <v>0</v>
      </c>
      <c r="BC21" s="179" t="e">
        <f aca="false">IF(A22="","",AM21*F21)</f>
        <v>#N/A</v>
      </c>
    </row>
    <row r="22" customFormat="false" ht="12.75" hidden="false" customHeight="false" outlineLevel="0" collapsed="false">
      <c r="A22" s="196" t="n">
        <f aca="false">IF(A21&lt;mthend,EDATE(A21,1),"")</f>
        <v>37408</v>
      </c>
      <c r="B22" s="197" t="n">
        <f aca="false">IF(A22&lt;mthend,B21,"")</f>
        <v>28400</v>
      </c>
      <c r="C22" s="215"/>
      <c r="D22" s="197" t="n">
        <f aca="false">IF(A23&lt;&gt;"",B22+C22,"")</f>
        <v>28400</v>
      </c>
      <c r="E22" s="199" t="n">
        <f aca="false">IF(A23="","",IF(AND(AT22=1,$H$3=1),D22*AO22,IF($H$3=2,D22,"N/A")))</f>
        <v>852000</v>
      </c>
      <c r="F22" s="199" t="n">
        <f aca="false">IF(A23="","",E22*AS22)</f>
        <v>8293759.41300724</v>
      </c>
      <c r="G22" s="200" t="e">
        <f aca="false">IF($A23="","",VLOOKUP($A22,Table,MATCH(G$4,Curves,0)))</f>
        <v>#N/A</v>
      </c>
      <c r="H22" s="201" t="e">
        <f aca="false">IF(A23="","",G22)</f>
        <v>#N/A</v>
      </c>
      <c r="I22" s="202"/>
      <c r="J22" s="200" t="e">
        <f aca="false">IF($A23="","",VLOOKUP($A22,Table,MATCH(J$4,Curves,0)))</f>
        <v>#N/A</v>
      </c>
      <c r="K22" s="201" t="e">
        <f aca="false">IF(A23="","",J22)</f>
        <v>#N/A</v>
      </c>
      <c r="L22" s="185" t="n">
        <v>0</v>
      </c>
      <c r="M22" s="201" t="n">
        <f aca="false">IF(A23="","",L22)</f>
        <v>0</v>
      </c>
      <c r="N22" s="203"/>
      <c r="O22" s="200" t="e">
        <f aca="false">IF(A23="","",L22+J22+G22)</f>
        <v>#N/A</v>
      </c>
      <c r="P22" s="200" t="e">
        <f aca="false">IF(A23="","",M22+K22+H22)</f>
        <v>#N/A</v>
      </c>
      <c r="Q22" s="204"/>
      <c r="R22" s="200" t="e">
        <f aca="false">IF($A23="","",VLOOKUP($A22,Table,MATCH(R$4,Curves,0)))</f>
        <v>#N/A</v>
      </c>
      <c r="S22" s="201" t="e">
        <f aca="false">IF(A23="","",R22)</f>
        <v>#N/A</v>
      </c>
      <c r="T22" s="185" t="n">
        <v>0</v>
      </c>
      <c r="U22" s="201" t="n">
        <f aca="false">IF(A23="","",T22)</f>
        <v>0</v>
      </c>
      <c r="V22" s="205" t="e">
        <f aca="false">(G22+R22)/(1-Summary!$T$13)*Summary!$T$13</f>
        <v>#N/A</v>
      </c>
      <c r="W22" s="202" t="e">
        <f aca="false">IF($A23="","",(T22+R22+G22+V22))</f>
        <v>#N/A</v>
      </c>
      <c r="X22" s="202" t="e">
        <f aca="false">IF($A23="","",(U22+S22+H22+V22))</f>
        <v>#N/A</v>
      </c>
      <c r="Y22" s="202"/>
      <c r="Z22" s="185" t="e">
        <f aca="false">IF($A23="","",VLOOKUP($A22,Table,MATCH(Z$4,Curves,0)))</f>
        <v>#N/A</v>
      </c>
      <c r="AA22" s="185" t="e">
        <f aca="false">IF($A23="","",VLOOKUP($A22,Table,MATCH(AA$4,Curves,0)))</f>
        <v>#N/A</v>
      </c>
      <c r="AB22" s="185" t="e">
        <f aca="false">SQRT((AA22^2*(A22-$D$3)+Z22^2*(DAY(EOMONTH(A22,0))/2))/AK22)</f>
        <v>#N/A</v>
      </c>
      <c r="AC22" s="185" t="e">
        <f aca="false">IF($A23="","",VLOOKUP($A22,Table,MATCH(AC$4,Curves,0)))</f>
        <v>#N/A</v>
      </c>
      <c r="AD22" s="185" t="e">
        <f aca="false">IF($A23="","",VLOOKUP($A22,Table,MATCH(AD$4,Curves,0)))</f>
        <v>#N/A</v>
      </c>
      <c r="AE22" s="185" t="e">
        <f aca="false">SQRT((AD22^2*(A22-$D$3)+AC22^2*(DAY(EOMONTH(A22,0))/2))/AK22)</f>
        <v>#N/A</v>
      </c>
      <c r="AF22" s="224" t="e">
        <f aca="false">((Summary!$N$13*(AA22*AD22)*(A22-$D$3))+(Summary!$M$13*Z22*AC22*(AJ22-EOMONTH(EDATE(A22,-1),0))))/(AK22*AB22*AE22)</f>
        <v>#N/A</v>
      </c>
      <c r="AG22" s="207" t="n">
        <f aca="false">IF($A23="","",Summary!$Q$13)</f>
        <v>0</v>
      </c>
      <c r="AH22" s="207" t="n">
        <f aca="false">IF($A23="","",IF(Summary!$R$12="Y",(VLOOKUP($A22,Summary!$AD$6:$AF$9,3)+'Escalating commodity'!I35),'Escalating commodity'!I35))</f>
        <v>0.0358883400843904</v>
      </c>
      <c r="AI22" s="207" t="n">
        <f aca="false">IF($A23="","",AH22)</f>
        <v>0.0358883400843904</v>
      </c>
      <c r="AJ22" s="208" t="n">
        <f aca="false">A22+DAY(EOMONTH(A22,0))/2-1</f>
        <v>37422</v>
      </c>
      <c r="AK22" s="209" t="n">
        <f aca="false">IF($A23="","",$A22-$E$1)</f>
        <v>-8518</v>
      </c>
      <c r="AL22" s="182" t="e">
        <f aca="false">IF($A23="","",SPRDOPT(P22,X22,AI22,0,AB22,AE22,AF22,AK22,$AJ$2,0))</f>
        <v>#NAME?</v>
      </c>
      <c r="AM22" s="210" t="e">
        <f aca="false">IF($A23="","",MAX(0,O22-W22-AI22))</f>
        <v>#N/A</v>
      </c>
      <c r="AN22" s="211" t="e">
        <f aca="false">IF($A23="","",AL22-AM22)</f>
        <v>#N/A</v>
      </c>
      <c r="AO22" s="137" t="n">
        <f aca="false">IF(A23="","",A23-A22)</f>
        <v>30</v>
      </c>
      <c r="AP22" s="212" t="n">
        <f aca="false">IF(A23="","",CHOOSE(F$3,A23+24,A22))</f>
        <v>37408</v>
      </c>
      <c r="AQ22" s="209" t="n">
        <f aca="false">IF(A23="","",AP22-$E$1)</f>
        <v>-8518</v>
      </c>
      <c r="AR22" s="185" t="n">
        <f aca="false">'ANR OK vs ML7'!AR22</f>
        <v>0.1</v>
      </c>
      <c r="AS22" s="213" t="n">
        <f aca="false">IF(A23="","",1/(1+CHOOSE(F$3,(AR23+($I$3/10000))/2,(AR22+($I$3/10000))/2))^(2*AQ22/365.25))</f>
        <v>9.73445940493808</v>
      </c>
      <c r="AT22" s="137" t="n">
        <f aca="false">IF(A23="","",IF(AND(mthbeg&lt;=A22,mthend&gt;=A22),1,0))</f>
        <v>1</v>
      </c>
      <c r="AU22" s="137" t="n">
        <f aca="false">IF(A23="","",AO22*AT22)</f>
        <v>30</v>
      </c>
      <c r="AW22" s="195" t="e">
        <f aca="false">IF($A23="","",AL22*$E22)</f>
        <v>#NAME?</v>
      </c>
      <c r="AX22" s="195" t="e">
        <f aca="false">IF($A23="","",AM22*$E22)</f>
        <v>#N/A</v>
      </c>
      <c r="AY22" s="195" t="e">
        <f aca="false">IF($A23="","",AN22*$E22)</f>
        <v>#N/A</v>
      </c>
      <c r="BA22" s="195" t="n">
        <f aca="false">IF($A23="","",F22*Summary!$Q$13)</f>
        <v>0</v>
      </c>
      <c r="BC22" s="179" t="e">
        <f aca="false">IF(A23="","",AM22*F22)</f>
        <v>#N/A</v>
      </c>
    </row>
    <row r="23" customFormat="false" ht="12.75" hidden="false" customHeight="false" outlineLevel="0" collapsed="false">
      <c r="A23" s="196" t="n">
        <f aca="false">IF(A22&lt;mthend,EDATE(A22,1),"")</f>
        <v>37438</v>
      </c>
      <c r="B23" s="197" t="n">
        <f aca="false">IF(A23&lt;mthend,B22,"")</f>
        <v>28400</v>
      </c>
      <c r="C23" s="215"/>
      <c r="D23" s="197" t="n">
        <f aca="false">IF(A24&lt;&gt;"",B23+C23,"")</f>
        <v>28400</v>
      </c>
      <c r="E23" s="199" t="n">
        <f aca="false">IF(A24="","",IF(AND(AT23=1,$H$3=1),D23*AO23,IF($H$3=2,D23,"N/A")))</f>
        <v>880400</v>
      </c>
      <c r="F23" s="199" t="n">
        <f aca="false">IF(A24="","",E23*AS23)</f>
        <v>8501803.90850714</v>
      </c>
      <c r="G23" s="200" t="e">
        <f aca="false">IF($A24="","",VLOOKUP($A23,Table,MATCH(G$4,Curves,0)))</f>
        <v>#N/A</v>
      </c>
      <c r="H23" s="201" t="e">
        <f aca="false">IF(A24="","",G23)</f>
        <v>#N/A</v>
      </c>
      <c r="I23" s="202"/>
      <c r="J23" s="200" t="e">
        <f aca="false">IF($A24="","",VLOOKUP($A23,Table,MATCH(J$4,Curves,0)))</f>
        <v>#N/A</v>
      </c>
      <c r="K23" s="201" t="e">
        <f aca="false">IF(A24="","",J23)</f>
        <v>#N/A</v>
      </c>
      <c r="L23" s="185" t="n">
        <v>0</v>
      </c>
      <c r="M23" s="201" t="n">
        <f aca="false">IF(A24="","",L23)</f>
        <v>0</v>
      </c>
      <c r="N23" s="203"/>
      <c r="O23" s="200" t="e">
        <f aca="false">IF(A24="","",L23+J23+G23)</f>
        <v>#N/A</v>
      </c>
      <c r="P23" s="200" t="e">
        <f aca="false">IF(A24="","",M23+K23+H23)</f>
        <v>#N/A</v>
      </c>
      <c r="Q23" s="204"/>
      <c r="R23" s="200" t="e">
        <f aca="false">IF($A24="","",VLOOKUP($A23,Table,MATCH(R$4,Curves,0)))</f>
        <v>#N/A</v>
      </c>
      <c r="S23" s="201" t="e">
        <f aca="false">IF(A24="","",R23)</f>
        <v>#N/A</v>
      </c>
      <c r="T23" s="185" t="n">
        <v>0</v>
      </c>
      <c r="U23" s="201" t="n">
        <f aca="false">IF(A24="","",T23)</f>
        <v>0</v>
      </c>
      <c r="V23" s="205" t="e">
        <f aca="false">(G23+R23)/(1-Summary!$T$13)*Summary!$T$13</f>
        <v>#N/A</v>
      </c>
      <c r="W23" s="202" t="e">
        <f aca="false">IF($A24="","",(T23+R23+G23+V23))</f>
        <v>#N/A</v>
      </c>
      <c r="X23" s="202" t="e">
        <f aca="false">IF($A24="","",(U23+S23+H23+V23))</f>
        <v>#N/A</v>
      </c>
      <c r="Y23" s="202"/>
      <c r="Z23" s="185" t="e">
        <f aca="false">IF($A24="","",VLOOKUP($A23,Table,MATCH(Z$4,Curves,0)))</f>
        <v>#N/A</v>
      </c>
      <c r="AA23" s="185" t="e">
        <f aca="false">IF($A24="","",VLOOKUP($A23,Table,MATCH(AA$4,Curves,0)))</f>
        <v>#N/A</v>
      </c>
      <c r="AB23" s="185" t="e">
        <f aca="false">SQRT((AA23^2*(A23-$D$3)+Z23^2*(DAY(EOMONTH(A23,0))/2))/AK23)</f>
        <v>#N/A</v>
      </c>
      <c r="AC23" s="185" t="e">
        <f aca="false">IF($A24="","",VLOOKUP($A23,Table,MATCH(AC$4,Curves,0)))</f>
        <v>#N/A</v>
      </c>
      <c r="AD23" s="185" t="e">
        <f aca="false">IF($A24="","",VLOOKUP($A23,Table,MATCH(AD$4,Curves,0)))</f>
        <v>#N/A</v>
      </c>
      <c r="AE23" s="185" t="e">
        <f aca="false">SQRT((AD23^2*(A23-$D$3)+AC23^2*(DAY(EOMONTH(A23,0))/2))/AK23)</f>
        <v>#N/A</v>
      </c>
      <c r="AF23" s="224" t="e">
        <f aca="false">((Summary!$N$13*(AA23*AD23)*(A23-$D$3))+(Summary!$M$13*Z23*AC23*(AJ23-EOMONTH(EDATE(A23,-1),0))))/(AK23*AB23*AE23)</f>
        <v>#N/A</v>
      </c>
      <c r="AG23" s="207" t="n">
        <f aca="false">IF($A24="","",Summary!$Q$13)</f>
        <v>0</v>
      </c>
      <c r="AH23" s="207" t="n">
        <f aca="false">IF($A24="","",IF(Summary!$R$12="Y",(VLOOKUP($A23,Summary!$AD$6:$AF$9,3)+'Escalating commodity'!I36),'Escalating commodity'!I36))</f>
        <v>0.0358883400843904</v>
      </c>
      <c r="AI23" s="207" t="n">
        <f aca="false">IF($A24="","",AH23)</f>
        <v>0.0358883400843904</v>
      </c>
      <c r="AJ23" s="208" t="n">
        <f aca="false">A23+DAY(EOMONTH(A23,0))/2-1</f>
        <v>37452.5</v>
      </c>
      <c r="AK23" s="209" t="n">
        <f aca="false">IF($A24="","",$A23-$E$1)</f>
        <v>-8488</v>
      </c>
      <c r="AL23" s="182" t="e">
        <f aca="false">IF($A24="","",SPRDOPT(P23,X23,AI23,0,AB23,AE23,AF23,AK23,$AJ$2,0))</f>
        <v>#NAME?</v>
      </c>
      <c r="AM23" s="210" t="e">
        <f aca="false">IF($A24="","",MAX(0,O23-W23-AI23))</f>
        <v>#N/A</v>
      </c>
      <c r="AN23" s="211" t="e">
        <f aca="false">IF($A24="","",AL23-AM23)</f>
        <v>#N/A</v>
      </c>
      <c r="AO23" s="137" t="n">
        <f aca="false">IF(A24="","",A24-A23)</f>
        <v>31</v>
      </c>
      <c r="AP23" s="212" t="n">
        <f aca="false">IF(A24="","",CHOOSE(F$3,A24+24,A23))</f>
        <v>37438</v>
      </c>
      <c r="AQ23" s="209" t="n">
        <f aca="false">IF(A24="","",AP23-$E$1)</f>
        <v>-8488</v>
      </c>
      <c r="AR23" s="185" t="n">
        <f aca="false">'ANR OK vs ML7'!AR23</f>
        <v>0.1</v>
      </c>
      <c r="AS23" s="213" t="n">
        <f aca="false">IF(A24="","",1/(1+CHOOSE(F$3,(AR24+($I$3/10000))/2,(AR23+($I$3/10000))/2))^(2*AQ23/365.25))</f>
        <v>9.65675137267963</v>
      </c>
      <c r="AT23" s="137" t="n">
        <f aca="false">IF(A24="","",IF(AND(mthbeg&lt;=A23,mthend&gt;=A23),1,0))</f>
        <v>1</v>
      </c>
      <c r="AU23" s="137" t="n">
        <f aca="false">IF(A24="","",AO23*AT23)</f>
        <v>31</v>
      </c>
      <c r="AW23" s="195" t="e">
        <f aca="false">IF($A24="","",AL23*$E23)</f>
        <v>#NAME?</v>
      </c>
      <c r="AX23" s="195" t="e">
        <f aca="false">IF($A24="","",AM23*$E23)</f>
        <v>#N/A</v>
      </c>
      <c r="AY23" s="195" t="e">
        <f aca="false">IF($A24="","",AN23*$E23)</f>
        <v>#N/A</v>
      </c>
      <c r="BA23" s="195" t="n">
        <f aca="false">IF($A24="","",F23*Summary!$Q$13)</f>
        <v>0</v>
      </c>
      <c r="BC23" s="179" t="e">
        <f aca="false">IF(A24="","",AM23*F23)</f>
        <v>#N/A</v>
      </c>
    </row>
    <row r="24" customFormat="false" ht="12.75" hidden="false" customHeight="false" outlineLevel="0" collapsed="false">
      <c r="A24" s="196" t="n">
        <f aca="false">IF(A23&lt;mthend,EDATE(A23,1),"")</f>
        <v>37469</v>
      </c>
      <c r="B24" s="197" t="n">
        <f aca="false">IF(A24&lt;mthend,B23,"")</f>
        <v>28400</v>
      </c>
      <c r="C24" s="215"/>
      <c r="D24" s="197" t="n">
        <f aca="false">IF(A25&lt;&gt;"",B24+C24,"")</f>
        <v>28400</v>
      </c>
      <c r="E24" s="199" t="n">
        <f aca="false">IF(A25="","",IF(AND(AT24=1,$H$3=1),D24*AO24,IF($H$3=2,D24,"N/A")))</f>
        <v>880400</v>
      </c>
      <c r="F24" s="199" t="n">
        <f aca="false">IF(A25="","",E24*AS24)</f>
        <v>8431682.97936899</v>
      </c>
      <c r="G24" s="200" t="e">
        <f aca="false">IF($A25="","",VLOOKUP($A24,Table,MATCH(G$4,Curves,0)))</f>
        <v>#N/A</v>
      </c>
      <c r="H24" s="201" t="e">
        <f aca="false">IF(A25="","",G24)</f>
        <v>#N/A</v>
      </c>
      <c r="I24" s="202"/>
      <c r="J24" s="200" t="e">
        <f aca="false">IF($A25="","",VLOOKUP($A24,Table,MATCH(J$4,Curves,0)))</f>
        <v>#N/A</v>
      </c>
      <c r="K24" s="201" t="e">
        <f aca="false">IF(A25="","",J24)</f>
        <v>#N/A</v>
      </c>
      <c r="L24" s="185" t="n">
        <v>0</v>
      </c>
      <c r="M24" s="201" t="n">
        <f aca="false">IF(A25="","",L24)</f>
        <v>0</v>
      </c>
      <c r="N24" s="203"/>
      <c r="O24" s="200" t="e">
        <f aca="false">IF(A25="","",L24+J24+G24)</f>
        <v>#N/A</v>
      </c>
      <c r="P24" s="200" t="e">
        <f aca="false">IF(A25="","",M24+K24+H24)</f>
        <v>#N/A</v>
      </c>
      <c r="Q24" s="204"/>
      <c r="R24" s="200" t="e">
        <f aca="false">IF($A25="","",VLOOKUP($A24,Table,MATCH(R$4,Curves,0)))</f>
        <v>#N/A</v>
      </c>
      <c r="S24" s="201" t="e">
        <f aca="false">IF(A25="","",R24)</f>
        <v>#N/A</v>
      </c>
      <c r="T24" s="185" t="n">
        <v>0</v>
      </c>
      <c r="U24" s="201" t="n">
        <f aca="false">IF(A25="","",T24)</f>
        <v>0</v>
      </c>
      <c r="V24" s="205" t="e">
        <f aca="false">(G24+R24)/(1-Summary!$T$13)*Summary!$T$13</f>
        <v>#N/A</v>
      </c>
      <c r="W24" s="202" t="e">
        <f aca="false">IF($A25="","",(T24+R24+G24+V24))</f>
        <v>#N/A</v>
      </c>
      <c r="X24" s="202" t="e">
        <f aca="false">IF($A25="","",(U24+S24+H24+V24))</f>
        <v>#N/A</v>
      </c>
      <c r="Y24" s="202"/>
      <c r="Z24" s="185" t="e">
        <f aca="false">IF($A25="","",VLOOKUP($A24,Table,MATCH(Z$4,Curves,0)))</f>
        <v>#N/A</v>
      </c>
      <c r="AA24" s="185" t="e">
        <f aca="false">IF($A25="","",VLOOKUP($A24,Table,MATCH(AA$4,Curves,0)))</f>
        <v>#N/A</v>
      </c>
      <c r="AB24" s="185" t="e">
        <f aca="false">SQRT((AA24^2*(A24-$D$3)+Z24^2*(DAY(EOMONTH(A24,0))/2))/AK24)</f>
        <v>#N/A</v>
      </c>
      <c r="AC24" s="185" t="e">
        <f aca="false">IF($A25="","",VLOOKUP($A24,Table,MATCH(AC$4,Curves,0)))</f>
        <v>#N/A</v>
      </c>
      <c r="AD24" s="185" t="e">
        <f aca="false">IF($A25="","",VLOOKUP($A24,Table,MATCH(AD$4,Curves,0)))</f>
        <v>#N/A</v>
      </c>
      <c r="AE24" s="185" t="e">
        <f aca="false">SQRT((AD24^2*(A24-$D$3)+AC24^2*(DAY(EOMONTH(A24,0))/2))/AK24)</f>
        <v>#N/A</v>
      </c>
      <c r="AF24" s="224" t="e">
        <f aca="false">((Summary!$N$13*(AA24*AD24)*(A24-$D$3))+(Summary!$M$13*Z24*AC24*(AJ24-EOMONTH(EDATE(A24,-1),0))))/(AK24*AB24*AE24)</f>
        <v>#N/A</v>
      </c>
      <c r="AG24" s="207" t="n">
        <f aca="false">IF($A25="","",Summary!$Q$13)</f>
        <v>0</v>
      </c>
      <c r="AH24" s="207" t="n">
        <f aca="false">IF($A25="","",IF(Summary!$R$12="Y",(VLOOKUP($A24,Summary!$AD$6:$AF$9,3)+'Escalating commodity'!I37),'Escalating commodity'!I37))</f>
        <v>0.0358883400843904</v>
      </c>
      <c r="AI24" s="207" t="n">
        <f aca="false">IF($A25="","",AH24)</f>
        <v>0.0358883400843904</v>
      </c>
      <c r="AJ24" s="208" t="n">
        <f aca="false">A24+DAY(EOMONTH(A24,0))/2-1</f>
        <v>37483.5</v>
      </c>
      <c r="AK24" s="209" t="n">
        <f aca="false">IF($A25="","",$A24-$E$1)</f>
        <v>-8457</v>
      </c>
      <c r="AL24" s="182" t="e">
        <f aca="false">IF($A25="","",SPRDOPT(P24,X24,AI24,0,AB24,AE24,AF24,AK24,$AJ$2,0))</f>
        <v>#NAME?</v>
      </c>
      <c r="AM24" s="210" t="e">
        <f aca="false">IF($A25="","",MAX(0,O24-W24-AI24))</f>
        <v>#N/A</v>
      </c>
      <c r="AN24" s="211" t="e">
        <f aca="false">IF($A25="","",AL24-AM24)</f>
        <v>#N/A</v>
      </c>
      <c r="AO24" s="137" t="n">
        <f aca="false">IF(A25="","",A25-A24)</f>
        <v>31</v>
      </c>
      <c r="AP24" s="212" t="n">
        <f aca="false">IF(A25="","",CHOOSE(F$3,A25+24,A24))</f>
        <v>37469</v>
      </c>
      <c r="AQ24" s="209" t="n">
        <f aca="false">IF(A25="","",AP24-$E$1)</f>
        <v>-8457</v>
      </c>
      <c r="AR24" s="185" t="n">
        <f aca="false">'ANR OK vs ML7'!AR24</f>
        <v>0.1</v>
      </c>
      <c r="AS24" s="213" t="n">
        <f aca="false">IF(A25="","",1/(1+CHOOSE(F$3,(AR25+($I$3/10000))/2,(AR24+($I$3/10000))/2))^(2*AQ24/365.25))</f>
        <v>9.57710470169126</v>
      </c>
      <c r="AT24" s="137" t="n">
        <f aca="false">IF(A25="","",IF(AND(mthbeg&lt;=A24,mthend&gt;=A24),1,0))</f>
        <v>1</v>
      </c>
      <c r="AU24" s="137" t="n">
        <f aca="false">IF(A25="","",AO24*AT24)</f>
        <v>31</v>
      </c>
      <c r="AW24" s="195" t="e">
        <f aca="false">IF($A25="","",AL24*$E24)</f>
        <v>#NAME?</v>
      </c>
      <c r="AX24" s="195" t="e">
        <f aca="false">IF($A25="","",AM24*$E24)</f>
        <v>#N/A</v>
      </c>
      <c r="AY24" s="195" t="e">
        <f aca="false">IF($A25="","",AN24*$E24)</f>
        <v>#N/A</v>
      </c>
      <c r="BA24" s="195" t="n">
        <f aca="false">IF($A25="","",F24*Summary!$Q$13)</f>
        <v>0</v>
      </c>
      <c r="BC24" s="179" t="e">
        <f aca="false">IF(A25="","",AM24*F24)</f>
        <v>#N/A</v>
      </c>
    </row>
    <row r="25" customFormat="false" ht="12.75" hidden="false" customHeight="false" outlineLevel="0" collapsed="false">
      <c r="A25" s="196" t="n">
        <f aca="false">IF(A24&lt;mthend,EDATE(A24,1),"")</f>
        <v>37500</v>
      </c>
      <c r="B25" s="197" t="n">
        <f aca="false">IF(A25&lt;mthend,B24,"")</f>
        <v>28400</v>
      </c>
      <c r="C25" s="215"/>
      <c r="D25" s="197" t="n">
        <f aca="false">IF(A26&lt;&gt;"",B25+C25,"")</f>
        <v>28400</v>
      </c>
      <c r="E25" s="199" t="n">
        <f aca="false">IF(A26="","",IF(AND(AT25=1,$H$3=1),D25*AO25,IF($H$3=2,D25,"N/A")))</f>
        <v>852000</v>
      </c>
      <c r="F25" s="199" t="n">
        <f aca="false">IF(A26="","",E25*AS25)</f>
        <v>8092393.92733097</v>
      </c>
      <c r="G25" s="200" t="e">
        <f aca="false">IF($A26="","",VLOOKUP($A25,Table,MATCH(G$4,Curves,0)))</f>
        <v>#N/A</v>
      </c>
      <c r="H25" s="201" t="e">
        <f aca="false">IF(A26="","",G25)</f>
        <v>#N/A</v>
      </c>
      <c r="I25" s="202"/>
      <c r="J25" s="200" t="e">
        <f aca="false">IF($A26="","",VLOOKUP($A25,Table,MATCH(J$4,Curves,0)))</f>
        <v>#N/A</v>
      </c>
      <c r="K25" s="201" t="e">
        <f aca="false">IF(A26="","",J25)</f>
        <v>#N/A</v>
      </c>
      <c r="L25" s="185" t="n">
        <v>0</v>
      </c>
      <c r="M25" s="201" t="n">
        <f aca="false">IF(A26="","",L25)</f>
        <v>0</v>
      </c>
      <c r="N25" s="203"/>
      <c r="O25" s="200" t="e">
        <f aca="false">IF(A26="","",L25+J25+G25)</f>
        <v>#N/A</v>
      </c>
      <c r="P25" s="200" t="e">
        <f aca="false">IF(A26="","",M25+K25+H25)</f>
        <v>#N/A</v>
      </c>
      <c r="Q25" s="204"/>
      <c r="R25" s="200" t="e">
        <f aca="false">IF($A26="","",VLOOKUP($A25,Table,MATCH(R$4,Curves,0)))</f>
        <v>#N/A</v>
      </c>
      <c r="S25" s="201" t="e">
        <f aca="false">IF(A26="","",R25)</f>
        <v>#N/A</v>
      </c>
      <c r="T25" s="185" t="n">
        <v>0</v>
      </c>
      <c r="U25" s="201" t="n">
        <f aca="false">IF(A26="","",T25)</f>
        <v>0</v>
      </c>
      <c r="V25" s="205" t="e">
        <f aca="false">(G25+R25)/(1-Summary!$T$13)*Summary!$T$13</f>
        <v>#N/A</v>
      </c>
      <c r="W25" s="202" t="e">
        <f aca="false">IF($A26="","",(T25+R25+G25+V25))</f>
        <v>#N/A</v>
      </c>
      <c r="X25" s="202" t="e">
        <f aca="false">IF($A26="","",(U25+S25+H25+V25))</f>
        <v>#N/A</v>
      </c>
      <c r="Y25" s="202"/>
      <c r="Z25" s="185" t="e">
        <f aca="false">IF($A26="","",VLOOKUP($A25,Table,MATCH(Z$4,Curves,0)))</f>
        <v>#N/A</v>
      </c>
      <c r="AA25" s="185" t="e">
        <f aca="false">IF($A26="","",VLOOKUP($A25,Table,MATCH(AA$4,Curves,0)))</f>
        <v>#N/A</v>
      </c>
      <c r="AB25" s="185" t="e">
        <f aca="false">SQRT((AA25^2*(A25-$D$3)+Z25^2*(DAY(EOMONTH(A25,0))/2))/AK25)</f>
        <v>#N/A</v>
      </c>
      <c r="AC25" s="185" t="e">
        <f aca="false">IF($A26="","",VLOOKUP($A25,Table,MATCH(AC$4,Curves,0)))</f>
        <v>#N/A</v>
      </c>
      <c r="AD25" s="185" t="e">
        <f aca="false">IF($A26="","",VLOOKUP($A25,Table,MATCH(AD$4,Curves,0)))</f>
        <v>#N/A</v>
      </c>
      <c r="AE25" s="185" t="e">
        <f aca="false">SQRT((AD25^2*(A25-$D$3)+AC25^2*(DAY(EOMONTH(A25,0))/2))/AK25)</f>
        <v>#N/A</v>
      </c>
      <c r="AF25" s="224" t="e">
        <f aca="false">((Summary!$N$13*(AA25*AD25)*(A25-$D$3))+(Summary!$M$13*Z25*AC25*(AJ25-EOMONTH(EDATE(A25,-1),0))))/(AK25*AB25*AE25)</f>
        <v>#N/A</v>
      </c>
      <c r="AG25" s="207" t="n">
        <f aca="false">IF($A26="","",Summary!$Q$13)</f>
        <v>0</v>
      </c>
      <c r="AH25" s="207" t="n">
        <f aca="false">IF($A26="","",IF(Summary!$R$12="Y",(VLOOKUP($A25,Summary!$AD$6:$AF$9,3)+'Escalating commodity'!I38),'Escalating commodity'!I38))</f>
        <v>0.0358883400843904</v>
      </c>
      <c r="AI25" s="207" t="n">
        <f aca="false">IF($A26="","",AH25)</f>
        <v>0.0358883400843904</v>
      </c>
      <c r="AJ25" s="208" t="n">
        <f aca="false">A25+DAY(EOMONTH(A25,0))/2-1</f>
        <v>37514</v>
      </c>
      <c r="AK25" s="209" t="n">
        <f aca="false">IF($A26="","",$A25-$E$1)</f>
        <v>-8426</v>
      </c>
      <c r="AL25" s="182" t="e">
        <f aca="false">IF($A26="","",SPRDOPT(P25,X25,AI25,0,AB25,AE25,AF25,AK25,$AJ$2,0))</f>
        <v>#NAME?</v>
      </c>
      <c r="AM25" s="210" t="e">
        <f aca="false">IF($A26="","",MAX(0,O25-W25-AI25))</f>
        <v>#N/A</v>
      </c>
      <c r="AN25" s="211" t="e">
        <f aca="false">IF($A26="","",AL25-AM25)</f>
        <v>#N/A</v>
      </c>
      <c r="AO25" s="137" t="n">
        <f aca="false">IF(A26="","",A26-A25)</f>
        <v>30</v>
      </c>
      <c r="AP25" s="212" t="n">
        <f aca="false">IF(A26="","",CHOOSE(F$3,A26+24,A25))</f>
        <v>37500</v>
      </c>
      <c r="AQ25" s="209" t="n">
        <f aca="false">IF(A26="","",AP25-$E$1)</f>
        <v>-8426</v>
      </c>
      <c r="AR25" s="185" t="n">
        <f aca="false">'ANR OK vs ML7'!AR25</f>
        <v>0.1</v>
      </c>
      <c r="AS25" s="213" t="n">
        <f aca="false">IF(A26="","",1/(1+CHOOSE(F$3,(AR26+($I$3/10000))/2,(AR25+($I$3/10000))/2))^(2*AQ25/365.25))</f>
        <v>9.49811493818189</v>
      </c>
      <c r="AT25" s="137" t="n">
        <f aca="false">IF(A26="","",IF(AND(mthbeg&lt;=A25,mthend&gt;=A25),1,0))</f>
        <v>1</v>
      </c>
      <c r="AU25" s="137" t="n">
        <f aca="false">IF(A26="","",AO25*AT25)</f>
        <v>30</v>
      </c>
      <c r="AW25" s="195" t="e">
        <f aca="false">IF($A26="","",AL25*$E25)</f>
        <v>#NAME?</v>
      </c>
      <c r="AX25" s="195" t="e">
        <f aca="false">IF($A26="","",AM25*$E25)</f>
        <v>#N/A</v>
      </c>
      <c r="AY25" s="195" t="e">
        <f aca="false">IF($A26="","",AN25*$E25)</f>
        <v>#N/A</v>
      </c>
      <c r="BA25" s="195" t="n">
        <f aca="false">IF($A26="","",F25*Summary!$Q$13)</f>
        <v>0</v>
      </c>
      <c r="BC25" s="179" t="e">
        <f aca="false">IF(A26="","",AM25*F25)</f>
        <v>#N/A</v>
      </c>
    </row>
    <row r="26" customFormat="false" ht="12.75" hidden="false" customHeight="false" outlineLevel="0" collapsed="false">
      <c r="A26" s="196" t="n">
        <f aca="false">IF(A25&lt;mthend,EDATE(A25,1),"")</f>
        <v>37530</v>
      </c>
      <c r="B26" s="197" t="n">
        <f aca="false">IF(A26&lt;mthend,B25,"")</f>
        <v>28400</v>
      </c>
      <c r="C26" s="215"/>
      <c r="D26" s="197" t="n">
        <f aca="false">IF(A27&lt;&gt;"",B26+C26,"")</f>
        <v>28400</v>
      </c>
      <c r="E26" s="199" t="n">
        <f aca="false">IF(A27="","",IF(AND(AT26=1,$H$3=1),D26*AO26,IF($H$3=2,D26,"N/A")))</f>
        <v>880400</v>
      </c>
      <c r="F26" s="199" t="n">
        <f aca="false">IF(A27="","",E26*AS26)</f>
        <v>8295387.27789256</v>
      </c>
      <c r="G26" s="200" t="e">
        <f aca="false">IF($A27="","",VLOOKUP($A26,Table,MATCH(G$4,Curves,0)))</f>
        <v>#N/A</v>
      </c>
      <c r="H26" s="201" t="e">
        <f aca="false">IF(A27="","",G26)</f>
        <v>#N/A</v>
      </c>
      <c r="I26" s="202"/>
      <c r="J26" s="200" t="e">
        <f aca="false">IF($A27="","",VLOOKUP($A26,Table,MATCH(J$4,Curves,0)))</f>
        <v>#N/A</v>
      </c>
      <c r="K26" s="201" t="e">
        <f aca="false">IF(A27="","",J26)</f>
        <v>#N/A</v>
      </c>
      <c r="L26" s="185" t="n">
        <v>0</v>
      </c>
      <c r="M26" s="201" t="n">
        <f aca="false">IF(A27="","",L26)</f>
        <v>0</v>
      </c>
      <c r="N26" s="203"/>
      <c r="O26" s="200" t="e">
        <f aca="false">IF(A27="","",L26+J26+G26)</f>
        <v>#N/A</v>
      </c>
      <c r="P26" s="200" t="e">
        <f aca="false">IF(A27="","",M26+K26+H26)</f>
        <v>#N/A</v>
      </c>
      <c r="Q26" s="204"/>
      <c r="R26" s="200" t="e">
        <f aca="false">IF($A27="","",VLOOKUP($A26,Table,MATCH(R$4,Curves,0)))</f>
        <v>#N/A</v>
      </c>
      <c r="S26" s="201" t="e">
        <f aca="false">IF(A27="","",R26)</f>
        <v>#N/A</v>
      </c>
      <c r="T26" s="185" t="n">
        <v>0</v>
      </c>
      <c r="U26" s="201" t="n">
        <f aca="false">IF(A27="","",T26)</f>
        <v>0</v>
      </c>
      <c r="V26" s="205" t="e">
        <f aca="false">(G26+R26)/(1-Summary!$T$13)*Summary!$T$13</f>
        <v>#N/A</v>
      </c>
      <c r="W26" s="202" t="e">
        <f aca="false">IF($A27="","",(T26+R26+G26+V26))</f>
        <v>#N/A</v>
      </c>
      <c r="X26" s="202" t="e">
        <f aca="false">IF($A27="","",(U26+S26+H26+V26))</f>
        <v>#N/A</v>
      </c>
      <c r="Y26" s="202"/>
      <c r="Z26" s="185" t="e">
        <f aca="false">IF($A27="","",VLOOKUP($A26,Table,MATCH(Z$4,Curves,0)))</f>
        <v>#N/A</v>
      </c>
      <c r="AA26" s="185" t="e">
        <f aca="false">IF($A27="","",VLOOKUP($A26,Table,MATCH(AA$4,Curves,0)))</f>
        <v>#N/A</v>
      </c>
      <c r="AB26" s="185" t="e">
        <f aca="false">SQRT((AA26^2*(A26-$D$3)+Z26^2*(DAY(EOMONTH(A26,0))/2))/AK26)</f>
        <v>#N/A</v>
      </c>
      <c r="AC26" s="185" t="e">
        <f aca="false">IF($A27="","",VLOOKUP($A26,Table,MATCH(AC$4,Curves,0)))</f>
        <v>#N/A</v>
      </c>
      <c r="AD26" s="185" t="e">
        <f aca="false">IF($A27="","",VLOOKUP($A26,Table,MATCH(AD$4,Curves,0)))</f>
        <v>#N/A</v>
      </c>
      <c r="AE26" s="185" t="e">
        <f aca="false">SQRT((AD26^2*(A26-$D$3)+AC26^2*(DAY(EOMONTH(A26,0))/2))/AK26)</f>
        <v>#N/A</v>
      </c>
      <c r="AF26" s="224" t="e">
        <f aca="false">((Summary!$N$13*(AA26*AD26)*(A26-$D$3))+(Summary!$M$13*Z26*AC26*(AJ26-EOMONTH(EDATE(A26,-1),0))))/(AK26*AB26*AE26)</f>
        <v>#N/A</v>
      </c>
      <c r="AG26" s="207" t="n">
        <f aca="false">IF($A27="","",Summary!$Q$13)</f>
        <v>0</v>
      </c>
      <c r="AH26" s="207" t="n">
        <f aca="false">IF($A27="","",IF(Summary!$R$12="Y",(VLOOKUP($A26,Summary!$AD$6:$AF$9,3)+'Escalating commodity'!I39),'Escalating commodity'!I39))</f>
        <v>0.0358883400843904</v>
      </c>
      <c r="AI26" s="207" t="n">
        <f aca="false">IF($A27="","",AH26)</f>
        <v>0.0358883400843904</v>
      </c>
      <c r="AJ26" s="208" t="n">
        <f aca="false">A26+DAY(EOMONTH(A26,0))/2-1</f>
        <v>37544.5</v>
      </c>
      <c r="AK26" s="209" t="n">
        <f aca="false">IF($A27="","",$A26-$E$1)</f>
        <v>-8396</v>
      </c>
      <c r="AL26" s="182" t="e">
        <f aca="false">IF($A27="","",SPRDOPT(P26,X26,AI26,0,AB26,AE26,AF26,AK26,$AJ$2,0))</f>
        <v>#NAME?</v>
      </c>
      <c r="AM26" s="210" t="e">
        <f aca="false">IF($A27="","",MAX(0,O26-W26-AI26))</f>
        <v>#N/A</v>
      </c>
      <c r="AN26" s="211" t="e">
        <f aca="false">IF($A27="","",AL26-AM26)</f>
        <v>#N/A</v>
      </c>
      <c r="AO26" s="137" t="n">
        <f aca="false">IF(A27="","",A27-A26)</f>
        <v>31</v>
      </c>
      <c r="AP26" s="212" t="n">
        <f aca="false">IF(A27="","",CHOOSE(F$3,A27+24,A26))</f>
        <v>37530</v>
      </c>
      <c r="AQ26" s="209" t="n">
        <f aca="false">IF(A27="","",AP26-$E$1)</f>
        <v>-8396</v>
      </c>
      <c r="AR26" s="185" t="n">
        <f aca="false">'ANR OK vs ML7'!AR26</f>
        <v>0.1</v>
      </c>
      <c r="AS26" s="213" t="n">
        <f aca="false">IF(A27="","",1/(1+CHOOSE(F$3,(AR27+($I$3/10000))/2,(AR26+($I$3/10000))/2))^(2*AQ26/365.25))</f>
        <v>9.42229359142726</v>
      </c>
      <c r="AT26" s="137" t="n">
        <f aca="false">IF(A27="","",IF(AND(mthbeg&lt;=A26,mthend&gt;=A26),1,0))</f>
        <v>1</v>
      </c>
      <c r="AU26" s="137" t="n">
        <f aca="false">IF(A27="","",AO26*AT26)</f>
        <v>31</v>
      </c>
      <c r="AW26" s="195" t="e">
        <f aca="false">IF($A27="","",AL26*$E26)</f>
        <v>#NAME?</v>
      </c>
      <c r="AX26" s="195" t="e">
        <f aca="false">IF($A27="","",AM26*$E26)</f>
        <v>#N/A</v>
      </c>
      <c r="AY26" s="195" t="e">
        <f aca="false">IF($A27="","",AN26*$E26)</f>
        <v>#N/A</v>
      </c>
      <c r="BA26" s="195" t="n">
        <f aca="false">IF($A27="","",F26*Summary!$Q$13)</f>
        <v>0</v>
      </c>
      <c r="BC26" s="179" t="e">
        <f aca="false">IF(A27="","",AM26*F26)</f>
        <v>#N/A</v>
      </c>
    </row>
    <row r="27" customFormat="false" ht="12.75" hidden="false" customHeight="false" outlineLevel="0" collapsed="false">
      <c r="A27" s="196" t="n">
        <f aca="false">IF(A26&lt;mthend,EDATE(A26,1),"")</f>
        <v>37561</v>
      </c>
      <c r="B27" s="197" t="n">
        <f aca="false">IF(A27&lt;mthend,B26,"")</f>
        <v>28400</v>
      </c>
      <c r="C27" s="215"/>
      <c r="D27" s="197" t="n">
        <f aca="false">IF(A28&lt;&gt;"",B27+C27,"")</f>
        <v>28400</v>
      </c>
      <c r="E27" s="199" t="n">
        <f aca="false">IF(A28="","",IF(AND(AT27=1,$H$3=1),D27*AO27,IF($H$3=2,D27,"N/A")))</f>
        <v>852000</v>
      </c>
      <c r="F27" s="199" t="n">
        <f aca="false">IF(A28="","",E27*AS27)</f>
        <v>7961582.73463694</v>
      </c>
      <c r="G27" s="200" t="e">
        <f aca="false">IF($A28="","",VLOOKUP($A27,Table,MATCH(G$4,Curves,0)))</f>
        <v>#N/A</v>
      </c>
      <c r="H27" s="201" t="e">
        <f aca="false">IF(A28="","",G27)</f>
        <v>#N/A</v>
      </c>
      <c r="I27" s="202"/>
      <c r="J27" s="200" t="e">
        <f aca="false">IF($A28="","",VLOOKUP($A27,Table,MATCH(J$4,Curves,0)))</f>
        <v>#N/A</v>
      </c>
      <c r="K27" s="201" t="e">
        <f aca="false">IF(A28="","",J27)</f>
        <v>#N/A</v>
      </c>
      <c r="L27" s="185" t="n">
        <v>0</v>
      </c>
      <c r="M27" s="201" t="n">
        <f aca="false">IF(A28="","",L27)</f>
        <v>0</v>
      </c>
      <c r="N27" s="203"/>
      <c r="O27" s="200" t="e">
        <f aca="false">IF(A28="","",L27+J27+G27)</f>
        <v>#N/A</v>
      </c>
      <c r="P27" s="200" t="e">
        <f aca="false">IF(A28="","",M27+K27+H27)</f>
        <v>#N/A</v>
      </c>
      <c r="Q27" s="204"/>
      <c r="R27" s="200" t="e">
        <f aca="false">IF($A28="","",VLOOKUP($A27,Table,MATCH(R$4,Curves,0)))</f>
        <v>#N/A</v>
      </c>
      <c r="S27" s="201" t="e">
        <f aca="false">IF(A28="","",R27)</f>
        <v>#N/A</v>
      </c>
      <c r="T27" s="185" t="n">
        <v>0</v>
      </c>
      <c r="U27" s="201" t="n">
        <f aca="false">IF(A28="","",T27)</f>
        <v>0</v>
      </c>
      <c r="V27" s="205" t="e">
        <f aca="false">(G27+R27)/(1-Summary!$T$13)*Summary!$T$13</f>
        <v>#N/A</v>
      </c>
      <c r="W27" s="202" t="e">
        <f aca="false">IF($A28="","",(T27+R27+G27+V27))</f>
        <v>#N/A</v>
      </c>
      <c r="X27" s="202" t="e">
        <f aca="false">IF($A28="","",(U27+S27+H27+V27))</f>
        <v>#N/A</v>
      </c>
      <c r="Y27" s="202"/>
      <c r="Z27" s="185" t="e">
        <f aca="false">IF($A28="","",VLOOKUP($A27,Table,MATCH(Z$4,Curves,0)))</f>
        <v>#N/A</v>
      </c>
      <c r="AA27" s="185" t="e">
        <f aca="false">IF($A28="","",VLOOKUP($A27,Table,MATCH(AA$4,Curves,0)))</f>
        <v>#N/A</v>
      </c>
      <c r="AB27" s="185" t="e">
        <f aca="false">SQRT((AA27^2*(A27-$D$3)+Z27^2*(DAY(EOMONTH(A27,0))/2))/AK27)</f>
        <v>#N/A</v>
      </c>
      <c r="AC27" s="185" t="e">
        <f aca="false">IF($A28="","",VLOOKUP($A27,Table,MATCH(AC$4,Curves,0)))</f>
        <v>#N/A</v>
      </c>
      <c r="AD27" s="185" t="e">
        <f aca="false">IF($A28="","",VLOOKUP($A27,Table,MATCH(AD$4,Curves,0)))</f>
        <v>#N/A</v>
      </c>
      <c r="AE27" s="185" t="e">
        <f aca="false">SQRT((AD27^2*(A27-$D$3)+AC27^2*(DAY(EOMONTH(A27,0))/2))/AK27)</f>
        <v>#N/A</v>
      </c>
      <c r="AF27" s="224" t="e">
        <f aca="false">((Summary!$N$13*(AA27*AD27)*(A27-$D$3))+(Summary!$M$13*Z27*AC27*(AJ27-EOMONTH(EDATE(A27,-1),0))))/(AK27*AB27*AE27)</f>
        <v>#N/A</v>
      </c>
      <c r="AG27" s="207" t="n">
        <f aca="false">IF($A28="","",Summary!$Q$13)</f>
        <v>0</v>
      </c>
      <c r="AH27" s="207" t="n">
        <f aca="false">IF($A28="","",IF(Summary!$R$12="Y",(VLOOKUP($A27,Summary!$AD$6:$AF$9,3)+'Escalating commodity'!I40),'Escalating commodity'!I40))</f>
        <v>0.0358883400843904</v>
      </c>
      <c r="AI27" s="207" t="n">
        <f aca="false">IF($A28="","",AH27)</f>
        <v>0.0358883400843904</v>
      </c>
      <c r="AJ27" s="208" t="n">
        <f aca="false">A27+DAY(EOMONTH(A27,0))/2-1</f>
        <v>37575</v>
      </c>
      <c r="AK27" s="209" t="n">
        <f aca="false">IF($A28="","",$A27-$E$1)</f>
        <v>-8365</v>
      </c>
      <c r="AL27" s="182" t="e">
        <f aca="false">IF($A28="","",SPRDOPT(P27,X27,AI27,0,AB27,AE27,AF27,AK27,$AJ$2,0))</f>
        <v>#NAME?</v>
      </c>
      <c r="AM27" s="210" t="e">
        <f aca="false">IF($A28="","",MAX(0,O27-W27-AI27))</f>
        <v>#N/A</v>
      </c>
      <c r="AN27" s="211" t="e">
        <f aca="false">IF($A28="","",AL27-AM27)</f>
        <v>#N/A</v>
      </c>
      <c r="AO27" s="137" t="n">
        <f aca="false">IF(A28="","",A28-A27)</f>
        <v>30</v>
      </c>
      <c r="AP27" s="212" t="n">
        <f aca="false">IF(A28="","",CHOOSE(F$3,A28+24,A27))</f>
        <v>37561</v>
      </c>
      <c r="AQ27" s="209" t="n">
        <f aca="false">IF(A28="","",AP27-$E$1)</f>
        <v>-8365</v>
      </c>
      <c r="AR27" s="185" t="n">
        <f aca="false">'ANR OK vs ML7'!AR27</f>
        <v>0.1</v>
      </c>
      <c r="AS27" s="213" t="n">
        <f aca="false">IF(A28="","",1/(1+CHOOSE(F$3,(AR28+($I$3/10000))/2,(AR27+($I$3/10000))/2))^(2*AQ27/365.25))</f>
        <v>9.34458067445651</v>
      </c>
      <c r="AT27" s="137" t="n">
        <f aca="false">IF(A28="","",IF(AND(mthbeg&lt;=A27,mthend&gt;=A27),1,0))</f>
        <v>1</v>
      </c>
      <c r="AU27" s="137" t="n">
        <f aca="false">IF(A28="","",AO27*AT27)</f>
        <v>30</v>
      </c>
      <c r="AW27" s="195" t="e">
        <f aca="false">IF($A28="","",AL27*$E27)</f>
        <v>#NAME?</v>
      </c>
      <c r="AX27" s="195" t="e">
        <f aca="false">IF($A28="","",AM27*$E27)</f>
        <v>#N/A</v>
      </c>
      <c r="AY27" s="195" t="e">
        <f aca="false">IF($A28="","",AN27*$E27)</f>
        <v>#N/A</v>
      </c>
      <c r="BA27" s="195" t="n">
        <f aca="false">IF($A28="","",F27*Summary!$Q$13)</f>
        <v>0</v>
      </c>
      <c r="BC27" s="179" t="e">
        <f aca="false">IF(A28="","",AM27*F27)</f>
        <v>#N/A</v>
      </c>
    </row>
    <row r="28" customFormat="false" ht="12.75" hidden="false" customHeight="false" outlineLevel="0" collapsed="false">
      <c r="A28" s="196" t="n">
        <f aca="false">IF(A27&lt;mthend,EDATE(A27,1),"")</f>
        <v>37591</v>
      </c>
      <c r="B28" s="197" t="n">
        <f aca="false">IF(A28&lt;mthend,B27,"")</f>
        <v>28400</v>
      </c>
      <c r="C28" s="215"/>
      <c r="D28" s="197" t="n">
        <f aca="false">IF(A29&lt;&gt;"",B28+C28,"")</f>
        <v>28400</v>
      </c>
      <c r="E28" s="199" t="n">
        <f aca="false">IF(A29="","",IF(AND(AT28=1,$H$3=1),D28*AO28,IF($H$3=2,D28,"N/A")))</f>
        <v>880400</v>
      </c>
      <c r="F28" s="199" t="n">
        <f aca="false">IF(A29="","",E28*AS28)</f>
        <v>8161294.75676415</v>
      </c>
      <c r="G28" s="200" t="e">
        <f aca="false">IF($A29="","",VLOOKUP($A28,Table,MATCH(G$4,Curves,0)))</f>
        <v>#N/A</v>
      </c>
      <c r="H28" s="201" t="e">
        <f aca="false">IF(A29="","",G28)</f>
        <v>#N/A</v>
      </c>
      <c r="I28" s="202"/>
      <c r="J28" s="200" t="e">
        <f aca="false">IF($A29="","",VLOOKUP($A28,Table,MATCH(J$4,Curves,0)))</f>
        <v>#N/A</v>
      </c>
      <c r="K28" s="201" t="e">
        <f aca="false">IF(A29="","",J28)</f>
        <v>#N/A</v>
      </c>
      <c r="L28" s="185" t="n">
        <v>0</v>
      </c>
      <c r="M28" s="201" t="n">
        <f aca="false">IF(A29="","",L28)</f>
        <v>0</v>
      </c>
      <c r="N28" s="203"/>
      <c r="O28" s="200" t="e">
        <f aca="false">IF(A29="","",L28+J28+G28)</f>
        <v>#N/A</v>
      </c>
      <c r="P28" s="200" t="e">
        <f aca="false">IF(A29="","",M28+K28+H28)</f>
        <v>#N/A</v>
      </c>
      <c r="Q28" s="204"/>
      <c r="R28" s="200" t="e">
        <f aca="false">IF($A29="","",VLOOKUP($A28,Table,MATCH(R$4,Curves,0)))</f>
        <v>#N/A</v>
      </c>
      <c r="S28" s="201" t="e">
        <f aca="false">IF(A29="","",R28)</f>
        <v>#N/A</v>
      </c>
      <c r="T28" s="185" t="n">
        <v>0</v>
      </c>
      <c r="U28" s="201" t="n">
        <f aca="false">IF(A29="","",T28)</f>
        <v>0</v>
      </c>
      <c r="V28" s="205" t="e">
        <f aca="false">(G28+R28)/(1-Summary!$T$13)*Summary!$T$13</f>
        <v>#N/A</v>
      </c>
      <c r="W28" s="202" t="e">
        <f aca="false">IF($A29="","",(T28+R28+G28+V28))</f>
        <v>#N/A</v>
      </c>
      <c r="X28" s="202" t="e">
        <f aca="false">IF($A29="","",(U28+S28+H28+V28))</f>
        <v>#N/A</v>
      </c>
      <c r="Y28" s="202"/>
      <c r="Z28" s="185" t="e">
        <f aca="false">IF($A29="","",VLOOKUP($A28,Table,MATCH(Z$4,Curves,0)))</f>
        <v>#N/A</v>
      </c>
      <c r="AA28" s="185" t="e">
        <f aca="false">IF($A29="","",VLOOKUP($A28,Table,MATCH(AA$4,Curves,0)))</f>
        <v>#N/A</v>
      </c>
      <c r="AB28" s="185" t="e">
        <f aca="false">SQRT((AA28^2*(A28-$D$3)+Z28^2*(DAY(EOMONTH(A28,0))/2))/AK28)</f>
        <v>#N/A</v>
      </c>
      <c r="AC28" s="185" t="e">
        <f aca="false">IF($A29="","",VLOOKUP($A28,Table,MATCH(AC$4,Curves,0)))</f>
        <v>#N/A</v>
      </c>
      <c r="AD28" s="185" t="e">
        <f aca="false">IF($A29="","",VLOOKUP($A28,Table,MATCH(AD$4,Curves,0)))</f>
        <v>#N/A</v>
      </c>
      <c r="AE28" s="185" t="e">
        <f aca="false">SQRT((AD28^2*(A28-$D$3)+AC28^2*(DAY(EOMONTH(A28,0))/2))/AK28)</f>
        <v>#N/A</v>
      </c>
      <c r="AF28" s="224" t="e">
        <f aca="false">((Summary!$N$13*(AA28*AD28)*(A28-$D$3))+(Summary!$M$13*Z28*AC28*(AJ28-EOMONTH(EDATE(A28,-1),0))))/(AK28*AB28*AE28)</f>
        <v>#N/A</v>
      </c>
      <c r="AG28" s="207" t="n">
        <f aca="false">IF($A29="","",Summary!$Q$13)</f>
        <v>0</v>
      </c>
      <c r="AH28" s="207" t="n">
        <f aca="false">IF($A29="","",IF(Summary!$R$12="Y",(VLOOKUP($A28,Summary!$AD$6:$AF$9,3)+'Escalating commodity'!I41),'Escalating commodity'!I41))</f>
        <v>0.0358883400843904</v>
      </c>
      <c r="AI28" s="207" t="n">
        <f aca="false">IF($A29="","",AH28)</f>
        <v>0.0358883400843904</v>
      </c>
      <c r="AJ28" s="208" t="n">
        <f aca="false">A28+DAY(EOMONTH(A28,0))/2-1</f>
        <v>37605.5</v>
      </c>
      <c r="AK28" s="209" t="n">
        <f aca="false">IF($A29="","",$A28-$E$1)</f>
        <v>-8335</v>
      </c>
      <c r="AL28" s="182" t="e">
        <f aca="false">IF($A29="","",SPRDOPT(P28,X28,AI28,0,AB28,AE28,AF28,AK28,$AJ$2,0))</f>
        <v>#NAME?</v>
      </c>
      <c r="AM28" s="210" t="e">
        <f aca="false">IF($A29="","",MAX(0,O28-W28-AI28))</f>
        <v>#N/A</v>
      </c>
      <c r="AN28" s="211" t="e">
        <f aca="false">IF($A29="","",AL28-AM28)</f>
        <v>#N/A</v>
      </c>
      <c r="AO28" s="137" t="n">
        <f aca="false">IF(A29="","",A29-A28)</f>
        <v>31</v>
      </c>
      <c r="AP28" s="212" t="n">
        <f aca="false">IF(A29="","",CHOOSE(F$3,A29+24,A28))</f>
        <v>37591</v>
      </c>
      <c r="AQ28" s="209" t="n">
        <f aca="false">IF(A29="","",AP28-$E$1)</f>
        <v>-8335</v>
      </c>
      <c r="AR28" s="185" t="n">
        <f aca="false">'ANR OK vs ML7'!AR28</f>
        <v>0.1</v>
      </c>
      <c r="AS28" s="213" t="n">
        <f aca="false">IF(A29="","",1/(1+CHOOSE(F$3,(AR29+($I$3/10000))/2,(AR28+($I$3/10000))/2))^(2*AQ28/365.25))</f>
        <v>9.26998495770576</v>
      </c>
      <c r="AT28" s="137" t="n">
        <f aca="false">IF(A29="","",IF(AND(mthbeg&lt;=A28,mthend&gt;=A28),1,0))</f>
        <v>1</v>
      </c>
      <c r="AU28" s="137" t="n">
        <f aca="false">IF(A29="","",AO28*AT28)</f>
        <v>31</v>
      </c>
      <c r="AW28" s="195" t="e">
        <f aca="false">IF($A29="","",AL28*$E28)</f>
        <v>#NAME?</v>
      </c>
      <c r="AX28" s="195" t="e">
        <f aca="false">IF($A29="","",AM28*$E28)</f>
        <v>#N/A</v>
      </c>
      <c r="AY28" s="195" t="e">
        <f aca="false">IF($A29="","",AN28*$E28)</f>
        <v>#N/A</v>
      </c>
      <c r="BA28" s="195" t="n">
        <f aca="false">IF($A29="","",F28*Summary!$Q$13)</f>
        <v>0</v>
      </c>
      <c r="BC28" s="179" t="e">
        <f aca="false">IF(A29="","",AM28*F28)</f>
        <v>#N/A</v>
      </c>
    </row>
    <row r="29" customFormat="false" ht="12.75" hidden="false" customHeight="false" outlineLevel="0" collapsed="false">
      <c r="A29" s="196" t="n">
        <f aca="false">IF(A28&lt;mthend,EDATE(A28,1),"")</f>
        <v>37622</v>
      </c>
      <c r="B29" s="197" t="n">
        <f aca="false">IF(A29&lt;mthend,B28,"")</f>
        <v>28400</v>
      </c>
      <c r="C29" s="215"/>
      <c r="D29" s="197" t="n">
        <f aca="false">IF(A30&lt;&gt;"",B29+C29,"")</f>
        <v>28400</v>
      </c>
      <c r="E29" s="199" t="n">
        <f aca="false">IF(A30="","",IF(AND(AT29=1,$H$3=1),D29*AO29,IF($H$3=2,D29,"N/A")))</f>
        <v>880400</v>
      </c>
      <c r="F29" s="199" t="n">
        <f aca="false">IF(A30="","",E29*AS29)</f>
        <v>8093982.2690294</v>
      </c>
      <c r="G29" s="200" t="e">
        <f aca="false">IF($A30="","",VLOOKUP($A29,Table,MATCH(G$4,Curves,0)))</f>
        <v>#N/A</v>
      </c>
      <c r="H29" s="201" t="e">
        <f aca="false">IF(A30="","",G29)</f>
        <v>#N/A</v>
      </c>
      <c r="I29" s="202"/>
      <c r="J29" s="200" t="e">
        <f aca="false">IF($A30="","",VLOOKUP($A29,Table,MATCH(J$4,Curves,0)))</f>
        <v>#N/A</v>
      </c>
      <c r="K29" s="201" t="e">
        <f aca="false">IF(A30="","",J29)</f>
        <v>#N/A</v>
      </c>
      <c r="L29" s="185" t="n">
        <v>0</v>
      </c>
      <c r="M29" s="201" t="n">
        <f aca="false">IF(A30="","",L29)</f>
        <v>0</v>
      </c>
      <c r="N29" s="203"/>
      <c r="O29" s="200" t="e">
        <f aca="false">IF(A30="","",L29+J29+G29)</f>
        <v>#N/A</v>
      </c>
      <c r="P29" s="200" t="e">
        <f aca="false">IF(A30="","",M29+K29+H29)</f>
        <v>#N/A</v>
      </c>
      <c r="Q29" s="204"/>
      <c r="R29" s="200" t="e">
        <f aca="false">IF($A30="","",VLOOKUP($A29,Table,MATCH(R$4,Curves,0)))</f>
        <v>#N/A</v>
      </c>
      <c r="S29" s="201" t="e">
        <f aca="false">IF(A30="","",R29)</f>
        <v>#N/A</v>
      </c>
      <c r="T29" s="185" t="n">
        <v>0</v>
      </c>
      <c r="U29" s="201" t="n">
        <f aca="false">IF(A30="","",T29)</f>
        <v>0</v>
      </c>
      <c r="V29" s="205" t="e">
        <f aca="false">(G29+R29)/(1-Summary!$T$13)*Summary!$T$13</f>
        <v>#N/A</v>
      </c>
      <c r="W29" s="202" t="e">
        <f aca="false">IF($A30="","",(T29+R29+G29+V29))</f>
        <v>#N/A</v>
      </c>
      <c r="X29" s="202" t="e">
        <f aca="false">IF($A30="","",(U29+S29+H29+V29))</f>
        <v>#N/A</v>
      </c>
      <c r="Y29" s="202"/>
      <c r="Z29" s="185" t="e">
        <f aca="false">IF($A30="","",VLOOKUP($A29,Table,MATCH(Z$4,Curves,0)))</f>
        <v>#N/A</v>
      </c>
      <c r="AA29" s="185" t="e">
        <f aca="false">IF($A30="","",VLOOKUP($A29,Table,MATCH(AA$4,Curves,0)))</f>
        <v>#N/A</v>
      </c>
      <c r="AB29" s="185" t="e">
        <f aca="false">SQRT((AA29^2*(A29-$D$3)+Z29^2*(DAY(EOMONTH(A29,0))/2))/AK29)</f>
        <v>#N/A</v>
      </c>
      <c r="AC29" s="185" t="e">
        <f aca="false">IF($A30="","",VLOOKUP($A29,Table,MATCH(AC$4,Curves,0)))</f>
        <v>#N/A</v>
      </c>
      <c r="AD29" s="185" t="e">
        <f aca="false">IF($A30="","",VLOOKUP($A29,Table,MATCH(AD$4,Curves,0)))</f>
        <v>#N/A</v>
      </c>
      <c r="AE29" s="185" t="e">
        <f aca="false">SQRT((AD29^2*(A29-$D$3)+AC29^2*(DAY(EOMONTH(A29,0))/2))/AK29)</f>
        <v>#N/A</v>
      </c>
      <c r="AF29" s="224" t="e">
        <f aca="false">((Summary!$N$13*(AA29*AD29)*(A29-$D$3))+(Summary!$M$13*Z29*AC29*(AJ29-EOMONTH(EDATE(A29,-1),0))))/(AK29*AB29*AE29)</f>
        <v>#N/A</v>
      </c>
      <c r="AG29" s="207" t="n">
        <f aca="false">IF($A30="","",Summary!$Q$13)</f>
        <v>0</v>
      </c>
      <c r="AH29" s="207" t="n">
        <f aca="false">IF($A30="","",IF(Summary!$R$12="Y",(VLOOKUP($A29,Summary!$AD$6:$AF$9,3)+'Escalating commodity'!I42),'Escalating commodity'!I42))</f>
        <v>0.0466548421097075</v>
      </c>
      <c r="AI29" s="207" t="n">
        <f aca="false">IF($A30="","",AH29)</f>
        <v>0.0466548421097075</v>
      </c>
      <c r="AJ29" s="208" t="n">
        <f aca="false">A29+DAY(EOMONTH(A29,0))/2-1</f>
        <v>37636.5</v>
      </c>
      <c r="AK29" s="209" t="n">
        <f aca="false">IF($A30="","",$A29-$E$1)</f>
        <v>-8304</v>
      </c>
      <c r="AL29" s="182" t="e">
        <f aca="false">IF($A30="","",SPRDOPT(P29,X29,AI29,0,AB29,AE29,AF29,AK29,$AJ$2,0))</f>
        <v>#NAME?</v>
      </c>
      <c r="AM29" s="210" t="e">
        <f aca="false">IF($A30="","",MAX(0,O29-W29-AI29))</f>
        <v>#N/A</v>
      </c>
      <c r="AN29" s="211" t="e">
        <f aca="false">IF($A30="","",AL29-AM29)</f>
        <v>#N/A</v>
      </c>
      <c r="AO29" s="137" t="n">
        <f aca="false">IF(A30="","",A30-A29)</f>
        <v>31</v>
      </c>
      <c r="AP29" s="212" t="n">
        <f aca="false">IF(A30="","",CHOOSE(F$3,A30+24,A29))</f>
        <v>37622</v>
      </c>
      <c r="AQ29" s="209" t="n">
        <f aca="false">IF(A30="","",AP29-$E$1)</f>
        <v>-8304</v>
      </c>
      <c r="AR29" s="185" t="n">
        <f aca="false">'ANR OK vs ML7'!AR29</f>
        <v>0.1</v>
      </c>
      <c r="AS29" s="213" t="n">
        <f aca="false">IF(A30="","",1/(1+CHOOSE(F$3,(AR30+($I$3/10000))/2,(AR29+($I$3/10000))/2))^(2*AQ29/365.25))</f>
        <v>9.19352824742094</v>
      </c>
      <c r="AT29" s="137" t="n">
        <f aca="false">IF(A30="","",IF(AND(mthbeg&lt;=A29,mthend&gt;=A29),1,0))</f>
        <v>1</v>
      </c>
      <c r="AU29" s="137" t="n">
        <f aca="false">IF(A30="","",AO29*AT29)</f>
        <v>31</v>
      </c>
      <c r="AW29" s="195" t="e">
        <f aca="false">IF($A30="","",AL29*$E29)</f>
        <v>#NAME?</v>
      </c>
      <c r="AX29" s="195" t="e">
        <f aca="false">IF($A30="","",AM29*$E29)</f>
        <v>#N/A</v>
      </c>
      <c r="AY29" s="195" t="e">
        <f aca="false">IF($A30="","",AN29*$E29)</f>
        <v>#N/A</v>
      </c>
      <c r="BA29" s="195" t="n">
        <f aca="false">IF($A30="","",F29*Summary!$Q$13)</f>
        <v>0</v>
      </c>
      <c r="BC29" s="179" t="e">
        <f aca="false">IF(A30="","",AM29*F29)</f>
        <v>#N/A</v>
      </c>
    </row>
    <row r="30" customFormat="false" ht="12.75" hidden="false" customHeight="false" outlineLevel="0" collapsed="false">
      <c r="A30" s="196" t="n">
        <f aca="false">IF(A29&lt;mthend,EDATE(A29,1),"")</f>
        <v>37653</v>
      </c>
      <c r="B30" s="197" t="n">
        <f aca="false">IF(A30&lt;mthend,B29,"")</f>
        <v>28400</v>
      </c>
      <c r="C30" s="215"/>
      <c r="D30" s="197" t="n">
        <f aca="false">IF(A31&lt;&gt;"",B30+C30,"")</f>
        <v>28400</v>
      </c>
      <c r="E30" s="199" t="n">
        <f aca="false">IF(A31="","",IF(AND(AT30=1,$H$3=1),D30*AO30,IF($H$3=2,D30,"N/A")))</f>
        <v>795200</v>
      </c>
      <c r="F30" s="199" t="n">
        <f aca="false">IF(A31="","",E30*AS30)</f>
        <v>7250396.73739472</v>
      </c>
      <c r="G30" s="200" t="e">
        <f aca="false">IF($A31="","",VLOOKUP($A30,Table,MATCH(G$4,Curves,0)))</f>
        <v>#N/A</v>
      </c>
      <c r="H30" s="201" t="e">
        <f aca="false">IF(A31="","",G30)</f>
        <v>#N/A</v>
      </c>
      <c r="I30" s="202"/>
      <c r="J30" s="200" t="e">
        <f aca="false">IF($A31="","",VLOOKUP($A30,Table,MATCH(J$4,Curves,0)))</f>
        <v>#N/A</v>
      </c>
      <c r="K30" s="201" t="e">
        <f aca="false">IF(A31="","",J30)</f>
        <v>#N/A</v>
      </c>
      <c r="L30" s="185" t="n">
        <v>0</v>
      </c>
      <c r="M30" s="201" t="n">
        <f aca="false">IF(A31="","",L30)</f>
        <v>0</v>
      </c>
      <c r="N30" s="203"/>
      <c r="O30" s="200" t="e">
        <f aca="false">IF(A31="","",L30+J30+G30)</f>
        <v>#N/A</v>
      </c>
      <c r="P30" s="200" t="e">
        <f aca="false">IF(A31="","",M30+K30+H30)</f>
        <v>#N/A</v>
      </c>
      <c r="Q30" s="204"/>
      <c r="R30" s="200" t="e">
        <f aca="false">IF($A31="","",VLOOKUP($A30,Table,MATCH(R$4,Curves,0)))</f>
        <v>#N/A</v>
      </c>
      <c r="S30" s="201" t="e">
        <f aca="false">IF(A31="","",R30)</f>
        <v>#N/A</v>
      </c>
      <c r="T30" s="185" t="n">
        <v>0</v>
      </c>
      <c r="U30" s="201" t="n">
        <f aca="false">IF(A31="","",T30)</f>
        <v>0</v>
      </c>
      <c r="V30" s="205" t="e">
        <f aca="false">(G30+R30)/(1-Summary!$T$13)*Summary!$T$13</f>
        <v>#N/A</v>
      </c>
      <c r="W30" s="202" t="e">
        <f aca="false">IF($A31="","",(T30+R30+G30+V30))</f>
        <v>#N/A</v>
      </c>
      <c r="X30" s="202" t="e">
        <f aca="false">IF($A31="","",(U30+S30+H30+V30))</f>
        <v>#N/A</v>
      </c>
      <c r="Y30" s="202"/>
      <c r="Z30" s="185" t="e">
        <f aca="false">IF($A31="","",VLOOKUP($A30,Table,MATCH(Z$4,Curves,0)))</f>
        <v>#N/A</v>
      </c>
      <c r="AA30" s="185" t="e">
        <f aca="false">IF($A31="","",VLOOKUP($A30,Table,MATCH(AA$4,Curves,0)))</f>
        <v>#N/A</v>
      </c>
      <c r="AB30" s="185" t="e">
        <f aca="false">SQRT((AA30^2*(A30-$D$3)+Z30^2*(DAY(EOMONTH(A30,0))/2))/AK30)</f>
        <v>#N/A</v>
      </c>
      <c r="AC30" s="185" t="e">
        <f aca="false">IF($A31="","",VLOOKUP($A30,Table,MATCH(AC$4,Curves,0)))</f>
        <v>#N/A</v>
      </c>
      <c r="AD30" s="185" t="e">
        <f aca="false">IF($A31="","",VLOOKUP($A30,Table,MATCH(AD$4,Curves,0)))</f>
        <v>#N/A</v>
      </c>
      <c r="AE30" s="185" t="e">
        <f aca="false">SQRT((AD30^2*(A30-$D$3)+AC30^2*(DAY(EOMONTH(A30,0))/2))/AK30)</f>
        <v>#N/A</v>
      </c>
      <c r="AF30" s="224" t="e">
        <f aca="false">((Summary!$N$13*(AA30*AD30)*(A30-$D$3))+(Summary!$M$13*Z30*AC30*(AJ30-EOMONTH(EDATE(A30,-1),0))))/(AK30*AB30*AE30)</f>
        <v>#N/A</v>
      </c>
      <c r="AG30" s="207" t="n">
        <f aca="false">IF($A31="","",Summary!$Q$13)</f>
        <v>0</v>
      </c>
      <c r="AH30" s="207" t="n">
        <f aca="false">IF($A31="","",IF(Summary!$R$12="Y",(VLOOKUP($A30,Summary!$AD$6:$AF$9,3)+'Escalating commodity'!I43),'Escalating commodity'!I43))</f>
        <v>0.0466548421097075</v>
      </c>
      <c r="AI30" s="207" t="n">
        <f aca="false">IF($A31="","",AH30)</f>
        <v>0.0466548421097075</v>
      </c>
      <c r="AJ30" s="208" t="n">
        <f aca="false">A30+DAY(EOMONTH(A30,0))/2-1</f>
        <v>37666</v>
      </c>
      <c r="AK30" s="209" t="n">
        <f aca="false">IF($A31="","",$A30-$E$1)</f>
        <v>-8273</v>
      </c>
      <c r="AL30" s="182" t="e">
        <f aca="false">IF($A31="","",SPRDOPT(P30,X30,AI30,0,AB30,AE30,AF30,AK30,$AJ$2,0))</f>
        <v>#NAME?</v>
      </c>
      <c r="AM30" s="210" t="e">
        <f aca="false">IF($A31="","",MAX(0,O30-W30-AI30))</f>
        <v>#N/A</v>
      </c>
      <c r="AN30" s="211" t="e">
        <f aca="false">IF($A31="","",AL30-AM30)</f>
        <v>#N/A</v>
      </c>
      <c r="AO30" s="137" t="n">
        <f aca="false">IF(A31="","",A31-A30)</f>
        <v>28</v>
      </c>
      <c r="AP30" s="212" t="n">
        <f aca="false">IF(A31="","",CHOOSE(F$3,A31+24,A30))</f>
        <v>37653</v>
      </c>
      <c r="AQ30" s="209" t="n">
        <f aca="false">IF(A31="","",AP30-$E$1)</f>
        <v>-8273</v>
      </c>
      <c r="AR30" s="185" t="n">
        <f aca="false">'ANR OK vs ML7'!AR30</f>
        <v>0.1</v>
      </c>
      <c r="AS30" s="213" t="n">
        <f aca="false">IF(A31="","",1/(1+CHOOSE(F$3,(AR31+($I$3/10000))/2,(AR30+($I$3/10000))/2))^(2*AQ30/365.25))</f>
        <v>9.11770213455071</v>
      </c>
      <c r="AT30" s="137" t="n">
        <f aca="false">IF(A31="","",IF(AND(mthbeg&lt;=A30,mthend&gt;=A30),1,0))</f>
        <v>1</v>
      </c>
      <c r="AU30" s="137" t="n">
        <f aca="false">IF(A31="","",AO30*AT30)</f>
        <v>28</v>
      </c>
      <c r="AW30" s="195" t="e">
        <f aca="false">IF($A31="","",AL30*$E30)</f>
        <v>#NAME?</v>
      </c>
      <c r="AX30" s="195" t="e">
        <f aca="false">IF($A31="","",AM30*$E30)</f>
        <v>#N/A</v>
      </c>
      <c r="AY30" s="195" t="e">
        <f aca="false">IF($A31="","",AN30*$E30)</f>
        <v>#N/A</v>
      </c>
      <c r="BA30" s="195" t="n">
        <f aca="false">IF($A31="","",F30*Summary!$Q$13)</f>
        <v>0</v>
      </c>
      <c r="BC30" s="179" t="e">
        <f aca="false">IF(A31="","",AM30*F30)</f>
        <v>#N/A</v>
      </c>
    </row>
    <row r="31" customFormat="false" ht="12.75" hidden="false" customHeight="false" outlineLevel="0" collapsed="false">
      <c r="A31" s="196" t="n">
        <f aca="false">IF(A30&lt;mthend,EDATE(A30,1),"")</f>
        <v>37681</v>
      </c>
      <c r="B31" s="197" t="n">
        <f aca="false">IF(A31&lt;mthend,B30,"")</f>
        <v>28400</v>
      </c>
      <c r="C31" s="215"/>
      <c r="D31" s="197" t="n">
        <f aca="false">IF(A32&lt;&gt;"",B31+C31,"")</f>
        <v>28400</v>
      </c>
      <c r="E31" s="199" t="n">
        <f aca="false">IF(A32="","",IF(AND(AT31=1,$H$3=1),D31*AO31,IF($H$3=2,D31,"N/A")))</f>
        <v>880400</v>
      </c>
      <c r="F31" s="199" t="n">
        <f aca="false">IF(A32="","",E31*AS31)</f>
        <v>7967401.41207318</v>
      </c>
      <c r="G31" s="200" t="e">
        <f aca="false">IF($A32="","",VLOOKUP($A31,Table,MATCH(G$4,Curves,0)))</f>
        <v>#N/A</v>
      </c>
      <c r="H31" s="201" t="e">
        <f aca="false">IF(A32="","",G31)</f>
        <v>#N/A</v>
      </c>
      <c r="I31" s="202"/>
      <c r="J31" s="200" t="e">
        <f aca="false">IF($A32="","",VLOOKUP($A31,Table,MATCH(J$4,Curves,0)))</f>
        <v>#N/A</v>
      </c>
      <c r="K31" s="201" t="e">
        <f aca="false">IF(A32="","",J31)</f>
        <v>#N/A</v>
      </c>
      <c r="L31" s="185" t="n">
        <v>0</v>
      </c>
      <c r="M31" s="201" t="n">
        <f aca="false">IF(A32="","",L31)</f>
        <v>0</v>
      </c>
      <c r="N31" s="203"/>
      <c r="O31" s="200" t="e">
        <f aca="false">IF(A32="","",L31+J31+G31)</f>
        <v>#N/A</v>
      </c>
      <c r="P31" s="200" t="e">
        <f aca="false">IF(A32="","",M31+K31+H31)</f>
        <v>#N/A</v>
      </c>
      <c r="Q31" s="204"/>
      <c r="R31" s="200" t="e">
        <f aca="false">IF($A32="","",VLOOKUP($A31,Table,MATCH(R$4,Curves,0)))</f>
        <v>#N/A</v>
      </c>
      <c r="S31" s="201" t="e">
        <f aca="false">IF(A32="","",R31)</f>
        <v>#N/A</v>
      </c>
      <c r="T31" s="185" t="n">
        <v>0</v>
      </c>
      <c r="U31" s="201" t="n">
        <f aca="false">IF(A32="","",T31)</f>
        <v>0</v>
      </c>
      <c r="V31" s="205" t="e">
        <f aca="false">(G31+R31)/(1-Summary!$T$13)*Summary!$T$13</f>
        <v>#N/A</v>
      </c>
      <c r="W31" s="202" t="e">
        <f aca="false">IF($A32="","",(T31+R31+G31+V31))</f>
        <v>#N/A</v>
      </c>
      <c r="X31" s="202" t="e">
        <f aca="false">IF($A32="","",(U31+S31+H31+V31))</f>
        <v>#N/A</v>
      </c>
      <c r="Y31" s="202"/>
      <c r="Z31" s="185" t="e">
        <f aca="false">IF($A32="","",VLOOKUP($A31,Table,MATCH(Z$4,Curves,0)))</f>
        <v>#N/A</v>
      </c>
      <c r="AA31" s="185" t="e">
        <f aca="false">IF($A32="","",VLOOKUP($A31,Table,MATCH(AA$4,Curves,0)))</f>
        <v>#N/A</v>
      </c>
      <c r="AB31" s="185" t="e">
        <f aca="false">SQRT((AA31^2*(A31-$D$3)+Z31^2*(DAY(EOMONTH(A31,0))/2))/AK31)</f>
        <v>#N/A</v>
      </c>
      <c r="AC31" s="185" t="e">
        <f aca="false">IF($A32="","",VLOOKUP($A31,Table,MATCH(AC$4,Curves,0)))</f>
        <v>#N/A</v>
      </c>
      <c r="AD31" s="185" t="e">
        <f aca="false">IF($A32="","",VLOOKUP($A31,Table,MATCH(AD$4,Curves,0)))</f>
        <v>#N/A</v>
      </c>
      <c r="AE31" s="185" t="e">
        <f aca="false">SQRT((AD31^2*(A31-$D$3)+AC31^2*(DAY(EOMONTH(A31,0))/2))/AK31)</f>
        <v>#N/A</v>
      </c>
      <c r="AF31" s="224" t="e">
        <f aca="false">((Summary!$N$13*(AA31*AD31)*(A31-$D$3))+(Summary!$M$13*Z31*AC31*(AJ31-EOMONTH(EDATE(A31,-1),0))))/(AK31*AB31*AE31)</f>
        <v>#N/A</v>
      </c>
      <c r="AG31" s="207" t="n">
        <f aca="false">IF($A32="","",Summary!$Q$13)</f>
        <v>0</v>
      </c>
      <c r="AH31" s="207" t="n">
        <f aca="false">IF($A32="","",IF(Summary!$R$12="Y",(VLOOKUP($A31,Summary!$AD$6:$AF$9,3)+'Escalating commodity'!I44),'Escalating commodity'!I44))</f>
        <v>0.0466548421097075</v>
      </c>
      <c r="AI31" s="207" t="n">
        <f aca="false">IF($A32="","",AH31)</f>
        <v>0.0466548421097075</v>
      </c>
      <c r="AJ31" s="208" t="n">
        <f aca="false">A31+DAY(EOMONTH(A31,0))/2-1</f>
        <v>37695.5</v>
      </c>
      <c r="AK31" s="209" t="n">
        <f aca="false">IF($A32="","",$A31-$E$1)</f>
        <v>-8245</v>
      </c>
      <c r="AL31" s="182" t="e">
        <f aca="false">IF($A32="","",SPRDOPT(P31,X31,AI31,0,AB31,AE31,AF31,AK31,$AJ$2,0))</f>
        <v>#NAME?</v>
      </c>
      <c r="AM31" s="210" t="e">
        <f aca="false">IF($A32="","",MAX(0,O31-W31-AI31))</f>
        <v>#N/A</v>
      </c>
      <c r="AN31" s="211" t="e">
        <f aca="false">IF($A32="","",AL31-AM31)</f>
        <v>#N/A</v>
      </c>
      <c r="AO31" s="137" t="n">
        <f aca="false">IF(A32="","",A32-A31)</f>
        <v>31</v>
      </c>
      <c r="AP31" s="212" t="n">
        <f aca="false">IF(A32="","",CHOOSE(F$3,A32+24,A31))</f>
        <v>37681</v>
      </c>
      <c r="AQ31" s="209" t="n">
        <f aca="false">IF(A32="","",AP31-$E$1)</f>
        <v>-8245</v>
      </c>
      <c r="AR31" s="185" t="n">
        <f aca="false">'ANR OK vs ML7'!AR31</f>
        <v>0.1</v>
      </c>
      <c r="AS31" s="213" t="n">
        <f aca="false">IF(A32="","",1/(1+CHOOSE(F$3,(AR32+($I$3/10000))/2,(AR31+($I$3/10000))/2))^(2*AQ31/365.25))</f>
        <v>9.0497517174843</v>
      </c>
      <c r="AT31" s="137" t="n">
        <f aca="false">IF(A32="","",IF(AND(mthbeg&lt;=A31,mthend&gt;=A31),1,0))</f>
        <v>1</v>
      </c>
      <c r="AU31" s="137" t="n">
        <f aca="false">IF(A32="","",AO31*AT31)</f>
        <v>31</v>
      </c>
      <c r="AW31" s="195" t="e">
        <f aca="false">IF($A32="","",AL31*$E31)</f>
        <v>#NAME?</v>
      </c>
      <c r="AX31" s="195" t="e">
        <f aca="false">IF($A32="","",AM31*$E31)</f>
        <v>#N/A</v>
      </c>
      <c r="AY31" s="195" t="e">
        <f aca="false">IF($A32="","",AN31*$E31)</f>
        <v>#N/A</v>
      </c>
      <c r="BA31" s="195" t="n">
        <f aca="false">IF($A32="","",F31*Summary!$Q$13)</f>
        <v>0</v>
      </c>
      <c r="BC31" s="179" t="e">
        <f aca="false">IF(A32="","",AM31*F31)</f>
        <v>#N/A</v>
      </c>
    </row>
    <row r="32" customFormat="false" ht="12.75" hidden="false" customHeight="false" outlineLevel="0" collapsed="false">
      <c r="A32" s="196" t="n">
        <f aca="false">IF(A31&lt;mthend,EDATE(A31,1),"")</f>
        <v>37712</v>
      </c>
      <c r="B32" s="197" t="n">
        <f aca="false">IF(A32&lt;mthend,B31,"")</f>
        <v>28400</v>
      </c>
      <c r="C32" s="215"/>
      <c r="D32" s="197" t="n">
        <f aca="false">IF(A33&lt;&gt;"",B32+C32,"")</f>
        <v>28400</v>
      </c>
      <c r="E32" s="199" t="n">
        <f aca="false">IF(A33="","",IF(AND(AT32=1,$H$3=1),D32*AO32,IF($H$3=2,D32,"N/A")))</f>
        <v>852000</v>
      </c>
      <c r="F32" s="199" t="n">
        <f aca="false">IF(A33="","",E32*AS32)</f>
        <v>7646794.94727569</v>
      </c>
      <c r="G32" s="200" t="e">
        <f aca="false">IF($A33="","",VLOOKUP($A32,Table,MATCH(G$4,Curves,0)))</f>
        <v>#N/A</v>
      </c>
      <c r="H32" s="201" t="e">
        <f aca="false">IF(A33="","",G32)</f>
        <v>#N/A</v>
      </c>
      <c r="I32" s="202"/>
      <c r="J32" s="200" t="e">
        <f aca="false">IF($A33="","",VLOOKUP($A32,Table,MATCH(J$4,Curves,0)))</f>
        <v>#N/A</v>
      </c>
      <c r="K32" s="201" t="e">
        <f aca="false">IF(A33="","",J32)</f>
        <v>#N/A</v>
      </c>
      <c r="L32" s="185" t="n">
        <v>0</v>
      </c>
      <c r="M32" s="201" t="n">
        <f aca="false">IF(A33="","",L32)</f>
        <v>0</v>
      </c>
      <c r="N32" s="203"/>
      <c r="O32" s="200" t="e">
        <f aca="false">IF(A33="","",L32+J32+G32)</f>
        <v>#N/A</v>
      </c>
      <c r="P32" s="200" t="e">
        <f aca="false">IF(A33="","",M32+K32+H32)</f>
        <v>#N/A</v>
      </c>
      <c r="Q32" s="204"/>
      <c r="R32" s="200" t="e">
        <f aca="false">IF($A33="","",VLOOKUP($A32,Table,MATCH(R$4,Curves,0)))</f>
        <v>#N/A</v>
      </c>
      <c r="S32" s="201" t="e">
        <f aca="false">IF(A33="","",R32)</f>
        <v>#N/A</v>
      </c>
      <c r="T32" s="185" t="n">
        <v>0</v>
      </c>
      <c r="U32" s="201" t="n">
        <f aca="false">IF(A33="","",T32)</f>
        <v>0</v>
      </c>
      <c r="V32" s="205" t="e">
        <f aca="false">(G32+R32)/(1-Summary!$T$13)*Summary!$T$13</f>
        <v>#N/A</v>
      </c>
      <c r="W32" s="202" t="e">
        <f aca="false">IF($A33="","",(T32+R32+G32+V32))</f>
        <v>#N/A</v>
      </c>
      <c r="X32" s="202" t="e">
        <f aca="false">IF($A33="","",(U32+S32+H32+V32))</f>
        <v>#N/A</v>
      </c>
      <c r="Y32" s="202"/>
      <c r="Z32" s="185" t="e">
        <f aca="false">IF($A33="","",VLOOKUP($A32,Table,MATCH(Z$4,Curves,0)))</f>
        <v>#N/A</v>
      </c>
      <c r="AA32" s="185" t="e">
        <f aca="false">IF($A33="","",VLOOKUP($A32,Table,MATCH(AA$4,Curves,0)))</f>
        <v>#N/A</v>
      </c>
      <c r="AB32" s="185" t="e">
        <f aca="false">SQRT((AA32^2*(A32-$D$3)+Z32^2*(DAY(EOMONTH(A32,0))/2))/AK32)</f>
        <v>#N/A</v>
      </c>
      <c r="AC32" s="185" t="e">
        <f aca="false">IF($A33="","",VLOOKUP($A32,Table,MATCH(AC$4,Curves,0)))</f>
        <v>#N/A</v>
      </c>
      <c r="AD32" s="185" t="e">
        <f aca="false">IF($A33="","",VLOOKUP($A32,Table,MATCH(AD$4,Curves,0)))</f>
        <v>#N/A</v>
      </c>
      <c r="AE32" s="185" t="e">
        <f aca="false">SQRT((AD32^2*(A32-$D$3)+AC32^2*(DAY(EOMONTH(A32,0))/2))/AK32)</f>
        <v>#N/A</v>
      </c>
      <c r="AF32" s="224" t="e">
        <f aca="false">((Summary!$N$13*(AA32*AD32)*(A32-$D$3))+(Summary!$M$13*Z32*AC32*(AJ32-EOMONTH(EDATE(A32,-1),0))))/(AK32*AB32*AE32)</f>
        <v>#N/A</v>
      </c>
      <c r="AG32" s="207" t="n">
        <f aca="false">IF($A33="","",Summary!$Q$13)</f>
        <v>0</v>
      </c>
      <c r="AH32" s="207" t="n">
        <f aca="false">IF($A33="","",IF(Summary!$R$12="Y",(VLOOKUP($A32,Summary!$AD$6:$AF$9,3)+'Escalating commodity'!I45),'Escalating commodity'!I45))</f>
        <v>0.0466548421097075</v>
      </c>
      <c r="AI32" s="207" t="n">
        <f aca="false">IF($A33="","",AH32)</f>
        <v>0.0466548421097075</v>
      </c>
      <c r="AJ32" s="208" t="n">
        <f aca="false">A32+DAY(EOMONTH(A32,0))/2-1</f>
        <v>37726</v>
      </c>
      <c r="AK32" s="209" t="n">
        <f aca="false">IF($A33="","",$A32-$E$1)</f>
        <v>-8214</v>
      </c>
      <c r="AL32" s="182" t="e">
        <f aca="false">IF($A33="","",SPRDOPT(P32,X32,AI32,0,AB32,AE32,AF32,AK32,$AJ$2,0))</f>
        <v>#NAME?</v>
      </c>
      <c r="AM32" s="210" t="e">
        <f aca="false">IF($A33="","",MAX(0,O32-W32-AI32))</f>
        <v>#N/A</v>
      </c>
      <c r="AN32" s="211" t="e">
        <f aca="false">IF($A33="","",AL32-AM32)</f>
        <v>#N/A</v>
      </c>
      <c r="AO32" s="137" t="n">
        <f aca="false">IF(A33="","",A33-A32)</f>
        <v>30</v>
      </c>
      <c r="AP32" s="212" t="n">
        <f aca="false">IF(A33="","",CHOOSE(F$3,A33+24,A32))</f>
        <v>37712</v>
      </c>
      <c r="AQ32" s="209" t="n">
        <f aca="false">IF(A33="","",AP32-$E$1)</f>
        <v>-8214</v>
      </c>
      <c r="AR32" s="185" t="n">
        <f aca="false">'ANR OK vs ML7'!AR32</f>
        <v>0.1</v>
      </c>
      <c r="AS32" s="213" t="n">
        <f aca="false">IF(A33="","",1/(1+CHOOSE(F$3,(AR33+($I$3/10000))/2,(AR32+($I$3/10000))/2))^(2*AQ32/365.25))</f>
        <v>8.97511144046442</v>
      </c>
      <c r="AT32" s="137" t="n">
        <f aca="false">IF(A33="","",IF(AND(mthbeg&lt;=A32,mthend&gt;=A32),1,0))</f>
        <v>1</v>
      </c>
      <c r="AU32" s="137" t="n">
        <f aca="false">IF(A33="","",AO32*AT32)</f>
        <v>30</v>
      </c>
      <c r="AW32" s="195" t="e">
        <f aca="false">IF($A33="","",AL32*$E32)</f>
        <v>#NAME?</v>
      </c>
      <c r="AX32" s="195" t="e">
        <f aca="false">IF($A33="","",AM32*$E32)</f>
        <v>#N/A</v>
      </c>
      <c r="AY32" s="195" t="e">
        <f aca="false">IF($A33="","",AN32*$E32)</f>
        <v>#N/A</v>
      </c>
      <c r="BA32" s="195" t="n">
        <f aca="false">IF($A33="","",F32*Summary!$Q$13)</f>
        <v>0</v>
      </c>
      <c r="BC32" s="179" t="e">
        <f aca="false">IF(A33="","",AM32*F32)</f>
        <v>#N/A</v>
      </c>
    </row>
    <row r="33" customFormat="false" ht="12.75" hidden="false" customHeight="false" outlineLevel="0" collapsed="false">
      <c r="A33" s="196" t="n">
        <f aca="false">IF(A32&lt;mthend,EDATE(A32,1),"")</f>
        <v>37742</v>
      </c>
      <c r="B33" s="197" t="n">
        <f aca="false">IF(A33&lt;mthend,B32,"")</f>
        <v>28400</v>
      </c>
      <c r="C33" s="215"/>
      <c r="D33" s="197" t="n">
        <f aca="false">IF(A34&lt;&gt;"",B33+C33,"")</f>
        <v>28400</v>
      </c>
      <c r="E33" s="199" t="n">
        <f aca="false">IF(A34="","",IF(AND(AT33=1,$H$3=1),D33*AO33,IF($H$3=2,D33,"N/A")))</f>
        <v>880400</v>
      </c>
      <c r="F33" s="199" t="n">
        <f aca="false">IF(A34="","",E33*AS33)</f>
        <v>7838610.68701154</v>
      </c>
      <c r="G33" s="200" t="e">
        <f aca="false">IF($A34="","",VLOOKUP($A33,Table,MATCH(G$4,Curves,0)))</f>
        <v>#N/A</v>
      </c>
      <c r="H33" s="201" t="e">
        <f aca="false">IF(A34="","",G33)</f>
        <v>#N/A</v>
      </c>
      <c r="I33" s="202"/>
      <c r="J33" s="200" t="e">
        <f aca="false">IF($A34="","",VLOOKUP($A33,Table,MATCH(J$4,Curves,0)))</f>
        <v>#N/A</v>
      </c>
      <c r="K33" s="201" t="e">
        <f aca="false">IF(A34="","",J33)</f>
        <v>#N/A</v>
      </c>
      <c r="L33" s="185" t="n">
        <v>0</v>
      </c>
      <c r="M33" s="201" t="n">
        <f aca="false">IF(A34="","",L33)</f>
        <v>0</v>
      </c>
      <c r="N33" s="203"/>
      <c r="O33" s="200" t="e">
        <f aca="false">IF(A34="","",L33+J33+G33)</f>
        <v>#N/A</v>
      </c>
      <c r="P33" s="200" t="e">
        <f aca="false">IF(A34="","",M33+K33+H33)</f>
        <v>#N/A</v>
      </c>
      <c r="Q33" s="204"/>
      <c r="R33" s="200" t="e">
        <f aca="false">IF($A34="","",VLOOKUP($A33,Table,MATCH(R$4,Curves,0)))</f>
        <v>#N/A</v>
      </c>
      <c r="S33" s="201" t="e">
        <f aca="false">IF(A34="","",R33)</f>
        <v>#N/A</v>
      </c>
      <c r="T33" s="185" t="n">
        <v>0</v>
      </c>
      <c r="U33" s="201" t="n">
        <f aca="false">IF(A34="","",T33)</f>
        <v>0</v>
      </c>
      <c r="V33" s="205" t="e">
        <f aca="false">(G33+R33)/(1-Summary!$T$13)*Summary!$T$13</f>
        <v>#N/A</v>
      </c>
      <c r="W33" s="202" t="e">
        <f aca="false">IF($A34="","",(T33+R33+G33+V33))</f>
        <v>#N/A</v>
      </c>
      <c r="X33" s="202" t="e">
        <f aca="false">IF($A34="","",(U33+S33+H33+V33))</f>
        <v>#N/A</v>
      </c>
      <c r="Y33" s="202"/>
      <c r="Z33" s="185" t="e">
        <f aca="false">IF($A34="","",VLOOKUP($A33,Table,MATCH(Z$4,Curves,0)))</f>
        <v>#N/A</v>
      </c>
      <c r="AA33" s="185" t="e">
        <f aca="false">IF($A34="","",VLOOKUP($A33,Table,MATCH(AA$4,Curves,0)))</f>
        <v>#N/A</v>
      </c>
      <c r="AB33" s="185" t="e">
        <f aca="false">SQRT((AA33^2*(A33-$D$3)+Z33^2*(DAY(EOMONTH(A33,0))/2))/AK33)</f>
        <v>#N/A</v>
      </c>
      <c r="AC33" s="185" t="e">
        <f aca="false">IF($A34="","",VLOOKUP($A33,Table,MATCH(AC$4,Curves,0)))</f>
        <v>#N/A</v>
      </c>
      <c r="AD33" s="185" t="e">
        <f aca="false">IF($A34="","",VLOOKUP($A33,Table,MATCH(AD$4,Curves,0)))</f>
        <v>#N/A</v>
      </c>
      <c r="AE33" s="185" t="e">
        <f aca="false">SQRT((AD33^2*(A33-$D$3)+AC33^2*(DAY(EOMONTH(A33,0))/2))/AK33)</f>
        <v>#N/A</v>
      </c>
      <c r="AF33" s="224" t="e">
        <f aca="false">((Summary!$N$13*(AA33*AD33)*(A33-$D$3))+(Summary!$M$13*Z33*AC33*(AJ33-EOMONTH(EDATE(A33,-1),0))))/(AK33*AB33*AE33)</f>
        <v>#N/A</v>
      </c>
      <c r="AG33" s="207" t="n">
        <f aca="false">IF($A34="","",Summary!$Q$13)</f>
        <v>0</v>
      </c>
      <c r="AH33" s="207" t="n">
        <f aca="false">IF($A34="","",IF(Summary!$R$12="Y",(VLOOKUP($A33,Summary!$AD$6:$AF$9,3)+'Escalating commodity'!I46),'Escalating commodity'!I46))</f>
        <v>0.0466548421097075</v>
      </c>
      <c r="AI33" s="207" t="n">
        <f aca="false">IF($A34="","",AH33)</f>
        <v>0.0466548421097075</v>
      </c>
      <c r="AJ33" s="208" t="n">
        <f aca="false">A33+DAY(EOMONTH(A33,0))/2-1</f>
        <v>37756.5</v>
      </c>
      <c r="AK33" s="209" t="n">
        <f aca="false">IF($A34="","",$A33-$E$1)</f>
        <v>-8184</v>
      </c>
      <c r="AL33" s="182" t="e">
        <f aca="false">IF($A34="","",SPRDOPT(P33,X33,AI33,0,AB33,AE33,AF33,AK33,$AJ$2,0))</f>
        <v>#NAME?</v>
      </c>
      <c r="AM33" s="210" t="e">
        <f aca="false">IF($A34="","",MAX(0,O33-W33-AI33))</f>
        <v>#N/A</v>
      </c>
      <c r="AN33" s="211" t="e">
        <f aca="false">IF($A34="","",AL33-AM33)</f>
        <v>#N/A</v>
      </c>
      <c r="AO33" s="137" t="n">
        <f aca="false">IF(A34="","",A34-A33)</f>
        <v>31</v>
      </c>
      <c r="AP33" s="212" t="n">
        <f aca="false">IF(A34="","",CHOOSE(F$3,A34+24,A33))</f>
        <v>37742</v>
      </c>
      <c r="AQ33" s="209" t="n">
        <f aca="false">IF(A34="","",AP33-$E$1)</f>
        <v>-8184</v>
      </c>
      <c r="AR33" s="185" t="n">
        <f aca="false">'ANR OK vs ML7'!AR33</f>
        <v>0.1</v>
      </c>
      <c r="AS33" s="213" t="n">
        <f aca="false">IF(A34="","",1/(1+CHOOSE(F$3,(AR34+($I$3/10000))/2,(AR33+($I$3/10000))/2))^(2*AQ33/365.25))</f>
        <v>8.90346511473369</v>
      </c>
      <c r="AT33" s="137" t="n">
        <f aca="false">IF(A34="","",IF(AND(mthbeg&lt;=A33,mthend&gt;=A33),1,0))</f>
        <v>1</v>
      </c>
      <c r="AU33" s="137" t="n">
        <f aca="false">IF(A34="","",AO33*AT33)</f>
        <v>31</v>
      </c>
      <c r="AW33" s="195" t="e">
        <f aca="false">IF($A34="","",AL33*$E33)</f>
        <v>#NAME?</v>
      </c>
      <c r="AX33" s="195" t="e">
        <f aca="false">IF($A34="","",AM33*$E33)</f>
        <v>#N/A</v>
      </c>
      <c r="AY33" s="195" t="e">
        <f aca="false">IF($A34="","",AN33*$E33)</f>
        <v>#N/A</v>
      </c>
      <c r="BA33" s="195" t="n">
        <f aca="false">IF($A34="","",F33*Summary!$Q$13)</f>
        <v>0</v>
      </c>
      <c r="BC33" s="179" t="e">
        <f aca="false">IF(A34="","",AM33*F33)</f>
        <v>#N/A</v>
      </c>
    </row>
    <row r="34" customFormat="false" ht="12.75" hidden="false" customHeight="false" outlineLevel="0" collapsed="false">
      <c r="A34" s="196" t="n">
        <f aca="false">IF(A33&lt;mthend,EDATE(A33,1),"")</f>
        <v>37773</v>
      </c>
      <c r="B34" s="197" t="n">
        <f aca="false">IF(A34&lt;mthend,B33,"")</f>
        <v>28400</v>
      </c>
      <c r="C34" s="215"/>
      <c r="D34" s="197" t="n">
        <f aca="false">IF(A35&lt;&gt;"",B34+C34,"")</f>
        <v>28400</v>
      </c>
      <c r="E34" s="199" t="n">
        <f aca="false">IF(A35="","",IF(AND(AT34=1,$H$3=1),D34*AO34,IF($H$3=2,D34,"N/A")))</f>
        <v>852000</v>
      </c>
      <c r="F34" s="199" t="n">
        <f aca="false">IF(A35="","",E34*AS34)</f>
        <v>7523186.73241093</v>
      </c>
      <c r="G34" s="200" t="e">
        <f aca="false">IF($A35="","",VLOOKUP($A34,Table,MATCH(G$4,Curves,0)))</f>
        <v>#N/A</v>
      </c>
      <c r="H34" s="201" t="e">
        <f aca="false">IF(A35="","",G34)</f>
        <v>#N/A</v>
      </c>
      <c r="I34" s="202"/>
      <c r="J34" s="200" t="e">
        <f aca="false">IF($A35="","",VLOOKUP($A34,Table,MATCH(J$4,Curves,0)))</f>
        <v>#N/A</v>
      </c>
      <c r="K34" s="201" t="e">
        <f aca="false">IF(A35="","",J34)</f>
        <v>#N/A</v>
      </c>
      <c r="L34" s="185" t="n">
        <v>0</v>
      </c>
      <c r="M34" s="201" t="n">
        <f aca="false">IF(A35="","",L34)</f>
        <v>0</v>
      </c>
      <c r="N34" s="203"/>
      <c r="O34" s="200" t="e">
        <f aca="false">IF(A35="","",L34+J34+G34)</f>
        <v>#N/A</v>
      </c>
      <c r="P34" s="200" t="e">
        <f aca="false">IF(A35="","",M34+K34+H34)</f>
        <v>#N/A</v>
      </c>
      <c r="Q34" s="204"/>
      <c r="R34" s="200" t="e">
        <f aca="false">IF($A35="","",VLOOKUP($A34,Table,MATCH(R$4,Curves,0)))</f>
        <v>#N/A</v>
      </c>
      <c r="S34" s="201" t="e">
        <f aca="false">IF(A35="","",R34)</f>
        <v>#N/A</v>
      </c>
      <c r="T34" s="185" t="n">
        <v>0</v>
      </c>
      <c r="U34" s="201" t="n">
        <f aca="false">IF(A35="","",T34)</f>
        <v>0</v>
      </c>
      <c r="V34" s="205" t="e">
        <f aca="false">(G34+R34)/(1-Summary!$T$13)*Summary!$T$13</f>
        <v>#N/A</v>
      </c>
      <c r="W34" s="202" t="e">
        <f aca="false">IF($A35="","",(T34+R34+G34+V34))</f>
        <v>#N/A</v>
      </c>
      <c r="X34" s="202" t="e">
        <f aca="false">IF($A35="","",(U34+S34+H34+V34))</f>
        <v>#N/A</v>
      </c>
      <c r="Y34" s="202"/>
      <c r="Z34" s="185" t="e">
        <f aca="false">IF($A35="","",VLOOKUP($A34,Table,MATCH(Z$4,Curves,0)))</f>
        <v>#N/A</v>
      </c>
      <c r="AA34" s="185" t="e">
        <f aca="false">IF($A35="","",VLOOKUP($A34,Table,MATCH(AA$4,Curves,0)))</f>
        <v>#N/A</v>
      </c>
      <c r="AB34" s="185" t="e">
        <f aca="false">SQRT((AA34^2*(A34-$D$3)+Z34^2*(DAY(EOMONTH(A34,0))/2))/AK34)</f>
        <v>#N/A</v>
      </c>
      <c r="AC34" s="185" t="e">
        <f aca="false">IF($A35="","",VLOOKUP($A34,Table,MATCH(AC$4,Curves,0)))</f>
        <v>#N/A</v>
      </c>
      <c r="AD34" s="185" t="e">
        <f aca="false">IF($A35="","",VLOOKUP($A34,Table,MATCH(AD$4,Curves,0)))</f>
        <v>#N/A</v>
      </c>
      <c r="AE34" s="185" t="e">
        <f aca="false">SQRT((AD34^2*(A34-$D$3)+AC34^2*(DAY(EOMONTH(A34,0))/2))/AK34)</f>
        <v>#N/A</v>
      </c>
      <c r="AF34" s="224" t="e">
        <f aca="false">((Summary!$N$13*(AA34*AD34)*(A34-$D$3))+(Summary!$M$13*Z34*AC34*(AJ34-EOMONTH(EDATE(A34,-1),0))))/(AK34*AB34*AE34)</f>
        <v>#N/A</v>
      </c>
      <c r="AG34" s="207" t="n">
        <f aca="false">IF($A35="","",Summary!$Q$13)</f>
        <v>0</v>
      </c>
      <c r="AH34" s="207" t="n">
        <f aca="false">IF($A35="","",IF(Summary!$R$12="Y",(VLOOKUP($A34,Summary!$AD$6:$AF$9,3)+'Escalating commodity'!I47),'Escalating commodity'!I47))</f>
        <v>0.0466548421097075</v>
      </c>
      <c r="AI34" s="207" t="n">
        <f aca="false">IF($A35="","",AH34)</f>
        <v>0.0466548421097075</v>
      </c>
      <c r="AJ34" s="208" t="n">
        <f aca="false">A34+DAY(EOMONTH(A34,0))/2-1</f>
        <v>37787</v>
      </c>
      <c r="AK34" s="209" t="n">
        <f aca="false">IF($A35="","",$A34-$E$1)</f>
        <v>-8153</v>
      </c>
      <c r="AL34" s="182" t="e">
        <f aca="false">IF($A35="","",SPRDOPT(P34,X34,AI34,0,AB34,AE34,AF34,AK34,$AJ$2,0))</f>
        <v>#NAME?</v>
      </c>
      <c r="AM34" s="210" t="e">
        <f aca="false">IF($A35="","",MAX(0,O34-W34-AI34))</f>
        <v>#N/A</v>
      </c>
      <c r="AN34" s="211" t="e">
        <f aca="false">IF($A35="","",AL34-AM34)</f>
        <v>#N/A</v>
      </c>
      <c r="AO34" s="137" t="n">
        <f aca="false">IF(A35="","",A35-A34)</f>
        <v>30</v>
      </c>
      <c r="AP34" s="212" t="n">
        <f aca="false">IF(A35="","",CHOOSE(F$3,A35+24,A34))</f>
        <v>37773</v>
      </c>
      <c r="AQ34" s="209" t="n">
        <f aca="false">IF(A35="","",AP34-$E$1)</f>
        <v>-8153</v>
      </c>
      <c r="AR34" s="185" t="n">
        <f aca="false">'ANR OK vs ML7'!AR34</f>
        <v>0.1</v>
      </c>
      <c r="AS34" s="213" t="n">
        <f aca="false">IF(A35="","",1/(1+CHOOSE(F$3,(AR35+($I$3/10000))/2,(AR34+($I$3/10000))/2))^(2*AQ34/365.25))</f>
        <v>8.83003137606917</v>
      </c>
      <c r="AT34" s="137" t="n">
        <f aca="false">IF(A35="","",IF(AND(mthbeg&lt;=A34,mthend&gt;=A34),1,0))</f>
        <v>1</v>
      </c>
      <c r="AU34" s="137" t="n">
        <f aca="false">IF(A35="","",AO34*AT34)</f>
        <v>30</v>
      </c>
      <c r="AW34" s="195" t="e">
        <f aca="false">IF($A35="","",AL34*$E34)</f>
        <v>#NAME?</v>
      </c>
      <c r="AX34" s="195" t="e">
        <f aca="false">IF($A35="","",AM34*$E34)</f>
        <v>#N/A</v>
      </c>
      <c r="AY34" s="195" t="e">
        <f aca="false">IF($A35="","",AN34*$E34)</f>
        <v>#N/A</v>
      </c>
      <c r="BA34" s="195" t="n">
        <f aca="false">IF($A35="","",F34*Summary!$Q$13)</f>
        <v>0</v>
      </c>
      <c r="BC34" s="179" t="e">
        <f aca="false">IF(A35="","",AM34*F34)</f>
        <v>#N/A</v>
      </c>
    </row>
    <row r="35" customFormat="false" ht="12.75" hidden="false" customHeight="false" outlineLevel="0" collapsed="false">
      <c r="A35" s="196" t="n">
        <f aca="false">IF(A34&lt;mthend,EDATE(A34,1),"")</f>
        <v>37803</v>
      </c>
      <c r="B35" s="197" t="n">
        <f aca="false">IF(A35&lt;mthend,B34,"")</f>
        <v>28400</v>
      </c>
      <c r="C35" s="215"/>
      <c r="D35" s="197" t="n">
        <f aca="false">IF(A36&lt;&gt;"",B35+C35,"")</f>
        <v>28400</v>
      </c>
      <c r="E35" s="199" t="n">
        <f aca="false">IF(A36="","",IF(AND(AT35=1,$H$3=1),D35*AO35,IF($H$3=2,D35,"N/A")))</f>
        <v>880400</v>
      </c>
      <c r="F35" s="199" t="n">
        <f aca="false">IF(A36="","",E35*AS35)</f>
        <v>7711901.82653837</v>
      </c>
      <c r="G35" s="200" t="e">
        <f aca="false">IF($A36="","",VLOOKUP($A35,Table,MATCH(G$4,Curves,0)))</f>
        <v>#N/A</v>
      </c>
      <c r="H35" s="201" t="e">
        <f aca="false">IF(A36="","",G35)</f>
        <v>#N/A</v>
      </c>
      <c r="I35" s="202"/>
      <c r="J35" s="200" t="e">
        <f aca="false">IF($A36="","",VLOOKUP($A35,Table,MATCH(J$4,Curves,0)))</f>
        <v>#N/A</v>
      </c>
      <c r="K35" s="201" t="e">
        <f aca="false">IF(A36="","",J35)</f>
        <v>#N/A</v>
      </c>
      <c r="L35" s="185" t="n">
        <v>0</v>
      </c>
      <c r="M35" s="201" t="n">
        <f aca="false">IF(A36="","",L35)</f>
        <v>0</v>
      </c>
      <c r="N35" s="203"/>
      <c r="O35" s="200" t="e">
        <f aca="false">IF(A36="","",L35+J35+G35)</f>
        <v>#N/A</v>
      </c>
      <c r="P35" s="200" t="e">
        <f aca="false">IF(A36="","",M35+K35+H35)</f>
        <v>#N/A</v>
      </c>
      <c r="Q35" s="204"/>
      <c r="R35" s="200" t="e">
        <f aca="false">IF($A36="","",VLOOKUP($A35,Table,MATCH(R$4,Curves,0)))</f>
        <v>#N/A</v>
      </c>
      <c r="S35" s="201" t="e">
        <f aca="false">IF(A36="","",R35)</f>
        <v>#N/A</v>
      </c>
      <c r="T35" s="185" t="n">
        <v>0</v>
      </c>
      <c r="U35" s="201" t="n">
        <f aca="false">IF(A36="","",T35)</f>
        <v>0</v>
      </c>
      <c r="V35" s="205" t="e">
        <f aca="false">(G35+R35)/(1-Summary!$T$13)*Summary!$T$13</f>
        <v>#N/A</v>
      </c>
      <c r="W35" s="202" t="e">
        <f aca="false">IF($A36="","",(T35+R35+G35+V35))</f>
        <v>#N/A</v>
      </c>
      <c r="X35" s="202" t="e">
        <f aca="false">IF($A36="","",(U35+S35+H35+V35))</f>
        <v>#N/A</v>
      </c>
      <c r="Y35" s="202"/>
      <c r="Z35" s="185" t="e">
        <f aca="false">IF($A36="","",VLOOKUP($A35,Table,MATCH(Z$4,Curves,0)))</f>
        <v>#N/A</v>
      </c>
      <c r="AA35" s="185" t="e">
        <f aca="false">IF($A36="","",VLOOKUP($A35,Table,MATCH(AA$4,Curves,0)))</f>
        <v>#N/A</v>
      </c>
      <c r="AB35" s="185" t="e">
        <f aca="false">SQRT((AA35^2*(A35-$D$3)+Z35^2*(DAY(EOMONTH(A35,0))/2))/AK35)</f>
        <v>#N/A</v>
      </c>
      <c r="AC35" s="185" t="e">
        <f aca="false">IF($A36="","",VLOOKUP($A35,Table,MATCH(AC$4,Curves,0)))</f>
        <v>#N/A</v>
      </c>
      <c r="AD35" s="185" t="e">
        <f aca="false">IF($A36="","",VLOOKUP($A35,Table,MATCH(AD$4,Curves,0)))</f>
        <v>#N/A</v>
      </c>
      <c r="AE35" s="185" t="e">
        <f aca="false">SQRT((AD35^2*(A35-$D$3)+AC35^2*(DAY(EOMONTH(A35,0))/2))/AK35)</f>
        <v>#N/A</v>
      </c>
      <c r="AF35" s="224" t="e">
        <f aca="false">((Summary!$N$13*(AA35*AD35)*(A35-$D$3))+(Summary!$M$13*Z35*AC35*(AJ35-EOMONTH(EDATE(A35,-1),0))))/(AK35*AB35*AE35)</f>
        <v>#N/A</v>
      </c>
      <c r="AG35" s="207" t="n">
        <f aca="false">IF($A36="","",Summary!$Q$13)</f>
        <v>0</v>
      </c>
      <c r="AH35" s="207" t="n">
        <f aca="false">IF($A36="","",IF(Summary!$R$12="Y",(VLOOKUP($A35,Summary!$AD$6:$AF$9,3)+'Escalating commodity'!I48),'Escalating commodity'!I48))</f>
        <v>0.0466548421097075</v>
      </c>
      <c r="AI35" s="207" t="n">
        <f aca="false">IF($A36="","",AH35)</f>
        <v>0.0466548421097075</v>
      </c>
      <c r="AJ35" s="208" t="n">
        <f aca="false">A35+DAY(EOMONTH(A35,0))/2-1</f>
        <v>37817.5</v>
      </c>
      <c r="AK35" s="209" t="n">
        <f aca="false">IF($A36="","",$A35-$E$1)</f>
        <v>-8123</v>
      </c>
      <c r="AL35" s="182" t="e">
        <f aca="false">IF($A36="","",SPRDOPT(P35,X35,AI35,0,AB35,AE35,AF35,AK35,$AJ$2,0))</f>
        <v>#NAME?</v>
      </c>
      <c r="AM35" s="210" t="e">
        <f aca="false">IF($A36="","",MAX(0,O35-W35-AI35))</f>
        <v>#N/A</v>
      </c>
      <c r="AN35" s="211" t="e">
        <f aca="false">IF($A36="","",AL35-AM35)</f>
        <v>#N/A</v>
      </c>
      <c r="AO35" s="137" t="n">
        <f aca="false">IF(A36="","",A36-A35)</f>
        <v>31</v>
      </c>
      <c r="AP35" s="212" t="n">
        <f aca="false">IF(A36="","",CHOOSE(F$3,A36+24,A35))</f>
        <v>37803</v>
      </c>
      <c r="AQ35" s="209" t="n">
        <f aca="false">IF(A36="","",AP35-$E$1)</f>
        <v>-8123</v>
      </c>
      <c r="AR35" s="185" t="n">
        <f aca="false">'ANR OK vs ML7'!AR35</f>
        <v>0.1</v>
      </c>
      <c r="AS35" s="213" t="n">
        <f aca="false">IF(A36="","",1/(1+CHOOSE(F$3,(AR36+($I$3/10000))/2,(AR35+($I$3/10000))/2))^(2*AQ35/365.25))</f>
        <v>8.75954319234254</v>
      </c>
      <c r="AT35" s="137" t="n">
        <f aca="false">IF(A36="","",IF(AND(mthbeg&lt;=A35,mthend&gt;=A35),1,0))</f>
        <v>1</v>
      </c>
      <c r="AU35" s="137" t="n">
        <f aca="false">IF(A36="","",AO35*AT35)</f>
        <v>31</v>
      </c>
      <c r="AW35" s="195" t="e">
        <f aca="false">IF($A36="","",AL35*$E35)</f>
        <v>#NAME?</v>
      </c>
      <c r="AX35" s="195" t="e">
        <f aca="false">IF($A36="","",AM35*$E35)</f>
        <v>#N/A</v>
      </c>
      <c r="AY35" s="195" t="e">
        <f aca="false">IF($A36="","",AN35*$E35)</f>
        <v>#N/A</v>
      </c>
      <c r="BA35" s="195" t="n">
        <f aca="false">IF($A36="","",F35*Summary!$Q$13)</f>
        <v>0</v>
      </c>
      <c r="BC35" s="179" t="e">
        <f aca="false">IF(A36="","",AM35*F35)</f>
        <v>#N/A</v>
      </c>
    </row>
    <row r="36" customFormat="false" ht="12.75" hidden="false" customHeight="false" outlineLevel="0" collapsed="false">
      <c r="A36" s="196" t="n">
        <f aca="false">IF(A35&lt;mthend,EDATE(A35,1),"")</f>
        <v>37834</v>
      </c>
      <c r="B36" s="197" t="n">
        <f aca="false">IF(A36&lt;mthend,B35,"")</f>
        <v>28400</v>
      </c>
      <c r="C36" s="215"/>
      <c r="D36" s="197" t="n">
        <f aca="false">IF(A37&lt;&gt;"",B36+C36,"")</f>
        <v>28400</v>
      </c>
      <c r="E36" s="199" t="n">
        <f aca="false">IF(A37="","",IF(AND(AT36=1,$H$3=1),D36*AO36,IF($H$3=2,D36,"N/A")))</f>
        <v>880400</v>
      </c>
      <c r="F36" s="199" t="n">
        <f aca="false">IF(A37="","",E36*AS36)</f>
        <v>7648295.82864444</v>
      </c>
      <c r="G36" s="200" t="e">
        <f aca="false">IF($A37="","",VLOOKUP($A36,Table,MATCH(G$4,Curves,0)))</f>
        <v>#N/A</v>
      </c>
      <c r="H36" s="201" t="e">
        <f aca="false">IF(A37="","",G36)</f>
        <v>#N/A</v>
      </c>
      <c r="I36" s="202"/>
      <c r="J36" s="200" t="e">
        <f aca="false">IF($A37="","",VLOOKUP($A36,Table,MATCH(J$4,Curves,0)))</f>
        <v>#N/A</v>
      </c>
      <c r="K36" s="201" t="e">
        <f aca="false">IF(A37="","",J36)</f>
        <v>#N/A</v>
      </c>
      <c r="L36" s="185" t="n">
        <v>0</v>
      </c>
      <c r="M36" s="201" t="n">
        <f aca="false">IF(A37="","",L36)</f>
        <v>0</v>
      </c>
      <c r="N36" s="203"/>
      <c r="O36" s="200" t="e">
        <f aca="false">IF(A37="","",L36+J36+G36)</f>
        <v>#N/A</v>
      </c>
      <c r="P36" s="200" t="e">
        <f aca="false">IF(A37="","",M36+K36+H36)</f>
        <v>#N/A</v>
      </c>
      <c r="Q36" s="204"/>
      <c r="R36" s="200" t="e">
        <f aca="false">IF($A37="","",VLOOKUP($A36,Table,MATCH(R$4,Curves,0)))</f>
        <v>#N/A</v>
      </c>
      <c r="S36" s="201" t="e">
        <f aca="false">IF(A37="","",R36)</f>
        <v>#N/A</v>
      </c>
      <c r="T36" s="185" t="n">
        <v>0</v>
      </c>
      <c r="U36" s="201" t="n">
        <f aca="false">IF(A37="","",T36)</f>
        <v>0</v>
      </c>
      <c r="V36" s="205" t="e">
        <f aca="false">(G36+R36)/(1-Summary!$T$13)*Summary!$T$13</f>
        <v>#N/A</v>
      </c>
      <c r="W36" s="202" t="e">
        <f aca="false">IF($A37="","",(T36+R36+G36+V36))</f>
        <v>#N/A</v>
      </c>
      <c r="X36" s="202" t="e">
        <f aca="false">IF($A37="","",(U36+S36+H36+V36))</f>
        <v>#N/A</v>
      </c>
      <c r="Y36" s="202"/>
      <c r="Z36" s="185" t="e">
        <f aca="false">IF($A37="","",VLOOKUP($A36,Table,MATCH(Z$4,Curves,0)))</f>
        <v>#N/A</v>
      </c>
      <c r="AA36" s="185" t="e">
        <f aca="false">IF($A37="","",VLOOKUP($A36,Table,MATCH(AA$4,Curves,0)))</f>
        <v>#N/A</v>
      </c>
      <c r="AB36" s="185" t="e">
        <f aca="false">SQRT((AA36^2*(A36-$D$3)+Z36^2*(DAY(EOMONTH(A36,0))/2))/AK36)</f>
        <v>#N/A</v>
      </c>
      <c r="AC36" s="185" t="e">
        <f aca="false">IF($A37="","",VLOOKUP($A36,Table,MATCH(AC$4,Curves,0)))</f>
        <v>#N/A</v>
      </c>
      <c r="AD36" s="185" t="e">
        <f aca="false">IF($A37="","",VLOOKUP($A36,Table,MATCH(AD$4,Curves,0)))</f>
        <v>#N/A</v>
      </c>
      <c r="AE36" s="185" t="e">
        <f aca="false">SQRT((AD36^2*(A36-$D$3)+AC36^2*(DAY(EOMONTH(A36,0))/2))/AK36)</f>
        <v>#N/A</v>
      </c>
      <c r="AF36" s="224" t="e">
        <f aca="false">((Summary!$N$13*(AA36*AD36)*(A36-$D$3))+(Summary!$M$13*Z36*AC36*(AJ36-EOMONTH(EDATE(A36,-1),0))))/(AK36*AB36*AE36)</f>
        <v>#N/A</v>
      </c>
      <c r="AG36" s="207" t="n">
        <f aca="false">IF($A37="","",Summary!$Q$13)</f>
        <v>0</v>
      </c>
      <c r="AH36" s="207" t="n">
        <f aca="false">IF($A37="","",IF(Summary!$R$12="Y",(VLOOKUP($A36,Summary!$AD$6:$AF$9,3)+'Escalating commodity'!I49),'Escalating commodity'!I49))</f>
        <v>0.0466548421097075</v>
      </c>
      <c r="AI36" s="207" t="n">
        <f aca="false">IF($A37="","",AH36)</f>
        <v>0.0466548421097075</v>
      </c>
      <c r="AJ36" s="208" t="n">
        <f aca="false">A36+DAY(EOMONTH(A36,0))/2-1</f>
        <v>37848.5</v>
      </c>
      <c r="AK36" s="209" t="n">
        <f aca="false">IF($A37="","",$A36-$E$1)</f>
        <v>-8092</v>
      </c>
      <c r="AL36" s="182" t="e">
        <f aca="false">IF($A37="","",SPRDOPT(P36,X36,AI36,0,AB36,AE36,AF36,AK36,$AJ$2,0))</f>
        <v>#NAME?</v>
      </c>
      <c r="AM36" s="210" t="e">
        <f aca="false">IF($A37="","",MAX(0,O36-W36-AI36))</f>
        <v>#N/A</v>
      </c>
      <c r="AN36" s="211" t="e">
        <f aca="false">IF($A37="","",AL36-AM36)</f>
        <v>#N/A</v>
      </c>
      <c r="AO36" s="137" t="n">
        <f aca="false">IF(A37="","",A37-A36)</f>
        <v>31</v>
      </c>
      <c r="AP36" s="212" t="n">
        <f aca="false">IF(A37="","",CHOOSE(F$3,A37+24,A36))</f>
        <v>37834</v>
      </c>
      <c r="AQ36" s="209" t="n">
        <f aca="false">IF(A37="","",AP36-$E$1)</f>
        <v>-8092</v>
      </c>
      <c r="AR36" s="185" t="n">
        <f aca="false">'ANR OK vs ML7'!AR36</f>
        <v>0.1</v>
      </c>
      <c r="AS36" s="213" t="n">
        <f aca="false">IF(A37="","",1/(1+CHOOSE(F$3,(AR37+($I$3/10000))/2,(AR36+($I$3/10000))/2))^(2*AQ36/365.25))</f>
        <v>8.687296488692</v>
      </c>
      <c r="AT36" s="137" t="n">
        <f aca="false">IF(A37="","",IF(AND(mthbeg&lt;=A36,mthend&gt;=A36),1,0))</f>
        <v>1</v>
      </c>
      <c r="AU36" s="137" t="n">
        <f aca="false">IF(A37="","",AO36*AT36)</f>
        <v>31</v>
      </c>
      <c r="AW36" s="195" t="e">
        <f aca="false">IF($A37="","",AL36*$E36)</f>
        <v>#NAME?</v>
      </c>
      <c r="AX36" s="195" t="e">
        <f aca="false">IF($A37="","",AM36*$E36)</f>
        <v>#N/A</v>
      </c>
      <c r="AY36" s="195" t="e">
        <f aca="false">IF($A37="","",AN36*$E36)</f>
        <v>#N/A</v>
      </c>
      <c r="BA36" s="195" t="n">
        <f aca="false">IF($A37="","",F36*Summary!$Q$13)</f>
        <v>0</v>
      </c>
      <c r="BC36" s="179" t="e">
        <f aca="false">IF(A37="","",AM36*F36)</f>
        <v>#N/A</v>
      </c>
    </row>
    <row r="37" customFormat="false" ht="12.75" hidden="false" customHeight="false" outlineLevel="0" collapsed="false">
      <c r="A37" s="196" t="n">
        <f aca="false">IF(A36&lt;mthend,EDATE(A36,1),"")</f>
        <v>37865</v>
      </c>
      <c r="B37" s="197" t="n">
        <f aca="false">IF(A37&lt;mthend,B36,"")</f>
        <v>28400</v>
      </c>
      <c r="C37" s="215"/>
      <c r="D37" s="197" t="n">
        <f aca="false">IF(A38&lt;&gt;"",B37+C37,"")</f>
        <v>28400</v>
      </c>
      <c r="E37" s="199" t="n">
        <f aca="false">IF(A38="","",IF(AND(AT37=1,$H$3=1),D37*AO37,IF($H$3=2,D37,"N/A")))</f>
        <v>852000</v>
      </c>
      <c r="F37" s="199" t="n">
        <f aca="false">IF(A38="","",E37*AS37)</f>
        <v>7340530.10171227</v>
      </c>
      <c r="G37" s="200" t="e">
        <f aca="false">IF($A38="","",VLOOKUP($A37,Table,MATCH(G$4,Curves,0)))</f>
        <v>#N/A</v>
      </c>
      <c r="H37" s="201" t="e">
        <f aca="false">IF(A38="","",G37)</f>
        <v>#N/A</v>
      </c>
      <c r="I37" s="202"/>
      <c r="J37" s="200" t="e">
        <f aca="false">IF($A38="","",VLOOKUP($A37,Table,MATCH(J$4,Curves,0)))</f>
        <v>#N/A</v>
      </c>
      <c r="K37" s="201" t="e">
        <f aca="false">IF(A38="","",J37)</f>
        <v>#N/A</v>
      </c>
      <c r="L37" s="185" t="n">
        <v>0</v>
      </c>
      <c r="M37" s="201" t="n">
        <f aca="false">IF(A38="","",L37)</f>
        <v>0</v>
      </c>
      <c r="N37" s="203"/>
      <c r="O37" s="200" t="e">
        <f aca="false">IF(A38="","",L37+J37+G37)</f>
        <v>#N/A</v>
      </c>
      <c r="P37" s="200" t="e">
        <f aca="false">IF(A38="","",M37+K37+H37)</f>
        <v>#N/A</v>
      </c>
      <c r="Q37" s="204"/>
      <c r="R37" s="200" t="e">
        <f aca="false">IF($A38="","",VLOOKUP($A37,Table,MATCH(R$4,Curves,0)))</f>
        <v>#N/A</v>
      </c>
      <c r="S37" s="201" t="e">
        <f aca="false">IF(A38="","",R37)</f>
        <v>#N/A</v>
      </c>
      <c r="T37" s="185" t="n">
        <v>0</v>
      </c>
      <c r="U37" s="201" t="n">
        <f aca="false">IF(A38="","",T37)</f>
        <v>0</v>
      </c>
      <c r="V37" s="205" t="e">
        <f aca="false">(G37+R37)/(1-Summary!$T$13)*Summary!$T$13</f>
        <v>#N/A</v>
      </c>
      <c r="W37" s="202" t="e">
        <f aca="false">IF($A38="","",(T37+R37+G37+V37))</f>
        <v>#N/A</v>
      </c>
      <c r="X37" s="202" t="e">
        <f aca="false">IF($A38="","",(U37+S37+H37+V37))</f>
        <v>#N/A</v>
      </c>
      <c r="Y37" s="202"/>
      <c r="Z37" s="185" t="e">
        <f aca="false">IF($A38="","",VLOOKUP($A37,Table,MATCH(Z$4,Curves,0)))</f>
        <v>#N/A</v>
      </c>
      <c r="AA37" s="185" t="e">
        <f aca="false">IF($A38="","",VLOOKUP($A37,Table,MATCH(AA$4,Curves,0)))</f>
        <v>#N/A</v>
      </c>
      <c r="AB37" s="185" t="e">
        <f aca="false">SQRT((AA37^2*(A37-$D$3)+Z37^2*(DAY(EOMONTH(A37,0))/2))/AK37)</f>
        <v>#N/A</v>
      </c>
      <c r="AC37" s="185" t="e">
        <f aca="false">IF($A38="","",VLOOKUP($A37,Table,MATCH(AC$4,Curves,0)))</f>
        <v>#N/A</v>
      </c>
      <c r="AD37" s="185" t="e">
        <f aca="false">IF($A38="","",VLOOKUP($A37,Table,MATCH(AD$4,Curves,0)))</f>
        <v>#N/A</v>
      </c>
      <c r="AE37" s="185" t="e">
        <f aca="false">SQRT((AD37^2*(A37-$D$3)+AC37^2*(DAY(EOMONTH(A37,0))/2))/AK37)</f>
        <v>#N/A</v>
      </c>
      <c r="AF37" s="224" t="e">
        <f aca="false">((Summary!$N$13*(AA37*AD37)*(A37-$D$3))+(Summary!$M$13*Z37*AC37*(AJ37-EOMONTH(EDATE(A37,-1),0))))/(AK37*AB37*AE37)</f>
        <v>#N/A</v>
      </c>
      <c r="AG37" s="207" t="n">
        <f aca="false">IF($A38="","",Summary!$Q$13)</f>
        <v>0</v>
      </c>
      <c r="AH37" s="207" t="n">
        <f aca="false">IF($A38="","",IF(Summary!$R$12="Y",(VLOOKUP($A37,Summary!$AD$6:$AF$9,3)+'Escalating commodity'!I50),'Escalating commodity'!I50))</f>
        <v>0.0466548421097075</v>
      </c>
      <c r="AI37" s="207" t="n">
        <f aca="false">IF($A38="","",AH37)</f>
        <v>0.0466548421097075</v>
      </c>
      <c r="AJ37" s="208" t="n">
        <f aca="false">A37+DAY(EOMONTH(A37,0))/2-1</f>
        <v>37879</v>
      </c>
      <c r="AK37" s="209" t="n">
        <f aca="false">IF($A38="","",$A37-$E$1)</f>
        <v>-8061</v>
      </c>
      <c r="AL37" s="182" t="e">
        <f aca="false">IF($A38="","",SPRDOPT(P37,X37,AI37,0,AB37,AE37,AF37,AK37,$AJ$2,0))</f>
        <v>#NAME?</v>
      </c>
      <c r="AM37" s="210" t="e">
        <f aca="false">IF($A38="","",MAX(0,O37-W37-AI37))</f>
        <v>#N/A</v>
      </c>
      <c r="AN37" s="211" t="e">
        <f aca="false">IF($A38="","",AL37-AM37)</f>
        <v>#N/A</v>
      </c>
      <c r="AO37" s="137" t="n">
        <f aca="false">IF(A38="","",A38-A37)</f>
        <v>30</v>
      </c>
      <c r="AP37" s="212" t="n">
        <f aca="false">IF(A38="","",CHOOSE(F$3,A38+24,A37))</f>
        <v>37865</v>
      </c>
      <c r="AQ37" s="209" t="n">
        <f aca="false">IF(A38="","",AP37-$E$1)</f>
        <v>-8061</v>
      </c>
      <c r="AR37" s="185" t="n">
        <f aca="false">'ANR OK vs ML7'!AR37</f>
        <v>0.1</v>
      </c>
      <c r="AS37" s="213" t="n">
        <f aca="false">IF(A38="","",1/(1+CHOOSE(F$3,(AR38+($I$3/10000))/2,(AR37+($I$3/10000))/2))^(2*AQ37/365.25))</f>
        <v>8.6156456592867</v>
      </c>
      <c r="AT37" s="137" t="n">
        <f aca="false">IF(A38="","",IF(AND(mthbeg&lt;=A37,mthend&gt;=A37),1,0))</f>
        <v>1</v>
      </c>
      <c r="AU37" s="137" t="n">
        <f aca="false">IF(A38="","",AO37*AT37)</f>
        <v>30</v>
      </c>
      <c r="AW37" s="195" t="e">
        <f aca="false">IF($A38="","",AL37*$E37)</f>
        <v>#NAME?</v>
      </c>
      <c r="AX37" s="195" t="e">
        <f aca="false">IF($A38="","",AM37*$E37)</f>
        <v>#N/A</v>
      </c>
      <c r="AY37" s="195" t="e">
        <f aca="false">IF($A38="","",AN37*$E37)</f>
        <v>#N/A</v>
      </c>
      <c r="BA37" s="195" t="n">
        <f aca="false">IF($A38="","",F37*Summary!$Q$13)</f>
        <v>0</v>
      </c>
      <c r="BC37" s="179" t="e">
        <f aca="false">IF(A38="","",AM37*F37)</f>
        <v>#N/A</v>
      </c>
    </row>
    <row r="38" customFormat="false" ht="12.75" hidden="false" customHeight="false" outlineLevel="0" collapsed="false">
      <c r="A38" s="196" t="n">
        <f aca="false">IF(A37&lt;mthend,EDATE(A37,1),"")</f>
        <v>37895</v>
      </c>
      <c r="B38" s="197" t="n">
        <f aca="false">IF(A38&lt;mthend,B37,"")</f>
        <v>28400</v>
      </c>
      <c r="C38" s="215"/>
      <c r="D38" s="197" t="n">
        <f aca="false">IF(A39&lt;&gt;"",B38+C38,"")</f>
        <v>28400</v>
      </c>
      <c r="E38" s="199" t="n">
        <f aca="false">IF(A39="","",IF(AND(AT38=1,$H$3=1),D38*AO38,IF($H$3=2,D38,"N/A")))</f>
        <v>880400</v>
      </c>
      <c r="F38" s="199" t="n">
        <f aca="false">IF(A39="","",E38*AS38)</f>
        <v>7524663.35246916</v>
      </c>
      <c r="G38" s="200" t="e">
        <f aca="false">IF($A39="","",VLOOKUP($A38,Table,MATCH(G$4,Curves,0)))</f>
        <v>#N/A</v>
      </c>
      <c r="H38" s="201" t="e">
        <f aca="false">IF(A39="","",G38)</f>
        <v>#N/A</v>
      </c>
      <c r="I38" s="202"/>
      <c r="J38" s="200" t="e">
        <f aca="false">IF($A39="","",VLOOKUP($A38,Table,MATCH(J$4,Curves,0)))</f>
        <v>#N/A</v>
      </c>
      <c r="K38" s="201" t="e">
        <f aca="false">IF(A39="","",J38)</f>
        <v>#N/A</v>
      </c>
      <c r="L38" s="185" t="n">
        <v>0</v>
      </c>
      <c r="M38" s="201" t="n">
        <f aca="false">IF(A39="","",L38)</f>
        <v>0</v>
      </c>
      <c r="N38" s="203"/>
      <c r="O38" s="200" t="e">
        <f aca="false">IF(A39="","",L38+J38+G38)</f>
        <v>#N/A</v>
      </c>
      <c r="P38" s="200" t="e">
        <f aca="false">IF(A39="","",M38+K38+H38)</f>
        <v>#N/A</v>
      </c>
      <c r="Q38" s="204"/>
      <c r="R38" s="200" t="e">
        <f aca="false">IF($A39="","",VLOOKUP($A38,Table,MATCH(R$4,Curves,0)))</f>
        <v>#N/A</v>
      </c>
      <c r="S38" s="201" t="e">
        <f aca="false">IF(A39="","",R38)</f>
        <v>#N/A</v>
      </c>
      <c r="T38" s="185" t="n">
        <v>0</v>
      </c>
      <c r="U38" s="201" t="n">
        <f aca="false">IF(A39="","",T38)</f>
        <v>0</v>
      </c>
      <c r="V38" s="205" t="e">
        <f aca="false">(G38+R38)/(1-Summary!$T$13)*Summary!$T$13</f>
        <v>#N/A</v>
      </c>
      <c r="W38" s="202" t="e">
        <f aca="false">IF($A39="","",(T38+R38+G38+V38))</f>
        <v>#N/A</v>
      </c>
      <c r="X38" s="202" t="e">
        <f aca="false">IF($A39="","",(U38+S38+H38+V38))</f>
        <v>#N/A</v>
      </c>
      <c r="Y38" s="202"/>
      <c r="Z38" s="185" t="e">
        <f aca="false">IF($A39="","",VLOOKUP($A38,Table,MATCH(Z$4,Curves,0)))</f>
        <v>#N/A</v>
      </c>
      <c r="AA38" s="185" t="e">
        <f aca="false">IF($A39="","",VLOOKUP($A38,Table,MATCH(AA$4,Curves,0)))</f>
        <v>#N/A</v>
      </c>
      <c r="AB38" s="185" t="e">
        <f aca="false">SQRT((AA38^2*(A38-$D$3)+Z38^2*(DAY(EOMONTH(A38,0))/2))/AK38)</f>
        <v>#N/A</v>
      </c>
      <c r="AC38" s="185" t="e">
        <f aca="false">IF($A39="","",VLOOKUP($A38,Table,MATCH(AC$4,Curves,0)))</f>
        <v>#N/A</v>
      </c>
      <c r="AD38" s="185" t="e">
        <f aca="false">IF($A39="","",VLOOKUP($A38,Table,MATCH(AD$4,Curves,0)))</f>
        <v>#N/A</v>
      </c>
      <c r="AE38" s="185" t="e">
        <f aca="false">SQRT((AD38^2*(A38-$D$3)+AC38^2*(DAY(EOMONTH(A38,0))/2))/AK38)</f>
        <v>#N/A</v>
      </c>
      <c r="AF38" s="224" t="e">
        <f aca="false">((Summary!$N$13*(AA38*AD38)*(A38-$D$3))+(Summary!$M$13*Z38*AC38*(AJ38-EOMONTH(EDATE(A38,-1),0))))/(AK38*AB38*AE38)</f>
        <v>#N/A</v>
      </c>
      <c r="AG38" s="207" t="n">
        <f aca="false">IF($A39="","",Summary!$Q$13)</f>
        <v>0</v>
      </c>
      <c r="AH38" s="207" t="n">
        <f aca="false">IF($A39="","",IF(Summary!$R$12="Y",(VLOOKUP($A38,Summary!$AD$6:$AF$9,3)+'Escalating commodity'!I51),'Escalating commodity'!I51))</f>
        <v>0.0466548421097075</v>
      </c>
      <c r="AI38" s="207" t="n">
        <f aca="false">IF($A39="","",AH38)</f>
        <v>0.0466548421097075</v>
      </c>
      <c r="AJ38" s="208" t="n">
        <f aca="false">A38+DAY(EOMONTH(A38,0))/2-1</f>
        <v>37909.5</v>
      </c>
      <c r="AK38" s="209" t="n">
        <f aca="false">IF($A39="","",$A38-$E$1)</f>
        <v>-8031</v>
      </c>
      <c r="AL38" s="182" t="e">
        <f aca="false">IF($A39="","",SPRDOPT(P38,X38,AI38,0,AB38,AE38,AF38,AK38,$AJ$2,0))</f>
        <v>#NAME?</v>
      </c>
      <c r="AM38" s="210" t="e">
        <f aca="false">IF($A39="","",MAX(0,O38-W38-AI38))</f>
        <v>#N/A</v>
      </c>
      <c r="AN38" s="211" t="e">
        <f aca="false">IF($A39="","",AL38-AM38)</f>
        <v>#N/A</v>
      </c>
      <c r="AO38" s="137" t="n">
        <f aca="false">IF(A39="","",A39-A38)</f>
        <v>31</v>
      </c>
      <c r="AP38" s="212" t="n">
        <f aca="false">IF(A39="","",CHOOSE(F$3,A39+24,A38))</f>
        <v>37895</v>
      </c>
      <c r="AQ38" s="209" t="n">
        <f aca="false">IF(A39="","",AP38-$E$1)</f>
        <v>-8031</v>
      </c>
      <c r="AR38" s="185" t="n">
        <f aca="false">'ANR OK vs ML7'!AR38</f>
        <v>0.1</v>
      </c>
      <c r="AS38" s="213" t="n">
        <f aca="false">IF(A39="","",1/(1+CHOOSE(F$3,(AR39+($I$3/10000))/2,(AR38+($I$3/10000))/2))^(2*AQ38/365.25))</f>
        <v>8.54686886922894</v>
      </c>
      <c r="AT38" s="137" t="n">
        <f aca="false">IF(A39="","",IF(AND(mthbeg&lt;=A38,mthend&gt;=A38),1,0))</f>
        <v>1</v>
      </c>
      <c r="AU38" s="137" t="n">
        <f aca="false">IF(A39="","",AO38*AT38)</f>
        <v>31</v>
      </c>
      <c r="AW38" s="195" t="e">
        <f aca="false">IF($A39="","",AL38*$E38)</f>
        <v>#NAME?</v>
      </c>
      <c r="AX38" s="195" t="e">
        <f aca="false">IF($A39="","",AM38*$E38)</f>
        <v>#N/A</v>
      </c>
      <c r="AY38" s="195" t="e">
        <f aca="false">IF($A39="","",AN38*$E38)</f>
        <v>#N/A</v>
      </c>
      <c r="BA38" s="195" t="n">
        <f aca="false">IF($A39="","",F38*Summary!$Q$13)</f>
        <v>0</v>
      </c>
      <c r="BC38" s="179" t="e">
        <f aca="false">IF(A39="","",AM38*F38)</f>
        <v>#N/A</v>
      </c>
    </row>
    <row r="39" customFormat="false" ht="12.75" hidden="false" customHeight="false" outlineLevel="0" collapsed="false">
      <c r="A39" s="196" t="n">
        <f aca="false">IF(A38&lt;mthend,EDATE(A38,1),"")</f>
        <v>37926</v>
      </c>
      <c r="B39" s="197" t="n">
        <f aca="false">IF(A39&lt;mthend,B38,"")</f>
        <v>28400</v>
      </c>
      <c r="C39" s="215"/>
      <c r="D39" s="197" t="n">
        <f aca="false">IF(A40&lt;&gt;"",B39+C39,"")</f>
        <v>28400</v>
      </c>
      <c r="E39" s="199" t="n">
        <f aca="false">IF(A40="","",IF(AND(AT39=1,$H$3=1),D39*AO39,IF($H$3=2,D39,"N/A")))</f>
        <v>852000</v>
      </c>
      <c r="F39" s="199" t="n">
        <f aca="false">IF(A40="","",E39*AS39)</f>
        <v>7221872.56894334</v>
      </c>
      <c r="G39" s="200" t="e">
        <f aca="false">IF($A40="","",VLOOKUP($A39,Table,MATCH(G$4,Curves,0)))</f>
        <v>#N/A</v>
      </c>
      <c r="H39" s="201" t="e">
        <f aca="false">IF(A40="","",G39)</f>
        <v>#N/A</v>
      </c>
      <c r="I39" s="202"/>
      <c r="J39" s="200" t="e">
        <f aca="false">IF($A40="","",VLOOKUP($A39,Table,MATCH(J$4,Curves,0)))</f>
        <v>#N/A</v>
      </c>
      <c r="K39" s="201" t="e">
        <f aca="false">IF(A40="","",J39)</f>
        <v>#N/A</v>
      </c>
      <c r="L39" s="185" t="n">
        <v>0</v>
      </c>
      <c r="M39" s="201" t="n">
        <f aca="false">IF(A40="","",L39)</f>
        <v>0</v>
      </c>
      <c r="N39" s="203"/>
      <c r="O39" s="200" t="e">
        <f aca="false">IF(A40="","",L39+J39+G39)</f>
        <v>#N/A</v>
      </c>
      <c r="P39" s="200" t="e">
        <f aca="false">IF(A40="","",M39+K39+H39)</f>
        <v>#N/A</v>
      </c>
      <c r="Q39" s="204"/>
      <c r="R39" s="200" t="e">
        <f aca="false">IF($A40="","",VLOOKUP($A39,Table,MATCH(R$4,Curves,0)))</f>
        <v>#N/A</v>
      </c>
      <c r="S39" s="201" t="e">
        <f aca="false">IF(A40="","",R39)</f>
        <v>#N/A</v>
      </c>
      <c r="T39" s="185" t="n">
        <v>0</v>
      </c>
      <c r="U39" s="201" t="n">
        <f aca="false">IF(A40="","",T39)</f>
        <v>0</v>
      </c>
      <c r="V39" s="205" t="e">
        <f aca="false">(G39+R39)/(1-Summary!$T$13)*Summary!$T$13</f>
        <v>#N/A</v>
      </c>
      <c r="W39" s="202" t="e">
        <f aca="false">IF($A40="","",(T39+R39+G39+V39))</f>
        <v>#N/A</v>
      </c>
      <c r="X39" s="202" t="e">
        <f aca="false">IF($A40="","",(U39+S39+H39+V39))</f>
        <v>#N/A</v>
      </c>
      <c r="Y39" s="202"/>
      <c r="Z39" s="185" t="e">
        <f aca="false">IF($A40="","",VLOOKUP($A39,Table,MATCH(Z$4,Curves,0)))</f>
        <v>#N/A</v>
      </c>
      <c r="AA39" s="185" t="e">
        <f aca="false">IF($A40="","",VLOOKUP($A39,Table,MATCH(AA$4,Curves,0)))</f>
        <v>#N/A</v>
      </c>
      <c r="AB39" s="185" t="e">
        <f aca="false">SQRT((AA39^2*(A39-$D$3)+Z39^2*(DAY(EOMONTH(A39,0))/2))/AK39)</f>
        <v>#N/A</v>
      </c>
      <c r="AC39" s="185" t="e">
        <f aca="false">IF($A40="","",VLOOKUP($A39,Table,MATCH(AC$4,Curves,0)))</f>
        <v>#N/A</v>
      </c>
      <c r="AD39" s="185" t="e">
        <f aca="false">IF($A40="","",VLOOKUP($A39,Table,MATCH(AD$4,Curves,0)))</f>
        <v>#N/A</v>
      </c>
      <c r="AE39" s="185" t="e">
        <f aca="false">SQRT((AD39^2*(A39-$D$3)+AC39^2*(DAY(EOMONTH(A39,0))/2))/AK39)</f>
        <v>#N/A</v>
      </c>
      <c r="AF39" s="224" t="e">
        <f aca="false">((Summary!$N$13*(AA39*AD39)*(A39-$D$3))+(Summary!$M$13*Z39*AC39*(AJ39-EOMONTH(EDATE(A39,-1),0))))/(AK39*AB39*AE39)</f>
        <v>#N/A</v>
      </c>
      <c r="AG39" s="207" t="n">
        <f aca="false">IF($A40="","",Summary!$Q$13)</f>
        <v>0</v>
      </c>
      <c r="AH39" s="207" t="n">
        <f aca="false">IF($A40="","",IF(Summary!$R$12="Y",(VLOOKUP($A39,Summary!$AD$6:$AF$9,3)+'Escalating commodity'!I52),'Escalating commodity'!I52))</f>
        <v>0.0466548421097075</v>
      </c>
      <c r="AI39" s="207" t="n">
        <f aca="false">IF($A40="","",AH39)</f>
        <v>0.0466548421097075</v>
      </c>
      <c r="AJ39" s="208" t="n">
        <f aca="false">A39+DAY(EOMONTH(A39,0))/2-1</f>
        <v>37940</v>
      </c>
      <c r="AK39" s="209" t="n">
        <f aca="false">IF($A40="","",$A39-$E$1)</f>
        <v>-8000</v>
      </c>
      <c r="AL39" s="182" t="e">
        <f aca="false">IF($A40="","",SPRDOPT(P39,X39,AI39,0,AB39,AE39,AF39,AK39,$AJ$2,0))</f>
        <v>#NAME?</v>
      </c>
      <c r="AM39" s="210" t="e">
        <f aca="false">IF($A40="","",MAX(0,O39-W39-AI39))</f>
        <v>#N/A</v>
      </c>
      <c r="AN39" s="211" t="e">
        <f aca="false">IF($A40="","",AL39-AM39)</f>
        <v>#N/A</v>
      </c>
      <c r="AO39" s="137" t="n">
        <f aca="false">IF(A40="","",A40-A39)</f>
        <v>30</v>
      </c>
      <c r="AP39" s="212" t="n">
        <f aca="false">IF(A40="","",CHOOSE(F$3,A40+24,A39))</f>
        <v>37926</v>
      </c>
      <c r="AQ39" s="209" t="n">
        <f aca="false">IF(A40="","",AP39-$E$1)</f>
        <v>-8000</v>
      </c>
      <c r="AR39" s="185" t="n">
        <f aca="false">'ANR OK vs ML7'!AR39</f>
        <v>0.1</v>
      </c>
      <c r="AS39" s="213" t="n">
        <f aca="false">IF(A40="","",1/(1+CHOOSE(F$3,(AR40+($I$3/10000))/2,(AR39+($I$3/10000))/2))^(2*AQ39/365.25))</f>
        <v>8.47637625462833</v>
      </c>
      <c r="AT39" s="137" t="n">
        <f aca="false">IF(A40="","",IF(AND(mthbeg&lt;=A39,mthend&gt;=A39),1,0))</f>
        <v>1</v>
      </c>
      <c r="AU39" s="137" t="n">
        <f aca="false">IF(A40="","",AO39*AT39)</f>
        <v>30</v>
      </c>
      <c r="AW39" s="195" t="e">
        <f aca="false">IF($A40="","",AL39*$E39)</f>
        <v>#NAME?</v>
      </c>
      <c r="AX39" s="195" t="e">
        <f aca="false">IF($A40="","",AM39*$E39)</f>
        <v>#N/A</v>
      </c>
      <c r="AY39" s="195" t="e">
        <f aca="false">IF($A40="","",AN39*$E39)</f>
        <v>#N/A</v>
      </c>
      <c r="BA39" s="195" t="n">
        <f aca="false">IF($A40="","",F39*Summary!$Q$13)</f>
        <v>0</v>
      </c>
      <c r="BC39" s="179" t="e">
        <f aca="false">IF(A40="","",AM39*F39)</f>
        <v>#N/A</v>
      </c>
    </row>
    <row r="40" customFormat="false" ht="12.75" hidden="false" customHeight="false" outlineLevel="0" collapsed="false">
      <c r="A40" s="196" t="n">
        <f aca="false">IF(A39&lt;mthend,EDATE(A39,1),"")</f>
        <v>37956</v>
      </c>
      <c r="B40" s="197" t="n">
        <f aca="false">IF(A40&lt;mthend,B39,"")</f>
        <v>28400</v>
      </c>
      <c r="C40" s="215"/>
      <c r="D40" s="197" t="n">
        <f aca="false">IF(A41&lt;&gt;"",B40+C40,"")</f>
        <v>28400</v>
      </c>
      <c r="E40" s="199" t="n">
        <f aca="false">IF(A41="","",IF(AND(AT40=1,$H$3=1),D40*AO40,IF($H$3=2,D40,"N/A")))</f>
        <v>880400</v>
      </c>
      <c r="F40" s="199" t="n">
        <f aca="false">IF(A41="","",E40*AS40)</f>
        <v>7403029.35929031</v>
      </c>
      <c r="G40" s="200" t="e">
        <f aca="false">IF($A41="","",VLOOKUP($A40,Table,MATCH(G$4,Curves,0)))</f>
        <v>#N/A</v>
      </c>
      <c r="H40" s="201" t="e">
        <f aca="false">IF(A41="","",G40)</f>
        <v>#N/A</v>
      </c>
      <c r="I40" s="202"/>
      <c r="J40" s="200" t="e">
        <f aca="false">IF($A41="","",VLOOKUP($A40,Table,MATCH(J$4,Curves,0)))</f>
        <v>#N/A</v>
      </c>
      <c r="K40" s="201" t="e">
        <f aca="false">IF(A41="","",J40)</f>
        <v>#N/A</v>
      </c>
      <c r="L40" s="185" t="n">
        <v>0</v>
      </c>
      <c r="M40" s="201" t="n">
        <f aca="false">IF(A41="","",L40)</f>
        <v>0</v>
      </c>
      <c r="N40" s="203"/>
      <c r="O40" s="200" t="e">
        <f aca="false">IF(A41="","",L40+J40+G40)</f>
        <v>#N/A</v>
      </c>
      <c r="P40" s="200" t="e">
        <f aca="false">IF(A41="","",M40+K40+H40)</f>
        <v>#N/A</v>
      </c>
      <c r="Q40" s="204"/>
      <c r="R40" s="200" t="e">
        <f aca="false">IF($A41="","",VLOOKUP($A40,Table,MATCH(R$4,Curves,0)))</f>
        <v>#N/A</v>
      </c>
      <c r="S40" s="201" t="e">
        <f aca="false">IF(A41="","",R40)</f>
        <v>#N/A</v>
      </c>
      <c r="T40" s="185" t="n">
        <v>0</v>
      </c>
      <c r="U40" s="201" t="n">
        <f aca="false">IF(A41="","",T40)</f>
        <v>0</v>
      </c>
      <c r="V40" s="205" t="e">
        <f aca="false">(G40+R40)/(1-Summary!$T$13)*Summary!$T$13</f>
        <v>#N/A</v>
      </c>
      <c r="W40" s="202" t="e">
        <f aca="false">IF($A41="","",(T40+R40+G40+V40))</f>
        <v>#N/A</v>
      </c>
      <c r="X40" s="202" t="e">
        <f aca="false">IF($A41="","",(U40+S40+H40+V40))</f>
        <v>#N/A</v>
      </c>
      <c r="Y40" s="202"/>
      <c r="Z40" s="185" t="e">
        <f aca="false">IF($A41="","",VLOOKUP($A40,Table,MATCH(Z$4,Curves,0)))</f>
        <v>#N/A</v>
      </c>
      <c r="AA40" s="185" t="e">
        <f aca="false">IF($A41="","",VLOOKUP($A40,Table,MATCH(AA$4,Curves,0)))</f>
        <v>#N/A</v>
      </c>
      <c r="AB40" s="185" t="e">
        <f aca="false">SQRT((AA40^2*(A40-$D$3)+Z40^2*(DAY(EOMONTH(A40,0))/2))/AK40)</f>
        <v>#N/A</v>
      </c>
      <c r="AC40" s="185" t="e">
        <f aca="false">IF($A41="","",VLOOKUP($A40,Table,MATCH(AC$4,Curves,0)))</f>
        <v>#N/A</v>
      </c>
      <c r="AD40" s="185" t="e">
        <f aca="false">IF($A41="","",VLOOKUP($A40,Table,MATCH(AD$4,Curves,0)))</f>
        <v>#N/A</v>
      </c>
      <c r="AE40" s="185" t="e">
        <f aca="false">SQRT((AD40^2*(A40-$D$3)+AC40^2*(DAY(EOMONTH(A40,0))/2))/AK40)</f>
        <v>#N/A</v>
      </c>
      <c r="AF40" s="224" t="e">
        <f aca="false">((Summary!$N$13*(AA40*AD40)*(A40-$D$3))+(Summary!$M$13*Z40*AC40*(AJ40-EOMONTH(EDATE(A40,-1),0))))/(AK40*AB40*AE40)</f>
        <v>#N/A</v>
      </c>
      <c r="AG40" s="207" t="n">
        <f aca="false">IF($A41="","",Summary!$Q$13)</f>
        <v>0</v>
      </c>
      <c r="AH40" s="207" t="n">
        <f aca="false">IF($A41="","",IF(Summary!$R$12="Y",(VLOOKUP($A40,Summary!$AD$6:$AF$9,3)+'Escalating commodity'!I53),'Escalating commodity'!I53))</f>
        <v>0.0466548421097075</v>
      </c>
      <c r="AI40" s="207" t="n">
        <f aca="false">IF($A41="","",AH40)</f>
        <v>0.0466548421097075</v>
      </c>
      <c r="AJ40" s="208" t="n">
        <f aca="false">A40+DAY(EOMONTH(A40,0))/2-1</f>
        <v>37970.5</v>
      </c>
      <c r="AK40" s="209" t="n">
        <f aca="false">IF($A41="","",$A40-$E$1)</f>
        <v>-7970</v>
      </c>
      <c r="AL40" s="182" t="e">
        <f aca="false">IF($A41="","",SPRDOPT(P40,X40,AI40,0,AB40,AE40,AF40,AK40,$AJ$2,0))</f>
        <v>#NAME?</v>
      </c>
      <c r="AM40" s="210" t="e">
        <f aca="false">IF($A41="","",MAX(0,O40-W40-AI40))</f>
        <v>#N/A</v>
      </c>
      <c r="AN40" s="211" t="e">
        <f aca="false">IF($A41="","",AL40-AM40)</f>
        <v>#N/A</v>
      </c>
      <c r="AO40" s="137" t="n">
        <f aca="false">IF(A41="","",A41-A40)</f>
        <v>31</v>
      </c>
      <c r="AP40" s="212" t="n">
        <f aca="false">IF(A41="","",CHOOSE(F$3,A41+24,A40))</f>
        <v>37956</v>
      </c>
      <c r="AQ40" s="209" t="n">
        <f aca="false">IF(A41="","",AP40-$E$1)</f>
        <v>-7970</v>
      </c>
      <c r="AR40" s="185" t="n">
        <f aca="false">'ANR OK vs ML7'!AR40</f>
        <v>0.1</v>
      </c>
      <c r="AS40" s="213" t="n">
        <f aca="false">IF(A41="","",1/(1+CHOOSE(F$3,(AR41+($I$3/10000))/2,(AR40+($I$3/10000))/2))^(2*AQ40/365.25))</f>
        <v>8.40871122136564</v>
      </c>
      <c r="AT40" s="137" t="n">
        <f aca="false">IF(A41="","",IF(AND(mthbeg&lt;=A40,mthend&gt;=A40),1,0))</f>
        <v>1</v>
      </c>
      <c r="AU40" s="137" t="n">
        <f aca="false">IF(A41="","",AO40*AT40)</f>
        <v>31</v>
      </c>
      <c r="AW40" s="195" t="e">
        <f aca="false">IF($A41="","",AL40*$E40)</f>
        <v>#NAME?</v>
      </c>
      <c r="AX40" s="195" t="e">
        <f aca="false">IF($A41="","",AM40*$E40)</f>
        <v>#N/A</v>
      </c>
      <c r="AY40" s="195" t="e">
        <f aca="false">IF($A41="","",AN40*$E40)</f>
        <v>#N/A</v>
      </c>
      <c r="BA40" s="195" t="n">
        <f aca="false">IF($A41="","",F40*Summary!$Q$13)</f>
        <v>0</v>
      </c>
      <c r="BC40" s="179" t="e">
        <f aca="false">IF(A41="","",AM40*F40)</f>
        <v>#N/A</v>
      </c>
    </row>
    <row r="41" customFormat="false" ht="12.75" hidden="false" customHeight="false" outlineLevel="0" collapsed="false">
      <c r="A41" s="196" t="n">
        <f aca="false">IF(A40&lt;mthend,EDATE(A40,1),"")</f>
        <v>37987</v>
      </c>
      <c r="B41" s="197" t="n">
        <f aca="false">IF(A41&lt;mthend,B40,"")</f>
        <v>28400</v>
      </c>
      <c r="C41" s="215"/>
      <c r="D41" s="197" t="n">
        <f aca="false">IF(A42&lt;&gt;"",B41+C41,"")</f>
        <v>28400</v>
      </c>
      <c r="E41" s="199" t="n">
        <f aca="false">IF(A42="","",IF(AND(AT41=1,$H$3=1),D41*AO41,IF($H$3=2,D41,"N/A")))</f>
        <v>880400</v>
      </c>
      <c r="F41" s="199" t="n">
        <f aca="false">IF(A42="","",E41*AS41)</f>
        <v>7341970.87068049</v>
      </c>
      <c r="G41" s="200" t="e">
        <f aca="false">IF($A42="","",VLOOKUP($A41,Table,MATCH(G$4,Curves,0)))</f>
        <v>#N/A</v>
      </c>
      <c r="H41" s="201" t="e">
        <f aca="false">IF(A42="","",G41)</f>
        <v>#N/A</v>
      </c>
      <c r="I41" s="202"/>
      <c r="J41" s="200" t="e">
        <f aca="false">IF($A42="","",VLOOKUP($A41,Table,MATCH(J$4,Curves,0)))</f>
        <v>#N/A</v>
      </c>
      <c r="K41" s="201" t="e">
        <f aca="false">IF(A42="","",J41)</f>
        <v>#N/A</v>
      </c>
      <c r="L41" s="185" t="n">
        <v>0</v>
      </c>
      <c r="M41" s="201" t="n">
        <f aca="false">IF(A42="","",L41)</f>
        <v>0</v>
      </c>
      <c r="N41" s="203"/>
      <c r="O41" s="200" t="e">
        <f aca="false">IF(A42="","",L41+J41+G41)</f>
        <v>#N/A</v>
      </c>
      <c r="P41" s="200" t="e">
        <f aca="false">IF(A42="","",M41+K41+H41)</f>
        <v>#N/A</v>
      </c>
      <c r="Q41" s="204"/>
      <c r="R41" s="200" t="e">
        <f aca="false">IF($A42="","",VLOOKUP($A41,Table,MATCH(R$4,Curves,0)))</f>
        <v>#N/A</v>
      </c>
      <c r="S41" s="201" t="e">
        <f aca="false">IF(A42="","",R41)</f>
        <v>#N/A</v>
      </c>
      <c r="T41" s="185" t="n">
        <v>0</v>
      </c>
      <c r="U41" s="201" t="n">
        <f aca="false">IF(A42="","",T41)</f>
        <v>0</v>
      </c>
      <c r="V41" s="205" t="e">
        <f aca="false">(G41+R41)/(1-Summary!$T$13)*Summary!$T$13</f>
        <v>#N/A</v>
      </c>
      <c r="W41" s="202" t="e">
        <f aca="false">IF($A42="","",(T41+R41+G41+V41))</f>
        <v>#N/A</v>
      </c>
      <c r="X41" s="202" t="e">
        <f aca="false">IF($A42="","",(U41+S41+H41+V41))</f>
        <v>#N/A</v>
      </c>
      <c r="Y41" s="202"/>
      <c r="Z41" s="185" t="e">
        <f aca="false">IF($A42="","",VLOOKUP($A41,Table,MATCH(Z$4,Curves,0)))</f>
        <v>#N/A</v>
      </c>
      <c r="AA41" s="185" t="e">
        <f aca="false">IF($A42="","",VLOOKUP($A41,Table,MATCH(AA$4,Curves,0)))</f>
        <v>#N/A</v>
      </c>
      <c r="AB41" s="185" t="e">
        <f aca="false">SQRT((AA41^2*(A41-$D$3)+Z41^2*(DAY(EOMONTH(A41,0))/2))/AK41)</f>
        <v>#N/A</v>
      </c>
      <c r="AC41" s="185" t="e">
        <f aca="false">IF($A42="","",VLOOKUP($A41,Table,MATCH(AC$4,Curves,0)))</f>
        <v>#N/A</v>
      </c>
      <c r="AD41" s="185" t="e">
        <f aca="false">IF($A42="","",VLOOKUP($A41,Table,MATCH(AD$4,Curves,0)))</f>
        <v>#N/A</v>
      </c>
      <c r="AE41" s="185" t="e">
        <f aca="false">SQRT((AD41^2*(A41-$D$3)+AC41^2*(DAY(EOMONTH(A41,0))/2))/AK41)</f>
        <v>#N/A</v>
      </c>
      <c r="AF41" s="224" t="e">
        <f aca="false">((Summary!$N$13*(AA41*AD41)*(A41-$D$3))+(Summary!$M$13*Z41*AC41*(AJ41-EOMONTH(EDATE(A41,-1),0))))/(AK41*AB41*AE41)</f>
        <v>#N/A</v>
      </c>
      <c r="AG41" s="207" t="n">
        <f aca="false">IF($A42="","",Summary!$Q$13)</f>
        <v>0</v>
      </c>
      <c r="AH41" s="207" t="n">
        <f aca="false">IF($A42="","",IF(Summary!$R$12="Y",(VLOOKUP($A41,Summary!$AD$6:$AF$9,3)+'Escalating commodity'!I54),'Escalating commodity'!I54))</f>
        <v>0.0475879389519017</v>
      </c>
      <c r="AI41" s="207" t="n">
        <f aca="false">IF($A42="","",AH41)</f>
        <v>0.0475879389519017</v>
      </c>
      <c r="AJ41" s="208" t="n">
        <f aca="false">A41+DAY(EOMONTH(A41,0))/2-1</f>
        <v>38001.5</v>
      </c>
      <c r="AK41" s="209" t="n">
        <f aca="false">IF($A42="","",$A41-$E$1)</f>
        <v>-7939</v>
      </c>
      <c r="AL41" s="182" t="e">
        <f aca="false">IF($A42="","",SPRDOPT(P41,X41,AI41,0,AB41,AE41,AF41,AK41,$AJ$2,0))</f>
        <v>#NAME?</v>
      </c>
      <c r="AM41" s="210" t="e">
        <f aca="false">IF($A42="","",MAX(0,O41-W41-AI41))</f>
        <v>#N/A</v>
      </c>
      <c r="AN41" s="211" t="e">
        <f aca="false">IF($A42="","",AL41-AM41)</f>
        <v>#N/A</v>
      </c>
      <c r="AO41" s="137" t="n">
        <f aca="false">IF(A42="","",A42-A41)</f>
        <v>31</v>
      </c>
      <c r="AP41" s="212" t="n">
        <f aca="false">IF(A42="","",CHOOSE(F$3,A42+24,A41))</f>
        <v>37987</v>
      </c>
      <c r="AQ41" s="209" t="n">
        <f aca="false">IF(A42="","",AP41-$E$1)</f>
        <v>-7939</v>
      </c>
      <c r="AR41" s="185" t="n">
        <f aca="false">'ANR OK vs ML7'!AR41</f>
        <v>0.1</v>
      </c>
      <c r="AS41" s="213" t="n">
        <f aca="false">IF(A42="","",1/(1+CHOOSE(F$3,(AR42+($I$3/10000))/2,(AR41+($I$3/10000))/2))^(2*AQ41/365.25))</f>
        <v>8.33935809936448</v>
      </c>
      <c r="AT41" s="137" t="n">
        <f aca="false">IF(A42="","",IF(AND(mthbeg&lt;=A41,mthend&gt;=A41),1,0))</f>
        <v>1</v>
      </c>
      <c r="AU41" s="137" t="n">
        <f aca="false">IF(A42="","",AO41*AT41)</f>
        <v>31</v>
      </c>
      <c r="AW41" s="195" t="e">
        <f aca="false">IF($A42="","",AL41*$E41)</f>
        <v>#NAME?</v>
      </c>
      <c r="AX41" s="195" t="e">
        <f aca="false">IF($A42="","",AM41*$E41)</f>
        <v>#N/A</v>
      </c>
      <c r="AY41" s="195" t="e">
        <f aca="false">IF($A42="","",AN41*$E41)</f>
        <v>#N/A</v>
      </c>
      <c r="BA41" s="195" t="n">
        <f aca="false">IF($A42="","",F41*Summary!$Q$13)</f>
        <v>0</v>
      </c>
      <c r="BC41" s="179" t="e">
        <f aca="false">IF(A42="","",AM41*F41)</f>
        <v>#N/A</v>
      </c>
    </row>
    <row r="42" customFormat="false" ht="12.75" hidden="false" customHeight="false" outlineLevel="0" collapsed="false">
      <c r="A42" s="196" t="n">
        <f aca="false">IF(A41&lt;mthend,EDATE(A41,1),"")</f>
        <v>38018</v>
      </c>
      <c r="B42" s="197" t="n">
        <f aca="false">IF(A42&lt;mthend,B41,"")</f>
        <v>28400</v>
      </c>
      <c r="C42" s="215"/>
      <c r="D42" s="197" t="n">
        <f aca="false">IF(A43&lt;&gt;"",B42+C42,"")</f>
        <v>28400</v>
      </c>
      <c r="E42" s="199" t="n">
        <f aca="false">IF(A43="","",IF(AND(AT42=1,$H$3=1),D42*AO42,IF($H$3=2,D42,"N/A")))</f>
        <v>823600</v>
      </c>
      <c r="F42" s="199" t="n">
        <f aca="false">IF(A43="","",E42*AS42)</f>
        <v>6811647.20567835</v>
      </c>
      <c r="G42" s="200" t="e">
        <f aca="false">IF($A43="","",VLOOKUP($A42,Table,MATCH(G$4,Curves,0)))</f>
        <v>#N/A</v>
      </c>
      <c r="H42" s="201" t="e">
        <f aca="false">IF(A43="","",G42)</f>
        <v>#N/A</v>
      </c>
      <c r="I42" s="202"/>
      <c r="J42" s="200" t="e">
        <f aca="false">IF($A43="","",VLOOKUP($A42,Table,MATCH(J$4,Curves,0)))</f>
        <v>#N/A</v>
      </c>
      <c r="K42" s="201" t="e">
        <f aca="false">IF(A43="","",J42)</f>
        <v>#N/A</v>
      </c>
      <c r="L42" s="185" t="n">
        <v>0</v>
      </c>
      <c r="M42" s="201" t="n">
        <f aca="false">IF(A43="","",L42)</f>
        <v>0</v>
      </c>
      <c r="N42" s="203"/>
      <c r="O42" s="200" t="e">
        <f aca="false">IF(A43="","",L42+J42+G42)</f>
        <v>#N/A</v>
      </c>
      <c r="P42" s="200" t="e">
        <f aca="false">IF(A43="","",M42+K42+H42)</f>
        <v>#N/A</v>
      </c>
      <c r="Q42" s="204"/>
      <c r="R42" s="200" t="e">
        <f aca="false">IF($A43="","",VLOOKUP($A42,Table,MATCH(R$4,Curves,0)))</f>
        <v>#N/A</v>
      </c>
      <c r="S42" s="201" t="e">
        <f aca="false">IF(A43="","",R42)</f>
        <v>#N/A</v>
      </c>
      <c r="T42" s="185" t="n">
        <v>0</v>
      </c>
      <c r="U42" s="201" t="n">
        <f aca="false">IF(A43="","",T42)</f>
        <v>0</v>
      </c>
      <c r="V42" s="205" t="e">
        <f aca="false">(G42+R42)/(1-Summary!$T$13)*Summary!$T$13</f>
        <v>#N/A</v>
      </c>
      <c r="W42" s="202" t="e">
        <f aca="false">IF($A43="","",(T42+R42+G42+V42))</f>
        <v>#N/A</v>
      </c>
      <c r="X42" s="202" t="e">
        <f aca="false">IF($A43="","",(U42+S42+H42+V42))</f>
        <v>#N/A</v>
      </c>
      <c r="Y42" s="202"/>
      <c r="Z42" s="185" t="e">
        <f aca="false">IF($A43="","",VLOOKUP($A42,Table,MATCH(Z$4,Curves,0)))</f>
        <v>#N/A</v>
      </c>
      <c r="AA42" s="185" t="e">
        <f aca="false">IF($A43="","",VLOOKUP($A42,Table,MATCH(AA$4,Curves,0)))</f>
        <v>#N/A</v>
      </c>
      <c r="AB42" s="185" t="e">
        <f aca="false">SQRT((AA42^2*(A42-$D$3)+Z42^2*(DAY(EOMONTH(A42,0))/2))/AK42)</f>
        <v>#N/A</v>
      </c>
      <c r="AC42" s="185" t="e">
        <f aca="false">IF($A43="","",VLOOKUP($A42,Table,MATCH(AC$4,Curves,0)))</f>
        <v>#N/A</v>
      </c>
      <c r="AD42" s="185" t="e">
        <f aca="false">IF($A43="","",VLOOKUP($A42,Table,MATCH(AD$4,Curves,0)))</f>
        <v>#N/A</v>
      </c>
      <c r="AE42" s="185" t="e">
        <f aca="false">SQRT((AD42^2*(A42-$D$3)+AC42^2*(DAY(EOMONTH(A42,0))/2))/AK42)</f>
        <v>#N/A</v>
      </c>
      <c r="AF42" s="224" t="e">
        <f aca="false">((Summary!$N$13*(AA42*AD42)*(A42-$D$3))+(Summary!$M$13*Z42*AC42*(AJ42-EOMONTH(EDATE(A42,-1),0))))/(AK42*AB42*AE42)</f>
        <v>#N/A</v>
      </c>
      <c r="AG42" s="207" t="n">
        <f aca="false">IF($A43="","",Summary!$Q$13)</f>
        <v>0</v>
      </c>
      <c r="AH42" s="207" t="n">
        <f aca="false">IF($A43="","",IF(Summary!$R$12="Y",(VLOOKUP($A42,Summary!$AD$6:$AF$9,3)+'Escalating commodity'!I55),'Escalating commodity'!I55))</f>
        <v>0.0475879389519017</v>
      </c>
      <c r="AI42" s="207" t="n">
        <f aca="false">IF($A43="","",AH42)</f>
        <v>0.0475879389519017</v>
      </c>
      <c r="AJ42" s="208" t="n">
        <f aca="false">A42+DAY(EOMONTH(A42,0))/2-1</f>
        <v>38031.5</v>
      </c>
      <c r="AK42" s="209" t="n">
        <f aca="false">IF($A43="","",$A42-$E$1)</f>
        <v>-7908</v>
      </c>
      <c r="AL42" s="182" t="e">
        <f aca="false">IF($A43="","",SPRDOPT(P42,X42,AI42,0,AB42,AE42,AF42,AK42,$AJ$2,0))</f>
        <v>#NAME?</v>
      </c>
      <c r="AM42" s="210" t="e">
        <f aca="false">IF($A43="","",MAX(0,O42-W42-AI42))</f>
        <v>#N/A</v>
      </c>
      <c r="AN42" s="211" t="e">
        <f aca="false">IF($A43="","",AL42-AM42)</f>
        <v>#N/A</v>
      </c>
      <c r="AO42" s="137" t="n">
        <f aca="false">IF(A43="","",A43-A42)</f>
        <v>29</v>
      </c>
      <c r="AP42" s="212" t="n">
        <f aca="false">IF(A43="","",CHOOSE(F$3,A43+24,A42))</f>
        <v>38018</v>
      </c>
      <c r="AQ42" s="209" t="n">
        <f aca="false">IF(A43="","",AP42-$E$1)</f>
        <v>-7908</v>
      </c>
      <c r="AR42" s="185" t="n">
        <f aca="false">'ANR OK vs ML7'!AR42</f>
        <v>0.1</v>
      </c>
      <c r="AS42" s="213" t="n">
        <f aca="false">IF(A43="","",1/(1+CHOOSE(F$3,(AR43+($I$3/10000))/2,(AR42+($I$3/10000))/2))^(2*AQ42/365.25))</f>
        <v>8.27057698601063</v>
      </c>
      <c r="AT42" s="137" t="n">
        <f aca="false">IF(A43="","",IF(AND(mthbeg&lt;=A42,mthend&gt;=A42),1,0))</f>
        <v>1</v>
      </c>
      <c r="AU42" s="137" t="n">
        <f aca="false">IF(A43="","",AO42*AT42)</f>
        <v>29</v>
      </c>
      <c r="AW42" s="195" t="e">
        <f aca="false">IF($A43="","",AL42*$E42)</f>
        <v>#NAME?</v>
      </c>
      <c r="AX42" s="195" t="e">
        <f aca="false">IF($A43="","",AM42*$E42)</f>
        <v>#N/A</v>
      </c>
      <c r="AY42" s="195" t="e">
        <f aca="false">IF($A43="","",AN42*$E42)</f>
        <v>#N/A</v>
      </c>
      <c r="BA42" s="195" t="n">
        <f aca="false">IF($A43="","",F42*Summary!$Q$13)</f>
        <v>0</v>
      </c>
      <c r="BC42" s="179" t="e">
        <f aca="false">IF(A43="","",AM42*F42)</f>
        <v>#N/A</v>
      </c>
    </row>
    <row r="43" customFormat="false" ht="12.75" hidden="false" customHeight="false" outlineLevel="0" collapsed="false">
      <c r="A43" s="196" t="n">
        <f aca="false">IF(A42&lt;mthend,EDATE(A42,1),"")</f>
        <v>38047</v>
      </c>
      <c r="B43" s="197" t="n">
        <f aca="false">IF(A43&lt;mthend,B42,"")</f>
        <v>28400</v>
      </c>
      <c r="C43" s="215"/>
      <c r="D43" s="197" t="n">
        <f aca="false">IF(A44&lt;&gt;"",B43+C43,"")</f>
        <v>28400</v>
      </c>
      <c r="E43" s="199" t="n">
        <f aca="false">IF(A44="","",IF(AND(AT43=1,$H$3=1),D43*AO43,IF($H$3=2,D43,"N/A")))</f>
        <v>880400</v>
      </c>
      <c r="F43" s="199" t="n">
        <f aca="false">IF(A44="","",E43*AS43)</f>
        <v>7225220.08300855</v>
      </c>
      <c r="G43" s="200" t="e">
        <f aca="false">IF($A44="","",VLOOKUP($A43,Table,MATCH(G$4,Curves,0)))</f>
        <v>#N/A</v>
      </c>
      <c r="H43" s="201" t="e">
        <f aca="false">IF(A44="","",G43)</f>
        <v>#N/A</v>
      </c>
      <c r="I43" s="202"/>
      <c r="J43" s="200" t="e">
        <f aca="false">IF($A44="","",VLOOKUP($A43,Table,MATCH(J$4,Curves,0)))</f>
        <v>#N/A</v>
      </c>
      <c r="K43" s="201" t="e">
        <f aca="false">IF(A44="","",J43)</f>
        <v>#N/A</v>
      </c>
      <c r="L43" s="185" t="n">
        <v>0</v>
      </c>
      <c r="M43" s="201" t="n">
        <f aca="false">IF(A44="","",L43)</f>
        <v>0</v>
      </c>
      <c r="N43" s="203"/>
      <c r="O43" s="200" t="e">
        <f aca="false">IF(A44="","",L43+J43+G43)</f>
        <v>#N/A</v>
      </c>
      <c r="P43" s="200" t="e">
        <f aca="false">IF(A44="","",M43+K43+H43)</f>
        <v>#N/A</v>
      </c>
      <c r="Q43" s="204"/>
      <c r="R43" s="200" t="e">
        <f aca="false">IF($A44="","",VLOOKUP($A43,Table,MATCH(R$4,Curves,0)))</f>
        <v>#N/A</v>
      </c>
      <c r="S43" s="201" t="e">
        <f aca="false">IF(A44="","",R43)</f>
        <v>#N/A</v>
      </c>
      <c r="T43" s="185" t="n">
        <v>0</v>
      </c>
      <c r="U43" s="201" t="n">
        <f aca="false">IF(A44="","",T43)</f>
        <v>0</v>
      </c>
      <c r="V43" s="205" t="e">
        <f aca="false">(G43+R43)/(1-Summary!$T$13)*Summary!$T$13</f>
        <v>#N/A</v>
      </c>
      <c r="W43" s="202" t="e">
        <f aca="false">IF($A44="","",(T43+R43+G43+V43))</f>
        <v>#N/A</v>
      </c>
      <c r="X43" s="202" t="e">
        <f aca="false">IF($A44="","",(U43+S43+H43+V43))</f>
        <v>#N/A</v>
      </c>
      <c r="Y43" s="202"/>
      <c r="Z43" s="185" t="e">
        <f aca="false">IF($A44="","",VLOOKUP($A43,Table,MATCH(Z$4,Curves,0)))</f>
        <v>#N/A</v>
      </c>
      <c r="AA43" s="185" t="e">
        <f aca="false">IF($A44="","",VLOOKUP($A43,Table,MATCH(AA$4,Curves,0)))</f>
        <v>#N/A</v>
      </c>
      <c r="AB43" s="185" t="e">
        <f aca="false">SQRT((AA43^2*(A43-$D$3)+Z43^2*(DAY(EOMONTH(A43,0))/2))/AK43)</f>
        <v>#N/A</v>
      </c>
      <c r="AC43" s="185" t="e">
        <f aca="false">IF($A44="","",VLOOKUP($A43,Table,MATCH(AC$4,Curves,0)))</f>
        <v>#N/A</v>
      </c>
      <c r="AD43" s="185" t="e">
        <f aca="false">IF($A44="","",VLOOKUP($A43,Table,MATCH(AD$4,Curves,0)))</f>
        <v>#N/A</v>
      </c>
      <c r="AE43" s="185" t="e">
        <f aca="false">SQRT((AD43^2*(A43-$D$3)+AC43^2*(DAY(EOMONTH(A43,0))/2))/AK43)</f>
        <v>#N/A</v>
      </c>
      <c r="AF43" s="224" t="e">
        <f aca="false">((Summary!$N$13*(AA43*AD43)*(A43-$D$3))+(Summary!$M$13*Z43*AC43*(AJ43-EOMONTH(EDATE(A43,-1),0))))/(AK43*AB43*AE43)</f>
        <v>#N/A</v>
      </c>
      <c r="AG43" s="207" t="n">
        <f aca="false">IF($A44="","",Summary!$Q$13)</f>
        <v>0</v>
      </c>
      <c r="AH43" s="207" t="n">
        <f aca="false">IF($A44="","",IF(Summary!$R$12="Y",(VLOOKUP($A43,Summary!$AD$6:$AF$9,3)+'Escalating commodity'!I56),'Escalating commodity'!I56))</f>
        <v>0.0475879389519017</v>
      </c>
      <c r="AI43" s="207" t="n">
        <f aca="false">IF($A44="","",AH43)</f>
        <v>0.0475879389519017</v>
      </c>
      <c r="AJ43" s="208" t="n">
        <f aca="false">A43+DAY(EOMONTH(A43,0))/2-1</f>
        <v>38061.5</v>
      </c>
      <c r="AK43" s="209" t="n">
        <f aca="false">IF($A44="","",$A43-$E$1)</f>
        <v>-7879</v>
      </c>
      <c r="AL43" s="182" t="e">
        <f aca="false">IF($A44="","",SPRDOPT(P43,X43,AI43,0,AB43,AE43,AF43,AK43,$AJ$2,0))</f>
        <v>#NAME?</v>
      </c>
      <c r="AM43" s="210" t="e">
        <f aca="false">IF($A44="","",MAX(0,O43-W43-AI43))</f>
        <v>#N/A</v>
      </c>
      <c r="AN43" s="211" t="e">
        <f aca="false">IF($A44="","",AL43-AM43)</f>
        <v>#N/A</v>
      </c>
      <c r="AO43" s="137" t="n">
        <f aca="false">IF(A44="","",A44-A43)</f>
        <v>31</v>
      </c>
      <c r="AP43" s="212" t="n">
        <f aca="false">IF(A44="","",CHOOSE(F$3,A44+24,A43))</f>
        <v>38047</v>
      </c>
      <c r="AQ43" s="209" t="n">
        <f aca="false">IF(A44="","",AP43-$E$1)</f>
        <v>-7879</v>
      </c>
      <c r="AR43" s="185" t="n">
        <f aca="false">'ANR OK vs ML7'!AR43</f>
        <v>0.1</v>
      </c>
      <c r="AS43" s="213" t="n">
        <f aca="false">IF(A44="","",1/(1+CHOOSE(F$3,(AR44+($I$3/10000))/2,(AR43+($I$3/10000))/2))^(2*AQ43/365.25))</f>
        <v>8.20674702749722</v>
      </c>
      <c r="AT43" s="137" t="n">
        <f aca="false">IF(A44="","",IF(AND(mthbeg&lt;=A43,mthend&gt;=A43),1,0))</f>
        <v>1</v>
      </c>
      <c r="AU43" s="137" t="n">
        <f aca="false">IF(A44="","",AO43*AT43)</f>
        <v>31</v>
      </c>
      <c r="AW43" s="195" t="e">
        <f aca="false">IF($A44="","",AL43*$E43)</f>
        <v>#NAME?</v>
      </c>
      <c r="AX43" s="195" t="e">
        <f aca="false">IF($A44="","",AM43*$E43)</f>
        <v>#N/A</v>
      </c>
      <c r="AY43" s="195" t="e">
        <f aca="false">IF($A44="","",AN43*$E43)</f>
        <v>#N/A</v>
      </c>
      <c r="BA43" s="195" t="n">
        <f aca="false">IF($A44="","",F43*Summary!$Q$13)</f>
        <v>0</v>
      </c>
      <c r="BC43" s="179" t="e">
        <f aca="false">IF(A44="","",AM43*F43)</f>
        <v>#N/A</v>
      </c>
    </row>
    <row r="44" customFormat="false" ht="12.75" hidden="false" customHeight="false" outlineLevel="0" collapsed="false">
      <c r="A44" s="196" t="n">
        <f aca="false">IF(A43&lt;mthend,EDATE(A43,1),"")</f>
        <v>38078</v>
      </c>
      <c r="B44" s="197" t="n">
        <f aca="false">IF(A44&lt;mthend,B43,"")</f>
        <v>28400</v>
      </c>
      <c r="C44" s="215"/>
      <c r="D44" s="197" t="n">
        <f aca="false">IF(A45&lt;&gt;"",B44+C44,"")</f>
        <v>28400</v>
      </c>
      <c r="E44" s="199" t="n">
        <f aca="false">IF(A45="","",IF(AND(AT44=1,$H$3=1),D44*AO44,IF($H$3=2,D44,"N/A")))</f>
        <v>852000</v>
      </c>
      <c r="F44" s="199" t="n">
        <f aca="false">IF(A45="","",E44*AS44)</f>
        <v>6934478.83019719</v>
      </c>
      <c r="G44" s="200" t="e">
        <f aca="false">IF($A45="","",VLOOKUP($A44,Table,MATCH(G$4,Curves,0)))</f>
        <v>#N/A</v>
      </c>
      <c r="H44" s="201" t="e">
        <f aca="false">IF(A45="","",G44)</f>
        <v>#N/A</v>
      </c>
      <c r="I44" s="202"/>
      <c r="J44" s="200" t="e">
        <f aca="false">IF($A45="","",VLOOKUP($A44,Table,MATCH(J$4,Curves,0)))</f>
        <v>#N/A</v>
      </c>
      <c r="K44" s="201" t="e">
        <f aca="false">IF(A45="","",J44)</f>
        <v>#N/A</v>
      </c>
      <c r="L44" s="185" t="n">
        <v>0</v>
      </c>
      <c r="M44" s="201" t="n">
        <f aca="false">IF(A45="","",L44)</f>
        <v>0</v>
      </c>
      <c r="N44" s="203"/>
      <c r="O44" s="200" t="e">
        <f aca="false">IF(A45="","",L44+J44+G44)</f>
        <v>#N/A</v>
      </c>
      <c r="P44" s="200" t="e">
        <f aca="false">IF(A45="","",M44+K44+H44)</f>
        <v>#N/A</v>
      </c>
      <c r="Q44" s="204"/>
      <c r="R44" s="200" t="e">
        <f aca="false">IF($A45="","",VLOOKUP($A44,Table,MATCH(R$4,Curves,0)))</f>
        <v>#N/A</v>
      </c>
      <c r="S44" s="201" t="e">
        <f aca="false">IF(A45="","",R44)</f>
        <v>#N/A</v>
      </c>
      <c r="T44" s="185" t="n">
        <v>0</v>
      </c>
      <c r="U44" s="201" t="n">
        <f aca="false">IF(A45="","",T44)</f>
        <v>0</v>
      </c>
      <c r="V44" s="205" t="e">
        <f aca="false">(G44+R44)/(1-Summary!$T$13)*Summary!$T$13</f>
        <v>#N/A</v>
      </c>
      <c r="W44" s="202" t="e">
        <f aca="false">IF($A45="","",(T44+R44+G44+V44))</f>
        <v>#N/A</v>
      </c>
      <c r="X44" s="202" t="e">
        <f aca="false">IF($A45="","",(U44+S44+H44+V44))</f>
        <v>#N/A</v>
      </c>
      <c r="Y44" s="202"/>
      <c r="Z44" s="185" t="e">
        <f aca="false">IF($A45="","",VLOOKUP($A44,Table,MATCH(Z$4,Curves,0)))</f>
        <v>#N/A</v>
      </c>
      <c r="AA44" s="185" t="e">
        <f aca="false">IF($A45="","",VLOOKUP($A44,Table,MATCH(AA$4,Curves,0)))</f>
        <v>#N/A</v>
      </c>
      <c r="AB44" s="185" t="e">
        <f aca="false">SQRT((AA44^2*(A44-$D$3)+Z44^2*(DAY(EOMONTH(A44,0))/2))/AK44)</f>
        <v>#N/A</v>
      </c>
      <c r="AC44" s="185" t="e">
        <f aca="false">IF($A45="","",VLOOKUP($A44,Table,MATCH(AC$4,Curves,0)))</f>
        <v>#N/A</v>
      </c>
      <c r="AD44" s="185" t="e">
        <f aca="false">IF($A45="","",VLOOKUP($A44,Table,MATCH(AD$4,Curves,0)))</f>
        <v>#N/A</v>
      </c>
      <c r="AE44" s="185" t="e">
        <f aca="false">SQRT((AD44^2*(A44-$D$3)+AC44^2*(DAY(EOMONTH(A44,0))/2))/AK44)</f>
        <v>#N/A</v>
      </c>
      <c r="AF44" s="224" t="e">
        <f aca="false">((Summary!$N$13*(AA44*AD44)*(A44-$D$3))+(Summary!$M$13*Z44*AC44*(AJ44-EOMONTH(EDATE(A44,-1),0))))/(AK44*AB44*AE44)</f>
        <v>#N/A</v>
      </c>
      <c r="AG44" s="207" t="n">
        <f aca="false">IF($A45="","",Summary!$Q$13)</f>
        <v>0</v>
      </c>
      <c r="AH44" s="207" t="n">
        <f aca="false">IF($A45="","",IF(Summary!$R$12="Y",(VLOOKUP($A44,Summary!$AD$6:$AF$9,3)+'Escalating commodity'!I57),'Escalating commodity'!I57))</f>
        <v>0.0475879389519017</v>
      </c>
      <c r="AI44" s="207" t="n">
        <f aca="false">IF($A45="","",AH44)</f>
        <v>0.0475879389519017</v>
      </c>
      <c r="AJ44" s="208" t="n">
        <f aca="false">A44+DAY(EOMONTH(A44,0))/2-1</f>
        <v>38092</v>
      </c>
      <c r="AK44" s="209" t="n">
        <f aca="false">IF($A45="","",$A44-$E$1)</f>
        <v>-7848</v>
      </c>
      <c r="AL44" s="182" t="e">
        <f aca="false">IF($A45="","",SPRDOPT(P44,X44,AI44,0,AB44,AE44,AF44,AK44,$AJ$2,0))</f>
        <v>#NAME?</v>
      </c>
      <c r="AM44" s="210" t="e">
        <f aca="false">IF($A45="","",MAX(0,O44-W44-AI44))</f>
        <v>#N/A</v>
      </c>
      <c r="AN44" s="211" t="e">
        <f aca="false">IF($A45="","",AL44-AM44)</f>
        <v>#N/A</v>
      </c>
      <c r="AO44" s="137" t="n">
        <f aca="false">IF(A45="","",A45-A44)</f>
        <v>30</v>
      </c>
      <c r="AP44" s="212" t="n">
        <f aca="false">IF(A45="","",CHOOSE(F$3,A45+24,A44))</f>
        <v>38078</v>
      </c>
      <c r="AQ44" s="209" t="n">
        <f aca="false">IF(A45="","",AP44-$E$1)</f>
        <v>-7848</v>
      </c>
      <c r="AR44" s="185" t="n">
        <f aca="false">'ANR OK vs ML7'!AR44</f>
        <v>0.1</v>
      </c>
      <c r="AS44" s="213" t="n">
        <f aca="false">IF(A45="","",1/(1+CHOOSE(F$3,(AR45+($I$3/10000))/2,(AR44+($I$3/10000))/2))^(2*AQ44/365.25))</f>
        <v>8.13905965985585</v>
      </c>
      <c r="AT44" s="137" t="n">
        <f aca="false">IF(A45="","",IF(AND(mthbeg&lt;=A44,mthend&gt;=A44),1,0))</f>
        <v>1</v>
      </c>
      <c r="AU44" s="137" t="n">
        <f aca="false">IF(A45="","",AO44*AT44)</f>
        <v>30</v>
      </c>
      <c r="AW44" s="195" t="e">
        <f aca="false">IF($A45="","",AL44*$E44)</f>
        <v>#NAME?</v>
      </c>
      <c r="AX44" s="195" t="e">
        <f aca="false">IF($A45="","",AM44*$E44)</f>
        <v>#N/A</v>
      </c>
      <c r="AY44" s="195" t="e">
        <f aca="false">IF($A45="","",AN44*$E44)</f>
        <v>#N/A</v>
      </c>
      <c r="BA44" s="195" t="n">
        <f aca="false">IF($A45="","",F44*Summary!$Q$13)</f>
        <v>0</v>
      </c>
      <c r="BC44" s="179" t="e">
        <f aca="false">IF(A45="","",AM44*F44)</f>
        <v>#N/A</v>
      </c>
    </row>
    <row r="45" customFormat="false" ht="12.75" hidden="false" customHeight="false" outlineLevel="0" collapsed="false">
      <c r="A45" s="196" t="n">
        <f aca="false">IF(A44&lt;mthend,EDATE(A44,1),"")</f>
        <v>38108</v>
      </c>
      <c r="B45" s="197" t="n">
        <f aca="false">IF(A45&lt;mthend,B44,"")</f>
        <v>28400</v>
      </c>
      <c r="C45" s="215"/>
      <c r="D45" s="197" t="n">
        <f aca="false">IF(A46&lt;&gt;"",B45+C45,"")</f>
        <v>28400</v>
      </c>
      <c r="E45" s="199" t="n">
        <f aca="false">IF(A46="","",IF(AND(AT45=1,$H$3=1),D45*AO45,IF($H$3=2,D45,"N/A")))</f>
        <v>880400</v>
      </c>
      <c r="F45" s="199" t="n">
        <f aca="false">IF(A46="","",E45*AS45)</f>
        <v>7108426.50313312</v>
      </c>
      <c r="G45" s="200" t="e">
        <f aca="false">IF($A46="","",VLOOKUP($A45,Table,MATCH(G$4,Curves,0)))</f>
        <v>#N/A</v>
      </c>
      <c r="H45" s="201" t="e">
        <f aca="false">IF(A46="","",G45)</f>
        <v>#N/A</v>
      </c>
      <c r="I45" s="202"/>
      <c r="J45" s="200" t="e">
        <f aca="false">IF($A46="","",VLOOKUP($A45,Table,MATCH(J$4,Curves,0)))</f>
        <v>#N/A</v>
      </c>
      <c r="K45" s="201" t="e">
        <f aca="false">IF(A46="","",J45)</f>
        <v>#N/A</v>
      </c>
      <c r="L45" s="185" t="n">
        <v>0</v>
      </c>
      <c r="M45" s="201" t="n">
        <f aca="false">IF(A46="","",L45)</f>
        <v>0</v>
      </c>
      <c r="N45" s="203"/>
      <c r="O45" s="200" t="e">
        <f aca="false">IF(A46="","",L45+J45+G45)</f>
        <v>#N/A</v>
      </c>
      <c r="P45" s="200" t="e">
        <f aca="false">IF(A46="","",M45+K45+H45)</f>
        <v>#N/A</v>
      </c>
      <c r="Q45" s="204"/>
      <c r="R45" s="200" t="e">
        <f aca="false">IF($A46="","",VLOOKUP($A45,Table,MATCH(R$4,Curves,0)))</f>
        <v>#N/A</v>
      </c>
      <c r="S45" s="201" t="e">
        <f aca="false">IF(A46="","",R45)</f>
        <v>#N/A</v>
      </c>
      <c r="T45" s="185" t="n">
        <v>0</v>
      </c>
      <c r="U45" s="201" t="n">
        <f aca="false">IF(A46="","",T45)</f>
        <v>0</v>
      </c>
      <c r="V45" s="205" t="e">
        <f aca="false">(G45+R45)/(1-Summary!$T$13)*Summary!$T$13</f>
        <v>#N/A</v>
      </c>
      <c r="W45" s="202" t="e">
        <f aca="false">IF($A46="","",(T45+R45+G45+V45))</f>
        <v>#N/A</v>
      </c>
      <c r="X45" s="202" t="e">
        <f aca="false">IF($A46="","",(U45+S45+H45+V45))</f>
        <v>#N/A</v>
      </c>
      <c r="Y45" s="202"/>
      <c r="Z45" s="185" t="e">
        <f aca="false">IF($A46="","",VLOOKUP($A45,Table,MATCH(Z$4,Curves,0)))</f>
        <v>#N/A</v>
      </c>
      <c r="AA45" s="185" t="e">
        <f aca="false">IF($A46="","",VLOOKUP($A45,Table,MATCH(AA$4,Curves,0)))</f>
        <v>#N/A</v>
      </c>
      <c r="AB45" s="185" t="e">
        <f aca="false">SQRT((AA45^2*(A45-$D$3)+Z45^2*(DAY(EOMONTH(A45,0))/2))/AK45)</f>
        <v>#N/A</v>
      </c>
      <c r="AC45" s="185" t="e">
        <f aca="false">IF($A46="","",VLOOKUP($A45,Table,MATCH(AC$4,Curves,0)))</f>
        <v>#N/A</v>
      </c>
      <c r="AD45" s="185" t="e">
        <f aca="false">IF($A46="","",VLOOKUP($A45,Table,MATCH(AD$4,Curves,0)))</f>
        <v>#N/A</v>
      </c>
      <c r="AE45" s="185" t="e">
        <f aca="false">SQRT((AD45^2*(A45-$D$3)+AC45^2*(DAY(EOMONTH(A45,0))/2))/AK45)</f>
        <v>#N/A</v>
      </c>
      <c r="AF45" s="224" t="e">
        <f aca="false">((Summary!$N$13*(AA45*AD45)*(A45-$D$3))+(Summary!$M$13*Z45*AC45*(AJ45-EOMONTH(EDATE(A45,-1),0))))/(AK45*AB45*AE45)</f>
        <v>#N/A</v>
      </c>
      <c r="AG45" s="207" t="n">
        <f aca="false">IF($A46="","",Summary!$Q$13)</f>
        <v>0</v>
      </c>
      <c r="AH45" s="207" t="n">
        <f aca="false">IF($A46="","",IF(Summary!$R$12="Y",(VLOOKUP($A45,Summary!$AD$6:$AF$9,3)+'Escalating commodity'!I58),'Escalating commodity'!I58))</f>
        <v>0.0475879389519017</v>
      </c>
      <c r="AI45" s="207" t="n">
        <f aca="false">IF($A46="","",AH45)</f>
        <v>0.0475879389519017</v>
      </c>
      <c r="AJ45" s="208" t="n">
        <f aca="false">A45+DAY(EOMONTH(A45,0))/2-1</f>
        <v>38122.5</v>
      </c>
      <c r="AK45" s="209" t="n">
        <f aca="false">IF($A46="","",$A45-$E$1)</f>
        <v>-7818</v>
      </c>
      <c r="AL45" s="182" t="e">
        <f aca="false">IF($A46="","",SPRDOPT(P45,X45,AI45,0,AB45,AE45,AF45,AK45,$AJ$2,0))</f>
        <v>#NAME?</v>
      </c>
      <c r="AM45" s="210" t="e">
        <f aca="false">IF($A46="","",MAX(0,O45-W45-AI45))</f>
        <v>#N/A</v>
      </c>
      <c r="AN45" s="211" t="e">
        <f aca="false">IF($A46="","",AL45-AM45)</f>
        <v>#N/A</v>
      </c>
      <c r="AO45" s="137" t="n">
        <f aca="false">IF(A46="","",A46-A45)</f>
        <v>31</v>
      </c>
      <c r="AP45" s="212" t="n">
        <f aca="false">IF(A46="","",CHOOSE(F$3,A46+24,A45))</f>
        <v>38108</v>
      </c>
      <c r="AQ45" s="209" t="n">
        <f aca="false">IF(A46="","",AP45-$E$1)</f>
        <v>-7818</v>
      </c>
      <c r="AR45" s="185" t="n">
        <f aca="false">'ANR OK vs ML7'!AR45</f>
        <v>0.1</v>
      </c>
      <c r="AS45" s="213" t="n">
        <f aca="false">IF(A46="","",1/(1+CHOOSE(F$3,(AR46+($I$3/10000))/2,(AR45+($I$3/10000))/2))^(2*AQ45/365.25))</f>
        <v>8.07408735021935</v>
      </c>
      <c r="AT45" s="137" t="n">
        <f aca="false">IF(A46="","",IF(AND(mthbeg&lt;=A45,mthend&gt;=A45),1,0))</f>
        <v>1</v>
      </c>
      <c r="AU45" s="137" t="n">
        <f aca="false">IF(A46="","",AO45*AT45)</f>
        <v>31</v>
      </c>
      <c r="AW45" s="195" t="e">
        <f aca="false">IF($A46="","",AL45*$E45)</f>
        <v>#NAME?</v>
      </c>
      <c r="AX45" s="195" t="e">
        <f aca="false">IF($A46="","",AM45*$E45)</f>
        <v>#N/A</v>
      </c>
      <c r="AY45" s="195" t="e">
        <f aca="false">IF($A46="","",AN45*$E45)</f>
        <v>#N/A</v>
      </c>
      <c r="BA45" s="195" t="n">
        <f aca="false">IF($A46="","",F45*Summary!$Q$13)</f>
        <v>0</v>
      </c>
      <c r="BC45" s="179" t="e">
        <f aca="false">IF(A46="","",AM45*F45)</f>
        <v>#N/A</v>
      </c>
    </row>
    <row r="46" customFormat="false" ht="12.75" hidden="false" customHeight="false" outlineLevel="0" collapsed="false">
      <c r="A46" s="196" t="n">
        <f aca="false">IF(A45&lt;mthend,EDATE(A45,1),"")</f>
        <v>38139</v>
      </c>
      <c r="B46" s="197" t="n">
        <f aca="false">IF(A46&lt;mthend,B45,"")</f>
        <v>28400</v>
      </c>
      <c r="C46" s="215"/>
      <c r="D46" s="197" t="n">
        <f aca="false">IF(A47&lt;&gt;"",B46+C46,"")</f>
        <v>28400</v>
      </c>
      <c r="E46" s="199" t="n">
        <f aca="false">IF(A47="","",IF(AND(AT46=1,$H$3=1),D46*AO46,IF($H$3=2,D46,"N/A")))</f>
        <v>852000</v>
      </c>
      <c r="F46" s="199" t="n">
        <f aca="false">IF(A47="","",E46*AS46)</f>
        <v>6822384.9980586</v>
      </c>
      <c r="G46" s="200" t="e">
        <f aca="false">IF($A47="","",VLOOKUP($A46,Table,MATCH(G$4,Curves,0)))</f>
        <v>#N/A</v>
      </c>
      <c r="H46" s="201" t="e">
        <f aca="false">IF(A47="","",G46)</f>
        <v>#N/A</v>
      </c>
      <c r="I46" s="202"/>
      <c r="J46" s="200" t="e">
        <f aca="false">IF($A47="","",VLOOKUP($A46,Table,MATCH(J$4,Curves,0)))</f>
        <v>#N/A</v>
      </c>
      <c r="K46" s="201" t="e">
        <f aca="false">IF(A47="","",J46)</f>
        <v>#N/A</v>
      </c>
      <c r="L46" s="185" t="n">
        <v>0</v>
      </c>
      <c r="M46" s="201" t="n">
        <f aca="false">IF(A47="","",L46)</f>
        <v>0</v>
      </c>
      <c r="N46" s="203"/>
      <c r="O46" s="200" t="e">
        <f aca="false">IF(A47="","",L46+J46+G46)</f>
        <v>#N/A</v>
      </c>
      <c r="P46" s="200" t="e">
        <f aca="false">IF(A47="","",M46+K46+H46)</f>
        <v>#N/A</v>
      </c>
      <c r="Q46" s="204"/>
      <c r="R46" s="200" t="e">
        <f aca="false">IF($A47="","",VLOOKUP($A46,Table,MATCH(R$4,Curves,0)))</f>
        <v>#N/A</v>
      </c>
      <c r="S46" s="201" t="e">
        <f aca="false">IF(A47="","",R46)</f>
        <v>#N/A</v>
      </c>
      <c r="T46" s="185" t="n">
        <v>0</v>
      </c>
      <c r="U46" s="201" t="n">
        <f aca="false">IF(A47="","",T46)</f>
        <v>0</v>
      </c>
      <c r="V46" s="205" t="e">
        <f aca="false">(G46+R46)/(1-Summary!$T$13)*Summary!$T$13</f>
        <v>#N/A</v>
      </c>
      <c r="W46" s="202" t="e">
        <f aca="false">IF($A47="","",(T46+R46+G46+V46))</f>
        <v>#N/A</v>
      </c>
      <c r="X46" s="202" t="e">
        <f aca="false">IF($A47="","",(U46+S46+H46+V46))</f>
        <v>#N/A</v>
      </c>
      <c r="Y46" s="202"/>
      <c r="Z46" s="185" t="e">
        <f aca="false">IF($A47="","",VLOOKUP($A46,Table,MATCH(Z$4,Curves,0)))</f>
        <v>#N/A</v>
      </c>
      <c r="AA46" s="185" t="e">
        <f aca="false">IF($A47="","",VLOOKUP($A46,Table,MATCH(AA$4,Curves,0)))</f>
        <v>#N/A</v>
      </c>
      <c r="AB46" s="185" t="e">
        <f aca="false">SQRT((AA46^2*(A46-$D$3)+Z46^2*(DAY(EOMONTH(A46,0))/2))/AK46)</f>
        <v>#N/A</v>
      </c>
      <c r="AC46" s="185" t="e">
        <f aca="false">IF($A47="","",VLOOKUP($A46,Table,MATCH(AC$4,Curves,0)))</f>
        <v>#N/A</v>
      </c>
      <c r="AD46" s="185" t="e">
        <f aca="false">IF($A47="","",VLOOKUP($A46,Table,MATCH(AD$4,Curves,0)))</f>
        <v>#N/A</v>
      </c>
      <c r="AE46" s="185" t="e">
        <f aca="false">SQRT((AD46^2*(A46-$D$3)+AC46^2*(DAY(EOMONTH(A46,0))/2))/AK46)</f>
        <v>#N/A</v>
      </c>
      <c r="AF46" s="224" t="e">
        <f aca="false">((Summary!$N$13*(AA46*AD46)*(A46-$D$3))+(Summary!$M$13*Z46*AC46*(AJ46-EOMONTH(EDATE(A46,-1),0))))/(AK46*AB46*AE46)</f>
        <v>#N/A</v>
      </c>
      <c r="AG46" s="207" t="n">
        <f aca="false">IF($A47="","",Summary!$Q$13)</f>
        <v>0</v>
      </c>
      <c r="AH46" s="207" t="n">
        <f aca="false">IF($A47="","",IF(Summary!$R$12="Y",(VLOOKUP($A46,Summary!$AD$6:$AF$9,3)+'Escalating commodity'!I59),'Escalating commodity'!I59))</f>
        <v>0.0475879389519017</v>
      </c>
      <c r="AI46" s="207" t="n">
        <f aca="false">IF($A47="","",AH46)</f>
        <v>0.0475879389519017</v>
      </c>
      <c r="AJ46" s="208" t="n">
        <f aca="false">A46+DAY(EOMONTH(A46,0))/2-1</f>
        <v>38153</v>
      </c>
      <c r="AK46" s="209" t="n">
        <f aca="false">IF($A47="","",$A46-$E$1)</f>
        <v>-7787</v>
      </c>
      <c r="AL46" s="182" t="e">
        <f aca="false">IF($A47="","",SPRDOPT(P46,X46,AI46,0,AB46,AE46,AF46,AK46,$AJ$2,0))</f>
        <v>#NAME?</v>
      </c>
      <c r="AM46" s="210" t="e">
        <f aca="false">IF($A47="","",MAX(0,O46-W46-AI46))</f>
        <v>#N/A</v>
      </c>
      <c r="AN46" s="211" t="e">
        <f aca="false">IF($A47="","",AL46-AM46)</f>
        <v>#N/A</v>
      </c>
      <c r="AO46" s="137" t="n">
        <f aca="false">IF(A47="","",A47-A46)</f>
        <v>30</v>
      </c>
      <c r="AP46" s="212" t="n">
        <f aca="false">IF(A47="","",CHOOSE(F$3,A47+24,A46))</f>
        <v>38139</v>
      </c>
      <c r="AQ46" s="209" t="n">
        <f aca="false">IF(A47="","",AP46-$E$1)</f>
        <v>-7787</v>
      </c>
      <c r="AR46" s="185" t="n">
        <f aca="false">'ANR OK vs ML7'!AR46</f>
        <v>0.1</v>
      </c>
      <c r="AS46" s="213" t="n">
        <f aca="false">IF(A47="","",1/(1+CHOOSE(F$3,(AR47+($I$3/10000))/2,(AR46+($I$3/10000))/2))^(2*AQ46/365.25))</f>
        <v>8.00749412917676</v>
      </c>
      <c r="AT46" s="137" t="n">
        <f aca="false">IF(A47="","",IF(AND(mthbeg&lt;=A46,mthend&gt;=A46),1,0))</f>
        <v>1</v>
      </c>
      <c r="AU46" s="137" t="n">
        <f aca="false">IF(A47="","",AO46*AT46)</f>
        <v>30</v>
      </c>
      <c r="AW46" s="195" t="e">
        <f aca="false">IF($A47="","",AL46*$E46)</f>
        <v>#NAME?</v>
      </c>
      <c r="AX46" s="195" t="e">
        <f aca="false">IF($A47="","",AM46*$E46)</f>
        <v>#N/A</v>
      </c>
      <c r="AY46" s="195" t="e">
        <f aca="false">IF($A47="","",AN46*$E46)</f>
        <v>#N/A</v>
      </c>
      <c r="BA46" s="195" t="n">
        <f aca="false">IF($A47="","",F46*Summary!$Q$13)</f>
        <v>0</v>
      </c>
      <c r="BC46" s="179" t="e">
        <f aca="false">IF(A47="","",AM46*F46)</f>
        <v>#N/A</v>
      </c>
    </row>
    <row r="47" customFormat="false" ht="12.75" hidden="false" customHeight="false" outlineLevel="0" collapsed="false">
      <c r="A47" s="196" t="n">
        <f aca="false">IF(A46&lt;mthend,EDATE(A46,1),"")</f>
        <v>38169</v>
      </c>
      <c r="B47" s="197" t="n">
        <f aca="false">IF(A47&lt;mthend,B46,"")</f>
        <v>28400</v>
      </c>
      <c r="C47" s="215"/>
      <c r="D47" s="197" t="n">
        <f aca="false">IF(A48&lt;&gt;"",B47+C47,"")</f>
        <v>28400</v>
      </c>
      <c r="E47" s="199" t="n">
        <f aca="false">IF(A48="","",IF(AND(AT47=1,$H$3=1),D47*AO47,IF($H$3=2,D47,"N/A")))</f>
        <v>880400</v>
      </c>
      <c r="F47" s="199" t="n">
        <f aca="false">IF(A48="","",E47*AS47)</f>
        <v>6993520.85748577</v>
      </c>
      <c r="G47" s="200" t="e">
        <f aca="false">IF($A48="","",VLOOKUP($A47,Table,MATCH(G$4,Curves,0)))</f>
        <v>#N/A</v>
      </c>
      <c r="H47" s="201" t="e">
        <f aca="false">IF(A48="","",G47)</f>
        <v>#N/A</v>
      </c>
      <c r="I47" s="202"/>
      <c r="J47" s="200" t="e">
        <f aca="false">IF($A48="","",VLOOKUP($A47,Table,MATCH(J$4,Curves,0)))</f>
        <v>#N/A</v>
      </c>
      <c r="K47" s="201" t="e">
        <f aca="false">IF(A48="","",J47)</f>
        <v>#N/A</v>
      </c>
      <c r="L47" s="185" t="n">
        <v>0</v>
      </c>
      <c r="M47" s="201" t="n">
        <f aca="false">IF(A48="","",L47)</f>
        <v>0</v>
      </c>
      <c r="N47" s="203"/>
      <c r="O47" s="200" t="e">
        <f aca="false">IF(A48="","",L47+J47+G47)</f>
        <v>#N/A</v>
      </c>
      <c r="P47" s="200" t="e">
        <f aca="false">IF(A48="","",M47+K47+H47)</f>
        <v>#N/A</v>
      </c>
      <c r="Q47" s="204"/>
      <c r="R47" s="200" t="e">
        <f aca="false">IF($A48="","",VLOOKUP($A47,Table,MATCH(R$4,Curves,0)))</f>
        <v>#N/A</v>
      </c>
      <c r="S47" s="201" t="e">
        <f aca="false">IF(A48="","",R47)</f>
        <v>#N/A</v>
      </c>
      <c r="T47" s="185" t="n">
        <v>0</v>
      </c>
      <c r="U47" s="201" t="n">
        <f aca="false">IF(A48="","",T47)</f>
        <v>0</v>
      </c>
      <c r="V47" s="205" t="e">
        <f aca="false">(G47+R47)/(1-Summary!$T$13)*Summary!$T$13</f>
        <v>#N/A</v>
      </c>
      <c r="W47" s="202" t="e">
        <f aca="false">IF($A48="","",(T47+R47+G47+V47))</f>
        <v>#N/A</v>
      </c>
      <c r="X47" s="202" t="e">
        <f aca="false">IF($A48="","",(U47+S47+H47+V47))</f>
        <v>#N/A</v>
      </c>
      <c r="Y47" s="202"/>
      <c r="Z47" s="185" t="e">
        <f aca="false">IF($A48="","",VLOOKUP($A47,Table,MATCH(Z$4,Curves,0)))</f>
        <v>#N/A</v>
      </c>
      <c r="AA47" s="185" t="e">
        <f aca="false">IF($A48="","",VLOOKUP($A47,Table,MATCH(AA$4,Curves,0)))</f>
        <v>#N/A</v>
      </c>
      <c r="AB47" s="185" t="e">
        <f aca="false">SQRT((AA47^2*(A47-$D$3)+Z47^2*(DAY(EOMONTH(A47,0))/2))/AK47)</f>
        <v>#N/A</v>
      </c>
      <c r="AC47" s="185" t="e">
        <f aca="false">IF($A48="","",VLOOKUP($A47,Table,MATCH(AC$4,Curves,0)))</f>
        <v>#N/A</v>
      </c>
      <c r="AD47" s="185" t="e">
        <f aca="false">IF($A48="","",VLOOKUP($A47,Table,MATCH(AD$4,Curves,0)))</f>
        <v>#N/A</v>
      </c>
      <c r="AE47" s="185" t="e">
        <f aca="false">SQRT((AD47^2*(A47-$D$3)+AC47^2*(DAY(EOMONTH(A47,0))/2))/AK47)</f>
        <v>#N/A</v>
      </c>
      <c r="AF47" s="224" t="e">
        <f aca="false">((Summary!$N$13*(AA47*AD47)*(A47-$D$3))+(Summary!$M$13*Z47*AC47*(AJ47-EOMONTH(EDATE(A47,-1),0))))/(AK47*AB47*AE47)</f>
        <v>#N/A</v>
      </c>
      <c r="AG47" s="207" t="n">
        <f aca="false">IF($A48="","",Summary!$Q$13)</f>
        <v>0</v>
      </c>
      <c r="AH47" s="207" t="n">
        <f aca="false">IF($A48="","",IF(Summary!$R$12="Y",(VLOOKUP($A47,Summary!$AD$6:$AF$9,3)+'Escalating commodity'!I60),'Escalating commodity'!I60))</f>
        <v>0.0475879389519017</v>
      </c>
      <c r="AI47" s="207" t="n">
        <f aca="false">IF($A48="","",AH47)</f>
        <v>0.0475879389519017</v>
      </c>
      <c r="AJ47" s="208" t="n">
        <f aca="false">A47+DAY(EOMONTH(A47,0))/2-1</f>
        <v>38183.5</v>
      </c>
      <c r="AK47" s="209" t="n">
        <f aca="false">IF($A48="","",$A47-$E$1)</f>
        <v>-7757</v>
      </c>
      <c r="AL47" s="182" t="e">
        <f aca="false">IF($A48="","",SPRDOPT(P47,X47,AI47,0,AB47,AE47,AF47,AK47,$AJ$2,0))</f>
        <v>#NAME?</v>
      </c>
      <c r="AM47" s="210" t="e">
        <f aca="false">IF($A48="","",MAX(0,O47-W47-AI47))</f>
        <v>#N/A</v>
      </c>
      <c r="AN47" s="211" t="e">
        <f aca="false">IF($A48="","",AL47-AM47)</f>
        <v>#N/A</v>
      </c>
      <c r="AO47" s="137" t="n">
        <f aca="false">IF(A48="","",A48-A47)</f>
        <v>31</v>
      </c>
      <c r="AP47" s="212" t="n">
        <f aca="false">IF(A48="","",CHOOSE(F$3,A48+24,A47))</f>
        <v>38169</v>
      </c>
      <c r="AQ47" s="209" t="n">
        <f aca="false">IF(A48="","",AP47-$E$1)</f>
        <v>-7757</v>
      </c>
      <c r="AR47" s="185" t="n">
        <f aca="false">'ANR OK vs ML7'!AR47</f>
        <v>0.1</v>
      </c>
      <c r="AS47" s="213" t="n">
        <f aca="false">IF(A48="","",1/(1+CHOOSE(F$3,(AR48+($I$3/10000))/2,(AR47+($I$3/10000))/2))^(2*AQ47/365.25))</f>
        <v>7.94357207801655</v>
      </c>
      <c r="AT47" s="137" t="n">
        <f aca="false">IF(A48="","",IF(AND(mthbeg&lt;=A47,mthend&gt;=A47),1,0))</f>
        <v>1</v>
      </c>
      <c r="AU47" s="137" t="n">
        <f aca="false">IF(A48="","",AO47*AT47)</f>
        <v>31</v>
      </c>
      <c r="AW47" s="195" t="e">
        <f aca="false">IF($A48="","",AL47*$E47)</f>
        <v>#NAME?</v>
      </c>
      <c r="AX47" s="195" t="e">
        <f aca="false">IF($A48="","",AM47*$E47)</f>
        <v>#N/A</v>
      </c>
      <c r="AY47" s="195" t="e">
        <f aca="false">IF($A48="","",AN47*$E47)</f>
        <v>#N/A</v>
      </c>
      <c r="BA47" s="195" t="n">
        <f aca="false">IF($A48="","",F47*Summary!$Q$13)</f>
        <v>0</v>
      </c>
      <c r="BC47" s="179" t="e">
        <f aca="false">IF(A48="","",AM47*F47)</f>
        <v>#N/A</v>
      </c>
    </row>
    <row r="48" customFormat="false" ht="12.75" hidden="false" customHeight="false" outlineLevel="0" collapsed="false">
      <c r="A48" s="196" t="n">
        <f aca="false">IF(A47&lt;mthend,EDATE(A47,1),"")</f>
        <v>38200</v>
      </c>
      <c r="B48" s="197" t="n">
        <f aca="false">IF(A48&lt;mthend,B47,"")</f>
        <v>28400</v>
      </c>
      <c r="C48" s="215"/>
      <c r="D48" s="197" t="n">
        <f aca="false">IF(A49&lt;&gt;"",B48+C48,"")</f>
        <v>28400</v>
      </c>
      <c r="E48" s="199" t="n">
        <f aca="false">IF(A49="","",IF(AND(AT48=1,$H$3=1),D48*AO48,IF($H$3=2,D48,"N/A")))</f>
        <v>880400</v>
      </c>
      <c r="F48" s="199" t="n">
        <f aca="false">IF(A49="","",E48*AS48)</f>
        <v>6935839.90109682</v>
      </c>
      <c r="G48" s="200" t="e">
        <f aca="false">IF($A49="","",VLOOKUP($A48,Table,MATCH(G$4,Curves,0)))</f>
        <v>#N/A</v>
      </c>
      <c r="H48" s="201" t="e">
        <f aca="false">IF(A49="","",G48)</f>
        <v>#N/A</v>
      </c>
      <c r="I48" s="202"/>
      <c r="J48" s="200" t="e">
        <f aca="false">IF($A49="","",VLOOKUP($A48,Table,MATCH(J$4,Curves,0)))</f>
        <v>#N/A</v>
      </c>
      <c r="K48" s="201" t="e">
        <f aca="false">IF(A49="","",J48)</f>
        <v>#N/A</v>
      </c>
      <c r="L48" s="185" t="n">
        <v>0</v>
      </c>
      <c r="M48" s="201" t="n">
        <f aca="false">IF(A49="","",L48)</f>
        <v>0</v>
      </c>
      <c r="N48" s="203"/>
      <c r="O48" s="200" t="e">
        <f aca="false">IF(A49="","",L48+J48+G48)</f>
        <v>#N/A</v>
      </c>
      <c r="P48" s="200" t="e">
        <f aca="false">IF(A49="","",M48+K48+H48)</f>
        <v>#N/A</v>
      </c>
      <c r="Q48" s="204"/>
      <c r="R48" s="200" t="e">
        <f aca="false">IF($A49="","",VLOOKUP($A48,Table,MATCH(R$4,Curves,0)))</f>
        <v>#N/A</v>
      </c>
      <c r="S48" s="201" t="e">
        <f aca="false">IF(A49="","",R48)</f>
        <v>#N/A</v>
      </c>
      <c r="T48" s="185" t="n">
        <v>0</v>
      </c>
      <c r="U48" s="201" t="n">
        <f aca="false">IF(A49="","",T48)</f>
        <v>0</v>
      </c>
      <c r="V48" s="205" t="e">
        <f aca="false">(G48+R48)/(1-Summary!$T$13)*Summary!$T$13</f>
        <v>#N/A</v>
      </c>
      <c r="W48" s="202" t="e">
        <f aca="false">IF($A49="","",(T48+R48+G48+V48))</f>
        <v>#N/A</v>
      </c>
      <c r="X48" s="202" t="e">
        <f aca="false">IF($A49="","",(U48+S48+H48+V48))</f>
        <v>#N/A</v>
      </c>
      <c r="Y48" s="202"/>
      <c r="Z48" s="185" t="e">
        <f aca="false">IF($A49="","",VLOOKUP($A48,Table,MATCH(Z$4,Curves,0)))</f>
        <v>#N/A</v>
      </c>
      <c r="AA48" s="185" t="e">
        <f aca="false">IF($A49="","",VLOOKUP($A48,Table,MATCH(AA$4,Curves,0)))</f>
        <v>#N/A</v>
      </c>
      <c r="AB48" s="185" t="e">
        <f aca="false">SQRT((AA48^2*(A48-$D$3)+Z48^2*(DAY(EOMONTH(A48,0))/2))/AK48)</f>
        <v>#N/A</v>
      </c>
      <c r="AC48" s="185" t="e">
        <f aca="false">IF($A49="","",VLOOKUP($A48,Table,MATCH(AC$4,Curves,0)))</f>
        <v>#N/A</v>
      </c>
      <c r="AD48" s="185" t="e">
        <f aca="false">IF($A49="","",VLOOKUP($A48,Table,MATCH(AD$4,Curves,0)))</f>
        <v>#N/A</v>
      </c>
      <c r="AE48" s="185" t="e">
        <f aca="false">SQRT((AD48^2*(A48-$D$3)+AC48^2*(DAY(EOMONTH(A48,0))/2))/AK48)</f>
        <v>#N/A</v>
      </c>
      <c r="AF48" s="224" t="e">
        <f aca="false">((Summary!$N$13*(AA48*AD48)*(A48-$D$3))+(Summary!$M$13*Z48*AC48*(AJ48-EOMONTH(EDATE(A48,-1),0))))/(AK48*AB48*AE48)</f>
        <v>#N/A</v>
      </c>
      <c r="AG48" s="207" t="n">
        <f aca="false">IF($A49="","",Summary!$Q$13)</f>
        <v>0</v>
      </c>
      <c r="AH48" s="207" t="n">
        <f aca="false">IF($A49="","",IF(Summary!$R$12="Y",(VLOOKUP($A48,Summary!$AD$6:$AF$9,3)+'Escalating commodity'!I61),'Escalating commodity'!I61))</f>
        <v>0.0475879389519017</v>
      </c>
      <c r="AI48" s="207" t="n">
        <f aca="false">IF($A49="","",AH48)</f>
        <v>0.0475879389519017</v>
      </c>
      <c r="AJ48" s="208" t="n">
        <f aca="false">A48+DAY(EOMONTH(A48,0))/2-1</f>
        <v>38214.5</v>
      </c>
      <c r="AK48" s="209" t="n">
        <f aca="false">IF($A49="","",$A48-$E$1)</f>
        <v>-7726</v>
      </c>
      <c r="AL48" s="182" t="e">
        <f aca="false">IF($A49="","",SPRDOPT(P48,X48,AI48,0,AB48,AE48,AF48,AK48,$AJ$2,0))</f>
        <v>#NAME?</v>
      </c>
      <c r="AM48" s="210" t="e">
        <f aca="false">IF($A49="","",MAX(0,O48-W48-AI48))</f>
        <v>#N/A</v>
      </c>
      <c r="AN48" s="211" t="e">
        <f aca="false">IF($A49="","",AL48-AM48)</f>
        <v>#N/A</v>
      </c>
      <c r="AO48" s="137" t="n">
        <f aca="false">IF(A49="","",A49-A48)</f>
        <v>31</v>
      </c>
      <c r="AP48" s="212" t="n">
        <f aca="false">IF(A49="","",CHOOSE(F$3,A49+24,A48))</f>
        <v>38200</v>
      </c>
      <c r="AQ48" s="209" t="n">
        <f aca="false">IF(A49="","",AP48-$E$1)</f>
        <v>-7726</v>
      </c>
      <c r="AR48" s="185" t="n">
        <f aca="false">'ANR OK vs ML7'!AR48</f>
        <v>0.1</v>
      </c>
      <c r="AS48" s="213" t="n">
        <f aca="false">IF(A49="","",1/(1+CHOOSE(F$3,(AR49+($I$3/10000))/2,(AR48+($I$3/10000))/2))^(2*AQ48/365.25))</f>
        <v>7.87805531701138</v>
      </c>
      <c r="AT48" s="137" t="n">
        <f aca="false">IF(A49="","",IF(AND(mthbeg&lt;=A48,mthend&gt;=A48),1,0))</f>
        <v>1</v>
      </c>
      <c r="AU48" s="137" t="n">
        <f aca="false">IF(A49="","",AO48*AT48)</f>
        <v>31</v>
      </c>
      <c r="AW48" s="195" t="e">
        <f aca="false">IF($A49="","",AL48*$E48)</f>
        <v>#NAME?</v>
      </c>
      <c r="AX48" s="195" t="e">
        <f aca="false">IF($A49="","",AM48*$E48)</f>
        <v>#N/A</v>
      </c>
      <c r="AY48" s="195" t="e">
        <f aca="false">IF($A49="","",AN48*$E48)</f>
        <v>#N/A</v>
      </c>
      <c r="BA48" s="195" t="n">
        <f aca="false">IF($A49="","",F48*Summary!$Q$13)</f>
        <v>0</v>
      </c>
      <c r="BC48" s="179" t="e">
        <f aca="false">IF(A49="","",AM48*F48)</f>
        <v>#N/A</v>
      </c>
    </row>
    <row r="49" customFormat="false" ht="12.75" hidden="false" customHeight="false" outlineLevel="0" collapsed="false">
      <c r="A49" s="196" t="n">
        <f aca="false">IF(A48&lt;mthend,EDATE(A48,1),"")</f>
        <v>38231</v>
      </c>
      <c r="B49" s="197" t="n">
        <f aca="false">IF(A49&lt;mthend,B48,"")</f>
        <v>28400</v>
      </c>
      <c r="C49" s="215"/>
      <c r="D49" s="197" t="n">
        <f aca="false">IF(A50&lt;&gt;"",B49+C49,"")</f>
        <v>28400</v>
      </c>
      <c r="E49" s="199" t="n">
        <f aca="false">IF(A50="","",IF(AND(AT49=1,$H$3=1),D49*AO49,IF($H$3=2,D49,"N/A")))</f>
        <v>852000</v>
      </c>
      <c r="F49" s="199" t="n">
        <f aca="false">IF(A50="","",E49*AS49)</f>
        <v>6656743.24259002</v>
      </c>
      <c r="G49" s="200" t="e">
        <f aca="false">IF($A50="","",VLOOKUP($A49,Table,MATCH(G$4,Curves,0)))</f>
        <v>#N/A</v>
      </c>
      <c r="H49" s="201" t="e">
        <f aca="false">IF(A50="","",G49)</f>
        <v>#N/A</v>
      </c>
      <c r="I49" s="202"/>
      <c r="J49" s="200" t="e">
        <f aca="false">IF($A50="","",VLOOKUP($A49,Table,MATCH(J$4,Curves,0)))</f>
        <v>#N/A</v>
      </c>
      <c r="K49" s="201" t="e">
        <f aca="false">IF(A50="","",J49)</f>
        <v>#N/A</v>
      </c>
      <c r="L49" s="185" t="n">
        <v>0</v>
      </c>
      <c r="M49" s="201" t="n">
        <f aca="false">IF(A50="","",L49)</f>
        <v>0</v>
      </c>
      <c r="N49" s="203"/>
      <c r="O49" s="200" t="e">
        <f aca="false">IF(A50="","",L49+J49+G49)</f>
        <v>#N/A</v>
      </c>
      <c r="P49" s="200" t="e">
        <f aca="false">IF(A50="","",M49+K49+H49)</f>
        <v>#N/A</v>
      </c>
      <c r="Q49" s="204"/>
      <c r="R49" s="200" t="e">
        <f aca="false">IF($A50="","",VLOOKUP($A49,Table,MATCH(R$4,Curves,0)))</f>
        <v>#N/A</v>
      </c>
      <c r="S49" s="201" t="e">
        <f aca="false">IF(A50="","",R49)</f>
        <v>#N/A</v>
      </c>
      <c r="T49" s="185" t="n">
        <v>0</v>
      </c>
      <c r="U49" s="201" t="n">
        <f aca="false">IF(A50="","",T49)</f>
        <v>0</v>
      </c>
      <c r="V49" s="205" t="e">
        <f aca="false">(G49+R49)/(1-Summary!$T$13)*Summary!$T$13</f>
        <v>#N/A</v>
      </c>
      <c r="W49" s="202" t="e">
        <f aca="false">IF($A50="","",(T49+R49+G49+V49))</f>
        <v>#N/A</v>
      </c>
      <c r="X49" s="202" t="e">
        <f aca="false">IF($A50="","",(U49+S49+H49+V49))</f>
        <v>#N/A</v>
      </c>
      <c r="Y49" s="202"/>
      <c r="Z49" s="185" t="e">
        <f aca="false">IF($A50="","",VLOOKUP($A49,Table,MATCH(Z$4,Curves,0)))</f>
        <v>#N/A</v>
      </c>
      <c r="AA49" s="185" t="e">
        <f aca="false">IF($A50="","",VLOOKUP($A49,Table,MATCH(AA$4,Curves,0)))</f>
        <v>#N/A</v>
      </c>
      <c r="AB49" s="185" t="e">
        <f aca="false">SQRT((AA49^2*(A49-$D$3)+Z49^2*(DAY(EOMONTH(A49,0))/2))/AK49)</f>
        <v>#N/A</v>
      </c>
      <c r="AC49" s="185" t="e">
        <f aca="false">IF($A50="","",VLOOKUP($A49,Table,MATCH(AC$4,Curves,0)))</f>
        <v>#N/A</v>
      </c>
      <c r="AD49" s="185" t="e">
        <f aca="false">IF($A50="","",VLOOKUP($A49,Table,MATCH(AD$4,Curves,0)))</f>
        <v>#N/A</v>
      </c>
      <c r="AE49" s="185" t="e">
        <f aca="false">SQRT((AD49^2*(A49-$D$3)+AC49^2*(DAY(EOMONTH(A49,0))/2))/AK49)</f>
        <v>#N/A</v>
      </c>
      <c r="AF49" s="224" t="e">
        <f aca="false">((Summary!$N$13*(AA49*AD49)*(A49-$D$3))+(Summary!$M$13*Z49*AC49*(AJ49-EOMONTH(EDATE(A49,-1),0))))/(AK49*AB49*AE49)</f>
        <v>#N/A</v>
      </c>
      <c r="AG49" s="207" t="n">
        <f aca="false">IF($A50="","",Summary!$Q$13)</f>
        <v>0</v>
      </c>
      <c r="AH49" s="207" t="n">
        <f aca="false">IF($A50="","",IF(Summary!$R$12="Y",(VLOOKUP($A49,Summary!$AD$6:$AF$9,3)+'Escalating commodity'!I62),'Escalating commodity'!I62))</f>
        <v>0.0475879389519017</v>
      </c>
      <c r="AI49" s="207" t="n">
        <f aca="false">IF($A50="","",AH49)</f>
        <v>0.0475879389519017</v>
      </c>
      <c r="AJ49" s="208" t="n">
        <f aca="false">A49+DAY(EOMONTH(A49,0))/2-1</f>
        <v>38245</v>
      </c>
      <c r="AK49" s="209" t="n">
        <f aca="false">IF($A50="","",$A49-$E$1)</f>
        <v>-7695</v>
      </c>
      <c r="AL49" s="182" t="e">
        <f aca="false">IF($A50="","",SPRDOPT(P49,X49,AI49,0,AB49,AE49,AF49,AK49,$AJ$2,0))</f>
        <v>#NAME?</v>
      </c>
      <c r="AM49" s="210" t="e">
        <f aca="false">IF($A50="","",MAX(0,O49-W49-AI49))</f>
        <v>#N/A</v>
      </c>
      <c r="AN49" s="211" t="e">
        <f aca="false">IF($A50="","",AL49-AM49)</f>
        <v>#N/A</v>
      </c>
      <c r="AO49" s="137" t="n">
        <f aca="false">IF(A50="","",A50-A49)</f>
        <v>30</v>
      </c>
      <c r="AP49" s="212" t="n">
        <f aca="false">IF(A50="","",CHOOSE(F$3,A50+24,A49))</f>
        <v>38231</v>
      </c>
      <c r="AQ49" s="209" t="n">
        <f aca="false">IF(A50="","",AP49-$E$1)</f>
        <v>-7695</v>
      </c>
      <c r="AR49" s="185" t="n">
        <f aca="false">'ANR OK vs ML7'!AR49</f>
        <v>0.1</v>
      </c>
      <c r="AS49" s="213" t="n">
        <f aca="false">IF(A50="","",1/(1+CHOOSE(F$3,(AR50+($I$3/10000))/2,(AR49+($I$3/10000))/2))^(2*AQ49/365.25))</f>
        <v>7.81307892322772</v>
      </c>
      <c r="AT49" s="137" t="n">
        <f aca="false">IF(A50="","",IF(AND(mthbeg&lt;=A49,mthend&gt;=A49),1,0))</f>
        <v>1</v>
      </c>
      <c r="AU49" s="137" t="n">
        <f aca="false">IF(A50="","",AO49*AT49)</f>
        <v>30</v>
      </c>
      <c r="AW49" s="195" t="e">
        <f aca="false">IF($A50="","",AL49*$E49)</f>
        <v>#NAME?</v>
      </c>
      <c r="AX49" s="195" t="e">
        <f aca="false">IF($A50="","",AM49*$E49)</f>
        <v>#N/A</v>
      </c>
      <c r="AY49" s="195" t="e">
        <f aca="false">IF($A50="","",AN49*$E49)</f>
        <v>#N/A</v>
      </c>
      <c r="BA49" s="195" t="n">
        <f aca="false">IF($A50="","",F49*Summary!$Q$13)</f>
        <v>0</v>
      </c>
      <c r="BC49" s="179" t="e">
        <f aca="false">IF(A50="","",AM49*F49)</f>
        <v>#N/A</v>
      </c>
    </row>
    <row r="50" customFormat="false" ht="12.75" hidden="false" customHeight="false" outlineLevel="0" collapsed="false">
      <c r="A50" s="196" t="n">
        <f aca="false">IF(A49&lt;mthend,EDATE(A49,1),"")</f>
        <v>38261</v>
      </c>
      <c r="B50" s="197" t="n">
        <f aca="false">IF(A50&lt;mthend,B49,"")</f>
        <v>28400</v>
      </c>
      <c r="C50" s="215"/>
      <c r="D50" s="197" t="n">
        <f aca="false">IF(A51&lt;&gt;"",B50+C50,"")</f>
        <v>28400</v>
      </c>
      <c r="E50" s="199" t="n">
        <f aca="false">IF(A51="","",IF(AND(AT50=1,$H$3=1),D50*AO50,IF($H$3=2,D50,"N/A")))</f>
        <v>880400</v>
      </c>
      <c r="F50" s="199" t="n">
        <f aca="false">IF(A51="","",E50*AS50)</f>
        <v>6823724.06764325</v>
      </c>
      <c r="G50" s="200" t="e">
        <f aca="false">IF($A51="","",VLOOKUP($A50,Table,MATCH(G$4,Curves,0)))</f>
        <v>#N/A</v>
      </c>
      <c r="H50" s="201" t="e">
        <f aca="false">IF(A51="","",G50)</f>
        <v>#N/A</v>
      </c>
      <c r="I50" s="202"/>
      <c r="J50" s="200" t="e">
        <f aca="false">IF($A51="","",VLOOKUP($A50,Table,MATCH(J$4,Curves,0)))</f>
        <v>#N/A</v>
      </c>
      <c r="K50" s="201" t="e">
        <f aca="false">IF(A51="","",J50)</f>
        <v>#N/A</v>
      </c>
      <c r="L50" s="185" t="n">
        <v>0</v>
      </c>
      <c r="M50" s="201" t="n">
        <f aca="false">IF(A51="","",L50)</f>
        <v>0</v>
      </c>
      <c r="N50" s="203"/>
      <c r="O50" s="200" t="e">
        <f aca="false">IF(A51="","",L50+J50+G50)</f>
        <v>#N/A</v>
      </c>
      <c r="P50" s="200" t="e">
        <f aca="false">IF(A51="","",M50+K50+H50)</f>
        <v>#N/A</v>
      </c>
      <c r="Q50" s="204"/>
      <c r="R50" s="200" t="e">
        <f aca="false">IF($A51="","",VLOOKUP($A50,Table,MATCH(R$4,Curves,0)))</f>
        <v>#N/A</v>
      </c>
      <c r="S50" s="201" t="e">
        <f aca="false">IF(A51="","",R50)</f>
        <v>#N/A</v>
      </c>
      <c r="T50" s="185" t="n">
        <v>0</v>
      </c>
      <c r="U50" s="201" t="n">
        <f aca="false">IF(A51="","",T50)</f>
        <v>0</v>
      </c>
      <c r="V50" s="205" t="e">
        <f aca="false">(G50+R50)/(1-Summary!$T$13)*Summary!$T$13</f>
        <v>#N/A</v>
      </c>
      <c r="W50" s="202" t="e">
        <f aca="false">IF($A51="","",(T50+R50+G50+V50))</f>
        <v>#N/A</v>
      </c>
      <c r="X50" s="202" t="e">
        <f aca="false">IF($A51="","",(U50+S50+H50+V50))</f>
        <v>#N/A</v>
      </c>
      <c r="Y50" s="202"/>
      <c r="Z50" s="185" t="e">
        <f aca="false">IF($A51="","",VLOOKUP($A50,Table,MATCH(Z$4,Curves,0)))</f>
        <v>#N/A</v>
      </c>
      <c r="AA50" s="185" t="e">
        <f aca="false">IF($A51="","",VLOOKUP($A50,Table,MATCH(AA$4,Curves,0)))</f>
        <v>#N/A</v>
      </c>
      <c r="AB50" s="185" t="e">
        <f aca="false">SQRT((AA50^2*(A50-$D$3)+Z50^2*(DAY(EOMONTH(A50,0))/2))/AK50)</f>
        <v>#N/A</v>
      </c>
      <c r="AC50" s="185" t="e">
        <f aca="false">IF($A51="","",VLOOKUP($A50,Table,MATCH(AC$4,Curves,0)))</f>
        <v>#N/A</v>
      </c>
      <c r="AD50" s="185" t="e">
        <f aca="false">IF($A51="","",VLOOKUP($A50,Table,MATCH(AD$4,Curves,0)))</f>
        <v>#N/A</v>
      </c>
      <c r="AE50" s="185" t="e">
        <f aca="false">SQRT((AD50^2*(A50-$D$3)+AC50^2*(DAY(EOMONTH(A50,0))/2))/AK50)</f>
        <v>#N/A</v>
      </c>
      <c r="AF50" s="224" t="e">
        <f aca="false">((Summary!$N$13*(AA50*AD50)*(A50-$D$3))+(Summary!$M$13*Z50*AC50*(AJ50-EOMONTH(EDATE(A50,-1),0))))/(AK50*AB50*AE50)</f>
        <v>#N/A</v>
      </c>
      <c r="AG50" s="207" t="n">
        <f aca="false">IF($A51="","",Summary!$Q$13)</f>
        <v>0</v>
      </c>
      <c r="AH50" s="207" t="n">
        <f aca="false">IF($A51="","",IF(Summary!$R$12="Y",(VLOOKUP($A50,Summary!$AD$6:$AF$9,3)+'Escalating commodity'!I63),'Escalating commodity'!I63))</f>
        <v>0.0475879389519017</v>
      </c>
      <c r="AI50" s="207" t="n">
        <f aca="false">IF($A51="","",AH50)</f>
        <v>0.0475879389519017</v>
      </c>
      <c r="AJ50" s="208" t="n">
        <f aca="false">A50+DAY(EOMONTH(A50,0))/2-1</f>
        <v>38275.5</v>
      </c>
      <c r="AK50" s="209" t="n">
        <f aca="false">IF($A51="","",$A50-$E$1)</f>
        <v>-7665</v>
      </c>
      <c r="AL50" s="182" t="e">
        <f aca="false">IF($A51="","",SPRDOPT(P50,X50,AI50,0,AB50,AE50,AF50,AK50,$AJ$2,0))</f>
        <v>#NAME?</v>
      </c>
      <c r="AM50" s="210" t="e">
        <f aca="false">IF($A51="","",MAX(0,O50-W50-AI50))</f>
        <v>#N/A</v>
      </c>
      <c r="AN50" s="211" t="e">
        <f aca="false">IF($A51="","",AL50-AM50)</f>
        <v>#N/A</v>
      </c>
      <c r="AO50" s="137" t="n">
        <f aca="false">IF(A51="","",A51-A50)</f>
        <v>31</v>
      </c>
      <c r="AP50" s="212" t="n">
        <f aca="false">IF(A51="","",CHOOSE(F$3,A51+24,A50))</f>
        <v>38261</v>
      </c>
      <c r="AQ50" s="209" t="n">
        <f aca="false">IF(A51="","",AP50-$E$1)</f>
        <v>-7665</v>
      </c>
      <c r="AR50" s="185" t="n">
        <f aca="false">'ANR OK vs ML7'!AR50</f>
        <v>0.1</v>
      </c>
      <c r="AS50" s="213" t="n">
        <f aca="false">IF(A51="","",1/(1+CHOOSE(F$3,(AR51+($I$3/10000))/2,(AR50+($I$3/10000))/2))^(2*AQ50/365.25))</f>
        <v>7.75070884557389</v>
      </c>
      <c r="AT50" s="137" t="n">
        <f aca="false">IF(A51="","",IF(AND(mthbeg&lt;=A50,mthend&gt;=A50),1,0))</f>
        <v>1</v>
      </c>
      <c r="AU50" s="137" t="n">
        <f aca="false">IF(A51="","",AO50*AT50)</f>
        <v>31</v>
      </c>
      <c r="AW50" s="195" t="e">
        <f aca="false">IF($A51="","",AL50*$E50)</f>
        <v>#NAME?</v>
      </c>
      <c r="AX50" s="195" t="e">
        <f aca="false">IF($A51="","",AM50*$E50)</f>
        <v>#N/A</v>
      </c>
      <c r="AY50" s="195" t="e">
        <f aca="false">IF($A51="","",AN50*$E50)</f>
        <v>#N/A</v>
      </c>
      <c r="BA50" s="195" t="n">
        <f aca="false">IF($A51="","",F50*Summary!$Q$13)</f>
        <v>0</v>
      </c>
      <c r="BC50" s="179" t="e">
        <f aca="false">IF(A51="","",AM50*F50)</f>
        <v>#N/A</v>
      </c>
    </row>
    <row r="51" customFormat="false" ht="12.75" hidden="false" customHeight="false" outlineLevel="0" collapsed="false">
      <c r="A51" s="196" t="n">
        <f aca="false">IF(A50&lt;mthend,EDATE(A50,1),"")</f>
        <v>38292</v>
      </c>
      <c r="B51" s="197" t="n">
        <f aca="false">IF(A51&lt;mthend,B50,"")</f>
        <v>28400</v>
      </c>
      <c r="C51" s="215"/>
      <c r="D51" s="197" t="n">
        <f aca="false">IF(A52&lt;&gt;"",B51+C51,"")</f>
        <v>28400</v>
      </c>
      <c r="E51" s="199" t="n">
        <f aca="false">IF(A52="","",IF(AND(AT51=1,$H$3=1),D51*AO51,IF($H$3=2,D51,"N/A")))</f>
        <v>852000</v>
      </c>
      <c r="F51" s="199" t="n">
        <f aca="false">IF(A52="","",E51*AS51)</f>
        <v>6549138.9253953</v>
      </c>
      <c r="G51" s="200" t="e">
        <f aca="false">IF($A52="","",VLOOKUP($A51,Table,MATCH(G$4,Curves,0)))</f>
        <v>#N/A</v>
      </c>
      <c r="H51" s="201" t="e">
        <f aca="false">IF(A52="","",G51)</f>
        <v>#N/A</v>
      </c>
      <c r="I51" s="202"/>
      <c r="J51" s="200" t="e">
        <f aca="false">IF($A52="","",VLOOKUP($A51,Table,MATCH(J$4,Curves,0)))</f>
        <v>#N/A</v>
      </c>
      <c r="K51" s="201" t="e">
        <f aca="false">IF(A52="","",J51)</f>
        <v>#N/A</v>
      </c>
      <c r="L51" s="185" t="n">
        <v>0</v>
      </c>
      <c r="M51" s="201" t="n">
        <f aca="false">IF(A52="","",L51)</f>
        <v>0</v>
      </c>
      <c r="N51" s="203"/>
      <c r="O51" s="200" t="e">
        <f aca="false">IF(A52="","",L51+J51+G51)</f>
        <v>#N/A</v>
      </c>
      <c r="P51" s="200" t="e">
        <f aca="false">IF(A52="","",M51+K51+H51)</f>
        <v>#N/A</v>
      </c>
      <c r="Q51" s="204"/>
      <c r="R51" s="200" t="e">
        <f aca="false">IF($A52="","",VLOOKUP($A51,Table,MATCH(R$4,Curves,0)))</f>
        <v>#N/A</v>
      </c>
      <c r="S51" s="201" t="e">
        <f aca="false">IF(A52="","",R51)</f>
        <v>#N/A</v>
      </c>
      <c r="T51" s="185" t="n">
        <v>0</v>
      </c>
      <c r="U51" s="201" t="n">
        <f aca="false">IF(A52="","",T51)</f>
        <v>0</v>
      </c>
      <c r="V51" s="205" t="e">
        <f aca="false">(G51+R51)/(1-Summary!$T$13)*Summary!$T$13</f>
        <v>#N/A</v>
      </c>
      <c r="W51" s="202" t="e">
        <f aca="false">IF($A52="","",(T51+R51+G51+V51))</f>
        <v>#N/A</v>
      </c>
      <c r="X51" s="202" t="e">
        <f aca="false">IF($A52="","",(U51+S51+H51+V51))</f>
        <v>#N/A</v>
      </c>
      <c r="Y51" s="202"/>
      <c r="Z51" s="185" t="e">
        <f aca="false">IF($A52="","",VLOOKUP($A51,Table,MATCH(Z$4,Curves,0)))</f>
        <v>#N/A</v>
      </c>
      <c r="AA51" s="185" t="e">
        <f aca="false">IF($A52="","",VLOOKUP($A51,Table,MATCH(AA$4,Curves,0)))</f>
        <v>#N/A</v>
      </c>
      <c r="AB51" s="185" t="e">
        <f aca="false">SQRT((AA51^2*(A51-$D$3)+Z51^2*(DAY(EOMONTH(A51,0))/2))/AK51)</f>
        <v>#N/A</v>
      </c>
      <c r="AC51" s="185" t="e">
        <f aca="false">IF($A52="","",VLOOKUP($A51,Table,MATCH(AC$4,Curves,0)))</f>
        <v>#N/A</v>
      </c>
      <c r="AD51" s="185" t="e">
        <f aca="false">IF($A52="","",VLOOKUP($A51,Table,MATCH(AD$4,Curves,0)))</f>
        <v>#N/A</v>
      </c>
      <c r="AE51" s="185" t="e">
        <f aca="false">SQRT((AD51^2*(A51-$D$3)+AC51^2*(DAY(EOMONTH(A51,0))/2))/AK51)</f>
        <v>#N/A</v>
      </c>
      <c r="AF51" s="224" t="e">
        <f aca="false">((Summary!$N$13*(AA51*AD51)*(A51-$D$3))+(Summary!$M$13*Z51*AC51*(AJ51-EOMONTH(EDATE(A51,-1),0))))/(AK51*AB51*AE51)</f>
        <v>#N/A</v>
      </c>
      <c r="AG51" s="207" t="n">
        <f aca="false">IF($A52="","",Summary!$Q$13)</f>
        <v>0</v>
      </c>
      <c r="AH51" s="207" t="n">
        <f aca="false">IF($A52="","",IF(Summary!$R$12="Y",(VLOOKUP($A51,Summary!$AD$6:$AF$9,3)+'Escalating commodity'!I64),'Escalating commodity'!I64))</f>
        <v>0.0475879389519017</v>
      </c>
      <c r="AI51" s="207" t="n">
        <f aca="false">IF($A52="","",AH51)</f>
        <v>0.0475879389519017</v>
      </c>
      <c r="AJ51" s="208" t="n">
        <f aca="false">A51+DAY(EOMONTH(A51,0))/2-1</f>
        <v>38306</v>
      </c>
      <c r="AK51" s="209" t="n">
        <f aca="false">IF($A52="","",$A51-$E$1)</f>
        <v>-7634</v>
      </c>
      <c r="AL51" s="182" t="e">
        <f aca="false">IF($A52="","",SPRDOPT(P51,X51,AI51,0,AB51,AE51,AF51,AK51,$AJ$2,0))</f>
        <v>#NAME?</v>
      </c>
      <c r="AM51" s="210" t="e">
        <f aca="false">IF($A52="","",MAX(0,O51-W51-AI51))</f>
        <v>#N/A</v>
      </c>
      <c r="AN51" s="211" t="e">
        <f aca="false">IF($A52="","",AL51-AM51)</f>
        <v>#N/A</v>
      </c>
      <c r="AO51" s="137" t="n">
        <f aca="false">IF(A52="","",A52-A51)</f>
        <v>30</v>
      </c>
      <c r="AP51" s="212" t="n">
        <f aca="false">IF(A52="","",CHOOSE(F$3,A52+24,A51))</f>
        <v>38292</v>
      </c>
      <c r="AQ51" s="209" t="n">
        <f aca="false">IF(A52="","",AP51-$E$1)</f>
        <v>-7634</v>
      </c>
      <c r="AR51" s="185" t="n">
        <f aca="false">'ANR OK vs ML7'!AR51</f>
        <v>0.1</v>
      </c>
      <c r="AS51" s="213" t="n">
        <f aca="false">IF(A52="","",1/(1+CHOOSE(F$3,(AR52+($I$3/10000))/2,(AR51+($I$3/10000))/2))^(2*AQ51/365.25))</f>
        <v>7.68678277628556</v>
      </c>
      <c r="AT51" s="137" t="n">
        <f aca="false">IF(A52="","",IF(AND(mthbeg&lt;=A51,mthend&gt;=A51),1,0))</f>
        <v>1</v>
      </c>
      <c r="AU51" s="137" t="n">
        <f aca="false">IF(A52="","",AO51*AT51)</f>
        <v>30</v>
      </c>
      <c r="AW51" s="195" t="e">
        <f aca="false">IF($A52="","",AL51*$E51)</f>
        <v>#NAME?</v>
      </c>
      <c r="AX51" s="195" t="e">
        <f aca="false">IF($A52="","",AM51*$E51)</f>
        <v>#N/A</v>
      </c>
      <c r="AY51" s="195" t="e">
        <f aca="false">IF($A52="","",AN51*$E51)</f>
        <v>#N/A</v>
      </c>
      <c r="BA51" s="195" t="n">
        <f aca="false">IF($A52="","",F51*Summary!$Q$13)</f>
        <v>0</v>
      </c>
      <c r="BC51" s="179" t="e">
        <f aca="false">IF(A52="","",AM51*F51)</f>
        <v>#N/A</v>
      </c>
    </row>
    <row r="52" customFormat="false" ht="12.75" hidden="false" customHeight="false" outlineLevel="0" collapsed="false">
      <c r="A52" s="196" t="n">
        <f aca="false">IF(A51&lt;mthend,EDATE(A51,1),"")</f>
        <v>38322</v>
      </c>
      <c r="B52" s="197" t="n">
        <f aca="false">IF(A52&lt;mthend,B51,"")</f>
        <v>28400</v>
      </c>
      <c r="C52" s="215"/>
      <c r="D52" s="197" t="n">
        <f aca="false">IF(A53&lt;&gt;"",B52+C52,"")</f>
        <v>28400</v>
      </c>
      <c r="E52" s="199" t="n">
        <f aca="false">IF(A53="","",IF(AND(AT52=1,$H$3=1),D52*AO52,IF($H$3=2,D52,"N/A")))</f>
        <v>880400</v>
      </c>
      <c r="F52" s="199" t="n">
        <f aca="false">IF(A53="","",E52*AS52)</f>
        <v>6713420.55400823</v>
      </c>
      <c r="G52" s="200" t="e">
        <f aca="false">IF($A53="","",VLOOKUP($A52,Table,MATCH(G$4,Curves,0)))</f>
        <v>#N/A</v>
      </c>
      <c r="H52" s="201" t="e">
        <f aca="false">IF(A53="","",G52)</f>
        <v>#N/A</v>
      </c>
      <c r="I52" s="202"/>
      <c r="J52" s="200" t="e">
        <f aca="false">IF($A53="","",VLOOKUP($A52,Table,MATCH(J$4,Curves,0)))</f>
        <v>#N/A</v>
      </c>
      <c r="K52" s="201" t="e">
        <f aca="false">IF(A53="","",J52)</f>
        <v>#N/A</v>
      </c>
      <c r="L52" s="185" t="n">
        <v>0</v>
      </c>
      <c r="M52" s="201" t="n">
        <f aca="false">IF(A53="","",L52)</f>
        <v>0</v>
      </c>
      <c r="N52" s="203"/>
      <c r="O52" s="200" t="e">
        <f aca="false">IF(A53="","",L52+J52+G52)</f>
        <v>#N/A</v>
      </c>
      <c r="P52" s="200" t="e">
        <f aca="false">IF(A53="","",M52+K52+H52)</f>
        <v>#N/A</v>
      </c>
      <c r="Q52" s="204"/>
      <c r="R52" s="200" t="e">
        <f aca="false">IF($A53="","",VLOOKUP($A52,Table,MATCH(R$4,Curves,0)))</f>
        <v>#N/A</v>
      </c>
      <c r="S52" s="201" t="e">
        <f aca="false">IF(A53="","",R52)</f>
        <v>#N/A</v>
      </c>
      <c r="T52" s="185" t="n">
        <v>0</v>
      </c>
      <c r="U52" s="201" t="n">
        <f aca="false">IF(A53="","",T52)</f>
        <v>0</v>
      </c>
      <c r="V52" s="205" t="e">
        <f aca="false">(G52+R52)/(1-Summary!$T$13)*Summary!$T$13</f>
        <v>#N/A</v>
      </c>
      <c r="W52" s="202" t="e">
        <f aca="false">IF($A53="","",(T52+R52+G52+V52))</f>
        <v>#N/A</v>
      </c>
      <c r="X52" s="202" t="e">
        <f aca="false">IF($A53="","",(U52+S52+H52+V52))</f>
        <v>#N/A</v>
      </c>
      <c r="Y52" s="202"/>
      <c r="Z52" s="185" t="e">
        <f aca="false">IF($A53="","",VLOOKUP($A52,Table,MATCH(Z$4,Curves,0)))</f>
        <v>#N/A</v>
      </c>
      <c r="AA52" s="185" t="e">
        <f aca="false">IF($A53="","",VLOOKUP($A52,Table,MATCH(AA$4,Curves,0)))</f>
        <v>#N/A</v>
      </c>
      <c r="AB52" s="185" t="e">
        <f aca="false">SQRT((AA52^2*(A52-$D$3)+Z52^2*(DAY(EOMONTH(A52,0))/2))/AK52)</f>
        <v>#N/A</v>
      </c>
      <c r="AC52" s="185" t="e">
        <f aca="false">IF($A53="","",VLOOKUP($A52,Table,MATCH(AC$4,Curves,0)))</f>
        <v>#N/A</v>
      </c>
      <c r="AD52" s="185" t="e">
        <f aca="false">IF($A53="","",VLOOKUP($A52,Table,MATCH(AD$4,Curves,0)))</f>
        <v>#N/A</v>
      </c>
      <c r="AE52" s="185" t="e">
        <f aca="false">SQRT((AD52^2*(A52-$D$3)+AC52^2*(DAY(EOMONTH(A52,0))/2))/AK52)</f>
        <v>#N/A</v>
      </c>
      <c r="AF52" s="224" t="e">
        <f aca="false">((Summary!$N$13*(AA52*AD52)*(A52-$D$3))+(Summary!$M$13*Z52*AC52*(AJ52-EOMONTH(EDATE(A52,-1),0))))/(AK52*AB52*AE52)</f>
        <v>#N/A</v>
      </c>
      <c r="AG52" s="207" t="n">
        <f aca="false">IF($A53="","",Summary!$Q$13)</f>
        <v>0</v>
      </c>
      <c r="AH52" s="207" t="n">
        <f aca="false">IF($A53="","",IF(Summary!$R$12="Y",(VLOOKUP($A52,Summary!$AD$6:$AF$9,3)+'Escalating commodity'!I65),'Escalating commodity'!I65))</f>
        <v>0.0475879389519017</v>
      </c>
      <c r="AI52" s="207" t="n">
        <f aca="false">IF($A53="","",AH52)</f>
        <v>0.0475879389519017</v>
      </c>
      <c r="AJ52" s="208" t="n">
        <f aca="false">A52+DAY(EOMONTH(A52,0))/2-1</f>
        <v>38336.5</v>
      </c>
      <c r="AK52" s="209" t="n">
        <f aca="false">IF($A53="","",$A52-$E$1)</f>
        <v>-7604</v>
      </c>
      <c r="AL52" s="182" t="e">
        <f aca="false">IF($A53="","",SPRDOPT(P52,X52,AI52,0,AB52,AE52,AF52,AK52,$AJ$2,0))</f>
        <v>#NAME?</v>
      </c>
      <c r="AM52" s="210" t="e">
        <f aca="false">IF($A53="","",MAX(0,O52-W52-AI52))</f>
        <v>#N/A</v>
      </c>
      <c r="AN52" s="211" t="e">
        <f aca="false">IF($A53="","",AL52-AM52)</f>
        <v>#N/A</v>
      </c>
      <c r="AO52" s="137" t="n">
        <f aca="false">IF(A53="","",A53-A52)</f>
        <v>31</v>
      </c>
      <c r="AP52" s="212" t="n">
        <f aca="false">IF(A53="","",CHOOSE(F$3,A53+24,A52))</f>
        <v>38322</v>
      </c>
      <c r="AQ52" s="209" t="n">
        <f aca="false">IF(A53="","",AP52-$E$1)</f>
        <v>-7604</v>
      </c>
      <c r="AR52" s="185" t="n">
        <f aca="false">'ANR OK vs ML7'!AR52</f>
        <v>0.1</v>
      </c>
      <c r="AS52" s="213" t="n">
        <f aca="false">IF(A53="","",1/(1+CHOOSE(F$3,(AR53+($I$3/10000))/2,(AR52+($I$3/10000))/2))^(2*AQ52/365.25))</f>
        <v>7.62542089278536</v>
      </c>
      <c r="AT52" s="137" t="n">
        <f aca="false">IF(A53="","",IF(AND(mthbeg&lt;=A52,mthend&gt;=A52),1,0))</f>
        <v>1</v>
      </c>
      <c r="AU52" s="137" t="n">
        <f aca="false">IF(A53="","",AO52*AT52)</f>
        <v>31</v>
      </c>
      <c r="AW52" s="195" t="e">
        <f aca="false">IF($A53="","",AL52*$E52)</f>
        <v>#NAME?</v>
      </c>
      <c r="AX52" s="195" t="e">
        <f aca="false">IF($A53="","",AM52*$E52)</f>
        <v>#N/A</v>
      </c>
      <c r="AY52" s="195" t="e">
        <f aca="false">IF($A53="","",AN52*$E52)</f>
        <v>#N/A</v>
      </c>
      <c r="BA52" s="195" t="n">
        <f aca="false">IF($A53="","",F52*Summary!$Q$13)</f>
        <v>0</v>
      </c>
      <c r="BC52" s="179" t="e">
        <f aca="false">IF(A53="","",AM52*F52)</f>
        <v>#N/A</v>
      </c>
    </row>
    <row r="53" customFormat="false" ht="12.75" hidden="false" customHeight="false" outlineLevel="0" collapsed="false">
      <c r="A53" s="196" t="n">
        <f aca="false">IF(A52&lt;mthend,EDATE(A52,1),"")</f>
        <v>38353</v>
      </c>
      <c r="B53" s="197" t="n">
        <f aca="false">IF(A53&lt;mthend,B52,"")</f>
        <v>28400</v>
      </c>
      <c r="C53" s="215"/>
      <c r="D53" s="197" t="n">
        <f aca="false">IF(A54&lt;&gt;"",B53+C53,"")</f>
        <v>28400</v>
      </c>
      <c r="E53" s="199" t="n">
        <f aca="false">IF(A54="","",IF(AND(AT53=1,$H$3=1),D53*AO53,IF($H$3=2,D53,"N/A")))</f>
        <v>880400</v>
      </c>
      <c r="F53" s="199" t="n">
        <f aca="false">IF(A54="","",E53*AS53)</f>
        <v>6658049.80069419</v>
      </c>
      <c r="G53" s="200" t="e">
        <f aca="false">IF($A54="","",VLOOKUP($A53,Table,MATCH(G$4,Curves,0)))</f>
        <v>#N/A</v>
      </c>
      <c r="H53" s="201" t="e">
        <f aca="false">IF(A54="","",G53)</f>
        <v>#N/A</v>
      </c>
      <c r="I53" s="202"/>
      <c r="J53" s="200" t="e">
        <f aca="false">IF($A54="","",VLOOKUP($A53,Table,MATCH(J$4,Curves,0)))</f>
        <v>#N/A</v>
      </c>
      <c r="K53" s="201" t="e">
        <f aca="false">IF(A54="","",J53)</f>
        <v>#N/A</v>
      </c>
      <c r="L53" s="185" t="n">
        <v>0</v>
      </c>
      <c r="M53" s="201" t="n">
        <f aca="false">IF(A54="","",L53)</f>
        <v>0</v>
      </c>
      <c r="N53" s="203"/>
      <c r="O53" s="200" t="e">
        <f aca="false">IF(A54="","",L53+J53+G53)</f>
        <v>#N/A</v>
      </c>
      <c r="P53" s="200" t="e">
        <f aca="false">IF(A54="","",M53+K53+H53)</f>
        <v>#N/A</v>
      </c>
      <c r="Q53" s="204"/>
      <c r="R53" s="200" t="e">
        <f aca="false">IF($A54="","",VLOOKUP($A53,Table,MATCH(R$4,Curves,0)))</f>
        <v>#N/A</v>
      </c>
      <c r="S53" s="201" t="e">
        <f aca="false">IF(A54="","",R53)</f>
        <v>#N/A</v>
      </c>
      <c r="T53" s="185" t="n">
        <v>0</v>
      </c>
      <c r="U53" s="201" t="n">
        <f aca="false">IF(A54="","",T53)</f>
        <v>0</v>
      </c>
      <c r="V53" s="205" t="e">
        <f aca="false">(G53+R53)/(1-Summary!$T$13)*Summary!$T$13</f>
        <v>#N/A</v>
      </c>
      <c r="W53" s="202" t="e">
        <f aca="false">IF($A54="","",(T53+R53+G53+V53))</f>
        <v>#N/A</v>
      </c>
      <c r="X53" s="202" t="e">
        <f aca="false">IF($A54="","",(U53+S53+H53+V53))</f>
        <v>#N/A</v>
      </c>
      <c r="Y53" s="202"/>
      <c r="Z53" s="185" t="e">
        <f aca="false">IF($A54="","",VLOOKUP($A53,Table,MATCH(Z$4,Curves,0)))</f>
        <v>#N/A</v>
      </c>
      <c r="AA53" s="185" t="e">
        <f aca="false">IF($A54="","",VLOOKUP($A53,Table,MATCH(AA$4,Curves,0)))</f>
        <v>#N/A</v>
      </c>
      <c r="AB53" s="185" t="e">
        <f aca="false">SQRT((AA53^2*(A53-$D$3)+Z53^2*(DAY(EOMONTH(A53,0))/2))/AK53)</f>
        <v>#N/A</v>
      </c>
      <c r="AC53" s="185" t="e">
        <f aca="false">IF($A54="","",VLOOKUP($A53,Table,MATCH(AC$4,Curves,0)))</f>
        <v>#N/A</v>
      </c>
      <c r="AD53" s="185" t="e">
        <f aca="false">IF($A54="","",VLOOKUP($A53,Table,MATCH(AD$4,Curves,0)))</f>
        <v>#N/A</v>
      </c>
      <c r="AE53" s="185" t="e">
        <f aca="false">SQRT((AD53^2*(A53-$D$3)+AC53^2*(DAY(EOMONTH(A53,0))/2))/AK53)</f>
        <v>#N/A</v>
      </c>
      <c r="AF53" s="224" t="e">
        <f aca="false">((Summary!$N$13*(AA53*AD53)*(A53-$D$3))+(Summary!$M$13*Z53*AC53*(AJ53-EOMONTH(EDATE(A53,-1),0))))/(AK53*AB53*AE53)</f>
        <v>#N/A</v>
      </c>
      <c r="AG53" s="207" t="n">
        <f aca="false">IF($A54="","",Summary!$Q$13)</f>
        <v>0</v>
      </c>
      <c r="AH53" s="207" t="n">
        <f aca="false">IF($A54="","",IF(Summary!$R$12="Y",(VLOOKUP($A53,Summary!$AD$6:$AF$9,3)+'Escalating commodity'!I66),'Escalating commodity'!I66))</f>
        <v>0.0485396977309397</v>
      </c>
      <c r="AI53" s="207" t="n">
        <f aca="false">IF($A54="","",AH53)</f>
        <v>0.0485396977309397</v>
      </c>
      <c r="AJ53" s="208" t="n">
        <f aca="false">A53+DAY(EOMONTH(A53,0))/2-1</f>
        <v>38367.5</v>
      </c>
      <c r="AK53" s="209" t="n">
        <f aca="false">IF($A54="","",$A53-$E$1)</f>
        <v>-7573</v>
      </c>
      <c r="AL53" s="182" t="e">
        <f aca="false">IF($A54="","",SPRDOPT(P53,X53,AI53,0,AB53,AE53,AF53,AK53,$AJ$2,0))</f>
        <v>#NAME?</v>
      </c>
      <c r="AM53" s="210" t="e">
        <f aca="false">IF($A54="","",MAX(0,O53-W53-AI53))</f>
        <v>#N/A</v>
      </c>
      <c r="AN53" s="211" t="e">
        <f aca="false">IF($A54="","",AL53-AM53)</f>
        <v>#N/A</v>
      </c>
      <c r="AO53" s="137" t="n">
        <f aca="false">IF(A54="","",A54-A53)</f>
        <v>31</v>
      </c>
      <c r="AP53" s="212" t="n">
        <f aca="false">IF(A54="","",CHOOSE(F$3,A54+24,A53))</f>
        <v>38353</v>
      </c>
      <c r="AQ53" s="209" t="n">
        <f aca="false">IF(A54="","",AP53-$E$1)</f>
        <v>-7573</v>
      </c>
      <c r="AR53" s="185" t="n">
        <f aca="false">'ANR OK vs ML7'!AR53</f>
        <v>0.1</v>
      </c>
      <c r="AS53" s="213" t="n">
        <f aca="false">IF(A54="","",1/(1+CHOOSE(F$3,(AR54+($I$3/10000))/2,(AR53+($I$3/10000))/2))^(2*AQ53/365.25))</f>
        <v>7.56252816980258</v>
      </c>
      <c r="AT53" s="137" t="n">
        <f aca="false">IF(A54="","",IF(AND(mthbeg&lt;=A53,mthend&gt;=A53),1,0))</f>
        <v>1</v>
      </c>
      <c r="AU53" s="137" t="n">
        <f aca="false">IF(A54="","",AO53*AT53)</f>
        <v>31</v>
      </c>
      <c r="AW53" s="195" t="e">
        <f aca="false">IF($A54="","",AL53*$E53)</f>
        <v>#NAME?</v>
      </c>
      <c r="AX53" s="195" t="e">
        <f aca="false">IF($A54="","",AM53*$E53)</f>
        <v>#N/A</v>
      </c>
      <c r="AY53" s="195" t="e">
        <f aca="false">IF($A54="","",AN53*$E53)</f>
        <v>#N/A</v>
      </c>
      <c r="BA53" s="195" t="n">
        <f aca="false">IF($A54="","",F53*Summary!$Q$13)</f>
        <v>0</v>
      </c>
      <c r="BC53" s="179" t="e">
        <f aca="false">IF(A54="","",AM53*F53)</f>
        <v>#N/A</v>
      </c>
    </row>
    <row r="54" customFormat="false" ht="12.75" hidden="false" customHeight="false" outlineLevel="0" collapsed="false">
      <c r="A54" s="196" t="n">
        <f aca="false">IF(A53&lt;mthend,EDATE(A53,1),"")</f>
        <v>38384</v>
      </c>
      <c r="B54" s="197" t="n">
        <f aca="false">IF(A54&lt;mthend,B53,"")</f>
        <v>28400</v>
      </c>
      <c r="C54" s="215"/>
      <c r="D54" s="197" t="n">
        <f aca="false">IF(A55&lt;&gt;"",B54+C54,"")</f>
        <v>28400</v>
      </c>
      <c r="E54" s="199" t="n">
        <f aca="false">IF(A55="","",IF(AND(AT54=1,$H$3=1),D54*AO54,IF($H$3=2,D54,"N/A")))</f>
        <v>795200</v>
      </c>
      <c r="F54" s="199" t="n">
        <f aca="false">IF(A55="","",E54*AS54)</f>
        <v>5964122.59723835</v>
      </c>
      <c r="G54" s="200" t="e">
        <f aca="false">IF($A55="","",VLOOKUP($A54,Table,MATCH(G$4,Curves,0)))</f>
        <v>#N/A</v>
      </c>
      <c r="H54" s="201" t="e">
        <f aca="false">IF(A55="","",G54)</f>
        <v>#N/A</v>
      </c>
      <c r="I54" s="202"/>
      <c r="J54" s="200" t="e">
        <f aca="false">IF($A55="","",VLOOKUP($A54,Table,MATCH(J$4,Curves,0)))</f>
        <v>#N/A</v>
      </c>
      <c r="K54" s="201" t="e">
        <f aca="false">IF(A55="","",J54)</f>
        <v>#N/A</v>
      </c>
      <c r="L54" s="185" t="n">
        <v>0</v>
      </c>
      <c r="M54" s="201" t="n">
        <f aca="false">IF(A55="","",L54)</f>
        <v>0</v>
      </c>
      <c r="N54" s="203"/>
      <c r="O54" s="200" t="e">
        <f aca="false">IF(A55="","",L54+J54+G54)</f>
        <v>#N/A</v>
      </c>
      <c r="P54" s="200" t="e">
        <f aca="false">IF(A55="","",M54+K54+H54)</f>
        <v>#N/A</v>
      </c>
      <c r="Q54" s="204"/>
      <c r="R54" s="200" t="e">
        <f aca="false">IF($A55="","",VLOOKUP($A54,Table,MATCH(R$4,Curves,0)))</f>
        <v>#N/A</v>
      </c>
      <c r="S54" s="201" t="e">
        <f aca="false">IF(A55="","",R54)</f>
        <v>#N/A</v>
      </c>
      <c r="T54" s="185" t="n">
        <v>0</v>
      </c>
      <c r="U54" s="201" t="n">
        <f aca="false">IF(A55="","",T54)</f>
        <v>0</v>
      </c>
      <c r="V54" s="205" t="e">
        <f aca="false">(G54+R54)/(1-Summary!$T$13)*Summary!$T$13</f>
        <v>#N/A</v>
      </c>
      <c r="W54" s="202" t="e">
        <f aca="false">IF($A55="","",(T54+R54+G54+V54))</f>
        <v>#N/A</v>
      </c>
      <c r="X54" s="202" t="e">
        <f aca="false">IF($A55="","",(U54+S54+H54+V54))</f>
        <v>#N/A</v>
      </c>
      <c r="Y54" s="202"/>
      <c r="Z54" s="185" t="e">
        <f aca="false">IF($A55="","",VLOOKUP($A54,Table,MATCH(Z$4,Curves,0)))</f>
        <v>#N/A</v>
      </c>
      <c r="AA54" s="185" t="e">
        <f aca="false">IF($A55="","",VLOOKUP($A54,Table,MATCH(AA$4,Curves,0)))</f>
        <v>#N/A</v>
      </c>
      <c r="AB54" s="185" t="e">
        <f aca="false">SQRT((AA54^2*(A54-$D$3)+Z54^2*(DAY(EOMONTH(A54,0))/2))/AK54)</f>
        <v>#N/A</v>
      </c>
      <c r="AC54" s="185" t="e">
        <f aca="false">IF($A55="","",VLOOKUP($A54,Table,MATCH(AC$4,Curves,0)))</f>
        <v>#N/A</v>
      </c>
      <c r="AD54" s="185" t="e">
        <f aca="false">IF($A55="","",VLOOKUP($A54,Table,MATCH(AD$4,Curves,0)))</f>
        <v>#N/A</v>
      </c>
      <c r="AE54" s="185" t="e">
        <f aca="false">SQRT((AD54^2*(A54-$D$3)+AC54^2*(DAY(EOMONTH(A54,0))/2))/AK54)</f>
        <v>#N/A</v>
      </c>
      <c r="AF54" s="224" t="e">
        <f aca="false">((Summary!$N$13*(AA54*AD54)*(A54-$D$3))+(Summary!$M$13*Z54*AC54*(AJ54-EOMONTH(EDATE(A54,-1),0))))/(AK54*AB54*AE54)</f>
        <v>#N/A</v>
      </c>
      <c r="AG54" s="207" t="n">
        <f aca="false">IF($A55="","",Summary!$Q$13)</f>
        <v>0</v>
      </c>
      <c r="AH54" s="207" t="n">
        <f aca="false">IF($A55="","",IF(Summary!$R$12="Y",(VLOOKUP($A54,Summary!$AD$6:$AF$9,3)+'Escalating commodity'!I67),'Escalating commodity'!I67))</f>
        <v>0.0485396977309397</v>
      </c>
      <c r="AI54" s="207" t="n">
        <f aca="false">IF($A55="","",AH54)</f>
        <v>0.0485396977309397</v>
      </c>
      <c r="AJ54" s="208" t="n">
        <f aca="false">A54+DAY(EOMONTH(A54,0))/2-1</f>
        <v>38397</v>
      </c>
      <c r="AK54" s="209" t="n">
        <f aca="false">IF($A55="","",$A54-$E$1)</f>
        <v>-7542</v>
      </c>
      <c r="AL54" s="182" t="e">
        <f aca="false">IF($A55="","",SPRDOPT(P54,X54,AI54,0,AB54,AE54,AF54,AK54,$AJ$2,0))</f>
        <v>#NAME?</v>
      </c>
      <c r="AM54" s="210" t="e">
        <f aca="false">IF($A55="","",MAX(0,O54-W54-AI54))</f>
        <v>#N/A</v>
      </c>
      <c r="AN54" s="211" t="e">
        <f aca="false">IF($A55="","",AL54-AM54)</f>
        <v>#N/A</v>
      </c>
      <c r="AO54" s="137" t="n">
        <f aca="false">IF(A55="","",A55-A54)</f>
        <v>28</v>
      </c>
      <c r="AP54" s="212" t="n">
        <f aca="false">IF(A55="","",CHOOSE(F$3,A55+24,A54))</f>
        <v>38384</v>
      </c>
      <c r="AQ54" s="209" t="n">
        <f aca="false">IF(A55="","",AP54-$E$1)</f>
        <v>-7542</v>
      </c>
      <c r="AR54" s="185" t="n">
        <f aca="false">'ANR OK vs ML7'!AR54</f>
        <v>0.1</v>
      </c>
      <c r="AS54" s="213" t="n">
        <f aca="false">IF(A55="","",1/(1+CHOOSE(F$3,(AR55+($I$3/10000))/2,(AR54+($I$3/10000))/2))^(2*AQ54/365.25))</f>
        <v>7.5001541715774</v>
      </c>
      <c r="AT54" s="137" t="n">
        <f aca="false">IF(A55="","",IF(AND(mthbeg&lt;=A54,mthend&gt;=A54),1,0))</f>
        <v>1</v>
      </c>
      <c r="AU54" s="137" t="n">
        <f aca="false">IF(A55="","",AO54*AT54)</f>
        <v>28</v>
      </c>
      <c r="AW54" s="195" t="e">
        <f aca="false">IF($A55="","",AL54*$E54)</f>
        <v>#NAME?</v>
      </c>
      <c r="AX54" s="195" t="e">
        <f aca="false">IF($A55="","",AM54*$E54)</f>
        <v>#N/A</v>
      </c>
      <c r="AY54" s="195" t="e">
        <f aca="false">IF($A55="","",AN54*$E54)</f>
        <v>#N/A</v>
      </c>
      <c r="BA54" s="195" t="n">
        <f aca="false">IF($A55="","",F54*Summary!$Q$13)</f>
        <v>0</v>
      </c>
      <c r="BC54" s="179" t="e">
        <f aca="false">IF(A55="","",AM54*F54)</f>
        <v>#N/A</v>
      </c>
    </row>
    <row r="55" customFormat="false" ht="12.75" hidden="false" customHeight="false" outlineLevel="0" collapsed="false">
      <c r="A55" s="196" t="n">
        <f aca="false">IF(A54&lt;mthend,EDATE(A54,1),"")</f>
        <v>38412</v>
      </c>
      <c r="B55" s="197" t="n">
        <f aca="false">IF(A55&lt;mthend,B54,"")</f>
        <v>28400</v>
      </c>
      <c r="C55" s="215"/>
      <c r="D55" s="197" t="n">
        <f aca="false">IF(A56&lt;&gt;"",B55+C55,"")</f>
        <v>28400</v>
      </c>
      <c r="E55" s="199" t="n">
        <f aca="false">IF(A56="","",IF(AND(AT55=1,$H$3=1),D55*AO55,IF($H$3=2,D55,"N/A")))</f>
        <v>880400</v>
      </c>
      <c r="F55" s="199" t="n">
        <f aca="false">IF(A56="","",E55*AS55)</f>
        <v>6553925.32631106</v>
      </c>
      <c r="G55" s="200" t="e">
        <f aca="false">IF($A56="","",VLOOKUP($A55,Table,MATCH(G$4,Curves,0)))</f>
        <v>#N/A</v>
      </c>
      <c r="H55" s="201" t="e">
        <f aca="false">IF(A56="","",G55)</f>
        <v>#N/A</v>
      </c>
      <c r="I55" s="202"/>
      <c r="J55" s="200" t="e">
        <f aca="false">IF($A56="","",VLOOKUP($A55,Table,MATCH(J$4,Curves,0)))</f>
        <v>#N/A</v>
      </c>
      <c r="K55" s="201" t="e">
        <f aca="false">IF(A56="","",J55)</f>
        <v>#N/A</v>
      </c>
      <c r="L55" s="185" t="n">
        <v>0</v>
      </c>
      <c r="M55" s="201" t="n">
        <f aca="false">IF(A56="","",L55)</f>
        <v>0</v>
      </c>
      <c r="N55" s="203"/>
      <c r="O55" s="200" t="e">
        <f aca="false">IF(A56="","",L55+J55+G55)</f>
        <v>#N/A</v>
      </c>
      <c r="P55" s="200" t="e">
        <f aca="false">IF(A56="","",M55+K55+H55)</f>
        <v>#N/A</v>
      </c>
      <c r="Q55" s="204"/>
      <c r="R55" s="200" t="e">
        <f aca="false">IF($A56="","",VLOOKUP($A55,Table,MATCH(R$4,Curves,0)))</f>
        <v>#N/A</v>
      </c>
      <c r="S55" s="201" t="e">
        <f aca="false">IF(A56="","",R55)</f>
        <v>#N/A</v>
      </c>
      <c r="T55" s="185" t="n">
        <v>0</v>
      </c>
      <c r="U55" s="201" t="n">
        <f aca="false">IF(A56="","",T55)</f>
        <v>0</v>
      </c>
      <c r="V55" s="205" t="e">
        <f aca="false">(G55+R55)/(1-Summary!$T$13)*Summary!$T$13</f>
        <v>#N/A</v>
      </c>
      <c r="W55" s="202" t="e">
        <f aca="false">IF($A56="","",(T55+R55+G55+V55))</f>
        <v>#N/A</v>
      </c>
      <c r="X55" s="202" t="e">
        <f aca="false">IF($A56="","",(U55+S55+H55+V55))</f>
        <v>#N/A</v>
      </c>
      <c r="Y55" s="202"/>
      <c r="Z55" s="185" t="e">
        <f aca="false">IF($A56="","",VLOOKUP($A55,Table,MATCH(Z$4,Curves,0)))</f>
        <v>#N/A</v>
      </c>
      <c r="AA55" s="185" t="e">
        <f aca="false">IF($A56="","",VLOOKUP($A55,Table,MATCH(AA$4,Curves,0)))</f>
        <v>#N/A</v>
      </c>
      <c r="AB55" s="185" t="e">
        <f aca="false">SQRT((AA55^2*(A55-$D$3)+Z55^2*(DAY(EOMONTH(A55,0))/2))/AK55)</f>
        <v>#N/A</v>
      </c>
      <c r="AC55" s="185" t="e">
        <f aca="false">IF($A56="","",VLOOKUP($A55,Table,MATCH(AC$4,Curves,0)))</f>
        <v>#N/A</v>
      </c>
      <c r="AD55" s="185" t="e">
        <f aca="false">IF($A56="","",VLOOKUP($A55,Table,MATCH(AD$4,Curves,0)))</f>
        <v>#N/A</v>
      </c>
      <c r="AE55" s="185" t="e">
        <f aca="false">SQRT((AD55^2*(A55-$D$3)+AC55^2*(DAY(EOMONTH(A55,0))/2))/AK55)</f>
        <v>#N/A</v>
      </c>
      <c r="AF55" s="224" t="e">
        <f aca="false">((Summary!$N$13*(AA55*AD55)*(A55-$D$3))+(Summary!$M$13*Z55*AC55*(AJ55-EOMONTH(EDATE(A55,-1),0))))/(AK55*AB55*AE55)</f>
        <v>#N/A</v>
      </c>
      <c r="AG55" s="207" t="n">
        <f aca="false">IF($A56="","",Summary!$Q$13)</f>
        <v>0</v>
      </c>
      <c r="AH55" s="207" t="n">
        <f aca="false">IF($A56="","",IF(Summary!$R$12="Y",(VLOOKUP($A55,Summary!$AD$6:$AF$9,3)+'Escalating commodity'!I68),'Escalating commodity'!I68))</f>
        <v>0.0485396977309397</v>
      </c>
      <c r="AI55" s="207" t="n">
        <f aca="false">IF($A56="","",AH55)</f>
        <v>0.0485396977309397</v>
      </c>
      <c r="AJ55" s="208" t="n">
        <f aca="false">A55+DAY(EOMONTH(A55,0))/2-1</f>
        <v>38426.5</v>
      </c>
      <c r="AK55" s="209" t="n">
        <f aca="false">IF($A56="","",$A55-$E$1)</f>
        <v>-7514</v>
      </c>
      <c r="AL55" s="182" t="e">
        <f aca="false">IF($A56="","",SPRDOPT(P55,X55,AI55,0,AB55,AE55,AF55,AK55,$AJ$2,0))</f>
        <v>#NAME?</v>
      </c>
      <c r="AM55" s="210" t="e">
        <f aca="false">IF($A56="","",MAX(0,O55-W55-AI55))</f>
        <v>#N/A</v>
      </c>
      <c r="AN55" s="211" t="e">
        <f aca="false">IF($A56="","",AL55-AM55)</f>
        <v>#N/A</v>
      </c>
      <c r="AO55" s="137" t="n">
        <f aca="false">IF(A56="","",A56-A55)</f>
        <v>31</v>
      </c>
      <c r="AP55" s="212" t="n">
        <f aca="false">IF(A56="","",CHOOSE(F$3,A56+24,A55))</f>
        <v>38412</v>
      </c>
      <c r="AQ55" s="209" t="n">
        <f aca="false">IF(A56="","",AP55-$E$1)</f>
        <v>-7514</v>
      </c>
      <c r="AR55" s="185" t="n">
        <f aca="false">'ANR OK vs ML7'!AR55</f>
        <v>0.1</v>
      </c>
      <c r="AS55" s="213" t="n">
        <f aca="false">IF(A56="","",1/(1+CHOOSE(F$3,(AR56+($I$3/10000))/2,(AR55+($I$3/10000))/2))^(2*AQ55/365.25))</f>
        <v>7.44425866232515</v>
      </c>
      <c r="AT55" s="137" t="n">
        <f aca="false">IF(A56="","",IF(AND(mthbeg&lt;=A55,mthend&gt;=A55),1,0))</f>
        <v>1</v>
      </c>
      <c r="AU55" s="137" t="n">
        <f aca="false">IF(A56="","",AO55*AT55)</f>
        <v>31</v>
      </c>
      <c r="AW55" s="195" t="e">
        <f aca="false">IF($A56="","",AL55*$E55)</f>
        <v>#NAME?</v>
      </c>
      <c r="AX55" s="195" t="e">
        <f aca="false">IF($A56="","",AM55*$E55)</f>
        <v>#N/A</v>
      </c>
      <c r="AY55" s="195" t="e">
        <f aca="false">IF($A56="","",AN55*$E55)</f>
        <v>#N/A</v>
      </c>
      <c r="BA55" s="195" t="n">
        <f aca="false">IF($A56="","",F55*Summary!$Q$13)</f>
        <v>0</v>
      </c>
      <c r="BC55" s="179" t="e">
        <f aca="false">IF(A56="","",AM55*F55)</f>
        <v>#N/A</v>
      </c>
    </row>
    <row r="56" customFormat="false" ht="12.75" hidden="false" customHeight="false" outlineLevel="0" collapsed="false">
      <c r="A56" s="196" t="n">
        <f aca="false">IF(A55&lt;mthend,EDATE(A55,1),"")</f>
        <v>38443</v>
      </c>
      <c r="B56" s="197" t="n">
        <f aca="false">IF(A56&lt;mthend,B55,"")</f>
        <v>28400</v>
      </c>
      <c r="C56" s="215"/>
      <c r="D56" s="197" t="n">
        <f aca="false">IF(A57&lt;&gt;"",B56+C56,"")</f>
        <v>28400</v>
      </c>
      <c r="E56" s="199" t="n">
        <f aca="false">IF(A57="","",IF(AND(AT56=1,$H$3=1),D56*AO56,IF($H$3=2,D56,"N/A")))</f>
        <v>852000</v>
      </c>
      <c r="F56" s="199" t="n">
        <f aca="false">IF(A57="","",E56*AS56)</f>
        <v>6290196.82554401</v>
      </c>
      <c r="G56" s="200" t="e">
        <f aca="false">IF($A57="","",VLOOKUP($A56,Table,MATCH(G$4,Curves,0)))</f>
        <v>#N/A</v>
      </c>
      <c r="H56" s="201" t="e">
        <f aca="false">IF(A57="","",G56)</f>
        <v>#N/A</v>
      </c>
      <c r="I56" s="202"/>
      <c r="J56" s="200" t="e">
        <f aca="false">IF($A57="","",VLOOKUP($A56,Table,MATCH(J$4,Curves,0)))</f>
        <v>#N/A</v>
      </c>
      <c r="K56" s="201" t="e">
        <f aca="false">IF(A57="","",J56)</f>
        <v>#N/A</v>
      </c>
      <c r="L56" s="185" t="n">
        <v>0</v>
      </c>
      <c r="M56" s="201" t="n">
        <f aca="false">IF(A57="","",L56)</f>
        <v>0</v>
      </c>
      <c r="N56" s="203"/>
      <c r="O56" s="200" t="e">
        <f aca="false">IF(A57="","",L56+J56+G56)</f>
        <v>#N/A</v>
      </c>
      <c r="P56" s="200" t="e">
        <f aca="false">IF(A57="","",M56+K56+H56)</f>
        <v>#N/A</v>
      </c>
      <c r="Q56" s="204"/>
      <c r="R56" s="200" t="e">
        <f aca="false">IF($A57="","",VLOOKUP($A56,Table,MATCH(R$4,Curves,0)))</f>
        <v>#N/A</v>
      </c>
      <c r="S56" s="201" t="e">
        <f aca="false">IF(A57="","",R56)</f>
        <v>#N/A</v>
      </c>
      <c r="T56" s="185" t="n">
        <v>0</v>
      </c>
      <c r="U56" s="201" t="n">
        <f aca="false">IF(A57="","",T56)</f>
        <v>0</v>
      </c>
      <c r="V56" s="205" t="e">
        <f aca="false">(G56+R56)/(1-Summary!$T$13)*Summary!$T$13</f>
        <v>#N/A</v>
      </c>
      <c r="W56" s="202" t="e">
        <f aca="false">IF($A57="","",(T56+R56+G56+V56))</f>
        <v>#N/A</v>
      </c>
      <c r="X56" s="202" t="e">
        <f aca="false">IF($A57="","",(U56+S56+H56+V56))</f>
        <v>#N/A</v>
      </c>
      <c r="Y56" s="202"/>
      <c r="Z56" s="185" t="e">
        <f aca="false">IF($A57="","",VLOOKUP($A56,Table,MATCH(Z$4,Curves,0)))</f>
        <v>#N/A</v>
      </c>
      <c r="AA56" s="185" t="e">
        <f aca="false">IF($A57="","",VLOOKUP($A56,Table,MATCH(AA$4,Curves,0)))</f>
        <v>#N/A</v>
      </c>
      <c r="AB56" s="185" t="e">
        <f aca="false">SQRT((AA56^2*(A56-$D$3)+Z56^2*(DAY(EOMONTH(A56,0))/2))/AK56)</f>
        <v>#N/A</v>
      </c>
      <c r="AC56" s="185" t="e">
        <f aca="false">IF($A57="","",VLOOKUP($A56,Table,MATCH(AC$4,Curves,0)))</f>
        <v>#N/A</v>
      </c>
      <c r="AD56" s="185" t="e">
        <f aca="false">IF($A57="","",VLOOKUP($A56,Table,MATCH(AD$4,Curves,0)))</f>
        <v>#N/A</v>
      </c>
      <c r="AE56" s="185" t="e">
        <f aca="false">SQRT((AD56^2*(A56-$D$3)+AC56^2*(DAY(EOMONTH(A56,0))/2))/AK56)</f>
        <v>#N/A</v>
      </c>
      <c r="AF56" s="224" t="e">
        <f aca="false">((Summary!$N$13*(AA56*AD56)*(A56-$D$3))+(Summary!$M$13*Z56*AC56*(AJ56-EOMONTH(EDATE(A56,-1),0))))/(AK56*AB56*AE56)</f>
        <v>#N/A</v>
      </c>
      <c r="AG56" s="207" t="n">
        <f aca="false">IF($A57="","",Summary!$Q$13)</f>
        <v>0</v>
      </c>
      <c r="AH56" s="207" t="n">
        <f aca="false">IF($A57="","",IF(Summary!$R$12="Y",(VLOOKUP($A56,Summary!$AD$6:$AF$9,3)+'Escalating commodity'!I69),'Escalating commodity'!I69))</f>
        <v>0.0485396977309397</v>
      </c>
      <c r="AI56" s="207" t="n">
        <f aca="false">IF($A57="","",AH56)</f>
        <v>0.0485396977309397</v>
      </c>
      <c r="AJ56" s="208" t="n">
        <f aca="false">A56+DAY(EOMONTH(A56,0))/2-1</f>
        <v>38457</v>
      </c>
      <c r="AK56" s="209" t="n">
        <f aca="false">IF($A57="","",$A56-$E$1)</f>
        <v>-7483</v>
      </c>
      <c r="AL56" s="182" t="e">
        <f aca="false">IF($A57="","",SPRDOPT(P56,X56,AI56,0,AB56,AE56,AF56,AK56,$AJ$2,0))</f>
        <v>#NAME?</v>
      </c>
      <c r="AM56" s="210" t="e">
        <f aca="false">IF($A57="","",MAX(0,O56-W56-AI56))</f>
        <v>#N/A</v>
      </c>
      <c r="AN56" s="211" t="e">
        <f aca="false">IF($A57="","",AL56-AM56)</f>
        <v>#N/A</v>
      </c>
      <c r="AO56" s="137" t="n">
        <f aca="false">IF(A57="","",A57-A56)</f>
        <v>30</v>
      </c>
      <c r="AP56" s="212" t="n">
        <f aca="false">IF(A57="","",CHOOSE(F$3,A57+24,A56))</f>
        <v>38443</v>
      </c>
      <c r="AQ56" s="209" t="n">
        <f aca="false">IF(A57="","",AP56-$E$1)</f>
        <v>-7483</v>
      </c>
      <c r="AR56" s="185" t="n">
        <f aca="false">'ANR OK vs ML7'!AR56</f>
        <v>0.1</v>
      </c>
      <c r="AS56" s="213" t="n">
        <f aca="false">IF(A57="","",1/(1+CHOOSE(F$3,(AR57+($I$3/10000))/2,(AR56+($I$3/10000))/2))^(2*AQ56/365.25))</f>
        <v>7.38286012387795</v>
      </c>
      <c r="AT56" s="137" t="n">
        <f aca="false">IF(A57="","",IF(AND(mthbeg&lt;=A56,mthend&gt;=A56),1,0))</f>
        <v>1</v>
      </c>
      <c r="AU56" s="137" t="n">
        <f aca="false">IF(A57="","",AO56*AT56)</f>
        <v>30</v>
      </c>
      <c r="AW56" s="195" t="e">
        <f aca="false">IF($A57="","",AL56*$E56)</f>
        <v>#NAME?</v>
      </c>
      <c r="AX56" s="195" t="e">
        <f aca="false">IF($A57="","",AM56*$E56)</f>
        <v>#N/A</v>
      </c>
      <c r="AY56" s="195" t="e">
        <f aca="false">IF($A57="","",AN56*$E56)</f>
        <v>#N/A</v>
      </c>
      <c r="BA56" s="195" t="n">
        <f aca="false">IF($A57="","",F56*Summary!$Q$13)</f>
        <v>0</v>
      </c>
      <c r="BC56" s="179" t="e">
        <f aca="false">IF(A57="","",AM56*F56)</f>
        <v>#N/A</v>
      </c>
    </row>
    <row r="57" customFormat="false" ht="12.75" hidden="false" customHeight="false" outlineLevel="0" collapsed="false">
      <c r="A57" s="196" t="n">
        <f aca="false">IF(A56&lt;mthend,EDATE(A56,1),"")</f>
        <v>38473</v>
      </c>
      <c r="B57" s="197" t="n">
        <f aca="false">IF(A57&lt;mthend,B56,"")</f>
        <v>28400</v>
      </c>
      <c r="C57" s="215"/>
      <c r="D57" s="197" t="n">
        <f aca="false">IF(A58&lt;&gt;"",B57+C57,"")</f>
        <v>28400</v>
      </c>
      <c r="E57" s="199" t="n">
        <f aca="false">IF(A58="","",IF(AND(AT57=1,$H$3=1),D57*AO57,IF($H$3=2,D57,"N/A")))</f>
        <v>880400</v>
      </c>
      <c r="F57" s="199" t="n">
        <f aca="false">IF(A58="","",E57*AS57)</f>
        <v>6447983.03080975</v>
      </c>
      <c r="G57" s="200" t="e">
        <f aca="false">IF($A58="","",VLOOKUP($A57,Table,MATCH(G$4,Curves,0)))</f>
        <v>#N/A</v>
      </c>
      <c r="H57" s="201" t="e">
        <f aca="false">IF(A58="","",G57)</f>
        <v>#N/A</v>
      </c>
      <c r="I57" s="202"/>
      <c r="J57" s="200" t="e">
        <f aca="false">IF($A58="","",VLOOKUP($A57,Table,MATCH(J$4,Curves,0)))</f>
        <v>#N/A</v>
      </c>
      <c r="K57" s="201" t="e">
        <f aca="false">IF(A58="","",J57)</f>
        <v>#N/A</v>
      </c>
      <c r="L57" s="185" t="n">
        <v>0</v>
      </c>
      <c r="M57" s="201" t="n">
        <f aca="false">IF(A58="","",L57)</f>
        <v>0</v>
      </c>
      <c r="N57" s="203"/>
      <c r="O57" s="200" t="e">
        <f aca="false">IF(A58="","",L57+J57+G57)</f>
        <v>#N/A</v>
      </c>
      <c r="P57" s="200" t="e">
        <f aca="false">IF(A58="","",M57+K57+H57)</f>
        <v>#N/A</v>
      </c>
      <c r="Q57" s="204"/>
      <c r="R57" s="200" t="e">
        <f aca="false">IF($A58="","",VLOOKUP($A57,Table,MATCH(R$4,Curves,0)))</f>
        <v>#N/A</v>
      </c>
      <c r="S57" s="201" t="e">
        <f aca="false">IF(A58="","",R57)</f>
        <v>#N/A</v>
      </c>
      <c r="T57" s="185" t="n">
        <v>0</v>
      </c>
      <c r="U57" s="201" t="n">
        <f aca="false">IF(A58="","",T57)</f>
        <v>0</v>
      </c>
      <c r="V57" s="205" t="e">
        <f aca="false">(G57+R57)/(1-Summary!$T$13)*Summary!$T$13</f>
        <v>#N/A</v>
      </c>
      <c r="W57" s="202" t="e">
        <f aca="false">IF($A58="","",(T57+R57+G57+V57))</f>
        <v>#N/A</v>
      </c>
      <c r="X57" s="202" t="e">
        <f aca="false">IF($A58="","",(U57+S57+H57+V57))</f>
        <v>#N/A</v>
      </c>
      <c r="Y57" s="202"/>
      <c r="Z57" s="185" t="e">
        <f aca="false">IF($A58="","",VLOOKUP($A57,Table,MATCH(Z$4,Curves,0)))</f>
        <v>#N/A</v>
      </c>
      <c r="AA57" s="185" t="e">
        <f aca="false">IF($A58="","",VLOOKUP($A57,Table,MATCH(AA$4,Curves,0)))</f>
        <v>#N/A</v>
      </c>
      <c r="AB57" s="185" t="e">
        <f aca="false">SQRT((AA57^2*(A57-$D$3)+Z57^2*(DAY(EOMONTH(A57,0))/2))/AK57)</f>
        <v>#N/A</v>
      </c>
      <c r="AC57" s="185" t="e">
        <f aca="false">IF($A58="","",VLOOKUP($A57,Table,MATCH(AC$4,Curves,0)))</f>
        <v>#N/A</v>
      </c>
      <c r="AD57" s="185" t="e">
        <f aca="false">IF($A58="","",VLOOKUP($A57,Table,MATCH(AD$4,Curves,0)))</f>
        <v>#N/A</v>
      </c>
      <c r="AE57" s="185" t="e">
        <f aca="false">SQRT((AD57^2*(A57-$D$3)+AC57^2*(DAY(EOMONTH(A57,0))/2))/AK57)</f>
        <v>#N/A</v>
      </c>
      <c r="AF57" s="224" t="e">
        <f aca="false">((Summary!$N$13*(AA57*AD57)*(A57-$D$3))+(Summary!$M$13*Z57*AC57*(AJ57-EOMONTH(EDATE(A57,-1),0))))/(AK57*AB57*AE57)</f>
        <v>#N/A</v>
      </c>
      <c r="AG57" s="207" t="n">
        <f aca="false">IF($A58="","",Summary!$Q$13)</f>
        <v>0</v>
      </c>
      <c r="AH57" s="207" t="n">
        <f aca="false">IF($A58="","",IF(Summary!$R$12="Y",(VLOOKUP($A57,Summary!$AD$6:$AF$9,3)+'Escalating commodity'!I70),'Escalating commodity'!I70))</f>
        <v>0.0485396977309397</v>
      </c>
      <c r="AI57" s="207" t="n">
        <f aca="false">IF($A58="","",AH57)</f>
        <v>0.0485396977309397</v>
      </c>
      <c r="AJ57" s="208" t="n">
        <f aca="false">A57+DAY(EOMONTH(A57,0))/2-1</f>
        <v>38487.5</v>
      </c>
      <c r="AK57" s="209" t="n">
        <f aca="false">IF($A58="","",$A57-$E$1)</f>
        <v>-7453</v>
      </c>
      <c r="AL57" s="182" t="e">
        <f aca="false">IF($A58="","",SPRDOPT(P57,X57,AI57,0,AB57,AE57,AF57,AK57,$AJ$2,0))</f>
        <v>#NAME?</v>
      </c>
      <c r="AM57" s="210" t="e">
        <f aca="false">IF($A58="","",MAX(0,O57-W57-AI57))</f>
        <v>#N/A</v>
      </c>
      <c r="AN57" s="211" t="e">
        <f aca="false">IF($A58="","",AL57-AM57)</f>
        <v>#N/A</v>
      </c>
      <c r="AO57" s="137" t="n">
        <f aca="false">IF(A58="","",A58-A57)</f>
        <v>31</v>
      </c>
      <c r="AP57" s="212" t="n">
        <f aca="false">IF(A58="","",CHOOSE(F$3,A58+24,A57))</f>
        <v>38473</v>
      </c>
      <c r="AQ57" s="209" t="n">
        <f aca="false">IF(A58="","",AP57-$E$1)</f>
        <v>-7453</v>
      </c>
      <c r="AR57" s="185" t="n">
        <f aca="false">'ANR OK vs ML7'!AR57</f>
        <v>0.1</v>
      </c>
      <c r="AS57" s="213" t="n">
        <f aca="false">IF(A58="","",1/(1+CHOOSE(F$3,(AR58+($I$3/10000))/2,(AR57+($I$3/10000))/2))^(2*AQ57/365.25))</f>
        <v>7.32392438756219</v>
      </c>
      <c r="AT57" s="137" t="n">
        <f aca="false">IF(A58="","",IF(AND(mthbeg&lt;=A57,mthend&gt;=A57),1,0))</f>
        <v>1</v>
      </c>
      <c r="AU57" s="137" t="n">
        <f aca="false">IF(A58="","",AO57*AT57)</f>
        <v>31</v>
      </c>
      <c r="AW57" s="195" t="e">
        <f aca="false">IF($A58="","",AL57*$E57)</f>
        <v>#NAME?</v>
      </c>
      <c r="AX57" s="195" t="e">
        <f aca="false">IF($A58="","",AM57*$E57)</f>
        <v>#N/A</v>
      </c>
      <c r="AY57" s="195" t="e">
        <f aca="false">IF($A58="","",AN57*$E57)</f>
        <v>#N/A</v>
      </c>
      <c r="BA57" s="195" t="n">
        <f aca="false">IF($A58="","",F57*Summary!$Q$13)</f>
        <v>0</v>
      </c>
      <c r="BC57" s="179" t="e">
        <f aca="false">IF(A58="","",AM57*F57)</f>
        <v>#N/A</v>
      </c>
    </row>
    <row r="58" customFormat="false" ht="12.75" hidden="false" customHeight="false" outlineLevel="0" collapsed="false">
      <c r="A58" s="196" t="n">
        <f aca="false">IF(A57&lt;mthend,EDATE(A57,1),"")</f>
        <v>38504</v>
      </c>
      <c r="B58" s="197" t="n">
        <f aca="false">IF(A58&lt;mthend,B57,"")</f>
        <v>28400</v>
      </c>
      <c r="C58" s="215"/>
      <c r="D58" s="197" t="n">
        <f aca="false">IF(A59&lt;&gt;"",B58+C58,"")</f>
        <v>28400</v>
      </c>
      <c r="E58" s="199" t="n">
        <f aca="false">IF(A59="","",IF(AND(AT58=1,$H$3=1),D58*AO58,IF($H$3=2,D58,"N/A")))</f>
        <v>852000</v>
      </c>
      <c r="F58" s="199" t="n">
        <f aca="false">IF(A59="","",E58*AS58)</f>
        <v>6188517.62450431</v>
      </c>
      <c r="G58" s="200" t="e">
        <f aca="false">IF($A59="","",VLOOKUP($A58,Table,MATCH(G$4,Curves,0)))</f>
        <v>#N/A</v>
      </c>
      <c r="H58" s="201" t="e">
        <f aca="false">IF(A59="","",G58)</f>
        <v>#N/A</v>
      </c>
      <c r="I58" s="202"/>
      <c r="J58" s="200" t="e">
        <f aca="false">IF($A59="","",VLOOKUP($A58,Table,MATCH(J$4,Curves,0)))</f>
        <v>#N/A</v>
      </c>
      <c r="K58" s="201" t="e">
        <f aca="false">IF(A59="","",J58)</f>
        <v>#N/A</v>
      </c>
      <c r="L58" s="185" t="n">
        <v>0</v>
      </c>
      <c r="M58" s="201" t="n">
        <f aca="false">IF(A59="","",L58)</f>
        <v>0</v>
      </c>
      <c r="N58" s="203"/>
      <c r="O58" s="200" t="e">
        <f aca="false">IF(A59="","",L58+J58+G58)</f>
        <v>#N/A</v>
      </c>
      <c r="P58" s="200" t="e">
        <f aca="false">IF(A59="","",M58+K58+H58)</f>
        <v>#N/A</v>
      </c>
      <c r="Q58" s="204"/>
      <c r="R58" s="200" t="e">
        <f aca="false">IF($A59="","",VLOOKUP($A58,Table,MATCH(R$4,Curves,0)))</f>
        <v>#N/A</v>
      </c>
      <c r="S58" s="201" t="e">
        <f aca="false">IF(A59="","",R58)</f>
        <v>#N/A</v>
      </c>
      <c r="T58" s="185" t="n">
        <v>0</v>
      </c>
      <c r="U58" s="201" t="n">
        <f aca="false">IF(A59="","",T58)</f>
        <v>0</v>
      </c>
      <c r="V58" s="205" t="e">
        <f aca="false">(G58+R58)/(1-Summary!$T$13)*Summary!$T$13</f>
        <v>#N/A</v>
      </c>
      <c r="W58" s="202" t="e">
        <f aca="false">IF($A59="","",(T58+R58+G58+V58))</f>
        <v>#N/A</v>
      </c>
      <c r="X58" s="202" t="e">
        <f aca="false">IF($A59="","",(U58+S58+H58+V58))</f>
        <v>#N/A</v>
      </c>
      <c r="Y58" s="202"/>
      <c r="Z58" s="185" t="e">
        <f aca="false">IF($A59="","",VLOOKUP($A58,Table,MATCH(Z$4,Curves,0)))</f>
        <v>#N/A</v>
      </c>
      <c r="AA58" s="185" t="e">
        <f aca="false">IF($A59="","",VLOOKUP($A58,Table,MATCH(AA$4,Curves,0)))</f>
        <v>#N/A</v>
      </c>
      <c r="AB58" s="185" t="e">
        <f aca="false">SQRT((AA58^2*(A58-$D$3)+Z58^2*(DAY(EOMONTH(A58,0))/2))/AK58)</f>
        <v>#N/A</v>
      </c>
      <c r="AC58" s="185" t="e">
        <f aca="false">IF($A59="","",VLOOKUP($A58,Table,MATCH(AC$4,Curves,0)))</f>
        <v>#N/A</v>
      </c>
      <c r="AD58" s="185" t="e">
        <f aca="false">IF($A59="","",VLOOKUP($A58,Table,MATCH(AD$4,Curves,0)))</f>
        <v>#N/A</v>
      </c>
      <c r="AE58" s="185" t="e">
        <f aca="false">SQRT((AD58^2*(A58-$D$3)+AC58^2*(DAY(EOMONTH(A58,0))/2))/AK58)</f>
        <v>#N/A</v>
      </c>
      <c r="AF58" s="224" t="e">
        <f aca="false">((Summary!$N$13*(AA58*AD58)*(A58-$D$3))+(Summary!$M$13*Z58*AC58*(AJ58-EOMONTH(EDATE(A58,-1),0))))/(AK58*AB58*AE58)</f>
        <v>#N/A</v>
      </c>
      <c r="AG58" s="207" t="n">
        <f aca="false">IF($A59="","",Summary!$Q$13)</f>
        <v>0</v>
      </c>
      <c r="AH58" s="207" t="n">
        <f aca="false">IF($A59="","",IF(Summary!$R$12="Y",(VLOOKUP($A58,Summary!$AD$6:$AF$9,3)+'Escalating commodity'!I71),'Escalating commodity'!I71))</f>
        <v>0.0485396977309397</v>
      </c>
      <c r="AI58" s="207" t="n">
        <f aca="false">IF($A59="","",AH58)</f>
        <v>0.0485396977309397</v>
      </c>
      <c r="AJ58" s="208" t="n">
        <f aca="false">A58+DAY(EOMONTH(A58,0))/2-1</f>
        <v>38518</v>
      </c>
      <c r="AK58" s="209" t="n">
        <f aca="false">IF($A59="","",$A58-$E$1)</f>
        <v>-7422</v>
      </c>
      <c r="AL58" s="182" t="e">
        <f aca="false">IF($A59="","",SPRDOPT(P58,X58,AI58,0,AB58,AE58,AF58,AK58,$AJ$2,0))</f>
        <v>#NAME?</v>
      </c>
      <c r="AM58" s="210" t="e">
        <f aca="false">IF($A59="","",MAX(0,O58-W58-AI58))</f>
        <v>#N/A</v>
      </c>
      <c r="AN58" s="211" t="e">
        <f aca="false">IF($A59="","",AL58-AM58)</f>
        <v>#N/A</v>
      </c>
      <c r="AO58" s="137" t="n">
        <f aca="false">IF(A59="","",A59-A58)</f>
        <v>30</v>
      </c>
      <c r="AP58" s="212" t="n">
        <f aca="false">IF(A59="","",CHOOSE(F$3,A59+24,A58))</f>
        <v>38504</v>
      </c>
      <c r="AQ58" s="209" t="n">
        <f aca="false">IF(A59="","",AP58-$E$1)</f>
        <v>-7422</v>
      </c>
      <c r="AR58" s="185" t="n">
        <f aca="false">'ANR OK vs ML7'!AR58</f>
        <v>0.1</v>
      </c>
      <c r="AS58" s="213" t="n">
        <f aca="false">IF(A59="","",1/(1+CHOOSE(F$3,(AR59+($I$3/10000))/2,(AR58+($I$3/10000))/2))^(2*AQ58/365.25))</f>
        <v>7.26351833862008</v>
      </c>
      <c r="AT58" s="137" t="n">
        <f aca="false">IF(A59="","",IF(AND(mthbeg&lt;=A58,mthend&gt;=A58),1,0))</f>
        <v>1</v>
      </c>
      <c r="AU58" s="137" t="n">
        <f aca="false">IF(A59="","",AO58*AT58)</f>
        <v>30</v>
      </c>
      <c r="AW58" s="195" t="e">
        <f aca="false">IF($A59="","",AL58*$E58)</f>
        <v>#NAME?</v>
      </c>
      <c r="AX58" s="195" t="e">
        <f aca="false">IF($A59="","",AM58*$E58)</f>
        <v>#N/A</v>
      </c>
      <c r="AY58" s="195" t="e">
        <f aca="false">IF($A59="","",AN58*$E58)</f>
        <v>#N/A</v>
      </c>
      <c r="BA58" s="195" t="n">
        <f aca="false">IF($A59="","",F58*Summary!$Q$13)</f>
        <v>0</v>
      </c>
      <c r="BC58" s="179" t="e">
        <f aca="false">IF(A59="","",AM58*F58)</f>
        <v>#N/A</v>
      </c>
    </row>
    <row r="59" customFormat="false" ht="12.75" hidden="false" customHeight="false" outlineLevel="0" collapsed="false">
      <c r="A59" s="196" t="n">
        <f aca="false">IF(A58&lt;mthend,EDATE(A58,1),"")</f>
        <v>38534</v>
      </c>
      <c r="B59" s="197" t="n">
        <f aca="false">IF(A59&lt;mthend,B58,"")</f>
        <v>28400</v>
      </c>
      <c r="C59" s="215"/>
      <c r="D59" s="197" t="n">
        <f aca="false">IF(A60&lt;&gt;"",B59+C59,"")</f>
        <v>28400</v>
      </c>
      <c r="E59" s="199" t="n">
        <f aca="false">IF(A60="","",IF(AND(AT59=1,$H$3=1),D59*AO59,IF($H$3=2,D59,"N/A")))</f>
        <v>880400</v>
      </c>
      <c r="F59" s="199" t="n">
        <f aca="false">IF(A60="","",E59*AS59)</f>
        <v>6343753.26168267</v>
      </c>
      <c r="G59" s="200" t="e">
        <f aca="false">IF($A60="","",VLOOKUP($A59,Table,MATCH(G$4,Curves,0)))</f>
        <v>#N/A</v>
      </c>
      <c r="H59" s="201" t="e">
        <f aca="false">IF(A60="","",G59)</f>
        <v>#N/A</v>
      </c>
      <c r="I59" s="202"/>
      <c r="J59" s="200" t="e">
        <f aca="false">IF($A60="","",VLOOKUP($A59,Table,MATCH(J$4,Curves,0)))</f>
        <v>#N/A</v>
      </c>
      <c r="K59" s="201" t="e">
        <f aca="false">IF(A60="","",J59)</f>
        <v>#N/A</v>
      </c>
      <c r="L59" s="185" t="n">
        <v>0</v>
      </c>
      <c r="M59" s="201" t="n">
        <f aca="false">IF(A60="","",L59)</f>
        <v>0</v>
      </c>
      <c r="N59" s="203"/>
      <c r="O59" s="200" t="e">
        <f aca="false">IF(A60="","",L59+J59+G59)</f>
        <v>#N/A</v>
      </c>
      <c r="P59" s="200" t="e">
        <f aca="false">IF(A60="","",M59+K59+H59)</f>
        <v>#N/A</v>
      </c>
      <c r="Q59" s="204"/>
      <c r="R59" s="200" t="e">
        <f aca="false">IF($A60="","",VLOOKUP($A59,Table,MATCH(R$4,Curves,0)))</f>
        <v>#N/A</v>
      </c>
      <c r="S59" s="201" t="e">
        <f aca="false">IF(A60="","",R59)</f>
        <v>#N/A</v>
      </c>
      <c r="T59" s="185" t="n">
        <v>0</v>
      </c>
      <c r="U59" s="201" t="n">
        <f aca="false">IF(A60="","",T59)</f>
        <v>0</v>
      </c>
      <c r="V59" s="205" t="e">
        <f aca="false">(G59+R59)/(1-Summary!$T$13)*Summary!$T$13</f>
        <v>#N/A</v>
      </c>
      <c r="W59" s="202" t="e">
        <f aca="false">IF($A60="","",(T59+R59+G59+V59))</f>
        <v>#N/A</v>
      </c>
      <c r="X59" s="202" t="e">
        <f aca="false">IF($A60="","",(U59+S59+H59+V59))</f>
        <v>#N/A</v>
      </c>
      <c r="Y59" s="202"/>
      <c r="Z59" s="185" t="e">
        <f aca="false">IF($A60="","",VLOOKUP($A59,Table,MATCH(Z$4,Curves,0)))</f>
        <v>#N/A</v>
      </c>
      <c r="AA59" s="185" t="e">
        <f aca="false">IF($A60="","",VLOOKUP($A59,Table,MATCH(AA$4,Curves,0)))</f>
        <v>#N/A</v>
      </c>
      <c r="AB59" s="185" t="e">
        <f aca="false">SQRT((AA59^2*(A59-$D$3)+Z59^2*(DAY(EOMONTH(A59,0))/2))/AK59)</f>
        <v>#N/A</v>
      </c>
      <c r="AC59" s="185" t="e">
        <f aca="false">IF($A60="","",VLOOKUP($A59,Table,MATCH(AC$4,Curves,0)))</f>
        <v>#N/A</v>
      </c>
      <c r="AD59" s="185" t="e">
        <f aca="false">IF($A60="","",VLOOKUP($A59,Table,MATCH(AD$4,Curves,0)))</f>
        <v>#N/A</v>
      </c>
      <c r="AE59" s="185" t="e">
        <f aca="false">SQRT((AD59^2*(A59-$D$3)+AC59^2*(DAY(EOMONTH(A59,0))/2))/AK59)</f>
        <v>#N/A</v>
      </c>
      <c r="AF59" s="224" t="e">
        <f aca="false">((Summary!$N$13*(AA59*AD59)*(A59-$D$3))+(Summary!$M$13*Z59*AC59*(AJ59-EOMONTH(EDATE(A59,-1),0))))/(AK59*AB59*AE59)</f>
        <v>#N/A</v>
      </c>
      <c r="AG59" s="207" t="n">
        <f aca="false">IF($A60="","",Summary!$Q$13)</f>
        <v>0</v>
      </c>
      <c r="AH59" s="207" t="n">
        <f aca="false">IF($A60="","",IF(Summary!$R$12="Y",(VLOOKUP($A59,Summary!$AD$6:$AF$9,3)+'Escalating commodity'!I72),'Escalating commodity'!I72))</f>
        <v>0.0485396977309397</v>
      </c>
      <c r="AI59" s="207" t="n">
        <f aca="false">IF($A60="","",AH59)</f>
        <v>0.0485396977309397</v>
      </c>
      <c r="AJ59" s="208" t="n">
        <f aca="false">A59+DAY(EOMONTH(A59,0))/2-1</f>
        <v>38548.5</v>
      </c>
      <c r="AK59" s="209" t="n">
        <f aca="false">IF($A60="","",$A59-$E$1)</f>
        <v>-7392</v>
      </c>
      <c r="AL59" s="182" t="e">
        <f aca="false">IF($A60="","",SPRDOPT(P59,X59,AI59,0,AB59,AE59,AF59,AK59,$AJ$2,0))</f>
        <v>#NAME?</v>
      </c>
      <c r="AM59" s="210" t="e">
        <f aca="false">IF($A60="","",MAX(0,O59-W59-AI59))</f>
        <v>#N/A</v>
      </c>
      <c r="AN59" s="211" t="e">
        <f aca="false">IF($A60="","",AL59-AM59)</f>
        <v>#N/A</v>
      </c>
      <c r="AO59" s="137" t="n">
        <f aca="false">IF(A60="","",A60-A59)</f>
        <v>31</v>
      </c>
      <c r="AP59" s="212" t="n">
        <f aca="false">IF(A60="","",CHOOSE(F$3,A60+24,A59))</f>
        <v>38534</v>
      </c>
      <c r="AQ59" s="209" t="n">
        <f aca="false">IF(A60="","",AP59-$E$1)</f>
        <v>-7392</v>
      </c>
      <c r="AR59" s="185" t="n">
        <f aca="false">'ANR OK vs ML7'!AR59</f>
        <v>0.1</v>
      </c>
      <c r="AS59" s="213" t="n">
        <f aca="false">IF(A60="","",1/(1+CHOOSE(F$3,(AR60+($I$3/10000))/2,(AR59+($I$3/10000))/2))^(2*AQ59/365.25))</f>
        <v>7.20553528132971</v>
      </c>
      <c r="AT59" s="137" t="n">
        <f aca="false">IF(A60="","",IF(AND(mthbeg&lt;=A59,mthend&gt;=A59),1,0))</f>
        <v>1</v>
      </c>
      <c r="AU59" s="137" t="n">
        <f aca="false">IF(A60="","",AO59*AT59)</f>
        <v>31</v>
      </c>
      <c r="AW59" s="195" t="e">
        <f aca="false">IF($A60="","",AL59*$E59)</f>
        <v>#NAME?</v>
      </c>
      <c r="AX59" s="195" t="e">
        <f aca="false">IF($A60="","",AM59*$E59)</f>
        <v>#N/A</v>
      </c>
      <c r="AY59" s="195" t="e">
        <f aca="false">IF($A60="","",AN59*$E59)</f>
        <v>#N/A</v>
      </c>
      <c r="BA59" s="195" t="n">
        <f aca="false">IF($A60="","",F59*Summary!$Q$13)</f>
        <v>0</v>
      </c>
      <c r="BC59" s="179" t="e">
        <f aca="false">IF(A60="","",AM59*F59)</f>
        <v>#N/A</v>
      </c>
    </row>
    <row r="60" customFormat="false" ht="12.75" hidden="false" customHeight="false" outlineLevel="0" collapsed="false">
      <c r="A60" s="196" t="n">
        <f aca="false">IF(A59&lt;mthend,EDATE(A59,1),"")</f>
        <v>38565</v>
      </c>
      <c r="B60" s="197" t="n">
        <f aca="false">IF(A60&lt;mthend,B59,"")</f>
        <v>28400</v>
      </c>
      <c r="C60" s="215"/>
      <c r="D60" s="197" t="n">
        <f aca="false">IF(A61&lt;&gt;"",B60+C60,"")</f>
        <v>28400</v>
      </c>
      <c r="E60" s="199" t="n">
        <f aca="false">IF(A61="","",IF(AND(AT60=1,$H$3=1),D60*AO60,IF($H$3=2,D60,"N/A")))</f>
        <v>880400</v>
      </c>
      <c r="F60" s="199" t="n">
        <f aca="false">IF(A61="","",E60*AS60)</f>
        <v>6291431.43942948</v>
      </c>
      <c r="G60" s="200" t="e">
        <f aca="false">IF($A61="","",VLOOKUP($A60,Table,MATCH(G$4,Curves,0)))</f>
        <v>#N/A</v>
      </c>
      <c r="H60" s="201" t="e">
        <f aca="false">IF(A61="","",G60)</f>
        <v>#N/A</v>
      </c>
      <c r="I60" s="202"/>
      <c r="J60" s="200" t="e">
        <f aca="false">IF($A61="","",VLOOKUP($A60,Table,MATCH(J$4,Curves,0)))</f>
        <v>#N/A</v>
      </c>
      <c r="K60" s="201" t="e">
        <f aca="false">IF(A61="","",J60)</f>
        <v>#N/A</v>
      </c>
      <c r="L60" s="185" t="n">
        <v>0</v>
      </c>
      <c r="M60" s="201" t="n">
        <f aca="false">IF(A61="","",L60)</f>
        <v>0</v>
      </c>
      <c r="N60" s="203"/>
      <c r="O60" s="200" t="e">
        <f aca="false">IF(A61="","",L60+J60+G60)</f>
        <v>#N/A</v>
      </c>
      <c r="P60" s="200" t="e">
        <f aca="false">IF(A61="","",M60+K60+H60)</f>
        <v>#N/A</v>
      </c>
      <c r="Q60" s="204"/>
      <c r="R60" s="200" t="e">
        <f aca="false">IF($A61="","",VLOOKUP($A60,Table,MATCH(R$4,Curves,0)))</f>
        <v>#N/A</v>
      </c>
      <c r="S60" s="201" t="e">
        <f aca="false">IF(A61="","",R60)</f>
        <v>#N/A</v>
      </c>
      <c r="T60" s="185" t="n">
        <v>0</v>
      </c>
      <c r="U60" s="201" t="n">
        <f aca="false">IF(A61="","",T60)</f>
        <v>0</v>
      </c>
      <c r="V60" s="205" t="e">
        <f aca="false">(G60+R60)/(1-Summary!$T$13)*Summary!$T$13</f>
        <v>#N/A</v>
      </c>
      <c r="W60" s="202" t="e">
        <f aca="false">IF($A61="","",(T60+R60+G60+V60))</f>
        <v>#N/A</v>
      </c>
      <c r="X60" s="202" t="e">
        <f aca="false">IF($A61="","",(U60+S60+H60+V60))</f>
        <v>#N/A</v>
      </c>
      <c r="Y60" s="202"/>
      <c r="Z60" s="185" t="e">
        <f aca="false">IF($A61="","",VLOOKUP($A60,Table,MATCH(Z$4,Curves,0)))</f>
        <v>#N/A</v>
      </c>
      <c r="AA60" s="185" t="e">
        <f aca="false">IF($A61="","",VLOOKUP($A60,Table,MATCH(AA$4,Curves,0)))</f>
        <v>#N/A</v>
      </c>
      <c r="AB60" s="185" t="e">
        <f aca="false">SQRT((AA60^2*(A60-$D$3)+Z60^2*(DAY(EOMONTH(A60,0))/2))/AK60)</f>
        <v>#N/A</v>
      </c>
      <c r="AC60" s="185" t="e">
        <f aca="false">IF($A61="","",VLOOKUP($A60,Table,MATCH(AC$4,Curves,0)))</f>
        <v>#N/A</v>
      </c>
      <c r="AD60" s="185" t="e">
        <f aca="false">IF($A61="","",VLOOKUP($A60,Table,MATCH(AD$4,Curves,0)))</f>
        <v>#N/A</v>
      </c>
      <c r="AE60" s="185" t="e">
        <f aca="false">SQRT((AD60^2*(A60-$D$3)+AC60^2*(DAY(EOMONTH(A60,0))/2))/AK60)</f>
        <v>#N/A</v>
      </c>
      <c r="AF60" s="224" t="e">
        <f aca="false">((Summary!$N$13*(AA60*AD60)*(A60-$D$3))+(Summary!$M$13*Z60*AC60*(AJ60-EOMONTH(EDATE(A60,-1),0))))/(AK60*AB60*AE60)</f>
        <v>#N/A</v>
      </c>
      <c r="AG60" s="207" t="n">
        <f aca="false">IF($A61="","",Summary!$Q$13)</f>
        <v>0</v>
      </c>
      <c r="AH60" s="207" t="n">
        <f aca="false">IF($A61="","",IF(Summary!$R$12="Y",(VLOOKUP($A60,Summary!$AD$6:$AF$9,3)+'Escalating commodity'!I73),'Escalating commodity'!I73))</f>
        <v>0.0485396977309397</v>
      </c>
      <c r="AI60" s="207" t="n">
        <f aca="false">IF($A61="","",AH60)</f>
        <v>0.0485396977309397</v>
      </c>
      <c r="AJ60" s="208" t="n">
        <f aca="false">A60+DAY(EOMONTH(A60,0))/2-1</f>
        <v>38579.5</v>
      </c>
      <c r="AK60" s="209" t="n">
        <f aca="false">IF($A61="","",$A60-$E$1)</f>
        <v>-7361</v>
      </c>
      <c r="AL60" s="182" t="e">
        <f aca="false">IF($A61="","",SPRDOPT(P60,X60,AI60,0,AB60,AE60,AF60,AK60,$AJ$2,0))</f>
        <v>#NAME?</v>
      </c>
      <c r="AM60" s="210" t="e">
        <f aca="false">IF($A61="","",MAX(0,O60-W60-AI60))</f>
        <v>#N/A</v>
      </c>
      <c r="AN60" s="211" t="e">
        <f aca="false">IF($A61="","",AL60-AM60)</f>
        <v>#N/A</v>
      </c>
      <c r="AO60" s="137" t="n">
        <f aca="false">IF(A61="","",A61-A60)</f>
        <v>31</v>
      </c>
      <c r="AP60" s="212" t="n">
        <f aca="false">IF(A61="","",CHOOSE(F$3,A61+24,A60))</f>
        <v>38565</v>
      </c>
      <c r="AQ60" s="209" t="n">
        <f aca="false">IF(A61="","",AP60-$E$1)</f>
        <v>-7361</v>
      </c>
      <c r="AR60" s="185" t="n">
        <f aca="false">'ANR OK vs ML7'!AR60</f>
        <v>0.1</v>
      </c>
      <c r="AS60" s="213" t="n">
        <f aca="false">IF(A61="","",1/(1+CHOOSE(F$3,(AR61+($I$3/10000))/2,(AR60+($I$3/10000))/2))^(2*AQ60/365.25))</f>
        <v>7.14610567858869</v>
      </c>
      <c r="AT60" s="137" t="n">
        <f aca="false">IF(A61="","",IF(AND(mthbeg&lt;=A60,mthend&gt;=A60),1,0))</f>
        <v>1</v>
      </c>
      <c r="AU60" s="137" t="n">
        <f aca="false">IF(A61="","",AO60*AT60)</f>
        <v>31</v>
      </c>
      <c r="AW60" s="195" t="e">
        <f aca="false">IF($A61="","",AL60*$E60)</f>
        <v>#NAME?</v>
      </c>
      <c r="AX60" s="195" t="e">
        <f aca="false">IF($A61="","",AM60*$E60)</f>
        <v>#N/A</v>
      </c>
      <c r="AY60" s="195" t="e">
        <f aca="false">IF($A61="","",AN60*$E60)</f>
        <v>#N/A</v>
      </c>
      <c r="BA60" s="195" t="n">
        <f aca="false">IF($A61="","",F60*Summary!$Q$13)</f>
        <v>0</v>
      </c>
      <c r="BC60" s="179" t="e">
        <f aca="false">IF(A61="","",AM60*F60)</f>
        <v>#N/A</v>
      </c>
    </row>
    <row r="61" customFormat="false" ht="12.75" hidden="false" customHeight="false" outlineLevel="0" collapsed="false">
      <c r="A61" s="196" t="n">
        <f aca="false">IF(A60&lt;mthend,EDATE(A60,1),"")</f>
        <v>38596</v>
      </c>
      <c r="B61" s="197" t="n">
        <f aca="false">IF(A61&lt;mthend,B60,"")</f>
        <v>28400</v>
      </c>
      <c r="C61" s="215"/>
      <c r="D61" s="197" t="n">
        <f aca="false">IF(A62&lt;&gt;"",B61+C61,"")</f>
        <v>28400</v>
      </c>
      <c r="E61" s="199" t="n">
        <f aca="false">IF(A62="","",IF(AND(AT61=1,$H$3=1),D61*AO61,IF($H$3=2,D61,"N/A")))</f>
        <v>852000</v>
      </c>
      <c r="F61" s="199" t="n">
        <f aca="false">IF(A62="","",E61*AS61)</f>
        <v>6038265.63442124</v>
      </c>
      <c r="G61" s="200" t="e">
        <f aca="false">IF($A62="","",VLOOKUP($A61,Table,MATCH(G$4,Curves,0)))</f>
        <v>#N/A</v>
      </c>
      <c r="H61" s="201" t="e">
        <f aca="false">IF(A62="","",G61)</f>
        <v>#N/A</v>
      </c>
      <c r="I61" s="202"/>
      <c r="J61" s="200" t="e">
        <f aca="false">IF($A62="","",VLOOKUP($A61,Table,MATCH(J$4,Curves,0)))</f>
        <v>#N/A</v>
      </c>
      <c r="K61" s="201" t="e">
        <f aca="false">IF(A62="","",J61)</f>
        <v>#N/A</v>
      </c>
      <c r="L61" s="185" t="n">
        <v>0</v>
      </c>
      <c r="M61" s="201" t="n">
        <f aca="false">IF(A62="","",L61)</f>
        <v>0</v>
      </c>
      <c r="N61" s="203"/>
      <c r="O61" s="200" t="e">
        <f aca="false">IF(A62="","",L61+J61+G61)</f>
        <v>#N/A</v>
      </c>
      <c r="P61" s="200" t="e">
        <f aca="false">IF(A62="","",M61+K61+H61)</f>
        <v>#N/A</v>
      </c>
      <c r="Q61" s="204"/>
      <c r="R61" s="200" t="e">
        <f aca="false">IF($A62="","",VLOOKUP($A61,Table,MATCH(R$4,Curves,0)))</f>
        <v>#N/A</v>
      </c>
      <c r="S61" s="201" t="e">
        <f aca="false">IF(A62="","",R61)</f>
        <v>#N/A</v>
      </c>
      <c r="T61" s="185" t="n">
        <v>0</v>
      </c>
      <c r="U61" s="201" t="n">
        <f aca="false">IF(A62="","",T61)</f>
        <v>0</v>
      </c>
      <c r="V61" s="205" t="e">
        <f aca="false">(G61+R61)/(1-Summary!$T$13)*Summary!$T$13</f>
        <v>#N/A</v>
      </c>
      <c r="W61" s="202" t="e">
        <f aca="false">IF($A62="","",(T61+R61+G61+V61))</f>
        <v>#N/A</v>
      </c>
      <c r="X61" s="202" t="e">
        <f aca="false">IF($A62="","",(U61+S61+H61+V61))</f>
        <v>#N/A</v>
      </c>
      <c r="Y61" s="202"/>
      <c r="Z61" s="185" t="e">
        <f aca="false">IF($A62="","",VLOOKUP($A61,Table,MATCH(Z$4,Curves,0)))</f>
        <v>#N/A</v>
      </c>
      <c r="AA61" s="185" t="e">
        <f aca="false">IF($A62="","",VLOOKUP($A61,Table,MATCH(AA$4,Curves,0)))</f>
        <v>#N/A</v>
      </c>
      <c r="AB61" s="185" t="e">
        <f aca="false">SQRT((AA61^2*(A61-$D$3)+Z61^2*(DAY(EOMONTH(A61,0))/2))/AK61)</f>
        <v>#N/A</v>
      </c>
      <c r="AC61" s="185" t="e">
        <f aca="false">IF($A62="","",VLOOKUP($A61,Table,MATCH(AC$4,Curves,0)))</f>
        <v>#N/A</v>
      </c>
      <c r="AD61" s="185" t="e">
        <f aca="false">IF($A62="","",VLOOKUP($A61,Table,MATCH(AD$4,Curves,0)))</f>
        <v>#N/A</v>
      </c>
      <c r="AE61" s="185" t="e">
        <f aca="false">SQRT((AD61^2*(A61-$D$3)+AC61^2*(DAY(EOMONTH(A61,0))/2))/AK61)</f>
        <v>#N/A</v>
      </c>
      <c r="AF61" s="224" t="e">
        <f aca="false">((Summary!$N$13*(AA61*AD61)*(A61-$D$3))+(Summary!$M$13*Z61*AC61*(AJ61-EOMONTH(EDATE(A61,-1),0))))/(AK61*AB61*AE61)</f>
        <v>#N/A</v>
      </c>
      <c r="AG61" s="207" t="n">
        <f aca="false">IF($A62="","",Summary!$Q$13)</f>
        <v>0</v>
      </c>
      <c r="AH61" s="207" t="n">
        <f aca="false">IF($A62="","",IF(Summary!$R$12="Y",(VLOOKUP($A61,Summary!$AD$6:$AF$9,3)+'Escalating commodity'!I74),'Escalating commodity'!I74))</f>
        <v>0.0485396977309397</v>
      </c>
      <c r="AI61" s="207" t="n">
        <f aca="false">IF($A62="","",AH61)</f>
        <v>0.0485396977309397</v>
      </c>
      <c r="AJ61" s="208" t="n">
        <f aca="false">A61+DAY(EOMONTH(A61,0))/2-1</f>
        <v>38610</v>
      </c>
      <c r="AK61" s="209" t="n">
        <f aca="false">IF($A62="","",$A61-$E$1)</f>
        <v>-7330</v>
      </c>
      <c r="AL61" s="182" t="e">
        <f aca="false">IF($A62="","",SPRDOPT(P61,X61,AI61,0,AB61,AE61,AF61,AK61,$AJ$2,0))</f>
        <v>#NAME?</v>
      </c>
      <c r="AM61" s="210" t="e">
        <f aca="false">IF($A62="","",MAX(0,O61-W61-AI61))</f>
        <v>#N/A</v>
      </c>
      <c r="AN61" s="211" t="e">
        <f aca="false">IF($A62="","",AL61-AM61)</f>
        <v>#N/A</v>
      </c>
      <c r="AO61" s="137" t="n">
        <f aca="false">IF(A62="","",A62-A61)</f>
        <v>30</v>
      </c>
      <c r="AP61" s="212" t="n">
        <f aca="false">IF(A62="","",CHOOSE(F$3,A62+24,A61))</f>
        <v>38596</v>
      </c>
      <c r="AQ61" s="209" t="n">
        <f aca="false">IF(A62="","",AP61-$E$1)</f>
        <v>-7330</v>
      </c>
      <c r="AR61" s="185" t="n">
        <f aca="false">'ANR OK vs ML7'!AR61</f>
        <v>0.1</v>
      </c>
      <c r="AS61" s="213" t="n">
        <f aca="false">IF(A62="","",1/(1+CHOOSE(F$3,(AR62+($I$3/10000))/2,(AR61+($I$3/10000))/2))^(2*AQ61/365.25))</f>
        <v>7.08716623758362</v>
      </c>
      <c r="AT61" s="137" t="n">
        <f aca="false">IF(A62="","",IF(AND(mthbeg&lt;=A61,mthend&gt;=A61),1,0))</f>
        <v>1</v>
      </c>
      <c r="AU61" s="137" t="n">
        <f aca="false">IF(A62="","",AO61*AT61)</f>
        <v>30</v>
      </c>
      <c r="AW61" s="195" t="e">
        <f aca="false">IF($A62="","",AL61*$E61)</f>
        <v>#NAME?</v>
      </c>
      <c r="AX61" s="195" t="e">
        <f aca="false">IF($A62="","",AM61*$E61)</f>
        <v>#N/A</v>
      </c>
      <c r="AY61" s="195" t="e">
        <f aca="false">IF($A62="","",AN61*$E61)</f>
        <v>#N/A</v>
      </c>
      <c r="BA61" s="195" t="n">
        <f aca="false">IF($A62="","",F61*Summary!$Q$13)</f>
        <v>0</v>
      </c>
      <c r="BC61" s="179" t="e">
        <f aca="false">IF(A62="","",AM61*F61)</f>
        <v>#N/A</v>
      </c>
    </row>
    <row r="62" customFormat="false" ht="12.75" hidden="false" customHeight="false" outlineLevel="0" collapsed="false">
      <c r="A62" s="196" t="n">
        <f aca="false">IF(A61&lt;mthend,EDATE(A61,1),"")</f>
        <v>38626</v>
      </c>
      <c r="B62" s="197" t="n">
        <f aca="false">IF(A62&lt;mthend,B61,"")</f>
        <v>28400</v>
      </c>
      <c r="C62" s="215"/>
      <c r="D62" s="197" t="n">
        <f aca="false">IF(A63&lt;&gt;"",B62+C62,"")</f>
        <v>28400</v>
      </c>
      <c r="E62" s="199" t="n">
        <f aca="false">IF(A63="","",IF(AND(AT62=1,$H$3=1),D62*AO62,IF($H$3=2,D62,"N/A")))</f>
        <v>880400</v>
      </c>
      <c r="F62" s="199" t="n">
        <f aca="false">IF(A63="","",E62*AS62)</f>
        <v>6189732.28121563</v>
      </c>
      <c r="G62" s="200" t="e">
        <f aca="false">IF($A63="","",VLOOKUP($A62,Table,MATCH(G$4,Curves,0)))</f>
        <v>#N/A</v>
      </c>
      <c r="H62" s="201" t="e">
        <f aca="false">IF(A63="","",G62)</f>
        <v>#N/A</v>
      </c>
      <c r="I62" s="202"/>
      <c r="J62" s="200" t="e">
        <f aca="false">IF($A63="","",VLOOKUP($A62,Table,MATCH(J$4,Curves,0)))</f>
        <v>#N/A</v>
      </c>
      <c r="K62" s="201" t="e">
        <f aca="false">IF(A63="","",J62)</f>
        <v>#N/A</v>
      </c>
      <c r="L62" s="185" t="n">
        <v>0</v>
      </c>
      <c r="M62" s="201" t="n">
        <f aca="false">IF(A63="","",L62)</f>
        <v>0</v>
      </c>
      <c r="N62" s="203"/>
      <c r="O62" s="200" t="e">
        <f aca="false">IF(A63="","",L62+J62+G62)</f>
        <v>#N/A</v>
      </c>
      <c r="P62" s="200" t="e">
        <f aca="false">IF(A63="","",M62+K62+H62)</f>
        <v>#N/A</v>
      </c>
      <c r="Q62" s="204"/>
      <c r="R62" s="200" t="e">
        <f aca="false">IF($A63="","",VLOOKUP($A62,Table,MATCH(R$4,Curves,0)))</f>
        <v>#N/A</v>
      </c>
      <c r="S62" s="201" t="e">
        <f aca="false">IF(A63="","",R62)</f>
        <v>#N/A</v>
      </c>
      <c r="T62" s="185" t="n">
        <v>0</v>
      </c>
      <c r="U62" s="201" t="n">
        <f aca="false">IF(A63="","",T62)</f>
        <v>0</v>
      </c>
      <c r="V62" s="205" t="e">
        <f aca="false">(G62+R62)/(1-Summary!$T$13)*Summary!$T$13</f>
        <v>#N/A</v>
      </c>
      <c r="W62" s="202" t="e">
        <f aca="false">IF($A63="","",(T62+R62+G62+V62))</f>
        <v>#N/A</v>
      </c>
      <c r="X62" s="202" t="e">
        <f aca="false">IF($A63="","",(U62+S62+H62+V62))</f>
        <v>#N/A</v>
      </c>
      <c r="Y62" s="202"/>
      <c r="Z62" s="185" t="e">
        <f aca="false">IF($A63="","",VLOOKUP($A62,Table,MATCH(Z$4,Curves,0)))</f>
        <v>#N/A</v>
      </c>
      <c r="AA62" s="185" t="e">
        <f aca="false">IF($A63="","",VLOOKUP($A62,Table,MATCH(AA$4,Curves,0)))</f>
        <v>#N/A</v>
      </c>
      <c r="AB62" s="185" t="e">
        <f aca="false">SQRT((AA62^2*(A62-$D$3)+Z62^2*(DAY(EOMONTH(A62,0))/2))/AK62)</f>
        <v>#N/A</v>
      </c>
      <c r="AC62" s="185" t="e">
        <f aca="false">IF($A63="","",VLOOKUP($A62,Table,MATCH(AC$4,Curves,0)))</f>
        <v>#N/A</v>
      </c>
      <c r="AD62" s="185" t="e">
        <f aca="false">IF($A63="","",VLOOKUP($A62,Table,MATCH(AD$4,Curves,0)))</f>
        <v>#N/A</v>
      </c>
      <c r="AE62" s="185" t="e">
        <f aca="false">SQRT((AD62^2*(A62-$D$3)+AC62^2*(DAY(EOMONTH(A62,0))/2))/AK62)</f>
        <v>#N/A</v>
      </c>
      <c r="AF62" s="224" t="e">
        <f aca="false">((Summary!$N$13*(AA62*AD62)*(A62-$D$3))+(Summary!$M$13*Z62*AC62*(AJ62-EOMONTH(EDATE(A62,-1),0))))/(AK62*AB62*AE62)</f>
        <v>#N/A</v>
      </c>
      <c r="AG62" s="207" t="n">
        <f aca="false">IF($A63="","",Summary!$Q$13)</f>
        <v>0</v>
      </c>
      <c r="AH62" s="207" t="n">
        <f aca="false">IF($A63="","",IF(Summary!$R$12="Y",(VLOOKUP($A62,Summary!$AD$6:$AF$9,3)+'Escalating commodity'!I75),'Escalating commodity'!I75))</f>
        <v>0.0485396977309397</v>
      </c>
      <c r="AI62" s="207" t="n">
        <f aca="false">IF($A63="","",AH62)</f>
        <v>0.0485396977309397</v>
      </c>
      <c r="AJ62" s="208" t="n">
        <f aca="false">A62+DAY(EOMONTH(A62,0))/2-1</f>
        <v>38640.5</v>
      </c>
      <c r="AK62" s="209" t="n">
        <f aca="false">IF($A63="","",$A62-$E$1)</f>
        <v>-7300</v>
      </c>
      <c r="AL62" s="182" t="e">
        <f aca="false">IF($A63="","",SPRDOPT(P62,X62,AI62,0,AB62,AE62,AF62,AK62,$AJ$2,0))</f>
        <v>#NAME?</v>
      </c>
      <c r="AM62" s="210" t="e">
        <f aca="false">IF($A63="","",MAX(0,O62-W62-AI62))</f>
        <v>#N/A</v>
      </c>
      <c r="AN62" s="211" t="e">
        <f aca="false">IF($A63="","",AL62-AM62)</f>
        <v>#N/A</v>
      </c>
      <c r="AO62" s="137" t="n">
        <f aca="false">IF(A63="","",A63-A62)</f>
        <v>31</v>
      </c>
      <c r="AP62" s="212" t="n">
        <f aca="false">IF(A63="","",CHOOSE(F$3,A63+24,A62))</f>
        <v>38626</v>
      </c>
      <c r="AQ62" s="209" t="n">
        <f aca="false">IF(A63="","",AP62-$E$1)</f>
        <v>-7300</v>
      </c>
      <c r="AR62" s="185" t="n">
        <f aca="false">'ANR OK vs ML7'!AR62</f>
        <v>0.1</v>
      </c>
      <c r="AS62" s="213" t="n">
        <f aca="false">IF(A63="","",1/(1+CHOOSE(F$3,(AR63+($I$3/10000))/2,(AR62+($I$3/10000))/2))^(2*AQ62/365.25))</f>
        <v>7.03059096003592</v>
      </c>
      <c r="AT62" s="137" t="n">
        <f aca="false">IF(A63="","",IF(AND(mthbeg&lt;=A62,mthend&gt;=A62),1,0))</f>
        <v>1</v>
      </c>
      <c r="AU62" s="137" t="n">
        <f aca="false">IF(A63="","",AO62*AT62)</f>
        <v>31</v>
      </c>
      <c r="AW62" s="195" t="e">
        <f aca="false">IF($A63="","",AL62*$E62)</f>
        <v>#NAME?</v>
      </c>
      <c r="AX62" s="195" t="e">
        <f aca="false">IF($A63="","",AM62*$E62)</f>
        <v>#N/A</v>
      </c>
      <c r="AY62" s="195" t="e">
        <f aca="false">IF($A63="","",AN62*$E62)</f>
        <v>#N/A</v>
      </c>
      <c r="BA62" s="195" t="n">
        <f aca="false">IF($A63="","",F62*Summary!$Q$13)</f>
        <v>0</v>
      </c>
      <c r="BC62" s="179" t="e">
        <f aca="false">IF(A63="","",AM62*F62)</f>
        <v>#N/A</v>
      </c>
    </row>
    <row r="63" customFormat="false" ht="12.75" hidden="false" customHeight="false" outlineLevel="0" collapsed="false">
      <c r="A63" s="196" t="n">
        <f aca="false">IF(A62&lt;mthend,EDATE(A62,1),"")</f>
        <v>38657</v>
      </c>
      <c r="B63" s="197" t="n">
        <f aca="false">IF(A63&lt;mthend,B62,"")</f>
        <v>28400</v>
      </c>
      <c r="C63" s="215"/>
      <c r="D63" s="197" t="n">
        <f aca="false">IF(A64&lt;&gt;"",B63+C63,"")</f>
        <v>28400</v>
      </c>
      <c r="E63" s="199" t="n">
        <f aca="false">IF(A64="","",IF(AND(AT63=1,$H$3=1),D63*AO63,IF($H$3=2,D63,"N/A")))</f>
        <v>852000</v>
      </c>
      <c r="F63" s="199" t="n">
        <f aca="false">IF(A64="","",E63*AS63)</f>
        <v>5940658.82776613</v>
      </c>
      <c r="G63" s="200" t="e">
        <f aca="false">IF($A64="","",VLOOKUP($A63,Table,MATCH(G$4,Curves,0)))</f>
        <v>#N/A</v>
      </c>
      <c r="H63" s="201" t="e">
        <f aca="false">IF(A64="","",G63)</f>
        <v>#N/A</v>
      </c>
      <c r="I63" s="202"/>
      <c r="J63" s="200" t="e">
        <f aca="false">IF($A64="","",VLOOKUP($A63,Table,MATCH(J$4,Curves,0)))</f>
        <v>#N/A</v>
      </c>
      <c r="K63" s="201" t="e">
        <f aca="false">IF(A64="","",J63)</f>
        <v>#N/A</v>
      </c>
      <c r="L63" s="185" t="n">
        <v>0</v>
      </c>
      <c r="M63" s="201" t="n">
        <f aca="false">IF(A64="","",L63)</f>
        <v>0</v>
      </c>
      <c r="N63" s="203"/>
      <c r="O63" s="200" t="e">
        <f aca="false">IF(A64="","",L63+J63+G63)</f>
        <v>#N/A</v>
      </c>
      <c r="P63" s="200" t="e">
        <f aca="false">IF(A64="","",M63+K63+H63)</f>
        <v>#N/A</v>
      </c>
      <c r="Q63" s="204"/>
      <c r="R63" s="200" t="e">
        <f aca="false">IF($A64="","",VLOOKUP($A63,Table,MATCH(R$4,Curves,0)))</f>
        <v>#N/A</v>
      </c>
      <c r="S63" s="201" t="e">
        <f aca="false">IF(A64="","",R63)</f>
        <v>#N/A</v>
      </c>
      <c r="T63" s="185" t="n">
        <v>0</v>
      </c>
      <c r="U63" s="201" t="n">
        <f aca="false">IF(A64="","",T63)</f>
        <v>0</v>
      </c>
      <c r="V63" s="205" t="e">
        <f aca="false">(G63+R63)/(1-Summary!$T$13)*Summary!$T$13</f>
        <v>#N/A</v>
      </c>
      <c r="W63" s="202" t="e">
        <f aca="false">IF($A64="","",(T63+R63+G63+V63))</f>
        <v>#N/A</v>
      </c>
      <c r="X63" s="202" t="e">
        <f aca="false">IF($A64="","",(U63+S63+H63+V63))</f>
        <v>#N/A</v>
      </c>
      <c r="Y63" s="202"/>
      <c r="Z63" s="185" t="e">
        <f aca="false">IF($A64="","",VLOOKUP($A63,Table,MATCH(Z$4,Curves,0)))</f>
        <v>#N/A</v>
      </c>
      <c r="AA63" s="185" t="e">
        <f aca="false">IF($A64="","",VLOOKUP($A63,Table,MATCH(AA$4,Curves,0)))</f>
        <v>#N/A</v>
      </c>
      <c r="AB63" s="185" t="e">
        <f aca="false">SQRT((AA63^2*(A63-$D$3)+Z63^2*(DAY(EOMONTH(A63,0))/2))/AK63)</f>
        <v>#N/A</v>
      </c>
      <c r="AC63" s="185" t="e">
        <f aca="false">IF($A64="","",VLOOKUP($A63,Table,MATCH(AC$4,Curves,0)))</f>
        <v>#N/A</v>
      </c>
      <c r="AD63" s="185" t="e">
        <f aca="false">IF($A64="","",VLOOKUP($A63,Table,MATCH(AD$4,Curves,0)))</f>
        <v>#N/A</v>
      </c>
      <c r="AE63" s="185" t="e">
        <f aca="false">SQRT((AD63^2*(A63-$D$3)+AC63^2*(DAY(EOMONTH(A63,0))/2))/AK63)</f>
        <v>#N/A</v>
      </c>
      <c r="AF63" s="224" t="e">
        <f aca="false">((Summary!$N$13*(AA63*AD63)*(A63-$D$3))+(Summary!$M$13*Z63*AC63*(AJ63-EOMONTH(EDATE(A63,-1),0))))/(AK63*AB63*AE63)</f>
        <v>#N/A</v>
      </c>
      <c r="AG63" s="207" t="n">
        <f aca="false">IF($A64="","",Summary!$Q$13)</f>
        <v>0</v>
      </c>
      <c r="AH63" s="207" t="n">
        <f aca="false">IF($A64="","",IF(Summary!$R$12="Y",(VLOOKUP($A63,Summary!$AD$6:$AF$9,3)+'Escalating commodity'!I76),'Escalating commodity'!I76))</f>
        <v>0.0485396977309397</v>
      </c>
      <c r="AI63" s="207" t="n">
        <f aca="false">IF($A64="","",AH63)</f>
        <v>0.0485396977309397</v>
      </c>
      <c r="AJ63" s="208" t="n">
        <f aca="false">A63+DAY(EOMONTH(A63,0))/2-1</f>
        <v>38671</v>
      </c>
      <c r="AK63" s="209" t="n">
        <f aca="false">IF($A64="","",$A63-$E$1)</f>
        <v>-7269</v>
      </c>
      <c r="AL63" s="182" t="e">
        <f aca="false">IF($A64="","",SPRDOPT(P63,X63,AI63,0,AB63,AE63,AF63,AK63,$AJ$2,0))</f>
        <v>#NAME?</v>
      </c>
      <c r="AM63" s="210" t="e">
        <f aca="false">IF($A64="","",MAX(0,O63-W63-AI63))</f>
        <v>#N/A</v>
      </c>
      <c r="AN63" s="211" t="e">
        <f aca="false">IF($A64="","",AL63-AM63)</f>
        <v>#N/A</v>
      </c>
      <c r="AO63" s="137" t="n">
        <f aca="false">IF(A64="","",A64-A63)</f>
        <v>30</v>
      </c>
      <c r="AP63" s="212" t="n">
        <f aca="false">IF(A64="","",CHOOSE(F$3,A64+24,A63))</f>
        <v>38657</v>
      </c>
      <c r="AQ63" s="209" t="n">
        <f aca="false">IF(A64="","",AP63-$E$1)</f>
        <v>-7269</v>
      </c>
      <c r="AR63" s="185" t="n">
        <f aca="false">'ANR OK vs ML7'!AR63</f>
        <v>0.1</v>
      </c>
      <c r="AS63" s="213" t="n">
        <f aca="false">IF(A64="","",1/(1+CHOOSE(F$3,(AR64+($I$3/10000))/2,(AR63+($I$3/10000))/2))^(2*AQ63/365.25))</f>
        <v>6.97260425794147</v>
      </c>
      <c r="AT63" s="137" t="n">
        <f aca="false">IF(A64="","",IF(AND(mthbeg&lt;=A63,mthend&gt;=A63),1,0))</f>
        <v>1</v>
      </c>
      <c r="AU63" s="137" t="n">
        <f aca="false">IF(A64="","",AO63*AT63)</f>
        <v>30</v>
      </c>
      <c r="AW63" s="195" t="e">
        <f aca="false">IF($A64="","",AL63*$E63)</f>
        <v>#NAME?</v>
      </c>
      <c r="AX63" s="195" t="e">
        <f aca="false">IF($A64="","",AM63*$E63)</f>
        <v>#N/A</v>
      </c>
      <c r="AY63" s="195" t="e">
        <f aca="false">IF($A64="","",AN63*$E63)</f>
        <v>#N/A</v>
      </c>
      <c r="BA63" s="195" t="n">
        <f aca="false">IF($A64="","",F63*Summary!$Q$13)</f>
        <v>0</v>
      </c>
      <c r="BC63" s="179" t="e">
        <f aca="false">IF(A64="","",AM63*F63)</f>
        <v>#N/A</v>
      </c>
    </row>
    <row r="64" customFormat="false" ht="12.75" hidden="false" customHeight="false" outlineLevel="0" collapsed="false">
      <c r="A64" s="196" t="n">
        <f aca="false">IF(A63&lt;mthend,EDATE(A63,1),"")</f>
        <v>38687</v>
      </c>
      <c r="B64" s="197" t="n">
        <f aca="false">IF(A64&lt;mthend,B63,"")</f>
        <v>28400</v>
      </c>
      <c r="C64" s="215"/>
      <c r="D64" s="197" t="n">
        <f aca="false">IF(A65&lt;&gt;"",B64+C64,"")</f>
        <v>28400</v>
      </c>
      <c r="E64" s="199" t="n">
        <f aca="false">IF(A65="","",IF(AND(AT64=1,$H$3=1),D64*AO64,IF($H$3=2,D64,"N/A")))</f>
        <v>880400</v>
      </c>
      <c r="F64" s="199" t="n">
        <f aca="false">IF(A65="","",E64*AS64)</f>
        <v>6089677.06029664</v>
      </c>
      <c r="G64" s="200" t="e">
        <f aca="false">IF($A65="","",VLOOKUP($A64,Table,MATCH(G$4,Curves,0)))</f>
        <v>#N/A</v>
      </c>
      <c r="H64" s="201" t="e">
        <f aca="false">IF(A65="","",G64)</f>
        <v>#N/A</v>
      </c>
      <c r="I64" s="202"/>
      <c r="J64" s="200" t="e">
        <f aca="false">IF($A65="","",VLOOKUP($A64,Table,MATCH(J$4,Curves,0)))</f>
        <v>#N/A</v>
      </c>
      <c r="K64" s="201" t="e">
        <f aca="false">IF(A65="","",J64)</f>
        <v>#N/A</v>
      </c>
      <c r="L64" s="185" t="n">
        <v>0</v>
      </c>
      <c r="M64" s="201" t="n">
        <f aca="false">IF(A65="","",L64)</f>
        <v>0</v>
      </c>
      <c r="N64" s="203"/>
      <c r="O64" s="200" t="e">
        <f aca="false">IF(A65="","",L64+J64+G64)</f>
        <v>#N/A</v>
      </c>
      <c r="P64" s="200" t="e">
        <f aca="false">IF(A65="","",M64+K64+H64)</f>
        <v>#N/A</v>
      </c>
      <c r="Q64" s="204"/>
      <c r="R64" s="200" t="e">
        <f aca="false">IF($A65="","",VLOOKUP($A64,Table,MATCH(R$4,Curves,0)))</f>
        <v>#N/A</v>
      </c>
      <c r="S64" s="201" t="e">
        <f aca="false">IF(A65="","",R64)</f>
        <v>#N/A</v>
      </c>
      <c r="T64" s="185" t="n">
        <v>0</v>
      </c>
      <c r="U64" s="201" t="n">
        <f aca="false">IF(A65="","",T64)</f>
        <v>0</v>
      </c>
      <c r="V64" s="205" t="e">
        <f aca="false">(G64+R64)/(1-Summary!$T$13)*Summary!$T$13</f>
        <v>#N/A</v>
      </c>
      <c r="W64" s="202" t="e">
        <f aca="false">IF($A65="","",(T64+R64+G64+V64))</f>
        <v>#N/A</v>
      </c>
      <c r="X64" s="202" t="e">
        <f aca="false">IF($A65="","",(U64+S64+H64+V64))</f>
        <v>#N/A</v>
      </c>
      <c r="Y64" s="202"/>
      <c r="Z64" s="185" t="e">
        <f aca="false">IF($A65="","",VLOOKUP($A64,Table,MATCH(Z$4,Curves,0)))</f>
        <v>#N/A</v>
      </c>
      <c r="AA64" s="185" t="e">
        <f aca="false">IF($A65="","",VLOOKUP($A64,Table,MATCH(AA$4,Curves,0)))</f>
        <v>#N/A</v>
      </c>
      <c r="AB64" s="185" t="e">
        <f aca="false">SQRT((AA64^2*(A64-$D$3)+Z64^2*(DAY(EOMONTH(A64,0))/2))/AK64)</f>
        <v>#N/A</v>
      </c>
      <c r="AC64" s="185" t="e">
        <f aca="false">IF($A65="","",VLOOKUP($A64,Table,MATCH(AC$4,Curves,0)))</f>
        <v>#N/A</v>
      </c>
      <c r="AD64" s="185" t="e">
        <f aca="false">IF($A65="","",VLOOKUP($A64,Table,MATCH(AD$4,Curves,0)))</f>
        <v>#N/A</v>
      </c>
      <c r="AE64" s="185" t="e">
        <f aca="false">SQRT((AD64^2*(A64-$D$3)+AC64^2*(DAY(EOMONTH(A64,0))/2))/AK64)</f>
        <v>#N/A</v>
      </c>
      <c r="AF64" s="224" t="e">
        <f aca="false">((Summary!$N$13*(AA64*AD64)*(A64-$D$3))+(Summary!$M$13*Z64*AC64*(AJ64-EOMONTH(EDATE(A64,-1),0))))/(AK64*AB64*AE64)</f>
        <v>#N/A</v>
      </c>
      <c r="AG64" s="207" t="n">
        <f aca="false">IF($A65="","",Summary!$Q$13)</f>
        <v>0</v>
      </c>
      <c r="AH64" s="207" t="n">
        <f aca="false">IF($A65="","",IF(Summary!$R$12="Y",(VLOOKUP($A64,Summary!$AD$6:$AF$9,3)+'Escalating commodity'!I77),'Escalating commodity'!I77))</f>
        <v>0.0485396977309397</v>
      </c>
      <c r="AI64" s="207" t="n">
        <f aca="false">IF($A65="","",AH64)</f>
        <v>0.0485396977309397</v>
      </c>
      <c r="AJ64" s="208" t="n">
        <f aca="false">A64+DAY(EOMONTH(A64,0))/2-1</f>
        <v>38701.5</v>
      </c>
      <c r="AK64" s="209" t="n">
        <f aca="false">IF($A65="","",$A64-$E$1)</f>
        <v>-7239</v>
      </c>
      <c r="AL64" s="182" t="e">
        <f aca="false">IF($A65="","",SPRDOPT(P64,X64,AI64,0,AB64,AE64,AF64,AK64,$AJ$2,0))</f>
        <v>#NAME?</v>
      </c>
      <c r="AM64" s="210" t="e">
        <f aca="false">IF($A65="","",MAX(0,O64-W64-AI64))</f>
        <v>#N/A</v>
      </c>
      <c r="AN64" s="211" t="e">
        <f aca="false">IF($A65="","",AL64-AM64)</f>
        <v>#N/A</v>
      </c>
      <c r="AO64" s="137" t="n">
        <f aca="false">IF(A65="","",A65-A64)</f>
        <v>31</v>
      </c>
      <c r="AP64" s="212" t="n">
        <f aca="false">IF(A65="","",CHOOSE(F$3,A65+24,A64))</f>
        <v>38687</v>
      </c>
      <c r="AQ64" s="209" t="n">
        <f aca="false">IF(A65="","",AP64-$E$1)</f>
        <v>-7239</v>
      </c>
      <c r="AR64" s="185" t="n">
        <f aca="false">'ANR OK vs ML7'!AR64</f>
        <v>0.1</v>
      </c>
      <c r="AS64" s="213" t="n">
        <f aca="false">IF(A65="","",1/(1+CHOOSE(F$3,(AR65+($I$3/10000))/2,(AR64+($I$3/10000))/2))^(2*AQ64/365.25))</f>
        <v>6.91694350329014</v>
      </c>
      <c r="AT64" s="137" t="n">
        <f aca="false">IF(A65="","",IF(AND(mthbeg&lt;=A64,mthend&gt;=A64),1,0))</f>
        <v>1</v>
      </c>
      <c r="AU64" s="137" t="n">
        <f aca="false">IF(A65="","",AO64*AT64)</f>
        <v>31</v>
      </c>
      <c r="AW64" s="195" t="e">
        <f aca="false">IF($A65="","",AL64*$E64)</f>
        <v>#NAME?</v>
      </c>
      <c r="AX64" s="195" t="e">
        <f aca="false">IF($A65="","",AM64*$E64)</f>
        <v>#N/A</v>
      </c>
      <c r="AY64" s="195" t="e">
        <f aca="false">IF($A65="","",AN64*$E64)</f>
        <v>#N/A</v>
      </c>
      <c r="BA64" s="195" t="n">
        <f aca="false">IF($A65="","",F64*Summary!$Q$13)</f>
        <v>0</v>
      </c>
      <c r="BC64" s="179" t="e">
        <f aca="false">IF(A65="","",AM64*F64)</f>
        <v>#N/A</v>
      </c>
    </row>
    <row r="65" customFormat="false" ht="12.75" hidden="false" customHeight="false" outlineLevel="0" collapsed="false">
      <c r="A65" s="196" t="n">
        <f aca="false">IF(A64&lt;mthend,EDATE(A64,1),"")</f>
        <v>38718</v>
      </c>
      <c r="B65" s="197" t="n">
        <f aca="false">IF(A65&lt;mthend,B64,"")</f>
        <v>28400</v>
      </c>
      <c r="C65" s="215"/>
      <c r="D65" s="197" t="n">
        <f aca="false">IF(A66&lt;&gt;"",B65+C65,"")</f>
        <v>28400</v>
      </c>
      <c r="E65" s="199" t="n">
        <f aca="false">IF(A66="","",IF(AND(AT65=1,$H$3=1),D65*AO65,IF($H$3=2,D65,"N/A")))</f>
        <v>880400</v>
      </c>
      <c r="F65" s="199" t="n">
        <f aca="false">IF(A66="","",E65*AS65)</f>
        <v>6039450.80029175</v>
      </c>
      <c r="G65" s="200" t="e">
        <f aca="false">IF($A66="","",VLOOKUP($A65,Table,MATCH(G$4,Curves,0)))</f>
        <v>#N/A</v>
      </c>
      <c r="H65" s="201" t="e">
        <f aca="false">IF(A66="","",G65)</f>
        <v>#N/A</v>
      </c>
      <c r="I65" s="202"/>
      <c r="J65" s="200" t="e">
        <f aca="false">IF($A66="","",VLOOKUP($A65,Table,MATCH(J$4,Curves,0)))</f>
        <v>#N/A</v>
      </c>
      <c r="K65" s="201" t="e">
        <f aca="false">IF(A66="","",J65)</f>
        <v>#N/A</v>
      </c>
      <c r="L65" s="185" t="n">
        <v>0</v>
      </c>
      <c r="M65" s="201" t="n">
        <f aca="false">IF(A66="","",L65)</f>
        <v>0</v>
      </c>
      <c r="N65" s="203"/>
      <c r="O65" s="200" t="e">
        <f aca="false">IF(A66="","",L65+J65+G65)</f>
        <v>#N/A</v>
      </c>
      <c r="P65" s="200" t="e">
        <f aca="false">IF(A66="","",M65+K65+H65)</f>
        <v>#N/A</v>
      </c>
      <c r="Q65" s="204"/>
      <c r="R65" s="200" t="e">
        <f aca="false">IF($A66="","",VLOOKUP($A65,Table,MATCH(R$4,Curves,0)))</f>
        <v>#N/A</v>
      </c>
      <c r="S65" s="201" t="e">
        <f aca="false">IF(A66="","",R65)</f>
        <v>#N/A</v>
      </c>
      <c r="T65" s="185" t="n">
        <v>0</v>
      </c>
      <c r="U65" s="201" t="n">
        <f aca="false">IF(A66="","",T65)</f>
        <v>0</v>
      </c>
      <c r="V65" s="205" t="e">
        <f aca="false">(G65+R65)/(1-Summary!$T$13)*Summary!$T$13</f>
        <v>#N/A</v>
      </c>
      <c r="W65" s="202" t="e">
        <f aca="false">IF($A66="","",(T65+R65+G65+V65))</f>
        <v>#N/A</v>
      </c>
      <c r="X65" s="202" t="e">
        <f aca="false">IF($A66="","",(U65+S65+H65+V65))</f>
        <v>#N/A</v>
      </c>
      <c r="Y65" s="202"/>
      <c r="Z65" s="185" t="e">
        <f aca="false">IF($A66="","",VLOOKUP($A65,Table,MATCH(Z$4,Curves,0)))</f>
        <v>#N/A</v>
      </c>
      <c r="AA65" s="185" t="e">
        <f aca="false">IF($A66="","",VLOOKUP($A65,Table,MATCH(AA$4,Curves,0)))</f>
        <v>#N/A</v>
      </c>
      <c r="AB65" s="185" t="e">
        <f aca="false">SQRT((AA65^2*(A65-$D$3)+Z65^2*(DAY(EOMONTH(A65,0))/2))/AK65)</f>
        <v>#N/A</v>
      </c>
      <c r="AC65" s="185" t="e">
        <f aca="false">IF($A66="","",VLOOKUP($A65,Table,MATCH(AC$4,Curves,0)))</f>
        <v>#N/A</v>
      </c>
      <c r="AD65" s="185" t="e">
        <f aca="false">IF($A66="","",VLOOKUP($A65,Table,MATCH(AD$4,Curves,0)))</f>
        <v>#N/A</v>
      </c>
      <c r="AE65" s="185" t="e">
        <f aca="false">SQRT((AD65^2*(A65-$D$3)+AC65^2*(DAY(EOMONTH(A65,0))/2))/AK65)</f>
        <v>#N/A</v>
      </c>
      <c r="AF65" s="224" t="e">
        <f aca="false">((Summary!$N$13*(AA65*AD65)*(A65-$D$3))+(Summary!$M$13*Z65*AC65*(AJ65-EOMONTH(EDATE(A65,-1),0))))/(AK65*AB65*AE65)</f>
        <v>#N/A</v>
      </c>
      <c r="AG65" s="207" t="n">
        <f aca="false">IF($A66="","",Summary!$Q$13)</f>
        <v>0</v>
      </c>
      <c r="AH65" s="207" t="n">
        <f aca="false">IF($A66="","",IF(Summary!$R$12="Y",(VLOOKUP($A65,Summary!$AD$6:$AF$9,3)+'Escalating commodity'!I78),'Escalating commodity'!I78))</f>
        <v>0.0495104916855585</v>
      </c>
      <c r="AI65" s="207" t="n">
        <f aca="false">IF($A66="","",AH65)</f>
        <v>0.0495104916855585</v>
      </c>
      <c r="AJ65" s="208" t="n">
        <f aca="false">A65+DAY(EOMONTH(A65,0))/2-1</f>
        <v>38732.5</v>
      </c>
      <c r="AK65" s="209" t="n">
        <f aca="false">IF($A66="","",$A65-$E$1)</f>
        <v>-7208</v>
      </c>
      <c r="AL65" s="182" t="e">
        <f aca="false">IF($A66="","",SPRDOPT(P65,X65,AI65,0,AB65,AE65,AF65,AK65,$AJ$2,0))</f>
        <v>#NAME?</v>
      </c>
      <c r="AM65" s="210" t="e">
        <f aca="false">IF($A66="","",MAX(0,O65-W65-AI65))</f>
        <v>#N/A</v>
      </c>
      <c r="AN65" s="211" t="e">
        <f aca="false">IF($A66="","",AL65-AM65)</f>
        <v>#N/A</v>
      </c>
      <c r="AO65" s="137" t="n">
        <f aca="false">IF(A66="","",A66-A65)</f>
        <v>31</v>
      </c>
      <c r="AP65" s="212" t="n">
        <f aca="false">IF(A66="","",CHOOSE(F$3,A66+24,A65))</f>
        <v>38718</v>
      </c>
      <c r="AQ65" s="209" t="n">
        <f aca="false">IF(A66="","",AP65-$E$1)</f>
        <v>-7208</v>
      </c>
      <c r="AR65" s="185" t="n">
        <f aca="false">'ANR OK vs ML7'!AR65</f>
        <v>0.1</v>
      </c>
      <c r="AS65" s="213" t="n">
        <f aca="false">IF(A66="","",1/(1+CHOOSE(F$3,(AR66+($I$3/10000))/2,(AR65+($I$3/10000))/2))^(2*AQ65/365.25))</f>
        <v>6.85989413935909</v>
      </c>
      <c r="AT65" s="137" t="n">
        <f aca="false">IF(A66="","",IF(AND(mthbeg&lt;=A65,mthend&gt;=A65),1,0))</f>
        <v>1</v>
      </c>
      <c r="AU65" s="137" t="n">
        <f aca="false">IF(A66="","",AO65*AT65)</f>
        <v>31</v>
      </c>
      <c r="AW65" s="195" t="e">
        <f aca="false">IF($A66="","",AL65*$E65)</f>
        <v>#NAME?</v>
      </c>
      <c r="AX65" s="195" t="e">
        <f aca="false">IF($A66="","",AM65*$E65)</f>
        <v>#N/A</v>
      </c>
      <c r="AY65" s="195" t="e">
        <f aca="false">IF($A66="","",AN65*$E65)</f>
        <v>#N/A</v>
      </c>
      <c r="BA65" s="195" t="n">
        <f aca="false">IF($A66="","",F65*Summary!$Q$13)</f>
        <v>0</v>
      </c>
      <c r="BC65" s="179" t="e">
        <f aca="false">IF(A66="","",AM65*F65)</f>
        <v>#N/A</v>
      </c>
    </row>
    <row r="66" customFormat="false" ht="12.75" hidden="false" customHeight="false" outlineLevel="0" collapsed="false">
      <c r="A66" s="196" t="n">
        <f aca="false">IF(A65&lt;mthend,EDATE(A65,1),"")</f>
        <v>38749</v>
      </c>
      <c r="B66" s="197" t="n">
        <f aca="false">IF(A66&lt;mthend,B65,"")</f>
        <v>28400</v>
      </c>
      <c r="C66" s="215"/>
      <c r="D66" s="197" t="n">
        <f aca="false">IF(A67&lt;&gt;"",B66+C66,"")</f>
        <v>28400</v>
      </c>
      <c r="E66" s="199" t="n">
        <f aca="false">IF(A67="","",IF(AND(AT66=1,$H$3=1),D66*AO66,IF($H$3=2,D66,"N/A")))</f>
        <v>795200</v>
      </c>
      <c r="F66" s="199" t="n">
        <f aca="false">IF(A67="","",E66*AS66)</f>
        <v>5409996.33093367</v>
      </c>
      <c r="G66" s="200" t="e">
        <f aca="false">IF($A67="","",VLOOKUP($A66,Table,MATCH(G$4,Curves,0)))</f>
        <v>#N/A</v>
      </c>
      <c r="H66" s="201" t="e">
        <f aca="false">IF(A67="","",G66)</f>
        <v>#N/A</v>
      </c>
      <c r="I66" s="202"/>
      <c r="J66" s="200" t="e">
        <f aca="false">IF($A67="","",VLOOKUP($A66,Table,MATCH(J$4,Curves,0)))</f>
        <v>#N/A</v>
      </c>
      <c r="K66" s="201" t="e">
        <f aca="false">IF(A67="","",J66)</f>
        <v>#N/A</v>
      </c>
      <c r="L66" s="185" t="n">
        <v>0</v>
      </c>
      <c r="M66" s="201" t="n">
        <f aca="false">IF(A67="","",L66)</f>
        <v>0</v>
      </c>
      <c r="N66" s="203"/>
      <c r="O66" s="200" t="e">
        <f aca="false">IF(A67="","",L66+J66+G66)</f>
        <v>#N/A</v>
      </c>
      <c r="P66" s="200" t="e">
        <f aca="false">IF(A67="","",M66+K66+H66)</f>
        <v>#N/A</v>
      </c>
      <c r="Q66" s="204"/>
      <c r="R66" s="200" t="e">
        <f aca="false">IF($A67="","",VLOOKUP($A66,Table,MATCH(R$4,Curves,0)))</f>
        <v>#N/A</v>
      </c>
      <c r="S66" s="201" t="e">
        <f aca="false">IF(A67="","",R66)</f>
        <v>#N/A</v>
      </c>
      <c r="T66" s="185" t="n">
        <v>0</v>
      </c>
      <c r="U66" s="201" t="n">
        <f aca="false">IF(A67="","",T66)</f>
        <v>0</v>
      </c>
      <c r="V66" s="205" t="e">
        <f aca="false">(G66+R66)/(1-Summary!$T$13)*Summary!$T$13</f>
        <v>#N/A</v>
      </c>
      <c r="W66" s="202" t="e">
        <f aca="false">IF($A67="","",(T66+R66+G66+V66))</f>
        <v>#N/A</v>
      </c>
      <c r="X66" s="202" t="e">
        <f aca="false">IF($A67="","",(U66+S66+H66+V66))</f>
        <v>#N/A</v>
      </c>
      <c r="Y66" s="202"/>
      <c r="Z66" s="185" t="e">
        <f aca="false">IF($A67="","",VLOOKUP($A66,Table,MATCH(Z$4,Curves,0)))</f>
        <v>#N/A</v>
      </c>
      <c r="AA66" s="185" t="e">
        <f aca="false">IF($A67="","",VLOOKUP($A66,Table,MATCH(AA$4,Curves,0)))</f>
        <v>#N/A</v>
      </c>
      <c r="AB66" s="185" t="e">
        <f aca="false">SQRT((AA66^2*(A66-$D$3)+Z66^2*(DAY(EOMONTH(A66,0))/2))/AK66)</f>
        <v>#N/A</v>
      </c>
      <c r="AC66" s="185" t="e">
        <f aca="false">IF($A67="","",VLOOKUP($A66,Table,MATCH(AC$4,Curves,0)))</f>
        <v>#N/A</v>
      </c>
      <c r="AD66" s="185" t="e">
        <f aca="false">IF($A67="","",VLOOKUP($A66,Table,MATCH(AD$4,Curves,0)))</f>
        <v>#N/A</v>
      </c>
      <c r="AE66" s="185" t="e">
        <f aca="false">SQRT((AD66^2*(A66-$D$3)+AC66^2*(DAY(EOMONTH(A66,0))/2))/AK66)</f>
        <v>#N/A</v>
      </c>
      <c r="AF66" s="224" t="e">
        <f aca="false">((Summary!$N$13*(AA66*AD66)*(A66-$D$3))+(Summary!$M$13*Z66*AC66*(AJ66-EOMONTH(EDATE(A66,-1),0))))/(AK66*AB66*AE66)</f>
        <v>#N/A</v>
      </c>
      <c r="AG66" s="207" t="n">
        <f aca="false">IF($A67="","",Summary!$Q$13)</f>
        <v>0</v>
      </c>
      <c r="AH66" s="207" t="n">
        <f aca="false">IF($A67="","",IF(Summary!$R$12="Y",(VLOOKUP($A66,Summary!$AD$6:$AF$9,3)+'Escalating commodity'!I79),'Escalating commodity'!I79))</f>
        <v>0.0495104916855585</v>
      </c>
      <c r="AI66" s="207" t="n">
        <f aca="false">IF($A67="","",AH66)</f>
        <v>0.0495104916855585</v>
      </c>
      <c r="AJ66" s="208" t="n">
        <f aca="false">A66+DAY(EOMONTH(A66,0))/2-1</f>
        <v>38762</v>
      </c>
      <c r="AK66" s="209" t="n">
        <f aca="false">IF($A67="","",$A66-$E$1)</f>
        <v>-7177</v>
      </c>
      <c r="AL66" s="182" t="e">
        <f aca="false">IF($A67="","",SPRDOPT(P66,X66,AI66,0,AB66,AE66,AF66,AK66,$AJ$2,0))</f>
        <v>#NAME?</v>
      </c>
      <c r="AM66" s="210" t="e">
        <f aca="false">IF($A67="","",MAX(0,O66-W66-AI66))</f>
        <v>#N/A</v>
      </c>
      <c r="AN66" s="211" t="e">
        <f aca="false">IF($A67="","",AL66-AM66)</f>
        <v>#N/A</v>
      </c>
      <c r="AO66" s="137" t="n">
        <f aca="false">IF(A67="","",A67-A66)</f>
        <v>28</v>
      </c>
      <c r="AP66" s="212" t="n">
        <f aca="false">IF(A67="","",CHOOSE(F$3,A67+24,A66))</f>
        <v>38749</v>
      </c>
      <c r="AQ66" s="209" t="n">
        <f aca="false">IF(A67="","",AP66-$E$1)</f>
        <v>-7177</v>
      </c>
      <c r="AR66" s="185" t="n">
        <f aca="false">'ANR OK vs ML7'!AR66</f>
        <v>0.1</v>
      </c>
      <c r="AS66" s="213" t="n">
        <f aca="false">IF(A67="","",1/(1+CHOOSE(F$3,(AR67+($I$3/10000))/2,(AR66+($I$3/10000))/2))^(2*AQ66/365.25))</f>
        <v>6.80331530550009</v>
      </c>
      <c r="AT66" s="137" t="n">
        <f aca="false">IF(A67="","",IF(AND(mthbeg&lt;=A66,mthend&gt;=A66),1,0))</f>
        <v>1</v>
      </c>
      <c r="AU66" s="137" t="n">
        <f aca="false">IF(A67="","",AO66*AT66)</f>
        <v>28</v>
      </c>
      <c r="AW66" s="195" t="e">
        <f aca="false">IF($A67="","",AL66*$E66)</f>
        <v>#NAME?</v>
      </c>
      <c r="AX66" s="195" t="e">
        <f aca="false">IF($A67="","",AM66*$E66)</f>
        <v>#N/A</v>
      </c>
      <c r="AY66" s="195" t="e">
        <f aca="false">IF($A67="","",AN66*$E66)</f>
        <v>#N/A</v>
      </c>
      <c r="BA66" s="195" t="n">
        <f aca="false">IF($A67="","",F66*Summary!$Q$13)</f>
        <v>0</v>
      </c>
      <c r="BC66" s="179" t="e">
        <f aca="false">IF(A67="","",AM66*F66)</f>
        <v>#N/A</v>
      </c>
    </row>
    <row r="67" customFormat="false" ht="12.75" hidden="false" customHeight="false" outlineLevel="0" collapsed="false">
      <c r="A67" s="196" t="n">
        <f aca="false">IF(A66&lt;mthend,EDATE(A66,1),"")</f>
        <v>38777</v>
      </c>
      <c r="B67" s="197" t="n">
        <f aca="false">IF(A67&lt;mthend,B66,"")</f>
        <v>28400</v>
      </c>
      <c r="C67" s="215"/>
      <c r="D67" s="197" t="n">
        <f aca="false">IF(A68&lt;&gt;"",B67+C67,"")</f>
        <v>28400</v>
      </c>
      <c r="E67" s="199" t="n">
        <f aca="false">IF(A68="","",IF(AND(AT67=1,$H$3=1),D67*AO67,IF($H$3=2,D67,"N/A")))</f>
        <v>880400</v>
      </c>
      <c r="F67" s="199" t="n">
        <f aca="false">IF(A68="","",E67*AS67)</f>
        <v>5945000.52446509</v>
      </c>
      <c r="G67" s="200" t="e">
        <f aca="false">IF($A68="","",VLOOKUP($A67,Table,MATCH(G$4,Curves,0)))</f>
        <v>#N/A</v>
      </c>
      <c r="H67" s="201" t="e">
        <f aca="false">IF(A68="","",G67)</f>
        <v>#N/A</v>
      </c>
      <c r="I67" s="202"/>
      <c r="J67" s="200" t="e">
        <f aca="false">IF($A68="","",VLOOKUP($A67,Table,MATCH(J$4,Curves,0)))</f>
        <v>#N/A</v>
      </c>
      <c r="K67" s="201" t="e">
        <f aca="false">IF(A68="","",J67)</f>
        <v>#N/A</v>
      </c>
      <c r="L67" s="185" t="n">
        <v>0</v>
      </c>
      <c r="M67" s="201" t="n">
        <f aca="false">IF(A68="","",L67)</f>
        <v>0</v>
      </c>
      <c r="N67" s="203"/>
      <c r="O67" s="200" t="e">
        <f aca="false">IF(A68="","",L67+J67+G67)</f>
        <v>#N/A</v>
      </c>
      <c r="P67" s="200" t="e">
        <f aca="false">IF(A68="","",M67+K67+H67)</f>
        <v>#N/A</v>
      </c>
      <c r="Q67" s="204"/>
      <c r="R67" s="200" t="e">
        <f aca="false">IF($A68="","",VLOOKUP($A67,Table,MATCH(R$4,Curves,0)))</f>
        <v>#N/A</v>
      </c>
      <c r="S67" s="201" t="e">
        <f aca="false">IF(A68="","",R67)</f>
        <v>#N/A</v>
      </c>
      <c r="T67" s="185" t="n">
        <v>0</v>
      </c>
      <c r="U67" s="201" t="n">
        <f aca="false">IF(A68="","",T67)</f>
        <v>0</v>
      </c>
      <c r="V67" s="205" t="e">
        <f aca="false">(G67+R67)/(1-Summary!$T$13)*Summary!$T$13</f>
        <v>#N/A</v>
      </c>
      <c r="W67" s="202" t="e">
        <f aca="false">IF($A68="","",(T67+R67+G67+V67))</f>
        <v>#N/A</v>
      </c>
      <c r="X67" s="202" t="e">
        <f aca="false">IF($A68="","",(U67+S67+H67+V67))</f>
        <v>#N/A</v>
      </c>
      <c r="Y67" s="202"/>
      <c r="Z67" s="185" t="e">
        <f aca="false">IF($A68="","",VLOOKUP($A67,Table,MATCH(Z$4,Curves,0)))</f>
        <v>#N/A</v>
      </c>
      <c r="AA67" s="185" t="e">
        <f aca="false">IF($A68="","",VLOOKUP($A67,Table,MATCH(AA$4,Curves,0)))</f>
        <v>#N/A</v>
      </c>
      <c r="AB67" s="185" t="e">
        <f aca="false">SQRT((AA67^2*(A67-$D$3)+Z67^2*(DAY(EOMONTH(A67,0))/2))/AK67)</f>
        <v>#N/A</v>
      </c>
      <c r="AC67" s="185" t="e">
        <f aca="false">IF($A68="","",VLOOKUP($A67,Table,MATCH(AC$4,Curves,0)))</f>
        <v>#N/A</v>
      </c>
      <c r="AD67" s="185" t="e">
        <f aca="false">IF($A68="","",VLOOKUP($A67,Table,MATCH(AD$4,Curves,0)))</f>
        <v>#N/A</v>
      </c>
      <c r="AE67" s="185" t="e">
        <f aca="false">SQRT((AD67^2*(A67-$D$3)+AC67^2*(DAY(EOMONTH(A67,0))/2))/AK67)</f>
        <v>#N/A</v>
      </c>
      <c r="AF67" s="224" t="e">
        <f aca="false">((Summary!$N$13*(AA67*AD67)*(A67-$D$3))+(Summary!$M$13*Z67*AC67*(AJ67-EOMONTH(EDATE(A67,-1),0))))/(AK67*AB67*AE67)</f>
        <v>#N/A</v>
      </c>
      <c r="AG67" s="207" t="n">
        <f aca="false">IF($A68="","",Summary!$Q$13)</f>
        <v>0</v>
      </c>
      <c r="AH67" s="207" t="n">
        <f aca="false">IF($A68="","",IF(Summary!$R$12="Y",(VLOOKUP($A67,Summary!$AD$6:$AF$9,3)+'Escalating commodity'!I80),'Escalating commodity'!I80))</f>
        <v>0.0495104916855585</v>
      </c>
      <c r="AI67" s="207" t="n">
        <f aca="false">IF($A68="","",AH67)</f>
        <v>0.0495104916855585</v>
      </c>
      <c r="AJ67" s="208" t="n">
        <f aca="false">A67+DAY(EOMONTH(A67,0))/2-1</f>
        <v>38791.5</v>
      </c>
      <c r="AK67" s="209" t="n">
        <f aca="false">IF($A68="","",$A67-$E$1)</f>
        <v>-7149</v>
      </c>
      <c r="AL67" s="182" t="e">
        <f aca="false">IF($A68="","",SPRDOPT(P67,X67,AI67,0,AB67,AE67,AF67,AK67,$AJ$2,0))</f>
        <v>#NAME?</v>
      </c>
      <c r="AM67" s="210" t="e">
        <f aca="false">IF($A68="","",MAX(0,O67-W67-AI67))</f>
        <v>#N/A</v>
      </c>
      <c r="AN67" s="211" t="e">
        <f aca="false">IF($A68="","",AL67-AM67)</f>
        <v>#N/A</v>
      </c>
      <c r="AO67" s="137" t="n">
        <f aca="false">IF(A68="","",A68-A67)</f>
        <v>31</v>
      </c>
      <c r="AP67" s="212" t="n">
        <f aca="false">IF(A68="","",CHOOSE(F$3,A68+24,A67))</f>
        <v>38777</v>
      </c>
      <c r="AQ67" s="209" t="n">
        <f aca="false">IF(A68="","",AP67-$E$1)</f>
        <v>-7149</v>
      </c>
      <c r="AR67" s="185" t="n">
        <f aca="false">'ANR OK vs ML7'!AR67</f>
        <v>0.1</v>
      </c>
      <c r="AS67" s="213" t="n">
        <f aca="false">IF(A68="","",1/(1+CHOOSE(F$3,(AR68+($I$3/10000))/2,(AR67+($I$3/10000))/2))^(2*AQ67/365.25))</f>
        <v>6.75261304459915</v>
      </c>
      <c r="AT67" s="137" t="n">
        <f aca="false">IF(A68="","",IF(AND(mthbeg&lt;=A67,mthend&gt;=A67),1,0))</f>
        <v>1</v>
      </c>
      <c r="AU67" s="137" t="n">
        <f aca="false">IF(A68="","",AO67*AT67)</f>
        <v>31</v>
      </c>
      <c r="AW67" s="195" t="e">
        <f aca="false">IF($A68="","",AL67*$E67)</f>
        <v>#NAME?</v>
      </c>
      <c r="AX67" s="195" t="e">
        <f aca="false">IF($A68="","",AM67*$E67)</f>
        <v>#N/A</v>
      </c>
      <c r="AY67" s="195" t="e">
        <f aca="false">IF($A68="","",AN67*$E67)</f>
        <v>#N/A</v>
      </c>
      <c r="BA67" s="195" t="n">
        <f aca="false">IF($A68="","",F67*Summary!$Q$13)</f>
        <v>0</v>
      </c>
      <c r="BC67" s="179" t="e">
        <f aca="false">IF(A68="","",AM67*F67)</f>
        <v>#N/A</v>
      </c>
    </row>
    <row r="68" customFormat="false" ht="12.75" hidden="false" customHeight="false" outlineLevel="0" collapsed="false">
      <c r="A68" s="196" t="n">
        <f aca="false">IF(A67&lt;mthend,EDATE(A67,1),"")</f>
        <v>38808</v>
      </c>
      <c r="B68" s="197" t="n">
        <f aca="false">IF(A68&lt;mthend,B67,"")</f>
        <v>28400</v>
      </c>
      <c r="C68" s="215"/>
      <c r="D68" s="197" t="n">
        <f aca="false">IF(A69&lt;&gt;"",B68+C68,"")</f>
        <v>28400</v>
      </c>
      <c r="E68" s="199" t="n">
        <f aca="false">IF(A69="","",IF(AND(AT68=1,$H$3=1),D68*AO68,IF($H$3=2,D68,"N/A")))</f>
        <v>852000</v>
      </c>
      <c r="F68" s="199" t="n">
        <f aca="false">IF(A69="","",E68*AS68)</f>
        <v>5705775.02259948</v>
      </c>
      <c r="G68" s="200" t="e">
        <f aca="false">IF($A69="","",VLOOKUP($A68,Table,MATCH(G$4,Curves,0)))</f>
        <v>#N/A</v>
      </c>
      <c r="H68" s="201" t="e">
        <f aca="false">IF(A69="","",G68)</f>
        <v>#N/A</v>
      </c>
      <c r="I68" s="202"/>
      <c r="J68" s="200" t="e">
        <f aca="false">IF($A69="","",VLOOKUP($A68,Table,MATCH(J$4,Curves,0)))</f>
        <v>#N/A</v>
      </c>
      <c r="K68" s="201" t="e">
        <f aca="false">IF(A69="","",J68)</f>
        <v>#N/A</v>
      </c>
      <c r="L68" s="185" t="n">
        <v>0</v>
      </c>
      <c r="M68" s="201" t="n">
        <f aca="false">IF(A69="","",L68)</f>
        <v>0</v>
      </c>
      <c r="N68" s="203"/>
      <c r="O68" s="200" t="e">
        <f aca="false">IF(A69="","",L68+J68+G68)</f>
        <v>#N/A</v>
      </c>
      <c r="P68" s="200" t="e">
        <f aca="false">IF(A69="","",M68+K68+H68)</f>
        <v>#N/A</v>
      </c>
      <c r="Q68" s="204"/>
      <c r="R68" s="200" t="e">
        <f aca="false">IF($A69="","",VLOOKUP($A68,Table,MATCH(R$4,Curves,0)))</f>
        <v>#N/A</v>
      </c>
      <c r="S68" s="201" t="e">
        <f aca="false">IF(A69="","",R68)</f>
        <v>#N/A</v>
      </c>
      <c r="T68" s="185" t="n">
        <v>0</v>
      </c>
      <c r="U68" s="201" t="n">
        <f aca="false">IF(A69="","",T68)</f>
        <v>0</v>
      </c>
      <c r="V68" s="205" t="e">
        <f aca="false">(G68+R68)/(1-Summary!$T$13)*Summary!$T$13</f>
        <v>#N/A</v>
      </c>
      <c r="W68" s="202" t="e">
        <f aca="false">IF($A69="","",(T68+R68+G68+V68))</f>
        <v>#N/A</v>
      </c>
      <c r="X68" s="202" t="e">
        <f aca="false">IF($A69="","",(U68+S68+H68+V68))</f>
        <v>#N/A</v>
      </c>
      <c r="Y68" s="202"/>
      <c r="Z68" s="185" t="e">
        <f aca="false">IF($A69="","",VLOOKUP($A68,Table,MATCH(Z$4,Curves,0)))</f>
        <v>#N/A</v>
      </c>
      <c r="AA68" s="185" t="e">
        <f aca="false">IF($A69="","",VLOOKUP($A68,Table,MATCH(AA$4,Curves,0)))</f>
        <v>#N/A</v>
      </c>
      <c r="AB68" s="185" t="e">
        <f aca="false">SQRT((AA68^2*(A68-$D$3)+Z68^2*(DAY(EOMONTH(A68,0))/2))/AK68)</f>
        <v>#N/A</v>
      </c>
      <c r="AC68" s="185" t="e">
        <f aca="false">IF($A69="","",VLOOKUP($A68,Table,MATCH(AC$4,Curves,0)))</f>
        <v>#N/A</v>
      </c>
      <c r="AD68" s="185" t="e">
        <f aca="false">IF($A69="","",VLOOKUP($A68,Table,MATCH(AD$4,Curves,0)))</f>
        <v>#N/A</v>
      </c>
      <c r="AE68" s="185" t="e">
        <f aca="false">SQRT((AD68^2*(A68-$D$3)+AC68^2*(DAY(EOMONTH(A68,0))/2))/AK68)</f>
        <v>#N/A</v>
      </c>
      <c r="AF68" s="224" t="e">
        <f aca="false">((Summary!$N$13*(AA68*AD68)*(A68-$D$3))+(Summary!$M$13*Z68*AC68*(AJ68-EOMONTH(EDATE(A68,-1),0))))/(AK68*AB68*AE68)</f>
        <v>#N/A</v>
      </c>
      <c r="AG68" s="207" t="n">
        <f aca="false">IF($A69="","",Summary!$Q$13)</f>
        <v>0</v>
      </c>
      <c r="AH68" s="207" t="n">
        <f aca="false">IF($A69="","",IF(Summary!$R$12="Y",(VLOOKUP($A68,Summary!$AD$6:$AF$9,3)+'Escalating commodity'!I81),'Escalating commodity'!I81))</f>
        <v>0.0495104916855585</v>
      </c>
      <c r="AI68" s="207" t="n">
        <f aca="false">IF($A69="","",AH68)</f>
        <v>0.0495104916855585</v>
      </c>
      <c r="AJ68" s="208" t="n">
        <f aca="false">A68+DAY(EOMONTH(A68,0))/2-1</f>
        <v>38822</v>
      </c>
      <c r="AK68" s="209" t="n">
        <f aca="false">IF($A69="","",$A68-$E$1)</f>
        <v>-7118</v>
      </c>
      <c r="AL68" s="182" t="e">
        <f aca="false">IF($A69="","",SPRDOPT(P68,X68,AI68,0,AB68,AE68,AF68,AK68,$AJ$2,0))</f>
        <v>#NAME?</v>
      </c>
      <c r="AM68" s="210" t="e">
        <f aca="false">IF($A69="","",MAX(0,O68-W68-AI68))</f>
        <v>#N/A</v>
      </c>
      <c r="AN68" s="211" t="e">
        <f aca="false">IF($A69="","",AL68-AM68)</f>
        <v>#N/A</v>
      </c>
      <c r="AO68" s="137" t="n">
        <f aca="false">IF(A69="","",A69-A68)</f>
        <v>30</v>
      </c>
      <c r="AP68" s="212" t="n">
        <f aca="false">IF(A69="","",CHOOSE(F$3,A69+24,A68))</f>
        <v>38808</v>
      </c>
      <c r="AQ68" s="209" t="n">
        <f aca="false">IF(A69="","",AP68-$E$1)</f>
        <v>-7118</v>
      </c>
      <c r="AR68" s="185" t="n">
        <f aca="false">'ANR OK vs ML7'!AR68</f>
        <v>0.1</v>
      </c>
      <c r="AS68" s="213" t="n">
        <f aca="false">IF(A69="","",1/(1+CHOOSE(F$3,(AR69+($I$3/10000))/2,(AR68+($I$3/10000))/2))^(2*AQ68/365.25))</f>
        <v>6.69691904060972</v>
      </c>
      <c r="AT68" s="137" t="n">
        <f aca="false">IF(A69="","",IF(AND(mthbeg&lt;=A68,mthend&gt;=A68),1,0))</f>
        <v>1</v>
      </c>
      <c r="AU68" s="137" t="n">
        <f aca="false">IF(A69="","",AO68*AT68)</f>
        <v>30</v>
      </c>
      <c r="AW68" s="195" t="e">
        <f aca="false">IF($A69="","",AL68*$E68)</f>
        <v>#NAME?</v>
      </c>
      <c r="AX68" s="195" t="e">
        <f aca="false">IF($A69="","",AM68*$E68)</f>
        <v>#N/A</v>
      </c>
      <c r="AY68" s="195" t="e">
        <f aca="false">IF($A69="","",AN68*$E68)</f>
        <v>#N/A</v>
      </c>
      <c r="BA68" s="195" t="n">
        <f aca="false">IF($A69="","",F68*Summary!$Q$13)</f>
        <v>0</v>
      </c>
      <c r="BC68" s="179" t="e">
        <f aca="false">IF(A69="","",AM68*F68)</f>
        <v>#N/A</v>
      </c>
    </row>
    <row r="69" customFormat="false" ht="12.75" hidden="false" customHeight="false" outlineLevel="0" collapsed="false">
      <c r="A69" s="196" t="n">
        <f aca="false">IF(A68&lt;mthend,EDATE(A68,1),"")</f>
        <v>38838</v>
      </c>
      <c r="B69" s="197" t="n">
        <f aca="false">IF(A69&lt;mthend,B68,"")</f>
        <v>28400</v>
      </c>
      <c r="C69" s="215"/>
      <c r="D69" s="197" t="n">
        <f aca="false">IF(A70&lt;&gt;"",B69+C69,"")</f>
        <v>28400</v>
      </c>
      <c r="E69" s="199" t="n">
        <f aca="false">IF(A70="","",IF(AND(AT69=1,$H$3=1),D69*AO69,IF($H$3=2,D69,"N/A")))</f>
        <v>880400</v>
      </c>
      <c r="F69" s="199" t="n">
        <f aca="false">IF(A70="","",E69*AS69)</f>
        <v>5848901.32116934</v>
      </c>
      <c r="G69" s="200" t="e">
        <f aca="false">IF($A70="","",VLOOKUP($A69,Table,MATCH(G$4,Curves,0)))</f>
        <v>#N/A</v>
      </c>
      <c r="H69" s="201" t="e">
        <f aca="false">IF(A70="","",G69)</f>
        <v>#N/A</v>
      </c>
      <c r="I69" s="202"/>
      <c r="J69" s="200" t="e">
        <f aca="false">IF($A70="","",VLOOKUP($A69,Table,MATCH(J$4,Curves,0)))</f>
        <v>#N/A</v>
      </c>
      <c r="K69" s="201" t="e">
        <f aca="false">IF(A70="","",J69)</f>
        <v>#N/A</v>
      </c>
      <c r="L69" s="185" t="n">
        <v>0</v>
      </c>
      <c r="M69" s="201" t="n">
        <f aca="false">IF(A70="","",L69)</f>
        <v>0</v>
      </c>
      <c r="N69" s="203"/>
      <c r="O69" s="200" t="e">
        <f aca="false">IF(A70="","",L69+J69+G69)</f>
        <v>#N/A</v>
      </c>
      <c r="P69" s="200" t="e">
        <f aca="false">IF(A70="","",M69+K69+H69)</f>
        <v>#N/A</v>
      </c>
      <c r="Q69" s="204"/>
      <c r="R69" s="200" t="e">
        <f aca="false">IF($A70="","",VLOOKUP($A69,Table,MATCH(R$4,Curves,0)))</f>
        <v>#N/A</v>
      </c>
      <c r="S69" s="201" t="e">
        <f aca="false">IF(A70="","",R69)</f>
        <v>#N/A</v>
      </c>
      <c r="T69" s="185" t="n">
        <v>0</v>
      </c>
      <c r="U69" s="201" t="n">
        <f aca="false">IF(A70="","",T69)</f>
        <v>0</v>
      </c>
      <c r="V69" s="205" t="e">
        <f aca="false">(G69+R69)/(1-Summary!$T$13)*Summary!$T$13</f>
        <v>#N/A</v>
      </c>
      <c r="W69" s="202" t="e">
        <f aca="false">IF($A70="","",(T69+R69+G69+V69))</f>
        <v>#N/A</v>
      </c>
      <c r="X69" s="202" t="e">
        <f aca="false">IF($A70="","",(U69+S69+H69+V69))</f>
        <v>#N/A</v>
      </c>
      <c r="Y69" s="202"/>
      <c r="Z69" s="185" t="e">
        <f aca="false">IF($A70="","",VLOOKUP($A69,Table,MATCH(Z$4,Curves,0)))</f>
        <v>#N/A</v>
      </c>
      <c r="AA69" s="185" t="e">
        <f aca="false">IF($A70="","",VLOOKUP($A69,Table,MATCH(AA$4,Curves,0)))</f>
        <v>#N/A</v>
      </c>
      <c r="AB69" s="185" t="e">
        <f aca="false">SQRT((AA69^2*(A69-$D$3)+Z69^2*(DAY(EOMONTH(A69,0))/2))/AK69)</f>
        <v>#N/A</v>
      </c>
      <c r="AC69" s="185" t="e">
        <f aca="false">IF($A70="","",VLOOKUP($A69,Table,MATCH(AC$4,Curves,0)))</f>
        <v>#N/A</v>
      </c>
      <c r="AD69" s="185" t="e">
        <f aca="false">IF($A70="","",VLOOKUP($A69,Table,MATCH(AD$4,Curves,0)))</f>
        <v>#N/A</v>
      </c>
      <c r="AE69" s="185" t="e">
        <f aca="false">SQRT((AD69^2*(A69-$D$3)+AC69^2*(DAY(EOMONTH(A69,0))/2))/AK69)</f>
        <v>#N/A</v>
      </c>
      <c r="AF69" s="224" t="e">
        <f aca="false">((Summary!$N$13*(AA69*AD69)*(A69-$D$3))+(Summary!$M$13*Z69*AC69*(AJ69-EOMONTH(EDATE(A69,-1),0))))/(AK69*AB69*AE69)</f>
        <v>#N/A</v>
      </c>
      <c r="AG69" s="207" t="n">
        <f aca="false">IF($A70="","",Summary!$Q$13)</f>
        <v>0</v>
      </c>
      <c r="AH69" s="207" t="n">
        <f aca="false">IF($A70="","",IF(Summary!$R$12="Y",(VLOOKUP($A69,Summary!$AD$6:$AF$9,3)+'Escalating commodity'!I82),'Escalating commodity'!I82))</f>
        <v>0.0495104916855585</v>
      </c>
      <c r="AI69" s="207" t="n">
        <f aca="false">IF($A70="","",AH69)</f>
        <v>0.0495104916855585</v>
      </c>
      <c r="AJ69" s="208" t="n">
        <f aca="false">A69+DAY(EOMONTH(A69,0))/2-1</f>
        <v>38852.5</v>
      </c>
      <c r="AK69" s="209" t="n">
        <f aca="false">IF($A70="","",$A69-$E$1)</f>
        <v>-7088</v>
      </c>
      <c r="AL69" s="182" t="e">
        <f aca="false">IF($A70="","",SPRDOPT(P69,X69,AI69,0,AB69,AE69,AF69,AK69,$AJ$2,0))</f>
        <v>#NAME?</v>
      </c>
      <c r="AM69" s="210" t="e">
        <f aca="false">IF($A70="","",MAX(0,O69-W69-AI69))</f>
        <v>#N/A</v>
      </c>
      <c r="AN69" s="211" t="e">
        <f aca="false">IF($A70="","",AL69-AM69)</f>
        <v>#N/A</v>
      </c>
      <c r="AO69" s="137" t="n">
        <f aca="false">IF(A70="","",A70-A69)</f>
        <v>31</v>
      </c>
      <c r="AP69" s="212" t="n">
        <f aca="false">IF(A70="","",CHOOSE(F$3,A70+24,A69))</f>
        <v>38838</v>
      </c>
      <c r="AQ69" s="209" t="n">
        <f aca="false">IF(A70="","",AP69-$E$1)</f>
        <v>-7088</v>
      </c>
      <c r="AR69" s="185" t="n">
        <f aca="false">'ANR OK vs ML7'!AR69</f>
        <v>0.1</v>
      </c>
      <c r="AS69" s="213" t="n">
        <f aca="false">IF(A70="","",1/(1+CHOOSE(F$3,(AR70+($I$3/10000))/2,(AR69+($I$3/10000))/2))^(2*AQ69/365.25))</f>
        <v>6.64345901995609</v>
      </c>
      <c r="AT69" s="137" t="n">
        <f aca="false">IF(A70="","",IF(AND(mthbeg&lt;=A69,mthend&gt;=A69),1,0))</f>
        <v>1</v>
      </c>
      <c r="AU69" s="137" t="n">
        <f aca="false">IF(A70="","",AO69*AT69)</f>
        <v>31</v>
      </c>
      <c r="AW69" s="195" t="e">
        <f aca="false">IF($A70="","",AL69*$E69)</f>
        <v>#NAME?</v>
      </c>
      <c r="AX69" s="195" t="e">
        <f aca="false">IF($A70="","",AM69*$E69)</f>
        <v>#N/A</v>
      </c>
      <c r="AY69" s="195" t="e">
        <f aca="false">IF($A70="","",AN69*$E69)</f>
        <v>#N/A</v>
      </c>
      <c r="BA69" s="195" t="n">
        <f aca="false">IF($A70="","",F69*Summary!$Q$13)</f>
        <v>0</v>
      </c>
      <c r="BC69" s="179" t="e">
        <f aca="false">IF(A70="","",AM69*F69)</f>
        <v>#N/A</v>
      </c>
    </row>
    <row r="70" customFormat="false" ht="12.75" hidden="false" customHeight="false" outlineLevel="0" collapsed="false">
      <c r="A70" s="196" t="n">
        <f aca="false">IF(A69&lt;mthend,EDATE(A69,1),"")</f>
        <v>38869</v>
      </c>
      <c r="B70" s="197" t="n">
        <f aca="false">IF(A70&lt;mthend,B69,"")</f>
        <v>28400</v>
      </c>
      <c r="C70" s="215"/>
      <c r="D70" s="197" t="n">
        <f aca="false">IF(A71&lt;&gt;"",B70+C70,"")</f>
        <v>28400</v>
      </c>
      <c r="E70" s="199" t="n">
        <f aca="false">IF(A71="","",IF(AND(AT70=1,$H$3=1),D70*AO70,IF($H$3=2,D70,"N/A")))</f>
        <v>852000</v>
      </c>
      <c r="F70" s="199" t="n">
        <f aca="false">IF(A71="","",E70*AS70)</f>
        <v>5613542.82991924</v>
      </c>
      <c r="G70" s="200" t="e">
        <f aca="false">IF($A71="","",VLOOKUP($A70,Table,MATCH(G$4,Curves,0)))</f>
        <v>#N/A</v>
      </c>
      <c r="H70" s="201" t="e">
        <f aca="false">IF(A71="","",G70)</f>
        <v>#N/A</v>
      </c>
      <c r="I70" s="202"/>
      <c r="J70" s="200" t="e">
        <f aca="false">IF($A71="","",VLOOKUP($A70,Table,MATCH(J$4,Curves,0)))</f>
        <v>#N/A</v>
      </c>
      <c r="K70" s="201" t="e">
        <f aca="false">IF(A71="","",J70)</f>
        <v>#N/A</v>
      </c>
      <c r="L70" s="185" t="n">
        <v>0</v>
      </c>
      <c r="M70" s="201" t="n">
        <f aca="false">IF(A71="","",L70)</f>
        <v>0</v>
      </c>
      <c r="N70" s="203"/>
      <c r="O70" s="200" t="e">
        <f aca="false">IF(A71="","",L70+J70+G70)</f>
        <v>#N/A</v>
      </c>
      <c r="P70" s="200" t="e">
        <f aca="false">IF(A71="","",M70+K70+H70)</f>
        <v>#N/A</v>
      </c>
      <c r="Q70" s="204"/>
      <c r="R70" s="200" t="e">
        <f aca="false">IF($A71="","",VLOOKUP($A70,Table,MATCH(R$4,Curves,0)))</f>
        <v>#N/A</v>
      </c>
      <c r="S70" s="201" t="e">
        <f aca="false">IF(A71="","",R70)</f>
        <v>#N/A</v>
      </c>
      <c r="T70" s="185" t="n">
        <v>0</v>
      </c>
      <c r="U70" s="201" t="n">
        <f aca="false">IF(A71="","",T70)</f>
        <v>0</v>
      </c>
      <c r="V70" s="205" t="e">
        <f aca="false">(G70+R70)/(1-Summary!$T$13)*Summary!$T$13</f>
        <v>#N/A</v>
      </c>
      <c r="W70" s="202" t="e">
        <f aca="false">IF($A71="","",(T70+R70+G70+V70))</f>
        <v>#N/A</v>
      </c>
      <c r="X70" s="202" t="e">
        <f aca="false">IF($A71="","",(U70+S70+H70+V70))</f>
        <v>#N/A</v>
      </c>
      <c r="Y70" s="202"/>
      <c r="Z70" s="185" t="e">
        <f aca="false">IF($A71="","",VLOOKUP($A70,Table,MATCH(Z$4,Curves,0)))</f>
        <v>#N/A</v>
      </c>
      <c r="AA70" s="185" t="e">
        <f aca="false">IF($A71="","",VLOOKUP($A70,Table,MATCH(AA$4,Curves,0)))</f>
        <v>#N/A</v>
      </c>
      <c r="AB70" s="185" t="e">
        <f aca="false">SQRT((AA70^2*(A70-$D$3)+Z70^2*(DAY(EOMONTH(A70,0))/2))/AK70)</f>
        <v>#N/A</v>
      </c>
      <c r="AC70" s="185" t="e">
        <f aca="false">IF($A71="","",VLOOKUP($A70,Table,MATCH(AC$4,Curves,0)))</f>
        <v>#N/A</v>
      </c>
      <c r="AD70" s="185" t="e">
        <f aca="false">IF($A71="","",VLOOKUP($A70,Table,MATCH(AD$4,Curves,0)))</f>
        <v>#N/A</v>
      </c>
      <c r="AE70" s="185" t="e">
        <f aca="false">SQRT((AD70^2*(A70-$D$3)+AC70^2*(DAY(EOMONTH(A70,0))/2))/AK70)</f>
        <v>#N/A</v>
      </c>
      <c r="AF70" s="224" t="e">
        <f aca="false">((Summary!$N$13*(AA70*AD70)*(A70-$D$3))+(Summary!$M$13*Z70*AC70*(AJ70-EOMONTH(EDATE(A70,-1),0))))/(AK70*AB70*AE70)</f>
        <v>#N/A</v>
      </c>
      <c r="AG70" s="207" t="n">
        <f aca="false">IF($A71="","",Summary!$Q$13)</f>
        <v>0</v>
      </c>
      <c r="AH70" s="207" t="n">
        <f aca="false">IF($A71="","",IF(Summary!$R$12="Y",(VLOOKUP($A70,Summary!$AD$6:$AF$9,3)+'Escalating commodity'!I83),'Escalating commodity'!I83))</f>
        <v>0.0495104916855585</v>
      </c>
      <c r="AI70" s="207" t="n">
        <f aca="false">IF($A71="","",AH70)</f>
        <v>0.0495104916855585</v>
      </c>
      <c r="AJ70" s="208" t="n">
        <f aca="false">A70+DAY(EOMONTH(A70,0))/2-1</f>
        <v>38883</v>
      </c>
      <c r="AK70" s="209" t="n">
        <f aca="false">IF($A71="","",$A70-$E$1)</f>
        <v>-7057</v>
      </c>
      <c r="AL70" s="182" t="e">
        <f aca="false">IF($A71="","",SPRDOPT(P70,X70,AI70,0,AB70,AE70,AF70,AK70,$AJ$2,0))</f>
        <v>#NAME?</v>
      </c>
      <c r="AM70" s="210" t="e">
        <f aca="false">IF($A71="","",MAX(0,O70-W70-AI70))</f>
        <v>#N/A</v>
      </c>
      <c r="AN70" s="211" t="e">
        <f aca="false">IF($A71="","",AL70-AM70)</f>
        <v>#N/A</v>
      </c>
      <c r="AO70" s="137" t="n">
        <f aca="false">IF(A71="","",A71-A70)</f>
        <v>30</v>
      </c>
      <c r="AP70" s="212" t="n">
        <f aca="false">IF(A71="","",CHOOSE(F$3,A71+24,A70))</f>
        <v>38869</v>
      </c>
      <c r="AQ70" s="209" t="n">
        <f aca="false">IF(A71="","",AP70-$E$1)</f>
        <v>-7057</v>
      </c>
      <c r="AR70" s="185" t="n">
        <f aca="false">'ANR OK vs ML7'!AR70</f>
        <v>0.1</v>
      </c>
      <c r="AS70" s="213" t="n">
        <f aca="false">IF(A71="","",1/(1+CHOOSE(F$3,(AR71+($I$3/10000))/2,(AR70+($I$3/10000))/2))^(2*AQ70/365.25))</f>
        <v>6.58866529333244</v>
      </c>
      <c r="AT70" s="137" t="n">
        <f aca="false">IF(A71="","",IF(AND(mthbeg&lt;=A70,mthend&gt;=A70),1,0))</f>
        <v>1</v>
      </c>
      <c r="AU70" s="137" t="n">
        <f aca="false">IF(A71="","",AO70*AT70)</f>
        <v>30</v>
      </c>
      <c r="AW70" s="195" t="e">
        <f aca="false">IF($A71="","",AL70*$E70)</f>
        <v>#NAME?</v>
      </c>
      <c r="AX70" s="195" t="e">
        <f aca="false">IF($A71="","",AM70*$E70)</f>
        <v>#N/A</v>
      </c>
      <c r="AY70" s="195" t="e">
        <f aca="false">IF($A71="","",AN70*$E70)</f>
        <v>#N/A</v>
      </c>
      <c r="BA70" s="195" t="n">
        <f aca="false">IF($A71="","",F70*Summary!$Q$13)</f>
        <v>0</v>
      </c>
      <c r="BC70" s="179" t="e">
        <f aca="false">IF(A71="","",AM70*F70)</f>
        <v>#N/A</v>
      </c>
    </row>
    <row r="71" customFormat="false" ht="12.75" hidden="false" customHeight="false" outlineLevel="0" collapsed="false">
      <c r="A71" s="196" t="n">
        <f aca="false">IF(A70&lt;mthend,EDATE(A70,1),"")</f>
        <v>38899</v>
      </c>
      <c r="B71" s="197" t="n">
        <f aca="false">IF(A71&lt;mthend,B70,"")</f>
        <v>28400</v>
      </c>
      <c r="C71" s="215"/>
      <c r="D71" s="197" t="n">
        <f aca="false">IF(A72&lt;&gt;"",B71+C71,"")</f>
        <v>28400</v>
      </c>
      <c r="E71" s="199" t="n">
        <f aca="false">IF(A72="","",IF(AND(AT71=1,$H$3=1),D71*AO71,IF($H$3=2,D71,"N/A")))</f>
        <v>880400</v>
      </c>
      <c r="F71" s="199" t="n">
        <f aca="false">IF(A72="","",E71*AS71)</f>
        <v>5754355.53352697</v>
      </c>
      <c r="G71" s="200" t="e">
        <f aca="false">IF($A72="","",VLOOKUP($A71,Table,MATCH(G$4,Curves,0)))</f>
        <v>#N/A</v>
      </c>
      <c r="H71" s="201" t="e">
        <f aca="false">IF(A72="","",G71)</f>
        <v>#N/A</v>
      </c>
      <c r="I71" s="202"/>
      <c r="J71" s="200" t="e">
        <f aca="false">IF($A72="","",VLOOKUP($A71,Table,MATCH(J$4,Curves,0)))</f>
        <v>#N/A</v>
      </c>
      <c r="K71" s="201" t="e">
        <f aca="false">IF(A72="","",J71)</f>
        <v>#N/A</v>
      </c>
      <c r="L71" s="185" t="n">
        <v>0</v>
      </c>
      <c r="M71" s="201" t="n">
        <f aca="false">IF(A72="","",L71)</f>
        <v>0</v>
      </c>
      <c r="N71" s="203"/>
      <c r="O71" s="200" t="e">
        <f aca="false">IF(A72="","",L71+J71+G71)</f>
        <v>#N/A</v>
      </c>
      <c r="P71" s="200" t="e">
        <f aca="false">IF(A72="","",M71+K71+H71)</f>
        <v>#N/A</v>
      </c>
      <c r="Q71" s="204"/>
      <c r="R71" s="200" t="e">
        <f aca="false">IF($A72="","",VLOOKUP($A71,Table,MATCH(R$4,Curves,0)))</f>
        <v>#N/A</v>
      </c>
      <c r="S71" s="201" t="e">
        <f aca="false">IF(A72="","",R71)</f>
        <v>#N/A</v>
      </c>
      <c r="T71" s="185" t="n">
        <v>0</v>
      </c>
      <c r="U71" s="201" t="n">
        <f aca="false">IF(A72="","",T71)</f>
        <v>0</v>
      </c>
      <c r="V71" s="205" t="e">
        <f aca="false">(G71+R71)/(1-Summary!$T$13)*Summary!$T$13</f>
        <v>#N/A</v>
      </c>
      <c r="W71" s="202" t="e">
        <f aca="false">IF($A72="","",(T71+R71+G71+V71))</f>
        <v>#N/A</v>
      </c>
      <c r="X71" s="202" t="e">
        <f aca="false">IF($A72="","",(U71+S71+H71+V71))</f>
        <v>#N/A</v>
      </c>
      <c r="Y71" s="202"/>
      <c r="Z71" s="185" t="e">
        <f aca="false">IF($A72="","",VLOOKUP($A71,Table,MATCH(Z$4,Curves,0)))</f>
        <v>#N/A</v>
      </c>
      <c r="AA71" s="185" t="e">
        <f aca="false">IF($A72="","",VLOOKUP($A71,Table,MATCH(AA$4,Curves,0)))</f>
        <v>#N/A</v>
      </c>
      <c r="AB71" s="185" t="e">
        <f aca="false">SQRT((AA71^2*(A71-$D$3)+Z71^2*(DAY(EOMONTH(A71,0))/2))/AK71)</f>
        <v>#N/A</v>
      </c>
      <c r="AC71" s="185" t="e">
        <f aca="false">IF($A72="","",VLOOKUP($A71,Table,MATCH(AC$4,Curves,0)))</f>
        <v>#N/A</v>
      </c>
      <c r="AD71" s="185" t="e">
        <f aca="false">IF($A72="","",VLOOKUP($A71,Table,MATCH(AD$4,Curves,0)))</f>
        <v>#N/A</v>
      </c>
      <c r="AE71" s="185" t="e">
        <f aca="false">SQRT((AD71^2*(A71-$D$3)+AC71^2*(DAY(EOMONTH(A71,0))/2))/AK71)</f>
        <v>#N/A</v>
      </c>
      <c r="AF71" s="224" t="e">
        <f aca="false">((Summary!$N$13*(AA71*AD71)*(A71-$D$3))+(Summary!$M$13*Z71*AC71*(AJ71-EOMONTH(EDATE(A71,-1),0))))/(AK71*AB71*AE71)</f>
        <v>#N/A</v>
      </c>
      <c r="AG71" s="207" t="n">
        <f aca="false">IF($A72="","",Summary!$Q$13)</f>
        <v>0</v>
      </c>
      <c r="AH71" s="207" t="n">
        <f aca="false">IF($A72="","",IF(Summary!$R$12="Y",(VLOOKUP($A71,Summary!$AD$6:$AF$9,3)+'Escalating commodity'!I84),'Escalating commodity'!I84))</f>
        <v>0.0495104916855585</v>
      </c>
      <c r="AI71" s="207" t="n">
        <f aca="false">IF($A72="","",AH71)</f>
        <v>0.0495104916855585</v>
      </c>
      <c r="AJ71" s="208" t="n">
        <f aca="false">A71+DAY(EOMONTH(A71,0))/2-1</f>
        <v>38913.5</v>
      </c>
      <c r="AK71" s="209" t="n">
        <f aca="false">IF($A72="","",$A71-$E$1)</f>
        <v>-7027</v>
      </c>
      <c r="AL71" s="182" t="e">
        <f aca="false">IF($A72="","",SPRDOPT(P71,X71,AI71,0,AB71,AE71,AF71,AK71,$AJ$2,0))</f>
        <v>#NAME?</v>
      </c>
      <c r="AM71" s="210" t="e">
        <f aca="false">IF($A72="","",MAX(0,O71-W71-AI71))</f>
        <v>#N/A</v>
      </c>
      <c r="AN71" s="211" t="e">
        <f aca="false">IF($A72="","",AL71-AM71)</f>
        <v>#N/A</v>
      </c>
      <c r="AO71" s="137" t="n">
        <f aca="false">IF(A72="","",A72-A71)</f>
        <v>31</v>
      </c>
      <c r="AP71" s="212" t="n">
        <f aca="false">IF(A72="","",CHOOSE(F$3,A72+24,A71))</f>
        <v>38899</v>
      </c>
      <c r="AQ71" s="209" t="n">
        <f aca="false">IF(A72="","",AP71-$E$1)</f>
        <v>-7027</v>
      </c>
      <c r="AR71" s="185" t="n">
        <f aca="false">'ANR OK vs ML7'!AR71</f>
        <v>0.1</v>
      </c>
      <c r="AS71" s="213" t="n">
        <f aca="false">IF(A72="","",1/(1+CHOOSE(F$3,(AR72+($I$3/10000))/2,(AR71+($I$3/10000))/2))^(2*AQ71/365.25))</f>
        <v>6.53606943835413</v>
      </c>
      <c r="AT71" s="137" t="n">
        <f aca="false">IF(A72="","",IF(AND(mthbeg&lt;=A71,mthend&gt;=A71),1,0))</f>
        <v>1</v>
      </c>
      <c r="AU71" s="137" t="n">
        <f aca="false">IF(A72="","",AO71*AT71)</f>
        <v>31</v>
      </c>
      <c r="AW71" s="195" t="e">
        <f aca="false">IF($A72="","",AL71*$E71)</f>
        <v>#NAME?</v>
      </c>
      <c r="AX71" s="195" t="e">
        <f aca="false">IF($A72="","",AM71*$E71)</f>
        <v>#N/A</v>
      </c>
      <c r="AY71" s="195" t="e">
        <f aca="false">IF($A72="","",AN71*$E71)</f>
        <v>#N/A</v>
      </c>
      <c r="BA71" s="195" t="n">
        <f aca="false">IF($A72="","",F71*Summary!$Q$13)</f>
        <v>0</v>
      </c>
      <c r="BC71" s="179" t="e">
        <f aca="false">IF(A72="","",AM71*F71)</f>
        <v>#N/A</v>
      </c>
    </row>
    <row r="72" customFormat="false" ht="12.75" hidden="false" customHeight="false" outlineLevel="0" collapsed="false">
      <c r="A72" s="196" t="n">
        <f aca="false">IF(A71&lt;mthend,EDATE(A71,1),"")</f>
        <v>38930</v>
      </c>
      <c r="B72" s="197" t="n">
        <f aca="false">IF(A72&lt;mthend,B71,"")</f>
        <v>28400</v>
      </c>
      <c r="C72" s="215"/>
      <c r="D72" s="197" t="n">
        <f aca="false">IF(A73&lt;&gt;"",B72+C72,"")</f>
        <v>28400</v>
      </c>
      <c r="E72" s="199" t="n">
        <f aca="false">IF(A73="","",IF(AND(AT72=1,$H$3=1),D72*AO72,IF($H$3=2,D72,"N/A")))</f>
        <v>880400</v>
      </c>
      <c r="F72" s="199" t="n">
        <f aca="false">IF(A73="","",E72*AS72)</f>
        <v>5706894.92858424</v>
      </c>
      <c r="G72" s="200" t="e">
        <f aca="false">IF($A73="","",VLOOKUP($A72,Table,MATCH(G$4,Curves,0)))</f>
        <v>#N/A</v>
      </c>
      <c r="H72" s="201" t="e">
        <f aca="false">IF(A73="","",G72)</f>
        <v>#N/A</v>
      </c>
      <c r="I72" s="202"/>
      <c r="J72" s="200" t="e">
        <f aca="false">IF($A73="","",VLOOKUP($A72,Table,MATCH(J$4,Curves,0)))</f>
        <v>#N/A</v>
      </c>
      <c r="K72" s="201" t="e">
        <f aca="false">IF(A73="","",J72)</f>
        <v>#N/A</v>
      </c>
      <c r="L72" s="185" t="n">
        <v>0</v>
      </c>
      <c r="M72" s="201" t="n">
        <f aca="false">IF(A73="","",L72)</f>
        <v>0</v>
      </c>
      <c r="N72" s="203"/>
      <c r="O72" s="200" t="e">
        <f aca="false">IF(A73="","",L72+J72+G72)</f>
        <v>#N/A</v>
      </c>
      <c r="P72" s="200" t="e">
        <f aca="false">IF(A73="","",M72+K72+H72)</f>
        <v>#N/A</v>
      </c>
      <c r="Q72" s="204"/>
      <c r="R72" s="200" t="e">
        <f aca="false">IF($A73="","",VLOOKUP($A72,Table,MATCH(R$4,Curves,0)))</f>
        <v>#N/A</v>
      </c>
      <c r="S72" s="201" t="e">
        <f aca="false">IF(A73="","",R72)</f>
        <v>#N/A</v>
      </c>
      <c r="T72" s="185" t="n">
        <v>0</v>
      </c>
      <c r="U72" s="201" t="n">
        <f aca="false">IF(A73="","",T72)</f>
        <v>0</v>
      </c>
      <c r="V72" s="205" t="e">
        <f aca="false">(G72+R72)/(1-Summary!$T$13)*Summary!$T$13</f>
        <v>#N/A</v>
      </c>
      <c r="W72" s="202" t="e">
        <f aca="false">IF($A73="","",(T72+R72+G72+V72))</f>
        <v>#N/A</v>
      </c>
      <c r="X72" s="202" t="e">
        <f aca="false">IF($A73="","",(U72+S72+H72+V72))</f>
        <v>#N/A</v>
      </c>
      <c r="Y72" s="202"/>
      <c r="Z72" s="185" t="e">
        <f aca="false">IF($A73="","",VLOOKUP($A72,Table,MATCH(Z$4,Curves,0)))</f>
        <v>#N/A</v>
      </c>
      <c r="AA72" s="185" t="e">
        <f aca="false">IF($A73="","",VLOOKUP($A72,Table,MATCH(AA$4,Curves,0)))</f>
        <v>#N/A</v>
      </c>
      <c r="AB72" s="185" t="e">
        <f aca="false">SQRT((AA72^2*(A72-$D$3)+Z72^2*(DAY(EOMONTH(A72,0))/2))/AK72)</f>
        <v>#N/A</v>
      </c>
      <c r="AC72" s="185" t="e">
        <f aca="false">IF($A73="","",VLOOKUP($A72,Table,MATCH(AC$4,Curves,0)))</f>
        <v>#N/A</v>
      </c>
      <c r="AD72" s="185" t="e">
        <f aca="false">IF($A73="","",VLOOKUP($A72,Table,MATCH(AD$4,Curves,0)))</f>
        <v>#N/A</v>
      </c>
      <c r="AE72" s="185" t="e">
        <f aca="false">SQRT((AD72^2*(A72-$D$3)+AC72^2*(DAY(EOMONTH(A72,0))/2))/AK72)</f>
        <v>#N/A</v>
      </c>
      <c r="AF72" s="224" t="e">
        <f aca="false">((Summary!$N$13*(AA72*AD72)*(A72-$D$3))+(Summary!$M$13*Z72*AC72*(AJ72-EOMONTH(EDATE(A72,-1),0))))/(AK72*AB72*AE72)</f>
        <v>#N/A</v>
      </c>
      <c r="AG72" s="207" t="n">
        <f aca="false">IF($A73="","",Summary!$Q$13)</f>
        <v>0</v>
      </c>
      <c r="AH72" s="207" t="n">
        <f aca="false">IF($A73="","",IF(Summary!$R$12="Y",(VLOOKUP($A72,Summary!$AD$6:$AF$9,3)+'Escalating commodity'!I85),'Escalating commodity'!I85))</f>
        <v>0.0495104916855585</v>
      </c>
      <c r="AI72" s="207" t="n">
        <f aca="false">IF($A73="","",AH72)</f>
        <v>0.0495104916855585</v>
      </c>
      <c r="AJ72" s="208" t="n">
        <f aca="false">A72+DAY(EOMONTH(A72,0))/2-1</f>
        <v>38944.5</v>
      </c>
      <c r="AK72" s="209" t="n">
        <f aca="false">IF($A73="","",$A72-$E$1)</f>
        <v>-6996</v>
      </c>
      <c r="AL72" s="182" t="e">
        <f aca="false">IF($A73="","",SPRDOPT(P72,X72,AI72,0,AB72,AE72,AF72,AK72,$AJ$2,0))</f>
        <v>#NAME?</v>
      </c>
      <c r="AM72" s="210" t="e">
        <f aca="false">IF($A73="","",MAX(0,O72-W72-AI72))</f>
        <v>#N/A</v>
      </c>
      <c r="AN72" s="211" t="e">
        <f aca="false">IF($A73="","",AL72-AM72)</f>
        <v>#N/A</v>
      </c>
      <c r="AO72" s="137" t="n">
        <f aca="false">IF(A73="","",A73-A72)</f>
        <v>31</v>
      </c>
      <c r="AP72" s="212" t="n">
        <f aca="false">IF(A73="","",CHOOSE(F$3,A73+24,A72))</f>
        <v>38930</v>
      </c>
      <c r="AQ72" s="209" t="n">
        <f aca="false">IF(A73="","",AP72-$E$1)</f>
        <v>-6996</v>
      </c>
      <c r="AR72" s="185" t="n">
        <f aca="false">'ANR OK vs ML7'!AR72</f>
        <v>0.1</v>
      </c>
      <c r="AS72" s="213" t="n">
        <f aca="false">IF(A73="","",1/(1+CHOOSE(F$3,(AR73+($I$3/10000))/2,(AR72+($I$3/10000))/2))^(2*AQ72/365.25))</f>
        <v>6.48216143637465</v>
      </c>
      <c r="AT72" s="137" t="n">
        <f aca="false">IF(A73="","",IF(AND(mthbeg&lt;=A72,mthend&gt;=A72),1,0))</f>
        <v>1</v>
      </c>
      <c r="AU72" s="137" t="n">
        <f aca="false">IF(A73="","",AO72*AT72)</f>
        <v>31</v>
      </c>
      <c r="AW72" s="195" t="e">
        <f aca="false">IF($A73="","",AL72*$E72)</f>
        <v>#NAME?</v>
      </c>
      <c r="AX72" s="195" t="e">
        <f aca="false">IF($A73="","",AM72*$E72)</f>
        <v>#N/A</v>
      </c>
      <c r="AY72" s="195" t="e">
        <f aca="false">IF($A73="","",AN72*$E72)</f>
        <v>#N/A</v>
      </c>
      <c r="BA72" s="195" t="n">
        <f aca="false">IF($A73="","",F72*Summary!$Q$13)</f>
        <v>0</v>
      </c>
      <c r="BC72" s="179" t="e">
        <f aca="false">IF(A73="","",AM72*F72)</f>
        <v>#N/A</v>
      </c>
    </row>
    <row r="73" customFormat="false" ht="12.75" hidden="false" customHeight="false" outlineLevel="0" collapsed="false">
      <c r="A73" s="196" t="n">
        <f aca="false">IF(A72&lt;mthend,EDATE(A72,1),"")</f>
        <v>38961</v>
      </c>
      <c r="B73" s="197" t="n">
        <f aca="false">IF(A73&lt;mthend,B72,"")</f>
        <v>28400</v>
      </c>
      <c r="C73" s="215"/>
      <c r="D73" s="197" t="n">
        <f aca="false">IF(A74&lt;&gt;"",B73+C73,"")</f>
        <v>28400</v>
      </c>
      <c r="E73" s="199" t="n">
        <f aca="false">IF(A74="","",IF(AND(AT73=1,$H$3=1),D73*AO73,IF($H$3=2,D73,"N/A")))</f>
        <v>852000</v>
      </c>
      <c r="F73" s="199" t="n">
        <f aca="false">IF(A74="","",E73*AS73)</f>
        <v>5477250.74305951</v>
      </c>
      <c r="G73" s="200" t="e">
        <f aca="false">IF($A74="","",VLOOKUP($A73,Table,MATCH(G$4,Curves,0)))</f>
        <v>#N/A</v>
      </c>
      <c r="H73" s="201" t="e">
        <f aca="false">IF(A74="","",G73)</f>
        <v>#N/A</v>
      </c>
      <c r="I73" s="202"/>
      <c r="J73" s="200" t="e">
        <f aca="false">IF($A74="","",VLOOKUP($A73,Table,MATCH(J$4,Curves,0)))</f>
        <v>#N/A</v>
      </c>
      <c r="K73" s="201" t="e">
        <f aca="false">IF(A74="","",J73)</f>
        <v>#N/A</v>
      </c>
      <c r="L73" s="185" t="n">
        <v>0</v>
      </c>
      <c r="M73" s="201" t="n">
        <f aca="false">IF(A74="","",L73)</f>
        <v>0</v>
      </c>
      <c r="N73" s="203"/>
      <c r="O73" s="200" t="e">
        <f aca="false">IF(A74="","",L73+J73+G73)</f>
        <v>#N/A</v>
      </c>
      <c r="P73" s="200" t="e">
        <f aca="false">IF(A74="","",M73+K73+H73)</f>
        <v>#N/A</v>
      </c>
      <c r="Q73" s="204"/>
      <c r="R73" s="200" t="e">
        <f aca="false">IF($A74="","",VLOOKUP($A73,Table,MATCH(R$4,Curves,0)))</f>
        <v>#N/A</v>
      </c>
      <c r="S73" s="201" t="e">
        <f aca="false">IF(A74="","",R73)</f>
        <v>#N/A</v>
      </c>
      <c r="T73" s="185" t="n">
        <v>0</v>
      </c>
      <c r="U73" s="201" t="n">
        <f aca="false">IF(A74="","",T73)</f>
        <v>0</v>
      </c>
      <c r="V73" s="205" t="e">
        <f aca="false">(G73+R73)/(1-Summary!$T$13)*Summary!$T$13</f>
        <v>#N/A</v>
      </c>
      <c r="W73" s="202" t="e">
        <f aca="false">IF($A74="","",(T73+R73+G73+V73))</f>
        <v>#N/A</v>
      </c>
      <c r="X73" s="202" t="e">
        <f aca="false">IF($A74="","",(U73+S73+H73+V73))</f>
        <v>#N/A</v>
      </c>
      <c r="Y73" s="202"/>
      <c r="Z73" s="185" t="e">
        <f aca="false">IF($A74="","",VLOOKUP($A73,Table,MATCH(Z$4,Curves,0)))</f>
        <v>#N/A</v>
      </c>
      <c r="AA73" s="185" t="e">
        <f aca="false">IF($A74="","",VLOOKUP($A73,Table,MATCH(AA$4,Curves,0)))</f>
        <v>#N/A</v>
      </c>
      <c r="AB73" s="185" t="e">
        <f aca="false">SQRT((AA73^2*(A73-$D$3)+Z73^2*(DAY(EOMONTH(A73,0))/2))/AK73)</f>
        <v>#N/A</v>
      </c>
      <c r="AC73" s="185" t="e">
        <f aca="false">IF($A74="","",VLOOKUP($A73,Table,MATCH(AC$4,Curves,0)))</f>
        <v>#N/A</v>
      </c>
      <c r="AD73" s="185" t="e">
        <f aca="false">IF($A74="","",VLOOKUP($A73,Table,MATCH(AD$4,Curves,0)))</f>
        <v>#N/A</v>
      </c>
      <c r="AE73" s="185" t="e">
        <f aca="false">SQRT((AD73^2*(A73-$D$3)+AC73^2*(DAY(EOMONTH(A73,0))/2))/AK73)</f>
        <v>#N/A</v>
      </c>
      <c r="AF73" s="224" t="e">
        <f aca="false">((Summary!$N$13*(AA73*AD73)*(A73-$D$3))+(Summary!$M$13*Z73*AC73*(AJ73-EOMONTH(EDATE(A73,-1),0))))/(AK73*AB73*AE73)</f>
        <v>#N/A</v>
      </c>
      <c r="AG73" s="207" t="n">
        <f aca="false">IF($A74="","",Summary!$Q$13)</f>
        <v>0</v>
      </c>
      <c r="AH73" s="207" t="n">
        <f aca="false">IF($A74="","",IF(Summary!$R$12="Y",(VLOOKUP($A73,Summary!$AD$6:$AF$9,3)+'Escalating commodity'!I86),'Escalating commodity'!I86))</f>
        <v>0.0495104916855585</v>
      </c>
      <c r="AI73" s="207" t="n">
        <f aca="false">IF($A74="","",AH73)</f>
        <v>0.0495104916855585</v>
      </c>
      <c r="AJ73" s="208" t="n">
        <f aca="false">A73+DAY(EOMONTH(A73,0))/2-1</f>
        <v>38975</v>
      </c>
      <c r="AK73" s="209" t="n">
        <f aca="false">IF($A74="","",$A73-$E$1)</f>
        <v>-6965</v>
      </c>
      <c r="AL73" s="182" t="e">
        <f aca="false">IF($A74="","",SPRDOPT(P73,X73,AI73,0,AB73,AE73,AF73,AK73,$AJ$2,0))</f>
        <v>#NAME?</v>
      </c>
      <c r="AM73" s="210" t="e">
        <f aca="false">IF($A74="","",MAX(0,O73-W73-AI73))</f>
        <v>#N/A</v>
      </c>
      <c r="AN73" s="211" t="e">
        <f aca="false">IF($A74="","",AL73-AM73)</f>
        <v>#N/A</v>
      </c>
      <c r="AO73" s="137" t="n">
        <f aca="false">IF(A74="","",A74-A73)</f>
        <v>30</v>
      </c>
      <c r="AP73" s="212" t="n">
        <f aca="false">IF(A74="","",CHOOSE(F$3,A74+24,A73))</f>
        <v>38961</v>
      </c>
      <c r="AQ73" s="209" t="n">
        <f aca="false">IF(A74="","",AP73-$E$1)</f>
        <v>-6965</v>
      </c>
      <c r="AR73" s="185" t="n">
        <f aca="false">'ANR OK vs ML7'!AR73</f>
        <v>0.1</v>
      </c>
      <c r="AS73" s="213" t="n">
        <f aca="false">IF(A74="","",1/(1+CHOOSE(F$3,(AR74+($I$3/10000))/2,(AR73+($I$3/10000))/2))^(2*AQ73/365.25))</f>
        <v>6.42869805523417</v>
      </c>
      <c r="AT73" s="137" t="n">
        <f aca="false">IF(A74="","",IF(AND(mthbeg&lt;=A73,mthend&gt;=A73),1,0))</f>
        <v>1</v>
      </c>
      <c r="AU73" s="137" t="n">
        <f aca="false">IF(A74="","",AO73*AT73)</f>
        <v>30</v>
      </c>
      <c r="AW73" s="195" t="e">
        <f aca="false">IF($A74="","",AL73*$E73)</f>
        <v>#NAME?</v>
      </c>
      <c r="AX73" s="195" t="e">
        <f aca="false">IF($A74="","",AM73*$E73)</f>
        <v>#N/A</v>
      </c>
      <c r="AY73" s="195" t="e">
        <f aca="false">IF($A74="","",AN73*$E73)</f>
        <v>#N/A</v>
      </c>
      <c r="BA73" s="195" t="n">
        <f aca="false">IF($A74="","",F73*Summary!$Q$13)</f>
        <v>0</v>
      </c>
      <c r="BC73" s="179" t="e">
        <f aca="false">IF(A74="","",AM73*F73)</f>
        <v>#N/A</v>
      </c>
    </row>
    <row r="74" customFormat="false" ht="12.75" hidden="false" customHeight="false" outlineLevel="0" collapsed="false">
      <c r="A74" s="196" t="n">
        <f aca="false">IF(A73&lt;mthend,EDATE(A73,1),"")</f>
        <v>38991</v>
      </c>
      <c r="B74" s="197" t="n">
        <f aca="false">IF(A74&lt;mthend,B73,"")</f>
        <v>28400</v>
      </c>
      <c r="C74" s="215"/>
      <c r="D74" s="197" t="n">
        <f aca="false">IF(A75&lt;&gt;"",B74+C74,"")</f>
        <v>28400</v>
      </c>
      <c r="E74" s="199" t="n">
        <f aca="false">IF(A75="","",IF(AND(AT74=1,$H$3=1),D74*AO74,IF($H$3=2,D74,"N/A")))</f>
        <v>880400</v>
      </c>
      <c r="F74" s="199" t="n">
        <f aca="false">IF(A75="","",E74*AS74)</f>
        <v>5614644.63294968</v>
      </c>
      <c r="G74" s="200" t="e">
        <f aca="false">IF($A75="","",VLOOKUP($A74,Table,MATCH(G$4,Curves,0)))</f>
        <v>#N/A</v>
      </c>
      <c r="H74" s="201" t="e">
        <f aca="false">IF(A75="","",G74)</f>
        <v>#N/A</v>
      </c>
      <c r="I74" s="202"/>
      <c r="J74" s="200" t="e">
        <f aca="false">IF($A75="","",VLOOKUP($A74,Table,MATCH(J$4,Curves,0)))</f>
        <v>#N/A</v>
      </c>
      <c r="K74" s="201" t="e">
        <f aca="false">IF(A75="","",J74)</f>
        <v>#N/A</v>
      </c>
      <c r="L74" s="185" t="n">
        <v>0</v>
      </c>
      <c r="M74" s="201" t="n">
        <f aca="false">IF(A75="","",L74)</f>
        <v>0</v>
      </c>
      <c r="N74" s="203"/>
      <c r="O74" s="200" t="e">
        <f aca="false">IF(A75="","",L74+J74+G74)</f>
        <v>#N/A</v>
      </c>
      <c r="P74" s="200" t="e">
        <f aca="false">IF(A75="","",M74+K74+H74)</f>
        <v>#N/A</v>
      </c>
      <c r="Q74" s="204"/>
      <c r="R74" s="200" t="e">
        <f aca="false">IF($A75="","",VLOOKUP($A74,Table,MATCH(R$4,Curves,0)))</f>
        <v>#N/A</v>
      </c>
      <c r="S74" s="201" t="e">
        <f aca="false">IF(A75="","",R74)</f>
        <v>#N/A</v>
      </c>
      <c r="T74" s="185" t="n">
        <v>0</v>
      </c>
      <c r="U74" s="201" t="n">
        <f aca="false">IF(A75="","",T74)</f>
        <v>0</v>
      </c>
      <c r="V74" s="205" t="e">
        <f aca="false">(G74+R74)/(1-Summary!$T$13)*Summary!$T$13</f>
        <v>#N/A</v>
      </c>
      <c r="W74" s="202" t="e">
        <f aca="false">IF($A75="","",(T74+R74+G74+V74))</f>
        <v>#N/A</v>
      </c>
      <c r="X74" s="202" t="e">
        <f aca="false">IF($A75="","",(U74+S74+H74+V74))</f>
        <v>#N/A</v>
      </c>
      <c r="Y74" s="202"/>
      <c r="Z74" s="185" t="e">
        <f aca="false">IF($A75="","",VLOOKUP($A74,Table,MATCH(Z$4,Curves,0)))</f>
        <v>#N/A</v>
      </c>
      <c r="AA74" s="185" t="e">
        <f aca="false">IF($A75="","",VLOOKUP($A74,Table,MATCH(AA$4,Curves,0)))</f>
        <v>#N/A</v>
      </c>
      <c r="AB74" s="185" t="e">
        <f aca="false">SQRT((AA74^2*(A74-$D$3)+Z74^2*(DAY(EOMONTH(A74,0))/2))/AK74)</f>
        <v>#N/A</v>
      </c>
      <c r="AC74" s="185" t="e">
        <f aca="false">IF($A75="","",VLOOKUP($A74,Table,MATCH(AC$4,Curves,0)))</f>
        <v>#N/A</v>
      </c>
      <c r="AD74" s="185" t="e">
        <f aca="false">IF($A75="","",VLOOKUP($A74,Table,MATCH(AD$4,Curves,0)))</f>
        <v>#N/A</v>
      </c>
      <c r="AE74" s="185" t="e">
        <f aca="false">SQRT((AD74^2*(A74-$D$3)+AC74^2*(DAY(EOMONTH(A74,0))/2))/AK74)</f>
        <v>#N/A</v>
      </c>
      <c r="AF74" s="224" t="e">
        <f aca="false">((Summary!$N$13*(AA74*AD74)*(A74-$D$3))+(Summary!$M$13*Z74*AC74*(AJ74-EOMONTH(EDATE(A74,-1),0))))/(AK74*AB74*AE74)</f>
        <v>#N/A</v>
      </c>
      <c r="AG74" s="207" t="n">
        <f aca="false">IF($A75="","",Summary!$Q$13)</f>
        <v>0</v>
      </c>
      <c r="AH74" s="207" t="n">
        <f aca="false">IF($A75="","",IF(Summary!$R$12="Y",(VLOOKUP($A74,Summary!$AD$6:$AF$9,3)+'Escalating commodity'!I87),'Escalating commodity'!I87))</f>
        <v>0.0495104916855585</v>
      </c>
      <c r="AI74" s="207" t="n">
        <f aca="false">IF($A75="","",AH74)</f>
        <v>0.0495104916855585</v>
      </c>
      <c r="AJ74" s="208" t="n">
        <f aca="false">A74+DAY(EOMONTH(A74,0))/2-1</f>
        <v>39005.5</v>
      </c>
      <c r="AK74" s="209" t="n">
        <f aca="false">IF($A75="","",$A74-$E$1)</f>
        <v>-6935</v>
      </c>
      <c r="AL74" s="182" t="e">
        <f aca="false">IF($A75="","",SPRDOPT(P74,X74,AI74,0,AB74,AE74,AF74,AK74,$AJ$2,0))</f>
        <v>#NAME?</v>
      </c>
      <c r="AM74" s="210" t="e">
        <f aca="false">IF($A75="","",MAX(0,O74-W74-AI74))</f>
        <v>#N/A</v>
      </c>
      <c r="AN74" s="211" t="e">
        <f aca="false">IF($A75="","",AL74-AM74)</f>
        <v>#N/A</v>
      </c>
      <c r="AO74" s="137" t="n">
        <f aca="false">IF(A75="","",A75-A74)</f>
        <v>31</v>
      </c>
      <c r="AP74" s="212" t="n">
        <f aca="false">IF(A75="","",CHOOSE(F$3,A75+24,A74))</f>
        <v>38991</v>
      </c>
      <c r="AQ74" s="209" t="n">
        <f aca="false">IF(A75="","",AP74-$E$1)</f>
        <v>-6935</v>
      </c>
      <c r="AR74" s="185" t="n">
        <f aca="false">'ANR OK vs ML7'!AR74</f>
        <v>0.1</v>
      </c>
      <c r="AS74" s="213" t="n">
        <f aca="false">IF(A75="","",1/(1+CHOOSE(F$3,(AR75+($I$3/10000))/2,(AR74+($I$3/10000))/2))^(2*AQ74/365.25))</f>
        <v>6.37737918326861</v>
      </c>
      <c r="AT74" s="137" t="n">
        <f aca="false">IF(A75="","",IF(AND(mthbeg&lt;=A74,mthend&gt;=A74),1,0))</f>
        <v>1</v>
      </c>
      <c r="AU74" s="137" t="n">
        <f aca="false">IF(A75="","",AO74*AT74)</f>
        <v>31</v>
      </c>
      <c r="AW74" s="195" t="e">
        <f aca="false">IF($A75="","",AL74*$E74)</f>
        <v>#NAME?</v>
      </c>
      <c r="AX74" s="195" t="e">
        <f aca="false">IF($A75="","",AM74*$E74)</f>
        <v>#N/A</v>
      </c>
      <c r="AY74" s="195" t="e">
        <f aca="false">IF($A75="","",AN74*$E74)</f>
        <v>#N/A</v>
      </c>
      <c r="BA74" s="195" t="n">
        <f aca="false">IF($A75="","",F74*Summary!$Q$13)</f>
        <v>0</v>
      </c>
      <c r="BC74" s="179" t="e">
        <f aca="false">IF(A75="","",AM74*F74)</f>
        <v>#N/A</v>
      </c>
    </row>
    <row r="75" customFormat="false" ht="12.75" hidden="false" customHeight="false" outlineLevel="0" collapsed="false">
      <c r="A75" s="196" t="n">
        <f aca="false">IF(A74&lt;mthend,EDATE(A74,1),"")</f>
        <v>39022</v>
      </c>
      <c r="B75" s="197" t="n">
        <f aca="false">IF(A75&lt;mthend,B74,"")</f>
        <v>28400</v>
      </c>
      <c r="C75" s="215"/>
      <c r="D75" s="197" t="n">
        <f aca="false">IF(A76&lt;&gt;"",B75+C75,"")</f>
        <v>28400</v>
      </c>
      <c r="E75" s="199" t="n">
        <f aca="false">IF(A76="","",IF(AND(AT75=1,$H$3=1),D75*AO75,IF($H$3=2,D75,"N/A")))</f>
        <v>852000</v>
      </c>
      <c r="F75" s="199" t="n">
        <f aca="false">IF(A76="","",E75*AS75)</f>
        <v>5388712.57885028</v>
      </c>
      <c r="G75" s="200" t="e">
        <f aca="false">IF($A76="","",VLOOKUP($A75,Table,MATCH(G$4,Curves,0)))</f>
        <v>#N/A</v>
      </c>
      <c r="H75" s="201" t="e">
        <f aca="false">IF(A76="","",G75)</f>
        <v>#N/A</v>
      </c>
      <c r="I75" s="202"/>
      <c r="J75" s="200" t="e">
        <f aca="false">IF($A76="","",VLOOKUP($A75,Table,MATCH(J$4,Curves,0)))</f>
        <v>#N/A</v>
      </c>
      <c r="K75" s="201" t="e">
        <f aca="false">IF(A76="","",J75)</f>
        <v>#N/A</v>
      </c>
      <c r="L75" s="185" t="n">
        <v>0</v>
      </c>
      <c r="M75" s="201" t="n">
        <f aca="false">IF(A76="","",L75)</f>
        <v>0</v>
      </c>
      <c r="N75" s="203"/>
      <c r="O75" s="200" t="e">
        <f aca="false">IF(A76="","",L75+J75+G75)</f>
        <v>#N/A</v>
      </c>
      <c r="P75" s="200" t="e">
        <f aca="false">IF(A76="","",M75+K75+H75)</f>
        <v>#N/A</v>
      </c>
      <c r="Q75" s="204"/>
      <c r="R75" s="200" t="e">
        <f aca="false">IF($A76="","",VLOOKUP($A75,Table,MATCH(R$4,Curves,0)))</f>
        <v>#N/A</v>
      </c>
      <c r="S75" s="201" t="e">
        <f aca="false">IF(A76="","",R75)</f>
        <v>#N/A</v>
      </c>
      <c r="T75" s="185" t="n">
        <v>0</v>
      </c>
      <c r="U75" s="201" t="n">
        <f aca="false">IF(A76="","",T75)</f>
        <v>0</v>
      </c>
      <c r="V75" s="205" t="e">
        <f aca="false">(G75+R75)/(1-Summary!$T$13)*Summary!$T$13</f>
        <v>#N/A</v>
      </c>
      <c r="W75" s="202" t="e">
        <f aca="false">IF($A76="","",(T75+R75+G75+V75))</f>
        <v>#N/A</v>
      </c>
      <c r="X75" s="202" t="e">
        <f aca="false">IF($A76="","",(U75+S75+H75+V75))</f>
        <v>#N/A</v>
      </c>
      <c r="Y75" s="202"/>
      <c r="Z75" s="185" t="e">
        <f aca="false">IF($A76="","",VLOOKUP($A75,Table,MATCH(Z$4,Curves,0)))</f>
        <v>#N/A</v>
      </c>
      <c r="AA75" s="185" t="e">
        <f aca="false">IF($A76="","",VLOOKUP($A75,Table,MATCH(AA$4,Curves,0)))</f>
        <v>#N/A</v>
      </c>
      <c r="AB75" s="185" t="e">
        <f aca="false">SQRT((AA75^2*(A75-$D$3)+Z75^2*(DAY(EOMONTH(A75,0))/2))/AK75)</f>
        <v>#N/A</v>
      </c>
      <c r="AC75" s="185" t="e">
        <f aca="false">IF($A76="","",VLOOKUP($A75,Table,MATCH(AC$4,Curves,0)))</f>
        <v>#N/A</v>
      </c>
      <c r="AD75" s="185" t="e">
        <f aca="false">IF($A76="","",VLOOKUP($A75,Table,MATCH(AD$4,Curves,0)))</f>
        <v>#N/A</v>
      </c>
      <c r="AE75" s="185" t="e">
        <f aca="false">SQRT((AD75^2*(A75-$D$3)+AC75^2*(DAY(EOMONTH(A75,0))/2))/AK75)</f>
        <v>#N/A</v>
      </c>
      <c r="AF75" s="224" t="e">
        <f aca="false">((Summary!$N$13*(AA75*AD75)*(A75-$D$3))+(Summary!$M$13*Z75*AC75*(AJ75-EOMONTH(EDATE(A75,-1),0))))/(AK75*AB75*AE75)</f>
        <v>#N/A</v>
      </c>
      <c r="AG75" s="207" t="n">
        <f aca="false">IF($A76="","",Summary!$Q$13)</f>
        <v>0</v>
      </c>
      <c r="AH75" s="207" t="n">
        <f aca="false">IF($A76="","",IF(Summary!$R$12="Y",(VLOOKUP($A75,Summary!$AD$6:$AF$9,3)+'Escalating commodity'!I88),'Escalating commodity'!I88))</f>
        <v>0.0495104916855585</v>
      </c>
      <c r="AI75" s="207" t="n">
        <f aca="false">IF($A76="","",AH75)</f>
        <v>0.0495104916855585</v>
      </c>
      <c r="AJ75" s="208" t="n">
        <f aca="false">A75+DAY(EOMONTH(A75,0))/2-1</f>
        <v>39036</v>
      </c>
      <c r="AK75" s="209" t="n">
        <f aca="false">IF($A76="","",$A75-$E$1)</f>
        <v>-6904</v>
      </c>
      <c r="AL75" s="182" t="e">
        <f aca="false">IF($A76="","",SPRDOPT(P75,X75,AI75,0,AB75,AE75,AF75,AK75,$AJ$2,0))</f>
        <v>#NAME?</v>
      </c>
      <c r="AM75" s="210" t="e">
        <f aca="false">IF($A76="","",MAX(0,O75-W75-AI75))</f>
        <v>#N/A</v>
      </c>
      <c r="AN75" s="211" t="e">
        <f aca="false">IF($A76="","",AL75-AM75)</f>
        <v>#N/A</v>
      </c>
      <c r="AO75" s="137" t="n">
        <f aca="false">IF(A76="","",A76-A75)</f>
        <v>30</v>
      </c>
      <c r="AP75" s="212" t="n">
        <f aca="false">IF(A76="","",CHOOSE(F$3,A76+24,A75))</f>
        <v>39022</v>
      </c>
      <c r="AQ75" s="209" t="n">
        <f aca="false">IF(A76="","",AP75-$E$1)</f>
        <v>-6904</v>
      </c>
      <c r="AR75" s="185" t="n">
        <f aca="false">'ANR OK vs ML7'!AR75</f>
        <v>0.1</v>
      </c>
      <c r="AS75" s="213" t="n">
        <f aca="false">IF(A76="","",1/(1+CHOOSE(F$3,(AR76+($I$3/10000))/2,(AR75+($I$3/10000))/2))^(2*AQ75/365.25))</f>
        <v>6.32478002212474</v>
      </c>
      <c r="AT75" s="137" t="n">
        <f aca="false">IF(A76="","",IF(AND(mthbeg&lt;=A75,mthend&gt;=A75),1,0))</f>
        <v>1</v>
      </c>
      <c r="AU75" s="137" t="n">
        <f aca="false">IF(A76="","",AO75*AT75)</f>
        <v>30</v>
      </c>
      <c r="AW75" s="195" t="e">
        <f aca="false">IF($A76="","",AL75*$E75)</f>
        <v>#NAME?</v>
      </c>
      <c r="AX75" s="195" t="e">
        <f aca="false">IF($A76="","",AM75*$E75)</f>
        <v>#N/A</v>
      </c>
      <c r="AY75" s="195" t="e">
        <f aca="false">IF($A76="","",AN75*$E75)</f>
        <v>#N/A</v>
      </c>
      <c r="BA75" s="195" t="n">
        <f aca="false">IF($A76="","",F75*Summary!$Q$13)</f>
        <v>0</v>
      </c>
      <c r="BC75" s="179" t="e">
        <f aca="false">IF(A76="","",AM75*F75)</f>
        <v>#N/A</v>
      </c>
    </row>
    <row r="76" customFormat="false" ht="12.75" hidden="false" customHeight="false" outlineLevel="0" collapsed="false">
      <c r="A76" s="196" t="n">
        <f aca="false">IF(A75&lt;mthend,EDATE(A75,1),"")</f>
        <v>39052</v>
      </c>
      <c r="B76" s="197" t="n">
        <f aca="false">IF(A76&lt;mthend,B75,"")</f>
        <v>28400</v>
      </c>
      <c r="C76" s="215"/>
      <c r="D76" s="197" t="n">
        <f aca="false">IF(A77&lt;&gt;"",B76+C76,"")</f>
        <v>28400</v>
      </c>
      <c r="E76" s="199" t="n">
        <f aca="false">IF(A77="","",IF(AND(AT76=1,$H$3=1),D76*AO76,IF($H$3=2,D76,"N/A")))</f>
        <v>880400</v>
      </c>
      <c r="F76" s="199" t="n">
        <f aca="false">IF(A77="","",E76*AS76)</f>
        <v>5523885.53649632</v>
      </c>
      <c r="G76" s="200" t="e">
        <f aca="false">IF($A77="","",VLOOKUP($A76,Table,MATCH(G$4,Curves,0)))</f>
        <v>#N/A</v>
      </c>
      <c r="H76" s="201" t="e">
        <f aca="false">IF(A77="","",G76)</f>
        <v>#N/A</v>
      </c>
      <c r="I76" s="202"/>
      <c r="J76" s="200" t="e">
        <f aca="false">IF($A77="","",VLOOKUP($A76,Table,MATCH(J$4,Curves,0)))</f>
        <v>#N/A</v>
      </c>
      <c r="K76" s="201" t="e">
        <f aca="false">IF(A77="","",J76)</f>
        <v>#N/A</v>
      </c>
      <c r="L76" s="185" t="n">
        <v>0</v>
      </c>
      <c r="M76" s="201" t="n">
        <f aca="false">IF(A77="","",L76)</f>
        <v>0</v>
      </c>
      <c r="N76" s="203"/>
      <c r="O76" s="200" t="e">
        <f aca="false">IF(A77="","",L76+J76+G76)</f>
        <v>#N/A</v>
      </c>
      <c r="P76" s="200" t="e">
        <f aca="false">IF(A77="","",M76+K76+H76)</f>
        <v>#N/A</v>
      </c>
      <c r="Q76" s="204"/>
      <c r="R76" s="200" t="e">
        <f aca="false">IF($A77="","",VLOOKUP($A76,Table,MATCH(R$4,Curves,0)))</f>
        <v>#N/A</v>
      </c>
      <c r="S76" s="201" t="e">
        <f aca="false">IF(A77="","",R76)</f>
        <v>#N/A</v>
      </c>
      <c r="T76" s="185" t="n">
        <v>0</v>
      </c>
      <c r="U76" s="201" t="n">
        <f aca="false">IF(A77="","",T76)</f>
        <v>0</v>
      </c>
      <c r="V76" s="205" t="e">
        <f aca="false">(G76+R76)/(1-Summary!$T$13)*Summary!$T$13</f>
        <v>#N/A</v>
      </c>
      <c r="W76" s="202" t="e">
        <f aca="false">IF($A77="","",(T76+R76+G76+V76))</f>
        <v>#N/A</v>
      </c>
      <c r="X76" s="202" t="e">
        <f aca="false">IF($A77="","",(U76+S76+H76+V76))</f>
        <v>#N/A</v>
      </c>
      <c r="Y76" s="202"/>
      <c r="Z76" s="185" t="e">
        <f aca="false">IF($A77="","",VLOOKUP($A76,Table,MATCH(Z$4,Curves,0)))</f>
        <v>#N/A</v>
      </c>
      <c r="AA76" s="185" t="e">
        <f aca="false">IF($A77="","",VLOOKUP($A76,Table,MATCH(AA$4,Curves,0)))</f>
        <v>#N/A</v>
      </c>
      <c r="AB76" s="185" t="e">
        <f aca="false">SQRT((AA76^2*(A76-$D$3)+Z76^2*(DAY(EOMONTH(A76,0))/2))/AK76)</f>
        <v>#N/A</v>
      </c>
      <c r="AC76" s="185" t="e">
        <f aca="false">IF($A77="","",VLOOKUP($A76,Table,MATCH(AC$4,Curves,0)))</f>
        <v>#N/A</v>
      </c>
      <c r="AD76" s="185" t="e">
        <f aca="false">IF($A77="","",VLOOKUP($A76,Table,MATCH(AD$4,Curves,0)))</f>
        <v>#N/A</v>
      </c>
      <c r="AE76" s="185" t="e">
        <f aca="false">SQRT((AD76^2*(A76-$D$3)+AC76^2*(DAY(EOMONTH(A76,0))/2))/AK76)</f>
        <v>#N/A</v>
      </c>
      <c r="AF76" s="224" t="e">
        <f aca="false">((Summary!$N$13*(AA76*AD76)*(A76-$D$3))+(Summary!$M$13*Z76*AC76*(AJ76-EOMONTH(EDATE(A76,-1),0))))/(AK76*AB76*AE76)</f>
        <v>#N/A</v>
      </c>
      <c r="AG76" s="207" t="n">
        <f aca="false">IF($A77="","",Summary!$Q$13)</f>
        <v>0</v>
      </c>
      <c r="AH76" s="207" t="n">
        <f aca="false">IF($A77="","",IF(Summary!$R$12="Y",(VLOOKUP($A76,Summary!$AD$6:$AF$9,3)+'Escalating commodity'!I89),'Escalating commodity'!I89))</f>
        <v>0.0495104916855585</v>
      </c>
      <c r="AI76" s="207" t="n">
        <f aca="false">IF($A77="","",AH76)</f>
        <v>0.0495104916855585</v>
      </c>
      <c r="AJ76" s="208" t="n">
        <f aca="false">A76+DAY(EOMONTH(A76,0))/2-1</f>
        <v>39066.5</v>
      </c>
      <c r="AK76" s="209" t="n">
        <f aca="false">IF($A77="","",$A76-$E$1)</f>
        <v>-6874</v>
      </c>
      <c r="AL76" s="182" t="e">
        <f aca="false">IF($A77="","",SPRDOPT(P76,X76,AI76,0,AB76,AE76,AF76,AK76,$AJ$2,0))</f>
        <v>#NAME?</v>
      </c>
      <c r="AM76" s="210" t="e">
        <f aca="false">IF($A77="","",MAX(0,O76-W76-AI76))</f>
        <v>#N/A</v>
      </c>
      <c r="AN76" s="211" t="e">
        <f aca="false">IF($A77="","",AL76-AM76)</f>
        <v>#N/A</v>
      </c>
      <c r="AO76" s="137" t="n">
        <f aca="false">IF(A77="","",A77-A76)</f>
        <v>31</v>
      </c>
      <c r="AP76" s="212" t="n">
        <f aca="false">IF(A77="","",CHOOSE(F$3,A77+24,A76))</f>
        <v>39052</v>
      </c>
      <c r="AQ76" s="209" t="n">
        <f aca="false">IF(A77="","",AP76-$E$1)</f>
        <v>-6874</v>
      </c>
      <c r="AR76" s="185" t="n">
        <f aca="false">'ANR OK vs ML7'!AR76</f>
        <v>0.1</v>
      </c>
      <c r="AS76" s="213" t="n">
        <f aca="false">IF(A77="","",1/(1+CHOOSE(F$3,(AR77+($I$3/10000))/2,(AR76+($I$3/10000))/2))^(2*AQ76/365.25))</f>
        <v>6.27429070478909</v>
      </c>
      <c r="AT76" s="137" t="n">
        <f aca="false">IF(A77="","",IF(AND(mthbeg&lt;=A76,mthend&gt;=A76),1,0))</f>
        <v>1</v>
      </c>
      <c r="AU76" s="137" t="n">
        <f aca="false">IF(A77="","",AO76*AT76)</f>
        <v>31</v>
      </c>
      <c r="AW76" s="195" t="e">
        <f aca="false">IF($A77="","",AL76*$E76)</f>
        <v>#NAME?</v>
      </c>
      <c r="AX76" s="195" t="e">
        <f aca="false">IF($A77="","",AM76*$E76)</f>
        <v>#N/A</v>
      </c>
      <c r="AY76" s="195" t="e">
        <f aca="false">IF($A77="","",AN76*$E76)</f>
        <v>#N/A</v>
      </c>
      <c r="BA76" s="195" t="n">
        <f aca="false">IF($A77="","",F76*Summary!$Q$13)</f>
        <v>0</v>
      </c>
      <c r="BC76" s="179" t="e">
        <f aca="false">IF(A77="","",AM76*F76)</f>
        <v>#N/A</v>
      </c>
    </row>
    <row r="77" customFormat="false" ht="12.75" hidden="false" customHeight="false" outlineLevel="0" collapsed="false">
      <c r="A77" s="196" t="n">
        <f aca="false">IF(A76&lt;mthend,EDATE(A76,1),"")</f>
        <v>39083</v>
      </c>
      <c r="B77" s="197" t="n">
        <f aca="false">IF(A77&lt;mthend,B76,"")</f>
        <v>28400</v>
      </c>
      <c r="C77" s="215"/>
      <c r="D77" s="197" t="n">
        <f aca="false">IF(A78&lt;&gt;"",B77+C77,"")</f>
        <v>28400</v>
      </c>
      <c r="E77" s="199" t="n">
        <f aca="false">IF(A78="","",IF(AND(AT77=1,$H$3=1),D77*AO77,IF($H$3=2,D77,"N/A")))</f>
        <v>880400</v>
      </c>
      <c r="F77" s="199" t="n">
        <f aca="false">IF(A78="","",E77*AS77)</f>
        <v>5478325.79524136</v>
      </c>
      <c r="G77" s="200" t="e">
        <f aca="false">IF($A78="","",VLOOKUP($A77,Table,MATCH(G$4,Curves,0)))</f>
        <v>#N/A</v>
      </c>
      <c r="H77" s="201" t="e">
        <f aca="false">IF(A78="","",G77)</f>
        <v>#N/A</v>
      </c>
      <c r="I77" s="202"/>
      <c r="J77" s="200" t="e">
        <f aca="false">IF($A78="","",VLOOKUP($A77,Table,MATCH(J$4,Curves,0)))</f>
        <v>#N/A</v>
      </c>
      <c r="K77" s="201" t="e">
        <f aca="false">IF(A78="","",J77)</f>
        <v>#N/A</v>
      </c>
      <c r="L77" s="185" t="n">
        <v>0</v>
      </c>
      <c r="M77" s="201" t="n">
        <f aca="false">IF(A78="","",L77)</f>
        <v>0</v>
      </c>
      <c r="N77" s="203"/>
      <c r="O77" s="200" t="e">
        <f aca="false">IF(A78="","",L77+J77+G77)</f>
        <v>#N/A</v>
      </c>
      <c r="P77" s="200" t="e">
        <f aca="false">IF(A78="","",M77+K77+H77)</f>
        <v>#N/A</v>
      </c>
      <c r="Q77" s="204"/>
      <c r="R77" s="200" t="e">
        <f aca="false">IF($A78="","",VLOOKUP($A77,Table,MATCH(R$4,Curves,0)))</f>
        <v>#N/A</v>
      </c>
      <c r="S77" s="201" t="e">
        <f aca="false">IF(A78="","",R77)</f>
        <v>#N/A</v>
      </c>
      <c r="T77" s="185" t="n">
        <v>0</v>
      </c>
      <c r="U77" s="201" t="n">
        <f aca="false">IF(A78="","",T77)</f>
        <v>0</v>
      </c>
      <c r="V77" s="205" t="e">
        <f aca="false">(G77+R77)/(1-Summary!$T$13)*Summary!$T$13</f>
        <v>#N/A</v>
      </c>
      <c r="W77" s="202" t="e">
        <f aca="false">IF($A78="","",(T77+R77+G77+V77))</f>
        <v>#N/A</v>
      </c>
      <c r="X77" s="202" t="e">
        <f aca="false">IF($A78="","",(U77+S77+H77+V77))</f>
        <v>#N/A</v>
      </c>
      <c r="Y77" s="202"/>
      <c r="Z77" s="185" t="e">
        <f aca="false">IF($A78="","",VLOOKUP($A77,Table,MATCH(Z$4,Curves,0)))</f>
        <v>#N/A</v>
      </c>
      <c r="AA77" s="185" t="e">
        <f aca="false">IF($A78="","",VLOOKUP($A77,Table,MATCH(AA$4,Curves,0)))</f>
        <v>#N/A</v>
      </c>
      <c r="AB77" s="185" t="e">
        <f aca="false">SQRT((AA77^2*(A77-$D$3)+Z77^2*(DAY(EOMONTH(A77,0))/2))/AK77)</f>
        <v>#N/A</v>
      </c>
      <c r="AC77" s="185" t="e">
        <f aca="false">IF($A78="","",VLOOKUP($A77,Table,MATCH(AC$4,Curves,0)))</f>
        <v>#N/A</v>
      </c>
      <c r="AD77" s="185" t="e">
        <f aca="false">IF($A78="","",VLOOKUP($A77,Table,MATCH(AD$4,Curves,0)))</f>
        <v>#N/A</v>
      </c>
      <c r="AE77" s="185" t="e">
        <f aca="false">SQRT((AD77^2*(A77-$D$3)+AC77^2*(DAY(EOMONTH(A77,0))/2))/AK77)</f>
        <v>#N/A</v>
      </c>
      <c r="AF77" s="224" t="e">
        <f aca="false">((Summary!$N$13*(AA77*AD77)*(A77-$D$3))+(Summary!$M$13*Z77*AC77*(AJ77-EOMONTH(EDATE(A77,-1),0))))/(AK77*AB77*AE77)</f>
        <v>#N/A</v>
      </c>
      <c r="AG77" s="207" t="n">
        <f aca="false">IF($A78="","",Summary!$Q$13)</f>
        <v>0</v>
      </c>
      <c r="AH77" s="207" t="n">
        <f aca="false">IF($A78="","",IF(Summary!$R$12="Y",(VLOOKUP($A77,Summary!$AD$6:$AF$9,3)+'Escalating commodity'!I90),'Escalating commodity'!I90))</f>
        <v>0.0505007015192697</v>
      </c>
      <c r="AI77" s="207" t="n">
        <f aca="false">IF($A78="","",AH77)</f>
        <v>0.0505007015192697</v>
      </c>
      <c r="AJ77" s="208" t="n">
        <f aca="false">A77+DAY(EOMONTH(A77,0))/2-1</f>
        <v>39097.5</v>
      </c>
      <c r="AK77" s="209" t="n">
        <f aca="false">IF($A78="","",$A77-$E$1)</f>
        <v>-6843</v>
      </c>
      <c r="AL77" s="182" t="e">
        <f aca="false">IF($A78="","",SPRDOPT(P77,X77,AI77,0,AB77,AE77,AF77,AK77,$AJ$2,0))</f>
        <v>#NAME?</v>
      </c>
      <c r="AM77" s="210" t="e">
        <f aca="false">IF($A78="","",MAX(0,O77-W77-AI77))</f>
        <v>#N/A</v>
      </c>
      <c r="AN77" s="211" t="e">
        <f aca="false">IF($A78="","",AL77-AM77)</f>
        <v>#N/A</v>
      </c>
      <c r="AO77" s="137" t="n">
        <f aca="false">IF(A78="","",A78-A77)</f>
        <v>31</v>
      </c>
      <c r="AP77" s="212" t="n">
        <f aca="false">IF(A78="","",CHOOSE(F$3,A78+24,A77))</f>
        <v>39083</v>
      </c>
      <c r="AQ77" s="209" t="n">
        <f aca="false">IF(A78="","",AP77-$E$1)</f>
        <v>-6843</v>
      </c>
      <c r="AR77" s="185" t="n">
        <f aca="false">'ANR OK vs ML7'!AR77</f>
        <v>0.1</v>
      </c>
      <c r="AS77" s="213" t="n">
        <f aca="false">IF(A78="","",1/(1+CHOOSE(F$3,(AR78+($I$3/10000))/2,(AR77+($I$3/10000))/2))^(2*AQ77/365.25))</f>
        <v>6.2225417937771</v>
      </c>
      <c r="AT77" s="137" t="n">
        <f aca="false">IF(A78="","",IF(AND(mthbeg&lt;=A77,mthend&gt;=A77),1,0))</f>
        <v>1</v>
      </c>
      <c r="AU77" s="137" t="n">
        <f aca="false">IF(A78="","",AO77*AT77)</f>
        <v>31</v>
      </c>
      <c r="AW77" s="195" t="e">
        <f aca="false">IF($A78="","",AL77*$E77)</f>
        <v>#NAME?</v>
      </c>
      <c r="AX77" s="195" t="e">
        <f aca="false">IF($A78="","",AM77*$E77)</f>
        <v>#N/A</v>
      </c>
      <c r="AY77" s="195" t="e">
        <f aca="false">IF($A78="","",AN77*$E77)</f>
        <v>#N/A</v>
      </c>
      <c r="BA77" s="195" t="n">
        <f aca="false">IF($A78="","",F77*Summary!$Q$13)</f>
        <v>0</v>
      </c>
      <c r="BC77" s="179" t="e">
        <f aca="false">IF(A78="","",AM77*F77)</f>
        <v>#N/A</v>
      </c>
    </row>
    <row r="78" customFormat="false" ht="12.75" hidden="false" customHeight="false" outlineLevel="0" collapsed="false">
      <c r="A78" s="196" t="n">
        <f aca="false">IF(A77&lt;mthend,EDATE(A77,1),"")</f>
        <v>39114</v>
      </c>
      <c r="B78" s="197" t="n">
        <f aca="false">IF(A78&lt;mthend,B77,"")</f>
        <v>28400</v>
      </c>
      <c r="C78" s="215"/>
      <c r="D78" s="197" t="n">
        <f aca="false">IF(A79&lt;&gt;"",B78+C78,"")</f>
        <v>28400</v>
      </c>
      <c r="E78" s="199" t="n">
        <f aca="false">IF(A79="","",IF(AND(AT78=1,$H$3=1),D78*AO78,IF($H$3=2,D78,"N/A")))</f>
        <v>795200</v>
      </c>
      <c r="F78" s="199" t="n">
        <f aca="false">IF(A79="","",E78*AS78)</f>
        <v>4907353.90219312</v>
      </c>
      <c r="G78" s="200" t="e">
        <f aca="false">IF($A79="","",VLOOKUP($A78,Table,MATCH(G$4,Curves,0)))</f>
        <v>#N/A</v>
      </c>
      <c r="H78" s="201" t="e">
        <f aca="false">IF(A79="","",G78)</f>
        <v>#N/A</v>
      </c>
      <c r="I78" s="202"/>
      <c r="J78" s="200" t="e">
        <f aca="false">IF($A79="","",VLOOKUP($A78,Table,MATCH(J$4,Curves,0)))</f>
        <v>#N/A</v>
      </c>
      <c r="K78" s="201" t="e">
        <f aca="false">IF(A79="","",J78)</f>
        <v>#N/A</v>
      </c>
      <c r="L78" s="185" t="n">
        <v>0</v>
      </c>
      <c r="M78" s="201" t="n">
        <f aca="false">IF(A79="","",L78)</f>
        <v>0</v>
      </c>
      <c r="N78" s="203"/>
      <c r="O78" s="200" t="e">
        <f aca="false">IF(A79="","",L78+J78+G78)</f>
        <v>#N/A</v>
      </c>
      <c r="P78" s="200" t="e">
        <f aca="false">IF(A79="","",M78+K78+H78)</f>
        <v>#N/A</v>
      </c>
      <c r="Q78" s="204"/>
      <c r="R78" s="200" t="e">
        <f aca="false">IF($A79="","",VLOOKUP($A78,Table,MATCH(R$4,Curves,0)))</f>
        <v>#N/A</v>
      </c>
      <c r="S78" s="201" t="e">
        <f aca="false">IF(A79="","",R78)</f>
        <v>#N/A</v>
      </c>
      <c r="T78" s="185" t="n">
        <v>0</v>
      </c>
      <c r="U78" s="201" t="n">
        <f aca="false">IF(A79="","",T78)</f>
        <v>0</v>
      </c>
      <c r="V78" s="205" t="e">
        <f aca="false">(G78+R78)/(1-Summary!$T$13)*Summary!$T$13</f>
        <v>#N/A</v>
      </c>
      <c r="W78" s="202" t="e">
        <f aca="false">IF($A79="","",(T78+R78+G78+V78))</f>
        <v>#N/A</v>
      </c>
      <c r="X78" s="202" t="e">
        <f aca="false">IF($A79="","",(U78+S78+H78+V78))</f>
        <v>#N/A</v>
      </c>
      <c r="Y78" s="202"/>
      <c r="Z78" s="185" t="e">
        <f aca="false">IF($A79="","",VLOOKUP($A78,Table,MATCH(Z$4,Curves,0)))</f>
        <v>#N/A</v>
      </c>
      <c r="AA78" s="185" t="e">
        <f aca="false">IF($A79="","",VLOOKUP($A78,Table,MATCH(AA$4,Curves,0)))</f>
        <v>#N/A</v>
      </c>
      <c r="AB78" s="185" t="e">
        <f aca="false">SQRT((AA78^2*(A78-$D$3)+Z78^2*(DAY(EOMONTH(A78,0))/2))/AK78)</f>
        <v>#N/A</v>
      </c>
      <c r="AC78" s="185" t="e">
        <f aca="false">IF($A79="","",VLOOKUP($A78,Table,MATCH(AC$4,Curves,0)))</f>
        <v>#N/A</v>
      </c>
      <c r="AD78" s="185" t="e">
        <f aca="false">IF($A79="","",VLOOKUP($A78,Table,MATCH(AD$4,Curves,0)))</f>
        <v>#N/A</v>
      </c>
      <c r="AE78" s="185" t="e">
        <f aca="false">SQRT((AD78^2*(A78-$D$3)+AC78^2*(DAY(EOMONTH(A78,0))/2))/AK78)</f>
        <v>#N/A</v>
      </c>
      <c r="AF78" s="224" t="e">
        <f aca="false">((Summary!$N$13*(AA78*AD78)*(A78-$D$3))+(Summary!$M$13*Z78*AC78*(AJ78-EOMONTH(EDATE(A78,-1),0))))/(AK78*AB78*AE78)</f>
        <v>#N/A</v>
      </c>
      <c r="AG78" s="207" t="n">
        <f aca="false">IF($A79="","",Summary!$Q$13)</f>
        <v>0</v>
      </c>
      <c r="AH78" s="207" t="n">
        <f aca="false">IF($A79="","",IF(Summary!$R$12="Y",(VLOOKUP($A78,Summary!$AD$6:$AF$9,3)+'Escalating commodity'!I91),'Escalating commodity'!I91))</f>
        <v>0.0505007015192697</v>
      </c>
      <c r="AI78" s="207" t="n">
        <f aca="false">IF($A79="","",AH78)</f>
        <v>0.0505007015192697</v>
      </c>
      <c r="AJ78" s="208" t="n">
        <f aca="false">A78+DAY(EOMONTH(A78,0))/2-1</f>
        <v>39127</v>
      </c>
      <c r="AK78" s="209" t="n">
        <f aca="false">IF($A79="","",$A78-$E$1)</f>
        <v>-6812</v>
      </c>
      <c r="AL78" s="182" t="e">
        <f aca="false">IF($A79="","",SPRDOPT(P78,X78,AI78,0,AB78,AE78,AF78,AK78,$AJ$2,0))</f>
        <v>#NAME?</v>
      </c>
      <c r="AM78" s="210" t="e">
        <f aca="false">IF($A79="","",MAX(0,O78-W78-AI78))</f>
        <v>#N/A</v>
      </c>
      <c r="AN78" s="211" t="e">
        <f aca="false">IF($A79="","",AL78-AM78)</f>
        <v>#N/A</v>
      </c>
      <c r="AO78" s="137" t="n">
        <f aca="false">IF(A79="","",A79-A78)</f>
        <v>28</v>
      </c>
      <c r="AP78" s="212" t="n">
        <f aca="false">IF(A79="","",CHOOSE(F$3,A79+24,A78))</f>
        <v>39114</v>
      </c>
      <c r="AQ78" s="209" t="n">
        <f aca="false">IF(A79="","",AP78-$E$1)</f>
        <v>-6812</v>
      </c>
      <c r="AR78" s="185" t="n">
        <f aca="false">'ANR OK vs ML7'!AR78</f>
        <v>0.1</v>
      </c>
      <c r="AS78" s="213" t="n">
        <f aca="false">IF(A79="","",1/(1+CHOOSE(F$3,(AR79+($I$3/10000))/2,(AR78+($I$3/10000))/2))^(2*AQ78/365.25))</f>
        <v>6.1712196959169</v>
      </c>
      <c r="AT78" s="137" t="n">
        <f aca="false">IF(A79="","",IF(AND(mthbeg&lt;=A78,mthend&gt;=A78),1,0))</f>
        <v>1</v>
      </c>
      <c r="AU78" s="137" t="n">
        <f aca="false">IF(A79="","",AO78*AT78)</f>
        <v>28</v>
      </c>
      <c r="AW78" s="195" t="e">
        <f aca="false">IF($A79="","",AL78*$E78)</f>
        <v>#NAME?</v>
      </c>
      <c r="AX78" s="195" t="e">
        <f aca="false">IF($A79="","",AM78*$E78)</f>
        <v>#N/A</v>
      </c>
      <c r="AY78" s="195" t="e">
        <f aca="false">IF($A79="","",AN78*$E78)</f>
        <v>#N/A</v>
      </c>
      <c r="BA78" s="195" t="n">
        <f aca="false">IF($A79="","",F78*Summary!$Q$13)</f>
        <v>0</v>
      </c>
      <c r="BC78" s="179" t="e">
        <f aca="false">IF(A79="","",AM78*F78)</f>
        <v>#N/A</v>
      </c>
    </row>
    <row r="79" customFormat="false" ht="12.75" hidden="false" customHeight="false" outlineLevel="0" collapsed="false">
      <c r="A79" s="196" t="n">
        <f aca="false">IF(A78&lt;mthend,EDATE(A78,1),"")</f>
        <v>39142</v>
      </c>
      <c r="B79" s="197" t="n">
        <f aca="false">IF(A79&lt;mthend,B78,"")</f>
        <v>28400</v>
      </c>
      <c r="C79" s="215"/>
      <c r="D79" s="197" t="n">
        <f aca="false">IF(A80&lt;&gt;"",B79+C79,"")</f>
        <v>28400</v>
      </c>
      <c r="E79" s="199" t="n">
        <f aca="false">IF(A80="","",IF(AND(AT79=1,$H$3=1),D79*AO79,IF($H$3=2,D79,"N/A")))</f>
        <v>880400</v>
      </c>
      <c r="F79" s="199" t="n">
        <f aca="false">IF(A80="","",E79*AS79)</f>
        <v>5392650.88877407</v>
      </c>
      <c r="G79" s="200" t="e">
        <f aca="false">IF($A80="","",VLOOKUP($A79,Table,MATCH(G$4,Curves,0)))</f>
        <v>#N/A</v>
      </c>
      <c r="H79" s="201" t="e">
        <f aca="false">IF(A80="","",G79)</f>
        <v>#N/A</v>
      </c>
      <c r="I79" s="202"/>
      <c r="J79" s="200" t="e">
        <f aca="false">IF($A80="","",VLOOKUP($A79,Table,MATCH(J$4,Curves,0)))</f>
        <v>#N/A</v>
      </c>
      <c r="K79" s="201" t="e">
        <f aca="false">IF(A80="","",J79)</f>
        <v>#N/A</v>
      </c>
      <c r="L79" s="185" t="n">
        <v>0</v>
      </c>
      <c r="M79" s="201" t="n">
        <f aca="false">IF(A80="","",L79)</f>
        <v>0</v>
      </c>
      <c r="N79" s="203"/>
      <c r="O79" s="200" t="e">
        <f aca="false">IF(A80="","",L79+J79+G79)</f>
        <v>#N/A</v>
      </c>
      <c r="P79" s="200" t="e">
        <f aca="false">IF(A80="","",M79+K79+H79)</f>
        <v>#N/A</v>
      </c>
      <c r="Q79" s="204"/>
      <c r="R79" s="200" t="e">
        <f aca="false">IF($A80="","",VLOOKUP($A79,Table,MATCH(R$4,Curves,0)))</f>
        <v>#N/A</v>
      </c>
      <c r="S79" s="201" t="e">
        <f aca="false">IF(A80="","",R79)</f>
        <v>#N/A</v>
      </c>
      <c r="T79" s="185" t="n">
        <v>0</v>
      </c>
      <c r="U79" s="201" t="n">
        <f aca="false">IF(A80="","",T79)</f>
        <v>0</v>
      </c>
      <c r="V79" s="205" t="e">
        <f aca="false">(G79+R79)/(1-Summary!$T$13)*Summary!$T$13</f>
        <v>#N/A</v>
      </c>
      <c r="W79" s="202" t="e">
        <f aca="false">IF($A80="","",(T79+R79+G79+V79))</f>
        <v>#N/A</v>
      </c>
      <c r="X79" s="202" t="e">
        <f aca="false">IF($A80="","",(U79+S79+H79+V79))</f>
        <v>#N/A</v>
      </c>
      <c r="Y79" s="202"/>
      <c r="Z79" s="185" t="e">
        <f aca="false">IF($A80="","",VLOOKUP($A79,Table,MATCH(Z$4,Curves,0)))</f>
        <v>#N/A</v>
      </c>
      <c r="AA79" s="185" t="e">
        <f aca="false">IF($A80="","",VLOOKUP($A79,Table,MATCH(AA$4,Curves,0)))</f>
        <v>#N/A</v>
      </c>
      <c r="AB79" s="185" t="e">
        <f aca="false">SQRT((AA79^2*(A79-$D$3)+Z79^2*(DAY(EOMONTH(A79,0))/2))/AK79)</f>
        <v>#N/A</v>
      </c>
      <c r="AC79" s="185" t="e">
        <f aca="false">IF($A80="","",VLOOKUP($A79,Table,MATCH(AC$4,Curves,0)))</f>
        <v>#N/A</v>
      </c>
      <c r="AD79" s="185" t="e">
        <f aca="false">IF($A80="","",VLOOKUP($A79,Table,MATCH(AD$4,Curves,0)))</f>
        <v>#N/A</v>
      </c>
      <c r="AE79" s="185" t="e">
        <f aca="false">SQRT((AD79^2*(A79-$D$3)+AC79^2*(DAY(EOMONTH(A79,0))/2))/AK79)</f>
        <v>#N/A</v>
      </c>
      <c r="AF79" s="224" t="e">
        <f aca="false">((Summary!$N$13*(AA79*AD79)*(A79-$D$3))+(Summary!$M$13*Z79*AC79*(AJ79-EOMONTH(EDATE(A79,-1),0))))/(AK79*AB79*AE79)</f>
        <v>#N/A</v>
      </c>
      <c r="AG79" s="207" t="n">
        <f aca="false">IF($A80="","",Summary!$Q$13)</f>
        <v>0</v>
      </c>
      <c r="AH79" s="207" t="n">
        <f aca="false">IF($A80="","",IF(Summary!$R$12="Y",(VLOOKUP($A79,Summary!$AD$6:$AF$9,3)+'Escalating commodity'!I92),'Escalating commodity'!I92))</f>
        <v>0.0505007015192697</v>
      </c>
      <c r="AI79" s="207" t="n">
        <f aca="false">IF($A80="","",AH79)</f>
        <v>0.0505007015192697</v>
      </c>
      <c r="AJ79" s="208" t="n">
        <f aca="false">A79+DAY(EOMONTH(A79,0))/2-1</f>
        <v>39156.5</v>
      </c>
      <c r="AK79" s="209" t="n">
        <f aca="false">IF($A80="","",$A79-$E$1)</f>
        <v>-6784</v>
      </c>
      <c r="AL79" s="182" t="e">
        <f aca="false">IF($A80="","",SPRDOPT(P79,X79,AI79,0,AB79,AE79,AF79,AK79,$AJ$2,0))</f>
        <v>#NAME?</v>
      </c>
      <c r="AM79" s="210" t="e">
        <f aca="false">IF($A80="","",MAX(0,O79-W79-AI79))</f>
        <v>#N/A</v>
      </c>
      <c r="AN79" s="211" t="e">
        <f aca="false">IF($A80="","",AL79-AM79)</f>
        <v>#N/A</v>
      </c>
      <c r="AO79" s="137" t="n">
        <f aca="false">IF(A80="","",A80-A79)</f>
        <v>31</v>
      </c>
      <c r="AP79" s="212" t="n">
        <f aca="false">IF(A80="","",CHOOSE(F$3,A80+24,A79))</f>
        <v>39142</v>
      </c>
      <c r="AQ79" s="209" t="n">
        <f aca="false">IF(A80="","",AP79-$E$1)</f>
        <v>-6784</v>
      </c>
      <c r="AR79" s="185" t="n">
        <f aca="false">'ANR OK vs ML7'!AR79</f>
        <v>0.1</v>
      </c>
      <c r="AS79" s="213" t="n">
        <f aca="false">IF(A80="","",1/(1+CHOOSE(F$3,(AR80+($I$3/10000))/2,(AR79+($I$3/10000))/2))^(2*AQ79/365.25))</f>
        <v>6.12522817898009</v>
      </c>
      <c r="AT79" s="137" t="n">
        <f aca="false">IF(A80="","",IF(AND(mthbeg&lt;=A79,mthend&gt;=A79),1,0))</f>
        <v>1</v>
      </c>
      <c r="AU79" s="137" t="n">
        <f aca="false">IF(A80="","",AO79*AT79)</f>
        <v>31</v>
      </c>
      <c r="AW79" s="195" t="e">
        <f aca="false">IF($A80="","",AL79*$E79)</f>
        <v>#NAME?</v>
      </c>
      <c r="AX79" s="195" t="e">
        <f aca="false">IF($A80="","",AM79*$E79)</f>
        <v>#N/A</v>
      </c>
      <c r="AY79" s="195" t="e">
        <f aca="false">IF($A80="","",AN79*$E79)</f>
        <v>#N/A</v>
      </c>
      <c r="BA79" s="195" t="n">
        <f aca="false">IF($A80="","",F79*Summary!$Q$13)</f>
        <v>0</v>
      </c>
      <c r="BC79" s="179" t="e">
        <f aca="false">IF(A80="","",AM79*F79)</f>
        <v>#N/A</v>
      </c>
    </row>
    <row r="80" customFormat="false" ht="12.75" hidden="false" customHeight="false" outlineLevel="0" collapsed="false">
      <c r="A80" s="196" t="n">
        <f aca="false">IF(A79&lt;mthend,EDATE(A79,1),"")</f>
        <v>39173</v>
      </c>
      <c r="B80" s="197" t="n">
        <f aca="false">IF(A80&lt;mthend,B79,"")</f>
        <v>28400</v>
      </c>
      <c r="C80" s="215"/>
      <c r="D80" s="197" t="n">
        <f aca="false">IF(A81&lt;&gt;"",B80+C80,"")</f>
        <v>28400</v>
      </c>
      <c r="E80" s="199" t="n">
        <f aca="false">IF(A81="","",IF(AND(AT80=1,$H$3=1),D80*AO80,IF($H$3=2,D80,"N/A")))</f>
        <v>852000</v>
      </c>
      <c r="F80" s="199" t="n">
        <f aca="false">IF(A81="","",E80*AS80)</f>
        <v>5175651.81367827</v>
      </c>
      <c r="G80" s="200" t="e">
        <f aca="false">IF($A81="","",VLOOKUP($A80,Table,MATCH(G$4,Curves,0)))</f>
        <v>#N/A</v>
      </c>
      <c r="H80" s="201" t="e">
        <f aca="false">IF(A81="","",G80)</f>
        <v>#N/A</v>
      </c>
      <c r="I80" s="202"/>
      <c r="J80" s="200" t="e">
        <f aca="false">IF($A81="","",VLOOKUP($A80,Table,MATCH(J$4,Curves,0)))</f>
        <v>#N/A</v>
      </c>
      <c r="K80" s="201" t="e">
        <f aca="false">IF(A81="","",J80)</f>
        <v>#N/A</v>
      </c>
      <c r="L80" s="185" t="n">
        <v>0</v>
      </c>
      <c r="M80" s="201" t="n">
        <f aca="false">IF(A81="","",L80)</f>
        <v>0</v>
      </c>
      <c r="N80" s="203"/>
      <c r="O80" s="200" t="e">
        <f aca="false">IF(A81="","",L80+J80+G80)</f>
        <v>#N/A</v>
      </c>
      <c r="P80" s="200" t="e">
        <f aca="false">IF(A81="","",M80+K80+H80)</f>
        <v>#N/A</v>
      </c>
      <c r="Q80" s="204"/>
      <c r="R80" s="200" t="e">
        <f aca="false">IF($A81="","",VLOOKUP($A80,Table,MATCH(R$4,Curves,0)))</f>
        <v>#N/A</v>
      </c>
      <c r="S80" s="201" t="e">
        <f aca="false">IF(A81="","",R80)</f>
        <v>#N/A</v>
      </c>
      <c r="T80" s="185" t="n">
        <v>0</v>
      </c>
      <c r="U80" s="201" t="n">
        <f aca="false">IF(A81="","",T80)</f>
        <v>0</v>
      </c>
      <c r="V80" s="205" t="e">
        <f aca="false">(G80+R80)/(1-Summary!$T$13)*Summary!$T$13</f>
        <v>#N/A</v>
      </c>
      <c r="W80" s="202" t="e">
        <f aca="false">IF($A81="","",(T80+R80+G80+V80))</f>
        <v>#N/A</v>
      </c>
      <c r="X80" s="202" t="e">
        <f aca="false">IF($A81="","",(U80+S80+H80+V80))</f>
        <v>#N/A</v>
      </c>
      <c r="Y80" s="202"/>
      <c r="Z80" s="185" t="e">
        <f aca="false">IF($A81="","",VLOOKUP($A80,Table,MATCH(Z$4,Curves,0)))</f>
        <v>#N/A</v>
      </c>
      <c r="AA80" s="185" t="e">
        <f aca="false">IF($A81="","",VLOOKUP($A80,Table,MATCH(AA$4,Curves,0)))</f>
        <v>#N/A</v>
      </c>
      <c r="AB80" s="185" t="e">
        <f aca="false">SQRT((AA80^2*(A80-$D$3)+Z80^2*(DAY(EOMONTH(A80,0))/2))/AK80)</f>
        <v>#N/A</v>
      </c>
      <c r="AC80" s="185" t="e">
        <f aca="false">IF($A81="","",VLOOKUP($A80,Table,MATCH(AC$4,Curves,0)))</f>
        <v>#N/A</v>
      </c>
      <c r="AD80" s="185" t="e">
        <f aca="false">IF($A81="","",VLOOKUP($A80,Table,MATCH(AD$4,Curves,0)))</f>
        <v>#N/A</v>
      </c>
      <c r="AE80" s="185" t="e">
        <f aca="false">SQRT((AD80^2*(A80-$D$3)+AC80^2*(DAY(EOMONTH(A80,0))/2))/AK80)</f>
        <v>#N/A</v>
      </c>
      <c r="AF80" s="224" t="e">
        <f aca="false">((Summary!$N$13*(AA80*AD80)*(A80-$D$3))+(Summary!$M$13*Z80*AC80*(AJ80-EOMONTH(EDATE(A80,-1),0))))/(AK80*AB80*AE80)</f>
        <v>#N/A</v>
      </c>
      <c r="AG80" s="207" t="n">
        <f aca="false">IF($A81="","",Summary!$Q$13)</f>
        <v>0</v>
      </c>
      <c r="AH80" s="207" t="n">
        <f aca="false">IF($A81="","",IF(Summary!$R$12="Y",(VLOOKUP($A80,Summary!$AD$6:$AF$9,3)+'Escalating commodity'!I93),'Escalating commodity'!I93))</f>
        <v>0.0505007015192697</v>
      </c>
      <c r="AI80" s="207" t="n">
        <f aca="false">IF($A81="","",AH80)</f>
        <v>0.0505007015192697</v>
      </c>
      <c r="AJ80" s="208" t="n">
        <f aca="false">A80+DAY(EOMONTH(A80,0))/2-1</f>
        <v>39187</v>
      </c>
      <c r="AK80" s="209" t="n">
        <f aca="false">IF($A81="","",$A80-$E$1)</f>
        <v>-6753</v>
      </c>
      <c r="AL80" s="182" t="e">
        <f aca="false">IF($A81="","",SPRDOPT(P80,X80,AI80,0,AB80,AE80,AF80,AK80,$AJ$2,0))</f>
        <v>#NAME?</v>
      </c>
      <c r="AM80" s="210" t="e">
        <f aca="false">IF($A81="","",MAX(0,O80-W80-AI80))</f>
        <v>#N/A</v>
      </c>
      <c r="AN80" s="211" t="e">
        <f aca="false">IF($A81="","",AL80-AM80)</f>
        <v>#N/A</v>
      </c>
      <c r="AO80" s="137" t="n">
        <f aca="false">IF(A81="","",A81-A80)</f>
        <v>30</v>
      </c>
      <c r="AP80" s="212" t="n">
        <f aca="false">IF(A81="","",CHOOSE(F$3,A81+24,A80))</f>
        <v>39173</v>
      </c>
      <c r="AQ80" s="209" t="n">
        <f aca="false">IF(A81="","",AP80-$E$1)</f>
        <v>-6753</v>
      </c>
      <c r="AR80" s="185" t="n">
        <f aca="false">'ANR OK vs ML7'!AR80</f>
        <v>0.1</v>
      </c>
      <c r="AS80" s="213" t="n">
        <f aca="false">IF(A81="","",1/(1+CHOOSE(F$3,(AR81+($I$3/10000))/2,(AR80+($I$3/10000))/2))^(2*AQ80/365.25))</f>
        <v>6.07470870150031</v>
      </c>
      <c r="AT80" s="137" t="n">
        <f aca="false">IF(A81="","",IF(AND(mthbeg&lt;=A80,mthend&gt;=A80),1,0))</f>
        <v>1</v>
      </c>
      <c r="AU80" s="137" t="n">
        <f aca="false">IF(A81="","",AO80*AT80)</f>
        <v>30</v>
      </c>
      <c r="AW80" s="195" t="e">
        <f aca="false">IF($A81="","",AL80*$E80)</f>
        <v>#NAME?</v>
      </c>
      <c r="AX80" s="195" t="e">
        <f aca="false">IF($A81="","",AM80*$E80)</f>
        <v>#N/A</v>
      </c>
      <c r="AY80" s="195" t="e">
        <f aca="false">IF($A81="","",AN80*$E80)</f>
        <v>#N/A</v>
      </c>
      <c r="BA80" s="195" t="n">
        <f aca="false">IF($A81="","",F80*Summary!$Q$13)</f>
        <v>0</v>
      </c>
      <c r="BC80" s="179" t="e">
        <f aca="false">IF(A81="","",AM80*F80)</f>
        <v>#N/A</v>
      </c>
    </row>
    <row r="81" customFormat="false" ht="12.75" hidden="false" customHeight="false" outlineLevel="0" collapsed="false">
      <c r="A81" s="196" t="n">
        <f aca="false">IF(A80&lt;mthend,EDATE(A80,1),"")</f>
        <v>39203</v>
      </c>
      <c r="B81" s="197" t="n">
        <f aca="false">IF(A81&lt;mthend,B80,"")</f>
        <v>28400</v>
      </c>
      <c r="C81" s="215"/>
      <c r="D81" s="197" t="n">
        <f aca="false">IF(A82&lt;&gt;"",B81+C81,"")</f>
        <v>28400</v>
      </c>
      <c r="E81" s="199" t="n">
        <f aca="false">IF(A82="","",IF(AND(AT81=1,$H$3=1),D81*AO81,IF($H$3=2,D81,"N/A")))</f>
        <v>880400</v>
      </c>
      <c r="F81" s="199" t="n">
        <f aca="false">IF(A82="","",E81*AS81)</f>
        <v>5305480.25658814</v>
      </c>
      <c r="G81" s="200" t="e">
        <f aca="false">IF($A82="","",VLOOKUP($A81,Table,MATCH(G$4,Curves,0)))</f>
        <v>#N/A</v>
      </c>
      <c r="H81" s="201" t="e">
        <f aca="false">IF(A82="","",G81)</f>
        <v>#N/A</v>
      </c>
      <c r="I81" s="202"/>
      <c r="J81" s="200" t="e">
        <f aca="false">IF($A82="","",VLOOKUP($A81,Table,MATCH(J$4,Curves,0)))</f>
        <v>#N/A</v>
      </c>
      <c r="K81" s="201" t="e">
        <f aca="false">IF(A82="","",J81)</f>
        <v>#N/A</v>
      </c>
      <c r="L81" s="185" t="n">
        <v>0</v>
      </c>
      <c r="M81" s="201" t="n">
        <f aca="false">IF(A82="","",L81)</f>
        <v>0</v>
      </c>
      <c r="N81" s="203"/>
      <c r="O81" s="200" t="e">
        <f aca="false">IF(A82="","",L81+J81+G81)</f>
        <v>#N/A</v>
      </c>
      <c r="P81" s="200" t="e">
        <f aca="false">IF(A82="","",M81+K81+H81)</f>
        <v>#N/A</v>
      </c>
      <c r="Q81" s="204"/>
      <c r="R81" s="200" t="e">
        <f aca="false">IF($A82="","",VLOOKUP($A81,Table,MATCH(R$4,Curves,0)))</f>
        <v>#N/A</v>
      </c>
      <c r="S81" s="201" t="e">
        <f aca="false">IF(A82="","",R81)</f>
        <v>#N/A</v>
      </c>
      <c r="T81" s="185" t="n">
        <v>0</v>
      </c>
      <c r="U81" s="201" t="n">
        <f aca="false">IF(A82="","",T81)</f>
        <v>0</v>
      </c>
      <c r="V81" s="205" t="e">
        <f aca="false">(G81+R81)/(1-Summary!$T$13)*Summary!$T$13</f>
        <v>#N/A</v>
      </c>
      <c r="W81" s="202" t="e">
        <f aca="false">IF($A82="","",(T81+R81+G81+V81))</f>
        <v>#N/A</v>
      </c>
      <c r="X81" s="202" t="e">
        <f aca="false">IF($A82="","",(U81+S81+H81+V81))</f>
        <v>#N/A</v>
      </c>
      <c r="Y81" s="202"/>
      <c r="Z81" s="185" t="e">
        <f aca="false">IF($A82="","",VLOOKUP($A81,Table,MATCH(Z$4,Curves,0)))</f>
        <v>#N/A</v>
      </c>
      <c r="AA81" s="185" t="e">
        <f aca="false">IF($A82="","",VLOOKUP($A81,Table,MATCH(AA$4,Curves,0)))</f>
        <v>#N/A</v>
      </c>
      <c r="AB81" s="185" t="e">
        <f aca="false">SQRT((AA81^2*(A81-$D$3)+Z81^2*(DAY(EOMONTH(A81,0))/2))/AK81)</f>
        <v>#N/A</v>
      </c>
      <c r="AC81" s="185" t="e">
        <f aca="false">IF($A82="","",VLOOKUP($A81,Table,MATCH(AC$4,Curves,0)))</f>
        <v>#N/A</v>
      </c>
      <c r="AD81" s="185" t="e">
        <f aca="false">IF($A82="","",VLOOKUP($A81,Table,MATCH(AD$4,Curves,0)))</f>
        <v>#N/A</v>
      </c>
      <c r="AE81" s="185" t="e">
        <f aca="false">SQRT((AD81^2*(A81-$D$3)+AC81^2*(DAY(EOMONTH(A81,0))/2))/AK81)</f>
        <v>#N/A</v>
      </c>
      <c r="AF81" s="224" t="e">
        <f aca="false">((Summary!$N$13*(AA81*AD81)*(A81-$D$3))+(Summary!$M$13*Z81*AC81*(AJ81-EOMONTH(EDATE(A81,-1),0))))/(AK81*AB81*AE81)</f>
        <v>#N/A</v>
      </c>
      <c r="AG81" s="207" t="n">
        <f aca="false">IF($A82="","",Summary!$Q$13)</f>
        <v>0</v>
      </c>
      <c r="AH81" s="207" t="n">
        <f aca="false">IF($A82="","",IF(Summary!$R$12="Y",(VLOOKUP($A81,Summary!$AD$6:$AF$9,3)+'Escalating commodity'!I94),'Escalating commodity'!I94))</f>
        <v>0.0505007015192697</v>
      </c>
      <c r="AI81" s="207" t="n">
        <f aca="false">IF($A82="","",AH81)</f>
        <v>0.0505007015192697</v>
      </c>
      <c r="AJ81" s="208" t="n">
        <f aca="false">A81+DAY(EOMONTH(A81,0))/2-1</f>
        <v>39217.5</v>
      </c>
      <c r="AK81" s="209" t="n">
        <f aca="false">IF($A82="","",$A81-$E$1)</f>
        <v>-6723</v>
      </c>
      <c r="AL81" s="182" t="e">
        <f aca="false">IF($A82="","",SPRDOPT(P81,X81,AI81,0,AB81,AE81,AF81,AK81,$AJ$2,0))</f>
        <v>#NAME?</v>
      </c>
      <c r="AM81" s="210" t="e">
        <f aca="false">IF($A82="","",MAX(0,O81-W81-AI81))</f>
        <v>#N/A</v>
      </c>
      <c r="AN81" s="211" t="e">
        <f aca="false">IF($A82="","",AL81-AM81)</f>
        <v>#N/A</v>
      </c>
      <c r="AO81" s="137" t="n">
        <f aca="false">IF(A82="","",A82-A81)</f>
        <v>31</v>
      </c>
      <c r="AP81" s="212" t="n">
        <f aca="false">IF(A82="","",CHOOSE(F$3,A82+24,A81))</f>
        <v>39203</v>
      </c>
      <c r="AQ81" s="209" t="n">
        <f aca="false">IF(A82="","",AP81-$E$1)</f>
        <v>-6723</v>
      </c>
      <c r="AR81" s="185" t="n">
        <f aca="false">'ANR OK vs ML7'!AR81</f>
        <v>0.1</v>
      </c>
      <c r="AS81" s="213" t="n">
        <f aca="false">IF(A82="","",1/(1+CHOOSE(F$3,(AR82+($I$3/10000))/2,(AR81+($I$3/10000))/2))^(2*AQ81/365.25))</f>
        <v>6.02621564810102</v>
      </c>
      <c r="AT81" s="137" t="n">
        <f aca="false">IF(A82="","",IF(AND(mthbeg&lt;=A81,mthend&gt;=A81),1,0))</f>
        <v>1</v>
      </c>
      <c r="AU81" s="137" t="n">
        <f aca="false">IF(A82="","",AO81*AT81)</f>
        <v>31</v>
      </c>
      <c r="AW81" s="195" t="e">
        <f aca="false">IF($A82="","",AL81*$E81)</f>
        <v>#NAME?</v>
      </c>
      <c r="AX81" s="195" t="e">
        <f aca="false">IF($A82="","",AM81*$E81)</f>
        <v>#N/A</v>
      </c>
      <c r="AY81" s="195" t="e">
        <f aca="false">IF($A82="","",AN81*$E81)</f>
        <v>#N/A</v>
      </c>
      <c r="BA81" s="195" t="n">
        <f aca="false">IF($A82="","",F81*Summary!$Q$13)</f>
        <v>0</v>
      </c>
      <c r="BC81" s="179" t="e">
        <f aca="false">IF(A82="","",AM81*F81)</f>
        <v>#N/A</v>
      </c>
    </row>
    <row r="82" customFormat="false" ht="12.75" hidden="false" customHeight="false" outlineLevel="0" collapsed="false">
      <c r="A82" s="196" t="n">
        <f aca="false">IF(A81&lt;mthend,EDATE(A81,1),"")</f>
        <v>39234</v>
      </c>
      <c r="B82" s="197" t="n">
        <f aca="false">IF(A82&lt;mthend,B81,"")</f>
        <v>28400</v>
      </c>
      <c r="C82" s="215"/>
      <c r="D82" s="197" t="n">
        <f aca="false">IF(A83&lt;&gt;"",B82+C82,"")</f>
        <v>28400</v>
      </c>
      <c r="E82" s="199" t="n">
        <f aca="false">IF(A83="","",IF(AND(AT82=1,$H$3=1),D82*AO82,IF($H$3=2,D82,"N/A")))</f>
        <v>852000</v>
      </c>
      <c r="F82" s="199" t="n">
        <f aca="false">IF(A83="","",E82*AS82)</f>
        <v>5091988.9083877</v>
      </c>
      <c r="G82" s="200" t="e">
        <f aca="false">IF($A83="","",VLOOKUP($A82,Table,MATCH(G$4,Curves,0)))</f>
        <v>#N/A</v>
      </c>
      <c r="H82" s="201" t="e">
        <f aca="false">IF(A83="","",G82)</f>
        <v>#N/A</v>
      </c>
      <c r="I82" s="202"/>
      <c r="J82" s="200" t="e">
        <f aca="false">IF($A83="","",VLOOKUP($A82,Table,MATCH(J$4,Curves,0)))</f>
        <v>#N/A</v>
      </c>
      <c r="K82" s="201" t="e">
        <f aca="false">IF(A83="","",J82)</f>
        <v>#N/A</v>
      </c>
      <c r="L82" s="185" t="n">
        <v>0</v>
      </c>
      <c r="M82" s="201" t="n">
        <f aca="false">IF(A83="","",L82)</f>
        <v>0</v>
      </c>
      <c r="N82" s="203"/>
      <c r="O82" s="200" t="e">
        <f aca="false">IF(A83="","",L82+J82+G82)</f>
        <v>#N/A</v>
      </c>
      <c r="P82" s="200" t="e">
        <f aca="false">IF(A83="","",M82+K82+H82)</f>
        <v>#N/A</v>
      </c>
      <c r="Q82" s="204"/>
      <c r="R82" s="200" t="e">
        <f aca="false">IF($A83="","",VLOOKUP($A82,Table,MATCH(R$4,Curves,0)))</f>
        <v>#N/A</v>
      </c>
      <c r="S82" s="201" t="e">
        <f aca="false">IF(A83="","",R82)</f>
        <v>#N/A</v>
      </c>
      <c r="T82" s="185" t="n">
        <v>0</v>
      </c>
      <c r="U82" s="201" t="n">
        <f aca="false">IF(A83="","",T82)</f>
        <v>0</v>
      </c>
      <c r="V82" s="205" t="e">
        <f aca="false">(G82+R82)/(1-Summary!$T$13)*Summary!$T$13</f>
        <v>#N/A</v>
      </c>
      <c r="W82" s="202" t="e">
        <f aca="false">IF($A83="","",(T82+R82+G82+V82))</f>
        <v>#N/A</v>
      </c>
      <c r="X82" s="202" t="e">
        <f aca="false">IF($A83="","",(U82+S82+H82+V82))</f>
        <v>#N/A</v>
      </c>
      <c r="Y82" s="202"/>
      <c r="Z82" s="185" t="e">
        <f aca="false">IF($A83="","",VLOOKUP($A82,Table,MATCH(Z$4,Curves,0)))</f>
        <v>#N/A</v>
      </c>
      <c r="AA82" s="185" t="e">
        <f aca="false">IF($A83="","",VLOOKUP($A82,Table,MATCH(AA$4,Curves,0)))</f>
        <v>#N/A</v>
      </c>
      <c r="AB82" s="185" t="e">
        <f aca="false">SQRT((AA82^2*(A82-$D$3)+Z82^2*(DAY(EOMONTH(A82,0))/2))/AK82)</f>
        <v>#N/A</v>
      </c>
      <c r="AC82" s="185" t="e">
        <f aca="false">IF($A83="","",VLOOKUP($A82,Table,MATCH(AC$4,Curves,0)))</f>
        <v>#N/A</v>
      </c>
      <c r="AD82" s="185" t="e">
        <f aca="false">IF($A83="","",VLOOKUP($A82,Table,MATCH(AD$4,Curves,0)))</f>
        <v>#N/A</v>
      </c>
      <c r="AE82" s="185" t="e">
        <f aca="false">SQRT((AD82^2*(A82-$D$3)+AC82^2*(DAY(EOMONTH(A82,0))/2))/AK82)</f>
        <v>#N/A</v>
      </c>
      <c r="AF82" s="224" t="e">
        <f aca="false">((Summary!$N$13*(AA82*AD82)*(A82-$D$3))+(Summary!$M$13*Z82*AC82*(AJ82-EOMONTH(EDATE(A82,-1),0))))/(AK82*AB82*AE82)</f>
        <v>#N/A</v>
      </c>
      <c r="AG82" s="207" t="n">
        <f aca="false">IF($A83="","",Summary!$Q$13)</f>
        <v>0</v>
      </c>
      <c r="AH82" s="207" t="n">
        <f aca="false">IF($A83="","",IF(Summary!$R$12="Y",(VLOOKUP($A82,Summary!$AD$6:$AF$9,3)+'Escalating commodity'!I95),'Escalating commodity'!I95))</f>
        <v>0.0505007015192697</v>
      </c>
      <c r="AI82" s="207" t="n">
        <f aca="false">IF($A83="","",AH82)</f>
        <v>0.0505007015192697</v>
      </c>
      <c r="AJ82" s="208" t="n">
        <f aca="false">A82+DAY(EOMONTH(A82,0))/2-1</f>
        <v>39248</v>
      </c>
      <c r="AK82" s="209" t="n">
        <f aca="false">IF($A83="","",$A82-$E$1)</f>
        <v>-6692</v>
      </c>
      <c r="AL82" s="182" t="e">
        <f aca="false">IF($A83="","",SPRDOPT(P82,X82,AI82,0,AB82,AE82,AF82,AK82,$AJ$2,0))</f>
        <v>#NAME?</v>
      </c>
      <c r="AM82" s="210" t="e">
        <f aca="false">IF($A83="","",MAX(0,O82-W82-AI82))</f>
        <v>#N/A</v>
      </c>
      <c r="AN82" s="211" t="e">
        <f aca="false">IF($A83="","",AL82-AM82)</f>
        <v>#N/A</v>
      </c>
      <c r="AO82" s="137" t="n">
        <f aca="false">IF(A83="","",A83-A82)</f>
        <v>30</v>
      </c>
      <c r="AP82" s="212" t="n">
        <f aca="false">IF(A83="","",CHOOSE(F$3,A83+24,A82))</f>
        <v>39234</v>
      </c>
      <c r="AQ82" s="209" t="n">
        <f aca="false">IF(A83="","",AP82-$E$1)</f>
        <v>-6692</v>
      </c>
      <c r="AR82" s="185" t="n">
        <f aca="false">'ANR OK vs ML7'!AR82</f>
        <v>0.1</v>
      </c>
      <c r="AS82" s="213" t="n">
        <f aca="false">IF(A83="","",1/(1+CHOOSE(F$3,(AR83+($I$3/10000))/2,(AR82+($I$3/10000))/2))^(2*AQ82/365.25))</f>
        <v>5.97651280327195</v>
      </c>
      <c r="AT82" s="137" t="n">
        <f aca="false">IF(A83="","",IF(AND(mthbeg&lt;=A82,mthend&gt;=A82),1,0))</f>
        <v>1</v>
      </c>
      <c r="AU82" s="137" t="n">
        <f aca="false">IF(A83="","",AO82*AT82)</f>
        <v>30</v>
      </c>
      <c r="AW82" s="195" t="e">
        <f aca="false">IF($A83="","",AL82*$E82)</f>
        <v>#NAME?</v>
      </c>
      <c r="AX82" s="195" t="e">
        <f aca="false">IF($A83="","",AM82*$E82)</f>
        <v>#N/A</v>
      </c>
      <c r="AY82" s="195" t="e">
        <f aca="false">IF($A83="","",AN82*$E82)</f>
        <v>#N/A</v>
      </c>
      <c r="BA82" s="195" t="n">
        <f aca="false">IF($A83="","",F82*Summary!$Q$13)</f>
        <v>0</v>
      </c>
      <c r="BC82" s="179" t="e">
        <f aca="false">IF(A83="","",AM82*F82)</f>
        <v>#N/A</v>
      </c>
    </row>
    <row r="83" customFormat="false" ht="12.75" hidden="false" customHeight="false" outlineLevel="0" collapsed="false">
      <c r="A83" s="196" t="n">
        <f aca="false">IF(A82&lt;mthend,EDATE(A82,1),"")</f>
        <v>39264</v>
      </c>
      <c r="B83" s="197" t="n">
        <f aca="false">IF(A83&lt;mthend,B82,"")</f>
        <v>28400</v>
      </c>
      <c r="C83" s="215"/>
      <c r="D83" s="197" t="n">
        <f aca="false">IF(A84&lt;&gt;"",B83+C83,"")</f>
        <v>28400</v>
      </c>
      <c r="E83" s="199" t="n">
        <f aca="false">IF(A84="","",IF(AND(AT83=1,$H$3=1),D83*AO83,IF($H$3=2,D83,"N/A")))</f>
        <v>880400</v>
      </c>
      <c r="F83" s="199" t="n">
        <f aca="false">IF(A84="","",E83*AS83)</f>
        <v>5219718.71230209</v>
      </c>
      <c r="G83" s="200" t="e">
        <f aca="false">IF($A84="","",VLOOKUP($A83,Table,MATCH(G$4,Curves,0)))</f>
        <v>#N/A</v>
      </c>
      <c r="H83" s="201" t="e">
        <f aca="false">IF(A84="","",G83)</f>
        <v>#N/A</v>
      </c>
      <c r="I83" s="202"/>
      <c r="J83" s="200" t="e">
        <f aca="false">IF($A84="","",VLOOKUP($A83,Table,MATCH(J$4,Curves,0)))</f>
        <v>#N/A</v>
      </c>
      <c r="K83" s="201" t="e">
        <f aca="false">IF(A84="","",J83)</f>
        <v>#N/A</v>
      </c>
      <c r="L83" s="185" t="n">
        <v>0</v>
      </c>
      <c r="M83" s="201" t="n">
        <f aca="false">IF(A84="","",L83)</f>
        <v>0</v>
      </c>
      <c r="N83" s="203"/>
      <c r="O83" s="200" t="e">
        <f aca="false">IF(A84="","",L83+J83+G83)</f>
        <v>#N/A</v>
      </c>
      <c r="P83" s="200" t="e">
        <f aca="false">IF(A84="","",M83+K83+H83)</f>
        <v>#N/A</v>
      </c>
      <c r="Q83" s="204"/>
      <c r="R83" s="200" t="e">
        <f aca="false">IF($A84="","",VLOOKUP($A83,Table,MATCH(R$4,Curves,0)))</f>
        <v>#N/A</v>
      </c>
      <c r="S83" s="201" t="e">
        <f aca="false">IF(A84="","",R83)</f>
        <v>#N/A</v>
      </c>
      <c r="T83" s="185" t="n">
        <v>0</v>
      </c>
      <c r="U83" s="201" t="n">
        <f aca="false">IF(A84="","",T83)</f>
        <v>0</v>
      </c>
      <c r="V83" s="205" t="e">
        <f aca="false">(G83+R83)/(1-Summary!$T$13)*Summary!$T$13</f>
        <v>#N/A</v>
      </c>
      <c r="W83" s="202" t="e">
        <f aca="false">IF($A84="","",(T83+R83+G83+V83))</f>
        <v>#N/A</v>
      </c>
      <c r="X83" s="202" t="e">
        <f aca="false">IF($A84="","",(U83+S83+H83+V83))</f>
        <v>#N/A</v>
      </c>
      <c r="Y83" s="202"/>
      <c r="Z83" s="185" t="e">
        <f aca="false">IF($A84="","",VLOOKUP($A83,Table,MATCH(Z$4,Curves,0)))</f>
        <v>#N/A</v>
      </c>
      <c r="AA83" s="185" t="e">
        <f aca="false">IF($A84="","",VLOOKUP($A83,Table,MATCH(AA$4,Curves,0)))</f>
        <v>#N/A</v>
      </c>
      <c r="AB83" s="185" t="e">
        <f aca="false">SQRT((AA83^2*(A83-$D$3)+Z83^2*(DAY(EOMONTH(A83,0))/2))/AK83)</f>
        <v>#N/A</v>
      </c>
      <c r="AC83" s="185" t="e">
        <f aca="false">IF($A84="","",VLOOKUP($A83,Table,MATCH(AC$4,Curves,0)))</f>
        <v>#N/A</v>
      </c>
      <c r="AD83" s="185" t="e">
        <f aca="false">IF($A84="","",VLOOKUP($A83,Table,MATCH(AD$4,Curves,0)))</f>
        <v>#N/A</v>
      </c>
      <c r="AE83" s="185" t="e">
        <f aca="false">SQRT((AD83^2*(A83-$D$3)+AC83^2*(DAY(EOMONTH(A83,0))/2))/AK83)</f>
        <v>#N/A</v>
      </c>
      <c r="AF83" s="224" t="e">
        <f aca="false">((Summary!$N$13*(AA83*AD83)*(A83-$D$3))+(Summary!$M$13*Z83*AC83*(AJ83-EOMONTH(EDATE(A83,-1),0))))/(AK83*AB83*AE83)</f>
        <v>#N/A</v>
      </c>
      <c r="AG83" s="207" t="n">
        <f aca="false">IF($A84="","",Summary!$Q$13)</f>
        <v>0</v>
      </c>
      <c r="AH83" s="207" t="n">
        <f aca="false">IF($A84="","",IF(Summary!$R$12="Y",(VLOOKUP($A83,Summary!$AD$6:$AF$9,3)+'Escalating commodity'!I96),'Escalating commodity'!I96))</f>
        <v>0.0505007015192697</v>
      </c>
      <c r="AI83" s="207" t="n">
        <f aca="false">IF($A84="","",AH83)</f>
        <v>0.0505007015192697</v>
      </c>
      <c r="AJ83" s="208" t="n">
        <f aca="false">A83+DAY(EOMONTH(A83,0))/2-1</f>
        <v>39278.5</v>
      </c>
      <c r="AK83" s="209" t="n">
        <f aca="false">IF($A84="","",$A83-$E$1)</f>
        <v>-6662</v>
      </c>
      <c r="AL83" s="182" t="e">
        <f aca="false">IF($A84="","",SPRDOPT(P83,X83,AI83,0,AB83,AE83,AF83,AK83,$AJ$2,0))</f>
        <v>#NAME?</v>
      </c>
      <c r="AM83" s="210" t="e">
        <f aca="false">IF($A84="","",MAX(0,O83-W83-AI83))</f>
        <v>#N/A</v>
      </c>
      <c r="AN83" s="211" t="e">
        <f aca="false">IF($A84="","",AL83-AM83)</f>
        <v>#N/A</v>
      </c>
      <c r="AO83" s="137" t="n">
        <f aca="false">IF(A84="","",A84-A83)</f>
        <v>31</v>
      </c>
      <c r="AP83" s="212" t="n">
        <f aca="false">IF(A84="","",CHOOSE(F$3,A84+24,A83))</f>
        <v>39264</v>
      </c>
      <c r="AQ83" s="209" t="n">
        <f aca="false">IF(A84="","",AP83-$E$1)</f>
        <v>-6662</v>
      </c>
      <c r="AR83" s="185" t="n">
        <f aca="false">'ANR OK vs ML7'!AR83</f>
        <v>0.1</v>
      </c>
      <c r="AS83" s="213" t="n">
        <f aca="false">IF(A84="","",1/(1+CHOOSE(F$3,(AR84+($I$3/10000))/2,(AR83+($I$3/10000))/2))^(2*AQ83/365.25))</f>
        <v>5.92880362596785</v>
      </c>
      <c r="AT83" s="137" t="n">
        <f aca="false">IF(A84="","",IF(AND(mthbeg&lt;=A83,mthend&gt;=A83),1,0))</f>
        <v>1</v>
      </c>
      <c r="AU83" s="137" t="n">
        <f aca="false">IF(A84="","",AO83*AT83)</f>
        <v>31</v>
      </c>
      <c r="AW83" s="195" t="e">
        <f aca="false">IF($A84="","",AL83*$E83)</f>
        <v>#NAME?</v>
      </c>
      <c r="AX83" s="195" t="e">
        <f aca="false">IF($A84="","",AM83*$E83)</f>
        <v>#N/A</v>
      </c>
      <c r="AY83" s="195" t="e">
        <f aca="false">IF($A84="","",AN83*$E83)</f>
        <v>#N/A</v>
      </c>
      <c r="BA83" s="195" t="n">
        <f aca="false">IF($A84="","",F83*Summary!$Q$13)</f>
        <v>0</v>
      </c>
      <c r="BC83" s="179" t="e">
        <f aca="false">IF(A84="","",AM83*F83)</f>
        <v>#N/A</v>
      </c>
    </row>
    <row r="84" customFormat="false" ht="12.75" hidden="false" customHeight="false" outlineLevel="0" collapsed="false">
      <c r="A84" s="196" t="n">
        <f aca="false">IF(A83&lt;mthend,EDATE(A83,1),"")</f>
        <v>39295</v>
      </c>
      <c r="B84" s="197" t="n">
        <f aca="false">IF(A84&lt;mthend,B83,"")</f>
        <v>28400</v>
      </c>
      <c r="C84" s="215"/>
      <c r="D84" s="197" t="n">
        <f aca="false">IF(A85&lt;&gt;"",B84+C84,"")</f>
        <v>28400</v>
      </c>
      <c r="E84" s="199" t="n">
        <f aca="false">IF(A85="","",IF(AND(AT84=1,$H$3=1),D84*AO84,IF($H$3=2,D84,"N/A")))</f>
        <v>880400</v>
      </c>
      <c r="F84" s="199" t="n">
        <f aca="false">IF(A85="","",E84*AS84)</f>
        <v>5176667.66926637</v>
      </c>
      <c r="G84" s="200" t="e">
        <f aca="false">IF($A85="","",VLOOKUP($A84,Table,MATCH(G$4,Curves,0)))</f>
        <v>#N/A</v>
      </c>
      <c r="H84" s="201" t="e">
        <f aca="false">IF(A85="","",G84)</f>
        <v>#N/A</v>
      </c>
      <c r="I84" s="202"/>
      <c r="J84" s="200" t="e">
        <f aca="false">IF($A85="","",VLOOKUP($A84,Table,MATCH(J$4,Curves,0)))</f>
        <v>#N/A</v>
      </c>
      <c r="K84" s="201" t="e">
        <f aca="false">IF(A85="","",J84)</f>
        <v>#N/A</v>
      </c>
      <c r="L84" s="185" t="n">
        <v>0</v>
      </c>
      <c r="M84" s="201" t="n">
        <f aca="false">IF(A85="","",L84)</f>
        <v>0</v>
      </c>
      <c r="N84" s="203"/>
      <c r="O84" s="200" t="e">
        <f aca="false">IF(A85="","",L84+J84+G84)</f>
        <v>#N/A</v>
      </c>
      <c r="P84" s="200" t="e">
        <f aca="false">IF(A85="","",M84+K84+H84)</f>
        <v>#N/A</v>
      </c>
      <c r="Q84" s="204"/>
      <c r="R84" s="200" t="e">
        <f aca="false">IF($A85="","",VLOOKUP($A84,Table,MATCH(R$4,Curves,0)))</f>
        <v>#N/A</v>
      </c>
      <c r="S84" s="201" t="e">
        <f aca="false">IF(A85="","",R84)</f>
        <v>#N/A</v>
      </c>
      <c r="T84" s="185" t="n">
        <v>0</v>
      </c>
      <c r="U84" s="201" t="n">
        <f aca="false">IF(A85="","",T84)</f>
        <v>0</v>
      </c>
      <c r="V84" s="205" t="e">
        <f aca="false">(G84+R84)/(1-Summary!$T$13)*Summary!$T$13</f>
        <v>#N/A</v>
      </c>
      <c r="W84" s="202" t="e">
        <f aca="false">IF($A85="","",(T84+R84+G84+V84))</f>
        <v>#N/A</v>
      </c>
      <c r="X84" s="202" t="e">
        <f aca="false">IF($A85="","",(U84+S84+H84+V84))</f>
        <v>#N/A</v>
      </c>
      <c r="Y84" s="202"/>
      <c r="Z84" s="185" t="e">
        <f aca="false">IF($A85="","",VLOOKUP($A84,Table,MATCH(Z$4,Curves,0)))</f>
        <v>#N/A</v>
      </c>
      <c r="AA84" s="185" t="e">
        <f aca="false">IF($A85="","",VLOOKUP($A84,Table,MATCH(AA$4,Curves,0)))</f>
        <v>#N/A</v>
      </c>
      <c r="AB84" s="185" t="e">
        <f aca="false">SQRT((AA84^2*(A84-$D$3)+Z84^2*(DAY(EOMONTH(A84,0))/2))/AK84)</f>
        <v>#N/A</v>
      </c>
      <c r="AC84" s="185" t="e">
        <f aca="false">IF($A85="","",VLOOKUP($A84,Table,MATCH(AC$4,Curves,0)))</f>
        <v>#N/A</v>
      </c>
      <c r="AD84" s="185" t="e">
        <f aca="false">IF($A85="","",VLOOKUP($A84,Table,MATCH(AD$4,Curves,0)))</f>
        <v>#N/A</v>
      </c>
      <c r="AE84" s="185" t="e">
        <f aca="false">SQRT((AD84^2*(A84-$D$3)+AC84^2*(DAY(EOMONTH(A84,0))/2))/AK84)</f>
        <v>#N/A</v>
      </c>
      <c r="AF84" s="224" t="e">
        <f aca="false">((Summary!$N$13*(AA84*AD84)*(A84-$D$3))+(Summary!$M$13*Z84*AC84*(AJ84-EOMONTH(EDATE(A84,-1),0))))/(AK84*AB84*AE84)</f>
        <v>#N/A</v>
      </c>
      <c r="AG84" s="207" t="n">
        <f aca="false">IF($A85="","",Summary!$Q$13)</f>
        <v>0</v>
      </c>
      <c r="AH84" s="207" t="n">
        <f aca="false">IF($A85="","",IF(Summary!$R$12="Y",(VLOOKUP($A84,Summary!$AD$6:$AF$9,3)+'Escalating commodity'!I97),'Escalating commodity'!I97))</f>
        <v>0.0505007015192697</v>
      </c>
      <c r="AI84" s="207" t="n">
        <f aca="false">IF($A85="","",AH84)</f>
        <v>0.0505007015192697</v>
      </c>
      <c r="AJ84" s="208" t="n">
        <f aca="false">A84+DAY(EOMONTH(A84,0))/2-1</f>
        <v>39309.5</v>
      </c>
      <c r="AK84" s="209" t="n">
        <f aca="false">IF($A85="","",$A84-$E$1)</f>
        <v>-6631</v>
      </c>
      <c r="AL84" s="182" t="e">
        <f aca="false">IF($A85="","",SPRDOPT(P84,X84,AI84,0,AB84,AE84,AF84,AK84,$AJ$2,0))</f>
        <v>#NAME?</v>
      </c>
      <c r="AM84" s="210" t="e">
        <f aca="false">IF($A85="","",MAX(0,O84-W84-AI84))</f>
        <v>#N/A</v>
      </c>
      <c r="AN84" s="211" t="e">
        <f aca="false">IF($A85="","",AL84-AM84)</f>
        <v>#N/A</v>
      </c>
      <c r="AO84" s="137" t="n">
        <f aca="false">IF(A85="","",A85-A84)</f>
        <v>31</v>
      </c>
      <c r="AP84" s="212" t="n">
        <f aca="false">IF(A85="","",CHOOSE(F$3,A85+24,A84))</f>
        <v>39295</v>
      </c>
      <c r="AQ84" s="209" t="n">
        <f aca="false">IF(A85="","",AP84-$E$1)</f>
        <v>-6631</v>
      </c>
      <c r="AR84" s="185" t="n">
        <f aca="false">'ANR OK vs ML7'!AR84</f>
        <v>0.1</v>
      </c>
      <c r="AS84" s="213" t="n">
        <f aca="false">IF(A85="","",1/(1+CHOOSE(F$3,(AR85+($I$3/10000))/2,(AR84+($I$3/10000))/2))^(2*AQ84/365.25))</f>
        <v>5.87990421316034</v>
      </c>
      <c r="AT84" s="137" t="n">
        <f aca="false">IF(A85="","",IF(AND(mthbeg&lt;=A84,mthend&gt;=A84),1,0))</f>
        <v>1</v>
      </c>
      <c r="AU84" s="137" t="n">
        <f aca="false">IF(A85="","",AO84*AT84)</f>
        <v>31</v>
      </c>
      <c r="AW84" s="195" t="e">
        <f aca="false">IF($A85="","",AL84*$E84)</f>
        <v>#NAME?</v>
      </c>
      <c r="AX84" s="195" t="e">
        <f aca="false">IF($A85="","",AM84*$E84)</f>
        <v>#N/A</v>
      </c>
      <c r="AY84" s="195" t="e">
        <f aca="false">IF($A85="","",AN84*$E84)</f>
        <v>#N/A</v>
      </c>
      <c r="BA84" s="195" t="n">
        <f aca="false">IF($A85="","",F84*Summary!$Q$13)</f>
        <v>0</v>
      </c>
      <c r="BC84" s="179" t="e">
        <f aca="false">IF(A85="","",AM84*F84)</f>
        <v>#N/A</v>
      </c>
    </row>
    <row r="85" customFormat="false" ht="12.75" hidden="false" customHeight="false" outlineLevel="0" collapsed="false">
      <c r="A85" s="196" t="n">
        <f aca="false">IF(A84&lt;mthend,EDATE(A84,1),"")</f>
        <v>39326</v>
      </c>
      <c r="B85" s="197" t="n">
        <f aca="false">IF(A85&lt;mthend,B84,"")</f>
        <v>28400</v>
      </c>
      <c r="C85" s="215"/>
      <c r="D85" s="197" t="n">
        <f aca="false">IF(A86&lt;&gt;"",B85+C85,"")</f>
        <v>28400</v>
      </c>
      <c r="E85" s="199" t="n">
        <f aca="false">IF(A86="","",IF(AND(AT85=1,$H$3=1),D85*AO85,IF($H$3=2,D85,"N/A")))</f>
        <v>852000</v>
      </c>
      <c r="F85" s="199" t="n">
        <f aca="false">IF(A86="","",E85*AS85)</f>
        <v>4968359.7109953</v>
      </c>
      <c r="G85" s="200" t="e">
        <f aca="false">IF($A86="","",VLOOKUP($A85,Table,MATCH(G$4,Curves,0)))</f>
        <v>#N/A</v>
      </c>
      <c r="H85" s="201" t="e">
        <f aca="false">IF(A86="","",G85)</f>
        <v>#N/A</v>
      </c>
      <c r="I85" s="202"/>
      <c r="J85" s="200" t="e">
        <f aca="false">IF($A86="","",VLOOKUP($A85,Table,MATCH(J$4,Curves,0)))</f>
        <v>#N/A</v>
      </c>
      <c r="K85" s="201" t="e">
        <f aca="false">IF(A86="","",J85)</f>
        <v>#N/A</v>
      </c>
      <c r="L85" s="185" t="n">
        <v>0</v>
      </c>
      <c r="M85" s="201" t="n">
        <f aca="false">IF(A86="","",L85)</f>
        <v>0</v>
      </c>
      <c r="N85" s="203"/>
      <c r="O85" s="200" t="e">
        <f aca="false">IF(A86="","",L85+J85+G85)</f>
        <v>#N/A</v>
      </c>
      <c r="P85" s="200" t="e">
        <f aca="false">IF(A86="","",M85+K85+H85)</f>
        <v>#N/A</v>
      </c>
      <c r="Q85" s="204"/>
      <c r="R85" s="200" t="e">
        <f aca="false">IF($A86="","",VLOOKUP($A85,Table,MATCH(R$4,Curves,0)))</f>
        <v>#N/A</v>
      </c>
      <c r="S85" s="201" t="e">
        <f aca="false">IF(A86="","",R85)</f>
        <v>#N/A</v>
      </c>
      <c r="T85" s="185" t="n">
        <v>0</v>
      </c>
      <c r="U85" s="201" t="n">
        <f aca="false">IF(A86="","",T85)</f>
        <v>0</v>
      </c>
      <c r="V85" s="205" t="e">
        <f aca="false">(G85+R85)/(1-Summary!$T$13)*Summary!$T$13</f>
        <v>#N/A</v>
      </c>
      <c r="W85" s="202" t="e">
        <f aca="false">IF($A86="","",(T85+R85+G85+V85))</f>
        <v>#N/A</v>
      </c>
      <c r="X85" s="202" t="e">
        <f aca="false">IF($A86="","",(U85+S85+H85+V85))</f>
        <v>#N/A</v>
      </c>
      <c r="Y85" s="202"/>
      <c r="Z85" s="185" t="e">
        <f aca="false">IF($A86="","",VLOOKUP($A85,Table,MATCH(Z$4,Curves,0)))</f>
        <v>#N/A</v>
      </c>
      <c r="AA85" s="185" t="e">
        <f aca="false">IF($A86="","",VLOOKUP($A85,Table,MATCH(AA$4,Curves,0)))</f>
        <v>#N/A</v>
      </c>
      <c r="AB85" s="185" t="e">
        <f aca="false">SQRT((AA85^2*(A85-$D$3)+Z85^2*(DAY(EOMONTH(A85,0))/2))/AK85)</f>
        <v>#N/A</v>
      </c>
      <c r="AC85" s="185" t="e">
        <f aca="false">IF($A86="","",VLOOKUP($A85,Table,MATCH(AC$4,Curves,0)))</f>
        <v>#N/A</v>
      </c>
      <c r="AD85" s="185" t="e">
        <f aca="false">IF($A86="","",VLOOKUP($A85,Table,MATCH(AD$4,Curves,0)))</f>
        <v>#N/A</v>
      </c>
      <c r="AE85" s="185" t="e">
        <f aca="false">SQRT((AD85^2*(A85-$D$3)+AC85^2*(DAY(EOMONTH(A85,0))/2))/AK85)</f>
        <v>#N/A</v>
      </c>
      <c r="AF85" s="224" t="e">
        <f aca="false">((Summary!$N$13*(AA85*AD85)*(A85-$D$3))+(Summary!$M$13*Z85*AC85*(AJ85-EOMONTH(EDATE(A85,-1),0))))/(AK85*AB85*AE85)</f>
        <v>#N/A</v>
      </c>
      <c r="AG85" s="207" t="n">
        <f aca="false">IF($A86="","",Summary!$Q$13)</f>
        <v>0</v>
      </c>
      <c r="AH85" s="207" t="n">
        <f aca="false">IF($A86="","",IF(Summary!$R$12="Y",(VLOOKUP($A85,Summary!$AD$6:$AF$9,3)+'Escalating commodity'!I98),'Escalating commodity'!I98))</f>
        <v>0.0505007015192697</v>
      </c>
      <c r="AI85" s="207" t="n">
        <f aca="false">IF($A86="","",AH85)</f>
        <v>0.0505007015192697</v>
      </c>
      <c r="AJ85" s="208" t="n">
        <f aca="false">A85+DAY(EOMONTH(A85,0))/2-1</f>
        <v>39340</v>
      </c>
      <c r="AK85" s="209" t="n">
        <f aca="false">IF($A86="","",$A85-$E$1)</f>
        <v>-6600</v>
      </c>
      <c r="AL85" s="182" t="e">
        <f aca="false">IF($A86="","",SPRDOPT(P85,X85,AI85,0,AB85,AE85,AF85,AK85,$AJ$2,0))</f>
        <v>#NAME?</v>
      </c>
      <c r="AM85" s="210" t="e">
        <f aca="false">IF($A86="","",MAX(0,O85-W85-AI85))</f>
        <v>#N/A</v>
      </c>
      <c r="AN85" s="211" t="e">
        <f aca="false">IF($A86="","",AL85-AM85)</f>
        <v>#N/A</v>
      </c>
      <c r="AO85" s="137" t="n">
        <f aca="false">IF(A86="","",A86-A85)</f>
        <v>30</v>
      </c>
      <c r="AP85" s="212" t="n">
        <f aca="false">IF(A86="","",CHOOSE(F$3,A86+24,A85))</f>
        <v>39326</v>
      </c>
      <c r="AQ85" s="209" t="n">
        <f aca="false">IF(A86="","",AP85-$E$1)</f>
        <v>-6600</v>
      </c>
      <c r="AR85" s="185" t="n">
        <f aca="false">'ANR OK vs ML7'!AR85</f>
        <v>0.1</v>
      </c>
      <c r="AS85" s="213" t="n">
        <f aca="false">IF(A86="","",1/(1+CHOOSE(F$3,(AR86+($I$3/10000))/2,(AR85+($I$3/10000))/2))^(2*AQ85/365.25))</f>
        <v>5.83140811149684</v>
      </c>
      <c r="AT85" s="137" t="n">
        <f aca="false">IF(A86="","",IF(AND(mthbeg&lt;=A85,mthend&gt;=A85),1,0))</f>
        <v>1</v>
      </c>
      <c r="AU85" s="137" t="n">
        <f aca="false">IF(A86="","",AO85*AT85)</f>
        <v>30</v>
      </c>
      <c r="AW85" s="195" t="e">
        <f aca="false">IF($A86="","",AL85*$E85)</f>
        <v>#NAME?</v>
      </c>
      <c r="AX85" s="195" t="e">
        <f aca="false">IF($A86="","",AM85*$E85)</f>
        <v>#N/A</v>
      </c>
      <c r="AY85" s="195" t="e">
        <f aca="false">IF($A86="","",AN85*$E85)</f>
        <v>#N/A</v>
      </c>
      <c r="BA85" s="195" t="n">
        <f aca="false">IF($A86="","",F85*Summary!$Q$13)</f>
        <v>0</v>
      </c>
      <c r="BC85" s="179" t="e">
        <f aca="false">IF(A86="","",AM85*F85)</f>
        <v>#N/A</v>
      </c>
    </row>
    <row r="86" customFormat="false" ht="12.75" hidden="false" customHeight="false" outlineLevel="0" collapsed="false">
      <c r="A86" s="196" t="n">
        <f aca="false">IF(A85&lt;mthend,EDATE(A85,1),"")</f>
        <v>39356</v>
      </c>
      <c r="B86" s="197" t="n">
        <f aca="false">IF(A86&lt;mthend,B85,"")</f>
        <v>28400</v>
      </c>
      <c r="C86" s="215"/>
      <c r="D86" s="197" t="n">
        <f aca="false">IF(A87&lt;&gt;"",B86+C86,"")</f>
        <v>28400</v>
      </c>
      <c r="E86" s="199" t="n">
        <f aca="false">IF(A87="","",IF(AND(AT86=1,$H$3=1),D86*AO86,IF($H$3=2,D86,"N/A")))</f>
        <v>880400</v>
      </c>
      <c r="F86" s="199" t="n">
        <f aca="false">IF(A87="","",E86*AS86)</f>
        <v>5092988.34296586</v>
      </c>
      <c r="G86" s="200" t="e">
        <f aca="false">IF($A87="","",VLOOKUP($A86,Table,MATCH(G$4,Curves,0)))</f>
        <v>#N/A</v>
      </c>
      <c r="H86" s="201" t="e">
        <f aca="false">IF(A87="","",G86)</f>
        <v>#N/A</v>
      </c>
      <c r="I86" s="202"/>
      <c r="J86" s="200" t="e">
        <f aca="false">IF($A87="","",VLOOKUP($A86,Table,MATCH(J$4,Curves,0)))</f>
        <v>#N/A</v>
      </c>
      <c r="K86" s="201" t="e">
        <f aca="false">IF(A87="","",J86)</f>
        <v>#N/A</v>
      </c>
      <c r="L86" s="185" t="n">
        <v>0</v>
      </c>
      <c r="M86" s="201" t="n">
        <f aca="false">IF(A87="","",L86)</f>
        <v>0</v>
      </c>
      <c r="N86" s="203"/>
      <c r="O86" s="200" t="e">
        <f aca="false">IF(A87="","",L86+J86+G86)</f>
        <v>#N/A</v>
      </c>
      <c r="P86" s="200" t="e">
        <f aca="false">IF(A87="","",M86+K86+H86)</f>
        <v>#N/A</v>
      </c>
      <c r="Q86" s="204"/>
      <c r="R86" s="200" t="e">
        <f aca="false">IF($A87="","",VLOOKUP($A86,Table,MATCH(R$4,Curves,0)))</f>
        <v>#N/A</v>
      </c>
      <c r="S86" s="201" t="e">
        <f aca="false">IF(A87="","",R86)</f>
        <v>#N/A</v>
      </c>
      <c r="T86" s="185" t="n">
        <v>0</v>
      </c>
      <c r="U86" s="201" t="n">
        <f aca="false">IF(A87="","",T86)</f>
        <v>0</v>
      </c>
      <c r="V86" s="205" t="e">
        <f aca="false">(G86+R86)/(1-Summary!$T$13)*Summary!$T$13</f>
        <v>#N/A</v>
      </c>
      <c r="W86" s="202" t="e">
        <f aca="false">IF($A87="","",(T86+R86+G86+V86))</f>
        <v>#N/A</v>
      </c>
      <c r="X86" s="202" t="e">
        <f aca="false">IF($A87="","",(U86+S86+H86+V86))</f>
        <v>#N/A</v>
      </c>
      <c r="Y86" s="202"/>
      <c r="Z86" s="185" t="e">
        <f aca="false">IF($A87="","",VLOOKUP($A86,Table,MATCH(Z$4,Curves,0)))</f>
        <v>#N/A</v>
      </c>
      <c r="AA86" s="185" t="e">
        <f aca="false">IF($A87="","",VLOOKUP($A86,Table,MATCH(AA$4,Curves,0)))</f>
        <v>#N/A</v>
      </c>
      <c r="AB86" s="185" t="e">
        <f aca="false">SQRT((AA86^2*(A86-$D$3)+Z86^2*(DAY(EOMONTH(A86,0))/2))/AK86)</f>
        <v>#N/A</v>
      </c>
      <c r="AC86" s="185" t="e">
        <f aca="false">IF($A87="","",VLOOKUP($A86,Table,MATCH(AC$4,Curves,0)))</f>
        <v>#N/A</v>
      </c>
      <c r="AD86" s="185" t="e">
        <f aca="false">IF($A87="","",VLOOKUP($A86,Table,MATCH(AD$4,Curves,0)))</f>
        <v>#N/A</v>
      </c>
      <c r="AE86" s="185" t="e">
        <f aca="false">SQRT((AD86^2*(A86-$D$3)+AC86^2*(DAY(EOMONTH(A86,0))/2))/AK86)</f>
        <v>#N/A</v>
      </c>
      <c r="AF86" s="224" t="e">
        <f aca="false">((Summary!$N$13*(AA86*AD86)*(A86-$D$3))+(Summary!$M$13*Z86*AC86*(AJ86-EOMONTH(EDATE(A86,-1),0))))/(AK86*AB86*AE86)</f>
        <v>#N/A</v>
      </c>
      <c r="AG86" s="207" t="n">
        <f aca="false">IF($A87="","",Summary!$Q$13)</f>
        <v>0</v>
      </c>
      <c r="AH86" s="207" t="n">
        <f aca="false">IF($A87="","",IF(Summary!$R$12="Y",(VLOOKUP($A86,Summary!$AD$6:$AF$9,3)+'Escalating commodity'!I99),'Escalating commodity'!I99))</f>
        <v>0.0505007015192697</v>
      </c>
      <c r="AI86" s="207" t="n">
        <f aca="false">IF($A87="","",AH86)</f>
        <v>0.0505007015192697</v>
      </c>
      <c r="AJ86" s="208" t="n">
        <f aca="false">A86+DAY(EOMONTH(A86,0))/2-1</f>
        <v>39370.5</v>
      </c>
      <c r="AK86" s="209" t="n">
        <f aca="false">IF($A87="","",$A86-$E$1)</f>
        <v>-6570</v>
      </c>
      <c r="AL86" s="182" t="e">
        <f aca="false">IF($A87="","",SPRDOPT(P86,X86,AI86,0,AB86,AE86,AF86,AK86,$AJ$2,0))</f>
        <v>#NAME?</v>
      </c>
      <c r="AM86" s="210" t="e">
        <f aca="false">IF($A87="","",MAX(0,O86-W86-AI86))</f>
        <v>#N/A</v>
      </c>
      <c r="AN86" s="211" t="e">
        <f aca="false">IF($A87="","",AL86-AM86)</f>
        <v>#N/A</v>
      </c>
      <c r="AO86" s="137" t="n">
        <f aca="false">IF(A87="","",A87-A86)</f>
        <v>31</v>
      </c>
      <c r="AP86" s="212" t="n">
        <f aca="false">IF(A87="","",CHOOSE(F$3,A87+24,A86))</f>
        <v>39356</v>
      </c>
      <c r="AQ86" s="209" t="n">
        <f aca="false">IF(A87="","",AP86-$E$1)</f>
        <v>-6570</v>
      </c>
      <c r="AR86" s="185" t="n">
        <f aca="false">'ANR OK vs ML7'!AR86</f>
        <v>0.1</v>
      </c>
      <c r="AS86" s="213" t="n">
        <f aca="false">IF(A87="","",1/(1+CHOOSE(F$3,(AR87+($I$3/10000))/2,(AR86+($I$3/10000))/2))^(2*AQ86/365.25))</f>
        <v>5.78485727279176</v>
      </c>
      <c r="AT86" s="137" t="n">
        <f aca="false">IF(A87="","",IF(AND(mthbeg&lt;=A86,mthend&gt;=A86),1,0))</f>
        <v>1</v>
      </c>
      <c r="AU86" s="137" t="n">
        <f aca="false">IF(A87="","",AO86*AT86)</f>
        <v>31</v>
      </c>
      <c r="AW86" s="195" t="e">
        <f aca="false">IF($A87="","",AL86*$E86)</f>
        <v>#NAME?</v>
      </c>
      <c r="AX86" s="195" t="e">
        <f aca="false">IF($A87="","",AM86*$E86)</f>
        <v>#N/A</v>
      </c>
      <c r="AY86" s="195" t="e">
        <f aca="false">IF($A87="","",AN86*$E86)</f>
        <v>#N/A</v>
      </c>
      <c r="BA86" s="195" t="n">
        <f aca="false">IF($A87="","",F86*Summary!$Q$13)</f>
        <v>0</v>
      </c>
      <c r="BC86" s="179" t="e">
        <f aca="false">IF(A87="","",AM86*F86)</f>
        <v>#N/A</v>
      </c>
    </row>
    <row r="87" customFormat="false" ht="12.75" hidden="false" customHeight="false" outlineLevel="0" collapsed="false">
      <c r="A87" s="196" t="n">
        <f aca="false">IF(A86&lt;mthend,EDATE(A86,1),"")</f>
        <v>39387</v>
      </c>
      <c r="B87" s="197" t="n">
        <f aca="false">IF(A87&lt;mthend,B86,"")</f>
        <v>28400</v>
      </c>
      <c r="C87" s="215"/>
      <c r="D87" s="197" t="n">
        <f aca="false">IF(A88&lt;&gt;"",B87+C87,"")</f>
        <v>28400</v>
      </c>
      <c r="E87" s="199" t="n">
        <f aca="false">IF(A88="","",IF(AND(AT87=1,$H$3=1),D87*AO87,IF($H$3=2,D87,"N/A")))</f>
        <v>852000</v>
      </c>
      <c r="F87" s="199" t="n">
        <f aca="false">IF(A88="","",E87*AS87)</f>
        <v>4888047.62221608</v>
      </c>
      <c r="G87" s="200" t="e">
        <f aca="false">IF($A88="","",VLOOKUP($A87,Table,MATCH(G$4,Curves,0)))</f>
        <v>#N/A</v>
      </c>
      <c r="H87" s="201" t="e">
        <f aca="false">IF(A88="","",G87)</f>
        <v>#N/A</v>
      </c>
      <c r="I87" s="202"/>
      <c r="J87" s="200" t="e">
        <f aca="false">IF($A88="","",VLOOKUP($A87,Table,MATCH(J$4,Curves,0)))</f>
        <v>#N/A</v>
      </c>
      <c r="K87" s="201" t="e">
        <f aca="false">IF(A88="","",J87)</f>
        <v>#N/A</v>
      </c>
      <c r="L87" s="185" t="n">
        <v>0</v>
      </c>
      <c r="M87" s="201" t="n">
        <f aca="false">IF(A88="","",L87)</f>
        <v>0</v>
      </c>
      <c r="N87" s="203"/>
      <c r="O87" s="200" t="e">
        <f aca="false">IF(A88="","",L87+J87+G87)</f>
        <v>#N/A</v>
      </c>
      <c r="P87" s="200" t="e">
        <f aca="false">IF(A88="","",M87+K87+H87)</f>
        <v>#N/A</v>
      </c>
      <c r="Q87" s="204"/>
      <c r="R87" s="200" t="e">
        <f aca="false">IF($A88="","",VLOOKUP($A87,Table,MATCH(R$4,Curves,0)))</f>
        <v>#N/A</v>
      </c>
      <c r="S87" s="201" t="e">
        <f aca="false">IF(A88="","",R87)</f>
        <v>#N/A</v>
      </c>
      <c r="T87" s="185" t="n">
        <v>0</v>
      </c>
      <c r="U87" s="201" t="n">
        <f aca="false">IF(A88="","",T87)</f>
        <v>0</v>
      </c>
      <c r="V87" s="205" t="e">
        <f aca="false">(G87+R87)/(1-Summary!$T$13)*Summary!$T$13</f>
        <v>#N/A</v>
      </c>
      <c r="W87" s="202" t="e">
        <f aca="false">IF($A88="","",(T87+R87+G87+V87))</f>
        <v>#N/A</v>
      </c>
      <c r="X87" s="202" t="e">
        <f aca="false">IF($A88="","",(U87+S87+H87+V87))</f>
        <v>#N/A</v>
      </c>
      <c r="Y87" s="202"/>
      <c r="Z87" s="185" t="e">
        <f aca="false">IF($A88="","",VLOOKUP($A87,Table,MATCH(Z$4,Curves,0)))</f>
        <v>#N/A</v>
      </c>
      <c r="AA87" s="185" t="e">
        <f aca="false">IF($A88="","",VLOOKUP($A87,Table,MATCH(AA$4,Curves,0)))</f>
        <v>#N/A</v>
      </c>
      <c r="AB87" s="185" t="e">
        <f aca="false">SQRT((AA87^2*(A87-$D$3)+Z87^2*(DAY(EOMONTH(A87,0))/2))/AK87)</f>
        <v>#N/A</v>
      </c>
      <c r="AC87" s="185" t="e">
        <f aca="false">IF($A88="","",VLOOKUP($A87,Table,MATCH(AC$4,Curves,0)))</f>
        <v>#N/A</v>
      </c>
      <c r="AD87" s="185" t="e">
        <f aca="false">IF($A88="","",VLOOKUP($A87,Table,MATCH(AD$4,Curves,0)))</f>
        <v>#N/A</v>
      </c>
      <c r="AE87" s="185" t="e">
        <f aca="false">SQRT((AD87^2*(A87-$D$3)+AC87^2*(DAY(EOMONTH(A87,0))/2))/AK87)</f>
        <v>#N/A</v>
      </c>
      <c r="AF87" s="224" t="e">
        <f aca="false">((Summary!$N$13*(AA87*AD87)*(A87-$D$3))+(Summary!$M$13*Z87*AC87*(AJ87-EOMONTH(EDATE(A87,-1),0))))/(AK87*AB87*AE87)</f>
        <v>#N/A</v>
      </c>
      <c r="AG87" s="207" t="n">
        <f aca="false">IF($A88="","",Summary!$Q$13)</f>
        <v>0</v>
      </c>
      <c r="AH87" s="207" t="n">
        <f aca="false">IF($A88="","",IF(Summary!$R$12="Y",(VLOOKUP($A87,Summary!$AD$6:$AF$9,3)+'Escalating commodity'!I100),'Escalating commodity'!I100))</f>
        <v>0.0505007015192697</v>
      </c>
      <c r="AI87" s="207" t="n">
        <f aca="false">IF($A88="","",AH87)</f>
        <v>0.0505007015192697</v>
      </c>
      <c r="AJ87" s="208" t="n">
        <f aca="false">A87+DAY(EOMONTH(A87,0))/2-1</f>
        <v>39401</v>
      </c>
      <c r="AK87" s="209" t="n">
        <f aca="false">IF($A88="","",$A87-$E$1)</f>
        <v>-6539</v>
      </c>
      <c r="AL87" s="182" t="e">
        <f aca="false">IF($A88="","",SPRDOPT(P87,X87,AI87,0,AB87,AE87,AF87,AK87,$AJ$2,0))</f>
        <v>#NAME?</v>
      </c>
      <c r="AM87" s="210" t="e">
        <f aca="false">IF($A88="","",MAX(0,O87-W87-AI87))</f>
        <v>#N/A</v>
      </c>
      <c r="AN87" s="211" t="e">
        <f aca="false">IF($A88="","",AL87-AM87)</f>
        <v>#N/A</v>
      </c>
      <c r="AO87" s="137" t="n">
        <f aca="false">IF(A88="","",A88-A87)</f>
        <v>30</v>
      </c>
      <c r="AP87" s="212" t="n">
        <f aca="false">IF(A88="","",CHOOSE(F$3,A88+24,A87))</f>
        <v>39387</v>
      </c>
      <c r="AQ87" s="209" t="n">
        <f aca="false">IF(A88="","",AP87-$E$1)</f>
        <v>-6539</v>
      </c>
      <c r="AR87" s="185" t="n">
        <f aca="false">'ANR OK vs ML7'!AR87</f>
        <v>0.1</v>
      </c>
      <c r="AS87" s="213" t="n">
        <f aca="false">IF(A88="","",1/(1+CHOOSE(F$3,(AR88+($I$3/10000))/2,(AR87+($I$3/10000))/2))^(2*AQ87/365.25))</f>
        <v>5.73714509649775</v>
      </c>
      <c r="AT87" s="137" t="n">
        <f aca="false">IF(A88="","",IF(AND(mthbeg&lt;=A87,mthend&gt;=A87),1,0))</f>
        <v>1</v>
      </c>
      <c r="AU87" s="137" t="n">
        <f aca="false">IF(A88="","",AO87*AT87)</f>
        <v>30</v>
      </c>
      <c r="AW87" s="195" t="e">
        <f aca="false">IF($A88="","",AL87*$E87)</f>
        <v>#NAME?</v>
      </c>
      <c r="AX87" s="195" t="e">
        <f aca="false">IF($A88="","",AM87*$E87)</f>
        <v>#N/A</v>
      </c>
      <c r="AY87" s="195" t="e">
        <f aca="false">IF($A88="","",AN87*$E87)</f>
        <v>#N/A</v>
      </c>
      <c r="BA87" s="195" t="n">
        <f aca="false">IF($A88="","",F87*Summary!$Q$13)</f>
        <v>0</v>
      </c>
      <c r="BC87" s="179" t="e">
        <f aca="false">IF(A88="","",AM87*F87)</f>
        <v>#N/A</v>
      </c>
    </row>
    <row r="88" customFormat="false" ht="12.75" hidden="false" customHeight="false" outlineLevel="0" collapsed="false">
      <c r="A88" s="196" t="n">
        <f aca="false">IF(A87&lt;mthend,EDATE(A87,1),"")</f>
        <v>39417</v>
      </c>
      <c r="B88" s="197" t="n">
        <f aca="false">IF(A88&lt;mthend,B87,"")</f>
        <v>28400</v>
      </c>
      <c r="C88" s="215"/>
      <c r="D88" s="197" t="n">
        <f aca="false">IF(A89&lt;&gt;"",B88+C88,"")</f>
        <v>28400</v>
      </c>
      <c r="E88" s="199" t="n">
        <f aca="false">IF(A89="","",IF(AND(AT88=1,$H$3=1),D88*AO88,IF($H$3=2,D88,"N/A")))</f>
        <v>880400</v>
      </c>
      <c r="F88" s="199" t="n">
        <f aca="false">IF(A89="","",E88*AS88)</f>
        <v>5010661.66862169</v>
      </c>
      <c r="G88" s="200" t="e">
        <f aca="false">IF($A89="","",VLOOKUP($A88,Table,MATCH(G$4,Curves,0)))</f>
        <v>#N/A</v>
      </c>
      <c r="H88" s="201" t="e">
        <f aca="false">IF(A89="","",G88)</f>
        <v>#N/A</v>
      </c>
      <c r="I88" s="202"/>
      <c r="J88" s="200" t="e">
        <f aca="false">IF($A89="","",VLOOKUP($A88,Table,MATCH(J$4,Curves,0)))</f>
        <v>#N/A</v>
      </c>
      <c r="K88" s="201" t="e">
        <f aca="false">IF(A89="","",J88)</f>
        <v>#N/A</v>
      </c>
      <c r="L88" s="185" t="n">
        <v>0</v>
      </c>
      <c r="M88" s="201" t="n">
        <f aca="false">IF(A89="","",L88)</f>
        <v>0</v>
      </c>
      <c r="N88" s="203"/>
      <c r="O88" s="200" t="e">
        <f aca="false">IF(A89="","",L88+J88+G88)</f>
        <v>#N/A</v>
      </c>
      <c r="P88" s="200" t="e">
        <f aca="false">IF(A89="","",M88+K88+H88)</f>
        <v>#N/A</v>
      </c>
      <c r="Q88" s="204"/>
      <c r="R88" s="200" t="e">
        <f aca="false">IF($A89="","",VLOOKUP($A88,Table,MATCH(R$4,Curves,0)))</f>
        <v>#N/A</v>
      </c>
      <c r="S88" s="201" t="e">
        <f aca="false">IF(A89="","",R88)</f>
        <v>#N/A</v>
      </c>
      <c r="T88" s="185" t="n">
        <v>0</v>
      </c>
      <c r="U88" s="201" t="n">
        <f aca="false">IF(A89="","",T88)</f>
        <v>0</v>
      </c>
      <c r="V88" s="205" t="e">
        <f aca="false">(G88+R88)/(1-Summary!$T$13)*Summary!$T$13</f>
        <v>#N/A</v>
      </c>
      <c r="W88" s="202" t="e">
        <f aca="false">IF($A89="","",(T88+R88+G88+V88))</f>
        <v>#N/A</v>
      </c>
      <c r="X88" s="202" t="e">
        <f aca="false">IF($A89="","",(U88+S88+H88+V88))</f>
        <v>#N/A</v>
      </c>
      <c r="Y88" s="202"/>
      <c r="Z88" s="185" t="e">
        <f aca="false">IF($A89="","",VLOOKUP($A88,Table,MATCH(Z$4,Curves,0)))</f>
        <v>#N/A</v>
      </c>
      <c r="AA88" s="185" t="e">
        <f aca="false">IF($A89="","",VLOOKUP($A88,Table,MATCH(AA$4,Curves,0)))</f>
        <v>#N/A</v>
      </c>
      <c r="AB88" s="185" t="e">
        <f aca="false">SQRT((AA88^2*(A88-$D$3)+Z88^2*(DAY(EOMONTH(A88,0))/2))/AK88)</f>
        <v>#N/A</v>
      </c>
      <c r="AC88" s="185" t="e">
        <f aca="false">IF($A89="","",VLOOKUP($A88,Table,MATCH(AC$4,Curves,0)))</f>
        <v>#N/A</v>
      </c>
      <c r="AD88" s="185" t="e">
        <f aca="false">IF($A89="","",VLOOKUP($A88,Table,MATCH(AD$4,Curves,0)))</f>
        <v>#N/A</v>
      </c>
      <c r="AE88" s="185" t="e">
        <f aca="false">SQRT((AD88^2*(A88-$D$3)+AC88^2*(DAY(EOMONTH(A88,0))/2))/AK88)</f>
        <v>#N/A</v>
      </c>
      <c r="AF88" s="224" t="e">
        <f aca="false">((Summary!$N$13*(AA88*AD88)*(A88-$D$3))+(Summary!$M$13*Z88*AC88*(AJ88-EOMONTH(EDATE(A88,-1),0))))/(AK88*AB88*AE88)</f>
        <v>#N/A</v>
      </c>
      <c r="AG88" s="207" t="n">
        <f aca="false">IF($A89="","",Summary!$Q$13)</f>
        <v>0</v>
      </c>
      <c r="AH88" s="207" t="n">
        <f aca="false">IF($A89="","",IF(Summary!$R$12="Y",(VLOOKUP($A88,Summary!$AD$6:$AF$9,3)+'Escalating commodity'!I101),'Escalating commodity'!I101))</f>
        <v>0.0505007015192697</v>
      </c>
      <c r="AI88" s="207" t="n">
        <f aca="false">IF($A89="","",AH88)</f>
        <v>0.0505007015192697</v>
      </c>
      <c r="AJ88" s="208" t="n">
        <f aca="false">A88+DAY(EOMONTH(A88,0))/2-1</f>
        <v>39431.5</v>
      </c>
      <c r="AK88" s="209" t="n">
        <f aca="false">IF($A89="","",$A88-$E$1)</f>
        <v>-6509</v>
      </c>
      <c r="AL88" s="182" t="e">
        <f aca="false">IF($A89="","",SPRDOPT(P88,X88,AI88,0,AB88,AE88,AF88,AK88,$AJ$2,0))</f>
        <v>#NAME?</v>
      </c>
      <c r="AM88" s="210" t="e">
        <f aca="false">IF($A89="","",MAX(0,O88-W88-AI88))</f>
        <v>#N/A</v>
      </c>
      <c r="AN88" s="211" t="e">
        <f aca="false">IF($A89="","",AL88-AM88)</f>
        <v>#N/A</v>
      </c>
      <c r="AO88" s="137" t="n">
        <f aca="false">IF(A89="","",A89-A88)</f>
        <v>31</v>
      </c>
      <c r="AP88" s="212" t="n">
        <f aca="false">IF(A89="","",CHOOSE(F$3,A89+24,A88))</f>
        <v>39417</v>
      </c>
      <c r="AQ88" s="209" t="n">
        <f aca="false">IF(A89="","",AP88-$E$1)</f>
        <v>-6509</v>
      </c>
      <c r="AR88" s="185" t="n">
        <f aca="false">'ANR OK vs ML7'!AR88</f>
        <v>0.1</v>
      </c>
      <c r="AS88" s="213" t="n">
        <f aca="false">IF(A89="","",1/(1+CHOOSE(F$3,(AR89+($I$3/10000))/2,(AR88+($I$3/10000))/2))^(2*AQ88/365.25))</f>
        <v>5.69134673855258</v>
      </c>
      <c r="AT88" s="137" t="n">
        <f aca="false">IF(A89="","",IF(AND(mthbeg&lt;=A88,mthend&gt;=A88),1,0))</f>
        <v>1</v>
      </c>
      <c r="AU88" s="137" t="n">
        <f aca="false">IF(A89="","",AO88*AT88)</f>
        <v>31</v>
      </c>
      <c r="AW88" s="195" t="e">
        <f aca="false">IF($A89="","",AL88*$E88)</f>
        <v>#NAME?</v>
      </c>
      <c r="AX88" s="195" t="e">
        <f aca="false">IF($A89="","",AM88*$E88)</f>
        <v>#N/A</v>
      </c>
      <c r="AY88" s="195" t="e">
        <f aca="false">IF($A89="","",AN88*$E88)</f>
        <v>#N/A</v>
      </c>
      <c r="BA88" s="195" t="n">
        <f aca="false">IF($A89="","",F88*Summary!$Q$13)</f>
        <v>0</v>
      </c>
      <c r="BC88" s="179" t="e">
        <f aca="false">IF(A89="","",AM88*F88)</f>
        <v>#N/A</v>
      </c>
    </row>
    <row r="89" customFormat="false" ht="12.75" hidden="false" customHeight="false" outlineLevel="0" collapsed="false">
      <c r="A89" s="196" t="n">
        <f aca="false">IF(A88&lt;mthend,EDATE(A88,1),"")</f>
        <v>39448</v>
      </c>
      <c r="B89" s="197" t="n">
        <f aca="false">IF(A89&lt;mthend,B88,"")</f>
        <v>28400</v>
      </c>
      <c r="C89" s="215"/>
      <c r="D89" s="197" t="n">
        <f aca="false">IF(A90&lt;&gt;"",B89+C89,"")</f>
        <v>28400</v>
      </c>
      <c r="E89" s="199" t="n">
        <f aca="false">IF(A90="","",IF(AND(AT89=1,$H$3=1),D89*AO89,IF($H$3=2,D89,"N/A")))</f>
        <v>880400</v>
      </c>
      <c r="F89" s="199" t="n">
        <f aca="false">IF(A90="","",E89*AS89)</f>
        <v>4969334.88014459</v>
      </c>
      <c r="G89" s="200" t="e">
        <f aca="false">IF($A90="","",VLOOKUP($A89,Table,MATCH(G$4,Curves,0)))</f>
        <v>#N/A</v>
      </c>
      <c r="H89" s="201" t="e">
        <f aca="false">IF(A90="","",G89)</f>
        <v>#N/A</v>
      </c>
      <c r="I89" s="202"/>
      <c r="J89" s="200" t="e">
        <f aca="false">IF($A90="","",VLOOKUP($A89,Table,MATCH(J$4,Curves,0)))</f>
        <v>#N/A</v>
      </c>
      <c r="K89" s="201" t="e">
        <f aca="false">IF(A90="","",J89)</f>
        <v>#N/A</v>
      </c>
      <c r="L89" s="185" t="n">
        <v>0</v>
      </c>
      <c r="M89" s="201" t="n">
        <f aca="false">IF(A90="","",L89)</f>
        <v>0</v>
      </c>
      <c r="N89" s="203"/>
      <c r="O89" s="200" t="e">
        <f aca="false">IF(A90="","",L89+J89+G89)</f>
        <v>#N/A</v>
      </c>
      <c r="P89" s="200" t="e">
        <f aca="false">IF(A90="","",M89+K89+H89)</f>
        <v>#N/A</v>
      </c>
      <c r="Q89" s="204"/>
      <c r="R89" s="200" t="e">
        <f aca="false">IF($A90="","",VLOOKUP($A89,Table,MATCH(R$4,Curves,0)))</f>
        <v>#N/A</v>
      </c>
      <c r="S89" s="201" t="e">
        <f aca="false">IF(A90="","",R89)</f>
        <v>#N/A</v>
      </c>
      <c r="T89" s="185" t="n">
        <v>0</v>
      </c>
      <c r="U89" s="201" t="n">
        <f aca="false">IF(A90="","",T89)</f>
        <v>0</v>
      </c>
      <c r="V89" s="205" t="e">
        <f aca="false">(G89+R89)/(1-Summary!$T$13)*Summary!$T$13</f>
        <v>#N/A</v>
      </c>
      <c r="W89" s="202" t="e">
        <f aca="false">IF($A90="","",(T89+R89+G89+V89))</f>
        <v>#N/A</v>
      </c>
      <c r="X89" s="202" t="e">
        <f aca="false">IF($A90="","",(U89+S89+H89+V89))</f>
        <v>#N/A</v>
      </c>
      <c r="Y89" s="202"/>
      <c r="Z89" s="185" t="e">
        <f aca="false">IF($A90="","",VLOOKUP($A89,Table,MATCH(Z$4,Curves,0)))</f>
        <v>#N/A</v>
      </c>
      <c r="AA89" s="185" t="e">
        <f aca="false">IF($A90="","",VLOOKUP($A89,Table,MATCH(AA$4,Curves,0)))</f>
        <v>#N/A</v>
      </c>
      <c r="AB89" s="185" t="e">
        <f aca="false">SQRT((AA89^2*(A89-$D$3)+Z89^2*(DAY(EOMONTH(A89,0))/2))/AK89)</f>
        <v>#N/A</v>
      </c>
      <c r="AC89" s="185" t="e">
        <f aca="false">IF($A90="","",VLOOKUP($A89,Table,MATCH(AC$4,Curves,0)))</f>
        <v>#N/A</v>
      </c>
      <c r="AD89" s="185" t="e">
        <f aca="false">IF($A90="","",VLOOKUP($A89,Table,MATCH(AD$4,Curves,0)))</f>
        <v>#N/A</v>
      </c>
      <c r="AE89" s="185" t="e">
        <f aca="false">SQRT((AD89^2*(A89-$D$3)+AC89^2*(DAY(EOMONTH(A89,0))/2))/AK89)</f>
        <v>#N/A</v>
      </c>
      <c r="AF89" s="224" t="e">
        <f aca="false">((Summary!$N$13*(AA89*AD89)*(A89-$D$3))+(Summary!$M$13*Z89*AC89*(AJ89-EOMONTH(EDATE(A89,-1),0))))/(AK89*AB89*AE89)</f>
        <v>#N/A</v>
      </c>
      <c r="AG89" s="207" t="n">
        <f aca="false">IF($A90="","",Summary!$Q$13)</f>
        <v>0</v>
      </c>
      <c r="AH89" s="207" t="n">
        <f aca="false">IF($A90="","",IF(Summary!$R$12="Y",(VLOOKUP($A89,Summary!$AD$6:$AF$9,3)+'Escalating commodity'!I102),'Escalating commodity'!I102))</f>
        <v>0.0515107155496551</v>
      </c>
      <c r="AI89" s="207" t="n">
        <f aca="false">IF($A90="","",AH89)</f>
        <v>0.0515107155496551</v>
      </c>
      <c r="AJ89" s="208" t="n">
        <f aca="false">A89+DAY(EOMONTH(A89,0))/2-1</f>
        <v>39462.5</v>
      </c>
      <c r="AK89" s="209" t="n">
        <f aca="false">IF($A90="","",$A89-$E$1)</f>
        <v>-6478</v>
      </c>
      <c r="AL89" s="182" t="e">
        <f aca="false">IF($A90="","",SPRDOPT(P89,X89,AI89,0,AB89,AE89,AF89,AK89,$AJ$2,0))</f>
        <v>#NAME?</v>
      </c>
      <c r="AM89" s="210" t="e">
        <f aca="false">IF($A90="","",MAX(0,O89-W89-AI89))</f>
        <v>#N/A</v>
      </c>
      <c r="AN89" s="211" t="e">
        <f aca="false">IF($A90="","",AL89-AM89)</f>
        <v>#N/A</v>
      </c>
      <c r="AO89" s="137" t="n">
        <f aca="false">IF(A90="","",A90-A89)</f>
        <v>31</v>
      </c>
      <c r="AP89" s="212" t="n">
        <f aca="false">IF(A90="","",CHOOSE(F$3,A90+24,A89))</f>
        <v>39448</v>
      </c>
      <c r="AQ89" s="209" t="n">
        <f aca="false">IF(A90="","",AP89-$E$1)</f>
        <v>-6478</v>
      </c>
      <c r="AR89" s="185" t="n">
        <f aca="false">'ANR OK vs ML7'!AR89</f>
        <v>0.1</v>
      </c>
      <c r="AS89" s="213" t="n">
        <f aca="false">IF(A90="","",1/(1+CHOOSE(F$3,(AR90+($I$3/10000))/2,(AR89+($I$3/10000))/2))^(2*AQ89/365.25))</f>
        <v>5.64440581570262</v>
      </c>
      <c r="AT89" s="137" t="n">
        <f aca="false">IF(A90="","",IF(AND(mthbeg&lt;=A89,mthend&gt;=A89),1,0))</f>
        <v>1</v>
      </c>
      <c r="AU89" s="137" t="n">
        <f aca="false">IF(A90="","",AO89*AT89)</f>
        <v>31</v>
      </c>
      <c r="AW89" s="195" t="e">
        <f aca="false">IF($A90="","",AL89*$E89)</f>
        <v>#NAME?</v>
      </c>
      <c r="AX89" s="195" t="e">
        <f aca="false">IF($A90="","",AM89*$E89)</f>
        <v>#N/A</v>
      </c>
      <c r="AY89" s="195" t="e">
        <f aca="false">IF($A90="","",AN89*$E89)</f>
        <v>#N/A</v>
      </c>
      <c r="BA89" s="195" t="n">
        <f aca="false">IF($A90="","",F89*Summary!$Q$13)</f>
        <v>0</v>
      </c>
      <c r="BC89" s="179" t="e">
        <f aca="false">IF(A90="","",AM89*F89)</f>
        <v>#N/A</v>
      </c>
    </row>
    <row r="90" customFormat="false" ht="12.75" hidden="false" customHeight="false" outlineLevel="0" collapsed="false">
      <c r="A90" s="196" t="n">
        <f aca="false">IF(A89&lt;mthend,EDATE(A89,1),"")</f>
        <v>39479</v>
      </c>
      <c r="B90" s="197" t="n">
        <f aca="false">IF(A90&lt;mthend,B89,"")</f>
        <v>28400</v>
      </c>
      <c r="C90" s="215"/>
      <c r="D90" s="197" t="n">
        <f aca="false">IF(A91&lt;&gt;"",B90+C90,"")</f>
        <v>28400</v>
      </c>
      <c r="E90" s="199" t="n">
        <f aca="false">IF(A91="","",IF(AND(AT90=1,$H$3=1),D90*AO90,IF($H$3=2,D90,"N/A")))</f>
        <v>823600</v>
      </c>
      <c r="F90" s="199" t="n">
        <f aca="false">IF(A91="","",E90*AS90)</f>
        <v>4610390.94905582</v>
      </c>
      <c r="G90" s="200" t="e">
        <f aca="false">IF($A91="","",VLOOKUP($A90,Table,MATCH(G$4,Curves,0)))</f>
        <v>#N/A</v>
      </c>
      <c r="H90" s="201" t="e">
        <f aca="false">IF(A91="","",G90)</f>
        <v>#N/A</v>
      </c>
      <c r="I90" s="202"/>
      <c r="J90" s="200" t="e">
        <f aca="false">IF($A91="","",VLOOKUP($A90,Table,MATCH(J$4,Curves,0)))</f>
        <v>#N/A</v>
      </c>
      <c r="K90" s="201" t="e">
        <f aca="false">IF(A91="","",J90)</f>
        <v>#N/A</v>
      </c>
      <c r="L90" s="185" t="n">
        <v>0</v>
      </c>
      <c r="M90" s="201" t="n">
        <f aca="false">IF(A91="","",L90)</f>
        <v>0</v>
      </c>
      <c r="N90" s="203"/>
      <c r="O90" s="200" t="e">
        <f aca="false">IF(A91="","",L90+J90+G90)</f>
        <v>#N/A</v>
      </c>
      <c r="P90" s="200" t="e">
        <f aca="false">IF(A91="","",M90+K90+H90)</f>
        <v>#N/A</v>
      </c>
      <c r="Q90" s="204"/>
      <c r="R90" s="200" t="e">
        <f aca="false">IF($A91="","",VLOOKUP($A90,Table,MATCH(R$4,Curves,0)))</f>
        <v>#N/A</v>
      </c>
      <c r="S90" s="201" t="e">
        <f aca="false">IF(A91="","",R90)</f>
        <v>#N/A</v>
      </c>
      <c r="T90" s="185" t="n">
        <v>0</v>
      </c>
      <c r="U90" s="201" t="n">
        <f aca="false">IF(A91="","",T90)</f>
        <v>0</v>
      </c>
      <c r="V90" s="205" t="e">
        <f aca="false">(G90+R90)/(1-Summary!$T$13)*Summary!$T$13</f>
        <v>#N/A</v>
      </c>
      <c r="W90" s="202" t="e">
        <f aca="false">IF($A91="","",(T90+R90+G90+V90))</f>
        <v>#N/A</v>
      </c>
      <c r="X90" s="202" t="e">
        <f aca="false">IF($A91="","",(U90+S90+H90+V90))</f>
        <v>#N/A</v>
      </c>
      <c r="Y90" s="202"/>
      <c r="Z90" s="185" t="e">
        <f aca="false">IF($A91="","",VLOOKUP($A90,Table,MATCH(Z$4,Curves,0)))</f>
        <v>#N/A</v>
      </c>
      <c r="AA90" s="185" t="e">
        <f aca="false">IF($A91="","",VLOOKUP($A90,Table,MATCH(AA$4,Curves,0)))</f>
        <v>#N/A</v>
      </c>
      <c r="AB90" s="185" t="e">
        <f aca="false">SQRT((AA90^2*(A90-$D$3)+Z90^2*(DAY(EOMONTH(A90,0))/2))/AK90)</f>
        <v>#N/A</v>
      </c>
      <c r="AC90" s="185" t="e">
        <f aca="false">IF($A91="","",VLOOKUP($A90,Table,MATCH(AC$4,Curves,0)))</f>
        <v>#N/A</v>
      </c>
      <c r="AD90" s="185" t="e">
        <f aca="false">IF($A91="","",VLOOKUP($A90,Table,MATCH(AD$4,Curves,0)))</f>
        <v>#N/A</v>
      </c>
      <c r="AE90" s="185" t="e">
        <f aca="false">SQRT((AD90^2*(A90-$D$3)+AC90^2*(DAY(EOMONTH(A90,0))/2))/AK90)</f>
        <v>#N/A</v>
      </c>
      <c r="AF90" s="224" t="e">
        <f aca="false">((Summary!$N$13*(AA90*AD90)*(A90-$D$3))+(Summary!$M$13*Z90*AC90*(AJ90-EOMONTH(EDATE(A90,-1),0))))/(AK90*AB90*AE90)</f>
        <v>#N/A</v>
      </c>
      <c r="AG90" s="207" t="n">
        <f aca="false">IF($A91="","",Summary!$Q$13)</f>
        <v>0</v>
      </c>
      <c r="AH90" s="207" t="n">
        <f aca="false">IF($A91="","",IF(Summary!$R$12="Y",(VLOOKUP($A90,Summary!$AD$6:$AF$9,3)+'Escalating commodity'!I103),'Escalating commodity'!I103))</f>
        <v>0.0515107155496551</v>
      </c>
      <c r="AI90" s="207" t="n">
        <f aca="false">IF($A91="","",AH90)</f>
        <v>0.0515107155496551</v>
      </c>
      <c r="AJ90" s="208" t="n">
        <f aca="false">A90+DAY(EOMONTH(A90,0))/2-1</f>
        <v>39492.5</v>
      </c>
      <c r="AK90" s="209" t="n">
        <f aca="false">IF($A91="","",$A90-$E$1)</f>
        <v>-6447</v>
      </c>
      <c r="AL90" s="182" t="e">
        <f aca="false">IF($A91="","",SPRDOPT(P90,X90,AI90,0,AB90,AE90,AF90,AK90,$AJ$2,0))</f>
        <v>#NAME?</v>
      </c>
      <c r="AM90" s="210" t="e">
        <f aca="false">IF($A91="","",MAX(0,O90-W90-AI90))</f>
        <v>#N/A</v>
      </c>
      <c r="AN90" s="211" t="e">
        <f aca="false">IF($A91="","",AL90-AM90)</f>
        <v>#N/A</v>
      </c>
      <c r="AO90" s="137" t="n">
        <f aca="false">IF(A91="","",A91-A90)</f>
        <v>29</v>
      </c>
      <c r="AP90" s="212" t="n">
        <f aca="false">IF(A91="","",CHOOSE(F$3,A91+24,A90))</f>
        <v>39479</v>
      </c>
      <c r="AQ90" s="209" t="n">
        <f aca="false">IF(A91="","",AP90-$E$1)</f>
        <v>-6447</v>
      </c>
      <c r="AR90" s="185" t="n">
        <f aca="false">'ANR OK vs ML7'!AR90</f>
        <v>0.1</v>
      </c>
      <c r="AS90" s="213" t="n">
        <f aca="false">IF(A91="","",1/(1+CHOOSE(F$3,(AR91+($I$3/10000))/2,(AR90+($I$3/10000))/2))^(2*AQ90/365.25))</f>
        <v>5.59785205082057</v>
      </c>
      <c r="AT90" s="137" t="n">
        <f aca="false">IF(A91="","",IF(AND(mthbeg&lt;=A90,mthend&gt;=A90),1,0))</f>
        <v>1</v>
      </c>
      <c r="AU90" s="137" t="n">
        <f aca="false">IF(A91="","",AO90*AT90)</f>
        <v>29</v>
      </c>
      <c r="AW90" s="195" t="e">
        <f aca="false">IF($A91="","",AL90*$E90)</f>
        <v>#NAME?</v>
      </c>
      <c r="AX90" s="195" t="e">
        <f aca="false">IF($A91="","",AM90*$E90)</f>
        <v>#N/A</v>
      </c>
      <c r="AY90" s="195" t="e">
        <f aca="false">IF($A91="","",AN90*$E90)</f>
        <v>#N/A</v>
      </c>
      <c r="BA90" s="195" t="n">
        <f aca="false">IF($A91="","",F90*Summary!$Q$13)</f>
        <v>0</v>
      </c>
      <c r="BC90" s="179" t="e">
        <f aca="false">IF(A91="","",AM90*F90)</f>
        <v>#N/A</v>
      </c>
    </row>
    <row r="91" customFormat="false" ht="12.75" hidden="false" customHeight="false" outlineLevel="0" collapsed="false">
      <c r="A91" s="196" t="n">
        <f aca="false">IF(A90&lt;mthend,EDATE(A90,1),"")</f>
        <v>39508</v>
      </c>
      <c r="B91" s="197" t="n">
        <f aca="false">IF(A91&lt;mthend,B90,"")</f>
        <v>28400</v>
      </c>
      <c r="C91" s="215"/>
      <c r="D91" s="197" t="n">
        <f aca="false">IF(A92&lt;&gt;"",B91+C91,"")</f>
        <v>28400</v>
      </c>
      <c r="E91" s="199" t="n">
        <f aca="false">IF(A92="","",IF(AND(AT91=1,$H$3=1),D91*AO91,IF($H$3=2,D91,"N/A")))</f>
        <v>880400</v>
      </c>
      <c r="F91" s="199" t="n">
        <f aca="false">IF(A92="","",E91*AS91)</f>
        <v>4890313.35150036</v>
      </c>
      <c r="G91" s="200" t="e">
        <f aca="false">IF($A92="","",VLOOKUP($A91,Table,MATCH(G$4,Curves,0)))</f>
        <v>#N/A</v>
      </c>
      <c r="H91" s="201" t="e">
        <f aca="false">IF(A92="","",G91)</f>
        <v>#N/A</v>
      </c>
      <c r="I91" s="202"/>
      <c r="J91" s="200" t="e">
        <f aca="false">IF($A92="","",VLOOKUP($A91,Table,MATCH(J$4,Curves,0)))</f>
        <v>#N/A</v>
      </c>
      <c r="K91" s="201" t="e">
        <f aca="false">IF(A92="","",J91)</f>
        <v>#N/A</v>
      </c>
      <c r="L91" s="185" t="n">
        <v>0</v>
      </c>
      <c r="M91" s="201" t="n">
        <f aca="false">IF(A92="","",L91)</f>
        <v>0</v>
      </c>
      <c r="N91" s="203"/>
      <c r="O91" s="200" t="e">
        <f aca="false">IF(A92="","",L91+J91+G91)</f>
        <v>#N/A</v>
      </c>
      <c r="P91" s="200" t="e">
        <f aca="false">IF(A92="","",M91+K91+H91)</f>
        <v>#N/A</v>
      </c>
      <c r="Q91" s="204"/>
      <c r="R91" s="200" t="e">
        <f aca="false">IF($A92="","",VLOOKUP($A91,Table,MATCH(R$4,Curves,0)))</f>
        <v>#N/A</v>
      </c>
      <c r="S91" s="201" t="e">
        <f aca="false">IF(A92="","",R91)</f>
        <v>#N/A</v>
      </c>
      <c r="T91" s="185" t="n">
        <v>0</v>
      </c>
      <c r="U91" s="201" t="n">
        <f aca="false">IF(A92="","",T91)</f>
        <v>0</v>
      </c>
      <c r="V91" s="205" t="e">
        <f aca="false">(G91+R91)/(1-Summary!$T$13)*Summary!$T$13</f>
        <v>#N/A</v>
      </c>
      <c r="W91" s="202" t="e">
        <f aca="false">IF($A92="","",(T91+R91+G91+V91))</f>
        <v>#N/A</v>
      </c>
      <c r="X91" s="202" t="e">
        <f aca="false">IF($A92="","",(U91+S91+H91+V91))</f>
        <v>#N/A</v>
      </c>
      <c r="Y91" s="202"/>
      <c r="Z91" s="185" t="e">
        <f aca="false">IF($A92="","",VLOOKUP($A91,Table,MATCH(Z$4,Curves,0)))</f>
        <v>#N/A</v>
      </c>
      <c r="AA91" s="185" t="e">
        <f aca="false">IF($A92="","",VLOOKUP($A91,Table,MATCH(AA$4,Curves,0)))</f>
        <v>#N/A</v>
      </c>
      <c r="AB91" s="185" t="e">
        <f aca="false">SQRT((AA91^2*(A91-$D$3)+Z91^2*(DAY(EOMONTH(A91,0))/2))/AK91)</f>
        <v>#N/A</v>
      </c>
      <c r="AC91" s="185" t="e">
        <f aca="false">IF($A92="","",VLOOKUP($A91,Table,MATCH(AC$4,Curves,0)))</f>
        <v>#N/A</v>
      </c>
      <c r="AD91" s="185" t="e">
        <f aca="false">IF($A92="","",VLOOKUP($A91,Table,MATCH(AD$4,Curves,0)))</f>
        <v>#N/A</v>
      </c>
      <c r="AE91" s="185" t="e">
        <f aca="false">SQRT((AD91^2*(A91-$D$3)+AC91^2*(DAY(EOMONTH(A91,0))/2))/AK91)</f>
        <v>#N/A</v>
      </c>
      <c r="AF91" s="224" t="e">
        <f aca="false">((Summary!$N$13*(AA91*AD91)*(A91-$D$3))+(Summary!$M$13*Z91*AC91*(AJ91-EOMONTH(EDATE(A91,-1),0))))/(AK91*AB91*AE91)</f>
        <v>#N/A</v>
      </c>
      <c r="AG91" s="207" t="n">
        <f aca="false">IF($A92="","",Summary!$Q$13)</f>
        <v>0</v>
      </c>
      <c r="AH91" s="207" t="n">
        <f aca="false">IF($A92="","",IF(Summary!$R$12="Y",(VLOOKUP($A91,Summary!$AD$6:$AF$9,3)+'Escalating commodity'!I104),'Escalating commodity'!I104))</f>
        <v>0.0515107155496551</v>
      </c>
      <c r="AI91" s="207" t="n">
        <f aca="false">IF($A92="","",AH91)</f>
        <v>0.0515107155496551</v>
      </c>
      <c r="AJ91" s="208" t="n">
        <f aca="false">A91+DAY(EOMONTH(A91,0))/2-1</f>
        <v>39522.5</v>
      </c>
      <c r="AK91" s="209" t="n">
        <f aca="false">IF($A92="","",$A91-$E$1)</f>
        <v>-6418</v>
      </c>
      <c r="AL91" s="182" t="e">
        <f aca="false">IF($A92="","",SPRDOPT(P91,X91,AI91,0,AB91,AE91,AF91,AK91,$AJ$2,0))</f>
        <v>#NAME?</v>
      </c>
      <c r="AM91" s="210" t="e">
        <f aca="false">IF($A92="","",MAX(0,O91-W91-AI91))</f>
        <v>#N/A</v>
      </c>
      <c r="AN91" s="211" t="e">
        <f aca="false">IF($A92="","",AL91-AM91)</f>
        <v>#N/A</v>
      </c>
      <c r="AO91" s="137" t="n">
        <f aca="false">IF(A92="","",A92-A91)</f>
        <v>31</v>
      </c>
      <c r="AP91" s="212" t="n">
        <f aca="false">IF(A92="","",CHOOSE(F$3,A92+24,A91))</f>
        <v>39508</v>
      </c>
      <c r="AQ91" s="209" t="n">
        <f aca="false">IF(A92="","",AP91-$E$1)</f>
        <v>-6418</v>
      </c>
      <c r="AR91" s="185" t="n">
        <f aca="false">'ANR OK vs ML7'!AR91</f>
        <v>0.1</v>
      </c>
      <c r="AS91" s="213" t="n">
        <f aca="false">IF(A92="","",1/(1+CHOOSE(F$3,(AR92+($I$3/10000))/2,(AR91+($I$3/10000))/2))^(2*AQ91/365.25))</f>
        <v>5.55464942242204</v>
      </c>
      <c r="AT91" s="137" t="n">
        <f aca="false">IF(A92="","",IF(AND(mthbeg&lt;=A91,mthend&gt;=A91),1,0))</f>
        <v>1</v>
      </c>
      <c r="AU91" s="137" t="n">
        <f aca="false">IF(A92="","",AO91*AT91)</f>
        <v>31</v>
      </c>
      <c r="AW91" s="195" t="e">
        <f aca="false">IF($A92="","",AL91*$E91)</f>
        <v>#NAME?</v>
      </c>
      <c r="AX91" s="195" t="e">
        <f aca="false">IF($A92="","",AM91*$E91)</f>
        <v>#N/A</v>
      </c>
      <c r="AY91" s="195" t="e">
        <f aca="false">IF($A92="","",AN91*$E91)</f>
        <v>#N/A</v>
      </c>
      <c r="BA91" s="195" t="n">
        <f aca="false">IF($A92="","",F91*Summary!$Q$13)</f>
        <v>0</v>
      </c>
      <c r="BC91" s="179" t="e">
        <f aca="false">IF(A92="","",AM91*F91)</f>
        <v>#N/A</v>
      </c>
    </row>
    <row r="92" customFormat="false" ht="12.75" hidden="false" customHeight="false" outlineLevel="0" collapsed="false">
      <c r="A92" s="196" t="n">
        <f aca="false">IF(A91&lt;mthend,EDATE(A91,1),"")</f>
        <v>39539</v>
      </c>
      <c r="B92" s="197" t="n">
        <f aca="false">IF(A92&lt;mthend,B91,"")</f>
        <v>28400</v>
      </c>
      <c r="C92" s="215"/>
      <c r="D92" s="197" t="n">
        <f aca="false">IF(A93&lt;&gt;"",B92+C92,"")</f>
        <v>28400</v>
      </c>
      <c r="E92" s="199" t="n">
        <f aca="false">IF(A93="","",IF(AND(AT92=1,$H$3=1),D92*AO92,IF($H$3=2,D92,"N/A")))</f>
        <v>852000</v>
      </c>
      <c r="F92" s="199" t="n">
        <f aca="false">IF(A93="","",E92*AS92)</f>
        <v>4693528.2274321</v>
      </c>
      <c r="G92" s="200" t="e">
        <f aca="false">IF($A93="","",VLOOKUP($A92,Table,MATCH(G$4,Curves,0)))</f>
        <v>#N/A</v>
      </c>
      <c r="H92" s="201" t="e">
        <f aca="false">IF(A93="","",G92)</f>
        <v>#N/A</v>
      </c>
      <c r="I92" s="202"/>
      <c r="J92" s="200" t="e">
        <f aca="false">IF($A93="","",VLOOKUP($A92,Table,MATCH(J$4,Curves,0)))</f>
        <v>#N/A</v>
      </c>
      <c r="K92" s="201" t="e">
        <f aca="false">IF(A93="","",J92)</f>
        <v>#N/A</v>
      </c>
      <c r="L92" s="185" t="n">
        <v>0</v>
      </c>
      <c r="M92" s="201" t="n">
        <f aca="false">IF(A93="","",L92)</f>
        <v>0</v>
      </c>
      <c r="N92" s="203"/>
      <c r="O92" s="200" t="e">
        <f aca="false">IF(A93="","",L92+J92+G92)</f>
        <v>#N/A</v>
      </c>
      <c r="P92" s="200" t="e">
        <f aca="false">IF(A93="","",M92+K92+H92)</f>
        <v>#N/A</v>
      </c>
      <c r="Q92" s="204"/>
      <c r="R92" s="200" t="e">
        <f aca="false">IF($A93="","",VLOOKUP($A92,Table,MATCH(R$4,Curves,0)))</f>
        <v>#N/A</v>
      </c>
      <c r="S92" s="201" t="e">
        <f aca="false">IF(A93="","",R92)</f>
        <v>#N/A</v>
      </c>
      <c r="T92" s="185" t="n">
        <v>0</v>
      </c>
      <c r="U92" s="201" t="n">
        <f aca="false">IF(A93="","",T92)</f>
        <v>0</v>
      </c>
      <c r="V92" s="205" t="e">
        <f aca="false">(G92+R92)/(1-Summary!$T$13)*Summary!$T$13</f>
        <v>#N/A</v>
      </c>
      <c r="W92" s="202" t="e">
        <f aca="false">IF($A93="","",(T92+R92+G92+V92))</f>
        <v>#N/A</v>
      </c>
      <c r="X92" s="202" t="e">
        <f aca="false">IF($A93="","",(U92+S92+H92+V92))</f>
        <v>#N/A</v>
      </c>
      <c r="Y92" s="202"/>
      <c r="Z92" s="185" t="e">
        <f aca="false">IF($A93="","",VLOOKUP($A92,Table,MATCH(Z$4,Curves,0)))</f>
        <v>#N/A</v>
      </c>
      <c r="AA92" s="185" t="e">
        <f aca="false">IF($A93="","",VLOOKUP($A92,Table,MATCH(AA$4,Curves,0)))</f>
        <v>#N/A</v>
      </c>
      <c r="AB92" s="185" t="e">
        <f aca="false">SQRT((AA92^2*(A92-$D$3)+Z92^2*(DAY(EOMONTH(A92,0))/2))/AK92)</f>
        <v>#N/A</v>
      </c>
      <c r="AC92" s="185" t="e">
        <f aca="false">IF($A93="","",VLOOKUP($A92,Table,MATCH(AC$4,Curves,0)))</f>
        <v>#N/A</v>
      </c>
      <c r="AD92" s="185" t="e">
        <f aca="false">IF($A93="","",VLOOKUP($A92,Table,MATCH(AD$4,Curves,0)))</f>
        <v>#N/A</v>
      </c>
      <c r="AE92" s="185" t="e">
        <f aca="false">SQRT((AD92^2*(A92-$D$3)+AC92^2*(DAY(EOMONTH(A92,0))/2))/AK92)</f>
        <v>#N/A</v>
      </c>
      <c r="AF92" s="224" t="e">
        <f aca="false">((Summary!$N$13*(AA92*AD92)*(A92-$D$3))+(Summary!$M$13*Z92*AC92*(AJ92-EOMONTH(EDATE(A92,-1),0))))/(AK92*AB92*AE92)</f>
        <v>#N/A</v>
      </c>
      <c r="AG92" s="207" t="n">
        <f aca="false">IF($A93="","",Summary!$Q$13)</f>
        <v>0</v>
      </c>
      <c r="AH92" s="207" t="n">
        <f aca="false">IF($A93="","",IF(Summary!$R$12="Y",(VLOOKUP($A92,Summary!$AD$6:$AF$9,3)+'Escalating commodity'!I105),'Escalating commodity'!I105))</f>
        <v>0.0515107155496551</v>
      </c>
      <c r="AI92" s="207" t="n">
        <f aca="false">IF($A93="","",AH92)</f>
        <v>0.0515107155496551</v>
      </c>
      <c r="AJ92" s="208" t="n">
        <f aca="false">A92+DAY(EOMONTH(A92,0))/2-1</f>
        <v>39553</v>
      </c>
      <c r="AK92" s="209" t="n">
        <f aca="false">IF($A93="","",$A92-$E$1)</f>
        <v>-6387</v>
      </c>
      <c r="AL92" s="182" t="e">
        <f aca="false">IF($A93="","",SPRDOPT(P92,X92,AI92,0,AB92,AE92,AF92,AK92,$AJ$2,0))</f>
        <v>#NAME?</v>
      </c>
      <c r="AM92" s="210" t="e">
        <f aca="false">IF($A93="","",MAX(0,O92-W92-AI92))</f>
        <v>#N/A</v>
      </c>
      <c r="AN92" s="211" t="e">
        <f aca="false">IF($A93="","",AL92-AM92)</f>
        <v>#N/A</v>
      </c>
      <c r="AO92" s="137" t="n">
        <f aca="false">IF(A93="","",A93-A92)</f>
        <v>30</v>
      </c>
      <c r="AP92" s="212" t="n">
        <f aca="false">IF(A93="","",CHOOSE(F$3,A93+24,A92))</f>
        <v>39539</v>
      </c>
      <c r="AQ92" s="209" t="n">
        <f aca="false">IF(A93="","",AP92-$E$1)</f>
        <v>-6387</v>
      </c>
      <c r="AR92" s="185" t="n">
        <f aca="false">'ANR OK vs ML7'!AR92</f>
        <v>0.1</v>
      </c>
      <c r="AS92" s="213" t="n">
        <f aca="false">IF(A93="","",1/(1+CHOOSE(F$3,(AR93+($I$3/10000))/2,(AR92+($I$3/10000))/2))^(2*AQ92/365.25))</f>
        <v>5.50883594769026</v>
      </c>
      <c r="AT92" s="137" t="n">
        <f aca="false">IF(A93="","",IF(AND(mthbeg&lt;=A92,mthend&gt;=A92),1,0))</f>
        <v>1</v>
      </c>
      <c r="AU92" s="137" t="n">
        <f aca="false">IF(A93="","",AO92*AT92)</f>
        <v>30</v>
      </c>
      <c r="AW92" s="195" t="e">
        <f aca="false">IF($A93="","",AL92*$E92)</f>
        <v>#NAME?</v>
      </c>
      <c r="AX92" s="195" t="e">
        <f aca="false">IF($A93="","",AM92*$E92)</f>
        <v>#N/A</v>
      </c>
      <c r="AY92" s="195" t="e">
        <f aca="false">IF($A93="","",AN92*$E92)</f>
        <v>#N/A</v>
      </c>
      <c r="BA92" s="195" t="n">
        <f aca="false">IF($A93="","",F92*Summary!$Q$13)</f>
        <v>0</v>
      </c>
      <c r="BC92" s="179" t="e">
        <f aca="false">IF(A93="","",AM92*F92)</f>
        <v>#N/A</v>
      </c>
    </row>
    <row r="93" customFormat="false" ht="12.75" hidden="false" customHeight="false" outlineLevel="0" collapsed="false">
      <c r="A93" s="196" t="n">
        <f aca="false">IF(A92&lt;mthend,EDATE(A92,1),"")</f>
        <v>39569</v>
      </c>
      <c r="B93" s="197" t="n">
        <f aca="false">IF(A93&lt;mthend,B92,"")</f>
        <v>28400</v>
      </c>
      <c r="C93" s="215"/>
      <c r="D93" s="197" t="n">
        <f aca="false">IF(A94&lt;&gt;"",B93+C93,"")</f>
        <v>28400</v>
      </c>
      <c r="E93" s="199" t="n">
        <f aca="false">IF(A94="","",IF(AND(AT93=1,$H$3=1),D93*AO93,IF($H$3=2,D93,"N/A")))</f>
        <v>880400</v>
      </c>
      <c r="F93" s="199" t="n">
        <f aca="false">IF(A94="","",E93*AS93)</f>
        <v>4811262.85940843</v>
      </c>
      <c r="G93" s="200" t="e">
        <f aca="false">IF($A94="","",VLOOKUP($A93,Table,MATCH(G$4,Curves,0)))</f>
        <v>#N/A</v>
      </c>
      <c r="H93" s="201" t="e">
        <f aca="false">IF(A94="","",G93)</f>
        <v>#N/A</v>
      </c>
      <c r="I93" s="202"/>
      <c r="J93" s="200" t="e">
        <f aca="false">IF($A94="","",VLOOKUP($A93,Table,MATCH(J$4,Curves,0)))</f>
        <v>#N/A</v>
      </c>
      <c r="K93" s="201" t="e">
        <f aca="false">IF(A94="","",J93)</f>
        <v>#N/A</v>
      </c>
      <c r="L93" s="185" t="n">
        <v>0</v>
      </c>
      <c r="M93" s="201" t="n">
        <f aca="false">IF(A94="","",L93)</f>
        <v>0</v>
      </c>
      <c r="N93" s="203"/>
      <c r="O93" s="200" t="e">
        <f aca="false">IF(A94="","",L93+J93+G93)</f>
        <v>#N/A</v>
      </c>
      <c r="P93" s="200" t="e">
        <f aca="false">IF(A94="","",M93+K93+H93)</f>
        <v>#N/A</v>
      </c>
      <c r="Q93" s="204"/>
      <c r="R93" s="200" t="e">
        <f aca="false">IF($A94="","",VLOOKUP($A93,Table,MATCH(R$4,Curves,0)))</f>
        <v>#N/A</v>
      </c>
      <c r="S93" s="201" t="e">
        <f aca="false">IF(A94="","",R93)</f>
        <v>#N/A</v>
      </c>
      <c r="T93" s="185" t="n">
        <v>0</v>
      </c>
      <c r="U93" s="201" t="n">
        <f aca="false">IF(A94="","",T93)</f>
        <v>0</v>
      </c>
      <c r="V93" s="205" t="e">
        <f aca="false">(G93+R93)/(1-Summary!$T$13)*Summary!$T$13</f>
        <v>#N/A</v>
      </c>
      <c r="W93" s="202" t="e">
        <f aca="false">IF($A94="","",(T93+R93+G93+V93))</f>
        <v>#N/A</v>
      </c>
      <c r="X93" s="202" t="e">
        <f aca="false">IF($A94="","",(U93+S93+H93+V93))</f>
        <v>#N/A</v>
      </c>
      <c r="Y93" s="202"/>
      <c r="Z93" s="185" t="e">
        <f aca="false">IF($A94="","",VLOOKUP($A93,Table,MATCH(Z$4,Curves,0)))</f>
        <v>#N/A</v>
      </c>
      <c r="AA93" s="185" t="e">
        <f aca="false">IF($A94="","",VLOOKUP($A93,Table,MATCH(AA$4,Curves,0)))</f>
        <v>#N/A</v>
      </c>
      <c r="AB93" s="185" t="e">
        <f aca="false">SQRT((AA93^2*(A93-$D$3)+Z93^2*(DAY(EOMONTH(A93,0))/2))/AK93)</f>
        <v>#N/A</v>
      </c>
      <c r="AC93" s="185" t="e">
        <f aca="false">IF($A94="","",VLOOKUP($A93,Table,MATCH(AC$4,Curves,0)))</f>
        <v>#N/A</v>
      </c>
      <c r="AD93" s="185" t="e">
        <f aca="false">IF($A94="","",VLOOKUP($A93,Table,MATCH(AD$4,Curves,0)))</f>
        <v>#N/A</v>
      </c>
      <c r="AE93" s="185" t="e">
        <f aca="false">SQRT((AD93^2*(A93-$D$3)+AC93^2*(DAY(EOMONTH(A93,0))/2))/AK93)</f>
        <v>#N/A</v>
      </c>
      <c r="AF93" s="224" t="e">
        <f aca="false">((Summary!$N$13*(AA93*AD93)*(A93-$D$3))+(Summary!$M$13*Z93*AC93*(AJ93-EOMONTH(EDATE(A93,-1),0))))/(AK93*AB93*AE93)</f>
        <v>#N/A</v>
      </c>
      <c r="AG93" s="207" t="n">
        <f aca="false">IF($A94="","",Summary!$Q$13)</f>
        <v>0</v>
      </c>
      <c r="AH93" s="207" t="n">
        <f aca="false">IF($A94="","",IF(Summary!$R$12="Y",(VLOOKUP($A93,Summary!$AD$6:$AF$9,3)+'Escalating commodity'!I106),'Escalating commodity'!I106))</f>
        <v>0.0515107155496551</v>
      </c>
      <c r="AI93" s="207" t="n">
        <f aca="false">IF($A94="","",AH93)</f>
        <v>0.0515107155496551</v>
      </c>
      <c r="AJ93" s="208" t="n">
        <f aca="false">A93+DAY(EOMONTH(A93,0))/2-1</f>
        <v>39583.5</v>
      </c>
      <c r="AK93" s="209" t="n">
        <f aca="false">IF($A94="","",$A93-$E$1)</f>
        <v>-6357</v>
      </c>
      <c r="AL93" s="182" t="e">
        <f aca="false">IF($A94="","",SPRDOPT(P93,X93,AI93,0,AB93,AE93,AF93,AK93,$AJ$2,0))</f>
        <v>#NAME?</v>
      </c>
      <c r="AM93" s="210" t="e">
        <f aca="false">IF($A94="","",MAX(0,O93-W93-AI93))</f>
        <v>#N/A</v>
      </c>
      <c r="AN93" s="211" t="e">
        <f aca="false">IF($A94="","",AL93-AM93)</f>
        <v>#N/A</v>
      </c>
      <c r="AO93" s="137" t="n">
        <f aca="false">IF(A94="","",A94-A93)</f>
        <v>31</v>
      </c>
      <c r="AP93" s="212" t="n">
        <f aca="false">IF(A94="","",CHOOSE(F$3,A94+24,A93))</f>
        <v>39569</v>
      </c>
      <c r="AQ93" s="209" t="n">
        <f aca="false">IF(A94="","",AP93-$E$1)</f>
        <v>-6357</v>
      </c>
      <c r="AR93" s="185" t="n">
        <f aca="false">'ANR OK vs ML7'!AR93</f>
        <v>0.1</v>
      </c>
      <c r="AS93" s="213" t="n">
        <f aca="false">IF(A94="","",1/(1+CHOOSE(F$3,(AR94+($I$3/10000))/2,(AR93+($I$3/10000))/2))^(2*AQ93/365.25))</f>
        <v>5.46486013108636</v>
      </c>
      <c r="AT93" s="137" t="n">
        <f aca="false">IF(A94="","",IF(AND(mthbeg&lt;=A93,mthend&gt;=A93),1,0))</f>
        <v>1</v>
      </c>
      <c r="AU93" s="137" t="n">
        <f aca="false">IF(A94="","",AO93*AT93)</f>
        <v>31</v>
      </c>
      <c r="AW93" s="195" t="e">
        <f aca="false">IF($A94="","",AL93*$E93)</f>
        <v>#NAME?</v>
      </c>
      <c r="AX93" s="195" t="e">
        <f aca="false">IF($A94="","",AM93*$E93)</f>
        <v>#N/A</v>
      </c>
      <c r="AY93" s="195" t="e">
        <f aca="false">IF($A94="","",AN93*$E93)</f>
        <v>#N/A</v>
      </c>
      <c r="BA93" s="195" t="n">
        <f aca="false">IF($A94="","",F93*Summary!$Q$13)</f>
        <v>0</v>
      </c>
      <c r="BC93" s="179" t="e">
        <f aca="false">IF(A94="","",AM93*F93)</f>
        <v>#N/A</v>
      </c>
    </row>
    <row r="94" customFormat="false" ht="12.75" hidden="false" customHeight="false" outlineLevel="0" collapsed="false">
      <c r="A94" s="196" t="n">
        <f aca="false">IF(A93&lt;mthend,EDATE(A93,1),"")</f>
        <v>39600</v>
      </c>
      <c r="B94" s="197" t="n">
        <f aca="false">IF(A94&lt;mthend,B93,"")</f>
        <v>28400</v>
      </c>
      <c r="C94" s="215"/>
      <c r="D94" s="197" t="n">
        <f aca="false">IF(A95&lt;&gt;"",B94+C94,"")</f>
        <v>28400</v>
      </c>
      <c r="E94" s="199" t="n">
        <f aca="false">IF(A95="","",IF(AND(AT94=1,$H$3=1),D94*AO94,IF($H$3=2,D94,"N/A")))</f>
        <v>852000</v>
      </c>
      <c r="F94" s="199" t="n">
        <f aca="false">IF(A95="","",E94*AS94)</f>
        <v>4617658.70960007</v>
      </c>
      <c r="G94" s="200" t="e">
        <f aca="false">IF($A95="","",VLOOKUP($A94,Table,MATCH(G$4,Curves,0)))</f>
        <v>#N/A</v>
      </c>
      <c r="H94" s="201" t="e">
        <f aca="false">IF(A95="","",G94)</f>
        <v>#N/A</v>
      </c>
      <c r="I94" s="202"/>
      <c r="J94" s="200" t="e">
        <f aca="false">IF($A95="","",VLOOKUP($A94,Table,MATCH(J$4,Curves,0)))</f>
        <v>#N/A</v>
      </c>
      <c r="K94" s="201" t="e">
        <f aca="false">IF(A95="","",J94)</f>
        <v>#N/A</v>
      </c>
      <c r="L94" s="185" t="n">
        <v>0</v>
      </c>
      <c r="M94" s="201" t="n">
        <f aca="false">IF(A95="","",L94)</f>
        <v>0</v>
      </c>
      <c r="N94" s="203"/>
      <c r="O94" s="200" t="e">
        <f aca="false">IF(A95="","",L94+J94+G94)</f>
        <v>#N/A</v>
      </c>
      <c r="P94" s="200" t="e">
        <f aca="false">IF(A95="","",M94+K94+H94)</f>
        <v>#N/A</v>
      </c>
      <c r="Q94" s="204"/>
      <c r="R94" s="200" t="e">
        <f aca="false">IF($A95="","",VLOOKUP($A94,Table,MATCH(R$4,Curves,0)))</f>
        <v>#N/A</v>
      </c>
      <c r="S94" s="201" t="e">
        <f aca="false">IF(A95="","",R94)</f>
        <v>#N/A</v>
      </c>
      <c r="T94" s="185" t="n">
        <v>0</v>
      </c>
      <c r="U94" s="201" t="n">
        <f aca="false">IF(A95="","",T94)</f>
        <v>0</v>
      </c>
      <c r="V94" s="205" t="e">
        <f aca="false">(G94+R94)/(1-Summary!$T$13)*Summary!$T$13</f>
        <v>#N/A</v>
      </c>
      <c r="W94" s="202" t="e">
        <f aca="false">IF($A95="","",(T94+R94+G94+V94))</f>
        <v>#N/A</v>
      </c>
      <c r="X94" s="202" t="e">
        <f aca="false">IF($A95="","",(U94+S94+H94+V94))</f>
        <v>#N/A</v>
      </c>
      <c r="Y94" s="202"/>
      <c r="Z94" s="185" t="e">
        <f aca="false">IF($A95="","",VLOOKUP($A94,Table,MATCH(Z$4,Curves,0)))</f>
        <v>#N/A</v>
      </c>
      <c r="AA94" s="185" t="e">
        <f aca="false">IF($A95="","",VLOOKUP($A94,Table,MATCH(AA$4,Curves,0)))</f>
        <v>#N/A</v>
      </c>
      <c r="AB94" s="185" t="e">
        <f aca="false">SQRT((AA94^2*(A94-$D$3)+Z94^2*(DAY(EOMONTH(A94,0))/2))/AK94)</f>
        <v>#N/A</v>
      </c>
      <c r="AC94" s="185" t="e">
        <f aca="false">IF($A95="","",VLOOKUP($A94,Table,MATCH(AC$4,Curves,0)))</f>
        <v>#N/A</v>
      </c>
      <c r="AD94" s="185" t="e">
        <f aca="false">IF($A95="","",VLOOKUP($A94,Table,MATCH(AD$4,Curves,0)))</f>
        <v>#N/A</v>
      </c>
      <c r="AE94" s="185" t="e">
        <f aca="false">SQRT((AD94^2*(A94-$D$3)+AC94^2*(DAY(EOMONTH(A94,0))/2))/AK94)</f>
        <v>#N/A</v>
      </c>
      <c r="AF94" s="224" t="e">
        <f aca="false">((Summary!$N$13*(AA94*AD94)*(A94-$D$3))+(Summary!$M$13*Z94*AC94*(AJ94-EOMONTH(EDATE(A94,-1),0))))/(AK94*AB94*AE94)</f>
        <v>#N/A</v>
      </c>
      <c r="AG94" s="207" t="n">
        <f aca="false">IF($A95="","",Summary!$Q$13)</f>
        <v>0</v>
      </c>
      <c r="AH94" s="207" t="n">
        <f aca="false">IF($A95="","",IF(Summary!$R$12="Y",(VLOOKUP($A94,Summary!$AD$6:$AF$9,3)+'Escalating commodity'!I107),'Escalating commodity'!I107))</f>
        <v>0.0515107155496551</v>
      </c>
      <c r="AI94" s="207" t="n">
        <f aca="false">IF($A95="","",AH94)</f>
        <v>0.0515107155496551</v>
      </c>
      <c r="AJ94" s="208" t="n">
        <f aca="false">A94+DAY(EOMONTH(A94,0))/2-1</f>
        <v>39614</v>
      </c>
      <c r="AK94" s="209" t="n">
        <f aca="false">IF($A95="","",$A94-$E$1)</f>
        <v>-6326</v>
      </c>
      <c r="AL94" s="182" t="e">
        <f aca="false">IF($A95="","",SPRDOPT(P94,X94,AI94,0,AB94,AE94,AF94,AK94,$AJ$2,0))</f>
        <v>#NAME?</v>
      </c>
      <c r="AM94" s="210" t="e">
        <f aca="false">IF($A95="","",MAX(0,O94-W94-AI94))</f>
        <v>#N/A</v>
      </c>
      <c r="AN94" s="211" t="e">
        <f aca="false">IF($A95="","",AL94-AM94)</f>
        <v>#N/A</v>
      </c>
      <c r="AO94" s="137" t="n">
        <f aca="false">IF(A95="","",A95-A94)</f>
        <v>30</v>
      </c>
      <c r="AP94" s="212" t="n">
        <f aca="false">IF(A95="","",CHOOSE(F$3,A95+24,A94))</f>
        <v>39600</v>
      </c>
      <c r="AQ94" s="209" t="n">
        <f aca="false">IF(A95="","",AP94-$E$1)</f>
        <v>-6326</v>
      </c>
      <c r="AR94" s="185" t="n">
        <f aca="false">'ANR OK vs ML7'!AR94</f>
        <v>0.1</v>
      </c>
      <c r="AS94" s="213" t="n">
        <f aca="false">IF(A95="","",1/(1+CHOOSE(F$3,(AR95+($I$3/10000))/2,(AR94+($I$3/10000))/2))^(2*AQ94/365.25))</f>
        <v>5.41978721784045</v>
      </c>
      <c r="AT94" s="137" t="n">
        <f aca="false">IF(A95="","",IF(AND(mthbeg&lt;=A94,mthend&gt;=A94),1,0))</f>
        <v>1</v>
      </c>
      <c r="AU94" s="137" t="n">
        <f aca="false">IF(A95="","",AO94*AT94)</f>
        <v>30</v>
      </c>
      <c r="AW94" s="195" t="e">
        <f aca="false">IF($A95="","",AL94*$E94)</f>
        <v>#NAME?</v>
      </c>
      <c r="AX94" s="195" t="e">
        <f aca="false">IF($A95="","",AM94*$E94)</f>
        <v>#N/A</v>
      </c>
      <c r="AY94" s="195" t="e">
        <f aca="false">IF($A95="","",AN94*$E94)</f>
        <v>#N/A</v>
      </c>
      <c r="BA94" s="195" t="n">
        <f aca="false">IF($A95="","",F94*Summary!$Q$13)</f>
        <v>0</v>
      </c>
      <c r="BC94" s="179" t="e">
        <f aca="false">IF(A95="","",AM94*F94)</f>
        <v>#N/A</v>
      </c>
    </row>
    <row r="95" customFormat="false" ht="12.75" hidden="false" customHeight="false" outlineLevel="0" collapsed="false">
      <c r="A95" s="196" t="n">
        <f aca="false">IF(A94&lt;mthend,EDATE(A94,1),"")</f>
        <v>39630</v>
      </c>
      <c r="B95" s="197" t="n">
        <f aca="false">IF(A95&lt;mthend,B94,"")</f>
        <v>28400</v>
      </c>
      <c r="C95" s="215"/>
      <c r="D95" s="197" t="n">
        <f aca="false">IF(A96&lt;&gt;"",B95+C95,"")</f>
        <v>28400</v>
      </c>
      <c r="E95" s="199" t="n">
        <f aca="false">IF(A96="","",IF(AND(AT95=1,$H$3=1),D95*AO95,IF($H$3=2,D95,"N/A")))</f>
        <v>880400</v>
      </c>
      <c r="F95" s="199" t="n">
        <f aca="false">IF(A96="","",E95*AS95)</f>
        <v>4733490.19551498</v>
      </c>
      <c r="G95" s="200" t="e">
        <f aca="false">IF($A96="","",VLOOKUP($A95,Table,MATCH(G$4,Curves,0)))</f>
        <v>#N/A</v>
      </c>
      <c r="H95" s="201" t="e">
        <f aca="false">IF(A96="","",G95)</f>
        <v>#N/A</v>
      </c>
      <c r="I95" s="202"/>
      <c r="J95" s="200" t="e">
        <f aca="false">IF($A96="","",VLOOKUP($A95,Table,MATCH(J$4,Curves,0)))</f>
        <v>#N/A</v>
      </c>
      <c r="K95" s="201" t="e">
        <f aca="false">IF(A96="","",J95)</f>
        <v>#N/A</v>
      </c>
      <c r="L95" s="185" t="n">
        <v>0</v>
      </c>
      <c r="M95" s="201" t="n">
        <f aca="false">IF(A96="","",L95)</f>
        <v>0</v>
      </c>
      <c r="N95" s="203"/>
      <c r="O95" s="200" t="e">
        <f aca="false">IF(A96="","",L95+J95+G95)</f>
        <v>#N/A</v>
      </c>
      <c r="P95" s="200" t="e">
        <f aca="false">IF(A96="","",M95+K95+H95)</f>
        <v>#N/A</v>
      </c>
      <c r="Q95" s="204"/>
      <c r="R95" s="200" t="e">
        <f aca="false">IF($A96="","",VLOOKUP($A95,Table,MATCH(R$4,Curves,0)))</f>
        <v>#N/A</v>
      </c>
      <c r="S95" s="201" t="e">
        <f aca="false">IF(A96="","",R95)</f>
        <v>#N/A</v>
      </c>
      <c r="T95" s="185" t="n">
        <v>0</v>
      </c>
      <c r="U95" s="201" t="n">
        <f aca="false">IF(A96="","",T95)</f>
        <v>0</v>
      </c>
      <c r="V95" s="205" t="e">
        <f aca="false">(G95+R95)/(1-Summary!$T$13)*Summary!$T$13</f>
        <v>#N/A</v>
      </c>
      <c r="W95" s="202" t="e">
        <f aca="false">IF($A96="","",(T95+R95+G95+V95))</f>
        <v>#N/A</v>
      </c>
      <c r="X95" s="202" t="e">
        <f aca="false">IF($A96="","",(U95+S95+H95+V95))</f>
        <v>#N/A</v>
      </c>
      <c r="Y95" s="202"/>
      <c r="Z95" s="185" t="e">
        <f aca="false">IF($A96="","",VLOOKUP($A95,Table,MATCH(Z$4,Curves,0)))</f>
        <v>#N/A</v>
      </c>
      <c r="AA95" s="185" t="e">
        <f aca="false">IF($A96="","",VLOOKUP($A95,Table,MATCH(AA$4,Curves,0)))</f>
        <v>#N/A</v>
      </c>
      <c r="AB95" s="185" t="e">
        <f aca="false">SQRT((AA95^2*(A95-$D$3)+Z95^2*(DAY(EOMONTH(A95,0))/2))/AK95)</f>
        <v>#N/A</v>
      </c>
      <c r="AC95" s="185" t="e">
        <f aca="false">IF($A96="","",VLOOKUP($A95,Table,MATCH(AC$4,Curves,0)))</f>
        <v>#N/A</v>
      </c>
      <c r="AD95" s="185" t="e">
        <f aca="false">IF($A96="","",VLOOKUP($A95,Table,MATCH(AD$4,Curves,0)))</f>
        <v>#N/A</v>
      </c>
      <c r="AE95" s="185" t="e">
        <f aca="false">SQRT((AD95^2*(A95-$D$3)+AC95^2*(DAY(EOMONTH(A95,0))/2))/AK95)</f>
        <v>#N/A</v>
      </c>
      <c r="AF95" s="224" t="e">
        <f aca="false">((Summary!$N$13*(AA95*AD95)*(A95-$D$3))+(Summary!$M$13*Z95*AC95*(AJ95-EOMONTH(EDATE(A95,-1),0))))/(AK95*AB95*AE95)</f>
        <v>#N/A</v>
      </c>
      <c r="AG95" s="207" t="n">
        <f aca="false">IF($A96="","",Summary!$Q$13)</f>
        <v>0</v>
      </c>
      <c r="AH95" s="207" t="n">
        <f aca="false">IF($A96="","",IF(Summary!$R$12="Y",(VLOOKUP($A95,Summary!$AD$6:$AF$9,3)+'Escalating commodity'!I108),'Escalating commodity'!I108))</f>
        <v>0.0515107155496551</v>
      </c>
      <c r="AI95" s="207" t="n">
        <f aca="false">IF($A96="","",AH95)</f>
        <v>0.0515107155496551</v>
      </c>
      <c r="AJ95" s="208" t="n">
        <f aca="false">A95+DAY(EOMONTH(A95,0))/2-1</f>
        <v>39644.5</v>
      </c>
      <c r="AK95" s="209" t="n">
        <f aca="false">IF($A96="","",$A95-$E$1)</f>
        <v>-6296</v>
      </c>
      <c r="AL95" s="182" t="e">
        <f aca="false">IF($A96="","",SPRDOPT(P95,X95,AI95,0,AB95,AE95,AF95,AK95,$AJ$2,0))</f>
        <v>#NAME?</v>
      </c>
      <c r="AM95" s="210" t="e">
        <f aca="false">IF($A96="","",MAX(0,O95-W95-AI95))</f>
        <v>#N/A</v>
      </c>
      <c r="AN95" s="211" t="e">
        <f aca="false">IF($A96="","",AL95-AM95)</f>
        <v>#N/A</v>
      </c>
      <c r="AO95" s="137" t="n">
        <f aca="false">IF(A96="","",A96-A95)</f>
        <v>31</v>
      </c>
      <c r="AP95" s="212" t="n">
        <f aca="false">IF(A96="","",CHOOSE(F$3,A96+24,A95))</f>
        <v>39630</v>
      </c>
      <c r="AQ95" s="209" t="n">
        <f aca="false">IF(A96="","",AP95-$E$1)</f>
        <v>-6296</v>
      </c>
      <c r="AR95" s="185" t="n">
        <f aca="false">'ANR OK vs ML7'!AR95</f>
        <v>0.1</v>
      </c>
      <c r="AS95" s="213" t="n">
        <f aca="false">IF(A96="","",1/(1+CHOOSE(F$3,(AR96+($I$3/10000))/2,(AR95+($I$3/10000))/2))^(2*AQ95/365.25))</f>
        <v>5.37652225751361</v>
      </c>
      <c r="AT95" s="137" t="n">
        <f aca="false">IF(A96="","",IF(AND(mthbeg&lt;=A95,mthend&gt;=A95),1,0))</f>
        <v>1</v>
      </c>
      <c r="AU95" s="137" t="n">
        <f aca="false">IF(A96="","",AO95*AT95)</f>
        <v>31</v>
      </c>
      <c r="AW95" s="195" t="e">
        <f aca="false">IF($A96="","",AL95*$E95)</f>
        <v>#NAME?</v>
      </c>
      <c r="AX95" s="195" t="e">
        <f aca="false">IF($A96="","",AM95*$E95)</f>
        <v>#N/A</v>
      </c>
      <c r="AY95" s="195" t="e">
        <f aca="false">IF($A96="","",AN95*$E95)</f>
        <v>#N/A</v>
      </c>
      <c r="BA95" s="195" t="n">
        <f aca="false">IF($A96="","",F95*Summary!$Q$13)</f>
        <v>0</v>
      </c>
      <c r="BC95" s="179" t="e">
        <f aca="false">IF(A96="","",AM95*F95)</f>
        <v>#N/A</v>
      </c>
    </row>
    <row r="96" customFormat="false" ht="12.75" hidden="false" customHeight="false" outlineLevel="0" collapsed="false">
      <c r="A96" s="196" t="n">
        <f aca="false">IF(A95&lt;mthend,EDATE(A95,1),"")</f>
        <v>39661</v>
      </c>
      <c r="B96" s="197" t="n">
        <f aca="false">IF(A96&lt;mthend,B95,"")</f>
        <v>28400</v>
      </c>
      <c r="C96" s="215"/>
      <c r="D96" s="197" t="n">
        <f aca="false">IF(A97&lt;&gt;"",B96+C96,"")</f>
        <v>28400</v>
      </c>
      <c r="E96" s="199" t="n">
        <f aca="false">IF(A97="","",IF(AND(AT96=1,$H$3=1),D96*AO96,IF($H$3=2,D96,"N/A")))</f>
        <v>880400</v>
      </c>
      <c r="F96" s="199" t="n">
        <f aca="false">IF(A97="","",E96*AS96)</f>
        <v>4694449.45379148</v>
      </c>
      <c r="G96" s="200" t="e">
        <f aca="false">IF($A97="","",VLOOKUP($A96,Table,MATCH(G$4,Curves,0)))</f>
        <v>#N/A</v>
      </c>
      <c r="H96" s="201" t="e">
        <f aca="false">IF(A97="","",G96)</f>
        <v>#N/A</v>
      </c>
      <c r="I96" s="202"/>
      <c r="J96" s="200" t="e">
        <f aca="false">IF($A97="","",VLOOKUP($A96,Table,MATCH(J$4,Curves,0)))</f>
        <v>#N/A</v>
      </c>
      <c r="K96" s="201" t="e">
        <f aca="false">IF(A97="","",J96)</f>
        <v>#N/A</v>
      </c>
      <c r="L96" s="185" t="n">
        <v>0</v>
      </c>
      <c r="M96" s="201" t="n">
        <f aca="false">IF(A97="","",L96)</f>
        <v>0</v>
      </c>
      <c r="N96" s="203"/>
      <c r="O96" s="200" t="e">
        <f aca="false">IF(A97="","",L96+J96+G96)</f>
        <v>#N/A</v>
      </c>
      <c r="P96" s="200" t="e">
        <f aca="false">IF(A97="","",M96+K96+H96)</f>
        <v>#N/A</v>
      </c>
      <c r="Q96" s="204"/>
      <c r="R96" s="200" t="e">
        <f aca="false">IF($A97="","",VLOOKUP($A96,Table,MATCH(R$4,Curves,0)))</f>
        <v>#N/A</v>
      </c>
      <c r="S96" s="201" t="e">
        <f aca="false">IF(A97="","",R96)</f>
        <v>#N/A</v>
      </c>
      <c r="T96" s="185" t="n">
        <v>0</v>
      </c>
      <c r="U96" s="201" t="n">
        <f aca="false">IF(A97="","",T96)</f>
        <v>0</v>
      </c>
      <c r="V96" s="205" t="e">
        <f aca="false">(G96+R96)/(1-Summary!$T$13)*Summary!$T$13</f>
        <v>#N/A</v>
      </c>
      <c r="W96" s="202" t="e">
        <f aca="false">IF($A97="","",(T96+R96+G96+V96))</f>
        <v>#N/A</v>
      </c>
      <c r="X96" s="202" t="e">
        <f aca="false">IF($A97="","",(U96+S96+H96+V96))</f>
        <v>#N/A</v>
      </c>
      <c r="Y96" s="202"/>
      <c r="Z96" s="185" t="e">
        <f aca="false">IF($A97="","",VLOOKUP($A96,Table,MATCH(Z$4,Curves,0)))</f>
        <v>#N/A</v>
      </c>
      <c r="AA96" s="185" t="e">
        <f aca="false">IF($A97="","",VLOOKUP($A96,Table,MATCH(AA$4,Curves,0)))</f>
        <v>#N/A</v>
      </c>
      <c r="AB96" s="185" t="e">
        <f aca="false">SQRT((AA96^2*(A96-$D$3)+Z96^2*(DAY(EOMONTH(A96,0))/2))/AK96)</f>
        <v>#N/A</v>
      </c>
      <c r="AC96" s="185" t="e">
        <f aca="false">IF($A97="","",VLOOKUP($A96,Table,MATCH(AC$4,Curves,0)))</f>
        <v>#N/A</v>
      </c>
      <c r="AD96" s="185" t="e">
        <f aca="false">IF($A97="","",VLOOKUP($A96,Table,MATCH(AD$4,Curves,0)))</f>
        <v>#N/A</v>
      </c>
      <c r="AE96" s="185" t="e">
        <f aca="false">SQRT((AD96^2*(A96-$D$3)+AC96^2*(DAY(EOMONTH(A96,0))/2))/AK96)</f>
        <v>#N/A</v>
      </c>
      <c r="AF96" s="224" t="e">
        <f aca="false">((Summary!$N$13*(AA96*AD96)*(A96-$D$3))+(Summary!$M$13*Z96*AC96*(AJ96-EOMONTH(EDATE(A96,-1),0))))/(AK96*AB96*AE96)</f>
        <v>#N/A</v>
      </c>
      <c r="AG96" s="207" t="n">
        <f aca="false">IF($A97="","",Summary!$Q$13)</f>
        <v>0</v>
      </c>
      <c r="AH96" s="207" t="n">
        <f aca="false">IF($A97="","",IF(Summary!$R$12="Y",(VLOOKUP($A96,Summary!$AD$6:$AF$9,3)+'Escalating commodity'!I109),'Escalating commodity'!I109))</f>
        <v>0.0515107155496551</v>
      </c>
      <c r="AI96" s="207" t="n">
        <f aca="false">IF($A97="","",AH96)</f>
        <v>0.0515107155496551</v>
      </c>
      <c r="AJ96" s="208" t="n">
        <f aca="false">A96+DAY(EOMONTH(A96,0))/2-1</f>
        <v>39675.5</v>
      </c>
      <c r="AK96" s="209" t="n">
        <f aca="false">IF($A97="","",$A96-$E$1)</f>
        <v>-6265</v>
      </c>
      <c r="AL96" s="182" t="e">
        <f aca="false">IF($A97="","",SPRDOPT(P96,X96,AI96,0,AB96,AE96,AF96,AK96,$AJ$2,0))</f>
        <v>#NAME?</v>
      </c>
      <c r="AM96" s="210" t="e">
        <f aca="false">IF($A97="","",MAX(0,O96-W96-AI96))</f>
        <v>#N/A</v>
      </c>
      <c r="AN96" s="211" t="e">
        <f aca="false">IF($A97="","",AL96-AM96)</f>
        <v>#N/A</v>
      </c>
      <c r="AO96" s="137" t="n">
        <f aca="false">IF(A97="","",A97-A96)</f>
        <v>31</v>
      </c>
      <c r="AP96" s="212" t="n">
        <f aca="false">IF(A97="","",CHOOSE(F$3,A97+24,A96))</f>
        <v>39661</v>
      </c>
      <c r="AQ96" s="209" t="n">
        <f aca="false">IF(A97="","",AP96-$E$1)</f>
        <v>-6265</v>
      </c>
      <c r="AR96" s="185" t="n">
        <f aca="false">'ANR OK vs ML7'!AR96</f>
        <v>0.1</v>
      </c>
      <c r="AS96" s="213" t="n">
        <f aca="false">IF(A97="","",1/(1+CHOOSE(F$3,(AR97+($I$3/10000))/2,(AR96+($I$3/10000))/2))^(2*AQ96/365.25))</f>
        <v>5.33217793479269</v>
      </c>
      <c r="AT96" s="137" t="n">
        <f aca="false">IF(A97="","",IF(AND(mthbeg&lt;=A96,mthend&gt;=A96),1,0))</f>
        <v>1</v>
      </c>
      <c r="AU96" s="137" t="n">
        <f aca="false">IF(A97="","",AO96*AT96)</f>
        <v>31</v>
      </c>
      <c r="AW96" s="195" t="e">
        <f aca="false">IF($A97="","",AL96*$E96)</f>
        <v>#NAME?</v>
      </c>
      <c r="AX96" s="195" t="e">
        <f aca="false">IF($A97="","",AM96*$E96)</f>
        <v>#N/A</v>
      </c>
      <c r="AY96" s="195" t="e">
        <f aca="false">IF($A97="","",AN96*$E96)</f>
        <v>#N/A</v>
      </c>
      <c r="BA96" s="195" t="n">
        <f aca="false">IF($A97="","",F96*Summary!$Q$13)</f>
        <v>0</v>
      </c>
      <c r="BC96" s="179" t="e">
        <f aca="false">IF(A97="","",AM96*F96)</f>
        <v>#N/A</v>
      </c>
    </row>
    <row r="97" customFormat="false" ht="12.75" hidden="false" customHeight="false" outlineLevel="0" collapsed="false">
      <c r="A97" s="196" t="n">
        <f aca="false">IF(A96&lt;mthend,EDATE(A96,1),"")</f>
        <v>39692</v>
      </c>
      <c r="B97" s="197" t="n">
        <f aca="false">IF(A97&lt;mthend,B96,"")</f>
        <v>28400</v>
      </c>
      <c r="C97" s="215"/>
      <c r="D97" s="197" t="n">
        <f aca="false">IF(A98&lt;&gt;"",B97+C97,"")</f>
        <v>28400</v>
      </c>
      <c r="E97" s="199" t="n">
        <f aca="false">IF(A98="","",IF(AND(AT97=1,$H$3=1),D97*AO97,IF($H$3=2,D97,"N/A")))</f>
        <v>852000</v>
      </c>
      <c r="F97" s="199" t="n">
        <f aca="false">IF(A98="","",E97*AS97)</f>
        <v>4505545.8495034</v>
      </c>
      <c r="G97" s="200" t="e">
        <f aca="false">IF($A98="","",VLOOKUP($A97,Table,MATCH(G$4,Curves,0)))</f>
        <v>#N/A</v>
      </c>
      <c r="H97" s="201" t="e">
        <f aca="false">IF(A98="","",G97)</f>
        <v>#N/A</v>
      </c>
      <c r="I97" s="202"/>
      <c r="J97" s="200" t="e">
        <f aca="false">IF($A98="","",VLOOKUP($A97,Table,MATCH(J$4,Curves,0)))</f>
        <v>#N/A</v>
      </c>
      <c r="K97" s="201" t="e">
        <f aca="false">IF(A98="","",J97)</f>
        <v>#N/A</v>
      </c>
      <c r="L97" s="185" t="n">
        <v>0</v>
      </c>
      <c r="M97" s="201" t="n">
        <f aca="false">IF(A98="","",L97)</f>
        <v>0</v>
      </c>
      <c r="N97" s="203"/>
      <c r="O97" s="200" t="e">
        <f aca="false">IF(A98="","",L97+J97+G97)</f>
        <v>#N/A</v>
      </c>
      <c r="P97" s="200" t="e">
        <f aca="false">IF(A98="","",M97+K97+H97)</f>
        <v>#N/A</v>
      </c>
      <c r="Q97" s="204"/>
      <c r="R97" s="200" t="e">
        <f aca="false">IF($A98="","",VLOOKUP($A97,Table,MATCH(R$4,Curves,0)))</f>
        <v>#N/A</v>
      </c>
      <c r="S97" s="201" t="e">
        <f aca="false">IF(A98="","",R97)</f>
        <v>#N/A</v>
      </c>
      <c r="T97" s="185" t="n">
        <v>0</v>
      </c>
      <c r="U97" s="201" t="n">
        <f aca="false">IF(A98="","",T97)</f>
        <v>0</v>
      </c>
      <c r="V97" s="205" t="e">
        <f aca="false">(G97+R97)/(1-Summary!$T$13)*Summary!$T$13</f>
        <v>#N/A</v>
      </c>
      <c r="W97" s="202" t="e">
        <f aca="false">IF($A98="","",(T97+R97+G97+V97))</f>
        <v>#N/A</v>
      </c>
      <c r="X97" s="202" t="e">
        <f aca="false">IF($A98="","",(U97+S97+H97+V97))</f>
        <v>#N/A</v>
      </c>
      <c r="Y97" s="202"/>
      <c r="Z97" s="185" t="e">
        <f aca="false">IF($A98="","",VLOOKUP($A97,Table,MATCH(Z$4,Curves,0)))</f>
        <v>#N/A</v>
      </c>
      <c r="AA97" s="185" t="e">
        <f aca="false">IF($A98="","",VLOOKUP($A97,Table,MATCH(AA$4,Curves,0)))</f>
        <v>#N/A</v>
      </c>
      <c r="AB97" s="185" t="e">
        <f aca="false">SQRT((AA97^2*(A97-$D$3)+Z97^2*(DAY(EOMONTH(A97,0))/2))/AK97)</f>
        <v>#N/A</v>
      </c>
      <c r="AC97" s="185" t="e">
        <f aca="false">IF($A98="","",VLOOKUP($A97,Table,MATCH(AC$4,Curves,0)))</f>
        <v>#N/A</v>
      </c>
      <c r="AD97" s="185" t="e">
        <f aca="false">IF($A98="","",VLOOKUP($A97,Table,MATCH(AD$4,Curves,0)))</f>
        <v>#N/A</v>
      </c>
      <c r="AE97" s="185" t="e">
        <f aca="false">SQRT((AD97^2*(A97-$D$3)+AC97^2*(DAY(EOMONTH(A97,0))/2))/AK97)</f>
        <v>#N/A</v>
      </c>
      <c r="AF97" s="224" t="e">
        <f aca="false">((Summary!$N$13*(AA97*AD97)*(A97-$D$3))+(Summary!$M$13*Z97*AC97*(AJ97-EOMONTH(EDATE(A97,-1),0))))/(AK97*AB97*AE97)</f>
        <v>#N/A</v>
      </c>
      <c r="AG97" s="207" t="n">
        <f aca="false">IF($A98="","",Summary!$Q$13)</f>
        <v>0</v>
      </c>
      <c r="AH97" s="207" t="n">
        <f aca="false">IF($A98="","",IF(Summary!$R$12="Y",(VLOOKUP($A97,Summary!$AD$6:$AF$9,3)+'Escalating commodity'!I110),'Escalating commodity'!I110))</f>
        <v>0.0515107155496551</v>
      </c>
      <c r="AI97" s="207" t="n">
        <f aca="false">IF($A98="","",AH97)</f>
        <v>0.0515107155496551</v>
      </c>
      <c r="AJ97" s="208" t="n">
        <f aca="false">A97+DAY(EOMONTH(A97,0))/2-1</f>
        <v>39706</v>
      </c>
      <c r="AK97" s="209" t="n">
        <f aca="false">IF($A98="","",$A97-$E$1)</f>
        <v>-6234</v>
      </c>
      <c r="AL97" s="182" t="e">
        <f aca="false">IF($A98="","",SPRDOPT(P97,X97,AI97,0,AB97,AE97,AF97,AK97,$AJ$2,0))</f>
        <v>#NAME?</v>
      </c>
      <c r="AM97" s="210" t="e">
        <f aca="false">IF($A98="","",MAX(0,O97-W97-AI97))</f>
        <v>#N/A</v>
      </c>
      <c r="AN97" s="211" t="e">
        <f aca="false">IF($A98="","",AL97-AM97)</f>
        <v>#N/A</v>
      </c>
      <c r="AO97" s="137" t="n">
        <f aca="false">IF(A98="","",A98-A97)</f>
        <v>30</v>
      </c>
      <c r="AP97" s="212" t="n">
        <f aca="false">IF(A98="","",CHOOSE(F$3,A98+24,A97))</f>
        <v>39692</v>
      </c>
      <c r="AQ97" s="209" t="n">
        <f aca="false">IF(A98="","",AP97-$E$1)</f>
        <v>-6234</v>
      </c>
      <c r="AR97" s="185" t="n">
        <f aca="false">'ANR OK vs ML7'!AR97</f>
        <v>0.1</v>
      </c>
      <c r="AS97" s="213" t="n">
        <f aca="false">IF(A98="","",1/(1+CHOOSE(F$3,(AR98+($I$3/10000))/2,(AR97+($I$3/10000))/2))^(2*AQ97/365.25))</f>
        <v>5.28819935387723</v>
      </c>
      <c r="AT97" s="137" t="n">
        <f aca="false">IF(A98="","",IF(AND(mthbeg&lt;=A97,mthend&gt;=A97),1,0))</f>
        <v>1</v>
      </c>
      <c r="AU97" s="137" t="n">
        <f aca="false">IF(A98="","",AO97*AT97)</f>
        <v>30</v>
      </c>
      <c r="AW97" s="195" t="e">
        <f aca="false">IF($A98="","",AL97*$E97)</f>
        <v>#NAME?</v>
      </c>
      <c r="AX97" s="195" t="e">
        <f aca="false">IF($A98="","",AM97*$E97)</f>
        <v>#N/A</v>
      </c>
      <c r="AY97" s="195" t="e">
        <f aca="false">IF($A98="","",AN97*$E97)</f>
        <v>#N/A</v>
      </c>
      <c r="BA97" s="195" t="n">
        <f aca="false">IF($A98="","",F97*Summary!$Q$13)</f>
        <v>0</v>
      </c>
      <c r="BC97" s="179" t="e">
        <f aca="false">IF(A98="","",AM97*F97)</f>
        <v>#N/A</v>
      </c>
    </row>
    <row r="98" customFormat="false" ht="12.75" hidden="false" customHeight="false" outlineLevel="0" collapsed="false">
      <c r="A98" s="196" t="n">
        <f aca="false">IF(A97&lt;mthend,EDATE(A97,1),"")</f>
        <v>39722</v>
      </c>
      <c r="B98" s="197" t="n">
        <f aca="false">IF(A98&lt;mthend,B97,"")</f>
        <v>28400</v>
      </c>
      <c r="C98" s="215"/>
      <c r="D98" s="197" t="n">
        <f aca="false">IF(A99&lt;&gt;"",B98+C98,"")</f>
        <v>28400</v>
      </c>
      <c r="E98" s="199" t="n">
        <f aca="false">IF(A99="","",IF(AND(AT98=1,$H$3=1),D98*AO98,IF($H$3=2,D98,"N/A")))</f>
        <v>880400</v>
      </c>
      <c r="F98" s="199" t="n">
        <f aca="false">IF(A99="","",E98*AS98)</f>
        <v>4618565.04460346</v>
      </c>
      <c r="G98" s="200" t="e">
        <f aca="false">IF($A99="","",VLOOKUP($A98,Table,MATCH(G$4,Curves,0)))</f>
        <v>#N/A</v>
      </c>
      <c r="H98" s="201" t="e">
        <f aca="false">IF(A99="","",G98)</f>
        <v>#N/A</v>
      </c>
      <c r="I98" s="202"/>
      <c r="J98" s="200" t="e">
        <f aca="false">IF($A99="","",VLOOKUP($A98,Table,MATCH(J$4,Curves,0)))</f>
        <v>#N/A</v>
      </c>
      <c r="K98" s="201" t="e">
        <f aca="false">IF(A99="","",J98)</f>
        <v>#N/A</v>
      </c>
      <c r="L98" s="185" t="n">
        <v>0</v>
      </c>
      <c r="M98" s="201" t="n">
        <f aca="false">IF(A99="","",L98)</f>
        <v>0</v>
      </c>
      <c r="N98" s="203"/>
      <c r="O98" s="200" t="e">
        <f aca="false">IF(A99="","",L98+J98+G98)</f>
        <v>#N/A</v>
      </c>
      <c r="P98" s="200" t="e">
        <f aca="false">IF(A99="","",M98+K98+H98)</f>
        <v>#N/A</v>
      </c>
      <c r="Q98" s="204"/>
      <c r="R98" s="200" t="e">
        <f aca="false">IF($A99="","",VLOOKUP($A98,Table,MATCH(R$4,Curves,0)))</f>
        <v>#N/A</v>
      </c>
      <c r="S98" s="201" t="e">
        <f aca="false">IF(A99="","",R98)</f>
        <v>#N/A</v>
      </c>
      <c r="T98" s="185" t="n">
        <v>0</v>
      </c>
      <c r="U98" s="201" t="n">
        <f aca="false">IF(A99="","",T98)</f>
        <v>0</v>
      </c>
      <c r="V98" s="205" t="e">
        <f aca="false">(G98+R98)/(1-Summary!$T$13)*Summary!$T$13</f>
        <v>#N/A</v>
      </c>
      <c r="W98" s="202" t="e">
        <f aca="false">IF($A99="","",(T98+R98+G98+V98))</f>
        <v>#N/A</v>
      </c>
      <c r="X98" s="202" t="e">
        <f aca="false">IF($A99="","",(U98+S98+H98+V98))</f>
        <v>#N/A</v>
      </c>
      <c r="Y98" s="202"/>
      <c r="Z98" s="185" t="e">
        <f aca="false">IF($A99="","",VLOOKUP($A98,Table,MATCH(Z$4,Curves,0)))</f>
        <v>#N/A</v>
      </c>
      <c r="AA98" s="185" t="e">
        <f aca="false">IF($A99="","",VLOOKUP($A98,Table,MATCH(AA$4,Curves,0)))</f>
        <v>#N/A</v>
      </c>
      <c r="AB98" s="185" t="e">
        <f aca="false">SQRT((AA98^2*(A98-$D$3)+Z98^2*(DAY(EOMONTH(A98,0))/2))/AK98)</f>
        <v>#N/A</v>
      </c>
      <c r="AC98" s="185" t="e">
        <f aca="false">IF($A99="","",VLOOKUP($A98,Table,MATCH(AC$4,Curves,0)))</f>
        <v>#N/A</v>
      </c>
      <c r="AD98" s="185" t="e">
        <f aca="false">IF($A99="","",VLOOKUP($A98,Table,MATCH(AD$4,Curves,0)))</f>
        <v>#N/A</v>
      </c>
      <c r="AE98" s="185" t="e">
        <f aca="false">SQRT((AD98^2*(A98-$D$3)+AC98^2*(DAY(EOMONTH(A98,0))/2))/AK98)</f>
        <v>#N/A</v>
      </c>
      <c r="AF98" s="224" t="e">
        <f aca="false">((Summary!$N$13*(AA98*AD98)*(A98-$D$3))+(Summary!$M$13*Z98*AC98*(AJ98-EOMONTH(EDATE(A98,-1),0))))/(AK98*AB98*AE98)</f>
        <v>#N/A</v>
      </c>
      <c r="AG98" s="207" t="n">
        <f aca="false">IF($A99="","",Summary!$Q$13)</f>
        <v>0</v>
      </c>
      <c r="AH98" s="207" t="n">
        <f aca="false">IF($A99="","",IF(Summary!$R$12="Y",(VLOOKUP($A98,Summary!$AD$6:$AF$9,3)+'Escalating commodity'!I111),'Escalating commodity'!I111))</f>
        <v>0.0515107155496551</v>
      </c>
      <c r="AI98" s="207" t="n">
        <f aca="false">IF($A99="","",AH98)</f>
        <v>0.0515107155496551</v>
      </c>
      <c r="AJ98" s="208" t="n">
        <f aca="false">A98+DAY(EOMONTH(A98,0))/2-1</f>
        <v>39736.5</v>
      </c>
      <c r="AK98" s="209" t="n">
        <f aca="false">IF($A99="","",$A98-$E$1)</f>
        <v>-6204</v>
      </c>
      <c r="AL98" s="182" t="e">
        <f aca="false">IF($A99="","",SPRDOPT(P98,X98,AI98,0,AB98,AE98,AF98,AK98,$AJ$2,0))</f>
        <v>#NAME?</v>
      </c>
      <c r="AM98" s="210" t="e">
        <f aca="false">IF($A99="","",MAX(0,O98-W98-AI98))</f>
        <v>#N/A</v>
      </c>
      <c r="AN98" s="211" t="e">
        <f aca="false">IF($A99="","",AL98-AM98)</f>
        <v>#N/A</v>
      </c>
      <c r="AO98" s="137" t="n">
        <f aca="false">IF(A99="","",A99-A98)</f>
        <v>31</v>
      </c>
      <c r="AP98" s="212" t="n">
        <f aca="false">IF(A99="","",CHOOSE(F$3,A99+24,A98))</f>
        <v>39722</v>
      </c>
      <c r="AQ98" s="209" t="n">
        <f aca="false">IF(A99="","",AP98-$E$1)</f>
        <v>-6204</v>
      </c>
      <c r="AR98" s="185" t="n">
        <f aca="false">'ANR OK vs ML7'!AR98</f>
        <v>0.1</v>
      </c>
      <c r="AS98" s="213" t="n">
        <f aca="false">IF(A99="","",1/(1+CHOOSE(F$3,(AR99+($I$3/10000))/2,(AR98+($I$3/10000))/2))^(2*AQ98/365.25))</f>
        <v>5.24598483030833</v>
      </c>
      <c r="AT98" s="137" t="n">
        <f aca="false">IF(A99="","",IF(AND(mthbeg&lt;=A98,mthend&gt;=A98),1,0))</f>
        <v>1</v>
      </c>
      <c r="AU98" s="137" t="n">
        <f aca="false">IF(A99="","",AO98*AT98)</f>
        <v>31</v>
      </c>
      <c r="AW98" s="195" t="e">
        <f aca="false">IF($A99="","",AL98*$E98)</f>
        <v>#NAME?</v>
      </c>
      <c r="AX98" s="195" t="e">
        <f aca="false">IF($A99="","",AM98*$E98)</f>
        <v>#N/A</v>
      </c>
      <c r="AY98" s="195" t="e">
        <f aca="false">IF($A99="","",AN98*$E98)</f>
        <v>#N/A</v>
      </c>
      <c r="BA98" s="195" t="n">
        <f aca="false">IF($A99="","",F98*Summary!$Q$13)</f>
        <v>0</v>
      </c>
      <c r="BC98" s="179" t="e">
        <f aca="false">IF(A99="","",AM98*F98)</f>
        <v>#N/A</v>
      </c>
    </row>
    <row r="99" customFormat="false" ht="12.75" hidden="false" customHeight="false" outlineLevel="0" collapsed="false">
      <c r="A99" s="196" t="n">
        <f aca="false">IF(A98&lt;mthend,EDATE(A98,1),"")</f>
        <v>39753</v>
      </c>
      <c r="B99" s="197" t="n">
        <f aca="false">IF(A99&lt;mthend,B98,"")</f>
        <v>28400</v>
      </c>
      <c r="C99" s="215"/>
      <c r="D99" s="197" t="n">
        <f aca="false">IF(A100&lt;&gt;"",B99+C99,"")</f>
        <v>28400</v>
      </c>
      <c r="E99" s="199" t="n">
        <f aca="false">IF(A100="","",IF(AND(AT99=1,$H$3=1),D99*AO99,IF($H$3=2,D99,"N/A")))</f>
        <v>852000</v>
      </c>
      <c r="F99" s="199" t="n">
        <f aca="false">IF(A100="","",E99*AS99)</f>
        <v>4432715.0121018</v>
      </c>
      <c r="G99" s="200" t="e">
        <f aca="false">IF($A100="","",VLOOKUP($A99,Table,MATCH(G$4,Curves,0)))</f>
        <v>#N/A</v>
      </c>
      <c r="H99" s="201" t="e">
        <f aca="false">IF(A100="","",G99)</f>
        <v>#N/A</v>
      </c>
      <c r="I99" s="202"/>
      <c r="J99" s="200" t="e">
        <f aca="false">IF($A100="","",VLOOKUP($A99,Table,MATCH(J$4,Curves,0)))</f>
        <v>#N/A</v>
      </c>
      <c r="K99" s="201" t="e">
        <f aca="false">IF(A100="","",J99)</f>
        <v>#N/A</v>
      </c>
      <c r="L99" s="185" t="n">
        <v>0</v>
      </c>
      <c r="M99" s="201" t="n">
        <f aca="false">IF(A100="","",L99)</f>
        <v>0</v>
      </c>
      <c r="N99" s="203"/>
      <c r="O99" s="200" t="e">
        <f aca="false">IF(A100="","",L99+J99+G99)</f>
        <v>#N/A</v>
      </c>
      <c r="P99" s="200" t="e">
        <f aca="false">IF(A100="","",M99+K99+H99)</f>
        <v>#N/A</v>
      </c>
      <c r="Q99" s="204"/>
      <c r="R99" s="200" t="e">
        <f aca="false">IF($A100="","",VLOOKUP($A99,Table,MATCH(R$4,Curves,0)))</f>
        <v>#N/A</v>
      </c>
      <c r="S99" s="201" t="e">
        <f aca="false">IF(A100="","",R99)</f>
        <v>#N/A</v>
      </c>
      <c r="T99" s="185" t="n">
        <v>0</v>
      </c>
      <c r="U99" s="201" t="n">
        <f aca="false">IF(A100="","",T99)</f>
        <v>0</v>
      </c>
      <c r="V99" s="205" t="e">
        <f aca="false">(G99+R99)/(1-Summary!$T$13)*Summary!$T$13</f>
        <v>#N/A</v>
      </c>
      <c r="W99" s="202" t="e">
        <f aca="false">IF($A100="","",(T99+R99+G99+V99))</f>
        <v>#N/A</v>
      </c>
      <c r="X99" s="202" t="e">
        <f aca="false">IF($A100="","",(U99+S99+H99+V99))</f>
        <v>#N/A</v>
      </c>
      <c r="Y99" s="202"/>
      <c r="Z99" s="185" t="e">
        <f aca="false">IF($A100="","",VLOOKUP($A99,Table,MATCH(Z$4,Curves,0)))</f>
        <v>#N/A</v>
      </c>
      <c r="AA99" s="185" t="e">
        <f aca="false">IF($A100="","",VLOOKUP($A99,Table,MATCH(AA$4,Curves,0)))</f>
        <v>#N/A</v>
      </c>
      <c r="AB99" s="185" t="e">
        <f aca="false">SQRT((AA99^2*(A99-$D$3)+Z99^2*(DAY(EOMONTH(A99,0))/2))/AK99)</f>
        <v>#N/A</v>
      </c>
      <c r="AC99" s="185" t="e">
        <f aca="false">IF($A100="","",VLOOKUP($A99,Table,MATCH(AC$4,Curves,0)))</f>
        <v>#N/A</v>
      </c>
      <c r="AD99" s="185" t="e">
        <f aca="false">IF($A100="","",VLOOKUP($A99,Table,MATCH(AD$4,Curves,0)))</f>
        <v>#N/A</v>
      </c>
      <c r="AE99" s="185" t="e">
        <f aca="false">SQRT((AD99^2*(A99-$D$3)+AC99^2*(DAY(EOMONTH(A99,0))/2))/AK99)</f>
        <v>#N/A</v>
      </c>
      <c r="AF99" s="224" t="e">
        <f aca="false">((Summary!$N$13*(AA99*AD99)*(A99-$D$3))+(Summary!$M$13*Z99*AC99*(AJ99-EOMONTH(EDATE(A99,-1),0))))/(AK99*AB99*AE99)</f>
        <v>#N/A</v>
      </c>
      <c r="AG99" s="207" t="n">
        <f aca="false">IF($A100="","",Summary!$Q$13)</f>
        <v>0</v>
      </c>
      <c r="AH99" s="207" t="n">
        <f aca="false">IF($A100="","",IF(Summary!$R$12="Y",(VLOOKUP($A99,Summary!$AD$6:$AF$9,3)+'Escalating commodity'!I112),'Escalating commodity'!I112))</f>
        <v>0.0515107155496551</v>
      </c>
      <c r="AI99" s="207" t="n">
        <f aca="false">IF($A100="","",AH99)</f>
        <v>0.0515107155496551</v>
      </c>
      <c r="AJ99" s="208" t="n">
        <f aca="false">A99+DAY(EOMONTH(A99,0))/2-1</f>
        <v>39767</v>
      </c>
      <c r="AK99" s="209" t="n">
        <f aca="false">IF($A100="","",$A99-$E$1)</f>
        <v>-6173</v>
      </c>
      <c r="AL99" s="182" t="e">
        <f aca="false">IF($A100="","",SPRDOPT(P99,X99,AI99,0,AB99,AE99,AF99,AK99,$AJ$2,0))</f>
        <v>#NAME?</v>
      </c>
      <c r="AM99" s="210" t="e">
        <f aca="false">IF($A100="","",MAX(0,O99-W99-AI99))</f>
        <v>#N/A</v>
      </c>
      <c r="AN99" s="211" t="e">
        <f aca="false">IF($A100="","",AL99-AM99)</f>
        <v>#N/A</v>
      </c>
      <c r="AO99" s="137" t="n">
        <f aca="false">IF(A100="","",A100-A99)</f>
        <v>30</v>
      </c>
      <c r="AP99" s="212" t="n">
        <f aca="false">IF(A100="","",CHOOSE(F$3,A100+24,A99))</f>
        <v>39753</v>
      </c>
      <c r="AQ99" s="209" t="n">
        <f aca="false">IF(A100="","",AP99-$E$1)</f>
        <v>-6173</v>
      </c>
      <c r="AR99" s="185" t="n">
        <f aca="false">'ANR OK vs ML7'!AR99</f>
        <v>0.1</v>
      </c>
      <c r="AS99" s="213" t="n">
        <f aca="false">IF(A100="","",1/(1+CHOOSE(F$3,(AR100+($I$3/10000))/2,(AR99+($I$3/10000))/2))^(2*AQ99/365.25))</f>
        <v>5.20271715035422</v>
      </c>
      <c r="AT99" s="137" t="n">
        <f aca="false">IF(A100="","",IF(AND(mthbeg&lt;=A99,mthend&gt;=A99),1,0))</f>
        <v>1</v>
      </c>
      <c r="AU99" s="137" t="n">
        <f aca="false">IF(A100="","",AO99*AT99)</f>
        <v>30</v>
      </c>
      <c r="AW99" s="195" t="e">
        <f aca="false">IF($A100="","",AL99*$E99)</f>
        <v>#NAME?</v>
      </c>
      <c r="AX99" s="195" t="e">
        <f aca="false">IF($A100="","",AM99*$E99)</f>
        <v>#N/A</v>
      </c>
      <c r="AY99" s="195" t="e">
        <f aca="false">IF($A100="","",AN99*$E99)</f>
        <v>#N/A</v>
      </c>
      <c r="BA99" s="195" t="n">
        <f aca="false">IF($A100="","",F99*Summary!$Q$13)</f>
        <v>0</v>
      </c>
      <c r="BC99" s="179" t="e">
        <f aca="false">IF(A100="","",AM99*F99)</f>
        <v>#N/A</v>
      </c>
    </row>
    <row r="100" customFormat="false" ht="12.75" hidden="false" customHeight="false" outlineLevel="0" collapsed="false">
      <c r="A100" s="196" t="n">
        <f aca="false">IF(A99&lt;mthend,EDATE(A99,1),"")</f>
        <v>39783</v>
      </c>
      <c r="B100" s="197" t="n">
        <f aca="false">IF(A100&lt;mthend,B99,"")</f>
        <v>28400</v>
      </c>
      <c r="C100" s="215"/>
      <c r="D100" s="197" t="n">
        <f aca="false">IF(A101&lt;&gt;"",B100+C100,"")</f>
        <v>28400</v>
      </c>
      <c r="E100" s="199" t="n">
        <f aca="false">IF(A101="","",IF(AND(AT100=1,$H$3=1),D100*AO100,IF($H$3=2,D100,"N/A")))</f>
        <v>880400</v>
      </c>
      <c r="F100" s="199" t="n">
        <f aca="false">IF(A101="","",E100*AS100)</f>
        <v>4543907.28480521</v>
      </c>
      <c r="G100" s="200" t="e">
        <f aca="false">IF($A101="","",VLOOKUP($A100,Table,MATCH(G$4,Curves,0)))</f>
        <v>#N/A</v>
      </c>
      <c r="H100" s="201" t="e">
        <f aca="false">IF(A101="","",G100)</f>
        <v>#N/A</v>
      </c>
      <c r="I100" s="202"/>
      <c r="J100" s="200" t="e">
        <f aca="false">IF($A101="","",VLOOKUP($A100,Table,MATCH(J$4,Curves,0)))</f>
        <v>#N/A</v>
      </c>
      <c r="K100" s="201" t="e">
        <f aca="false">IF(A101="","",J100)</f>
        <v>#N/A</v>
      </c>
      <c r="L100" s="185" t="n">
        <v>0</v>
      </c>
      <c r="M100" s="201" t="n">
        <f aca="false">IF(A101="","",L100)</f>
        <v>0</v>
      </c>
      <c r="N100" s="203"/>
      <c r="O100" s="200" t="e">
        <f aca="false">IF(A101="","",L100+J100+G100)</f>
        <v>#N/A</v>
      </c>
      <c r="P100" s="200" t="e">
        <f aca="false">IF(A101="","",M100+K100+H100)</f>
        <v>#N/A</v>
      </c>
      <c r="Q100" s="204"/>
      <c r="R100" s="200" t="e">
        <f aca="false">IF($A101="","",VLOOKUP($A100,Table,MATCH(R$4,Curves,0)))</f>
        <v>#N/A</v>
      </c>
      <c r="S100" s="201" t="e">
        <f aca="false">IF(A101="","",R100)</f>
        <v>#N/A</v>
      </c>
      <c r="T100" s="185" t="n">
        <v>0</v>
      </c>
      <c r="U100" s="201" t="n">
        <f aca="false">IF(A101="","",T100)</f>
        <v>0</v>
      </c>
      <c r="V100" s="205" t="e">
        <f aca="false">(G100+R100)/(1-Summary!$T$13)*Summary!$T$13</f>
        <v>#N/A</v>
      </c>
      <c r="W100" s="202" t="e">
        <f aca="false">IF($A101="","",(T100+R100+G100+V100))</f>
        <v>#N/A</v>
      </c>
      <c r="X100" s="202" t="e">
        <f aca="false">IF($A101="","",(U100+S100+H100+V100))</f>
        <v>#N/A</v>
      </c>
      <c r="Y100" s="202"/>
      <c r="Z100" s="185" t="e">
        <f aca="false">IF($A101="","",VLOOKUP($A100,Table,MATCH(Z$4,Curves,0)))</f>
        <v>#N/A</v>
      </c>
      <c r="AA100" s="185" t="e">
        <f aca="false">IF($A101="","",VLOOKUP($A100,Table,MATCH(AA$4,Curves,0)))</f>
        <v>#N/A</v>
      </c>
      <c r="AB100" s="185" t="e">
        <f aca="false">SQRT((AA100^2*(A100-$D$3)+Z100^2*(DAY(EOMONTH(A100,0))/2))/AK100)</f>
        <v>#N/A</v>
      </c>
      <c r="AC100" s="185" t="e">
        <f aca="false">IF($A101="","",VLOOKUP($A100,Table,MATCH(AC$4,Curves,0)))</f>
        <v>#N/A</v>
      </c>
      <c r="AD100" s="185" t="e">
        <f aca="false">IF($A101="","",VLOOKUP($A100,Table,MATCH(AD$4,Curves,0)))</f>
        <v>#N/A</v>
      </c>
      <c r="AE100" s="185" t="e">
        <f aca="false">SQRT((AD100^2*(A100-$D$3)+AC100^2*(DAY(EOMONTH(A100,0))/2))/AK100)</f>
        <v>#N/A</v>
      </c>
      <c r="AF100" s="224" t="e">
        <f aca="false">((Summary!$N$13*(AA100*AD100)*(A100-$D$3))+(Summary!$M$13*Z100*AC100*(AJ100-EOMONTH(EDATE(A100,-1),0))))/(AK100*AB100*AE100)</f>
        <v>#N/A</v>
      </c>
      <c r="AG100" s="207" t="n">
        <f aca="false">IF($A101="","",Summary!$Q$13)</f>
        <v>0</v>
      </c>
      <c r="AH100" s="207" t="n">
        <f aca="false">IF($A101="","",IF(Summary!$R$12="Y",(VLOOKUP($A100,Summary!$AD$6:$AF$9,3)+'Escalating commodity'!I113),'Escalating commodity'!I113))</f>
        <v>0.0515107155496551</v>
      </c>
      <c r="AI100" s="207" t="n">
        <f aca="false">IF($A101="","",AH100)</f>
        <v>0.0515107155496551</v>
      </c>
      <c r="AJ100" s="208" t="n">
        <f aca="false">A100+DAY(EOMONTH(A100,0))/2-1</f>
        <v>39797.5</v>
      </c>
      <c r="AK100" s="209" t="n">
        <f aca="false">IF($A101="","",$A100-$E$1)</f>
        <v>-6143</v>
      </c>
      <c r="AL100" s="182" t="e">
        <f aca="false">IF($A101="","",SPRDOPT(P100,X100,AI100,0,AB100,AE100,AF100,AK100,$AJ$2,0))</f>
        <v>#NAME?</v>
      </c>
      <c r="AM100" s="210" t="e">
        <f aca="false">IF($A101="","",MAX(0,O100-W100-AI100))</f>
        <v>#N/A</v>
      </c>
      <c r="AN100" s="211" t="e">
        <f aca="false">IF($A101="","",AL100-AM100)</f>
        <v>#N/A</v>
      </c>
      <c r="AO100" s="137" t="n">
        <f aca="false">IF(A101="","",A101-A100)</f>
        <v>31</v>
      </c>
      <c r="AP100" s="212" t="n">
        <f aca="false">IF(A101="","",CHOOSE(F$3,A101+24,A100))</f>
        <v>39783</v>
      </c>
      <c r="AQ100" s="209" t="n">
        <f aca="false">IF(A101="","",AP100-$E$1)</f>
        <v>-6143</v>
      </c>
      <c r="AR100" s="185" t="n">
        <f aca="false">'ANR OK vs ML7'!AR100</f>
        <v>0.1</v>
      </c>
      <c r="AS100" s="213" t="n">
        <f aca="false">IF(A101="","",1/(1+CHOOSE(F$3,(AR101+($I$3/10000))/2,(AR100+($I$3/10000))/2))^(2*AQ100/365.25))</f>
        <v>5.16118501227306</v>
      </c>
      <c r="AT100" s="137" t="n">
        <f aca="false">IF(A101="","",IF(AND(mthbeg&lt;=A100,mthend&gt;=A100),1,0))</f>
        <v>1</v>
      </c>
      <c r="AU100" s="137" t="n">
        <f aca="false">IF(A101="","",AO100*AT100)</f>
        <v>31</v>
      </c>
      <c r="AW100" s="195" t="e">
        <f aca="false">IF($A101="","",AL100*$E100)</f>
        <v>#NAME?</v>
      </c>
      <c r="AX100" s="195" t="e">
        <f aca="false">IF($A101="","",AM100*$E100)</f>
        <v>#N/A</v>
      </c>
      <c r="AY100" s="195" t="e">
        <f aca="false">IF($A101="","",AN100*$E100)</f>
        <v>#N/A</v>
      </c>
      <c r="BA100" s="195" t="n">
        <f aca="false">IF($A101="","",F100*Summary!$Q$13)</f>
        <v>0</v>
      </c>
      <c r="BC100" s="179" t="e">
        <f aca="false">IF(A101="","",AM100*F100)</f>
        <v>#N/A</v>
      </c>
    </row>
    <row r="101" customFormat="false" ht="12.75" hidden="false" customHeight="false" outlineLevel="0" collapsed="false">
      <c r="A101" s="196" t="n">
        <f aca="false">IF(A100&lt;mthend,EDATE(A100,1),"")</f>
        <v>39814</v>
      </c>
      <c r="B101" s="197" t="n">
        <f aca="false">IF(A101&lt;mthend,B100,"")</f>
        <v>28400</v>
      </c>
      <c r="C101" s="215"/>
      <c r="D101" s="197" t="n">
        <f aca="false">IF(A102&lt;&gt;"",B101+C101,"")</f>
        <v>28400</v>
      </c>
      <c r="E101" s="199" t="n">
        <f aca="false">IF(A102="","",IF(AND(AT101=1,$H$3=1),D101*AO101,IF($H$3=2,D101,"N/A")))</f>
        <v>880400</v>
      </c>
      <c r="F101" s="199" t="n">
        <f aca="false">IF(A102="","",E101*AS101)</f>
        <v>4506430.17945708</v>
      </c>
      <c r="G101" s="200" t="e">
        <f aca="false">IF($A102="","",VLOOKUP($A101,Table,MATCH(G$4,Curves,0)))</f>
        <v>#N/A</v>
      </c>
      <c r="H101" s="201" t="e">
        <f aca="false">IF(A102="","",G101)</f>
        <v>#N/A</v>
      </c>
      <c r="I101" s="202"/>
      <c r="J101" s="200" t="e">
        <f aca="false">IF($A102="","",VLOOKUP($A101,Table,MATCH(J$4,Curves,0)))</f>
        <v>#N/A</v>
      </c>
      <c r="K101" s="201" t="e">
        <f aca="false">IF(A102="","",J101)</f>
        <v>#N/A</v>
      </c>
      <c r="L101" s="185" t="n">
        <v>0</v>
      </c>
      <c r="M101" s="201" t="n">
        <f aca="false">IF(A102="","",L101)</f>
        <v>0</v>
      </c>
      <c r="N101" s="203"/>
      <c r="O101" s="200" t="e">
        <f aca="false">IF(A102="","",L101+J101+G101)</f>
        <v>#N/A</v>
      </c>
      <c r="P101" s="200" t="e">
        <f aca="false">IF(A102="","",M101+K101+H101)</f>
        <v>#N/A</v>
      </c>
      <c r="Q101" s="204"/>
      <c r="R101" s="200" t="e">
        <f aca="false">IF($A102="","",VLOOKUP($A101,Table,MATCH(R$4,Curves,0)))</f>
        <v>#N/A</v>
      </c>
      <c r="S101" s="201" t="e">
        <f aca="false">IF(A102="","",R101)</f>
        <v>#N/A</v>
      </c>
      <c r="T101" s="185" t="n">
        <v>0</v>
      </c>
      <c r="U101" s="201" t="n">
        <f aca="false">IF(A102="","",T101)</f>
        <v>0</v>
      </c>
      <c r="V101" s="205" t="e">
        <f aca="false">(G101+R101)/(1-Summary!$T$13)*Summary!$T$13</f>
        <v>#N/A</v>
      </c>
      <c r="W101" s="202" t="e">
        <f aca="false">IF($A102="","",(T101+R101+G101+V101))</f>
        <v>#N/A</v>
      </c>
      <c r="X101" s="202" t="e">
        <f aca="false">IF($A102="","",(U101+S101+H101+V101))</f>
        <v>#N/A</v>
      </c>
      <c r="Y101" s="202"/>
      <c r="Z101" s="185" t="e">
        <f aca="false">IF($A102="","",VLOOKUP($A101,Table,MATCH(Z$4,Curves,0)))</f>
        <v>#N/A</v>
      </c>
      <c r="AA101" s="185" t="e">
        <f aca="false">IF($A102="","",VLOOKUP($A101,Table,MATCH(AA$4,Curves,0)))</f>
        <v>#N/A</v>
      </c>
      <c r="AB101" s="185" t="e">
        <f aca="false">SQRT((AA101^2*(A101-$D$3)+Z101^2*(DAY(EOMONTH(A101,0))/2))/AK101)</f>
        <v>#N/A</v>
      </c>
      <c r="AC101" s="185" t="e">
        <f aca="false">IF($A102="","",VLOOKUP($A101,Table,MATCH(AC$4,Curves,0)))</f>
        <v>#N/A</v>
      </c>
      <c r="AD101" s="185" t="e">
        <f aca="false">IF($A102="","",VLOOKUP($A101,Table,MATCH(AD$4,Curves,0)))</f>
        <v>#N/A</v>
      </c>
      <c r="AE101" s="185" t="e">
        <f aca="false">SQRT((AD101^2*(A101-$D$3)+AC101^2*(DAY(EOMONTH(A101,0))/2))/AK101)</f>
        <v>#N/A</v>
      </c>
      <c r="AF101" s="224" t="e">
        <f aca="false">((Summary!$N$13*(AA101*AD101)*(A101-$D$3))+(Summary!$M$13*Z101*AC101*(AJ101-EOMONTH(EDATE(A101,-1),0))))/(AK101*AB101*AE101)</f>
        <v>#N/A</v>
      </c>
      <c r="AG101" s="207" t="n">
        <f aca="false">IF($A102="","",Summary!$Q$13)</f>
        <v>0</v>
      </c>
      <c r="AH101" s="207" t="n">
        <f aca="false">IF($A102="","",IF(Summary!$R$12="Y",(VLOOKUP($A101,Summary!$AD$6:$AF$9,3)+'Escalating commodity'!I114),'Escalating commodity'!I114))</f>
        <v>0.0525409298606482</v>
      </c>
      <c r="AI101" s="207" t="n">
        <f aca="false">IF($A102="","",AH101)</f>
        <v>0.0525409298606482</v>
      </c>
      <c r="AJ101" s="208" t="n">
        <f aca="false">A101+DAY(EOMONTH(A101,0))/2-1</f>
        <v>39828.5</v>
      </c>
      <c r="AK101" s="209" t="n">
        <f aca="false">IF($A102="","",$A101-$E$1)</f>
        <v>-6112</v>
      </c>
      <c r="AL101" s="182" t="e">
        <f aca="false">IF($A102="","",SPRDOPT(P101,X101,AI101,0,AB101,AE101,AF101,AK101,$AJ$2,0))</f>
        <v>#NAME?</v>
      </c>
      <c r="AM101" s="210" t="e">
        <f aca="false">IF($A102="","",MAX(0,O101-W101-AI101))</f>
        <v>#N/A</v>
      </c>
      <c r="AN101" s="211" t="e">
        <f aca="false">IF($A102="","",AL101-AM101)</f>
        <v>#N/A</v>
      </c>
      <c r="AO101" s="137" t="n">
        <f aca="false">IF(A102="","",A102-A101)</f>
        <v>31</v>
      </c>
      <c r="AP101" s="212" t="n">
        <f aca="false">IF(A102="","",CHOOSE(F$3,A102+24,A101))</f>
        <v>39814</v>
      </c>
      <c r="AQ101" s="209" t="n">
        <f aca="false">IF(A102="","",AP101-$E$1)</f>
        <v>-6112</v>
      </c>
      <c r="AR101" s="185" t="n">
        <f aca="false">'ANR OK vs ML7'!AR101</f>
        <v>0.1</v>
      </c>
      <c r="AS101" s="213" t="n">
        <f aca="false">IF(A102="","",1/(1+CHOOSE(F$3,(AR102+($I$3/10000))/2,(AR101+($I$3/10000))/2))^(2*AQ101/365.25))</f>
        <v>5.11861674177315</v>
      </c>
      <c r="AT101" s="137" t="n">
        <f aca="false">IF(A102="","",IF(AND(mthbeg&lt;=A101,mthend&gt;=A101),1,0))</f>
        <v>1</v>
      </c>
      <c r="AU101" s="137" t="n">
        <f aca="false">IF(A102="","",AO101*AT101)</f>
        <v>31</v>
      </c>
      <c r="AW101" s="195" t="e">
        <f aca="false">IF($A102="","",AL101*$E101)</f>
        <v>#NAME?</v>
      </c>
      <c r="AX101" s="195" t="e">
        <f aca="false">IF($A102="","",AM101*$E101)</f>
        <v>#N/A</v>
      </c>
      <c r="AY101" s="195" t="e">
        <f aca="false">IF($A102="","",AN101*$E101)</f>
        <v>#N/A</v>
      </c>
      <c r="BA101" s="195" t="n">
        <f aca="false">IF($A102="","",F101*Summary!$Q$13)</f>
        <v>0</v>
      </c>
      <c r="BC101" s="179" t="e">
        <f aca="false">IF(A102="","",AM101*F101)</f>
        <v>#N/A</v>
      </c>
    </row>
    <row r="102" customFormat="false" ht="12.75" hidden="false" customHeight="false" outlineLevel="0" collapsed="false">
      <c r="A102" s="196" t="n">
        <f aca="false">IF(A101&lt;mthend,EDATE(A101,1),"")</f>
        <v>39845</v>
      </c>
      <c r="B102" s="197" t="n">
        <f aca="false">IF(A102&lt;mthend,B101,"")</f>
        <v>28400</v>
      </c>
      <c r="C102" s="215"/>
      <c r="D102" s="197" t="n">
        <f aca="false">IF(A103&lt;&gt;"",B102+C102,"")</f>
        <v>28400</v>
      </c>
      <c r="E102" s="199" t="n">
        <f aca="false">IF(A103="","",IF(AND(AT102=1,$H$3=1),D102*AO102,IF($H$3=2,D102,"N/A")))</f>
        <v>795200</v>
      </c>
      <c r="F102" s="199" t="n">
        <f aca="false">IF(A103="","",E102*AS102)</f>
        <v>4036752.93377568</v>
      </c>
      <c r="G102" s="200" t="e">
        <f aca="false">IF($A103="","",VLOOKUP($A102,Table,MATCH(G$4,Curves,0)))</f>
        <v>#N/A</v>
      </c>
      <c r="H102" s="201" t="e">
        <f aca="false">IF(A103="","",G102)</f>
        <v>#N/A</v>
      </c>
      <c r="I102" s="202"/>
      <c r="J102" s="200" t="e">
        <f aca="false">IF($A103="","",VLOOKUP($A102,Table,MATCH(J$4,Curves,0)))</f>
        <v>#N/A</v>
      </c>
      <c r="K102" s="201" t="e">
        <f aca="false">IF(A103="","",J102)</f>
        <v>#N/A</v>
      </c>
      <c r="L102" s="185" t="n">
        <v>0</v>
      </c>
      <c r="M102" s="201" t="n">
        <f aca="false">IF(A103="","",L102)</f>
        <v>0</v>
      </c>
      <c r="N102" s="203"/>
      <c r="O102" s="200" t="e">
        <f aca="false">IF(A103="","",L102+J102+G102)</f>
        <v>#N/A</v>
      </c>
      <c r="P102" s="200" t="e">
        <f aca="false">IF(A103="","",M102+K102+H102)</f>
        <v>#N/A</v>
      </c>
      <c r="Q102" s="204"/>
      <c r="R102" s="200" t="e">
        <f aca="false">IF($A103="","",VLOOKUP($A102,Table,MATCH(R$4,Curves,0)))</f>
        <v>#N/A</v>
      </c>
      <c r="S102" s="201" t="e">
        <f aca="false">IF(A103="","",R102)</f>
        <v>#N/A</v>
      </c>
      <c r="T102" s="185" t="n">
        <v>0</v>
      </c>
      <c r="U102" s="201" t="n">
        <f aca="false">IF(A103="","",T102)</f>
        <v>0</v>
      </c>
      <c r="V102" s="205" t="e">
        <f aca="false">(G102+R102)/(1-Summary!$T$13)*Summary!$T$13</f>
        <v>#N/A</v>
      </c>
      <c r="W102" s="202" t="e">
        <f aca="false">IF($A103="","",(T102+R102+G102+V102))</f>
        <v>#N/A</v>
      </c>
      <c r="X102" s="202" t="e">
        <f aca="false">IF($A103="","",(U102+S102+H102+V102))</f>
        <v>#N/A</v>
      </c>
      <c r="Y102" s="202"/>
      <c r="Z102" s="185" t="e">
        <f aca="false">IF($A103="","",VLOOKUP($A102,Table,MATCH(Z$4,Curves,0)))</f>
        <v>#N/A</v>
      </c>
      <c r="AA102" s="185" t="e">
        <f aca="false">IF($A103="","",VLOOKUP($A102,Table,MATCH(AA$4,Curves,0)))</f>
        <v>#N/A</v>
      </c>
      <c r="AB102" s="185" t="e">
        <f aca="false">SQRT((AA102^2*(A102-$D$3)+Z102^2*(DAY(EOMONTH(A102,0))/2))/AK102)</f>
        <v>#N/A</v>
      </c>
      <c r="AC102" s="185" t="e">
        <f aca="false">IF($A103="","",VLOOKUP($A102,Table,MATCH(AC$4,Curves,0)))</f>
        <v>#N/A</v>
      </c>
      <c r="AD102" s="185" t="e">
        <f aca="false">IF($A103="","",VLOOKUP($A102,Table,MATCH(AD$4,Curves,0)))</f>
        <v>#N/A</v>
      </c>
      <c r="AE102" s="185" t="e">
        <f aca="false">SQRT((AD102^2*(A102-$D$3)+AC102^2*(DAY(EOMONTH(A102,0))/2))/AK102)</f>
        <v>#N/A</v>
      </c>
      <c r="AF102" s="224" t="e">
        <f aca="false">((Summary!$N$13*(AA102*AD102)*(A102-$D$3))+(Summary!$M$13*Z102*AC102*(AJ102-EOMONTH(EDATE(A102,-1),0))))/(AK102*AB102*AE102)</f>
        <v>#N/A</v>
      </c>
      <c r="AG102" s="207" t="n">
        <f aca="false">IF($A103="","",Summary!$Q$13)</f>
        <v>0</v>
      </c>
      <c r="AH102" s="207" t="n">
        <f aca="false">IF($A103="","",IF(Summary!$R$12="Y",(VLOOKUP($A102,Summary!$AD$6:$AF$9,3)+'Escalating commodity'!I115),'Escalating commodity'!I115))</f>
        <v>0.0525409298606482</v>
      </c>
      <c r="AI102" s="207" t="n">
        <f aca="false">IF($A103="","",AH102)</f>
        <v>0.0525409298606482</v>
      </c>
      <c r="AJ102" s="208" t="n">
        <f aca="false">A102+DAY(EOMONTH(A102,0))/2-1</f>
        <v>39858</v>
      </c>
      <c r="AK102" s="209" t="n">
        <f aca="false">IF($A103="","",$A102-$E$1)</f>
        <v>-6081</v>
      </c>
      <c r="AL102" s="182" t="e">
        <f aca="false">IF($A103="","",SPRDOPT(P102,X102,AI102,0,AB102,AE102,AF102,AK102,$AJ$2,0))</f>
        <v>#NAME?</v>
      </c>
      <c r="AM102" s="210" t="e">
        <f aca="false">IF($A103="","",MAX(0,O102-W102-AI102))</f>
        <v>#N/A</v>
      </c>
      <c r="AN102" s="211" t="e">
        <f aca="false">IF($A103="","",AL102-AM102)</f>
        <v>#N/A</v>
      </c>
      <c r="AO102" s="137" t="n">
        <f aca="false">IF(A103="","",A103-A102)</f>
        <v>28</v>
      </c>
      <c r="AP102" s="212" t="n">
        <f aca="false">IF(A103="","",CHOOSE(F$3,A103+24,A102))</f>
        <v>39845</v>
      </c>
      <c r="AQ102" s="209" t="n">
        <f aca="false">IF(A103="","",AP102-$E$1)</f>
        <v>-6081</v>
      </c>
      <c r="AR102" s="185" t="n">
        <f aca="false">'ANR OK vs ML7'!AR102</f>
        <v>0.1</v>
      </c>
      <c r="AS102" s="213" t="n">
        <f aca="false">IF(A103="","",1/(1+CHOOSE(F$3,(AR103+($I$3/10000))/2,(AR102+($I$3/10000))/2))^(2*AQ102/365.25))</f>
        <v>5.07639956460724</v>
      </c>
      <c r="AT102" s="137" t="n">
        <f aca="false">IF(A103="","",IF(AND(mthbeg&lt;=A102,mthend&gt;=A102),1,0))</f>
        <v>1</v>
      </c>
      <c r="AU102" s="137" t="n">
        <f aca="false">IF(A103="","",AO102*AT102)</f>
        <v>28</v>
      </c>
      <c r="AW102" s="195" t="e">
        <f aca="false">IF($A103="","",AL102*$E102)</f>
        <v>#NAME?</v>
      </c>
      <c r="AX102" s="195" t="e">
        <f aca="false">IF($A103="","",AM102*$E102)</f>
        <v>#N/A</v>
      </c>
      <c r="AY102" s="195" t="e">
        <f aca="false">IF($A103="","",AN102*$E102)</f>
        <v>#N/A</v>
      </c>
      <c r="BA102" s="195" t="n">
        <f aca="false">IF($A103="","",F102*Summary!$Q$13)</f>
        <v>0</v>
      </c>
      <c r="BC102" s="179" t="e">
        <f aca="false">IF(A103="","",AM102*F102)</f>
        <v>#N/A</v>
      </c>
    </row>
    <row r="103" customFormat="false" ht="12.75" hidden="false" customHeight="false" outlineLevel="0" collapsed="false">
      <c r="A103" s="196" t="n">
        <f aca="false">IF(A102&lt;mthend,EDATE(A102,1),"")</f>
        <v>39873</v>
      </c>
      <c r="B103" s="197" t="n">
        <f aca="false">IF(A103&lt;mthend,B102,"")</f>
        <v>28400</v>
      </c>
      <c r="C103" s="215"/>
      <c r="D103" s="197" t="n">
        <f aca="false">IF(A104&lt;&gt;"",B103+C103,"")</f>
        <v>28400</v>
      </c>
      <c r="E103" s="199" t="n">
        <f aca="false">IF(A104="","",IF(AND(AT103=1,$H$3=1),D103*AO103,IF($H$3=2,D103,"N/A")))</f>
        <v>880400</v>
      </c>
      <c r="F103" s="199" t="n">
        <f aca="false">IF(A104="","",E103*AS103)</f>
        <v>4435954.63664403</v>
      </c>
      <c r="G103" s="200" t="e">
        <f aca="false">IF($A104="","",VLOOKUP($A103,Table,MATCH(G$4,Curves,0)))</f>
        <v>#N/A</v>
      </c>
      <c r="H103" s="201" t="e">
        <f aca="false">IF(A104="","",G103)</f>
        <v>#N/A</v>
      </c>
      <c r="I103" s="202"/>
      <c r="J103" s="200" t="e">
        <f aca="false">IF($A104="","",VLOOKUP($A103,Table,MATCH(J$4,Curves,0)))</f>
        <v>#N/A</v>
      </c>
      <c r="K103" s="201" t="e">
        <f aca="false">IF(A104="","",J103)</f>
        <v>#N/A</v>
      </c>
      <c r="L103" s="185" t="n">
        <v>0</v>
      </c>
      <c r="M103" s="201" t="n">
        <f aca="false">IF(A104="","",L103)</f>
        <v>0</v>
      </c>
      <c r="N103" s="203"/>
      <c r="O103" s="200" t="e">
        <f aca="false">IF(A104="","",L103+J103+G103)</f>
        <v>#N/A</v>
      </c>
      <c r="P103" s="200" t="e">
        <f aca="false">IF(A104="","",M103+K103+H103)</f>
        <v>#N/A</v>
      </c>
      <c r="Q103" s="204"/>
      <c r="R103" s="200" t="e">
        <f aca="false">IF($A104="","",VLOOKUP($A103,Table,MATCH(R$4,Curves,0)))</f>
        <v>#N/A</v>
      </c>
      <c r="S103" s="201" t="e">
        <f aca="false">IF(A104="","",R103)</f>
        <v>#N/A</v>
      </c>
      <c r="T103" s="185" t="n">
        <v>0</v>
      </c>
      <c r="U103" s="201" t="n">
        <f aca="false">IF(A104="","",T103)</f>
        <v>0</v>
      </c>
      <c r="V103" s="205" t="e">
        <f aca="false">(G103+R103)/(1-Summary!$T$13)*Summary!$T$13</f>
        <v>#N/A</v>
      </c>
      <c r="W103" s="202" t="e">
        <f aca="false">IF($A104="","",(T103+R103+G103+V103))</f>
        <v>#N/A</v>
      </c>
      <c r="X103" s="202" t="e">
        <f aca="false">IF($A104="","",(U103+S103+H103+V103))</f>
        <v>#N/A</v>
      </c>
      <c r="Y103" s="202"/>
      <c r="Z103" s="185" t="e">
        <f aca="false">IF($A104="","",VLOOKUP($A103,Table,MATCH(Z$4,Curves,0)))</f>
        <v>#N/A</v>
      </c>
      <c r="AA103" s="185" t="e">
        <f aca="false">IF($A104="","",VLOOKUP($A103,Table,MATCH(AA$4,Curves,0)))</f>
        <v>#N/A</v>
      </c>
      <c r="AB103" s="185" t="e">
        <f aca="false">SQRT((AA103^2*(A103-$D$3)+Z103^2*(DAY(EOMONTH(A103,0))/2))/AK103)</f>
        <v>#N/A</v>
      </c>
      <c r="AC103" s="185" t="e">
        <f aca="false">IF($A104="","",VLOOKUP($A103,Table,MATCH(AC$4,Curves,0)))</f>
        <v>#N/A</v>
      </c>
      <c r="AD103" s="185" t="e">
        <f aca="false">IF($A104="","",VLOOKUP($A103,Table,MATCH(AD$4,Curves,0)))</f>
        <v>#N/A</v>
      </c>
      <c r="AE103" s="185" t="e">
        <f aca="false">SQRT((AD103^2*(A103-$D$3)+AC103^2*(DAY(EOMONTH(A103,0))/2))/AK103)</f>
        <v>#N/A</v>
      </c>
      <c r="AF103" s="224" t="e">
        <f aca="false">((Summary!$N$13*(AA103*AD103)*(A103-$D$3))+(Summary!$M$13*Z103*AC103*(AJ103-EOMONTH(EDATE(A103,-1),0))))/(AK103*AB103*AE103)</f>
        <v>#N/A</v>
      </c>
      <c r="AG103" s="207" t="n">
        <f aca="false">IF($A104="","",Summary!$Q$13)</f>
        <v>0</v>
      </c>
      <c r="AH103" s="207" t="n">
        <f aca="false">IF($A104="","",IF(Summary!$R$12="Y",(VLOOKUP($A103,Summary!$AD$6:$AF$9,3)+'Escalating commodity'!I116),'Escalating commodity'!I116))</f>
        <v>0.0525409298606482</v>
      </c>
      <c r="AI103" s="207" t="n">
        <f aca="false">IF($A104="","",AH103)</f>
        <v>0.0525409298606482</v>
      </c>
      <c r="AJ103" s="208" t="n">
        <f aca="false">A103+DAY(EOMONTH(A103,0))/2-1</f>
        <v>39887.5</v>
      </c>
      <c r="AK103" s="209" t="n">
        <f aca="false">IF($A104="","",$A103-$E$1)</f>
        <v>-6053</v>
      </c>
      <c r="AL103" s="182" t="e">
        <f aca="false">IF($A104="","",SPRDOPT(P103,X103,AI103,0,AB103,AE103,AF103,AK103,$AJ$2,0))</f>
        <v>#NAME?</v>
      </c>
      <c r="AM103" s="210" t="e">
        <f aca="false">IF($A104="","",MAX(0,O103-W103-AI103))</f>
        <v>#N/A</v>
      </c>
      <c r="AN103" s="211" t="e">
        <f aca="false">IF($A104="","",AL103-AM103)</f>
        <v>#N/A</v>
      </c>
      <c r="AO103" s="137" t="n">
        <f aca="false">IF(A104="","",A104-A103)</f>
        <v>31</v>
      </c>
      <c r="AP103" s="212" t="n">
        <f aca="false">IF(A104="","",CHOOSE(F$3,A104+24,A103))</f>
        <v>39873</v>
      </c>
      <c r="AQ103" s="209" t="n">
        <f aca="false">IF(A104="","",AP103-$E$1)</f>
        <v>-6053</v>
      </c>
      <c r="AR103" s="185" t="n">
        <f aca="false">'ANR OK vs ML7'!AR103</f>
        <v>0.1</v>
      </c>
      <c r="AS103" s="213" t="n">
        <f aca="false">IF(A104="","",1/(1+CHOOSE(F$3,(AR104+($I$3/10000))/2,(AR103+($I$3/10000))/2))^(2*AQ103/365.25))</f>
        <v>5.03856728378468</v>
      </c>
      <c r="AT103" s="137" t="n">
        <f aca="false">IF(A104="","",IF(AND(mthbeg&lt;=A103,mthend&gt;=A103),1,0))</f>
        <v>1</v>
      </c>
      <c r="AU103" s="137" t="n">
        <f aca="false">IF(A104="","",AO103*AT103)</f>
        <v>31</v>
      </c>
      <c r="AW103" s="195" t="e">
        <f aca="false">IF($A104="","",AL103*$E103)</f>
        <v>#NAME?</v>
      </c>
      <c r="AX103" s="195" t="e">
        <f aca="false">IF($A104="","",AM103*$E103)</f>
        <v>#N/A</v>
      </c>
      <c r="AY103" s="195" t="e">
        <f aca="false">IF($A104="","",AN103*$E103)</f>
        <v>#N/A</v>
      </c>
      <c r="BA103" s="195" t="n">
        <f aca="false">IF($A104="","",F103*Summary!$Q$13)</f>
        <v>0</v>
      </c>
      <c r="BC103" s="179" t="e">
        <f aca="false">IF(A104="","",AM103*F103)</f>
        <v>#N/A</v>
      </c>
    </row>
    <row r="104" customFormat="false" ht="12.75" hidden="false" customHeight="false" outlineLevel="0" collapsed="false">
      <c r="A104" s="196" t="n">
        <f aca="false">IF(A103&lt;mthend,EDATE(A103,1),"")</f>
        <v>39904</v>
      </c>
      <c r="B104" s="197" t="n">
        <f aca="false">IF(A104&lt;mthend,B103,"")</f>
        <v>28400</v>
      </c>
      <c r="C104" s="215"/>
      <c r="D104" s="197" t="n">
        <f aca="false">IF(A105&lt;&gt;"",B104+C104,"")</f>
        <v>28400</v>
      </c>
      <c r="E104" s="199" t="n">
        <f aca="false">IF(A105="","",IF(AND(AT104=1,$H$3=1),D104*AO104,IF($H$3=2,D104,"N/A")))</f>
        <v>852000</v>
      </c>
      <c r="F104" s="199" t="n">
        <f aca="false">IF(A105="","",E104*AS104)</f>
        <v>4257452.80643608</v>
      </c>
      <c r="G104" s="200" t="e">
        <f aca="false">IF($A105="","",VLOOKUP($A104,Table,MATCH(G$4,Curves,0)))</f>
        <v>#N/A</v>
      </c>
      <c r="H104" s="201" t="e">
        <f aca="false">IF(A105="","",G104)</f>
        <v>#N/A</v>
      </c>
      <c r="I104" s="202"/>
      <c r="J104" s="200" t="e">
        <f aca="false">IF($A105="","",VLOOKUP($A104,Table,MATCH(J$4,Curves,0)))</f>
        <v>#N/A</v>
      </c>
      <c r="K104" s="201" t="e">
        <f aca="false">IF(A105="","",J104)</f>
        <v>#N/A</v>
      </c>
      <c r="L104" s="185" t="n">
        <v>0</v>
      </c>
      <c r="M104" s="201" t="n">
        <f aca="false">IF(A105="","",L104)</f>
        <v>0</v>
      </c>
      <c r="N104" s="203"/>
      <c r="O104" s="200" t="e">
        <f aca="false">IF(A105="","",L104+J104+G104)</f>
        <v>#N/A</v>
      </c>
      <c r="P104" s="200" t="e">
        <f aca="false">IF(A105="","",M104+K104+H104)</f>
        <v>#N/A</v>
      </c>
      <c r="Q104" s="204"/>
      <c r="R104" s="200" t="e">
        <f aca="false">IF($A105="","",VLOOKUP($A104,Table,MATCH(R$4,Curves,0)))</f>
        <v>#N/A</v>
      </c>
      <c r="S104" s="201" t="e">
        <f aca="false">IF(A105="","",R104)</f>
        <v>#N/A</v>
      </c>
      <c r="T104" s="185" t="n">
        <v>0</v>
      </c>
      <c r="U104" s="201" t="n">
        <f aca="false">IF(A105="","",T104)</f>
        <v>0</v>
      </c>
      <c r="V104" s="205" t="e">
        <f aca="false">(G104+R104)/(1-Summary!$T$13)*Summary!$T$13</f>
        <v>#N/A</v>
      </c>
      <c r="W104" s="202" t="e">
        <f aca="false">IF($A105="","",(T104+R104+G104+V104))</f>
        <v>#N/A</v>
      </c>
      <c r="X104" s="202" t="e">
        <f aca="false">IF($A105="","",(U104+S104+H104+V104))</f>
        <v>#N/A</v>
      </c>
      <c r="Y104" s="202"/>
      <c r="Z104" s="185" t="e">
        <f aca="false">IF($A105="","",VLOOKUP($A104,Table,MATCH(Z$4,Curves,0)))</f>
        <v>#N/A</v>
      </c>
      <c r="AA104" s="185" t="e">
        <f aca="false">IF($A105="","",VLOOKUP($A104,Table,MATCH(AA$4,Curves,0)))</f>
        <v>#N/A</v>
      </c>
      <c r="AB104" s="185" t="e">
        <f aca="false">SQRT((AA104^2*(A104-$D$3)+Z104^2*(DAY(EOMONTH(A104,0))/2))/AK104)</f>
        <v>#N/A</v>
      </c>
      <c r="AC104" s="185" t="e">
        <f aca="false">IF($A105="","",VLOOKUP($A104,Table,MATCH(AC$4,Curves,0)))</f>
        <v>#N/A</v>
      </c>
      <c r="AD104" s="185" t="e">
        <f aca="false">IF($A105="","",VLOOKUP($A104,Table,MATCH(AD$4,Curves,0)))</f>
        <v>#N/A</v>
      </c>
      <c r="AE104" s="185" t="e">
        <f aca="false">SQRT((AD104^2*(A104-$D$3)+AC104^2*(DAY(EOMONTH(A104,0))/2))/AK104)</f>
        <v>#N/A</v>
      </c>
      <c r="AF104" s="224" t="e">
        <f aca="false">((Summary!$N$13*(AA104*AD104)*(A104-$D$3))+(Summary!$M$13*Z104*AC104*(AJ104-EOMONTH(EDATE(A104,-1),0))))/(AK104*AB104*AE104)</f>
        <v>#N/A</v>
      </c>
      <c r="AG104" s="207" t="n">
        <f aca="false">IF($A105="","",Summary!$Q$13)</f>
        <v>0</v>
      </c>
      <c r="AH104" s="207" t="n">
        <f aca="false">IF($A105="","",IF(Summary!$R$12="Y",(VLOOKUP($A104,Summary!$AD$6:$AF$9,3)+'Escalating commodity'!I117),'Escalating commodity'!I117))</f>
        <v>0.0525409298606482</v>
      </c>
      <c r="AI104" s="207" t="n">
        <f aca="false">IF($A105="","",AH104)</f>
        <v>0.0525409298606482</v>
      </c>
      <c r="AJ104" s="208" t="n">
        <f aca="false">A104+DAY(EOMONTH(A104,0))/2-1</f>
        <v>39918</v>
      </c>
      <c r="AK104" s="209" t="n">
        <f aca="false">IF($A105="","",$A104-$E$1)</f>
        <v>-6022</v>
      </c>
      <c r="AL104" s="182" t="e">
        <f aca="false">IF($A105="","",SPRDOPT(P104,X104,AI104,0,AB104,AE104,AF104,AK104,$AJ$2,0))</f>
        <v>#NAME?</v>
      </c>
      <c r="AM104" s="210" t="e">
        <f aca="false">IF($A105="","",MAX(0,O104-W104-AI104))</f>
        <v>#N/A</v>
      </c>
      <c r="AN104" s="211" t="e">
        <f aca="false">IF($A105="","",AL104-AM104)</f>
        <v>#N/A</v>
      </c>
      <c r="AO104" s="137" t="n">
        <f aca="false">IF(A105="","",A105-A104)</f>
        <v>30</v>
      </c>
      <c r="AP104" s="212" t="n">
        <f aca="false">IF(A105="","",CHOOSE(F$3,A105+24,A104))</f>
        <v>39904</v>
      </c>
      <c r="AQ104" s="209" t="n">
        <f aca="false">IF(A105="","",AP104-$E$1)</f>
        <v>-6022</v>
      </c>
      <c r="AR104" s="185" t="n">
        <f aca="false">'ANR OK vs ML7'!AR104</f>
        <v>0.1</v>
      </c>
      <c r="AS104" s="213" t="n">
        <f aca="false">IF(A105="","",1/(1+CHOOSE(F$3,(AR105+($I$3/10000))/2,(AR104+($I$3/10000))/2))^(2*AQ104/365.25))</f>
        <v>4.99701033619258</v>
      </c>
      <c r="AT104" s="137" t="n">
        <f aca="false">IF(A105="","",IF(AND(mthbeg&lt;=A104,mthend&gt;=A104),1,0))</f>
        <v>1</v>
      </c>
      <c r="AU104" s="137" t="n">
        <f aca="false">IF(A105="","",AO104*AT104)</f>
        <v>30</v>
      </c>
      <c r="AW104" s="195" t="e">
        <f aca="false">IF($A105="","",AL104*$E104)</f>
        <v>#NAME?</v>
      </c>
      <c r="AX104" s="195" t="e">
        <f aca="false">IF($A105="","",AM104*$E104)</f>
        <v>#N/A</v>
      </c>
      <c r="AY104" s="195" t="e">
        <f aca="false">IF($A105="","",AN104*$E104)</f>
        <v>#N/A</v>
      </c>
      <c r="BA104" s="195" t="n">
        <f aca="false">IF($A105="","",F104*Summary!$Q$13)</f>
        <v>0</v>
      </c>
      <c r="BC104" s="179" t="e">
        <f aca="false">IF(A105="","",AM104*F104)</f>
        <v>#N/A</v>
      </c>
    </row>
    <row r="105" customFormat="false" ht="12.75" hidden="false" customHeight="false" outlineLevel="0" collapsed="false">
      <c r="A105" s="196" t="n">
        <f aca="false">IF(A104&lt;mthend,EDATE(A104,1),"")</f>
        <v>39934</v>
      </c>
      <c r="B105" s="197" t="n">
        <f aca="false">IF(A105&lt;mthend,B104,"")</f>
        <v>28400</v>
      </c>
      <c r="C105" s="215"/>
      <c r="D105" s="197" t="n">
        <f aca="false">IF(A106&lt;&gt;"",B105+C105,"")</f>
        <v>28400</v>
      </c>
      <c r="E105" s="199" t="n">
        <f aca="false">IF(A106="","",IF(AND(AT105=1,$H$3=1),D105*AO105,IF($H$3=2,D105,"N/A")))</f>
        <v>880400</v>
      </c>
      <c r="F105" s="199" t="n">
        <f aca="false">IF(A106="","",E105*AS105)</f>
        <v>4364248.72094507</v>
      </c>
      <c r="G105" s="200" t="e">
        <f aca="false">IF($A106="","",VLOOKUP($A105,Table,MATCH(G$4,Curves,0)))</f>
        <v>#N/A</v>
      </c>
      <c r="H105" s="201" t="e">
        <f aca="false">IF(A106="","",G105)</f>
        <v>#N/A</v>
      </c>
      <c r="I105" s="202"/>
      <c r="J105" s="200" t="e">
        <f aca="false">IF($A106="","",VLOOKUP($A105,Table,MATCH(J$4,Curves,0)))</f>
        <v>#N/A</v>
      </c>
      <c r="K105" s="201" t="e">
        <f aca="false">IF(A106="","",J105)</f>
        <v>#N/A</v>
      </c>
      <c r="L105" s="185" t="n">
        <v>0</v>
      </c>
      <c r="M105" s="201" t="n">
        <f aca="false">IF(A106="","",L105)</f>
        <v>0</v>
      </c>
      <c r="N105" s="203"/>
      <c r="O105" s="200" t="e">
        <f aca="false">IF(A106="","",L105+J105+G105)</f>
        <v>#N/A</v>
      </c>
      <c r="P105" s="200" t="e">
        <f aca="false">IF(A106="","",M105+K105+H105)</f>
        <v>#N/A</v>
      </c>
      <c r="Q105" s="204"/>
      <c r="R105" s="200" t="e">
        <f aca="false">IF($A106="","",VLOOKUP($A105,Table,MATCH(R$4,Curves,0)))</f>
        <v>#N/A</v>
      </c>
      <c r="S105" s="201" t="e">
        <f aca="false">IF(A106="","",R105)</f>
        <v>#N/A</v>
      </c>
      <c r="T105" s="185" t="n">
        <v>0</v>
      </c>
      <c r="U105" s="201" t="n">
        <f aca="false">IF(A106="","",T105)</f>
        <v>0</v>
      </c>
      <c r="V105" s="205" t="e">
        <f aca="false">(G105+R105)/(1-Summary!$T$13)*Summary!$T$13</f>
        <v>#N/A</v>
      </c>
      <c r="W105" s="202" t="e">
        <f aca="false">IF($A106="","",(T105+R105+G105+V105))</f>
        <v>#N/A</v>
      </c>
      <c r="X105" s="202" t="e">
        <f aca="false">IF($A106="","",(U105+S105+H105+V105))</f>
        <v>#N/A</v>
      </c>
      <c r="Y105" s="202"/>
      <c r="Z105" s="185" t="e">
        <f aca="false">IF($A106="","",VLOOKUP($A105,Table,MATCH(Z$4,Curves,0)))</f>
        <v>#N/A</v>
      </c>
      <c r="AA105" s="185" t="e">
        <f aca="false">IF($A106="","",VLOOKUP($A105,Table,MATCH(AA$4,Curves,0)))</f>
        <v>#N/A</v>
      </c>
      <c r="AB105" s="185" t="e">
        <f aca="false">SQRT((AA105^2*(A105-$D$3)+Z105^2*(DAY(EOMONTH(A105,0))/2))/AK105)</f>
        <v>#N/A</v>
      </c>
      <c r="AC105" s="185" t="e">
        <f aca="false">IF($A106="","",VLOOKUP($A105,Table,MATCH(AC$4,Curves,0)))</f>
        <v>#N/A</v>
      </c>
      <c r="AD105" s="185" t="e">
        <f aca="false">IF($A106="","",VLOOKUP($A105,Table,MATCH(AD$4,Curves,0)))</f>
        <v>#N/A</v>
      </c>
      <c r="AE105" s="185" t="e">
        <f aca="false">SQRT((AD105^2*(A105-$D$3)+AC105^2*(DAY(EOMONTH(A105,0))/2))/AK105)</f>
        <v>#N/A</v>
      </c>
      <c r="AF105" s="224" t="e">
        <f aca="false">((Summary!$N$13*(AA105*AD105)*(A105-$D$3))+(Summary!$M$13*Z105*AC105*(AJ105-EOMONTH(EDATE(A105,-1),0))))/(AK105*AB105*AE105)</f>
        <v>#N/A</v>
      </c>
      <c r="AG105" s="207" t="n">
        <f aca="false">IF($A106="","",Summary!$Q$13)</f>
        <v>0</v>
      </c>
      <c r="AH105" s="207" t="n">
        <f aca="false">IF($A106="","",IF(Summary!$R$12="Y",(VLOOKUP($A105,Summary!$AD$6:$AF$9,3)+'Escalating commodity'!I118),'Escalating commodity'!I118))</f>
        <v>0.0525409298606482</v>
      </c>
      <c r="AI105" s="207" t="n">
        <f aca="false">IF($A106="","",AH105)</f>
        <v>0.0525409298606482</v>
      </c>
      <c r="AJ105" s="208" t="n">
        <f aca="false">A105+DAY(EOMONTH(A105,0))/2-1</f>
        <v>39948.5</v>
      </c>
      <c r="AK105" s="209" t="n">
        <f aca="false">IF($A106="","",$A105-$E$1)</f>
        <v>-5992</v>
      </c>
      <c r="AL105" s="182" t="e">
        <f aca="false">IF($A106="","",SPRDOPT(P105,X105,AI105,0,AB105,AE105,AF105,AK105,$AJ$2,0))</f>
        <v>#NAME?</v>
      </c>
      <c r="AM105" s="210" t="e">
        <f aca="false">IF($A106="","",MAX(0,O105-W105-AI105))</f>
        <v>#N/A</v>
      </c>
      <c r="AN105" s="211" t="e">
        <f aca="false">IF($A106="","",AL105-AM105)</f>
        <v>#N/A</v>
      </c>
      <c r="AO105" s="137" t="n">
        <f aca="false">IF(A106="","",A106-A105)</f>
        <v>31</v>
      </c>
      <c r="AP105" s="212" t="n">
        <f aca="false">IF(A106="","",CHOOSE(F$3,A106+24,A105))</f>
        <v>39934</v>
      </c>
      <c r="AQ105" s="209" t="n">
        <f aca="false">IF(A106="","",AP105-$E$1)</f>
        <v>-5992</v>
      </c>
      <c r="AR105" s="185" t="n">
        <f aca="false">'ANR OK vs ML7'!AR105</f>
        <v>0.1</v>
      </c>
      <c r="AS105" s="213" t="n">
        <f aca="false">IF(A106="","",1/(1+CHOOSE(F$3,(AR106+($I$3/10000))/2,(AR105+($I$3/10000))/2))^(2*AQ105/365.25))</f>
        <v>4.95712031002393</v>
      </c>
      <c r="AT105" s="137" t="n">
        <f aca="false">IF(A106="","",IF(AND(mthbeg&lt;=A105,mthend&gt;=A105),1,0))</f>
        <v>1</v>
      </c>
      <c r="AU105" s="137" t="n">
        <f aca="false">IF(A106="","",AO105*AT105)</f>
        <v>31</v>
      </c>
      <c r="AW105" s="195" t="e">
        <f aca="false">IF($A106="","",AL105*$E105)</f>
        <v>#NAME?</v>
      </c>
      <c r="AX105" s="195" t="e">
        <f aca="false">IF($A106="","",AM105*$E105)</f>
        <v>#N/A</v>
      </c>
      <c r="AY105" s="195" t="e">
        <f aca="false">IF($A106="","",AN105*$E105)</f>
        <v>#N/A</v>
      </c>
      <c r="BA105" s="195" t="n">
        <f aca="false">IF($A106="","",F105*Summary!$Q$13)</f>
        <v>0</v>
      </c>
      <c r="BC105" s="179" t="e">
        <f aca="false">IF(A106="","",AM105*F105)</f>
        <v>#N/A</v>
      </c>
    </row>
    <row r="106" customFormat="false" ht="12.75" hidden="false" customHeight="false" outlineLevel="0" collapsed="false">
      <c r="A106" s="196" t="n">
        <f aca="false">IF(A105&lt;mthend,EDATE(A105,1),"")</f>
        <v>39965</v>
      </c>
      <c r="B106" s="197" t="n">
        <f aca="false">IF(A106&lt;mthend,B105,"")</f>
        <v>28400</v>
      </c>
      <c r="C106" s="215"/>
      <c r="D106" s="197" t="n">
        <f aca="false">IF(A107&lt;&gt;"",B106+C106,"")</f>
        <v>28400</v>
      </c>
      <c r="E106" s="199" t="n">
        <f aca="false">IF(A107="","",IF(AND(AT106=1,$H$3=1),D106*AO106,IF($H$3=2,D106,"N/A")))</f>
        <v>852000</v>
      </c>
      <c r="F106" s="199" t="n">
        <f aca="false">IF(A107="","",E106*AS106)</f>
        <v>4188632.32087278</v>
      </c>
      <c r="G106" s="200" t="e">
        <f aca="false">IF($A107="","",VLOOKUP($A106,Table,MATCH(G$4,Curves,0)))</f>
        <v>#N/A</v>
      </c>
      <c r="H106" s="201" t="e">
        <f aca="false">IF(A107="","",G106)</f>
        <v>#N/A</v>
      </c>
      <c r="I106" s="202"/>
      <c r="J106" s="200" t="e">
        <f aca="false">IF($A107="","",VLOOKUP($A106,Table,MATCH(J$4,Curves,0)))</f>
        <v>#N/A</v>
      </c>
      <c r="K106" s="201" t="e">
        <f aca="false">IF(A107="","",J106)</f>
        <v>#N/A</v>
      </c>
      <c r="L106" s="185" t="n">
        <v>0</v>
      </c>
      <c r="M106" s="201" t="n">
        <f aca="false">IF(A107="","",L106)</f>
        <v>0</v>
      </c>
      <c r="N106" s="203"/>
      <c r="O106" s="200" t="e">
        <f aca="false">IF(A107="","",L106+J106+G106)</f>
        <v>#N/A</v>
      </c>
      <c r="P106" s="200" t="e">
        <f aca="false">IF(A107="","",M106+K106+H106)</f>
        <v>#N/A</v>
      </c>
      <c r="Q106" s="204"/>
      <c r="R106" s="200" t="e">
        <f aca="false">IF($A107="","",VLOOKUP($A106,Table,MATCH(R$4,Curves,0)))</f>
        <v>#N/A</v>
      </c>
      <c r="S106" s="201" t="e">
        <f aca="false">IF(A107="","",R106)</f>
        <v>#N/A</v>
      </c>
      <c r="T106" s="185" t="n">
        <v>0</v>
      </c>
      <c r="U106" s="201" t="n">
        <f aca="false">IF(A107="","",T106)</f>
        <v>0</v>
      </c>
      <c r="V106" s="205" t="e">
        <f aca="false">(G106+R106)/(1-Summary!$T$13)*Summary!$T$13</f>
        <v>#N/A</v>
      </c>
      <c r="W106" s="202" t="e">
        <f aca="false">IF($A107="","",(T106+R106+G106+V106))</f>
        <v>#N/A</v>
      </c>
      <c r="X106" s="202" t="e">
        <f aca="false">IF($A107="","",(U106+S106+H106+V106))</f>
        <v>#N/A</v>
      </c>
      <c r="Y106" s="202"/>
      <c r="Z106" s="185" t="e">
        <f aca="false">IF($A107="","",VLOOKUP($A106,Table,MATCH(Z$4,Curves,0)))</f>
        <v>#N/A</v>
      </c>
      <c r="AA106" s="185" t="e">
        <f aca="false">IF($A107="","",VLOOKUP($A106,Table,MATCH(AA$4,Curves,0)))</f>
        <v>#N/A</v>
      </c>
      <c r="AB106" s="185" t="e">
        <f aca="false">SQRT((AA106^2*(A106-$D$3)+Z106^2*(DAY(EOMONTH(A106,0))/2))/AK106)</f>
        <v>#N/A</v>
      </c>
      <c r="AC106" s="185" t="e">
        <f aca="false">IF($A107="","",VLOOKUP($A106,Table,MATCH(AC$4,Curves,0)))</f>
        <v>#N/A</v>
      </c>
      <c r="AD106" s="185" t="e">
        <f aca="false">IF($A107="","",VLOOKUP($A106,Table,MATCH(AD$4,Curves,0)))</f>
        <v>#N/A</v>
      </c>
      <c r="AE106" s="185" t="e">
        <f aca="false">SQRT((AD106^2*(A106-$D$3)+AC106^2*(DAY(EOMONTH(A106,0))/2))/AK106)</f>
        <v>#N/A</v>
      </c>
      <c r="AF106" s="224" t="e">
        <f aca="false">((Summary!$N$13*(AA106*AD106)*(A106-$D$3))+(Summary!$M$13*Z106*AC106*(AJ106-EOMONTH(EDATE(A106,-1),0))))/(AK106*AB106*AE106)</f>
        <v>#N/A</v>
      </c>
      <c r="AG106" s="207" t="n">
        <f aca="false">IF($A107="","",Summary!$Q$13)</f>
        <v>0</v>
      </c>
      <c r="AH106" s="207" t="n">
        <f aca="false">IF($A107="","",IF(Summary!$R$12="Y",(VLOOKUP($A106,Summary!$AD$6:$AF$9,3)+'Escalating commodity'!I119),'Escalating commodity'!I119))</f>
        <v>0.0525409298606482</v>
      </c>
      <c r="AI106" s="207" t="n">
        <f aca="false">IF($A107="","",AH106)</f>
        <v>0.0525409298606482</v>
      </c>
      <c r="AJ106" s="208" t="n">
        <f aca="false">A106+DAY(EOMONTH(A106,0))/2-1</f>
        <v>39979</v>
      </c>
      <c r="AK106" s="209" t="n">
        <f aca="false">IF($A107="","",$A106-$E$1)</f>
        <v>-5961</v>
      </c>
      <c r="AL106" s="182" t="e">
        <f aca="false">IF($A107="","",SPRDOPT(P106,X106,AI106,0,AB106,AE106,AF106,AK106,$AJ$2,0))</f>
        <v>#NAME?</v>
      </c>
      <c r="AM106" s="210" t="e">
        <f aca="false">IF($A107="","",MAX(0,O106-W106-AI106))</f>
        <v>#N/A</v>
      </c>
      <c r="AN106" s="211" t="e">
        <f aca="false">IF($A107="","",AL106-AM106)</f>
        <v>#N/A</v>
      </c>
      <c r="AO106" s="137" t="n">
        <f aca="false">IF(A107="","",A107-A106)</f>
        <v>30</v>
      </c>
      <c r="AP106" s="212" t="n">
        <f aca="false">IF(A107="","",CHOOSE(F$3,A107+24,A106))</f>
        <v>39965</v>
      </c>
      <c r="AQ106" s="209" t="n">
        <f aca="false">IF(A107="","",AP106-$E$1)</f>
        <v>-5961</v>
      </c>
      <c r="AR106" s="185" t="n">
        <f aca="false">'ANR OK vs ML7'!AR106</f>
        <v>0.1</v>
      </c>
      <c r="AS106" s="213" t="n">
        <f aca="false">IF(A107="","",1/(1+CHOOSE(F$3,(AR107+($I$3/10000))/2,(AR106+($I$3/10000))/2))^(2*AQ106/365.25))</f>
        <v>4.91623511839528</v>
      </c>
      <c r="AT106" s="137" t="n">
        <f aca="false">IF(A107="","",IF(AND(mthbeg&lt;=A106,mthend&gt;=A106),1,0))</f>
        <v>1</v>
      </c>
      <c r="AU106" s="137" t="n">
        <f aca="false">IF(A107="","",AO106*AT106)</f>
        <v>30</v>
      </c>
      <c r="AW106" s="195" t="e">
        <f aca="false">IF($A107="","",AL106*$E106)</f>
        <v>#NAME?</v>
      </c>
      <c r="AX106" s="195" t="e">
        <f aca="false">IF($A107="","",AM106*$E106)</f>
        <v>#N/A</v>
      </c>
      <c r="AY106" s="195" t="e">
        <f aca="false">IF($A107="","",AN106*$E106)</f>
        <v>#N/A</v>
      </c>
      <c r="BA106" s="195" t="n">
        <f aca="false">IF($A107="","",F106*Summary!$Q$13)</f>
        <v>0</v>
      </c>
      <c r="BC106" s="179" t="e">
        <f aca="false">IF(A107="","",AM106*F106)</f>
        <v>#N/A</v>
      </c>
    </row>
    <row r="107" customFormat="false" ht="12.75" hidden="false" customHeight="false" outlineLevel="0" collapsed="false">
      <c r="A107" s="196" t="n">
        <f aca="false">IF(A106&lt;mthend,EDATE(A106,1),"")</f>
        <v>39995</v>
      </c>
      <c r="B107" s="197" t="n">
        <f aca="false">IF(A107&lt;mthend,B106,"")</f>
        <v>28400</v>
      </c>
      <c r="C107" s="215"/>
      <c r="D107" s="197" t="n">
        <f aca="false">IF(A108&lt;&gt;"",B107+C107,"")</f>
        <v>28400</v>
      </c>
      <c r="E107" s="199" t="n">
        <f aca="false">IF(A108="","",IF(AND(AT107=1,$H$3=1),D107*AO107,IF($H$3=2,D107,"N/A")))</f>
        <v>880400</v>
      </c>
      <c r="F107" s="199" t="n">
        <f aca="false">IF(A108="","",E107*AS107)</f>
        <v>4293701.9105047</v>
      </c>
      <c r="G107" s="200" t="e">
        <f aca="false">IF($A108="","",VLOOKUP($A107,Table,MATCH(G$4,Curves,0)))</f>
        <v>#N/A</v>
      </c>
      <c r="H107" s="201" t="e">
        <f aca="false">IF(A108="","",G107)</f>
        <v>#N/A</v>
      </c>
      <c r="I107" s="202"/>
      <c r="J107" s="200" t="e">
        <f aca="false">IF($A108="","",VLOOKUP($A107,Table,MATCH(J$4,Curves,0)))</f>
        <v>#N/A</v>
      </c>
      <c r="K107" s="201" t="e">
        <f aca="false">IF(A108="","",J107)</f>
        <v>#N/A</v>
      </c>
      <c r="L107" s="185" t="n">
        <v>0</v>
      </c>
      <c r="M107" s="201" t="n">
        <f aca="false">IF(A108="","",L107)</f>
        <v>0</v>
      </c>
      <c r="N107" s="203"/>
      <c r="O107" s="200" t="e">
        <f aca="false">IF(A108="","",L107+J107+G107)</f>
        <v>#N/A</v>
      </c>
      <c r="P107" s="200" t="e">
        <f aca="false">IF(A108="","",M107+K107+H107)</f>
        <v>#N/A</v>
      </c>
      <c r="Q107" s="204"/>
      <c r="R107" s="200" t="e">
        <f aca="false">IF($A108="","",VLOOKUP($A107,Table,MATCH(R$4,Curves,0)))</f>
        <v>#N/A</v>
      </c>
      <c r="S107" s="201" t="e">
        <f aca="false">IF(A108="","",R107)</f>
        <v>#N/A</v>
      </c>
      <c r="T107" s="185" t="n">
        <v>0</v>
      </c>
      <c r="U107" s="201" t="n">
        <f aca="false">IF(A108="","",T107)</f>
        <v>0</v>
      </c>
      <c r="V107" s="205" t="e">
        <f aca="false">(G107+R107)/(1-Summary!$T$13)*Summary!$T$13</f>
        <v>#N/A</v>
      </c>
      <c r="W107" s="202" t="e">
        <f aca="false">IF($A108="","",(T107+R107+G107+V107))</f>
        <v>#N/A</v>
      </c>
      <c r="X107" s="202" t="e">
        <f aca="false">IF($A108="","",(U107+S107+H107+V107))</f>
        <v>#N/A</v>
      </c>
      <c r="Y107" s="202"/>
      <c r="Z107" s="185" t="e">
        <f aca="false">IF($A108="","",VLOOKUP($A107,Table,MATCH(Z$4,Curves,0)))</f>
        <v>#N/A</v>
      </c>
      <c r="AA107" s="185" t="e">
        <f aca="false">IF($A108="","",VLOOKUP($A107,Table,MATCH(AA$4,Curves,0)))</f>
        <v>#N/A</v>
      </c>
      <c r="AB107" s="185" t="e">
        <f aca="false">SQRT((AA107^2*(A107-$D$3)+Z107^2*(DAY(EOMONTH(A107,0))/2))/AK107)</f>
        <v>#N/A</v>
      </c>
      <c r="AC107" s="185" t="e">
        <f aca="false">IF($A108="","",VLOOKUP($A107,Table,MATCH(AC$4,Curves,0)))</f>
        <v>#N/A</v>
      </c>
      <c r="AD107" s="185" t="e">
        <f aca="false">IF($A108="","",VLOOKUP($A107,Table,MATCH(AD$4,Curves,0)))</f>
        <v>#N/A</v>
      </c>
      <c r="AE107" s="185" t="e">
        <f aca="false">SQRT((AD107^2*(A107-$D$3)+AC107^2*(DAY(EOMONTH(A107,0))/2))/AK107)</f>
        <v>#N/A</v>
      </c>
      <c r="AF107" s="224" t="e">
        <f aca="false">((Summary!$N$13*(AA107*AD107)*(A107-$D$3))+(Summary!$M$13*Z107*AC107*(AJ107-EOMONTH(EDATE(A107,-1),0))))/(AK107*AB107*AE107)</f>
        <v>#N/A</v>
      </c>
      <c r="AG107" s="207" t="n">
        <f aca="false">IF($A108="","",Summary!$Q$13)</f>
        <v>0</v>
      </c>
      <c r="AH107" s="207" t="n">
        <f aca="false">IF($A108="","",IF(Summary!$R$12="Y",(VLOOKUP($A107,Summary!$AD$6:$AF$9,3)+'Escalating commodity'!I120),'Escalating commodity'!I120))</f>
        <v>0.0525409298606482</v>
      </c>
      <c r="AI107" s="207" t="n">
        <f aca="false">IF($A108="","",AH107)</f>
        <v>0.0525409298606482</v>
      </c>
      <c r="AJ107" s="208" t="n">
        <f aca="false">A107+DAY(EOMONTH(A107,0))/2-1</f>
        <v>40009.5</v>
      </c>
      <c r="AK107" s="209" t="n">
        <f aca="false">IF($A108="","",$A107-$E$1)</f>
        <v>-5931</v>
      </c>
      <c r="AL107" s="182" t="e">
        <f aca="false">IF($A108="","",SPRDOPT(P107,X107,AI107,0,AB107,AE107,AF107,AK107,$AJ$2,0))</f>
        <v>#NAME?</v>
      </c>
      <c r="AM107" s="210" t="e">
        <f aca="false">IF($A108="","",MAX(0,O107-W107-AI107))</f>
        <v>#N/A</v>
      </c>
      <c r="AN107" s="211" t="e">
        <f aca="false">IF($A108="","",AL107-AM107)</f>
        <v>#N/A</v>
      </c>
      <c r="AO107" s="137" t="n">
        <f aca="false">IF(A108="","",A108-A107)</f>
        <v>31</v>
      </c>
      <c r="AP107" s="212" t="n">
        <f aca="false">IF(A108="","",CHOOSE(F$3,A108+24,A107))</f>
        <v>39995</v>
      </c>
      <c r="AQ107" s="209" t="n">
        <f aca="false">IF(A108="","",AP107-$E$1)</f>
        <v>-5931</v>
      </c>
      <c r="AR107" s="185" t="n">
        <f aca="false">'ANR OK vs ML7'!AR107</f>
        <v>0.1</v>
      </c>
      <c r="AS107" s="213" t="n">
        <f aca="false">IF(A108="","",1/(1+CHOOSE(F$3,(AR108+($I$3/10000))/2,(AR107+($I$3/10000))/2))^(2*AQ107/365.25))</f>
        <v>4.87698990289039</v>
      </c>
      <c r="AT107" s="137" t="n">
        <f aca="false">IF(A108="","",IF(AND(mthbeg&lt;=A107,mthend&gt;=A107),1,0))</f>
        <v>1</v>
      </c>
      <c r="AU107" s="137" t="n">
        <f aca="false">IF(A108="","",AO107*AT107)</f>
        <v>31</v>
      </c>
      <c r="AW107" s="195" t="e">
        <f aca="false">IF($A108="","",AL107*$E107)</f>
        <v>#NAME?</v>
      </c>
      <c r="AX107" s="195" t="e">
        <f aca="false">IF($A108="","",AM107*$E107)</f>
        <v>#N/A</v>
      </c>
      <c r="AY107" s="195" t="e">
        <f aca="false">IF($A108="","",AN107*$E107)</f>
        <v>#N/A</v>
      </c>
      <c r="BA107" s="195" t="n">
        <f aca="false">IF($A108="","",F107*Summary!$Q$13)</f>
        <v>0</v>
      </c>
      <c r="BC107" s="179" t="e">
        <f aca="false">IF(A108="","",AM107*F107)</f>
        <v>#N/A</v>
      </c>
    </row>
    <row r="108" customFormat="false" ht="12.75" hidden="false" customHeight="false" outlineLevel="0" collapsed="false">
      <c r="A108" s="196" t="n">
        <f aca="false">IF(A107&lt;mthend,EDATE(A107,1),"")</f>
        <v>40026</v>
      </c>
      <c r="B108" s="197" t="n">
        <f aca="false">IF(A108&lt;mthend,B107,"")</f>
        <v>28400</v>
      </c>
      <c r="C108" s="215"/>
      <c r="D108" s="197" t="n">
        <f aca="false">IF(A109&lt;&gt;"",B108+C108,"")</f>
        <v>28400</v>
      </c>
      <c r="E108" s="199" t="n">
        <f aca="false">IF(A109="","",IF(AND(AT108=1,$H$3=1),D108*AO108,IF($H$3=2,D108,"N/A")))</f>
        <v>880400</v>
      </c>
      <c r="F108" s="199" t="n">
        <f aca="false">IF(A109="","",E108*AS108)</f>
        <v>4258288.44171067</v>
      </c>
      <c r="G108" s="200" t="e">
        <f aca="false">IF($A109="","",VLOOKUP($A108,Table,MATCH(G$4,Curves,0)))</f>
        <v>#N/A</v>
      </c>
      <c r="H108" s="201" t="e">
        <f aca="false">IF(A109="","",G108)</f>
        <v>#N/A</v>
      </c>
      <c r="I108" s="202"/>
      <c r="J108" s="200" t="e">
        <f aca="false">IF($A109="","",VLOOKUP($A108,Table,MATCH(J$4,Curves,0)))</f>
        <v>#N/A</v>
      </c>
      <c r="K108" s="201" t="e">
        <f aca="false">IF(A109="","",J108)</f>
        <v>#N/A</v>
      </c>
      <c r="L108" s="185" t="n">
        <v>0</v>
      </c>
      <c r="M108" s="201" t="n">
        <f aca="false">IF(A109="","",L108)</f>
        <v>0</v>
      </c>
      <c r="N108" s="203"/>
      <c r="O108" s="200" t="e">
        <f aca="false">IF(A109="","",L108+J108+G108)</f>
        <v>#N/A</v>
      </c>
      <c r="P108" s="200" t="e">
        <f aca="false">IF(A109="","",M108+K108+H108)</f>
        <v>#N/A</v>
      </c>
      <c r="Q108" s="204"/>
      <c r="R108" s="200" t="e">
        <f aca="false">IF($A109="","",VLOOKUP($A108,Table,MATCH(R$4,Curves,0)))</f>
        <v>#N/A</v>
      </c>
      <c r="S108" s="201" t="e">
        <f aca="false">IF(A109="","",R108)</f>
        <v>#N/A</v>
      </c>
      <c r="T108" s="185" t="n">
        <v>0</v>
      </c>
      <c r="U108" s="201" t="n">
        <f aca="false">IF(A109="","",T108)</f>
        <v>0</v>
      </c>
      <c r="V108" s="205" t="e">
        <f aca="false">(G108+R108)/(1-Summary!$T$13)*Summary!$T$13</f>
        <v>#N/A</v>
      </c>
      <c r="W108" s="202" t="e">
        <f aca="false">IF($A109="","",(T108+R108+G108+V108))</f>
        <v>#N/A</v>
      </c>
      <c r="X108" s="202" t="e">
        <f aca="false">IF($A109="","",(U108+S108+H108+V108))</f>
        <v>#N/A</v>
      </c>
      <c r="Y108" s="202"/>
      <c r="Z108" s="185" t="e">
        <f aca="false">IF($A109="","",VLOOKUP($A108,Table,MATCH(Z$4,Curves,0)))</f>
        <v>#N/A</v>
      </c>
      <c r="AA108" s="185" t="e">
        <f aca="false">IF($A109="","",VLOOKUP($A108,Table,MATCH(AA$4,Curves,0)))</f>
        <v>#N/A</v>
      </c>
      <c r="AB108" s="185" t="e">
        <f aca="false">SQRT((AA108^2*(A108-$D$3)+Z108^2*(DAY(EOMONTH(A108,0))/2))/AK108)</f>
        <v>#N/A</v>
      </c>
      <c r="AC108" s="185" t="e">
        <f aca="false">IF($A109="","",VLOOKUP($A108,Table,MATCH(AC$4,Curves,0)))</f>
        <v>#N/A</v>
      </c>
      <c r="AD108" s="185" t="e">
        <f aca="false">IF($A109="","",VLOOKUP($A108,Table,MATCH(AD$4,Curves,0)))</f>
        <v>#N/A</v>
      </c>
      <c r="AE108" s="185" t="e">
        <f aca="false">SQRT((AD108^2*(A108-$D$3)+AC108^2*(DAY(EOMONTH(A108,0))/2))/AK108)</f>
        <v>#N/A</v>
      </c>
      <c r="AF108" s="224" t="e">
        <f aca="false">((Summary!$N$13*(AA108*AD108)*(A108-$D$3))+(Summary!$M$13*Z108*AC108*(AJ108-EOMONTH(EDATE(A108,-1),0))))/(AK108*AB108*AE108)</f>
        <v>#N/A</v>
      </c>
      <c r="AG108" s="207" t="n">
        <f aca="false">IF($A109="","",Summary!$Q$13)</f>
        <v>0</v>
      </c>
      <c r="AH108" s="207" t="n">
        <f aca="false">IF($A109="","",IF(Summary!$R$12="Y",(VLOOKUP($A108,Summary!$AD$6:$AF$9,3)+'Escalating commodity'!I121),'Escalating commodity'!I121))</f>
        <v>0.0525409298606482</v>
      </c>
      <c r="AI108" s="207" t="n">
        <f aca="false">IF($A109="","",AH108)</f>
        <v>0.0525409298606482</v>
      </c>
      <c r="AJ108" s="208" t="n">
        <f aca="false">A108+DAY(EOMONTH(A108,0))/2-1</f>
        <v>40040.5</v>
      </c>
      <c r="AK108" s="209" t="n">
        <f aca="false">IF($A109="","",$A108-$E$1)</f>
        <v>-5900</v>
      </c>
      <c r="AL108" s="182" t="e">
        <f aca="false">IF($A109="","",SPRDOPT(P108,X108,AI108,0,AB108,AE108,AF108,AK108,$AJ$2,0))</f>
        <v>#NAME?</v>
      </c>
      <c r="AM108" s="210" t="e">
        <f aca="false">IF($A109="","",MAX(0,O108-W108-AI108))</f>
        <v>#N/A</v>
      </c>
      <c r="AN108" s="211" t="e">
        <f aca="false">IF($A109="","",AL108-AM108)</f>
        <v>#N/A</v>
      </c>
      <c r="AO108" s="137" t="n">
        <f aca="false">IF(A109="","",A109-A108)</f>
        <v>31</v>
      </c>
      <c r="AP108" s="212" t="n">
        <f aca="false">IF(A109="","",CHOOSE(F$3,A109+24,A108))</f>
        <v>40026</v>
      </c>
      <c r="AQ108" s="209" t="n">
        <f aca="false">IF(A109="","",AP108-$E$1)</f>
        <v>-5900</v>
      </c>
      <c r="AR108" s="185" t="n">
        <f aca="false">'ANR OK vs ML7'!AR108</f>
        <v>0.1</v>
      </c>
      <c r="AS108" s="213" t="n">
        <f aca="false">IF(A109="","",1/(1+CHOOSE(F$3,(AR109+($I$3/10000))/2,(AR108+($I$3/10000))/2))^(2*AQ108/365.25))</f>
        <v>4.83676560848554</v>
      </c>
      <c r="AT108" s="137" t="n">
        <f aca="false">IF(A109="","",IF(AND(mthbeg&lt;=A108,mthend&gt;=A108),1,0))</f>
        <v>1</v>
      </c>
      <c r="AU108" s="137" t="n">
        <f aca="false">IF(A109="","",AO108*AT108)</f>
        <v>31</v>
      </c>
      <c r="AW108" s="195" t="e">
        <f aca="false">IF($A109="","",AL108*$E108)</f>
        <v>#NAME?</v>
      </c>
      <c r="AX108" s="195" t="e">
        <f aca="false">IF($A109="","",AM108*$E108)</f>
        <v>#N/A</v>
      </c>
      <c r="AY108" s="195" t="e">
        <f aca="false">IF($A109="","",AN108*$E108)</f>
        <v>#N/A</v>
      </c>
      <c r="BA108" s="195" t="n">
        <f aca="false">IF($A109="","",F108*Summary!$Q$13)</f>
        <v>0</v>
      </c>
      <c r="BC108" s="179" t="e">
        <f aca="false">IF(A109="","",AM108*F108)</f>
        <v>#N/A</v>
      </c>
    </row>
    <row r="109" customFormat="false" ht="12.75" hidden="false" customHeight="false" outlineLevel="0" collapsed="false">
      <c r="A109" s="196" t="n">
        <f aca="false">IF(A108&lt;mthend,EDATE(A108,1),"")</f>
        <v>40057</v>
      </c>
      <c r="B109" s="197" t="n">
        <f aca="false">IF(A109&lt;mthend,B108,"")</f>
        <v>28400</v>
      </c>
      <c r="C109" s="215"/>
      <c r="D109" s="197" t="n">
        <f aca="false">IF(A110&lt;&gt;"",B109+C109,"")</f>
        <v>28400</v>
      </c>
      <c r="E109" s="199" t="n">
        <f aca="false">IF(A110="","",IF(AND(AT109=1,$H$3=1),D109*AO109,IF($H$3=2,D109,"N/A")))</f>
        <v>852000</v>
      </c>
      <c r="F109" s="199" t="n">
        <f aca="false">IF(A110="","",E109*AS109)</f>
        <v>4086935.85976142</v>
      </c>
      <c r="G109" s="200" t="e">
        <f aca="false">IF($A110="","",VLOOKUP($A109,Table,MATCH(G$4,Curves,0)))</f>
        <v>#N/A</v>
      </c>
      <c r="H109" s="201" t="e">
        <f aca="false">IF(A110="","",G109)</f>
        <v>#N/A</v>
      </c>
      <c r="I109" s="202"/>
      <c r="J109" s="200" t="e">
        <f aca="false">IF($A110="","",VLOOKUP($A109,Table,MATCH(J$4,Curves,0)))</f>
        <v>#N/A</v>
      </c>
      <c r="K109" s="201" t="e">
        <f aca="false">IF(A110="","",J109)</f>
        <v>#N/A</v>
      </c>
      <c r="L109" s="185" t="n">
        <v>0</v>
      </c>
      <c r="M109" s="201" t="n">
        <f aca="false">IF(A110="","",L109)</f>
        <v>0</v>
      </c>
      <c r="N109" s="203"/>
      <c r="O109" s="200" t="e">
        <f aca="false">IF(A110="","",L109+J109+G109)</f>
        <v>#N/A</v>
      </c>
      <c r="P109" s="200" t="e">
        <f aca="false">IF(A110="","",M109+K109+H109)</f>
        <v>#N/A</v>
      </c>
      <c r="Q109" s="204"/>
      <c r="R109" s="200" t="e">
        <f aca="false">IF($A110="","",VLOOKUP($A109,Table,MATCH(R$4,Curves,0)))</f>
        <v>#N/A</v>
      </c>
      <c r="S109" s="201" t="e">
        <f aca="false">IF(A110="","",R109)</f>
        <v>#N/A</v>
      </c>
      <c r="T109" s="185" t="n">
        <v>0</v>
      </c>
      <c r="U109" s="201" t="n">
        <f aca="false">IF(A110="","",T109)</f>
        <v>0</v>
      </c>
      <c r="V109" s="205" t="e">
        <f aca="false">(G109+R109)/(1-Summary!$T$13)*Summary!$T$13</f>
        <v>#N/A</v>
      </c>
      <c r="W109" s="202" t="e">
        <f aca="false">IF($A110="","",(T109+R109+G109+V109))</f>
        <v>#N/A</v>
      </c>
      <c r="X109" s="202" t="e">
        <f aca="false">IF($A110="","",(U109+S109+H109+V109))</f>
        <v>#N/A</v>
      </c>
      <c r="Y109" s="202"/>
      <c r="Z109" s="185" t="e">
        <f aca="false">IF($A110="","",VLOOKUP($A109,Table,MATCH(Z$4,Curves,0)))</f>
        <v>#N/A</v>
      </c>
      <c r="AA109" s="185" t="e">
        <f aca="false">IF($A110="","",VLOOKUP($A109,Table,MATCH(AA$4,Curves,0)))</f>
        <v>#N/A</v>
      </c>
      <c r="AB109" s="185" t="e">
        <f aca="false">SQRT((AA109^2*(A109-$D$3)+Z109^2*(DAY(EOMONTH(A109,0))/2))/AK109)</f>
        <v>#N/A</v>
      </c>
      <c r="AC109" s="185" t="e">
        <f aca="false">IF($A110="","",VLOOKUP($A109,Table,MATCH(AC$4,Curves,0)))</f>
        <v>#N/A</v>
      </c>
      <c r="AD109" s="185" t="e">
        <f aca="false">IF($A110="","",VLOOKUP($A109,Table,MATCH(AD$4,Curves,0)))</f>
        <v>#N/A</v>
      </c>
      <c r="AE109" s="185" t="e">
        <f aca="false">SQRT((AD109^2*(A109-$D$3)+AC109^2*(DAY(EOMONTH(A109,0))/2))/AK109)</f>
        <v>#N/A</v>
      </c>
      <c r="AF109" s="224" t="e">
        <f aca="false">((Summary!$N$13*(AA109*AD109)*(A109-$D$3))+(Summary!$M$13*Z109*AC109*(AJ109-EOMONTH(EDATE(A109,-1),0))))/(AK109*AB109*AE109)</f>
        <v>#N/A</v>
      </c>
      <c r="AG109" s="207" t="n">
        <f aca="false">IF($A110="","",Summary!$Q$13)</f>
        <v>0</v>
      </c>
      <c r="AH109" s="207" t="n">
        <f aca="false">IF($A110="","",IF(Summary!$R$12="Y",(VLOOKUP($A109,Summary!$AD$6:$AF$9,3)+'Escalating commodity'!I122),'Escalating commodity'!I122))</f>
        <v>0.0525409298606482</v>
      </c>
      <c r="AI109" s="207" t="n">
        <f aca="false">IF($A110="","",AH109)</f>
        <v>0.0525409298606482</v>
      </c>
      <c r="AJ109" s="208" t="n">
        <f aca="false">A109+DAY(EOMONTH(A109,0))/2-1</f>
        <v>40071</v>
      </c>
      <c r="AK109" s="209" t="n">
        <f aca="false">IF($A110="","",$A109-$E$1)</f>
        <v>-5869</v>
      </c>
      <c r="AL109" s="182" t="e">
        <f aca="false">IF($A110="","",SPRDOPT(P109,X109,AI109,0,AB109,AE109,AF109,AK109,$AJ$2,0))</f>
        <v>#NAME?</v>
      </c>
      <c r="AM109" s="210" t="e">
        <f aca="false">IF($A110="","",MAX(0,O109-W109-AI109))</f>
        <v>#N/A</v>
      </c>
      <c r="AN109" s="211" t="e">
        <f aca="false">IF($A110="","",AL109-AM109)</f>
        <v>#N/A</v>
      </c>
      <c r="AO109" s="137" t="n">
        <f aca="false">IF(A110="","",A110-A109)</f>
        <v>30</v>
      </c>
      <c r="AP109" s="212" t="n">
        <f aca="false">IF(A110="","",CHOOSE(F$3,A110+24,A109))</f>
        <v>40057</v>
      </c>
      <c r="AQ109" s="209" t="n">
        <f aca="false">IF(A110="","",AP109-$E$1)</f>
        <v>-5869</v>
      </c>
      <c r="AR109" s="185" t="n">
        <f aca="false">'ANR OK vs ML7'!AR109</f>
        <v>0.1</v>
      </c>
      <c r="AS109" s="213" t="n">
        <f aca="false">IF(A110="","",1/(1+CHOOSE(F$3,(AR110+($I$3/10000))/2,(AR109+($I$3/10000))/2))^(2*AQ109/365.25))</f>
        <v>4.79687307483734</v>
      </c>
      <c r="AT109" s="137" t="n">
        <f aca="false">IF(A110="","",IF(AND(mthbeg&lt;=A109,mthend&gt;=A109),1,0))</f>
        <v>1</v>
      </c>
      <c r="AU109" s="137" t="n">
        <f aca="false">IF(A110="","",AO109*AT109)</f>
        <v>30</v>
      </c>
      <c r="AW109" s="195" t="e">
        <f aca="false">IF($A110="","",AL109*$E109)</f>
        <v>#NAME?</v>
      </c>
      <c r="AX109" s="195" t="e">
        <f aca="false">IF($A110="","",AM109*$E109)</f>
        <v>#N/A</v>
      </c>
      <c r="AY109" s="195" t="e">
        <f aca="false">IF($A110="","",AN109*$E109)</f>
        <v>#N/A</v>
      </c>
      <c r="BA109" s="195" t="n">
        <f aca="false">IF($A110="","",F109*Summary!$Q$13)</f>
        <v>0</v>
      </c>
      <c r="BC109" s="179" t="e">
        <f aca="false">IF(A110="","",AM109*F109)</f>
        <v>#N/A</v>
      </c>
    </row>
    <row r="110" customFormat="false" ht="12.75" hidden="false" customHeight="false" outlineLevel="0" collapsed="false">
      <c r="A110" s="196" t="n">
        <f aca="false">IF(A109&lt;mthend,EDATE(A109,1),"")</f>
        <v>40087</v>
      </c>
      <c r="B110" s="197" t="n">
        <f aca="false">IF(A110&lt;mthend,B109,"")</f>
        <v>28400</v>
      </c>
      <c r="C110" s="215"/>
      <c r="D110" s="197" t="n">
        <f aca="false">IF(A111&lt;&gt;"",B110+C110,"")</f>
        <v>28400</v>
      </c>
      <c r="E110" s="199" t="n">
        <f aca="false">IF(A111="","",IF(AND(AT110=1,$H$3=1),D110*AO110,IF($H$3=2,D110,"N/A")))</f>
        <v>880400</v>
      </c>
      <c r="F110" s="199" t="n">
        <f aca="false">IF(A111="","",E110*AS110)</f>
        <v>4189454.44834635</v>
      </c>
      <c r="G110" s="200" t="e">
        <f aca="false">IF($A111="","",VLOOKUP($A110,Table,MATCH(G$4,Curves,0)))</f>
        <v>#N/A</v>
      </c>
      <c r="H110" s="201" t="e">
        <f aca="false">IF(A111="","",G110)</f>
        <v>#N/A</v>
      </c>
      <c r="I110" s="202"/>
      <c r="J110" s="200" t="e">
        <f aca="false">IF($A111="","",VLOOKUP($A110,Table,MATCH(J$4,Curves,0)))</f>
        <v>#N/A</v>
      </c>
      <c r="K110" s="201" t="e">
        <f aca="false">IF(A111="","",J110)</f>
        <v>#N/A</v>
      </c>
      <c r="L110" s="185" t="n">
        <v>0</v>
      </c>
      <c r="M110" s="201" t="n">
        <f aca="false">IF(A111="","",L110)</f>
        <v>0</v>
      </c>
      <c r="N110" s="203"/>
      <c r="O110" s="200" t="e">
        <f aca="false">IF(A111="","",L110+J110+G110)</f>
        <v>#N/A</v>
      </c>
      <c r="P110" s="200" t="e">
        <f aca="false">IF(A111="","",M110+K110+H110)</f>
        <v>#N/A</v>
      </c>
      <c r="Q110" s="204"/>
      <c r="R110" s="200" t="e">
        <f aca="false">IF($A111="","",VLOOKUP($A110,Table,MATCH(R$4,Curves,0)))</f>
        <v>#N/A</v>
      </c>
      <c r="S110" s="201" t="e">
        <f aca="false">IF(A111="","",R110)</f>
        <v>#N/A</v>
      </c>
      <c r="T110" s="185" t="n">
        <v>0</v>
      </c>
      <c r="U110" s="201" t="n">
        <f aca="false">IF(A111="","",T110)</f>
        <v>0</v>
      </c>
      <c r="V110" s="205" t="e">
        <f aca="false">(G110+R110)/(1-Summary!$T$13)*Summary!$T$13</f>
        <v>#N/A</v>
      </c>
      <c r="W110" s="202" t="e">
        <f aca="false">IF($A111="","",(T110+R110+G110+V110))</f>
        <v>#N/A</v>
      </c>
      <c r="X110" s="202" t="e">
        <f aca="false">IF($A111="","",(U110+S110+H110+V110))</f>
        <v>#N/A</v>
      </c>
      <c r="Y110" s="202"/>
      <c r="Z110" s="185" t="e">
        <f aca="false">IF($A111="","",VLOOKUP($A110,Table,MATCH(Z$4,Curves,0)))</f>
        <v>#N/A</v>
      </c>
      <c r="AA110" s="185" t="e">
        <f aca="false">IF($A111="","",VLOOKUP($A110,Table,MATCH(AA$4,Curves,0)))</f>
        <v>#N/A</v>
      </c>
      <c r="AB110" s="185" t="e">
        <f aca="false">SQRT((AA110^2*(A110-$D$3)+Z110^2*(DAY(EOMONTH(A110,0))/2))/AK110)</f>
        <v>#N/A</v>
      </c>
      <c r="AC110" s="185" t="e">
        <f aca="false">IF($A111="","",VLOOKUP($A110,Table,MATCH(AC$4,Curves,0)))</f>
        <v>#N/A</v>
      </c>
      <c r="AD110" s="185" t="e">
        <f aca="false">IF($A111="","",VLOOKUP($A110,Table,MATCH(AD$4,Curves,0)))</f>
        <v>#N/A</v>
      </c>
      <c r="AE110" s="185" t="e">
        <f aca="false">SQRT((AD110^2*(A110-$D$3)+AC110^2*(DAY(EOMONTH(A110,0))/2))/AK110)</f>
        <v>#N/A</v>
      </c>
      <c r="AF110" s="224" t="e">
        <f aca="false">((Summary!$N$13*(AA110*AD110)*(A110-$D$3))+(Summary!$M$13*Z110*AC110*(AJ110-EOMONTH(EDATE(A110,-1),0))))/(AK110*AB110*AE110)</f>
        <v>#N/A</v>
      </c>
      <c r="AG110" s="207" t="n">
        <f aca="false">IF($A111="","",Summary!$Q$13)</f>
        <v>0</v>
      </c>
      <c r="AH110" s="207" t="n">
        <f aca="false">IF($A111="","",IF(Summary!$R$12="Y",(VLOOKUP($A110,Summary!$AD$6:$AF$9,3)+'Escalating commodity'!I123),'Escalating commodity'!I123))</f>
        <v>0.0525409298606482</v>
      </c>
      <c r="AI110" s="207" t="n">
        <f aca="false">IF($A111="","",AH110)</f>
        <v>0.0525409298606482</v>
      </c>
      <c r="AJ110" s="208" t="n">
        <f aca="false">A110+DAY(EOMONTH(A110,0))/2-1</f>
        <v>40101.5</v>
      </c>
      <c r="AK110" s="209" t="n">
        <f aca="false">IF($A111="","",$A110-$E$1)</f>
        <v>-5839</v>
      </c>
      <c r="AL110" s="182" t="e">
        <f aca="false">IF($A111="","",SPRDOPT(P110,X110,AI110,0,AB110,AE110,AF110,AK110,$AJ$2,0))</f>
        <v>#NAME?</v>
      </c>
      <c r="AM110" s="210" t="e">
        <f aca="false">IF($A111="","",MAX(0,O110-W110-AI110))</f>
        <v>#N/A</v>
      </c>
      <c r="AN110" s="211" t="e">
        <f aca="false">IF($A111="","",AL110-AM110)</f>
        <v>#N/A</v>
      </c>
      <c r="AO110" s="137" t="n">
        <f aca="false">IF(A111="","",A111-A110)</f>
        <v>31</v>
      </c>
      <c r="AP110" s="212" t="n">
        <f aca="false">IF(A111="","",CHOOSE(F$3,A111+24,A110))</f>
        <v>40087</v>
      </c>
      <c r="AQ110" s="209" t="n">
        <f aca="false">IF(A111="","",AP110-$E$1)</f>
        <v>-5839</v>
      </c>
      <c r="AR110" s="185" t="n">
        <f aca="false">'ANR OK vs ML7'!AR110</f>
        <v>0.1</v>
      </c>
      <c r="AS110" s="213" t="n">
        <f aca="false">IF(A111="","",1/(1+CHOOSE(F$3,(AR111+($I$3/10000))/2,(AR110+($I$3/10000))/2))^(2*AQ110/365.25))</f>
        <v>4.75858070007537</v>
      </c>
      <c r="AT110" s="137" t="n">
        <f aca="false">IF(A111="","",IF(AND(mthbeg&lt;=A110,mthend&gt;=A110),1,0))</f>
        <v>1</v>
      </c>
      <c r="AU110" s="137" t="n">
        <f aca="false">IF(A111="","",AO110*AT110)</f>
        <v>31</v>
      </c>
      <c r="AW110" s="195" t="e">
        <f aca="false">IF($A111="","",AL110*$E110)</f>
        <v>#NAME?</v>
      </c>
      <c r="AX110" s="195" t="e">
        <f aca="false">IF($A111="","",AM110*$E110)</f>
        <v>#N/A</v>
      </c>
      <c r="AY110" s="195" t="e">
        <f aca="false">IF($A111="","",AN110*$E110)</f>
        <v>#N/A</v>
      </c>
      <c r="BA110" s="195" t="n">
        <f aca="false">IF($A111="","",F110*Summary!$Q$13)</f>
        <v>0</v>
      </c>
      <c r="BC110" s="179" t="e">
        <f aca="false">IF(A111="","",AM110*F110)</f>
        <v>#N/A</v>
      </c>
    </row>
    <row r="111" customFormat="false" ht="12.75" hidden="false" customHeight="false" outlineLevel="0" collapsed="false">
      <c r="A111" s="196" t="n">
        <f aca="false">IF(A110&lt;mthend,EDATE(A110,1),"")</f>
        <v>40118</v>
      </c>
      <c r="B111" s="197" t="n">
        <f aca="false">IF(A111&lt;mthend,B110,"")</f>
        <v>28400</v>
      </c>
      <c r="C111" s="215"/>
      <c r="D111" s="197" t="n">
        <f aca="false">IF(A112&lt;&gt;"",B111+C111,"")</f>
        <v>28400</v>
      </c>
      <c r="E111" s="199" t="n">
        <f aca="false">IF(A112="","",IF(AND(AT111=1,$H$3=1),D111*AO111,IF($H$3=2,D111,"N/A")))</f>
        <v>852000</v>
      </c>
      <c r="F111" s="199" t="n">
        <f aca="false">IF(A112="","",E111*AS111)</f>
        <v>4020871.73101532</v>
      </c>
      <c r="G111" s="200" t="e">
        <f aca="false">IF($A112="","",VLOOKUP($A111,Table,MATCH(G$4,Curves,0)))</f>
        <v>#N/A</v>
      </c>
      <c r="H111" s="201" t="e">
        <f aca="false">IF(A112="","",G111)</f>
        <v>#N/A</v>
      </c>
      <c r="I111" s="202"/>
      <c r="J111" s="200" t="e">
        <f aca="false">IF($A112="","",VLOOKUP($A111,Table,MATCH(J$4,Curves,0)))</f>
        <v>#N/A</v>
      </c>
      <c r="K111" s="201" t="e">
        <f aca="false">IF(A112="","",J111)</f>
        <v>#N/A</v>
      </c>
      <c r="L111" s="185" t="n">
        <v>0</v>
      </c>
      <c r="M111" s="201" t="n">
        <f aca="false">IF(A112="","",L111)</f>
        <v>0</v>
      </c>
      <c r="N111" s="203"/>
      <c r="O111" s="200" t="e">
        <f aca="false">IF(A112="","",L111+J111+G111)</f>
        <v>#N/A</v>
      </c>
      <c r="P111" s="200" t="e">
        <f aca="false">IF(A112="","",M111+K111+H111)</f>
        <v>#N/A</v>
      </c>
      <c r="Q111" s="204"/>
      <c r="R111" s="200" t="e">
        <f aca="false">IF($A112="","",VLOOKUP($A111,Table,MATCH(R$4,Curves,0)))</f>
        <v>#N/A</v>
      </c>
      <c r="S111" s="201" t="e">
        <f aca="false">IF(A112="","",R111)</f>
        <v>#N/A</v>
      </c>
      <c r="T111" s="185" t="n">
        <v>0</v>
      </c>
      <c r="U111" s="201" t="n">
        <f aca="false">IF(A112="","",T111)</f>
        <v>0</v>
      </c>
      <c r="V111" s="205" t="e">
        <f aca="false">(G111+R111)/(1-Summary!$T$13)*Summary!$T$13</f>
        <v>#N/A</v>
      </c>
      <c r="W111" s="202" t="e">
        <f aca="false">IF($A112="","",(T111+R111+G111+V111))</f>
        <v>#N/A</v>
      </c>
      <c r="X111" s="202" t="e">
        <f aca="false">IF($A112="","",(U111+S111+H111+V111))</f>
        <v>#N/A</v>
      </c>
      <c r="Y111" s="202"/>
      <c r="Z111" s="185" t="e">
        <f aca="false">IF($A112="","",VLOOKUP($A111,Table,MATCH(Z$4,Curves,0)))</f>
        <v>#N/A</v>
      </c>
      <c r="AA111" s="185" t="e">
        <f aca="false">IF($A112="","",VLOOKUP($A111,Table,MATCH(AA$4,Curves,0)))</f>
        <v>#N/A</v>
      </c>
      <c r="AB111" s="185" t="e">
        <f aca="false">SQRT((AA111^2*(A111-$D$3)+Z111^2*(DAY(EOMONTH(A111,0))/2))/AK111)</f>
        <v>#N/A</v>
      </c>
      <c r="AC111" s="185" t="e">
        <f aca="false">IF($A112="","",VLOOKUP($A111,Table,MATCH(AC$4,Curves,0)))</f>
        <v>#N/A</v>
      </c>
      <c r="AD111" s="185" t="e">
        <f aca="false">IF($A112="","",VLOOKUP($A111,Table,MATCH(AD$4,Curves,0)))</f>
        <v>#N/A</v>
      </c>
      <c r="AE111" s="185" t="e">
        <f aca="false">SQRT((AD111^2*(A111-$D$3)+AC111^2*(DAY(EOMONTH(A111,0))/2))/AK111)</f>
        <v>#N/A</v>
      </c>
      <c r="AF111" s="224" t="e">
        <f aca="false">((Summary!$N$13*(AA111*AD111)*(A111-$D$3))+(Summary!$M$13*Z111*AC111*(AJ111-EOMONTH(EDATE(A111,-1),0))))/(AK111*AB111*AE111)</f>
        <v>#N/A</v>
      </c>
      <c r="AG111" s="207" t="n">
        <f aca="false">IF($A112="","",Summary!$Q$13)</f>
        <v>0</v>
      </c>
      <c r="AH111" s="207" t="n">
        <f aca="false">IF($A112="","",IF(Summary!$R$12="Y",(VLOOKUP($A111,Summary!$AD$6:$AF$9,3)+'Escalating commodity'!I124),'Escalating commodity'!I124))</f>
        <v>0.0525409298606482</v>
      </c>
      <c r="AI111" s="207" t="n">
        <f aca="false">IF($A112="","",AH111)</f>
        <v>0.0525409298606482</v>
      </c>
      <c r="AJ111" s="208" t="n">
        <f aca="false">A111+DAY(EOMONTH(A111,0))/2-1</f>
        <v>40132</v>
      </c>
      <c r="AK111" s="209" t="n">
        <f aca="false">IF($A112="","",$A111-$E$1)</f>
        <v>-5808</v>
      </c>
      <c r="AL111" s="182" t="e">
        <f aca="false">IF($A112="","",SPRDOPT(P111,X111,AI111,0,AB111,AE111,AF111,AK111,$AJ$2,0))</f>
        <v>#NAME?</v>
      </c>
      <c r="AM111" s="210" t="e">
        <f aca="false">IF($A112="","",MAX(0,O111-W111-AI111))</f>
        <v>#N/A</v>
      </c>
      <c r="AN111" s="211" t="e">
        <f aca="false">IF($A112="","",AL111-AM111)</f>
        <v>#N/A</v>
      </c>
      <c r="AO111" s="137" t="n">
        <f aca="false">IF(A112="","",A112-A111)</f>
        <v>30</v>
      </c>
      <c r="AP111" s="212" t="n">
        <f aca="false">IF(A112="","",CHOOSE(F$3,A112+24,A111))</f>
        <v>40118</v>
      </c>
      <c r="AQ111" s="209" t="n">
        <f aca="false">IF(A112="","",AP111-$E$1)</f>
        <v>-5808</v>
      </c>
      <c r="AR111" s="185" t="n">
        <f aca="false">'ANR OK vs ML7'!AR111</f>
        <v>0.1</v>
      </c>
      <c r="AS111" s="213" t="n">
        <f aca="false">IF(A112="","",1/(1+CHOOSE(F$3,(AR112+($I$3/10000))/2,(AR111+($I$3/10000))/2))^(2*AQ111/365.25))</f>
        <v>4.71933301762361</v>
      </c>
      <c r="AT111" s="137" t="n">
        <f aca="false">IF(A112="","",IF(AND(mthbeg&lt;=A111,mthend&gt;=A111),1,0))</f>
        <v>1</v>
      </c>
      <c r="AU111" s="137" t="n">
        <f aca="false">IF(A112="","",AO111*AT111)</f>
        <v>30</v>
      </c>
      <c r="AW111" s="195" t="e">
        <f aca="false">IF($A112="","",AL111*$E111)</f>
        <v>#NAME?</v>
      </c>
      <c r="AX111" s="195" t="e">
        <f aca="false">IF($A112="","",AM111*$E111)</f>
        <v>#N/A</v>
      </c>
      <c r="AY111" s="195" t="e">
        <f aca="false">IF($A112="","",AN111*$E111)</f>
        <v>#N/A</v>
      </c>
      <c r="BA111" s="195" t="n">
        <f aca="false">IF($A112="","",F111*Summary!$Q$13)</f>
        <v>0</v>
      </c>
      <c r="BC111" s="179" t="e">
        <f aca="false">IF(A112="","",AM111*F111)</f>
        <v>#N/A</v>
      </c>
    </row>
    <row r="112" customFormat="false" ht="12.75" hidden="false" customHeight="false" outlineLevel="0" collapsed="false">
      <c r="A112" s="196" t="n">
        <f aca="false">IF(A111&lt;mthend,EDATE(A111,1),"")</f>
        <v>40148</v>
      </c>
      <c r="B112" s="197" t="n">
        <f aca="false">IF(A112&lt;mthend,B111,"")</f>
        <v>28400</v>
      </c>
      <c r="C112" s="215"/>
      <c r="D112" s="197" t="n">
        <f aca="false">IF(A113&lt;&gt;"",B112+C112,"")</f>
        <v>28400</v>
      </c>
      <c r="E112" s="199" t="n">
        <f aca="false">IF(A113="","",IF(AND(AT112=1,$H$3=1),D112*AO112,IF($H$3=2,D112,"N/A")))</f>
        <v>880400</v>
      </c>
      <c r="F112" s="199" t="n">
        <f aca="false">IF(A113="","",E112*AS112)</f>
        <v>4121733.13645191</v>
      </c>
      <c r="G112" s="200" t="e">
        <f aca="false">IF($A113="","",VLOOKUP($A112,Table,MATCH(G$4,Curves,0)))</f>
        <v>#N/A</v>
      </c>
      <c r="H112" s="201" t="e">
        <f aca="false">IF(A113="","",G112)</f>
        <v>#N/A</v>
      </c>
      <c r="I112" s="202"/>
      <c r="J112" s="200" t="e">
        <f aca="false">IF($A113="","",VLOOKUP($A112,Table,MATCH(J$4,Curves,0)))</f>
        <v>#N/A</v>
      </c>
      <c r="K112" s="201" t="e">
        <f aca="false">IF(A113="","",J112)</f>
        <v>#N/A</v>
      </c>
      <c r="L112" s="185" t="n">
        <v>0</v>
      </c>
      <c r="M112" s="201" t="n">
        <f aca="false">IF(A113="","",L112)</f>
        <v>0</v>
      </c>
      <c r="N112" s="203"/>
      <c r="O112" s="200" t="e">
        <f aca="false">IF(A113="","",L112+J112+G112)</f>
        <v>#N/A</v>
      </c>
      <c r="P112" s="200" t="e">
        <f aca="false">IF(A113="","",M112+K112+H112)</f>
        <v>#N/A</v>
      </c>
      <c r="Q112" s="204"/>
      <c r="R112" s="200" t="e">
        <f aca="false">IF($A113="","",VLOOKUP($A112,Table,MATCH(R$4,Curves,0)))</f>
        <v>#N/A</v>
      </c>
      <c r="S112" s="201" t="e">
        <f aca="false">IF(A113="","",R112)</f>
        <v>#N/A</v>
      </c>
      <c r="T112" s="185" t="n">
        <v>0</v>
      </c>
      <c r="U112" s="201" t="n">
        <f aca="false">IF(A113="","",T112)</f>
        <v>0</v>
      </c>
      <c r="V112" s="205" t="e">
        <f aca="false">(G112+R112)/(1-Summary!$T$13)*Summary!$T$13</f>
        <v>#N/A</v>
      </c>
      <c r="W112" s="202" t="e">
        <f aca="false">IF($A113="","",(T112+R112+G112+V112))</f>
        <v>#N/A</v>
      </c>
      <c r="X112" s="202" t="e">
        <f aca="false">IF($A113="","",(U112+S112+H112+V112))</f>
        <v>#N/A</v>
      </c>
      <c r="Y112" s="202"/>
      <c r="Z112" s="185" t="e">
        <f aca="false">IF($A113="","",VLOOKUP($A112,Table,MATCH(Z$4,Curves,0)))</f>
        <v>#N/A</v>
      </c>
      <c r="AA112" s="185" t="e">
        <f aca="false">IF($A113="","",VLOOKUP($A112,Table,MATCH(AA$4,Curves,0)))</f>
        <v>#N/A</v>
      </c>
      <c r="AB112" s="185" t="e">
        <f aca="false">SQRT((AA112^2*(A112-$D$3)+Z112^2*(DAY(EOMONTH(A112,0))/2))/AK112)</f>
        <v>#N/A</v>
      </c>
      <c r="AC112" s="185" t="e">
        <f aca="false">IF($A113="","",VLOOKUP($A112,Table,MATCH(AC$4,Curves,0)))</f>
        <v>#N/A</v>
      </c>
      <c r="AD112" s="185" t="e">
        <f aca="false">IF($A113="","",VLOOKUP($A112,Table,MATCH(AD$4,Curves,0)))</f>
        <v>#N/A</v>
      </c>
      <c r="AE112" s="185" t="e">
        <f aca="false">SQRT((AD112^2*(A112-$D$3)+AC112^2*(DAY(EOMONTH(A112,0))/2))/AK112)</f>
        <v>#N/A</v>
      </c>
      <c r="AF112" s="224" t="e">
        <f aca="false">((Summary!$N$13*(AA112*AD112)*(A112-$D$3))+(Summary!$M$13*Z112*AC112*(AJ112-EOMONTH(EDATE(A112,-1),0))))/(AK112*AB112*AE112)</f>
        <v>#N/A</v>
      </c>
      <c r="AG112" s="207" t="n">
        <f aca="false">IF($A113="","",Summary!$Q$13)</f>
        <v>0</v>
      </c>
      <c r="AH112" s="207" t="n">
        <f aca="false">IF($A113="","",IF(Summary!$R$12="Y",(VLOOKUP($A112,Summary!$AD$6:$AF$9,3)+'Escalating commodity'!I125),'Escalating commodity'!I125))</f>
        <v>0.0525409298606482</v>
      </c>
      <c r="AI112" s="207" t="n">
        <f aca="false">IF($A113="","",AH112)</f>
        <v>0.0525409298606482</v>
      </c>
      <c r="AJ112" s="208" t="n">
        <f aca="false">A112+DAY(EOMONTH(A112,0))/2-1</f>
        <v>40162.5</v>
      </c>
      <c r="AK112" s="209" t="n">
        <f aca="false">IF($A113="","",$A112-$E$1)</f>
        <v>-5778</v>
      </c>
      <c r="AL112" s="182" t="e">
        <f aca="false">IF($A113="","",SPRDOPT(P112,X112,AI112,0,AB112,AE112,AF112,AK112,$AJ$2,0))</f>
        <v>#NAME?</v>
      </c>
      <c r="AM112" s="210" t="e">
        <f aca="false">IF($A113="","",MAX(0,O112-W112-AI112))</f>
        <v>#N/A</v>
      </c>
      <c r="AN112" s="211" t="e">
        <f aca="false">IF($A113="","",AL112-AM112)</f>
        <v>#N/A</v>
      </c>
      <c r="AO112" s="137" t="n">
        <f aca="false">IF(A113="","",A113-A112)</f>
        <v>31</v>
      </c>
      <c r="AP112" s="212" t="n">
        <f aca="false">IF(A113="","",CHOOSE(F$3,A113+24,A112))</f>
        <v>40148</v>
      </c>
      <c r="AQ112" s="209" t="n">
        <f aca="false">IF(A113="","",AP112-$E$1)</f>
        <v>-5778</v>
      </c>
      <c r="AR112" s="185" t="n">
        <f aca="false">'ANR OK vs ML7'!AR112</f>
        <v>0.1</v>
      </c>
      <c r="AS112" s="213" t="n">
        <f aca="false">IF(A113="","",1/(1+CHOOSE(F$3,(AR113+($I$3/10000))/2,(AR112+($I$3/10000))/2))^(2*AQ112/365.25))</f>
        <v>4.68165962795537</v>
      </c>
      <c r="AT112" s="137" t="n">
        <f aca="false">IF(A113="","",IF(AND(mthbeg&lt;=A112,mthend&gt;=A112),1,0))</f>
        <v>1</v>
      </c>
      <c r="AU112" s="137" t="n">
        <f aca="false">IF(A113="","",AO112*AT112)</f>
        <v>31</v>
      </c>
      <c r="AW112" s="195" t="e">
        <f aca="false">IF($A113="","",AL112*$E112)</f>
        <v>#NAME?</v>
      </c>
      <c r="AX112" s="195" t="e">
        <f aca="false">IF($A113="","",AM112*$E112)</f>
        <v>#N/A</v>
      </c>
      <c r="AY112" s="195" t="e">
        <f aca="false">IF($A113="","",AN112*$E112)</f>
        <v>#N/A</v>
      </c>
      <c r="BA112" s="195" t="n">
        <f aca="false">IF($A113="","",F112*Summary!$Q$13)</f>
        <v>0</v>
      </c>
      <c r="BC112" s="179" t="e">
        <f aca="false">IF(A113="","",AM112*F112)</f>
        <v>#N/A</v>
      </c>
    </row>
    <row r="113" customFormat="false" ht="12.75" hidden="false" customHeight="false" outlineLevel="0" collapsed="false">
      <c r="A113" s="196" t="n">
        <f aca="false">IF(A112&lt;mthend,EDATE(A112,1),"")</f>
        <v>40179</v>
      </c>
      <c r="B113" s="197" t="n">
        <f aca="false">IF(A113&lt;mthend,B112,"")</f>
        <v>28400</v>
      </c>
      <c r="C113" s="215"/>
      <c r="D113" s="197" t="n">
        <f aca="false">IF(A114&lt;&gt;"",B113+C113,"")</f>
        <v>28400</v>
      </c>
      <c r="E113" s="199" t="n">
        <f aca="false">IF(A114="","",IF(AND(AT113=1,$H$3=1),D113*AO113,IF($H$3=2,D113,"N/A")))</f>
        <v>880400</v>
      </c>
      <c r="F113" s="199" t="n">
        <f aca="false">IF(A114="","",E113*AS113)</f>
        <v>4087738.02667311</v>
      </c>
      <c r="G113" s="200" t="e">
        <f aca="false">IF($A114="","",VLOOKUP($A113,Table,MATCH(G$4,Curves,0)))</f>
        <v>#N/A</v>
      </c>
      <c r="H113" s="201" t="e">
        <f aca="false">IF(A114="","",G113)</f>
        <v>#N/A</v>
      </c>
      <c r="I113" s="202"/>
      <c r="J113" s="200" t="e">
        <f aca="false">IF($A114="","",VLOOKUP($A113,Table,MATCH(J$4,Curves,0)))</f>
        <v>#N/A</v>
      </c>
      <c r="K113" s="201" t="e">
        <f aca="false">IF(A114="","",J113)</f>
        <v>#N/A</v>
      </c>
      <c r="L113" s="185" t="n">
        <v>0</v>
      </c>
      <c r="M113" s="201" t="n">
        <f aca="false">IF(A114="","",L113)</f>
        <v>0</v>
      </c>
      <c r="N113" s="203"/>
      <c r="O113" s="200" t="e">
        <f aca="false">IF(A114="","",L113+J113+G113)</f>
        <v>#N/A</v>
      </c>
      <c r="P113" s="200" t="e">
        <f aca="false">IF(A114="","",M113+K113+H113)</f>
        <v>#N/A</v>
      </c>
      <c r="Q113" s="204"/>
      <c r="R113" s="200" t="e">
        <f aca="false">IF($A114="","",VLOOKUP($A113,Table,MATCH(R$4,Curves,0)))</f>
        <v>#N/A</v>
      </c>
      <c r="S113" s="201" t="e">
        <f aca="false">IF(A114="","",R113)</f>
        <v>#N/A</v>
      </c>
      <c r="T113" s="185" t="n">
        <v>0</v>
      </c>
      <c r="U113" s="201" t="n">
        <f aca="false">IF(A114="","",T113)</f>
        <v>0</v>
      </c>
      <c r="V113" s="205" t="e">
        <f aca="false">(G113+R113)/(1-Summary!$T$13)*Summary!$T$13</f>
        <v>#N/A</v>
      </c>
      <c r="W113" s="202" t="e">
        <f aca="false">IF($A114="","",(T113+R113+G113+V113))</f>
        <v>#N/A</v>
      </c>
      <c r="X113" s="202" t="e">
        <f aca="false">IF($A114="","",(U113+S113+H113+V113))</f>
        <v>#N/A</v>
      </c>
      <c r="Y113" s="202"/>
      <c r="Z113" s="185" t="e">
        <f aca="false">IF($A114="","",VLOOKUP($A113,Table,MATCH(Z$4,Curves,0)))</f>
        <v>#N/A</v>
      </c>
      <c r="AA113" s="185" t="e">
        <f aca="false">IF($A114="","",VLOOKUP($A113,Table,MATCH(AA$4,Curves,0)))</f>
        <v>#N/A</v>
      </c>
      <c r="AB113" s="185" t="e">
        <f aca="false">SQRT((AA113^2*(A113-$D$3)+Z113^2*(DAY(EOMONTH(A113,0))/2))/AK113)</f>
        <v>#N/A</v>
      </c>
      <c r="AC113" s="185" t="e">
        <f aca="false">IF($A114="","",VLOOKUP($A113,Table,MATCH(AC$4,Curves,0)))</f>
        <v>#N/A</v>
      </c>
      <c r="AD113" s="185" t="e">
        <f aca="false">IF($A114="","",VLOOKUP($A113,Table,MATCH(AD$4,Curves,0)))</f>
        <v>#N/A</v>
      </c>
      <c r="AE113" s="185" t="e">
        <f aca="false">SQRT((AD113^2*(A113-$D$3)+AC113^2*(DAY(EOMONTH(A113,0))/2))/AK113)</f>
        <v>#N/A</v>
      </c>
      <c r="AF113" s="224" t="e">
        <f aca="false">((Summary!$N$13*(AA113*AD113)*(A113-$D$3))+(Summary!$M$13*Z113*AC113*(AJ113-EOMONTH(EDATE(A113,-1),0))))/(AK113*AB113*AE113)</f>
        <v>#N/A</v>
      </c>
      <c r="AG113" s="207" t="n">
        <f aca="false">IF($A114="","",Summary!$Q$13)</f>
        <v>0</v>
      </c>
      <c r="AH113" s="207" t="n">
        <f aca="false">IF($A114="","",IF(Summary!$R$12="Y",(VLOOKUP($A113,Summary!$AD$6:$AF$9,3)+'Escalating commodity'!I126),'Escalating commodity'!I126))</f>
        <v>0.0535917484578611</v>
      </c>
      <c r="AI113" s="207" t="n">
        <f aca="false">IF($A114="","",AH113)</f>
        <v>0.0535917484578611</v>
      </c>
      <c r="AJ113" s="208" t="n">
        <f aca="false">A113+DAY(EOMONTH(A113,0))/2-1</f>
        <v>40193.5</v>
      </c>
      <c r="AK113" s="209" t="n">
        <f aca="false">IF($A114="","",$A113-$E$1)</f>
        <v>-5747</v>
      </c>
      <c r="AL113" s="182" t="e">
        <f aca="false">IF($A114="","",SPRDOPT(P113,X113,AI113,0,AB113,AE113,AF113,AK113,$AJ$2,0))</f>
        <v>#NAME?</v>
      </c>
      <c r="AM113" s="210" t="e">
        <f aca="false">IF($A114="","",MAX(0,O113-W113-AI113))</f>
        <v>#N/A</v>
      </c>
      <c r="AN113" s="211" t="e">
        <f aca="false">IF($A114="","",AL113-AM113)</f>
        <v>#N/A</v>
      </c>
      <c r="AO113" s="137" t="n">
        <f aca="false">IF(A114="","",A114-A113)</f>
        <v>31</v>
      </c>
      <c r="AP113" s="212" t="n">
        <f aca="false">IF(A114="","",CHOOSE(F$3,A114+24,A113))</f>
        <v>40179</v>
      </c>
      <c r="AQ113" s="209" t="n">
        <f aca="false">IF(A114="","",AP113-$E$1)</f>
        <v>-5747</v>
      </c>
      <c r="AR113" s="185" t="n">
        <f aca="false">'ANR OK vs ML7'!AR113</f>
        <v>0.1</v>
      </c>
      <c r="AS113" s="213" t="n">
        <f aca="false">IF(A114="","",1/(1+CHOOSE(F$3,(AR114+($I$3/10000))/2,(AR113+($I$3/10000))/2))^(2*AQ113/365.25))</f>
        <v>4.64304637286814</v>
      </c>
      <c r="AT113" s="137" t="n">
        <f aca="false">IF(A114="","",IF(AND(mthbeg&lt;=A113,mthend&gt;=A113),1,0))</f>
        <v>1</v>
      </c>
      <c r="AU113" s="137" t="n">
        <f aca="false">IF(A114="","",AO113*AT113)</f>
        <v>31</v>
      </c>
      <c r="AW113" s="195" t="e">
        <f aca="false">IF($A114="","",AL113*$E113)</f>
        <v>#NAME?</v>
      </c>
      <c r="AX113" s="195" t="e">
        <f aca="false">IF($A114="","",AM113*$E113)</f>
        <v>#N/A</v>
      </c>
      <c r="AY113" s="195" t="e">
        <f aca="false">IF($A114="","",AN113*$E113)</f>
        <v>#N/A</v>
      </c>
      <c r="BA113" s="195" t="n">
        <f aca="false">IF($A114="","",F113*Summary!$Q$13)</f>
        <v>0</v>
      </c>
      <c r="BC113" s="179" t="e">
        <f aca="false">IF(A114="","",AM113*F113)</f>
        <v>#N/A</v>
      </c>
    </row>
    <row r="114" customFormat="false" ht="12.75" hidden="false" customHeight="false" outlineLevel="0" collapsed="false">
      <c r="A114" s="196" t="n">
        <f aca="false">IF(A113&lt;mthend,EDATE(A113,1),"")</f>
        <v>40210</v>
      </c>
      <c r="B114" s="197" t="n">
        <f aca="false">IF(A114&lt;mthend,B113,"")</f>
        <v>28400</v>
      </c>
      <c r="C114" s="215"/>
      <c r="D114" s="197" t="n">
        <f aca="false">IF(A115&lt;&gt;"",B114+C114,"")</f>
        <v>28400</v>
      </c>
      <c r="E114" s="199" t="n">
        <f aca="false">IF(A115="","",IF(AND(AT114=1,$H$3=1),D114*AO114,IF($H$3=2,D114,"N/A")))</f>
        <v>795200</v>
      </c>
      <c r="F114" s="199" t="n">
        <f aca="false">IF(A115="","",E114*AS114)</f>
        <v>3661698.46520668</v>
      </c>
      <c r="G114" s="200" t="e">
        <f aca="false">IF($A115="","",VLOOKUP($A114,Table,MATCH(G$4,Curves,0)))</f>
        <v>#N/A</v>
      </c>
      <c r="H114" s="201" t="e">
        <f aca="false">IF(A115="","",G114)</f>
        <v>#N/A</v>
      </c>
      <c r="I114" s="202"/>
      <c r="J114" s="200" t="e">
        <f aca="false">IF($A115="","",VLOOKUP($A114,Table,MATCH(J$4,Curves,0)))</f>
        <v>#N/A</v>
      </c>
      <c r="K114" s="201" t="e">
        <f aca="false">IF(A115="","",J114)</f>
        <v>#N/A</v>
      </c>
      <c r="L114" s="185" t="n">
        <v>0</v>
      </c>
      <c r="M114" s="201" t="n">
        <f aca="false">IF(A115="","",L114)</f>
        <v>0</v>
      </c>
      <c r="N114" s="203"/>
      <c r="O114" s="200" t="e">
        <f aca="false">IF(A115="","",L114+J114+G114)</f>
        <v>#N/A</v>
      </c>
      <c r="P114" s="200" t="e">
        <f aca="false">IF(A115="","",M114+K114+H114)</f>
        <v>#N/A</v>
      </c>
      <c r="Q114" s="204"/>
      <c r="R114" s="200" t="e">
        <f aca="false">IF($A115="","",VLOOKUP($A114,Table,MATCH(R$4,Curves,0)))</f>
        <v>#N/A</v>
      </c>
      <c r="S114" s="201" t="e">
        <f aca="false">IF(A115="","",R114)</f>
        <v>#N/A</v>
      </c>
      <c r="T114" s="185" t="n">
        <v>0</v>
      </c>
      <c r="U114" s="201" t="n">
        <f aca="false">IF(A115="","",T114)</f>
        <v>0</v>
      </c>
      <c r="V114" s="205" t="e">
        <f aca="false">(G114+R114)/(1-Summary!$T$13)*Summary!$T$13</f>
        <v>#N/A</v>
      </c>
      <c r="W114" s="202" t="e">
        <f aca="false">IF($A115="","",(T114+R114+G114+V114))</f>
        <v>#N/A</v>
      </c>
      <c r="X114" s="202" t="e">
        <f aca="false">IF($A115="","",(U114+S114+H114+V114))</f>
        <v>#N/A</v>
      </c>
      <c r="Y114" s="202"/>
      <c r="Z114" s="185" t="e">
        <f aca="false">IF($A115="","",VLOOKUP($A114,Table,MATCH(Z$4,Curves,0)))</f>
        <v>#N/A</v>
      </c>
      <c r="AA114" s="185" t="e">
        <f aca="false">IF($A115="","",VLOOKUP($A114,Table,MATCH(AA$4,Curves,0)))</f>
        <v>#N/A</v>
      </c>
      <c r="AB114" s="185" t="e">
        <f aca="false">SQRT((AA114^2*(A114-$D$3)+Z114^2*(DAY(EOMONTH(A114,0))/2))/AK114)</f>
        <v>#N/A</v>
      </c>
      <c r="AC114" s="185" t="e">
        <f aca="false">IF($A115="","",VLOOKUP($A114,Table,MATCH(AC$4,Curves,0)))</f>
        <v>#N/A</v>
      </c>
      <c r="AD114" s="185" t="e">
        <f aca="false">IF($A115="","",VLOOKUP($A114,Table,MATCH(AD$4,Curves,0)))</f>
        <v>#N/A</v>
      </c>
      <c r="AE114" s="185" t="e">
        <f aca="false">SQRT((AD114^2*(A114-$D$3)+AC114^2*(DAY(EOMONTH(A114,0))/2))/AK114)</f>
        <v>#N/A</v>
      </c>
      <c r="AF114" s="224" t="e">
        <f aca="false">((Summary!$N$13*(AA114*AD114)*(A114-$D$3))+(Summary!$M$13*Z114*AC114*(AJ114-EOMONTH(EDATE(A114,-1),0))))/(AK114*AB114*AE114)</f>
        <v>#N/A</v>
      </c>
      <c r="AG114" s="207" t="n">
        <f aca="false">IF($A115="","",Summary!$Q$13)</f>
        <v>0</v>
      </c>
      <c r="AH114" s="207" t="n">
        <f aca="false">IF($A115="","",IF(Summary!$R$12="Y",(VLOOKUP($A114,Summary!$AD$6:$AF$9,3)+'Escalating commodity'!I127),'Escalating commodity'!I127))</f>
        <v>0.0535917484578611</v>
      </c>
      <c r="AI114" s="207" t="n">
        <f aca="false">IF($A115="","",AH114)</f>
        <v>0.0535917484578611</v>
      </c>
      <c r="AJ114" s="208" t="n">
        <f aca="false">A114+DAY(EOMONTH(A114,0))/2-1</f>
        <v>40223</v>
      </c>
      <c r="AK114" s="209" t="n">
        <f aca="false">IF($A115="","",$A114-$E$1)</f>
        <v>-5716</v>
      </c>
      <c r="AL114" s="182" t="e">
        <f aca="false">IF($A115="","",SPRDOPT(P114,X114,AI114,0,AB114,AE114,AF114,AK114,$AJ$2,0))</f>
        <v>#NAME?</v>
      </c>
      <c r="AM114" s="210" t="e">
        <f aca="false">IF($A115="","",MAX(0,O114-W114-AI114))</f>
        <v>#N/A</v>
      </c>
      <c r="AN114" s="211" t="e">
        <f aca="false">IF($A115="","",AL114-AM114)</f>
        <v>#N/A</v>
      </c>
      <c r="AO114" s="137" t="n">
        <f aca="false">IF(A115="","",A115-A114)</f>
        <v>28</v>
      </c>
      <c r="AP114" s="212" t="n">
        <f aca="false">IF(A115="","",CHOOSE(F$3,A115+24,A114))</f>
        <v>40210</v>
      </c>
      <c r="AQ114" s="209" t="n">
        <f aca="false">IF(A115="","",AP114-$E$1)</f>
        <v>-5716</v>
      </c>
      <c r="AR114" s="185" t="n">
        <f aca="false">'ANR OK vs ML7'!AR114</f>
        <v>0.1</v>
      </c>
      <c r="AS114" s="213" t="n">
        <f aca="false">IF(A115="","",1/(1+CHOOSE(F$3,(AR115+($I$3/10000))/2,(AR114+($I$3/10000))/2))^(2*AQ114/365.25))</f>
        <v>4.60475159105468</v>
      </c>
      <c r="AT114" s="137" t="n">
        <f aca="false">IF(A115="","",IF(AND(mthbeg&lt;=A114,mthend&gt;=A114),1,0))</f>
        <v>1</v>
      </c>
      <c r="AU114" s="137" t="n">
        <f aca="false">IF(A115="","",AO114*AT114)</f>
        <v>28</v>
      </c>
      <c r="AW114" s="195" t="e">
        <f aca="false">IF($A115="","",AL114*$E114)</f>
        <v>#NAME?</v>
      </c>
      <c r="AX114" s="195" t="e">
        <f aca="false">IF($A115="","",AM114*$E114)</f>
        <v>#N/A</v>
      </c>
      <c r="AY114" s="195" t="e">
        <f aca="false">IF($A115="","",AN114*$E114)</f>
        <v>#N/A</v>
      </c>
      <c r="BA114" s="195" t="n">
        <f aca="false">IF($A115="","",F114*Summary!$Q$13)</f>
        <v>0</v>
      </c>
      <c r="BC114" s="179" t="e">
        <f aca="false">IF(A115="","",AM114*F114)</f>
        <v>#N/A</v>
      </c>
    </row>
    <row r="115" customFormat="false" ht="12.75" hidden="false" customHeight="false" outlineLevel="0" collapsed="false">
      <c r="A115" s="196" t="n">
        <f aca="false">IF(A114&lt;mthend,EDATE(A114,1),"")</f>
        <v>40238</v>
      </c>
      <c r="B115" s="197" t="n">
        <f aca="false">IF(A115&lt;mthend,B114,"")</f>
        <v>28400</v>
      </c>
      <c r="C115" s="215"/>
      <c r="D115" s="197" t="n">
        <f aca="false">IF(A116&lt;&gt;"",B115+C115,"")</f>
        <v>28400</v>
      </c>
      <c r="E115" s="199" t="n">
        <f aca="false">IF(A116="","",IF(AND(AT115=1,$H$3=1),D115*AO115,IF($H$3=2,D115,"N/A")))</f>
        <v>880400</v>
      </c>
      <c r="F115" s="199" t="n">
        <f aca="false">IF(A116="","",E115*AS115)</f>
        <v>4023810.36223916</v>
      </c>
      <c r="G115" s="200" t="e">
        <f aca="false">IF($A116="","",VLOOKUP($A115,Table,MATCH(G$4,Curves,0)))</f>
        <v>#N/A</v>
      </c>
      <c r="H115" s="201" t="e">
        <f aca="false">IF(A116="","",G115)</f>
        <v>#N/A</v>
      </c>
      <c r="I115" s="202"/>
      <c r="J115" s="200" t="e">
        <f aca="false">IF($A116="","",VLOOKUP($A115,Table,MATCH(J$4,Curves,0)))</f>
        <v>#N/A</v>
      </c>
      <c r="K115" s="201" t="e">
        <f aca="false">IF(A116="","",J115)</f>
        <v>#N/A</v>
      </c>
      <c r="L115" s="185" t="n">
        <v>0</v>
      </c>
      <c r="M115" s="201" t="n">
        <f aca="false">IF(A116="","",L115)</f>
        <v>0</v>
      </c>
      <c r="N115" s="203"/>
      <c r="O115" s="200" t="e">
        <f aca="false">IF(A116="","",L115+J115+G115)</f>
        <v>#N/A</v>
      </c>
      <c r="P115" s="200" t="e">
        <f aca="false">IF(A116="","",M115+K115+H115)</f>
        <v>#N/A</v>
      </c>
      <c r="Q115" s="204"/>
      <c r="R115" s="200" t="e">
        <f aca="false">IF($A116="","",VLOOKUP($A115,Table,MATCH(R$4,Curves,0)))</f>
        <v>#N/A</v>
      </c>
      <c r="S115" s="201" t="e">
        <f aca="false">IF(A116="","",R115)</f>
        <v>#N/A</v>
      </c>
      <c r="T115" s="185" t="n">
        <v>0</v>
      </c>
      <c r="U115" s="201" t="n">
        <f aca="false">IF(A116="","",T115)</f>
        <v>0</v>
      </c>
      <c r="V115" s="205" t="e">
        <f aca="false">(G115+R115)/(1-Summary!$T$13)*Summary!$T$13</f>
        <v>#N/A</v>
      </c>
      <c r="W115" s="202" t="e">
        <f aca="false">IF($A116="","",(T115+R115+G115+V115))</f>
        <v>#N/A</v>
      </c>
      <c r="X115" s="202" t="e">
        <f aca="false">IF($A116="","",(U115+S115+H115+V115))</f>
        <v>#N/A</v>
      </c>
      <c r="Y115" s="202"/>
      <c r="Z115" s="185" t="e">
        <f aca="false">IF($A116="","",VLOOKUP($A115,Table,MATCH(Z$4,Curves,0)))</f>
        <v>#N/A</v>
      </c>
      <c r="AA115" s="185" t="e">
        <f aca="false">IF($A116="","",VLOOKUP($A115,Table,MATCH(AA$4,Curves,0)))</f>
        <v>#N/A</v>
      </c>
      <c r="AB115" s="185" t="e">
        <f aca="false">SQRT((AA115^2*(A115-$D$3)+Z115^2*(DAY(EOMONTH(A115,0))/2))/AK115)</f>
        <v>#N/A</v>
      </c>
      <c r="AC115" s="185" t="e">
        <f aca="false">IF($A116="","",VLOOKUP($A115,Table,MATCH(AC$4,Curves,0)))</f>
        <v>#N/A</v>
      </c>
      <c r="AD115" s="185" t="e">
        <f aca="false">IF($A116="","",VLOOKUP($A115,Table,MATCH(AD$4,Curves,0)))</f>
        <v>#N/A</v>
      </c>
      <c r="AE115" s="185" t="e">
        <f aca="false">SQRT((AD115^2*(A115-$D$3)+AC115^2*(DAY(EOMONTH(A115,0))/2))/AK115)</f>
        <v>#N/A</v>
      </c>
      <c r="AF115" s="224" t="e">
        <f aca="false">((Summary!$N$13*(AA115*AD115)*(A115-$D$3))+(Summary!$M$13*Z115*AC115*(AJ115-EOMONTH(EDATE(A115,-1),0))))/(AK115*AB115*AE115)</f>
        <v>#N/A</v>
      </c>
      <c r="AG115" s="207" t="n">
        <f aca="false">IF($A116="","",Summary!$Q$13)</f>
        <v>0</v>
      </c>
      <c r="AH115" s="207" t="n">
        <f aca="false">IF($A116="","",IF(Summary!$R$12="Y",(VLOOKUP($A115,Summary!$AD$6:$AF$9,3)+'Escalating commodity'!I128),'Escalating commodity'!I128))</f>
        <v>0.0535917484578611</v>
      </c>
      <c r="AI115" s="207" t="n">
        <f aca="false">IF($A116="","",AH115)</f>
        <v>0.0535917484578611</v>
      </c>
      <c r="AJ115" s="208" t="n">
        <f aca="false">A115+DAY(EOMONTH(A115,0))/2-1</f>
        <v>40252.5</v>
      </c>
      <c r="AK115" s="209" t="n">
        <f aca="false">IF($A116="","",$A115-$E$1)</f>
        <v>-5688</v>
      </c>
      <c r="AL115" s="182" t="e">
        <f aca="false">IF($A116="","",SPRDOPT(P115,X115,AI115,0,AB115,AE115,AF115,AK115,$AJ$2,0))</f>
        <v>#NAME?</v>
      </c>
      <c r="AM115" s="210" t="e">
        <f aca="false">IF($A116="","",MAX(0,O115-W115-AI115))</f>
        <v>#N/A</v>
      </c>
      <c r="AN115" s="211" t="e">
        <f aca="false">IF($A116="","",AL115-AM115)</f>
        <v>#N/A</v>
      </c>
      <c r="AO115" s="137" t="n">
        <f aca="false">IF(A116="","",A116-A115)</f>
        <v>31</v>
      </c>
      <c r="AP115" s="212" t="n">
        <f aca="false">IF(A116="","",CHOOSE(F$3,A116+24,A115))</f>
        <v>40238</v>
      </c>
      <c r="AQ115" s="209" t="n">
        <f aca="false">IF(A116="","",AP115-$E$1)</f>
        <v>-5688</v>
      </c>
      <c r="AR115" s="185" t="n">
        <f aca="false">'ANR OK vs ML7'!AR115</f>
        <v>0.1</v>
      </c>
      <c r="AS115" s="213" t="n">
        <f aca="false">IF(A116="","",1/(1+CHOOSE(F$3,(AR116+($I$3/10000))/2,(AR115+($I$3/10000))/2))^(2*AQ115/365.25))</f>
        <v>4.57043430513308</v>
      </c>
      <c r="AT115" s="137" t="n">
        <f aca="false">IF(A116="","",IF(AND(mthbeg&lt;=A115,mthend&gt;=A115),1,0))</f>
        <v>1</v>
      </c>
      <c r="AU115" s="137" t="n">
        <f aca="false">IF(A116="","",AO115*AT115)</f>
        <v>31</v>
      </c>
      <c r="AW115" s="195" t="e">
        <f aca="false">IF($A116="","",AL115*$E115)</f>
        <v>#NAME?</v>
      </c>
      <c r="AX115" s="195" t="e">
        <f aca="false">IF($A116="","",AM115*$E115)</f>
        <v>#N/A</v>
      </c>
      <c r="AY115" s="195" t="e">
        <f aca="false">IF($A116="","",AN115*$E115)</f>
        <v>#N/A</v>
      </c>
      <c r="BA115" s="195" t="n">
        <f aca="false">IF($A116="","",F115*Summary!$Q$13)</f>
        <v>0</v>
      </c>
      <c r="BC115" s="179" t="e">
        <f aca="false">IF(A116="","",AM115*F115)</f>
        <v>#N/A</v>
      </c>
    </row>
    <row r="116" customFormat="false" ht="12.75" hidden="false" customHeight="false" outlineLevel="0" collapsed="false">
      <c r="A116" s="196" t="n">
        <f aca="false">IF(A115&lt;mthend,EDATE(A115,1),"")</f>
        <v>40269</v>
      </c>
      <c r="B116" s="197" t="n">
        <f aca="false">IF(A116&lt;mthend,B115,"")</f>
        <v>28400</v>
      </c>
      <c r="C116" s="215"/>
      <c r="D116" s="197" t="n">
        <f aca="false">IF(A117&lt;&gt;"",B116+C116,"")</f>
        <v>28400</v>
      </c>
      <c r="E116" s="199" t="n">
        <f aca="false">IF(A117="","",IF(AND(AT116=1,$H$3=1),D116*AO116,IF($H$3=2,D116,"N/A")))</f>
        <v>852000</v>
      </c>
      <c r="F116" s="199" t="n">
        <f aca="false">IF(A117="","",E116*AS116)</f>
        <v>3861893.12617545</v>
      </c>
      <c r="G116" s="200" t="e">
        <f aca="false">IF($A117="","",VLOOKUP($A116,Table,MATCH(G$4,Curves,0)))</f>
        <v>#N/A</v>
      </c>
      <c r="H116" s="201" t="e">
        <f aca="false">IF(A117="","",G116)</f>
        <v>#N/A</v>
      </c>
      <c r="I116" s="202"/>
      <c r="J116" s="200" t="e">
        <f aca="false">IF($A117="","",VLOOKUP($A116,Table,MATCH(J$4,Curves,0)))</f>
        <v>#N/A</v>
      </c>
      <c r="K116" s="201" t="e">
        <f aca="false">IF(A117="","",J116)</f>
        <v>#N/A</v>
      </c>
      <c r="L116" s="185" t="n">
        <v>0</v>
      </c>
      <c r="M116" s="201" t="n">
        <f aca="false">IF(A117="","",L116)</f>
        <v>0</v>
      </c>
      <c r="N116" s="203"/>
      <c r="O116" s="200" t="e">
        <f aca="false">IF(A117="","",L116+J116+G116)</f>
        <v>#N/A</v>
      </c>
      <c r="P116" s="200" t="e">
        <f aca="false">IF(A117="","",M116+K116+H116)</f>
        <v>#N/A</v>
      </c>
      <c r="Q116" s="204"/>
      <c r="R116" s="200" t="e">
        <f aca="false">IF($A117="","",VLOOKUP($A116,Table,MATCH(R$4,Curves,0)))</f>
        <v>#N/A</v>
      </c>
      <c r="S116" s="201" t="e">
        <f aca="false">IF(A117="","",R116)</f>
        <v>#N/A</v>
      </c>
      <c r="T116" s="185" t="n">
        <v>0</v>
      </c>
      <c r="U116" s="201" t="n">
        <f aca="false">IF(A117="","",T116)</f>
        <v>0</v>
      </c>
      <c r="V116" s="205" t="e">
        <f aca="false">(G116+R116)/(1-Summary!$T$13)*Summary!$T$13</f>
        <v>#N/A</v>
      </c>
      <c r="W116" s="202" t="e">
        <f aca="false">IF($A117="","",(T116+R116+G116+V116))</f>
        <v>#N/A</v>
      </c>
      <c r="X116" s="202" t="e">
        <f aca="false">IF($A117="","",(U116+S116+H116+V116))</f>
        <v>#N/A</v>
      </c>
      <c r="Y116" s="202"/>
      <c r="Z116" s="185" t="e">
        <f aca="false">IF($A117="","",VLOOKUP($A116,Table,MATCH(Z$4,Curves,0)))</f>
        <v>#N/A</v>
      </c>
      <c r="AA116" s="185" t="e">
        <f aca="false">IF($A117="","",VLOOKUP($A116,Table,MATCH(AA$4,Curves,0)))</f>
        <v>#N/A</v>
      </c>
      <c r="AB116" s="185" t="e">
        <f aca="false">SQRT((AA116^2*(A116-$D$3)+Z116^2*(DAY(EOMONTH(A116,0))/2))/AK116)</f>
        <v>#N/A</v>
      </c>
      <c r="AC116" s="185" t="e">
        <f aca="false">IF($A117="","",VLOOKUP($A116,Table,MATCH(AC$4,Curves,0)))</f>
        <v>#N/A</v>
      </c>
      <c r="AD116" s="185" t="e">
        <f aca="false">IF($A117="","",VLOOKUP($A116,Table,MATCH(AD$4,Curves,0)))</f>
        <v>#N/A</v>
      </c>
      <c r="AE116" s="185" t="e">
        <f aca="false">SQRT((AD116^2*(A116-$D$3)+AC116^2*(DAY(EOMONTH(A116,0))/2))/AK116)</f>
        <v>#N/A</v>
      </c>
      <c r="AF116" s="224" t="e">
        <f aca="false">((Summary!$N$13*(AA116*AD116)*(A116-$D$3))+(Summary!$M$13*Z116*AC116*(AJ116-EOMONTH(EDATE(A116,-1),0))))/(AK116*AB116*AE116)</f>
        <v>#N/A</v>
      </c>
      <c r="AG116" s="207" t="n">
        <f aca="false">IF($A117="","",Summary!$Q$13)</f>
        <v>0</v>
      </c>
      <c r="AH116" s="207" t="n">
        <f aca="false">IF($A117="","",IF(Summary!$R$12="Y",(VLOOKUP($A116,Summary!$AD$6:$AF$9,3)+'Escalating commodity'!I129),'Escalating commodity'!I129))</f>
        <v>0.0535917484578611</v>
      </c>
      <c r="AI116" s="207" t="n">
        <f aca="false">IF($A117="","",AH116)</f>
        <v>0.0535917484578611</v>
      </c>
      <c r="AJ116" s="208" t="n">
        <f aca="false">A116+DAY(EOMONTH(A116,0))/2-1</f>
        <v>40283</v>
      </c>
      <c r="AK116" s="209" t="n">
        <f aca="false">IF($A117="","",$A116-$E$1)</f>
        <v>-5657</v>
      </c>
      <c r="AL116" s="182" t="e">
        <f aca="false">IF($A117="","",SPRDOPT(P116,X116,AI116,0,AB116,AE116,AF116,AK116,$AJ$2,0))</f>
        <v>#NAME?</v>
      </c>
      <c r="AM116" s="210" t="e">
        <f aca="false">IF($A117="","",MAX(0,O116-W116-AI116))</f>
        <v>#N/A</v>
      </c>
      <c r="AN116" s="211" t="e">
        <f aca="false">IF($A117="","",AL116-AM116)</f>
        <v>#N/A</v>
      </c>
      <c r="AO116" s="137" t="n">
        <f aca="false">IF(A117="","",A117-A116)</f>
        <v>30</v>
      </c>
      <c r="AP116" s="212" t="n">
        <f aca="false">IF(A117="","",CHOOSE(F$3,A117+24,A116))</f>
        <v>40269</v>
      </c>
      <c r="AQ116" s="209" t="n">
        <f aca="false">IF(A117="","",AP116-$E$1)</f>
        <v>-5657</v>
      </c>
      <c r="AR116" s="185" t="n">
        <f aca="false">'ANR OK vs ML7'!AR116</f>
        <v>0.1</v>
      </c>
      <c r="AS116" s="213" t="n">
        <f aca="false">IF(A117="","",1/(1+CHOOSE(F$3,(AR117+($I$3/10000))/2,(AR116+($I$3/10000))/2))^(2*AQ116/365.25))</f>
        <v>4.53273841100405</v>
      </c>
      <c r="AT116" s="137" t="n">
        <f aca="false">IF(A117="","",IF(AND(mthbeg&lt;=A116,mthend&gt;=A116),1,0))</f>
        <v>1</v>
      </c>
      <c r="AU116" s="137" t="n">
        <f aca="false">IF(A117="","",AO116*AT116)</f>
        <v>30</v>
      </c>
      <c r="AW116" s="195" t="e">
        <f aca="false">IF($A117="","",AL116*$E116)</f>
        <v>#NAME?</v>
      </c>
      <c r="AX116" s="195" t="e">
        <f aca="false">IF($A117="","",AM116*$E116)</f>
        <v>#N/A</v>
      </c>
      <c r="AY116" s="195" t="e">
        <f aca="false">IF($A117="","",AN116*$E116)</f>
        <v>#N/A</v>
      </c>
      <c r="BA116" s="195" t="n">
        <f aca="false">IF($A117="","",F116*Summary!$Q$13)</f>
        <v>0</v>
      </c>
      <c r="BC116" s="179" t="e">
        <f aca="false">IF(A117="","",AM116*F116)</f>
        <v>#N/A</v>
      </c>
    </row>
    <row r="117" customFormat="false" ht="12.75" hidden="false" customHeight="false" outlineLevel="0" collapsed="false">
      <c r="A117" s="196" t="n">
        <f aca="false">IF(A116&lt;mthend,EDATE(A116,1),"")</f>
        <v>40299</v>
      </c>
      <c r="B117" s="197" t="n">
        <f aca="false">IF(A117&lt;mthend,B116,"")</f>
        <v>28400</v>
      </c>
      <c r="C117" s="215"/>
      <c r="D117" s="197" t="n">
        <f aca="false">IF(A118&lt;&gt;"",B117+C117,"")</f>
        <v>28400</v>
      </c>
      <c r="E117" s="199" t="n">
        <f aca="false">IF(A118="","",IF(AND(AT117=1,$H$3=1),D117*AO117,IF($H$3=2,D117,"N/A")))</f>
        <v>880400</v>
      </c>
      <c r="F117" s="199" t="n">
        <f aca="false">IF(A118="","",E117*AS117)</f>
        <v>3958766.638789</v>
      </c>
      <c r="G117" s="200" t="e">
        <f aca="false">IF($A118="","",VLOOKUP($A117,Table,MATCH(G$4,Curves,0)))</f>
        <v>#N/A</v>
      </c>
      <c r="H117" s="201" t="e">
        <f aca="false">IF(A118="","",G117)</f>
        <v>#N/A</v>
      </c>
      <c r="I117" s="202"/>
      <c r="J117" s="200" t="e">
        <f aca="false">IF($A118="","",VLOOKUP($A117,Table,MATCH(J$4,Curves,0)))</f>
        <v>#N/A</v>
      </c>
      <c r="K117" s="201" t="e">
        <f aca="false">IF(A118="","",J117)</f>
        <v>#N/A</v>
      </c>
      <c r="L117" s="185" t="n">
        <v>0</v>
      </c>
      <c r="M117" s="201" t="n">
        <f aca="false">IF(A118="","",L117)</f>
        <v>0</v>
      </c>
      <c r="N117" s="203"/>
      <c r="O117" s="200" t="e">
        <f aca="false">IF(A118="","",L117+J117+G117)</f>
        <v>#N/A</v>
      </c>
      <c r="P117" s="200" t="e">
        <f aca="false">IF(A118="","",M117+K117+H117)</f>
        <v>#N/A</v>
      </c>
      <c r="Q117" s="204"/>
      <c r="R117" s="200" t="e">
        <f aca="false">IF($A118="","",VLOOKUP($A117,Table,MATCH(R$4,Curves,0)))</f>
        <v>#N/A</v>
      </c>
      <c r="S117" s="201" t="e">
        <f aca="false">IF(A118="","",R117)</f>
        <v>#N/A</v>
      </c>
      <c r="T117" s="185" t="n">
        <v>0</v>
      </c>
      <c r="U117" s="201" t="n">
        <f aca="false">IF(A118="","",T117)</f>
        <v>0</v>
      </c>
      <c r="V117" s="205" t="e">
        <f aca="false">(G117+R117)/(1-Summary!$T$13)*Summary!$T$13</f>
        <v>#N/A</v>
      </c>
      <c r="W117" s="202" t="e">
        <f aca="false">IF($A118="","",(T117+R117+G117+V117))</f>
        <v>#N/A</v>
      </c>
      <c r="X117" s="202" t="e">
        <f aca="false">IF($A118="","",(U117+S117+H117+V117))</f>
        <v>#N/A</v>
      </c>
      <c r="Y117" s="202"/>
      <c r="Z117" s="185" t="e">
        <f aca="false">IF($A118="","",VLOOKUP($A117,Table,MATCH(Z$4,Curves,0)))</f>
        <v>#N/A</v>
      </c>
      <c r="AA117" s="185" t="e">
        <f aca="false">IF($A118="","",VLOOKUP($A117,Table,MATCH(AA$4,Curves,0)))</f>
        <v>#N/A</v>
      </c>
      <c r="AB117" s="185" t="e">
        <f aca="false">SQRT((AA117^2*(A117-$D$3)+Z117^2*(DAY(EOMONTH(A117,0))/2))/AK117)</f>
        <v>#N/A</v>
      </c>
      <c r="AC117" s="185" t="e">
        <f aca="false">IF($A118="","",VLOOKUP($A117,Table,MATCH(AC$4,Curves,0)))</f>
        <v>#N/A</v>
      </c>
      <c r="AD117" s="185" t="e">
        <f aca="false">IF($A118="","",VLOOKUP($A117,Table,MATCH(AD$4,Curves,0)))</f>
        <v>#N/A</v>
      </c>
      <c r="AE117" s="185" t="e">
        <f aca="false">SQRT((AD117^2*(A117-$D$3)+AC117^2*(DAY(EOMONTH(A117,0))/2))/AK117)</f>
        <v>#N/A</v>
      </c>
      <c r="AF117" s="224" t="e">
        <f aca="false">((Summary!$N$13*(AA117*AD117)*(A117-$D$3))+(Summary!$M$13*Z117*AC117*(AJ117-EOMONTH(EDATE(A117,-1),0))))/(AK117*AB117*AE117)</f>
        <v>#N/A</v>
      </c>
      <c r="AG117" s="207" t="n">
        <f aca="false">IF($A118="","",Summary!$Q$13)</f>
        <v>0</v>
      </c>
      <c r="AH117" s="207" t="n">
        <f aca="false">IF($A118="","",IF(Summary!$R$12="Y",(VLOOKUP($A117,Summary!$AD$6:$AF$9,3)+'Escalating commodity'!I130),'Escalating commodity'!I130))</f>
        <v>0.0535917484578611</v>
      </c>
      <c r="AI117" s="207" t="n">
        <f aca="false">IF($A118="","",AH117)</f>
        <v>0.0535917484578611</v>
      </c>
      <c r="AJ117" s="208" t="n">
        <f aca="false">A117+DAY(EOMONTH(A117,0))/2-1</f>
        <v>40313.5</v>
      </c>
      <c r="AK117" s="209" t="n">
        <f aca="false">IF($A118="","",$A117-$E$1)</f>
        <v>-5627</v>
      </c>
      <c r="AL117" s="182" t="e">
        <f aca="false">IF($A118="","",SPRDOPT(P117,X117,AI117,0,AB117,AE117,AF117,AK117,$AJ$2,0))</f>
        <v>#NAME?</v>
      </c>
      <c r="AM117" s="210" t="e">
        <f aca="false">IF($A118="","",MAX(0,O117-W117-AI117))</f>
        <v>#N/A</v>
      </c>
      <c r="AN117" s="211" t="e">
        <f aca="false">IF($A118="","",AL117-AM117)</f>
        <v>#N/A</v>
      </c>
      <c r="AO117" s="137" t="n">
        <f aca="false">IF(A118="","",A118-A117)</f>
        <v>31</v>
      </c>
      <c r="AP117" s="212" t="n">
        <f aca="false">IF(A118="","",CHOOSE(F$3,A118+24,A117))</f>
        <v>40299</v>
      </c>
      <c r="AQ117" s="209" t="n">
        <f aca="false">IF(A118="","",AP117-$E$1)</f>
        <v>-5627</v>
      </c>
      <c r="AR117" s="185" t="n">
        <f aca="false">'ANR OK vs ML7'!AR117</f>
        <v>0.1</v>
      </c>
      <c r="AS117" s="213" t="n">
        <f aca="false">IF(A118="","",1/(1+CHOOSE(F$3,(AR118+($I$3/10000))/2,(AR117+($I$3/10000))/2))^(2*AQ117/365.25))</f>
        <v>4.49655456473081</v>
      </c>
      <c r="AT117" s="137" t="n">
        <f aca="false">IF(A118="","",IF(AND(mthbeg&lt;=A117,mthend&gt;=A117),1,0))</f>
        <v>1</v>
      </c>
      <c r="AU117" s="137" t="n">
        <f aca="false">IF(A118="","",AO117*AT117)</f>
        <v>31</v>
      </c>
      <c r="AW117" s="195" t="e">
        <f aca="false">IF($A118="","",AL117*$E117)</f>
        <v>#NAME?</v>
      </c>
      <c r="AX117" s="195" t="e">
        <f aca="false">IF($A118="","",AM117*$E117)</f>
        <v>#N/A</v>
      </c>
      <c r="AY117" s="195" t="e">
        <f aca="false">IF($A118="","",AN117*$E117)</f>
        <v>#N/A</v>
      </c>
      <c r="BA117" s="195" t="n">
        <f aca="false">IF($A118="","",F117*Summary!$Q$13)</f>
        <v>0</v>
      </c>
      <c r="BC117" s="179" t="e">
        <f aca="false">IF(A118="","",AM117*F117)</f>
        <v>#N/A</v>
      </c>
    </row>
    <row r="118" customFormat="false" ht="12.75" hidden="false" customHeight="false" outlineLevel="0" collapsed="false">
      <c r="A118" s="196" t="n">
        <f aca="false">IF(A117&lt;mthend,EDATE(A117,1),"")</f>
        <v>40330</v>
      </c>
      <c r="B118" s="197" t="n">
        <f aca="false">IF(A118&lt;mthend,B117,"")</f>
        <v>28400</v>
      </c>
      <c r="C118" s="215"/>
      <c r="D118" s="197" t="n">
        <f aca="false">IF(A119&lt;&gt;"",B118+C118,"")</f>
        <v>28400</v>
      </c>
      <c r="E118" s="199" t="n">
        <f aca="false">IF(A119="","",IF(AND(AT118=1,$H$3=1),D118*AO118,IF($H$3=2,D118,"N/A")))</f>
        <v>852000</v>
      </c>
      <c r="F118" s="199" t="n">
        <f aca="false">IF(A119="","",E118*AS118)</f>
        <v>3799466.74772325</v>
      </c>
      <c r="G118" s="200" t="e">
        <f aca="false">IF($A119="","",VLOOKUP($A118,Table,MATCH(G$4,Curves,0)))</f>
        <v>#N/A</v>
      </c>
      <c r="H118" s="201" t="e">
        <f aca="false">IF(A119="","",G118)</f>
        <v>#N/A</v>
      </c>
      <c r="I118" s="202"/>
      <c r="J118" s="200" t="e">
        <f aca="false">IF($A119="","",VLOOKUP($A118,Table,MATCH(J$4,Curves,0)))</f>
        <v>#N/A</v>
      </c>
      <c r="K118" s="201" t="e">
        <f aca="false">IF(A119="","",J118)</f>
        <v>#N/A</v>
      </c>
      <c r="L118" s="185" t="n">
        <v>0</v>
      </c>
      <c r="M118" s="201" t="n">
        <f aca="false">IF(A119="","",L118)</f>
        <v>0</v>
      </c>
      <c r="N118" s="203"/>
      <c r="O118" s="200" t="e">
        <f aca="false">IF(A119="","",L118+J118+G118)</f>
        <v>#N/A</v>
      </c>
      <c r="P118" s="200" t="e">
        <f aca="false">IF(A119="","",M118+K118+H118)</f>
        <v>#N/A</v>
      </c>
      <c r="Q118" s="204"/>
      <c r="R118" s="200" t="e">
        <f aca="false">IF($A119="","",VLOOKUP($A118,Table,MATCH(R$4,Curves,0)))</f>
        <v>#N/A</v>
      </c>
      <c r="S118" s="201" t="e">
        <f aca="false">IF(A119="","",R118)</f>
        <v>#N/A</v>
      </c>
      <c r="T118" s="185" t="n">
        <v>0</v>
      </c>
      <c r="U118" s="201" t="n">
        <f aca="false">IF(A119="","",T118)</f>
        <v>0</v>
      </c>
      <c r="V118" s="205" t="e">
        <f aca="false">(G118+R118)/(1-Summary!$T$13)*Summary!$T$13</f>
        <v>#N/A</v>
      </c>
      <c r="W118" s="202" t="e">
        <f aca="false">IF($A119="","",(T118+R118+G118+V118))</f>
        <v>#N/A</v>
      </c>
      <c r="X118" s="202" t="e">
        <f aca="false">IF($A119="","",(U118+S118+H118+V118))</f>
        <v>#N/A</v>
      </c>
      <c r="Y118" s="202"/>
      <c r="Z118" s="185" t="e">
        <f aca="false">IF($A119="","",VLOOKUP($A118,Table,MATCH(Z$4,Curves,0)))</f>
        <v>#N/A</v>
      </c>
      <c r="AA118" s="185" t="e">
        <f aca="false">IF($A119="","",VLOOKUP($A118,Table,MATCH(AA$4,Curves,0)))</f>
        <v>#N/A</v>
      </c>
      <c r="AB118" s="185" t="e">
        <f aca="false">SQRT((AA118^2*(A118-$D$3)+Z118^2*(DAY(EOMONTH(A118,0))/2))/AK118)</f>
        <v>#N/A</v>
      </c>
      <c r="AC118" s="185" t="e">
        <f aca="false">IF($A119="","",VLOOKUP($A118,Table,MATCH(AC$4,Curves,0)))</f>
        <v>#N/A</v>
      </c>
      <c r="AD118" s="185" t="e">
        <f aca="false">IF($A119="","",VLOOKUP($A118,Table,MATCH(AD$4,Curves,0)))</f>
        <v>#N/A</v>
      </c>
      <c r="AE118" s="185" t="e">
        <f aca="false">SQRT((AD118^2*(A118-$D$3)+AC118^2*(DAY(EOMONTH(A118,0))/2))/AK118)</f>
        <v>#N/A</v>
      </c>
      <c r="AF118" s="224" t="e">
        <f aca="false">((Summary!$N$13*(AA118*AD118)*(A118-$D$3))+(Summary!$M$13*Z118*AC118*(AJ118-EOMONTH(EDATE(A118,-1),0))))/(AK118*AB118*AE118)</f>
        <v>#N/A</v>
      </c>
      <c r="AG118" s="207" t="n">
        <f aca="false">IF($A119="","",Summary!$Q$13)</f>
        <v>0</v>
      </c>
      <c r="AH118" s="207" t="n">
        <f aca="false">IF($A119="","",IF(Summary!$R$12="Y",(VLOOKUP($A118,Summary!$AD$6:$AF$9,3)+'Escalating commodity'!I131),'Escalating commodity'!I131))</f>
        <v>0.0535917484578611</v>
      </c>
      <c r="AI118" s="207" t="n">
        <f aca="false">IF($A119="","",AH118)</f>
        <v>0.0535917484578611</v>
      </c>
      <c r="AJ118" s="208" t="n">
        <f aca="false">A118+DAY(EOMONTH(A118,0))/2-1</f>
        <v>40344</v>
      </c>
      <c r="AK118" s="209" t="n">
        <f aca="false">IF($A119="","",$A118-$E$1)</f>
        <v>-5596</v>
      </c>
      <c r="AL118" s="182" t="e">
        <f aca="false">IF($A119="","",SPRDOPT(P118,X118,AI118,0,AB118,AE118,AF118,AK118,$AJ$2,0))</f>
        <v>#NAME?</v>
      </c>
      <c r="AM118" s="210" t="e">
        <f aca="false">IF($A119="","",MAX(0,O118-W118-AI118))</f>
        <v>#N/A</v>
      </c>
      <c r="AN118" s="211" t="e">
        <f aca="false">IF($A119="","",AL118-AM118)</f>
        <v>#N/A</v>
      </c>
      <c r="AO118" s="137" t="n">
        <f aca="false">IF(A119="","",A119-A118)</f>
        <v>30</v>
      </c>
      <c r="AP118" s="212" t="n">
        <f aca="false">IF(A119="","",CHOOSE(F$3,A119+24,A118))</f>
        <v>40330</v>
      </c>
      <c r="AQ118" s="209" t="n">
        <f aca="false">IF(A119="","",AP118-$E$1)</f>
        <v>-5596</v>
      </c>
      <c r="AR118" s="185" t="n">
        <f aca="false">'ANR OK vs ML7'!AR118</f>
        <v>0.1</v>
      </c>
      <c r="AS118" s="213" t="n">
        <f aca="false">IF(A119="","",1/(1+CHOOSE(F$3,(AR119+($I$3/10000))/2,(AR118+($I$3/10000))/2))^(2*AQ118/365.25))</f>
        <v>4.45946801375968</v>
      </c>
      <c r="AT118" s="137" t="n">
        <f aca="false">IF(A119="","",IF(AND(mthbeg&lt;=A118,mthend&gt;=A118),1,0))</f>
        <v>1</v>
      </c>
      <c r="AU118" s="137" t="n">
        <f aca="false">IF(A119="","",AO118*AT118)</f>
        <v>30</v>
      </c>
      <c r="AW118" s="195" t="e">
        <f aca="false">IF($A119="","",AL118*$E118)</f>
        <v>#NAME?</v>
      </c>
      <c r="AX118" s="195" t="e">
        <f aca="false">IF($A119="","",AM118*$E118)</f>
        <v>#N/A</v>
      </c>
      <c r="AY118" s="195" t="e">
        <f aca="false">IF($A119="","",AN118*$E118)</f>
        <v>#N/A</v>
      </c>
      <c r="BA118" s="195" t="n">
        <f aca="false">IF($A119="","",F118*Summary!$Q$13)</f>
        <v>0</v>
      </c>
      <c r="BC118" s="179" t="e">
        <f aca="false">IF(A119="","",AM118*F118)</f>
        <v>#N/A</v>
      </c>
    </row>
    <row r="119" customFormat="false" ht="12.75" hidden="false" customHeight="false" outlineLevel="0" collapsed="false">
      <c r="A119" s="196" t="n">
        <f aca="false">IF(A118&lt;mthend,EDATE(A118,1),"")</f>
        <v>40360</v>
      </c>
      <c r="B119" s="197" t="n">
        <f aca="false">IF(A119&lt;mthend,B118,"")</f>
        <v>28400</v>
      </c>
      <c r="C119" s="215"/>
      <c r="D119" s="197" t="n">
        <f aca="false">IF(A120&lt;&gt;"",B119+C119,"")</f>
        <v>28400</v>
      </c>
      <c r="E119" s="199" t="n">
        <f aca="false">IF(A120="","",IF(AND(AT119=1,$H$3=1),D119*AO119,IF($H$3=2,D119,"N/A")))</f>
        <v>880400</v>
      </c>
      <c r="F119" s="199" t="n">
        <f aca="false">IF(A120="","",E119*AS119)</f>
        <v>3894774.32819864</v>
      </c>
      <c r="G119" s="200" t="e">
        <f aca="false">IF($A120="","",VLOOKUP($A119,Table,MATCH(G$4,Curves,0)))</f>
        <v>#N/A</v>
      </c>
      <c r="H119" s="201" t="e">
        <f aca="false">IF(A120="","",G119)</f>
        <v>#N/A</v>
      </c>
      <c r="I119" s="202"/>
      <c r="J119" s="200" t="e">
        <f aca="false">IF($A120="","",VLOOKUP($A119,Table,MATCH(J$4,Curves,0)))</f>
        <v>#N/A</v>
      </c>
      <c r="K119" s="201" t="e">
        <f aca="false">IF(A120="","",J119)</f>
        <v>#N/A</v>
      </c>
      <c r="L119" s="185" t="n">
        <v>0</v>
      </c>
      <c r="M119" s="201" t="n">
        <f aca="false">IF(A120="","",L119)</f>
        <v>0</v>
      </c>
      <c r="N119" s="203"/>
      <c r="O119" s="200" t="e">
        <f aca="false">IF(A120="","",L119+J119+G119)</f>
        <v>#N/A</v>
      </c>
      <c r="P119" s="200" t="e">
        <f aca="false">IF(A120="","",M119+K119+H119)</f>
        <v>#N/A</v>
      </c>
      <c r="Q119" s="204"/>
      <c r="R119" s="200" t="e">
        <f aca="false">IF($A120="","",VLOOKUP($A119,Table,MATCH(R$4,Curves,0)))</f>
        <v>#N/A</v>
      </c>
      <c r="S119" s="201" t="e">
        <f aca="false">IF(A120="","",R119)</f>
        <v>#N/A</v>
      </c>
      <c r="T119" s="185" t="n">
        <v>0</v>
      </c>
      <c r="U119" s="201" t="n">
        <f aca="false">IF(A120="","",T119)</f>
        <v>0</v>
      </c>
      <c r="V119" s="205" t="e">
        <f aca="false">(G119+R119)/(1-Summary!$T$13)*Summary!$T$13</f>
        <v>#N/A</v>
      </c>
      <c r="W119" s="202" t="e">
        <f aca="false">IF($A120="","",(T119+R119+G119+V119))</f>
        <v>#N/A</v>
      </c>
      <c r="X119" s="202" t="e">
        <f aca="false">IF($A120="","",(U119+S119+H119+V119))</f>
        <v>#N/A</v>
      </c>
      <c r="Y119" s="202"/>
      <c r="Z119" s="185" t="e">
        <f aca="false">IF($A120="","",VLOOKUP($A119,Table,MATCH(Z$4,Curves,0)))</f>
        <v>#N/A</v>
      </c>
      <c r="AA119" s="185" t="e">
        <f aca="false">IF($A120="","",VLOOKUP($A119,Table,MATCH(AA$4,Curves,0)))</f>
        <v>#N/A</v>
      </c>
      <c r="AB119" s="185" t="e">
        <f aca="false">SQRT((AA119^2*(A119-$D$3)+Z119^2*(DAY(EOMONTH(A119,0))/2))/AK119)</f>
        <v>#N/A</v>
      </c>
      <c r="AC119" s="185" t="e">
        <f aca="false">IF($A120="","",VLOOKUP($A119,Table,MATCH(AC$4,Curves,0)))</f>
        <v>#N/A</v>
      </c>
      <c r="AD119" s="185" t="e">
        <f aca="false">IF($A120="","",VLOOKUP($A119,Table,MATCH(AD$4,Curves,0)))</f>
        <v>#N/A</v>
      </c>
      <c r="AE119" s="185" t="e">
        <f aca="false">SQRT((AD119^2*(A119-$D$3)+AC119^2*(DAY(EOMONTH(A119,0))/2))/AK119)</f>
        <v>#N/A</v>
      </c>
      <c r="AF119" s="224" t="e">
        <f aca="false">((Summary!$N$13*(AA119*AD119)*(A119-$D$3))+(Summary!$M$13*Z119*AC119*(AJ119-EOMONTH(EDATE(A119,-1),0))))/(AK119*AB119*AE119)</f>
        <v>#N/A</v>
      </c>
      <c r="AG119" s="207" t="n">
        <f aca="false">IF($A120="","",Summary!$Q$13)</f>
        <v>0</v>
      </c>
      <c r="AH119" s="207" t="n">
        <f aca="false">IF($A120="","",IF(Summary!$R$12="Y",(VLOOKUP($A119,Summary!$AD$6:$AF$9,3)+'Escalating commodity'!I132),'Escalating commodity'!I132))</f>
        <v>0.0535917484578611</v>
      </c>
      <c r="AI119" s="207" t="n">
        <f aca="false">IF($A120="","",AH119)</f>
        <v>0.0535917484578611</v>
      </c>
      <c r="AJ119" s="208" t="n">
        <f aca="false">A119+DAY(EOMONTH(A119,0))/2-1</f>
        <v>40374.5</v>
      </c>
      <c r="AK119" s="209" t="n">
        <f aca="false">IF($A120="","",$A119-$E$1)</f>
        <v>-5566</v>
      </c>
      <c r="AL119" s="182" t="e">
        <f aca="false">IF($A120="","",SPRDOPT(P119,X119,AI119,0,AB119,AE119,AF119,AK119,$AJ$2,0))</f>
        <v>#NAME?</v>
      </c>
      <c r="AM119" s="210" t="e">
        <f aca="false">IF($A120="","",MAX(0,O119-W119-AI119))</f>
        <v>#N/A</v>
      </c>
      <c r="AN119" s="211" t="e">
        <f aca="false">IF($A120="","",AL119-AM119)</f>
        <v>#N/A</v>
      </c>
      <c r="AO119" s="137" t="n">
        <f aca="false">IF(A120="","",A120-A119)</f>
        <v>31</v>
      </c>
      <c r="AP119" s="212" t="n">
        <f aca="false">IF(A120="","",CHOOSE(F$3,A120+24,A119))</f>
        <v>40360</v>
      </c>
      <c r="AQ119" s="209" t="n">
        <f aca="false">IF(A120="","",AP119-$E$1)</f>
        <v>-5566</v>
      </c>
      <c r="AR119" s="185" t="n">
        <f aca="false">'ANR OK vs ML7'!AR119</f>
        <v>0.1</v>
      </c>
      <c r="AS119" s="213" t="n">
        <f aca="false">IF(A120="","",1/(1+CHOOSE(F$3,(AR120+($I$3/10000))/2,(AR119+($I$3/10000))/2))^(2*AQ119/365.25))</f>
        <v>4.42386906883081</v>
      </c>
      <c r="AT119" s="137" t="n">
        <f aca="false">IF(A120="","",IF(AND(mthbeg&lt;=A119,mthend&gt;=A119),1,0))</f>
        <v>1</v>
      </c>
      <c r="AU119" s="137" t="n">
        <f aca="false">IF(A120="","",AO119*AT119)</f>
        <v>31</v>
      </c>
      <c r="AW119" s="195" t="e">
        <f aca="false">IF($A120="","",AL119*$E119)</f>
        <v>#NAME?</v>
      </c>
      <c r="AX119" s="195" t="e">
        <f aca="false">IF($A120="","",AM119*$E119)</f>
        <v>#N/A</v>
      </c>
      <c r="AY119" s="195" t="e">
        <f aca="false">IF($A120="","",AN119*$E119)</f>
        <v>#N/A</v>
      </c>
      <c r="BA119" s="195" t="n">
        <f aca="false">IF($A120="","",F119*Summary!$Q$13)</f>
        <v>0</v>
      </c>
      <c r="BC119" s="179" t="e">
        <f aca="false">IF(A120="","",AM119*F119)</f>
        <v>#N/A</v>
      </c>
    </row>
    <row r="120" customFormat="false" ht="12.75" hidden="false" customHeight="false" outlineLevel="0" collapsed="false">
      <c r="A120" s="196" t="n">
        <f aca="false">IF(A119&lt;mthend,EDATE(A119,1),"")</f>
        <v>40391</v>
      </c>
      <c r="B120" s="197" t="n">
        <f aca="false">IF(A120&lt;mthend,B119,"")</f>
        <v>28400</v>
      </c>
      <c r="C120" s="215"/>
      <c r="D120" s="197" t="n">
        <f aca="false">IF(A121&lt;&gt;"",B120+C120,"")</f>
        <v>28400</v>
      </c>
      <c r="E120" s="199" t="n">
        <f aca="false">IF(A121="","",IF(AND(AT120=1,$H$3=1),D120*AO120,IF($H$3=2,D120,"N/A")))</f>
        <v>880400</v>
      </c>
      <c r="F120" s="199" t="n">
        <f aca="false">IF(A121="","",E120*AS120)</f>
        <v>3862651.12262771</v>
      </c>
      <c r="G120" s="200" t="e">
        <f aca="false">IF($A121="","",VLOOKUP($A120,Table,MATCH(G$4,Curves,0)))</f>
        <v>#N/A</v>
      </c>
      <c r="H120" s="201" t="e">
        <f aca="false">IF(A121="","",G120)</f>
        <v>#N/A</v>
      </c>
      <c r="I120" s="202"/>
      <c r="J120" s="200" t="e">
        <f aca="false">IF($A121="","",VLOOKUP($A120,Table,MATCH(J$4,Curves,0)))</f>
        <v>#N/A</v>
      </c>
      <c r="K120" s="201" t="e">
        <f aca="false">IF(A121="","",J120)</f>
        <v>#N/A</v>
      </c>
      <c r="L120" s="185" t="n">
        <v>0</v>
      </c>
      <c r="M120" s="201" t="n">
        <f aca="false">IF(A121="","",L120)</f>
        <v>0</v>
      </c>
      <c r="N120" s="203"/>
      <c r="O120" s="200" t="e">
        <f aca="false">IF(A121="","",L120+J120+G120)</f>
        <v>#N/A</v>
      </c>
      <c r="P120" s="200" t="e">
        <f aca="false">IF(A121="","",M120+K120+H120)</f>
        <v>#N/A</v>
      </c>
      <c r="Q120" s="204"/>
      <c r="R120" s="200" t="e">
        <f aca="false">IF($A121="","",VLOOKUP($A120,Table,MATCH(R$4,Curves,0)))</f>
        <v>#N/A</v>
      </c>
      <c r="S120" s="201" t="e">
        <f aca="false">IF(A121="","",R120)</f>
        <v>#N/A</v>
      </c>
      <c r="T120" s="185" t="n">
        <v>0</v>
      </c>
      <c r="U120" s="201" t="n">
        <f aca="false">IF(A121="","",T120)</f>
        <v>0</v>
      </c>
      <c r="V120" s="205" t="e">
        <f aca="false">(G120+R120)/(1-Summary!$T$13)*Summary!$T$13</f>
        <v>#N/A</v>
      </c>
      <c r="W120" s="202" t="e">
        <f aca="false">IF($A121="","",(T120+R120+G120+V120))</f>
        <v>#N/A</v>
      </c>
      <c r="X120" s="202" t="e">
        <f aca="false">IF($A121="","",(U120+S120+H120+V120))</f>
        <v>#N/A</v>
      </c>
      <c r="Y120" s="202"/>
      <c r="Z120" s="185" t="e">
        <f aca="false">IF($A121="","",VLOOKUP($A120,Table,MATCH(Z$4,Curves,0)))</f>
        <v>#N/A</v>
      </c>
      <c r="AA120" s="185" t="e">
        <f aca="false">IF($A121="","",VLOOKUP($A120,Table,MATCH(AA$4,Curves,0)))</f>
        <v>#N/A</v>
      </c>
      <c r="AB120" s="185" t="e">
        <f aca="false">SQRT((AA120^2*(A120-$D$3)+Z120^2*(DAY(EOMONTH(A120,0))/2))/AK120)</f>
        <v>#N/A</v>
      </c>
      <c r="AC120" s="185" t="e">
        <f aca="false">IF($A121="","",VLOOKUP($A120,Table,MATCH(AC$4,Curves,0)))</f>
        <v>#N/A</v>
      </c>
      <c r="AD120" s="185" t="e">
        <f aca="false">IF($A121="","",VLOOKUP($A120,Table,MATCH(AD$4,Curves,0)))</f>
        <v>#N/A</v>
      </c>
      <c r="AE120" s="185" t="e">
        <f aca="false">SQRT((AD120^2*(A120-$D$3)+AC120^2*(DAY(EOMONTH(A120,0))/2))/AK120)</f>
        <v>#N/A</v>
      </c>
      <c r="AF120" s="224" t="e">
        <f aca="false">((Summary!$N$13*(AA120*AD120)*(A120-$D$3))+(Summary!$M$13*Z120*AC120*(AJ120-EOMONTH(EDATE(A120,-1),0))))/(AK120*AB120*AE120)</f>
        <v>#N/A</v>
      </c>
      <c r="AG120" s="207" t="n">
        <f aca="false">IF($A121="","",Summary!$Q$13)</f>
        <v>0</v>
      </c>
      <c r="AH120" s="207" t="n">
        <f aca="false">IF($A121="","",IF(Summary!$R$12="Y",(VLOOKUP($A120,Summary!$AD$6:$AF$9,3)+'Escalating commodity'!I133),'Escalating commodity'!I133))</f>
        <v>0.0535917484578611</v>
      </c>
      <c r="AI120" s="207" t="n">
        <f aca="false">IF($A121="","",AH120)</f>
        <v>0.0535917484578611</v>
      </c>
      <c r="AJ120" s="208" t="n">
        <f aca="false">A120+DAY(EOMONTH(A120,0))/2-1</f>
        <v>40405.5</v>
      </c>
      <c r="AK120" s="209" t="n">
        <f aca="false">IF($A121="","",$A120-$E$1)</f>
        <v>-5535</v>
      </c>
      <c r="AL120" s="182" t="e">
        <f aca="false">IF($A121="","",SPRDOPT(P120,X120,AI120,0,AB120,AE120,AF120,AK120,$AJ$2,0))</f>
        <v>#NAME?</v>
      </c>
      <c r="AM120" s="210" t="e">
        <f aca="false">IF($A121="","",MAX(0,O120-W120-AI120))</f>
        <v>#N/A</v>
      </c>
      <c r="AN120" s="211" t="e">
        <f aca="false">IF($A121="","",AL120-AM120)</f>
        <v>#N/A</v>
      </c>
      <c r="AO120" s="137" t="n">
        <f aca="false">IF(A121="","",A121-A120)</f>
        <v>31</v>
      </c>
      <c r="AP120" s="212" t="n">
        <f aca="false">IF(A121="","",CHOOSE(F$3,A121+24,A120))</f>
        <v>40391</v>
      </c>
      <c r="AQ120" s="209" t="n">
        <f aca="false">IF(A121="","",AP120-$E$1)</f>
        <v>-5535</v>
      </c>
      <c r="AR120" s="185" t="n">
        <f aca="false">'ANR OK vs ML7'!AR120</f>
        <v>0.1</v>
      </c>
      <c r="AS120" s="213" t="n">
        <f aca="false">IF(A121="","",1/(1+CHOOSE(F$3,(AR121+($I$3/10000))/2,(AR120+($I$3/10000))/2))^(2*AQ120/365.25))</f>
        <v>4.38738201116278</v>
      </c>
      <c r="AT120" s="137" t="n">
        <f aca="false">IF(A121="","",IF(AND(mthbeg&lt;=A120,mthend&gt;=A120),1,0))</f>
        <v>1</v>
      </c>
      <c r="AU120" s="137" t="n">
        <f aca="false">IF(A121="","",AO120*AT120)</f>
        <v>31</v>
      </c>
      <c r="AW120" s="195" t="e">
        <f aca="false">IF($A121="","",AL120*$E120)</f>
        <v>#NAME?</v>
      </c>
      <c r="AX120" s="195" t="e">
        <f aca="false">IF($A121="","",AM120*$E120)</f>
        <v>#N/A</v>
      </c>
      <c r="AY120" s="195" t="e">
        <f aca="false">IF($A121="","",AN120*$E120)</f>
        <v>#N/A</v>
      </c>
      <c r="BA120" s="195" t="n">
        <f aca="false">IF($A121="","",F120*Summary!$Q$13)</f>
        <v>0</v>
      </c>
      <c r="BC120" s="179" t="e">
        <f aca="false">IF(A121="","",AM120*F120)</f>
        <v>#N/A</v>
      </c>
    </row>
    <row r="121" customFormat="false" ht="12.75" hidden="false" customHeight="false" outlineLevel="0" collapsed="false">
      <c r="A121" s="196" t="n">
        <f aca="false">IF(A120&lt;mthend,EDATE(A120,1),"")</f>
        <v>40422</v>
      </c>
      <c r="B121" s="197" t="n">
        <f aca="false">IF(A121&lt;mthend,B120,"")</f>
        <v>28400</v>
      </c>
      <c r="C121" s="215"/>
      <c r="D121" s="197" t="n">
        <f aca="false">IF(A122&lt;&gt;"",B121+C121,"")</f>
        <v>28400</v>
      </c>
      <c r="E121" s="199" t="n">
        <f aca="false">IF(A122="","",IF(AND(AT121=1,$H$3=1),D121*AO121,IF($H$3=2,D121,"N/A")))</f>
        <v>852000</v>
      </c>
      <c r="F121" s="199" t="n">
        <f aca="false">IF(A122="","",E121*AS121)</f>
        <v>3707218.89860355</v>
      </c>
      <c r="G121" s="200" t="e">
        <f aca="false">IF($A122="","",VLOOKUP($A121,Table,MATCH(G$4,Curves,0)))</f>
        <v>#N/A</v>
      </c>
      <c r="H121" s="201" t="e">
        <f aca="false">IF(A122="","",G121)</f>
        <v>#N/A</v>
      </c>
      <c r="I121" s="202"/>
      <c r="J121" s="200" t="e">
        <f aca="false">IF($A122="","",VLOOKUP($A121,Table,MATCH(J$4,Curves,0)))</f>
        <v>#N/A</v>
      </c>
      <c r="K121" s="201" t="e">
        <f aca="false">IF(A122="","",J121)</f>
        <v>#N/A</v>
      </c>
      <c r="L121" s="185" t="n">
        <v>0</v>
      </c>
      <c r="M121" s="201" t="n">
        <f aca="false">IF(A122="","",L121)</f>
        <v>0</v>
      </c>
      <c r="N121" s="203"/>
      <c r="O121" s="200" t="e">
        <f aca="false">IF(A122="","",L121+J121+G121)</f>
        <v>#N/A</v>
      </c>
      <c r="P121" s="200" t="e">
        <f aca="false">IF(A122="","",M121+K121+H121)</f>
        <v>#N/A</v>
      </c>
      <c r="Q121" s="204"/>
      <c r="R121" s="200" t="e">
        <f aca="false">IF($A122="","",VLOOKUP($A121,Table,MATCH(R$4,Curves,0)))</f>
        <v>#N/A</v>
      </c>
      <c r="S121" s="201" t="e">
        <f aca="false">IF(A122="","",R121)</f>
        <v>#N/A</v>
      </c>
      <c r="T121" s="185" t="n">
        <v>0</v>
      </c>
      <c r="U121" s="201" t="n">
        <f aca="false">IF(A122="","",T121)</f>
        <v>0</v>
      </c>
      <c r="V121" s="205" t="e">
        <f aca="false">(G121+R121)/(1-Summary!$T$13)*Summary!$T$13</f>
        <v>#N/A</v>
      </c>
      <c r="W121" s="202" t="e">
        <f aca="false">IF($A122="","",(T121+R121+G121+V121))</f>
        <v>#N/A</v>
      </c>
      <c r="X121" s="202" t="e">
        <f aca="false">IF($A122="","",(U121+S121+H121+V121))</f>
        <v>#N/A</v>
      </c>
      <c r="Y121" s="202"/>
      <c r="Z121" s="185" t="e">
        <f aca="false">IF($A122="","",VLOOKUP($A121,Table,MATCH(Z$4,Curves,0)))</f>
        <v>#N/A</v>
      </c>
      <c r="AA121" s="185" t="e">
        <f aca="false">IF($A122="","",VLOOKUP($A121,Table,MATCH(AA$4,Curves,0)))</f>
        <v>#N/A</v>
      </c>
      <c r="AB121" s="185" t="e">
        <f aca="false">SQRT((AA121^2*(A121-$D$3)+Z121^2*(DAY(EOMONTH(A121,0))/2))/AK121)</f>
        <v>#N/A</v>
      </c>
      <c r="AC121" s="185" t="e">
        <f aca="false">IF($A122="","",VLOOKUP($A121,Table,MATCH(AC$4,Curves,0)))</f>
        <v>#N/A</v>
      </c>
      <c r="AD121" s="185" t="e">
        <f aca="false">IF($A122="","",VLOOKUP($A121,Table,MATCH(AD$4,Curves,0)))</f>
        <v>#N/A</v>
      </c>
      <c r="AE121" s="185" t="e">
        <f aca="false">SQRT((AD121^2*(A121-$D$3)+AC121^2*(DAY(EOMONTH(A121,0))/2))/AK121)</f>
        <v>#N/A</v>
      </c>
      <c r="AF121" s="224" t="e">
        <f aca="false">((Summary!$N$13*(AA121*AD121)*(A121-$D$3))+(Summary!$M$13*Z121*AC121*(AJ121-EOMONTH(EDATE(A121,-1),0))))/(AK121*AB121*AE121)</f>
        <v>#N/A</v>
      </c>
      <c r="AG121" s="207" t="n">
        <f aca="false">IF($A122="","",Summary!$Q$13)</f>
        <v>0</v>
      </c>
      <c r="AH121" s="207" t="n">
        <f aca="false">IF($A122="","",IF(Summary!$R$12="Y",(VLOOKUP($A121,Summary!$AD$6:$AF$9,3)+'Escalating commodity'!I134),'Escalating commodity'!I134))</f>
        <v>0.0535917484578611</v>
      </c>
      <c r="AI121" s="207" t="n">
        <f aca="false">IF($A122="","",AH121)</f>
        <v>0.0535917484578611</v>
      </c>
      <c r="AJ121" s="208" t="n">
        <f aca="false">A121+DAY(EOMONTH(A121,0))/2-1</f>
        <v>40436</v>
      </c>
      <c r="AK121" s="209" t="n">
        <f aca="false">IF($A122="","",$A121-$E$1)</f>
        <v>-5504</v>
      </c>
      <c r="AL121" s="182" t="e">
        <f aca="false">IF($A122="","",SPRDOPT(P121,X121,AI121,0,AB121,AE121,AF121,AK121,$AJ$2,0))</f>
        <v>#NAME?</v>
      </c>
      <c r="AM121" s="210" t="e">
        <f aca="false">IF($A122="","",MAX(0,O121-W121-AI121))</f>
        <v>#N/A</v>
      </c>
      <c r="AN121" s="211" t="e">
        <f aca="false">IF($A122="","",AL121-AM121)</f>
        <v>#N/A</v>
      </c>
      <c r="AO121" s="137" t="n">
        <f aca="false">IF(A122="","",A122-A121)</f>
        <v>30</v>
      </c>
      <c r="AP121" s="212" t="n">
        <f aca="false">IF(A122="","",CHOOSE(F$3,A122+24,A121))</f>
        <v>40422</v>
      </c>
      <c r="AQ121" s="209" t="n">
        <f aca="false">IF(A122="","",AP121-$E$1)</f>
        <v>-5504</v>
      </c>
      <c r="AR121" s="185" t="n">
        <f aca="false">'ANR OK vs ML7'!AR121</f>
        <v>0.1</v>
      </c>
      <c r="AS121" s="213" t="n">
        <f aca="false">IF(A122="","",1/(1+CHOOSE(F$3,(AR122+($I$3/10000))/2,(AR121+($I$3/10000))/2))^(2*AQ121/365.25))</f>
        <v>4.35119589037976</v>
      </c>
      <c r="AT121" s="137" t="n">
        <f aca="false">IF(A122="","",IF(AND(mthbeg&lt;=A121,mthend&gt;=A121),1,0))</f>
        <v>1</v>
      </c>
      <c r="AU121" s="137" t="n">
        <f aca="false">IF(A122="","",AO121*AT121)</f>
        <v>30</v>
      </c>
      <c r="AW121" s="195" t="e">
        <f aca="false">IF($A122="","",AL121*$E121)</f>
        <v>#NAME?</v>
      </c>
      <c r="AX121" s="195" t="e">
        <f aca="false">IF($A122="","",AM121*$E121)</f>
        <v>#N/A</v>
      </c>
      <c r="AY121" s="195" t="e">
        <f aca="false">IF($A122="","",AN121*$E121)</f>
        <v>#N/A</v>
      </c>
      <c r="BA121" s="195" t="n">
        <f aca="false">IF($A122="","",F121*Summary!$Q$13)</f>
        <v>0</v>
      </c>
      <c r="BC121" s="179" t="e">
        <f aca="false">IF(A122="","",AM121*F121)</f>
        <v>#N/A</v>
      </c>
    </row>
    <row r="122" customFormat="false" ht="12.75" hidden="false" customHeight="false" outlineLevel="0" collapsed="false">
      <c r="A122" s="196" t="n">
        <f aca="false">IF(A121&lt;mthend,EDATE(A121,1),"")</f>
        <v>40452</v>
      </c>
      <c r="B122" s="197" t="n">
        <f aca="false">IF(A122&lt;mthend,B121,"")</f>
        <v>28400</v>
      </c>
      <c r="C122" s="215"/>
      <c r="D122" s="197" t="n">
        <f aca="false">IF(A123&lt;&gt;"",B122+C122,"")</f>
        <v>28400</v>
      </c>
      <c r="E122" s="199" t="n">
        <f aca="false">IF(A123="","",IF(AND(AT122=1,$H$3=1),D122*AO122,IF($H$3=2,D122,"N/A")))</f>
        <v>880400</v>
      </c>
      <c r="F122" s="199" t="n">
        <f aca="false">IF(A123="","",E122*AS122)</f>
        <v>3800212.49138346</v>
      </c>
      <c r="G122" s="200" t="e">
        <f aca="false">IF($A123="","",VLOOKUP($A122,Table,MATCH(G$4,Curves,0)))</f>
        <v>#N/A</v>
      </c>
      <c r="H122" s="201" t="e">
        <f aca="false">IF(A123="","",G122)</f>
        <v>#N/A</v>
      </c>
      <c r="I122" s="202"/>
      <c r="J122" s="200" t="e">
        <f aca="false">IF($A123="","",VLOOKUP($A122,Table,MATCH(J$4,Curves,0)))</f>
        <v>#N/A</v>
      </c>
      <c r="K122" s="201" t="e">
        <f aca="false">IF(A123="","",J122)</f>
        <v>#N/A</v>
      </c>
      <c r="L122" s="185" t="n">
        <v>0</v>
      </c>
      <c r="M122" s="201" t="n">
        <f aca="false">IF(A123="","",L122)</f>
        <v>0</v>
      </c>
      <c r="N122" s="203"/>
      <c r="O122" s="200" t="e">
        <f aca="false">IF(A123="","",L122+J122+G122)</f>
        <v>#N/A</v>
      </c>
      <c r="P122" s="200" t="e">
        <f aca="false">IF(A123="","",M122+K122+H122)</f>
        <v>#N/A</v>
      </c>
      <c r="Q122" s="204"/>
      <c r="R122" s="200" t="e">
        <f aca="false">IF($A123="","",VLOOKUP($A122,Table,MATCH(R$4,Curves,0)))</f>
        <v>#N/A</v>
      </c>
      <c r="S122" s="201" t="e">
        <f aca="false">IF(A123="","",R122)</f>
        <v>#N/A</v>
      </c>
      <c r="T122" s="185" t="n">
        <v>0</v>
      </c>
      <c r="U122" s="201" t="n">
        <f aca="false">IF(A123="","",T122)</f>
        <v>0</v>
      </c>
      <c r="V122" s="205" t="e">
        <f aca="false">(G122+R122)/(1-Summary!$T$13)*Summary!$T$13</f>
        <v>#N/A</v>
      </c>
      <c r="W122" s="202" t="e">
        <f aca="false">IF($A123="","",(T122+R122+G122+V122))</f>
        <v>#N/A</v>
      </c>
      <c r="X122" s="202" t="e">
        <f aca="false">IF($A123="","",(U122+S122+H122+V122))</f>
        <v>#N/A</v>
      </c>
      <c r="Y122" s="202"/>
      <c r="Z122" s="185" t="e">
        <f aca="false">IF($A123="","",VLOOKUP($A122,Table,MATCH(Z$4,Curves,0)))</f>
        <v>#N/A</v>
      </c>
      <c r="AA122" s="185" t="e">
        <f aca="false">IF($A123="","",VLOOKUP($A122,Table,MATCH(AA$4,Curves,0)))</f>
        <v>#N/A</v>
      </c>
      <c r="AB122" s="185" t="e">
        <f aca="false">SQRT((AA122^2*(A122-$D$3)+Z122^2*(DAY(EOMONTH(A122,0))/2))/AK122)</f>
        <v>#N/A</v>
      </c>
      <c r="AC122" s="185" t="e">
        <f aca="false">IF($A123="","",VLOOKUP($A122,Table,MATCH(AC$4,Curves,0)))</f>
        <v>#N/A</v>
      </c>
      <c r="AD122" s="185" t="e">
        <f aca="false">IF($A123="","",VLOOKUP($A122,Table,MATCH(AD$4,Curves,0)))</f>
        <v>#N/A</v>
      </c>
      <c r="AE122" s="185" t="e">
        <f aca="false">SQRT((AD122^2*(A122-$D$3)+AC122^2*(DAY(EOMONTH(A122,0))/2))/AK122)</f>
        <v>#N/A</v>
      </c>
      <c r="AF122" s="224" t="e">
        <f aca="false">((Summary!$N$13*(AA122*AD122)*(A122-$D$3))+(Summary!$M$13*Z122*AC122*(AJ122-EOMONTH(EDATE(A122,-1),0))))/(AK122*AB122*AE122)</f>
        <v>#N/A</v>
      </c>
      <c r="AG122" s="207" t="n">
        <f aca="false">IF($A123="","",Summary!$Q$13)</f>
        <v>0</v>
      </c>
      <c r="AH122" s="207" t="n">
        <f aca="false">IF($A123="","",IF(Summary!$R$12="Y",(VLOOKUP($A122,Summary!$AD$6:$AF$9,3)+'Escalating commodity'!I135),'Escalating commodity'!I135))</f>
        <v>0.0535917484578611</v>
      </c>
      <c r="AI122" s="207" t="n">
        <f aca="false">IF($A123="","",AH122)</f>
        <v>0.0535917484578611</v>
      </c>
      <c r="AJ122" s="208" t="n">
        <f aca="false">A122+DAY(EOMONTH(A122,0))/2-1</f>
        <v>40466.5</v>
      </c>
      <c r="AK122" s="209" t="n">
        <f aca="false">IF($A123="","",$A122-$E$1)</f>
        <v>-5474</v>
      </c>
      <c r="AL122" s="182" t="e">
        <f aca="false">IF($A123="","",SPRDOPT(P122,X122,AI122,0,AB122,AE122,AF122,AK122,$AJ$2,0))</f>
        <v>#NAME?</v>
      </c>
      <c r="AM122" s="210" t="e">
        <f aca="false">IF($A123="","",MAX(0,O122-W122-AI122))</f>
        <v>#N/A</v>
      </c>
      <c r="AN122" s="211" t="e">
        <f aca="false">IF($A123="","",AL122-AM122)</f>
        <v>#N/A</v>
      </c>
      <c r="AO122" s="137" t="n">
        <f aca="false">IF(A123="","",A123-A122)</f>
        <v>31</v>
      </c>
      <c r="AP122" s="212" t="n">
        <f aca="false">IF(A123="","",CHOOSE(F$3,A123+24,A122))</f>
        <v>40452</v>
      </c>
      <c r="AQ122" s="209" t="n">
        <f aca="false">IF(A123="","",AP122-$E$1)</f>
        <v>-5474</v>
      </c>
      <c r="AR122" s="185" t="n">
        <f aca="false">'ANR OK vs ML7'!AR122</f>
        <v>0.1</v>
      </c>
      <c r="AS122" s="213" t="n">
        <f aca="false">IF(A123="","",1/(1+CHOOSE(F$3,(AR123+($I$3/10000))/2,(AR122+($I$3/10000))/2))^(2*AQ122/365.25))</f>
        <v>4.31646125781855</v>
      </c>
      <c r="AT122" s="137" t="n">
        <f aca="false">IF(A123="","",IF(AND(mthbeg&lt;=A122,mthend&gt;=A122),1,0))</f>
        <v>1</v>
      </c>
      <c r="AU122" s="137" t="n">
        <f aca="false">IF(A123="","",AO122*AT122)</f>
        <v>31</v>
      </c>
      <c r="AW122" s="195" t="e">
        <f aca="false">IF($A123="","",AL122*$E122)</f>
        <v>#NAME?</v>
      </c>
      <c r="AX122" s="195" t="e">
        <f aca="false">IF($A123="","",AM122*$E122)</f>
        <v>#N/A</v>
      </c>
      <c r="AY122" s="195" t="e">
        <f aca="false">IF($A123="","",AN122*$E122)</f>
        <v>#N/A</v>
      </c>
      <c r="BA122" s="195" t="n">
        <f aca="false">IF($A123="","",F122*Summary!$Q$13)</f>
        <v>0</v>
      </c>
      <c r="BC122" s="179" t="e">
        <f aca="false">IF(A123="","",AM122*F122)</f>
        <v>#N/A</v>
      </c>
    </row>
    <row r="123" customFormat="false" ht="12.75" hidden="false" customHeight="false" outlineLevel="0" collapsed="false">
      <c r="A123" s="196" t="n">
        <f aca="false">IF(A122&lt;mthend,EDATE(A122,1),"")</f>
        <v>40483</v>
      </c>
      <c r="B123" s="197" t="n">
        <f aca="false">IF(A123&lt;mthend,B122,"")</f>
        <v>28400</v>
      </c>
      <c r="C123" s="215"/>
      <c r="D123" s="197" t="n">
        <f aca="false">IF(A124&lt;&gt;"",B123+C123,"")</f>
        <v>28400</v>
      </c>
      <c r="E123" s="199" t="n">
        <f aca="false">IF(A124="","",IF(AND(AT123=1,$H$3=1),D123*AO123,IF($H$3=2,D123,"N/A")))</f>
        <v>852000</v>
      </c>
      <c r="F123" s="199" t="n">
        <f aca="false">IF(A124="","",E123*AS123)</f>
        <v>3647292.78402498</v>
      </c>
      <c r="G123" s="200" t="e">
        <f aca="false">IF($A124="","",VLOOKUP($A123,Table,MATCH(G$4,Curves,0)))</f>
        <v>#N/A</v>
      </c>
      <c r="H123" s="201" t="e">
        <f aca="false">IF(A124="","",G123)</f>
        <v>#N/A</v>
      </c>
      <c r="I123" s="202"/>
      <c r="J123" s="200" t="e">
        <f aca="false">IF($A124="","",VLOOKUP($A123,Table,MATCH(J$4,Curves,0)))</f>
        <v>#N/A</v>
      </c>
      <c r="K123" s="201" t="e">
        <f aca="false">IF(A124="","",J123)</f>
        <v>#N/A</v>
      </c>
      <c r="L123" s="185" t="n">
        <v>0</v>
      </c>
      <c r="M123" s="201" t="n">
        <f aca="false">IF(A124="","",L123)</f>
        <v>0</v>
      </c>
      <c r="N123" s="203"/>
      <c r="O123" s="200" t="e">
        <f aca="false">IF(A124="","",L123+J123+G123)</f>
        <v>#N/A</v>
      </c>
      <c r="P123" s="200" t="e">
        <f aca="false">IF(A124="","",M123+K123+H123)</f>
        <v>#N/A</v>
      </c>
      <c r="Q123" s="204"/>
      <c r="R123" s="200" t="e">
        <f aca="false">IF($A124="","",VLOOKUP($A123,Table,MATCH(R$4,Curves,0)))</f>
        <v>#N/A</v>
      </c>
      <c r="S123" s="201" t="e">
        <f aca="false">IF(A124="","",R123)</f>
        <v>#N/A</v>
      </c>
      <c r="T123" s="185" t="n">
        <v>0</v>
      </c>
      <c r="U123" s="201" t="n">
        <f aca="false">IF(A124="","",T123)</f>
        <v>0</v>
      </c>
      <c r="V123" s="205" t="e">
        <f aca="false">(G123+R123)/(1-Summary!$T$13)*Summary!$T$13</f>
        <v>#N/A</v>
      </c>
      <c r="W123" s="202" t="e">
        <f aca="false">IF($A124="","",(T123+R123+G123+V123))</f>
        <v>#N/A</v>
      </c>
      <c r="X123" s="202" t="e">
        <f aca="false">IF($A124="","",(U123+S123+H123+V123))</f>
        <v>#N/A</v>
      </c>
      <c r="Y123" s="202"/>
      <c r="Z123" s="185" t="e">
        <f aca="false">IF($A124="","",VLOOKUP($A123,Table,MATCH(Z$4,Curves,0)))</f>
        <v>#N/A</v>
      </c>
      <c r="AA123" s="185" t="e">
        <f aca="false">IF($A124="","",VLOOKUP($A123,Table,MATCH(AA$4,Curves,0)))</f>
        <v>#N/A</v>
      </c>
      <c r="AB123" s="185" t="e">
        <f aca="false">SQRT((AA123^2*(A123-$D$3)+Z123^2*(DAY(EOMONTH(A123,0))/2))/AK123)</f>
        <v>#N/A</v>
      </c>
      <c r="AC123" s="185" t="e">
        <f aca="false">IF($A124="","",VLOOKUP($A123,Table,MATCH(AC$4,Curves,0)))</f>
        <v>#N/A</v>
      </c>
      <c r="AD123" s="185" t="e">
        <f aca="false">IF($A124="","",VLOOKUP($A123,Table,MATCH(AD$4,Curves,0)))</f>
        <v>#N/A</v>
      </c>
      <c r="AE123" s="185" t="e">
        <f aca="false">SQRT((AD123^2*(A123-$D$3)+AC123^2*(DAY(EOMONTH(A123,0))/2))/AK123)</f>
        <v>#N/A</v>
      </c>
      <c r="AF123" s="224" t="e">
        <f aca="false">((Summary!$N$13*(AA123*AD123)*(A123-$D$3))+(Summary!$M$13*Z123*AC123*(AJ123-EOMONTH(EDATE(A123,-1),0))))/(AK123*AB123*AE123)</f>
        <v>#N/A</v>
      </c>
      <c r="AG123" s="207" t="n">
        <f aca="false">IF($A124="","",Summary!$Q$13)</f>
        <v>0</v>
      </c>
      <c r="AH123" s="207" t="n">
        <f aca="false">IF($A124="","",IF(Summary!$R$12="Y",(VLOOKUP($A123,Summary!$AD$6:$AF$9,3)+'Escalating commodity'!I136),'Escalating commodity'!I136))</f>
        <v>0.0535917484578611</v>
      </c>
      <c r="AI123" s="207" t="n">
        <f aca="false">IF($A124="","",AH123)</f>
        <v>0.0535917484578611</v>
      </c>
      <c r="AJ123" s="208" t="n">
        <f aca="false">A123+DAY(EOMONTH(A123,0))/2-1</f>
        <v>40497</v>
      </c>
      <c r="AK123" s="209" t="n">
        <f aca="false">IF($A124="","",$A123-$E$1)</f>
        <v>-5443</v>
      </c>
      <c r="AL123" s="182" t="e">
        <f aca="false">IF($A124="","",SPRDOPT(P123,X123,AI123,0,AB123,AE123,AF123,AK123,$AJ$2,0))</f>
        <v>#NAME?</v>
      </c>
      <c r="AM123" s="210" t="e">
        <f aca="false">IF($A124="","",MAX(0,O123-W123-AI123))</f>
        <v>#N/A</v>
      </c>
      <c r="AN123" s="211" t="e">
        <f aca="false">IF($A124="","",AL123-AM123)</f>
        <v>#N/A</v>
      </c>
      <c r="AO123" s="137" t="n">
        <f aca="false">IF(A124="","",A124-A123)</f>
        <v>30</v>
      </c>
      <c r="AP123" s="212" t="n">
        <f aca="false">IF(A124="","",CHOOSE(F$3,A124+24,A123))</f>
        <v>40483</v>
      </c>
      <c r="AQ123" s="209" t="n">
        <f aca="false">IF(A124="","",AP123-$E$1)</f>
        <v>-5443</v>
      </c>
      <c r="AR123" s="185" t="n">
        <f aca="false">'ANR OK vs ML7'!AR123</f>
        <v>0.1</v>
      </c>
      <c r="AS123" s="213" t="n">
        <f aca="false">IF(A124="","",1/(1+CHOOSE(F$3,(AR124+($I$3/10000))/2,(AR123+($I$3/10000))/2))^(2*AQ123/365.25))</f>
        <v>4.28086007514669</v>
      </c>
      <c r="AT123" s="137" t="n">
        <f aca="false">IF(A124="","",IF(AND(mthbeg&lt;=A123,mthend&gt;=A123),1,0))</f>
        <v>1</v>
      </c>
      <c r="AU123" s="137" t="n">
        <f aca="false">IF(A124="","",AO123*AT123)</f>
        <v>30</v>
      </c>
      <c r="AW123" s="195" t="e">
        <f aca="false">IF($A124="","",AL123*$E123)</f>
        <v>#NAME?</v>
      </c>
      <c r="AX123" s="195" t="e">
        <f aca="false">IF($A124="","",AM123*$E123)</f>
        <v>#N/A</v>
      </c>
      <c r="AY123" s="195" t="e">
        <f aca="false">IF($A124="","",AN123*$E123)</f>
        <v>#N/A</v>
      </c>
      <c r="BA123" s="195" t="n">
        <f aca="false">IF($A124="","",F123*Summary!$Q$13)</f>
        <v>0</v>
      </c>
      <c r="BC123" s="179" t="e">
        <f aca="false">IF(A124="","",AM123*F123)</f>
        <v>#N/A</v>
      </c>
    </row>
    <row r="124" customFormat="false" ht="12.75" hidden="false" customHeight="false" outlineLevel="0" collapsed="false">
      <c r="A124" s="196" t="n">
        <f aca="false">IF(A123&lt;mthend,EDATE(A123,1),"")</f>
        <v>40513</v>
      </c>
      <c r="B124" s="197" t="n">
        <f aca="false">IF(A124&lt;mthend,B123,"")</f>
        <v>28400</v>
      </c>
      <c r="C124" s="215"/>
      <c r="D124" s="197" t="n">
        <f aca="false">IF(A125&lt;&gt;"",B124+C124,"")</f>
        <v>28400</v>
      </c>
      <c r="E124" s="199" t="n">
        <f aca="false">IF(A125="","",IF(AND(AT124=1,$H$3=1),D124*AO124,IF($H$3=2,D124,"N/A")))</f>
        <v>880400</v>
      </c>
      <c r="F124" s="199" t="n">
        <f aca="false">IF(A125="","",E124*AS124)</f>
        <v>3738783.16244166</v>
      </c>
      <c r="G124" s="200" t="e">
        <f aca="false">IF($A125="","",VLOOKUP($A124,Table,MATCH(G$4,Curves,0)))</f>
        <v>#N/A</v>
      </c>
      <c r="H124" s="201" t="e">
        <f aca="false">IF(A125="","",G124)</f>
        <v>#N/A</v>
      </c>
      <c r="I124" s="202"/>
      <c r="J124" s="200" t="e">
        <f aca="false">IF($A125="","",VLOOKUP($A124,Table,MATCH(J$4,Curves,0)))</f>
        <v>#N/A</v>
      </c>
      <c r="K124" s="201" t="e">
        <f aca="false">IF(A125="","",J124)</f>
        <v>#N/A</v>
      </c>
      <c r="L124" s="185" t="n">
        <v>0</v>
      </c>
      <c r="M124" s="201" t="n">
        <f aca="false">IF(A125="","",L124)</f>
        <v>0</v>
      </c>
      <c r="N124" s="203"/>
      <c r="O124" s="200" t="e">
        <f aca="false">IF(A125="","",L124+J124+G124)</f>
        <v>#N/A</v>
      </c>
      <c r="P124" s="200" t="e">
        <f aca="false">IF(A125="","",M124+K124+H124)</f>
        <v>#N/A</v>
      </c>
      <c r="Q124" s="204"/>
      <c r="R124" s="200" t="e">
        <f aca="false">IF($A125="","",VLOOKUP($A124,Table,MATCH(R$4,Curves,0)))</f>
        <v>#N/A</v>
      </c>
      <c r="S124" s="201" t="e">
        <f aca="false">IF(A125="","",R124)</f>
        <v>#N/A</v>
      </c>
      <c r="T124" s="185" t="n">
        <v>0</v>
      </c>
      <c r="U124" s="201" t="n">
        <f aca="false">IF(A125="","",T124)</f>
        <v>0</v>
      </c>
      <c r="V124" s="205" t="e">
        <f aca="false">(G124+R124)/(1-Summary!$T$13)*Summary!$T$13</f>
        <v>#N/A</v>
      </c>
      <c r="W124" s="202" t="e">
        <f aca="false">IF($A125="","",(T124+R124+G124+V124))</f>
        <v>#N/A</v>
      </c>
      <c r="X124" s="202" t="e">
        <f aca="false">IF($A125="","",(U124+S124+H124+V124))</f>
        <v>#N/A</v>
      </c>
      <c r="Y124" s="202"/>
      <c r="Z124" s="185" t="e">
        <f aca="false">IF($A125="","",VLOOKUP($A124,Table,MATCH(Z$4,Curves,0)))</f>
        <v>#N/A</v>
      </c>
      <c r="AA124" s="185" t="e">
        <f aca="false">IF($A125="","",VLOOKUP($A124,Table,MATCH(AA$4,Curves,0)))</f>
        <v>#N/A</v>
      </c>
      <c r="AB124" s="185" t="e">
        <f aca="false">SQRT((AA124^2*(A124-$D$3)+Z124^2*(DAY(EOMONTH(A124,0))/2))/AK124)</f>
        <v>#N/A</v>
      </c>
      <c r="AC124" s="185" t="e">
        <f aca="false">IF($A125="","",VLOOKUP($A124,Table,MATCH(AC$4,Curves,0)))</f>
        <v>#N/A</v>
      </c>
      <c r="AD124" s="185" t="e">
        <f aca="false">IF($A125="","",VLOOKUP($A124,Table,MATCH(AD$4,Curves,0)))</f>
        <v>#N/A</v>
      </c>
      <c r="AE124" s="185" t="e">
        <f aca="false">SQRT((AD124^2*(A124-$D$3)+AC124^2*(DAY(EOMONTH(A124,0))/2))/AK124)</f>
        <v>#N/A</v>
      </c>
      <c r="AF124" s="224" t="e">
        <f aca="false">((Summary!$N$13*(AA124*AD124)*(A124-$D$3))+(Summary!$M$13*Z124*AC124*(AJ124-EOMONTH(EDATE(A124,-1),0))))/(AK124*AB124*AE124)</f>
        <v>#N/A</v>
      </c>
      <c r="AG124" s="207" t="n">
        <f aca="false">IF($A125="","",Summary!$Q$13)</f>
        <v>0</v>
      </c>
      <c r="AH124" s="207" t="n">
        <f aca="false">IF($A125="","",IF(Summary!$R$12="Y",(VLOOKUP($A124,Summary!$AD$6:$AF$9,3)+'Escalating commodity'!I137),'Escalating commodity'!I137))</f>
        <v>0.0535917484578611</v>
      </c>
      <c r="AI124" s="207" t="n">
        <f aca="false">IF($A125="","",AH124)</f>
        <v>0.0535917484578611</v>
      </c>
      <c r="AJ124" s="208" t="n">
        <f aca="false">A124+DAY(EOMONTH(A124,0))/2-1</f>
        <v>40527.5</v>
      </c>
      <c r="AK124" s="209" t="n">
        <f aca="false">IF($A125="","",$A124-$E$1)</f>
        <v>-5413</v>
      </c>
      <c r="AL124" s="182" t="e">
        <f aca="false">IF($A125="","",SPRDOPT(P124,X124,AI124,0,AB124,AE124,AF124,AK124,$AJ$2,0))</f>
        <v>#NAME?</v>
      </c>
      <c r="AM124" s="210" t="e">
        <f aca="false">IF($A125="","",MAX(0,O124-W124-AI124))</f>
        <v>#N/A</v>
      </c>
      <c r="AN124" s="211" t="e">
        <f aca="false">IF($A125="","",AL124-AM124)</f>
        <v>#N/A</v>
      </c>
      <c r="AO124" s="137" t="n">
        <f aca="false">IF(A125="","",A125-A124)</f>
        <v>31</v>
      </c>
      <c r="AP124" s="212" t="n">
        <f aca="false">IF(A125="","",CHOOSE(F$3,A125+24,A124))</f>
        <v>40513</v>
      </c>
      <c r="AQ124" s="209" t="n">
        <f aca="false">IF(A125="","",AP124-$E$1)</f>
        <v>-5413</v>
      </c>
      <c r="AR124" s="185" t="n">
        <f aca="false">'ANR OK vs ML7'!AR124</f>
        <v>0.1</v>
      </c>
      <c r="AS124" s="213" t="n">
        <f aca="false">IF(A125="","",1/(1+CHOOSE(F$3,(AR125+($I$3/10000))/2,(AR124+($I$3/10000))/2))^(2*AQ124/365.25))</f>
        <v>4.24668691781197</v>
      </c>
      <c r="AT124" s="137" t="n">
        <f aca="false">IF(A125="","",IF(AND(mthbeg&lt;=A124,mthend&gt;=A124),1,0))</f>
        <v>1</v>
      </c>
      <c r="AU124" s="137" t="n">
        <f aca="false">IF(A125="","",AO124*AT124)</f>
        <v>31</v>
      </c>
      <c r="AW124" s="195" t="e">
        <f aca="false">IF($A125="","",AL124*$E124)</f>
        <v>#NAME?</v>
      </c>
      <c r="AX124" s="195" t="e">
        <f aca="false">IF($A125="","",AM124*$E124)</f>
        <v>#N/A</v>
      </c>
      <c r="AY124" s="195" t="e">
        <f aca="false">IF($A125="","",AN124*$E124)</f>
        <v>#N/A</v>
      </c>
      <c r="BA124" s="195" t="n">
        <f aca="false">IF($A125="","",F124*Summary!$Q$13)</f>
        <v>0</v>
      </c>
      <c r="BC124" s="179" t="e">
        <f aca="false">IF(A125="","",AM124*F124)</f>
        <v>#N/A</v>
      </c>
    </row>
    <row r="125" customFormat="false" ht="12.75" hidden="false" customHeight="false" outlineLevel="0" collapsed="false">
      <c r="A125" s="196" t="n">
        <f aca="false">IF(A124&lt;mthend,EDATE(A124,1),"")</f>
        <v>40544</v>
      </c>
      <c r="B125" s="197" t="n">
        <f aca="false">IF(A125&lt;mthend,B124,"")</f>
        <v>28400</v>
      </c>
      <c r="C125" s="215"/>
      <c r="D125" s="197" t="n">
        <f aca="false">IF(A126&lt;&gt;"",B125+C125,"")</f>
        <v>28400</v>
      </c>
      <c r="E125" s="199" t="n">
        <f aca="false">IF(A126="","",IF(AND(AT125=1,$H$3=1),D125*AO125,IF($H$3=2,D125,"N/A")))</f>
        <v>880400</v>
      </c>
      <c r="F125" s="199" t="n">
        <f aca="false">IF(A126="","",E125*AS125)</f>
        <v>3707946.53623646</v>
      </c>
      <c r="G125" s="200" t="e">
        <f aca="false">IF($A126="","",VLOOKUP($A125,Table,MATCH(G$4,Curves,0)))</f>
        <v>#N/A</v>
      </c>
      <c r="H125" s="201" t="e">
        <f aca="false">IF(A126="","",G125)</f>
        <v>#N/A</v>
      </c>
      <c r="I125" s="202"/>
      <c r="J125" s="200" t="e">
        <f aca="false">IF($A126="","",VLOOKUP($A125,Table,MATCH(J$4,Curves,0)))</f>
        <v>#N/A</v>
      </c>
      <c r="K125" s="201" t="e">
        <f aca="false">IF(A126="","",J125)</f>
        <v>#N/A</v>
      </c>
      <c r="L125" s="185" t="n">
        <v>0</v>
      </c>
      <c r="M125" s="201" t="n">
        <f aca="false">IF(A126="","",L125)</f>
        <v>0</v>
      </c>
      <c r="N125" s="203"/>
      <c r="O125" s="200" t="e">
        <f aca="false">IF(A126="","",L125+J125+G125)</f>
        <v>#N/A</v>
      </c>
      <c r="P125" s="200" t="e">
        <f aca="false">IF(A126="","",M125+K125+H125)</f>
        <v>#N/A</v>
      </c>
      <c r="Q125" s="204"/>
      <c r="R125" s="200" t="e">
        <f aca="false">IF($A126="","",VLOOKUP($A125,Table,MATCH(R$4,Curves,0)))</f>
        <v>#N/A</v>
      </c>
      <c r="S125" s="201" t="e">
        <f aca="false">IF(A126="","",R125)</f>
        <v>#N/A</v>
      </c>
      <c r="T125" s="185" t="n">
        <v>0</v>
      </c>
      <c r="U125" s="201" t="n">
        <f aca="false">IF(A126="","",T125)</f>
        <v>0</v>
      </c>
      <c r="V125" s="205" t="e">
        <f aca="false">(G125+R125)/(1-Summary!$T$13)*Summary!$T$13</f>
        <v>#N/A</v>
      </c>
      <c r="W125" s="202" t="e">
        <f aca="false">IF($A126="","",(T125+R125+G125+V125))</f>
        <v>#N/A</v>
      </c>
      <c r="X125" s="202" t="e">
        <f aca="false">IF($A126="","",(U125+S125+H125+V125))</f>
        <v>#N/A</v>
      </c>
      <c r="Y125" s="202"/>
      <c r="Z125" s="185" t="e">
        <f aca="false">IF($A126="","",VLOOKUP($A125,Table,MATCH(Z$4,Curves,0)))</f>
        <v>#N/A</v>
      </c>
      <c r="AA125" s="185" t="e">
        <f aca="false">IF($A126="","",VLOOKUP($A125,Table,MATCH(AA$4,Curves,0)))</f>
        <v>#N/A</v>
      </c>
      <c r="AB125" s="185" t="e">
        <f aca="false">SQRT((AA125^2*(A125-$D$3)+Z125^2*(DAY(EOMONTH(A125,0))/2))/AK125)</f>
        <v>#N/A</v>
      </c>
      <c r="AC125" s="185" t="e">
        <f aca="false">IF($A126="","",VLOOKUP($A125,Table,MATCH(AC$4,Curves,0)))</f>
        <v>#N/A</v>
      </c>
      <c r="AD125" s="185" t="e">
        <f aca="false">IF($A126="","",VLOOKUP($A125,Table,MATCH(AD$4,Curves,0)))</f>
        <v>#N/A</v>
      </c>
      <c r="AE125" s="185" t="e">
        <f aca="false">SQRT((AD125^2*(A125-$D$3)+AC125^2*(DAY(EOMONTH(A125,0))/2))/AK125)</f>
        <v>#N/A</v>
      </c>
      <c r="AF125" s="224" t="e">
        <f aca="false">((Summary!$N$13*(AA125*AD125)*(A125-$D$3))+(Summary!$M$13*Z125*AC125*(AJ125-EOMONTH(EDATE(A125,-1),0))))/(AK125*AB125*AE125)</f>
        <v>#N/A</v>
      </c>
      <c r="AG125" s="207" t="n">
        <f aca="false">IF($A126="","",Summary!$Q$13)</f>
        <v>0</v>
      </c>
      <c r="AH125" s="207" t="n">
        <f aca="false">IF($A126="","",IF(Summary!$R$12="Y",(VLOOKUP($A125,Summary!$AD$6:$AF$9,3)+'Escalating commodity'!I138),'Escalating commodity'!I138))</f>
        <v>0.0546635834270183</v>
      </c>
      <c r="AI125" s="207" t="n">
        <f aca="false">IF($A126="","",AH125)</f>
        <v>0.0546635834270183</v>
      </c>
      <c r="AJ125" s="208" t="n">
        <f aca="false">A125+DAY(EOMONTH(A125,0))/2-1</f>
        <v>40558.5</v>
      </c>
      <c r="AK125" s="209" t="n">
        <f aca="false">IF($A126="","",$A125-$E$1)</f>
        <v>-5382</v>
      </c>
      <c r="AL125" s="182" t="e">
        <f aca="false">IF($A126="","",SPRDOPT(P125,X125,AI125,0,AB125,AE125,AF125,AK125,$AJ$2,0))</f>
        <v>#NAME?</v>
      </c>
      <c r="AM125" s="210" t="e">
        <f aca="false">IF($A126="","",MAX(0,O125-W125-AI125))</f>
        <v>#N/A</v>
      </c>
      <c r="AN125" s="211" t="e">
        <f aca="false">IF($A126="","",AL125-AM125)</f>
        <v>#N/A</v>
      </c>
      <c r="AO125" s="137" t="n">
        <f aca="false">IF(A126="","",A126-A125)</f>
        <v>31</v>
      </c>
      <c r="AP125" s="212" t="n">
        <f aca="false">IF(A126="","",CHOOSE(F$3,A126+24,A125))</f>
        <v>40544</v>
      </c>
      <c r="AQ125" s="209" t="n">
        <f aca="false">IF(A126="","",AP125-$E$1)</f>
        <v>-5382</v>
      </c>
      <c r="AR125" s="185" t="n">
        <f aca="false">'ANR OK vs ML7'!AR125</f>
        <v>0.1</v>
      </c>
      <c r="AS125" s="213" t="n">
        <f aca="false">IF(A126="","",1/(1+CHOOSE(F$3,(AR126+($I$3/10000))/2,(AR125+($I$3/10000))/2))^(2*AQ125/365.25))</f>
        <v>4.21166121789694</v>
      </c>
      <c r="AT125" s="137" t="n">
        <f aca="false">IF(A126="","",IF(AND(mthbeg&lt;=A125,mthend&gt;=A125),1,0))</f>
        <v>1</v>
      </c>
      <c r="AU125" s="137" t="n">
        <f aca="false">IF(A126="","",AO125*AT125)</f>
        <v>31</v>
      </c>
      <c r="AW125" s="195" t="e">
        <f aca="false">IF($A126="","",AL125*$E125)</f>
        <v>#NAME?</v>
      </c>
      <c r="AX125" s="195" t="e">
        <f aca="false">IF($A126="","",AM125*$E125)</f>
        <v>#N/A</v>
      </c>
      <c r="AY125" s="195" t="e">
        <f aca="false">IF($A126="","",AN125*$E125)</f>
        <v>#N/A</v>
      </c>
      <c r="BA125" s="195" t="n">
        <f aca="false">IF($A126="","",F125*Summary!$Q$13)</f>
        <v>0</v>
      </c>
      <c r="BC125" s="179" t="e">
        <f aca="false">IF(A126="","",AM125*F125)</f>
        <v>#N/A</v>
      </c>
    </row>
    <row r="126" customFormat="false" ht="12.75" hidden="false" customHeight="false" outlineLevel="0" collapsed="false">
      <c r="A126" s="196" t="n">
        <f aca="false">IF(A125&lt;mthend,EDATE(A125,1),"")</f>
        <v>40575</v>
      </c>
      <c r="B126" s="197" t="n">
        <f aca="false">IF(A126&lt;mthend,B125,"")</f>
        <v>28400</v>
      </c>
      <c r="C126" s="215"/>
      <c r="D126" s="197" t="n">
        <f aca="false">IF(A127&lt;&gt;"",B126+C126,"")</f>
        <v>28400</v>
      </c>
      <c r="E126" s="199" t="n">
        <f aca="false">IF(A127="","",IF(AND(AT126=1,$H$3=1),D126*AO126,IF($H$3=2,D126,"N/A")))</f>
        <v>795200</v>
      </c>
      <c r="F126" s="199" t="n">
        <f aca="false">IF(A127="","",E126*AS126)</f>
        <v>3321490.28440938</v>
      </c>
      <c r="G126" s="200" t="e">
        <f aca="false">IF($A127="","",VLOOKUP($A126,Table,MATCH(G$4,Curves,0)))</f>
        <v>#N/A</v>
      </c>
      <c r="H126" s="201" t="e">
        <f aca="false">IF(A127="","",G126)</f>
        <v>#N/A</v>
      </c>
      <c r="I126" s="202"/>
      <c r="J126" s="200" t="e">
        <f aca="false">IF($A127="","",VLOOKUP($A126,Table,MATCH(J$4,Curves,0)))</f>
        <v>#N/A</v>
      </c>
      <c r="K126" s="201" t="e">
        <f aca="false">IF(A127="","",J126)</f>
        <v>#N/A</v>
      </c>
      <c r="L126" s="185" t="n">
        <v>0</v>
      </c>
      <c r="M126" s="201" t="n">
        <f aca="false">IF(A127="","",L126)</f>
        <v>0</v>
      </c>
      <c r="N126" s="203"/>
      <c r="O126" s="200" t="e">
        <f aca="false">IF(A127="","",L126+J126+G126)</f>
        <v>#N/A</v>
      </c>
      <c r="P126" s="200" t="e">
        <f aca="false">IF(A127="","",M126+K126+H126)</f>
        <v>#N/A</v>
      </c>
      <c r="Q126" s="204"/>
      <c r="R126" s="200" t="e">
        <f aca="false">IF($A127="","",VLOOKUP($A126,Table,MATCH(R$4,Curves,0)))</f>
        <v>#N/A</v>
      </c>
      <c r="S126" s="201" t="e">
        <f aca="false">IF(A127="","",R126)</f>
        <v>#N/A</v>
      </c>
      <c r="T126" s="185" t="n">
        <v>0</v>
      </c>
      <c r="U126" s="201" t="n">
        <f aca="false">IF(A127="","",T126)</f>
        <v>0</v>
      </c>
      <c r="V126" s="205" t="e">
        <f aca="false">(G126+R126)/(1-Summary!$T$13)*Summary!$T$13</f>
        <v>#N/A</v>
      </c>
      <c r="W126" s="202" t="e">
        <f aca="false">IF($A127="","",(T126+R126+G126+V126))</f>
        <v>#N/A</v>
      </c>
      <c r="X126" s="202" t="e">
        <f aca="false">IF($A127="","",(U126+S126+H126+V126))</f>
        <v>#N/A</v>
      </c>
      <c r="Y126" s="202"/>
      <c r="Z126" s="185" t="e">
        <f aca="false">IF($A127="","",VLOOKUP($A126,Table,MATCH(Z$4,Curves,0)))</f>
        <v>#N/A</v>
      </c>
      <c r="AA126" s="185" t="e">
        <f aca="false">IF($A127="","",VLOOKUP($A126,Table,MATCH(AA$4,Curves,0)))</f>
        <v>#N/A</v>
      </c>
      <c r="AB126" s="185" t="e">
        <f aca="false">SQRT((AA126^2*(A126-$D$3)+Z126^2*(DAY(EOMONTH(A126,0))/2))/AK126)</f>
        <v>#N/A</v>
      </c>
      <c r="AC126" s="185" t="e">
        <f aca="false">IF($A127="","",VLOOKUP($A126,Table,MATCH(AC$4,Curves,0)))</f>
        <v>#N/A</v>
      </c>
      <c r="AD126" s="185" t="e">
        <f aca="false">IF($A127="","",VLOOKUP($A126,Table,MATCH(AD$4,Curves,0)))</f>
        <v>#N/A</v>
      </c>
      <c r="AE126" s="185" t="e">
        <f aca="false">SQRT((AD126^2*(A126-$D$3)+AC126^2*(DAY(EOMONTH(A126,0))/2))/AK126)</f>
        <v>#N/A</v>
      </c>
      <c r="AF126" s="224" t="e">
        <f aca="false">((Summary!$N$13*(AA126*AD126)*(A126-$D$3))+(Summary!$M$13*Z126*AC126*(AJ126-EOMONTH(EDATE(A126,-1),0))))/(AK126*AB126*AE126)</f>
        <v>#N/A</v>
      </c>
      <c r="AG126" s="207" t="n">
        <f aca="false">IF($A127="","",Summary!$Q$13)</f>
        <v>0</v>
      </c>
      <c r="AH126" s="207" t="n">
        <f aca="false">IF($A127="","",IF(Summary!$R$12="Y",(VLOOKUP($A126,Summary!$AD$6:$AF$9,3)+'Escalating commodity'!I139),'Escalating commodity'!I139))</f>
        <v>0.0546635834270183</v>
      </c>
      <c r="AI126" s="207" t="n">
        <f aca="false">IF($A127="","",AH126)</f>
        <v>0.0546635834270183</v>
      </c>
      <c r="AJ126" s="208" t="n">
        <f aca="false">A126+DAY(EOMONTH(A126,0))/2-1</f>
        <v>40588</v>
      </c>
      <c r="AK126" s="209" t="n">
        <f aca="false">IF($A127="","",$A126-$E$1)</f>
        <v>-5351</v>
      </c>
      <c r="AL126" s="182" t="e">
        <f aca="false">IF($A127="","",SPRDOPT(P126,X126,AI126,0,AB126,AE126,AF126,AK126,$AJ$2,0))</f>
        <v>#NAME?</v>
      </c>
      <c r="AM126" s="210" t="e">
        <f aca="false">IF($A127="","",MAX(0,O126-W126-AI126))</f>
        <v>#N/A</v>
      </c>
      <c r="AN126" s="211" t="e">
        <f aca="false">IF($A127="","",AL126-AM126)</f>
        <v>#N/A</v>
      </c>
      <c r="AO126" s="137" t="n">
        <f aca="false">IF(A127="","",A127-A126)</f>
        <v>28</v>
      </c>
      <c r="AP126" s="212" t="n">
        <f aca="false">IF(A127="","",CHOOSE(F$3,A127+24,A126))</f>
        <v>40575</v>
      </c>
      <c r="AQ126" s="209" t="n">
        <f aca="false">IF(A127="","",AP126-$E$1)</f>
        <v>-5351</v>
      </c>
      <c r="AR126" s="185" t="n">
        <f aca="false">'ANR OK vs ML7'!AR126</f>
        <v>0.1</v>
      </c>
      <c r="AS126" s="213" t="n">
        <f aca="false">IF(A127="","",1/(1+CHOOSE(F$3,(AR127+($I$3/10000))/2,(AR126+($I$3/10000))/2))^(2*AQ126/365.25))</f>
        <v>4.17692440192326</v>
      </c>
      <c r="AT126" s="137" t="n">
        <f aca="false">IF(A127="","",IF(AND(mthbeg&lt;=A126,mthend&gt;=A126),1,0))</f>
        <v>1</v>
      </c>
      <c r="AU126" s="137" t="n">
        <f aca="false">IF(A127="","",AO126*AT126)</f>
        <v>28</v>
      </c>
      <c r="AW126" s="195" t="e">
        <f aca="false">IF($A127="","",AL126*$E126)</f>
        <v>#NAME?</v>
      </c>
      <c r="AX126" s="195" t="e">
        <f aca="false">IF($A127="","",AM126*$E126)</f>
        <v>#N/A</v>
      </c>
      <c r="AY126" s="195" t="e">
        <f aca="false">IF($A127="","",AN126*$E126)</f>
        <v>#N/A</v>
      </c>
      <c r="BA126" s="195" t="n">
        <f aca="false">IF($A127="","",F126*Summary!$Q$13)</f>
        <v>0</v>
      </c>
      <c r="BC126" s="179" t="e">
        <f aca="false">IF(A127="","",AM126*F126)</f>
        <v>#N/A</v>
      </c>
    </row>
    <row r="127" customFormat="false" ht="12.75" hidden="false" customHeight="false" outlineLevel="0" collapsed="false">
      <c r="A127" s="196" t="n">
        <f aca="false">IF(A126&lt;mthend,EDATE(A126,1),"")</f>
        <v>40603</v>
      </c>
      <c r="B127" s="197" t="n">
        <f aca="false">IF(A127&lt;mthend,B126,"")</f>
        <v>28400</v>
      </c>
      <c r="C127" s="215"/>
      <c r="D127" s="197" t="n">
        <f aca="false">IF(A128&lt;&gt;"",B127+C127,"")</f>
        <v>28400</v>
      </c>
      <c r="E127" s="199" t="n">
        <f aca="false">IF(A128="","",IF(AND(AT127=1,$H$3=1),D127*AO127,IF($H$3=2,D127,"N/A")))</f>
        <v>880400</v>
      </c>
      <c r="F127" s="199" t="n">
        <f aca="false">IF(A128="","",E127*AS127)</f>
        <v>3649958.38720127</v>
      </c>
      <c r="G127" s="200" t="e">
        <f aca="false">IF($A128="","",VLOOKUP($A127,Table,MATCH(G$4,Curves,0)))</f>
        <v>#N/A</v>
      </c>
      <c r="H127" s="201" t="e">
        <f aca="false">IF(A128="","",G127)</f>
        <v>#N/A</v>
      </c>
      <c r="I127" s="202"/>
      <c r="J127" s="200" t="e">
        <f aca="false">IF($A128="","",VLOOKUP($A127,Table,MATCH(J$4,Curves,0)))</f>
        <v>#N/A</v>
      </c>
      <c r="K127" s="201" t="e">
        <f aca="false">IF(A128="","",J127)</f>
        <v>#N/A</v>
      </c>
      <c r="L127" s="185" t="n">
        <v>0</v>
      </c>
      <c r="M127" s="201" t="n">
        <f aca="false">IF(A128="","",L127)</f>
        <v>0</v>
      </c>
      <c r="N127" s="203"/>
      <c r="O127" s="200" t="e">
        <f aca="false">IF(A128="","",L127+J127+G127)</f>
        <v>#N/A</v>
      </c>
      <c r="P127" s="200" t="e">
        <f aca="false">IF(A128="","",M127+K127+H127)</f>
        <v>#N/A</v>
      </c>
      <c r="Q127" s="204"/>
      <c r="R127" s="200" t="e">
        <f aca="false">IF($A128="","",VLOOKUP($A127,Table,MATCH(R$4,Curves,0)))</f>
        <v>#N/A</v>
      </c>
      <c r="S127" s="201" t="e">
        <f aca="false">IF(A128="","",R127)</f>
        <v>#N/A</v>
      </c>
      <c r="T127" s="185" t="n">
        <v>0</v>
      </c>
      <c r="U127" s="201" t="n">
        <f aca="false">IF(A128="","",T127)</f>
        <v>0</v>
      </c>
      <c r="V127" s="205" t="e">
        <f aca="false">(G127+R127)/(1-Summary!$T$13)*Summary!$T$13</f>
        <v>#N/A</v>
      </c>
      <c r="W127" s="202" t="e">
        <f aca="false">IF($A128="","",(T127+R127+G127+V127))</f>
        <v>#N/A</v>
      </c>
      <c r="X127" s="202" t="e">
        <f aca="false">IF($A128="","",(U127+S127+H127+V127))</f>
        <v>#N/A</v>
      </c>
      <c r="Y127" s="202"/>
      <c r="Z127" s="185" t="e">
        <f aca="false">IF($A128="","",VLOOKUP($A127,Table,MATCH(Z$4,Curves,0)))</f>
        <v>#N/A</v>
      </c>
      <c r="AA127" s="185" t="e">
        <f aca="false">IF($A128="","",VLOOKUP($A127,Table,MATCH(AA$4,Curves,0)))</f>
        <v>#N/A</v>
      </c>
      <c r="AB127" s="185" t="e">
        <f aca="false">SQRT((AA127^2*(A127-$D$3)+Z127^2*(DAY(EOMONTH(A127,0))/2))/AK127)</f>
        <v>#N/A</v>
      </c>
      <c r="AC127" s="185" t="e">
        <f aca="false">IF($A128="","",VLOOKUP($A127,Table,MATCH(AC$4,Curves,0)))</f>
        <v>#N/A</v>
      </c>
      <c r="AD127" s="185" t="e">
        <f aca="false">IF($A128="","",VLOOKUP($A127,Table,MATCH(AD$4,Curves,0)))</f>
        <v>#N/A</v>
      </c>
      <c r="AE127" s="185" t="e">
        <f aca="false">SQRT((AD127^2*(A127-$D$3)+AC127^2*(DAY(EOMONTH(A127,0))/2))/AK127)</f>
        <v>#N/A</v>
      </c>
      <c r="AF127" s="224" t="e">
        <f aca="false">((Summary!$N$13*(AA127*AD127)*(A127-$D$3))+(Summary!$M$13*Z127*AC127*(AJ127-EOMONTH(EDATE(A127,-1),0))))/(AK127*AB127*AE127)</f>
        <v>#N/A</v>
      </c>
      <c r="AG127" s="207" t="n">
        <f aca="false">IF($A128="","",Summary!$Q$13)</f>
        <v>0</v>
      </c>
      <c r="AH127" s="207" t="n">
        <f aca="false">IF($A128="","",IF(Summary!$R$12="Y",(VLOOKUP($A127,Summary!$AD$6:$AF$9,3)+'Escalating commodity'!I140),'Escalating commodity'!I140))</f>
        <v>0.0546635834270183</v>
      </c>
      <c r="AI127" s="207" t="n">
        <f aca="false">IF($A128="","",AH127)</f>
        <v>0.0546635834270183</v>
      </c>
      <c r="AJ127" s="208" t="n">
        <f aca="false">A127+DAY(EOMONTH(A127,0))/2-1</f>
        <v>40617.5</v>
      </c>
      <c r="AK127" s="209" t="n">
        <f aca="false">IF($A128="","",$A127-$E$1)</f>
        <v>-5323</v>
      </c>
      <c r="AL127" s="182" t="e">
        <f aca="false">IF($A128="","",SPRDOPT(P127,X127,AI127,0,AB127,AE127,AF127,AK127,$AJ$2,0))</f>
        <v>#NAME?</v>
      </c>
      <c r="AM127" s="210" t="e">
        <f aca="false">IF($A128="","",MAX(0,O127-W127-AI127))</f>
        <v>#N/A</v>
      </c>
      <c r="AN127" s="211" t="e">
        <f aca="false">IF($A128="","",AL127-AM127)</f>
        <v>#N/A</v>
      </c>
      <c r="AO127" s="137" t="n">
        <f aca="false">IF(A128="","",A128-A127)</f>
        <v>31</v>
      </c>
      <c r="AP127" s="212" t="n">
        <f aca="false">IF(A128="","",CHOOSE(F$3,A128+24,A127))</f>
        <v>40603</v>
      </c>
      <c r="AQ127" s="209" t="n">
        <f aca="false">IF(A128="","",AP127-$E$1)</f>
        <v>-5323</v>
      </c>
      <c r="AR127" s="185" t="n">
        <f aca="false">'ANR OK vs ML7'!AR127</f>
        <v>0.1</v>
      </c>
      <c r="AS127" s="213" t="n">
        <f aca="false">IF(A128="","",1/(1+CHOOSE(F$3,(AR128+($I$3/10000))/2,(AR127+($I$3/10000))/2))^(2*AQ127/365.25))</f>
        <v>4.14579553294102</v>
      </c>
      <c r="AT127" s="137" t="n">
        <f aca="false">IF(A128="","",IF(AND(mthbeg&lt;=A127,mthend&gt;=A127),1,0))</f>
        <v>1</v>
      </c>
      <c r="AU127" s="137" t="n">
        <f aca="false">IF(A128="","",AO127*AT127)</f>
        <v>31</v>
      </c>
      <c r="AW127" s="195" t="e">
        <f aca="false">IF($A128="","",AL127*$E127)</f>
        <v>#NAME?</v>
      </c>
      <c r="AX127" s="195" t="e">
        <f aca="false">IF($A128="","",AM127*$E127)</f>
        <v>#N/A</v>
      </c>
      <c r="AY127" s="195" t="e">
        <f aca="false">IF($A128="","",AN127*$E127)</f>
        <v>#N/A</v>
      </c>
      <c r="BA127" s="195" t="n">
        <f aca="false">IF($A128="","",F127*Summary!$Q$13)</f>
        <v>0</v>
      </c>
      <c r="BC127" s="179" t="e">
        <f aca="false">IF(A128="","",AM127*F127)</f>
        <v>#N/A</v>
      </c>
    </row>
    <row r="128" customFormat="false" ht="12.75" hidden="false" customHeight="false" outlineLevel="0" collapsed="false">
      <c r="A128" s="196" t="n">
        <f aca="false">IF(A127&lt;mthend,EDATE(A127,1),"")</f>
        <v>40634</v>
      </c>
      <c r="B128" s="197" t="n">
        <f aca="false">IF(A128&lt;mthend,B127,"")</f>
        <v>28400</v>
      </c>
      <c r="C128" s="215"/>
      <c r="D128" s="197" t="n">
        <f aca="false">IF(A129&lt;&gt;"",B128+C128,"")</f>
        <v>28400</v>
      </c>
      <c r="E128" s="199" t="n">
        <f aca="false">IF(A129="","",IF(AND(AT128=1,$H$3=1),D128*AO128,IF($H$3=2,D128,"N/A")))</f>
        <v>852000</v>
      </c>
      <c r="F128" s="199" t="n">
        <f aca="false">IF(A129="","",E128*AS128)</f>
        <v>3503084.87165261</v>
      </c>
      <c r="G128" s="200" t="e">
        <f aca="false">IF($A129="","",VLOOKUP($A128,Table,MATCH(G$4,Curves,0)))</f>
        <v>#N/A</v>
      </c>
      <c r="H128" s="201" t="e">
        <f aca="false">IF(A129="","",G128)</f>
        <v>#N/A</v>
      </c>
      <c r="I128" s="202"/>
      <c r="J128" s="200" t="e">
        <f aca="false">IF($A129="","",VLOOKUP($A128,Table,MATCH(J$4,Curves,0)))</f>
        <v>#N/A</v>
      </c>
      <c r="K128" s="201" t="e">
        <f aca="false">IF(A129="","",J128)</f>
        <v>#N/A</v>
      </c>
      <c r="L128" s="185" t="n">
        <v>0</v>
      </c>
      <c r="M128" s="201" t="n">
        <f aca="false">IF(A129="","",L128)</f>
        <v>0</v>
      </c>
      <c r="N128" s="203"/>
      <c r="O128" s="200" t="e">
        <f aca="false">IF(A129="","",L128+J128+G128)</f>
        <v>#N/A</v>
      </c>
      <c r="P128" s="200" t="e">
        <f aca="false">IF(A129="","",M128+K128+H128)</f>
        <v>#N/A</v>
      </c>
      <c r="Q128" s="204"/>
      <c r="R128" s="200" t="e">
        <f aca="false">IF($A129="","",VLOOKUP($A128,Table,MATCH(R$4,Curves,0)))</f>
        <v>#N/A</v>
      </c>
      <c r="S128" s="201" t="e">
        <f aca="false">IF(A129="","",R128)</f>
        <v>#N/A</v>
      </c>
      <c r="T128" s="185" t="n">
        <v>0</v>
      </c>
      <c r="U128" s="201" t="n">
        <f aca="false">IF(A129="","",T128)</f>
        <v>0</v>
      </c>
      <c r="V128" s="205" t="e">
        <f aca="false">(G128+R128)/(1-Summary!$T$13)*Summary!$T$13</f>
        <v>#N/A</v>
      </c>
      <c r="W128" s="202" t="e">
        <f aca="false">IF($A129="","",(T128+R128+G128+V128))</f>
        <v>#N/A</v>
      </c>
      <c r="X128" s="202" t="e">
        <f aca="false">IF($A129="","",(U128+S128+H128+V128))</f>
        <v>#N/A</v>
      </c>
      <c r="Y128" s="202"/>
      <c r="Z128" s="185" t="e">
        <f aca="false">IF($A129="","",VLOOKUP($A128,Table,MATCH(Z$4,Curves,0)))</f>
        <v>#N/A</v>
      </c>
      <c r="AA128" s="185" t="e">
        <f aca="false">IF($A129="","",VLOOKUP($A128,Table,MATCH(AA$4,Curves,0)))</f>
        <v>#N/A</v>
      </c>
      <c r="AB128" s="185" t="e">
        <f aca="false">SQRT((AA128^2*(A128-$D$3)+Z128^2*(DAY(EOMONTH(A128,0))/2))/AK128)</f>
        <v>#N/A</v>
      </c>
      <c r="AC128" s="185" t="e">
        <f aca="false">IF($A129="","",VLOOKUP($A128,Table,MATCH(AC$4,Curves,0)))</f>
        <v>#N/A</v>
      </c>
      <c r="AD128" s="185" t="e">
        <f aca="false">IF($A129="","",VLOOKUP($A128,Table,MATCH(AD$4,Curves,0)))</f>
        <v>#N/A</v>
      </c>
      <c r="AE128" s="185" t="e">
        <f aca="false">SQRT((AD128^2*(A128-$D$3)+AC128^2*(DAY(EOMONTH(A128,0))/2))/AK128)</f>
        <v>#N/A</v>
      </c>
      <c r="AF128" s="224" t="e">
        <f aca="false">((Summary!$N$13*(AA128*AD128)*(A128-$D$3))+(Summary!$M$13*Z128*AC128*(AJ128-EOMONTH(EDATE(A128,-1),0))))/(AK128*AB128*AE128)</f>
        <v>#N/A</v>
      </c>
      <c r="AG128" s="207" t="n">
        <f aca="false">IF($A129="","",Summary!$Q$13)</f>
        <v>0</v>
      </c>
      <c r="AH128" s="207" t="n">
        <f aca="false">IF($A129="","",IF(Summary!$R$12="Y",(VLOOKUP($A128,Summary!$AD$6:$AF$9,3)+'Escalating commodity'!I141),'Escalating commodity'!I141))</f>
        <v>0.0546635834270183</v>
      </c>
      <c r="AI128" s="207" t="n">
        <f aca="false">IF($A129="","",AH128)</f>
        <v>0.0546635834270183</v>
      </c>
      <c r="AJ128" s="208" t="n">
        <f aca="false">A128+DAY(EOMONTH(A128,0))/2-1</f>
        <v>40648</v>
      </c>
      <c r="AK128" s="209" t="n">
        <f aca="false">IF($A129="","",$A128-$E$1)</f>
        <v>-5292</v>
      </c>
      <c r="AL128" s="182" t="e">
        <f aca="false">IF($A129="","",SPRDOPT(P128,X128,AI128,0,AB128,AE128,AF128,AK128,$AJ$2,0))</f>
        <v>#NAME?</v>
      </c>
      <c r="AM128" s="210" t="e">
        <f aca="false">IF($A129="","",MAX(0,O128-W128-AI128))</f>
        <v>#N/A</v>
      </c>
      <c r="AN128" s="211" t="e">
        <f aca="false">IF($A129="","",AL128-AM128)</f>
        <v>#N/A</v>
      </c>
      <c r="AO128" s="137" t="n">
        <f aca="false">IF(A129="","",A129-A128)</f>
        <v>30</v>
      </c>
      <c r="AP128" s="212" t="n">
        <f aca="false">IF(A129="","",CHOOSE(F$3,A129+24,A128))</f>
        <v>40634</v>
      </c>
      <c r="AQ128" s="209" t="n">
        <f aca="false">IF(A129="","",AP128-$E$1)</f>
        <v>-5292</v>
      </c>
      <c r="AR128" s="185" t="n">
        <f aca="false">'ANR OK vs ML7'!AR128</f>
        <v>0.1</v>
      </c>
      <c r="AS128" s="213" t="n">
        <f aca="false">IF(A129="","",1/(1+CHOOSE(F$3,(AR129+($I$3/10000))/2,(AR128+($I$3/10000))/2))^(2*AQ128/365.25))</f>
        <v>4.11160196203358</v>
      </c>
      <c r="AT128" s="137" t="n">
        <f aca="false">IF(A129="","",IF(AND(mthbeg&lt;=A128,mthend&gt;=A128),1,0))</f>
        <v>1</v>
      </c>
      <c r="AU128" s="137" t="n">
        <f aca="false">IF(A129="","",AO128*AT128)</f>
        <v>30</v>
      </c>
      <c r="AW128" s="195" t="e">
        <f aca="false">IF($A129="","",AL128*$E128)</f>
        <v>#NAME?</v>
      </c>
      <c r="AX128" s="195" t="e">
        <f aca="false">IF($A129="","",AM128*$E128)</f>
        <v>#N/A</v>
      </c>
      <c r="AY128" s="195" t="e">
        <f aca="false">IF($A129="","",AN128*$E128)</f>
        <v>#N/A</v>
      </c>
      <c r="BA128" s="195" t="n">
        <f aca="false">IF($A129="","",F128*Summary!$Q$13)</f>
        <v>0</v>
      </c>
      <c r="BC128" s="179" t="e">
        <f aca="false">IF(A129="","",AM128*F128)</f>
        <v>#N/A</v>
      </c>
    </row>
    <row r="129" customFormat="false" ht="12.75" hidden="false" customHeight="false" outlineLevel="0" collapsed="false">
      <c r="A129" s="196" t="n">
        <f aca="false">IF(A128&lt;mthend,EDATE(A128,1),"")</f>
        <v>40664</v>
      </c>
      <c r="B129" s="197" t="n">
        <f aca="false">IF(A129&lt;mthend,B128,"")</f>
        <v>28400</v>
      </c>
      <c r="C129" s="215"/>
      <c r="D129" s="197" t="n">
        <f aca="false">IF(A130&lt;&gt;"",B129+C129,"")</f>
        <v>28400</v>
      </c>
      <c r="E129" s="199" t="n">
        <f aca="false">IF(A130="","",IF(AND(AT129=1,$H$3=1),D129*AO129,IF($H$3=2,D129,"N/A")))</f>
        <v>880400</v>
      </c>
      <c r="F129" s="199" t="n">
        <f aca="false">IF(A130="","",E129*AS129)</f>
        <v>3590957.87212491</v>
      </c>
      <c r="G129" s="200" t="e">
        <f aca="false">IF($A130="","",VLOOKUP($A129,Table,MATCH(G$4,Curves,0)))</f>
        <v>#N/A</v>
      </c>
      <c r="H129" s="201" t="e">
        <f aca="false">IF(A130="","",G129)</f>
        <v>#N/A</v>
      </c>
      <c r="I129" s="202"/>
      <c r="J129" s="200" t="e">
        <f aca="false">IF($A130="","",VLOOKUP($A129,Table,MATCH(J$4,Curves,0)))</f>
        <v>#N/A</v>
      </c>
      <c r="K129" s="201" t="e">
        <f aca="false">IF(A130="","",J129)</f>
        <v>#N/A</v>
      </c>
      <c r="L129" s="185" t="n">
        <v>0</v>
      </c>
      <c r="M129" s="201" t="n">
        <f aca="false">IF(A130="","",L129)</f>
        <v>0</v>
      </c>
      <c r="N129" s="203"/>
      <c r="O129" s="200" t="e">
        <f aca="false">IF(A130="","",L129+J129+G129)</f>
        <v>#N/A</v>
      </c>
      <c r="P129" s="200" t="e">
        <f aca="false">IF(A130="","",M129+K129+H129)</f>
        <v>#N/A</v>
      </c>
      <c r="Q129" s="204"/>
      <c r="R129" s="200" t="e">
        <f aca="false">IF($A130="","",VLOOKUP($A129,Table,MATCH(R$4,Curves,0)))</f>
        <v>#N/A</v>
      </c>
      <c r="S129" s="201" t="e">
        <f aca="false">IF(A130="","",R129)</f>
        <v>#N/A</v>
      </c>
      <c r="T129" s="185" t="n">
        <v>0</v>
      </c>
      <c r="U129" s="201" t="n">
        <f aca="false">IF(A130="","",T129)</f>
        <v>0</v>
      </c>
      <c r="V129" s="205" t="e">
        <f aca="false">(G129+R129)/(1-Summary!$T$13)*Summary!$T$13</f>
        <v>#N/A</v>
      </c>
      <c r="W129" s="202" t="e">
        <f aca="false">IF($A130="","",(T129+R129+G129+V129))</f>
        <v>#N/A</v>
      </c>
      <c r="X129" s="202" t="e">
        <f aca="false">IF($A130="","",(U129+S129+H129+V129))</f>
        <v>#N/A</v>
      </c>
      <c r="Y129" s="202"/>
      <c r="Z129" s="185" t="e">
        <f aca="false">IF($A130="","",VLOOKUP($A129,Table,MATCH(Z$4,Curves,0)))</f>
        <v>#N/A</v>
      </c>
      <c r="AA129" s="185" t="e">
        <f aca="false">IF($A130="","",VLOOKUP($A129,Table,MATCH(AA$4,Curves,0)))</f>
        <v>#N/A</v>
      </c>
      <c r="AB129" s="185" t="e">
        <f aca="false">SQRT((AA129^2*(A129-$D$3)+Z129^2*(DAY(EOMONTH(A129,0))/2))/AK129)</f>
        <v>#N/A</v>
      </c>
      <c r="AC129" s="185" t="e">
        <f aca="false">IF($A130="","",VLOOKUP($A129,Table,MATCH(AC$4,Curves,0)))</f>
        <v>#N/A</v>
      </c>
      <c r="AD129" s="185" t="e">
        <f aca="false">IF($A130="","",VLOOKUP($A129,Table,MATCH(AD$4,Curves,0)))</f>
        <v>#N/A</v>
      </c>
      <c r="AE129" s="185" t="e">
        <f aca="false">SQRT((AD129^2*(A129-$D$3)+AC129^2*(DAY(EOMONTH(A129,0))/2))/AK129)</f>
        <v>#N/A</v>
      </c>
      <c r="AF129" s="224" t="e">
        <f aca="false">((Summary!$N$13*(AA129*AD129)*(A129-$D$3))+(Summary!$M$13*Z129*AC129*(AJ129-EOMONTH(EDATE(A129,-1),0))))/(AK129*AB129*AE129)</f>
        <v>#N/A</v>
      </c>
      <c r="AG129" s="207" t="n">
        <f aca="false">IF($A130="","",Summary!$Q$13)</f>
        <v>0</v>
      </c>
      <c r="AH129" s="207" t="n">
        <f aca="false">IF($A130="","",IF(Summary!$R$12="Y",(VLOOKUP($A129,Summary!$AD$6:$AF$9,3)+'Escalating commodity'!I142),'Escalating commodity'!I142))</f>
        <v>0.0546635834270183</v>
      </c>
      <c r="AI129" s="207" t="n">
        <f aca="false">IF($A130="","",AH129)</f>
        <v>0.0546635834270183</v>
      </c>
      <c r="AJ129" s="208" t="n">
        <f aca="false">A129+DAY(EOMONTH(A129,0))/2-1</f>
        <v>40678.5</v>
      </c>
      <c r="AK129" s="209" t="n">
        <f aca="false">IF($A130="","",$A129-$E$1)</f>
        <v>-5262</v>
      </c>
      <c r="AL129" s="182" t="e">
        <f aca="false">IF($A130="","",SPRDOPT(P129,X129,AI129,0,AB129,AE129,AF129,AK129,$AJ$2,0))</f>
        <v>#NAME?</v>
      </c>
      <c r="AM129" s="210" t="e">
        <f aca="false">IF($A130="","",MAX(0,O129-W129-AI129))</f>
        <v>#N/A</v>
      </c>
      <c r="AN129" s="211" t="e">
        <f aca="false">IF($A130="","",AL129-AM129)</f>
        <v>#N/A</v>
      </c>
      <c r="AO129" s="137" t="n">
        <f aca="false">IF(A130="","",A130-A129)</f>
        <v>31</v>
      </c>
      <c r="AP129" s="212" t="n">
        <f aca="false">IF(A130="","",CHOOSE(F$3,A130+24,A129))</f>
        <v>40664</v>
      </c>
      <c r="AQ129" s="209" t="n">
        <f aca="false">IF(A130="","",AP129-$E$1)</f>
        <v>-5262</v>
      </c>
      <c r="AR129" s="185" t="n">
        <f aca="false">'ANR OK vs ML7'!AR129</f>
        <v>0.1</v>
      </c>
      <c r="AS129" s="213" t="n">
        <f aca="false">IF(A130="","",1/(1+CHOOSE(F$3,(AR130+($I$3/10000))/2,(AR129+($I$3/10000))/2))^(2*AQ129/365.25))</f>
        <v>4.07877995470799</v>
      </c>
      <c r="AT129" s="137" t="n">
        <f aca="false">IF(A130="","",IF(AND(mthbeg&lt;=A129,mthend&gt;=A129),1,0))</f>
        <v>1</v>
      </c>
      <c r="AU129" s="137" t="n">
        <f aca="false">IF(A130="","",AO129*AT129)</f>
        <v>31</v>
      </c>
      <c r="AW129" s="195" t="e">
        <f aca="false">IF($A130="","",AL129*$E129)</f>
        <v>#NAME?</v>
      </c>
      <c r="AX129" s="195" t="e">
        <f aca="false">IF($A130="","",AM129*$E129)</f>
        <v>#N/A</v>
      </c>
      <c r="AY129" s="195" t="e">
        <f aca="false">IF($A130="","",AN129*$E129)</f>
        <v>#N/A</v>
      </c>
      <c r="BA129" s="195" t="n">
        <f aca="false">IF($A130="","",F129*Summary!$Q$13)</f>
        <v>0</v>
      </c>
      <c r="BC129" s="179" t="e">
        <f aca="false">IF(A130="","",AM129*F129)</f>
        <v>#N/A</v>
      </c>
    </row>
    <row r="130" customFormat="false" ht="12.75" hidden="false" customHeight="false" outlineLevel="0" collapsed="false">
      <c r="A130" s="196" t="n">
        <f aca="false">IF(A129&lt;mthend,EDATE(A129,1),"")</f>
        <v>40695</v>
      </c>
      <c r="B130" s="197" t="n">
        <f aca="false">IF(A130&lt;mthend,B129,"")</f>
        <v>28400</v>
      </c>
      <c r="C130" s="215"/>
      <c r="D130" s="197" t="n">
        <f aca="false">IF(A131&lt;&gt;"",B130+C130,"")</f>
        <v>28400</v>
      </c>
      <c r="E130" s="199" t="n">
        <f aca="false">IF(A131="","",IF(AND(AT130=1,$H$3=1),D130*AO130,IF($H$3=2,D130,"N/A")))</f>
        <v>852000</v>
      </c>
      <c r="F130" s="199" t="n">
        <f aca="false">IF(A131="","",E130*AS130)</f>
        <v>3446458.52421028</v>
      </c>
      <c r="G130" s="200" t="e">
        <f aca="false">IF($A131="","",VLOOKUP($A130,Table,MATCH(G$4,Curves,0)))</f>
        <v>#N/A</v>
      </c>
      <c r="H130" s="201" t="e">
        <f aca="false">IF(A131="","",G130)</f>
        <v>#N/A</v>
      </c>
      <c r="I130" s="202"/>
      <c r="J130" s="200" t="e">
        <f aca="false">IF($A131="","",VLOOKUP($A130,Table,MATCH(J$4,Curves,0)))</f>
        <v>#N/A</v>
      </c>
      <c r="K130" s="201" t="e">
        <f aca="false">IF(A131="","",J130)</f>
        <v>#N/A</v>
      </c>
      <c r="L130" s="185" t="n">
        <v>0</v>
      </c>
      <c r="M130" s="201" t="n">
        <f aca="false">IF(A131="","",L130)</f>
        <v>0</v>
      </c>
      <c r="N130" s="203"/>
      <c r="O130" s="200" t="e">
        <f aca="false">IF(A131="","",L130+J130+G130)</f>
        <v>#N/A</v>
      </c>
      <c r="P130" s="200" t="e">
        <f aca="false">IF(A131="","",M130+K130+H130)</f>
        <v>#N/A</v>
      </c>
      <c r="Q130" s="204"/>
      <c r="R130" s="200" t="e">
        <f aca="false">IF($A131="","",VLOOKUP($A130,Table,MATCH(R$4,Curves,0)))</f>
        <v>#N/A</v>
      </c>
      <c r="S130" s="201" t="e">
        <f aca="false">IF(A131="","",R130)</f>
        <v>#N/A</v>
      </c>
      <c r="T130" s="185" t="n">
        <v>0</v>
      </c>
      <c r="U130" s="201" t="n">
        <f aca="false">IF(A131="","",T130)</f>
        <v>0</v>
      </c>
      <c r="V130" s="205" t="e">
        <f aca="false">(G130+R130)/(1-Summary!$T$13)*Summary!$T$13</f>
        <v>#N/A</v>
      </c>
      <c r="W130" s="202" t="e">
        <f aca="false">IF($A131="","",(T130+R130+G130+V130))</f>
        <v>#N/A</v>
      </c>
      <c r="X130" s="202" t="e">
        <f aca="false">IF($A131="","",(U130+S130+H130+V130))</f>
        <v>#N/A</v>
      </c>
      <c r="Y130" s="202"/>
      <c r="Z130" s="185" t="e">
        <f aca="false">IF($A131="","",VLOOKUP($A130,Table,MATCH(Z$4,Curves,0)))</f>
        <v>#N/A</v>
      </c>
      <c r="AA130" s="185" t="e">
        <f aca="false">IF($A131="","",VLOOKUP($A130,Table,MATCH(AA$4,Curves,0)))</f>
        <v>#N/A</v>
      </c>
      <c r="AB130" s="185" t="e">
        <f aca="false">SQRT((AA130^2*(A130-$D$3)+Z130^2*(DAY(EOMONTH(A130,0))/2))/AK130)</f>
        <v>#N/A</v>
      </c>
      <c r="AC130" s="185" t="e">
        <f aca="false">IF($A131="","",VLOOKUP($A130,Table,MATCH(AC$4,Curves,0)))</f>
        <v>#N/A</v>
      </c>
      <c r="AD130" s="185" t="e">
        <f aca="false">IF($A131="","",VLOOKUP($A130,Table,MATCH(AD$4,Curves,0)))</f>
        <v>#N/A</v>
      </c>
      <c r="AE130" s="185" t="e">
        <f aca="false">SQRT((AD130^2*(A130-$D$3)+AC130^2*(DAY(EOMONTH(A130,0))/2))/AK130)</f>
        <v>#N/A</v>
      </c>
      <c r="AF130" s="224" t="e">
        <f aca="false">((Summary!$N$13*(AA130*AD130)*(A130-$D$3))+(Summary!$M$13*Z130*AC130*(AJ130-EOMONTH(EDATE(A130,-1),0))))/(AK130*AB130*AE130)</f>
        <v>#N/A</v>
      </c>
      <c r="AG130" s="207" t="n">
        <f aca="false">IF($A131="","",Summary!$Q$13)</f>
        <v>0</v>
      </c>
      <c r="AH130" s="207" t="n">
        <f aca="false">IF($A131="","",IF(Summary!$R$12="Y",(VLOOKUP($A130,Summary!$AD$6:$AF$9,3)+'Escalating commodity'!I143),'Escalating commodity'!I143))</f>
        <v>0.0546635834270183</v>
      </c>
      <c r="AI130" s="207" t="n">
        <f aca="false">IF($A131="","",AH130)</f>
        <v>0.0546635834270183</v>
      </c>
      <c r="AJ130" s="208" t="n">
        <f aca="false">A130+DAY(EOMONTH(A130,0))/2-1</f>
        <v>40709</v>
      </c>
      <c r="AK130" s="209" t="n">
        <f aca="false">IF($A131="","",$A130-$E$1)</f>
        <v>-5231</v>
      </c>
      <c r="AL130" s="182" t="e">
        <f aca="false">IF($A131="","",SPRDOPT(P130,X130,AI130,0,AB130,AE130,AF130,AK130,$AJ$2,0))</f>
        <v>#NAME?</v>
      </c>
      <c r="AM130" s="210" t="e">
        <f aca="false">IF($A131="","",MAX(0,O130-W130-AI130))</f>
        <v>#N/A</v>
      </c>
      <c r="AN130" s="211" t="e">
        <f aca="false">IF($A131="","",AL130-AM130)</f>
        <v>#N/A</v>
      </c>
      <c r="AO130" s="137" t="n">
        <f aca="false">IF(A131="","",A131-A130)</f>
        <v>30</v>
      </c>
      <c r="AP130" s="212" t="n">
        <f aca="false">IF(A131="","",CHOOSE(F$3,A131+24,A130))</f>
        <v>40695</v>
      </c>
      <c r="AQ130" s="209" t="n">
        <f aca="false">IF(A131="","",AP130-$E$1)</f>
        <v>-5231</v>
      </c>
      <c r="AR130" s="185" t="n">
        <f aca="false">'ANR OK vs ML7'!AR130</f>
        <v>0.1</v>
      </c>
      <c r="AS130" s="213" t="n">
        <f aca="false">IF(A131="","",1/(1+CHOOSE(F$3,(AR131+($I$3/10000))/2,(AR130+($I$3/10000))/2))^(2*AQ130/365.25))</f>
        <v>4.04513911292286</v>
      </c>
      <c r="AT130" s="137" t="n">
        <f aca="false">IF(A131="","",IF(AND(mthbeg&lt;=A130,mthend&gt;=A130),1,0))</f>
        <v>1</v>
      </c>
      <c r="AU130" s="137" t="n">
        <f aca="false">IF(A131="","",AO130*AT130)</f>
        <v>30</v>
      </c>
      <c r="AW130" s="195" t="e">
        <f aca="false">IF($A131="","",AL130*$E130)</f>
        <v>#NAME?</v>
      </c>
      <c r="AX130" s="195" t="e">
        <f aca="false">IF($A131="","",AM130*$E130)</f>
        <v>#N/A</v>
      </c>
      <c r="AY130" s="195" t="e">
        <f aca="false">IF($A131="","",AN130*$E130)</f>
        <v>#N/A</v>
      </c>
      <c r="BA130" s="195" t="n">
        <f aca="false">IF($A131="","",F130*Summary!$Q$13)</f>
        <v>0</v>
      </c>
      <c r="BC130" s="179" t="e">
        <f aca="false">IF(A131="","",AM130*F130)</f>
        <v>#N/A</v>
      </c>
    </row>
    <row r="131" customFormat="false" ht="12.75" hidden="false" customHeight="false" outlineLevel="0" collapsed="false">
      <c r="A131" s="196" t="n">
        <f aca="false">IF(A130&lt;mthend,EDATE(A130,1),"")</f>
        <v>40725</v>
      </c>
      <c r="B131" s="197" t="n">
        <f aca="false">IF(A131&lt;mthend,B130,"")</f>
        <v>28400</v>
      </c>
      <c r="C131" s="215"/>
      <c r="D131" s="197" t="n">
        <f aca="false">IF(A132&lt;&gt;"",B131+C131,"")</f>
        <v>28400</v>
      </c>
      <c r="E131" s="199" t="n">
        <f aca="false">IF(A132="","",IF(AND(AT131=1,$H$3=1),D131*AO131,IF($H$3=2,D131,"N/A")))</f>
        <v>880400</v>
      </c>
      <c r="F131" s="199" t="n">
        <f aca="false">IF(A132="","",E131*AS131)</f>
        <v>3532911.08320375</v>
      </c>
      <c r="G131" s="200" t="e">
        <f aca="false">IF($A132="","",VLOOKUP($A131,Table,MATCH(G$4,Curves,0)))</f>
        <v>#N/A</v>
      </c>
      <c r="H131" s="201" t="e">
        <f aca="false">IF(A132="","",G131)</f>
        <v>#N/A</v>
      </c>
      <c r="I131" s="202"/>
      <c r="J131" s="200" t="e">
        <f aca="false">IF($A132="","",VLOOKUP($A131,Table,MATCH(J$4,Curves,0)))</f>
        <v>#N/A</v>
      </c>
      <c r="K131" s="201" t="e">
        <f aca="false">IF(A132="","",J131)</f>
        <v>#N/A</v>
      </c>
      <c r="L131" s="185" t="n">
        <v>0</v>
      </c>
      <c r="M131" s="201" t="n">
        <f aca="false">IF(A132="","",L131)</f>
        <v>0</v>
      </c>
      <c r="N131" s="203"/>
      <c r="O131" s="200" t="e">
        <f aca="false">IF(A132="","",L131+J131+G131)</f>
        <v>#N/A</v>
      </c>
      <c r="P131" s="200" t="e">
        <f aca="false">IF(A132="","",M131+K131+H131)</f>
        <v>#N/A</v>
      </c>
      <c r="Q131" s="204"/>
      <c r="R131" s="200" t="e">
        <f aca="false">IF($A132="","",VLOOKUP($A131,Table,MATCH(R$4,Curves,0)))</f>
        <v>#N/A</v>
      </c>
      <c r="S131" s="201" t="e">
        <f aca="false">IF(A132="","",R131)</f>
        <v>#N/A</v>
      </c>
      <c r="T131" s="185" t="n">
        <v>0</v>
      </c>
      <c r="U131" s="201" t="n">
        <f aca="false">IF(A132="","",T131)</f>
        <v>0</v>
      </c>
      <c r="V131" s="205" t="e">
        <f aca="false">(G131+R131)/(1-Summary!$T$13)*Summary!$T$13</f>
        <v>#N/A</v>
      </c>
      <c r="W131" s="202" t="e">
        <f aca="false">IF($A132="","",(T131+R131+G131+V131))</f>
        <v>#N/A</v>
      </c>
      <c r="X131" s="202" t="e">
        <f aca="false">IF($A132="","",(U131+S131+H131+V131))</f>
        <v>#N/A</v>
      </c>
      <c r="Y131" s="202"/>
      <c r="Z131" s="185" t="e">
        <f aca="false">IF($A132="","",VLOOKUP($A131,Table,MATCH(Z$4,Curves,0)))</f>
        <v>#N/A</v>
      </c>
      <c r="AA131" s="185" t="e">
        <f aca="false">IF($A132="","",VLOOKUP($A131,Table,MATCH(AA$4,Curves,0)))</f>
        <v>#N/A</v>
      </c>
      <c r="AB131" s="185" t="e">
        <f aca="false">SQRT((AA131^2*(A131-$D$3)+Z131^2*(DAY(EOMONTH(A131,0))/2))/AK131)</f>
        <v>#N/A</v>
      </c>
      <c r="AC131" s="185" t="e">
        <f aca="false">IF($A132="","",VLOOKUP($A131,Table,MATCH(AC$4,Curves,0)))</f>
        <v>#N/A</v>
      </c>
      <c r="AD131" s="185" t="e">
        <f aca="false">IF($A132="","",VLOOKUP($A131,Table,MATCH(AD$4,Curves,0)))</f>
        <v>#N/A</v>
      </c>
      <c r="AE131" s="185" t="e">
        <f aca="false">SQRT((AD131^2*(A131-$D$3)+AC131^2*(DAY(EOMONTH(A131,0))/2))/AK131)</f>
        <v>#N/A</v>
      </c>
      <c r="AF131" s="224" t="e">
        <f aca="false">((Summary!$N$13*(AA131*AD131)*(A131-$D$3))+(Summary!$M$13*Z131*AC131*(AJ131-EOMONTH(EDATE(A131,-1),0))))/(AK131*AB131*AE131)</f>
        <v>#N/A</v>
      </c>
      <c r="AG131" s="207" t="n">
        <f aca="false">IF($A132="","",Summary!$Q$13)</f>
        <v>0</v>
      </c>
      <c r="AH131" s="207" t="n">
        <f aca="false">IF($A132="","",IF(Summary!$R$12="Y",(VLOOKUP($A131,Summary!$AD$6:$AF$9,3)+'Escalating commodity'!I144),'Escalating commodity'!I144))</f>
        <v>0.0546635834270183</v>
      </c>
      <c r="AI131" s="207" t="n">
        <f aca="false">IF($A132="","",AH131)</f>
        <v>0.0546635834270183</v>
      </c>
      <c r="AJ131" s="208" t="n">
        <f aca="false">A131+DAY(EOMONTH(A131,0))/2-1</f>
        <v>40739.5</v>
      </c>
      <c r="AK131" s="209" t="n">
        <f aca="false">IF($A132="","",$A131-$E$1)</f>
        <v>-5201</v>
      </c>
      <c r="AL131" s="182" t="e">
        <f aca="false">IF($A132="","",SPRDOPT(P131,X131,AI131,0,AB131,AE131,AF131,AK131,$AJ$2,0))</f>
        <v>#NAME?</v>
      </c>
      <c r="AM131" s="210" t="e">
        <f aca="false">IF($A132="","",MAX(0,O131-W131-AI131))</f>
        <v>#N/A</v>
      </c>
      <c r="AN131" s="211" t="e">
        <f aca="false">IF($A132="","",AL131-AM131)</f>
        <v>#N/A</v>
      </c>
      <c r="AO131" s="137" t="n">
        <f aca="false">IF(A132="","",A132-A131)</f>
        <v>31</v>
      </c>
      <c r="AP131" s="212" t="n">
        <f aca="false">IF(A132="","",CHOOSE(F$3,A132+24,A131))</f>
        <v>40725</v>
      </c>
      <c r="AQ131" s="209" t="n">
        <f aca="false">IF(A132="","",AP131-$E$1)</f>
        <v>-5201</v>
      </c>
      <c r="AR131" s="185" t="n">
        <f aca="false">'ANR OK vs ML7'!AR131</f>
        <v>0.1</v>
      </c>
      <c r="AS131" s="213" t="n">
        <f aca="false">IF(A132="","",1/(1+CHOOSE(F$3,(AR132+($I$3/10000))/2,(AR131+($I$3/10000))/2))^(2*AQ131/365.25))</f>
        <v>4.01284766379345</v>
      </c>
      <c r="AT131" s="137" t="n">
        <f aca="false">IF(A132="","",IF(AND(mthbeg&lt;=A131,mthend&gt;=A131),1,0))</f>
        <v>1</v>
      </c>
      <c r="AU131" s="137" t="n">
        <f aca="false">IF(A132="","",AO131*AT131)</f>
        <v>31</v>
      </c>
      <c r="AW131" s="195" t="e">
        <f aca="false">IF($A132="","",AL131*$E131)</f>
        <v>#NAME?</v>
      </c>
      <c r="AX131" s="195" t="e">
        <f aca="false">IF($A132="","",AM131*$E131)</f>
        <v>#N/A</v>
      </c>
      <c r="AY131" s="195" t="e">
        <f aca="false">IF($A132="","",AN131*$E131)</f>
        <v>#N/A</v>
      </c>
      <c r="BA131" s="195" t="n">
        <f aca="false">IF($A132="","",F131*Summary!$Q$13)</f>
        <v>0</v>
      </c>
      <c r="BC131" s="179" t="e">
        <f aca="false">IF(A132="","",AM131*F131)</f>
        <v>#N/A</v>
      </c>
    </row>
    <row r="132" customFormat="false" ht="12.75" hidden="false" customHeight="false" outlineLevel="0" collapsed="false">
      <c r="A132" s="196" t="n">
        <f aca="false">IF(A131&lt;mthend,EDATE(A131,1),"")</f>
        <v>40756</v>
      </c>
      <c r="B132" s="197" t="n">
        <f aca="false">IF(A132&lt;mthend,B131,"")</f>
        <v>28400</v>
      </c>
      <c r="C132" s="215"/>
      <c r="D132" s="197" t="n">
        <f aca="false">IF(A133&lt;&gt;"",B132+C132,"")</f>
        <v>28400</v>
      </c>
      <c r="E132" s="199" t="n">
        <f aca="false">IF(A133="","",IF(AND(AT132=1,$H$3=1),D132*AO132,IF($H$3=2,D132,"N/A")))</f>
        <v>880400</v>
      </c>
      <c r="F132" s="199" t="n">
        <f aca="false">IF(A133="","",E132*AS132)</f>
        <v>3503772.44270078</v>
      </c>
      <c r="G132" s="200" t="e">
        <f aca="false">IF($A133="","",VLOOKUP($A132,Table,MATCH(G$4,Curves,0)))</f>
        <v>#N/A</v>
      </c>
      <c r="H132" s="201" t="e">
        <f aca="false">IF(A133="","",G132)</f>
        <v>#N/A</v>
      </c>
      <c r="I132" s="202"/>
      <c r="J132" s="200" t="e">
        <f aca="false">IF($A133="","",VLOOKUP($A132,Table,MATCH(J$4,Curves,0)))</f>
        <v>#N/A</v>
      </c>
      <c r="K132" s="201" t="e">
        <f aca="false">IF(A133="","",J132)</f>
        <v>#N/A</v>
      </c>
      <c r="L132" s="185" t="n">
        <v>0</v>
      </c>
      <c r="M132" s="201" t="n">
        <f aca="false">IF(A133="","",L132)</f>
        <v>0</v>
      </c>
      <c r="N132" s="203"/>
      <c r="O132" s="200" t="e">
        <f aca="false">IF(A133="","",L132+J132+G132)</f>
        <v>#N/A</v>
      </c>
      <c r="P132" s="200" t="e">
        <f aca="false">IF(A133="","",M132+K132+H132)</f>
        <v>#N/A</v>
      </c>
      <c r="Q132" s="204"/>
      <c r="R132" s="200" t="e">
        <f aca="false">IF($A133="","",VLOOKUP($A132,Table,MATCH(R$4,Curves,0)))</f>
        <v>#N/A</v>
      </c>
      <c r="S132" s="201" t="e">
        <f aca="false">IF(A133="","",R132)</f>
        <v>#N/A</v>
      </c>
      <c r="T132" s="185" t="n">
        <v>0</v>
      </c>
      <c r="U132" s="201" t="n">
        <f aca="false">IF(A133="","",T132)</f>
        <v>0</v>
      </c>
      <c r="V132" s="205" t="e">
        <f aca="false">(G132+R132)/(1-Summary!$T$13)*Summary!$T$13</f>
        <v>#N/A</v>
      </c>
      <c r="W132" s="202" t="e">
        <f aca="false">IF($A133="","",(T132+R132+G132+V132))</f>
        <v>#N/A</v>
      </c>
      <c r="X132" s="202" t="e">
        <f aca="false">IF($A133="","",(U132+S132+H132+V132))</f>
        <v>#N/A</v>
      </c>
      <c r="Y132" s="202"/>
      <c r="Z132" s="185" t="e">
        <f aca="false">IF($A133="","",VLOOKUP($A132,Table,MATCH(Z$4,Curves,0)))</f>
        <v>#N/A</v>
      </c>
      <c r="AA132" s="185" t="e">
        <f aca="false">IF($A133="","",VLOOKUP($A132,Table,MATCH(AA$4,Curves,0)))</f>
        <v>#N/A</v>
      </c>
      <c r="AB132" s="185" t="e">
        <f aca="false">SQRT((AA132^2*(A132-$D$3)+Z132^2*(DAY(EOMONTH(A132,0))/2))/AK132)</f>
        <v>#N/A</v>
      </c>
      <c r="AC132" s="185" t="e">
        <f aca="false">IF($A133="","",VLOOKUP($A132,Table,MATCH(AC$4,Curves,0)))</f>
        <v>#N/A</v>
      </c>
      <c r="AD132" s="185" t="e">
        <f aca="false">IF($A133="","",VLOOKUP($A132,Table,MATCH(AD$4,Curves,0)))</f>
        <v>#N/A</v>
      </c>
      <c r="AE132" s="185" t="e">
        <f aca="false">SQRT((AD132^2*(A132-$D$3)+AC132^2*(DAY(EOMONTH(A132,0))/2))/AK132)</f>
        <v>#N/A</v>
      </c>
      <c r="AF132" s="224" t="e">
        <f aca="false">((Summary!$N$13*(AA132*AD132)*(A132-$D$3))+(Summary!$M$13*Z132*AC132*(AJ132-EOMONTH(EDATE(A132,-1),0))))/(AK132*AB132*AE132)</f>
        <v>#N/A</v>
      </c>
      <c r="AG132" s="207" t="n">
        <f aca="false">IF($A133="","",Summary!$Q$13)</f>
        <v>0</v>
      </c>
      <c r="AH132" s="207" t="n">
        <f aca="false">IF($A133="","",IF(Summary!$R$12="Y",(VLOOKUP($A132,Summary!$AD$6:$AF$9,3)+'Escalating commodity'!I145),'Escalating commodity'!I145))</f>
        <v>0.0546635834270183</v>
      </c>
      <c r="AI132" s="207" t="n">
        <f aca="false">IF($A133="","",AH132)</f>
        <v>0.0546635834270183</v>
      </c>
      <c r="AJ132" s="208" t="n">
        <f aca="false">A132+DAY(EOMONTH(A132,0))/2-1</f>
        <v>40770.5</v>
      </c>
      <c r="AK132" s="209" t="n">
        <f aca="false">IF($A133="","",$A132-$E$1)</f>
        <v>-5170</v>
      </c>
      <c r="AL132" s="182" t="e">
        <f aca="false">IF($A133="","",SPRDOPT(P132,X132,AI132,0,AB132,AE132,AF132,AK132,$AJ$2,0))</f>
        <v>#NAME?</v>
      </c>
      <c r="AM132" s="210" t="e">
        <f aca="false">IF($A133="","",MAX(0,O132-W132-AI132))</f>
        <v>#N/A</v>
      </c>
      <c r="AN132" s="211" t="e">
        <f aca="false">IF($A133="","",AL132-AM132)</f>
        <v>#N/A</v>
      </c>
      <c r="AO132" s="137" t="n">
        <f aca="false">IF(A133="","",A133-A132)</f>
        <v>31</v>
      </c>
      <c r="AP132" s="212" t="n">
        <f aca="false">IF(A133="","",CHOOSE(F$3,A133+24,A132))</f>
        <v>40756</v>
      </c>
      <c r="AQ132" s="209" t="n">
        <f aca="false">IF(A133="","",AP132-$E$1)</f>
        <v>-5170</v>
      </c>
      <c r="AR132" s="185" t="n">
        <f aca="false">'ANR OK vs ML7'!AR132</f>
        <v>0.1</v>
      </c>
      <c r="AS132" s="213" t="n">
        <f aca="false">IF(A133="","",1/(1+CHOOSE(F$3,(AR133+($I$3/10000))/2,(AR132+($I$3/10000))/2))^(2*AQ132/365.25))</f>
        <v>3.97975061642524</v>
      </c>
      <c r="AT132" s="137" t="n">
        <f aca="false">IF(A133="","",IF(AND(mthbeg&lt;=A132,mthend&gt;=A132),1,0))</f>
        <v>1</v>
      </c>
      <c r="AU132" s="137" t="n">
        <f aca="false">IF(A133="","",AO132*AT132)</f>
        <v>31</v>
      </c>
      <c r="AW132" s="195" t="e">
        <f aca="false">IF($A133="","",AL132*$E132)</f>
        <v>#NAME?</v>
      </c>
      <c r="AX132" s="195" t="e">
        <f aca="false">IF($A133="","",AM132*$E132)</f>
        <v>#N/A</v>
      </c>
      <c r="AY132" s="195" t="e">
        <f aca="false">IF($A133="","",AN132*$E132)</f>
        <v>#N/A</v>
      </c>
      <c r="BA132" s="195" t="n">
        <f aca="false">IF($A133="","",F132*Summary!$Q$13)</f>
        <v>0</v>
      </c>
      <c r="BC132" s="179" t="e">
        <f aca="false">IF(A133="","",AM132*F132)</f>
        <v>#N/A</v>
      </c>
    </row>
    <row r="133" customFormat="false" ht="12.75" hidden="false" customHeight="false" outlineLevel="0" collapsed="false">
      <c r="A133" s="196" t="n">
        <f aca="false">IF(A132&lt;mthend,EDATE(A132,1),"")</f>
        <v>40787</v>
      </c>
      <c r="B133" s="197" t="n">
        <f aca="false">IF(A133&lt;mthend,B132,"")</f>
        <v>28400</v>
      </c>
      <c r="C133" s="215"/>
      <c r="D133" s="197" t="n">
        <f aca="false">IF(A134&lt;&gt;"",B133+C133,"")</f>
        <v>28400</v>
      </c>
      <c r="E133" s="199" t="n">
        <f aca="false">IF(A134="","",IF(AND(AT133=1,$H$3=1),D133*AO133,IF($H$3=2,D133,"N/A")))</f>
        <v>852000</v>
      </c>
      <c r="F133" s="199" t="n">
        <f aca="false">IF(A134="","",E133*AS133)</f>
        <v>3362781.41711909</v>
      </c>
      <c r="G133" s="200" t="e">
        <f aca="false">IF($A134="","",VLOOKUP($A133,Table,MATCH(G$4,Curves,0)))</f>
        <v>#N/A</v>
      </c>
      <c r="H133" s="201" t="e">
        <f aca="false">IF(A134="","",G133)</f>
        <v>#N/A</v>
      </c>
      <c r="I133" s="202"/>
      <c r="J133" s="200" t="e">
        <f aca="false">IF($A134="","",VLOOKUP($A133,Table,MATCH(J$4,Curves,0)))</f>
        <v>#N/A</v>
      </c>
      <c r="K133" s="201" t="e">
        <f aca="false">IF(A134="","",J133)</f>
        <v>#N/A</v>
      </c>
      <c r="L133" s="185" t="n">
        <v>0</v>
      </c>
      <c r="M133" s="201" t="n">
        <f aca="false">IF(A134="","",L133)</f>
        <v>0</v>
      </c>
      <c r="N133" s="203"/>
      <c r="O133" s="200" t="e">
        <f aca="false">IF(A134="","",L133+J133+G133)</f>
        <v>#N/A</v>
      </c>
      <c r="P133" s="200" t="e">
        <f aca="false">IF(A134="","",M133+K133+H133)</f>
        <v>#N/A</v>
      </c>
      <c r="Q133" s="204"/>
      <c r="R133" s="200" t="e">
        <f aca="false">IF($A134="","",VLOOKUP($A133,Table,MATCH(R$4,Curves,0)))</f>
        <v>#N/A</v>
      </c>
      <c r="S133" s="201" t="e">
        <f aca="false">IF(A134="","",R133)</f>
        <v>#N/A</v>
      </c>
      <c r="T133" s="185" t="n">
        <v>0</v>
      </c>
      <c r="U133" s="201" t="n">
        <f aca="false">IF(A134="","",T133)</f>
        <v>0</v>
      </c>
      <c r="V133" s="205" t="e">
        <f aca="false">(G133+R133)/(1-Summary!$T$13)*Summary!$T$13</f>
        <v>#N/A</v>
      </c>
      <c r="W133" s="202" t="e">
        <f aca="false">IF($A134="","",(T133+R133+G133+V133))</f>
        <v>#N/A</v>
      </c>
      <c r="X133" s="202" t="e">
        <f aca="false">IF($A134="","",(U133+S133+H133+V133))</f>
        <v>#N/A</v>
      </c>
      <c r="Y133" s="202"/>
      <c r="Z133" s="185" t="e">
        <f aca="false">IF($A134="","",VLOOKUP($A133,Table,MATCH(Z$4,Curves,0)))</f>
        <v>#N/A</v>
      </c>
      <c r="AA133" s="185" t="e">
        <f aca="false">IF($A134="","",VLOOKUP($A133,Table,MATCH(AA$4,Curves,0)))</f>
        <v>#N/A</v>
      </c>
      <c r="AB133" s="185" t="e">
        <f aca="false">SQRT((AA133^2*(A133-$D$3)+Z133^2*(DAY(EOMONTH(A133,0))/2))/AK133)</f>
        <v>#N/A</v>
      </c>
      <c r="AC133" s="185" t="e">
        <f aca="false">IF($A134="","",VLOOKUP($A133,Table,MATCH(AC$4,Curves,0)))</f>
        <v>#N/A</v>
      </c>
      <c r="AD133" s="185" t="e">
        <f aca="false">IF($A134="","",VLOOKUP($A133,Table,MATCH(AD$4,Curves,0)))</f>
        <v>#N/A</v>
      </c>
      <c r="AE133" s="185" t="e">
        <f aca="false">SQRT((AD133^2*(A133-$D$3)+AC133^2*(DAY(EOMONTH(A133,0))/2))/AK133)</f>
        <v>#N/A</v>
      </c>
      <c r="AF133" s="224" t="e">
        <f aca="false">((Summary!$N$13*(AA133*AD133)*(A133-$D$3))+(Summary!$M$13*Z133*AC133*(AJ133-EOMONTH(EDATE(A133,-1),0))))/(AK133*AB133*AE133)</f>
        <v>#N/A</v>
      </c>
      <c r="AG133" s="207" t="n">
        <f aca="false">IF($A134="","",Summary!$Q$13)</f>
        <v>0</v>
      </c>
      <c r="AH133" s="207" t="n">
        <f aca="false">IF($A134="","",IF(Summary!$R$12="Y",(VLOOKUP($A133,Summary!$AD$6:$AF$9,3)+'Escalating commodity'!I146),'Escalating commodity'!I146))</f>
        <v>0.0546635834270183</v>
      </c>
      <c r="AI133" s="207" t="n">
        <f aca="false">IF($A134="","",AH133)</f>
        <v>0.0546635834270183</v>
      </c>
      <c r="AJ133" s="208" t="n">
        <f aca="false">A133+DAY(EOMONTH(A133,0))/2-1</f>
        <v>40801</v>
      </c>
      <c r="AK133" s="209" t="n">
        <f aca="false">IF($A134="","",$A133-$E$1)</f>
        <v>-5139</v>
      </c>
      <c r="AL133" s="182" t="e">
        <f aca="false">IF($A134="","",SPRDOPT(P133,X133,AI133,0,AB133,AE133,AF133,AK133,$AJ$2,0))</f>
        <v>#NAME?</v>
      </c>
      <c r="AM133" s="210" t="e">
        <f aca="false">IF($A134="","",MAX(0,O133-W133-AI133))</f>
        <v>#N/A</v>
      </c>
      <c r="AN133" s="211" t="e">
        <f aca="false">IF($A134="","",AL133-AM133)</f>
        <v>#N/A</v>
      </c>
      <c r="AO133" s="137" t="n">
        <f aca="false">IF(A134="","",A134-A133)</f>
        <v>30</v>
      </c>
      <c r="AP133" s="212" t="n">
        <f aca="false">IF(A134="","",CHOOSE(F$3,A134+24,A133))</f>
        <v>40787</v>
      </c>
      <c r="AQ133" s="209" t="n">
        <f aca="false">IF(A134="","",AP133-$E$1)</f>
        <v>-5139</v>
      </c>
      <c r="AR133" s="185" t="n">
        <f aca="false">'ANR OK vs ML7'!AR133</f>
        <v>0.1</v>
      </c>
      <c r="AS133" s="213" t="n">
        <f aca="false">IF(A134="","",1/(1+CHOOSE(F$3,(AR134+($I$3/10000))/2,(AR133+($I$3/10000))/2))^(2*AQ133/365.25))</f>
        <v>3.94692654591443</v>
      </c>
      <c r="AT133" s="137" t="n">
        <f aca="false">IF(A134="","",IF(AND(mthbeg&lt;=A133,mthend&gt;=A133),1,0))</f>
        <v>1</v>
      </c>
      <c r="AU133" s="137" t="n">
        <f aca="false">IF(A134="","",AO133*AT133)</f>
        <v>30</v>
      </c>
      <c r="AW133" s="195" t="e">
        <f aca="false">IF($A134="","",AL133*$E133)</f>
        <v>#NAME?</v>
      </c>
      <c r="AX133" s="195" t="e">
        <f aca="false">IF($A134="","",AM133*$E133)</f>
        <v>#N/A</v>
      </c>
      <c r="AY133" s="195" t="e">
        <f aca="false">IF($A134="","",AN133*$E133)</f>
        <v>#N/A</v>
      </c>
      <c r="BA133" s="195" t="n">
        <f aca="false">IF($A134="","",F133*Summary!$Q$13)</f>
        <v>0</v>
      </c>
      <c r="BC133" s="179" t="e">
        <f aca="false">IF(A134="","",AM133*F133)</f>
        <v>#N/A</v>
      </c>
    </row>
    <row r="134" customFormat="false" ht="12.75" hidden="false" customHeight="false" outlineLevel="0" collapsed="false">
      <c r="A134" s="196" t="n">
        <f aca="false">IF(A133&lt;mthend,EDATE(A133,1),"")</f>
        <v>40817</v>
      </c>
      <c r="B134" s="197" t="n">
        <f aca="false">IF(A134&lt;mthend,B133,"")</f>
        <v>28400</v>
      </c>
      <c r="C134" s="215"/>
      <c r="D134" s="197" t="n">
        <f aca="false">IF(A135&lt;&gt;"",B134+C134,"")</f>
        <v>28400</v>
      </c>
      <c r="E134" s="199" t="n">
        <f aca="false">IF(A135="","",IF(AND(AT134=1,$H$3=1),D134*AO134,IF($H$3=2,D134,"N/A")))</f>
        <v>880400</v>
      </c>
      <c r="F134" s="199" t="n">
        <f aca="false">IF(A135="","",E134*AS134)</f>
        <v>3447134.98087256</v>
      </c>
      <c r="G134" s="200" t="e">
        <f aca="false">IF($A135="","",VLOOKUP($A134,Table,MATCH(G$4,Curves,0)))</f>
        <v>#N/A</v>
      </c>
      <c r="H134" s="201" t="e">
        <f aca="false">IF(A135="","",G134)</f>
        <v>#N/A</v>
      </c>
      <c r="I134" s="202"/>
      <c r="J134" s="200" t="e">
        <f aca="false">IF($A135="","",VLOOKUP($A134,Table,MATCH(J$4,Curves,0)))</f>
        <v>#N/A</v>
      </c>
      <c r="K134" s="201" t="e">
        <f aca="false">IF(A135="","",J134)</f>
        <v>#N/A</v>
      </c>
      <c r="L134" s="185" t="n">
        <v>0</v>
      </c>
      <c r="M134" s="201" t="n">
        <f aca="false">IF(A135="","",L134)</f>
        <v>0</v>
      </c>
      <c r="N134" s="203"/>
      <c r="O134" s="200" t="e">
        <f aca="false">IF(A135="","",L134+J134+G134)</f>
        <v>#N/A</v>
      </c>
      <c r="P134" s="200" t="e">
        <f aca="false">IF(A135="","",M134+K134+H134)</f>
        <v>#N/A</v>
      </c>
      <c r="Q134" s="204"/>
      <c r="R134" s="200" t="e">
        <f aca="false">IF($A135="","",VLOOKUP($A134,Table,MATCH(R$4,Curves,0)))</f>
        <v>#N/A</v>
      </c>
      <c r="S134" s="201" t="e">
        <f aca="false">IF(A135="","",R134)</f>
        <v>#N/A</v>
      </c>
      <c r="T134" s="185" t="n">
        <v>0</v>
      </c>
      <c r="U134" s="201" t="n">
        <f aca="false">IF(A135="","",T134)</f>
        <v>0</v>
      </c>
      <c r="V134" s="205" t="e">
        <f aca="false">(G134+R134)/(1-Summary!$T$13)*Summary!$T$13</f>
        <v>#N/A</v>
      </c>
      <c r="W134" s="202" t="e">
        <f aca="false">IF($A135="","",(T134+R134+G134+V134))</f>
        <v>#N/A</v>
      </c>
      <c r="X134" s="202" t="e">
        <f aca="false">IF($A135="","",(U134+S134+H134+V134))</f>
        <v>#N/A</v>
      </c>
      <c r="Y134" s="202"/>
      <c r="Z134" s="185" t="e">
        <f aca="false">IF($A135="","",VLOOKUP($A134,Table,MATCH(Z$4,Curves,0)))</f>
        <v>#N/A</v>
      </c>
      <c r="AA134" s="185" t="e">
        <f aca="false">IF($A135="","",VLOOKUP($A134,Table,MATCH(AA$4,Curves,0)))</f>
        <v>#N/A</v>
      </c>
      <c r="AB134" s="185" t="e">
        <f aca="false">SQRT((AA134^2*(A134-$D$3)+Z134^2*(DAY(EOMONTH(A134,0))/2))/AK134)</f>
        <v>#N/A</v>
      </c>
      <c r="AC134" s="185" t="e">
        <f aca="false">IF($A135="","",VLOOKUP($A134,Table,MATCH(AC$4,Curves,0)))</f>
        <v>#N/A</v>
      </c>
      <c r="AD134" s="185" t="e">
        <f aca="false">IF($A135="","",VLOOKUP($A134,Table,MATCH(AD$4,Curves,0)))</f>
        <v>#N/A</v>
      </c>
      <c r="AE134" s="185" t="e">
        <f aca="false">SQRT((AD134^2*(A134-$D$3)+AC134^2*(DAY(EOMONTH(A134,0))/2))/AK134)</f>
        <v>#N/A</v>
      </c>
      <c r="AF134" s="224" t="e">
        <f aca="false">((Summary!$N$13*(AA134*AD134)*(A134-$D$3))+(Summary!$M$13*Z134*AC134*(AJ134-EOMONTH(EDATE(A134,-1),0))))/(AK134*AB134*AE134)</f>
        <v>#N/A</v>
      </c>
      <c r="AG134" s="207" t="n">
        <f aca="false">IF($A135="","",Summary!$Q$13)</f>
        <v>0</v>
      </c>
      <c r="AH134" s="207" t="n">
        <f aca="false">IF($A135="","",IF(Summary!$R$12="Y",(VLOOKUP($A134,Summary!$AD$6:$AF$9,3)+'Escalating commodity'!I147),'Escalating commodity'!I147))</f>
        <v>0.0546635834270183</v>
      </c>
      <c r="AI134" s="207" t="n">
        <f aca="false">IF($A135="","",AH134)</f>
        <v>0.0546635834270183</v>
      </c>
      <c r="AJ134" s="208" t="n">
        <f aca="false">A134+DAY(EOMONTH(A134,0))/2-1</f>
        <v>40831.5</v>
      </c>
      <c r="AK134" s="209" t="n">
        <f aca="false">IF($A135="","",$A134-$E$1)</f>
        <v>-5109</v>
      </c>
      <c r="AL134" s="182" t="e">
        <f aca="false">IF($A135="","",SPRDOPT(P134,X134,AI134,0,AB134,AE134,AF134,AK134,$AJ$2,0))</f>
        <v>#NAME?</v>
      </c>
      <c r="AM134" s="210" t="e">
        <f aca="false">IF($A135="","",MAX(0,O134-W134-AI134))</f>
        <v>#N/A</v>
      </c>
      <c r="AN134" s="211" t="e">
        <f aca="false">IF($A135="","",AL134-AM134)</f>
        <v>#N/A</v>
      </c>
      <c r="AO134" s="137" t="n">
        <f aca="false">IF(A135="","",A135-A134)</f>
        <v>31</v>
      </c>
      <c r="AP134" s="212" t="n">
        <f aca="false">IF(A135="","",CHOOSE(F$3,A135+24,A134))</f>
        <v>40817</v>
      </c>
      <c r="AQ134" s="209" t="n">
        <f aca="false">IF(A135="","",AP134-$E$1)</f>
        <v>-5109</v>
      </c>
      <c r="AR134" s="185" t="n">
        <f aca="false">'ANR OK vs ML7'!AR134</f>
        <v>0.1</v>
      </c>
      <c r="AS134" s="213" t="n">
        <f aca="false">IF(A135="","",1/(1+CHOOSE(F$3,(AR135+($I$3/10000))/2,(AR134+($I$3/10000))/2))^(2*AQ134/365.25))</f>
        <v>3.91541910594338</v>
      </c>
      <c r="AT134" s="137" t="n">
        <f aca="false">IF(A135="","",IF(AND(mthbeg&lt;=A134,mthend&gt;=A134),1,0))</f>
        <v>1</v>
      </c>
      <c r="AU134" s="137" t="n">
        <f aca="false">IF(A135="","",AO134*AT134)</f>
        <v>31</v>
      </c>
      <c r="AW134" s="195" t="e">
        <f aca="false">IF($A135="","",AL134*$E134)</f>
        <v>#NAME?</v>
      </c>
      <c r="AX134" s="195" t="e">
        <f aca="false">IF($A135="","",AM134*$E134)</f>
        <v>#N/A</v>
      </c>
      <c r="AY134" s="195" t="e">
        <f aca="false">IF($A135="","",AN134*$E134)</f>
        <v>#N/A</v>
      </c>
      <c r="BA134" s="195" t="n">
        <f aca="false">IF($A135="","",F134*Summary!$Q$13)</f>
        <v>0</v>
      </c>
      <c r="BC134" s="179" t="e">
        <f aca="false">IF(A135="","",AM134*F134)</f>
        <v>#N/A</v>
      </c>
    </row>
    <row r="135" customFormat="false" ht="12.75" hidden="false" customHeight="false" outlineLevel="0" collapsed="false">
      <c r="A135" s="196" t="n">
        <f aca="false">IF(A134&lt;mthend,EDATE(A134,1),"")</f>
        <v>40848</v>
      </c>
      <c r="B135" s="197" t="n">
        <f aca="false">IF(A135&lt;mthend,B134,"")</f>
        <v>28400</v>
      </c>
      <c r="C135" s="215"/>
      <c r="D135" s="197" t="n">
        <f aca="false">IF(A136&lt;&gt;"",B135+C135,"")</f>
        <v>28400</v>
      </c>
      <c r="E135" s="199" t="n">
        <f aca="false">IF(A136="","",IF(AND(AT135=1,$H$3=1),D135*AO135,IF($H$3=2,D135,"N/A")))</f>
        <v>852000</v>
      </c>
      <c r="F135" s="199" t="n">
        <f aca="false">IF(A136="","",E135*AS135)</f>
        <v>3308423.03418657</v>
      </c>
      <c r="G135" s="200" t="e">
        <f aca="false">IF($A136="","",VLOOKUP($A135,Table,MATCH(G$4,Curves,0)))</f>
        <v>#N/A</v>
      </c>
      <c r="H135" s="201" t="e">
        <f aca="false">IF(A136="","",G135)</f>
        <v>#N/A</v>
      </c>
      <c r="I135" s="202"/>
      <c r="J135" s="200" t="e">
        <f aca="false">IF($A136="","",VLOOKUP($A135,Table,MATCH(J$4,Curves,0)))</f>
        <v>#N/A</v>
      </c>
      <c r="K135" s="201" t="e">
        <f aca="false">IF(A136="","",J135)</f>
        <v>#N/A</v>
      </c>
      <c r="L135" s="185" t="n">
        <v>0</v>
      </c>
      <c r="M135" s="201" t="n">
        <f aca="false">IF(A136="","",L135)</f>
        <v>0</v>
      </c>
      <c r="N135" s="203"/>
      <c r="O135" s="200" t="e">
        <f aca="false">IF(A136="","",L135+J135+G135)</f>
        <v>#N/A</v>
      </c>
      <c r="P135" s="200" t="e">
        <f aca="false">IF(A136="","",M135+K135+H135)</f>
        <v>#N/A</v>
      </c>
      <c r="Q135" s="204"/>
      <c r="R135" s="200" t="e">
        <f aca="false">IF($A136="","",VLOOKUP($A135,Table,MATCH(R$4,Curves,0)))</f>
        <v>#N/A</v>
      </c>
      <c r="S135" s="201" t="e">
        <f aca="false">IF(A136="","",R135)</f>
        <v>#N/A</v>
      </c>
      <c r="T135" s="185" t="n">
        <v>0</v>
      </c>
      <c r="U135" s="201" t="n">
        <f aca="false">IF(A136="","",T135)</f>
        <v>0</v>
      </c>
      <c r="V135" s="205" t="e">
        <f aca="false">(G135+R135)/(1-Summary!$T$13)*Summary!$T$13</f>
        <v>#N/A</v>
      </c>
      <c r="W135" s="202" t="e">
        <f aca="false">IF($A136="","",(T135+R135+G135+V135))</f>
        <v>#N/A</v>
      </c>
      <c r="X135" s="202" t="e">
        <f aca="false">IF($A136="","",(U135+S135+H135+V135))</f>
        <v>#N/A</v>
      </c>
      <c r="Y135" s="202"/>
      <c r="Z135" s="185" t="e">
        <f aca="false">IF($A136="","",VLOOKUP($A135,Table,MATCH(Z$4,Curves,0)))</f>
        <v>#N/A</v>
      </c>
      <c r="AA135" s="185" t="e">
        <f aca="false">IF($A136="","",VLOOKUP($A135,Table,MATCH(AA$4,Curves,0)))</f>
        <v>#N/A</v>
      </c>
      <c r="AB135" s="185" t="e">
        <f aca="false">SQRT((AA135^2*(A135-$D$3)+Z135^2*(DAY(EOMONTH(A135,0))/2))/AK135)</f>
        <v>#N/A</v>
      </c>
      <c r="AC135" s="185" t="e">
        <f aca="false">IF($A136="","",VLOOKUP($A135,Table,MATCH(AC$4,Curves,0)))</f>
        <v>#N/A</v>
      </c>
      <c r="AD135" s="185" t="e">
        <f aca="false">IF($A136="","",VLOOKUP($A135,Table,MATCH(AD$4,Curves,0)))</f>
        <v>#N/A</v>
      </c>
      <c r="AE135" s="185" t="e">
        <f aca="false">SQRT((AD135^2*(A135-$D$3)+AC135^2*(DAY(EOMONTH(A135,0))/2))/AK135)</f>
        <v>#N/A</v>
      </c>
      <c r="AF135" s="224" t="e">
        <f aca="false">((Summary!$N$13*(AA135*AD135)*(A135-$D$3))+(Summary!$M$13*Z135*AC135*(AJ135-EOMONTH(EDATE(A135,-1),0))))/(AK135*AB135*AE135)</f>
        <v>#N/A</v>
      </c>
      <c r="AG135" s="207" t="n">
        <f aca="false">IF($A136="","",Summary!$Q$13)</f>
        <v>0</v>
      </c>
      <c r="AH135" s="207" t="n">
        <f aca="false">IF($A136="","",IF(Summary!$R$12="Y",(VLOOKUP($A135,Summary!$AD$6:$AF$9,3)+'Escalating commodity'!I148),'Escalating commodity'!I148))</f>
        <v>0.0546635834270183</v>
      </c>
      <c r="AI135" s="207" t="n">
        <f aca="false">IF($A136="","",AH135)</f>
        <v>0.0546635834270183</v>
      </c>
      <c r="AJ135" s="208" t="n">
        <f aca="false">A135+DAY(EOMONTH(A135,0))/2-1</f>
        <v>40862</v>
      </c>
      <c r="AK135" s="209" t="n">
        <f aca="false">IF($A136="","",$A135-$E$1)</f>
        <v>-5078</v>
      </c>
      <c r="AL135" s="182" t="e">
        <f aca="false">IF($A136="","",SPRDOPT(P135,X135,AI135,0,AB135,AE135,AF135,AK135,$AJ$2,0))</f>
        <v>#NAME?</v>
      </c>
      <c r="AM135" s="210" t="e">
        <f aca="false">IF($A136="","",MAX(0,O135-W135-AI135))</f>
        <v>#N/A</v>
      </c>
      <c r="AN135" s="211" t="e">
        <f aca="false">IF($A136="","",AL135-AM135)</f>
        <v>#N/A</v>
      </c>
      <c r="AO135" s="137" t="n">
        <f aca="false">IF(A136="","",A136-A135)</f>
        <v>30</v>
      </c>
      <c r="AP135" s="212" t="n">
        <f aca="false">IF(A136="","",CHOOSE(F$3,A136+24,A135))</f>
        <v>40848</v>
      </c>
      <c r="AQ135" s="209" t="n">
        <f aca="false">IF(A136="","",AP135-$E$1)</f>
        <v>-5078</v>
      </c>
      <c r="AR135" s="185" t="n">
        <f aca="false">'ANR OK vs ML7'!AR135</f>
        <v>0.1</v>
      </c>
      <c r="AS135" s="213" t="n">
        <f aca="false">IF(A136="","",1/(1+CHOOSE(F$3,(AR136+($I$3/10000))/2,(AR135+($I$3/10000))/2))^(2*AQ135/365.25))</f>
        <v>3.88312562697955</v>
      </c>
      <c r="AT135" s="137" t="n">
        <f aca="false">IF(A136="","",IF(AND(mthbeg&lt;=A135,mthend&gt;=A135),1,0))</f>
        <v>1</v>
      </c>
      <c r="AU135" s="137" t="n">
        <f aca="false">IF(A136="","",AO135*AT135)</f>
        <v>30</v>
      </c>
      <c r="AW135" s="195" t="e">
        <f aca="false">IF($A136="","",AL135*$E135)</f>
        <v>#NAME?</v>
      </c>
      <c r="AX135" s="195" t="e">
        <f aca="false">IF($A136="","",AM135*$E135)</f>
        <v>#N/A</v>
      </c>
      <c r="AY135" s="195" t="e">
        <f aca="false">IF($A136="","",AN135*$E135)</f>
        <v>#N/A</v>
      </c>
      <c r="BA135" s="195" t="n">
        <f aca="false">IF($A136="","",F135*Summary!$Q$13)</f>
        <v>0</v>
      </c>
      <c r="BC135" s="179" t="e">
        <f aca="false">IF(A136="","",AM135*F135)</f>
        <v>#N/A</v>
      </c>
    </row>
    <row r="136" customFormat="false" ht="12.75" hidden="false" customHeight="false" outlineLevel="0" collapsed="false">
      <c r="A136" s="196" t="n">
        <f aca="false">IF(A135&lt;mthend,EDATE(A135,1),"")</f>
        <v>40878</v>
      </c>
      <c r="B136" s="197" t="n">
        <f aca="false">IF(A136&lt;mthend,B135,"")</f>
        <v>28400</v>
      </c>
      <c r="C136" s="215"/>
      <c r="D136" s="197" t="n">
        <f aca="false">IF(A137&lt;&gt;"",B136+C136,"")</f>
        <v>28400</v>
      </c>
      <c r="E136" s="199" t="n">
        <f aca="false">IF(A137="","",IF(AND(AT136=1,$H$3=1),D136*AO136,IF($H$3=2,D136,"N/A")))</f>
        <v>880400</v>
      </c>
      <c r="F136" s="199" t="n">
        <f aca="false">IF(A137="","",E136*AS136)</f>
        <v>3391413.0471315</v>
      </c>
      <c r="G136" s="200" t="e">
        <f aca="false">IF($A137="","",VLOOKUP($A136,Table,MATCH(G$4,Curves,0)))</f>
        <v>#N/A</v>
      </c>
      <c r="H136" s="201" t="e">
        <f aca="false">IF(A137="","",G136)</f>
        <v>#N/A</v>
      </c>
      <c r="I136" s="202"/>
      <c r="J136" s="200" t="e">
        <f aca="false">IF($A137="","",VLOOKUP($A136,Table,MATCH(J$4,Curves,0)))</f>
        <v>#N/A</v>
      </c>
      <c r="K136" s="201" t="e">
        <f aca="false">IF(A137="","",J136)</f>
        <v>#N/A</v>
      </c>
      <c r="L136" s="185" t="n">
        <v>0</v>
      </c>
      <c r="M136" s="201" t="n">
        <f aca="false">IF(A137="","",L136)</f>
        <v>0</v>
      </c>
      <c r="N136" s="203"/>
      <c r="O136" s="200" t="e">
        <f aca="false">IF(A137="","",L136+J136+G136)</f>
        <v>#N/A</v>
      </c>
      <c r="P136" s="200" t="e">
        <f aca="false">IF(A137="","",M136+K136+H136)</f>
        <v>#N/A</v>
      </c>
      <c r="Q136" s="204"/>
      <c r="R136" s="200" t="e">
        <f aca="false">IF($A137="","",VLOOKUP($A136,Table,MATCH(R$4,Curves,0)))</f>
        <v>#N/A</v>
      </c>
      <c r="S136" s="201" t="e">
        <f aca="false">IF(A137="","",R136)</f>
        <v>#N/A</v>
      </c>
      <c r="T136" s="185" t="n">
        <v>0</v>
      </c>
      <c r="U136" s="201" t="n">
        <f aca="false">IF(A137="","",T136)</f>
        <v>0</v>
      </c>
      <c r="V136" s="205" t="e">
        <f aca="false">(G136+R136)/(1-Summary!$T$13)*Summary!$T$13</f>
        <v>#N/A</v>
      </c>
      <c r="W136" s="202" t="e">
        <f aca="false">IF($A137="","",(T136+R136+G136+V136))</f>
        <v>#N/A</v>
      </c>
      <c r="X136" s="202" t="e">
        <f aca="false">IF($A137="","",(U136+S136+H136+V136))</f>
        <v>#N/A</v>
      </c>
      <c r="Y136" s="202"/>
      <c r="Z136" s="185" t="e">
        <f aca="false">IF($A137="","",VLOOKUP($A136,Table,MATCH(Z$4,Curves,0)))</f>
        <v>#N/A</v>
      </c>
      <c r="AA136" s="185" t="e">
        <f aca="false">IF($A137="","",VLOOKUP($A136,Table,MATCH(AA$4,Curves,0)))</f>
        <v>#N/A</v>
      </c>
      <c r="AB136" s="185" t="e">
        <f aca="false">SQRT((AA136^2*(A136-$D$3)+Z136^2*(DAY(EOMONTH(A136,0))/2))/AK136)</f>
        <v>#N/A</v>
      </c>
      <c r="AC136" s="185" t="e">
        <f aca="false">IF($A137="","",VLOOKUP($A136,Table,MATCH(AC$4,Curves,0)))</f>
        <v>#N/A</v>
      </c>
      <c r="AD136" s="185" t="e">
        <f aca="false">IF($A137="","",VLOOKUP($A136,Table,MATCH(AD$4,Curves,0)))</f>
        <v>#N/A</v>
      </c>
      <c r="AE136" s="185" t="e">
        <f aca="false">SQRT((AD136^2*(A136-$D$3)+AC136^2*(DAY(EOMONTH(A136,0))/2))/AK136)</f>
        <v>#N/A</v>
      </c>
      <c r="AF136" s="224" t="e">
        <f aca="false">((Summary!$N$13*(AA136*AD136)*(A136-$D$3))+(Summary!$M$13*Z136*AC136*(AJ136-EOMONTH(EDATE(A136,-1),0))))/(AK136*AB136*AE136)</f>
        <v>#N/A</v>
      </c>
      <c r="AG136" s="207" t="n">
        <f aca="false">IF($A137="","",Summary!$Q$13)</f>
        <v>0</v>
      </c>
      <c r="AH136" s="207" t="n">
        <f aca="false">IF($A137="","",IF(Summary!$R$12="Y",(VLOOKUP($A136,Summary!$AD$6:$AF$9,3)+'Escalating commodity'!I149),'Escalating commodity'!I149))</f>
        <v>0.0546635834270183</v>
      </c>
      <c r="AI136" s="207" t="n">
        <f aca="false">IF($A137="","",AH136)</f>
        <v>0.0546635834270183</v>
      </c>
      <c r="AJ136" s="208" t="n">
        <f aca="false">A136+DAY(EOMONTH(A136,0))/2-1</f>
        <v>40892.5</v>
      </c>
      <c r="AK136" s="209" t="n">
        <f aca="false">IF($A137="","",$A136-$E$1)</f>
        <v>-5048</v>
      </c>
      <c r="AL136" s="182" t="e">
        <f aca="false">IF($A137="","",SPRDOPT(P136,X136,AI136,0,AB136,AE136,AF136,AK136,$AJ$2,0))</f>
        <v>#NAME?</v>
      </c>
      <c r="AM136" s="210" t="e">
        <f aca="false">IF($A137="","",MAX(0,O136-W136-AI136))</f>
        <v>#N/A</v>
      </c>
      <c r="AN136" s="211" t="e">
        <f aca="false">IF($A137="","",AL136-AM136)</f>
        <v>#N/A</v>
      </c>
      <c r="AO136" s="137" t="n">
        <f aca="false">IF(A137="","",A137-A136)</f>
        <v>31</v>
      </c>
      <c r="AP136" s="212" t="n">
        <f aca="false">IF(A137="","",CHOOSE(F$3,A137+24,A136))</f>
        <v>40878</v>
      </c>
      <c r="AQ136" s="209" t="n">
        <f aca="false">IF(A137="","",AP136-$E$1)</f>
        <v>-5048</v>
      </c>
      <c r="AR136" s="185" t="n">
        <f aca="false">'ANR OK vs ML7'!AR136</f>
        <v>0.1</v>
      </c>
      <c r="AS136" s="213" t="n">
        <f aca="false">IF(A137="","",1/(1+CHOOSE(F$3,(AR137+($I$3/10000))/2,(AR136+($I$3/10000))/2))^(2*AQ136/365.25))</f>
        <v>3.85212749560598</v>
      </c>
      <c r="AT136" s="137" t="n">
        <f aca="false">IF(A137="","",IF(AND(mthbeg&lt;=A136,mthend&gt;=A136),1,0))</f>
        <v>1</v>
      </c>
      <c r="AU136" s="137" t="n">
        <f aca="false">IF(A137="","",AO136*AT136)</f>
        <v>31</v>
      </c>
      <c r="AW136" s="195" t="e">
        <f aca="false">IF($A137="","",AL136*$E136)</f>
        <v>#NAME?</v>
      </c>
      <c r="AX136" s="195" t="e">
        <f aca="false">IF($A137="","",AM136*$E136)</f>
        <v>#N/A</v>
      </c>
      <c r="AY136" s="195" t="e">
        <f aca="false">IF($A137="","",AN136*$E136)</f>
        <v>#N/A</v>
      </c>
      <c r="BA136" s="195" t="n">
        <f aca="false">IF($A137="","",F136*Summary!$Q$13)</f>
        <v>0</v>
      </c>
      <c r="BC136" s="179" t="e">
        <f aca="false">IF(A137="","",AM136*F136)</f>
        <v>#N/A</v>
      </c>
    </row>
    <row r="137" customFormat="false" ht="12.75" hidden="false" customHeight="false" outlineLevel="0" collapsed="false">
      <c r="A137" s="196" t="n">
        <f aca="false">IF(A136&lt;mthend,EDATE(A136,1),"")</f>
        <v>40909</v>
      </c>
      <c r="B137" s="197" t="n">
        <f aca="false">IF(A137&lt;mthend,B136,"")</f>
        <v>28400</v>
      </c>
      <c r="C137" s="215"/>
      <c r="D137" s="197" t="n">
        <f aca="false">IF(A138&lt;&gt;"",B137+C137,"")</f>
        <v>28400</v>
      </c>
      <c r="E137" s="199" t="n">
        <f aca="false">IF(A138="","",IF(AND(AT137=1,$H$3=1),D137*AO137,IF($H$3=2,D137,"N/A")))</f>
        <v>880400</v>
      </c>
      <c r="F137" s="199" t="n">
        <f aca="false">IF(A138="","",E137*AS137)</f>
        <v>3363441.44998396</v>
      </c>
      <c r="G137" s="200" t="e">
        <f aca="false">IF($A138="","",VLOOKUP($A137,Table,MATCH(G$4,Curves,0)))</f>
        <v>#N/A</v>
      </c>
      <c r="H137" s="201" t="e">
        <f aca="false">IF(A138="","",G137)</f>
        <v>#N/A</v>
      </c>
      <c r="I137" s="202"/>
      <c r="J137" s="200" t="e">
        <f aca="false">IF($A138="","",VLOOKUP($A137,Table,MATCH(J$4,Curves,0)))</f>
        <v>#N/A</v>
      </c>
      <c r="K137" s="201" t="e">
        <f aca="false">IF(A138="","",J137)</f>
        <v>#N/A</v>
      </c>
      <c r="L137" s="185" t="n">
        <v>0</v>
      </c>
      <c r="M137" s="201" t="n">
        <f aca="false">IF(A138="","",L137)</f>
        <v>0</v>
      </c>
      <c r="N137" s="203"/>
      <c r="O137" s="200" t="e">
        <f aca="false">IF(A138="","",L137+J137+G137)</f>
        <v>#N/A</v>
      </c>
      <c r="P137" s="200" t="e">
        <f aca="false">IF(A138="","",M137+K137+H137)</f>
        <v>#N/A</v>
      </c>
      <c r="Q137" s="204"/>
      <c r="R137" s="200" t="e">
        <f aca="false">IF($A138="","",VLOOKUP($A137,Table,MATCH(R$4,Curves,0)))</f>
        <v>#N/A</v>
      </c>
      <c r="S137" s="201" t="e">
        <f aca="false">IF(A138="","",R137)</f>
        <v>#N/A</v>
      </c>
      <c r="T137" s="185" t="n">
        <v>0</v>
      </c>
      <c r="U137" s="201" t="n">
        <f aca="false">IF(A138="","",T137)</f>
        <v>0</v>
      </c>
      <c r="V137" s="205" t="e">
        <f aca="false">(G137+R137)/(1-Summary!$T$13)*Summary!$T$13</f>
        <v>#N/A</v>
      </c>
      <c r="W137" s="202" t="e">
        <f aca="false">IF($A138="","",(T137+R137+G137+V137))</f>
        <v>#N/A</v>
      </c>
      <c r="X137" s="202" t="e">
        <f aca="false">IF($A138="","",(U137+S137+H137+V137))</f>
        <v>#N/A</v>
      </c>
      <c r="Y137" s="202"/>
      <c r="Z137" s="185" t="e">
        <f aca="false">IF($A138="","",VLOOKUP($A137,Table,MATCH(Z$4,Curves,0)))</f>
        <v>#N/A</v>
      </c>
      <c r="AA137" s="185" t="e">
        <f aca="false">IF($A138="","",VLOOKUP($A137,Table,MATCH(AA$4,Curves,0)))</f>
        <v>#N/A</v>
      </c>
      <c r="AB137" s="185" t="e">
        <f aca="false">SQRT((AA137^2*(A137-$D$3)+Z137^2*(DAY(EOMONTH(A137,0))/2))/AK137)</f>
        <v>#N/A</v>
      </c>
      <c r="AC137" s="185" t="e">
        <f aca="false">IF($A138="","",VLOOKUP($A137,Table,MATCH(AC$4,Curves,0)))</f>
        <v>#N/A</v>
      </c>
      <c r="AD137" s="185" t="e">
        <f aca="false">IF($A138="","",VLOOKUP($A137,Table,MATCH(AD$4,Curves,0)))</f>
        <v>#N/A</v>
      </c>
      <c r="AE137" s="185" t="e">
        <f aca="false">SQRT((AD137^2*(A137-$D$3)+AC137^2*(DAY(EOMONTH(A137,0))/2))/AK137)</f>
        <v>#N/A</v>
      </c>
      <c r="AF137" s="224" t="e">
        <f aca="false">((Summary!$N$13*(AA137*AD137)*(A137-$D$3))+(Summary!$M$13*Z137*AC137*(AJ137-EOMONTH(EDATE(A137,-1),0))))/(AK137*AB137*AE137)</f>
        <v>#N/A</v>
      </c>
      <c r="AG137" s="207" t="n">
        <f aca="false">IF($A138="","",Summary!$Q$13)</f>
        <v>0</v>
      </c>
      <c r="AH137" s="207" t="n">
        <f aca="false">IF($A138="","",IF(Summary!$R$12="Y",(VLOOKUP($A137,Summary!$AD$6:$AF$9,3)+'Escalating commodity'!I150),'Escalating commodity'!I150))</f>
        <v>0.0557568550955587</v>
      </c>
      <c r="AI137" s="207" t="n">
        <f aca="false">IF($A138="","",AH137)</f>
        <v>0.0557568550955587</v>
      </c>
      <c r="AJ137" s="208" t="n">
        <f aca="false">A137+DAY(EOMONTH(A137,0))/2-1</f>
        <v>40923.5</v>
      </c>
      <c r="AK137" s="209" t="n">
        <f aca="false">IF($A138="","",$A137-$E$1)</f>
        <v>-5017</v>
      </c>
      <c r="AL137" s="182" t="e">
        <f aca="false">IF($A138="","",SPRDOPT(P137,X137,AI137,0,AB137,AE137,AF137,AK137,$AJ$2,0))</f>
        <v>#NAME?</v>
      </c>
      <c r="AM137" s="210" t="e">
        <f aca="false">IF($A138="","",MAX(0,O137-W137-AI137))</f>
        <v>#N/A</v>
      </c>
      <c r="AN137" s="211" t="e">
        <f aca="false">IF($A138="","",AL137-AM137)</f>
        <v>#N/A</v>
      </c>
      <c r="AO137" s="137" t="n">
        <f aca="false">IF(A138="","",A138-A137)</f>
        <v>31</v>
      </c>
      <c r="AP137" s="212" t="n">
        <f aca="false">IF(A138="","",CHOOSE(F$3,A138+24,A137))</f>
        <v>40909</v>
      </c>
      <c r="AQ137" s="209" t="n">
        <f aca="false">IF(A138="","",AP137-$E$1)</f>
        <v>-5017</v>
      </c>
      <c r="AR137" s="185" t="n">
        <f aca="false">'ANR OK vs ML7'!AR137</f>
        <v>0.1</v>
      </c>
      <c r="AS137" s="213" t="n">
        <f aca="false">IF(A138="","",1/(1+CHOOSE(F$3,(AR138+($I$3/10000))/2,(AR137+($I$3/10000))/2))^(2*AQ137/365.25))</f>
        <v>3.82035603133117</v>
      </c>
      <c r="AT137" s="137" t="n">
        <f aca="false">IF(A138="","",IF(AND(mthbeg&lt;=A137,mthend&gt;=A137),1,0))</f>
        <v>1</v>
      </c>
      <c r="AU137" s="137" t="n">
        <f aca="false">IF(A138="","",AO137*AT137)</f>
        <v>31</v>
      </c>
      <c r="AW137" s="195" t="e">
        <f aca="false">IF($A138="","",AL137*$E137)</f>
        <v>#NAME?</v>
      </c>
      <c r="AX137" s="195" t="e">
        <f aca="false">IF($A138="","",AM137*$E137)</f>
        <v>#N/A</v>
      </c>
      <c r="AY137" s="195" t="e">
        <f aca="false">IF($A138="","",AN137*$E137)</f>
        <v>#N/A</v>
      </c>
      <c r="BA137" s="195" t="n">
        <f aca="false">IF($A138="","",F137*Summary!$Q$13)</f>
        <v>0</v>
      </c>
      <c r="BC137" s="179" t="e">
        <f aca="false">IF(A138="","",AM137*F137)</f>
        <v>#N/A</v>
      </c>
    </row>
    <row r="138" customFormat="false" ht="12.75" hidden="false" customHeight="false" outlineLevel="0" collapsed="false">
      <c r="A138" s="196" t="n">
        <f aca="false">IF(A137&lt;mthend,EDATE(A137,1),"")</f>
        <v>40940</v>
      </c>
      <c r="B138" s="197" t="n">
        <f aca="false">IF(A138&lt;mthend,B137,"")</f>
        <v>28400</v>
      </c>
      <c r="C138" s="215"/>
      <c r="D138" s="197" t="n">
        <f aca="false">IF(A139&lt;&gt;"",B138+C138,"")</f>
        <v>28400</v>
      </c>
      <c r="E138" s="199" t="n">
        <f aca="false">IF(A139="","",IF(AND(AT138=1,$H$3=1),D138*AO138,IF($H$3=2,D138,"N/A")))</f>
        <v>823600</v>
      </c>
      <c r="F138" s="199" t="n">
        <f aca="false">IF(A139="","",E138*AS138)</f>
        <v>3120494.06866178</v>
      </c>
      <c r="G138" s="200" t="e">
        <f aca="false">IF($A139="","",VLOOKUP($A138,Table,MATCH(G$4,Curves,0)))</f>
        <v>#N/A</v>
      </c>
      <c r="H138" s="201" t="e">
        <f aca="false">IF(A139="","",G138)</f>
        <v>#N/A</v>
      </c>
      <c r="I138" s="202"/>
      <c r="J138" s="200" t="e">
        <f aca="false">IF($A139="","",VLOOKUP($A138,Table,MATCH(J$4,Curves,0)))</f>
        <v>#N/A</v>
      </c>
      <c r="K138" s="201" t="e">
        <f aca="false">IF(A139="","",J138)</f>
        <v>#N/A</v>
      </c>
      <c r="L138" s="185" t="n">
        <v>0</v>
      </c>
      <c r="M138" s="201" t="n">
        <f aca="false">IF(A139="","",L138)</f>
        <v>0</v>
      </c>
      <c r="N138" s="203"/>
      <c r="O138" s="200" t="e">
        <f aca="false">IF(A139="","",L138+J138+G138)</f>
        <v>#N/A</v>
      </c>
      <c r="P138" s="200" t="e">
        <f aca="false">IF(A139="","",M138+K138+H138)</f>
        <v>#N/A</v>
      </c>
      <c r="Q138" s="204"/>
      <c r="R138" s="200" t="e">
        <f aca="false">IF($A139="","",VLOOKUP($A138,Table,MATCH(R$4,Curves,0)))</f>
        <v>#N/A</v>
      </c>
      <c r="S138" s="201" t="e">
        <f aca="false">IF(A139="","",R138)</f>
        <v>#N/A</v>
      </c>
      <c r="T138" s="185" t="n">
        <v>0</v>
      </c>
      <c r="U138" s="201" t="n">
        <f aca="false">IF(A139="","",T138)</f>
        <v>0</v>
      </c>
      <c r="V138" s="205" t="e">
        <f aca="false">(G138+R138)/(1-Summary!$T$13)*Summary!$T$13</f>
        <v>#N/A</v>
      </c>
      <c r="W138" s="202" t="e">
        <f aca="false">IF($A139="","",(T138+R138+G138+V138))</f>
        <v>#N/A</v>
      </c>
      <c r="X138" s="202" t="e">
        <f aca="false">IF($A139="","",(U138+S138+H138+V138))</f>
        <v>#N/A</v>
      </c>
      <c r="Y138" s="202"/>
      <c r="Z138" s="185" t="e">
        <f aca="false">IF($A139="","",VLOOKUP($A138,Table,MATCH(Z$4,Curves,0)))</f>
        <v>#N/A</v>
      </c>
      <c r="AA138" s="185" t="e">
        <f aca="false">IF($A139="","",VLOOKUP($A138,Table,MATCH(AA$4,Curves,0)))</f>
        <v>#N/A</v>
      </c>
      <c r="AB138" s="185" t="e">
        <f aca="false">SQRT((AA138^2*(A138-$D$3)+Z138^2*(DAY(EOMONTH(A138,0))/2))/AK138)</f>
        <v>#N/A</v>
      </c>
      <c r="AC138" s="185" t="e">
        <f aca="false">IF($A139="","",VLOOKUP($A138,Table,MATCH(AC$4,Curves,0)))</f>
        <v>#N/A</v>
      </c>
      <c r="AD138" s="185" t="e">
        <f aca="false">IF($A139="","",VLOOKUP($A138,Table,MATCH(AD$4,Curves,0)))</f>
        <v>#N/A</v>
      </c>
      <c r="AE138" s="185" t="e">
        <f aca="false">SQRT((AD138^2*(A138-$D$3)+AC138^2*(DAY(EOMONTH(A138,0))/2))/AK138)</f>
        <v>#N/A</v>
      </c>
      <c r="AF138" s="224" t="e">
        <f aca="false">((Summary!$N$13*(AA138*AD138)*(A138-$D$3))+(Summary!$M$13*Z138*AC138*(AJ138-EOMONTH(EDATE(A138,-1),0))))/(AK138*AB138*AE138)</f>
        <v>#N/A</v>
      </c>
      <c r="AG138" s="207" t="n">
        <f aca="false">IF($A139="","",Summary!$Q$13)</f>
        <v>0</v>
      </c>
      <c r="AH138" s="207" t="n">
        <f aca="false">IF($A139="","",IF(Summary!$R$12="Y",(VLOOKUP($A138,Summary!$AD$6:$AF$9,3)+'Escalating commodity'!I151),'Escalating commodity'!I151))</f>
        <v>0.0557568550955587</v>
      </c>
      <c r="AI138" s="207" t="n">
        <f aca="false">IF($A139="","",AH138)</f>
        <v>0.0557568550955587</v>
      </c>
      <c r="AJ138" s="208" t="n">
        <f aca="false">A138+DAY(EOMONTH(A138,0))/2-1</f>
        <v>40953.5</v>
      </c>
      <c r="AK138" s="209" t="n">
        <f aca="false">IF($A139="","",$A138-$E$1)</f>
        <v>-4986</v>
      </c>
      <c r="AL138" s="182" t="e">
        <f aca="false">IF($A139="","",SPRDOPT(P138,X138,AI138,0,AB138,AE138,AF138,AK138,$AJ$2,0))</f>
        <v>#NAME?</v>
      </c>
      <c r="AM138" s="210" t="e">
        <f aca="false">IF($A139="","",MAX(0,O138-W138-AI138))</f>
        <v>#N/A</v>
      </c>
      <c r="AN138" s="211" t="e">
        <f aca="false">IF($A139="","",AL138-AM138)</f>
        <v>#N/A</v>
      </c>
      <c r="AO138" s="137" t="n">
        <f aca="false">IF(A139="","",A139-A138)</f>
        <v>29</v>
      </c>
      <c r="AP138" s="212" t="n">
        <f aca="false">IF(A139="","",CHOOSE(F$3,A139+24,A138))</f>
        <v>40940</v>
      </c>
      <c r="AQ138" s="209" t="n">
        <f aca="false">IF(A139="","",AP138-$E$1)</f>
        <v>-4986</v>
      </c>
      <c r="AR138" s="185" t="n">
        <f aca="false">'ANR OK vs ML7'!AR138</f>
        <v>0.1</v>
      </c>
      <c r="AS138" s="213" t="n">
        <f aca="false">IF(A139="","",1/(1+CHOOSE(F$3,(AR139+($I$3/10000))/2,(AR138+($I$3/10000))/2))^(2*AQ138/365.25))</f>
        <v>3.78884661080837</v>
      </c>
      <c r="AT138" s="137" t="n">
        <f aca="false">IF(A139="","",IF(AND(mthbeg&lt;=A138,mthend&gt;=A138),1,0))</f>
        <v>1</v>
      </c>
      <c r="AU138" s="137" t="n">
        <f aca="false">IF(A139="","",AO138*AT138)</f>
        <v>29</v>
      </c>
      <c r="AW138" s="195" t="e">
        <f aca="false">IF($A139="","",AL138*$E138)</f>
        <v>#NAME?</v>
      </c>
      <c r="AX138" s="195" t="e">
        <f aca="false">IF($A139="","",AM138*$E138)</f>
        <v>#N/A</v>
      </c>
      <c r="AY138" s="195" t="e">
        <f aca="false">IF($A139="","",AN138*$E138)</f>
        <v>#N/A</v>
      </c>
      <c r="BA138" s="195" t="n">
        <f aca="false">IF($A139="","",F138*Summary!$Q$13)</f>
        <v>0</v>
      </c>
      <c r="BC138" s="179" t="e">
        <f aca="false">IF(A139="","",AM138*F138)</f>
        <v>#N/A</v>
      </c>
    </row>
    <row r="139" customFormat="false" ht="12.75" hidden="false" customHeight="false" outlineLevel="0" collapsed="false">
      <c r="A139" s="196" t="n">
        <f aca="false">IF(A138&lt;mthend,EDATE(A138,1),"")</f>
        <v>40969</v>
      </c>
      <c r="B139" s="197" t="n">
        <f aca="false">IF(A139&lt;mthend,B138,"")</f>
        <v>28400</v>
      </c>
      <c r="C139" s="215"/>
      <c r="D139" s="197" t="n">
        <f aca="false">IF(A140&lt;&gt;"",B139+C139,"")</f>
        <v>28400</v>
      </c>
      <c r="E139" s="199" t="n">
        <f aca="false">IF(A140="","",IF(AND(AT139=1,$H$3=1),D139*AO139,IF($H$3=2,D139,"N/A")))</f>
        <v>880400</v>
      </c>
      <c r="F139" s="199" t="n">
        <f aca="false">IF(A140="","",E139*AS139)</f>
        <v>3309956.56894988</v>
      </c>
      <c r="G139" s="200" t="e">
        <f aca="false">IF($A140="","",VLOOKUP($A139,Table,MATCH(G$4,Curves,0)))</f>
        <v>#N/A</v>
      </c>
      <c r="H139" s="201" t="e">
        <f aca="false">IF(A140="","",G139)</f>
        <v>#N/A</v>
      </c>
      <c r="I139" s="202"/>
      <c r="J139" s="200" t="e">
        <f aca="false">IF($A140="","",VLOOKUP($A139,Table,MATCH(J$4,Curves,0)))</f>
        <v>#N/A</v>
      </c>
      <c r="K139" s="201" t="e">
        <f aca="false">IF(A140="","",J139)</f>
        <v>#N/A</v>
      </c>
      <c r="L139" s="185" t="n">
        <v>0</v>
      </c>
      <c r="M139" s="201" t="n">
        <f aca="false">IF(A140="","",L139)</f>
        <v>0</v>
      </c>
      <c r="N139" s="203"/>
      <c r="O139" s="200" t="e">
        <f aca="false">IF(A140="","",L139+J139+G139)</f>
        <v>#N/A</v>
      </c>
      <c r="P139" s="200" t="e">
        <f aca="false">IF(A140="","",M139+K139+H139)</f>
        <v>#N/A</v>
      </c>
      <c r="Q139" s="204"/>
      <c r="R139" s="200" t="e">
        <f aca="false">IF($A140="","",VLOOKUP($A139,Table,MATCH(R$4,Curves,0)))</f>
        <v>#N/A</v>
      </c>
      <c r="S139" s="201" t="e">
        <f aca="false">IF(A140="","",R139)</f>
        <v>#N/A</v>
      </c>
      <c r="T139" s="185" t="n">
        <v>0</v>
      </c>
      <c r="U139" s="201" t="n">
        <f aca="false">IF(A140="","",T139)</f>
        <v>0</v>
      </c>
      <c r="V139" s="205" t="e">
        <f aca="false">(G139+R139)/(1-Summary!$T$13)*Summary!$T$13</f>
        <v>#N/A</v>
      </c>
      <c r="W139" s="202" t="e">
        <f aca="false">IF($A140="","",(T139+R139+G139+V139))</f>
        <v>#N/A</v>
      </c>
      <c r="X139" s="202" t="e">
        <f aca="false">IF($A140="","",(U139+S139+H139+V139))</f>
        <v>#N/A</v>
      </c>
      <c r="Y139" s="202"/>
      <c r="Z139" s="185" t="e">
        <f aca="false">IF($A140="","",VLOOKUP($A139,Table,MATCH(Z$4,Curves,0)))</f>
        <v>#N/A</v>
      </c>
      <c r="AA139" s="185" t="e">
        <f aca="false">IF($A140="","",VLOOKUP($A139,Table,MATCH(AA$4,Curves,0)))</f>
        <v>#N/A</v>
      </c>
      <c r="AB139" s="185" t="e">
        <f aca="false">SQRT((AA139^2*(A139-$D$3)+Z139^2*(DAY(EOMONTH(A139,0))/2))/AK139)</f>
        <v>#N/A</v>
      </c>
      <c r="AC139" s="185" t="e">
        <f aca="false">IF($A140="","",VLOOKUP($A139,Table,MATCH(AC$4,Curves,0)))</f>
        <v>#N/A</v>
      </c>
      <c r="AD139" s="185" t="e">
        <f aca="false">IF($A140="","",VLOOKUP($A139,Table,MATCH(AD$4,Curves,0)))</f>
        <v>#N/A</v>
      </c>
      <c r="AE139" s="185" t="e">
        <f aca="false">SQRT((AD139^2*(A139-$D$3)+AC139^2*(DAY(EOMONTH(A139,0))/2))/AK139)</f>
        <v>#N/A</v>
      </c>
      <c r="AF139" s="224" t="e">
        <f aca="false">((Summary!$N$13*(AA139*AD139)*(A139-$D$3))+(Summary!$M$13*Z139*AC139*(AJ139-EOMONTH(EDATE(A139,-1),0))))/(AK139*AB139*AE139)</f>
        <v>#N/A</v>
      </c>
      <c r="AG139" s="207" t="n">
        <f aca="false">IF($A140="","",Summary!$Q$13)</f>
        <v>0</v>
      </c>
      <c r="AH139" s="207" t="n">
        <f aca="false">IF($A140="","",IF(Summary!$R$12="Y",(VLOOKUP($A139,Summary!$AD$6:$AF$9,3)+'Escalating commodity'!I152),'Escalating commodity'!I152))</f>
        <v>0.0557568550955587</v>
      </c>
      <c r="AI139" s="207" t="n">
        <f aca="false">IF($A140="","",AH139)</f>
        <v>0.0557568550955587</v>
      </c>
      <c r="AJ139" s="208" t="n">
        <f aca="false">A139+DAY(EOMONTH(A139,0))/2-1</f>
        <v>40983.5</v>
      </c>
      <c r="AK139" s="209" t="n">
        <f aca="false">IF($A140="","",$A139-$E$1)</f>
        <v>-4957</v>
      </c>
      <c r="AL139" s="182" t="e">
        <f aca="false">IF($A140="","",SPRDOPT(P139,X139,AI139,0,AB139,AE139,AF139,AK139,$AJ$2,0))</f>
        <v>#NAME?</v>
      </c>
      <c r="AM139" s="210" t="e">
        <f aca="false">IF($A140="","",MAX(0,O139-W139-AI139))</f>
        <v>#N/A</v>
      </c>
      <c r="AN139" s="211" t="e">
        <f aca="false">IF($A140="","",AL139-AM139)</f>
        <v>#N/A</v>
      </c>
      <c r="AO139" s="137" t="n">
        <f aca="false">IF(A140="","",A140-A139)</f>
        <v>31</v>
      </c>
      <c r="AP139" s="212" t="n">
        <f aca="false">IF(A140="","",CHOOSE(F$3,A140+24,A139))</f>
        <v>40969</v>
      </c>
      <c r="AQ139" s="209" t="n">
        <f aca="false">IF(A140="","",AP139-$E$1)</f>
        <v>-4957</v>
      </c>
      <c r="AR139" s="185" t="n">
        <f aca="false">'ANR OK vs ML7'!AR139</f>
        <v>0.1</v>
      </c>
      <c r="AS139" s="213" t="n">
        <f aca="false">IF(A140="","",1/(1+CHOOSE(F$3,(AR140+($I$3/10000))/2,(AR139+($I$3/10000))/2))^(2*AQ139/365.25))</f>
        <v>3.75960537136515</v>
      </c>
      <c r="AT139" s="137" t="n">
        <f aca="false">IF(A140="","",IF(AND(mthbeg&lt;=A139,mthend&gt;=A139),1,0))</f>
        <v>1</v>
      </c>
      <c r="AU139" s="137" t="n">
        <f aca="false">IF(A140="","",AO139*AT139)</f>
        <v>31</v>
      </c>
      <c r="AW139" s="195" t="e">
        <f aca="false">IF($A140="","",AL139*$E139)</f>
        <v>#NAME?</v>
      </c>
      <c r="AX139" s="195" t="e">
        <f aca="false">IF($A140="","",AM139*$E139)</f>
        <v>#N/A</v>
      </c>
      <c r="AY139" s="195" t="e">
        <f aca="false">IF($A140="","",AN139*$E139)</f>
        <v>#N/A</v>
      </c>
      <c r="BA139" s="195" t="n">
        <f aca="false">IF($A140="","",F139*Summary!$Q$13)</f>
        <v>0</v>
      </c>
      <c r="BC139" s="179" t="e">
        <f aca="false">IF(A140="","",AM139*F139)</f>
        <v>#N/A</v>
      </c>
    </row>
    <row r="140" customFormat="false" ht="12.75" hidden="false" customHeight="false" outlineLevel="0" collapsed="false">
      <c r="A140" s="196" t="n">
        <f aca="false">IF(A139&lt;mthend,EDATE(A139,1),"")</f>
        <v>41000</v>
      </c>
      <c r="B140" s="197" t="n">
        <f aca="false">IF(A140&lt;mthend,B139,"")</f>
        <v>28400</v>
      </c>
      <c r="C140" s="215"/>
      <c r="D140" s="197" t="n">
        <f aca="false">IF(A141&lt;&gt;"",B140+C140,"")</f>
        <v>28400</v>
      </c>
      <c r="E140" s="199" t="n">
        <f aca="false">IF(A141="","",IF(AND(AT140=1,$H$3=1),D140*AO140,IF($H$3=2,D140,"N/A")))</f>
        <v>852000</v>
      </c>
      <c r="F140" s="199" t="n">
        <f aca="false">IF(A141="","",E140*AS140)</f>
        <v>3176764.65111878</v>
      </c>
      <c r="G140" s="200" t="e">
        <f aca="false">IF($A141="","",VLOOKUP($A140,Table,MATCH(G$4,Curves,0)))</f>
        <v>#N/A</v>
      </c>
      <c r="H140" s="201" t="e">
        <f aca="false">IF(A141="","",G140)</f>
        <v>#N/A</v>
      </c>
      <c r="I140" s="202"/>
      <c r="J140" s="200" t="e">
        <f aca="false">IF($A141="","",VLOOKUP($A140,Table,MATCH(J$4,Curves,0)))</f>
        <v>#N/A</v>
      </c>
      <c r="K140" s="201" t="e">
        <f aca="false">IF(A141="","",J140)</f>
        <v>#N/A</v>
      </c>
      <c r="L140" s="185" t="n">
        <v>0</v>
      </c>
      <c r="M140" s="201" t="n">
        <f aca="false">IF(A141="","",L140)</f>
        <v>0</v>
      </c>
      <c r="N140" s="203"/>
      <c r="O140" s="200" t="e">
        <f aca="false">IF(A141="","",L140+J140+G140)</f>
        <v>#N/A</v>
      </c>
      <c r="P140" s="200" t="e">
        <f aca="false">IF(A141="","",M140+K140+H140)</f>
        <v>#N/A</v>
      </c>
      <c r="Q140" s="204"/>
      <c r="R140" s="200" t="e">
        <f aca="false">IF($A141="","",VLOOKUP($A140,Table,MATCH(R$4,Curves,0)))</f>
        <v>#N/A</v>
      </c>
      <c r="S140" s="201" t="e">
        <f aca="false">IF(A141="","",R140)</f>
        <v>#N/A</v>
      </c>
      <c r="T140" s="185" t="n">
        <v>0</v>
      </c>
      <c r="U140" s="201" t="n">
        <f aca="false">IF(A141="","",T140)</f>
        <v>0</v>
      </c>
      <c r="V140" s="205" t="e">
        <f aca="false">(G140+R140)/(1-Summary!$T$13)*Summary!$T$13</f>
        <v>#N/A</v>
      </c>
      <c r="W140" s="202" t="e">
        <f aca="false">IF($A141="","",(T140+R140+G140+V140))</f>
        <v>#N/A</v>
      </c>
      <c r="X140" s="202" t="e">
        <f aca="false">IF($A141="","",(U140+S140+H140+V140))</f>
        <v>#N/A</v>
      </c>
      <c r="Y140" s="202"/>
      <c r="Z140" s="185" t="e">
        <f aca="false">IF($A141="","",VLOOKUP($A140,Table,MATCH(Z$4,Curves,0)))</f>
        <v>#N/A</v>
      </c>
      <c r="AA140" s="185" t="e">
        <f aca="false">IF($A141="","",VLOOKUP($A140,Table,MATCH(AA$4,Curves,0)))</f>
        <v>#N/A</v>
      </c>
      <c r="AB140" s="185" t="e">
        <f aca="false">SQRT((AA140^2*(A140-$D$3)+Z140^2*(DAY(EOMONTH(A140,0))/2))/AK140)</f>
        <v>#N/A</v>
      </c>
      <c r="AC140" s="185" t="e">
        <f aca="false">IF($A141="","",VLOOKUP($A140,Table,MATCH(AC$4,Curves,0)))</f>
        <v>#N/A</v>
      </c>
      <c r="AD140" s="185" t="e">
        <f aca="false">IF($A141="","",VLOOKUP($A140,Table,MATCH(AD$4,Curves,0)))</f>
        <v>#N/A</v>
      </c>
      <c r="AE140" s="185" t="e">
        <f aca="false">SQRT((AD140^2*(A140-$D$3)+AC140^2*(DAY(EOMONTH(A140,0))/2))/AK140)</f>
        <v>#N/A</v>
      </c>
      <c r="AF140" s="224" t="e">
        <f aca="false">((Summary!$N$13*(AA140*AD140)*(A140-$D$3))+(Summary!$M$13*Z140*AC140*(AJ140-EOMONTH(EDATE(A140,-1),0))))/(AK140*AB140*AE140)</f>
        <v>#N/A</v>
      </c>
      <c r="AG140" s="207" t="n">
        <f aca="false">IF($A141="","",Summary!$Q$13)</f>
        <v>0</v>
      </c>
      <c r="AH140" s="207" t="n">
        <f aca="false">IF($A141="","",IF(Summary!$R$12="Y",(VLOOKUP($A140,Summary!$AD$6:$AF$9,3)+'Escalating commodity'!I153),'Escalating commodity'!I153))</f>
        <v>0.0557568550955587</v>
      </c>
      <c r="AI140" s="207" t="n">
        <f aca="false">IF($A141="","",AH140)</f>
        <v>0.0557568550955587</v>
      </c>
      <c r="AJ140" s="208" t="n">
        <f aca="false">A140+DAY(EOMONTH(A140,0))/2-1</f>
        <v>41014</v>
      </c>
      <c r="AK140" s="209" t="n">
        <f aca="false">IF($A141="","",$A140-$E$1)</f>
        <v>-4926</v>
      </c>
      <c r="AL140" s="182" t="e">
        <f aca="false">IF($A141="","",SPRDOPT(P140,X140,AI140,0,AB140,AE140,AF140,AK140,$AJ$2,0))</f>
        <v>#NAME?</v>
      </c>
      <c r="AM140" s="210" t="e">
        <f aca="false">IF($A141="","",MAX(0,O140-W140-AI140))</f>
        <v>#N/A</v>
      </c>
      <c r="AN140" s="211" t="e">
        <f aca="false">IF($A141="","",AL140-AM140)</f>
        <v>#N/A</v>
      </c>
      <c r="AO140" s="137" t="n">
        <f aca="false">IF(A141="","",A141-A140)</f>
        <v>30</v>
      </c>
      <c r="AP140" s="212" t="n">
        <f aca="false">IF(A141="","",CHOOSE(F$3,A141+24,A140))</f>
        <v>41000</v>
      </c>
      <c r="AQ140" s="209" t="n">
        <f aca="false">IF(A141="","",AP140-$E$1)</f>
        <v>-4926</v>
      </c>
      <c r="AR140" s="185" t="n">
        <f aca="false">'ANR OK vs ML7'!AR140</f>
        <v>0.1</v>
      </c>
      <c r="AS140" s="213" t="n">
        <f aca="false">IF(A141="","",1/(1+CHOOSE(F$3,(AR141+($I$3/10000))/2,(AR140+($I$3/10000))/2))^(2*AQ140/365.25))</f>
        <v>3.72859700835537</v>
      </c>
      <c r="AT140" s="137" t="n">
        <f aca="false">IF(A141="","",IF(AND(mthbeg&lt;=A140,mthend&gt;=A140),1,0))</f>
        <v>1</v>
      </c>
      <c r="AU140" s="137" t="n">
        <f aca="false">IF(A141="","",AO140*AT140)</f>
        <v>30</v>
      </c>
      <c r="AW140" s="195" t="e">
        <f aca="false">IF($A141="","",AL140*$E140)</f>
        <v>#NAME?</v>
      </c>
      <c r="AX140" s="195" t="e">
        <f aca="false">IF($A141="","",AM140*$E140)</f>
        <v>#N/A</v>
      </c>
      <c r="AY140" s="195" t="e">
        <f aca="false">IF($A141="","",AN140*$E140)</f>
        <v>#N/A</v>
      </c>
      <c r="BA140" s="195" t="n">
        <f aca="false">IF($A141="","",F140*Summary!$Q$13)</f>
        <v>0</v>
      </c>
      <c r="BC140" s="179" t="e">
        <f aca="false">IF(A141="","",AM140*F140)</f>
        <v>#N/A</v>
      </c>
    </row>
    <row r="141" customFormat="false" ht="12.75" hidden="false" customHeight="false" outlineLevel="0" collapsed="false">
      <c r="A141" s="196" t="n">
        <f aca="false">IF(A140&lt;mthend,EDATE(A140,1),"")</f>
        <v>41030</v>
      </c>
      <c r="B141" s="197" t="n">
        <f aca="false">IF(A141&lt;mthend,B140,"")</f>
        <v>28400</v>
      </c>
      <c r="C141" s="215"/>
      <c r="D141" s="197" t="n">
        <f aca="false">IF(A142&lt;&gt;"",B141+C141,"")</f>
        <v>28400</v>
      </c>
      <c r="E141" s="199" t="n">
        <f aca="false">IF(A142="","",IF(AND(AT141=1,$H$3=1),D141*AO141,IF($H$3=2,D141,"N/A")))</f>
        <v>880400</v>
      </c>
      <c r="F141" s="199" t="n">
        <f aca="false">IF(A142="","",E141*AS141)</f>
        <v>3256452.08431432</v>
      </c>
      <c r="G141" s="200" t="e">
        <f aca="false">IF($A142="","",VLOOKUP($A141,Table,MATCH(G$4,Curves,0)))</f>
        <v>#N/A</v>
      </c>
      <c r="H141" s="201" t="e">
        <f aca="false">IF(A142="","",G141)</f>
        <v>#N/A</v>
      </c>
      <c r="I141" s="202"/>
      <c r="J141" s="200" t="e">
        <f aca="false">IF($A142="","",VLOOKUP($A141,Table,MATCH(J$4,Curves,0)))</f>
        <v>#N/A</v>
      </c>
      <c r="K141" s="201" t="e">
        <f aca="false">IF(A142="","",J141)</f>
        <v>#N/A</v>
      </c>
      <c r="L141" s="185" t="n">
        <v>0</v>
      </c>
      <c r="M141" s="201" t="n">
        <f aca="false">IF(A142="","",L141)</f>
        <v>0</v>
      </c>
      <c r="N141" s="203"/>
      <c r="O141" s="200" t="e">
        <f aca="false">IF(A142="","",L141+J141+G141)</f>
        <v>#N/A</v>
      </c>
      <c r="P141" s="200" t="e">
        <f aca="false">IF(A142="","",M141+K141+H141)</f>
        <v>#N/A</v>
      </c>
      <c r="Q141" s="204"/>
      <c r="R141" s="200" t="e">
        <f aca="false">IF($A142="","",VLOOKUP($A141,Table,MATCH(R$4,Curves,0)))</f>
        <v>#N/A</v>
      </c>
      <c r="S141" s="201" t="e">
        <f aca="false">IF(A142="","",R141)</f>
        <v>#N/A</v>
      </c>
      <c r="T141" s="185" t="n">
        <v>0</v>
      </c>
      <c r="U141" s="201" t="n">
        <f aca="false">IF(A142="","",T141)</f>
        <v>0</v>
      </c>
      <c r="V141" s="205" t="e">
        <f aca="false">(G141+R141)/(1-Summary!$T$13)*Summary!$T$13</f>
        <v>#N/A</v>
      </c>
      <c r="W141" s="202" t="e">
        <f aca="false">IF($A142="","",(T141+R141+G141+V141))</f>
        <v>#N/A</v>
      </c>
      <c r="X141" s="202" t="e">
        <f aca="false">IF($A142="","",(U141+S141+H141+V141))</f>
        <v>#N/A</v>
      </c>
      <c r="Y141" s="202"/>
      <c r="Z141" s="185" t="e">
        <f aca="false">IF($A142="","",VLOOKUP($A141,Table,MATCH(Z$4,Curves,0)))</f>
        <v>#N/A</v>
      </c>
      <c r="AA141" s="185" t="e">
        <f aca="false">IF($A142="","",VLOOKUP($A141,Table,MATCH(AA$4,Curves,0)))</f>
        <v>#N/A</v>
      </c>
      <c r="AB141" s="185" t="e">
        <f aca="false">SQRT((AA141^2*(A141-$D$3)+Z141^2*(DAY(EOMONTH(A141,0))/2))/AK141)</f>
        <v>#N/A</v>
      </c>
      <c r="AC141" s="185" t="e">
        <f aca="false">IF($A142="","",VLOOKUP($A141,Table,MATCH(AC$4,Curves,0)))</f>
        <v>#N/A</v>
      </c>
      <c r="AD141" s="185" t="e">
        <f aca="false">IF($A142="","",VLOOKUP($A141,Table,MATCH(AD$4,Curves,0)))</f>
        <v>#N/A</v>
      </c>
      <c r="AE141" s="185" t="e">
        <f aca="false">SQRT((AD141^2*(A141-$D$3)+AC141^2*(DAY(EOMONTH(A141,0))/2))/AK141)</f>
        <v>#N/A</v>
      </c>
      <c r="AF141" s="224" t="e">
        <f aca="false">((Summary!$N$13*(AA141*AD141)*(A141-$D$3))+(Summary!$M$13*Z141*AC141*(AJ141-EOMONTH(EDATE(A141,-1),0))))/(AK141*AB141*AE141)</f>
        <v>#N/A</v>
      </c>
      <c r="AG141" s="207" t="n">
        <f aca="false">IF($A142="","",Summary!$Q$13)</f>
        <v>0</v>
      </c>
      <c r="AH141" s="207" t="n">
        <f aca="false">IF($A142="","",IF(Summary!$R$12="Y",(VLOOKUP($A141,Summary!$AD$6:$AF$9,3)+'Escalating commodity'!I154),'Escalating commodity'!I154))</f>
        <v>0.0557568550955587</v>
      </c>
      <c r="AI141" s="207" t="n">
        <f aca="false">IF($A142="","",AH141)</f>
        <v>0.0557568550955587</v>
      </c>
      <c r="AJ141" s="208" t="n">
        <f aca="false">A141+DAY(EOMONTH(A141,0))/2-1</f>
        <v>41044.5</v>
      </c>
      <c r="AK141" s="209" t="n">
        <f aca="false">IF($A142="","",$A141-$E$1)</f>
        <v>-4896</v>
      </c>
      <c r="AL141" s="182" t="e">
        <f aca="false">IF($A142="","",SPRDOPT(P141,X141,AI141,0,AB141,AE141,AF141,AK141,$AJ$2,0))</f>
        <v>#NAME?</v>
      </c>
      <c r="AM141" s="210" t="e">
        <f aca="false">IF($A142="","",MAX(0,O141-W141-AI141))</f>
        <v>#N/A</v>
      </c>
      <c r="AN141" s="211" t="e">
        <f aca="false">IF($A142="","",AL141-AM141)</f>
        <v>#N/A</v>
      </c>
      <c r="AO141" s="137" t="n">
        <f aca="false">IF(A142="","",A142-A141)</f>
        <v>31</v>
      </c>
      <c r="AP141" s="212" t="n">
        <f aca="false">IF(A142="","",CHOOSE(F$3,A142+24,A141))</f>
        <v>41030</v>
      </c>
      <c r="AQ141" s="209" t="n">
        <f aca="false">IF(A142="","",AP141-$E$1)</f>
        <v>-4896</v>
      </c>
      <c r="AR141" s="185" t="n">
        <f aca="false">'ANR OK vs ML7'!AR141</f>
        <v>0.1</v>
      </c>
      <c r="AS141" s="213" t="n">
        <f aca="false">IF(A142="","",1/(1+CHOOSE(F$3,(AR142+($I$3/10000))/2,(AR141+($I$3/10000))/2))^(2*AQ141/365.25))</f>
        <v>3.6988324447005</v>
      </c>
      <c r="AT141" s="137" t="n">
        <f aca="false">IF(A142="","",IF(AND(mthbeg&lt;=A141,mthend&gt;=A141),1,0))</f>
        <v>1</v>
      </c>
      <c r="AU141" s="137" t="n">
        <f aca="false">IF(A142="","",AO141*AT141)</f>
        <v>31</v>
      </c>
      <c r="AW141" s="195" t="e">
        <f aca="false">IF($A142="","",AL141*$E141)</f>
        <v>#NAME?</v>
      </c>
      <c r="AX141" s="195" t="e">
        <f aca="false">IF($A142="","",AM141*$E141)</f>
        <v>#N/A</v>
      </c>
      <c r="AY141" s="195" t="e">
        <f aca="false">IF($A142="","",AN141*$E141)</f>
        <v>#N/A</v>
      </c>
      <c r="BA141" s="195" t="n">
        <f aca="false">IF($A142="","",F141*Summary!$Q$13)</f>
        <v>0</v>
      </c>
      <c r="BC141" s="179" t="e">
        <f aca="false">IF(A142="","",AM141*F141)</f>
        <v>#N/A</v>
      </c>
    </row>
    <row r="142" customFormat="false" ht="12.75" hidden="false" customHeight="false" outlineLevel="0" collapsed="false">
      <c r="A142" s="196" t="n">
        <f aca="false">IF(A141&lt;mthend,EDATE(A141,1),"")</f>
        <v>41061</v>
      </c>
      <c r="B142" s="197" t="n">
        <f aca="false">IF(A142&lt;mthend,B141,"")</f>
        <v>28400</v>
      </c>
      <c r="C142" s="215"/>
      <c r="D142" s="197" t="n">
        <f aca="false">IF(A143&lt;&gt;"",B142+C142,"")</f>
        <v>28400</v>
      </c>
      <c r="E142" s="199" t="n">
        <f aca="false">IF(A143="","",IF(AND(AT142=1,$H$3=1),D142*AO142,IF($H$3=2,D142,"N/A")))</f>
        <v>852000</v>
      </c>
      <c r="F142" s="199" t="n">
        <f aca="false">IF(A143="","",E142*AS142)</f>
        <v>3125413.17507192</v>
      </c>
      <c r="G142" s="200" t="e">
        <f aca="false">IF($A143="","",VLOOKUP($A142,Table,MATCH(G$4,Curves,0)))</f>
        <v>#N/A</v>
      </c>
      <c r="H142" s="201" t="e">
        <f aca="false">IF(A143="","",G142)</f>
        <v>#N/A</v>
      </c>
      <c r="I142" s="202"/>
      <c r="J142" s="200" t="e">
        <f aca="false">IF($A143="","",VLOOKUP($A142,Table,MATCH(J$4,Curves,0)))</f>
        <v>#N/A</v>
      </c>
      <c r="K142" s="201" t="e">
        <f aca="false">IF(A143="","",J142)</f>
        <v>#N/A</v>
      </c>
      <c r="L142" s="185" t="n">
        <v>0</v>
      </c>
      <c r="M142" s="201" t="n">
        <f aca="false">IF(A143="","",L142)</f>
        <v>0</v>
      </c>
      <c r="N142" s="203"/>
      <c r="O142" s="200" t="e">
        <f aca="false">IF(A143="","",L142+J142+G142)</f>
        <v>#N/A</v>
      </c>
      <c r="P142" s="200" t="e">
        <f aca="false">IF(A143="","",M142+K142+H142)</f>
        <v>#N/A</v>
      </c>
      <c r="Q142" s="204"/>
      <c r="R142" s="200" t="e">
        <f aca="false">IF($A143="","",VLOOKUP($A142,Table,MATCH(R$4,Curves,0)))</f>
        <v>#N/A</v>
      </c>
      <c r="S142" s="201" t="e">
        <f aca="false">IF(A143="","",R142)</f>
        <v>#N/A</v>
      </c>
      <c r="T142" s="185" t="n">
        <v>0</v>
      </c>
      <c r="U142" s="201" t="n">
        <f aca="false">IF(A143="","",T142)</f>
        <v>0</v>
      </c>
      <c r="V142" s="205" t="e">
        <f aca="false">(G142+R142)/(1-Summary!$T$13)*Summary!$T$13</f>
        <v>#N/A</v>
      </c>
      <c r="W142" s="202" t="e">
        <f aca="false">IF($A143="","",(T142+R142+G142+V142))</f>
        <v>#N/A</v>
      </c>
      <c r="X142" s="202" t="e">
        <f aca="false">IF($A143="","",(U142+S142+H142+V142))</f>
        <v>#N/A</v>
      </c>
      <c r="Y142" s="202"/>
      <c r="Z142" s="185" t="e">
        <f aca="false">IF($A143="","",VLOOKUP($A142,Table,MATCH(Z$4,Curves,0)))</f>
        <v>#N/A</v>
      </c>
      <c r="AA142" s="185" t="e">
        <f aca="false">IF($A143="","",VLOOKUP($A142,Table,MATCH(AA$4,Curves,0)))</f>
        <v>#N/A</v>
      </c>
      <c r="AB142" s="185" t="e">
        <f aca="false">SQRT((AA142^2*(A142-$D$3)+Z142^2*(DAY(EOMONTH(A142,0))/2))/AK142)</f>
        <v>#N/A</v>
      </c>
      <c r="AC142" s="185" t="e">
        <f aca="false">IF($A143="","",VLOOKUP($A142,Table,MATCH(AC$4,Curves,0)))</f>
        <v>#N/A</v>
      </c>
      <c r="AD142" s="185" t="e">
        <f aca="false">IF($A143="","",VLOOKUP($A142,Table,MATCH(AD$4,Curves,0)))</f>
        <v>#N/A</v>
      </c>
      <c r="AE142" s="185" t="e">
        <f aca="false">SQRT((AD142^2*(A142-$D$3)+AC142^2*(DAY(EOMONTH(A142,0))/2))/AK142)</f>
        <v>#N/A</v>
      </c>
      <c r="AF142" s="224" t="e">
        <f aca="false">((Summary!$N$13*(AA142*AD142)*(A142-$D$3))+(Summary!$M$13*Z142*AC142*(AJ142-EOMONTH(EDATE(A142,-1),0))))/(AK142*AB142*AE142)</f>
        <v>#N/A</v>
      </c>
      <c r="AG142" s="207" t="n">
        <f aca="false">IF($A143="","",Summary!$Q$13)</f>
        <v>0</v>
      </c>
      <c r="AH142" s="207" t="n">
        <f aca="false">IF($A143="","",IF(Summary!$R$12="Y",(VLOOKUP($A142,Summary!$AD$6:$AF$9,3)+'Escalating commodity'!I155),'Escalating commodity'!I155))</f>
        <v>0.0557568550955587</v>
      </c>
      <c r="AI142" s="207" t="n">
        <f aca="false">IF($A143="","",AH142)</f>
        <v>0.0557568550955587</v>
      </c>
      <c r="AJ142" s="208" t="n">
        <f aca="false">A142+DAY(EOMONTH(A142,0))/2-1</f>
        <v>41075</v>
      </c>
      <c r="AK142" s="209" t="n">
        <f aca="false">IF($A143="","",$A142-$E$1)</f>
        <v>-4865</v>
      </c>
      <c r="AL142" s="182" t="e">
        <f aca="false">IF($A143="","",SPRDOPT(P142,X142,AI142,0,AB142,AE142,AF142,AK142,$AJ$2,0))</f>
        <v>#NAME?</v>
      </c>
      <c r="AM142" s="210" t="e">
        <f aca="false">IF($A143="","",MAX(0,O142-W142-AI142))</f>
        <v>#N/A</v>
      </c>
      <c r="AN142" s="211" t="e">
        <f aca="false">IF($A143="","",AL142-AM142)</f>
        <v>#N/A</v>
      </c>
      <c r="AO142" s="137" t="n">
        <f aca="false">IF(A143="","",A143-A142)</f>
        <v>30</v>
      </c>
      <c r="AP142" s="212" t="n">
        <f aca="false">IF(A143="","",CHOOSE(F$3,A143+24,A142))</f>
        <v>41061</v>
      </c>
      <c r="AQ142" s="209" t="n">
        <f aca="false">IF(A143="","",AP142-$E$1)</f>
        <v>-4865</v>
      </c>
      <c r="AR142" s="185" t="n">
        <f aca="false">'ANR OK vs ML7'!AR142</f>
        <v>0.1</v>
      </c>
      <c r="AS142" s="213" t="n">
        <f aca="false">IF(A143="","",1/(1+CHOOSE(F$3,(AR143+($I$3/10000))/2,(AR142+($I$3/10000))/2))^(2*AQ142/365.25))</f>
        <v>3.66832532285436</v>
      </c>
      <c r="AT142" s="137" t="n">
        <f aca="false">IF(A143="","",IF(AND(mthbeg&lt;=A142,mthend&gt;=A142),1,0))</f>
        <v>1</v>
      </c>
      <c r="AU142" s="137" t="n">
        <f aca="false">IF(A143="","",AO142*AT142)</f>
        <v>30</v>
      </c>
      <c r="AW142" s="195" t="e">
        <f aca="false">IF($A143="","",AL142*$E142)</f>
        <v>#NAME?</v>
      </c>
      <c r="AX142" s="195" t="e">
        <f aca="false">IF($A143="","",AM142*$E142)</f>
        <v>#N/A</v>
      </c>
      <c r="AY142" s="195" t="e">
        <f aca="false">IF($A143="","",AN142*$E142)</f>
        <v>#N/A</v>
      </c>
      <c r="BA142" s="195" t="n">
        <f aca="false">IF($A143="","",F142*Summary!$Q$13)</f>
        <v>0</v>
      </c>
      <c r="BC142" s="179" t="e">
        <f aca="false">IF(A143="","",AM142*F142)</f>
        <v>#N/A</v>
      </c>
    </row>
    <row r="143" customFormat="false" ht="12.75" hidden="false" customHeight="false" outlineLevel="0" collapsed="false">
      <c r="A143" s="196" t="n">
        <f aca="false">IF(A142&lt;mthend,EDATE(A142,1),"")</f>
        <v>41091</v>
      </c>
      <c r="B143" s="197" t="n">
        <f aca="false">IF(A143&lt;mthend,B142,"")</f>
        <v>28400</v>
      </c>
      <c r="C143" s="215"/>
      <c r="D143" s="197" t="n">
        <f aca="false">IF(A144&lt;&gt;"",B143+C143,"")</f>
        <v>28400</v>
      </c>
      <c r="E143" s="199" t="n">
        <f aca="false">IF(A144="","",IF(AND(AT143=1,$H$3=1),D143*AO143,IF($H$3=2,D143,"N/A")))</f>
        <v>880400</v>
      </c>
      <c r="F143" s="199" t="n">
        <f aca="false">IF(A144="","",E143*AS143)</f>
        <v>3203812.48410141</v>
      </c>
      <c r="G143" s="200" t="e">
        <f aca="false">IF($A144="","",VLOOKUP($A143,Table,MATCH(G$4,Curves,0)))</f>
        <v>#N/A</v>
      </c>
      <c r="H143" s="201" t="e">
        <f aca="false">IF(A144="","",G143)</f>
        <v>#N/A</v>
      </c>
      <c r="I143" s="202"/>
      <c r="J143" s="200" t="e">
        <f aca="false">IF($A144="","",VLOOKUP($A143,Table,MATCH(J$4,Curves,0)))</f>
        <v>#N/A</v>
      </c>
      <c r="K143" s="201" t="e">
        <f aca="false">IF(A144="","",J143)</f>
        <v>#N/A</v>
      </c>
      <c r="L143" s="185" t="n">
        <v>0</v>
      </c>
      <c r="M143" s="201" t="n">
        <f aca="false">IF(A144="","",L143)</f>
        <v>0</v>
      </c>
      <c r="N143" s="203"/>
      <c r="O143" s="200" t="e">
        <f aca="false">IF(A144="","",L143+J143+G143)</f>
        <v>#N/A</v>
      </c>
      <c r="P143" s="200" t="e">
        <f aca="false">IF(A144="","",M143+K143+H143)</f>
        <v>#N/A</v>
      </c>
      <c r="Q143" s="204"/>
      <c r="R143" s="200" t="e">
        <f aca="false">IF($A144="","",VLOOKUP($A143,Table,MATCH(R$4,Curves,0)))</f>
        <v>#N/A</v>
      </c>
      <c r="S143" s="201" t="e">
        <f aca="false">IF(A144="","",R143)</f>
        <v>#N/A</v>
      </c>
      <c r="T143" s="185" t="n">
        <v>0</v>
      </c>
      <c r="U143" s="201" t="n">
        <f aca="false">IF(A144="","",T143)</f>
        <v>0</v>
      </c>
      <c r="V143" s="205" t="e">
        <f aca="false">(G143+R143)/(1-Summary!$T$13)*Summary!$T$13</f>
        <v>#N/A</v>
      </c>
      <c r="W143" s="202" t="e">
        <f aca="false">IF($A144="","",(T143+R143+G143+V143))</f>
        <v>#N/A</v>
      </c>
      <c r="X143" s="202" t="e">
        <f aca="false">IF($A144="","",(U143+S143+H143+V143))</f>
        <v>#N/A</v>
      </c>
      <c r="Y143" s="202"/>
      <c r="Z143" s="185" t="e">
        <f aca="false">IF($A144="","",VLOOKUP($A143,Table,MATCH(Z$4,Curves,0)))</f>
        <v>#N/A</v>
      </c>
      <c r="AA143" s="185" t="e">
        <f aca="false">IF($A144="","",VLOOKUP($A143,Table,MATCH(AA$4,Curves,0)))</f>
        <v>#N/A</v>
      </c>
      <c r="AB143" s="185" t="e">
        <f aca="false">SQRT((AA143^2*(A143-$D$3)+Z143^2*(DAY(EOMONTH(A143,0))/2))/AK143)</f>
        <v>#N/A</v>
      </c>
      <c r="AC143" s="185" t="e">
        <f aca="false">IF($A144="","",VLOOKUP($A143,Table,MATCH(AC$4,Curves,0)))</f>
        <v>#N/A</v>
      </c>
      <c r="AD143" s="185" t="e">
        <f aca="false">IF($A144="","",VLOOKUP($A143,Table,MATCH(AD$4,Curves,0)))</f>
        <v>#N/A</v>
      </c>
      <c r="AE143" s="185" t="e">
        <f aca="false">SQRT((AD143^2*(A143-$D$3)+AC143^2*(DAY(EOMONTH(A143,0))/2))/AK143)</f>
        <v>#N/A</v>
      </c>
      <c r="AF143" s="224" t="e">
        <f aca="false">((Summary!$N$13*(AA143*AD143)*(A143-$D$3))+(Summary!$M$13*Z143*AC143*(AJ143-EOMONTH(EDATE(A143,-1),0))))/(AK143*AB143*AE143)</f>
        <v>#N/A</v>
      </c>
      <c r="AG143" s="207" t="n">
        <f aca="false">IF($A144="","",Summary!$Q$13)</f>
        <v>0</v>
      </c>
      <c r="AH143" s="207" t="n">
        <f aca="false">IF($A144="","",IF(Summary!$R$12="Y",(VLOOKUP($A143,Summary!$AD$6:$AF$9,3)+'Escalating commodity'!I156),'Escalating commodity'!I156))</f>
        <v>0.0557568550955587</v>
      </c>
      <c r="AI143" s="207" t="n">
        <f aca="false">IF($A144="","",AH143)</f>
        <v>0.0557568550955587</v>
      </c>
      <c r="AJ143" s="208" t="n">
        <f aca="false">A143+DAY(EOMONTH(A143,0))/2-1</f>
        <v>41105.5</v>
      </c>
      <c r="AK143" s="209" t="n">
        <f aca="false">IF($A144="","",$A143-$E$1)</f>
        <v>-4835</v>
      </c>
      <c r="AL143" s="182" t="e">
        <f aca="false">IF($A144="","",SPRDOPT(P143,X143,AI143,0,AB143,AE143,AF143,AK143,$AJ$2,0))</f>
        <v>#NAME?</v>
      </c>
      <c r="AM143" s="210" t="e">
        <f aca="false">IF($A144="","",MAX(0,O143-W143-AI143))</f>
        <v>#N/A</v>
      </c>
      <c r="AN143" s="211" t="e">
        <f aca="false">IF($A144="","",AL143-AM143)</f>
        <v>#N/A</v>
      </c>
      <c r="AO143" s="137" t="n">
        <f aca="false">IF(A144="","",A144-A143)</f>
        <v>31</v>
      </c>
      <c r="AP143" s="212" t="n">
        <f aca="false">IF(A144="","",CHOOSE(F$3,A144+24,A143))</f>
        <v>41091</v>
      </c>
      <c r="AQ143" s="209" t="n">
        <f aca="false">IF(A144="","",AP143-$E$1)</f>
        <v>-4835</v>
      </c>
      <c r="AR143" s="185" t="n">
        <f aca="false">'ANR OK vs ML7'!AR143</f>
        <v>0.1</v>
      </c>
      <c r="AS143" s="213" t="n">
        <f aca="false">IF(A144="","",1/(1+CHOOSE(F$3,(AR144+($I$3/10000))/2,(AR143+($I$3/10000))/2))^(2*AQ143/365.25))</f>
        <v>3.63904189470855</v>
      </c>
      <c r="AT143" s="137" t="n">
        <f aca="false">IF(A144="","",IF(AND(mthbeg&lt;=A143,mthend&gt;=A143),1,0))</f>
        <v>1</v>
      </c>
      <c r="AU143" s="137" t="n">
        <f aca="false">IF(A144="","",AO143*AT143)</f>
        <v>31</v>
      </c>
      <c r="AW143" s="195" t="e">
        <f aca="false">IF($A144="","",AL143*$E143)</f>
        <v>#NAME?</v>
      </c>
      <c r="AX143" s="195" t="e">
        <f aca="false">IF($A144="","",AM143*$E143)</f>
        <v>#N/A</v>
      </c>
      <c r="AY143" s="195" t="e">
        <f aca="false">IF($A144="","",AN143*$E143)</f>
        <v>#N/A</v>
      </c>
      <c r="BA143" s="195" t="n">
        <f aca="false">IF($A144="","",F143*Summary!$Q$13)</f>
        <v>0</v>
      </c>
      <c r="BC143" s="179" t="e">
        <f aca="false">IF(A144="","",AM143*F143)</f>
        <v>#N/A</v>
      </c>
    </row>
    <row r="144" customFormat="false" ht="12.75" hidden="false" customHeight="false" outlineLevel="0" collapsed="false">
      <c r="A144" s="196" t="n">
        <f aca="false">IF(A143&lt;mthend,EDATE(A143,1),"")</f>
        <v>41122</v>
      </c>
      <c r="B144" s="197" t="n">
        <f aca="false">IF(A144&lt;mthend,B143,"")</f>
        <v>28400</v>
      </c>
      <c r="C144" s="215"/>
      <c r="D144" s="197" t="n">
        <f aca="false">IF(A145&lt;&gt;"",B144+C144,"")</f>
        <v>28400</v>
      </c>
      <c r="E144" s="199" t="n">
        <f aca="false">IF(A145="","",IF(AND(AT144=1,$H$3=1),D144*AO144,IF($H$3=2,D144,"N/A")))</f>
        <v>880400</v>
      </c>
      <c r="F144" s="199" t="n">
        <f aca="false">IF(A145="","",E144*AS144)</f>
        <v>3177388.17338015</v>
      </c>
      <c r="G144" s="200" t="e">
        <f aca="false">IF($A145="","",VLOOKUP($A144,Table,MATCH(G$4,Curves,0)))</f>
        <v>#N/A</v>
      </c>
      <c r="H144" s="201" t="e">
        <f aca="false">IF(A145="","",G144)</f>
        <v>#N/A</v>
      </c>
      <c r="I144" s="202"/>
      <c r="J144" s="200" t="e">
        <f aca="false">IF($A145="","",VLOOKUP($A144,Table,MATCH(J$4,Curves,0)))</f>
        <v>#N/A</v>
      </c>
      <c r="K144" s="201" t="e">
        <f aca="false">IF(A145="","",J144)</f>
        <v>#N/A</v>
      </c>
      <c r="L144" s="185" t="n">
        <v>0</v>
      </c>
      <c r="M144" s="201" t="n">
        <f aca="false">IF(A145="","",L144)</f>
        <v>0</v>
      </c>
      <c r="N144" s="203"/>
      <c r="O144" s="200" t="e">
        <f aca="false">IF(A145="","",L144+J144+G144)</f>
        <v>#N/A</v>
      </c>
      <c r="P144" s="200" t="e">
        <f aca="false">IF(A145="","",M144+K144+H144)</f>
        <v>#N/A</v>
      </c>
      <c r="Q144" s="204"/>
      <c r="R144" s="200" t="e">
        <f aca="false">IF($A145="","",VLOOKUP($A144,Table,MATCH(R$4,Curves,0)))</f>
        <v>#N/A</v>
      </c>
      <c r="S144" s="201" t="e">
        <f aca="false">IF(A145="","",R144)</f>
        <v>#N/A</v>
      </c>
      <c r="T144" s="185" t="n">
        <v>0</v>
      </c>
      <c r="U144" s="201" t="n">
        <f aca="false">IF(A145="","",T144)</f>
        <v>0</v>
      </c>
      <c r="V144" s="205" t="e">
        <f aca="false">(G144+R144)/(1-Summary!$T$13)*Summary!$T$13</f>
        <v>#N/A</v>
      </c>
      <c r="W144" s="202" t="e">
        <f aca="false">IF($A145="","",(T144+R144+G144+V144))</f>
        <v>#N/A</v>
      </c>
      <c r="X144" s="202" t="e">
        <f aca="false">IF($A145="","",(U144+S144+H144+V144))</f>
        <v>#N/A</v>
      </c>
      <c r="Y144" s="202"/>
      <c r="Z144" s="185" t="e">
        <f aca="false">IF($A145="","",VLOOKUP($A144,Table,MATCH(Z$4,Curves,0)))</f>
        <v>#N/A</v>
      </c>
      <c r="AA144" s="185" t="e">
        <f aca="false">IF($A145="","",VLOOKUP($A144,Table,MATCH(AA$4,Curves,0)))</f>
        <v>#N/A</v>
      </c>
      <c r="AB144" s="185" t="e">
        <f aca="false">SQRT((AA144^2*(A144-$D$3)+Z144^2*(DAY(EOMONTH(A144,0))/2))/AK144)</f>
        <v>#N/A</v>
      </c>
      <c r="AC144" s="185" t="e">
        <f aca="false">IF($A145="","",VLOOKUP($A144,Table,MATCH(AC$4,Curves,0)))</f>
        <v>#N/A</v>
      </c>
      <c r="AD144" s="185" t="e">
        <f aca="false">IF($A145="","",VLOOKUP($A144,Table,MATCH(AD$4,Curves,0)))</f>
        <v>#N/A</v>
      </c>
      <c r="AE144" s="185" t="e">
        <f aca="false">SQRT((AD144^2*(A144-$D$3)+AC144^2*(DAY(EOMONTH(A144,0))/2))/AK144)</f>
        <v>#N/A</v>
      </c>
      <c r="AF144" s="224" t="e">
        <f aca="false">((Summary!$N$13*(AA144*AD144)*(A144-$D$3))+(Summary!$M$13*Z144*AC144*(AJ144-EOMONTH(EDATE(A144,-1),0))))/(AK144*AB144*AE144)</f>
        <v>#N/A</v>
      </c>
      <c r="AG144" s="207" t="n">
        <f aca="false">IF($A145="","",Summary!$Q$13)</f>
        <v>0</v>
      </c>
      <c r="AH144" s="207" t="n">
        <f aca="false">IF($A145="","",IF(Summary!$R$12="Y",(VLOOKUP($A144,Summary!$AD$6:$AF$9,3)+'Escalating commodity'!I157),'Escalating commodity'!I157))</f>
        <v>0.0557568550955587</v>
      </c>
      <c r="AI144" s="207" t="n">
        <f aca="false">IF($A145="","",AH144)</f>
        <v>0.0557568550955587</v>
      </c>
      <c r="AJ144" s="208" t="n">
        <f aca="false">A144+DAY(EOMONTH(A144,0))/2-1</f>
        <v>41136.5</v>
      </c>
      <c r="AK144" s="209" t="n">
        <f aca="false">IF($A145="","",$A144-$E$1)</f>
        <v>-4804</v>
      </c>
      <c r="AL144" s="182" t="e">
        <f aca="false">IF($A145="","",SPRDOPT(P144,X144,AI144,0,AB144,AE144,AF144,AK144,$AJ$2,0))</f>
        <v>#NAME?</v>
      </c>
      <c r="AM144" s="210" t="e">
        <f aca="false">IF($A145="","",MAX(0,O144-W144-AI144))</f>
        <v>#N/A</v>
      </c>
      <c r="AN144" s="211" t="e">
        <f aca="false">IF($A145="","",AL144-AM144)</f>
        <v>#N/A</v>
      </c>
      <c r="AO144" s="137" t="n">
        <f aca="false">IF(A145="","",A145-A144)</f>
        <v>31</v>
      </c>
      <c r="AP144" s="212" t="n">
        <f aca="false">IF(A145="","",CHOOSE(F$3,A145+24,A144))</f>
        <v>41122</v>
      </c>
      <c r="AQ144" s="209" t="n">
        <f aca="false">IF(A145="","",AP144-$E$1)</f>
        <v>-4804</v>
      </c>
      <c r="AR144" s="185" t="n">
        <f aca="false">'ANR OK vs ML7'!AR144</f>
        <v>0.1</v>
      </c>
      <c r="AS144" s="213" t="n">
        <f aca="false">IF(A145="","",1/(1+CHOOSE(F$3,(AR145+($I$3/10000))/2,(AR144+($I$3/10000))/2))^(2*AQ144/365.25))</f>
        <v>3.60902791160853</v>
      </c>
      <c r="AT144" s="137" t="n">
        <f aca="false">IF(A145="","",IF(AND(mthbeg&lt;=A144,mthend&gt;=A144),1,0))</f>
        <v>1</v>
      </c>
      <c r="AU144" s="137" t="n">
        <f aca="false">IF(A145="","",AO144*AT144)</f>
        <v>31</v>
      </c>
      <c r="AW144" s="195" t="e">
        <f aca="false">IF($A145="","",AL144*$E144)</f>
        <v>#NAME?</v>
      </c>
      <c r="AX144" s="195" t="e">
        <f aca="false">IF($A145="","",AM144*$E144)</f>
        <v>#N/A</v>
      </c>
      <c r="AY144" s="195" t="e">
        <f aca="false">IF($A145="","",AN144*$E144)</f>
        <v>#N/A</v>
      </c>
      <c r="BA144" s="195" t="n">
        <f aca="false">IF($A145="","",F144*Summary!$Q$13)</f>
        <v>0</v>
      </c>
      <c r="BC144" s="179" t="e">
        <f aca="false">IF(A145="","",AM144*F144)</f>
        <v>#N/A</v>
      </c>
    </row>
    <row r="145" customFormat="false" ht="12.75" hidden="false" customHeight="false" outlineLevel="0" collapsed="false">
      <c r="A145" s="196" t="n">
        <f aca="false">IF(A144&lt;mthend,EDATE(A144,1),"")</f>
        <v>41153</v>
      </c>
      <c r="B145" s="197" t="n">
        <f aca="false">IF(A145&lt;mthend,B144,"")</f>
        <v>28400</v>
      </c>
      <c r="C145" s="215"/>
      <c r="D145" s="197" t="n">
        <f aca="false">IF(A146&lt;&gt;"",B145+C145,"")</f>
        <v>28400</v>
      </c>
      <c r="E145" s="199" t="n">
        <f aca="false">IF(A146="","",IF(AND(AT145=1,$H$3=1),D145*AO145,IF($H$3=2,D145,"N/A")))</f>
        <v>852000</v>
      </c>
      <c r="F145" s="199" t="n">
        <f aca="false">IF(A146="","",E145*AS145)</f>
        <v>3049530.77836888</v>
      </c>
      <c r="G145" s="200" t="e">
        <f aca="false">IF($A146="","",VLOOKUP($A145,Table,MATCH(G$4,Curves,0)))</f>
        <v>#N/A</v>
      </c>
      <c r="H145" s="201" t="e">
        <f aca="false">IF(A146="","",G145)</f>
        <v>#N/A</v>
      </c>
      <c r="I145" s="202"/>
      <c r="J145" s="200" t="e">
        <f aca="false">IF($A146="","",VLOOKUP($A145,Table,MATCH(J$4,Curves,0)))</f>
        <v>#N/A</v>
      </c>
      <c r="K145" s="201" t="e">
        <f aca="false">IF(A146="","",J145)</f>
        <v>#N/A</v>
      </c>
      <c r="L145" s="185" t="n">
        <v>0</v>
      </c>
      <c r="M145" s="201" t="n">
        <f aca="false">IF(A146="","",L145)</f>
        <v>0</v>
      </c>
      <c r="N145" s="203"/>
      <c r="O145" s="200" t="e">
        <f aca="false">IF(A146="","",L145+J145+G145)</f>
        <v>#N/A</v>
      </c>
      <c r="P145" s="200" t="e">
        <f aca="false">IF(A146="","",M145+K145+H145)</f>
        <v>#N/A</v>
      </c>
      <c r="Q145" s="204"/>
      <c r="R145" s="200" t="e">
        <f aca="false">IF($A146="","",VLOOKUP($A145,Table,MATCH(R$4,Curves,0)))</f>
        <v>#N/A</v>
      </c>
      <c r="S145" s="201" t="e">
        <f aca="false">IF(A146="","",R145)</f>
        <v>#N/A</v>
      </c>
      <c r="T145" s="185" t="n">
        <v>0</v>
      </c>
      <c r="U145" s="201" t="n">
        <f aca="false">IF(A146="","",T145)</f>
        <v>0</v>
      </c>
      <c r="V145" s="205" t="e">
        <f aca="false">(G145+R145)/(1-Summary!$T$13)*Summary!$T$13</f>
        <v>#N/A</v>
      </c>
      <c r="W145" s="202" t="e">
        <f aca="false">IF($A146="","",(T145+R145+G145+V145))</f>
        <v>#N/A</v>
      </c>
      <c r="X145" s="202" t="e">
        <f aca="false">IF($A146="","",(U145+S145+H145+V145))</f>
        <v>#N/A</v>
      </c>
      <c r="Y145" s="202"/>
      <c r="Z145" s="185" t="e">
        <f aca="false">IF($A146="","",VLOOKUP($A145,Table,MATCH(Z$4,Curves,0)))</f>
        <v>#N/A</v>
      </c>
      <c r="AA145" s="185" t="e">
        <f aca="false">IF($A146="","",VLOOKUP($A145,Table,MATCH(AA$4,Curves,0)))</f>
        <v>#N/A</v>
      </c>
      <c r="AB145" s="185" t="e">
        <f aca="false">SQRT((AA145^2*(A145-$D$3)+Z145^2*(DAY(EOMONTH(A145,0))/2))/AK145)</f>
        <v>#N/A</v>
      </c>
      <c r="AC145" s="185" t="e">
        <f aca="false">IF($A146="","",VLOOKUP($A145,Table,MATCH(AC$4,Curves,0)))</f>
        <v>#N/A</v>
      </c>
      <c r="AD145" s="185" t="e">
        <f aca="false">IF($A146="","",VLOOKUP($A145,Table,MATCH(AD$4,Curves,0)))</f>
        <v>#N/A</v>
      </c>
      <c r="AE145" s="185" t="e">
        <f aca="false">SQRT((AD145^2*(A145-$D$3)+AC145^2*(DAY(EOMONTH(A145,0))/2))/AK145)</f>
        <v>#N/A</v>
      </c>
      <c r="AF145" s="224" t="e">
        <f aca="false">((Summary!$N$13*(AA145*AD145)*(A145-$D$3))+(Summary!$M$13*Z145*AC145*(AJ145-EOMONTH(EDATE(A145,-1),0))))/(AK145*AB145*AE145)</f>
        <v>#N/A</v>
      </c>
      <c r="AG145" s="207" t="n">
        <f aca="false">IF($A146="","",Summary!$Q$13)</f>
        <v>0</v>
      </c>
      <c r="AH145" s="207" t="n">
        <f aca="false">IF($A146="","",IF(Summary!$R$12="Y",(VLOOKUP($A145,Summary!$AD$6:$AF$9,3)+'Escalating commodity'!I158),'Escalating commodity'!I158))</f>
        <v>0.0557568550955587</v>
      </c>
      <c r="AI145" s="207" t="n">
        <f aca="false">IF($A146="","",AH145)</f>
        <v>0.0557568550955587</v>
      </c>
      <c r="AJ145" s="208" t="n">
        <f aca="false">A145+DAY(EOMONTH(A145,0))/2-1</f>
        <v>41167</v>
      </c>
      <c r="AK145" s="209" t="n">
        <f aca="false">IF($A146="","",$A145-$E$1)</f>
        <v>-4773</v>
      </c>
      <c r="AL145" s="182" t="e">
        <f aca="false">IF($A146="","",SPRDOPT(P145,X145,AI145,0,AB145,AE145,AF145,AK145,$AJ$2,0))</f>
        <v>#NAME?</v>
      </c>
      <c r="AM145" s="210" t="e">
        <f aca="false">IF($A146="","",MAX(0,O145-W145-AI145))</f>
        <v>#N/A</v>
      </c>
      <c r="AN145" s="211" t="e">
        <f aca="false">IF($A146="","",AL145-AM145)</f>
        <v>#N/A</v>
      </c>
      <c r="AO145" s="137" t="n">
        <f aca="false">IF(A146="","",A146-A145)</f>
        <v>30</v>
      </c>
      <c r="AP145" s="212" t="n">
        <f aca="false">IF(A146="","",CHOOSE(F$3,A146+24,A145))</f>
        <v>41153</v>
      </c>
      <c r="AQ145" s="209" t="n">
        <f aca="false">IF(A146="","",AP145-$E$1)</f>
        <v>-4773</v>
      </c>
      <c r="AR145" s="185" t="n">
        <f aca="false">'ANR OK vs ML7'!AR145</f>
        <v>0.1</v>
      </c>
      <c r="AS145" s="213" t="n">
        <f aca="false">IF(A146="","",1/(1+CHOOSE(F$3,(AR146+($I$3/10000))/2,(AR145+($I$3/10000))/2))^(2*AQ145/365.25))</f>
        <v>3.57926147695878</v>
      </c>
      <c r="AT145" s="137" t="n">
        <f aca="false">IF(A146="","",IF(AND(mthbeg&lt;=A145,mthend&gt;=A145),1,0))</f>
        <v>1</v>
      </c>
      <c r="AU145" s="137" t="n">
        <f aca="false">IF(A146="","",AO145*AT145)</f>
        <v>30</v>
      </c>
      <c r="AW145" s="195" t="e">
        <f aca="false">IF($A146="","",AL145*$E145)</f>
        <v>#NAME?</v>
      </c>
      <c r="AX145" s="195" t="e">
        <f aca="false">IF($A146="","",AM145*$E145)</f>
        <v>#N/A</v>
      </c>
      <c r="AY145" s="195" t="e">
        <f aca="false">IF($A146="","",AN145*$E145)</f>
        <v>#N/A</v>
      </c>
      <c r="BA145" s="195" t="n">
        <f aca="false">IF($A146="","",F145*Summary!$Q$13)</f>
        <v>0</v>
      </c>
      <c r="BC145" s="179" t="e">
        <f aca="false">IF(A146="","",AM145*F145)</f>
        <v>#N/A</v>
      </c>
    </row>
    <row r="146" customFormat="false" ht="12.75" hidden="false" customHeight="false" outlineLevel="0" collapsed="false">
      <c r="A146" s="196" t="n">
        <f aca="false">IF(A145&lt;mthend,EDATE(A145,1),"")</f>
        <v>41183</v>
      </c>
      <c r="B146" s="197" t="n">
        <f aca="false">IF(A146&lt;mthend,B145,"")</f>
        <v>28400</v>
      </c>
      <c r="C146" s="215"/>
      <c r="D146" s="197" t="n">
        <f aca="false">IF(A147&lt;&gt;"",B146+C146,"")</f>
        <v>28400</v>
      </c>
      <c r="E146" s="199" t="n">
        <f aca="false">IF(A147="","",IF(AND(AT146=1,$H$3=1),D146*AO146,IF($H$3=2,D146,"N/A")))</f>
        <v>880400</v>
      </c>
      <c r="F146" s="199" t="n">
        <f aca="false">IF(A147="","",E146*AS146)</f>
        <v>3126026.6182774</v>
      </c>
      <c r="G146" s="200" t="e">
        <f aca="false">IF($A147="","",VLOOKUP($A146,Table,MATCH(G$4,Curves,0)))</f>
        <v>#N/A</v>
      </c>
      <c r="H146" s="201" t="e">
        <f aca="false">IF(A147="","",G146)</f>
        <v>#N/A</v>
      </c>
      <c r="I146" s="202"/>
      <c r="J146" s="200" t="e">
        <f aca="false">IF($A147="","",VLOOKUP($A146,Table,MATCH(J$4,Curves,0)))</f>
        <v>#N/A</v>
      </c>
      <c r="K146" s="201" t="e">
        <f aca="false">IF(A147="","",J146)</f>
        <v>#N/A</v>
      </c>
      <c r="L146" s="185" t="n">
        <v>0</v>
      </c>
      <c r="M146" s="201" t="n">
        <f aca="false">IF(A147="","",L146)</f>
        <v>0</v>
      </c>
      <c r="N146" s="203"/>
      <c r="O146" s="200" t="e">
        <f aca="false">IF(A147="","",L146+J146+G146)</f>
        <v>#N/A</v>
      </c>
      <c r="P146" s="200" t="e">
        <f aca="false">IF(A147="","",M146+K146+H146)</f>
        <v>#N/A</v>
      </c>
      <c r="Q146" s="204"/>
      <c r="R146" s="200" t="e">
        <f aca="false">IF($A147="","",VLOOKUP($A146,Table,MATCH(R$4,Curves,0)))</f>
        <v>#N/A</v>
      </c>
      <c r="S146" s="201" t="e">
        <f aca="false">IF(A147="","",R146)</f>
        <v>#N/A</v>
      </c>
      <c r="T146" s="185" t="n">
        <v>0</v>
      </c>
      <c r="U146" s="201" t="n">
        <f aca="false">IF(A147="","",T146)</f>
        <v>0</v>
      </c>
      <c r="V146" s="205" t="e">
        <f aca="false">(G146+R146)/(1-Summary!$T$13)*Summary!$T$13</f>
        <v>#N/A</v>
      </c>
      <c r="W146" s="202" t="e">
        <f aca="false">IF($A147="","",(T146+R146+G146+V146))</f>
        <v>#N/A</v>
      </c>
      <c r="X146" s="202" t="e">
        <f aca="false">IF($A147="","",(U146+S146+H146+V146))</f>
        <v>#N/A</v>
      </c>
      <c r="Y146" s="202"/>
      <c r="Z146" s="185" t="e">
        <f aca="false">IF($A147="","",VLOOKUP($A146,Table,MATCH(Z$4,Curves,0)))</f>
        <v>#N/A</v>
      </c>
      <c r="AA146" s="185" t="e">
        <f aca="false">IF($A147="","",VLOOKUP($A146,Table,MATCH(AA$4,Curves,0)))</f>
        <v>#N/A</v>
      </c>
      <c r="AB146" s="185" t="e">
        <f aca="false">SQRT((AA146^2*(A146-$D$3)+Z146^2*(DAY(EOMONTH(A146,0))/2))/AK146)</f>
        <v>#N/A</v>
      </c>
      <c r="AC146" s="185" t="e">
        <f aca="false">IF($A147="","",VLOOKUP($A146,Table,MATCH(AC$4,Curves,0)))</f>
        <v>#N/A</v>
      </c>
      <c r="AD146" s="185" t="e">
        <f aca="false">IF($A147="","",VLOOKUP($A146,Table,MATCH(AD$4,Curves,0)))</f>
        <v>#N/A</v>
      </c>
      <c r="AE146" s="185" t="e">
        <f aca="false">SQRT((AD146^2*(A146-$D$3)+AC146^2*(DAY(EOMONTH(A146,0))/2))/AK146)</f>
        <v>#N/A</v>
      </c>
      <c r="AF146" s="224" t="e">
        <f aca="false">((Summary!$N$13*(AA146*AD146)*(A146-$D$3))+(Summary!$M$13*Z146*AC146*(AJ146-EOMONTH(EDATE(A146,-1),0))))/(AK146*AB146*AE146)</f>
        <v>#N/A</v>
      </c>
      <c r="AG146" s="207" t="n">
        <f aca="false">IF($A147="","",Summary!$Q$13)</f>
        <v>0</v>
      </c>
      <c r="AH146" s="207" t="n">
        <f aca="false">IF($A147="","",IF(Summary!$R$12="Y",(VLOOKUP($A146,Summary!$AD$6:$AF$9,3)+'Escalating commodity'!I159),'Escalating commodity'!I159))</f>
        <v>0.0557568550955587</v>
      </c>
      <c r="AI146" s="207" t="n">
        <f aca="false">IF($A147="","",AH146)</f>
        <v>0.0557568550955587</v>
      </c>
      <c r="AJ146" s="208" t="n">
        <f aca="false">A146+DAY(EOMONTH(A146,0))/2-1</f>
        <v>41197.5</v>
      </c>
      <c r="AK146" s="209" t="n">
        <f aca="false">IF($A147="","",$A146-$E$1)</f>
        <v>-4743</v>
      </c>
      <c r="AL146" s="182" t="e">
        <f aca="false">IF($A147="","",SPRDOPT(P146,X146,AI146,0,AB146,AE146,AF146,AK146,$AJ$2,0))</f>
        <v>#NAME?</v>
      </c>
      <c r="AM146" s="210" t="e">
        <f aca="false">IF($A147="","",MAX(0,O146-W146-AI146))</f>
        <v>#N/A</v>
      </c>
      <c r="AN146" s="211" t="e">
        <f aca="false">IF($A147="","",AL146-AM146)</f>
        <v>#N/A</v>
      </c>
      <c r="AO146" s="137" t="n">
        <f aca="false">IF(A147="","",A147-A146)</f>
        <v>31</v>
      </c>
      <c r="AP146" s="212" t="n">
        <f aca="false">IF(A147="","",CHOOSE(F$3,A147+24,A146))</f>
        <v>41183</v>
      </c>
      <c r="AQ146" s="209" t="n">
        <f aca="false">IF(A147="","",AP146-$E$1)</f>
        <v>-4743</v>
      </c>
      <c r="AR146" s="185" t="n">
        <f aca="false">'ANR OK vs ML7'!AR146</f>
        <v>0.1</v>
      </c>
      <c r="AS146" s="213" t="n">
        <f aca="false">IF(A147="","",1/(1+CHOOSE(F$3,(AR147+($I$3/10000))/2,(AR146+($I$3/10000))/2))^(2*AQ146/365.25))</f>
        <v>3.55068902575806</v>
      </c>
      <c r="AT146" s="137" t="n">
        <f aca="false">IF(A147="","",IF(AND(mthbeg&lt;=A146,mthend&gt;=A146),1,0))</f>
        <v>1</v>
      </c>
      <c r="AU146" s="137" t="n">
        <f aca="false">IF(A147="","",AO146*AT146)</f>
        <v>31</v>
      </c>
      <c r="AW146" s="195" t="e">
        <f aca="false">IF($A147="","",AL146*$E146)</f>
        <v>#NAME?</v>
      </c>
      <c r="AX146" s="195" t="e">
        <f aca="false">IF($A147="","",AM146*$E146)</f>
        <v>#N/A</v>
      </c>
      <c r="AY146" s="195" t="e">
        <f aca="false">IF($A147="","",AN146*$E146)</f>
        <v>#N/A</v>
      </c>
      <c r="BA146" s="195" t="n">
        <f aca="false">IF($A147="","",F146*Summary!$Q$13)</f>
        <v>0</v>
      </c>
      <c r="BC146" s="179" t="e">
        <f aca="false">IF(A147="","",AM146*F146)</f>
        <v>#N/A</v>
      </c>
    </row>
    <row r="147" customFormat="false" ht="12.75" hidden="false" customHeight="false" outlineLevel="0" collapsed="false">
      <c r="A147" s="196" t="n">
        <f aca="false">IF(A146&lt;mthend,EDATE(A146,1),"")</f>
        <v>41214</v>
      </c>
      <c r="B147" s="197" t="n">
        <f aca="false">IF(A147&lt;mthend,B146,"")</f>
        <v>28400</v>
      </c>
      <c r="C147" s="215"/>
      <c r="D147" s="197" t="n">
        <f aca="false">IF(A148&lt;&gt;"",B147+C147,"")</f>
        <v>28400</v>
      </c>
      <c r="E147" s="199" t="n">
        <f aca="false">IF(A148="","",IF(AND(AT147=1,$H$3=1),D147*AO147,IF($H$3=2,D147,"N/A")))</f>
        <v>852000</v>
      </c>
      <c r="F147" s="199" t="n">
        <f aca="false">IF(A148="","",E147*AS147)</f>
        <v>3000236.00084596</v>
      </c>
      <c r="G147" s="200" t="e">
        <f aca="false">IF($A148="","",VLOOKUP($A147,Table,MATCH(G$4,Curves,0)))</f>
        <v>#N/A</v>
      </c>
      <c r="H147" s="201" t="e">
        <f aca="false">IF(A148="","",G147)</f>
        <v>#N/A</v>
      </c>
      <c r="I147" s="202"/>
      <c r="J147" s="200" t="e">
        <f aca="false">IF($A148="","",VLOOKUP($A147,Table,MATCH(J$4,Curves,0)))</f>
        <v>#N/A</v>
      </c>
      <c r="K147" s="201" t="e">
        <f aca="false">IF(A148="","",J147)</f>
        <v>#N/A</v>
      </c>
      <c r="L147" s="185" t="n">
        <v>0</v>
      </c>
      <c r="M147" s="201" t="n">
        <f aca="false">IF(A148="","",L147)</f>
        <v>0</v>
      </c>
      <c r="N147" s="203"/>
      <c r="O147" s="200" t="e">
        <f aca="false">IF(A148="","",L147+J147+G147)</f>
        <v>#N/A</v>
      </c>
      <c r="P147" s="200" t="e">
        <f aca="false">IF(A148="","",M147+K147+H147)</f>
        <v>#N/A</v>
      </c>
      <c r="Q147" s="204"/>
      <c r="R147" s="200" t="e">
        <f aca="false">IF($A148="","",VLOOKUP($A147,Table,MATCH(R$4,Curves,0)))</f>
        <v>#N/A</v>
      </c>
      <c r="S147" s="201" t="e">
        <f aca="false">IF(A148="","",R147)</f>
        <v>#N/A</v>
      </c>
      <c r="T147" s="185" t="n">
        <v>0</v>
      </c>
      <c r="U147" s="201" t="n">
        <f aca="false">IF(A148="","",T147)</f>
        <v>0</v>
      </c>
      <c r="V147" s="205" t="e">
        <f aca="false">(G147+R147)/(1-Summary!$T$13)*Summary!$T$13</f>
        <v>#N/A</v>
      </c>
      <c r="W147" s="202" t="e">
        <f aca="false">IF($A148="","",(T147+R147+G147+V147))</f>
        <v>#N/A</v>
      </c>
      <c r="X147" s="202" t="e">
        <f aca="false">IF($A148="","",(U147+S147+H147+V147))</f>
        <v>#N/A</v>
      </c>
      <c r="Y147" s="202"/>
      <c r="Z147" s="185" t="e">
        <f aca="false">IF($A148="","",VLOOKUP($A147,Table,MATCH(Z$4,Curves,0)))</f>
        <v>#N/A</v>
      </c>
      <c r="AA147" s="185" t="e">
        <f aca="false">IF($A148="","",VLOOKUP($A147,Table,MATCH(AA$4,Curves,0)))</f>
        <v>#N/A</v>
      </c>
      <c r="AB147" s="185" t="e">
        <f aca="false">SQRT((AA147^2*(A147-$D$3)+Z147^2*(DAY(EOMONTH(A147,0))/2))/AK147)</f>
        <v>#N/A</v>
      </c>
      <c r="AC147" s="185" t="e">
        <f aca="false">IF($A148="","",VLOOKUP($A147,Table,MATCH(AC$4,Curves,0)))</f>
        <v>#N/A</v>
      </c>
      <c r="AD147" s="185" t="e">
        <f aca="false">IF($A148="","",VLOOKUP($A147,Table,MATCH(AD$4,Curves,0)))</f>
        <v>#N/A</v>
      </c>
      <c r="AE147" s="185" t="e">
        <f aca="false">SQRT((AD147^2*(A147-$D$3)+AC147^2*(DAY(EOMONTH(A147,0))/2))/AK147)</f>
        <v>#N/A</v>
      </c>
      <c r="AF147" s="224" t="e">
        <f aca="false">((Summary!$N$13*(AA147*AD147)*(A147-$D$3))+(Summary!$M$13*Z147*AC147*(AJ147-EOMONTH(EDATE(A147,-1),0))))/(AK147*AB147*AE147)</f>
        <v>#N/A</v>
      </c>
      <c r="AG147" s="207" t="n">
        <f aca="false">IF($A148="","",Summary!$Q$13)</f>
        <v>0</v>
      </c>
      <c r="AH147" s="207" t="n">
        <f aca="false">IF($A148="","",IF(Summary!$R$12="Y",(VLOOKUP($A147,Summary!$AD$6:$AF$9,3)+'Escalating commodity'!I160),'Escalating commodity'!I160))</f>
        <v>0.0557568550955587</v>
      </c>
      <c r="AI147" s="207" t="n">
        <f aca="false">IF($A148="","",AH147)</f>
        <v>0.0557568550955587</v>
      </c>
      <c r="AJ147" s="208" t="n">
        <f aca="false">A147+DAY(EOMONTH(A147,0))/2-1</f>
        <v>41228</v>
      </c>
      <c r="AK147" s="209" t="n">
        <f aca="false">IF($A148="","",$A147-$E$1)</f>
        <v>-4712</v>
      </c>
      <c r="AL147" s="182" t="e">
        <f aca="false">IF($A148="","",SPRDOPT(P147,X147,AI147,0,AB147,AE147,AF147,AK147,$AJ$2,0))</f>
        <v>#NAME?</v>
      </c>
      <c r="AM147" s="210" t="e">
        <f aca="false">IF($A148="","",MAX(0,O147-W147-AI147))</f>
        <v>#N/A</v>
      </c>
      <c r="AN147" s="211" t="e">
        <f aca="false">IF($A148="","",AL147-AM147)</f>
        <v>#N/A</v>
      </c>
      <c r="AO147" s="137" t="n">
        <f aca="false">IF(A148="","",A148-A147)</f>
        <v>30</v>
      </c>
      <c r="AP147" s="212" t="n">
        <f aca="false">IF(A148="","",CHOOSE(F$3,A148+24,A147))</f>
        <v>41214</v>
      </c>
      <c r="AQ147" s="209" t="n">
        <f aca="false">IF(A148="","",AP147-$E$1)</f>
        <v>-4712</v>
      </c>
      <c r="AR147" s="185" t="n">
        <f aca="false">'ANR OK vs ML7'!AR147</f>
        <v>0.1</v>
      </c>
      <c r="AS147" s="213" t="n">
        <f aca="false">IF(A148="","",1/(1+CHOOSE(F$3,(AR148+($I$3/10000))/2,(AR147+($I$3/10000))/2))^(2*AQ147/365.25))</f>
        <v>3.52140375686146</v>
      </c>
      <c r="AT147" s="137" t="n">
        <f aca="false">IF(A148="","",IF(AND(mthbeg&lt;=A147,mthend&gt;=A147),1,0))</f>
        <v>1</v>
      </c>
      <c r="AU147" s="137" t="n">
        <f aca="false">IF(A148="","",AO147*AT147)</f>
        <v>30</v>
      </c>
      <c r="AW147" s="195" t="e">
        <f aca="false">IF($A148="","",AL147*$E147)</f>
        <v>#NAME?</v>
      </c>
      <c r="AX147" s="195" t="e">
        <f aca="false">IF($A148="","",AM147*$E147)</f>
        <v>#N/A</v>
      </c>
      <c r="AY147" s="195" t="e">
        <f aca="false">IF($A148="","",AN147*$E147)</f>
        <v>#N/A</v>
      </c>
      <c r="BA147" s="195" t="n">
        <f aca="false">IF($A148="","",F147*Summary!$Q$13)</f>
        <v>0</v>
      </c>
      <c r="BC147" s="179" t="e">
        <f aca="false">IF(A148="","",AM147*F147)</f>
        <v>#N/A</v>
      </c>
    </row>
    <row r="148" customFormat="false" ht="12.75" hidden="false" customHeight="false" outlineLevel="0" collapsed="false">
      <c r="A148" s="196" t="n">
        <f aca="false">IF(A147&lt;mthend,EDATE(A147,1),"")</f>
        <v>41244</v>
      </c>
      <c r="B148" s="197" t="n">
        <f aca="false">IF(A148&lt;mthend,B147,"")</f>
        <v>28400</v>
      </c>
      <c r="C148" s="215"/>
      <c r="D148" s="197" t="n">
        <f aca="false">IF(A149&lt;&gt;"",B148+C148,"")</f>
        <v>28400</v>
      </c>
      <c r="E148" s="199" t="n">
        <f aca="false">IF(A149="","",IF(AND(AT148=1,$H$3=1),D148*AO148,IF($H$3=2,D148,"N/A")))</f>
        <v>880400</v>
      </c>
      <c r="F148" s="199" t="n">
        <f aca="false">IF(A149="","",E148*AS148)</f>
        <v>3075495.30776506</v>
      </c>
      <c r="G148" s="200" t="e">
        <f aca="false">IF($A149="","",VLOOKUP($A148,Table,MATCH(G$4,Curves,0)))</f>
        <v>#N/A</v>
      </c>
      <c r="H148" s="201" t="e">
        <f aca="false">IF(A149="","",G148)</f>
        <v>#N/A</v>
      </c>
      <c r="I148" s="202"/>
      <c r="J148" s="200" t="e">
        <f aca="false">IF($A149="","",VLOOKUP($A148,Table,MATCH(J$4,Curves,0)))</f>
        <v>#N/A</v>
      </c>
      <c r="K148" s="201" t="e">
        <f aca="false">IF(A149="","",J148)</f>
        <v>#N/A</v>
      </c>
      <c r="L148" s="185" t="n">
        <v>0</v>
      </c>
      <c r="M148" s="201" t="n">
        <f aca="false">IF(A149="","",L148)</f>
        <v>0</v>
      </c>
      <c r="N148" s="203"/>
      <c r="O148" s="200" t="e">
        <f aca="false">IF(A149="","",L148+J148+G148)</f>
        <v>#N/A</v>
      </c>
      <c r="P148" s="200" t="e">
        <f aca="false">IF(A149="","",M148+K148+H148)</f>
        <v>#N/A</v>
      </c>
      <c r="Q148" s="204"/>
      <c r="R148" s="200" t="e">
        <f aca="false">IF($A149="","",VLOOKUP($A148,Table,MATCH(R$4,Curves,0)))</f>
        <v>#N/A</v>
      </c>
      <c r="S148" s="201" t="e">
        <f aca="false">IF(A149="","",R148)</f>
        <v>#N/A</v>
      </c>
      <c r="T148" s="185" t="n">
        <v>0</v>
      </c>
      <c r="U148" s="201" t="n">
        <f aca="false">IF(A149="","",T148)</f>
        <v>0</v>
      </c>
      <c r="V148" s="205" t="e">
        <f aca="false">(G148+R148)/(1-Summary!$T$13)*Summary!$T$13</f>
        <v>#N/A</v>
      </c>
      <c r="W148" s="202" t="e">
        <f aca="false">IF($A149="","",(T148+R148+G148+V148))</f>
        <v>#N/A</v>
      </c>
      <c r="X148" s="202" t="e">
        <f aca="false">IF($A149="","",(U148+S148+H148+V148))</f>
        <v>#N/A</v>
      </c>
      <c r="Y148" s="202"/>
      <c r="Z148" s="185" t="e">
        <f aca="false">IF($A149="","",VLOOKUP($A148,Table,MATCH(Z$4,Curves,0)))</f>
        <v>#N/A</v>
      </c>
      <c r="AA148" s="185" t="e">
        <f aca="false">IF($A149="","",VLOOKUP($A148,Table,MATCH(AA$4,Curves,0)))</f>
        <v>#N/A</v>
      </c>
      <c r="AB148" s="185" t="e">
        <f aca="false">SQRT((AA148^2*(A148-$D$3)+Z148^2*(DAY(EOMONTH(A148,0))/2))/AK148)</f>
        <v>#N/A</v>
      </c>
      <c r="AC148" s="185" t="e">
        <f aca="false">IF($A149="","",VLOOKUP($A148,Table,MATCH(AC$4,Curves,0)))</f>
        <v>#N/A</v>
      </c>
      <c r="AD148" s="185" t="e">
        <f aca="false">IF($A149="","",VLOOKUP($A148,Table,MATCH(AD$4,Curves,0)))</f>
        <v>#N/A</v>
      </c>
      <c r="AE148" s="185" t="e">
        <f aca="false">SQRT((AD148^2*(A148-$D$3)+AC148^2*(DAY(EOMONTH(A148,0))/2))/AK148)</f>
        <v>#N/A</v>
      </c>
      <c r="AF148" s="224" t="e">
        <f aca="false">((Summary!$N$13*(AA148*AD148)*(A148-$D$3))+(Summary!$M$13*Z148*AC148*(AJ148-EOMONTH(EDATE(A148,-1),0))))/(AK148*AB148*AE148)</f>
        <v>#N/A</v>
      </c>
      <c r="AG148" s="207" t="n">
        <f aca="false">IF($A149="","",Summary!$Q$13)</f>
        <v>0</v>
      </c>
      <c r="AH148" s="207" t="n">
        <f aca="false">IF($A149="","",IF(Summary!$R$12="Y",(VLOOKUP($A148,Summary!$AD$6:$AF$9,3)+'Escalating commodity'!I161),'Escalating commodity'!I161))</f>
        <v>0.0557568550955587</v>
      </c>
      <c r="AI148" s="207" t="n">
        <f aca="false">IF($A149="","",AH148)</f>
        <v>0.0557568550955587</v>
      </c>
      <c r="AJ148" s="208" t="n">
        <f aca="false">A148+DAY(EOMONTH(A148,0))/2-1</f>
        <v>41258.5</v>
      </c>
      <c r="AK148" s="209" t="n">
        <f aca="false">IF($A149="","",$A148-$E$1)</f>
        <v>-4682</v>
      </c>
      <c r="AL148" s="182" t="e">
        <f aca="false">IF($A149="","",SPRDOPT(P148,X148,AI148,0,AB148,AE148,AF148,AK148,$AJ$2,0))</f>
        <v>#NAME?</v>
      </c>
      <c r="AM148" s="210" t="e">
        <f aca="false">IF($A149="","",MAX(0,O148-W148-AI148))</f>
        <v>#N/A</v>
      </c>
      <c r="AN148" s="211" t="e">
        <f aca="false">IF($A149="","",AL148-AM148)</f>
        <v>#N/A</v>
      </c>
      <c r="AO148" s="137" t="n">
        <f aca="false">IF(A149="","",A149-A148)</f>
        <v>31</v>
      </c>
      <c r="AP148" s="212" t="n">
        <f aca="false">IF(A149="","",CHOOSE(F$3,A149+24,A148))</f>
        <v>41244</v>
      </c>
      <c r="AQ148" s="209" t="n">
        <f aca="false">IF(A149="","",AP148-$E$1)</f>
        <v>-4682</v>
      </c>
      <c r="AR148" s="185" t="n">
        <f aca="false">'ANR OK vs ML7'!AR148</f>
        <v>0.1</v>
      </c>
      <c r="AS148" s="213" t="n">
        <f aca="false">IF(A149="","",1/(1+CHOOSE(F$3,(AR149+($I$3/10000))/2,(AR148+($I$3/10000))/2))^(2*AQ148/365.25))</f>
        <v>3.49329317101892</v>
      </c>
      <c r="AT148" s="137" t="n">
        <f aca="false">IF(A149="","",IF(AND(mthbeg&lt;=A148,mthend&gt;=A148),1,0))</f>
        <v>1</v>
      </c>
      <c r="AU148" s="137" t="n">
        <f aca="false">IF(A149="","",AO148*AT148)</f>
        <v>31</v>
      </c>
      <c r="AW148" s="195" t="e">
        <f aca="false">IF($A149="","",AL148*$E148)</f>
        <v>#NAME?</v>
      </c>
      <c r="AX148" s="195" t="e">
        <f aca="false">IF($A149="","",AM148*$E148)</f>
        <v>#N/A</v>
      </c>
      <c r="AY148" s="195" t="e">
        <f aca="false">IF($A149="","",AN148*$E148)</f>
        <v>#N/A</v>
      </c>
      <c r="BA148" s="195" t="n">
        <f aca="false">IF($A149="","",F148*Summary!$Q$13)</f>
        <v>0</v>
      </c>
      <c r="BC148" s="179" t="e">
        <f aca="false">IF(A149="","",AM148*F148)</f>
        <v>#N/A</v>
      </c>
    </row>
    <row r="149" customFormat="false" ht="12.75" hidden="false" customHeight="false" outlineLevel="0" collapsed="false">
      <c r="A149" s="196" t="n">
        <f aca="false">IF(A148&lt;mthend,EDATE(A148,1),"")</f>
        <v>41275</v>
      </c>
      <c r="B149" s="197" t="n">
        <f aca="false">IF(A149&lt;mthend,B148,"")</f>
        <v>28400</v>
      </c>
      <c r="C149" s="215"/>
      <c r="D149" s="197" t="n">
        <f aca="false">IF(A150&lt;&gt;"",B149+C149,"")</f>
        <v>28400</v>
      </c>
      <c r="E149" s="199" t="n">
        <f aca="false">IF(A150="","",IF(AND(AT149=1,$H$3=1),D149*AO149,IF($H$3=2,D149,"N/A")))</f>
        <v>880400</v>
      </c>
      <c r="F149" s="199" t="n">
        <f aca="false">IF(A150="","",E149*AS149)</f>
        <v>3050129.32769055</v>
      </c>
      <c r="G149" s="200" t="e">
        <f aca="false">IF($A150="","",VLOOKUP($A149,Table,MATCH(G$4,Curves,0)))</f>
        <v>#N/A</v>
      </c>
      <c r="H149" s="201" t="e">
        <f aca="false">IF(A150="","",G149)</f>
        <v>#N/A</v>
      </c>
      <c r="I149" s="202"/>
      <c r="J149" s="200" t="e">
        <f aca="false">IF($A150="","",VLOOKUP($A149,Table,MATCH(J$4,Curves,0)))</f>
        <v>#N/A</v>
      </c>
      <c r="K149" s="201" t="e">
        <f aca="false">IF(A150="","",J149)</f>
        <v>#N/A</v>
      </c>
      <c r="L149" s="185" t="n">
        <v>0</v>
      </c>
      <c r="M149" s="201" t="n">
        <f aca="false">IF(A150="","",L149)</f>
        <v>0</v>
      </c>
      <c r="N149" s="203"/>
      <c r="O149" s="200" t="e">
        <f aca="false">IF(A150="","",L149+J149+G149)</f>
        <v>#N/A</v>
      </c>
      <c r="P149" s="200" t="e">
        <f aca="false">IF(A150="","",M149+K149+H149)</f>
        <v>#N/A</v>
      </c>
      <c r="Q149" s="204"/>
      <c r="R149" s="200" t="e">
        <f aca="false">IF($A150="","",VLOOKUP($A149,Table,MATCH(R$4,Curves,0)))</f>
        <v>#N/A</v>
      </c>
      <c r="S149" s="201" t="e">
        <f aca="false">IF(A150="","",R149)</f>
        <v>#N/A</v>
      </c>
      <c r="T149" s="185" t="n">
        <v>0</v>
      </c>
      <c r="U149" s="201" t="n">
        <f aca="false">IF(A150="","",T149)</f>
        <v>0</v>
      </c>
      <c r="V149" s="205" t="e">
        <f aca="false">(G149+R149)/(1-Summary!$T$13)*Summary!$T$13</f>
        <v>#N/A</v>
      </c>
      <c r="W149" s="202" t="e">
        <f aca="false">IF($A150="","",(T149+R149+G149+V149))</f>
        <v>#N/A</v>
      </c>
      <c r="X149" s="202" t="e">
        <f aca="false">IF($A150="","",(U149+S149+H149+V149))</f>
        <v>#N/A</v>
      </c>
      <c r="Y149" s="202"/>
      <c r="Z149" s="185" t="e">
        <f aca="false">IF($A150="","",VLOOKUP($A149,Table,MATCH(Z$4,Curves,0)))</f>
        <v>#N/A</v>
      </c>
      <c r="AA149" s="185" t="e">
        <f aca="false">IF($A150="","",VLOOKUP($A149,Table,MATCH(AA$4,Curves,0)))</f>
        <v>#N/A</v>
      </c>
      <c r="AB149" s="185" t="e">
        <f aca="false">SQRT((AA149^2*(A149-$D$3)+Z149^2*(DAY(EOMONTH(A149,0))/2))/AK149)</f>
        <v>#N/A</v>
      </c>
      <c r="AC149" s="185" t="e">
        <f aca="false">IF($A150="","",VLOOKUP($A149,Table,MATCH(AC$4,Curves,0)))</f>
        <v>#N/A</v>
      </c>
      <c r="AD149" s="185" t="e">
        <f aca="false">IF($A150="","",VLOOKUP($A149,Table,MATCH(AD$4,Curves,0)))</f>
        <v>#N/A</v>
      </c>
      <c r="AE149" s="185" t="e">
        <f aca="false">SQRT((AD149^2*(A149-$D$3)+AC149^2*(DAY(EOMONTH(A149,0))/2))/AK149)</f>
        <v>#N/A</v>
      </c>
      <c r="AF149" s="224" t="e">
        <f aca="false">((Summary!$N$13*(AA149*AD149)*(A149-$D$3))+(Summary!$M$13*Z149*AC149*(AJ149-EOMONTH(EDATE(A149,-1),0))))/(AK149*AB149*AE149)</f>
        <v>#N/A</v>
      </c>
      <c r="AG149" s="207" t="n">
        <f aca="false">IF($A150="","",Summary!$Q$13)</f>
        <v>0</v>
      </c>
      <c r="AH149" s="207" t="n">
        <f aca="false">IF($A150="","",IF(Summary!$R$12="Y",(VLOOKUP($A149,Summary!$AD$6:$AF$9,3)+'Escalating commodity'!I162),'Escalating commodity'!I162))</f>
        <v>0.0568719921974699</v>
      </c>
      <c r="AI149" s="207" t="n">
        <f aca="false">IF($A150="","",AH149)</f>
        <v>0.0568719921974699</v>
      </c>
      <c r="AJ149" s="208" t="n">
        <f aca="false">A149+DAY(EOMONTH(A149,0))/2-1</f>
        <v>41289.5</v>
      </c>
      <c r="AK149" s="209" t="n">
        <f aca="false">IF($A150="","",$A149-$E$1)</f>
        <v>-4651</v>
      </c>
      <c r="AL149" s="182" t="e">
        <f aca="false">IF($A150="","",SPRDOPT(P149,X149,AI149,0,AB149,AE149,AF149,AK149,$AJ$2,0))</f>
        <v>#NAME?</v>
      </c>
      <c r="AM149" s="210" t="e">
        <f aca="false">IF($A150="","",MAX(0,O149-W149-AI149))</f>
        <v>#N/A</v>
      </c>
      <c r="AN149" s="211" t="e">
        <f aca="false">IF($A150="","",AL149-AM149)</f>
        <v>#N/A</v>
      </c>
      <c r="AO149" s="137" t="n">
        <f aca="false">IF(A150="","",A150-A149)</f>
        <v>31</v>
      </c>
      <c r="AP149" s="212" t="n">
        <f aca="false">IF(A150="","",CHOOSE(F$3,A150+24,A149))</f>
        <v>41275</v>
      </c>
      <c r="AQ149" s="209" t="n">
        <f aca="false">IF(A150="","",AP149-$E$1)</f>
        <v>-4651</v>
      </c>
      <c r="AR149" s="185" t="n">
        <f aca="false">'ANR OK vs ML7'!AR149</f>
        <v>0.1</v>
      </c>
      <c r="AS149" s="213" t="n">
        <f aca="false">IF(A150="","",1/(1+CHOOSE(F$3,(AR150+($I$3/10000))/2,(AR149+($I$3/10000))/2))^(2*AQ149/365.25))</f>
        <v>3.4644812899711</v>
      </c>
      <c r="AT149" s="137" t="n">
        <f aca="false">IF(A150="","",IF(AND(mthbeg&lt;=A149,mthend&gt;=A149),1,0))</f>
        <v>1</v>
      </c>
      <c r="AU149" s="137" t="n">
        <f aca="false">IF(A150="","",AO149*AT149)</f>
        <v>31</v>
      </c>
      <c r="AW149" s="195" t="e">
        <f aca="false">IF($A150="","",AL149*$E149)</f>
        <v>#NAME?</v>
      </c>
      <c r="AX149" s="195" t="e">
        <f aca="false">IF($A150="","",AM149*$E149)</f>
        <v>#N/A</v>
      </c>
      <c r="AY149" s="195" t="e">
        <f aca="false">IF($A150="","",AN149*$E149)</f>
        <v>#N/A</v>
      </c>
      <c r="BA149" s="195" t="n">
        <f aca="false">IF($A150="","",F149*Summary!$Q$13)</f>
        <v>0</v>
      </c>
      <c r="BC149" s="179" t="e">
        <f aca="false">IF(A150="","",AM149*F149)</f>
        <v>#N/A</v>
      </c>
    </row>
    <row r="150" customFormat="false" ht="12.75" hidden="false" customHeight="false" outlineLevel="0" collapsed="false">
      <c r="A150" s="196" t="n">
        <f aca="false">IF(A149&lt;mthend,EDATE(A149,1),"")</f>
        <v>41306</v>
      </c>
      <c r="B150" s="197" t="n">
        <f aca="false">IF(A150&lt;mthend,B149,"")</f>
        <v>28400</v>
      </c>
      <c r="C150" s="215"/>
      <c r="D150" s="197" t="n">
        <f aca="false">IF(A151&lt;&gt;"",B150+C150,"")</f>
        <v>28400</v>
      </c>
      <c r="E150" s="199" t="n">
        <f aca="false">IF(A151="","",IF(AND(AT150=1,$H$3=1),D150*AO150,IF($H$3=2,D150,"N/A")))</f>
        <v>795200</v>
      </c>
      <c r="F150" s="199" t="n">
        <f aca="false">IF(A151="","",E150*AS150)</f>
        <v>2732233.28036416</v>
      </c>
      <c r="G150" s="200" t="e">
        <f aca="false">IF($A151="","",VLOOKUP($A150,Table,MATCH(G$4,Curves,0)))</f>
        <v>#N/A</v>
      </c>
      <c r="H150" s="201" t="e">
        <f aca="false">IF(A151="","",G150)</f>
        <v>#N/A</v>
      </c>
      <c r="I150" s="202"/>
      <c r="J150" s="200" t="e">
        <f aca="false">IF($A151="","",VLOOKUP($A150,Table,MATCH(J$4,Curves,0)))</f>
        <v>#N/A</v>
      </c>
      <c r="K150" s="201" t="e">
        <f aca="false">IF(A151="","",J150)</f>
        <v>#N/A</v>
      </c>
      <c r="L150" s="185" t="n">
        <v>0</v>
      </c>
      <c r="M150" s="201" t="n">
        <f aca="false">IF(A151="","",L150)</f>
        <v>0</v>
      </c>
      <c r="N150" s="203"/>
      <c r="O150" s="200" t="e">
        <f aca="false">IF(A151="","",L150+J150+G150)</f>
        <v>#N/A</v>
      </c>
      <c r="P150" s="200" t="e">
        <f aca="false">IF(A151="","",M150+K150+H150)</f>
        <v>#N/A</v>
      </c>
      <c r="Q150" s="204"/>
      <c r="R150" s="200" t="e">
        <f aca="false">IF($A151="","",VLOOKUP($A150,Table,MATCH(R$4,Curves,0)))</f>
        <v>#N/A</v>
      </c>
      <c r="S150" s="201" t="e">
        <f aca="false">IF(A151="","",R150)</f>
        <v>#N/A</v>
      </c>
      <c r="T150" s="185" t="n">
        <v>0</v>
      </c>
      <c r="U150" s="201" t="n">
        <f aca="false">IF(A151="","",T150)</f>
        <v>0</v>
      </c>
      <c r="V150" s="205" t="e">
        <f aca="false">(G150+R150)/(1-Summary!$T$13)*Summary!$T$13</f>
        <v>#N/A</v>
      </c>
      <c r="W150" s="202" t="e">
        <f aca="false">IF($A151="","",(T150+R150+G150+V150))</f>
        <v>#N/A</v>
      </c>
      <c r="X150" s="202" t="e">
        <f aca="false">IF($A151="","",(U150+S150+H150+V150))</f>
        <v>#N/A</v>
      </c>
      <c r="Y150" s="202"/>
      <c r="Z150" s="185" t="e">
        <f aca="false">IF($A151="","",VLOOKUP($A150,Table,MATCH(Z$4,Curves,0)))</f>
        <v>#N/A</v>
      </c>
      <c r="AA150" s="185" t="e">
        <f aca="false">IF($A151="","",VLOOKUP($A150,Table,MATCH(AA$4,Curves,0)))</f>
        <v>#N/A</v>
      </c>
      <c r="AB150" s="185" t="e">
        <f aca="false">SQRT((AA150^2*(A150-$D$3)+Z150^2*(DAY(EOMONTH(A150,0))/2))/AK150)</f>
        <v>#N/A</v>
      </c>
      <c r="AC150" s="185" t="e">
        <f aca="false">IF($A151="","",VLOOKUP($A150,Table,MATCH(AC$4,Curves,0)))</f>
        <v>#N/A</v>
      </c>
      <c r="AD150" s="185" t="e">
        <f aca="false">IF($A151="","",VLOOKUP($A150,Table,MATCH(AD$4,Curves,0)))</f>
        <v>#N/A</v>
      </c>
      <c r="AE150" s="185" t="e">
        <f aca="false">SQRT((AD150^2*(A150-$D$3)+AC150^2*(DAY(EOMONTH(A150,0))/2))/AK150)</f>
        <v>#N/A</v>
      </c>
      <c r="AF150" s="224" t="e">
        <f aca="false">((Summary!$N$13*(AA150*AD150)*(A150-$D$3))+(Summary!$M$13*Z150*AC150*(AJ150-EOMONTH(EDATE(A150,-1),0))))/(AK150*AB150*AE150)</f>
        <v>#N/A</v>
      </c>
      <c r="AG150" s="207" t="n">
        <f aca="false">IF($A151="","",Summary!$Q$13)</f>
        <v>0</v>
      </c>
      <c r="AH150" s="207" t="n">
        <f aca="false">IF($A151="","",IF(Summary!$R$12="Y",(VLOOKUP($A150,Summary!$AD$6:$AF$9,3)+'Escalating commodity'!I163),'Escalating commodity'!I163))</f>
        <v>0.0568719921974699</v>
      </c>
      <c r="AI150" s="207" t="n">
        <f aca="false">IF($A151="","",AH150)</f>
        <v>0.0568719921974699</v>
      </c>
      <c r="AJ150" s="208" t="n">
        <f aca="false">A150+DAY(EOMONTH(A150,0))/2-1</f>
        <v>41319</v>
      </c>
      <c r="AK150" s="209" t="n">
        <f aca="false">IF($A151="","",$A150-$E$1)</f>
        <v>-4620</v>
      </c>
      <c r="AL150" s="182" t="e">
        <f aca="false">IF($A151="","",SPRDOPT(P150,X150,AI150,0,AB150,AE150,AF150,AK150,$AJ$2,0))</f>
        <v>#NAME?</v>
      </c>
      <c r="AM150" s="210" t="e">
        <f aca="false">IF($A151="","",MAX(0,O150-W150-AI150))</f>
        <v>#N/A</v>
      </c>
      <c r="AN150" s="211" t="e">
        <f aca="false">IF($A151="","",AL150-AM150)</f>
        <v>#N/A</v>
      </c>
      <c r="AO150" s="137" t="n">
        <f aca="false">IF(A151="","",A151-A150)</f>
        <v>28</v>
      </c>
      <c r="AP150" s="212" t="n">
        <f aca="false">IF(A151="","",CHOOSE(F$3,A151+24,A150))</f>
        <v>41306</v>
      </c>
      <c r="AQ150" s="209" t="n">
        <f aca="false">IF(A151="","",AP150-$E$1)</f>
        <v>-4620</v>
      </c>
      <c r="AR150" s="185" t="n">
        <f aca="false">'ANR OK vs ML7'!AR150</f>
        <v>0.1</v>
      </c>
      <c r="AS150" s="213" t="n">
        <f aca="false">IF(A151="","",1/(1+CHOOSE(F$3,(AR151+($I$3/10000))/2,(AR150+($I$3/10000))/2))^(2*AQ150/365.25))</f>
        <v>3.43590704271147</v>
      </c>
      <c r="AT150" s="137" t="n">
        <f aca="false">IF(A151="","",IF(AND(mthbeg&lt;=A150,mthend&gt;=A150),1,0))</f>
        <v>1</v>
      </c>
      <c r="AU150" s="137" t="n">
        <f aca="false">IF(A151="","",AO150*AT150)</f>
        <v>28</v>
      </c>
      <c r="AW150" s="195" t="e">
        <f aca="false">IF($A151="","",AL150*$E150)</f>
        <v>#NAME?</v>
      </c>
      <c r="AX150" s="195" t="e">
        <f aca="false">IF($A151="","",AM150*$E150)</f>
        <v>#N/A</v>
      </c>
      <c r="AY150" s="195" t="e">
        <f aca="false">IF($A151="","",AN150*$E150)</f>
        <v>#N/A</v>
      </c>
      <c r="BA150" s="195" t="n">
        <f aca="false">IF($A151="","",F150*Summary!$Q$13)</f>
        <v>0</v>
      </c>
      <c r="BC150" s="179" t="e">
        <f aca="false">IF(A151="","",AM150*F150)</f>
        <v>#N/A</v>
      </c>
    </row>
    <row r="151" customFormat="false" ht="12.75" hidden="false" customHeight="false" outlineLevel="0" collapsed="false">
      <c r="A151" s="196" t="n">
        <f aca="false">IF(A150&lt;mthend,EDATE(A150,1),"")</f>
        <v>41334</v>
      </c>
      <c r="B151" s="197" t="n">
        <f aca="false">IF(A151&lt;mthend,B150,"")</f>
        <v>28400</v>
      </c>
      <c r="C151" s="215"/>
      <c r="D151" s="197" t="n">
        <f aca="false">IF(A152&lt;&gt;"",B151+C151,"")</f>
        <v>28400</v>
      </c>
      <c r="E151" s="199" t="n">
        <f aca="false">IF(A152="","",IF(AND(AT151=1,$H$3=1),D151*AO151,IF($H$3=2,D151,"N/A")))</f>
        <v>880400</v>
      </c>
      <c r="F151" s="199" t="n">
        <f aca="false">IF(A152="","",E151*AS151)</f>
        <v>3002428.70625434</v>
      </c>
      <c r="G151" s="200" t="e">
        <f aca="false">IF($A152="","",VLOOKUP($A151,Table,MATCH(G$4,Curves,0)))</f>
        <v>#N/A</v>
      </c>
      <c r="H151" s="201" t="e">
        <f aca="false">IF(A152="","",G151)</f>
        <v>#N/A</v>
      </c>
      <c r="I151" s="202"/>
      <c r="J151" s="200" t="e">
        <f aca="false">IF($A152="","",VLOOKUP($A151,Table,MATCH(J$4,Curves,0)))</f>
        <v>#N/A</v>
      </c>
      <c r="K151" s="201" t="e">
        <f aca="false">IF(A152="","",J151)</f>
        <v>#N/A</v>
      </c>
      <c r="L151" s="185" t="n">
        <v>0</v>
      </c>
      <c r="M151" s="201" t="n">
        <f aca="false">IF(A152="","",L151)</f>
        <v>0</v>
      </c>
      <c r="N151" s="203"/>
      <c r="O151" s="200" t="e">
        <f aca="false">IF(A152="","",L151+J151+G151)</f>
        <v>#N/A</v>
      </c>
      <c r="P151" s="200" t="e">
        <f aca="false">IF(A152="","",M151+K151+H151)</f>
        <v>#N/A</v>
      </c>
      <c r="Q151" s="204"/>
      <c r="R151" s="200" t="e">
        <f aca="false">IF($A152="","",VLOOKUP($A151,Table,MATCH(R$4,Curves,0)))</f>
        <v>#N/A</v>
      </c>
      <c r="S151" s="201" t="e">
        <f aca="false">IF(A152="","",R151)</f>
        <v>#N/A</v>
      </c>
      <c r="T151" s="185" t="n">
        <v>0</v>
      </c>
      <c r="U151" s="201" t="n">
        <f aca="false">IF(A152="","",T151)</f>
        <v>0</v>
      </c>
      <c r="V151" s="205" t="e">
        <f aca="false">(G151+R151)/(1-Summary!$T$13)*Summary!$T$13</f>
        <v>#N/A</v>
      </c>
      <c r="W151" s="202" t="e">
        <f aca="false">IF($A152="","",(T151+R151+G151+V151))</f>
        <v>#N/A</v>
      </c>
      <c r="X151" s="202" t="e">
        <f aca="false">IF($A152="","",(U151+S151+H151+V151))</f>
        <v>#N/A</v>
      </c>
      <c r="Y151" s="202"/>
      <c r="Z151" s="185" t="e">
        <f aca="false">IF($A152="","",VLOOKUP($A151,Table,MATCH(Z$4,Curves,0)))</f>
        <v>#N/A</v>
      </c>
      <c r="AA151" s="185" t="e">
        <f aca="false">IF($A152="","",VLOOKUP($A151,Table,MATCH(AA$4,Curves,0)))</f>
        <v>#N/A</v>
      </c>
      <c r="AB151" s="185" t="e">
        <f aca="false">SQRT((AA151^2*(A151-$D$3)+Z151^2*(DAY(EOMONTH(A151,0))/2))/AK151)</f>
        <v>#N/A</v>
      </c>
      <c r="AC151" s="185" t="e">
        <f aca="false">IF($A152="","",VLOOKUP($A151,Table,MATCH(AC$4,Curves,0)))</f>
        <v>#N/A</v>
      </c>
      <c r="AD151" s="185" t="e">
        <f aca="false">IF($A152="","",VLOOKUP($A151,Table,MATCH(AD$4,Curves,0)))</f>
        <v>#N/A</v>
      </c>
      <c r="AE151" s="185" t="e">
        <f aca="false">SQRT((AD151^2*(A151-$D$3)+AC151^2*(DAY(EOMONTH(A151,0))/2))/AK151)</f>
        <v>#N/A</v>
      </c>
      <c r="AF151" s="224" t="e">
        <f aca="false">((Summary!$N$13*(AA151*AD151)*(A151-$D$3))+(Summary!$M$13*Z151*AC151*(AJ151-EOMONTH(EDATE(A151,-1),0))))/(AK151*AB151*AE151)</f>
        <v>#N/A</v>
      </c>
      <c r="AG151" s="207" t="n">
        <f aca="false">IF($A152="","",Summary!$Q$13)</f>
        <v>0</v>
      </c>
      <c r="AH151" s="207" t="n">
        <f aca="false">IF($A152="","",IF(Summary!$R$12="Y",(VLOOKUP($A151,Summary!$AD$6:$AF$9,3)+'Escalating commodity'!I164),'Escalating commodity'!I164))</f>
        <v>0.0568719921974699</v>
      </c>
      <c r="AI151" s="207" t="n">
        <f aca="false">IF($A152="","",AH151)</f>
        <v>0.0568719921974699</v>
      </c>
      <c r="AJ151" s="208" t="n">
        <f aca="false">A151+DAY(EOMONTH(A151,0))/2-1</f>
        <v>41348.5</v>
      </c>
      <c r="AK151" s="209" t="n">
        <f aca="false">IF($A152="","",$A151-$E$1)</f>
        <v>-4592</v>
      </c>
      <c r="AL151" s="182" t="e">
        <f aca="false">IF($A152="","",SPRDOPT(P151,X151,AI151,0,AB151,AE151,AF151,AK151,$AJ$2,0))</f>
        <v>#NAME?</v>
      </c>
      <c r="AM151" s="210" t="e">
        <f aca="false">IF($A152="","",MAX(0,O151-W151-AI151))</f>
        <v>#N/A</v>
      </c>
      <c r="AN151" s="211" t="e">
        <f aca="false">IF($A152="","",AL151-AM151)</f>
        <v>#N/A</v>
      </c>
      <c r="AO151" s="137" t="n">
        <f aca="false">IF(A152="","",A152-A151)</f>
        <v>31</v>
      </c>
      <c r="AP151" s="212" t="n">
        <f aca="false">IF(A152="","",CHOOSE(F$3,A152+24,A151))</f>
        <v>41334</v>
      </c>
      <c r="AQ151" s="209" t="n">
        <f aca="false">IF(A152="","",AP151-$E$1)</f>
        <v>-4592</v>
      </c>
      <c r="AR151" s="185" t="n">
        <f aca="false">'ANR OK vs ML7'!AR151</f>
        <v>0.1</v>
      </c>
      <c r="AS151" s="213" t="n">
        <f aca="false">IF(A152="","",1/(1+CHOOSE(F$3,(AR152+($I$3/10000))/2,(AR151+($I$3/10000))/2))^(2*AQ151/365.25))</f>
        <v>3.41030066589544</v>
      </c>
      <c r="AT151" s="137" t="n">
        <f aca="false">IF(A152="","",IF(AND(mthbeg&lt;=A151,mthend&gt;=A151),1,0))</f>
        <v>1</v>
      </c>
      <c r="AU151" s="137" t="n">
        <f aca="false">IF(A152="","",AO151*AT151)</f>
        <v>31</v>
      </c>
      <c r="AW151" s="195" t="e">
        <f aca="false">IF($A152="","",AL151*$E151)</f>
        <v>#NAME?</v>
      </c>
      <c r="AX151" s="195" t="e">
        <f aca="false">IF($A152="","",AM151*$E151)</f>
        <v>#N/A</v>
      </c>
      <c r="AY151" s="195" t="e">
        <f aca="false">IF($A152="","",AN151*$E151)</f>
        <v>#N/A</v>
      </c>
      <c r="BA151" s="195" t="n">
        <f aca="false">IF($A152="","",F151*Summary!$Q$13)</f>
        <v>0</v>
      </c>
      <c r="BC151" s="179" t="e">
        <f aca="false">IF(A152="","",AM151*F151)</f>
        <v>#N/A</v>
      </c>
    </row>
    <row r="152" customFormat="false" ht="12.75" hidden="false" customHeight="false" outlineLevel="0" collapsed="false">
      <c r="A152" s="196" t="n">
        <f aca="false">IF(A151&lt;mthend,EDATE(A151,1),"")</f>
        <v>41365</v>
      </c>
      <c r="B152" s="197" t="n">
        <f aca="false">IF(A152&lt;mthend,B151,"")</f>
        <v>28400</v>
      </c>
      <c r="C152" s="215"/>
      <c r="D152" s="197" t="n">
        <f aca="false">IF(A153&lt;&gt;"",B152+C152,"")</f>
        <v>28400</v>
      </c>
      <c r="E152" s="199" t="n">
        <f aca="false">IF(A153="","",IF(AND(AT152=1,$H$3=1),D152*AO152,IF($H$3=2,D152,"N/A")))</f>
        <v>852000</v>
      </c>
      <c r="F152" s="199" t="n">
        <f aca="false">IF(A153="","",E152*AS152)</f>
        <v>2881611.64137544</v>
      </c>
      <c r="G152" s="200" t="e">
        <f aca="false">IF($A153="","",VLOOKUP($A152,Table,MATCH(G$4,Curves,0)))</f>
        <v>#N/A</v>
      </c>
      <c r="H152" s="201" t="e">
        <f aca="false">IF(A153="","",G152)</f>
        <v>#N/A</v>
      </c>
      <c r="I152" s="202"/>
      <c r="J152" s="200" t="e">
        <f aca="false">IF($A153="","",VLOOKUP($A152,Table,MATCH(J$4,Curves,0)))</f>
        <v>#N/A</v>
      </c>
      <c r="K152" s="201" t="e">
        <f aca="false">IF(A153="","",J152)</f>
        <v>#N/A</v>
      </c>
      <c r="L152" s="185" t="n">
        <v>0</v>
      </c>
      <c r="M152" s="201" t="n">
        <f aca="false">IF(A153="","",L152)</f>
        <v>0</v>
      </c>
      <c r="N152" s="203"/>
      <c r="O152" s="200" t="e">
        <f aca="false">IF(A153="","",L152+J152+G152)</f>
        <v>#N/A</v>
      </c>
      <c r="P152" s="200" t="e">
        <f aca="false">IF(A153="","",M152+K152+H152)</f>
        <v>#N/A</v>
      </c>
      <c r="Q152" s="204"/>
      <c r="R152" s="200" t="e">
        <f aca="false">IF($A153="","",VLOOKUP($A152,Table,MATCH(R$4,Curves,0)))</f>
        <v>#N/A</v>
      </c>
      <c r="S152" s="201" t="e">
        <f aca="false">IF(A153="","",R152)</f>
        <v>#N/A</v>
      </c>
      <c r="T152" s="185" t="n">
        <v>0</v>
      </c>
      <c r="U152" s="201" t="n">
        <f aca="false">IF(A153="","",T152)</f>
        <v>0</v>
      </c>
      <c r="V152" s="205" t="e">
        <f aca="false">(G152+R152)/(1-Summary!$T$13)*Summary!$T$13</f>
        <v>#N/A</v>
      </c>
      <c r="W152" s="202" t="e">
        <f aca="false">IF($A153="","",(T152+R152+G152+V152))</f>
        <v>#N/A</v>
      </c>
      <c r="X152" s="202" t="e">
        <f aca="false">IF($A153="","",(U152+S152+H152+V152))</f>
        <v>#N/A</v>
      </c>
      <c r="Y152" s="202"/>
      <c r="Z152" s="185" t="e">
        <f aca="false">IF($A153="","",VLOOKUP($A152,Table,MATCH(Z$4,Curves,0)))</f>
        <v>#N/A</v>
      </c>
      <c r="AA152" s="185" t="e">
        <f aca="false">IF($A153="","",VLOOKUP($A152,Table,MATCH(AA$4,Curves,0)))</f>
        <v>#N/A</v>
      </c>
      <c r="AB152" s="185" t="e">
        <f aca="false">SQRT((AA152^2*(A152-$D$3)+Z152^2*(DAY(EOMONTH(A152,0))/2))/AK152)</f>
        <v>#N/A</v>
      </c>
      <c r="AC152" s="185" t="e">
        <f aca="false">IF($A153="","",VLOOKUP($A152,Table,MATCH(AC$4,Curves,0)))</f>
        <v>#N/A</v>
      </c>
      <c r="AD152" s="185" t="e">
        <f aca="false">IF($A153="","",VLOOKUP($A152,Table,MATCH(AD$4,Curves,0)))</f>
        <v>#N/A</v>
      </c>
      <c r="AE152" s="185" t="e">
        <f aca="false">SQRT((AD152^2*(A152-$D$3)+AC152^2*(DAY(EOMONTH(A152,0))/2))/AK152)</f>
        <v>#N/A</v>
      </c>
      <c r="AF152" s="224" t="e">
        <f aca="false">((Summary!$N$13*(AA152*AD152)*(A152-$D$3))+(Summary!$M$13*Z152*AC152*(AJ152-EOMONTH(EDATE(A152,-1),0))))/(AK152*AB152*AE152)</f>
        <v>#N/A</v>
      </c>
      <c r="AG152" s="207" t="n">
        <f aca="false">IF($A153="","",Summary!$Q$13)</f>
        <v>0</v>
      </c>
      <c r="AH152" s="207" t="n">
        <f aca="false">IF($A153="","",IF(Summary!$R$12="Y",(VLOOKUP($A152,Summary!$AD$6:$AF$9,3)+'Escalating commodity'!I165),'Escalating commodity'!I165))</f>
        <v>0.0568719921974699</v>
      </c>
      <c r="AI152" s="207" t="n">
        <f aca="false">IF($A153="","",AH152)</f>
        <v>0.0568719921974699</v>
      </c>
      <c r="AJ152" s="208" t="n">
        <f aca="false">A152+DAY(EOMONTH(A152,0))/2-1</f>
        <v>41379</v>
      </c>
      <c r="AK152" s="209" t="n">
        <f aca="false">IF($A153="","",$A152-$E$1)</f>
        <v>-4561</v>
      </c>
      <c r="AL152" s="182" t="e">
        <f aca="false">IF($A153="","",SPRDOPT(P152,X152,AI152,0,AB152,AE152,AF152,AK152,$AJ$2,0))</f>
        <v>#NAME?</v>
      </c>
      <c r="AM152" s="210" t="e">
        <f aca="false">IF($A153="","",MAX(0,O152-W152-AI152))</f>
        <v>#N/A</v>
      </c>
      <c r="AN152" s="211" t="e">
        <f aca="false">IF($A153="","",AL152-AM152)</f>
        <v>#N/A</v>
      </c>
      <c r="AO152" s="137" t="n">
        <f aca="false">IF(A153="","",A153-A152)</f>
        <v>30</v>
      </c>
      <c r="AP152" s="212" t="n">
        <f aca="false">IF(A153="","",CHOOSE(F$3,A153+24,A152))</f>
        <v>41365</v>
      </c>
      <c r="AQ152" s="209" t="n">
        <f aca="false">IF(A153="","",AP152-$E$1)</f>
        <v>-4561</v>
      </c>
      <c r="AR152" s="185" t="n">
        <f aca="false">'ANR OK vs ML7'!AR152</f>
        <v>0.1</v>
      </c>
      <c r="AS152" s="213" t="n">
        <f aca="false">IF(A153="","",1/(1+CHOOSE(F$3,(AR153+($I$3/10000))/2,(AR152+($I$3/10000))/2))^(2*AQ152/365.25))</f>
        <v>3.38217328799934</v>
      </c>
      <c r="AT152" s="137" t="n">
        <f aca="false">IF(A153="","",IF(AND(mthbeg&lt;=A152,mthend&gt;=A152),1,0))</f>
        <v>1</v>
      </c>
      <c r="AU152" s="137" t="n">
        <f aca="false">IF(A153="","",AO152*AT152)</f>
        <v>30</v>
      </c>
      <c r="AW152" s="195" t="e">
        <f aca="false">IF($A153="","",AL152*$E152)</f>
        <v>#NAME?</v>
      </c>
      <c r="AX152" s="195" t="e">
        <f aca="false">IF($A153="","",AM152*$E152)</f>
        <v>#N/A</v>
      </c>
      <c r="AY152" s="195" t="e">
        <f aca="false">IF($A153="","",AN152*$E152)</f>
        <v>#N/A</v>
      </c>
      <c r="BA152" s="195" t="n">
        <f aca="false">IF($A153="","",F152*Summary!$Q$13)</f>
        <v>0</v>
      </c>
      <c r="BC152" s="179" t="e">
        <f aca="false">IF(A153="","",AM152*F152)</f>
        <v>#N/A</v>
      </c>
    </row>
    <row r="153" customFormat="false" ht="12.75" hidden="false" customHeight="false" outlineLevel="0" collapsed="false">
      <c r="A153" s="196" t="n">
        <f aca="false">IF(A152&lt;mthend,EDATE(A152,1),"")</f>
        <v>41395</v>
      </c>
      <c r="B153" s="197" t="n">
        <f aca="false">IF(A153&lt;mthend,B152,"")</f>
        <v>28400</v>
      </c>
      <c r="C153" s="215"/>
      <c r="D153" s="197" t="n">
        <f aca="false">IF(A154&lt;&gt;"",B153+C153,"")</f>
        <v>28400</v>
      </c>
      <c r="E153" s="199" t="n">
        <f aca="false">IF(A154="","",IF(AND(AT153=1,$H$3=1),D153*AO153,IF($H$3=2,D153,"N/A")))</f>
        <v>880400</v>
      </c>
      <c r="F153" s="199" t="n">
        <f aca="false">IF(A154="","",E153*AS153)</f>
        <v>2953895.32001897</v>
      </c>
      <c r="G153" s="200" t="e">
        <f aca="false">IF($A154="","",VLOOKUP($A153,Table,MATCH(G$4,Curves,0)))</f>
        <v>#N/A</v>
      </c>
      <c r="H153" s="201" t="e">
        <f aca="false">IF(A154="","",G153)</f>
        <v>#N/A</v>
      </c>
      <c r="I153" s="202"/>
      <c r="J153" s="200" t="e">
        <f aca="false">IF($A154="","",VLOOKUP($A153,Table,MATCH(J$4,Curves,0)))</f>
        <v>#N/A</v>
      </c>
      <c r="K153" s="201" t="e">
        <f aca="false">IF(A154="","",J153)</f>
        <v>#N/A</v>
      </c>
      <c r="L153" s="185" t="n">
        <v>0</v>
      </c>
      <c r="M153" s="201" t="n">
        <f aca="false">IF(A154="","",L153)</f>
        <v>0</v>
      </c>
      <c r="N153" s="203"/>
      <c r="O153" s="200" t="e">
        <f aca="false">IF(A154="","",L153+J153+G153)</f>
        <v>#N/A</v>
      </c>
      <c r="P153" s="200" t="e">
        <f aca="false">IF(A154="","",M153+K153+H153)</f>
        <v>#N/A</v>
      </c>
      <c r="Q153" s="204"/>
      <c r="R153" s="200" t="e">
        <f aca="false">IF($A154="","",VLOOKUP($A153,Table,MATCH(R$4,Curves,0)))</f>
        <v>#N/A</v>
      </c>
      <c r="S153" s="201" t="e">
        <f aca="false">IF(A154="","",R153)</f>
        <v>#N/A</v>
      </c>
      <c r="T153" s="185" t="n">
        <v>0</v>
      </c>
      <c r="U153" s="201" t="n">
        <f aca="false">IF(A154="","",T153)</f>
        <v>0</v>
      </c>
      <c r="V153" s="205" t="e">
        <f aca="false">(G153+R153)/(1-Summary!$T$13)*Summary!$T$13</f>
        <v>#N/A</v>
      </c>
      <c r="W153" s="202" t="e">
        <f aca="false">IF($A154="","",(T153+R153+G153+V153))</f>
        <v>#N/A</v>
      </c>
      <c r="X153" s="202" t="e">
        <f aca="false">IF($A154="","",(U153+S153+H153+V153))</f>
        <v>#N/A</v>
      </c>
      <c r="Y153" s="202"/>
      <c r="Z153" s="185" t="e">
        <f aca="false">IF($A154="","",VLOOKUP($A153,Table,MATCH(Z$4,Curves,0)))</f>
        <v>#N/A</v>
      </c>
      <c r="AA153" s="185" t="e">
        <f aca="false">IF($A154="","",VLOOKUP($A153,Table,MATCH(AA$4,Curves,0)))</f>
        <v>#N/A</v>
      </c>
      <c r="AB153" s="185" t="e">
        <f aca="false">SQRT((AA153^2*(A153-$D$3)+Z153^2*(DAY(EOMONTH(A153,0))/2))/AK153)</f>
        <v>#N/A</v>
      </c>
      <c r="AC153" s="185" t="e">
        <f aca="false">IF($A154="","",VLOOKUP($A153,Table,MATCH(AC$4,Curves,0)))</f>
        <v>#N/A</v>
      </c>
      <c r="AD153" s="185" t="e">
        <f aca="false">IF($A154="","",VLOOKUP($A153,Table,MATCH(AD$4,Curves,0)))</f>
        <v>#N/A</v>
      </c>
      <c r="AE153" s="185" t="e">
        <f aca="false">SQRT((AD153^2*(A153-$D$3)+AC153^2*(DAY(EOMONTH(A153,0))/2))/AK153)</f>
        <v>#N/A</v>
      </c>
      <c r="AF153" s="224" t="e">
        <f aca="false">((Summary!$N$13*(AA153*AD153)*(A153-$D$3))+(Summary!$M$13*Z153*AC153*(AJ153-EOMONTH(EDATE(A153,-1),0))))/(AK153*AB153*AE153)</f>
        <v>#N/A</v>
      </c>
      <c r="AG153" s="207" t="n">
        <f aca="false">IF($A154="","",Summary!$Q$13)</f>
        <v>0</v>
      </c>
      <c r="AH153" s="207" t="n">
        <f aca="false">IF($A154="","",IF(Summary!$R$12="Y",(VLOOKUP($A153,Summary!$AD$6:$AF$9,3)+'Escalating commodity'!I166),'Escalating commodity'!I166))</f>
        <v>0.0568719921974699</v>
      </c>
      <c r="AI153" s="207" t="n">
        <f aca="false">IF($A154="","",AH153)</f>
        <v>0.0568719921974699</v>
      </c>
      <c r="AJ153" s="208" t="n">
        <f aca="false">A153+DAY(EOMONTH(A153,0))/2-1</f>
        <v>41409.5</v>
      </c>
      <c r="AK153" s="209" t="n">
        <f aca="false">IF($A154="","",$A153-$E$1)</f>
        <v>-4531</v>
      </c>
      <c r="AL153" s="182" t="e">
        <f aca="false">IF($A154="","",SPRDOPT(P153,X153,AI153,0,AB153,AE153,AF153,AK153,$AJ$2,0))</f>
        <v>#NAME?</v>
      </c>
      <c r="AM153" s="210" t="e">
        <f aca="false">IF($A154="","",MAX(0,O153-W153-AI153))</f>
        <v>#N/A</v>
      </c>
      <c r="AN153" s="211" t="e">
        <f aca="false">IF($A154="","",AL153-AM153)</f>
        <v>#N/A</v>
      </c>
      <c r="AO153" s="137" t="n">
        <f aca="false">IF(A154="","",A154-A153)</f>
        <v>31</v>
      </c>
      <c r="AP153" s="212" t="n">
        <f aca="false">IF(A154="","",CHOOSE(F$3,A154+24,A153))</f>
        <v>41395</v>
      </c>
      <c r="AQ153" s="209" t="n">
        <f aca="false">IF(A154="","",AP153-$E$1)</f>
        <v>-4531</v>
      </c>
      <c r="AR153" s="185" t="n">
        <f aca="false">'ANR OK vs ML7'!AR153</f>
        <v>0.1</v>
      </c>
      <c r="AS153" s="213" t="n">
        <f aca="false">IF(A154="","",1/(1+CHOOSE(F$3,(AR154+($I$3/10000))/2,(AR153+($I$3/10000))/2))^(2*AQ153/365.25))</f>
        <v>3.35517414813605</v>
      </c>
      <c r="AT153" s="137" t="n">
        <f aca="false">IF(A154="","",IF(AND(mthbeg&lt;=A153,mthend&gt;=A153),1,0))</f>
        <v>1</v>
      </c>
      <c r="AU153" s="137" t="n">
        <f aca="false">IF(A154="","",AO153*AT153)</f>
        <v>31</v>
      </c>
      <c r="AW153" s="195" t="e">
        <f aca="false">IF($A154="","",AL153*$E153)</f>
        <v>#NAME?</v>
      </c>
      <c r="AX153" s="195" t="e">
        <f aca="false">IF($A154="","",AM153*$E153)</f>
        <v>#N/A</v>
      </c>
      <c r="AY153" s="195" t="e">
        <f aca="false">IF($A154="","",AN153*$E153)</f>
        <v>#N/A</v>
      </c>
      <c r="BA153" s="195" t="n">
        <f aca="false">IF($A154="","",F153*Summary!$Q$13)</f>
        <v>0</v>
      </c>
      <c r="BC153" s="179" t="e">
        <f aca="false">IF(A154="","",AM153*F153)</f>
        <v>#N/A</v>
      </c>
    </row>
    <row r="154" customFormat="false" ht="12.75" hidden="false" customHeight="false" outlineLevel="0" collapsed="false">
      <c r="A154" s="196" t="n">
        <f aca="false">IF(A153&lt;mthend,EDATE(A153,1),"")</f>
        <v>41426</v>
      </c>
      <c r="B154" s="197" t="n">
        <f aca="false">IF(A154&lt;mthend,B153,"")</f>
        <v>28400</v>
      </c>
      <c r="C154" s="215"/>
      <c r="D154" s="197" t="n">
        <f aca="false">IF(A155&lt;&gt;"",B154+C154,"")</f>
        <v>28400</v>
      </c>
      <c r="E154" s="199" t="n">
        <f aca="false">IF(A155="","",IF(AND(AT154=1,$H$3=1),D154*AO154,IF($H$3=2,D154,"N/A")))</f>
        <v>852000</v>
      </c>
      <c r="F154" s="199" t="n">
        <f aca="false">IF(A155="","",E154*AS154)</f>
        <v>2835031.22783227</v>
      </c>
      <c r="G154" s="200" t="e">
        <f aca="false">IF($A155="","",VLOOKUP($A154,Table,MATCH(G$4,Curves,0)))</f>
        <v>#N/A</v>
      </c>
      <c r="H154" s="201" t="e">
        <f aca="false">IF(A155="","",G154)</f>
        <v>#N/A</v>
      </c>
      <c r="I154" s="202"/>
      <c r="J154" s="200" t="e">
        <f aca="false">IF($A155="","",VLOOKUP($A154,Table,MATCH(J$4,Curves,0)))</f>
        <v>#N/A</v>
      </c>
      <c r="K154" s="201" t="e">
        <f aca="false">IF(A155="","",J154)</f>
        <v>#N/A</v>
      </c>
      <c r="L154" s="185" t="n">
        <v>0</v>
      </c>
      <c r="M154" s="201" t="n">
        <f aca="false">IF(A155="","",L154)</f>
        <v>0</v>
      </c>
      <c r="N154" s="203"/>
      <c r="O154" s="200" t="e">
        <f aca="false">IF(A155="","",L154+J154+G154)</f>
        <v>#N/A</v>
      </c>
      <c r="P154" s="200" t="e">
        <f aca="false">IF(A155="","",M154+K154+H154)</f>
        <v>#N/A</v>
      </c>
      <c r="Q154" s="204"/>
      <c r="R154" s="200" t="e">
        <f aca="false">IF($A155="","",VLOOKUP($A154,Table,MATCH(R$4,Curves,0)))</f>
        <v>#N/A</v>
      </c>
      <c r="S154" s="201" t="e">
        <f aca="false">IF(A155="","",R154)</f>
        <v>#N/A</v>
      </c>
      <c r="T154" s="185" t="n">
        <v>0</v>
      </c>
      <c r="U154" s="201" t="n">
        <f aca="false">IF(A155="","",T154)</f>
        <v>0</v>
      </c>
      <c r="V154" s="205" t="e">
        <f aca="false">(G154+R154)/(1-Summary!$T$13)*Summary!$T$13</f>
        <v>#N/A</v>
      </c>
      <c r="W154" s="202" t="e">
        <f aca="false">IF($A155="","",(T154+R154+G154+V154))</f>
        <v>#N/A</v>
      </c>
      <c r="X154" s="202" t="e">
        <f aca="false">IF($A155="","",(U154+S154+H154+V154))</f>
        <v>#N/A</v>
      </c>
      <c r="Y154" s="202"/>
      <c r="Z154" s="185" t="e">
        <f aca="false">IF($A155="","",VLOOKUP($A154,Table,MATCH(Z$4,Curves,0)))</f>
        <v>#N/A</v>
      </c>
      <c r="AA154" s="185" t="e">
        <f aca="false">IF($A155="","",VLOOKUP($A154,Table,MATCH(AA$4,Curves,0)))</f>
        <v>#N/A</v>
      </c>
      <c r="AB154" s="185" t="e">
        <f aca="false">SQRT((AA154^2*(A154-$D$3)+Z154^2*(DAY(EOMONTH(A154,0))/2))/AK154)</f>
        <v>#N/A</v>
      </c>
      <c r="AC154" s="185" t="e">
        <f aca="false">IF($A155="","",VLOOKUP($A154,Table,MATCH(AC$4,Curves,0)))</f>
        <v>#N/A</v>
      </c>
      <c r="AD154" s="185" t="e">
        <f aca="false">IF($A155="","",VLOOKUP($A154,Table,MATCH(AD$4,Curves,0)))</f>
        <v>#N/A</v>
      </c>
      <c r="AE154" s="185" t="e">
        <f aca="false">SQRT((AD154^2*(A154-$D$3)+AC154^2*(DAY(EOMONTH(A154,0))/2))/AK154)</f>
        <v>#N/A</v>
      </c>
      <c r="AF154" s="224" t="e">
        <f aca="false">((Summary!$N$13*(AA154*AD154)*(A154-$D$3))+(Summary!$M$13*Z154*AC154*(AJ154-EOMONTH(EDATE(A154,-1),0))))/(AK154*AB154*AE154)</f>
        <v>#N/A</v>
      </c>
      <c r="AG154" s="207" t="n">
        <f aca="false">IF($A155="","",Summary!$Q$13)</f>
        <v>0</v>
      </c>
      <c r="AH154" s="207" t="n">
        <f aca="false">IF($A155="","",IF(Summary!$R$12="Y",(VLOOKUP($A154,Summary!$AD$6:$AF$9,3)+'Escalating commodity'!I167),'Escalating commodity'!I167))</f>
        <v>0.0568719921974699</v>
      </c>
      <c r="AI154" s="207" t="n">
        <f aca="false">IF($A155="","",AH154)</f>
        <v>0.0568719921974699</v>
      </c>
      <c r="AJ154" s="208" t="n">
        <f aca="false">A154+DAY(EOMONTH(A154,0))/2-1</f>
        <v>41440</v>
      </c>
      <c r="AK154" s="209" t="n">
        <f aca="false">IF($A155="","",$A154-$E$1)</f>
        <v>-4500</v>
      </c>
      <c r="AL154" s="182" t="e">
        <f aca="false">IF($A155="","",SPRDOPT(P154,X154,AI154,0,AB154,AE154,AF154,AK154,$AJ$2,0))</f>
        <v>#NAME?</v>
      </c>
      <c r="AM154" s="210" t="e">
        <f aca="false">IF($A155="","",MAX(0,O154-W154-AI154))</f>
        <v>#N/A</v>
      </c>
      <c r="AN154" s="211" t="e">
        <f aca="false">IF($A155="","",AL154-AM154)</f>
        <v>#N/A</v>
      </c>
      <c r="AO154" s="137" t="n">
        <f aca="false">IF(A155="","",A155-A154)</f>
        <v>30</v>
      </c>
      <c r="AP154" s="212" t="n">
        <f aca="false">IF(A155="","",CHOOSE(F$3,A155+24,A154))</f>
        <v>41426</v>
      </c>
      <c r="AQ154" s="209" t="n">
        <f aca="false">IF(A155="","",AP154-$E$1)</f>
        <v>-4500</v>
      </c>
      <c r="AR154" s="185" t="n">
        <f aca="false">'ANR OK vs ML7'!AR154</f>
        <v>0.1</v>
      </c>
      <c r="AS154" s="213" t="n">
        <f aca="false">IF(A155="","",1/(1+CHOOSE(F$3,(AR155+($I$3/10000))/2,(AR154+($I$3/10000))/2))^(2*AQ154/365.25))</f>
        <v>3.32750144111769</v>
      </c>
      <c r="AT154" s="137" t="n">
        <f aca="false">IF(A155="","",IF(AND(mthbeg&lt;=A154,mthend&gt;=A154),1,0))</f>
        <v>1</v>
      </c>
      <c r="AU154" s="137" t="n">
        <f aca="false">IF(A155="","",AO154*AT154)</f>
        <v>30</v>
      </c>
      <c r="AW154" s="195" t="e">
        <f aca="false">IF($A155="","",AL154*$E154)</f>
        <v>#NAME?</v>
      </c>
      <c r="AX154" s="195" t="e">
        <f aca="false">IF($A155="","",AM154*$E154)</f>
        <v>#N/A</v>
      </c>
      <c r="AY154" s="195" t="e">
        <f aca="false">IF($A155="","",AN154*$E154)</f>
        <v>#N/A</v>
      </c>
      <c r="BA154" s="195" t="n">
        <f aca="false">IF($A155="","",F154*Summary!$Q$13)</f>
        <v>0</v>
      </c>
      <c r="BC154" s="179" t="e">
        <f aca="false">IF(A155="","",AM154*F154)</f>
        <v>#N/A</v>
      </c>
    </row>
    <row r="155" customFormat="false" ht="12.75" hidden="false" customHeight="false" outlineLevel="0" collapsed="false">
      <c r="A155" s="196" t="n">
        <f aca="false">IF(A154&lt;mthend,EDATE(A154,1),"")</f>
        <v>41456</v>
      </c>
      <c r="B155" s="197" t="n">
        <f aca="false">IF(A155&lt;mthend,B154,"")</f>
        <v>28400</v>
      </c>
      <c r="C155" s="215"/>
      <c r="D155" s="197" t="n">
        <f aca="false">IF(A156&lt;&gt;"",B155+C155,"")</f>
        <v>28400</v>
      </c>
      <c r="E155" s="199" t="n">
        <f aca="false">IF(A156="","",IF(AND(AT155=1,$H$3=1),D155*AO155,IF($H$3=2,D155,"N/A")))</f>
        <v>880400</v>
      </c>
      <c r="F155" s="199" t="n">
        <f aca="false">IF(A156="","",E155*AS155)</f>
        <v>2906146.46184736</v>
      </c>
      <c r="G155" s="200" t="e">
        <f aca="false">IF($A156="","",VLOOKUP($A155,Table,MATCH(G$4,Curves,0)))</f>
        <v>#N/A</v>
      </c>
      <c r="H155" s="201" t="e">
        <f aca="false">IF(A156="","",G155)</f>
        <v>#N/A</v>
      </c>
      <c r="I155" s="202"/>
      <c r="J155" s="200" t="e">
        <f aca="false">IF($A156="","",VLOOKUP($A155,Table,MATCH(J$4,Curves,0)))</f>
        <v>#N/A</v>
      </c>
      <c r="K155" s="201" t="e">
        <f aca="false">IF(A156="","",J155)</f>
        <v>#N/A</v>
      </c>
      <c r="L155" s="185" t="n">
        <v>0</v>
      </c>
      <c r="M155" s="201" t="n">
        <f aca="false">IF(A156="","",L155)</f>
        <v>0</v>
      </c>
      <c r="N155" s="203"/>
      <c r="O155" s="200" t="e">
        <f aca="false">IF(A156="","",L155+J155+G155)</f>
        <v>#N/A</v>
      </c>
      <c r="P155" s="200" t="e">
        <f aca="false">IF(A156="","",M155+K155+H155)</f>
        <v>#N/A</v>
      </c>
      <c r="Q155" s="204"/>
      <c r="R155" s="200" t="e">
        <f aca="false">IF($A156="","",VLOOKUP($A155,Table,MATCH(R$4,Curves,0)))</f>
        <v>#N/A</v>
      </c>
      <c r="S155" s="201" t="e">
        <f aca="false">IF(A156="","",R155)</f>
        <v>#N/A</v>
      </c>
      <c r="T155" s="185" t="n">
        <v>0</v>
      </c>
      <c r="U155" s="201" t="n">
        <f aca="false">IF(A156="","",T155)</f>
        <v>0</v>
      </c>
      <c r="V155" s="205" t="e">
        <f aca="false">(G155+R155)/(1-Summary!$T$13)*Summary!$T$13</f>
        <v>#N/A</v>
      </c>
      <c r="W155" s="202" t="e">
        <f aca="false">IF($A156="","",(T155+R155+G155+V155))</f>
        <v>#N/A</v>
      </c>
      <c r="X155" s="202" t="e">
        <f aca="false">IF($A156="","",(U155+S155+H155+V155))</f>
        <v>#N/A</v>
      </c>
      <c r="Y155" s="202"/>
      <c r="Z155" s="185" t="e">
        <f aca="false">IF($A156="","",VLOOKUP($A155,Table,MATCH(Z$4,Curves,0)))</f>
        <v>#N/A</v>
      </c>
      <c r="AA155" s="185" t="e">
        <f aca="false">IF($A156="","",VLOOKUP($A155,Table,MATCH(AA$4,Curves,0)))</f>
        <v>#N/A</v>
      </c>
      <c r="AB155" s="185" t="e">
        <f aca="false">SQRT((AA155^2*(A155-$D$3)+Z155^2*(DAY(EOMONTH(A155,0))/2))/AK155)</f>
        <v>#N/A</v>
      </c>
      <c r="AC155" s="185" t="e">
        <f aca="false">IF($A156="","",VLOOKUP($A155,Table,MATCH(AC$4,Curves,0)))</f>
        <v>#N/A</v>
      </c>
      <c r="AD155" s="185" t="e">
        <f aca="false">IF($A156="","",VLOOKUP($A155,Table,MATCH(AD$4,Curves,0)))</f>
        <v>#N/A</v>
      </c>
      <c r="AE155" s="185" t="e">
        <f aca="false">SQRT((AD155^2*(A155-$D$3)+AC155^2*(DAY(EOMONTH(A155,0))/2))/AK155)</f>
        <v>#N/A</v>
      </c>
      <c r="AF155" s="224" t="e">
        <f aca="false">((Summary!$N$13*(AA155*AD155)*(A155-$D$3))+(Summary!$M$13*Z155*AC155*(AJ155-EOMONTH(EDATE(A155,-1),0))))/(AK155*AB155*AE155)</f>
        <v>#N/A</v>
      </c>
      <c r="AG155" s="207" t="n">
        <f aca="false">IF($A156="","",Summary!$Q$13)</f>
        <v>0</v>
      </c>
      <c r="AH155" s="207" t="n">
        <f aca="false">IF($A156="","",IF(Summary!$R$12="Y",(VLOOKUP($A155,Summary!$AD$6:$AF$9,3)+'Escalating commodity'!I168),'Escalating commodity'!I168))</f>
        <v>0.0568719921974699</v>
      </c>
      <c r="AI155" s="207" t="n">
        <f aca="false">IF($A156="","",AH155)</f>
        <v>0.0568719921974699</v>
      </c>
      <c r="AJ155" s="208" t="n">
        <f aca="false">A155+DAY(EOMONTH(A155,0))/2-1</f>
        <v>41470.5</v>
      </c>
      <c r="AK155" s="209" t="n">
        <f aca="false">IF($A156="","",$A155-$E$1)</f>
        <v>-4470</v>
      </c>
      <c r="AL155" s="182" t="e">
        <f aca="false">IF($A156="","",SPRDOPT(P155,X155,AI155,0,AB155,AE155,AF155,AK155,$AJ$2,0))</f>
        <v>#NAME?</v>
      </c>
      <c r="AM155" s="210" t="e">
        <f aca="false">IF($A156="","",MAX(0,O155-W155-AI155))</f>
        <v>#N/A</v>
      </c>
      <c r="AN155" s="211" t="e">
        <f aca="false">IF($A156="","",AL155-AM155)</f>
        <v>#N/A</v>
      </c>
      <c r="AO155" s="137" t="n">
        <f aca="false">IF(A156="","",A156-A155)</f>
        <v>31</v>
      </c>
      <c r="AP155" s="212" t="n">
        <f aca="false">IF(A156="","",CHOOSE(F$3,A156+24,A155))</f>
        <v>41456</v>
      </c>
      <c r="AQ155" s="209" t="n">
        <f aca="false">IF(A156="","",AP155-$E$1)</f>
        <v>-4470</v>
      </c>
      <c r="AR155" s="185" t="n">
        <f aca="false">'ANR OK vs ML7'!AR155</f>
        <v>0.1</v>
      </c>
      <c r="AS155" s="213" t="n">
        <f aca="false">IF(A156="","",1/(1+CHOOSE(F$3,(AR156+($I$3/10000))/2,(AR155+($I$3/10000))/2))^(2*AQ155/365.25))</f>
        <v>3.30093873449268</v>
      </c>
      <c r="AT155" s="137" t="n">
        <f aca="false">IF(A156="","",IF(AND(mthbeg&lt;=A155,mthend&gt;=A155),1,0))</f>
        <v>1</v>
      </c>
      <c r="AU155" s="137" t="n">
        <f aca="false">IF(A156="","",AO155*AT155)</f>
        <v>31</v>
      </c>
      <c r="AW155" s="195" t="e">
        <f aca="false">IF($A156="","",AL155*$E155)</f>
        <v>#NAME?</v>
      </c>
      <c r="AX155" s="195" t="e">
        <f aca="false">IF($A156="","",AM155*$E155)</f>
        <v>#N/A</v>
      </c>
      <c r="AY155" s="195" t="e">
        <f aca="false">IF($A156="","",AN155*$E155)</f>
        <v>#N/A</v>
      </c>
      <c r="BA155" s="195" t="n">
        <f aca="false">IF($A156="","",F155*Summary!$Q$13)</f>
        <v>0</v>
      </c>
      <c r="BC155" s="179" t="e">
        <f aca="false">IF(A156="","",AM155*F155)</f>
        <v>#N/A</v>
      </c>
    </row>
    <row r="156" customFormat="false" ht="12.75" hidden="false" customHeight="false" outlineLevel="0" collapsed="false">
      <c r="A156" s="196" t="n">
        <f aca="false">IF(A155&lt;mthend,EDATE(A155,1),"")</f>
        <v>41487</v>
      </c>
      <c r="B156" s="197" t="n">
        <f aca="false">IF(A156&lt;mthend,B155,"")</f>
        <v>28400</v>
      </c>
      <c r="C156" s="215"/>
      <c r="D156" s="197" t="n">
        <f aca="false">IF(A157&lt;&gt;"",B156+C156,"")</f>
        <v>28400</v>
      </c>
      <c r="E156" s="199" t="n">
        <f aca="false">IF(A157="","",IF(AND(AT156=1,$H$3=1),D156*AO156,IF($H$3=2,D156,"N/A")))</f>
        <v>880400</v>
      </c>
      <c r="F156" s="199" t="n">
        <f aca="false">IF(A157="","",E156*AS156)</f>
        <v>2882177.23222158</v>
      </c>
      <c r="G156" s="200" t="e">
        <f aca="false">IF($A157="","",VLOOKUP($A156,Table,MATCH(G$4,Curves,0)))</f>
        <v>#N/A</v>
      </c>
      <c r="H156" s="201" t="e">
        <f aca="false">IF(A157="","",G156)</f>
        <v>#N/A</v>
      </c>
      <c r="I156" s="202"/>
      <c r="J156" s="200" t="e">
        <f aca="false">IF($A157="","",VLOOKUP($A156,Table,MATCH(J$4,Curves,0)))</f>
        <v>#N/A</v>
      </c>
      <c r="K156" s="201" t="e">
        <f aca="false">IF(A157="","",J156)</f>
        <v>#N/A</v>
      </c>
      <c r="L156" s="185" t="n">
        <v>0</v>
      </c>
      <c r="M156" s="201" t="n">
        <f aca="false">IF(A157="","",L156)</f>
        <v>0</v>
      </c>
      <c r="N156" s="203"/>
      <c r="O156" s="200" t="e">
        <f aca="false">IF(A157="","",L156+J156+G156)</f>
        <v>#N/A</v>
      </c>
      <c r="P156" s="200" t="e">
        <f aca="false">IF(A157="","",M156+K156+H156)</f>
        <v>#N/A</v>
      </c>
      <c r="Q156" s="204"/>
      <c r="R156" s="200" t="e">
        <f aca="false">IF($A157="","",VLOOKUP($A156,Table,MATCH(R$4,Curves,0)))</f>
        <v>#N/A</v>
      </c>
      <c r="S156" s="201" t="e">
        <f aca="false">IF(A157="","",R156)</f>
        <v>#N/A</v>
      </c>
      <c r="T156" s="185" t="n">
        <v>0</v>
      </c>
      <c r="U156" s="201" t="n">
        <f aca="false">IF(A157="","",T156)</f>
        <v>0</v>
      </c>
      <c r="V156" s="205" t="e">
        <f aca="false">(G156+R156)/(1-Summary!$T$13)*Summary!$T$13</f>
        <v>#N/A</v>
      </c>
      <c r="W156" s="202" t="e">
        <f aca="false">IF($A157="","",(T156+R156+G156+V156))</f>
        <v>#N/A</v>
      </c>
      <c r="X156" s="202" t="e">
        <f aca="false">IF($A157="","",(U156+S156+H156+V156))</f>
        <v>#N/A</v>
      </c>
      <c r="Y156" s="202"/>
      <c r="Z156" s="185" t="e">
        <f aca="false">IF($A157="","",VLOOKUP($A156,Table,MATCH(Z$4,Curves,0)))</f>
        <v>#N/A</v>
      </c>
      <c r="AA156" s="185" t="e">
        <f aca="false">IF($A157="","",VLOOKUP($A156,Table,MATCH(AA$4,Curves,0)))</f>
        <v>#N/A</v>
      </c>
      <c r="AB156" s="185" t="e">
        <f aca="false">SQRT((AA156^2*(A156-$D$3)+Z156^2*(DAY(EOMONTH(A156,0))/2))/AK156)</f>
        <v>#N/A</v>
      </c>
      <c r="AC156" s="185" t="e">
        <f aca="false">IF($A157="","",VLOOKUP($A156,Table,MATCH(AC$4,Curves,0)))</f>
        <v>#N/A</v>
      </c>
      <c r="AD156" s="185" t="e">
        <f aca="false">IF($A157="","",VLOOKUP($A156,Table,MATCH(AD$4,Curves,0)))</f>
        <v>#N/A</v>
      </c>
      <c r="AE156" s="185" t="e">
        <f aca="false">SQRT((AD156^2*(A156-$D$3)+AC156^2*(DAY(EOMONTH(A156,0))/2))/AK156)</f>
        <v>#N/A</v>
      </c>
      <c r="AF156" s="224" t="e">
        <f aca="false">((Summary!$N$13*(AA156*AD156)*(A156-$D$3))+(Summary!$M$13*Z156*AC156*(AJ156-EOMONTH(EDATE(A156,-1),0))))/(AK156*AB156*AE156)</f>
        <v>#N/A</v>
      </c>
      <c r="AG156" s="207" t="n">
        <f aca="false">IF($A157="","",Summary!$Q$13)</f>
        <v>0</v>
      </c>
      <c r="AH156" s="207" t="n">
        <f aca="false">IF($A157="","",IF(Summary!$R$12="Y",(VLOOKUP($A156,Summary!$AD$6:$AF$9,3)+'Escalating commodity'!I169),'Escalating commodity'!I169))</f>
        <v>0.0568719921974699</v>
      </c>
      <c r="AI156" s="207" t="n">
        <f aca="false">IF($A157="","",AH156)</f>
        <v>0.0568719921974699</v>
      </c>
      <c r="AJ156" s="208" t="n">
        <f aca="false">A156+DAY(EOMONTH(A156,0))/2-1</f>
        <v>41501.5</v>
      </c>
      <c r="AK156" s="209" t="n">
        <f aca="false">IF($A157="","",$A156-$E$1)</f>
        <v>-4439</v>
      </c>
      <c r="AL156" s="182" t="e">
        <f aca="false">IF($A157="","",SPRDOPT(P156,X156,AI156,0,AB156,AE156,AF156,AK156,$AJ$2,0))</f>
        <v>#NAME?</v>
      </c>
      <c r="AM156" s="210" t="e">
        <f aca="false">IF($A157="","",MAX(0,O156-W156-AI156))</f>
        <v>#N/A</v>
      </c>
      <c r="AN156" s="211" t="e">
        <f aca="false">IF($A157="","",AL156-AM156)</f>
        <v>#N/A</v>
      </c>
      <c r="AO156" s="137" t="n">
        <f aca="false">IF(A157="","",A157-A156)</f>
        <v>31</v>
      </c>
      <c r="AP156" s="212" t="n">
        <f aca="false">IF(A157="","",CHOOSE(F$3,A157+24,A156))</f>
        <v>41487</v>
      </c>
      <c r="AQ156" s="209" t="n">
        <f aca="false">IF(A157="","",AP156-$E$1)</f>
        <v>-4439</v>
      </c>
      <c r="AR156" s="185" t="n">
        <f aca="false">'ANR OK vs ML7'!AR156</f>
        <v>0.1</v>
      </c>
      <c r="AS156" s="213" t="n">
        <f aca="false">IF(A157="","",1/(1+CHOOSE(F$3,(AR157+($I$3/10000))/2,(AR156+($I$3/10000))/2))^(2*AQ156/365.25))</f>
        <v>3.27371334872965</v>
      </c>
      <c r="AT156" s="137" t="n">
        <f aca="false">IF(A157="","",IF(AND(mthbeg&lt;=A156,mthend&gt;=A156),1,0))</f>
        <v>1</v>
      </c>
      <c r="AU156" s="137" t="n">
        <f aca="false">IF(A157="","",AO156*AT156)</f>
        <v>31</v>
      </c>
      <c r="AW156" s="195" t="e">
        <f aca="false">IF($A157="","",AL156*$E156)</f>
        <v>#NAME?</v>
      </c>
      <c r="AX156" s="195" t="e">
        <f aca="false">IF($A157="","",AM156*$E156)</f>
        <v>#N/A</v>
      </c>
      <c r="AY156" s="195" t="e">
        <f aca="false">IF($A157="","",AN156*$E156)</f>
        <v>#N/A</v>
      </c>
      <c r="BA156" s="195" t="n">
        <f aca="false">IF($A157="","",F156*Summary!$Q$13)</f>
        <v>0</v>
      </c>
      <c r="BC156" s="179" t="e">
        <f aca="false">IF(A157="","",AM156*F156)</f>
        <v>#N/A</v>
      </c>
    </row>
    <row r="157" customFormat="false" ht="12.75" hidden="false" customHeight="false" outlineLevel="0" collapsed="false">
      <c r="A157" s="196" t="n">
        <f aca="false">IF(A156&lt;mthend,EDATE(A156,1),"")</f>
        <v>41518</v>
      </c>
      <c r="B157" s="197" t="n">
        <f aca="false">IF(A157&lt;mthend,B156,"")</f>
        <v>28400</v>
      </c>
      <c r="C157" s="215"/>
      <c r="D157" s="197" t="n">
        <f aca="false">IF(A158&lt;&gt;"",B157+C157,"")</f>
        <v>28400</v>
      </c>
      <c r="E157" s="199" t="n">
        <f aca="false">IF(A158="","",IF(AND(AT157=1,$H$3=1),D157*AO157,IF($H$3=2,D157,"N/A")))</f>
        <v>852000</v>
      </c>
      <c r="F157" s="199" t="n">
        <f aca="false">IF(A158="","",E157*AS157)</f>
        <v>2766199.05997308</v>
      </c>
      <c r="G157" s="200" t="e">
        <f aca="false">IF($A158="","",VLOOKUP($A157,Table,MATCH(G$4,Curves,0)))</f>
        <v>#N/A</v>
      </c>
      <c r="H157" s="201" t="e">
        <f aca="false">IF(A158="","",G157)</f>
        <v>#N/A</v>
      </c>
      <c r="I157" s="202"/>
      <c r="J157" s="200" t="e">
        <f aca="false">IF($A158="","",VLOOKUP($A157,Table,MATCH(J$4,Curves,0)))</f>
        <v>#N/A</v>
      </c>
      <c r="K157" s="201" t="e">
        <f aca="false">IF(A158="","",J157)</f>
        <v>#N/A</v>
      </c>
      <c r="L157" s="185" t="n">
        <v>0</v>
      </c>
      <c r="M157" s="201" t="n">
        <f aca="false">IF(A158="","",L157)</f>
        <v>0</v>
      </c>
      <c r="N157" s="203"/>
      <c r="O157" s="200" t="e">
        <f aca="false">IF(A158="","",L157+J157+G157)</f>
        <v>#N/A</v>
      </c>
      <c r="P157" s="200" t="e">
        <f aca="false">IF(A158="","",M157+K157+H157)</f>
        <v>#N/A</v>
      </c>
      <c r="Q157" s="204"/>
      <c r="R157" s="200" t="e">
        <f aca="false">IF($A158="","",VLOOKUP($A157,Table,MATCH(R$4,Curves,0)))</f>
        <v>#N/A</v>
      </c>
      <c r="S157" s="201" t="e">
        <f aca="false">IF(A158="","",R157)</f>
        <v>#N/A</v>
      </c>
      <c r="T157" s="185" t="n">
        <v>0</v>
      </c>
      <c r="U157" s="201" t="n">
        <f aca="false">IF(A158="","",T157)</f>
        <v>0</v>
      </c>
      <c r="V157" s="205" t="e">
        <f aca="false">(G157+R157)/(1-Summary!$T$13)*Summary!$T$13</f>
        <v>#N/A</v>
      </c>
      <c r="W157" s="202" t="e">
        <f aca="false">IF($A158="","",(T157+R157+G157+V157))</f>
        <v>#N/A</v>
      </c>
      <c r="X157" s="202" t="e">
        <f aca="false">IF($A158="","",(U157+S157+H157+V157))</f>
        <v>#N/A</v>
      </c>
      <c r="Y157" s="202"/>
      <c r="Z157" s="185" t="e">
        <f aca="false">IF($A158="","",VLOOKUP($A157,Table,MATCH(Z$4,Curves,0)))</f>
        <v>#N/A</v>
      </c>
      <c r="AA157" s="185" t="e">
        <f aca="false">IF($A158="","",VLOOKUP($A157,Table,MATCH(AA$4,Curves,0)))</f>
        <v>#N/A</v>
      </c>
      <c r="AB157" s="185" t="e">
        <f aca="false">SQRT((AA157^2*(A157-$D$3)+Z157^2*(DAY(EOMONTH(A157,0))/2))/AK157)</f>
        <v>#N/A</v>
      </c>
      <c r="AC157" s="185" t="e">
        <f aca="false">IF($A158="","",VLOOKUP($A157,Table,MATCH(AC$4,Curves,0)))</f>
        <v>#N/A</v>
      </c>
      <c r="AD157" s="185" t="e">
        <f aca="false">IF($A158="","",VLOOKUP($A157,Table,MATCH(AD$4,Curves,0)))</f>
        <v>#N/A</v>
      </c>
      <c r="AE157" s="185" t="e">
        <f aca="false">SQRT((AD157^2*(A157-$D$3)+AC157^2*(DAY(EOMONTH(A157,0))/2))/AK157)</f>
        <v>#N/A</v>
      </c>
      <c r="AF157" s="224" t="e">
        <f aca="false">((Summary!$N$13*(AA157*AD157)*(A157-$D$3))+(Summary!$M$13*Z157*AC157*(AJ157-EOMONTH(EDATE(A157,-1),0))))/(AK157*AB157*AE157)</f>
        <v>#N/A</v>
      </c>
      <c r="AG157" s="207" t="n">
        <f aca="false">IF($A158="","",Summary!$Q$13)</f>
        <v>0</v>
      </c>
      <c r="AH157" s="207" t="n">
        <f aca="false">IF($A158="","",IF(Summary!$R$12="Y",(VLOOKUP($A157,Summary!$AD$6:$AF$9,3)+'Escalating commodity'!I170),'Escalating commodity'!I170))</f>
        <v>0.0568719921974699</v>
      </c>
      <c r="AI157" s="207" t="n">
        <f aca="false">IF($A158="","",AH157)</f>
        <v>0.0568719921974699</v>
      </c>
      <c r="AJ157" s="208" t="n">
        <f aca="false">A157+DAY(EOMONTH(A157,0))/2-1</f>
        <v>41532</v>
      </c>
      <c r="AK157" s="209" t="n">
        <f aca="false">IF($A158="","",$A157-$E$1)</f>
        <v>-4408</v>
      </c>
      <c r="AL157" s="182" t="e">
        <f aca="false">IF($A158="","",SPRDOPT(P157,X157,AI157,0,AB157,AE157,AF157,AK157,$AJ$2,0))</f>
        <v>#NAME?</v>
      </c>
      <c r="AM157" s="210" t="e">
        <f aca="false">IF($A158="","",MAX(0,O157-W157-AI157))</f>
        <v>#N/A</v>
      </c>
      <c r="AN157" s="211" t="e">
        <f aca="false">IF($A158="","",AL157-AM157)</f>
        <v>#N/A</v>
      </c>
      <c r="AO157" s="137" t="n">
        <f aca="false">IF(A158="","",A158-A157)</f>
        <v>30</v>
      </c>
      <c r="AP157" s="212" t="n">
        <f aca="false">IF(A158="","",CHOOSE(F$3,A158+24,A157))</f>
        <v>41518</v>
      </c>
      <c r="AQ157" s="209" t="n">
        <f aca="false">IF(A158="","",AP157-$E$1)</f>
        <v>-4408</v>
      </c>
      <c r="AR157" s="185" t="n">
        <f aca="false">'ANR OK vs ML7'!AR157</f>
        <v>0.1</v>
      </c>
      <c r="AS157" s="213" t="n">
        <f aca="false">IF(A158="","",1/(1+CHOOSE(F$3,(AR158+($I$3/10000))/2,(AR157+($I$3/10000))/2))^(2*AQ157/365.25))</f>
        <v>3.2467125117055</v>
      </c>
      <c r="AT157" s="137" t="n">
        <f aca="false">IF(A158="","",IF(AND(mthbeg&lt;=A157,mthend&gt;=A157),1,0))</f>
        <v>1</v>
      </c>
      <c r="AU157" s="137" t="n">
        <f aca="false">IF(A158="","",AO157*AT157)</f>
        <v>30</v>
      </c>
      <c r="AW157" s="195" t="e">
        <f aca="false">IF($A158="","",AL157*$E157)</f>
        <v>#NAME?</v>
      </c>
      <c r="AX157" s="195" t="e">
        <f aca="false">IF($A158="","",AM157*$E157)</f>
        <v>#N/A</v>
      </c>
      <c r="AY157" s="195" t="e">
        <f aca="false">IF($A158="","",AN157*$E157)</f>
        <v>#N/A</v>
      </c>
      <c r="BA157" s="195" t="n">
        <f aca="false">IF($A158="","",F157*Summary!$Q$13)</f>
        <v>0</v>
      </c>
      <c r="BC157" s="179" t="e">
        <f aca="false">IF(A158="","",AM157*F157)</f>
        <v>#N/A</v>
      </c>
    </row>
    <row r="158" customFormat="false" ht="12.75" hidden="false" customHeight="false" outlineLevel="0" collapsed="false">
      <c r="A158" s="196" t="n">
        <f aca="false">IF(A157&lt;mthend,EDATE(A157,1),"")</f>
        <v>41548</v>
      </c>
      <c r="B158" s="197" t="n">
        <f aca="false">IF(A158&lt;mthend,B157,"")</f>
        <v>28400</v>
      </c>
      <c r="C158" s="215"/>
      <c r="D158" s="197" t="n">
        <f aca="false">IF(A159&lt;&gt;"",B158+C158,"")</f>
        <v>28400</v>
      </c>
      <c r="E158" s="199" t="n">
        <f aca="false">IF(A159="","",IF(AND(AT158=1,$H$3=1),D158*AO158,IF($H$3=2,D158,"N/A")))</f>
        <v>880400</v>
      </c>
      <c r="F158" s="199" t="n">
        <f aca="false">IF(A159="","",E158*AS158)</f>
        <v>2835587.67606699</v>
      </c>
      <c r="G158" s="200" t="e">
        <f aca="false">IF($A159="","",VLOOKUP($A158,Table,MATCH(G$4,Curves,0)))</f>
        <v>#N/A</v>
      </c>
      <c r="H158" s="201" t="e">
        <f aca="false">IF(A159="","",G158)</f>
        <v>#N/A</v>
      </c>
      <c r="I158" s="202"/>
      <c r="J158" s="200" t="e">
        <f aca="false">IF($A159="","",VLOOKUP($A158,Table,MATCH(J$4,Curves,0)))</f>
        <v>#N/A</v>
      </c>
      <c r="K158" s="201" t="e">
        <f aca="false">IF(A159="","",J158)</f>
        <v>#N/A</v>
      </c>
      <c r="L158" s="185" t="n">
        <v>0</v>
      </c>
      <c r="M158" s="201" t="n">
        <f aca="false">IF(A159="","",L158)</f>
        <v>0</v>
      </c>
      <c r="N158" s="203"/>
      <c r="O158" s="200" t="e">
        <f aca="false">IF(A159="","",L158+J158+G158)</f>
        <v>#N/A</v>
      </c>
      <c r="P158" s="200" t="e">
        <f aca="false">IF(A159="","",M158+K158+H158)</f>
        <v>#N/A</v>
      </c>
      <c r="Q158" s="204"/>
      <c r="R158" s="200" t="e">
        <f aca="false">IF($A159="","",VLOOKUP($A158,Table,MATCH(R$4,Curves,0)))</f>
        <v>#N/A</v>
      </c>
      <c r="S158" s="201" t="e">
        <f aca="false">IF(A159="","",R158)</f>
        <v>#N/A</v>
      </c>
      <c r="T158" s="185" t="n">
        <v>0</v>
      </c>
      <c r="U158" s="201" t="n">
        <f aca="false">IF(A159="","",T158)</f>
        <v>0</v>
      </c>
      <c r="V158" s="205" t="e">
        <f aca="false">(G158+R158)/(1-Summary!$T$13)*Summary!$T$13</f>
        <v>#N/A</v>
      </c>
      <c r="W158" s="202" t="e">
        <f aca="false">IF($A159="","",(T158+R158+G158+V158))</f>
        <v>#N/A</v>
      </c>
      <c r="X158" s="202" t="e">
        <f aca="false">IF($A159="","",(U158+S158+H158+V158))</f>
        <v>#N/A</v>
      </c>
      <c r="Y158" s="202"/>
      <c r="Z158" s="185" t="e">
        <f aca="false">IF($A159="","",VLOOKUP($A158,Table,MATCH(Z$4,Curves,0)))</f>
        <v>#N/A</v>
      </c>
      <c r="AA158" s="185" t="e">
        <f aca="false">IF($A159="","",VLOOKUP($A158,Table,MATCH(AA$4,Curves,0)))</f>
        <v>#N/A</v>
      </c>
      <c r="AB158" s="185" t="e">
        <f aca="false">SQRT((AA158^2*(A158-$D$3)+Z158^2*(DAY(EOMONTH(A158,0))/2))/AK158)</f>
        <v>#N/A</v>
      </c>
      <c r="AC158" s="185" t="e">
        <f aca="false">IF($A159="","",VLOOKUP($A158,Table,MATCH(AC$4,Curves,0)))</f>
        <v>#N/A</v>
      </c>
      <c r="AD158" s="185" t="e">
        <f aca="false">IF($A159="","",VLOOKUP($A158,Table,MATCH(AD$4,Curves,0)))</f>
        <v>#N/A</v>
      </c>
      <c r="AE158" s="185" t="e">
        <f aca="false">SQRT((AD158^2*(A158-$D$3)+AC158^2*(DAY(EOMONTH(A158,0))/2))/AK158)</f>
        <v>#N/A</v>
      </c>
      <c r="AF158" s="224" t="e">
        <f aca="false">((Summary!$N$13*(AA158*AD158)*(A158-$D$3))+(Summary!$M$13*Z158*AC158*(AJ158-EOMONTH(EDATE(A158,-1),0))))/(AK158*AB158*AE158)</f>
        <v>#N/A</v>
      </c>
      <c r="AG158" s="207" t="n">
        <f aca="false">IF($A159="","",Summary!$Q$13)</f>
        <v>0</v>
      </c>
      <c r="AH158" s="207" t="n">
        <f aca="false">IF($A159="","",IF(Summary!$R$12="Y",(VLOOKUP($A158,Summary!$AD$6:$AF$9,3)+'Escalating commodity'!I171),'Escalating commodity'!I171))</f>
        <v>0.0568719921974699</v>
      </c>
      <c r="AI158" s="207" t="n">
        <f aca="false">IF($A159="","",AH158)</f>
        <v>0.0568719921974699</v>
      </c>
      <c r="AJ158" s="208" t="n">
        <f aca="false">A158+DAY(EOMONTH(A158,0))/2-1</f>
        <v>41562.5</v>
      </c>
      <c r="AK158" s="209" t="n">
        <f aca="false">IF($A159="","",$A158-$E$1)</f>
        <v>-4378</v>
      </c>
      <c r="AL158" s="182" t="e">
        <f aca="false">IF($A159="","",SPRDOPT(P158,X158,AI158,0,AB158,AE158,AF158,AK158,$AJ$2,0))</f>
        <v>#NAME?</v>
      </c>
      <c r="AM158" s="210" t="e">
        <f aca="false">IF($A159="","",MAX(0,O158-W158-AI158))</f>
        <v>#N/A</v>
      </c>
      <c r="AN158" s="211" t="e">
        <f aca="false">IF($A159="","",AL158-AM158)</f>
        <v>#N/A</v>
      </c>
      <c r="AO158" s="137" t="n">
        <f aca="false">IF(A159="","",A159-A158)</f>
        <v>31</v>
      </c>
      <c r="AP158" s="212" t="n">
        <f aca="false">IF(A159="","",CHOOSE(F$3,A159+24,A158))</f>
        <v>41548</v>
      </c>
      <c r="AQ158" s="209" t="n">
        <f aca="false">IF(A159="","",AP158-$E$1)</f>
        <v>-4378</v>
      </c>
      <c r="AR158" s="185" t="n">
        <f aca="false">'ANR OK vs ML7'!AR158</f>
        <v>0.1</v>
      </c>
      <c r="AS158" s="213" t="n">
        <f aca="false">IF(A159="","",1/(1+CHOOSE(F$3,(AR159+($I$3/10000))/2,(AR158+($I$3/10000))/2))^(2*AQ158/365.25))</f>
        <v>3.22079472520103</v>
      </c>
      <c r="AT158" s="137" t="n">
        <f aca="false">IF(A159="","",IF(AND(mthbeg&lt;=A158,mthend&gt;=A158),1,0))</f>
        <v>1</v>
      </c>
      <c r="AU158" s="137" t="n">
        <f aca="false">IF(A159="","",AO158*AT158)</f>
        <v>31</v>
      </c>
      <c r="AW158" s="195" t="e">
        <f aca="false">IF($A159="","",AL158*$E158)</f>
        <v>#NAME?</v>
      </c>
      <c r="AX158" s="195" t="e">
        <f aca="false">IF($A159="","",AM158*$E158)</f>
        <v>#N/A</v>
      </c>
      <c r="AY158" s="195" t="e">
        <f aca="false">IF($A159="","",AN158*$E158)</f>
        <v>#N/A</v>
      </c>
      <c r="BA158" s="195" t="n">
        <f aca="false">IF($A159="","",F158*Summary!$Q$13)</f>
        <v>0</v>
      </c>
      <c r="BC158" s="179" t="e">
        <f aca="false">IF(A159="","",AM158*F158)</f>
        <v>#N/A</v>
      </c>
    </row>
    <row r="159" customFormat="false" ht="12.75" hidden="false" customHeight="false" outlineLevel="0" collapsed="false">
      <c r="A159" s="196" t="n">
        <f aca="false">IF(A158&lt;mthend,EDATE(A158,1),"")</f>
        <v>41579</v>
      </c>
      <c r="B159" s="197" t="n">
        <f aca="false">IF(A159&lt;mthend,B158,"")</f>
        <v>28400</v>
      </c>
      <c r="C159" s="215"/>
      <c r="D159" s="197" t="n">
        <f aca="false">IF(A160&lt;&gt;"",B159+C159,"")</f>
        <v>28400</v>
      </c>
      <c r="E159" s="199" t="n">
        <f aca="false">IF(A160="","",IF(AND(AT159=1,$H$3=1),D159*AO159,IF($H$3=2,D159,"N/A")))</f>
        <v>852000</v>
      </c>
      <c r="F159" s="199" t="n">
        <f aca="false">IF(A160="","",E159*AS159)</f>
        <v>2721484.25721959</v>
      </c>
      <c r="G159" s="200" t="e">
        <f aca="false">IF($A160="","",VLOOKUP($A159,Table,MATCH(G$4,Curves,0)))</f>
        <v>#N/A</v>
      </c>
      <c r="H159" s="201" t="e">
        <f aca="false">IF(A160="","",G159)</f>
        <v>#N/A</v>
      </c>
      <c r="I159" s="202"/>
      <c r="J159" s="200" t="e">
        <f aca="false">IF($A160="","",VLOOKUP($A159,Table,MATCH(J$4,Curves,0)))</f>
        <v>#N/A</v>
      </c>
      <c r="K159" s="201" t="e">
        <f aca="false">IF(A160="","",J159)</f>
        <v>#N/A</v>
      </c>
      <c r="L159" s="185" t="n">
        <v>0</v>
      </c>
      <c r="M159" s="201" t="n">
        <f aca="false">IF(A160="","",L159)</f>
        <v>0</v>
      </c>
      <c r="N159" s="203"/>
      <c r="O159" s="200" t="e">
        <f aca="false">IF(A160="","",L159+J159+G159)</f>
        <v>#N/A</v>
      </c>
      <c r="P159" s="200" t="e">
        <f aca="false">IF(A160="","",M159+K159+H159)</f>
        <v>#N/A</v>
      </c>
      <c r="Q159" s="204"/>
      <c r="R159" s="200" t="e">
        <f aca="false">IF($A160="","",VLOOKUP($A159,Table,MATCH(R$4,Curves,0)))</f>
        <v>#N/A</v>
      </c>
      <c r="S159" s="201" t="e">
        <f aca="false">IF(A160="","",R159)</f>
        <v>#N/A</v>
      </c>
      <c r="T159" s="185" t="n">
        <v>0</v>
      </c>
      <c r="U159" s="201" t="n">
        <f aca="false">IF(A160="","",T159)</f>
        <v>0</v>
      </c>
      <c r="V159" s="205" t="e">
        <f aca="false">(G159+R159)/(1-Summary!$T$13)*Summary!$T$13</f>
        <v>#N/A</v>
      </c>
      <c r="W159" s="202" t="e">
        <f aca="false">IF($A160="","",(T159+R159+G159+V159))</f>
        <v>#N/A</v>
      </c>
      <c r="X159" s="202" t="e">
        <f aca="false">IF($A160="","",(U159+S159+H159+V159))</f>
        <v>#N/A</v>
      </c>
      <c r="Y159" s="202"/>
      <c r="Z159" s="185" t="e">
        <f aca="false">IF($A160="","",VLOOKUP($A159,Table,MATCH(Z$4,Curves,0)))</f>
        <v>#N/A</v>
      </c>
      <c r="AA159" s="185" t="e">
        <f aca="false">IF($A160="","",VLOOKUP($A159,Table,MATCH(AA$4,Curves,0)))</f>
        <v>#N/A</v>
      </c>
      <c r="AB159" s="185" t="e">
        <f aca="false">SQRT((AA159^2*(A159-$D$3)+Z159^2*(DAY(EOMONTH(A159,0))/2))/AK159)</f>
        <v>#N/A</v>
      </c>
      <c r="AC159" s="185" t="e">
        <f aca="false">IF($A160="","",VLOOKUP($A159,Table,MATCH(AC$4,Curves,0)))</f>
        <v>#N/A</v>
      </c>
      <c r="AD159" s="185" t="e">
        <f aca="false">IF($A160="","",VLOOKUP($A159,Table,MATCH(AD$4,Curves,0)))</f>
        <v>#N/A</v>
      </c>
      <c r="AE159" s="185" t="e">
        <f aca="false">SQRT((AD159^2*(A159-$D$3)+AC159^2*(DAY(EOMONTH(A159,0))/2))/AK159)</f>
        <v>#N/A</v>
      </c>
      <c r="AF159" s="224" t="e">
        <f aca="false">((Summary!$N$13*(AA159*AD159)*(A159-$D$3))+(Summary!$M$13*Z159*AC159*(AJ159-EOMONTH(EDATE(A159,-1),0))))/(AK159*AB159*AE159)</f>
        <v>#N/A</v>
      </c>
      <c r="AG159" s="207" t="n">
        <f aca="false">IF($A160="","",Summary!$Q$13)</f>
        <v>0</v>
      </c>
      <c r="AH159" s="207" t="n">
        <f aca="false">IF($A160="","",IF(Summary!$R$12="Y",(VLOOKUP($A159,Summary!$AD$6:$AF$9,3)+'Escalating commodity'!I172),'Escalating commodity'!I172))</f>
        <v>0.0568719921974699</v>
      </c>
      <c r="AI159" s="207" t="n">
        <f aca="false">IF($A160="","",AH159)</f>
        <v>0.0568719921974699</v>
      </c>
      <c r="AJ159" s="208" t="n">
        <f aca="false">A159+DAY(EOMONTH(A159,0))/2-1</f>
        <v>41593</v>
      </c>
      <c r="AK159" s="209" t="n">
        <f aca="false">IF($A160="","",$A159-$E$1)</f>
        <v>-4347</v>
      </c>
      <c r="AL159" s="182" t="e">
        <f aca="false">IF($A160="","",SPRDOPT(P159,X159,AI159,0,AB159,AE159,AF159,AK159,$AJ$2,0))</f>
        <v>#NAME?</v>
      </c>
      <c r="AM159" s="210" t="e">
        <f aca="false">IF($A160="","",MAX(0,O159-W159-AI159))</f>
        <v>#N/A</v>
      </c>
      <c r="AN159" s="211" t="e">
        <f aca="false">IF($A160="","",AL159-AM159)</f>
        <v>#N/A</v>
      </c>
      <c r="AO159" s="137" t="n">
        <f aca="false">IF(A160="","",A160-A159)</f>
        <v>30</v>
      </c>
      <c r="AP159" s="212" t="n">
        <f aca="false">IF(A160="","",CHOOSE(F$3,A160+24,A159))</f>
        <v>41579</v>
      </c>
      <c r="AQ159" s="209" t="n">
        <f aca="false">IF(A160="","",AP159-$E$1)</f>
        <v>-4347</v>
      </c>
      <c r="AR159" s="185" t="n">
        <f aca="false">'ANR OK vs ML7'!AR159</f>
        <v>0.1</v>
      </c>
      <c r="AS159" s="213" t="n">
        <f aca="false">IF(A160="","",1/(1+CHOOSE(F$3,(AR160+($I$3/10000))/2,(AR159+($I$3/10000))/2))^(2*AQ159/365.25))</f>
        <v>3.19423034884928</v>
      </c>
      <c r="AT159" s="137" t="n">
        <f aca="false">IF(A160="","",IF(AND(mthbeg&lt;=A159,mthend&gt;=A159),1,0))</f>
        <v>1</v>
      </c>
      <c r="AU159" s="137" t="n">
        <f aca="false">IF(A160="","",AO159*AT159)</f>
        <v>30</v>
      </c>
      <c r="AW159" s="195" t="e">
        <f aca="false">IF($A160="","",AL159*$E159)</f>
        <v>#NAME?</v>
      </c>
      <c r="AX159" s="195" t="e">
        <f aca="false">IF($A160="","",AM159*$E159)</f>
        <v>#N/A</v>
      </c>
      <c r="AY159" s="195" t="e">
        <f aca="false">IF($A160="","",AN159*$E159)</f>
        <v>#N/A</v>
      </c>
      <c r="BA159" s="195" t="n">
        <f aca="false">IF($A160="","",F159*Summary!$Q$13)</f>
        <v>0</v>
      </c>
      <c r="BC159" s="179" t="e">
        <f aca="false">IF(A160="","",AM159*F159)</f>
        <v>#N/A</v>
      </c>
    </row>
    <row r="160" customFormat="false" ht="12.75" hidden="false" customHeight="false" outlineLevel="0" collapsed="false">
      <c r="A160" s="196" t="n">
        <f aca="false">IF(A159&lt;mthend,EDATE(A159,1),"")</f>
        <v>41609</v>
      </c>
      <c r="B160" s="197" t="n">
        <f aca="false">IF(A160&lt;mthend,B159,"")</f>
        <v>28400</v>
      </c>
      <c r="C160" s="215"/>
      <c r="D160" s="197" t="n">
        <f aca="false">IF(A161&lt;&gt;"",B160+C160,"")</f>
        <v>28400</v>
      </c>
      <c r="E160" s="199" t="n">
        <f aca="false">IF(A161="","",IF(AND(AT160=1,$H$3=1),D160*AO160,IF($H$3=2,D160,"N/A")))</f>
        <v>880400</v>
      </c>
      <c r="F160" s="199" t="n">
        <f aca="false">IF(A161="","",E160*AS160)</f>
        <v>2789751.22652861</v>
      </c>
      <c r="G160" s="200" t="e">
        <f aca="false">IF($A161="","",VLOOKUP($A160,Table,MATCH(G$4,Curves,0)))</f>
        <v>#N/A</v>
      </c>
      <c r="H160" s="201" t="e">
        <f aca="false">IF(A161="","",G160)</f>
        <v>#N/A</v>
      </c>
      <c r="I160" s="202"/>
      <c r="J160" s="200" t="e">
        <f aca="false">IF($A161="","",VLOOKUP($A160,Table,MATCH(J$4,Curves,0)))</f>
        <v>#N/A</v>
      </c>
      <c r="K160" s="201" t="e">
        <f aca="false">IF(A161="","",J160)</f>
        <v>#N/A</v>
      </c>
      <c r="L160" s="185" t="n">
        <v>0</v>
      </c>
      <c r="M160" s="201" t="n">
        <f aca="false">IF(A161="","",L160)</f>
        <v>0</v>
      </c>
      <c r="N160" s="203"/>
      <c r="O160" s="200" t="e">
        <f aca="false">IF(A161="","",L160+J160+G160)</f>
        <v>#N/A</v>
      </c>
      <c r="P160" s="200" t="e">
        <f aca="false">IF(A161="","",M160+K160+H160)</f>
        <v>#N/A</v>
      </c>
      <c r="Q160" s="204"/>
      <c r="R160" s="200" t="e">
        <f aca="false">IF($A161="","",VLOOKUP($A160,Table,MATCH(R$4,Curves,0)))</f>
        <v>#N/A</v>
      </c>
      <c r="S160" s="201" t="e">
        <f aca="false">IF(A161="","",R160)</f>
        <v>#N/A</v>
      </c>
      <c r="T160" s="185" t="n">
        <v>0</v>
      </c>
      <c r="U160" s="201" t="n">
        <f aca="false">IF(A161="","",T160)</f>
        <v>0</v>
      </c>
      <c r="V160" s="205" t="e">
        <f aca="false">(G160+R160)/(1-Summary!$T$13)*Summary!$T$13</f>
        <v>#N/A</v>
      </c>
      <c r="W160" s="202" t="e">
        <f aca="false">IF($A161="","",(T160+R160+G160+V160))</f>
        <v>#N/A</v>
      </c>
      <c r="X160" s="202" t="e">
        <f aca="false">IF($A161="","",(U160+S160+H160+V160))</f>
        <v>#N/A</v>
      </c>
      <c r="Y160" s="202"/>
      <c r="Z160" s="185" t="e">
        <f aca="false">IF($A161="","",VLOOKUP($A160,Table,MATCH(Z$4,Curves,0)))</f>
        <v>#N/A</v>
      </c>
      <c r="AA160" s="185" t="e">
        <f aca="false">IF($A161="","",VLOOKUP($A160,Table,MATCH(AA$4,Curves,0)))</f>
        <v>#N/A</v>
      </c>
      <c r="AB160" s="185" t="e">
        <f aca="false">SQRT((AA160^2*(A160-$D$3)+Z160^2*(DAY(EOMONTH(A160,0))/2))/AK160)</f>
        <v>#N/A</v>
      </c>
      <c r="AC160" s="185" t="e">
        <f aca="false">IF($A161="","",VLOOKUP($A160,Table,MATCH(AC$4,Curves,0)))</f>
        <v>#N/A</v>
      </c>
      <c r="AD160" s="185" t="e">
        <f aca="false">IF($A161="","",VLOOKUP($A160,Table,MATCH(AD$4,Curves,0)))</f>
        <v>#N/A</v>
      </c>
      <c r="AE160" s="185" t="e">
        <f aca="false">SQRT((AD160^2*(A160-$D$3)+AC160^2*(DAY(EOMONTH(A160,0))/2))/AK160)</f>
        <v>#N/A</v>
      </c>
      <c r="AF160" s="224" t="e">
        <f aca="false">((Summary!$N$13*(AA160*AD160)*(A160-$D$3))+(Summary!$M$13*Z160*AC160*(AJ160-EOMONTH(EDATE(A160,-1),0))))/(AK160*AB160*AE160)</f>
        <v>#N/A</v>
      </c>
      <c r="AG160" s="207" t="n">
        <f aca="false">IF($A161="","",Summary!$Q$13)</f>
        <v>0</v>
      </c>
      <c r="AH160" s="207" t="n">
        <f aca="false">IF($A161="","",IF(Summary!$R$12="Y",(VLOOKUP($A160,Summary!$AD$6:$AF$9,3)+'Escalating commodity'!I173),'Escalating commodity'!I173))</f>
        <v>0.0568719921974699</v>
      </c>
      <c r="AI160" s="207" t="n">
        <f aca="false">IF($A161="","",AH160)</f>
        <v>0.0568719921974699</v>
      </c>
      <c r="AJ160" s="208" t="n">
        <f aca="false">A160+DAY(EOMONTH(A160,0))/2-1</f>
        <v>41623.5</v>
      </c>
      <c r="AK160" s="209" t="n">
        <f aca="false">IF($A161="","",$A160-$E$1)</f>
        <v>-4317</v>
      </c>
      <c r="AL160" s="182" t="e">
        <f aca="false">IF($A161="","",SPRDOPT(P160,X160,AI160,0,AB160,AE160,AF160,AK160,$AJ$2,0))</f>
        <v>#NAME?</v>
      </c>
      <c r="AM160" s="210" t="e">
        <f aca="false">IF($A161="","",MAX(0,O160-W160-AI160))</f>
        <v>#N/A</v>
      </c>
      <c r="AN160" s="211" t="e">
        <f aca="false">IF($A161="","",AL160-AM160)</f>
        <v>#N/A</v>
      </c>
      <c r="AO160" s="137" t="n">
        <f aca="false">IF(A161="","",A161-A160)</f>
        <v>31</v>
      </c>
      <c r="AP160" s="212" t="n">
        <f aca="false">IF(A161="","",CHOOSE(F$3,A161+24,A160))</f>
        <v>41609</v>
      </c>
      <c r="AQ160" s="209" t="n">
        <f aca="false">IF(A161="","",AP160-$E$1)</f>
        <v>-4317</v>
      </c>
      <c r="AR160" s="185" t="n">
        <f aca="false">'ANR OK vs ML7'!AR160</f>
        <v>0.1</v>
      </c>
      <c r="AS160" s="213" t="n">
        <f aca="false">IF(A161="","",1/(1+CHOOSE(F$3,(AR161+($I$3/10000))/2,(AR160+($I$3/10000))/2))^(2*AQ160/365.25))</f>
        <v>3.16873151582077</v>
      </c>
      <c r="AT160" s="137" t="n">
        <f aca="false">IF(A161="","",IF(AND(mthbeg&lt;=A160,mthend&gt;=A160),1,0))</f>
        <v>1</v>
      </c>
      <c r="AU160" s="137" t="n">
        <f aca="false">IF(A161="","",AO160*AT160)</f>
        <v>31</v>
      </c>
      <c r="AW160" s="195" t="e">
        <f aca="false">IF($A161="","",AL160*$E160)</f>
        <v>#NAME?</v>
      </c>
      <c r="AX160" s="195" t="e">
        <f aca="false">IF($A161="","",AM160*$E160)</f>
        <v>#N/A</v>
      </c>
      <c r="AY160" s="195" t="e">
        <f aca="false">IF($A161="","",AN160*$E160)</f>
        <v>#N/A</v>
      </c>
      <c r="BA160" s="195" t="n">
        <f aca="false">IF($A161="","",F160*Summary!$Q$13)</f>
        <v>0</v>
      </c>
      <c r="BC160" s="179" t="e">
        <f aca="false">IF(A161="","",AM160*F160)</f>
        <v>#N/A</v>
      </c>
    </row>
    <row r="161" customFormat="false" ht="12.75" hidden="false" customHeight="false" outlineLevel="0" collapsed="false">
      <c r="A161" s="196" t="n">
        <f aca="false">IF(A160&lt;mthend,EDATE(A160,1),"")</f>
        <v>41640</v>
      </c>
      <c r="B161" s="197" t="n">
        <f aca="false">IF(A161&lt;mthend,B160,"")</f>
        <v>28400</v>
      </c>
      <c r="C161" s="215"/>
      <c r="D161" s="197" t="n">
        <f aca="false">IF(A162&lt;&gt;"",B161+C161,"")</f>
        <v>28400</v>
      </c>
      <c r="E161" s="199" t="n">
        <f aca="false">IF(A162="","",IF(AND(AT161=1,$H$3=1),D161*AO161,IF($H$3=2,D161,"N/A")))</f>
        <v>880400</v>
      </c>
      <c r="F161" s="199" t="n">
        <f aca="false">IF(A162="","",E161*AS161)</f>
        <v>2766741.99811383</v>
      </c>
      <c r="G161" s="200" t="e">
        <f aca="false">IF($A162="","",VLOOKUP($A161,Table,MATCH(G$4,Curves,0)))</f>
        <v>#N/A</v>
      </c>
      <c r="H161" s="201" t="e">
        <f aca="false">IF(A162="","",G161)</f>
        <v>#N/A</v>
      </c>
      <c r="I161" s="202"/>
      <c r="J161" s="200" t="e">
        <f aca="false">IF($A162="","",VLOOKUP($A161,Table,MATCH(J$4,Curves,0)))</f>
        <v>#N/A</v>
      </c>
      <c r="K161" s="201" t="e">
        <f aca="false">IF(A162="","",J161)</f>
        <v>#N/A</v>
      </c>
      <c r="L161" s="185" t="n">
        <v>0</v>
      </c>
      <c r="M161" s="201" t="n">
        <f aca="false">IF(A162="","",L161)</f>
        <v>0</v>
      </c>
      <c r="N161" s="203"/>
      <c r="O161" s="200" t="e">
        <f aca="false">IF(A162="","",L161+J161+G161)</f>
        <v>#N/A</v>
      </c>
      <c r="P161" s="200" t="e">
        <f aca="false">IF(A162="","",M161+K161+H161)</f>
        <v>#N/A</v>
      </c>
      <c r="Q161" s="204"/>
      <c r="R161" s="200" t="e">
        <f aca="false">IF($A162="","",VLOOKUP($A161,Table,MATCH(R$4,Curves,0)))</f>
        <v>#N/A</v>
      </c>
      <c r="S161" s="201" t="e">
        <f aca="false">IF(A162="","",R161)</f>
        <v>#N/A</v>
      </c>
      <c r="T161" s="185" t="n">
        <v>0</v>
      </c>
      <c r="U161" s="201" t="n">
        <f aca="false">IF(A162="","",T161)</f>
        <v>0</v>
      </c>
      <c r="V161" s="205" t="e">
        <f aca="false">(G161+R161)/(1-Summary!$T$13)*Summary!$T$13</f>
        <v>#N/A</v>
      </c>
      <c r="W161" s="202" t="e">
        <f aca="false">IF($A162="","",(T161+R161+G161+V161))</f>
        <v>#N/A</v>
      </c>
      <c r="X161" s="202" t="e">
        <f aca="false">IF($A162="","",(U161+S161+H161+V161))</f>
        <v>#N/A</v>
      </c>
      <c r="Y161" s="202"/>
      <c r="Z161" s="185" t="e">
        <f aca="false">IF($A162="","",VLOOKUP($A161,Table,MATCH(Z$4,Curves,0)))</f>
        <v>#N/A</v>
      </c>
      <c r="AA161" s="185" t="e">
        <f aca="false">IF($A162="","",VLOOKUP($A161,Table,MATCH(AA$4,Curves,0)))</f>
        <v>#N/A</v>
      </c>
      <c r="AB161" s="185" t="e">
        <f aca="false">SQRT((AA161^2*(A161-$D$3)+Z161^2*(DAY(EOMONTH(A161,0))/2))/AK161)</f>
        <v>#N/A</v>
      </c>
      <c r="AC161" s="185" t="e">
        <f aca="false">IF($A162="","",VLOOKUP($A161,Table,MATCH(AC$4,Curves,0)))</f>
        <v>#N/A</v>
      </c>
      <c r="AD161" s="185" t="e">
        <f aca="false">IF($A162="","",VLOOKUP($A161,Table,MATCH(AD$4,Curves,0)))</f>
        <v>#N/A</v>
      </c>
      <c r="AE161" s="185" t="e">
        <f aca="false">SQRT((AD161^2*(A161-$D$3)+AC161^2*(DAY(EOMONTH(A161,0))/2))/AK161)</f>
        <v>#N/A</v>
      </c>
      <c r="AF161" s="224" t="e">
        <f aca="false">((Summary!$N$13*(AA161*AD161)*(A161-$D$3))+(Summary!$M$13*Z161*AC161*(AJ161-EOMONTH(EDATE(A161,-1),0))))/(AK161*AB161*AE161)</f>
        <v>#N/A</v>
      </c>
      <c r="AG161" s="207" t="n">
        <f aca="false">IF($A162="","",Summary!$Q$13)</f>
        <v>0</v>
      </c>
      <c r="AH161" s="207" t="n">
        <f aca="false">IF($A162="","",IF(Summary!$R$12="Y",(VLOOKUP($A161,Summary!$AD$6:$AF$9,3)+'Escalating commodity'!I174),'Escalating commodity'!I174))</f>
        <v>0.0580094320414193</v>
      </c>
      <c r="AI161" s="207" t="n">
        <f aca="false">IF($A162="","",AH161)</f>
        <v>0.0580094320414193</v>
      </c>
      <c r="AJ161" s="208" t="n">
        <f aca="false">A161+DAY(EOMONTH(A161,0))/2-1</f>
        <v>41654.5</v>
      </c>
      <c r="AK161" s="209" t="n">
        <f aca="false">IF($A162="","",$A161-$E$1)</f>
        <v>-4286</v>
      </c>
      <c r="AL161" s="182" t="e">
        <f aca="false">IF($A162="","",SPRDOPT(P161,X161,AI161,0,AB161,AE161,AF161,AK161,$AJ$2,0))</f>
        <v>#NAME?</v>
      </c>
      <c r="AM161" s="210" t="e">
        <f aca="false">IF($A162="","",MAX(0,O161-W161-AI161))</f>
        <v>#N/A</v>
      </c>
      <c r="AN161" s="211" t="e">
        <f aca="false">IF($A162="","",AL161-AM161)</f>
        <v>#N/A</v>
      </c>
      <c r="AO161" s="137" t="n">
        <f aca="false">IF(A162="","",A162-A161)</f>
        <v>31</v>
      </c>
      <c r="AP161" s="212" t="n">
        <f aca="false">IF(A162="","",CHOOSE(F$3,A162+24,A161))</f>
        <v>41640</v>
      </c>
      <c r="AQ161" s="209" t="n">
        <f aca="false">IF(A162="","",AP161-$E$1)</f>
        <v>-4286</v>
      </c>
      <c r="AR161" s="185" t="n">
        <f aca="false">'ANR OK vs ML7'!AR161</f>
        <v>0.1</v>
      </c>
      <c r="AS161" s="213" t="n">
        <f aca="false">IF(A162="","",1/(1+CHOOSE(F$3,(AR162+($I$3/10000))/2,(AR161+($I$3/10000))/2))^(2*AQ161/365.25))</f>
        <v>3.14259654488168</v>
      </c>
      <c r="AT161" s="137" t="n">
        <f aca="false">IF(A162="","",IF(AND(mthbeg&lt;=A161,mthend&gt;=A161),1,0))</f>
        <v>1</v>
      </c>
      <c r="AU161" s="137" t="n">
        <f aca="false">IF(A162="","",AO161*AT161)</f>
        <v>31</v>
      </c>
      <c r="AW161" s="195" t="e">
        <f aca="false">IF($A162="","",AL161*$E161)</f>
        <v>#NAME?</v>
      </c>
      <c r="AX161" s="195" t="e">
        <f aca="false">IF($A162="","",AM161*$E161)</f>
        <v>#N/A</v>
      </c>
      <c r="AY161" s="195" t="e">
        <f aca="false">IF($A162="","",AN161*$E161)</f>
        <v>#N/A</v>
      </c>
      <c r="BA161" s="195" t="n">
        <f aca="false">IF($A162="","",F161*Summary!$Q$13)</f>
        <v>0</v>
      </c>
      <c r="BC161" s="179" t="e">
        <f aca="false">IF(A162="","",AM161*F161)</f>
        <v>#N/A</v>
      </c>
    </row>
    <row r="162" customFormat="false" ht="12.75" hidden="false" customHeight="false" outlineLevel="0" collapsed="false">
      <c r="A162" s="196" t="n">
        <f aca="false">IF(A161&lt;mthend,EDATE(A161,1),"")</f>
        <v>41671</v>
      </c>
      <c r="B162" s="197" t="n">
        <f aca="false">IF(A162&lt;mthend,B161,"")</f>
        <v>28400</v>
      </c>
      <c r="C162" s="215"/>
      <c r="D162" s="197" t="n">
        <f aca="false">IF(A163&lt;&gt;"",B162+C162,"")</f>
        <v>28400</v>
      </c>
      <c r="E162" s="199" t="n">
        <f aca="false">IF(A163="","",IF(AND(AT162=1,$H$3=1),D162*AO162,IF($H$3=2,D162,"N/A")))</f>
        <v>795200</v>
      </c>
      <c r="F162" s="199" t="n">
        <f aca="false">IF(A163="","",E162*AS162)</f>
        <v>2478381.65313191</v>
      </c>
      <c r="G162" s="200" t="e">
        <f aca="false">IF($A163="","",VLOOKUP($A162,Table,MATCH(G$4,Curves,0)))</f>
        <v>#N/A</v>
      </c>
      <c r="H162" s="201" t="e">
        <f aca="false">IF(A163="","",G162)</f>
        <v>#N/A</v>
      </c>
      <c r="I162" s="202"/>
      <c r="J162" s="200" t="e">
        <f aca="false">IF($A163="","",VLOOKUP($A162,Table,MATCH(J$4,Curves,0)))</f>
        <v>#N/A</v>
      </c>
      <c r="K162" s="201" t="e">
        <f aca="false">IF(A163="","",J162)</f>
        <v>#N/A</v>
      </c>
      <c r="L162" s="185" t="n">
        <v>0</v>
      </c>
      <c r="M162" s="201" t="n">
        <f aca="false">IF(A163="","",L162)</f>
        <v>0</v>
      </c>
      <c r="N162" s="203"/>
      <c r="O162" s="200" t="e">
        <f aca="false">IF(A163="","",L162+J162+G162)</f>
        <v>#N/A</v>
      </c>
      <c r="P162" s="200" t="e">
        <f aca="false">IF(A163="","",M162+K162+H162)</f>
        <v>#N/A</v>
      </c>
      <c r="Q162" s="204"/>
      <c r="R162" s="200" t="e">
        <f aca="false">IF($A163="","",VLOOKUP($A162,Table,MATCH(R$4,Curves,0)))</f>
        <v>#N/A</v>
      </c>
      <c r="S162" s="201" t="e">
        <f aca="false">IF(A163="","",R162)</f>
        <v>#N/A</v>
      </c>
      <c r="T162" s="185" t="n">
        <v>0</v>
      </c>
      <c r="U162" s="201" t="n">
        <f aca="false">IF(A163="","",T162)</f>
        <v>0</v>
      </c>
      <c r="V162" s="205" t="e">
        <f aca="false">(G162+R162)/(1-Summary!$T$13)*Summary!$T$13</f>
        <v>#N/A</v>
      </c>
      <c r="W162" s="202" t="e">
        <f aca="false">IF($A163="","",(T162+R162+G162+V162))</f>
        <v>#N/A</v>
      </c>
      <c r="X162" s="202" t="e">
        <f aca="false">IF($A163="","",(U162+S162+H162+V162))</f>
        <v>#N/A</v>
      </c>
      <c r="Y162" s="202"/>
      <c r="Z162" s="185" t="e">
        <f aca="false">IF($A163="","",VLOOKUP($A162,Table,MATCH(Z$4,Curves,0)))</f>
        <v>#N/A</v>
      </c>
      <c r="AA162" s="185" t="e">
        <f aca="false">IF($A163="","",VLOOKUP($A162,Table,MATCH(AA$4,Curves,0)))</f>
        <v>#N/A</v>
      </c>
      <c r="AB162" s="185" t="e">
        <f aca="false">SQRT((AA162^2*(A162-$D$3)+Z162^2*(DAY(EOMONTH(A162,0))/2))/AK162)</f>
        <v>#N/A</v>
      </c>
      <c r="AC162" s="185" t="e">
        <f aca="false">IF($A163="","",VLOOKUP($A162,Table,MATCH(AC$4,Curves,0)))</f>
        <v>#N/A</v>
      </c>
      <c r="AD162" s="185" t="e">
        <f aca="false">IF($A163="","",VLOOKUP($A162,Table,MATCH(AD$4,Curves,0)))</f>
        <v>#N/A</v>
      </c>
      <c r="AE162" s="185" t="e">
        <f aca="false">SQRT((AD162^2*(A162-$D$3)+AC162^2*(DAY(EOMONTH(A162,0))/2))/AK162)</f>
        <v>#N/A</v>
      </c>
      <c r="AF162" s="224" t="e">
        <f aca="false">((Summary!$N$13*(AA162*AD162)*(A162-$D$3))+(Summary!$M$13*Z162*AC162*(AJ162-EOMONTH(EDATE(A162,-1),0))))/(AK162*AB162*AE162)</f>
        <v>#N/A</v>
      </c>
      <c r="AG162" s="207" t="n">
        <f aca="false">IF($A163="","",Summary!$Q$13)</f>
        <v>0</v>
      </c>
      <c r="AH162" s="207" t="n">
        <f aca="false">IF($A163="","",IF(Summary!$R$12="Y",(VLOOKUP($A162,Summary!$AD$6:$AF$9,3)+'Escalating commodity'!I175),'Escalating commodity'!I175))</f>
        <v>0.0580094320414193</v>
      </c>
      <c r="AI162" s="207" t="n">
        <f aca="false">IF($A163="","",AH162)</f>
        <v>0.0580094320414193</v>
      </c>
      <c r="AJ162" s="208" t="n">
        <f aca="false">A162+DAY(EOMONTH(A162,0))/2-1</f>
        <v>41684</v>
      </c>
      <c r="AK162" s="209" t="n">
        <f aca="false">IF($A163="","",$A162-$E$1)</f>
        <v>-4255</v>
      </c>
      <c r="AL162" s="182" t="e">
        <f aca="false">IF($A163="","",SPRDOPT(P162,X162,AI162,0,AB162,AE162,AF162,AK162,$AJ$2,0))</f>
        <v>#NAME?</v>
      </c>
      <c r="AM162" s="210" t="e">
        <f aca="false">IF($A163="","",MAX(0,O162-W162-AI162))</f>
        <v>#N/A</v>
      </c>
      <c r="AN162" s="211" t="e">
        <f aca="false">IF($A163="","",AL162-AM162)</f>
        <v>#N/A</v>
      </c>
      <c r="AO162" s="137" t="n">
        <f aca="false">IF(A163="","",A163-A162)</f>
        <v>28</v>
      </c>
      <c r="AP162" s="212" t="n">
        <f aca="false">IF(A163="","",CHOOSE(F$3,A163+24,A162))</f>
        <v>41671</v>
      </c>
      <c r="AQ162" s="209" t="n">
        <f aca="false">IF(A163="","",AP162-$E$1)</f>
        <v>-4255</v>
      </c>
      <c r="AR162" s="185" t="n">
        <f aca="false">'ANR OK vs ML7'!AR162</f>
        <v>0.1</v>
      </c>
      <c r="AS162" s="213" t="n">
        <f aca="false">IF(A163="","",1/(1+CHOOSE(F$3,(AR163+($I$3/10000))/2,(AR162+($I$3/10000))/2))^(2*AQ162/365.25))</f>
        <v>3.11667712919003</v>
      </c>
      <c r="AT162" s="137" t="n">
        <f aca="false">IF(A163="","",IF(AND(mthbeg&lt;=A162,mthend&gt;=A162),1,0))</f>
        <v>1</v>
      </c>
      <c r="AU162" s="137" t="n">
        <f aca="false">IF(A163="","",AO162*AT162)</f>
        <v>28</v>
      </c>
      <c r="AW162" s="195" t="e">
        <f aca="false">IF($A163="","",AL162*$E162)</f>
        <v>#NAME?</v>
      </c>
      <c r="AX162" s="195" t="e">
        <f aca="false">IF($A163="","",AM162*$E162)</f>
        <v>#N/A</v>
      </c>
      <c r="AY162" s="195" t="e">
        <f aca="false">IF($A163="","",AN162*$E162)</f>
        <v>#N/A</v>
      </c>
      <c r="BA162" s="195" t="n">
        <f aca="false">IF($A163="","",F162*Summary!$Q$13)</f>
        <v>0</v>
      </c>
      <c r="BC162" s="179" t="e">
        <f aca="false">IF(A163="","",AM162*F162)</f>
        <v>#N/A</v>
      </c>
    </row>
    <row r="163" customFormat="false" ht="12.75" hidden="false" customHeight="false" outlineLevel="0" collapsed="false">
      <c r="A163" s="196" t="n">
        <f aca="false">IF(A162&lt;mthend,EDATE(A162,1),"")</f>
        <v>41699</v>
      </c>
      <c r="B163" s="197" t="n">
        <f aca="false">IF(A163&lt;mthend,B162,"")</f>
        <v>28400</v>
      </c>
      <c r="C163" s="215"/>
      <c r="D163" s="197" t="n">
        <f aca="false">IF(A164&lt;&gt;"",B163+C163,"")</f>
        <v>28400</v>
      </c>
      <c r="E163" s="199" t="n">
        <f aca="false">IF(A164="","",IF(AND(AT163=1,$H$3=1),D163*AO163,IF($H$3=2,D163,"N/A")))</f>
        <v>880400</v>
      </c>
      <c r="F163" s="199" t="n">
        <f aca="false">IF(A164="","",E163*AS163)</f>
        <v>2723473.23850238</v>
      </c>
      <c r="G163" s="200" t="e">
        <f aca="false">IF($A164="","",VLOOKUP($A163,Table,MATCH(G$4,Curves,0)))</f>
        <v>#N/A</v>
      </c>
      <c r="H163" s="201" t="e">
        <f aca="false">IF(A164="","",G163)</f>
        <v>#N/A</v>
      </c>
      <c r="I163" s="202"/>
      <c r="J163" s="200" t="e">
        <f aca="false">IF($A164="","",VLOOKUP($A163,Table,MATCH(J$4,Curves,0)))</f>
        <v>#N/A</v>
      </c>
      <c r="K163" s="201" t="e">
        <f aca="false">IF(A164="","",J163)</f>
        <v>#N/A</v>
      </c>
      <c r="L163" s="185" t="n">
        <v>0</v>
      </c>
      <c r="M163" s="201" t="n">
        <f aca="false">IF(A164="","",L163)</f>
        <v>0</v>
      </c>
      <c r="N163" s="203"/>
      <c r="O163" s="200" t="e">
        <f aca="false">IF(A164="","",L163+J163+G163)</f>
        <v>#N/A</v>
      </c>
      <c r="P163" s="200" t="e">
        <f aca="false">IF(A164="","",M163+K163+H163)</f>
        <v>#N/A</v>
      </c>
      <c r="Q163" s="204"/>
      <c r="R163" s="200" t="e">
        <f aca="false">IF($A164="","",VLOOKUP($A163,Table,MATCH(R$4,Curves,0)))</f>
        <v>#N/A</v>
      </c>
      <c r="S163" s="201" t="e">
        <f aca="false">IF(A164="","",R163)</f>
        <v>#N/A</v>
      </c>
      <c r="T163" s="185" t="n">
        <v>0</v>
      </c>
      <c r="U163" s="201" t="n">
        <f aca="false">IF(A164="","",T163)</f>
        <v>0</v>
      </c>
      <c r="V163" s="205" t="e">
        <f aca="false">(G163+R163)/(1-Summary!$T$13)*Summary!$T$13</f>
        <v>#N/A</v>
      </c>
      <c r="W163" s="202" t="e">
        <f aca="false">IF($A164="","",(T163+R163+G163+V163))</f>
        <v>#N/A</v>
      </c>
      <c r="X163" s="202" t="e">
        <f aca="false">IF($A164="","",(U163+S163+H163+V163))</f>
        <v>#N/A</v>
      </c>
      <c r="Y163" s="202"/>
      <c r="Z163" s="185" t="e">
        <f aca="false">IF($A164="","",VLOOKUP($A163,Table,MATCH(Z$4,Curves,0)))</f>
        <v>#N/A</v>
      </c>
      <c r="AA163" s="185" t="e">
        <f aca="false">IF($A164="","",VLOOKUP($A163,Table,MATCH(AA$4,Curves,0)))</f>
        <v>#N/A</v>
      </c>
      <c r="AB163" s="185" t="e">
        <f aca="false">SQRT((AA163^2*(A163-$D$3)+Z163^2*(DAY(EOMONTH(A163,0))/2))/AK163)</f>
        <v>#N/A</v>
      </c>
      <c r="AC163" s="185" t="e">
        <f aca="false">IF($A164="","",VLOOKUP($A163,Table,MATCH(AC$4,Curves,0)))</f>
        <v>#N/A</v>
      </c>
      <c r="AD163" s="185" t="e">
        <f aca="false">IF($A164="","",VLOOKUP($A163,Table,MATCH(AD$4,Curves,0)))</f>
        <v>#N/A</v>
      </c>
      <c r="AE163" s="185" t="e">
        <f aca="false">SQRT((AD163^2*(A163-$D$3)+AC163^2*(DAY(EOMONTH(A163,0))/2))/AK163)</f>
        <v>#N/A</v>
      </c>
      <c r="AF163" s="224" t="e">
        <f aca="false">((Summary!$N$13*(AA163*AD163)*(A163-$D$3))+(Summary!$M$13*Z163*AC163*(AJ163-EOMONTH(EDATE(A163,-1),0))))/(AK163*AB163*AE163)</f>
        <v>#N/A</v>
      </c>
      <c r="AG163" s="207" t="n">
        <f aca="false">IF($A164="","",Summary!$Q$13)</f>
        <v>0</v>
      </c>
      <c r="AH163" s="207" t="n">
        <f aca="false">IF($A164="","",IF(Summary!$R$12="Y",(VLOOKUP($A163,Summary!$AD$6:$AF$9,3)+'Escalating commodity'!I176),'Escalating commodity'!I176))</f>
        <v>0.0580094320414193</v>
      </c>
      <c r="AI163" s="207" t="n">
        <f aca="false">IF($A164="","",AH163)</f>
        <v>0.0580094320414193</v>
      </c>
      <c r="AJ163" s="208" t="n">
        <f aca="false">A163+DAY(EOMONTH(A163,0))/2-1</f>
        <v>41713.5</v>
      </c>
      <c r="AK163" s="209" t="n">
        <f aca="false">IF($A164="","",$A163-$E$1)</f>
        <v>-4227</v>
      </c>
      <c r="AL163" s="182" t="e">
        <f aca="false">IF($A164="","",SPRDOPT(P163,X163,AI163,0,AB163,AE163,AF163,AK163,$AJ$2,0))</f>
        <v>#NAME?</v>
      </c>
      <c r="AM163" s="210" t="e">
        <f aca="false">IF($A164="","",MAX(0,O163-W163-AI163))</f>
        <v>#N/A</v>
      </c>
      <c r="AN163" s="211" t="e">
        <f aca="false">IF($A164="","",AL163-AM163)</f>
        <v>#N/A</v>
      </c>
      <c r="AO163" s="137" t="n">
        <f aca="false">IF(A164="","",A164-A163)</f>
        <v>31</v>
      </c>
      <c r="AP163" s="212" t="n">
        <f aca="false">IF(A164="","",CHOOSE(F$3,A164+24,A163))</f>
        <v>41699</v>
      </c>
      <c r="AQ163" s="209" t="n">
        <f aca="false">IF(A164="","",AP163-$E$1)</f>
        <v>-4227</v>
      </c>
      <c r="AR163" s="185" t="n">
        <f aca="false">'ANR OK vs ML7'!AR163</f>
        <v>0.1</v>
      </c>
      <c r="AS163" s="213" t="n">
        <f aca="false">IF(A164="","",1/(1+CHOOSE(F$3,(AR164+($I$3/10000))/2,(AR163+($I$3/10000))/2))^(2*AQ163/365.25))</f>
        <v>3.0934498392803</v>
      </c>
      <c r="AT163" s="137" t="n">
        <f aca="false">IF(A164="","",IF(AND(mthbeg&lt;=A163,mthend&gt;=A163),1,0))</f>
        <v>1</v>
      </c>
      <c r="AU163" s="137" t="n">
        <f aca="false">IF(A164="","",AO163*AT163)</f>
        <v>31</v>
      </c>
      <c r="AW163" s="195" t="e">
        <f aca="false">IF($A164="","",AL163*$E163)</f>
        <v>#NAME?</v>
      </c>
      <c r="AX163" s="195" t="e">
        <f aca="false">IF($A164="","",AM163*$E163)</f>
        <v>#N/A</v>
      </c>
      <c r="AY163" s="195" t="e">
        <f aca="false">IF($A164="","",AN163*$E163)</f>
        <v>#N/A</v>
      </c>
      <c r="BA163" s="195" t="n">
        <f aca="false">IF($A164="","",F163*Summary!$Q$13)</f>
        <v>0</v>
      </c>
      <c r="BC163" s="179" t="e">
        <f aca="false">IF(A164="","",AM163*F163)</f>
        <v>#N/A</v>
      </c>
    </row>
    <row r="164" customFormat="false" ht="12.75" hidden="false" customHeight="false" outlineLevel="0" collapsed="false">
      <c r="A164" s="196" t="n">
        <f aca="false">IF(A163&lt;mthend,EDATE(A163,1),"")</f>
        <v>41730</v>
      </c>
      <c r="B164" s="197" t="n">
        <f aca="false">IF(A164&lt;mthend,B163,"")</f>
        <v>28400</v>
      </c>
      <c r="C164" s="215"/>
      <c r="D164" s="197" t="n">
        <f aca="false">IF(A165&lt;&gt;"",B164+C164,"")</f>
        <v>28400</v>
      </c>
      <c r="E164" s="199" t="n">
        <f aca="false">IF(A165="","",IF(AND(AT164=1,$H$3=1),D164*AO164,IF($H$3=2,D164,"N/A")))</f>
        <v>852000</v>
      </c>
      <c r="F164" s="199" t="n">
        <f aca="false">IF(A165="","",E164*AS164)</f>
        <v>2613881.27974356</v>
      </c>
      <c r="G164" s="200" t="e">
        <f aca="false">IF($A165="","",VLOOKUP($A164,Table,MATCH(G$4,Curves,0)))</f>
        <v>#N/A</v>
      </c>
      <c r="H164" s="201" t="e">
        <f aca="false">IF(A165="","",G164)</f>
        <v>#N/A</v>
      </c>
      <c r="I164" s="202"/>
      <c r="J164" s="200" t="e">
        <f aca="false">IF($A165="","",VLOOKUP($A164,Table,MATCH(J$4,Curves,0)))</f>
        <v>#N/A</v>
      </c>
      <c r="K164" s="201" t="e">
        <f aca="false">IF(A165="","",J164)</f>
        <v>#N/A</v>
      </c>
      <c r="L164" s="185" t="n">
        <v>0</v>
      </c>
      <c r="M164" s="201" t="n">
        <f aca="false">IF(A165="","",L164)</f>
        <v>0</v>
      </c>
      <c r="N164" s="203"/>
      <c r="O164" s="200" t="e">
        <f aca="false">IF(A165="","",L164+J164+G164)</f>
        <v>#N/A</v>
      </c>
      <c r="P164" s="200" t="e">
        <f aca="false">IF(A165="","",M164+K164+H164)</f>
        <v>#N/A</v>
      </c>
      <c r="Q164" s="204"/>
      <c r="R164" s="200" t="e">
        <f aca="false">IF($A165="","",VLOOKUP($A164,Table,MATCH(R$4,Curves,0)))</f>
        <v>#N/A</v>
      </c>
      <c r="S164" s="201" t="e">
        <f aca="false">IF(A165="","",R164)</f>
        <v>#N/A</v>
      </c>
      <c r="T164" s="185" t="n">
        <v>0</v>
      </c>
      <c r="U164" s="201" t="n">
        <f aca="false">IF(A165="","",T164)</f>
        <v>0</v>
      </c>
      <c r="V164" s="205" t="e">
        <f aca="false">(G164+R164)/(1-Summary!$T$13)*Summary!$T$13</f>
        <v>#N/A</v>
      </c>
      <c r="W164" s="202" t="e">
        <f aca="false">IF($A165="","",(T164+R164+G164+V164))</f>
        <v>#N/A</v>
      </c>
      <c r="X164" s="202" t="e">
        <f aca="false">IF($A165="","",(U164+S164+H164+V164))</f>
        <v>#N/A</v>
      </c>
      <c r="Y164" s="202"/>
      <c r="Z164" s="185" t="e">
        <f aca="false">IF($A165="","",VLOOKUP($A164,Table,MATCH(Z$4,Curves,0)))</f>
        <v>#N/A</v>
      </c>
      <c r="AA164" s="185" t="e">
        <f aca="false">IF($A165="","",VLOOKUP($A164,Table,MATCH(AA$4,Curves,0)))</f>
        <v>#N/A</v>
      </c>
      <c r="AB164" s="185" t="e">
        <f aca="false">SQRT((AA164^2*(A164-$D$3)+Z164^2*(DAY(EOMONTH(A164,0))/2))/AK164)</f>
        <v>#N/A</v>
      </c>
      <c r="AC164" s="185" t="e">
        <f aca="false">IF($A165="","",VLOOKUP($A164,Table,MATCH(AC$4,Curves,0)))</f>
        <v>#N/A</v>
      </c>
      <c r="AD164" s="185" t="e">
        <f aca="false">IF($A165="","",VLOOKUP($A164,Table,MATCH(AD$4,Curves,0)))</f>
        <v>#N/A</v>
      </c>
      <c r="AE164" s="185" t="e">
        <f aca="false">SQRT((AD164^2*(A164-$D$3)+AC164^2*(DAY(EOMONTH(A164,0))/2))/AK164)</f>
        <v>#N/A</v>
      </c>
      <c r="AF164" s="224" t="e">
        <f aca="false">((Summary!$N$13*(AA164*AD164)*(A164-$D$3))+(Summary!$M$13*Z164*AC164*(AJ164-EOMONTH(EDATE(A164,-1),0))))/(AK164*AB164*AE164)</f>
        <v>#N/A</v>
      </c>
      <c r="AG164" s="207" t="n">
        <f aca="false">IF($A165="","",Summary!$Q$13)</f>
        <v>0</v>
      </c>
      <c r="AH164" s="207" t="n">
        <f aca="false">IF($A165="","",IF(Summary!$R$12="Y",(VLOOKUP($A164,Summary!$AD$6:$AF$9,3)+'Escalating commodity'!I177),'Escalating commodity'!I177))</f>
        <v>0.0580094320414193</v>
      </c>
      <c r="AI164" s="207" t="n">
        <f aca="false">IF($A165="","",AH164)</f>
        <v>0.0580094320414193</v>
      </c>
      <c r="AJ164" s="208" t="n">
        <f aca="false">A164+DAY(EOMONTH(A164,0))/2-1</f>
        <v>41744</v>
      </c>
      <c r="AK164" s="209" t="n">
        <f aca="false">IF($A165="","",$A164-$E$1)</f>
        <v>-4196</v>
      </c>
      <c r="AL164" s="182" t="e">
        <f aca="false">IF($A165="","",SPRDOPT(P164,X164,AI164,0,AB164,AE164,AF164,AK164,$AJ$2,0))</f>
        <v>#NAME?</v>
      </c>
      <c r="AM164" s="210" t="e">
        <f aca="false">IF($A165="","",MAX(0,O164-W164-AI164))</f>
        <v>#N/A</v>
      </c>
      <c r="AN164" s="211" t="e">
        <f aca="false">IF($A165="","",AL164-AM164)</f>
        <v>#N/A</v>
      </c>
      <c r="AO164" s="137" t="n">
        <f aca="false">IF(A165="","",A165-A164)</f>
        <v>30</v>
      </c>
      <c r="AP164" s="212" t="n">
        <f aca="false">IF(A165="","",CHOOSE(F$3,A165+24,A164))</f>
        <v>41730</v>
      </c>
      <c r="AQ164" s="209" t="n">
        <f aca="false">IF(A165="","",AP164-$E$1)</f>
        <v>-4196</v>
      </c>
      <c r="AR164" s="185" t="n">
        <f aca="false">'ANR OK vs ML7'!AR164</f>
        <v>0.1</v>
      </c>
      <c r="AS164" s="213" t="n">
        <f aca="false">IF(A165="","",1/(1+CHOOSE(F$3,(AR165+($I$3/10000))/2,(AR164+($I$3/10000))/2))^(2*AQ164/365.25))</f>
        <v>3.06793577434691</v>
      </c>
      <c r="AT164" s="137" t="n">
        <f aca="false">IF(A165="","",IF(AND(mthbeg&lt;=A164,mthend&gt;=A164),1,0))</f>
        <v>1</v>
      </c>
      <c r="AU164" s="137" t="n">
        <f aca="false">IF(A165="","",AO164*AT164)</f>
        <v>30</v>
      </c>
      <c r="AW164" s="195" t="e">
        <f aca="false">IF($A165="","",AL164*$E164)</f>
        <v>#NAME?</v>
      </c>
      <c r="AX164" s="195" t="e">
        <f aca="false">IF($A165="","",AM164*$E164)</f>
        <v>#N/A</v>
      </c>
      <c r="AY164" s="195" t="e">
        <f aca="false">IF($A165="","",AN164*$E164)</f>
        <v>#N/A</v>
      </c>
      <c r="BA164" s="195" t="n">
        <f aca="false">IF($A165="","",F164*Summary!$Q$13)</f>
        <v>0</v>
      </c>
      <c r="BC164" s="179" t="e">
        <f aca="false">IF(A165="","",AM164*F164)</f>
        <v>#N/A</v>
      </c>
    </row>
    <row r="165" customFormat="false" ht="12.75" hidden="false" customHeight="false" outlineLevel="0" collapsed="false">
      <c r="A165" s="196" t="n">
        <f aca="false">IF(A164&lt;mthend,EDATE(A164,1),"")</f>
        <v>41760</v>
      </c>
      <c r="B165" s="197" t="n">
        <f aca="false">IF(A165&lt;mthend,B164,"")</f>
        <v>28400</v>
      </c>
      <c r="C165" s="215"/>
      <c r="D165" s="197" t="n">
        <f aca="false">IF(A166&lt;&gt;"",B165+C165,"")</f>
        <v>28400</v>
      </c>
      <c r="E165" s="199" t="n">
        <f aca="false">IF(A166="","",IF(AND(AT165=1,$H$3=1),D165*AO165,IF($H$3=2,D165,"N/A")))</f>
        <v>880400</v>
      </c>
      <c r="F165" s="199" t="n">
        <f aca="false">IF(A166="","",E165*AS165)</f>
        <v>2679449.0862184</v>
      </c>
      <c r="G165" s="200" t="e">
        <f aca="false">IF($A166="","",VLOOKUP($A165,Table,MATCH(G$4,Curves,0)))</f>
        <v>#N/A</v>
      </c>
      <c r="H165" s="201" t="e">
        <f aca="false">IF(A166="","",G165)</f>
        <v>#N/A</v>
      </c>
      <c r="I165" s="202"/>
      <c r="J165" s="200" t="e">
        <f aca="false">IF($A166="","",VLOOKUP($A165,Table,MATCH(J$4,Curves,0)))</f>
        <v>#N/A</v>
      </c>
      <c r="K165" s="201" t="e">
        <f aca="false">IF(A166="","",J165)</f>
        <v>#N/A</v>
      </c>
      <c r="L165" s="185" t="n">
        <v>0</v>
      </c>
      <c r="M165" s="201" t="n">
        <f aca="false">IF(A166="","",L165)</f>
        <v>0</v>
      </c>
      <c r="N165" s="203"/>
      <c r="O165" s="200" t="e">
        <f aca="false">IF(A166="","",L165+J165+G165)</f>
        <v>#N/A</v>
      </c>
      <c r="P165" s="200" t="e">
        <f aca="false">IF(A166="","",M165+K165+H165)</f>
        <v>#N/A</v>
      </c>
      <c r="Q165" s="204"/>
      <c r="R165" s="200" t="e">
        <f aca="false">IF($A166="","",VLOOKUP($A165,Table,MATCH(R$4,Curves,0)))</f>
        <v>#N/A</v>
      </c>
      <c r="S165" s="201" t="e">
        <f aca="false">IF(A166="","",R165)</f>
        <v>#N/A</v>
      </c>
      <c r="T165" s="185" t="n">
        <v>0</v>
      </c>
      <c r="U165" s="201" t="n">
        <f aca="false">IF(A166="","",T165)</f>
        <v>0</v>
      </c>
      <c r="V165" s="205" t="e">
        <f aca="false">(G165+R165)/(1-Summary!$T$13)*Summary!$T$13</f>
        <v>#N/A</v>
      </c>
      <c r="W165" s="202" t="e">
        <f aca="false">IF($A166="","",(T165+R165+G165+V165))</f>
        <v>#N/A</v>
      </c>
      <c r="X165" s="202" t="e">
        <f aca="false">IF($A166="","",(U165+S165+H165+V165))</f>
        <v>#N/A</v>
      </c>
      <c r="Y165" s="202"/>
      <c r="Z165" s="185" t="e">
        <f aca="false">IF($A166="","",VLOOKUP($A165,Table,MATCH(Z$4,Curves,0)))</f>
        <v>#N/A</v>
      </c>
      <c r="AA165" s="185" t="e">
        <f aca="false">IF($A166="","",VLOOKUP($A165,Table,MATCH(AA$4,Curves,0)))</f>
        <v>#N/A</v>
      </c>
      <c r="AB165" s="185" t="e">
        <f aca="false">SQRT((AA165^2*(A165-$D$3)+Z165^2*(DAY(EOMONTH(A165,0))/2))/AK165)</f>
        <v>#N/A</v>
      </c>
      <c r="AC165" s="185" t="e">
        <f aca="false">IF($A166="","",VLOOKUP($A165,Table,MATCH(AC$4,Curves,0)))</f>
        <v>#N/A</v>
      </c>
      <c r="AD165" s="185" t="e">
        <f aca="false">IF($A166="","",VLOOKUP($A165,Table,MATCH(AD$4,Curves,0)))</f>
        <v>#N/A</v>
      </c>
      <c r="AE165" s="185" t="e">
        <f aca="false">SQRT((AD165^2*(A165-$D$3)+AC165^2*(DAY(EOMONTH(A165,0))/2))/AK165)</f>
        <v>#N/A</v>
      </c>
      <c r="AF165" s="224" t="e">
        <f aca="false">((Summary!$N$13*(AA165*AD165)*(A165-$D$3))+(Summary!$M$13*Z165*AC165*(AJ165-EOMONTH(EDATE(A165,-1),0))))/(AK165*AB165*AE165)</f>
        <v>#N/A</v>
      </c>
      <c r="AG165" s="207" t="n">
        <f aca="false">IF($A166="","",Summary!$Q$13)</f>
        <v>0</v>
      </c>
      <c r="AH165" s="207" t="n">
        <f aca="false">IF($A166="","",IF(Summary!$R$12="Y",(VLOOKUP($A165,Summary!$AD$6:$AF$9,3)+'Escalating commodity'!I178),'Escalating commodity'!I178))</f>
        <v>0.0580094320414193</v>
      </c>
      <c r="AI165" s="207" t="n">
        <f aca="false">IF($A166="","",AH165)</f>
        <v>0.0580094320414193</v>
      </c>
      <c r="AJ165" s="208" t="n">
        <f aca="false">A165+DAY(EOMONTH(A165,0))/2-1</f>
        <v>41774.5</v>
      </c>
      <c r="AK165" s="209" t="n">
        <f aca="false">IF($A166="","",$A165-$E$1)</f>
        <v>-4166</v>
      </c>
      <c r="AL165" s="182" t="e">
        <f aca="false">IF($A166="","",SPRDOPT(P165,X165,AI165,0,AB165,AE165,AF165,AK165,$AJ$2,0))</f>
        <v>#NAME?</v>
      </c>
      <c r="AM165" s="210" t="e">
        <f aca="false">IF($A166="","",MAX(0,O165-W165-AI165))</f>
        <v>#N/A</v>
      </c>
      <c r="AN165" s="211" t="e">
        <f aca="false">IF($A166="","",AL165-AM165)</f>
        <v>#N/A</v>
      </c>
      <c r="AO165" s="137" t="n">
        <f aca="false">IF(A166="","",A166-A165)</f>
        <v>31</v>
      </c>
      <c r="AP165" s="212" t="n">
        <f aca="false">IF(A166="","",CHOOSE(F$3,A166+24,A165))</f>
        <v>41760</v>
      </c>
      <c r="AQ165" s="209" t="n">
        <f aca="false">IF(A166="","",AP165-$E$1)</f>
        <v>-4166</v>
      </c>
      <c r="AR165" s="185" t="n">
        <f aca="false">'ANR OK vs ML7'!AR165</f>
        <v>0.1</v>
      </c>
      <c r="AS165" s="213" t="n">
        <f aca="false">IF(A166="","",1/(1+CHOOSE(F$3,(AR166+($I$3/10000))/2,(AR165+($I$3/10000))/2))^(2*AQ165/365.25))</f>
        <v>3.04344512291958</v>
      </c>
      <c r="AT165" s="137" t="n">
        <f aca="false">IF(A166="","",IF(AND(mthbeg&lt;=A165,mthend&gt;=A165),1,0))</f>
        <v>1</v>
      </c>
      <c r="AU165" s="137" t="n">
        <f aca="false">IF(A166="","",AO165*AT165)</f>
        <v>31</v>
      </c>
      <c r="AW165" s="195" t="e">
        <f aca="false">IF($A166="","",AL165*$E165)</f>
        <v>#NAME?</v>
      </c>
      <c r="AX165" s="195" t="e">
        <f aca="false">IF($A166="","",AM165*$E165)</f>
        <v>#N/A</v>
      </c>
      <c r="AY165" s="195" t="e">
        <f aca="false">IF($A166="","",AN165*$E165)</f>
        <v>#N/A</v>
      </c>
      <c r="BA165" s="195" t="n">
        <f aca="false">IF($A166="","",F165*Summary!$Q$13)</f>
        <v>0</v>
      </c>
      <c r="BC165" s="179" t="e">
        <f aca="false">IF(A166="","",AM165*F165)</f>
        <v>#N/A</v>
      </c>
    </row>
    <row r="166" customFormat="false" ht="12.75" hidden="false" customHeight="false" outlineLevel="0" collapsed="false">
      <c r="A166" s="196" t="n">
        <f aca="false">IF(A165&lt;mthend,EDATE(A165,1),"")</f>
        <v>41791</v>
      </c>
      <c r="B166" s="197" t="n">
        <f aca="false">IF(A166&lt;mthend,B165,"")</f>
        <v>28400</v>
      </c>
      <c r="C166" s="215"/>
      <c r="D166" s="197" t="n">
        <f aca="false">IF(A167&lt;&gt;"",B166+C166,"")</f>
        <v>28400</v>
      </c>
      <c r="E166" s="199" t="n">
        <f aca="false">IF(A167="","",IF(AND(AT166=1,$H$3=1),D166*AO166,IF($H$3=2,D166,"N/A")))</f>
        <v>852000</v>
      </c>
      <c r="F166" s="199" t="n">
        <f aca="false">IF(A167="","",E166*AS166)</f>
        <v>2571628.64957821</v>
      </c>
      <c r="G166" s="200" t="e">
        <f aca="false">IF($A167="","",VLOOKUP($A166,Table,MATCH(G$4,Curves,0)))</f>
        <v>#N/A</v>
      </c>
      <c r="H166" s="201" t="e">
        <f aca="false">IF(A167="","",G166)</f>
        <v>#N/A</v>
      </c>
      <c r="I166" s="202"/>
      <c r="J166" s="200" t="e">
        <f aca="false">IF($A167="","",VLOOKUP($A166,Table,MATCH(J$4,Curves,0)))</f>
        <v>#N/A</v>
      </c>
      <c r="K166" s="201" t="e">
        <f aca="false">IF(A167="","",J166)</f>
        <v>#N/A</v>
      </c>
      <c r="L166" s="185" t="n">
        <v>0</v>
      </c>
      <c r="M166" s="201" t="n">
        <f aca="false">IF(A167="","",L166)</f>
        <v>0</v>
      </c>
      <c r="N166" s="203"/>
      <c r="O166" s="200" t="e">
        <f aca="false">IF(A167="","",L166+J166+G166)</f>
        <v>#N/A</v>
      </c>
      <c r="P166" s="200" t="e">
        <f aca="false">IF(A167="","",M166+K166+H166)</f>
        <v>#N/A</v>
      </c>
      <c r="Q166" s="204"/>
      <c r="R166" s="200" t="e">
        <f aca="false">IF($A167="","",VLOOKUP($A166,Table,MATCH(R$4,Curves,0)))</f>
        <v>#N/A</v>
      </c>
      <c r="S166" s="201" t="e">
        <f aca="false">IF(A167="","",R166)</f>
        <v>#N/A</v>
      </c>
      <c r="T166" s="185" t="n">
        <v>0</v>
      </c>
      <c r="U166" s="201" t="n">
        <f aca="false">IF(A167="","",T166)</f>
        <v>0</v>
      </c>
      <c r="V166" s="205" t="e">
        <f aca="false">(G166+R166)/(1-Summary!$T$13)*Summary!$T$13</f>
        <v>#N/A</v>
      </c>
      <c r="W166" s="202" t="e">
        <f aca="false">IF($A167="","",(T166+R166+G166+V166))</f>
        <v>#N/A</v>
      </c>
      <c r="X166" s="202" t="e">
        <f aca="false">IF($A167="","",(U166+S166+H166+V166))</f>
        <v>#N/A</v>
      </c>
      <c r="Y166" s="202"/>
      <c r="Z166" s="185" t="e">
        <f aca="false">IF($A167="","",VLOOKUP($A166,Table,MATCH(Z$4,Curves,0)))</f>
        <v>#N/A</v>
      </c>
      <c r="AA166" s="185" t="e">
        <f aca="false">IF($A167="","",VLOOKUP($A166,Table,MATCH(AA$4,Curves,0)))</f>
        <v>#N/A</v>
      </c>
      <c r="AB166" s="185" t="e">
        <f aca="false">SQRT((AA166^2*(A166-$D$3)+Z166^2*(DAY(EOMONTH(A166,0))/2))/AK166)</f>
        <v>#N/A</v>
      </c>
      <c r="AC166" s="185" t="e">
        <f aca="false">IF($A167="","",VLOOKUP($A166,Table,MATCH(AC$4,Curves,0)))</f>
        <v>#N/A</v>
      </c>
      <c r="AD166" s="185" t="e">
        <f aca="false">IF($A167="","",VLOOKUP($A166,Table,MATCH(AD$4,Curves,0)))</f>
        <v>#N/A</v>
      </c>
      <c r="AE166" s="185" t="e">
        <f aca="false">SQRT((AD166^2*(A166-$D$3)+AC166^2*(DAY(EOMONTH(A166,0))/2))/AK166)</f>
        <v>#N/A</v>
      </c>
      <c r="AF166" s="224" t="e">
        <f aca="false">((Summary!$N$13*(AA166*AD166)*(A166-$D$3))+(Summary!$M$13*Z166*AC166*(AJ166-EOMONTH(EDATE(A166,-1),0))))/(AK166*AB166*AE166)</f>
        <v>#N/A</v>
      </c>
      <c r="AG166" s="207" t="n">
        <f aca="false">IF($A167="","",Summary!$Q$13)</f>
        <v>0</v>
      </c>
      <c r="AH166" s="207" t="n">
        <f aca="false">IF($A167="","",IF(Summary!$R$12="Y",(VLOOKUP($A166,Summary!$AD$6:$AF$9,3)+'Escalating commodity'!I179),'Escalating commodity'!I179))</f>
        <v>0.0580094320414193</v>
      </c>
      <c r="AI166" s="207" t="n">
        <f aca="false">IF($A167="","",AH166)</f>
        <v>0.0580094320414193</v>
      </c>
      <c r="AJ166" s="208" t="n">
        <f aca="false">A166+DAY(EOMONTH(A166,0))/2-1</f>
        <v>41805</v>
      </c>
      <c r="AK166" s="209" t="n">
        <f aca="false">IF($A167="","",$A166-$E$1)</f>
        <v>-4135</v>
      </c>
      <c r="AL166" s="182" t="e">
        <f aca="false">IF($A167="","",SPRDOPT(P166,X166,AI166,0,AB166,AE166,AF166,AK166,$AJ$2,0))</f>
        <v>#NAME?</v>
      </c>
      <c r="AM166" s="210" t="e">
        <f aca="false">IF($A167="","",MAX(0,O166-W166-AI166))</f>
        <v>#N/A</v>
      </c>
      <c r="AN166" s="211" t="e">
        <f aca="false">IF($A167="","",AL166-AM166)</f>
        <v>#N/A</v>
      </c>
      <c r="AO166" s="137" t="n">
        <f aca="false">IF(A167="","",A167-A166)</f>
        <v>30</v>
      </c>
      <c r="AP166" s="212" t="n">
        <f aca="false">IF(A167="","",CHOOSE(F$3,A167+24,A166))</f>
        <v>41791</v>
      </c>
      <c r="AQ166" s="209" t="n">
        <f aca="false">IF(A167="","",AP166-$E$1)</f>
        <v>-4135</v>
      </c>
      <c r="AR166" s="185" t="n">
        <f aca="false">'ANR OK vs ML7'!AR166</f>
        <v>0.1</v>
      </c>
      <c r="AS166" s="213" t="n">
        <f aca="false">IF(A167="","",1/(1+CHOOSE(F$3,(AR167+($I$3/10000))/2,(AR166+($I$3/10000))/2))^(2*AQ166/365.25))</f>
        <v>3.01834348542044</v>
      </c>
      <c r="AT166" s="137" t="n">
        <f aca="false">IF(A167="","",IF(AND(mthbeg&lt;=A166,mthend&gt;=A166),1,0))</f>
        <v>1</v>
      </c>
      <c r="AU166" s="137" t="n">
        <f aca="false">IF(A167="","",AO166*AT166)</f>
        <v>30</v>
      </c>
      <c r="AW166" s="195" t="e">
        <f aca="false">IF($A167="","",AL166*$E166)</f>
        <v>#NAME?</v>
      </c>
      <c r="AX166" s="195" t="e">
        <f aca="false">IF($A167="","",AM166*$E166)</f>
        <v>#N/A</v>
      </c>
      <c r="AY166" s="195" t="e">
        <f aca="false">IF($A167="","",AN166*$E166)</f>
        <v>#N/A</v>
      </c>
      <c r="BA166" s="195" t="n">
        <f aca="false">IF($A167="","",F166*Summary!$Q$13)</f>
        <v>0</v>
      </c>
      <c r="BC166" s="179" t="e">
        <f aca="false">IF(A167="","",AM166*F166)</f>
        <v>#N/A</v>
      </c>
    </row>
    <row r="167" customFormat="false" ht="12.75" hidden="false" customHeight="false" outlineLevel="0" collapsed="false">
      <c r="A167" s="196" t="n">
        <f aca="false">IF(A166&lt;mthend,EDATE(A166,1),"")</f>
        <v>41821</v>
      </c>
      <c r="B167" s="197" t="n">
        <f aca="false">IF(A167&lt;mthend,B166,"")</f>
        <v>28400</v>
      </c>
      <c r="C167" s="215"/>
      <c r="D167" s="197" t="n">
        <f aca="false">IF(A168&lt;&gt;"",B167+C167,"")</f>
        <v>28400</v>
      </c>
      <c r="E167" s="199" t="n">
        <f aca="false">IF(A168="","",IF(AND(AT167=1,$H$3=1),D167*AO167,IF($H$3=2,D167,"N/A")))</f>
        <v>880400</v>
      </c>
      <c r="F167" s="199" t="n">
        <f aca="false">IF(A168="","",E167*AS167)</f>
        <v>2636136.57154368</v>
      </c>
      <c r="G167" s="200" t="e">
        <f aca="false">IF($A168="","",VLOOKUP($A167,Table,MATCH(G$4,Curves,0)))</f>
        <v>#N/A</v>
      </c>
      <c r="H167" s="201" t="e">
        <f aca="false">IF(A168="","",G167)</f>
        <v>#N/A</v>
      </c>
      <c r="I167" s="202"/>
      <c r="J167" s="200" t="e">
        <f aca="false">IF($A168="","",VLOOKUP($A167,Table,MATCH(J$4,Curves,0)))</f>
        <v>#N/A</v>
      </c>
      <c r="K167" s="201" t="e">
        <f aca="false">IF(A168="","",J167)</f>
        <v>#N/A</v>
      </c>
      <c r="L167" s="185" t="n">
        <v>0</v>
      </c>
      <c r="M167" s="201" t="n">
        <f aca="false">IF(A168="","",L167)</f>
        <v>0</v>
      </c>
      <c r="N167" s="203"/>
      <c r="O167" s="200" t="e">
        <f aca="false">IF(A168="","",L167+J167+G167)</f>
        <v>#N/A</v>
      </c>
      <c r="P167" s="200" t="e">
        <f aca="false">IF(A168="","",M167+K167+H167)</f>
        <v>#N/A</v>
      </c>
      <c r="Q167" s="204"/>
      <c r="R167" s="200" t="e">
        <f aca="false">IF($A168="","",VLOOKUP($A167,Table,MATCH(R$4,Curves,0)))</f>
        <v>#N/A</v>
      </c>
      <c r="S167" s="201" t="e">
        <f aca="false">IF(A168="","",R167)</f>
        <v>#N/A</v>
      </c>
      <c r="T167" s="185" t="n">
        <v>0</v>
      </c>
      <c r="U167" s="201" t="n">
        <f aca="false">IF(A168="","",T167)</f>
        <v>0</v>
      </c>
      <c r="V167" s="205" t="e">
        <f aca="false">(G167+R167)/(1-Summary!$T$13)*Summary!$T$13</f>
        <v>#N/A</v>
      </c>
      <c r="W167" s="202" t="e">
        <f aca="false">IF($A168="","",(T167+R167+G167+V167))</f>
        <v>#N/A</v>
      </c>
      <c r="X167" s="202" t="e">
        <f aca="false">IF($A168="","",(U167+S167+H167+V167))</f>
        <v>#N/A</v>
      </c>
      <c r="Y167" s="202"/>
      <c r="Z167" s="185" t="e">
        <f aca="false">IF($A168="","",VLOOKUP($A167,Table,MATCH(Z$4,Curves,0)))</f>
        <v>#N/A</v>
      </c>
      <c r="AA167" s="185" t="e">
        <f aca="false">IF($A168="","",VLOOKUP($A167,Table,MATCH(AA$4,Curves,0)))</f>
        <v>#N/A</v>
      </c>
      <c r="AB167" s="185" t="e">
        <f aca="false">SQRT((AA167^2*(A167-$D$3)+Z167^2*(DAY(EOMONTH(A167,0))/2))/AK167)</f>
        <v>#N/A</v>
      </c>
      <c r="AC167" s="185" t="e">
        <f aca="false">IF($A168="","",VLOOKUP($A167,Table,MATCH(AC$4,Curves,0)))</f>
        <v>#N/A</v>
      </c>
      <c r="AD167" s="185" t="e">
        <f aca="false">IF($A168="","",VLOOKUP($A167,Table,MATCH(AD$4,Curves,0)))</f>
        <v>#N/A</v>
      </c>
      <c r="AE167" s="185" t="e">
        <f aca="false">SQRT((AD167^2*(A167-$D$3)+AC167^2*(DAY(EOMONTH(A167,0))/2))/AK167)</f>
        <v>#N/A</v>
      </c>
      <c r="AF167" s="224" t="e">
        <f aca="false">((Summary!$N$13*(AA167*AD167)*(A167-$D$3))+(Summary!$M$13*Z167*AC167*(AJ167-EOMONTH(EDATE(A167,-1),0))))/(AK167*AB167*AE167)</f>
        <v>#N/A</v>
      </c>
      <c r="AG167" s="207" t="n">
        <f aca="false">IF($A168="","",Summary!$Q$13)</f>
        <v>0</v>
      </c>
      <c r="AH167" s="207" t="n">
        <f aca="false">IF($A168="","",IF(Summary!$R$12="Y",(VLOOKUP($A167,Summary!$AD$6:$AF$9,3)+'Escalating commodity'!I180),'Escalating commodity'!I180))</f>
        <v>0.0580094320414193</v>
      </c>
      <c r="AI167" s="207" t="n">
        <f aca="false">IF($A168="","",AH167)</f>
        <v>0.0580094320414193</v>
      </c>
      <c r="AJ167" s="208" t="n">
        <f aca="false">A167+DAY(EOMONTH(A167,0))/2-1</f>
        <v>41835.5</v>
      </c>
      <c r="AK167" s="209" t="n">
        <f aca="false">IF($A168="","",$A167-$E$1)</f>
        <v>-4105</v>
      </c>
      <c r="AL167" s="182" t="e">
        <f aca="false">IF($A168="","",SPRDOPT(P167,X167,AI167,0,AB167,AE167,AF167,AK167,$AJ$2,0))</f>
        <v>#NAME?</v>
      </c>
      <c r="AM167" s="210" t="e">
        <f aca="false">IF($A168="","",MAX(0,O167-W167-AI167))</f>
        <v>#N/A</v>
      </c>
      <c r="AN167" s="211" t="e">
        <f aca="false">IF($A168="","",AL167-AM167)</f>
        <v>#N/A</v>
      </c>
      <c r="AO167" s="137" t="n">
        <f aca="false">IF(A168="","",A168-A167)</f>
        <v>31</v>
      </c>
      <c r="AP167" s="212" t="n">
        <f aca="false">IF(A168="","",CHOOSE(F$3,A168+24,A167))</f>
        <v>41821</v>
      </c>
      <c r="AQ167" s="209" t="n">
        <f aca="false">IF(A168="","",AP167-$E$1)</f>
        <v>-4105</v>
      </c>
      <c r="AR167" s="185" t="n">
        <f aca="false">'ANR OK vs ML7'!AR167</f>
        <v>0.1</v>
      </c>
      <c r="AS167" s="213" t="n">
        <f aca="false">IF(A168="","",1/(1+CHOOSE(F$3,(AR168+($I$3/10000))/2,(AR167+($I$3/10000))/2))^(2*AQ167/365.25))</f>
        <v>2.99424871824588</v>
      </c>
      <c r="AT167" s="137" t="n">
        <f aca="false">IF(A168="","",IF(AND(mthbeg&lt;=A167,mthend&gt;=A167),1,0))</f>
        <v>1</v>
      </c>
      <c r="AU167" s="137" t="n">
        <f aca="false">IF(A168="","",AO167*AT167)</f>
        <v>31</v>
      </c>
      <c r="AW167" s="195" t="e">
        <f aca="false">IF($A168="","",AL167*$E167)</f>
        <v>#NAME?</v>
      </c>
      <c r="AX167" s="195" t="e">
        <f aca="false">IF($A168="","",AM167*$E167)</f>
        <v>#N/A</v>
      </c>
      <c r="AY167" s="195" t="e">
        <f aca="false">IF($A168="","",AN167*$E167)</f>
        <v>#N/A</v>
      </c>
      <c r="BA167" s="195" t="n">
        <f aca="false">IF($A168="","",F167*Summary!$Q$13)</f>
        <v>0</v>
      </c>
      <c r="BC167" s="179" t="e">
        <f aca="false">IF(A168="","",AM167*F167)</f>
        <v>#N/A</v>
      </c>
    </row>
    <row r="168" customFormat="false" ht="12.75" hidden="false" customHeight="false" outlineLevel="0" collapsed="false">
      <c r="A168" s="196" t="n">
        <f aca="false">IF(A167&lt;mthend,EDATE(A167,1),"")</f>
        <v>41852</v>
      </c>
      <c r="B168" s="197" t="n">
        <f aca="false">IF(A168&lt;mthend,B167,"")</f>
        <v>28400</v>
      </c>
      <c r="C168" s="215"/>
      <c r="D168" s="197" t="n">
        <f aca="false">IF(A169&lt;&gt;"",B168+C168,"")</f>
        <v>28400</v>
      </c>
      <c r="E168" s="199" t="n">
        <f aca="false">IF(A169="","",IF(AND(AT168=1,$H$3=1),D168*AO168,IF($H$3=2,D168,"N/A")))</f>
        <v>880400</v>
      </c>
      <c r="F168" s="199" t="n">
        <f aca="false">IF(A169="","",E168*AS168)</f>
        <v>2614394.32157873</v>
      </c>
      <c r="G168" s="200" t="e">
        <f aca="false">IF($A169="","",VLOOKUP($A168,Table,MATCH(G$4,Curves,0)))</f>
        <v>#N/A</v>
      </c>
      <c r="H168" s="201" t="e">
        <f aca="false">IF(A169="","",G168)</f>
        <v>#N/A</v>
      </c>
      <c r="I168" s="202"/>
      <c r="J168" s="200" t="e">
        <f aca="false">IF($A169="","",VLOOKUP($A168,Table,MATCH(J$4,Curves,0)))</f>
        <v>#N/A</v>
      </c>
      <c r="K168" s="201" t="e">
        <f aca="false">IF(A169="","",J168)</f>
        <v>#N/A</v>
      </c>
      <c r="L168" s="185" t="n">
        <v>0</v>
      </c>
      <c r="M168" s="201" t="n">
        <f aca="false">IF(A169="","",L168)</f>
        <v>0</v>
      </c>
      <c r="N168" s="203"/>
      <c r="O168" s="200" t="e">
        <f aca="false">IF(A169="","",L168+J168+G168)</f>
        <v>#N/A</v>
      </c>
      <c r="P168" s="200" t="e">
        <f aca="false">IF(A169="","",M168+K168+H168)</f>
        <v>#N/A</v>
      </c>
      <c r="Q168" s="204"/>
      <c r="R168" s="200" t="e">
        <f aca="false">IF($A169="","",VLOOKUP($A168,Table,MATCH(R$4,Curves,0)))</f>
        <v>#N/A</v>
      </c>
      <c r="S168" s="201" t="e">
        <f aca="false">IF(A169="","",R168)</f>
        <v>#N/A</v>
      </c>
      <c r="T168" s="185" t="n">
        <v>0</v>
      </c>
      <c r="U168" s="201" t="n">
        <f aca="false">IF(A169="","",T168)</f>
        <v>0</v>
      </c>
      <c r="V168" s="205" t="e">
        <f aca="false">(G168+R168)/(1-Summary!$T$13)*Summary!$T$13</f>
        <v>#N/A</v>
      </c>
      <c r="W168" s="202" t="e">
        <f aca="false">IF($A169="","",(T168+R168+G168+V168))</f>
        <v>#N/A</v>
      </c>
      <c r="X168" s="202" t="e">
        <f aca="false">IF($A169="","",(U168+S168+H168+V168))</f>
        <v>#N/A</v>
      </c>
      <c r="Y168" s="202"/>
      <c r="Z168" s="185" t="e">
        <f aca="false">IF($A169="","",VLOOKUP($A168,Table,MATCH(Z$4,Curves,0)))</f>
        <v>#N/A</v>
      </c>
      <c r="AA168" s="185" t="e">
        <f aca="false">IF($A169="","",VLOOKUP($A168,Table,MATCH(AA$4,Curves,0)))</f>
        <v>#N/A</v>
      </c>
      <c r="AB168" s="185" t="e">
        <f aca="false">SQRT((AA168^2*(A168-$D$3)+Z168^2*(DAY(EOMONTH(A168,0))/2))/AK168)</f>
        <v>#N/A</v>
      </c>
      <c r="AC168" s="185" t="e">
        <f aca="false">IF($A169="","",VLOOKUP($A168,Table,MATCH(AC$4,Curves,0)))</f>
        <v>#N/A</v>
      </c>
      <c r="AD168" s="185" t="e">
        <f aca="false">IF($A169="","",VLOOKUP($A168,Table,MATCH(AD$4,Curves,0)))</f>
        <v>#N/A</v>
      </c>
      <c r="AE168" s="185" t="e">
        <f aca="false">SQRT((AD168^2*(A168-$D$3)+AC168^2*(DAY(EOMONTH(A168,0))/2))/AK168)</f>
        <v>#N/A</v>
      </c>
      <c r="AF168" s="224" t="e">
        <f aca="false">((Summary!$N$13*(AA168*AD168)*(A168-$D$3))+(Summary!$M$13*Z168*AC168*(AJ168-EOMONTH(EDATE(A168,-1),0))))/(AK168*AB168*AE168)</f>
        <v>#N/A</v>
      </c>
      <c r="AG168" s="207" t="n">
        <f aca="false">IF($A169="","",Summary!$Q$13)</f>
        <v>0</v>
      </c>
      <c r="AH168" s="207" t="n">
        <f aca="false">IF($A169="","",IF(Summary!$R$12="Y",(VLOOKUP($A168,Summary!$AD$6:$AF$9,3)+'Escalating commodity'!I181),'Escalating commodity'!I181))</f>
        <v>0.0580094320414193</v>
      </c>
      <c r="AI168" s="207" t="n">
        <f aca="false">IF($A169="","",AH168)</f>
        <v>0.0580094320414193</v>
      </c>
      <c r="AJ168" s="208" t="n">
        <f aca="false">A168+DAY(EOMONTH(A168,0))/2-1</f>
        <v>41866.5</v>
      </c>
      <c r="AK168" s="209" t="n">
        <f aca="false">IF($A169="","",$A168-$E$1)</f>
        <v>-4074</v>
      </c>
      <c r="AL168" s="182" t="e">
        <f aca="false">IF($A169="","",SPRDOPT(P168,X168,AI168,0,AB168,AE168,AF168,AK168,$AJ$2,0))</f>
        <v>#NAME?</v>
      </c>
      <c r="AM168" s="210" t="e">
        <f aca="false">IF($A169="","",MAX(0,O168-W168-AI168))</f>
        <v>#N/A</v>
      </c>
      <c r="AN168" s="211" t="e">
        <f aca="false">IF($A169="","",AL168-AM168)</f>
        <v>#N/A</v>
      </c>
      <c r="AO168" s="137" t="n">
        <f aca="false">IF(A169="","",A169-A168)</f>
        <v>31</v>
      </c>
      <c r="AP168" s="212" t="n">
        <f aca="false">IF(A169="","",CHOOSE(F$3,A169+24,A168))</f>
        <v>41852</v>
      </c>
      <c r="AQ168" s="209" t="n">
        <f aca="false">IF(A169="","",AP168-$E$1)</f>
        <v>-4074</v>
      </c>
      <c r="AR168" s="185" t="n">
        <f aca="false">'ANR OK vs ML7'!AR168</f>
        <v>0.1</v>
      </c>
      <c r="AS168" s="213" t="n">
        <f aca="false">IF(A169="","",1/(1+CHOOSE(F$3,(AR169+($I$3/10000))/2,(AR168+($I$3/10000))/2))^(2*AQ168/365.25))</f>
        <v>2.96955284141155</v>
      </c>
      <c r="AT168" s="137" t="n">
        <f aca="false">IF(A169="","",IF(AND(mthbeg&lt;=A168,mthend&gt;=A168),1,0))</f>
        <v>1</v>
      </c>
      <c r="AU168" s="137" t="n">
        <f aca="false">IF(A169="","",AO168*AT168)</f>
        <v>31</v>
      </c>
      <c r="AW168" s="195" t="e">
        <f aca="false">IF($A169="","",AL168*$E168)</f>
        <v>#NAME?</v>
      </c>
      <c r="AX168" s="195" t="e">
        <f aca="false">IF($A169="","",AM168*$E168)</f>
        <v>#N/A</v>
      </c>
      <c r="AY168" s="195" t="e">
        <f aca="false">IF($A169="","",AN168*$E168)</f>
        <v>#N/A</v>
      </c>
      <c r="BA168" s="195" t="n">
        <f aca="false">IF($A169="","",F168*Summary!$Q$13)</f>
        <v>0</v>
      </c>
      <c r="BC168" s="179" t="e">
        <f aca="false">IF(A169="","",AM168*F168)</f>
        <v>#N/A</v>
      </c>
    </row>
    <row r="169" customFormat="false" ht="12.75" hidden="false" customHeight="false" outlineLevel="0" collapsed="false">
      <c r="A169" s="196" t="n">
        <f aca="false">IF(A168&lt;mthend,EDATE(A168,1),"")</f>
        <v>41883</v>
      </c>
      <c r="B169" s="197" t="n">
        <f aca="false">IF(A169&lt;mthend,B168,"")</f>
        <v>28400</v>
      </c>
      <c r="C169" s="215"/>
      <c r="D169" s="197" t="n">
        <f aca="false">IF(A170&lt;&gt;"",B169+C169,"")</f>
        <v>28400</v>
      </c>
      <c r="E169" s="199" t="n">
        <f aca="false">IF(A170="","",IF(AND(AT169=1,$H$3=1),D169*AO169,IF($H$3=2,D169,"N/A")))</f>
        <v>852000</v>
      </c>
      <c r="F169" s="199" t="n">
        <f aca="false">IF(A170="","",E169*AS169)</f>
        <v>2509191.67423152</v>
      </c>
      <c r="G169" s="200" t="e">
        <f aca="false">IF($A170="","",VLOOKUP($A169,Table,MATCH(G$4,Curves,0)))</f>
        <v>#N/A</v>
      </c>
      <c r="H169" s="201" t="e">
        <f aca="false">IF(A170="","",G169)</f>
        <v>#N/A</v>
      </c>
      <c r="I169" s="202"/>
      <c r="J169" s="200" t="e">
        <f aca="false">IF($A170="","",VLOOKUP($A169,Table,MATCH(J$4,Curves,0)))</f>
        <v>#N/A</v>
      </c>
      <c r="K169" s="201" t="e">
        <f aca="false">IF(A170="","",J169)</f>
        <v>#N/A</v>
      </c>
      <c r="L169" s="185" t="n">
        <v>0</v>
      </c>
      <c r="M169" s="201" t="n">
        <f aca="false">IF(A170="","",L169)</f>
        <v>0</v>
      </c>
      <c r="N169" s="203"/>
      <c r="O169" s="200" t="e">
        <f aca="false">IF(A170="","",L169+J169+G169)</f>
        <v>#N/A</v>
      </c>
      <c r="P169" s="200" t="e">
        <f aca="false">IF(A170="","",M169+K169+H169)</f>
        <v>#N/A</v>
      </c>
      <c r="Q169" s="204"/>
      <c r="R169" s="200" t="e">
        <f aca="false">IF($A170="","",VLOOKUP($A169,Table,MATCH(R$4,Curves,0)))</f>
        <v>#N/A</v>
      </c>
      <c r="S169" s="201" t="e">
        <f aca="false">IF(A170="","",R169)</f>
        <v>#N/A</v>
      </c>
      <c r="T169" s="185" t="n">
        <v>0</v>
      </c>
      <c r="U169" s="201" t="n">
        <f aca="false">IF(A170="","",T169)</f>
        <v>0</v>
      </c>
      <c r="V169" s="205" t="e">
        <f aca="false">(G169+R169)/(1-Summary!$T$13)*Summary!$T$13</f>
        <v>#N/A</v>
      </c>
      <c r="W169" s="202" t="e">
        <f aca="false">IF($A170="","",(T169+R169+G169+V169))</f>
        <v>#N/A</v>
      </c>
      <c r="X169" s="202" t="e">
        <f aca="false">IF($A170="","",(U169+S169+H169+V169))</f>
        <v>#N/A</v>
      </c>
      <c r="Y169" s="202"/>
      <c r="Z169" s="185" t="e">
        <f aca="false">IF($A170="","",VLOOKUP($A169,Table,MATCH(Z$4,Curves,0)))</f>
        <v>#N/A</v>
      </c>
      <c r="AA169" s="185" t="e">
        <f aca="false">IF($A170="","",VLOOKUP($A169,Table,MATCH(AA$4,Curves,0)))</f>
        <v>#N/A</v>
      </c>
      <c r="AB169" s="185" t="e">
        <f aca="false">SQRT((AA169^2*(A169-$D$3)+Z169^2*(DAY(EOMONTH(A169,0))/2))/AK169)</f>
        <v>#N/A</v>
      </c>
      <c r="AC169" s="185" t="e">
        <f aca="false">IF($A170="","",VLOOKUP($A169,Table,MATCH(AC$4,Curves,0)))</f>
        <v>#N/A</v>
      </c>
      <c r="AD169" s="185" t="e">
        <f aca="false">IF($A170="","",VLOOKUP($A169,Table,MATCH(AD$4,Curves,0)))</f>
        <v>#N/A</v>
      </c>
      <c r="AE169" s="185" t="e">
        <f aca="false">SQRT((AD169^2*(A169-$D$3)+AC169^2*(DAY(EOMONTH(A169,0))/2))/AK169)</f>
        <v>#N/A</v>
      </c>
      <c r="AF169" s="224" t="e">
        <f aca="false">((Summary!$N$13*(AA169*AD169)*(A169-$D$3))+(Summary!$M$13*Z169*AC169*(AJ169-EOMONTH(EDATE(A169,-1),0))))/(AK169*AB169*AE169)</f>
        <v>#N/A</v>
      </c>
      <c r="AG169" s="207" t="n">
        <f aca="false">IF($A170="","",Summary!$Q$13)</f>
        <v>0</v>
      </c>
      <c r="AH169" s="207" t="n">
        <f aca="false">IF($A170="","",IF(Summary!$R$12="Y",(VLOOKUP($A169,Summary!$AD$6:$AF$9,3)+'Escalating commodity'!I182),'Escalating commodity'!I182))</f>
        <v>0.0580094320414193</v>
      </c>
      <c r="AI169" s="207" t="n">
        <f aca="false">IF($A170="","",AH169)</f>
        <v>0.0580094320414193</v>
      </c>
      <c r="AJ169" s="208" t="n">
        <f aca="false">A169+DAY(EOMONTH(A169,0))/2-1</f>
        <v>41897</v>
      </c>
      <c r="AK169" s="209" t="n">
        <f aca="false">IF($A170="","",$A169-$E$1)</f>
        <v>-4043</v>
      </c>
      <c r="AL169" s="182" t="e">
        <f aca="false">IF($A170="","",SPRDOPT(P169,X169,AI169,0,AB169,AE169,AF169,AK169,$AJ$2,0))</f>
        <v>#NAME?</v>
      </c>
      <c r="AM169" s="210" t="e">
        <f aca="false">IF($A170="","",MAX(0,O169-W169-AI169))</f>
        <v>#N/A</v>
      </c>
      <c r="AN169" s="211" t="e">
        <f aca="false">IF($A170="","",AL169-AM169)</f>
        <v>#N/A</v>
      </c>
      <c r="AO169" s="137" t="n">
        <f aca="false">IF(A170="","",A170-A169)</f>
        <v>30</v>
      </c>
      <c r="AP169" s="212" t="n">
        <f aca="false">IF(A170="","",CHOOSE(F$3,A170+24,A169))</f>
        <v>41883</v>
      </c>
      <c r="AQ169" s="209" t="n">
        <f aca="false">IF(A170="","",AP169-$E$1)</f>
        <v>-4043</v>
      </c>
      <c r="AR169" s="185" t="n">
        <f aca="false">'ANR OK vs ML7'!AR169</f>
        <v>0.1</v>
      </c>
      <c r="AS169" s="213" t="n">
        <f aca="false">IF(A170="","",1/(1+CHOOSE(F$3,(AR170+($I$3/10000))/2,(AR169+($I$3/10000))/2))^(2*AQ169/365.25))</f>
        <v>2.94506065050648</v>
      </c>
      <c r="AT169" s="137" t="n">
        <f aca="false">IF(A170="","",IF(AND(mthbeg&lt;=A169,mthend&gt;=A169),1,0))</f>
        <v>1</v>
      </c>
      <c r="AU169" s="137" t="n">
        <f aca="false">IF(A170="","",AO169*AT169)</f>
        <v>30</v>
      </c>
      <c r="AW169" s="195" t="e">
        <f aca="false">IF($A170="","",AL169*$E169)</f>
        <v>#NAME?</v>
      </c>
      <c r="AX169" s="195" t="e">
        <f aca="false">IF($A170="","",AM169*$E169)</f>
        <v>#N/A</v>
      </c>
      <c r="AY169" s="195" t="e">
        <f aca="false">IF($A170="","",AN169*$E169)</f>
        <v>#N/A</v>
      </c>
      <c r="BA169" s="195" t="n">
        <f aca="false">IF($A170="","",F169*Summary!$Q$13)</f>
        <v>0</v>
      </c>
      <c r="BC169" s="179" t="e">
        <f aca="false">IF(A170="","",AM169*F169)</f>
        <v>#N/A</v>
      </c>
    </row>
    <row r="170" customFormat="false" ht="12" hidden="false" customHeight="true" outlineLevel="0" collapsed="false">
      <c r="A170" s="196" t="n">
        <f aca="false">IF(A169&lt;mthend,EDATE(A169,1),"")</f>
        <v>41913</v>
      </c>
      <c r="B170" s="197" t="n">
        <f aca="false">IF(A170&lt;mthend,B169,"")</f>
        <v>28400</v>
      </c>
      <c r="C170" s="215"/>
      <c r="D170" s="197" t="n">
        <f aca="false">IF(A171&lt;&gt;"",B170+C170,"")</f>
        <v>28400</v>
      </c>
      <c r="E170" s="199" t="n">
        <f aca="false">IF(A171="","",IF(AND(AT170=1,$H$3=1),D170*AO170,IF($H$3=2,D170,"N/A")))</f>
        <v>880400</v>
      </c>
      <c r="F170" s="199" t="n">
        <f aca="false">IF(A171="","",E170*AS170)</f>
        <v>2572133.39824143</v>
      </c>
      <c r="G170" s="200" t="e">
        <f aca="false">IF($A171="","",VLOOKUP($A170,Table,MATCH(G$4,Curves,0)))</f>
        <v>#N/A</v>
      </c>
      <c r="H170" s="201" t="e">
        <f aca="false">IF(A171="","",G170)</f>
        <v>#N/A</v>
      </c>
      <c r="I170" s="202"/>
      <c r="J170" s="200" t="e">
        <f aca="false">IF($A171="","",VLOOKUP($A170,Table,MATCH(J$4,Curves,0)))</f>
        <v>#N/A</v>
      </c>
      <c r="K170" s="201" t="e">
        <f aca="false">IF(A171="","",J170)</f>
        <v>#N/A</v>
      </c>
      <c r="L170" s="185" t="n">
        <v>0</v>
      </c>
      <c r="M170" s="201" t="n">
        <f aca="false">IF(A171="","",L170)</f>
        <v>0</v>
      </c>
      <c r="N170" s="203"/>
      <c r="O170" s="200" t="e">
        <f aca="false">IF(A171="","",L170+J170+G170)</f>
        <v>#N/A</v>
      </c>
      <c r="P170" s="200" t="e">
        <f aca="false">IF(A171="","",M170+K170+H170)</f>
        <v>#N/A</v>
      </c>
      <c r="Q170" s="204"/>
      <c r="R170" s="200" t="e">
        <f aca="false">IF($A171="","",VLOOKUP($A170,Table,MATCH(R$4,Curves,0)))</f>
        <v>#N/A</v>
      </c>
      <c r="S170" s="201" t="e">
        <f aca="false">IF(A171="","",R170)</f>
        <v>#N/A</v>
      </c>
      <c r="T170" s="185" t="n">
        <v>0</v>
      </c>
      <c r="U170" s="201" t="n">
        <f aca="false">IF(A171="","",T170)</f>
        <v>0</v>
      </c>
      <c r="V170" s="205" t="e">
        <f aca="false">(G170+R170)/(1-Summary!$T$13)*Summary!$T$13</f>
        <v>#N/A</v>
      </c>
      <c r="W170" s="202" t="e">
        <f aca="false">IF($A171="","",(T170+R170+G170+V170))</f>
        <v>#N/A</v>
      </c>
      <c r="X170" s="202" t="e">
        <f aca="false">IF($A171="","",(U170+S170+H170+V170))</f>
        <v>#N/A</v>
      </c>
      <c r="Y170" s="202"/>
      <c r="Z170" s="185" t="e">
        <f aca="false">IF($A171="","",VLOOKUP($A170,Table,MATCH(Z$4,Curves,0)))</f>
        <v>#N/A</v>
      </c>
      <c r="AA170" s="185" t="e">
        <f aca="false">IF($A171="","",VLOOKUP($A170,Table,MATCH(AA$4,Curves,0)))</f>
        <v>#N/A</v>
      </c>
      <c r="AB170" s="185" t="e">
        <f aca="false">SQRT((AA170^2*(A170-$D$3)+Z170^2*(DAY(EOMONTH(A170,0))/2))/AK170)</f>
        <v>#N/A</v>
      </c>
      <c r="AC170" s="185" t="e">
        <f aca="false">IF($A171="","",VLOOKUP($A170,Table,MATCH(AC$4,Curves,0)))</f>
        <v>#N/A</v>
      </c>
      <c r="AD170" s="185" t="e">
        <f aca="false">IF($A171="","",VLOOKUP($A170,Table,MATCH(AD$4,Curves,0)))</f>
        <v>#N/A</v>
      </c>
      <c r="AE170" s="185" t="e">
        <f aca="false">SQRT((AD170^2*(A170-$D$3)+AC170^2*(DAY(EOMONTH(A170,0))/2))/AK170)</f>
        <v>#N/A</v>
      </c>
      <c r="AF170" s="224" t="e">
        <f aca="false">((Summary!$N$13*(AA170*AD170)*(A170-$D$3))+(Summary!$M$13*Z170*AC170*(AJ170-EOMONTH(EDATE(A170,-1),0))))/(AK170*AB170*AE170)</f>
        <v>#N/A</v>
      </c>
      <c r="AG170" s="207" t="n">
        <f aca="false">IF($A171="","",Summary!$Q$13)</f>
        <v>0</v>
      </c>
      <c r="AH170" s="207" t="n">
        <f aca="false">IF($A171="","",IF(Summary!$R$12="Y",(VLOOKUP($A170,Summary!$AD$6:$AF$9,3)+'Escalating commodity'!I183),'Escalating commodity'!I183))</f>
        <v>0.0580094320414193</v>
      </c>
      <c r="AI170" s="207" t="n">
        <f aca="false">IF($A171="","",AH170)</f>
        <v>0.0580094320414193</v>
      </c>
      <c r="AJ170" s="208" t="n">
        <f aca="false">A170+DAY(EOMONTH(A170,0))/2-1</f>
        <v>41927.5</v>
      </c>
      <c r="AK170" s="209" t="n">
        <f aca="false">IF($A171="","",$A170-$E$1)</f>
        <v>-4013</v>
      </c>
      <c r="AL170" s="182" t="e">
        <f aca="false">IF($A171="","",SPRDOPT(P170,X170,AI170,0,AB170,AE170,AF170,AK170,$AJ$2,0))</f>
        <v>#NAME?</v>
      </c>
      <c r="AM170" s="210" t="e">
        <f aca="false">IF($A171="","",MAX(0,O170-W170-AI170))</f>
        <v>#N/A</v>
      </c>
      <c r="AN170" s="211" t="e">
        <f aca="false">IF($A171="","",AL170-AM170)</f>
        <v>#N/A</v>
      </c>
      <c r="AO170" s="137" t="n">
        <f aca="false">IF(A171="","",A171-A170)</f>
        <v>31</v>
      </c>
      <c r="AP170" s="212" t="n">
        <f aca="false">IF(A171="","",CHOOSE(F$3,A171+24,A170))</f>
        <v>41913</v>
      </c>
      <c r="AQ170" s="209" t="n">
        <f aca="false">IF(A171="","",AP170-$E$1)</f>
        <v>-4013</v>
      </c>
      <c r="AR170" s="185" t="n">
        <f aca="false">'ANR OK vs ML7'!AR170</f>
        <v>0.1</v>
      </c>
      <c r="AS170" s="213" t="n">
        <f aca="false">IF(A171="","",1/(1+CHOOSE(F$3,(AR171+($I$3/10000))/2,(AR170+($I$3/10000))/2))^(2*AQ170/365.25))</f>
        <v>2.92155088396345</v>
      </c>
      <c r="AT170" s="137" t="n">
        <f aca="false">IF(A171="","",IF(AND(mthbeg&lt;=A170,mthend&gt;=A170),1,0))</f>
        <v>1</v>
      </c>
      <c r="AU170" s="137" t="n">
        <f aca="false">IF(A171="","",AO170*AT170)</f>
        <v>31</v>
      </c>
      <c r="AW170" s="195" t="e">
        <f aca="false">IF($A171="","",AL170*$E170)</f>
        <v>#NAME?</v>
      </c>
      <c r="AX170" s="195" t="e">
        <f aca="false">IF($A171="","",AM170*$E170)</f>
        <v>#N/A</v>
      </c>
      <c r="AY170" s="195" t="e">
        <f aca="false">IF($A171="","",AN170*$E170)</f>
        <v>#N/A</v>
      </c>
      <c r="BA170" s="195" t="n">
        <f aca="false">IF($A171="","",F170*Summary!$Q$13)</f>
        <v>0</v>
      </c>
      <c r="BC170" s="179" t="e">
        <f aca="false">IF(A171="","",AM170*F170)</f>
        <v>#N/A</v>
      </c>
    </row>
    <row r="171" customFormat="false" ht="12" hidden="false" customHeight="true" outlineLevel="0" collapsed="false">
      <c r="A171" s="196" t="n">
        <f aca="false">IF(A170&lt;mthend,EDATE(A170,1),"")</f>
        <v>41944</v>
      </c>
      <c r="B171" s="197" t="n">
        <f aca="false">IF(A171&lt;mthend,B170,"")</f>
        <v>28400</v>
      </c>
      <c r="C171" s="215"/>
      <c r="D171" s="197" t="n">
        <f aca="false">IF(A172&lt;&gt;"",B171+C171,"")</f>
        <v>28400</v>
      </c>
      <c r="E171" s="199" t="n">
        <f aca="false">IF(A172="","",IF(AND(AT171=1,$H$3=1),D171*AO171,IF($H$3=2,D171,"N/A")))</f>
        <v>852000</v>
      </c>
      <c r="F171" s="199" t="n">
        <f aca="false">IF(A172="","",E171*AS171)</f>
        <v>2468631.3210713</v>
      </c>
      <c r="G171" s="200" t="e">
        <f aca="false">IF($A172="","",VLOOKUP($A171,Table,MATCH(G$4,Curves,0)))</f>
        <v>#N/A</v>
      </c>
      <c r="H171" s="201" t="e">
        <f aca="false">IF(A172="","",G171)</f>
        <v>#N/A</v>
      </c>
      <c r="I171" s="202"/>
      <c r="J171" s="227" t="e">
        <f aca="false">J159</f>
        <v>#N/A</v>
      </c>
      <c r="K171" s="201" t="e">
        <f aca="false">IF(A172="","",J171)</f>
        <v>#N/A</v>
      </c>
      <c r="L171" s="185" t="n">
        <v>0</v>
      </c>
      <c r="M171" s="201" t="n">
        <f aca="false">IF(A172="","",L171)</f>
        <v>0</v>
      </c>
      <c r="N171" s="203"/>
      <c r="O171" s="200" t="e">
        <f aca="false">IF(A172="","",L171+J171+G171)</f>
        <v>#N/A</v>
      </c>
      <c r="P171" s="200" t="e">
        <f aca="false">IF(A172="","",M171+K171+H171)</f>
        <v>#N/A</v>
      </c>
      <c r="Q171" s="204"/>
      <c r="R171" s="200" t="e">
        <f aca="false">IF($A172="","",VLOOKUP($A171,Table,MATCH(R$4,Curves,0)))</f>
        <v>#N/A</v>
      </c>
      <c r="S171" s="201" t="e">
        <f aca="false">IF(A172="","",R171)</f>
        <v>#N/A</v>
      </c>
      <c r="T171" s="185" t="n">
        <v>0</v>
      </c>
      <c r="U171" s="201" t="n">
        <f aca="false">IF(A172="","",T171)</f>
        <v>0</v>
      </c>
      <c r="V171" s="205" t="e">
        <f aca="false">(G171+R171)/(1-Summary!$T$13)*Summary!$T$13</f>
        <v>#N/A</v>
      </c>
      <c r="W171" s="202" t="e">
        <f aca="false">IF($A172="","",(T171+R171+G171+V171))</f>
        <v>#N/A</v>
      </c>
      <c r="X171" s="202" t="e">
        <f aca="false">IF($A172="","",(U171+S171+H171+V171))</f>
        <v>#N/A</v>
      </c>
      <c r="Y171" s="202"/>
      <c r="Z171" s="185" t="e">
        <f aca="false">IF($A172="","",VLOOKUP($A171,Table,MATCH(Z$4,Curves,0)))</f>
        <v>#N/A</v>
      </c>
      <c r="AA171" s="185" t="e">
        <f aca="false">IF($A172="","",VLOOKUP($A171,Table,MATCH(AA$4,Curves,0)))</f>
        <v>#N/A</v>
      </c>
      <c r="AB171" s="185" t="e">
        <f aca="false">SQRT((AA171^2*(A171-$D$3)+Z171^2*(DAY(EOMONTH(A171,0))/2))/AK171)</f>
        <v>#N/A</v>
      </c>
      <c r="AC171" s="185" t="e">
        <f aca="false">IF($A172="","",VLOOKUP($A171,Table,MATCH(AC$4,Curves,0)))</f>
        <v>#N/A</v>
      </c>
      <c r="AD171" s="185" t="e">
        <f aca="false">IF($A172="","",VLOOKUP($A171,Table,MATCH(AD$4,Curves,0)))</f>
        <v>#N/A</v>
      </c>
      <c r="AE171" s="185" t="e">
        <f aca="false">SQRT((AD171^2*(A171-$D$3)+AC171^2*(DAY(EOMONTH(A171,0))/2))/AK171)</f>
        <v>#N/A</v>
      </c>
      <c r="AF171" s="224" t="e">
        <f aca="false">((Summary!$N$13*(AA171*AD171)*(A171-$D$3))+(Summary!$M$13*Z171*AC171*(AJ171-EOMONTH(EDATE(A171,-1),0))))/(AK171*AB171*AE171)</f>
        <v>#N/A</v>
      </c>
      <c r="AG171" s="207" t="n">
        <f aca="false">IF($A172="","",Summary!$Q$13)</f>
        <v>0</v>
      </c>
      <c r="AH171" s="207" t="n">
        <f aca="false">IF($A172="","",IF(Summary!$R$12="Y",(VLOOKUP($A171,Summary!$AD$6:$AF$9,3)+'Escalating commodity'!I184),'Escalating commodity'!I184))</f>
        <v>0.0580094320414193</v>
      </c>
      <c r="AI171" s="207" t="n">
        <f aca="false">IF($A172="","",AH171)</f>
        <v>0.0580094320414193</v>
      </c>
      <c r="AJ171" s="208" t="n">
        <f aca="false">A171+DAY(EOMONTH(A171,0))/2-1</f>
        <v>41958</v>
      </c>
      <c r="AK171" s="209" t="n">
        <f aca="false">IF($A172="","",$A171-$E$1)</f>
        <v>-3982</v>
      </c>
      <c r="AL171" s="182" t="e">
        <f aca="false">IF($A172="","",SPRDOPT(P171,X171,AI171,0,AB171,AE171,AF171,AK171,$AJ$2,0))</f>
        <v>#NAME?</v>
      </c>
      <c r="AM171" s="210" t="e">
        <f aca="false">IF($A172="","",MAX(0,O171-W171-AI171))</f>
        <v>#N/A</v>
      </c>
      <c r="AN171" s="211" t="e">
        <f aca="false">IF($A172="","",AL171-AM171)</f>
        <v>#N/A</v>
      </c>
      <c r="AO171" s="137" t="n">
        <f aca="false">IF(A172="","",A172-A171)</f>
        <v>30</v>
      </c>
      <c r="AP171" s="212" t="n">
        <f aca="false">IF(A172="","",CHOOSE(F$3,A172+24,A171))</f>
        <v>41944</v>
      </c>
      <c r="AQ171" s="209" t="n">
        <f aca="false">IF(A172="","",AP171-$E$1)</f>
        <v>-3982</v>
      </c>
      <c r="AR171" s="185" t="n">
        <f aca="false">'ANR OK vs ML7'!AR171</f>
        <v>0.1</v>
      </c>
      <c r="AS171" s="213" t="n">
        <f aca="false">IF(A172="","",1/(1+CHOOSE(F$3,(AR172+($I$3/10000))/2,(AR171+($I$3/10000))/2))^(2*AQ171/365.25))</f>
        <v>2.89745460219636</v>
      </c>
      <c r="AT171" s="137" t="n">
        <f aca="false">IF(A172="","",IF(AND(mthbeg&lt;=A171,mthend&gt;=A171),1,0))</f>
        <v>1</v>
      </c>
      <c r="AU171" s="137" t="n">
        <f aca="false">IF(A172="","",AO171*AT171)</f>
        <v>30</v>
      </c>
      <c r="AW171" s="195" t="e">
        <f aca="false">IF($A172="","",AL171*$E171)</f>
        <v>#NAME?</v>
      </c>
      <c r="AX171" s="195" t="e">
        <f aca="false">IF($A172="","",AM171*$E171)</f>
        <v>#N/A</v>
      </c>
      <c r="AY171" s="195" t="e">
        <f aca="false">IF($A172="","",AN171*$E171)</f>
        <v>#N/A</v>
      </c>
      <c r="BA171" s="195" t="n">
        <f aca="false">IF($A172="","",F171*Summary!$Q$13)</f>
        <v>0</v>
      </c>
      <c r="BC171" s="179" t="e">
        <f aca="false">IF(A172="","",AM171*F171)</f>
        <v>#N/A</v>
      </c>
    </row>
    <row r="172" customFormat="false" ht="12" hidden="false" customHeight="true" outlineLevel="0" collapsed="false">
      <c r="A172" s="196" t="n">
        <f aca="false">IF(A171&lt;mthend,EDATE(A171,1),"")</f>
        <v>41974</v>
      </c>
      <c r="B172" s="197" t="n">
        <f aca="false">IF(A172&lt;mthend,B171,"")</f>
        <v>28400</v>
      </c>
      <c r="C172" s="215"/>
      <c r="D172" s="197" t="n">
        <f aca="false">IF(A173&lt;&gt;"",B172+C172,"")</f>
        <v>28400</v>
      </c>
      <c r="E172" s="199" t="n">
        <f aca="false">IF(A173="","",IF(AND(AT172=1,$H$3=1),D172*AO172,IF($H$3=2,D172,"N/A")))</f>
        <v>880400</v>
      </c>
      <c r="F172" s="199" t="n">
        <f aca="false">IF(A173="","",E172*AS172)</f>
        <v>2530555.61043061</v>
      </c>
      <c r="G172" s="200" t="e">
        <f aca="false">IF($A173="","",VLOOKUP($A172,Table,MATCH(G$4,Curves,0)))</f>
        <v>#N/A</v>
      </c>
      <c r="H172" s="201" t="e">
        <f aca="false">IF(A173="","",G172)</f>
        <v>#N/A</v>
      </c>
      <c r="I172" s="202"/>
      <c r="J172" s="227" t="e">
        <f aca="false">J160</f>
        <v>#N/A</v>
      </c>
      <c r="K172" s="201" t="e">
        <f aca="false">IF(A173="","",J172)</f>
        <v>#N/A</v>
      </c>
      <c r="L172" s="185" t="n">
        <v>0</v>
      </c>
      <c r="M172" s="201" t="n">
        <f aca="false">IF(A173="","",L172)</f>
        <v>0</v>
      </c>
      <c r="N172" s="203"/>
      <c r="O172" s="200" t="e">
        <f aca="false">IF(A173="","",L172+J172+G172)</f>
        <v>#N/A</v>
      </c>
      <c r="P172" s="200" t="e">
        <f aca="false">IF(A173="","",M172+K172+H172)</f>
        <v>#N/A</v>
      </c>
      <c r="Q172" s="204"/>
      <c r="R172" s="200" t="e">
        <f aca="false">IF($A173="","",VLOOKUP($A172,Table,MATCH(R$4,Curves,0)))</f>
        <v>#N/A</v>
      </c>
      <c r="S172" s="201" t="e">
        <f aca="false">IF(A173="","",R172)</f>
        <v>#N/A</v>
      </c>
      <c r="T172" s="185" t="n">
        <v>0</v>
      </c>
      <c r="U172" s="201" t="n">
        <f aca="false">IF(A173="","",T172)</f>
        <v>0</v>
      </c>
      <c r="V172" s="205" t="e">
        <f aca="false">(G172+R172)/(1-Summary!$T$13)*Summary!$T$13</f>
        <v>#N/A</v>
      </c>
      <c r="W172" s="202" t="e">
        <f aca="false">IF($A173="","",(T172+R172+G172+V172))</f>
        <v>#N/A</v>
      </c>
      <c r="X172" s="202" t="e">
        <f aca="false">IF($A173="","",(U172+S172+H172+V172))</f>
        <v>#N/A</v>
      </c>
      <c r="Y172" s="202"/>
      <c r="Z172" s="185" t="e">
        <f aca="false">IF($A173="","",VLOOKUP($A172,Table,MATCH(Z$4,Curves,0)))</f>
        <v>#N/A</v>
      </c>
      <c r="AA172" s="185" t="e">
        <f aca="false">IF($A173="","",VLOOKUP($A172,Table,MATCH(AA$4,Curves,0)))</f>
        <v>#N/A</v>
      </c>
      <c r="AB172" s="185" t="e">
        <f aca="false">SQRT((AA172^2*(A172-$D$3)+Z172^2*(DAY(EOMONTH(A172,0))/2))/AK172)</f>
        <v>#N/A</v>
      </c>
      <c r="AC172" s="185" t="e">
        <f aca="false">IF($A173="","",VLOOKUP($A172,Table,MATCH(AC$4,Curves,0)))</f>
        <v>#N/A</v>
      </c>
      <c r="AD172" s="185" t="e">
        <f aca="false">IF($A173="","",VLOOKUP($A172,Table,MATCH(AD$4,Curves,0)))</f>
        <v>#N/A</v>
      </c>
      <c r="AE172" s="185" t="e">
        <f aca="false">SQRT((AD172^2*(A172-$D$3)+AC172^2*(DAY(EOMONTH(A172,0))/2))/AK172)</f>
        <v>#N/A</v>
      </c>
      <c r="AF172" s="224" t="e">
        <f aca="false">((Summary!$N$13*(AA172*AD172)*(A172-$D$3))+(Summary!$M$13*Z172*AC172*(AJ172-EOMONTH(EDATE(A172,-1),0))))/(AK172*AB172*AE172)</f>
        <v>#N/A</v>
      </c>
      <c r="AG172" s="207" t="n">
        <f aca="false">IF($A173="","",Summary!$Q$13)</f>
        <v>0</v>
      </c>
      <c r="AH172" s="207" t="n">
        <f aca="false">IF($A173="","",IF(Summary!$R$12="Y",(VLOOKUP($A172,Summary!$AD$6:$AF$9,3)+'Escalating commodity'!I185),'Escalating commodity'!I185))</f>
        <v>0.0580094320414193</v>
      </c>
      <c r="AI172" s="207" t="n">
        <f aca="false">IF($A173="","",AH172)</f>
        <v>0.0580094320414193</v>
      </c>
      <c r="AJ172" s="208" t="n">
        <f aca="false">A172+DAY(EOMONTH(A172,0))/2-1</f>
        <v>41988.5</v>
      </c>
      <c r="AK172" s="209" t="n">
        <f aca="false">IF($A173="","",$A172-$E$1)</f>
        <v>-3952</v>
      </c>
      <c r="AL172" s="182" t="e">
        <f aca="false">IF($A173="","",SPRDOPT(P172,X172,AI172,0,AB172,AE172,AF172,AK172,$AJ$2,0))</f>
        <v>#NAME?</v>
      </c>
      <c r="AM172" s="210" t="e">
        <f aca="false">IF($A173="","",MAX(0,O172-W172-AI172))</f>
        <v>#N/A</v>
      </c>
      <c r="AN172" s="211" t="e">
        <f aca="false">IF($A173="","",AL172-AM172)</f>
        <v>#N/A</v>
      </c>
      <c r="AO172" s="137" t="n">
        <f aca="false">IF(A173="","",A173-A172)</f>
        <v>31</v>
      </c>
      <c r="AP172" s="212" t="n">
        <f aca="false">IF(A173="","",CHOOSE(F$3,A173+24,A172))</f>
        <v>41974</v>
      </c>
      <c r="AQ172" s="209" t="n">
        <f aca="false">IF(A173="","",AP172-$E$1)</f>
        <v>-3952</v>
      </c>
      <c r="AR172" s="185" t="n">
        <f aca="false">'ANR OK vs ML7'!AR172</f>
        <v>0.1</v>
      </c>
      <c r="AS172" s="213" t="n">
        <f aca="false">IF(A173="","",1/(1+CHOOSE(F$3,(AR173+($I$3/10000))/2,(AR172+($I$3/10000))/2))^(2*AQ172/365.25))</f>
        <v>2.87432486418743</v>
      </c>
      <c r="AT172" s="137" t="n">
        <f aca="false">IF(A173="","",IF(AND(mthbeg&lt;=A172,mthend&gt;=A172),1,0))</f>
        <v>1</v>
      </c>
      <c r="AU172" s="137" t="n">
        <f aca="false">IF(A173="","",AO172*AT172)</f>
        <v>31</v>
      </c>
      <c r="AW172" s="195" t="e">
        <f aca="false">IF($A173="","",AL172*$E172)</f>
        <v>#NAME?</v>
      </c>
      <c r="AX172" s="195" t="e">
        <f aca="false">IF($A173="","",AM172*$E172)</f>
        <v>#N/A</v>
      </c>
      <c r="AY172" s="195" t="e">
        <f aca="false">IF($A173="","",AN172*$E172)</f>
        <v>#N/A</v>
      </c>
      <c r="BA172" s="195" t="n">
        <f aca="false">IF($A173="","",F172*Summary!$Q$13)</f>
        <v>0</v>
      </c>
      <c r="BC172" s="179" t="e">
        <f aca="false">IF(A173="","",AM172*F172)</f>
        <v>#N/A</v>
      </c>
    </row>
    <row r="173" customFormat="false" ht="12" hidden="false" customHeight="true" outlineLevel="0" collapsed="false">
      <c r="A173" s="196" t="n">
        <f aca="false">IF(A172&lt;mthend,EDATE(A172,1),"")</f>
        <v>42005</v>
      </c>
      <c r="B173" s="197" t="n">
        <f aca="false">IF(A173&lt;mthend,B172,"")</f>
        <v>28400</v>
      </c>
      <c r="C173" s="215"/>
      <c r="D173" s="197" t="n">
        <f aca="false">IF(A174&lt;&gt;"",B173+C173,"")</f>
        <v>28400</v>
      </c>
      <c r="E173" s="199" t="n">
        <f aca="false">IF(A174="","",IF(AND(AT173=1,$H$3=1),D173*AO173,IF($H$3=2,D173,"N/A")))</f>
        <v>880400</v>
      </c>
      <c r="F173" s="199" t="n">
        <f aca="false">IF(A174="","",E173*AS173)</f>
        <v>2509684.16802277</v>
      </c>
      <c r="G173" s="200" t="e">
        <f aca="false">IF($A174="","",VLOOKUP($A173,Table,MATCH(G$4,Curves,0)))</f>
        <v>#N/A</v>
      </c>
      <c r="H173" s="201" t="e">
        <f aca="false">IF(A174="","",G173)</f>
        <v>#N/A</v>
      </c>
      <c r="I173" s="202"/>
      <c r="J173" s="227" t="e">
        <f aca="false">J161</f>
        <v>#N/A</v>
      </c>
      <c r="K173" s="201" t="e">
        <f aca="false">IF(A174="","",J173)</f>
        <v>#N/A</v>
      </c>
      <c r="L173" s="185" t="n">
        <v>0</v>
      </c>
      <c r="M173" s="201" t="n">
        <f aca="false">IF(A174="","",L173)</f>
        <v>0</v>
      </c>
      <c r="N173" s="203"/>
      <c r="O173" s="200" t="e">
        <f aca="false">IF(A174="","",L173+J173+G173)</f>
        <v>#N/A</v>
      </c>
      <c r="P173" s="200" t="e">
        <f aca="false">IF(A174="","",M173+K173+H173)</f>
        <v>#N/A</v>
      </c>
      <c r="Q173" s="204"/>
      <c r="R173" s="227" t="e">
        <f aca="false">R161</f>
        <v>#N/A</v>
      </c>
      <c r="S173" s="201" t="e">
        <f aca="false">IF(A174="","",R173)</f>
        <v>#N/A</v>
      </c>
      <c r="T173" s="185" t="n">
        <v>0</v>
      </c>
      <c r="U173" s="201" t="n">
        <f aca="false">IF(A174="","",T173)</f>
        <v>0</v>
      </c>
      <c r="V173" s="205"/>
      <c r="W173" s="202" t="e">
        <f aca="false">IF($A174="","",(T173+R173+G173+V173))</f>
        <v>#N/A</v>
      </c>
      <c r="X173" s="202" t="e">
        <f aca="false">IF($A174="","",(U173+S173+H173+V173))</f>
        <v>#N/A</v>
      </c>
      <c r="Y173" s="202"/>
      <c r="Z173" s="185" t="e">
        <f aca="false">IF($A174="","",VLOOKUP($A173,Table,MATCH(Z$4,Curves,0)))</f>
        <v>#N/A</v>
      </c>
      <c r="AA173" s="185" t="e">
        <f aca="false">IF($A174="","",VLOOKUP($A173,Table,MATCH(AA$4,Curves,0)))</f>
        <v>#N/A</v>
      </c>
      <c r="AB173" s="185" t="e">
        <f aca="false">SQRT((AA173^2*(A173-$D$3)+Z173^2*(DAY(EOMONTH(A173,0))/2))/AK173)</f>
        <v>#N/A</v>
      </c>
      <c r="AC173" s="185" t="e">
        <f aca="false">IF($A174="","",VLOOKUP($A173,Table,MATCH(AC$4,Curves,0)))</f>
        <v>#N/A</v>
      </c>
      <c r="AD173" s="185" t="e">
        <f aca="false">IF($A174="","",VLOOKUP($A173,Table,MATCH(AD$4,Curves,0)))</f>
        <v>#N/A</v>
      </c>
      <c r="AE173" s="185" t="e">
        <f aca="false">SQRT((AD173^2*(A173-$D$3)+AC173^2*(DAY(EOMONTH(A173,0))/2))/AK173)</f>
        <v>#N/A</v>
      </c>
      <c r="AF173" s="224" t="e">
        <f aca="false">((Summary!$N$13*(AA173*AD173)*(A173-$D$3))+(Summary!$M$13*Z173*AC173*(AJ173-EOMONTH(EDATE(A173,-1),0))))/(AK173*AB173*AE173)</f>
        <v>#N/A</v>
      </c>
      <c r="AG173" s="207" t="n">
        <f aca="false">IF($A174="","",Summary!$Q$13)</f>
        <v>0</v>
      </c>
      <c r="AH173" s="207" t="n">
        <f aca="false">IF($A174="","",IF(Summary!$R$12="Y",(VLOOKUP($A173,Summary!$AD$6:$AF$9,3)+'Escalating commodity'!I186),'Escalating commodity'!I186))</f>
        <v>0</v>
      </c>
      <c r="AI173" s="207" t="n">
        <f aca="false">IF($A174="","",AH173)</f>
        <v>0</v>
      </c>
      <c r="AJ173" s="208" t="n">
        <f aca="false">A173+DAY(EOMONTH(A173,0))/2-1</f>
        <v>42019.5</v>
      </c>
      <c r="AK173" s="209" t="n">
        <f aca="false">IF($A174="","",$A173-$E$1)</f>
        <v>-3921</v>
      </c>
      <c r="AL173" s="182" t="e">
        <f aca="false">IF($A174="","",SPRDOPT(P173,X173,AI173,0,AB173,AE173,AF173,AK173,$AJ$2,0))</f>
        <v>#NAME?</v>
      </c>
      <c r="AM173" s="210" t="e">
        <f aca="false">IF($A174="","",MAX(0,O173-W173-AI173))</f>
        <v>#N/A</v>
      </c>
      <c r="AN173" s="211" t="e">
        <f aca="false">IF($A174="","",AL173-AM173)</f>
        <v>#N/A</v>
      </c>
      <c r="AO173" s="137" t="n">
        <f aca="false">IF(A174="","",A174-A173)</f>
        <v>31</v>
      </c>
      <c r="AP173" s="212" t="n">
        <f aca="false">IF(A174="","",CHOOSE(F$3,A174+24,A173))</f>
        <v>42005</v>
      </c>
      <c r="AQ173" s="209" t="n">
        <f aca="false">IF(A174="","",AP173-$E$1)</f>
        <v>-3921</v>
      </c>
      <c r="AR173" s="185" t="n">
        <f aca="false">'ANR OK vs ML7'!AR173</f>
        <v>0.1</v>
      </c>
      <c r="AS173" s="213" t="n">
        <f aca="false">IF(A174="","",1/(1+CHOOSE(F$3,(AR174+($I$3/10000))/2,(AR173+($I$3/10000))/2))^(2*AQ173/365.25))</f>
        <v>2.85061809180233</v>
      </c>
      <c r="AT173" s="137" t="n">
        <f aca="false">IF(A174="","",IF(AND(mthbeg&lt;=A173,mthend&gt;=A173),1,0))</f>
        <v>1</v>
      </c>
      <c r="AU173" s="137" t="n">
        <f aca="false">IF(A174="","",AO173*AT173)</f>
        <v>31</v>
      </c>
      <c r="AW173" s="195" t="e">
        <f aca="false">IF($A174="","",AL173*$E173)</f>
        <v>#NAME?</v>
      </c>
      <c r="AX173" s="195" t="e">
        <f aca="false">IF($A174="","",AM173*$E173)</f>
        <v>#N/A</v>
      </c>
      <c r="AY173" s="195" t="e">
        <f aca="false">IF($A174="","",AN173*$E173)</f>
        <v>#N/A</v>
      </c>
      <c r="BA173" s="195" t="n">
        <f aca="false">IF($A174="","",F173*Summary!$Q$13)</f>
        <v>0</v>
      </c>
      <c r="BC173" s="179" t="e">
        <f aca="false">IF(A174="","",AM173*F173)</f>
        <v>#N/A</v>
      </c>
    </row>
    <row r="174" customFormat="false" ht="12" hidden="false" customHeight="true" outlineLevel="0" collapsed="false">
      <c r="A174" s="196" t="n">
        <f aca="false">IF(A173&lt;mthend,EDATE(A173,1),"")</f>
        <v>42036</v>
      </c>
      <c r="B174" s="197" t="n">
        <f aca="false">IF(A174&lt;mthend,B173,"")</f>
        <v>28400</v>
      </c>
      <c r="C174" s="215"/>
      <c r="D174" s="197" t="n">
        <f aca="false">IF(A175&lt;&gt;"",B174+C174,"")</f>
        <v>28400</v>
      </c>
      <c r="E174" s="199" t="n">
        <f aca="false">IF(A175="","",IF(AND(AT174=1,$H$3=1),D174*AO174,IF($H$3=2,D174,"N/A")))</f>
        <v>795200</v>
      </c>
      <c r="F174" s="199" t="n">
        <f aca="false">IF(A175="","",E174*AS174)</f>
        <v>2248115.36508412</v>
      </c>
      <c r="G174" s="200" t="e">
        <f aca="false">IF($A175="","",VLOOKUP($A174,Table,MATCH(G$4,Curves,0)))</f>
        <v>#N/A</v>
      </c>
      <c r="H174" s="201" t="e">
        <f aca="false">IF(A175="","",G174)</f>
        <v>#N/A</v>
      </c>
      <c r="I174" s="202"/>
      <c r="J174" s="227" t="e">
        <f aca="false">J162</f>
        <v>#N/A</v>
      </c>
      <c r="K174" s="201" t="e">
        <f aca="false">IF(A175="","",J174)</f>
        <v>#N/A</v>
      </c>
      <c r="L174" s="185" t="n">
        <v>0</v>
      </c>
      <c r="M174" s="201" t="n">
        <f aca="false">IF(A175="","",L174)</f>
        <v>0</v>
      </c>
      <c r="N174" s="203"/>
      <c r="O174" s="200" t="e">
        <f aca="false">IF(A175="","",L174+J174+G174)</f>
        <v>#N/A</v>
      </c>
      <c r="P174" s="200" t="e">
        <f aca="false">IF(A175="","",M174+K174+H174)</f>
        <v>#N/A</v>
      </c>
      <c r="Q174" s="204"/>
      <c r="R174" s="227" t="e">
        <f aca="false">R162</f>
        <v>#N/A</v>
      </c>
      <c r="S174" s="201" t="e">
        <f aca="false">IF(A175="","",R174)</f>
        <v>#N/A</v>
      </c>
      <c r="T174" s="185" t="n">
        <v>0</v>
      </c>
      <c r="U174" s="201" t="n">
        <f aca="false">IF(A175="","",T174)</f>
        <v>0</v>
      </c>
      <c r="V174" s="205"/>
      <c r="W174" s="202" t="e">
        <f aca="false">IF($A175="","",(T174+R174+G174+V174))</f>
        <v>#N/A</v>
      </c>
      <c r="X174" s="202" t="e">
        <f aca="false">IF($A175="","",(U174+S174+H174+V174))</f>
        <v>#N/A</v>
      </c>
      <c r="Y174" s="202"/>
      <c r="Z174" s="185" t="e">
        <f aca="false">IF($A175="","",VLOOKUP($A174,Table,MATCH(Z$4,Curves,0)))</f>
        <v>#N/A</v>
      </c>
      <c r="AA174" s="185" t="e">
        <f aca="false">IF($A175="","",VLOOKUP($A174,Table,MATCH(AA$4,Curves,0)))</f>
        <v>#N/A</v>
      </c>
      <c r="AB174" s="185" t="e">
        <f aca="false">SQRT((AA174^2*(A174-$D$3)+Z174^2*(DAY(EOMONTH(A174,0))/2))/AK174)</f>
        <v>#N/A</v>
      </c>
      <c r="AC174" s="185" t="e">
        <f aca="false">IF($A175="","",VLOOKUP($A174,Table,MATCH(AC$4,Curves,0)))</f>
        <v>#N/A</v>
      </c>
      <c r="AD174" s="185" t="e">
        <f aca="false">IF($A175="","",VLOOKUP($A174,Table,MATCH(AD$4,Curves,0)))</f>
        <v>#N/A</v>
      </c>
      <c r="AE174" s="185" t="e">
        <f aca="false">SQRT((AD174^2*(A174-$D$3)+AC174^2*(DAY(EOMONTH(A174,0))/2))/AK174)</f>
        <v>#N/A</v>
      </c>
      <c r="AF174" s="224" t="e">
        <f aca="false">((Summary!$N$13*(AA174*AD174)*(A174-$D$3))+(Summary!$M$13*Z174*AC174*(AJ174-EOMONTH(EDATE(A174,-1),0))))/(AK174*AB174*AE174)</f>
        <v>#N/A</v>
      </c>
      <c r="AG174" s="207" t="n">
        <f aca="false">IF($A175="","",Summary!$Q$13)</f>
        <v>0</v>
      </c>
      <c r="AH174" s="207" t="n">
        <f aca="false">IF($A175="","",IF(Summary!$R$12="Y",(VLOOKUP($A174,Summary!$AD$6:$AF$9,3)+'Escalating commodity'!I187),'Escalating commodity'!I187))</f>
        <v>0</v>
      </c>
      <c r="AI174" s="207" t="n">
        <f aca="false">IF($A175="","",AH174)</f>
        <v>0</v>
      </c>
      <c r="AJ174" s="208" t="n">
        <f aca="false">A174+DAY(EOMONTH(A174,0))/2-1</f>
        <v>42049</v>
      </c>
      <c r="AK174" s="209" t="n">
        <f aca="false">IF($A175="","",$A174-$E$1)</f>
        <v>-3890</v>
      </c>
      <c r="AL174" s="182" t="e">
        <f aca="false">IF($A175="","",SPRDOPT(P174,X174,AI174,0,AB174,AE174,AF174,AK174,$AJ$2,0))</f>
        <v>#NAME?</v>
      </c>
      <c r="AM174" s="210" t="e">
        <f aca="false">IF($A175="","",MAX(0,O174-W174-AI174))</f>
        <v>#N/A</v>
      </c>
      <c r="AN174" s="211" t="e">
        <f aca="false">IF($A175="","",AL174-AM174)</f>
        <v>#N/A</v>
      </c>
      <c r="AO174" s="137" t="n">
        <f aca="false">IF(A175="","",A175-A174)</f>
        <v>28</v>
      </c>
      <c r="AP174" s="212" t="n">
        <f aca="false">IF(A175="","",CHOOSE(F$3,A175+24,A174))</f>
        <v>42036</v>
      </c>
      <c r="AQ174" s="209" t="n">
        <f aca="false">IF(A175="","",AP174-$E$1)</f>
        <v>-3890</v>
      </c>
      <c r="AR174" s="185" t="n">
        <f aca="false">'ANR OK vs ML7'!AR174</f>
        <v>0.1</v>
      </c>
      <c r="AS174" s="213" t="n">
        <f aca="false">IF(A175="","",1/(1+CHOOSE(F$3,(AR175+($I$3/10000))/2,(AR174+($I$3/10000))/2))^(2*AQ174/365.25))</f>
        <v>2.8271068474398</v>
      </c>
      <c r="AT174" s="137" t="n">
        <f aca="false">IF(A175="","",IF(AND(mthbeg&lt;=A174,mthend&gt;=A174),1,0))</f>
        <v>1</v>
      </c>
      <c r="AU174" s="137" t="n">
        <f aca="false">IF(A175="","",AO174*AT174)</f>
        <v>28</v>
      </c>
      <c r="AW174" s="195" t="e">
        <f aca="false">IF($A175="","",AL174*$E174)</f>
        <v>#NAME?</v>
      </c>
      <c r="AX174" s="195" t="e">
        <f aca="false">IF($A175="","",AM174*$E174)</f>
        <v>#N/A</v>
      </c>
      <c r="AY174" s="195" t="e">
        <f aca="false">IF($A175="","",AN174*$E174)</f>
        <v>#N/A</v>
      </c>
      <c r="BA174" s="195" t="n">
        <f aca="false">IF($A175="","",F174*Summary!$Q$13)</f>
        <v>0</v>
      </c>
    </row>
    <row r="175" customFormat="false" ht="12" hidden="false" customHeight="true" outlineLevel="0" collapsed="false">
      <c r="A175" s="196" t="n">
        <f aca="false">IF(A174&lt;mthend,EDATE(A174,1),"")</f>
        <v>42064</v>
      </c>
      <c r="B175" s="197" t="n">
        <f aca="false">IF(A175&lt;mthend,B174,"")</f>
        <v>28400</v>
      </c>
      <c r="C175" s="215"/>
      <c r="D175" s="197" t="n">
        <f aca="false">IF(A176&lt;&gt;"",B175+C175,"")</f>
        <v>28400</v>
      </c>
      <c r="E175" s="199" t="n">
        <f aca="false">IF(A176="","",IF(AND(AT175=1,$H$3=1),D175*AO175,IF($H$3=2,D175,"N/A")))</f>
        <v>880400</v>
      </c>
      <c r="F175" s="199" t="n">
        <f aca="false">IF(A176="","",E175*AS175)</f>
        <v>2470435.50622457</v>
      </c>
      <c r="G175" s="200" t="e">
        <f aca="false">IF($A176="","",VLOOKUP($A175,Table,MATCH(G$4,Curves,0)))</f>
        <v>#N/A</v>
      </c>
      <c r="H175" s="201" t="e">
        <f aca="false">IF(A176="","",G175)</f>
        <v>#N/A</v>
      </c>
      <c r="I175" s="202"/>
      <c r="J175" s="227" t="e">
        <f aca="false">J163</f>
        <v>#N/A</v>
      </c>
      <c r="K175" s="201" t="e">
        <f aca="false">IF(A176="","",J175)</f>
        <v>#N/A</v>
      </c>
      <c r="L175" s="185" t="n">
        <v>0</v>
      </c>
      <c r="M175" s="201" t="n">
        <f aca="false">IF(A176="","",L175)</f>
        <v>0</v>
      </c>
      <c r="N175" s="203"/>
      <c r="O175" s="200" t="e">
        <f aca="false">IF(A176="","",L175+J175+G175)</f>
        <v>#N/A</v>
      </c>
      <c r="P175" s="200" t="e">
        <f aca="false">IF(A176="","",M175+K175+H175)</f>
        <v>#N/A</v>
      </c>
      <c r="Q175" s="204"/>
      <c r="R175" s="227" t="e">
        <f aca="false">R163</f>
        <v>#N/A</v>
      </c>
      <c r="S175" s="201" t="e">
        <f aca="false">IF(A176="","",R175)</f>
        <v>#N/A</v>
      </c>
      <c r="T175" s="185" t="n">
        <v>0</v>
      </c>
      <c r="U175" s="201" t="n">
        <f aca="false">IF(A176="","",T175)</f>
        <v>0</v>
      </c>
      <c r="V175" s="205"/>
      <c r="W175" s="202" t="e">
        <f aca="false">IF($A176="","",(T175+R175+G175+V175))</f>
        <v>#N/A</v>
      </c>
      <c r="X175" s="202" t="e">
        <f aca="false">IF($A176="","",(U175+S175+H175+V175))</f>
        <v>#N/A</v>
      </c>
      <c r="Y175" s="202"/>
      <c r="Z175" s="185" t="e">
        <f aca="false">IF($A176="","",VLOOKUP($A175,Table,MATCH(Z$4,Curves,0)))</f>
        <v>#N/A</v>
      </c>
      <c r="AA175" s="185" t="e">
        <f aca="false">IF($A176="","",VLOOKUP($A175,Table,MATCH(AA$4,Curves,0)))</f>
        <v>#N/A</v>
      </c>
      <c r="AB175" s="185" t="e">
        <f aca="false">SQRT((AA175^2*(A175-$D$3)+Z175^2*(DAY(EOMONTH(A175,0))/2))/AK175)</f>
        <v>#N/A</v>
      </c>
      <c r="AC175" s="185" t="e">
        <f aca="false">IF($A176="","",VLOOKUP($A175,Table,MATCH(AC$4,Curves,0)))</f>
        <v>#N/A</v>
      </c>
      <c r="AD175" s="185" t="e">
        <f aca="false">IF($A176="","",VLOOKUP($A175,Table,MATCH(AD$4,Curves,0)))</f>
        <v>#N/A</v>
      </c>
      <c r="AE175" s="185" t="e">
        <f aca="false">SQRT((AD175^2*(A175-$D$3)+AC175^2*(DAY(EOMONTH(A175,0))/2))/AK175)</f>
        <v>#N/A</v>
      </c>
      <c r="AF175" s="224" t="e">
        <f aca="false">((Summary!$N$13*(AA175*AD175)*(A175-$D$3))+(Summary!$M$13*Z175*AC175*(AJ175-EOMONTH(EDATE(A175,-1),0))))/(AK175*AB175*AE175)</f>
        <v>#N/A</v>
      </c>
      <c r="AG175" s="207" t="n">
        <f aca="false">IF($A176="","",Summary!$Q$13)</f>
        <v>0</v>
      </c>
      <c r="AH175" s="207" t="n">
        <f aca="false">IF($A176="","",IF(Summary!$R$12="Y",(VLOOKUP($A175,Summary!$AD$6:$AF$9,3)+'Escalating commodity'!I188),'Escalating commodity'!I188))</f>
        <v>0</v>
      </c>
      <c r="AI175" s="207" t="n">
        <f aca="false">IF($A176="","",AH175)</f>
        <v>0</v>
      </c>
      <c r="AJ175" s="208" t="n">
        <f aca="false">A175+DAY(EOMONTH(A175,0))/2-1</f>
        <v>42078.5</v>
      </c>
      <c r="AK175" s="209" t="n">
        <f aca="false">IF($A176="","",$A175-$E$1)</f>
        <v>-3862</v>
      </c>
      <c r="AL175" s="182" t="e">
        <f aca="false">IF($A176="","",SPRDOPT(P175,X175,AI175,0,AB175,AE175,AF175,AK175,$AJ$2,0))</f>
        <v>#NAME?</v>
      </c>
      <c r="AM175" s="210" t="e">
        <f aca="false">IF($A176="","",MAX(0,O175-W175-AI175))</f>
        <v>#N/A</v>
      </c>
      <c r="AN175" s="211" t="e">
        <f aca="false">IF($A176="","",AL175-AM175)</f>
        <v>#N/A</v>
      </c>
      <c r="AO175" s="137" t="n">
        <f aca="false">IF(A176="","",A176-A175)</f>
        <v>31</v>
      </c>
      <c r="AP175" s="212" t="n">
        <f aca="false">IF(A176="","",CHOOSE(F$3,A176+24,A175))</f>
        <v>42064</v>
      </c>
      <c r="AQ175" s="209" t="n">
        <f aca="false">IF(A176="","",AP175-$E$1)</f>
        <v>-3862</v>
      </c>
      <c r="AR175" s="185" t="n">
        <f aca="false">'ANR OK vs ML7'!AR175</f>
        <v>0.1</v>
      </c>
      <c r="AS175" s="213" t="n">
        <f aca="false">IF(A176="","",1/(1+CHOOSE(F$3,(AR176+($I$3/10000))/2,(AR175+($I$3/10000))/2))^(2*AQ175/365.25))</f>
        <v>2.80603760361718</v>
      </c>
      <c r="AT175" s="137" t="n">
        <f aca="false">IF(A176="","",IF(AND(mthbeg&lt;=A175,mthend&gt;=A175),1,0))</f>
        <v>1</v>
      </c>
      <c r="AU175" s="137" t="n">
        <f aca="false">IF(A176="","",AO175*AT175)</f>
        <v>31</v>
      </c>
      <c r="AW175" s="195" t="e">
        <f aca="false">IF($A176="","",AL175*$E175)</f>
        <v>#NAME?</v>
      </c>
      <c r="AX175" s="195" t="e">
        <f aca="false">IF($A176="","",AM175*$E175)</f>
        <v>#N/A</v>
      </c>
      <c r="AY175" s="195" t="e">
        <f aca="false">IF($A176="","",AN175*$E175)</f>
        <v>#N/A</v>
      </c>
      <c r="BA175" s="195" t="n">
        <f aca="false">IF($A176="","",F175*Summary!$Q$13)</f>
        <v>0</v>
      </c>
    </row>
    <row r="176" customFormat="false" ht="12" hidden="false" customHeight="true" outlineLevel="0" collapsed="false">
      <c r="A176" s="196" t="n">
        <f aca="false">IF(A175&lt;mthend,EDATE(A175,1),"")</f>
        <v>42095</v>
      </c>
      <c r="B176" s="197" t="str">
        <f aca="false">IF(A176&lt;mthend,B175,"")</f>
        <v/>
      </c>
      <c r="C176" s="215"/>
      <c r="D176" s="197" t="str">
        <f aca="false">IF(A177&lt;&gt;"",B176+C176,"")</f>
        <v/>
      </c>
      <c r="E176" s="199" t="str">
        <f aca="false">IF(A177="","",IF(AND(AT176=1,$H$3=1),D176*AO176,IF($H$3=2,D176,"N/A")))</f>
        <v/>
      </c>
      <c r="F176" s="199" t="str">
        <f aca="false">IF(A177="","",E176*AS176)</f>
        <v/>
      </c>
      <c r="G176" s="200" t="str">
        <f aca="false">IF($A177="","",VLOOKUP($A176,Table,MATCH(G$4,Curves,0)))</f>
        <v/>
      </c>
      <c r="H176" s="201" t="str">
        <f aca="false">IF(A177="","",G176)</f>
        <v/>
      </c>
      <c r="I176" s="202"/>
      <c r="J176" s="200" t="str">
        <f aca="false">IF($A177="","",VLOOKUP($A176,Table,MATCH(J$4,Curves,0)))</f>
        <v/>
      </c>
      <c r="K176" s="201" t="str">
        <f aca="false">IF(A177="","",J176)</f>
        <v/>
      </c>
      <c r="L176" s="185" t="n">
        <v>0</v>
      </c>
      <c r="M176" s="201" t="str">
        <f aca="false">IF(A177="","",L176)</f>
        <v/>
      </c>
      <c r="N176" s="203"/>
      <c r="O176" s="200" t="str">
        <f aca="false">IF(A177="","",L176+J176+G176)</f>
        <v/>
      </c>
      <c r="P176" s="200" t="str">
        <f aca="false">IF(A177="","",M176+K176+H176)</f>
        <v/>
      </c>
      <c r="Q176" s="204"/>
      <c r="R176" s="200" t="str">
        <f aca="false">IF($A177="","",VLOOKUP($A176,Table,MATCH(R$4,Curves,0)))</f>
        <v/>
      </c>
      <c r="S176" s="201" t="str">
        <f aca="false">IF(A177="","",R176)</f>
        <v/>
      </c>
      <c r="T176" s="185" t="n">
        <v>0</v>
      </c>
      <c r="U176" s="201" t="str">
        <f aca="false">IF(A177="","",T176)</f>
        <v/>
      </c>
      <c r="V176" s="205"/>
      <c r="W176" s="202" t="str">
        <f aca="false">IF($A177="","",(T176+R176+G176+V176))</f>
        <v/>
      </c>
      <c r="X176" s="202" t="str">
        <f aca="false">IF($A177="","",(U176+S176+H176+V176))</f>
        <v/>
      </c>
      <c r="Y176" s="202"/>
      <c r="Z176" s="185" t="str">
        <f aca="false">IF($A177="","",VLOOKUP($A176,Table,MATCH(Z$4,Curves,0)))</f>
        <v/>
      </c>
      <c r="AA176" s="185" t="str">
        <f aca="false">IF($A177="","",VLOOKUP($A176,Table,MATCH(AA$4,Curves,0)))</f>
        <v/>
      </c>
      <c r="AB176" s="185" t="e">
        <f aca="false">SQRT((AA176^2*(A176-$D$3)+Z176^2*(DAY(EOMONTH(A176,0))/2))/AK176)</f>
        <v>#VALUE!</v>
      </c>
      <c r="AC176" s="185" t="str">
        <f aca="false">IF($A177="","",VLOOKUP($A176,Table,MATCH(AC$4,Curves,0)))</f>
        <v/>
      </c>
      <c r="AD176" s="185" t="str">
        <f aca="false">IF($A177="","",VLOOKUP($A176,Table,MATCH(AD$4,Curves,0)))</f>
        <v/>
      </c>
      <c r="AE176" s="185" t="e">
        <f aca="false">SQRT((AD176^2*(A176-$D$3)+AC176^2*(DAY(EOMONTH(A176,0))/2))/AK176)</f>
        <v>#VALUE!</v>
      </c>
      <c r="AF176" s="224" t="e">
        <f aca="false">((Summary!$N$13*(AA176*AD176)*(A176-$D$3))+(Summary!$M$13*Z176*AC176*(AJ176-EOMONTH(EDATE(A176,-1),0))))/(AK176*AB176*AE176)</f>
        <v>#VALUE!</v>
      </c>
      <c r="AG176" s="207" t="str">
        <f aca="false">IF($A177="","",Summary!$Q$13)</f>
        <v/>
      </c>
      <c r="AH176" s="207" t="str">
        <f aca="false">IF($A177="","",IF(Summary!$R$12="Y",(VLOOKUP($A176,Summary!$AD$6:$AF$9,3)+'Escalating commodity'!I189),'Escalating commodity'!I189))</f>
        <v/>
      </c>
      <c r="AI176" s="207" t="str">
        <f aca="false">IF($A177="","",AH176)</f>
        <v/>
      </c>
      <c r="AJ176" s="208" t="n">
        <f aca="false">A176+DAY(EOMONTH(A176,0))/2-1</f>
        <v>42109</v>
      </c>
      <c r="AK176" s="209" t="str">
        <f aca="false">IF($A177="","",$A176-$E$1)</f>
        <v/>
      </c>
      <c r="AL176" s="182" t="str">
        <f aca="false">IF($A177="","",SPRDOPT(P176,X176,AI176,0,AB176,AE176,AF176,AK176,$AJ$2,0))</f>
        <v/>
      </c>
      <c r="AM176" s="210" t="str">
        <f aca="false">IF($A177="","",MAX(0,O176-W176-AI176))</f>
        <v/>
      </c>
      <c r="AN176" s="211" t="str">
        <f aca="false">IF($A177="","",AL176-AM176)</f>
        <v/>
      </c>
      <c r="AO176" s="137" t="str">
        <f aca="false">IF(A177="","",A177-A176)</f>
        <v/>
      </c>
      <c r="AP176" s="212" t="str">
        <f aca="false">IF(A177="","",CHOOSE(F$3,A177+24,A176))</f>
        <v/>
      </c>
      <c r="AQ176" s="209" t="str">
        <f aca="false">IF(A177="","",AP176-$E$1)</f>
        <v/>
      </c>
      <c r="AR176" s="185" t="n">
        <f aca="false">'ANR OK vs ML7'!AR176</f>
        <v>0.1</v>
      </c>
      <c r="AS176" s="213" t="str">
        <f aca="false">IF(A177="","",1/(1+CHOOSE(F$3,(AR177+($I$3/10000))/2,(AR176+($I$3/10000))/2))^(2*AQ176/365.25))</f>
        <v/>
      </c>
      <c r="AT176" s="137" t="str">
        <f aca="false">IF(A177="","",IF(AND(mthbeg&lt;=A176,mthend&gt;=A176),1,0))</f>
        <v/>
      </c>
      <c r="AU176" s="137" t="str">
        <f aca="false">IF(A177="","",AO176*AT176)</f>
        <v/>
      </c>
      <c r="AW176" s="195" t="str">
        <f aca="false">IF($A177="","",AL176*$E176)</f>
        <v/>
      </c>
      <c r="AX176" s="195" t="str">
        <f aca="false">IF($A177="","",AM176*$E176)</f>
        <v/>
      </c>
      <c r="AY176" s="195" t="str">
        <f aca="false">IF($A177="","",AN176*$E176)</f>
        <v/>
      </c>
      <c r="BA176" s="195" t="str">
        <f aca="false">IF($A177="","",F176*Summary!$Q$13)</f>
        <v/>
      </c>
    </row>
    <row r="177" customFormat="false" ht="12" hidden="false" customHeight="true" outlineLevel="0" collapsed="false">
      <c r="A177" s="196" t="str">
        <f aca="false">IF(A176&lt;mthend,EDATE(A176,1),"")</f>
        <v/>
      </c>
      <c r="B177" s="197" t="str">
        <f aca="false">IF(A177&lt;mthend,B176,"")</f>
        <v/>
      </c>
      <c r="C177" s="215"/>
      <c r="D177" s="197" t="str">
        <f aca="false">IF(A178&lt;&gt;"",B177+C177,"")</f>
        <v/>
      </c>
      <c r="E177" s="199" t="str">
        <f aca="false">IF(A178="","",IF(AND(AT177=1,$H$3=1),D177*AO177,IF($H$3=2,D177,"N/A")))</f>
        <v/>
      </c>
      <c r="F177" s="199" t="str">
        <f aca="false">IF(A178="","",E177*AS177)</f>
        <v/>
      </c>
      <c r="G177" s="200" t="str">
        <f aca="false">IF($A178="","",VLOOKUP($A177,Table,MATCH(G$4,Curves,0)))</f>
        <v/>
      </c>
      <c r="H177" s="201" t="str">
        <f aca="false">IF(A178="","",G177)</f>
        <v/>
      </c>
      <c r="I177" s="202"/>
      <c r="J177" s="200" t="str">
        <f aca="false">IF($A178="","",VLOOKUP($A177,Table,MATCH(J$4,Curves,0)))</f>
        <v/>
      </c>
      <c r="K177" s="201" t="str">
        <f aca="false">IF(A178="","",J177)</f>
        <v/>
      </c>
      <c r="L177" s="185" t="n">
        <v>0</v>
      </c>
      <c r="M177" s="201" t="str">
        <f aca="false">IF(A178="","",L177)</f>
        <v/>
      </c>
      <c r="N177" s="203"/>
      <c r="O177" s="200" t="str">
        <f aca="false">IF(A178="","",L177+J177+G177)</f>
        <v/>
      </c>
      <c r="P177" s="200" t="str">
        <f aca="false">IF(A178="","",M177+K177+H177)</f>
        <v/>
      </c>
      <c r="Q177" s="204"/>
      <c r="R177" s="200" t="str">
        <f aca="false">IF($A178="","",VLOOKUP($A177,Table,MATCH(R$4,Curves,0)))</f>
        <v/>
      </c>
      <c r="S177" s="201" t="str">
        <f aca="false">IF(A178="","",R177)</f>
        <v/>
      </c>
      <c r="T177" s="185" t="n">
        <v>0</v>
      </c>
      <c r="U177" s="201" t="str">
        <f aca="false">IF(A178="","",T177)</f>
        <v/>
      </c>
      <c r="V177" s="205"/>
      <c r="W177" s="202" t="str">
        <f aca="false">IF($A178="","",(T177+R177+G177+V177))</f>
        <v/>
      </c>
      <c r="X177" s="202" t="str">
        <f aca="false">IF($A178="","",(U177+S177+H177+V177))</f>
        <v/>
      </c>
      <c r="Y177" s="202"/>
      <c r="Z177" s="185" t="str">
        <f aca="false">IF($A178="","",VLOOKUP($A177,Table,MATCH(Z$4,Curves,0)))</f>
        <v/>
      </c>
      <c r="AA177" s="185" t="str">
        <f aca="false">IF($A178="","",VLOOKUP($A177,Table,MATCH(AA$4,Curves,0)))</f>
        <v/>
      </c>
      <c r="AB177" s="185" t="e">
        <f aca="false">SQRT((AA177^2*(A177-$D$3)+Z177^2*(DAY(EOMONTH(A177,0))/2))/AK177)</f>
        <v>#VALUE!</v>
      </c>
      <c r="AC177" s="185" t="str">
        <f aca="false">IF($A178="","",VLOOKUP($A177,Table,MATCH(AC$4,Curves,0)))</f>
        <v/>
      </c>
      <c r="AD177" s="185" t="str">
        <f aca="false">IF($A178="","",VLOOKUP($A177,Table,MATCH(AD$4,Curves,0)))</f>
        <v/>
      </c>
      <c r="AE177" s="185" t="e">
        <f aca="false">SQRT((AD177^2*(A177-$D$3)+AC177^2*(DAY(EOMONTH(A177,0))/2))/AK177)</f>
        <v>#VALUE!</v>
      </c>
      <c r="AF177" s="224" t="e">
        <f aca="false">((Summary!$N$13*(AA177*AD177)*(A177-$D$3))+(Summary!$M$13*Z177*AC177*(AJ177-EOMONTH(EDATE(A177,-1),0))))/(AK177*AB177*AE177)</f>
        <v>#VALUE!</v>
      </c>
      <c r="AG177" s="207" t="str">
        <f aca="false">IF($A178="","",Summary!$Q$13)</f>
        <v/>
      </c>
      <c r="AH177" s="207" t="str">
        <f aca="false">IF($A178="","",IF(Summary!$R$12="Y",(VLOOKUP($A177,Summary!$AD$6:$AF$9,3)+'Escalating commodity'!I190),'Escalating commodity'!I190))</f>
        <v/>
      </c>
      <c r="AI177" s="207" t="str">
        <f aca="false">IF($A178="","",AH177)</f>
        <v/>
      </c>
      <c r="AJ177" s="208" t="e">
        <f aca="false">A177+DAY(EOMONTH(A177,0))/2-1</f>
        <v>#VALUE!</v>
      </c>
      <c r="AK177" s="209" t="str">
        <f aca="false">IF($A178="","",$A177-$E$1)</f>
        <v/>
      </c>
      <c r="AL177" s="182" t="str">
        <f aca="false">IF($A178="","",SPRDOPT(P177,X177,AI177,0,AB177,AE177,AF177,AK177,$AJ$2,0))</f>
        <v/>
      </c>
      <c r="AM177" s="210" t="str">
        <f aca="false">IF($A178="","",MAX(0,O177-W177-AI177))</f>
        <v/>
      </c>
      <c r="AN177" s="211" t="str">
        <f aca="false">IF($A178="","",AL177-AM177)</f>
        <v/>
      </c>
      <c r="AO177" s="137" t="str">
        <f aca="false">IF(A178="","",A178-A177)</f>
        <v/>
      </c>
      <c r="AP177" s="212" t="str">
        <f aca="false">IF(A178="","",CHOOSE(F$3,A178+24,A177))</f>
        <v/>
      </c>
      <c r="AQ177" s="209" t="str">
        <f aca="false">IF(A178="","",AP177-$E$1)</f>
        <v/>
      </c>
      <c r="AR177" s="185" t="n">
        <f aca="false">'ANR OK vs ML7'!AR177</f>
        <v>0.1</v>
      </c>
      <c r="AS177" s="213" t="str">
        <f aca="false">IF(A178="","",1/(1+CHOOSE(F$3,(AR178+($I$3/10000))/2,(AR177+($I$3/10000))/2))^(2*AQ177/365.25))</f>
        <v/>
      </c>
      <c r="AT177" s="137" t="str">
        <f aca="false">IF(A178="","",IF(AND(mthbeg&lt;=A177,mthend&gt;=A177),1,0))</f>
        <v/>
      </c>
      <c r="AU177" s="137" t="str">
        <f aca="false">IF(A178="","",AO177*AT177)</f>
        <v/>
      </c>
      <c r="AW177" s="195" t="str">
        <f aca="false">IF($A178="","",AL177*$E177)</f>
        <v/>
      </c>
      <c r="AX177" s="195" t="str">
        <f aca="false">IF($A178="","",AM177*$E177)</f>
        <v/>
      </c>
      <c r="AY177" s="195" t="str">
        <f aca="false">IF($A178="","",AN177*$E177)</f>
        <v/>
      </c>
      <c r="BA177" s="195" t="str">
        <f aca="false">IF($A178="","",F177*Summary!$Q$13)</f>
        <v/>
      </c>
    </row>
    <row r="178" customFormat="false" ht="12" hidden="false" customHeight="true" outlineLevel="0" collapsed="false">
      <c r="A178" s="196" t="str">
        <f aca="false">IF(A177&lt;mthend,EDATE(A177,1),"")</f>
        <v/>
      </c>
      <c r="B178" s="197" t="str">
        <f aca="false">IF(A178&lt;mthend,B177,"")</f>
        <v/>
      </c>
      <c r="C178" s="215"/>
      <c r="D178" s="197" t="str">
        <f aca="false">IF(A179&lt;&gt;"",B178+C178,"")</f>
        <v/>
      </c>
      <c r="E178" s="199" t="str">
        <f aca="false">IF(A179="","",IF(AND(AT178=1,$H$3=1),D178*AO178,IF($H$3=2,D178,"N/A")))</f>
        <v/>
      </c>
      <c r="F178" s="199" t="str">
        <f aca="false">IF(A179="","",E178*AS178)</f>
        <v/>
      </c>
      <c r="G178" s="200" t="str">
        <f aca="false">IF($A179="","",VLOOKUP($A178,Table,MATCH(G$4,Curves,0)))</f>
        <v/>
      </c>
      <c r="H178" s="201" t="str">
        <f aca="false">IF(A179="","",G178)</f>
        <v/>
      </c>
      <c r="I178" s="202"/>
      <c r="J178" s="200" t="str">
        <f aca="false">IF($A179="","",VLOOKUP($A178,Table,MATCH(J$4,Curves,0)))</f>
        <v/>
      </c>
      <c r="K178" s="201" t="str">
        <f aca="false">IF(A179="","",J178)</f>
        <v/>
      </c>
      <c r="L178" s="185" t="n">
        <v>0</v>
      </c>
      <c r="M178" s="201" t="str">
        <f aca="false">IF(A179="","",L178)</f>
        <v/>
      </c>
      <c r="N178" s="203"/>
      <c r="O178" s="200" t="str">
        <f aca="false">IF(A179="","",L178+J178+G178)</f>
        <v/>
      </c>
      <c r="P178" s="200" t="str">
        <f aca="false">IF(A179="","",M178+K178+H178)</f>
        <v/>
      </c>
      <c r="Q178" s="204"/>
      <c r="R178" s="200" t="str">
        <f aca="false">IF($A179="","",VLOOKUP($A178,Table,MATCH(R$4,Curves,0)))</f>
        <v/>
      </c>
      <c r="S178" s="201" t="str">
        <f aca="false">IF(A179="","",R178)</f>
        <v/>
      </c>
      <c r="T178" s="185" t="n">
        <v>0</v>
      </c>
      <c r="U178" s="201" t="str">
        <f aca="false">IF(A179="","",T178)</f>
        <v/>
      </c>
      <c r="V178" s="205"/>
      <c r="W178" s="202" t="str">
        <f aca="false">IF($A179="","",(T178+R178+G178+V178))</f>
        <v/>
      </c>
      <c r="X178" s="202" t="str">
        <f aca="false">IF($A179="","",(U178+S178+H178+V178))</f>
        <v/>
      </c>
      <c r="Y178" s="202"/>
      <c r="Z178" s="185" t="str">
        <f aca="false">IF($A179="","",VLOOKUP($A178,Table,MATCH(Z$4,Curves,0)))</f>
        <v/>
      </c>
      <c r="AA178" s="185" t="str">
        <f aca="false">IF($A179="","",VLOOKUP($A178,Table,MATCH(AA$4,Curves,0)))</f>
        <v/>
      </c>
      <c r="AB178" s="185" t="e">
        <f aca="false">SQRT((AA178^2*(A178-$D$3)+Z178^2*(DAY(EOMONTH(A178,0))/2))/AK178)</f>
        <v>#VALUE!</v>
      </c>
      <c r="AC178" s="185" t="str">
        <f aca="false">IF($A179="","",VLOOKUP($A178,Table,MATCH(AC$4,Curves,0)))</f>
        <v/>
      </c>
      <c r="AD178" s="185" t="str">
        <f aca="false">IF($A179="","",VLOOKUP($A178,Table,MATCH(AD$4,Curves,0)))</f>
        <v/>
      </c>
      <c r="AE178" s="185" t="e">
        <f aca="false">SQRT((AD178^2*(A178-$D$3)+AC178^2*(DAY(EOMONTH(A178,0))/2))/AK178)</f>
        <v>#VALUE!</v>
      </c>
      <c r="AF178" s="224" t="e">
        <f aca="false">((Summary!$N$13*(AA178*AD178)*(A178-$D$3))+(Summary!$M$13*Z178*AC178*(AJ178-EOMONTH(EDATE(A178,-1),0))))/(AK178*AB178*AE178)</f>
        <v>#VALUE!</v>
      </c>
      <c r="AG178" s="207" t="str">
        <f aca="false">IF($A179="","",Summary!$Q$13)</f>
        <v/>
      </c>
      <c r="AH178" s="207" t="str">
        <f aca="false">IF($A179="","",IF(Summary!$R$12="Y",(VLOOKUP($A178,Summary!$AD$6:$AF$9,3)+'Escalating commodity'!I191),'Escalating commodity'!I191))</f>
        <v/>
      </c>
      <c r="AI178" s="207" t="str">
        <f aca="false">IF($A179="","",AH178)</f>
        <v/>
      </c>
      <c r="AJ178" s="208" t="e">
        <f aca="false">A178+DAY(EOMONTH(A178,0))/2-1</f>
        <v>#VALUE!</v>
      </c>
      <c r="AK178" s="209" t="str">
        <f aca="false">IF($A179="","",$A178-$E$1)</f>
        <v/>
      </c>
      <c r="AL178" s="182" t="str">
        <f aca="false">IF($A179="","",SPRDOPT(P178,X178,AI178,0,AB178,AE178,AF178,AK178,$AJ$2,0))</f>
        <v/>
      </c>
      <c r="AM178" s="210" t="str">
        <f aca="false">IF($A179="","",MAX(0,O178-W178-AI178))</f>
        <v/>
      </c>
      <c r="AN178" s="211" t="str">
        <f aca="false">IF($A179="","",AL178-AM178)</f>
        <v/>
      </c>
      <c r="AO178" s="137" t="str">
        <f aca="false">IF(A179="","",A179-A178)</f>
        <v/>
      </c>
      <c r="AP178" s="212" t="str">
        <f aca="false">IF(A179="","",CHOOSE(F$3,A179+24,A178))</f>
        <v/>
      </c>
      <c r="AQ178" s="209" t="str">
        <f aca="false">IF(A179="","",AP178-$E$1)</f>
        <v/>
      </c>
      <c r="AR178" s="185" t="n">
        <f aca="false">'ANR OK vs ML7'!AR178</f>
        <v>0.1</v>
      </c>
      <c r="AS178" s="213" t="str">
        <f aca="false">IF(A179="","",1/(1+CHOOSE(F$3,(AR179+($I$3/10000))/2,(AR178+($I$3/10000))/2))^(2*AQ178/365.25))</f>
        <v/>
      </c>
      <c r="AT178" s="137" t="str">
        <f aca="false">IF(A179="","",IF(AND(mthbeg&lt;=A178,mthend&gt;=A178),1,0))</f>
        <v/>
      </c>
      <c r="AU178" s="137" t="str">
        <f aca="false">IF(A179="","",AO178*AT178)</f>
        <v/>
      </c>
      <c r="AW178" s="195" t="str">
        <f aca="false">IF($A179="","",AL178*$E178)</f>
        <v/>
      </c>
      <c r="AX178" s="195" t="str">
        <f aca="false">IF($A179="","",AM178*$E178)</f>
        <v/>
      </c>
      <c r="AY178" s="195" t="str">
        <f aca="false">IF($A179="","",AN178*$E178)</f>
        <v/>
      </c>
      <c r="BA178" s="195" t="str">
        <f aca="false">IF($A179="","",F178*Summary!$Q$13)</f>
        <v/>
      </c>
    </row>
    <row r="179" customFormat="false" ht="12" hidden="false" customHeight="true" outlineLevel="0" collapsed="false">
      <c r="A179" s="196" t="str">
        <f aca="false">IF(A178&lt;mthend,EDATE(A178,1),"")</f>
        <v/>
      </c>
      <c r="B179" s="197" t="str">
        <f aca="false">IF(A179&lt;mthend,B178,"")</f>
        <v/>
      </c>
      <c r="C179" s="215"/>
      <c r="D179" s="197" t="str">
        <f aca="false">IF(A180&lt;&gt;"",B179+C179,"")</f>
        <v/>
      </c>
      <c r="E179" s="199" t="str">
        <f aca="false">IF(A180="","",IF(AND(AT179=1,$H$3=1),D179*AO179,IF($H$3=2,D179,"N/A")))</f>
        <v/>
      </c>
      <c r="F179" s="199" t="str">
        <f aca="false">IF(A180="","",E179*AS179)</f>
        <v/>
      </c>
      <c r="G179" s="200" t="str">
        <f aca="false">IF($A180="","",VLOOKUP($A179,Table,MATCH(G$4,Curves,0)))</f>
        <v/>
      </c>
      <c r="H179" s="201" t="str">
        <f aca="false">IF(A180="","",G179)</f>
        <v/>
      </c>
      <c r="I179" s="202"/>
      <c r="J179" s="200" t="str">
        <f aca="false">IF($A180="","",VLOOKUP($A179,Table,MATCH(J$4,Curves,0)))</f>
        <v/>
      </c>
      <c r="K179" s="201" t="str">
        <f aca="false">IF(A180="","",J179)</f>
        <v/>
      </c>
      <c r="L179" s="185" t="n">
        <v>0</v>
      </c>
      <c r="M179" s="201" t="str">
        <f aca="false">IF(A180="","",L179)</f>
        <v/>
      </c>
      <c r="N179" s="203"/>
      <c r="O179" s="200" t="str">
        <f aca="false">IF(A180="","",L179+J179+G179)</f>
        <v/>
      </c>
      <c r="P179" s="200" t="str">
        <f aca="false">IF(A180="","",M179+K179+H179)</f>
        <v/>
      </c>
      <c r="Q179" s="204"/>
      <c r="R179" s="200" t="str">
        <f aca="false">IF($A180="","",VLOOKUP($A179,Table,MATCH(R$4,Curves,0)))</f>
        <v/>
      </c>
      <c r="S179" s="201" t="str">
        <f aca="false">IF(A180="","",R179)</f>
        <v/>
      </c>
      <c r="T179" s="185" t="n">
        <v>0</v>
      </c>
      <c r="U179" s="201" t="str">
        <f aca="false">IF(A180="","",T179)</f>
        <v/>
      </c>
      <c r="V179" s="205"/>
      <c r="W179" s="202" t="str">
        <f aca="false">IF($A180="","",(T179+R179+G179+V179))</f>
        <v/>
      </c>
      <c r="X179" s="202" t="str">
        <f aca="false">IF($A180="","",(U179+S179+H179+V179))</f>
        <v/>
      </c>
      <c r="Y179" s="202"/>
      <c r="Z179" s="185" t="str">
        <f aca="false">IF($A180="","",VLOOKUP($A179,Table,MATCH(Z$4,Curves,0)))</f>
        <v/>
      </c>
      <c r="AA179" s="185" t="str">
        <f aca="false">IF($A180="","",VLOOKUP($A179,Table,MATCH(AA$4,Curves,0)))</f>
        <v/>
      </c>
      <c r="AB179" s="185" t="e">
        <f aca="false">SQRT((AA179^2*(A179-$D$3)+Z179^2*(DAY(EOMONTH(A179,0))/2))/AK179)</f>
        <v>#VALUE!</v>
      </c>
      <c r="AC179" s="185" t="str">
        <f aca="false">IF($A180="","",VLOOKUP($A179,Table,MATCH(AC$4,Curves,0)))</f>
        <v/>
      </c>
      <c r="AD179" s="185" t="str">
        <f aca="false">IF($A180="","",VLOOKUP($A179,Table,MATCH(AD$4,Curves,0)))</f>
        <v/>
      </c>
      <c r="AE179" s="185" t="e">
        <f aca="false">SQRT((AD179^2*(A179-$D$3)+AC179^2*(DAY(EOMONTH(A179,0))/2))/AK179)</f>
        <v>#VALUE!</v>
      </c>
      <c r="AF179" s="224" t="e">
        <f aca="false">((Summary!$N$13*(AA179*AD179)*(A179-$D$3))+(Summary!$M$13*Z179*AC179*(AJ179-EOMONTH(EDATE(A179,-1),0))))/(AK179*AB179*AE179)</f>
        <v>#VALUE!</v>
      </c>
      <c r="AG179" s="207" t="str">
        <f aca="false">IF($A180="","",Summary!$Q$13)</f>
        <v/>
      </c>
      <c r="AH179" s="207" t="str">
        <f aca="false">IF($A180="","",IF(Summary!$R$12="Y",(VLOOKUP($A179,Summary!$AD$6:$AF$9,3)+'Escalating commodity'!I192),'Escalating commodity'!I192))</f>
        <v/>
      </c>
      <c r="AI179" s="207" t="str">
        <f aca="false">IF($A180="","",AH179)</f>
        <v/>
      </c>
      <c r="AJ179" s="208" t="e">
        <f aca="false">A179+DAY(EOMONTH(A179,0))/2-1</f>
        <v>#VALUE!</v>
      </c>
      <c r="AK179" s="209" t="str">
        <f aca="false">IF($A180="","",$A179-$E$1)</f>
        <v/>
      </c>
      <c r="AL179" s="182" t="str">
        <f aca="false">IF($A180="","",SPRDOPT(P179,X179,AI179,0,AB179,AE179,AF179,AK179,$AJ$2,0))</f>
        <v/>
      </c>
      <c r="AM179" s="210" t="str">
        <f aca="false">IF($A180="","",MAX(0,O179-W179-AI179))</f>
        <v/>
      </c>
      <c r="AN179" s="211" t="str">
        <f aca="false">IF($A180="","",AL179-AM179)</f>
        <v/>
      </c>
      <c r="AO179" s="137" t="str">
        <f aca="false">IF(A180="","",A180-A179)</f>
        <v/>
      </c>
      <c r="AP179" s="212" t="str">
        <f aca="false">IF(A180="","",CHOOSE(F$3,A180+24,A179))</f>
        <v/>
      </c>
      <c r="AQ179" s="209" t="str">
        <f aca="false">IF(A180="","",AP179-$E$1)</f>
        <v/>
      </c>
      <c r="AR179" s="185" t="n">
        <f aca="false">'ANR OK vs ML7'!AR179</f>
        <v>0.1</v>
      </c>
      <c r="AS179" s="213" t="str">
        <f aca="false">IF(A180="","",1/(1+CHOOSE(F$3,(AR180+($I$3/10000))/2,(AR179+($I$3/10000))/2))^(2*AQ179/365.25))</f>
        <v/>
      </c>
      <c r="AT179" s="137" t="str">
        <f aca="false">IF(A180="","",IF(AND(mthbeg&lt;=A179,mthend&gt;=A179),1,0))</f>
        <v/>
      </c>
      <c r="AU179" s="137" t="str">
        <f aca="false">IF(A180="","",AO179*AT179)</f>
        <v/>
      </c>
      <c r="AW179" s="195" t="str">
        <f aca="false">IF($A180="","",AL179*$E179)</f>
        <v/>
      </c>
      <c r="AX179" s="195" t="str">
        <f aca="false">IF($A180="","",AM179*$E179)</f>
        <v/>
      </c>
      <c r="AY179" s="195" t="str">
        <f aca="false">IF($A180="","",AN179*$E179)</f>
        <v/>
      </c>
      <c r="BA179" s="195" t="str">
        <f aca="false">IF($A180="","",F179*Summary!$Q$13)</f>
        <v/>
      </c>
    </row>
    <row r="180" customFormat="false" ht="12" hidden="false" customHeight="true" outlineLevel="0" collapsed="false">
      <c r="A180" s="196" t="str">
        <f aca="false">IF(A179&lt;mthend,EDATE(A179,1),"")</f>
        <v/>
      </c>
      <c r="B180" s="197" t="str">
        <f aca="false">IF(A180&lt;mthend,B179,"")</f>
        <v/>
      </c>
      <c r="C180" s="215"/>
      <c r="D180" s="197" t="str">
        <f aca="false">IF(A181&lt;&gt;"",B180+C180,"")</f>
        <v/>
      </c>
      <c r="E180" s="199" t="str">
        <f aca="false">IF(A181="","",IF(AND(AT180=1,$H$3=1),D180*AO180,IF($H$3=2,D180,"N/A")))</f>
        <v/>
      </c>
      <c r="F180" s="199" t="str">
        <f aca="false">IF(A181="","",E180*AS180)</f>
        <v/>
      </c>
      <c r="G180" s="200" t="str">
        <f aca="false">IF($A181="","",VLOOKUP($A180,Table,MATCH(G$4,Curves,0)))</f>
        <v/>
      </c>
      <c r="H180" s="201" t="str">
        <f aca="false">IF(A181="","",G180)</f>
        <v/>
      </c>
      <c r="I180" s="202"/>
      <c r="J180" s="200" t="str">
        <f aca="false">IF($A181="","",VLOOKUP($A180,Table,MATCH(J$4,Curves,0)))</f>
        <v/>
      </c>
      <c r="K180" s="201" t="str">
        <f aca="false">IF(A181="","",J180)</f>
        <v/>
      </c>
      <c r="L180" s="185" t="n">
        <v>0</v>
      </c>
      <c r="M180" s="201" t="str">
        <f aca="false">IF(A181="","",L180)</f>
        <v/>
      </c>
      <c r="N180" s="203"/>
      <c r="O180" s="200" t="str">
        <f aca="false">IF(A181="","",L180+J180+G180)</f>
        <v/>
      </c>
      <c r="P180" s="200" t="str">
        <f aca="false">IF(A181="","",M180+K180+H180)</f>
        <v/>
      </c>
      <c r="Q180" s="204"/>
      <c r="R180" s="200" t="str">
        <f aca="false">IF($A181="","",VLOOKUP($A180,Table,MATCH(R$4,Curves,0)))</f>
        <v/>
      </c>
      <c r="S180" s="201" t="str">
        <f aca="false">IF(A181="","",R180)</f>
        <v/>
      </c>
      <c r="T180" s="185" t="n">
        <v>0</v>
      </c>
      <c r="U180" s="201" t="str">
        <f aca="false">IF(A181="","",T180)</f>
        <v/>
      </c>
      <c r="V180" s="205"/>
      <c r="W180" s="202" t="str">
        <f aca="false">IF($A181="","",(T180+R180+G180+V180))</f>
        <v/>
      </c>
      <c r="X180" s="202" t="str">
        <f aca="false">IF($A181="","",(U180+S180+H180+V180))</f>
        <v/>
      </c>
      <c r="Y180" s="202"/>
      <c r="Z180" s="185" t="str">
        <f aca="false">IF($A181="","",VLOOKUP($A180,Table,MATCH(Z$4,Curves,0)))</f>
        <v/>
      </c>
      <c r="AA180" s="185" t="str">
        <f aca="false">IF($A181="","",VLOOKUP($A180,Table,MATCH(AA$4,Curves,0)))</f>
        <v/>
      </c>
      <c r="AB180" s="185" t="e">
        <f aca="false">SQRT((AA180^2*(A180-$D$3)+Z180^2*(DAY(EOMONTH(A180,0))/2))/AK180)</f>
        <v>#VALUE!</v>
      </c>
      <c r="AC180" s="185" t="str">
        <f aca="false">IF($A181="","",VLOOKUP($A180,Table,MATCH(AC$4,Curves,0)))</f>
        <v/>
      </c>
      <c r="AD180" s="185" t="str">
        <f aca="false">IF($A181="","",VLOOKUP($A180,Table,MATCH(AD$4,Curves,0)))</f>
        <v/>
      </c>
      <c r="AE180" s="185" t="e">
        <f aca="false">SQRT((AD180^2*(A180-$D$3)+AC180^2*(DAY(EOMONTH(A180,0))/2))/AK180)</f>
        <v>#VALUE!</v>
      </c>
      <c r="AF180" s="224" t="e">
        <f aca="false">((Summary!$N$13*(AA180*AD180)*(A180-$D$3))+(Summary!$M$13*Z180*AC180*(AJ180-EOMONTH(EDATE(A180,-1),0))))/(AK180*AB180*AE180)</f>
        <v>#VALUE!</v>
      </c>
      <c r="AG180" s="207" t="str">
        <f aca="false">IF($A181="","",Summary!$Q$13)</f>
        <v/>
      </c>
      <c r="AH180" s="207" t="str">
        <f aca="false">IF($A181="","",IF(Summary!$R$12="Y",(VLOOKUP($A180,Summary!$AD$6:$AF$9,3)+'Escalating commodity'!I193),'Escalating commodity'!I193))</f>
        <v/>
      </c>
      <c r="AI180" s="207" t="str">
        <f aca="false">IF($A181="","",AH180)</f>
        <v/>
      </c>
      <c r="AJ180" s="208" t="e">
        <f aca="false">A180+DAY(EOMONTH(A180,0))/2-1</f>
        <v>#VALUE!</v>
      </c>
      <c r="AK180" s="209" t="str">
        <f aca="false">IF($A181="","",$A180-$E$1)</f>
        <v/>
      </c>
      <c r="AL180" s="182" t="str">
        <f aca="false">IF($A181="","",SPRDOPT(P180,X180,AI180,0,AB180,AE180,AF180,AK180,$AJ$2,0))</f>
        <v/>
      </c>
      <c r="AM180" s="210" t="str">
        <f aca="false">IF($A181="","",MAX(0,O180-W180-AI180))</f>
        <v/>
      </c>
      <c r="AN180" s="211" t="str">
        <f aca="false">IF($A181="","",AL180-AM180)</f>
        <v/>
      </c>
      <c r="AO180" s="137" t="str">
        <f aca="false">IF(A181="","",A181-A180)</f>
        <v/>
      </c>
      <c r="AP180" s="212" t="str">
        <f aca="false">IF(A181="","",CHOOSE(F$3,A181+24,A180))</f>
        <v/>
      </c>
      <c r="AQ180" s="209" t="str">
        <f aca="false">IF(A181="","",AP180-$E$1)</f>
        <v/>
      </c>
      <c r="AR180" s="185" t="n">
        <f aca="false">'ANR OK vs ML7'!AR180</f>
        <v>0.1</v>
      </c>
      <c r="AS180" s="213" t="str">
        <f aca="false">IF(A181="","",1/(1+CHOOSE(F$3,(AR181+($I$3/10000))/2,(AR180+($I$3/10000))/2))^(2*AQ180/365.25))</f>
        <v/>
      </c>
      <c r="AT180" s="137" t="str">
        <f aca="false">IF(A181="","",IF(AND(mthbeg&lt;=A180,mthend&gt;=A180),1,0))</f>
        <v/>
      </c>
      <c r="AU180" s="137" t="str">
        <f aca="false">IF(A181="","",AO180*AT180)</f>
        <v/>
      </c>
      <c r="AW180" s="195" t="str">
        <f aca="false">IF($A181="","",AL180*$E180)</f>
        <v/>
      </c>
      <c r="AX180" s="195" t="str">
        <f aca="false">IF($A181="","",AM180*$E180)</f>
        <v/>
      </c>
      <c r="AY180" s="195" t="str">
        <f aca="false">IF($A181="","",AN180*$E180)</f>
        <v/>
      </c>
      <c r="BA180" s="195" t="str">
        <f aca="false">IF($A181="","",F180*Summary!$Q$13)</f>
        <v/>
      </c>
    </row>
    <row r="181" customFormat="false" ht="12" hidden="false" customHeight="true" outlineLevel="0" collapsed="false">
      <c r="A181" s="196" t="str">
        <f aca="false">IF(A180&lt;mthend,EDATE(A180,1),"")</f>
        <v/>
      </c>
      <c r="B181" s="197" t="str">
        <f aca="false">IF(A181&lt;mthend,B180,"")</f>
        <v/>
      </c>
      <c r="C181" s="215"/>
      <c r="D181" s="197" t="str">
        <f aca="false">IF(A182&lt;&gt;"",B181+C181,"")</f>
        <v/>
      </c>
      <c r="E181" s="199" t="str">
        <f aca="false">IF(A182="","",IF(AND(AT181=1,$H$3=1),D181*AO181,IF($H$3=2,D181,"N/A")))</f>
        <v/>
      </c>
      <c r="F181" s="199" t="str">
        <f aca="false">IF(A182="","",E181*AS181)</f>
        <v/>
      </c>
      <c r="G181" s="200" t="str">
        <f aca="false">IF($A182="","",VLOOKUP($A181,Table,MATCH(G$4,Curves,0)))</f>
        <v/>
      </c>
      <c r="H181" s="201" t="str">
        <f aca="false">IF(A182="","",G181)</f>
        <v/>
      </c>
      <c r="I181" s="202"/>
      <c r="J181" s="200" t="str">
        <f aca="false">IF($A182="","",VLOOKUP($A181,Table,MATCH(J$4,Curves,0)))</f>
        <v/>
      </c>
      <c r="K181" s="201" t="str">
        <f aca="false">IF(A182="","",J181)</f>
        <v/>
      </c>
      <c r="L181" s="185" t="n">
        <v>0</v>
      </c>
      <c r="M181" s="201" t="str">
        <f aca="false">IF(A182="","",L181)</f>
        <v/>
      </c>
      <c r="N181" s="203"/>
      <c r="O181" s="200" t="str">
        <f aca="false">IF(A182="","",L181+J181+G181)</f>
        <v/>
      </c>
      <c r="P181" s="200" t="str">
        <f aca="false">IF(A182="","",M181+K181+H181)</f>
        <v/>
      </c>
      <c r="Q181" s="204"/>
      <c r="R181" s="200" t="str">
        <f aca="false">IF($A182="","",VLOOKUP($A181,Table,MATCH(R$4,Curves,0)))</f>
        <v/>
      </c>
      <c r="S181" s="201" t="str">
        <f aca="false">IF(A182="","",R181)</f>
        <v/>
      </c>
      <c r="T181" s="185" t="n">
        <v>0</v>
      </c>
      <c r="U181" s="201" t="str">
        <f aca="false">IF(A182="","",T181)</f>
        <v/>
      </c>
      <c r="V181" s="205"/>
      <c r="W181" s="202" t="str">
        <f aca="false">IF($A182="","",(T181+R181+G181+V181))</f>
        <v/>
      </c>
      <c r="X181" s="202" t="str">
        <f aca="false">IF($A182="","",(U181+S181+H181+V181))</f>
        <v/>
      </c>
      <c r="Y181" s="202"/>
      <c r="Z181" s="185" t="str">
        <f aca="false">IF($A182="","",VLOOKUP($A181,Table,MATCH(Z$4,Curves,0)))</f>
        <v/>
      </c>
      <c r="AA181" s="185" t="str">
        <f aca="false">IF($A182="","",VLOOKUP($A181,Table,MATCH(AA$4,Curves,0)))</f>
        <v/>
      </c>
      <c r="AB181" s="185" t="e">
        <f aca="false">SQRT((AA181^2*(A181-$D$3)+Z181^2*(DAY(EOMONTH(A181,0))/2))/AK181)</f>
        <v>#VALUE!</v>
      </c>
      <c r="AC181" s="185" t="str">
        <f aca="false">IF($A182="","",VLOOKUP($A181,Table,MATCH(AC$4,Curves,0)))</f>
        <v/>
      </c>
      <c r="AD181" s="185" t="str">
        <f aca="false">IF($A182="","",VLOOKUP($A181,Table,MATCH(AD$4,Curves,0)))</f>
        <v/>
      </c>
      <c r="AE181" s="185" t="e">
        <f aca="false">SQRT((AD181^2*(A181-$D$3)+AC181^2*(DAY(EOMONTH(A181,0))/2))/AK181)</f>
        <v>#VALUE!</v>
      </c>
      <c r="AF181" s="224" t="e">
        <f aca="false">((Summary!$N$13*(AA181*AD181)*(A181-$D$3))+(Summary!$M$13*Z181*AC181*(AJ181-EOMONTH(EDATE(A181,-1),0))))/(AK181*AB181*AE181)</f>
        <v>#VALUE!</v>
      </c>
      <c r="AG181" s="207" t="str">
        <f aca="false">IF($A182="","",Summary!$Q$13)</f>
        <v/>
      </c>
      <c r="AH181" s="207" t="str">
        <f aca="false">IF($A182="","",IF(Summary!$R$12="Y",(VLOOKUP($A181,Summary!$AD$6:$AF$9,3)+'Escalating commodity'!I194),'Escalating commodity'!I194))</f>
        <v/>
      </c>
      <c r="AI181" s="207" t="str">
        <f aca="false">IF($A182="","",AH181)</f>
        <v/>
      </c>
      <c r="AJ181" s="208" t="e">
        <f aca="false">A181+DAY(EOMONTH(A181,0))/2-1</f>
        <v>#VALUE!</v>
      </c>
      <c r="AK181" s="209" t="str">
        <f aca="false">IF($A182="","",$A181-$E$1)</f>
        <v/>
      </c>
      <c r="AL181" s="182" t="str">
        <f aca="false">IF($A182="","",SPRDOPT(P181,X181,AI181,0,AB181,AE181,AF181,AK181,$AJ$2,0))</f>
        <v/>
      </c>
      <c r="AM181" s="210" t="str">
        <f aca="false">IF($A182="","",MAX(0,O181-W181-AI181))</f>
        <v/>
      </c>
      <c r="AN181" s="211" t="str">
        <f aca="false">IF($A182="","",AL181-AM181)</f>
        <v/>
      </c>
      <c r="AO181" s="137" t="str">
        <f aca="false">IF(A182="","",A182-A181)</f>
        <v/>
      </c>
      <c r="AP181" s="212" t="str">
        <f aca="false">IF(A182="","",CHOOSE(F$3,A182+24,A181))</f>
        <v/>
      </c>
      <c r="AQ181" s="209" t="str">
        <f aca="false">IF(A182="","",AP181-$E$1)</f>
        <v/>
      </c>
      <c r="AR181" s="185" t="n">
        <f aca="false">'ANR OK vs ML7'!AR181</f>
        <v>0.1</v>
      </c>
      <c r="AS181" s="213" t="str">
        <f aca="false">IF(A182="","",1/(1+CHOOSE(F$3,(AR182+($I$3/10000))/2,(AR181+($I$3/10000))/2))^(2*AQ181/365.25))</f>
        <v/>
      </c>
      <c r="AT181" s="137" t="str">
        <f aca="false">IF(A182="","",IF(AND(mthbeg&lt;=A181,mthend&gt;=A181),1,0))</f>
        <v/>
      </c>
      <c r="AU181" s="137" t="str">
        <f aca="false">IF(A182="","",AO181*AT181)</f>
        <v/>
      </c>
      <c r="AW181" s="195" t="str">
        <f aca="false">IF($A182="","",AL181*$E181)</f>
        <v/>
      </c>
      <c r="AX181" s="195" t="str">
        <f aca="false">IF($A182="","",AM181*$E181)</f>
        <v/>
      </c>
      <c r="AY181" s="195" t="str">
        <f aca="false">IF($A182="","",AN181*$E181)</f>
        <v/>
      </c>
      <c r="BA181" s="195" t="str">
        <f aca="false">IF($A182="","",F181*Summary!$Q$13)</f>
        <v/>
      </c>
    </row>
    <row r="182" customFormat="false" ht="12" hidden="false" customHeight="true" outlineLevel="0" collapsed="false">
      <c r="A182" s="196" t="str">
        <f aca="false">IF(A181&lt;mthend,EDATE(A181,1),"")</f>
        <v/>
      </c>
      <c r="B182" s="197" t="str">
        <f aca="false">IF(A182&lt;mthend,B181,"")</f>
        <v/>
      </c>
      <c r="C182" s="215"/>
      <c r="D182" s="197" t="str">
        <f aca="false">IF(A183&lt;&gt;"",B182+C182,"")</f>
        <v/>
      </c>
      <c r="E182" s="199" t="str">
        <f aca="false">IF(A183="","",IF(AND(AT182=1,$H$3=1),D182*AO182,IF($H$3=2,D182,"N/A")))</f>
        <v/>
      </c>
      <c r="F182" s="199" t="str">
        <f aca="false">IF(A183="","",E182*AS182)</f>
        <v/>
      </c>
      <c r="G182" s="200" t="str">
        <f aca="false">IF($A183="","",VLOOKUP($A182,Table,MATCH(G$4,Curves,0)))</f>
        <v/>
      </c>
      <c r="H182" s="201" t="str">
        <f aca="false">IF(A183="","",G182)</f>
        <v/>
      </c>
      <c r="I182" s="202"/>
      <c r="J182" s="200" t="str">
        <f aca="false">IF($A183="","",VLOOKUP($A182,Table,MATCH(J$4,Curves,0)))</f>
        <v/>
      </c>
      <c r="K182" s="201" t="str">
        <f aca="false">IF(A183="","",J182)</f>
        <v/>
      </c>
      <c r="L182" s="185" t="n">
        <v>0</v>
      </c>
      <c r="M182" s="201" t="str">
        <f aca="false">IF(A183="","",L182)</f>
        <v/>
      </c>
      <c r="N182" s="203"/>
      <c r="O182" s="200" t="str">
        <f aca="false">IF(A183="","",L182+J182+G182)</f>
        <v/>
      </c>
      <c r="P182" s="200" t="str">
        <f aca="false">IF(A183="","",M182+K182+H182)</f>
        <v/>
      </c>
      <c r="Q182" s="204"/>
      <c r="R182" s="200" t="str">
        <f aca="false">IF($A183="","",VLOOKUP($A182,Table,MATCH(R$4,Curves,0)))</f>
        <v/>
      </c>
      <c r="S182" s="201" t="str">
        <f aca="false">IF(A183="","",R182)</f>
        <v/>
      </c>
      <c r="T182" s="185" t="n">
        <v>0</v>
      </c>
      <c r="U182" s="201" t="str">
        <f aca="false">IF(A183="","",T182)</f>
        <v/>
      </c>
      <c r="V182" s="205"/>
      <c r="W182" s="202" t="str">
        <f aca="false">IF($A183="","",(T182+R182+G182+V182))</f>
        <v/>
      </c>
      <c r="X182" s="202" t="str">
        <f aca="false">IF($A183="","",(U182+S182+H182+V182))</f>
        <v/>
      </c>
      <c r="Y182" s="202"/>
      <c r="Z182" s="185" t="str">
        <f aca="false">IF($A183="","",VLOOKUP($A182,Table,MATCH(Z$4,Curves,0)))</f>
        <v/>
      </c>
      <c r="AA182" s="185" t="str">
        <f aca="false">IF($A183="","",VLOOKUP($A182,Table,MATCH(AA$4,Curves,0)))</f>
        <v/>
      </c>
      <c r="AB182" s="185" t="e">
        <f aca="false">SQRT((AA182^2*(A182-$D$3)+Z182^2*(DAY(EOMONTH(A182,0))/2))/AK182)</f>
        <v>#VALUE!</v>
      </c>
      <c r="AC182" s="185" t="str">
        <f aca="false">IF($A183="","",VLOOKUP($A182,Table,MATCH(AC$4,Curves,0)))</f>
        <v/>
      </c>
      <c r="AD182" s="185" t="str">
        <f aca="false">IF($A183="","",VLOOKUP($A182,Table,MATCH(AD$4,Curves,0)))</f>
        <v/>
      </c>
      <c r="AE182" s="185" t="e">
        <f aca="false">SQRT((AD182^2*(A182-$D$3)+AC182^2*(DAY(EOMONTH(A182,0))/2))/AK182)</f>
        <v>#VALUE!</v>
      </c>
      <c r="AF182" s="224" t="e">
        <f aca="false">((Summary!$N$13*(AA182*AD182)*(A182-$D$3))+(Summary!$M$13*Z182*AC182*(AJ182-EOMONTH(EDATE(A182,-1),0))))/(AK182*AB182*AE182)</f>
        <v>#VALUE!</v>
      </c>
      <c r="AG182" s="207" t="str">
        <f aca="false">IF($A183="","",Summary!$Q$13)</f>
        <v/>
      </c>
      <c r="AH182" s="207" t="str">
        <f aca="false">IF($A183="","",IF(Summary!$R$12="Y",(VLOOKUP($A182,Summary!$AD$6:$AF$9,3)+'Escalating commodity'!I195),'Escalating commodity'!I195))</f>
        <v/>
      </c>
      <c r="AI182" s="207" t="str">
        <f aca="false">IF($A183="","",AH182)</f>
        <v/>
      </c>
      <c r="AJ182" s="208" t="e">
        <f aca="false">A182+DAY(EOMONTH(A182,0))/2-1</f>
        <v>#VALUE!</v>
      </c>
      <c r="AK182" s="209" t="str">
        <f aca="false">IF($A183="","",$A182-$E$1)</f>
        <v/>
      </c>
      <c r="AL182" s="182" t="str">
        <f aca="false">IF($A183="","",SPRDOPT(P182,X182,AI182,0,AB182,AE182,AF182,AK182,$AJ$2,0))</f>
        <v/>
      </c>
      <c r="AM182" s="210" t="str">
        <f aca="false">IF($A183="","",MAX(0,O182-W182-AI182))</f>
        <v/>
      </c>
      <c r="AN182" s="211" t="str">
        <f aca="false">IF($A183="","",AL182-AM182)</f>
        <v/>
      </c>
      <c r="AO182" s="137" t="str">
        <f aca="false">IF(A183="","",A183-A182)</f>
        <v/>
      </c>
      <c r="AP182" s="212" t="str">
        <f aca="false">IF(A183="","",CHOOSE(F$3,A183+24,A182))</f>
        <v/>
      </c>
      <c r="AQ182" s="209" t="str">
        <f aca="false">IF(A183="","",AP182-$E$1)</f>
        <v/>
      </c>
      <c r="AR182" s="185" t="n">
        <f aca="false">'ANR OK vs ML7'!AR182</f>
        <v>0.1</v>
      </c>
      <c r="AS182" s="213" t="str">
        <f aca="false">IF(A183="","",1/(1+CHOOSE(F$3,(AR183+($I$3/10000))/2,(AR182+($I$3/10000))/2))^(2*AQ182/365.25))</f>
        <v/>
      </c>
      <c r="AT182" s="137" t="str">
        <f aca="false">IF(A183="","",IF(AND(mthbeg&lt;=A182,mthend&gt;=A182),1,0))</f>
        <v/>
      </c>
      <c r="AU182" s="137" t="str">
        <f aca="false">IF(A183="","",AO182*AT182)</f>
        <v/>
      </c>
      <c r="AW182" s="195" t="str">
        <f aca="false">IF($A183="","",AL182*$E182)</f>
        <v/>
      </c>
      <c r="AX182" s="195" t="str">
        <f aca="false">IF($A183="","",AM182*$E182)</f>
        <v/>
      </c>
      <c r="AY182" s="195" t="str">
        <f aca="false">IF($A183="","",AN182*$E182)</f>
        <v/>
      </c>
      <c r="BA182" s="195" t="str">
        <f aca="false">IF($A183="","",F182*Summary!$Q$13)</f>
        <v/>
      </c>
    </row>
    <row r="183" customFormat="false" ht="12" hidden="false" customHeight="true" outlineLevel="0" collapsed="false">
      <c r="A183" s="196" t="str">
        <f aca="false">IF(A182&lt;mthend,EDATE(A182,1),"")</f>
        <v/>
      </c>
      <c r="B183" s="197" t="str">
        <f aca="false">IF(A183&lt;mthend,B182,"")</f>
        <v/>
      </c>
      <c r="C183" s="215"/>
      <c r="D183" s="197" t="str">
        <f aca="false">IF(A184&lt;&gt;"",B183+C183,"")</f>
        <v/>
      </c>
      <c r="E183" s="199" t="str">
        <f aca="false">IF(A184="","",IF(AND(AT183=1,$H$3=1),D183*AO183,IF($H$3=2,D183,"N/A")))</f>
        <v/>
      </c>
      <c r="F183" s="199" t="str">
        <f aca="false">IF(A184="","",E183*AS183)</f>
        <v/>
      </c>
      <c r="G183" s="200" t="str">
        <f aca="false">IF($A184="","",VLOOKUP($A183,Table,MATCH(G$4,Curves,0)))</f>
        <v/>
      </c>
      <c r="H183" s="201" t="str">
        <f aca="false">IF(A184="","",G183)</f>
        <v/>
      </c>
      <c r="I183" s="202"/>
      <c r="J183" s="200" t="str">
        <f aca="false">IF($A184="","",VLOOKUP($A183,Table,MATCH(J$4,Curves,0)))</f>
        <v/>
      </c>
      <c r="K183" s="201" t="str">
        <f aca="false">IF(A184="","",J183)</f>
        <v/>
      </c>
      <c r="L183" s="185" t="n">
        <v>0</v>
      </c>
      <c r="M183" s="201" t="str">
        <f aca="false">IF(A184="","",L183)</f>
        <v/>
      </c>
      <c r="N183" s="203"/>
      <c r="O183" s="200" t="str">
        <f aca="false">IF(A184="","",L183+J183+G183)</f>
        <v/>
      </c>
      <c r="P183" s="200" t="str">
        <f aca="false">IF(A184="","",M183+K183+H183)</f>
        <v/>
      </c>
      <c r="Q183" s="204"/>
      <c r="R183" s="200" t="str">
        <f aca="false">IF($A184="","",VLOOKUP($A183,Table,MATCH(R$4,Curves,0)))</f>
        <v/>
      </c>
      <c r="S183" s="201" t="str">
        <f aca="false">IF(A184="","",R183)</f>
        <v/>
      </c>
      <c r="T183" s="185" t="n">
        <v>0</v>
      </c>
      <c r="U183" s="201" t="str">
        <f aca="false">IF(A184="","",T183)</f>
        <v/>
      </c>
      <c r="V183" s="205"/>
      <c r="W183" s="202" t="str">
        <f aca="false">IF($A184="","",(T183+R183+G183+V183))</f>
        <v/>
      </c>
      <c r="X183" s="202" t="str">
        <f aca="false">IF($A184="","",(U183+S183+H183+V183))</f>
        <v/>
      </c>
      <c r="Y183" s="202"/>
      <c r="Z183" s="185" t="str">
        <f aca="false">IF($A184="","",VLOOKUP($A183,Table,MATCH(Z$4,Curves,0)))</f>
        <v/>
      </c>
      <c r="AA183" s="185" t="str">
        <f aca="false">IF($A184="","",VLOOKUP($A183,Table,MATCH(AA$4,Curves,0)))</f>
        <v/>
      </c>
      <c r="AB183" s="185" t="e">
        <f aca="false">SQRT((AA183^2*(A183-$D$3)+Z183^2*(DAY(EOMONTH(A183,0))/2))/AK183)</f>
        <v>#VALUE!</v>
      </c>
      <c r="AC183" s="185" t="str">
        <f aca="false">IF($A184="","",VLOOKUP($A183,Table,MATCH(AC$4,Curves,0)))</f>
        <v/>
      </c>
      <c r="AD183" s="185" t="str">
        <f aca="false">IF($A184="","",VLOOKUP($A183,Table,MATCH(AD$4,Curves,0)))</f>
        <v/>
      </c>
      <c r="AE183" s="185" t="e">
        <f aca="false">SQRT((AD183^2*(A183-$D$3)+AC183^2*(DAY(EOMONTH(A183,0))/2))/AK183)</f>
        <v>#VALUE!</v>
      </c>
      <c r="AF183" s="224" t="e">
        <f aca="false">((Summary!$N$13*(AA183*AD183)*(A183-$D$3))+(Summary!$M$13*Z183*AC183*(AJ183-EOMONTH(EDATE(A183,-1),0))))/(AK183*AB183*AE183)</f>
        <v>#VALUE!</v>
      </c>
      <c r="AG183" s="207" t="str">
        <f aca="false">IF($A184="","",Summary!$Q$13)</f>
        <v/>
      </c>
      <c r="AH183" s="207" t="str">
        <f aca="false">IF($A184="","",IF(Summary!$R$12="Y",(VLOOKUP($A183,Summary!$AD$6:$AF$9,3)+'Escalating commodity'!I196),'Escalating commodity'!I196))</f>
        <v/>
      </c>
      <c r="AI183" s="207" t="str">
        <f aca="false">IF($A184="","",AH183)</f>
        <v/>
      </c>
      <c r="AJ183" s="208" t="e">
        <f aca="false">A183+DAY(EOMONTH(A183,0))/2-1</f>
        <v>#VALUE!</v>
      </c>
      <c r="AK183" s="209" t="str">
        <f aca="false">IF($A184="","",$A183-$E$1)</f>
        <v/>
      </c>
      <c r="AL183" s="182" t="str">
        <f aca="false">IF($A184="","",SPRDOPT(P183,X183,AI183,0,AB183,AE183,AF183,AK183,$AJ$2,0))</f>
        <v/>
      </c>
      <c r="AM183" s="210" t="str">
        <f aca="false">IF($A184="","",MAX(0,O183-W183-AI183))</f>
        <v/>
      </c>
      <c r="AN183" s="211" t="str">
        <f aca="false">IF($A184="","",AL183-AM183)</f>
        <v/>
      </c>
      <c r="AO183" s="137" t="str">
        <f aca="false">IF(A184="","",A184-A183)</f>
        <v/>
      </c>
      <c r="AP183" s="212" t="str">
        <f aca="false">IF(A184="","",CHOOSE(F$3,A184+24,A183))</f>
        <v/>
      </c>
      <c r="AQ183" s="209" t="str">
        <f aca="false">IF(A184="","",AP183-$E$1)</f>
        <v/>
      </c>
      <c r="AR183" s="185" t="n">
        <f aca="false">'ANR OK vs ML7'!AR183</f>
        <v>0.1</v>
      </c>
      <c r="AS183" s="213" t="str">
        <f aca="false">IF(A184="","",1/(1+CHOOSE(F$3,(AR184+($I$3/10000))/2,(AR183+($I$3/10000))/2))^(2*AQ183/365.25))</f>
        <v/>
      </c>
      <c r="AT183" s="137" t="str">
        <f aca="false">IF(A184="","",IF(AND(mthbeg&lt;=A183,mthend&gt;=A183),1,0))</f>
        <v/>
      </c>
      <c r="AU183" s="137" t="str">
        <f aca="false">IF(A184="","",AO183*AT183)</f>
        <v/>
      </c>
      <c r="AW183" s="195" t="str">
        <f aca="false">IF($A184="","",AL183*$E183)</f>
        <v/>
      </c>
      <c r="AX183" s="195" t="str">
        <f aca="false">IF($A184="","",AM183*$E183)</f>
        <v/>
      </c>
      <c r="AY183" s="195" t="str">
        <f aca="false">IF($A184="","",AN183*$E183)</f>
        <v/>
      </c>
      <c r="BA183" s="195" t="str">
        <f aca="false">IF($A184="","",F183*Summary!$Q$13)</f>
        <v/>
      </c>
    </row>
    <row r="184" customFormat="false" ht="12" hidden="false" customHeight="true" outlineLevel="0" collapsed="false">
      <c r="A184" s="196" t="str">
        <f aca="false">IF(A183&lt;mthend,EDATE(A183,1),"")</f>
        <v/>
      </c>
      <c r="B184" s="197" t="str">
        <f aca="false">IF(A184&lt;mthend,B183,"")</f>
        <v/>
      </c>
      <c r="C184" s="215"/>
      <c r="D184" s="197" t="str">
        <f aca="false">IF(A185&lt;&gt;"",B184+C184,"")</f>
        <v/>
      </c>
      <c r="E184" s="199" t="str">
        <f aca="false">IF(A185="","",IF(AND(AT184=1,$H$3=1),D184*AO184,IF($H$3=2,D184,"N/A")))</f>
        <v/>
      </c>
      <c r="F184" s="199" t="str">
        <f aca="false">IF(A185="","",E184*AS184)</f>
        <v/>
      </c>
      <c r="G184" s="200" t="str">
        <f aca="false">IF($A185="","",VLOOKUP($A184,Table,MATCH(G$4,Curves,0)))</f>
        <v/>
      </c>
      <c r="H184" s="201" t="str">
        <f aca="false">IF(A185="","",G184)</f>
        <v/>
      </c>
      <c r="I184" s="202"/>
      <c r="J184" s="200" t="str">
        <f aca="false">IF($A185="","",VLOOKUP($A184,Table,MATCH(J$4,Curves,0)))</f>
        <v/>
      </c>
      <c r="K184" s="201" t="str">
        <f aca="false">IF(A185="","",J184)</f>
        <v/>
      </c>
      <c r="L184" s="185" t="n">
        <v>0</v>
      </c>
      <c r="M184" s="201" t="str">
        <f aca="false">IF(A185="","",L184)</f>
        <v/>
      </c>
      <c r="N184" s="203"/>
      <c r="O184" s="200" t="str">
        <f aca="false">IF(A185="","",L184+J184+G184)</f>
        <v/>
      </c>
      <c r="P184" s="200" t="str">
        <f aca="false">IF(A185="","",M184+K184+H184)</f>
        <v/>
      </c>
      <c r="Q184" s="204"/>
      <c r="R184" s="200" t="str">
        <f aca="false">IF($A185="","",VLOOKUP($A184,Table,MATCH(R$4,Curves,0)))</f>
        <v/>
      </c>
      <c r="S184" s="201" t="str">
        <f aca="false">IF(A185="","",R184)</f>
        <v/>
      </c>
      <c r="T184" s="185" t="n">
        <v>0</v>
      </c>
      <c r="U184" s="201" t="str">
        <f aca="false">IF(A185="","",T184)</f>
        <v/>
      </c>
      <c r="V184" s="205"/>
      <c r="W184" s="202" t="str">
        <f aca="false">IF($A185="","",(T184+R184+G184+V184))</f>
        <v/>
      </c>
      <c r="X184" s="202" t="str">
        <f aca="false">IF($A185="","",(U184+S184+H184+V184))</f>
        <v/>
      </c>
      <c r="Y184" s="202"/>
      <c r="Z184" s="185" t="str">
        <f aca="false">IF($A185="","",VLOOKUP($A184,Table,MATCH(Z$4,Curves,0)))</f>
        <v/>
      </c>
      <c r="AA184" s="185" t="str">
        <f aca="false">IF($A185="","",VLOOKUP($A184,Table,MATCH(AA$4,Curves,0)))</f>
        <v/>
      </c>
      <c r="AB184" s="185" t="e">
        <f aca="false">SQRT((AA184^2*(A184-$D$3)+Z184^2*(DAY(EOMONTH(A184,0))/2))/AK184)</f>
        <v>#VALUE!</v>
      </c>
      <c r="AC184" s="185" t="str">
        <f aca="false">IF($A185="","",VLOOKUP($A184,Table,MATCH(AC$4,Curves,0)))</f>
        <v/>
      </c>
      <c r="AD184" s="185" t="str">
        <f aca="false">IF($A185="","",VLOOKUP($A184,Table,MATCH(AD$4,Curves,0)))</f>
        <v/>
      </c>
      <c r="AE184" s="185" t="e">
        <f aca="false">SQRT((AD184^2*(A184-$D$3)+AC184^2*(DAY(EOMONTH(A184,0))/2))/AK184)</f>
        <v>#VALUE!</v>
      </c>
      <c r="AF184" s="224" t="e">
        <f aca="false">((Summary!$N$13*(AA184*AD184)*(A184-$D$3))+(Summary!$M$13*Z184*AC184*(AJ184-EOMONTH(EDATE(A184,-1),0))))/(AK184*AB184*AE184)</f>
        <v>#VALUE!</v>
      </c>
      <c r="AG184" s="207" t="str">
        <f aca="false">IF($A185="","",Summary!$Q$13)</f>
        <v/>
      </c>
      <c r="AH184" s="207" t="str">
        <f aca="false">IF($A185="","",IF(Summary!$R$12="Y",(VLOOKUP($A184,Summary!$AD$6:$AF$9,3)+'Escalating commodity'!I197),'Escalating commodity'!I197))</f>
        <v/>
      </c>
      <c r="AI184" s="207" t="str">
        <f aca="false">IF($A185="","",AH184)</f>
        <v/>
      </c>
      <c r="AJ184" s="208" t="e">
        <f aca="false">A184+DAY(EOMONTH(A184,0))/2-1</f>
        <v>#VALUE!</v>
      </c>
      <c r="AK184" s="209" t="str">
        <f aca="false">IF($A185="","",$A184-$E$1)</f>
        <v/>
      </c>
      <c r="AL184" s="182" t="str">
        <f aca="false">IF($A185="","",SPRDOPT(P184,X184,AI184,0,AB184,AE184,AF184,AK184,$AJ$2,0))</f>
        <v/>
      </c>
      <c r="AM184" s="210" t="str">
        <f aca="false">IF($A185="","",MAX(0,O184-W184-AI184))</f>
        <v/>
      </c>
      <c r="AN184" s="211" t="str">
        <f aca="false">IF($A185="","",AL184-AM184)</f>
        <v/>
      </c>
      <c r="AO184" s="137" t="str">
        <f aca="false">IF(A185="","",A185-A184)</f>
        <v/>
      </c>
      <c r="AP184" s="212" t="str">
        <f aca="false">IF(A185="","",CHOOSE(F$3,A185+24,A184))</f>
        <v/>
      </c>
      <c r="AQ184" s="209" t="str">
        <f aca="false">IF(A185="","",AP184-$E$1)</f>
        <v/>
      </c>
      <c r="AR184" s="185" t="n">
        <f aca="false">'ANR OK vs ML7'!AR184</f>
        <v>0.1</v>
      </c>
      <c r="AS184" s="213" t="str">
        <f aca="false">IF(A185="","",1/(1+CHOOSE(F$3,(AR185+($I$3/10000))/2,(AR184+($I$3/10000))/2))^(2*AQ184/365.25))</f>
        <v/>
      </c>
      <c r="AT184" s="137" t="str">
        <f aca="false">IF(A185="","",IF(AND(mthbeg&lt;=A184,mthend&gt;=A184),1,0))</f>
        <v/>
      </c>
      <c r="AU184" s="137" t="str">
        <f aca="false">IF(A185="","",AO184*AT184)</f>
        <v/>
      </c>
      <c r="AW184" s="195" t="str">
        <f aca="false">IF($A185="","",AL184*$E184)</f>
        <v/>
      </c>
      <c r="AX184" s="195" t="str">
        <f aca="false">IF($A185="","",AM184*$E184)</f>
        <v/>
      </c>
      <c r="AY184" s="195" t="str">
        <f aca="false">IF($A185="","",AN184*$E184)</f>
        <v/>
      </c>
      <c r="BA184" s="195" t="str">
        <f aca="false">IF($A185="","",F184*Summary!$Q$13)</f>
        <v/>
      </c>
    </row>
    <row r="185" customFormat="false" ht="12" hidden="false" customHeight="true" outlineLevel="0" collapsed="false">
      <c r="A185" s="196" t="str">
        <f aca="false">IF(A184&lt;mthend,EDATE(A184,1),"")</f>
        <v/>
      </c>
      <c r="B185" s="197" t="str">
        <f aca="false">IF(A185&lt;mthend,B184,"")</f>
        <v/>
      </c>
      <c r="C185" s="215"/>
      <c r="D185" s="197" t="str">
        <f aca="false">IF(A186&lt;&gt;"",B185+C185,"")</f>
        <v/>
      </c>
      <c r="E185" s="199" t="str">
        <f aca="false">IF(A186="","",IF(AND(AT185=1,$H$3=1),D185*AO185,IF($H$3=2,D185,"N/A")))</f>
        <v/>
      </c>
      <c r="F185" s="199" t="str">
        <f aca="false">IF(A186="","",E185*AS185)</f>
        <v/>
      </c>
      <c r="G185" s="200" t="str">
        <f aca="false">IF($A186="","",VLOOKUP($A185,Table,MATCH(G$4,Curves,0)))</f>
        <v/>
      </c>
      <c r="H185" s="201" t="str">
        <f aca="false">IF(A186="","",G185)</f>
        <v/>
      </c>
      <c r="I185" s="202"/>
      <c r="J185" s="200" t="str">
        <f aca="false">IF($A186="","",VLOOKUP($A185,Table,MATCH(J$4,Curves,0)))</f>
        <v/>
      </c>
      <c r="K185" s="201" t="str">
        <f aca="false">IF(A186="","",J185)</f>
        <v/>
      </c>
      <c r="L185" s="185" t="n">
        <v>0</v>
      </c>
      <c r="M185" s="201" t="str">
        <f aca="false">IF(A186="","",L185)</f>
        <v/>
      </c>
      <c r="N185" s="203"/>
      <c r="O185" s="200" t="str">
        <f aca="false">IF(A186="","",L185+J185+G185)</f>
        <v/>
      </c>
      <c r="P185" s="200" t="str">
        <f aca="false">IF(A186="","",M185+K185+H185)</f>
        <v/>
      </c>
      <c r="Q185" s="204"/>
      <c r="R185" s="200" t="str">
        <f aca="false">IF($A186="","",VLOOKUP($A185,Table,MATCH(R$4,Curves,0)))</f>
        <v/>
      </c>
      <c r="S185" s="201" t="str">
        <f aca="false">IF(A186="","",R185)</f>
        <v/>
      </c>
      <c r="T185" s="185" t="n">
        <v>0</v>
      </c>
      <c r="U185" s="201" t="str">
        <f aca="false">IF(A186="","",T185)</f>
        <v/>
      </c>
      <c r="V185" s="205"/>
      <c r="W185" s="202" t="str">
        <f aca="false">IF($A186="","",(T185+R185+G185+V185))</f>
        <v/>
      </c>
      <c r="X185" s="202" t="str">
        <f aca="false">IF($A186="","",(U185+S185+H185+V185))</f>
        <v/>
      </c>
      <c r="Y185" s="202"/>
      <c r="Z185" s="185" t="str">
        <f aca="false">IF($A186="","",VLOOKUP($A185,Table,MATCH(Z$4,Curves,0)))</f>
        <v/>
      </c>
      <c r="AA185" s="185" t="str">
        <f aca="false">IF($A186="","",VLOOKUP($A185,Table,MATCH(AA$4,Curves,0)))</f>
        <v/>
      </c>
      <c r="AB185" s="185" t="e">
        <f aca="false">SQRT((AA185^2*(A185-$D$3)+Z185^2*(DAY(EOMONTH(A185,0))/2))/AK185)</f>
        <v>#VALUE!</v>
      </c>
      <c r="AC185" s="185" t="str">
        <f aca="false">IF($A186="","",VLOOKUP($A185,Table,MATCH(AC$4,Curves,0)))</f>
        <v/>
      </c>
      <c r="AD185" s="185" t="str">
        <f aca="false">IF($A186="","",VLOOKUP($A185,Table,MATCH(AD$4,Curves,0)))</f>
        <v/>
      </c>
      <c r="AE185" s="185" t="e">
        <f aca="false">SQRT((AD185^2*(A185-$D$3)+AC185^2*(DAY(EOMONTH(A185,0))/2))/AK185)</f>
        <v>#VALUE!</v>
      </c>
      <c r="AF185" s="224" t="e">
        <f aca="false">((Summary!$N$13*(AA185*AD185)*(A185-$D$3))+(Summary!$M$13*Z185*AC185*(AJ185-EOMONTH(EDATE(A185,-1),0))))/(AK185*AB185*AE185)</f>
        <v>#VALUE!</v>
      </c>
      <c r="AG185" s="207" t="str">
        <f aca="false">IF($A186="","",Summary!$Q$13)</f>
        <v/>
      </c>
      <c r="AH185" s="207" t="str">
        <f aca="false">IF($A186="","",IF(Summary!$R$12="Y",(VLOOKUP($A185,Summary!$AD$6:$AF$9,3)+'Escalating commodity'!I198),'Escalating commodity'!I198))</f>
        <v/>
      </c>
      <c r="AI185" s="207" t="str">
        <f aca="false">IF($A186="","",AH185)</f>
        <v/>
      </c>
      <c r="AJ185" s="208" t="e">
        <f aca="false">A185+DAY(EOMONTH(A185,0))/2-1</f>
        <v>#VALUE!</v>
      </c>
      <c r="AK185" s="209" t="str">
        <f aca="false">IF($A186="","",$A185-$E$1)</f>
        <v/>
      </c>
      <c r="AL185" s="182" t="str">
        <f aca="false">IF($A186="","",SPRDOPT(P185,X185,AI185,0,AB185,AE185,AF185,AK185,$AJ$2,0))</f>
        <v/>
      </c>
      <c r="AM185" s="210" t="str">
        <f aca="false">IF($A186="","",MAX(0,O185-W185-AI185))</f>
        <v/>
      </c>
      <c r="AN185" s="211" t="str">
        <f aca="false">IF($A186="","",AL185-AM185)</f>
        <v/>
      </c>
      <c r="AO185" s="137" t="str">
        <f aca="false">IF(A186="","",A186-A185)</f>
        <v/>
      </c>
      <c r="AP185" s="212" t="str">
        <f aca="false">IF(A186="","",CHOOSE(F$3,A186+24,A185))</f>
        <v/>
      </c>
      <c r="AQ185" s="209" t="str">
        <f aca="false">IF(A186="","",AP185-$E$1)</f>
        <v/>
      </c>
      <c r="AR185" s="185" t="n">
        <f aca="false">'ANR OK vs ML7'!AR185</f>
        <v>0.1</v>
      </c>
      <c r="AS185" s="213" t="str">
        <f aca="false">IF(A186="","",1/(1+CHOOSE(F$3,(AR186+($I$3/10000))/2,(AR185+($I$3/10000))/2))^(2*AQ185/365.25))</f>
        <v/>
      </c>
      <c r="AT185" s="137" t="str">
        <f aca="false">IF(A186="","",IF(AND(mthbeg&lt;=A185,mthend&gt;=A185),1,0))</f>
        <v/>
      </c>
      <c r="AU185" s="137" t="str">
        <f aca="false">IF(A186="","",AO185*AT185)</f>
        <v/>
      </c>
      <c r="AW185" s="195" t="str">
        <f aca="false">IF($A186="","",AL185*$E185)</f>
        <v/>
      </c>
      <c r="AX185" s="195" t="str">
        <f aca="false">IF($A186="","",AM185*$E185)</f>
        <v/>
      </c>
      <c r="AY185" s="195" t="str">
        <f aca="false">IF($A186="","",AN185*$E185)</f>
        <v/>
      </c>
      <c r="BA185" s="195" t="str">
        <f aca="false">IF($A186="","",F185*Summary!$Q$13)</f>
        <v/>
      </c>
    </row>
    <row r="186" customFormat="false" ht="12" hidden="false" customHeight="true" outlineLevel="0" collapsed="false">
      <c r="A186" s="196" t="str">
        <f aca="false">IF(A185&lt;mthend,EDATE(A185,1),"")</f>
        <v/>
      </c>
      <c r="B186" s="197" t="str">
        <f aca="false">IF(A186&lt;mthend,B185,"")</f>
        <v/>
      </c>
      <c r="C186" s="215"/>
      <c r="D186" s="197" t="str">
        <f aca="false">IF(A187&lt;&gt;"",B186+C186,"")</f>
        <v/>
      </c>
      <c r="E186" s="199" t="str">
        <f aca="false">IF(A187="","",IF(AND(AT186=1,$H$3=1),D186*AO186,IF($H$3=2,D186,"N/A")))</f>
        <v/>
      </c>
      <c r="F186" s="199" t="str">
        <f aca="false">IF(A187="","",E186*AS186)</f>
        <v/>
      </c>
      <c r="G186" s="200" t="str">
        <f aca="false">IF($A187="","",VLOOKUP($A186,Table,MATCH(G$4,Curves,0)))</f>
        <v/>
      </c>
      <c r="H186" s="201" t="str">
        <f aca="false">IF(A187="","",G186)</f>
        <v/>
      </c>
      <c r="I186" s="202"/>
      <c r="J186" s="200" t="str">
        <f aca="false">IF($A187="","",VLOOKUP($A186,Table,MATCH(J$4,Curves,0)))</f>
        <v/>
      </c>
      <c r="K186" s="201" t="str">
        <f aca="false">IF(A187="","",J186)</f>
        <v/>
      </c>
      <c r="L186" s="185" t="n">
        <v>0</v>
      </c>
      <c r="M186" s="201" t="str">
        <f aca="false">IF(A187="","",L186)</f>
        <v/>
      </c>
      <c r="N186" s="203"/>
      <c r="O186" s="200" t="str">
        <f aca="false">IF(A187="","",L186+J186+G186)</f>
        <v/>
      </c>
      <c r="P186" s="200" t="str">
        <f aca="false">IF(A187="","",M186+K186+H186)</f>
        <v/>
      </c>
      <c r="Q186" s="204"/>
      <c r="R186" s="200" t="str">
        <f aca="false">IF($A187="","",VLOOKUP($A186,Table,MATCH(R$4,Curves,0)))</f>
        <v/>
      </c>
      <c r="S186" s="201" t="str">
        <f aca="false">IF(A187="","",R186)</f>
        <v/>
      </c>
      <c r="T186" s="185" t="n">
        <v>0</v>
      </c>
      <c r="U186" s="201" t="str">
        <f aca="false">IF(A187="","",T186)</f>
        <v/>
      </c>
      <c r="V186" s="205"/>
      <c r="W186" s="202" t="str">
        <f aca="false">IF($A187="","",(T186+R186+G186+V186))</f>
        <v/>
      </c>
      <c r="X186" s="202" t="str">
        <f aca="false">IF($A187="","",(U186+S186+H186+V186))</f>
        <v/>
      </c>
      <c r="Y186" s="202"/>
      <c r="Z186" s="185" t="str">
        <f aca="false">IF($A187="","",VLOOKUP($A186,Table,MATCH(Z$4,Curves,0)))</f>
        <v/>
      </c>
      <c r="AA186" s="185" t="str">
        <f aca="false">IF($A187="","",VLOOKUP($A186,Table,MATCH(AA$4,Curves,0)))</f>
        <v/>
      </c>
      <c r="AB186" s="185" t="e">
        <f aca="false">SQRT((AA186^2*(A186-$D$3)+Z186^2*(DAY(EOMONTH(A186,0))/2))/AK186)</f>
        <v>#VALUE!</v>
      </c>
      <c r="AC186" s="185" t="str">
        <f aca="false">IF($A187="","",VLOOKUP($A186,Table,MATCH(AC$4,Curves,0)))</f>
        <v/>
      </c>
      <c r="AD186" s="185" t="str">
        <f aca="false">IF($A187="","",VLOOKUP($A186,Table,MATCH(AD$4,Curves,0)))</f>
        <v/>
      </c>
      <c r="AE186" s="185" t="e">
        <f aca="false">SQRT((AD186^2*(A186-$D$3)+AC186^2*(DAY(EOMONTH(A186,0))/2))/AK186)</f>
        <v>#VALUE!</v>
      </c>
      <c r="AF186" s="224" t="e">
        <f aca="false">((Summary!$N$13*(AA186*AD186)*(A186-$D$3))+(Summary!$M$13*Z186*AC186*(AJ186-EOMONTH(EDATE(A186,-1),0))))/(AK186*AB186*AE186)</f>
        <v>#VALUE!</v>
      </c>
      <c r="AG186" s="207" t="str">
        <f aca="false">IF($A187="","",Summary!$Q$13)</f>
        <v/>
      </c>
      <c r="AH186" s="207" t="str">
        <f aca="false">IF($A187="","",IF(Summary!$R$12="Y",(VLOOKUP($A186,Summary!$AD$6:$AF$9,3)+'Escalating commodity'!I199),'Escalating commodity'!I199))</f>
        <v/>
      </c>
      <c r="AI186" s="207" t="str">
        <f aca="false">IF($A187="","",AH186)</f>
        <v/>
      </c>
      <c r="AJ186" s="208" t="e">
        <f aca="false">A186+DAY(EOMONTH(A186,0))/2-1</f>
        <v>#VALUE!</v>
      </c>
      <c r="AK186" s="209" t="str">
        <f aca="false">IF($A187="","",$A186-$E$1)</f>
        <v/>
      </c>
      <c r="AL186" s="182" t="str">
        <f aca="false">IF($A187="","",SPRDOPT(P186,X186,AI186,0,AB186,AE186,AF186,AK186,$AJ$2,0))</f>
        <v/>
      </c>
      <c r="AM186" s="210" t="str">
        <f aca="false">IF($A187="","",MAX(0,O186-W186-AI186))</f>
        <v/>
      </c>
      <c r="AN186" s="211" t="str">
        <f aca="false">IF($A187="","",AL186-AM186)</f>
        <v/>
      </c>
      <c r="AO186" s="137" t="str">
        <f aca="false">IF(A187="","",A187-A186)</f>
        <v/>
      </c>
      <c r="AP186" s="212" t="str">
        <f aca="false">IF(A187="","",CHOOSE(F$3,A187+24,A186))</f>
        <v/>
      </c>
      <c r="AQ186" s="209" t="str">
        <f aca="false">IF(A187="","",AP186-$E$1)</f>
        <v/>
      </c>
      <c r="AR186" s="185" t="n">
        <f aca="false">'ANR OK vs ML7'!AR186</f>
        <v>0.1</v>
      </c>
      <c r="AS186" s="213" t="str">
        <f aca="false">IF(A187="","",1/(1+CHOOSE(F$3,(AR187+($I$3/10000))/2,(AR186+($I$3/10000))/2))^(2*AQ186/365.25))</f>
        <v/>
      </c>
      <c r="AT186" s="137" t="str">
        <f aca="false">IF(A187="","",IF(AND(mthbeg&lt;=A186,mthend&gt;=A186),1,0))</f>
        <v/>
      </c>
      <c r="AU186" s="137" t="str">
        <f aca="false">IF(A187="","",AO186*AT186)</f>
        <v/>
      </c>
      <c r="AW186" s="195" t="str">
        <f aca="false">IF($A187="","",AL186*$E186)</f>
        <v/>
      </c>
      <c r="AX186" s="195" t="str">
        <f aca="false">IF($A187="","",AM186*$E186)</f>
        <v/>
      </c>
      <c r="AY186" s="195" t="str">
        <f aca="false">IF($A187="","",AN186*$E186)</f>
        <v/>
      </c>
      <c r="BA186" s="195" t="str">
        <f aca="false">IF($A187="","",F186*Summary!$Q$13)</f>
        <v/>
      </c>
    </row>
    <row r="187" customFormat="false" ht="12" hidden="false" customHeight="true" outlineLevel="0" collapsed="false">
      <c r="A187" s="196" t="str">
        <f aca="false">IF(A186&lt;mthend,EDATE(A186,1),"")</f>
        <v/>
      </c>
      <c r="B187" s="197" t="str">
        <f aca="false">IF(A187&lt;mthend,B186,"")</f>
        <v/>
      </c>
      <c r="C187" s="215"/>
      <c r="D187" s="197" t="str">
        <f aca="false">IF(A188&lt;&gt;"",B187+C187,"")</f>
        <v/>
      </c>
      <c r="E187" s="199" t="str">
        <f aca="false">IF(A188="","",IF(AND(AT187=1,$H$3=1),D187*AO187,IF($H$3=2,D187,"N/A")))</f>
        <v/>
      </c>
      <c r="F187" s="199" t="str">
        <f aca="false">IF(A188="","",E187*AS187)</f>
        <v/>
      </c>
      <c r="G187" s="200" t="str">
        <f aca="false">IF($A188="","",VLOOKUP($A187,Table,MATCH(G$4,Curves,0)))</f>
        <v/>
      </c>
      <c r="H187" s="201" t="str">
        <f aca="false">IF(A188="","",G187)</f>
        <v/>
      </c>
      <c r="I187" s="202"/>
      <c r="J187" s="200" t="str">
        <f aca="false">IF($A188="","",VLOOKUP($A187,Table,MATCH(J$4,Curves,0)))</f>
        <v/>
      </c>
      <c r="K187" s="201" t="str">
        <f aca="false">IF(A188="","",J187)</f>
        <v/>
      </c>
      <c r="L187" s="185" t="n">
        <v>0</v>
      </c>
      <c r="M187" s="201" t="str">
        <f aca="false">IF(A188="","",L187)</f>
        <v/>
      </c>
      <c r="N187" s="203"/>
      <c r="O187" s="200" t="str">
        <f aca="false">IF(A188="","",L187+J187+G187)</f>
        <v/>
      </c>
      <c r="P187" s="200" t="str">
        <f aca="false">IF(A188="","",M187+K187+H187)</f>
        <v/>
      </c>
      <c r="Q187" s="204"/>
      <c r="R187" s="200" t="str">
        <f aca="false">IF($A188="","",VLOOKUP($A187,Table,MATCH(R$4,Curves,0)))</f>
        <v/>
      </c>
      <c r="S187" s="201" t="str">
        <f aca="false">IF(A188="","",R187)</f>
        <v/>
      </c>
      <c r="T187" s="185" t="n">
        <v>0</v>
      </c>
      <c r="U187" s="201" t="str">
        <f aca="false">IF(A188="","",T187)</f>
        <v/>
      </c>
      <c r="V187" s="205"/>
      <c r="W187" s="202" t="str">
        <f aca="false">IF($A188="","",(T187+R187+G187+V187))</f>
        <v/>
      </c>
      <c r="X187" s="202" t="str">
        <f aca="false">IF($A188="","",(U187+S187+H187+V187))</f>
        <v/>
      </c>
      <c r="Y187" s="202"/>
      <c r="Z187" s="185" t="str">
        <f aca="false">IF($A188="","",VLOOKUP($A187,Table,MATCH(Z$4,Curves,0)))</f>
        <v/>
      </c>
      <c r="AA187" s="185" t="str">
        <f aca="false">IF($A188="","",VLOOKUP($A187,Table,MATCH(AA$4,Curves,0)))</f>
        <v/>
      </c>
      <c r="AB187" s="185" t="e">
        <f aca="false">SQRT((AA187^2*(A187-$D$3)+Z187^2*(DAY(EOMONTH(A187,0))/2))/AK187)</f>
        <v>#VALUE!</v>
      </c>
      <c r="AC187" s="185" t="str">
        <f aca="false">IF($A188="","",VLOOKUP($A187,Table,MATCH(AC$4,Curves,0)))</f>
        <v/>
      </c>
      <c r="AD187" s="185" t="str">
        <f aca="false">IF($A188="","",VLOOKUP($A187,Table,MATCH(AD$4,Curves,0)))</f>
        <v/>
      </c>
      <c r="AE187" s="185" t="e">
        <f aca="false">SQRT((AD187^2*(A187-$D$3)+AC187^2*(DAY(EOMONTH(A187,0))/2))/AK187)</f>
        <v>#VALUE!</v>
      </c>
      <c r="AF187" s="224" t="e">
        <f aca="false">((Summary!$N$13*(AA187*AD187)*(A187-$D$3))+(Summary!$M$13*Z187*AC187*(AJ187-EOMONTH(EDATE(A187,-1),0))))/(AK187*AB187*AE187)</f>
        <v>#VALUE!</v>
      </c>
      <c r="AG187" s="207" t="str">
        <f aca="false">IF($A188="","",Summary!$Q$13)</f>
        <v/>
      </c>
      <c r="AH187" s="207" t="str">
        <f aca="false">IF($A188="","",IF(Summary!$R$12="Y",(VLOOKUP($A187,Summary!$AD$6:$AF$9,3)+'Escalating commodity'!I200),'Escalating commodity'!I200))</f>
        <v/>
      </c>
      <c r="AI187" s="207" t="str">
        <f aca="false">IF($A188="","",AH187)</f>
        <v/>
      </c>
      <c r="AJ187" s="208" t="e">
        <f aca="false">A187+DAY(EOMONTH(A187,0))/2-1</f>
        <v>#VALUE!</v>
      </c>
      <c r="AK187" s="209" t="str">
        <f aca="false">IF($A188="","",$A187-$E$1)</f>
        <v/>
      </c>
      <c r="AL187" s="182" t="str">
        <f aca="false">IF($A188="","",SPRDOPT(P187,X187,AI187,0,AB187,AE187,AF187,AK187,$AJ$2,0))</f>
        <v/>
      </c>
      <c r="AM187" s="210" t="str">
        <f aca="false">IF($A188="","",MAX(0,O187-W187-AI187))</f>
        <v/>
      </c>
      <c r="AN187" s="211" t="str">
        <f aca="false">IF($A188="","",AL187-AM187)</f>
        <v/>
      </c>
      <c r="AO187" s="137" t="str">
        <f aca="false">IF(A188="","",A188-A187)</f>
        <v/>
      </c>
      <c r="AP187" s="212" t="str">
        <f aca="false">IF(A188="","",CHOOSE(F$3,A188+24,A187))</f>
        <v/>
      </c>
      <c r="AQ187" s="209" t="str">
        <f aca="false">IF(A188="","",AP187-$E$1)</f>
        <v/>
      </c>
      <c r="AR187" s="185" t="n">
        <f aca="false">'ANR OK vs ML7'!AR187</f>
        <v>0.1</v>
      </c>
      <c r="AS187" s="213" t="str">
        <f aca="false">IF(A188="","",1/(1+CHOOSE(F$3,(AR188+($I$3/10000))/2,(AR187+($I$3/10000))/2))^(2*AQ187/365.25))</f>
        <v/>
      </c>
      <c r="AT187" s="137" t="str">
        <f aca="false">IF(A188="","",IF(AND(mthbeg&lt;=A187,mthend&gt;=A187),1,0))</f>
        <v/>
      </c>
      <c r="AU187" s="137" t="str">
        <f aca="false">IF(A188="","",AO187*AT187)</f>
        <v/>
      </c>
      <c r="AW187" s="195" t="str">
        <f aca="false">IF($A188="","",AL187*$E187)</f>
        <v/>
      </c>
      <c r="AX187" s="195" t="str">
        <f aca="false">IF($A188="","",AM187*$E187)</f>
        <v/>
      </c>
      <c r="AY187" s="195" t="str">
        <f aca="false">IF($A188="","",AN187*$E187)</f>
        <v/>
      </c>
      <c r="BA187" s="195" t="str">
        <f aca="false">IF($A188="","",F187*Summary!$Q$13)</f>
        <v/>
      </c>
    </row>
    <row r="188" customFormat="false" ht="12" hidden="false" customHeight="true" outlineLevel="0" collapsed="false">
      <c r="A188" s="196" t="str">
        <f aca="false">IF(A187&lt;mthend,EDATE(A187,1),"")</f>
        <v/>
      </c>
      <c r="B188" s="197" t="str">
        <f aca="false">IF(A188&lt;mthend,B187,"")</f>
        <v/>
      </c>
      <c r="C188" s="215"/>
      <c r="D188" s="197" t="str">
        <f aca="false">IF(A189&lt;&gt;"",B188+C188,"")</f>
        <v/>
      </c>
      <c r="E188" s="199" t="str">
        <f aca="false">IF(A189="","",IF(AND(AT188=1,$H$3=1),D188*AO188,IF($H$3=2,D188,"N/A")))</f>
        <v/>
      </c>
      <c r="F188" s="199" t="str">
        <f aca="false">IF(A189="","",E188*AS188)</f>
        <v/>
      </c>
      <c r="G188" s="200" t="str">
        <f aca="false">IF($A189="","",VLOOKUP($A188,Table,MATCH(G$4,Curves,0)))</f>
        <v/>
      </c>
      <c r="H188" s="201" t="str">
        <f aca="false">IF(A189="","",G188)</f>
        <v/>
      </c>
      <c r="I188" s="202"/>
      <c r="J188" s="200" t="str">
        <f aca="false">IF($A189="","",VLOOKUP($A188,Table,MATCH(J$4,Curves,0)))</f>
        <v/>
      </c>
      <c r="K188" s="201" t="str">
        <f aca="false">IF(A189="","",J188)</f>
        <v/>
      </c>
      <c r="L188" s="185" t="n">
        <v>0</v>
      </c>
      <c r="M188" s="201" t="str">
        <f aca="false">IF(A189="","",L188)</f>
        <v/>
      </c>
      <c r="N188" s="203"/>
      <c r="O188" s="200" t="str">
        <f aca="false">IF(A189="","",L188+J188+G188)</f>
        <v/>
      </c>
      <c r="P188" s="200" t="str">
        <f aca="false">IF(A189="","",M188+K188+H188)</f>
        <v/>
      </c>
      <c r="Q188" s="204"/>
      <c r="R188" s="200" t="str">
        <f aca="false">IF($A189="","",VLOOKUP($A188,Table,MATCH(R$4,Curves,0)))</f>
        <v/>
      </c>
      <c r="S188" s="201" t="str">
        <f aca="false">IF(A189="","",R188)</f>
        <v/>
      </c>
      <c r="T188" s="185" t="n">
        <v>0</v>
      </c>
      <c r="U188" s="201" t="str">
        <f aca="false">IF(A189="","",T188)</f>
        <v/>
      </c>
      <c r="V188" s="205"/>
      <c r="W188" s="202" t="str">
        <f aca="false">IF($A189="","",(T188+R188+G188+V188))</f>
        <v/>
      </c>
      <c r="X188" s="202" t="str">
        <f aca="false">IF($A189="","",(U188+S188+H188+V188))</f>
        <v/>
      </c>
      <c r="Y188" s="202"/>
      <c r="Z188" s="185" t="str">
        <f aca="false">IF($A189="","",VLOOKUP($A188,Table,MATCH(Z$4,Curves,0)))</f>
        <v/>
      </c>
      <c r="AA188" s="185" t="str">
        <f aca="false">IF($A189="","",VLOOKUP($A188,Table,MATCH(AA$4,Curves,0)))</f>
        <v/>
      </c>
      <c r="AB188" s="185" t="e">
        <f aca="false">SQRT((AA188^2*(A188-$D$3)+Z188^2*(DAY(EOMONTH(A188,0))/2))/AK188)</f>
        <v>#VALUE!</v>
      </c>
      <c r="AC188" s="185" t="str">
        <f aca="false">IF($A189="","",VLOOKUP($A188,Table,MATCH(AC$4,Curves,0)))</f>
        <v/>
      </c>
      <c r="AD188" s="185" t="str">
        <f aca="false">IF($A189="","",VLOOKUP($A188,Table,MATCH(AD$4,Curves,0)))</f>
        <v/>
      </c>
      <c r="AE188" s="185" t="e">
        <f aca="false">SQRT((AD188^2*(A188-$D$3)+AC188^2*(DAY(EOMONTH(A188,0))/2))/AK188)</f>
        <v>#VALUE!</v>
      </c>
      <c r="AF188" s="224" t="e">
        <f aca="false">((Summary!$N$13*(AA188*AD188)*(A188-$D$3))+(Summary!$M$13*Z188*AC188*(AJ188-EOMONTH(EDATE(A188,-1),0))))/(AK188*AB188*AE188)</f>
        <v>#VALUE!</v>
      </c>
      <c r="AG188" s="207" t="str">
        <f aca="false">IF($A189="","",Summary!$Q$13)</f>
        <v/>
      </c>
      <c r="AH188" s="207" t="str">
        <f aca="false">IF($A189="","",IF(Summary!$R$12="Y",(VLOOKUP($A188,Summary!$AD$6:$AF$9,3)+'Escalating commodity'!I201),'Escalating commodity'!I201))</f>
        <v/>
      </c>
      <c r="AI188" s="207" t="str">
        <f aca="false">IF($A189="","",AH188)</f>
        <v/>
      </c>
      <c r="AJ188" s="208" t="e">
        <f aca="false">A188+DAY(EOMONTH(A188,0))/2-1</f>
        <v>#VALUE!</v>
      </c>
      <c r="AK188" s="209" t="str">
        <f aca="false">IF($A189="","",$A188-$E$1)</f>
        <v/>
      </c>
      <c r="AL188" s="182" t="str">
        <f aca="false">IF($A189="","",SPRDOPT(P188,X188,AI188,0,AB188,AE188,AF188,AK188,$AJ$2,0))</f>
        <v/>
      </c>
      <c r="AM188" s="210" t="str">
        <f aca="false">IF($A189="","",MAX(0,O188-W188-AI188))</f>
        <v/>
      </c>
      <c r="AN188" s="211" t="str">
        <f aca="false">IF($A189="","",AL188-AM188)</f>
        <v/>
      </c>
      <c r="AO188" s="137" t="str">
        <f aca="false">IF(A189="","",A189-A188)</f>
        <v/>
      </c>
      <c r="AP188" s="212" t="str">
        <f aca="false">IF(A189="","",CHOOSE(F$3,A189+24,A188))</f>
        <v/>
      </c>
      <c r="AQ188" s="209" t="str">
        <f aca="false">IF(A189="","",AP188-$E$1)</f>
        <v/>
      </c>
      <c r="AR188" s="185" t="n">
        <f aca="false">'ANR OK vs ML7'!AR188</f>
        <v>0.1</v>
      </c>
      <c r="AS188" s="213" t="str">
        <f aca="false">IF(A189="","",1/(1+CHOOSE(F$3,(AR189+($I$3/10000))/2,(AR188+($I$3/10000))/2))^(2*AQ188/365.25))</f>
        <v/>
      </c>
      <c r="AT188" s="137" t="str">
        <f aca="false">IF(A189="","",IF(AND(mthbeg&lt;=A188,mthend&gt;=A188),1,0))</f>
        <v/>
      </c>
      <c r="AU188" s="137" t="str">
        <f aca="false">IF(A189="","",AO188*AT188)</f>
        <v/>
      </c>
      <c r="AW188" s="195" t="str">
        <f aca="false">IF($A189="","",AL188*$E188)</f>
        <v/>
      </c>
      <c r="AX188" s="195" t="str">
        <f aca="false">IF($A189="","",AM188*$E188)</f>
        <v/>
      </c>
      <c r="AY188" s="195" t="str">
        <f aca="false">IF($A189="","",AN188*$E188)</f>
        <v/>
      </c>
      <c r="BA188" s="195" t="str">
        <f aca="false">IF($A189="","",F188*Summary!$Q$13)</f>
        <v/>
      </c>
    </row>
    <row r="189" customFormat="false" ht="12" hidden="false" customHeight="true" outlineLevel="0" collapsed="false">
      <c r="A189" s="196" t="str">
        <f aca="false">IF(A188&lt;mthend,EDATE(A188,1),"")</f>
        <v/>
      </c>
      <c r="B189" s="197" t="str">
        <f aca="false">IF(A189&lt;mthend,B188,"")</f>
        <v/>
      </c>
      <c r="C189" s="215"/>
      <c r="D189" s="197" t="str">
        <f aca="false">IF(A190&lt;&gt;"",B189+C189,"")</f>
        <v/>
      </c>
      <c r="E189" s="199" t="str">
        <f aca="false">IF(A190="","",IF(AND(AT189=1,$H$3=1),D189*AO189,IF($H$3=2,D189,"N/A")))</f>
        <v/>
      </c>
      <c r="F189" s="199" t="str">
        <f aca="false">IF(A190="","",E189*AS189)</f>
        <v/>
      </c>
      <c r="G189" s="200" t="str">
        <f aca="false">IF($A190="","",VLOOKUP($A189,Table,MATCH(G$4,Curves,0)))</f>
        <v/>
      </c>
      <c r="H189" s="201" t="str">
        <f aca="false">IF(A190="","",G189)</f>
        <v/>
      </c>
      <c r="I189" s="202"/>
      <c r="J189" s="200" t="str">
        <f aca="false">IF($A190="","",VLOOKUP($A189,Table,MATCH(J$4,Curves,0)))</f>
        <v/>
      </c>
      <c r="K189" s="201" t="str">
        <f aca="false">IF(A190="","",J189)</f>
        <v/>
      </c>
      <c r="L189" s="185" t="n">
        <v>0</v>
      </c>
      <c r="M189" s="201" t="str">
        <f aca="false">IF(A190="","",L189)</f>
        <v/>
      </c>
      <c r="N189" s="203"/>
      <c r="O189" s="200" t="str">
        <f aca="false">IF(A190="","",L189+J189+G189)</f>
        <v/>
      </c>
      <c r="P189" s="200" t="str">
        <f aca="false">IF(A190="","",M189+K189+H189)</f>
        <v/>
      </c>
      <c r="Q189" s="204"/>
      <c r="R189" s="200" t="str">
        <f aca="false">IF($A190="","",VLOOKUP($A189,Table,MATCH(R$4,Curves,0)))</f>
        <v/>
      </c>
      <c r="S189" s="201" t="str">
        <f aca="false">IF(A190="","",R189)</f>
        <v/>
      </c>
      <c r="T189" s="185" t="n">
        <v>0</v>
      </c>
      <c r="U189" s="201" t="str">
        <f aca="false">IF(A190="","",T189)</f>
        <v/>
      </c>
      <c r="V189" s="205"/>
      <c r="W189" s="202" t="str">
        <f aca="false">IF($A190="","",(T189+R189+G189+V189))</f>
        <v/>
      </c>
      <c r="X189" s="202" t="str">
        <f aca="false">IF($A190="","",(U189+S189+H189+V189))</f>
        <v/>
      </c>
      <c r="Y189" s="202"/>
      <c r="Z189" s="185" t="str">
        <f aca="false">IF($A190="","",VLOOKUP($A189,Table,MATCH(Z$4,Curves,0)))</f>
        <v/>
      </c>
      <c r="AA189" s="185" t="str">
        <f aca="false">IF($A190="","",VLOOKUP($A189,Table,MATCH(AA$4,Curves,0)))</f>
        <v/>
      </c>
      <c r="AB189" s="185" t="e">
        <f aca="false">SQRT((AA189^2*(A189-$D$3)+Z189^2*(DAY(EOMONTH(A189,0))/2))/AK189)</f>
        <v>#VALUE!</v>
      </c>
      <c r="AC189" s="185" t="str">
        <f aca="false">IF($A190="","",VLOOKUP($A189,Table,MATCH(AC$4,Curves,0)))</f>
        <v/>
      </c>
      <c r="AD189" s="185" t="str">
        <f aca="false">IF($A190="","",VLOOKUP($A189,Table,MATCH(AD$4,Curves,0)))</f>
        <v/>
      </c>
      <c r="AE189" s="185" t="e">
        <f aca="false">SQRT((AD189^2*(A189-$D$3)+AC189^2*(DAY(EOMONTH(A189,0))/2))/AK189)</f>
        <v>#VALUE!</v>
      </c>
      <c r="AF189" s="224" t="e">
        <f aca="false">((Summary!$N$13*(AA189*AD189)*(A189-$D$3))+(Summary!$M$13*Z189*AC189*(AJ189-EOMONTH(EDATE(A189,-1),0))))/(AK189*AB189*AE189)</f>
        <v>#VALUE!</v>
      </c>
      <c r="AG189" s="207" t="str">
        <f aca="false">IF($A190="","",Summary!$Q$13)</f>
        <v/>
      </c>
      <c r="AH189" s="207" t="str">
        <f aca="false">IF($A190="","",IF(Summary!$R$12="Y",(VLOOKUP($A189,Summary!$AD$6:$AF$9,3)+'Escalating commodity'!I202),'Escalating commodity'!I202))</f>
        <v/>
      </c>
      <c r="AI189" s="207" t="str">
        <f aca="false">IF($A190="","",AH189)</f>
        <v/>
      </c>
      <c r="AJ189" s="208" t="e">
        <f aca="false">A189+DAY(EOMONTH(A189,0))/2-1</f>
        <v>#VALUE!</v>
      </c>
      <c r="AK189" s="209" t="str">
        <f aca="false">IF($A190="","",$A189-$E$1)</f>
        <v/>
      </c>
      <c r="AL189" s="182" t="str">
        <f aca="false">IF($A190="","",SPRDOPT(P189,X189,AI189,0,AB189,AE189,AF189,AK189,$AJ$2,0))</f>
        <v/>
      </c>
      <c r="AM189" s="210" t="str">
        <f aca="false">IF($A190="","",MAX(0,O189-W189-AI189))</f>
        <v/>
      </c>
      <c r="AN189" s="211" t="str">
        <f aca="false">IF($A190="","",AL189-AM189)</f>
        <v/>
      </c>
      <c r="AO189" s="137" t="str">
        <f aca="false">IF(A190="","",A190-A189)</f>
        <v/>
      </c>
      <c r="AP189" s="212" t="str">
        <f aca="false">IF(A190="","",CHOOSE(F$3,A190+24,A189))</f>
        <v/>
      </c>
      <c r="AQ189" s="209" t="str">
        <f aca="false">IF(A190="","",AP189-$E$1)</f>
        <v/>
      </c>
      <c r="AR189" s="185" t="n">
        <f aca="false">'ANR OK vs ML7'!AR189</f>
        <v>0.1</v>
      </c>
      <c r="AS189" s="213" t="str">
        <f aca="false">IF(A190="","",1/(1+CHOOSE(F$3,(AR190+($I$3/10000))/2,(AR189+($I$3/10000))/2))^(2*AQ189/365.25))</f>
        <v/>
      </c>
      <c r="AT189" s="137" t="str">
        <f aca="false">IF(A190="","",IF(AND(mthbeg&lt;=A189,mthend&gt;=A189),1,0))</f>
        <v/>
      </c>
      <c r="AU189" s="137" t="str">
        <f aca="false">IF(A190="","",AO189*AT189)</f>
        <v/>
      </c>
      <c r="AW189" s="195" t="str">
        <f aca="false">IF($A190="","",AL189*$E189)</f>
        <v/>
      </c>
      <c r="AX189" s="195" t="str">
        <f aca="false">IF($A190="","",AM189*$E189)</f>
        <v/>
      </c>
      <c r="AY189" s="195" t="str">
        <f aca="false">IF($A190="","",AN189*$E189)</f>
        <v/>
      </c>
      <c r="BA189" s="195" t="str">
        <f aca="false">IF($A190="","",F189*Summary!$Q$13)</f>
        <v/>
      </c>
    </row>
    <row r="190" customFormat="false" ht="12" hidden="false" customHeight="true" outlineLevel="0" collapsed="false">
      <c r="A190" s="196" t="str">
        <f aca="false">IF(A189&lt;mthend,EDATE(A189,1),"")</f>
        <v/>
      </c>
      <c r="B190" s="197" t="str">
        <f aca="false">IF(A190&lt;mthend,B189,"")</f>
        <v/>
      </c>
      <c r="C190" s="215"/>
      <c r="D190" s="197" t="str">
        <f aca="false">IF(A191&lt;&gt;"",B190+C190,"")</f>
        <v/>
      </c>
      <c r="E190" s="199" t="str">
        <f aca="false">IF(A191="","",IF(AND(AT190=1,$H$3=1),D190*AO190,IF($H$3=2,D190,"N/A")))</f>
        <v/>
      </c>
      <c r="F190" s="199" t="str">
        <f aca="false">IF(A191="","",E190*AS190)</f>
        <v/>
      </c>
      <c r="G190" s="200" t="str">
        <f aca="false">IF($A191="","",VLOOKUP($A190,Table,MATCH(G$4,Curves,0)))</f>
        <v/>
      </c>
      <c r="H190" s="201" t="str">
        <f aca="false">IF(A191="","",G190)</f>
        <v/>
      </c>
      <c r="I190" s="202"/>
      <c r="J190" s="200" t="str">
        <f aca="false">IF($A191="","",VLOOKUP($A190,Table,MATCH(J$4,Curves,0)))</f>
        <v/>
      </c>
      <c r="K190" s="201" t="str">
        <f aca="false">IF(A191="","",J190)</f>
        <v/>
      </c>
      <c r="L190" s="185" t="n">
        <v>0</v>
      </c>
      <c r="M190" s="201" t="str">
        <f aca="false">IF(A191="","",L190)</f>
        <v/>
      </c>
      <c r="N190" s="203"/>
      <c r="O190" s="200" t="str">
        <f aca="false">IF(A191="","",L190+J190+G190)</f>
        <v/>
      </c>
      <c r="P190" s="200" t="str">
        <f aca="false">IF(A191="","",M190+K190+H190)</f>
        <v/>
      </c>
      <c r="Q190" s="204"/>
      <c r="R190" s="200" t="str">
        <f aca="false">IF($A191="","",VLOOKUP($A190,Table,MATCH(R$4,Curves,0)))</f>
        <v/>
      </c>
      <c r="S190" s="201" t="str">
        <f aca="false">IF(A191="","",R190)</f>
        <v/>
      </c>
      <c r="T190" s="185" t="n">
        <v>0</v>
      </c>
      <c r="U190" s="201" t="str">
        <f aca="false">IF(A191="","",T190)</f>
        <v/>
      </c>
      <c r="V190" s="205"/>
      <c r="W190" s="202" t="str">
        <f aca="false">IF($A191="","",(T190+R190+G190+V190))</f>
        <v/>
      </c>
      <c r="X190" s="202" t="str">
        <f aca="false">IF($A191="","",(U190+S190+H190+V190))</f>
        <v/>
      </c>
      <c r="Y190" s="202"/>
      <c r="Z190" s="185" t="str">
        <f aca="false">IF($A191="","",VLOOKUP($A190,Table,MATCH(Z$4,Curves,0)))</f>
        <v/>
      </c>
      <c r="AA190" s="185" t="str">
        <f aca="false">IF($A191="","",VLOOKUP($A190,Table,MATCH(AA$4,Curves,0)))</f>
        <v/>
      </c>
      <c r="AB190" s="185" t="e">
        <f aca="false">SQRT((AA190^2*(A190-$D$3)+Z190^2*(DAY(EOMONTH(A190,0))/2))/AK190)</f>
        <v>#VALUE!</v>
      </c>
      <c r="AC190" s="185" t="str">
        <f aca="false">IF($A191="","",VLOOKUP($A190,Table,MATCH(AC$4,Curves,0)))</f>
        <v/>
      </c>
      <c r="AD190" s="185" t="str">
        <f aca="false">IF($A191="","",VLOOKUP($A190,Table,MATCH(AD$4,Curves,0)))</f>
        <v/>
      </c>
      <c r="AE190" s="185" t="e">
        <f aca="false">SQRT((AD190^2*(A190-$D$3)+AC190^2*(DAY(EOMONTH(A190,0))/2))/AK190)</f>
        <v>#VALUE!</v>
      </c>
      <c r="AF190" s="224" t="e">
        <f aca="false">((Summary!$N$13*(AA190*AD190)*(A190-$D$3))+(Summary!$M$13*Z190*AC190*(AJ190-EOMONTH(EDATE(A190,-1),0))))/(AK190*AB190*AE190)</f>
        <v>#VALUE!</v>
      </c>
      <c r="AG190" s="207" t="str">
        <f aca="false">IF($A191="","",Summary!$Q$13)</f>
        <v/>
      </c>
      <c r="AH190" s="207" t="str">
        <f aca="false">IF($A191="","",IF(Summary!$R$12="Y",(VLOOKUP($A190,Summary!$AD$6:$AF$9,3)+'Escalating commodity'!I203),'Escalating commodity'!I203))</f>
        <v/>
      </c>
      <c r="AI190" s="207" t="str">
        <f aca="false">IF($A191="","",AH190)</f>
        <v/>
      </c>
      <c r="AJ190" s="208" t="e">
        <f aca="false">A190+DAY(EOMONTH(A190,0))/2-1</f>
        <v>#VALUE!</v>
      </c>
      <c r="AK190" s="209" t="str">
        <f aca="false">IF($A191="","",$A190-$E$1)</f>
        <v/>
      </c>
      <c r="AL190" s="182" t="str">
        <f aca="false">IF($A191="","",SPRDOPT(P190,X190,AI190,0,AB190,AE190,AF190,AK190,$AJ$2,0))</f>
        <v/>
      </c>
      <c r="AM190" s="210" t="str">
        <f aca="false">IF($A191="","",MAX(0,O190-W190-AI190))</f>
        <v/>
      </c>
      <c r="AN190" s="211" t="str">
        <f aca="false">IF($A191="","",AL190-AM190)</f>
        <v/>
      </c>
      <c r="AO190" s="137" t="str">
        <f aca="false">IF(A191="","",A191-A190)</f>
        <v/>
      </c>
      <c r="AP190" s="212" t="str">
        <f aca="false">IF(A191="","",CHOOSE(F$3,A191+24,A190))</f>
        <v/>
      </c>
      <c r="AQ190" s="209" t="str">
        <f aca="false">IF(A191="","",AP190-$E$1)</f>
        <v/>
      </c>
      <c r="AR190" s="185" t="n">
        <f aca="false">'ANR OK vs ML7'!AR190</f>
        <v>0.1</v>
      </c>
      <c r="AS190" s="213" t="str">
        <f aca="false">IF(A191="","",1/(1+CHOOSE(F$3,(AR191+($I$3/10000))/2,(AR190+($I$3/10000))/2))^(2*AQ190/365.25))</f>
        <v/>
      </c>
      <c r="AT190" s="137" t="str">
        <f aca="false">IF(A191="","",IF(AND(mthbeg&lt;=A190,mthend&gt;=A190),1,0))</f>
        <v/>
      </c>
      <c r="AU190" s="137" t="str">
        <f aca="false">IF(A191="","",AO190*AT190)</f>
        <v/>
      </c>
      <c r="AW190" s="195" t="str">
        <f aca="false">IF($A191="","",AL190*$E190)</f>
        <v/>
      </c>
      <c r="AX190" s="195" t="str">
        <f aca="false">IF($A191="","",AM190*$E190)</f>
        <v/>
      </c>
      <c r="AY190" s="195" t="str">
        <f aca="false">IF($A191="","",AN190*$E190)</f>
        <v/>
      </c>
      <c r="BA190" s="195" t="str">
        <f aca="false">IF($A191="","",F190*Summary!$Q$13)</f>
        <v/>
      </c>
    </row>
    <row r="191" customFormat="false" ht="12" hidden="false" customHeight="true" outlineLevel="0" collapsed="false">
      <c r="A191" s="196" t="str">
        <f aca="false">IF(A190&lt;mthend,EDATE(A190,1),"")</f>
        <v/>
      </c>
      <c r="B191" s="197" t="str">
        <f aca="false">IF(A191&lt;mthend,B190,"")</f>
        <v/>
      </c>
      <c r="C191" s="215"/>
      <c r="D191" s="197" t="str">
        <f aca="false">IF(A192&lt;&gt;"",B191+C191,"")</f>
        <v/>
      </c>
      <c r="E191" s="199" t="str">
        <f aca="false">IF(A192="","",IF(AND(AT191=1,$H$3=1),D191*AO191,IF($H$3=2,D191,"N/A")))</f>
        <v/>
      </c>
      <c r="F191" s="199" t="str">
        <f aca="false">IF(A192="","",E191*AS191)</f>
        <v/>
      </c>
      <c r="G191" s="200" t="str">
        <f aca="false">IF($A192="","",VLOOKUP($A191,Table,MATCH(G$4,Curves,0)))</f>
        <v/>
      </c>
      <c r="H191" s="201" t="str">
        <f aca="false">IF(A192="","",G191)</f>
        <v/>
      </c>
      <c r="I191" s="202"/>
      <c r="J191" s="200" t="str">
        <f aca="false">IF($A192="","",VLOOKUP($A191,Table,MATCH(J$4,Curves,0)))</f>
        <v/>
      </c>
      <c r="K191" s="201" t="str">
        <f aca="false">IF(A192="","",J191)</f>
        <v/>
      </c>
      <c r="L191" s="185" t="n">
        <v>0</v>
      </c>
      <c r="M191" s="201" t="str">
        <f aca="false">IF(A192="","",L191)</f>
        <v/>
      </c>
      <c r="N191" s="203"/>
      <c r="O191" s="200" t="str">
        <f aca="false">IF(A192="","",L191+J191+G191)</f>
        <v/>
      </c>
      <c r="P191" s="200" t="str">
        <f aca="false">IF(A192="","",M191+K191+H191)</f>
        <v/>
      </c>
      <c r="Q191" s="204"/>
      <c r="R191" s="200" t="str">
        <f aca="false">IF($A192="","",VLOOKUP($A191,Table,MATCH(R$4,Curves,0)))</f>
        <v/>
      </c>
      <c r="S191" s="201" t="str">
        <f aca="false">IF(A192="","",R191)</f>
        <v/>
      </c>
      <c r="T191" s="185" t="n">
        <v>0</v>
      </c>
      <c r="U191" s="201" t="str">
        <f aca="false">IF(A192="","",T191)</f>
        <v/>
      </c>
      <c r="V191" s="205"/>
      <c r="W191" s="202" t="str">
        <f aca="false">IF($A192="","",(T191+R191+G191+V191))</f>
        <v/>
      </c>
      <c r="X191" s="202" t="str">
        <f aca="false">IF($A192="","",(U191+S191+H191+V191))</f>
        <v/>
      </c>
      <c r="Y191" s="202"/>
      <c r="Z191" s="185" t="str">
        <f aca="false">IF($A192="","",VLOOKUP($A191,Table,MATCH(Z$4,Curves,0)))</f>
        <v/>
      </c>
      <c r="AA191" s="185" t="str">
        <f aca="false">IF($A192="","",VLOOKUP($A191,Table,MATCH(AA$4,Curves,0)))</f>
        <v/>
      </c>
      <c r="AB191" s="185" t="e">
        <f aca="false">SQRT((AA191^2*(A191-$D$3)+Z191^2*(DAY(EOMONTH(A191,0))/2))/AK191)</f>
        <v>#VALUE!</v>
      </c>
      <c r="AC191" s="185" t="str">
        <f aca="false">IF($A192="","",VLOOKUP($A191,Table,MATCH(AC$4,Curves,0)))</f>
        <v/>
      </c>
      <c r="AD191" s="185" t="str">
        <f aca="false">IF($A192="","",VLOOKUP($A191,Table,MATCH(AD$4,Curves,0)))</f>
        <v/>
      </c>
      <c r="AE191" s="185" t="e">
        <f aca="false">SQRT((AD191^2*(A191-$D$3)+AC191^2*(DAY(EOMONTH(A191,0))/2))/AK191)</f>
        <v>#VALUE!</v>
      </c>
      <c r="AF191" s="224" t="e">
        <f aca="false">((Summary!$N$13*(AA191*AD191)*(A191-$D$3))+(Summary!$M$13*Z191*AC191*(AJ191-EOMONTH(EDATE(A191,-1),0))))/(AK191*AB191*AE191)</f>
        <v>#VALUE!</v>
      </c>
      <c r="AG191" s="207" t="str">
        <f aca="false">IF($A192="","",Summary!$Q$13)</f>
        <v/>
      </c>
      <c r="AH191" s="207" t="str">
        <f aca="false">IF($A192="","",IF(Summary!$R$12="Y",(VLOOKUP($A191,Summary!$AD$6:$AF$9,3)+'Escalating commodity'!I204),'Escalating commodity'!I204))</f>
        <v/>
      </c>
      <c r="AI191" s="207" t="str">
        <f aca="false">IF($A192="","",AH191)</f>
        <v/>
      </c>
      <c r="AJ191" s="208" t="e">
        <f aca="false">A191+DAY(EOMONTH(A191,0))/2-1</f>
        <v>#VALUE!</v>
      </c>
      <c r="AK191" s="209" t="str">
        <f aca="false">IF($A192="","",$A191-$E$1)</f>
        <v/>
      </c>
      <c r="AL191" s="182" t="str">
        <f aca="false">IF($A192="","",SPRDOPT(P191,X191,AI191,0,AB191,AE191,AF191,AK191,$AJ$2,0))</f>
        <v/>
      </c>
      <c r="AM191" s="210" t="str">
        <f aca="false">IF($A192="","",MAX(0,O191-W191-AI191))</f>
        <v/>
      </c>
      <c r="AN191" s="211" t="str">
        <f aca="false">IF($A192="","",AL191-AM191)</f>
        <v/>
      </c>
      <c r="AO191" s="137" t="str">
        <f aca="false">IF(A192="","",A192-A191)</f>
        <v/>
      </c>
      <c r="AP191" s="212" t="str">
        <f aca="false">IF(A192="","",CHOOSE(F$3,A192+24,A191))</f>
        <v/>
      </c>
      <c r="AQ191" s="209" t="str">
        <f aca="false">IF(A192="","",AP191-$E$1)</f>
        <v/>
      </c>
      <c r="AR191" s="185" t="n">
        <f aca="false">'ANR OK vs ML7'!AR191</f>
        <v>0.1</v>
      </c>
      <c r="AS191" s="213" t="str">
        <f aca="false">IF(A192="","",1/(1+CHOOSE(F$3,(AR192+($I$3/10000))/2,(AR191+($I$3/10000))/2))^(2*AQ191/365.25))</f>
        <v/>
      </c>
      <c r="AT191" s="137" t="str">
        <f aca="false">IF(A192="","",IF(AND(mthbeg&lt;=A191,mthend&gt;=A191),1,0))</f>
        <v/>
      </c>
      <c r="AU191" s="137" t="str">
        <f aca="false">IF(A192="","",AO191*AT191)</f>
        <v/>
      </c>
      <c r="AW191" s="195" t="str">
        <f aca="false">IF($A192="","",AL191*$E191)</f>
        <v/>
      </c>
      <c r="AX191" s="195" t="str">
        <f aca="false">IF($A192="","",AM191*$E191)</f>
        <v/>
      </c>
      <c r="AY191" s="195" t="str">
        <f aca="false">IF($A192="","",AN191*$E191)</f>
        <v/>
      </c>
      <c r="BA191" s="195" t="str">
        <f aca="false">IF($A192="","",F191*Summary!$Q$13)</f>
        <v/>
      </c>
    </row>
    <row r="192" customFormat="false" ht="12" hidden="false" customHeight="true" outlineLevel="0" collapsed="false">
      <c r="A192" s="196" t="str">
        <f aca="false">IF(A191&lt;mthend,EDATE(A191,1),"")</f>
        <v/>
      </c>
      <c r="B192" s="197" t="str">
        <f aca="false">IF(A192&lt;mthend,B191,"")</f>
        <v/>
      </c>
      <c r="C192" s="215"/>
      <c r="D192" s="197" t="str">
        <f aca="false">IF(A193&lt;&gt;"",B192+C192,"")</f>
        <v/>
      </c>
      <c r="E192" s="199" t="str">
        <f aca="false">IF(A193="","",IF(AND(AT192=1,$H$3=1),D192*AO192,IF($H$3=2,D192,"N/A")))</f>
        <v/>
      </c>
      <c r="F192" s="199" t="str">
        <f aca="false">IF(A193="","",E192*AS192)</f>
        <v/>
      </c>
      <c r="G192" s="200" t="str">
        <f aca="false">IF($A193="","",VLOOKUP($A192,Table,MATCH(G$4,Curves,0)))</f>
        <v/>
      </c>
      <c r="H192" s="201" t="str">
        <f aca="false">IF(A193="","",G192)</f>
        <v/>
      </c>
      <c r="I192" s="202"/>
      <c r="J192" s="200" t="str">
        <f aca="false">IF($A193="","",VLOOKUP($A192,Table,MATCH(J$4,Curves,0)))</f>
        <v/>
      </c>
      <c r="K192" s="201" t="str">
        <f aca="false">IF(A193="","",J192)</f>
        <v/>
      </c>
      <c r="L192" s="185" t="n">
        <v>0</v>
      </c>
      <c r="M192" s="201" t="str">
        <f aca="false">IF(A193="","",L192)</f>
        <v/>
      </c>
      <c r="N192" s="203"/>
      <c r="O192" s="200" t="str">
        <f aca="false">IF(A193="","",L192+J192+G192)</f>
        <v/>
      </c>
      <c r="P192" s="200" t="str">
        <f aca="false">IF(A193="","",M192+K192+H192)</f>
        <v/>
      </c>
      <c r="Q192" s="204"/>
      <c r="R192" s="200" t="str">
        <f aca="false">IF($A193="","",VLOOKUP($A192,Table,MATCH(R$4,Curves,0)))</f>
        <v/>
      </c>
      <c r="S192" s="201" t="str">
        <f aca="false">IF(A193="","",R192)</f>
        <v/>
      </c>
      <c r="T192" s="185" t="n">
        <v>0</v>
      </c>
      <c r="U192" s="201" t="str">
        <f aca="false">IF(A193="","",T192)</f>
        <v/>
      </c>
      <c r="V192" s="205"/>
      <c r="W192" s="202" t="str">
        <f aca="false">IF($A193="","",(T192+R192+G192+V192))</f>
        <v/>
      </c>
      <c r="X192" s="202" t="str">
        <f aca="false">IF($A193="","",(U192+S192+H192+V192))</f>
        <v/>
      </c>
      <c r="Y192" s="202"/>
      <c r="Z192" s="185" t="str">
        <f aca="false">IF($A193="","",VLOOKUP($A192,Table,MATCH(Z$4,Curves,0)))</f>
        <v/>
      </c>
      <c r="AA192" s="185" t="str">
        <f aca="false">IF($A193="","",VLOOKUP($A192,Table,MATCH(AA$4,Curves,0)))</f>
        <v/>
      </c>
      <c r="AB192" s="185" t="e">
        <f aca="false">SQRT((AA192^2*(A192-$D$3)+Z192^2*(DAY(EOMONTH(A192,0))/2))/AK192)</f>
        <v>#VALUE!</v>
      </c>
      <c r="AC192" s="185" t="str">
        <f aca="false">IF($A193="","",VLOOKUP($A192,Table,MATCH(AC$4,Curves,0)))</f>
        <v/>
      </c>
      <c r="AD192" s="185" t="str">
        <f aca="false">IF($A193="","",VLOOKUP($A192,Table,MATCH(AD$4,Curves,0)))</f>
        <v/>
      </c>
      <c r="AE192" s="185" t="e">
        <f aca="false">SQRT((AD192^2*(A192-$D$3)+AC192^2*(DAY(EOMONTH(A192,0))/2))/AK192)</f>
        <v>#VALUE!</v>
      </c>
      <c r="AF192" s="224" t="e">
        <f aca="false">((Summary!$N$13*(AA192*AD192)*(A192-$D$3))+(Summary!$M$13*Z192*AC192*(AJ192-EOMONTH(EDATE(A192,-1),0))))/(AK192*AB192*AE192)</f>
        <v>#VALUE!</v>
      </c>
      <c r="AG192" s="207" t="str">
        <f aca="false">IF($A193="","",Summary!$Q$13)</f>
        <v/>
      </c>
      <c r="AH192" s="207" t="str">
        <f aca="false">IF($A193="","",IF(Summary!$R$12="Y",(VLOOKUP($A192,Summary!$AD$6:$AF$9,3)+'Escalating commodity'!I205),'Escalating commodity'!I205))</f>
        <v/>
      </c>
      <c r="AI192" s="207" t="str">
        <f aca="false">IF($A193="","",AH192)</f>
        <v/>
      </c>
      <c r="AJ192" s="208" t="e">
        <f aca="false">A192+DAY(EOMONTH(A192,0))/2-1</f>
        <v>#VALUE!</v>
      </c>
      <c r="AK192" s="209" t="str">
        <f aca="false">IF($A193="","",$A192-$E$1)</f>
        <v/>
      </c>
      <c r="AL192" s="182" t="str">
        <f aca="false">IF($A193="","",SPRDOPT(P192,X192,AI192,0,AB192,AE192,AF192,AK192,$AJ$2,0))</f>
        <v/>
      </c>
      <c r="AM192" s="210" t="str">
        <f aca="false">IF($A193="","",MAX(0,O192-W192-AI192))</f>
        <v/>
      </c>
      <c r="AN192" s="211" t="str">
        <f aca="false">IF($A193="","",AL192-AM192)</f>
        <v/>
      </c>
      <c r="AO192" s="137" t="str">
        <f aca="false">IF(A193="","",A193-A192)</f>
        <v/>
      </c>
      <c r="AP192" s="212" t="str">
        <f aca="false">IF(A193="","",CHOOSE(F$3,A193+24,A192))</f>
        <v/>
      </c>
      <c r="AQ192" s="209" t="str">
        <f aca="false">IF(A193="","",AP192-$E$1)</f>
        <v/>
      </c>
      <c r="AR192" s="185" t="n">
        <f aca="false">'ANR OK vs ML7'!AR192</f>
        <v>0.1</v>
      </c>
      <c r="AS192" s="213" t="str">
        <f aca="false">IF(A193="","",1/(1+CHOOSE(F$3,(AR193+($I$3/10000))/2,(AR192+($I$3/10000))/2))^(2*AQ192/365.25))</f>
        <v/>
      </c>
      <c r="AT192" s="137" t="str">
        <f aca="false">IF(A193="","",IF(AND(mthbeg&lt;=A192,mthend&gt;=A192),1,0))</f>
        <v/>
      </c>
      <c r="AU192" s="137" t="str">
        <f aca="false">IF(A193="","",AO192*AT192)</f>
        <v/>
      </c>
      <c r="AW192" s="195" t="str">
        <f aca="false">IF($A193="","",AL192*$E192)</f>
        <v/>
      </c>
      <c r="AX192" s="195" t="str">
        <f aca="false">IF($A193="","",AM192*$E192)</f>
        <v/>
      </c>
      <c r="AY192" s="195" t="str">
        <f aca="false">IF($A193="","",AN192*$E192)</f>
        <v/>
      </c>
      <c r="BA192" s="195" t="str">
        <f aca="false">IF($A193="","",F192*Summary!$Q$13)</f>
        <v/>
      </c>
    </row>
    <row r="193" customFormat="false" ht="12" hidden="false" customHeight="true" outlineLevel="0" collapsed="false">
      <c r="A193" s="196" t="str">
        <f aca="false">IF(A192&lt;mthend,EDATE(A192,1),"")</f>
        <v/>
      </c>
      <c r="B193" s="197" t="str">
        <f aca="false">IF(A193&lt;mthend,B192,"")</f>
        <v/>
      </c>
      <c r="C193" s="215"/>
      <c r="D193" s="197" t="str">
        <f aca="false">IF(A194&lt;&gt;"",B193+C193,"")</f>
        <v/>
      </c>
      <c r="E193" s="199" t="str">
        <f aca="false">IF(A194="","",IF(AND(AT193=1,$H$3=1),D193*AO193,IF($H$3=2,D193,"N/A")))</f>
        <v/>
      </c>
      <c r="F193" s="199" t="str">
        <f aca="false">IF(A194="","",E193*AS193)</f>
        <v/>
      </c>
      <c r="G193" s="200" t="str">
        <f aca="false">IF($A194="","",VLOOKUP($A193,Table,MATCH(G$4,Curves,0)))</f>
        <v/>
      </c>
      <c r="H193" s="201" t="str">
        <f aca="false">IF(A194="","",G193)</f>
        <v/>
      </c>
      <c r="I193" s="202"/>
      <c r="J193" s="200" t="str">
        <f aca="false">IF($A194="","",VLOOKUP($A193,Table,MATCH(J$4,Curves,0)))</f>
        <v/>
      </c>
      <c r="K193" s="201" t="str">
        <f aca="false">IF(A194="","",J193)</f>
        <v/>
      </c>
      <c r="L193" s="185" t="n">
        <v>0</v>
      </c>
      <c r="M193" s="201" t="str">
        <f aca="false">IF(A194="","",L193)</f>
        <v/>
      </c>
      <c r="N193" s="203"/>
      <c r="O193" s="200" t="str">
        <f aca="false">IF(A194="","",L193+J193+G193)</f>
        <v/>
      </c>
      <c r="P193" s="200" t="str">
        <f aca="false">IF(A194="","",M193+K193+H193)</f>
        <v/>
      </c>
      <c r="Q193" s="204"/>
      <c r="R193" s="200" t="str">
        <f aca="false">IF($A194="","",VLOOKUP($A193,Table,MATCH(R$4,Curves,0)))</f>
        <v/>
      </c>
      <c r="S193" s="201" t="str">
        <f aca="false">IF(A194="","",R193)</f>
        <v/>
      </c>
      <c r="T193" s="185" t="n">
        <v>0</v>
      </c>
      <c r="U193" s="201" t="str">
        <f aca="false">IF(A194="","",T193)</f>
        <v/>
      </c>
      <c r="V193" s="205"/>
      <c r="W193" s="202" t="str">
        <f aca="false">IF($A194="","",(T193+R193+G193+V193))</f>
        <v/>
      </c>
      <c r="X193" s="202" t="str">
        <f aca="false">IF($A194="","",(U193+S193+H193+V193))</f>
        <v/>
      </c>
      <c r="Y193" s="202"/>
      <c r="Z193" s="185" t="str">
        <f aca="false">IF($A194="","",VLOOKUP($A193,Table,MATCH(Z$4,Curves,0)))</f>
        <v/>
      </c>
      <c r="AA193" s="185" t="str">
        <f aca="false">IF($A194="","",VLOOKUP($A193,Table,MATCH(AA$4,Curves,0)))</f>
        <v/>
      </c>
      <c r="AB193" s="185" t="e">
        <f aca="false">SQRT((AA193^2*(A193-$D$3)+Z193^2*(DAY(EOMONTH(A193,0))/2))/AK193)</f>
        <v>#VALUE!</v>
      </c>
      <c r="AC193" s="185" t="str">
        <f aca="false">IF($A194="","",VLOOKUP($A193,Table,MATCH(AC$4,Curves,0)))</f>
        <v/>
      </c>
      <c r="AD193" s="185" t="str">
        <f aca="false">IF($A194="","",VLOOKUP($A193,Table,MATCH(AD$4,Curves,0)))</f>
        <v/>
      </c>
      <c r="AE193" s="185" t="e">
        <f aca="false">SQRT((AD193^2*(A193-$D$3)+AC193^2*(DAY(EOMONTH(A193,0))/2))/AK193)</f>
        <v>#VALUE!</v>
      </c>
      <c r="AF193" s="224" t="e">
        <f aca="false">((Summary!$N$13*(AA193*AD193)*(A193-$D$3))+(Summary!$M$13*Z193*AC193*(AJ193-EOMONTH(EDATE(A193,-1),0))))/(AK193*AB193*AE193)</f>
        <v>#VALUE!</v>
      </c>
      <c r="AG193" s="207" t="str">
        <f aca="false">IF($A194="","",Summary!$Q$13)</f>
        <v/>
      </c>
      <c r="AH193" s="207" t="str">
        <f aca="false">IF($A194="","",IF(Summary!$R$12="Y",(VLOOKUP($A193,Summary!$AD$6:$AF$9,3)+'Escalating commodity'!I206),'Escalating commodity'!I206))</f>
        <v/>
      </c>
      <c r="AI193" s="207" t="str">
        <f aca="false">IF($A194="","",AH193)</f>
        <v/>
      </c>
      <c r="AJ193" s="208" t="e">
        <f aca="false">A193+DAY(EOMONTH(A193,0))/2-1</f>
        <v>#VALUE!</v>
      </c>
      <c r="AK193" s="209" t="str">
        <f aca="false">IF($A194="","",$A193-$E$1)</f>
        <v/>
      </c>
      <c r="AL193" s="182" t="str">
        <f aca="false">IF($A194="","",SPRDOPT(P193,X193,AI193,0,AB193,AE193,AF193,AK193,$AJ$2,0))</f>
        <v/>
      </c>
      <c r="AM193" s="210" t="str">
        <f aca="false">IF($A194="","",MAX(0,O193-W193-AI193))</f>
        <v/>
      </c>
      <c r="AN193" s="211" t="str">
        <f aca="false">IF($A194="","",AL193-AM193)</f>
        <v/>
      </c>
      <c r="AO193" s="137" t="str">
        <f aca="false">IF(A194="","",A194-A193)</f>
        <v/>
      </c>
      <c r="AP193" s="212" t="str">
        <f aca="false">IF(A194="","",CHOOSE(F$3,A194+24,A193))</f>
        <v/>
      </c>
      <c r="AQ193" s="209" t="str">
        <f aca="false">IF(A194="","",AP193-$E$1)</f>
        <v/>
      </c>
      <c r="AR193" s="185" t="n">
        <f aca="false">'ANR OK vs ML7'!AR193</f>
        <v>0.1</v>
      </c>
      <c r="AS193" s="213" t="str">
        <f aca="false">IF(A194="","",1/(1+CHOOSE(F$3,(AR194+($I$3/10000))/2,(AR193+($I$3/10000))/2))^(2*AQ193/365.25))</f>
        <v/>
      </c>
      <c r="AT193" s="137" t="str">
        <f aca="false">IF(A194="","",IF(AND(mthbeg&lt;=A193,mthend&gt;=A193),1,0))</f>
        <v/>
      </c>
      <c r="AU193" s="137" t="str">
        <f aca="false">IF(A194="","",AO193*AT193)</f>
        <v/>
      </c>
      <c r="AW193" s="195" t="str">
        <f aca="false">IF($A194="","",AL193*$E193)</f>
        <v/>
      </c>
      <c r="AX193" s="195" t="str">
        <f aca="false">IF($A194="","",AM193*$E193)</f>
        <v/>
      </c>
      <c r="AY193" s="195" t="str">
        <f aca="false">IF($A194="","",AN193*$E193)</f>
        <v/>
      </c>
      <c r="BA193" s="195" t="str">
        <f aca="false">IF($A194="","",F193*Summary!$Q$13)</f>
        <v/>
      </c>
    </row>
    <row r="194" customFormat="false" ht="12" hidden="false" customHeight="true" outlineLevel="0" collapsed="false">
      <c r="A194" s="196" t="str">
        <f aca="false">IF(A193&lt;mthend,EDATE(A193,1),"")</f>
        <v/>
      </c>
      <c r="B194" s="197" t="str">
        <f aca="false">IF(A194&lt;mthend,B193,"")</f>
        <v/>
      </c>
      <c r="C194" s="215"/>
      <c r="D194" s="197" t="str">
        <f aca="false">IF(A195&lt;&gt;"",B194+C194,"")</f>
        <v/>
      </c>
      <c r="E194" s="199" t="str">
        <f aca="false">IF(A195="","",IF(AND(AT194=1,$H$3=1),D194*AO194,IF($H$3=2,D194,"N/A")))</f>
        <v/>
      </c>
      <c r="F194" s="199" t="str">
        <f aca="false">IF(A195="","",E194*AS194)</f>
        <v/>
      </c>
      <c r="G194" s="200" t="str">
        <f aca="false">IF($A195="","",VLOOKUP($A194,Table,MATCH(G$4,Curves,0)))</f>
        <v/>
      </c>
      <c r="H194" s="201" t="str">
        <f aca="false">IF(A195="","",G194)</f>
        <v/>
      </c>
      <c r="I194" s="202"/>
      <c r="J194" s="200" t="str">
        <f aca="false">IF($A195="","",VLOOKUP($A194,Table,MATCH(J$4,Curves,0)))</f>
        <v/>
      </c>
      <c r="K194" s="201" t="str">
        <f aca="false">IF(A195="","",J194)</f>
        <v/>
      </c>
      <c r="L194" s="185" t="n">
        <v>0</v>
      </c>
      <c r="M194" s="201" t="str">
        <f aca="false">IF(A195="","",L194)</f>
        <v/>
      </c>
      <c r="N194" s="203"/>
      <c r="O194" s="200" t="str">
        <f aca="false">IF(A195="","",L194+J194+G194)</f>
        <v/>
      </c>
      <c r="P194" s="200" t="str">
        <f aca="false">IF(A195="","",M194+K194+H194)</f>
        <v/>
      </c>
      <c r="Q194" s="204"/>
      <c r="R194" s="200" t="str">
        <f aca="false">IF($A195="","",VLOOKUP($A194,Table,MATCH(R$4,Curves,0)))</f>
        <v/>
      </c>
      <c r="S194" s="201" t="str">
        <f aca="false">IF(A195="","",R194)</f>
        <v/>
      </c>
      <c r="T194" s="185" t="n">
        <v>0</v>
      </c>
      <c r="U194" s="201" t="str">
        <f aca="false">IF(A195="","",T194)</f>
        <v/>
      </c>
      <c r="V194" s="205"/>
      <c r="W194" s="202" t="str">
        <f aca="false">IF($A195="","",(T194+R194+G194+V194))</f>
        <v/>
      </c>
      <c r="X194" s="202" t="str">
        <f aca="false">IF($A195="","",(U194+S194+H194+V194))</f>
        <v/>
      </c>
      <c r="Y194" s="202"/>
      <c r="Z194" s="185" t="str">
        <f aca="false">IF($A195="","",VLOOKUP($A194,Table,MATCH(Z$4,Curves,0)))</f>
        <v/>
      </c>
      <c r="AA194" s="185" t="str">
        <f aca="false">IF($A195="","",VLOOKUP($A194,Table,MATCH(AA$4,Curves,0)))</f>
        <v/>
      </c>
      <c r="AB194" s="185" t="e">
        <f aca="false">SQRT((AA194^2*(A194-$D$3)+Z194^2*(DAY(EOMONTH(A194,0))/2))/AK194)</f>
        <v>#VALUE!</v>
      </c>
      <c r="AC194" s="185" t="str">
        <f aca="false">IF($A195="","",VLOOKUP($A194,Table,MATCH(AC$4,Curves,0)))</f>
        <v/>
      </c>
      <c r="AD194" s="185" t="str">
        <f aca="false">IF($A195="","",VLOOKUP($A194,Table,MATCH(AD$4,Curves,0)))</f>
        <v/>
      </c>
      <c r="AE194" s="185" t="e">
        <f aca="false">SQRT((AD194^2*(A194-$D$3)+AC194^2*(DAY(EOMONTH(A194,0))/2))/AK194)</f>
        <v>#VALUE!</v>
      </c>
      <c r="AF194" s="224" t="e">
        <f aca="false">((Summary!$N$13*(AA194*AD194)*(A194-$D$3))+(Summary!$M$13*Z194*AC194*(AJ194-EOMONTH(EDATE(A194,-1),0))))/(AK194*AB194*AE194)</f>
        <v>#VALUE!</v>
      </c>
      <c r="AG194" s="207" t="str">
        <f aca="false">IF($A195="","",Summary!$Q$13)</f>
        <v/>
      </c>
      <c r="AH194" s="207" t="str">
        <f aca="false">IF($A195="","",IF(Summary!$R$12="Y",(VLOOKUP($A194,Summary!$AD$6:$AF$9,3)+'Escalating commodity'!I207),'Escalating commodity'!I207))</f>
        <v/>
      </c>
      <c r="AI194" s="207" t="str">
        <f aca="false">IF($A195="","",AH194)</f>
        <v/>
      </c>
      <c r="AJ194" s="208" t="e">
        <f aca="false">A194+DAY(EOMONTH(A194,0))/2-1</f>
        <v>#VALUE!</v>
      </c>
      <c r="AK194" s="209" t="str">
        <f aca="false">IF($A195="","",$A194-$E$1)</f>
        <v/>
      </c>
      <c r="AL194" s="182" t="str">
        <f aca="false">IF($A195="","",SPRDOPT(P194,X194,AI194,0,AB194,AE194,AF194,AK194,$AJ$2,0))</f>
        <v/>
      </c>
      <c r="AM194" s="210" t="str">
        <f aca="false">IF($A195="","",MAX(0,O194-W194-AI194))</f>
        <v/>
      </c>
      <c r="AN194" s="211" t="str">
        <f aca="false">IF($A195="","",AL194-AM194)</f>
        <v/>
      </c>
      <c r="AO194" s="137" t="str">
        <f aca="false">IF(A195="","",A195-A194)</f>
        <v/>
      </c>
      <c r="AP194" s="212" t="str">
        <f aca="false">IF(A195="","",CHOOSE(F$3,A195+24,A194))</f>
        <v/>
      </c>
      <c r="AQ194" s="209" t="str">
        <f aca="false">IF(A195="","",AP194-$E$1)</f>
        <v/>
      </c>
      <c r="AR194" s="185" t="n">
        <f aca="false">'ANR OK vs ML7'!AR194</f>
        <v>0.1</v>
      </c>
      <c r="AS194" s="213" t="str">
        <f aca="false">IF(A195="","",1/(1+CHOOSE(F$3,(AR195+($I$3/10000))/2,(AR194+($I$3/10000))/2))^(2*AQ194/365.25))</f>
        <v/>
      </c>
      <c r="AT194" s="137" t="str">
        <f aca="false">IF(A195="","",IF(AND(mthbeg&lt;=A194,mthend&gt;=A194),1,0))</f>
        <v/>
      </c>
      <c r="AU194" s="137" t="str">
        <f aca="false">IF(A195="","",AO194*AT194)</f>
        <v/>
      </c>
      <c r="AW194" s="195" t="str">
        <f aca="false">IF($A195="","",AL194*$E194)</f>
        <v/>
      </c>
      <c r="AX194" s="195" t="str">
        <f aca="false">IF($A195="","",AM194*$E194)</f>
        <v/>
      </c>
      <c r="AY194" s="195" t="str">
        <f aca="false">IF($A195="","",AN194*$E194)</f>
        <v/>
      </c>
      <c r="BA194" s="195" t="str">
        <f aca="false">IF($A195="","",F194*Summary!$Q$13)</f>
        <v/>
      </c>
    </row>
    <row r="195" customFormat="false" ht="12" hidden="false" customHeight="true" outlineLevel="0" collapsed="false">
      <c r="A195" s="196" t="str">
        <f aca="false">IF(A194&lt;mthend,EDATE(A194,1),"")</f>
        <v/>
      </c>
      <c r="B195" s="197" t="str">
        <f aca="false">IF(A195&lt;mthend,B194,"")</f>
        <v/>
      </c>
      <c r="C195" s="215"/>
      <c r="D195" s="197" t="str">
        <f aca="false">IF(A196&lt;&gt;"",B195+C195,"")</f>
        <v/>
      </c>
      <c r="E195" s="199" t="str">
        <f aca="false">IF(A196="","",IF(AND(AT195=1,$H$3=1),D195*AO195,IF($H$3=2,D195,"N/A")))</f>
        <v/>
      </c>
      <c r="F195" s="199" t="str">
        <f aca="false">IF(A196="","",E195*AS195)</f>
        <v/>
      </c>
      <c r="G195" s="200" t="str">
        <f aca="false">IF($A196="","",VLOOKUP($A195,Table,MATCH(G$4,Curves,0)))</f>
        <v/>
      </c>
      <c r="H195" s="201" t="str">
        <f aca="false">IF(A196="","",G195)</f>
        <v/>
      </c>
      <c r="I195" s="202"/>
      <c r="J195" s="200" t="str">
        <f aca="false">IF($A196="","",VLOOKUP($A195,Table,MATCH(J$4,Curves,0)))</f>
        <v/>
      </c>
      <c r="K195" s="201" t="str">
        <f aca="false">IF(A196="","",J195)</f>
        <v/>
      </c>
      <c r="L195" s="185" t="n">
        <v>0</v>
      </c>
      <c r="M195" s="201" t="str">
        <f aca="false">IF(A196="","",L195)</f>
        <v/>
      </c>
      <c r="N195" s="203"/>
      <c r="O195" s="200" t="str">
        <f aca="false">IF(A196="","",L195+J195+G195)</f>
        <v/>
      </c>
      <c r="P195" s="200" t="str">
        <f aca="false">IF(A196="","",M195+K195+H195)</f>
        <v/>
      </c>
      <c r="Q195" s="204"/>
      <c r="R195" s="200" t="str">
        <f aca="false">IF($A196="","",VLOOKUP($A195,Table,MATCH(R$4,Curves,0)))</f>
        <v/>
      </c>
      <c r="S195" s="201" t="str">
        <f aca="false">IF(A196="","",R195)</f>
        <v/>
      </c>
      <c r="T195" s="185" t="n">
        <v>0</v>
      </c>
      <c r="U195" s="201" t="str">
        <f aca="false">IF(A196="","",T195)</f>
        <v/>
      </c>
      <c r="V195" s="205"/>
      <c r="W195" s="202" t="str">
        <f aca="false">IF($A196="","",(T195+R195+G195+V195))</f>
        <v/>
      </c>
      <c r="X195" s="202" t="str">
        <f aca="false">IF($A196="","",(U195+S195+H195+V195))</f>
        <v/>
      </c>
      <c r="Y195" s="202"/>
      <c r="Z195" s="185" t="str">
        <f aca="false">IF($A196="","",VLOOKUP($A195,Table,MATCH(Z$4,Curves,0)))</f>
        <v/>
      </c>
      <c r="AA195" s="185" t="str">
        <f aca="false">IF($A196="","",VLOOKUP($A195,Table,MATCH(AA$4,Curves,0)))</f>
        <v/>
      </c>
      <c r="AB195" s="185" t="e">
        <f aca="false">SQRT((AA195^2*(A195-$D$3)+Z195^2*(DAY(EOMONTH(A195,0))/2))/AK195)</f>
        <v>#VALUE!</v>
      </c>
      <c r="AC195" s="185" t="str">
        <f aca="false">IF($A196="","",VLOOKUP($A195,Table,MATCH(AC$4,Curves,0)))</f>
        <v/>
      </c>
      <c r="AD195" s="185" t="str">
        <f aca="false">IF($A196="","",VLOOKUP($A195,Table,MATCH(AD$4,Curves,0)))</f>
        <v/>
      </c>
      <c r="AE195" s="185" t="e">
        <f aca="false">SQRT((AD195^2*(A195-$D$3)+AC195^2*(DAY(EOMONTH(A195,0))/2))/AK195)</f>
        <v>#VALUE!</v>
      </c>
      <c r="AF195" s="224" t="e">
        <f aca="false">((Summary!$N$13*(AA195*AD195)*(A195-$D$3))+(Summary!$M$13*Z195*AC195*(AJ195-EOMONTH(EDATE(A195,-1),0))))/(AK195*AB195*AE195)</f>
        <v>#VALUE!</v>
      </c>
      <c r="AG195" s="207" t="str">
        <f aca="false">IF($A196="","",Summary!$Q$13)</f>
        <v/>
      </c>
      <c r="AH195" s="207" t="str">
        <f aca="false">IF($A196="","",IF(Summary!$R$12="Y",(VLOOKUP($A195,Summary!$AD$6:$AF$9,3)+'Escalating commodity'!I208),'Escalating commodity'!I208))</f>
        <v/>
      </c>
      <c r="AI195" s="207" t="str">
        <f aca="false">IF($A196="","",AH195)</f>
        <v/>
      </c>
      <c r="AJ195" s="208" t="e">
        <f aca="false">A195+DAY(EOMONTH(A195,0))/2-1</f>
        <v>#VALUE!</v>
      </c>
      <c r="AK195" s="209" t="str">
        <f aca="false">IF($A196="","",$A195-$E$1)</f>
        <v/>
      </c>
      <c r="AL195" s="182" t="str">
        <f aca="false">IF($A196="","",SPRDOPT(P195,X195,AI195,0,AB195,AE195,AF195,AK195,$AJ$2,0))</f>
        <v/>
      </c>
      <c r="AM195" s="210" t="str">
        <f aca="false">IF($A196="","",MAX(0,O195-W195-AI195))</f>
        <v/>
      </c>
      <c r="AN195" s="211" t="str">
        <f aca="false">IF($A196="","",AL195-AM195)</f>
        <v/>
      </c>
      <c r="AO195" s="137" t="str">
        <f aca="false">IF(A196="","",A196-A195)</f>
        <v/>
      </c>
      <c r="AP195" s="212" t="str">
        <f aca="false">IF(A196="","",CHOOSE(F$3,A196+24,A195))</f>
        <v/>
      </c>
      <c r="AQ195" s="209" t="str">
        <f aca="false">IF(A196="","",AP195-$E$1)</f>
        <v/>
      </c>
      <c r="AR195" s="185" t="n">
        <f aca="false">'ANR OK vs ML7'!AR195</f>
        <v>0.1</v>
      </c>
      <c r="AS195" s="213" t="str">
        <f aca="false">IF(A196="","",1/(1+CHOOSE(F$3,(AR196+($I$3/10000))/2,(AR195+($I$3/10000))/2))^(2*AQ195/365.25))</f>
        <v/>
      </c>
      <c r="AT195" s="137" t="str">
        <f aca="false">IF(A196="","",IF(AND(mthbeg&lt;=A195,mthend&gt;=A195),1,0))</f>
        <v/>
      </c>
      <c r="AU195" s="137" t="str">
        <f aca="false">IF(A196="","",AO195*AT195)</f>
        <v/>
      </c>
      <c r="AW195" s="195" t="str">
        <f aca="false">IF($A196="","",AL195*$E195)</f>
        <v/>
      </c>
      <c r="AX195" s="195" t="str">
        <f aca="false">IF($A196="","",AM195*$E195)</f>
        <v/>
      </c>
      <c r="AY195" s="195" t="str">
        <f aca="false">IF($A196="","",AN195*$E195)</f>
        <v/>
      </c>
      <c r="BA195" s="195" t="str">
        <f aca="false">IF($A196="","",F195*Summary!$Q$13)</f>
        <v/>
      </c>
    </row>
    <row r="196" customFormat="false" ht="12" hidden="false" customHeight="true" outlineLevel="0" collapsed="false">
      <c r="A196" s="196" t="str">
        <f aca="false">IF(A195&lt;mthend,EDATE(A195,1),"")</f>
        <v/>
      </c>
      <c r="B196" s="197" t="str">
        <f aca="false">IF(A196&lt;mthend,B195,"")</f>
        <v/>
      </c>
      <c r="C196" s="215"/>
      <c r="D196" s="197" t="str">
        <f aca="false">IF(A197&lt;&gt;"",B196+C196,"")</f>
        <v/>
      </c>
      <c r="E196" s="199" t="str">
        <f aca="false">IF(A197="","",IF(AND(AT196=1,$H$3=1),D196*AO196,IF($H$3=2,D196,"N/A")))</f>
        <v/>
      </c>
      <c r="F196" s="199" t="str">
        <f aca="false">IF(A197="","",E196*AS196)</f>
        <v/>
      </c>
      <c r="G196" s="200" t="str">
        <f aca="false">IF($A197="","",VLOOKUP($A196,Table,MATCH(G$4,Curves,0)))</f>
        <v/>
      </c>
      <c r="H196" s="201" t="str">
        <f aca="false">IF(A197="","",G196)</f>
        <v/>
      </c>
      <c r="I196" s="202"/>
      <c r="J196" s="200" t="str">
        <f aca="false">IF($A197="","",VLOOKUP($A196,Table,MATCH(J$4,Curves,0)))</f>
        <v/>
      </c>
      <c r="K196" s="201" t="str">
        <f aca="false">IF(A197="","",J196)</f>
        <v/>
      </c>
      <c r="L196" s="185" t="n">
        <v>0</v>
      </c>
      <c r="M196" s="201" t="str">
        <f aca="false">IF(A197="","",L196)</f>
        <v/>
      </c>
      <c r="N196" s="203"/>
      <c r="O196" s="200" t="str">
        <f aca="false">IF(A197="","",L196+J196+G196)</f>
        <v/>
      </c>
      <c r="P196" s="200" t="str">
        <f aca="false">IF(A197="","",M196+K196+H196)</f>
        <v/>
      </c>
      <c r="Q196" s="204"/>
      <c r="R196" s="200" t="str">
        <f aca="false">IF($A197="","",VLOOKUP($A196,Table,MATCH(R$4,Curves,0)))</f>
        <v/>
      </c>
      <c r="S196" s="201" t="str">
        <f aca="false">IF(A197="","",R196)</f>
        <v/>
      </c>
      <c r="T196" s="185" t="n">
        <v>0</v>
      </c>
      <c r="U196" s="201" t="str">
        <f aca="false">IF(A197="","",T196)</f>
        <v/>
      </c>
      <c r="V196" s="205"/>
      <c r="W196" s="202" t="str">
        <f aca="false">IF($A197="","",(T196+R196+G196+V196))</f>
        <v/>
      </c>
      <c r="X196" s="202" t="str">
        <f aca="false">IF($A197="","",(U196+S196+H196+V196))</f>
        <v/>
      </c>
      <c r="Y196" s="202"/>
      <c r="Z196" s="185" t="str">
        <f aca="false">IF($A197="","",VLOOKUP($A196,Table,MATCH(Z$4,Curves,0)))</f>
        <v/>
      </c>
      <c r="AA196" s="185" t="str">
        <f aca="false">IF($A197="","",VLOOKUP($A196,Table,MATCH(AA$4,Curves,0)))</f>
        <v/>
      </c>
      <c r="AB196" s="185" t="e">
        <f aca="false">SQRT((AA196^2*(A196-$D$3)+Z196^2*(DAY(EOMONTH(A196,0))/2))/AK196)</f>
        <v>#VALUE!</v>
      </c>
      <c r="AC196" s="185" t="str">
        <f aca="false">IF($A197="","",VLOOKUP($A196,Table,MATCH(AC$4,Curves,0)))</f>
        <v/>
      </c>
      <c r="AD196" s="185" t="str">
        <f aca="false">IF($A197="","",VLOOKUP($A196,Table,MATCH(AD$4,Curves,0)))</f>
        <v/>
      </c>
      <c r="AE196" s="185" t="e">
        <f aca="false">SQRT((AD196^2*(A196-$D$3)+AC196^2*(DAY(EOMONTH(A196,0))/2))/AK196)</f>
        <v>#VALUE!</v>
      </c>
      <c r="AF196" s="224" t="e">
        <f aca="false">((Summary!$N$13*(AA196*AD196)*(A196-$D$3))+(Summary!$M$13*Z196*AC196*(AJ196-EOMONTH(EDATE(A196,-1),0))))/(AK196*AB196*AE196)</f>
        <v>#VALUE!</v>
      </c>
      <c r="AG196" s="207" t="str">
        <f aca="false">IF($A197="","",Summary!$Q$13)</f>
        <v/>
      </c>
      <c r="AH196" s="207" t="str">
        <f aca="false">IF($A197="","",IF(Summary!$R$12="Y",(VLOOKUP($A196,Summary!$AD$6:$AF$9,3)+'Escalating commodity'!I209),'Escalating commodity'!I209))</f>
        <v/>
      </c>
      <c r="AI196" s="207" t="str">
        <f aca="false">IF($A197="","",AH196)</f>
        <v/>
      </c>
      <c r="AJ196" s="208" t="e">
        <f aca="false">A196+DAY(EOMONTH(A196,0))/2-1</f>
        <v>#VALUE!</v>
      </c>
      <c r="AK196" s="209" t="str">
        <f aca="false">IF($A197="","",$A196-$E$1)</f>
        <v/>
      </c>
      <c r="AL196" s="182" t="str">
        <f aca="false">IF($A197="","",SPRDOPT(P196,X196,AI196,0,AB196,AE196,AF196,AK196,$AJ$2,0))</f>
        <v/>
      </c>
      <c r="AM196" s="210" t="str">
        <f aca="false">IF($A197="","",MAX(0,O196-W196-AI196))</f>
        <v/>
      </c>
      <c r="AN196" s="211" t="str">
        <f aca="false">IF($A197="","",AL196-AM196)</f>
        <v/>
      </c>
      <c r="AO196" s="137" t="str">
        <f aca="false">IF(A197="","",A197-A196)</f>
        <v/>
      </c>
      <c r="AP196" s="212" t="str">
        <f aca="false">IF(A197="","",CHOOSE(F$3,A197+24,A196))</f>
        <v/>
      </c>
      <c r="AQ196" s="209" t="str">
        <f aca="false">IF(A197="","",AP196-$E$1)</f>
        <v/>
      </c>
      <c r="AR196" s="185" t="n">
        <f aca="false">'ANR OK vs ML7'!AR196</f>
        <v>0.1</v>
      </c>
      <c r="AS196" s="213" t="str">
        <f aca="false">IF(A197="","",1/(1+CHOOSE(F$3,(AR197+($I$3/10000))/2,(AR196+($I$3/10000))/2))^(2*AQ196/365.25))</f>
        <v/>
      </c>
      <c r="AT196" s="137" t="str">
        <f aca="false">IF(A197="","",IF(AND(mthbeg&lt;=A196,mthend&gt;=A196),1,0))</f>
        <v/>
      </c>
      <c r="AU196" s="137" t="str">
        <f aca="false">IF(A197="","",AO196*AT196)</f>
        <v/>
      </c>
      <c r="AW196" s="195" t="str">
        <f aca="false">IF($A197="","",AL196*$E196)</f>
        <v/>
      </c>
      <c r="AX196" s="195" t="str">
        <f aca="false">IF($A197="","",AM196*$E196)</f>
        <v/>
      </c>
      <c r="AY196" s="195" t="str">
        <f aca="false">IF($A197="","",AN196*$E196)</f>
        <v/>
      </c>
      <c r="BA196" s="195" t="str">
        <f aca="false">IF($A197="","",F196*Summary!$Q$13)</f>
        <v/>
      </c>
    </row>
    <row r="197" customFormat="false" ht="12" hidden="false" customHeight="true" outlineLevel="0" collapsed="false">
      <c r="A197" s="196" t="str">
        <f aca="false">IF(A196&lt;mthend,EDATE(A196,1),"")</f>
        <v/>
      </c>
      <c r="B197" s="197" t="str">
        <f aca="false">IF(A197&lt;mthend,B196,"")</f>
        <v/>
      </c>
      <c r="C197" s="215"/>
      <c r="D197" s="197" t="str">
        <f aca="false">IF(A198&lt;&gt;"",B197+C197,"")</f>
        <v/>
      </c>
      <c r="E197" s="199" t="str">
        <f aca="false">IF(A198="","",IF(AND(AT197=1,$H$3=1),D197*AO197,IF($H$3=2,D197,"N/A")))</f>
        <v/>
      </c>
      <c r="F197" s="199" t="str">
        <f aca="false">IF(A198="","",E197*AS197)</f>
        <v/>
      </c>
      <c r="G197" s="200" t="str">
        <f aca="false">IF($A198="","",VLOOKUP($A197,Table,MATCH(G$4,Curves,0)))</f>
        <v/>
      </c>
      <c r="H197" s="201" t="str">
        <f aca="false">IF(A198="","",G197)</f>
        <v/>
      </c>
      <c r="I197" s="202"/>
      <c r="J197" s="200" t="str">
        <f aca="false">IF($A198="","",VLOOKUP($A197,Table,MATCH(J$4,Curves,0)))</f>
        <v/>
      </c>
      <c r="K197" s="201" t="str">
        <f aca="false">IF(A198="","",J197)</f>
        <v/>
      </c>
      <c r="L197" s="185" t="n">
        <v>0</v>
      </c>
      <c r="M197" s="201" t="str">
        <f aca="false">IF(A198="","",L197)</f>
        <v/>
      </c>
      <c r="N197" s="203"/>
      <c r="O197" s="200" t="str">
        <f aca="false">IF(A198="","",L197+J197+G197)</f>
        <v/>
      </c>
      <c r="P197" s="200" t="str">
        <f aca="false">IF(A198="","",M197+K197+H197)</f>
        <v/>
      </c>
      <c r="Q197" s="204"/>
      <c r="R197" s="200" t="str">
        <f aca="false">IF($A198="","",VLOOKUP($A197,Table,MATCH(R$4,Curves,0)))</f>
        <v/>
      </c>
      <c r="S197" s="201" t="str">
        <f aca="false">IF(A198="","",R197)</f>
        <v/>
      </c>
      <c r="T197" s="185" t="n">
        <v>0</v>
      </c>
      <c r="U197" s="201" t="str">
        <f aca="false">IF(A198="","",T197)</f>
        <v/>
      </c>
      <c r="V197" s="205"/>
      <c r="W197" s="202" t="str">
        <f aca="false">IF($A198="","",(T197+R197+G197+V197))</f>
        <v/>
      </c>
      <c r="X197" s="202" t="str">
        <f aca="false">IF($A198="","",(U197+S197+H197+V197))</f>
        <v/>
      </c>
      <c r="Y197" s="202"/>
      <c r="Z197" s="185" t="str">
        <f aca="false">IF($A198="","",VLOOKUP($A197,Table,MATCH(Z$4,Curves,0)))</f>
        <v/>
      </c>
      <c r="AA197" s="185" t="str">
        <f aca="false">IF($A198="","",VLOOKUP($A197,Table,MATCH(AA$4,Curves,0)))</f>
        <v/>
      </c>
      <c r="AB197" s="185" t="e">
        <f aca="false">SQRT((AA197^2*(A197-$D$3)+Z197^2*(DAY(EOMONTH(A197,0))/2))/AK197)</f>
        <v>#VALUE!</v>
      </c>
      <c r="AC197" s="185" t="str">
        <f aca="false">IF($A198="","",VLOOKUP($A197,Table,MATCH(AC$4,Curves,0)))</f>
        <v/>
      </c>
      <c r="AD197" s="185" t="str">
        <f aca="false">IF($A198="","",VLOOKUP($A197,Table,MATCH(AD$4,Curves,0)))</f>
        <v/>
      </c>
      <c r="AE197" s="185" t="e">
        <f aca="false">SQRT((AD197^2*(A197-$D$3)+AC197^2*(DAY(EOMONTH(A197,0))/2))/AK197)</f>
        <v>#VALUE!</v>
      </c>
      <c r="AF197" s="224" t="e">
        <f aca="false">((Summary!$N$13*(AA197*AD197)*(A197-$D$3))+(Summary!$M$13*Z197*AC197*(AJ197-EOMONTH(EDATE(A197,-1),0))))/(AK197*AB197*AE197)</f>
        <v>#VALUE!</v>
      </c>
      <c r="AG197" s="207" t="str">
        <f aca="false">IF($A198="","",Summary!$Q$13)</f>
        <v/>
      </c>
      <c r="AH197" s="207" t="str">
        <f aca="false">IF($A198="","",IF(Summary!$R$12="Y",(VLOOKUP($A197,Summary!$AD$6:$AF$9,3)+'Escalating commodity'!I210),'Escalating commodity'!I210))</f>
        <v/>
      </c>
      <c r="AI197" s="207" t="str">
        <f aca="false">IF($A198="","",AH197)</f>
        <v/>
      </c>
      <c r="AJ197" s="208" t="e">
        <f aca="false">A197+DAY(EOMONTH(A197,0))/2-1</f>
        <v>#VALUE!</v>
      </c>
      <c r="AK197" s="209" t="str">
        <f aca="false">IF($A198="","",$A197-$E$1)</f>
        <v/>
      </c>
      <c r="AL197" s="182" t="str">
        <f aca="false">IF($A198="","",SPRDOPT(P197,X197,AI197,0,AB197,AE197,AF197,AK197,$AJ$2,0))</f>
        <v/>
      </c>
      <c r="AM197" s="210" t="str">
        <f aca="false">IF($A198="","",MAX(0,O197-W197-AI197))</f>
        <v/>
      </c>
      <c r="AN197" s="211" t="str">
        <f aca="false">IF($A198="","",AL197-AM197)</f>
        <v/>
      </c>
      <c r="AO197" s="137" t="str">
        <f aca="false">IF(A198="","",A198-A197)</f>
        <v/>
      </c>
      <c r="AP197" s="212" t="str">
        <f aca="false">IF(A198="","",CHOOSE(F$3,A198+24,A197))</f>
        <v/>
      </c>
      <c r="AQ197" s="209" t="str">
        <f aca="false">IF(A198="","",AP197-$E$1)</f>
        <v/>
      </c>
      <c r="AR197" s="185" t="n">
        <f aca="false">'ANR OK vs ML7'!AR197</f>
        <v>0.1</v>
      </c>
      <c r="AS197" s="213" t="str">
        <f aca="false">IF(A198="","",1/(1+CHOOSE(F$3,(AR198+($I$3/10000))/2,(AR197+($I$3/10000))/2))^(2*AQ197/365.25))</f>
        <v/>
      </c>
      <c r="AT197" s="137" t="str">
        <f aca="false">IF(A198="","",IF(AND(mthbeg&lt;=A197,mthend&gt;=A197),1,0))</f>
        <v/>
      </c>
      <c r="AU197" s="137" t="str">
        <f aca="false">IF(A198="","",AO197*AT197)</f>
        <v/>
      </c>
      <c r="AW197" s="195" t="str">
        <f aca="false">IF($A198="","",AL197*$E197)</f>
        <v/>
      </c>
      <c r="AX197" s="195" t="str">
        <f aca="false">IF($A198="","",AM197*$E197)</f>
        <v/>
      </c>
      <c r="AY197" s="195" t="str">
        <f aca="false">IF($A198="","",AN197*$E197)</f>
        <v/>
      </c>
      <c r="BA197" s="195" t="str">
        <f aca="false">IF($A198="","",F197*Summary!$Q$13)</f>
        <v/>
      </c>
    </row>
    <row r="198" customFormat="false" ht="12" hidden="false" customHeight="true" outlineLevel="0" collapsed="false">
      <c r="A198" s="196" t="str">
        <f aca="false">IF(A197&lt;mthend,EDATE(A197,1),"")</f>
        <v/>
      </c>
      <c r="B198" s="197" t="str">
        <f aca="false">IF(A198&lt;mthend,B197,"")</f>
        <v/>
      </c>
      <c r="C198" s="215"/>
      <c r="D198" s="197" t="str">
        <f aca="false">IF(A199&lt;&gt;"",B198+C198,"")</f>
        <v/>
      </c>
      <c r="E198" s="199" t="str">
        <f aca="false">IF(A199="","",IF(AND(AT198=1,$H$3=1),D198*AO198,IF($H$3=2,D198,"N/A")))</f>
        <v/>
      </c>
      <c r="F198" s="199" t="str">
        <f aca="false">IF(A199="","",E198*AS198)</f>
        <v/>
      </c>
      <c r="G198" s="200" t="str">
        <f aca="false">IF($A199="","",VLOOKUP($A198,Table,MATCH(G$4,Curves,0)))</f>
        <v/>
      </c>
      <c r="H198" s="201" t="str">
        <f aca="false">IF(A199="","",G198)</f>
        <v/>
      </c>
      <c r="I198" s="202"/>
      <c r="J198" s="200" t="str">
        <f aca="false">IF($A199="","",VLOOKUP($A198,Table,MATCH(J$4,Curves,0)))</f>
        <v/>
      </c>
      <c r="K198" s="201" t="str">
        <f aca="false">IF(A199="","",J198)</f>
        <v/>
      </c>
      <c r="L198" s="185" t="n">
        <v>0</v>
      </c>
      <c r="M198" s="201" t="str">
        <f aca="false">IF(A199="","",L198)</f>
        <v/>
      </c>
      <c r="N198" s="203"/>
      <c r="O198" s="200" t="str">
        <f aca="false">IF(A199="","",L198+J198+G198)</f>
        <v/>
      </c>
      <c r="P198" s="200" t="str">
        <f aca="false">IF(A199="","",M198+K198+H198)</f>
        <v/>
      </c>
      <c r="Q198" s="204"/>
      <c r="R198" s="200" t="str">
        <f aca="false">IF($A199="","",VLOOKUP($A198,Table,MATCH(R$4,Curves,0)))</f>
        <v/>
      </c>
      <c r="S198" s="201" t="str">
        <f aca="false">IF(A199="","",R198)</f>
        <v/>
      </c>
      <c r="T198" s="185" t="n">
        <v>0</v>
      </c>
      <c r="U198" s="201" t="str">
        <f aca="false">IF(A199="","",T198)</f>
        <v/>
      </c>
      <c r="V198" s="205"/>
      <c r="W198" s="202" t="str">
        <f aca="false">IF($A199="","",(T198+R198+G198+V198))</f>
        <v/>
      </c>
      <c r="X198" s="202" t="str">
        <f aca="false">IF($A199="","",(U198+S198+H198+V198))</f>
        <v/>
      </c>
      <c r="Y198" s="202"/>
      <c r="Z198" s="185" t="str">
        <f aca="false">IF($A199="","",VLOOKUP($A198,Table,MATCH(Z$4,Curves,0)))</f>
        <v/>
      </c>
      <c r="AA198" s="185" t="str">
        <f aca="false">IF($A199="","",VLOOKUP($A198,Table,MATCH(AA$4,Curves,0)))</f>
        <v/>
      </c>
      <c r="AB198" s="185" t="e">
        <f aca="false">SQRT((AA198^2*(A198-$D$3)+Z198^2*(DAY(EOMONTH(A198,0))/2))/AK198)</f>
        <v>#VALUE!</v>
      </c>
      <c r="AC198" s="185" t="str">
        <f aca="false">IF($A199="","",VLOOKUP($A198,Table,MATCH(AC$4,Curves,0)))</f>
        <v/>
      </c>
      <c r="AD198" s="185" t="str">
        <f aca="false">IF($A199="","",VLOOKUP($A198,Table,MATCH(AD$4,Curves,0)))</f>
        <v/>
      </c>
      <c r="AE198" s="185" t="e">
        <f aca="false">SQRT((AD198^2*(A198-$D$3)+AC198^2*(DAY(EOMONTH(A198,0))/2))/AK198)</f>
        <v>#VALUE!</v>
      </c>
      <c r="AF198" s="224" t="e">
        <f aca="false">((Summary!$N$13*(AA198*AD198)*(A198-$D$3))+(Summary!$M$13*Z198*AC198*(AJ198-EOMONTH(EDATE(A198,-1),0))))/(AK198*AB198*AE198)</f>
        <v>#VALUE!</v>
      </c>
      <c r="AG198" s="207" t="str">
        <f aca="false">IF($A199="","",Summary!$Q$13)</f>
        <v/>
      </c>
      <c r="AH198" s="207" t="str">
        <f aca="false">IF($A199="","",IF(Summary!$R$12="Y",(VLOOKUP($A198,Summary!$AD$6:$AF$9,3)+'Escalating commodity'!I211),'Escalating commodity'!I211))</f>
        <v/>
      </c>
      <c r="AI198" s="207" t="str">
        <f aca="false">IF($A199="","",AH198)</f>
        <v/>
      </c>
      <c r="AJ198" s="208" t="e">
        <f aca="false">A198+DAY(EOMONTH(A198,0))/2-1</f>
        <v>#VALUE!</v>
      </c>
      <c r="AK198" s="209" t="str">
        <f aca="false">IF($A199="","",$A198-$E$1)</f>
        <v/>
      </c>
      <c r="AL198" s="182" t="str">
        <f aca="false">IF($A199="","",SPRDOPT(P198,X198,AI198,0,AB198,AE198,AF198,AK198,$AJ$2,0))</f>
        <v/>
      </c>
      <c r="AM198" s="210" t="str">
        <f aca="false">IF($A199="","",MAX(0,O198-W198-AI198))</f>
        <v/>
      </c>
      <c r="AN198" s="211" t="str">
        <f aca="false">IF($A199="","",AL198-AM198)</f>
        <v/>
      </c>
      <c r="AO198" s="137" t="str">
        <f aca="false">IF(A199="","",A199-A198)</f>
        <v/>
      </c>
      <c r="AP198" s="212" t="str">
        <f aca="false">IF(A199="","",CHOOSE(F$3,A199+24,A198))</f>
        <v/>
      </c>
      <c r="AQ198" s="209" t="str">
        <f aca="false">IF(A199="","",AP198-$E$1)</f>
        <v/>
      </c>
      <c r="AR198" s="185" t="n">
        <f aca="false">'ANR OK vs ML7'!AR198</f>
        <v>0.1</v>
      </c>
      <c r="AS198" s="213" t="str">
        <f aca="false">IF(A199="","",1/(1+CHOOSE(F$3,(AR199+($I$3/10000))/2,(AR198+($I$3/10000))/2))^(2*AQ198/365.25))</f>
        <v/>
      </c>
      <c r="AT198" s="137" t="str">
        <f aca="false">IF(A199="","",IF(AND(mthbeg&lt;=A198,mthend&gt;=A198),1,0))</f>
        <v/>
      </c>
      <c r="AU198" s="137" t="str">
        <f aca="false">IF(A199="","",AO198*AT198)</f>
        <v/>
      </c>
      <c r="AW198" s="195" t="str">
        <f aca="false">IF($A199="","",AL198*$E198)</f>
        <v/>
      </c>
      <c r="AX198" s="195" t="str">
        <f aca="false">IF($A199="","",AM198*$E198)</f>
        <v/>
      </c>
      <c r="AY198" s="195" t="str">
        <f aca="false">IF($A199="","",AN198*$E198)</f>
        <v/>
      </c>
      <c r="BA198" s="195" t="str">
        <f aca="false">IF($A199="","",F198*Summary!$Q$13)</f>
        <v/>
      </c>
    </row>
    <row r="199" customFormat="false" ht="12" hidden="false" customHeight="true" outlineLevel="0" collapsed="false">
      <c r="A199" s="196" t="str">
        <f aca="false">IF(A198&lt;mthend,EDATE(A198,1),"")</f>
        <v/>
      </c>
      <c r="B199" s="197" t="str">
        <f aca="false">IF(A199&lt;mthend,B198,"")</f>
        <v/>
      </c>
      <c r="C199" s="215"/>
      <c r="D199" s="197" t="str">
        <f aca="false">IF(A200&lt;&gt;"",B199+C199,"")</f>
        <v/>
      </c>
      <c r="E199" s="199" t="str">
        <f aca="false">IF(A200="","",IF(AND(AT199=1,$H$3=1),D199*AO199,IF($H$3=2,D199,"N/A")))</f>
        <v/>
      </c>
      <c r="F199" s="199" t="str">
        <f aca="false">IF(A200="","",E199*AS199)</f>
        <v/>
      </c>
      <c r="G199" s="200" t="str">
        <f aca="false">IF($A200="","",VLOOKUP($A199,Table,MATCH(G$4,Curves,0)))</f>
        <v/>
      </c>
      <c r="H199" s="201" t="str">
        <f aca="false">IF(A200="","",G199)</f>
        <v/>
      </c>
      <c r="I199" s="202"/>
      <c r="J199" s="200" t="str">
        <f aca="false">IF($A200="","",VLOOKUP($A199,Table,MATCH(J$4,Curves,0)))</f>
        <v/>
      </c>
      <c r="K199" s="201" t="str">
        <f aca="false">IF(A200="","",J199)</f>
        <v/>
      </c>
      <c r="L199" s="185" t="n">
        <v>0</v>
      </c>
      <c r="M199" s="201" t="str">
        <f aca="false">IF(A200="","",L199)</f>
        <v/>
      </c>
      <c r="N199" s="203"/>
      <c r="O199" s="200" t="str">
        <f aca="false">IF(A200="","",L199+J199+G199)</f>
        <v/>
      </c>
      <c r="P199" s="200" t="str">
        <f aca="false">IF(A200="","",M199+K199+H199)</f>
        <v/>
      </c>
      <c r="Q199" s="204"/>
      <c r="R199" s="200" t="str">
        <f aca="false">IF($A200="","",VLOOKUP($A199,Table,MATCH(R$4,Curves,0)))</f>
        <v/>
      </c>
      <c r="S199" s="201" t="str">
        <f aca="false">IF(A200="","",R199)</f>
        <v/>
      </c>
      <c r="T199" s="185" t="n">
        <v>0</v>
      </c>
      <c r="U199" s="201" t="str">
        <f aca="false">IF(A200="","",T199)</f>
        <v/>
      </c>
      <c r="V199" s="205"/>
      <c r="W199" s="202" t="str">
        <f aca="false">IF($A200="","",(T199+R199+G199+V199))</f>
        <v/>
      </c>
      <c r="X199" s="202" t="str">
        <f aca="false">IF($A200="","",(U199+S199+H199+V199))</f>
        <v/>
      </c>
      <c r="Y199" s="202"/>
      <c r="Z199" s="185" t="str">
        <f aca="false">IF($A200="","",VLOOKUP($A199,Table,MATCH(Z$4,Curves,0)))</f>
        <v/>
      </c>
      <c r="AA199" s="185" t="str">
        <f aca="false">IF($A200="","",VLOOKUP($A199,Table,MATCH(AA$4,Curves,0)))</f>
        <v/>
      </c>
      <c r="AB199" s="185" t="e">
        <f aca="false">SQRT((AA199^2*(A199-$D$3)+Z199^2*(DAY(EOMONTH(A199,0))/2))/AK199)</f>
        <v>#VALUE!</v>
      </c>
      <c r="AC199" s="185" t="str">
        <f aca="false">IF($A200="","",VLOOKUP($A199,Table,MATCH(AC$4,Curves,0)))</f>
        <v/>
      </c>
      <c r="AD199" s="185" t="str">
        <f aca="false">IF($A200="","",VLOOKUP($A199,Table,MATCH(AD$4,Curves,0)))</f>
        <v/>
      </c>
      <c r="AE199" s="185" t="e">
        <f aca="false">SQRT((AD199^2*(A199-$D$3)+AC199^2*(DAY(EOMONTH(A199,0))/2))/AK199)</f>
        <v>#VALUE!</v>
      </c>
      <c r="AF199" s="224" t="e">
        <f aca="false">((Summary!$N$13*(AA199*AD199)*(A199-$D$3))+(Summary!$M$13*Z199*AC199*(AJ199-EOMONTH(EDATE(A199,-1),0))))/(AK199*AB199*AE199)</f>
        <v>#VALUE!</v>
      </c>
      <c r="AG199" s="207" t="str">
        <f aca="false">IF($A200="","",Summary!$Q$13)</f>
        <v/>
      </c>
      <c r="AH199" s="207" t="str">
        <f aca="false">IF($A200="","",IF(Summary!$R$12="Y",(VLOOKUP($A199,Summary!$AD$6:$AF$9,3)+'Escalating commodity'!I212),'Escalating commodity'!I212))</f>
        <v/>
      </c>
      <c r="AI199" s="207" t="str">
        <f aca="false">IF($A200="","",AH199)</f>
        <v/>
      </c>
      <c r="AJ199" s="208" t="e">
        <f aca="false">A199+DAY(EOMONTH(A199,0))/2-1</f>
        <v>#VALUE!</v>
      </c>
      <c r="AK199" s="209" t="str">
        <f aca="false">IF($A200="","",$A199-$E$1)</f>
        <v/>
      </c>
      <c r="AL199" s="182" t="str">
        <f aca="false">IF($A200="","",SPRDOPT(P199,X199,AI199,0,AB199,AE199,AF199,AK199,$AJ$2,0))</f>
        <v/>
      </c>
      <c r="AM199" s="210" t="str">
        <f aca="false">IF($A200="","",MAX(0,O199-W199-AI199))</f>
        <v/>
      </c>
      <c r="AN199" s="211" t="str">
        <f aca="false">IF($A200="","",AL199-AM199)</f>
        <v/>
      </c>
      <c r="AO199" s="137" t="str">
        <f aca="false">IF(A200="","",A200-A199)</f>
        <v/>
      </c>
      <c r="AP199" s="212" t="str">
        <f aca="false">IF(A200="","",CHOOSE(F$3,A200+24,A199))</f>
        <v/>
      </c>
      <c r="AQ199" s="209" t="str">
        <f aca="false">IF(A200="","",AP199-$E$1)</f>
        <v/>
      </c>
      <c r="AR199" s="185" t="n">
        <f aca="false">'ANR OK vs ML7'!AR199</f>
        <v>0.1</v>
      </c>
      <c r="AS199" s="213" t="str">
        <f aca="false">IF(A200="","",1/(1+CHOOSE(F$3,(AR200+($I$3/10000))/2,(AR199+($I$3/10000))/2))^(2*AQ199/365.25))</f>
        <v/>
      </c>
      <c r="AT199" s="137" t="str">
        <f aca="false">IF(A200="","",IF(AND(mthbeg&lt;=A199,mthend&gt;=A199),1,0))</f>
        <v/>
      </c>
      <c r="AU199" s="137" t="str">
        <f aca="false">IF(A200="","",AO199*AT199)</f>
        <v/>
      </c>
      <c r="AW199" s="195" t="str">
        <f aca="false">IF($A200="","",AL199*$E199)</f>
        <v/>
      </c>
      <c r="AX199" s="195" t="str">
        <f aca="false">IF($A200="","",AM199*$E199)</f>
        <v/>
      </c>
      <c r="AY199" s="195" t="str">
        <f aca="false">IF($A200="","",AN199*$E199)</f>
        <v/>
      </c>
      <c r="BA199" s="195" t="str">
        <f aca="false">IF($A200="","",F199*Summary!$Q$13)</f>
        <v/>
      </c>
    </row>
    <row r="200" customFormat="false" ht="12" hidden="false" customHeight="true" outlineLevel="0" collapsed="false">
      <c r="A200" s="196" t="str">
        <f aca="false">IF(A199&lt;mthend,EDATE(A199,1),"")</f>
        <v/>
      </c>
      <c r="B200" s="197" t="str">
        <f aca="false">IF(A200&lt;mthend,B199,"")</f>
        <v/>
      </c>
      <c r="C200" s="215"/>
      <c r="D200" s="197" t="str">
        <f aca="false">IF(A201&lt;&gt;"",B200+C200,"")</f>
        <v/>
      </c>
      <c r="E200" s="199" t="str">
        <f aca="false">IF(A201="","",IF(AND(AT200=1,$H$3=1),D200*AO200,IF($H$3=2,D200,"N/A")))</f>
        <v/>
      </c>
      <c r="F200" s="199" t="str">
        <f aca="false">IF(A201="","",E200*AS200)</f>
        <v/>
      </c>
      <c r="G200" s="200" t="str">
        <f aca="false">IF($A201="","",VLOOKUP($A200,Table,MATCH(G$4,Curves,0)))</f>
        <v/>
      </c>
      <c r="H200" s="201" t="str">
        <f aca="false">IF(A201="","",G200)</f>
        <v/>
      </c>
      <c r="I200" s="202"/>
      <c r="J200" s="200" t="str">
        <f aca="false">IF($A201="","",VLOOKUP($A200,Table,MATCH(J$4,Curves,0)))</f>
        <v/>
      </c>
      <c r="K200" s="201" t="str">
        <f aca="false">IF(A201="","",J200)</f>
        <v/>
      </c>
      <c r="L200" s="185" t="n">
        <v>0</v>
      </c>
      <c r="M200" s="201" t="str">
        <f aca="false">IF(A201="","",L200)</f>
        <v/>
      </c>
      <c r="N200" s="203"/>
      <c r="O200" s="200" t="str">
        <f aca="false">IF(A201="","",L200+J200+G200)</f>
        <v/>
      </c>
      <c r="P200" s="200" t="str">
        <f aca="false">IF(A201="","",M200+K200+H200)</f>
        <v/>
      </c>
      <c r="Q200" s="204"/>
      <c r="R200" s="200" t="str">
        <f aca="false">IF($A201="","",VLOOKUP($A200,Table,MATCH(R$4,Curves,0)))</f>
        <v/>
      </c>
      <c r="S200" s="201" t="str">
        <f aca="false">IF(A201="","",R200)</f>
        <v/>
      </c>
      <c r="T200" s="185" t="n">
        <v>0</v>
      </c>
      <c r="U200" s="201" t="str">
        <f aca="false">IF(A201="","",T200)</f>
        <v/>
      </c>
      <c r="V200" s="205"/>
      <c r="W200" s="202" t="str">
        <f aca="false">IF($A201="","",(T200+R200+G200+V200))</f>
        <v/>
      </c>
      <c r="X200" s="202" t="str">
        <f aca="false">IF($A201="","",(U200+S200+H200+V200))</f>
        <v/>
      </c>
      <c r="Y200" s="202"/>
      <c r="Z200" s="185" t="str">
        <f aca="false">IF($A201="","",VLOOKUP($A200,Table,MATCH(Z$4,Curves,0)))</f>
        <v/>
      </c>
      <c r="AA200" s="185" t="str">
        <f aca="false">IF($A201="","",VLOOKUP($A200,Table,MATCH(AA$4,Curves,0)))</f>
        <v/>
      </c>
      <c r="AB200" s="185" t="e">
        <f aca="false">SQRT((AA200^2*(A200-$D$3)+Z200^2*(DAY(EOMONTH(A200,0))/2))/AK200)</f>
        <v>#VALUE!</v>
      </c>
      <c r="AC200" s="185" t="str">
        <f aca="false">IF($A201="","",VLOOKUP($A200,Table,MATCH(AC$4,Curves,0)))</f>
        <v/>
      </c>
      <c r="AD200" s="185" t="str">
        <f aca="false">IF($A201="","",VLOOKUP($A200,Table,MATCH(AD$4,Curves,0)))</f>
        <v/>
      </c>
      <c r="AE200" s="185" t="e">
        <f aca="false">SQRT((AD200^2*(A200-$D$3)+AC200^2*(DAY(EOMONTH(A200,0))/2))/AK200)</f>
        <v>#VALUE!</v>
      </c>
      <c r="AF200" s="224" t="e">
        <f aca="false">((Summary!$N$13*(AA200*AD200)*(A200-$D$3))+(Summary!$M$13*Z200*AC200*(AJ200-EOMONTH(EDATE(A200,-1),0))))/(AK200*AB200*AE200)</f>
        <v>#VALUE!</v>
      </c>
      <c r="AG200" s="207" t="str">
        <f aca="false">IF($A201="","",Summary!$Q$13)</f>
        <v/>
      </c>
      <c r="AH200" s="207" t="str">
        <f aca="false">IF($A201="","",IF(Summary!$R$12="Y",(VLOOKUP($A200,Summary!$AD$6:$AF$9,3)+'Escalating commodity'!I213),'Escalating commodity'!I213))</f>
        <v/>
      </c>
      <c r="AI200" s="207" t="str">
        <f aca="false">IF($A201="","",AH200)</f>
        <v/>
      </c>
      <c r="AJ200" s="208" t="e">
        <f aca="false">A200+DAY(EOMONTH(A200,0))/2-1</f>
        <v>#VALUE!</v>
      </c>
      <c r="AK200" s="209" t="str">
        <f aca="false">IF($A201="","",$A200-$E$1)</f>
        <v/>
      </c>
      <c r="AL200" s="182" t="str">
        <f aca="false">IF($A201="","",SPRDOPT(P200,X200,AI200,0,AB200,AE200,AF200,AK200,$AJ$2,0))</f>
        <v/>
      </c>
      <c r="AM200" s="210" t="str">
        <f aca="false">IF($A201="","",MAX(0,O200-W200-AI200))</f>
        <v/>
      </c>
      <c r="AN200" s="211" t="str">
        <f aca="false">IF($A201="","",AL200-AM200)</f>
        <v/>
      </c>
      <c r="AO200" s="137" t="str">
        <f aca="false">IF(A201="","",A201-A200)</f>
        <v/>
      </c>
      <c r="AP200" s="212" t="str">
        <f aca="false">IF(A201="","",CHOOSE(F$3,A201+24,A200))</f>
        <v/>
      </c>
      <c r="AQ200" s="209" t="str">
        <f aca="false">IF(A201="","",AP200-$E$1)</f>
        <v/>
      </c>
      <c r="AR200" s="185" t="n">
        <f aca="false">'ANR OK vs ML7'!AR200</f>
        <v>0.1</v>
      </c>
      <c r="AS200" s="213" t="str">
        <f aca="false">IF(A201="","",1/(1+CHOOSE(F$3,(AR201+($I$3/10000))/2,(AR200+($I$3/10000))/2))^(2*AQ200/365.25))</f>
        <v/>
      </c>
      <c r="AT200" s="137" t="str">
        <f aca="false">IF(A201="","",IF(AND(mthbeg&lt;=A200,mthend&gt;=A200),1,0))</f>
        <v/>
      </c>
      <c r="AU200" s="137" t="str">
        <f aca="false">IF(A201="","",AO200*AT200)</f>
        <v/>
      </c>
      <c r="AW200" s="195" t="str">
        <f aca="false">IF($A201="","",AL200*$E200)</f>
        <v/>
      </c>
      <c r="AX200" s="195" t="str">
        <f aca="false">IF($A201="","",AM200*$E200)</f>
        <v/>
      </c>
      <c r="AY200" s="195" t="str">
        <f aca="false">IF($A201="","",AN200*$E200)</f>
        <v/>
      </c>
      <c r="BA200" s="195" t="str">
        <f aca="false">IF($A201="","",F200*Summary!$Q$13)</f>
        <v/>
      </c>
    </row>
    <row r="201" customFormat="false" ht="12" hidden="false" customHeight="true" outlineLevel="0" collapsed="false">
      <c r="A201" s="196" t="str">
        <f aca="false">IF(A200&lt;mthend,EDATE(A200,1),"")</f>
        <v/>
      </c>
      <c r="B201" s="197" t="str">
        <f aca="false">IF(A201&lt;mthend,B200,"")</f>
        <v/>
      </c>
      <c r="C201" s="215"/>
      <c r="D201" s="197" t="str">
        <f aca="false">IF(A202&lt;&gt;"",B201+C201,"")</f>
        <v/>
      </c>
      <c r="E201" s="199" t="str">
        <f aca="false">IF(A202="","",IF(AND(AT201=1,$H$3=1),D201*AO201,IF($H$3=2,D201,"N/A")))</f>
        <v/>
      </c>
      <c r="F201" s="199" t="str">
        <f aca="false">IF(A202="","",E201*AS201)</f>
        <v/>
      </c>
      <c r="G201" s="200" t="str">
        <f aca="false">IF($A202="","",VLOOKUP($A201,Table,MATCH(G$4,Curves,0)))</f>
        <v/>
      </c>
      <c r="H201" s="201" t="str">
        <f aca="false">IF(A202="","",G201)</f>
        <v/>
      </c>
      <c r="I201" s="202"/>
      <c r="J201" s="200" t="str">
        <f aca="false">IF($A202="","",VLOOKUP($A201,Table,MATCH(J$4,Curves,0)))</f>
        <v/>
      </c>
      <c r="K201" s="201" t="str">
        <f aca="false">IF(A202="","",J201)</f>
        <v/>
      </c>
      <c r="L201" s="185" t="n">
        <v>0</v>
      </c>
      <c r="M201" s="201" t="str">
        <f aca="false">IF(A202="","",L201)</f>
        <v/>
      </c>
      <c r="N201" s="203"/>
      <c r="O201" s="200" t="str">
        <f aca="false">IF(A202="","",L201+J201+G201)</f>
        <v/>
      </c>
      <c r="P201" s="200" t="str">
        <f aca="false">IF(A202="","",M201+K201+H201)</f>
        <v/>
      </c>
      <c r="Q201" s="204"/>
      <c r="R201" s="200" t="str">
        <f aca="false">IF($A202="","",VLOOKUP($A201,Table,MATCH(R$4,Curves,0)))</f>
        <v/>
      </c>
      <c r="S201" s="201" t="str">
        <f aca="false">IF(A202="","",R201)</f>
        <v/>
      </c>
      <c r="T201" s="185" t="n">
        <v>0</v>
      </c>
      <c r="U201" s="201" t="str">
        <f aca="false">IF(A202="","",T201)</f>
        <v/>
      </c>
      <c r="V201" s="205"/>
      <c r="W201" s="202" t="str">
        <f aca="false">IF($A202="","",(T201+R201+G201+V201))</f>
        <v/>
      </c>
      <c r="X201" s="202" t="str">
        <f aca="false">IF($A202="","",(U201+S201+H201+V201))</f>
        <v/>
      </c>
      <c r="Y201" s="202"/>
      <c r="Z201" s="185" t="str">
        <f aca="false">IF($A202="","",VLOOKUP($A201,Table,MATCH(Z$4,Curves,0)))</f>
        <v/>
      </c>
      <c r="AA201" s="185" t="str">
        <f aca="false">IF($A202="","",VLOOKUP($A201,Table,MATCH(AA$4,Curves,0)))</f>
        <v/>
      </c>
      <c r="AB201" s="185" t="e">
        <f aca="false">SQRT((AA201^2*(A201-$D$3)+Z201^2*(DAY(EOMONTH(A201,0))/2))/AK201)</f>
        <v>#VALUE!</v>
      </c>
      <c r="AC201" s="185" t="str">
        <f aca="false">IF($A202="","",VLOOKUP($A201,Table,MATCH(AC$4,Curves,0)))</f>
        <v/>
      </c>
      <c r="AD201" s="185" t="str">
        <f aca="false">IF($A202="","",VLOOKUP($A201,Table,MATCH(AD$4,Curves,0)))</f>
        <v/>
      </c>
      <c r="AE201" s="185" t="e">
        <f aca="false">SQRT((AD201^2*(A201-$D$3)+AC201^2*(DAY(EOMONTH(A201,0))/2))/AK201)</f>
        <v>#VALUE!</v>
      </c>
      <c r="AF201" s="224" t="e">
        <f aca="false">((Summary!$N$13*(AA201*AD201)*(A201-$D$3))+(Summary!$M$13*Z201*AC201*(AJ201-EOMONTH(EDATE(A201,-1),0))))/(AK201*AB201*AE201)</f>
        <v>#VALUE!</v>
      </c>
      <c r="AG201" s="207" t="str">
        <f aca="false">IF($A202="","",Summary!$Q$13)</f>
        <v/>
      </c>
      <c r="AH201" s="207" t="str">
        <f aca="false">IF($A202="","",IF(Summary!$R$12="Y",(VLOOKUP($A201,Summary!$AD$6:$AF$9,3)+'Escalating commodity'!I214),'Escalating commodity'!I214))</f>
        <v/>
      </c>
      <c r="AI201" s="207" t="str">
        <f aca="false">IF($A202="","",AH201)</f>
        <v/>
      </c>
      <c r="AJ201" s="208" t="e">
        <f aca="false">A201+DAY(EOMONTH(A201,0))/2-1</f>
        <v>#VALUE!</v>
      </c>
      <c r="AK201" s="209" t="str">
        <f aca="false">IF($A202="","",$A201-$E$1)</f>
        <v/>
      </c>
      <c r="AL201" s="182" t="str">
        <f aca="false">IF($A202="","",SPRDOPT(P201,X201,AI201,0,AB201,AE201,AF201,AK201,$AJ$2,0))</f>
        <v/>
      </c>
      <c r="AM201" s="210" t="str">
        <f aca="false">IF($A202="","",MAX(0,O201-W201-AI201))</f>
        <v/>
      </c>
      <c r="AN201" s="211" t="str">
        <f aca="false">IF($A202="","",AL201-AM201)</f>
        <v/>
      </c>
      <c r="AO201" s="137" t="str">
        <f aca="false">IF(A202="","",A202-A201)</f>
        <v/>
      </c>
      <c r="AP201" s="212" t="str">
        <f aca="false">IF(A202="","",CHOOSE(F$3,A202+24,A201))</f>
        <v/>
      </c>
      <c r="AQ201" s="209" t="str">
        <f aca="false">IF(A202="","",AP201-$E$1)</f>
        <v/>
      </c>
      <c r="AR201" s="185" t="n">
        <f aca="false">'ANR OK vs ML7'!AR201</f>
        <v>0.1</v>
      </c>
      <c r="AS201" s="213" t="str">
        <f aca="false">IF(A202="","",1/(1+CHOOSE(F$3,(AR202+($I$3/10000))/2,(AR201+($I$3/10000))/2))^(2*AQ201/365.25))</f>
        <v/>
      </c>
      <c r="AT201" s="137" t="str">
        <f aca="false">IF(A202="","",IF(AND(mthbeg&lt;=A201,mthend&gt;=A201),1,0))</f>
        <v/>
      </c>
      <c r="AU201" s="137" t="str">
        <f aca="false">IF(A202="","",AO201*AT201)</f>
        <v/>
      </c>
      <c r="AW201" s="195" t="str">
        <f aca="false">IF($A202="","",AL201*$E201)</f>
        <v/>
      </c>
      <c r="AX201" s="195" t="str">
        <f aca="false">IF($A202="","",AM201*$E201)</f>
        <v/>
      </c>
      <c r="AY201" s="195" t="str">
        <f aca="false">IF($A202="","",AN201*$E201)</f>
        <v/>
      </c>
      <c r="BA201" s="195" t="str">
        <f aca="false">IF($A202="","",F201*Summary!$Q$13)</f>
        <v/>
      </c>
    </row>
    <row r="202" customFormat="false" ht="12" hidden="false" customHeight="true" outlineLevel="0" collapsed="false">
      <c r="A202" s="196" t="str">
        <f aca="false">IF(A201&lt;mthend,EDATE(A201,1),"")</f>
        <v/>
      </c>
      <c r="B202" s="197" t="str">
        <f aca="false">IF(A202&lt;mthend,B201,"")</f>
        <v/>
      </c>
      <c r="C202" s="215"/>
      <c r="D202" s="197" t="str">
        <f aca="false">IF(A203&lt;&gt;"",B202+C202,"")</f>
        <v/>
      </c>
      <c r="E202" s="199" t="str">
        <f aca="false">IF(A203="","",IF(AND(AT202=1,$H$3=1),D202*AO202,IF($H$3=2,D202,"N/A")))</f>
        <v/>
      </c>
      <c r="F202" s="199" t="str">
        <f aca="false">IF(A203="","",E202*AS202)</f>
        <v/>
      </c>
      <c r="G202" s="200" t="str">
        <f aca="false">IF($A203="","",VLOOKUP($A202,Table,MATCH(G$4,Curves,0)))</f>
        <v/>
      </c>
      <c r="H202" s="201" t="str">
        <f aca="false">IF(A203="","",G202)</f>
        <v/>
      </c>
      <c r="I202" s="202"/>
      <c r="J202" s="200" t="str">
        <f aca="false">IF($A203="","",VLOOKUP($A202,Table,MATCH(J$4,Curves,0)))</f>
        <v/>
      </c>
      <c r="K202" s="201" t="str">
        <f aca="false">IF(A203="","",J202)</f>
        <v/>
      </c>
      <c r="L202" s="185" t="n">
        <v>0</v>
      </c>
      <c r="M202" s="201" t="str">
        <f aca="false">IF(A203="","",L202)</f>
        <v/>
      </c>
      <c r="N202" s="203"/>
      <c r="O202" s="200" t="str">
        <f aca="false">IF(A203="","",L202+J202+G202)</f>
        <v/>
      </c>
      <c r="P202" s="200" t="str">
        <f aca="false">IF(A203="","",M202+K202+H202)</f>
        <v/>
      </c>
      <c r="Q202" s="204"/>
      <c r="R202" s="200" t="str">
        <f aca="false">IF($A203="","",VLOOKUP($A202,Table,MATCH(R$4,Curves,0)))</f>
        <v/>
      </c>
      <c r="S202" s="201" t="str">
        <f aca="false">IF(A203="","",R202)</f>
        <v/>
      </c>
      <c r="T202" s="185" t="n">
        <v>0</v>
      </c>
      <c r="U202" s="201" t="str">
        <f aca="false">IF(A203="","",T202)</f>
        <v/>
      </c>
      <c r="V202" s="205"/>
      <c r="W202" s="202" t="str">
        <f aca="false">IF($A203="","",(T202+R202+G202+V202))</f>
        <v/>
      </c>
      <c r="X202" s="202" t="str">
        <f aca="false">IF($A203="","",(U202+S202+H202+V202))</f>
        <v/>
      </c>
      <c r="Y202" s="202"/>
      <c r="Z202" s="185" t="str">
        <f aca="false">IF($A203="","",VLOOKUP($A202,Table,MATCH(Z$4,Curves,0)))</f>
        <v/>
      </c>
      <c r="AA202" s="185" t="str">
        <f aca="false">IF($A203="","",VLOOKUP($A202,Table,MATCH(AA$4,Curves,0)))</f>
        <v/>
      </c>
      <c r="AB202" s="185" t="e">
        <f aca="false">SQRT((AA202^2*(A202-$D$3)+Z202^2*(DAY(EOMONTH(A202,0))/2))/AK202)</f>
        <v>#VALUE!</v>
      </c>
      <c r="AC202" s="185" t="str">
        <f aca="false">IF($A203="","",VLOOKUP($A202,Table,MATCH(AC$4,Curves,0)))</f>
        <v/>
      </c>
      <c r="AD202" s="185" t="str">
        <f aca="false">IF($A203="","",VLOOKUP($A202,Table,MATCH(AD$4,Curves,0)))</f>
        <v/>
      </c>
      <c r="AE202" s="185" t="e">
        <f aca="false">SQRT((AD202^2*(A202-$D$3)+AC202^2*(DAY(EOMONTH(A202,0))/2))/AK202)</f>
        <v>#VALUE!</v>
      </c>
      <c r="AF202" s="224" t="e">
        <f aca="false">((Summary!$N$13*(AA202*AD202)*(A202-$D$3))+(Summary!$M$13*Z202*AC202*(AJ202-EOMONTH(EDATE(A202,-1),0))))/(AK202*AB202*AE202)</f>
        <v>#VALUE!</v>
      </c>
      <c r="AG202" s="207" t="str">
        <f aca="false">IF($A203="","",Summary!$Q$13)</f>
        <v/>
      </c>
      <c r="AH202" s="207" t="str">
        <f aca="false">IF($A203="","",IF(Summary!$R$12="Y",(VLOOKUP($A202,Summary!$AD$6:$AF$9,3)+'Escalating commodity'!I215),'Escalating commodity'!I215))</f>
        <v/>
      </c>
      <c r="AI202" s="207" t="str">
        <f aca="false">IF($A203="","",AH202)</f>
        <v/>
      </c>
      <c r="AJ202" s="208" t="e">
        <f aca="false">A202+DAY(EOMONTH(A202,0))/2-1</f>
        <v>#VALUE!</v>
      </c>
      <c r="AK202" s="209" t="str">
        <f aca="false">IF($A203="","",$A202-$E$1)</f>
        <v/>
      </c>
      <c r="AL202" s="182" t="str">
        <f aca="false">IF($A203="","",SPRDOPT(P202,X202,AI202,0,AB202,AE202,AF202,AK202,$AJ$2,0))</f>
        <v/>
      </c>
      <c r="AM202" s="210" t="str">
        <f aca="false">IF($A203="","",MAX(0,O202-W202-AI202))</f>
        <v/>
      </c>
      <c r="AN202" s="211" t="str">
        <f aca="false">IF($A203="","",AL202-AM202)</f>
        <v/>
      </c>
      <c r="AO202" s="137" t="str">
        <f aca="false">IF(A203="","",A203-A202)</f>
        <v/>
      </c>
      <c r="AP202" s="212" t="str">
        <f aca="false">IF(A203="","",CHOOSE(F$3,A203+24,A202))</f>
        <v/>
      </c>
      <c r="AQ202" s="209" t="str">
        <f aca="false">IF(A203="","",AP202-$E$1)</f>
        <v/>
      </c>
      <c r="AR202" s="185" t="n">
        <f aca="false">'ANR OK vs ML7'!AR202</f>
        <v>0.1</v>
      </c>
      <c r="AS202" s="213" t="str">
        <f aca="false">IF(A203="","",1/(1+CHOOSE(F$3,(AR203+($I$3/10000))/2,(AR202+($I$3/10000))/2))^(2*AQ202/365.25))</f>
        <v/>
      </c>
      <c r="AT202" s="137" t="str">
        <f aca="false">IF(A203="","",IF(AND(mthbeg&lt;=A202,mthend&gt;=A202),1,0))</f>
        <v/>
      </c>
      <c r="AU202" s="137" t="str">
        <f aca="false">IF(A203="","",AO202*AT202)</f>
        <v/>
      </c>
      <c r="AW202" s="195" t="str">
        <f aca="false">IF($A203="","",AL202*$E202)</f>
        <v/>
      </c>
      <c r="AX202" s="195" t="str">
        <f aca="false">IF($A203="","",AM202*$E202)</f>
        <v/>
      </c>
      <c r="AY202" s="195" t="str">
        <f aca="false">IF($A203="","",AN202*$E202)</f>
        <v/>
      </c>
      <c r="BA202" s="195" t="str">
        <f aca="false">IF($A203="","",F202*Summary!$Q$13)</f>
        <v/>
      </c>
    </row>
    <row r="203" customFormat="false" ht="12" hidden="false" customHeight="true" outlineLevel="0" collapsed="false">
      <c r="A203" s="196" t="str">
        <f aca="false">IF(A202&lt;mthend,EDATE(A202,1),"")</f>
        <v/>
      </c>
      <c r="B203" s="197" t="str">
        <f aca="false">IF(A203&lt;mthend,B202,"")</f>
        <v/>
      </c>
      <c r="C203" s="215"/>
      <c r="D203" s="197" t="str">
        <f aca="false">IF(A204&lt;&gt;"",B203+C203,"")</f>
        <v/>
      </c>
      <c r="E203" s="199" t="str">
        <f aca="false">IF(A204="","",IF(AND(AT203=1,$H$3=1),D203*AO203,IF($H$3=2,D203,"N/A")))</f>
        <v/>
      </c>
      <c r="F203" s="199" t="str">
        <f aca="false">IF(A204="","",E203*AS203)</f>
        <v/>
      </c>
      <c r="G203" s="200" t="str">
        <f aca="false">IF($A204="","",VLOOKUP($A203,Table,MATCH(G$4,Curves,0)))</f>
        <v/>
      </c>
      <c r="H203" s="201" t="str">
        <f aca="false">IF(A204="","",G203)</f>
        <v/>
      </c>
      <c r="I203" s="202"/>
      <c r="J203" s="200" t="str">
        <f aca="false">IF($A204="","",VLOOKUP($A203,Table,MATCH(J$4,Curves,0)))</f>
        <v/>
      </c>
      <c r="K203" s="201" t="str">
        <f aca="false">IF(A204="","",J203)</f>
        <v/>
      </c>
      <c r="L203" s="185" t="n">
        <v>0</v>
      </c>
      <c r="M203" s="201" t="str">
        <f aca="false">IF(A204="","",L203)</f>
        <v/>
      </c>
      <c r="N203" s="203"/>
      <c r="O203" s="200" t="str">
        <f aca="false">IF(A204="","",L203+J203+G203)</f>
        <v/>
      </c>
      <c r="P203" s="200" t="str">
        <f aca="false">IF(A204="","",M203+K203+H203)</f>
        <v/>
      </c>
      <c r="Q203" s="204"/>
      <c r="R203" s="200" t="str">
        <f aca="false">IF($A204="","",VLOOKUP($A203,Table,MATCH(R$4,Curves,0)))</f>
        <v/>
      </c>
      <c r="S203" s="201" t="str">
        <f aca="false">IF(A204="","",R203)</f>
        <v/>
      </c>
      <c r="T203" s="185" t="n">
        <v>0</v>
      </c>
      <c r="U203" s="201" t="str">
        <f aca="false">IF(A204="","",T203)</f>
        <v/>
      </c>
      <c r="V203" s="205"/>
      <c r="W203" s="202" t="str">
        <f aca="false">IF($A204="","",(T203+R203+G203+V203))</f>
        <v/>
      </c>
      <c r="X203" s="202" t="str">
        <f aca="false">IF($A204="","",(U203+S203+H203+V203))</f>
        <v/>
      </c>
      <c r="Y203" s="202"/>
      <c r="Z203" s="185" t="str">
        <f aca="false">IF($A204="","",VLOOKUP($A203,Table,MATCH(Z$4,Curves,0)))</f>
        <v/>
      </c>
      <c r="AA203" s="185" t="str">
        <f aca="false">IF($A204="","",VLOOKUP($A203,Table,MATCH(AA$4,Curves,0)))</f>
        <v/>
      </c>
      <c r="AB203" s="185" t="e">
        <f aca="false">SQRT((AA203^2*(A203-$D$3)+Z203^2*(DAY(EOMONTH(A203,0))/2))/AK203)</f>
        <v>#VALUE!</v>
      </c>
      <c r="AC203" s="185" t="str">
        <f aca="false">IF($A204="","",VLOOKUP($A203,Table,MATCH(AC$4,Curves,0)))</f>
        <v/>
      </c>
      <c r="AD203" s="185" t="str">
        <f aca="false">IF($A204="","",VLOOKUP($A203,Table,MATCH(AD$4,Curves,0)))</f>
        <v/>
      </c>
      <c r="AE203" s="185" t="e">
        <f aca="false">SQRT((AD203^2*(A203-$D$3)+AC203^2*(DAY(EOMONTH(A203,0))/2))/AK203)</f>
        <v>#VALUE!</v>
      </c>
      <c r="AF203" s="224" t="e">
        <f aca="false">((Summary!$N$13*(AA203*AD203)*(A203-$D$3))+(Summary!$M$13*Z203*AC203*(AJ203-EOMONTH(EDATE(A203,-1),0))))/(AK203*AB203*AE203)</f>
        <v>#VALUE!</v>
      </c>
      <c r="AG203" s="207" t="str">
        <f aca="false">IF($A204="","",Summary!$Q$13)</f>
        <v/>
      </c>
      <c r="AH203" s="207" t="str">
        <f aca="false">IF($A204="","",IF(Summary!$R$12="Y",(VLOOKUP($A203,Summary!$AD$6:$AF$9,3)+'Escalating commodity'!I216),'Escalating commodity'!I216))</f>
        <v/>
      </c>
      <c r="AI203" s="207" t="str">
        <f aca="false">IF($A204="","",AH203)</f>
        <v/>
      </c>
      <c r="AJ203" s="208" t="e">
        <f aca="false">A203+DAY(EOMONTH(A203,0))/2-1</f>
        <v>#VALUE!</v>
      </c>
      <c r="AK203" s="209" t="str">
        <f aca="false">IF($A204="","",$A203-$E$1)</f>
        <v/>
      </c>
      <c r="AL203" s="182" t="str">
        <f aca="false">IF($A204="","",SPRDOPT(P203,X203,AI203,0,AB203,AE203,AF203,AK203,$AJ$2,0))</f>
        <v/>
      </c>
      <c r="AM203" s="210" t="str">
        <f aca="false">IF($A204="","",MAX(0,O203-W203-AI203))</f>
        <v/>
      </c>
      <c r="AN203" s="211" t="str">
        <f aca="false">IF($A204="","",AL203-AM203)</f>
        <v/>
      </c>
      <c r="AO203" s="137" t="str">
        <f aca="false">IF(A204="","",A204-A203)</f>
        <v/>
      </c>
      <c r="AP203" s="212" t="str">
        <f aca="false">IF(A204="","",CHOOSE(F$3,A204+24,A203))</f>
        <v/>
      </c>
      <c r="AQ203" s="209" t="str">
        <f aca="false">IF(A204="","",AP203-$E$1)</f>
        <v/>
      </c>
      <c r="AR203" s="185" t="n">
        <f aca="false">'ANR OK vs ML7'!AR203</f>
        <v>0.1</v>
      </c>
      <c r="AS203" s="213" t="str">
        <f aca="false">IF(A204="","",1/(1+CHOOSE(F$3,(AR204+($I$3/10000))/2,(AR203+($I$3/10000))/2))^(2*AQ203/365.25))</f>
        <v/>
      </c>
      <c r="AT203" s="137" t="str">
        <f aca="false">IF(A204="","",IF(AND(mthbeg&lt;=A203,mthend&gt;=A203),1,0))</f>
        <v/>
      </c>
      <c r="AU203" s="137" t="str">
        <f aca="false">IF(A204="","",AO203*AT203)</f>
        <v/>
      </c>
      <c r="AW203" s="195" t="str">
        <f aca="false">IF($A204="","",AL203*$E203)</f>
        <v/>
      </c>
      <c r="AX203" s="195" t="str">
        <f aca="false">IF($A204="","",AM203*$E203)</f>
        <v/>
      </c>
      <c r="AY203" s="195" t="str">
        <f aca="false">IF($A204="","",AN203*$E203)</f>
        <v/>
      </c>
      <c r="BA203" s="195" t="str">
        <f aca="false">IF($A204="","",F203*Summary!$Q$13)</f>
        <v/>
      </c>
    </row>
    <row r="204" customFormat="false" ht="12" hidden="false" customHeight="true" outlineLevel="0" collapsed="false">
      <c r="A204" s="196" t="str">
        <f aca="false">IF(A203&lt;mthend,EDATE(A203,1),"")</f>
        <v/>
      </c>
      <c r="B204" s="197" t="str">
        <f aca="false">IF(A204&lt;mthend,B203,"")</f>
        <v/>
      </c>
      <c r="C204" s="215"/>
      <c r="D204" s="197" t="str">
        <f aca="false">IF(A205&lt;&gt;"",B204+C204,"")</f>
        <v/>
      </c>
      <c r="E204" s="199" t="str">
        <f aca="false">IF(A205="","",IF(AND(AT204=1,$H$3=1),D204*AO204,IF($H$3=2,D204,"N/A")))</f>
        <v/>
      </c>
      <c r="F204" s="199" t="str">
        <f aca="false">IF(A205="","",E204*AS204)</f>
        <v/>
      </c>
      <c r="G204" s="200" t="str">
        <f aca="false">IF($A205="","",VLOOKUP($A204,Table,MATCH(G$4,Curves,0)))</f>
        <v/>
      </c>
      <c r="H204" s="201" t="str">
        <f aca="false">IF(A205="","",G204)</f>
        <v/>
      </c>
      <c r="I204" s="202"/>
      <c r="J204" s="200" t="str">
        <f aca="false">IF($A205="","",VLOOKUP($A204,Table,MATCH(J$4,Curves,0)))</f>
        <v/>
      </c>
      <c r="K204" s="201" t="str">
        <f aca="false">IF(A205="","",J204)</f>
        <v/>
      </c>
      <c r="L204" s="185" t="n">
        <v>0</v>
      </c>
      <c r="M204" s="201" t="str">
        <f aca="false">IF(A205="","",L204)</f>
        <v/>
      </c>
      <c r="N204" s="203"/>
      <c r="O204" s="200" t="str">
        <f aca="false">IF(A205="","",L204+J204+G204)</f>
        <v/>
      </c>
      <c r="P204" s="200" t="str">
        <f aca="false">IF(A205="","",M204+K204+H204)</f>
        <v/>
      </c>
      <c r="Q204" s="204"/>
      <c r="R204" s="200" t="str">
        <f aca="false">IF($A205="","",VLOOKUP($A204,Table,MATCH(R$4,Curves,0)))</f>
        <v/>
      </c>
      <c r="S204" s="201" t="str">
        <f aca="false">IF(A205="","",R204)</f>
        <v/>
      </c>
      <c r="T204" s="185" t="n">
        <v>0</v>
      </c>
      <c r="U204" s="201" t="str">
        <f aca="false">IF(A205="","",T204)</f>
        <v/>
      </c>
      <c r="V204" s="205"/>
      <c r="W204" s="202" t="str">
        <f aca="false">IF($A205="","",(T204+R204+G204+V204))</f>
        <v/>
      </c>
      <c r="X204" s="202" t="str">
        <f aca="false">IF($A205="","",(U204+S204+H204+V204))</f>
        <v/>
      </c>
      <c r="Y204" s="202"/>
      <c r="Z204" s="185" t="str">
        <f aca="false">IF($A205="","",VLOOKUP($A204,Table,MATCH(Z$4,Curves,0)))</f>
        <v/>
      </c>
      <c r="AA204" s="185" t="str">
        <f aca="false">IF($A205="","",VLOOKUP($A204,Table,MATCH(AA$4,Curves,0)))</f>
        <v/>
      </c>
      <c r="AB204" s="185" t="e">
        <f aca="false">SQRT((AA204^2*(A204-$D$3)+Z204^2*(DAY(EOMONTH(A204,0))/2))/AK204)</f>
        <v>#VALUE!</v>
      </c>
      <c r="AC204" s="185" t="str">
        <f aca="false">IF($A205="","",VLOOKUP($A204,Table,MATCH(AC$4,Curves,0)))</f>
        <v/>
      </c>
      <c r="AD204" s="185" t="str">
        <f aca="false">IF($A205="","",VLOOKUP($A204,Table,MATCH(AD$4,Curves,0)))</f>
        <v/>
      </c>
      <c r="AE204" s="185" t="e">
        <f aca="false">SQRT((AD204^2*(A204-$D$3)+AC204^2*(DAY(EOMONTH(A204,0))/2))/AK204)</f>
        <v>#VALUE!</v>
      </c>
      <c r="AF204" s="224" t="e">
        <f aca="false">((Summary!$N$13*(AA204*AD204)*(A204-$D$3))+(Summary!$M$13*Z204*AC204*(AJ204-EOMONTH(EDATE(A204,-1),0))))/(AK204*AB204*AE204)</f>
        <v>#VALUE!</v>
      </c>
      <c r="AG204" s="207" t="str">
        <f aca="false">IF($A205="","",Summary!$Q$13)</f>
        <v/>
      </c>
      <c r="AH204" s="207" t="str">
        <f aca="false">IF($A205="","",IF(Summary!$R$12="Y",(VLOOKUP($A204,Summary!$AD$6:$AF$9,3)+'Escalating commodity'!I217),'Escalating commodity'!I217))</f>
        <v/>
      </c>
      <c r="AI204" s="207" t="str">
        <f aca="false">IF($A205="","",AH204)</f>
        <v/>
      </c>
      <c r="AJ204" s="208" t="e">
        <f aca="false">A204+DAY(EOMONTH(A204,0))/2-1</f>
        <v>#VALUE!</v>
      </c>
      <c r="AK204" s="209" t="str">
        <f aca="false">IF($A205="","",$A204-$E$1)</f>
        <v/>
      </c>
      <c r="AL204" s="182" t="str">
        <f aca="false">IF($A205="","",SPRDOPT(P204,X204,AI204,0,AB204,AE204,AF204,AK204,$AJ$2,0))</f>
        <v/>
      </c>
      <c r="AM204" s="210" t="str">
        <f aca="false">IF($A205="","",MAX(0,O204-W204-AI204))</f>
        <v/>
      </c>
      <c r="AN204" s="211" t="str">
        <f aca="false">IF($A205="","",AL204-AM204)</f>
        <v/>
      </c>
      <c r="AO204" s="137" t="str">
        <f aca="false">IF(A205="","",A205-A204)</f>
        <v/>
      </c>
      <c r="AP204" s="212" t="str">
        <f aca="false">IF(A205="","",CHOOSE(F$3,A205+24,A204))</f>
        <v/>
      </c>
      <c r="AQ204" s="209" t="str">
        <f aca="false">IF(A205="","",AP204-$E$1)</f>
        <v/>
      </c>
      <c r="AR204" s="185" t="n">
        <f aca="false">'ANR OK vs ML7'!AR204</f>
        <v>0.1</v>
      </c>
      <c r="AS204" s="213" t="str">
        <f aca="false">IF(A205="","",1/(1+CHOOSE(F$3,(AR205+($I$3/10000))/2,(AR204+($I$3/10000))/2))^(2*AQ204/365.25))</f>
        <v/>
      </c>
      <c r="AT204" s="137" t="str">
        <f aca="false">IF(A205="","",IF(AND(mthbeg&lt;=A204,mthend&gt;=A204),1,0))</f>
        <v/>
      </c>
      <c r="AU204" s="137" t="str">
        <f aca="false">IF(A205="","",AO204*AT204)</f>
        <v/>
      </c>
      <c r="AW204" s="195" t="str">
        <f aca="false">IF($A205="","",AL204*$E204)</f>
        <v/>
      </c>
      <c r="AX204" s="195" t="str">
        <f aca="false">IF($A205="","",AM204*$E204)</f>
        <v/>
      </c>
      <c r="AY204" s="195" t="str">
        <f aca="false">IF($A205="","",AN204*$E204)</f>
        <v/>
      </c>
      <c r="BA204" s="195" t="str">
        <f aca="false">IF($A205="","",F204*Summary!$Q$13)</f>
        <v/>
      </c>
    </row>
    <row r="205" customFormat="false" ht="12" hidden="false" customHeight="true" outlineLevel="0" collapsed="false">
      <c r="A205" s="196" t="str">
        <f aca="false">IF(A204&lt;mthend,EDATE(A204,1),"")</f>
        <v/>
      </c>
      <c r="B205" s="197" t="str">
        <f aca="false">IF(A205&lt;mthend,B204,"")</f>
        <v/>
      </c>
      <c r="C205" s="215"/>
      <c r="D205" s="197" t="str">
        <f aca="false">IF(A206&lt;&gt;"",B205+C205,"")</f>
        <v/>
      </c>
      <c r="E205" s="199" t="str">
        <f aca="false">IF(A206="","",IF(AND(AT205=1,$H$3=1),D205*AO205,IF($H$3=2,D205,"N/A")))</f>
        <v/>
      </c>
      <c r="F205" s="199" t="str">
        <f aca="false">IF(A206="","",E205*AS205)</f>
        <v/>
      </c>
      <c r="G205" s="200" t="str">
        <f aca="false">IF($A206="","",VLOOKUP($A205,Table,MATCH(G$4,Curves,0)))</f>
        <v/>
      </c>
      <c r="H205" s="201" t="str">
        <f aca="false">IF(A206="","",G205)</f>
        <v/>
      </c>
      <c r="I205" s="202"/>
      <c r="J205" s="200" t="str">
        <f aca="false">IF($A206="","",VLOOKUP($A205,Table,MATCH(J$4,Curves,0)))</f>
        <v/>
      </c>
      <c r="K205" s="201" t="str">
        <f aca="false">IF(A206="","",J205)</f>
        <v/>
      </c>
      <c r="L205" s="185" t="n">
        <v>0</v>
      </c>
      <c r="M205" s="201" t="str">
        <f aca="false">IF(A206="","",L205)</f>
        <v/>
      </c>
      <c r="N205" s="203"/>
      <c r="O205" s="200" t="str">
        <f aca="false">IF(A206="","",L205+J205+G205)</f>
        <v/>
      </c>
      <c r="P205" s="200" t="str">
        <f aca="false">IF(A206="","",M205+K205+H205)</f>
        <v/>
      </c>
      <c r="Q205" s="204"/>
      <c r="R205" s="200" t="str">
        <f aca="false">IF($A206="","",VLOOKUP($A205,Table,MATCH(R$4,Curves,0)))</f>
        <v/>
      </c>
      <c r="S205" s="201" t="str">
        <f aca="false">IF(A206="","",R205)</f>
        <v/>
      </c>
      <c r="T205" s="185" t="n">
        <v>0</v>
      </c>
      <c r="U205" s="201" t="str">
        <f aca="false">IF(A206="","",T205)</f>
        <v/>
      </c>
      <c r="V205" s="205"/>
      <c r="W205" s="202" t="str">
        <f aca="false">IF($A206="","",(T205+R205+G205+V205))</f>
        <v/>
      </c>
      <c r="X205" s="202" t="str">
        <f aca="false">IF($A206="","",(U205+S205+H205+V205))</f>
        <v/>
      </c>
      <c r="Y205" s="202"/>
      <c r="Z205" s="185" t="str">
        <f aca="false">IF($A206="","",VLOOKUP($A205,Table,MATCH(Z$4,Curves,0)))</f>
        <v/>
      </c>
      <c r="AA205" s="185" t="str">
        <f aca="false">IF($A206="","",VLOOKUP($A205,Table,MATCH(AA$4,Curves,0)))</f>
        <v/>
      </c>
      <c r="AB205" s="185" t="e">
        <f aca="false">SQRT((AA205^2*(A205-$D$3)+Z205^2*(DAY(EOMONTH(A205,0))/2))/AK205)</f>
        <v>#VALUE!</v>
      </c>
      <c r="AC205" s="185" t="str">
        <f aca="false">IF($A206="","",VLOOKUP($A205,Table,MATCH(AC$4,Curves,0)))</f>
        <v/>
      </c>
      <c r="AD205" s="185" t="str">
        <f aca="false">IF($A206="","",VLOOKUP($A205,Table,MATCH(AD$4,Curves,0)))</f>
        <v/>
      </c>
      <c r="AE205" s="185" t="e">
        <f aca="false">SQRT((AD205^2*(A205-$D$3)+AC205^2*(DAY(EOMONTH(A205,0))/2))/AK205)</f>
        <v>#VALUE!</v>
      </c>
      <c r="AF205" s="224" t="e">
        <f aca="false">((Summary!$N$13*(AA205*AD205)*(A205-$D$3))+(Summary!$M$13*Z205*AC205*(AJ205-EOMONTH(EDATE(A205,-1),0))))/(AK205*AB205*AE205)</f>
        <v>#VALUE!</v>
      </c>
      <c r="AG205" s="207" t="str">
        <f aca="false">IF($A206="","",Summary!$Q$13)</f>
        <v/>
      </c>
      <c r="AH205" s="207" t="str">
        <f aca="false">IF($A206="","",IF(Summary!$R$12="Y",(VLOOKUP($A205,Summary!$AD$6:$AF$9,3)+'Escalating commodity'!I218),'Escalating commodity'!I218))</f>
        <v/>
      </c>
      <c r="AI205" s="207" t="str">
        <f aca="false">IF($A206="","",AH205)</f>
        <v/>
      </c>
      <c r="AJ205" s="208" t="e">
        <f aca="false">A205+DAY(EOMONTH(A205,0))/2-1</f>
        <v>#VALUE!</v>
      </c>
      <c r="AK205" s="209" t="str">
        <f aca="false">IF($A206="","",$A205-$E$1)</f>
        <v/>
      </c>
      <c r="AL205" s="182" t="str">
        <f aca="false">IF($A206="","",SPRDOPT(P205,X205,AI205,0,AB205,AE205,AF205,AK205,$AJ$2,0))</f>
        <v/>
      </c>
      <c r="AM205" s="210" t="str">
        <f aca="false">IF($A206="","",MAX(0,O205-W205-AI205))</f>
        <v/>
      </c>
      <c r="AN205" s="211" t="str">
        <f aca="false">IF($A206="","",AL205-AM205)</f>
        <v/>
      </c>
      <c r="AO205" s="137" t="str">
        <f aca="false">IF(A206="","",A206-A205)</f>
        <v/>
      </c>
      <c r="AP205" s="212" t="str">
        <f aca="false">IF(A206="","",CHOOSE(F$3,A206+24,A205))</f>
        <v/>
      </c>
      <c r="AQ205" s="209" t="str">
        <f aca="false">IF(A206="","",AP205-$E$1)</f>
        <v/>
      </c>
      <c r="AR205" s="185" t="n">
        <f aca="false">'ANR OK vs ML7'!AR205</f>
        <v>0.1</v>
      </c>
      <c r="AS205" s="213" t="str">
        <f aca="false">IF(A206="","",1/(1+CHOOSE(F$3,(AR206+($I$3/10000))/2,(AR205+($I$3/10000))/2))^(2*AQ205/365.25))</f>
        <v/>
      </c>
      <c r="AT205" s="137" t="str">
        <f aca="false">IF(A206="","",IF(AND(mthbeg&lt;=A205,mthend&gt;=A205),1,0))</f>
        <v/>
      </c>
      <c r="AU205" s="137" t="str">
        <f aca="false">IF(A206="","",AO205*AT205)</f>
        <v/>
      </c>
      <c r="AW205" s="195" t="str">
        <f aca="false">IF($A206="","",AL205*$E205)</f>
        <v/>
      </c>
      <c r="AX205" s="195" t="str">
        <f aca="false">IF($A206="","",AM205*$E205)</f>
        <v/>
      </c>
      <c r="AY205" s="195" t="str">
        <f aca="false">IF($A206="","",AN205*$E205)</f>
        <v/>
      </c>
      <c r="BA205" s="195" t="str">
        <f aca="false">IF($A206="","",F205*Summary!$Q$13)</f>
        <v/>
      </c>
    </row>
    <row r="206" customFormat="false" ht="12" hidden="false" customHeight="true" outlineLevel="0" collapsed="false">
      <c r="A206" s="196" t="str">
        <f aca="false">IF(A205&lt;mthend,EDATE(A205,1),"")</f>
        <v/>
      </c>
      <c r="B206" s="197" t="str">
        <f aca="false">IF(A206&lt;mthend,B205,"")</f>
        <v/>
      </c>
      <c r="C206" s="215"/>
      <c r="D206" s="197" t="str">
        <f aca="false">IF(A207&lt;&gt;"",B206+C206,"")</f>
        <v/>
      </c>
      <c r="E206" s="199" t="str">
        <f aca="false">IF(A207="","",IF(AND(AT206=1,$H$3=1),D206*AO206,IF($H$3=2,D206,"N/A")))</f>
        <v/>
      </c>
      <c r="F206" s="199" t="str">
        <f aca="false">IF(A207="","",E206*AS206)</f>
        <v/>
      </c>
      <c r="G206" s="200" t="str">
        <f aca="false">IF($A207="","",VLOOKUP($A206,Table,MATCH(G$4,Curves,0)))</f>
        <v/>
      </c>
      <c r="H206" s="201" t="str">
        <f aca="false">IF(A207="","",G206)</f>
        <v/>
      </c>
      <c r="I206" s="202"/>
      <c r="J206" s="200" t="str">
        <f aca="false">IF($A207="","",VLOOKUP($A206,Table,MATCH(J$4,Curves,0)))</f>
        <v/>
      </c>
      <c r="K206" s="201" t="str">
        <f aca="false">IF(A207="","",J206)</f>
        <v/>
      </c>
      <c r="L206" s="185" t="n">
        <v>0</v>
      </c>
      <c r="M206" s="201" t="str">
        <f aca="false">IF(A207="","",L206)</f>
        <v/>
      </c>
      <c r="N206" s="203"/>
      <c r="O206" s="200" t="str">
        <f aca="false">IF(A207="","",L206+J206+G206)</f>
        <v/>
      </c>
      <c r="P206" s="200" t="str">
        <f aca="false">IF(A207="","",M206+K206+H206)</f>
        <v/>
      </c>
      <c r="Q206" s="204"/>
      <c r="R206" s="200" t="str">
        <f aca="false">IF($A207="","",VLOOKUP($A206,Table,MATCH(R$4,Curves,0)))</f>
        <v/>
      </c>
      <c r="S206" s="201" t="str">
        <f aca="false">IF(A207="","",R206)</f>
        <v/>
      </c>
      <c r="T206" s="185" t="n">
        <v>0</v>
      </c>
      <c r="U206" s="201" t="str">
        <f aca="false">IF(A207="","",T206)</f>
        <v/>
      </c>
      <c r="V206" s="205"/>
      <c r="W206" s="202" t="str">
        <f aca="false">IF($A207="","",(T206+R206+G206+V206))</f>
        <v/>
      </c>
      <c r="X206" s="202" t="str">
        <f aca="false">IF($A207="","",(U206+S206+H206+V206))</f>
        <v/>
      </c>
      <c r="Y206" s="202"/>
      <c r="Z206" s="185" t="str">
        <f aca="false">IF($A207="","",VLOOKUP($A206,Table,MATCH(Z$4,Curves,0)))</f>
        <v/>
      </c>
      <c r="AA206" s="185" t="str">
        <f aca="false">IF($A207="","",VLOOKUP($A206,Table,MATCH(AA$4,Curves,0)))</f>
        <v/>
      </c>
      <c r="AB206" s="185" t="e">
        <f aca="false">SQRT((AA206^2*(A206-$D$3)+Z206^2*(DAY(EOMONTH(A206,0))/2))/AK206)</f>
        <v>#VALUE!</v>
      </c>
      <c r="AC206" s="185" t="str">
        <f aca="false">IF($A207="","",VLOOKUP($A206,Table,MATCH(AC$4,Curves,0)))</f>
        <v/>
      </c>
      <c r="AD206" s="185" t="str">
        <f aca="false">IF($A207="","",VLOOKUP($A206,Table,MATCH(AD$4,Curves,0)))</f>
        <v/>
      </c>
      <c r="AE206" s="185" t="e">
        <f aca="false">SQRT((AD206^2*(A206-$D$3)+AC206^2*(DAY(EOMONTH(A206,0))/2))/AK206)</f>
        <v>#VALUE!</v>
      </c>
      <c r="AF206" s="224" t="e">
        <f aca="false">((Summary!$N$13*(AA206*AD206)*(A206-$D$3))+(Summary!$M$13*Z206*AC206*(AJ206-EOMONTH(EDATE(A206,-1),0))))/(AK206*AB206*AE206)</f>
        <v>#VALUE!</v>
      </c>
      <c r="AG206" s="207" t="str">
        <f aca="false">IF($A207="","",Summary!$Q$13)</f>
        <v/>
      </c>
      <c r="AH206" s="207" t="str">
        <f aca="false">IF($A207="","",IF(Summary!$R$12="Y",(VLOOKUP($A206,Summary!$AD$6:$AF$9,3)+'Escalating commodity'!I219),'Escalating commodity'!I219))</f>
        <v/>
      </c>
      <c r="AI206" s="207" t="str">
        <f aca="false">IF($A207="","",AH206)</f>
        <v/>
      </c>
      <c r="AJ206" s="208" t="e">
        <f aca="false">A206+DAY(EOMONTH(A206,0))/2-1</f>
        <v>#VALUE!</v>
      </c>
      <c r="AK206" s="209" t="str">
        <f aca="false">IF($A207="","",$A206-$E$1)</f>
        <v/>
      </c>
      <c r="AL206" s="182" t="str">
        <f aca="false">IF($A207="","",SPRDOPT(P206,X206,AI206,0,AB206,AE206,AF206,AK206,$AJ$2,0))</f>
        <v/>
      </c>
      <c r="AM206" s="210" t="str">
        <f aca="false">IF($A207="","",MAX(0,O206-W206-AI206))</f>
        <v/>
      </c>
      <c r="AN206" s="211" t="str">
        <f aca="false">IF($A207="","",AL206-AM206)</f>
        <v/>
      </c>
      <c r="AO206" s="137" t="str">
        <f aca="false">IF(A207="","",A207-A206)</f>
        <v/>
      </c>
      <c r="AP206" s="212" t="str">
        <f aca="false">IF(A207="","",CHOOSE(F$3,A207+24,A206))</f>
        <v/>
      </c>
      <c r="AQ206" s="209" t="str">
        <f aca="false">IF(A207="","",AP206-$E$1)</f>
        <v/>
      </c>
      <c r="AR206" s="185" t="n">
        <f aca="false">'ANR OK vs ML7'!AR206</f>
        <v>0.1</v>
      </c>
      <c r="AS206" s="213" t="str">
        <f aca="false">IF(A207="","",1/(1+CHOOSE(F$3,(AR207+($I$3/10000))/2,(AR206+($I$3/10000))/2))^(2*AQ206/365.25))</f>
        <v/>
      </c>
      <c r="AT206" s="137" t="str">
        <f aca="false">IF(A207="","",IF(AND(mthbeg&lt;=A206,mthend&gt;=A206),1,0))</f>
        <v/>
      </c>
      <c r="AU206" s="137" t="str">
        <f aca="false">IF(A207="","",AO206*AT206)</f>
        <v/>
      </c>
      <c r="AW206" s="195" t="str">
        <f aca="false">IF($A207="","",AL206*$E206)</f>
        <v/>
      </c>
      <c r="AX206" s="195" t="str">
        <f aca="false">IF($A207="","",AM206*$E206)</f>
        <v/>
      </c>
      <c r="AY206" s="195" t="str">
        <f aca="false">IF($A207="","",AN206*$E206)</f>
        <v/>
      </c>
      <c r="BA206" s="195" t="str">
        <f aca="false">IF($A207="","",F206*Summary!$Q$13)</f>
        <v/>
      </c>
    </row>
    <row r="207" customFormat="false" ht="12" hidden="false" customHeight="true" outlineLevel="0" collapsed="false">
      <c r="A207" s="196" t="str">
        <f aca="false">IF(A206&lt;mthend,EDATE(A206,1),"")</f>
        <v/>
      </c>
      <c r="B207" s="197" t="str">
        <f aca="false">IF(A207&lt;mthend,B206,"")</f>
        <v/>
      </c>
      <c r="C207" s="215"/>
      <c r="D207" s="197" t="str">
        <f aca="false">IF(A208&lt;&gt;"",B207+C207,"")</f>
        <v/>
      </c>
      <c r="E207" s="199" t="str">
        <f aca="false">IF(A208="","",IF(AND(AT207=1,$H$3=1),D207*AO207,IF($H$3=2,D207,"N/A")))</f>
        <v/>
      </c>
      <c r="F207" s="199" t="str">
        <f aca="false">IF(A208="","",E207*AS207)</f>
        <v/>
      </c>
      <c r="G207" s="200" t="str">
        <f aca="false">IF($A208="","",VLOOKUP($A207,Table,MATCH(G$4,Curves,0)))</f>
        <v/>
      </c>
      <c r="H207" s="201" t="str">
        <f aca="false">IF(A208="","",G207)</f>
        <v/>
      </c>
      <c r="I207" s="202"/>
      <c r="J207" s="200" t="str">
        <f aca="false">IF($A208="","",VLOOKUP($A207,Table,MATCH(J$4,Curves,0)))</f>
        <v/>
      </c>
      <c r="K207" s="201" t="str">
        <f aca="false">IF(A208="","",J207)</f>
        <v/>
      </c>
      <c r="L207" s="185" t="n">
        <v>0</v>
      </c>
      <c r="M207" s="201" t="str">
        <f aca="false">IF(A208="","",L207)</f>
        <v/>
      </c>
      <c r="N207" s="203"/>
      <c r="O207" s="200" t="str">
        <f aca="false">IF(A208="","",L207+J207+G207)</f>
        <v/>
      </c>
      <c r="P207" s="200" t="str">
        <f aca="false">IF(A208="","",M207+K207+H207)</f>
        <v/>
      </c>
      <c r="Q207" s="204"/>
      <c r="R207" s="200" t="str">
        <f aca="false">IF($A208="","",VLOOKUP($A207,Table,MATCH(R$4,Curves,0)))</f>
        <v/>
      </c>
      <c r="S207" s="201" t="str">
        <f aca="false">IF(A208="","",R207)</f>
        <v/>
      </c>
      <c r="T207" s="185" t="n">
        <v>0</v>
      </c>
      <c r="U207" s="201" t="str">
        <f aca="false">IF(A208="","",T207)</f>
        <v/>
      </c>
      <c r="V207" s="205"/>
      <c r="W207" s="202" t="str">
        <f aca="false">IF($A208="","",(T207+R207+G207+V207))</f>
        <v/>
      </c>
      <c r="X207" s="202" t="str">
        <f aca="false">IF($A208="","",(U207+S207+H207+V207))</f>
        <v/>
      </c>
      <c r="Y207" s="202"/>
      <c r="Z207" s="185" t="str">
        <f aca="false">IF($A208="","",VLOOKUP($A207,Table,MATCH(Z$4,Curves,0)))</f>
        <v/>
      </c>
      <c r="AA207" s="185" t="str">
        <f aca="false">IF($A208="","",VLOOKUP($A207,Table,MATCH(AA$4,Curves,0)))</f>
        <v/>
      </c>
      <c r="AB207" s="185" t="e">
        <f aca="false">SQRT((AA207^2*(A207-$D$3)+Z207^2*(DAY(EOMONTH(A207,0))/2))/AK207)</f>
        <v>#VALUE!</v>
      </c>
      <c r="AC207" s="185" t="str">
        <f aca="false">IF($A208="","",VLOOKUP($A207,Table,MATCH(AC$4,Curves,0)))</f>
        <v/>
      </c>
      <c r="AD207" s="185" t="str">
        <f aca="false">IF($A208="","",VLOOKUP($A207,Table,MATCH(AD$4,Curves,0)))</f>
        <v/>
      </c>
      <c r="AE207" s="185" t="e">
        <f aca="false">SQRT((AD207^2*(A207-$D$3)+AC207^2*(DAY(EOMONTH(A207,0))/2))/AK207)</f>
        <v>#VALUE!</v>
      </c>
      <c r="AF207" s="224" t="e">
        <f aca="false">((Summary!$N$13*(AA207*AD207)*(A207-$D$3))+(Summary!$M$13*Z207*AC207*(AJ207-EOMONTH(EDATE(A207,-1),0))))/(AK207*AB207*AE207)</f>
        <v>#VALUE!</v>
      </c>
      <c r="AG207" s="207" t="str">
        <f aca="false">IF($A208="","",Summary!$Q$13)</f>
        <v/>
      </c>
      <c r="AH207" s="207" t="str">
        <f aca="false">IF($A208="","",IF(Summary!$R$12="Y",(VLOOKUP($A207,Summary!$AD$6:$AF$9,3)+'Escalating commodity'!I220),'Escalating commodity'!I220))</f>
        <v/>
      </c>
      <c r="AI207" s="207" t="str">
        <f aca="false">IF($A208="","",AH207)</f>
        <v/>
      </c>
      <c r="AJ207" s="208" t="e">
        <f aca="false">A207+DAY(EOMONTH(A207,0))/2-1</f>
        <v>#VALUE!</v>
      </c>
      <c r="AK207" s="209" t="str">
        <f aca="false">IF($A208="","",$A207-$E$1)</f>
        <v/>
      </c>
      <c r="AL207" s="182" t="str">
        <f aca="false">IF($A208="","",SPRDOPT(P207,X207,AI207,0,AB207,AE207,AF207,AK207,$AJ$2,0))</f>
        <v/>
      </c>
      <c r="AM207" s="210" t="str">
        <f aca="false">IF($A208="","",MAX(0,O207-W207-AI207))</f>
        <v/>
      </c>
      <c r="AN207" s="211" t="str">
        <f aca="false">IF($A208="","",AL207-AM207)</f>
        <v/>
      </c>
      <c r="AO207" s="137" t="str">
        <f aca="false">IF(A208="","",A208-A207)</f>
        <v/>
      </c>
      <c r="AP207" s="212" t="str">
        <f aca="false">IF(A208="","",CHOOSE(F$3,A208+24,A207))</f>
        <v/>
      </c>
      <c r="AQ207" s="209" t="str">
        <f aca="false">IF(A208="","",AP207-$E$1)</f>
        <v/>
      </c>
      <c r="AR207" s="185" t="n">
        <f aca="false">'ANR OK vs ML7'!AR207</f>
        <v>0.1</v>
      </c>
      <c r="AS207" s="213" t="str">
        <f aca="false">IF(A208="","",1/(1+CHOOSE(F$3,(AR208+($I$3/10000))/2,(AR207+($I$3/10000))/2))^(2*AQ207/365.25))</f>
        <v/>
      </c>
      <c r="AT207" s="137" t="str">
        <f aca="false">IF(A208="","",IF(AND(mthbeg&lt;=A207,mthend&gt;=A207),1,0))</f>
        <v/>
      </c>
      <c r="AU207" s="137" t="str">
        <f aca="false">IF(A208="","",AO207*AT207)</f>
        <v/>
      </c>
      <c r="AW207" s="195" t="str">
        <f aca="false">IF($A208="","",AL207*$E207)</f>
        <v/>
      </c>
      <c r="AX207" s="195" t="str">
        <f aca="false">IF($A208="","",AM207*$E207)</f>
        <v/>
      </c>
      <c r="AY207" s="195" t="str">
        <f aca="false">IF($A208="","",AN207*$E207)</f>
        <v/>
      </c>
      <c r="BA207" s="195" t="str">
        <f aca="false">IF($A208="","",F207*Summary!$Q$13)</f>
        <v/>
      </c>
    </row>
    <row r="208" customFormat="false" ht="12" hidden="false" customHeight="true" outlineLevel="0" collapsed="false">
      <c r="A208" s="196" t="str">
        <f aca="false">IF(A207&lt;mthend,EDATE(A207,1),"")</f>
        <v/>
      </c>
      <c r="B208" s="197" t="str">
        <f aca="false">IF(A208&lt;mthend,B207,"")</f>
        <v/>
      </c>
      <c r="C208" s="215"/>
      <c r="D208" s="197" t="str">
        <f aca="false">IF(A209&lt;&gt;"",B208+C208,"")</f>
        <v/>
      </c>
      <c r="E208" s="199" t="str">
        <f aca="false">IF(A209="","",IF(AND(AT208=1,$H$3=1),D208*AO208,IF($H$3=2,D208,"N/A")))</f>
        <v/>
      </c>
      <c r="F208" s="199" t="str">
        <f aca="false">IF(A209="","",E208*AS208)</f>
        <v/>
      </c>
      <c r="G208" s="200" t="str">
        <f aca="false">IF($A209="","",VLOOKUP($A208,Table,MATCH(G$4,Curves,0)))</f>
        <v/>
      </c>
      <c r="H208" s="201" t="str">
        <f aca="false">IF(A209="","",G208)</f>
        <v/>
      </c>
      <c r="I208" s="202"/>
      <c r="J208" s="200" t="str">
        <f aca="false">IF($A209="","",VLOOKUP($A208,Table,MATCH(J$4,Curves,0)))</f>
        <v/>
      </c>
      <c r="K208" s="201" t="str">
        <f aca="false">IF(A209="","",J208)</f>
        <v/>
      </c>
      <c r="L208" s="185" t="n">
        <v>0</v>
      </c>
      <c r="M208" s="201" t="str">
        <f aca="false">IF(A209="","",L208)</f>
        <v/>
      </c>
      <c r="N208" s="203"/>
      <c r="O208" s="200" t="str">
        <f aca="false">IF(A209="","",L208+J208+G208)</f>
        <v/>
      </c>
      <c r="P208" s="200" t="str">
        <f aca="false">IF(A209="","",M208+K208+H208)</f>
        <v/>
      </c>
      <c r="Q208" s="204"/>
      <c r="R208" s="200" t="str">
        <f aca="false">IF($A209="","",VLOOKUP($A208,Table,MATCH(R$4,Curves,0)))</f>
        <v/>
      </c>
      <c r="S208" s="201" t="str">
        <f aca="false">IF(A209="","",R208)</f>
        <v/>
      </c>
      <c r="T208" s="185" t="n">
        <v>0</v>
      </c>
      <c r="U208" s="201" t="str">
        <f aca="false">IF(A209="","",T208)</f>
        <v/>
      </c>
      <c r="V208" s="205"/>
      <c r="W208" s="202" t="str">
        <f aca="false">IF($A209="","",(T208+R208+G208+V208))</f>
        <v/>
      </c>
      <c r="X208" s="202" t="str">
        <f aca="false">IF($A209="","",(U208+S208+H208+V208))</f>
        <v/>
      </c>
      <c r="Y208" s="202"/>
      <c r="Z208" s="185" t="str">
        <f aca="false">IF($A209="","",VLOOKUP($A208,Table,MATCH(Z$4,Curves,0)))</f>
        <v/>
      </c>
      <c r="AA208" s="185" t="str">
        <f aca="false">IF($A209="","",VLOOKUP($A208,Table,MATCH(AA$4,Curves,0)))</f>
        <v/>
      </c>
      <c r="AB208" s="185" t="e">
        <f aca="false">SQRT((AA208^2*(A208-$D$3)+Z208^2*(DAY(EOMONTH(A208,0))/2))/AK208)</f>
        <v>#VALUE!</v>
      </c>
      <c r="AC208" s="185" t="str">
        <f aca="false">IF($A209="","",VLOOKUP($A208,Table,MATCH(AC$4,Curves,0)))</f>
        <v/>
      </c>
      <c r="AD208" s="185" t="str">
        <f aca="false">IF($A209="","",VLOOKUP($A208,Table,MATCH(AD$4,Curves,0)))</f>
        <v/>
      </c>
      <c r="AE208" s="185" t="e">
        <f aca="false">SQRT((AD208^2*(A208-$D$3)+AC208^2*(DAY(EOMONTH(A208,0))/2))/AK208)</f>
        <v>#VALUE!</v>
      </c>
      <c r="AF208" s="224" t="e">
        <f aca="false">((Summary!$N$13*(AA208*AD208)*(A208-$D$3))+(Summary!$M$13*Z208*AC208*(AJ208-EOMONTH(EDATE(A208,-1),0))))/(AK208*AB208*AE208)</f>
        <v>#VALUE!</v>
      </c>
      <c r="AG208" s="207" t="str">
        <f aca="false">IF($A209="","",Summary!$Q$13)</f>
        <v/>
      </c>
      <c r="AH208" s="207" t="str">
        <f aca="false">IF($A209="","",IF(Summary!$R$12="Y",(VLOOKUP($A208,Summary!$AD$6:$AF$9,3)+'Escalating commodity'!I221),'Escalating commodity'!I221))</f>
        <v/>
      </c>
      <c r="AI208" s="207" t="str">
        <f aca="false">IF($A209="","",AH208)</f>
        <v/>
      </c>
      <c r="AJ208" s="208" t="e">
        <f aca="false">A208+DAY(EOMONTH(A208,0))/2-1</f>
        <v>#VALUE!</v>
      </c>
      <c r="AK208" s="209" t="str">
        <f aca="false">IF($A209="","",$A208-$E$1)</f>
        <v/>
      </c>
      <c r="AL208" s="182" t="str">
        <f aca="false">IF($A209="","",SPRDOPT(P208,X208,AI208,0,AB208,AE208,AF208,AK208,$AJ$2,0))</f>
        <v/>
      </c>
      <c r="AM208" s="210" t="str">
        <f aca="false">IF($A209="","",MAX(0,O208-W208-AI208))</f>
        <v/>
      </c>
      <c r="AN208" s="211" t="str">
        <f aca="false">IF($A209="","",AL208-AM208)</f>
        <v/>
      </c>
      <c r="AO208" s="137" t="str">
        <f aca="false">IF(A209="","",A209-A208)</f>
        <v/>
      </c>
      <c r="AP208" s="212" t="str">
        <f aca="false">IF(A209="","",CHOOSE(F$3,A209+24,A208))</f>
        <v/>
      </c>
      <c r="AQ208" s="209" t="str">
        <f aca="false">IF(A209="","",AP208-$E$1)</f>
        <v/>
      </c>
      <c r="AR208" s="185" t="n">
        <f aca="false">'ANR OK vs ML7'!AR208</f>
        <v>0.1</v>
      </c>
      <c r="AS208" s="213" t="str">
        <f aca="false">IF(A209="","",1/(1+CHOOSE(F$3,(AR209+($I$3/10000))/2,(AR208+($I$3/10000))/2))^(2*AQ208/365.25))</f>
        <v/>
      </c>
      <c r="AT208" s="137" t="str">
        <f aca="false">IF(A209="","",IF(AND(mthbeg&lt;=A208,mthend&gt;=A208),1,0))</f>
        <v/>
      </c>
      <c r="AU208" s="137" t="str">
        <f aca="false">IF(A209="","",AO208*AT208)</f>
        <v/>
      </c>
      <c r="AW208" s="195" t="str">
        <f aca="false">IF($A209="","",AL208*$E208)</f>
        <v/>
      </c>
      <c r="AX208" s="195" t="str">
        <f aca="false">IF($A209="","",AM208*$E208)</f>
        <v/>
      </c>
      <c r="AY208" s="195" t="str">
        <f aca="false">IF($A209="","",AN208*$E208)</f>
        <v/>
      </c>
      <c r="BA208" s="195" t="str">
        <f aca="false">IF($A209="","",F208*Summary!$Q$13)</f>
        <v/>
      </c>
    </row>
    <row r="209" customFormat="false" ht="12" hidden="false" customHeight="true" outlineLevel="0" collapsed="false">
      <c r="A209" s="196" t="str">
        <f aca="false">IF(A208&lt;mthend,EDATE(A208,1),"")</f>
        <v/>
      </c>
      <c r="B209" s="197" t="str">
        <f aca="false">IF(A209&lt;mthend,B208,"")</f>
        <v/>
      </c>
      <c r="C209" s="215"/>
      <c r="D209" s="197" t="str">
        <f aca="false">IF(A210&lt;&gt;"",B209+C209,"")</f>
        <v/>
      </c>
      <c r="E209" s="199" t="str">
        <f aca="false">IF(A210="","",IF(AND(AT209=1,$H$3=1),D209*AO209,IF($H$3=2,D209,"N/A")))</f>
        <v/>
      </c>
      <c r="F209" s="199" t="str">
        <f aca="false">IF(A210="","",E209*AS209)</f>
        <v/>
      </c>
      <c r="G209" s="200" t="str">
        <f aca="false">IF($A210="","",VLOOKUP($A209,Table,MATCH(G$4,Curves,0)))</f>
        <v/>
      </c>
      <c r="H209" s="201" t="str">
        <f aca="false">IF(A210="","",G209)</f>
        <v/>
      </c>
      <c r="I209" s="202"/>
      <c r="J209" s="200" t="str">
        <f aca="false">IF($A210="","",VLOOKUP($A209,Table,MATCH(J$4,Curves,0)))</f>
        <v/>
      </c>
      <c r="K209" s="201" t="str">
        <f aca="false">IF(A210="","",J209)</f>
        <v/>
      </c>
      <c r="L209" s="185" t="n">
        <v>0</v>
      </c>
      <c r="M209" s="201" t="str">
        <f aca="false">IF(A210="","",L209)</f>
        <v/>
      </c>
      <c r="N209" s="203"/>
      <c r="O209" s="200" t="str">
        <f aca="false">IF(A210="","",L209+J209+G209)</f>
        <v/>
      </c>
      <c r="P209" s="200" t="str">
        <f aca="false">IF(A210="","",M209+K209+H209)</f>
        <v/>
      </c>
      <c r="Q209" s="204"/>
      <c r="R209" s="200" t="str">
        <f aca="false">IF($A210="","",VLOOKUP($A209,Table,MATCH(R$4,Curves,0)))</f>
        <v/>
      </c>
      <c r="S209" s="201" t="str">
        <f aca="false">IF(A210="","",R209)</f>
        <v/>
      </c>
      <c r="T209" s="185" t="n">
        <v>0</v>
      </c>
      <c r="U209" s="201" t="str">
        <f aca="false">IF(A210="","",T209)</f>
        <v/>
      </c>
      <c r="V209" s="205"/>
      <c r="W209" s="202" t="str">
        <f aca="false">IF($A210="","",(T209+R209+G209+V209))</f>
        <v/>
      </c>
      <c r="X209" s="202" t="str">
        <f aca="false">IF($A210="","",(U209+S209+H209+V209))</f>
        <v/>
      </c>
      <c r="Y209" s="202"/>
      <c r="Z209" s="185" t="str">
        <f aca="false">IF($A210="","",VLOOKUP($A209,Table,MATCH(Z$4,Curves,0)))</f>
        <v/>
      </c>
      <c r="AA209" s="185" t="str">
        <f aca="false">IF($A210="","",VLOOKUP($A209,Table,MATCH(AA$4,Curves,0)))</f>
        <v/>
      </c>
      <c r="AB209" s="185" t="e">
        <f aca="false">SQRT((AA209^2*(A209-$D$3)+Z209^2*(DAY(EOMONTH(A209,0))/2))/AK209)</f>
        <v>#VALUE!</v>
      </c>
      <c r="AC209" s="185" t="str">
        <f aca="false">IF($A210="","",VLOOKUP($A209,Table,MATCH(AC$4,Curves,0)))</f>
        <v/>
      </c>
      <c r="AD209" s="185" t="str">
        <f aca="false">IF($A210="","",VLOOKUP($A209,Table,MATCH(AD$4,Curves,0)))</f>
        <v/>
      </c>
      <c r="AE209" s="185" t="e">
        <f aca="false">SQRT((AD209^2*(A209-$D$3)+AC209^2*(DAY(EOMONTH(A209,0))/2))/AK209)</f>
        <v>#VALUE!</v>
      </c>
      <c r="AF209" s="224" t="e">
        <f aca="false">((Summary!$N$13*(AA209*AD209)*(A209-$D$3))+(Summary!$M$13*Z209*AC209*(AJ209-EOMONTH(EDATE(A209,-1),0))))/(AK209*AB209*AE209)</f>
        <v>#VALUE!</v>
      </c>
      <c r="AG209" s="207" t="str">
        <f aca="false">IF($A210="","",Summary!$Q$13)</f>
        <v/>
      </c>
      <c r="AH209" s="207" t="str">
        <f aca="false">IF($A210="","",IF(Summary!$R$12="Y",(VLOOKUP($A209,Summary!$AD$6:$AF$9,3)+'Escalating commodity'!I222),'Escalating commodity'!I222))</f>
        <v/>
      </c>
      <c r="AI209" s="207" t="str">
        <f aca="false">IF($A210="","",AH209)</f>
        <v/>
      </c>
      <c r="AJ209" s="208" t="e">
        <f aca="false">A209+DAY(EOMONTH(A209,0))/2-1</f>
        <v>#VALUE!</v>
      </c>
      <c r="AK209" s="209" t="str">
        <f aca="false">IF($A210="","",$A209-$E$1)</f>
        <v/>
      </c>
      <c r="AL209" s="182" t="str">
        <f aca="false">IF($A210="","",SPRDOPT(P209,X209,AI209,0,AB209,AE209,AF209,AK209,$AJ$2,0))</f>
        <v/>
      </c>
      <c r="AM209" s="210" t="str">
        <f aca="false">IF($A210="","",MAX(0,O209-W209-AI209))</f>
        <v/>
      </c>
      <c r="AN209" s="211" t="str">
        <f aca="false">IF($A210="","",AL209-AM209)</f>
        <v/>
      </c>
      <c r="AO209" s="137" t="str">
        <f aca="false">IF(A210="","",A210-A209)</f>
        <v/>
      </c>
      <c r="AP209" s="212" t="str">
        <f aca="false">IF(A210="","",CHOOSE(F$3,A210+24,A209))</f>
        <v/>
      </c>
      <c r="AQ209" s="209" t="str">
        <f aca="false">IF(A210="","",AP209-$E$1)</f>
        <v/>
      </c>
      <c r="AR209" s="185" t="n">
        <f aca="false">'ANR OK vs ML7'!AR209</f>
        <v>0.1</v>
      </c>
      <c r="AS209" s="213" t="str">
        <f aca="false">IF(A210="","",1/(1+CHOOSE(F$3,(AR210+($I$3/10000))/2,(AR209+($I$3/10000))/2))^(2*AQ209/365.25))</f>
        <v/>
      </c>
      <c r="AT209" s="137" t="str">
        <f aca="false">IF(A210="","",IF(AND(mthbeg&lt;=A209,mthend&gt;=A209),1,0))</f>
        <v/>
      </c>
      <c r="AU209" s="137" t="str">
        <f aca="false">IF(A210="","",AO209*AT209)</f>
        <v/>
      </c>
      <c r="AW209" s="195" t="str">
        <f aca="false">IF($A210="","",AL209*$E209)</f>
        <v/>
      </c>
      <c r="AX209" s="195" t="str">
        <f aca="false">IF($A210="","",AM209*$E209)</f>
        <v/>
      </c>
      <c r="AY209" s="195" t="str">
        <f aca="false">IF($A210="","",AN209*$E209)</f>
        <v/>
      </c>
      <c r="BA209" s="195" t="str">
        <f aca="false">IF($A210="","",F209*Summary!$Q$13)</f>
        <v/>
      </c>
    </row>
    <row r="210" customFormat="false" ht="12" hidden="false" customHeight="true" outlineLevel="0" collapsed="false">
      <c r="A210" s="196" t="str">
        <f aca="false">IF(A209&lt;mthend,EDATE(A209,1),"")</f>
        <v/>
      </c>
      <c r="B210" s="197" t="str">
        <f aca="false">IF(A210&lt;mthend,B209,"")</f>
        <v/>
      </c>
      <c r="C210" s="215"/>
      <c r="D210" s="197" t="str">
        <f aca="false">IF(A211&lt;&gt;"",B210+C210,"")</f>
        <v/>
      </c>
      <c r="E210" s="199" t="str">
        <f aca="false">IF(A211="","",IF(AND(AT210=1,$H$3=1),D210*AO210,IF($H$3=2,D210,"N/A")))</f>
        <v/>
      </c>
      <c r="F210" s="199" t="str">
        <f aca="false">IF(A211="","",E210*AS210)</f>
        <v/>
      </c>
      <c r="G210" s="200" t="str">
        <f aca="false">IF($A211="","",VLOOKUP($A210,Table,MATCH(G$4,Curves,0)))</f>
        <v/>
      </c>
      <c r="H210" s="201" t="str">
        <f aca="false">IF(A211="","",G210)</f>
        <v/>
      </c>
      <c r="I210" s="202"/>
      <c r="J210" s="200" t="str">
        <f aca="false">IF($A211="","",VLOOKUP($A210,Table,MATCH(J$4,Curves,0)))</f>
        <v/>
      </c>
      <c r="K210" s="201" t="str">
        <f aca="false">IF(A211="","",J210)</f>
        <v/>
      </c>
      <c r="L210" s="185" t="n">
        <v>0</v>
      </c>
      <c r="M210" s="201" t="str">
        <f aca="false">IF(A211="","",L210)</f>
        <v/>
      </c>
      <c r="N210" s="203"/>
      <c r="O210" s="200" t="str">
        <f aca="false">IF(A211="","",L210+J210+G210)</f>
        <v/>
      </c>
      <c r="P210" s="200" t="str">
        <f aca="false">IF(A211="","",M210+K210+H210)</f>
        <v/>
      </c>
      <c r="Q210" s="204"/>
      <c r="R210" s="200" t="str">
        <f aca="false">IF($A211="","",VLOOKUP($A210,Table,MATCH(R$4,Curves,0)))</f>
        <v/>
      </c>
      <c r="S210" s="201" t="str">
        <f aca="false">IF(A211="","",R210)</f>
        <v/>
      </c>
      <c r="T210" s="185" t="n">
        <v>0</v>
      </c>
      <c r="U210" s="201" t="str">
        <f aca="false">IF(A211="","",T210)</f>
        <v/>
      </c>
      <c r="V210" s="205"/>
      <c r="W210" s="202" t="str">
        <f aca="false">IF($A211="","",(T210+R210+G210+V210))</f>
        <v/>
      </c>
      <c r="X210" s="202" t="str">
        <f aca="false">IF($A211="","",(U210+S210+H210+V210))</f>
        <v/>
      </c>
      <c r="Y210" s="202"/>
      <c r="Z210" s="185" t="str">
        <f aca="false">IF($A211="","",VLOOKUP($A210,Table,MATCH(Z$4,Curves,0)))</f>
        <v/>
      </c>
      <c r="AA210" s="185" t="str">
        <f aca="false">IF($A211="","",VLOOKUP($A210,Table,MATCH(AA$4,Curves,0)))</f>
        <v/>
      </c>
      <c r="AB210" s="185" t="e">
        <f aca="false">SQRT((AA210^2*(A210-$D$3)+Z210^2*(DAY(EOMONTH(A210,0))/2))/AK210)</f>
        <v>#VALUE!</v>
      </c>
      <c r="AC210" s="185" t="str">
        <f aca="false">IF($A211="","",VLOOKUP($A210,Table,MATCH(AC$4,Curves,0)))</f>
        <v/>
      </c>
      <c r="AD210" s="185" t="str">
        <f aca="false">IF($A211="","",VLOOKUP($A210,Table,MATCH(AD$4,Curves,0)))</f>
        <v/>
      </c>
      <c r="AE210" s="185" t="e">
        <f aca="false">SQRT((AD210^2*(A210-$D$3)+AC210^2*(DAY(EOMONTH(A210,0))/2))/AK210)</f>
        <v>#VALUE!</v>
      </c>
      <c r="AF210" s="224" t="e">
        <f aca="false">((Summary!$N$13*(AA210*AD210)*(A210-$D$3))+(Summary!$M$13*Z210*AC210*(AJ210-EOMONTH(EDATE(A210,-1),0))))/(AK210*AB210*AE210)</f>
        <v>#VALUE!</v>
      </c>
      <c r="AG210" s="207" t="str">
        <f aca="false">IF($A211="","",Summary!$Q$13)</f>
        <v/>
      </c>
      <c r="AH210" s="207" t="str">
        <f aca="false">IF($A211="","",IF(Summary!$R$12="Y",(VLOOKUP($A210,Summary!$AD$6:$AF$9,3)+'Escalating commodity'!I223),'Escalating commodity'!I223))</f>
        <v/>
      </c>
      <c r="AI210" s="207" t="str">
        <f aca="false">IF($A211="","",AH210)</f>
        <v/>
      </c>
      <c r="AJ210" s="208" t="e">
        <f aca="false">A210+DAY(EOMONTH(A210,0))/2-1</f>
        <v>#VALUE!</v>
      </c>
      <c r="AK210" s="209" t="str">
        <f aca="false">IF($A211="","",$A210-$E$1)</f>
        <v/>
      </c>
      <c r="AL210" s="182" t="str">
        <f aca="false">IF($A211="","",SPRDOPT(P210,X210,AI210,0,AB210,AE210,AF210,AK210,$AJ$2,0))</f>
        <v/>
      </c>
      <c r="AM210" s="210" t="str">
        <f aca="false">IF($A211="","",MAX(0,O210-W210-AI210))</f>
        <v/>
      </c>
      <c r="AN210" s="211" t="str">
        <f aca="false">IF($A211="","",AL210-AM210)</f>
        <v/>
      </c>
      <c r="AO210" s="137" t="str">
        <f aca="false">IF(A211="","",A211-A210)</f>
        <v/>
      </c>
      <c r="AP210" s="212" t="str">
        <f aca="false">IF(A211="","",CHOOSE(F$3,A211+24,A210))</f>
        <v/>
      </c>
      <c r="AQ210" s="209" t="str">
        <f aca="false">IF(A211="","",AP210-$E$1)</f>
        <v/>
      </c>
      <c r="AR210" s="185" t="n">
        <f aca="false">'ANR OK vs ML7'!AR210</f>
        <v>0.1</v>
      </c>
      <c r="AS210" s="213" t="str">
        <f aca="false">IF(A211="","",1/(1+CHOOSE(F$3,(AR211+($I$3/10000))/2,(AR210+($I$3/10000))/2))^(2*AQ210/365.25))</f>
        <v/>
      </c>
      <c r="AT210" s="137" t="str">
        <f aca="false">IF(A211="","",IF(AND(mthbeg&lt;=A210,mthend&gt;=A210),1,0))</f>
        <v/>
      </c>
      <c r="AU210" s="137" t="str">
        <f aca="false">IF(A211="","",AO210*AT210)</f>
        <v/>
      </c>
      <c r="AW210" s="195" t="str">
        <f aca="false">IF($A211="","",AL210*$E210)</f>
        <v/>
      </c>
      <c r="AX210" s="195" t="str">
        <f aca="false">IF($A211="","",AM210*$E210)</f>
        <v/>
      </c>
      <c r="AY210" s="195" t="str">
        <f aca="false">IF($A211="","",AN210*$E210)</f>
        <v/>
      </c>
      <c r="BA210" s="195" t="str">
        <f aca="false">IF($A211="","",F210*Summary!$Q$13)</f>
        <v/>
      </c>
    </row>
    <row r="211" customFormat="false" ht="12" hidden="false" customHeight="true" outlineLevel="0" collapsed="false">
      <c r="A211" s="196" t="str">
        <f aca="false">IF(A210&lt;mthend,EDATE(A210,1),"")</f>
        <v/>
      </c>
      <c r="B211" s="197" t="str">
        <f aca="false">IF(A211&lt;mthend,B210,"")</f>
        <v/>
      </c>
      <c r="C211" s="215"/>
      <c r="D211" s="197" t="str">
        <f aca="false">IF(A212&lt;&gt;"",B211+C211,"")</f>
        <v/>
      </c>
      <c r="E211" s="199" t="str">
        <f aca="false">IF(A212="","",IF(AND(AT211=1,$H$3=1),D211*AO211,IF($H$3=2,D211,"N/A")))</f>
        <v/>
      </c>
      <c r="F211" s="199" t="str">
        <f aca="false">IF(A212="","",E211*AS211)</f>
        <v/>
      </c>
      <c r="G211" s="200" t="str">
        <f aca="false">IF($A212="","",VLOOKUP($A211,Table,MATCH(G$4,Curves,0)))</f>
        <v/>
      </c>
      <c r="H211" s="201" t="str">
        <f aca="false">IF(A212="","",G211)</f>
        <v/>
      </c>
      <c r="I211" s="202"/>
      <c r="J211" s="200" t="str">
        <f aca="false">IF($A212="","",VLOOKUP($A211,Table,MATCH(J$4,Curves,0)))</f>
        <v/>
      </c>
      <c r="K211" s="201" t="str">
        <f aca="false">IF(A212="","",J211)</f>
        <v/>
      </c>
      <c r="L211" s="185" t="n">
        <v>0</v>
      </c>
      <c r="M211" s="201" t="str">
        <f aca="false">IF(A212="","",L211)</f>
        <v/>
      </c>
      <c r="N211" s="203"/>
      <c r="O211" s="200" t="str">
        <f aca="false">IF(A212="","",L211+J211+G211)</f>
        <v/>
      </c>
      <c r="P211" s="200" t="str">
        <f aca="false">IF(A212="","",M211+K211+H211)</f>
        <v/>
      </c>
      <c r="Q211" s="204"/>
      <c r="R211" s="200" t="str">
        <f aca="false">IF($A212="","",VLOOKUP($A211,Table,MATCH(R$4,Curves,0)))</f>
        <v/>
      </c>
      <c r="S211" s="201" t="str">
        <f aca="false">IF(A212="","",R211)</f>
        <v/>
      </c>
      <c r="T211" s="185" t="n">
        <v>0</v>
      </c>
      <c r="U211" s="201" t="str">
        <f aca="false">IF(A212="","",T211)</f>
        <v/>
      </c>
      <c r="V211" s="205"/>
      <c r="W211" s="202" t="str">
        <f aca="false">IF($A212="","",(T211+R211+G211+V211))</f>
        <v/>
      </c>
      <c r="X211" s="202" t="str">
        <f aca="false">IF($A212="","",(U211+S211+H211+V211))</f>
        <v/>
      </c>
      <c r="Y211" s="202"/>
      <c r="Z211" s="185" t="str">
        <f aca="false">IF($A212="","",VLOOKUP($A211,Table,MATCH(Z$4,Curves,0)))</f>
        <v/>
      </c>
      <c r="AA211" s="185" t="str">
        <f aca="false">IF($A212="","",VLOOKUP($A211,Table,MATCH(AA$4,Curves,0)))</f>
        <v/>
      </c>
      <c r="AB211" s="185" t="e">
        <f aca="false">SQRT((AA211^2*(A211-$D$3)+Z211^2*(DAY(EOMONTH(A211,0))/2))/AK211)</f>
        <v>#VALUE!</v>
      </c>
      <c r="AC211" s="185" t="str">
        <f aca="false">IF($A212="","",VLOOKUP($A211,Table,MATCH(AC$4,Curves,0)))</f>
        <v/>
      </c>
      <c r="AD211" s="185" t="str">
        <f aca="false">IF($A212="","",VLOOKUP($A211,Table,MATCH(AD$4,Curves,0)))</f>
        <v/>
      </c>
      <c r="AE211" s="185" t="e">
        <f aca="false">SQRT((AD211^2*(A211-$D$3)+AC211^2*(DAY(EOMONTH(A211,0))/2))/AK211)</f>
        <v>#VALUE!</v>
      </c>
      <c r="AF211" s="224" t="e">
        <f aca="false">((Summary!$N$13*(AA211*AD211)*(A211-$D$3))+(Summary!$M$13*Z211*AC211*(AJ211-EOMONTH(EDATE(A211,-1),0))))/(AK211*AB211*AE211)</f>
        <v>#VALUE!</v>
      </c>
      <c r="AG211" s="207" t="str">
        <f aca="false">IF($A212="","",Summary!$Q$13)</f>
        <v/>
      </c>
      <c r="AH211" s="207" t="str">
        <f aca="false">IF($A212="","",IF(Summary!$R$12="Y",(VLOOKUP($A211,Summary!$AD$6:$AF$9,3)+'Escalating commodity'!I224),'Escalating commodity'!I224))</f>
        <v/>
      </c>
      <c r="AI211" s="207" t="str">
        <f aca="false">IF($A212="","",AH211)</f>
        <v/>
      </c>
      <c r="AJ211" s="208" t="e">
        <f aca="false">A211+DAY(EOMONTH(A211,0))/2-1</f>
        <v>#VALUE!</v>
      </c>
      <c r="AK211" s="209" t="str">
        <f aca="false">IF($A212="","",$A211-$E$1)</f>
        <v/>
      </c>
      <c r="AL211" s="182" t="str">
        <f aca="false">IF($A212="","",SPRDOPT(P211,X211,AI211,0,AB211,AE211,AF211,AK211,$AJ$2,0))</f>
        <v/>
      </c>
      <c r="AM211" s="210" t="str">
        <f aca="false">IF($A212="","",MAX(0,O211-W211-AI211))</f>
        <v/>
      </c>
      <c r="AN211" s="211" t="str">
        <f aca="false">IF($A212="","",AL211-AM211)</f>
        <v/>
      </c>
      <c r="AO211" s="137" t="str">
        <f aca="false">IF(A212="","",A212-A211)</f>
        <v/>
      </c>
      <c r="AP211" s="212" t="str">
        <f aca="false">IF(A212="","",CHOOSE(F$3,A212+24,A211))</f>
        <v/>
      </c>
      <c r="AQ211" s="209" t="str">
        <f aca="false">IF(A212="","",AP211-$E$1)</f>
        <v/>
      </c>
      <c r="AR211" s="185" t="n">
        <f aca="false">'ANR OK vs ML7'!AR211</f>
        <v>0.1</v>
      </c>
      <c r="AS211" s="213" t="str">
        <f aca="false">IF(A212="","",1/(1+CHOOSE(F$3,(AR212+($I$3/10000))/2,(AR211+($I$3/10000))/2))^(2*AQ211/365.25))</f>
        <v/>
      </c>
      <c r="AT211" s="137" t="str">
        <f aca="false">IF(A212="","",IF(AND(mthbeg&lt;=A211,mthend&gt;=A211),1,0))</f>
        <v/>
      </c>
      <c r="AU211" s="137" t="str">
        <f aca="false">IF(A212="","",AO211*AT211)</f>
        <v/>
      </c>
      <c r="AW211" s="195" t="str">
        <f aca="false">IF($A212="","",AL211*$E211)</f>
        <v/>
      </c>
      <c r="AX211" s="195" t="str">
        <f aca="false">IF($A212="","",AM211*$E211)</f>
        <v/>
      </c>
      <c r="AY211" s="195" t="str">
        <f aca="false">IF($A212="","",AN211*$E211)</f>
        <v/>
      </c>
      <c r="BA211" s="195" t="str">
        <f aca="false">IF($A212="","",F211*Summary!$Q$13)</f>
        <v/>
      </c>
    </row>
    <row r="212" customFormat="false" ht="12" hidden="false" customHeight="true" outlineLevel="0" collapsed="false">
      <c r="A212" s="196" t="str">
        <f aca="false">IF(A211&lt;mthend,EDATE(A211,1),"")</f>
        <v/>
      </c>
      <c r="B212" s="197" t="str">
        <f aca="false">IF(A212&lt;mthend,B211,"")</f>
        <v/>
      </c>
      <c r="C212" s="215"/>
      <c r="D212" s="197" t="str">
        <f aca="false">IF(A213&lt;&gt;"",B212+C212,"")</f>
        <v/>
      </c>
      <c r="E212" s="199" t="str">
        <f aca="false">IF(A213="","",IF(AND(AT212=1,$H$3=1),D212*AO212,IF($H$3=2,D212,"N/A")))</f>
        <v/>
      </c>
      <c r="F212" s="199" t="str">
        <f aca="false">IF(A213="","",E212*AS212)</f>
        <v/>
      </c>
      <c r="G212" s="200" t="str">
        <f aca="false">IF($A213="","",VLOOKUP($A212,Table,MATCH(G$4,Curves,0)))</f>
        <v/>
      </c>
      <c r="H212" s="201" t="str">
        <f aca="false">IF(A213="","",G212)</f>
        <v/>
      </c>
      <c r="I212" s="202"/>
      <c r="J212" s="200" t="str">
        <f aca="false">IF($A213="","",VLOOKUP($A212,Table,MATCH(J$4,Curves,0)))</f>
        <v/>
      </c>
      <c r="K212" s="201" t="str">
        <f aca="false">IF(A213="","",J212)</f>
        <v/>
      </c>
      <c r="L212" s="185" t="n">
        <v>0</v>
      </c>
      <c r="M212" s="201" t="str">
        <f aca="false">IF(A213="","",L212)</f>
        <v/>
      </c>
      <c r="N212" s="203"/>
      <c r="O212" s="200" t="str">
        <f aca="false">IF(A213="","",L212+J212+G212)</f>
        <v/>
      </c>
      <c r="P212" s="200" t="str">
        <f aca="false">IF(A213="","",M212+K212+H212)</f>
        <v/>
      </c>
      <c r="Q212" s="204"/>
      <c r="R212" s="200" t="str">
        <f aca="false">IF($A213="","",VLOOKUP($A212,Table,MATCH(R$4,Curves,0)))</f>
        <v/>
      </c>
      <c r="S212" s="201" t="str">
        <f aca="false">IF(A213="","",R212)</f>
        <v/>
      </c>
      <c r="T212" s="185" t="n">
        <v>0</v>
      </c>
      <c r="U212" s="201" t="str">
        <f aca="false">IF(A213="","",T212)</f>
        <v/>
      </c>
      <c r="V212" s="205"/>
      <c r="W212" s="202" t="str">
        <f aca="false">IF($A213="","",(T212+R212+G212+V212))</f>
        <v/>
      </c>
      <c r="X212" s="202" t="str">
        <f aca="false">IF($A213="","",(U212+S212+H212+V212))</f>
        <v/>
      </c>
      <c r="Y212" s="202"/>
      <c r="Z212" s="185" t="str">
        <f aca="false">IF($A213="","",VLOOKUP($A212,Table,MATCH(Z$4,Curves,0)))</f>
        <v/>
      </c>
      <c r="AA212" s="185" t="str">
        <f aca="false">IF($A213="","",VLOOKUP($A212,Table,MATCH(AA$4,Curves,0)))</f>
        <v/>
      </c>
      <c r="AB212" s="185" t="e">
        <f aca="false">SQRT((AA212^2*(A212-$D$3)+Z212^2*(DAY(EOMONTH(A212,0))/2))/AK212)</f>
        <v>#VALUE!</v>
      </c>
      <c r="AC212" s="185" t="str">
        <f aca="false">IF($A213="","",VLOOKUP($A212,Table,MATCH(AC$4,Curves,0)))</f>
        <v/>
      </c>
      <c r="AD212" s="185" t="str">
        <f aca="false">IF($A213="","",VLOOKUP($A212,Table,MATCH(AD$4,Curves,0)))</f>
        <v/>
      </c>
      <c r="AE212" s="185" t="e">
        <f aca="false">SQRT((AD212^2*(A212-$D$3)+AC212^2*(DAY(EOMONTH(A212,0))/2))/AK212)</f>
        <v>#VALUE!</v>
      </c>
      <c r="AF212" s="224" t="e">
        <f aca="false">((Summary!$N$13*(AA212*AD212)*(A212-$D$3))+(Summary!$M$13*Z212*AC212*(AJ212-EOMONTH(EDATE(A212,-1),0))))/(AK212*AB212*AE212)</f>
        <v>#VALUE!</v>
      </c>
      <c r="AG212" s="207" t="str">
        <f aca="false">IF($A213="","",Summary!$Q$13)</f>
        <v/>
      </c>
      <c r="AH212" s="207" t="str">
        <f aca="false">IF($A213="","",IF(Summary!$R$12="Y",(VLOOKUP($A212,Summary!$AD$6:$AF$9,3)+'Escalating commodity'!I225),'Escalating commodity'!I225))</f>
        <v/>
      </c>
      <c r="AI212" s="207" t="str">
        <f aca="false">IF($A213="","",AH212)</f>
        <v/>
      </c>
      <c r="AJ212" s="208" t="e">
        <f aca="false">A212+DAY(EOMONTH(A212,0))/2-1</f>
        <v>#VALUE!</v>
      </c>
      <c r="AK212" s="209" t="str">
        <f aca="false">IF($A213="","",$A212-$E$1)</f>
        <v/>
      </c>
      <c r="AL212" s="182" t="str">
        <f aca="false">IF($A213="","",SPRDOPT(P212,X212,AI212,0,AB212,AE212,AF212,AK212,$AJ$2,0))</f>
        <v/>
      </c>
      <c r="AM212" s="210" t="str">
        <f aca="false">IF($A213="","",MAX(0,O212-W212-AI212))</f>
        <v/>
      </c>
      <c r="AN212" s="211" t="str">
        <f aca="false">IF($A213="","",AL212-AM212)</f>
        <v/>
      </c>
      <c r="AO212" s="137" t="str">
        <f aca="false">IF(A213="","",A213-A212)</f>
        <v/>
      </c>
      <c r="AP212" s="212" t="str">
        <f aca="false">IF(A213="","",CHOOSE(F$3,A213+24,A212))</f>
        <v/>
      </c>
      <c r="AQ212" s="209" t="str">
        <f aca="false">IF(A213="","",AP212-$E$1)</f>
        <v/>
      </c>
      <c r="AR212" s="185" t="n">
        <f aca="false">'ANR OK vs ML7'!AR212</f>
        <v>0.1</v>
      </c>
      <c r="AS212" s="213" t="str">
        <f aca="false">IF(A213="","",1/(1+CHOOSE(F$3,(AR213+($I$3/10000))/2,(AR212+($I$3/10000))/2))^(2*AQ212/365.25))</f>
        <v/>
      </c>
      <c r="AT212" s="137" t="str">
        <f aca="false">IF(A213="","",IF(AND(mthbeg&lt;=A212,mthend&gt;=A212),1,0))</f>
        <v/>
      </c>
      <c r="AU212" s="137" t="str">
        <f aca="false">IF(A213="","",AO212*AT212)</f>
        <v/>
      </c>
      <c r="AW212" s="195" t="str">
        <f aca="false">IF($A213="","",AL212*$E212)</f>
        <v/>
      </c>
      <c r="AX212" s="195" t="str">
        <f aca="false">IF($A213="","",AM212*$E212)</f>
        <v/>
      </c>
      <c r="AY212" s="195" t="str">
        <f aca="false">IF($A213="","",AN212*$E212)</f>
        <v/>
      </c>
      <c r="BA212" s="195" t="str">
        <f aca="false">IF($A213="","",F212*Summary!$Q$13)</f>
        <v/>
      </c>
    </row>
    <row r="213" customFormat="false" ht="12" hidden="false" customHeight="true" outlineLevel="0" collapsed="false">
      <c r="A213" s="196" t="str">
        <f aca="false">IF(A212&lt;mthend,EDATE(A212,1),"")</f>
        <v/>
      </c>
      <c r="B213" s="197" t="str">
        <f aca="false">IF(A213&lt;mthend,B212,"")</f>
        <v/>
      </c>
      <c r="C213" s="215"/>
      <c r="D213" s="197" t="str">
        <f aca="false">IF(A214&lt;&gt;"",B213+C213,"")</f>
        <v/>
      </c>
      <c r="E213" s="199" t="str">
        <f aca="false">IF(A214="","",IF(AND(AT213=1,$H$3=1),D213*AO213,IF($H$3=2,D213,"N/A")))</f>
        <v/>
      </c>
      <c r="F213" s="199" t="str">
        <f aca="false">IF(A214="","",E213*AS213)</f>
        <v/>
      </c>
      <c r="G213" s="200" t="str">
        <f aca="false">IF($A214="","",VLOOKUP($A213,Table,MATCH(G$4,Curves,0)))</f>
        <v/>
      </c>
      <c r="H213" s="201" t="str">
        <f aca="false">IF(A214="","",G213)</f>
        <v/>
      </c>
      <c r="I213" s="202"/>
      <c r="J213" s="200" t="str">
        <f aca="false">IF($A214="","",VLOOKUP($A213,Table,MATCH(J$4,Curves,0)))</f>
        <v/>
      </c>
      <c r="K213" s="201" t="str">
        <f aca="false">IF(A214="","",J213)</f>
        <v/>
      </c>
      <c r="L213" s="185" t="n">
        <v>0</v>
      </c>
      <c r="M213" s="201" t="str">
        <f aca="false">IF(A214="","",L213)</f>
        <v/>
      </c>
      <c r="N213" s="203"/>
      <c r="O213" s="200" t="str">
        <f aca="false">IF(A214="","",L213+J213+G213)</f>
        <v/>
      </c>
      <c r="P213" s="200" t="str">
        <f aca="false">IF(A214="","",M213+K213+H213)</f>
        <v/>
      </c>
      <c r="Q213" s="204"/>
      <c r="R213" s="200" t="str">
        <f aca="false">IF($A214="","",VLOOKUP($A213,Table,MATCH(R$4,Curves,0)))</f>
        <v/>
      </c>
      <c r="S213" s="201" t="str">
        <f aca="false">IF(A214="","",R213)</f>
        <v/>
      </c>
      <c r="T213" s="185" t="n">
        <v>0</v>
      </c>
      <c r="U213" s="201" t="str">
        <f aca="false">IF(A214="","",T213)</f>
        <v/>
      </c>
      <c r="V213" s="205"/>
      <c r="W213" s="202" t="str">
        <f aca="false">IF($A214="","",(T213+R213+G213+V213))</f>
        <v/>
      </c>
      <c r="X213" s="202" t="str">
        <f aca="false">IF($A214="","",(U213+S213+H213+V213))</f>
        <v/>
      </c>
      <c r="Y213" s="202"/>
      <c r="Z213" s="185" t="str">
        <f aca="false">IF($A214="","",VLOOKUP($A213,Table,MATCH(Z$4,Curves,0)))</f>
        <v/>
      </c>
      <c r="AA213" s="185" t="str">
        <f aca="false">IF($A214="","",VLOOKUP($A213,Table,MATCH(AA$4,Curves,0)))</f>
        <v/>
      </c>
      <c r="AB213" s="185" t="e">
        <f aca="false">SQRT((AA213^2*(A213-$D$3)+Z213^2*(DAY(EOMONTH(A213,0))/2))/AK213)</f>
        <v>#VALUE!</v>
      </c>
      <c r="AC213" s="185" t="str">
        <f aca="false">IF($A214="","",VLOOKUP($A213,Table,MATCH(AC$4,Curves,0)))</f>
        <v/>
      </c>
      <c r="AD213" s="185" t="str">
        <f aca="false">IF($A214="","",VLOOKUP($A213,Table,MATCH(AD$4,Curves,0)))</f>
        <v/>
      </c>
      <c r="AE213" s="185" t="e">
        <f aca="false">SQRT((AD213^2*(A213-$D$3)+AC213^2*(DAY(EOMONTH(A213,0))/2))/AK213)</f>
        <v>#VALUE!</v>
      </c>
      <c r="AF213" s="224" t="e">
        <f aca="false">((Summary!$N$13*(AA213*AD213)*(A213-$D$3))+(Summary!$M$13*Z213*AC213*(AJ213-EOMONTH(EDATE(A213,-1),0))))/(AK213*AB213*AE213)</f>
        <v>#VALUE!</v>
      </c>
      <c r="AG213" s="207" t="str">
        <f aca="false">IF($A214="","",Summary!$Q$13)</f>
        <v/>
      </c>
      <c r="AH213" s="207" t="str">
        <f aca="false">IF($A214="","",IF(Summary!$R$12="Y",(VLOOKUP($A213,Summary!$AD$6:$AF$9,3)+'Escalating commodity'!I226),'Escalating commodity'!I226))</f>
        <v/>
      </c>
      <c r="AI213" s="207" t="str">
        <f aca="false">IF($A214="","",AH213)</f>
        <v/>
      </c>
      <c r="AJ213" s="208" t="e">
        <f aca="false">A213+DAY(EOMONTH(A213,0))/2-1</f>
        <v>#VALUE!</v>
      </c>
      <c r="AK213" s="209" t="str">
        <f aca="false">IF($A214="","",$A213-$E$1)</f>
        <v/>
      </c>
      <c r="AL213" s="182" t="str">
        <f aca="false">IF($A214="","",SPRDOPT(P213,X213,AI213,0,AB213,AE213,AF213,AK213,$AJ$2,0))</f>
        <v/>
      </c>
      <c r="AM213" s="210" t="str">
        <f aca="false">IF($A214="","",MAX(0,O213-W213-AI213))</f>
        <v/>
      </c>
      <c r="AN213" s="211" t="str">
        <f aca="false">IF($A214="","",AL213-AM213)</f>
        <v/>
      </c>
      <c r="AO213" s="137" t="str">
        <f aca="false">IF(A214="","",A214-A213)</f>
        <v/>
      </c>
      <c r="AP213" s="212" t="str">
        <f aca="false">IF(A214="","",CHOOSE(F$3,A214+24,A213))</f>
        <v/>
      </c>
      <c r="AQ213" s="209" t="str">
        <f aca="false">IF(A214="","",AP213-$E$1)</f>
        <v/>
      </c>
      <c r="AR213" s="185" t="n">
        <f aca="false">'ANR OK vs ML7'!AR213</f>
        <v>0.1</v>
      </c>
      <c r="AS213" s="213" t="str">
        <f aca="false">IF(A214="","",1/(1+CHOOSE(F$3,(AR214+($I$3/10000))/2,(AR213+($I$3/10000))/2))^(2*AQ213/365.25))</f>
        <v/>
      </c>
      <c r="AT213" s="137" t="str">
        <f aca="false">IF(A214="","",IF(AND(mthbeg&lt;=A213,mthend&gt;=A213),1,0))</f>
        <v/>
      </c>
      <c r="AU213" s="137" t="str">
        <f aca="false">IF(A214="","",AO213*AT213)</f>
        <v/>
      </c>
      <c r="AW213" s="195" t="str">
        <f aca="false">IF($A214="","",AL213*$E213)</f>
        <v/>
      </c>
      <c r="AX213" s="195" t="str">
        <f aca="false">IF($A214="","",AM213*$E213)</f>
        <v/>
      </c>
      <c r="AY213" s="195" t="str">
        <f aca="false">IF($A214="","",AN213*$E213)</f>
        <v/>
      </c>
      <c r="BA213" s="195" t="str">
        <f aca="false">IF($A214="","",F213*Summary!$Q$13)</f>
        <v/>
      </c>
    </row>
    <row r="214" customFormat="false" ht="12" hidden="false" customHeight="true" outlineLevel="0" collapsed="false">
      <c r="A214" s="196" t="str">
        <f aca="false">IF(A213&lt;mthend,EDATE(A213,1),"")</f>
        <v/>
      </c>
      <c r="B214" s="197" t="str">
        <f aca="false">IF(A214&lt;mthend,B213,"")</f>
        <v/>
      </c>
      <c r="C214" s="215"/>
      <c r="D214" s="197" t="str">
        <f aca="false">IF(A215&lt;&gt;"",B214+C214,"")</f>
        <v/>
      </c>
      <c r="E214" s="199" t="str">
        <f aca="false">IF(A215="","",IF(AND(AT214=1,$H$3=1),D214*AO214,IF($H$3=2,D214,"N/A")))</f>
        <v/>
      </c>
      <c r="F214" s="199" t="str">
        <f aca="false">IF(A215="","",E214*AS214)</f>
        <v/>
      </c>
      <c r="G214" s="200" t="str">
        <f aca="false">IF($A215="","",VLOOKUP($A214,Table,MATCH(G$4,Curves,0)))</f>
        <v/>
      </c>
      <c r="H214" s="201" t="str">
        <f aca="false">IF(A215="","",G214)</f>
        <v/>
      </c>
      <c r="I214" s="202"/>
      <c r="J214" s="200" t="str">
        <f aca="false">IF($A215="","",VLOOKUP($A214,Table,MATCH(J$4,Curves,0)))</f>
        <v/>
      </c>
      <c r="K214" s="201" t="str">
        <f aca="false">IF(A215="","",J214)</f>
        <v/>
      </c>
      <c r="L214" s="185" t="n">
        <v>0</v>
      </c>
      <c r="M214" s="201" t="str">
        <f aca="false">IF(A215="","",L214)</f>
        <v/>
      </c>
      <c r="N214" s="203"/>
      <c r="O214" s="200" t="str">
        <f aca="false">IF(A215="","",L214+J214+G214)</f>
        <v/>
      </c>
      <c r="P214" s="200" t="str">
        <f aca="false">IF(A215="","",M214+K214+H214)</f>
        <v/>
      </c>
      <c r="Q214" s="204"/>
      <c r="R214" s="200" t="str">
        <f aca="false">IF($A215="","",VLOOKUP($A214,Table,MATCH(R$4,Curves,0)))</f>
        <v/>
      </c>
      <c r="S214" s="201" t="str">
        <f aca="false">IF(A215="","",R214)</f>
        <v/>
      </c>
      <c r="T214" s="185" t="n">
        <v>0</v>
      </c>
      <c r="U214" s="201" t="str">
        <f aca="false">IF(A215="","",T214)</f>
        <v/>
      </c>
      <c r="V214" s="205"/>
      <c r="W214" s="202" t="str">
        <f aca="false">IF($A215="","",(T214+R214+G214+V214))</f>
        <v/>
      </c>
      <c r="X214" s="202" t="str">
        <f aca="false">IF($A215="","",(U214+S214+H214+V214))</f>
        <v/>
      </c>
      <c r="Y214" s="202"/>
      <c r="Z214" s="185" t="str">
        <f aca="false">IF($A215="","",VLOOKUP($A214,Table,MATCH(Z$4,Curves,0)))</f>
        <v/>
      </c>
      <c r="AA214" s="185" t="str">
        <f aca="false">IF($A215="","",VLOOKUP($A214,Table,MATCH(AA$4,Curves,0)))</f>
        <v/>
      </c>
      <c r="AB214" s="185" t="e">
        <f aca="false">SQRT((AA214^2*(A214-$D$3)+Z214^2*(DAY(EOMONTH(A214,0))/2))/AK214)</f>
        <v>#VALUE!</v>
      </c>
      <c r="AC214" s="185" t="str">
        <f aca="false">IF($A215="","",VLOOKUP($A214,Table,MATCH(AC$4,Curves,0)))</f>
        <v/>
      </c>
      <c r="AD214" s="185" t="str">
        <f aca="false">IF($A215="","",VLOOKUP($A214,Table,MATCH(AD$4,Curves,0)))</f>
        <v/>
      </c>
      <c r="AE214" s="185" t="e">
        <f aca="false">SQRT((AD214^2*(A214-$D$3)+AC214^2*(DAY(EOMONTH(A214,0))/2))/AK214)</f>
        <v>#VALUE!</v>
      </c>
      <c r="AF214" s="224" t="e">
        <f aca="false">((Summary!$N$13*(AA214*AD214)*(A214-$D$3))+(Summary!$M$13*Z214*AC214*(AJ214-EOMONTH(EDATE(A214,-1),0))))/(AK214*AB214*AE214)</f>
        <v>#VALUE!</v>
      </c>
      <c r="AG214" s="207" t="str">
        <f aca="false">IF($A215="","",Summary!$Q$13)</f>
        <v/>
      </c>
      <c r="AH214" s="207" t="str">
        <f aca="false">IF($A215="","",IF(Summary!$R$12="Y",(VLOOKUP($A214,Summary!$AD$6:$AF$9,3)+'Escalating commodity'!I227),'Escalating commodity'!I227))</f>
        <v/>
      </c>
      <c r="AI214" s="207" t="str">
        <f aca="false">IF($A215="","",AH214)</f>
        <v/>
      </c>
      <c r="AJ214" s="208" t="e">
        <f aca="false">A214+DAY(EOMONTH(A214,0))/2-1</f>
        <v>#VALUE!</v>
      </c>
      <c r="AK214" s="209" t="str">
        <f aca="false">IF($A215="","",$A214-$E$1)</f>
        <v/>
      </c>
      <c r="AL214" s="182" t="str">
        <f aca="false">IF($A215="","",SPRDOPT(P214,X214,AI214,0,AB214,AE214,AF214,AK214,$AJ$2,0))</f>
        <v/>
      </c>
      <c r="AM214" s="210" t="str">
        <f aca="false">IF($A215="","",MAX(0,O214-W214-AI214))</f>
        <v/>
      </c>
      <c r="AN214" s="211" t="str">
        <f aca="false">IF($A215="","",AL214-AM214)</f>
        <v/>
      </c>
      <c r="AO214" s="137" t="str">
        <f aca="false">IF(A215="","",A215-A214)</f>
        <v/>
      </c>
      <c r="AP214" s="212" t="str">
        <f aca="false">IF(A215="","",CHOOSE(F$3,A215+24,A214))</f>
        <v/>
      </c>
      <c r="AQ214" s="209" t="str">
        <f aca="false">IF(A215="","",AP214-$E$1)</f>
        <v/>
      </c>
      <c r="AR214" s="185" t="n">
        <f aca="false">'ANR OK vs ML7'!AR214</f>
        <v>0.1</v>
      </c>
      <c r="AS214" s="213" t="str">
        <f aca="false">IF(A215="","",1/(1+CHOOSE(F$3,(AR215+($I$3/10000))/2,(AR214+($I$3/10000))/2))^(2*AQ214/365.25))</f>
        <v/>
      </c>
      <c r="AT214" s="137" t="str">
        <f aca="false">IF(A215="","",IF(AND(mthbeg&lt;=A214,mthend&gt;=A214),1,0))</f>
        <v/>
      </c>
      <c r="AU214" s="137" t="str">
        <f aca="false">IF(A215="","",AO214*AT214)</f>
        <v/>
      </c>
      <c r="AW214" s="195" t="str">
        <f aca="false">IF($A215="","",AL214*$E214)</f>
        <v/>
      </c>
      <c r="AX214" s="195" t="str">
        <f aca="false">IF($A215="","",AM214*$E214)</f>
        <v/>
      </c>
      <c r="AY214" s="195" t="str">
        <f aca="false">IF($A215="","",AN214*$E214)</f>
        <v/>
      </c>
      <c r="BA214" s="195" t="str">
        <f aca="false">IF($A215="","",F214*Summary!$Q$13)</f>
        <v/>
      </c>
    </row>
    <row r="215" customFormat="false" ht="12" hidden="false" customHeight="true" outlineLevel="0" collapsed="false">
      <c r="A215" s="196" t="str">
        <f aca="false">IF(A214&lt;mthend,EDATE(A214,1),"")</f>
        <v/>
      </c>
      <c r="B215" s="197" t="str">
        <f aca="false">IF(A215&lt;mthend,B214,"")</f>
        <v/>
      </c>
      <c r="C215" s="215"/>
      <c r="D215" s="197" t="str">
        <f aca="false">IF(A216&lt;&gt;"",B215+C215,"")</f>
        <v/>
      </c>
      <c r="E215" s="199" t="str">
        <f aca="false">IF(A216="","",IF(AND(AT215=1,$H$3=1),D215*AO215,IF($H$3=2,D215,"N/A")))</f>
        <v/>
      </c>
      <c r="F215" s="199" t="str">
        <f aca="false">IF(A216="","",E215*AS215)</f>
        <v/>
      </c>
      <c r="G215" s="200" t="str">
        <f aca="false">IF($A216="","",VLOOKUP($A215,Table,MATCH(G$4,Curves,0)))</f>
        <v/>
      </c>
      <c r="H215" s="201" t="str">
        <f aca="false">IF(A216="","",G215)</f>
        <v/>
      </c>
      <c r="I215" s="202"/>
      <c r="J215" s="200" t="str">
        <f aca="false">IF($A216="","",VLOOKUP($A215,Table,MATCH(J$4,Curves,0)))</f>
        <v/>
      </c>
      <c r="K215" s="201" t="str">
        <f aca="false">IF(A216="","",J215)</f>
        <v/>
      </c>
      <c r="L215" s="185" t="n">
        <v>0</v>
      </c>
      <c r="M215" s="201" t="str">
        <f aca="false">IF(A216="","",L215)</f>
        <v/>
      </c>
      <c r="N215" s="203"/>
      <c r="O215" s="200" t="str">
        <f aca="false">IF(A216="","",L215+J215+G215)</f>
        <v/>
      </c>
      <c r="P215" s="200" t="str">
        <f aca="false">IF(A216="","",M215+K215+H215)</f>
        <v/>
      </c>
      <c r="Q215" s="204"/>
      <c r="R215" s="200" t="str">
        <f aca="false">IF($A216="","",VLOOKUP($A215,Table,MATCH(R$4,Curves,0)))</f>
        <v/>
      </c>
      <c r="S215" s="201" t="str">
        <f aca="false">IF(A216="","",R215)</f>
        <v/>
      </c>
      <c r="T215" s="185" t="n">
        <v>0</v>
      </c>
      <c r="U215" s="201" t="str">
        <f aca="false">IF(A216="","",T215)</f>
        <v/>
      </c>
      <c r="V215" s="205"/>
      <c r="W215" s="202" t="str">
        <f aca="false">IF($A216="","",(T215+R215+G215+V215))</f>
        <v/>
      </c>
      <c r="X215" s="202" t="str">
        <f aca="false">IF($A216="","",(U215+S215+H215+V215))</f>
        <v/>
      </c>
      <c r="Y215" s="202"/>
      <c r="Z215" s="185" t="str">
        <f aca="false">IF($A216="","",VLOOKUP($A215,Table,MATCH(Z$4,Curves,0)))</f>
        <v/>
      </c>
      <c r="AA215" s="185" t="str">
        <f aca="false">IF($A216="","",VLOOKUP($A215,Table,MATCH(AA$4,Curves,0)))</f>
        <v/>
      </c>
      <c r="AB215" s="185" t="e">
        <f aca="false">SQRT((AA215^2*(A215-$D$3)+Z215^2*(DAY(EOMONTH(A215,0))/2))/AK215)</f>
        <v>#VALUE!</v>
      </c>
      <c r="AC215" s="185" t="str">
        <f aca="false">IF($A216="","",VLOOKUP($A215,Table,MATCH(AC$4,Curves,0)))</f>
        <v/>
      </c>
      <c r="AD215" s="185" t="str">
        <f aca="false">IF($A216="","",VLOOKUP($A215,Table,MATCH(AD$4,Curves,0)))</f>
        <v/>
      </c>
      <c r="AE215" s="185" t="e">
        <f aca="false">SQRT((AD215^2*(A215-$D$3)+AC215^2*(DAY(EOMONTH(A215,0))/2))/AK215)</f>
        <v>#VALUE!</v>
      </c>
      <c r="AF215" s="224" t="e">
        <f aca="false">((Summary!$N$13*(AA215*AD215)*(A215-$D$3))+(Summary!$M$13*Z215*AC215*(AJ215-EOMONTH(EDATE(A215,-1),0))))/(AK215*AB215*AE215)</f>
        <v>#VALUE!</v>
      </c>
      <c r="AG215" s="207" t="str">
        <f aca="false">IF($A216="","",Summary!$Q$13)</f>
        <v/>
      </c>
      <c r="AH215" s="207" t="str">
        <f aca="false">IF($A216="","",IF(Summary!$R$12="Y",(VLOOKUP($A215,Summary!$AD$6:$AF$9,3)+'Escalating commodity'!I228),'Escalating commodity'!I228))</f>
        <v/>
      </c>
      <c r="AI215" s="207" t="str">
        <f aca="false">IF($A216="","",AH215)</f>
        <v/>
      </c>
      <c r="AJ215" s="208" t="e">
        <f aca="false">A215+DAY(EOMONTH(A215,0))/2-1</f>
        <v>#VALUE!</v>
      </c>
      <c r="AK215" s="209" t="str">
        <f aca="false">IF($A216="","",$A215-$E$1)</f>
        <v/>
      </c>
      <c r="AL215" s="182" t="str">
        <f aca="false">IF($A216="","",SPRDOPT(P215,X215,AI215,0,AB215,AE215,AF215,AK215,$AJ$2,0))</f>
        <v/>
      </c>
      <c r="AM215" s="210" t="str">
        <f aca="false">IF($A216="","",MAX(0,O215-W215-AI215))</f>
        <v/>
      </c>
      <c r="AN215" s="211" t="str">
        <f aca="false">IF($A216="","",AL215-AM215)</f>
        <v/>
      </c>
      <c r="AO215" s="137" t="str">
        <f aca="false">IF(A216="","",A216-A215)</f>
        <v/>
      </c>
      <c r="AP215" s="212" t="str">
        <f aca="false">IF(A216="","",CHOOSE(F$3,A216+24,A215))</f>
        <v/>
      </c>
      <c r="AQ215" s="209" t="str">
        <f aca="false">IF(A216="","",AP215-$E$1)</f>
        <v/>
      </c>
      <c r="AR215" s="185" t="n">
        <f aca="false">'ANR OK vs ML7'!AR215</f>
        <v>0.1</v>
      </c>
      <c r="AS215" s="213" t="str">
        <f aca="false">IF(A216="","",1/(1+CHOOSE(F$3,(AR216+($I$3/10000))/2,(AR215+($I$3/10000))/2))^(2*AQ215/365.25))</f>
        <v/>
      </c>
      <c r="AT215" s="137" t="str">
        <f aca="false">IF(A216="","",IF(AND(mthbeg&lt;=A215,mthend&gt;=A215),1,0))</f>
        <v/>
      </c>
      <c r="AU215" s="137" t="str">
        <f aca="false">IF(A216="","",AO215*AT215)</f>
        <v/>
      </c>
      <c r="AW215" s="195" t="str">
        <f aca="false">IF($A216="","",AL215*$E215)</f>
        <v/>
      </c>
      <c r="AX215" s="195" t="str">
        <f aca="false">IF($A216="","",AM215*$E215)</f>
        <v/>
      </c>
      <c r="AY215" s="195" t="str">
        <f aca="false">IF($A216="","",AN215*$E215)</f>
        <v/>
      </c>
      <c r="BA215" s="195" t="str">
        <f aca="false">IF($A216="","",F215*Summary!$Q$13)</f>
        <v/>
      </c>
    </row>
    <row r="216" customFormat="false" ht="12" hidden="false" customHeight="true" outlineLevel="0" collapsed="false">
      <c r="A216" s="196" t="str">
        <f aca="false">IF(A215&lt;mthend,EDATE(A215,1),"")</f>
        <v/>
      </c>
      <c r="B216" s="197" t="str">
        <f aca="false">IF(A216&lt;mthend,B215,"")</f>
        <v/>
      </c>
      <c r="C216" s="215"/>
      <c r="D216" s="197" t="str">
        <f aca="false">IF(A217&lt;&gt;"",B216+C216,"")</f>
        <v/>
      </c>
      <c r="E216" s="199" t="str">
        <f aca="false">IF(A217="","",IF(AND(AT216=1,$H$3=1),D216*AO216,IF($H$3=2,D216,"N/A")))</f>
        <v/>
      </c>
      <c r="F216" s="199" t="str">
        <f aca="false">IF(A217="","",E216*AS216)</f>
        <v/>
      </c>
      <c r="G216" s="200" t="str">
        <f aca="false">IF($A217="","",VLOOKUP($A216,Table,MATCH(G$4,Curves,0)))</f>
        <v/>
      </c>
      <c r="H216" s="201" t="str">
        <f aca="false">IF(A217="","",G216)</f>
        <v/>
      </c>
      <c r="I216" s="202"/>
      <c r="J216" s="200" t="str">
        <f aca="false">IF($A217="","",VLOOKUP($A216,Table,MATCH(J$4,Curves,0)))</f>
        <v/>
      </c>
      <c r="K216" s="201" t="str">
        <f aca="false">IF(A217="","",J216)</f>
        <v/>
      </c>
      <c r="L216" s="185" t="n">
        <v>0</v>
      </c>
      <c r="M216" s="201" t="str">
        <f aca="false">IF(A217="","",L216)</f>
        <v/>
      </c>
      <c r="N216" s="203"/>
      <c r="O216" s="200" t="str">
        <f aca="false">IF(A217="","",L216+J216+G216)</f>
        <v/>
      </c>
      <c r="P216" s="200" t="str">
        <f aca="false">IF(A217="","",M216+K216+H216)</f>
        <v/>
      </c>
      <c r="Q216" s="204"/>
      <c r="R216" s="200" t="str">
        <f aca="false">IF($A217="","",VLOOKUP($A216,Table,MATCH(R$4,Curves,0)))</f>
        <v/>
      </c>
      <c r="S216" s="201" t="str">
        <f aca="false">IF(A217="","",R216)</f>
        <v/>
      </c>
      <c r="T216" s="185" t="n">
        <v>0</v>
      </c>
      <c r="U216" s="201" t="str">
        <f aca="false">IF(A217="","",T216)</f>
        <v/>
      </c>
      <c r="V216" s="205"/>
      <c r="W216" s="202" t="str">
        <f aca="false">IF($A217="","",(T216+R216+G216+V216))</f>
        <v/>
      </c>
      <c r="X216" s="202" t="str">
        <f aca="false">IF($A217="","",(U216+S216+H216+V216))</f>
        <v/>
      </c>
      <c r="Y216" s="202"/>
      <c r="Z216" s="185" t="str">
        <f aca="false">IF($A217="","",VLOOKUP($A216,Table,MATCH(Z$4,Curves,0)))</f>
        <v/>
      </c>
      <c r="AA216" s="185" t="str">
        <f aca="false">IF($A217="","",VLOOKUP($A216,Table,MATCH(AA$4,Curves,0)))</f>
        <v/>
      </c>
      <c r="AB216" s="185" t="e">
        <f aca="false">SQRT((AA216^2*(A216-$D$3)+Z216^2*(DAY(EOMONTH(A216,0))/2))/AK216)</f>
        <v>#VALUE!</v>
      </c>
      <c r="AC216" s="185" t="str">
        <f aca="false">IF($A217="","",VLOOKUP($A216,Table,MATCH(AC$4,Curves,0)))</f>
        <v/>
      </c>
      <c r="AD216" s="185" t="str">
        <f aca="false">IF($A217="","",VLOOKUP($A216,Table,MATCH(AD$4,Curves,0)))</f>
        <v/>
      </c>
      <c r="AE216" s="185" t="e">
        <f aca="false">SQRT((AD216^2*(A216-$D$3)+AC216^2*(DAY(EOMONTH(A216,0))/2))/AK216)</f>
        <v>#VALUE!</v>
      </c>
      <c r="AF216" s="224" t="e">
        <f aca="false">((Summary!$N$13*(AA216*AD216)*(A216-$D$3))+(Summary!$M$13*Z216*AC216*(AJ216-EOMONTH(EDATE(A216,-1),0))))/(AK216*AB216*AE216)</f>
        <v>#VALUE!</v>
      </c>
      <c r="AG216" s="207" t="str">
        <f aca="false">IF($A217="","",Summary!$Q$13)</f>
        <v/>
      </c>
      <c r="AH216" s="207" t="str">
        <f aca="false">IF($A217="","",IF(Summary!$R$12="Y",(VLOOKUP($A216,Summary!$AD$6:$AF$9,3)+'Escalating commodity'!I229),'Escalating commodity'!I229))</f>
        <v/>
      </c>
      <c r="AI216" s="207" t="str">
        <f aca="false">IF($A217="","",AH216)</f>
        <v/>
      </c>
      <c r="AJ216" s="208" t="e">
        <f aca="false">A216+DAY(EOMONTH(A216,0))/2-1</f>
        <v>#VALUE!</v>
      </c>
      <c r="AK216" s="209" t="str">
        <f aca="false">IF($A217="","",$A216-$E$1)</f>
        <v/>
      </c>
      <c r="AL216" s="182" t="str">
        <f aca="false">IF($A217="","",SPRDOPT(P216,X216,AI216,0,AB216,AE216,AF216,AK216,$AJ$2,0))</f>
        <v/>
      </c>
      <c r="AM216" s="210" t="str">
        <f aca="false">IF($A217="","",MAX(0,O216-W216-AI216))</f>
        <v/>
      </c>
      <c r="AN216" s="211" t="str">
        <f aca="false">IF($A217="","",AL216-AM216)</f>
        <v/>
      </c>
      <c r="AO216" s="137" t="str">
        <f aca="false">IF(A217="","",A217-A216)</f>
        <v/>
      </c>
      <c r="AP216" s="212" t="str">
        <f aca="false">IF(A217="","",CHOOSE(F$3,A217+24,A216))</f>
        <v/>
      </c>
      <c r="AQ216" s="209" t="str">
        <f aca="false">IF(A217="","",AP216-$E$1)</f>
        <v/>
      </c>
      <c r="AR216" s="185" t="n">
        <f aca="false">'ANR OK vs ML7'!AR216</f>
        <v>0.1</v>
      </c>
      <c r="AS216" s="213" t="str">
        <f aca="false">IF(A217="","",1/(1+CHOOSE(F$3,(AR217+($I$3/10000))/2,(AR216+($I$3/10000))/2))^(2*AQ216/365.25))</f>
        <v/>
      </c>
      <c r="AT216" s="137" t="str">
        <f aca="false">IF(A217="","",IF(AND(mthbeg&lt;=A216,mthend&gt;=A216),1,0))</f>
        <v/>
      </c>
      <c r="AU216" s="137" t="str">
        <f aca="false">IF(A217="","",AO216*AT216)</f>
        <v/>
      </c>
      <c r="AW216" s="195" t="str">
        <f aca="false">IF($A217="","",AL216*$E216)</f>
        <v/>
      </c>
      <c r="AX216" s="195" t="str">
        <f aca="false">IF($A217="","",AM216*$E216)</f>
        <v/>
      </c>
      <c r="AY216" s="195" t="str">
        <f aca="false">IF($A217="","",AN216*$E216)</f>
        <v/>
      </c>
      <c r="BA216" s="195" t="str">
        <f aca="false">IF($A217="","",F216*Summary!$Q$13)</f>
        <v/>
      </c>
    </row>
    <row r="217" customFormat="false" ht="12" hidden="false" customHeight="true" outlineLevel="0" collapsed="false">
      <c r="A217" s="196" t="str">
        <f aca="false">IF(A216&lt;mthend,EDATE(A216,1),"")</f>
        <v/>
      </c>
      <c r="B217" s="197" t="str">
        <f aca="false">IF(A217&lt;mthend,B216,"")</f>
        <v/>
      </c>
      <c r="C217" s="215"/>
      <c r="D217" s="197" t="str">
        <f aca="false">IF(A218&lt;&gt;"",B217+C217,"")</f>
        <v/>
      </c>
      <c r="E217" s="199" t="str">
        <f aca="false">IF(A218="","",IF(AND(AT217=1,$H$3=1),D217*AO217,IF($H$3=2,D217,"N/A")))</f>
        <v/>
      </c>
      <c r="F217" s="199" t="str">
        <f aca="false">IF(A218="","",E217*AS217)</f>
        <v/>
      </c>
      <c r="G217" s="200" t="str">
        <f aca="false">IF($A218="","",VLOOKUP($A217,Table,MATCH(G$4,Curves,0)))</f>
        <v/>
      </c>
      <c r="H217" s="201" t="str">
        <f aca="false">IF(A218="","",G217)</f>
        <v/>
      </c>
      <c r="I217" s="202"/>
      <c r="J217" s="200" t="str">
        <f aca="false">IF($A218="","",VLOOKUP($A217,Table,MATCH(J$4,Curves,0)))</f>
        <v/>
      </c>
      <c r="K217" s="201" t="str">
        <f aca="false">IF(A218="","",J217)</f>
        <v/>
      </c>
      <c r="L217" s="185" t="n">
        <v>0</v>
      </c>
      <c r="M217" s="201" t="str">
        <f aca="false">IF(A218="","",L217)</f>
        <v/>
      </c>
      <c r="N217" s="203"/>
      <c r="O217" s="200" t="str">
        <f aca="false">IF(A218="","",L217+J217+G217)</f>
        <v/>
      </c>
      <c r="P217" s="200" t="str">
        <f aca="false">IF(A218="","",M217+K217+H217)</f>
        <v/>
      </c>
      <c r="Q217" s="204"/>
      <c r="R217" s="200" t="str">
        <f aca="false">IF($A218="","",VLOOKUP($A217,Table,MATCH(R$4,Curves,0)))</f>
        <v/>
      </c>
      <c r="S217" s="201" t="str">
        <f aca="false">IF(A218="","",R217)</f>
        <v/>
      </c>
      <c r="T217" s="185" t="n">
        <v>0</v>
      </c>
      <c r="U217" s="201" t="str">
        <f aca="false">IF(A218="","",T217)</f>
        <v/>
      </c>
      <c r="V217" s="205"/>
      <c r="W217" s="202" t="str">
        <f aca="false">IF($A218="","",(T217+R217+G217+V217))</f>
        <v/>
      </c>
      <c r="X217" s="202" t="str">
        <f aca="false">IF($A218="","",(U217+S217+H217+V217))</f>
        <v/>
      </c>
      <c r="Y217" s="202"/>
      <c r="Z217" s="185" t="str">
        <f aca="false">IF($A218="","",VLOOKUP($A217,Table,MATCH(Z$4,Curves,0)))</f>
        <v/>
      </c>
      <c r="AA217" s="185" t="str">
        <f aca="false">IF($A218="","",VLOOKUP($A217,Table,MATCH(AA$4,Curves,0)))</f>
        <v/>
      </c>
      <c r="AB217" s="185" t="e">
        <f aca="false">SQRT((AA217^2*(A217-$D$3)+Z217^2*(DAY(EOMONTH(A217,0))/2))/AK217)</f>
        <v>#VALUE!</v>
      </c>
      <c r="AC217" s="185" t="str">
        <f aca="false">IF($A218="","",VLOOKUP($A217,Table,MATCH(AC$4,Curves,0)))</f>
        <v/>
      </c>
      <c r="AD217" s="185" t="str">
        <f aca="false">IF($A218="","",VLOOKUP($A217,Table,MATCH(AD$4,Curves,0)))</f>
        <v/>
      </c>
      <c r="AE217" s="185" t="e">
        <f aca="false">SQRT((AD217^2*(A217-$D$3)+AC217^2*(DAY(EOMONTH(A217,0))/2))/AK217)</f>
        <v>#VALUE!</v>
      </c>
      <c r="AF217" s="224" t="e">
        <f aca="false">((Summary!$N$13*(AA217*AD217)*(A217-$D$3))+(Summary!$M$13*Z217*AC217*(AJ217-EOMONTH(EDATE(A217,-1),0))))/(AK217*AB217*AE217)</f>
        <v>#VALUE!</v>
      </c>
      <c r="AG217" s="207" t="str">
        <f aca="false">IF($A218="","",Summary!$Q$13)</f>
        <v/>
      </c>
      <c r="AH217" s="207" t="str">
        <f aca="false">IF($A218="","",IF(Summary!$R$12="Y",(VLOOKUP($A217,Summary!$AD$6:$AF$9,3)+'Escalating commodity'!I230),'Escalating commodity'!I230))</f>
        <v/>
      </c>
      <c r="AI217" s="207" t="str">
        <f aca="false">IF($A218="","",AH217)</f>
        <v/>
      </c>
      <c r="AJ217" s="208" t="e">
        <f aca="false">A217+DAY(EOMONTH(A217,0))/2-1</f>
        <v>#VALUE!</v>
      </c>
      <c r="AK217" s="209" t="str">
        <f aca="false">IF($A218="","",$A217-$E$1)</f>
        <v/>
      </c>
      <c r="AL217" s="182" t="str">
        <f aca="false">IF($A218="","",SPRDOPT(P217,X217,AI217,0,AB217,AE217,AF217,AK217,$AJ$2,0))</f>
        <v/>
      </c>
      <c r="AM217" s="210" t="str">
        <f aca="false">IF($A218="","",MAX(0,O217-W217-AI217))</f>
        <v/>
      </c>
      <c r="AN217" s="211" t="str">
        <f aca="false">IF($A218="","",AL217-AM217)</f>
        <v/>
      </c>
      <c r="AO217" s="137" t="str">
        <f aca="false">IF(A218="","",A218-A217)</f>
        <v/>
      </c>
      <c r="AP217" s="212" t="str">
        <f aca="false">IF(A218="","",CHOOSE(F$3,A218+24,A217))</f>
        <v/>
      </c>
      <c r="AQ217" s="209" t="str">
        <f aca="false">IF(A218="","",AP217-$E$1)</f>
        <v/>
      </c>
      <c r="AR217" s="185" t="n">
        <f aca="false">'ANR OK vs ML7'!AR217</f>
        <v>0.1</v>
      </c>
      <c r="AS217" s="213" t="str">
        <f aca="false">IF(A218="","",1/(1+CHOOSE(F$3,(AR218+($I$3/10000))/2,(AR217+($I$3/10000))/2))^(2*AQ217/365.25))</f>
        <v/>
      </c>
      <c r="AT217" s="137" t="str">
        <f aca="false">IF(A218="","",IF(AND(mthbeg&lt;=A217,mthend&gt;=A217),1,0))</f>
        <v/>
      </c>
      <c r="AU217" s="137" t="str">
        <f aca="false">IF(A218="","",AO217*AT217)</f>
        <v/>
      </c>
      <c r="AW217" s="195" t="str">
        <f aca="false">IF($A218="","",AL217*$E217)</f>
        <v/>
      </c>
      <c r="AX217" s="195" t="str">
        <f aca="false">IF($A218="","",AM217*$E217)</f>
        <v/>
      </c>
      <c r="AY217" s="195" t="str">
        <f aca="false">IF($A218="","",AN217*$E217)</f>
        <v/>
      </c>
      <c r="BA217" s="195" t="str">
        <f aca="false">IF($A218="","",F217*Summary!$Q$13)</f>
        <v/>
      </c>
    </row>
    <row r="218" customFormat="false" ht="12" hidden="false" customHeight="true" outlineLevel="0" collapsed="false">
      <c r="A218" s="196" t="str">
        <f aca="false">IF(A217&lt;mthend,EDATE(A217,1),"")</f>
        <v/>
      </c>
      <c r="B218" s="197" t="str">
        <f aca="false">IF(A218&lt;mthend,B217,"")</f>
        <v/>
      </c>
      <c r="C218" s="215"/>
      <c r="D218" s="197" t="str">
        <f aca="false">IF(A219&lt;&gt;"",B218+C218,"")</f>
        <v/>
      </c>
      <c r="E218" s="199" t="str">
        <f aca="false">IF(A219="","",IF(AND(AT218=1,$H$3=1),D218*AO218,IF($H$3=2,D218,"N/A")))</f>
        <v/>
      </c>
      <c r="F218" s="199" t="str">
        <f aca="false">IF(A219="","",E218*AS218)</f>
        <v/>
      </c>
      <c r="G218" s="200" t="str">
        <f aca="false">IF($A219="","",VLOOKUP($A218,Table,MATCH(G$4,Curves,0)))</f>
        <v/>
      </c>
      <c r="H218" s="201" t="str">
        <f aca="false">IF(A219="","",G218)</f>
        <v/>
      </c>
      <c r="I218" s="202"/>
      <c r="J218" s="200" t="str">
        <f aca="false">IF($A219="","",VLOOKUP($A218,Table,MATCH(J$4,Curves,0)))</f>
        <v/>
      </c>
      <c r="K218" s="201" t="str">
        <f aca="false">IF(A219="","",J218)</f>
        <v/>
      </c>
      <c r="L218" s="185" t="n">
        <v>0</v>
      </c>
      <c r="M218" s="201" t="str">
        <f aca="false">IF(A219="","",L218)</f>
        <v/>
      </c>
      <c r="N218" s="203"/>
      <c r="O218" s="200" t="str">
        <f aca="false">IF(A219="","",L218+J218+G218)</f>
        <v/>
      </c>
      <c r="P218" s="200" t="str">
        <f aca="false">IF(A219="","",M218+K218+H218)</f>
        <v/>
      </c>
      <c r="Q218" s="204"/>
      <c r="R218" s="200" t="str">
        <f aca="false">IF($A219="","",VLOOKUP($A218,Table,MATCH(R$4,Curves,0)))</f>
        <v/>
      </c>
      <c r="S218" s="201" t="str">
        <f aca="false">IF(A219="","",R218)</f>
        <v/>
      </c>
      <c r="T218" s="185" t="n">
        <v>0</v>
      </c>
      <c r="U218" s="201" t="str">
        <f aca="false">IF(A219="","",T218)</f>
        <v/>
      </c>
      <c r="V218" s="205"/>
      <c r="W218" s="202" t="str">
        <f aca="false">IF($A219="","",(T218+R218+G218+V218))</f>
        <v/>
      </c>
      <c r="X218" s="202" t="str">
        <f aca="false">IF($A219="","",(U218+S218+H218+V218))</f>
        <v/>
      </c>
      <c r="Y218" s="202"/>
      <c r="Z218" s="185" t="str">
        <f aca="false">IF($A219="","",VLOOKUP($A218,Table,MATCH(Z$4,Curves,0)))</f>
        <v/>
      </c>
      <c r="AA218" s="185" t="str">
        <f aca="false">IF($A219="","",VLOOKUP($A218,Table,MATCH(AA$4,Curves,0)))</f>
        <v/>
      </c>
      <c r="AB218" s="185" t="e">
        <f aca="false">SQRT((AA218^2*(A218-$D$3)+Z218^2*(DAY(EOMONTH(A218,0))/2))/AK218)</f>
        <v>#VALUE!</v>
      </c>
      <c r="AC218" s="185" t="str">
        <f aca="false">IF($A219="","",VLOOKUP($A218,Table,MATCH(AC$4,Curves,0)))</f>
        <v/>
      </c>
      <c r="AD218" s="185" t="str">
        <f aca="false">IF($A219="","",VLOOKUP($A218,Table,MATCH(AD$4,Curves,0)))</f>
        <v/>
      </c>
      <c r="AE218" s="185" t="e">
        <f aca="false">SQRT((AD218^2*(A218-$D$3)+AC218^2*(DAY(EOMONTH(A218,0))/2))/AK218)</f>
        <v>#VALUE!</v>
      </c>
      <c r="AF218" s="224" t="e">
        <f aca="false">((Summary!$N$13*(AA218*AD218)*(A218-$D$3))+(Summary!$M$13*Z218*AC218*(AJ218-EOMONTH(EDATE(A218,-1),0))))/(AK218*AB218*AE218)</f>
        <v>#VALUE!</v>
      </c>
      <c r="AG218" s="207" t="str">
        <f aca="false">IF($A219="","",Summary!$Q$13)</f>
        <v/>
      </c>
      <c r="AH218" s="207" t="str">
        <f aca="false">IF($A219="","",IF(Summary!$R$12="Y",(VLOOKUP($A218,Summary!$AD$6:$AF$9,3)+'Escalating commodity'!I231),'Escalating commodity'!I231))</f>
        <v/>
      </c>
      <c r="AI218" s="207" t="str">
        <f aca="false">IF($A219="","",AH218)</f>
        <v/>
      </c>
      <c r="AJ218" s="208" t="e">
        <f aca="false">A218+DAY(EOMONTH(A218,0))/2-1</f>
        <v>#VALUE!</v>
      </c>
      <c r="AK218" s="209" t="str">
        <f aca="false">IF($A219="","",$A218-$E$1)</f>
        <v/>
      </c>
      <c r="AL218" s="182" t="str">
        <f aca="false">IF($A219="","",SPRDOPT(P218,X218,AI218,0,AB218,AE218,AF218,AK218,$AJ$2,0))</f>
        <v/>
      </c>
      <c r="AM218" s="210" t="str">
        <f aca="false">IF($A219="","",MAX(0,O218-W218-AI218))</f>
        <v/>
      </c>
      <c r="AN218" s="211" t="str">
        <f aca="false">IF($A219="","",AL218-AM218)</f>
        <v/>
      </c>
      <c r="AO218" s="137" t="str">
        <f aca="false">IF(A219="","",A219-A218)</f>
        <v/>
      </c>
      <c r="AP218" s="212" t="str">
        <f aca="false">IF(A219="","",CHOOSE(F$3,A219+24,A218))</f>
        <v/>
      </c>
      <c r="AQ218" s="209" t="str">
        <f aca="false">IF(A219="","",AP218-$E$1)</f>
        <v/>
      </c>
      <c r="AR218" s="185" t="n">
        <f aca="false">'ANR OK vs ML7'!AR218</f>
        <v>0.1</v>
      </c>
      <c r="AS218" s="213" t="str">
        <f aca="false">IF(A219="","",1/(1+CHOOSE(F$3,(AR219+($I$3/10000))/2,(AR218+($I$3/10000))/2))^(2*AQ218/365.25))</f>
        <v/>
      </c>
      <c r="AT218" s="137" t="str">
        <f aca="false">IF(A219="","",IF(AND(mthbeg&lt;=A218,mthend&gt;=A218),1,0))</f>
        <v/>
      </c>
      <c r="AU218" s="137" t="str">
        <f aca="false">IF(A219="","",AO218*AT218)</f>
        <v/>
      </c>
      <c r="AW218" s="195" t="str">
        <f aca="false">IF($A219="","",AL218*$E218)</f>
        <v/>
      </c>
      <c r="AX218" s="195" t="str">
        <f aca="false">IF($A219="","",AM218*$E218)</f>
        <v/>
      </c>
      <c r="AY218" s="195" t="str">
        <f aca="false">IF($A219="","",AN218*$E218)</f>
        <v/>
      </c>
      <c r="BA218" s="195" t="str">
        <f aca="false">IF($A219="","",F218*Summary!$Q$13)</f>
        <v/>
      </c>
    </row>
    <row r="219" customFormat="false" ht="12" hidden="false" customHeight="true" outlineLevel="0" collapsed="false">
      <c r="A219" s="196" t="str">
        <f aca="false">IF(A218&lt;mthend,EDATE(A218,1),"")</f>
        <v/>
      </c>
      <c r="B219" s="197" t="str">
        <f aca="false">IF(A219&lt;mthend,B218,"")</f>
        <v/>
      </c>
      <c r="C219" s="215"/>
      <c r="D219" s="197" t="str">
        <f aca="false">IF(A220&lt;&gt;"",B219+C219,"")</f>
        <v/>
      </c>
      <c r="E219" s="199" t="str">
        <f aca="false">IF(A220="","",IF(AND(AT219=1,$H$3=1),D219*AO219,IF($H$3=2,D219,"N/A")))</f>
        <v/>
      </c>
      <c r="F219" s="199" t="str">
        <f aca="false">IF(A220="","",E219*AS219)</f>
        <v/>
      </c>
      <c r="G219" s="200" t="str">
        <f aca="false">IF($A220="","",VLOOKUP($A219,Table,MATCH(G$4,Curves,0)))</f>
        <v/>
      </c>
      <c r="H219" s="201" t="str">
        <f aca="false">IF(A220="","",G219)</f>
        <v/>
      </c>
      <c r="I219" s="202"/>
      <c r="J219" s="200" t="str">
        <f aca="false">IF($A220="","",VLOOKUP($A219,Table,MATCH(J$4,Curves,0)))</f>
        <v/>
      </c>
      <c r="K219" s="201" t="str">
        <f aca="false">IF(A220="","",J219)</f>
        <v/>
      </c>
      <c r="L219" s="185" t="n">
        <v>0</v>
      </c>
      <c r="M219" s="201" t="str">
        <f aca="false">IF(A220="","",L219)</f>
        <v/>
      </c>
      <c r="N219" s="203"/>
      <c r="O219" s="200" t="str">
        <f aca="false">IF(A220="","",L219+J219+G219)</f>
        <v/>
      </c>
      <c r="P219" s="200" t="str">
        <f aca="false">IF(A220="","",M219+K219+H219)</f>
        <v/>
      </c>
      <c r="Q219" s="204"/>
      <c r="R219" s="200" t="str">
        <f aca="false">IF($A220="","",VLOOKUP($A219,Table,MATCH(R$4,Curves,0)))</f>
        <v/>
      </c>
      <c r="S219" s="201" t="str">
        <f aca="false">IF(A220="","",R219)</f>
        <v/>
      </c>
      <c r="T219" s="185" t="n">
        <v>0</v>
      </c>
      <c r="U219" s="201" t="str">
        <f aca="false">IF(A220="","",T219)</f>
        <v/>
      </c>
      <c r="V219" s="205"/>
      <c r="W219" s="202" t="str">
        <f aca="false">IF($A220="","",(T219+R219+G219+V219))</f>
        <v/>
      </c>
      <c r="X219" s="202" t="str">
        <f aca="false">IF($A220="","",(U219+S219+H219+V219))</f>
        <v/>
      </c>
      <c r="Y219" s="202"/>
      <c r="Z219" s="185" t="str">
        <f aca="false">IF($A220="","",VLOOKUP($A219,Table,MATCH(Z$4,Curves,0)))</f>
        <v/>
      </c>
      <c r="AA219" s="185" t="str">
        <f aca="false">IF($A220="","",VLOOKUP($A219,Table,MATCH(AA$4,Curves,0)))</f>
        <v/>
      </c>
      <c r="AB219" s="185" t="e">
        <f aca="false">SQRT((AA219^2*(A219-$D$3)+Z219^2*(DAY(EOMONTH(A219,0))/2))/AK219)</f>
        <v>#VALUE!</v>
      </c>
      <c r="AC219" s="185" t="str">
        <f aca="false">IF($A220="","",VLOOKUP($A219,Table,MATCH(AC$4,Curves,0)))</f>
        <v/>
      </c>
      <c r="AD219" s="185" t="str">
        <f aca="false">IF($A220="","",VLOOKUP($A219,Table,MATCH(AD$4,Curves,0)))</f>
        <v/>
      </c>
      <c r="AE219" s="185" t="e">
        <f aca="false">SQRT((AD219^2*(A219-$D$3)+AC219^2*(DAY(EOMONTH(A219,0))/2))/AK219)</f>
        <v>#VALUE!</v>
      </c>
      <c r="AF219" s="224" t="e">
        <f aca="false">((Summary!$N$13*(AA219*AD219)*(A219-$D$3))+(Summary!$M$13*Z219*AC219*(AJ219-EOMONTH(EDATE(A219,-1),0))))/(AK219*AB219*AE219)</f>
        <v>#VALUE!</v>
      </c>
      <c r="AG219" s="207" t="str">
        <f aca="false">IF($A220="","",Summary!$Q$13)</f>
        <v/>
      </c>
      <c r="AH219" s="207" t="str">
        <f aca="false">IF($A220="","",IF(Summary!$R$12="Y",(VLOOKUP($A219,Summary!$AD$6:$AF$9,3)+'Escalating commodity'!I232),'Escalating commodity'!I232))</f>
        <v/>
      </c>
      <c r="AI219" s="207" t="str">
        <f aca="false">IF($A220="","",AH219)</f>
        <v/>
      </c>
      <c r="AJ219" s="208" t="e">
        <f aca="false">A219+DAY(EOMONTH(A219,0))/2-1</f>
        <v>#VALUE!</v>
      </c>
      <c r="AK219" s="209" t="str">
        <f aca="false">IF($A220="","",$A219-$E$1)</f>
        <v/>
      </c>
      <c r="AL219" s="182" t="str">
        <f aca="false">IF($A220="","",SPRDOPT(P219,X219,AI219,0,AB219,AE219,AF219,AK219,$AJ$2,0))</f>
        <v/>
      </c>
      <c r="AM219" s="210" t="str">
        <f aca="false">IF($A220="","",MAX(0,O219-W219-AI219))</f>
        <v/>
      </c>
      <c r="AN219" s="211" t="str">
        <f aca="false">IF($A220="","",AL219-AM219)</f>
        <v/>
      </c>
      <c r="AO219" s="137" t="str">
        <f aca="false">IF(A220="","",A220-A219)</f>
        <v/>
      </c>
      <c r="AP219" s="212" t="str">
        <f aca="false">IF(A220="","",CHOOSE(F$3,A220+24,A219))</f>
        <v/>
      </c>
      <c r="AQ219" s="209" t="str">
        <f aca="false">IF(A220="","",AP219-$E$1)</f>
        <v/>
      </c>
      <c r="AR219" s="185" t="n">
        <f aca="false">'ANR OK vs ML7'!AR219</f>
        <v>0.1</v>
      </c>
      <c r="AS219" s="213" t="str">
        <f aca="false">IF(A220="","",1/(1+CHOOSE(F$3,(AR220+($I$3/10000))/2,(AR219+($I$3/10000))/2))^(2*AQ219/365.25))</f>
        <v/>
      </c>
      <c r="AT219" s="137" t="str">
        <f aca="false">IF(A220="","",IF(AND(mthbeg&lt;=A219,mthend&gt;=A219),1,0))</f>
        <v/>
      </c>
      <c r="AU219" s="137" t="str">
        <f aca="false">IF(A220="","",AO219*AT219)</f>
        <v/>
      </c>
      <c r="AW219" s="195" t="str">
        <f aca="false">IF($A220="","",AL219*$E219)</f>
        <v/>
      </c>
      <c r="AX219" s="195" t="str">
        <f aca="false">IF($A220="","",AM219*$E219)</f>
        <v/>
      </c>
      <c r="AY219" s="195" t="str">
        <f aca="false">IF($A220="","",AN219*$E219)</f>
        <v/>
      </c>
      <c r="BA219" s="195" t="str">
        <f aca="false">IF($A220="","",F219*Summary!$Q$13)</f>
        <v/>
      </c>
    </row>
    <row r="220" customFormat="false" ht="12" hidden="false" customHeight="true" outlineLevel="0" collapsed="false">
      <c r="A220" s="196" t="str">
        <f aca="false">IF(A219&lt;mthend,EDATE(A219,1),"")</f>
        <v/>
      </c>
      <c r="B220" s="197" t="str">
        <f aca="false">IF(A220&lt;mthend,B219,"")</f>
        <v/>
      </c>
      <c r="C220" s="215"/>
      <c r="D220" s="197" t="str">
        <f aca="false">IF(A221&lt;&gt;"",B220+C220,"")</f>
        <v/>
      </c>
      <c r="E220" s="199" t="str">
        <f aca="false">IF(A221="","",IF(AND(AT220=1,$H$3=1),D220*AO220,IF($H$3=2,D220,"N/A")))</f>
        <v/>
      </c>
      <c r="F220" s="199" t="str">
        <f aca="false">IF(A221="","",E220*AS220)</f>
        <v/>
      </c>
      <c r="G220" s="200" t="str">
        <f aca="false">IF($A221="","",VLOOKUP($A220,Table,MATCH(G$4,Curves,0)))</f>
        <v/>
      </c>
      <c r="H220" s="201" t="str">
        <f aca="false">IF(A221="","",G220)</f>
        <v/>
      </c>
      <c r="I220" s="202"/>
      <c r="J220" s="200" t="str">
        <f aca="false">IF($A221="","",VLOOKUP($A220,Table,MATCH(J$4,Curves,0)))</f>
        <v/>
      </c>
      <c r="K220" s="201" t="str">
        <f aca="false">IF(A221="","",J220)</f>
        <v/>
      </c>
      <c r="L220" s="185" t="n">
        <v>0</v>
      </c>
      <c r="M220" s="201" t="str">
        <f aca="false">IF(A221="","",L220)</f>
        <v/>
      </c>
      <c r="N220" s="203"/>
      <c r="O220" s="200" t="str">
        <f aca="false">IF(A221="","",L220+J220+G220)</f>
        <v/>
      </c>
      <c r="P220" s="200" t="str">
        <f aca="false">IF(A221="","",M220+K220+H220)</f>
        <v/>
      </c>
      <c r="Q220" s="204"/>
      <c r="R220" s="200" t="str">
        <f aca="false">IF($A221="","",VLOOKUP($A220,Table,MATCH(R$4,Curves,0)))</f>
        <v/>
      </c>
      <c r="S220" s="201" t="str">
        <f aca="false">IF(A221="","",R220)</f>
        <v/>
      </c>
      <c r="T220" s="185" t="n">
        <v>0</v>
      </c>
      <c r="U220" s="201" t="str">
        <f aca="false">IF(A221="","",T220)</f>
        <v/>
      </c>
      <c r="V220" s="205"/>
      <c r="W220" s="202" t="str">
        <f aca="false">IF($A221="","",(T220+R220+G220+V220))</f>
        <v/>
      </c>
      <c r="X220" s="202" t="str">
        <f aca="false">IF($A221="","",(U220+S220+H220+V220))</f>
        <v/>
      </c>
      <c r="Y220" s="202"/>
      <c r="Z220" s="185" t="str">
        <f aca="false">IF($A221="","",VLOOKUP($A220,Table,MATCH(Z$4,Curves,0)))</f>
        <v/>
      </c>
      <c r="AA220" s="185" t="str">
        <f aca="false">IF($A221="","",VLOOKUP($A220,Table,MATCH(AA$4,Curves,0)))</f>
        <v/>
      </c>
      <c r="AB220" s="185" t="e">
        <f aca="false">SQRT((AA220^2*(A220-$D$3)+Z220^2*(DAY(EOMONTH(A220,0))/2))/AK220)</f>
        <v>#VALUE!</v>
      </c>
      <c r="AC220" s="185" t="str">
        <f aca="false">IF($A221="","",VLOOKUP($A220,Table,MATCH(AC$4,Curves,0)))</f>
        <v/>
      </c>
      <c r="AD220" s="185" t="str">
        <f aca="false">IF($A221="","",VLOOKUP($A220,Table,MATCH(AD$4,Curves,0)))</f>
        <v/>
      </c>
      <c r="AE220" s="185" t="e">
        <f aca="false">SQRT((AD220^2*(A220-$D$3)+AC220^2*(DAY(EOMONTH(A220,0))/2))/AK220)</f>
        <v>#VALUE!</v>
      </c>
      <c r="AF220" s="224" t="e">
        <f aca="false">((Summary!$N$13*(AA220*AD220)*(A220-$D$3))+(Summary!$M$13*Z220*AC220*(AJ220-EOMONTH(EDATE(A220,-1),0))))/(AK220*AB220*AE220)</f>
        <v>#VALUE!</v>
      </c>
      <c r="AG220" s="207" t="str">
        <f aca="false">IF($A221="","",Summary!$Q$13)</f>
        <v/>
      </c>
      <c r="AH220" s="207" t="str">
        <f aca="false">IF($A221="","",IF(Summary!$R$12="Y",(VLOOKUP($A220,Summary!$AD$6:$AF$9,3)+'Escalating commodity'!I233),'Escalating commodity'!I233))</f>
        <v/>
      </c>
      <c r="AI220" s="207" t="str">
        <f aca="false">IF($A221="","",AH220)</f>
        <v/>
      </c>
      <c r="AJ220" s="208" t="e">
        <f aca="false">A220+DAY(EOMONTH(A220,0))/2-1</f>
        <v>#VALUE!</v>
      </c>
      <c r="AK220" s="209" t="str">
        <f aca="false">IF($A221="","",$A220-$E$1)</f>
        <v/>
      </c>
      <c r="AL220" s="182" t="str">
        <f aca="false">IF($A221="","",SPRDOPT(P220,X220,AI220,0,AB220,AE220,AF220,AK220,$AJ$2,0))</f>
        <v/>
      </c>
      <c r="AM220" s="210" t="str">
        <f aca="false">IF($A221="","",MAX(0,O220-W220-AI220))</f>
        <v/>
      </c>
      <c r="AN220" s="211" t="str">
        <f aca="false">IF($A221="","",AL220-AM220)</f>
        <v/>
      </c>
      <c r="AO220" s="137" t="str">
        <f aca="false">IF(A221="","",A221-A220)</f>
        <v/>
      </c>
      <c r="AP220" s="212" t="str">
        <f aca="false">IF(A221="","",CHOOSE(F$3,A221+24,A220))</f>
        <v/>
      </c>
      <c r="AQ220" s="209" t="str">
        <f aca="false">IF(A221="","",AP220-$E$1)</f>
        <v/>
      </c>
      <c r="AR220" s="185" t="n">
        <f aca="false">'ANR OK vs ML7'!AR220</f>
        <v>0.1</v>
      </c>
      <c r="AS220" s="213" t="str">
        <f aca="false">IF(A221="","",1/(1+CHOOSE(F$3,(AR221+($I$3/10000))/2,(AR220+($I$3/10000))/2))^(2*AQ220/365.25))</f>
        <v/>
      </c>
      <c r="AT220" s="137" t="str">
        <f aca="false">IF(A221="","",IF(AND(mthbeg&lt;=A220,mthend&gt;=A220),1,0))</f>
        <v/>
      </c>
      <c r="AU220" s="137" t="str">
        <f aca="false">IF(A221="","",AO220*AT220)</f>
        <v/>
      </c>
      <c r="AW220" s="195" t="str">
        <f aca="false">IF($A221="","",AL220*$E220)</f>
        <v/>
      </c>
      <c r="AX220" s="195" t="str">
        <f aca="false">IF($A221="","",AM220*$E220)</f>
        <v/>
      </c>
      <c r="AY220" s="195" t="str">
        <f aca="false">IF($A221="","",AN220*$E220)</f>
        <v/>
      </c>
      <c r="BA220" s="195" t="str">
        <f aca="false">IF($A221="","",F220*Summary!$Q$13)</f>
        <v/>
      </c>
    </row>
    <row r="221" customFormat="false" ht="12" hidden="false" customHeight="true" outlineLevel="0" collapsed="false">
      <c r="A221" s="196" t="str">
        <f aca="false">IF(A220&lt;mthend,EDATE(A220,1),"")</f>
        <v/>
      </c>
      <c r="B221" s="197" t="str">
        <f aca="false">IF(A221&lt;mthend,B220,"")</f>
        <v/>
      </c>
      <c r="C221" s="215"/>
      <c r="D221" s="197" t="str">
        <f aca="false">IF(A222&lt;&gt;"",B221+C221,"")</f>
        <v/>
      </c>
      <c r="E221" s="199" t="str">
        <f aca="false">IF(A222="","",IF(AND(AT221=1,$H$3=1),D221*AO221,IF($H$3=2,D221,"N/A")))</f>
        <v/>
      </c>
      <c r="F221" s="199" t="str">
        <f aca="false">IF(A222="","",E221*AS221)</f>
        <v/>
      </c>
      <c r="G221" s="200" t="str">
        <f aca="false">IF($A222="","",VLOOKUP($A221,Table,MATCH(G$4,Curves,0)))</f>
        <v/>
      </c>
      <c r="H221" s="201" t="str">
        <f aca="false">IF(A222="","",G221)</f>
        <v/>
      </c>
      <c r="I221" s="202"/>
      <c r="J221" s="200" t="str">
        <f aca="false">IF($A222="","",VLOOKUP($A221,Table,MATCH(J$4,Curves,0)))</f>
        <v/>
      </c>
      <c r="K221" s="201" t="str">
        <f aca="false">IF(A222="","",J221)</f>
        <v/>
      </c>
      <c r="L221" s="185" t="n">
        <v>0</v>
      </c>
      <c r="M221" s="201" t="str">
        <f aca="false">IF(A222="","",L221)</f>
        <v/>
      </c>
      <c r="N221" s="203"/>
      <c r="O221" s="200" t="str">
        <f aca="false">IF(A222="","",L221+J221+G221)</f>
        <v/>
      </c>
      <c r="P221" s="200" t="str">
        <f aca="false">IF(A222="","",M221+K221+H221)</f>
        <v/>
      </c>
      <c r="Q221" s="204"/>
      <c r="R221" s="200" t="str">
        <f aca="false">IF($A222="","",VLOOKUP($A221,Table,MATCH(R$4,Curves,0)))</f>
        <v/>
      </c>
      <c r="S221" s="201" t="str">
        <f aca="false">IF(A222="","",R221)</f>
        <v/>
      </c>
      <c r="T221" s="185" t="n">
        <v>0</v>
      </c>
      <c r="U221" s="201" t="str">
        <f aca="false">IF(A222="","",T221)</f>
        <v/>
      </c>
      <c r="V221" s="205"/>
      <c r="W221" s="202" t="str">
        <f aca="false">IF($A222="","",(T221+R221+G221+V221))</f>
        <v/>
      </c>
      <c r="X221" s="202" t="str">
        <f aca="false">IF($A222="","",(U221+S221+H221+V221))</f>
        <v/>
      </c>
      <c r="Y221" s="202"/>
      <c r="Z221" s="185" t="str">
        <f aca="false">IF($A222="","",VLOOKUP($A221,Table,MATCH(Z$4,Curves,0)))</f>
        <v/>
      </c>
      <c r="AA221" s="185" t="str">
        <f aca="false">IF($A222="","",VLOOKUP($A221,Table,MATCH(AA$4,Curves,0)))</f>
        <v/>
      </c>
      <c r="AB221" s="185" t="e">
        <f aca="false">SQRT((AA221^2*(A221-$D$3)+Z221^2*(DAY(EOMONTH(A221,0))/2))/AK221)</f>
        <v>#VALUE!</v>
      </c>
      <c r="AC221" s="185" t="str">
        <f aca="false">IF($A222="","",VLOOKUP($A221,Table,MATCH(AC$4,Curves,0)))</f>
        <v/>
      </c>
      <c r="AD221" s="185" t="str">
        <f aca="false">IF($A222="","",VLOOKUP($A221,Table,MATCH(AD$4,Curves,0)))</f>
        <v/>
      </c>
      <c r="AE221" s="185" t="e">
        <f aca="false">SQRT((AD221^2*(A221-$D$3)+AC221^2*(DAY(EOMONTH(A221,0))/2))/AK221)</f>
        <v>#VALUE!</v>
      </c>
      <c r="AF221" s="224" t="e">
        <f aca="false">((Summary!$N$13*(AA221*AD221)*(A221-$D$3))+(Summary!$M$13*Z221*AC221*(AJ221-EOMONTH(EDATE(A221,-1),0))))/(AK221*AB221*AE221)</f>
        <v>#VALUE!</v>
      </c>
      <c r="AG221" s="207" t="str">
        <f aca="false">IF($A222="","",Summary!$Q$13)</f>
        <v/>
      </c>
      <c r="AH221" s="207" t="str">
        <f aca="false">IF($A222="","",IF(Summary!$R$12="Y",(VLOOKUP($A221,Summary!$AD$6:$AF$9,3)+'Escalating commodity'!I234),'Escalating commodity'!I234))</f>
        <v/>
      </c>
      <c r="AI221" s="207" t="str">
        <f aca="false">IF($A222="","",AH221)</f>
        <v/>
      </c>
      <c r="AJ221" s="208" t="e">
        <f aca="false">A221+DAY(EOMONTH(A221,0))/2-1</f>
        <v>#VALUE!</v>
      </c>
      <c r="AK221" s="209" t="str">
        <f aca="false">IF($A222="","",$A221-$E$1)</f>
        <v/>
      </c>
      <c r="AL221" s="182" t="str">
        <f aca="false">IF($A222="","",SPRDOPT(P221,X221,AI221,0,AB221,AE221,AF221,AK221,$AJ$2,0))</f>
        <v/>
      </c>
      <c r="AM221" s="210" t="str">
        <f aca="false">IF($A222="","",MAX(0,O221-W221-AI221))</f>
        <v/>
      </c>
      <c r="AN221" s="211" t="str">
        <f aca="false">IF($A222="","",AL221-AM221)</f>
        <v/>
      </c>
      <c r="AO221" s="137" t="str">
        <f aca="false">IF(A222="","",A222-A221)</f>
        <v/>
      </c>
      <c r="AP221" s="212" t="str">
        <f aca="false">IF(A222="","",CHOOSE(F$3,A222+24,A221))</f>
        <v/>
      </c>
      <c r="AQ221" s="209" t="str">
        <f aca="false">IF(A222="","",AP221-$E$1)</f>
        <v/>
      </c>
      <c r="AR221" s="185" t="n">
        <f aca="false">'ANR OK vs ML7'!AR221</f>
        <v>0.1</v>
      </c>
      <c r="AS221" s="213" t="str">
        <f aca="false">IF(A222="","",1/(1+CHOOSE(F$3,(AR222+($I$3/10000))/2,(AR221+($I$3/10000))/2))^(2*AQ221/365.25))</f>
        <v/>
      </c>
      <c r="AT221" s="137" t="str">
        <f aca="false">IF(A222="","",IF(AND(mthbeg&lt;=A221,mthend&gt;=A221),1,0))</f>
        <v/>
      </c>
      <c r="AU221" s="137" t="str">
        <f aca="false">IF(A222="","",AO221*AT221)</f>
        <v/>
      </c>
      <c r="AW221" s="195" t="str">
        <f aca="false">IF($A222="","",AL221*$E221)</f>
        <v/>
      </c>
      <c r="AX221" s="195" t="str">
        <f aca="false">IF($A222="","",AM221*$E221)</f>
        <v/>
      </c>
      <c r="AY221" s="195" t="str">
        <f aca="false">IF($A222="","",AN221*$E221)</f>
        <v/>
      </c>
      <c r="BA221" s="195" t="str">
        <f aca="false">IF($A222="","",F221*Summary!$Q$13)</f>
        <v/>
      </c>
    </row>
    <row r="222" customFormat="false" ht="12" hidden="false" customHeight="true" outlineLevel="0" collapsed="false">
      <c r="A222" s="196" t="str">
        <f aca="false">IF(A221&lt;mthend,EDATE(A221,1),"")</f>
        <v/>
      </c>
      <c r="B222" s="197" t="str">
        <f aca="false">IF(A222&lt;mthend,B221,"")</f>
        <v/>
      </c>
      <c r="C222" s="215"/>
      <c r="D222" s="197" t="str">
        <f aca="false">IF(A223&lt;&gt;"",B222+C222,"")</f>
        <v/>
      </c>
      <c r="E222" s="199" t="str">
        <f aca="false">IF(A223="","",IF(AND(AT222=1,$H$3=1),D222*AO222,IF($H$3=2,D222,"N/A")))</f>
        <v/>
      </c>
      <c r="F222" s="199" t="str">
        <f aca="false">IF(A223="","",E222*AS222)</f>
        <v/>
      </c>
      <c r="G222" s="200" t="str">
        <f aca="false">IF($A223="","",VLOOKUP($A222,Table,MATCH(G$4,Curves,0)))</f>
        <v/>
      </c>
      <c r="H222" s="201" t="str">
        <f aca="false">IF(A223="","",G222)</f>
        <v/>
      </c>
      <c r="I222" s="202"/>
      <c r="J222" s="200" t="str">
        <f aca="false">IF($A223="","",VLOOKUP($A222,Table,MATCH(J$4,Curves,0)))</f>
        <v/>
      </c>
      <c r="K222" s="201" t="str">
        <f aca="false">IF(A223="","",J222)</f>
        <v/>
      </c>
      <c r="L222" s="185" t="n">
        <v>0</v>
      </c>
      <c r="M222" s="201" t="str">
        <f aca="false">IF(A223="","",L222)</f>
        <v/>
      </c>
      <c r="N222" s="203"/>
      <c r="O222" s="200" t="str">
        <f aca="false">IF(A223="","",L222+J222+G222)</f>
        <v/>
      </c>
      <c r="P222" s="200" t="str">
        <f aca="false">IF(A223="","",M222+K222+H222)</f>
        <v/>
      </c>
      <c r="Q222" s="204"/>
      <c r="R222" s="200" t="str">
        <f aca="false">IF($A223="","",VLOOKUP($A222,Table,MATCH(R$4,Curves,0)))</f>
        <v/>
      </c>
      <c r="S222" s="201" t="str">
        <f aca="false">IF(A223="","",R222)</f>
        <v/>
      </c>
      <c r="T222" s="185" t="n">
        <v>0</v>
      </c>
      <c r="U222" s="201" t="str">
        <f aca="false">IF(A223="","",T222)</f>
        <v/>
      </c>
      <c r="V222" s="205"/>
      <c r="W222" s="202" t="str">
        <f aca="false">IF($A223="","",(T222+R222+G222+V222))</f>
        <v/>
      </c>
      <c r="X222" s="202" t="str">
        <f aca="false">IF($A223="","",(U222+S222+H222+V222))</f>
        <v/>
      </c>
      <c r="Y222" s="202"/>
      <c r="Z222" s="185" t="str">
        <f aca="false">IF($A223="","",VLOOKUP($A222,Table,MATCH(Z$4,Curves,0)))</f>
        <v/>
      </c>
      <c r="AA222" s="185" t="str">
        <f aca="false">IF($A223="","",VLOOKUP($A222,Table,MATCH(AA$4,Curves,0)))</f>
        <v/>
      </c>
      <c r="AB222" s="185" t="e">
        <f aca="false">SQRT((AA222^2*(A222-$D$3)+Z222^2*(DAY(EOMONTH(A222,0))/2))/AK222)</f>
        <v>#VALUE!</v>
      </c>
      <c r="AC222" s="185" t="str">
        <f aca="false">IF($A223="","",VLOOKUP($A222,Table,MATCH(AC$4,Curves,0)))</f>
        <v/>
      </c>
      <c r="AD222" s="185" t="str">
        <f aca="false">IF($A223="","",VLOOKUP($A222,Table,MATCH(AD$4,Curves,0)))</f>
        <v/>
      </c>
      <c r="AE222" s="185" t="e">
        <f aca="false">SQRT((AD222^2*(A222-$D$3)+AC222^2*(DAY(EOMONTH(A222,0))/2))/AK222)</f>
        <v>#VALUE!</v>
      </c>
      <c r="AF222" s="224" t="e">
        <f aca="false">((Summary!$N$13*(AA222*AD222)*(A222-$D$3))+(Summary!$M$13*Z222*AC222*(AJ222-EOMONTH(EDATE(A222,-1),0))))/(AK222*AB222*AE222)</f>
        <v>#VALUE!</v>
      </c>
      <c r="AG222" s="207" t="str">
        <f aca="false">IF($A223="","",Summary!$Q$13)</f>
        <v/>
      </c>
      <c r="AH222" s="207" t="str">
        <f aca="false">IF($A223="","",IF(Summary!$R$12="Y",(VLOOKUP($A222,Summary!$AD$6:$AF$9,3)+'Escalating commodity'!I235),'Escalating commodity'!I235))</f>
        <v/>
      </c>
      <c r="AI222" s="207" t="str">
        <f aca="false">IF($A223="","",AH222)</f>
        <v/>
      </c>
      <c r="AJ222" s="208" t="e">
        <f aca="false">A222+DAY(EOMONTH(A222,0))/2-1</f>
        <v>#VALUE!</v>
      </c>
      <c r="AK222" s="209" t="str">
        <f aca="false">IF($A223="","",$A222-$E$1)</f>
        <v/>
      </c>
      <c r="AL222" s="182" t="str">
        <f aca="false">IF($A223="","",SPRDOPT(P222,X222,AI222,0,AB222,AE222,AF222,AK222,$AJ$2,0))</f>
        <v/>
      </c>
      <c r="AM222" s="210" t="str">
        <f aca="false">IF($A223="","",MAX(0,O222-W222-AI222))</f>
        <v/>
      </c>
      <c r="AN222" s="211" t="str">
        <f aca="false">IF($A223="","",AL222-AM222)</f>
        <v/>
      </c>
      <c r="AO222" s="137" t="str">
        <f aca="false">IF(A223="","",A223-A222)</f>
        <v/>
      </c>
      <c r="AP222" s="212" t="str">
        <f aca="false">IF(A223="","",CHOOSE(F$3,A223+24,A222))</f>
        <v/>
      </c>
      <c r="AQ222" s="209" t="str">
        <f aca="false">IF(A223="","",AP222-$E$1)</f>
        <v/>
      </c>
      <c r="AR222" s="185" t="n">
        <f aca="false">'ANR OK vs ML7'!AR222</f>
        <v>0.1</v>
      </c>
      <c r="AS222" s="213" t="str">
        <f aca="false">IF(A223="","",1/(1+CHOOSE(F$3,(AR223+($I$3/10000))/2,(AR222+($I$3/10000))/2))^(2*AQ222/365.25))</f>
        <v/>
      </c>
      <c r="AT222" s="137" t="str">
        <f aca="false">IF(A223="","",IF(AND(mthbeg&lt;=A222,mthend&gt;=A222),1,0))</f>
        <v/>
      </c>
      <c r="AU222" s="137" t="str">
        <f aca="false">IF(A223="","",AO222*AT222)</f>
        <v/>
      </c>
      <c r="AW222" s="195" t="str">
        <f aca="false">IF($A223="","",AL222*$E222)</f>
        <v/>
      </c>
      <c r="AX222" s="195" t="str">
        <f aca="false">IF($A223="","",AM222*$E222)</f>
        <v/>
      </c>
      <c r="AY222" s="195" t="str">
        <f aca="false">IF($A223="","",AN222*$E222)</f>
        <v/>
      </c>
      <c r="BA222" s="195" t="str">
        <f aca="false">IF($A223="","",F222*Summary!$Q$13)</f>
        <v/>
      </c>
    </row>
    <row r="223" customFormat="false" ht="12" hidden="false" customHeight="true" outlineLevel="0" collapsed="false">
      <c r="A223" s="196" t="str">
        <f aca="false">IF(A222&lt;mthend,EDATE(A222,1),"")</f>
        <v/>
      </c>
      <c r="B223" s="197" t="str">
        <f aca="false">IF(A223&lt;mthend,B222,"")</f>
        <v/>
      </c>
      <c r="C223" s="215"/>
      <c r="D223" s="197" t="str">
        <f aca="false">IF(A224&lt;&gt;"",B223+C223,"")</f>
        <v/>
      </c>
      <c r="E223" s="199" t="str">
        <f aca="false">IF(A224="","",IF(AND(AT223=1,$H$3=1),D223*AO223,IF($H$3=2,D223,"N/A")))</f>
        <v/>
      </c>
      <c r="F223" s="199" t="str">
        <f aca="false">IF(A224="","",E223*AS223)</f>
        <v/>
      </c>
      <c r="G223" s="200" t="str">
        <f aca="false">IF($A224="","",VLOOKUP($A223,Table,MATCH(G$4,Curves,0)))</f>
        <v/>
      </c>
      <c r="H223" s="201" t="str">
        <f aca="false">IF(A224="","",G223)</f>
        <v/>
      </c>
      <c r="I223" s="202"/>
      <c r="J223" s="200" t="str">
        <f aca="false">IF($A224="","",VLOOKUP($A223,Table,MATCH(J$4,Curves,0)))</f>
        <v/>
      </c>
      <c r="K223" s="201" t="str">
        <f aca="false">IF(A224="","",J223)</f>
        <v/>
      </c>
      <c r="L223" s="185" t="n">
        <v>0</v>
      </c>
      <c r="M223" s="201" t="str">
        <f aca="false">IF(A224="","",L223)</f>
        <v/>
      </c>
      <c r="N223" s="203"/>
      <c r="O223" s="200" t="str">
        <f aca="false">IF(A224="","",L223+J223+G223)</f>
        <v/>
      </c>
      <c r="P223" s="200" t="str">
        <f aca="false">IF(A224="","",M223+K223+H223)</f>
        <v/>
      </c>
      <c r="Q223" s="204"/>
      <c r="R223" s="200" t="str">
        <f aca="false">IF($A224="","",VLOOKUP($A223,Table,MATCH(R$4,Curves,0)))</f>
        <v/>
      </c>
      <c r="S223" s="201" t="str">
        <f aca="false">IF(A224="","",R223)</f>
        <v/>
      </c>
      <c r="T223" s="185" t="n">
        <v>0</v>
      </c>
      <c r="U223" s="201" t="str">
        <f aca="false">IF(A224="","",T223)</f>
        <v/>
      </c>
      <c r="V223" s="205"/>
      <c r="W223" s="202" t="str">
        <f aca="false">IF($A224="","",(T223+R223+G223+V223))</f>
        <v/>
      </c>
      <c r="X223" s="202" t="str">
        <f aca="false">IF($A224="","",(U223+S223+H223+V223))</f>
        <v/>
      </c>
      <c r="Y223" s="202"/>
      <c r="Z223" s="185" t="str">
        <f aca="false">IF($A224="","",VLOOKUP($A223,Table,MATCH(Z$4,Curves,0)))</f>
        <v/>
      </c>
      <c r="AA223" s="185" t="str">
        <f aca="false">IF($A224="","",VLOOKUP($A223,Table,MATCH(AA$4,Curves,0)))</f>
        <v/>
      </c>
      <c r="AB223" s="185" t="e">
        <f aca="false">SQRT((AA223^2*(A223-$D$3)+Z223^2*(DAY(EOMONTH(A223,0))/2))/AK223)</f>
        <v>#VALUE!</v>
      </c>
      <c r="AC223" s="185" t="str">
        <f aca="false">IF($A224="","",VLOOKUP($A223,Table,MATCH(AC$4,Curves,0)))</f>
        <v/>
      </c>
      <c r="AD223" s="185" t="str">
        <f aca="false">IF($A224="","",VLOOKUP($A223,Table,MATCH(AD$4,Curves,0)))</f>
        <v/>
      </c>
      <c r="AE223" s="185" t="e">
        <f aca="false">SQRT((AD223^2*(A223-$D$3)+AC223^2*(DAY(EOMONTH(A223,0))/2))/AK223)</f>
        <v>#VALUE!</v>
      </c>
      <c r="AF223" s="224" t="e">
        <f aca="false">((Summary!$N$13*(AA223*AD223)*(A223-$D$3))+(Summary!$M$13*Z223*AC223*(AJ223-EOMONTH(EDATE(A223,-1),0))))/(AK223*AB223*AE223)</f>
        <v>#VALUE!</v>
      </c>
      <c r="AG223" s="207" t="str">
        <f aca="false">IF($A224="","",Summary!$Q$13)</f>
        <v/>
      </c>
      <c r="AH223" s="207" t="str">
        <f aca="false">IF($A224="","",IF(Summary!$R$12="Y",(VLOOKUP($A223,Summary!$AD$6:$AF$9,3)+'Escalating commodity'!I236),'Escalating commodity'!I236))</f>
        <v/>
      </c>
      <c r="AI223" s="207" t="str">
        <f aca="false">IF($A224="","",AH223)</f>
        <v/>
      </c>
      <c r="AJ223" s="208" t="e">
        <f aca="false">A223+DAY(EOMONTH(A223,0))/2-1</f>
        <v>#VALUE!</v>
      </c>
      <c r="AK223" s="209" t="str">
        <f aca="false">IF($A224="","",$A223-$E$1)</f>
        <v/>
      </c>
      <c r="AL223" s="182" t="str">
        <f aca="false">IF($A224="","",SPRDOPT(P223,X223,AI223,0,AB223,AE223,AF223,AK223,$AJ$2,0))</f>
        <v/>
      </c>
      <c r="AM223" s="210" t="str">
        <f aca="false">IF($A224="","",MAX(0,O223-W223-AI223))</f>
        <v/>
      </c>
      <c r="AN223" s="211" t="str">
        <f aca="false">IF($A224="","",AL223-AM223)</f>
        <v/>
      </c>
      <c r="AO223" s="137" t="str">
        <f aca="false">IF(A224="","",A224-A223)</f>
        <v/>
      </c>
      <c r="AP223" s="212" t="str">
        <f aca="false">IF(A224="","",CHOOSE(F$3,A224+24,A223))</f>
        <v/>
      </c>
      <c r="AQ223" s="209" t="str">
        <f aca="false">IF(A224="","",AP223-$E$1)</f>
        <v/>
      </c>
      <c r="AR223" s="185" t="n">
        <f aca="false">'ANR OK vs ML7'!AR223</f>
        <v>0.1</v>
      </c>
      <c r="AS223" s="213" t="str">
        <f aca="false">IF(A224="","",1/(1+CHOOSE(F$3,(AR224+($I$3/10000))/2,(AR223+($I$3/10000))/2))^(2*AQ223/365.25))</f>
        <v/>
      </c>
      <c r="AT223" s="137" t="str">
        <f aca="false">IF(A224="","",IF(AND(mthbeg&lt;=A223,mthend&gt;=A223),1,0))</f>
        <v/>
      </c>
      <c r="AU223" s="137" t="str">
        <f aca="false">IF(A224="","",AO223*AT223)</f>
        <v/>
      </c>
      <c r="AW223" s="195" t="str">
        <f aca="false">IF($A224="","",AL223*$E223)</f>
        <v/>
      </c>
      <c r="AX223" s="195" t="str">
        <f aca="false">IF($A224="","",AM223*$E223)</f>
        <v/>
      </c>
      <c r="AY223" s="195" t="str">
        <f aca="false">IF($A224="","",AN223*$E223)</f>
        <v/>
      </c>
      <c r="BA223" s="195" t="str">
        <f aca="false">IF($A224="","",F223*Summary!$Q$13)</f>
        <v/>
      </c>
    </row>
    <row r="224" customFormat="false" ht="12" hidden="false" customHeight="true" outlineLevel="0" collapsed="false">
      <c r="A224" s="196" t="str">
        <f aca="false">IF(A223&lt;mthend,EDATE(A223,1),"")</f>
        <v/>
      </c>
      <c r="B224" s="197" t="str">
        <f aca="false">IF(A224&lt;mthend,B223,"")</f>
        <v/>
      </c>
      <c r="C224" s="215"/>
      <c r="D224" s="197" t="str">
        <f aca="false">IF(A225&lt;&gt;"",B224+C224,"")</f>
        <v/>
      </c>
      <c r="E224" s="199" t="str">
        <f aca="false">IF(A225="","",IF(AND(AT224=1,$H$3=1),D224*AO224,IF($H$3=2,D224,"N/A")))</f>
        <v/>
      </c>
      <c r="F224" s="199" t="str">
        <f aca="false">IF(A225="","",E224*AS224)</f>
        <v/>
      </c>
      <c r="G224" s="200" t="str">
        <f aca="false">IF($A225="","",VLOOKUP($A224,Table,MATCH(G$4,Curves,0)))</f>
        <v/>
      </c>
      <c r="H224" s="201" t="str">
        <f aca="false">IF(A225="","",G224)</f>
        <v/>
      </c>
      <c r="I224" s="202"/>
      <c r="J224" s="200" t="str">
        <f aca="false">IF($A225="","",VLOOKUP($A224,Table,MATCH(J$4,Curves,0)))</f>
        <v/>
      </c>
      <c r="K224" s="201" t="str">
        <f aca="false">IF(A225="","",J224)</f>
        <v/>
      </c>
      <c r="L224" s="185" t="n">
        <v>0</v>
      </c>
      <c r="M224" s="201" t="str">
        <f aca="false">IF(A225="","",L224)</f>
        <v/>
      </c>
      <c r="N224" s="203"/>
      <c r="O224" s="200" t="str">
        <f aca="false">IF(A225="","",L224+J224+G224)</f>
        <v/>
      </c>
      <c r="P224" s="200" t="str">
        <f aca="false">IF(A225="","",M224+K224+H224)</f>
        <v/>
      </c>
      <c r="Q224" s="204"/>
      <c r="R224" s="200" t="str">
        <f aca="false">IF($A225="","",VLOOKUP($A224,Table,MATCH(R$4,Curves,0)))</f>
        <v/>
      </c>
      <c r="S224" s="201" t="str">
        <f aca="false">IF(A225="","",R224)</f>
        <v/>
      </c>
      <c r="T224" s="185" t="n">
        <v>0</v>
      </c>
      <c r="U224" s="201" t="str">
        <f aca="false">IF(A225="","",T224)</f>
        <v/>
      </c>
      <c r="V224" s="205"/>
      <c r="W224" s="202" t="str">
        <f aca="false">IF($A225="","",(T224+R224+G224+V224))</f>
        <v/>
      </c>
      <c r="X224" s="202" t="str">
        <f aca="false">IF($A225="","",(U224+S224+H224+V224))</f>
        <v/>
      </c>
      <c r="Y224" s="202"/>
      <c r="Z224" s="185" t="str">
        <f aca="false">IF($A225="","",VLOOKUP($A224,Table,MATCH(Z$4,Curves,0)))</f>
        <v/>
      </c>
      <c r="AA224" s="185" t="str">
        <f aca="false">IF($A225="","",VLOOKUP($A224,Table,MATCH(AA$4,Curves,0)))</f>
        <v/>
      </c>
      <c r="AB224" s="185" t="e">
        <f aca="false">SQRT((AA224^2*(A224-$D$3)+Z224^2*(DAY(EOMONTH(A224,0))/2))/AK224)</f>
        <v>#VALUE!</v>
      </c>
      <c r="AC224" s="185" t="str">
        <f aca="false">IF($A225="","",VLOOKUP($A224,Table,MATCH(AC$4,Curves,0)))</f>
        <v/>
      </c>
      <c r="AD224" s="185" t="str">
        <f aca="false">IF($A225="","",VLOOKUP($A224,Table,MATCH(AD$4,Curves,0)))</f>
        <v/>
      </c>
      <c r="AE224" s="185" t="e">
        <f aca="false">SQRT((AD224^2*(A224-$D$3)+AC224^2*(DAY(EOMONTH(A224,0))/2))/AK224)</f>
        <v>#VALUE!</v>
      </c>
      <c r="AF224" s="224" t="e">
        <f aca="false">((Summary!$N$13*(AA224*AD224)*(A224-$D$3))+(Summary!$M$13*Z224*AC224*(AJ224-EOMONTH(EDATE(A224,-1),0))))/(AK224*AB224*AE224)</f>
        <v>#VALUE!</v>
      </c>
      <c r="AG224" s="207" t="str">
        <f aca="false">IF($A225="","",Summary!$Q$13)</f>
        <v/>
      </c>
      <c r="AH224" s="207" t="str">
        <f aca="false">IF($A225="","",IF(Summary!$R$12="Y",(VLOOKUP($A224,Summary!$AD$6:$AF$9,3)+'Escalating commodity'!I237),'Escalating commodity'!I237))</f>
        <v/>
      </c>
      <c r="AI224" s="207" t="str">
        <f aca="false">IF($A225="","",AH224)</f>
        <v/>
      </c>
      <c r="AJ224" s="208" t="e">
        <f aca="false">A224+DAY(EOMONTH(A224,0))/2-1</f>
        <v>#VALUE!</v>
      </c>
      <c r="AK224" s="209" t="str">
        <f aca="false">IF($A225="","",$A224-$E$1)</f>
        <v/>
      </c>
      <c r="AL224" s="182" t="str">
        <f aca="false">IF($A225="","",SPRDOPT(P224,X224,AI224,0,AB224,AE224,AF224,AK224,$AJ$2,0))</f>
        <v/>
      </c>
      <c r="AM224" s="210" t="str">
        <f aca="false">IF($A225="","",MAX(0,O224-W224-AI224))</f>
        <v/>
      </c>
      <c r="AN224" s="211" t="str">
        <f aca="false">IF($A225="","",AL224-AM224)</f>
        <v/>
      </c>
      <c r="AO224" s="137" t="str">
        <f aca="false">IF(A225="","",A225-A224)</f>
        <v/>
      </c>
      <c r="AP224" s="212" t="str">
        <f aca="false">IF(A225="","",CHOOSE(F$3,A225+24,A224))</f>
        <v/>
      </c>
      <c r="AQ224" s="209" t="str">
        <f aca="false">IF(A225="","",AP224-$E$1)</f>
        <v/>
      </c>
      <c r="AR224" s="185" t="n">
        <f aca="false">'ANR OK vs ML7'!AR224</f>
        <v>0.1</v>
      </c>
      <c r="AS224" s="213" t="str">
        <f aca="false">IF(A225="","",1/(1+CHOOSE(F$3,(AR225+($I$3/10000))/2,(AR224+($I$3/10000))/2))^(2*AQ224/365.25))</f>
        <v/>
      </c>
      <c r="AT224" s="137" t="str">
        <f aca="false">IF(A225="","",IF(AND(mthbeg&lt;=A224,mthend&gt;=A224),1,0))</f>
        <v/>
      </c>
      <c r="AU224" s="137" t="str">
        <f aca="false">IF(A225="","",AO224*AT224)</f>
        <v/>
      </c>
      <c r="AW224" s="195" t="str">
        <f aca="false">IF($A225="","",AL224*$E224)</f>
        <v/>
      </c>
      <c r="AX224" s="195" t="str">
        <f aca="false">IF($A225="","",AM224*$E224)</f>
        <v/>
      </c>
      <c r="AY224" s="195" t="str">
        <f aca="false">IF($A225="","",AN224*$E224)</f>
        <v/>
      </c>
      <c r="BA224" s="195" t="str">
        <f aca="false">IF($A225="","",F224*Summary!$Q$13)</f>
        <v/>
      </c>
    </row>
    <row r="225" customFormat="false" ht="12" hidden="false" customHeight="true" outlineLevel="0" collapsed="false">
      <c r="A225" s="196" t="str">
        <f aca="false">IF(A224&lt;mthend,EDATE(A224,1),"")</f>
        <v/>
      </c>
      <c r="B225" s="197" t="str">
        <f aca="false">IF(A225&lt;mthend,B224,"")</f>
        <v/>
      </c>
      <c r="C225" s="215"/>
      <c r="D225" s="197" t="str">
        <f aca="false">IF(A226&lt;&gt;"",B225+C225,"")</f>
        <v/>
      </c>
      <c r="E225" s="199" t="str">
        <f aca="false">IF(A226="","",IF(AND(AT225=1,$H$3=1),D225*AO225,IF($H$3=2,D225,"N/A")))</f>
        <v/>
      </c>
      <c r="F225" s="199" t="str">
        <f aca="false">IF(A226="","",E225*AS225)</f>
        <v/>
      </c>
      <c r="G225" s="200" t="str">
        <f aca="false">IF($A226="","",VLOOKUP($A225,Table,MATCH(G$4,Curves,0)))</f>
        <v/>
      </c>
      <c r="H225" s="201" t="str">
        <f aca="false">IF(A226="","",G225)</f>
        <v/>
      </c>
      <c r="I225" s="202"/>
      <c r="J225" s="200" t="str">
        <f aca="false">IF($A226="","",VLOOKUP($A225,Table,MATCH(J$4,Curves,0)))</f>
        <v/>
      </c>
      <c r="K225" s="201" t="str">
        <f aca="false">IF(A226="","",J225)</f>
        <v/>
      </c>
      <c r="L225" s="185" t="n">
        <v>0</v>
      </c>
      <c r="M225" s="201" t="str">
        <f aca="false">IF(A226="","",L225)</f>
        <v/>
      </c>
      <c r="N225" s="203"/>
      <c r="O225" s="200" t="str">
        <f aca="false">IF(A226="","",L225+J225+G225)</f>
        <v/>
      </c>
      <c r="P225" s="200" t="str">
        <f aca="false">IF(A226="","",M225+K225+H225)</f>
        <v/>
      </c>
      <c r="Q225" s="204"/>
      <c r="R225" s="200" t="str">
        <f aca="false">IF($A226="","",VLOOKUP($A225,Table,MATCH(R$4,Curves,0)))</f>
        <v/>
      </c>
      <c r="S225" s="201" t="str">
        <f aca="false">IF(A226="","",R225)</f>
        <v/>
      </c>
      <c r="T225" s="185" t="n">
        <v>0</v>
      </c>
      <c r="U225" s="201" t="str">
        <f aca="false">IF(A226="","",T225)</f>
        <v/>
      </c>
      <c r="V225" s="205"/>
      <c r="W225" s="202" t="str">
        <f aca="false">IF($A226="","",(T225+R225+G225+V225))</f>
        <v/>
      </c>
      <c r="X225" s="202" t="str">
        <f aca="false">IF($A226="","",(U225+S225+H225+V225))</f>
        <v/>
      </c>
      <c r="Y225" s="202"/>
      <c r="Z225" s="185" t="str">
        <f aca="false">IF($A226="","",VLOOKUP($A225,Table,MATCH(Z$4,Curves,0)))</f>
        <v/>
      </c>
      <c r="AA225" s="185" t="str">
        <f aca="false">IF($A226="","",VLOOKUP($A225,Table,MATCH(AA$4,Curves,0)))</f>
        <v/>
      </c>
      <c r="AB225" s="185" t="e">
        <f aca="false">SQRT((AA225^2*(A225-$D$3)+Z225^2*(DAY(EOMONTH(A225,0))/2))/AK225)</f>
        <v>#VALUE!</v>
      </c>
      <c r="AC225" s="185" t="str">
        <f aca="false">IF($A226="","",VLOOKUP($A225,Table,MATCH(AC$4,Curves,0)))</f>
        <v/>
      </c>
      <c r="AD225" s="185" t="str">
        <f aca="false">IF($A226="","",VLOOKUP($A225,Table,MATCH(AD$4,Curves,0)))</f>
        <v/>
      </c>
      <c r="AE225" s="185" t="e">
        <f aca="false">SQRT((AD225^2*(A225-$D$3)+AC225^2*(DAY(EOMONTH(A225,0))/2))/AK225)</f>
        <v>#VALUE!</v>
      </c>
      <c r="AF225" s="224" t="e">
        <f aca="false">((Summary!$N$13*(AA225*AD225)*(A225-$D$3))+(Summary!$M$13*Z225*AC225*(AJ225-EOMONTH(EDATE(A225,-1),0))))/(AK225*AB225*AE225)</f>
        <v>#VALUE!</v>
      </c>
      <c r="AG225" s="207" t="str">
        <f aca="false">IF($A226="","",Summary!$Q$13)</f>
        <v/>
      </c>
      <c r="AH225" s="207" t="str">
        <f aca="false">IF($A226="","",IF(Summary!$R$12="Y",(VLOOKUP($A225,Summary!$AD$6:$AF$9,3)+'Escalating commodity'!I238),'Escalating commodity'!I238))</f>
        <v/>
      </c>
      <c r="AI225" s="207" t="str">
        <f aca="false">IF($A226="","",AH225)</f>
        <v/>
      </c>
      <c r="AJ225" s="208" t="e">
        <f aca="false">A225+DAY(EOMONTH(A225,0))/2-1</f>
        <v>#VALUE!</v>
      </c>
      <c r="AK225" s="209" t="str">
        <f aca="false">IF($A226="","",$A225-$E$1)</f>
        <v/>
      </c>
      <c r="AL225" s="182" t="str">
        <f aca="false">IF($A226="","",SPRDOPT(P225,X225,AI225,0,AB225,AE225,AF225,AK225,$AJ$2,0))</f>
        <v/>
      </c>
      <c r="AM225" s="210" t="str">
        <f aca="false">IF($A226="","",MAX(0,O225-W225-AI225))</f>
        <v/>
      </c>
      <c r="AN225" s="211" t="str">
        <f aca="false">IF($A226="","",AL225-AM225)</f>
        <v/>
      </c>
      <c r="AO225" s="137" t="str">
        <f aca="false">IF(A226="","",A226-A225)</f>
        <v/>
      </c>
      <c r="AP225" s="212" t="str">
        <f aca="false">IF(A226="","",CHOOSE(F$3,A226+24,A225))</f>
        <v/>
      </c>
      <c r="AQ225" s="209" t="str">
        <f aca="false">IF(A226="","",AP225-$E$1)</f>
        <v/>
      </c>
      <c r="AR225" s="185" t="n">
        <f aca="false">'ANR OK vs ML7'!AR225</f>
        <v>0.1</v>
      </c>
      <c r="AS225" s="213" t="str">
        <f aca="false">IF(A226="","",1/(1+CHOOSE(F$3,(AR226+($I$3/10000))/2,(AR225+($I$3/10000))/2))^(2*AQ225/365.25))</f>
        <v/>
      </c>
      <c r="AT225" s="137" t="str">
        <f aca="false">IF(A226="","",IF(AND(mthbeg&lt;=A225,mthend&gt;=A225),1,0))</f>
        <v/>
      </c>
      <c r="AU225" s="137" t="str">
        <f aca="false">IF(A226="","",AO225*AT225)</f>
        <v/>
      </c>
      <c r="AW225" s="195" t="str">
        <f aca="false">IF($A226="","",AL225*$E225)</f>
        <v/>
      </c>
      <c r="AX225" s="195" t="str">
        <f aca="false">IF($A226="","",AM225*$E225)</f>
        <v/>
      </c>
      <c r="AY225" s="195" t="str">
        <f aca="false">IF($A226="","",AN225*$E225)</f>
        <v/>
      </c>
      <c r="BA225" s="195" t="str">
        <f aca="false">IF($A226="","",F225*Summary!$Q$13)</f>
        <v/>
      </c>
    </row>
    <row r="226" customFormat="false" ht="12" hidden="false" customHeight="true" outlineLevel="0" collapsed="false">
      <c r="A226" s="196" t="str">
        <f aca="false">IF(A225&lt;mthend,EDATE(A225,1),"")</f>
        <v/>
      </c>
      <c r="B226" s="197" t="str">
        <f aca="false">IF(A226&lt;mthend,B225,"")</f>
        <v/>
      </c>
      <c r="C226" s="215"/>
      <c r="D226" s="197" t="str">
        <f aca="false">IF(A227&lt;&gt;"",B226+C226,"")</f>
        <v/>
      </c>
      <c r="E226" s="199" t="str">
        <f aca="false">IF(A227="","",IF(AND(AT226=1,$H$3=1),D226*AO226,IF($H$3=2,D226,"N/A")))</f>
        <v/>
      </c>
      <c r="F226" s="199" t="str">
        <f aca="false">IF(A227="","",E226*AS226)</f>
        <v/>
      </c>
      <c r="G226" s="200" t="str">
        <f aca="false">IF($A227="","",VLOOKUP($A226,Table,MATCH(G$4,Curves,0)))</f>
        <v/>
      </c>
      <c r="H226" s="201" t="str">
        <f aca="false">IF(A227="","",G226)</f>
        <v/>
      </c>
      <c r="I226" s="202"/>
      <c r="J226" s="200" t="str">
        <f aca="false">IF($A227="","",VLOOKUP($A226,Table,MATCH(J$4,Curves,0)))</f>
        <v/>
      </c>
      <c r="K226" s="201" t="str">
        <f aca="false">IF(A227="","",J226)</f>
        <v/>
      </c>
      <c r="L226" s="185" t="n">
        <v>0</v>
      </c>
      <c r="M226" s="201" t="str">
        <f aca="false">IF(A227="","",L226)</f>
        <v/>
      </c>
      <c r="N226" s="203"/>
      <c r="O226" s="200" t="str">
        <f aca="false">IF(A227="","",L226+J226+G226)</f>
        <v/>
      </c>
      <c r="P226" s="200" t="str">
        <f aca="false">IF(A227="","",M226+K226+H226)</f>
        <v/>
      </c>
      <c r="Q226" s="204"/>
      <c r="R226" s="200" t="str">
        <f aca="false">IF($A227="","",VLOOKUP($A226,Table,MATCH(R$4,Curves,0)))</f>
        <v/>
      </c>
      <c r="S226" s="201" t="str">
        <f aca="false">IF(A227="","",R226)</f>
        <v/>
      </c>
      <c r="T226" s="185" t="n">
        <v>0</v>
      </c>
      <c r="U226" s="201" t="str">
        <f aca="false">IF(A227="","",T226)</f>
        <v/>
      </c>
      <c r="V226" s="205"/>
      <c r="W226" s="202" t="str">
        <f aca="false">IF($A227="","",(T226+R226+G226+V226))</f>
        <v/>
      </c>
      <c r="X226" s="202" t="str">
        <f aca="false">IF($A227="","",(U226+S226+H226+V226))</f>
        <v/>
      </c>
      <c r="Y226" s="202"/>
      <c r="Z226" s="185" t="str">
        <f aca="false">IF($A227="","",VLOOKUP($A226,Table,MATCH(Z$4,Curves,0)))</f>
        <v/>
      </c>
      <c r="AA226" s="185" t="str">
        <f aca="false">IF($A227="","",VLOOKUP($A226,Table,MATCH(AA$4,Curves,0)))</f>
        <v/>
      </c>
      <c r="AB226" s="185" t="e">
        <f aca="false">SQRT((AA226^2*(A226-$D$3)+Z226^2*(DAY(EOMONTH(A226,0))/2))/AK226)</f>
        <v>#VALUE!</v>
      </c>
      <c r="AC226" s="185" t="str">
        <f aca="false">IF($A227="","",VLOOKUP($A226,Table,MATCH(AC$4,Curves,0)))</f>
        <v/>
      </c>
      <c r="AD226" s="185" t="str">
        <f aca="false">IF($A227="","",VLOOKUP($A226,Table,MATCH(AD$4,Curves,0)))</f>
        <v/>
      </c>
      <c r="AE226" s="185" t="e">
        <f aca="false">SQRT((AD226^2*(A226-$D$3)+AC226^2*(DAY(EOMONTH(A226,0))/2))/AK226)</f>
        <v>#VALUE!</v>
      </c>
      <c r="AF226" s="224" t="e">
        <f aca="false">((Summary!$N$13*(AA226*AD226)*(A226-$D$3))+(Summary!$M$13*Z226*AC226*(AJ226-EOMONTH(EDATE(A226,-1),0))))/(AK226*AB226*AE226)</f>
        <v>#VALUE!</v>
      </c>
      <c r="AG226" s="207" t="str">
        <f aca="false">IF($A227="","",Summary!$Q$13)</f>
        <v/>
      </c>
      <c r="AH226" s="207" t="str">
        <f aca="false">IF($A227="","",IF(Summary!$R$12="Y",(VLOOKUP($A226,Summary!$AD$6:$AF$9,3)+'Escalating commodity'!I239),'Escalating commodity'!I239))</f>
        <v/>
      </c>
      <c r="AI226" s="207" t="str">
        <f aca="false">IF($A227="","",AH226)</f>
        <v/>
      </c>
      <c r="AJ226" s="208" t="e">
        <f aca="false">A226+DAY(EOMONTH(A226,0))/2-1</f>
        <v>#VALUE!</v>
      </c>
      <c r="AK226" s="209" t="str">
        <f aca="false">IF($A227="","",$A226-$E$1)</f>
        <v/>
      </c>
      <c r="AL226" s="182" t="str">
        <f aca="false">IF($A227="","",SPRDOPT(P226,X226,AI226,0,AB226,AE226,AF226,AK226,$AJ$2,0))</f>
        <v/>
      </c>
      <c r="AM226" s="210" t="str">
        <f aca="false">IF($A227="","",MAX(0,O226-W226-AI226))</f>
        <v/>
      </c>
      <c r="AN226" s="211" t="str">
        <f aca="false">IF($A227="","",AL226-AM226)</f>
        <v/>
      </c>
      <c r="AO226" s="137" t="str">
        <f aca="false">IF(A227="","",A227-A226)</f>
        <v/>
      </c>
      <c r="AP226" s="212" t="str">
        <f aca="false">IF(A227="","",CHOOSE(F$3,A227+24,A226))</f>
        <v/>
      </c>
      <c r="AQ226" s="209" t="str">
        <f aca="false">IF(A227="","",AP226-$E$1)</f>
        <v/>
      </c>
      <c r="AR226" s="185" t="n">
        <f aca="false">'ANR OK vs ML7'!AR226</f>
        <v>0.1</v>
      </c>
      <c r="AS226" s="213" t="str">
        <f aca="false">IF(A227="","",1/(1+CHOOSE(F$3,(AR227+($I$3/10000))/2,(AR226+($I$3/10000))/2))^(2*AQ226/365.25))</f>
        <v/>
      </c>
      <c r="AT226" s="137" t="str">
        <f aca="false">IF(A227="","",IF(AND(mthbeg&lt;=A226,mthend&gt;=A226),1,0))</f>
        <v/>
      </c>
      <c r="AU226" s="137" t="str">
        <f aca="false">IF(A227="","",AO226*AT226)</f>
        <v/>
      </c>
      <c r="AW226" s="195" t="str">
        <f aca="false">IF($A227="","",AL226*$E226)</f>
        <v/>
      </c>
      <c r="AX226" s="195" t="str">
        <f aca="false">IF($A227="","",AM226*$E226)</f>
        <v/>
      </c>
      <c r="AY226" s="195" t="str">
        <f aca="false">IF($A227="","",AN226*$E226)</f>
        <v/>
      </c>
      <c r="BA226" s="195" t="str">
        <f aca="false">IF($A227="","",F226*Summary!$Q$13)</f>
        <v/>
      </c>
    </row>
    <row r="227" customFormat="false" ht="12" hidden="false" customHeight="true" outlineLevel="0" collapsed="false">
      <c r="A227" s="196" t="str">
        <f aca="false">IF(A226&lt;mthend,EDATE(A226,1),"")</f>
        <v/>
      </c>
      <c r="B227" s="197" t="str">
        <f aca="false">IF(A227&lt;mthend,B226,"")</f>
        <v/>
      </c>
      <c r="C227" s="215"/>
      <c r="D227" s="197" t="str">
        <f aca="false">IF(A228&lt;&gt;"",B227+C227,"")</f>
        <v/>
      </c>
      <c r="E227" s="199" t="str">
        <f aca="false">IF(A228="","",IF(AND(AT227=1,$H$3=1),D227*AO227,IF($H$3=2,D227,"N/A")))</f>
        <v/>
      </c>
      <c r="F227" s="199" t="str">
        <f aca="false">IF(A228="","",E227*AS227)</f>
        <v/>
      </c>
      <c r="G227" s="200" t="str">
        <f aca="false">IF($A228="","",VLOOKUP($A227,Table,MATCH(G$4,Curves,0)))</f>
        <v/>
      </c>
      <c r="H227" s="201" t="str">
        <f aca="false">IF(A228="","",G227)</f>
        <v/>
      </c>
      <c r="I227" s="202"/>
      <c r="J227" s="200" t="str">
        <f aca="false">IF($A228="","",VLOOKUP($A227,Table,MATCH(J$4,Curves,0)))</f>
        <v/>
      </c>
      <c r="K227" s="201" t="str">
        <f aca="false">IF(A228="","",J227)</f>
        <v/>
      </c>
      <c r="L227" s="185" t="n">
        <v>0</v>
      </c>
      <c r="M227" s="201" t="str">
        <f aca="false">IF(A228="","",L227)</f>
        <v/>
      </c>
      <c r="N227" s="203"/>
      <c r="O227" s="200" t="str">
        <f aca="false">IF(A228="","",L227+J227+G227)</f>
        <v/>
      </c>
      <c r="P227" s="200" t="str">
        <f aca="false">IF(A228="","",M227+K227+H227)</f>
        <v/>
      </c>
      <c r="Q227" s="204"/>
      <c r="R227" s="200" t="str">
        <f aca="false">IF($A228="","",VLOOKUP($A227,Table,MATCH(R$4,Curves,0)))</f>
        <v/>
      </c>
      <c r="S227" s="201" t="str">
        <f aca="false">IF(A228="","",R227)</f>
        <v/>
      </c>
      <c r="T227" s="185" t="n">
        <v>0</v>
      </c>
      <c r="U227" s="201" t="str">
        <f aca="false">IF(A228="","",T227)</f>
        <v/>
      </c>
      <c r="V227" s="205"/>
      <c r="W227" s="202" t="str">
        <f aca="false">IF($A228="","",(T227+R227+G227+V227))</f>
        <v/>
      </c>
      <c r="X227" s="202" t="str">
        <f aca="false">IF($A228="","",(U227+S227+H227+V227))</f>
        <v/>
      </c>
      <c r="Y227" s="202"/>
      <c r="Z227" s="185" t="str">
        <f aca="false">IF($A228="","",VLOOKUP($A227,Table,MATCH(Z$4,Curves,0)))</f>
        <v/>
      </c>
      <c r="AA227" s="185" t="str">
        <f aca="false">IF($A228="","",VLOOKUP($A227,Table,MATCH(AA$4,Curves,0)))</f>
        <v/>
      </c>
      <c r="AB227" s="185" t="e">
        <f aca="false">SQRT((AA227^2*(A227-$D$3)+Z227^2*(DAY(EOMONTH(A227,0))/2))/AK227)</f>
        <v>#VALUE!</v>
      </c>
      <c r="AC227" s="185" t="str">
        <f aca="false">IF($A228="","",VLOOKUP($A227,Table,MATCH(AC$4,Curves,0)))</f>
        <v/>
      </c>
      <c r="AD227" s="185" t="str">
        <f aca="false">IF($A228="","",VLOOKUP($A227,Table,MATCH(AD$4,Curves,0)))</f>
        <v/>
      </c>
      <c r="AE227" s="185" t="e">
        <f aca="false">SQRT((AD227^2*(A227-$D$3)+AC227^2*(DAY(EOMONTH(A227,0))/2))/AK227)</f>
        <v>#VALUE!</v>
      </c>
      <c r="AF227" s="224" t="e">
        <f aca="false">((Summary!$N$13*(AA227*AD227)*(A227-$D$3))+(Summary!$M$13*Z227*AC227*(AJ227-EOMONTH(EDATE(A227,-1),0))))/(AK227*AB227*AE227)</f>
        <v>#VALUE!</v>
      </c>
      <c r="AG227" s="207" t="str">
        <f aca="false">IF($A228="","",Summary!$Q$13)</f>
        <v/>
      </c>
      <c r="AH227" s="207" t="str">
        <f aca="false">IF($A228="","",IF(Summary!$R$12="Y",(VLOOKUP($A227,Summary!$AD$6:$AF$9,3)+'Escalating commodity'!I240),'Escalating commodity'!I240))</f>
        <v/>
      </c>
      <c r="AI227" s="207" t="str">
        <f aca="false">IF($A228="","",AH227)</f>
        <v/>
      </c>
      <c r="AJ227" s="208" t="e">
        <f aca="false">A227+DAY(EOMONTH(A227,0))/2-1</f>
        <v>#VALUE!</v>
      </c>
      <c r="AK227" s="209" t="str">
        <f aca="false">IF($A228="","",$A227-$E$1)</f>
        <v/>
      </c>
      <c r="AL227" s="182" t="str">
        <f aca="false">IF($A228="","",SPRDOPT(P227,X227,AI227,0,AB227,AE227,AF227,AK227,$AJ$2,0))</f>
        <v/>
      </c>
      <c r="AM227" s="210" t="str">
        <f aca="false">IF($A228="","",MAX(0,O227-W227-AI227))</f>
        <v/>
      </c>
      <c r="AN227" s="211" t="str">
        <f aca="false">IF($A228="","",AL227-AM227)</f>
        <v/>
      </c>
      <c r="AO227" s="137" t="str">
        <f aca="false">IF(A228="","",A228-A227)</f>
        <v/>
      </c>
      <c r="AP227" s="212" t="str">
        <f aca="false">IF(A228="","",CHOOSE(F$3,A228+24,A227))</f>
        <v/>
      </c>
      <c r="AQ227" s="209" t="str">
        <f aca="false">IF(A228="","",AP227-$E$1)</f>
        <v/>
      </c>
      <c r="AR227" s="185" t="n">
        <f aca="false">'ANR OK vs ML7'!AR227</f>
        <v>0.1</v>
      </c>
      <c r="AS227" s="213" t="str">
        <f aca="false">IF(A228="","",1/(1+CHOOSE(F$3,(AR228+($I$3/10000))/2,(AR227+($I$3/10000))/2))^(2*AQ227/365.25))</f>
        <v/>
      </c>
      <c r="AT227" s="137" t="str">
        <f aca="false">IF(A228="","",IF(AND(mthbeg&lt;=A227,mthend&gt;=A227),1,0))</f>
        <v/>
      </c>
      <c r="AU227" s="137" t="str">
        <f aca="false">IF(A228="","",AO227*AT227)</f>
        <v/>
      </c>
      <c r="AW227" s="195" t="str">
        <f aca="false">IF($A228="","",AL227*$E227)</f>
        <v/>
      </c>
      <c r="AX227" s="195" t="str">
        <f aca="false">IF($A228="","",AM227*$E227)</f>
        <v/>
      </c>
      <c r="AY227" s="195" t="str">
        <f aca="false">IF($A228="","",AN227*$E227)</f>
        <v/>
      </c>
      <c r="BA227" s="195" t="str">
        <f aca="false">IF($A228="","",F227*Summary!$Q$13)</f>
        <v/>
      </c>
    </row>
    <row r="228" customFormat="false" ht="12" hidden="false" customHeight="true" outlineLevel="0" collapsed="false">
      <c r="A228" s="196" t="str">
        <f aca="false">IF(A227&lt;mthend,EDATE(A227,1),"")</f>
        <v/>
      </c>
      <c r="B228" s="197" t="str">
        <f aca="false">IF(A228&lt;mthend,B227,"")</f>
        <v/>
      </c>
      <c r="C228" s="215"/>
      <c r="D228" s="197" t="str">
        <f aca="false">IF(A229&lt;&gt;"",B228+C228,"")</f>
        <v/>
      </c>
      <c r="E228" s="199" t="str">
        <f aca="false">IF(A229="","",IF(AND(AT228=1,$H$3=1),D228*AO228,IF($H$3=2,D228,"N/A")))</f>
        <v/>
      </c>
      <c r="F228" s="199" t="str">
        <f aca="false">IF(A229="","",E228*AS228)</f>
        <v/>
      </c>
      <c r="G228" s="200" t="str">
        <f aca="false">IF($A229="","",VLOOKUP($A228,Table,MATCH(G$4,Curves,0)))</f>
        <v/>
      </c>
      <c r="H228" s="201" t="str">
        <f aca="false">IF(A229="","",G228)</f>
        <v/>
      </c>
      <c r="I228" s="202"/>
      <c r="J228" s="200" t="str">
        <f aca="false">IF($A229="","",VLOOKUP($A228,Table,MATCH(J$4,Curves,0)))</f>
        <v/>
      </c>
      <c r="K228" s="201" t="str">
        <f aca="false">IF(A229="","",J228)</f>
        <v/>
      </c>
      <c r="L228" s="185" t="n">
        <v>0</v>
      </c>
      <c r="M228" s="201" t="str">
        <f aca="false">IF(A229="","",L228)</f>
        <v/>
      </c>
      <c r="N228" s="203"/>
      <c r="O228" s="200" t="str">
        <f aca="false">IF(A229="","",L228+J228+G228)</f>
        <v/>
      </c>
      <c r="P228" s="200" t="str">
        <f aca="false">IF(A229="","",M228+K228+H228)</f>
        <v/>
      </c>
      <c r="Q228" s="204"/>
      <c r="R228" s="200" t="str">
        <f aca="false">IF($A229="","",VLOOKUP($A228,Table,MATCH(R$4,Curves,0)))</f>
        <v/>
      </c>
      <c r="S228" s="201" t="str">
        <f aca="false">IF(A229="","",R228)</f>
        <v/>
      </c>
      <c r="T228" s="185" t="n">
        <v>0</v>
      </c>
      <c r="U228" s="201" t="str">
        <f aca="false">IF(A229="","",T228)</f>
        <v/>
      </c>
      <c r="V228" s="205"/>
      <c r="W228" s="202" t="str">
        <f aca="false">IF($A229="","",(T228+R228+G228+V228))</f>
        <v/>
      </c>
      <c r="X228" s="202" t="str">
        <f aca="false">IF($A229="","",(U228+S228+H228+V228))</f>
        <v/>
      </c>
      <c r="Y228" s="202"/>
      <c r="Z228" s="185" t="str">
        <f aca="false">IF($A229="","",VLOOKUP($A228,Table,MATCH(Z$4,Curves,0)))</f>
        <v/>
      </c>
      <c r="AA228" s="185" t="str">
        <f aca="false">IF($A229="","",VLOOKUP($A228,Table,MATCH(AA$4,Curves,0)))</f>
        <v/>
      </c>
      <c r="AB228" s="185" t="e">
        <f aca="false">SQRT((AA228^2*(A228-$D$3)+Z228^2*(DAY(EOMONTH(A228,0))/2))/AK228)</f>
        <v>#VALUE!</v>
      </c>
      <c r="AC228" s="185" t="str">
        <f aca="false">IF($A229="","",VLOOKUP($A228,Table,MATCH(AC$4,Curves,0)))</f>
        <v/>
      </c>
      <c r="AD228" s="185" t="str">
        <f aca="false">IF($A229="","",VLOOKUP($A228,Table,MATCH(AD$4,Curves,0)))</f>
        <v/>
      </c>
      <c r="AE228" s="185" t="e">
        <f aca="false">SQRT((AD228^2*(A228-$D$3)+AC228^2*(DAY(EOMONTH(A228,0))/2))/AK228)</f>
        <v>#VALUE!</v>
      </c>
      <c r="AF228" s="224" t="e">
        <f aca="false">((Summary!$N$13*(AA228*AD228)*(A228-$D$3))+(Summary!$M$13*Z228*AC228*(AJ228-EOMONTH(EDATE(A228,-1),0))))/(AK228*AB228*AE228)</f>
        <v>#VALUE!</v>
      </c>
      <c r="AG228" s="207" t="str">
        <f aca="false">IF($A229="","",Summary!$Q$13)</f>
        <v/>
      </c>
      <c r="AH228" s="207" t="str">
        <f aca="false">IF($A229="","",IF(Summary!$R$12="Y",(VLOOKUP($A228,Summary!$AD$6:$AF$9,3)+'Escalating commodity'!I241),'Escalating commodity'!I241))</f>
        <v/>
      </c>
      <c r="AI228" s="207" t="str">
        <f aca="false">IF($A229="","",AH228)</f>
        <v/>
      </c>
      <c r="AJ228" s="208" t="e">
        <f aca="false">A228+DAY(EOMONTH(A228,0))/2-1</f>
        <v>#VALUE!</v>
      </c>
      <c r="AK228" s="209" t="str">
        <f aca="false">IF($A229="","",$A228-$E$1)</f>
        <v/>
      </c>
      <c r="AL228" s="182" t="str">
        <f aca="false">IF($A229="","",SPRDOPT(P228,X228,AI228,0,AB228,AE228,AF228,AK228,$AJ$2,0))</f>
        <v/>
      </c>
      <c r="AM228" s="210" t="str">
        <f aca="false">IF($A229="","",MAX(0,O228-W228-AI228))</f>
        <v/>
      </c>
      <c r="AN228" s="211" t="str">
        <f aca="false">IF($A229="","",AL228-AM228)</f>
        <v/>
      </c>
      <c r="AO228" s="137" t="str">
        <f aca="false">IF(A229="","",A229-A228)</f>
        <v/>
      </c>
      <c r="AP228" s="212" t="str">
        <f aca="false">IF(A229="","",CHOOSE(F$3,A229+24,A228))</f>
        <v/>
      </c>
      <c r="AQ228" s="209" t="str">
        <f aca="false">IF(A229="","",AP228-$E$1)</f>
        <v/>
      </c>
      <c r="AR228" s="185" t="n">
        <f aca="false">'ANR OK vs ML7'!AR228</f>
        <v>0.1</v>
      </c>
      <c r="AS228" s="213" t="str">
        <f aca="false">IF(A229="","",1/(1+CHOOSE(F$3,(AR229+($I$3/10000))/2,(AR228+($I$3/10000))/2))^(2*AQ228/365.25))</f>
        <v/>
      </c>
      <c r="AT228" s="137" t="str">
        <f aca="false">IF(A229="","",IF(AND(mthbeg&lt;=A228,mthend&gt;=A228),1,0))</f>
        <v/>
      </c>
      <c r="AU228" s="137" t="str">
        <f aca="false">IF(A229="","",AO228*AT228)</f>
        <v/>
      </c>
      <c r="AW228" s="195" t="str">
        <f aca="false">IF($A229="","",AL228*$E228)</f>
        <v/>
      </c>
      <c r="AX228" s="195" t="str">
        <f aca="false">IF($A229="","",AM228*$E228)</f>
        <v/>
      </c>
      <c r="AY228" s="195" t="str">
        <f aca="false">IF($A229="","",AN228*$E228)</f>
        <v/>
      </c>
      <c r="BA228" s="195" t="str">
        <f aca="false">IF($A229="","",F228*Summary!$Q$13)</f>
        <v/>
      </c>
    </row>
    <row r="229" customFormat="false" ht="12" hidden="false" customHeight="true" outlineLevel="0" collapsed="false">
      <c r="A229" s="196" t="str">
        <f aca="false">IF(A228&lt;mthend,EDATE(A228,1),"")</f>
        <v/>
      </c>
      <c r="B229" s="197" t="str">
        <f aca="false">IF(A229&lt;mthend,B228,"")</f>
        <v/>
      </c>
      <c r="C229" s="215"/>
      <c r="D229" s="197" t="str">
        <f aca="false">IF(A230&lt;&gt;"",B229+C229,"")</f>
        <v/>
      </c>
      <c r="E229" s="199" t="str">
        <f aca="false">IF(A230="","",IF(AND(AT229=1,$H$3=1),D229*AO229,IF($H$3=2,D229,"N/A")))</f>
        <v/>
      </c>
      <c r="F229" s="199" t="str">
        <f aca="false">IF(A230="","",E229*AS229)</f>
        <v/>
      </c>
      <c r="G229" s="200" t="str">
        <f aca="false">IF($A230="","",VLOOKUP($A229,Table,MATCH(G$4,Curves,0)))</f>
        <v/>
      </c>
      <c r="H229" s="201" t="str">
        <f aca="false">IF(A230="","",G229)</f>
        <v/>
      </c>
      <c r="I229" s="202"/>
      <c r="J229" s="200" t="str">
        <f aca="false">IF($A230="","",VLOOKUP($A229,Table,MATCH(J$4,Curves,0)))</f>
        <v/>
      </c>
      <c r="K229" s="201" t="str">
        <f aca="false">IF(A230="","",J229)</f>
        <v/>
      </c>
      <c r="L229" s="185" t="n">
        <v>0</v>
      </c>
      <c r="M229" s="201" t="str">
        <f aca="false">IF(A230="","",L229)</f>
        <v/>
      </c>
      <c r="N229" s="203"/>
      <c r="O229" s="200" t="str">
        <f aca="false">IF(A230="","",L229+J229+G229)</f>
        <v/>
      </c>
      <c r="P229" s="200" t="str">
        <f aca="false">IF(A230="","",M229+K229+H229)</f>
        <v/>
      </c>
      <c r="Q229" s="204"/>
      <c r="R229" s="200" t="str">
        <f aca="false">IF($A230="","",VLOOKUP($A229,Table,MATCH(R$4,Curves,0)))</f>
        <v/>
      </c>
      <c r="S229" s="201" t="str">
        <f aca="false">IF(A230="","",R229)</f>
        <v/>
      </c>
      <c r="T229" s="185" t="n">
        <v>0</v>
      </c>
      <c r="U229" s="201" t="str">
        <f aca="false">IF(A230="","",T229)</f>
        <v/>
      </c>
      <c r="V229" s="205"/>
      <c r="W229" s="202" t="str">
        <f aca="false">IF($A230="","",(T229+R229+G229+V229))</f>
        <v/>
      </c>
      <c r="X229" s="202" t="str">
        <f aca="false">IF($A230="","",(U229+S229+H229+V229))</f>
        <v/>
      </c>
      <c r="Y229" s="202"/>
      <c r="Z229" s="185" t="str">
        <f aca="false">IF($A230="","",VLOOKUP($A229,Table,MATCH(Z$4,Curves,0)))</f>
        <v/>
      </c>
      <c r="AA229" s="185" t="str">
        <f aca="false">IF($A230="","",VLOOKUP($A229,Table,MATCH(AA$4,Curves,0)))</f>
        <v/>
      </c>
      <c r="AB229" s="185" t="e">
        <f aca="false">SQRT((AA229^2*(A229-$D$3)+Z229^2*(DAY(EOMONTH(A229,0))/2))/AK229)</f>
        <v>#VALUE!</v>
      </c>
      <c r="AC229" s="185" t="str">
        <f aca="false">IF($A230="","",VLOOKUP($A229,Table,MATCH(AC$4,Curves,0)))</f>
        <v/>
      </c>
      <c r="AD229" s="185" t="str">
        <f aca="false">IF($A230="","",VLOOKUP($A229,Table,MATCH(AD$4,Curves,0)))</f>
        <v/>
      </c>
      <c r="AE229" s="185" t="e">
        <f aca="false">SQRT((AD229^2*(A229-$D$3)+AC229^2*(DAY(EOMONTH(A229,0))/2))/AK229)</f>
        <v>#VALUE!</v>
      </c>
      <c r="AF229" s="224" t="e">
        <f aca="false">((Summary!$N$13*(AA229*AD229)*(A229-$D$3))+(Summary!$M$13*Z229*AC229*(AJ229-EOMONTH(EDATE(A229,-1),0))))/(AK229*AB229*AE229)</f>
        <v>#VALUE!</v>
      </c>
      <c r="AG229" s="207" t="str">
        <f aca="false">IF($A230="","",Summary!$Q$13)</f>
        <v/>
      </c>
      <c r="AH229" s="207" t="str">
        <f aca="false">IF($A230="","",IF(Summary!$R$12="Y",(VLOOKUP($A229,Summary!$AD$6:$AF$9,3)+'Escalating commodity'!I242),'Escalating commodity'!I242))</f>
        <v/>
      </c>
      <c r="AI229" s="207" t="str">
        <f aca="false">IF($A230="","",AH229)</f>
        <v/>
      </c>
      <c r="AJ229" s="208" t="e">
        <f aca="false">A229+DAY(EOMONTH(A229,0))/2-1</f>
        <v>#VALUE!</v>
      </c>
      <c r="AK229" s="209" t="str">
        <f aca="false">IF($A230="","",$A229-$E$1)</f>
        <v/>
      </c>
      <c r="AL229" s="182" t="str">
        <f aca="false">IF($A230="","",SPRDOPT(P229,X229,AI229,0,AB229,AE229,AF229,AK229,$AJ$2,0))</f>
        <v/>
      </c>
      <c r="AM229" s="210" t="str">
        <f aca="false">IF($A230="","",MAX(0,O229-W229-AI229))</f>
        <v/>
      </c>
      <c r="AN229" s="211" t="str">
        <f aca="false">IF($A230="","",AL229-AM229)</f>
        <v/>
      </c>
      <c r="AO229" s="137" t="str">
        <f aca="false">IF(A230="","",A230-A229)</f>
        <v/>
      </c>
      <c r="AP229" s="212" t="str">
        <f aca="false">IF(A230="","",CHOOSE(F$3,A230+24,A229))</f>
        <v/>
      </c>
      <c r="AQ229" s="209" t="str">
        <f aca="false">IF(A230="","",AP229-$E$1)</f>
        <v/>
      </c>
      <c r="AR229" s="185" t="n">
        <f aca="false">'ANR OK vs ML7'!AR229</f>
        <v>0.1</v>
      </c>
      <c r="AS229" s="213" t="str">
        <f aca="false">IF(A230="","",1/(1+CHOOSE(F$3,(AR230+($I$3/10000))/2,(AR229+($I$3/10000))/2))^(2*AQ229/365.25))</f>
        <v/>
      </c>
      <c r="AT229" s="137" t="str">
        <f aca="false">IF(A230="","",IF(AND(mthbeg&lt;=A229,mthend&gt;=A229),1,0))</f>
        <v/>
      </c>
      <c r="AU229" s="137" t="str">
        <f aca="false">IF(A230="","",AO229*AT229)</f>
        <v/>
      </c>
      <c r="AW229" s="195" t="str">
        <f aca="false">IF($A230="","",AL229*$E229)</f>
        <v/>
      </c>
      <c r="AX229" s="195" t="str">
        <f aca="false">IF($A230="","",AM229*$E229)</f>
        <v/>
      </c>
      <c r="AY229" s="195" t="str">
        <f aca="false">IF($A230="","",AN229*$E229)</f>
        <v/>
      </c>
      <c r="BA229" s="195" t="str">
        <f aca="false">IF($A230="","",F229*Summary!$Q$13)</f>
        <v/>
      </c>
    </row>
    <row r="230" customFormat="false" ht="12" hidden="false" customHeight="true" outlineLevel="0" collapsed="false">
      <c r="A230" s="196" t="str">
        <f aca="false">IF(A229&lt;mthend,EDATE(A229,1),"")</f>
        <v/>
      </c>
      <c r="B230" s="197" t="str">
        <f aca="false">IF(A230&lt;mthend,B229,"")</f>
        <v/>
      </c>
      <c r="C230" s="215"/>
      <c r="D230" s="197" t="str">
        <f aca="false">IF(A231&lt;&gt;"",B230+C230,"")</f>
        <v/>
      </c>
      <c r="E230" s="199" t="str">
        <f aca="false">IF(A231="","",IF(AND(AT230=1,$H$3=1),D230*AO230,IF($H$3=2,D230,"N/A")))</f>
        <v/>
      </c>
      <c r="F230" s="199" t="str">
        <f aca="false">IF(A231="","",E230*AS230)</f>
        <v/>
      </c>
      <c r="G230" s="200" t="str">
        <f aca="false">IF($A231="","",VLOOKUP($A230,Table,MATCH(G$4,Curves,0)))</f>
        <v/>
      </c>
      <c r="H230" s="201" t="str">
        <f aca="false">IF(A231="","",G230)</f>
        <v/>
      </c>
      <c r="I230" s="202"/>
      <c r="J230" s="200" t="str">
        <f aca="false">IF($A231="","",VLOOKUP($A230,Table,MATCH(J$4,Curves,0)))</f>
        <v/>
      </c>
      <c r="K230" s="201" t="str">
        <f aca="false">IF(A231="","",J230)</f>
        <v/>
      </c>
      <c r="L230" s="185" t="n">
        <v>0</v>
      </c>
      <c r="M230" s="201" t="str">
        <f aca="false">IF(A231="","",L230)</f>
        <v/>
      </c>
      <c r="N230" s="203"/>
      <c r="O230" s="200" t="str">
        <f aca="false">IF(A231="","",L230+J230+G230)</f>
        <v/>
      </c>
      <c r="P230" s="200" t="str">
        <f aca="false">IF(A231="","",M230+K230+H230)</f>
        <v/>
      </c>
      <c r="Q230" s="204"/>
      <c r="R230" s="200" t="str">
        <f aca="false">IF($A231="","",VLOOKUP($A230,Table,MATCH(R$4,Curves,0)))</f>
        <v/>
      </c>
      <c r="S230" s="201" t="str">
        <f aca="false">IF(A231="","",R230)</f>
        <v/>
      </c>
      <c r="T230" s="185" t="n">
        <v>0</v>
      </c>
      <c r="U230" s="201" t="str">
        <f aca="false">IF(A231="","",T230)</f>
        <v/>
      </c>
      <c r="V230" s="205"/>
      <c r="W230" s="202" t="str">
        <f aca="false">IF($A231="","",(T230+R230+G230+V230))</f>
        <v/>
      </c>
      <c r="X230" s="202" t="str">
        <f aca="false">IF($A231="","",(U230+S230+H230+V230))</f>
        <v/>
      </c>
      <c r="Y230" s="202"/>
      <c r="Z230" s="185" t="str">
        <f aca="false">IF($A231="","",VLOOKUP($A230,Table,MATCH(Z$4,Curves,0)))</f>
        <v/>
      </c>
      <c r="AA230" s="185" t="str">
        <f aca="false">IF($A231="","",VLOOKUP($A230,Table,MATCH(AA$4,Curves,0)))</f>
        <v/>
      </c>
      <c r="AB230" s="185" t="e">
        <f aca="false">SQRT((AA230^2*(A230-$D$3)+Z230^2*(DAY(EOMONTH(A230,0))/2))/AK230)</f>
        <v>#VALUE!</v>
      </c>
      <c r="AC230" s="185" t="str">
        <f aca="false">IF($A231="","",VLOOKUP($A230,Table,MATCH(AC$4,Curves,0)))</f>
        <v/>
      </c>
      <c r="AD230" s="185" t="str">
        <f aca="false">IF($A231="","",VLOOKUP($A230,Table,MATCH(AD$4,Curves,0)))</f>
        <v/>
      </c>
      <c r="AE230" s="185" t="e">
        <f aca="false">SQRT((AD230^2*(A230-$D$3)+AC230^2*(DAY(EOMONTH(A230,0))/2))/AK230)</f>
        <v>#VALUE!</v>
      </c>
      <c r="AF230" s="224" t="e">
        <f aca="false">((Summary!$N$13*(AA230*AD230)*(A230-$D$3))+(Summary!$M$13*Z230*AC230*(AJ230-EOMONTH(EDATE(A230,-1),0))))/(AK230*AB230*AE230)</f>
        <v>#VALUE!</v>
      </c>
      <c r="AG230" s="207" t="str">
        <f aca="false">IF($A231="","",Summary!$Q$13)</f>
        <v/>
      </c>
      <c r="AH230" s="207" t="str">
        <f aca="false">IF($A231="","",IF(Summary!$R$12="Y",(VLOOKUP($A230,Summary!$AD$6:$AF$9,3)+'Escalating commodity'!I243),'Escalating commodity'!I243))</f>
        <v/>
      </c>
      <c r="AI230" s="207" t="str">
        <f aca="false">IF($A231="","",AH230)</f>
        <v/>
      </c>
      <c r="AJ230" s="208" t="e">
        <f aca="false">A230+DAY(EOMONTH(A230,0))/2-1</f>
        <v>#VALUE!</v>
      </c>
      <c r="AK230" s="209" t="str">
        <f aca="false">IF($A231="","",$A230-$E$1)</f>
        <v/>
      </c>
      <c r="AL230" s="182" t="str">
        <f aca="false">IF($A231="","",SPRDOPT(P230,X230,AI230,0,AB230,AE230,AF230,AK230,$AJ$2,0))</f>
        <v/>
      </c>
      <c r="AM230" s="210" t="str">
        <f aca="false">IF($A231="","",MAX(0,O230-W230-AI230))</f>
        <v/>
      </c>
      <c r="AN230" s="211" t="str">
        <f aca="false">IF($A231="","",AL230-AM230)</f>
        <v/>
      </c>
      <c r="AO230" s="137" t="str">
        <f aca="false">IF(A231="","",A231-A230)</f>
        <v/>
      </c>
      <c r="AP230" s="212" t="str">
        <f aca="false">IF(A231="","",CHOOSE(F$3,A231+24,A230))</f>
        <v/>
      </c>
      <c r="AQ230" s="209" t="str">
        <f aca="false">IF(A231="","",AP230-$E$1)</f>
        <v/>
      </c>
      <c r="AR230" s="185" t="n">
        <f aca="false">'ANR OK vs ML7'!AR230</f>
        <v>0.1</v>
      </c>
      <c r="AS230" s="213" t="str">
        <f aca="false">IF(A231="","",1/(1+CHOOSE(F$3,(AR231+($I$3/10000))/2,(AR230+($I$3/10000))/2))^(2*AQ230/365.25))</f>
        <v/>
      </c>
      <c r="AT230" s="137" t="str">
        <f aca="false">IF(A231="","",IF(AND(mthbeg&lt;=A230,mthend&gt;=A230),1,0))</f>
        <v/>
      </c>
      <c r="AU230" s="137" t="str">
        <f aca="false">IF(A231="","",AO230*AT230)</f>
        <v/>
      </c>
      <c r="AW230" s="195" t="str">
        <f aca="false">IF($A231="","",AL230*$E230)</f>
        <v/>
      </c>
      <c r="AX230" s="195" t="str">
        <f aca="false">IF($A231="","",AM230*$E230)</f>
        <v/>
      </c>
      <c r="AY230" s="195" t="str">
        <f aca="false">IF($A231="","",AN230*$E230)</f>
        <v/>
      </c>
      <c r="BA230" s="195" t="str">
        <f aca="false">IF($A231="","",F230*Summary!$Q$13)</f>
        <v/>
      </c>
    </row>
    <row r="231" customFormat="false" ht="12" hidden="false" customHeight="true" outlineLevel="0" collapsed="false">
      <c r="A231" s="196" t="str">
        <f aca="false">IF(A230&lt;mthend,EDATE(A230,1),"")</f>
        <v/>
      </c>
      <c r="B231" s="197" t="str">
        <f aca="false">IF(A231&lt;mthend,B230,"")</f>
        <v/>
      </c>
      <c r="C231" s="215"/>
      <c r="D231" s="197" t="str">
        <f aca="false">IF(A232&lt;&gt;"",B231+C231,"")</f>
        <v/>
      </c>
      <c r="E231" s="199" t="str">
        <f aca="false">IF(A232="","",IF(AND(AT231=1,$H$3=1),D231*AO231,IF($H$3=2,D231,"N/A")))</f>
        <v/>
      </c>
      <c r="F231" s="199" t="str">
        <f aca="false">IF(A232="","",E231*AS231)</f>
        <v/>
      </c>
      <c r="G231" s="200" t="str">
        <f aca="false">IF($A232="","",VLOOKUP($A231,Table,MATCH(G$4,Curves,0)))</f>
        <v/>
      </c>
      <c r="H231" s="201" t="str">
        <f aca="false">IF(A232="","",G231)</f>
        <v/>
      </c>
      <c r="I231" s="202"/>
      <c r="J231" s="200" t="str">
        <f aca="false">IF($A232="","",VLOOKUP($A231,Table,MATCH(J$4,Curves,0)))</f>
        <v/>
      </c>
      <c r="K231" s="201" t="str">
        <f aca="false">IF(A232="","",J231)</f>
        <v/>
      </c>
      <c r="L231" s="185" t="n">
        <v>0</v>
      </c>
      <c r="M231" s="201" t="str">
        <f aca="false">IF(A232="","",L231)</f>
        <v/>
      </c>
      <c r="N231" s="203"/>
      <c r="O231" s="200" t="str">
        <f aca="false">IF(A232="","",L231+J231+G231)</f>
        <v/>
      </c>
      <c r="P231" s="200" t="str">
        <f aca="false">IF(A232="","",M231+K231+H231)</f>
        <v/>
      </c>
      <c r="Q231" s="204"/>
      <c r="R231" s="200" t="str">
        <f aca="false">IF($A232="","",VLOOKUP($A231,Table,MATCH(R$4,Curves,0)))</f>
        <v/>
      </c>
      <c r="S231" s="201" t="str">
        <f aca="false">IF(A232="","",R231)</f>
        <v/>
      </c>
      <c r="T231" s="185" t="n">
        <v>0</v>
      </c>
      <c r="U231" s="201" t="str">
        <f aca="false">IF(A232="","",T231)</f>
        <v/>
      </c>
      <c r="V231" s="205"/>
      <c r="W231" s="202" t="str">
        <f aca="false">IF($A232="","",(T231+R231+G231+V231))</f>
        <v/>
      </c>
      <c r="X231" s="202" t="str">
        <f aca="false">IF($A232="","",(U231+S231+H231+V231))</f>
        <v/>
      </c>
      <c r="Y231" s="202"/>
      <c r="Z231" s="185" t="str">
        <f aca="false">IF($A232="","",VLOOKUP($A231,Table,MATCH(Z$4,Curves,0)))</f>
        <v/>
      </c>
      <c r="AA231" s="185" t="str">
        <f aca="false">IF($A232="","",VLOOKUP($A231,Table,MATCH(AA$4,Curves,0)))</f>
        <v/>
      </c>
      <c r="AB231" s="185" t="e">
        <f aca="false">SQRT((AA231^2*(A231-$D$3)+Z231^2*(DAY(EOMONTH(A231,0))/2))/AK231)</f>
        <v>#VALUE!</v>
      </c>
      <c r="AC231" s="185" t="str">
        <f aca="false">IF($A232="","",VLOOKUP($A231,Table,MATCH(AC$4,Curves,0)))</f>
        <v/>
      </c>
      <c r="AD231" s="185" t="str">
        <f aca="false">IF($A232="","",VLOOKUP($A231,Table,MATCH(AD$4,Curves,0)))</f>
        <v/>
      </c>
      <c r="AE231" s="185" t="e">
        <f aca="false">SQRT((AD231^2*(A231-$D$3)+AC231^2*(DAY(EOMONTH(A231,0))/2))/AK231)</f>
        <v>#VALUE!</v>
      </c>
      <c r="AF231" s="224" t="e">
        <f aca="false">((Summary!$N$13*(AA231*AD231)*(A231-$D$3))+(Summary!$M$13*Z231*AC231*(AJ231-EOMONTH(EDATE(A231,-1),0))))/(AK231*AB231*AE231)</f>
        <v>#VALUE!</v>
      </c>
      <c r="AG231" s="207" t="str">
        <f aca="false">IF($A232="","",Summary!$Q$13)</f>
        <v/>
      </c>
      <c r="AH231" s="207" t="str">
        <f aca="false">IF($A232="","",IF(Summary!$R$12="Y",(VLOOKUP($A231,Summary!$AD$6:$AF$9,3)+'Escalating commodity'!I244),'Escalating commodity'!I244))</f>
        <v/>
      </c>
      <c r="AI231" s="207" t="str">
        <f aca="false">IF($A232="","",AH231)</f>
        <v/>
      </c>
      <c r="AJ231" s="208" t="e">
        <f aca="false">A231+DAY(EOMONTH(A231,0))/2-1</f>
        <v>#VALUE!</v>
      </c>
      <c r="AK231" s="209" t="str">
        <f aca="false">IF($A232="","",$A231-$E$1)</f>
        <v/>
      </c>
      <c r="AL231" s="182" t="str">
        <f aca="false">IF($A232="","",SPRDOPT(P231,X231,AI231,0,AB231,AE231,AF231,AK231,$AJ$2,0))</f>
        <v/>
      </c>
      <c r="AM231" s="210" t="str">
        <f aca="false">IF($A232="","",MAX(0,O231-W231-AI231))</f>
        <v/>
      </c>
      <c r="AN231" s="211" t="str">
        <f aca="false">IF($A232="","",AL231-AM231)</f>
        <v/>
      </c>
      <c r="AO231" s="137" t="str">
        <f aca="false">IF(A232="","",A232-A231)</f>
        <v/>
      </c>
      <c r="AP231" s="212" t="str">
        <f aca="false">IF(A232="","",CHOOSE(F$3,A232+24,A231))</f>
        <v/>
      </c>
      <c r="AQ231" s="209" t="str">
        <f aca="false">IF(A232="","",AP231-$E$1)</f>
        <v/>
      </c>
      <c r="AR231" s="185" t="n">
        <f aca="false">'ANR OK vs ML7'!AR231</f>
        <v>0.1</v>
      </c>
      <c r="AS231" s="213" t="str">
        <f aca="false">IF(A232="","",1/(1+CHOOSE(F$3,(AR232+($I$3/10000))/2,(AR231+($I$3/10000))/2))^(2*AQ231/365.25))</f>
        <v/>
      </c>
      <c r="AT231" s="137" t="str">
        <f aca="false">IF(A232="","",IF(AND(mthbeg&lt;=A231,mthend&gt;=A231),1,0))</f>
        <v/>
      </c>
      <c r="AU231" s="137" t="str">
        <f aca="false">IF(A232="","",AO231*AT231)</f>
        <v/>
      </c>
      <c r="AW231" s="195" t="str">
        <f aca="false">IF($A232="","",AL231*$E231)</f>
        <v/>
      </c>
      <c r="AX231" s="195" t="str">
        <f aca="false">IF($A232="","",AM231*$E231)</f>
        <v/>
      </c>
      <c r="AY231" s="195" t="str">
        <f aca="false">IF($A232="","",AN231*$E231)</f>
        <v/>
      </c>
      <c r="BA231" s="195" t="str">
        <f aca="false">IF($A232="","",F231*Summary!$Q$13)</f>
        <v/>
      </c>
    </row>
    <row r="232" customFormat="false" ht="12" hidden="false" customHeight="true" outlineLevel="0" collapsed="false">
      <c r="A232" s="196" t="str">
        <f aca="false">IF(A231&lt;mthend,EDATE(A231,1),"")</f>
        <v/>
      </c>
      <c r="B232" s="197" t="str">
        <f aca="false">IF(A232&lt;mthend,B231,"")</f>
        <v/>
      </c>
      <c r="C232" s="215"/>
      <c r="D232" s="197" t="str">
        <f aca="false">IF(A233&lt;&gt;"",B232+C232,"")</f>
        <v/>
      </c>
      <c r="E232" s="199" t="str">
        <f aca="false">IF(A233="","",IF(AND(AT232=1,$H$3=1),D232*AO232,IF($H$3=2,D232,"N/A")))</f>
        <v/>
      </c>
      <c r="F232" s="199" t="str">
        <f aca="false">IF(A233="","",E232*AS232)</f>
        <v/>
      </c>
      <c r="G232" s="200" t="str">
        <f aca="false">IF($A233="","",VLOOKUP($A232,Table,MATCH(G$4,Curves,0)))</f>
        <v/>
      </c>
      <c r="H232" s="201" t="str">
        <f aca="false">IF(A233="","",G232)</f>
        <v/>
      </c>
      <c r="I232" s="202"/>
      <c r="J232" s="200" t="str">
        <f aca="false">IF($A233="","",VLOOKUP($A232,Table,MATCH(J$4,Curves,0)))</f>
        <v/>
      </c>
      <c r="K232" s="201" t="str">
        <f aca="false">IF(A233="","",J232)</f>
        <v/>
      </c>
      <c r="L232" s="185" t="n">
        <v>0</v>
      </c>
      <c r="M232" s="201" t="str">
        <f aca="false">IF(A233="","",L232)</f>
        <v/>
      </c>
      <c r="N232" s="203"/>
      <c r="O232" s="200" t="str">
        <f aca="false">IF(A233="","",L232+J232+G232)</f>
        <v/>
      </c>
      <c r="P232" s="200" t="str">
        <f aca="false">IF(A233="","",M232+K232+H232)</f>
        <v/>
      </c>
      <c r="Q232" s="204"/>
      <c r="R232" s="200" t="str">
        <f aca="false">IF($A233="","",VLOOKUP($A232,Table,MATCH(R$4,Curves,0)))</f>
        <v/>
      </c>
      <c r="S232" s="201" t="str">
        <f aca="false">IF(A233="","",R232)</f>
        <v/>
      </c>
      <c r="T232" s="185" t="n">
        <v>0</v>
      </c>
      <c r="U232" s="201" t="str">
        <f aca="false">IF(A233="","",T232)</f>
        <v/>
      </c>
      <c r="V232" s="205"/>
      <c r="W232" s="202" t="str">
        <f aca="false">IF($A233="","",(T232+R232+G232+V232))</f>
        <v/>
      </c>
      <c r="X232" s="202" t="str">
        <f aca="false">IF($A233="","",(U232+S232+H232+V232))</f>
        <v/>
      </c>
      <c r="Y232" s="202"/>
      <c r="Z232" s="185" t="str">
        <f aca="false">IF($A233="","",VLOOKUP($A232,Table,MATCH(Z$4,Curves,0)))</f>
        <v/>
      </c>
      <c r="AA232" s="185" t="str">
        <f aca="false">IF($A233="","",VLOOKUP($A232,Table,MATCH(AA$4,Curves,0)))</f>
        <v/>
      </c>
      <c r="AB232" s="185" t="e">
        <f aca="false">SQRT((AA232^2*(A232-$D$3)+Z232^2*(DAY(EOMONTH(A232,0))/2))/AK232)</f>
        <v>#VALUE!</v>
      </c>
      <c r="AC232" s="185" t="str">
        <f aca="false">IF($A233="","",VLOOKUP($A232,Table,MATCH(AC$4,Curves,0)))</f>
        <v/>
      </c>
      <c r="AD232" s="185" t="str">
        <f aca="false">IF($A233="","",VLOOKUP($A232,Table,MATCH(AD$4,Curves,0)))</f>
        <v/>
      </c>
      <c r="AE232" s="185" t="e">
        <f aca="false">SQRT((AD232^2*(A232-$D$3)+AC232^2*(DAY(EOMONTH(A232,0))/2))/AK232)</f>
        <v>#VALUE!</v>
      </c>
      <c r="AF232" s="224" t="e">
        <f aca="false">((Summary!$N$13*(AA232*AD232)*(A232-$D$3))+(Summary!$M$13*Z232*AC232*(AJ232-EOMONTH(EDATE(A232,-1),0))))/(AK232*AB232*AE232)</f>
        <v>#VALUE!</v>
      </c>
      <c r="AG232" s="207" t="str">
        <f aca="false">IF($A233="","",Summary!$Q$13)</f>
        <v/>
      </c>
      <c r="AH232" s="207" t="str">
        <f aca="false">IF($A233="","",IF(Summary!$R$12="Y",(VLOOKUP($A232,Summary!$AD$6:$AF$9,3)+'Escalating commodity'!I245),'Escalating commodity'!I245))</f>
        <v/>
      </c>
      <c r="AI232" s="207" t="str">
        <f aca="false">IF($A233="","",AH232)</f>
        <v/>
      </c>
      <c r="AJ232" s="208" t="e">
        <f aca="false">A232+DAY(EOMONTH(A232,0))/2-1</f>
        <v>#VALUE!</v>
      </c>
      <c r="AK232" s="209" t="str">
        <f aca="false">IF($A233="","",$A232-$E$1)</f>
        <v/>
      </c>
      <c r="AL232" s="182" t="str">
        <f aca="false">IF($A233="","",SPRDOPT(P232,X232,AI232,0,AB232,AE232,AF232,AK232,$AJ$2,0))</f>
        <v/>
      </c>
      <c r="AM232" s="210" t="str">
        <f aca="false">IF($A233="","",MAX(0,O232-W232-AI232))</f>
        <v/>
      </c>
      <c r="AN232" s="211" t="str">
        <f aca="false">IF($A233="","",AL232-AM232)</f>
        <v/>
      </c>
      <c r="AO232" s="137" t="str">
        <f aca="false">IF(A233="","",A233-A232)</f>
        <v/>
      </c>
      <c r="AP232" s="212" t="str">
        <f aca="false">IF(A233="","",CHOOSE(F$3,A233+24,A232))</f>
        <v/>
      </c>
      <c r="AQ232" s="209" t="str">
        <f aca="false">IF(A233="","",AP232-$E$1)</f>
        <v/>
      </c>
      <c r="AR232" s="185" t="n">
        <f aca="false">'ANR OK vs ML7'!AR232</f>
        <v>0.1</v>
      </c>
      <c r="AS232" s="213" t="str">
        <f aca="false">IF(A233="","",1/(1+CHOOSE(F$3,(AR233+($I$3/10000))/2,(AR232+($I$3/10000))/2))^(2*AQ232/365.25))</f>
        <v/>
      </c>
      <c r="AT232" s="137" t="str">
        <f aca="false">IF(A233="","",IF(AND(mthbeg&lt;=A232,mthend&gt;=A232),1,0))</f>
        <v/>
      </c>
      <c r="AU232" s="137" t="str">
        <f aca="false">IF(A233="","",AO232*AT232)</f>
        <v/>
      </c>
      <c r="AW232" s="195" t="str">
        <f aca="false">IF($A233="","",AL232*$E232)</f>
        <v/>
      </c>
      <c r="AX232" s="195" t="str">
        <f aca="false">IF($A233="","",AM232*$E232)</f>
        <v/>
      </c>
      <c r="AY232" s="195" t="str">
        <f aca="false">IF($A233="","",AN232*$E232)</f>
        <v/>
      </c>
      <c r="BA232" s="195" t="str">
        <f aca="false">IF($A233="","",F232*Summary!$Q$13)</f>
        <v/>
      </c>
    </row>
    <row r="233" customFormat="false" ht="12" hidden="false" customHeight="true" outlineLevel="0" collapsed="false">
      <c r="A233" s="196" t="str">
        <f aca="false">IF(A232&lt;mthend,EDATE(A232,1),"")</f>
        <v/>
      </c>
      <c r="B233" s="197" t="str">
        <f aca="false">IF(A233&lt;mthend,B232,"")</f>
        <v/>
      </c>
      <c r="C233" s="215"/>
      <c r="D233" s="197" t="str">
        <f aca="false">IF(A234&lt;&gt;"",B233+C233,"")</f>
        <v/>
      </c>
      <c r="E233" s="199" t="str">
        <f aca="false">IF(A234="","",IF(AND(AT233=1,$H$3=1),D233*AO233,IF($H$3=2,D233,"N/A")))</f>
        <v/>
      </c>
      <c r="F233" s="199" t="str">
        <f aca="false">IF(A234="","",E233*AS233)</f>
        <v/>
      </c>
      <c r="G233" s="200" t="str">
        <f aca="false">IF($A234="","",VLOOKUP($A233,Table,MATCH(G$4,Curves,0)))</f>
        <v/>
      </c>
      <c r="H233" s="201" t="str">
        <f aca="false">IF(A234="","",G233)</f>
        <v/>
      </c>
      <c r="I233" s="202"/>
      <c r="J233" s="200" t="str">
        <f aca="false">IF($A234="","",VLOOKUP($A233,Table,MATCH(J$4,Curves,0)))</f>
        <v/>
      </c>
      <c r="K233" s="201" t="str">
        <f aca="false">IF(A234="","",J233)</f>
        <v/>
      </c>
      <c r="L233" s="185" t="n">
        <v>0</v>
      </c>
      <c r="M233" s="201" t="str">
        <f aca="false">IF(A234="","",L233)</f>
        <v/>
      </c>
      <c r="N233" s="203"/>
      <c r="O233" s="200" t="str">
        <f aca="false">IF(A234="","",L233+J233+G233)</f>
        <v/>
      </c>
      <c r="P233" s="200" t="str">
        <f aca="false">IF(A234="","",M233+K233+H233)</f>
        <v/>
      </c>
      <c r="Q233" s="204"/>
      <c r="R233" s="200" t="str">
        <f aca="false">IF($A234="","",VLOOKUP($A233,Table,MATCH(R$4,Curves,0)))</f>
        <v/>
      </c>
      <c r="S233" s="201" t="str">
        <f aca="false">IF(A234="","",R233)</f>
        <v/>
      </c>
      <c r="T233" s="185" t="n">
        <v>0</v>
      </c>
      <c r="U233" s="201" t="str">
        <f aca="false">IF(A234="","",T233)</f>
        <v/>
      </c>
      <c r="V233" s="205"/>
      <c r="W233" s="202" t="str">
        <f aca="false">IF($A234="","",(T233+R233+G233+V233))</f>
        <v/>
      </c>
      <c r="X233" s="202" t="str">
        <f aca="false">IF($A234="","",(U233+S233+H233+V233))</f>
        <v/>
      </c>
      <c r="Y233" s="202"/>
      <c r="Z233" s="185" t="str">
        <f aca="false">IF($A234="","",VLOOKUP($A233,Table,MATCH(Z$4,Curves,0)))</f>
        <v/>
      </c>
      <c r="AA233" s="185" t="str">
        <f aca="false">IF($A234="","",VLOOKUP($A233,Table,MATCH(AA$4,Curves,0)))</f>
        <v/>
      </c>
      <c r="AB233" s="185" t="e">
        <f aca="false">SQRT((AA233^2*(A233-$D$3)+Z233^2*(DAY(EOMONTH(A233,0))/2))/AK233)</f>
        <v>#VALUE!</v>
      </c>
      <c r="AC233" s="185" t="str">
        <f aca="false">IF($A234="","",VLOOKUP($A233,Table,MATCH(AC$4,Curves,0)))</f>
        <v/>
      </c>
      <c r="AD233" s="185" t="str">
        <f aca="false">IF($A234="","",VLOOKUP($A233,Table,MATCH(AD$4,Curves,0)))</f>
        <v/>
      </c>
      <c r="AE233" s="185" t="e">
        <f aca="false">SQRT((AD233^2*(A233-$D$3)+AC233^2*(DAY(EOMONTH(A233,0))/2))/AK233)</f>
        <v>#VALUE!</v>
      </c>
      <c r="AF233" s="224" t="e">
        <f aca="false">((Summary!$N$13*(AA233*AD233)*(A233-$D$3))+(Summary!$M$13*Z233*AC233*(AJ233-EOMONTH(EDATE(A233,-1),0))))/(AK233*AB233*AE233)</f>
        <v>#VALUE!</v>
      </c>
      <c r="AG233" s="207" t="str">
        <f aca="false">IF($A234="","",Summary!$Q$13)</f>
        <v/>
      </c>
      <c r="AH233" s="207" t="str">
        <f aca="false">IF($A234="","",IF(Summary!$R$12="Y",(VLOOKUP($A233,Summary!$AD$6:$AF$9,3)+'Escalating commodity'!I246),'Escalating commodity'!I246))</f>
        <v/>
      </c>
      <c r="AI233" s="207" t="str">
        <f aca="false">IF($A234="","",AH233)</f>
        <v/>
      </c>
      <c r="AJ233" s="208" t="e">
        <f aca="false">A233+DAY(EOMONTH(A233,0))/2-1</f>
        <v>#VALUE!</v>
      </c>
      <c r="AK233" s="209" t="str">
        <f aca="false">IF($A234="","",$A233-$E$1)</f>
        <v/>
      </c>
      <c r="AL233" s="182" t="str">
        <f aca="false">IF($A234="","",SPRDOPT(P233,X233,AI233,0,AB233,AE233,AF233,AK233,$AJ$2,0))</f>
        <v/>
      </c>
      <c r="AM233" s="210" t="str">
        <f aca="false">IF($A234="","",MAX(0,O233-W233-AI233))</f>
        <v/>
      </c>
      <c r="AN233" s="211" t="str">
        <f aca="false">IF($A234="","",AL233-AM233)</f>
        <v/>
      </c>
      <c r="AO233" s="137" t="str">
        <f aca="false">IF(A234="","",A234-A233)</f>
        <v/>
      </c>
      <c r="AP233" s="212" t="str">
        <f aca="false">IF(A234="","",CHOOSE(F$3,A234+24,A233))</f>
        <v/>
      </c>
      <c r="AQ233" s="209" t="str">
        <f aca="false">IF(A234="","",AP233-$E$1)</f>
        <v/>
      </c>
      <c r="AR233" s="185" t="n">
        <f aca="false">'ANR OK vs ML7'!AR233</f>
        <v>0.1</v>
      </c>
      <c r="AS233" s="213" t="str">
        <f aca="false">IF(A234="","",1/(1+CHOOSE(F$3,(AR234+($I$3/10000))/2,(AR233+($I$3/10000))/2))^(2*AQ233/365.25))</f>
        <v/>
      </c>
      <c r="AT233" s="137" t="str">
        <f aca="false">IF(A234="","",IF(AND(mthbeg&lt;=A233,mthend&gt;=A233),1,0))</f>
        <v/>
      </c>
      <c r="AU233" s="137" t="str">
        <f aca="false">IF(A234="","",AO233*AT233)</f>
        <v/>
      </c>
      <c r="AW233" s="195" t="str">
        <f aca="false">IF($A234="","",AL233*$E233)</f>
        <v/>
      </c>
      <c r="AX233" s="195" t="str">
        <f aca="false">IF($A234="","",AM233*$E233)</f>
        <v/>
      </c>
      <c r="AY233" s="195" t="str">
        <f aca="false">IF($A234="","",AN233*$E233)</f>
        <v/>
      </c>
      <c r="BA233" s="195" t="str">
        <f aca="false">IF($A234="","",F233*Summary!$Q$13)</f>
        <v/>
      </c>
    </row>
    <row r="234" customFormat="false" ht="12" hidden="false" customHeight="true" outlineLevel="0" collapsed="false">
      <c r="A234" s="196" t="str">
        <f aca="false">IF(A233&lt;mthend,EDATE(A233,1),"")</f>
        <v/>
      </c>
      <c r="B234" s="197" t="str">
        <f aca="false">IF(A234&lt;mthend,B233,"")</f>
        <v/>
      </c>
      <c r="C234" s="215"/>
      <c r="D234" s="197" t="str">
        <f aca="false">IF(A235&lt;&gt;"",B234+C234,"")</f>
        <v/>
      </c>
      <c r="E234" s="199" t="str">
        <f aca="false">IF(A235="","",IF(AND(AT234=1,$H$3=1),D234*AO234,IF($H$3=2,D234,"N/A")))</f>
        <v/>
      </c>
      <c r="F234" s="199" t="str">
        <f aca="false">IF(A235="","",E234*AS234)</f>
        <v/>
      </c>
      <c r="G234" s="200" t="str">
        <f aca="false">IF($A235="","",VLOOKUP($A234,Table,MATCH(G$4,Curves,0)))</f>
        <v/>
      </c>
      <c r="H234" s="201" t="str">
        <f aca="false">IF(A235="","",G234)</f>
        <v/>
      </c>
      <c r="I234" s="202"/>
      <c r="J234" s="200" t="str">
        <f aca="false">IF($A235="","",VLOOKUP($A234,Table,MATCH(J$4,Curves,0)))</f>
        <v/>
      </c>
      <c r="K234" s="201" t="str">
        <f aca="false">IF(A235="","",J234)</f>
        <v/>
      </c>
      <c r="L234" s="185" t="n">
        <v>0</v>
      </c>
      <c r="M234" s="201" t="str">
        <f aca="false">IF(A235="","",L234)</f>
        <v/>
      </c>
      <c r="N234" s="203"/>
      <c r="O234" s="200" t="str">
        <f aca="false">IF(A235="","",L234+J234+G234)</f>
        <v/>
      </c>
      <c r="P234" s="200" t="str">
        <f aca="false">IF(A235="","",M234+K234+H234)</f>
        <v/>
      </c>
      <c r="Q234" s="204"/>
      <c r="R234" s="200" t="str">
        <f aca="false">IF($A235="","",VLOOKUP($A234,Table,MATCH(R$4,Curves,0)))</f>
        <v/>
      </c>
      <c r="S234" s="201" t="str">
        <f aca="false">IF(A235="","",R234)</f>
        <v/>
      </c>
      <c r="T234" s="185" t="n">
        <v>0</v>
      </c>
      <c r="U234" s="201" t="str">
        <f aca="false">IF(A235="","",T234)</f>
        <v/>
      </c>
      <c r="V234" s="205"/>
      <c r="W234" s="202" t="str">
        <f aca="false">IF($A235="","",(T234+R234+G234+V234))</f>
        <v/>
      </c>
      <c r="X234" s="202" t="str">
        <f aca="false">IF($A235="","",(U234+S234+H234+V234))</f>
        <v/>
      </c>
      <c r="Y234" s="202"/>
      <c r="Z234" s="185" t="str">
        <f aca="false">IF($A235="","",VLOOKUP($A234,Table,MATCH(Z$4,Curves,0)))</f>
        <v/>
      </c>
      <c r="AA234" s="185" t="str">
        <f aca="false">IF($A235="","",VLOOKUP($A234,Table,MATCH(AA$4,Curves,0)))</f>
        <v/>
      </c>
      <c r="AB234" s="185" t="e">
        <f aca="false">SQRT((AA234^2*(A234-$D$3)+Z234^2*(DAY(EOMONTH(A234,0))/2))/AK234)</f>
        <v>#VALUE!</v>
      </c>
      <c r="AC234" s="185" t="str">
        <f aca="false">IF($A235="","",VLOOKUP($A234,Table,MATCH(AC$4,Curves,0)))</f>
        <v/>
      </c>
      <c r="AD234" s="185" t="str">
        <f aca="false">IF($A235="","",VLOOKUP($A234,Table,MATCH(AD$4,Curves,0)))</f>
        <v/>
      </c>
      <c r="AE234" s="185" t="e">
        <f aca="false">SQRT((AD234^2*(A234-$D$3)+AC234^2*(DAY(EOMONTH(A234,0))/2))/AK234)</f>
        <v>#VALUE!</v>
      </c>
      <c r="AF234" s="224" t="e">
        <f aca="false">((Summary!$N$13*(AA234*AD234)*(A234-$D$3))+(Summary!$M$13*Z234*AC234*(AJ234-EOMONTH(EDATE(A234,-1),0))))/(AK234*AB234*AE234)</f>
        <v>#VALUE!</v>
      </c>
      <c r="AG234" s="207" t="str">
        <f aca="false">IF($A235="","",Summary!$Q$13)</f>
        <v/>
      </c>
      <c r="AH234" s="207" t="str">
        <f aca="false">IF($A235="","",IF(Summary!$R$12="Y",(VLOOKUP($A234,Summary!$AD$6:$AF$9,3)+'Escalating commodity'!I247),'Escalating commodity'!I247))</f>
        <v/>
      </c>
      <c r="AI234" s="207" t="str">
        <f aca="false">IF($A235="","",AH234)</f>
        <v/>
      </c>
      <c r="AJ234" s="208" t="e">
        <f aca="false">A234+DAY(EOMONTH(A234,0))/2-1</f>
        <v>#VALUE!</v>
      </c>
      <c r="AK234" s="209" t="str">
        <f aca="false">IF($A235="","",$A234-$E$1)</f>
        <v/>
      </c>
      <c r="AL234" s="182" t="str">
        <f aca="false">IF($A235="","",SPRDOPT(P234,X234,AI234,0,AB234,AE234,AF234,AK234,$AJ$2,0))</f>
        <v/>
      </c>
      <c r="AM234" s="210" t="str">
        <f aca="false">IF($A235="","",MAX(0,O234-W234-AI234))</f>
        <v/>
      </c>
      <c r="AN234" s="211" t="str">
        <f aca="false">IF($A235="","",AL234-AM234)</f>
        <v/>
      </c>
      <c r="AO234" s="137" t="str">
        <f aca="false">IF(A235="","",A235-A234)</f>
        <v/>
      </c>
      <c r="AP234" s="212" t="str">
        <f aca="false">IF(A235="","",CHOOSE(F$3,A235+24,A234))</f>
        <v/>
      </c>
      <c r="AQ234" s="209" t="str">
        <f aca="false">IF(A235="","",AP234-$E$1)</f>
        <v/>
      </c>
      <c r="AR234" s="185" t="n">
        <f aca="false">'ANR OK vs ML7'!AR234</f>
        <v>0.1</v>
      </c>
      <c r="AS234" s="213" t="str">
        <f aca="false">IF(A235="","",1/(1+CHOOSE(F$3,(AR235+($I$3/10000))/2,(AR234+($I$3/10000))/2))^(2*AQ234/365.25))</f>
        <v/>
      </c>
      <c r="AT234" s="137" t="str">
        <f aca="false">IF(A235="","",IF(AND(mthbeg&lt;=A234,mthend&gt;=A234),1,0))</f>
        <v/>
      </c>
      <c r="AU234" s="137" t="str">
        <f aca="false">IF(A235="","",AO234*AT234)</f>
        <v/>
      </c>
      <c r="AW234" s="195" t="str">
        <f aca="false">IF($A235="","",AL234*$E234)</f>
        <v/>
      </c>
      <c r="AX234" s="195" t="str">
        <f aca="false">IF($A235="","",AM234*$E234)</f>
        <v/>
      </c>
      <c r="AY234" s="195" t="str">
        <f aca="false">IF($A235="","",AN234*$E234)</f>
        <v/>
      </c>
      <c r="BA234" s="195" t="str">
        <f aca="false">IF($A235="","",F234*Summary!$Q$13)</f>
        <v/>
      </c>
    </row>
    <row r="235" customFormat="false" ht="12" hidden="false" customHeight="true" outlineLevel="0" collapsed="false">
      <c r="A235" s="196" t="str">
        <f aca="false">IF(A234&lt;mthend,EDATE(A234,1),"")</f>
        <v/>
      </c>
      <c r="B235" s="197" t="str">
        <f aca="false">IF(A235&lt;mthend,B234,"")</f>
        <v/>
      </c>
      <c r="C235" s="215"/>
      <c r="D235" s="197" t="str">
        <f aca="false">IF(A236&lt;&gt;"",B235+C235,"")</f>
        <v/>
      </c>
      <c r="E235" s="199" t="str">
        <f aca="false">IF(A236="","",IF(AND(AT235=1,$H$3=1),D235*AO235,IF($H$3=2,D235,"N/A")))</f>
        <v/>
      </c>
      <c r="F235" s="199" t="str">
        <f aca="false">IF(A236="","",E235*AS235)</f>
        <v/>
      </c>
      <c r="G235" s="200" t="str">
        <f aca="false">IF($A236="","",VLOOKUP($A235,Table,MATCH(G$4,Curves,0)))</f>
        <v/>
      </c>
      <c r="H235" s="201" t="str">
        <f aca="false">IF(A236="","",G235)</f>
        <v/>
      </c>
      <c r="I235" s="202"/>
      <c r="J235" s="200" t="str">
        <f aca="false">IF($A236="","",VLOOKUP($A235,Table,MATCH(J$4,Curves,0)))</f>
        <v/>
      </c>
      <c r="K235" s="201" t="str">
        <f aca="false">IF(A236="","",J235)</f>
        <v/>
      </c>
      <c r="L235" s="185" t="n">
        <v>0</v>
      </c>
      <c r="M235" s="201" t="str">
        <f aca="false">IF(A236="","",L235)</f>
        <v/>
      </c>
      <c r="N235" s="203"/>
      <c r="O235" s="200" t="str">
        <f aca="false">IF(A236="","",L235+J235+G235)</f>
        <v/>
      </c>
      <c r="P235" s="200" t="str">
        <f aca="false">IF(A236="","",M235+K235+H235)</f>
        <v/>
      </c>
      <c r="Q235" s="204"/>
      <c r="R235" s="200" t="str">
        <f aca="false">IF($A236="","",VLOOKUP($A235,Table,MATCH(R$4,Curves,0)))</f>
        <v/>
      </c>
      <c r="S235" s="201" t="str">
        <f aca="false">IF(A236="","",R235)</f>
        <v/>
      </c>
      <c r="T235" s="185" t="n">
        <v>0</v>
      </c>
      <c r="U235" s="201" t="str">
        <f aca="false">IF(A236="","",T235)</f>
        <v/>
      </c>
      <c r="V235" s="205"/>
      <c r="W235" s="202" t="str">
        <f aca="false">IF($A236="","",(T235+R235+G235+V235))</f>
        <v/>
      </c>
      <c r="X235" s="202" t="str">
        <f aca="false">IF($A236="","",(U235+S235+H235+V235))</f>
        <v/>
      </c>
      <c r="Y235" s="202"/>
      <c r="Z235" s="185" t="str">
        <f aca="false">IF($A236="","",VLOOKUP($A235,Table,MATCH(Z$4,Curves,0)))</f>
        <v/>
      </c>
      <c r="AA235" s="185" t="str">
        <f aca="false">IF($A236="","",VLOOKUP($A235,Table,MATCH(AA$4,Curves,0)))</f>
        <v/>
      </c>
      <c r="AB235" s="185" t="e">
        <f aca="false">SQRT((AA235^2*(A235-$D$3)+Z235^2*(DAY(EOMONTH(A235,0))/2))/AK235)</f>
        <v>#VALUE!</v>
      </c>
      <c r="AC235" s="185" t="str">
        <f aca="false">IF($A236="","",VLOOKUP($A235,Table,MATCH(AC$4,Curves,0)))</f>
        <v/>
      </c>
      <c r="AD235" s="185" t="str">
        <f aca="false">IF($A236="","",VLOOKUP($A235,Table,MATCH(AD$4,Curves,0)))</f>
        <v/>
      </c>
      <c r="AE235" s="185" t="e">
        <f aca="false">SQRT((AD235^2*(A235-$D$3)+AC235^2*(DAY(EOMONTH(A235,0))/2))/AK235)</f>
        <v>#VALUE!</v>
      </c>
      <c r="AF235" s="224" t="e">
        <f aca="false">((Summary!$N$13*(AA235*AD235)*(A235-$D$3))+(Summary!$M$13*Z235*AC235*(AJ235-EOMONTH(EDATE(A235,-1),0))))/(AK235*AB235*AE235)</f>
        <v>#VALUE!</v>
      </c>
      <c r="AG235" s="207" t="str">
        <f aca="false">IF($A236="","",Summary!$Q$13)</f>
        <v/>
      </c>
      <c r="AH235" s="207" t="str">
        <f aca="false">IF($A236="","",IF(Summary!$R$12="Y",(VLOOKUP($A235,Summary!$AD$6:$AF$9,3)+'Escalating commodity'!I248),'Escalating commodity'!I248))</f>
        <v/>
      </c>
      <c r="AI235" s="207" t="str">
        <f aca="false">IF($A236="","",AH235)</f>
        <v/>
      </c>
      <c r="AJ235" s="208" t="e">
        <f aca="false">A235+DAY(EOMONTH(A235,0))/2-1</f>
        <v>#VALUE!</v>
      </c>
      <c r="AK235" s="209" t="str">
        <f aca="false">IF($A236="","",$A235-$E$1)</f>
        <v/>
      </c>
      <c r="AL235" s="182" t="str">
        <f aca="false">IF($A236="","",SPRDOPT(P235,X235,AI235,0,AB235,AE235,AF235,AK235,$AJ$2,0))</f>
        <v/>
      </c>
      <c r="AM235" s="210" t="str">
        <f aca="false">IF($A236="","",MAX(0,O235-W235-AI235))</f>
        <v/>
      </c>
      <c r="AN235" s="211" t="str">
        <f aca="false">IF($A236="","",AL235-AM235)</f>
        <v/>
      </c>
      <c r="AO235" s="137" t="str">
        <f aca="false">IF(A236="","",A236-A235)</f>
        <v/>
      </c>
      <c r="AP235" s="212" t="str">
        <f aca="false">IF(A236="","",CHOOSE(F$3,A236+24,A235))</f>
        <v/>
      </c>
      <c r="AQ235" s="209" t="str">
        <f aca="false">IF(A236="","",AP235-$E$1)</f>
        <v/>
      </c>
      <c r="AR235" s="185" t="n">
        <f aca="false">'ANR OK vs ML7'!AR235</f>
        <v>0.1</v>
      </c>
      <c r="AS235" s="213" t="str">
        <f aca="false">IF(A236="","",1/(1+CHOOSE(F$3,(AR236+($I$3/10000))/2,(AR235+($I$3/10000))/2))^(2*AQ235/365.25))</f>
        <v/>
      </c>
      <c r="AT235" s="137" t="str">
        <f aca="false">IF(A236="","",IF(AND(mthbeg&lt;=A235,mthend&gt;=A235),1,0))</f>
        <v/>
      </c>
      <c r="AU235" s="137" t="str">
        <f aca="false">IF(A236="","",AO235*AT235)</f>
        <v/>
      </c>
      <c r="AW235" s="195" t="str">
        <f aca="false">IF($A236="","",AL235*$E235)</f>
        <v/>
      </c>
      <c r="AX235" s="195" t="str">
        <f aca="false">IF($A236="","",AM235*$E235)</f>
        <v/>
      </c>
      <c r="AY235" s="195" t="str">
        <f aca="false">IF($A236="","",AN235*$E235)</f>
        <v/>
      </c>
      <c r="BA235" s="195" t="str">
        <f aca="false">IF($A236="","",F235*Summary!$Q$13)</f>
        <v/>
      </c>
    </row>
    <row r="236" customFormat="false" ht="12" hidden="false" customHeight="true" outlineLevel="0" collapsed="false">
      <c r="A236" s="196" t="str">
        <f aca="false">IF(A235&lt;mthend,EDATE(A235,1),"")</f>
        <v/>
      </c>
      <c r="B236" s="197" t="str">
        <f aca="false">IF(A236&lt;mthend,B235,"")</f>
        <v/>
      </c>
      <c r="C236" s="215"/>
      <c r="D236" s="197" t="str">
        <f aca="false">IF(A237&lt;&gt;"",B236+C236,"")</f>
        <v/>
      </c>
      <c r="E236" s="199" t="str">
        <f aca="false">IF(A237="","",IF(AND(AT236=1,$H$3=1),D236*AO236,IF($H$3=2,D236,"N/A")))</f>
        <v/>
      </c>
      <c r="F236" s="199" t="str">
        <f aca="false">IF(A237="","",E236*AS236)</f>
        <v/>
      </c>
      <c r="G236" s="200" t="str">
        <f aca="false">IF($A237="","",VLOOKUP($A236,Table,MATCH(G$4,Curves,0)))</f>
        <v/>
      </c>
      <c r="H236" s="201" t="str">
        <f aca="false">IF(A237="","",G236)</f>
        <v/>
      </c>
      <c r="I236" s="202"/>
      <c r="J236" s="200" t="str">
        <f aca="false">IF($A237="","",VLOOKUP($A236,Table,MATCH(J$4,Curves,0)))</f>
        <v/>
      </c>
      <c r="K236" s="201" t="str">
        <f aca="false">IF(A237="","",J236)</f>
        <v/>
      </c>
      <c r="L236" s="185" t="n">
        <v>0</v>
      </c>
      <c r="M236" s="201" t="str">
        <f aca="false">IF(A237="","",L236)</f>
        <v/>
      </c>
      <c r="N236" s="203"/>
      <c r="O236" s="200" t="str">
        <f aca="false">IF(A237="","",L236+J236+G236)</f>
        <v/>
      </c>
      <c r="P236" s="200" t="str">
        <f aca="false">IF(A237="","",M236+K236+H236)</f>
        <v/>
      </c>
      <c r="Q236" s="204"/>
      <c r="R236" s="200" t="str">
        <f aca="false">IF($A237="","",VLOOKUP($A236,Table,MATCH(R$4,Curves,0)))</f>
        <v/>
      </c>
      <c r="S236" s="201" t="str">
        <f aca="false">IF(A237="","",R236)</f>
        <v/>
      </c>
      <c r="T236" s="185" t="n">
        <v>0</v>
      </c>
      <c r="U236" s="201" t="str">
        <f aca="false">IF(A237="","",T236)</f>
        <v/>
      </c>
      <c r="V236" s="205"/>
      <c r="W236" s="202" t="str">
        <f aca="false">IF($A237="","",(T236+R236+G236+V236))</f>
        <v/>
      </c>
      <c r="X236" s="202" t="str">
        <f aca="false">IF($A237="","",(U236+S236+H236+V236))</f>
        <v/>
      </c>
      <c r="Y236" s="202"/>
      <c r="Z236" s="185" t="str">
        <f aca="false">IF($A237="","",VLOOKUP($A236,Table,MATCH(Z$4,Curves,0)))</f>
        <v/>
      </c>
      <c r="AA236" s="185" t="str">
        <f aca="false">IF($A237="","",VLOOKUP($A236,Table,MATCH(AA$4,Curves,0)))</f>
        <v/>
      </c>
      <c r="AB236" s="185" t="e">
        <f aca="false">SQRT((AA236^2*(A236-$D$3)+Z236^2*(DAY(EOMONTH(A236,0))/2))/AK236)</f>
        <v>#VALUE!</v>
      </c>
      <c r="AC236" s="185" t="str">
        <f aca="false">IF($A237="","",VLOOKUP($A236,Table,MATCH(AC$4,Curves,0)))</f>
        <v/>
      </c>
      <c r="AD236" s="185" t="str">
        <f aca="false">IF($A237="","",VLOOKUP($A236,Table,MATCH(AD$4,Curves,0)))</f>
        <v/>
      </c>
      <c r="AE236" s="185" t="e">
        <f aca="false">SQRT((AD236^2*(A236-$D$3)+AC236^2*(DAY(EOMONTH(A236,0))/2))/AK236)</f>
        <v>#VALUE!</v>
      </c>
      <c r="AF236" s="224" t="e">
        <f aca="false">((Summary!$N$13*(AA236*AD236)*(A236-$D$3))+(Summary!$M$13*Z236*AC236*(AJ236-EOMONTH(EDATE(A236,-1),0))))/(AK236*AB236*AE236)</f>
        <v>#VALUE!</v>
      </c>
      <c r="AG236" s="207" t="str">
        <f aca="false">IF($A237="","",Summary!$Q$13)</f>
        <v/>
      </c>
      <c r="AH236" s="207" t="str">
        <f aca="false">IF($A237="","",IF(Summary!$R$12="Y",(VLOOKUP($A236,Summary!$AD$6:$AF$9,3)+'Escalating commodity'!I249),'Escalating commodity'!I249))</f>
        <v/>
      </c>
      <c r="AI236" s="207" t="str">
        <f aca="false">IF($A237="","",AH236)</f>
        <v/>
      </c>
      <c r="AJ236" s="208" t="e">
        <f aca="false">A236+DAY(EOMONTH(A236,0))/2-1</f>
        <v>#VALUE!</v>
      </c>
      <c r="AK236" s="209" t="str">
        <f aca="false">IF($A237="","",$A236-$E$1)</f>
        <v/>
      </c>
      <c r="AL236" s="182" t="str">
        <f aca="false">IF($A237="","",SPRDOPT(P236,X236,AI236,0,AB236,AE236,AF236,AK236,$AJ$2,0))</f>
        <v/>
      </c>
      <c r="AM236" s="210" t="str">
        <f aca="false">IF($A237="","",MAX(0,O236-W236-AI236))</f>
        <v/>
      </c>
      <c r="AN236" s="211" t="str">
        <f aca="false">IF($A237="","",AL236-AM236)</f>
        <v/>
      </c>
      <c r="AO236" s="137" t="str">
        <f aca="false">IF(A237="","",A237-A236)</f>
        <v/>
      </c>
      <c r="AP236" s="212" t="str">
        <f aca="false">IF(A237="","",CHOOSE(F$3,A237+24,A236))</f>
        <v/>
      </c>
      <c r="AQ236" s="209" t="str">
        <f aca="false">IF(A237="","",AP236-$E$1)</f>
        <v/>
      </c>
      <c r="AR236" s="185" t="n">
        <f aca="false">'ANR OK vs ML7'!AR236</f>
        <v>0.1</v>
      </c>
      <c r="AS236" s="213" t="str">
        <f aca="false">IF(A237="","",1/(1+CHOOSE(F$3,(AR237+($I$3/10000))/2,(AR236+($I$3/10000))/2))^(2*AQ236/365.25))</f>
        <v/>
      </c>
      <c r="AT236" s="137" t="str">
        <f aca="false">IF(A237="","",IF(AND(mthbeg&lt;=A236,mthend&gt;=A236),1,0))</f>
        <v/>
      </c>
      <c r="AU236" s="137" t="str">
        <f aca="false">IF(A237="","",AO236*AT236)</f>
        <v/>
      </c>
      <c r="AW236" s="195" t="str">
        <f aca="false">IF($A237="","",AL236*$E236)</f>
        <v/>
      </c>
      <c r="AX236" s="195" t="str">
        <f aca="false">IF($A237="","",AM236*$E236)</f>
        <v/>
      </c>
      <c r="AY236" s="195" t="str">
        <f aca="false">IF($A237="","",AN236*$E236)</f>
        <v/>
      </c>
      <c r="BA236" s="195" t="str">
        <f aca="false">IF($A237="","",F236*Summary!$Q$13)</f>
        <v/>
      </c>
    </row>
    <row r="237" customFormat="false" ht="12" hidden="false" customHeight="true" outlineLevel="0" collapsed="false">
      <c r="A237" s="196" t="str">
        <f aca="false">IF(A236&lt;mthend,EDATE(A236,1),"")</f>
        <v/>
      </c>
      <c r="B237" s="197" t="str">
        <f aca="false">IF(A237&lt;mthend,B236,"")</f>
        <v/>
      </c>
      <c r="C237" s="215"/>
      <c r="D237" s="197" t="str">
        <f aca="false">IF(A238&lt;&gt;"",B237+C237,"")</f>
        <v/>
      </c>
      <c r="E237" s="199" t="str">
        <f aca="false">IF(A238="","",IF(AND(AT237=1,$H$3=1),D237*AO237,IF($H$3=2,D237,"N/A")))</f>
        <v/>
      </c>
      <c r="F237" s="199" t="str">
        <f aca="false">IF(A238="","",E237*AS237)</f>
        <v/>
      </c>
      <c r="G237" s="200" t="str">
        <f aca="false">IF($A238="","",VLOOKUP($A237,Table,MATCH(G$4,Curves,0)))</f>
        <v/>
      </c>
      <c r="H237" s="201" t="str">
        <f aca="false">IF(A238="","",G237)</f>
        <v/>
      </c>
      <c r="I237" s="202"/>
      <c r="J237" s="200" t="str">
        <f aca="false">IF($A238="","",VLOOKUP($A237,Table,MATCH(J$4,Curves,0)))</f>
        <v/>
      </c>
      <c r="K237" s="201" t="str">
        <f aca="false">IF(A238="","",J237)</f>
        <v/>
      </c>
      <c r="L237" s="185" t="n">
        <v>0</v>
      </c>
      <c r="M237" s="201" t="str">
        <f aca="false">IF(A238="","",L237)</f>
        <v/>
      </c>
      <c r="N237" s="203"/>
      <c r="O237" s="200" t="str">
        <f aca="false">IF(A238="","",L237+J237+G237)</f>
        <v/>
      </c>
      <c r="P237" s="200" t="str">
        <f aca="false">IF(A238="","",M237+K237+H237)</f>
        <v/>
      </c>
      <c r="Q237" s="204"/>
      <c r="R237" s="200" t="str">
        <f aca="false">IF($A238="","",VLOOKUP($A237,Table,MATCH(R$4,Curves,0)))</f>
        <v/>
      </c>
      <c r="S237" s="201" t="str">
        <f aca="false">IF(A238="","",R237)</f>
        <v/>
      </c>
      <c r="T237" s="185" t="n">
        <v>0</v>
      </c>
      <c r="U237" s="201" t="str">
        <f aca="false">IF(A238="","",T237)</f>
        <v/>
      </c>
      <c r="V237" s="205"/>
      <c r="W237" s="202" t="str">
        <f aca="false">IF($A238="","",(T237+R237+G237+V237))</f>
        <v/>
      </c>
      <c r="X237" s="202" t="str">
        <f aca="false">IF($A238="","",(U237+S237+H237+V237))</f>
        <v/>
      </c>
      <c r="Y237" s="202"/>
      <c r="Z237" s="185" t="str">
        <f aca="false">IF($A238="","",VLOOKUP($A237,Table,MATCH(Z$4,Curves,0)))</f>
        <v/>
      </c>
      <c r="AA237" s="185" t="str">
        <f aca="false">IF($A238="","",VLOOKUP($A237,Table,MATCH(AA$4,Curves,0)))</f>
        <v/>
      </c>
      <c r="AB237" s="185" t="e">
        <f aca="false">SQRT((AA237^2*(A237-$D$3)+Z237^2*(DAY(EOMONTH(A237,0))/2))/AK237)</f>
        <v>#VALUE!</v>
      </c>
      <c r="AC237" s="185" t="str">
        <f aca="false">IF($A238="","",VLOOKUP($A237,Table,MATCH(AC$4,Curves,0)))</f>
        <v/>
      </c>
      <c r="AD237" s="185" t="str">
        <f aca="false">IF($A238="","",VLOOKUP($A237,Table,MATCH(AD$4,Curves,0)))</f>
        <v/>
      </c>
      <c r="AE237" s="185" t="e">
        <f aca="false">SQRT((AD237^2*(A237-$D$3)+AC237^2*(DAY(EOMONTH(A237,0))/2))/AK237)</f>
        <v>#VALUE!</v>
      </c>
      <c r="AF237" s="224" t="e">
        <f aca="false">((Summary!$N$13*(AA237*AD237)*(A237-$D$3))+(Summary!$M$13*Z237*AC237*(AJ237-EOMONTH(EDATE(A237,-1),0))))/(AK237*AB237*AE237)</f>
        <v>#VALUE!</v>
      </c>
      <c r="AG237" s="207" t="str">
        <f aca="false">IF($A238="","",Summary!$Q$13)</f>
        <v/>
      </c>
      <c r="AH237" s="207" t="str">
        <f aca="false">IF($A238="","",IF(Summary!$R$12="Y",(VLOOKUP($A237,Summary!$AD$6:$AF$9,3)+'Escalating commodity'!I250),'Escalating commodity'!I250))</f>
        <v/>
      </c>
      <c r="AI237" s="207" t="str">
        <f aca="false">IF($A238="","",AH237)</f>
        <v/>
      </c>
      <c r="AJ237" s="208" t="e">
        <f aca="false">A237+DAY(EOMONTH(A237,0))/2-1</f>
        <v>#VALUE!</v>
      </c>
      <c r="AK237" s="209" t="str">
        <f aca="false">IF($A238="","",$A237-$E$1)</f>
        <v/>
      </c>
      <c r="AL237" s="182" t="str">
        <f aca="false">IF($A238="","",SPRDOPT(P237,X237,AI237,0,AB237,AE237,AF237,AK237,$AJ$2,0))</f>
        <v/>
      </c>
      <c r="AM237" s="210" t="str">
        <f aca="false">IF($A238="","",MAX(0,O237-W237-AI237))</f>
        <v/>
      </c>
      <c r="AN237" s="211" t="str">
        <f aca="false">IF($A238="","",AL237-AM237)</f>
        <v/>
      </c>
      <c r="AO237" s="137" t="str">
        <f aca="false">IF(A238="","",A238-A237)</f>
        <v/>
      </c>
      <c r="AP237" s="212" t="str">
        <f aca="false">IF(A238="","",CHOOSE(F$3,A238+24,A237))</f>
        <v/>
      </c>
      <c r="AQ237" s="209" t="str">
        <f aca="false">IF(A238="","",AP237-$E$1)</f>
        <v/>
      </c>
      <c r="AR237" s="185" t="n">
        <f aca="false">'ANR OK vs ML7'!AR237</f>
        <v>0.1</v>
      </c>
      <c r="AS237" s="213" t="str">
        <f aca="false">IF(A238="","",1/(1+CHOOSE(F$3,(AR238+($I$3/10000))/2,(AR237+($I$3/10000))/2))^(2*AQ237/365.25))</f>
        <v/>
      </c>
      <c r="AT237" s="137" t="str">
        <f aca="false">IF(A238="","",IF(AND(mthbeg&lt;=A237,mthend&gt;=A237),1,0))</f>
        <v/>
      </c>
      <c r="AU237" s="137" t="str">
        <f aca="false">IF(A238="","",AO237*AT237)</f>
        <v/>
      </c>
      <c r="AW237" s="195" t="str">
        <f aca="false">IF($A238="","",AL237*$E237)</f>
        <v/>
      </c>
      <c r="AX237" s="195" t="str">
        <f aca="false">IF($A238="","",AM237*$E237)</f>
        <v/>
      </c>
      <c r="AY237" s="195" t="str">
        <f aca="false">IF($A238="","",AN237*$E237)</f>
        <v/>
      </c>
      <c r="BA237" s="195" t="str">
        <f aca="false">IF($A238="","",F237*Summary!$Q$13)</f>
        <v/>
      </c>
    </row>
    <row r="238" customFormat="false" ht="12" hidden="false" customHeight="true" outlineLevel="0" collapsed="false">
      <c r="A238" s="196" t="str">
        <f aca="false">IF(A237&lt;mthend,EDATE(A237,1),"")</f>
        <v/>
      </c>
      <c r="B238" s="197" t="str">
        <f aca="false">IF(A238&lt;mthend,B237,"")</f>
        <v/>
      </c>
      <c r="C238" s="215"/>
      <c r="D238" s="197" t="str">
        <f aca="false">IF(A239&lt;&gt;"",B238+C238,"")</f>
        <v/>
      </c>
      <c r="E238" s="199" t="str">
        <f aca="false">IF(A239="","",IF(AND(AT238=1,$H$3=1),D238*AO238,IF($H$3=2,D238,"N/A")))</f>
        <v/>
      </c>
      <c r="F238" s="199" t="str">
        <f aca="false">IF(A239="","",E238*AS238)</f>
        <v/>
      </c>
      <c r="G238" s="200" t="str">
        <f aca="false">IF($A239="","",VLOOKUP($A238,Table,MATCH(G$4,Curves,0)))</f>
        <v/>
      </c>
      <c r="H238" s="201" t="str">
        <f aca="false">IF(A239="","",G238)</f>
        <v/>
      </c>
      <c r="I238" s="202"/>
      <c r="J238" s="200" t="str">
        <f aca="false">IF($A239="","",VLOOKUP($A238,Table,MATCH(J$4,Curves,0)))</f>
        <v/>
      </c>
      <c r="K238" s="201" t="str">
        <f aca="false">IF(A239="","",J238)</f>
        <v/>
      </c>
      <c r="L238" s="185" t="n">
        <v>0</v>
      </c>
      <c r="M238" s="201" t="str">
        <f aca="false">IF(A239="","",L238)</f>
        <v/>
      </c>
      <c r="N238" s="203"/>
      <c r="O238" s="200" t="str">
        <f aca="false">IF(A239="","",L238+J238+G238)</f>
        <v/>
      </c>
      <c r="P238" s="200" t="str">
        <f aca="false">IF(A239="","",M238+K238+H238)</f>
        <v/>
      </c>
      <c r="Q238" s="204"/>
      <c r="R238" s="200" t="str">
        <f aca="false">IF($A239="","",VLOOKUP($A238,Table,MATCH(R$4,Curves,0)))</f>
        <v/>
      </c>
      <c r="S238" s="201" t="str">
        <f aca="false">IF(A239="","",R238)</f>
        <v/>
      </c>
      <c r="T238" s="185" t="n">
        <v>0</v>
      </c>
      <c r="U238" s="201" t="str">
        <f aca="false">IF(A239="","",T238)</f>
        <v/>
      </c>
      <c r="V238" s="205"/>
      <c r="W238" s="202" t="str">
        <f aca="false">IF($A239="","",(T238+R238+G238+V238))</f>
        <v/>
      </c>
      <c r="X238" s="202" t="str">
        <f aca="false">IF($A239="","",(U238+S238+H238+V238))</f>
        <v/>
      </c>
      <c r="Y238" s="202"/>
      <c r="Z238" s="185" t="str">
        <f aca="false">IF($A239="","",VLOOKUP($A238,Table,MATCH(Z$4,Curves,0)))</f>
        <v/>
      </c>
      <c r="AA238" s="185" t="str">
        <f aca="false">IF($A239="","",VLOOKUP($A238,Table,MATCH(AA$4,Curves,0)))</f>
        <v/>
      </c>
      <c r="AB238" s="185" t="e">
        <f aca="false">SQRT((AA238^2*(A238-$D$3)+Z238^2*(DAY(EOMONTH(A238,0))/2))/AK238)</f>
        <v>#VALUE!</v>
      </c>
      <c r="AC238" s="185" t="str">
        <f aca="false">IF($A239="","",VLOOKUP($A238,Table,MATCH(AC$4,Curves,0)))</f>
        <v/>
      </c>
      <c r="AD238" s="185" t="str">
        <f aca="false">IF($A239="","",VLOOKUP($A238,Table,MATCH(AD$4,Curves,0)))</f>
        <v/>
      </c>
      <c r="AE238" s="185" t="e">
        <f aca="false">SQRT((AD238^2*(A238-$D$3)+AC238^2*(DAY(EOMONTH(A238,0))/2))/AK238)</f>
        <v>#VALUE!</v>
      </c>
      <c r="AF238" s="224" t="e">
        <f aca="false">((Summary!$N$13*(AA238*AD238)*(A238-$D$3))+(Summary!$M$13*Z238*AC238*(AJ238-EOMONTH(EDATE(A238,-1),0))))/(AK238*AB238*AE238)</f>
        <v>#VALUE!</v>
      </c>
      <c r="AG238" s="207" t="str">
        <f aca="false">IF($A239="","",Summary!$Q$13)</f>
        <v/>
      </c>
      <c r="AH238" s="207" t="str">
        <f aca="false">IF($A239="","",IF(Summary!$R$12="Y",(VLOOKUP($A238,Summary!$AD$6:$AF$9,3)+'Escalating commodity'!I251),'Escalating commodity'!I251))</f>
        <v/>
      </c>
      <c r="AI238" s="207" t="str">
        <f aca="false">IF($A239="","",AH238)</f>
        <v/>
      </c>
      <c r="AJ238" s="208" t="e">
        <f aca="false">A238+DAY(EOMONTH(A238,0))/2-1</f>
        <v>#VALUE!</v>
      </c>
      <c r="AK238" s="209" t="str">
        <f aca="false">IF($A239="","",$A238-$E$1)</f>
        <v/>
      </c>
      <c r="AL238" s="182" t="str">
        <f aca="false">IF($A239="","",SPRDOPT(P238,X238,AI238,0,AB238,AE238,AF238,AK238,$AJ$2,0))</f>
        <v/>
      </c>
      <c r="AM238" s="210" t="str">
        <f aca="false">IF($A239="","",MAX(0,O238-W238-AI238))</f>
        <v/>
      </c>
      <c r="AN238" s="211" t="str">
        <f aca="false">IF($A239="","",AL238-AM238)</f>
        <v/>
      </c>
      <c r="AO238" s="137" t="str">
        <f aca="false">IF(A239="","",A239-A238)</f>
        <v/>
      </c>
      <c r="AP238" s="212" t="str">
        <f aca="false">IF(A239="","",CHOOSE(F$3,A239+24,A238))</f>
        <v/>
      </c>
      <c r="AQ238" s="209" t="str">
        <f aca="false">IF(A239="","",AP238-$E$1)</f>
        <v/>
      </c>
      <c r="AR238" s="185" t="n">
        <f aca="false">'ANR OK vs ML7'!AR238</f>
        <v>0.1</v>
      </c>
      <c r="AS238" s="213" t="str">
        <f aca="false">IF(A239="","",1/(1+CHOOSE(F$3,(AR239+($I$3/10000))/2,(AR238+($I$3/10000))/2))^(2*AQ238/365.25))</f>
        <v/>
      </c>
      <c r="AT238" s="137" t="str">
        <f aca="false">IF(A239="","",IF(AND(mthbeg&lt;=A238,mthend&gt;=A238),1,0))</f>
        <v/>
      </c>
      <c r="AU238" s="137" t="str">
        <f aca="false">IF(A239="","",AO238*AT238)</f>
        <v/>
      </c>
      <c r="AW238" s="195" t="str">
        <f aca="false">IF($A239="","",AL238*$E238)</f>
        <v/>
      </c>
      <c r="AX238" s="195" t="str">
        <f aca="false">IF($A239="","",AM238*$E238)</f>
        <v/>
      </c>
      <c r="AY238" s="195" t="str">
        <f aca="false">IF($A239="","",AN238*$E238)</f>
        <v/>
      </c>
      <c r="BA238" s="195" t="str">
        <f aca="false">IF($A239="","",F238*Summary!$Q$13)</f>
        <v/>
      </c>
    </row>
    <row r="239" customFormat="false" ht="12" hidden="false" customHeight="true" outlineLevel="0" collapsed="false">
      <c r="A239" s="196" t="str">
        <f aca="false">IF(A238&lt;mthend,EDATE(A238,1),"")</f>
        <v/>
      </c>
      <c r="B239" s="197" t="str">
        <f aca="false">IF(A239&lt;mthend,B238,"")</f>
        <v/>
      </c>
      <c r="C239" s="215"/>
      <c r="D239" s="197" t="str">
        <f aca="false">IF(A240&lt;&gt;"",B239+C239,"")</f>
        <v/>
      </c>
      <c r="E239" s="199" t="str">
        <f aca="false">IF(A240="","",IF(AND(AT239=1,$H$3=1),D239*AO239,IF($H$3=2,D239,"N/A")))</f>
        <v/>
      </c>
      <c r="F239" s="199" t="str">
        <f aca="false">IF(A240="","",E239*AS239)</f>
        <v/>
      </c>
      <c r="G239" s="200" t="str">
        <f aca="false">IF($A240="","",VLOOKUP($A239,Table,MATCH(G$4,Curves,0)))</f>
        <v/>
      </c>
      <c r="H239" s="201" t="str">
        <f aca="false">IF(A240="","",G239)</f>
        <v/>
      </c>
      <c r="I239" s="202"/>
      <c r="J239" s="200" t="str">
        <f aca="false">IF($A240="","",VLOOKUP($A239,Table,MATCH(J$4,Curves,0)))</f>
        <v/>
      </c>
      <c r="K239" s="201" t="str">
        <f aca="false">IF(A240="","",J239)</f>
        <v/>
      </c>
      <c r="L239" s="185" t="n">
        <v>0</v>
      </c>
      <c r="M239" s="201" t="str">
        <f aca="false">IF(A240="","",L239)</f>
        <v/>
      </c>
      <c r="N239" s="203"/>
      <c r="O239" s="200" t="str">
        <f aca="false">IF(A240="","",L239+J239+G239)</f>
        <v/>
      </c>
      <c r="P239" s="200" t="str">
        <f aca="false">IF(A240="","",M239+K239+H239)</f>
        <v/>
      </c>
      <c r="Q239" s="204"/>
      <c r="R239" s="200" t="str">
        <f aca="false">IF($A240="","",VLOOKUP($A239,Table,MATCH(R$4,Curves,0)))</f>
        <v/>
      </c>
      <c r="S239" s="201" t="str">
        <f aca="false">IF(A240="","",R239)</f>
        <v/>
      </c>
      <c r="T239" s="185" t="n">
        <v>0</v>
      </c>
      <c r="U239" s="201" t="str">
        <f aca="false">IF(A240="","",T239)</f>
        <v/>
      </c>
      <c r="V239" s="205"/>
      <c r="W239" s="202" t="str">
        <f aca="false">IF($A240="","",(T239+R239+G239+V239))</f>
        <v/>
      </c>
      <c r="X239" s="202" t="str">
        <f aca="false">IF($A240="","",(U239+S239+H239+V239))</f>
        <v/>
      </c>
      <c r="Y239" s="202"/>
      <c r="Z239" s="185" t="str">
        <f aca="false">IF($A240="","",VLOOKUP($A239,Table,MATCH(Z$4,Curves,0)))</f>
        <v/>
      </c>
      <c r="AA239" s="185" t="str">
        <f aca="false">IF($A240="","",VLOOKUP($A239,Table,MATCH(AA$4,Curves,0)))</f>
        <v/>
      </c>
      <c r="AB239" s="185" t="e">
        <f aca="false">SQRT((AA239^2*(A239-$D$3)+Z239^2*(DAY(EOMONTH(A239,0))/2))/AK239)</f>
        <v>#VALUE!</v>
      </c>
      <c r="AC239" s="185" t="str">
        <f aca="false">IF($A240="","",VLOOKUP($A239,Table,MATCH(AC$4,Curves,0)))</f>
        <v/>
      </c>
      <c r="AD239" s="185" t="str">
        <f aca="false">IF($A240="","",VLOOKUP($A239,Table,MATCH(AD$4,Curves,0)))</f>
        <v/>
      </c>
      <c r="AE239" s="185" t="e">
        <f aca="false">SQRT((AD239^2*(A239-$D$3)+AC239^2*(DAY(EOMONTH(A239,0))/2))/AK239)</f>
        <v>#VALUE!</v>
      </c>
      <c r="AF239" s="224" t="e">
        <f aca="false">((Summary!$N$13*(AA239*AD239)*(A239-$D$3))+(Summary!$M$13*Z239*AC239*(AJ239-EOMONTH(EDATE(A239,-1),0))))/(AK239*AB239*AE239)</f>
        <v>#VALUE!</v>
      </c>
      <c r="AG239" s="207" t="str">
        <f aca="false">IF($A240="","",Summary!$Q$13)</f>
        <v/>
      </c>
      <c r="AH239" s="207" t="str">
        <f aca="false">IF($A240="","",IF(Summary!$R$12="Y",(VLOOKUP($A239,Summary!$AD$6:$AF$9,3)+'Escalating commodity'!I252),'Escalating commodity'!I252))</f>
        <v/>
      </c>
      <c r="AI239" s="207" t="str">
        <f aca="false">IF($A240="","",AH239)</f>
        <v/>
      </c>
      <c r="AJ239" s="208" t="e">
        <f aca="false">A239+DAY(EOMONTH(A239,0))/2-1</f>
        <v>#VALUE!</v>
      </c>
      <c r="AK239" s="209" t="str">
        <f aca="false">IF($A240="","",$A239-$E$1)</f>
        <v/>
      </c>
      <c r="AL239" s="182" t="str">
        <f aca="false">IF($A240="","",SPRDOPT(P239,X239,AI239,0,AB239,AE239,AF239,AK239,$AJ$2,0))</f>
        <v/>
      </c>
      <c r="AM239" s="210" t="str">
        <f aca="false">IF($A240="","",MAX(0,O239-W239-AI239))</f>
        <v/>
      </c>
      <c r="AN239" s="211" t="str">
        <f aca="false">IF($A240="","",AL239-AM239)</f>
        <v/>
      </c>
      <c r="AO239" s="137" t="str">
        <f aca="false">IF(A240="","",A240-A239)</f>
        <v/>
      </c>
      <c r="AP239" s="212" t="str">
        <f aca="false">IF(A240="","",CHOOSE(F$3,A240+24,A239))</f>
        <v/>
      </c>
      <c r="AQ239" s="209" t="str">
        <f aca="false">IF(A240="","",AP239-$E$1)</f>
        <v/>
      </c>
      <c r="AR239" s="185" t="n">
        <f aca="false">'ANR OK vs ML7'!AR239</f>
        <v>0.1</v>
      </c>
      <c r="AS239" s="213" t="str">
        <f aca="false">IF(A240="","",1/(1+CHOOSE(F$3,(AR240+($I$3/10000))/2,(AR239+($I$3/10000))/2))^(2*AQ239/365.25))</f>
        <v/>
      </c>
      <c r="AT239" s="137" t="str">
        <f aca="false">IF(A240="","",IF(AND(mthbeg&lt;=A239,mthend&gt;=A239),1,0))</f>
        <v/>
      </c>
      <c r="AU239" s="137" t="str">
        <f aca="false">IF(A240="","",AO239*AT239)</f>
        <v/>
      </c>
      <c r="AW239" s="195" t="str">
        <f aca="false">IF($A240="","",AL239*$E239)</f>
        <v/>
      </c>
      <c r="AX239" s="195" t="str">
        <f aca="false">IF($A240="","",AM239*$E239)</f>
        <v/>
      </c>
      <c r="AY239" s="195" t="str">
        <f aca="false">IF($A240="","",AN239*$E239)</f>
        <v/>
      </c>
      <c r="BA239" s="195" t="str">
        <f aca="false">IF($A240="","",F239*Summary!$Q$13)</f>
        <v/>
      </c>
    </row>
    <row r="240" customFormat="false" ht="12" hidden="false" customHeight="true" outlineLevel="0" collapsed="false">
      <c r="A240" s="196" t="str">
        <f aca="false">IF(A239&lt;mthend,EDATE(A239,1),"")</f>
        <v/>
      </c>
      <c r="B240" s="197" t="str">
        <f aca="false">IF(A240&lt;mthend,B239,"")</f>
        <v/>
      </c>
      <c r="C240" s="215"/>
      <c r="D240" s="197" t="str">
        <f aca="false">IF(A241&lt;&gt;"",B240+C240,"")</f>
        <v/>
      </c>
      <c r="E240" s="199" t="str">
        <f aca="false">IF(A241="","",IF(AND(AT240=1,$H$3=1),D240*AO240,IF($H$3=2,D240,"N/A")))</f>
        <v/>
      </c>
      <c r="F240" s="199" t="str">
        <f aca="false">IF(A241="","",E240*AS240)</f>
        <v/>
      </c>
      <c r="G240" s="200" t="str">
        <f aca="false">IF($A241="","",VLOOKUP($A240,Table,MATCH(G$4,Curves,0)))</f>
        <v/>
      </c>
      <c r="H240" s="201" t="str">
        <f aca="false">IF(A241="","",G240)</f>
        <v/>
      </c>
      <c r="I240" s="202"/>
      <c r="J240" s="200" t="str">
        <f aca="false">IF($A241="","",VLOOKUP($A240,Table,MATCH(J$4,Curves,0)))</f>
        <v/>
      </c>
      <c r="K240" s="201" t="str">
        <f aca="false">IF(A241="","",J240)</f>
        <v/>
      </c>
      <c r="L240" s="185" t="n">
        <v>0</v>
      </c>
      <c r="M240" s="201" t="str">
        <f aca="false">IF(A241="","",L240)</f>
        <v/>
      </c>
      <c r="N240" s="203"/>
      <c r="O240" s="200" t="str">
        <f aca="false">IF(A241="","",L240+J240+G240)</f>
        <v/>
      </c>
      <c r="P240" s="200" t="str">
        <f aca="false">IF(A241="","",M240+K240+H240)</f>
        <v/>
      </c>
      <c r="Q240" s="204"/>
      <c r="R240" s="200" t="str">
        <f aca="false">IF($A241="","",VLOOKUP($A240,Table,MATCH(R$4,Curves,0)))</f>
        <v/>
      </c>
      <c r="S240" s="201" t="str">
        <f aca="false">IF(A241="","",R240)</f>
        <v/>
      </c>
      <c r="T240" s="185" t="n">
        <v>0</v>
      </c>
      <c r="U240" s="201" t="str">
        <f aca="false">IF(A241="","",T240)</f>
        <v/>
      </c>
      <c r="V240" s="205"/>
      <c r="W240" s="202" t="str">
        <f aca="false">IF($A241="","",(T240+R240+G240+V240))</f>
        <v/>
      </c>
      <c r="X240" s="202" t="str">
        <f aca="false">IF($A241="","",(U240+S240+H240+V240))</f>
        <v/>
      </c>
      <c r="Y240" s="202"/>
      <c r="Z240" s="185" t="str">
        <f aca="false">IF($A241="","",VLOOKUP($A240,Table,MATCH(Z$4,Curves,0)))</f>
        <v/>
      </c>
      <c r="AA240" s="185" t="str">
        <f aca="false">IF($A241="","",VLOOKUP($A240,Table,MATCH(AA$4,Curves,0)))</f>
        <v/>
      </c>
      <c r="AB240" s="185" t="e">
        <f aca="false">SQRT((AA240^2*(A240-$D$3)+Z240^2*(DAY(EOMONTH(A240,0))/2))/AK240)</f>
        <v>#VALUE!</v>
      </c>
      <c r="AC240" s="185" t="str">
        <f aca="false">IF($A241="","",VLOOKUP($A240,Table,MATCH(AC$4,Curves,0)))</f>
        <v/>
      </c>
      <c r="AD240" s="185" t="str">
        <f aca="false">IF($A241="","",VLOOKUP($A240,Table,MATCH(AD$4,Curves,0)))</f>
        <v/>
      </c>
      <c r="AE240" s="185" t="e">
        <f aca="false">SQRT((AD240^2*(A240-$D$3)+AC240^2*(DAY(EOMONTH(A240,0))/2))/AK240)</f>
        <v>#VALUE!</v>
      </c>
      <c r="AF240" s="224" t="e">
        <f aca="false">((Summary!$N$13*(AA240*AD240)*(A240-$D$3))+(Summary!$M$13*Z240*AC240*(AJ240-EOMONTH(EDATE(A240,-1),0))))/(AK240*AB240*AE240)</f>
        <v>#VALUE!</v>
      </c>
      <c r="AG240" s="207" t="str">
        <f aca="false">IF($A241="","",Summary!$Q$13)</f>
        <v/>
      </c>
      <c r="AH240" s="207" t="str">
        <f aca="false">IF($A241="","",IF(Summary!$R$12="Y",(VLOOKUP($A240,Summary!$AD$6:$AF$9,3)+'Escalating commodity'!I253),'Escalating commodity'!I253))</f>
        <v/>
      </c>
      <c r="AI240" s="207" t="str">
        <f aca="false">IF($A241="","",AH240)</f>
        <v/>
      </c>
      <c r="AJ240" s="208" t="e">
        <f aca="false">A240+DAY(EOMONTH(A240,0))/2-1</f>
        <v>#VALUE!</v>
      </c>
      <c r="AK240" s="209" t="str">
        <f aca="false">IF($A241="","",$A240-$E$1)</f>
        <v/>
      </c>
      <c r="AL240" s="182" t="str">
        <f aca="false">IF($A241="","",SPRDOPT(P240,X240,AI240,0,AB240,AE240,AF240,AK240,$AJ$2,0))</f>
        <v/>
      </c>
      <c r="AM240" s="210" t="str">
        <f aca="false">IF($A241="","",MAX(0,O240-W240-AI240))</f>
        <v/>
      </c>
      <c r="AN240" s="211" t="str">
        <f aca="false">IF($A241="","",AL240-AM240)</f>
        <v/>
      </c>
      <c r="AO240" s="137" t="str">
        <f aca="false">IF(A241="","",A241-A240)</f>
        <v/>
      </c>
      <c r="AP240" s="212" t="str">
        <f aca="false">IF(A241="","",CHOOSE(F$3,A241+24,A240))</f>
        <v/>
      </c>
      <c r="AQ240" s="209" t="str">
        <f aca="false">IF(A241="","",AP240-$E$1)</f>
        <v/>
      </c>
      <c r="AR240" s="185" t="n">
        <f aca="false">'ANR OK vs ML7'!AR240</f>
        <v>0.1</v>
      </c>
      <c r="AS240" s="213" t="str">
        <f aca="false">IF(A241="","",1/(1+CHOOSE(F$3,(AR241+($I$3/10000))/2,(AR240+($I$3/10000))/2))^(2*AQ240/365.25))</f>
        <v/>
      </c>
      <c r="AT240" s="137" t="str">
        <f aca="false">IF(A241="","",IF(AND(mthbeg&lt;=A240,mthend&gt;=A240),1,0))</f>
        <v/>
      </c>
      <c r="AU240" s="137" t="str">
        <f aca="false">IF(A241="","",AO240*AT240)</f>
        <v/>
      </c>
      <c r="AW240" s="195" t="str">
        <f aca="false">IF($A241="","",AL240*$E240)</f>
        <v/>
      </c>
      <c r="AX240" s="195" t="str">
        <f aca="false">IF($A241="","",AM240*$E240)</f>
        <v/>
      </c>
      <c r="AY240" s="195" t="str">
        <f aca="false">IF($A241="","",AN240*$E240)</f>
        <v/>
      </c>
      <c r="BA240" s="195" t="str">
        <f aca="false">IF($A241="","",F240*Summary!$Q$13)</f>
        <v/>
      </c>
    </row>
    <row r="241" customFormat="false" ht="12" hidden="false" customHeight="true" outlineLevel="0" collapsed="false">
      <c r="A241" s="196" t="str">
        <f aca="false">IF(A240&lt;mthend,EDATE(A240,1),"")</f>
        <v/>
      </c>
      <c r="B241" s="197" t="str">
        <f aca="false">IF(A241&lt;mthend,B240,"")</f>
        <v/>
      </c>
      <c r="C241" s="215"/>
      <c r="D241" s="197" t="str">
        <f aca="false">IF(A242&lt;&gt;"",B241+C241,"")</f>
        <v/>
      </c>
      <c r="E241" s="199" t="str">
        <f aca="false">IF(A242="","",IF(AND(AT241=1,$H$3=1),D241*AO241,IF($H$3=2,D241,"N/A")))</f>
        <v/>
      </c>
      <c r="F241" s="199" t="str">
        <f aca="false">IF(A242="","",E241*AS241)</f>
        <v/>
      </c>
      <c r="G241" s="200" t="str">
        <f aca="false">IF($A242="","",VLOOKUP($A241,Table,MATCH(G$4,Curves,0)))</f>
        <v/>
      </c>
      <c r="H241" s="201" t="str">
        <f aca="false">IF(A242="","",G241)</f>
        <v/>
      </c>
      <c r="I241" s="202"/>
      <c r="J241" s="200" t="str">
        <f aca="false">IF($A242="","",VLOOKUP($A241,Table,MATCH(J$4,Curves,0)))</f>
        <v/>
      </c>
      <c r="K241" s="201" t="str">
        <f aca="false">IF(A242="","",J241)</f>
        <v/>
      </c>
      <c r="L241" s="185" t="n">
        <v>0</v>
      </c>
      <c r="M241" s="201" t="str">
        <f aca="false">IF(A242="","",L241)</f>
        <v/>
      </c>
      <c r="N241" s="203"/>
      <c r="O241" s="200" t="str">
        <f aca="false">IF(A242="","",L241+J241+G241)</f>
        <v/>
      </c>
      <c r="P241" s="200" t="str">
        <f aca="false">IF(A242="","",M241+K241+H241)</f>
        <v/>
      </c>
      <c r="Q241" s="204"/>
      <c r="R241" s="200" t="str">
        <f aca="false">IF($A242="","",VLOOKUP($A241,Table,MATCH(R$4,Curves,0)))</f>
        <v/>
      </c>
      <c r="S241" s="201" t="str">
        <f aca="false">IF(A242="","",R241)</f>
        <v/>
      </c>
      <c r="T241" s="185" t="n">
        <v>0</v>
      </c>
      <c r="U241" s="201" t="str">
        <f aca="false">IF(A242="","",T241)</f>
        <v/>
      </c>
      <c r="V241" s="205"/>
      <c r="W241" s="202" t="str">
        <f aca="false">IF($A242="","",(T241+R241+G241+V241))</f>
        <v/>
      </c>
      <c r="X241" s="202" t="str">
        <f aca="false">IF($A242="","",(U241+S241+H241+V241))</f>
        <v/>
      </c>
      <c r="Y241" s="202"/>
      <c r="Z241" s="185" t="str">
        <f aca="false">IF($A242="","",VLOOKUP($A241,Table,MATCH(Z$4,Curves,0)))</f>
        <v/>
      </c>
      <c r="AA241" s="185" t="str">
        <f aca="false">IF($A242="","",VLOOKUP($A241,Table,MATCH(AA$4,Curves,0)))</f>
        <v/>
      </c>
      <c r="AB241" s="185" t="e">
        <f aca="false">SQRT((AA241^2*(A241-$D$3)+Z241^2*(DAY(EOMONTH(A241,0))/2))/AK241)</f>
        <v>#VALUE!</v>
      </c>
      <c r="AC241" s="185" t="str">
        <f aca="false">IF($A242="","",VLOOKUP($A241,Table,MATCH(AC$4,Curves,0)))</f>
        <v/>
      </c>
      <c r="AD241" s="185" t="str">
        <f aca="false">IF($A242="","",VLOOKUP($A241,Table,MATCH(AD$4,Curves,0)))</f>
        <v/>
      </c>
      <c r="AE241" s="185" t="e">
        <f aca="false">SQRT((AD241^2*(A241-$D$3)+AC241^2*(DAY(EOMONTH(A241,0))/2))/AK241)</f>
        <v>#VALUE!</v>
      </c>
      <c r="AF241" s="224" t="e">
        <f aca="false">((Summary!$N$13*(AA241*AD241)*(A241-$D$3))+(Summary!$M$13*Z241*AC241*(AJ241-EOMONTH(EDATE(A241,-1),0))))/(AK241*AB241*AE241)</f>
        <v>#VALUE!</v>
      </c>
      <c r="AG241" s="207" t="str">
        <f aca="false">IF($A242="","",Summary!$Q$13)</f>
        <v/>
      </c>
      <c r="AH241" s="207" t="str">
        <f aca="false">IF($A242="","",IF(Summary!$R$12="Y",(VLOOKUP($A241,Summary!$AD$6:$AF$9,3)+'Escalating commodity'!I254),'Escalating commodity'!I254))</f>
        <v/>
      </c>
      <c r="AI241" s="207" t="str">
        <f aca="false">IF($A242="","",AH241)</f>
        <v/>
      </c>
      <c r="AJ241" s="208" t="e">
        <f aca="false">A241+DAY(EOMONTH(A241,0))/2-1</f>
        <v>#VALUE!</v>
      </c>
      <c r="AK241" s="209" t="str">
        <f aca="false">IF($A242="","",$A241-$E$1)</f>
        <v/>
      </c>
      <c r="AL241" s="182" t="str">
        <f aca="false">IF($A242="","",SPRDOPT(P241,X241,AI241,0,AB241,AE241,AF241,AK241,$AJ$2,0))</f>
        <v/>
      </c>
      <c r="AM241" s="210" t="str">
        <f aca="false">IF($A242="","",MAX(0,O241-W241-AI241))</f>
        <v/>
      </c>
      <c r="AN241" s="211" t="str">
        <f aca="false">IF($A242="","",AL241-AM241)</f>
        <v/>
      </c>
      <c r="AO241" s="137" t="str">
        <f aca="false">IF(A242="","",A242-A241)</f>
        <v/>
      </c>
      <c r="AP241" s="212" t="str">
        <f aca="false">IF(A242="","",CHOOSE(F$3,A242+24,A241))</f>
        <v/>
      </c>
      <c r="AQ241" s="209" t="str">
        <f aca="false">IF(A242="","",AP241-$E$1)</f>
        <v/>
      </c>
      <c r="AR241" s="185" t="n">
        <f aca="false">'ANR OK vs ML7'!AR241</f>
        <v>0.1</v>
      </c>
      <c r="AS241" s="213" t="str">
        <f aca="false">IF(A242="","",1/(1+CHOOSE(F$3,(AR242+($I$3/10000))/2,(AR241+($I$3/10000))/2))^(2*AQ241/365.25))</f>
        <v/>
      </c>
      <c r="AT241" s="137" t="str">
        <f aca="false">IF(A242="","",IF(AND(mthbeg&lt;=A241,mthend&gt;=A241),1,0))</f>
        <v/>
      </c>
      <c r="AU241" s="137" t="str">
        <f aca="false">IF(A242="","",AO241*AT241)</f>
        <v/>
      </c>
      <c r="AW241" s="195" t="str">
        <f aca="false">IF($A242="","",AL241*$E241)</f>
        <v/>
      </c>
      <c r="AX241" s="195" t="str">
        <f aca="false">IF($A242="","",AM241*$E241)</f>
        <v/>
      </c>
      <c r="AY241" s="195" t="str">
        <f aca="false">IF($A242="","",AN241*$E241)</f>
        <v/>
      </c>
      <c r="BA241" s="195" t="str">
        <f aca="false">IF($A242="","",F241*Summary!$Q$13)</f>
        <v/>
      </c>
    </row>
    <row r="242" customFormat="false" ht="12" hidden="false" customHeight="true" outlineLevel="0" collapsed="false">
      <c r="A242" s="196" t="str">
        <f aca="false">IF(A241&lt;mthend,EDATE(A241,1),"")</f>
        <v/>
      </c>
      <c r="B242" s="197" t="str">
        <f aca="false">IF(A242&lt;mthend,B241,"")</f>
        <v/>
      </c>
      <c r="C242" s="215"/>
      <c r="D242" s="197" t="str">
        <f aca="false">IF(A243&lt;&gt;"",B242+C242,"")</f>
        <v/>
      </c>
      <c r="E242" s="199" t="str">
        <f aca="false">IF(A243="","",IF(AND(AT242=1,$H$3=1),D242*AO242,IF($H$3=2,D242,"N/A")))</f>
        <v/>
      </c>
      <c r="F242" s="199" t="str">
        <f aca="false">IF(A243="","",E242*AS242)</f>
        <v/>
      </c>
      <c r="G242" s="200" t="str">
        <f aca="false">IF($A243="","",VLOOKUP($A242,Table,MATCH(G$4,Curves,0)))</f>
        <v/>
      </c>
      <c r="H242" s="201" t="str">
        <f aca="false">IF(A243="","",G242)</f>
        <v/>
      </c>
      <c r="I242" s="202"/>
      <c r="J242" s="200" t="str">
        <f aca="false">IF($A243="","",VLOOKUP($A242,Table,MATCH(J$4,Curves,0)))</f>
        <v/>
      </c>
      <c r="K242" s="201" t="str">
        <f aca="false">IF(A243="","",J242)</f>
        <v/>
      </c>
      <c r="L242" s="185" t="n">
        <v>0</v>
      </c>
      <c r="M242" s="201" t="str">
        <f aca="false">IF(A243="","",L242)</f>
        <v/>
      </c>
      <c r="N242" s="203"/>
      <c r="O242" s="200" t="str">
        <f aca="false">IF(A243="","",L242+J242+G242)</f>
        <v/>
      </c>
      <c r="P242" s="200" t="str">
        <f aca="false">IF(A243="","",M242+K242+H242)</f>
        <v/>
      </c>
      <c r="Q242" s="204"/>
      <c r="R242" s="200" t="str">
        <f aca="false">IF($A243="","",VLOOKUP($A242,Table,MATCH(R$4,Curves,0)))</f>
        <v/>
      </c>
      <c r="S242" s="201" t="str">
        <f aca="false">IF(A243="","",R242)</f>
        <v/>
      </c>
      <c r="T242" s="185" t="n">
        <v>0</v>
      </c>
      <c r="U242" s="201" t="str">
        <f aca="false">IF(A243="","",T242)</f>
        <v/>
      </c>
      <c r="V242" s="205"/>
      <c r="W242" s="202" t="str">
        <f aca="false">IF($A243="","",(T242+R242+G242+V242))</f>
        <v/>
      </c>
      <c r="X242" s="202" t="str">
        <f aca="false">IF($A243="","",(U242+S242+H242+V242))</f>
        <v/>
      </c>
      <c r="Y242" s="202"/>
      <c r="Z242" s="185" t="str">
        <f aca="false">IF($A243="","",VLOOKUP($A242,Table,MATCH(Z$4,Curves,0)))</f>
        <v/>
      </c>
      <c r="AA242" s="185" t="str">
        <f aca="false">IF($A243="","",VLOOKUP($A242,Table,MATCH(AA$4,Curves,0)))</f>
        <v/>
      </c>
      <c r="AB242" s="185" t="e">
        <f aca="false">SQRT((AA242^2*(A242-$D$3)+Z242^2*(DAY(EOMONTH(A242,0))/2))/AK242)</f>
        <v>#VALUE!</v>
      </c>
      <c r="AC242" s="185" t="str">
        <f aca="false">IF($A243="","",VLOOKUP($A242,Table,MATCH(AC$4,Curves,0)))</f>
        <v/>
      </c>
      <c r="AD242" s="185" t="str">
        <f aca="false">IF($A243="","",VLOOKUP($A242,Table,MATCH(AD$4,Curves,0)))</f>
        <v/>
      </c>
      <c r="AE242" s="185" t="e">
        <f aca="false">SQRT((AD242^2*(A242-$D$3)+AC242^2*(DAY(EOMONTH(A242,0))/2))/AK242)</f>
        <v>#VALUE!</v>
      </c>
      <c r="AF242" s="224" t="e">
        <f aca="false">((Summary!$N$13*(AA242*AD242)*(A242-$D$3))+(Summary!$M$13*Z242*AC242*(AJ242-EOMONTH(EDATE(A242,-1),0))))/(AK242*AB242*AE242)</f>
        <v>#VALUE!</v>
      </c>
      <c r="AG242" s="207" t="str">
        <f aca="false">IF($A243="","",Summary!$Q$13)</f>
        <v/>
      </c>
      <c r="AH242" s="207" t="str">
        <f aca="false">IF($A243="","",IF(Summary!$R$12="Y",(VLOOKUP($A242,Summary!$AD$6:$AF$9,3)+'Escalating commodity'!I255),'Escalating commodity'!I255))</f>
        <v/>
      </c>
      <c r="AI242" s="207" t="str">
        <f aca="false">IF($A243="","",AH242)</f>
        <v/>
      </c>
      <c r="AJ242" s="208" t="e">
        <f aca="false">A242+DAY(EOMONTH(A242,0))/2-1</f>
        <v>#VALUE!</v>
      </c>
      <c r="AK242" s="209" t="str">
        <f aca="false">IF($A243="","",$A242-$E$1)</f>
        <v/>
      </c>
      <c r="AL242" s="182" t="str">
        <f aca="false">IF($A243="","",SPRDOPT(P242,X242,AI242,0,AB242,AE242,AF242,AK242,$AJ$2,0))</f>
        <v/>
      </c>
      <c r="AM242" s="210" t="str">
        <f aca="false">IF($A243="","",MAX(0,O242-W242-AI242))</f>
        <v/>
      </c>
      <c r="AN242" s="211" t="str">
        <f aca="false">IF($A243="","",AL242-AM242)</f>
        <v/>
      </c>
      <c r="AO242" s="137" t="str">
        <f aca="false">IF(A243="","",A243-A242)</f>
        <v/>
      </c>
      <c r="AP242" s="212" t="str">
        <f aca="false">IF(A243="","",CHOOSE(F$3,A243+24,A242))</f>
        <v/>
      </c>
      <c r="AQ242" s="209" t="str">
        <f aca="false">IF(A243="","",AP242-$E$1)</f>
        <v/>
      </c>
      <c r="AR242" s="185" t="n">
        <f aca="false">'ANR OK vs ML7'!AR242</f>
        <v>0.1</v>
      </c>
      <c r="AS242" s="213" t="str">
        <f aca="false">IF(A243="","",1/(1+CHOOSE(F$3,(AR243+($I$3/10000))/2,(AR242+($I$3/10000))/2))^(2*AQ242/365.25))</f>
        <v/>
      </c>
      <c r="AT242" s="137" t="str">
        <f aca="false">IF(A243="","",IF(AND(mthbeg&lt;=A242,mthend&gt;=A242),1,0))</f>
        <v/>
      </c>
      <c r="AU242" s="137" t="str">
        <f aca="false">IF(A243="","",AO242*AT242)</f>
        <v/>
      </c>
      <c r="AW242" s="195" t="str">
        <f aca="false">IF($A243="","",AL242*$E242)</f>
        <v/>
      </c>
      <c r="AX242" s="195" t="str">
        <f aca="false">IF($A243="","",AM242*$E242)</f>
        <v/>
      </c>
      <c r="AY242" s="195" t="str">
        <f aca="false">IF($A243="","",AN242*$E242)</f>
        <v/>
      </c>
      <c r="BA242" s="195" t="str">
        <f aca="false">IF($A243="","",F242*Summary!$Q$13)</f>
        <v/>
      </c>
    </row>
    <row r="243" customFormat="false" ht="12" hidden="false" customHeight="true" outlineLevel="0" collapsed="false">
      <c r="A243" s="196" t="str">
        <f aca="false">IF(A242&lt;mthend,EDATE(A242,1),"")</f>
        <v/>
      </c>
      <c r="B243" s="197" t="str">
        <f aca="false">IF(A243&lt;mthend,B242,"")</f>
        <v/>
      </c>
      <c r="C243" s="215"/>
      <c r="D243" s="197" t="str">
        <f aca="false">IF(A244&lt;&gt;"",B243+C243,"")</f>
        <v/>
      </c>
      <c r="E243" s="199" t="str">
        <f aca="false">IF(A244="","",IF(AND(AT243=1,$H$3=1),D243*AO243,IF($H$3=2,D243,"N/A")))</f>
        <v/>
      </c>
      <c r="F243" s="199" t="str">
        <f aca="false">IF(A244="","",E243*AS243)</f>
        <v/>
      </c>
      <c r="G243" s="200" t="str">
        <f aca="false">IF($A244="","",VLOOKUP($A243,Table,MATCH(G$4,Curves,0)))</f>
        <v/>
      </c>
      <c r="H243" s="201" t="str">
        <f aca="false">IF(A244="","",G243)</f>
        <v/>
      </c>
      <c r="I243" s="202"/>
      <c r="J243" s="200" t="str">
        <f aca="false">IF($A244="","",VLOOKUP($A243,Table,MATCH(J$4,Curves,0)))</f>
        <v/>
      </c>
      <c r="K243" s="201" t="str">
        <f aca="false">IF(A244="","",J243)</f>
        <v/>
      </c>
      <c r="L243" s="185" t="n">
        <v>0</v>
      </c>
      <c r="M243" s="201" t="str">
        <f aca="false">IF(A244="","",L243)</f>
        <v/>
      </c>
      <c r="N243" s="203"/>
      <c r="O243" s="200" t="str">
        <f aca="false">IF(A244="","",L243+J243+G243)</f>
        <v/>
      </c>
      <c r="P243" s="200" t="str">
        <f aca="false">IF(A244="","",M243+K243+H243)</f>
        <v/>
      </c>
      <c r="Q243" s="204"/>
      <c r="R243" s="200" t="str">
        <f aca="false">IF($A244="","",VLOOKUP($A243,Table,MATCH(R$4,Curves,0)))</f>
        <v/>
      </c>
      <c r="S243" s="201" t="str">
        <f aca="false">IF(A244="","",R243)</f>
        <v/>
      </c>
      <c r="T243" s="185" t="n">
        <v>0</v>
      </c>
      <c r="U243" s="201" t="str">
        <f aca="false">IF(A244="","",T243)</f>
        <v/>
      </c>
      <c r="V243" s="205"/>
      <c r="W243" s="202" t="str">
        <f aca="false">IF($A244="","",(T243+R243+G243+V243))</f>
        <v/>
      </c>
      <c r="X243" s="202" t="str">
        <f aca="false">IF($A244="","",(U243+S243+H243+V243))</f>
        <v/>
      </c>
      <c r="Y243" s="202"/>
      <c r="Z243" s="185" t="str">
        <f aca="false">IF($A244="","",VLOOKUP($A243,Table,MATCH(Z$4,Curves,0)))</f>
        <v/>
      </c>
      <c r="AA243" s="185" t="str">
        <f aca="false">IF($A244="","",VLOOKUP($A243,Table,MATCH(AA$4,Curves,0)))</f>
        <v/>
      </c>
      <c r="AB243" s="185" t="e">
        <f aca="false">SQRT((AA243^2*(A243-$D$3)+Z243^2*(DAY(EOMONTH(A243,0))/2))/AK243)</f>
        <v>#VALUE!</v>
      </c>
      <c r="AC243" s="185" t="str">
        <f aca="false">IF($A244="","",VLOOKUP($A243,Table,MATCH(AC$4,Curves,0)))</f>
        <v/>
      </c>
      <c r="AD243" s="185" t="str">
        <f aca="false">IF($A244="","",VLOOKUP($A243,Table,MATCH(AD$4,Curves,0)))</f>
        <v/>
      </c>
      <c r="AE243" s="185" t="e">
        <f aca="false">SQRT((AD243^2*(A243-$D$3)+AC243^2*(DAY(EOMONTH(A243,0))/2))/AK243)</f>
        <v>#VALUE!</v>
      </c>
      <c r="AF243" s="224" t="e">
        <f aca="false">((Summary!$N$13*(AA243*AD243)*(A243-$D$3))+(Summary!$M$13*Z243*AC243*(AJ243-EOMONTH(EDATE(A243,-1),0))))/(AK243*AB243*AE243)</f>
        <v>#VALUE!</v>
      </c>
      <c r="AG243" s="207" t="str">
        <f aca="false">IF($A244="","",Summary!$Q$13)</f>
        <v/>
      </c>
      <c r="AH243" s="207" t="str">
        <f aca="false">IF($A244="","",IF(Summary!$R$12="Y",(VLOOKUP($A243,Summary!$AD$6:$AF$9,3)+'Escalating commodity'!I256),'Escalating commodity'!I256))</f>
        <v/>
      </c>
      <c r="AI243" s="207" t="str">
        <f aca="false">IF($A244="","",AH243)</f>
        <v/>
      </c>
      <c r="AJ243" s="208" t="e">
        <f aca="false">A243+DAY(EOMONTH(A243,0))/2-1</f>
        <v>#VALUE!</v>
      </c>
      <c r="AK243" s="209" t="str">
        <f aca="false">IF($A244="","",$A243-$E$1)</f>
        <v/>
      </c>
      <c r="AL243" s="182" t="str">
        <f aca="false">IF($A244="","",SPRDOPT(P243,X243,AI243,0,AB243,AE243,AF243,AK243,$AJ$2,0))</f>
        <v/>
      </c>
      <c r="AM243" s="210" t="str">
        <f aca="false">IF($A244="","",MAX(0,O243-W243-AI243))</f>
        <v/>
      </c>
      <c r="AN243" s="211" t="str">
        <f aca="false">IF($A244="","",AL243-AM243)</f>
        <v/>
      </c>
      <c r="AO243" s="137" t="str">
        <f aca="false">IF(A244="","",A244-A243)</f>
        <v/>
      </c>
      <c r="AP243" s="212" t="str">
        <f aca="false">IF(A244="","",CHOOSE(F$3,A244+24,A243))</f>
        <v/>
      </c>
      <c r="AQ243" s="209" t="str">
        <f aca="false">IF(A244="","",AP243-$E$1)</f>
        <v/>
      </c>
      <c r="AR243" s="185" t="n">
        <f aca="false">'ANR OK vs ML7'!AR243</f>
        <v>0.1</v>
      </c>
      <c r="AS243" s="213" t="str">
        <f aca="false">IF(A244="","",1/(1+CHOOSE(F$3,(AR244+($I$3/10000))/2,(AR243+($I$3/10000))/2))^(2*AQ243/365.25))</f>
        <v/>
      </c>
      <c r="AT243" s="137" t="str">
        <f aca="false">IF(A244="","",IF(AND(mthbeg&lt;=A243,mthend&gt;=A243),1,0))</f>
        <v/>
      </c>
      <c r="AU243" s="137" t="str">
        <f aca="false">IF(A244="","",AO243*AT243)</f>
        <v/>
      </c>
      <c r="AW243" s="195" t="str">
        <f aca="false">IF($A244="","",AL243*$E243)</f>
        <v/>
      </c>
      <c r="AX243" s="195" t="str">
        <f aca="false">IF($A244="","",AM243*$E243)</f>
        <v/>
      </c>
      <c r="AY243" s="195" t="str">
        <f aca="false">IF($A244="","",AN243*$E243)</f>
        <v/>
      </c>
      <c r="BA243" s="195" t="str">
        <f aca="false">IF($A244="","",F243*Summary!$Q$13)</f>
        <v/>
      </c>
    </row>
    <row r="244" customFormat="false" ht="12" hidden="false" customHeight="true" outlineLevel="0" collapsed="false">
      <c r="A244" s="196" t="str">
        <f aca="false">IF(A243&lt;mthend,EDATE(A243,1),"")</f>
        <v/>
      </c>
      <c r="B244" s="197" t="str">
        <f aca="false">IF(A244&lt;mthend,B243,"")</f>
        <v/>
      </c>
      <c r="C244" s="215"/>
      <c r="D244" s="197" t="str">
        <f aca="false">IF(A245&lt;&gt;"",B244+C244,"")</f>
        <v/>
      </c>
      <c r="E244" s="199" t="str">
        <f aca="false">IF(A245="","",IF(AND(AT244=1,$H$3=1),D244*AO244,IF($H$3=2,D244,"N/A")))</f>
        <v/>
      </c>
      <c r="F244" s="199" t="str">
        <f aca="false">IF(A245="","",E244*AS244)</f>
        <v/>
      </c>
      <c r="G244" s="200" t="str">
        <f aca="false">IF($A245="","",VLOOKUP($A244,Table,MATCH(G$4,Curves,0)))</f>
        <v/>
      </c>
      <c r="H244" s="201" t="str">
        <f aca="false">IF(A245="","",G244)</f>
        <v/>
      </c>
      <c r="I244" s="202"/>
      <c r="J244" s="200" t="str">
        <f aca="false">IF($A245="","",VLOOKUP($A244,Table,MATCH(J$4,Curves,0)))</f>
        <v/>
      </c>
      <c r="K244" s="201" t="str">
        <f aca="false">IF(A245="","",J244)</f>
        <v/>
      </c>
      <c r="L244" s="185" t="n">
        <v>0</v>
      </c>
      <c r="M244" s="201" t="str">
        <f aca="false">IF(A245="","",L244)</f>
        <v/>
      </c>
      <c r="N244" s="203"/>
      <c r="O244" s="200" t="str">
        <f aca="false">IF(A245="","",L244+J244+G244)</f>
        <v/>
      </c>
      <c r="P244" s="200" t="str">
        <f aca="false">IF(A245="","",M244+K244+H244)</f>
        <v/>
      </c>
      <c r="Q244" s="204"/>
      <c r="R244" s="200" t="str">
        <f aca="false">IF($A245="","",VLOOKUP($A244,Table,MATCH(R$4,Curves,0)))</f>
        <v/>
      </c>
      <c r="S244" s="201" t="str">
        <f aca="false">IF(A245="","",R244)</f>
        <v/>
      </c>
      <c r="T244" s="185" t="n">
        <v>0</v>
      </c>
      <c r="U244" s="201" t="str">
        <f aca="false">IF(A245="","",T244)</f>
        <v/>
      </c>
      <c r="V244" s="205"/>
      <c r="W244" s="202" t="str">
        <f aca="false">IF($A245="","",(T244+R244+G244+V244))</f>
        <v/>
      </c>
      <c r="X244" s="202" t="str">
        <f aca="false">IF($A245="","",(U244+S244+H244+V244))</f>
        <v/>
      </c>
      <c r="Y244" s="202"/>
      <c r="Z244" s="185" t="str">
        <f aca="false">IF($A245="","",VLOOKUP($A244,Table,MATCH(Z$4,Curves,0)))</f>
        <v/>
      </c>
      <c r="AA244" s="185" t="str">
        <f aca="false">IF($A245="","",VLOOKUP($A244,Table,MATCH(AA$4,Curves,0)))</f>
        <v/>
      </c>
      <c r="AB244" s="185" t="e">
        <f aca="false">SQRT((AA244^2*(A244-$D$3)+Z244^2*(DAY(EOMONTH(A244,0))/2))/AK244)</f>
        <v>#VALUE!</v>
      </c>
      <c r="AC244" s="185" t="str">
        <f aca="false">IF($A245="","",VLOOKUP($A244,Table,MATCH(AC$4,Curves,0)))</f>
        <v/>
      </c>
      <c r="AD244" s="185" t="str">
        <f aca="false">IF($A245="","",VLOOKUP($A244,Table,MATCH(AD$4,Curves,0)))</f>
        <v/>
      </c>
      <c r="AE244" s="185" t="e">
        <f aca="false">SQRT((AD244^2*(A244-$D$3)+AC244^2*(DAY(EOMONTH(A244,0))/2))/AK244)</f>
        <v>#VALUE!</v>
      </c>
      <c r="AF244" s="224" t="e">
        <f aca="false">((Summary!$N$13*(AA244*AD244)*(A244-$D$3))+(Summary!$M$13*Z244*AC244*(AJ244-EOMONTH(EDATE(A244,-1),0))))/(AK244*AB244*AE244)</f>
        <v>#VALUE!</v>
      </c>
      <c r="AG244" s="207" t="str">
        <f aca="false">IF($A245="","",Summary!$Q$13)</f>
        <v/>
      </c>
      <c r="AH244" s="207" t="str">
        <f aca="false">IF($A245="","",IF(Summary!$R$12="Y",(VLOOKUP($A244,Summary!$AD$6:$AF$9,3)+'Escalating commodity'!I257),'Escalating commodity'!I257))</f>
        <v/>
      </c>
      <c r="AI244" s="207" t="str">
        <f aca="false">IF($A245="","",AH244)</f>
        <v/>
      </c>
      <c r="AJ244" s="208" t="e">
        <f aca="false">A244+DAY(EOMONTH(A244,0))/2-1</f>
        <v>#VALUE!</v>
      </c>
      <c r="AK244" s="209" t="str">
        <f aca="false">IF($A245="","",$A244-$E$1)</f>
        <v/>
      </c>
      <c r="AL244" s="182" t="str">
        <f aca="false">IF($A245="","",SPRDOPT(P244,X244,AI244,0,AB244,AE244,AF244,AK244,$AJ$2,0))</f>
        <v/>
      </c>
      <c r="AM244" s="210" t="str">
        <f aca="false">IF($A245="","",MAX(0,O244-W244-AI244))</f>
        <v/>
      </c>
      <c r="AN244" s="211" t="str">
        <f aca="false">IF($A245="","",AL244-AM244)</f>
        <v/>
      </c>
      <c r="AO244" s="137" t="str">
        <f aca="false">IF(A245="","",A245-A244)</f>
        <v/>
      </c>
      <c r="AP244" s="212" t="str">
        <f aca="false">IF(A245="","",CHOOSE(F$3,A245+24,A244))</f>
        <v/>
      </c>
      <c r="AQ244" s="209" t="str">
        <f aca="false">IF(A245="","",AP244-$E$1)</f>
        <v/>
      </c>
      <c r="AR244" s="185" t="n">
        <f aca="false">'ANR OK vs ML7'!AR244</f>
        <v>0.1</v>
      </c>
      <c r="AS244" s="213" t="str">
        <f aca="false">IF(A245="","",1/(1+CHOOSE(F$3,(AR245+($I$3/10000))/2,(AR244+($I$3/10000))/2))^(2*AQ244/365.25))</f>
        <v/>
      </c>
      <c r="AT244" s="137" t="str">
        <f aca="false">IF(A245="","",IF(AND(mthbeg&lt;=A244,mthend&gt;=A244),1,0))</f>
        <v/>
      </c>
      <c r="AU244" s="137" t="str">
        <f aca="false">IF(A245="","",AO244*AT244)</f>
        <v/>
      </c>
      <c r="AW244" s="195" t="str">
        <f aca="false">IF($A245="","",AL244*$E244)</f>
        <v/>
      </c>
      <c r="AX244" s="195" t="str">
        <f aca="false">IF($A245="","",AM244*$E244)</f>
        <v/>
      </c>
      <c r="AY244" s="195" t="str">
        <f aca="false">IF($A245="","",AN244*$E244)</f>
        <v/>
      </c>
      <c r="BA244" s="195" t="str">
        <f aca="false">IF($A245="","",F244*Summary!$Q$13)</f>
        <v/>
      </c>
    </row>
    <row r="245" customFormat="false" ht="12" hidden="false" customHeight="true" outlineLevel="0" collapsed="false">
      <c r="A245" s="196" t="str">
        <f aca="false">IF(A244&lt;mthend,EDATE(A244,1),"")</f>
        <v/>
      </c>
      <c r="B245" s="197" t="str">
        <f aca="false">IF(A245&lt;mthend,B244,"")</f>
        <v/>
      </c>
      <c r="C245" s="215"/>
      <c r="D245" s="197" t="str">
        <f aca="false">IF(A246&lt;&gt;"",B245+C245,"")</f>
        <v/>
      </c>
      <c r="E245" s="199" t="str">
        <f aca="false">IF(A246="","",IF(AND(AT245=1,$H$3=1),D245*AO245,IF($H$3=2,D245,"N/A")))</f>
        <v/>
      </c>
      <c r="F245" s="199" t="str">
        <f aca="false">IF(A246="","",E245*AS245)</f>
        <v/>
      </c>
      <c r="G245" s="200" t="str">
        <f aca="false">IF($A246="","",VLOOKUP($A245,Table,MATCH(G$4,Curves,0)))</f>
        <v/>
      </c>
      <c r="H245" s="201" t="str">
        <f aca="false">IF(A246="","",G245)</f>
        <v/>
      </c>
      <c r="I245" s="202"/>
      <c r="J245" s="200" t="str">
        <f aca="false">IF($A246="","",VLOOKUP($A245,Table,MATCH(J$4,Curves,0)))</f>
        <v/>
      </c>
      <c r="K245" s="201" t="str">
        <f aca="false">IF(A246="","",J245)</f>
        <v/>
      </c>
      <c r="L245" s="185" t="n">
        <v>0</v>
      </c>
      <c r="M245" s="201" t="str">
        <f aca="false">IF(A246="","",L245)</f>
        <v/>
      </c>
      <c r="N245" s="203"/>
      <c r="O245" s="200" t="str">
        <f aca="false">IF(A246="","",L245+J245+G245)</f>
        <v/>
      </c>
      <c r="P245" s="200" t="str">
        <f aca="false">IF(A246="","",M245+K245+H245)</f>
        <v/>
      </c>
      <c r="Q245" s="204"/>
      <c r="R245" s="200" t="str">
        <f aca="false">IF($A246="","",VLOOKUP($A245,Table,MATCH(R$4,Curves,0)))</f>
        <v/>
      </c>
      <c r="S245" s="201" t="str">
        <f aca="false">IF(A246="","",R245)</f>
        <v/>
      </c>
      <c r="T245" s="185" t="n">
        <v>0</v>
      </c>
      <c r="U245" s="201" t="str">
        <f aca="false">IF(A246="","",T245)</f>
        <v/>
      </c>
      <c r="V245" s="205"/>
      <c r="W245" s="202" t="str">
        <f aca="false">IF($A246="","",(T245+R245+G245+V245))</f>
        <v/>
      </c>
      <c r="X245" s="202" t="str">
        <f aca="false">IF($A246="","",(U245+S245+H245+V245))</f>
        <v/>
      </c>
      <c r="Y245" s="202"/>
      <c r="Z245" s="185" t="str">
        <f aca="false">IF($A246="","",VLOOKUP($A245,Table,MATCH(Z$4,Curves,0)))</f>
        <v/>
      </c>
      <c r="AA245" s="185" t="str">
        <f aca="false">IF($A246="","",VLOOKUP($A245,Table,MATCH(AA$4,Curves,0)))</f>
        <v/>
      </c>
      <c r="AB245" s="185" t="e">
        <f aca="false">SQRT((AA245^2*(A245-$D$3)+Z245^2*(DAY(EOMONTH(A245,0))/2))/AK245)</f>
        <v>#VALUE!</v>
      </c>
      <c r="AC245" s="185" t="str">
        <f aca="false">IF($A246="","",VLOOKUP($A245,Table,MATCH(AC$4,Curves,0)))</f>
        <v/>
      </c>
      <c r="AD245" s="185" t="str">
        <f aca="false">IF($A246="","",VLOOKUP($A245,Table,MATCH(AD$4,Curves,0)))</f>
        <v/>
      </c>
      <c r="AE245" s="185" t="e">
        <f aca="false">SQRT((AD245^2*(A245-$D$3)+AC245^2*(DAY(EOMONTH(A245,0))/2))/AK245)</f>
        <v>#VALUE!</v>
      </c>
      <c r="AF245" s="224" t="e">
        <f aca="false">((Summary!$N$13*(AA245*AD245)*(A245-$D$3))+(Summary!$M$13*Z245*AC245*(AJ245-EOMONTH(EDATE(A245,-1),0))))/(AK245*AB245*AE245)</f>
        <v>#VALUE!</v>
      </c>
      <c r="AG245" s="207" t="str">
        <f aca="false">IF($A246="","",Summary!$Q$13)</f>
        <v/>
      </c>
      <c r="AH245" s="207" t="str">
        <f aca="false">IF($A246="","",IF(Summary!$R$12="Y",(VLOOKUP($A245,Summary!$AD$6:$AF$9,3)+'Escalating commodity'!I258),'Escalating commodity'!I258))</f>
        <v/>
      </c>
      <c r="AI245" s="207" t="str">
        <f aca="false">IF($A246="","",AH245)</f>
        <v/>
      </c>
      <c r="AJ245" s="208" t="e">
        <f aca="false">A245+DAY(EOMONTH(A245,0))/2-1</f>
        <v>#VALUE!</v>
      </c>
      <c r="AK245" s="209" t="str">
        <f aca="false">IF($A246="","",$A245-$E$1)</f>
        <v/>
      </c>
      <c r="AL245" s="182" t="str">
        <f aca="false">IF($A246="","",SPRDOPT(P245,X245,AI245,0,AB245,AE245,AF245,AK245,$AJ$2,0))</f>
        <v/>
      </c>
      <c r="AM245" s="210" t="str">
        <f aca="false">IF($A246="","",MAX(0,O245-W245-AI245))</f>
        <v/>
      </c>
      <c r="AN245" s="211" t="str">
        <f aca="false">IF($A246="","",AL245-AM245)</f>
        <v/>
      </c>
      <c r="AO245" s="137" t="str">
        <f aca="false">IF(A246="","",A246-A245)</f>
        <v/>
      </c>
      <c r="AP245" s="212" t="str">
        <f aca="false">IF(A246="","",CHOOSE(F$3,A246+24,A245))</f>
        <v/>
      </c>
      <c r="AQ245" s="209" t="str">
        <f aca="false">IF(A246="","",AP245-$E$1)</f>
        <v/>
      </c>
      <c r="AR245" s="185" t="n">
        <f aca="false">'ANR OK vs ML7'!AR245</f>
        <v>0.1</v>
      </c>
      <c r="AS245" s="213" t="str">
        <f aca="false">IF(A246="","",1/(1+CHOOSE(F$3,(AR246+($I$3/10000))/2,(AR245+($I$3/10000))/2))^(2*AQ245/365.25))</f>
        <v/>
      </c>
      <c r="AT245" s="137" t="str">
        <f aca="false">IF(A246="","",IF(AND(mthbeg&lt;=A245,mthend&gt;=A245),1,0))</f>
        <v/>
      </c>
      <c r="AU245" s="137" t="str">
        <f aca="false">IF(A246="","",AO245*AT245)</f>
        <v/>
      </c>
      <c r="AW245" s="195" t="str">
        <f aca="false">IF($A246="","",AL245*$E245)</f>
        <v/>
      </c>
      <c r="AX245" s="195" t="str">
        <f aca="false">IF($A246="","",AM245*$E245)</f>
        <v/>
      </c>
      <c r="AY245" s="195" t="str">
        <f aca="false">IF($A246="","",AN245*$E245)</f>
        <v/>
      </c>
      <c r="BA245" s="195" t="str">
        <f aca="false">IF($A246="","",F245*Summary!$Q$13)</f>
        <v/>
      </c>
    </row>
    <row r="246" customFormat="false" ht="12" hidden="false" customHeight="true" outlineLevel="0" collapsed="false">
      <c r="A246" s="196" t="str">
        <f aca="false">IF(A245&lt;mthend,EDATE(A245,1),"")</f>
        <v/>
      </c>
      <c r="B246" s="197" t="str">
        <f aca="false">IF(A246&lt;mthend,B245,"")</f>
        <v/>
      </c>
      <c r="C246" s="215"/>
      <c r="D246" s="197" t="str">
        <f aca="false">IF(A247&lt;&gt;"",B246+C246,"")</f>
        <v/>
      </c>
      <c r="E246" s="199" t="str">
        <f aca="false">IF(A247="","",IF(AND(AT246=1,$H$3=1),D246*AO246,IF($H$3=2,D246,"N/A")))</f>
        <v/>
      </c>
      <c r="F246" s="199" t="str">
        <f aca="false">IF(A247="","",E246*AS246)</f>
        <v/>
      </c>
      <c r="G246" s="200" t="str">
        <f aca="false">IF($A247="","",VLOOKUP($A246,Table,MATCH(G$4,Curves,0)))</f>
        <v/>
      </c>
      <c r="H246" s="201" t="str">
        <f aca="false">IF(A247="","",G246)</f>
        <v/>
      </c>
      <c r="I246" s="202"/>
      <c r="J246" s="200" t="str">
        <f aca="false">IF($A247="","",VLOOKUP($A246,Table,MATCH(J$4,Curves,0)))</f>
        <v/>
      </c>
      <c r="K246" s="201" t="str">
        <f aca="false">IF(A247="","",J246)</f>
        <v/>
      </c>
      <c r="L246" s="185" t="n">
        <v>0</v>
      </c>
      <c r="M246" s="201" t="str">
        <f aca="false">IF(A247="","",L246)</f>
        <v/>
      </c>
      <c r="N246" s="203"/>
      <c r="O246" s="200" t="str">
        <f aca="false">IF(A247="","",L246+J246+G246)</f>
        <v/>
      </c>
      <c r="P246" s="200" t="str">
        <f aca="false">IF(A247="","",M246+K246+H246)</f>
        <v/>
      </c>
      <c r="Q246" s="204"/>
      <c r="R246" s="200" t="str">
        <f aca="false">IF($A247="","",VLOOKUP($A246,Table,MATCH(R$4,Curves,0)))</f>
        <v/>
      </c>
      <c r="S246" s="201" t="str">
        <f aca="false">IF(A247="","",R246)</f>
        <v/>
      </c>
      <c r="T246" s="185" t="n">
        <v>0</v>
      </c>
      <c r="U246" s="201" t="str">
        <f aca="false">IF(A247="","",T246)</f>
        <v/>
      </c>
      <c r="V246" s="205"/>
      <c r="W246" s="202" t="str">
        <f aca="false">IF($A247="","",(T246+R246+G246+V246))</f>
        <v/>
      </c>
      <c r="X246" s="202" t="str">
        <f aca="false">IF($A247="","",(U246+S246+H246+V246))</f>
        <v/>
      </c>
      <c r="Y246" s="202"/>
      <c r="Z246" s="185" t="str">
        <f aca="false">IF($A247="","",VLOOKUP($A246,Table,MATCH(Z$4,Curves,0)))</f>
        <v/>
      </c>
      <c r="AA246" s="185" t="str">
        <f aca="false">IF($A247="","",VLOOKUP($A246,Table,MATCH(AA$4,Curves,0)))</f>
        <v/>
      </c>
      <c r="AB246" s="185" t="e">
        <f aca="false">SQRT((AA246^2*(A246-$D$3)+Z246^2*(DAY(EOMONTH(A246,0))/2))/AK246)</f>
        <v>#VALUE!</v>
      </c>
      <c r="AC246" s="185" t="str">
        <f aca="false">IF($A247="","",VLOOKUP($A246,Table,MATCH(AC$4,Curves,0)))</f>
        <v/>
      </c>
      <c r="AD246" s="185" t="str">
        <f aca="false">IF($A247="","",VLOOKUP($A246,Table,MATCH(AD$4,Curves,0)))</f>
        <v/>
      </c>
      <c r="AE246" s="185" t="e">
        <f aca="false">SQRT((AD246^2*(A246-$D$3)+AC246^2*(DAY(EOMONTH(A246,0))/2))/AK246)</f>
        <v>#VALUE!</v>
      </c>
      <c r="AF246" s="224" t="e">
        <f aca="false">((Summary!$N$13*(AA246*AD246)*(A246-$D$3))+(Summary!$M$13*Z246*AC246*(AJ246-EOMONTH(EDATE(A246,-1),0))))/(AK246*AB246*AE246)</f>
        <v>#VALUE!</v>
      </c>
      <c r="AG246" s="207" t="str">
        <f aca="false">IF($A247="","",Summary!$Q$13)</f>
        <v/>
      </c>
      <c r="AH246" s="207" t="str">
        <f aca="false">IF($A247="","",IF(Summary!$R$12="Y",(VLOOKUP($A246,Summary!$AD$6:$AF$9,3)+'Escalating commodity'!I259),'Escalating commodity'!I259))</f>
        <v/>
      </c>
      <c r="AI246" s="207" t="str">
        <f aca="false">IF($A247="","",AH246)</f>
        <v/>
      </c>
      <c r="AJ246" s="208" t="e">
        <f aca="false">A246+DAY(EOMONTH(A246,0))/2-1</f>
        <v>#VALUE!</v>
      </c>
      <c r="AK246" s="209" t="str">
        <f aca="false">IF($A247="","",$A246-$E$1)</f>
        <v/>
      </c>
      <c r="AL246" s="182" t="str">
        <f aca="false">IF($A247="","",SPRDOPT(P246,X246,AI246,0,AB246,AE246,AF246,AK246,$AJ$2,0))</f>
        <v/>
      </c>
      <c r="AM246" s="210" t="str">
        <f aca="false">IF($A247="","",MAX(0,O246-W246-AI246))</f>
        <v/>
      </c>
      <c r="AN246" s="211" t="str">
        <f aca="false">IF($A247="","",AL246-AM246)</f>
        <v/>
      </c>
      <c r="AO246" s="137" t="str">
        <f aca="false">IF(A247="","",A247-A246)</f>
        <v/>
      </c>
      <c r="AP246" s="212" t="str">
        <f aca="false">IF(A247="","",CHOOSE(F$3,A247+24,A246))</f>
        <v/>
      </c>
      <c r="AQ246" s="209" t="str">
        <f aca="false">IF(A247="","",AP246-$E$1)</f>
        <v/>
      </c>
      <c r="AR246" s="185" t="n">
        <f aca="false">'ANR OK vs ML7'!AR246</f>
        <v>0.1</v>
      </c>
      <c r="AS246" s="213" t="str">
        <f aca="false">IF(A247="","",1/(1+CHOOSE(F$3,(AR247+($I$3/10000))/2,(AR246+($I$3/10000))/2))^(2*AQ246/365.25))</f>
        <v/>
      </c>
      <c r="AT246" s="137" t="str">
        <f aca="false">IF(A247="","",IF(AND(mthbeg&lt;=A246,mthend&gt;=A246),1,0))</f>
        <v/>
      </c>
      <c r="AU246" s="137" t="str">
        <f aca="false">IF(A247="","",AO246*AT246)</f>
        <v/>
      </c>
      <c r="AW246" s="195" t="str">
        <f aca="false">IF($A247="","",AL246*$E246)</f>
        <v/>
      </c>
      <c r="AX246" s="195" t="str">
        <f aca="false">IF($A247="","",AM246*$E246)</f>
        <v/>
      </c>
      <c r="AY246" s="195" t="str">
        <f aca="false">IF($A247="","",AN246*$E246)</f>
        <v/>
      </c>
      <c r="BA246" s="195" t="str">
        <f aca="false">IF($A247="","",F246*Summary!$Q$13)</f>
        <v/>
      </c>
    </row>
    <row r="247" customFormat="false" ht="12" hidden="false" customHeight="true" outlineLevel="0" collapsed="false">
      <c r="A247" s="196" t="str">
        <f aca="false">IF(A246&lt;mthend,EDATE(A246,1),"")</f>
        <v/>
      </c>
      <c r="B247" s="197" t="str">
        <f aca="false">IF(A247&lt;mthend,B246,"")</f>
        <v/>
      </c>
      <c r="C247" s="215"/>
      <c r="D247" s="197" t="str">
        <f aca="false">IF(A248&lt;&gt;"",B247+C247,"")</f>
        <v/>
      </c>
      <c r="E247" s="199" t="str">
        <f aca="false">IF(A248="","",IF(AND(AT247=1,$H$3=1),D247*AO247,IF($H$3=2,D247,"N/A")))</f>
        <v/>
      </c>
      <c r="F247" s="199" t="str">
        <f aca="false">IF(A248="","",E247*AS247)</f>
        <v/>
      </c>
      <c r="G247" s="200" t="str">
        <f aca="false">IF($A248="","",VLOOKUP($A247,Table,MATCH(G$4,Curves,0)))</f>
        <v/>
      </c>
      <c r="H247" s="201" t="str">
        <f aca="false">IF(A248="","",G247)</f>
        <v/>
      </c>
      <c r="I247" s="202"/>
      <c r="J247" s="200" t="str">
        <f aca="false">IF($A248="","",VLOOKUP($A247,Table,MATCH(J$4,Curves,0)))</f>
        <v/>
      </c>
      <c r="K247" s="201" t="str">
        <f aca="false">IF(A248="","",J247)</f>
        <v/>
      </c>
      <c r="L247" s="185" t="n">
        <v>0</v>
      </c>
      <c r="M247" s="201" t="str">
        <f aca="false">IF(A248="","",L247)</f>
        <v/>
      </c>
      <c r="N247" s="203"/>
      <c r="O247" s="200" t="str">
        <f aca="false">IF(A248="","",L247+J247+G247)</f>
        <v/>
      </c>
      <c r="P247" s="200" t="str">
        <f aca="false">IF(A248="","",M247+K247+H247)</f>
        <v/>
      </c>
      <c r="Q247" s="204"/>
      <c r="R247" s="200" t="str">
        <f aca="false">IF($A248="","",VLOOKUP($A247,Table,MATCH(R$4,Curves,0)))</f>
        <v/>
      </c>
      <c r="S247" s="201" t="str">
        <f aca="false">IF(A248="","",R247)</f>
        <v/>
      </c>
      <c r="T247" s="185" t="n">
        <v>0</v>
      </c>
      <c r="U247" s="201" t="str">
        <f aca="false">IF(A248="","",T247)</f>
        <v/>
      </c>
      <c r="V247" s="205"/>
      <c r="W247" s="202" t="str">
        <f aca="false">IF($A248="","",(T247+R247+G247+V247))</f>
        <v/>
      </c>
      <c r="X247" s="202" t="str">
        <f aca="false">IF($A248="","",(U247+S247+H247+V247))</f>
        <v/>
      </c>
      <c r="Y247" s="202"/>
      <c r="Z247" s="185" t="str">
        <f aca="false">IF($A248="","",VLOOKUP($A247,Table,MATCH(Z$4,Curves,0)))</f>
        <v/>
      </c>
      <c r="AA247" s="185" t="str">
        <f aca="false">IF($A248="","",VLOOKUP($A247,Table,MATCH(AA$4,Curves,0)))</f>
        <v/>
      </c>
      <c r="AB247" s="185" t="e">
        <f aca="false">SQRT((AA247^2*(A247-$D$3)+Z247^2*(DAY(EOMONTH(A247,0))/2))/AK247)</f>
        <v>#VALUE!</v>
      </c>
      <c r="AC247" s="185" t="str">
        <f aca="false">IF($A248="","",VLOOKUP($A247,Table,MATCH(AC$4,Curves,0)))</f>
        <v/>
      </c>
      <c r="AD247" s="185" t="str">
        <f aca="false">IF($A248="","",VLOOKUP($A247,Table,MATCH(AD$4,Curves,0)))</f>
        <v/>
      </c>
      <c r="AE247" s="185" t="e">
        <f aca="false">SQRT((AD247^2*(A247-$D$3)+AC247^2*(DAY(EOMONTH(A247,0))/2))/AK247)</f>
        <v>#VALUE!</v>
      </c>
      <c r="AF247" s="224" t="e">
        <f aca="false">((Summary!$N$13*(AA247*AD247)*(A247-$D$3))+(Summary!$M$13*Z247*AC247*(AJ247-EOMONTH(EDATE(A247,-1),0))))/(AK247*AB247*AE247)</f>
        <v>#VALUE!</v>
      </c>
      <c r="AG247" s="207" t="str">
        <f aca="false">IF($A248="","",Summary!$Q$13)</f>
        <v/>
      </c>
      <c r="AH247" s="207" t="str">
        <f aca="false">IF($A248="","",IF(Summary!$R$12="Y",(VLOOKUP($A247,Summary!$AD$6:$AF$9,3)+'Escalating commodity'!I260),'Escalating commodity'!I260))</f>
        <v/>
      </c>
      <c r="AI247" s="207" t="str">
        <f aca="false">IF($A248="","",AH247)</f>
        <v/>
      </c>
      <c r="AJ247" s="208" t="e">
        <f aca="false">A247+DAY(EOMONTH(A247,0))/2-1</f>
        <v>#VALUE!</v>
      </c>
      <c r="AK247" s="209" t="str">
        <f aca="false">IF($A248="","",$A247-$E$1)</f>
        <v/>
      </c>
      <c r="AL247" s="182" t="str">
        <f aca="false">IF($A248="","",SPRDOPT(P247,X247,AI247,0,AB247,AE247,AF247,AK247,$AJ$2,0))</f>
        <v/>
      </c>
      <c r="AM247" s="210" t="str">
        <f aca="false">IF($A248="","",MAX(0,O247-W247-AI247))</f>
        <v/>
      </c>
      <c r="AN247" s="211" t="str">
        <f aca="false">IF($A248="","",AL247-AM247)</f>
        <v/>
      </c>
      <c r="AO247" s="137" t="str">
        <f aca="false">IF(A248="","",A248-A247)</f>
        <v/>
      </c>
      <c r="AP247" s="212" t="str">
        <f aca="false">IF(A248="","",CHOOSE(F$3,A248+24,A247))</f>
        <v/>
      </c>
      <c r="AQ247" s="209" t="str">
        <f aca="false">IF(A248="","",AP247-$E$1)</f>
        <v/>
      </c>
      <c r="AR247" s="185" t="n">
        <f aca="false">'ANR OK vs ML7'!AR247</f>
        <v>0.1</v>
      </c>
      <c r="AS247" s="213" t="str">
        <f aca="false">IF(A248="","",1/(1+CHOOSE(F$3,(AR248+($I$3/10000))/2,(AR247+($I$3/10000))/2))^(2*AQ247/365.25))</f>
        <v/>
      </c>
      <c r="AT247" s="137" t="str">
        <f aca="false">IF(A248="","",IF(AND(mthbeg&lt;=A247,mthend&gt;=A247),1,0))</f>
        <v/>
      </c>
      <c r="AU247" s="137" t="str">
        <f aca="false">IF(A248="","",AO247*AT247)</f>
        <v/>
      </c>
      <c r="AW247" s="195" t="str">
        <f aca="false">IF($A248="","",AL247*$E247)</f>
        <v/>
      </c>
      <c r="AX247" s="195" t="str">
        <f aca="false">IF($A248="","",AM247*$E247)</f>
        <v/>
      </c>
      <c r="AY247" s="195" t="str">
        <f aca="false">IF($A248="","",AN247*$E247)</f>
        <v/>
      </c>
      <c r="BA247" s="195" t="str">
        <f aca="false">IF($A248="","",F247*Summary!$Q$13)</f>
        <v/>
      </c>
    </row>
    <row r="248" customFormat="false" ht="12" hidden="false" customHeight="true" outlineLevel="0" collapsed="false">
      <c r="A248" s="196" t="str">
        <f aca="false">IF(A247&lt;mthend,EDATE(A247,1),"")</f>
        <v/>
      </c>
      <c r="B248" s="197" t="str">
        <f aca="false">IF(A248&lt;mthend,B247,"")</f>
        <v/>
      </c>
      <c r="C248" s="215"/>
      <c r="D248" s="197" t="str">
        <f aca="false">IF(A249&lt;&gt;"",B248+C248,"")</f>
        <v/>
      </c>
      <c r="E248" s="199" t="str">
        <f aca="false">IF(A249="","",IF(AND(AT248=1,$H$3=1),D248*AO248,IF($H$3=2,D248,"N/A")))</f>
        <v/>
      </c>
      <c r="F248" s="199" t="str">
        <f aca="false">IF(A249="","",E248*AS248)</f>
        <v/>
      </c>
      <c r="G248" s="200" t="str">
        <f aca="false">IF($A249="","",VLOOKUP($A248,Table,MATCH(G$4,Curves,0)))</f>
        <v/>
      </c>
      <c r="H248" s="201" t="str">
        <f aca="false">IF(A249="","",G248)</f>
        <v/>
      </c>
      <c r="I248" s="202"/>
      <c r="J248" s="200" t="str">
        <f aca="false">IF($A249="","",VLOOKUP($A248,Table,MATCH(J$4,Curves,0)))</f>
        <v/>
      </c>
      <c r="K248" s="201" t="str">
        <f aca="false">IF(A249="","",J248)</f>
        <v/>
      </c>
      <c r="L248" s="185" t="n">
        <v>0</v>
      </c>
      <c r="M248" s="201" t="str">
        <f aca="false">IF(A249="","",L248)</f>
        <v/>
      </c>
      <c r="N248" s="203"/>
      <c r="O248" s="200" t="str">
        <f aca="false">IF(A249="","",L248+J248+G248)</f>
        <v/>
      </c>
      <c r="P248" s="200" t="str">
        <f aca="false">IF(A249="","",M248+K248+H248)</f>
        <v/>
      </c>
      <c r="Q248" s="204"/>
      <c r="R248" s="200" t="str">
        <f aca="false">IF($A249="","",VLOOKUP($A248,Table,MATCH(R$4,Curves,0)))</f>
        <v/>
      </c>
      <c r="S248" s="201" t="str">
        <f aca="false">IF(A249="","",R248)</f>
        <v/>
      </c>
      <c r="T248" s="185" t="n">
        <v>0</v>
      </c>
      <c r="U248" s="201" t="str">
        <f aca="false">IF(A249="","",T248)</f>
        <v/>
      </c>
      <c r="V248" s="205"/>
      <c r="W248" s="202" t="str">
        <f aca="false">IF($A249="","",(T248+R248+G248+V248))</f>
        <v/>
      </c>
      <c r="X248" s="202" t="str">
        <f aca="false">IF($A249="","",(U248+S248+H248+V248))</f>
        <v/>
      </c>
      <c r="Y248" s="202"/>
      <c r="Z248" s="185" t="str">
        <f aca="false">IF($A249="","",VLOOKUP($A248,Table,MATCH(Z$4,Curves,0)))</f>
        <v/>
      </c>
      <c r="AA248" s="185" t="str">
        <f aca="false">IF($A249="","",VLOOKUP($A248,Table,MATCH(AA$4,Curves,0)))</f>
        <v/>
      </c>
      <c r="AB248" s="185" t="e">
        <f aca="false">SQRT((AA248^2*(A248-$D$3)+Z248^2*(DAY(EOMONTH(A248,0))/2))/AK248)</f>
        <v>#VALUE!</v>
      </c>
      <c r="AC248" s="185" t="str">
        <f aca="false">IF($A249="","",VLOOKUP($A248,Table,MATCH(AC$4,Curves,0)))</f>
        <v/>
      </c>
      <c r="AD248" s="185" t="str">
        <f aca="false">IF($A249="","",VLOOKUP($A248,Table,MATCH(AD$4,Curves,0)))</f>
        <v/>
      </c>
      <c r="AE248" s="185" t="e">
        <f aca="false">SQRT((AD248^2*(A248-$D$3)+AC248^2*(DAY(EOMONTH(A248,0))/2))/AK248)</f>
        <v>#VALUE!</v>
      </c>
      <c r="AF248" s="224" t="e">
        <f aca="false">((Summary!$N$13*(AA248*AD248)*(A248-$D$3))+(Summary!$M$13*Z248*AC248*(AJ248-EOMONTH(EDATE(A248,-1),0))))/(AK248*AB248*AE248)</f>
        <v>#VALUE!</v>
      </c>
      <c r="AG248" s="207" t="str">
        <f aca="false">IF($A249="","",Summary!$Q$13)</f>
        <v/>
      </c>
      <c r="AH248" s="207" t="str">
        <f aca="false">IF($A249="","",IF(Summary!$R$12="Y",(VLOOKUP($A248,Summary!$AD$6:$AF$9,3)+'Escalating commodity'!I261),'Escalating commodity'!I261))</f>
        <v/>
      </c>
      <c r="AI248" s="207" t="str">
        <f aca="false">IF($A249="","",AH248)</f>
        <v/>
      </c>
      <c r="AJ248" s="208" t="e">
        <f aca="false">A248+DAY(EOMONTH(A248,0))/2-1</f>
        <v>#VALUE!</v>
      </c>
      <c r="AK248" s="209" t="str">
        <f aca="false">IF($A249="","",$A248-$E$1)</f>
        <v/>
      </c>
      <c r="AL248" s="182" t="str">
        <f aca="false">IF($A249="","",SPRDOPT(P248,X248,AI248,0,AB248,AE248,AF248,AK248,$AJ$2,0))</f>
        <v/>
      </c>
      <c r="AM248" s="210" t="str">
        <f aca="false">IF($A249="","",MAX(0,O248-W248-AI248))</f>
        <v/>
      </c>
      <c r="AN248" s="211" t="str">
        <f aca="false">IF($A249="","",AL248-AM248)</f>
        <v/>
      </c>
      <c r="AO248" s="137" t="str">
        <f aca="false">IF(A249="","",A249-A248)</f>
        <v/>
      </c>
      <c r="AP248" s="212" t="str">
        <f aca="false">IF(A249="","",CHOOSE(F$3,A249+24,A248))</f>
        <v/>
      </c>
      <c r="AQ248" s="209" t="str">
        <f aca="false">IF(A249="","",AP248-$E$1)</f>
        <v/>
      </c>
      <c r="AR248" s="185" t="n">
        <f aca="false">'ANR OK vs ML7'!AR248</f>
        <v>0.1</v>
      </c>
      <c r="AS248" s="213" t="str">
        <f aca="false">IF(A249="","",1/(1+CHOOSE(F$3,(AR249+($I$3/10000))/2,(AR248+($I$3/10000))/2))^(2*AQ248/365.25))</f>
        <v/>
      </c>
      <c r="AT248" s="137" t="str">
        <f aca="false">IF(A249="","",IF(AND(mthbeg&lt;=A248,mthend&gt;=A248),1,0))</f>
        <v/>
      </c>
      <c r="AU248" s="137" t="str">
        <f aca="false">IF(A249="","",AO248*AT248)</f>
        <v/>
      </c>
      <c r="AW248" s="195" t="str">
        <f aca="false">IF($A249="","",AL248*$E248)</f>
        <v/>
      </c>
      <c r="AX248" s="195" t="str">
        <f aca="false">IF($A249="","",AM248*$E248)</f>
        <v/>
      </c>
      <c r="AY248" s="195" t="str">
        <f aca="false">IF($A249="","",AN248*$E248)</f>
        <v/>
      </c>
      <c r="BA248" s="195" t="str">
        <f aca="false">IF($A249="","",F248*Summary!$Q$13)</f>
        <v/>
      </c>
    </row>
    <row r="249" customFormat="false" ht="12" hidden="false" customHeight="true" outlineLevel="0" collapsed="false">
      <c r="A249" s="196" t="str">
        <f aca="false">IF(A248&lt;mthend,EDATE(A248,1),"")</f>
        <v/>
      </c>
      <c r="B249" s="197" t="str">
        <f aca="false">IF(A249&lt;mthend,B248,"")</f>
        <v/>
      </c>
      <c r="C249" s="215"/>
      <c r="D249" s="197" t="str">
        <f aca="false">IF(A250&lt;&gt;"",B249+C249,"")</f>
        <v/>
      </c>
      <c r="E249" s="199" t="str">
        <f aca="false">IF(A250="","",IF(AND(AT249=1,$H$3=1),D249*AO249,IF($H$3=2,D249,"N/A")))</f>
        <v/>
      </c>
      <c r="F249" s="199" t="str">
        <f aca="false">IF(A250="","",E249*AS249)</f>
        <v/>
      </c>
      <c r="G249" s="200" t="str">
        <f aca="false">IF($A250="","",VLOOKUP($A249,Table,MATCH(G$4,Curves,0)))</f>
        <v/>
      </c>
      <c r="H249" s="201" t="str">
        <f aca="false">IF(A250="","",G249)</f>
        <v/>
      </c>
      <c r="I249" s="202"/>
      <c r="J249" s="200" t="str">
        <f aca="false">IF($A250="","",VLOOKUP($A249,Table,MATCH(J$4,Curves,0)))</f>
        <v/>
      </c>
      <c r="K249" s="201" t="str">
        <f aca="false">IF(A250="","",J249)</f>
        <v/>
      </c>
      <c r="L249" s="185" t="n">
        <v>0</v>
      </c>
      <c r="M249" s="201" t="str">
        <f aca="false">IF(A250="","",L249)</f>
        <v/>
      </c>
      <c r="N249" s="203"/>
      <c r="O249" s="200" t="str">
        <f aca="false">IF(A250="","",L249+J249+G249)</f>
        <v/>
      </c>
      <c r="P249" s="200" t="str">
        <f aca="false">IF(A250="","",M249+K249+H249)</f>
        <v/>
      </c>
      <c r="Q249" s="204"/>
      <c r="R249" s="200" t="str">
        <f aca="false">IF($A250="","",VLOOKUP($A249,Table,MATCH(R$4,Curves,0)))</f>
        <v/>
      </c>
      <c r="S249" s="201" t="str">
        <f aca="false">IF(A250="","",R249)</f>
        <v/>
      </c>
      <c r="T249" s="185" t="n">
        <v>0</v>
      </c>
      <c r="U249" s="201" t="str">
        <f aca="false">IF(A250="","",T249)</f>
        <v/>
      </c>
      <c r="V249" s="205"/>
      <c r="W249" s="202" t="str">
        <f aca="false">IF($A250="","",(T249+R249+G249+V249))</f>
        <v/>
      </c>
      <c r="X249" s="202" t="str">
        <f aca="false">IF($A250="","",(U249+S249+H249+V249))</f>
        <v/>
      </c>
      <c r="Y249" s="202"/>
      <c r="Z249" s="185" t="str">
        <f aca="false">IF($A250="","",VLOOKUP($A249,Table,MATCH(Z$4,Curves,0)))</f>
        <v/>
      </c>
      <c r="AA249" s="185" t="str">
        <f aca="false">IF($A250="","",VLOOKUP($A249,Table,MATCH(AA$4,Curves,0)))</f>
        <v/>
      </c>
      <c r="AB249" s="185" t="e">
        <f aca="false">SQRT((AA249^2*(A249-$D$3)+Z249^2*(DAY(EOMONTH(A249,0))/2))/AK249)</f>
        <v>#VALUE!</v>
      </c>
      <c r="AC249" s="185" t="str">
        <f aca="false">IF($A250="","",VLOOKUP($A249,Table,MATCH(AC$4,Curves,0)))</f>
        <v/>
      </c>
      <c r="AD249" s="185" t="str">
        <f aca="false">IF($A250="","",VLOOKUP($A249,Table,MATCH(AD$4,Curves,0)))</f>
        <v/>
      </c>
      <c r="AE249" s="185" t="e">
        <f aca="false">SQRT((AD249^2*(A249-$D$3)+AC249^2*(DAY(EOMONTH(A249,0))/2))/AK249)</f>
        <v>#VALUE!</v>
      </c>
      <c r="AF249" s="224" t="e">
        <f aca="false">((Summary!$N$13*(AA249*AD249)*(A249-$D$3))+(Summary!$M$13*Z249*AC249*(AJ249-EOMONTH(EDATE(A249,-1),0))))/(AK249*AB249*AE249)</f>
        <v>#VALUE!</v>
      </c>
      <c r="AG249" s="207" t="str">
        <f aca="false">IF($A250="","",Summary!$Q$13)</f>
        <v/>
      </c>
      <c r="AH249" s="207" t="str">
        <f aca="false">IF($A250="","",IF(Summary!$R$12="Y",(VLOOKUP($A249,Summary!$AD$6:$AF$9,3)+'Escalating commodity'!I262),'Escalating commodity'!I262))</f>
        <v/>
      </c>
      <c r="AI249" s="207" t="str">
        <f aca="false">IF($A250="","",AH249)</f>
        <v/>
      </c>
      <c r="AJ249" s="208" t="e">
        <f aca="false">A249+DAY(EOMONTH(A249,0))/2-1</f>
        <v>#VALUE!</v>
      </c>
      <c r="AK249" s="209" t="str">
        <f aca="false">IF($A250="","",$A249-$E$1)</f>
        <v/>
      </c>
      <c r="AL249" s="182" t="str">
        <f aca="false">IF($A250="","",SPRDOPT(P249,X249,AI249,0,AB249,AE249,AF249,AK249,$AJ$2,0))</f>
        <v/>
      </c>
      <c r="AM249" s="210" t="str">
        <f aca="false">IF($A250="","",MAX(0,O249-W249-AI249))</f>
        <v/>
      </c>
      <c r="AN249" s="211" t="str">
        <f aca="false">IF($A250="","",AL249-AM249)</f>
        <v/>
      </c>
      <c r="AO249" s="137" t="str">
        <f aca="false">IF(A250="","",A250-A249)</f>
        <v/>
      </c>
      <c r="AP249" s="212" t="str">
        <f aca="false">IF(A250="","",CHOOSE(F$3,A250+24,A249))</f>
        <v/>
      </c>
      <c r="AQ249" s="209" t="str">
        <f aca="false">IF(A250="","",AP249-$E$1)</f>
        <v/>
      </c>
      <c r="AR249" s="185" t="n">
        <f aca="false">'ANR OK vs ML7'!AR249</f>
        <v>0.1</v>
      </c>
      <c r="AS249" s="213" t="str">
        <f aca="false">IF(A250="","",1/(1+CHOOSE(F$3,(AR250+($I$3/10000))/2,(AR249+($I$3/10000))/2))^(2*AQ249/365.25))</f>
        <v/>
      </c>
      <c r="AT249" s="137" t="str">
        <f aca="false">IF(A250="","",IF(AND(mthbeg&lt;=A249,mthend&gt;=A249),1,0))</f>
        <v/>
      </c>
      <c r="AU249" s="137" t="str">
        <f aca="false">IF(A250="","",AO249*AT249)</f>
        <v/>
      </c>
      <c r="AW249" s="195" t="str">
        <f aca="false">IF($A250="","",AL249*$E249)</f>
        <v/>
      </c>
      <c r="AX249" s="195" t="str">
        <f aca="false">IF($A250="","",AM249*$E249)</f>
        <v/>
      </c>
      <c r="AY249" s="195" t="str">
        <f aca="false">IF($A250="","",AN249*$E249)</f>
        <v/>
      </c>
      <c r="BA249" s="195" t="str">
        <f aca="false">IF($A250="","",F249*Summary!$Q$13)</f>
        <v/>
      </c>
    </row>
    <row r="250" customFormat="false" ht="12" hidden="false" customHeight="true" outlineLevel="0" collapsed="false">
      <c r="A250" s="196" t="str">
        <f aca="false">IF(A249&lt;mthend,EDATE(A249,1),"")</f>
        <v/>
      </c>
      <c r="B250" s="197" t="str">
        <f aca="false">IF(A250&lt;mthend,B249,"")</f>
        <v/>
      </c>
      <c r="C250" s="215"/>
      <c r="D250" s="197" t="str">
        <f aca="false">IF(A251&lt;&gt;"",B250+C250,"")</f>
        <v/>
      </c>
      <c r="E250" s="199" t="str">
        <f aca="false">IF(A251="","",IF(AND(AT250=1,$H$3=1),D250*AO250,IF($H$3=2,D250,"N/A")))</f>
        <v/>
      </c>
      <c r="F250" s="199" t="str">
        <f aca="false">IF(A251="","",E250*AS250)</f>
        <v/>
      </c>
      <c r="G250" s="200" t="str">
        <f aca="false">IF($A251="","",VLOOKUP($A250,Table,MATCH(G$4,Curves,0)))</f>
        <v/>
      </c>
      <c r="H250" s="201" t="str">
        <f aca="false">IF(A251="","",G250)</f>
        <v/>
      </c>
      <c r="I250" s="202"/>
      <c r="J250" s="200" t="str">
        <f aca="false">IF($A251="","",VLOOKUP($A250,Table,MATCH(J$4,Curves,0)))</f>
        <v/>
      </c>
      <c r="K250" s="201" t="str">
        <f aca="false">IF(A251="","",J250)</f>
        <v/>
      </c>
      <c r="L250" s="185" t="n">
        <v>0</v>
      </c>
      <c r="M250" s="201" t="str">
        <f aca="false">IF(A251="","",L250)</f>
        <v/>
      </c>
      <c r="N250" s="203"/>
      <c r="O250" s="200" t="str">
        <f aca="false">IF(A251="","",L250+J250+G250)</f>
        <v/>
      </c>
      <c r="P250" s="200" t="str">
        <f aca="false">IF(A251="","",M250+K250+H250)</f>
        <v/>
      </c>
      <c r="Q250" s="204"/>
      <c r="R250" s="200" t="str">
        <f aca="false">IF($A251="","",VLOOKUP($A250,Table,MATCH(R$4,Curves,0)))</f>
        <v/>
      </c>
      <c r="S250" s="201" t="str">
        <f aca="false">IF(A251="","",R250)</f>
        <v/>
      </c>
      <c r="T250" s="185" t="n">
        <v>0</v>
      </c>
      <c r="U250" s="201" t="str">
        <f aca="false">IF(A251="","",T250)</f>
        <v/>
      </c>
      <c r="V250" s="205"/>
      <c r="W250" s="202" t="str">
        <f aca="false">IF($A251="","",(T250+R250+G250+V250))</f>
        <v/>
      </c>
      <c r="X250" s="202" t="str">
        <f aca="false">IF($A251="","",(U250+S250+H250+V250))</f>
        <v/>
      </c>
      <c r="Y250" s="202"/>
      <c r="Z250" s="185" t="str">
        <f aca="false">IF($A251="","",VLOOKUP($A250,Table,MATCH(Z$4,Curves,0)))</f>
        <v/>
      </c>
      <c r="AA250" s="185" t="str">
        <f aca="false">IF($A251="","",VLOOKUP($A250,Table,MATCH(AA$4,Curves,0)))</f>
        <v/>
      </c>
      <c r="AB250" s="185" t="e">
        <f aca="false">SQRT((AA250^2*(A250-$D$3)+Z250^2*(DAY(EOMONTH(A250,0))/2))/AK250)</f>
        <v>#VALUE!</v>
      </c>
      <c r="AC250" s="185" t="str">
        <f aca="false">IF($A251="","",VLOOKUP($A250,Table,MATCH(AC$4,Curves,0)))</f>
        <v/>
      </c>
      <c r="AD250" s="185" t="str">
        <f aca="false">IF($A251="","",VLOOKUP($A250,Table,MATCH(AD$4,Curves,0)))</f>
        <v/>
      </c>
      <c r="AE250" s="185" t="e">
        <f aca="false">SQRT((AD250^2*(A250-$D$3)+AC250^2*(DAY(EOMONTH(A250,0))/2))/AK250)</f>
        <v>#VALUE!</v>
      </c>
      <c r="AF250" s="224" t="e">
        <f aca="false">((Summary!$N$13*(AA250*AD250)*(A250-$D$3))+(Summary!$M$13*Z250*AC250*(AJ250-EOMONTH(EDATE(A250,-1),0))))/(AK250*AB250*AE250)</f>
        <v>#VALUE!</v>
      </c>
      <c r="AG250" s="207" t="str">
        <f aca="false">IF($A251="","",Summary!$Q$13)</f>
        <v/>
      </c>
      <c r="AH250" s="207" t="str">
        <f aca="false">IF($A251="","",IF(Summary!$R$12="Y",(VLOOKUP($A250,Summary!$AD$6:$AF$9,3)+'Escalating commodity'!I263),'Escalating commodity'!I263))</f>
        <v/>
      </c>
      <c r="AI250" s="207" t="str">
        <f aca="false">IF($A251="","",AH250)</f>
        <v/>
      </c>
      <c r="AJ250" s="208" t="e">
        <f aca="false">A250+DAY(EOMONTH(A250,0))/2-1</f>
        <v>#VALUE!</v>
      </c>
      <c r="AK250" s="209" t="str">
        <f aca="false">IF($A251="","",$A250-$E$1)</f>
        <v/>
      </c>
      <c r="AL250" s="182" t="str">
        <f aca="false">IF($A251="","",SPRDOPT(P250,X250,AI250,0,AB250,AE250,AF250,AK250,$AJ$2,0))</f>
        <v/>
      </c>
      <c r="AM250" s="210" t="str">
        <f aca="false">IF($A251="","",MAX(0,O250-W250-AI250))</f>
        <v/>
      </c>
      <c r="AN250" s="211" t="str">
        <f aca="false">IF($A251="","",AL250-AM250)</f>
        <v/>
      </c>
      <c r="AO250" s="137" t="str">
        <f aca="false">IF(A251="","",A251-A250)</f>
        <v/>
      </c>
      <c r="AP250" s="212" t="str">
        <f aca="false">IF(A251="","",CHOOSE(F$3,A251+24,A250))</f>
        <v/>
      </c>
      <c r="AQ250" s="209" t="str">
        <f aca="false">IF(A251="","",AP250-$E$1)</f>
        <v/>
      </c>
      <c r="AR250" s="185" t="n">
        <f aca="false">'ANR OK vs ML7'!AR250</f>
        <v>0.1</v>
      </c>
      <c r="AS250" s="213" t="str">
        <f aca="false">IF(A251="","",1/(1+CHOOSE(F$3,(AR251+($I$3/10000))/2,(AR250+($I$3/10000))/2))^(2*AQ250/365.25))</f>
        <v/>
      </c>
      <c r="AT250" s="137" t="str">
        <f aca="false">IF(A251="","",IF(AND(mthbeg&lt;=A250,mthend&gt;=A250),1,0))</f>
        <v/>
      </c>
      <c r="AU250" s="137" t="str">
        <f aca="false">IF(A251="","",AO250*AT250)</f>
        <v/>
      </c>
      <c r="AW250" s="195" t="str">
        <f aca="false">IF($A251="","",AL250*$E250)</f>
        <v/>
      </c>
      <c r="AX250" s="195" t="str">
        <f aca="false">IF($A251="","",AM250*$E250)</f>
        <v/>
      </c>
      <c r="AY250" s="195" t="str">
        <f aca="false">IF($A251="","",AN250*$E250)</f>
        <v/>
      </c>
      <c r="BA250" s="195" t="str">
        <f aca="false">IF($A251="","",F250*Summary!$Q$13)</f>
        <v/>
      </c>
    </row>
    <row r="251" customFormat="false" ht="12" hidden="false" customHeight="true" outlineLevel="0" collapsed="false">
      <c r="A251" s="196" t="str">
        <f aca="false">IF(A250&lt;mthend,EDATE(A250,1),"")</f>
        <v/>
      </c>
      <c r="B251" s="197" t="str">
        <f aca="false">IF(A251&lt;mthend,B250,"")</f>
        <v/>
      </c>
      <c r="C251" s="215"/>
      <c r="D251" s="197" t="str">
        <f aca="false">IF(A252&lt;&gt;"",B251+C251,"")</f>
        <v/>
      </c>
      <c r="E251" s="199" t="str">
        <f aca="false">IF(A252="","",IF(AND(AT251=1,$H$3=1),D251*AO251,IF($H$3=2,D251,"N/A")))</f>
        <v/>
      </c>
      <c r="F251" s="199" t="str">
        <f aca="false">IF(A252="","",E251*AS251)</f>
        <v/>
      </c>
      <c r="G251" s="200" t="str">
        <f aca="false">IF($A252="","",VLOOKUP($A251,Table,MATCH(G$4,Curves,0)))</f>
        <v/>
      </c>
      <c r="H251" s="201" t="str">
        <f aca="false">IF(A252="","",G251)</f>
        <v/>
      </c>
      <c r="I251" s="202"/>
      <c r="J251" s="200" t="str">
        <f aca="false">IF($A252="","",VLOOKUP($A251,Table,MATCH(J$4,Curves,0)))</f>
        <v/>
      </c>
      <c r="K251" s="201" t="str">
        <f aca="false">IF(A252="","",J251)</f>
        <v/>
      </c>
      <c r="L251" s="185" t="n">
        <v>0</v>
      </c>
      <c r="M251" s="201" t="str">
        <f aca="false">IF(A252="","",L251)</f>
        <v/>
      </c>
      <c r="N251" s="203"/>
      <c r="O251" s="200" t="str">
        <f aca="false">IF(A252="","",L251+J251+G251)</f>
        <v/>
      </c>
      <c r="P251" s="200" t="str">
        <f aca="false">IF(A252="","",M251+K251+H251)</f>
        <v/>
      </c>
      <c r="Q251" s="204"/>
      <c r="R251" s="200" t="str">
        <f aca="false">IF($A252="","",VLOOKUP($A251,Table,MATCH(R$4,Curves,0)))</f>
        <v/>
      </c>
      <c r="S251" s="201" t="str">
        <f aca="false">IF(A252="","",R251)</f>
        <v/>
      </c>
      <c r="T251" s="185" t="n">
        <v>0</v>
      </c>
      <c r="U251" s="201" t="str">
        <f aca="false">IF(A252="","",T251)</f>
        <v/>
      </c>
      <c r="V251" s="205"/>
      <c r="W251" s="202" t="str">
        <f aca="false">IF($A252="","",(T251+R251+G251+V251))</f>
        <v/>
      </c>
      <c r="X251" s="202" t="str">
        <f aca="false">IF($A252="","",(U251+S251+H251+V251))</f>
        <v/>
      </c>
      <c r="Y251" s="202"/>
      <c r="Z251" s="185" t="str">
        <f aca="false">IF($A252="","",VLOOKUP($A251,Table,MATCH(Z$4,Curves,0)))</f>
        <v/>
      </c>
      <c r="AA251" s="185" t="str">
        <f aca="false">IF($A252="","",VLOOKUP($A251,Table,MATCH(AA$4,Curves,0)))</f>
        <v/>
      </c>
      <c r="AB251" s="185" t="e">
        <f aca="false">SQRT((AA251^2*(A251-$D$3)+Z251^2*(DAY(EOMONTH(A251,0))/2))/AK251)</f>
        <v>#VALUE!</v>
      </c>
      <c r="AC251" s="185" t="str">
        <f aca="false">IF($A252="","",VLOOKUP($A251,Table,MATCH(AC$4,Curves,0)))</f>
        <v/>
      </c>
      <c r="AD251" s="185" t="str">
        <f aca="false">IF($A252="","",VLOOKUP($A251,Table,MATCH(AD$4,Curves,0)))</f>
        <v/>
      </c>
      <c r="AE251" s="185" t="e">
        <f aca="false">SQRT((AD251^2*(A251-$D$3)+AC251^2*(DAY(EOMONTH(A251,0))/2))/AK251)</f>
        <v>#VALUE!</v>
      </c>
      <c r="AF251" s="224" t="e">
        <f aca="false">((Summary!$N$13*(AA251*AD251)*(A251-$D$3))+(Summary!$M$13*Z251*AC251*(AJ251-EOMONTH(EDATE(A251,-1),0))))/(AK251*AB251*AE251)</f>
        <v>#VALUE!</v>
      </c>
      <c r="AG251" s="207" t="str">
        <f aca="false">IF($A252="","",Summary!$Q$13)</f>
        <v/>
      </c>
      <c r="AH251" s="207" t="str">
        <f aca="false">IF($A252="","",IF(Summary!$R$12="Y",(VLOOKUP($A251,Summary!$AD$6:$AF$9,3)+'Escalating commodity'!I264),'Escalating commodity'!I264))</f>
        <v/>
      </c>
      <c r="AI251" s="207" t="str">
        <f aca="false">IF($A252="","",AH251)</f>
        <v/>
      </c>
      <c r="AJ251" s="208" t="e">
        <f aca="false">A251+DAY(EOMONTH(A251,0))/2-1</f>
        <v>#VALUE!</v>
      </c>
      <c r="AK251" s="209" t="str">
        <f aca="false">IF($A252="","",$A251-$E$1)</f>
        <v/>
      </c>
      <c r="AL251" s="182" t="str">
        <f aca="false">IF($A252="","",SPRDOPT(P251,X251,AI251,0,AB251,AE251,AF251,AK251,$AJ$2,0))</f>
        <v/>
      </c>
      <c r="AM251" s="210" t="str">
        <f aca="false">IF($A252="","",MAX(0,O251-W251-AI251))</f>
        <v/>
      </c>
      <c r="AN251" s="211" t="str">
        <f aca="false">IF($A252="","",AL251-AM251)</f>
        <v/>
      </c>
      <c r="AO251" s="137" t="str">
        <f aca="false">IF(A252="","",A252-A251)</f>
        <v/>
      </c>
      <c r="AP251" s="212" t="str">
        <f aca="false">IF(A252="","",CHOOSE(F$3,A252+24,A251))</f>
        <v/>
      </c>
      <c r="AQ251" s="209" t="str">
        <f aca="false">IF(A252="","",AP251-$E$1)</f>
        <v/>
      </c>
      <c r="AR251" s="185" t="n">
        <f aca="false">'ANR OK vs ML7'!AR251</f>
        <v>0.1</v>
      </c>
      <c r="AS251" s="213" t="str">
        <f aca="false">IF(A252="","",1/(1+CHOOSE(F$3,(AR252+($I$3/10000))/2,(AR251+($I$3/10000))/2))^(2*AQ251/365.25))</f>
        <v/>
      </c>
      <c r="AT251" s="137" t="str">
        <f aca="false">IF(A252="","",IF(AND(mthbeg&lt;=A251,mthend&gt;=A251),1,0))</f>
        <v/>
      </c>
      <c r="AU251" s="137" t="str">
        <f aca="false">IF(A252="","",AO251*AT251)</f>
        <v/>
      </c>
      <c r="AW251" s="195" t="str">
        <f aca="false">IF($A252="","",AL251*$E251)</f>
        <v/>
      </c>
      <c r="AX251" s="195" t="str">
        <f aca="false">IF($A252="","",AM251*$E251)</f>
        <v/>
      </c>
      <c r="AY251" s="195" t="str">
        <f aca="false">IF($A252="","",AN251*$E251)</f>
        <v/>
      </c>
      <c r="BA251" s="195" t="str">
        <f aca="false">IF($A252="","",F251*Summary!$Q$13)</f>
        <v/>
      </c>
    </row>
    <row r="252" customFormat="false" ht="12" hidden="false" customHeight="true" outlineLevel="0" collapsed="false">
      <c r="A252" s="196" t="str">
        <f aca="false">IF(A251&lt;mthend,EDATE(A251,1),"")</f>
        <v/>
      </c>
      <c r="B252" s="197" t="str">
        <f aca="false">IF(A252&lt;mthend,B251,"")</f>
        <v/>
      </c>
      <c r="C252" s="215"/>
      <c r="D252" s="197" t="str">
        <f aca="false">IF(A253&lt;&gt;"",B252+C252,"")</f>
        <v/>
      </c>
      <c r="E252" s="199" t="str">
        <f aca="false">IF(A253="","",IF(AND(AT252=1,$H$3=1),D252*AO252,IF($H$3=2,D252,"N/A")))</f>
        <v/>
      </c>
      <c r="F252" s="199" t="str">
        <f aca="false">IF(A253="","",E252*AS252)</f>
        <v/>
      </c>
      <c r="G252" s="200" t="str">
        <f aca="false">IF($A253="","",VLOOKUP($A252,Table,MATCH(G$4,Curves,0)))</f>
        <v/>
      </c>
      <c r="H252" s="201" t="str">
        <f aca="false">IF(A253="","",G252)</f>
        <v/>
      </c>
      <c r="I252" s="202"/>
      <c r="J252" s="200" t="str">
        <f aca="false">IF($A253="","",VLOOKUP($A252,Table,MATCH(J$4,Curves,0)))</f>
        <v/>
      </c>
      <c r="K252" s="201" t="str">
        <f aca="false">IF(A253="","",J252)</f>
        <v/>
      </c>
      <c r="L252" s="185" t="n">
        <v>0</v>
      </c>
      <c r="M252" s="201" t="str">
        <f aca="false">IF(A253="","",L252)</f>
        <v/>
      </c>
      <c r="N252" s="203"/>
      <c r="O252" s="200" t="str">
        <f aca="false">IF(A253="","",L252+J252+G252)</f>
        <v/>
      </c>
      <c r="P252" s="200" t="str">
        <f aca="false">IF(A253="","",M252+K252+H252)</f>
        <v/>
      </c>
      <c r="Q252" s="204"/>
      <c r="R252" s="200" t="str">
        <f aca="false">IF($A253="","",VLOOKUP($A252,Table,MATCH(R$4,Curves,0)))</f>
        <v/>
      </c>
      <c r="S252" s="201" t="str">
        <f aca="false">IF(A253="","",R252)</f>
        <v/>
      </c>
      <c r="T252" s="185" t="n">
        <v>0</v>
      </c>
      <c r="U252" s="201" t="str">
        <f aca="false">IF(A253="","",T252)</f>
        <v/>
      </c>
      <c r="V252" s="205"/>
      <c r="W252" s="202" t="str">
        <f aca="false">IF($A253="","",(T252+R252+G252+V252))</f>
        <v/>
      </c>
      <c r="X252" s="202" t="str">
        <f aca="false">IF($A253="","",(U252+S252+H252+V252))</f>
        <v/>
      </c>
      <c r="Y252" s="202"/>
      <c r="Z252" s="185" t="str">
        <f aca="false">IF($A253="","",VLOOKUP($A252,Table,MATCH(Z$4,Curves,0)))</f>
        <v/>
      </c>
      <c r="AA252" s="185" t="str">
        <f aca="false">IF($A253="","",VLOOKUP($A252,Table,MATCH(AA$4,Curves,0)))</f>
        <v/>
      </c>
      <c r="AB252" s="185" t="e">
        <f aca="false">SQRT((AA252^2*(A252-$D$3)+Z252^2*(DAY(EOMONTH(A252,0))/2))/AK252)</f>
        <v>#VALUE!</v>
      </c>
      <c r="AC252" s="185" t="str">
        <f aca="false">IF($A253="","",VLOOKUP($A252,Table,MATCH(AC$4,Curves,0)))</f>
        <v/>
      </c>
      <c r="AD252" s="185" t="str">
        <f aca="false">IF($A253="","",VLOOKUP($A252,Table,MATCH(AD$4,Curves,0)))</f>
        <v/>
      </c>
      <c r="AE252" s="185" t="e">
        <f aca="false">SQRT((AD252^2*(A252-$D$3)+AC252^2*(DAY(EOMONTH(A252,0))/2))/AK252)</f>
        <v>#VALUE!</v>
      </c>
      <c r="AF252" s="224" t="e">
        <f aca="false">((Summary!$N$13*(AA252*AD252)*(A252-$D$3))+(Summary!$M$13*Z252*AC252*(AJ252-EOMONTH(EDATE(A252,-1),0))))/(AK252*AB252*AE252)</f>
        <v>#VALUE!</v>
      </c>
      <c r="AG252" s="207" t="str">
        <f aca="false">IF($A253="","",Summary!$Q$13)</f>
        <v/>
      </c>
      <c r="AH252" s="207" t="str">
        <f aca="false">IF($A253="","",IF(Summary!$R$12="Y",(VLOOKUP($A252,Summary!$AD$6:$AF$9,3)+'Escalating commodity'!I265),'Escalating commodity'!I265))</f>
        <v/>
      </c>
      <c r="AI252" s="207" t="str">
        <f aca="false">IF($A253="","",AH252)</f>
        <v/>
      </c>
      <c r="AJ252" s="208" t="e">
        <f aca="false">A252+DAY(EOMONTH(A252,0))/2-1</f>
        <v>#VALUE!</v>
      </c>
      <c r="AK252" s="209" t="str">
        <f aca="false">IF($A253="","",$A252-$E$1)</f>
        <v/>
      </c>
      <c r="AL252" s="182" t="str">
        <f aca="false">IF($A253="","",SPRDOPT(P252,X252,AI252,0,AB252,AE252,AF252,AK252,$AJ$2,0))</f>
        <v/>
      </c>
      <c r="AM252" s="210" t="str">
        <f aca="false">IF($A253="","",MAX(0,O252-W252-AI252))</f>
        <v/>
      </c>
      <c r="AN252" s="211" t="str">
        <f aca="false">IF($A253="","",AL252-AM252)</f>
        <v/>
      </c>
      <c r="AO252" s="137" t="str">
        <f aca="false">IF(A253="","",A253-A252)</f>
        <v/>
      </c>
      <c r="AP252" s="212" t="str">
        <f aca="false">IF(A253="","",CHOOSE(F$3,A253+24,A252))</f>
        <v/>
      </c>
      <c r="AQ252" s="209" t="str">
        <f aca="false">IF(A253="","",AP252-$E$1)</f>
        <v/>
      </c>
      <c r="AR252" s="185" t="n">
        <f aca="false">'ANR OK vs ML7'!AR252</f>
        <v>0.1</v>
      </c>
      <c r="AS252" s="213" t="str">
        <f aca="false">IF(A253="","",1/(1+CHOOSE(F$3,(AR253+($I$3/10000))/2,(AR252+($I$3/10000))/2))^(2*AQ252/365.25))</f>
        <v/>
      </c>
      <c r="AT252" s="137" t="str">
        <f aca="false">IF(A253="","",IF(AND(mthbeg&lt;=A252,mthend&gt;=A252),1,0))</f>
        <v/>
      </c>
      <c r="AU252" s="137" t="str">
        <f aca="false">IF(A253="","",AO252*AT252)</f>
        <v/>
      </c>
      <c r="AW252" s="195" t="str">
        <f aca="false">IF($A253="","",AL252*$E252)</f>
        <v/>
      </c>
      <c r="AX252" s="195" t="str">
        <f aca="false">IF($A253="","",AM252*$E252)</f>
        <v/>
      </c>
      <c r="AY252" s="195" t="str">
        <f aca="false">IF($A253="","",AN252*$E252)</f>
        <v/>
      </c>
      <c r="BA252" s="195" t="str">
        <f aca="false">IF($A253="","",F252*Summary!$Q$13)</f>
        <v/>
      </c>
    </row>
    <row r="253" customFormat="false" ht="12" hidden="false" customHeight="true" outlineLevel="0" collapsed="false">
      <c r="A253" s="196" t="str">
        <f aca="false">IF(A252&lt;mthend,EDATE(A252,1),"")</f>
        <v/>
      </c>
      <c r="B253" s="197" t="str">
        <f aca="false">IF(A253&lt;mthend,B252,"")</f>
        <v/>
      </c>
      <c r="C253" s="215"/>
      <c r="D253" s="197" t="str">
        <f aca="false">IF(A254&lt;&gt;"",B253+C253,"")</f>
        <v/>
      </c>
      <c r="E253" s="199" t="str">
        <f aca="false">IF(A254="","",IF(AND(AT253=1,$H$3=1),D253*AO253,IF($H$3=2,D253,"N/A")))</f>
        <v/>
      </c>
      <c r="F253" s="199" t="str">
        <f aca="false">IF(A254="","",E253*AS253)</f>
        <v/>
      </c>
      <c r="G253" s="200" t="str">
        <f aca="false">IF($A254="","",VLOOKUP($A253,Table,MATCH(G$4,Curves,0)))</f>
        <v/>
      </c>
      <c r="H253" s="201" t="str">
        <f aca="false">IF(A254="","",G253)</f>
        <v/>
      </c>
      <c r="I253" s="202"/>
      <c r="J253" s="200" t="str">
        <f aca="false">IF($A254="","",VLOOKUP($A253,Table,MATCH(J$4,Curves,0)))</f>
        <v/>
      </c>
      <c r="K253" s="201" t="str">
        <f aca="false">IF(A254="","",J253)</f>
        <v/>
      </c>
      <c r="L253" s="185" t="n">
        <v>0</v>
      </c>
      <c r="M253" s="201" t="str">
        <f aca="false">IF(A254="","",L253)</f>
        <v/>
      </c>
      <c r="N253" s="203"/>
      <c r="O253" s="200" t="str">
        <f aca="false">IF(A254="","",L253+J253+G253)</f>
        <v/>
      </c>
      <c r="P253" s="200" t="str">
        <f aca="false">IF(A254="","",M253+K253+H253)</f>
        <v/>
      </c>
      <c r="Q253" s="204"/>
      <c r="R253" s="200" t="str">
        <f aca="false">IF($A254="","",VLOOKUP($A253,Table,MATCH(R$4,Curves,0)))</f>
        <v/>
      </c>
      <c r="S253" s="201" t="str">
        <f aca="false">IF(A254="","",R253)</f>
        <v/>
      </c>
      <c r="T253" s="185" t="n">
        <v>0</v>
      </c>
      <c r="U253" s="201" t="str">
        <f aca="false">IF(A254="","",T253)</f>
        <v/>
      </c>
      <c r="V253" s="205"/>
      <c r="W253" s="202" t="str">
        <f aca="false">IF($A254="","",(T253+R253+G253+V253))</f>
        <v/>
      </c>
      <c r="X253" s="202" t="str">
        <f aca="false">IF($A254="","",(U253+S253+H253+V253))</f>
        <v/>
      </c>
      <c r="Y253" s="202"/>
      <c r="Z253" s="185" t="str">
        <f aca="false">IF($A254="","",VLOOKUP($A253,Table,MATCH(Z$4,Curves,0)))</f>
        <v/>
      </c>
      <c r="AA253" s="185" t="str">
        <f aca="false">IF($A254="","",VLOOKUP($A253,Table,MATCH(AA$4,Curves,0)))</f>
        <v/>
      </c>
      <c r="AB253" s="185" t="e">
        <f aca="false">SQRT((AA253^2*(A253-$D$3)+Z253^2*(DAY(EOMONTH(A253,0))/2))/AK253)</f>
        <v>#VALUE!</v>
      </c>
      <c r="AC253" s="185" t="str">
        <f aca="false">IF($A254="","",VLOOKUP($A253,Table,MATCH(AC$4,Curves,0)))</f>
        <v/>
      </c>
      <c r="AD253" s="185" t="str">
        <f aca="false">IF($A254="","",VLOOKUP($A253,Table,MATCH(AD$4,Curves,0)))</f>
        <v/>
      </c>
      <c r="AE253" s="185" t="e">
        <f aca="false">SQRT((AD253^2*(A253-$D$3)+AC253^2*(DAY(EOMONTH(A253,0))/2))/AK253)</f>
        <v>#VALUE!</v>
      </c>
      <c r="AF253" s="224" t="e">
        <f aca="false">((Summary!$N$13*(AA253*AD253)*(A253-$D$3))+(Summary!$M$13*Z253*AC253*(AJ253-EOMONTH(EDATE(A253,-1),0))))/(AK253*AB253*AE253)</f>
        <v>#VALUE!</v>
      </c>
      <c r="AG253" s="207" t="str">
        <f aca="false">IF($A254="","",Summary!$Q$13)</f>
        <v/>
      </c>
      <c r="AH253" s="207" t="str">
        <f aca="false">IF($A254="","",IF(Summary!$R$12="Y",(VLOOKUP($A253,Summary!$AD$6:$AF$9,3)+'Escalating commodity'!I266),'Escalating commodity'!I266))</f>
        <v/>
      </c>
      <c r="AI253" s="207" t="str">
        <f aca="false">IF($A254="","",AH253)</f>
        <v/>
      </c>
      <c r="AJ253" s="208" t="e">
        <f aca="false">A253+DAY(EOMONTH(A253,0))/2-1</f>
        <v>#VALUE!</v>
      </c>
      <c r="AK253" s="209" t="str">
        <f aca="false">IF($A254="","",$A253-$E$1)</f>
        <v/>
      </c>
      <c r="AL253" s="182" t="str">
        <f aca="false">IF($A254="","",SPRDOPT(P253,X253,AI253,0,AB253,AE253,AF253,AK253,$AJ$2,0))</f>
        <v/>
      </c>
      <c r="AM253" s="210" t="str">
        <f aca="false">IF($A254="","",MAX(0,O253-W253-AI253))</f>
        <v/>
      </c>
      <c r="AN253" s="211" t="str">
        <f aca="false">IF($A254="","",AL253-AM253)</f>
        <v/>
      </c>
      <c r="AO253" s="137" t="str">
        <f aca="false">IF(A254="","",A254-A253)</f>
        <v/>
      </c>
      <c r="AP253" s="212" t="str">
        <f aca="false">IF(A254="","",CHOOSE(F$3,A254+24,A253))</f>
        <v/>
      </c>
      <c r="AQ253" s="209" t="str">
        <f aca="false">IF(A254="","",AP253-$E$1)</f>
        <v/>
      </c>
      <c r="AR253" s="185" t="n">
        <f aca="false">'ANR OK vs ML7'!AR253</f>
        <v>0.1</v>
      </c>
      <c r="AS253" s="213" t="str">
        <f aca="false">IF(A254="","",1/(1+CHOOSE(F$3,(AR254+($I$3/10000))/2,(AR253+($I$3/10000))/2))^(2*AQ253/365.25))</f>
        <v/>
      </c>
      <c r="AT253" s="137" t="str">
        <f aca="false">IF(A254="","",IF(AND(mthbeg&lt;=A253,mthend&gt;=A253),1,0))</f>
        <v/>
      </c>
      <c r="AU253" s="137" t="str">
        <f aca="false">IF(A254="","",AO253*AT253)</f>
        <v/>
      </c>
      <c r="AW253" s="195" t="str">
        <f aca="false">IF($A254="","",AL253*$E253)</f>
        <v/>
      </c>
      <c r="AX253" s="195" t="str">
        <f aca="false">IF($A254="","",AM253*$E253)</f>
        <v/>
      </c>
      <c r="AY253" s="195" t="str">
        <f aca="false">IF($A254="","",AN253*$E253)</f>
        <v/>
      </c>
      <c r="BA253" s="195" t="str">
        <f aca="false">IF($A254="","",F253*Summary!$Q$13)</f>
        <v/>
      </c>
    </row>
    <row r="254" customFormat="false" ht="12" hidden="false" customHeight="true" outlineLevel="0" collapsed="false">
      <c r="A254" s="196" t="str">
        <f aca="false">IF(A253&lt;mthend,EDATE(A253,1),"")</f>
        <v/>
      </c>
      <c r="B254" s="197" t="str">
        <f aca="false">IF(A254&lt;mthend,B253,"")</f>
        <v/>
      </c>
      <c r="C254" s="215"/>
      <c r="D254" s="197" t="str">
        <f aca="false">IF(A255&lt;&gt;"",B254+C254,"")</f>
        <v/>
      </c>
      <c r="E254" s="199" t="str">
        <f aca="false">IF(A255="","",IF(AND(AT254=1,$H$3=1),D254*AO254,IF($H$3=2,D254,"N/A")))</f>
        <v/>
      </c>
      <c r="F254" s="199" t="str">
        <f aca="false">IF(A255="","",E254*AS254)</f>
        <v/>
      </c>
      <c r="G254" s="200" t="str">
        <f aca="false">IF($A255="","",VLOOKUP($A254,Table,MATCH(G$4,Curves,0)))</f>
        <v/>
      </c>
      <c r="H254" s="201" t="str">
        <f aca="false">IF(A255="","",G254)</f>
        <v/>
      </c>
      <c r="I254" s="202"/>
      <c r="J254" s="200" t="str">
        <f aca="false">IF($A255="","",VLOOKUP($A254,Table,MATCH(J$4,Curves,0)))</f>
        <v/>
      </c>
      <c r="K254" s="201" t="str">
        <f aca="false">IF(A255="","",J254)</f>
        <v/>
      </c>
      <c r="L254" s="185" t="n">
        <v>0</v>
      </c>
      <c r="M254" s="201" t="str">
        <f aca="false">IF(A255="","",L254)</f>
        <v/>
      </c>
      <c r="N254" s="203"/>
      <c r="O254" s="200" t="str">
        <f aca="false">IF(A255="","",L254+J254+G254)</f>
        <v/>
      </c>
      <c r="P254" s="200" t="str">
        <f aca="false">IF(A255="","",M254+K254+H254)</f>
        <v/>
      </c>
      <c r="Q254" s="204"/>
      <c r="R254" s="200" t="str">
        <f aca="false">IF($A255="","",VLOOKUP($A254,Table,MATCH(R$4,Curves,0)))</f>
        <v/>
      </c>
      <c r="S254" s="201" t="str">
        <f aca="false">IF(A255="","",R254)</f>
        <v/>
      </c>
      <c r="T254" s="185" t="n">
        <v>0</v>
      </c>
      <c r="U254" s="201" t="str">
        <f aca="false">IF(A255="","",T254)</f>
        <v/>
      </c>
      <c r="V254" s="205"/>
      <c r="W254" s="202" t="str">
        <f aca="false">IF($A255="","",(T254+R254+G254+V254))</f>
        <v/>
      </c>
      <c r="X254" s="202" t="str">
        <f aca="false">IF($A255="","",(U254+S254+H254+V254))</f>
        <v/>
      </c>
      <c r="Y254" s="202"/>
      <c r="Z254" s="185" t="str">
        <f aca="false">IF($A255="","",VLOOKUP($A254,Table,MATCH(Z$4,Curves,0)))</f>
        <v/>
      </c>
      <c r="AA254" s="185" t="str">
        <f aca="false">IF($A255="","",VLOOKUP($A254,Table,MATCH(AA$4,Curves,0)))</f>
        <v/>
      </c>
      <c r="AB254" s="185" t="e">
        <f aca="false">SQRT((AA254^2*(A254-$D$3)+Z254^2*(DAY(EOMONTH(A254,0))/2))/AK254)</f>
        <v>#VALUE!</v>
      </c>
      <c r="AC254" s="185" t="str">
        <f aca="false">IF($A255="","",VLOOKUP($A254,Table,MATCH(AC$4,Curves,0)))</f>
        <v/>
      </c>
      <c r="AD254" s="185" t="str">
        <f aca="false">IF($A255="","",VLOOKUP($A254,Table,MATCH(AD$4,Curves,0)))</f>
        <v/>
      </c>
      <c r="AE254" s="185" t="e">
        <f aca="false">SQRT((AD254^2*(A254-$D$3)+AC254^2*(DAY(EOMONTH(A254,0))/2))/AK254)</f>
        <v>#VALUE!</v>
      </c>
      <c r="AF254" s="224" t="e">
        <f aca="false">((Summary!$N$13*(AA254*AD254)*(A254-$D$3))+(Summary!$M$13*Z254*AC254*(AJ254-EOMONTH(EDATE(A254,-1),0))))/(AK254*AB254*AE254)</f>
        <v>#VALUE!</v>
      </c>
      <c r="AG254" s="207" t="str">
        <f aca="false">IF($A255="","",Summary!$Q$13)</f>
        <v/>
      </c>
      <c r="AH254" s="207" t="str">
        <f aca="false">IF($A255="","",IF(Summary!$R$12="Y",(VLOOKUP($A254,Summary!$AD$6:$AF$9,3)+'Escalating commodity'!I267),'Escalating commodity'!I267))</f>
        <v/>
      </c>
      <c r="AI254" s="207" t="str">
        <f aca="false">IF($A255="","",AH254)</f>
        <v/>
      </c>
      <c r="AJ254" s="208" t="e">
        <f aca="false">A254+DAY(EOMONTH(A254,0))/2-1</f>
        <v>#VALUE!</v>
      </c>
      <c r="AK254" s="209" t="str">
        <f aca="false">IF($A255="","",$A254-$E$1)</f>
        <v/>
      </c>
      <c r="AL254" s="182" t="str">
        <f aca="false">IF($A255="","",SPRDOPT(P254,X254,AI254,0,AB254,AE254,AF254,AK254,$AJ$2,0))</f>
        <v/>
      </c>
      <c r="AM254" s="210" t="str">
        <f aca="false">IF($A255="","",MAX(0,O254-W254-AI254))</f>
        <v/>
      </c>
      <c r="AN254" s="211" t="str">
        <f aca="false">IF($A255="","",AL254-AM254)</f>
        <v/>
      </c>
      <c r="AO254" s="137" t="str">
        <f aca="false">IF(A255="","",A255-A254)</f>
        <v/>
      </c>
      <c r="AP254" s="212" t="str">
        <f aca="false">IF(A255="","",CHOOSE(F$3,A255+24,A254))</f>
        <v/>
      </c>
      <c r="AQ254" s="209" t="str">
        <f aca="false">IF(A255="","",AP254-$E$1)</f>
        <v/>
      </c>
      <c r="AR254" s="185" t="n">
        <f aca="false">'ANR OK vs ML7'!AR254</f>
        <v>0.1</v>
      </c>
      <c r="AS254" s="213" t="str">
        <f aca="false">IF(A255="","",1/(1+CHOOSE(F$3,(AR255+($I$3/10000))/2,(AR254+($I$3/10000))/2))^(2*AQ254/365.25))</f>
        <v/>
      </c>
      <c r="AT254" s="137" t="str">
        <f aca="false">IF(A255="","",IF(AND(mthbeg&lt;=A254,mthend&gt;=A254),1,0))</f>
        <v/>
      </c>
      <c r="AU254" s="137" t="str">
        <f aca="false">IF(A255="","",AO254*AT254)</f>
        <v/>
      </c>
      <c r="AW254" s="195" t="str">
        <f aca="false">IF($A255="","",AL254*$E254)</f>
        <v/>
      </c>
      <c r="AX254" s="195" t="str">
        <f aca="false">IF($A255="","",AM254*$E254)</f>
        <v/>
      </c>
      <c r="AY254" s="195" t="str">
        <f aca="false">IF($A255="","",AN254*$E254)</f>
        <v/>
      </c>
      <c r="BA254" s="195" t="str">
        <f aca="false">IF($A255="","",F254*Summary!$Q$13)</f>
        <v/>
      </c>
    </row>
    <row r="255" customFormat="false" ht="12" hidden="false" customHeight="true" outlineLevel="0" collapsed="false">
      <c r="A255" s="196" t="str">
        <f aca="false">IF(A254&lt;mthend,EDATE(A254,1),"")</f>
        <v/>
      </c>
      <c r="B255" s="197" t="str">
        <f aca="false">IF(A255&lt;mthend,B254,"")</f>
        <v/>
      </c>
      <c r="C255" s="215"/>
      <c r="D255" s="197" t="str">
        <f aca="false">IF(A256&lt;&gt;"",B255+C255,"")</f>
        <v/>
      </c>
      <c r="E255" s="199" t="str">
        <f aca="false">IF(A256="","",IF(AND(AT255=1,$H$3=1),D255*AO255,IF($H$3=2,D255,"N/A")))</f>
        <v/>
      </c>
      <c r="F255" s="199" t="str">
        <f aca="false">IF(A256="","",E255*AS255)</f>
        <v/>
      </c>
      <c r="G255" s="200" t="str">
        <f aca="false">IF($A256="","",VLOOKUP($A255,Table,MATCH(G$4,Curves,0)))</f>
        <v/>
      </c>
      <c r="H255" s="201" t="str">
        <f aca="false">IF(A256="","",G255)</f>
        <v/>
      </c>
      <c r="I255" s="202"/>
      <c r="J255" s="200" t="str">
        <f aca="false">IF($A256="","",VLOOKUP($A255,Table,MATCH(J$4,Curves,0)))</f>
        <v/>
      </c>
      <c r="K255" s="201" t="str">
        <f aca="false">IF(A256="","",J255)</f>
        <v/>
      </c>
      <c r="L255" s="185" t="n">
        <v>0</v>
      </c>
      <c r="M255" s="201" t="str">
        <f aca="false">IF(A256="","",L255)</f>
        <v/>
      </c>
      <c r="N255" s="203"/>
      <c r="O255" s="200" t="str">
        <f aca="false">IF(A256="","",L255+J255+G255)</f>
        <v/>
      </c>
      <c r="P255" s="200" t="str">
        <f aca="false">IF(A256="","",M255+K255+H255)</f>
        <v/>
      </c>
      <c r="Q255" s="204"/>
      <c r="R255" s="200" t="str">
        <f aca="false">IF($A256="","",VLOOKUP($A255,Table,MATCH(R$4,Curves,0)))</f>
        <v/>
      </c>
      <c r="S255" s="201" t="str">
        <f aca="false">IF(A256="","",R255)</f>
        <v/>
      </c>
      <c r="T255" s="185" t="n">
        <v>0</v>
      </c>
      <c r="U255" s="201" t="str">
        <f aca="false">IF(A256="","",T255)</f>
        <v/>
      </c>
      <c r="V255" s="205"/>
      <c r="W255" s="202" t="str">
        <f aca="false">IF($A256="","",(T255+R255+G255+V255))</f>
        <v/>
      </c>
      <c r="X255" s="202" t="str">
        <f aca="false">IF($A256="","",(U255+S255+H255+V255))</f>
        <v/>
      </c>
      <c r="Y255" s="202"/>
      <c r="Z255" s="185" t="str">
        <f aca="false">IF($A256="","",VLOOKUP($A255,Table,MATCH(Z$4,Curves,0)))</f>
        <v/>
      </c>
      <c r="AA255" s="185" t="str">
        <f aca="false">IF($A256="","",VLOOKUP($A255,Table,MATCH(AA$4,Curves,0)))</f>
        <v/>
      </c>
      <c r="AB255" s="185" t="e">
        <f aca="false">SQRT((AA255^2*(A255-$D$3)+Z255^2*(DAY(EOMONTH(A255,0))/2))/AK255)</f>
        <v>#VALUE!</v>
      </c>
      <c r="AC255" s="185" t="str">
        <f aca="false">IF($A256="","",VLOOKUP($A255,Table,MATCH(AC$4,Curves,0)))</f>
        <v/>
      </c>
      <c r="AD255" s="185" t="str">
        <f aca="false">IF($A256="","",VLOOKUP($A255,Table,MATCH(AD$4,Curves,0)))</f>
        <v/>
      </c>
      <c r="AE255" s="185" t="e">
        <f aca="false">SQRT((AD255^2*(A255-$D$3)+AC255^2*(DAY(EOMONTH(A255,0))/2))/AK255)</f>
        <v>#VALUE!</v>
      </c>
      <c r="AF255" s="224" t="e">
        <f aca="false">((Summary!$N$13*(AA255*AD255)*(A255-$D$3))+(Summary!$M$13*Z255*AC255*(AJ255-EOMONTH(EDATE(A255,-1),0))))/(AK255*AB255*AE255)</f>
        <v>#VALUE!</v>
      </c>
      <c r="AG255" s="207" t="str">
        <f aca="false">IF($A256="","",Summary!$Q$13)</f>
        <v/>
      </c>
      <c r="AH255" s="207" t="str">
        <f aca="false">IF($A256="","",IF(Summary!$R$12="Y",(VLOOKUP($A255,Summary!$AD$6:$AF$9,3)+'Escalating commodity'!I268),'Escalating commodity'!I268))</f>
        <v/>
      </c>
      <c r="AI255" s="207" t="str">
        <f aca="false">IF($A256="","",AH255)</f>
        <v/>
      </c>
      <c r="AJ255" s="208" t="e">
        <f aca="false">A255+DAY(EOMONTH(A255,0))/2-1</f>
        <v>#VALUE!</v>
      </c>
      <c r="AK255" s="209" t="str">
        <f aca="false">IF($A256="","",$A255-$E$1)</f>
        <v/>
      </c>
      <c r="AL255" s="182" t="str">
        <f aca="false">IF($A256="","",SPRDOPT(P255,X255,AI255,0,AB255,AE255,AF255,AK255,$AJ$2,0))</f>
        <v/>
      </c>
      <c r="AM255" s="210" t="str">
        <f aca="false">IF($A256="","",MAX(0,O255-W255-AI255))</f>
        <v/>
      </c>
      <c r="AN255" s="211" t="str">
        <f aca="false">IF($A256="","",AL255-AM255)</f>
        <v/>
      </c>
      <c r="AO255" s="137" t="str">
        <f aca="false">IF(A256="","",A256-A255)</f>
        <v/>
      </c>
      <c r="AP255" s="212" t="str">
        <f aca="false">IF(A256="","",CHOOSE(F$3,A256+24,A255))</f>
        <v/>
      </c>
      <c r="AQ255" s="209" t="str">
        <f aca="false">IF(A256="","",AP255-$E$1)</f>
        <v/>
      </c>
      <c r="AR255" s="185" t="n">
        <f aca="false">'ANR OK vs ML7'!AR255</f>
        <v>0.1</v>
      </c>
      <c r="AS255" s="213" t="str">
        <f aca="false">IF(A256="","",1/(1+CHOOSE(F$3,(AR256+($I$3/10000))/2,(AR255+($I$3/10000))/2))^(2*AQ255/365.25))</f>
        <v/>
      </c>
      <c r="AT255" s="137" t="str">
        <f aca="false">IF(A256="","",IF(AND(mthbeg&lt;=A255,mthend&gt;=A255),1,0))</f>
        <v/>
      </c>
      <c r="AU255" s="137" t="str">
        <f aca="false">IF(A256="","",AO255*AT255)</f>
        <v/>
      </c>
      <c r="AW255" s="195" t="str">
        <f aca="false">IF($A256="","",AL255*$E255)</f>
        <v/>
      </c>
      <c r="AX255" s="195" t="str">
        <f aca="false">IF($A256="","",AM255*$E255)</f>
        <v/>
      </c>
      <c r="AY255" s="195" t="str">
        <f aca="false">IF($A256="","",AN255*$E255)</f>
        <v/>
      </c>
      <c r="BA255" s="195" t="str">
        <f aca="false">IF($A256="","",F255*Summary!$Q$13)</f>
        <v/>
      </c>
    </row>
    <row r="256" customFormat="false" ht="12" hidden="false" customHeight="true" outlineLevel="0" collapsed="false">
      <c r="A256" s="196" t="str">
        <f aca="false">IF(A255&lt;mthend,EDATE(A255,1),"")</f>
        <v/>
      </c>
      <c r="B256" s="197" t="str">
        <f aca="false">IF(A256&lt;mthend,B255,"")</f>
        <v/>
      </c>
      <c r="C256" s="215"/>
      <c r="D256" s="197" t="str">
        <f aca="false">IF(A257&lt;&gt;"",B256+C256,"")</f>
        <v/>
      </c>
      <c r="E256" s="199" t="str">
        <f aca="false">IF(A257="","",IF(AND(AT256=1,$H$3=1),D256*AO256,IF($H$3=2,D256,"N/A")))</f>
        <v/>
      </c>
      <c r="F256" s="199" t="str">
        <f aca="false">IF(A257="","",E256*AS256)</f>
        <v/>
      </c>
      <c r="G256" s="200" t="str">
        <f aca="false">IF($A257="","",VLOOKUP($A256,Table,MATCH(G$4,Curves,0)))</f>
        <v/>
      </c>
      <c r="H256" s="201" t="str">
        <f aca="false">IF(A257="","",G256)</f>
        <v/>
      </c>
      <c r="I256" s="202"/>
      <c r="J256" s="200" t="str">
        <f aca="false">IF($A257="","",VLOOKUP($A256,Table,MATCH(J$4,Curves,0)))</f>
        <v/>
      </c>
      <c r="K256" s="201" t="str">
        <f aca="false">IF(A257="","",J256)</f>
        <v/>
      </c>
      <c r="L256" s="185" t="n">
        <v>0</v>
      </c>
      <c r="M256" s="201" t="str">
        <f aca="false">IF(A257="","",L256)</f>
        <v/>
      </c>
      <c r="N256" s="203"/>
      <c r="O256" s="200" t="str">
        <f aca="false">IF(A257="","",L256+J256+G256)</f>
        <v/>
      </c>
      <c r="P256" s="200" t="str">
        <f aca="false">IF(A257="","",M256+K256+H256)</f>
        <v/>
      </c>
      <c r="Q256" s="204"/>
      <c r="R256" s="200" t="str">
        <f aca="false">IF($A257="","",VLOOKUP($A256,Table,MATCH(R$4,Curves,0)))</f>
        <v/>
      </c>
      <c r="S256" s="201" t="str">
        <f aca="false">IF(A257="","",R256)</f>
        <v/>
      </c>
      <c r="T256" s="185" t="n">
        <v>0</v>
      </c>
      <c r="U256" s="201" t="str">
        <f aca="false">IF(A257="","",T256)</f>
        <v/>
      </c>
      <c r="V256" s="205"/>
      <c r="W256" s="202" t="str">
        <f aca="false">IF($A257="","",(T256+R256+G256+V256))</f>
        <v/>
      </c>
      <c r="X256" s="202" t="str">
        <f aca="false">IF($A257="","",(U256+S256+H256+V256))</f>
        <v/>
      </c>
      <c r="Y256" s="202"/>
      <c r="Z256" s="185" t="str">
        <f aca="false">IF($A257="","",VLOOKUP($A256,Table,MATCH(Z$4,Curves,0)))</f>
        <v/>
      </c>
      <c r="AA256" s="185" t="str">
        <f aca="false">IF($A257="","",VLOOKUP($A256,Table,MATCH(AA$4,Curves,0)))</f>
        <v/>
      </c>
      <c r="AB256" s="185" t="e">
        <f aca="false">SQRT((AA256^2*(A256-$D$3)+Z256^2*(DAY(EOMONTH(A256,0))/2))/AK256)</f>
        <v>#VALUE!</v>
      </c>
      <c r="AC256" s="185" t="str">
        <f aca="false">IF($A257="","",VLOOKUP($A256,Table,MATCH(AC$4,Curves,0)))</f>
        <v/>
      </c>
      <c r="AD256" s="185" t="str">
        <f aca="false">IF($A257="","",VLOOKUP($A256,Table,MATCH(AD$4,Curves,0)))</f>
        <v/>
      </c>
      <c r="AE256" s="185" t="e">
        <f aca="false">SQRT((AD256^2*(A256-$D$3)+AC256^2*(DAY(EOMONTH(A256,0))/2))/AK256)</f>
        <v>#VALUE!</v>
      </c>
      <c r="AF256" s="224" t="e">
        <f aca="false">((Summary!$N$13*(AA256*AD256)*(A256-$D$3))+(Summary!$M$13*Z256*AC256*(AJ256-EOMONTH(EDATE(A256,-1),0))))/(AK256*AB256*AE256)</f>
        <v>#VALUE!</v>
      </c>
      <c r="AG256" s="207" t="str">
        <f aca="false">IF($A257="","",Summary!$Q$13)</f>
        <v/>
      </c>
      <c r="AH256" s="207" t="str">
        <f aca="false">IF($A257="","",IF(Summary!$R$12="Y",(VLOOKUP($A256,Summary!$AD$6:$AF$9,3)+'Escalating commodity'!I269),'Escalating commodity'!I269))</f>
        <v/>
      </c>
      <c r="AI256" s="207" t="str">
        <f aca="false">IF($A257="","",AH256)</f>
        <v/>
      </c>
      <c r="AJ256" s="208" t="e">
        <f aca="false">A256+DAY(EOMONTH(A256,0))/2-1</f>
        <v>#VALUE!</v>
      </c>
      <c r="AK256" s="209" t="str">
        <f aca="false">IF($A257="","",$A256-$E$1)</f>
        <v/>
      </c>
      <c r="AL256" s="182" t="str">
        <f aca="false">IF($A257="","",SPRDOPT(P256,X256,AI256,0,AB256,AE256,AF256,AK256,$AJ$2,0))</f>
        <v/>
      </c>
      <c r="AM256" s="210" t="str">
        <f aca="false">IF($A257="","",MAX(0,O256-W256-AI256))</f>
        <v/>
      </c>
      <c r="AN256" s="211" t="str">
        <f aca="false">IF($A257="","",AL256-AM256)</f>
        <v/>
      </c>
      <c r="AO256" s="137" t="str">
        <f aca="false">IF(A257="","",A257-A256)</f>
        <v/>
      </c>
      <c r="AP256" s="212" t="str">
        <f aca="false">IF(A257="","",CHOOSE(F$3,A257+24,A256))</f>
        <v/>
      </c>
      <c r="AQ256" s="209" t="str">
        <f aca="false">IF(A257="","",AP256-$E$1)</f>
        <v/>
      </c>
      <c r="AR256" s="185" t="n">
        <f aca="false">'ANR OK vs ML7'!AR256</f>
        <v>0.1</v>
      </c>
      <c r="AS256" s="213" t="str">
        <f aca="false">IF(A257="","",1/(1+CHOOSE(F$3,(AR257+($I$3/10000))/2,(AR256+($I$3/10000))/2))^(2*AQ256/365.25))</f>
        <v/>
      </c>
      <c r="AT256" s="137" t="str">
        <f aca="false">IF(A257="","",IF(AND(mthbeg&lt;=A256,mthend&gt;=A256),1,0))</f>
        <v/>
      </c>
      <c r="AU256" s="137" t="str">
        <f aca="false">IF(A257="","",AO256*AT256)</f>
        <v/>
      </c>
      <c r="AW256" s="195" t="str">
        <f aca="false">IF($A257="","",AL256*$E256)</f>
        <v/>
      </c>
      <c r="AX256" s="195" t="str">
        <f aca="false">IF($A257="","",AM256*$E256)</f>
        <v/>
      </c>
      <c r="AY256" s="195" t="str">
        <f aca="false">IF($A257="","",AN256*$E256)</f>
        <v/>
      </c>
      <c r="BA256" s="195" t="str">
        <f aca="false">IF($A257="","",F256*Summary!$Q$13)</f>
        <v/>
      </c>
    </row>
    <row r="257" customFormat="false" ht="12" hidden="false" customHeight="true" outlineLevel="0" collapsed="false">
      <c r="A257" s="196" t="str">
        <f aca="false">IF(A256&lt;mthend,EDATE(A256,1),"")</f>
        <v/>
      </c>
      <c r="B257" s="197" t="str">
        <f aca="false">IF(A257&lt;mthend,B256,"")</f>
        <v/>
      </c>
      <c r="C257" s="215"/>
      <c r="D257" s="197" t="str">
        <f aca="false">IF(A258&lt;&gt;"",B257+C257,"")</f>
        <v/>
      </c>
      <c r="E257" s="199" t="str">
        <f aca="false">IF(A258="","",IF(AND(AT257=1,$H$3=1),D257*AO257,IF($H$3=2,D257,"N/A")))</f>
        <v/>
      </c>
      <c r="F257" s="199" t="str">
        <f aca="false">IF(A258="","",E257*AS257)</f>
        <v/>
      </c>
      <c r="G257" s="200" t="str">
        <f aca="false">IF($A258="","",VLOOKUP($A257,Table,MATCH(G$4,Curves,0)))</f>
        <v/>
      </c>
      <c r="H257" s="201" t="str">
        <f aca="false">IF(A258="","",G257)</f>
        <v/>
      </c>
      <c r="I257" s="202"/>
      <c r="J257" s="200" t="str">
        <f aca="false">IF($A258="","",VLOOKUP($A257,Table,MATCH(J$4,Curves,0)))</f>
        <v/>
      </c>
      <c r="K257" s="201" t="str">
        <f aca="false">IF(A258="","",J257)</f>
        <v/>
      </c>
      <c r="L257" s="185" t="n">
        <v>0</v>
      </c>
      <c r="M257" s="201" t="str">
        <f aca="false">IF(A258="","",L257)</f>
        <v/>
      </c>
      <c r="N257" s="203"/>
      <c r="O257" s="200" t="str">
        <f aca="false">IF(A258="","",L257+J257+G257)</f>
        <v/>
      </c>
      <c r="P257" s="200" t="str">
        <f aca="false">IF(A258="","",M257+K257+H257)</f>
        <v/>
      </c>
      <c r="Q257" s="204"/>
      <c r="R257" s="200" t="str">
        <f aca="false">IF($A258="","",VLOOKUP($A257,Table,MATCH(R$4,Curves,0)))</f>
        <v/>
      </c>
      <c r="S257" s="201" t="str">
        <f aca="false">IF(A258="","",R257)</f>
        <v/>
      </c>
      <c r="T257" s="185" t="n">
        <v>0</v>
      </c>
      <c r="U257" s="201" t="str">
        <f aca="false">IF(A258="","",T257)</f>
        <v/>
      </c>
      <c r="V257" s="205"/>
      <c r="W257" s="202" t="str">
        <f aca="false">IF($A258="","",(T257+R257+G257+V257))</f>
        <v/>
      </c>
      <c r="X257" s="202" t="str">
        <f aca="false">IF($A258="","",(U257+S257+H257+V257))</f>
        <v/>
      </c>
      <c r="Y257" s="202"/>
      <c r="Z257" s="185" t="str">
        <f aca="false">IF($A258="","",VLOOKUP($A257,Table,MATCH(Z$4,Curves,0)))</f>
        <v/>
      </c>
      <c r="AA257" s="185" t="str">
        <f aca="false">IF($A258="","",VLOOKUP($A257,Table,MATCH(AA$4,Curves,0)))</f>
        <v/>
      </c>
      <c r="AB257" s="185" t="e">
        <f aca="false">SQRT((AA257^2*(A257-$D$3)+Z257^2*(DAY(EOMONTH(A257,0))/2))/AK257)</f>
        <v>#VALUE!</v>
      </c>
      <c r="AC257" s="185" t="str">
        <f aca="false">IF($A258="","",VLOOKUP($A257,Table,MATCH(AC$4,Curves,0)))</f>
        <v/>
      </c>
      <c r="AD257" s="185" t="str">
        <f aca="false">IF($A258="","",VLOOKUP($A257,Table,MATCH(AD$4,Curves,0)))</f>
        <v/>
      </c>
      <c r="AE257" s="185" t="e">
        <f aca="false">SQRT((AD257^2*(A257-$D$3)+AC257^2*(DAY(EOMONTH(A257,0))/2))/AK257)</f>
        <v>#VALUE!</v>
      </c>
      <c r="AF257" s="224" t="e">
        <f aca="false">((Summary!$N$13*(AA257*AD257)*(A257-$D$3))+(Summary!$M$13*Z257*AC257*(AJ257-EOMONTH(EDATE(A257,-1),0))))/(AK257*AB257*AE257)</f>
        <v>#VALUE!</v>
      </c>
      <c r="AG257" s="207" t="str">
        <f aca="false">IF($A258="","",Summary!$Q$13)</f>
        <v/>
      </c>
      <c r="AH257" s="207" t="str">
        <f aca="false">IF($A258="","",IF(Summary!$R$12="Y",(VLOOKUP($A257,Summary!$AD$6:$AF$9,3)+'Escalating commodity'!I270),'Escalating commodity'!I270))</f>
        <v/>
      </c>
      <c r="AI257" s="207" t="str">
        <f aca="false">IF($A258="","",AH257)</f>
        <v/>
      </c>
      <c r="AJ257" s="208" t="e">
        <f aca="false">A257+DAY(EOMONTH(A257,0))/2-1</f>
        <v>#VALUE!</v>
      </c>
      <c r="AK257" s="209" t="str">
        <f aca="false">IF($A258="","",$A257-$E$1)</f>
        <v/>
      </c>
      <c r="AL257" s="182" t="str">
        <f aca="false">IF($A258="","",SPRDOPT(P257,X257,AI257,0,AB257,AE257,AF257,AK257,$AJ$2,0))</f>
        <v/>
      </c>
      <c r="AM257" s="210" t="str">
        <f aca="false">IF($A258="","",MAX(0,O257-W257-AI257))</f>
        <v/>
      </c>
      <c r="AN257" s="211" t="str">
        <f aca="false">IF($A258="","",AL257-AM257)</f>
        <v/>
      </c>
      <c r="AO257" s="137" t="str">
        <f aca="false">IF(A258="","",A258-A257)</f>
        <v/>
      </c>
      <c r="AP257" s="212" t="str">
        <f aca="false">IF(A258="","",CHOOSE(F$3,A258+24,A257))</f>
        <v/>
      </c>
      <c r="AQ257" s="209" t="str">
        <f aca="false">IF(A258="","",AP257-$E$1)</f>
        <v/>
      </c>
      <c r="AR257" s="185" t="n">
        <f aca="false">'ANR OK vs ML7'!AR257</f>
        <v>0.1</v>
      </c>
      <c r="AS257" s="213" t="str">
        <f aca="false">IF(A258="","",1/(1+CHOOSE(F$3,(AR258+($I$3/10000))/2,(AR257+($I$3/10000))/2))^(2*AQ257/365.25))</f>
        <v/>
      </c>
      <c r="AT257" s="137" t="str">
        <f aca="false">IF(A258="","",IF(AND(mthbeg&lt;=A257,mthend&gt;=A257),1,0))</f>
        <v/>
      </c>
      <c r="AU257" s="137" t="str">
        <f aca="false">IF(A258="","",AO257*AT257)</f>
        <v/>
      </c>
      <c r="AW257" s="195" t="str">
        <f aca="false">IF($A258="","",AL257*$E257)</f>
        <v/>
      </c>
      <c r="AX257" s="195" t="str">
        <f aca="false">IF($A258="","",AM257*$E257)</f>
        <v/>
      </c>
      <c r="AY257" s="195" t="str">
        <f aca="false">IF($A258="","",AN257*$E257)</f>
        <v/>
      </c>
      <c r="BA257" s="195" t="str">
        <f aca="false">IF($A258="","",F257*Summary!$Q$13)</f>
        <v/>
      </c>
    </row>
    <row r="258" customFormat="false" ht="12" hidden="false" customHeight="true" outlineLevel="0" collapsed="false">
      <c r="A258" s="196" t="str">
        <f aca="false">IF(A257&lt;mthend,EDATE(A257,1),"")</f>
        <v/>
      </c>
      <c r="B258" s="197" t="str">
        <f aca="false">IF(A258&lt;mthend,B257,"")</f>
        <v/>
      </c>
      <c r="C258" s="215"/>
      <c r="D258" s="197" t="str">
        <f aca="false">IF(A259&lt;&gt;"",B258+C258,"")</f>
        <v/>
      </c>
      <c r="E258" s="199" t="str">
        <f aca="false">IF(A259="","",IF(AND(AT258=1,$H$3=1),D258*AO258,IF($H$3=2,D258,"N/A")))</f>
        <v/>
      </c>
      <c r="F258" s="199" t="str">
        <f aca="false">IF(A259="","",E258*AS258)</f>
        <v/>
      </c>
      <c r="G258" s="200" t="str">
        <f aca="false">IF($A259="","",VLOOKUP($A258,Table,MATCH(G$4,Curves,0)))</f>
        <v/>
      </c>
      <c r="H258" s="201" t="str">
        <f aca="false">IF(A259="","",G258)</f>
        <v/>
      </c>
      <c r="I258" s="202"/>
      <c r="J258" s="200" t="str">
        <f aca="false">IF($A259="","",VLOOKUP($A258,Table,MATCH(J$4,Curves,0)))</f>
        <v/>
      </c>
      <c r="K258" s="201" t="str">
        <f aca="false">IF(A259="","",J258)</f>
        <v/>
      </c>
      <c r="L258" s="185" t="n">
        <v>0</v>
      </c>
      <c r="M258" s="201" t="str">
        <f aca="false">IF(A259="","",L258)</f>
        <v/>
      </c>
      <c r="N258" s="203"/>
      <c r="O258" s="200" t="str">
        <f aca="false">IF(A259="","",L258+J258+G258)</f>
        <v/>
      </c>
      <c r="P258" s="200" t="str">
        <f aca="false">IF(A259="","",M258+K258+H258)</f>
        <v/>
      </c>
      <c r="Q258" s="204"/>
      <c r="R258" s="200" t="str">
        <f aca="false">IF($A259="","",VLOOKUP($A258,Table,MATCH(R$4,Curves,0)))</f>
        <v/>
      </c>
      <c r="S258" s="201" t="str">
        <f aca="false">IF(A259="","",R258)</f>
        <v/>
      </c>
      <c r="T258" s="185" t="n">
        <v>0</v>
      </c>
      <c r="U258" s="201" t="str">
        <f aca="false">IF(A259="","",T258)</f>
        <v/>
      </c>
      <c r="V258" s="205"/>
      <c r="W258" s="202" t="str">
        <f aca="false">IF($A259="","",(T258+R258+G258+V258))</f>
        <v/>
      </c>
      <c r="X258" s="202" t="str">
        <f aca="false">IF($A259="","",(U258+S258+H258+V258))</f>
        <v/>
      </c>
      <c r="Y258" s="202"/>
      <c r="Z258" s="185" t="str">
        <f aca="false">IF($A259="","",VLOOKUP($A258,Table,MATCH(Z$4,Curves,0)))</f>
        <v/>
      </c>
      <c r="AA258" s="185" t="str">
        <f aca="false">IF($A259="","",VLOOKUP($A258,Table,MATCH(AA$4,Curves,0)))</f>
        <v/>
      </c>
      <c r="AB258" s="185" t="e">
        <f aca="false">SQRT((AA258^2*(A258-$D$3)+Z258^2*(DAY(EOMONTH(A258,0))/2))/AK258)</f>
        <v>#VALUE!</v>
      </c>
      <c r="AC258" s="185" t="str">
        <f aca="false">IF($A259="","",VLOOKUP($A258,Table,MATCH(AC$4,Curves,0)))</f>
        <v/>
      </c>
      <c r="AD258" s="185" t="str">
        <f aca="false">IF($A259="","",VLOOKUP($A258,Table,MATCH(AD$4,Curves,0)))</f>
        <v/>
      </c>
      <c r="AE258" s="185" t="e">
        <f aca="false">SQRT((AD258^2*(A258-$D$3)+AC258^2*(DAY(EOMONTH(A258,0))/2))/AK258)</f>
        <v>#VALUE!</v>
      </c>
      <c r="AF258" s="224" t="e">
        <f aca="false">((Summary!$N$13*(AA258*AD258)*(A258-$D$3))+(Summary!$M$13*Z258*AC258*(AJ258-EOMONTH(EDATE(A258,-1),0))))/(AK258*AB258*AE258)</f>
        <v>#VALUE!</v>
      </c>
      <c r="AG258" s="207" t="str">
        <f aca="false">IF($A259="","",Summary!$Q$13)</f>
        <v/>
      </c>
      <c r="AH258" s="207" t="str">
        <f aca="false">IF($A259="","",IF(Summary!$R$12="Y",(VLOOKUP($A258,Summary!$AD$6:$AF$9,3)+'Escalating commodity'!I271),'Escalating commodity'!I271))</f>
        <v/>
      </c>
      <c r="AI258" s="207" t="str">
        <f aca="false">IF($A259="","",AH258)</f>
        <v/>
      </c>
      <c r="AJ258" s="208" t="e">
        <f aca="false">A258+DAY(EOMONTH(A258,0))/2-1</f>
        <v>#VALUE!</v>
      </c>
      <c r="AK258" s="209" t="str">
        <f aca="false">IF($A259="","",$A258-$E$1)</f>
        <v/>
      </c>
      <c r="AL258" s="182" t="str">
        <f aca="false">IF($A259="","",SPRDOPT(P258,X258,AI258,0,AB258,AE258,AF258,AK258,$AJ$2,0))</f>
        <v/>
      </c>
      <c r="AM258" s="210" t="str">
        <f aca="false">IF($A259="","",MAX(0,O258-W258-AI258))</f>
        <v/>
      </c>
      <c r="AN258" s="211" t="str">
        <f aca="false">IF($A259="","",AL258-AM258)</f>
        <v/>
      </c>
      <c r="AO258" s="137" t="str">
        <f aca="false">IF(A259="","",A259-A258)</f>
        <v/>
      </c>
      <c r="AP258" s="212" t="str">
        <f aca="false">IF(A259="","",CHOOSE(F$3,A259+24,A258))</f>
        <v/>
      </c>
      <c r="AQ258" s="209" t="str">
        <f aca="false">IF(A259="","",AP258-$E$1)</f>
        <v/>
      </c>
      <c r="AR258" s="185" t="n">
        <f aca="false">'ANR OK vs ML7'!AR258</f>
        <v>0.1</v>
      </c>
      <c r="AS258" s="213" t="str">
        <f aca="false">IF(A259="","",1/(1+CHOOSE(F$3,(AR259+($I$3/10000))/2,(AR258+($I$3/10000))/2))^(2*AQ258/365.25))</f>
        <v/>
      </c>
      <c r="AT258" s="137" t="str">
        <f aca="false">IF(A259="","",IF(AND(mthbeg&lt;=A258,mthend&gt;=A258),1,0))</f>
        <v/>
      </c>
      <c r="AU258" s="137" t="str">
        <f aca="false">IF(A259="","",AO258*AT258)</f>
        <v/>
      </c>
      <c r="AW258" s="195" t="str">
        <f aca="false">IF($A259="","",AL258*$E258)</f>
        <v/>
      </c>
      <c r="AX258" s="195" t="str">
        <f aca="false">IF($A259="","",AM258*$E258)</f>
        <v/>
      </c>
      <c r="AY258" s="195" t="str">
        <f aca="false">IF($A259="","",AN258*$E258)</f>
        <v/>
      </c>
      <c r="BA258" s="195" t="str">
        <f aca="false">IF($A259="","",F258*Summary!$Q$13)</f>
        <v/>
      </c>
    </row>
    <row r="259" customFormat="false" ht="12" hidden="false" customHeight="true" outlineLevel="0" collapsed="false">
      <c r="A259" s="196" t="str">
        <f aca="false">IF(A258&lt;mthend,EDATE(A258,1),"")</f>
        <v/>
      </c>
      <c r="B259" s="197" t="str">
        <f aca="false">IF(A259&lt;mthend,B258,"")</f>
        <v/>
      </c>
      <c r="C259" s="215"/>
      <c r="D259" s="197" t="str">
        <f aca="false">IF(A260&lt;&gt;"",B259+C259,"")</f>
        <v/>
      </c>
      <c r="E259" s="199" t="str">
        <f aca="false">IF(A260="","",IF(AND(AT259=1,$H$3=1),D259*AO259,IF($H$3=2,D259,"N/A")))</f>
        <v/>
      </c>
      <c r="F259" s="199" t="str">
        <f aca="false">IF(A260="","",E259*AS259)</f>
        <v/>
      </c>
      <c r="G259" s="200" t="str">
        <f aca="false">IF($A260="","",VLOOKUP($A259,Table,MATCH(G$4,Curves,0)))</f>
        <v/>
      </c>
      <c r="H259" s="201" t="str">
        <f aca="false">IF(A260="","",G259)</f>
        <v/>
      </c>
      <c r="I259" s="202"/>
      <c r="J259" s="200" t="str">
        <f aca="false">IF($A260="","",VLOOKUP($A259,Table,MATCH(J$4,Curves,0)))</f>
        <v/>
      </c>
      <c r="K259" s="201" t="str">
        <f aca="false">IF(A260="","",J259)</f>
        <v/>
      </c>
      <c r="L259" s="185" t="n">
        <v>0</v>
      </c>
      <c r="M259" s="201" t="str">
        <f aca="false">IF(A260="","",L259)</f>
        <v/>
      </c>
      <c r="N259" s="203"/>
      <c r="O259" s="200" t="str">
        <f aca="false">IF(A260="","",L259+J259+G259)</f>
        <v/>
      </c>
      <c r="P259" s="200" t="str">
        <f aca="false">IF(A260="","",M259+K259+H259)</f>
        <v/>
      </c>
      <c r="Q259" s="204"/>
      <c r="R259" s="200" t="str">
        <f aca="false">IF($A260="","",VLOOKUP($A259,Table,MATCH(R$4,Curves,0)))</f>
        <v/>
      </c>
      <c r="S259" s="201" t="str">
        <f aca="false">IF(A260="","",R259)</f>
        <v/>
      </c>
      <c r="T259" s="185" t="n">
        <v>0</v>
      </c>
      <c r="U259" s="201" t="str">
        <f aca="false">IF(A260="","",T259)</f>
        <v/>
      </c>
      <c r="V259" s="205"/>
      <c r="W259" s="202" t="str">
        <f aca="false">IF($A260="","",(T259+R259+G259+V259))</f>
        <v/>
      </c>
      <c r="X259" s="202" t="str">
        <f aca="false">IF($A260="","",(U259+S259+H259+V259))</f>
        <v/>
      </c>
      <c r="Y259" s="202"/>
      <c r="Z259" s="185" t="str">
        <f aca="false">IF($A260="","",VLOOKUP($A259,Table,MATCH(Z$4,Curves,0)))</f>
        <v/>
      </c>
      <c r="AA259" s="185" t="str">
        <f aca="false">IF($A260="","",VLOOKUP($A259,Table,MATCH(AA$4,Curves,0)))</f>
        <v/>
      </c>
      <c r="AB259" s="185" t="e">
        <f aca="false">SQRT((AA259^2*(A259-$D$3)+Z259^2*(DAY(EOMONTH(A259,0))/2))/AK259)</f>
        <v>#VALUE!</v>
      </c>
      <c r="AC259" s="185" t="str">
        <f aca="false">IF($A260="","",VLOOKUP($A259,Table,MATCH(AC$4,Curves,0)))</f>
        <v/>
      </c>
      <c r="AD259" s="185" t="str">
        <f aca="false">IF($A260="","",VLOOKUP($A259,Table,MATCH(AD$4,Curves,0)))</f>
        <v/>
      </c>
      <c r="AE259" s="185" t="e">
        <f aca="false">SQRT((AD259^2*(A259-$D$3)+AC259^2*(DAY(EOMONTH(A259,0))/2))/AK259)</f>
        <v>#VALUE!</v>
      </c>
      <c r="AF259" s="224" t="e">
        <f aca="false">((Summary!$N$13*(AA259*AD259)*(A259-$D$3))+(Summary!$M$13*Z259*AC259*(AJ259-EOMONTH(EDATE(A259,-1),0))))/(AK259*AB259*AE259)</f>
        <v>#VALUE!</v>
      </c>
      <c r="AG259" s="207" t="str">
        <f aca="false">IF($A260="","",Summary!$Q$13)</f>
        <v/>
      </c>
      <c r="AH259" s="207" t="str">
        <f aca="false">IF($A260="","",IF(Summary!$R$12="Y",(VLOOKUP($A259,Summary!$AD$6:$AF$9,3)+'Escalating commodity'!I272),'Escalating commodity'!I272))</f>
        <v/>
      </c>
      <c r="AI259" s="207" t="str">
        <f aca="false">IF($A260="","",AH259)</f>
        <v/>
      </c>
      <c r="AJ259" s="208" t="e">
        <f aca="false">A259+DAY(EOMONTH(A259,0))/2-1</f>
        <v>#VALUE!</v>
      </c>
      <c r="AK259" s="209" t="str">
        <f aca="false">IF($A260="","",$A259-$E$1)</f>
        <v/>
      </c>
      <c r="AL259" s="182" t="str">
        <f aca="false">IF($A260="","",SPRDOPT(P259,X259,AI259,0,AB259,AE259,AF259,AK259,$AJ$2,0))</f>
        <v/>
      </c>
      <c r="AM259" s="210" t="str">
        <f aca="false">IF($A260="","",MAX(0,O259-W259-AI259))</f>
        <v/>
      </c>
      <c r="AN259" s="211" t="str">
        <f aca="false">IF($A260="","",AL259-AM259)</f>
        <v/>
      </c>
      <c r="AO259" s="137" t="str">
        <f aca="false">IF(A260="","",A260-A259)</f>
        <v/>
      </c>
      <c r="AP259" s="212" t="str">
        <f aca="false">IF(A260="","",CHOOSE(F$3,A260+24,A259))</f>
        <v/>
      </c>
      <c r="AQ259" s="209" t="str">
        <f aca="false">IF(A260="","",AP259-$E$1)</f>
        <v/>
      </c>
      <c r="AR259" s="185" t="n">
        <f aca="false">'ANR OK vs ML7'!AR259</f>
        <v>0.1</v>
      </c>
      <c r="AS259" s="213" t="str">
        <f aca="false">IF(A260="","",1/(1+CHOOSE(F$3,(AR260+($I$3/10000))/2,(AR259+($I$3/10000))/2))^(2*AQ259/365.25))</f>
        <v/>
      </c>
      <c r="AT259" s="137" t="str">
        <f aca="false">IF(A260="","",IF(AND(mthbeg&lt;=A259,mthend&gt;=A259),1,0))</f>
        <v/>
      </c>
      <c r="AU259" s="137" t="str">
        <f aca="false">IF(A260="","",AO259*AT259)</f>
        <v/>
      </c>
      <c r="AW259" s="195" t="str">
        <f aca="false">IF($A260="","",AL259*$E259)</f>
        <v/>
      </c>
      <c r="AX259" s="195" t="str">
        <f aca="false">IF($A260="","",AM259*$E259)</f>
        <v/>
      </c>
      <c r="AY259" s="195" t="str">
        <f aca="false">IF($A260="","",AN259*$E259)</f>
        <v/>
      </c>
      <c r="BA259" s="195" t="str">
        <f aca="false">IF($A260="","",F259*Summary!$Q$13)</f>
        <v/>
      </c>
    </row>
    <row r="260" customFormat="false" ht="12" hidden="false" customHeight="true" outlineLevel="0" collapsed="false">
      <c r="A260" s="196" t="str">
        <f aca="false">IF(A259&lt;mthend,EDATE(A259,1),"")</f>
        <v/>
      </c>
      <c r="B260" s="197" t="str">
        <f aca="false">IF(A260&lt;mthend,B259,"")</f>
        <v/>
      </c>
      <c r="C260" s="215"/>
      <c r="D260" s="197" t="str">
        <f aca="false">IF(A261&lt;&gt;"",B260+C260,"")</f>
        <v/>
      </c>
      <c r="E260" s="199" t="str">
        <f aca="false">IF(A261="","",IF(AND(AT260=1,$H$3=1),D260*AO260,IF($H$3=2,D260,"N/A")))</f>
        <v/>
      </c>
      <c r="F260" s="199" t="str">
        <f aca="false">IF(A261="","",E260*AS260)</f>
        <v/>
      </c>
      <c r="G260" s="200" t="str">
        <f aca="false">IF($A261="","",VLOOKUP($A260,Table,MATCH(G$4,Curves,0)))</f>
        <v/>
      </c>
      <c r="H260" s="201" t="str">
        <f aca="false">IF(A261="","",G260)</f>
        <v/>
      </c>
      <c r="I260" s="202"/>
      <c r="J260" s="200" t="str">
        <f aca="false">IF($A261="","",VLOOKUP($A260,Table,MATCH(J$4,Curves,0)))</f>
        <v/>
      </c>
      <c r="K260" s="201" t="str">
        <f aca="false">IF(A261="","",J260)</f>
        <v/>
      </c>
      <c r="L260" s="185" t="n">
        <v>0</v>
      </c>
      <c r="M260" s="201" t="str">
        <f aca="false">IF(A261="","",L260)</f>
        <v/>
      </c>
      <c r="N260" s="203"/>
      <c r="O260" s="200" t="str">
        <f aca="false">IF(A261="","",L260+J260+G260)</f>
        <v/>
      </c>
      <c r="P260" s="200" t="str">
        <f aca="false">IF(A261="","",M260+K260+H260)</f>
        <v/>
      </c>
      <c r="Q260" s="204"/>
      <c r="R260" s="200" t="str">
        <f aca="false">IF($A261="","",VLOOKUP($A260,Table,MATCH(R$4,Curves,0)))</f>
        <v/>
      </c>
      <c r="S260" s="201" t="str">
        <f aca="false">IF(A261="","",R260)</f>
        <v/>
      </c>
      <c r="T260" s="185" t="n">
        <v>0</v>
      </c>
      <c r="U260" s="201" t="str">
        <f aca="false">IF(A261="","",T260)</f>
        <v/>
      </c>
      <c r="V260" s="205"/>
      <c r="W260" s="202" t="str">
        <f aca="false">IF($A261="","",(T260+R260+G260+V260))</f>
        <v/>
      </c>
      <c r="X260" s="202" t="str">
        <f aca="false">IF($A261="","",(U260+S260+H260+V260))</f>
        <v/>
      </c>
      <c r="Y260" s="202"/>
      <c r="Z260" s="185" t="str">
        <f aca="false">IF($A261="","",VLOOKUP($A260,Table,MATCH(Z$4,Curves,0)))</f>
        <v/>
      </c>
      <c r="AA260" s="185" t="str">
        <f aca="false">IF($A261="","",VLOOKUP($A260,Table,MATCH(AA$4,Curves,0)))</f>
        <v/>
      </c>
      <c r="AB260" s="185" t="e">
        <f aca="false">SQRT((AA260^2*(A260-$D$3)+Z260^2*(DAY(EOMONTH(A260,0))/2))/AK260)</f>
        <v>#VALUE!</v>
      </c>
      <c r="AC260" s="185" t="str">
        <f aca="false">IF($A261="","",VLOOKUP($A260,Table,MATCH(AC$4,Curves,0)))</f>
        <v/>
      </c>
      <c r="AD260" s="185" t="str">
        <f aca="false">IF($A261="","",VLOOKUP($A260,Table,MATCH(AD$4,Curves,0)))</f>
        <v/>
      </c>
      <c r="AE260" s="185" t="e">
        <f aca="false">SQRT((AD260^2*(A260-$D$3)+AC260^2*(DAY(EOMONTH(A260,0))/2))/AK260)</f>
        <v>#VALUE!</v>
      </c>
      <c r="AF260" s="224" t="e">
        <f aca="false">((Summary!$N$13*(AA260*AD260)*(A260-$D$3))+(Summary!$M$13*Z260*AC260*(AJ260-EOMONTH(EDATE(A260,-1),0))))/(AK260*AB260*AE260)</f>
        <v>#VALUE!</v>
      </c>
      <c r="AG260" s="207" t="str">
        <f aca="false">IF($A261="","",Summary!$Q$13)</f>
        <v/>
      </c>
      <c r="AH260" s="207" t="str">
        <f aca="false">IF($A261="","",IF(Summary!$R$12="Y",(VLOOKUP($A260,Summary!$AD$6:$AF$9,3)+'Escalating commodity'!I273),'Escalating commodity'!I273))</f>
        <v/>
      </c>
      <c r="AI260" s="207" t="str">
        <f aca="false">IF($A261="","",AH260)</f>
        <v/>
      </c>
      <c r="AJ260" s="208" t="e">
        <f aca="false">A260+DAY(EOMONTH(A260,0))/2-1</f>
        <v>#VALUE!</v>
      </c>
      <c r="AK260" s="209" t="str">
        <f aca="false">IF($A261="","",$A260-$E$1)</f>
        <v/>
      </c>
      <c r="AL260" s="182" t="str">
        <f aca="false">IF($A261="","",SPRDOPT(P260,X260,AI260,0,AB260,AE260,AF260,AK260,$AJ$2,0))</f>
        <v/>
      </c>
      <c r="AM260" s="210" t="str">
        <f aca="false">IF($A261="","",MAX(0,O260-W260-AI260))</f>
        <v/>
      </c>
      <c r="AN260" s="211" t="str">
        <f aca="false">IF($A261="","",AL260-AM260)</f>
        <v/>
      </c>
      <c r="AO260" s="137" t="str">
        <f aca="false">IF(A261="","",A261-A260)</f>
        <v/>
      </c>
      <c r="AP260" s="212" t="str">
        <f aca="false">IF(A261="","",CHOOSE(F$3,A261+24,A260))</f>
        <v/>
      </c>
      <c r="AQ260" s="209" t="str">
        <f aca="false">IF(A261="","",AP260-$E$1)</f>
        <v/>
      </c>
      <c r="AR260" s="185" t="n">
        <f aca="false">'ANR OK vs ML7'!AR260</f>
        <v>0.1</v>
      </c>
      <c r="AS260" s="213" t="str">
        <f aca="false">IF(A261="","",1/(1+CHOOSE(F$3,(AR261+($I$3/10000))/2,(AR260+($I$3/10000))/2))^(2*AQ260/365.25))</f>
        <v/>
      </c>
      <c r="AT260" s="137" t="str">
        <f aca="false">IF(A261="","",IF(AND(mthbeg&lt;=A260,mthend&gt;=A260),1,0))</f>
        <v/>
      </c>
      <c r="AU260" s="137" t="str">
        <f aca="false">IF(A261="","",AO260*AT260)</f>
        <v/>
      </c>
      <c r="AW260" s="195" t="str">
        <f aca="false">IF($A261="","",AL260*$E260)</f>
        <v/>
      </c>
      <c r="AX260" s="195" t="str">
        <f aca="false">IF($A261="","",AM260*$E260)</f>
        <v/>
      </c>
      <c r="AY260" s="195" t="str">
        <f aca="false">IF($A261="","",AN260*$E260)</f>
        <v/>
      </c>
      <c r="BA260" s="195" t="str">
        <f aca="false">IF($A261="","",F260*Summary!$Q$13)</f>
        <v/>
      </c>
    </row>
    <row r="261" customFormat="false" ht="12" hidden="false" customHeight="true" outlineLevel="0" collapsed="false">
      <c r="A261" s="196" t="str">
        <f aca="false">IF(A260&lt;mthend,EDATE(A260,1),"")</f>
        <v/>
      </c>
      <c r="B261" s="197" t="str">
        <f aca="false">IF(A261&lt;mthend,B260,"")</f>
        <v/>
      </c>
      <c r="C261" s="215"/>
      <c r="D261" s="197" t="str">
        <f aca="false">IF(A262&lt;&gt;"",B261+C261,"")</f>
        <v/>
      </c>
      <c r="E261" s="199" t="str">
        <f aca="false">IF(A262="","",IF(AND(AT261=1,$H$3=1),D261*AO261,IF($H$3=2,D261,"N/A")))</f>
        <v/>
      </c>
      <c r="F261" s="199" t="str">
        <f aca="false">IF(A262="","",E261*AS261)</f>
        <v/>
      </c>
      <c r="G261" s="200" t="str">
        <f aca="false">IF($A262="","",VLOOKUP($A261,Table,MATCH(G$4,Curves,0)))</f>
        <v/>
      </c>
      <c r="H261" s="201" t="str">
        <f aca="false">IF(A262="","",G261)</f>
        <v/>
      </c>
      <c r="I261" s="202"/>
      <c r="J261" s="200" t="str">
        <f aca="false">IF($A262="","",VLOOKUP($A261,Table,MATCH(J$4,Curves,0)))</f>
        <v/>
      </c>
      <c r="K261" s="201" t="str">
        <f aca="false">IF(A262="","",J261)</f>
        <v/>
      </c>
      <c r="L261" s="185" t="n">
        <v>0</v>
      </c>
      <c r="M261" s="201" t="str">
        <f aca="false">IF(A262="","",L261)</f>
        <v/>
      </c>
      <c r="N261" s="203"/>
      <c r="O261" s="200" t="str">
        <f aca="false">IF(A262="","",L261+J261+G261)</f>
        <v/>
      </c>
      <c r="P261" s="200" t="str">
        <f aca="false">IF(A262="","",M261+K261+H261)</f>
        <v/>
      </c>
      <c r="Q261" s="204"/>
      <c r="R261" s="200" t="str">
        <f aca="false">IF($A262="","",VLOOKUP($A261,Table,MATCH(R$4,Curves,0)))</f>
        <v/>
      </c>
      <c r="S261" s="201" t="str">
        <f aca="false">IF(A262="","",R261)</f>
        <v/>
      </c>
      <c r="T261" s="185" t="n">
        <v>0</v>
      </c>
      <c r="U261" s="201" t="str">
        <f aca="false">IF(A262="","",T261)</f>
        <v/>
      </c>
      <c r="V261" s="205"/>
      <c r="W261" s="202" t="str">
        <f aca="false">IF($A262="","",(T261+R261+G261+V261))</f>
        <v/>
      </c>
      <c r="X261" s="202" t="str">
        <f aca="false">IF($A262="","",(U261+S261+H261+V261))</f>
        <v/>
      </c>
      <c r="Y261" s="202"/>
      <c r="Z261" s="185" t="str">
        <f aca="false">IF($A262="","",VLOOKUP($A261,Table,MATCH(Z$4,Curves,0)))</f>
        <v/>
      </c>
      <c r="AA261" s="185" t="str">
        <f aca="false">IF($A262="","",VLOOKUP($A261,Table,MATCH(AA$4,Curves,0)))</f>
        <v/>
      </c>
      <c r="AB261" s="185" t="e">
        <f aca="false">SQRT((AA261^2*(A261-$D$3)+Z261^2*(DAY(EOMONTH(A261,0))/2))/AK261)</f>
        <v>#VALUE!</v>
      </c>
      <c r="AC261" s="185" t="str">
        <f aca="false">IF($A262="","",VLOOKUP($A261,Table,MATCH(AC$4,Curves,0)))</f>
        <v/>
      </c>
      <c r="AD261" s="185" t="str">
        <f aca="false">IF($A262="","",VLOOKUP($A261,Table,MATCH(AD$4,Curves,0)))</f>
        <v/>
      </c>
      <c r="AE261" s="185" t="e">
        <f aca="false">SQRT((AD261^2*(A261-$D$3)+AC261^2*(DAY(EOMONTH(A261,0))/2))/AK261)</f>
        <v>#VALUE!</v>
      </c>
      <c r="AF261" s="224" t="e">
        <f aca="false">((Summary!$N$13*(AA261*AD261)*(A261-$D$3))+(Summary!$M$13*Z261*AC261*(AJ261-EOMONTH(EDATE(A261,-1),0))))/(AK261*AB261*AE261)</f>
        <v>#VALUE!</v>
      </c>
      <c r="AG261" s="207" t="str">
        <f aca="false">IF($A262="","",Summary!$Q$13)</f>
        <v/>
      </c>
      <c r="AH261" s="207" t="str">
        <f aca="false">IF($A262="","",IF(Summary!$R$12="Y",(VLOOKUP($A261,Summary!$AD$6:$AF$9,3)+'Escalating commodity'!I274),'Escalating commodity'!I274))</f>
        <v/>
      </c>
      <c r="AI261" s="207" t="str">
        <f aca="false">IF($A262="","",AH261)</f>
        <v/>
      </c>
      <c r="AJ261" s="208" t="e">
        <f aca="false">A261+DAY(EOMONTH(A261,0))/2-1</f>
        <v>#VALUE!</v>
      </c>
      <c r="AK261" s="209" t="str">
        <f aca="false">IF($A262="","",$A261-$E$1)</f>
        <v/>
      </c>
      <c r="AL261" s="182" t="str">
        <f aca="false">IF($A262="","",SPRDOPT(P261,X261,AI261,0,AB261,AE261,AF261,AK261,$AJ$2,0))</f>
        <v/>
      </c>
      <c r="AM261" s="210" t="str">
        <f aca="false">IF($A262="","",MAX(0,O261-W261-AI261))</f>
        <v/>
      </c>
      <c r="AN261" s="211" t="str">
        <f aca="false">IF($A262="","",AL261-AM261)</f>
        <v/>
      </c>
      <c r="AO261" s="137" t="str">
        <f aca="false">IF(A262="","",A262-A261)</f>
        <v/>
      </c>
      <c r="AP261" s="212" t="str">
        <f aca="false">IF(A262="","",CHOOSE(F$3,A262+24,A261))</f>
        <v/>
      </c>
      <c r="AQ261" s="209" t="str">
        <f aca="false">IF(A262="","",AP261-$E$1)</f>
        <v/>
      </c>
      <c r="AR261" s="185" t="n">
        <f aca="false">'ANR OK vs ML7'!AR261</f>
        <v>0.1</v>
      </c>
      <c r="AS261" s="213" t="str">
        <f aca="false">IF(A262="","",1/(1+CHOOSE(F$3,(AR262+($I$3/10000))/2,(AR261+($I$3/10000))/2))^(2*AQ261/365.25))</f>
        <v/>
      </c>
      <c r="AT261" s="137" t="str">
        <f aca="false">IF(A262="","",IF(AND(mthbeg&lt;=A261,mthend&gt;=A261),1,0))</f>
        <v/>
      </c>
      <c r="AU261" s="137" t="str">
        <f aca="false">IF(A262="","",AO261*AT261)</f>
        <v/>
      </c>
      <c r="AW261" s="195" t="str">
        <f aca="false">IF($A262="","",AL261*$E261)</f>
        <v/>
      </c>
      <c r="AX261" s="195" t="str">
        <f aca="false">IF($A262="","",AM261*$E261)</f>
        <v/>
      </c>
      <c r="AY261" s="195" t="str">
        <f aca="false">IF($A262="","",AN261*$E261)</f>
        <v/>
      </c>
      <c r="BA261" s="195" t="str">
        <f aca="false">IF($A262="","",F261*Summary!$Q$13)</f>
        <v/>
      </c>
    </row>
    <row r="262" customFormat="false" ht="12" hidden="false" customHeight="true" outlineLevel="0" collapsed="false">
      <c r="A262" s="196" t="str">
        <f aca="false">IF(A261&lt;mthend,EDATE(A261,1),"")</f>
        <v/>
      </c>
      <c r="B262" s="197" t="str">
        <f aca="false">IF(A262&lt;mthend,B261,"")</f>
        <v/>
      </c>
      <c r="C262" s="215"/>
      <c r="D262" s="197" t="str">
        <f aca="false">IF(A263&lt;&gt;"",B262+C262,"")</f>
        <v/>
      </c>
      <c r="E262" s="199" t="str">
        <f aca="false">IF(A263="","",IF(AND(AT262=1,$H$3=1),D262*AO262,IF($H$3=2,D262,"N/A")))</f>
        <v/>
      </c>
      <c r="F262" s="199" t="str">
        <f aca="false">IF(A263="","",E262*AS262)</f>
        <v/>
      </c>
      <c r="G262" s="200" t="str">
        <f aca="false">IF($A263="","",VLOOKUP($A262,Table,MATCH(G$4,Curves,0)))</f>
        <v/>
      </c>
      <c r="H262" s="201" t="str">
        <f aca="false">IF(A263="","",G262)</f>
        <v/>
      </c>
      <c r="I262" s="202"/>
      <c r="J262" s="200" t="str">
        <f aca="false">IF($A263="","",VLOOKUP($A262,Table,MATCH(J$4,Curves,0)))</f>
        <v/>
      </c>
      <c r="K262" s="201" t="str">
        <f aca="false">IF(A263="","",J262)</f>
        <v/>
      </c>
      <c r="L262" s="185" t="n">
        <v>0</v>
      </c>
      <c r="M262" s="201" t="str">
        <f aca="false">IF(A263="","",L262)</f>
        <v/>
      </c>
      <c r="N262" s="203"/>
      <c r="O262" s="200" t="str">
        <f aca="false">IF(A263="","",L262+J262+G262)</f>
        <v/>
      </c>
      <c r="P262" s="200" t="str">
        <f aca="false">IF(A263="","",M262+K262+H262)</f>
        <v/>
      </c>
      <c r="Q262" s="204"/>
      <c r="R262" s="200" t="str">
        <f aca="false">IF($A263="","",VLOOKUP($A262,Table,MATCH(R$4,Curves,0)))</f>
        <v/>
      </c>
      <c r="S262" s="201" t="str">
        <f aca="false">IF(A263="","",R262)</f>
        <v/>
      </c>
      <c r="T262" s="185" t="n">
        <v>0</v>
      </c>
      <c r="U262" s="201" t="str">
        <f aca="false">IF(A263="","",T262)</f>
        <v/>
      </c>
      <c r="V262" s="205"/>
      <c r="W262" s="202" t="str">
        <f aca="false">IF($A263="","",(T262+R262+G262+V262))</f>
        <v/>
      </c>
      <c r="X262" s="202" t="str">
        <f aca="false">IF($A263="","",(U262+S262+H262+V262))</f>
        <v/>
      </c>
      <c r="Y262" s="202"/>
      <c r="Z262" s="185" t="str">
        <f aca="false">IF($A263="","",VLOOKUP($A262,Table,MATCH(Z$4,Curves,0)))</f>
        <v/>
      </c>
      <c r="AA262" s="185" t="str">
        <f aca="false">IF($A263="","",VLOOKUP($A262,Table,MATCH(AA$4,Curves,0)))</f>
        <v/>
      </c>
      <c r="AB262" s="185" t="e">
        <f aca="false">SQRT((AA262^2*(A262-$D$3)+Z262^2*(DAY(EOMONTH(A262,0))/2))/AK262)</f>
        <v>#VALUE!</v>
      </c>
      <c r="AC262" s="185" t="str">
        <f aca="false">IF($A263="","",VLOOKUP($A262,Table,MATCH(AC$4,Curves,0)))</f>
        <v/>
      </c>
      <c r="AD262" s="185" t="str">
        <f aca="false">IF($A263="","",VLOOKUP($A262,Table,MATCH(AD$4,Curves,0)))</f>
        <v/>
      </c>
      <c r="AE262" s="185" t="e">
        <f aca="false">SQRT((AD262^2*(A262-$D$3)+AC262^2*(DAY(EOMONTH(A262,0))/2))/AK262)</f>
        <v>#VALUE!</v>
      </c>
      <c r="AF262" s="224" t="e">
        <f aca="false">((Summary!$N$13*(AA262*AD262)*(A262-$D$3))+(Summary!$M$13*Z262*AC262*(AJ262-EOMONTH(EDATE(A262,-1),0))))/(AK262*AB262*AE262)</f>
        <v>#VALUE!</v>
      </c>
      <c r="AG262" s="207" t="str">
        <f aca="false">IF($A263="","",Summary!$Q$13)</f>
        <v/>
      </c>
      <c r="AH262" s="207" t="str">
        <f aca="false">IF($A263="","",IF(Summary!$R$12="Y",(VLOOKUP($A262,Summary!$AD$6:$AF$9,3)+'Escalating commodity'!I275),'Escalating commodity'!I275))</f>
        <v/>
      </c>
      <c r="AI262" s="207" t="str">
        <f aca="false">IF($A263="","",AH262)</f>
        <v/>
      </c>
      <c r="AJ262" s="208" t="e">
        <f aca="false">A262+DAY(EOMONTH(A262,0))/2-1</f>
        <v>#VALUE!</v>
      </c>
      <c r="AK262" s="209" t="str">
        <f aca="false">IF($A263="","",$A262-$E$1)</f>
        <v/>
      </c>
      <c r="AL262" s="182" t="str">
        <f aca="false">IF($A263="","",SPRDOPT(P262,X262,AI262,0,AB262,AE262,AF262,AK262,$AJ$2,0))</f>
        <v/>
      </c>
      <c r="AM262" s="210" t="str">
        <f aca="false">IF($A263="","",MAX(0,O262-W262-AI262))</f>
        <v/>
      </c>
      <c r="AN262" s="211" t="str">
        <f aca="false">IF($A263="","",AL262-AM262)</f>
        <v/>
      </c>
      <c r="AO262" s="137" t="str">
        <f aca="false">IF(A263="","",A263-A262)</f>
        <v/>
      </c>
      <c r="AP262" s="212" t="str">
        <f aca="false">IF(A263="","",CHOOSE(F$3,A263+24,A262))</f>
        <v/>
      </c>
      <c r="AQ262" s="209" t="str">
        <f aca="false">IF(A263="","",AP262-$E$1)</f>
        <v/>
      </c>
      <c r="AR262" s="185" t="n">
        <f aca="false">'ANR OK vs ML7'!AR262</f>
        <v>0.1</v>
      </c>
      <c r="AS262" s="213" t="str">
        <f aca="false">IF(A263="","",1/(1+CHOOSE(F$3,(AR263+($I$3/10000))/2,(AR262+($I$3/10000))/2))^(2*AQ262/365.25))</f>
        <v/>
      </c>
      <c r="AT262" s="137" t="str">
        <f aca="false">IF(A263="","",IF(AND(mthbeg&lt;=A262,mthend&gt;=A262),1,0))</f>
        <v/>
      </c>
      <c r="AU262" s="137" t="str">
        <f aca="false">IF(A263="","",AO262*AT262)</f>
        <v/>
      </c>
      <c r="AW262" s="195" t="str">
        <f aca="false">IF($A263="","",AL262*$E262)</f>
        <v/>
      </c>
      <c r="AX262" s="195" t="str">
        <f aca="false">IF($A263="","",AM262*$E262)</f>
        <v/>
      </c>
      <c r="AY262" s="195" t="str">
        <f aca="false">IF($A263="","",AN262*$E262)</f>
        <v/>
      </c>
      <c r="BA262" s="195" t="str">
        <f aca="false">IF($A263="","",F262*Summary!$Q$13)</f>
        <v/>
      </c>
    </row>
    <row r="263" customFormat="false" ht="12" hidden="false" customHeight="true" outlineLevel="0" collapsed="false">
      <c r="A263" s="196" t="str">
        <f aca="false">IF(A262&lt;mthend,EDATE(A262,1),"")</f>
        <v/>
      </c>
      <c r="B263" s="197" t="str">
        <f aca="false">IF(A263&lt;mthend,B262,"")</f>
        <v/>
      </c>
      <c r="C263" s="215"/>
      <c r="D263" s="197" t="str">
        <f aca="false">IF(A264&lt;&gt;"",B263+C263,"")</f>
        <v/>
      </c>
      <c r="E263" s="199" t="str">
        <f aca="false">IF(A264="","",IF(AND(AT263=1,$H$3=1),D263*AO263,IF($H$3=2,D263,"N/A")))</f>
        <v/>
      </c>
      <c r="F263" s="199" t="str">
        <f aca="false">IF(A264="","",E263*AS263)</f>
        <v/>
      </c>
      <c r="G263" s="200" t="str">
        <f aca="false">IF($A264="","",VLOOKUP($A263,Table,MATCH(G$4,Curves,0)))</f>
        <v/>
      </c>
      <c r="H263" s="201" t="str">
        <f aca="false">IF(A264="","",G263)</f>
        <v/>
      </c>
      <c r="I263" s="202"/>
      <c r="J263" s="200" t="str">
        <f aca="false">IF($A264="","",VLOOKUP($A263,Table,MATCH(J$4,Curves,0)))</f>
        <v/>
      </c>
      <c r="K263" s="201" t="str">
        <f aca="false">IF(A264="","",J263)</f>
        <v/>
      </c>
      <c r="L263" s="185" t="n">
        <v>0</v>
      </c>
      <c r="M263" s="201" t="str">
        <f aca="false">IF(A264="","",L263)</f>
        <v/>
      </c>
      <c r="N263" s="203"/>
      <c r="O263" s="200" t="str">
        <f aca="false">IF(A264="","",L263+J263+G263)</f>
        <v/>
      </c>
      <c r="P263" s="200" t="str">
        <f aca="false">IF(A264="","",M263+K263+H263)</f>
        <v/>
      </c>
      <c r="Q263" s="204"/>
      <c r="R263" s="200" t="str">
        <f aca="false">IF($A264="","",VLOOKUP($A263,Table,MATCH(R$4,Curves,0)))</f>
        <v/>
      </c>
      <c r="S263" s="201" t="str">
        <f aca="false">IF(A264="","",R263)</f>
        <v/>
      </c>
      <c r="T263" s="185" t="n">
        <v>0</v>
      </c>
      <c r="U263" s="201" t="str">
        <f aca="false">IF(A264="","",T263)</f>
        <v/>
      </c>
      <c r="V263" s="205"/>
      <c r="W263" s="202" t="str">
        <f aca="false">IF($A264="","",(T263+R263+G263+V263))</f>
        <v/>
      </c>
      <c r="X263" s="202" t="str">
        <f aca="false">IF($A264="","",(U263+S263+H263+V263))</f>
        <v/>
      </c>
      <c r="Y263" s="202"/>
      <c r="Z263" s="185" t="str">
        <f aca="false">IF($A264="","",VLOOKUP($A263,Table,MATCH(Z$4,Curves,0)))</f>
        <v/>
      </c>
      <c r="AA263" s="185" t="str">
        <f aca="false">IF($A264="","",VLOOKUP($A263,Table,MATCH(AA$4,Curves,0)))</f>
        <v/>
      </c>
      <c r="AB263" s="185" t="e">
        <f aca="false">SQRT((AA263^2*(A263-$D$3)+Z263^2*(DAY(EOMONTH(A263,0))/2))/AK263)</f>
        <v>#VALUE!</v>
      </c>
      <c r="AC263" s="185" t="str">
        <f aca="false">IF($A264="","",VLOOKUP($A263,Table,MATCH(AC$4,Curves,0)))</f>
        <v/>
      </c>
      <c r="AD263" s="185" t="str">
        <f aca="false">IF($A264="","",VLOOKUP($A263,Table,MATCH(AD$4,Curves,0)))</f>
        <v/>
      </c>
      <c r="AE263" s="185" t="e">
        <f aca="false">SQRT((AD263^2*(A263-$D$3)+AC263^2*(DAY(EOMONTH(A263,0))/2))/AK263)</f>
        <v>#VALUE!</v>
      </c>
      <c r="AF263" s="224" t="e">
        <f aca="false">((Summary!$N$13*(AA263*AD263)*(A263-$D$3))+(Summary!$M$13*Z263*AC263*(AJ263-EOMONTH(EDATE(A263,-1),0))))/(AK263*AB263*AE263)</f>
        <v>#VALUE!</v>
      </c>
      <c r="AG263" s="207" t="str">
        <f aca="false">IF($A264="","",Summary!$Q$13)</f>
        <v/>
      </c>
      <c r="AH263" s="207" t="str">
        <f aca="false">IF($A264="","",IF(Summary!$R$12="Y",(VLOOKUP($A263,Summary!$AD$6:$AF$9,3)+'Escalating commodity'!I276),'Escalating commodity'!I276))</f>
        <v/>
      </c>
      <c r="AI263" s="207" t="str">
        <f aca="false">IF($A264="","",AH263)</f>
        <v/>
      </c>
      <c r="AJ263" s="208" t="e">
        <f aca="false">A263+DAY(EOMONTH(A263,0))/2-1</f>
        <v>#VALUE!</v>
      </c>
      <c r="AK263" s="209" t="str">
        <f aca="false">IF($A264="","",$A263-$E$1)</f>
        <v/>
      </c>
      <c r="AL263" s="182" t="str">
        <f aca="false">IF($A264="","",SPRDOPT(P263,X263,AI263,0,AB263,AE263,AF263,AK263,$AJ$2,0))</f>
        <v/>
      </c>
      <c r="AM263" s="210" t="str">
        <f aca="false">IF($A264="","",MAX(0,O263-W263-AI263))</f>
        <v/>
      </c>
      <c r="AN263" s="211" t="str">
        <f aca="false">IF($A264="","",AL263-AM263)</f>
        <v/>
      </c>
      <c r="AO263" s="137" t="str">
        <f aca="false">IF(A264="","",A264-A263)</f>
        <v/>
      </c>
      <c r="AP263" s="212" t="str">
        <f aca="false">IF(A264="","",CHOOSE(F$3,A264+24,A263))</f>
        <v/>
      </c>
      <c r="AQ263" s="209" t="str">
        <f aca="false">IF(A264="","",AP263-$E$1)</f>
        <v/>
      </c>
      <c r="AR263" s="185" t="n">
        <f aca="false">'ANR OK vs ML7'!AR263</f>
        <v>0.1</v>
      </c>
      <c r="AS263" s="213" t="str">
        <f aca="false">IF(A264="","",1/(1+CHOOSE(F$3,(AR264+($I$3/10000))/2,(AR263+($I$3/10000))/2))^(2*AQ263/365.25))</f>
        <v/>
      </c>
      <c r="AT263" s="137" t="str">
        <f aca="false">IF(A264="","",IF(AND(mthbeg&lt;=A263,mthend&gt;=A263),1,0))</f>
        <v/>
      </c>
      <c r="AU263" s="137" t="str">
        <f aca="false">IF(A264="","",AO263*AT263)</f>
        <v/>
      </c>
      <c r="AW263" s="195" t="str">
        <f aca="false">IF($A264="","",AL263*$E263)</f>
        <v/>
      </c>
      <c r="AX263" s="195" t="str">
        <f aca="false">IF($A264="","",AM263*$E263)</f>
        <v/>
      </c>
      <c r="AY263" s="195" t="str">
        <f aca="false">IF($A264="","",AN263*$E263)</f>
        <v/>
      </c>
      <c r="BA263" s="195" t="str">
        <f aca="false">IF($A264="","",F263*Summary!$Q$13)</f>
        <v/>
      </c>
    </row>
    <row r="264" customFormat="false" ht="12" hidden="false" customHeight="true" outlineLevel="0" collapsed="false">
      <c r="A264" s="196" t="str">
        <f aca="false">IF(A263&lt;mthend,EDATE(A263,1),"")</f>
        <v/>
      </c>
      <c r="B264" s="197" t="str">
        <f aca="false">IF(A264&lt;mthend,B263,"")</f>
        <v/>
      </c>
      <c r="C264" s="215"/>
      <c r="D264" s="197" t="str">
        <f aca="false">IF(A265&lt;&gt;"",B264+C264,"")</f>
        <v/>
      </c>
      <c r="E264" s="199" t="str">
        <f aca="false">IF(A265="","",IF(AND(AT264=1,$H$3=1),D264*AO264,IF($H$3=2,D264,"N/A")))</f>
        <v/>
      </c>
      <c r="F264" s="199" t="str">
        <f aca="false">IF(A265="","",E264*AS264)</f>
        <v/>
      </c>
      <c r="G264" s="200" t="str">
        <f aca="false">IF($A265="","",VLOOKUP($A264,Table,MATCH(G$4,Curves,0)))</f>
        <v/>
      </c>
      <c r="H264" s="201" t="str">
        <f aca="false">IF(A265="","",G264)</f>
        <v/>
      </c>
      <c r="I264" s="202"/>
      <c r="J264" s="200" t="str">
        <f aca="false">IF($A265="","",VLOOKUP($A264,Table,MATCH(J$4,Curves,0)))</f>
        <v/>
      </c>
      <c r="K264" s="201" t="str">
        <f aca="false">IF(A265="","",J264)</f>
        <v/>
      </c>
      <c r="L264" s="185" t="n">
        <v>0</v>
      </c>
      <c r="M264" s="201" t="str">
        <f aca="false">IF(A265="","",L264)</f>
        <v/>
      </c>
      <c r="N264" s="203"/>
      <c r="O264" s="200" t="str">
        <f aca="false">IF(A265="","",L264+J264+G264)</f>
        <v/>
      </c>
      <c r="P264" s="200" t="str">
        <f aca="false">IF(A265="","",M264+K264+H264)</f>
        <v/>
      </c>
      <c r="Q264" s="204"/>
      <c r="R264" s="200" t="str">
        <f aca="false">IF($A265="","",VLOOKUP($A264,Table,MATCH(R$4,Curves,0)))</f>
        <v/>
      </c>
      <c r="S264" s="201" t="str">
        <f aca="false">IF(A265="","",R264)</f>
        <v/>
      </c>
      <c r="T264" s="185" t="n">
        <v>0</v>
      </c>
      <c r="U264" s="201" t="str">
        <f aca="false">IF(A265="","",T264)</f>
        <v/>
      </c>
      <c r="V264" s="205"/>
      <c r="W264" s="202" t="str">
        <f aca="false">IF($A265="","",(T264+R264+G264+V264))</f>
        <v/>
      </c>
      <c r="X264" s="202" t="str">
        <f aca="false">IF($A265="","",(U264+S264+H264+V264))</f>
        <v/>
      </c>
      <c r="Y264" s="202"/>
      <c r="Z264" s="185" t="str">
        <f aca="false">IF($A265="","",VLOOKUP($A264,Table,MATCH(Z$4,Curves,0)))</f>
        <v/>
      </c>
      <c r="AA264" s="185" t="str">
        <f aca="false">IF($A265="","",VLOOKUP($A264,Table,MATCH(AA$4,Curves,0)))</f>
        <v/>
      </c>
      <c r="AB264" s="185" t="e">
        <f aca="false">SQRT((AA264^2*(A264-$D$3)+Z264^2*(DAY(EOMONTH(A264,0))/2))/AK264)</f>
        <v>#VALUE!</v>
      </c>
      <c r="AC264" s="185" t="str">
        <f aca="false">IF($A265="","",VLOOKUP($A264,Table,MATCH(AC$4,Curves,0)))</f>
        <v/>
      </c>
      <c r="AD264" s="185" t="str">
        <f aca="false">IF($A265="","",VLOOKUP($A264,Table,MATCH(AD$4,Curves,0)))</f>
        <v/>
      </c>
      <c r="AE264" s="185" t="e">
        <f aca="false">SQRT((AD264^2*(A264-$D$3)+AC264^2*(DAY(EOMONTH(A264,0))/2))/AK264)</f>
        <v>#VALUE!</v>
      </c>
      <c r="AF264" s="224" t="e">
        <f aca="false">((Summary!$N$13*(AA264*AD264)*(A264-$D$3))+(Summary!$M$13*Z264*AC264*(AJ264-EOMONTH(EDATE(A264,-1),0))))/(AK264*AB264*AE264)</f>
        <v>#VALUE!</v>
      </c>
      <c r="AG264" s="207" t="str">
        <f aca="false">IF($A265="","",Summary!$Q$13)</f>
        <v/>
      </c>
      <c r="AH264" s="207" t="str">
        <f aca="false">IF($A265="","",IF(Summary!$R$12="Y",(VLOOKUP($A264,Summary!$AD$6:$AF$9,3)+'Escalating commodity'!I277),'Escalating commodity'!I277))</f>
        <v/>
      </c>
      <c r="AI264" s="207" t="str">
        <f aca="false">IF($A265="","",AH264)</f>
        <v/>
      </c>
      <c r="AJ264" s="208" t="e">
        <f aca="false">A264+DAY(EOMONTH(A264,0))/2-1</f>
        <v>#VALUE!</v>
      </c>
      <c r="AK264" s="209" t="str">
        <f aca="false">IF($A265="","",$A264-$E$1)</f>
        <v/>
      </c>
      <c r="AL264" s="182" t="str">
        <f aca="false">IF($A265="","",SPRDOPT(P264,X264,AI264,0,AB264,AE264,AF264,AK264,$AJ$2,0))</f>
        <v/>
      </c>
      <c r="AM264" s="210" t="str">
        <f aca="false">IF($A265="","",MAX(0,O264-W264-AI264))</f>
        <v/>
      </c>
      <c r="AN264" s="211" t="str">
        <f aca="false">IF($A265="","",AL264-AM264)</f>
        <v/>
      </c>
      <c r="AO264" s="137" t="str">
        <f aca="false">IF(A265="","",A265-A264)</f>
        <v/>
      </c>
      <c r="AP264" s="212" t="str">
        <f aca="false">IF(A265="","",CHOOSE(F$3,A265+24,A264))</f>
        <v/>
      </c>
      <c r="AQ264" s="209" t="str">
        <f aca="false">IF(A265="","",AP264-$E$1)</f>
        <v/>
      </c>
      <c r="AR264" s="185" t="n">
        <f aca="false">'ANR OK vs ML7'!AR264</f>
        <v>0.1</v>
      </c>
      <c r="AS264" s="213" t="str">
        <f aca="false">IF(A265="","",1/(1+CHOOSE(F$3,(AR265+($I$3/10000))/2,(AR264+($I$3/10000))/2))^(2*AQ264/365.25))</f>
        <v/>
      </c>
      <c r="AT264" s="137" t="str">
        <f aca="false">IF(A265="","",IF(AND(mthbeg&lt;=A264,mthend&gt;=A264),1,0))</f>
        <v/>
      </c>
      <c r="AU264" s="137" t="str">
        <f aca="false">IF(A265="","",AO264*AT264)</f>
        <v/>
      </c>
      <c r="AW264" s="195" t="str">
        <f aca="false">IF($A265="","",AL264*$E264)</f>
        <v/>
      </c>
      <c r="AX264" s="195" t="str">
        <f aca="false">IF($A265="","",AM264*$E264)</f>
        <v/>
      </c>
      <c r="AY264" s="195" t="str">
        <f aca="false">IF($A265="","",AN264*$E264)</f>
        <v/>
      </c>
      <c r="BA264" s="195" t="str">
        <f aca="false">IF($A265="","",F264*Summary!$Q$13)</f>
        <v/>
      </c>
    </row>
    <row r="265" customFormat="false" ht="12" hidden="false" customHeight="true" outlineLevel="0" collapsed="false">
      <c r="A265" s="196" t="str">
        <f aca="false">IF(A264&lt;mthend,EDATE(A264,1),"")</f>
        <v/>
      </c>
      <c r="B265" s="197" t="str">
        <f aca="false">IF(A265&lt;mthend,B264,"")</f>
        <v/>
      </c>
      <c r="C265" s="215"/>
      <c r="D265" s="197" t="str">
        <f aca="false">IF(A266&lt;&gt;"",B265+C265,"")</f>
        <v/>
      </c>
      <c r="E265" s="199" t="str">
        <f aca="false">IF(A266="","",IF(AND(AT265=1,$H$3=1),D265*AO265,IF($H$3=2,D265,"N/A")))</f>
        <v/>
      </c>
      <c r="F265" s="199" t="str">
        <f aca="false">IF(A266="","",E265*AS265)</f>
        <v/>
      </c>
      <c r="G265" s="200" t="str">
        <f aca="false">IF($A266="","",VLOOKUP($A265,Table,MATCH(G$4,Curves,0)))</f>
        <v/>
      </c>
      <c r="H265" s="201" t="str">
        <f aca="false">IF(A266="","",G265)</f>
        <v/>
      </c>
      <c r="I265" s="202"/>
      <c r="J265" s="200" t="str">
        <f aca="false">IF($A266="","",VLOOKUP($A265,Table,MATCH(J$4,Curves,0)))</f>
        <v/>
      </c>
      <c r="K265" s="201" t="str">
        <f aca="false">IF(A266="","",J265)</f>
        <v/>
      </c>
      <c r="L265" s="185" t="n">
        <v>0</v>
      </c>
      <c r="M265" s="201" t="str">
        <f aca="false">IF(A266="","",L265)</f>
        <v/>
      </c>
      <c r="N265" s="203"/>
      <c r="O265" s="200" t="str">
        <f aca="false">IF(A266="","",L265+J265+G265)</f>
        <v/>
      </c>
      <c r="P265" s="200" t="str">
        <f aca="false">IF(A266="","",M265+K265+H265)</f>
        <v/>
      </c>
      <c r="Q265" s="204"/>
      <c r="R265" s="200" t="str">
        <f aca="false">IF($A266="","",VLOOKUP($A265,Table,MATCH(R$4,Curves,0)))</f>
        <v/>
      </c>
      <c r="S265" s="201" t="str">
        <f aca="false">IF(A266="","",R265)</f>
        <v/>
      </c>
      <c r="T265" s="185" t="n">
        <v>0</v>
      </c>
      <c r="U265" s="201" t="str">
        <f aca="false">IF(A266="","",T265)</f>
        <v/>
      </c>
      <c r="V265" s="205"/>
      <c r="W265" s="202" t="str">
        <f aca="false">IF($A266="","",(T265+R265+G265+V265))</f>
        <v/>
      </c>
      <c r="X265" s="202" t="str">
        <f aca="false">IF($A266="","",(U265+S265+H265+V265))</f>
        <v/>
      </c>
      <c r="Y265" s="202"/>
      <c r="Z265" s="185" t="str">
        <f aca="false">IF($A266="","",VLOOKUP($A265,Table,MATCH(Z$4,Curves,0)))</f>
        <v/>
      </c>
      <c r="AA265" s="185" t="str">
        <f aca="false">IF($A266="","",VLOOKUP($A265,Table,MATCH(AA$4,Curves,0)))</f>
        <v/>
      </c>
      <c r="AB265" s="185" t="e">
        <f aca="false">SQRT((AA265^2*(A265-$D$3)+Z265^2*(DAY(EOMONTH(A265,0))/2))/AK265)</f>
        <v>#VALUE!</v>
      </c>
      <c r="AC265" s="185" t="str">
        <f aca="false">IF($A266="","",VLOOKUP($A265,Table,MATCH(AC$4,Curves,0)))</f>
        <v/>
      </c>
      <c r="AD265" s="185" t="str">
        <f aca="false">IF($A266="","",VLOOKUP($A265,Table,MATCH(AD$4,Curves,0)))</f>
        <v/>
      </c>
      <c r="AE265" s="185" t="e">
        <f aca="false">SQRT((AD265^2*(A265-$D$3)+AC265^2*(DAY(EOMONTH(A265,0))/2))/AK265)</f>
        <v>#VALUE!</v>
      </c>
      <c r="AF265" s="224" t="e">
        <f aca="false">((Summary!$N$13*(AA265*AD265)*(A265-$D$3))+(Summary!$M$13*Z265*AC265*(AJ265-EOMONTH(EDATE(A265,-1),0))))/(AK265*AB265*AE265)</f>
        <v>#VALUE!</v>
      </c>
      <c r="AG265" s="207" t="str">
        <f aca="false">IF($A266="","",Summary!$Q$13)</f>
        <v/>
      </c>
      <c r="AH265" s="207" t="str">
        <f aca="false">IF($A266="","",IF(Summary!$R$12="Y",(VLOOKUP($A265,Summary!$AD$6:$AF$9,3)+'Escalating commodity'!I278),'Escalating commodity'!I278))</f>
        <v/>
      </c>
      <c r="AI265" s="207" t="str">
        <f aca="false">IF($A266="","",AH265)</f>
        <v/>
      </c>
      <c r="AJ265" s="208" t="e">
        <f aca="false">A265+DAY(EOMONTH(A265,0))/2-1</f>
        <v>#VALUE!</v>
      </c>
      <c r="AK265" s="209" t="str">
        <f aca="false">IF($A266="","",$A265-$E$1)</f>
        <v/>
      </c>
      <c r="AL265" s="182" t="str">
        <f aca="false">IF($A266="","",SPRDOPT(P265,X265,AI265,0,AB265,AE265,AF265,AK265,$AJ$2,0))</f>
        <v/>
      </c>
      <c r="AM265" s="210" t="str">
        <f aca="false">IF($A266="","",MAX(0,O265-W265-AI265))</f>
        <v/>
      </c>
      <c r="AN265" s="211" t="str">
        <f aca="false">IF($A266="","",AL265-AM265)</f>
        <v/>
      </c>
      <c r="AO265" s="137" t="str">
        <f aca="false">IF(A266="","",A266-A265)</f>
        <v/>
      </c>
      <c r="AP265" s="212" t="str">
        <f aca="false">IF(A266="","",CHOOSE(F$3,A266+24,A265))</f>
        <v/>
      </c>
      <c r="AQ265" s="209" t="str">
        <f aca="false">IF(A266="","",AP265-$E$1)</f>
        <v/>
      </c>
      <c r="AR265" s="185" t="n">
        <f aca="false">'ANR OK vs ML7'!AR265</f>
        <v>0.1</v>
      </c>
      <c r="AS265" s="213" t="str">
        <f aca="false">IF(A266="","",1/(1+CHOOSE(F$3,(AR266+($I$3/10000))/2,(AR265+($I$3/10000))/2))^(2*AQ265/365.25))</f>
        <v/>
      </c>
      <c r="AT265" s="137" t="str">
        <f aca="false">IF(A266="","",IF(AND(mthbeg&lt;=A265,mthend&gt;=A265),1,0))</f>
        <v/>
      </c>
      <c r="AU265" s="137" t="str">
        <f aca="false">IF(A266="","",AO265*AT265)</f>
        <v/>
      </c>
      <c r="AW265" s="195" t="str">
        <f aca="false">IF($A266="","",AL265*$E265)</f>
        <v/>
      </c>
      <c r="AX265" s="195" t="str">
        <f aca="false">IF($A266="","",AM265*$E265)</f>
        <v/>
      </c>
      <c r="AY265" s="195" t="str">
        <f aca="false">IF($A266="","",AN265*$E265)</f>
        <v/>
      </c>
      <c r="BA265" s="195" t="str">
        <f aca="false">IF($A266="","",F265*Summary!$Q$13)</f>
        <v/>
      </c>
    </row>
    <row r="266" customFormat="false" ht="12" hidden="false" customHeight="true" outlineLevel="0" collapsed="false">
      <c r="A266" s="196" t="str">
        <f aca="false">IF(A265&lt;mthend,EDATE(A265,1),"")</f>
        <v/>
      </c>
      <c r="B266" s="197" t="str">
        <f aca="false">IF(A266&lt;mthend,B265,"")</f>
        <v/>
      </c>
      <c r="C266" s="215"/>
      <c r="D266" s="197" t="str">
        <f aca="false">IF(A267&lt;&gt;"",B266+C266,"")</f>
        <v/>
      </c>
      <c r="E266" s="199" t="str">
        <f aca="false">IF(A267="","",IF(AND(AT266=1,$H$3=1),D266*AO266,IF($H$3=2,D266,"N/A")))</f>
        <v/>
      </c>
      <c r="F266" s="199" t="str">
        <f aca="false">IF(A267="","",E266*AS266)</f>
        <v/>
      </c>
      <c r="G266" s="200" t="str">
        <f aca="false">IF($A267="","",VLOOKUP($A266,Table,MATCH(G$4,Curves,0)))</f>
        <v/>
      </c>
      <c r="H266" s="201" t="str">
        <f aca="false">IF(A267="","",G266)</f>
        <v/>
      </c>
      <c r="I266" s="202"/>
      <c r="J266" s="200" t="str">
        <f aca="false">IF($A267="","",VLOOKUP($A266,Table,MATCH(J$4,Curves,0)))</f>
        <v/>
      </c>
      <c r="K266" s="201" t="str">
        <f aca="false">IF(A267="","",J266)</f>
        <v/>
      </c>
      <c r="L266" s="185" t="n">
        <v>0</v>
      </c>
      <c r="M266" s="201" t="str">
        <f aca="false">IF(A267="","",L266)</f>
        <v/>
      </c>
      <c r="N266" s="203"/>
      <c r="O266" s="200" t="str">
        <f aca="false">IF(A267="","",L266+J266+G266)</f>
        <v/>
      </c>
      <c r="P266" s="200" t="str">
        <f aca="false">IF(A267="","",M266+K266+H266)</f>
        <v/>
      </c>
      <c r="Q266" s="204"/>
      <c r="R266" s="200" t="str">
        <f aca="false">IF($A267="","",VLOOKUP($A266,Table,MATCH(R$4,Curves,0)))</f>
        <v/>
      </c>
      <c r="S266" s="201" t="str">
        <f aca="false">IF(A267="","",R266)</f>
        <v/>
      </c>
      <c r="T266" s="185" t="n">
        <v>0</v>
      </c>
      <c r="U266" s="201" t="str">
        <f aca="false">IF(A267="","",T266)</f>
        <v/>
      </c>
      <c r="V266" s="205"/>
      <c r="W266" s="202" t="str">
        <f aca="false">IF($A267="","",(T266+R266+G266+V266))</f>
        <v/>
      </c>
      <c r="X266" s="202" t="str">
        <f aca="false">IF($A267="","",(U266+S266+H266+V266))</f>
        <v/>
      </c>
      <c r="Y266" s="202"/>
      <c r="Z266" s="185" t="str">
        <f aca="false">IF($A267="","",VLOOKUP($A266,Table,MATCH(Z$4,Curves,0)))</f>
        <v/>
      </c>
      <c r="AA266" s="185" t="str">
        <f aca="false">IF($A267="","",VLOOKUP($A266,Table,MATCH(AA$4,Curves,0)))</f>
        <v/>
      </c>
      <c r="AB266" s="185" t="e">
        <f aca="false">SQRT((AA266^2*(A266-$D$3)+Z266^2*(DAY(EOMONTH(A266,0))/2))/AK266)</f>
        <v>#VALUE!</v>
      </c>
      <c r="AC266" s="185" t="str">
        <f aca="false">IF($A267="","",VLOOKUP($A266,Table,MATCH(AC$4,Curves,0)))</f>
        <v/>
      </c>
      <c r="AD266" s="185" t="str">
        <f aca="false">IF($A267="","",VLOOKUP($A266,Table,MATCH(AD$4,Curves,0)))</f>
        <v/>
      </c>
      <c r="AE266" s="185" t="e">
        <f aca="false">SQRT((AD266^2*(A266-$D$3)+AC266^2*(DAY(EOMONTH(A266,0))/2))/AK266)</f>
        <v>#VALUE!</v>
      </c>
      <c r="AF266" s="224" t="e">
        <f aca="false">((Summary!$N$13*(AA266*AD266)*(A266-$D$3))+(Summary!$M$13*Z266*AC266*(AJ266-EOMONTH(EDATE(A266,-1),0))))/(AK266*AB266*AE266)</f>
        <v>#VALUE!</v>
      </c>
      <c r="AG266" s="207" t="str">
        <f aca="false">IF($A267="","",Summary!$Q$13)</f>
        <v/>
      </c>
      <c r="AH266" s="207" t="str">
        <f aca="false">IF($A267="","",IF(Summary!$R$12="Y",(VLOOKUP($A266,Summary!$AD$6:$AF$9,3)+'Escalating commodity'!I279),'Escalating commodity'!I279))</f>
        <v/>
      </c>
      <c r="AI266" s="207" t="str">
        <f aca="false">IF($A267="","",AH266)</f>
        <v/>
      </c>
      <c r="AJ266" s="208" t="e">
        <f aca="false">A266+DAY(EOMONTH(A266,0))/2-1</f>
        <v>#VALUE!</v>
      </c>
      <c r="AK266" s="209" t="str">
        <f aca="false">IF($A267="","",$A266-$E$1)</f>
        <v/>
      </c>
      <c r="AL266" s="182" t="str">
        <f aca="false">IF($A267="","",SPRDOPT(P266,X266,AI266,0,AB266,AE266,AF266,AK266,$AJ$2,0))</f>
        <v/>
      </c>
      <c r="AM266" s="210" t="str">
        <f aca="false">IF($A267="","",MAX(0,O266-W266-AI266))</f>
        <v/>
      </c>
      <c r="AN266" s="211" t="str">
        <f aca="false">IF($A267="","",AL266-AM266)</f>
        <v/>
      </c>
      <c r="AO266" s="137" t="str">
        <f aca="false">IF(A267="","",A267-A266)</f>
        <v/>
      </c>
      <c r="AP266" s="212" t="str">
        <f aca="false">IF(A267="","",CHOOSE(F$3,A267+24,A266))</f>
        <v/>
      </c>
      <c r="AQ266" s="209" t="str">
        <f aca="false">IF(A267="","",AP266-$E$1)</f>
        <v/>
      </c>
      <c r="AR266" s="185" t="n">
        <f aca="false">'ANR OK vs ML7'!AR266</f>
        <v>0.1</v>
      </c>
      <c r="AS266" s="213" t="str">
        <f aca="false">IF(A267="","",1/(1+CHOOSE(F$3,(AR267+($I$3/10000))/2,(AR266+($I$3/10000))/2))^(2*AQ266/365.25))</f>
        <v/>
      </c>
      <c r="AT266" s="137" t="str">
        <f aca="false">IF(A267="","",IF(AND(mthbeg&lt;=A266,mthend&gt;=A266),1,0))</f>
        <v/>
      </c>
      <c r="AU266" s="137" t="str">
        <f aca="false">IF(A267="","",AO266*AT266)</f>
        <v/>
      </c>
      <c r="AW266" s="195" t="str">
        <f aca="false">IF($A267="","",AL266*$E266)</f>
        <v/>
      </c>
      <c r="AX266" s="195" t="str">
        <f aca="false">IF($A267="","",AM266*$E266)</f>
        <v/>
      </c>
      <c r="AY266" s="195" t="str">
        <f aca="false">IF($A267="","",AN266*$E266)</f>
        <v/>
      </c>
      <c r="BA266" s="195" t="str">
        <f aca="false">IF($A267="","",F266*Summary!$Q$13)</f>
        <v/>
      </c>
    </row>
    <row r="267" customFormat="false" ht="12" hidden="false" customHeight="true" outlineLevel="0" collapsed="false">
      <c r="A267" s="196" t="str">
        <f aca="false">IF(A266&lt;mthend,EDATE(A266,1),"")</f>
        <v/>
      </c>
      <c r="B267" s="197" t="str">
        <f aca="false">IF(A267&lt;mthend,B266,"")</f>
        <v/>
      </c>
      <c r="C267" s="215"/>
      <c r="D267" s="197" t="str">
        <f aca="false">IF(A268&lt;&gt;"",B267+C267,"")</f>
        <v/>
      </c>
      <c r="E267" s="199" t="str">
        <f aca="false">IF(A268="","",IF(AND(AT267=1,$H$3=1),D267*AO267,IF($H$3=2,D267,"N/A")))</f>
        <v/>
      </c>
      <c r="F267" s="199" t="str">
        <f aca="false">IF(A268="","",E267*AS267)</f>
        <v/>
      </c>
      <c r="G267" s="200" t="str">
        <f aca="false">IF($A268="","",VLOOKUP($A267,Table,MATCH(G$4,Curves,0)))</f>
        <v/>
      </c>
      <c r="H267" s="201" t="str">
        <f aca="false">IF(A268="","",G267)</f>
        <v/>
      </c>
      <c r="I267" s="202"/>
      <c r="J267" s="200" t="str">
        <f aca="false">IF($A268="","",VLOOKUP($A267,Table,MATCH(J$4,Curves,0)))</f>
        <v/>
      </c>
      <c r="K267" s="201" t="str">
        <f aca="false">IF(A268="","",J267)</f>
        <v/>
      </c>
      <c r="L267" s="185" t="n">
        <v>0</v>
      </c>
      <c r="M267" s="201" t="str">
        <f aca="false">IF(A268="","",L267)</f>
        <v/>
      </c>
      <c r="N267" s="203"/>
      <c r="O267" s="200" t="str">
        <f aca="false">IF(A268="","",L267+J267+G267)</f>
        <v/>
      </c>
      <c r="P267" s="200" t="str">
        <f aca="false">IF(A268="","",M267+K267+H267)</f>
        <v/>
      </c>
      <c r="Q267" s="204"/>
      <c r="R267" s="200" t="str">
        <f aca="false">IF($A268="","",VLOOKUP($A267,Table,MATCH(R$4,Curves,0)))</f>
        <v/>
      </c>
      <c r="S267" s="201" t="str">
        <f aca="false">IF(A268="","",R267)</f>
        <v/>
      </c>
      <c r="T267" s="185" t="n">
        <v>0</v>
      </c>
      <c r="U267" s="201" t="str">
        <f aca="false">IF(A268="","",T267)</f>
        <v/>
      </c>
      <c r="V267" s="205"/>
      <c r="W267" s="202" t="str">
        <f aca="false">IF($A268="","",(T267+R267+G267+V267))</f>
        <v/>
      </c>
      <c r="X267" s="202" t="str">
        <f aca="false">IF($A268="","",(U267+S267+H267+V267))</f>
        <v/>
      </c>
      <c r="Y267" s="202"/>
      <c r="Z267" s="185" t="str">
        <f aca="false">IF($A268="","",VLOOKUP($A267,Table,MATCH(Z$4,Curves,0)))</f>
        <v/>
      </c>
      <c r="AA267" s="185" t="str">
        <f aca="false">IF($A268="","",VLOOKUP($A267,Table,MATCH(AA$4,Curves,0)))</f>
        <v/>
      </c>
      <c r="AB267" s="185" t="e">
        <f aca="false">SQRT((AA267^2*(A267-$D$3)+Z267^2*(DAY(EOMONTH(A267,0))/2))/AK267)</f>
        <v>#VALUE!</v>
      </c>
      <c r="AC267" s="185" t="str">
        <f aca="false">IF($A268="","",VLOOKUP($A267,Table,MATCH(AC$4,Curves,0)))</f>
        <v/>
      </c>
      <c r="AD267" s="185" t="str">
        <f aca="false">IF($A268="","",VLOOKUP($A267,Table,MATCH(AD$4,Curves,0)))</f>
        <v/>
      </c>
      <c r="AE267" s="185" t="e">
        <f aca="false">SQRT((AD267^2*(A267-$D$3)+AC267^2*(DAY(EOMONTH(A267,0))/2))/AK267)</f>
        <v>#VALUE!</v>
      </c>
      <c r="AF267" s="224" t="e">
        <f aca="false">((Summary!$N$13*(AA267*AD267)*(A267-$D$3))+(Summary!$M$13*Z267*AC267*(AJ267-EOMONTH(EDATE(A267,-1),0))))/(AK267*AB267*AE267)</f>
        <v>#VALUE!</v>
      </c>
      <c r="AG267" s="207" t="str">
        <f aca="false">IF($A268="","",Summary!$Q$13)</f>
        <v/>
      </c>
      <c r="AH267" s="207" t="str">
        <f aca="false">IF($A268="","",IF(Summary!$R$12="Y",(VLOOKUP($A267,Summary!$AD$6:$AF$9,3)+'Escalating commodity'!I280),'Escalating commodity'!I280))</f>
        <v/>
      </c>
      <c r="AI267" s="207" t="str">
        <f aca="false">IF($A268="","",AH267)</f>
        <v/>
      </c>
      <c r="AJ267" s="208" t="e">
        <f aca="false">A267+DAY(EOMONTH(A267,0))/2-1</f>
        <v>#VALUE!</v>
      </c>
      <c r="AK267" s="209" t="str">
        <f aca="false">IF($A268="","",$A267-$E$1)</f>
        <v/>
      </c>
      <c r="AL267" s="182" t="str">
        <f aca="false">IF($A268="","",SPRDOPT(P267,X267,AI267,0,AB267,AE267,AF267,AK267,$AJ$2,0))</f>
        <v/>
      </c>
      <c r="AM267" s="210" t="str">
        <f aca="false">IF($A268="","",MAX(0,O267-W267-AI267))</f>
        <v/>
      </c>
      <c r="AN267" s="211" t="str">
        <f aca="false">IF($A268="","",AL267-AM267)</f>
        <v/>
      </c>
      <c r="AO267" s="137" t="str">
        <f aca="false">IF(A268="","",A268-A267)</f>
        <v/>
      </c>
      <c r="AP267" s="212" t="str">
        <f aca="false">IF(A268="","",CHOOSE(F$3,A268+24,A267))</f>
        <v/>
      </c>
      <c r="AQ267" s="209" t="str">
        <f aca="false">IF(A268="","",AP267-$E$1)</f>
        <v/>
      </c>
      <c r="AR267" s="185" t="n">
        <f aca="false">'ANR OK vs ML7'!AR267</f>
        <v>0.1</v>
      </c>
      <c r="AS267" s="213" t="str">
        <f aca="false">IF(A268="","",1/(1+CHOOSE(F$3,(AR268+($I$3/10000))/2,(AR267+($I$3/10000))/2))^(2*AQ267/365.25))</f>
        <v/>
      </c>
      <c r="AT267" s="137" t="str">
        <f aca="false">IF(A268="","",IF(AND(mthbeg&lt;=A267,mthend&gt;=A267),1,0))</f>
        <v/>
      </c>
      <c r="AU267" s="137" t="str">
        <f aca="false">IF(A268="","",AO267*AT267)</f>
        <v/>
      </c>
      <c r="AW267" s="195" t="str">
        <f aca="false">IF($A268="","",AL267*$E267)</f>
        <v/>
      </c>
      <c r="AX267" s="195" t="str">
        <f aca="false">IF($A268="","",AM267*$E267)</f>
        <v/>
      </c>
      <c r="AY267" s="195" t="str">
        <f aca="false">IF($A268="","",AN267*$E267)</f>
        <v/>
      </c>
      <c r="BA267" s="195" t="str">
        <f aca="false">IF($A268="","",F267*Summary!$Q$13)</f>
        <v/>
      </c>
    </row>
    <row r="268" customFormat="false" ht="12" hidden="false" customHeight="true" outlineLevel="0" collapsed="false">
      <c r="A268" s="196" t="str">
        <f aca="false">IF(A267&lt;mthend,EDATE(A267,1),"")</f>
        <v/>
      </c>
      <c r="B268" s="197" t="str">
        <f aca="false">IF(A268&lt;mthend,B267,"")</f>
        <v/>
      </c>
      <c r="C268" s="215"/>
      <c r="D268" s="197" t="str">
        <f aca="false">IF(A269&lt;&gt;"",B268+C268,"")</f>
        <v/>
      </c>
      <c r="E268" s="199" t="str">
        <f aca="false">IF(A269="","",IF(AND(AT268=1,$H$3=1),D268*AO268,IF($H$3=2,D268,"N/A")))</f>
        <v/>
      </c>
      <c r="F268" s="199" t="str">
        <f aca="false">IF(A269="","",E268*AS268)</f>
        <v/>
      </c>
      <c r="G268" s="200" t="str">
        <f aca="false">IF($A269="","",VLOOKUP($A268,Table,MATCH(G$4,Curves,0)))</f>
        <v/>
      </c>
      <c r="H268" s="201" t="str">
        <f aca="false">IF(A269="","",G268)</f>
        <v/>
      </c>
      <c r="I268" s="202"/>
      <c r="J268" s="200" t="str">
        <f aca="false">IF($A269="","",VLOOKUP($A268,Table,MATCH(J$4,Curves,0)))</f>
        <v/>
      </c>
      <c r="K268" s="201" t="str">
        <f aca="false">IF(A269="","",J268)</f>
        <v/>
      </c>
      <c r="L268" s="185" t="n">
        <v>0</v>
      </c>
      <c r="M268" s="201" t="str">
        <f aca="false">IF(A269="","",L268)</f>
        <v/>
      </c>
      <c r="N268" s="203"/>
      <c r="O268" s="200" t="str">
        <f aca="false">IF(A269="","",L268+J268+G268)</f>
        <v/>
      </c>
      <c r="P268" s="200" t="str">
        <f aca="false">IF(A269="","",M268+K268+H268)</f>
        <v/>
      </c>
      <c r="Q268" s="204"/>
      <c r="R268" s="200" t="str">
        <f aca="false">IF($A269="","",VLOOKUP($A268,Table,MATCH(R$4,Curves,0)))</f>
        <v/>
      </c>
      <c r="S268" s="201" t="str">
        <f aca="false">IF(A269="","",R268)</f>
        <v/>
      </c>
      <c r="T268" s="185" t="n">
        <v>0</v>
      </c>
      <c r="U268" s="201" t="str">
        <f aca="false">IF(A269="","",T268)</f>
        <v/>
      </c>
      <c r="V268" s="205"/>
      <c r="W268" s="202" t="str">
        <f aca="false">IF($A269="","",(T268+R268+G268+V268))</f>
        <v/>
      </c>
      <c r="X268" s="202" t="str">
        <f aca="false">IF($A269="","",(U268+S268+H268+V268))</f>
        <v/>
      </c>
      <c r="Y268" s="202"/>
      <c r="Z268" s="185" t="str">
        <f aca="false">IF($A269="","",VLOOKUP($A268,Table,MATCH(Z$4,Curves,0)))</f>
        <v/>
      </c>
      <c r="AA268" s="185" t="str">
        <f aca="false">IF($A269="","",VLOOKUP($A268,Table,MATCH(AA$4,Curves,0)))</f>
        <v/>
      </c>
      <c r="AB268" s="185" t="e">
        <f aca="false">SQRT((AA268^2*(A268-$D$3)+Z268^2*(DAY(EOMONTH(A268,0))/2))/AK268)</f>
        <v>#VALUE!</v>
      </c>
      <c r="AC268" s="185" t="str">
        <f aca="false">IF($A269="","",VLOOKUP($A268,Table,MATCH(AC$4,Curves,0)))</f>
        <v/>
      </c>
      <c r="AD268" s="185" t="str">
        <f aca="false">IF($A269="","",VLOOKUP($A268,Table,MATCH(AD$4,Curves,0)))</f>
        <v/>
      </c>
      <c r="AE268" s="185" t="e">
        <f aca="false">SQRT((AD268^2*(A268-$D$3)+AC268^2*(DAY(EOMONTH(A268,0))/2))/AK268)</f>
        <v>#VALUE!</v>
      </c>
      <c r="AF268" s="224" t="e">
        <f aca="false">((Summary!$N$13*(AA268*AD268)*(A268-$D$3))+(Summary!$M$13*Z268*AC268*(AJ268-EOMONTH(EDATE(A268,-1),0))))/(AK268*AB268*AE268)</f>
        <v>#VALUE!</v>
      </c>
      <c r="AG268" s="207" t="str">
        <f aca="false">IF($A269="","",Summary!$Q$13)</f>
        <v/>
      </c>
      <c r="AH268" s="207" t="str">
        <f aca="false">IF($A269="","",IF(Summary!$R$12="Y",(VLOOKUP($A268,Summary!$AD$6:$AF$9,3)+'Escalating commodity'!I281),'Escalating commodity'!I281))</f>
        <v/>
      </c>
      <c r="AI268" s="207" t="str">
        <f aca="false">IF($A269="","",AH268)</f>
        <v/>
      </c>
      <c r="AJ268" s="208" t="e">
        <f aca="false">A268+DAY(EOMONTH(A268,0))/2-1</f>
        <v>#VALUE!</v>
      </c>
      <c r="AK268" s="209" t="str">
        <f aca="false">IF($A269="","",$A268-$E$1)</f>
        <v/>
      </c>
      <c r="AL268" s="182" t="str">
        <f aca="false">IF($A269="","",SPRDOPT(P268,X268,AI268,0,AB268,AE268,AF268,AK268,$AJ$2,0))</f>
        <v/>
      </c>
      <c r="AM268" s="210" t="str">
        <f aca="false">IF($A269="","",MAX(0,O268-W268-AI268))</f>
        <v/>
      </c>
      <c r="AN268" s="211" t="str">
        <f aca="false">IF($A269="","",AL268-AM268)</f>
        <v/>
      </c>
      <c r="AO268" s="137" t="str">
        <f aca="false">IF(A269="","",A269-A268)</f>
        <v/>
      </c>
      <c r="AP268" s="212" t="str">
        <f aca="false">IF(A269="","",CHOOSE(F$3,A269+24,A268))</f>
        <v/>
      </c>
      <c r="AQ268" s="209" t="str">
        <f aca="false">IF(A269="","",AP268-$E$1)</f>
        <v/>
      </c>
      <c r="AR268" s="185" t="n">
        <f aca="false">'ANR OK vs ML7'!AR268</f>
        <v>0.1</v>
      </c>
      <c r="AS268" s="213" t="str">
        <f aca="false">IF(A269="","",1/(1+CHOOSE(F$3,(AR269+($I$3/10000))/2,(AR268+($I$3/10000))/2))^(2*AQ268/365.25))</f>
        <v/>
      </c>
      <c r="AT268" s="137" t="str">
        <f aca="false">IF(A269="","",IF(AND(mthbeg&lt;=A268,mthend&gt;=A268),1,0))</f>
        <v/>
      </c>
      <c r="AU268" s="137" t="str">
        <f aca="false">IF(A269="","",AO268*AT268)</f>
        <v/>
      </c>
      <c r="AW268" s="195" t="str">
        <f aca="false">IF($A269="","",AL268*$E268)</f>
        <v/>
      </c>
      <c r="AX268" s="195" t="str">
        <f aca="false">IF($A269="","",AM268*$E268)</f>
        <v/>
      </c>
      <c r="AY268" s="195" t="str">
        <f aca="false">IF($A269="","",AN268*$E268)</f>
        <v/>
      </c>
      <c r="BA268" s="195" t="str">
        <f aca="false">IF($A269="","",F268*Summary!$Q$13)</f>
        <v/>
      </c>
    </row>
    <row r="269" customFormat="false" ht="12" hidden="false" customHeight="true" outlineLevel="0" collapsed="false">
      <c r="A269" s="196" t="str">
        <f aca="false">IF(A268&lt;mthend,EDATE(A268,1),"")</f>
        <v/>
      </c>
      <c r="B269" s="197" t="str">
        <f aca="false">IF(A269&lt;mthend,B268,"")</f>
        <v/>
      </c>
      <c r="C269" s="215"/>
      <c r="D269" s="197" t="str">
        <f aca="false">IF(A270&lt;&gt;"",B269+C269,"")</f>
        <v/>
      </c>
      <c r="E269" s="199" t="str">
        <f aca="false">IF(A270="","",IF(AND(AT269=1,$H$3=1),D269*AO269,IF($H$3=2,D269,"N/A")))</f>
        <v/>
      </c>
      <c r="F269" s="199" t="str">
        <f aca="false">IF(A270="","",E269*AS269)</f>
        <v/>
      </c>
      <c r="G269" s="200" t="str">
        <f aca="false">IF($A270="","",VLOOKUP($A269,Table,MATCH(G$4,Curves,0)))</f>
        <v/>
      </c>
      <c r="H269" s="201" t="str">
        <f aca="false">IF(A270="","",G269)</f>
        <v/>
      </c>
      <c r="I269" s="202"/>
      <c r="J269" s="200" t="str">
        <f aca="false">IF($A270="","",VLOOKUP($A269,Table,MATCH(J$4,Curves,0)))</f>
        <v/>
      </c>
      <c r="K269" s="201" t="str">
        <f aca="false">IF(A270="","",J269)</f>
        <v/>
      </c>
      <c r="L269" s="185" t="n">
        <v>0</v>
      </c>
      <c r="M269" s="201" t="str">
        <f aca="false">IF(A270="","",L269)</f>
        <v/>
      </c>
      <c r="N269" s="203"/>
      <c r="O269" s="200" t="str">
        <f aca="false">IF(A270="","",L269+J269+G269)</f>
        <v/>
      </c>
      <c r="P269" s="200" t="str">
        <f aca="false">IF(A270="","",M269+K269+H269)</f>
        <v/>
      </c>
      <c r="Q269" s="204"/>
      <c r="R269" s="200" t="str">
        <f aca="false">IF($A270="","",VLOOKUP($A269,Table,MATCH(R$4,Curves,0)))</f>
        <v/>
      </c>
      <c r="S269" s="201" t="str">
        <f aca="false">IF(A270="","",R269)</f>
        <v/>
      </c>
      <c r="T269" s="185" t="n">
        <v>0</v>
      </c>
      <c r="U269" s="201" t="str">
        <f aca="false">IF(A270="","",T269)</f>
        <v/>
      </c>
      <c r="V269" s="205"/>
      <c r="W269" s="202" t="str">
        <f aca="false">IF($A270="","",(T269+R269+G269+V269))</f>
        <v/>
      </c>
      <c r="X269" s="202" t="str">
        <f aca="false">IF($A270="","",(U269+S269+H269+V269))</f>
        <v/>
      </c>
      <c r="Y269" s="202"/>
      <c r="Z269" s="185" t="str">
        <f aca="false">IF($A270="","",VLOOKUP($A269,Table,MATCH(Z$4,Curves,0)))</f>
        <v/>
      </c>
      <c r="AA269" s="185" t="str">
        <f aca="false">IF($A270="","",VLOOKUP($A269,Table,MATCH(AA$4,Curves,0)))</f>
        <v/>
      </c>
      <c r="AB269" s="185" t="e">
        <f aca="false">SQRT((AA269^2*(A269-$D$3)+Z269^2*(DAY(EOMONTH(A269,0))/2))/AK269)</f>
        <v>#VALUE!</v>
      </c>
      <c r="AC269" s="185" t="str">
        <f aca="false">IF($A270="","",VLOOKUP($A269,Table,MATCH(AC$4,Curves,0)))</f>
        <v/>
      </c>
      <c r="AD269" s="185" t="str">
        <f aca="false">IF($A270="","",VLOOKUP($A269,Table,MATCH(AD$4,Curves,0)))</f>
        <v/>
      </c>
      <c r="AE269" s="185" t="e">
        <f aca="false">SQRT((AD269^2*(A269-$D$3)+AC269^2*(DAY(EOMONTH(A269,0))/2))/AK269)</f>
        <v>#VALUE!</v>
      </c>
      <c r="AF269" s="224" t="e">
        <f aca="false">((Summary!$N$13*(AA269*AD269)*(A269-$D$3))+(Summary!$M$13*Z269*AC269*(AJ269-EOMONTH(EDATE(A269,-1),0))))/(AK269*AB269*AE269)</f>
        <v>#VALUE!</v>
      </c>
      <c r="AG269" s="207" t="str">
        <f aca="false">IF($A270="","",Summary!$Q$13)</f>
        <v/>
      </c>
      <c r="AH269" s="207" t="str">
        <f aca="false">IF($A270="","",IF(Summary!$R$12="Y",(VLOOKUP($A269,Summary!$AD$6:$AF$9,3)+'Escalating commodity'!I282),'Escalating commodity'!I282))</f>
        <v/>
      </c>
      <c r="AI269" s="207" t="str">
        <f aca="false">IF($A270="","",AH269)</f>
        <v/>
      </c>
      <c r="AJ269" s="208" t="e">
        <f aca="false">A269+DAY(EOMONTH(A269,0))/2-1</f>
        <v>#VALUE!</v>
      </c>
      <c r="AK269" s="209" t="str">
        <f aca="false">IF($A270="","",$A269-$E$1)</f>
        <v/>
      </c>
      <c r="AL269" s="182" t="str">
        <f aca="false">IF($A270="","",SPRDOPT(P269,X269,AI269,0,AB269,AE269,AF269,AK269,$AJ$2,0))</f>
        <v/>
      </c>
      <c r="AM269" s="210" t="str">
        <f aca="false">IF($A270="","",MAX(0,O269-W269-AI269))</f>
        <v/>
      </c>
      <c r="AN269" s="211" t="str">
        <f aca="false">IF($A270="","",AL269-AM269)</f>
        <v/>
      </c>
      <c r="AO269" s="137" t="str">
        <f aca="false">IF(A270="","",A270-A269)</f>
        <v/>
      </c>
      <c r="AP269" s="212" t="str">
        <f aca="false">IF(A270="","",CHOOSE(F$3,A270+24,A269))</f>
        <v/>
      </c>
      <c r="AQ269" s="209" t="str">
        <f aca="false">IF(A270="","",AP269-$E$1)</f>
        <v/>
      </c>
      <c r="AR269" s="185" t="n">
        <f aca="false">'ANR OK vs ML7'!AR269</f>
        <v>0.1</v>
      </c>
      <c r="AS269" s="213" t="str">
        <f aca="false">IF(A270="","",1/(1+CHOOSE(F$3,(AR270+($I$3/10000))/2,(AR269+($I$3/10000))/2))^(2*AQ269/365.25))</f>
        <v/>
      </c>
      <c r="AT269" s="137" t="str">
        <f aca="false">IF(A270="","",IF(AND(mthbeg&lt;=A269,mthend&gt;=A269),1,0))</f>
        <v/>
      </c>
      <c r="AU269" s="137" t="str">
        <f aca="false">IF(A270="","",AO269*AT269)</f>
        <v/>
      </c>
      <c r="AW269" s="195" t="str">
        <f aca="false">IF($A270="","",AL269*$E269)</f>
        <v/>
      </c>
      <c r="AX269" s="195" t="str">
        <f aca="false">IF($A270="","",AM269*$E269)</f>
        <v/>
      </c>
      <c r="AY269" s="195" t="str">
        <f aca="false">IF($A270="","",AN269*$E269)</f>
        <v/>
      </c>
      <c r="BA269" s="195" t="str">
        <f aca="false">IF($A270="","",F269*Summary!$Q$13)</f>
        <v/>
      </c>
    </row>
    <row r="270" customFormat="false" ht="12" hidden="false" customHeight="true" outlineLevel="0" collapsed="false">
      <c r="A270" s="196" t="str">
        <f aca="false">IF(A269&lt;mthend,EDATE(A269,1),"")</f>
        <v/>
      </c>
      <c r="B270" s="197" t="str">
        <f aca="false">IF(A270&lt;mthend,B269,"")</f>
        <v/>
      </c>
      <c r="C270" s="215"/>
      <c r="D270" s="197" t="str">
        <f aca="false">IF(A271&lt;&gt;"",B270+C270,"")</f>
        <v/>
      </c>
      <c r="E270" s="199" t="str">
        <f aca="false">IF(A271="","",IF(AND(AT270=1,$H$3=1),D270*AO270,IF($H$3=2,D270,"N/A")))</f>
        <v/>
      </c>
      <c r="F270" s="199" t="str">
        <f aca="false">IF(A271="","",E270*AS270)</f>
        <v/>
      </c>
      <c r="G270" s="200" t="str">
        <f aca="false">IF($A271="","",VLOOKUP($A270,Table,MATCH(G$4,Curves,0)))</f>
        <v/>
      </c>
      <c r="H270" s="201" t="str">
        <f aca="false">IF(A271="","",G270)</f>
        <v/>
      </c>
      <c r="I270" s="202"/>
      <c r="J270" s="200" t="str">
        <f aca="false">IF($A271="","",VLOOKUP($A270,Table,MATCH(J$4,Curves,0)))</f>
        <v/>
      </c>
      <c r="K270" s="201" t="str">
        <f aca="false">IF(A271="","",J270)</f>
        <v/>
      </c>
      <c r="L270" s="185" t="n">
        <v>0</v>
      </c>
      <c r="M270" s="201" t="str">
        <f aca="false">IF(A271="","",L270)</f>
        <v/>
      </c>
      <c r="N270" s="203"/>
      <c r="O270" s="200" t="str">
        <f aca="false">IF(A271="","",L270+J270+G270)</f>
        <v/>
      </c>
      <c r="P270" s="200" t="str">
        <f aca="false">IF(A271="","",M270+K270+H270)</f>
        <v/>
      </c>
      <c r="Q270" s="204"/>
      <c r="R270" s="200" t="str">
        <f aca="false">IF($A271="","",VLOOKUP($A270,Table,MATCH(R$4,Curves,0)))</f>
        <v/>
      </c>
      <c r="S270" s="201" t="str">
        <f aca="false">IF(A271="","",R270)</f>
        <v/>
      </c>
      <c r="T270" s="185" t="n">
        <v>0</v>
      </c>
      <c r="U270" s="201" t="str">
        <f aca="false">IF(A271="","",T270)</f>
        <v/>
      </c>
      <c r="V270" s="205"/>
      <c r="W270" s="202" t="str">
        <f aca="false">IF($A271="","",(T270+R270+G270+V270))</f>
        <v/>
      </c>
      <c r="X270" s="202" t="str">
        <f aca="false">IF($A271="","",(U270+S270+H270+V270))</f>
        <v/>
      </c>
      <c r="Y270" s="202"/>
      <c r="Z270" s="185" t="str">
        <f aca="false">IF($A271="","",VLOOKUP($A270,Table,MATCH(Z$4,Curves,0)))</f>
        <v/>
      </c>
      <c r="AA270" s="185" t="str">
        <f aca="false">IF($A271="","",VLOOKUP($A270,Table,MATCH(AA$4,Curves,0)))</f>
        <v/>
      </c>
      <c r="AB270" s="185" t="e">
        <f aca="false">SQRT((AA270^2*(A270-$D$3)+Z270^2*(DAY(EOMONTH(A270,0))/2))/AK270)</f>
        <v>#VALUE!</v>
      </c>
      <c r="AC270" s="185" t="str">
        <f aca="false">IF($A271="","",VLOOKUP($A270,Table,MATCH(AC$4,Curves,0)))</f>
        <v/>
      </c>
      <c r="AD270" s="185" t="str">
        <f aca="false">IF($A271="","",VLOOKUP($A270,Table,MATCH(AD$4,Curves,0)))</f>
        <v/>
      </c>
      <c r="AE270" s="185" t="e">
        <f aca="false">SQRT((AD270^2*(A270-$D$3)+AC270^2*(DAY(EOMONTH(A270,0))/2))/AK270)</f>
        <v>#VALUE!</v>
      </c>
      <c r="AF270" s="224" t="e">
        <f aca="false">((Summary!$N$13*(AA270*AD270)*(A270-$D$3))+(Summary!$M$13*Z270*AC270*(AJ270-EOMONTH(EDATE(A270,-1),0))))/(AK270*AB270*AE270)</f>
        <v>#VALUE!</v>
      </c>
      <c r="AG270" s="207" t="str">
        <f aca="false">IF($A271="","",Summary!$Q$13)</f>
        <v/>
      </c>
      <c r="AH270" s="207" t="str">
        <f aca="false">IF($A271="","",IF(Summary!$R$12="Y",(VLOOKUP($A270,Summary!$AD$6:$AF$9,3)+'Escalating commodity'!I283),'Escalating commodity'!I283))</f>
        <v/>
      </c>
      <c r="AI270" s="207" t="str">
        <f aca="false">IF($A271="","",AH270)</f>
        <v/>
      </c>
      <c r="AJ270" s="208" t="e">
        <f aca="false">A270+DAY(EOMONTH(A270,0))/2-1</f>
        <v>#VALUE!</v>
      </c>
      <c r="AK270" s="209" t="str">
        <f aca="false">IF($A271="","",$A270-$E$1)</f>
        <v/>
      </c>
      <c r="AL270" s="182" t="str">
        <f aca="false">IF($A271="","",SPRDOPT(P270,X270,AI270,0,AB270,AE270,AF270,AK270,$AJ$2,0))</f>
        <v/>
      </c>
      <c r="AM270" s="210" t="str">
        <f aca="false">IF($A271="","",MAX(0,O270-W270-AI270))</f>
        <v/>
      </c>
      <c r="AN270" s="211" t="str">
        <f aca="false">IF($A271="","",AL270-AM270)</f>
        <v/>
      </c>
      <c r="AO270" s="137" t="str">
        <f aca="false">IF(A271="","",A271-A270)</f>
        <v/>
      </c>
      <c r="AP270" s="212" t="str">
        <f aca="false">IF(A271="","",CHOOSE(F$3,A271+24,A270))</f>
        <v/>
      </c>
      <c r="AQ270" s="209" t="str">
        <f aca="false">IF(A271="","",AP270-$E$1)</f>
        <v/>
      </c>
      <c r="AR270" s="185" t="n">
        <f aca="false">'ANR OK vs ML7'!AR270</f>
        <v>0.1</v>
      </c>
      <c r="AS270" s="213" t="str">
        <f aca="false">IF(A271="","",1/(1+CHOOSE(F$3,(AR271+($I$3/10000))/2,(AR270+($I$3/10000))/2))^(2*AQ270/365.25))</f>
        <v/>
      </c>
      <c r="AT270" s="137" t="str">
        <f aca="false">IF(A271="","",IF(AND(mthbeg&lt;=A270,mthend&gt;=A270),1,0))</f>
        <v/>
      </c>
      <c r="AU270" s="137" t="str">
        <f aca="false">IF(A271="","",AO270*AT270)</f>
        <v/>
      </c>
      <c r="AW270" s="195" t="str">
        <f aca="false">IF($A271="","",AL270*$E270)</f>
        <v/>
      </c>
      <c r="AX270" s="195" t="str">
        <f aca="false">IF($A271="","",AM270*$E270)</f>
        <v/>
      </c>
      <c r="AY270" s="195" t="str">
        <f aca="false">IF($A271="","",AN270*$E270)</f>
        <v/>
      </c>
      <c r="BA270" s="195" t="str">
        <f aca="false">IF($A271="","",F270*Summary!$Q$13)</f>
        <v/>
      </c>
    </row>
    <row r="271" customFormat="false" ht="12" hidden="false" customHeight="true" outlineLevel="0" collapsed="false">
      <c r="A271" s="196" t="str">
        <f aca="false">IF(A270&lt;mthend,EDATE(A270,1),"")</f>
        <v/>
      </c>
      <c r="B271" s="197" t="str">
        <f aca="false">IF(A271&lt;mthend,B270,"")</f>
        <v/>
      </c>
      <c r="C271" s="215"/>
      <c r="D271" s="197" t="str">
        <f aca="false">IF(A272&lt;&gt;"",B271+C271,"")</f>
        <v/>
      </c>
      <c r="E271" s="199" t="str">
        <f aca="false">IF(A272="","",IF(AND(AT271=1,$H$3=1),D271*AO271,IF($H$3=2,D271,"N/A")))</f>
        <v/>
      </c>
      <c r="F271" s="199" t="str">
        <f aca="false">IF(A272="","",E271*AS271)</f>
        <v/>
      </c>
      <c r="G271" s="200" t="str">
        <f aca="false">IF($A272="","",VLOOKUP($A271,Table,MATCH(G$4,Curves,0)))</f>
        <v/>
      </c>
      <c r="H271" s="201" t="str">
        <f aca="false">IF(A272="","",G271)</f>
        <v/>
      </c>
      <c r="I271" s="202"/>
      <c r="J271" s="200" t="str">
        <f aca="false">IF($A272="","",VLOOKUP($A271,Table,MATCH(J$4,Curves,0)))</f>
        <v/>
      </c>
      <c r="K271" s="201" t="str">
        <f aca="false">IF(A272="","",J271)</f>
        <v/>
      </c>
      <c r="L271" s="185" t="n">
        <v>0</v>
      </c>
      <c r="M271" s="201" t="str">
        <f aca="false">IF(A272="","",L271)</f>
        <v/>
      </c>
      <c r="N271" s="203"/>
      <c r="O271" s="200" t="str">
        <f aca="false">IF(A272="","",L271+J271+G271)</f>
        <v/>
      </c>
      <c r="P271" s="200" t="str">
        <f aca="false">IF(A272="","",M271+K271+H271)</f>
        <v/>
      </c>
      <c r="Q271" s="204"/>
      <c r="R271" s="200" t="str">
        <f aca="false">IF($A272="","",VLOOKUP($A271,Table,MATCH(R$4,Curves,0)))</f>
        <v/>
      </c>
      <c r="S271" s="201" t="str">
        <f aca="false">IF(A272="","",R271)</f>
        <v/>
      </c>
      <c r="T271" s="185" t="n">
        <v>0</v>
      </c>
      <c r="U271" s="201" t="str">
        <f aca="false">IF(A272="","",T271)</f>
        <v/>
      </c>
      <c r="V271" s="205"/>
      <c r="W271" s="202" t="str">
        <f aca="false">IF($A272="","",(T271+R271+G271+V271))</f>
        <v/>
      </c>
      <c r="X271" s="202" t="str">
        <f aca="false">IF($A272="","",(U271+S271+H271+V271))</f>
        <v/>
      </c>
      <c r="Y271" s="202"/>
      <c r="Z271" s="185" t="str">
        <f aca="false">IF($A272="","",VLOOKUP($A271,Table,MATCH(Z$4,Curves,0)))</f>
        <v/>
      </c>
      <c r="AA271" s="185" t="str">
        <f aca="false">IF($A272="","",VLOOKUP($A271,Table,MATCH(AA$4,Curves,0)))</f>
        <v/>
      </c>
      <c r="AB271" s="185" t="e">
        <f aca="false">SQRT((AA271^2*(A271-$D$3)+Z271^2*(DAY(EOMONTH(A271,0))/2))/AK271)</f>
        <v>#VALUE!</v>
      </c>
      <c r="AC271" s="185" t="str">
        <f aca="false">IF($A272="","",VLOOKUP($A271,Table,MATCH(AC$4,Curves,0)))</f>
        <v/>
      </c>
      <c r="AD271" s="185" t="str">
        <f aca="false">IF($A272="","",VLOOKUP($A271,Table,MATCH(AD$4,Curves,0)))</f>
        <v/>
      </c>
      <c r="AE271" s="185" t="e">
        <f aca="false">SQRT((AD271^2*(A271-$D$3)+AC271^2*(DAY(EOMONTH(A271,0))/2))/AK271)</f>
        <v>#VALUE!</v>
      </c>
      <c r="AF271" s="224" t="e">
        <f aca="false">((Summary!$N$13*(AA271*AD271)*(A271-$D$3))+(Summary!$M$13*Z271*AC271*(AJ271-EOMONTH(EDATE(A271,-1),0))))/(AK271*AB271*AE271)</f>
        <v>#VALUE!</v>
      </c>
      <c r="AG271" s="207" t="str">
        <f aca="false">IF($A272="","",Summary!$Q$13)</f>
        <v/>
      </c>
      <c r="AH271" s="207" t="str">
        <f aca="false">IF($A272="","",IF(Summary!$R$12="Y",(VLOOKUP($A271,Summary!$AD$6:$AF$9,3)+'Escalating commodity'!I284),'Escalating commodity'!I284))</f>
        <v/>
      </c>
      <c r="AI271" s="207" t="str">
        <f aca="false">IF($A272="","",AH271)</f>
        <v/>
      </c>
      <c r="AJ271" s="208" t="e">
        <f aca="false">A271+DAY(EOMONTH(A271,0))/2-1</f>
        <v>#VALUE!</v>
      </c>
      <c r="AK271" s="209" t="str">
        <f aca="false">IF($A272="","",$A271-$E$1)</f>
        <v/>
      </c>
      <c r="AL271" s="182" t="str">
        <f aca="false">IF($A272="","",SPRDOPT(P271,X271,AI271,0,AB271,AE271,AF271,AK271,$AJ$2,0))</f>
        <v/>
      </c>
      <c r="AM271" s="210" t="str">
        <f aca="false">IF($A272="","",MAX(0,O271-W271-AI271))</f>
        <v/>
      </c>
      <c r="AN271" s="211" t="str">
        <f aca="false">IF($A272="","",AL271-AM271)</f>
        <v/>
      </c>
      <c r="AO271" s="137" t="str">
        <f aca="false">IF(A272="","",A272-A271)</f>
        <v/>
      </c>
      <c r="AP271" s="212" t="str">
        <f aca="false">IF(A272="","",CHOOSE(F$3,A272+24,A271))</f>
        <v/>
      </c>
      <c r="AQ271" s="209" t="str">
        <f aca="false">IF(A272="","",AP271-$E$1)</f>
        <v/>
      </c>
      <c r="AR271" s="185" t="n">
        <f aca="false">'ANR OK vs ML7'!AR271</f>
        <v>0.1</v>
      </c>
      <c r="AS271" s="213" t="str">
        <f aca="false">IF(A272="","",1/(1+CHOOSE(F$3,(AR272+($I$3/10000))/2,(AR271+($I$3/10000))/2))^(2*AQ271/365.25))</f>
        <v/>
      </c>
      <c r="AT271" s="137" t="str">
        <f aca="false">IF(A272="","",IF(AND(mthbeg&lt;=A271,mthend&gt;=A271),1,0))</f>
        <v/>
      </c>
      <c r="AU271" s="137" t="str">
        <f aca="false">IF(A272="","",AO271*AT271)</f>
        <v/>
      </c>
      <c r="AW271" s="195" t="str">
        <f aca="false">IF($A272="","",AL271*$E271)</f>
        <v/>
      </c>
      <c r="AX271" s="195" t="str">
        <f aca="false">IF($A272="","",AM271*$E271)</f>
        <v/>
      </c>
      <c r="AY271" s="195" t="str">
        <f aca="false">IF($A272="","",AN271*$E271)</f>
        <v/>
      </c>
      <c r="BA271" s="195" t="str">
        <f aca="false">IF($A272="","",F271*Summary!$Q$13)</f>
        <v/>
      </c>
    </row>
    <row r="272" customFormat="false" ht="12" hidden="false" customHeight="true" outlineLevel="0" collapsed="false">
      <c r="A272" s="196" t="str">
        <f aca="false">IF(A271&lt;mthend,EDATE(A271,1),"")</f>
        <v/>
      </c>
      <c r="B272" s="197" t="str">
        <f aca="false">IF(A272&lt;mthend,B271,"")</f>
        <v/>
      </c>
      <c r="C272" s="215"/>
      <c r="D272" s="197" t="str">
        <f aca="false">IF(A273&lt;&gt;"",B272+C272,"")</f>
        <v/>
      </c>
      <c r="E272" s="199" t="str">
        <f aca="false">IF(A273="","",IF(AND(AT272=1,$H$3=1),D272*AO272,IF($H$3=2,D272,"N/A")))</f>
        <v/>
      </c>
      <c r="F272" s="199" t="str">
        <f aca="false">IF(A273="","",E272*AS272)</f>
        <v/>
      </c>
      <c r="G272" s="200" t="str">
        <f aca="false">IF($A273="","",VLOOKUP($A272,Table,MATCH(G$4,Curves,0)))</f>
        <v/>
      </c>
      <c r="H272" s="201" t="str">
        <f aca="false">IF(A273="","",G272)</f>
        <v/>
      </c>
      <c r="I272" s="202"/>
      <c r="J272" s="200" t="str">
        <f aca="false">IF($A273="","",VLOOKUP($A272,Table,MATCH(J$4,Curves,0)))</f>
        <v/>
      </c>
      <c r="K272" s="201" t="str">
        <f aca="false">IF(A273="","",J272)</f>
        <v/>
      </c>
      <c r="L272" s="185" t="n">
        <v>0</v>
      </c>
      <c r="M272" s="201" t="str">
        <f aca="false">IF(A273="","",L272)</f>
        <v/>
      </c>
      <c r="N272" s="203"/>
      <c r="O272" s="200" t="str">
        <f aca="false">IF(A273="","",L272+J272+G272)</f>
        <v/>
      </c>
      <c r="P272" s="200" t="str">
        <f aca="false">IF(A273="","",M272+K272+H272)</f>
        <v/>
      </c>
      <c r="Q272" s="204"/>
      <c r="R272" s="200" t="str">
        <f aca="false">IF($A273="","",VLOOKUP($A272,Table,MATCH(R$4,Curves,0)))</f>
        <v/>
      </c>
      <c r="S272" s="201" t="str">
        <f aca="false">IF(A273="","",R272)</f>
        <v/>
      </c>
      <c r="T272" s="185" t="n">
        <v>0</v>
      </c>
      <c r="U272" s="201" t="str">
        <f aca="false">IF(A273="","",T272)</f>
        <v/>
      </c>
      <c r="V272" s="205"/>
      <c r="W272" s="202" t="str">
        <f aca="false">IF($A273="","",(T272+R272+G272+V272))</f>
        <v/>
      </c>
      <c r="X272" s="202" t="str">
        <f aca="false">IF($A273="","",(U272+S272+H272+V272))</f>
        <v/>
      </c>
      <c r="Y272" s="202"/>
      <c r="Z272" s="185" t="str">
        <f aca="false">IF($A273="","",VLOOKUP($A272,Table,MATCH(Z$4,Curves,0)))</f>
        <v/>
      </c>
      <c r="AA272" s="185" t="str">
        <f aca="false">IF($A273="","",VLOOKUP($A272,Table,MATCH(AA$4,Curves,0)))</f>
        <v/>
      </c>
      <c r="AB272" s="185" t="e">
        <f aca="false">SQRT((AA272^2*(A272-$D$3)+Z272^2*(DAY(EOMONTH(A272,0))/2))/AK272)</f>
        <v>#VALUE!</v>
      </c>
      <c r="AC272" s="185" t="str">
        <f aca="false">IF($A273="","",VLOOKUP($A272,Table,MATCH(AC$4,Curves,0)))</f>
        <v/>
      </c>
      <c r="AD272" s="185" t="str">
        <f aca="false">IF($A273="","",VLOOKUP($A272,Table,MATCH(AD$4,Curves,0)))</f>
        <v/>
      </c>
      <c r="AE272" s="185" t="e">
        <f aca="false">SQRT((AD272^2*(A272-$D$3)+AC272^2*(DAY(EOMONTH(A272,0))/2))/AK272)</f>
        <v>#VALUE!</v>
      </c>
      <c r="AF272" s="224" t="e">
        <f aca="false">((Summary!$N$13*(AA272*AD272)*(A272-$D$3))+(Summary!$M$13*Z272*AC272*(AJ272-EOMONTH(EDATE(A272,-1),0))))/(AK272*AB272*AE272)</f>
        <v>#VALUE!</v>
      </c>
      <c r="AG272" s="207" t="str">
        <f aca="false">IF($A273="","",Summary!$Q$13)</f>
        <v/>
      </c>
      <c r="AH272" s="207" t="str">
        <f aca="false">IF($A273="","",IF(Summary!$R$12="Y",(VLOOKUP($A272,Summary!$AD$6:$AF$9,3)+'Escalating commodity'!I285),'Escalating commodity'!I285))</f>
        <v/>
      </c>
      <c r="AI272" s="207" t="str">
        <f aca="false">IF($A273="","",AH272)</f>
        <v/>
      </c>
      <c r="AJ272" s="208" t="e">
        <f aca="false">A272+DAY(EOMONTH(A272,0))/2-1</f>
        <v>#VALUE!</v>
      </c>
      <c r="AK272" s="209" t="str">
        <f aca="false">IF($A273="","",$A272-$E$1)</f>
        <v/>
      </c>
      <c r="AL272" s="182" t="str">
        <f aca="false">IF($A273="","",SPRDOPT(P272,X272,AI272,0,AB272,AE272,AF272,AK272,$AJ$2,0))</f>
        <v/>
      </c>
      <c r="AM272" s="210" t="str">
        <f aca="false">IF($A273="","",MAX(0,O272-W272-AI272))</f>
        <v/>
      </c>
      <c r="AN272" s="211" t="str">
        <f aca="false">IF($A273="","",AL272-AM272)</f>
        <v/>
      </c>
      <c r="AO272" s="137" t="str">
        <f aca="false">IF(A273="","",A273-A272)</f>
        <v/>
      </c>
      <c r="AP272" s="212" t="str">
        <f aca="false">IF(A273="","",CHOOSE(F$3,A273+24,A272))</f>
        <v/>
      </c>
      <c r="AQ272" s="209" t="str">
        <f aca="false">IF(A273="","",AP272-$E$1)</f>
        <v/>
      </c>
      <c r="AR272" s="185" t="n">
        <f aca="false">'ANR OK vs ML7'!AR272</f>
        <v>0.1</v>
      </c>
      <c r="AS272" s="213" t="str">
        <f aca="false">IF(A273="","",1/(1+CHOOSE(F$3,(AR273+($I$3/10000))/2,(AR272+($I$3/10000))/2))^(2*AQ272/365.25))</f>
        <v/>
      </c>
      <c r="AT272" s="137" t="str">
        <f aca="false">IF(A273="","",IF(AND(mthbeg&lt;=A272,mthend&gt;=A272),1,0))</f>
        <v/>
      </c>
      <c r="AU272" s="137" t="str">
        <f aca="false">IF(A273="","",AO272*AT272)</f>
        <v/>
      </c>
      <c r="AW272" s="195" t="str">
        <f aca="false">IF($A273="","",AL272*$E272)</f>
        <v/>
      </c>
      <c r="AX272" s="195" t="str">
        <f aca="false">IF($A273="","",AM272*$E272)</f>
        <v/>
      </c>
      <c r="AY272" s="195" t="str">
        <f aca="false">IF($A273="","",AN272*$E272)</f>
        <v/>
      </c>
      <c r="BA272" s="195" t="str">
        <f aca="false">IF($A273="","",F272*Summary!$Q$13)</f>
        <v/>
      </c>
    </row>
    <row r="273" customFormat="false" ht="12" hidden="false" customHeight="true" outlineLevel="0" collapsed="false">
      <c r="A273" s="196" t="str">
        <f aca="false">IF(A272&lt;mthend,EDATE(A272,1),"")</f>
        <v/>
      </c>
      <c r="B273" s="197" t="str">
        <f aca="false">IF(A273&lt;mthend,B272,"")</f>
        <v/>
      </c>
      <c r="C273" s="215"/>
      <c r="D273" s="197" t="str">
        <f aca="false">IF(A274&lt;&gt;"",B273+C273,"")</f>
        <v/>
      </c>
      <c r="E273" s="199" t="str">
        <f aca="false">IF(A274="","",IF(AND(AT273=1,$H$3=1),D273*AO273,IF($H$3=2,D273,"N/A")))</f>
        <v/>
      </c>
      <c r="F273" s="199" t="str">
        <f aca="false">IF(A274="","",E273*AS273)</f>
        <v/>
      </c>
      <c r="G273" s="200" t="str">
        <f aca="false">IF($A274="","",VLOOKUP($A273,Table,MATCH(G$4,Curves,0)))</f>
        <v/>
      </c>
      <c r="H273" s="201" t="str">
        <f aca="false">IF(A274="","",G273)</f>
        <v/>
      </c>
      <c r="I273" s="202"/>
      <c r="J273" s="200" t="str">
        <f aca="false">IF($A274="","",VLOOKUP($A273,Table,MATCH(J$4,Curves,0)))</f>
        <v/>
      </c>
      <c r="K273" s="201" t="str">
        <f aca="false">IF(A274="","",J273)</f>
        <v/>
      </c>
      <c r="L273" s="185" t="n">
        <v>0</v>
      </c>
      <c r="M273" s="201" t="str">
        <f aca="false">IF(A274="","",L273)</f>
        <v/>
      </c>
      <c r="N273" s="203"/>
      <c r="O273" s="200" t="str">
        <f aca="false">IF(A274="","",L273+J273+G273)</f>
        <v/>
      </c>
      <c r="P273" s="200" t="str">
        <f aca="false">IF(A274="","",M273+K273+H273)</f>
        <v/>
      </c>
      <c r="Q273" s="204"/>
      <c r="R273" s="200" t="str">
        <f aca="false">IF($A274="","",VLOOKUP($A273,Table,MATCH(R$4,Curves,0)))</f>
        <v/>
      </c>
      <c r="S273" s="201" t="str">
        <f aca="false">IF(A274="","",R273)</f>
        <v/>
      </c>
      <c r="T273" s="185" t="n">
        <v>0</v>
      </c>
      <c r="U273" s="201" t="str">
        <f aca="false">IF(A274="","",T273)</f>
        <v/>
      </c>
      <c r="V273" s="205"/>
      <c r="W273" s="202" t="str">
        <f aca="false">IF($A274="","",(T273+R273+G273+V273))</f>
        <v/>
      </c>
      <c r="X273" s="202" t="str">
        <f aca="false">IF($A274="","",(U273+S273+H273+V273))</f>
        <v/>
      </c>
      <c r="Y273" s="202"/>
      <c r="Z273" s="185" t="str">
        <f aca="false">IF($A274="","",VLOOKUP($A273,Table,MATCH(Z$4,Curves,0)))</f>
        <v/>
      </c>
      <c r="AA273" s="185" t="str">
        <f aca="false">IF($A274="","",VLOOKUP($A273,Table,MATCH(AA$4,Curves,0)))</f>
        <v/>
      </c>
      <c r="AB273" s="185" t="e">
        <f aca="false">SQRT((AA273^2*(A273-$D$3)+Z273^2*(DAY(EOMONTH(A273,0))/2))/AK273)</f>
        <v>#VALUE!</v>
      </c>
      <c r="AC273" s="185" t="str">
        <f aca="false">IF($A274="","",VLOOKUP($A273,Table,MATCH(AC$4,Curves,0)))</f>
        <v/>
      </c>
      <c r="AD273" s="185" t="str">
        <f aca="false">IF($A274="","",VLOOKUP($A273,Table,MATCH(AD$4,Curves,0)))</f>
        <v/>
      </c>
      <c r="AE273" s="185" t="e">
        <f aca="false">SQRT((AD273^2*(A273-$D$3)+AC273^2*(DAY(EOMONTH(A273,0))/2))/AK273)</f>
        <v>#VALUE!</v>
      </c>
      <c r="AF273" s="224" t="e">
        <f aca="false">((Summary!$N$13*(AA273*AD273)*(A273-$D$3))+(Summary!$M$13*Z273*AC273*(AJ273-EOMONTH(EDATE(A273,-1),0))))/(AK273*AB273*AE273)</f>
        <v>#VALUE!</v>
      </c>
      <c r="AG273" s="207" t="str">
        <f aca="false">IF($A274="","",Summary!$Q$13)</f>
        <v/>
      </c>
      <c r="AH273" s="207" t="str">
        <f aca="false">IF($A274="","",IF(Summary!$R$12="Y",(VLOOKUP($A273,Summary!$AD$6:$AF$9,3)+'Escalating commodity'!I286),'Escalating commodity'!I286))</f>
        <v/>
      </c>
      <c r="AI273" s="207" t="str">
        <f aca="false">IF($A274="","",AH273)</f>
        <v/>
      </c>
      <c r="AJ273" s="208" t="e">
        <f aca="false">A273+DAY(EOMONTH(A273,0))/2-1</f>
        <v>#VALUE!</v>
      </c>
      <c r="AK273" s="209" t="str">
        <f aca="false">IF($A274="","",$A273-$E$1)</f>
        <v/>
      </c>
      <c r="AL273" s="182" t="str">
        <f aca="false">IF($A274="","",SPRDOPT(P273,X273,AI273,0,AB273,AE273,AF273,AK273,$AJ$2,0))</f>
        <v/>
      </c>
      <c r="AM273" s="210" t="str">
        <f aca="false">IF($A274="","",MAX(0,O273-W273-AI273))</f>
        <v/>
      </c>
      <c r="AN273" s="211" t="str">
        <f aca="false">IF($A274="","",AL273-AM273)</f>
        <v/>
      </c>
      <c r="AO273" s="137" t="str">
        <f aca="false">IF(A274="","",A274-A273)</f>
        <v/>
      </c>
      <c r="AP273" s="212" t="str">
        <f aca="false">IF(A274="","",CHOOSE(F$3,A274+24,A273))</f>
        <v/>
      </c>
      <c r="AQ273" s="209" t="str">
        <f aca="false">IF(A274="","",AP273-$E$1)</f>
        <v/>
      </c>
      <c r="AR273" s="185" t="n">
        <f aca="false">'ANR OK vs ML7'!AR273</f>
        <v>0.1</v>
      </c>
      <c r="AS273" s="213" t="str">
        <f aca="false">IF(A274="","",1/(1+CHOOSE(F$3,(AR274+($I$3/10000))/2,(AR273+($I$3/10000))/2))^(2*AQ273/365.25))</f>
        <v/>
      </c>
      <c r="AT273" s="137" t="str">
        <f aca="false">IF(A274="","",IF(AND(mthbeg&lt;=A273,mthend&gt;=A273),1,0))</f>
        <v/>
      </c>
      <c r="AU273" s="137" t="str">
        <f aca="false">IF(A274="","",AO273*AT273)</f>
        <v/>
      </c>
      <c r="AW273" s="195" t="str">
        <f aca="false">IF($A274="","",AL273*$E273)</f>
        <v/>
      </c>
      <c r="AX273" s="195" t="str">
        <f aca="false">IF($A274="","",AM273*$E273)</f>
        <v/>
      </c>
      <c r="AY273" s="195" t="str">
        <f aca="false">IF($A274="","",AN273*$E273)</f>
        <v/>
      </c>
      <c r="BA273" s="195" t="str">
        <f aca="false">IF($A274="","",F273*Summary!$Q$13)</f>
        <v/>
      </c>
    </row>
    <row r="274" customFormat="false" ht="12" hidden="false" customHeight="true" outlineLevel="0" collapsed="false">
      <c r="A274" s="196" t="str">
        <f aca="false">IF(A273&lt;mthend,EDATE(A273,1),"")</f>
        <v/>
      </c>
      <c r="B274" s="197" t="str">
        <f aca="false">IF(A274&lt;mthend,B273,"")</f>
        <v/>
      </c>
      <c r="C274" s="215"/>
      <c r="D274" s="197" t="str">
        <f aca="false">IF(A275&lt;&gt;"",B274+C274,"")</f>
        <v/>
      </c>
      <c r="E274" s="199" t="str">
        <f aca="false">IF(A275="","",IF(AND(AT274=1,$H$3=1),D274*AO274,IF($H$3=2,D274,"N/A")))</f>
        <v/>
      </c>
      <c r="F274" s="199" t="str">
        <f aca="false">IF(A275="","",E274*AS274)</f>
        <v/>
      </c>
      <c r="G274" s="200" t="str">
        <f aca="false">IF($A275="","",VLOOKUP($A274,Table,MATCH(G$4,Curves,0)))</f>
        <v/>
      </c>
      <c r="H274" s="201" t="str">
        <f aca="false">IF(A275="","",G274)</f>
        <v/>
      </c>
      <c r="I274" s="202"/>
      <c r="J274" s="200" t="str">
        <f aca="false">IF($A275="","",VLOOKUP($A274,Table,MATCH(J$4,Curves,0)))</f>
        <v/>
      </c>
      <c r="K274" s="201" t="str">
        <f aca="false">IF(A275="","",J274)</f>
        <v/>
      </c>
      <c r="L274" s="185" t="n">
        <v>0</v>
      </c>
      <c r="M274" s="201" t="str">
        <f aca="false">IF(A275="","",L274)</f>
        <v/>
      </c>
      <c r="N274" s="203"/>
      <c r="O274" s="200" t="str">
        <f aca="false">IF(A275="","",L274+J274+G274)</f>
        <v/>
      </c>
      <c r="P274" s="200" t="str">
        <f aca="false">IF(A275="","",M274+K274+H274)</f>
        <v/>
      </c>
      <c r="Q274" s="204"/>
      <c r="R274" s="200" t="str">
        <f aca="false">IF($A275="","",VLOOKUP($A274,Table,MATCH(R$4,Curves,0)))</f>
        <v/>
      </c>
      <c r="S274" s="201" t="str">
        <f aca="false">IF(A275="","",R274)</f>
        <v/>
      </c>
      <c r="T274" s="185" t="n">
        <v>0</v>
      </c>
      <c r="U274" s="201" t="str">
        <f aca="false">IF(A275="","",T274)</f>
        <v/>
      </c>
      <c r="V274" s="205"/>
      <c r="W274" s="202" t="str">
        <f aca="false">IF($A275="","",(T274+R274+G274+V274))</f>
        <v/>
      </c>
      <c r="X274" s="202" t="str">
        <f aca="false">IF($A275="","",(U274+S274+H274+V274))</f>
        <v/>
      </c>
      <c r="Y274" s="202"/>
      <c r="Z274" s="185" t="str">
        <f aca="false">IF($A275="","",VLOOKUP($A274,Table,MATCH(Z$4,Curves,0)))</f>
        <v/>
      </c>
      <c r="AA274" s="185" t="str">
        <f aca="false">IF($A275="","",VLOOKUP($A274,Table,MATCH(AA$4,Curves,0)))</f>
        <v/>
      </c>
      <c r="AB274" s="185" t="e">
        <f aca="false">SQRT((AA274^2*(A274-$D$3)+Z274^2*(DAY(EOMONTH(A274,0))/2))/AK274)</f>
        <v>#VALUE!</v>
      </c>
      <c r="AC274" s="185" t="str">
        <f aca="false">IF($A275="","",VLOOKUP($A274,Table,MATCH(AC$4,Curves,0)))</f>
        <v/>
      </c>
      <c r="AD274" s="185" t="str">
        <f aca="false">IF($A275="","",VLOOKUP($A274,Table,MATCH(AD$4,Curves,0)))</f>
        <v/>
      </c>
      <c r="AE274" s="185" t="e">
        <f aca="false">SQRT((AD274^2*(A274-$D$3)+AC274^2*(DAY(EOMONTH(A274,0))/2))/AK274)</f>
        <v>#VALUE!</v>
      </c>
      <c r="AF274" s="224" t="e">
        <f aca="false">((Summary!$N$13*(AA274*AD274)*(A274-$D$3))+(Summary!$M$13*Z274*AC274*(AJ274-EOMONTH(EDATE(A274,-1),0))))/(AK274*AB274*AE274)</f>
        <v>#VALUE!</v>
      </c>
      <c r="AG274" s="207" t="str">
        <f aca="false">IF($A275="","",Summary!$Q$13)</f>
        <v/>
      </c>
      <c r="AH274" s="207" t="str">
        <f aca="false">IF($A275="","",IF(Summary!$R$12="Y",(VLOOKUP($A274,Summary!$AD$6:$AF$9,3)+'Escalating commodity'!I287),'Escalating commodity'!I287))</f>
        <v/>
      </c>
      <c r="AI274" s="207" t="str">
        <f aca="false">IF($A275="","",AH274)</f>
        <v/>
      </c>
      <c r="AJ274" s="208" t="e">
        <f aca="false">A274+DAY(EOMONTH(A274,0))/2-1</f>
        <v>#VALUE!</v>
      </c>
      <c r="AK274" s="209" t="str">
        <f aca="false">IF($A275="","",$A274-$E$1)</f>
        <v/>
      </c>
      <c r="AL274" s="182" t="str">
        <f aca="false">IF($A275="","",SPRDOPT(P274,X274,AI274,0,AB274,AE274,AF274,AK274,$AJ$2,0))</f>
        <v/>
      </c>
      <c r="AM274" s="210" t="str">
        <f aca="false">IF($A275="","",MAX(0,O274-W274-AI274))</f>
        <v/>
      </c>
      <c r="AN274" s="211" t="str">
        <f aca="false">IF($A275="","",AL274-AM274)</f>
        <v/>
      </c>
      <c r="AO274" s="137" t="str">
        <f aca="false">IF(A275="","",A275-A274)</f>
        <v/>
      </c>
      <c r="AP274" s="212" t="str">
        <f aca="false">IF(A275="","",CHOOSE(F$3,A275+24,A274))</f>
        <v/>
      </c>
      <c r="AQ274" s="209" t="str">
        <f aca="false">IF(A275="","",AP274-$E$1)</f>
        <v/>
      </c>
      <c r="AR274" s="185" t="n">
        <f aca="false">'ANR OK vs ML7'!AR274</f>
        <v>0.1</v>
      </c>
      <c r="AS274" s="213" t="str">
        <f aca="false">IF(A275="","",1/(1+CHOOSE(F$3,(AR275+($I$3/10000))/2,(AR274+($I$3/10000))/2))^(2*AQ274/365.25))</f>
        <v/>
      </c>
      <c r="AT274" s="137" t="str">
        <f aca="false">IF(A275="","",IF(AND(mthbeg&lt;=A274,mthend&gt;=A274),1,0))</f>
        <v/>
      </c>
      <c r="AU274" s="137" t="str">
        <f aca="false">IF(A275="","",AO274*AT274)</f>
        <v/>
      </c>
      <c r="AW274" s="195" t="str">
        <f aca="false">IF($A275="","",AL274*$E274)</f>
        <v/>
      </c>
      <c r="AX274" s="195" t="str">
        <f aca="false">IF($A275="","",AM274*$E274)</f>
        <v/>
      </c>
      <c r="AY274" s="195" t="str">
        <f aca="false">IF($A275="","",AN274*$E274)</f>
        <v/>
      </c>
      <c r="BA274" s="195" t="str">
        <f aca="false">IF($A275="","",F274*Summary!$Q$13)</f>
        <v/>
      </c>
    </row>
    <row r="275" customFormat="false" ht="12" hidden="false" customHeight="true" outlineLevel="0" collapsed="false">
      <c r="A275" s="196" t="str">
        <f aca="false">IF(A274&lt;mthend,EDATE(A274,1),"")</f>
        <v/>
      </c>
      <c r="B275" s="197" t="str">
        <f aca="false">IF(A275&lt;mthend,B274,"")</f>
        <v/>
      </c>
      <c r="C275" s="215"/>
      <c r="D275" s="197" t="str">
        <f aca="false">IF(A276&lt;&gt;"",B275+C275,"")</f>
        <v/>
      </c>
      <c r="E275" s="199" t="str">
        <f aca="false">IF(A276="","",IF(AND(AT275=1,$H$3=1),D275*AO275,IF($H$3=2,D275,"N/A")))</f>
        <v/>
      </c>
      <c r="F275" s="199" t="str">
        <f aca="false">IF(A276="","",E275*AS275)</f>
        <v/>
      </c>
      <c r="G275" s="200" t="str">
        <f aca="false">IF($A276="","",VLOOKUP($A275,Table,MATCH(G$4,Curves,0)))</f>
        <v/>
      </c>
      <c r="H275" s="201" t="str">
        <f aca="false">IF(A276="","",G275)</f>
        <v/>
      </c>
      <c r="I275" s="202"/>
      <c r="J275" s="200" t="str">
        <f aca="false">IF($A276="","",VLOOKUP($A275,Table,MATCH(J$4,Curves,0)))</f>
        <v/>
      </c>
      <c r="K275" s="201" t="str">
        <f aca="false">IF(A276="","",J275)</f>
        <v/>
      </c>
      <c r="L275" s="185" t="n">
        <v>0</v>
      </c>
      <c r="M275" s="201" t="str">
        <f aca="false">IF(A276="","",L275)</f>
        <v/>
      </c>
      <c r="N275" s="203"/>
      <c r="O275" s="200" t="str">
        <f aca="false">IF(A276="","",L275+J275+G275)</f>
        <v/>
      </c>
      <c r="P275" s="200" t="str">
        <f aca="false">IF(A276="","",M275+K275+H275)</f>
        <v/>
      </c>
      <c r="Q275" s="204"/>
      <c r="R275" s="200" t="str">
        <f aca="false">IF($A276="","",VLOOKUP($A275,Table,MATCH(R$4,Curves,0)))</f>
        <v/>
      </c>
      <c r="S275" s="201" t="str">
        <f aca="false">IF(A276="","",R275)</f>
        <v/>
      </c>
      <c r="T275" s="185" t="n">
        <v>0</v>
      </c>
      <c r="U275" s="201" t="str">
        <f aca="false">IF(A276="","",T275)</f>
        <v/>
      </c>
      <c r="V275" s="205"/>
      <c r="W275" s="202" t="str">
        <f aca="false">IF($A276="","",(T275+R275+G275+V275))</f>
        <v/>
      </c>
      <c r="X275" s="202" t="str">
        <f aca="false">IF($A276="","",(U275+S275+H275+V275))</f>
        <v/>
      </c>
      <c r="Y275" s="202"/>
      <c r="Z275" s="185" t="str">
        <f aca="false">IF($A276="","",VLOOKUP($A275,Table,MATCH(Z$4,Curves,0)))</f>
        <v/>
      </c>
      <c r="AA275" s="185" t="str">
        <f aca="false">IF($A276="","",VLOOKUP($A275,Table,MATCH(AA$4,Curves,0)))</f>
        <v/>
      </c>
      <c r="AB275" s="185" t="e">
        <f aca="false">SQRT((AA275^2*(A275-$D$3)+Z275^2*(DAY(EOMONTH(A275,0))/2))/AK275)</f>
        <v>#VALUE!</v>
      </c>
      <c r="AC275" s="185" t="str">
        <f aca="false">IF($A276="","",VLOOKUP($A275,Table,MATCH(AC$4,Curves,0)))</f>
        <v/>
      </c>
      <c r="AD275" s="185" t="str">
        <f aca="false">IF($A276="","",VLOOKUP($A275,Table,MATCH(AD$4,Curves,0)))</f>
        <v/>
      </c>
      <c r="AE275" s="185" t="e">
        <f aca="false">SQRT((AD275^2*(A275-$D$3)+AC275^2*(DAY(EOMONTH(A275,0))/2))/AK275)</f>
        <v>#VALUE!</v>
      </c>
      <c r="AF275" s="224" t="e">
        <f aca="false">((Summary!$N$13*(AA275*AD275)*(A275-$D$3))+(Summary!$M$13*Z275*AC275*(AJ275-EOMONTH(EDATE(A275,-1),0))))/(AK275*AB275*AE275)</f>
        <v>#VALUE!</v>
      </c>
      <c r="AG275" s="207" t="str">
        <f aca="false">IF($A276="","",Summary!$Q$13)</f>
        <v/>
      </c>
      <c r="AH275" s="207" t="str">
        <f aca="false">IF($A276="","",IF(Summary!$R$12="Y",(VLOOKUP($A275,Summary!$AD$6:$AF$9,3)+'Escalating commodity'!I288),'Escalating commodity'!I288))</f>
        <v/>
      </c>
      <c r="AI275" s="207" t="str">
        <f aca="false">IF($A276="","",AH275)</f>
        <v/>
      </c>
      <c r="AJ275" s="208" t="e">
        <f aca="false">A275+DAY(EOMONTH(A275,0))/2-1</f>
        <v>#VALUE!</v>
      </c>
      <c r="AK275" s="209" t="str">
        <f aca="false">IF($A276="","",$A275-$E$1)</f>
        <v/>
      </c>
      <c r="AL275" s="182" t="str">
        <f aca="false">IF($A276="","",SPRDOPT(P275,X275,AI275,0,AB275,AE275,AF275,AK275,$AJ$2,0))</f>
        <v/>
      </c>
      <c r="AM275" s="210" t="str">
        <f aca="false">IF($A276="","",MAX(0,O275-W275-AI275))</f>
        <v/>
      </c>
      <c r="AN275" s="211" t="str">
        <f aca="false">IF($A276="","",AL275-AM275)</f>
        <v/>
      </c>
      <c r="AO275" s="137" t="str">
        <f aca="false">IF(A276="","",A276-A275)</f>
        <v/>
      </c>
      <c r="AP275" s="212" t="str">
        <f aca="false">IF(A276="","",CHOOSE(F$3,A276+24,A275))</f>
        <v/>
      </c>
      <c r="AQ275" s="209" t="str">
        <f aca="false">IF(A276="","",AP275-$E$1)</f>
        <v/>
      </c>
      <c r="AR275" s="185" t="n">
        <f aca="false">'ANR OK vs ML7'!AR275</f>
        <v>0.1</v>
      </c>
      <c r="AS275" s="213" t="str">
        <f aca="false">IF(A276="","",1/(1+CHOOSE(F$3,(AR276+($I$3/10000))/2,(AR275+($I$3/10000))/2))^(2*AQ275/365.25))</f>
        <v/>
      </c>
      <c r="AT275" s="137" t="str">
        <f aca="false">IF(A276="","",IF(AND(mthbeg&lt;=A275,mthend&gt;=A275),1,0))</f>
        <v/>
      </c>
      <c r="AU275" s="137" t="str">
        <f aca="false">IF(A276="","",AO275*AT275)</f>
        <v/>
      </c>
      <c r="AW275" s="195" t="str">
        <f aca="false">IF($A276="","",AL275*$E275)</f>
        <v/>
      </c>
      <c r="AX275" s="195" t="str">
        <f aca="false">IF($A276="","",AM275*$E275)</f>
        <v/>
      </c>
      <c r="AY275" s="195" t="str">
        <f aca="false">IF($A276="","",AN275*$E275)</f>
        <v/>
      </c>
      <c r="BA275" s="195" t="str">
        <f aca="false">IF($A276="","",F275*Summary!$Q$13)</f>
        <v/>
      </c>
    </row>
    <row r="276" customFormat="false" ht="12" hidden="false" customHeight="true" outlineLevel="0" collapsed="false">
      <c r="A276" s="196" t="str">
        <f aca="false">IF(A275&lt;mthend,EDATE(A275,1),"")</f>
        <v/>
      </c>
      <c r="B276" s="197" t="str">
        <f aca="false">IF(A276&lt;mthend,B275,"")</f>
        <v/>
      </c>
      <c r="C276" s="215"/>
      <c r="D276" s="197" t="str">
        <f aca="false">IF(A277&lt;&gt;"",B276+C276,"")</f>
        <v/>
      </c>
      <c r="E276" s="199" t="str">
        <f aca="false">IF(A277="","",IF(AND(AT276=1,$H$3=1),D276*AO276,IF($H$3=2,D276,"N/A")))</f>
        <v/>
      </c>
      <c r="F276" s="199" t="str">
        <f aca="false">IF(A277="","",E276*AS276)</f>
        <v/>
      </c>
      <c r="G276" s="200" t="str">
        <f aca="false">IF($A277="","",VLOOKUP($A276,Table,MATCH(G$4,Curves,0)))</f>
        <v/>
      </c>
      <c r="H276" s="201" t="str">
        <f aca="false">IF(A277="","",G276)</f>
        <v/>
      </c>
      <c r="I276" s="202"/>
      <c r="J276" s="200" t="str">
        <f aca="false">IF($A277="","",VLOOKUP($A276,Table,MATCH(J$4,Curves,0)))</f>
        <v/>
      </c>
      <c r="K276" s="201" t="str">
        <f aca="false">IF(A277="","",J276)</f>
        <v/>
      </c>
      <c r="L276" s="185" t="n">
        <v>0</v>
      </c>
      <c r="M276" s="201" t="str">
        <f aca="false">IF(A277="","",L276)</f>
        <v/>
      </c>
      <c r="N276" s="203"/>
      <c r="O276" s="200" t="str">
        <f aca="false">IF(A277="","",L276+J276+G276)</f>
        <v/>
      </c>
      <c r="P276" s="200" t="str">
        <f aca="false">IF(A277="","",M276+K276+H276)</f>
        <v/>
      </c>
      <c r="Q276" s="204"/>
      <c r="R276" s="200" t="str">
        <f aca="false">IF($A277="","",VLOOKUP($A276,Table,MATCH(R$4,Curves,0)))</f>
        <v/>
      </c>
      <c r="S276" s="201" t="str">
        <f aca="false">IF(A277="","",R276)</f>
        <v/>
      </c>
      <c r="T276" s="185" t="n">
        <v>0</v>
      </c>
      <c r="U276" s="201" t="str">
        <f aca="false">IF(A277="","",T276)</f>
        <v/>
      </c>
      <c r="V276" s="205"/>
      <c r="W276" s="202" t="str">
        <f aca="false">IF($A277="","",(T276+R276+G276+V276))</f>
        <v/>
      </c>
      <c r="X276" s="202" t="str">
        <f aca="false">IF($A277="","",(U276+S276+H276+V276))</f>
        <v/>
      </c>
      <c r="Y276" s="202"/>
      <c r="Z276" s="185" t="str">
        <f aca="false">IF($A277="","",VLOOKUP($A276,Table,MATCH(Z$4,Curves,0)))</f>
        <v/>
      </c>
      <c r="AA276" s="185" t="str">
        <f aca="false">IF($A277="","",VLOOKUP($A276,Table,MATCH(AA$4,Curves,0)))</f>
        <v/>
      </c>
      <c r="AB276" s="185" t="e">
        <f aca="false">SQRT((AA276^2*(A276-$D$3)+Z276^2*(DAY(EOMONTH(A276,0))/2))/AK276)</f>
        <v>#VALUE!</v>
      </c>
      <c r="AC276" s="185" t="str">
        <f aca="false">IF($A277="","",VLOOKUP($A276,Table,MATCH(AC$4,Curves,0)))</f>
        <v/>
      </c>
      <c r="AD276" s="185" t="str">
        <f aca="false">IF($A277="","",VLOOKUP($A276,Table,MATCH(AD$4,Curves,0)))</f>
        <v/>
      </c>
      <c r="AE276" s="185" t="e">
        <f aca="false">SQRT((AD276^2*(A276-$D$3)+AC276^2*(DAY(EOMONTH(A276,0))/2))/AK276)</f>
        <v>#VALUE!</v>
      </c>
      <c r="AF276" s="224" t="e">
        <f aca="false">((Summary!$N$13*(AA276*AD276)*(A276-$D$3))+(Summary!$M$13*Z276*AC276*(AJ276-EOMONTH(EDATE(A276,-1),0))))/(AK276*AB276*AE276)</f>
        <v>#VALUE!</v>
      </c>
      <c r="AG276" s="207" t="str">
        <f aca="false">IF($A277="","",Summary!$Q$13)</f>
        <v/>
      </c>
      <c r="AH276" s="207" t="str">
        <f aca="false">IF($A277="","",IF(Summary!$R$12="Y",(VLOOKUP($A276,Summary!$AD$6:$AF$9,3)+'Escalating commodity'!I289),'Escalating commodity'!I289))</f>
        <v/>
      </c>
      <c r="AI276" s="207" t="str">
        <f aca="false">IF($A277="","",AH276)</f>
        <v/>
      </c>
      <c r="AJ276" s="208" t="e">
        <f aca="false">A276+DAY(EOMONTH(A276,0))/2-1</f>
        <v>#VALUE!</v>
      </c>
      <c r="AK276" s="209" t="str">
        <f aca="false">IF($A277="","",$A276-$E$1)</f>
        <v/>
      </c>
      <c r="AL276" s="182" t="str">
        <f aca="false">IF($A277="","",SPRDOPT(P276,X276,AI276,0,AB276,AE276,AF276,AK276,$AJ$2,0))</f>
        <v/>
      </c>
      <c r="AM276" s="210" t="str">
        <f aca="false">IF($A277="","",MAX(0,O276-W276-AI276))</f>
        <v/>
      </c>
      <c r="AN276" s="211" t="str">
        <f aca="false">IF($A277="","",AL276-AM276)</f>
        <v/>
      </c>
      <c r="AO276" s="137" t="str">
        <f aca="false">IF(A277="","",A277-A276)</f>
        <v/>
      </c>
      <c r="AP276" s="212" t="str">
        <f aca="false">IF(A277="","",CHOOSE(F$3,A277+24,A276))</f>
        <v/>
      </c>
      <c r="AQ276" s="209" t="str">
        <f aca="false">IF(A277="","",AP276-$E$1)</f>
        <v/>
      </c>
      <c r="AR276" s="185" t="n">
        <f aca="false">'ANR OK vs ML7'!AR276</f>
        <v>0.1</v>
      </c>
      <c r="AS276" s="213" t="str">
        <f aca="false">IF(A277="","",1/(1+CHOOSE(F$3,(AR277+($I$3/10000))/2,(AR276+($I$3/10000))/2))^(2*AQ276/365.25))</f>
        <v/>
      </c>
      <c r="AT276" s="137" t="str">
        <f aca="false">IF(A277="","",IF(AND(mthbeg&lt;=A276,mthend&gt;=A276),1,0))</f>
        <v/>
      </c>
      <c r="AU276" s="137" t="str">
        <f aca="false">IF(A277="","",AO276*AT276)</f>
        <v/>
      </c>
      <c r="AW276" s="195" t="str">
        <f aca="false">IF($A277="","",AL276*$E276)</f>
        <v/>
      </c>
      <c r="AX276" s="195" t="str">
        <f aca="false">IF($A277="","",AM276*$E276)</f>
        <v/>
      </c>
      <c r="AY276" s="195" t="str">
        <f aca="false">IF($A277="","",AN276*$E276)</f>
        <v/>
      </c>
      <c r="BA276" s="195" t="str">
        <f aca="false">IF($A277="","",F276*Summary!$Q$13)</f>
        <v/>
      </c>
    </row>
    <row r="277" customFormat="false" ht="12" hidden="false" customHeight="true" outlineLevel="0" collapsed="false">
      <c r="A277" s="196" t="str">
        <f aca="false">IF(A276&lt;mthend,EDATE(A276,1),"")</f>
        <v/>
      </c>
      <c r="B277" s="197" t="str">
        <f aca="false">IF(A277&lt;mthend,B276,"")</f>
        <v/>
      </c>
      <c r="C277" s="215"/>
      <c r="D277" s="197" t="str">
        <f aca="false">IF(A278&lt;&gt;"",B277+C277,"")</f>
        <v/>
      </c>
      <c r="E277" s="199" t="str">
        <f aca="false">IF(A278="","",IF(AND(AT277=1,$H$3=1),D277*AO277,IF($H$3=2,D277,"N/A")))</f>
        <v/>
      </c>
      <c r="F277" s="199" t="str">
        <f aca="false">IF(A278="","",E277*AS277)</f>
        <v/>
      </c>
      <c r="G277" s="200" t="str">
        <f aca="false">IF($A278="","",VLOOKUP($A277,Table,MATCH(G$4,Curves,0)))</f>
        <v/>
      </c>
      <c r="H277" s="201" t="str">
        <f aca="false">IF(A278="","",G277)</f>
        <v/>
      </c>
      <c r="I277" s="202"/>
      <c r="J277" s="200" t="str">
        <f aca="false">IF($A278="","",VLOOKUP($A277,Table,MATCH(J$4,Curves,0)))</f>
        <v/>
      </c>
      <c r="K277" s="201" t="str">
        <f aca="false">IF(A278="","",J277)</f>
        <v/>
      </c>
      <c r="L277" s="185" t="n">
        <v>0</v>
      </c>
      <c r="M277" s="201" t="str">
        <f aca="false">IF(A278="","",L277)</f>
        <v/>
      </c>
      <c r="N277" s="203"/>
      <c r="O277" s="200" t="str">
        <f aca="false">IF(A278="","",L277+J277+G277)</f>
        <v/>
      </c>
      <c r="P277" s="200" t="str">
        <f aca="false">IF(A278="","",M277+K277+H277)</f>
        <v/>
      </c>
      <c r="Q277" s="204"/>
      <c r="R277" s="200" t="str">
        <f aca="false">IF($A278="","",VLOOKUP($A277,Table,MATCH(R$4,Curves,0)))</f>
        <v/>
      </c>
      <c r="S277" s="201" t="str">
        <f aca="false">IF(A278="","",R277)</f>
        <v/>
      </c>
      <c r="T277" s="185" t="n">
        <v>0</v>
      </c>
      <c r="U277" s="201" t="str">
        <f aca="false">IF(A278="","",T277)</f>
        <v/>
      </c>
      <c r="V277" s="205"/>
      <c r="W277" s="202" t="str">
        <f aca="false">IF($A278="","",(T277+R277+G277+V277))</f>
        <v/>
      </c>
      <c r="X277" s="202" t="str">
        <f aca="false">IF($A278="","",(U277+S277+H277+V277))</f>
        <v/>
      </c>
      <c r="Y277" s="202"/>
      <c r="Z277" s="185" t="str">
        <f aca="false">IF($A278="","",VLOOKUP($A277,Table,MATCH(Z$4,Curves,0)))</f>
        <v/>
      </c>
      <c r="AA277" s="185" t="str">
        <f aca="false">IF($A278="","",VLOOKUP($A277,Table,MATCH(AA$4,Curves,0)))</f>
        <v/>
      </c>
      <c r="AB277" s="185" t="e">
        <f aca="false">SQRT((AA277^2*(A277-$D$3)+Z277^2*(DAY(EOMONTH(A277,0))/2))/AK277)</f>
        <v>#VALUE!</v>
      </c>
      <c r="AC277" s="185" t="str">
        <f aca="false">IF($A278="","",VLOOKUP($A277,Table,MATCH(AC$4,Curves,0)))</f>
        <v/>
      </c>
      <c r="AD277" s="185" t="str">
        <f aca="false">IF($A278="","",VLOOKUP($A277,Table,MATCH(AD$4,Curves,0)))</f>
        <v/>
      </c>
      <c r="AE277" s="185" t="e">
        <f aca="false">SQRT((AD277^2*(A277-$D$3)+AC277^2*(DAY(EOMONTH(A277,0))/2))/AK277)</f>
        <v>#VALUE!</v>
      </c>
      <c r="AF277" s="224" t="e">
        <f aca="false">((Summary!$N$13*(AA277*AD277)*(A277-$D$3))+(Summary!$M$13*Z277*AC277*(AJ277-EOMONTH(EDATE(A277,-1),0))))/(AK277*AB277*AE277)</f>
        <v>#VALUE!</v>
      </c>
      <c r="AG277" s="207" t="str">
        <f aca="false">IF($A278="","",Summary!$Q$13)</f>
        <v/>
      </c>
      <c r="AH277" s="207" t="str">
        <f aca="false">IF($A278="","",IF(Summary!$R$12="Y",(VLOOKUP($A277,Summary!$AD$6:$AF$9,3)+'Escalating commodity'!I290),'Escalating commodity'!I290))</f>
        <v/>
      </c>
      <c r="AI277" s="207" t="str">
        <f aca="false">IF($A278="","",AH277)</f>
        <v/>
      </c>
      <c r="AJ277" s="208" t="e">
        <f aca="false">A277+DAY(EOMONTH(A277,0))/2-1</f>
        <v>#VALUE!</v>
      </c>
      <c r="AK277" s="209" t="str">
        <f aca="false">IF($A278="","",$A277-$E$1)</f>
        <v/>
      </c>
      <c r="AL277" s="182" t="str">
        <f aca="false">IF($A278="","",SPRDOPT(P277,X277,AI277,0,AB277,AE277,AF277,AK277,$AJ$2,0))</f>
        <v/>
      </c>
      <c r="AM277" s="210" t="str">
        <f aca="false">IF($A278="","",MAX(0,O277-W277-AI277))</f>
        <v/>
      </c>
      <c r="AN277" s="211" t="str">
        <f aca="false">IF($A278="","",AL277-AM277)</f>
        <v/>
      </c>
      <c r="AO277" s="137" t="str">
        <f aca="false">IF(A278="","",A278-A277)</f>
        <v/>
      </c>
      <c r="AP277" s="212" t="str">
        <f aca="false">IF(A278="","",CHOOSE(F$3,A278+24,A277))</f>
        <v/>
      </c>
      <c r="AQ277" s="209" t="str">
        <f aca="false">IF(A278="","",AP277-$E$1)</f>
        <v/>
      </c>
      <c r="AR277" s="185" t="n">
        <f aca="false">'ANR OK vs ML7'!AR277</f>
        <v>0.1</v>
      </c>
      <c r="AS277" s="213" t="str">
        <f aca="false">IF(A278="","",1/(1+CHOOSE(F$3,(AR278+($I$3/10000))/2,(AR277+($I$3/10000))/2))^(2*AQ277/365.25))</f>
        <v/>
      </c>
      <c r="AT277" s="137" t="str">
        <f aca="false">IF(A278="","",IF(AND(mthbeg&lt;=A277,mthend&gt;=A277),1,0))</f>
        <v/>
      </c>
      <c r="AU277" s="137" t="str">
        <f aca="false">IF(A278="","",AO277*AT277)</f>
        <v/>
      </c>
      <c r="AW277" s="195" t="str">
        <f aca="false">IF($A278="","",AL277*$E277)</f>
        <v/>
      </c>
      <c r="AX277" s="195" t="str">
        <f aca="false">IF($A278="","",AM277*$E277)</f>
        <v/>
      </c>
      <c r="AY277" s="195" t="str">
        <f aca="false">IF($A278="","",AN277*$E277)</f>
        <v/>
      </c>
      <c r="BA277" s="195" t="str">
        <f aca="false">IF($A278="","",F277*Summary!$Q$13)</f>
        <v/>
      </c>
    </row>
    <row r="278" customFormat="false" ht="12" hidden="false" customHeight="true" outlineLevel="0" collapsed="false">
      <c r="A278" s="196" t="str">
        <f aca="false">IF(A277&lt;mthend,EDATE(A277,1),"")</f>
        <v/>
      </c>
      <c r="B278" s="197" t="str">
        <f aca="false">IF(A278&lt;mthend,B277,"")</f>
        <v/>
      </c>
      <c r="C278" s="215"/>
      <c r="D278" s="197" t="str">
        <f aca="false">IF(A279&lt;&gt;"",B278+C278,"")</f>
        <v/>
      </c>
      <c r="E278" s="199" t="str">
        <f aca="false">IF(A279="","",IF(AND(AT278=1,$H$3=1),D278*AO278,IF($H$3=2,D278,"N/A")))</f>
        <v/>
      </c>
      <c r="F278" s="199" t="str">
        <f aca="false">IF(A279="","",E278*AS278)</f>
        <v/>
      </c>
      <c r="G278" s="200" t="str">
        <f aca="false">IF($A279="","",VLOOKUP($A278,Table,MATCH(G$4,Curves,0)))</f>
        <v/>
      </c>
      <c r="H278" s="201" t="str">
        <f aca="false">IF(A279="","",G278)</f>
        <v/>
      </c>
      <c r="I278" s="202"/>
      <c r="J278" s="200" t="str">
        <f aca="false">IF($A279="","",VLOOKUP($A278,Table,MATCH(J$4,Curves,0)))</f>
        <v/>
      </c>
      <c r="K278" s="201" t="str">
        <f aca="false">IF(A279="","",J278)</f>
        <v/>
      </c>
      <c r="L278" s="185" t="n">
        <v>0</v>
      </c>
      <c r="M278" s="201" t="str">
        <f aca="false">IF(A279="","",L278)</f>
        <v/>
      </c>
      <c r="N278" s="203"/>
      <c r="O278" s="200" t="str">
        <f aca="false">IF(A279="","",L278+J278+G278)</f>
        <v/>
      </c>
      <c r="P278" s="200" t="str">
        <f aca="false">IF(A279="","",M278+K278+H278)</f>
        <v/>
      </c>
      <c r="Q278" s="204"/>
      <c r="R278" s="200" t="str">
        <f aca="false">IF($A279="","",VLOOKUP($A278,Table,MATCH(R$4,Curves,0)))</f>
        <v/>
      </c>
      <c r="S278" s="201" t="str">
        <f aca="false">IF(A279="","",R278)</f>
        <v/>
      </c>
      <c r="T278" s="185" t="n">
        <v>0</v>
      </c>
      <c r="U278" s="201" t="str">
        <f aca="false">IF(A279="","",T278)</f>
        <v/>
      </c>
      <c r="V278" s="205"/>
      <c r="W278" s="202" t="str">
        <f aca="false">IF($A279="","",(T278+R278+G278+V278))</f>
        <v/>
      </c>
      <c r="X278" s="202" t="str">
        <f aca="false">IF($A279="","",(U278+S278+H278+V278))</f>
        <v/>
      </c>
      <c r="Y278" s="202"/>
      <c r="Z278" s="185" t="str">
        <f aca="false">IF($A279="","",VLOOKUP($A278,Table,MATCH(Z$4,Curves,0)))</f>
        <v/>
      </c>
      <c r="AA278" s="185" t="str">
        <f aca="false">IF($A279="","",VLOOKUP($A278,Table,MATCH(AA$4,Curves,0)))</f>
        <v/>
      </c>
      <c r="AB278" s="185" t="e">
        <f aca="false">SQRT((AA278^2*(A278-$D$3)+Z278^2*(DAY(EOMONTH(A278,0))/2))/AK278)</f>
        <v>#VALUE!</v>
      </c>
      <c r="AC278" s="185" t="str">
        <f aca="false">IF($A279="","",VLOOKUP($A278,Table,MATCH(AC$4,Curves,0)))</f>
        <v/>
      </c>
      <c r="AD278" s="185" t="str">
        <f aca="false">IF($A279="","",VLOOKUP($A278,Table,MATCH(AD$4,Curves,0)))</f>
        <v/>
      </c>
      <c r="AE278" s="185" t="e">
        <f aca="false">SQRT((AD278^2*(A278-$D$3)+AC278^2*(DAY(EOMONTH(A278,0))/2))/AK278)</f>
        <v>#VALUE!</v>
      </c>
      <c r="AF278" s="224" t="e">
        <f aca="false">((Summary!$N$13*(AA278*AD278)*(A278-$D$3))+(Summary!$M$13*Z278*AC278*(AJ278-EOMONTH(EDATE(A278,-1),0))))/(AK278*AB278*AE278)</f>
        <v>#VALUE!</v>
      </c>
      <c r="AG278" s="207" t="str">
        <f aca="false">IF($A279="","",Summary!$Q$13)</f>
        <v/>
      </c>
      <c r="AH278" s="207" t="str">
        <f aca="false">IF($A279="","",IF(Summary!$R$12="Y",(VLOOKUP($A278,Summary!$AD$6:$AF$9,3)+'Escalating commodity'!I291),'Escalating commodity'!I291))</f>
        <v/>
      </c>
      <c r="AI278" s="207" t="str">
        <f aca="false">IF($A279="","",AH278)</f>
        <v/>
      </c>
      <c r="AJ278" s="208" t="e">
        <f aca="false">A278+DAY(EOMONTH(A278,0))/2-1</f>
        <v>#VALUE!</v>
      </c>
      <c r="AK278" s="209" t="str">
        <f aca="false">IF($A279="","",$A278-$E$1)</f>
        <v/>
      </c>
      <c r="AL278" s="182" t="str">
        <f aca="false">IF($A279="","",SPRDOPT(P278,X278,AI278,0,AB278,AE278,AF278,AK278,$AJ$2,0))</f>
        <v/>
      </c>
      <c r="AM278" s="210" t="str">
        <f aca="false">IF($A279="","",MAX(0,O278-W278-AI278))</f>
        <v/>
      </c>
      <c r="AN278" s="211" t="str">
        <f aca="false">IF($A279="","",AL278-AM278)</f>
        <v/>
      </c>
      <c r="AO278" s="137" t="str">
        <f aca="false">IF(A279="","",A279-A278)</f>
        <v/>
      </c>
      <c r="AP278" s="212" t="str">
        <f aca="false">IF(A279="","",CHOOSE(F$3,A279+24,A278))</f>
        <v/>
      </c>
      <c r="AQ278" s="209" t="str">
        <f aca="false">IF(A279="","",AP278-$E$1)</f>
        <v/>
      </c>
      <c r="AR278" s="185" t="n">
        <f aca="false">'ANR OK vs ML7'!AR278</f>
        <v>0.1</v>
      </c>
      <c r="AS278" s="213" t="str">
        <f aca="false">IF(A279="","",1/(1+CHOOSE(F$3,(AR279+($I$3/10000))/2,(AR278+($I$3/10000))/2))^(2*AQ278/365.25))</f>
        <v/>
      </c>
      <c r="AT278" s="137" t="str">
        <f aca="false">IF(A279="","",IF(AND(mthbeg&lt;=A278,mthend&gt;=A278),1,0))</f>
        <v/>
      </c>
      <c r="AU278" s="137" t="str">
        <f aca="false">IF(A279="","",AO278*AT278)</f>
        <v/>
      </c>
      <c r="AW278" s="195" t="str">
        <f aca="false">IF($A279="","",AL278*$E278)</f>
        <v/>
      </c>
      <c r="AX278" s="195" t="str">
        <f aca="false">IF($A279="","",AM278*$E278)</f>
        <v/>
      </c>
      <c r="AY278" s="195" t="str">
        <f aca="false">IF($A279="","",AN278*$E278)</f>
        <v/>
      </c>
      <c r="BA278" s="195" t="str">
        <f aca="false">IF($A279="","",F278*Summary!$Q$13)</f>
        <v/>
      </c>
    </row>
    <row r="279" customFormat="false" ht="12" hidden="false" customHeight="true" outlineLevel="0" collapsed="false">
      <c r="A279" s="196" t="str">
        <f aca="false">IF(A278&lt;mthend,EDATE(A278,1),"")</f>
        <v/>
      </c>
      <c r="B279" s="197" t="str">
        <f aca="false">IF(A279&lt;mthend,B278,"")</f>
        <v/>
      </c>
      <c r="C279" s="215"/>
      <c r="D279" s="197" t="str">
        <f aca="false">IF(A280&lt;&gt;"",B279+C279,"")</f>
        <v/>
      </c>
      <c r="E279" s="199" t="str">
        <f aca="false">IF(A280="","",IF(AND(AT279=1,$H$3=1),D279*AO279,IF($H$3=2,D279,"N/A")))</f>
        <v/>
      </c>
      <c r="F279" s="199" t="str">
        <f aca="false">IF(A280="","",E279*AS279)</f>
        <v/>
      </c>
      <c r="G279" s="200" t="str">
        <f aca="false">IF($A280="","",VLOOKUP($A279,Table,MATCH(G$4,Curves,0)))</f>
        <v/>
      </c>
      <c r="H279" s="201" t="str">
        <f aca="false">IF(A280="","",G279)</f>
        <v/>
      </c>
      <c r="I279" s="202"/>
      <c r="J279" s="200" t="str">
        <f aca="false">IF($A280="","",VLOOKUP($A279,Table,MATCH(J$4,Curves,0)))</f>
        <v/>
      </c>
      <c r="K279" s="201" t="str">
        <f aca="false">IF(A280="","",J279)</f>
        <v/>
      </c>
      <c r="L279" s="185" t="n">
        <v>0</v>
      </c>
      <c r="M279" s="201" t="str">
        <f aca="false">IF(A280="","",L279)</f>
        <v/>
      </c>
      <c r="N279" s="203"/>
      <c r="O279" s="200" t="str">
        <f aca="false">IF(A280="","",L279+J279+G279)</f>
        <v/>
      </c>
      <c r="P279" s="200" t="str">
        <f aca="false">IF(A280="","",M279+K279+H279)</f>
        <v/>
      </c>
      <c r="Q279" s="204"/>
      <c r="R279" s="200" t="str">
        <f aca="false">IF($A280="","",VLOOKUP($A279,Table,MATCH(R$4,Curves,0)))</f>
        <v/>
      </c>
      <c r="S279" s="201" t="str">
        <f aca="false">IF(A280="","",R279)</f>
        <v/>
      </c>
      <c r="T279" s="185" t="n">
        <v>0</v>
      </c>
      <c r="U279" s="201" t="str">
        <f aca="false">IF(A280="","",T279)</f>
        <v/>
      </c>
      <c r="V279" s="205"/>
      <c r="W279" s="202" t="str">
        <f aca="false">IF($A280="","",(T279+R279+G279+V279))</f>
        <v/>
      </c>
      <c r="X279" s="202" t="str">
        <f aca="false">IF($A280="","",(U279+S279+H279+V279))</f>
        <v/>
      </c>
      <c r="Y279" s="202"/>
      <c r="Z279" s="185" t="str">
        <f aca="false">IF($A280="","",VLOOKUP($A279,Table,MATCH(Z$4,Curves,0)))</f>
        <v/>
      </c>
      <c r="AA279" s="185" t="str">
        <f aca="false">IF($A280="","",VLOOKUP($A279,Table,MATCH(AA$4,Curves,0)))</f>
        <v/>
      </c>
      <c r="AB279" s="185" t="e">
        <f aca="false">SQRT((AA279^2*(A279-$D$3)+Z279^2*(DAY(EOMONTH(A279,0))/2))/AK279)</f>
        <v>#VALUE!</v>
      </c>
      <c r="AC279" s="185" t="str">
        <f aca="false">IF($A280="","",VLOOKUP($A279,Table,MATCH(AC$4,Curves,0)))</f>
        <v/>
      </c>
      <c r="AD279" s="185" t="str">
        <f aca="false">IF($A280="","",VLOOKUP($A279,Table,MATCH(AD$4,Curves,0)))</f>
        <v/>
      </c>
      <c r="AE279" s="185" t="e">
        <f aca="false">SQRT((AD279^2*(A279-$D$3)+AC279^2*(DAY(EOMONTH(A279,0))/2))/AK279)</f>
        <v>#VALUE!</v>
      </c>
      <c r="AF279" s="224" t="e">
        <f aca="false">((Summary!$N$13*(AA279*AD279)*(A279-$D$3))+(Summary!$M$13*Z279*AC279*(AJ279-EOMONTH(EDATE(A279,-1),0))))/(AK279*AB279*AE279)</f>
        <v>#VALUE!</v>
      </c>
      <c r="AG279" s="207" t="str">
        <f aca="false">IF($A280="","",Summary!$Q$13)</f>
        <v/>
      </c>
      <c r="AH279" s="207" t="str">
        <f aca="false">IF($A280="","",IF(Summary!$R$12="Y",(VLOOKUP($A279,Summary!$AD$6:$AF$9,3)+'Escalating commodity'!I292),'Escalating commodity'!I292))</f>
        <v/>
      </c>
      <c r="AI279" s="207" t="str">
        <f aca="false">IF($A280="","",AH279)</f>
        <v/>
      </c>
      <c r="AJ279" s="208" t="e">
        <f aca="false">A279+DAY(EOMONTH(A279,0))/2-1</f>
        <v>#VALUE!</v>
      </c>
      <c r="AK279" s="209" t="str">
        <f aca="false">IF($A280="","",$A279-$E$1)</f>
        <v/>
      </c>
      <c r="AL279" s="182" t="str">
        <f aca="false">IF($A280="","",SPRDOPT(P279,X279,AI279,0,AB279,AE279,AF279,AK279,$AJ$2,0))</f>
        <v/>
      </c>
      <c r="AM279" s="210" t="str">
        <f aca="false">IF($A280="","",MAX(0,O279-W279-AI279))</f>
        <v/>
      </c>
      <c r="AN279" s="211" t="str">
        <f aca="false">IF($A280="","",AL279-AM279)</f>
        <v/>
      </c>
      <c r="AO279" s="137" t="str">
        <f aca="false">IF(A280="","",A280-A279)</f>
        <v/>
      </c>
      <c r="AP279" s="212" t="str">
        <f aca="false">IF(A280="","",CHOOSE(F$3,A280+24,A279))</f>
        <v/>
      </c>
      <c r="AQ279" s="209" t="str">
        <f aca="false">IF(A280="","",AP279-$E$1)</f>
        <v/>
      </c>
      <c r="AR279" s="185" t="n">
        <f aca="false">'ANR OK vs ML7'!AR279</f>
        <v>0.1</v>
      </c>
      <c r="AS279" s="213" t="str">
        <f aca="false">IF(A280="","",1/(1+CHOOSE(F$3,(AR280+($I$3/10000))/2,(AR279+($I$3/10000))/2))^(2*AQ279/365.25))</f>
        <v/>
      </c>
      <c r="AT279" s="137" t="str">
        <f aca="false">IF(A280="","",IF(AND(mthbeg&lt;=A279,mthend&gt;=A279),1,0))</f>
        <v/>
      </c>
      <c r="AU279" s="137" t="str">
        <f aca="false">IF(A280="","",AO279*AT279)</f>
        <v/>
      </c>
      <c r="AW279" s="195" t="str">
        <f aca="false">IF($A280="","",AL279*$E279)</f>
        <v/>
      </c>
      <c r="AX279" s="195" t="str">
        <f aca="false">IF($A280="","",AM279*$E279)</f>
        <v/>
      </c>
      <c r="AY279" s="195" t="str">
        <f aca="false">IF($A280="","",AN279*$E279)</f>
        <v/>
      </c>
      <c r="BA279" s="195" t="str">
        <f aca="false">IF($A280="","",F279*Summary!$Q$13)</f>
        <v/>
      </c>
    </row>
    <row r="280" customFormat="false" ht="12" hidden="false" customHeight="true" outlineLevel="0" collapsed="false">
      <c r="A280" s="196" t="str">
        <f aca="false">IF(A279&lt;mthend,EDATE(A279,1),"")</f>
        <v/>
      </c>
      <c r="B280" s="197" t="str">
        <f aca="false">IF(A280&lt;mthend,B279,"")</f>
        <v/>
      </c>
      <c r="C280" s="215"/>
      <c r="D280" s="197" t="str">
        <f aca="false">IF(A281&lt;&gt;"",B280+C280,"")</f>
        <v/>
      </c>
      <c r="E280" s="199" t="str">
        <f aca="false">IF(A281="","",IF(AND(AT280=1,$H$3=1),D280*AO280,IF($H$3=2,D280,"N/A")))</f>
        <v/>
      </c>
      <c r="F280" s="199" t="str">
        <f aca="false">IF(A281="","",E280*AS280)</f>
        <v/>
      </c>
      <c r="G280" s="200" t="str">
        <f aca="false">IF($A281="","",VLOOKUP($A280,Table,MATCH(G$4,Curves,0)))</f>
        <v/>
      </c>
      <c r="H280" s="201" t="str">
        <f aca="false">IF(A281="","",G280)</f>
        <v/>
      </c>
      <c r="I280" s="202"/>
      <c r="J280" s="200" t="str">
        <f aca="false">IF($A281="","",VLOOKUP($A280,Table,MATCH(J$4,Curves,0)))</f>
        <v/>
      </c>
      <c r="K280" s="201" t="str">
        <f aca="false">IF(A281="","",J280)</f>
        <v/>
      </c>
      <c r="L280" s="185" t="n">
        <v>0</v>
      </c>
      <c r="M280" s="201" t="str">
        <f aca="false">IF(A281="","",L280)</f>
        <v/>
      </c>
      <c r="N280" s="203"/>
      <c r="O280" s="200" t="str">
        <f aca="false">IF(A281="","",L280+J280+G280)</f>
        <v/>
      </c>
      <c r="P280" s="200" t="str">
        <f aca="false">IF(A281="","",M280+K280+H280)</f>
        <v/>
      </c>
      <c r="Q280" s="204"/>
      <c r="R280" s="200" t="str">
        <f aca="false">IF($A281="","",VLOOKUP($A280,Table,MATCH(R$4,Curves,0)))</f>
        <v/>
      </c>
      <c r="S280" s="201" t="str">
        <f aca="false">IF(A281="","",R280)</f>
        <v/>
      </c>
      <c r="T280" s="185" t="n">
        <v>0</v>
      </c>
      <c r="U280" s="201" t="str">
        <f aca="false">IF(A281="","",T280)</f>
        <v/>
      </c>
      <c r="V280" s="205"/>
      <c r="W280" s="202" t="str">
        <f aca="false">IF($A281="","",(T280+R280+G280+V280))</f>
        <v/>
      </c>
      <c r="X280" s="202" t="str">
        <f aca="false">IF($A281="","",(U280+S280+H280+V280))</f>
        <v/>
      </c>
      <c r="Y280" s="202"/>
      <c r="Z280" s="185" t="str">
        <f aca="false">IF($A281="","",VLOOKUP($A280,Table,MATCH(Z$4,Curves,0)))</f>
        <v/>
      </c>
      <c r="AA280" s="185" t="str">
        <f aca="false">IF($A281="","",VLOOKUP($A280,Table,MATCH(AA$4,Curves,0)))</f>
        <v/>
      </c>
      <c r="AB280" s="185" t="e">
        <f aca="false">SQRT((AA280^2*(A280-$D$3)+Z280^2*(DAY(EOMONTH(A280,0))/2))/AK280)</f>
        <v>#VALUE!</v>
      </c>
      <c r="AC280" s="185" t="str">
        <f aca="false">IF($A281="","",VLOOKUP($A280,Table,MATCH(AC$4,Curves,0)))</f>
        <v/>
      </c>
      <c r="AD280" s="185" t="str">
        <f aca="false">IF($A281="","",VLOOKUP($A280,Table,MATCH(AD$4,Curves,0)))</f>
        <v/>
      </c>
      <c r="AE280" s="185" t="e">
        <f aca="false">SQRT((AD280^2*(A280-$D$3)+AC280^2*(DAY(EOMONTH(A280,0))/2))/AK280)</f>
        <v>#VALUE!</v>
      </c>
      <c r="AF280" s="224" t="e">
        <f aca="false">((Summary!$N$13*(AA280*AD280)*(A280-$D$3))+(Summary!$M$13*Z280*AC280*(AJ280-EOMONTH(EDATE(A280,-1),0))))/(AK280*AB280*AE280)</f>
        <v>#VALUE!</v>
      </c>
      <c r="AG280" s="207" t="str">
        <f aca="false">IF($A281="","",Summary!$Q$13)</f>
        <v/>
      </c>
      <c r="AH280" s="207" t="str">
        <f aca="false">IF($A281="","",IF(Summary!$R$12="Y",(VLOOKUP($A280,Summary!$AD$6:$AF$9,3)+'Escalating commodity'!I293),'Escalating commodity'!I293))</f>
        <v/>
      </c>
      <c r="AI280" s="207" t="str">
        <f aca="false">IF($A281="","",AH280)</f>
        <v/>
      </c>
      <c r="AJ280" s="208" t="e">
        <f aca="false">A280+DAY(EOMONTH(A280,0))/2-1</f>
        <v>#VALUE!</v>
      </c>
      <c r="AK280" s="209" t="str">
        <f aca="false">IF($A281="","",$A280-$E$1)</f>
        <v/>
      </c>
      <c r="AL280" s="182" t="str">
        <f aca="false">IF($A281="","",SPRDOPT(P280,X280,AI280,0,AB280,AE280,AF280,AK280,$AJ$2,0))</f>
        <v/>
      </c>
      <c r="AM280" s="210" t="str">
        <f aca="false">IF($A281="","",MAX(0,O280-W280-AI280))</f>
        <v/>
      </c>
      <c r="AN280" s="211" t="str">
        <f aca="false">IF($A281="","",AL280-AM280)</f>
        <v/>
      </c>
      <c r="AO280" s="137" t="str">
        <f aca="false">IF(A281="","",A281-A280)</f>
        <v/>
      </c>
      <c r="AP280" s="212" t="str">
        <f aca="false">IF(A281="","",CHOOSE(F$3,A281+24,A280))</f>
        <v/>
      </c>
      <c r="AQ280" s="209" t="str">
        <f aca="false">IF(A281="","",AP280-$E$1)</f>
        <v/>
      </c>
      <c r="AR280" s="185" t="n">
        <f aca="false">'ANR OK vs ML7'!AR280</f>
        <v>0.1</v>
      </c>
      <c r="AS280" s="213" t="str">
        <f aca="false">IF(A281="","",1/(1+CHOOSE(F$3,(AR281+($I$3/10000))/2,(AR280+($I$3/10000))/2))^(2*AQ280/365.25))</f>
        <v/>
      </c>
      <c r="AT280" s="137" t="str">
        <f aca="false">IF(A281="","",IF(AND(mthbeg&lt;=A280,mthend&gt;=A280),1,0))</f>
        <v/>
      </c>
      <c r="AU280" s="137" t="str">
        <f aca="false">IF(A281="","",AO280*AT280)</f>
        <v/>
      </c>
      <c r="AW280" s="195" t="str">
        <f aca="false">IF($A281="","",AL280*$E280)</f>
        <v/>
      </c>
      <c r="AX280" s="195" t="str">
        <f aca="false">IF($A281="","",AM280*$E280)</f>
        <v/>
      </c>
      <c r="AY280" s="195" t="str">
        <f aca="false">IF($A281="","",AN280*$E280)</f>
        <v/>
      </c>
      <c r="BA280" s="195" t="str">
        <f aca="false">IF($A281="","",F280*Summary!$Q$13)</f>
        <v/>
      </c>
    </row>
    <row r="281" customFormat="false" ht="12" hidden="false" customHeight="true" outlineLevel="0" collapsed="false">
      <c r="A281" s="196" t="str">
        <f aca="false">IF(A280&lt;mthend,EDATE(A280,1),"")</f>
        <v/>
      </c>
      <c r="B281" s="197" t="str">
        <f aca="false">IF(A281&lt;mthend,B280,"")</f>
        <v/>
      </c>
      <c r="C281" s="215"/>
      <c r="D281" s="197" t="str">
        <f aca="false">IF(A282&lt;&gt;"",B281+C281,"")</f>
        <v/>
      </c>
      <c r="E281" s="199" t="str">
        <f aca="false">IF(A282="","",IF(AND(AT281=1,$H$3=1),D281*AO281,IF($H$3=2,D281,"N/A")))</f>
        <v/>
      </c>
      <c r="F281" s="199" t="str">
        <f aca="false">IF(A282="","",E281*AS281)</f>
        <v/>
      </c>
      <c r="G281" s="200" t="str">
        <f aca="false">IF($A282="","",VLOOKUP($A281,Table,MATCH(G$4,Curves,0)))</f>
        <v/>
      </c>
      <c r="H281" s="201" t="str">
        <f aca="false">IF(A282="","",G281)</f>
        <v/>
      </c>
      <c r="I281" s="202"/>
      <c r="J281" s="200" t="str">
        <f aca="false">IF($A282="","",VLOOKUP($A281,Table,MATCH(J$4,Curves,0)))</f>
        <v/>
      </c>
      <c r="K281" s="201" t="str">
        <f aca="false">IF(A282="","",J281)</f>
        <v/>
      </c>
      <c r="L281" s="185" t="n">
        <v>0</v>
      </c>
      <c r="M281" s="201" t="str">
        <f aca="false">IF(A282="","",L281)</f>
        <v/>
      </c>
      <c r="N281" s="203"/>
      <c r="O281" s="200" t="str">
        <f aca="false">IF(A282="","",L281+J281+G281)</f>
        <v/>
      </c>
      <c r="P281" s="200" t="str">
        <f aca="false">IF(A282="","",M281+K281+H281)</f>
        <v/>
      </c>
      <c r="Q281" s="204"/>
      <c r="R281" s="200" t="str">
        <f aca="false">IF($A282="","",VLOOKUP($A281,Table,MATCH(R$4,Curves,0)))</f>
        <v/>
      </c>
      <c r="S281" s="201" t="str">
        <f aca="false">IF(A282="","",R281)</f>
        <v/>
      </c>
      <c r="T281" s="185" t="n">
        <v>0</v>
      </c>
      <c r="U281" s="201" t="str">
        <f aca="false">IF(A282="","",T281)</f>
        <v/>
      </c>
      <c r="V281" s="205"/>
      <c r="W281" s="202" t="str">
        <f aca="false">IF($A282="","",(T281+R281+G281+V281))</f>
        <v/>
      </c>
      <c r="X281" s="202" t="str">
        <f aca="false">IF($A282="","",(U281+S281+H281+V281))</f>
        <v/>
      </c>
      <c r="Y281" s="202"/>
      <c r="Z281" s="185" t="str">
        <f aca="false">IF($A282="","",VLOOKUP($A281,Table,MATCH(Z$4,Curves,0)))</f>
        <v/>
      </c>
      <c r="AA281" s="185" t="str">
        <f aca="false">IF($A282="","",VLOOKUP($A281,Table,MATCH(AA$4,Curves,0)))</f>
        <v/>
      </c>
      <c r="AB281" s="185" t="e">
        <f aca="false">SQRT((AA281^2*(A281-$D$3)+Z281^2*(DAY(EOMONTH(A281,0))/2))/AK281)</f>
        <v>#VALUE!</v>
      </c>
      <c r="AC281" s="185" t="str">
        <f aca="false">IF($A282="","",VLOOKUP($A281,Table,MATCH(AC$4,Curves,0)))</f>
        <v/>
      </c>
      <c r="AD281" s="185" t="str">
        <f aca="false">IF($A282="","",VLOOKUP($A281,Table,MATCH(AD$4,Curves,0)))</f>
        <v/>
      </c>
      <c r="AE281" s="185" t="e">
        <f aca="false">SQRT((AD281^2*(A281-$D$3)+AC281^2*(DAY(EOMONTH(A281,0))/2))/AK281)</f>
        <v>#VALUE!</v>
      </c>
      <c r="AF281" s="224" t="e">
        <f aca="false">((Summary!$N$13*(AA281*AD281)*(A281-$D$3))+(Summary!$M$13*Z281*AC281*(AJ281-EOMONTH(EDATE(A281,-1),0))))/(AK281*AB281*AE281)</f>
        <v>#VALUE!</v>
      </c>
      <c r="AG281" s="207" t="str">
        <f aca="false">IF($A282="","",Summary!$Q$13)</f>
        <v/>
      </c>
      <c r="AH281" s="207" t="str">
        <f aca="false">IF($A282="","",IF(Summary!$R$12="Y",(VLOOKUP($A281,Summary!$AD$6:$AF$9,3)+'Escalating commodity'!I294),'Escalating commodity'!I294))</f>
        <v/>
      </c>
      <c r="AI281" s="207" t="str">
        <f aca="false">IF($A282="","",AH281)</f>
        <v/>
      </c>
      <c r="AJ281" s="208" t="e">
        <f aca="false">A281+DAY(EOMONTH(A281,0))/2-1</f>
        <v>#VALUE!</v>
      </c>
      <c r="AK281" s="209" t="str">
        <f aca="false">IF($A282="","",$A281-$E$1)</f>
        <v/>
      </c>
      <c r="AL281" s="182" t="str">
        <f aca="false">IF($A282="","",SPRDOPT(P281,X281,AI281,0,AB281,AE281,AF281,AK281,$AJ$2,0))</f>
        <v/>
      </c>
      <c r="AM281" s="210" t="str">
        <f aca="false">IF($A282="","",MAX(0,O281-W281-AI281))</f>
        <v/>
      </c>
      <c r="AN281" s="211" t="str">
        <f aca="false">IF($A282="","",AL281-AM281)</f>
        <v/>
      </c>
      <c r="AO281" s="137" t="str">
        <f aca="false">IF(A282="","",A282-A281)</f>
        <v/>
      </c>
      <c r="AP281" s="212" t="str">
        <f aca="false">IF(A282="","",CHOOSE(F$3,A282+24,A281))</f>
        <v/>
      </c>
      <c r="AQ281" s="209" t="str">
        <f aca="false">IF(A282="","",AP281-$E$1)</f>
        <v/>
      </c>
      <c r="AR281" s="185" t="n">
        <f aca="false">'ANR OK vs ML7'!AR281</f>
        <v>0.1</v>
      </c>
      <c r="AS281" s="213" t="str">
        <f aca="false">IF(A282="","",1/(1+CHOOSE(F$3,(AR282+($I$3/10000))/2,(AR281+($I$3/10000))/2))^(2*AQ281/365.25))</f>
        <v/>
      </c>
      <c r="AT281" s="137" t="str">
        <f aca="false">IF(A282="","",IF(AND(mthbeg&lt;=A281,mthend&gt;=A281),1,0))</f>
        <v/>
      </c>
      <c r="AU281" s="137" t="str">
        <f aca="false">IF(A282="","",AO281*AT281)</f>
        <v/>
      </c>
      <c r="AW281" s="195" t="str">
        <f aca="false">IF($A282="","",AL281*$E281)</f>
        <v/>
      </c>
      <c r="AX281" s="195" t="str">
        <f aca="false">IF($A282="","",AM281*$E281)</f>
        <v/>
      </c>
      <c r="AY281" s="195" t="str">
        <f aca="false">IF($A282="","",AN281*$E281)</f>
        <v/>
      </c>
      <c r="BA281" s="195" t="str">
        <f aca="false">IF($A282="","",F281*Summary!$Q$13)</f>
        <v/>
      </c>
    </row>
    <row r="282" customFormat="false" ht="12" hidden="false" customHeight="true" outlineLevel="0" collapsed="false">
      <c r="A282" s="196" t="str">
        <f aca="false">IF(A281&lt;mthend,EDATE(A281,1),"")</f>
        <v/>
      </c>
      <c r="B282" s="197" t="str">
        <f aca="false">IF(A282&lt;mthend,B281,"")</f>
        <v/>
      </c>
      <c r="C282" s="215"/>
      <c r="D282" s="197" t="str">
        <f aca="false">IF(A283&lt;&gt;"",B282+C282,"")</f>
        <v/>
      </c>
      <c r="E282" s="199" t="str">
        <f aca="false">IF(A283="","",IF(AND(AT282=1,$H$3=1),D282*AO282,IF($H$3=2,D282,"N/A")))</f>
        <v/>
      </c>
      <c r="F282" s="199" t="str">
        <f aca="false">IF(A283="","",E282*AS282)</f>
        <v/>
      </c>
      <c r="G282" s="200" t="str">
        <f aca="false">IF($A283="","",VLOOKUP($A282,Table,MATCH(G$4,Curves,0)))</f>
        <v/>
      </c>
      <c r="H282" s="201" t="str">
        <f aca="false">IF(A283="","",G282)</f>
        <v/>
      </c>
      <c r="I282" s="202"/>
      <c r="J282" s="200" t="str">
        <f aca="false">IF($A283="","",VLOOKUP($A282,Table,MATCH(J$4,Curves,0)))</f>
        <v/>
      </c>
      <c r="K282" s="201" t="str">
        <f aca="false">IF(A283="","",J282)</f>
        <v/>
      </c>
      <c r="L282" s="185" t="n">
        <v>0</v>
      </c>
      <c r="M282" s="201" t="str">
        <f aca="false">IF(A283="","",L282)</f>
        <v/>
      </c>
      <c r="N282" s="203"/>
      <c r="O282" s="200" t="str">
        <f aca="false">IF(A283="","",L282+J282+G282)</f>
        <v/>
      </c>
      <c r="P282" s="200" t="str">
        <f aca="false">IF(A283="","",M282+K282+H282)</f>
        <v/>
      </c>
      <c r="Q282" s="204"/>
      <c r="R282" s="200" t="str">
        <f aca="false">IF($A283="","",VLOOKUP($A282,Table,MATCH(R$4,Curves,0)))</f>
        <v/>
      </c>
      <c r="S282" s="201" t="str">
        <f aca="false">IF(A283="","",R282)</f>
        <v/>
      </c>
      <c r="T282" s="185" t="n">
        <v>0</v>
      </c>
      <c r="U282" s="201" t="str">
        <f aca="false">IF(A283="","",T282)</f>
        <v/>
      </c>
      <c r="V282" s="205"/>
      <c r="W282" s="202" t="str">
        <f aca="false">IF($A283="","",(T282+R282+G282+V282))</f>
        <v/>
      </c>
      <c r="X282" s="202" t="str">
        <f aca="false">IF($A283="","",(U282+S282+H282+V282))</f>
        <v/>
      </c>
      <c r="Y282" s="202"/>
      <c r="Z282" s="185" t="str">
        <f aca="false">IF($A283="","",VLOOKUP($A282,Table,MATCH(Z$4,Curves,0)))</f>
        <v/>
      </c>
      <c r="AA282" s="185" t="str">
        <f aca="false">IF($A283="","",VLOOKUP($A282,Table,MATCH(AA$4,Curves,0)))</f>
        <v/>
      </c>
      <c r="AB282" s="185" t="e">
        <f aca="false">SQRT((AA282^2*(A282-$D$3)+Z282^2*(DAY(EOMONTH(A282,0))/2))/AK282)</f>
        <v>#VALUE!</v>
      </c>
      <c r="AC282" s="185" t="str">
        <f aca="false">IF($A283="","",VLOOKUP($A282,Table,MATCH(AC$4,Curves,0)))</f>
        <v/>
      </c>
      <c r="AD282" s="185" t="str">
        <f aca="false">IF($A283="","",VLOOKUP($A282,Table,MATCH(AD$4,Curves,0)))</f>
        <v/>
      </c>
      <c r="AE282" s="185" t="e">
        <f aca="false">SQRT((AD282^2*(A282-$D$3)+AC282^2*(DAY(EOMONTH(A282,0))/2))/AK282)</f>
        <v>#VALUE!</v>
      </c>
      <c r="AF282" s="224" t="e">
        <f aca="false">((Summary!$N$13*(AA282*AD282)*(A282-$D$3))+(Summary!$M$13*Z282*AC282*(AJ282-EOMONTH(EDATE(A282,-1),0))))/(AK282*AB282*AE282)</f>
        <v>#VALUE!</v>
      </c>
      <c r="AG282" s="207" t="str">
        <f aca="false">IF($A283="","",Summary!$Q$13)</f>
        <v/>
      </c>
      <c r="AH282" s="207" t="str">
        <f aca="false">IF($A283="","",IF(Summary!$R$12="Y",(VLOOKUP($A282,Summary!$AD$6:$AF$9,3)+'Escalating commodity'!I295),'Escalating commodity'!I295))</f>
        <v/>
      </c>
      <c r="AI282" s="207" t="str">
        <f aca="false">IF($A283="","",AH282)</f>
        <v/>
      </c>
      <c r="AJ282" s="208" t="e">
        <f aca="false">A282+DAY(EOMONTH(A282,0))/2-1</f>
        <v>#VALUE!</v>
      </c>
      <c r="AK282" s="209" t="str">
        <f aca="false">IF($A283="","",$A282-$E$1)</f>
        <v/>
      </c>
      <c r="AL282" s="182" t="str">
        <f aca="false">IF($A283="","",SPRDOPT(P282,X282,AI282,0,AB282,AE282,AF282,AK282,$AJ$2,0))</f>
        <v/>
      </c>
      <c r="AM282" s="210" t="str">
        <f aca="false">IF($A283="","",MAX(0,O282-W282-AI282))</f>
        <v/>
      </c>
      <c r="AN282" s="211" t="str">
        <f aca="false">IF($A283="","",AL282-AM282)</f>
        <v/>
      </c>
      <c r="AO282" s="137" t="str">
        <f aca="false">IF(A283="","",A283-A282)</f>
        <v/>
      </c>
      <c r="AP282" s="212" t="str">
        <f aca="false">IF(A283="","",CHOOSE(F$3,A283+24,A282))</f>
        <v/>
      </c>
      <c r="AQ282" s="209" t="str">
        <f aca="false">IF(A283="","",AP282-$E$1)</f>
        <v/>
      </c>
      <c r="AR282" s="185" t="n">
        <f aca="false">'ANR OK vs ML7'!AR282</f>
        <v>0.1</v>
      </c>
      <c r="AS282" s="213" t="str">
        <f aca="false">IF(A283="","",1/(1+CHOOSE(F$3,(AR283+($I$3/10000))/2,(AR282+($I$3/10000))/2))^(2*AQ282/365.25))</f>
        <v/>
      </c>
      <c r="AT282" s="137" t="str">
        <f aca="false">IF(A283="","",IF(AND(mthbeg&lt;=A282,mthend&gt;=A282),1,0))</f>
        <v/>
      </c>
      <c r="AU282" s="137" t="str">
        <f aca="false">IF(A283="","",AO282*AT282)</f>
        <v/>
      </c>
      <c r="AW282" s="195" t="str">
        <f aca="false">IF($A283="","",AL282*$E282)</f>
        <v/>
      </c>
      <c r="AX282" s="195" t="str">
        <f aca="false">IF($A283="","",AM282*$E282)</f>
        <v/>
      </c>
      <c r="AY282" s="195" t="str">
        <f aca="false">IF($A283="","",AN282*$E282)</f>
        <v/>
      </c>
      <c r="BA282" s="195" t="str">
        <f aca="false">IF($A283="","",F282*Summary!$Q$13)</f>
        <v/>
      </c>
    </row>
    <row r="283" customFormat="false" ht="12" hidden="false" customHeight="true" outlineLevel="0" collapsed="false">
      <c r="A283" s="196" t="str">
        <f aca="false">IF(A282&lt;mthend,EDATE(A282,1),"")</f>
        <v/>
      </c>
      <c r="B283" s="197" t="str">
        <f aca="false">IF(A283&lt;mthend,B282,"")</f>
        <v/>
      </c>
      <c r="C283" s="215"/>
      <c r="D283" s="197" t="str">
        <f aca="false">IF(A284&lt;&gt;"",B283+C283,"")</f>
        <v/>
      </c>
      <c r="E283" s="199" t="str">
        <f aca="false">IF(A284="","",IF(AND(AT283=1,$H$3=1),D283*AO283,IF($H$3=2,D283,"N/A")))</f>
        <v/>
      </c>
      <c r="F283" s="199" t="str">
        <f aca="false">IF(A284="","",E283*AS283)</f>
        <v/>
      </c>
      <c r="G283" s="200" t="str">
        <f aca="false">IF($A284="","",VLOOKUP($A283,Table,MATCH(G$4,Curves,0)))</f>
        <v/>
      </c>
      <c r="H283" s="201" t="str">
        <f aca="false">IF(A284="","",G283)</f>
        <v/>
      </c>
      <c r="I283" s="202"/>
      <c r="J283" s="200" t="str">
        <f aca="false">IF($A284="","",VLOOKUP($A283,Table,MATCH(J$4,Curves,0)))</f>
        <v/>
      </c>
      <c r="K283" s="201" t="str">
        <f aca="false">IF(A284="","",J283)</f>
        <v/>
      </c>
      <c r="L283" s="185" t="n">
        <v>0</v>
      </c>
      <c r="M283" s="201" t="str">
        <f aca="false">IF(A284="","",L283)</f>
        <v/>
      </c>
      <c r="N283" s="203"/>
      <c r="O283" s="200" t="str">
        <f aca="false">IF(A284="","",L283+J283+G283)</f>
        <v/>
      </c>
      <c r="P283" s="200" t="str">
        <f aca="false">IF(A284="","",M283+K283+H283)</f>
        <v/>
      </c>
      <c r="Q283" s="204"/>
      <c r="R283" s="200" t="str">
        <f aca="false">IF($A284="","",VLOOKUP($A283,Table,MATCH(R$4,Curves,0)))</f>
        <v/>
      </c>
      <c r="S283" s="201" t="str">
        <f aca="false">IF(A284="","",R283)</f>
        <v/>
      </c>
      <c r="T283" s="185" t="n">
        <v>0</v>
      </c>
      <c r="U283" s="201" t="str">
        <f aca="false">IF(A284="","",T283)</f>
        <v/>
      </c>
      <c r="V283" s="205"/>
      <c r="W283" s="202" t="str">
        <f aca="false">IF($A284="","",(T283+R283+G283+V283))</f>
        <v/>
      </c>
      <c r="X283" s="202" t="str">
        <f aca="false">IF($A284="","",(U283+S283+H283+V283))</f>
        <v/>
      </c>
      <c r="Y283" s="202"/>
      <c r="Z283" s="185" t="str">
        <f aca="false">IF($A284="","",VLOOKUP($A283,Table,MATCH(Z$4,Curves,0)))</f>
        <v/>
      </c>
      <c r="AA283" s="185" t="str">
        <f aca="false">IF($A284="","",VLOOKUP($A283,Table,MATCH(AA$4,Curves,0)))</f>
        <v/>
      </c>
      <c r="AB283" s="185" t="e">
        <f aca="false">SQRT((AA283^2*(A283-$D$3)+Z283^2*(DAY(EOMONTH(A283,0))/2))/AK283)</f>
        <v>#VALUE!</v>
      </c>
      <c r="AC283" s="185" t="str">
        <f aca="false">IF($A284="","",VLOOKUP($A283,Table,MATCH(AC$4,Curves,0)))</f>
        <v/>
      </c>
      <c r="AD283" s="185" t="str">
        <f aca="false">IF($A284="","",VLOOKUP($A283,Table,MATCH(AD$4,Curves,0)))</f>
        <v/>
      </c>
      <c r="AE283" s="185" t="e">
        <f aca="false">SQRT((AD283^2*(A283-$D$3)+AC283^2*(DAY(EOMONTH(A283,0))/2))/AK283)</f>
        <v>#VALUE!</v>
      </c>
      <c r="AF283" s="224" t="e">
        <f aca="false">((Summary!$N$13*(AA283*AD283)*(A283-$D$3))+(Summary!$M$13*Z283*AC283*(AJ283-EOMONTH(EDATE(A283,-1),0))))/(AK283*AB283*AE283)</f>
        <v>#VALUE!</v>
      </c>
      <c r="AG283" s="207" t="str">
        <f aca="false">IF($A284="","",Summary!$Q$13)</f>
        <v/>
      </c>
      <c r="AH283" s="207" t="str">
        <f aca="false">IF($A284="","",IF(Summary!$R$12="Y",(VLOOKUP($A283,Summary!$AD$6:$AF$9,3)+'Escalating commodity'!I296),'Escalating commodity'!I296))</f>
        <v/>
      </c>
      <c r="AI283" s="207" t="str">
        <f aca="false">IF($A284="","",AH283)</f>
        <v/>
      </c>
      <c r="AJ283" s="208" t="e">
        <f aca="false">A283+DAY(EOMONTH(A283,0))/2-1</f>
        <v>#VALUE!</v>
      </c>
      <c r="AK283" s="209" t="str">
        <f aca="false">IF($A284="","",$A283-$E$1)</f>
        <v/>
      </c>
      <c r="AL283" s="182" t="str">
        <f aca="false">IF($A284="","",SPRDOPT(P283,X283,AI283,0,AB283,AE283,AF283,AK283,$AJ$2,0))</f>
        <v/>
      </c>
      <c r="AM283" s="210" t="str">
        <f aca="false">IF($A284="","",MAX(0,O283-W283-AI283))</f>
        <v/>
      </c>
      <c r="AN283" s="211" t="str">
        <f aca="false">IF($A284="","",AL283-AM283)</f>
        <v/>
      </c>
      <c r="AO283" s="137" t="str">
        <f aca="false">IF(A284="","",A284-A283)</f>
        <v/>
      </c>
      <c r="AP283" s="212" t="str">
        <f aca="false">IF(A284="","",CHOOSE(F$3,A284+24,A283))</f>
        <v/>
      </c>
      <c r="AQ283" s="209" t="str">
        <f aca="false">IF(A284="","",AP283-$E$1)</f>
        <v/>
      </c>
      <c r="AR283" s="185" t="n">
        <f aca="false">'ANR OK vs ML7'!AR283</f>
        <v>0.1</v>
      </c>
      <c r="AS283" s="213" t="str">
        <f aca="false">IF(A284="","",1/(1+CHOOSE(F$3,(AR284+($I$3/10000))/2,(AR283+($I$3/10000))/2))^(2*AQ283/365.25))</f>
        <v/>
      </c>
      <c r="AT283" s="137" t="str">
        <f aca="false">IF(A284="","",IF(AND(mthbeg&lt;=A283,mthend&gt;=A283),1,0))</f>
        <v/>
      </c>
      <c r="AU283" s="137" t="str">
        <f aca="false">IF(A284="","",AO283*AT283)</f>
        <v/>
      </c>
      <c r="AW283" s="195" t="str">
        <f aca="false">IF($A284="","",AL283*$E283)</f>
        <v/>
      </c>
      <c r="AX283" s="195" t="str">
        <f aca="false">IF($A284="","",AM283*$E283)</f>
        <v/>
      </c>
      <c r="AY283" s="195" t="str">
        <f aca="false">IF($A284="","",AN283*$E283)</f>
        <v/>
      </c>
      <c r="BA283" s="195" t="str">
        <f aca="false">IF($A284="","",F283*Summary!$Q$13)</f>
        <v/>
      </c>
    </row>
    <row r="284" customFormat="false" ht="12" hidden="false" customHeight="true" outlineLevel="0" collapsed="false">
      <c r="A284" s="196" t="str">
        <f aca="false">IF(A283&lt;mthend,EDATE(A283,1),"")</f>
        <v/>
      </c>
      <c r="B284" s="197" t="str">
        <f aca="false">IF(A284&lt;mthend,B283,"")</f>
        <v/>
      </c>
      <c r="C284" s="215"/>
      <c r="D284" s="197" t="str">
        <f aca="false">IF(A285&lt;&gt;"",B284+C284,"")</f>
        <v/>
      </c>
      <c r="E284" s="199" t="str">
        <f aca="false">IF(A285="","",IF(AND(AT284=1,$H$3=1),D284*AO284,IF($H$3=2,D284,"N/A")))</f>
        <v/>
      </c>
      <c r="F284" s="199" t="str">
        <f aca="false">IF(A285="","",E284*AS284)</f>
        <v/>
      </c>
      <c r="G284" s="200" t="str">
        <f aca="false">IF($A285="","",VLOOKUP($A284,Table,MATCH(G$4,Curves,0)))</f>
        <v/>
      </c>
      <c r="H284" s="201" t="str">
        <f aca="false">IF(A285="","",G284)</f>
        <v/>
      </c>
      <c r="I284" s="202"/>
      <c r="J284" s="200" t="str">
        <f aca="false">IF($A285="","",VLOOKUP($A284,Table,MATCH(J$4,Curves,0)))</f>
        <v/>
      </c>
      <c r="K284" s="201" t="str">
        <f aca="false">IF(A285="","",J284)</f>
        <v/>
      </c>
      <c r="L284" s="185" t="n">
        <v>0</v>
      </c>
      <c r="M284" s="201" t="str">
        <f aca="false">IF(A285="","",L284)</f>
        <v/>
      </c>
      <c r="N284" s="203"/>
      <c r="O284" s="200" t="str">
        <f aca="false">IF(A285="","",L284+J284+G284)</f>
        <v/>
      </c>
      <c r="P284" s="200" t="str">
        <f aca="false">IF(A285="","",M284+K284+H284)</f>
        <v/>
      </c>
      <c r="Q284" s="204"/>
      <c r="R284" s="200" t="str">
        <f aca="false">IF($A285="","",VLOOKUP($A284,Table,MATCH(R$4,Curves,0)))</f>
        <v/>
      </c>
      <c r="S284" s="201" t="str">
        <f aca="false">IF(A285="","",R284)</f>
        <v/>
      </c>
      <c r="T284" s="185" t="n">
        <v>0</v>
      </c>
      <c r="U284" s="201" t="str">
        <f aca="false">IF(A285="","",T284)</f>
        <v/>
      </c>
      <c r="V284" s="205"/>
      <c r="W284" s="202" t="str">
        <f aca="false">IF($A285="","",(T284+R284+G284+V284))</f>
        <v/>
      </c>
      <c r="X284" s="202" t="str">
        <f aca="false">IF($A285="","",(U284+S284+H284+V284))</f>
        <v/>
      </c>
      <c r="Y284" s="202"/>
      <c r="Z284" s="185" t="str">
        <f aca="false">IF($A285="","",VLOOKUP($A284,Table,MATCH(Z$4,Curves,0)))</f>
        <v/>
      </c>
      <c r="AA284" s="185" t="str">
        <f aca="false">IF($A285="","",VLOOKUP($A284,Table,MATCH(AA$4,Curves,0)))</f>
        <v/>
      </c>
      <c r="AB284" s="185" t="e">
        <f aca="false">SQRT((AA284^2*(A284-$D$3)+Z284^2*(DAY(EOMONTH(A284,0))/2))/AK284)</f>
        <v>#VALUE!</v>
      </c>
      <c r="AC284" s="185" t="str">
        <f aca="false">IF($A285="","",VLOOKUP($A284,Table,MATCH(AC$4,Curves,0)))</f>
        <v/>
      </c>
      <c r="AD284" s="185" t="str">
        <f aca="false">IF($A285="","",VLOOKUP($A284,Table,MATCH(AD$4,Curves,0)))</f>
        <v/>
      </c>
      <c r="AE284" s="185" t="e">
        <f aca="false">SQRT((AD284^2*(A284-$D$3)+AC284^2*(DAY(EOMONTH(A284,0))/2))/AK284)</f>
        <v>#VALUE!</v>
      </c>
      <c r="AF284" s="224" t="e">
        <f aca="false">((Summary!$N$13*(AA284*AD284)*(A284-$D$3))+(Summary!$M$13*Z284*AC284*(AJ284-EOMONTH(EDATE(A284,-1),0))))/(AK284*AB284*AE284)</f>
        <v>#VALUE!</v>
      </c>
      <c r="AG284" s="207" t="str">
        <f aca="false">IF($A285="","",Summary!$Q$13)</f>
        <v/>
      </c>
      <c r="AH284" s="207" t="str">
        <f aca="false">IF($A285="","",IF(Summary!$R$12="Y",(VLOOKUP($A284,Summary!$AD$6:$AF$9,3)+'Escalating commodity'!I297),'Escalating commodity'!I297))</f>
        <v/>
      </c>
      <c r="AI284" s="207" t="str">
        <f aca="false">IF($A285="","",AH284)</f>
        <v/>
      </c>
      <c r="AJ284" s="208" t="e">
        <f aca="false">A284+DAY(EOMONTH(A284,0))/2-1</f>
        <v>#VALUE!</v>
      </c>
      <c r="AK284" s="209" t="str">
        <f aca="false">IF($A285="","",$A284-$E$1)</f>
        <v/>
      </c>
      <c r="AL284" s="182" t="str">
        <f aca="false">IF($A285="","",SPRDOPT(P284,X284,AI284,0,AB284,AE284,AF284,AK284,$AJ$2,0))</f>
        <v/>
      </c>
      <c r="AM284" s="210" t="str">
        <f aca="false">IF($A285="","",MAX(0,O284-W284-AI284))</f>
        <v/>
      </c>
      <c r="AN284" s="211" t="str">
        <f aca="false">IF($A285="","",AL284-AM284)</f>
        <v/>
      </c>
      <c r="AO284" s="137" t="str">
        <f aca="false">IF(A285="","",A285-A284)</f>
        <v/>
      </c>
      <c r="AP284" s="212" t="str">
        <f aca="false">IF(A285="","",CHOOSE(F$3,A285+24,A284))</f>
        <v/>
      </c>
      <c r="AQ284" s="209" t="str">
        <f aca="false">IF(A285="","",AP284-$E$1)</f>
        <v/>
      </c>
      <c r="AR284" s="185" t="n">
        <f aca="false">'ANR OK vs ML7'!AR284</f>
        <v>0.1</v>
      </c>
      <c r="AS284" s="213" t="str">
        <f aca="false">IF(A285="","",1/(1+CHOOSE(F$3,(AR285+($I$3/10000))/2,(AR284+($I$3/10000))/2))^(2*AQ284/365.25))</f>
        <v/>
      </c>
      <c r="AT284" s="137" t="str">
        <f aca="false">IF(A285="","",IF(AND(mthbeg&lt;=A284,mthend&gt;=A284),1,0))</f>
        <v/>
      </c>
      <c r="AU284" s="137" t="str">
        <f aca="false">IF(A285="","",AO284*AT284)</f>
        <v/>
      </c>
      <c r="AW284" s="195" t="str">
        <f aca="false">IF($A285="","",AL284*$E284)</f>
        <v/>
      </c>
      <c r="AX284" s="195" t="str">
        <f aca="false">IF($A285="","",AM284*$E284)</f>
        <v/>
      </c>
      <c r="AY284" s="195" t="str">
        <f aca="false">IF($A285="","",AN284*$E284)</f>
        <v/>
      </c>
      <c r="BA284" s="195" t="str">
        <f aca="false">IF($A285="","",F284*Summary!$Q$13)</f>
        <v/>
      </c>
    </row>
    <row r="285" customFormat="false" ht="12" hidden="false" customHeight="true" outlineLevel="0" collapsed="false">
      <c r="A285" s="196" t="str">
        <f aca="false">IF(A284&lt;mthend,EDATE(A284,1),"")</f>
        <v/>
      </c>
      <c r="B285" s="197" t="str">
        <f aca="false">IF(A285&lt;mthend,B284,"")</f>
        <v/>
      </c>
      <c r="C285" s="215"/>
      <c r="D285" s="197" t="str">
        <f aca="false">IF(A286&lt;&gt;"",B285+C285,"")</f>
        <v/>
      </c>
      <c r="E285" s="199" t="str">
        <f aca="false">IF(A286="","",IF(AND(AT285=1,$H$3=1),D285*AO285,IF($H$3=2,D285,"N/A")))</f>
        <v/>
      </c>
      <c r="F285" s="199" t="str">
        <f aca="false">IF(A286="","",E285*AS285)</f>
        <v/>
      </c>
      <c r="G285" s="200" t="str">
        <f aca="false">IF($A286="","",VLOOKUP($A285,Table,MATCH(G$4,Curves,0)))</f>
        <v/>
      </c>
      <c r="H285" s="201" t="str">
        <f aca="false">IF(A286="","",G285)</f>
        <v/>
      </c>
      <c r="I285" s="202"/>
      <c r="J285" s="200" t="str">
        <f aca="false">IF($A286="","",VLOOKUP($A285,Table,MATCH(J$4,Curves,0)))</f>
        <v/>
      </c>
      <c r="K285" s="201" t="str">
        <f aca="false">IF(A286="","",J285)</f>
        <v/>
      </c>
      <c r="L285" s="185" t="n">
        <v>0</v>
      </c>
      <c r="M285" s="201" t="str">
        <f aca="false">IF(A286="","",L285)</f>
        <v/>
      </c>
      <c r="N285" s="203"/>
      <c r="O285" s="200" t="str">
        <f aca="false">IF(A286="","",L285+J285+G285)</f>
        <v/>
      </c>
      <c r="P285" s="200" t="str">
        <f aca="false">IF(A286="","",M285+K285+H285)</f>
        <v/>
      </c>
      <c r="Q285" s="204"/>
      <c r="R285" s="200" t="str">
        <f aca="false">IF($A286="","",VLOOKUP($A285,Table,MATCH(R$4,Curves,0)))</f>
        <v/>
      </c>
      <c r="S285" s="201" t="str">
        <f aca="false">IF(A286="","",R285)</f>
        <v/>
      </c>
      <c r="T285" s="185" t="n">
        <v>0</v>
      </c>
      <c r="U285" s="201" t="str">
        <f aca="false">IF(A286="","",T285)</f>
        <v/>
      </c>
      <c r="V285" s="205"/>
      <c r="W285" s="202" t="str">
        <f aca="false">IF($A286="","",(T285+R285+G285+V285))</f>
        <v/>
      </c>
      <c r="X285" s="202" t="str">
        <f aca="false">IF($A286="","",(U285+S285+H285+V285))</f>
        <v/>
      </c>
      <c r="Y285" s="202"/>
      <c r="Z285" s="185" t="str">
        <f aca="false">IF($A286="","",VLOOKUP($A285,Table,MATCH(Z$4,Curves,0)))</f>
        <v/>
      </c>
      <c r="AA285" s="185" t="str">
        <f aca="false">IF($A286="","",VLOOKUP($A285,Table,MATCH(AA$4,Curves,0)))</f>
        <v/>
      </c>
      <c r="AB285" s="185" t="e">
        <f aca="false">SQRT((AA285^2*(A285-$D$3)+Z285^2*(DAY(EOMONTH(A285,0))/2))/AK285)</f>
        <v>#VALUE!</v>
      </c>
      <c r="AC285" s="185" t="str">
        <f aca="false">IF($A286="","",VLOOKUP($A285,Table,MATCH(AC$4,Curves,0)))</f>
        <v/>
      </c>
      <c r="AD285" s="185" t="str">
        <f aca="false">IF($A286="","",VLOOKUP($A285,Table,MATCH(AD$4,Curves,0)))</f>
        <v/>
      </c>
      <c r="AE285" s="185" t="e">
        <f aca="false">SQRT((AD285^2*(A285-$D$3)+AC285^2*(DAY(EOMONTH(A285,0))/2))/AK285)</f>
        <v>#VALUE!</v>
      </c>
      <c r="AF285" s="224" t="e">
        <f aca="false">((Summary!$N$13*(AA285*AD285)*(A285-$D$3))+(Summary!$M$13*Z285*AC285*(AJ285-EOMONTH(EDATE(A285,-1),0))))/(AK285*AB285*AE285)</f>
        <v>#VALUE!</v>
      </c>
      <c r="AG285" s="207" t="str">
        <f aca="false">IF($A286="","",Summary!$Q$13)</f>
        <v/>
      </c>
      <c r="AH285" s="207" t="str">
        <f aca="false">IF($A286="","",IF(Summary!$R$12="Y",(VLOOKUP($A285,Summary!$AD$6:$AF$9,3)+'Escalating commodity'!I298),'Escalating commodity'!I298))</f>
        <v/>
      </c>
      <c r="AI285" s="207" t="str">
        <f aca="false">IF($A286="","",AH285)</f>
        <v/>
      </c>
      <c r="AJ285" s="208" t="e">
        <f aca="false">A285+DAY(EOMONTH(A285,0))/2-1</f>
        <v>#VALUE!</v>
      </c>
      <c r="AK285" s="209" t="str">
        <f aca="false">IF($A286="","",$A285-$E$1)</f>
        <v/>
      </c>
      <c r="AL285" s="182" t="str">
        <f aca="false">IF($A286="","",SPRDOPT(P285,X285,AI285,0,AB285,AE285,AF285,AK285,$AJ$2,0))</f>
        <v/>
      </c>
      <c r="AM285" s="210" t="str">
        <f aca="false">IF($A286="","",MAX(0,O285-W285-AI285))</f>
        <v/>
      </c>
      <c r="AN285" s="211" t="str">
        <f aca="false">IF($A286="","",AL285-AM285)</f>
        <v/>
      </c>
      <c r="AO285" s="137" t="str">
        <f aca="false">IF(A286="","",A286-A285)</f>
        <v/>
      </c>
      <c r="AP285" s="212" t="str">
        <f aca="false">IF(A286="","",CHOOSE(F$3,A286+24,A285))</f>
        <v/>
      </c>
      <c r="AQ285" s="209" t="str">
        <f aca="false">IF(A286="","",AP285-$E$1)</f>
        <v/>
      </c>
      <c r="AR285" s="185" t="n">
        <f aca="false">'ANR OK vs ML7'!AR285</f>
        <v>0.1</v>
      </c>
      <c r="AS285" s="213" t="str">
        <f aca="false">IF(A286="","",1/(1+CHOOSE(F$3,(AR286+($I$3/10000))/2,(AR285+($I$3/10000))/2))^(2*AQ285/365.25))</f>
        <v/>
      </c>
      <c r="AT285" s="137" t="str">
        <f aca="false">IF(A286="","",IF(AND(mthbeg&lt;=A285,mthend&gt;=A285),1,0))</f>
        <v/>
      </c>
      <c r="AU285" s="137" t="str">
        <f aca="false">IF(A286="","",AO285*AT285)</f>
        <v/>
      </c>
      <c r="AW285" s="195" t="str">
        <f aca="false">IF($A286="","",AL285*$E285)</f>
        <v/>
      </c>
      <c r="AX285" s="195" t="str">
        <f aca="false">IF($A286="","",AM285*$E285)</f>
        <v/>
      </c>
      <c r="AY285" s="195" t="str">
        <f aca="false">IF($A286="","",AN285*$E285)</f>
        <v/>
      </c>
      <c r="BA285" s="195" t="str">
        <f aca="false">IF($A286="","",F285*Summary!$Q$13)</f>
        <v/>
      </c>
    </row>
    <row r="286" customFormat="false" ht="12" hidden="false" customHeight="true" outlineLevel="0" collapsed="false">
      <c r="A286" s="196" t="str">
        <f aca="false">IF(A285&lt;mthend,EDATE(A285,1),"")</f>
        <v/>
      </c>
      <c r="B286" s="197" t="str">
        <f aca="false">IF(A286&lt;mthend,B285,"")</f>
        <v/>
      </c>
      <c r="C286" s="215"/>
      <c r="D286" s="197" t="str">
        <f aca="false">IF(A287&lt;&gt;"",B286+C286,"")</f>
        <v/>
      </c>
      <c r="E286" s="199" t="str">
        <f aca="false">IF(A287="","",IF(AND(AT286=1,$H$3=1),D286*AO286,IF($H$3=2,D286,"N/A")))</f>
        <v/>
      </c>
      <c r="F286" s="199" t="str">
        <f aca="false">IF(A287="","",E286*AS286)</f>
        <v/>
      </c>
      <c r="G286" s="200" t="str">
        <f aca="false">IF($A287="","",VLOOKUP($A286,Table,MATCH(G$4,Curves,0)))</f>
        <v/>
      </c>
      <c r="H286" s="201" t="str">
        <f aca="false">IF(A287="","",G286)</f>
        <v/>
      </c>
      <c r="I286" s="202"/>
      <c r="J286" s="200" t="str">
        <f aca="false">IF($A287="","",VLOOKUP($A286,Table,MATCH(J$4,Curves,0)))</f>
        <v/>
      </c>
      <c r="K286" s="201" t="str">
        <f aca="false">IF(A287="","",J286)</f>
        <v/>
      </c>
      <c r="L286" s="185" t="n">
        <v>0</v>
      </c>
      <c r="M286" s="201" t="str">
        <f aca="false">IF(A287="","",L286)</f>
        <v/>
      </c>
      <c r="N286" s="203"/>
      <c r="O286" s="200" t="str">
        <f aca="false">IF(A287="","",L286+J286+G286)</f>
        <v/>
      </c>
      <c r="P286" s="200" t="str">
        <f aca="false">IF(A287="","",M286+K286+H286)</f>
        <v/>
      </c>
      <c r="Q286" s="204"/>
      <c r="R286" s="200" t="str">
        <f aca="false">IF($A287="","",VLOOKUP($A286,Table,MATCH(R$4,Curves,0)))</f>
        <v/>
      </c>
      <c r="S286" s="201" t="str">
        <f aca="false">IF(A287="","",R286)</f>
        <v/>
      </c>
      <c r="T286" s="185" t="n">
        <v>0</v>
      </c>
      <c r="U286" s="201" t="str">
        <f aca="false">IF(A287="","",T286)</f>
        <v/>
      </c>
      <c r="V286" s="205"/>
      <c r="W286" s="202" t="str">
        <f aca="false">IF($A287="","",(T286+R286+G286+V286))</f>
        <v/>
      </c>
      <c r="X286" s="202" t="str">
        <f aca="false">IF($A287="","",(U286+S286+H286+V286))</f>
        <v/>
      </c>
      <c r="Y286" s="202"/>
      <c r="Z286" s="185" t="str">
        <f aca="false">IF($A287="","",VLOOKUP($A286,Table,MATCH(Z$4,Curves,0)))</f>
        <v/>
      </c>
      <c r="AA286" s="185" t="str">
        <f aca="false">IF($A287="","",VLOOKUP($A286,Table,MATCH(AA$4,Curves,0)))</f>
        <v/>
      </c>
      <c r="AB286" s="185" t="e">
        <f aca="false">SQRT((AA286^2*(A286-$D$3)+Z286^2*(DAY(EOMONTH(A286,0))/2))/AK286)</f>
        <v>#VALUE!</v>
      </c>
      <c r="AC286" s="185" t="str">
        <f aca="false">IF($A287="","",VLOOKUP($A286,Table,MATCH(AC$4,Curves,0)))</f>
        <v/>
      </c>
      <c r="AD286" s="185" t="str">
        <f aca="false">IF($A287="","",VLOOKUP($A286,Table,MATCH(AD$4,Curves,0)))</f>
        <v/>
      </c>
      <c r="AE286" s="185" t="e">
        <f aca="false">SQRT((AD286^2*(A286-$D$3)+AC286^2*(DAY(EOMONTH(A286,0))/2))/AK286)</f>
        <v>#VALUE!</v>
      </c>
      <c r="AF286" s="224" t="e">
        <f aca="false">((Summary!$N$13*(AA286*AD286)*(A286-$D$3))+(Summary!$M$13*Z286*AC286*(AJ286-EOMONTH(EDATE(A286,-1),0))))/(AK286*AB286*AE286)</f>
        <v>#VALUE!</v>
      </c>
      <c r="AG286" s="207" t="str">
        <f aca="false">IF($A287="","",Summary!$Q$13)</f>
        <v/>
      </c>
      <c r="AH286" s="207" t="str">
        <f aca="false">IF($A287="","",IF(Summary!$R$12="Y",(VLOOKUP($A286,Summary!$AD$6:$AF$9,3)+'Escalating commodity'!I299),'Escalating commodity'!I299))</f>
        <v/>
      </c>
      <c r="AI286" s="207" t="str">
        <f aca="false">IF($A287="","",AH286)</f>
        <v/>
      </c>
      <c r="AJ286" s="208" t="e">
        <f aca="false">A286+DAY(EOMONTH(A286,0))/2-1</f>
        <v>#VALUE!</v>
      </c>
      <c r="AK286" s="209" t="str">
        <f aca="false">IF($A287="","",$A286-$E$1)</f>
        <v/>
      </c>
      <c r="AL286" s="182" t="str">
        <f aca="false">IF($A287="","",SPRDOPT(P286,X286,AI286,0,AB286,AE286,AF286,AK286,$AJ$2,0))</f>
        <v/>
      </c>
      <c r="AM286" s="210" t="str">
        <f aca="false">IF($A287="","",MAX(0,O286-W286-AI286))</f>
        <v/>
      </c>
      <c r="AN286" s="211" t="str">
        <f aca="false">IF($A287="","",AL286-AM286)</f>
        <v/>
      </c>
      <c r="AO286" s="137" t="str">
        <f aca="false">IF(A287="","",A287-A286)</f>
        <v/>
      </c>
      <c r="AP286" s="212" t="str">
        <f aca="false">IF(A287="","",CHOOSE(F$3,A287+24,A286))</f>
        <v/>
      </c>
      <c r="AQ286" s="209" t="str">
        <f aca="false">IF(A287="","",AP286-$E$1)</f>
        <v/>
      </c>
      <c r="AR286" s="185" t="n">
        <f aca="false">'ANR OK vs ML7'!AR286</f>
        <v>0.1</v>
      </c>
      <c r="AS286" s="213" t="str">
        <f aca="false">IF(A287="","",1/(1+CHOOSE(F$3,(AR287+($I$3/10000))/2,(AR286+($I$3/10000))/2))^(2*AQ286/365.25))</f>
        <v/>
      </c>
      <c r="AT286" s="137" t="str">
        <f aca="false">IF(A287="","",IF(AND(mthbeg&lt;=A286,mthend&gt;=A286),1,0))</f>
        <v/>
      </c>
      <c r="AU286" s="137" t="str">
        <f aca="false">IF(A287="","",AO286*AT286)</f>
        <v/>
      </c>
      <c r="AW286" s="195" t="str">
        <f aca="false">IF($A287="","",AL286*$E286)</f>
        <v/>
      </c>
      <c r="AX286" s="195" t="str">
        <f aca="false">IF($A287="","",AM286*$E286)</f>
        <v/>
      </c>
      <c r="AY286" s="195" t="str">
        <f aca="false">IF($A287="","",AN286*$E286)</f>
        <v/>
      </c>
      <c r="BA286" s="195" t="str">
        <f aca="false">IF($A287="","",F286*Summary!$Q$13)</f>
        <v/>
      </c>
    </row>
    <row r="287" customFormat="false" ht="12" hidden="false" customHeight="true" outlineLevel="0" collapsed="false">
      <c r="A287" s="196" t="str">
        <f aca="false">IF(A286&lt;mthend,EDATE(A286,1),"")</f>
        <v/>
      </c>
      <c r="B287" s="197" t="str">
        <f aca="false">IF(A287&lt;mthend,B286,"")</f>
        <v/>
      </c>
      <c r="C287" s="215"/>
      <c r="D287" s="197" t="str">
        <f aca="false">IF(A288&lt;&gt;"",B287+C287,"")</f>
        <v/>
      </c>
      <c r="E287" s="199" t="str">
        <f aca="false">IF(A288="","",IF(AND(AT287=1,$H$3=1),D287*AO287,IF($H$3=2,D287,"N/A")))</f>
        <v/>
      </c>
      <c r="F287" s="199" t="str">
        <f aca="false">IF(A288="","",E287*AS287)</f>
        <v/>
      </c>
      <c r="G287" s="200" t="str">
        <f aca="false">IF($A288="","",VLOOKUP($A287,Table,MATCH(G$4,Curves,0)))</f>
        <v/>
      </c>
      <c r="H287" s="201" t="str">
        <f aca="false">IF(A288="","",G287)</f>
        <v/>
      </c>
      <c r="I287" s="202"/>
      <c r="J287" s="200" t="str">
        <f aca="false">IF($A288="","",VLOOKUP($A287,Table,MATCH(J$4,Curves,0)))</f>
        <v/>
      </c>
      <c r="K287" s="201" t="str">
        <f aca="false">IF(A288="","",J287)</f>
        <v/>
      </c>
      <c r="L287" s="185" t="n">
        <v>0</v>
      </c>
      <c r="M287" s="201" t="str">
        <f aca="false">IF(A288="","",L287)</f>
        <v/>
      </c>
      <c r="N287" s="203"/>
      <c r="O287" s="200" t="str">
        <f aca="false">IF(A288="","",L287+J287+G287)</f>
        <v/>
      </c>
      <c r="P287" s="200" t="str">
        <f aca="false">IF(A288="","",M287+K287+H287)</f>
        <v/>
      </c>
      <c r="Q287" s="204"/>
      <c r="R287" s="200" t="str">
        <f aca="false">IF($A288="","",VLOOKUP($A287,Table,MATCH(R$4,Curves,0)))</f>
        <v/>
      </c>
      <c r="S287" s="201" t="str">
        <f aca="false">IF(A288="","",R287)</f>
        <v/>
      </c>
      <c r="T287" s="185" t="n">
        <v>0</v>
      </c>
      <c r="U287" s="201" t="str">
        <f aca="false">IF(A288="","",T287)</f>
        <v/>
      </c>
      <c r="V287" s="205"/>
      <c r="W287" s="202" t="str">
        <f aca="false">IF($A288="","",(T287+R287+G287+V287))</f>
        <v/>
      </c>
      <c r="X287" s="202" t="str">
        <f aca="false">IF($A288="","",(U287+S287+H287+V287))</f>
        <v/>
      </c>
      <c r="Y287" s="202"/>
      <c r="Z287" s="185" t="str">
        <f aca="false">IF($A288="","",VLOOKUP($A287,Table,MATCH(Z$4,Curves,0)))</f>
        <v/>
      </c>
      <c r="AA287" s="185" t="str">
        <f aca="false">IF($A288="","",VLOOKUP($A287,Table,MATCH(AA$4,Curves,0)))</f>
        <v/>
      </c>
      <c r="AB287" s="185" t="e">
        <f aca="false">SQRT((AA287^2*(A287-$D$3)+Z287^2*(DAY(EOMONTH(A287,0))/2))/AK287)</f>
        <v>#VALUE!</v>
      </c>
      <c r="AC287" s="185" t="str">
        <f aca="false">IF($A288="","",VLOOKUP($A287,Table,MATCH(AC$4,Curves,0)))</f>
        <v/>
      </c>
      <c r="AD287" s="185" t="str">
        <f aca="false">IF($A288="","",VLOOKUP($A287,Table,MATCH(AD$4,Curves,0)))</f>
        <v/>
      </c>
      <c r="AE287" s="185" t="e">
        <f aca="false">SQRT((AD287^2*(A287-$D$3)+AC287^2*(DAY(EOMONTH(A287,0))/2))/AK287)</f>
        <v>#VALUE!</v>
      </c>
      <c r="AF287" s="224" t="e">
        <f aca="false">((Summary!$N$13*(AA287*AD287)*(A287-$D$3))+(Summary!$M$13*Z287*AC287*(AJ287-EOMONTH(EDATE(A287,-1),0))))/(AK287*AB287*AE287)</f>
        <v>#VALUE!</v>
      </c>
      <c r="AG287" s="207" t="str">
        <f aca="false">IF($A288="","",Summary!$Q$13)</f>
        <v/>
      </c>
      <c r="AH287" s="207" t="str">
        <f aca="false">IF($A288="","",IF(Summary!$R$12="Y",(VLOOKUP($A287,Summary!$AD$6:$AF$9,3)+'Escalating commodity'!I300),'Escalating commodity'!I300))</f>
        <v/>
      </c>
      <c r="AI287" s="207" t="str">
        <f aca="false">IF($A288="","",AH287)</f>
        <v/>
      </c>
      <c r="AJ287" s="208" t="e">
        <f aca="false">A287+DAY(EOMONTH(A287,0))/2-1</f>
        <v>#VALUE!</v>
      </c>
      <c r="AK287" s="209" t="str">
        <f aca="false">IF($A288="","",$A287-$E$1)</f>
        <v/>
      </c>
      <c r="AL287" s="182" t="str">
        <f aca="false">IF($A288="","",SPRDOPT(P287,X287,AI287,0,AB287,AE287,AF287,AK287,$AJ$2,0))</f>
        <v/>
      </c>
      <c r="AM287" s="210" t="str">
        <f aca="false">IF($A288="","",MAX(0,O287-W287-AI287))</f>
        <v/>
      </c>
      <c r="AN287" s="211" t="str">
        <f aca="false">IF($A288="","",AL287-AM287)</f>
        <v/>
      </c>
      <c r="AO287" s="137" t="str">
        <f aca="false">IF(A288="","",A288-A287)</f>
        <v/>
      </c>
      <c r="AP287" s="212" t="str">
        <f aca="false">IF(A288="","",CHOOSE(F$3,A288+24,A287))</f>
        <v/>
      </c>
      <c r="AQ287" s="209" t="str">
        <f aca="false">IF(A288="","",AP287-$E$1)</f>
        <v/>
      </c>
      <c r="AR287" s="185" t="n">
        <f aca="false">'ANR OK vs ML7'!AR287</f>
        <v>0.1</v>
      </c>
      <c r="AS287" s="213" t="str">
        <f aca="false">IF(A288="","",1/(1+CHOOSE(F$3,(AR288+($I$3/10000))/2,(AR287+($I$3/10000))/2))^(2*AQ287/365.25))</f>
        <v/>
      </c>
      <c r="AT287" s="137" t="str">
        <f aca="false">IF(A288="","",IF(AND(mthbeg&lt;=A287,mthend&gt;=A287),1,0))</f>
        <v/>
      </c>
      <c r="AU287" s="137" t="str">
        <f aca="false">IF(A288="","",AO287*AT287)</f>
        <v/>
      </c>
      <c r="AW287" s="195" t="str">
        <f aca="false">IF($A288="","",AL287*$E287)</f>
        <v/>
      </c>
      <c r="AX287" s="195" t="str">
        <f aca="false">IF($A288="","",AM287*$E287)</f>
        <v/>
      </c>
      <c r="AY287" s="195" t="str">
        <f aca="false">IF($A288="","",AN287*$E287)</f>
        <v/>
      </c>
      <c r="BA287" s="195" t="str">
        <f aca="false">IF($A288="","",F287*Summary!$Q$13)</f>
        <v/>
      </c>
    </row>
    <row r="288" customFormat="false" ht="12" hidden="false" customHeight="true" outlineLevel="0" collapsed="false">
      <c r="A288" s="196" t="str">
        <f aca="false">IF(A287&lt;mthend,EDATE(A287,1),"")</f>
        <v/>
      </c>
      <c r="B288" s="197" t="str">
        <f aca="false">IF(A288&lt;mthend,B287,"")</f>
        <v/>
      </c>
      <c r="C288" s="215"/>
      <c r="D288" s="197" t="str">
        <f aca="false">IF(A289&lt;&gt;"",B288+C288,"")</f>
        <v/>
      </c>
      <c r="E288" s="199" t="str">
        <f aca="false">IF(A289="","",IF(AND(AT288=1,$H$3=1),D288*AO288,IF($H$3=2,D288,"N/A")))</f>
        <v/>
      </c>
      <c r="F288" s="199" t="str">
        <f aca="false">IF(A289="","",E288*AS288)</f>
        <v/>
      </c>
      <c r="G288" s="200" t="str">
        <f aca="false">IF($A289="","",VLOOKUP($A288,Table,MATCH(G$4,Curves,0)))</f>
        <v/>
      </c>
      <c r="H288" s="201" t="str">
        <f aca="false">IF(A289="","",G288)</f>
        <v/>
      </c>
      <c r="I288" s="202"/>
      <c r="J288" s="200" t="str">
        <f aca="false">IF($A289="","",VLOOKUP($A288,Table,MATCH(J$4,Curves,0)))</f>
        <v/>
      </c>
      <c r="K288" s="201" t="str">
        <f aca="false">IF(A289="","",J288)</f>
        <v/>
      </c>
      <c r="L288" s="185" t="n">
        <v>0</v>
      </c>
      <c r="M288" s="201" t="str">
        <f aca="false">IF(A289="","",L288)</f>
        <v/>
      </c>
      <c r="N288" s="203"/>
      <c r="O288" s="200" t="str">
        <f aca="false">IF(A289="","",L288+J288+G288)</f>
        <v/>
      </c>
      <c r="P288" s="200" t="str">
        <f aca="false">IF(A289="","",M288+K288+H288)</f>
        <v/>
      </c>
      <c r="Q288" s="204"/>
      <c r="R288" s="200" t="str">
        <f aca="false">IF($A289="","",VLOOKUP($A288,Table,MATCH(R$4,Curves,0)))</f>
        <v/>
      </c>
      <c r="S288" s="201" t="str">
        <f aca="false">IF(A289="","",R288)</f>
        <v/>
      </c>
      <c r="T288" s="185" t="n">
        <v>0</v>
      </c>
      <c r="U288" s="201" t="str">
        <f aca="false">IF(A289="","",T288)</f>
        <v/>
      </c>
      <c r="V288" s="205"/>
      <c r="W288" s="202" t="str">
        <f aca="false">IF($A289="","",(T288+R288+G288+V288))</f>
        <v/>
      </c>
      <c r="X288" s="202" t="str">
        <f aca="false">IF($A289="","",(U288+S288+H288+V288))</f>
        <v/>
      </c>
      <c r="Y288" s="202"/>
      <c r="Z288" s="185" t="str">
        <f aca="false">IF($A289="","",VLOOKUP($A288,Table,MATCH(Z$4,Curves,0)))</f>
        <v/>
      </c>
      <c r="AA288" s="185" t="str">
        <f aca="false">IF($A289="","",VLOOKUP($A288,Table,MATCH(AA$4,Curves,0)))</f>
        <v/>
      </c>
      <c r="AB288" s="185" t="e">
        <f aca="false">SQRT((AA288^2*(A288-$D$3)+Z288^2*(DAY(EOMONTH(A288,0))/2))/AK288)</f>
        <v>#VALUE!</v>
      </c>
      <c r="AC288" s="185" t="str">
        <f aca="false">IF($A289="","",VLOOKUP($A288,Table,MATCH(AC$4,Curves,0)))</f>
        <v/>
      </c>
      <c r="AD288" s="185" t="str">
        <f aca="false">IF($A289="","",VLOOKUP($A288,Table,MATCH(AD$4,Curves,0)))</f>
        <v/>
      </c>
      <c r="AE288" s="185" t="e">
        <f aca="false">SQRT((AD288^2*(A288-$D$3)+AC288^2*(DAY(EOMONTH(A288,0))/2))/AK288)</f>
        <v>#VALUE!</v>
      </c>
      <c r="AF288" s="224" t="e">
        <f aca="false">((Summary!$N$13*(AA288*AD288)*(A288-$D$3))+(Summary!$M$13*Z288*AC288*(AJ288-EOMONTH(EDATE(A288,-1),0))))/(AK288*AB288*AE288)</f>
        <v>#VALUE!</v>
      </c>
      <c r="AG288" s="207" t="str">
        <f aca="false">IF($A289="","",Summary!$Q$13)</f>
        <v/>
      </c>
      <c r="AH288" s="207" t="str">
        <f aca="false">IF($A289="","",IF(Summary!$R$12="Y",(VLOOKUP($A288,Summary!$AD$6:$AF$9,3)+'Escalating commodity'!I301),'Escalating commodity'!I301))</f>
        <v/>
      </c>
      <c r="AI288" s="207" t="str">
        <f aca="false">IF($A289="","",AH288)</f>
        <v/>
      </c>
      <c r="AJ288" s="208" t="e">
        <f aca="false">A288+DAY(EOMONTH(A288,0))/2-1</f>
        <v>#VALUE!</v>
      </c>
      <c r="AK288" s="209" t="str">
        <f aca="false">IF($A289="","",$A288-$E$1)</f>
        <v/>
      </c>
      <c r="AL288" s="182" t="str">
        <f aca="false">IF($A289="","",SPRDOPT(P288,X288,AI288,0,AB288,AE288,AF288,AK288,$AJ$2,0))</f>
        <v/>
      </c>
      <c r="AM288" s="210" t="str">
        <f aca="false">IF($A289="","",MAX(0,O288-W288-AI288))</f>
        <v/>
      </c>
      <c r="AN288" s="211" t="str">
        <f aca="false">IF($A289="","",AL288-AM288)</f>
        <v/>
      </c>
      <c r="AO288" s="137" t="str">
        <f aca="false">IF(A289="","",A289-A288)</f>
        <v/>
      </c>
      <c r="AP288" s="212" t="str">
        <f aca="false">IF(A289="","",CHOOSE(F$3,A289+24,A288))</f>
        <v/>
      </c>
      <c r="AQ288" s="209" t="str">
        <f aca="false">IF(A289="","",AP288-$E$1)</f>
        <v/>
      </c>
      <c r="AR288" s="185" t="n">
        <f aca="false">'ANR OK vs ML7'!AR288</f>
        <v>0.1</v>
      </c>
      <c r="AS288" s="213" t="str">
        <f aca="false">IF(A289="","",1/(1+CHOOSE(F$3,(AR289+($I$3/10000))/2,(AR288+($I$3/10000))/2))^(2*AQ288/365.25))</f>
        <v/>
      </c>
      <c r="AT288" s="137" t="str">
        <f aca="false">IF(A289="","",IF(AND(mthbeg&lt;=A288,mthend&gt;=A288),1,0))</f>
        <v/>
      </c>
      <c r="AU288" s="137" t="str">
        <f aca="false">IF(A289="","",AO288*AT288)</f>
        <v/>
      </c>
      <c r="AW288" s="195" t="str">
        <f aca="false">IF($A289="","",AL288*$E288)</f>
        <v/>
      </c>
      <c r="AX288" s="195" t="str">
        <f aca="false">IF($A289="","",AM288*$E288)</f>
        <v/>
      </c>
      <c r="AY288" s="195" t="str">
        <f aca="false">IF($A289="","",AN288*$E288)</f>
        <v/>
      </c>
      <c r="BA288" s="195" t="str">
        <f aca="false">IF($A289="","",F288*Summary!$Q$13)</f>
        <v/>
      </c>
    </row>
    <row r="289" customFormat="false" ht="12" hidden="false" customHeight="true" outlineLevel="0" collapsed="false">
      <c r="A289" s="196" t="str">
        <f aca="false">IF(A288&lt;mthend,EDATE(A288,1),"")</f>
        <v/>
      </c>
      <c r="B289" s="197" t="str">
        <f aca="false">IF(A289&lt;mthend,B288,"")</f>
        <v/>
      </c>
      <c r="C289" s="215"/>
      <c r="D289" s="197" t="str">
        <f aca="false">IF(A290&lt;&gt;"",B289+C289,"")</f>
        <v/>
      </c>
      <c r="E289" s="199" t="str">
        <f aca="false">IF(A290="","",IF(AND(AT289=1,$H$3=1),D289*AO289,IF($H$3=2,D289,"N/A")))</f>
        <v/>
      </c>
      <c r="F289" s="199" t="str">
        <f aca="false">IF(A290="","",E289*AS289)</f>
        <v/>
      </c>
      <c r="G289" s="200" t="str">
        <f aca="false">IF($A290="","",VLOOKUP($A289,Table,MATCH(G$4,Curves,0)))</f>
        <v/>
      </c>
      <c r="H289" s="201" t="str">
        <f aca="false">IF(A290="","",G289)</f>
        <v/>
      </c>
      <c r="I289" s="202"/>
      <c r="J289" s="200" t="str">
        <f aca="false">IF($A290="","",VLOOKUP($A289,Table,MATCH(J$4,Curves,0)))</f>
        <v/>
      </c>
      <c r="K289" s="201" t="str">
        <f aca="false">IF(A290="","",J289)</f>
        <v/>
      </c>
      <c r="L289" s="185" t="n">
        <v>0</v>
      </c>
      <c r="M289" s="201" t="str">
        <f aca="false">IF(A290="","",L289)</f>
        <v/>
      </c>
      <c r="N289" s="203"/>
      <c r="O289" s="200" t="str">
        <f aca="false">IF(A290="","",L289+J289+G289)</f>
        <v/>
      </c>
      <c r="P289" s="200" t="str">
        <f aca="false">IF(A290="","",M289+K289+H289)</f>
        <v/>
      </c>
      <c r="Q289" s="204"/>
      <c r="R289" s="200" t="str">
        <f aca="false">IF($A290="","",VLOOKUP($A289,Table,MATCH(R$4,Curves,0)))</f>
        <v/>
      </c>
      <c r="S289" s="201" t="str">
        <f aca="false">IF(A290="","",R289)</f>
        <v/>
      </c>
      <c r="T289" s="185" t="n">
        <v>0</v>
      </c>
      <c r="U289" s="201" t="str">
        <f aca="false">IF(A290="","",T289)</f>
        <v/>
      </c>
      <c r="V289" s="205"/>
      <c r="W289" s="202" t="str">
        <f aca="false">IF($A290="","",(T289+R289+G289+V289))</f>
        <v/>
      </c>
      <c r="X289" s="202" t="str">
        <f aca="false">IF($A290="","",(U289+S289+H289+V289))</f>
        <v/>
      </c>
      <c r="Y289" s="202"/>
      <c r="Z289" s="185" t="str">
        <f aca="false">IF($A290="","",VLOOKUP($A289,Table,MATCH(Z$4,Curves,0)))</f>
        <v/>
      </c>
      <c r="AA289" s="185" t="str">
        <f aca="false">IF($A290="","",VLOOKUP($A289,Table,MATCH(AA$4,Curves,0)))</f>
        <v/>
      </c>
      <c r="AB289" s="185" t="e">
        <f aca="false">SQRT((AA289^2*(A289-$D$3)+Z289^2*(DAY(EOMONTH(A289,0))/2))/AK289)</f>
        <v>#VALUE!</v>
      </c>
      <c r="AC289" s="185" t="str">
        <f aca="false">IF($A290="","",VLOOKUP($A289,Table,MATCH(AC$4,Curves,0)))</f>
        <v/>
      </c>
      <c r="AD289" s="185" t="str">
        <f aca="false">IF($A290="","",VLOOKUP($A289,Table,MATCH(AD$4,Curves,0)))</f>
        <v/>
      </c>
      <c r="AE289" s="185" t="e">
        <f aca="false">SQRT((AD289^2*(A289-$D$3)+AC289^2*(DAY(EOMONTH(A289,0))/2))/AK289)</f>
        <v>#VALUE!</v>
      </c>
      <c r="AF289" s="224" t="e">
        <f aca="false">((Summary!$N$13*(AA289*AD289)*(A289-$D$3))+(Summary!$M$13*Z289*AC289*(AJ289-EOMONTH(EDATE(A289,-1),0))))/(AK289*AB289*AE289)</f>
        <v>#VALUE!</v>
      </c>
      <c r="AG289" s="207" t="str">
        <f aca="false">IF($A290="","",Summary!$Q$13)</f>
        <v/>
      </c>
      <c r="AH289" s="207" t="str">
        <f aca="false">IF($A290="","",IF(Summary!$R$12="Y",(VLOOKUP($A289,Summary!$AD$6:$AF$9,3)+'Escalating commodity'!I302),'Escalating commodity'!I302))</f>
        <v/>
      </c>
      <c r="AI289" s="207" t="str">
        <f aca="false">IF($A290="","",AH289)</f>
        <v/>
      </c>
      <c r="AJ289" s="208" t="e">
        <f aca="false">A289+DAY(EOMONTH(A289,0))/2-1</f>
        <v>#VALUE!</v>
      </c>
      <c r="AK289" s="209" t="str">
        <f aca="false">IF($A290="","",$A289-$E$1)</f>
        <v/>
      </c>
      <c r="AL289" s="182" t="str">
        <f aca="false">IF($A290="","",SPRDOPT(P289,X289,AI289,0,AB289,AE289,AF289,AK289,$AJ$2,0))</f>
        <v/>
      </c>
      <c r="AM289" s="210" t="str">
        <f aca="false">IF($A290="","",MAX(0,O289-W289-AI289))</f>
        <v/>
      </c>
      <c r="AN289" s="211" t="str">
        <f aca="false">IF($A290="","",AL289-AM289)</f>
        <v/>
      </c>
      <c r="AO289" s="137" t="str">
        <f aca="false">IF(A290="","",A290-A289)</f>
        <v/>
      </c>
      <c r="AP289" s="212" t="str">
        <f aca="false">IF(A290="","",CHOOSE(F$3,A290+24,A289))</f>
        <v/>
      </c>
      <c r="AQ289" s="209" t="str">
        <f aca="false">IF(A290="","",AP289-$E$1)</f>
        <v/>
      </c>
      <c r="AR289" s="185" t="n">
        <f aca="false">'ANR OK vs ML7'!AR289</f>
        <v>0.1</v>
      </c>
      <c r="AS289" s="213" t="str">
        <f aca="false">IF(A290="","",1/(1+CHOOSE(F$3,(AR290+($I$3/10000))/2,(AR289+($I$3/10000))/2))^(2*AQ289/365.25))</f>
        <v/>
      </c>
      <c r="AT289" s="137" t="str">
        <f aca="false">IF(A290="","",IF(AND(mthbeg&lt;=A289,mthend&gt;=A289),1,0))</f>
        <v/>
      </c>
      <c r="AU289" s="137" t="str">
        <f aca="false">IF(A290="","",AO289*AT289)</f>
        <v/>
      </c>
      <c r="AW289" s="195" t="str">
        <f aca="false">IF($A290="","",AL289*$E289)</f>
        <v/>
      </c>
      <c r="AX289" s="195" t="str">
        <f aca="false">IF($A290="","",AM289*$E289)</f>
        <v/>
      </c>
      <c r="AY289" s="195" t="str">
        <f aca="false">IF($A290="","",AN289*$E289)</f>
        <v/>
      </c>
      <c r="BA289" s="195" t="str">
        <f aca="false">IF($A290="","",F289*Summary!$Q$13)</f>
        <v/>
      </c>
    </row>
    <row r="290" customFormat="false" ht="12" hidden="false" customHeight="true" outlineLevel="0" collapsed="false">
      <c r="A290" s="196" t="str">
        <f aca="false">IF(A289&lt;mthend,EDATE(A289,1),"")</f>
        <v/>
      </c>
      <c r="B290" s="197" t="str">
        <f aca="false">IF(A290&lt;mthend,B289,"")</f>
        <v/>
      </c>
      <c r="C290" s="215"/>
      <c r="D290" s="197" t="str">
        <f aca="false">IF(A291&lt;&gt;"",B290+C290,"")</f>
        <v/>
      </c>
      <c r="E290" s="199" t="str">
        <f aca="false">IF(A291="","",IF(AND(AT290=1,$H$3=1),D290*AO290,IF($H$3=2,D290,"N/A")))</f>
        <v/>
      </c>
      <c r="F290" s="199" t="str">
        <f aca="false">IF(A291="","",E290*AS290)</f>
        <v/>
      </c>
      <c r="G290" s="200" t="str">
        <f aca="false">IF($A291="","",VLOOKUP($A290,Table,MATCH(G$4,Curves,0)))</f>
        <v/>
      </c>
      <c r="H290" s="201" t="str">
        <f aca="false">IF(A291="","",G290)</f>
        <v/>
      </c>
      <c r="I290" s="202"/>
      <c r="J290" s="200" t="str">
        <f aca="false">IF($A291="","",VLOOKUP($A290,Table,MATCH(J$4,Curves,0)))</f>
        <v/>
      </c>
      <c r="K290" s="201" t="str">
        <f aca="false">IF(A291="","",J290)</f>
        <v/>
      </c>
      <c r="L290" s="185" t="n">
        <v>0</v>
      </c>
      <c r="M290" s="201" t="str">
        <f aca="false">IF(A291="","",L290)</f>
        <v/>
      </c>
      <c r="N290" s="203"/>
      <c r="O290" s="200" t="str">
        <f aca="false">IF(A291="","",L290+J290+G290)</f>
        <v/>
      </c>
      <c r="P290" s="200" t="str">
        <f aca="false">IF(A291="","",M290+K290+H290)</f>
        <v/>
      </c>
      <c r="Q290" s="204"/>
      <c r="R290" s="200" t="str">
        <f aca="false">IF($A291="","",VLOOKUP($A290,Table,MATCH(R$4,Curves,0)))</f>
        <v/>
      </c>
      <c r="S290" s="201" t="str">
        <f aca="false">IF(A291="","",R290)</f>
        <v/>
      </c>
      <c r="T290" s="185" t="n">
        <v>0</v>
      </c>
      <c r="U290" s="201" t="str">
        <f aca="false">IF(A291="","",T290)</f>
        <v/>
      </c>
      <c r="V290" s="205"/>
      <c r="W290" s="202" t="str">
        <f aca="false">IF($A291="","",(T290+R290+G290+V290))</f>
        <v/>
      </c>
      <c r="X290" s="202" t="str">
        <f aca="false">IF($A291="","",(U290+S290+H290+V290))</f>
        <v/>
      </c>
      <c r="Y290" s="202"/>
      <c r="Z290" s="185" t="str">
        <f aca="false">IF($A291="","",VLOOKUP($A290,Table,MATCH(Z$4,Curves,0)))</f>
        <v/>
      </c>
      <c r="AA290" s="185" t="str">
        <f aca="false">IF($A291="","",VLOOKUP($A290,Table,MATCH(AA$4,Curves,0)))</f>
        <v/>
      </c>
      <c r="AB290" s="185" t="e">
        <f aca="false">SQRT((AA290^2*(A290-$D$3)+Z290^2*(DAY(EOMONTH(A290,0))/2))/AK290)</f>
        <v>#VALUE!</v>
      </c>
      <c r="AC290" s="185" t="str">
        <f aca="false">IF($A291="","",VLOOKUP($A290,Table,MATCH(AC$4,Curves,0)))</f>
        <v/>
      </c>
      <c r="AD290" s="185" t="str">
        <f aca="false">IF($A291="","",VLOOKUP($A290,Table,MATCH(AD$4,Curves,0)))</f>
        <v/>
      </c>
      <c r="AE290" s="185" t="e">
        <f aca="false">SQRT((AD290^2*(A290-$D$3)+AC290^2*(DAY(EOMONTH(A290,0))/2))/AK290)</f>
        <v>#VALUE!</v>
      </c>
      <c r="AF290" s="224" t="e">
        <f aca="false">((Summary!$N$13*(AA290*AD290)*(A290-$D$3))+(Summary!$M$13*Z290*AC290*(AJ290-EOMONTH(EDATE(A290,-1),0))))/(AK290*AB290*AE290)</f>
        <v>#VALUE!</v>
      </c>
      <c r="AG290" s="207" t="str">
        <f aca="false">IF($A291="","",Summary!$Q$13)</f>
        <v/>
      </c>
      <c r="AH290" s="207" t="str">
        <f aca="false">IF($A291="","",IF(Summary!$R$12="Y",(VLOOKUP($A290,Summary!$AD$6:$AF$9,3)+'Escalating commodity'!I303),'Escalating commodity'!I303))</f>
        <v/>
      </c>
      <c r="AI290" s="207" t="str">
        <f aca="false">IF($A291="","",AH290)</f>
        <v/>
      </c>
      <c r="AJ290" s="208" t="e">
        <f aca="false">A290+DAY(EOMONTH(A290,0))/2-1</f>
        <v>#VALUE!</v>
      </c>
      <c r="AK290" s="209" t="str">
        <f aca="false">IF($A291="","",$A290-$E$1)</f>
        <v/>
      </c>
      <c r="AL290" s="182" t="str">
        <f aca="false">IF($A291="","",SPRDOPT(P290,X290,AI290,0,AB290,AE290,AF290,AK290,$AJ$2,0))</f>
        <v/>
      </c>
      <c r="AM290" s="210" t="str">
        <f aca="false">IF($A291="","",MAX(0,O290-W290-AI290))</f>
        <v/>
      </c>
      <c r="AN290" s="211" t="str">
        <f aca="false">IF($A291="","",AL290-AM290)</f>
        <v/>
      </c>
      <c r="AO290" s="137" t="str">
        <f aca="false">IF(A291="","",A291-A290)</f>
        <v/>
      </c>
      <c r="AP290" s="212" t="str">
        <f aca="false">IF(A291="","",CHOOSE(F$3,A291+24,A290))</f>
        <v/>
      </c>
      <c r="AQ290" s="209" t="str">
        <f aca="false">IF(A291="","",AP290-$E$1)</f>
        <v/>
      </c>
      <c r="AR290" s="185" t="n">
        <f aca="false">'ANR OK vs ML7'!AR290</f>
        <v>0.1</v>
      </c>
      <c r="AS290" s="213" t="str">
        <f aca="false">IF(A291="","",1/(1+CHOOSE(F$3,(AR291+($I$3/10000))/2,(AR290+($I$3/10000))/2))^(2*AQ290/365.25))</f>
        <v/>
      </c>
      <c r="AT290" s="137" t="str">
        <f aca="false">IF(A291="","",IF(AND(mthbeg&lt;=A290,mthend&gt;=A290),1,0))</f>
        <v/>
      </c>
      <c r="AU290" s="137" t="str">
        <f aca="false">IF(A291="","",AO290*AT290)</f>
        <v/>
      </c>
      <c r="AW290" s="195" t="str">
        <f aca="false">IF($A291="","",AL290*$E290)</f>
        <v/>
      </c>
      <c r="AX290" s="195" t="str">
        <f aca="false">IF($A291="","",AM290*$E290)</f>
        <v/>
      </c>
      <c r="AY290" s="195" t="str">
        <f aca="false">IF($A291="","",AN290*$E290)</f>
        <v/>
      </c>
      <c r="BA290" s="195" t="str">
        <f aca="false">IF($A291="","",F290*Summary!$Q$13)</f>
        <v/>
      </c>
    </row>
    <row r="291" customFormat="false" ht="12" hidden="false" customHeight="true" outlineLevel="0" collapsed="false">
      <c r="A291" s="196" t="str">
        <f aca="false">IF(A290&lt;mthend,EDATE(A290,1),"")</f>
        <v/>
      </c>
      <c r="B291" s="197" t="str">
        <f aca="false">IF(A291&lt;mthend,B290,"")</f>
        <v/>
      </c>
      <c r="C291" s="215"/>
      <c r="D291" s="197" t="str">
        <f aca="false">IF(A292&lt;&gt;"",B291+C291,"")</f>
        <v/>
      </c>
      <c r="E291" s="199" t="str">
        <f aca="false">IF(A292="","",IF(AND(AT291=1,$H$3=1),D291*AO291,IF($H$3=2,D291,"N/A")))</f>
        <v/>
      </c>
      <c r="F291" s="199" t="str">
        <f aca="false">IF(A292="","",E291*AS291)</f>
        <v/>
      </c>
      <c r="G291" s="200" t="str">
        <f aca="false">IF($A292="","",VLOOKUP($A291,Table,MATCH(G$4,Curves,0)))</f>
        <v/>
      </c>
      <c r="H291" s="201" t="str">
        <f aca="false">IF(A292="","",G291)</f>
        <v/>
      </c>
      <c r="I291" s="202"/>
      <c r="J291" s="200" t="str">
        <f aca="false">IF($A292="","",VLOOKUP($A291,Table,MATCH(J$4,Curves,0)))</f>
        <v/>
      </c>
      <c r="K291" s="201" t="str">
        <f aca="false">IF(A292="","",J291)</f>
        <v/>
      </c>
      <c r="L291" s="185" t="n">
        <v>0</v>
      </c>
      <c r="M291" s="201" t="str">
        <f aca="false">IF(A292="","",L291)</f>
        <v/>
      </c>
      <c r="N291" s="203"/>
      <c r="O291" s="200" t="str">
        <f aca="false">IF(A292="","",L291+J291+G291)</f>
        <v/>
      </c>
      <c r="P291" s="200" t="str">
        <f aca="false">IF(A292="","",M291+K291+H291)</f>
        <v/>
      </c>
      <c r="Q291" s="204"/>
      <c r="R291" s="200" t="str">
        <f aca="false">IF($A292="","",VLOOKUP($A291,Table,MATCH(R$4,Curves,0)))</f>
        <v/>
      </c>
      <c r="S291" s="201" t="str">
        <f aca="false">IF(A292="","",R291)</f>
        <v/>
      </c>
      <c r="T291" s="185" t="n">
        <v>0</v>
      </c>
      <c r="U291" s="201" t="str">
        <f aca="false">IF(A292="","",T291)</f>
        <v/>
      </c>
      <c r="V291" s="205"/>
      <c r="W291" s="202" t="str">
        <f aca="false">IF($A292="","",(T291+R291+G291+V291))</f>
        <v/>
      </c>
      <c r="X291" s="202" t="str">
        <f aca="false">IF($A292="","",(U291+S291+H291+V291))</f>
        <v/>
      </c>
      <c r="Y291" s="202"/>
      <c r="Z291" s="185" t="str">
        <f aca="false">IF($A292="","",VLOOKUP($A291,Table,MATCH(Z$4,Curves,0)))</f>
        <v/>
      </c>
      <c r="AA291" s="185" t="str">
        <f aca="false">IF($A292="","",VLOOKUP($A291,Table,MATCH(AA$4,Curves,0)))</f>
        <v/>
      </c>
      <c r="AB291" s="185" t="e">
        <f aca="false">SQRT((AA291^2*(A291-$D$3)+Z291^2*(DAY(EOMONTH(A291,0))/2))/AK291)</f>
        <v>#VALUE!</v>
      </c>
      <c r="AC291" s="185" t="str">
        <f aca="false">IF($A292="","",VLOOKUP($A291,Table,MATCH(AC$4,Curves,0)))</f>
        <v/>
      </c>
      <c r="AD291" s="185" t="str">
        <f aca="false">IF($A292="","",VLOOKUP($A291,Table,MATCH(AD$4,Curves,0)))</f>
        <v/>
      </c>
      <c r="AE291" s="185" t="e">
        <f aca="false">SQRT((AD291^2*(A291-$D$3)+AC291^2*(DAY(EOMONTH(A291,0))/2))/AK291)</f>
        <v>#VALUE!</v>
      </c>
      <c r="AF291" s="224" t="e">
        <f aca="false">((Summary!$N$13*(AA291*AD291)*(A291-$D$3))+(Summary!$M$13*Z291*AC291*(AJ291-EOMONTH(EDATE(A291,-1),0))))/(AK291*AB291*AE291)</f>
        <v>#VALUE!</v>
      </c>
      <c r="AG291" s="207" t="str">
        <f aca="false">IF($A292="","",Summary!$Q$13)</f>
        <v/>
      </c>
      <c r="AH291" s="207" t="str">
        <f aca="false">IF($A292="","",IF(Summary!$R$12="Y",(VLOOKUP($A291,Summary!$AD$6:$AF$9,3)+'Escalating commodity'!I304),'Escalating commodity'!I304))</f>
        <v/>
      </c>
      <c r="AI291" s="207" t="str">
        <f aca="false">IF($A292="","",AH291)</f>
        <v/>
      </c>
      <c r="AJ291" s="208" t="e">
        <f aca="false">A291+DAY(EOMONTH(A291,0))/2-1</f>
        <v>#VALUE!</v>
      </c>
      <c r="AK291" s="209" t="str">
        <f aca="false">IF($A292="","",$A291-$E$1)</f>
        <v/>
      </c>
      <c r="AL291" s="182" t="str">
        <f aca="false">IF($A292="","",SPRDOPT(P291,X291,AI291,0,AB291,AE291,AF291,AK291,$AJ$2,0))</f>
        <v/>
      </c>
      <c r="AM291" s="210" t="str">
        <f aca="false">IF($A292="","",MAX(0,O291-W291-AI291))</f>
        <v/>
      </c>
      <c r="AN291" s="211" t="str">
        <f aca="false">IF($A292="","",AL291-AM291)</f>
        <v/>
      </c>
      <c r="AO291" s="137" t="str">
        <f aca="false">IF(A292="","",A292-A291)</f>
        <v/>
      </c>
      <c r="AP291" s="212" t="str">
        <f aca="false">IF(A292="","",CHOOSE(F$3,A292+24,A291))</f>
        <v/>
      </c>
      <c r="AQ291" s="209" t="str">
        <f aca="false">IF(A292="","",AP291-$E$1)</f>
        <v/>
      </c>
      <c r="AR291" s="185" t="n">
        <f aca="false">'ANR OK vs ML7'!AR291</f>
        <v>0.1</v>
      </c>
      <c r="AS291" s="213" t="str">
        <f aca="false">IF(A292="","",1/(1+CHOOSE(F$3,(AR292+($I$3/10000))/2,(AR291+($I$3/10000))/2))^(2*AQ291/365.25))</f>
        <v/>
      </c>
      <c r="AT291" s="137" t="str">
        <f aca="false">IF(A292="","",IF(AND(mthbeg&lt;=A291,mthend&gt;=A291),1,0))</f>
        <v/>
      </c>
      <c r="AU291" s="137" t="str">
        <f aca="false">IF(A292="","",AO291*AT291)</f>
        <v/>
      </c>
      <c r="AW291" s="195" t="str">
        <f aca="false">IF($A292="","",AL291*$E291)</f>
        <v/>
      </c>
      <c r="AX291" s="195" t="str">
        <f aca="false">IF($A292="","",AM291*$E291)</f>
        <v/>
      </c>
      <c r="AY291" s="195" t="str">
        <f aca="false">IF($A292="","",AN291*$E291)</f>
        <v/>
      </c>
      <c r="BA291" s="195" t="str">
        <f aca="false">IF($A292="","",F291*Summary!$Q$13)</f>
        <v/>
      </c>
    </row>
    <row r="292" customFormat="false" ht="12" hidden="false" customHeight="true" outlineLevel="0" collapsed="false">
      <c r="A292" s="196" t="str">
        <f aca="false">IF(A291&lt;mthend,EDATE(A291,1),"")</f>
        <v/>
      </c>
      <c r="B292" s="197" t="str">
        <f aca="false">IF(A292&lt;mthend,B291,"")</f>
        <v/>
      </c>
      <c r="C292" s="215"/>
      <c r="D292" s="197" t="str">
        <f aca="false">IF(A293&lt;&gt;"",B292+C292,"")</f>
        <v/>
      </c>
      <c r="E292" s="199" t="str">
        <f aca="false">IF(A293="","",IF(AND(AT292=1,$H$3=1),D292*AO292,IF($H$3=2,D292,"N/A")))</f>
        <v/>
      </c>
      <c r="F292" s="199" t="str">
        <f aca="false">IF(A293="","",E292*AS292)</f>
        <v/>
      </c>
      <c r="G292" s="200" t="str">
        <f aca="false">IF($A293="","",VLOOKUP($A292,Table,MATCH(G$4,Curves,0)))</f>
        <v/>
      </c>
      <c r="H292" s="201" t="str">
        <f aca="false">IF(A293="","",G292)</f>
        <v/>
      </c>
      <c r="I292" s="202"/>
      <c r="J292" s="200" t="str">
        <f aca="false">IF($A293="","",VLOOKUP($A292,Table,MATCH(J$4,Curves,0)))</f>
        <v/>
      </c>
      <c r="K292" s="201" t="str">
        <f aca="false">IF(A293="","",J292)</f>
        <v/>
      </c>
      <c r="L292" s="185" t="n">
        <v>0</v>
      </c>
      <c r="M292" s="201" t="str">
        <f aca="false">IF(A293="","",L292)</f>
        <v/>
      </c>
      <c r="N292" s="203"/>
      <c r="O292" s="200" t="str">
        <f aca="false">IF(A293="","",L292+J292+G292)</f>
        <v/>
      </c>
      <c r="P292" s="200" t="str">
        <f aca="false">IF(A293="","",M292+K292+H292)</f>
        <v/>
      </c>
      <c r="Q292" s="204"/>
      <c r="R292" s="200" t="str">
        <f aca="false">IF($A293="","",VLOOKUP($A292,Table,MATCH(R$4,Curves,0)))</f>
        <v/>
      </c>
      <c r="S292" s="201" t="str">
        <f aca="false">IF(A293="","",R292)</f>
        <v/>
      </c>
      <c r="T292" s="185" t="n">
        <v>0</v>
      </c>
      <c r="U292" s="201" t="str">
        <f aca="false">IF(A293="","",T292)</f>
        <v/>
      </c>
      <c r="V292" s="205"/>
      <c r="W292" s="202" t="str">
        <f aca="false">IF($A293="","",(T292+R292+G292+V292))</f>
        <v/>
      </c>
      <c r="X292" s="202" t="str">
        <f aca="false">IF($A293="","",(U292+S292+H292+V292))</f>
        <v/>
      </c>
      <c r="Y292" s="202"/>
      <c r="Z292" s="185" t="str">
        <f aca="false">IF($A293="","",VLOOKUP($A292,Table,MATCH(Z$4,Curves,0)))</f>
        <v/>
      </c>
      <c r="AA292" s="185" t="str">
        <f aca="false">IF($A293="","",VLOOKUP($A292,Table,MATCH(AA$4,Curves,0)))</f>
        <v/>
      </c>
      <c r="AB292" s="185" t="e">
        <f aca="false">SQRT((AA292^2*(A292-$D$3)+Z292^2*(DAY(EOMONTH(A292,0))/2))/AK292)</f>
        <v>#VALUE!</v>
      </c>
      <c r="AC292" s="185" t="str">
        <f aca="false">IF($A293="","",VLOOKUP($A292,Table,MATCH(AC$4,Curves,0)))</f>
        <v/>
      </c>
      <c r="AD292" s="185" t="str">
        <f aca="false">IF($A293="","",VLOOKUP($A292,Table,MATCH(AD$4,Curves,0)))</f>
        <v/>
      </c>
      <c r="AE292" s="185" t="e">
        <f aca="false">SQRT((AD292^2*(A292-$D$3)+AC292^2*(DAY(EOMONTH(A292,0))/2))/AK292)</f>
        <v>#VALUE!</v>
      </c>
      <c r="AF292" s="224" t="e">
        <f aca="false">((Summary!$N$13*(AA292*AD292)*(A292-$D$3))+(Summary!$M$13*Z292*AC292*(AJ292-EOMONTH(EDATE(A292,-1),0))))/(AK292*AB292*AE292)</f>
        <v>#VALUE!</v>
      </c>
      <c r="AG292" s="207" t="str">
        <f aca="false">IF($A293="","",Summary!$Q$13)</f>
        <v/>
      </c>
      <c r="AH292" s="207" t="str">
        <f aca="false">IF($A293="","",IF(Summary!$R$12="Y",(VLOOKUP($A292,Summary!$AD$6:$AF$9,3)+'Escalating commodity'!I305),'Escalating commodity'!I305))</f>
        <v/>
      </c>
      <c r="AI292" s="207" t="str">
        <f aca="false">IF($A293="","",AH292)</f>
        <v/>
      </c>
      <c r="AJ292" s="208" t="e">
        <f aca="false">A292+DAY(EOMONTH(A292,0))/2-1</f>
        <v>#VALUE!</v>
      </c>
      <c r="AK292" s="209" t="str">
        <f aca="false">IF($A293="","",$A292-$E$1)</f>
        <v/>
      </c>
      <c r="AL292" s="182" t="str">
        <f aca="false">IF($A293="","",SPRDOPT(P292,X292,AI292,0,AB292,AE292,AF292,AK292,$AJ$2,0))</f>
        <v/>
      </c>
      <c r="AM292" s="210" t="str">
        <f aca="false">IF($A293="","",MAX(0,O292-W292-AI292))</f>
        <v/>
      </c>
      <c r="AN292" s="211" t="str">
        <f aca="false">IF($A293="","",AL292-AM292)</f>
        <v/>
      </c>
      <c r="AO292" s="137" t="str">
        <f aca="false">IF(A293="","",A293-A292)</f>
        <v/>
      </c>
      <c r="AP292" s="212" t="str">
        <f aca="false">IF(A293="","",CHOOSE(F$3,A293+24,A292))</f>
        <v/>
      </c>
      <c r="AQ292" s="209" t="str">
        <f aca="false">IF(A293="","",AP292-$E$1)</f>
        <v/>
      </c>
      <c r="AR292" s="185" t="n">
        <f aca="false">'ANR OK vs ML7'!AR292</f>
        <v>0.1</v>
      </c>
      <c r="AS292" s="213" t="str">
        <f aca="false">IF(A293="","",1/(1+CHOOSE(F$3,(AR293+($I$3/10000))/2,(AR292+($I$3/10000))/2))^(2*AQ292/365.25))</f>
        <v/>
      </c>
      <c r="AT292" s="137" t="str">
        <f aca="false">IF(A293="","",IF(AND(mthbeg&lt;=A292,mthend&gt;=A292),1,0))</f>
        <v/>
      </c>
      <c r="AU292" s="137" t="str">
        <f aca="false">IF(A293="","",AO292*AT292)</f>
        <v/>
      </c>
      <c r="AW292" s="195" t="str">
        <f aca="false">IF($A293="","",AL292*$E292)</f>
        <v/>
      </c>
      <c r="AX292" s="195" t="str">
        <f aca="false">IF($A293="","",AM292*$E292)</f>
        <v/>
      </c>
      <c r="AY292" s="195" t="str">
        <f aca="false">IF($A293="","",AN292*$E292)</f>
        <v/>
      </c>
      <c r="BA292" s="195" t="str">
        <f aca="false">IF($A293="","",F292*Summary!$Q$13)</f>
        <v/>
      </c>
    </row>
    <row r="293" customFormat="false" ht="12" hidden="false" customHeight="true" outlineLevel="0" collapsed="false">
      <c r="A293" s="196" t="str">
        <f aca="false">IF(A292&lt;mthend,EDATE(A292,1),"")</f>
        <v/>
      </c>
      <c r="B293" s="197" t="str">
        <f aca="false">IF(A293&lt;mthend,B292,"")</f>
        <v/>
      </c>
      <c r="C293" s="215"/>
      <c r="D293" s="197" t="str">
        <f aca="false">IF(A294&lt;&gt;"",B293+C293,"")</f>
        <v/>
      </c>
      <c r="E293" s="199" t="str">
        <f aca="false">IF(A294="","",IF(AND(AT293=1,$H$3=1),D293*AO293,IF($H$3=2,D293,"N/A")))</f>
        <v/>
      </c>
      <c r="F293" s="199" t="str">
        <f aca="false">IF(A294="","",E293*AS293)</f>
        <v/>
      </c>
      <c r="G293" s="200" t="str">
        <f aca="false">IF($A294="","",VLOOKUP($A293,Table,MATCH(G$4,Curves,0)))</f>
        <v/>
      </c>
      <c r="H293" s="201" t="str">
        <f aca="false">IF(A294="","",G293)</f>
        <v/>
      </c>
      <c r="I293" s="202"/>
      <c r="J293" s="200" t="str">
        <f aca="false">IF($A294="","",VLOOKUP($A293,Table,MATCH(J$4,Curves,0)))</f>
        <v/>
      </c>
      <c r="K293" s="201" t="str">
        <f aca="false">IF(A294="","",J293)</f>
        <v/>
      </c>
      <c r="L293" s="185" t="n">
        <v>0</v>
      </c>
      <c r="M293" s="201" t="str">
        <f aca="false">IF(A294="","",L293)</f>
        <v/>
      </c>
      <c r="N293" s="203"/>
      <c r="O293" s="200" t="str">
        <f aca="false">IF(A294="","",L293+J293+G293)</f>
        <v/>
      </c>
      <c r="P293" s="200" t="str">
        <f aca="false">IF(A294="","",M293+K293+H293)</f>
        <v/>
      </c>
      <c r="Q293" s="204"/>
      <c r="R293" s="200" t="str">
        <f aca="false">IF($A294="","",VLOOKUP($A293,Table,MATCH(R$4,Curves,0)))</f>
        <v/>
      </c>
      <c r="S293" s="201" t="str">
        <f aca="false">IF(A294="","",R293)</f>
        <v/>
      </c>
      <c r="T293" s="185" t="n">
        <v>0</v>
      </c>
      <c r="U293" s="201" t="str">
        <f aca="false">IF(A294="","",T293)</f>
        <v/>
      </c>
      <c r="V293" s="205"/>
      <c r="W293" s="202" t="str">
        <f aca="false">IF($A294="","",(T293+R293+G293+V293))</f>
        <v/>
      </c>
      <c r="X293" s="202" t="str">
        <f aca="false">IF($A294="","",(U293+S293+H293+V293))</f>
        <v/>
      </c>
      <c r="Y293" s="202"/>
      <c r="Z293" s="185" t="str">
        <f aca="false">IF($A294="","",VLOOKUP($A293,Table,MATCH(Z$4,Curves,0)))</f>
        <v/>
      </c>
      <c r="AA293" s="185" t="str">
        <f aca="false">IF($A294="","",VLOOKUP($A293,Table,MATCH(AA$4,Curves,0)))</f>
        <v/>
      </c>
      <c r="AB293" s="185" t="e">
        <f aca="false">SQRT((AA293^2*(A293-$D$3)+Z293^2*(DAY(EOMONTH(A293,0))/2))/AK293)</f>
        <v>#VALUE!</v>
      </c>
      <c r="AC293" s="185" t="str">
        <f aca="false">IF($A294="","",VLOOKUP($A293,Table,MATCH(AC$4,Curves,0)))</f>
        <v/>
      </c>
      <c r="AD293" s="185" t="str">
        <f aca="false">IF($A294="","",VLOOKUP($A293,Table,MATCH(AD$4,Curves,0)))</f>
        <v/>
      </c>
      <c r="AE293" s="185" t="e">
        <f aca="false">SQRT((AD293^2*(A293-$D$3)+AC293^2*(DAY(EOMONTH(A293,0))/2))/AK293)</f>
        <v>#VALUE!</v>
      </c>
      <c r="AF293" s="224" t="e">
        <f aca="false">((Summary!$N$13*(AA293*AD293)*(A293-$D$3))+(Summary!$M$13*Z293*AC293*(AJ293-EOMONTH(EDATE(A293,-1),0))))/(AK293*AB293*AE293)</f>
        <v>#VALUE!</v>
      </c>
      <c r="AG293" s="207" t="str">
        <f aca="false">IF($A294="","",Summary!$Q$13)</f>
        <v/>
      </c>
      <c r="AH293" s="207" t="str">
        <f aca="false">IF($A294="","",IF(Summary!$R$12="Y",(VLOOKUP($A293,Summary!$AD$6:$AF$9,3)+'Escalating commodity'!I306),'Escalating commodity'!I306))</f>
        <v/>
      </c>
      <c r="AI293" s="207" t="str">
        <f aca="false">IF($A294="","",AH293)</f>
        <v/>
      </c>
      <c r="AJ293" s="208" t="e">
        <f aca="false">A293+DAY(EOMONTH(A293,0))/2-1</f>
        <v>#VALUE!</v>
      </c>
      <c r="AK293" s="209" t="str">
        <f aca="false">IF($A294="","",$A293-$E$1)</f>
        <v/>
      </c>
      <c r="AL293" s="182" t="str">
        <f aca="false">IF($A294="","",SPRDOPT(P293,X293,AI293,0,AB293,AE293,AF293,AK293,$AJ$2,0))</f>
        <v/>
      </c>
      <c r="AM293" s="210" t="str">
        <f aca="false">IF($A294="","",MAX(0,O293-W293-AI293))</f>
        <v/>
      </c>
      <c r="AN293" s="211" t="str">
        <f aca="false">IF($A294="","",AL293-AM293)</f>
        <v/>
      </c>
      <c r="AO293" s="137" t="str">
        <f aca="false">IF(A294="","",A294-A293)</f>
        <v/>
      </c>
      <c r="AP293" s="212" t="str">
        <f aca="false">IF(A294="","",CHOOSE(F$3,A294+24,A293))</f>
        <v/>
      </c>
      <c r="AQ293" s="209" t="str">
        <f aca="false">IF(A294="","",AP293-$E$1)</f>
        <v/>
      </c>
      <c r="AR293" s="185" t="n">
        <f aca="false">'ANR OK vs ML7'!AR293</f>
        <v>0.1</v>
      </c>
      <c r="AS293" s="213" t="str">
        <f aca="false">IF(A294="","",1/(1+CHOOSE(F$3,(AR294+($I$3/10000))/2,(AR293+($I$3/10000))/2))^(2*AQ293/365.25))</f>
        <v/>
      </c>
      <c r="AT293" s="137" t="str">
        <f aca="false">IF(A294="","",IF(AND(mthbeg&lt;=A293,mthend&gt;=A293),1,0))</f>
        <v/>
      </c>
      <c r="AU293" s="137" t="str">
        <f aca="false">IF(A294="","",AO293*AT293)</f>
        <v/>
      </c>
      <c r="AW293" s="195" t="str">
        <f aca="false">IF($A294="","",AL293*$E293)</f>
        <v/>
      </c>
      <c r="AX293" s="195" t="str">
        <f aca="false">IF($A294="","",AM293*$E293)</f>
        <v/>
      </c>
      <c r="AY293" s="195" t="str">
        <f aca="false">IF($A294="","",AN293*$E293)</f>
        <v/>
      </c>
      <c r="BA293" s="195" t="str">
        <f aca="false">IF($A294="","",F293*Summary!$Q$13)</f>
        <v/>
      </c>
    </row>
    <row r="294" customFormat="false" ht="12" hidden="false" customHeight="true" outlineLevel="0" collapsed="false">
      <c r="A294" s="196" t="str">
        <f aca="false">IF(A293&lt;mthend,EDATE(A293,1),"")</f>
        <v/>
      </c>
      <c r="B294" s="197" t="str">
        <f aca="false">IF(A294&lt;mthend,B293,"")</f>
        <v/>
      </c>
      <c r="C294" s="215"/>
      <c r="D294" s="197" t="str">
        <f aca="false">IF(A295&lt;&gt;"",B294+C294,"")</f>
        <v/>
      </c>
      <c r="E294" s="199" t="str">
        <f aca="false">IF(A295="","",IF(AND(AT294=1,$H$3=1),D294*AO294,IF($H$3=2,D294,"N/A")))</f>
        <v/>
      </c>
      <c r="F294" s="199" t="str">
        <f aca="false">IF(A295="","",E294*AS294)</f>
        <v/>
      </c>
      <c r="G294" s="200" t="str">
        <f aca="false">IF($A295="","",VLOOKUP($A294,Table,MATCH(G$4,Curves,0)))</f>
        <v/>
      </c>
      <c r="H294" s="201" t="str">
        <f aca="false">IF(A295="","",G294)</f>
        <v/>
      </c>
      <c r="I294" s="202"/>
      <c r="J294" s="200" t="str">
        <f aca="false">IF($A295="","",VLOOKUP($A294,Table,MATCH(J$4,Curves,0)))</f>
        <v/>
      </c>
      <c r="K294" s="201" t="str">
        <f aca="false">IF(A295="","",J294)</f>
        <v/>
      </c>
      <c r="L294" s="185" t="n">
        <v>0</v>
      </c>
      <c r="M294" s="201" t="str">
        <f aca="false">IF(A295="","",L294)</f>
        <v/>
      </c>
      <c r="N294" s="203"/>
      <c r="O294" s="200" t="str">
        <f aca="false">IF(A295="","",L294+J294+G294)</f>
        <v/>
      </c>
      <c r="P294" s="200" t="str">
        <f aca="false">IF(A295="","",M294+K294+H294)</f>
        <v/>
      </c>
      <c r="Q294" s="204"/>
      <c r="R294" s="200" t="str">
        <f aca="false">IF($A295="","",VLOOKUP($A294,Table,MATCH(R$4,Curves,0)))</f>
        <v/>
      </c>
      <c r="S294" s="201" t="str">
        <f aca="false">IF(A295="","",R294)</f>
        <v/>
      </c>
      <c r="T294" s="185" t="n">
        <v>0</v>
      </c>
      <c r="U294" s="201" t="str">
        <f aca="false">IF(A295="","",T294)</f>
        <v/>
      </c>
      <c r="V294" s="205"/>
      <c r="W294" s="202" t="str">
        <f aca="false">IF($A295="","",(T294+R294+G294+V294))</f>
        <v/>
      </c>
      <c r="X294" s="202" t="str">
        <f aca="false">IF($A295="","",(U294+S294+H294+V294))</f>
        <v/>
      </c>
      <c r="Y294" s="202"/>
      <c r="Z294" s="185" t="str">
        <f aca="false">IF($A295="","",VLOOKUP($A294,Table,MATCH(Z$4,Curves,0)))</f>
        <v/>
      </c>
      <c r="AA294" s="185" t="str">
        <f aca="false">IF($A295="","",VLOOKUP($A294,Table,MATCH(AA$4,Curves,0)))</f>
        <v/>
      </c>
      <c r="AB294" s="185" t="e">
        <f aca="false">SQRT((AA294^2*(A294-$D$3)+Z294^2*(DAY(EOMONTH(A294,0))/2))/AK294)</f>
        <v>#VALUE!</v>
      </c>
      <c r="AC294" s="185" t="str">
        <f aca="false">IF($A295="","",VLOOKUP($A294,Table,MATCH(AC$4,Curves,0)))</f>
        <v/>
      </c>
      <c r="AD294" s="185" t="str">
        <f aca="false">IF($A295="","",VLOOKUP($A294,Table,MATCH(AD$4,Curves,0)))</f>
        <v/>
      </c>
      <c r="AE294" s="185" t="e">
        <f aca="false">SQRT((AD294^2*(A294-$D$3)+AC294^2*(DAY(EOMONTH(A294,0))/2))/AK294)</f>
        <v>#VALUE!</v>
      </c>
      <c r="AF294" s="224" t="e">
        <f aca="false">((Summary!$N$13*(AA294*AD294)*(A294-$D$3))+(Summary!$M$13*Z294*AC294*(AJ294-EOMONTH(EDATE(A294,-1),0))))/(AK294*AB294*AE294)</f>
        <v>#VALUE!</v>
      </c>
      <c r="AG294" s="207" t="str">
        <f aca="false">IF($A295="","",Summary!$Q$13)</f>
        <v/>
      </c>
      <c r="AH294" s="207" t="str">
        <f aca="false">IF($A295="","",IF(Summary!$R$12="Y",(VLOOKUP($A294,Summary!$AD$6:$AF$9,3)+'Escalating commodity'!I307),'Escalating commodity'!I307))</f>
        <v/>
      </c>
      <c r="AI294" s="207" t="str">
        <f aca="false">IF($A295="","",AH294)</f>
        <v/>
      </c>
      <c r="AJ294" s="208" t="e">
        <f aca="false">A294+DAY(EOMONTH(A294,0))/2-1</f>
        <v>#VALUE!</v>
      </c>
      <c r="AK294" s="209" t="str">
        <f aca="false">IF($A295="","",$A294-$E$1)</f>
        <v/>
      </c>
      <c r="AL294" s="182" t="str">
        <f aca="false">IF($A295="","",SPRDOPT(P294,X294,AI294,0,AB294,AE294,AF294,AK294,$AJ$2,0))</f>
        <v/>
      </c>
      <c r="AM294" s="210" t="str">
        <f aca="false">IF($A295="","",MAX(0,O294-W294-AI294))</f>
        <v/>
      </c>
      <c r="AN294" s="211" t="str">
        <f aca="false">IF($A295="","",AL294-AM294)</f>
        <v/>
      </c>
      <c r="AO294" s="137" t="str">
        <f aca="false">IF(A295="","",A295-A294)</f>
        <v/>
      </c>
      <c r="AP294" s="212" t="str">
        <f aca="false">IF(A295="","",CHOOSE(F$3,A295+24,A294))</f>
        <v/>
      </c>
      <c r="AQ294" s="209" t="str">
        <f aca="false">IF(A295="","",AP294-$E$1)</f>
        <v/>
      </c>
      <c r="AR294" s="185" t="n">
        <f aca="false">'ANR OK vs ML7'!AR294</f>
        <v>0.1</v>
      </c>
      <c r="AS294" s="213" t="str">
        <f aca="false">IF(A295="","",1/(1+CHOOSE(F$3,(AR295+($I$3/10000))/2,(AR294+($I$3/10000))/2))^(2*AQ294/365.25))</f>
        <v/>
      </c>
      <c r="AT294" s="137" t="str">
        <f aca="false">IF(A295="","",IF(AND(mthbeg&lt;=A294,mthend&gt;=A294),1,0))</f>
        <v/>
      </c>
      <c r="AU294" s="137" t="str">
        <f aca="false">IF(A295="","",AO294*AT294)</f>
        <v/>
      </c>
      <c r="AW294" s="195" t="str">
        <f aca="false">IF($A295="","",AL294*$E294)</f>
        <v/>
      </c>
      <c r="AX294" s="195" t="str">
        <f aca="false">IF($A295="","",AM294*$E294)</f>
        <v/>
      </c>
      <c r="AY294" s="195" t="str">
        <f aca="false">IF($A295="","",AN294*$E294)</f>
        <v/>
      </c>
      <c r="BA294" s="195" t="str">
        <f aca="false">IF($A295="","",F294*Summary!$Q$13)</f>
        <v/>
      </c>
    </row>
    <row r="295" customFormat="false" ht="12" hidden="false" customHeight="true" outlineLevel="0" collapsed="false">
      <c r="A295" s="196" t="str">
        <f aca="false">IF(A294&lt;mthend,EDATE(A294,1),"")</f>
        <v/>
      </c>
      <c r="B295" s="197" t="str">
        <f aca="false">IF(A295&lt;mthend,B294,"")</f>
        <v/>
      </c>
      <c r="C295" s="215"/>
      <c r="D295" s="197" t="str">
        <f aca="false">IF(A296&lt;&gt;"",B295+C295,"")</f>
        <v/>
      </c>
      <c r="E295" s="199" t="str">
        <f aca="false">IF(A296="","",IF(AND(AT295=1,$H$3=1),D295*AO295,IF($H$3=2,D295,"N/A")))</f>
        <v/>
      </c>
      <c r="F295" s="199" t="str">
        <f aca="false">IF(A296="","",E295*AS295)</f>
        <v/>
      </c>
      <c r="G295" s="200" t="str">
        <f aca="false">IF($A296="","",VLOOKUP($A295,Table,MATCH(G$4,Curves,0)))</f>
        <v/>
      </c>
      <c r="H295" s="201" t="str">
        <f aca="false">IF(A296="","",G295)</f>
        <v/>
      </c>
      <c r="I295" s="202"/>
      <c r="J295" s="200" t="str">
        <f aca="false">IF($A296="","",VLOOKUP($A295,Table,MATCH(J$4,Curves,0)))</f>
        <v/>
      </c>
      <c r="K295" s="201" t="str">
        <f aca="false">IF(A296="","",J295)</f>
        <v/>
      </c>
      <c r="L295" s="185" t="n">
        <v>0</v>
      </c>
      <c r="M295" s="201" t="str">
        <f aca="false">IF(A296="","",L295)</f>
        <v/>
      </c>
      <c r="N295" s="203"/>
      <c r="O295" s="200" t="str">
        <f aca="false">IF(A296="","",L295+J295+G295)</f>
        <v/>
      </c>
      <c r="P295" s="200" t="str">
        <f aca="false">IF(A296="","",M295+K295+H295)</f>
        <v/>
      </c>
      <c r="Q295" s="204"/>
      <c r="R295" s="200" t="str">
        <f aca="false">IF($A296="","",VLOOKUP($A295,Table,MATCH(R$4,Curves,0)))</f>
        <v/>
      </c>
      <c r="S295" s="201" t="str">
        <f aca="false">IF(A296="","",R295)</f>
        <v/>
      </c>
      <c r="T295" s="185" t="n">
        <v>0</v>
      </c>
      <c r="U295" s="201" t="str">
        <f aca="false">IF(A296="","",T295)</f>
        <v/>
      </c>
      <c r="V295" s="205"/>
      <c r="W295" s="202" t="str">
        <f aca="false">IF($A296="","",(T295+R295+G295+V295))</f>
        <v/>
      </c>
      <c r="X295" s="202" t="str">
        <f aca="false">IF($A296="","",(U295+S295+H295+V295))</f>
        <v/>
      </c>
      <c r="Y295" s="202"/>
      <c r="Z295" s="185" t="str">
        <f aca="false">IF($A296="","",VLOOKUP($A295,Table,MATCH(Z$4,Curves,0)))</f>
        <v/>
      </c>
      <c r="AA295" s="185" t="str">
        <f aca="false">IF($A296="","",VLOOKUP($A295,Table,MATCH(AA$4,Curves,0)))</f>
        <v/>
      </c>
      <c r="AB295" s="185" t="e">
        <f aca="false">SQRT((AA295^2*(A295-$D$3)+Z295^2*(DAY(EOMONTH(A295,0))/2))/AK295)</f>
        <v>#VALUE!</v>
      </c>
      <c r="AC295" s="185" t="str">
        <f aca="false">IF($A296="","",VLOOKUP($A295,Table,MATCH(AC$4,Curves,0)))</f>
        <v/>
      </c>
      <c r="AD295" s="185" t="str">
        <f aca="false">IF($A296="","",VLOOKUP($A295,Table,MATCH(AD$4,Curves,0)))</f>
        <v/>
      </c>
      <c r="AE295" s="185" t="e">
        <f aca="false">SQRT((AD295^2*(A295-$D$3)+AC295^2*(DAY(EOMONTH(A295,0))/2))/AK295)</f>
        <v>#VALUE!</v>
      </c>
      <c r="AF295" s="224" t="e">
        <f aca="false">((Summary!$N$13*(AA295*AD295)*(A295-$D$3))+(Summary!$M$13*Z295*AC295*(AJ295-EOMONTH(EDATE(A295,-1),0))))/(AK295*AB295*AE295)</f>
        <v>#VALUE!</v>
      </c>
      <c r="AG295" s="207" t="str">
        <f aca="false">IF($A296="","",Summary!$Q$13)</f>
        <v/>
      </c>
      <c r="AH295" s="207" t="str">
        <f aca="false">IF($A296="","",IF(Summary!$R$12="Y",(VLOOKUP($A295,Summary!$AD$6:$AF$9,3)+'Escalating commodity'!I308),'Escalating commodity'!I308))</f>
        <v/>
      </c>
      <c r="AI295" s="207" t="str">
        <f aca="false">IF($A296="","",AH295)</f>
        <v/>
      </c>
      <c r="AJ295" s="208" t="e">
        <f aca="false">A295+DAY(EOMONTH(A295,0))/2-1</f>
        <v>#VALUE!</v>
      </c>
      <c r="AK295" s="209" t="str">
        <f aca="false">IF($A296="","",$A295-$E$1)</f>
        <v/>
      </c>
      <c r="AL295" s="182" t="str">
        <f aca="false">IF($A296="","",SPRDOPT(P295,X295,AI295,0,AB295,AE295,AF295,AK295,$AJ$2,0))</f>
        <v/>
      </c>
      <c r="AM295" s="210" t="str">
        <f aca="false">IF($A296="","",MAX(0,O295-W295-AI295))</f>
        <v/>
      </c>
      <c r="AN295" s="211" t="str">
        <f aca="false">IF($A296="","",AL295-AM295)</f>
        <v/>
      </c>
      <c r="AO295" s="137" t="str">
        <f aca="false">IF(A296="","",A296-A295)</f>
        <v/>
      </c>
      <c r="AP295" s="212" t="str">
        <f aca="false">IF(A296="","",CHOOSE(F$3,A296+24,A295))</f>
        <v/>
      </c>
      <c r="AQ295" s="209" t="str">
        <f aca="false">IF(A296="","",AP295-$E$1)</f>
        <v/>
      </c>
      <c r="AR295" s="185" t="n">
        <f aca="false">'ANR OK vs ML7'!AR295</f>
        <v>0.1</v>
      </c>
      <c r="AS295" s="213" t="str">
        <f aca="false">IF(A296="","",1/(1+CHOOSE(F$3,(AR296+($I$3/10000))/2,(AR295+($I$3/10000))/2))^(2*AQ295/365.25))</f>
        <v/>
      </c>
      <c r="AT295" s="137" t="str">
        <f aca="false">IF(A296="","",IF(AND(mthbeg&lt;=A295,mthend&gt;=A295),1,0))</f>
        <v/>
      </c>
      <c r="AU295" s="137" t="str">
        <f aca="false">IF(A296="","",AO295*AT295)</f>
        <v/>
      </c>
      <c r="AW295" s="195" t="str">
        <f aca="false">IF($A296="","",AL295*$E295)</f>
        <v/>
      </c>
      <c r="AX295" s="195" t="str">
        <f aca="false">IF($A296="","",AM295*$E295)</f>
        <v/>
      </c>
      <c r="AY295" s="195" t="str">
        <f aca="false">IF($A296="","",AN295*$E295)</f>
        <v/>
      </c>
      <c r="BA295" s="195" t="str">
        <f aca="false">IF($A296="","",F295*Summary!$Q$13)</f>
        <v/>
      </c>
    </row>
    <row r="296" customFormat="false" ht="12" hidden="false" customHeight="true" outlineLevel="0" collapsed="false">
      <c r="A296" s="196" t="str">
        <f aca="false">IF(A295&lt;mthend,EDATE(A295,1),"")</f>
        <v/>
      </c>
      <c r="B296" s="197" t="str">
        <f aca="false">IF(A296&lt;mthend,B295,"")</f>
        <v/>
      </c>
      <c r="C296" s="215"/>
      <c r="D296" s="197" t="str">
        <f aca="false">IF(A297&lt;&gt;"",B296+C296,"")</f>
        <v/>
      </c>
      <c r="E296" s="199" t="str">
        <f aca="false">IF(A297="","",IF(AND(AT296=1,$H$3=1),D296*AO296,IF($H$3=2,D296,"N/A")))</f>
        <v/>
      </c>
      <c r="F296" s="199" t="str">
        <f aca="false">IF(A297="","",E296*AS296)</f>
        <v/>
      </c>
      <c r="G296" s="200" t="str">
        <f aca="false">IF($A297="","",VLOOKUP($A296,Table,MATCH(G$4,Curves,0)))</f>
        <v/>
      </c>
      <c r="H296" s="201" t="str">
        <f aca="false">IF(A297="","",G296)</f>
        <v/>
      </c>
      <c r="I296" s="202"/>
      <c r="J296" s="200" t="str">
        <f aca="false">IF($A297="","",VLOOKUP($A296,Table,MATCH(J$4,Curves,0)))</f>
        <v/>
      </c>
      <c r="K296" s="201" t="str">
        <f aca="false">IF(A297="","",J296)</f>
        <v/>
      </c>
      <c r="L296" s="185" t="n">
        <v>0</v>
      </c>
      <c r="M296" s="201" t="str">
        <f aca="false">IF(A297="","",L296)</f>
        <v/>
      </c>
      <c r="N296" s="203"/>
      <c r="O296" s="200" t="str">
        <f aca="false">IF(A297="","",L296+J296+G296)</f>
        <v/>
      </c>
      <c r="P296" s="200" t="str">
        <f aca="false">IF(A297="","",M296+K296+H296)</f>
        <v/>
      </c>
      <c r="Q296" s="204"/>
      <c r="R296" s="200" t="str">
        <f aca="false">IF($A297="","",VLOOKUP($A296,Table,MATCH(R$4,Curves,0)))</f>
        <v/>
      </c>
      <c r="S296" s="201" t="str">
        <f aca="false">IF(A297="","",R296)</f>
        <v/>
      </c>
      <c r="T296" s="185" t="n">
        <v>0</v>
      </c>
      <c r="U296" s="201" t="str">
        <f aca="false">IF(A297="","",T296)</f>
        <v/>
      </c>
      <c r="V296" s="205"/>
      <c r="W296" s="202" t="str">
        <f aca="false">IF($A297="","",(T296+R296+G296+V296))</f>
        <v/>
      </c>
      <c r="X296" s="202" t="str">
        <f aca="false">IF($A297="","",(U296+S296+H296+V296))</f>
        <v/>
      </c>
      <c r="Y296" s="202"/>
      <c r="Z296" s="185" t="str">
        <f aca="false">IF($A297="","",VLOOKUP($A296,Table,MATCH(Z$4,Curves,0)))</f>
        <v/>
      </c>
      <c r="AA296" s="185" t="str">
        <f aca="false">IF($A297="","",VLOOKUP($A296,Table,MATCH(AA$4,Curves,0)))</f>
        <v/>
      </c>
      <c r="AB296" s="185" t="e">
        <f aca="false">SQRT((AA296^2*(A296-$D$3)+Z296^2*(DAY(EOMONTH(A296,0))/2))/AK296)</f>
        <v>#VALUE!</v>
      </c>
      <c r="AC296" s="185" t="str">
        <f aca="false">IF($A297="","",VLOOKUP($A296,Table,MATCH(AC$4,Curves,0)))</f>
        <v/>
      </c>
      <c r="AD296" s="185" t="str">
        <f aca="false">IF($A297="","",VLOOKUP($A296,Table,MATCH(AD$4,Curves,0)))</f>
        <v/>
      </c>
      <c r="AE296" s="185" t="e">
        <f aca="false">SQRT((AD296^2*(A296-$D$3)+AC296^2*(DAY(EOMONTH(A296,0))/2))/AK296)</f>
        <v>#VALUE!</v>
      </c>
      <c r="AF296" s="224" t="e">
        <f aca="false">((Summary!$N$13*(AA296*AD296)*(A296-$D$3))+(Summary!$M$13*Z296*AC296*(AJ296-EOMONTH(EDATE(A296,-1),0))))/(AK296*AB296*AE296)</f>
        <v>#VALUE!</v>
      </c>
      <c r="AG296" s="207" t="str">
        <f aca="false">IF($A297="","",Summary!$Q$13)</f>
        <v/>
      </c>
      <c r="AH296" s="207" t="str">
        <f aca="false">IF($A297="","",IF(Summary!$R$12="Y",(VLOOKUP($A296,Summary!$AD$6:$AF$9,3)+'Escalating commodity'!I309),'Escalating commodity'!I309))</f>
        <v/>
      </c>
      <c r="AI296" s="207" t="str">
        <f aca="false">IF($A297="","",AH296)</f>
        <v/>
      </c>
      <c r="AJ296" s="208" t="e">
        <f aca="false">A296+DAY(EOMONTH(A296,0))/2-1</f>
        <v>#VALUE!</v>
      </c>
      <c r="AK296" s="209" t="str">
        <f aca="false">IF($A297="","",$A296-$E$1)</f>
        <v/>
      </c>
      <c r="AL296" s="182" t="str">
        <f aca="false">IF($A297="","",SPRDOPT(P296,X296,AI296,0,AB296,AE296,AF296,AK296,$AJ$2,0))</f>
        <v/>
      </c>
      <c r="AM296" s="210" t="str">
        <f aca="false">IF($A297="","",MAX(0,O296-W296-AI296))</f>
        <v/>
      </c>
      <c r="AN296" s="211" t="str">
        <f aca="false">IF($A297="","",AL296-AM296)</f>
        <v/>
      </c>
      <c r="AO296" s="137" t="str">
        <f aca="false">IF(A297="","",A297-A296)</f>
        <v/>
      </c>
      <c r="AP296" s="212" t="str">
        <f aca="false">IF(A297="","",CHOOSE(F$3,A297+24,A296))</f>
        <v/>
      </c>
      <c r="AQ296" s="209" t="str">
        <f aca="false">IF(A297="","",AP296-$E$1)</f>
        <v/>
      </c>
      <c r="AR296" s="185" t="n">
        <f aca="false">'ANR OK vs ML7'!AR296</f>
        <v>0.1</v>
      </c>
      <c r="AS296" s="213" t="str">
        <f aca="false">IF(A297="","",1/(1+CHOOSE(F$3,(AR297+($I$3/10000))/2,(AR296+($I$3/10000))/2))^(2*AQ296/365.25))</f>
        <v/>
      </c>
      <c r="AT296" s="137" t="str">
        <f aca="false">IF(A297="","",IF(AND(mthbeg&lt;=A296,mthend&gt;=A296),1,0))</f>
        <v/>
      </c>
      <c r="AU296" s="137" t="str">
        <f aca="false">IF(A297="","",AO296*AT296)</f>
        <v/>
      </c>
      <c r="AW296" s="195" t="str">
        <f aca="false">IF($A297="","",AL296*$E296)</f>
        <v/>
      </c>
      <c r="AX296" s="195" t="str">
        <f aca="false">IF($A297="","",AM296*$E296)</f>
        <v/>
      </c>
      <c r="AY296" s="195" t="str">
        <f aca="false">IF($A297="","",AN296*$E296)</f>
        <v/>
      </c>
      <c r="BA296" s="195" t="str">
        <f aca="false">IF($A297="","",F296*Summary!$Q$13)</f>
        <v/>
      </c>
    </row>
    <row r="297" customFormat="false" ht="12" hidden="false" customHeight="true" outlineLevel="0" collapsed="false">
      <c r="A297" s="196" t="str">
        <f aca="false">IF(A296&lt;mthend,EDATE(A296,1),"")</f>
        <v/>
      </c>
      <c r="B297" s="197" t="str">
        <f aca="false">IF(A297&lt;mthend,B296,"")</f>
        <v/>
      </c>
      <c r="C297" s="215"/>
      <c r="D297" s="197" t="str">
        <f aca="false">IF(A298&lt;&gt;"",B297+C297,"")</f>
        <v/>
      </c>
      <c r="E297" s="199" t="str">
        <f aca="false">IF(A298="","",IF(AND(AT297=1,$H$3=1),D297*AO297,IF($H$3=2,D297,"N/A")))</f>
        <v/>
      </c>
      <c r="F297" s="199" t="str">
        <f aca="false">IF(A298="","",E297*AS297)</f>
        <v/>
      </c>
      <c r="G297" s="200" t="str">
        <f aca="false">IF($A298="","",VLOOKUP($A297,Table,MATCH(G$4,Curves,0)))</f>
        <v/>
      </c>
      <c r="H297" s="201" t="str">
        <f aca="false">IF(A298="","",G297)</f>
        <v/>
      </c>
      <c r="I297" s="202"/>
      <c r="J297" s="200" t="str">
        <f aca="false">IF($A298="","",VLOOKUP($A297,Table,MATCH(J$4,Curves,0)))</f>
        <v/>
      </c>
      <c r="K297" s="201" t="str">
        <f aca="false">IF(A298="","",J297)</f>
        <v/>
      </c>
      <c r="L297" s="185" t="n">
        <v>0</v>
      </c>
      <c r="M297" s="201" t="str">
        <f aca="false">IF(A298="","",L297)</f>
        <v/>
      </c>
      <c r="N297" s="203"/>
      <c r="O297" s="200" t="str">
        <f aca="false">IF(A298="","",L297+J297+G297)</f>
        <v/>
      </c>
      <c r="P297" s="200" t="str">
        <f aca="false">IF(A298="","",M297+K297+H297)</f>
        <v/>
      </c>
      <c r="Q297" s="204"/>
      <c r="R297" s="200" t="str">
        <f aca="false">IF($A298="","",VLOOKUP($A297,Table,MATCH(R$4,Curves,0)))</f>
        <v/>
      </c>
      <c r="S297" s="201" t="str">
        <f aca="false">IF(A298="","",R297)</f>
        <v/>
      </c>
      <c r="T297" s="185" t="n">
        <v>0</v>
      </c>
      <c r="U297" s="201" t="str">
        <f aca="false">IF(A298="","",T297)</f>
        <v/>
      </c>
      <c r="V297" s="205"/>
      <c r="W297" s="202" t="str">
        <f aca="false">IF($A298="","",(T297+R297+G297+V297))</f>
        <v/>
      </c>
      <c r="X297" s="202" t="str">
        <f aca="false">IF($A298="","",(U297+S297+H297+V297))</f>
        <v/>
      </c>
      <c r="Y297" s="202"/>
      <c r="Z297" s="185" t="str">
        <f aca="false">IF($A298="","",VLOOKUP($A297,Table,MATCH(Z$4,Curves,0)))</f>
        <v/>
      </c>
      <c r="AA297" s="185" t="str">
        <f aca="false">IF($A298="","",VLOOKUP($A297,Table,MATCH(AA$4,Curves,0)))</f>
        <v/>
      </c>
      <c r="AB297" s="185" t="e">
        <f aca="false">SQRT((AA297^2*(A297-$D$3)+Z297^2*(DAY(EOMONTH(A297,0))/2))/AK297)</f>
        <v>#VALUE!</v>
      </c>
      <c r="AC297" s="185" t="str">
        <f aca="false">IF($A298="","",VLOOKUP($A297,Table,MATCH(AC$4,Curves,0)))</f>
        <v/>
      </c>
      <c r="AD297" s="185" t="str">
        <f aca="false">IF($A298="","",VLOOKUP($A297,Table,MATCH(AD$4,Curves,0)))</f>
        <v/>
      </c>
      <c r="AE297" s="185" t="e">
        <f aca="false">SQRT((AD297^2*(A297-$D$3)+AC297^2*(DAY(EOMONTH(A297,0))/2))/AK297)</f>
        <v>#VALUE!</v>
      </c>
      <c r="AF297" s="224" t="e">
        <f aca="false">((Summary!$N$13*(AA297*AD297)*(A297-$D$3))+(Summary!$M$13*Z297*AC297*(AJ297-EOMONTH(EDATE(A297,-1),0))))/(AK297*AB297*AE297)</f>
        <v>#VALUE!</v>
      </c>
      <c r="AG297" s="207" t="str">
        <f aca="false">IF($A298="","",Summary!$Q$13)</f>
        <v/>
      </c>
      <c r="AH297" s="207" t="str">
        <f aca="false">IF($A298="","",IF(Summary!$R$12="Y",(VLOOKUP($A297,Summary!$AD$6:$AF$9,3)+'Escalating commodity'!I310),'Escalating commodity'!I310))</f>
        <v/>
      </c>
      <c r="AI297" s="207" t="str">
        <f aca="false">IF($A298="","",AH297)</f>
        <v/>
      </c>
      <c r="AJ297" s="208" t="e">
        <f aca="false">A297+DAY(EOMONTH(A297,0))/2-1</f>
        <v>#VALUE!</v>
      </c>
      <c r="AK297" s="209" t="str">
        <f aca="false">IF($A298="","",$A297-$E$1)</f>
        <v/>
      </c>
      <c r="AL297" s="182" t="str">
        <f aca="false">IF($A298="","",SPRDOPT(P297,X297,AI297,0,AB297,AE297,AF297,AK297,$AJ$2,0))</f>
        <v/>
      </c>
      <c r="AM297" s="210" t="str">
        <f aca="false">IF($A298="","",MAX(0,O297-W297-AI297))</f>
        <v/>
      </c>
      <c r="AN297" s="211" t="str">
        <f aca="false">IF($A298="","",AL297-AM297)</f>
        <v/>
      </c>
      <c r="AO297" s="137" t="str">
        <f aca="false">IF(A298="","",A298-A297)</f>
        <v/>
      </c>
      <c r="AP297" s="212" t="str">
        <f aca="false">IF(A298="","",CHOOSE(F$3,A298+24,A297))</f>
        <v/>
      </c>
      <c r="AQ297" s="209" t="str">
        <f aca="false">IF(A298="","",AP297-$E$1)</f>
        <v/>
      </c>
      <c r="AR297" s="185" t="n">
        <f aca="false">'ANR OK vs ML7'!AR297</f>
        <v>0.1</v>
      </c>
      <c r="AS297" s="213" t="str">
        <f aca="false">IF(A298="","",1/(1+CHOOSE(F$3,(AR298+($I$3/10000))/2,(AR297+($I$3/10000))/2))^(2*AQ297/365.25))</f>
        <v/>
      </c>
      <c r="AT297" s="137" t="str">
        <f aca="false">IF(A298="","",IF(AND(mthbeg&lt;=A297,mthend&gt;=A297),1,0))</f>
        <v/>
      </c>
      <c r="AU297" s="137" t="str">
        <f aca="false">IF(A298="","",AO297*AT297)</f>
        <v/>
      </c>
      <c r="AW297" s="195" t="str">
        <f aca="false">IF($A298="","",AL297*$E297)</f>
        <v/>
      </c>
      <c r="AX297" s="195" t="str">
        <f aca="false">IF($A298="","",AM297*$E297)</f>
        <v/>
      </c>
      <c r="AY297" s="195" t="str">
        <f aca="false">IF($A298="","",AN297*$E297)</f>
        <v/>
      </c>
      <c r="BA297" s="195" t="str">
        <f aca="false">IF($A298="","",F297*Summary!$Q$13)</f>
        <v/>
      </c>
    </row>
    <row r="298" customFormat="false" ht="12" hidden="false" customHeight="true" outlineLevel="0" collapsed="false">
      <c r="A298" s="196" t="str">
        <f aca="false">IF(A297&lt;mthend,EDATE(A297,1),"")</f>
        <v/>
      </c>
      <c r="B298" s="197" t="str">
        <f aca="false">IF(A298&lt;mthend,B297,"")</f>
        <v/>
      </c>
      <c r="C298" s="215"/>
      <c r="D298" s="197" t="str">
        <f aca="false">IF(A299&lt;&gt;"",B298+C298,"")</f>
        <v/>
      </c>
      <c r="E298" s="199" t="str">
        <f aca="false">IF(A299="","",IF(AND(AT298=1,$H$3=1),D298*AO298,IF($H$3=2,D298,"N/A")))</f>
        <v/>
      </c>
      <c r="F298" s="199" t="str">
        <f aca="false">IF(A299="","",E298*AS298)</f>
        <v/>
      </c>
      <c r="G298" s="200" t="str">
        <f aca="false">IF($A299="","",VLOOKUP($A298,Table,MATCH(G$4,Curves,0)))</f>
        <v/>
      </c>
      <c r="H298" s="201" t="str">
        <f aca="false">IF(A299="","",G298)</f>
        <v/>
      </c>
      <c r="I298" s="202"/>
      <c r="J298" s="200" t="str">
        <f aca="false">IF($A299="","",VLOOKUP($A298,Table,MATCH(J$4,Curves,0)))</f>
        <v/>
      </c>
      <c r="K298" s="201" t="str">
        <f aca="false">IF(A299="","",J298)</f>
        <v/>
      </c>
      <c r="L298" s="185" t="n">
        <v>0</v>
      </c>
      <c r="M298" s="201" t="str">
        <f aca="false">IF(A299="","",L298)</f>
        <v/>
      </c>
      <c r="N298" s="203"/>
      <c r="O298" s="200" t="str">
        <f aca="false">IF(A299="","",L298+J298+G298)</f>
        <v/>
      </c>
      <c r="P298" s="200" t="str">
        <f aca="false">IF(A299="","",M298+K298+H298)</f>
        <v/>
      </c>
      <c r="Q298" s="204"/>
      <c r="R298" s="200" t="str">
        <f aca="false">IF($A299="","",VLOOKUP($A298,Table,MATCH(R$4,Curves,0)))</f>
        <v/>
      </c>
      <c r="S298" s="201" t="str">
        <f aca="false">IF(A299="","",R298)</f>
        <v/>
      </c>
      <c r="T298" s="185" t="n">
        <v>0</v>
      </c>
      <c r="U298" s="201" t="str">
        <f aca="false">IF(A299="","",T298)</f>
        <v/>
      </c>
      <c r="V298" s="205"/>
      <c r="W298" s="202" t="str">
        <f aca="false">IF($A299="","",(T298+R298+G298+V298))</f>
        <v/>
      </c>
      <c r="X298" s="202" t="str">
        <f aca="false">IF($A299="","",(U298+S298+H298+V298))</f>
        <v/>
      </c>
      <c r="Y298" s="202"/>
      <c r="Z298" s="185" t="str">
        <f aca="false">IF($A299="","",VLOOKUP($A298,Table,MATCH(Z$4,Curves,0)))</f>
        <v/>
      </c>
      <c r="AA298" s="185" t="str">
        <f aca="false">IF($A299="","",VLOOKUP($A298,Table,MATCH(AA$4,Curves,0)))</f>
        <v/>
      </c>
      <c r="AB298" s="185" t="e">
        <f aca="false">SQRT((AA298^2*(A298-$D$3)+Z298^2*(DAY(EOMONTH(A298,0))/2))/AK298)</f>
        <v>#VALUE!</v>
      </c>
      <c r="AC298" s="185" t="str">
        <f aca="false">IF($A299="","",VLOOKUP($A298,Table,MATCH(AC$4,Curves,0)))</f>
        <v/>
      </c>
      <c r="AD298" s="185" t="str">
        <f aca="false">IF($A299="","",VLOOKUP($A298,Table,MATCH(AD$4,Curves,0)))</f>
        <v/>
      </c>
      <c r="AE298" s="185" t="e">
        <f aca="false">SQRT((AD298^2*(A298-$D$3)+AC298^2*(DAY(EOMONTH(A298,0))/2))/AK298)</f>
        <v>#VALUE!</v>
      </c>
      <c r="AF298" s="224" t="e">
        <f aca="false">((Summary!$N$13*(AA298*AD298)*(A298-$D$3))+(Summary!$M$13*Z298*AC298*(AJ298-EOMONTH(EDATE(A298,-1),0))))/(AK298*AB298*AE298)</f>
        <v>#VALUE!</v>
      </c>
      <c r="AG298" s="207" t="str">
        <f aca="false">IF($A299="","",Summary!$Q$13)</f>
        <v/>
      </c>
      <c r="AH298" s="207" t="str">
        <f aca="false">IF($A299="","",IF(Summary!$R$12="Y",(VLOOKUP($A298,Summary!$AD$6:$AF$9,3)+'Escalating commodity'!I311),'Escalating commodity'!I311))</f>
        <v/>
      </c>
      <c r="AI298" s="207" t="str">
        <f aca="false">IF($A299="","",AH298)</f>
        <v/>
      </c>
      <c r="AJ298" s="208" t="e">
        <f aca="false">A298+DAY(EOMONTH(A298,0))/2-1</f>
        <v>#VALUE!</v>
      </c>
      <c r="AK298" s="209" t="str">
        <f aca="false">IF($A299="","",$A298-$E$1)</f>
        <v/>
      </c>
      <c r="AL298" s="182" t="str">
        <f aca="false">IF($A299="","",SPRDOPT(P298,X298,AI298,0,AB298,AE298,AF298,AK298,$AJ$2,0))</f>
        <v/>
      </c>
      <c r="AM298" s="210" t="str">
        <f aca="false">IF($A299="","",MAX(0,O298-W298-AI298))</f>
        <v/>
      </c>
      <c r="AN298" s="211" t="str">
        <f aca="false">IF($A299="","",AL298-AM298)</f>
        <v/>
      </c>
      <c r="AO298" s="137" t="str">
        <f aca="false">IF(A299="","",A299-A298)</f>
        <v/>
      </c>
      <c r="AP298" s="212" t="str">
        <f aca="false">IF(A299="","",CHOOSE(F$3,A299+24,A298))</f>
        <v/>
      </c>
      <c r="AQ298" s="209" t="str">
        <f aca="false">IF(A299="","",AP298-$E$1)</f>
        <v/>
      </c>
      <c r="AR298" s="185" t="n">
        <f aca="false">'ANR OK vs ML7'!AR298</f>
        <v>0.1</v>
      </c>
      <c r="AS298" s="213" t="str">
        <f aca="false">IF(A299="","",1/(1+CHOOSE(F$3,(AR299+($I$3/10000))/2,(AR298+($I$3/10000))/2))^(2*AQ298/365.25))</f>
        <v/>
      </c>
      <c r="AT298" s="137" t="str">
        <f aca="false">IF(A299="","",IF(AND(mthbeg&lt;=A298,mthend&gt;=A298),1,0))</f>
        <v/>
      </c>
      <c r="AU298" s="137" t="str">
        <f aca="false">IF(A299="","",AO298*AT298)</f>
        <v/>
      </c>
      <c r="AW298" s="195" t="str">
        <f aca="false">IF($A299="","",AL298*$E298)</f>
        <v/>
      </c>
      <c r="AX298" s="195" t="str">
        <f aca="false">IF($A299="","",AM298*$E298)</f>
        <v/>
      </c>
      <c r="AY298" s="195" t="str">
        <f aca="false">IF($A299="","",AN298*$E298)</f>
        <v/>
      </c>
      <c r="BA298" s="195" t="str">
        <f aca="false">IF($A299="","",F298*Summary!$Q$13)</f>
        <v/>
      </c>
    </row>
    <row r="299" customFormat="false" ht="12" hidden="false" customHeight="true" outlineLevel="0" collapsed="false">
      <c r="A299" s="196" t="str">
        <f aca="false">IF(A298&lt;mthend,EDATE(A298,1),"")</f>
        <v/>
      </c>
      <c r="B299" s="197" t="str">
        <f aca="false">IF(A299&lt;mthend,B298,"")</f>
        <v/>
      </c>
      <c r="C299" s="215"/>
      <c r="D299" s="197" t="str">
        <f aca="false">IF(A300&lt;&gt;"",B299+C299,"")</f>
        <v/>
      </c>
      <c r="E299" s="199" t="str">
        <f aca="false">IF(A300="","",IF(AND(AT299=1,$H$3=1),D299*AO299,IF($H$3=2,D299,"N/A")))</f>
        <v/>
      </c>
      <c r="F299" s="199" t="str">
        <f aca="false">IF(A300="","",E299*AS299)</f>
        <v/>
      </c>
      <c r="G299" s="200" t="str">
        <f aca="false">IF($A300="","",VLOOKUP($A299,Table,MATCH(G$4,Curves,0)))</f>
        <v/>
      </c>
      <c r="H299" s="201" t="str">
        <f aca="false">IF(A300="","",G299)</f>
        <v/>
      </c>
      <c r="I299" s="202"/>
      <c r="J299" s="200" t="str">
        <f aca="false">IF($A300="","",VLOOKUP($A299,Table,MATCH(J$4,Curves,0)))</f>
        <v/>
      </c>
      <c r="K299" s="201" t="str">
        <f aca="false">IF(A300="","",J299)</f>
        <v/>
      </c>
      <c r="L299" s="185" t="n">
        <v>0</v>
      </c>
      <c r="M299" s="201" t="str">
        <f aca="false">IF(A300="","",L299)</f>
        <v/>
      </c>
      <c r="N299" s="203"/>
      <c r="O299" s="200" t="str">
        <f aca="false">IF(A300="","",L299+J299+G299)</f>
        <v/>
      </c>
      <c r="P299" s="200" t="str">
        <f aca="false">IF(A300="","",M299+K299+H299)</f>
        <v/>
      </c>
      <c r="Q299" s="204"/>
      <c r="R299" s="200" t="str">
        <f aca="false">IF($A300="","",VLOOKUP($A299,Table,MATCH(R$4,Curves,0)))</f>
        <v/>
      </c>
      <c r="S299" s="201" t="str">
        <f aca="false">IF(A300="","",R299)</f>
        <v/>
      </c>
      <c r="T299" s="185" t="n">
        <v>0</v>
      </c>
      <c r="U299" s="201" t="str">
        <f aca="false">IF(A300="","",T299)</f>
        <v/>
      </c>
      <c r="V299" s="205"/>
      <c r="W299" s="202" t="str">
        <f aca="false">IF($A300="","",(T299+R299+G299+V299))</f>
        <v/>
      </c>
      <c r="X299" s="202" t="str">
        <f aca="false">IF($A300="","",(U299+S299+H299+V299))</f>
        <v/>
      </c>
      <c r="Y299" s="202"/>
      <c r="Z299" s="185" t="str">
        <f aca="false">IF($A300="","",VLOOKUP($A299,Table,MATCH(Z$4,Curves,0)))</f>
        <v/>
      </c>
      <c r="AA299" s="185" t="str">
        <f aca="false">IF($A300="","",VLOOKUP($A299,Table,MATCH(AA$4,Curves,0)))</f>
        <v/>
      </c>
      <c r="AB299" s="185" t="e">
        <f aca="false">SQRT((AA299^2*(A299-$D$3)+Z299^2*(DAY(EOMONTH(A299,0))/2))/AK299)</f>
        <v>#VALUE!</v>
      </c>
      <c r="AC299" s="185" t="str">
        <f aca="false">IF($A300="","",VLOOKUP($A299,Table,MATCH(AC$4,Curves,0)))</f>
        <v/>
      </c>
      <c r="AD299" s="185" t="str">
        <f aca="false">IF($A300="","",VLOOKUP($A299,Table,MATCH(AD$4,Curves,0)))</f>
        <v/>
      </c>
      <c r="AE299" s="185" t="e">
        <f aca="false">SQRT((AD299^2*(A299-$D$3)+AC299^2*(DAY(EOMONTH(A299,0))/2))/AK299)</f>
        <v>#VALUE!</v>
      </c>
      <c r="AF299" s="224" t="e">
        <f aca="false">((Summary!$N$13*(AA299*AD299)*(A299-$D$3))+(Summary!$M$13*Z299*AC299*(AJ299-EOMONTH(EDATE(A299,-1),0))))/(AK299*AB299*AE299)</f>
        <v>#VALUE!</v>
      </c>
      <c r="AG299" s="207" t="str">
        <f aca="false">IF($A300="","",Summary!$Q$13)</f>
        <v/>
      </c>
      <c r="AH299" s="207" t="str">
        <f aca="false">IF($A300="","",IF(Summary!$R$12="Y",(VLOOKUP($A299,Summary!$AD$6:$AF$9,3)+'Escalating commodity'!I312),'Escalating commodity'!I312))</f>
        <v/>
      </c>
      <c r="AI299" s="207" t="str">
        <f aca="false">IF($A300="","",AH299)</f>
        <v/>
      </c>
      <c r="AJ299" s="208" t="e">
        <f aca="false">A299+DAY(EOMONTH(A299,0))/2-1</f>
        <v>#VALUE!</v>
      </c>
      <c r="AK299" s="209" t="str">
        <f aca="false">IF($A300="","",$A299-$E$1)</f>
        <v/>
      </c>
      <c r="AL299" s="182" t="str">
        <f aca="false">IF($A300="","",SPRDOPT(P299,X299,AI299,0,AB299,AE299,AF299,AK299,$AJ$2,0))</f>
        <v/>
      </c>
      <c r="AM299" s="210" t="str">
        <f aca="false">IF($A300="","",MAX(0,O299-W299-AI299))</f>
        <v/>
      </c>
      <c r="AN299" s="211" t="str">
        <f aca="false">IF($A300="","",AL299-AM299)</f>
        <v/>
      </c>
      <c r="AO299" s="137" t="str">
        <f aca="false">IF(A300="","",A300-A299)</f>
        <v/>
      </c>
      <c r="AP299" s="212" t="str">
        <f aca="false">IF(A300="","",CHOOSE(F$3,A300+24,A299))</f>
        <v/>
      </c>
      <c r="AQ299" s="209" t="str">
        <f aca="false">IF(A300="","",AP299-$E$1)</f>
        <v/>
      </c>
      <c r="AR299" s="185" t="n">
        <f aca="false">'ANR OK vs ML7'!AR299</f>
        <v>0.1</v>
      </c>
      <c r="AS299" s="213" t="str">
        <f aca="false">IF(A300="","",1/(1+CHOOSE(F$3,(AR300+($I$3/10000))/2,(AR299+($I$3/10000))/2))^(2*AQ299/365.25))</f>
        <v/>
      </c>
      <c r="AT299" s="137" t="str">
        <f aca="false">IF(A300="","",IF(AND(mthbeg&lt;=A299,mthend&gt;=A299),1,0))</f>
        <v/>
      </c>
      <c r="AU299" s="137" t="str">
        <f aca="false">IF(A300="","",AO299*AT299)</f>
        <v/>
      </c>
      <c r="AW299" s="195" t="str">
        <f aca="false">IF($A300="","",AL299*$E299)</f>
        <v/>
      </c>
      <c r="AX299" s="195" t="str">
        <f aca="false">IF($A300="","",AM299*$E299)</f>
        <v/>
      </c>
      <c r="AY299" s="195" t="str">
        <f aca="false">IF($A300="","",AN299*$E299)</f>
        <v/>
      </c>
      <c r="BA299" s="195" t="str">
        <f aca="false">IF($A300="","",F299*Summary!$Q$13)</f>
        <v/>
      </c>
    </row>
    <row r="300" customFormat="false" ht="12" hidden="false" customHeight="true" outlineLevel="0" collapsed="false">
      <c r="A300" s="196" t="str">
        <f aca="false">IF(A299&lt;mthend,EDATE(A299,1),"")</f>
        <v/>
      </c>
      <c r="B300" s="197" t="str">
        <f aca="false">IF(A300&lt;mthend,B299,"")</f>
        <v/>
      </c>
      <c r="C300" s="215"/>
      <c r="D300" s="197" t="str">
        <f aca="false">IF(A301&lt;&gt;"",B300+C300,"")</f>
        <v/>
      </c>
      <c r="E300" s="199" t="str">
        <f aca="false">IF(A301="","",IF(AND(AT300=1,$H$3=1),D300*AO300,IF($H$3=2,D300,"N/A")))</f>
        <v/>
      </c>
      <c r="F300" s="199" t="str">
        <f aca="false">IF(A301="","",E300*AS300)</f>
        <v/>
      </c>
      <c r="G300" s="200" t="str">
        <f aca="false">IF($A301="","",VLOOKUP($A300,Table,MATCH(G$4,Curves,0)))</f>
        <v/>
      </c>
      <c r="H300" s="201" t="str">
        <f aca="false">IF(A301="","",G300)</f>
        <v/>
      </c>
      <c r="I300" s="202"/>
      <c r="J300" s="200" t="str">
        <f aca="false">IF($A301="","",VLOOKUP($A300,Table,MATCH(J$4,Curves,0)))</f>
        <v/>
      </c>
      <c r="K300" s="201" t="str">
        <f aca="false">IF(A301="","",J300)</f>
        <v/>
      </c>
      <c r="L300" s="185" t="n">
        <v>0</v>
      </c>
      <c r="M300" s="201" t="str">
        <f aca="false">IF(A301="","",L300)</f>
        <v/>
      </c>
      <c r="N300" s="203"/>
      <c r="O300" s="200" t="str">
        <f aca="false">IF(A301="","",L300+J300+G300)</f>
        <v/>
      </c>
      <c r="P300" s="200" t="str">
        <f aca="false">IF(A301="","",M300+K300+H300)</f>
        <v/>
      </c>
      <c r="Q300" s="204"/>
      <c r="R300" s="200" t="str">
        <f aca="false">IF($A301="","",VLOOKUP($A300,Table,MATCH(R$4,Curves,0)))</f>
        <v/>
      </c>
      <c r="S300" s="201" t="str">
        <f aca="false">IF(A301="","",R300)</f>
        <v/>
      </c>
      <c r="T300" s="185" t="n">
        <v>0</v>
      </c>
      <c r="U300" s="201" t="str">
        <f aca="false">IF(A301="","",T300)</f>
        <v/>
      </c>
      <c r="V300" s="205"/>
      <c r="W300" s="202" t="str">
        <f aca="false">IF($A301="","",(T300+R300+G300+V300))</f>
        <v/>
      </c>
      <c r="X300" s="202" t="str">
        <f aca="false">IF($A301="","",(U300+S300+H300+V300))</f>
        <v/>
      </c>
      <c r="Y300" s="202"/>
      <c r="Z300" s="185" t="str">
        <f aca="false">IF($A301="","",VLOOKUP($A300,Table,MATCH(Z$4,Curves,0)))</f>
        <v/>
      </c>
      <c r="AA300" s="185" t="str">
        <f aca="false">IF($A301="","",VLOOKUP($A300,Table,MATCH(AA$4,Curves,0)))</f>
        <v/>
      </c>
      <c r="AB300" s="185" t="e">
        <f aca="false">SQRT((AA300^2*(A300-$D$3)+Z300^2*(DAY(EOMONTH(A300,0))/2))/AK300)</f>
        <v>#VALUE!</v>
      </c>
      <c r="AC300" s="185" t="str">
        <f aca="false">IF($A301="","",VLOOKUP($A300,Table,MATCH(AC$4,Curves,0)))</f>
        <v/>
      </c>
      <c r="AD300" s="185" t="str">
        <f aca="false">IF($A301="","",VLOOKUP($A300,Table,MATCH(AD$4,Curves,0)))</f>
        <v/>
      </c>
      <c r="AE300" s="185" t="e">
        <f aca="false">SQRT((AD300^2*(A300-$D$3)+AC300^2*(DAY(EOMONTH(A300,0))/2))/AK300)</f>
        <v>#VALUE!</v>
      </c>
      <c r="AF300" s="224" t="e">
        <f aca="false">((Summary!$N$13*(AA300*AD300)*(A300-$D$3))+(Summary!$M$13*Z300*AC300*(AJ300-EOMONTH(EDATE(A300,-1),0))))/(AK300*AB300*AE300)</f>
        <v>#VALUE!</v>
      </c>
      <c r="AG300" s="207" t="str">
        <f aca="false">IF($A301="","",Summary!$Q$13)</f>
        <v/>
      </c>
      <c r="AH300" s="207" t="str">
        <f aca="false">IF($A301="","",IF(Summary!$R$12="Y",(VLOOKUP($A300,Summary!$AD$6:$AF$9,3)+'Escalating commodity'!I313),'Escalating commodity'!I313))</f>
        <v/>
      </c>
      <c r="AI300" s="207" t="str">
        <f aca="false">IF($A301="","",AH300)</f>
        <v/>
      </c>
      <c r="AJ300" s="208" t="e">
        <f aca="false">A300+DAY(EOMONTH(A300,0))/2-1</f>
        <v>#VALUE!</v>
      </c>
      <c r="AK300" s="209" t="str">
        <f aca="false">IF($A301="","",$A300-$E$1)</f>
        <v/>
      </c>
      <c r="AL300" s="182" t="str">
        <f aca="false">IF($A301="","",SPRDOPT(P300,X300,AI300,0,AB300,AE300,AF300,AK300,$AJ$2,0))</f>
        <v/>
      </c>
      <c r="AM300" s="210" t="str">
        <f aca="false">IF($A301="","",MAX(0,O300-W300-AI300))</f>
        <v/>
      </c>
      <c r="AN300" s="211" t="str">
        <f aca="false">IF($A301="","",AL300-AM300)</f>
        <v/>
      </c>
      <c r="AO300" s="137" t="str">
        <f aca="false">IF(A301="","",A301-A300)</f>
        <v/>
      </c>
      <c r="AP300" s="212" t="str">
        <f aca="false">IF(A301="","",CHOOSE(F$3,A301+24,A300))</f>
        <v/>
      </c>
      <c r="AQ300" s="209" t="str">
        <f aca="false">IF(A301="","",AP300-$E$1)</f>
        <v/>
      </c>
      <c r="AR300" s="185" t="n">
        <f aca="false">'ANR OK vs ML7'!AR300</f>
        <v>0.1</v>
      </c>
      <c r="AS300" s="213" t="str">
        <f aca="false">IF(A301="","",1/(1+CHOOSE(F$3,(AR301+($I$3/10000))/2,(AR300+($I$3/10000))/2))^(2*AQ300/365.25))</f>
        <v/>
      </c>
      <c r="AT300" s="137" t="str">
        <f aca="false">IF(A301="","",IF(AND(mthbeg&lt;=A300,mthend&gt;=A300),1,0))</f>
        <v/>
      </c>
      <c r="AU300" s="137" t="str">
        <f aca="false">IF(A301="","",AO300*AT300)</f>
        <v/>
      </c>
      <c r="AW300" s="195" t="str">
        <f aca="false">IF($A301="","",AL300*$E300)</f>
        <v/>
      </c>
      <c r="AX300" s="195" t="str">
        <f aca="false">IF($A301="","",AM300*$E300)</f>
        <v/>
      </c>
      <c r="AY300" s="195" t="str">
        <f aca="false">IF($A301="","",AN300*$E300)</f>
        <v/>
      </c>
      <c r="BA300" s="195" t="str">
        <f aca="false">IF($A301="","",F300*Summary!$Q$13)</f>
        <v/>
      </c>
    </row>
    <row r="301" customFormat="false" ht="12" hidden="false" customHeight="true" outlineLevel="0" collapsed="false">
      <c r="A301" s="196" t="str">
        <f aca="false">IF(A300&lt;mthend,EDATE(A300,1),"")</f>
        <v/>
      </c>
      <c r="B301" s="197" t="str">
        <f aca="false">IF(A301&lt;mthend,B300,"")</f>
        <v/>
      </c>
      <c r="C301" s="215"/>
      <c r="D301" s="197" t="str">
        <f aca="false">IF(A302&lt;&gt;"",B301+C301,"")</f>
        <v/>
      </c>
      <c r="E301" s="199" t="str">
        <f aca="false">IF(A302="","",IF(AND(AT301=1,$H$3=1),D301*AO301,IF($H$3=2,D301,"N/A")))</f>
        <v/>
      </c>
      <c r="F301" s="199" t="str">
        <f aca="false">IF(A302="","",E301*AS301)</f>
        <v/>
      </c>
      <c r="G301" s="200" t="str">
        <f aca="false">IF($A302="","",VLOOKUP($A301,Table,MATCH(G$4,Curves,0)))</f>
        <v/>
      </c>
      <c r="H301" s="201" t="str">
        <f aca="false">IF(A302="","",G301)</f>
        <v/>
      </c>
      <c r="I301" s="202"/>
      <c r="J301" s="200" t="str">
        <f aca="false">IF($A302="","",VLOOKUP($A301,Table,MATCH(J$4,Curves,0)))</f>
        <v/>
      </c>
      <c r="K301" s="201" t="str">
        <f aca="false">IF(A302="","",J301)</f>
        <v/>
      </c>
      <c r="L301" s="185" t="n">
        <v>0</v>
      </c>
      <c r="M301" s="201" t="str">
        <f aca="false">IF(A302="","",L301)</f>
        <v/>
      </c>
      <c r="N301" s="203"/>
      <c r="O301" s="200" t="str">
        <f aca="false">IF(A302="","",L301+J301+G301)</f>
        <v/>
      </c>
      <c r="P301" s="200" t="str">
        <f aca="false">IF(A302="","",M301+K301+H301)</f>
        <v/>
      </c>
      <c r="Q301" s="204"/>
      <c r="R301" s="200" t="str">
        <f aca="false">IF($A302="","",VLOOKUP($A301,Table,MATCH(R$4,Curves,0)))</f>
        <v/>
      </c>
      <c r="S301" s="201" t="str">
        <f aca="false">IF(A302="","",R301)</f>
        <v/>
      </c>
      <c r="T301" s="185" t="n">
        <v>0</v>
      </c>
      <c r="U301" s="201" t="str">
        <f aca="false">IF(A302="","",T301)</f>
        <v/>
      </c>
      <c r="V301" s="205"/>
      <c r="W301" s="202" t="str">
        <f aca="false">IF($A302="","",(T301+R301+G301+V301))</f>
        <v/>
      </c>
      <c r="X301" s="202" t="str">
        <f aca="false">IF($A302="","",(U301+S301+H301+V301))</f>
        <v/>
      </c>
      <c r="Y301" s="202"/>
      <c r="Z301" s="185" t="str">
        <f aca="false">IF($A302="","",VLOOKUP($A301,Table,MATCH(Z$4,Curves,0)))</f>
        <v/>
      </c>
      <c r="AA301" s="185" t="str">
        <f aca="false">IF($A302="","",VLOOKUP($A301,Table,MATCH(AA$4,Curves,0)))</f>
        <v/>
      </c>
      <c r="AB301" s="185" t="e">
        <f aca="false">SQRT((AA301^2*(A301-$D$3)+Z301^2*(DAY(EOMONTH(A301,0))/2))/AK301)</f>
        <v>#VALUE!</v>
      </c>
      <c r="AC301" s="185" t="str">
        <f aca="false">IF($A302="","",VLOOKUP($A301,Table,MATCH(AC$4,Curves,0)))</f>
        <v/>
      </c>
      <c r="AD301" s="185" t="str">
        <f aca="false">IF($A302="","",VLOOKUP($A301,Table,MATCH(AD$4,Curves,0)))</f>
        <v/>
      </c>
      <c r="AE301" s="185" t="e">
        <f aca="false">SQRT((AD301^2*(A301-$D$3)+AC301^2*(DAY(EOMONTH(A301,0))/2))/AK301)</f>
        <v>#VALUE!</v>
      </c>
      <c r="AF301" s="224" t="e">
        <f aca="false">((Summary!$N$13*(AA301*AD301)*(A301-$D$3))+(Summary!$M$13*Z301*AC301*(AJ301-EOMONTH(EDATE(A301,-1),0))))/(AK301*AB301*AE301)</f>
        <v>#VALUE!</v>
      </c>
      <c r="AG301" s="207" t="str">
        <f aca="false">IF($A302="","",Summary!$Q$13)</f>
        <v/>
      </c>
      <c r="AH301" s="207" t="str">
        <f aca="false">IF($A302="","",IF(Summary!$R$12="Y",(VLOOKUP($A301,Summary!$AD$6:$AF$9,3)+'Escalating commodity'!I314),'Escalating commodity'!I314))</f>
        <v/>
      </c>
      <c r="AI301" s="207" t="str">
        <f aca="false">IF($A302="","",AH301)</f>
        <v/>
      </c>
      <c r="AJ301" s="208" t="e">
        <f aca="false">A301+DAY(EOMONTH(A301,0))/2-1</f>
        <v>#VALUE!</v>
      </c>
      <c r="AK301" s="209" t="str">
        <f aca="false">IF($A302="","",$A301-$E$1)</f>
        <v/>
      </c>
      <c r="AL301" s="182" t="str">
        <f aca="false">IF($A302="","",SPRDOPT(P301,X301,AI301,0,AB301,AE301,AF301,AK301,$AJ$2,0))</f>
        <v/>
      </c>
      <c r="AM301" s="210" t="str">
        <f aca="false">IF($A302="","",MAX(0,O301-W301-AI301))</f>
        <v/>
      </c>
      <c r="AN301" s="211" t="str">
        <f aca="false">IF($A302="","",AL301-AM301)</f>
        <v/>
      </c>
      <c r="AO301" s="137" t="str">
        <f aca="false">IF(A302="","",A302-A301)</f>
        <v/>
      </c>
      <c r="AP301" s="212" t="str">
        <f aca="false">IF(A302="","",CHOOSE(F$3,A302+24,A301))</f>
        <v/>
      </c>
      <c r="AQ301" s="209" t="str">
        <f aca="false">IF(A302="","",AP301-$E$1)</f>
        <v/>
      </c>
      <c r="AR301" s="185" t="n">
        <f aca="false">'ANR OK vs ML7'!AR301</f>
        <v>0.1</v>
      </c>
      <c r="AS301" s="213" t="str">
        <f aca="false">IF(A302="","",1/(1+CHOOSE(F$3,(AR302+($I$3/10000))/2,(AR301+($I$3/10000))/2))^(2*AQ301/365.25))</f>
        <v/>
      </c>
      <c r="AT301" s="137" t="str">
        <f aca="false">IF(A302="","",IF(AND(mthbeg&lt;=A301,mthend&gt;=A301),1,0))</f>
        <v/>
      </c>
      <c r="AU301" s="137" t="str">
        <f aca="false">IF(A302="","",AO301*AT301)</f>
        <v/>
      </c>
      <c r="AW301" s="195" t="str">
        <f aca="false">IF($A302="","",AL301*$E301)</f>
        <v/>
      </c>
      <c r="AX301" s="195" t="str">
        <f aca="false">IF($A302="","",AM301*$E301)</f>
        <v/>
      </c>
      <c r="AY301" s="195" t="str">
        <f aca="false">IF($A302="","",AN301*$E301)</f>
        <v/>
      </c>
      <c r="BA301" s="195" t="str">
        <f aca="false">IF($A302="","",F301*Summary!$Q$13)</f>
        <v/>
      </c>
    </row>
    <row r="302" customFormat="false" ht="12" hidden="false" customHeight="true" outlineLevel="0" collapsed="false">
      <c r="A302" s="196" t="str">
        <f aca="false">IF(A301&lt;mthend,EDATE(A301,1),"")</f>
        <v/>
      </c>
      <c r="B302" s="197" t="str">
        <f aca="false">IF(A302&lt;mthend,B301,"")</f>
        <v/>
      </c>
      <c r="C302" s="215"/>
      <c r="D302" s="197" t="str">
        <f aca="false">IF(A303&lt;&gt;"",B302+C302,"")</f>
        <v/>
      </c>
      <c r="E302" s="199" t="str">
        <f aca="false">IF(A303="","",IF(AND(AT302=1,$H$3=1),D302*AO302,IF($H$3=2,D302,"N/A")))</f>
        <v/>
      </c>
      <c r="F302" s="199" t="str">
        <f aca="false">IF(A303="","",E302*AS302)</f>
        <v/>
      </c>
      <c r="G302" s="200" t="str">
        <f aca="false">IF($A303="","",VLOOKUP($A302,Table,MATCH(G$4,Curves,0)))</f>
        <v/>
      </c>
      <c r="H302" s="201" t="str">
        <f aca="false">IF(A303="","",G302)</f>
        <v/>
      </c>
      <c r="I302" s="202"/>
      <c r="J302" s="200" t="str">
        <f aca="false">IF($A303="","",VLOOKUP($A302,Table,MATCH(J$4,Curves,0)))</f>
        <v/>
      </c>
      <c r="K302" s="201" t="str">
        <f aca="false">IF(A303="","",J302)</f>
        <v/>
      </c>
      <c r="L302" s="185" t="n">
        <v>0</v>
      </c>
      <c r="M302" s="201" t="str">
        <f aca="false">IF(A303="","",L302)</f>
        <v/>
      </c>
      <c r="N302" s="203"/>
      <c r="O302" s="200" t="str">
        <f aca="false">IF(A303="","",L302+J302+G302)</f>
        <v/>
      </c>
      <c r="P302" s="200" t="str">
        <f aca="false">IF(A303="","",M302+K302+H302)</f>
        <v/>
      </c>
      <c r="Q302" s="204"/>
      <c r="R302" s="200" t="str">
        <f aca="false">IF($A303="","",VLOOKUP($A302,Table,MATCH(R$4,Curves,0)))</f>
        <v/>
      </c>
      <c r="S302" s="201" t="str">
        <f aca="false">IF(A303="","",R302)</f>
        <v/>
      </c>
      <c r="T302" s="185" t="n">
        <v>0</v>
      </c>
      <c r="U302" s="201" t="str">
        <f aca="false">IF(A303="","",T302)</f>
        <v/>
      </c>
      <c r="V302" s="205"/>
      <c r="W302" s="202" t="str">
        <f aca="false">IF($A303="","",(T302+R302+G302+V302))</f>
        <v/>
      </c>
      <c r="X302" s="202" t="str">
        <f aca="false">IF($A303="","",(U302+S302+H302+V302))</f>
        <v/>
      </c>
      <c r="Y302" s="202"/>
      <c r="Z302" s="185" t="str">
        <f aca="false">IF($A303="","",VLOOKUP($A302,Table,MATCH(Z$4,Curves,0)))</f>
        <v/>
      </c>
      <c r="AA302" s="185" t="str">
        <f aca="false">IF($A303="","",VLOOKUP($A302,Table,MATCH(AA$4,Curves,0)))</f>
        <v/>
      </c>
      <c r="AB302" s="185" t="e">
        <f aca="false">SQRT((AA302^2*(A302-$D$3)+Z302^2*(DAY(EOMONTH(A302,0))/2))/AK302)</f>
        <v>#VALUE!</v>
      </c>
      <c r="AC302" s="185" t="str">
        <f aca="false">IF($A303="","",VLOOKUP($A302,Table,MATCH(AC$4,Curves,0)))</f>
        <v/>
      </c>
      <c r="AD302" s="185" t="str">
        <f aca="false">IF($A303="","",VLOOKUP($A302,Table,MATCH(AD$4,Curves,0)))</f>
        <v/>
      </c>
      <c r="AE302" s="185" t="e">
        <f aca="false">SQRT((AD302^2*(A302-$D$3)+AC302^2*(DAY(EOMONTH(A302,0))/2))/AK302)</f>
        <v>#VALUE!</v>
      </c>
      <c r="AF302" s="224" t="e">
        <f aca="false">((Summary!$N$13*(AA302*AD302)*(A302-$D$3))+(Summary!$M$13*Z302*AC302*(AJ302-EOMONTH(EDATE(A302,-1),0))))/(AK302*AB302*AE302)</f>
        <v>#VALUE!</v>
      </c>
      <c r="AG302" s="207" t="str">
        <f aca="false">IF($A303="","",Summary!$Q$13)</f>
        <v/>
      </c>
      <c r="AH302" s="207" t="str">
        <f aca="false">IF($A303="","",IF(Summary!$R$12="Y",(VLOOKUP($A302,Summary!$AD$6:$AF$9,3)+'Escalating commodity'!I315),'Escalating commodity'!I315))</f>
        <v/>
      </c>
      <c r="AI302" s="207" t="str">
        <f aca="false">IF($A303="","",AH302)</f>
        <v/>
      </c>
      <c r="AJ302" s="208" t="e">
        <f aca="false">A302+DAY(EOMONTH(A302,0))/2-1</f>
        <v>#VALUE!</v>
      </c>
      <c r="AK302" s="209" t="str">
        <f aca="false">IF($A303="","",$A302-$E$1)</f>
        <v/>
      </c>
      <c r="AL302" s="182" t="str">
        <f aca="false">IF($A303="","",SPRDOPT(P302,X302,AI302,0,AB302,AE302,AF302,AK302,$AJ$2,0))</f>
        <v/>
      </c>
      <c r="AM302" s="210" t="str">
        <f aca="false">IF($A303="","",MAX(0,O302-W302-AI302))</f>
        <v/>
      </c>
      <c r="AN302" s="211" t="str">
        <f aca="false">IF($A303="","",AL302-AM302)</f>
        <v/>
      </c>
      <c r="AO302" s="137" t="str">
        <f aca="false">IF(A303="","",A303-A302)</f>
        <v/>
      </c>
      <c r="AP302" s="212" t="str">
        <f aca="false">IF(A303="","",CHOOSE(F$3,A303+24,A302))</f>
        <v/>
      </c>
      <c r="AQ302" s="209" t="str">
        <f aca="false">IF(A303="","",AP302-$E$1)</f>
        <v/>
      </c>
      <c r="AR302" s="185" t="n">
        <f aca="false">'ANR OK vs ML7'!AR302</f>
        <v>0.1</v>
      </c>
      <c r="AS302" s="213" t="str">
        <f aca="false">IF(A303="","",1/(1+CHOOSE(F$3,(AR303+($I$3/10000))/2,(AR302+($I$3/10000))/2))^(2*AQ302/365.25))</f>
        <v/>
      </c>
      <c r="AT302" s="137" t="str">
        <f aca="false">IF(A303="","",IF(AND(mthbeg&lt;=A302,mthend&gt;=A302),1,0))</f>
        <v/>
      </c>
      <c r="AU302" s="137" t="str">
        <f aca="false">IF(A303="","",AO302*AT302)</f>
        <v/>
      </c>
      <c r="AW302" s="195" t="str">
        <f aca="false">IF($A303="","",AL302*$E302)</f>
        <v/>
      </c>
      <c r="AX302" s="195" t="str">
        <f aca="false">IF($A303="","",AM302*$E302)</f>
        <v/>
      </c>
      <c r="AY302" s="195" t="str">
        <f aca="false">IF($A303="","",AN302*$E302)</f>
        <v/>
      </c>
      <c r="BA302" s="195" t="str">
        <f aca="false">IF($A303="","",F302*Summary!$Q$13)</f>
        <v/>
      </c>
    </row>
    <row r="303" customFormat="false" ht="12" hidden="false" customHeight="true" outlineLevel="0" collapsed="false">
      <c r="A303" s="196" t="str">
        <f aca="false">IF(A302&lt;mthend,EDATE(A302,1),"")</f>
        <v/>
      </c>
      <c r="B303" s="197" t="str">
        <f aca="false">IF(A303&lt;mthend,B302,"")</f>
        <v/>
      </c>
      <c r="C303" s="215"/>
      <c r="D303" s="197" t="str">
        <f aca="false">IF(A304&lt;&gt;"",B303+C303,"")</f>
        <v/>
      </c>
      <c r="E303" s="199" t="str">
        <f aca="false">IF(A304="","",IF(AND(AT303=1,$H$3=1),D303*AO303,IF($H$3=2,D303,"N/A")))</f>
        <v/>
      </c>
      <c r="F303" s="199" t="str">
        <f aca="false">IF(A304="","",E303*AS303)</f>
        <v/>
      </c>
      <c r="G303" s="200" t="str">
        <f aca="false">IF($A304="","",VLOOKUP($A303,Table,MATCH(G$4,Curves,0)))</f>
        <v/>
      </c>
      <c r="H303" s="201" t="str">
        <f aca="false">IF(A304="","",G303)</f>
        <v/>
      </c>
      <c r="I303" s="202"/>
      <c r="J303" s="200" t="str">
        <f aca="false">IF($A304="","",VLOOKUP($A303,Table,MATCH(J$4,Curves,0)))</f>
        <v/>
      </c>
      <c r="K303" s="201" t="str">
        <f aca="false">IF(A304="","",J303)</f>
        <v/>
      </c>
      <c r="L303" s="185" t="n">
        <v>0</v>
      </c>
      <c r="M303" s="201" t="str">
        <f aca="false">IF(A304="","",L303)</f>
        <v/>
      </c>
      <c r="N303" s="203"/>
      <c r="O303" s="200" t="str">
        <f aca="false">IF(A304="","",L303+J303+G303)</f>
        <v/>
      </c>
      <c r="P303" s="200" t="str">
        <f aca="false">IF(A304="","",M303+K303+H303)</f>
        <v/>
      </c>
      <c r="Q303" s="204"/>
      <c r="R303" s="200" t="str">
        <f aca="false">IF($A304="","",VLOOKUP($A303,Table,MATCH(R$4,Curves,0)))</f>
        <v/>
      </c>
      <c r="S303" s="201" t="str">
        <f aca="false">IF(A304="","",R303)</f>
        <v/>
      </c>
      <c r="T303" s="185" t="n">
        <v>0</v>
      </c>
      <c r="U303" s="201" t="str">
        <f aca="false">IF(A304="","",T303)</f>
        <v/>
      </c>
      <c r="V303" s="205"/>
      <c r="W303" s="202" t="str">
        <f aca="false">IF($A304="","",(T303+R303+G303+V303))</f>
        <v/>
      </c>
      <c r="X303" s="202" t="str">
        <f aca="false">IF($A304="","",(U303+S303+H303+V303))</f>
        <v/>
      </c>
      <c r="Y303" s="202"/>
      <c r="Z303" s="185" t="str">
        <f aca="false">IF($A304="","",VLOOKUP($A303,Table,MATCH(Z$4,Curves,0)))</f>
        <v/>
      </c>
      <c r="AA303" s="185" t="str">
        <f aca="false">IF($A304="","",VLOOKUP($A303,Table,MATCH(AA$4,Curves,0)))</f>
        <v/>
      </c>
      <c r="AB303" s="185" t="e">
        <f aca="false">SQRT((AA303^2*(A303-$D$3)+Z303^2*(DAY(EOMONTH(A303,0))/2))/AK303)</f>
        <v>#VALUE!</v>
      </c>
      <c r="AC303" s="185" t="str">
        <f aca="false">IF($A304="","",VLOOKUP($A303,Table,MATCH(AC$4,Curves,0)))</f>
        <v/>
      </c>
      <c r="AD303" s="185" t="str">
        <f aca="false">IF($A304="","",VLOOKUP($A303,Table,MATCH(AD$4,Curves,0)))</f>
        <v/>
      </c>
      <c r="AE303" s="185" t="e">
        <f aca="false">SQRT((AD303^2*(A303-$D$3)+AC303^2*(DAY(EOMONTH(A303,0))/2))/AK303)</f>
        <v>#VALUE!</v>
      </c>
      <c r="AF303" s="224" t="e">
        <f aca="false">((Summary!$N$13*(AA303*AD303)*(A303-$D$3))+(Summary!$M$13*Z303*AC303*(AJ303-EOMONTH(EDATE(A303,-1),0))))/(AK303*AB303*AE303)</f>
        <v>#VALUE!</v>
      </c>
      <c r="AG303" s="207" t="str">
        <f aca="false">IF($A304="","",Summary!$Q$13)</f>
        <v/>
      </c>
      <c r="AH303" s="207" t="str">
        <f aca="false">IF($A304="","",IF(Summary!$R$12="Y",(VLOOKUP($A303,Summary!$AD$6:$AF$9,3)+'Escalating commodity'!I316),'Escalating commodity'!I316))</f>
        <v/>
      </c>
      <c r="AI303" s="207" t="str">
        <f aca="false">IF($A304="","",AH303)</f>
        <v/>
      </c>
      <c r="AJ303" s="208" t="e">
        <f aca="false">A303+DAY(EOMONTH(A303,0))/2-1</f>
        <v>#VALUE!</v>
      </c>
      <c r="AK303" s="209" t="str">
        <f aca="false">IF($A304="","",$A303-$E$1)</f>
        <v/>
      </c>
      <c r="AL303" s="182" t="str">
        <f aca="false">IF($A304="","",SPRDOPT(P303,X303,AI303,0,AB303,AE303,AF303,AK303,$AJ$2,0))</f>
        <v/>
      </c>
      <c r="AM303" s="210" t="str">
        <f aca="false">IF($A304="","",MAX(0,O303-W303-AI303))</f>
        <v/>
      </c>
      <c r="AN303" s="211" t="str">
        <f aca="false">IF($A304="","",AL303-AM303)</f>
        <v/>
      </c>
      <c r="AO303" s="137" t="str">
        <f aca="false">IF(A304="","",A304-A303)</f>
        <v/>
      </c>
      <c r="AP303" s="212" t="str">
        <f aca="false">IF(A304="","",CHOOSE(F$3,A304+24,A303))</f>
        <v/>
      </c>
      <c r="AQ303" s="209" t="str">
        <f aca="false">IF(A304="","",AP303-$E$1)</f>
        <v/>
      </c>
      <c r="AR303" s="185" t="n">
        <f aca="false">'ANR OK vs ML7'!AR303</f>
        <v>0.1</v>
      </c>
      <c r="AS303" s="213" t="str">
        <f aca="false">IF(A304="","",1/(1+CHOOSE(F$3,(AR304+($I$3/10000))/2,(AR303+($I$3/10000))/2))^(2*AQ303/365.25))</f>
        <v/>
      </c>
      <c r="AT303" s="137" t="str">
        <f aca="false">IF(A304="","",IF(AND(mthbeg&lt;=A303,mthend&gt;=A303),1,0))</f>
        <v/>
      </c>
      <c r="AU303" s="137" t="str">
        <f aca="false">IF(A304="","",AO303*AT303)</f>
        <v/>
      </c>
      <c r="AW303" s="195" t="str">
        <f aca="false">IF($A304="","",AL303*$E303)</f>
        <v/>
      </c>
      <c r="AX303" s="195" t="str">
        <f aca="false">IF($A304="","",AM303*$E303)</f>
        <v/>
      </c>
      <c r="AY303" s="195" t="str">
        <f aca="false">IF($A304="","",AN303*$E303)</f>
        <v/>
      </c>
      <c r="BA303" s="195" t="str">
        <f aca="false">IF($A304="","",F303*Summary!$Q$13)</f>
        <v/>
      </c>
    </row>
    <row r="304" customFormat="false" ht="12" hidden="false" customHeight="true" outlineLevel="0" collapsed="false">
      <c r="A304" s="196" t="str">
        <f aca="false">IF(A303&lt;mthend,EDATE(A303,1),"")</f>
        <v/>
      </c>
      <c r="B304" s="197" t="str">
        <f aca="false">IF(A304&lt;mthend,B303,"")</f>
        <v/>
      </c>
      <c r="C304" s="215"/>
      <c r="D304" s="197" t="str">
        <f aca="false">IF(A305&lt;&gt;"",B304+C304,"")</f>
        <v/>
      </c>
      <c r="E304" s="199" t="str">
        <f aca="false">IF(A305="","",IF(AND(AT304=1,$H$3=1),D304*AO304,IF($H$3=2,D304,"N/A")))</f>
        <v/>
      </c>
      <c r="F304" s="199" t="str">
        <f aca="false">IF(A305="","",E304*AS304)</f>
        <v/>
      </c>
      <c r="G304" s="200" t="str">
        <f aca="false">IF($A305="","",VLOOKUP($A304,Table,MATCH(G$4,Curves,0)))</f>
        <v/>
      </c>
      <c r="H304" s="201" t="str">
        <f aca="false">IF(A305="","",G304)</f>
        <v/>
      </c>
      <c r="I304" s="202"/>
      <c r="J304" s="200" t="str">
        <f aca="false">IF($A305="","",VLOOKUP($A304,Table,MATCH(J$4,Curves,0)))</f>
        <v/>
      </c>
      <c r="K304" s="201" t="str">
        <f aca="false">IF(A305="","",J304)</f>
        <v/>
      </c>
      <c r="L304" s="185" t="n">
        <v>0</v>
      </c>
      <c r="M304" s="201" t="str">
        <f aca="false">IF(A305="","",L304)</f>
        <v/>
      </c>
      <c r="N304" s="203"/>
      <c r="O304" s="200" t="str">
        <f aca="false">IF(A305="","",L304+J304+G304)</f>
        <v/>
      </c>
      <c r="P304" s="200" t="str">
        <f aca="false">IF(A305="","",M304+K304+H304)</f>
        <v/>
      </c>
      <c r="Q304" s="204"/>
      <c r="R304" s="200" t="str">
        <f aca="false">IF($A305="","",VLOOKUP($A304,Table,MATCH(R$4,Curves,0)))</f>
        <v/>
      </c>
      <c r="S304" s="201" t="str">
        <f aca="false">IF(A305="","",R304)</f>
        <v/>
      </c>
      <c r="T304" s="185" t="n">
        <v>0</v>
      </c>
      <c r="U304" s="201" t="str">
        <f aca="false">IF(A305="","",T304)</f>
        <v/>
      </c>
      <c r="V304" s="205"/>
      <c r="W304" s="202" t="str">
        <f aca="false">IF($A305="","",(T304+R304+G304+V304))</f>
        <v/>
      </c>
      <c r="X304" s="202" t="str">
        <f aca="false">IF($A305="","",(U304+S304+H304+V304))</f>
        <v/>
      </c>
      <c r="Y304" s="202"/>
      <c r="Z304" s="185" t="str">
        <f aca="false">IF($A305="","",VLOOKUP($A304,Table,MATCH(Z$4,Curves,0)))</f>
        <v/>
      </c>
      <c r="AA304" s="185" t="str">
        <f aca="false">IF($A305="","",VLOOKUP($A304,Table,MATCH(AA$4,Curves,0)))</f>
        <v/>
      </c>
      <c r="AB304" s="185" t="e">
        <f aca="false">SQRT((AA304^2*(A304-$D$3)+Z304^2*(DAY(EOMONTH(A304,0))/2))/AK304)</f>
        <v>#VALUE!</v>
      </c>
      <c r="AC304" s="185" t="str">
        <f aca="false">IF($A305="","",VLOOKUP($A304,Table,MATCH(AC$4,Curves,0)))</f>
        <v/>
      </c>
      <c r="AD304" s="185" t="str">
        <f aca="false">IF($A305="","",VLOOKUP($A304,Table,MATCH(AD$4,Curves,0)))</f>
        <v/>
      </c>
      <c r="AE304" s="185" t="e">
        <f aca="false">SQRT((AD304^2*(A304-$D$3)+AC304^2*(DAY(EOMONTH(A304,0))/2))/AK304)</f>
        <v>#VALUE!</v>
      </c>
      <c r="AF304" s="224" t="e">
        <f aca="false">((Summary!$N$13*(AA304*AD304)*(A304-$D$3))+(Summary!$M$13*Z304*AC304*(AJ304-EOMONTH(EDATE(A304,-1),0))))/(AK304*AB304*AE304)</f>
        <v>#VALUE!</v>
      </c>
      <c r="AG304" s="207" t="str">
        <f aca="false">IF($A305="","",Summary!$Q$13)</f>
        <v/>
      </c>
      <c r="AH304" s="207" t="str">
        <f aca="false">IF($A305="","",IF(Summary!$R$12="Y",(VLOOKUP($A304,Summary!$AD$6:$AF$9,3)+'Escalating commodity'!I317),'Escalating commodity'!I317))</f>
        <v/>
      </c>
      <c r="AI304" s="207" t="str">
        <f aca="false">IF($A305="","",AH304)</f>
        <v/>
      </c>
      <c r="AJ304" s="208" t="e">
        <f aca="false">A304+DAY(EOMONTH(A304,0))/2-1</f>
        <v>#VALUE!</v>
      </c>
      <c r="AK304" s="209" t="str">
        <f aca="false">IF($A305="","",$A304-$E$1)</f>
        <v/>
      </c>
      <c r="AL304" s="182" t="str">
        <f aca="false">IF($A305="","",SPRDOPT(P304,X304,AI304,0,AB304,AE304,AF304,AK304,$AJ$2,0))</f>
        <v/>
      </c>
      <c r="AM304" s="210" t="str">
        <f aca="false">IF($A305="","",MAX(0,O304-W304-AI304))</f>
        <v/>
      </c>
      <c r="AN304" s="211" t="str">
        <f aca="false">IF($A305="","",AL304-AM304)</f>
        <v/>
      </c>
      <c r="AO304" s="137" t="str">
        <f aca="false">IF(A305="","",A305-A304)</f>
        <v/>
      </c>
      <c r="AP304" s="212" t="str">
        <f aca="false">IF(A305="","",CHOOSE(F$3,A305+24,A304))</f>
        <v/>
      </c>
      <c r="AQ304" s="209" t="str">
        <f aca="false">IF(A305="","",AP304-$E$1)</f>
        <v/>
      </c>
      <c r="AR304" s="185" t="n">
        <f aca="false">'ANR OK vs ML7'!AR304</f>
        <v>0.1</v>
      </c>
      <c r="AS304" s="213" t="str">
        <f aca="false">IF(A305="","",1/(1+CHOOSE(F$3,(AR305+($I$3/10000))/2,(AR304+($I$3/10000))/2))^(2*AQ304/365.25))</f>
        <v/>
      </c>
      <c r="AT304" s="137" t="str">
        <f aca="false">IF(A305="","",IF(AND(mthbeg&lt;=A304,mthend&gt;=A304),1,0))</f>
        <v/>
      </c>
      <c r="AU304" s="137" t="str">
        <f aca="false">IF(A305="","",AO304*AT304)</f>
        <v/>
      </c>
      <c r="AW304" s="195" t="str">
        <f aca="false">IF($A305="","",AL304*$E304)</f>
        <v/>
      </c>
      <c r="AX304" s="195" t="str">
        <f aca="false">IF($A305="","",AM304*$E304)</f>
        <v/>
      </c>
      <c r="AY304" s="195" t="str">
        <f aca="false">IF($A305="","",AN304*$E304)</f>
        <v/>
      </c>
      <c r="BA304" s="195" t="str">
        <f aca="false">IF($A305="","",F304*Summary!$Q$13)</f>
        <v/>
      </c>
    </row>
    <row r="305" customFormat="false" ht="12" hidden="false" customHeight="true" outlineLevel="0" collapsed="false">
      <c r="A305" s="196" t="str">
        <f aca="false">IF(A304&lt;mthend,EDATE(A304,1),"")</f>
        <v/>
      </c>
      <c r="B305" s="197" t="str">
        <f aca="false">IF(A305&lt;mthend,B304,"")</f>
        <v/>
      </c>
      <c r="C305" s="215"/>
      <c r="D305" s="197" t="str">
        <f aca="false">IF(A306&lt;&gt;"",B305+C305,"")</f>
        <v/>
      </c>
      <c r="E305" s="199" t="str">
        <f aca="false">IF(A306="","",IF(AND(AT305=1,$H$3=1),D305*AO305,IF($H$3=2,D305,"N/A")))</f>
        <v/>
      </c>
      <c r="F305" s="199" t="str">
        <f aca="false">IF(A306="","",E305*AS305)</f>
        <v/>
      </c>
      <c r="G305" s="200" t="str">
        <f aca="false">IF($A306="","",VLOOKUP($A305,Table,MATCH(G$4,Curves,0)))</f>
        <v/>
      </c>
      <c r="H305" s="201" t="str">
        <f aca="false">IF(A306="","",G305)</f>
        <v/>
      </c>
      <c r="I305" s="202"/>
      <c r="J305" s="200" t="str">
        <f aca="false">IF($A306="","",VLOOKUP($A305,Table,MATCH(J$4,Curves,0)))</f>
        <v/>
      </c>
      <c r="K305" s="201" t="str">
        <f aca="false">IF(A306="","",J305)</f>
        <v/>
      </c>
      <c r="L305" s="185" t="n">
        <v>0</v>
      </c>
      <c r="M305" s="201" t="str">
        <f aca="false">IF(A306="","",L305)</f>
        <v/>
      </c>
      <c r="N305" s="203"/>
      <c r="O305" s="200" t="str">
        <f aca="false">IF(A306="","",L305+J305+G305)</f>
        <v/>
      </c>
      <c r="P305" s="200" t="str">
        <f aca="false">IF(A306="","",M305+K305+H305)</f>
        <v/>
      </c>
      <c r="Q305" s="204"/>
      <c r="R305" s="200" t="str">
        <f aca="false">IF($A306="","",VLOOKUP($A305,Table,MATCH(R$4,Curves,0)))</f>
        <v/>
      </c>
      <c r="S305" s="201" t="str">
        <f aca="false">IF(A306="","",R305)</f>
        <v/>
      </c>
      <c r="T305" s="185" t="n">
        <v>0</v>
      </c>
      <c r="U305" s="201" t="str">
        <f aca="false">IF(A306="","",T305)</f>
        <v/>
      </c>
      <c r="V305" s="205"/>
      <c r="W305" s="202" t="str">
        <f aca="false">IF($A306="","",(T305+R305+G305+V305))</f>
        <v/>
      </c>
      <c r="X305" s="202" t="str">
        <f aca="false">IF($A306="","",(U305+S305+H305+V305))</f>
        <v/>
      </c>
      <c r="Y305" s="202"/>
      <c r="Z305" s="185" t="str">
        <f aca="false">IF($A306="","",VLOOKUP($A305,Table,MATCH(Z$4,Curves,0)))</f>
        <v/>
      </c>
      <c r="AA305" s="185" t="str">
        <f aca="false">IF($A306="","",VLOOKUP($A305,Table,MATCH(AA$4,Curves,0)))</f>
        <v/>
      </c>
      <c r="AB305" s="185" t="e">
        <f aca="false">SQRT((AA305^2*(A305-$D$3)+Z305^2*(DAY(EOMONTH(A305,0))/2))/AK305)</f>
        <v>#VALUE!</v>
      </c>
      <c r="AC305" s="185" t="str">
        <f aca="false">IF($A306="","",VLOOKUP($A305,Table,MATCH(AC$4,Curves,0)))</f>
        <v/>
      </c>
      <c r="AD305" s="185" t="str">
        <f aca="false">IF($A306="","",VLOOKUP($A305,Table,MATCH(AD$4,Curves,0)))</f>
        <v/>
      </c>
      <c r="AE305" s="185" t="e">
        <f aca="false">SQRT((AD305^2*(A305-$D$3)+AC305^2*(DAY(EOMONTH(A305,0))/2))/AK305)</f>
        <v>#VALUE!</v>
      </c>
      <c r="AF305" s="224" t="e">
        <f aca="false">((Summary!$N$13*(AA305*AD305)*(A305-$D$3))+(Summary!$M$13*Z305*AC305*(AJ305-EOMONTH(EDATE(A305,-1),0))))/(AK305*AB305*AE305)</f>
        <v>#VALUE!</v>
      </c>
      <c r="AG305" s="207" t="str">
        <f aca="false">IF($A306="","",Summary!$Q$13)</f>
        <v/>
      </c>
      <c r="AH305" s="207" t="str">
        <f aca="false">IF($A306="","",IF(Summary!$R$12="Y",(VLOOKUP($A305,Summary!$AD$6:$AF$9,3)+'Escalating commodity'!I318),'Escalating commodity'!I318))</f>
        <v/>
      </c>
      <c r="AI305" s="207" t="str">
        <f aca="false">IF($A306="","",AH305)</f>
        <v/>
      </c>
      <c r="AJ305" s="208" t="e">
        <f aca="false">A305+DAY(EOMONTH(A305,0))/2-1</f>
        <v>#VALUE!</v>
      </c>
      <c r="AK305" s="209" t="str">
        <f aca="false">IF($A306="","",$A305-$E$1)</f>
        <v/>
      </c>
      <c r="AL305" s="182" t="str">
        <f aca="false">IF($A306="","",SPRDOPT(P305,X305,AI305,0,AB305,AE305,AF305,AK305,$AJ$2,0))</f>
        <v/>
      </c>
      <c r="AM305" s="210" t="str">
        <f aca="false">IF($A306="","",MAX(0,O305-W305-AI305))</f>
        <v/>
      </c>
      <c r="AN305" s="211" t="str">
        <f aca="false">IF($A306="","",AL305-AM305)</f>
        <v/>
      </c>
      <c r="AO305" s="137" t="str">
        <f aca="false">IF(A306="","",A306-A305)</f>
        <v/>
      </c>
      <c r="AP305" s="212" t="str">
        <f aca="false">IF(A306="","",CHOOSE(F$3,A306+24,A305))</f>
        <v/>
      </c>
      <c r="AQ305" s="209" t="str">
        <f aca="false">IF(A306="","",AP305-$E$1)</f>
        <v/>
      </c>
      <c r="AR305" s="185" t="n">
        <f aca="false">'ANR OK vs ML7'!AR305</f>
        <v>0.1</v>
      </c>
      <c r="AS305" s="213" t="str">
        <f aca="false">IF(A306="","",1/(1+CHOOSE(F$3,(AR306+($I$3/10000))/2,(AR305+($I$3/10000))/2))^(2*AQ305/365.25))</f>
        <v/>
      </c>
      <c r="AT305" s="137" t="str">
        <f aca="false">IF(A306="","",IF(AND(mthbeg&lt;=A305,mthend&gt;=A305),1,0))</f>
        <v/>
      </c>
      <c r="AU305" s="137" t="str">
        <f aca="false">IF(A306="","",AO305*AT305)</f>
        <v/>
      </c>
      <c r="AW305" s="195" t="str">
        <f aca="false">IF($A306="","",AL305*$E305)</f>
        <v/>
      </c>
      <c r="AX305" s="195" t="str">
        <f aca="false">IF($A306="","",AM305*$E305)</f>
        <v/>
      </c>
      <c r="AY305" s="195" t="str">
        <f aca="false">IF($A306="","",AN305*$E305)</f>
        <v/>
      </c>
      <c r="BA305" s="195" t="str">
        <f aca="false">IF($A306="","",F305*Summary!$Q$13)</f>
        <v/>
      </c>
    </row>
    <row r="306" customFormat="false" ht="12" hidden="false" customHeight="true" outlineLevel="0" collapsed="false">
      <c r="A306" s="196" t="str">
        <f aca="false">IF(A305&lt;mthend,EDATE(A305,1),"")</f>
        <v/>
      </c>
      <c r="B306" s="197" t="str">
        <f aca="false">IF(A306&lt;mthend,B305,"")</f>
        <v/>
      </c>
      <c r="C306" s="215"/>
      <c r="D306" s="197" t="str">
        <f aca="false">IF(A307&lt;&gt;"",B306+C306,"")</f>
        <v/>
      </c>
      <c r="E306" s="199" t="str">
        <f aca="false">IF(A307="","",IF(AND(AT306=1,$H$3=1),D306*AO306,IF($H$3=2,D306,"N/A")))</f>
        <v/>
      </c>
      <c r="F306" s="199" t="str">
        <f aca="false">IF(A307="","",E306*AS306)</f>
        <v/>
      </c>
      <c r="G306" s="200" t="str">
        <f aca="false">IF($A307="","",VLOOKUP($A306,Table,MATCH(G$4,Curves,0)))</f>
        <v/>
      </c>
      <c r="H306" s="201" t="str">
        <f aca="false">IF(A307="","",G306)</f>
        <v/>
      </c>
      <c r="I306" s="202"/>
      <c r="J306" s="200" t="str">
        <f aca="false">IF($A307="","",VLOOKUP($A306,Table,MATCH(J$4,Curves,0)))</f>
        <v/>
      </c>
      <c r="K306" s="201" t="str">
        <f aca="false">IF(A307="","",J306)</f>
        <v/>
      </c>
      <c r="L306" s="185" t="n">
        <v>0</v>
      </c>
      <c r="M306" s="201" t="str">
        <f aca="false">IF(A307="","",L306)</f>
        <v/>
      </c>
      <c r="N306" s="203"/>
      <c r="O306" s="200" t="str">
        <f aca="false">IF(A307="","",L306+J306+G306)</f>
        <v/>
      </c>
      <c r="P306" s="200" t="str">
        <f aca="false">IF(A307="","",M306+K306+H306)</f>
        <v/>
      </c>
      <c r="Q306" s="204"/>
      <c r="R306" s="200" t="str">
        <f aca="false">IF($A307="","",VLOOKUP($A306,Table,MATCH(R$4,Curves,0)))</f>
        <v/>
      </c>
      <c r="S306" s="201" t="str">
        <f aca="false">IF(A307="","",R306)</f>
        <v/>
      </c>
      <c r="T306" s="185" t="n">
        <v>0</v>
      </c>
      <c r="U306" s="201" t="str">
        <f aca="false">IF(A307="","",T306)</f>
        <v/>
      </c>
      <c r="V306" s="205"/>
      <c r="W306" s="202" t="str">
        <f aca="false">IF($A307="","",(T306+R306+G306+V306))</f>
        <v/>
      </c>
      <c r="X306" s="202" t="str">
        <f aca="false">IF($A307="","",(U306+S306+H306+V306))</f>
        <v/>
      </c>
      <c r="Y306" s="202"/>
      <c r="Z306" s="185" t="str">
        <f aca="false">IF($A307="","",VLOOKUP($A306,Table,MATCH(Z$4,Curves,0)))</f>
        <v/>
      </c>
      <c r="AA306" s="185" t="str">
        <f aca="false">IF($A307="","",VLOOKUP($A306,Table,MATCH(AA$4,Curves,0)))</f>
        <v/>
      </c>
      <c r="AB306" s="185" t="e">
        <f aca="false">SQRT((AA306^2*(A306-$D$3)+Z306^2*(DAY(EOMONTH(A306,0))/2))/AK306)</f>
        <v>#VALUE!</v>
      </c>
      <c r="AC306" s="185" t="str">
        <f aca="false">IF($A307="","",VLOOKUP($A306,Table,MATCH(AC$4,Curves,0)))</f>
        <v/>
      </c>
      <c r="AD306" s="185" t="str">
        <f aca="false">IF($A307="","",VLOOKUP($A306,Table,MATCH(AD$4,Curves,0)))</f>
        <v/>
      </c>
      <c r="AE306" s="185" t="e">
        <f aca="false">SQRT((AD306^2*(A306-$D$3)+AC306^2*(DAY(EOMONTH(A306,0))/2))/AK306)</f>
        <v>#VALUE!</v>
      </c>
      <c r="AF306" s="224" t="e">
        <f aca="false">((Summary!$N$13*(AA306*AD306)*(A306-$D$3))+(Summary!$M$13*Z306*AC306*(AJ306-EOMONTH(EDATE(A306,-1),0))))/(AK306*AB306*AE306)</f>
        <v>#VALUE!</v>
      </c>
      <c r="AG306" s="207" t="str">
        <f aca="false">IF($A307="","",Summary!$Q$13)</f>
        <v/>
      </c>
      <c r="AH306" s="207" t="str">
        <f aca="false">IF($A307="","",IF(Summary!$R$12="Y",(VLOOKUP($A306,Summary!$AD$6:$AF$9,3)+'Escalating commodity'!I319),'Escalating commodity'!I319))</f>
        <v/>
      </c>
      <c r="AI306" s="207" t="str">
        <f aca="false">IF($A307="","",AH306)</f>
        <v/>
      </c>
      <c r="AJ306" s="208" t="e">
        <f aca="false">A306+DAY(EOMONTH(A306,0))/2-1</f>
        <v>#VALUE!</v>
      </c>
      <c r="AK306" s="209" t="str">
        <f aca="false">IF($A307="","",$A306-$E$1)</f>
        <v/>
      </c>
      <c r="AL306" s="182" t="str">
        <f aca="false">IF($A307="","",SPRDOPT(P306,X306,AI306,0,AB306,AE306,AF306,AK306,$AJ$2,0))</f>
        <v/>
      </c>
      <c r="AM306" s="210" t="str">
        <f aca="false">IF($A307="","",MAX(0,O306-W306-AI306))</f>
        <v/>
      </c>
      <c r="AN306" s="211" t="str">
        <f aca="false">IF($A307="","",AL306-AM306)</f>
        <v/>
      </c>
      <c r="AO306" s="137" t="str">
        <f aca="false">IF(A307="","",A307-A306)</f>
        <v/>
      </c>
      <c r="AP306" s="212" t="str">
        <f aca="false">IF(A307="","",CHOOSE(F$3,A307+24,A306))</f>
        <v/>
      </c>
      <c r="AQ306" s="209" t="str">
        <f aca="false">IF(A307="","",AP306-$E$1)</f>
        <v/>
      </c>
      <c r="AR306" s="185" t="n">
        <f aca="false">'ANR OK vs ML7'!AR306</f>
        <v>0.1</v>
      </c>
      <c r="AS306" s="213" t="str">
        <f aca="false">IF(A307="","",1/(1+CHOOSE(F$3,(AR307+($I$3/10000))/2,(AR306+($I$3/10000))/2))^(2*AQ306/365.25))</f>
        <v/>
      </c>
      <c r="AT306" s="137" t="str">
        <f aca="false">IF(A307="","",IF(AND(mthbeg&lt;=A306,mthend&gt;=A306),1,0))</f>
        <v/>
      </c>
      <c r="AU306" s="137" t="str">
        <f aca="false">IF(A307="","",AO306*AT306)</f>
        <v/>
      </c>
      <c r="AW306" s="195" t="str">
        <f aca="false">IF($A307="","",AL306*$E306)</f>
        <v/>
      </c>
      <c r="AX306" s="195" t="str">
        <f aca="false">IF($A307="","",AM306*$E306)</f>
        <v/>
      </c>
      <c r="AY306" s="195" t="str">
        <f aca="false">IF($A307="","",AN306*$E306)</f>
        <v/>
      </c>
      <c r="BA306" s="195" t="str">
        <f aca="false">IF($A307="","",F306*Summary!$Q$13)</f>
        <v/>
      </c>
    </row>
    <row r="307" customFormat="false" ht="12" hidden="false" customHeight="true" outlineLevel="0" collapsed="false">
      <c r="A307" s="196" t="str">
        <f aca="false">IF(A306&lt;mthend,EDATE(A306,1),"")</f>
        <v/>
      </c>
      <c r="B307" s="197" t="str">
        <f aca="false">IF(A307&lt;mthend,B306,"")</f>
        <v/>
      </c>
      <c r="C307" s="215"/>
      <c r="D307" s="197" t="str">
        <f aca="false">IF(A308&lt;&gt;"",B307+C307,"")</f>
        <v/>
      </c>
      <c r="E307" s="199" t="str">
        <f aca="false">IF(A308="","",IF(AND(AT307=1,$H$3=1),D307*AO307,IF($H$3=2,D307,"N/A")))</f>
        <v/>
      </c>
      <c r="F307" s="199" t="str">
        <f aca="false">IF(A308="","",E307*AS307)</f>
        <v/>
      </c>
      <c r="G307" s="200" t="str">
        <f aca="false">IF($A308="","",VLOOKUP($A307,Table,MATCH(G$4,Curves,0)))</f>
        <v/>
      </c>
      <c r="H307" s="201" t="str">
        <f aca="false">IF(A308="","",G307)</f>
        <v/>
      </c>
      <c r="I307" s="202"/>
      <c r="J307" s="200" t="str">
        <f aca="false">IF($A308="","",VLOOKUP($A307,Table,MATCH(J$4,Curves,0)))</f>
        <v/>
      </c>
      <c r="K307" s="201" t="str">
        <f aca="false">IF(A308="","",J307)</f>
        <v/>
      </c>
      <c r="L307" s="185" t="n">
        <v>0</v>
      </c>
      <c r="M307" s="201" t="str">
        <f aca="false">IF(A308="","",L307)</f>
        <v/>
      </c>
      <c r="N307" s="203"/>
      <c r="O307" s="200" t="str">
        <f aca="false">IF(A308="","",L307+J307+G307)</f>
        <v/>
      </c>
      <c r="P307" s="200" t="str">
        <f aca="false">IF(A308="","",M307+K307+H307)</f>
        <v/>
      </c>
      <c r="Q307" s="204"/>
      <c r="R307" s="200" t="str">
        <f aca="false">IF($A308="","",VLOOKUP($A307,Table,MATCH(R$4,Curves,0)))</f>
        <v/>
      </c>
      <c r="S307" s="201" t="str">
        <f aca="false">IF(A308="","",R307)</f>
        <v/>
      </c>
      <c r="T307" s="185" t="n">
        <v>0</v>
      </c>
      <c r="U307" s="201" t="str">
        <f aca="false">IF(A308="","",T307)</f>
        <v/>
      </c>
      <c r="V307" s="205"/>
      <c r="W307" s="202" t="str">
        <f aca="false">IF($A308="","",(T307+R307+G307+V307))</f>
        <v/>
      </c>
      <c r="X307" s="202" t="str">
        <f aca="false">IF($A308="","",(U307+S307+H307+V307))</f>
        <v/>
      </c>
      <c r="Y307" s="202"/>
      <c r="Z307" s="185" t="str">
        <f aca="false">IF($A308="","",VLOOKUP($A307,Table,MATCH(Z$4,Curves,0)))</f>
        <v/>
      </c>
      <c r="AA307" s="185" t="str">
        <f aca="false">IF($A308="","",VLOOKUP($A307,Table,MATCH(AA$4,Curves,0)))</f>
        <v/>
      </c>
      <c r="AB307" s="185" t="e">
        <f aca="false">SQRT((AA307^2*(A307-$D$3)+Z307^2*(DAY(EOMONTH(A307,0))/2))/AK307)</f>
        <v>#VALUE!</v>
      </c>
      <c r="AC307" s="185" t="str">
        <f aca="false">IF($A308="","",VLOOKUP($A307,Table,MATCH(AC$4,Curves,0)))</f>
        <v/>
      </c>
      <c r="AD307" s="185" t="str">
        <f aca="false">IF($A308="","",VLOOKUP($A307,Table,MATCH(AD$4,Curves,0)))</f>
        <v/>
      </c>
      <c r="AE307" s="185" t="e">
        <f aca="false">SQRT((AD307^2*(A307-$D$3)+AC307^2*(DAY(EOMONTH(A307,0))/2))/AK307)</f>
        <v>#VALUE!</v>
      </c>
      <c r="AF307" s="224" t="e">
        <f aca="false">((Summary!$N$13*(AA307*AD307)*(A307-$D$3))+(Summary!$M$13*Z307*AC307*(AJ307-EOMONTH(EDATE(A307,-1),0))))/(AK307*AB307*AE307)</f>
        <v>#VALUE!</v>
      </c>
      <c r="AG307" s="207" t="str">
        <f aca="false">IF($A308="","",Summary!$Q$13)</f>
        <v/>
      </c>
      <c r="AH307" s="207" t="str">
        <f aca="false">IF($A308="","",IF(Summary!$R$12="Y",(VLOOKUP($A307,Summary!$AD$6:$AF$9,3)+'Escalating commodity'!I320),'Escalating commodity'!I320))</f>
        <v/>
      </c>
      <c r="AI307" s="207" t="str">
        <f aca="false">IF($A308="","",AH307)</f>
        <v/>
      </c>
      <c r="AJ307" s="208" t="e">
        <f aca="false">A307+DAY(EOMONTH(A307,0))/2-1</f>
        <v>#VALUE!</v>
      </c>
      <c r="AK307" s="209" t="str">
        <f aca="false">IF($A308="","",$A307-$E$1)</f>
        <v/>
      </c>
      <c r="AL307" s="182" t="str">
        <f aca="false">IF($A308="","",SPRDOPT(P307,X307,AI307,0,AB307,AE307,AF307,AK307,$AJ$2,0))</f>
        <v/>
      </c>
      <c r="AM307" s="210" t="str">
        <f aca="false">IF($A308="","",MAX(0,O307-W307-AI307))</f>
        <v/>
      </c>
      <c r="AN307" s="211" t="str">
        <f aca="false">IF($A308="","",AL307-AM307)</f>
        <v/>
      </c>
      <c r="AO307" s="137" t="str">
        <f aca="false">IF(A308="","",A308-A307)</f>
        <v/>
      </c>
      <c r="AP307" s="212" t="str">
        <f aca="false">IF(A308="","",CHOOSE(F$3,A308+24,A307))</f>
        <v/>
      </c>
      <c r="AQ307" s="209" t="str">
        <f aca="false">IF(A308="","",AP307-$E$1)</f>
        <v/>
      </c>
      <c r="AR307" s="185" t="n">
        <f aca="false">'ANR OK vs ML7'!AR307</f>
        <v>0.1</v>
      </c>
      <c r="AS307" s="213" t="str">
        <f aca="false">IF(A308="","",1/(1+CHOOSE(F$3,(AR308+($I$3/10000))/2,(AR307+($I$3/10000))/2))^(2*AQ307/365.25))</f>
        <v/>
      </c>
      <c r="AT307" s="137" t="str">
        <f aca="false">IF(A308="","",IF(AND(mthbeg&lt;=A307,mthend&gt;=A307),1,0))</f>
        <v/>
      </c>
      <c r="AU307" s="137" t="str">
        <f aca="false">IF(A308="","",AO307*AT307)</f>
        <v/>
      </c>
      <c r="AW307" s="195" t="str">
        <f aca="false">IF($A308="","",AL307*$E307)</f>
        <v/>
      </c>
      <c r="AX307" s="195" t="str">
        <f aca="false">IF($A308="","",AM307*$E307)</f>
        <v/>
      </c>
      <c r="AY307" s="195" t="str">
        <f aca="false">IF($A308="","",AN307*$E307)</f>
        <v/>
      </c>
      <c r="BA307" s="195" t="str">
        <f aca="false">IF($A308="","",F307*Summary!$Q$13)</f>
        <v/>
      </c>
    </row>
    <row r="308" customFormat="false" ht="12" hidden="false" customHeight="true" outlineLevel="0" collapsed="false">
      <c r="A308" s="196" t="str">
        <f aca="false">IF(A307&lt;mthend,EDATE(A307,1),"")</f>
        <v/>
      </c>
      <c r="B308" s="197" t="str">
        <f aca="false">IF(A308&lt;mthend,B307,"")</f>
        <v/>
      </c>
      <c r="C308" s="215"/>
      <c r="D308" s="197" t="str">
        <f aca="false">IF(A309&lt;&gt;"",B308+C308,"")</f>
        <v/>
      </c>
      <c r="E308" s="199" t="str">
        <f aca="false">IF(A309="","",IF(AND(AT308=1,$H$3=1),D308*AO308,IF($H$3=2,D308,"N/A")))</f>
        <v/>
      </c>
      <c r="F308" s="199" t="str">
        <f aca="false">IF(A309="","",E308*AS308)</f>
        <v/>
      </c>
      <c r="G308" s="200" t="str">
        <f aca="false">IF($A309="","",VLOOKUP($A308,Table,MATCH(G$4,Curves,0)))</f>
        <v/>
      </c>
      <c r="H308" s="201" t="str">
        <f aca="false">IF(A309="","",G308)</f>
        <v/>
      </c>
      <c r="I308" s="202"/>
      <c r="J308" s="200" t="str">
        <f aca="false">IF($A309="","",VLOOKUP($A308,Table,MATCH(J$4,Curves,0)))</f>
        <v/>
      </c>
      <c r="K308" s="201" t="str">
        <f aca="false">IF(A309="","",J308)</f>
        <v/>
      </c>
      <c r="L308" s="185" t="n">
        <v>0</v>
      </c>
      <c r="M308" s="201" t="str">
        <f aca="false">IF(A309="","",L308)</f>
        <v/>
      </c>
      <c r="N308" s="203"/>
      <c r="O308" s="200" t="str">
        <f aca="false">IF(A309="","",L308+J308+G308)</f>
        <v/>
      </c>
      <c r="P308" s="200" t="str">
        <f aca="false">IF(A309="","",M308+K308+H308)</f>
        <v/>
      </c>
      <c r="Q308" s="204"/>
      <c r="R308" s="200" t="str">
        <f aca="false">IF($A309="","",VLOOKUP($A308,Table,MATCH(R$4,Curves,0)))</f>
        <v/>
      </c>
      <c r="S308" s="201" t="str">
        <f aca="false">IF(A309="","",R308)</f>
        <v/>
      </c>
      <c r="T308" s="185" t="n">
        <v>0</v>
      </c>
      <c r="U308" s="201" t="str">
        <f aca="false">IF(A309="","",T308)</f>
        <v/>
      </c>
      <c r="V308" s="205"/>
      <c r="W308" s="202" t="str">
        <f aca="false">IF($A309="","",(T308+R308+G308+V308))</f>
        <v/>
      </c>
      <c r="X308" s="202" t="str">
        <f aca="false">IF($A309="","",(U308+S308+H308+V308))</f>
        <v/>
      </c>
      <c r="Y308" s="202"/>
      <c r="Z308" s="185" t="str">
        <f aca="false">IF($A309="","",VLOOKUP($A308,Table,MATCH(Z$4,Curves,0)))</f>
        <v/>
      </c>
      <c r="AA308" s="185" t="str">
        <f aca="false">IF($A309="","",VLOOKUP($A308,Table,MATCH(AA$4,Curves,0)))</f>
        <v/>
      </c>
      <c r="AB308" s="185" t="e">
        <f aca="false">SQRT((AA308^2*(A308-$D$3)+Z308^2*(DAY(EOMONTH(A308,0))/2))/AK308)</f>
        <v>#VALUE!</v>
      </c>
      <c r="AC308" s="185" t="str">
        <f aca="false">IF($A309="","",VLOOKUP($A308,Table,MATCH(AC$4,Curves,0)))</f>
        <v/>
      </c>
      <c r="AD308" s="185" t="str">
        <f aca="false">IF($A309="","",VLOOKUP($A308,Table,MATCH(AD$4,Curves,0)))</f>
        <v/>
      </c>
      <c r="AE308" s="185" t="e">
        <f aca="false">SQRT((AD308^2*(A308-$D$3)+AC308^2*(DAY(EOMONTH(A308,0))/2))/AK308)</f>
        <v>#VALUE!</v>
      </c>
      <c r="AF308" s="224" t="e">
        <f aca="false">((Summary!$N$13*(AA308*AD308)*(A308-$D$3))+(Summary!$M$13*Z308*AC308*(AJ308-EOMONTH(EDATE(A308,-1),0))))/(AK308*AB308*AE308)</f>
        <v>#VALUE!</v>
      </c>
      <c r="AG308" s="207" t="str">
        <f aca="false">IF($A309="","",Summary!$Q$13)</f>
        <v/>
      </c>
      <c r="AH308" s="207" t="str">
        <f aca="false">IF($A309="","",IF(Summary!$R$12="Y",(VLOOKUP($A308,Summary!$AD$6:$AF$9,3)+'Escalating commodity'!I321),'Escalating commodity'!I321))</f>
        <v/>
      </c>
      <c r="AI308" s="207" t="str">
        <f aca="false">IF($A309="","",AH308)</f>
        <v/>
      </c>
      <c r="AJ308" s="208" t="e">
        <f aca="false">A308+DAY(EOMONTH(A308,0))/2-1</f>
        <v>#VALUE!</v>
      </c>
      <c r="AK308" s="209" t="str">
        <f aca="false">IF($A309="","",$A308-$E$1)</f>
        <v/>
      </c>
      <c r="AL308" s="182" t="str">
        <f aca="false">IF($A309="","",SPRDOPT(P308,X308,AI308,0,AB308,AE308,AF308,AK308,$AJ$2,0))</f>
        <v/>
      </c>
      <c r="AM308" s="210" t="str">
        <f aca="false">IF($A309="","",MAX(0,O308-W308-AI308))</f>
        <v/>
      </c>
      <c r="AN308" s="211" t="str">
        <f aca="false">IF($A309="","",AL308-AM308)</f>
        <v/>
      </c>
      <c r="AO308" s="137" t="str">
        <f aca="false">IF(A309="","",A309-A308)</f>
        <v/>
      </c>
      <c r="AP308" s="212" t="str">
        <f aca="false">IF(A309="","",CHOOSE(F$3,A309+24,A308))</f>
        <v/>
      </c>
      <c r="AQ308" s="209" t="str">
        <f aca="false">IF(A309="","",AP308-$E$1)</f>
        <v/>
      </c>
      <c r="AR308" s="185" t="n">
        <f aca="false">'ANR OK vs ML7'!AR308</f>
        <v>0.1</v>
      </c>
      <c r="AS308" s="213" t="str">
        <f aca="false">IF(A309="","",1/(1+CHOOSE(F$3,(AR309+($I$3/10000))/2,(AR308+($I$3/10000))/2))^(2*AQ308/365.25))</f>
        <v/>
      </c>
      <c r="AT308" s="137" t="str">
        <f aca="false">IF(A309="","",IF(AND(mthbeg&lt;=A308,mthend&gt;=A308),1,0))</f>
        <v/>
      </c>
      <c r="AU308" s="137" t="str">
        <f aca="false">IF(A309="","",AO308*AT308)</f>
        <v/>
      </c>
      <c r="AW308" s="195" t="str">
        <f aca="false">IF($A309="","",AL308*$E308)</f>
        <v/>
      </c>
      <c r="AX308" s="195" t="str">
        <f aca="false">IF($A309="","",AM308*$E308)</f>
        <v/>
      </c>
      <c r="AY308" s="195" t="str">
        <f aca="false">IF($A309="","",AN308*$E308)</f>
        <v/>
      </c>
      <c r="BA308" s="195" t="str">
        <f aca="false">IF($A309="","",F308*Summary!$Q$13)</f>
        <v/>
      </c>
    </row>
    <row r="309" customFormat="false" ht="12" hidden="false" customHeight="true" outlineLevel="0" collapsed="false">
      <c r="A309" s="196" t="str">
        <f aca="false">IF(A308&lt;mthend,EDATE(A308,1),"")</f>
        <v/>
      </c>
      <c r="B309" s="197" t="str">
        <f aca="false">IF(A309&lt;mthend,B308,"")</f>
        <v/>
      </c>
      <c r="C309" s="215"/>
      <c r="D309" s="197" t="str">
        <f aca="false">IF(A310&lt;&gt;"",B309+C309,"")</f>
        <v/>
      </c>
      <c r="E309" s="199" t="str">
        <f aca="false">IF(A310="","",IF(AND(AT309=1,$H$3=1),D309*AO309,IF($H$3=2,D309,"N/A")))</f>
        <v/>
      </c>
      <c r="F309" s="199" t="str">
        <f aca="false">IF(A310="","",E309*AS309)</f>
        <v/>
      </c>
      <c r="G309" s="200" t="str">
        <f aca="false">IF($A310="","",VLOOKUP($A309,Table,MATCH(G$4,Curves,0)))</f>
        <v/>
      </c>
      <c r="H309" s="201" t="str">
        <f aca="false">IF(A310="","",G309)</f>
        <v/>
      </c>
      <c r="I309" s="202"/>
      <c r="J309" s="200" t="str">
        <f aca="false">IF($A310="","",VLOOKUP($A309,Table,MATCH(J$4,Curves,0)))</f>
        <v/>
      </c>
      <c r="K309" s="201" t="str">
        <f aca="false">IF(A310="","",J309)</f>
        <v/>
      </c>
      <c r="L309" s="185" t="n">
        <v>0</v>
      </c>
      <c r="M309" s="201" t="str">
        <f aca="false">IF(A310="","",L309)</f>
        <v/>
      </c>
      <c r="N309" s="203"/>
      <c r="O309" s="200" t="str">
        <f aca="false">IF(A310="","",L309+J309+G309)</f>
        <v/>
      </c>
      <c r="P309" s="200" t="str">
        <f aca="false">IF(A310="","",M309+K309+H309)</f>
        <v/>
      </c>
      <c r="Q309" s="204"/>
      <c r="R309" s="200" t="str">
        <f aca="false">IF($A310="","",VLOOKUP($A309,Table,MATCH(R$4,Curves,0)))</f>
        <v/>
      </c>
      <c r="S309" s="201" t="str">
        <f aca="false">IF(A310="","",R309)</f>
        <v/>
      </c>
      <c r="T309" s="185" t="n">
        <v>0</v>
      </c>
      <c r="U309" s="201" t="str">
        <f aca="false">IF(A310="","",T309)</f>
        <v/>
      </c>
      <c r="V309" s="205"/>
      <c r="W309" s="202" t="str">
        <f aca="false">IF($A310="","",(T309+R309+G309+V309))</f>
        <v/>
      </c>
      <c r="X309" s="202" t="str">
        <f aca="false">IF($A310="","",(U309+S309+H309+V309))</f>
        <v/>
      </c>
      <c r="Y309" s="202"/>
      <c r="Z309" s="185" t="str">
        <f aca="false">IF($A310="","",VLOOKUP($A309,Table,MATCH(Z$4,Curves,0)))</f>
        <v/>
      </c>
      <c r="AA309" s="185" t="str">
        <f aca="false">IF($A310="","",VLOOKUP($A309,Table,MATCH(AA$4,Curves,0)))</f>
        <v/>
      </c>
      <c r="AB309" s="185" t="e">
        <f aca="false">SQRT((AA309^2*(A309-$D$3)+Z309^2*(DAY(EOMONTH(A309,0))/2))/AK309)</f>
        <v>#VALUE!</v>
      </c>
      <c r="AC309" s="185" t="str">
        <f aca="false">IF($A310="","",VLOOKUP($A309,Table,MATCH(AC$4,Curves,0)))</f>
        <v/>
      </c>
      <c r="AD309" s="185" t="str">
        <f aca="false">IF($A310="","",VLOOKUP($A309,Table,MATCH(AD$4,Curves,0)))</f>
        <v/>
      </c>
      <c r="AE309" s="185" t="e">
        <f aca="false">SQRT((AD309^2*(A309-$D$3)+AC309^2*(DAY(EOMONTH(A309,0))/2))/AK309)</f>
        <v>#VALUE!</v>
      </c>
      <c r="AF309" s="224" t="e">
        <f aca="false">((Summary!$N$13*(AA309*AD309)*(A309-$D$3))+(Summary!$M$13*Z309*AC309*(AJ309-EOMONTH(EDATE(A309,-1),0))))/(AK309*AB309*AE309)</f>
        <v>#VALUE!</v>
      </c>
      <c r="AG309" s="207" t="str">
        <f aca="false">IF($A310="","",Summary!$Q$13)</f>
        <v/>
      </c>
      <c r="AH309" s="207" t="str">
        <f aca="false">IF($A310="","",IF(Summary!$R$12="Y",(VLOOKUP($A309,Summary!$AD$6:$AF$9,3)+'Escalating commodity'!I322),'Escalating commodity'!I322))</f>
        <v/>
      </c>
      <c r="AI309" s="207" t="str">
        <f aca="false">IF($A310="","",AH309)</f>
        <v/>
      </c>
      <c r="AJ309" s="208" t="e">
        <f aca="false">A309+DAY(EOMONTH(A309,0))/2-1</f>
        <v>#VALUE!</v>
      </c>
      <c r="AK309" s="209" t="str">
        <f aca="false">IF($A310="","",$A309-$E$1)</f>
        <v/>
      </c>
      <c r="AL309" s="182" t="str">
        <f aca="false">IF($A310="","",SPRDOPT(P309,X309,AI309,0,AB309,AE309,AF309,AK309,$AJ$2,0))</f>
        <v/>
      </c>
      <c r="AM309" s="210" t="str">
        <f aca="false">IF($A310="","",MAX(0,O309-W309-AI309))</f>
        <v/>
      </c>
      <c r="AN309" s="211" t="str">
        <f aca="false">IF($A310="","",AL309-AM309)</f>
        <v/>
      </c>
      <c r="AO309" s="137" t="str">
        <f aca="false">IF(A310="","",A310-A309)</f>
        <v/>
      </c>
      <c r="AP309" s="212" t="str">
        <f aca="false">IF(A310="","",CHOOSE(F$3,A310+24,A309))</f>
        <v/>
      </c>
      <c r="AQ309" s="209" t="str">
        <f aca="false">IF(A310="","",AP309-$E$1)</f>
        <v/>
      </c>
      <c r="AR309" s="185" t="n">
        <f aca="false">'ANR OK vs ML7'!AR309</f>
        <v>0.1</v>
      </c>
      <c r="AS309" s="213" t="str">
        <f aca="false">IF(A310="","",1/(1+CHOOSE(F$3,(AR310+($I$3/10000))/2,(AR309+($I$3/10000))/2))^(2*AQ309/365.25))</f>
        <v/>
      </c>
      <c r="AT309" s="137" t="str">
        <f aca="false">IF(A310="","",IF(AND(mthbeg&lt;=A309,mthend&gt;=A309),1,0))</f>
        <v/>
      </c>
      <c r="AU309" s="137" t="str">
        <f aca="false">IF(A310="","",AO309*AT309)</f>
        <v/>
      </c>
      <c r="AW309" s="195" t="str">
        <f aca="false">IF($A310="","",AL309*$E309)</f>
        <v/>
      </c>
      <c r="AX309" s="195" t="str">
        <f aca="false">IF($A310="","",AM309*$E309)</f>
        <v/>
      </c>
      <c r="AY309" s="195" t="str">
        <f aca="false">IF($A310="","",AN309*$E309)</f>
        <v/>
      </c>
      <c r="BA309" s="195" t="str">
        <f aca="false">IF($A310="","",F309*Summary!$Q$13)</f>
        <v/>
      </c>
    </row>
    <row r="310" customFormat="false" ht="12" hidden="false" customHeight="true" outlineLevel="0" collapsed="false">
      <c r="A310" s="196" t="str">
        <f aca="false">IF(A309&lt;mthend,EDATE(A309,1),"")</f>
        <v/>
      </c>
      <c r="B310" s="197" t="str">
        <f aca="false">IF(A310&lt;mthend,B309,"")</f>
        <v/>
      </c>
      <c r="C310" s="215"/>
      <c r="D310" s="197" t="str">
        <f aca="false">IF(A311&lt;&gt;"",B310+C310,"")</f>
        <v/>
      </c>
      <c r="E310" s="199" t="str">
        <f aca="false">IF(A311="","",IF(AND(AT310=1,$H$3=1),D310*AO310,IF($H$3=2,D310,"N/A")))</f>
        <v/>
      </c>
      <c r="F310" s="199" t="str">
        <f aca="false">IF(A311="","",E310*AS310)</f>
        <v/>
      </c>
      <c r="G310" s="200" t="str">
        <f aca="false">IF($A311="","",VLOOKUP($A310,Table,MATCH(G$4,Curves,0)))</f>
        <v/>
      </c>
      <c r="H310" s="201" t="str">
        <f aca="false">IF(A311="","",G310)</f>
        <v/>
      </c>
      <c r="I310" s="202"/>
      <c r="J310" s="200" t="str">
        <f aca="false">IF($A311="","",VLOOKUP($A310,Table,MATCH(J$4,Curves,0)))</f>
        <v/>
      </c>
      <c r="K310" s="201" t="str">
        <f aca="false">IF(A311="","",J310)</f>
        <v/>
      </c>
      <c r="L310" s="185" t="n">
        <v>0</v>
      </c>
      <c r="M310" s="201" t="str">
        <f aca="false">IF(A311="","",L310)</f>
        <v/>
      </c>
      <c r="N310" s="203"/>
      <c r="O310" s="200" t="str">
        <f aca="false">IF(A311="","",L310+J310+G310)</f>
        <v/>
      </c>
      <c r="P310" s="200" t="str">
        <f aca="false">IF(A311="","",M310+K310+H310)</f>
        <v/>
      </c>
      <c r="Q310" s="204"/>
      <c r="R310" s="200" t="str">
        <f aca="false">IF($A311="","",VLOOKUP($A310,Table,MATCH(R$4,Curves,0)))</f>
        <v/>
      </c>
      <c r="S310" s="201" t="str">
        <f aca="false">IF(A311="","",R310)</f>
        <v/>
      </c>
      <c r="T310" s="185" t="n">
        <v>0</v>
      </c>
      <c r="U310" s="201" t="str">
        <f aca="false">IF(A311="","",T310)</f>
        <v/>
      </c>
      <c r="V310" s="205"/>
      <c r="W310" s="202" t="str">
        <f aca="false">IF($A311="","",(T310+R310+G310+V310))</f>
        <v/>
      </c>
      <c r="X310" s="202" t="str">
        <f aca="false">IF($A311="","",(U310+S310+H310+V310))</f>
        <v/>
      </c>
      <c r="Y310" s="202"/>
      <c r="Z310" s="185" t="str">
        <f aca="false">IF($A311="","",VLOOKUP($A310,Table,MATCH(Z$4,Curves,0)))</f>
        <v/>
      </c>
      <c r="AA310" s="185" t="str">
        <f aca="false">IF($A311="","",VLOOKUP($A310,Table,MATCH(AA$4,Curves,0)))</f>
        <v/>
      </c>
      <c r="AB310" s="185" t="e">
        <f aca="false">SQRT((AA310^2*(A310-$D$3)+Z310^2*(DAY(EOMONTH(A310,0))/2))/AK310)</f>
        <v>#VALUE!</v>
      </c>
      <c r="AC310" s="185" t="str">
        <f aca="false">IF($A311="","",VLOOKUP($A310,Table,MATCH(AC$4,Curves,0)))</f>
        <v/>
      </c>
      <c r="AD310" s="185" t="str">
        <f aca="false">IF($A311="","",VLOOKUP($A310,Table,MATCH(AD$4,Curves,0)))</f>
        <v/>
      </c>
      <c r="AE310" s="185" t="e">
        <f aca="false">SQRT((AD310^2*(A310-$D$3)+AC310^2*(DAY(EOMONTH(A310,0))/2))/AK310)</f>
        <v>#VALUE!</v>
      </c>
      <c r="AF310" s="224" t="e">
        <f aca="false">((Summary!$N$13*(AA310*AD310)*(A310-$D$3))+(Summary!$M$13*Z310*AC310*(AJ310-EOMONTH(EDATE(A310,-1),0))))/(AK310*AB310*AE310)</f>
        <v>#VALUE!</v>
      </c>
      <c r="AG310" s="207" t="str">
        <f aca="false">IF($A311="","",Summary!$Q$13)</f>
        <v/>
      </c>
      <c r="AH310" s="207" t="str">
        <f aca="false">IF($A311="","",IF(Summary!$R$12="Y",(VLOOKUP($A310,Summary!$AD$6:$AF$9,3)+'Escalating commodity'!I323),'Escalating commodity'!I323))</f>
        <v/>
      </c>
      <c r="AI310" s="207" t="str">
        <f aca="false">IF($A311="","",AH310)</f>
        <v/>
      </c>
      <c r="AJ310" s="208" t="e">
        <f aca="false">A310+DAY(EOMONTH(A310,0))/2-1</f>
        <v>#VALUE!</v>
      </c>
      <c r="AK310" s="209" t="str">
        <f aca="false">IF($A311="","",$A310-$E$1)</f>
        <v/>
      </c>
      <c r="AL310" s="182" t="str">
        <f aca="false">IF($A311="","",SPRDOPT(P310,X310,AI310,0,AB310,AE310,AF310,AK310,$AJ$2,0))</f>
        <v/>
      </c>
      <c r="AM310" s="210" t="str">
        <f aca="false">IF($A311="","",MAX(0,O310-W310-AI310))</f>
        <v/>
      </c>
      <c r="AN310" s="211" t="str">
        <f aca="false">IF($A311="","",AL310-AM310)</f>
        <v/>
      </c>
      <c r="AO310" s="137" t="str">
        <f aca="false">IF(A311="","",A311-A310)</f>
        <v/>
      </c>
      <c r="AP310" s="212" t="str">
        <f aca="false">IF(A311="","",CHOOSE(F$3,A311+24,A310))</f>
        <v/>
      </c>
      <c r="AQ310" s="209" t="str">
        <f aca="false">IF(A311="","",AP310-$E$1)</f>
        <v/>
      </c>
      <c r="AR310" s="185" t="n">
        <f aca="false">'ANR OK vs ML7'!AR310</f>
        <v>0.1</v>
      </c>
      <c r="AS310" s="213" t="str">
        <f aca="false">IF(A311="","",1/(1+CHOOSE(F$3,(AR311+($I$3/10000))/2,(AR310+($I$3/10000))/2))^(2*AQ310/365.25))</f>
        <v/>
      </c>
      <c r="AT310" s="137" t="str">
        <f aca="false">IF(A311="","",IF(AND(mthbeg&lt;=A310,mthend&gt;=A310),1,0))</f>
        <v/>
      </c>
      <c r="AU310" s="137" t="str">
        <f aca="false">IF(A311="","",AO310*AT310)</f>
        <v/>
      </c>
      <c r="AW310" s="195" t="str">
        <f aca="false">IF($A311="","",AL310*$E310)</f>
        <v/>
      </c>
      <c r="AX310" s="195" t="str">
        <f aca="false">IF($A311="","",AM310*$E310)</f>
        <v/>
      </c>
      <c r="AY310" s="195" t="str">
        <f aca="false">IF($A311="","",AN310*$E310)</f>
        <v/>
      </c>
      <c r="BA310" s="195" t="str">
        <f aca="false">IF($A311="","",F310*Summary!$Q$13)</f>
        <v/>
      </c>
    </row>
    <row r="311" customFormat="false" ht="12" hidden="false" customHeight="true" outlineLevel="0" collapsed="false">
      <c r="A311" s="196" t="str">
        <f aca="false">IF(A310&lt;mthend,EDATE(A310,1),"")</f>
        <v/>
      </c>
      <c r="B311" s="197" t="str">
        <f aca="false">IF(A311&lt;mthend,B310,"")</f>
        <v/>
      </c>
      <c r="C311" s="215"/>
      <c r="D311" s="197" t="str">
        <f aca="false">IF(A312&lt;&gt;"",B311+C311,"")</f>
        <v/>
      </c>
      <c r="E311" s="199" t="str">
        <f aca="false">IF(A312="","",IF(AND(AT311=1,$H$3=1),D311*AO311,IF($H$3=2,D311,"N/A")))</f>
        <v/>
      </c>
      <c r="F311" s="199" t="str">
        <f aca="false">IF(A312="","",E311*AS311)</f>
        <v/>
      </c>
      <c r="G311" s="200" t="str">
        <f aca="false">IF($A312="","",VLOOKUP($A311,Table,MATCH(G$4,Curves,0)))</f>
        <v/>
      </c>
      <c r="H311" s="201" t="str">
        <f aca="false">IF(A312="","",G311)</f>
        <v/>
      </c>
      <c r="I311" s="202"/>
      <c r="J311" s="200" t="str">
        <f aca="false">IF($A312="","",VLOOKUP($A311,Table,MATCH(J$4,Curves,0)))</f>
        <v/>
      </c>
      <c r="K311" s="201" t="str">
        <f aca="false">IF(A312="","",J311)</f>
        <v/>
      </c>
      <c r="L311" s="185" t="n">
        <v>0</v>
      </c>
      <c r="M311" s="201" t="str">
        <f aca="false">IF(A312="","",L311)</f>
        <v/>
      </c>
      <c r="N311" s="203"/>
      <c r="O311" s="200" t="str">
        <f aca="false">IF(A312="","",L311+J311+G311)</f>
        <v/>
      </c>
      <c r="P311" s="200" t="str">
        <f aca="false">IF(A312="","",M311+K311+H311)</f>
        <v/>
      </c>
      <c r="Q311" s="204"/>
      <c r="R311" s="200" t="str">
        <f aca="false">IF($A312="","",VLOOKUP($A311,Table,MATCH(R$4,Curves,0)))</f>
        <v/>
      </c>
      <c r="S311" s="201" t="str">
        <f aca="false">IF(A312="","",R311)</f>
        <v/>
      </c>
      <c r="T311" s="185" t="n">
        <v>0</v>
      </c>
      <c r="U311" s="201" t="str">
        <f aca="false">IF(A312="","",T311)</f>
        <v/>
      </c>
      <c r="V311" s="205"/>
      <c r="W311" s="202" t="str">
        <f aca="false">IF($A312="","",(T311+R311+G311+V311))</f>
        <v/>
      </c>
      <c r="X311" s="202" t="str">
        <f aca="false">IF($A312="","",(U311+S311+H311+V311))</f>
        <v/>
      </c>
      <c r="Y311" s="202"/>
      <c r="Z311" s="185" t="str">
        <f aca="false">IF($A312="","",VLOOKUP($A311,Table,MATCH(Z$4,Curves,0)))</f>
        <v/>
      </c>
      <c r="AA311" s="185" t="str">
        <f aca="false">IF($A312="","",VLOOKUP($A311,Table,MATCH(AA$4,Curves,0)))</f>
        <v/>
      </c>
      <c r="AB311" s="185" t="e">
        <f aca="false">SQRT((AA311^2*(A311-$D$3)+Z311^2*(DAY(EOMONTH(A311,0))/2))/AK311)</f>
        <v>#VALUE!</v>
      </c>
      <c r="AC311" s="185" t="str">
        <f aca="false">IF($A312="","",VLOOKUP($A311,Table,MATCH(AC$4,Curves,0)))</f>
        <v/>
      </c>
      <c r="AD311" s="185" t="str">
        <f aca="false">IF($A312="","",VLOOKUP($A311,Table,MATCH(AD$4,Curves,0)))</f>
        <v/>
      </c>
      <c r="AE311" s="185" t="e">
        <f aca="false">SQRT((AD311^2*(A311-$D$3)+AC311^2*(DAY(EOMONTH(A311,0))/2))/AK311)</f>
        <v>#VALUE!</v>
      </c>
      <c r="AF311" s="224" t="e">
        <f aca="false">((Summary!$N$13*(AA311*AD311)*(A311-$D$3))+(Summary!$M$13*Z311*AC311*(AJ311-EOMONTH(EDATE(A311,-1),0))))/(AK311*AB311*AE311)</f>
        <v>#VALUE!</v>
      </c>
      <c r="AG311" s="207" t="str">
        <f aca="false">IF($A312="","",Summary!$Q$13)</f>
        <v/>
      </c>
      <c r="AH311" s="207" t="str">
        <f aca="false">IF($A312="","",IF(Summary!$R$12="Y",(VLOOKUP($A311,Summary!$AD$6:$AF$9,3)+'Escalating commodity'!I324),'Escalating commodity'!I324))</f>
        <v/>
      </c>
      <c r="AI311" s="207" t="str">
        <f aca="false">IF($A312="","",AH311)</f>
        <v/>
      </c>
      <c r="AJ311" s="208" t="e">
        <f aca="false">A311+DAY(EOMONTH(A311,0))/2-1</f>
        <v>#VALUE!</v>
      </c>
      <c r="AK311" s="209" t="str">
        <f aca="false">IF($A312="","",$A311-$E$1)</f>
        <v/>
      </c>
      <c r="AL311" s="182" t="str">
        <f aca="false">IF($A312="","",SPRDOPT(P311,X311,AI311,0,AB311,AE311,AF311,AK311,$AJ$2,0))</f>
        <v/>
      </c>
      <c r="AM311" s="210" t="str">
        <f aca="false">IF($A312="","",MAX(0,O311-W311-AI311))</f>
        <v/>
      </c>
      <c r="AN311" s="211" t="str">
        <f aca="false">IF($A312="","",AL311-AM311)</f>
        <v/>
      </c>
      <c r="AO311" s="137" t="str">
        <f aca="false">IF(A312="","",A312-A311)</f>
        <v/>
      </c>
      <c r="AP311" s="212" t="str">
        <f aca="false">IF(A312="","",CHOOSE(F$3,A312+24,A311))</f>
        <v/>
      </c>
      <c r="AQ311" s="209" t="str">
        <f aca="false">IF(A312="","",AP311-$E$1)</f>
        <v/>
      </c>
      <c r="AR311" s="185" t="n">
        <f aca="false">'ANR OK vs ML7'!AR311</f>
        <v>0.1</v>
      </c>
      <c r="AS311" s="213" t="str">
        <f aca="false">IF(A312="","",1/(1+CHOOSE(F$3,(AR312+($I$3/10000))/2,(AR311+($I$3/10000))/2))^(2*AQ311/365.25))</f>
        <v/>
      </c>
      <c r="AT311" s="137" t="str">
        <f aca="false">IF(A312="","",IF(AND(mthbeg&lt;=A311,mthend&gt;=A311),1,0))</f>
        <v/>
      </c>
      <c r="AU311" s="137" t="str">
        <f aca="false">IF(A312="","",AO311*AT311)</f>
        <v/>
      </c>
      <c r="AW311" s="195" t="str">
        <f aca="false">IF($A312="","",AL311*$E311)</f>
        <v/>
      </c>
      <c r="AX311" s="195" t="str">
        <f aca="false">IF($A312="","",AM311*$E311)</f>
        <v/>
      </c>
      <c r="AY311" s="195" t="str">
        <f aca="false">IF($A312="","",AN311*$E311)</f>
        <v/>
      </c>
      <c r="BA311" s="195" t="str">
        <f aca="false">IF($A312="","",F311*Summary!$Q$13)</f>
        <v/>
      </c>
    </row>
    <row r="312" customFormat="false" ht="12" hidden="false" customHeight="true" outlineLevel="0" collapsed="false">
      <c r="A312" s="196" t="str">
        <f aca="false">IF(A311&lt;mthend,EDATE(A311,1),"")</f>
        <v/>
      </c>
      <c r="B312" s="197" t="str">
        <f aca="false">IF(A312&lt;mthend,B311,"")</f>
        <v/>
      </c>
      <c r="C312" s="215"/>
      <c r="D312" s="197" t="str">
        <f aca="false">IF(A313&lt;&gt;"",B312+C312,"")</f>
        <v/>
      </c>
      <c r="E312" s="199" t="str">
        <f aca="false">IF(A313="","",IF(AND(AT312=1,$H$3=1),D312*AO312,IF($H$3=2,D312,"N/A")))</f>
        <v/>
      </c>
      <c r="F312" s="199" t="str">
        <f aca="false">IF(A313="","",E312*AS312)</f>
        <v/>
      </c>
      <c r="G312" s="200" t="str">
        <f aca="false">IF($A313="","",VLOOKUP($A312,Table,MATCH(G$4,Curves,0)))</f>
        <v/>
      </c>
      <c r="H312" s="201" t="str">
        <f aca="false">IF(A313="","",G312)</f>
        <v/>
      </c>
      <c r="I312" s="202"/>
      <c r="J312" s="200" t="str">
        <f aca="false">IF($A313="","",VLOOKUP($A312,Table,MATCH(J$4,Curves,0)))</f>
        <v/>
      </c>
      <c r="K312" s="201" t="str">
        <f aca="false">IF(A313="","",J312)</f>
        <v/>
      </c>
      <c r="L312" s="185" t="n">
        <v>0</v>
      </c>
      <c r="M312" s="201" t="str">
        <f aca="false">IF(A313="","",L312)</f>
        <v/>
      </c>
      <c r="N312" s="203"/>
      <c r="O312" s="200" t="str">
        <f aca="false">IF(A313="","",L312+J312+G312)</f>
        <v/>
      </c>
      <c r="P312" s="200" t="str">
        <f aca="false">IF(A313="","",M312+K312+H312)</f>
        <v/>
      </c>
      <c r="Q312" s="204"/>
      <c r="R312" s="200" t="str">
        <f aca="false">IF($A313="","",VLOOKUP($A312,Table,MATCH(R$4,Curves,0)))</f>
        <v/>
      </c>
      <c r="S312" s="201" t="str">
        <f aca="false">IF(A313="","",R312)</f>
        <v/>
      </c>
      <c r="T312" s="185" t="n">
        <v>0</v>
      </c>
      <c r="U312" s="201" t="str">
        <f aca="false">IF(A313="","",T312)</f>
        <v/>
      </c>
      <c r="V312" s="205"/>
      <c r="W312" s="202" t="str">
        <f aca="false">IF($A313="","",(T312+R312+G312+V312))</f>
        <v/>
      </c>
      <c r="X312" s="202" t="str">
        <f aca="false">IF($A313="","",(U312+S312+H312+V312))</f>
        <v/>
      </c>
      <c r="Y312" s="202"/>
      <c r="Z312" s="185" t="str">
        <f aca="false">IF($A313="","",VLOOKUP($A312,Table,MATCH(Z$4,Curves,0)))</f>
        <v/>
      </c>
      <c r="AA312" s="185" t="str">
        <f aca="false">IF($A313="","",VLOOKUP($A312,Table,MATCH(AA$4,Curves,0)))</f>
        <v/>
      </c>
      <c r="AB312" s="185" t="e">
        <f aca="false">SQRT((AA312^2*(A312-$D$3)+Z312^2*(DAY(EOMONTH(A312,0))/2))/AK312)</f>
        <v>#VALUE!</v>
      </c>
      <c r="AC312" s="185" t="str">
        <f aca="false">IF($A313="","",VLOOKUP($A312,Table,MATCH(AC$4,Curves,0)))</f>
        <v/>
      </c>
      <c r="AD312" s="185" t="str">
        <f aca="false">IF($A313="","",VLOOKUP($A312,Table,MATCH(AD$4,Curves,0)))</f>
        <v/>
      </c>
      <c r="AE312" s="185" t="e">
        <f aca="false">SQRT((AD312^2*(A312-$D$3)+AC312^2*(DAY(EOMONTH(A312,0))/2))/AK312)</f>
        <v>#VALUE!</v>
      </c>
      <c r="AF312" s="224" t="e">
        <f aca="false">((Summary!$N$13*(AA312*AD312)*(A312-$D$3))+(Summary!$M$13*Z312*AC312*(AJ312-EOMONTH(EDATE(A312,-1),0))))/(AK312*AB312*AE312)</f>
        <v>#VALUE!</v>
      </c>
      <c r="AG312" s="207" t="str">
        <f aca="false">IF($A313="","",Summary!$Q$13)</f>
        <v/>
      </c>
      <c r="AH312" s="207" t="str">
        <f aca="false">IF($A313="","",IF(Summary!$R$12="Y",(VLOOKUP($A312,Summary!$AD$6:$AF$9,3)+'Escalating commodity'!I325),'Escalating commodity'!I325))</f>
        <v/>
      </c>
      <c r="AI312" s="207" t="str">
        <f aca="false">IF($A313="","",AH312)</f>
        <v/>
      </c>
      <c r="AJ312" s="208" t="e">
        <f aca="false">A312+DAY(EOMONTH(A312,0))/2-1</f>
        <v>#VALUE!</v>
      </c>
      <c r="AK312" s="209" t="str">
        <f aca="false">IF($A313="","",$A312-$E$1)</f>
        <v/>
      </c>
      <c r="AL312" s="182" t="str">
        <f aca="false">IF($A313="","",SPRDOPT(P312,X312,AI312,0,AB312,AE312,AF312,AK312,$AJ$2,0))</f>
        <v/>
      </c>
      <c r="AM312" s="210" t="str">
        <f aca="false">IF($A313="","",MAX(0,O312-W312-AI312))</f>
        <v/>
      </c>
      <c r="AN312" s="211" t="str">
        <f aca="false">IF($A313="","",AL312-AM312)</f>
        <v/>
      </c>
      <c r="AO312" s="137" t="str">
        <f aca="false">IF(A313="","",A313-A312)</f>
        <v/>
      </c>
      <c r="AP312" s="212" t="str">
        <f aca="false">IF(A313="","",CHOOSE(F$3,A313+24,A312))</f>
        <v/>
      </c>
      <c r="AQ312" s="209" t="str">
        <f aca="false">IF(A313="","",AP312-$E$1)</f>
        <v/>
      </c>
      <c r="AR312" s="185" t="n">
        <f aca="false">'ANR OK vs ML7'!AR312</f>
        <v>0.1</v>
      </c>
      <c r="AS312" s="213" t="str">
        <f aca="false">IF(A313="","",1/(1+CHOOSE(F$3,(AR313+($I$3/10000))/2,(AR312+($I$3/10000))/2))^(2*AQ312/365.25))</f>
        <v/>
      </c>
      <c r="AT312" s="137" t="str">
        <f aca="false">IF(A313="","",IF(AND(mthbeg&lt;=A312,mthend&gt;=A312),1,0))</f>
        <v/>
      </c>
      <c r="AU312" s="137" t="str">
        <f aca="false">IF(A313="","",AO312*AT312)</f>
        <v/>
      </c>
      <c r="AW312" s="195" t="str">
        <f aca="false">IF($A313="","",AL312*$E312)</f>
        <v/>
      </c>
      <c r="AX312" s="195" t="str">
        <f aca="false">IF($A313="","",AM312*$E312)</f>
        <v/>
      </c>
      <c r="AY312" s="195" t="str">
        <f aca="false">IF($A313="","",AN312*$E312)</f>
        <v/>
      </c>
      <c r="BA312" s="195" t="str">
        <f aca="false">IF($A313="","",F312*Summary!$Q$13)</f>
        <v/>
      </c>
    </row>
    <row r="313" customFormat="false" ht="12" hidden="false" customHeight="true" outlineLevel="0" collapsed="false">
      <c r="A313" s="196" t="str">
        <f aca="false">IF(A312&lt;mthend,EDATE(A312,1),"")</f>
        <v/>
      </c>
      <c r="B313" s="197" t="str">
        <f aca="false">IF(A313&lt;mthend,B312,"")</f>
        <v/>
      </c>
      <c r="C313" s="215"/>
      <c r="D313" s="197" t="str">
        <f aca="false">IF(A314&lt;&gt;"",B313+C313,"")</f>
        <v/>
      </c>
      <c r="E313" s="199" t="str">
        <f aca="false">IF(A314="","",IF(AND(AT313=1,$H$3=1),D313*AO313,IF($H$3=2,D313,"N/A")))</f>
        <v/>
      </c>
      <c r="F313" s="199" t="str">
        <f aca="false">IF(A314="","",E313*AS313)</f>
        <v/>
      </c>
      <c r="G313" s="200" t="str">
        <f aca="false">IF($A314="","",VLOOKUP($A313,Table,MATCH(G$4,Curves,0)))</f>
        <v/>
      </c>
      <c r="H313" s="201" t="str">
        <f aca="false">IF(A314="","",G313)</f>
        <v/>
      </c>
      <c r="I313" s="202"/>
      <c r="J313" s="200" t="str">
        <f aca="false">IF($A314="","",VLOOKUP($A313,Table,MATCH(J$4,Curves,0)))</f>
        <v/>
      </c>
      <c r="K313" s="201" t="str">
        <f aca="false">IF(A314="","",J313)</f>
        <v/>
      </c>
      <c r="L313" s="185" t="n">
        <v>0</v>
      </c>
      <c r="M313" s="201" t="str">
        <f aca="false">IF(A314="","",L313)</f>
        <v/>
      </c>
      <c r="N313" s="203"/>
      <c r="O313" s="200" t="str">
        <f aca="false">IF(A314="","",L313+J313+G313)</f>
        <v/>
      </c>
      <c r="P313" s="200" t="str">
        <f aca="false">IF(A314="","",M313+K313+H313)</f>
        <v/>
      </c>
      <c r="Q313" s="204"/>
      <c r="R313" s="200" t="str">
        <f aca="false">IF($A314="","",VLOOKUP($A313,Table,MATCH(R$4,Curves,0)))</f>
        <v/>
      </c>
      <c r="S313" s="201" t="str">
        <f aca="false">IF(A314="","",R313)</f>
        <v/>
      </c>
      <c r="T313" s="185" t="n">
        <v>0</v>
      </c>
      <c r="U313" s="201" t="str">
        <f aca="false">IF(A314="","",T313)</f>
        <v/>
      </c>
      <c r="V313" s="205"/>
      <c r="W313" s="202" t="str">
        <f aca="false">IF($A314="","",(T313+R313+G313+V313))</f>
        <v/>
      </c>
      <c r="X313" s="202" t="str">
        <f aca="false">IF($A314="","",(U313+S313+H313+V313))</f>
        <v/>
      </c>
      <c r="Y313" s="202"/>
      <c r="Z313" s="185" t="str">
        <f aca="false">IF($A314="","",VLOOKUP($A313,Table,MATCH(Z$4,Curves,0)))</f>
        <v/>
      </c>
      <c r="AA313" s="185" t="str">
        <f aca="false">IF($A314="","",VLOOKUP($A313,Table,MATCH(AA$4,Curves,0)))</f>
        <v/>
      </c>
      <c r="AB313" s="185" t="e">
        <f aca="false">SQRT((AA313^2*(A313-$D$3)+Z313^2*(DAY(EOMONTH(A313,0))/2))/AK313)</f>
        <v>#VALUE!</v>
      </c>
      <c r="AC313" s="185" t="str">
        <f aca="false">IF($A314="","",VLOOKUP($A313,Table,MATCH(AC$4,Curves,0)))</f>
        <v/>
      </c>
      <c r="AD313" s="185" t="str">
        <f aca="false">IF($A314="","",VLOOKUP($A313,Table,MATCH(AD$4,Curves,0)))</f>
        <v/>
      </c>
      <c r="AE313" s="185" t="e">
        <f aca="false">SQRT((AD313^2*(A313-$D$3)+AC313^2*(DAY(EOMONTH(A313,0))/2))/AK313)</f>
        <v>#VALUE!</v>
      </c>
      <c r="AF313" s="224" t="e">
        <f aca="false">((Summary!$N$13*(AA313*AD313)*(A313-$D$3))+(Summary!$M$13*Z313*AC313*(AJ313-EOMONTH(EDATE(A313,-1),0))))/(AK313*AB313*AE313)</f>
        <v>#VALUE!</v>
      </c>
      <c r="AG313" s="207" t="str">
        <f aca="false">IF($A314="","",Summary!$Q$13)</f>
        <v/>
      </c>
      <c r="AH313" s="207" t="str">
        <f aca="false">IF($A314="","",IF(Summary!$R$12="Y",(VLOOKUP($A313,Summary!$AD$6:$AF$9,3)+'Escalating commodity'!I326),'Escalating commodity'!I326))</f>
        <v/>
      </c>
      <c r="AI313" s="207" t="str">
        <f aca="false">IF($A314="","",AH313)</f>
        <v/>
      </c>
      <c r="AJ313" s="208" t="e">
        <f aca="false">A313+DAY(EOMONTH(A313,0))/2-1</f>
        <v>#VALUE!</v>
      </c>
      <c r="AK313" s="209" t="str">
        <f aca="false">IF($A314="","",$A313-$E$1)</f>
        <v/>
      </c>
      <c r="AL313" s="182" t="str">
        <f aca="false">IF($A314="","",SPRDOPT(P313,X313,AI313,0,AB313,AE313,AF313,AK313,$AJ$2,0))</f>
        <v/>
      </c>
      <c r="AM313" s="210" t="str">
        <f aca="false">IF($A314="","",MAX(0,O313-W313-AI313))</f>
        <v/>
      </c>
      <c r="AN313" s="211" t="str">
        <f aca="false">IF($A314="","",AL313-AM313)</f>
        <v/>
      </c>
      <c r="AO313" s="137" t="str">
        <f aca="false">IF(A314="","",A314-A313)</f>
        <v/>
      </c>
      <c r="AP313" s="212" t="str">
        <f aca="false">IF(A314="","",CHOOSE(F$3,A314+24,A313))</f>
        <v/>
      </c>
      <c r="AQ313" s="209" t="str">
        <f aca="false">IF(A314="","",AP313-$E$1)</f>
        <v/>
      </c>
      <c r="AR313" s="185" t="n">
        <f aca="false">'ANR OK vs ML7'!AR313</f>
        <v>0.1</v>
      </c>
      <c r="AS313" s="213" t="str">
        <f aca="false">IF(A314="","",1/(1+CHOOSE(F$3,(AR314+($I$3/10000))/2,(AR313+($I$3/10000))/2))^(2*AQ313/365.25))</f>
        <v/>
      </c>
      <c r="AT313" s="137" t="str">
        <f aca="false">IF(A314="","",IF(AND(mthbeg&lt;=A313,mthend&gt;=A313),1,0))</f>
        <v/>
      </c>
      <c r="AU313" s="137" t="str">
        <f aca="false">IF(A314="","",AO313*AT313)</f>
        <v/>
      </c>
      <c r="AW313" s="195" t="str">
        <f aca="false">IF($A314="","",AL313*$E313)</f>
        <v/>
      </c>
      <c r="AX313" s="195" t="str">
        <f aca="false">IF($A314="","",AM313*$E313)</f>
        <v/>
      </c>
      <c r="AY313" s="195" t="str">
        <f aca="false">IF($A314="","",AN313*$E313)</f>
        <v/>
      </c>
      <c r="BA313" s="195" t="str">
        <f aca="false">IF($A314="","",F313*Summary!$Q$13)</f>
        <v/>
      </c>
    </row>
    <row r="314" customFormat="false" ht="12" hidden="false" customHeight="true" outlineLevel="0" collapsed="false">
      <c r="A314" s="196" t="str">
        <f aca="false">IF(A313&lt;mthend,EDATE(A313,1),"")</f>
        <v/>
      </c>
      <c r="B314" s="197" t="str">
        <f aca="false">IF(A314&lt;mthend,B313,"")</f>
        <v/>
      </c>
      <c r="C314" s="215"/>
      <c r="D314" s="197" t="str">
        <f aca="false">IF(A315&lt;&gt;"",B314+C314,"")</f>
        <v/>
      </c>
      <c r="E314" s="199" t="str">
        <f aca="false">IF(A315="","",IF(AND(AT314=1,$H$3=1),D314*AO314,IF($H$3=2,D314,"N/A")))</f>
        <v/>
      </c>
      <c r="F314" s="199" t="str">
        <f aca="false">IF(A315="","",E314*AS314)</f>
        <v/>
      </c>
      <c r="G314" s="200" t="str">
        <f aca="false">IF($A315="","",VLOOKUP($A314,Table,MATCH(G$4,Curves,0)))</f>
        <v/>
      </c>
      <c r="H314" s="201" t="str">
        <f aca="false">IF(A315="","",G314)</f>
        <v/>
      </c>
      <c r="I314" s="202"/>
      <c r="J314" s="200" t="str">
        <f aca="false">IF($A315="","",VLOOKUP($A314,Table,MATCH(J$4,Curves,0)))</f>
        <v/>
      </c>
      <c r="K314" s="201" t="str">
        <f aca="false">IF(A315="","",J314)</f>
        <v/>
      </c>
      <c r="L314" s="185" t="n">
        <v>0</v>
      </c>
      <c r="M314" s="201" t="str">
        <f aca="false">IF(A315="","",L314)</f>
        <v/>
      </c>
      <c r="N314" s="203"/>
      <c r="O314" s="200" t="str">
        <f aca="false">IF(A315="","",L314+J314+G314)</f>
        <v/>
      </c>
      <c r="P314" s="200" t="str">
        <f aca="false">IF(A315="","",M314+K314+H314)</f>
        <v/>
      </c>
      <c r="Q314" s="204"/>
      <c r="R314" s="200" t="str">
        <f aca="false">IF($A315="","",VLOOKUP($A314,Table,MATCH(R$4,Curves,0)))</f>
        <v/>
      </c>
      <c r="S314" s="201" t="str">
        <f aca="false">IF(A315="","",R314)</f>
        <v/>
      </c>
      <c r="T314" s="185" t="n">
        <v>0</v>
      </c>
      <c r="U314" s="201" t="str">
        <f aca="false">IF(A315="","",T314)</f>
        <v/>
      </c>
      <c r="V314" s="205"/>
      <c r="W314" s="202" t="str">
        <f aca="false">IF($A315="","",(T314+R314+G314+V314))</f>
        <v/>
      </c>
      <c r="X314" s="202" t="str">
        <f aca="false">IF($A315="","",(U314+S314+H314+V314))</f>
        <v/>
      </c>
      <c r="Y314" s="202"/>
      <c r="Z314" s="185" t="str">
        <f aca="false">IF($A315="","",VLOOKUP($A314,Table,MATCH(Z$4,Curves,0)))</f>
        <v/>
      </c>
      <c r="AA314" s="185" t="str">
        <f aca="false">IF($A315="","",VLOOKUP($A314,Table,MATCH(AA$4,Curves,0)))</f>
        <v/>
      </c>
      <c r="AB314" s="185" t="e">
        <f aca="false">SQRT((AA314^2*(A314-$D$3)+Z314^2*(DAY(EOMONTH(A314,0))/2))/AK314)</f>
        <v>#VALUE!</v>
      </c>
      <c r="AC314" s="185" t="str">
        <f aca="false">IF($A315="","",VLOOKUP($A314,Table,MATCH(AC$4,Curves,0)))</f>
        <v/>
      </c>
      <c r="AD314" s="185" t="str">
        <f aca="false">IF($A315="","",VLOOKUP($A314,Table,MATCH(AD$4,Curves,0)))</f>
        <v/>
      </c>
      <c r="AE314" s="185" t="e">
        <f aca="false">SQRT((AD314^2*(A314-$D$3)+AC314^2*(DAY(EOMONTH(A314,0))/2))/AK314)</f>
        <v>#VALUE!</v>
      </c>
      <c r="AF314" s="224" t="e">
        <f aca="false">((Summary!$N$13*(AA314*AD314)*(A314-$D$3))+(Summary!$M$13*Z314*AC314*(AJ314-EOMONTH(EDATE(A314,-1),0))))/(AK314*AB314*AE314)</f>
        <v>#VALUE!</v>
      </c>
      <c r="AG314" s="207" t="str">
        <f aca="false">IF($A315="","",Summary!$Q$13)</f>
        <v/>
      </c>
      <c r="AH314" s="207" t="str">
        <f aca="false">IF($A315="","",IF(Summary!$R$12="Y",(VLOOKUP($A314,Summary!$AD$6:$AF$9,3)+'Escalating commodity'!I327),'Escalating commodity'!I327))</f>
        <v/>
      </c>
      <c r="AI314" s="207" t="str">
        <f aca="false">IF($A315="","",AH314)</f>
        <v/>
      </c>
      <c r="AJ314" s="208" t="e">
        <f aca="false">A314+DAY(EOMONTH(A314,0))/2-1</f>
        <v>#VALUE!</v>
      </c>
      <c r="AK314" s="209" t="str">
        <f aca="false">IF($A315="","",$A314-$E$1)</f>
        <v/>
      </c>
      <c r="AL314" s="182" t="str">
        <f aca="false">IF($A315="","",SPRDOPT(P314,X314,AI314,0,AB314,AE314,AF314,AK314,$AJ$2,0))</f>
        <v/>
      </c>
      <c r="AM314" s="210" t="str">
        <f aca="false">IF($A315="","",MAX(0,O314-W314-AI314))</f>
        <v/>
      </c>
      <c r="AN314" s="211" t="str">
        <f aca="false">IF($A315="","",AL314-AM314)</f>
        <v/>
      </c>
      <c r="AO314" s="137" t="str">
        <f aca="false">IF(A315="","",A315-A314)</f>
        <v/>
      </c>
      <c r="AP314" s="212" t="str">
        <f aca="false">IF(A315="","",CHOOSE(F$3,A315+24,A314))</f>
        <v/>
      </c>
      <c r="AQ314" s="209" t="str">
        <f aca="false">IF(A315="","",AP314-$E$1)</f>
        <v/>
      </c>
      <c r="AR314" s="185" t="n">
        <f aca="false">'ANR OK vs ML7'!AR314</f>
        <v>0.1</v>
      </c>
      <c r="AS314" s="213" t="str">
        <f aca="false">IF(A315="","",1/(1+CHOOSE(F$3,(AR315+($I$3/10000))/2,(AR314+($I$3/10000))/2))^(2*AQ314/365.25))</f>
        <v/>
      </c>
      <c r="AT314" s="137" t="str">
        <f aca="false">IF(A315="","",IF(AND(mthbeg&lt;=A314,mthend&gt;=A314),1,0))</f>
        <v/>
      </c>
      <c r="AU314" s="137" t="str">
        <f aca="false">IF(A315="","",AO314*AT314)</f>
        <v/>
      </c>
      <c r="AW314" s="195" t="str">
        <f aca="false">IF($A315="","",AL314*$E314)</f>
        <v/>
      </c>
      <c r="AX314" s="195" t="str">
        <f aca="false">IF($A315="","",AM314*$E314)</f>
        <v/>
      </c>
      <c r="AY314" s="195" t="str">
        <f aca="false">IF($A315="","",AN314*$E314)</f>
        <v/>
      </c>
      <c r="BA314" s="195" t="str">
        <f aca="false">IF($A315="","",F314*Summary!$Q$13)</f>
        <v/>
      </c>
    </row>
    <row r="315" customFormat="false" ht="12" hidden="false" customHeight="true" outlineLevel="0" collapsed="false">
      <c r="A315" s="196" t="str">
        <f aca="false">IF(A314&lt;mthend,EDATE(A314,1),"")</f>
        <v/>
      </c>
      <c r="B315" s="197" t="str">
        <f aca="false">IF(A315&lt;mthend,B314,"")</f>
        <v/>
      </c>
      <c r="C315" s="215"/>
      <c r="D315" s="197" t="str">
        <f aca="false">IF(A316&lt;&gt;"",B315+C315,"")</f>
        <v/>
      </c>
      <c r="E315" s="199" t="str">
        <f aca="false">IF(A316="","",IF(AND(AT315=1,$H$3=1),D315*AO315,IF($H$3=2,D315,"N/A")))</f>
        <v/>
      </c>
      <c r="F315" s="199" t="str">
        <f aca="false">IF(A316="","",E315*AS315)</f>
        <v/>
      </c>
      <c r="G315" s="200" t="str">
        <f aca="false">IF($A316="","",VLOOKUP($A315,Table,MATCH(G$4,Curves,0)))</f>
        <v/>
      </c>
      <c r="H315" s="201" t="str">
        <f aca="false">IF(A316="","",G315)</f>
        <v/>
      </c>
      <c r="I315" s="202"/>
      <c r="J315" s="200" t="str">
        <f aca="false">IF($A316="","",VLOOKUP($A315,Table,MATCH(J$4,Curves,0)))</f>
        <v/>
      </c>
      <c r="K315" s="201" t="str">
        <f aca="false">IF(A316="","",J315)</f>
        <v/>
      </c>
      <c r="L315" s="185" t="n">
        <v>0</v>
      </c>
      <c r="M315" s="201" t="str">
        <f aca="false">IF(A316="","",L315)</f>
        <v/>
      </c>
      <c r="N315" s="203"/>
      <c r="O315" s="200" t="str">
        <f aca="false">IF(A316="","",L315+J315+G315)</f>
        <v/>
      </c>
      <c r="P315" s="200" t="str">
        <f aca="false">IF(A316="","",M315+K315+H315)</f>
        <v/>
      </c>
      <c r="Q315" s="204"/>
      <c r="R315" s="200" t="str">
        <f aca="false">IF($A316="","",VLOOKUP($A315,Table,MATCH(R$4,Curves,0)))</f>
        <v/>
      </c>
      <c r="S315" s="201" t="str">
        <f aca="false">IF(A316="","",R315)</f>
        <v/>
      </c>
      <c r="T315" s="185" t="n">
        <v>0</v>
      </c>
      <c r="U315" s="201" t="str">
        <f aca="false">IF(A316="","",T315)</f>
        <v/>
      </c>
      <c r="V315" s="205"/>
      <c r="W315" s="202" t="str">
        <f aca="false">IF($A316="","",(T315+R315+G315+V315))</f>
        <v/>
      </c>
      <c r="X315" s="202" t="str">
        <f aca="false">IF($A316="","",(U315+S315+H315+V315))</f>
        <v/>
      </c>
      <c r="Y315" s="202"/>
      <c r="Z315" s="185" t="str">
        <f aca="false">IF($A316="","",VLOOKUP($A315,Table,MATCH(Z$4,Curves,0)))</f>
        <v/>
      </c>
      <c r="AA315" s="185" t="str">
        <f aca="false">IF($A316="","",VLOOKUP($A315,Table,MATCH(AA$4,Curves,0)))</f>
        <v/>
      </c>
      <c r="AB315" s="185" t="e">
        <f aca="false">SQRT((AA315^2*(A315-$D$3)+Z315^2*(DAY(EOMONTH(A315,0))/2))/AK315)</f>
        <v>#VALUE!</v>
      </c>
      <c r="AC315" s="185" t="str">
        <f aca="false">IF($A316="","",VLOOKUP($A315,Table,MATCH(AC$4,Curves,0)))</f>
        <v/>
      </c>
      <c r="AD315" s="185" t="str">
        <f aca="false">IF($A316="","",VLOOKUP($A315,Table,MATCH(AD$4,Curves,0)))</f>
        <v/>
      </c>
      <c r="AE315" s="185" t="e">
        <f aca="false">SQRT((AD315^2*(A315-$D$3)+AC315^2*(DAY(EOMONTH(A315,0))/2))/AK315)</f>
        <v>#VALUE!</v>
      </c>
      <c r="AF315" s="224" t="e">
        <f aca="false">((Summary!$N$13*(AA315*AD315)*(A315-$D$3))+(Summary!$M$13*Z315*AC315*(AJ315-EOMONTH(EDATE(A315,-1),0))))/(AK315*AB315*AE315)</f>
        <v>#VALUE!</v>
      </c>
      <c r="AG315" s="207" t="str">
        <f aca="false">IF($A316="","",Summary!$Q$13)</f>
        <v/>
      </c>
      <c r="AH315" s="207" t="str">
        <f aca="false">IF($A316="","",IF(Summary!$R$12="Y",(VLOOKUP($A315,Summary!$AD$6:$AF$9,3)+'Escalating commodity'!I328),'Escalating commodity'!I328))</f>
        <v/>
      </c>
      <c r="AI315" s="207" t="str">
        <f aca="false">IF($A316="","",AH315)</f>
        <v/>
      </c>
      <c r="AJ315" s="208" t="e">
        <f aca="false">A315+DAY(EOMONTH(A315,0))/2-1</f>
        <v>#VALUE!</v>
      </c>
      <c r="AK315" s="209" t="str">
        <f aca="false">IF($A316="","",$A315-$E$1)</f>
        <v/>
      </c>
      <c r="AL315" s="182" t="str">
        <f aca="false">IF($A316="","",SPRDOPT(P315,X315,AI315,0,AB315,AE315,AF315,AK315,$AJ$2,0))</f>
        <v/>
      </c>
      <c r="AM315" s="210" t="str">
        <f aca="false">IF($A316="","",MAX(0,O315-W315-AI315))</f>
        <v/>
      </c>
      <c r="AN315" s="211" t="str">
        <f aca="false">IF($A316="","",AL315-AM315)</f>
        <v/>
      </c>
      <c r="AO315" s="137" t="str">
        <f aca="false">IF(A316="","",A316-A315)</f>
        <v/>
      </c>
      <c r="AP315" s="212" t="str">
        <f aca="false">IF(A316="","",CHOOSE(F$3,A316+24,A315))</f>
        <v/>
      </c>
      <c r="AQ315" s="209" t="str">
        <f aca="false">IF(A316="","",AP315-$E$1)</f>
        <v/>
      </c>
      <c r="AR315" s="185" t="n">
        <f aca="false">'ANR OK vs ML7'!AR315</f>
        <v>0.1</v>
      </c>
      <c r="AS315" s="213" t="str">
        <f aca="false">IF(A316="","",1/(1+CHOOSE(F$3,(AR316+($I$3/10000))/2,(AR315+($I$3/10000))/2))^(2*AQ315/365.25))</f>
        <v/>
      </c>
      <c r="AT315" s="137" t="str">
        <f aca="false">IF(A316="","",IF(AND(mthbeg&lt;=A315,mthend&gt;=A315),1,0))</f>
        <v/>
      </c>
      <c r="AU315" s="137" t="str">
        <f aca="false">IF(A316="","",AO315*AT315)</f>
        <v/>
      </c>
      <c r="AW315" s="195" t="str">
        <f aca="false">IF($A316="","",AL315*$E315)</f>
        <v/>
      </c>
      <c r="AX315" s="195" t="str">
        <f aca="false">IF($A316="","",AM315*$E315)</f>
        <v/>
      </c>
      <c r="AY315" s="195" t="str">
        <f aca="false">IF($A316="","",AN315*$E315)</f>
        <v/>
      </c>
      <c r="BA315" s="195" t="str">
        <f aca="false">IF($A316="","",F315*Summary!$Q$13)</f>
        <v/>
      </c>
    </row>
    <row r="316" customFormat="false" ht="12" hidden="false" customHeight="true" outlineLevel="0" collapsed="false">
      <c r="A316" s="196" t="str">
        <f aca="false">IF(A315&lt;mthend,EDATE(A315,1),"")</f>
        <v/>
      </c>
      <c r="B316" s="197" t="str">
        <f aca="false">IF(A316&lt;mthend,B315,"")</f>
        <v/>
      </c>
      <c r="C316" s="215"/>
      <c r="D316" s="197" t="str">
        <f aca="false">IF(A317&lt;&gt;"",B316+C316,"")</f>
        <v/>
      </c>
      <c r="E316" s="199" t="str">
        <f aca="false">IF(A317="","",IF(AND(AT316=1,$H$3=1),D316*AO316,IF($H$3=2,D316,"N/A")))</f>
        <v/>
      </c>
      <c r="F316" s="199" t="str">
        <f aca="false">IF(A317="","",E316*AS316)</f>
        <v/>
      </c>
      <c r="G316" s="200" t="str">
        <f aca="false">IF($A317="","",VLOOKUP($A316,Table,MATCH(G$4,Curves,0)))</f>
        <v/>
      </c>
      <c r="H316" s="201" t="str">
        <f aca="false">IF(A317="","",G316)</f>
        <v/>
      </c>
      <c r="I316" s="202"/>
      <c r="J316" s="200" t="str">
        <f aca="false">IF($A317="","",VLOOKUP($A316,Table,MATCH(J$4,Curves,0)))</f>
        <v/>
      </c>
      <c r="K316" s="201" t="str">
        <f aca="false">IF(A317="","",J316)</f>
        <v/>
      </c>
      <c r="L316" s="185" t="n">
        <v>0</v>
      </c>
      <c r="M316" s="201" t="str">
        <f aca="false">IF(A317="","",L316)</f>
        <v/>
      </c>
      <c r="N316" s="203"/>
      <c r="O316" s="200" t="str">
        <f aca="false">IF(A317="","",L316+J316+G316)</f>
        <v/>
      </c>
      <c r="P316" s="200" t="str">
        <f aca="false">IF(A317="","",M316+K316+H316)</f>
        <v/>
      </c>
      <c r="Q316" s="204"/>
      <c r="R316" s="200" t="str">
        <f aca="false">IF($A317="","",VLOOKUP($A316,Table,MATCH(R$4,Curves,0)))</f>
        <v/>
      </c>
      <c r="S316" s="201" t="str">
        <f aca="false">IF(A317="","",R316)</f>
        <v/>
      </c>
      <c r="T316" s="185" t="n">
        <v>0</v>
      </c>
      <c r="U316" s="201" t="str">
        <f aca="false">IF(A317="","",T316)</f>
        <v/>
      </c>
      <c r="V316" s="205"/>
      <c r="W316" s="202" t="str">
        <f aca="false">IF($A317="","",(T316+R316+G316+V316))</f>
        <v/>
      </c>
      <c r="X316" s="202" t="str">
        <f aca="false">IF($A317="","",(U316+S316+H316+V316))</f>
        <v/>
      </c>
      <c r="Y316" s="202"/>
      <c r="Z316" s="185" t="str">
        <f aca="false">IF($A317="","",VLOOKUP($A316,Table,MATCH(Z$4,Curves,0)))</f>
        <v/>
      </c>
      <c r="AA316" s="185" t="str">
        <f aca="false">IF($A317="","",VLOOKUP($A316,Table,MATCH(AA$4,Curves,0)))</f>
        <v/>
      </c>
      <c r="AB316" s="185" t="e">
        <f aca="false">SQRT((AA316^2*(A316-$D$3)+Z316^2*(DAY(EOMONTH(A316,0))/2))/AK316)</f>
        <v>#VALUE!</v>
      </c>
      <c r="AC316" s="185" t="str">
        <f aca="false">IF($A317="","",VLOOKUP($A316,Table,MATCH(AC$4,Curves,0)))</f>
        <v/>
      </c>
      <c r="AD316" s="185" t="str">
        <f aca="false">IF($A317="","",VLOOKUP($A316,Table,MATCH(AD$4,Curves,0)))</f>
        <v/>
      </c>
      <c r="AE316" s="185" t="e">
        <f aca="false">SQRT((AD316^2*(A316-$D$3)+AC316^2*(DAY(EOMONTH(A316,0))/2))/AK316)</f>
        <v>#VALUE!</v>
      </c>
      <c r="AF316" s="224" t="e">
        <f aca="false">((Summary!$N$13*(AA316*AD316)*(A316-$D$3))+(Summary!$M$13*Z316*AC316*(AJ316-EOMONTH(EDATE(A316,-1),0))))/(AK316*AB316*AE316)</f>
        <v>#VALUE!</v>
      </c>
      <c r="AG316" s="207" t="str">
        <f aca="false">IF($A317="","",Summary!$Q$13)</f>
        <v/>
      </c>
      <c r="AH316" s="207" t="str">
        <f aca="false">IF($A317="","",IF(Summary!$R$12="Y",(VLOOKUP($A316,Summary!$AD$6:$AF$9,3)+'Escalating commodity'!I329),'Escalating commodity'!I329))</f>
        <v/>
      </c>
      <c r="AI316" s="207" t="str">
        <f aca="false">IF($A317="","",AH316)</f>
        <v/>
      </c>
      <c r="AJ316" s="208" t="e">
        <f aca="false">A316+DAY(EOMONTH(A316,0))/2-1</f>
        <v>#VALUE!</v>
      </c>
      <c r="AK316" s="209" t="str">
        <f aca="false">IF($A317="","",$A316-$E$1)</f>
        <v/>
      </c>
      <c r="AL316" s="182" t="str">
        <f aca="false">IF($A317="","",SPRDOPT(P316,X316,AI316,0,AB316,AE316,AF316,AK316,$AJ$2,0))</f>
        <v/>
      </c>
      <c r="AM316" s="210" t="str">
        <f aca="false">IF($A317="","",MAX(0,O316-W316-AI316))</f>
        <v/>
      </c>
      <c r="AN316" s="211" t="str">
        <f aca="false">IF($A317="","",AL316-AM316)</f>
        <v/>
      </c>
      <c r="AO316" s="137" t="str">
        <f aca="false">IF(A317="","",A317-A316)</f>
        <v/>
      </c>
      <c r="AP316" s="212" t="str">
        <f aca="false">IF(A317="","",CHOOSE(F$3,A317+24,A316))</f>
        <v/>
      </c>
      <c r="AQ316" s="209" t="str">
        <f aca="false">IF(A317="","",AP316-$E$1)</f>
        <v/>
      </c>
      <c r="AR316" s="185" t="n">
        <f aca="false">'ANR OK vs ML7'!AR316</f>
        <v>0.1</v>
      </c>
      <c r="AS316" s="213" t="str">
        <f aca="false">IF(A317="","",1/(1+CHOOSE(F$3,(AR317+($I$3/10000))/2,(AR316+($I$3/10000))/2))^(2*AQ316/365.25))</f>
        <v/>
      </c>
      <c r="AT316" s="137" t="str">
        <f aca="false">IF(A317="","",IF(AND(mthbeg&lt;=A316,mthend&gt;=A316),1,0))</f>
        <v/>
      </c>
      <c r="AU316" s="137" t="str">
        <f aca="false">IF(A317="","",AO316*AT316)</f>
        <v/>
      </c>
      <c r="AW316" s="195" t="str">
        <f aca="false">IF($A317="","",AL316*$E316)</f>
        <v/>
      </c>
      <c r="AX316" s="195" t="str">
        <f aca="false">IF($A317="","",AM316*$E316)</f>
        <v/>
      </c>
      <c r="AY316" s="195" t="str">
        <f aca="false">IF($A317="","",AN316*$E316)</f>
        <v/>
      </c>
      <c r="BA316" s="195" t="str">
        <f aca="false">IF($A317="","",F316*Summary!$Q$13)</f>
        <v/>
      </c>
    </row>
    <row r="317" customFormat="false" ht="12" hidden="false" customHeight="true" outlineLevel="0" collapsed="false">
      <c r="A317" s="196" t="str">
        <f aca="false">IF(A316&lt;mthend,EDATE(A316,1),"")</f>
        <v/>
      </c>
      <c r="B317" s="197" t="str">
        <f aca="false">IF(A317&lt;mthend,B316,"")</f>
        <v/>
      </c>
      <c r="C317" s="215"/>
      <c r="D317" s="197" t="str">
        <f aca="false">IF(A318&lt;&gt;"",B317+C317,"")</f>
        <v/>
      </c>
      <c r="E317" s="199" t="str">
        <f aca="false">IF(A318="","",IF(AND(AT317=1,$H$3=1),D317*AO317,IF($H$3=2,D317,"N/A")))</f>
        <v/>
      </c>
      <c r="F317" s="199" t="str">
        <f aca="false">IF(A318="","",E317*AS317)</f>
        <v/>
      </c>
      <c r="G317" s="200" t="str">
        <f aca="false">IF($A318="","",VLOOKUP($A317,Table,MATCH(G$4,Curves,0)))</f>
        <v/>
      </c>
      <c r="H317" s="201" t="str">
        <f aca="false">IF(A318="","",G317)</f>
        <v/>
      </c>
      <c r="I317" s="202"/>
      <c r="J317" s="200" t="str">
        <f aca="false">IF($A318="","",VLOOKUP($A317,Table,MATCH(J$4,Curves,0)))</f>
        <v/>
      </c>
      <c r="K317" s="201" t="str">
        <f aca="false">IF(A318="","",J317)</f>
        <v/>
      </c>
      <c r="L317" s="185" t="n">
        <v>0</v>
      </c>
      <c r="M317" s="201" t="str">
        <f aca="false">IF(A318="","",L317)</f>
        <v/>
      </c>
      <c r="N317" s="203"/>
      <c r="O317" s="200" t="str">
        <f aca="false">IF(A318="","",L317+J317+G317)</f>
        <v/>
      </c>
      <c r="P317" s="200" t="str">
        <f aca="false">IF(A318="","",M317+K317+H317)</f>
        <v/>
      </c>
      <c r="Q317" s="204"/>
      <c r="R317" s="200" t="str">
        <f aca="false">IF($A318="","",VLOOKUP($A317,Table,MATCH(R$4,Curves,0)))</f>
        <v/>
      </c>
      <c r="S317" s="201" t="str">
        <f aca="false">IF(A318="","",R317)</f>
        <v/>
      </c>
      <c r="T317" s="185" t="n">
        <v>0</v>
      </c>
      <c r="U317" s="201" t="str">
        <f aca="false">IF(A318="","",T317)</f>
        <v/>
      </c>
      <c r="V317" s="205"/>
      <c r="W317" s="202" t="str">
        <f aca="false">IF($A318="","",(T317+R317+G317+V317))</f>
        <v/>
      </c>
      <c r="X317" s="202" t="str">
        <f aca="false">IF($A318="","",(U317+S317+H317+V317))</f>
        <v/>
      </c>
      <c r="Y317" s="202"/>
      <c r="Z317" s="185" t="str">
        <f aca="false">IF($A318="","",VLOOKUP($A317,Table,MATCH(Z$4,Curves,0)))</f>
        <v/>
      </c>
      <c r="AA317" s="185" t="str">
        <f aca="false">IF($A318="","",VLOOKUP($A317,Table,MATCH(AA$4,Curves,0)))</f>
        <v/>
      </c>
      <c r="AB317" s="185" t="e">
        <f aca="false">SQRT((AA317^2*(A317-$D$3)+Z317^2*(DAY(EOMONTH(A317,0))/2))/AK317)</f>
        <v>#VALUE!</v>
      </c>
      <c r="AC317" s="185" t="str">
        <f aca="false">IF($A318="","",VLOOKUP($A317,Table,MATCH(AC$4,Curves,0)))</f>
        <v/>
      </c>
      <c r="AD317" s="185" t="str">
        <f aca="false">IF($A318="","",VLOOKUP($A317,Table,MATCH(AD$4,Curves,0)))</f>
        <v/>
      </c>
      <c r="AE317" s="185" t="e">
        <f aca="false">SQRT((AD317^2*(A317-$D$3)+AC317^2*(DAY(EOMONTH(A317,0))/2))/AK317)</f>
        <v>#VALUE!</v>
      </c>
      <c r="AF317" s="224" t="e">
        <f aca="false">((Summary!$N$13*(AA317*AD317)*(A317-$D$3))+(Summary!$M$13*Z317*AC317*(AJ317-EOMONTH(EDATE(A317,-1),0))))/(AK317*AB317*AE317)</f>
        <v>#VALUE!</v>
      </c>
      <c r="AG317" s="207" t="str">
        <f aca="false">IF($A318="","",Summary!$Q$13)</f>
        <v/>
      </c>
      <c r="AH317" s="207" t="str">
        <f aca="false">IF($A318="","",IF(Summary!$R$12="Y",(VLOOKUP($A317,Summary!$AD$6:$AF$9,3)+'Escalating commodity'!I330),'Escalating commodity'!I330))</f>
        <v/>
      </c>
      <c r="AI317" s="207" t="str">
        <f aca="false">IF($A318="","",AH317)</f>
        <v/>
      </c>
      <c r="AJ317" s="208" t="e">
        <f aca="false">A317+DAY(EOMONTH(A317,0))/2-1</f>
        <v>#VALUE!</v>
      </c>
      <c r="AK317" s="209" t="str">
        <f aca="false">IF($A318="","",$A317-$E$1)</f>
        <v/>
      </c>
      <c r="AL317" s="182" t="str">
        <f aca="false">IF($A318="","",SPRDOPT(P317,X317,AI317,0,AB317,AE317,AF317,AK317,$AJ$2,0))</f>
        <v/>
      </c>
      <c r="AM317" s="210" t="str">
        <f aca="false">IF($A318="","",MAX(0,O317-W317-AI317))</f>
        <v/>
      </c>
      <c r="AN317" s="211" t="str">
        <f aca="false">IF($A318="","",AL317-AM317)</f>
        <v/>
      </c>
      <c r="AO317" s="137" t="str">
        <f aca="false">IF(A318="","",A318-A317)</f>
        <v/>
      </c>
      <c r="AP317" s="212" t="str">
        <f aca="false">IF(A318="","",CHOOSE(F$3,A318+24,A317))</f>
        <v/>
      </c>
      <c r="AQ317" s="209" t="str">
        <f aca="false">IF(A318="","",AP317-$E$1)</f>
        <v/>
      </c>
      <c r="AR317" s="185" t="n">
        <f aca="false">'ANR OK vs ML7'!AR317</f>
        <v>0.1</v>
      </c>
      <c r="AS317" s="213" t="str">
        <f aca="false">IF(A318="","",1/(1+CHOOSE(F$3,(AR318+($I$3/10000))/2,(AR317+($I$3/10000))/2))^(2*AQ317/365.25))</f>
        <v/>
      </c>
      <c r="AT317" s="137" t="str">
        <f aca="false">IF(A318="","",IF(AND(mthbeg&lt;=A317,mthend&gt;=A317),1,0))</f>
        <v/>
      </c>
      <c r="AU317" s="137" t="str">
        <f aca="false">IF(A318="","",AO317*AT317)</f>
        <v/>
      </c>
      <c r="AW317" s="195" t="str">
        <f aca="false">IF($A318="","",AL317*$E317)</f>
        <v/>
      </c>
      <c r="AX317" s="195" t="str">
        <f aca="false">IF($A318="","",AM317*$E317)</f>
        <v/>
      </c>
      <c r="AY317" s="195" t="str">
        <f aca="false">IF($A318="","",AN317*$E317)</f>
        <v/>
      </c>
      <c r="BA317" s="195" t="str">
        <f aca="false">IF($A318="","",F317*Summary!$Q$13)</f>
        <v/>
      </c>
    </row>
    <row r="318" customFormat="false" ht="12" hidden="false" customHeight="true" outlineLevel="0" collapsed="false">
      <c r="A318" s="196" t="str">
        <f aca="false">IF(A317&lt;mthend,EDATE(A317,1),"")</f>
        <v/>
      </c>
      <c r="B318" s="197" t="str">
        <f aca="false">IF(A318&lt;mthend,B317,"")</f>
        <v/>
      </c>
      <c r="C318" s="215"/>
      <c r="D318" s="197" t="str">
        <f aca="false">IF(A319&lt;&gt;"",B318+C318,"")</f>
        <v/>
      </c>
      <c r="E318" s="199" t="str">
        <f aca="false">IF(A319="","",IF(AND(AT318=1,$H$3=1),D318*AO318,IF($H$3=2,D318,"N/A")))</f>
        <v/>
      </c>
      <c r="F318" s="199" t="str">
        <f aca="false">IF(A319="","",E318*AS318)</f>
        <v/>
      </c>
      <c r="G318" s="200" t="str">
        <f aca="false">IF($A319="","",VLOOKUP($A318,Table,MATCH(G$4,Curves,0)))</f>
        <v/>
      </c>
      <c r="H318" s="201" t="str">
        <f aca="false">IF(A319="","",G318)</f>
        <v/>
      </c>
      <c r="I318" s="202"/>
      <c r="J318" s="200" t="str">
        <f aca="false">IF($A319="","",VLOOKUP($A318,Table,MATCH(J$4,Curves,0)))</f>
        <v/>
      </c>
      <c r="K318" s="201" t="str">
        <f aca="false">IF(A319="","",J318)</f>
        <v/>
      </c>
      <c r="L318" s="185" t="n">
        <v>0</v>
      </c>
      <c r="M318" s="201" t="str">
        <f aca="false">IF(A319="","",L318)</f>
        <v/>
      </c>
      <c r="N318" s="203"/>
      <c r="O318" s="200" t="str">
        <f aca="false">IF(A319="","",L318+J318+G318)</f>
        <v/>
      </c>
      <c r="P318" s="200" t="str">
        <f aca="false">IF(A319="","",M318+K318+H318)</f>
        <v/>
      </c>
      <c r="Q318" s="204"/>
      <c r="R318" s="200" t="str">
        <f aca="false">IF($A319="","",VLOOKUP($A318,Table,MATCH(R$4,Curves,0)))</f>
        <v/>
      </c>
      <c r="S318" s="201" t="str">
        <f aca="false">IF(A319="","",R318)</f>
        <v/>
      </c>
      <c r="T318" s="185" t="n">
        <v>0</v>
      </c>
      <c r="U318" s="201" t="str">
        <f aca="false">IF(A319="","",T318)</f>
        <v/>
      </c>
      <c r="V318" s="205"/>
      <c r="W318" s="202" t="str">
        <f aca="false">IF($A319="","",(T318+R318+G318+V318))</f>
        <v/>
      </c>
      <c r="X318" s="202" t="str">
        <f aca="false">IF($A319="","",(U318+S318+H318+V318))</f>
        <v/>
      </c>
      <c r="Y318" s="202"/>
      <c r="Z318" s="185" t="str">
        <f aca="false">IF($A319="","",VLOOKUP($A318,Table,MATCH(Z$4,Curves,0)))</f>
        <v/>
      </c>
      <c r="AA318" s="185" t="str">
        <f aca="false">IF($A319="","",VLOOKUP($A318,Table,MATCH(AA$4,Curves,0)))</f>
        <v/>
      </c>
      <c r="AB318" s="185" t="e">
        <f aca="false">SQRT((AA318^2*(A318-$D$3)+Z318^2*(DAY(EOMONTH(A318,0))/2))/AK318)</f>
        <v>#VALUE!</v>
      </c>
      <c r="AC318" s="185" t="str">
        <f aca="false">IF($A319="","",VLOOKUP($A318,Table,MATCH(AC$4,Curves,0)))</f>
        <v/>
      </c>
      <c r="AD318" s="185" t="str">
        <f aca="false">IF($A319="","",VLOOKUP($A318,Table,MATCH(AD$4,Curves,0)))</f>
        <v/>
      </c>
      <c r="AE318" s="185" t="e">
        <f aca="false">SQRT((AD318^2*(A318-$D$3)+AC318^2*(DAY(EOMONTH(A318,0))/2))/AK318)</f>
        <v>#VALUE!</v>
      </c>
      <c r="AF318" s="224" t="e">
        <f aca="false">((Summary!$N$13*(AA318*AD318)*(A318-$D$3))+(Summary!$M$13*Z318*AC318*(AJ318-EOMONTH(EDATE(A318,-1),0))))/(AK318*AB318*AE318)</f>
        <v>#VALUE!</v>
      </c>
      <c r="AG318" s="207" t="str">
        <f aca="false">IF($A319="","",Summary!$Q$13)</f>
        <v/>
      </c>
      <c r="AH318" s="207" t="str">
        <f aca="false">IF($A319="","",IF(Summary!$R$12="Y",(VLOOKUP($A318,Summary!$AD$6:$AF$9,3)+'Escalating commodity'!I331),'Escalating commodity'!I331))</f>
        <v/>
      </c>
      <c r="AI318" s="207" t="str">
        <f aca="false">IF($A319="","",AH318)</f>
        <v/>
      </c>
      <c r="AJ318" s="208" t="e">
        <f aca="false">A318+DAY(EOMONTH(A318,0))/2-1</f>
        <v>#VALUE!</v>
      </c>
      <c r="AK318" s="209" t="str">
        <f aca="false">IF($A319="","",$A318-$E$1)</f>
        <v/>
      </c>
      <c r="AL318" s="182" t="str">
        <f aca="false">IF($A319="","",SPRDOPT(P318,X318,AI318,0,AB318,AE318,AF318,AK318,$AJ$2,0))</f>
        <v/>
      </c>
      <c r="AM318" s="210" t="str">
        <f aca="false">IF($A319="","",MAX(0,O318-W318-AI318))</f>
        <v/>
      </c>
      <c r="AN318" s="211" t="str">
        <f aca="false">IF($A319="","",AL318-AM318)</f>
        <v/>
      </c>
      <c r="AO318" s="137" t="str">
        <f aca="false">IF(A319="","",A319-A318)</f>
        <v/>
      </c>
      <c r="AP318" s="212" t="str">
        <f aca="false">IF(A319="","",CHOOSE(F$3,A319+24,A318))</f>
        <v/>
      </c>
      <c r="AQ318" s="209" t="str">
        <f aca="false">IF(A319="","",AP318-$E$1)</f>
        <v/>
      </c>
      <c r="AR318" s="185" t="n">
        <f aca="false">'ANR OK vs ML7'!AR318</f>
        <v>0.1</v>
      </c>
      <c r="AS318" s="213" t="str">
        <f aca="false">IF(A319="","",1/(1+CHOOSE(F$3,(AR319+($I$3/10000))/2,(AR318+($I$3/10000))/2))^(2*AQ318/365.25))</f>
        <v/>
      </c>
      <c r="AT318" s="137" t="str">
        <f aca="false">IF(A319="","",IF(AND(mthbeg&lt;=A318,mthend&gt;=A318),1,0))</f>
        <v/>
      </c>
      <c r="AU318" s="137" t="str">
        <f aca="false">IF(A319="","",AO318*AT318)</f>
        <v/>
      </c>
      <c r="AW318" s="195" t="str">
        <f aca="false">IF($A319="","",AL318*$E318)</f>
        <v/>
      </c>
      <c r="AX318" s="195" t="str">
        <f aca="false">IF($A319="","",AM318*$E318)</f>
        <v/>
      </c>
      <c r="AY318" s="195" t="str">
        <f aca="false">IF($A319="","",AN318*$E318)</f>
        <v/>
      </c>
      <c r="BA318" s="195" t="str">
        <f aca="false">IF($A319="","",F318*Summary!$Q$13)</f>
        <v/>
      </c>
    </row>
    <row r="319" customFormat="false" ht="12" hidden="false" customHeight="true" outlineLevel="0" collapsed="false">
      <c r="A319" s="196" t="str">
        <f aca="false">IF(A318&lt;mthend,EDATE(A318,1),"")</f>
        <v/>
      </c>
      <c r="B319" s="197" t="str">
        <f aca="false">IF(A319&lt;mthend,B318,"")</f>
        <v/>
      </c>
      <c r="C319" s="215"/>
      <c r="D319" s="197" t="str">
        <f aca="false">IF(A320&lt;&gt;"",B319+C319,"")</f>
        <v/>
      </c>
      <c r="E319" s="199" t="str">
        <f aca="false">IF(A320="","",IF(AND(AT319=1,$H$3=1),D319*AO319,IF($H$3=2,D319,"N/A")))</f>
        <v/>
      </c>
      <c r="F319" s="199" t="str">
        <f aca="false">IF(A320="","",E319*AS319)</f>
        <v/>
      </c>
      <c r="G319" s="200" t="str">
        <f aca="false">IF($A320="","",VLOOKUP($A319,Table,MATCH(G$4,Curves,0)))</f>
        <v/>
      </c>
      <c r="H319" s="201" t="str">
        <f aca="false">IF(A320="","",G319)</f>
        <v/>
      </c>
      <c r="I319" s="202"/>
      <c r="J319" s="200" t="str">
        <f aca="false">IF($A320="","",VLOOKUP($A319,Table,MATCH(J$4,Curves,0)))</f>
        <v/>
      </c>
      <c r="K319" s="201" t="str">
        <f aca="false">IF(A320="","",J319)</f>
        <v/>
      </c>
      <c r="L319" s="185" t="n">
        <v>0</v>
      </c>
      <c r="M319" s="201" t="str">
        <f aca="false">IF(A320="","",L319)</f>
        <v/>
      </c>
      <c r="N319" s="203"/>
      <c r="O319" s="200" t="str">
        <f aca="false">IF(A320="","",L319+J319+G319)</f>
        <v/>
      </c>
      <c r="P319" s="200" t="str">
        <f aca="false">IF(A320="","",M319+K319+H319)</f>
        <v/>
      </c>
      <c r="Q319" s="204"/>
      <c r="R319" s="200" t="str">
        <f aca="false">IF($A320="","",VLOOKUP($A319,Table,MATCH(R$4,Curves,0)))</f>
        <v/>
      </c>
      <c r="S319" s="201" t="str">
        <f aca="false">IF(A320="","",R319)</f>
        <v/>
      </c>
      <c r="T319" s="185" t="n">
        <v>0</v>
      </c>
      <c r="U319" s="201" t="str">
        <f aca="false">IF(A320="","",T319)</f>
        <v/>
      </c>
      <c r="V319" s="205"/>
      <c r="W319" s="202" t="str">
        <f aca="false">IF($A320="","",(T319+R319+G319+V319))</f>
        <v/>
      </c>
      <c r="X319" s="202" t="str">
        <f aca="false">IF($A320="","",(U319+S319+H319+V319))</f>
        <v/>
      </c>
      <c r="Y319" s="202"/>
      <c r="Z319" s="185" t="str">
        <f aca="false">IF($A320="","",VLOOKUP($A319,Table,MATCH(Z$4,Curves,0)))</f>
        <v/>
      </c>
      <c r="AA319" s="185" t="str">
        <f aca="false">IF($A320="","",VLOOKUP($A319,Table,MATCH(AA$4,Curves,0)))</f>
        <v/>
      </c>
      <c r="AB319" s="185" t="e">
        <f aca="false">SQRT((AA319^2*(A319-$D$3)+Z319^2*(DAY(EOMONTH(A319,0))/2))/AK319)</f>
        <v>#VALUE!</v>
      </c>
      <c r="AC319" s="185" t="str">
        <f aca="false">IF($A320="","",VLOOKUP($A319,Table,MATCH(AC$4,Curves,0)))</f>
        <v/>
      </c>
      <c r="AD319" s="185" t="str">
        <f aca="false">IF($A320="","",VLOOKUP($A319,Table,MATCH(AD$4,Curves,0)))</f>
        <v/>
      </c>
      <c r="AE319" s="185" t="e">
        <f aca="false">SQRT((AD319^2*(A319-$D$3)+AC319^2*(DAY(EOMONTH(A319,0))/2))/AK319)</f>
        <v>#VALUE!</v>
      </c>
      <c r="AF319" s="224" t="e">
        <f aca="false">((Summary!$N$13*(AA319*AD319)*(A319-$D$3))+(Summary!$M$13*Z319*AC319*(AJ319-EOMONTH(EDATE(A319,-1),0))))/(AK319*AB319*AE319)</f>
        <v>#VALUE!</v>
      </c>
      <c r="AG319" s="207" t="str">
        <f aca="false">IF($A320="","",Summary!$Q$13)</f>
        <v/>
      </c>
      <c r="AH319" s="207" t="str">
        <f aca="false">IF($A320="","",IF(Summary!$R$12="Y",(VLOOKUP($A319,Summary!$AD$6:$AF$9,3)+'Escalating commodity'!I332),'Escalating commodity'!I332))</f>
        <v/>
      </c>
      <c r="AI319" s="207" t="str">
        <f aca="false">IF($A320="","",AH319)</f>
        <v/>
      </c>
      <c r="AJ319" s="208" t="e">
        <f aca="false">A319+DAY(EOMONTH(A319,0))/2-1</f>
        <v>#VALUE!</v>
      </c>
      <c r="AK319" s="209" t="str">
        <f aca="false">IF($A320="","",$A319-$E$1)</f>
        <v/>
      </c>
      <c r="AL319" s="182" t="str">
        <f aca="false">IF($A320="","",SPRDOPT(P319,X319,AI319,0,AB319,AE319,AF319,AK319,$AJ$2,0))</f>
        <v/>
      </c>
      <c r="AM319" s="210" t="str">
        <f aca="false">IF($A320="","",MAX(0,O319-W319-AI319))</f>
        <v/>
      </c>
      <c r="AN319" s="211" t="str">
        <f aca="false">IF($A320="","",AL319-AM319)</f>
        <v/>
      </c>
      <c r="AO319" s="137" t="str">
        <f aca="false">IF(A320="","",A320-A319)</f>
        <v/>
      </c>
      <c r="AP319" s="212" t="str">
        <f aca="false">IF(A320="","",CHOOSE(F$3,A320+24,A319))</f>
        <v/>
      </c>
      <c r="AQ319" s="209" t="str">
        <f aca="false">IF(A320="","",AP319-$E$1)</f>
        <v/>
      </c>
      <c r="AR319" s="185" t="n">
        <f aca="false">'ANR OK vs ML7'!AR319</f>
        <v>0.1</v>
      </c>
      <c r="AS319" s="213" t="str">
        <f aca="false">IF(A320="","",1/(1+CHOOSE(F$3,(AR320+($I$3/10000))/2,(AR319+($I$3/10000))/2))^(2*AQ319/365.25))</f>
        <v/>
      </c>
      <c r="AT319" s="137" t="str">
        <f aca="false">IF(A320="","",IF(AND(mthbeg&lt;=A319,mthend&gt;=A319),1,0))</f>
        <v/>
      </c>
      <c r="AU319" s="137" t="str">
        <f aca="false">IF(A320="","",AO319*AT319)</f>
        <v/>
      </c>
      <c r="AW319" s="195" t="str">
        <f aca="false">IF($A320="","",AL319*$E319)</f>
        <v/>
      </c>
      <c r="AX319" s="195" t="str">
        <f aca="false">IF($A320="","",AM319*$E319)</f>
        <v/>
      </c>
      <c r="AY319" s="195" t="str">
        <f aca="false">IF($A320="","",AN319*$E319)</f>
        <v/>
      </c>
      <c r="BA319" s="195" t="str">
        <f aca="false">IF($A320="","",F319*Summary!$Q$13)</f>
        <v/>
      </c>
    </row>
    <row r="320" customFormat="false" ht="12" hidden="false" customHeight="true" outlineLevel="0" collapsed="false">
      <c r="A320" s="196" t="str">
        <f aca="false">IF(A319&lt;mthend,EDATE(A319,1),"")</f>
        <v/>
      </c>
      <c r="B320" s="197" t="str">
        <f aca="false">IF(A320&lt;mthend,B319,"")</f>
        <v/>
      </c>
      <c r="C320" s="215"/>
      <c r="D320" s="197" t="str">
        <f aca="false">IF(A321&lt;&gt;"",B320+C320,"")</f>
        <v/>
      </c>
      <c r="E320" s="199" t="str">
        <f aca="false">IF(A321="","",IF(AND(AT320=1,$H$3=1),D320*AO320,IF($H$3=2,D320,"N/A")))</f>
        <v/>
      </c>
      <c r="F320" s="199" t="str">
        <f aca="false">IF(A321="","",E320*AS320)</f>
        <v/>
      </c>
      <c r="G320" s="200" t="str">
        <f aca="false">IF($A321="","",VLOOKUP($A320,Table,MATCH(G$4,Curves,0)))</f>
        <v/>
      </c>
      <c r="H320" s="201" t="str">
        <f aca="false">IF(A321="","",G320)</f>
        <v/>
      </c>
      <c r="I320" s="202"/>
      <c r="J320" s="200" t="str">
        <f aca="false">IF($A321="","",VLOOKUP($A320,Table,MATCH(J$4,Curves,0)))</f>
        <v/>
      </c>
      <c r="K320" s="201" t="str">
        <f aca="false">IF(A321="","",J320)</f>
        <v/>
      </c>
      <c r="L320" s="185" t="n">
        <v>0</v>
      </c>
      <c r="M320" s="201" t="str">
        <f aca="false">IF(A321="","",L320)</f>
        <v/>
      </c>
      <c r="N320" s="203"/>
      <c r="O320" s="200" t="str">
        <f aca="false">IF(A321="","",L320+J320+G320)</f>
        <v/>
      </c>
      <c r="P320" s="200" t="str">
        <f aca="false">IF(A321="","",M320+K320+H320)</f>
        <v/>
      </c>
      <c r="Q320" s="204"/>
      <c r="R320" s="200" t="str">
        <f aca="false">IF($A321="","",VLOOKUP($A320,Table,MATCH(R$4,Curves,0)))</f>
        <v/>
      </c>
      <c r="S320" s="201" t="str">
        <f aca="false">IF(A321="","",R320)</f>
        <v/>
      </c>
      <c r="T320" s="185" t="n">
        <v>0</v>
      </c>
      <c r="U320" s="201" t="str">
        <f aca="false">IF(A321="","",T320)</f>
        <v/>
      </c>
      <c r="V320" s="205"/>
      <c r="W320" s="202" t="str">
        <f aca="false">IF($A321="","",(T320+R320+G320+V320))</f>
        <v/>
      </c>
      <c r="X320" s="202" t="str">
        <f aca="false">IF($A321="","",(U320+S320+H320+V320))</f>
        <v/>
      </c>
      <c r="Y320" s="202"/>
      <c r="Z320" s="185" t="str">
        <f aca="false">IF($A321="","",VLOOKUP($A320,Table,MATCH(Z$4,Curves,0)))</f>
        <v/>
      </c>
      <c r="AA320" s="185" t="str">
        <f aca="false">IF($A321="","",VLOOKUP($A320,Table,MATCH(AA$4,Curves,0)))</f>
        <v/>
      </c>
      <c r="AB320" s="185" t="e">
        <f aca="false">SQRT((AA320^2*(A320-$D$3)+Z320^2*(DAY(EOMONTH(A320,0))/2))/AK320)</f>
        <v>#VALUE!</v>
      </c>
      <c r="AC320" s="185" t="str">
        <f aca="false">IF($A321="","",VLOOKUP($A320,Table,MATCH(AC$4,Curves,0)))</f>
        <v/>
      </c>
      <c r="AD320" s="185" t="str">
        <f aca="false">IF($A321="","",VLOOKUP($A320,Table,MATCH(AD$4,Curves,0)))</f>
        <v/>
      </c>
      <c r="AE320" s="185" t="e">
        <f aca="false">SQRT((AD320^2*(A320-$D$3)+AC320^2*(DAY(EOMONTH(A320,0))/2))/AK320)</f>
        <v>#VALUE!</v>
      </c>
      <c r="AF320" s="224" t="e">
        <f aca="false">((Summary!$N$13*(AA320*AD320)*(A320-$D$3))+(Summary!$M$13*Z320*AC320*(AJ320-EOMONTH(EDATE(A320,-1),0))))/(AK320*AB320*AE320)</f>
        <v>#VALUE!</v>
      </c>
      <c r="AG320" s="207" t="str">
        <f aca="false">IF($A321="","",Summary!$Q$13)</f>
        <v/>
      </c>
      <c r="AH320" s="207" t="str">
        <f aca="false">IF($A321="","",IF(Summary!$R$12="Y",(VLOOKUP($A320,Summary!$AD$6:$AF$9,3)+'Escalating commodity'!I333),'Escalating commodity'!I333))</f>
        <v/>
      </c>
      <c r="AI320" s="207" t="str">
        <f aca="false">IF($A321="","",AH320)</f>
        <v/>
      </c>
      <c r="AJ320" s="208" t="e">
        <f aca="false">A320+DAY(EOMONTH(A320,0))/2-1</f>
        <v>#VALUE!</v>
      </c>
      <c r="AK320" s="209" t="str">
        <f aca="false">IF($A321="","",$A320-$E$1)</f>
        <v/>
      </c>
      <c r="AL320" s="182" t="str">
        <f aca="false">IF($A321="","",SPRDOPT(P320,X320,AI320,0,AB320,AE320,AF320,AK320,$AJ$2,0))</f>
        <v/>
      </c>
      <c r="AM320" s="210" t="str">
        <f aca="false">IF($A321="","",MAX(0,O320-W320-AI320))</f>
        <v/>
      </c>
      <c r="AN320" s="211" t="str">
        <f aca="false">IF($A321="","",AL320-AM320)</f>
        <v/>
      </c>
      <c r="AO320" s="137" t="str">
        <f aca="false">IF(A321="","",A321-A320)</f>
        <v/>
      </c>
      <c r="AP320" s="212" t="str">
        <f aca="false">IF(A321="","",CHOOSE(F$3,A321+24,A320))</f>
        <v/>
      </c>
      <c r="AQ320" s="209" t="str">
        <f aca="false">IF(A321="","",AP320-$E$1)</f>
        <v/>
      </c>
      <c r="AR320" s="185" t="n">
        <f aca="false">'ANR OK vs ML7'!AR320</f>
        <v>0.1</v>
      </c>
      <c r="AS320" s="213" t="str">
        <f aca="false">IF(A321="","",1/(1+CHOOSE(F$3,(AR321+($I$3/10000))/2,(AR320+($I$3/10000))/2))^(2*AQ320/365.25))</f>
        <v/>
      </c>
      <c r="AT320" s="137" t="str">
        <f aca="false">IF(A321="","",IF(AND(mthbeg&lt;=A320,mthend&gt;=A320),1,0))</f>
        <v/>
      </c>
      <c r="AU320" s="137" t="str">
        <f aca="false">IF(A321="","",AO320*AT320)</f>
        <v/>
      </c>
      <c r="AW320" s="195" t="str">
        <f aca="false">IF($A321="","",AL320*$E320)</f>
        <v/>
      </c>
      <c r="AX320" s="195" t="str">
        <f aca="false">IF($A321="","",AM320*$E320)</f>
        <v/>
      </c>
      <c r="AY320" s="195" t="str">
        <f aca="false">IF($A321="","",AN320*$E320)</f>
        <v/>
      </c>
      <c r="BA320" s="195" t="str">
        <f aca="false">IF($A321="","",F320*Summary!$Q$13)</f>
        <v/>
      </c>
    </row>
    <row r="321" customFormat="false" ht="12" hidden="false" customHeight="true" outlineLevel="0" collapsed="false">
      <c r="A321" s="196" t="str">
        <f aca="false">IF(A320&lt;mthend,EDATE(A320,1),"")</f>
        <v/>
      </c>
      <c r="B321" s="197" t="str">
        <f aca="false">IF(A321&lt;mthend,B320,"")</f>
        <v/>
      </c>
      <c r="C321" s="215"/>
      <c r="D321" s="197" t="str">
        <f aca="false">IF(A322&lt;&gt;"",B321+C321,"")</f>
        <v/>
      </c>
      <c r="E321" s="199" t="str">
        <f aca="false">IF(A322="","",IF(AND(AT321=1,$H$3=1),D321*AO321,IF($H$3=2,D321,"N/A")))</f>
        <v/>
      </c>
      <c r="F321" s="199" t="str">
        <f aca="false">IF(A322="","",E321*AS321)</f>
        <v/>
      </c>
      <c r="G321" s="200" t="str">
        <f aca="false">IF($A322="","",VLOOKUP($A321,Table,MATCH(G$4,Curves,0)))</f>
        <v/>
      </c>
      <c r="H321" s="201" t="str">
        <f aca="false">IF(A322="","",G321)</f>
        <v/>
      </c>
      <c r="I321" s="202"/>
      <c r="J321" s="200" t="str">
        <f aca="false">IF($A322="","",VLOOKUP($A321,Table,MATCH(J$4,Curves,0)))</f>
        <v/>
      </c>
      <c r="K321" s="201" t="str">
        <f aca="false">IF(A322="","",J321)</f>
        <v/>
      </c>
      <c r="L321" s="185" t="n">
        <v>0</v>
      </c>
      <c r="M321" s="201" t="str">
        <f aca="false">IF(A322="","",L321)</f>
        <v/>
      </c>
      <c r="N321" s="203"/>
      <c r="O321" s="200" t="str">
        <f aca="false">IF(A322="","",L321+J321+G321)</f>
        <v/>
      </c>
      <c r="P321" s="200" t="str">
        <f aca="false">IF(A322="","",M321+K321+H321)</f>
        <v/>
      </c>
      <c r="Q321" s="204"/>
      <c r="R321" s="200" t="str">
        <f aca="false">IF($A322="","",VLOOKUP($A321,Table,MATCH(R$4,Curves,0)))</f>
        <v/>
      </c>
      <c r="S321" s="201" t="str">
        <f aca="false">IF(A322="","",R321)</f>
        <v/>
      </c>
      <c r="T321" s="185" t="n">
        <v>0</v>
      </c>
      <c r="U321" s="201" t="str">
        <f aca="false">IF(A322="","",T321)</f>
        <v/>
      </c>
      <c r="V321" s="205"/>
      <c r="W321" s="202" t="str">
        <f aca="false">IF($A322="","",(T321+R321+G321+V321))</f>
        <v/>
      </c>
      <c r="X321" s="202" t="str">
        <f aca="false">IF($A322="","",(U321+S321+H321+V321))</f>
        <v/>
      </c>
      <c r="Y321" s="202"/>
      <c r="Z321" s="185" t="str">
        <f aca="false">IF($A322="","",VLOOKUP($A321,Table,MATCH(Z$4,Curves,0)))</f>
        <v/>
      </c>
      <c r="AA321" s="185" t="str">
        <f aca="false">IF($A322="","",VLOOKUP($A321,Table,MATCH(AA$4,Curves,0)))</f>
        <v/>
      </c>
      <c r="AB321" s="185" t="e">
        <f aca="false">SQRT((AA321^2*(A321-$D$3)+Z321^2*(DAY(EOMONTH(A321,0))/2))/AK321)</f>
        <v>#VALUE!</v>
      </c>
      <c r="AC321" s="185" t="str">
        <f aca="false">IF($A322="","",VLOOKUP($A321,Table,MATCH(AC$4,Curves,0)))</f>
        <v/>
      </c>
      <c r="AD321" s="185" t="str">
        <f aca="false">IF($A322="","",VLOOKUP($A321,Table,MATCH(AD$4,Curves,0)))</f>
        <v/>
      </c>
      <c r="AE321" s="185" t="e">
        <f aca="false">SQRT((AD321^2*(A321-$D$3)+AC321^2*(DAY(EOMONTH(A321,0))/2))/AK321)</f>
        <v>#VALUE!</v>
      </c>
      <c r="AF321" s="224" t="e">
        <f aca="false">((Summary!$N$13*(AA321*AD321)*(A321-$D$3))+(Summary!$M$13*Z321*AC321*(AJ321-EOMONTH(EDATE(A321,-1),0))))/(AK321*AB321*AE321)</f>
        <v>#VALUE!</v>
      </c>
      <c r="AG321" s="207" t="str">
        <f aca="false">IF($A322="","",Summary!$Q$13)</f>
        <v/>
      </c>
      <c r="AH321" s="207" t="str">
        <f aca="false">IF($A322="","",IF(Summary!$R$12="Y",(VLOOKUP($A321,Summary!$AD$6:$AF$9,3)+'Escalating commodity'!I334),'Escalating commodity'!I334))</f>
        <v/>
      </c>
      <c r="AI321" s="207" t="str">
        <f aca="false">IF($A322="","",AH321)</f>
        <v/>
      </c>
      <c r="AJ321" s="208" t="e">
        <f aca="false">A321+DAY(EOMONTH(A321,0))/2-1</f>
        <v>#VALUE!</v>
      </c>
      <c r="AK321" s="209" t="str">
        <f aca="false">IF($A322="","",$A321-$E$1)</f>
        <v/>
      </c>
      <c r="AL321" s="182" t="str">
        <f aca="false">IF($A322="","",SPRDOPT(P321,X321,AI321,0,AB321,AE321,AF321,AK321,$AJ$2,0))</f>
        <v/>
      </c>
      <c r="AM321" s="210" t="str">
        <f aca="false">IF($A322="","",MAX(0,O321-W321-AI321))</f>
        <v/>
      </c>
      <c r="AN321" s="211" t="str">
        <f aca="false">IF($A322="","",AL321-AM321)</f>
        <v/>
      </c>
      <c r="AO321" s="137" t="str">
        <f aca="false">IF(A322="","",A322-A321)</f>
        <v/>
      </c>
      <c r="AP321" s="212" t="str">
        <f aca="false">IF(A322="","",CHOOSE(F$3,A322+24,A321))</f>
        <v/>
      </c>
      <c r="AQ321" s="209" t="str">
        <f aca="false">IF(A322="","",AP321-$E$1)</f>
        <v/>
      </c>
      <c r="AR321" s="185" t="n">
        <f aca="false">'ANR OK vs ML7'!AR321</f>
        <v>0.1</v>
      </c>
      <c r="AS321" s="213" t="str">
        <f aca="false">IF(A322="","",1/(1+CHOOSE(F$3,(AR322+($I$3/10000))/2,(AR321+($I$3/10000))/2))^(2*AQ321/365.25))</f>
        <v/>
      </c>
      <c r="AT321" s="137" t="str">
        <f aca="false">IF(A322="","",IF(AND(mthbeg&lt;=A321,mthend&gt;=A321),1,0))</f>
        <v/>
      </c>
      <c r="AU321" s="137" t="str">
        <f aca="false">IF(A322="","",AO321*AT321)</f>
        <v/>
      </c>
      <c r="AW321" s="195" t="str">
        <f aca="false">IF($A322="","",AL321*$E321)</f>
        <v/>
      </c>
      <c r="AX321" s="195" t="str">
        <f aca="false">IF($A322="","",AM321*$E321)</f>
        <v/>
      </c>
      <c r="AY321" s="195" t="str">
        <f aca="false">IF($A322="","",AN321*$E321)</f>
        <v/>
      </c>
      <c r="BA321" s="195" t="str">
        <f aca="false">IF($A322="","",F321*Summary!$Q$13)</f>
        <v/>
      </c>
    </row>
    <row r="322" customFormat="false" ht="12" hidden="false" customHeight="true" outlineLevel="0" collapsed="false">
      <c r="A322" s="196" t="str">
        <f aca="false">IF(A321&lt;mthend,EDATE(A321,1),"")</f>
        <v/>
      </c>
      <c r="B322" s="197" t="str">
        <f aca="false">IF(A322&lt;mthend,B321,"")</f>
        <v/>
      </c>
      <c r="C322" s="215"/>
      <c r="D322" s="197" t="str">
        <f aca="false">IF(A323&lt;&gt;"",B322+C322,"")</f>
        <v/>
      </c>
      <c r="E322" s="199" t="str">
        <f aca="false">IF(A323="","",IF(AND(AT322=1,$H$3=1),D322*AO322,IF($H$3=2,D322,"N/A")))</f>
        <v/>
      </c>
      <c r="F322" s="199" t="str">
        <f aca="false">IF(A323="","",E322*AS322)</f>
        <v/>
      </c>
      <c r="G322" s="200" t="str">
        <f aca="false">IF($A323="","",VLOOKUP($A322,Table,MATCH(G$4,Curves,0)))</f>
        <v/>
      </c>
      <c r="H322" s="201" t="str">
        <f aca="false">IF(A323="","",G322)</f>
        <v/>
      </c>
      <c r="I322" s="202"/>
      <c r="J322" s="200" t="str">
        <f aca="false">IF($A323="","",VLOOKUP($A322,Table,MATCH(J$4,Curves,0)))</f>
        <v/>
      </c>
      <c r="K322" s="201" t="str">
        <f aca="false">IF(A323="","",J322)</f>
        <v/>
      </c>
      <c r="L322" s="185" t="n">
        <v>0</v>
      </c>
      <c r="M322" s="201" t="str">
        <f aca="false">IF(A323="","",L322)</f>
        <v/>
      </c>
      <c r="N322" s="203"/>
      <c r="O322" s="200" t="str">
        <f aca="false">IF(A323="","",L322+J322+G322)</f>
        <v/>
      </c>
      <c r="P322" s="200" t="str">
        <f aca="false">IF(A323="","",M322+K322+H322)</f>
        <v/>
      </c>
      <c r="Q322" s="204"/>
      <c r="R322" s="200" t="str">
        <f aca="false">IF($A323="","",VLOOKUP($A322,Table,MATCH(R$4,Curves,0)))</f>
        <v/>
      </c>
      <c r="S322" s="201" t="str">
        <f aca="false">IF(A323="","",R322)</f>
        <v/>
      </c>
      <c r="T322" s="185" t="n">
        <v>0</v>
      </c>
      <c r="U322" s="201" t="str">
        <f aca="false">IF(A323="","",T322)</f>
        <v/>
      </c>
      <c r="V322" s="205"/>
      <c r="W322" s="202" t="str">
        <f aca="false">IF($A323="","",(T322+R322+G322+V322))</f>
        <v/>
      </c>
      <c r="X322" s="202" t="str">
        <f aca="false">IF($A323="","",(U322+S322+H322+V322))</f>
        <v/>
      </c>
      <c r="Y322" s="202"/>
      <c r="Z322" s="185" t="str">
        <f aca="false">IF($A323="","",VLOOKUP($A322,Table,MATCH(Z$4,Curves,0)))</f>
        <v/>
      </c>
      <c r="AA322" s="185" t="str">
        <f aca="false">IF($A323="","",VLOOKUP($A322,Table,MATCH(AA$4,Curves,0)))</f>
        <v/>
      </c>
      <c r="AB322" s="185" t="e">
        <f aca="false">SQRT((AA322^2*(A322-$D$3)+Z322^2*(DAY(EOMONTH(A322,0))/2))/AK322)</f>
        <v>#VALUE!</v>
      </c>
      <c r="AC322" s="185" t="str">
        <f aca="false">IF($A323="","",VLOOKUP($A322,Table,MATCH(AC$4,Curves,0)))</f>
        <v/>
      </c>
      <c r="AD322" s="185" t="str">
        <f aca="false">IF($A323="","",VLOOKUP($A322,Table,MATCH(AD$4,Curves,0)))</f>
        <v/>
      </c>
      <c r="AE322" s="185" t="e">
        <f aca="false">SQRT((AD322^2*(A322-$D$3)+AC322^2*(DAY(EOMONTH(A322,0))/2))/AK322)</f>
        <v>#VALUE!</v>
      </c>
      <c r="AF322" s="224" t="e">
        <f aca="false">((Summary!$N$13*(AA322*AD322)*(A322-$D$3))+(Summary!$M$13*Z322*AC322*(AJ322-EOMONTH(EDATE(A322,-1),0))))/(AK322*AB322*AE322)</f>
        <v>#VALUE!</v>
      </c>
      <c r="AG322" s="207" t="str">
        <f aca="false">IF($A323="","",Summary!$Q$13)</f>
        <v/>
      </c>
      <c r="AH322" s="207" t="str">
        <f aca="false">IF($A323="","",IF(Summary!$R$12="Y",(VLOOKUP($A322,Summary!$AD$6:$AF$9,3)+'Escalating commodity'!I335),'Escalating commodity'!I335))</f>
        <v/>
      </c>
      <c r="AI322" s="207" t="str">
        <f aca="false">IF($A323="","",AH322)</f>
        <v/>
      </c>
      <c r="AJ322" s="208" t="e">
        <f aca="false">A322+DAY(EOMONTH(A322,0))/2-1</f>
        <v>#VALUE!</v>
      </c>
      <c r="AK322" s="209" t="str">
        <f aca="false">IF($A323="","",$A322-$E$1)</f>
        <v/>
      </c>
      <c r="AL322" s="182" t="str">
        <f aca="false">IF($A323="","",SPRDOPT(P322,X322,AI322,0,AB322,AE322,AF322,AK322,$AJ$2,0))</f>
        <v/>
      </c>
      <c r="AM322" s="210" t="str">
        <f aca="false">IF($A323="","",MAX(0,O322-W322-AI322))</f>
        <v/>
      </c>
      <c r="AN322" s="211" t="str">
        <f aca="false">IF($A323="","",AL322-AM322)</f>
        <v/>
      </c>
      <c r="AO322" s="137" t="str">
        <f aca="false">IF(A323="","",A323-A322)</f>
        <v/>
      </c>
      <c r="AP322" s="212" t="str">
        <f aca="false">IF(A323="","",CHOOSE(F$3,A323+24,A322))</f>
        <v/>
      </c>
      <c r="AQ322" s="209" t="str">
        <f aca="false">IF(A323="","",AP322-$E$1)</f>
        <v/>
      </c>
      <c r="AR322" s="185" t="n">
        <f aca="false">'ANR OK vs ML7'!AR322</f>
        <v>0.1</v>
      </c>
      <c r="AS322" s="213" t="str">
        <f aca="false">IF(A323="","",1/(1+CHOOSE(F$3,(AR323+($I$3/10000))/2,(AR322+($I$3/10000))/2))^(2*AQ322/365.25))</f>
        <v/>
      </c>
      <c r="AT322" s="137" t="str">
        <f aca="false">IF(A323="","",IF(AND(mthbeg&lt;=A322,mthend&gt;=A322),1,0))</f>
        <v/>
      </c>
      <c r="AU322" s="137" t="str">
        <f aca="false">IF(A323="","",AO322*AT322)</f>
        <v/>
      </c>
      <c r="AW322" s="195" t="str">
        <f aca="false">IF($A323="","",AL322*$E322)</f>
        <v/>
      </c>
      <c r="AX322" s="195" t="str">
        <f aca="false">IF($A323="","",AM322*$E322)</f>
        <v/>
      </c>
      <c r="AY322" s="195" t="str">
        <f aca="false">IF($A323="","",AN322*$E322)</f>
        <v/>
      </c>
      <c r="BA322" s="195" t="str">
        <f aca="false">IF($A323="","",F322*Summary!$Q$13)</f>
        <v/>
      </c>
    </row>
    <row r="323" customFormat="false" ht="12" hidden="false" customHeight="true" outlineLevel="0" collapsed="false">
      <c r="A323" s="196" t="str">
        <f aca="false">IF(A322&lt;mthend,EDATE(A322,1),"")</f>
        <v/>
      </c>
      <c r="B323" s="197" t="str">
        <f aca="false">IF(A323&lt;mthend,B322,"")</f>
        <v/>
      </c>
      <c r="C323" s="215"/>
      <c r="D323" s="197" t="str">
        <f aca="false">IF(A324&lt;&gt;"",B323+C323,"")</f>
        <v/>
      </c>
      <c r="E323" s="199" t="str">
        <f aca="false">IF(A324="","",IF(AND(AT323=1,$H$3=1),D323*AO323,IF($H$3=2,D323,"N/A")))</f>
        <v/>
      </c>
      <c r="F323" s="199" t="str">
        <f aca="false">IF(A324="","",E323*AS323)</f>
        <v/>
      </c>
      <c r="G323" s="200" t="str">
        <f aca="false">IF($A324="","",VLOOKUP($A323,Table,MATCH(G$4,Curves,0)))</f>
        <v/>
      </c>
      <c r="H323" s="201" t="str">
        <f aca="false">IF(A324="","",G323)</f>
        <v/>
      </c>
      <c r="I323" s="202"/>
      <c r="J323" s="200" t="str">
        <f aca="false">IF($A324="","",VLOOKUP($A323,Table,MATCH(J$4,Curves,0)))</f>
        <v/>
      </c>
      <c r="K323" s="201" t="str">
        <f aca="false">IF(A324="","",J323)</f>
        <v/>
      </c>
      <c r="L323" s="185" t="n">
        <v>0</v>
      </c>
      <c r="M323" s="201" t="str">
        <f aca="false">IF(A324="","",L323)</f>
        <v/>
      </c>
      <c r="N323" s="203"/>
      <c r="O323" s="200" t="str">
        <f aca="false">IF(A324="","",L323+J323+G323)</f>
        <v/>
      </c>
      <c r="P323" s="200" t="str">
        <f aca="false">IF(A324="","",M323+K323+H323)</f>
        <v/>
      </c>
      <c r="Q323" s="204"/>
      <c r="R323" s="200" t="str">
        <f aca="false">IF($A324="","",VLOOKUP($A323,Table,MATCH(R$4,Curves,0)))</f>
        <v/>
      </c>
      <c r="S323" s="201" t="str">
        <f aca="false">IF(A324="","",R323)</f>
        <v/>
      </c>
      <c r="T323" s="185" t="n">
        <v>0</v>
      </c>
      <c r="U323" s="201" t="str">
        <f aca="false">IF(A324="","",T323)</f>
        <v/>
      </c>
      <c r="V323" s="205"/>
      <c r="W323" s="202" t="str">
        <f aca="false">IF($A324="","",(T323+R323+G323+V323))</f>
        <v/>
      </c>
      <c r="X323" s="202" t="str">
        <f aca="false">IF($A324="","",(U323+S323+H323+V323))</f>
        <v/>
      </c>
      <c r="Y323" s="202"/>
      <c r="Z323" s="185" t="str">
        <f aca="false">IF($A324="","",VLOOKUP($A323,Table,MATCH(Z$4,Curves,0)))</f>
        <v/>
      </c>
      <c r="AA323" s="185" t="str">
        <f aca="false">IF($A324="","",VLOOKUP($A323,Table,MATCH(AA$4,Curves,0)))</f>
        <v/>
      </c>
      <c r="AB323" s="185" t="e">
        <f aca="false">SQRT((AA323^2*(A323-$D$3)+Z323^2*(DAY(EOMONTH(A323,0))/2))/AK323)</f>
        <v>#VALUE!</v>
      </c>
      <c r="AC323" s="185" t="str">
        <f aca="false">IF($A324="","",VLOOKUP($A323,Table,MATCH(AC$4,Curves,0)))</f>
        <v/>
      </c>
      <c r="AD323" s="185" t="str">
        <f aca="false">IF($A324="","",VLOOKUP($A323,Table,MATCH(AD$4,Curves,0)))</f>
        <v/>
      </c>
      <c r="AE323" s="185" t="e">
        <f aca="false">SQRT((AD323^2*(A323-$D$3)+AC323^2*(DAY(EOMONTH(A323,0))/2))/AK323)</f>
        <v>#VALUE!</v>
      </c>
      <c r="AF323" s="224" t="e">
        <f aca="false">((Summary!$N$13*(AA323*AD323)*(A323-$D$3))+(Summary!$M$13*Z323*AC323*(AJ323-EOMONTH(EDATE(A323,-1),0))))/(AK323*AB323*AE323)</f>
        <v>#VALUE!</v>
      </c>
      <c r="AG323" s="207" t="str">
        <f aca="false">IF($A324="","",Summary!$Q$13)</f>
        <v/>
      </c>
      <c r="AH323" s="207" t="str">
        <f aca="false">IF($A324="","",IF(Summary!$R$12="Y",(VLOOKUP($A323,Summary!$AD$6:$AF$9,3)+'Escalating commodity'!I336),'Escalating commodity'!I336))</f>
        <v/>
      </c>
      <c r="AI323" s="207" t="str">
        <f aca="false">IF($A324="","",AH323)</f>
        <v/>
      </c>
      <c r="AJ323" s="208" t="e">
        <f aca="false">A323+DAY(EOMONTH(A323,0))/2-1</f>
        <v>#VALUE!</v>
      </c>
      <c r="AK323" s="209" t="str">
        <f aca="false">IF($A324="","",$A323-$E$1)</f>
        <v/>
      </c>
      <c r="AL323" s="182" t="str">
        <f aca="false">IF($A324="","",SPRDOPT(P323,X323,AI323,0,AB323,AE323,AF323,AK323,$AJ$2,0))</f>
        <v/>
      </c>
      <c r="AM323" s="210" t="str">
        <f aca="false">IF($A324="","",MAX(0,O323-W323-AI323))</f>
        <v/>
      </c>
      <c r="AN323" s="211" t="str">
        <f aca="false">IF($A324="","",AL323-AM323)</f>
        <v/>
      </c>
      <c r="AO323" s="137" t="str">
        <f aca="false">IF(A324="","",A324-A323)</f>
        <v/>
      </c>
      <c r="AP323" s="212" t="str">
        <f aca="false">IF(A324="","",CHOOSE(F$3,A324+24,A323))</f>
        <v/>
      </c>
      <c r="AQ323" s="209" t="str">
        <f aca="false">IF(A324="","",AP323-$E$1)</f>
        <v/>
      </c>
      <c r="AR323" s="185" t="n">
        <f aca="false">'ANR OK vs ML7'!AR323</f>
        <v>0.1</v>
      </c>
      <c r="AS323" s="213" t="str">
        <f aca="false">IF(A324="","",1/(1+CHOOSE(F$3,(AR324+($I$3/10000))/2,(AR323+($I$3/10000))/2))^(2*AQ323/365.25))</f>
        <v/>
      </c>
      <c r="AT323" s="137" t="str">
        <f aca="false">IF(A324="","",IF(AND(mthbeg&lt;=A323,mthend&gt;=A323),1,0))</f>
        <v/>
      </c>
      <c r="AU323" s="137" t="str">
        <f aca="false">IF(A324="","",AO323*AT323)</f>
        <v/>
      </c>
      <c r="AW323" s="195" t="str">
        <f aca="false">IF($A324="","",AL323*$E323)</f>
        <v/>
      </c>
      <c r="AX323" s="195" t="str">
        <f aca="false">IF($A324="","",AM323*$E323)</f>
        <v/>
      </c>
      <c r="AY323" s="195" t="str">
        <f aca="false">IF($A324="","",AN323*$E323)</f>
        <v/>
      </c>
      <c r="BA323" s="195" t="str">
        <f aca="false">IF($A324="","",F323*Summary!$Q$13)</f>
        <v/>
      </c>
    </row>
    <row r="324" customFormat="false" ht="12" hidden="false" customHeight="true" outlineLevel="0" collapsed="false">
      <c r="A324" s="196" t="str">
        <f aca="false">IF(A323&lt;mthend,EDATE(A323,1),"")</f>
        <v/>
      </c>
      <c r="B324" s="197" t="str">
        <f aca="false">IF(A324&lt;mthend,B323,"")</f>
        <v/>
      </c>
      <c r="C324" s="215"/>
      <c r="D324" s="197" t="str">
        <f aca="false">IF(A325&lt;&gt;"",B324+C324,"")</f>
        <v/>
      </c>
      <c r="E324" s="199" t="str">
        <f aca="false">IF(A325="","",IF(AND(AT324=1,$H$3=1),D324*AO324,IF($H$3=2,D324,"N/A")))</f>
        <v/>
      </c>
      <c r="F324" s="199" t="str">
        <f aca="false">IF(A325="","",E324*AS324)</f>
        <v/>
      </c>
      <c r="G324" s="200" t="str">
        <f aca="false">IF($A325="","",VLOOKUP($A324,Table,MATCH(G$4,Curves,0)))</f>
        <v/>
      </c>
      <c r="H324" s="201" t="str">
        <f aca="false">IF(A325="","",G324)</f>
        <v/>
      </c>
      <c r="I324" s="202"/>
      <c r="J324" s="200" t="str">
        <f aca="false">IF($A325="","",VLOOKUP($A324,Table,MATCH(J$4,Curves,0)))</f>
        <v/>
      </c>
      <c r="K324" s="201" t="str">
        <f aca="false">IF(A325="","",J324)</f>
        <v/>
      </c>
      <c r="L324" s="185" t="n">
        <v>0</v>
      </c>
      <c r="M324" s="201" t="str">
        <f aca="false">IF(A325="","",L324)</f>
        <v/>
      </c>
      <c r="N324" s="203"/>
      <c r="O324" s="200" t="str">
        <f aca="false">IF(A325="","",L324+J324+G324)</f>
        <v/>
      </c>
      <c r="P324" s="200" t="str">
        <f aca="false">IF(A325="","",M324+K324+H324)</f>
        <v/>
      </c>
      <c r="Q324" s="204"/>
      <c r="R324" s="200" t="str">
        <f aca="false">IF($A325="","",VLOOKUP($A324,Table,MATCH(R$4,Curves,0)))</f>
        <v/>
      </c>
      <c r="S324" s="201" t="str">
        <f aca="false">IF(A325="","",R324)</f>
        <v/>
      </c>
      <c r="T324" s="185" t="n">
        <v>0</v>
      </c>
      <c r="U324" s="201" t="str">
        <f aca="false">IF(A325="","",T324)</f>
        <v/>
      </c>
      <c r="V324" s="205"/>
      <c r="W324" s="202" t="str">
        <f aca="false">IF($A325="","",(T324+R324+G324+V324))</f>
        <v/>
      </c>
      <c r="X324" s="202" t="str">
        <f aca="false">IF($A325="","",(U324+S324+H324+V324))</f>
        <v/>
      </c>
      <c r="Y324" s="202"/>
      <c r="Z324" s="185" t="str">
        <f aca="false">IF($A325="","",VLOOKUP($A324,Table,MATCH(Z$4,Curves,0)))</f>
        <v/>
      </c>
      <c r="AA324" s="185" t="str">
        <f aca="false">IF($A325="","",VLOOKUP($A324,Table,MATCH(AA$4,Curves,0)))</f>
        <v/>
      </c>
      <c r="AB324" s="185" t="e">
        <f aca="false">SQRT((AA324^2*(A324-$D$3)+Z324^2*(DAY(EOMONTH(A324,0))/2))/AK324)</f>
        <v>#VALUE!</v>
      </c>
      <c r="AC324" s="185" t="str">
        <f aca="false">IF($A325="","",VLOOKUP($A324,Table,MATCH(AC$4,Curves,0)))</f>
        <v/>
      </c>
      <c r="AD324" s="185" t="str">
        <f aca="false">IF($A325="","",VLOOKUP($A324,Table,MATCH(AD$4,Curves,0)))</f>
        <v/>
      </c>
      <c r="AE324" s="185" t="e">
        <f aca="false">SQRT((AD324^2*(A324-$D$3)+AC324^2*(DAY(EOMONTH(A324,0))/2))/AK324)</f>
        <v>#VALUE!</v>
      </c>
      <c r="AF324" s="224" t="e">
        <f aca="false">((Summary!$N$13*(AA324*AD324)*(A324-$D$3))+(Summary!$M$13*Z324*AC324*(AJ324-EOMONTH(EDATE(A324,-1),0))))/(AK324*AB324*AE324)</f>
        <v>#VALUE!</v>
      </c>
      <c r="AG324" s="207" t="str">
        <f aca="false">IF($A325="","",Summary!$Q$13)</f>
        <v/>
      </c>
      <c r="AH324" s="207" t="str">
        <f aca="false">IF($A325="","",IF(Summary!$R$12="Y",(VLOOKUP($A324,Summary!$AD$6:$AF$9,3)+'Escalating commodity'!I337),'Escalating commodity'!I337))</f>
        <v/>
      </c>
      <c r="AI324" s="207" t="str">
        <f aca="false">IF($A325="","",AH324)</f>
        <v/>
      </c>
      <c r="AJ324" s="208" t="e">
        <f aca="false">A324+DAY(EOMONTH(A324,0))/2-1</f>
        <v>#VALUE!</v>
      </c>
      <c r="AK324" s="209" t="str">
        <f aca="false">IF($A325="","",$A324-$E$1)</f>
        <v/>
      </c>
      <c r="AL324" s="182" t="str">
        <f aca="false">IF($A325="","",SPRDOPT(P324,X324,AI324,0,AB324,AE324,AF324,AK324,$AJ$2,0))</f>
        <v/>
      </c>
      <c r="AM324" s="210" t="str">
        <f aca="false">IF($A325="","",MAX(0,O324-W324-AI324))</f>
        <v/>
      </c>
      <c r="AN324" s="211" t="str">
        <f aca="false">IF($A325="","",AL324-AM324)</f>
        <v/>
      </c>
      <c r="AO324" s="137" t="str">
        <f aca="false">IF(A325="","",A325-A324)</f>
        <v/>
      </c>
      <c r="AP324" s="212" t="str">
        <f aca="false">IF(A325="","",CHOOSE(F$3,A325+24,A324))</f>
        <v/>
      </c>
      <c r="AQ324" s="209" t="str">
        <f aca="false">IF(A325="","",AP324-$E$1)</f>
        <v/>
      </c>
      <c r="AR324" s="185" t="n">
        <f aca="false">'ANR OK vs ML7'!AR324</f>
        <v>0.1</v>
      </c>
      <c r="AS324" s="213" t="str">
        <f aca="false">IF(A325="","",1/(1+CHOOSE(F$3,(AR325+($I$3/10000))/2,(AR324+($I$3/10000))/2))^(2*AQ324/365.25))</f>
        <v/>
      </c>
      <c r="AT324" s="137" t="str">
        <f aca="false">IF(A325="","",IF(AND(mthbeg&lt;=A324,mthend&gt;=A324),1,0))</f>
        <v/>
      </c>
      <c r="AU324" s="137" t="str">
        <f aca="false">IF(A325="","",AO324*AT324)</f>
        <v/>
      </c>
      <c r="AW324" s="195" t="str">
        <f aca="false">IF($A325="","",AL324*$E324)</f>
        <v/>
      </c>
      <c r="AX324" s="195" t="str">
        <f aca="false">IF($A325="","",AM324*$E324)</f>
        <v/>
      </c>
      <c r="AY324" s="195" t="str">
        <f aca="false">IF($A325="","",AN324*$E324)</f>
        <v/>
      </c>
      <c r="BA324" s="195" t="str">
        <f aca="false">IF($A325="","",F324*Summary!$Q$13)</f>
        <v/>
      </c>
    </row>
    <row r="325" customFormat="false" ht="12" hidden="false" customHeight="true" outlineLevel="0" collapsed="false">
      <c r="A325" s="196" t="str">
        <f aca="false">IF(A324&lt;mthend,EDATE(A324,1),"")</f>
        <v/>
      </c>
      <c r="B325" s="197" t="str">
        <f aca="false">IF(A325&lt;mthend,B324,"")</f>
        <v/>
      </c>
      <c r="C325" s="215"/>
      <c r="D325" s="197" t="str">
        <f aca="false">IF(A326&lt;&gt;"",B325+C325,"")</f>
        <v/>
      </c>
      <c r="E325" s="199" t="str">
        <f aca="false">IF(A326="","",IF(AND(AT325=1,$H$3=1),D325*AO325,IF($H$3=2,D325,"N/A")))</f>
        <v/>
      </c>
      <c r="F325" s="199" t="str">
        <f aca="false">IF(A326="","",E325*AS325)</f>
        <v/>
      </c>
      <c r="G325" s="200" t="str">
        <f aca="false">IF($A326="","",VLOOKUP($A325,Table,MATCH(G$4,Curves,0)))</f>
        <v/>
      </c>
      <c r="H325" s="201" t="str">
        <f aca="false">IF(A326="","",G325)</f>
        <v/>
      </c>
      <c r="I325" s="202"/>
      <c r="J325" s="200" t="str">
        <f aca="false">IF($A326="","",VLOOKUP($A325,Table,MATCH(J$4,Curves,0)))</f>
        <v/>
      </c>
      <c r="K325" s="201" t="str">
        <f aca="false">IF(A326="","",J325)</f>
        <v/>
      </c>
      <c r="L325" s="185" t="n">
        <v>0</v>
      </c>
      <c r="M325" s="201" t="str">
        <f aca="false">IF(A326="","",L325)</f>
        <v/>
      </c>
      <c r="N325" s="203"/>
      <c r="O325" s="200" t="str">
        <f aca="false">IF(A326="","",L325+J325+G325)</f>
        <v/>
      </c>
      <c r="P325" s="200" t="str">
        <f aca="false">IF(A326="","",M325+K325+H325)</f>
        <v/>
      </c>
      <c r="Q325" s="204"/>
      <c r="R325" s="200" t="str">
        <f aca="false">IF($A326="","",VLOOKUP($A325,Table,MATCH(R$4,Curves,0)))</f>
        <v/>
      </c>
      <c r="S325" s="201" t="str">
        <f aca="false">IF(A326="","",R325)</f>
        <v/>
      </c>
      <c r="T325" s="185" t="n">
        <v>0</v>
      </c>
      <c r="U325" s="201" t="str">
        <f aca="false">IF(A326="","",T325)</f>
        <v/>
      </c>
      <c r="V325" s="205"/>
      <c r="W325" s="202" t="str">
        <f aca="false">IF($A326="","",(T325+R325+G325+V325))</f>
        <v/>
      </c>
      <c r="X325" s="202" t="str">
        <f aca="false">IF($A326="","",(U325+S325+H325+V325))</f>
        <v/>
      </c>
      <c r="Y325" s="202"/>
      <c r="Z325" s="185" t="str">
        <f aca="false">IF($A326="","",VLOOKUP($A325,Table,MATCH(Z$4,Curves,0)))</f>
        <v/>
      </c>
      <c r="AA325" s="185" t="str">
        <f aca="false">IF($A326="","",VLOOKUP($A325,Table,MATCH(AA$4,Curves,0)))</f>
        <v/>
      </c>
      <c r="AB325" s="185" t="e">
        <f aca="false">SQRT((AA325^2*(A325-$D$3)+Z325^2*(DAY(EOMONTH(A325,0))/2))/AK325)</f>
        <v>#VALUE!</v>
      </c>
      <c r="AC325" s="185" t="str">
        <f aca="false">IF($A326="","",VLOOKUP($A325,Table,MATCH(AC$4,Curves,0)))</f>
        <v/>
      </c>
      <c r="AD325" s="185" t="str">
        <f aca="false">IF($A326="","",VLOOKUP($A325,Table,MATCH(AD$4,Curves,0)))</f>
        <v/>
      </c>
      <c r="AE325" s="185" t="e">
        <f aca="false">SQRT((AD325^2*(A325-$D$3)+AC325^2*(DAY(EOMONTH(A325,0))/2))/AK325)</f>
        <v>#VALUE!</v>
      </c>
      <c r="AF325" s="224" t="e">
        <f aca="false">((Summary!$N$13*(AA325*AD325)*(A325-$D$3))+(Summary!$M$13*Z325*AC325*(AJ325-EOMONTH(EDATE(A325,-1),0))))/(AK325*AB325*AE325)</f>
        <v>#VALUE!</v>
      </c>
      <c r="AG325" s="207" t="str">
        <f aca="false">IF($A326="","",Summary!$Q$13)</f>
        <v/>
      </c>
      <c r="AH325" s="207" t="str">
        <f aca="false">IF($A326="","",IF(Summary!$R$12="Y",(VLOOKUP($A325,Summary!$AD$6:$AF$9,3)+'Escalating commodity'!I338),'Escalating commodity'!I338))</f>
        <v/>
      </c>
      <c r="AI325" s="207" t="str">
        <f aca="false">IF($A326="","",AH325)</f>
        <v/>
      </c>
      <c r="AJ325" s="208" t="e">
        <f aca="false">A325+DAY(EOMONTH(A325,0))/2-1</f>
        <v>#VALUE!</v>
      </c>
      <c r="AK325" s="209" t="str">
        <f aca="false">IF($A326="","",$A325-$E$1)</f>
        <v/>
      </c>
      <c r="AL325" s="182" t="str">
        <f aca="false">IF($A326="","",SPRDOPT(P325,X325,AI325,0,AB325,AE325,AF325,AK325,$AJ$2,0))</f>
        <v/>
      </c>
      <c r="AM325" s="210" t="str">
        <f aca="false">IF($A326="","",MAX(0,O325-W325-AI325))</f>
        <v/>
      </c>
      <c r="AN325" s="211" t="str">
        <f aca="false">IF($A326="","",AL325-AM325)</f>
        <v/>
      </c>
      <c r="AO325" s="137" t="str">
        <f aca="false">IF(A326="","",A326-A325)</f>
        <v/>
      </c>
      <c r="AP325" s="212" t="str">
        <f aca="false">IF(A326="","",CHOOSE(F$3,A326+24,A325))</f>
        <v/>
      </c>
      <c r="AQ325" s="209" t="str">
        <f aca="false">IF(A326="","",AP325-$E$1)</f>
        <v/>
      </c>
      <c r="AR325" s="185" t="n">
        <f aca="false">'ANR OK vs ML7'!AR325</f>
        <v>0.1</v>
      </c>
      <c r="AS325" s="213" t="str">
        <f aca="false">IF(A326="","",1/(1+CHOOSE(F$3,(AR326+($I$3/10000))/2,(AR325+($I$3/10000))/2))^(2*AQ325/365.25))</f>
        <v/>
      </c>
      <c r="AT325" s="137" t="str">
        <f aca="false">IF(A326="","",IF(AND(mthbeg&lt;=A325,mthend&gt;=A325),1,0))</f>
        <v/>
      </c>
      <c r="AU325" s="137" t="str">
        <f aca="false">IF(A326="","",AO325*AT325)</f>
        <v/>
      </c>
      <c r="AW325" s="195" t="str">
        <f aca="false">IF($A326="","",AL325*$E325)</f>
        <v/>
      </c>
      <c r="AX325" s="195" t="str">
        <f aca="false">IF($A326="","",AM325*$E325)</f>
        <v/>
      </c>
      <c r="AY325" s="195" t="str">
        <f aca="false">IF($A326="","",AN325*$E325)</f>
        <v/>
      </c>
      <c r="BA325" s="195" t="str">
        <f aca="false">IF($A326="","",F325*Summary!$Q$13)</f>
        <v/>
      </c>
    </row>
    <row r="326" customFormat="false" ht="12" hidden="false" customHeight="true" outlineLevel="0" collapsed="false">
      <c r="A326" s="196" t="str">
        <f aca="false">IF(A325&lt;mthend,EDATE(A325,1),"")</f>
        <v/>
      </c>
      <c r="B326" s="197" t="str">
        <f aca="false">IF(A326&lt;mthend,B325,"")</f>
        <v/>
      </c>
      <c r="C326" s="215"/>
      <c r="D326" s="197" t="str">
        <f aca="false">IF(A327&lt;&gt;"",B326+C326,"")</f>
        <v/>
      </c>
      <c r="E326" s="199" t="str">
        <f aca="false">IF(A327="","",IF(AND(AT326=1,$H$3=1),D326*AO326,IF($H$3=2,D326,"N/A")))</f>
        <v/>
      </c>
      <c r="F326" s="199" t="str">
        <f aca="false">IF(A327="","",E326*AS326)</f>
        <v/>
      </c>
      <c r="G326" s="200" t="str">
        <f aca="false">IF($A327="","",VLOOKUP($A326,Table,MATCH(G$4,Curves,0)))</f>
        <v/>
      </c>
      <c r="H326" s="201" t="str">
        <f aca="false">IF(A327="","",G326)</f>
        <v/>
      </c>
      <c r="I326" s="202"/>
      <c r="J326" s="200" t="str">
        <f aca="false">IF($A327="","",VLOOKUP($A326,Table,MATCH(J$4,Curves,0)))</f>
        <v/>
      </c>
      <c r="K326" s="201" t="str">
        <f aca="false">IF(A327="","",J326)</f>
        <v/>
      </c>
      <c r="L326" s="185" t="n">
        <v>0</v>
      </c>
      <c r="M326" s="201" t="str">
        <f aca="false">IF(A327="","",L326)</f>
        <v/>
      </c>
      <c r="N326" s="203"/>
      <c r="O326" s="200" t="str">
        <f aca="false">IF(A327="","",L326+J326+G326)</f>
        <v/>
      </c>
      <c r="P326" s="200" t="str">
        <f aca="false">IF(A327="","",M326+K326+H326)</f>
        <v/>
      </c>
      <c r="Q326" s="204"/>
      <c r="R326" s="200" t="str">
        <f aca="false">IF($A327="","",VLOOKUP($A326,Table,MATCH(R$4,Curves,0)))</f>
        <v/>
      </c>
      <c r="S326" s="201" t="str">
        <f aca="false">IF(A327="","",R326)</f>
        <v/>
      </c>
      <c r="T326" s="185" t="n">
        <v>0</v>
      </c>
      <c r="U326" s="201" t="str">
        <f aca="false">IF(A327="","",T326)</f>
        <v/>
      </c>
      <c r="V326" s="205"/>
      <c r="W326" s="202" t="str">
        <f aca="false">IF($A327="","",(T326+R326+G326+V326))</f>
        <v/>
      </c>
      <c r="X326" s="202" t="str">
        <f aca="false">IF($A327="","",(U326+S326+H326+V326))</f>
        <v/>
      </c>
      <c r="Y326" s="202"/>
      <c r="Z326" s="185" t="str">
        <f aca="false">IF($A327="","",VLOOKUP($A326,Table,MATCH(Z$4,Curves,0)))</f>
        <v/>
      </c>
      <c r="AA326" s="185" t="str">
        <f aca="false">IF($A327="","",VLOOKUP($A326,Table,MATCH(AA$4,Curves,0)))</f>
        <v/>
      </c>
      <c r="AB326" s="185" t="e">
        <f aca="false">SQRT((AA326^2*(A326-$D$3)+Z326^2*(DAY(EOMONTH(A326,0))/2))/AK326)</f>
        <v>#VALUE!</v>
      </c>
      <c r="AC326" s="185" t="str">
        <f aca="false">IF($A327="","",VLOOKUP($A326,Table,MATCH(AC$4,Curves,0)))</f>
        <v/>
      </c>
      <c r="AD326" s="185" t="str">
        <f aca="false">IF($A327="","",VLOOKUP($A326,Table,MATCH(AD$4,Curves,0)))</f>
        <v/>
      </c>
      <c r="AE326" s="185" t="e">
        <f aca="false">SQRT((AD326^2*(A326-$D$3)+AC326^2*(DAY(EOMONTH(A326,0))/2))/AK326)</f>
        <v>#VALUE!</v>
      </c>
      <c r="AF326" s="224" t="e">
        <f aca="false">((Summary!$N$13*(AA326*AD326)*(A326-$D$3))+(Summary!$M$13*Z326*AC326*(AJ326-EOMONTH(EDATE(A326,-1),0))))/(AK326*AB326*AE326)</f>
        <v>#VALUE!</v>
      </c>
      <c r="AG326" s="207" t="str">
        <f aca="false">IF($A327="","",Summary!$Q$13)</f>
        <v/>
      </c>
      <c r="AH326" s="207" t="str">
        <f aca="false">IF($A327="","",IF(Summary!$R$12="Y",(VLOOKUP($A326,Summary!$AD$6:$AF$9,3)+'Escalating commodity'!I339),'Escalating commodity'!I339))</f>
        <v/>
      </c>
      <c r="AI326" s="207" t="str">
        <f aca="false">IF($A327="","",AH326)</f>
        <v/>
      </c>
      <c r="AJ326" s="208" t="e">
        <f aca="false">A326+DAY(EOMONTH(A326,0))/2-1</f>
        <v>#VALUE!</v>
      </c>
      <c r="AK326" s="209" t="str">
        <f aca="false">IF($A327="","",$A326-$E$1)</f>
        <v/>
      </c>
      <c r="AL326" s="182" t="str">
        <f aca="false">IF($A327="","",SPRDOPT(P326,X326,AI326,0,AB326,AE326,AF326,AK326,$AJ$2,0))</f>
        <v/>
      </c>
      <c r="AM326" s="210" t="str">
        <f aca="false">IF($A327="","",MAX(0,O326-W326-AI326))</f>
        <v/>
      </c>
      <c r="AN326" s="211" t="str">
        <f aca="false">IF($A327="","",AL326-AM326)</f>
        <v/>
      </c>
      <c r="AO326" s="137" t="str">
        <f aca="false">IF(A327="","",A327-A326)</f>
        <v/>
      </c>
      <c r="AP326" s="212" t="str">
        <f aca="false">IF(A327="","",CHOOSE(F$3,A327+24,A326))</f>
        <v/>
      </c>
      <c r="AQ326" s="209" t="str">
        <f aca="false">IF(A327="","",AP326-$E$1)</f>
        <v/>
      </c>
      <c r="AR326" s="185" t="n">
        <f aca="false">'ANR OK vs ML7'!AR326</f>
        <v>0.1</v>
      </c>
      <c r="AS326" s="213" t="str">
        <f aca="false">IF(A327="","",1/(1+CHOOSE(F$3,(AR327+($I$3/10000))/2,(AR326+($I$3/10000))/2))^(2*AQ326/365.25))</f>
        <v/>
      </c>
      <c r="AT326" s="137" t="str">
        <f aca="false">IF(A327="","",IF(AND(mthbeg&lt;=A326,mthend&gt;=A326),1,0))</f>
        <v/>
      </c>
      <c r="AU326" s="137" t="str">
        <f aca="false">IF(A327="","",AO326*AT326)</f>
        <v/>
      </c>
      <c r="AW326" s="195" t="str">
        <f aca="false">IF($A327="","",AL326*$E326)</f>
        <v/>
      </c>
      <c r="AX326" s="195" t="str">
        <f aca="false">IF($A327="","",AM326*$E326)</f>
        <v/>
      </c>
      <c r="AY326" s="195" t="str">
        <f aca="false">IF($A327="","",AN326*$E326)</f>
        <v/>
      </c>
      <c r="BA326" s="195" t="str">
        <f aca="false">IF($A327="","",F326*Summary!$Q$13)</f>
        <v/>
      </c>
    </row>
    <row r="327" customFormat="false" ht="12" hidden="false" customHeight="true" outlineLevel="0" collapsed="false">
      <c r="A327" s="196" t="str">
        <f aca="false">IF(A326&lt;mthend,EDATE(A326,1),"")</f>
        <v/>
      </c>
      <c r="B327" s="197" t="str">
        <f aca="false">IF(A327&lt;mthend,B326,"")</f>
        <v/>
      </c>
      <c r="C327" s="215"/>
      <c r="D327" s="197" t="str">
        <f aca="false">IF(A328&lt;&gt;"",B327+C327,"")</f>
        <v/>
      </c>
      <c r="E327" s="199" t="str">
        <f aca="false">IF(A328="","",IF(AND(AT327=1,$H$3=1),D327*AO327,IF($H$3=2,D327,"N/A")))</f>
        <v/>
      </c>
      <c r="F327" s="199" t="str">
        <f aca="false">IF(A328="","",E327*AS327)</f>
        <v/>
      </c>
      <c r="G327" s="200" t="str">
        <f aca="false">IF($A328="","",VLOOKUP($A327,Table,MATCH(G$4,Curves,0)))</f>
        <v/>
      </c>
      <c r="H327" s="201" t="str">
        <f aca="false">IF(A328="","",G327)</f>
        <v/>
      </c>
      <c r="I327" s="202"/>
      <c r="J327" s="200" t="str">
        <f aca="false">IF($A328="","",VLOOKUP($A327,Table,MATCH(J$4,Curves,0)))</f>
        <v/>
      </c>
      <c r="K327" s="201" t="str">
        <f aca="false">IF(A328="","",J327)</f>
        <v/>
      </c>
      <c r="L327" s="185" t="n">
        <v>0</v>
      </c>
      <c r="M327" s="201" t="str">
        <f aca="false">IF(A328="","",L327)</f>
        <v/>
      </c>
      <c r="N327" s="203"/>
      <c r="O327" s="200" t="str">
        <f aca="false">IF(A328="","",L327+J327+G327)</f>
        <v/>
      </c>
      <c r="P327" s="200" t="str">
        <f aca="false">IF(A328="","",M327+K327+H327)</f>
        <v/>
      </c>
      <c r="Q327" s="204"/>
      <c r="R327" s="200" t="str">
        <f aca="false">IF($A328="","",VLOOKUP($A327,Table,MATCH(R$4,Curves,0)))</f>
        <v/>
      </c>
      <c r="S327" s="201" t="str">
        <f aca="false">IF(A328="","",R327)</f>
        <v/>
      </c>
      <c r="T327" s="185" t="n">
        <v>0</v>
      </c>
      <c r="U327" s="201" t="str">
        <f aca="false">IF(A328="","",T327)</f>
        <v/>
      </c>
      <c r="V327" s="205"/>
      <c r="W327" s="202" t="str">
        <f aca="false">IF($A328="","",(T327+R327+G327+V327))</f>
        <v/>
      </c>
      <c r="X327" s="202" t="str">
        <f aca="false">IF($A328="","",(U327+S327+H327+V327))</f>
        <v/>
      </c>
      <c r="Y327" s="202"/>
      <c r="Z327" s="185" t="str">
        <f aca="false">IF($A328="","",VLOOKUP($A327,Table,MATCH(Z$4,Curves,0)))</f>
        <v/>
      </c>
      <c r="AA327" s="185" t="str">
        <f aca="false">IF($A328="","",VLOOKUP($A327,Table,MATCH(AA$4,Curves,0)))</f>
        <v/>
      </c>
      <c r="AB327" s="185" t="e">
        <f aca="false">SQRT((AA327^2*(A327-$D$3)+Z327^2*(DAY(EOMONTH(A327,0))/2))/AK327)</f>
        <v>#VALUE!</v>
      </c>
      <c r="AC327" s="185" t="str">
        <f aca="false">IF($A328="","",VLOOKUP($A327,Table,MATCH(AC$4,Curves,0)))</f>
        <v/>
      </c>
      <c r="AD327" s="185" t="str">
        <f aca="false">IF($A328="","",VLOOKUP($A327,Table,MATCH(AD$4,Curves,0)))</f>
        <v/>
      </c>
      <c r="AE327" s="185" t="e">
        <f aca="false">SQRT((AD327^2*(A327-$D$3)+AC327^2*(DAY(EOMONTH(A327,0))/2))/AK327)</f>
        <v>#VALUE!</v>
      </c>
      <c r="AF327" s="224" t="e">
        <f aca="false">((Summary!$N$13*(AA327*AD327)*(A327-$D$3))+(Summary!$M$13*Z327*AC327*(AJ327-EOMONTH(EDATE(A327,-1),0))))/(AK327*AB327*AE327)</f>
        <v>#VALUE!</v>
      </c>
      <c r="AG327" s="207" t="str">
        <f aca="false">IF($A328="","",Summary!$Q$13)</f>
        <v/>
      </c>
      <c r="AH327" s="207" t="str">
        <f aca="false">IF($A328="","",IF(Summary!$R$12="Y",(VLOOKUP($A327,Summary!$AD$6:$AF$9,3)+'Escalating commodity'!I340),'Escalating commodity'!I340))</f>
        <v/>
      </c>
      <c r="AI327" s="207" t="str">
        <f aca="false">IF($A328="","",AH327)</f>
        <v/>
      </c>
      <c r="AJ327" s="208" t="e">
        <f aca="false">A327+DAY(EOMONTH(A327,0))/2-1</f>
        <v>#VALUE!</v>
      </c>
      <c r="AK327" s="209" t="str">
        <f aca="false">IF($A328="","",$A327-$E$1)</f>
        <v/>
      </c>
      <c r="AL327" s="182" t="str">
        <f aca="false">IF($A328="","",SPRDOPT(P327,X327,AI327,0,AB327,AE327,AF327,AK327,$AJ$2,0))</f>
        <v/>
      </c>
      <c r="AM327" s="210" t="str">
        <f aca="false">IF($A328="","",MAX(0,O327-W327-AI327))</f>
        <v/>
      </c>
      <c r="AN327" s="211" t="str">
        <f aca="false">IF($A328="","",AL327-AM327)</f>
        <v/>
      </c>
      <c r="AO327" s="137" t="str">
        <f aca="false">IF(A328="","",A328-A327)</f>
        <v/>
      </c>
      <c r="AP327" s="212" t="str">
        <f aca="false">IF(A328="","",CHOOSE(F$3,A328+24,A327))</f>
        <v/>
      </c>
      <c r="AQ327" s="209" t="str">
        <f aca="false">IF(A328="","",AP327-$E$1)</f>
        <v/>
      </c>
      <c r="AR327" s="185" t="n">
        <f aca="false">'ANR OK vs ML7'!AR327</f>
        <v>0.1</v>
      </c>
      <c r="AS327" s="213" t="str">
        <f aca="false">IF(A328="","",1/(1+CHOOSE(F$3,(AR328+($I$3/10000))/2,(AR327+($I$3/10000))/2))^(2*AQ327/365.25))</f>
        <v/>
      </c>
      <c r="AT327" s="137" t="str">
        <f aca="false">IF(A328="","",IF(AND(mthbeg&lt;=A327,mthend&gt;=A327),1,0))</f>
        <v/>
      </c>
      <c r="AU327" s="137" t="str">
        <f aca="false">IF(A328="","",AO327*AT327)</f>
        <v/>
      </c>
      <c r="AW327" s="195" t="str">
        <f aca="false">IF($A328="","",AL327*$E327)</f>
        <v/>
      </c>
      <c r="AX327" s="195" t="str">
        <f aca="false">IF($A328="","",AM327*$E327)</f>
        <v/>
      </c>
      <c r="AY327" s="195" t="str">
        <f aca="false">IF($A328="","",AN327*$E327)</f>
        <v/>
      </c>
      <c r="BA327" s="195" t="str">
        <f aca="false">IF($A328="","",F327*Summary!$Q$13)</f>
        <v/>
      </c>
    </row>
    <row r="328" customFormat="false" ht="12" hidden="false" customHeight="true" outlineLevel="0" collapsed="false">
      <c r="A328" s="196" t="str">
        <f aca="false">IF(A327&lt;mthend,EDATE(A327,1),"")</f>
        <v/>
      </c>
      <c r="B328" s="197" t="str">
        <f aca="false">IF(A328&lt;mthend,B327,"")</f>
        <v/>
      </c>
      <c r="C328" s="215"/>
      <c r="D328" s="197" t="str">
        <f aca="false">IF(A329&lt;&gt;"",B328+C328,"")</f>
        <v/>
      </c>
      <c r="E328" s="199" t="str">
        <f aca="false">IF(A329="","",IF(AND(AT328=1,$H$3=1),D328*AO328,IF($H$3=2,D328,"N/A")))</f>
        <v/>
      </c>
      <c r="F328" s="199" t="str">
        <f aca="false">IF(A329="","",E328*AS328)</f>
        <v/>
      </c>
      <c r="G328" s="200" t="str">
        <f aca="false">IF($A329="","",VLOOKUP($A328,Table,MATCH(G$4,Curves,0)))</f>
        <v/>
      </c>
      <c r="H328" s="201" t="str">
        <f aca="false">IF(A329="","",G328)</f>
        <v/>
      </c>
      <c r="I328" s="202"/>
      <c r="J328" s="200" t="str">
        <f aca="false">IF($A329="","",VLOOKUP($A328,Table,MATCH(J$4,Curves,0)))</f>
        <v/>
      </c>
      <c r="K328" s="201" t="str">
        <f aca="false">IF(A329="","",J328)</f>
        <v/>
      </c>
      <c r="L328" s="185" t="n">
        <v>0</v>
      </c>
      <c r="M328" s="201" t="str">
        <f aca="false">IF(A329="","",L328)</f>
        <v/>
      </c>
      <c r="N328" s="203"/>
      <c r="O328" s="200" t="str">
        <f aca="false">IF(A329="","",L328+J328+G328)</f>
        <v/>
      </c>
      <c r="P328" s="200" t="str">
        <f aca="false">IF(A329="","",M328+K328+H328)</f>
        <v/>
      </c>
      <c r="Q328" s="204"/>
      <c r="R328" s="200" t="str">
        <f aca="false">IF($A329="","",VLOOKUP($A328,Table,MATCH(R$4,Curves,0)))</f>
        <v/>
      </c>
      <c r="S328" s="201" t="str">
        <f aca="false">IF(A329="","",R328)</f>
        <v/>
      </c>
      <c r="T328" s="185" t="n">
        <v>0</v>
      </c>
      <c r="U328" s="201" t="str">
        <f aca="false">IF(A329="","",T328)</f>
        <v/>
      </c>
      <c r="V328" s="205"/>
      <c r="W328" s="202" t="str">
        <f aca="false">IF($A329="","",(T328+R328+G328+V328))</f>
        <v/>
      </c>
      <c r="X328" s="202" t="str">
        <f aca="false">IF($A329="","",(U328+S328+H328+V328))</f>
        <v/>
      </c>
      <c r="Y328" s="202"/>
      <c r="Z328" s="185" t="str">
        <f aca="false">IF($A329="","",VLOOKUP($A328,Table,MATCH(Z$4,Curves,0)))</f>
        <v/>
      </c>
      <c r="AA328" s="185" t="str">
        <f aca="false">IF($A329="","",VLOOKUP($A328,Table,MATCH(AA$4,Curves,0)))</f>
        <v/>
      </c>
      <c r="AB328" s="185" t="e">
        <f aca="false">SQRT((AA328^2*(A328-$D$3)+Z328^2*(DAY(EOMONTH(A328,0))/2))/AK328)</f>
        <v>#VALUE!</v>
      </c>
      <c r="AC328" s="185" t="str">
        <f aca="false">IF($A329="","",VLOOKUP($A328,Table,MATCH(AC$4,Curves,0)))</f>
        <v/>
      </c>
      <c r="AD328" s="185" t="str">
        <f aca="false">IF($A329="","",VLOOKUP($A328,Table,MATCH(AD$4,Curves,0)))</f>
        <v/>
      </c>
      <c r="AE328" s="185" t="e">
        <f aca="false">SQRT((AD328^2*(A328-$D$3)+AC328^2*(DAY(EOMONTH(A328,0))/2))/AK328)</f>
        <v>#VALUE!</v>
      </c>
      <c r="AF328" s="224" t="e">
        <f aca="false">((Summary!$N$13*(AA328*AD328)*(A328-$D$3))+(Summary!$M$13*Z328*AC328*(AJ328-EOMONTH(EDATE(A328,-1),0))))/(AK328*AB328*AE328)</f>
        <v>#VALUE!</v>
      </c>
      <c r="AG328" s="207" t="str">
        <f aca="false">IF($A329="","",Summary!$Q$13)</f>
        <v/>
      </c>
      <c r="AH328" s="207" t="str">
        <f aca="false">IF($A329="","",IF(Summary!$R$12="Y",(VLOOKUP($A328,Summary!$AD$6:$AF$9,3)+'Escalating commodity'!I341),'Escalating commodity'!I341))</f>
        <v/>
      </c>
      <c r="AI328" s="207" t="str">
        <f aca="false">IF($A329="","",AH328)</f>
        <v/>
      </c>
      <c r="AJ328" s="208" t="e">
        <f aca="false">A328+DAY(EOMONTH(A328,0))/2-1</f>
        <v>#VALUE!</v>
      </c>
      <c r="AK328" s="209" t="str">
        <f aca="false">IF($A329="","",$A328-$E$1)</f>
        <v/>
      </c>
      <c r="AL328" s="182" t="str">
        <f aca="false">IF($A329="","",SPRDOPT(P328,X328,AI328,0,AB328,AE328,AF328,AK328,$AJ$2,0))</f>
        <v/>
      </c>
      <c r="AM328" s="210" t="str">
        <f aca="false">IF($A329="","",MAX(0,O328-W328-AI328))</f>
        <v/>
      </c>
      <c r="AN328" s="211" t="str">
        <f aca="false">IF($A329="","",AL328-AM328)</f>
        <v/>
      </c>
      <c r="AO328" s="137" t="str">
        <f aca="false">IF(A329="","",A329-A328)</f>
        <v/>
      </c>
      <c r="AP328" s="212" t="str">
        <f aca="false">IF(A329="","",CHOOSE(F$3,A329+24,A328))</f>
        <v/>
      </c>
      <c r="AQ328" s="209" t="str">
        <f aca="false">IF(A329="","",AP328-$E$1)</f>
        <v/>
      </c>
      <c r="AR328" s="185" t="n">
        <f aca="false">'ANR OK vs ML7'!AR328</f>
        <v>0.1</v>
      </c>
      <c r="AS328" s="213" t="str">
        <f aca="false">IF(A329="","",1/(1+CHOOSE(F$3,(AR329+($I$3/10000))/2,(AR328+($I$3/10000))/2))^(2*AQ328/365.25))</f>
        <v/>
      </c>
      <c r="AT328" s="137" t="str">
        <f aca="false">IF(A329="","",IF(AND(mthbeg&lt;=A328,mthend&gt;=A328),1,0))</f>
        <v/>
      </c>
      <c r="AU328" s="137" t="str">
        <f aca="false">IF(A329="","",AO328*AT328)</f>
        <v/>
      </c>
      <c r="AW328" s="195" t="str">
        <f aca="false">IF($A329="","",AL328*$E328)</f>
        <v/>
      </c>
      <c r="AX328" s="195" t="str">
        <f aca="false">IF($A329="","",AM328*$E328)</f>
        <v/>
      </c>
      <c r="AY328" s="195" t="str">
        <f aca="false">IF($A329="","",AN328*$E328)</f>
        <v/>
      </c>
      <c r="BA328" s="195" t="str">
        <f aca="false">IF($A329="","",F328*Summary!$Q$13)</f>
        <v/>
      </c>
    </row>
    <row r="329" customFormat="false" ht="12" hidden="false" customHeight="true" outlineLevel="0" collapsed="false">
      <c r="A329" s="196" t="str">
        <f aca="false">IF(A328&lt;mthend,EDATE(A328,1),"")</f>
        <v/>
      </c>
      <c r="B329" s="197" t="str">
        <f aca="false">IF(A329&lt;mthend,B328,"")</f>
        <v/>
      </c>
      <c r="C329" s="215"/>
      <c r="D329" s="197" t="str">
        <f aca="false">IF(A330&lt;&gt;"",B329+C329,"")</f>
        <v/>
      </c>
      <c r="E329" s="199" t="str">
        <f aca="false">IF(A330="","",IF(AND(AT329=1,$H$3=1),D329*AO329,IF($H$3=2,D329,"N/A")))</f>
        <v/>
      </c>
      <c r="F329" s="199" t="str">
        <f aca="false">IF(A330="","",E329*AS329)</f>
        <v/>
      </c>
      <c r="G329" s="200" t="str">
        <f aca="false">IF($A330="","",VLOOKUP($A329,Table,MATCH(G$4,Curves,0)))</f>
        <v/>
      </c>
      <c r="H329" s="201" t="str">
        <f aca="false">IF(A330="","",G329)</f>
        <v/>
      </c>
      <c r="I329" s="202"/>
      <c r="J329" s="200" t="str">
        <f aca="false">IF($A330="","",VLOOKUP($A329,Table,MATCH(J$4,Curves,0)))</f>
        <v/>
      </c>
      <c r="K329" s="201" t="str">
        <f aca="false">IF(A330="","",J329)</f>
        <v/>
      </c>
      <c r="L329" s="185" t="n">
        <v>0</v>
      </c>
      <c r="M329" s="201" t="str">
        <f aca="false">IF(A330="","",L329)</f>
        <v/>
      </c>
      <c r="N329" s="203"/>
      <c r="O329" s="200" t="str">
        <f aca="false">IF(A330="","",L329+J329+G329)</f>
        <v/>
      </c>
      <c r="P329" s="200" t="str">
        <f aca="false">IF(A330="","",M329+K329+H329)</f>
        <v/>
      </c>
      <c r="Q329" s="204"/>
      <c r="R329" s="200" t="str">
        <f aca="false">IF($A330="","",VLOOKUP($A329,Table,MATCH(R$4,Curves,0)))</f>
        <v/>
      </c>
      <c r="S329" s="201" t="str">
        <f aca="false">IF(A330="","",R329)</f>
        <v/>
      </c>
      <c r="T329" s="185" t="n">
        <v>0</v>
      </c>
      <c r="U329" s="201" t="str">
        <f aca="false">IF(A330="","",T329)</f>
        <v/>
      </c>
      <c r="V329" s="205"/>
      <c r="W329" s="202" t="str">
        <f aca="false">IF($A330="","",(T329+R329+G329+V329))</f>
        <v/>
      </c>
      <c r="X329" s="202" t="str">
        <f aca="false">IF($A330="","",(U329+S329+H329+V329))</f>
        <v/>
      </c>
      <c r="Y329" s="202"/>
      <c r="Z329" s="185" t="str">
        <f aca="false">IF($A330="","",VLOOKUP($A329,Table,MATCH(Z$4,Curves,0)))</f>
        <v/>
      </c>
      <c r="AA329" s="185" t="str">
        <f aca="false">IF($A330="","",VLOOKUP($A329,Table,MATCH(AA$4,Curves,0)))</f>
        <v/>
      </c>
      <c r="AB329" s="185" t="e">
        <f aca="false">SQRT((AA329^2*(A329-$D$3)+Z329^2*(DAY(EOMONTH(A329,0))/2))/AK329)</f>
        <v>#VALUE!</v>
      </c>
      <c r="AC329" s="185" t="str">
        <f aca="false">IF($A330="","",VLOOKUP($A329,Table,MATCH(AC$4,Curves,0)))</f>
        <v/>
      </c>
      <c r="AD329" s="185" t="str">
        <f aca="false">IF($A330="","",VLOOKUP($A329,Table,MATCH(AD$4,Curves,0)))</f>
        <v/>
      </c>
      <c r="AE329" s="185" t="e">
        <f aca="false">SQRT((AD329^2*(A329-$D$3)+AC329^2*(DAY(EOMONTH(A329,0))/2))/AK329)</f>
        <v>#VALUE!</v>
      </c>
      <c r="AF329" s="224" t="e">
        <f aca="false">((Summary!$N$13*(AA329*AD329)*(A329-$D$3))+(Summary!$M$13*Z329*AC329*(AJ329-EOMONTH(EDATE(A329,-1),0))))/(AK329*AB329*AE329)</f>
        <v>#VALUE!</v>
      </c>
      <c r="AG329" s="207" t="str">
        <f aca="false">IF($A330="","",Summary!$Q$13)</f>
        <v/>
      </c>
      <c r="AH329" s="207" t="str">
        <f aca="false">IF($A330="","",IF(Summary!$R$12="Y",(VLOOKUP($A329,Summary!$AD$6:$AF$9,3)+'Escalating commodity'!I342),'Escalating commodity'!I342))</f>
        <v/>
      </c>
      <c r="AI329" s="207" t="str">
        <f aca="false">IF($A330="","",AH329)</f>
        <v/>
      </c>
      <c r="AJ329" s="208" t="e">
        <f aca="false">A329+DAY(EOMONTH(A329,0))/2-1</f>
        <v>#VALUE!</v>
      </c>
      <c r="AK329" s="209" t="str">
        <f aca="false">IF($A330="","",$A329-$E$1)</f>
        <v/>
      </c>
      <c r="AL329" s="182" t="str">
        <f aca="false">IF($A330="","",SPRDOPT(P329,X329,AI329,0,AB329,AE329,AF329,AK329,$AJ$2,0))</f>
        <v/>
      </c>
      <c r="AM329" s="210" t="str">
        <f aca="false">IF($A330="","",MAX(0,O329-W329-AI329))</f>
        <v/>
      </c>
      <c r="AN329" s="211" t="str">
        <f aca="false">IF($A330="","",AL329-AM329)</f>
        <v/>
      </c>
      <c r="AO329" s="137" t="str">
        <f aca="false">IF(A330="","",A330-A329)</f>
        <v/>
      </c>
      <c r="AP329" s="212" t="str">
        <f aca="false">IF(A330="","",CHOOSE(F$3,A330+24,A329))</f>
        <v/>
      </c>
      <c r="AQ329" s="209" t="str">
        <f aca="false">IF(A330="","",AP329-$E$1)</f>
        <v/>
      </c>
      <c r="AR329" s="185" t="n">
        <f aca="false">'ANR OK vs ML7'!AR329</f>
        <v>0.1</v>
      </c>
      <c r="AS329" s="213" t="str">
        <f aca="false">IF(A330="","",1/(1+CHOOSE(F$3,(AR330+($I$3/10000))/2,(AR329+($I$3/10000))/2))^(2*AQ329/365.25))</f>
        <v/>
      </c>
      <c r="AT329" s="137" t="str">
        <f aca="false">IF(A330="","",IF(AND(mthbeg&lt;=A329,mthend&gt;=A329),1,0))</f>
        <v/>
      </c>
      <c r="AU329" s="137" t="str">
        <f aca="false">IF(A330="","",AO329*AT329)</f>
        <v/>
      </c>
      <c r="AW329" s="195" t="str">
        <f aca="false">IF($A330="","",AL329*$E329)</f>
        <v/>
      </c>
      <c r="AX329" s="195" t="str">
        <f aca="false">IF($A330="","",AM329*$E329)</f>
        <v/>
      </c>
      <c r="AY329" s="195" t="str">
        <f aca="false">IF($A330="","",AN329*$E329)</f>
        <v/>
      </c>
      <c r="BA329" s="195" t="str">
        <f aca="false">IF($A330="","",F329*Summary!$Q$13)</f>
        <v/>
      </c>
    </row>
    <row r="330" customFormat="false" ht="12" hidden="false" customHeight="true" outlineLevel="0" collapsed="false">
      <c r="A330" s="196" t="str">
        <f aca="false">IF(A329&lt;mthend,EDATE(A329,1),"")</f>
        <v/>
      </c>
      <c r="B330" s="197" t="str">
        <f aca="false">IF(A330&lt;mthend,B329,"")</f>
        <v/>
      </c>
      <c r="C330" s="215"/>
      <c r="D330" s="197" t="str">
        <f aca="false">IF(A331&lt;&gt;"",B330+C330,"")</f>
        <v/>
      </c>
      <c r="E330" s="199" t="str">
        <f aca="false">IF(A331="","",IF(AND(AT330=1,$H$3=1),D330*AO330,IF($H$3=2,D330,"N/A")))</f>
        <v/>
      </c>
      <c r="F330" s="199" t="str">
        <f aca="false">IF(A331="","",E330*AS330)</f>
        <v/>
      </c>
      <c r="G330" s="200" t="str">
        <f aca="false">IF($A331="","",VLOOKUP($A330,Table,MATCH(G$4,Curves,0)))</f>
        <v/>
      </c>
      <c r="H330" s="201" t="str">
        <f aca="false">IF(A331="","",G330)</f>
        <v/>
      </c>
      <c r="I330" s="202"/>
      <c r="J330" s="200" t="str">
        <f aca="false">IF($A331="","",VLOOKUP($A330,Table,MATCH(J$4,Curves,0)))</f>
        <v/>
      </c>
      <c r="K330" s="201" t="str">
        <f aca="false">IF(A331="","",J330)</f>
        <v/>
      </c>
      <c r="L330" s="185" t="n">
        <v>0</v>
      </c>
      <c r="M330" s="201" t="str">
        <f aca="false">IF(A331="","",L330)</f>
        <v/>
      </c>
      <c r="N330" s="203"/>
      <c r="O330" s="200" t="str">
        <f aca="false">IF(A331="","",L330+J330+G330)</f>
        <v/>
      </c>
      <c r="P330" s="200" t="str">
        <f aca="false">IF(A331="","",M330+K330+H330)</f>
        <v/>
      </c>
      <c r="Q330" s="204"/>
      <c r="R330" s="200" t="str">
        <f aca="false">IF($A331="","",VLOOKUP($A330,Table,MATCH(R$4,Curves,0)))</f>
        <v/>
      </c>
      <c r="S330" s="201" t="str">
        <f aca="false">IF(A331="","",R330)</f>
        <v/>
      </c>
      <c r="T330" s="185" t="n">
        <v>0</v>
      </c>
      <c r="U330" s="201" t="str">
        <f aca="false">IF(A331="","",T330)</f>
        <v/>
      </c>
      <c r="V330" s="205"/>
      <c r="W330" s="202" t="str">
        <f aca="false">IF($A331="","",(T330+R330+G330+V330))</f>
        <v/>
      </c>
      <c r="X330" s="202" t="str">
        <f aca="false">IF($A331="","",(U330+S330+H330+V330))</f>
        <v/>
      </c>
      <c r="Y330" s="202"/>
      <c r="Z330" s="185" t="str">
        <f aca="false">IF($A331="","",VLOOKUP($A330,Table,MATCH(Z$4,Curves,0)))</f>
        <v/>
      </c>
      <c r="AA330" s="185" t="str">
        <f aca="false">IF($A331="","",VLOOKUP($A330,Table,MATCH(AA$4,Curves,0)))</f>
        <v/>
      </c>
      <c r="AB330" s="185" t="e">
        <f aca="false">SQRT((AA330^2*(A330-$D$3)+Z330^2*(DAY(EOMONTH(A330,0))/2))/AK330)</f>
        <v>#VALUE!</v>
      </c>
      <c r="AC330" s="185" t="str">
        <f aca="false">IF($A331="","",VLOOKUP($A330,Table,MATCH(AC$4,Curves,0)))</f>
        <v/>
      </c>
      <c r="AD330" s="185" t="str">
        <f aca="false">IF($A331="","",VLOOKUP($A330,Table,MATCH(AD$4,Curves,0)))</f>
        <v/>
      </c>
      <c r="AE330" s="185" t="e">
        <f aca="false">SQRT((AD330^2*(A330-$D$3)+AC330^2*(DAY(EOMONTH(A330,0))/2))/AK330)</f>
        <v>#VALUE!</v>
      </c>
      <c r="AF330" s="224" t="e">
        <f aca="false">((Summary!$N$13*(AA330*AD330)*(A330-$D$3))+(Summary!$M$13*Z330*AC330*(AJ330-EOMONTH(EDATE(A330,-1),0))))/(AK330*AB330*AE330)</f>
        <v>#VALUE!</v>
      </c>
      <c r="AG330" s="207" t="str">
        <f aca="false">IF($A331="","",Summary!$Q$13)</f>
        <v/>
      </c>
      <c r="AH330" s="207" t="str">
        <f aca="false">IF($A331="","",IF(Summary!$R$12="Y",(VLOOKUP($A330,Summary!$AD$6:$AF$9,3)+'Escalating commodity'!I343),'Escalating commodity'!I343))</f>
        <v/>
      </c>
      <c r="AI330" s="207" t="str">
        <f aca="false">IF($A331="","",AH330)</f>
        <v/>
      </c>
      <c r="AJ330" s="208" t="e">
        <f aca="false">A330+DAY(EOMONTH(A330,0))/2-1</f>
        <v>#VALUE!</v>
      </c>
      <c r="AK330" s="209" t="str">
        <f aca="false">IF($A331="","",$A330-$E$1)</f>
        <v/>
      </c>
      <c r="AL330" s="182" t="str">
        <f aca="false">IF($A331="","",SPRDOPT(P330,X330,AI330,0,AB330,AE330,AF330,AK330,$AJ$2,0))</f>
        <v/>
      </c>
      <c r="AM330" s="210" t="str">
        <f aca="false">IF($A331="","",MAX(0,O330-W330-AI330))</f>
        <v/>
      </c>
      <c r="AN330" s="211" t="str">
        <f aca="false">IF($A331="","",AL330-AM330)</f>
        <v/>
      </c>
      <c r="AO330" s="137" t="str">
        <f aca="false">IF(A331="","",A331-A330)</f>
        <v/>
      </c>
      <c r="AP330" s="212" t="str">
        <f aca="false">IF(A331="","",CHOOSE(F$3,A331+24,A330))</f>
        <v/>
      </c>
      <c r="AQ330" s="209" t="str">
        <f aca="false">IF(A331="","",AP330-$E$1)</f>
        <v/>
      </c>
      <c r="AR330" s="185" t="n">
        <f aca="false">'ANR OK vs ML7'!AR330</f>
        <v>0.1</v>
      </c>
      <c r="AS330" s="213" t="str">
        <f aca="false">IF(A331="","",1/(1+CHOOSE(F$3,(AR331+($I$3/10000))/2,(AR330+($I$3/10000))/2))^(2*AQ330/365.25))</f>
        <v/>
      </c>
      <c r="AT330" s="137" t="str">
        <f aca="false">IF(A331="","",IF(AND(mthbeg&lt;=A330,mthend&gt;=A330),1,0))</f>
        <v/>
      </c>
      <c r="AU330" s="137" t="str">
        <f aca="false">IF(A331="","",AO330*AT330)</f>
        <v/>
      </c>
      <c r="AW330" s="195" t="str">
        <f aca="false">IF($A331="","",AL330*$E330)</f>
        <v/>
      </c>
      <c r="AX330" s="195" t="str">
        <f aca="false">IF($A331="","",AM330*$E330)</f>
        <v/>
      </c>
      <c r="AY330" s="195" t="str">
        <f aca="false">IF($A331="","",AN330*$E330)</f>
        <v/>
      </c>
      <c r="BA330" s="195" t="str">
        <f aca="false">IF($A331="","",F330*Summary!$Q$13)</f>
        <v/>
      </c>
    </row>
    <row r="331" customFormat="false" ht="12" hidden="false" customHeight="true" outlineLevel="0" collapsed="false">
      <c r="A331" s="196" t="str">
        <f aca="false">IF(A330&lt;mthend,EDATE(A330,1),"")</f>
        <v/>
      </c>
      <c r="B331" s="197" t="str">
        <f aca="false">IF(A331&lt;mthend,B330,"")</f>
        <v/>
      </c>
      <c r="C331" s="215"/>
      <c r="D331" s="197" t="str">
        <f aca="false">IF(A332&lt;&gt;"",B331+C331,"")</f>
        <v/>
      </c>
      <c r="E331" s="199" t="str">
        <f aca="false">IF(A332="","",IF(AND(AT331=1,$H$3=1),D331*AO331,IF($H$3=2,D331,"N/A")))</f>
        <v/>
      </c>
      <c r="F331" s="199" t="str">
        <f aca="false">IF(A332="","",E331*AS331)</f>
        <v/>
      </c>
      <c r="G331" s="200" t="str">
        <f aca="false">IF($A332="","",VLOOKUP($A331,Table,MATCH(G$4,Curves,0)))</f>
        <v/>
      </c>
      <c r="H331" s="201" t="str">
        <f aca="false">IF(A332="","",G331)</f>
        <v/>
      </c>
      <c r="I331" s="202"/>
      <c r="J331" s="200" t="str">
        <f aca="false">IF($A332="","",VLOOKUP($A331,Table,MATCH(J$4,Curves,0)))</f>
        <v/>
      </c>
      <c r="K331" s="201" t="str">
        <f aca="false">IF(A332="","",J331)</f>
        <v/>
      </c>
      <c r="L331" s="185" t="n">
        <v>0</v>
      </c>
      <c r="M331" s="201" t="str">
        <f aca="false">IF(A332="","",L331)</f>
        <v/>
      </c>
      <c r="N331" s="203"/>
      <c r="O331" s="200" t="str">
        <f aca="false">IF(A332="","",L331+J331+G331)</f>
        <v/>
      </c>
      <c r="P331" s="200" t="str">
        <f aca="false">IF(A332="","",M331+K331+H331)</f>
        <v/>
      </c>
      <c r="Q331" s="204"/>
      <c r="R331" s="200" t="str">
        <f aca="false">IF($A332="","",VLOOKUP($A331,Table,MATCH(R$4,Curves,0)))</f>
        <v/>
      </c>
      <c r="S331" s="201" t="str">
        <f aca="false">IF(A332="","",R331)</f>
        <v/>
      </c>
      <c r="T331" s="185" t="n">
        <v>0</v>
      </c>
      <c r="U331" s="201" t="str">
        <f aca="false">IF(A332="","",T331)</f>
        <v/>
      </c>
      <c r="V331" s="205"/>
      <c r="W331" s="202" t="str">
        <f aca="false">IF($A332="","",(T331+R331+G331+V331))</f>
        <v/>
      </c>
      <c r="X331" s="202" t="str">
        <f aca="false">IF($A332="","",(U331+S331+H331+V331))</f>
        <v/>
      </c>
      <c r="Y331" s="202"/>
      <c r="Z331" s="185" t="str">
        <f aca="false">IF($A332="","",VLOOKUP($A331,Table,MATCH(Z$4,Curves,0)))</f>
        <v/>
      </c>
      <c r="AA331" s="185" t="str">
        <f aca="false">IF($A332="","",VLOOKUP($A331,Table,MATCH(AA$4,Curves,0)))</f>
        <v/>
      </c>
      <c r="AB331" s="185" t="e">
        <f aca="false">SQRT((AA331^2*(A331-$D$3)+Z331^2*(DAY(EOMONTH(A331,0))/2))/AK331)</f>
        <v>#VALUE!</v>
      </c>
      <c r="AC331" s="185" t="str">
        <f aca="false">IF($A332="","",VLOOKUP($A331,Table,MATCH(AC$4,Curves,0)))</f>
        <v/>
      </c>
      <c r="AD331" s="185" t="str">
        <f aca="false">IF($A332="","",VLOOKUP($A331,Table,MATCH(AD$4,Curves,0)))</f>
        <v/>
      </c>
      <c r="AE331" s="185" t="e">
        <f aca="false">SQRT((AD331^2*(A331-$D$3)+AC331^2*(DAY(EOMONTH(A331,0))/2))/AK331)</f>
        <v>#VALUE!</v>
      </c>
      <c r="AF331" s="224" t="e">
        <f aca="false">((Summary!$N$13*(AA331*AD331)*(A331-$D$3))+(Summary!$M$13*Z331*AC331*(AJ331-EOMONTH(EDATE(A331,-1),0))))/(AK331*AB331*AE331)</f>
        <v>#VALUE!</v>
      </c>
      <c r="AG331" s="207" t="str">
        <f aca="false">IF($A332="","",Summary!$Q$13)</f>
        <v/>
      </c>
      <c r="AH331" s="207" t="str">
        <f aca="false">IF($A332="","",IF(Summary!$R$12="Y",(VLOOKUP($A331,Summary!$AD$6:$AF$9,3)+'Escalating commodity'!I344),'Escalating commodity'!I344))</f>
        <v/>
      </c>
      <c r="AI331" s="207" t="str">
        <f aca="false">IF($A332="","",AH331)</f>
        <v/>
      </c>
      <c r="AJ331" s="208" t="e">
        <f aca="false">A331+DAY(EOMONTH(A331,0))/2-1</f>
        <v>#VALUE!</v>
      </c>
      <c r="AK331" s="209" t="str">
        <f aca="false">IF($A332="","",$A331-$E$1)</f>
        <v/>
      </c>
      <c r="AL331" s="182" t="str">
        <f aca="false">IF($A332="","",SPRDOPT(P331,X331,AI331,0,AB331,AE331,AF331,AK331,$AJ$2,0))</f>
        <v/>
      </c>
      <c r="AM331" s="210" t="str">
        <f aca="false">IF($A332="","",MAX(0,O331-W331-AI331))</f>
        <v/>
      </c>
      <c r="AN331" s="211" t="str">
        <f aca="false">IF($A332="","",AL331-AM331)</f>
        <v/>
      </c>
      <c r="AO331" s="137" t="str">
        <f aca="false">IF(A332="","",A332-A331)</f>
        <v/>
      </c>
      <c r="AP331" s="212" t="str">
        <f aca="false">IF(A332="","",CHOOSE(F$3,A332+24,A331))</f>
        <v/>
      </c>
      <c r="AQ331" s="209" t="str">
        <f aca="false">IF(A332="","",AP331-$E$1)</f>
        <v/>
      </c>
      <c r="AR331" s="185" t="n">
        <f aca="false">'ANR OK vs ML7'!AR331</f>
        <v>0.1</v>
      </c>
      <c r="AS331" s="213" t="str">
        <f aca="false">IF(A332="","",1/(1+CHOOSE(F$3,(AR332+($I$3/10000))/2,(AR331+($I$3/10000))/2))^(2*AQ331/365.25))</f>
        <v/>
      </c>
      <c r="AT331" s="137" t="str">
        <f aca="false">IF(A332="","",IF(AND(mthbeg&lt;=A331,mthend&gt;=A331),1,0))</f>
        <v/>
      </c>
      <c r="AU331" s="137" t="str">
        <f aca="false">IF(A332="","",AO331*AT331)</f>
        <v/>
      </c>
      <c r="AW331" s="195" t="str">
        <f aca="false">IF($A332="","",AL331*$E331)</f>
        <v/>
      </c>
      <c r="AX331" s="195" t="str">
        <f aca="false">IF($A332="","",AM331*$E331)</f>
        <v/>
      </c>
      <c r="AY331" s="195" t="str">
        <f aca="false">IF($A332="","",AN331*$E331)</f>
        <v/>
      </c>
      <c r="BA331" s="195" t="str">
        <f aca="false">IF($A332="","",F331*Summary!$Q$13)</f>
        <v/>
      </c>
    </row>
    <row r="332" customFormat="false" ht="12" hidden="false" customHeight="true" outlineLevel="0" collapsed="false">
      <c r="A332" s="196" t="str">
        <f aca="false">IF(A331&lt;mthend,EDATE(A331,1),"")</f>
        <v/>
      </c>
      <c r="B332" s="197" t="str">
        <f aca="false">IF(A332&lt;mthend,B331,"")</f>
        <v/>
      </c>
      <c r="C332" s="215"/>
      <c r="D332" s="197" t="str">
        <f aca="false">IF(A333&lt;&gt;"",B332+C332,"")</f>
        <v/>
      </c>
      <c r="E332" s="199" t="str">
        <f aca="false">IF(A333="","",IF(AND(AT332=1,$H$3=1),D332*AO332,IF($H$3=2,D332,"N/A")))</f>
        <v/>
      </c>
      <c r="F332" s="199" t="str">
        <f aca="false">IF(A333="","",E332*AS332)</f>
        <v/>
      </c>
      <c r="G332" s="200" t="str">
        <f aca="false">IF($A333="","",VLOOKUP($A332,Table,MATCH(G$4,Curves,0)))</f>
        <v/>
      </c>
      <c r="H332" s="201" t="str">
        <f aca="false">IF(A333="","",G332)</f>
        <v/>
      </c>
      <c r="I332" s="202"/>
      <c r="J332" s="200" t="str">
        <f aca="false">IF($A333="","",VLOOKUP($A332,Table,MATCH(J$4,Curves,0)))</f>
        <v/>
      </c>
      <c r="K332" s="201" t="str">
        <f aca="false">IF(A333="","",J332)</f>
        <v/>
      </c>
      <c r="L332" s="185" t="n">
        <v>0</v>
      </c>
      <c r="M332" s="201" t="str">
        <f aca="false">IF(A333="","",L332)</f>
        <v/>
      </c>
      <c r="N332" s="203"/>
      <c r="O332" s="200" t="str">
        <f aca="false">IF(A333="","",L332+J332+G332)</f>
        <v/>
      </c>
      <c r="P332" s="200" t="str">
        <f aca="false">IF(A333="","",M332+K332+H332)</f>
        <v/>
      </c>
      <c r="Q332" s="204"/>
      <c r="R332" s="200" t="str">
        <f aca="false">IF($A333="","",VLOOKUP($A332,Table,MATCH(R$4,Curves,0)))</f>
        <v/>
      </c>
      <c r="S332" s="201" t="str">
        <f aca="false">IF(A333="","",R332)</f>
        <v/>
      </c>
      <c r="T332" s="185" t="n">
        <v>0</v>
      </c>
      <c r="U332" s="201" t="str">
        <f aca="false">IF(A333="","",T332)</f>
        <v/>
      </c>
      <c r="V332" s="205"/>
      <c r="W332" s="202" t="str">
        <f aca="false">IF($A333="","",(T332+R332+G332+V332))</f>
        <v/>
      </c>
      <c r="X332" s="202" t="str">
        <f aca="false">IF($A333="","",(U332+S332+H332+V332))</f>
        <v/>
      </c>
      <c r="Y332" s="202"/>
      <c r="Z332" s="185" t="str">
        <f aca="false">IF($A333="","",VLOOKUP($A332,Table,MATCH(Z$4,Curves,0)))</f>
        <v/>
      </c>
      <c r="AA332" s="185" t="str">
        <f aca="false">IF($A333="","",VLOOKUP($A332,Table,MATCH(AA$4,Curves,0)))</f>
        <v/>
      </c>
      <c r="AB332" s="185" t="e">
        <f aca="false">SQRT((AA332^2*(A332-$D$3)+Z332^2*(DAY(EOMONTH(A332,0))/2))/AK332)</f>
        <v>#VALUE!</v>
      </c>
      <c r="AC332" s="185" t="str">
        <f aca="false">IF($A333="","",VLOOKUP($A332,Table,MATCH(AC$4,Curves,0)))</f>
        <v/>
      </c>
      <c r="AD332" s="185" t="str">
        <f aca="false">IF($A333="","",VLOOKUP($A332,Table,MATCH(AD$4,Curves,0)))</f>
        <v/>
      </c>
      <c r="AE332" s="185" t="e">
        <f aca="false">SQRT((AD332^2*(A332-$D$3)+AC332^2*(DAY(EOMONTH(A332,0))/2))/AK332)</f>
        <v>#VALUE!</v>
      </c>
      <c r="AF332" s="224" t="e">
        <f aca="false">((Summary!$N$13*(AA332*AD332)*(A332-$D$3))+(Summary!$M$13*Z332*AC332*(AJ332-EOMONTH(EDATE(A332,-1),0))))/(AK332*AB332*AE332)</f>
        <v>#VALUE!</v>
      </c>
      <c r="AG332" s="207" t="str">
        <f aca="false">IF($A333="","",Summary!$Q$13)</f>
        <v/>
      </c>
      <c r="AH332" s="207" t="str">
        <f aca="false">IF($A333="","",IF(Summary!$R$12="Y",(VLOOKUP($A332,Summary!$AD$6:$AF$9,3)+'Escalating commodity'!I345),'Escalating commodity'!I345))</f>
        <v/>
      </c>
      <c r="AI332" s="207" t="str">
        <f aca="false">IF($A333="","",AH332)</f>
        <v/>
      </c>
      <c r="AJ332" s="208" t="e">
        <f aca="false">A332+DAY(EOMONTH(A332,0))/2-1</f>
        <v>#VALUE!</v>
      </c>
      <c r="AK332" s="209" t="str">
        <f aca="false">IF($A333="","",$A332-$E$1)</f>
        <v/>
      </c>
      <c r="AL332" s="182" t="str">
        <f aca="false">IF($A333="","",SPRDOPT(P332,X332,AI332,0,AB332,AE332,AF332,AK332,$AJ$2,0))</f>
        <v/>
      </c>
      <c r="AM332" s="210" t="str">
        <f aca="false">IF($A333="","",MAX(0,O332-W332-AI332))</f>
        <v/>
      </c>
      <c r="AN332" s="211" t="str">
        <f aca="false">IF($A333="","",AL332-AM332)</f>
        <v/>
      </c>
      <c r="AO332" s="137" t="str">
        <f aca="false">IF(A333="","",A333-A332)</f>
        <v/>
      </c>
      <c r="AP332" s="212" t="str">
        <f aca="false">IF(A333="","",CHOOSE(F$3,A333+24,A332))</f>
        <v/>
      </c>
      <c r="AQ332" s="209" t="str">
        <f aca="false">IF(A333="","",AP332-$E$1)</f>
        <v/>
      </c>
      <c r="AR332" s="185" t="n">
        <f aca="false">'ANR OK vs ML7'!AR332</f>
        <v>0.1</v>
      </c>
      <c r="AS332" s="213" t="str">
        <f aca="false">IF(A333="","",1/(1+CHOOSE(F$3,(AR333+($I$3/10000))/2,(AR332+($I$3/10000))/2))^(2*AQ332/365.25))</f>
        <v/>
      </c>
      <c r="AT332" s="137" t="str">
        <f aca="false">IF(A333="","",IF(AND(mthbeg&lt;=A332,mthend&gt;=A332),1,0))</f>
        <v/>
      </c>
      <c r="AU332" s="137" t="str">
        <f aca="false">IF(A333="","",AO332*AT332)</f>
        <v/>
      </c>
      <c r="AW332" s="195" t="str">
        <f aca="false">IF($A333="","",AL332*$E332)</f>
        <v/>
      </c>
      <c r="AX332" s="195" t="str">
        <f aca="false">IF($A333="","",AM332*$E332)</f>
        <v/>
      </c>
      <c r="AY332" s="195" t="str">
        <f aca="false">IF($A333="","",AN332*$E332)</f>
        <v/>
      </c>
      <c r="BA332" s="195" t="str">
        <f aca="false">IF($A333="","",F332*Summary!$Q$13)</f>
        <v/>
      </c>
    </row>
    <row r="333" customFormat="false" ht="12" hidden="false" customHeight="true" outlineLevel="0" collapsed="false">
      <c r="A333" s="196" t="str">
        <f aca="false">IF(A332&lt;mthend,EDATE(A332,1),"")</f>
        <v/>
      </c>
      <c r="B333" s="197" t="str">
        <f aca="false">IF(A333&lt;mthend,B332,"")</f>
        <v/>
      </c>
      <c r="C333" s="215"/>
      <c r="D333" s="197" t="str">
        <f aca="false">IF(A334&lt;&gt;"",B333+C333,"")</f>
        <v/>
      </c>
      <c r="E333" s="199" t="str">
        <f aca="false">IF(A334="","",IF(AND(AT333=1,$H$3=1),D333*AO333,IF($H$3=2,D333,"N/A")))</f>
        <v/>
      </c>
      <c r="F333" s="199" t="str">
        <f aca="false">IF(A334="","",E333*AS333)</f>
        <v/>
      </c>
      <c r="G333" s="200" t="str">
        <f aca="false">IF($A334="","",VLOOKUP($A333,Table,MATCH(G$4,Curves,0)))</f>
        <v/>
      </c>
      <c r="H333" s="201" t="str">
        <f aca="false">IF(A334="","",G333)</f>
        <v/>
      </c>
      <c r="I333" s="202"/>
      <c r="J333" s="200" t="str">
        <f aca="false">IF($A334="","",VLOOKUP($A333,Table,MATCH(J$4,Curves,0)))</f>
        <v/>
      </c>
      <c r="K333" s="201" t="str">
        <f aca="false">IF(A334="","",J333)</f>
        <v/>
      </c>
      <c r="L333" s="185" t="n">
        <v>0</v>
      </c>
      <c r="M333" s="201" t="str">
        <f aca="false">IF(A334="","",L333)</f>
        <v/>
      </c>
      <c r="N333" s="203"/>
      <c r="O333" s="200" t="str">
        <f aca="false">IF(A334="","",L333+J333+G333)</f>
        <v/>
      </c>
      <c r="P333" s="200" t="str">
        <f aca="false">IF(A334="","",M333+K333+H333)</f>
        <v/>
      </c>
      <c r="Q333" s="204"/>
      <c r="R333" s="200" t="str">
        <f aca="false">IF($A334="","",VLOOKUP($A333,Table,MATCH(R$4,Curves,0)))</f>
        <v/>
      </c>
      <c r="S333" s="201" t="str">
        <f aca="false">IF(A334="","",R333)</f>
        <v/>
      </c>
      <c r="T333" s="185" t="n">
        <v>0</v>
      </c>
      <c r="U333" s="201" t="str">
        <f aca="false">IF(A334="","",T333)</f>
        <v/>
      </c>
      <c r="V333" s="205"/>
      <c r="W333" s="202" t="str">
        <f aca="false">IF($A334="","",(T333+R333+G333+V333))</f>
        <v/>
      </c>
      <c r="X333" s="202" t="str">
        <f aca="false">IF($A334="","",(U333+S333+H333+V333))</f>
        <v/>
      </c>
      <c r="Y333" s="202"/>
      <c r="Z333" s="185" t="str">
        <f aca="false">IF($A334="","",VLOOKUP($A333,Table,MATCH(Z$4,Curves,0)))</f>
        <v/>
      </c>
      <c r="AA333" s="185" t="str">
        <f aca="false">IF($A334="","",VLOOKUP($A333,Table,MATCH(AA$4,Curves,0)))</f>
        <v/>
      </c>
      <c r="AB333" s="185" t="e">
        <f aca="false">SQRT((AA333^2*(A333-$D$3)+Z333^2*(DAY(EOMONTH(A333,0))/2))/AK333)</f>
        <v>#VALUE!</v>
      </c>
      <c r="AC333" s="185" t="str">
        <f aca="false">IF($A334="","",VLOOKUP($A333,Table,MATCH(AC$4,Curves,0)))</f>
        <v/>
      </c>
      <c r="AD333" s="185" t="str">
        <f aca="false">IF($A334="","",VLOOKUP($A333,Table,MATCH(AD$4,Curves,0)))</f>
        <v/>
      </c>
      <c r="AE333" s="185" t="e">
        <f aca="false">SQRT((AD333^2*(A333-$D$3)+AC333^2*(DAY(EOMONTH(A333,0))/2))/AK333)</f>
        <v>#VALUE!</v>
      </c>
      <c r="AF333" s="224" t="e">
        <f aca="false">((Summary!$N$13*(AA333*AD333)*(A333-$D$3))+(Summary!$M$13*Z333*AC333*(AJ333-EOMONTH(EDATE(A333,-1),0))))/(AK333*AB333*AE333)</f>
        <v>#VALUE!</v>
      </c>
      <c r="AG333" s="207" t="str">
        <f aca="false">IF($A334="","",Summary!$Q$13)</f>
        <v/>
      </c>
      <c r="AH333" s="207" t="str">
        <f aca="false">IF($A334="","",IF(Summary!$R$12="Y",(VLOOKUP($A333,Summary!$AD$6:$AF$9,3)+'Escalating commodity'!I346),'Escalating commodity'!I346))</f>
        <v/>
      </c>
      <c r="AI333" s="207" t="str">
        <f aca="false">IF($A334="","",AH333)</f>
        <v/>
      </c>
      <c r="AJ333" s="208" t="e">
        <f aca="false">A333+DAY(EOMONTH(A333,0))/2-1</f>
        <v>#VALUE!</v>
      </c>
      <c r="AK333" s="209" t="str">
        <f aca="false">IF($A334="","",$A333-$E$1)</f>
        <v/>
      </c>
      <c r="AL333" s="182" t="str">
        <f aca="false">IF($A334="","",SPRDOPT(P333,X333,AI333,0,AB333,AE333,AF333,AK333,$AJ$2,0))</f>
        <v/>
      </c>
      <c r="AM333" s="210" t="str">
        <f aca="false">IF($A334="","",MAX(0,O333-W333-AI333))</f>
        <v/>
      </c>
      <c r="AN333" s="211" t="str">
        <f aca="false">IF($A334="","",AL333-AM333)</f>
        <v/>
      </c>
      <c r="AO333" s="137" t="str">
        <f aca="false">IF(A334="","",A334-A333)</f>
        <v/>
      </c>
      <c r="AP333" s="212" t="str">
        <f aca="false">IF(A334="","",CHOOSE(F$3,A334+24,A333))</f>
        <v/>
      </c>
      <c r="AQ333" s="209" t="str">
        <f aca="false">IF(A334="","",AP333-$E$1)</f>
        <v/>
      </c>
      <c r="AR333" s="185" t="n">
        <f aca="false">'ANR OK vs ML7'!AR333</f>
        <v>0.1</v>
      </c>
      <c r="AS333" s="213" t="str">
        <f aca="false">IF(A334="","",1/(1+CHOOSE(F$3,(AR334+($I$3/10000))/2,(AR333+($I$3/10000))/2))^(2*AQ333/365.25))</f>
        <v/>
      </c>
      <c r="AT333" s="137" t="str">
        <f aca="false">IF(A334="","",IF(AND(mthbeg&lt;=A333,mthend&gt;=A333),1,0))</f>
        <v/>
      </c>
      <c r="AU333" s="137" t="str">
        <f aca="false">IF(A334="","",AO333*AT333)</f>
        <v/>
      </c>
      <c r="AW333" s="195" t="str">
        <f aca="false">IF($A334="","",AL333*$E333)</f>
        <v/>
      </c>
      <c r="AX333" s="195" t="str">
        <f aca="false">IF($A334="","",AM333*$E333)</f>
        <v/>
      </c>
      <c r="AY333" s="195" t="str">
        <f aca="false">IF($A334="","",AN333*$E333)</f>
        <v/>
      </c>
      <c r="BA333" s="195" t="str">
        <f aca="false">IF($A334="","",F333*Summary!$Q$13)</f>
        <v/>
      </c>
    </row>
    <row r="334" customFormat="false" ht="12" hidden="false" customHeight="true" outlineLevel="0" collapsed="false">
      <c r="A334" s="196" t="str">
        <f aca="false">IF(A333&lt;mthend,EDATE(A333,1),"")</f>
        <v/>
      </c>
      <c r="B334" s="197" t="str">
        <f aca="false">IF(A334&lt;mthend,B333,"")</f>
        <v/>
      </c>
      <c r="C334" s="215"/>
      <c r="D334" s="197" t="str">
        <f aca="false">IF(A335&lt;&gt;"",B334+C334,"")</f>
        <v/>
      </c>
      <c r="E334" s="199" t="str">
        <f aca="false">IF(A335="","",IF(AND(AT334=1,$H$3=1),D334*AO334,IF($H$3=2,D334,"N/A")))</f>
        <v/>
      </c>
      <c r="F334" s="199" t="str">
        <f aca="false">IF(A335="","",E334*AS334)</f>
        <v/>
      </c>
      <c r="G334" s="200" t="str">
        <f aca="false">IF($A335="","",VLOOKUP($A334,Table,MATCH(G$4,Curves,0)))</f>
        <v/>
      </c>
      <c r="H334" s="201" t="str">
        <f aca="false">IF(A335="","",G334)</f>
        <v/>
      </c>
      <c r="I334" s="202"/>
      <c r="J334" s="200" t="str">
        <f aca="false">IF($A335="","",VLOOKUP($A334,Table,MATCH(J$4,Curves,0)))</f>
        <v/>
      </c>
      <c r="K334" s="201" t="str">
        <f aca="false">IF(A335="","",J334)</f>
        <v/>
      </c>
      <c r="L334" s="185" t="n">
        <v>0</v>
      </c>
      <c r="M334" s="201" t="str">
        <f aca="false">IF(A335="","",L334)</f>
        <v/>
      </c>
      <c r="N334" s="203"/>
      <c r="O334" s="200" t="str">
        <f aca="false">IF(A335="","",L334+J334+G334)</f>
        <v/>
      </c>
      <c r="P334" s="200" t="str">
        <f aca="false">IF(A335="","",M334+K334+H334)</f>
        <v/>
      </c>
      <c r="Q334" s="204"/>
      <c r="R334" s="200" t="str">
        <f aca="false">IF($A335="","",VLOOKUP($A334,Table,MATCH(R$4,Curves,0)))</f>
        <v/>
      </c>
      <c r="S334" s="201" t="str">
        <f aca="false">IF(A335="","",R334)</f>
        <v/>
      </c>
      <c r="T334" s="185" t="n">
        <v>0</v>
      </c>
      <c r="U334" s="201" t="str">
        <f aca="false">IF(A335="","",T334)</f>
        <v/>
      </c>
      <c r="V334" s="205"/>
      <c r="W334" s="202" t="str">
        <f aca="false">IF($A335="","",(T334+R334+G334+V334))</f>
        <v/>
      </c>
      <c r="X334" s="202" t="str">
        <f aca="false">IF($A335="","",(U334+S334+H334+V334))</f>
        <v/>
      </c>
      <c r="Y334" s="202"/>
      <c r="Z334" s="185" t="str">
        <f aca="false">IF($A335="","",VLOOKUP($A334,Table,MATCH(Z$4,Curves,0)))</f>
        <v/>
      </c>
      <c r="AA334" s="185" t="str">
        <f aca="false">IF($A335="","",VLOOKUP($A334,Table,MATCH(AA$4,Curves,0)))</f>
        <v/>
      </c>
      <c r="AB334" s="185" t="e">
        <f aca="false">SQRT((AA334^2*(A334-$D$3)+Z334^2*(DAY(EOMONTH(A334,0))/2))/AK334)</f>
        <v>#VALUE!</v>
      </c>
      <c r="AC334" s="185" t="str">
        <f aca="false">IF($A335="","",VLOOKUP($A334,Table,MATCH(AC$4,Curves,0)))</f>
        <v/>
      </c>
      <c r="AD334" s="185" t="str">
        <f aca="false">IF($A335="","",VLOOKUP($A334,Table,MATCH(AD$4,Curves,0)))</f>
        <v/>
      </c>
      <c r="AE334" s="185" t="e">
        <f aca="false">SQRT((AD334^2*(A334-$D$3)+AC334^2*(DAY(EOMONTH(A334,0))/2))/AK334)</f>
        <v>#VALUE!</v>
      </c>
      <c r="AF334" s="224" t="e">
        <f aca="false">((Summary!$N$13*(AA334*AD334)*(A334-$D$3))+(Summary!$M$13*Z334*AC334*(AJ334-EOMONTH(EDATE(A334,-1),0))))/(AK334*AB334*AE334)</f>
        <v>#VALUE!</v>
      </c>
      <c r="AG334" s="207" t="str">
        <f aca="false">IF($A335="","",Summary!$Q$13)</f>
        <v/>
      </c>
      <c r="AH334" s="207" t="str">
        <f aca="false">IF($A335="","",IF(Summary!$R$12="Y",(VLOOKUP($A334,Summary!$AD$6:$AF$9,3)+'Escalating commodity'!I347),'Escalating commodity'!I347))</f>
        <v/>
      </c>
      <c r="AI334" s="207" t="str">
        <f aca="false">IF($A335="","",AH334)</f>
        <v/>
      </c>
      <c r="AJ334" s="208" t="e">
        <f aca="false">A334+DAY(EOMONTH(A334,0))/2-1</f>
        <v>#VALUE!</v>
      </c>
      <c r="AK334" s="209" t="str">
        <f aca="false">IF($A335="","",$A334-$E$1)</f>
        <v/>
      </c>
      <c r="AL334" s="182" t="str">
        <f aca="false">IF($A335="","",SPRDOPT(P334,X334,AI334,0,AB334,AE334,AF334,AK334,$AJ$2,0))</f>
        <v/>
      </c>
      <c r="AM334" s="210" t="str">
        <f aca="false">IF($A335="","",MAX(0,O334-W334-AI334))</f>
        <v/>
      </c>
      <c r="AN334" s="211" t="str">
        <f aca="false">IF($A335="","",AL334-AM334)</f>
        <v/>
      </c>
      <c r="AO334" s="137" t="str">
        <f aca="false">IF(A335="","",A335-A334)</f>
        <v/>
      </c>
      <c r="AP334" s="212" t="str">
        <f aca="false">IF(A335="","",CHOOSE(F$3,A335+24,A334))</f>
        <v/>
      </c>
      <c r="AQ334" s="209" t="str">
        <f aca="false">IF(A335="","",AP334-$E$1)</f>
        <v/>
      </c>
      <c r="AR334" s="185" t="n">
        <f aca="false">'ANR OK vs ML7'!AR334</f>
        <v>0.1</v>
      </c>
      <c r="AS334" s="213" t="str">
        <f aca="false">IF(A335="","",1/(1+CHOOSE(F$3,(AR335+($I$3/10000))/2,(AR334+($I$3/10000))/2))^(2*AQ334/365.25))</f>
        <v/>
      </c>
      <c r="AT334" s="137" t="str">
        <f aca="false">IF(A335="","",IF(AND(mthbeg&lt;=A334,mthend&gt;=A334),1,0))</f>
        <v/>
      </c>
      <c r="AU334" s="137" t="str">
        <f aca="false">IF(A335="","",AO334*AT334)</f>
        <v/>
      </c>
      <c r="AW334" s="195" t="str">
        <f aca="false">IF($A335="","",AL334*$E334)</f>
        <v/>
      </c>
      <c r="AX334" s="195" t="str">
        <f aca="false">IF($A335="","",AM334*$E334)</f>
        <v/>
      </c>
      <c r="AY334" s="195" t="str">
        <f aca="false">IF($A335="","",AN334*$E334)</f>
        <v/>
      </c>
      <c r="BA334" s="195" t="str">
        <f aca="false">IF($A335="","",F334*Summary!$Q$13)</f>
        <v/>
      </c>
    </row>
    <row r="335" customFormat="false" ht="12" hidden="false" customHeight="true" outlineLevel="0" collapsed="false">
      <c r="A335" s="196" t="str">
        <f aca="false">IF(A334&lt;mthend,EDATE(A334,1),"")</f>
        <v/>
      </c>
      <c r="B335" s="197" t="str">
        <f aca="false">IF(A335&lt;mthend,B334,"")</f>
        <v/>
      </c>
      <c r="C335" s="215"/>
      <c r="D335" s="197" t="str">
        <f aca="false">IF(A336&lt;&gt;"",B335+C335,"")</f>
        <v/>
      </c>
      <c r="E335" s="199" t="str">
        <f aca="false">IF(A336="","",IF(AND(AT335=1,$H$3=1),D335*AO335,IF($H$3=2,D335,"N/A")))</f>
        <v/>
      </c>
      <c r="F335" s="199" t="str">
        <f aca="false">IF(A336="","",E335*AS335)</f>
        <v/>
      </c>
      <c r="G335" s="200" t="str">
        <f aca="false">IF($A336="","",VLOOKUP($A335,Table,MATCH(G$4,Curves,0)))</f>
        <v/>
      </c>
      <c r="H335" s="201" t="str">
        <f aca="false">IF(A336="","",G335)</f>
        <v/>
      </c>
      <c r="I335" s="202"/>
      <c r="J335" s="200" t="str">
        <f aca="false">IF($A336="","",VLOOKUP($A335,Table,MATCH(J$4,Curves,0)))</f>
        <v/>
      </c>
      <c r="K335" s="201" t="str">
        <f aca="false">IF(A336="","",J335)</f>
        <v/>
      </c>
      <c r="L335" s="185" t="n">
        <v>0</v>
      </c>
      <c r="M335" s="201" t="str">
        <f aca="false">IF(A336="","",L335)</f>
        <v/>
      </c>
      <c r="N335" s="203"/>
      <c r="O335" s="200" t="str">
        <f aca="false">IF(A336="","",L335+J335+G335)</f>
        <v/>
      </c>
      <c r="P335" s="200" t="str">
        <f aca="false">IF(A336="","",M335+K335+H335)</f>
        <v/>
      </c>
      <c r="Q335" s="204"/>
      <c r="R335" s="200" t="str">
        <f aca="false">IF($A336="","",VLOOKUP($A335,Table,MATCH(R$4,Curves,0)))</f>
        <v/>
      </c>
      <c r="S335" s="201" t="str">
        <f aca="false">IF(A336="","",R335)</f>
        <v/>
      </c>
      <c r="T335" s="185" t="n">
        <v>0</v>
      </c>
      <c r="U335" s="201" t="str">
        <f aca="false">IF(A336="","",T335)</f>
        <v/>
      </c>
      <c r="V335" s="205"/>
      <c r="W335" s="202" t="str">
        <f aca="false">IF($A336="","",(T335+R335+G335+V335))</f>
        <v/>
      </c>
      <c r="X335" s="202" t="str">
        <f aca="false">IF($A336="","",(U335+S335+H335+V335))</f>
        <v/>
      </c>
      <c r="Y335" s="202"/>
      <c r="Z335" s="185" t="str">
        <f aca="false">IF($A336="","",VLOOKUP($A335,Table,MATCH(Z$4,Curves,0)))</f>
        <v/>
      </c>
      <c r="AA335" s="185" t="str">
        <f aca="false">IF($A336="","",VLOOKUP($A335,Table,MATCH(AA$4,Curves,0)))</f>
        <v/>
      </c>
      <c r="AB335" s="185" t="e">
        <f aca="false">SQRT((AA335^2*(A335-$D$3)+Z335^2*(DAY(EOMONTH(A335,0))/2))/AK335)</f>
        <v>#VALUE!</v>
      </c>
      <c r="AC335" s="185" t="str">
        <f aca="false">IF($A336="","",VLOOKUP($A335,Table,MATCH(AC$4,Curves,0)))</f>
        <v/>
      </c>
      <c r="AD335" s="185" t="str">
        <f aca="false">IF($A336="","",VLOOKUP($A335,Table,MATCH(AD$4,Curves,0)))</f>
        <v/>
      </c>
      <c r="AE335" s="185" t="e">
        <f aca="false">SQRT((AD335^2*(A335-$D$3)+AC335^2*(DAY(EOMONTH(A335,0))/2))/AK335)</f>
        <v>#VALUE!</v>
      </c>
      <c r="AF335" s="224" t="e">
        <f aca="false">((Summary!$N$13*(AA335*AD335)*(A335-$D$3))+(Summary!$M$13*Z335*AC335*(AJ335-EOMONTH(EDATE(A335,-1),0))))/(AK335*AB335*AE335)</f>
        <v>#VALUE!</v>
      </c>
      <c r="AG335" s="207" t="str">
        <f aca="false">IF($A336="","",Summary!$Q$13)</f>
        <v/>
      </c>
      <c r="AH335" s="207" t="str">
        <f aca="false">IF($A336="","",IF(Summary!$R$12="Y",(VLOOKUP($A335,Summary!$AD$6:$AF$9,3)+'Escalating commodity'!I348),'Escalating commodity'!I348))</f>
        <v/>
      </c>
      <c r="AI335" s="207" t="str">
        <f aca="false">IF($A336="","",AH335)</f>
        <v/>
      </c>
      <c r="AJ335" s="208" t="e">
        <f aca="false">A335+DAY(EOMONTH(A335,0))/2-1</f>
        <v>#VALUE!</v>
      </c>
      <c r="AK335" s="209" t="str">
        <f aca="false">IF($A336="","",$A335-$E$1)</f>
        <v/>
      </c>
      <c r="AL335" s="182" t="str">
        <f aca="false">IF($A336="","",SPRDOPT(P335,X335,AI335,0,AB335,AE335,AF335,AK335,$AJ$2,0))</f>
        <v/>
      </c>
      <c r="AM335" s="210" t="str">
        <f aca="false">IF($A336="","",MAX(0,O335-W335-AI335))</f>
        <v/>
      </c>
      <c r="AN335" s="211" t="str">
        <f aca="false">IF($A336="","",AL335-AM335)</f>
        <v/>
      </c>
      <c r="AO335" s="137" t="str">
        <f aca="false">IF(A336="","",A336-A335)</f>
        <v/>
      </c>
      <c r="AP335" s="212" t="str">
        <f aca="false">IF(A336="","",CHOOSE(F$3,A336+24,A335))</f>
        <v/>
      </c>
      <c r="AQ335" s="209" t="str">
        <f aca="false">IF(A336="","",AP335-$E$1)</f>
        <v/>
      </c>
      <c r="AR335" s="185" t="n">
        <f aca="false">'ANR OK vs ML7'!AR335</f>
        <v>0.1</v>
      </c>
      <c r="AS335" s="213" t="str">
        <f aca="false">IF(A336="","",1/(1+CHOOSE(F$3,(AR336+($I$3/10000))/2,(AR335+($I$3/10000))/2))^(2*AQ335/365.25))</f>
        <v/>
      </c>
      <c r="AT335" s="137" t="str">
        <f aca="false">IF(A336="","",IF(AND(mthbeg&lt;=A335,mthend&gt;=A335),1,0))</f>
        <v/>
      </c>
      <c r="AU335" s="137" t="str">
        <f aca="false">IF(A336="","",AO335*AT335)</f>
        <v/>
      </c>
      <c r="AW335" s="195" t="str">
        <f aca="false">IF($A336="","",AL335*$E335)</f>
        <v/>
      </c>
      <c r="AX335" s="195" t="str">
        <f aca="false">IF($A336="","",AM335*$E335)</f>
        <v/>
      </c>
      <c r="AY335" s="195" t="str">
        <f aca="false">IF($A336="","",AN335*$E335)</f>
        <v/>
      </c>
      <c r="BA335" s="195" t="str">
        <f aca="false">IF($A336="","",F335*Summary!$Q$13)</f>
        <v/>
      </c>
    </row>
    <row r="336" customFormat="false" ht="12" hidden="false" customHeight="true" outlineLevel="0" collapsed="false">
      <c r="A336" s="196" t="str">
        <f aca="false">IF(A335&lt;mthend,EDATE(A335,1),"")</f>
        <v/>
      </c>
      <c r="B336" s="197" t="str">
        <f aca="false">IF(A336&lt;mthend,B335,"")</f>
        <v/>
      </c>
      <c r="C336" s="215"/>
      <c r="D336" s="197" t="str">
        <f aca="false">IF(A337&lt;&gt;"",B336+C336,"")</f>
        <v/>
      </c>
      <c r="E336" s="199" t="str">
        <f aca="false">IF(A337="","",IF(AND(AT336=1,$H$3=1),D336*AO336,IF($H$3=2,D336,"N/A")))</f>
        <v/>
      </c>
      <c r="F336" s="199" t="str">
        <f aca="false">IF(A337="","",E336*AS336)</f>
        <v/>
      </c>
      <c r="G336" s="200" t="str">
        <f aca="false">IF($A337="","",VLOOKUP($A336,Table,MATCH(G$4,Curves,0)))</f>
        <v/>
      </c>
      <c r="H336" s="201" t="str">
        <f aca="false">IF(A337="","",G336)</f>
        <v/>
      </c>
      <c r="I336" s="202"/>
      <c r="J336" s="200" t="str">
        <f aca="false">IF($A337="","",VLOOKUP($A336,Table,MATCH(J$4,Curves,0)))</f>
        <v/>
      </c>
      <c r="K336" s="201" t="str">
        <f aca="false">IF(A337="","",J336)</f>
        <v/>
      </c>
      <c r="L336" s="185" t="n">
        <v>0</v>
      </c>
      <c r="M336" s="201" t="str">
        <f aca="false">IF(A337="","",L336)</f>
        <v/>
      </c>
      <c r="N336" s="203"/>
      <c r="O336" s="200" t="str">
        <f aca="false">IF(A337="","",L336+J336+G336)</f>
        <v/>
      </c>
      <c r="P336" s="200" t="str">
        <f aca="false">IF(A337="","",M336+K336+H336)</f>
        <v/>
      </c>
      <c r="Q336" s="204"/>
      <c r="R336" s="200" t="str">
        <f aca="false">IF($A337="","",VLOOKUP($A336,Table,MATCH(R$4,Curves,0)))</f>
        <v/>
      </c>
      <c r="S336" s="201" t="str">
        <f aca="false">IF(A337="","",R336)</f>
        <v/>
      </c>
      <c r="T336" s="185" t="n">
        <v>0</v>
      </c>
      <c r="U336" s="201" t="str">
        <f aca="false">IF(A337="","",T336)</f>
        <v/>
      </c>
      <c r="V336" s="205"/>
      <c r="W336" s="202" t="str">
        <f aca="false">IF($A337="","",(T336+R336+G336+V336))</f>
        <v/>
      </c>
      <c r="X336" s="202" t="str">
        <f aca="false">IF($A337="","",(U336+S336+H336+V336))</f>
        <v/>
      </c>
      <c r="Y336" s="202"/>
      <c r="Z336" s="185" t="str">
        <f aca="false">IF($A337="","",VLOOKUP($A336,Table,MATCH(Z$4,Curves,0)))</f>
        <v/>
      </c>
      <c r="AA336" s="185" t="str">
        <f aca="false">IF($A337="","",VLOOKUP($A336,Table,MATCH(AA$4,Curves,0)))</f>
        <v/>
      </c>
      <c r="AB336" s="185" t="e">
        <f aca="false">SQRT((AA336^2*(A336-$D$3)+Z336^2*(DAY(EOMONTH(A336,0))/2))/AK336)</f>
        <v>#VALUE!</v>
      </c>
      <c r="AC336" s="185" t="str">
        <f aca="false">IF($A337="","",VLOOKUP($A336,Table,MATCH(AC$4,Curves,0)))</f>
        <v/>
      </c>
      <c r="AD336" s="185" t="str">
        <f aca="false">IF($A337="","",VLOOKUP($A336,Table,MATCH(AD$4,Curves,0)))</f>
        <v/>
      </c>
      <c r="AE336" s="185" t="e">
        <f aca="false">SQRT((AD336^2*(A336-$D$3)+AC336^2*(DAY(EOMONTH(A336,0))/2))/AK336)</f>
        <v>#VALUE!</v>
      </c>
      <c r="AF336" s="224" t="e">
        <f aca="false">((Summary!$N$13*(AA336*AD336)*(A336-$D$3))+(Summary!$M$13*Z336*AC336*(AJ336-EOMONTH(EDATE(A336,-1),0))))/(AK336*AB336*AE336)</f>
        <v>#VALUE!</v>
      </c>
      <c r="AG336" s="207" t="str">
        <f aca="false">IF($A337="","",Summary!$Q$13)</f>
        <v/>
      </c>
      <c r="AH336" s="207" t="str">
        <f aca="false">IF($A337="","",IF(Summary!$R$12="Y",(VLOOKUP($A336,Summary!$AD$6:$AF$9,3)+'Escalating commodity'!I349),'Escalating commodity'!I349))</f>
        <v/>
      </c>
      <c r="AI336" s="207" t="str">
        <f aca="false">IF($A337="","",AH336)</f>
        <v/>
      </c>
      <c r="AJ336" s="208" t="e">
        <f aca="false">A336+DAY(EOMONTH(A336,0))/2-1</f>
        <v>#VALUE!</v>
      </c>
      <c r="AK336" s="209" t="str">
        <f aca="false">IF($A337="","",$A336-$E$1)</f>
        <v/>
      </c>
      <c r="AL336" s="182" t="str">
        <f aca="false">IF($A337="","",SPRDOPT(P336,X336,AI336,0,AB336,AE336,AF336,AK336,$AJ$2,0))</f>
        <v/>
      </c>
      <c r="AM336" s="210" t="str">
        <f aca="false">IF($A337="","",MAX(0,O336-W336-AI336))</f>
        <v/>
      </c>
      <c r="AN336" s="211" t="str">
        <f aca="false">IF($A337="","",AL336-AM336)</f>
        <v/>
      </c>
      <c r="AO336" s="137" t="str">
        <f aca="false">IF(A337="","",A337-A336)</f>
        <v/>
      </c>
      <c r="AP336" s="212" t="str">
        <f aca="false">IF(A337="","",CHOOSE(F$3,A337+24,A336))</f>
        <v/>
      </c>
      <c r="AQ336" s="209" t="str">
        <f aca="false">IF(A337="","",AP336-$E$1)</f>
        <v/>
      </c>
      <c r="AR336" s="185" t="n">
        <f aca="false">'ANR OK vs ML7'!AR336</f>
        <v>0.1</v>
      </c>
      <c r="AS336" s="213" t="str">
        <f aca="false">IF(A337="","",1/(1+CHOOSE(F$3,(AR337+($I$3/10000))/2,(AR336+($I$3/10000))/2))^(2*AQ336/365.25))</f>
        <v/>
      </c>
      <c r="AT336" s="137" t="str">
        <f aca="false">IF(A337="","",IF(AND(mthbeg&lt;=A336,mthend&gt;=A336),1,0))</f>
        <v/>
      </c>
      <c r="AU336" s="137" t="str">
        <f aca="false">IF(A337="","",AO336*AT336)</f>
        <v/>
      </c>
      <c r="AW336" s="195" t="str">
        <f aca="false">IF($A337="","",AL336*$E336)</f>
        <v/>
      </c>
      <c r="AX336" s="195" t="str">
        <f aca="false">IF($A337="","",AM336*$E336)</f>
        <v/>
      </c>
      <c r="AY336" s="195" t="str">
        <f aca="false">IF($A337="","",AN336*$E336)</f>
        <v/>
      </c>
      <c r="BA336" s="195" t="str">
        <f aca="false">IF($A337="","",F336*Summary!$Q$13)</f>
        <v/>
      </c>
    </row>
    <row r="337" customFormat="false" ht="12" hidden="false" customHeight="true" outlineLevel="0" collapsed="false">
      <c r="A337" s="196" t="str">
        <f aca="false">IF(A336&lt;mthend,EDATE(A336,1),"")</f>
        <v/>
      </c>
      <c r="B337" s="197" t="str">
        <f aca="false">IF(A337&lt;mthend,B336,"")</f>
        <v/>
      </c>
      <c r="C337" s="215"/>
      <c r="D337" s="197" t="str">
        <f aca="false">IF(A338&lt;&gt;"",B337+C337,"")</f>
        <v/>
      </c>
      <c r="E337" s="199" t="str">
        <f aca="false">IF(A338="","",IF(AND(AT337=1,$H$3=1),D337*AO337,IF($H$3=2,D337,"N/A")))</f>
        <v/>
      </c>
      <c r="F337" s="199" t="str">
        <f aca="false">IF(A338="","",E337*AS337)</f>
        <v/>
      </c>
      <c r="G337" s="200" t="str">
        <f aca="false">IF($A338="","",VLOOKUP($A337,Table,MATCH(G$4,Curves,0)))</f>
        <v/>
      </c>
      <c r="H337" s="201" t="str">
        <f aca="false">IF(A338="","",G337)</f>
        <v/>
      </c>
      <c r="I337" s="202"/>
      <c r="J337" s="200" t="str">
        <f aca="false">IF($A338="","",VLOOKUP($A337,Table,MATCH(J$4,Curves,0)))</f>
        <v/>
      </c>
      <c r="K337" s="201" t="str">
        <f aca="false">IF(A338="","",J337)</f>
        <v/>
      </c>
      <c r="L337" s="185" t="n">
        <v>0</v>
      </c>
      <c r="M337" s="201" t="str">
        <f aca="false">IF(A338="","",L337)</f>
        <v/>
      </c>
      <c r="N337" s="203"/>
      <c r="O337" s="200" t="str">
        <f aca="false">IF(A338="","",L337+J337+G337)</f>
        <v/>
      </c>
      <c r="P337" s="200" t="str">
        <f aca="false">IF(A338="","",M337+K337+H337)</f>
        <v/>
      </c>
      <c r="Q337" s="204"/>
      <c r="R337" s="200" t="str">
        <f aca="false">IF($A338="","",VLOOKUP($A337,Table,MATCH(R$4,Curves,0)))</f>
        <v/>
      </c>
      <c r="S337" s="201" t="str">
        <f aca="false">IF(A338="","",R337)</f>
        <v/>
      </c>
      <c r="T337" s="185" t="n">
        <v>0</v>
      </c>
      <c r="U337" s="201" t="str">
        <f aca="false">IF(A338="","",T337)</f>
        <v/>
      </c>
      <c r="V337" s="205"/>
      <c r="W337" s="202" t="str">
        <f aca="false">IF($A338="","",(T337+R337+G337+V337))</f>
        <v/>
      </c>
      <c r="X337" s="202" t="str">
        <f aca="false">IF($A338="","",(U337+S337+H337+V337))</f>
        <v/>
      </c>
      <c r="Y337" s="202"/>
      <c r="Z337" s="185" t="str">
        <f aca="false">IF($A338="","",VLOOKUP($A337,Table,MATCH(Z$4,Curves,0)))</f>
        <v/>
      </c>
      <c r="AA337" s="185" t="str">
        <f aca="false">IF($A338="","",VLOOKUP($A337,Table,MATCH(AA$4,Curves,0)))</f>
        <v/>
      </c>
      <c r="AB337" s="185" t="e">
        <f aca="false">SQRT((AA337^2*(A337-$D$3)+Z337^2*(DAY(EOMONTH(A337,0))/2))/AK337)</f>
        <v>#VALUE!</v>
      </c>
      <c r="AC337" s="185" t="str">
        <f aca="false">IF($A338="","",VLOOKUP($A337,Table,MATCH(AC$4,Curves,0)))</f>
        <v/>
      </c>
      <c r="AD337" s="185" t="str">
        <f aca="false">IF($A338="","",VLOOKUP($A337,Table,MATCH(AD$4,Curves,0)))</f>
        <v/>
      </c>
      <c r="AE337" s="185" t="e">
        <f aca="false">SQRT((AD337^2*(A337-$D$3)+AC337^2*(DAY(EOMONTH(A337,0))/2))/AK337)</f>
        <v>#VALUE!</v>
      </c>
      <c r="AF337" s="224" t="e">
        <f aca="false">((Summary!$N$13*(AA337*AD337)*(A337-$D$3))+(Summary!$M$13*Z337*AC337*(AJ337-EOMONTH(EDATE(A337,-1),0))))/(AK337*AB337*AE337)</f>
        <v>#VALUE!</v>
      </c>
      <c r="AG337" s="207" t="str">
        <f aca="false">IF($A338="","",Summary!$Q$13)</f>
        <v/>
      </c>
      <c r="AH337" s="207" t="str">
        <f aca="false">IF($A338="","",IF(Summary!$R$12="Y",(VLOOKUP($A337,Summary!$AD$6:$AF$9,3)+'Escalating commodity'!I350),'Escalating commodity'!I350))</f>
        <v/>
      </c>
      <c r="AI337" s="207" t="str">
        <f aca="false">IF($A338="","",AH337)</f>
        <v/>
      </c>
      <c r="AJ337" s="208" t="e">
        <f aca="false">A337+DAY(EOMONTH(A337,0))/2-1</f>
        <v>#VALUE!</v>
      </c>
      <c r="AK337" s="209" t="str">
        <f aca="false">IF($A338="","",$A337-$E$1)</f>
        <v/>
      </c>
      <c r="AL337" s="182" t="str">
        <f aca="false">IF($A338="","",SPRDOPT(P337,X337,AI337,0,AB337,AE337,AF337,AK337,$AJ$2,0))</f>
        <v/>
      </c>
      <c r="AM337" s="210" t="str">
        <f aca="false">IF($A338="","",MAX(0,O337-W337-AI337))</f>
        <v/>
      </c>
      <c r="AN337" s="211" t="str">
        <f aca="false">IF($A338="","",AL337-AM337)</f>
        <v/>
      </c>
      <c r="AO337" s="137" t="str">
        <f aca="false">IF(A338="","",A338-A337)</f>
        <v/>
      </c>
      <c r="AP337" s="212" t="str">
        <f aca="false">IF(A338="","",CHOOSE(F$3,A338+24,A337))</f>
        <v/>
      </c>
      <c r="AQ337" s="209" t="str">
        <f aca="false">IF(A338="","",AP337-$E$1)</f>
        <v/>
      </c>
      <c r="AR337" s="185" t="n">
        <f aca="false">'ANR OK vs ML7'!AR337</f>
        <v>0.1</v>
      </c>
      <c r="AS337" s="213" t="str">
        <f aca="false">IF(A338="","",1/(1+CHOOSE(F$3,(AR338+($I$3/10000))/2,(AR337+($I$3/10000))/2))^(2*AQ337/365.25))</f>
        <v/>
      </c>
      <c r="AT337" s="137" t="str">
        <f aca="false">IF(A338="","",IF(AND(mthbeg&lt;=A337,mthend&gt;=A337),1,0))</f>
        <v/>
      </c>
      <c r="AU337" s="137" t="str">
        <f aca="false">IF(A338="","",AO337*AT337)</f>
        <v/>
      </c>
      <c r="AW337" s="195" t="str">
        <f aca="false">IF($A338="","",AL337*$E337)</f>
        <v/>
      </c>
      <c r="AX337" s="195" t="str">
        <f aca="false">IF($A338="","",AM337*$E337)</f>
        <v/>
      </c>
      <c r="AY337" s="195" t="str">
        <f aca="false">IF($A338="","",AN337*$E337)</f>
        <v/>
      </c>
      <c r="BA337" s="195" t="str">
        <f aca="false">IF($A338="","",F337*Summary!$Q$13)</f>
        <v/>
      </c>
    </row>
    <row r="338" customFormat="false" ht="12" hidden="false" customHeight="true" outlineLevel="0" collapsed="false">
      <c r="A338" s="196" t="str">
        <f aca="false">IF(A337&lt;mthend,EDATE(A337,1),"")</f>
        <v/>
      </c>
      <c r="B338" s="197" t="str">
        <f aca="false">IF(A338&lt;mthend,B337,"")</f>
        <v/>
      </c>
      <c r="C338" s="215"/>
      <c r="D338" s="197" t="str">
        <f aca="false">IF(A339&lt;&gt;"",B338+C338,"")</f>
        <v/>
      </c>
      <c r="E338" s="199" t="str">
        <f aca="false">IF(A339="","",IF(AND(AT338=1,$H$3=1),D338*AO338,IF($H$3=2,D338,"N/A")))</f>
        <v/>
      </c>
      <c r="F338" s="199" t="str">
        <f aca="false">IF(A339="","",E338*AS338)</f>
        <v/>
      </c>
      <c r="G338" s="200" t="str">
        <f aca="false">IF($A339="","",VLOOKUP($A338,Table,MATCH(G$4,Curves,0)))</f>
        <v/>
      </c>
      <c r="H338" s="201" t="str">
        <f aca="false">IF(A339="","",G338)</f>
        <v/>
      </c>
      <c r="I338" s="202"/>
      <c r="J338" s="200" t="str">
        <f aca="false">IF($A339="","",VLOOKUP($A338,Table,MATCH(J$4,Curves,0)))</f>
        <v/>
      </c>
      <c r="K338" s="201" t="str">
        <f aca="false">IF(A339="","",J338)</f>
        <v/>
      </c>
      <c r="L338" s="185" t="n">
        <v>0</v>
      </c>
      <c r="M338" s="201" t="str">
        <f aca="false">IF(A339="","",L338)</f>
        <v/>
      </c>
      <c r="N338" s="203"/>
      <c r="O338" s="200" t="str">
        <f aca="false">IF(A339="","",L338+J338+G338)</f>
        <v/>
      </c>
      <c r="P338" s="200" t="str">
        <f aca="false">IF(A339="","",M338+K338+H338)</f>
        <v/>
      </c>
      <c r="Q338" s="204"/>
      <c r="R338" s="200" t="str">
        <f aca="false">IF($A339="","",VLOOKUP($A338,Table,MATCH(R$4,Curves,0)))</f>
        <v/>
      </c>
      <c r="S338" s="201" t="str">
        <f aca="false">IF(A339="","",R338)</f>
        <v/>
      </c>
      <c r="T338" s="185" t="n">
        <v>0</v>
      </c>
      <c r="U338" s="201" t="str">
        <f aca="false">IF(A339="","",T338)</f>
        <v/>
      </c>
      <c r="V338" s="205"/>
      <c r="W338" s="202" t="str">
        <f aca="false">IF($A339="","",(T338+R338+G338+V338))</f>
        <v/>
      </c>
      <c r="X338" s="202" t="str">
        <f aca="false">IF($A339="","",(U338+S338+H338+V338))</f>
        <v/>
      </c>
      <c r="Y338" s="202"/>
      <c r="Z338" s="185" t="str">
        <f aca="false">IF($A339="","",VLOOKUP($A338,Table,MATCH(Z$4,Curves,0)))</f>
        <v/>
      </c>
      <c r="AA338" s="185" t="str">
        <f aca="false">IF($A339="","",VLOOKUP($A338,Table,MATCH(AA$4,Curves,0)))</f>
        <v/>
      </c>
      <c r="AB338" s="185" t="e">
        <f aca="false">SQRT((AA338^2*(A338-$D$3)+Z338^2*(DAY(EOMONTH(A338,0))/2))/AK338)</f>
        <v>#VALUE!</v>
      </c>
      <c r="AC338" s="185" t="str">
        <f aca="false">IF($A339="","",VLOOKUP($A338,Table,MATCH(AC$4,Curves,0)))</f>
        <v/>
      </c>
      <c r="AD338" s="185" t="str">
        <f aca="false">IF($A339="","",VLOOKUP($A338,Table,MATCH(AD$4,Curves,0)))</f>
        <v/>
      </c>
      <c r="AE338" s="185" t="e">
        <f aca="false">SQRT((AD338^2*(A338-$D$3)+AC338^2*(DAY(EOMONTH(A338,0))/2))/AK338)</f>
        <v>#VALUE!</v>
      </c>
      <c r="AF338" s="224" t="e">
        <f aca="false">((Summary!$N$13*(AA338*AD338)*(A338-$D$3))+(Summary!$M$13*Z338*AC338*(AJ338-EOMONTH(EDATE(A338,-1),0))))/(AK338*AB338*AE338)</f>
        <v>#VALUE!</v>
      </c>
      <c r="AG338" s="207" t="str">
        <f aca="false">IF($A339="","",Summary!$Q$13)</f>
        <v/>
      </c>
      <c r="AH338" s="207" t="str">
        <f aca="false">IF($A339="","",IF(Summary!$R$12="Y",(VLOOKUP($A338,Summary!$AD$6:$AF$9,3)+'Escalating commodity'!I351),'Escalating commodity'!I351))</f>
        <v/>
      </c>
      <c r="AI338" s="207" t="str">
        <f aca="false">IF($A339="","",AH338)</f>
        <v/>
      </c>
      <c r="AJ338" s="208" t="e">
        <f aca="false">A338+DAY(EOMONTH(A338,0))/2-1</f>
        <v>#VALUE!</v>
      </c>
      <c r="AK338" s="209" t="str">
        <f aca="false">IF($A339="","",$A338-$E$1)</f>
        <v/>
      </c>
      <c r="AL338" s="182" t="str">
        <f aca="false">IF($A339="","",SPRDOPT(P338,X338,AI338,0,AB338,AE338,AF338,AK338,$AJ$2,0))</f>
        <v/>
      </c>
      <c r="AM338" s="210" t="str">
        <f aca="false">IF($A339="","",MAX(0,O338-W338-AI338))</f>
        <v/>
      </c>
      <c r="AN338" s="211" t="str">
        <f aca="false">IF($A339="","",AL338-AM338)</f>
        <v/>
      </c>
      <c r="AO338" s="137" t="str">
        <f aca="false">IF(A339="","",A339-A338)</f>
        <v/>
      </c>
      <c r="AP338" s="212" t="str">
        <f aca="false">IF(A339="","",CHOOSE(F$3,A339+24,A338))</f>
        <v/>
      </c>
      <c r="AQ338" s="209" t="str">
        <f aca="false">IF(A339="","",AP338-$E$1)</f>
        <v/>
      </c>
      <c r="AR338" s="185" t="n">
        <f aca="false">'ANR OK vs ML7'!AR338</f>
        <v>0.1</v>
      </c>
      <c r="AS338" s="213" t="str">
        <f aca="false">IF(A339="","",1/(1+CHOOSE(F$3,(AR339+($I$3/10000))/2,(AR338+($I$3/10000))/2))^(2*AQ338/365.25))</f>
        <v/>
      </c>
      <c r="AT338" s="137" t="str">
        <f aca="false">IF(A339="","",IF(AND(mthbeg&lt;=A338,mthend&gt;=A338),1,0))</f>
        <v/>
      </c>
      <c r="AU338" s="137" t="str">
        <f aca="false">IF(A339="","",AO338*AT338)</f>
        <v/>
      </c>
      <c r="AW338" s="195" t="str">
        <f aca="false">IF($A339="","",AL338*$E338)</f>
        <v/>
      </c>
      <c r="AX338" s="195" t="str">
        <f aca="false">IF($A339="","",AM338*$E338)</f>
        <v/>
      </c>
      <c r="AY338" s="195" t="str">
        <f aca="false">IF($A339="","",AN338*$E338)</f>
        <v/>
      </c>
      <c r="BA338" s="195" t="str">
        <f aca="false">IF($A339="","",F338*Summary!$Q$13)</f>
        <v/>
      </c>
    </row>
    <row r="339" customFormat="false" ht="12" hidden="false" customHeight="true" outlineLevel="0" collapsed="false">
      <c r="A339" s="196" t="str">
        <f aca="false">IF(A338&lt;mthend,EDATE(A338,1),"")</f>
        <v/>
      </c>
      <c r="B339" s="197" t="str">
        <f aca="false">IF(A339&lt;mthend,B338,"")</f>
        <v/>
      </c>
      <c r="C339" s="215"/>
      <c r="D339" s="197" t="str">
        <f aca="false">IF(A340&lt;&gt;"",B339+C339,"")</f>
        <v/>
      </c>
      <c r="E339" s="199" t="str">
        <f aca="false">IF(A340="","",IF(AND(AT339=1,$H$3=1),D339*AO339,IF($H$3=2,D339,"N/A")))</f>
        <v/>
      </c>
      <c r="F339" s="199" t="str">
        <f aca="false">IF(A340="","",E339*AS339)</f>
        <v/>
      </c>
      <c r="G339" s="200" t="str">
        <f aca="false">IF($A340="","",VLOOKUP($A339,Table,MATCH(G$4,Curves,0)))</f>
        <v/>
      </c>
      <c r="H339" s="201" t="str">
        <f aca="false">IF(A340="","",G339)</f>
        <v/>
      </c>
      <c r="I339" s="202"/>
      <c r="J339" s="200" t="str">
        <f aca="false">IF($A340="","",VLOOKUP($A339,Table,MATCH(J$4,Curves,0)))</f>
        <v/>
      </c>
      <c r="K339" s="201" t="str">
        <f aca="false">IF(A340="","",J339)</f>
        <v/>
      </c>
      <c r="L339" s="185" t="n">
        <v>0</v>
      </c>
      <c r="M339" s="201" t="str">
        <f aca="false">IF(A340="","",L339)</f>
        <v/>
      </c>
      <c r="N339" s="203"/>
      <c r="O339" s="200" t="str">
        <f aca="false">IF(A340="","",L339+J339+G339)</f>
        <v/>
      </c>
      <c r="P339" s="200" t="str">
        <f aca="false">IF(A340="","",M339+K339+H339)</f>
        <v/>
      </c>
      <c r="Q339" s="204"/>
      <c r="R339" s="200" t="str">
        <f aca="false">IF($A340="","",VLOOKUP($A339,Table,MATCH(R$4,Curves,0)))</f>
        <v/>
      </c>
      <c r="S339" s="201" t="str">
        <f aca="false">IF(A340="","",R339)</f>
        <v/>
      </c>
      <c r="T339" s="185" t="n">
        <v>0</v>
      </c>
      <c r="U339" s="201" t="str">
        <f aca="false">IF(A340="","",T339)</f>
        <v/>
      </c>
      <c r="V339" s="205"/>
      <c r="W339" s="202" t="str">
        <f aca="false">IF($A340="","",(T339+R339+G339+V339))</f>
        <v/>
      </c>
      <c r="X339" s="202" t="str">
        <f aca="false">IF($A340="","",(U339+S339+H339+V339))</f>
        <v/>
      </c>
      <c r="Y339" s="202"/>
      <c r="Z339" s="185" t="str">
        <f aca="false">IF($A340="","",VLOOKUP($A339,Table,MATCH(Z$4,Curves,0)))</f>
        <v/>
      </c>
      <c r="AA339" s="185" t="str">
        <f aca="false">IF($A340="","",VLOOKUP($A339,Table,MATCH(AA$4,Curves,0)))</f>
        <v/>
      </c>
      <c r="AB339" s="185" t="e">
        <f aca="false">SQRT((AA339^2*(A339-$D$3)+Z339^2*(DAY(EOMONTH(A339,0))/2))/AK339)</f>
        <v>#VALUE!</v>
      </c>
      <c r="AC339" s="185" t="str">
        <f aca="false">IF($A340="","",VLOOKUP($A339,Table,MATCH(AC$4,Curves,0)))</f>
        <v/>
      </c>
      <c r="AD339" s="185" t="str">
        <f aca="false">IF($A340="","",VLOOKUP($A339,Table,MATCH(AD$4,Curves,0)))</f>
        <v/>
      </c>
      <c r="AE339" s="185" t="e">
        <f aca="false">SQRT((AD339^2*(A339-$D$3)+AC339^2*(DAY(EOMONTH(A339,0))/2))/AK339)</f>
        <v>#VALUE!</v>
      </c>
      <c r="AF339" s="224" t="e">
        <f aca="false">((Summary!$N$13*(AA339*AD339)*(A339-$D$3))+(Summary!$M$13*Z339*AC339*(AJ339-EOMONTH(EDATE(A339,-1),0))))/(AK339*AB339*AE339)</f>
        <v>#VALUE!</v>
      </c>
      <c r="AG339" s="207" t="str">
        <f aca="false">IF($A340="","",Summary!$Q$13)</f>
        <v/>
      </c>
      <c r="AH339" s="207" t="str">
        <f aca="false">IF($A340="","",IF(Summary!$R$12="Y",(VLOOKUP($A339,Summary!$AD$6:$AF$9,3)+'Escalating commodity'!I352),'Escalating commodity'!I352))</f>
        <v/>
      </c>
      <c r="AI339" s="207" t="str">
        <f aca="false">IF($A340="","",AH339)</f>
        <v/>
      </c>
      <c r="AJ339" s="208" t="e">
        <f aca="false">A339+DAY(EOMONTH(A339,0))/2-1</f>
        <v>#VALUE!</v>
      </c>
      <c r="AK339" s="209" t="str">
        <f aca="false">IF($A340="","",$A339-$E$1)</f>
        <v/>
      </c>
      <c r="AL339" s="182" t="str">
        <f aca="false">IF($A340="","",SPRDOPT(P339,X339,AI339,0,AB339,AE339,AF339,AK339,$AJ$2,0))</f>
        <v/>
      </c>
      <c r="AM339" s="210" t="str">
        <f aca="false">IF($A340="","",MAX(0,O339-W339-AI339))</f>
        <v/>
      </c>
      <c r="AN339" s="211" t="str">
        <f aca="false">IF($A340="","",AL339-AM339)</f>
        <v/>
      </c>
      <c r="AO339" s="137" t="str">
        <f aca="false">IF(A340="","",A340-A339)</f>
        <v/>
      </c>
      <c r="AP339" s="212" t="str">
        <f aca="false">IF(A340="","",CHOOSE(F$3,A340+24,A339))</f>
        <v/>
      </c>
      <c r="AQ339" s="209" t="str">
        <f aca="false">IF(A340="","",AP339-$E$1)</f>
        <v/>
      </c>
      <c r="AR339" s="185" t="n">
        <f aca="false">'ANR OK vs ML7'!AR339</f>
        <v>0.1</v>
      </c>
      <c r="AS339" s="213" t="str">
        <f aca="false">IF(A340="","",1/(1+CHOOSE(F$3,(AR340+($I$3/10000))/2,(AR339+($I$3/10000))/2))^(2*AQ339/365.25))</f>
        <v/>
      </c>
      <c r="AT339" s="137" t="str">
        <f aca="false">IF(A340="","",IF(AND(mthbeg&lt;=A339,mthend&gt;=A339),1,0))</f>
        <v/>
      </c>
      <c r="AU339" s="137" t="str">
        <f aca="false">IF(A340="","",AO339*AT339)</f>
        <v/>
      </c>
      <c r="AW339" s="195" t="str">
        <f aca="false">IF($A340="","",AL339*$E339)</f>
        <v/>
      </c>
      <c r="AX339" s="195" t="str">
        <f aca="false">IF($A340="","",AM339*$E339)</f>
        <v/>
      </c>
      <c r="AY339" s="195" t="str">
        <f aca="false">IF($A340="","",AN339*$E339)</f>
        <v/>
      </c>
      <c r="BA339" s="195" t="str">
        <f aca="false">IF($A340="","",F339*Summary!$Q$13)</f>
        <v/>
      </c>
    </row>
    <row r="340" customFormat="false" ht="12" hidden="false" customHeight="true" outlineLevel="0" collapsed="false">
      <c r="A340" s="196" t="str">
        <f aca="false">IF(A339&lt;mthend,EDATE(A339,1),"")</f>
        <v/>
      </c>
      <c r="B340" s="197" t="str">
        <f aca="false">IF(A340&lt;mthend,B339,"")</f>
        <v/>
      </c>
      <c r="C340" s="215"/>
      <c r="D340" s="197" t="str">
        <f aca="false">IF(A341&lt;&gt;"",B340+C340,"")</f>
        <v/>
      </c>
      <c r="E340" s="199" t="str">
        <f aca="false">IF(A341="","",IF(AND(AT340=1,$H$3=1),D340*AO340,IF($H$3=2,D340,"N/A")))</f>
        <v/>
      </c>
      <c r="F340" s="199" t="str">
        <f aca="false">IF(A341="","",E340*AS340)</f>
        <v/>
      </c>
      <c r="G340" s="200" t="str">
        <f aca="false">IF($A341="","",VLOOKUP($A340,Table,MATCH(G$4,Curves,0)))</f>
        <v/>
      </c>
      <c r="H340" s="201" t="str">
        <f aca="false">IF(A341="","",G340)</f>
        <v/>
      </c>
      <c r="I340" s="202"/>
      <c r="J340" s="200" t="str">
        <f aca="false">IF($A341="","",VLOOKUP($A340,Table,MATCH(J$4,Curves,0)))</f>
        <v/>
      </c>
      <c r="K340" s="201" t="str">
        <f aca="false">IF(A341="","",J340)</f>
        <v/>
      </c>
      <c r="L340" s="185" t="n">
        <v>0</v>
      </c>
      <c r="M340" s="201" t="str">
        <f aca="false">IF(A341="","",L340)</f>
        <v/>
      </c>
      <c r="N340" s="203"/>
      <c r="O340" s="200" t="str">
        <f aca="false">IF(A341="","",L340+J340+G340)</f>
        <v/>
      </c>
      <c r="P340" s="200" t="str">
        <f aca="false">IF(A341="","",M340+K340+H340)</f>
        <v/>
      </c>
      <c r="Q340" s="204"/>
      <c r="R340" s="200" t="str">
        <f aca="false">IF($A341="","",VLOOKUP($A340,Table,MATCH(R$4,Curves,0)))</f>
        <v/>
      </c>
      <c r="S340" s="201" t="str">
        <f aca="false">IF(A341="","",R340)</f>
        <v/>
      </c>
      <c r="T340" s="185" t="n">
        <v>0</v>
      </c>
      <c r="U340" s="201" t="str">
        <f aca="false">IF(A341="","",T340)</f>
        <v/>
      </c>
      <c r="V340" s="205"/>
      <c r="W340" s="202" t="str">
        <f aca="false">IF($A341="","",(T340+R340+G340+V340))</f>
        <v/>
      </c>
      <c r="X340" s="202" t="str">
        <f aca="false">IF($A341="","",(U340+S340+H340+V340))</f>
        <v/>
      </c>
      <c r="Y340" s="202"/>
      <c r="Z340" s="185" t="str">
        <f aca="false">IF($A341="","",VLOOKUP($A340,Table,MATCH(Z$4,Curves,0)))</f>
        <v/>
      </c>
      <c r="AA340" s="185" t="str">
        <f aca="false">IF($A341="","",VLOOKUP($A340,Table,MATCH(AA$4,Curves,0)))</f>
        <v/>
      </c>
      <c r="AB340" s="185" t="e">
        <f aca="false">SQRT((AA340^2*(A340-$D$3)+Z340^2*(DAY(EOMONTH(A340,0))/2))/AK340)</f>
        <v>#VALUE!</v>
      </c>
      <c r="AC340" s="185" t="str">
        <f aca="false">IF($A341="","",VLOOKUP($A340,Table,MATCH(AC$4,Curves,0)))</f>
        <v/>
      </c>
      <c r="AD340" s="185" t="str">
        <f aca="false">IF($A341="","",VLOOKUP($A340,Table,MATCH(AD$4,Curves,0)))</f>
        <v/>
      </c>
      <c r="AE340" s="185" t="e">
        <f aca="false">SQRT((AD340^2*(A340-$D$3)+AC340^2*(DAY(EOMONTH(A340,0))/2))/AK340)</f>
        <v>#VALUE!</v>
      </c>
      <c r="AF340" s="224" t="e">
        <f aca="false">((Summary!$N$13*(AA340*AD340)*(A340-$D$3))+(Summary!$M$13*Z340*AC340*(AJ340-EOMONTH(EDATE(A340,-1),0))))/(AK340*AB340*AE340)</f>
        <v>#VALUE!</v>
      </c>
      <c r="AG340" s="207" t="str">
        <f aca="false">IF($A341="","",Summary!$Q$13)</f>
        <v/>
      </c>
      <c r="AH340" s="207" t="str">
        <f aca="false">IF($A341="","",IF(Summary!$R$12="Y",(VLOOKUP($A340,Summary!$AD$6:$AF$9,3)+'Escalating commodity'!I353),'Escalating commodity'!I353))</f>
        <v/>
      </c>
      <c r="AI340" s="207" t="str">
        <f aca="false">IF($A341="","",AH340)</f>
        <v/>
      </c>
      <c r="AJ340" s="208" t="e">
        <f aca="false">A340+DAY(EOMONTH(A340,0))/2-1</f>
        <v>#VALUE!</v>
      </c>
      <c r="AK340" s="209" t="str">
        <f aca="false">IF($A341="","",$A340-$E$1)</f>
        <v/>
      </c>
      <c r="AL340" s="182" t="str">
        <f aca="false">IF($A341="","",SPRDOPT(P340,X340,AI340,0,AB340,AE340,AF340,AK340,$AJ$2,0))</f>
        <v/>
      </c>
      <c r="AM340" s="210" t="str">
        <f aca="false">IF($A341="","",MAX(0,O340-W340-AI340))</f>
        <v/>
      </c>
      <c r="AN340" s="211" t="str">
        <f aca="false">IF($A341="","",AL340-AM340)</f>
        <v/>
      </c>
      <c r="AO340" s="137" t="str">
        <f aca="false">IF(A341="","",A341-A340)</f>
        <v/>
      </c>
      <c r="AP340" s="212" t="str">
        <f aca="false">IF(A341="","",CHOOSE(F$3,A341+24,A340))</f>
        <v/>
      </c>
      <c r="AQ340" s="209" t="str">
        <f aca="false">IF(A341="","",AP340-$E$1)</f>
        <v/>
      </c>
      <c r="AR340" s="185" t="n">
        <f aca="false">'ANR OK vs ML7'!AR340</f>
        <v>0.1</v>
      </c>
      <c r="AS340" s="213" t="str">
        <f aca="false">IF(A341="","",1/(1+CHOOSE(F$3,(AR341+($I$3/10000))/2,(AR340+($I$3/10000))/2))^(2*AQ340/365.25))</f>
        <v/>
      </c>
      <c r="AT340" s="137" t="str">
        <f aca="false">IF(A341="","",IF(AND(mthbeg&lt;=A340,mthend&gt;=A340),1,0))</f>
        <v/>
      </c>
      <c r="AU340" s="137" t="str">
        <f aca="false">IF(A341="","",AO340*AT340)</f>
        <v/>
      </c>
      <c r="AW340" s="195" t="str">
        <f aca="false">IF($A341="","",AL340*$E340)</f>
        <v/>
      </c>
      <c r="AX340" s="195" t="str">
        <f aca="false">IF($A341="","",AM340*$E340)</f>
        <v/>
      </c>
      <c r="AY340" s="195" t="str">
        <f aca="false">IF($A341="","",AN340*$E340)</f>
        <v/>
      </c>
      <c r="BA340" s="195" t="str">
        <f aca="false">IF($A341="","",F340*Summary!$Q$13)</f>
        <v/>
      </c>
    </row>
    <row r="341" customFormat="false" ht="12" hidden="false" customHeight="true" outlineLevel="0" collapsed="false">
      <c r="A341" s="196" t="str">
        <f aca="false">IF(A340&lt;mthend,EDATE(A340,1),"")</f>
        <v/>
      </c>
      <c r="B341" s="197" t="str">
        <f aca="false">IF(A341&lt;mthend,B340,"")</f>
        <v/>
      </c>
      <c r="C341" s="215"/>
      <c r="D341" s="197" t="str">
        <f aca="false">IF(A342&lt;&gt;"",B341+C341,"")</f>
        <v/>
      </c>
      <c r="E341" s="199" t="str">
        <f aca="false">IF(A342="","",IF(AND(AT341=1,$H$3=1),D341*AO341,IF($H$3=2,D341,"N/A")))</f>
        <v/>
      </c>
      <c r="F341" s="199" t="str">
        <f aca="false">IF(A342="","",E341*AS341)</f>
        <v/>
      </c>
      <c r="G341" s="200" t="str">
        <f aca="false">IF($A342="","",VLOOKUP($A341,Table,MATCH(G$4,Curves,0)))</f>
        <v/>
      </c>
      <c r="H341" s="201" t="str">
        <f aca="false">IF(A342="","",G341)</f>
        <v/>
      </c>
      <c r="I341" s="202"/>
      <c r="J341" s="200" t="str">
        <f aca="false">IF($A342="","",VLOOKUP($A341,Table,MATCH(J$4,Curves,0)))</f>
        <v/>
      </c>
      <c r="K341" s="201" t="str">
        <f aca="false">IF(A342="","",J341)</f>
        <v/>
      </c>
      <c r="L341" s="185" t="n">
        <v>0</v>
      </c>
      <c r="M341" s="201" t="str">
        <f aca="false">IF(A342="","",L341)</f>
        <v/>
      </c>
      <c r="N341" s="203"/>
      <c r="O341" s="200" t="str">
        <f aca="false">IF(A342="","",L341+J341+G341)</f>
        <v/>
      </c>
      <c r="P341" s="200" t="str">
        <f aca="false">IF(A342="","",M341+K341+H341)</f>
        <v/>
      </c>
      <c r="Q341" s="204"/>
      <c r="R341" s="200" t="str">
        <f aca="false">IF($A342="","",VLOOKUP($A341,Table,MATCH(R$4,Curves,0)))</f>
        <v/>
      </c>
      <c r="S341" s="201" t="str">
        <f aca="false">IF(A342="","",R341)</f>
        <v/>
      </c>
      <c r="T341" s="185" t="n">
        <v>0</v>
      </c>
      <c r="U341" s="201" t="str">
        <f aca="false">IF(A342="","",T341)</f>
        <v/>
      </c>
      <c r="V341" s="205"/>
      <c r="W341" s="202" t="str">
        <f aca="false">IF($A342="","",(T341+R341+G341+V341))</f>
        <v/>
      </c>
      <c r="X341" s="202" t="str">
        <f aca="false">IF($A342="","",(U341+S341+H341+V341))</f>
        <v/>
      </c>
      <c r="Y341" s="202"/>
      <c r="Z341" s="185" t="str">
        <f aca="false">IF($A342="","",VLOOKUP($A341,Table,MATCH(Z$4,Curves,0)))</f>
        <v/>
      </c>
      <c r="AA341" s="185" t="str">
        <f aca="false">IF($A342="","",VLOOKUP($A341,Table,MATCH(AA$4,Curves,0)))</f>
        <v/>
      </c>
      <c r="AB341" s="185" t="e">
        <f aca="false">SQRT((AA341^2*(A341-$D$3)+Z341^2*(DAY(EOMONTH(A341,0))/2))/AK341)</f>
        <v>#VALUE!</v>
      </c>
      <c r="AC341" s="185" t="str">
        <f aca="false">IF($A342="","",VLOOKUP($A341,Table,MATCH(AC$4,Curves,0)))</f>
        <v/>
      </c>
      <c r="AD341" s="185" t="str">
        <f aca="false">IF($A342="","",VLOOKUP($A341,Table,MATCH(AD$4,Curves,0)))</f>
        <v/>
      </c>
      <c r="AE341" s="185" t="e">
        <f aca="false">SQRT((AD341^2*(A341-$D$3)+AC341^2*(DAY(EOMONTH(A341,0))/2))/AK341)</f>
        <v>#VALUE!</v>
      </c>
      <c r="AF341" s="224" t="e">
        <f aca="false">((Summary!$N$13*(AA341*AD341)*(A341-$D$3))+(Summary!$M$13*Z341*AC341*(AJ341-EOMONTH(EDATE(A341,-1),0))))/(AK341*AB341*AE341)</f>
        <v>#VALUE!</v>
      </c>
      <c r="AG341" s="207" t="str">
        <f aca="false">IF($A342="","",Summary!$Q$13)</f>
        <v/>
      </c>
      <c r="AH341" s="207" t="str">
        <f aca="false">IF($A342="","",IF(Summary!$R$12="Y",(VLOOKUP($A341,Summary!$AD$6:$AF$9,3)+'Escalating commodity'!I354),'Escalating commodity'!I354))</f>
        <v/>
      </c>
      <c r="AI341" s="207" t="str">
        <f aca="false">IF($A342="","",AH341)</f>
        <v/>
      </c>
      <c r="AJ341" s="208" t="e">
        <f aca="false">A341+DAY(EOMONTH(A341,0))/2-1</f>
        <v>#VALUE!</v>
      </c>
      <c r="AK341" s="209" t="str">
        <f aca="false">IF($A342="","",$A341-$E$1)</f>
        <v/>
      </c>
      <c r="AL341" s="182" t="str">
        <f aca="false">IF($A342="","",SPRDOPT(P341,X341,AI341,0,AB341,AE341,AF341,AK341,$AJ$2,0))</f>
        <v/>
      </c>
      <c r="AM341" s="210" t="str">
        <f aca="false">IF($A342="","",MAX(0,O341-W341-AI341))</f>
        <v/>
      </c>
      <c r="AN341" s="211" t="str">
        <f aca="false">IF($A342="","",AL341-AM341)</f>
        <v/>
      </c>
      <c r="AO341" s="137" t="str">
        <f aca="false">IF(A342="","",A342-A341)</f>
        <v/>
      </c>
      <c r="AP341" s="212" t="str">
        <f aca="false">IF(A342="","",CHOOSE(F$3,A342+24,A341))</f>
        <v/>
      </c>
      <c r="AQ341" s="209" t="str">
        <f aca="false">IF(A342="","",AP341-$E$1)</f>
        <v/>
      </c>
      <c r="AR341" s="185" t="n">
        <f aca="false">'ANR OK vs ML7'!AR341</f>
        <v>0.1</v>
      </c>
      <c r="AS341" s="213" t="str">
        <f aca="false">IF(A342="","",1/(1+CHOOSE(F$3,(AR342+($I$3/10000))/2,(AR341+($I$3/10000))/2))^(2*AQ341/365.25))</f>
        <v/>
      </c>
      <c r="AT341" s="137" t="str">
        <f aca="false">IF(A342="","",IF(AND(mthbeg&lt;=A341,mthend&gt;=A341),1,0))</f>
        <v/>
      </c>
      <c r="AU341" s="137" t="str">
        <f aca="false">IF(A342="","",AO341*AT341)</f>
        <v/>
      </c>
      <c r="AW341" s="195" t="str">
        <f aca="false">IF($A342="","",AL341*$E341)</f>
        <v/>
      </c>
      <c r="AX341" s="195" t="str">
        <f aca="false">IF($A342="","",AM341*$E341)</f>
        <v/>
      </c>
      <c r="AY341" s="195" t="str">
        <f aca="false">IF($A342="","",AN341*$E341)</f>
        <v/>
      </c>
      <c r="BA341" s="195" t="str">
        <f aca="false">IF($A342="","",F341*Summary!$Q$13)</f>
        <v/>
      </c>
    </row>
    <row r="342" customFormat="false" ht="12" hidden="false" customHeight="true" outlineLevel="0" collapsed="false">
      <c r="A342" s="196" t="str">
        <f aca="false">IF(A341&lt;mthend,EDATE(A341,1),"")</f>
        <v/>
      </c>
      <c r="B342" s="197" t="str">
        <f aca="false">IF(A342&lt;mthend,B341,"")</f>
        <v/>
      </c>
      <c r="C342" s="215"/>
      <c r="D342" s="197" t="str">
        <f aca="false">IF(A343&lt;&gt;"",B342+C342,"")</f>
        <v/>
      </c>
      <c r="E342" s="199" t="str">
        <f aca="false">IF(A343="","",IF(AND(AT342=1,$H$3=1),D342*AO342,IF($H$3=2,D342,"N/A")))</f>
        <v/>
      </c>
      <c r="F342" s="199" t="str">
        <f aca="false">IF(A343="","",E342*AS342)</f>
        <v/>
      </c>
      <c r="G342" s="200" t="str">
        <f aca="false">IF($A343="","",VLOOKUP($A342,Table,MATCH(G$4,Curves,0)))</f>
        <v/>
      </c>
      <c r="H342" s="201" t="str">
        <f aca="false">IF(A343="","",G342)</f>
        <v/>
      </c>
      <c r="I342" s="202"/>
      <c r="J342" s="200" t="str">
        <f aca="false">IF($A343="","",VLOOKUP($A342,Table,MATCH(J$4,Curves,0)))</f>
        <v/>
      </c>
      <c r="K342" s="201" t="str">
        <f aca="false">IF(A343="","",J342)</f>
        <v/>
      </c>
      <c r="L342" s="185" t="n">
        <v>0</v>
      </c>
      <c r="M342" s="201" t="str">
        <f aca="false">IF(A343="","",L342)</f>
        <v/>
      </c>
      <c r="N342" s="203"/>
      <c r="O342" s="200" t="str">
        <f aca="false">IF(A343="","",L342+J342+G342)</f>
        <v/>
      </c>
      <c r="P342" s="200" t="str">
        <f aca="false">IF(A343="","",M342+K342+H342)</f>
        <v/>
      </c>
      <c r="Q342" s="204"/>
      <c r="R342" s="200" t="str">
        <f aca="false">IF($A343="","",VLOOKUP($A342,Table,MATCH(R$4,Curves,0)))</f>
        <v/>
      </c>
      <c r="S342" s="201" t="str">
        <f aca="false">IF(A343="","",R342)</f>
        <v/>
      </c>
      <c r="T342" s="185" t="n">
        <v>0</v>
      </c>
      <c r="U342" s="201" t="str">
        <f aca="false">IF(A343="","",T342)</f>
        <v/>
      </c>
      <c r="V342" s="205"/>
      <c r="W342" s="202" t="str">
        <f aca="false">IF($A343="","",(T342+R342+G342+V342))</f>
        <v/>
      </c>
      <c r="X342" s="202" t="str">
        <f aca="false">IF($A343="","",(U342+S342+H342+V342))</f>
        <v/>
      </c>
      <c r="Y342" s="202"/>
      <c r="Z342" s="185" t="str">
        <f aca="false">IF($A343="","",VLOOKUP($A342,Table,MATCH(Z$4,Curves,0)))</f>
        <v/>
      </c>
      <c r="AA342" s="185" t="str">
        <f aca="false">IF($A343="","",VLOOKUP($A342,Table,MATCH(AA$4,Curves,0)))</f>
        <v/>
      </c>
      <c r="AB342" s="185" t="e">
        <f aca="false">SQRT((AA342^2*(A342-$D$3)+Z342^2*(DAY(EOMONTH(A342,0))/2))/AK342)</f>
        <v>#VALUE!</v>
      </c>
      <c r="AC342" s="185" t="str">
        <f aca="false">IF($A343="","",VLOOKUP($A342,Table,MATCH(AC$4,Curves,0)))</f>
        <v/>
      </c>
      <c r="AD342" s="185" t="str">
        <f aca="false">IF($A343="","",VLOOKUP($A342,Table,MATCH(AD$4,Curves,0)))</f>
        <v/>
      </c>
      <c r="AE342" s="185" t="e">
        <f aca="false">SQRT((AD342^2*(A342-$D$3)+AC342^2*(DAY(EOMONTH(A342,0))/2))/AK342)</f>
        <v>#VALUE!</v>
      </c>
      <c r="AF342" s="224" t="e">
        <f aca="false">((Summary!$N$13*(AA342*AD342)*(A342-$D$3))+(Summary!$M$13*Z342*AC342*(AJ342-EOMONTH(EDATE(A342,-1),0))))/(AK342*AB342*AE342)</f>
        <v>#VALUE!</v>
      </c>
      <c r="AG342" s="207" t="str">
        <f aca="false">IF($A343="","",Summary!$Q$13)</f>
        <v/>
      </c>
      <c r="AH342" s="207" t="str">
        <f aca="false">IF($A343="","",IF(Summary!$R$12="Y",(VLOOKUP($A342,Summary!$AD$6:$AF$9,3)+'Escalating commodity'!I355),'Escalating commodity'!I355))</f>
        <v/>
      </c>
      <c r="AI342" s="207" t="str">
        <f aca="false">IF($A343="","",AH342)</f>
        <v/>
      </c>
      <c r="AJ342" s="208" t="e">
        <f aca="false">A342+DAY(EOMONTH(A342,0))/2-1</f>
        <v>#VALUE!</v>
      </c>
      <c r="AK342" s="209" t="str">
        <f aca="false">IF($A343="","",$A342-$E$1)</f>
        <v/>
      </c>
      <c r="AL342" s="182" t="str">
        <f aca="false">IF($A343="","",SPRDOPT(P342,X342,AI342,0,AB342,AE342,AF342,AK342,$AJ$2,0))</f>
        <v/>
      </c>
      <c r="AM342" s="210" t="str">
        <f aca="false">IF($A343="","",MAX(0,O342-W342-AI342))</f>
        <v/>
      </c>
      <c r="AN342" s="211" t="str">
        <f aca="false">IF($A343="","",AL342-AM342)</f>
        <v/>
      </c>
      <c r="AO342" s="137" t="str">
        <f aca="false">IF(A343="","",A343-A342)</f>
        <v/>
      </c>
      <c r="AP342" s="212" t="str">
        <f aca="false">IF(A343="","",CHOOSE(F$3,A343+24,A342))</f>
        <v/>
      </c>
      <c r="AQ342" s="209" t="str">
        <f aca="false">IF(A343="","",AP342-$E$1)</f>
        <v/>
      </c>
      <c r="AR342" s="185" t="n">
        <f aca="false">'ANR OK vs ML7'!AR342</f>
        <v>0.1</v>
      </c>
      <c r="AS342" s="213" t="str">
        <f aca="false">IF(A343="","",1/(1+CHOOSE(F$3,(AR343+($I$3/10000))/2,(AR342+($I$3/10000))/2))^(2*AQ342/365.25))</f>
        <v/>
      </c>
      <c r="AT342" s="137" t="str">
        <f aca="false">IF(A343="","",IF(AND(mthbeg&lt;=A342,mthend&gt;=A342),1,0))</f>
        <v/>
      </c>
      <c r="AU342" s="137" t="str">
        <f aca="false">IF(A343="","",AO342*AT342)</f>
        <v/>
      </c>
      <c r="AW342" s="195" t="str">
        <f aca="false">IF($A343="","",AL342*$E342)</f>
        <v/>
      </c>
      <c r="AX342" s="195" t="str">
        <f aca="false">IF($A343="","",AM342*$E342)</f>
        <v/>
      </c>
      <c r="AY342" s="195" t="str">
        <f aca="false">IF($A343="","",AN342*$E342)</f>
        <v/>
      </c>
      <c r="BA342" s="195" t="str">
        <f aca="false">IF($A343="","",F342*Summary!$Q$13)</f>
        <v/>
      </c>
    </row>
    <row r="343" customFormat="false" ht="12" hidden="false" customHeight="true" outlineLevel="0" collapsed="false">
      <c r="A343" s="196" t="str">
        <f aca="false">IF(A342&lt;mthend,EDATE(A342,1),"")</f>
        <v/>
      </c>
      <c r="B343" s="197" t="str">
        <f aca="false">IF(A343&lt;mthend,B342,"")</f>
        <v/>
      </c>
      <c r="C343" s="215"/>
      <c r="D343" s="197" t="str">
        <f aca="false">IF(A344&lt;&gt;"",B343+C343,"")</f>
        <v/>
      </c>
      <c r="E343" s="199" t="str">
        <f aca="false">IF(A344="","",IF(AND(AT343=1,$H$3=1),D343*AO343,IF($H$3=2,D343,"N/A")))</f>
        <v/>
      </c>
      <c r="F343" s="199" t="str">
        <f aca="false">IF(A344="","",E343*AS343)</f>
        <v/>
      </c>
      <c r="G343" s="200" t="str">
        <f aca="false">IF($A344="","",VLOOKUP($A343,Table,MATCH(G$4,Curves,0)))</f>
        <v/>
      </c>
      <c r="H343" s="201" t="str">
        <f aca="false">IF(A344="","",G343)</f>
        <v/>
      </c>
      <c r="I343" s="202"/>
      <c r="J343" s="200" t="str">
        <f aca="false">IF($A344="","",VLOOKUP($A343,Table,MATCH(J$4,Curves,0)))</f>
        <v/>
      </c>
      <c r="K343" s="201" t="str">
        <f aca="false">IF(A344="","",J343)</f>
        <v/>
      </c>
      <c r="L343" s="185" t="n">
        <v>0</v>
      </c>
      <c r="M343" s="201" t="str">
        <f aca="false">IF(A344="","",L343)</f>
        <v/>
      </c>
      <c r="N343" s="203"/>
      <c r="O343" s="200" t="str">
        <f aca="false">IF(A344="","",L343+J343+G343)</f>
        <v/>
      </c>
      <c r="P343" s="200" t="str">
        <f aca="false">IF(A344="","",M343+K343+H343)</f>
        <v/>
      </c>
      <c r="Q343" s="204"/>
      <c r="R343" s="200" t="str">
        <f aca="false">IF($A344="","",VLOOKUP($A343,Table,MATCH(R$4,Curves,0)))</f>
        <v/>
      </c>
      <c r="S343" s="201" t="str">
        <f aca="false">IF(A344="","",R343)</f>
        <v/>
      </c>
      <c r="T343" s="185" t="n">
        <v>0</v>
      </c>
      <c r="U343" s="201" t="str">
        <f aca="false">IF(A344="","",T343)</f>
        <v/>
      </c>
      <c r="V343" s="205"/>
      <c r="W343" s="202" t="str">
        <f aca="false">IF($A344="","",(T343+R343+G343+V343))</f>
        <v/>
      </c>
      <c r="X343" s="202" t="str">
        <f aca="false">IF($A344="","",(U343+S343+H343+V343))</f>
        <v/>
      </c>
      <c r="Y343" s="202"/>
      <c r="Z343" s="185" t="str">
        <f aca="false">IF($A344="","",VLOOKUP($A343,Table,MATCH(Z$4,Curves,0)))</f>
        <v/>
      </c>
      <c r="AA343" s="185" t="str">
        <f aca="false">IF($A344="","",VLOOKUP($A343,Table,MATCH(AA$4,Curves,0)))</f>
        <v/>
      </c>
      <c r="AB343" s="185" t="e">
        <f aca="false">SQRT((AA343^2*(A343-$D$3)+Z343^2*(DAY(EOMONTH(A343,0))/2))/AK343)</f>
        <v>#VALUE!</v>
      </c>
      <c r="AC343" s="185" t="str">
        <f aca="false">IF($A344="","",VLOOKUP($A343,Table,MATCH(AC$4,Curves,0)))</f>
        <v/>
      </c>
      <c r="AD343" s="185" t="str">
        <f aca="false">IF($A344="","",VLOOKUP($A343,Table,MATCH(AD$4,Curves,0)))</f>
        <v/>
      </c>
      <c r="AE343" s="185" t="e">
        <f aca="false">SQRT((AD343^2*(A343-$D$3)+AC343^2*(DAY(EOMONTH(A343,0))/2))/AK343)</f>
        <v>#VALUE!</v>
      </c>
      <c r="AF343" s="224" t="e">
        <f aca="false">((Summary!$N$13*(AA343*AD343)*(A343-$D$3))+(Summary!$M$13*Z343*AC343*(AJ343-EOMONTH(EDATE(A343,-1),0))))/(AK343*AB343*AE343)</f>
        <v>#VALUE!</v>
      </c>
      <c r="AG343" s="207" t="str">
        <f aca="false">IF($A344="","",Summary!$Q$13)</f>
        <v/>
      </c>
      <c r="AH343" s="207" t="str">
        <f aca="false">IF($A344="","",IF(Summary!$R$12="Y",(VLOOKUP($A343,Summary!$AD$6:$AF$9,3)+'Escalating commodity'!I356),'Escalating commodity'!I356))</f>
        <v/>
      </c>
      <c r="AI343" s="207" t="str">
        <f aca="false">IF($A344="","",AH343)</f>
        <v/>
      </c>
      <c r="AJ343" s="208" t="e">
        <f aca="false">A343+DAY(EOMONTH(A343,0))/2-1</f>
        <v>#VALUE!</v>
      </c>
      <c r="AK343" s="209" t="str">
        <f aca="false">IF($A344="","",$A343-$E$1)</f>
        <v/>
      </c>
      <c r="AL343" s="182" t="str">
        <f aca="false">IF($A344="","",SPRDOPT(P343,X343,AI343,0,AB343,AE343,AF343,AK343,$AJ$2,0))</f>
        <v/>
      </c>
      <c r="AM343" s="210" t="str">
        <f aca="false">IF($A344="","",MAX(0,O343-W343-AI343))</f>
        <v/>
      </c>
      <c r="AN343" s="211" t="str">
        <f aca="false">IF($A344="","",AL343-AM343)</f>
        <v/>
      </c>
      <c r="AO343" s="137" t="str">
        <f aca="false">IF(A344="","",A344-A343)</f>
        <v/>
      </c>
      <c r="AP343" s="212" t="str">
        <f aca="false">IF(A344="","",CHOOSE(F$3,A344+24,A343))</f>
        <v/>
      </c>
      <c r="AQ343" s="209" t="str">
        <f aca="false">IF(A344="","",AP343-$E$1)</f>
        <v/>
      </c>
      <c r="AR343" s="185" t="n">
        <f aca="false">'ANR OK vs ML7'!AR343</f>
        <v>0.1</v>
      </c>
      <c r="AS343" s="213" t="str">
        <f aca="false">IF(A344="","",1/(1+CHOOSE(F$3,(AR344+($I$3/10000))/2,(AR343+($I$3/10000))/2))^(2*AQ343/365.25))</f>
        <v/>
      </c>
      <c r="AT343" s="137" t="str">
        <f aca="false">IF(A344="","",IF(AND(mthbeg&lt;=A343,mthend&gt;=A343),1,0))</f>
        <v/>
      </c>
      <c r="AU343" s="137" t="str">
        <f aca="false">IF(A344="","",AO343*AT343)</f>
        <v/>
      </c>
      <c r="AW343" s="195" t="str">
        <f aca="false">IF($A344="","",AL343*$E343)</f>
        <v/>
      </c>
      <c r="AX343" s="195" t="str">
        <f aca="false">IF($A344="","",AM343*$E343)</f>
        <v/>
      </c>
      <c r="AY343" s="195" t="str">
        <f aca="false">IF($A344="","",AN343*$E343)</f>
        <v/>
      </c>
      <c r="BA343" s="195" t="str">
        <f aca="false">IF($A344="","",F343*Summary!$Q$13)</f>
        <v/>
      </c>
    </row>
    <row r="344" customFormat="false" ht="12" hidden="false" customHeight="true" outlineLevel="0" collapsed="false">
      <c r="A344" s="196" t="str">
        <f aca="false">IF(A343&lt;mthend,EDATE(A343,1),"")</f>
        <v/>
      </c>
      <c r="B344" s="197" t="str">
        <f aca="false">IF(A344&lt;mthend,B343,"")</f>
        <v/>
      </c>
      <c r="C344" s="215"/>
      <c r="D344" s="197" t="str">
        <f aca="false">IF(A345&lt;&gt;"",B344+C344,"")</f>
        <v/>
      </c>
      <c r="E344" s="199" t="str">
        <f aca="false">IF(A345="","",IF(AND(AT344=1,$H$3=1),D344*AO344,IF($H$3=2,D344,"N/A")))</f>
        <v/>
      </c>
      <c r="F344" s="199" t="str">
        <f aca="false">IF(A345="","",E344*AS344)</f>
        <v/>
      </c>
      <c r="G344" s="200" t="str">
        <f aca="false">IF($A345="","",VLOOKUP($A344,Table,MATCH(G$4,Curves,0)))</f>
        <v/>
      </c>
      <c r="H344" s="201" t="str">
        <f aca="false">IF(A345="","",G344)</f>
        <v/>
      </c>
      <c r="I344" s="202"/>
      <c r="J344" s="200" t="str">
        <f aca="false">IF($A345="","",VLOOKUP($A344,Table,MATCH(J$4,Curves,0)))</f>
        <v/>
      </c>
      <c r="K344" s="201" t="str">
        <f aca="false">IF(A345="","",J344)</f>
        <v/>
      </c>
      <c r="L344" s="185" t="n">
        <v>0</v>
      </c>
      <c r="M344" s="201" t="str">
        <f aca="false">IF(A345="","",L344)</f>
        <v/>
      </c>
      <c r="N344" s="203"/>
      <c r="O344" s="200" t="str">
        <f aca="false">IF(A345="","",L344+J344+G344)</f>
        <v/>
      </c>
      <c r="P344" s="200" t="str">
        <f aca="false">IF(A345="","",M344+K344+H344)</f>
        <v/>
      </c>
      <c r="Q344" s="204"/>
      <c r="R344" s="200" t="str">
        <f aca="false">IF($A345="","",VLOOKUP($A344,Table,MATCH(R$4,Curves,0)))</f>
        <v/>
      </c>
      <c r="S344" s="201" t="str">
        <f aca="false">IF(A345="","",R344)</f>
        <v/>
      </c>
      <c r="T344" s="185" t="n">
        <v>0</v>
      </c>
      <c r="U344" s="201" t="str">
        <f aca="false">IF(A345="","",T344)</f>
        <v/>
      </c>
      <c r="V344" s="205"/>
      <c r="W344" s="202" t="str">
        <f aca="false">IF($A345="","",(T344+R344+G344+V344))</f>
        <v/>
      </c>
      <c r="X344" s="202" t="str">
        <f aca="false">IF($A345="","",(U344+S344+H344+V344))</f>
        <v/>
      </c>
      <c r="Y344" s="202"/>
      <c r="Z344" s="185" t="str">
        <f aca="false">IF($A345="","",VLOOKUP($A344,Table,MATCH(Z$4,Curves,0)))</f>
        <v/>
      </c>
      <c r="AA344" s="185" t="str">
        <f aca="false">IF($A345="","",VLOOKUP($A344,Table,MATCH(AA$4,Curves,0)))</f>
        <v/>
      </c>
      <c r="AB344" s="185" t="e">
        <f aca="false">SQRT((AA344^2*(A344-$D$3)+Z344^2*(DAY(EOMONTH(A344,0))/2))/AK344)</f>
        <v>#VALUE!</v>
      </c>
      <c r="AC344" s="185" t="str">
        <f aca="false">IF($A345="","",VLOOKUP($A344,Table,MATCH(AC$4,Curves,0)))</f>
        <v/>
      </c>
      <c r="AD344" s="185" t="str">
        <f aca="false">IF($A345="","",VLOOKUP($A344,Table,MATCH(AD$4,Curves,0)))</f>
        <v/>
      </c>
      <c r="AE344" s="185" t="e">
        <f aca="false">SQRT((AD344^2*(A344-$D$3)+AC344^2*(DAY(EOMONTH(A344,0))/2))/AK344)</f>
        <v>#VALUE!</v>
      </c>
      <c r="AF344" s="224" t="e">
        <f aca="false">((Summary!$N$13*(AA344*AD344)*(A344-$D$3))+(Summary!$M$13*Z344*AC344*(AJ344-EOMONTH(EDATE(A344,-1),0))))/(AK344*AB344*AE344)</f>
        <v>#VALUE!</v>
      </c>
      <c r="AG344" s="207" t="str">
        <f aca="false">IF($A345="","",Summary!$Q$13)</f>
        <v/>
      </c>
      <c r="AH344" s="207" t="str">
        <f aca="false">IF($A345="","",IF(Summary!$R$12="Y",(VLOOKUP($A344,Summary!$AD$6:$AF$9,3)+'Escalating commodity'!I357),'Escalating commodity'!I357))</f>
        <v/>
      </c>
      <c r="AI344" s="207" t="str">
        <f aca="false">IF($A345="","",AH344)</f>
        <v/>
      </c>
      <c r="AJ344" s="208" t="e">
        <f aca="false">A344+DAY(EOMONTH(A344,0))/2-1</f>
        <v>#VALUE!</v>
      </c>
      <c r="AK344" s="209" t="str">
        <f aca="false">IF($A345="","",$A344-$E$1)</f>
        <v/>
      </c>
      <c r="AL344" s="182" t="str">
        <f aca="false">IF($A345="","",SPRDOPT(P344,X344,AI344,0,AB344,AE344,AF344,AK344,$AJ$2,0))</f>
        <v/>
      </c>
      <c r="AM344" s="210" t="str">
        <f aca="false">IF($A345="","",MAX(0,O344-W344-AI344))</f>
        <v/>
      </c>
      <c r="AN344" s="211" t="str">
        <f aca="false">IF($A345="","",AL344-AM344)</f>
        <v/>
      </c>
      <c r="AO344" s="137" t="str">
        <f aca="false">IF(A345="","",A345-A344)</f>
        <v/>
      </c>
      <c r="AP344" s="212" t="str">
        <f aca="false">IF(A345="","",CHOOSE(F$3,A345+24,A344))</f>
        <v/>
      </c>
      <c r="AQ344" s="209" t="str">
        <f aca="false">IF(A345="","",AP344-$E$1)</f>
        <v/>
      </c>
      <c r="AR344" s="185" t="n">
        <f aca="false">'ANR OK vs ML7'!AR344</f>
        <v>0.1</v>
      </c>
      <c r="AS344" s="213" t="str">
        <f aca="false">IF(A345="","",1/(1+CHOOSE(F$3,(AR345+($I$3/10000))/2,(AR344+($I$3/10000))/2))^(2*AQ344/365.25))</f>
        <v/>
      </c>
      <c r="AT344" s="137" t="str">
        <f aca="false">IF(A345="","",IF(AND(mthbeg&lt;=A344,mthend&gt;=A344),1,0))</f>
        <v/>
      </c>
      <c r="AU344" s="137" t="str">
        <f aca="false">IF(A345="","",AO344*AT344)</f>
        <v/>
      </c>
      <c r="AW344" s="195" t="str">
        <f aca="false">IF($A345="","",AL344*$E344)</f>
        <v/>
      </c>
      <c r="AX344" s="195" t="str">
        <f aca="false">IF($A345="","",AM344*$E344)</f>
        <v/>
      </c>
      <c r="AY344" s="195" t="str">
        <f aca="false">IF($A345="","",AN344*$E344)</f>
        <v/>
      </c>
      <c r="BA344" s="195" t="str">
        <f aca="false">IF($A345="","",F344*Summary!$Q$13)</f>
        <v/>
      </c>
    </row>
    <row r="345" customFormat="false" ht="12" hidden="false" customHeight="true" outlineLevel="0" collapsed="false">
      <c r="A345" s="196" t="str">
        <f aca="false">IF(A344&lt;mthend,EDATE(A344,1),"")</f>
        <v/>
      </c>
      <c r="B345" s="197" t="str">
        <f aca="false">IF(A345&lt;mthend,B344,"")</f>
        <v/>
      </c>
      <c r="C345" s="215"/>
      <c r="D345" s="197" t="str">
        <f aca="false">IF(A346&lt;&gt;"",B345+C345,"")</f>
        <v/>
      </c>
      <c r="E345" s="199" t="str">
        <f aca="false">IF(A346="","",IF(AND(AT345=1,$H$3=1),D345*AO345,IF($H$3=2,D345,"N/A")))</f>
        <v/>
      </c>
      <c r="F345" s="199" t="str">
        <f aca="false">IF(A346="","",E345*AS345)</f>
        <v/>
      </c>
      <c r="G345" s="200" t="str">
        <f aca="false">IF($A346="","",VLOOKUP($A345,Table,MATCH(G$4,Curves,0)))</f>
        <v/>
      </c>
      <c r="H345" s="201" t="str">
        <f aca="false">IF(A346="","",G345)</f>
        <v/>
      </c>
      <c r="I345" s="202"/>
      <c r="J345" s="200" t="str">
        <f aca="false">IF($A346="","",VLOOKUP($A345,Table,MATCH(J$4,Curves,0)))</f>
        <v/>
      </c>
      <c r="K345" s="201" t="str">
        <f aca="false">IF(A346="","",J345)</f>
        <v/>
      </c>
      <c r="L345" s="185" t="n">
        <v>0</v>
      </c>
      <c r="M345" s="201" t="str">
        <f aca="false">IF(A346="","",L345)</f>
        <v/>
      </c>
      <c r="N345" s="203"/>
      <c r="O345" s="200" t="str">
        <f aca="false">IF(A346="","",L345+J345+G345)</f>
        <v/>
      </c>
      <c r="P345" s="200" t="str">
        <f aca="false">IF(A346="","",M345+K345+H345)</f>
        <v/>
      </c>
      <c r="Q345" s="204"/>
      <c r="R345" s="200" t="str">
        <f aca="false">IF($A346="","",VLOOKUP($A345,Table,MATCH(R$4,Curves,0)))</f>
        <v/>
      </c>
      <c r="S345" s="201" t="str">
        <f aca="false">IF(A346="","",R345)</f>
        <v/>
      </c>
      <c r="T345" s="185" t="n">
        <v>0</v>
      </c>
      <c r="U345" s="201" t="str">
        <f aca="false">IF(A346="","",T345)</f>
        <v/>
      </c>
      <c r="V345" s="205"/>
      <c r="W345" s="202" t="str">
        <f aca="false">IF($A346="","",(T345+R345+G345+V345))</f>
        <v/>
      </c>
      <c r="X345" s="202" t="str">
        <f aca="false">IF($A346="","",(U345+S345+H345+V345))</f>
        <v/>
      </c>
      <c r="Y345" s="202"/>
      <c r="Z345" s="185" t="str">
        <f aca="false">IF($A346="","",VLOOKUP($A345,Table,MATCH(Z$4,Curves,0)))</f>
        <v/>
      </c>
      <c r="AA345" s="185" t="str">
        <f aca="false">IF($A346="","",VLOOKUP($A345,Table,MATCH(AA$4,Curves,0)))</f>
        <v/>
      </c>
      <c r="AB345" s="185" t="e">
        <f aca="false">SQRT((AA345^2*(A345-$D$3)+Z345^2*(DAY(EOMONTH(A345,0))/2))/AK345)</f>
        <v>#VALUE!</v>
      </c>
      <c r="AC345" s="185" t="str">
        <f aca="false">IF($A346="","",VLOOKUP($A345,Table,MATCH(AC$4,Curves,0)))</f>
        <v/>
      </c>
      <c r="AD345" s="185" t="str">
        <f aca="false">IF($A346="","",VLOOKUP($A345,Table,MATCH(AD$4,Curves,0)))</f>
        <v/>
      </c>
      <c r="AE345" s="185" t="e">
        <f aca="false">SQRT((AD345^2*(A345-$D$3)+AC345^2*(DAY(EOMONTH(A345,0))/2))/AK345)</f>
        <v>#VALUE!</v>
      </c>
      <c r="AF345" s="224" t="e">
        <f aca="false">((Summary!$N$13*(AA345*AD345)*(A345-$D$3))+(Summary!$M$13*Z345*AC345*(AJ345-EOMONTH(EDATE(A345,-1),0))))/(AK345*AB345*AE345)</f>
        <v>#VALUE!</v>
      </c>
      <c r="AG345" s="207" t="str">
        <f aca="false">IF($A346="","",Summary!$Q$13)</f>
        <v/>
      </c>
      <c r="AH345" s="207" t="str">
        <f aca="false">IF($A346="","",IF(Summary!$R$12="Y",(VLOOKUP($A345,Summary!$AD$6:$AF$9,3)+'Escalating commodity'!I358),'Escalating commodity'!I358))</f>
        <v/>
      </c>
      <c r="AI345" s="207" t="str">
        <f aca="false">IF($A346="","",AH345)</f>
        <v/>
      </c>
      <c r="AJ345" s="208" t="e">
        <f aca="false">A345+DAY(EOMONTH(A345,0))/2-1</f>
        <v>#VALUE!</v>
      </c>
      <c r="AK345" s="209" t="str">
        <f aca="false">IF($A346="","",$A345-$E$1)</f>
        <v/>
      </c>
      <c r="AL345" s="182" t="str">
        <f aca="false">IF($A346="","",SPRDOPT(P345,X345,AI345,0,AB345,AE345,AF345,AK345,$AJ$2,0))</f>
        <v/>
      </c>
      <c r="AM345" s="210" t="str">
        <f aca="false">IF($A346="","",MAX(0,O345-W345-AI345))</f>
        <v/>
      </c>
      <c r="AN345" s="211" t="str">
        <f aca="false">IF($A346="","",AL345-AM345)</f>
        <v/>
      </c>
      <c r="AO345" s="137" t="str">
        <f aca="false">IF(A346="","",A346-A345)</f>
        <v/>
      </c>
      <c r="AP345" s="212" t="str">
        <f aca="false">IF(A346="","",CHOOSE(F$3,A346+24,A345))</f>
        <v/>
      </c>
      <c r="AQ345" s="209" t="str">
        <f aca="false">IF(A346="","",AP345-$E$1)</f>
        <v/>
      </c>
      <c r="AR345" s="185" t="n">
        <f aca="false">'ANR OK vs ML7'!AR345</f>
        <v>0.1</v>
      </c>
      <c r="AS345" s="213" t="str">
        <f aca="false">IF(A346="","",1/(1+CHOOSE(F$3,(AR346+($I$3/10000))/2,(AR345+($I$3/10000))/2))^(2*AQ345/365.25))</f>
        <v/>
      </c>
      <c r="AT345" s="137" t="str">
        <f aca="false">IF(A346="","",IF(AND(mthbeg&lt;=A345,mthend&gt;=A345),1,0))</f>
        <v/>
      </c>
      <c r="AU345" s="137" t="str">
        <f aca="false">IF(A346="","",AO345*AT345)</f>
        <v/>
      </c>
      <c r="AW345" s="195" t="str">
        <f aca="false">IF($A346="","",AL345*$E345)</f>
        <v/>
      </c>
      <c r="AX345" s="195" t="str">
        <f aca="false">IF($A346="","",AM345*$E345)</f>
        <v/>
      </c>
      <c r="AY345" s="195" t="str">
        <f aca="false">IF($A346="","",AN345*$E345)</f>
        <v/>
      </c>
      <c r="BA345" s="195" t="str">
        <f aca="false">IF($A346="","",F345*Summary!$Q$13)</f>
        <v/>
      </c>
    </row>
    <row r="346" customFormat="false" ht="12" hidden="false" customHeight="true" outlineLevel="0" collapsed="false">
      <c r="A346" s="196" t="str">
        <f aca="false">IF(A345&lt;mthend,EDATE(A345,1),"")</f>
        <v/>
      </c>
      <c r="B346" s="197" t="str">
        <f aca="false">IF(A346&lt;mthend,B345,"")</f>
        <v/>
      </c>
      <c r="C346" s="215"/>
      <c r="D346" s="197" t="str">
        <f aca="false">IF(A347&lt;&gt;"",B346+C346,"")</f>
        <v/>
      </c>
      <c r="E346" s="199" t="str">
        <f aca="false">IF(A347="","",IF(AND(AT346=1,$H$3=1),D346*AO346,IF($H$3=2,D346,"N/A")))</f>
        <v/>
      </c>
      <c r="F346" s="199" t="str">
        <f aca="false">IF(A347="","",E346*AS346)</f>
        <v/>
      </c>
      <c r="G346" s="200" t="str">
        <f aca="false">IF($A347="","",VLOOKUP($A346,Table,MATCH(G$4,Curves,0)))</f>
        <v/>
      </c>
      <c r="H346" s="201" t="str">
        <f aca="false">IF(A347="","",G346)</f>
        <v/>
      </c>
      <c r="I346" s="202"/>
      <c r="J346" s="200" t="str">
        <f aca="false">IF($A347="","",VLOOKUP($A346,Table,MATCH(J$4,Curves,0)))</f>
        <v/>
      </c>
      <c r="K346" s="201" t="str">
        <f aca="false">IF(A347="","",J346)</f>
        <v/>
      </c>
      <c r="L346" s="185" t="n">
        <v>0</v>
      </c>
      <c r="M346" s="201" t="str">
        <f aca="false">IF(A347="","",L346)</f>
        <v/>
      </c>
      <c r="N346" s="203"/>
      <c r="O346" s="200" t="str">
        <f aca="false">IF(A347="","",L346+J346+G346)</f>
        <v/>
      </c>
      <c r="P346" s="200" t="str">
        <f aca="false">IF(A347="","",M346+K346+H346)</f>
        <v/>
      </c>
      <c r="Q346" s="204"/>
      <c r="R346" s="200" t="str">
        <f aca="false">IF($A347="","",VLOOKUP($A346,Table,MATCH(R$4,Curves,0)))</f>
        <v/>
      </c>
      <c r="S346" s="201" t="str">
        <f aca="false">IF(A347="","",R346)</f>
        <v/>
      </c>
      <c r="T346" s="185" t="n">
        <v>0</v>
      </c>
      <c r="U346" s="201" t="str">
        <f aca="false">IF(A347="","",T346)</f>
        <v/>
      </c>
      <c r="V346" s="205"/>
      <c r="W346" s="202" t="str">
        <f aca="false">IF($A347="","",(T346+R346+G346+V346))</f>
        <v/>
      </c>
      <c r="X346" s="202" t="str">
        <f aca="false">IF($A347="","",(U346+S346+H346+V346))</f>
        <v/>
      </c>
      <c r="Y346" s="202"/>
      <c r="Z346" s="185" t="str">
        <f aca="false">IF($A347="","",VLOOKUP($A346,Table,MATCH(Z$4,Curves,0)))</f>
        <v/>
      </c>
      <c r="AA346" s="185" t="str">
        <f aca="false">IF($A347="","",VLOOKUP($A346,Table,MATCH(AA$4,Curves,0)))</f>
        <v/>
      </c>
      <c r="AB346" s="185" t="e">
        <f aca="false">SQRT((AA346^2*(A346-$D$3)+Z346^2*(DAY(EOMONTH(A346,0))/2))/AK346)</f>
        <v>#VALUE!</v>
      </c>
      <c r="AC346" s="185" t="str">
        <f aca="false">IF($A347="","",VLOOKUP($A346,Table,MATCH(AC$4,Curves,0)))</f>
        <v/>
      </c>
      <c r="AD346" s="185" t="str">
        <f aca="false">IF($A347="","",VLOOKUP($A346,Table,MATCH(AD$4,Curves,0)))</f>
        <v/>
      </c>
      <c r="AE346" s="185" t="e">
        <f aca="false">SQRT((AD346^2*(A346-$D$3)+AC346^2*(DAY(EOMONTH(A346,0))/2))/AK346)</f>
        <v>#VALUE!</v>
      </c>
      <c r="AF346" s="224" t="e">
        <f aca="false">((Summary!$N$13*(AA346*AD346)*(A346-$D$3))+(Summary!$M$13*Z346*AC346*(AJ346-EOMONTH(EDATE(A346,-1),0))))/(AK346*AB346*AE346)</f>
        <v>#VALUE!</v>
      </c>
      <c r="AG346" s="207" t="str">
        <f aca="false">IF($A347="","",Summary!$Q$13)</f>
        <v/>
      </c>
      <c r="AH346" s="207" t="str">
        <f aca="false">IF($A347="","",IF(Summary!$R$12="Y",(VLOOKUP($A346,Summary!$AD$6:$AF$9,3)+'Escalating commodity'!I359),'Escalating commodity'!I359))</f>
        <v/>
      </c>
      <c r="AI346" s="207" t="str">
        <f aca="false">IF($A347="","",AH346)</f>
        <v/>
      </c>
      <c r="AJ346" s="208" t="e">
        <f aca="false">A346+DAY(EOMONTH(A346,0))/2-1</f>
        <v>#VALUE!</v>
      </c>
      <c r="AK346" s="209" t="str">
        <f aca="false">IF($A347="","",$A346-$E$1)</f>
        <v/>
      </c>
      <c r="AL346" s="182" t="str">
        <f aca="false">IF($A347="","",SPRDOPT(P346,X346,AI346,0,AB346,AE346,AF346,AK346,$AJ$2,0))</f>
        <v/>
      </c>
      <c r="AM346" s="210" t="str">
        <f aca="false">IF($A347="","",MAX(0,O346-W346-AI346))</f>
        <v/>
      </c>
      <c r="AN346" s="211" t="str">
        <f aca="false">IF($A347="","",AL346-AM346)</f>
        <v/>
      </c>
      <c r="AO346" s="137" t="str">
        <f aca="false">IF(A347="","",A347-A346)</f>
        <v/>
      </c>
      <c r="AP346" s="212" t="str">
        <f aca="false">IF(A347="","",CHOOSE(F$3,A347+24,A346))</f>
        <v/>
      </c>
      <c r="AQ346" s="209" t="str">
        <f aca="false">IF(A347="","",AP346-$E$1)</f>
        <v/>
      </c>
      <c r="AR346" s="185" t="n">
        <f aca="false">'ANR OK vs ML7'!AR346</f>
        <v>0.1</v>
      </c>
      <c r="AS346" s="213" t="str">
        <f aca="false">IF(A347="","",1/(1+CHOOSE(F$3,(AR347+($I$3/10000))/2,(AR346+($I$3/10000))/2))^(2*AQ346/365.25))</f>
        <v/>
      </c>
      <c r="AT346" s="137" t="str">
        <f aca="false">IF(A347="","",IF(AND(mthbeg&lt;=A346,mthend&gt;=A346),1,0))</f>
        <v/>
      </c>
      <c r="AU346" s="137" t="str">
        <f aca="false">IF(A347="","",AO346*AT346)</f>
        <v/>
      </c>
      <c r="AW346" s="195" t="str">
        <f aca="false">IF($A347="","",AL346*$E346)</f>
        <v/>
      </c>
      <c r="AX346" s="195" t="str">
        <f aca="false">IF($A347="","",AM346*$E346)</f>
        <v/>
      </c>
      <c r="AY346" s="195" t="str">
        <f aca="false">IF($A347="","",AN346*$E346)</f>
        <v/>
      </c>
      <c r="BA346" s="195" t="str">
        <f aca="false">IF($A347="","",F346*Summary!$Q$13)</f>
        <v/>
      </c>
    </row>
    <row r="347" customFormat="false" ht="12" hidden="false" customHeight="true" outlineLevel="0" collapsed="false">
      <c r="A347" s="196" t="str">
        <f aca="false">IF(A346&lt;mthend,EDATE(A346,1),"")</f>
        <v/>
      </c>
      <c r="B347" s="197" t="str">
        <f aca="false">IF(A347&lt;mthend,B346,"")</f>
        <v/>
      </c>
      <c r="C347" s="215"/>
      <c r="D347" s="197" t="str">
        <f aca="false">IF(A348&lt;&gt;"",B347+C347,"")</f>
        <v/>
      </c>
      <c r="E347" s="199" t="str">
        <f aca="false">IF(A348="","",IF(AND(AT347=1,$H$3=1),D347*AO347,IF($H$3=2,D347,"N/A")))</f>
        <v/>
      </c>
      <c r="F347" s="199" t="str">
        <f aca="false">IF(A348="","",E347*AS347)</f>
        <v/>
      </c>
      <c r="G347" s="200" t="str">
        <f aca="false">IF($A348="","",VLOOKUP($A347,Table,MATCH(G$4,Curves,0)))</f>
        <v/>
      </c>
      <c r="H347" s="201" t="str">
        <f aca="false">IF(A348="","",G347)</f>
        <v/>
      </c>
      <c r="I347" s="202"/>
      <c r="J347" s="200" t="str">
        <f aca="false">IF($A348="","",VLOOKUP($A347,Table,MATCH(J$4,Curves,0)))</f>
        <v/>
      </c>
      <c r="K347" s="201" t="str">
        <f aca="false">IF(A348="","",J347)</f>
        <v/>
      </c>
      <c r="L347" s="185" t="n">
        <v>0</v>
      </c>
      <c r="M347" s="201" t="str">
        <f aca="false">IF(A348="","",L347)</f>
        <v/>
      </c>
      <c r="N347" s="203"/>
      <c r="O347" s="200" t="str">
        <f aca="false">IF(A348="","",L347+J347+G347)</f>
        <v/>
      </c>
      <c r="P347" s="200" t="str">
        <f aca="false">IF(A348="","",M347+K347+H347)</f>
        <v/>
      </c>
      <c r="Q347" s="204"/>
      <c r="R347" s="200" t="str">
        <f aca="false">IF($A348="","",VLOOKUP($A347,Table,MATCH(R$4,Curves,0)))</f>
        <v/>
      </c>
      <c r="S347" s="201" t="str">
        <f aca="false">IF(A348="","",R347)</f>
        <v/>
      </c>
      <c r="T347" s="185" t="n">
        <v>0</v>
      </c>
      <c r="U347" s="201" t="str">
        <f aca="false">IF(A348="","",T347)</f>
        <v/>
      </c>
      <c r="V347" s="205"/>
      <c r="W347" s="202" t="str">
        <f aca="false">IF($A348="","",(T347+R347+G347+V347))</f>
        <v/>
      </c>
      <c r="X347" s="202" t="str">
        <f aca="false">IF($A348="","",(U347+S347+H347+V347))</f>
        <v/>
      </c>
      <c r="Y347" s="202"/>
      <c r="Z347" s="185" t="str">
        <f aca="false">IF($A348="","",VLOOKUP($A347,Table,MATCH(Z$4,Curves,0)))</f>
        <v/>
      </c>
      <c r="AA347" s="185" t="str">
        <f aca="false">IF($A348="","",VLOOKUP($A347,Table,MATCH(AA$4,Curves,0)))</f>
        <v/>
      </c>
      <c r="AB347" s="185" t="e">
        <f aca="false">SQRT((AA347^2*(A347-$D$3)+Z347^2*(DAY(EOMONTH(A347,0))/2))/AK347)</f>
        <v>#VALUE!</v>
      </c>
      <c r="AC347" s="185" t="str">
        <f aca="false">IF($A348="","",VLOOKUP($A347,Table,MATCH(AC$4,Curves,0)))</f>
        <v/>
      </c>
      <c r="AD347" s="185" t="str">
        <f aca="false">IF($A348="","",VLOOKUP($A347,Table,MATCH(AD$4,Curves,0)))</f>
        <v/>
      </c>
      <c r="AE347" s="185" t="e">
        <f aca="false">SQRT((AD347^2*(A347-$D$3)+AC347^2*(DAY(EOMONTH(A347,0))/2))/AK347)</f>
        <v>#VALUE!</v>
      </c>
      <c r="AF347" s="224" t="e">
        <f aca="false">((Summary!$N$13*(AA347*AD347)*(A347-$D$3))+(Summary!$M$13*Z347*AC347*(AJ347-EOMONTH(EDATE(A347,-1),0))))/(AK347*AB347*AE347)</f>
        <v>#VALUE!</v>
      </c>
      <c r="AG347" s="207" t="str">
        <f aca="false">IF($A348="","",Summary!$Q$13)</f>
        <v/>
      </c>
      <c r="AH347" s="207" t="str">
        <f aca="false">IF($A348="","",IF(Summary!$R$12="Y",(VLOOKUP($A347,Summary!$AD$6:$AF$9,3)+'Escalating commodity'!I360),'Escalating commodity'!I360))</f>
        <v/>
      </c>
      <c r="AI347" s="207" t="str">
        <f aca="false">IF($A348="","",AH347)</f>
        <v/>
      </c>
      <c r="AJ347" s="208" t="e">
        <f aca="false">A347+DAY(EOMONTH(A347,0))/2-1</f>
        <v>#VALUE!</v>
      </c>
      <c r="AK347" s="209" t="str">
        <f aca="false">IF($A348="","",$A347-$E$1)</f>
        <v/>
      </c>
      <c r="AL347" s="182" t="str">
        <f aca="false">IF($A348="","",SPRDOPT(P347,X347,AI347,0,AB347,AE347,AF347,AK347,$AJ$2,0))</f>
        <v/>
      </c>
      <c r="AM347" s="210" t="str">
        <f aca="false">IF($A348="","",MAX(0,O347-W347-AI347))</f>
        <v/>
      </c>
      <c r="AN347" s="211" t="str">
        <f aca="false">IF($A348="","",AL347-AM347)</f>
        <v/>
      </c>
      <c r="AO347" s="137" t="str">
        <f aca="false">IF(A348="","",A348-A347)</f>
        <v/>
      </c>
      <c r="AP347" s="212" t="str">
        <f aca="false">IF(A348="","",CHOOSE(F$3,A348+24,A347))</f>
        <v/>
      </c>
      <c r="AQ347" s="209" t="str">
        <f aca="false">IF(A348="","",AP347-$E$1)</f>
        <v/>
      </c>
      <c r="AR347" s="185" t="n">
        <f aca="false">'ANR OK vs ML7'!AR347</f>
        <v>0.1</v>
      </c>
      <c r="AS347" s="213" t="str">
        <f aca="false">IF(A348="","",1/(1+CHOOSE(F$3,(AR348+($I$3/10000))/2,(AR347+($I$3/10000))/2))^(2*AQ347/365.25))</f>
        <v/>
      </c>
      <c r="AT347" s="137" t="str">
        <f aca="false">IF(A348="","",IF(AND(mthbeg&lt;=A347,mthend&gt;=A347),1,0))</f>
        <v/>
      </c>
      <c r="AU347" s="137" t="str">
        <f aca="false">IF(A348="","",AO347*AT347)</f>
        <v/>
      </c>
      <c r="AW347" s="195" t="str">
        <f aca="false">IF($A348="","",AL347*$E347)</f>
        <v/>
      </c>
      <c r="AX347" s="195" t="str">
        <f aca="false">IF($A348="","",AM347*$E347)</f>
        <v/>
      </c>
      <c r="AY347" s="195" t="str">
        <f aca="false">IF($A348="","",AN347*$E347)</f>
        <v/>
      </c>
      <c r="BA347" s="195" t="str">
        <f aca="false">IF($A348="","",F347*Summary!$Q$13)</f>
        <v/>
      </c>
    </row>
    <row r="348" customFormat="false" ht="12" hidden="false" customHeight="true" outlineLevel="0" collapsed="false">
      <c r="A348" s="196" t="str">
        <f aca="false">IF(A347&lt;mthend,EDATE(A347,1),"")</f>
        <v/>
      </c>
      <c r="B348" s="197" t="str">
        <f aca="false">IF(A348&lt;mthend,B347,"")</f>
        <v/>
      </c>
      <c r="C348" s="215"/>
      <c r="D348" s="197" t="str">
        <f aca="false">IF(A349&lt;&gt;"",B348+C348,"")</f>
        <v/>
      </c>
      <c r="E348" s="199" t="str">
        <f aca="false">IF(A349="","",IF(AND(AT348=1,$H$3=1),D348*AO348,IF($H$3=2,D348,"N/A")))</f>
        <v/>
      </c>
      <c r="F348" s="199" t="str">
        <f aca="false">IF(A349="","",E348*AS348)</f>
        <v/>
      </c>
      <c r="G348" s="200" t="str">
        <f aca="false">IF($A349="","",VLOOKUP($A348,Table,MATCH(G$4,Curves,0)))</f>
        <v/>
      </c>
      <c r="H348" s="201" t="str">
        <f aca="false">IF(A349="","",G348)</f>
        <v/>
      </c>
      <c r="I348" s="202"/>
      <c r="J348" s="200" t="str">
        <f aca="false">IF($A349="","",VLOOKUP($A348,Table,MATCH(J$4,Curves,0)))</f>
        <v/>
      </c>
      <c r="K348" s="201" t="str">
        <f aca="false">IF(A349="","",J348)</f>
        <v/>
      </c>
      <c r="L348" s="185" t="n">
        <v>0</v>
      </c>
      <c r="M348" s="201" t="str">
        <f aca="false">IF(A349="","",L348)</f>
        <v/>
      </c>
      <c r="N348" s="203"/>
      <c r="O348" s="200" t="str">
        <f aca="false">IF(A349="","",L348+J348+G348)</f>
        <v/>
      </c>
      <c r="P348" s="200" t="str">
        <f aca="false">IF(A349="","",M348+K348+H348)</f>
        <v/>
      </c>
      <c r="Q348" s="204"/>
      <c r="R348" s="200" t="str">
        <f aca="false">IF($A349="","",VLOOKUP($A348,Table,MATCH(R$4,Curves,0)))</f>
        <v/>
      </c>
      <c r="S348" s="201" t="str">
        <f aca="false">IF(A349="","",R348)</f>
        <v/>
      </c>
      <c r="T348" s="185" t="n">
        <v>0</v>
      </c>
      <c r="U348" s="201" t="str">
        <f aca="false">IF(A349="","",T348)</f>
        <v/>
      </c>
      <c r="V348" s="205"/>
      <c r="W348" s="202" t="str">
        <f aca="false">IF($A349="","",(T348+R348+G348+V348))</f>
        <v/>
      </c>
      <c r="X348" s="202" t="str">
        <f aca="false">IF($A349="","",(U348+S348+H348+V348))</f>
        <v/>
      </c>
      <c r="Y348" s="202"/>
      <c r="Z348" s="185" t="str">
        <f aca="false">IF($A349="","",VLOOKUP($A348,Table,MATCH(Z$4,Curves,0)))</f>
        <v/>
      </c>
      <c r="AA348" s="185" t="str">
        <f aca="false">IF($A349="","",VLOOKUP($A348,Table,MATCH(AA$4,Curves,0)))</f>
        <v/>
      </c>
      <c r="AB348" s="185" t="e">
        <f aca="false">SQRT((AA348^2*(A348-$D$3)+Z348^2*(DAY(EOMONTH(A348,0))/2))/AK348)</f>
        <v>#VALUE!</v>
      </c>
      <c r="AC348" s="185" t="str">
        <f aca="false">IF($A349="","",VLOOKUP($A348,Table,MATCH(AC$4,Curves,0)))</f>
        <v/>
      </c>
      <c r="AD348" s="185" t="str">
        <f aca="false">IF($A349="","",VLOOKUP($A348,Table,MATCH(AD$4,Curves,0)))</f>
        <v/>
      </c>
      <c r="AE348" s="185" t="e">
        <f aca="false">SQRT((AD348^2*(A348-$D$3)+AC348^2*(DAY(EOMONTH(A348,0))/2))/AK348)</f>
        <v>#VALUE!</v>
      </c>
      <c r="AF348" s="224" t="e">
        <f aca="false">((Summary!$N$13*(AA348*AD348)*(A348-$D$3))+(Summary!$M$13*Z348*AC348*(AJ348-EOMONTH(EDATE(A348,-1),0))))/(AK348*AB348*AE348)</f>
        <v>#VALUE!</v>
      </c>
      <c r="AG348" s="207" t="str">
        <f aca="false">IF($A349="","",Summary!$Q$13)</f>
        <v/>
      </c>
      <c r="AH348" s="207" t="str">
        <f aca="false">IF($A349="","",IF(Summary!$R$12="Y",(VLOOKUP($A348,Summary!$AD$6:$AF$9,3)+'Escalating commodity'!I361),'Escalating commodity'!I361))</f>
        <v/>
      </c>
      <c r="AI348" s="207" t="str">
        <f aca="false">IF($A349="","",AH348)</f>
        <v/>
      </c>
      <c r="AJ348" s="208" t="e">
        <f aca="false">A348+DAY(EOMONTH(A348,0))/2-1</f>
        <v>#VALUE!</v>
      </c>
      <c r="AK348" s="209" t="str">
        <f aca="false">IF($A349="","",$A348-$E$1)</f>
        <v/>
      </c>
      <c r="AL348" s="182" t="str">
        <f aca="false">IF($A349="","",SPRDOPT(P348,X348,AI348,0,AB348,AE348,AF348,AK348,$AJ$2,0))</f>
        <v/>
      </c>
      <c r="AM348" s="210" t="str">
        <f aca="false">IF($A349="","",MAX(0,O348-W348-AI348))</f>
        <v/>
      </c>
      <c r="AN348" s="211" t="str">
        <f aca="false">IF($A349="","",AL348-AM348)</f>
        <v/>
      </c>
      <c r="AO348" s="137" t="str">
        <f aca="false">IF(A349="","",A349-A348)</f>
        <v/>
      </c>
      <c r="AP348" s="212" t="str">
        <f aca="false">IF(A349="","",CHOOSE(F$3,A349+24,A348))</f>
        <v/>
      </c>
      <c r="AQ348" s="209" t="str">
        <f aca="false">IF(A349="","",AP348-$E$1)</f>
        <v/>
      </c>
      <c r="AR348" s="185" t="n">
        <f aca="false">'ANR OK vs ML7'!AR348</f>
        <v>0.1</v>
      </c>
      <c r="AS348" s="213" t="str">
        <f aca="false">IF(A349="","",1/(1+CHOOSE(F$3,(AR349+($I$3/10000))/2,(AR348+($I$3/10000))/2))^(2*AQ348/365.25))</f>
        <v/>
      </c>
      <c r="AT348" s="137" t="str">
        <f aca="false">IF(A349="","",IF(AND(mthbeg&lt;=A348,mthend&gt;=A348),1,0))</f>
        <v/>
      </c>
      <c r="AU348" s="137" t="str">
        <f aca="false">IF(A349="","",AO348*AT348)</f>
        <v/>
      </c>
      <c r="AW348" s="195" t="str">
        <f aca="false">IF($A349="","",AL348*$E348)</f>
        <v/>
      </c>
      <c r="AX348" s="195" t="str">
        <f aca="false">IF($A349="","",AM348*$E348)</f>
        <v/>
      </c>
      <c r="AY348" s="195" t="str">
        <f aca="false">IF($A349="","",AN348*$E348)</f>
        <v/>
      </c>
      <c r="BA348" s="195" t="str">
        <f aca="false">IF($A349="","",F348*Summary!$Q$13)</f>
        <v/>
      </c>
    </row>
    <row r="349" customFormat="false" ht="12" hidden="false" customHeight="true" outlineLevel="0" collapsed="false">
      <c r="A349" s="196" t="str">
        <f aca="false">IF(A348&lt;mthend,EDATE(A348,1),"")</f>
        <v/>
      </c>
      <c r="B349" s="197" t="str">
        <f aca="false">IF(A349&lt;mthend,B348,"")</f>
        <v/>
      </c>
      <c r="C349" s="215"/>
      <c r="D349" s="197" t="str">
        <f aca="false">IF(A350&lt;&gt;"",B349+C349,"")</f>
        <v/>
      </c>
      <c r="E349" s="199" t="str">
        <f aca="false">IF(A350="","",IF(AND(AT349=1,$H$3=1),D349*AO349,IF($H$3=2,D349,"N/A")))</f>
        <v/>
      </c>
      <c r="F349" s="199" t="str">
        <f aca="false">IF(A350="","",E349*AS349)</f>
        <v/>
      </c>
      <c r="G349" s="200" t="str">
        <f aca="false">IF($A350="","",VLOOKUP($A349,Table,MATCH(G$4,Curves,0)))</f>
        <v/>
      </c>
      <c r="H349" s="201" t="str">
        <f aca="false">IF(A350="","",G349)</f>
        <v/>
      </c>
      <c r="I349" s="202"/>
      <c r="J349" s="200" t="str">
        <f aca="false">IF($A350="","",VLOOKUP($A349,Table,MATCH(J$4,Curves,0)))</f>
        <v/>
      </c>
      <c r="K349" s="201" t="str">
        <f aca="false">IF(A350="","",J349)</f>
        <v/>
      </c>
      <c r="L349" s="185" t="n">
        <v>0</v>
      </c>
      <c r="M349" s="201" t="str">
        <f aca="false">IF(A350="","",L349)</f>
        <v/>
      </c>
      <c r="N349" s="203"/>
      <c r="O349" s="200" t="str">
        <f aca="false">IF(A350="","",L349+J349+G349)</f>
        <v/>
      </c>
      <c r="P349" s="200" t="str">
        <f aca="false">IF(A350="","",M349+K349+H349)</f>
        <v/>
      </c>
      <c r="Q349" s="204"/>
      <c r="R349" s="200" t="str">
        <f aca="false">IF($A350="","",VLOOKUP($A349,Table,MATCH(R$4,Curves,0)))</f>
        <v/>
      </c>
      <c r="S349" s="201" t="str">
        <f aca="false">IF(A350="","",R349)</f>
        <v/>
      </c>
      <c r="T349" s="185" t="n">
        <v>0</v>
      </c>
      <c r="U349" s="201" t="str">
        <f aca="false">IF(A350="","",T349)</f>
        <v/>
      </c>
      <c r="V349" s="205"/>
      <c r="W349" s="202" t="str">
        <f aca="false">IF($A350="","",(T349+R349+G349+V349))</f>
        <v/>
      </c>
      <c r="X349" s="202" t="str">
        <f aca="false">IF($A350="","",(U349+S349+H349+V349))</f>
        <v/>
      </c>
      <c r="Y349" s="202"/>
      <c r="Z349" s="185" t="str">
        <f aca="false">IF($A350="","",VLOOKUP($A349,Table,MATCH(Z$4,Curves,0)))</f>
        <v/>
      </c>
      <c r="AA349" s="185" t="str">
        <f aca="false">IF($A350="","",VLOOKUP($A349,Table,MATCH(AA$4,Curves,0)))</f>
        <v/>
      </c>
      <c r="AB349" s="185" t="e">
        <f aca="false">SQRT((AA349^2*(A349-$D$3)+Z349^2*(DAY(EOMONTH(A349,0))/2))/AK349)</f>
        <v>#VALUE!</v>
      </c>
      <c r="AC349" s="185" t="str">
        <f aca="false">IF($A350="","",VLOOKUP($A349,Table,MATCH(AC$4,Curves,0)))</f>
        <v/>
      </c>
      <c r="AD349" s="185" t="str">
        <f aca="false">IF($A350="","",VLOOKUP($A349,Table,MATCH(AD$4,Curves,0)))</f>
        <v/>
      </c>
      <c r="AE349" s="185" t="e">
        <f aca="false">SQRT((AD349^2*(A349-$D$3)+AC349^2*(DAY(EOMONTH(A349,0))/2))/AK349)</f>
        <v>#VALUE!</v>
      </c>
      <c r="AF349" s="224" t="e">
        <f aca="false">((Summary!$N$13*(AA349*AD349)*(A349-$D$3))+(Summary!$M$13*Z349*AC349*(AJ349-EOMONTH(EDATE(A349,-1),0))))/(AK349*AB349*AE349)</f>
        <v>#VALUE!</v>
      </c>
      <c r="AG349" s="207" t="str">
        <f aca="false">IF($A350="","",Summary!$Q$13)</f>
        <v/>
      </c>
      <c r="AH349" s="207" t="str">
        <f aca="false">IF($A350="","",IF(Summary!$R$12="Y",(VLOOKUP($A349,Summary!$AD$6:$AF$9,3)+'Escalating commodity'!I362),'Escalating commodity'!I362))</f>
        <v/>
      </c>
      <c r="AI349" s="207" t="str">
        <f aca="false">IF($A350="","",AH349)</f>
        <v/>
      </c>
      <c r="AJ349" s="208" t="e">
        <f aca="false">A349+DAY(EOMONTH(A349,0))/2-1</f>
        <v>#VALUE!</v>
      </c>
      <c r="AK349" s="209" t="str">
        <f aca="false">IF($A350="","",$A349-$E$1)</f>
        <v/>
      </c>
      <c r="AL349" s="182" t="str">
        <f aca="false">IF($A350="","",SPRDOPT(P349,X349,AI349,0,AB349,AE349,AF349,AK349,$AJ$2,0))</f>
        <v/>
      </c>
      <c r="AM349" s="210" t="str">
        <f aca="false">IF($A350="","",MAX(0,O349-W349-AI349))</f>
        <v/>
      </c>
      <c r="AN349" s="211" t="str">
        <f aca="false">IF($A350="","",AL349-AM349)</f>
        <v/>
      </c>
      <c r="AO349" s="137" t="str">
        <f aca="false">IF(A350="","",A350-A349)</f>
        <v/>
      </c>
      <c r="AP349" s="212" t="str">
        <f aca="false">IF(A350="","",CHOOSE(F$3,A350+24,A349))</f>
        <v/>
      </c>
      <c r="AQ349" s="209" t="str">
        <f aca="false">IF(A350="","",AP349-$E$1)</f>
        <v/>
      </c>
      <c r="AR349" s="185" t="n">
        <f aca="false">'ANR OK vs ML7'!AR349</f>
        <v>0.1</v>
      </c>
      <c r="AS349" s="213" t="str">
        <f aca="false">IF(A350="","",1/(1+CHOOSE(F$3,(AR350+($I$3/10000))/2,(AR349+($I$3/10000))/2))^(2*AQ349/365.25))</f>
        <v/>
      </c>
      <c r="AT349" s="137" t="str">
        <f aca="false">IF(A350="","",IF(AND(mthbeg&lt;=A349,mthend&gt;=A349),1,0))</f>
        <v/>
      </c>
      <c r="AU349" s="137" t="str">
        <f aca="false">IF(A350="","",AO349*AT349)</f>
        <v/>
      </c>
      <c r="AW349" s="195" t="str">
        <f aca="false">IF($A350="","",AL349*$E349)</f>
        <v/>
      </c>
      <c r="AX349" s="195" t="str">
        <f aca="false">IF($A350="","",AM349*$E349)</f>
        <v/>
      </c>
      <c r="AY349" s="195" t="str">
        <f aca="false">IF($A350="","",AN349*$E349)</f>
        <v/>
      </c>
      <c r="BA349" s="195" t="str">
        <f aca="false">IF($A350="","",F349*Summary!$Q$13)</f>
        <v/>
      </c>
    </row>
    <row r="350" customFormat="false" ht="12" hidden="false" customHeight="true" outlineLevel="0" collapsed="false">
      <c r="A350" s="196" t="str">
        <f aca="false">IF(A349&lt;mthend,EDATE(A349,1),"")</f>
        <v/>
      </c>
      <c r="B350" s="197" t="str">
        <f aca="false">IF(A350&lt;mthend,B349,"")</f>
        <v/>
      </c>
      <c r="C350" s="215"/>
      <c r="D350" s="197" t="str">
        <f aca="false">IF(A351&lt;&gt;"",B350+C350,"")</f>
        <v/>
      </c>
      <c r="E350" s="199" t="str">
        <f aca="false">IF(A351="","",IF(AND(AT350=1,$H$3=1),D350*AO350,IF($H$3=2,D350,"N/A")))</f>
        <v/>
      </c>
      <c r="F350" s="199" t="str">
        <f aca="false">IF(A351="","",E350*AS350)</f>
        <v/>
      </c>
      <c r="G350" s="200" t="str">
        <f aca="false">IF($A351="","",VLOOKUP($A350,Table,MATCH(G$4,Curves,0)))</f>
        <v/>
      </c>
      <c r="H350" s="201" t="str">
        <f aca="false">IF(A351="","",G350)</f>
        <v/>
      </c>
      <c r="I350" s="202"/>
      <c r="J350" s="200" t="str">
        <f aca="false">IF($A351="","",VLOOKUP($A350,Table,MATCH(J$4,Curves,0)))</f>
        <v/>
      </c>
      <c r="K350" s="201" t="str">
        <f aca="false">IF(A351="","",J350)</f>
        <v/>
      </c>
      <c r="L350" s="185" t="n">
        <v>0</v>
      </c>
      <c r="M350" s="201" t="str">
        <f aca="false">IF(A351="","",L350)</f>
        <v/>
      </c>
      <c r="N350" s="203"/>
      <c r="O350" s="200" t="str">
        <f aca="false">IF(A351="","",L350+J350+G350)</f>
        <v/>
      </c>
      <c r="P350" s="200" t="str">
        <f aca="false">IF(A351="","",M350+K350+H350)</f>
        <v/>
      </c>
      <c r="Q350" s="204"/>
      <c r="R350" s="200" t="str">
        <f aca="false">IF($A351="","",VLOOKUP($A350,Table,MATCH(R$4,Curves,0)))</f>
        <v/>
      </c>
      <c r="S350" s="201" t="str">
        <f aca="false">IF(A351="","",R350)</f>
        <v/>
      </c>
      <c r="T350" s="185" t="n">
        <v>0</v>
      </c>
      <c r="U350" s="201" t="str">
        <f aca="false">IF(A351="","",T350)</f>
        <v/>
      </c>
      <c r="V350" s="205"/>
      <c r="W350" s="202" t="str">
        <f aca="false">IF($A351="","",(T350+R350+G350+V350))</f>
        <v/>
      </c>
      <c r="X350" s="202" t="str">
        <f aca="false">IF($A351="","",(U350+S350+H350+V350))</f>
        <v/>
      </c>
      <c r="Y350" s="202"/>
      <c r="Z350" s="185" t="str">
        <f aca="false">IF($A351="","",VLOOKUP($A350,Table,MATCH(Z$4,Curves,0)))</f>
        <v/>
      </c>
      <c r="AA350" s="185" t="str">
        <f aca="false">IF($A351="","",VLOOKUP($A350,Table,MATCH(AA$4,Curves,0)))</f>
        <v/>
      </c>
      <c r="AB350" s="185" t="e">
        <f aca="false">SQRT((AA350^2*(A350-$D$3)+Z350^2*(DAY(EOMONTH(A350,0))/2))/AK350)</f>
        <v>#VALUE!</v>
      </c>
      <c r="AC350" s="185" t="str">
        <f aca="false">IF($A351="","",VLOOKUP($A350,Table,MATCH(AC$4,Curves,0)))</f>
        <v/>
      </c>
      <c r="AD350" s="185" t="str">
        <f aca="false">IF($A351="","",VLOOKUP($A350,Table,MATCH(AD$4,Curves,0)))</f>
        <v/>
      </c>
      <c r="AE350" s="185" t="e">
        <f aca="false">SQRT((AD350^2*(A350-$D$3)+AC350^2*(DAY(EOMONTH(A350,0))/2))/AK350)</f>
        <v>#VALUE!</v>
      </c>
      <c r="AF350" s="224" t="e">
        <f aca="false">((Summary!$N$13*(AA350*AD350)*(A350-$D$3))+(Summary!$M$13*Z350*AC350*(AJ350-EOMONTH(EDATE(A350,-1),0))))/(AK350*AB350*AE350)</f>
        <v>#VALUE!</v>
      </c>
      <c r="AG350" s="207" t="str">
        <f aca="false">IF($A351="","",Summary!$Q$13)</f>
        <v/>
      </c>
      <c r="AH350" s="207" t="str">
        <f aca="false">IF($A351="","",IF(Summary!$R$12="Y",(VLOOKUP($A350,Summary!$AD$6:$AF$9,3)+'Escalating commodity'!I363),'Escalating commodity'!I363))</f>
        <v/>
      </c>
      <c r="AI350" s="207" t="str">
        <f aca="false">IF($A351="","",AH350)</f>
        <v/>
      </c>
      <c r="AJ350" s="208" t="e">
        <f aca="false">A350+DAY(EOMONTH(A350,0))/2-1</f>
        <v>#VALUE!</v>
      </c>
      <c r="AK350" s="209" t="str">
        <f aca="false">IF($A351="","",$A350-$E$1)</f>
        <v/>
      </c>
      <c r="AL350" s="182" t="str">
        <f aca="false">IF($A351="","",SPRDOPT(P350,X350,AI350,0,AB350,AE350,AF350,AK350,$AJ$2,0))</f>
        <v/>
      </c>
      <c r="AM350" s="210" t="str">
        <f aca="false">IF($A351="","",MAX(0,O350-W350-AI350))</f>
        <v/>
      </c>
      <c r="AN350" s="211" t="str">
        <f aca="false">IF($A351="","",AL350-AM350)</f>
        <v/>
      </c>
      <c r="AO350" s="137" t="str">
        <f aca="false">IF(A351="","",A351-A350)</f>
        <v/>
      </c>
      <c r="AP350" s="212" t="str">
        <f aca="false">IF(A351="","",CHOOSE(F$3,A351+24,A350))</f>
        <v/>
      </c>
      <c r="AQ350" s="209" t="str">
        <f aca="false">IF(A351="","",AP350-$E$1)</f>
        <v/>
      </c>
      <c r="AR350" s="185" t="n">
        <f aca="false">'ANR OK vs ML7'!AR350</f>
        <v>0.1</v>
      </c>
      <c r="AS350" s="213" t="str">
        <f aca="false">IF(A351="","",1/(1+CHOOSE(F$3,(AR351+($I$3/10000))/2,(AR350+($I$3/10000))/2))^(2*AQ350/365.25))</f>
        <v/>
      </c>
      <c r="AT350" s="137" t="str">
        <f aca="false">IF(A351="","",IF(AND(mthbeg&lt;=A350,mthend&gt;=A350),1,0))</f>
        <v/>
      </c>
      <c r="AU350" s="137" t="str">
        <f aca="false">IF(A351="","",AO350*AT350)</f>
        <v/>
      </c>
      <c r="AW350" s="195" t="str">
        <f aca="false">IF($A351="","",AL350*$E350)</f>
        <v/>
      </c>
      <c r="AX350" s="195" t="str">
        <f aca="false">IF($A351="","",AM350*$E350)</f>
        <v/>
      </c>
      <c r="AY350" s="195" t="str">
        <f aca="false">IF($A351="","",AN350*$E350)</f>
        <v/>
      </c>
      <c r="BA350" s="195" t="str">
        <f aca="false">IF($A351="","",F350*Summary!$Q$13)</f>
        <v/>
      </c>
    </row>
    <row r="351" customFormat="false" ht="12" hidden="false" customHeight="true" outlineLevel="0" collapsed="false">
      <c r="A351" s="196" t="str">
        <f aca="false">IF(A350&lt;mthend,EDATE(A350,1),"")</f>
        <v/>
      </c>
      <c r="B351" s="197" t="str">
        <f aca="false">IF(A351&lt;mthend,B350,"")</f>
        <v/>
      </c>
      <c r="C351" s="215"/>
      <c r="D351" s="197" t="str">
        <f aca="false">IF(A352&lt;&gt;"",B351+C351,"")</f>
        <v/>
      </c>
      <c r="E351" s="199" t="str">
        <f aca="false">IF(A352="","",IF(AND(AT351=1,$H$3=1),D351*AO351,IF($H$3=2,D351,"N/A")))</f>
        <v/>
      </c>
      <c r="F351" s="199" t="str">
        <f aca="false">IF(A352="","",E351*AS351)</f>
        <v/>
      </c>
      <c r="G351" s="200" t="str">
        <f aca="false">IF($A352="","",VLOOKUP($A351,Table,MATCH(G$4,Curves,0)))</f>
        <v/>
      </c>
      <c r="H351" s="201" t="str">
        <f aca="false">IF(A352="","",G351)</f>
        <v/>
      </c>
      <c r="I351" s="202"/>
      <c r="J351" s="200" t="str">
        <f aca="false">IF($A352="","",VLOOKUP($A351,Table,MATCH(J$4,Curves,0)))</f>
        <v/>
      </c>
      <c r="K351" s="201" t="str">
        <f aca="false">IF(A352="","",J351)</f>
        <v/>
      </c>
      <c r="L351" s="185" t="n">
        <v>0</v>
      </c>
      <c r="M351" s="201" t="str">
        <f aca="false">IF(A352="","",L351)</f>
        <v/>
      </c>
      <c r="N351" s="203"/>
      <c r="O351" s="200" t="str">
        <f aca="false">IF(A352="","",L351+J351+G351)</f>
        <v/>
      </c>
      <c r="P351" s="200" t="str">
        <f aca="false">IF(A352="","",M351+K351+H351)</f>
        <v/>
      </c>
      <c r="Q351" s="204"/>
      <c r="R351" s="200" t="str">
        <f aca="false">IF($A352="","",VLOOKUP($A351,Table,MATCH(R$4,Curves,0)))</f>
        <v/>
      </c>
      <c r="S351" s="201" t="str">
        <f aca="false">IF(A352="","",R351)</f>
        <v/>
      </c>
      <c r="T351" s="185" t="n">
        <v>0</v>
      </c>
      <c r="U351" s="201" t="str">
        <f aca="false">IF(A352="","",T351)</f>
        <v/>
      </c>
      <c r="V351" s="205"/>
      <c r="W351" s="202" t="str">
        <f aca="false">IF($A352="","",(T351+R351+G351+V351))</f>
        <v/>
      </c>
      <c r="X351" s="202" t="str">
        <f aca="false">IF($A352="","",(U351+S351+H351+V351))</f>
        <v/>
      </c>
      <c r="Y351" s="202"/>
      <c r="Z351" s="185" t="str">
        <f aca="false">IF($A352="","",VLOOKUP($A351,Table,MATCH(Z$4,Curves,0)))</f>
        <v/>
      </c>
      <c r="AA351" s="185" t="str">
        <f aca="false">IF($A352="","",VLOOKUP($A351,Table,MATCH(AA$4,Curves,0)))</f>
        <v/>
      </c>
      <c r="AB351" s="185" t="e">
        <f aca="false">SQRT((AA351^2*(A351-$D$3)+Z351^2*(DAY(EOMONTH(A351,0))/2))/AK351)</f>
        <v>#VALUE!</v>
      </c>
      <c r="AC351" s="185" t="str">
        <f aca="false">IF($A352="","",VLOOKUP($A351,Table,MATCH(AC$4,Curves,0)))</f>
        <v/>
      </c>
      <c r="AD351" s="185" t="str">
        <f aca="false">IF($A352="","",VLOOKUP($A351,Table,MATCH(AD$4,Curves,0)))</f>
        <v/>
      </c>
      <c r="AE351" s="185" t="e">
        <f aca="false">SQRT((AD351^2*(A351-$D$3)+AC351^2*(DAY(EOMONTH(A351,0))/2))/AK351)</f>
        <v>#VALUE!</v>
      </c>
      <c r="AF351" s="224" t="e">
        <f aca="false">((Summary!$N$13*(AA351*AD351)*(A351-$D$3))+(Summary!$M$13*Z351*AC351*(AJ351-EOMONTH(EDATE(A351,-1),0))))/(AK351*AB351*AE351)</f>
        <v>#VALUE!</v>
      </c>
      <c r="AG351" s="207" t="str">
        <f aca="false">IF($A352="","",Summary!$Q$13)</f>
        <v/>
      </c>
      <c r="AH351" s="207" t="str">
        <f aca="false">IF($A352="","",IF(Summary!$R$12="Y",(VLOOKUP($A351,Summary!$AD$6:$AF$9,3)+'Escalating commodity'!I364),'Escalating commodity'!I364))</f>
        <v/>
      </c>
      <c r="AI351" s="207" t="str">
        <f aca="false">IF($A352="","",AH351)</f>
        <v/>
      </c>
      <c r="AJ351" s="208" t="e">
        <f aca="false">A351+DAY(EOMONTH(A351,0))/2-1</f>
        <v>#VALUE!</v>
      </c>
      <c r="AK351" s="209" t="str">
        <f aca="false">IF($A352="","",$A351-$E$1)</f>
        <v/>
      </c>
      <c r="AL351" s="182" t="str">
        <f aca="false">IF($A352="","",SPRDOPT(P351,X351,AI351,0,AB351,AE351,AF351,AK351,$AJ$2,0))</f>
        <v/>
      </c>
      <c r="AM351" s="210" t="str">
        <f aca="false">IF($A352="","",MAX(0,O351-W351-AI351))</f>
        <v/>
      </c>
      <c r="AN351" s="211" t="str">
        <f aca="false">IF($A352="","",AL351-AM351)</f>
        <v/>
      </c>
      <c r="AO351" s="137" t="str">
        <f aca="false">IF(A352="","",A352-A351)</f>
        <v/>
      </c>
      <c r="AP351" s="212" t="str">
        <f aca="false">IF(A352="","",CHOOSE(F$3,A352+24,A351))</f>
        <v/>
      </c>
      <c r="AQ351" s="209" t="str">
        <f aca="false">IF(A352="","",AP351-$E$1)</f>
        <v/>
      </c>
      <c r="AR351" s="185" t="n">
        <f aca="false">'ANR OK vs ML7'!AR351</f>
        <v>0.1</v>
      </c>
      <c r="AS351" s="213" t="str">
        <f aca="false">IF(A352="","",1/(1+CHOOSE(F$3,(AR352+($I$3/10000))/2,(AR351+($I$3/10000))/2))^(2*AQ351/365.25))</f>
        <v/>
      </c>
      <c r="AT351" s="137" t="str">
        <f aca="false">IF(A352="","",IF(AND(mthbeg&lt;=A351,mthend&gt;=A351),1,0))</f>
        <v/>
      </c>
      <c r="AU351" s="137" t="str">
        <f aca="false">IF(A352="","",AO351*AT351)</f>
        <v/>
      </c>
      <c r="AW351" s="195" t="str">
        <f aca="false">IF($A352="","",AL351*$E351)</f>
        <v/>
      </c>
      <c r="AX351" s="195" t="str">
        <f aca="false">IF($A352="","",AM351*$E351)</f>
        <v/>
      </c>
      <c r="AY351" s="195" t="str">
        <f aca="false">IF($A352="","",AN351*$E351)</f>
        <v/>
      </c>
      <c r="BA351" s="195" t="str">
        <f aca="false">IF($A352="","",F351*Summary!$Q$13)</f>
        <v/>
      </c>
    </row>
    <row r="352" customFormat="false" ht="12" hidden="false" customHeight="true" outlineLevel="0" collapsed="false">
      <c r="A352" s="196" t="str">
        <f aca="false">IF(A351&lt;mthend,EDATE(A351,1),"")</f>
        <v/>
      </c>
      <c r="B352" s="197" t="str">
        <f aca="false">IF(A352&lt;mthend,B351,"")</f>
        <v/>
      </c>
      <c r="C352" s="215"/>
      <c r="D352" s="197" t="str">
        <f aca="false">IF(A353&lt;&gt;"",B352+C352,"")</f>
        <v/>
      </c>
      <c r="E352" s="199" t="str">
        <f aca="false">IF(A353="","",IF(AND(AT352=1,$H$3=1),D352*AO352,IF($H$3=2,D352,"N/A")))</f>
        <v/>
      </c>
      <c r="F352" s="199" t="str">
        <f aca="false">IF(A353="","",E352*AS352)</f>
        <v/>
      </c>
      <c r="G352" s="200" t="str">
        <f aca="false">IF($A353="","",VLOOKUP($A352,Table,MATCH(G$4,Curves,0)))</f>
        <v/>
      </c>
      <c r="H352" s="201" t="str">
        <f aca="false">IF(A353="","",G352)</f>
        <v/>
      </c>
      <c r="I352" s="202"/>
      <c r="J352" s="200" t="str">
        <f aca="false">IF($A353="","",VLOOKUP($A352,Table,MATCH(J$4,Curves,0)))</f>
        <v/>
      </c>
      <c r="K352" s="201" t="str">
        <f aca="false">IF(A353="","",J352)</f>
        <v/>
      </c>
      <c r="L352" s="185" t="n">
        <v>0</v>
      </c>
      <c r="M352" s="201" t="str">
        <f aca="false">IF(A353="","",L352)</f>
        <v/>
      </c>
      <c r="N352" s="203"/>
      <c r="O352" s="200" t="str">
        <f aca="false">IF(A353="","",L352+J352+G352)</f>
        <v/>
      </c>
      <c r="P352" s="200" t="str">
        <f aca="false">IF(A353="","",M352+K352+H352)</f>
        <v/>
      </c>
      <c r="Q352" s="204"/>
      <c r="R352" s="200" t="str">
        <f aca="false">IF($A353="","",VLOOKUP($A352,Table,MATCH(R$4,Curves,0)))</f>
        <v/>
      </c>
      <c r="S352" s="201" t="str">
        <f aca="false">IF(A353="","",R352)</f>
        <v/>
      </c>
      <c r="T352" s="185" t="n">
        <v>0</v>
      </c>
      <c r="U352" s="201" t="str">
        <f aca="false">IF(A353="","",T352)</f>
        <v/>
      </c>
      <c r="V352" s="205"/>
      <c r="W352" s="202" t="str">
        <f aca="false">IF($A353="","",(T352+R352+G352+V352))</f>
        <v/>
      </c>
      <c r="X352" s="202" t="str">
        <f aca="false">IF($A353="","",(U352+S352+H352+V352))</f>
        <v/>
      </c>
      <c r="Y352" s="202"/>
      <c r="Z352" s="185" t="str">
        <f aca="false">IF($A353="","",VLOOKUP($A352,Table,MATCH(Z$4,Curves,0)))</f>
        <v/>
      </c>
      <c r="AA352" s="185" t="str">
        <f aca="false">IF($A353="","",VLOOKUP($A352,Table,MATCH(AA$4,Curves,0)))</f>
        <v/>
      </c>
      <c r="AB352" s="185" t="e">
        <f aca="false">SQRT((AA352^2*(A352-$D$3)+Z352^2*(DAY(EOMONTH(A352,0))/2))/AK352)</f>
        <v>#VALUE!</v>
      </c>
      <c r="AC352" s="185" t="str">
        <f aca="false">IF($A353="","",VLOOKUP($A352,Table,MATCH(AC$4,Curves,0)))</f>
        <v/>
      </c>
      <c r="AD352" s="185" t="str">
        <f aca="false">IF($A353="","",VLOOKUP($A352,Table,MATCH(AD$4,Curves,0)))</f>
        <v/>
      </c>
      <c r="AE352" s="185" t="e">
        <f aca="false">SQRT((AD352^2*(A352-$D$3)+AC352^2*(DAY(EOMONTH(A352,0))/2))/AK352)</f>
        <v>#VALUE!</v>
      </c>
      <c r="AF352" s="224" t="e">
        <f aca="false">((Summary!$N$13*(AA352*AD352)*(A352-$D$3))+(Summary!$M$13*Z352*AC352*(AJ352-EOMONTH(EDATE(A352,-1),0))))/(AK352*AB352*AE352)</f>
        <v>#VALUE!</v>
      </c>
      <c r="AG352" s="207" t="str">
        <f aca="false">IF($A353="","",Summary!$Q$13)</f>
        <v/>
      </c>
      <c r="AH352" s="207" t="str">
        <f aca="false">IF($A353="","",IF(Summary!$R$12="Y",(VLOOKUP($A352,Summary!$AD$6:$AF$9,3)+'Escalating commodity'!I365),'Escalating commodity'!I365))</f>
        <v/>
      </c>
      <c r="AI352" s="207" t="str">
        <f aca="false">IF($A353="","",AH352)</f>
        <v/>
      </c>
      <c r="AJ352" s="208" t="e">
        <f aca="false">A352+DAY(EOMONTH(A352,0))/2-1</f>
        <v>#VALUE!</v>
      </c>
      <c r="AK352" s="209" t="str">
        <f aca="false">IF($A353="","",$A352-$E$1)</f>
        <v/>
      </c>
      <c r="AL352" s="182" t="str">
        <f aca="false">IF($A353="","",SPRDOPT(P352,X352,AI352,0,AB352,AE352,AF352,AK352,$AJ$2,0))</f>
        <v/>
      </c>
      <c r="AM352" s="210" t="str">
        <f aca="false">IF($A353="","",MAX(0,O352-W352-AI352))</f>
        <v/>
      </c>
      <c r="AN352" s="211" t="str">
        <f aca="false">IF($A353="","",AL352-AM352)</f>
        <v/>
      </c>
      <c r="AO352" s="137" t="str">
        <f aca="false">IF(A353="","",A353-A352)</f>
        <v/>
      </c>
      <c r="AP352" s="212" t="str">
        <f aca="false">IF(A353="","",CHOOSE(F$3,A353+24,A352))</f>
        <v/>
      </c>
      <c r="AQ352" s="209" t="str">
        <f aca="false">IF(A353="","",AP352-$E$1)</f>
        <v/>
      </c>
      <c r="AR352" s="185" t="n">
        <f aca="false">'ANR OK vs ML7'!AR352</f>
        <v>0.1</v>
      </c>
      <c r="AS352" s="213" t="str">
        <f aca="false">IF(A353="","",1/(1+CHOOSE(F$3,(AR353+($I$3/10000))/2,(AR352+($I$3/10000))/2))^(2*AQ352/365.25))</f>
        <v/>
      </c>
      <c r="AT352" s="137" t="str">
        <f aca="false">IF(A353="","",IF(AND(mthbeg&lt;=A352,mthend&gt;=A352),1,0))</f>
        <v/>
      </c>
      <c r="AU352" s="137" t="str">
        <f aca="false">IF(A353="","",AO352*AT352)</f>
        <v/>
      </c>
      <c r="AW352" s="195" t="str">
        <f aca="false">IF($A353="","",AL352*$E352)</f>
        <v/>
      </c>
      <c r="AX352" s="195" t="str">
        <f aca="false">IF($A353="","",AM352*$E352)</f>
        <v/>
      </c>
      <c r="AY352" s="195" t="str">
        <f aca="false">IF($A353="","",AN352*$E352)</f>
        <v/>
      </c>
      <c r="BA352" s="195" t="str">
        <f aca="false">IF($A353="","",F352*Summary!$Q$13)</f>
        <v/>
      </c>
    </row>
    <row r="353" customFormat="false" ht="12" hidden="false" customHeight="true" outlineLevel="0" collapsed="false">
      <c r="A353" s="196" t="str">
        <f aca="false">IF(A352&lt;mthend,EDATE(A352,1),"")</f>
        <v/>
      </c>
      <c r="B353" s="197" t="str">
        <f aca="false">IF(A353&lt;mthend,B352,"")</f>
        <v/>
      </c>
      <c r="C353" s="215"/>
      <c r="D353" s="197" t="str">
        <f aca="false">IF(A354&lt;&gt;"",B353+C353,"")</f>
        <v/>
      </c>
      <c r="E353" s="199" t="str">
        <f aca="false">IF(A354="","",IF(AND(AT353=1,$H$3=1),D353*AO353,IF($H$3=2,D353,"N/A")))</f>
        <v/>
      </c>
      <c r="F353" s="199" t="str">
        <f aca="false">IF(A354="","",E353*AS353)</f>
        <v/>
      </c>
      <c r="G353" s="200" t="str">
        <f aca="false">IF($A354="","",VLOOKUP($A353,Table,MATCH(G$4,Curves,0)))</f>
        <v/>
      </c>
      <c r="H353" s="201" t="str">
        <f aca="false">IF(A354="","",G353)</f>
        <v/>
      </c>
      <c r="I353" s="202"/>
      <c r="J353" s="200" t="str">
        <f aca="false">IF($A354="","",VLOOKUP($A353,Table,MATCH(J$4,Curves,0)))</f>
        <v/>
      </c>
      <c r="K353" s="201" t="str">
        <f aca="false">IF(A354="","",J353)</f>
        <v/>
      </c>
      <c r="L353" s="185" t="n">
        <v>0</v>
      </c>
      <c r="M353" s="201" t="str">
        <f aca="false">IF(A354="","",L353)</f>
        <v/>
      </c>
      <c r="N353" s="203"/>
      <c r="O353" s="200" t="str">
        <f aca="false">IF(A354="","",L353+J353+G353)</f>
        <v/>
      </c>
      <c r="P353" s="200" t="str">
        <f aca="false">IF(A354="","",M353+K353+H353)</f>
        <v/>
      </c>
      <c r="Q353" s="204"/>
      <c r="R353" s="200" t="str">
        <f aca="false">IF($A354="","",VLOOKUP($A353,Table,MATCH(R$4,Curves,0)))</f>
        <v/>
      </c>
      <c r="S353" s="201" t="str">
        <f aca="false">IF(A354="","",R353)</f>
        <v/>
      </c>
      <c r="T353" s="185" t="n">
        <v>0</v>
      </c>
      <c r="U353" s="201" t="str">
        <f aca="false">IF(A354="","",T353)</f>
        <v/>
      </c>
      <c r="V353" s="205"/>
      <c r="W353" s="202" t="str">
        <f aca="false">IF($A354="","",(T353+R353+G353+V353))</f>
        <v/>
      </c>
      <c r="X353" s="202" t="str">
        <f aca="false">IF($A354="","",(U353+S353+H353+V353))</f>
        <v/>
      </c>
      <c r="Y353" s="202"/>
      <c r="Z353" s="185" t="str">
        <f aca="false">IF($A354="","",VLOOKUP($A353,Table,MATCH(Z$4,Curves,0)))</f>
        <v/>
      </c>
      <c r="AA353" s="185" t="str">
        <f aca="false">IF($A354="","",VLOOKUP($A353,Table,MATCH(AA$4,Curves,0)))</f>
        <v/>
      </c>
      <c r="AB353" s="185" t="e">
        <f aca="false">SQRT((AA353^2*(A353-$D$3)+Z353^2*(DAY(EOMONTH(A353,0))/2))/AK353)</f>
        <v>#VALUE!</v>
      </c>
      <c r="AC353" s="185" t="str">
        <f aca="false">IF($A354="","",VLOOKUP($A353,Table,MATCH(AC$4,Curves,0)))</f>
        <v/>
      </c>
      <c r="AD353" s="185" t="str">
        <f aca="false">IF($A354="","",VLOOKUP($A353,Table,MATCH(AD$4,Curves,0)))</f>
        <v/>
      </c>
      <c r="AE353" s="185" t="e">
        <f aca="false">SQRT((AD353^2*(A353-$D$3)+AC353^2*(DAY(EOMONTH(A353,0))/2))/AK353)</f>
        <v>#VALUE!</v>
      </c>
      <c r="AF353" s="224" t="e">
        <f aca="false">((Summary!$N$13*(AA353*AD353)*(A353-$D$3))+(Summary!$M$13*Z353*AC353*(AJ353-EOMONTH(EDATE(A353,-1),0))))/(AK353*AB353*AE353)</f>
        <v>#VALUE!</v>
      </c>
      <c r="AG353" s="207" t="str">
        <f aca="false">IF($A354="","",Summary!$Q$13)</f>
        <v/>
      </c>
      <c r="AH353" s="207" t="str">
        <f aca="false">IF($A354="","",IF(Summary!$R$12="Y",(VLOOKUP($A353,Summary!$AD$6:$AF$9,3)+'Escalating commodity'!I366),'Escalating commodity'!I366))</f>
        <v/>
      </c>
      <c r="AI353" s="207" t="str">
        <f aca="false">IF($A354="","",AH353)</f>
        <v/>
      </c>
      <c r="AJ353" s="208" t="e">
        <f aca="false">A353+DAY(EOMONTH(A353,0))/2-1</f>
        <v>#VALUE!</v>
      </c>
      <c r="AK353" s="209" t="str">
        <f aca="false">IF($A354="","",$A353-$E$1)</f>
        <v/>
      </c>
      <c r="AL353" s="182" t="str">
        <f aca="false">IF($A354="","",SPRDOPT(P353,X353,AI353,0,AB353,AE353,AF353,AK353,$AJ$2,0))</f>
        <v/>
      </c>
      <c r="AM353" s="210" t="str">
        <f aca="false">IF($A354="","",MAX(0,O353-W353-AI353))</f>
        <v/>
      </c>
      <c r="AN353" s="211" t="str">
        <f aca="false">IF($A354="","",AL353-AM353)</f>
        <v/>
      </c>
      <c r="AO353" s="137" t="str">
        <f aca="false">IF(A354="","",A354-A353)</f>
        <v/>
      </c>
      <c r="AP353" s="212" t="str">
        <f aca="false">IF(A354="","",CHOOSE(F$3,A354+24,A353))</f>
        <v/>
      </c>
      <c r="AQ353" s="209" t="str">
        <f aca="false">IF(A354="","",AP353-$E$1)</f>
        <v/>
      </c>
      <c r="AR353" s="185" t="n">
        <f aca="false">'ANR OK vs ML7'!AR353</f>
        <v>0.1</v>
      </c>
      <c r="AS353" s="213" t="str">
        <f aca="false">IF(A354="","",1/(1+CHOOSE(F$3,(AR354+($I$3/10000))/2,(AR353+($I$3/10000))/2))^(2*AQ353/365.25))</f>
        <v/>
      </c>
      <c r="AT353" s="137" t="str">
        <f aca="false">IF(A354="","",IF(AND(mthbeg&lt;=A353,mthend&gt;=A353),1,0))</f>
        <v/>
      </c>
      <c r="AU353" s="137" t="str">
        <f aca="false">IF(A354="","",AO353*AT353)</f>
        <v/>
      </c>
      <c r="AW353" s="195" t="str">
        <f aca="false">IF($A354="","",AL353*$E353)</f>
        <v/>
      </c>
      <c r="AX353" s="195" t="str">
        <f aca="false">IF($A354="","",AM353*$E353)</f>
        <v/>
      </c>
      <c r="AY353" s="195" t="str">
        <f aca="false">IF($A354="","",AN353*$E353)</f>
        <v/>
      </c>
      <c r="BA353" s="195" t="str">
        <f aca="false">IF($A354="","",F353*Summary!$Q$13)</f>
        <v/>
      </c>
    </row>
    <row r="354" customFormat="false" ht="12" hidden="false" customHeight="true" outlineLevel="0" collapsed="false">
      <c r="A354" s="196" t="str">
        <f aca="false">IF(A353&lt;mthend,EDATE(A353,1),"")</f>
        <v/>
      </c>
      <c r="B354" s="197" t="str">
        <f aca="false">IF(A354&lt;mthend,B353,"")</f>
        <v/>
      </c>
      <c r="C354" s="215"/>
      <c r="D354" s="197" t="str">
        <f aca="false">IF(A355&lt;&gt;"",B354+C354,"")</f>
        <v/>
      </c>
      <c r="E354" s="199" t="str">
        <f aca="false">IF(A355="","",IF(AND(AT354=1,$H$3=1),D354*AO354,IF($H$3=2,D354,"N/A")))</f>
        <v/>
      </c>
      <c r="F354" s="199" t="str">
        <f aca="false">IF(A355="","",E354*AS354)</f>
        <v/>
      </c>
      <c r="G354" s="200" t="str">
        <f aca="false">IF($A355="","",VLOOKUP($A354,Table,MATCH(G$4,Curves,0)))</f>
        <v/>
      </c>
      <c r="H354" s="201" t="str">
        <f aca="false">IF(A355="","",G354)</f>
        <v/>
      </c>
      <c r="I354" s="202"/>
      <c r="J354" s="200" t="str">
        <f aca="false">IF($A355="","",VLOOKUP($A354,Table,MATCH(J$4,Curves,0)))</f>
        <v/>
      </c>
      <c r="K354" s="201" t="str">
        <f aca="false">IF(A355="","",J354)</f>
        <v/>
      </c>
      <c r="L354" s="185" t="n">
        <v>0</v>
      </c>
      <c r="M354" s="201" t="str">
        <f aca="false">IF(A355="","",L354)</f>
        <v/>
      </c>
      <c r="N354" s="203"/>
      <c r="O354" s="200" t="str">
        <f aca="false">IF(A355="","",L354+J354+G354)</f>
        <v/>
      </c>
      <c r="P354" s="200" t="str">
        <f aca="false">IF(A355="","",M354+K354+H354)</f>
        <v/>
      </c>
      <c r="Q354" s="204"/>
      <c r="R354" s="200" t="str">
        <f aca="false">IF($A355="","",VLOOKUP($A354,Table,MATCH(R$4,Curves,0)))</f>
        <v/>
      </c>
      <c r="S354" s="201" t="str">
        <f aca="false">IF(A355="","",R354)</f>
        <v/>
      </c>
      <c r="T354" s="185" t="n">
        <v>0</v>
      </c>
      <c r="U354" s="201" t="str">
        <f aca="false">IF(A355="","",T354)</f>
        <v/>
      </c>
      <c r="V354" s="205"/>
      <c r="W354" s="202" t="str">
        <f aca="false">IF($A355="","",(T354+R354+G354+V354))</f>
        <v/>
      </c>
      <c r="X354" s="202" t="str">
        <f aca="false">IF($A355="","",(U354+S354+H354+V354))</f>
        <v/>
      </c>
      <c r="Y354" s="202"/>
      <c r="Z354" s="185" t="str">
        <f aca="false">IF($A355="","",VLOOKUP($A354,Table,MATCH(Z$4,Curves,0)))</f>
        <v/>
      </c>
      <c r="AA354" s="185" t="str">
        <f aca="false">IF($A355="","",VLOOKUP($A354,Table,MATCH(AA$4,Curves,0)))</f>
        <v/>
      </c>
      <c r="AB354" s="185" t="e">
        <f aca="false">SQRT((AA354^2*(A354-$D$3)+Z354^2*(DAY(EOMONTH(A354,0))/2))/AK354)</f>
        <v>#VALUE!</v>
      </c>
      <c r="AC354" s="185" t="str">
        <f aca="false">IF($A355="","",VLOOKUP($A354,Table,MATCH(AC$4,Curves,0)))</f>
        <v/>
      </c>
      <c r="AD354" s="185" t="str">
        <f aca="false">IF($A355="","",VLOOKUP($A354,Table,MATCH(AD$4,Curves,0)))</f>
        <v/>
      </c>
      <c r="AE354" s="185" t="e">
        <f aca="false">SQRT((AD354^2*(A354-$D$3)+AC354^2*(DAY(EOMONTH(A354,0))/2))/AK354)</f>
        <v>#VALUE!</v>
      </c>
      <c r="AF354" s="224" t="e">
        <f aca="false">((Summary!$N$13*(AA354*AD354)*(A354-$D$3))+(Summary!$M$13*Z354*AC354*(AJ354-EOMONTH(EDATE(A354,-1),0))))/(AK354*AB354*AE354)</f>
        <v>#VALUE!</v>
      </c>
      <c r="AG354" s="207" t="str">
        <f aca="false">IF($A355="","",Summary!$Q$13)</f>
        <v/>
      </c>
      <c r="AH354" s="207" t="str">
        <f aca="false">IF($A355="","",IF(Summary!$R$12="Y",(VLOOKUP($A354,Summary!$AD$6:$AF$9,3)+'Escalating commodity'!I367),'Escalating commodity'!I367))</f>
        <v/>
      </c>
      <c r="AI354" s="207" t="str">
        <f aca="false">IF($A355="","",AH354)</f>
        <v/>
      </c>
      <c r="AJ354" s="208" t="e">
        <f aca="false">A354+DAY(EOMONTH(A354,0))/2-1</f>
        <v>#VALUE!</v>
      </c>
      <c r="AK354" s="209" t="str">
        <f aca="false">IF($A355="","",$A354-$E$1)</f>
        <v/>
      </c>
      <c r="AL354" s="182" t="str">
        <f aca="false">IF($A355="","",SPRDOPT(P354,X354,AI354,0,AB354,AE354,AF354,AK354,$AJ$2,0))</f>
        <v/>
      </c>
      <c r="AM354" s="210" t="str">
        <f aca="false">IF($A355="","",MAX(0,O354-W354-AI354))</f>
        <v/>
      </c>
      <c r="AN354" s="211" t="str">
        <f aca="false">IF($A355="","",AL354-AM354)</f>
        <v/>
      </c>
      <c r="AO354" s="137" t="str">
        <f aca="false">IF(A355="","",A355-A354)</f>
        <v/>
      </c>
      <c r="AP354" s="212" t="str">
        <f aca="false">IF(A355="","",CHOOSE(F$3,A355+24,A354))</f>
        <v/>
      </c>
      <c r="AQ354" s="209" t="str">
        <f aca="false">IF(A355="","",AP354-$E$1)</f>
        <v/>
      </c>
      <c r="AR354" s="185" t="n">
        <f aca="false">'ANR OK vs ML7'!AR354</f>
        <v>0.1</v>
      </c>
      <c r="AS354" s="213" t="str">
        <f aca="false">IF(A355="","",1/(1+CHOOSE(F$3,(AR355+($I$3/10000))/2,(AR354+($I$3/10000))/2))^(2*AQ354/365.25))</f>
        <v/>
      </c>
      <c r="AT354" s="137" t="str">
        <f aca="false">IF(A355="","",IF(AND(mthbeg&lt;=A354,mthend&gt;=A354),1,0))</f>
        <v/>
      </c>
      <c r="AU354" s="137" t="str">
        <f aca="false">IF(A355="","",AO354*AT354)</f>
        <v/>
      </c>
      <c r="AW354" s="195" t="str">
        <f aca="false">IF($A355="","",AL354*$E354)</f>
        <v/>
      </c>
      <c r="AX354" s="195" t="str">
        <f aca="false">IF($A355="","",AM354*$E354)</f>
        <v/>
      </c>
      <c r="AY354" s="195" t="str">
        <f aca="false">IF($A355="","",AN354*$E354)</f>
        <v/>
      </c>
      <c r="BA354" s="195" t="str">
        <f aca="false">IF($A355="","",F354*Summary!$Q$13)</f>
        <v/>
      </c>
    </row>
    <row r="355" customFormat="false" ht="12" hidden="false" customHeight="true" outlineLevel="0" collapsed="false">
      <c r="A355" s="196" t="str">
        <f aca="false">IF(A354&lt;mthend,EDATE(A354,1),"")</f>
        <v/>
      </c>
      <c r="B355" s="197" t="str">
        <f aca="false">IF(A355&lt;mthend,B354,"")</f>
        <v/>
      </c>
      <c r="C355" s="215"/>
      <c r="D355" s="197" t="str">
        <f aca="false">IF(A356&lt;&gt;"",B355+C355,"")</f>
        <v/>
      </c>
      <c r="E355" s="199" t="str">
        <f aca="false">IF(A356="","",IF(AND(AT355=1,$H$3=1),D355*AO355,IF($H$3=2,D355,"N/A")))</f>
        <v/>
      </c>
      <c r="F355" s="199" t="str">
        <f aca="false">IF(A356="","",E355*AS355)</f>
        <v/>
      </c>
      <c r="G355" s="200" t="str">
        <f aca="false">IF($A356="","",VLOOKUP($A355,Table,MATCH(G$4,Curves,0)))</f>
        <v/>
      </c>
      <c r="H355" s="201" t="str">
        <f aca="false">IF(A356="","",G355)</f>
        <v/>
      </c>
      <c r="I355" s="202"/>
      <c r="J355" s="200" t="str">
        <f aca="false">IF($A356="","",VLOOKUP($A355,Table,MATCH(J$4,Curves,0)))</f>
        <v/>
      </c>
      <c r="K355" s="201" t="str">
        <f aca="false">IF(A356="","",J355)</f>
        <v/>
      </c>
      <c r="L355" s="185" t="n">
        <v>0</v>
      </c>
      <c r="M355" s="201" t="str">
        <f aca="false">IF(A356="","",L355)</f>
        <v/>
      </c>
      <c r="N355" s="203"/>
      <c r="O355" s="200" t="str">
        <f aca="false">IF(A356="","",L355+J355+G355)</f>
        <v/>
      </c>
      <c r="P355" s="200" t="str">
        <f aca="false">IF(A356="","",M355+K355+H355)</f>
        <v/>
      </c>
      <c r="Q355" s="204"/>
      <c r="R355" s="200" t="str">
        <f aca="false">IF($A356="","",VLOOKUP($A355,Table,MATCH(R$4,Curves,0)))</f>
        <v/>
      </c>
      <c r="S355" s="201" t="str">
        <f aca="false">IF(A356="","",R355)</f>
        <v/>
      </c>
      <c r="T355" s="185" t="n">
        <v>0</v>
      </c>
      <c r="U355" s="201" t="str">
        <f aca="false">IF(A356="","",T355)</f>
        <v/>
      </c>
      <c r="V355" s="205"/>
      <c r="W355" s="202" t="str">
        <f aca="false">IF($A356="","",(T355+R355+G355+V355))</f>
        <v/>
      </c>
      <c r="X355" s="202" t="str">
        <f aca="false">IF($A356="","",(U355+S355+H355+V355))</f>
        <v/>
      </c>
      <c r="Y355" s="202"/>
      <c r="Z355" s="185" t="str">
        <f aca="false">IF($A356="","",VLOOKUP($A355,Table,MATCH(Z$4,Curves,0)))</f>
        <v/>
      </c>
      <c r="AA355" s="185" t="str">
        <f aca="false">IF($A356="","",VLOOKUP($A355,Table,MATCH(AA$4,Curves,0)))</f>
        <v/>
      </c>
      <c r="AB355" s="185" t="e">
        <f aca="false">SQRT((AA355^2*(A355-$D$3)+Z355^2*(DAY(EOMONTH(A355,0))/2))/AK355)</f>
        <v>#VALUE!</v>
      </c>
      <c r="AC355" s="185" t="str">
        <f aca="false">IF($A356="","",VLOOKUP($A355,Table,MATCH(AC$4,Curves,0)))</f>
        <v/>
      </c>
      <c r="AD355" s="185" t="str">
        <f aca="false">IF($A356="","",VLOOKUP($A355,Table,MATCH(AD$4,Curves,0)))</f>
        <v/>
      </c>
      <c r="AE355" s="185" t="e">
        <f aca="false">SQRT((AD355^2*(A355-$D$3)+AC355^2*(DAY(EOMONTH(A355,0))/2))/AK355)</f>
        <v>#VALUE!</v>
      </c>
      <c r="AF355" s="224" t="e">
        <f aca="false">((Summary!$N$13*(AA355*AD355)*(A355-$D$3))+(Summary!$M$13*Z355*AC355*(AJ355-EOMONTH(EDATE(A355,-1),0))))/(AK355*AB355*AE355)</f>
        <v>#VALUE!</v>
      </c>
      <c r="AG355" s="207" t="str">
        <f aca="false">IF($A356="","",Summary!$Q$13)</f>
        <v/>
      </c>
      <c r="AH355" s="207" t="str">
        <f aca="false">IF($A356="","",IF(Summary!$R$12="Y",(VLOOKUP($A355,Summary!$AD$6:$AF$9,3)+'Escalating commodity'!I368),'Escalating commodity'!I368))</f>
        <v/>
      </c>
      <c r="AI355" s="207" t="str">
        <f aca="false">IF($A356="","",AH355)</f>
        <v/>
      </c>
      <c r="AJ355" s="208" t="e">
        <f aca="false">A355+DAY(EOMONTH(A355,0))/2-1</f>
        <v>#VALUE!</v>
      </c>
      <c r="AK355" s="209" t="str">
        <f aca="false">IF($A356="","",$A355-$E$1)</f>
        <v/>
      </c>
      <c r="AL355" s="182" t="str">
        <f aca="false">IF($A356="","",SPRDOPT(P355,X355,AI355,0,AB355,AE355,AF355,AK355,$AJ$2,0))</f>
        <v/>
      </c>
      <c r="AM355" s="210" t="str">
        <f aca="false">IF($A356="","",MAX(0,O355-W355-AI355))</f>
        <v/>
      </c>
      <c r="AN355" s="211" t="str">
        <f aca="false">IF($A356="","",AL355-AM355)</f>
        <v/>
      </c>
      <c r="AO355" s="137" t="str">
        <f aca="false">IF(A356="","",A356-A355)</f>
        <v/>
      </c>
      <c r="AP355" s="212" t="str">
        <f aca="false">IF(A356="","",CHOOSE(F$3,A356+24,A355))</f>
        <v/>
      </c>
      <c r="AQ355" s="209" t="str">
        <f aca="false">IF(A356="","",AP355-$E$1)</f>
        <v/>
      </c>
      <c r="AR355" s="185" t="n">
        <f aca="false">'ANR OK vs ML7'!AR355</f>
        <v>0.1</v>
      </c>
      <c r="AS355" s="213" t="str">
        <f aca="false">IF(A356="","",1/(1+CHOOSE(F$3,(AR356+($I$3/10000))/2,(AR355+($I$3/10000))/2))^(2*AQ355/365.25))</f>
        <v/>
      </c>
      <c r="AT355" s="137" t="str">
        <f aca="false">IF(A356="","",IF(AND(mthbeg&lt;=A355,mthend&gt;=A355),1,0))</f>
        <v/>
      </c>
      <c r="AU355" s="137" t="str">
        <f aca="false">IF(A356="","",AO355*AT355)</f>
        <v/>
      </c>
      <c r="AW355" s="195" t="str">
        <f aca="false">IF($A356="","",AL355*$E355)</f>
        <v/>
      </c>
      <c r="AX355" s="195" t="str">
        <f aca="false">IF($A356="","",AM355*$E355)</f>
        <v/>
      </c>
      <c r="AY355" s="195" t="str">
        <f aca="false">IF($A356="","",AN355*$E355)</f>
        <v/>
      </c>
      <c r="BA355" s="195" t="str">
        <f aca="false">IF($A356="","",F355*Summary!$Q$13)</f>
        <v/>
      </c>
    </row>
    <row r="356" customFormat="false" ht="12" hidden="false" customHeight="true" outlineLevel="0" collapsed="false">
      <c r="A356" s="196" t="str">
        <f aca="false">IF(A355&lt;mthend,EDATE(A355,1),"")</f>
        <v/>
      </c>
      <c r="B356" s="197" t="str">
        <f aca="false">IF(A356&lt;mthend,B355,"")</f>
        <v/>
      </c>
      <c r="C356" s="215"/>
      <c r="D356" s="197" t="str">
        <f aca="false">IF(A357&lt;&gt;"",B356+C356,"")</f>
        <v/>
      </c>
      <c r="E356" s="199" t="str">
        <f aca="false">IF(A357="","",IF(AND(AT356=1,$H$3=1),D356*AO356,IF($H$3=2,D356,"N/A")))</f>
        <v/>
      </c>
      <c r="F356" s="199" t="str">
        <f aca="false">IF(A357="","",E356*AS356)</f>
        <v/>
      </c>
      <c r="G356" s="200" t="str">
        <f aca="false">IF($A357="","",VLOOKUP($A356,Table,MATCH(G$4,Curves,0)))</f>
        <v/>
      </c>
      <c r="H356" s="201" t="str">
        <f aca="false">IF(A357="","",G356)</f>
        <v/>
      </c>
      <c r="I356" s="202"/>
      <c r="J356" s="200" t="str">
        <f aca="false">IF($A357="","",VLOOKUP($A356,Table,MATCH(J$4,Curves,0)))</f>
        <v/>
      </c>
      <c r="K356" s="201" t="str">
        <f aca="false">IF(A357="","",J356)</f>
        <v/>
      </c>
      <c r="L356" s="185" t="n">
        <v>0</v>
      </c>
      <c r="M356" s="201" t="str">
        <f aca="false">IF(A357="","",L356)</f>
        <v/>
      </c>
      <c r="N356" s="203"/>
      <c r="O356" s="200" t="str">
        <f aca="false">IF(A357="","",L356+J356+G356)</f>
        <v/>
      </c>
      <c r="P356" s="200" t="str">
        <f aca="false">IF(A357="","",M356+K356+H356)</f>
        <v/>
      </c>
      <c r="Q356" s="204"/>
      <c r="R356" s="200" t="str">
        <f aca="false">IF($A357="","",VLOOKUP($A356,Table,MATCH(R$4,Curves,0)))</f>
        <v/>
      </c>
      <c r="S356" s="201" t="str">
        <f aca="false">IF(A357="","",R356)</f>
        <v/>
      </c>
      <c r="T356" s="185" t="n">
        <v>0</v>
      </c>
      <c r="U356" s="201" t="str">
        <f aca="false">IF(A357="","",T356)</f>
        <v/>
      </c>
      <c r="V356" s="205"/>
      <c r="W356" s="202" t="str">
        <f aca="false">IF($A357="","",(T356+R356+G356+V356))</f>
        <v/>
      </c>
      <c r="X356" s="202" t="str">
        <f aca="false">IF($A357="","",(U356+S356+H356+V356))</f>
        <v/>
      </c>
      <c r="Y356" s="202"/>
      <c r="Z356" s="185" t="str">
        <f aca="false">IF($A357="","",VLOOKUP($A356,Table,MATCH(Z$4,Curves,0)))</f>
        <v/>
      </c>
      <c r="AA356" s="185" t="str">
        <f aca="false">IF($A357="","",VLOOKUP($A356,Table,MATCH(AA$4,Curves,0)))</f>
        <v/>
      </c>
      <c r="AB356" s="185" t="e">
        <f aca="false">SQRT((AA356^2*(A356-$D$3)+Z356^2*(DAY(EOMONTH(A356,0))/2))/AK356)</f>
        <v>#VALUE!</v>
      </c>
      <c r="AC356" s="185" t="str">
        <f aca="false">IF($A357="","",VLOOKUP($A356,Table,MATCH(AC$4,Curves,0)))</f>
        <v/>
      </c>
      <c r="AD356" s="185" t="str">
        <f aca="false">IF($A357="","",VLOOKUP($A356,Table,MATCH(AD$4,Curves,0)))</f>
        <v/>
      </c>
      <c r="AE356" s="185" t="e">
        <f aca="false">SQRT((AD356^2*(A356-$D$3)+AC356^2*(DAY(EOMONTH(A356,0))/2))/AK356)</f>
        <v>#VALUE!</v>
      </c>
      <c r="AF356" s="224" t="e">
        <f aca="false">((Summary!$N$13*(AA356*AD356)*(A356-$D$3))+(Summary!$M$13*Z356*AC356*(AJ356-EOMONTH(EDATE(A356,-1),0))))/(AK356*AB356*AE356)</f>
        <v>#VALUE!</v>
      </c>
      <c r="AG356" s="207" t="str">
        <f aca="false">IF($A357="","",Summary!$Q$13)</f>
        <v/>
      </c>
      <c r="AH356" s="207" t="str">
        <f aca="false">IF($A357="","",IF(Summary!$R$12="Y",(VLOOKUP($A356,Summary!$AD$6:$AF$9,3)+'Escalating commodity'!I369),'Escalating commodity'!I369))</f>
        <v/>
      </c>
      <c r="AI356" s="207" t="str">
        <f aca="false">IF($A357="","",AH356)</f>
        <v/>
      </c>
      <c r="AJ356" s="208" t="e">
        <f aca="false">A356+DAY(EOMONTH(A356,0))/2-1</f>
        <v>#VALUE!</v>
      </c>
      <c r="AK356" s="209" t="str">
        <f aca="false">IF($A357="","",$A356-$E$1)</f>
        <v/>
      </c>
      <c r="AL356" s="182" t="str">
        <f aca="false">IF($A357="","",SPRDOPT(P356,X356,AI356,0,AB356,AE356,AF356,AK356,$AJ$2,0))</f>
        <v/>
      </c>
      <c r="AM356" s="210" t="str">
        <f aca="false">IF($A357="","",MAX(0,O356-W356-AI356))</f>
        <v/>
      </c>
      <c r="AN356" s="211" t="str">
        <f aca="false">IF($A357="","",AL356-AM356)</f>
        <v/>
      </c>
      <c r="AO356" s="137" t="str">
        <f aca="false">IF(A357="","",A357-A356)</f>
        <v/>
      </c>
      <c r="AP356" s="212" t="str">
        <f aca="false">IF(A357="","",CHOOSE(F$3,A357+24,A356))</f>
        <v/>
      </c>
      <c r="AQ356" s="209" t="str">
        <f aca="false">IF(A357="","",AP356-$E$1)</f>
        <v/>
      </c>
      <c r="AR356" s="185" t="n">
        <f aca="false">'ANR OK vs ML7'!AR356</f>
        <v>0.1</v>
      </c>
      <c r="AS356" s="213" t="str">
        <f aca="false">IF(A357="","",1/(1+CHOOSE(F$3,(AR357+($I$3/10000))/2,(AR356+($I$3/10000))/2))^(2*AQ356/365.25))</f>
        <v/>
      </c>
      <c r="AT356" s="137" t="str">
        <f aca="false">IF(A357="","",IF(AND(mthbeg&lt;=A356,mthend&gt;=A356),1,0))</f>
        <v/>
      </c>
      <c r="AU356" s="137" t="str">
        <f aca="false">IF(A357="","",AO356*AT356)</f>
        <v/>
      </c>
      <c r="AW356" s="195" t="str">
        <f aca="false">IF($A357="","",AL356*$E356)</f>
        <v/>
      </c>
      <c r="AX356" s="195" t="str">
        <f aca="false">IF($A357="","",AM356*$E356)</f>
        <v/>
      </c>
      <c r="AY356" s="195" t="str">
        <f aca="false">IF($A357="","",AN356*$E356)</f>
        <v/>
      </c>
      <c r="BA356" s="195" t="str">
        <f aca="false">IF($A357="","",F356*Summary!$Q$13)</f>
        <v/>
      </c>
    </row>
    <row r="357" customFormat="false" ht="12" hidden="false" customHeight="true" outlineLevel="0" collapsed="false">
      <c r="A357" s="196" t="str">
        <f aca="false">IF(A356&lt;mthend,EDATE(A356,1),"")</f>
        <v/>
      </c>
      <c r="B357" s="197" t="str">
        <f aca="false">IF(A357&lt;mthend,B356,"")</f>
        <v/>
      </c>
      <c r="C357" s="215"/>
      <c r="D357" s="197" t="str">
        <f aca="false">IF(A358&lt;&gt;"",B357+C357,"")</f>
        <v/>
      </c>
      <c r="E357" s="199" t="str">
        <f aca="false">IF(A358="","",IF(AND(AT357=1,$H$3=1),D357*AO357,IF($H$3=2,D357,"N/A")))</f>
        <v/>
      </c>
      <c r="F357" s="199" t="str">
        <f aca="false">IF(A358="","",E357*AS357)</f>
        <v/>
      </c>
      <c r="G357" s="200" t="str">
        <f aca="false">IF($A358="","",VLOOKUP($A357,Table,MATCH(G$4,Curves,0)))</f>
        <v/>
      </c>
      <c r="H357" s="201" t="str">
        <f aca="false">IF(A358="","",G357)</f>
        <v/>
      </c>
      <c r="I357" s="202"/>
      <c r="J357" s="200" t="str">
        <f aca="false">IF($A358="","",VLOOKUP($A357,Table,MATCH(J$4,Curves,0)))</f>
        <v/>
      </c>
      <c r="K357" s="201" t="str">
        <f aca="false">IF(A358="","",J357)</f>
        <v/>
      </c>
      <c r="L357" s="185" t="n">
        <v>0</v>
      </c>
      <c r="M357" s="201" t="str">
        <f aca="false">IF(A358="","",L357)</f>
        <v/>
      </c>
      <c r="N357" s="203"/>
      <c r="O357" s="200" t="str">
        <f aca="false">IF(A358="","",L357+J357+G357)</f>
        <v/>
      </c>
      <c r="P357" s="200" t="str">
        <f aca="false">IF(A358="","",M357+K357+H357)</f>
        <v/>
      </c>
      <c r="Q357" s="204"/>
      <c r="R357" s="200" t="str">
        <f aca="false">IF($A358="","",VLOOKUP($A357,Table,MATCH(R$4,Curves,0)))</f>
        <v/>
      </c>
      <c r="S357" s="201" t="str">
        <f aca="false">IF(A358="","",R357)</f>
        <v/>
      </c>
      <c r="T357" s="185" t="n">
        <v>0</v>
      </c>
      <c r="U357" s="201" t="str">
        <f aca="false">IF(A358="","",T357)</f>
        <v/>
      </c>
      <c r="V357" s="205"/>
      <c r="W357" s="202" t="str">
        <f aca="false">IF($A358="","",(T357+R357+G357+V357))</f>
        <v/>
      </c>
      <c r="X357" s="202" t="str">
        <f aca="false">IF($A358="","",(U357+S357+H357+V357))</f>
        <v/>
      </c>
      <c r="Y357" s="202"/>
      <c r="Z357" s="185" t="str">
        <f aca="false">IF($A358="","",VLOOKUP($A357,Table,MATCH(Z$4,Curves,0)))</f>
        <v/>
      </c>
      <c r="AA357" s="185" t="str">
        <f aca="false">IF($A358="","",VLOOKUP($A357,Table,MATCH(AA$4,Curves,0)))</f>
        <v/>
      </c>
      <c r="AB357" s="185" t="e">
        <f aca="false">SQRT((AA357^2*(A357-$D$3)+Z357^2*(DAY(EOMONTH(A357,0))/2))/AK357)</f>
        <v>#VALUE!</v>
      </c>
      <c r="AC357" s="185" t="str">
        <f aca="false">IF($A358="","",VLOOKUP($A357,Table,MATCH(AC$4,Curves,0)))</f>
        <v/>
      </c>
      <c r="AD357" s="185" t="str">
        <f aca="false">IF($A358="","",VLOOKUP($A357,Table,MATCH(AD$4,Curves,0)))</f>
        <v/>
      </c>
      <c r="AE357" s="185" t="e">
        <f aca="false">SQRT((AD357^2*(A357-$D$3)+AC357^2*(DAY(EOMONTH(A357,0))/2))/AK357)</f>
        <v>#VALUE!</v>
      </c>
      <c r="AF357" s="224" t="e">
        <f aca="false">((Summary!$N$13*(AA357*AD357)*(A357-$D$3))+(Summary!$M$13*Z357*AC357*(AJ357-EOMONTH(EDATE(A357,-1),0))))/(AK357*AB357*AE357)</f>
        <v>#VALUE!</v>
      </c>
      <c r="AG357" s="207" t="str">
        <f aca="false">IF($A358="","",Summary!$Q$13)</f>
        <v/>
      </c>
      <c r="AH357" s="207" t="str">
        <f aca="false">IF($A358="","",IF(Summary!$R$12="Y",(VLOOKUP($A357,Summary!$AD$6:$AF$9,3)+'Escalating commodity'!I370),'Escalating commodity'!I370))</f>
        <v/>
      </c>
      <c r="AI357" s="207" t="str">
        <f aca="false">IF($A358="","",AH357)</f>
        <v/>
      </c>
      <c r="AJ357" s="208" t="e">
        <f aca="false">A357+DAY(EOMONTH(A357,0))/2-1</f>
        <v>#VALUE!</v>
      </c>
      <c r="AK357" s="209" t="str">
        <f aca="false">IF($A358="","",$A357-$E$1)</f>
        <v/>
      </c>
      <c r="AL357" s="182" t="str">
        <f aca="false">IF($A358="","",SPRDOPT(P357,X357,AI357,0,AB357,AE357,AF357,AK357,$AJ$2,0))</f>
        <v/>
      </c>
      <c r="AM357" s="210" t="str">
        <f aca="false">IF($A358="","",MAX(0,O357-W357-AI357))</f>
        <v/>
      </c>
      <c r="AN357" s="211" t="str">
        <f aca="false">IF($A358="","",AL357-AM357)</f>
        <v/>
      </c>
      <c r="AO357" s="137" t="str">
        <f aca="false">IF(A358="","",A358-A357)</f>
        <v/>
      </c>
      <c r="AP357" s="212" t="str">
        <f aca="false">IF(A358="","",CHOOSE(F$3,A358+24,A357))</f>
        <v/>
      </c>
      <c r="AQ357" s="209" t="str">
        <f aca="false">IF(A358="","",AP357-$E$1)</f>
        <v/>
      </c>
      <c r="AR357" s="185" t="n">
        <f aca="false">'ANR OK vs ML7'!AR357</f>
        <v>0.1</v>
      </c>
      <c r="AS357" s="213" t="str">
        <f aca="false">IF(A358="","",1/(1+CHOOSE(F$3,(AR358+($I$3/10000))/2,(AR357+($I$3/10000))/2))^(2*AQ357/365.25))</f>
        <v/>
      </c>
      <c r="AT357" s="137" t="str">
        <f aca="false">IF(A358="","",IF(AND(mthbeg&lt;=A357,mthend&gt;=A357),1,0))</f>
        <v/>
      </c>
      <c r="AU357" s="137" t="str">
        <f aca="false">IF(A358="","",AO357*AT357)</f>
        <v/>
      </c>
      <c r="AW357" s="195" t="str">
        <f aca="false">IF($A358="","",AL357*$E357)</f>
        <v/>
      </c>
      <c r="AX357" s="195" t="str">
        <f aca="false">IF($A358="","",AM357*$E357)</f>
        <v/>
      </c>
      <c r="AY357" s="195" t="str">
        <f aca="false">IF($A358="","",AN357*$E357)</f>
        <v/>
      </c>
      <c r="BA357" s="195" t="str">
        <f aca="false">IF($A358="","",F357*Summary!$Q$13)</f>
        <v/>
      </c>
    </row>
    <row r="358" customFormat="false" ht="12" hidden="false" customHeight="true" outlineLevel="0" collapsed="false">
      <c r="A358" s="196" t="str">
        <f aca="false">IF(A357&lt;mthend,EDATE(A357,1),"")</f>
        <v/>
      </c>
      <c r="B358" s="197" t="str">
        <f aca="false">IF(A358&lt;mthend,B357,"")</f>
        <v/>
      </c>
      <c r="C358" s="215"/>
      <c r="D358" s="197" t="str">
        <f aca="false">IF(A359&lt;&gt;"",B358+C358,"")</f>
        <v/>
      </c>
      <c r="E358" s="199" t="str">
        <f aca="false">IF(A359="","",IF(AND(AT358=1,$H$3=1),D358*AO358,IF($H$3=2,D358,"N/A")))</f>
        <v/>
      </c>
      <c r="F358" s="199" t="str">
        <f aca="false">IF(A359="","",E358*AS358)</f>
        <v/>
      </c>
      <c r="G358" s="200" t="str">
        <f aca="false">IF($A359="","",VLOOKUP($A358,Table,MATCH(G$4,Curves,0)))</f>
        <v/>
      </c>
      <c r="H358" s="201" t="str">
        <f aca="false">IF(A359="","",G358)</f>
        <v/>
      </c>
      <c r="I358" s="202"/>
      <c r="J358" s="200" t="str">
        <f aca="false">IF($A359="","",VLOOKUP($A358,Table,MATCH(J$4,Curves,0)))</f>
        <v/>
      </c>
      <c r="K358" s="201" t="str">
        <f aca="false">IF(A359="","",J358)</f>
        <v/>
      </c>
      <c r="L358" s="185" t="n">
        <v>0</v>
      </c>
      <c r="M358" s="201" t="str">
        <f aca="false">IF(A359="","",L358)</f>
        <v/>
      </c>
      <c r="N358" s="203"/>
      <c r="O358" s="200" t="str">
        <f aca="false">IF(A359="","",L358+J358+G358)</f>
        <v/>
      </c>
      <c r="P358" s="200" t="str">
        <f aca="false">IF(A359="","",M358+K358+H358)</f>
        <v/>
      </c>
      <c r="Q358" s="204"/>
      <c r="R358" s="200" t="str">
        <f aca="false">IF($A359="","",VLOOKUP($A358,Table,MATCH(R$4,Curves,0)))</f>
        <v/>
      </c>
      <c r="S358" s="201" t="str">
        <f aca="false">IF(A359="","",R358)</f>
        <v/>
      </c>
      <c r="T358" s="185" t="n">
        <v>0</v>
      </c>
      <c r="U358" s="201" t="str">
        <f aca="false">IF(A359="","",T358)</f>
        <v/>
      </c>
      <c r="V358" s="205"/>
      <c r="W358" s="202" t="str">
        <f aca="false">IF($A359="","",(T358+R358+G358+V358))</f>
        <v/>
      </c>
      <c r="X358" s="202" t="str">
        <f aca="false">IF($A359="","",(U358+S358+H358+V358))</f>
        <v/>
      </c>
      <c r="Y358" s="202"/>
      <c r="Z358" s="185" t="str">
        <f aca="false">IF($A359="","",VLOOKUP($A358,Table,MATCH(Z$4,Curves,0)))</f>
        <v/>
      </c>
      <c r="AA358" s="185" t="str">
        <f aca="false">IF($A359="","",VLOOKUP($A358,Table,MATCH(AA$4,Curves,0)))</f>
        <v/>
      </c>
      <c r="AB358" s="185" t="e">
        <f aca="false">SQRT((AA358^2*(A358-$D$3)+Z358^2*(DAY(EOMONTH(A358,0))/2))/AK358)</f>
        <v>#VALUE!</v>
      </c>
      <c r="AC358" s="185" t="str">
        <f aca="false">IF($A359="","",VLOOKUP($A358,Table,MATCH(AC$4,Curves,0)))</f>
        <v/>
      </c>
      <c r="AD358" s="185" t="str">
        <f aca="false">IF($A359="","",VLOOKUP($A358,Table,MATCH(AD$4,Curves,0)))</f>
        <v/>
      </c>
      <c r="AE358" s="185" t="e">
        <f aca="false">SQRT((AD358^2*(A358-$D$3)+AC358^2*(DAY(EOMONTH(A358,0))/2))/AK358)</f>
        <v>#VALUE!</v>
      </c>
      <c r="AF358" s="224" t="e">
        <f aca="false">((Summary!$N$13*(AA358*AD358)*(A358-$D$3))+(Summary!$M$13*Z358*AC358*(AJ358-EOMONTH(EDATE(A358,-1),0))))/(AK358*AB358*AE358)</f>
        <v>#VALUE!</v>
      </c>
      <c r="AG358" s="207" t="str">
        <f aca="false">IF($A359="","",Summary!$Q$13)</f>
        <v/>
      </c>
      <c r="AH358" s="207" t="str">
        <f aca="false">IF($A359="","",IF(Summary!$R$12="Y",(VLOOKUP($A358,Summary!$AD$6:$AF$9,3)+'Escalating commodity'!I371),'Escalating commodity'!I371))</f>
        <v/>
      </c>
      <c r="AI358" s="207" t="str">
        <f aca="false">IF($A359="","",AH358)</f>
        <v/>
      </c>
      <c r="AJ358" s="208" t="e">
        <f aca="false">A358+DAY(EOMONTH(A358,0))/2-1</f>
        <v>#VALUE!</v>
      </c>
      <c r="AK358" s="209" t="str">
        <f aca="false">IF($A359="","",$A358-$E$1)</f>
        <v/>
      </c>
      <c r="AL358" s="182" t="str">
        <f aca="false">IF($A359="","",SPRDOPT(P358,X358,AI358,0,AB358,AE358,AF358,AK358,$AJ$2,0))</f>
        <v/>
      </c>
      <c r="AM358" s="210" t="str">
        <f aca="false">IF($A359="","",MAX(0,O358-W358-AI358))</f>
        <v/>
      </c>
      <c r="AN358" s="211" t="str">
        <f aca="false">IF($A359="","",AL358-AM358)</f>
        <v/>
      </c>
      <c r="AO358" s="137" t="str">
        <f aca="false">IF(A359="","",A359-A358)</f>
        <v/>
      </c>
      <c r="AP358" s="212" t="str">
        <f aca="false">IF(A359="","",CHOOSE(F$3,A359+24,A358))</f>
        <v/>
      </c>
      <c r="AQ358" s="209" t="str">
        <f aca="false">IF(A359="","",AP358-$E$1)</f>
        <v/>
      </c>
      <c r="AR358" s="185" t="n">
        <f aca="false">'ANR OK vs ML7'!AR358</f>
        <v>0.1</v>
      </c>
      <c r="AS358" s="213" t="str">
        <f aca="false">IF(A359="","",1/(1+CHOOSE(F$3,(AR359+($I$3/10000))/2,(AR358+($I$3/10000))/2))^(2*AQ358/365.25))</f>
        <v/>
      </c>
      <c r="AT358" s="137" t="str">
        <f aca="false">IF(A359="","",IF(AND(mthbeg&lt;=A358,mthend&gt;=A358),1,0))</f>
        <v/>
      </c>
      <c r="AU358" s="137" t="str">
        <f aca="false">IF(A359="","",AO358*AT358)</f>
        <v/>
      </c>
      <c r="AW358" s="195" t="str">
        <f aca="false">IF($A359="","",AL358*$E358)</f>
        <v/>
      </c>
      <c r="AX358" s="195" t="str">
        <f aca="false">IF($A359="","",AM358*$E358)</f>
        <v/>
      </c>
      <c r="AY358" s="195" t="str">
        <f aca="false">IF($A359="","",AN358*$E358)</f>
        <v/>
      </c>
      <c r="BA358" s="195" t="str">
        <f aca="false">IF($A359="","",F358*Summary!$Q$13)</f>
        <v/>
      </c>
    </row>
    <row r="359" customFormat="false" ht="12" hidden="false" customHeight="true" outlineLevel="0" collapsed="false">
      <c r="A359" s="196" t="str">
        <f aca="false">IF(A358&lt;mthend,EDATE(A358,1),"")</f>
        <v/>
      </c>
      <c r="B359" s="197" t="str">
        <f aca="false">IF(A359&lt;mthend,B358,"")</f>
        <v/>
      </c>
      <c r="C359" s="215"/>
      <c r="D359" s="197" t="str">
        <f aca="false">IF(A360&lt;&gt;"",B359+C359,"")</f>
        <v/>
      </c>
      <c r="E359" s="199" t="str">
        <f aca="false">IF(A360="","",IF(AND(AT359=1,$H$3=1),D359*AO359,IF($H$3=2,D359,"N/A")))</f>
        <v/>
      </c>
      <c r="F359" s="199" t="str">
        <f aca="false">IF(A360="","",E359*AS359)</f>
        <v/>
      </c>
      <c r="G359" s="200" t="str">
        <f aca="false">IF($A360="","",VLOOKUP($A359,Table,MATCH(G$4,Curves,0)))</f>
        <v/>
      </c>
      <c r="H359" s="201" t="str">
        <f aca="false">IF(A360="","",G359)</f>
        <v/>
      </c>
      <c r="I359" s="202"/>
      <c r="J359" s="200" t="str">
        <f aca="false">IF($A360="","",VLOOKUP($A359,Table,MATCH(J$4,Curves,0)))</f>
        <v/>
      </c>
      <c r="K359" s="201" t="str">
        <f aca="false">IF(A360="","",J359)</f>
        <v/>
      </c>
      <c r="L359" s="185" t="n">
        <v>0</v>
      </c>
      <c r="M359" s="201" t="str">
        <f aca="false">IF(A360="","",L359)</f>
        <v/>
      </c>
      <c r="N359" s="203"/>
      <c r="O359" s="200" t="str">
        <f aca="false">IF(A360="","",L359+J359+G359)</f>
        <v/>
      </c>
      <c r="P359" s="200" t="str">
        <f aca="false">IF(A360="","",M359+K359+H359)</f>
        <v/>
      </c>
      <c r="Q359" s="204"/>
      <c r="R359" s="200" t="str">
        <f aca="false">IF($A360="","",VLOOKUP($A359,Table,MATCH(R$4,Curves,0)))</f>
        <v/>
      </c>
      <c r="S359" s="201" t="str">
        <f aca="false">IF(A360="","",R359)</f>
        <v/>
      </c>
      <c r="T359" s="185" t="n">
        <v>0</v>
      </c>
      <c r="U359" s="201" t="str">
        <f aca="false">IF(A360="","",T359)</f>
        <v/>
      </c>
      <c r="V359" s="205"/>
      <c r="W359" s="202" t="str">
        <f aca="false">IF($A360="","",(T359+R359+G359+V359))</f>
        <v/>
      </c>
      <c r="X359" s="202" t="str">
        <f aca="false">IF($A360="","",(U359+S359+H359+V359))</f>
        <v/>
      </c>
      <c r="Y359" s="202"/>
      <c r="Z359" s="185" t="str">
        <f aca="false">IF($A360="","",VLOOKUP($A359,Table,MATCH(Z$4,Curves,0)))</f>
        <v/>
      </c>
      <c r="AA359" s="185" t="str">
        <f aca="false">IF($A360="","",VLOOKUP($A359,Table,MATCH(AA$4,Curves,0)))</f>
        <v/>
      </c>
      <c r="AB359" s="185" t="e">
        <f aca="false">SQRT((AA359^2*(A359-$D$3)+Z359^2*(DAY(EOMONTH(A359,0))/2))/AK359)</f>
        <v>#VALUE!</v>
      </c>
      <c r="AC359" s="185" t="str">
        <f aca="false">IF($A360="","",VLOOKUP($A359,Table,MATCH(AC$4,Curves,0)))</f>
        <v/>
      </c>
      <c r="AD359" s="185" t="str">
        <f aca="false">IF($A360="","",VLOOKUP($A359,Table,MATCH(AD$4,Curves,0)))</f>
        <v/>
      </c>
      <c r="AE359" s="185" t="e">
        <f aca="false">SQRT((AD359^2*(A359-$D$3)+AC359^2*(DAY(EOMONTH(A359,0))/2))/AK359)</f>
        <v>#VALUE!</v>
      </c>
      <c r="AF359" s="224" t="e">
        <f aca="false">((Summary!$N$13*(AA359*AD359)*(A359-$D$3))+(Summary!$M$13*Z359*AC359*(AJ359-EOMONTH(EDATE(A359,-1),0))))/(AK359*AB359*AE359)</f>
        <v>#VALUE!</v>
      </c>
      <c r="AG359" s="207" t="str">
        <f aca="false">IF($A360="","",Summary!$Q$13)</f>
        <v/>
      </c>
      <c r="AH359" s="207" t="str">
        <f aca="false">IF($A360="","",IF(Summary!$R$12="Y",(VLOOKUP($A359,Summary!$AD$6:$AF$9,3)+'Escalating commodity'!I372),'Escalating commodity'!I372))</f>
        <v/>
      </c>
      <c r="AI359" s="207" t="str">
        <f aca="false">IF($A360="","",AH359)</f>
        <v/>
      </c>
      <c r="AJ359" s="208" t="e">
        <f aca="false">A359+DAY(EOMONTH(A359,0))/2-1</f>
        <v>#VALUE!</v>
      </c>
      <c r="AK359" s="209" t="str">
        <f aca="false">IF($A360="","",$A359-$E$1)</f>
        <v/>
      </c>
      <c r="AL359" s="182" t="str">
        <f aca="false">IF($A360="","",SPRDOPT(P359,X359,AI359,0,AB359,AE359,AF359,AK359,$AJ$2,0))</f>
        <v/>
      </c>
      <c r="AM359" s="210" t="str">
        <f aca="false">IF($A360="","",MAX(0,O359-W359-AI359))</f>
        <v/>
      </c>
      <c r="AN359" s="211" t="str">
        <f aca="false">IF($A360="","",AL359-AM359)</f>
        <v/>
      </c>
      <c r="AO359" s="137" t="str">
        <f aca="false">IF(A360="","",A360-A359)</f>
        <v/>
      </c>
      <c r="AP359" s="212" t="str">
        <f aca="false">IF(A360="","",CHOOSE(F$3,A360+24,A359))</f>
        <v/>
      </c>
      <c r="AQ359" s="209" t="str">
        <f aca="false">IF(A360="","",AP359-$E$1)</f>
        <v/>
      </c>
      <c r="AR359" s="185" t="n">
        <f aca="false">'ANR OK vs ML7'!AR359</f>
        <v>0.1</v>
      </c>
      <c r="AS359" s="213" t="str">
        <f aca="false">IF(A360="","",1/(1+CHOOSE(F$3,(AR360+($I$3/10000))/2,(AR359+($I$3/10000))/2))^(2*AQ359/365.25))</f>
        <v/>
      </c>
      <c r="AT359" s="137" t="str">
        <f aca="false">IF(A360="","",IF(AND(mthbeg&lt;=A359,mthend&gt;=A359),1,0))</f>
        <v/>
      </c>
      <c r="AU359" s="137" t="str">
        <f aca="false">IF(A360="","",AO359*AT359)</f>
        <v/>
      </c>
      <c r="AW359" s="195" t="str">
        <f aca="false">IF($A360="","",AL359*$E359)</f>
        <v/>
      </c>
      <c r="AX359" s="195" t="str">
        <f aca="false">IF($A360="","",AM359*$E359)</f>
        <v/>
      </c>
      <c r="AY359" s="195" t="str">
        <f aca="false">IF($A360="","",AN359*$E359)</f>
        <v/>
      </c>
      <c r="BA359" s="195" t="str">
        <f aca="false">IF($A360="","",F359*Summary!$Q$13)</f>
        <v/>
      </c>
    </row>
    <row r="360" customFormat="false" ht="12" hidden="false" customHeight="true" outlineLevel="0" collapsed="false">
      <c r="A360" s="196" t="str">
        <f aca="false">IF(A359&lt;mthend,EDATE(A359,1),"")</f>
        <v/>
      </c>
      <c r="B360" s="197" t="str">
        <f aca="false">IF(A360&lt;mthend,B359,"")</f>
        <v/>
      </c>
      <c r="C360" s="215"/>
      <c r="D360" s="197" t="str">
        <f aca="false">IF(A361&lt;&gt;"",B360+C360,"")</f>
        <v/>
      </c>
      <c r="E360" s="199" t="str">
        <f aca="false">IF(A361="","",IF(AND(AT360=1,$H$3=1),D360*AO360,IF($H$3=2,D360,"N/A")))</f>
        <v/>
      </c>
      <c r="F360" s="199" t="str">
        <f aca="false">IF(A361="","",E360*AS360)</f>
        <v/>
      </c>
      <c r="G360" s="200" t="str">
        <f aca="false">IF($A361="","",VLOOKUP($A360,Table,MATCH(G$4,Curves,0)))</f>
        <v/>
      </c>
      <c r="H360" s="201" t="str">
        <f aca="false">IF(A361="","",G360)</f>
        <v/>
      </c>
      <c r="I360" s="202"/>
      <c r="J360" s="200" t="str">
        <f aca="false">IF($A361="","",VLOOKUP($A360,Table,MATCH(J$4,Curves,0)))</f>
        <v/>
      </c>
      <c r="K360" s="201" t="str">
        <f aca="false">IF(A361="","",J360)</f>
        <v/>
      </c>
      <c r="L360" s="185" t="n">
        <v>0</v>
      </c>
      <c r="M360" s="201" t="str">
        <f aca="false">IF(A361="","",L360)</f>
        <v/>
      </c>
      <c r="N360" s="203"/>
      <c r="O360" s="200" t="str">
        <f aca="false">IF(A361="","",L360+J360+G360)</f>
        <v/>
      </c>
      <c r="P360" s="200" t="str">
        <f aca="false">IF(A361="","",M360+K360+H360)</f>
        <v/>
      </c>
      <c r="Q360" s="204"/>
      <c r="R360" s="200" t="str">
        <f aca="false">IF($A361="","",VLOOKUP($A360,Table,MATCH(R$4,Curves,0)))</f>
        <v/>
      </c>
      <c r="S360" s="201" t="str">
        <f aca="false">IF(A361="","",R360)</f>
        <v/>
      </c>
      <c r="T360" s="185" t="n">
        <v>0</v>
      </c>
      <c r="U360" s="201" t="str">
        <f aca="false">IF(A361="","",T360)</f>
        <v/>
      </c>
      <c r="V360" s="205"/>
      <c r="W360" s="202" t="str">
        <f aca="false">IF($A361="","",(T360+R360+G360+V360))</f>
        <v/>
      </c>
      <c r="X360" s="202" t="str">
        <f aca="false">IF($A361="","",(U360+S360+H360+V360))</f>
        <v/>
      </c>
      <c r="Y360" s="202"/>
      <c r="Z360" s="185" t="str">
        <f aca="false">IF($A361="","",VLOOKUP($A360,Table,MATCH(Z$4,Curves,0)))</f>
        <v/>
      </c>
      <c r="AA360" s="185" t="str">
        <f aca="false">IF($A361="","",VLOOKUP($A360,Table,MATCH(AA$4,Curves,0)))</f>
        <v/>
      </c>
      <c r="AB360" s="185" t="e">
        <f aca="false">SQRT((AA360^2*(A360-$D$3)+Z360^2*(DAY(EOMONTH(A360,0))/2))/AK360)</f>
        <v>#VALUE!</v>
      </c>
      <c r="AC360" s="185" t="str">
        <f aca="false">IF($A361="","",VLOOKUP($A360,Table,MATCH(AC$4,Curves,0)))</f>
        <v/>
      </c>
      <c r="AD360" s="185" t="str">
        <f aca="false">IF($A361="","",VLOOKUP($A360,Table,MATCH(AD$4,Curves,0)))</f>
        <v/>
      </c>
      <c r="AE360" s="185" t="e">
        <f aca="false">SQRT((AD360^2*(A360-$D$3)+AC360^2*(DAY(EOMONTH(A360,0))/2))/AK360)</f>
        <v>#VALUE!</v>
      </c>
      <c r="AF360" s="224" t="e">
        <f aca="false">((Summary!$N$13*(AA360*AD360)*(A360-$D$3))+(Summary!$M$13*Z360*AC360*(AJ360-EOMONTH(EDATE(A360,-1),0))))/(AK360*AB360*AE360)</f>
        <v>#VALUE!</v>
      </c>
      <c r="AG360" s="207" t="str">
        <f aca="false">IF($A361="","",Summary!$Q$13)</f>
        <v/>
      </c>
      <c r="AH360" s="207" t="str">
        <f aca="false">IF($A361="","",IF(Summary!$R$12="Y",(VLOOKUP($A360,Summary!$AD$6:$AF$9,3)+'Escalating commodity'!I373),'Escalating commodity'!I373))</f>
        <v/>
      </c>
      <c r="AI360" s="207" t="str">
        <f aca="false">IF($A361="","",AH360)</f>
        <v/>
      </c>
      <c r="AJ360" s="208" t="e">
        <f aca="false">A360+DAY(EOMONTH(A360,0))/2-1</f>
        <v>#VALUE!</v>
      </c>
      <c r="AK360" s="209" t="str">
        <f aca="false">IF($A361="","",$A360-$E$1)</f>
        <v/>
      </c>
      <c r="AL360" s="182" t="str">
        <f aca="false">IF($A361="","",SPRDOPT(P360,X360,AI360,0,AB360,AE360,AF360,AK360,$AJ$2,0))</f>
        <v/>
      </c>
      <c r="AM360" s="210" t="str">
        <f aca="false">IF($A361="","",MAX(0,O360-W360-AI360))</f>
        <v/>
      </c>
      <c r="AN360" s="211" t="str">
        <f aca="false">IF($A361="","",AL360-AM360)</f>
        <v/>
      </c>
      <c r="AO360" s="137" t="str">
        <f aca="false">IF(A361="","",A361-A360)</f>
        <v/>
      </c>
      <c r="AP360" s="212" t="str">
        <f aca="false">IF(A361="","",CHOOSE(F$3,A361+24,A360))</f>
        <v/>
      </c>
      <c r="AQ360" s="209" t="str">
        <f aca="false">IF(A361="","",AP360-$E$1)</f>
        <v/>
      </c>
      <c r="AR360" s="185" t="n">
        <f aca="false">'ANR OK vs ML7'!AR360</f>
        <v>0.1</v>
      </c>
      <c r="AS360" s="213" t="str">
        <f aca="false">IF(A361="","",1/(1+CHOOSE(F$3,(AR361+($I$3/10000))/2,(AR360+($I$3/10000))/2))^(2*AQ360/365.25))</f>
        <v/>
      </c>
      <c r="AT360" s="137" t="str">
        <f aca="false">IF(A361="","",IF(AND(mthbeg&lt;=A360,mthend&gt;=A360),1,0))</f>
        <v/>
      </c>
      <c r="AU360" s="137" t="str">
        <f aca="false">IF(A361="","",AO360*AT360)</f>
        <v/>
      </c>
      <c r="AW360" s="195" t="str">
        <f aca="false">IF($A361="","",AL360*$E360)</f>
        <v/>
      </c>
      <c r="AX360" s="195" t="str">
        <f aca="false">IF($A361="","",AM360*$E360)</f>
        <v/>
      </c>
      <c r="AY360" s="195" t="str">
        <f aca="false">IF($A361="","",AN360*$E360)</f>
        <v/>
      </c>
      <c r="BA360" s="195" t="str">
        <f aca="false">IF($A361="","",F360*Summary!$Q$13)</f>
        <v/>
      </c>
    </row>
    <row r="361" customFormat="false" ht="12" hidden="false" customHeight="true" outlineLevel="0" collapsed="false">
      <c r="A361" s="196" t="str">
        <f aca="false">IF(A360&lt;mthend,EDATE(A360,1),"")</f>
        <v/>
      </c>
      <c r="B361" s="197" t="str">
        <f aca="false">IF(A361&lt;mthend,B360,"")</f>
        <v/>
      </c>
      <c r="C361" s="215"/>
      <c r="D361" s="197" t="str">
        <f aca="false">IF(A362&lt;&gt;"",B361+C361,"")</f>
        <v/>
      </c>
      <c r="E361" s="199" t="str">
        <f aca="false">IF(A362="","",IF(AND(AT361=1,$H$3=1),D361*AO361,IF($H$3=2,D361,"N/A")))</f>
        <v/>
      </c>
      <c r="F361" s="199" t="str">
        <f aca="false">IF(A362="","",E361*AS361)</f>
        <v/>
      </c>
      <c r="G361" s="200" t="str">
        <f aca="false">IF($A362="","",VLOOKUP($A361,Table,MATCH(G$4,Curves,0)))</f>
        <v/>
      </c>
      <c r="H361" s="201" t="str">
        <f aca="false">IF(A362="","",G361)</f>
        <v/>
      </c>
      <c r="I361" s="202"/>
      <c r="J361" s="200" t="str">
        <f aca="false">IF($A362="","",VLOOKUP($A361,Table,MATCH(J$4,Curves,0)))</f>
        <v/>
      </c>
      <c r="K361" s="201" t="str">
        <f aca="false">IF(A362="","",J361)</f>
        <v/>
      </c>
      <c r="L361" s="185" t="n">
        <v>0</v>
      </c>
      <c r="M361" s="201" t="str">
        <f aca="false">IF(A362="","",L361)</f>
        <v/>
      </c>
      <c r="N361" s="203"/>
      <c r="O361" s="200" t="str">
        <f aca="false">IF(A362="","",L361+J361+G361)</f>
        <v/>
      </c>
      <c r="P361" s="200" t="str">
        <f aca="false">IF(A362="","",M361+K361+H361)</f>
        <v/>
      </c>
      <c r="Q361" s="204"/>
      <c r="R361" s="200" t="str">
        <f aca="false">IF($A362="","",VLOOKUP($A361,Table,MATCH(R$4,Curves,0)))</f>
        <v/>
      </c>
      <c r="S361" s="201" t="str">
        <f aca="false">IF(A362="","",R361)</f>
        <v/>
      </c>
      <c r="T361" s="185" t="n">
        <v>0</v>
      </c>
      <c r="U361" s="201" t="str">
        <f aca="false">IF(A362="","",T361)</f>
        <v/>
      </c>
      <c r="V361" s="205"/>
      <c r="W361" s="202" t="str">
        <f aca="false">IF($A362="","",(T361+R361+G361+V361))</f>
        <v/>
      </c>
      <c r="X361" s="202" t="str">
        <f aca="false">IF($A362="","",(U361+S361+H361+V361))</f>
        <v/>
      </c>
      <c r="Y361" s="202"/>
      <c r="Z361" s="185" t="str">
        <f aca="false">IF($A362="","",VLOOKUP($A361,Table,MATCH(Z$4,Curves,0)))</f>
        <v/>
      </c>
      <c r="AA361" s="185" t="str">
        <f aca="false">IF($A362="","",VLOOKUP($A361,Table,MATCH(AA$4,Curves,0)))</f>
        <v/>
      </c>
      <c r="AB361" s="185" t="e">
        <f aca="false">SQRT((AA361^2*(A361-$D$3)+Z361^2*(DAY(EOMONTH(A361,0))/2))/AK361)</f>
        <v>#VALUE!</v>
      </c>
      <c r="AC361" s="185" t="str">
        <f aca="false">IF($A362="","",VLOOKUP($A361,Table,MATCH(AC$4,Curves,0)))</f>
        <v/>
      </c>
      <c r="AD361" s="185" t="str">
        <f aca="false">IF($A362="","",VLOOKUP($A361,Table,MATCH(AD$4,Curves,0)))</f>
        <v/>
      </c>
      <c r="AE361" s="185" t="e">
        <f aca="false">SQRT((AD361^2*(A361-$D$3)+AC361^2*(DAY(EOMONTH(A361,0))/2))/AK361)</f>
        <v>#VALUE!</v>
      </c>
      <c r="AF361" s="224" t="e">
        <f aca="false">((Summary!$N$13*(AA361*AD361)*(A361-$D$3))+(Summary!$M$13*Z361*AC361*(AJ361-EOMONTH(EDATE(A361,-1),0))))/(AK361*AB361*AE361)</f>
        <v>#VALUE!</v>
      </c>
      <c r="AG361" s="207" t="str">
        <f aca="false">IF($A362="","",Summary!$Q$13)</f>
        <v/>
      </c>
      <c r="AH361" s="207" t="str">
        <f aca="false">IF($A362="","",IF(Summary!$R$12="Y",(VLOOKUP($A361,Summary!$AD$6:$AF$9,3)+'Escalating commodity'!I374),'Escalating commodity'!I374))</f>
        <v/>
      </c>
      <c r="AI361" s="207" t="str">
        <f aca="false">IF($A362="","",AH361)</f>
        <v/>
      </c>
      <c r="AJ361" s="208" t="e">
        <f aca="false">A361+DAY(EOMONTH(A361,0))/2-1</f>
        <v>#VALUE!</v>
      </c>
      <c r="AK361" s="209" t="str">
        <f aca="false">IF($A362="","",$A361-$E$1)</f>
        <v/>
      </c>
      <c r="AL361" s="182" t="str">
        <f aca="false">IF($A362="","",SPRDOPT(P361,X361,AI361,0,AB361,AE361,AF361,AK361,$AJ$2,0))</f>
        <v/>
      </c>
      <c r="AM361" s="210" t="str">
        <f aca="false">IF($A362="","",MAX(0,O361-W361-AI361))</f>
        <v/>
      </c>
      <c r="AN361" s="211" t="str">
        <f aca="false">IF($A362="","",AL361-AM361)</f>
        <v/>
      </c>
      <c r="AO361" s="137" t="str">
        <f aca="false">IF(A362="","",A362-A361)</f>
        <v/>
      </c>
      <c r="AP361" s="212" t="str">
        <f aca="false">IF(A362="","",CHOOSE(F$3,A362+24,A361))</f>
        <v/>
      </c>
      <c r="AQ361" s="209" t="str">
        <f aca="false">IF(A362="","",AP361-$E$1)</f>
        <v/>
      </c>
      <c r="AR361" s="185" t="n">
        <f aca="false">'ANR OK vs ML7'!AR361</f>
        <v>0.1</v>
      </c>
      <c r="AS361" s="213" t="str">
        <f aca="false">IF(A362="","",1/(1+CHOOSE(F$3,(AR362+($I$3/10000))/2,(AR361+($I$3/10000))/2))^(2*AQ361/365.25))</f>
        <v/>
      </c>
      <c r="AT361" s="137" t="str">
        <f aca="false">IF(A362="","",IF(AND(mthbeg&lt;=A361,mthend&gt;=A361),1,0))</f>
        <v/>
      </c>
      <c r="AU361" s="137" t="str">
        <f aca="false">IF(A362="","",AO361*AT361)</f>
        <v/>
      </c>
      <c r="AW361" s="195" t="str">
        <f aca="false">IF($A362="","",AL361*$E361)</f>
        <v/>
      </c>
      <c r="AX361" s="195" t="str">
        <f aca="false">IF($A362="","",AM361*$E361)</f>
        <v/>
      </c>
      <c r="AY361" s="195" t="str">
        <f aca="false">IF($A362="","",AN361*$E361)</f>
        <v/>
      </c>
      <c r="BA361" s="195" t="str">
        <f aca="false">IF($A362="","",F361*Summary!$Q$13)</f>
        <v/>
      </c>
    </row>
    <row r="362" customFormat="false" ht="12" hidden="false" customHeight="true" outlineLevel="0" collapsed="false">
      <c r="A362" s="196" t="str">
        <f aca="false">IF(A361&lt;mthend,EDATE(A361,1),"")</f>
        <v/>
      </c>
      <c r="B362" s="197" t="str">
        <f aca="false">IF(A362&lt;mthend,B361,"")</f>
        <v/>
      </c>
      <c r="C362" s="215"/>
      <c r="D362" s="197" t="str">
        <f aca="false">IF(A363&lt;&gt;"",B362+C362,"")</f>
        <v/>
      </c>
      <c r="E362" s="199" t="str">
        <f aca="false">IF(A363="","",IF(AND(AT362=1,$H$3=1),D362*AO362,IF($H$3=2,D362,"N/A")))</f>
        <v/>
      </c>
      <c r="F362" s="199" t="str">
        <f aca="false">IF(A363="","",E362*AS362)</f>
        <v/>
      </c>
      <c r="G362" s="200" t="str">
        <f aca="false">IF($A363="","",VLOOKUP($A362,Table,MATCH(G$4,Curves,0)))</f>
        <v/>
      </c>
      <c r="H362" s="201" t="str">
        <f aca="false">IF(A363="","",G362)</f>
        <v/>
      </c>
      <c r="I362" s="202"/>
      <c r="J362" s="200" t="str">
        <f aca="false">IF($A363="","",VLOOKUP($A362,Table,MATCH(J$4,Curves,0)))</f>
        <v/>
      </c>
      <c r="K362" s="201" t="str">
        <f aca="false">IF(A363="","",J362)</f>
        <v/>
      </c>
      <c r="L362" s="185" t="n">
        <v>0</v>
      </c>
      <c r="M362" s="201" t="str">
        <f aca="false">IF(A363="","",L362)</f>
        <v/>
      </c>
      <c r="N362" s="203"/>
      <c r="O362" s="200" t="str">
        <f aca="false">IF(A363="","",L362+J362+G362)</f>
        <v/>
      </c>
      <c r="P362" s="200" t="str">
        <f aca="false">IF(A363="","",M362+K362+H362)</f>
        <v/>
      </c>
      <c r="Q362" s="204"/>
      <c r="R362" s="200" t="str">
        <f aca="false">IF($A363="","",VLOOKUP($A362,Table,MATCH(R$4,Curves,0)))</f>
        <v/>
      </c>
      <c r="S362" s="201" t="str">
        <f aca="false">IF(A363="","",R362)</f>
        <v/>
      </c>
      <c r="T362" s="185" t="n">
        <v>0</v>
      </c>
      <c r="U362" s="201" t="str">
        <f aca="false">IF(A363="","",T362)</f>
        <v/>
      </c>
      <c r="V362" s="205"/>
      <c r="W362" s="202" t="str">
        <f aca="false">IF($A363="","",(T362+R362+G362+V362))</f>
        <v/>
      </c>
      <c r="X362" s="202" t="str">
        <f aca="false">IF($A363="","",(U362+S362+H362+V362))</f>
        <v/>
      </c>
      <c r="Y362" s="202"/>
      <c r="Z362" s="185" t="str">
        <f aca="false">IF($A363="","",VLOOKUP($A362,Table,MATCH(Z$4,Curves,0)))</f>
        <v/>
      </c>
      <c r="AA362" s="185" t="str">
        <f aca="false">IF($A363="","",VLOOKUP($A362,Table,MATCH(AA$4,Curves,0)))</f>
        <v/>
      </c>
      <c r="AB362" s="185" t="e">
        <f aca="false">SQRT((AA362^2*(A362-$D$3)+Z362^2*(DAY(EOMONTH(A362,0))/2))/AK362)</f>
        <v>#VALUE!</v>
      </c>
      <c r="AC362" s="185" t="str">
        <f aca="false">IF($A363="","",VLOOKUP($A362,Table,MATCH(AC$4,Curves,0)))</f>
        <v/>
      </c>
      <c r="AD362" s="185" t="str">
        <f aca="false">IF($A363="","",VLOOKUP($A362,Table,MATCH(AD$4,Curves,0)))</f>
        <v/>
      </c>
      <c r="AE362" s="185" t="e">
        <f aca="false">SQRT((AD362^2*(A362-$D$3)+AC362^2*(DAY(EOMONTH(A362,0))/2))/AK362)</f>
        <v>#VALUE!</v>
      </c>
      <c r="AF362" s="224" t="e">
        <f aca="false">((Summary!$N$13*(AA362*AD362)*(A362-$D$3))+(Summary!$M$13*Z362*AC362*(AJ362-EOMONTH(EDATE(A362,-1),0))))/(AK362*AB362*AE362)</f>
        <v>#VALUE!</v>
      </c>
      <c r="AG362" s="207" t="str">
        <f aca="false">IF($A363="","",Summary!$Q$13)</f>
        <v/>
      </c>
      <c r="AH362" s="207" t="str">
        <f aca="false">IF($A363="","",IF(Summary!$R$12="Y",(VLOOKUP($A362,Summary!$AD$6:$AF$9,3)+'Escalating commodity'!I375),'Escalating commodity'!I375))</f>
        <v/>
      </c>
      <c r="AI362" s="207" t="str">
        <f aca="false">IF($A363="","",AH362)</f>
        <v/>
      </c>
      <c r="AJ362" s="208" t="e">
        <f aca="false">A362+DAY(EOMONTH(A362,0))/2-1</f>
        <v>#VALUE!</v>
      </c>
      <c r="AK362" s="209" t="str">
        <f aca="false">IF($A363="","",$A362-$E$1)</f>
        <v/>
      </c>
      <c r="AL362" s="182" t="str">
        <f aca="false">IF($A363="","",SPRDOPT(P362,X362,AI362,0,AB362,AE362,AF362,AK362,$AJ$2,0))</f>
        <v/>
      </c>
      <c r="AM362" s="210" t="str">
        <f aca="false">IF($A363="","",MAX(0,O362-W362-AI362))</f>
        <v/>
      </c>
      <c r="AN362" s="211" t="str">
        <f aca="false">IF($A363="","",AL362-AM362)</f>
        <v/>
      </c>
      <c r="AO362" s="137" t="str">
        <f aca="false">IF(A363="","",A363-A362)</f>
        <v/>
      </c>
      <c r="AP362" s="212" t="str">
        <f aca="false">IF(A363="","",CHOOSE(F$3,A363+24,A362))</f>
        <v/>
      </c>
      <c r="AQ362" s="209" t="str">
        <f aca="false">IF(A363="","",AP362-$E$1)</f>
        <v/>
      </c>
      <c r="AR362" s="185" t="n">
        <f aca="false">'ANR OK vs ML7'!AR362</f>
        <v>0.1</v>
      </c>
      <c r="AS362" s="213" t="str">
        <f aca="false">IF(A363="","",1/(1+CHOOSE(F$3,(AR363+($I$3/10000))/2,(AR362+($I$3/10000))/2))^(2*AQ362/365.25))</f>
        <v/>
      </c>
      <c r="AT362" s="137" t="str">
        <f aca="false">IF(A363="","",IF(AND(mthbeg&lt;=A362,mthend&gt;=A362),1,0))</f>
        <v/>
      </c>
      <c r="AU362" s="137" t="str">
        <f aca="false">IF(A363="","",AO362*AT362)</f>
        <v/>
      </c>
      <c r="AW362" s="195" t="str">
        <f aca="false">IF($A363="","",AL362*$E362)</f>
        <v/>
      </c>
      <c r="AX362" s="195" t="str">
        <f aca="false">IF($A363="","",AM362*$E362)</f>
        <v/>
      </c>
      <c r="AY362" s="195" t="str">
        <f aca="false">IF($A363="","",AN362*$E362)</f>
        <v/>
      </c>
      <c r="BA362" s="195" t="str">
        <f aca="false">IF($A363="","",F362*Summary!$Q$13)</f>
        <v/>
      </c>
    </row>
    <row r="363" customFormat="false" ht="12" hidden="false" customHeight="true" outlineLevel="0" collapsed="false">
      <c r="A363" s="196" t="str">
        <f aca="false">IF(A362&lt;mthend,EDATE(A362,1),"")</f>
        <v/>
      </c>
      <c r="B363" s="197" t="str">
        <f aca="false">IF(A363&lt;mthend,B362,"")</f>
        <v/>
      </c>
      <c r="C363" s="215"/>
      <c r="D363" s="197" t="str">
        <f aca="false">IF(A364&lt;&gt;"",B363+C363,"")</f>
        <v/>
      </c>
      <c r="E363" s="199" t="str">
        <f aca="false">IF(A364="","",IF(AND(AT363=1,$H$3=1),D363*AO363,IF($H$3=2,D363,"N/A")))</f>
        <v/>
      </c>
      <c r="F363" s="199" t="str">
        <f aca="false">IF(A364="","",E363*AS363)</f>
        <v/>
      </c>
      <c r="G363" s="200" t="str">
        <f aca="false">IF($A364="","",VLOOKUP($A363,Table,MATCH(G$4,Curves,0)))</f>
        <v/>
      </c>
      <c r="H363" s="201" t="str">
        <f aca="false">IF(A364="","",G363)</f>
        <v/>
      </c>
      <c r="I363" s="202"/>
      <c r="J363" s="200" t="str">
        <f aca="false">IF($A364="","",VLOOKUP($A363,Table,MATCH(J$4,Curves,0)))</f>
        <v/>
      </c>
      <c r="K363" s="201" t="str">
        <f aca="false">IF(A364="","",J363)</f>
        <v/>
      </c>
      <c r="L363" s="185" t="n">
        <v>0</v>
      </c>
      <c r="M363" s="201" t="str">
        <f aca="false">IF(A364="","",L363)</f>
        <v/>
      </c>
      <c r="N363" s="203"/>
      <c r="O363" s="200" t="str">
        <f aca="false">IF(A364="","",L363+J363+G363)</f>
        <v/>
      </c>
      <c r="P363" s="200" t="str">
        <f aca="false">IF(A364="","",M363+K363+H363)</f>
        <v/>
      </c>
      <c r="Q363" s="204"/>
      <c r="R363" s="200" t="str">
        <f aca="false">IF($A364="","",VLOOKUP($A363,Table,MATCH(R$4,Curves,0)))</f>
        <v/>
      </c>
      <c r="S363" s="201" t="str">
        <f aca="false">IF(A364="","",R363)</f>
        <v/>
      </c>
      <c r="T363" s="185" t="n">
        <v>0</v>
      </c>
      <c r="U363" s="201" t="str">
        <f aca="false">IF(A364="","",T363)</f>
        <v/>
      </c>
      <c r="V363" s="205"/>
      <c r="W363" s="202" t="str">
        <f aca="false">IF($A364="","",(T363+R363+G363+V363))</f>
        <v/>
      </c>
      <c r="X363" s="202" t="str">
        <f aca="false">IF($A364="","",(U363+S363+H363+V363))</f>
        <v/>
      </c>
      <c r="Y363" s="202"/>
      <c r="Z363" s="185" t="str">
        <f aca="false">IF($A364="","",VLOOKUP($A363,Table,MATCH(Z$4,Curves,0)))</f>
        <v/>
      </c>
      <c r="AA363" s="185" t="str">
        <f aca="false">IF($A364="","",VLOOKUP($A363,Table,MATCH(AA$4,Curves,0)))</f>
        <v/>
      </c>
      <c r="AB363" s="185" t="e">
        <f aca="false">SQRT((AA363^2*(A363-$D$3)+Z363^2*(DAY(EOMONTH(A363,0))/2))/AK363)</f>
        <v>#VALUE!</v>
      </c>
      <c r="AC363" s="185" t="str">
        <f aca="false">IF($A364="","",VLOOKUP($A363,Table,MATCH(AC$4,Curves,0)))</f>
        <v/>
      </c>
      <c r="AD363" s="185" t="str">
        <f aca="false">IF($A364="","",VLOOKUP($A363,Table,MATCH(AD$4,Curves,0)))</f>
        <v/>
      </c>
      <c r="AE363" s="185" t="e">
        <f aca="false">SQRT((AD363^2*(A363-$D$3)+AC363^2*(DAY(EOMONTH(A363,0))/2))/AK363)</f>
        <v>#VALUE!</v>
      </c>
      <c r="AF363" s="224" t="e">
        <f aca="false">((Summary!$N$13*(AA363*AD363)*(A363-$D$3))+(Summary!$M$13*Z363*AC363*(AJ363-EOMONTH(EDATE(A363,-1),0))))/(AK363*AB363*AE363)</f>
        <v>#VALUE!</v>
      </c>
      <c r="AG363" s="207" t="str">
        <f aca="false">IF($A364="","",Summary!$Q$13)</f>
        <v/>
      </c>
      <c r="AH363" s="207" t="str">
        <f aca="false">IF($A364="","",IF(Summary!$R$12="Y",(VLOOKUP($A363,Summary!$AD$6:$AF$9,3)+'Escalating commodity'!I376),'Escalating commodity'!I376))</f>
        <v/>
      </c>
      <c r="AI363" s="207" t="str">
        <f aca="false">IF($A364="","",AH363)</f>
        <v/>
      </c>
      <c r="AJ363" s="208" t="e">
        <f aca="false">A363+DAY(EOMONTH(A363,0))/2-1</f>
        <v>#VALUE!</v>
      </c>
      <c r="AK363" s="209" t="str">
        <f aca="false">IF($A364="","",$A363-$E$1)</f>
        <v/>
      </c>
      <c r="AL363" s="182" t="str">
        <f aca="false">IF($A364="","",SPRDOPT(P363,X363,AI363,0,AB363,AE363,AF363,AK363,$AJ$2,0))</f>
        <v/>
      </c>
      <c r="AM363" s="210" t="str">
        <f aca="false">IF($A364="","",MAX(0,O363-W363-AI363))</f>
        <v/>
      </c>
      <c r="AN363" s="211" t="str">
        <f aca="false">IF($A364="","",AL363-AM363)</f>
        <v/>
      </c>
      <c r="AO363" s="137" t="str">
        <f aca="false">IF(A364="","",A364-A363)</f>
        <v/>
      </c>
      <c r="AP363" s="212" t="str">
        <f aca="false">IF(A364="","",CHOOSE(F$3,A364+24,A363))</f>
        <v/>
      </c>
      <c r="AQ363" s="209" t="str">
        <f aca="false">IF(A364="","",AP363-$E$1)</f>
        <v/>
      </c>
      <c r="AR363" s="185" t="n">
        <f aca="false">'ANR OK vs ML7'!AR363</f>
        <v>0.1</v>
      </c>
      <c r="AS363" s="213" t="str">
        <f aca="false">IF(A364="","",1/(1+CHOOSE(F$3,(AR364+($I$3/10000))/2,(AR363+($I$3/10000))/2))^(2*AQ363/365.25))</f>
        <v/>
      </c>
      <c r="AT363" s="137" t="str">
        <f aca="false">IF(A364="","",IF(AND(mthbeg&lt;=A363,mthend&gt;=A363),1,0))</f>
        <v/>
      </c>
      <c r="AU363" s="137" t="str">
        <f aca="false">IF(A364="","",AO363*AT363)</f>
        <v/>
      </c>
      <c r="AW363" s="195" t="str">
        <f aca="false">IF($A364="","",AL363*$E363)</f>
        <v/>
      </c>
      <c r="AX363" s="195" t="str">
        <f aca="false">IF($A364="","",AM363*$E363)</f>
        <v/>
      </c>
      <c r="AY363" s="195" t="str">
        <f aca="false">IF($A364="","",AN363*$E363)</f>
        <v/>
      </c>
      <c r="BA363" s="195" t="str">
        <f aca="false">IF($A364="","",F363*Summary!$Q$13)</f>
        <v/>
      </c>
    </row>
    <row r="364" customFormat="false" ht="12" hidden="false" customHeight="true" outlineLevel="0" collapsed="false">
      <c r="A364" s="196" t="str">
        <f aca="false">IF(A363&lt;mthend,EDATE(A363,1),"")</f>
        <v/>
      </c>
      <c r="B364" s="197" t="str">
        <f aca="false">IF(A364&lt;mthend,B363,"")</f>
        <v/>
      </c>
      <c r="C364" s="215"/>
      <c r="D364" s="197" t="str">
        <f aca="false">IF(A365&lt;&gt;"",B364+C364,"")</f>
        <v/>
      </c>
      <c r="E364" s="199" t="str">
        <f aca="false">IF(A365="","",IF(AND(AT364=1,$H$3=1),D364*AO364,IF($H$3=2,D364,"N/A")))</f>
        <v/>
      </c>
      <c r="F364" s="199" t="str">
        <f aca="false">IF(A365="","",E364*AS364)</f>
        <v/>
      </c>
      <c r="G364" s="200" t="str">
        <f aca="false">IF($A365="","",VLOOKUP($A364,Table,MATCH(G$4,Curves,0)))</f>
        <v/>
      </c>
      <c r="H364" s="201" t="str">
        <f aca="false">IF(A365="","",G364)</f>
        <v/>
      </c>
      <c r="I364" s="202"/>
      <c r="J364" s="200" t="str">
        <f aca="false">IF($A365="","",VLOOKUP($A364,Table,MATCH(J$4,Curves,0)))</f>
        <v/>
      </c>
      <c r="K364" s="201" t="str">
        <f aca="false">IF(A365="","",J364)</f>
        <v/>
      </c>
      <c r="L364" s="185" t="n">
        <v>0</v>
      </c>
      <c r="M364" s="201" t="str">
        <f aca="false">IF(A365="","",L364)</f>
        <v/>
      </c>
      <c r="N364" s="203"/>
      <c r="O364" s="200" t="str">
        <f aca="false">IF(A365="","",L364+J364+G364)</f>
        <v/>
      </c>
      <c r="P364" s="200" t="str">
        <f aca="false">IF(A365="","",M364+K364+H364)</f>
        <v/>
      </c>
      <c r="Q364" s="204"/>
      <c r="R364" s="200" t="str">
        <f aca="false">IF($A365="","",VLOOKUP($A364,Table,MATCH(R$4,Curves,0)))</f>
        <v/>
      </c>
      <c r="S364" s="201" t="str">
        <f aca="false">IF(A365="","",R364)</f>
        <v/>
      </c>
      <c r="T364" s="185" t="n">
        <v>0</v>
      </c>
      <c r="U364" s="201" t="str">
        <f aca="false">IF(A365="","",T364)</f>
        <v/>
      </c>
      <c r="V364" s="205"/>
      <c r="W364" s="202" t="str">
        <f aca="false">IF($A365="","",(T364+R364+G364+V364))</f>
        <v/>
      </c>
      <c r="X364" s="202" t="str">
        <f aca="false">IF($A365="","",(U364+S364+H364+V364))</f>
        <v/>
      </c>
      <c r="Y364" s="202"/>
      <c r="Z364" s="185" t="str">
        <f aca="false">IF($A365="","",VLOOKUP($A364,Table,MATCH(Z$4,Curves,0)))</f>
        <v/>
      </c>
      <c r="AA364" s="185" t="str">
        <f aca="false">IF($A365="","",VLOOKUP($A364,Table,MATCH(AA$4,Curves,0)))</f>
        <v/>
      </c>
      <c r="AB364" s="185" t="e">
        <f aca="false">SQRT((AA364^2*(A364-$D$3)+Z364^2*(DAY(EOMONTH(A364,0))/2))/AK364)</f>
        <v>#VALUE!</v>
      </c>
      <c r="AC364" s="185" t="str">
        <f aca="false">IF($A365="","",VLOOKUP($A364,Table,MATCH(AC$4,Curves,0)))</f>
        <v/>
      </c>
      <c r="AD364" s="185" t="str">
        <f aca="false">IF($A365="","",VLOOKUP($A364,Table,MATCH(AD$4,Curves,0)))</f>
        <v/>
      </c>
      <c r="AE364" s="185" t="e">
        <f aca="false">SQRT((AD364^2*(A364-$D$3)+AC364^2*(DAY(EOMONTH(A364,0))/2))/AK364)</f>
        <v>#VALUE!</v>
      </c>
      <c r="AF364" s="224" t="e">
        <f aca="false">((Summary!$N$13*(AA364*AD364)*(A364-$D$3))+(Summary!$M$13*Z364*AC364*(AJ364-EOMONTH(EDATE(A364,-1),0))))/(AK364*AB364*AE364)</f>
        <v>#VALUE!</v>
      </c>
      <c r="AG364" s="207" t="str">
        <f aca="false">IF($A365="","",Summary!$Q$13)</f>
        <v/>
      </c>
      <c r="AH364" s="207" t="str">
        <f aca="false">IF($A365="","",IF(Summary!$R$12="Y",(VLOOKUP($A364,Summary!$AD$6:$AF$9,3)+'Escalating commodity'!I377),'Escalating commodity'!I377))</f>
        <v/>
      </c>
      <c r="AI364" s="207" t="str">
        <f aca="false">IF($A365="","",AH364)</f>
        <v/>
      </c>
      <c r="AJ364" s="208" t="e">
        <f aca="false">A364+DAY(EOMONTH(A364,0))/2-1</f>
        <v>#VALUE!</v>
      </c>
      <c r="AK364" s="209" t="str">
        <f aca="false">IF($A365="","",$A364-$E$1)</f>
        <v/>
      </c>
      <c r="AL364" s="182" t="str">
        <f aca="false">IF($A365="","",SPRDOPT(P364,X364,AI364,0,AB364,AE364,AF364,AK364,$AJ$2,0))</f>
        <v/>
      </c>
      <c r="AM364" s="210" t="str">
        <f aca="false">IF($A365="","",MAX(0,O364-W364-AI364))</f>
        <v/>
      </c>
      <c r="AN364" s="211" t="str">
        <f aca="false">IF($A365="","",AL364-AM364)</f>
        <v/>
      </c>
      <c r="AO364" s="137" t="str">
        <f aca="false">IF(A365="","",A365-A364)</f>
        <v/>
      </c>
      <c r="AP364" s="212" t="str">
        <f aca="false">IF(A365="","",CHOOSE(F$3,A365+24,A364))</f>
        <v/>
      </c>
      <c r="AQ364" s="209" t="str">
        <f aca="false">IF(A365="","",AP364-$E$1)</f>
        <v/>
      </c>
      <c r="AR364" s="185" t="n">
        <f aca="false">'ANR OK vs ML7'!AR364</f>
        <v>0.1</v>
      </c>
      <c r="AS364" s="213" t="str">
        <f aca="false">IF(A365="","",1/(1+CHOOSE(F$3,(AR365+($I$3/10000))/2,(AR364+($I$3/10000))/2))^(2*AQ364/365.25))</f>
        <v/>
      </c>
      <c r="AT364" s="137" t="str">
        <f aca="false">IF(A365="","",IF(AND(mthbeg&lt;=A364,mthend&gt;=A364),1,0))</f>
        <v/>
      </c>
      <c r="AU364" s="137" t="str">
        <f aca="false">IF(A365="","",AO364*AT364)</f>
        <v/>
      </c>
      <c r="AW364" s="195" t="str">
        <f aca="false">IF($A365="","",AL364*$E364)</f>
        <v/>
      </c>
      <c r="AX364" s="195" t="str">
        <f aca="false">IF($A365="","",AM364*$E364)</f>
        <v/>
      </c>
      <c r="AY364" s="195" t="str">
        <f aca="false">IF($A365="","",AN364*$E364)</f>
        <v/>
      </c>
      <c r="BA364" s="195" t="str">
        <f aca="false">IF($A365="","",F364*Summary!$Q$13)</f>
        <v/>
      </c>
    </row>
    <row r="365" customFormat="false" ht="12" hidden="false" customHeight="true" outlineLevel="0" collapsed="false">
      <c r="A365" s="196" t="str">
        <f aca="false">IF(A364&lt;mthend,EDATE(A364,1),"")</f>
        <v/>
      </c>
      <c r="B365" s="197" t="str">
        <f aca="false">IF(A365&lt;mthend,B364,"")</f>
        <v/>
      </c>
      <c r="C365" s="215"/>
      <c r="D365" s="197" t="str">
        <f aca="false">IF(A366&lt;&gt;"",B365+C365,"")</f>
        <v/>
      </c>
      <c r="E365" s="199" t="str">
        <f aca="false">IF(A366="","",IF(AND(AT365=1,$H$3=1),D365*AO365,IF($H$3=2,D365,"N/A")))</f>
        <v/>
      </c>
      <c r="F365" s="199" t="str">
        <f aca="false">IF(A366="","",E365*AS365)</f>
        <v/>
      </c>
      <c r="G365" s="200" t="str">
        <f aca="false">IF($A366="","",VLOOKUP($A365,Table,MATCH(G$4,Curves,0)))</f>
        <v/>
      </c>
      <c r="H365" s="201" t="str">
        <f aca="false">IF(A366="","",G365)</f>
        <v/>
      </c>
      <c r="I365" s="202"/>
      <c r="J365" s="200" t="str">
        <f aca="false">IF($A366="","",VLOOKUP($A365,Table,MATCH(J$4,Curves,0)))</f>
        <v/>
      </c>
      <c r="K365" s="201" t="str">
        <f aca="false">IF(A366="","",J365)</f>
        <v/>
      </c>
      <c r="L365" s="185" t="n">
        <v>0</v>
      </c>
      <c r="M365" s="201" t="str">
        <f aca="false">IF(A366="","",L365)</f>
        <v/>
      </c>
      <c r="N365" s="203"/>
      <c r="O365" s="200" t="str">
        <f aca="false">IF(A366="","",L365+J365+G365)</f>
        <v/>
      </c>
      <c r="P365" s="200" t="str">
        <f aca="false">IF(A366="","",M365+K365+H365)</f>
        <v/>
      </c>
      <c r="Q365" s="204"/>
      <c r="R365" s="200" t="str">
        <f aca="false">IF($A366="","",VLOOKUP($A365,Table,MATCH(R$4,Curves,0)))</f>
        <v/>
      </c>
      <c r="S365" s="201" t="str">
        <f aca="false">IF(A366="","",R365)</f>
        <v/>
      </c>
      <c r="T365" s="185" t="n">
        <v>0</v>
      </c>
      <c r="U365" s="201" t="str">
        <f aca="false">IF(A366="","",T365)</f>
        <v/>
      </c>
      <c r="V365" s="205"/>
      <c r="W365" s="202" t="str">
        <f aca="false">IF($A366="","",(T365+R365+G365+V365))</f>
        <v/>
      </c>
      <c r="X365" s="202" t="str">
        <f aca="false">IF($A366="","",(U365+S365+H365+V365))</f>
        <v/>
      </c>
      <c r="Y365" s="202"/>
      <c r="Z365" s="185" t="str">
        <f aca="false">IF($A366="","",VLOOKUP($A365,Table,MATCH(Z$4,Curves,0)))</f>
        <v/>
      </c>
      <c r="AA365" s="185" t="str">
        <f aca="false">IF($A366="","",VLOOKUP($A365,Table,MATCH(AA$4,Curves,0)))</f>
        <v/>
      </c>
      <c r="AB365" s="185" t="e">
        <f aca="false">SQRT((AA365^2*(A365-$D$3)+Z365^2*(DAY(EOMONTH(A365,0))/2))/AK365)</f>
        <v>#VALUE!</v>
      </c>
      <c r="AC365" s="185" t="str">
        <f aca="false">IF($A366="","",VLOOKUP($A365,Table,MATCH(AC$4,Curves,0)))</f>
        <v/>
      </c>
      <c r="AD365" s="185" t="str">
        <f aca="false">IF($A366="","",VLOOKUP($A365,Table,MATCH(AD$4,Curves,0)))</f>
        <v/>
      </c>
      <c r="AE365" s="185" t="e">
        <f aca="false">SQRT((AD365^2*(A365-$D$3)+AC365^2*(DAY(EOMONTH(A365,0))/2))/AK365)</f>
        <v>#VALUE!</v>
      </c>
      <c r="AF365" s="224" t="e">
        <f aca="false">((Summary!$N$13*(AA365*AD365)*(A365-$D$3))+(Summary!$M$13*Z365*AC365*(AJ365-EOMONTH(EDATE(A365,-1),0))))/(AK365*AB365*AE365)</f>
        <v>#VALUE!</v>
      </c>
      <c r="AG365" s="207" t="str">
        <f aca="false">IF($A366="","",Summary!$Q$13)</f>
        <v/>
      </c>
      <c r="AH365" s="207" t="str">
        <f aca="false">IF($A366="","",IF(Summary!$R$12="Y",(VLOOKUP($A365,Summary!$AD$6:$AF$9,3)+'Escalating commodity'!I378),'Escalating commodity'!I378))</f>
        <v/>
      </c>
      <c r="AI365" s="207" t="str">
        <f aca="false">IF($A366="","",AH365)</f>
        <v/>
      </c>
      <c r="AJ365" s="208" t="e">
        <f aca="false">A365+DAY(EOMONTH(A365,0))/2-1</f>
        <v>#VALUE!</v>
      </c>
      <c r="AK365" s="209" t="str">
        <f aca="false">IF($A366="","",$A365-$E$1)</f>
        <v/>
      </c>
      <c r="AL365" s="182" t="str">
        <f aca="false">IF($A366="","",SPRDOPT(P365,X365,AI365,0,AB365,AE365,AF365,AK365,$AJ$2,0))</f>
        <v/>
      </c>
      <c r="AM365" s="210" t="str">
        <f aca="false">IF($A366="","",MAX(0,O365-W365-AI365))</f>
        <v/>
      </c>
      <c r="AN365" s="211" t="str">
        <f aca="false">IF($A366="","",AL365-AM365)</f>
        <v/>
      </c>
      <c r="AO365" s="137" t="str">
        <f aca="false">IF(A366="","",A366-A365)</f>
        <v/>
      </c>
      <c r="AP365" s="212" t="str">
        <f aca="false">IF(A366="","",CHOOSE(F$3,A366+24,A365))</f>
        <v/>
      </c>
      <c r="AQ365" s="209" t="str">
        <f aca="false">IF(A366="","",AP365-$E$1)</f>
        <v/>
      </c>
      <c r="AR365" s="185" t="n">
        <f aca="false">'ANR OK vs ML7'!AR365</f>
        <v>0.1</v>
      </c>
      <c r="AS365" s="213" t="str">
        <f aca="false">IF(A366="","",1/(1+CHOOSE(F$3,(AR366+($I$3/10000))/2,(AR365+($I$3/10000))/2))^(2*AQ365/365.25))</f>
        <v/>
      </c>
      <c r="AT365" s="137" t="str">
        <f aca="false">IF(A366="","",IF(AND(mthbeg&lt;=A365,mthend&gt;=A365),1,0))</f>
        <v/>
      </c>
      <c r="AU365" s="137" t="str">
        <f aca="false">IF(A366="","",AO365*AT365)</f>
        <v/>
      </c>
      <c r="AW365" s="195" t="str">
        <f aca="false">IF($A366="","",AL365*$E365)</f>
        <v/>
      </c>
      <c r="AX365" s="195" t="str">
        <f aca="false">IF($A366="","",AM365*$E365)</f>
        <v/>
      </c>
      <c r="AY365" s="195" t="str">
        <f aca="false">IF($A366="","",AN365*$E365)</f>
        <v/>
      </c>
      <c r="BA365" s="195" t="str">
        <f aca="false">IF($A366="","",F365*Summary!$Q$13)</f>
        <v/>
      </c>
    </row>
    <row r="366" customFormat="false" ht="12" hidden="false" customHeight="true" outlineLevel="0" collapsed="false">
      <c r="A366" s="196" t="str">
        <f aca="false">IF(A365&lt;mthend,EDATE(A365,1),"")</f>
        <v/>
      </c>
      <c r="B366" s="197" t="str">
        <f aca="false">IF(A366&lt;mthend,B365,"")</f>
        <v/>
      </c>
      <c r="C366" s="215"/>
      <c r="D366" s="197" t="str">
        <f aca="false">IF(A367&lt;&gt;"",B366+C366,"")</f>
        <v/>
      </c>
      <c r="E366" s="199" t="str">
        <f aca="false">IF(A367="","",IF(AND(AT366=1,$H$3=1),D366*AO366,IF($H$3=2,D366,"N/A")))</f>
        <v/>
      </c>
      <c r="F366" s="199" t="str">
        <f aca="false">IF(A367="","",E366*AS366)</f>
        <v/>
      </c>
      <c r="G366" s="200" t="str">
        <f aca="false">IF($A367="","",VLOOKUP($A366,Table,MATCH(G$4,Curves,0)))</f>
        <v/>
      </c>
      <c r="H366" s="201" t="str">
        <f aca="false">IF(A367="","",G366)</f>
        <v/>
      </c>
      <c r="I366" s="202"/>
      <c r="J366" s="200" t="str">
        <f aca="false">IF($A367="","",VLOOKUP($A366,Table,MATCH(J$4,Curves,0)))</f>
        <v/>
      </c>
      <c r="K366" s="201" t="str">
        <f aca="false">IF(A367="","",J366)</f>
        <v/>
      </c>
      <c r="L366" s="185" t="n">
        <v>0</v>
      </c>
      <c r="M366" s="201" t="str">
        <f aca="false">IF(A367="","",L366)</f>
        <v/>
      </c>
      <c r="N366" s="203"/>
      <c r="O366" s="200" t="str">
        <f aca="false">IF(A367="","",L366+J366+G366)</f>
        <v/>
      </c>
      <c r="P366" s="200" t="str">
        <f aca="false">IF(A367="","",M366+K366+H366)</f>
        <v/>
      </c>
      <c r="Q366" s="204"/>
      <c r="R366" s="200" t="str">
        <f aca="false">IF($A367="","",VLOOKUP($A366,Table,MATCH(R$4,Curves,0)))</f>
        <v/>
      </c>
      <c r="S366" s="201" t="str">
        <f aca="false">IF(A367="","",R366)</f>
        <v/>
      </c>
      <c r="T366" s="185" t="n">
        <v>0</v>
      </c>
      <c r="U366" s="201" t="str">
        <f aca="false">IF(A367="","",T366)</f>
        <v/>
      </c>
      <c r="V366" s="205"/>
      <c r="W366" s="202" t="str">
        <f aca="false">IF($A367="","",(T366+R366+G366+V366))</f>
        <v/>
      </c>
      <c r="X366" s="202" t="str">
        <f aca="false">IF($A367="","",(U366+S366+H366+V366))</f>
        <v/>
      </c>
      <c r="Y366" s="202"/>
      <c r="Z366" s="185" t="str">
        <f aca="false">IF($A367="","",VLOOKUP($A366,Table,MATCH(Z$4,Curves,0)))</f>
        <v/>
      </c>
      <c r="AA366" s="185" t="str">
        <f aca="false">IF($A367="","",VLOOKUP($A366,Table,MATCH(AA$4,Curves,0)))</f>
        <v/>
      </c>
      <c r="AB366" s="185" t="e">
        <f aca="false">SQRT((AA366^2*(A366-$D$3)+Z366^2*(DAY(EOMONTH(A366,0))/2))/AK366)</f>
        <v>#VALUE!</v>
      </c>
      <c r="AC366" s="185" t="str">
        <f aca="false">IF($A367="","",VLOOKUP($A366,Table,MATCH(AC$4,Curves,0)))</f>
        <v/>
      </c>
      <c r="AD366" s="185" t="str">
        <f aca="false">IF($A367="","",VLOOKUP($A366,Table,MATCH(AD$4,Curves,0)))</f>
        <v/>
      </c>
      <c r="AE366" s="185" t="e">
        <f aca="false">SQRT((AD366^2*(A366-$D$3)+AC366^2*(DAY(EOMONTH(A366,0))/2))/AK366)</f>
        <v>#VALUE!</v>
      </c>
      <c r="AF366" s="224" t="e">
        <f aca="false">((Summary!$N$13*(AA366*AD366)*(A366-$D$3))+(Summary!$M$13*Z366*AC366*(AJ366-EOMONTH(EDATE(A366,-1),0))))/(AK366*AB366*AE366)</f>
        <v>#VALUE!</v>
      </c>
      <c r="AG366" s="207" t="str">
        <f aca="false">IF($A367="","",Summary!$Q$13)</f>
        <v/>
      </c>
      <c r="AH366" s="207" t="str">
        <f aca="false">IF($A367="","",IF(Summary!$R$12="Y",(VLOOKUP($A366,Summary!$AD$6:$AF$9,3)+'Escalating commodity'!I379),'Escalating commodity'!I379))</f>
        <v/>
      </c>
      <c r="AI366" s="207" t="str">
        <f aca="false">IF($A367="","",AH366)</f>
        <v/>
      </c>
      <c r="AJ366" s="208" t="e">
        <f aca="false">A366+DAY(EOMONTH(A366,0))/2-1</f>
        <v>#VALUE!</v>
      </c>
      <c r="AK366" s="209" t="str">
        <f aca="false">IF($A367="","",$A366-$E$1)</f>
        <v/>
      </c>
      <c r="AL366" s="182" t="str">
        <f aca="false">IF($A367="","",SPRDOPT(P366,X366,AI366,0,AB366,AE366,AF366,AK366,$AJ$2,0))</f>
        <v/>
      </c>
      <c r="AM366" s="210" t="str">
        <f aca="false">IF($A367="","",MAX(0,O366-W366-AI366))</f>
        <v/>
      </c>
      <c r="AN366" s="211" t="str">
        <f aca="false">IF($A367="","",AL366-AM366)</f>
        <v/>
      </c>
      <c r="AO366" s="137" t="str">
        <f aca="false">IF(A367="","",A367-A366)</f>
        <v/>
      </c>
      <c r="AP366" s="212" t="str">
        <f aca="false">IF(A367="","",CHOOSE(F$3,A367+24,A366))</f>
        <v/>
      </c>
      <c r="AQ366" s="209" t="str">
        <f aca="false">IF(A367="","",AP366-$E$1)</f>
        <v/>
      </c>
      <c r="AR366" s="185" t="n">
        <f aca="false">'ANR OK vs ML7'!AR366</f>
        <v>0.1</v>
      </c>
      <c r="AS366" s="213" t="str">
        <f aca="false">IF(A367="","",1/(1+CHOOSE(F$3,(AR367+($I$3/10000))/2,(AR366+($I$3/10000))/2))^(2*AQ366/365.25))</f>
        <v/>
      </c>
      <c r="AT366" s="137" t="str">
        <f aca="false">IF(A367="","",IF(AND(mthbeg&lt;=A366,mthend&gt;=A366),1,0))</f>
        <v/>
      </c>
      <c r="AU366" s="137" t="str">
        <f aca="false">IF(A367="","",AO366*AT366)</f>
        <v/>
      </c>
      <c r="AW366" s="195" t="str">
        <f aca="false">IF($A367="","",AL366*$E366)</f>
        <v/>
      </c>
      <c r="AX366" s="195" t="str">
        <f aca="false">IF($A367="","",AM366*$E366)</f>
        <v/>
      </c>
      <c r="AY366" s="195" t="str">
        <f aca="false">IF($A367="","",AN366*$E366)</f>
        <v/>
      </c>
      <c r="BA366" s="195" t="str">
        <f aca="false">IF($A367="","",F366*Summary!$Q$13)</f>
        <v/>
      </c>
    </row>
    <row r="367" customFormat="false" ht="12" hidden="false" customHeight="true" outlineLevel="0" collapsed="false">
      <c r="A367" s="196" t="str">
        <f aca="false">IF(A366&lt;mthend,EDATE(A366,1),"")</f>
        <v/>
      </c>
      <c r="B367" s="197" t="str">
        <f aca="false">IF(A367&lt;mthend,B366,"")</f>
        <v/>
      </c>
      <c r="C367" s="215"/>
      <c r="D367" s="197" t="str">
        <f aca="false">IF(A368&lt;&gt;"",B367+C367,"")</f>
        <v/>
      </c>
      <c r="E367" s="199" t="str">
        <f aca="false">IF(A368="","",IF(AND(AT367=1,$H$3=1),D367*AO367,IF($H$3=2,D367,"N/A")))</f>
        <v/>
      </c>
      <c r="F367" s="199" t="str">
        <f aca="false">IF(A368="","",E367*AS367)</f>
        <v/>
      </c>
      <c r="G367" s="200" t="str">
        <f aca="false">IF($A368="","",VLOOKUP($A367,Table,MATCH(G$4,Curves,0)))</f>
        <v/>
      </c>
      <c r="H367" s="201" t="str">
        <f aca="false">IF(A368="","",G367)</f>
        <v/>
      </c>
      <c r="I367" s="202"/>
      <c r="J367" s="200" t="str">
        <f aca="false">IF($A368="","",VLOOKUP($A367,Table,MATCH(J$4,Curves,0)))</f>
        <v/>
      </c>
      <c r="K367" s="201" t="str">
        <f aca="false">IF(A368="","",J367)</f>
        <v/>
      </c>
      <c r="L367" s="185" t="n">
        <v>0</v>
      </c>
      <c r="M367" s="201" t="str">
        <f aca="false">IF(A368="","",L367)</f>
        <v/>
      </c>
      <c r="N367" s="203"/>
      <c r="O367" s="200" t="str">
        <f aca="false">IF(A368="","",L367+J367+G367)</f>
        <v/>
      </c>
      <c r="P367" s="200" t="str">
        <f aca="false">IF(A368="","",M367+K367+H367)</f>
        <v/>
      </c>
      <c r="Q367" s="204"/>
      <c r="R367" s="200" t="str">
        <f aca="false">IF($A368="","",VLOOKUP($A367,Table,MATCH(R$4,Curves,0)))</f>
        <v/>
      </c>
      <c r="S367" s="201" t="str">
        <f aca="false">IF(A368="","",R367)</f>
        <v/>
      </c>
      <c r="T367" s="185" t="n">
        <v>0</v>
      </c>
      <c r="U367" s="201" t="str">
        <f aca="false">IF(A368="","",T367)</f>
        <v/>
      </c>
      <c r="V367" s="205"/>
      <c r="W367" s="202" t="str">
        <f aca="false">IF($A368="","",(T367+R367+G367+V367))</f>
        <v/>
      </c>
      <c r="X367" s="202" t="str">
        <f aca="false">IF($A368="","",(U367+S367+H367+V367))</f>
        <v/>
      </c>
      <c r="Y367" s="202"/>
      <c r="Z367" s="185" t="str">
        <f aca="false">IF($A368="","",VLOOKUP($A367,Table,MATCH(Z$4,Curves,0)))</f>
        <v/>
      </c>
      <c r="AA367" s="185" t="str">
        <f aca="false">IF($A368="","",VLOOKUP($A367,Table,MATCH(AA$4,Curves,0)))</f>
        <v/>
      </c>
      <c r="AB367" s="185" t="e">
        <f aca="false">SQRT((AA367^2*(A367-$D$3)+Z367^2*(DAY(EOMONTH(A367,0))/2))/AK367)</f>
        <v>#VALUE!</v>
      </c>
      <c r="AC367" s="185" t="str">
        <f aca="false">IF($A368="","",VLOOKUP($A367,Table,MATCH(AC$4,Curves,0)))</f>
        <v/>
      </c>
      <c r="AD367" s="185" t="str">
        <f aca="false">IF($A368="","",VLOOKUP($A367,Table,MATCH(AD$4,Curves,0)))</f>
        <v/>
      </c>
      <c r="AE367" s="185" t="e">
        <f aca="false">SQRT((AD367^2*(A367-$D$3)+AC367^2*(DAY(EOMONTH(A367,0))/2))/AK367)</f>
        <v>#VALUE!</v>
      </c>
      <c r="AF367" s="224" t="e">
        <f aca="false">((Summary!$N$13*(AA367*AD367)*(A367-$D$3))+(Summary!$M$13*Z367*AC367*(AJ367-EOMONTH(EDATE(A367,-1),0))))/(AK367*AB367*AE367)</f>
        <v>#VALUE!</v>
      </c>
      <c r="AG367" s="207" t="str">
        <f aca="false">IF($A368="","",Summary!$Q$13)</f>
        <v/>
      </c>
      <c r="AH367" s="207" t="str">
        <f aca="false">IF($A368="","",IF(Summary!$R$12="Y",(VLOOKUP($A367,Summary!$AD$6:$AF$9,3)+'Escalating commodity'!I380),'Escalating commodity'!I380))</f>
        <v/>
      </c>
      <c r="AI367" s="207" t="str">
        <f aca="false">IF($A368="","",AH367)</f>
        <v/>
      </c>
      <c r="AJ367" s="208" t="e">
        <f aca="false">A367+DAY(EOMONTH(A367,0))/2-1</f>
        <v>#VALUE!</v>
      </c>
      <c r="AK367" s="209" t="str">
        <f aca="false">IF($A368="","",$A367-$E$1)</f>
        <v/>
      </c>
      <c r="AL367" s="182" t="str">
        <f aca="false">IF($A368="","",SPRDOPT(P367,X367,AI367,0,AB367,AE367,AF367,AK367,$AJ$2,0))</f>
        <v/>
      </c>
      <c r="AM367" s="210" t="str">
        <f aca="false">IF($A368="","",MAX(0,O367-W367-AI367))</f>
        <v/>
      </c>
      <c r="AN367" s="211" t="str">
        <f aca="false">IF($A368="","",AL367-AM367)</f>
        <v/>
      </c>
      <c r="AO367" s="137" t="str">
        <f aca="false">IF(A368="","",A368-A367)</f>
        <v/>
      </c>
      <c r="AP367" s="212" t="str">
        <f aca="false">IF(A368="","",CHOOSE(F$3,A368+24,A367))</f>
        <v/>
      </c>
      <c r="AQ367" s="209" t="str">
        <f aca="false">IF(A368="","",AP367-$E$1)</f>
        <v/>
      </c>
      <c r="AR367" s="185" t="n">
        <f aca="false">'ANR OK vs ML7'!AR367</f>
        <v>0.1</v>
      </c>
      <c r="AS367" s="213" t="str">
        <f aca="false">IF(A368="","",1/(1+CHOOSE(F$3,(AR368+($I$3/10000))/2,(AR367+($I$3/10000))/2))^(2*AQ367/365.25))</f>
        <v/>
      </c>
      <c r="AT367" s="137" t="str">
        <f aca="false">IF(A368="","",IF(AND(mthbeg&lt;=A367,mthend&gt;=A367),1,0))</f>
        <v/>
      </c>
      <c r="AU367" s="137" t="str">
        <f aca="false">IF(A368="","",AO367*AT367)</f>
        <v/>
      </c>
      <c r="AW367" s="195" t="str">
        <f aca="false">IF($A368="","",AL367*$E367)</f>
        <v/>
      </c>
      <c r="AX367" s="195" t="str">
        <f aca="false">IF($A368="","",AM367*$E367)</f>
        <v/>
      </c>
      <c r="AY367" s="195" t="str">
        <f aca="false">IF($A368="","",AN367*$E367)</f>
        <v/>
      </c>
      <c r="BA367" s="195" t="str">
        <f aca="false">IF($A368="","",F367*Summary!$Q$13)</f>
        <v/>
      </c>
    </row>
    <row r="368" customFormat="false" ht="12" hidden="false" customHeight="true" outlineLevel="0" collapsed="false">
      <c r="A368" s="196" t="str">
        <f aca="false">IF(A367&lt;mthend,EDATE(A367,1),"")</f>
        <v/>
      </c>
      <c r="B368" s="197" t="str">
        <f aca="false">IF(A368&lt;mthend,B367,"")</f>
        <v/>
      </c>
      <c r="C368" s="215"/>
      <c r="D368" s="197" t="str">
        <f aca="false">IF(A369&lt;&gt;"",B368+C368,"")</f>
        <v/>
      </c>
      <c r="E368" s="199" t="str">
        <f aca="false">IF(A369="","",IF(AND(AT368=1,$H$3=1),D368*AO368,IF($H$3=2,D368,"N/A")))</f>
        <v/>
      </c>
      <c r="F368" s="199" t="str">
        <f aca="false">IF(A369="","",E368*AS368)</f>
        <v/>
      </c>
      <c r="G368" s="200" t="str">
        <f aca="false">IF($A369="","",VLOOKUP($A368,Table,MATCH(G$4,Curves,0)))</f>
        <v/>
      </c>
      <c r="H368" s="201" t="str">
        <f aca="false">IF(A369="","",G368)</f>
        <v/>
      </c>
      <c r="I368" s="202"/>
      <c r="J368" s="200" t="str">
        <f aca="false">IF($A369="","",VLOOKUP($A368,Table,MATCH(J$4,Curves,0)))</f>
        <v/>
      </c>
      <c r="K368" s="201" t="str">
        <f aca="false">IF(A369="","",J368)</f>
        <v/>
      </c>
      <c r="L368" s="185" t="n">
        <v>0</v>
      </c>
      <c r="M368" s="201" t="str">
        <f aca="false">IF(A369="","",L368)</f>
        <v/>
      </c>
      <c r="N368" s="203"/>
      <c r="O368" s="200" t="str">
        <f aca="false">IF(A369="","",L368+J368+G368)</f>
        <v/>
      </c>
      <c r="P368" s="200" t="str">
        <f aca="false">IF(A369="","",M368+K368+H368)</f>
        <v/>
      </c>
      <c r="Q368" s="204"/>
      <c r="R368" s="200" t="str">
        <f aca="false">IF($A369="","",VLOOKUP($A368,Table,MATCH(R$4,Curves,0)))</f>
        <v/>
      </c>
      <c r="S368" s="201" t="str">
        <f aca="false">IF(A369="","",R368)</f>
        <v/>
      </c>
      <c r="T368" s="185" t="n">
        <v>0</v>
      </c>
      <c r="U368" s="201" t="str">
        <f aca="false">IF(A369="","",T368)</f>
        <v/>
      </c>
      <c r="V368" s="205"/>
      <c r="W368" s="202" t="str">
        <f aca="false">IF($A369="","",(T368+R368+G368+V368))</f>
        <v/>
      </c>
      <c r="X368" s="202" t="str">
        <f aca="false">IF($A369="","",(U368+S368+H368+V368))</f>
        <v/>
      </c>
      <c r="Y368" s="202"/>
      <c r="Z368" s="185" t="str">
        <f aca="false">IF($A369="","",VLOOKUP($A368,Table,MATCH(Z$4,Curves,0)))</f>
        <v/>
      </c>
      <c r="AA368" s="185" t="str">
        <f aca="false">IF($A369="","",VLOOKUP($A368,Table,MATCH(AA$4,Curves,0)))</f>
        <v/>
      </c>
      <c r="AB368" s="185" t="e">
        <f aca="false">SQRT((AA368^2*(A368-$D$3)+Z368^2*(DAY(EOMONTH(A368,0))/2))/AK368)</f>
        <v>#VALUE!</v>
      </c>
      <c r="AC368" s="185" t="str">
        <f aca="false">IF($A369="","",VLOOKUP($A368,Table,MATCH(AC$4,Curves,0)))</f>
        <v/>
      </c>
      <c r="AD368" s="185" t="str">
        <f aca="false">IF($A369="","",VLOOKUP($A368,Table,MATCH(AD$4,Curves,0)))</f>
        <v/>
      </c>
      <c r="AE368" s="185" t="e">
        <f aca="false">SQRT((AD368^2*(A368-$D$3)+AC368^2*(DAY(EOMONTH(A368,0))/2))/AK368)</f>
        <v>#VALUE!</v>
      </c>
      <c r="AF368" s="224" t="e">
        <f aca="false">((Summary!$N$13*(AA368*AD368)*(A368-$D$3))+(Summary!$M$13*Z368*AC368*(AJ368-EOMONTH(EDATE(A368,-1),0))))/(AK368*AB368*AE368)</f>
        <v>#VALUE!</v>
      </c>
      <c r="AG368" s="207" t="str">
        <f aca="false">IF($A369="","",Summary!$Q$13)</f>
        <v/>
      </c>
      <c r="AH368" s="207" t="str">
        <f aca="false">IF($A369="","",IF(Summary!$R$12="Y",(VLOOKUP($A368,Summary!$AD$6:$AF$9,3)+'Escalating commodity'!I381),'Escalating commodity'!I381))</f>
        <v/>
      </c>
      <c r="AI368" s="207" t="str">
        <f aca="false">IF($A369="","",AH368)</f>
        <v/>
      </c>
      <c r="AJ368" s="208" t="e">
        <f aca="false">A368+DAY(EOMONTH(A368,0))/2-1</f>
        <v>#VALUE!</v>
      </c>
      <c r="AK368" s="209" t="str">
        <f aca="false">IF($A369="","",$A368-$E$1)</f>
        <v/>
      </c>
      <c r="AL368" s="182" t="str">
        <f aca="false">IF($A369="","",SPRDOPT(P368,X368,AI368,0,AB368,AE368,AF368,AK368,$AJ$2,0))</f>
        <v/>
      </c>
      <c r="AM368" s="210" t="str">
        <f aca="false">IF($A369="","",MAX(0,O368-W368-AI368))</f>
        <v/>
      </c>
      <c r="AN368" s="211" t="str">
        <f aca="false">IF($A369="","",AL368-AM368)</f>
        <v/>
      </c>
      <c r="AO368" s="137" t="str">
        <f aca="false">IF(A369="","",A369-A368)</f>
        <v/>
      </c>
      <c r="AP368" s="212" t="str">
        <f aca="false">IF(A369="","",CHOOSE(F$3,A369+24,A368))</f>
        <v/>
      </c>
      <c r="AQ368" s="209" t="str">
        <f aca="false">IF(A369="","",AP368-$E$1)</f>
        <v/>
      </c>
      <c r="AR368" s="185" t="n">
        <f aca="false">'ANR OK vs ML7'!AR368</f>
        <v>0.1</v>
      </c>
      <c r="AS368" s="213" t="str">
        <f aca="false">IF(A369="","",1/(1+CHOOSE(F$3,(AR369+($I$3/10000))/2,(AR368+($I$3/10000))/2))^(2*AQ368/365.25))</f>
        <v/>
      </c>
      <c r="AT368" s="137" t="str">
        <f aca="false">IF(A369="","",IF(AND(mthbeg&lt;=A368,mthend&gt;=A368),1,0))</f>
        <v/>
      </c>
      <c r="AU368" s="137" t="str">
        <f aca="false">IF(A369="","",AO368*AT368)</f>
        <v/>
      </c>
      <c r="AW368" s="195" t="str">
        <f aca="false">IF($A369="","",AL368*$E368)</f>
        <v/>
      </c>
      <c r="AX368" s="195" t="str">
        <f aca="false">IF($A369="","",AM368*$E368)</f>
        <v/>
      </c>
      <c r="AY368" s="195" t="str">
        <f aca="false">IF($A369="","",AN368*$E368)</f>
        <v/>
      </c>
      <c r="BA368" s="195" t="str">
        <f aca="false">IF($A369="","",F368*Summary!$Q$13)</f>
        <v/>
      </c>
    </row>
    <row r="369" customFormat="false" ht="12" hidden="false" customHeight="true" outlineLevel="0" collapsed="false">
      <c r="A369" s="196" t="str">
        <f aca="false">IF(A368&lt;mthend,EDATE(A368,1),"")</f>
        <v/>
      </c>
      <c r="B369" s="197" t="str">
        <f aca="false">IF(A369&lt;mthend,B368,"")</f>
        <v/>
      </c>
      <c r="C369" s="215"/>
      <c r="D369" s="197" t="str">
        <f aca="false">IF(A370&lt;&gt;"",B369+C369,"")</f>
        <v/>
      </c>
      <c r="E369" s="199" t="str">
        <f aca="false">IF(A370="","",IF(AND(AT369=1,$H$3=1),D369*AO369,IF($H$3=2,D369,"N/A")))</f>
        <v/>
      </c>
      <c r="F369" s="199" t="str">
        <f aca="false">IF(A370="","",E369*AS369)</f>
        <v/>
      </c>
      <c r="G369" s="200" t="str">
        <f aca="false">IF($A370="","",VLOOKUP($A369,Table,MATCH(G$4,Curves,0)))</f>
        <v/>
      </c>
      <c r="H369" s="201" t="str">
        <f aca="false">IF(A370="","",G369)</f>
        <v/>
      </c>
      <c r="I369" s="202"/>
      <c r="J369" s="200" t="str">
        <f aca="false">IF($A370="","",VLOOKUP($A369,Table,MATCH(J$4,Curves,0)))</f>
        <v/>
      </c>
      <c r="K369" s="201" t="str">
        <f aca="false">IF(A370="","",J369)</f>
        <v/>
      </c>
      <c r="L369" s="185" t="n">
        <v>0</v>
      </c>
      <c r="M369" s="201" t="str">
        <f aca="false">IF(A370="","",L369)</f>
        <v/>
      </c>
      <c r="N369" s="203"/>
      <c r="O369" s="200" t="str">
        <f aca="false">IF(A370="","",L369+J369+G369)</f>
        <v/>
      </c>
      <c r="P369" s="200" t="str">
        <f aca="false">IF(A370="","",M369+K369+H369)</f>
        <v/>
      </c>
      <c r="Q369" s="204"/>
      <c r="R369" s="200" t="str">
        <f aca="false">IF($A370="","",VLOOKUP($A369,Table,MATCH(R$4,Curves,0)))</f>
        <v/>
      </c>
      <c r="S369" s="201" t="str">
        <f aca="false">IF(A370="","",R369)</f>
        <v/>
      </c>
      <c r="T369" s="185" t="n">
        <v>0</v>
      </c>
      <c r="U369" s="201" t="str">
        <f aca="false">IF(A370="","",T369)</f>
        <v/>
      </c>
      <c r="V369" s="205"/>
      <c r="W369" s="202" t="str">
        <f aca="false">IF($A370="","",(T369+R369+G369+V369))</f>
        <v/>
      </c>
      <c r="X369" s="202" t="str">
        <f aca="false">IF($A370="","",(U369+S369+H369+V369))</f>
        <v/>
      </c>
      <c r="Y369" s="202"/>
      <c r="Z369" s="185" t="str">
        <f aca="false">IF($A370="","",VLOOKUP($A369,Table,MATCH(Z$4,Curves,0)))</f>
        <v/>
      </c>
      <c r="AA369" s="185" t="str">
        <f aca="false">IF($A370="","",VLOOKUP($A369,Table,MATCH(AA$4,Curves,0)))</f>
        <v/>
      </c>
      <c r="AB369" s="185" t="e">
        <f aca="false">SQRT((AA369^2*(A369-$D$3)+Z369^2*(DAY(EOMONTH(A369,0))/2))/AK369)</f>
        <v>#VALUE!</v>
      </c>
      <c r="AC369" s="185" t="str">
        <f aca="false">IF($A370="","",VLOOKUP($A369,Table,MATCH(AC$4,Curves,0)))</f>
        <v/>
      </c>
      <c r="AD369" s="185" t="str">
        <f aca="false">IF($A370="","",VLOOKUP($A369,Table,MATCH(AD$4,Curves,0)))</f>
        <v/>
      </c>
      <c r="AE369" s="185" t="e">
        <f aca="false">SQRT((AD369^2*(A369-$D$3)+AC369^2*(DAY(EOMONTH(A369,0))/2))/AK369)</f>
        <v>#VALUE!</v>
      </c>
      <c r="AF369" s="224" t="e">
        <f aca="false">((Summary!$N$13*(AA369*AD369)*(A369-$D$3))+(Summary!$M$13*Z369*AC369*(AJ369-EOMONTH(EDATE(A369,-1),0))))/(AK369*AB369*AE369)</f>
        <v>#VALUE!</v>
      </c>
      <c r="AG369" s="207" t="str">
        <f aca="false">IF($A370="","",Summary!$Q$13)</f>
        <v/>
      </c>
      <c r="AH369" s="207" t="str">
        <f aca="false">IF($A370="","",IF(Summary!$R$12="Y",(VLOOKUP($A369,Summary!$AD$6:$AF$9,3)+'Escalating commodity'!I382),'Escalating commodity'!I382))</f>
        <v/>
      </c>
      <c r="AI369" s="207" t="str">
        <f aca="false">IF($A370="","",AH369)</f>
        <v/>
      </c>
      <c r="AJ369" s="208" t="e">
        <f aca="false">A369+DAY(EOMONTH(A369,0))/2-1</f>
        <v>#VALUE!</v>
      </c>
      <c r="AK369" s="209" t="str">
        <f aca="false">IF($A370="","",$A369-$E$1)</f>
        <v/>
      </c>
      <c r="AL369" s="182" t="str">
        <f aca="false">IF($A370="","",SPRDOPT(P369,X369,AI369,0,AB369,AE369,AF369,AK369,$AJ$2,0))</f>
        <v/>
      </c>
      <c r="AM369" s="210" t="str">
        <f aca="false">IF($A370="","",MAX(0,O369-W369-AI369))</f>
        <v/>
      </c>
      <c r="AN369" s="211" t="str">
        <f aca="false">IF($A370="","",AL369-AM369)</f>
        <v/>
      </c>
      <c r="AO369" s="137" t="str">
        <f aca="false">IF(A370="","",A370-A369)</f>
        <v/>
      </c>
      <c r="AP369" s="212" t="str">
        <f aca="false">IF(A370="","",CHOOSE(F$3,A370+24,A369))</f>
        <v/>
      </c>
      <c r="AQ369" s="209" t="str">
        <f aca="false">IF(A370="","",AP369-$E$1)</f>
        <v/>
      </c>
      <c r="AR369" s="185" t="n">
        <f aca="false">'ANR OK vs ML7'!AR369</f>
        <v>0.1</v>
      </c>
      <c r="AS369" s="213" t="str">
        <f aca="false">IF(A370="","",1/(1+CHOOSE(F$3,(AR370+($I$3/10000))/2,(AR369+($I$3/10000))/2))^(2*AQ369/365.25))</f>
        <v/>
      </c>
      <c r="AT369" s="137" t="str">
        <f aca="false">IF(A370="","",IF(AND(mthbeg&lt;=A369,mthend&gt;=A369),1,0))</f>
        <v/>
      </c>
      <c r="AU369" s="137" t="str">
        <f aca="false">IF(A370="","",AO369*AT369)</f>
        <v/>
      </c>
      <c r="AW369" s="195" t="str">
        <f aca="false">IF($A370="","",AL369*$E369)</f>
        <v/>
      </c>
      <c r="AX369" s="195" t="str">
        <f aca="false">IF($A370="","",AM369*$E369)</f>
        <v/>
      </c>
      <c r="AY369" s="195" t="str">
        <f aca="false">IF($A370="","",AN369*$E369)</f>
        <v/>
      </c>
      <c r="BA369" s="195" t="str">
        <f aca="false">IF($A370="","",F369*Summary!$Q$13)</f>
        <v/>
      </c>
    </row>
    <row r="370" customFormat="false" ht="12.75" hidden="false" customHeight="false" outlineLevel="0" collapsed="false">
      <c r="A370" s="196" t="str">
        <f aca="false">IF(A369&lt;mthend,EDATE(A369,1),"")</f>
        <v/>
      </c>
      <c r="B370" s="197" t="str">
        <f aca="false">IF(A370&lt;mthend,B369,"")</f>
        <v/>
      </c>
      <c r="C370" s="216"/>
      <c r="D370" s="197" t="str">
        <f aca="false">IF(A371&lt;&gt;"",B370+C370,"")</f>
        <v/>
      </c>
      <c r="E370" s="199" t="str">
        <f aca="false">IF(A371="","",IF(AND(AT370=1,$H$3=1),D370*AO370,IF($H$3=2,D370,"N/A")))</f>
        <v/>
      </c>
      <c r="F370" s="199" t="str">
        <f aca="false">IF(A371="","",E370*AS370)</f>
        <v/>
      </c>
      <c r="G370" s="200" t="str">
        <f aca="false">IF($A371="","",VLOOKUP($A370,Table,MATCH(G$4,Curves,0)))</f>
        <v/>
      </c>
      <c r="H370" s="201" t="str">
        <f aca="false">IF(A371="","",G370)</f>
        <v/>
      </c>
      <c r="J370" s="200" t="str">
        <f aca="false">IF($A371="","",VLOOKUP($A370,Table,MATCH(J$4,Curves,0)))</f>
        <v/>
      </c>
      <c r="K370" s="201" t="str">
        <f aca="false">IF(A371="","",J370)</f>
        <v/>
      </c>
      <c r="L370" s="185" t="n">
        <v>0</v>
      </c>
      <c r="M370" s="201" t="str">
        <f aca="false">IF(A371="","",L370)</f>
        <v/>
      </c>
      <c r="O370" s="200" t="str">
        <f aca="false">IF(A371="","",L370+J370+G370)</f>
        <v/>
      </c>
      <c r="P370" s="200" t="str">
        <f aca="false">IF(A371="","",M370+K370+H370)</f>
        <v/>
      </c>
      <c r="R370" s="200" t="str">
        <f aca="false">IF($A371="","",VLOOKUP($A370,Table,MATCH(R$4,Curves,0)))</f>
        <v/>
      </c>
      <c r="S370" s="201" t="str">
        <f aca="false">IF(A371="","",R370)</f>
        <v/>
      </c>
      <c r="T370" s="185" t="n">
        <v>0</v>
      </c>
      <c r="U370" s="201" t="str">
        <f aca="false">IF(A371="","",T370)</f>
        <v/>
      </c>
      <c r="V370" s="205"/>
      <c r="W370" s="202" t="str">
        <f aca="false">IF($A371="","",(T370+R370+G370+V370))</f>
        <v/>
      </c>
      <c r="X370" s="202" t="str">
        <f aca="false">IF($A371="","",(U370+S370+H370+V370))</f>
        <v/>
      </c>
      <c r="Y370" s="202"/>
      <c r="Z370" s="185"/>
      <c r="AA370" s="21"/>
      <c r="AB370" s="21"/>
      <c r="AC370" s="21"/>
      <c r="AD370" s="21"/>
      <c r="AE370" s="21"/>
      <c r="AF370" s="21"/>
      <c r="AG370" s="182"/>
      <c r="AH370" s="182"/>
      <c r="AI370" s="182"/>
      <c r="AO370" s="137" t="str">
        <f aca="false">IF(A371="","",A371-A370)</f>
        <v/>
      </c>
      <c r="AP370" s="212" t="str">
        <f aca="false">IF(A371="","",CHOOSE(F$3,A371+24,A370))</f>
        <v/>
      </c>
      <c r="AQ370" s="209" t="str">
        <f aca="false">IF(A371="","",AP370-$E$1)</f>
        <v/>
      </c>
      <c r="AR370" s="185" t="n">
        <f aca="false">'ANR OK vs ML7'!AR370</f>
        <v>0.1</v>
      </c>
      <c r="AS370" s="213" t="str">
        <f aca="false">IF(A371="","",1/(1+CHOOSE(F$3,(AR371+($I$3/10000))/2,(AR370+($I$3/10000))/2))^(2*AQ370/365.25))</f>
        <v/>
      </c>
      <c r="AT370" s="137" t="str">
        <f aca="false">IF(A371="","",IF(AND(mthbeg&lt;=A370,mthend&gt;=A370),1,0))</f>
        <v/>
      </c>
      <c r="AU370" s="137" t="str">
        <f aca="false">IF(A371="","",AO370*AT370)</f>
        <v/>
      </c>
      <c r="AW370" s="195" t="str">
        <f aca="false">IF($A371="","",AL370*$E370)</f>
        <v/>
      </c>
      <c r="AX370" s="195" t="str">
        <f aca="false">IF($A371="","",AM370*$E370)</f>
        <v/>
      </c>
      <c r="AY370" s="195" t="str">
        <f aca="false">IF($A371="","",AN370*$E370)</f>
        <v/>
      </c>
      <c r="BA370" s="195" t="str">
        <f aca="false">IF($A371="","",F370*Summary!$Q$13)</f>
        <v/>
      </c>
    </row>
    <row r="371" customFormat="false" ht="12.75" hidden="false" customHeight="false" outlineLevel="0" collapsed="false">
      <c r="A371" s="196" t="str">
        <f aca="false">IF(A370&lt;mthend,EDATE(A370,1),"")</f>
        <v/>
      </c>
      <c r="B371" s="197" t="str">
        <f aca="false">IF(A371&lt;mthend,B370,"")</f>
        <v/>
      </c>
      <c r="D371" s="197" t="str">
        <f aca="false">IF(A372&lt;&gt;"",B371+C371,"")</f>
        <v/>
      </c>
      <c r="E371" s="199" t="str">
        <f aca="false">IF(A372="","",IF(AND(AT371=1,$H$3=1),D371*AO371,IF($H$3=2,D371,"N/A")))</f>
        <v/>
      </c>
      <c r="F371" s="199" t="str">
        <f aca="false">IF(A372="","",E371*AS371)</f>
        <v/>
      </c>
      <c r="G371" s="200" t="str">
        <f aca="false">IF($A372="","",VLOOKUP($A371,Table,MATCH(G$4,Curves,0)))</f>
        <v/>
      </c>
      <c r="H371" s="201" t="str">
        <f aca="false">IF(A372="","",G371)</f>
        <v/>
      </c>
      <c r="J371" s="200" t="str">
        <f aca="false">IF($A372="","",VLOOKUP($A371,Table,MATCH(J$4,Curves,0)))</f>
        <v/>
      </c>
      <c r="K371" s="201" t="str">
        <f aca="false">IF(A372="","",J371)</f>
        <v/>
      </c>
      <c r="L371" s="185" t="n">
        <v>0</v>
      </c>
      <c r="M371" s="201" t="str">
        <f aca="false">IF(A372="","",L371)</f>
        <v/>
      </c>
      <c r="O371" s="200" t="str">
        <f aca="false">IF(A372="","",L371+J371+G371)</f>
        <v/>
      </c>
      <c r="P371" s="200" t="str">
        <f aca="false">IF(A372="","",M371+K371+H371)</f>
        <v/>
      </c>
      <c r="R371" s="200" t="str">
        <f aca="false">IF($A372="","",VLOOKUP($A371,Table,MATCH(R$4,Curves,0)))</f>
        <v/>
      </c>
      <c r="S371" s="201" t="str">
        <f aca="false">IF(A372="","",R371)</f>
        <v/>
      </c>
      <c r="T371" s="185" t="n">
        <v>0</v>
      </c>
      <c r="U371" s="201" t="str">
        <f aca="false">IF(A372="","",T371)</f>
        <v/>
      </c>
      <c r="V371" s="205"/>
      <c r="W371" s="202" t="str">
        <f aca="false">IF($A372="","",(T371+R371+G371+V371))</f>
        <v/>
      </c>
      <c r="X371" s="202" t="str">
        <f aca="false">IF($A372="","",(U371+S371+H371+V371))</f>
        <v/>
      </c>
      <c r="Y371" s="202"/>
      <c r="Z371" s="185"/>
      <c r="AG371" s="182"/>
      <c r="AH371" s="182"/>
      <c r="AI371" s="182"/>
      <c r="AJ371" s="217"/>
      <c r="AK371" s="217"/>
      <c r="AL371" s="217"/>
      <c r="AM371" s="217"/>
      <c r="AN371" s="217"/>
      <c r="AO371" s="137" t="str">
        <f aca="false">IF(A372="","",A372-A371)</f>
        <v/>
      </c>
      <c r="AP371" s="212" t="str">
        <f aca="false">IF(A372="","",CHOOSE(F$3,A372+24,A371))</f>
        <v/>
      </c>
      <c r="AQ371" s="209" t="str">
        <f aca="false">IF(A372="","",AP371-$E$1)</f>
        <v/>
      </c>
      <c r="AR371" s="185" t="n">
        <f aca="false">'ANR OK vs ML7'!AR371</f>
        <v>0.1</v>
      </c>
      <c r="AS371" s="213" t="str">
        <f aca="false">IF(A372="","",1/(1+CHOOSE(F$3,(AR372+($I$3/10000))/2,(AR371+($I$3/10000))/2))^(2*AQ371/365.25))</f>
        <v/>
      </c>
      <c r="AT371" s="137" t="str">
        <f aca="false">IF(A372="","",IF(AND(mthbeg&lt;=A371,mthend&gt;=A371),1,0))</f>
        <v/>
      </c>
      <c r="AU371" s="137" t="str">
        <f aca="false">IF(A372="","",AO371*AT371)</f>
        <v/>
      </c>
      <c r="AW371" s="195" t="str">
        <f aca="false">IF($A372="","",AL371*$E371)</f>
        <v/>
      </c>
      <c r="AX371" s="195" t="str">
        <f aca="false">IF($A372="","",AM371*$E371)</f>
        <v/>
      </c>
      <c r="AY371" s="195" t="str">
        <f aca="false">IF($A372="","",AN371*$E371)</f>
        <v/>
      </c>
      <c r="BA371" s="195" t="str">
        <f aca="false">IF($A372="","",F371*Summary!$Q$13)</f>
        <v/>
      </c>
    </row>
    <row r="372" customFormat="false" ht="12.75" hidden="false" customHeight="false" outlineLevel="0" collapsed="false">
      <c r="A372" s="196" t="str">
        <f aca="false">IF(A371&lt;mthend,EDATE(A371,1),"")</f>
        <v/>
      </c>
      <c r="B372" s="197" t="str">
        <f aca="false">IF(A372&lt;mthend,B371,"")</f>
        <v/>
      </c>
      <c r="D372" s="197" t="str">
        <f aca="false">IF(A373&lt;&gt;"",B372+C372,"")</f>
        <v/>
      </c>
      <c r="E372" s="199" t="str">
        <f aca="false">IF(A373="","",IF(AND(AT372=1,$H$3=1),D372*AO372,IF($H$3=2,D372,"N/A")))</f>
        <v/>
      </c>
      <c r="F372" s="199" t="str">
        <f aca="false">IF(A373="","",E372*AS372)</f>
        <v/>
      </c>
      <c r="G372" s="200" t="str">
        <f aca="false">IF($A373="","",VLOOKUP($A372,Table,MATCH(G$4,Curves,0)))</f>
        <v/>
      </c>
      <c r="H372" s="201" t="str">
        <f aca="false">IF(A373="","",G372)</f>
        <v/>
      </c>
      <c r="J372" s="200" t="str">
        <f aca="false">IF($A373="","",VLOOKUP($A372,Table,MATCH(J$4,Curves,0)))</f>
        <v/>
      </c>
      <c r="K372" s="201" t="str">
        <f aca="false">IF(A373="","",J372)</f>
        <v/>
      </c>
      <c r="L372" s="185" t="n">
        <v>0</v>
      </c>
      <c r="M372" s="201" t="str">
        <f aca="false">IF(A373="","",L372)</f>
        <v/>
      </c>
      <c r="O372" s="200" t="str">
        <f aca="false">IF(A373="","",L372+J372+G372)</f>
        <v/>
      </c>
      <c r="P372" s="200" t="str">
        <f aca="false">IF(A373="","",M372+K372+H372)</f>
        <v/>
      </c>
      <c r="R372" s="200" t="str">
        <f aca="false">IF($A373="","",VLOOKUP($A372,Table,MATCH(R$4,Curves,0)))</f>
        <v/>
      </c>
      <c r="S372" s="201" t="str">
        <f aca="false">IF(A373="","",R372)</f>
        <v/>
      </c>
      <c r="T372" s="185" t="n">
        <v>0</v>
      </c>
      <c r="U372" s="201" t="str">
        <f aca="false">IF(A373="","",T372)</f>
        <v/>
      </c>
      <c r="V372" s="205"/>
      <c r="W372" s="202" t="str">
        <f aca="false">IF($A373="","",(T372+R372+G372+V372))</f>
        <v/>
      </c>
      <c r="X372" s="202" t="str">
        <f aca="false">IF($A373="","",(U372+S372+H372+V372))</f>
        <v/>
      </c>
      <c r="Y372" s="202"/>
      <c r="Z372" s="185"/>
      <c r="AG372" s="182"/>
      <c r="AH372" s="182"/>
      <c r="AI372" s="182"/>
      <c r="AJ372" s="218"/>
      <c r="AK372" s="218"/>
      <c r="AL372" s="218"/>
      <c r="AM372" s="218"/>
      <c r="AN372" s="218"/>
      <c r="AO372" s="137" t="str">
        <f aca="false">IF(A373="","",A373-A372)</f>
        <v/>
      </c>
      <c r="AP372" s="212" t="str">
        <f aca="false">IF(A373="","",CHOOSE(F$3,A373+24,A372))</f>
        <v/>
      </c>
      <c r="AQ372" s="209" t="str">
        <f aca="false">IF(A373="","",AP372-$E$1)</f>
        <v/>
      </c>
      <c r="AR372" s="185" t="n">
        <f aca="false">'ANR OK vs ML7'!AR372</f>
        <v>0.1</v>
      </c>
      <c r="AS372" s="213" t="str">
        <f aca="false">IF(A373="","",1/(1+CHOOSE(F$3,(AR373+($I$3/10000))/2,(AR372+($I$3/10000))/2))^(2*AQ372/365.25))</f>
        <v/>
      </c>
      <c r="AT372" s="137" t="str">
        <f aca="false">IF(A373="","",IF(AND(mthbeg&lt;=A372,mthend&gt;=A372),1,0))</f>
        <v/>
      </c>
      <c r="AU372" s="137" t="str">
        <f aca="false">IF(A373="","",AO372*AT372)</f>
        <v/>
      </c>
      <c r="AW372" s="195" t="str">
        <f aca="false">IF($A373="","",AL372*$E372)</f>
        <v/>
      </c>
      <c r="AX372" s="195" t="str">
        <f aca="false">IF($A373="","",AM372*$E372)</f>
        <v/>
      </c>
      <c r="AY372" s="195" t="str">
        <f aca="false">IF($A373="","",AN372*$E372)</f>
        <v/>
      </c>
      <c r="BA372" s="195" t="str">
        <f aca="false">IF($A373="","",F372*Summary!$Q$13)</f>
        <v/>
      </c>
    </row>
    <row r="373" customFormat="false" ht="12.75" hidden="false" customHeight="false" outlineLevel="0" collapsed="false">
      <c r="A373" s="196" t="str">
        <f aca="false">IF(A372&lt;mthend,EDATE(A372,1),"")</f>
        <v/>
      </c>
      <c r="B373" s="197" t="str">
        <f aca="false">IF(A373&lt;mthend,B372,"")</f>
        <v/>
      </c>
      <c r="D373" s="197" t="str">
        <f aca="false">IF(A374&lt;&gt;"",B373+C373,"")</f>
        <v/>
      </c>
      <c r="E373" s="199" t="str">
        <f aca="false">IF(A374="","",IF(AND(AT373=1,$H$3=1),D373*AO373,IF($H$3=2,D373,"N/A")))</f>
        <v/>
      </c>
      <c r="F373" s="199" t="str">
        <f aca="false">IF(A374="","",E373*AS373)</f>
        <v/>
      </c>
      <c r="G373" s="200" t="str">
        <f aca="false">IF($A374="","",VLOOKUP($A373,Table,MATCH(G$4,Curves,0)))</f>
        <v/>
      </c>
      <c r="H373" s="201" t="str">
        <f aca="false">IF(A374="","",G373)</f>
        <v/>
      </c>
      <c r="J373" s="200" t="str">
        <f aca="false">IF($A374="","",VLOOKUP($A373,Table,MATCH(J$4,Curves,0)))</f>
        <v/>
      </c>
      <c r="K373" s="201" t="str">
        <f aca="false">IF(A374="","",J373)</f>
        <v/>
      </c>
      <c r="L373" s="185" t="n">
        <v>0</v>
      </c>
      <c r="M373" s="201" t="str">
        <f aca="false">IF(A374="","",L373)</f>
        <v/>
      </c>
      <c r="O373" s="200" t="str">
        <f aca="false">IF(A374="","",L373+J373+G373)</f>
        <v/>
      </c>
      <c r="P373" s="200" t="str">
        <f aca="false">IF(A374="","",M373+K373+H373)</f>
        <v/>
      </c>
      <c r="R373" s="200" t="str">
        <f aca="false">IF($A374="","",VLOOKUP($A373,Table,MATCH(R$4,Curves,0)))</f>
        <v/>
      </c>
      <c r="S373" s="201" t="str">
        <f aca="false">IF(A374="","",R373)</f>
        <v/>
      </c>
      <c r="T373" s="185" t="n">
        <v>0</v>
      </c>
      <c r="U373" s="201" t="str">
        <f aca="false">IF(A374="","",T373)</f>
        <v/>
      </c>
      <c r="V373" s="205"/>
      <c r="W373" s="202" t="str">
        <f aca="false">IF($A374="","",(T373+R373+G373+V373))</f>
        <v/>
      </c>
      <c r="X373" s="202" t="str">
        <f aca="false">IF($A374="","",(U373+S373+H373+V373))</f>
        <v/>
      </c>
      <c r="Y373" s="202"/>
      <c r="Z373" s="185"/>
      <c r="AG373" s="182"/>
      <c r="AH373" s="182"/>
      <c r="AI373" s="182"/>
      <c r="AJ373" s="218"/>
      <c r="AK373" s="218"/>
      <c r="AL373" s="218"/>
      <c r="AM373" s="218"/>
      <c r="AN373" s="218"/>
      <c r="AO373" s="137" t="str">
        <f aca="false">IF(A374="","",A374-A373)</f>
        <v/>
      </c>
      <c r="AP373" s="212" t="str">
        <f aca="false">IF(A374="","",CHOOSE(F$3,A374+24,A373))</f>
        <v/>
      </c>
      <c r="AQ373" s="209" t="str">
        <f aca="false">IF(A374="","",AP373-$E$1)</f>
        <v/>
      </c>
      <c r="AR373" s="185" t="n">
        <f aca="false">'ANR OK vs ML7'!AR373</f>
        <v>0.1</v>
      </c>
      <c r="AS373" s="213" t="str">
        <f aca="false">IF(A374="","",1/(1+CHOOSE(F$3,(AR374+($I$3/10000))/2,(AR373+($I$3/10000))/2))^(2*AQ373/365.25))</f>
        <v/>
      </c>
      <c r="AT373" s="137" t="str">
        <f aca="false">IF(A374="","",IF(AND(mthbeg&lt;=A373,mthend&gt;=A373),1,0))</f>
        <v/>
      </c>
      <c r="AU373" s="137" t="str">
        <f aca="false">IF(A374="","",AO373*AT373)</f>
        <v/>
      </c>
      <c r="AW373" s="195" t="str">
        <f aca="false">IF($A374="","",AL373*$E373)</f>
        <v/>
      </c>
      <c r="AX373" s="195" t="str">
        <f aca="false">IF($A374="","",AM373*$E373)</f>
        <v/>
      </c>
      <c r="AY373" s="195" t="str">
        <f aca="false">IF($A374="","",AN373*$E373)</f>
        <v/>
      </c>
      <c r="BA373" s="195" t="str">
        <f aca="false">IF($A374="","",F373*Summary!$Q$13)</f>
        <v/>
      </c>
    </row>
    <row r="374" customFormat="false" ht="12.75" hidden="false" customHeight="false" outlineLevel="0" collapsed="false">
      <c r="A374" s="196" t="str">
        <f aca="false">IF(A373&lt;mthend,EDATE(A373,1),"")</f>
        <v/>
      </c>
      <c r="B374" s="197" t="str">
        <f aca="false">IF(A374&lt;mthend,B373,"")</f>
        <v/>
      </c>
      <c r="D374" s="197" t="str">
        <f aca="false">IF(A375&lt;&gt;"",B374+C374,"")</f>
        <v/>
      </c>
      <c r="E374" s="199" t="str">
        <f aca="false">IF(A375="","",IF(AND(AT374=1,$H$3=1),D374*AO374,IF($H$3=2,D374,"N/A")))</f>
        <v/>
      </c>
      <c r="F374" s="199" t="str">
        <f aca="false">IF(A375="","",E374*AS374)</f>
        <v/>
      </c>
      <c r="G374" s="200" t="str">
        <f aca="false">IF($A375="","",VLOOKUP($A374,Table,MATCH(G$4,Curves,0)))</f>
        <v/>
      </c>
      <c r="H374" s="201" t="str">
        <f aca="false">IF(A375="","",G374)</f>
        <v/>
      </c>
      <c r="J374" s="200" t="str">
        <f aca="false">IF($A375="","",VLOOKUP($A374,Table,MATCH(J$4,Curves,0)))</f>
        <v/>
      </c>
      <c r="K374" s="201" t="str">
        <f aca="false">IF(A375="","",J374)</f>
        <v/>
      </c>
      <c r="L374" s="185" t="n">
        <v>0</v>
      </c>
      <c r="M374" s="201" t="str">
        <f aca="false">IF(A375="","",L374)</f>
        <v/>
      </c>
      <c r="O374" s="200" t="str">
        <f aca="false">IF(A375="","",L374+J374+G374)</f>
        <v/>
      </c>
      <c r="P374" s="200" t="str">
        <f aca="false">IF(A375="","",M374+K374+H374)</f>
        <v/>
      </c>
      <c r="R374" s="200" t="str">
        <f aca="false">IF($A375="","",VLOOKUP($A374,Table,MATCH(R$4,Curves,0)))</f>
        <v/>
      </c>
      <c r="S374" s="201" t="str">
        <f aca="false">IF(A375="","",R374)</f>
        <v/>
      </c>
      <c r="T374" s="185" t="n">
        <v>0</v>
      </c>
      <c r="U374" s="201" t="str">
        <f aca="false">IF(A375="","",T374)</f>
        <v/>
      </c>
      <c r="V374" s="205"/>
      <c r="W374" s="202" t="str">
        <f aca="false">IF($A375="","",(T374+R374+G374+V374))</f>
        <v/>
      </c>
      <c r="X374" s="202" t="str">
        <f aca="false">IF($A375="","",(U374+S374+H374+V374))</f>
        <v/>
      </c>
      <c r="Y374" s="202"/>
      <c r="Z374" s="185"/>
      <c r="AG374" s="182"/>
      <c r="AH374" s="182"/>
      <c r="AI374" s="182"/>
      <c r="AJ374" s="218"/>
      <c r="AK374" s="218"/>
      <c r="AL374" s="218"/>
      <c r="AM374" s="218"/>
      <c r="AN374" s="218"/>
      <c r="AO374" s="137" t="str">
        <f aca="false">IF(A375="","",A375-A374)</f>
        <v/>
      </c>
      <c r="AP374" s="212" t="str">
        <f aca="false">IF(A375="","",CHOOSE(F$3,A375+24,A374))</f>
        <v/>
      </c>
      <c r="AQ374" s="209" t="str">
        <f aca="false">IF(A375="","",AP374-$E$1)</f>
        <v/>
      </c>
      <c r="AR374" s="185" t="n">
        <f aca="false">'ANR OK vs ML7'!AR374</f>
        <v>0.1</v>
      </c>
      <c r="AS374" s="213" t="str">
        <f aca="false">IF(A375="","",1/(1+CHOOSE(F$3,(AR375+($I$3/10000))/2,(AR374+($I$3/10000))/2))^(2*AQ374/365.25))</f>
        <v/>
      </c>
      <c r="AT374" s="137" t="str">
        <f aca="false">IF(A375="","",IF(AND(mthbeg&lt;=A374,mthend&gt;=A374),1,0))</f>
        <v/>
      </c>
      <c r="AU374" s="137" t="str">
        <f aca="false">IF(A375="","",AO374*AT374)</f>
        <v/>
      </c>
      <c r="AW374" s="195" t="str">
        <f aca="false">IF($A375="","",AL374*$E374)</f>
        <v/>
      </c>
      <c r="AX374" s="195" t="str">
        <f aca="false">IF($A375="","",AM374*$E374)</f>
        <v/>
      </c>
      <c r="AY374" s="195" t="str">
        <f aca="false">IF($A375="","",AN374*$E374)</f>
        <v/>
      </c>
      <c r="BA374" s="195" t="str">
        <f aca="false">IF($A375="","",F374*Summary!$Q$13)</f>
        <v/>
      </c>
    </row>
    <row r="375" customFormat="false" ht="12.75" hidden="false" customHeight="false" outlineLevel="0" collapsed="false">
      <c r="A375" s="196" t="str">
        <f aca="false">IF(A374&lt;mthend,EDATE(A374,1),"")</f>
        <v/>
      </c>
      <c r="B375" s="197" t="str">
        <f aca="false">IF(A375&lt;mthend,B374,"")</f>
        <v/>
      </c>
      <c r="D375" s="197" t="str">
        <f aca="false">IF(A376&lt;&gt;"",B375+C375,"")</f>
        <v/>
      </c>
      <c r="E375" s="199" t="str">
        <f aca="false">IF(A376="","",IF(AND(AT375=1,$H$3=1),D375*AO375,IF($H$3=2,D375,"N/A")))</f>
        <v/>
      </c>
      <c r="F375" s="199" t="str">
        <f aca="false">IF(A376="","",E375*AS375)</f>
        <v/>
      </c>
      <c r="G375" s="200" t="str">
        <f aca="false">IF($A376="","",VLOOKUP($A375,Table,MATCH(G$4,Curves,0)))</f>
        <v/>
      </c>
      <c r="H375" s="201" t="str">
        <f aca="false">IF(A376="","",G375)</f>
        <v/>
      </c>
      <c r="J375" s="200" t="str">
        <f aca="false">IF($A376="","",VLOOKUP($A375,Table,MATCH(J$4,Curves,0)))</f>
        <v/>
      </c>
      <c r="K375" s="201" t="str">
        <f aca="false">IF(A376="","",J375)</f>
        <v/>
      </c>
      <c r="L375" s="185" t="n">
        <v>0</v>
      </c>
      <c r="M375" s="201" t="str">
        <f aca="false">IF(A376="","",L375)</f>
        <v/>
      </c>
      <c r="O375" s="200" t="str">
        <f aca="false">IF(A376="","",L375+J375+G375)</f>
        <v/>
      </c>
      <c r="P375" s="200" t="str">
        <f aca="false">IF(A376="","",M375+K375+H375)</f>
        <v/>
      </c>
      <c r="R375" s="200" t="str">
        <f aca="false">IF($A376="","",VLOOKUP($A375,Table,MATCH(R$4,Curves,0)))</f>
        <v/>
      </c>
      <c r="S375" s="201" t="str">
        <f aca="false">IF(A376="","",R375)</f>
        <v/>
      </c>
      <c r="T375" s="185" t="n">
        <v>0</v>
      </c>
      <c r="U375" s="201" t="str">
        <f aca="false">IF(A376="","",T375)</f>
        <v/>
      </c>
      <c r="V375" s="205"/>
      <c r="W375" s="202" t="str">
        <f aca="false">IF($A376="","",(T375+R375+G375+V375))</f>
        <v/>
      </c>
      <c r="X375" s="202" t="str">
        <f aca="false">IF($A376="","",(U375+S375+H375+V375))</f>
        <v/>
      </c>
      <c r="Y375" s="202"/>
      <c r="Z375" s="185"/>
      <c r="AG375" s="182"/>
      <c r="AH375" s="182"/>
      <c r="AI375" s="182"/>
      <c r="AJ375" s="218"/>
      <c r="AK375" s="218"/>
      <c r="AL375" s="218"/>
      <c r="AM375" s="218"/>
      <c r="AN375" s="218"/>
      <c r="AO375" s="137" t="str">
        <f aca="false">IF(A376="","",A376-A375)</f>
        <v/>
      </c>
      <c r="AP375" s="212" t="str">
        <f aca="false">IF(A376="","",CHOOSE(F$3,A376+24,A375))</f>
        <v/>
      </c>
      <c r="AQ375" s="209" t="str">
        <f aca="false">IF(A376="","",AP375-$E$1)</f>
        <v/>
      </c>
      <c r="AR375" s="185" t="n">
        <f aca="false">'ANR OK vs ML7'!AR375</f>
        <v>0.1</v>
      </c>
      <c r="AS375" s="213" t="str">
        <f aca="false">IF(A376="","",1/(1+CHOOSE(F$3,(AR376+($I$3/10000))/2,(AR375+($I$3/10000))/2))^(2*AQ375/365.25))</f>
        <v/>
      </c>
      <c r="AT375" s="137" t="str">
        <f aca="false">IF(A376="","",IF(AND(mthbeg&lt;=A375,mthend&gt;=A375),1,0))</f>
        <v/>
      </c>
      <c r="AU375" s="137" t="str">
        <f aca="false">IF(A376="","",AO375*AT375)</f>
        <v/>
      </c>
      <c r="AW375" s="195" t="str">
        <f aca="false">IF($A376="","",AL375*$E375)</f>
        <v/>
      </c>
      <c r="AX375" s="195" t="str">
        <f aca="false">IF($A376="","",AM375*$E375)</f>
        <v/>
      </c>
      <c r="AY375" s="195" t="str">
        <f aca="false">IF($A376="","",AN375*$E375)</f>
        <v/>
      </c>
      <c r="BA375" s="195" t="str">
        <f aca="false">IF($A376="","",F375*Summary!$Q$13)</f>
        <v/>
      </c>
    </row>
    <row r="376" customFormat="false" ht="12.75" hidden="false" customHeight="false" outlineLevel="0" collapsed="false">
      <c r="A376" s="196" t="str">
        <f aca="false">IF(A375&lt;mthend,EDATE(A375,1),"")</f>
        <v/>
      </c>
      <c r="B376" s="197" t="str">
        <f aca="false">IF(A376&lt;mthend,B375,"")</f>
        <v/>
      </c>
      <c r="D376" s="197" t="str">
        <f aca="false">IF(A377&lt;&gt;"",B376+C376,"")</f>
        <v/>
      </c>
      <c r="E376" s="199" t="str">
        <f aca="false">IF(A377="","",IF(AND(AT376=1,$H$3=1),D376*AO376,IF($H$3=2,D376,"N/A")))</f>
        <v/>
      </c>
      <c r="F376" s="199" t="str">
        <f aca="false">IF(A377="","",E376*AS376)</f>
        <v/>
      </c>
      <c r="G376" s="200" t="str">
        <f aca="false">IF($A377="","",VLOOKUP($A376,Table,MATCH(G$4,Curves,0)))</f>
        <v/>
      </c>
      <c r="H376" s="201" t="str">
        <f aca="false">IF(A377="","",G376)</f>
        <v/>
      </c>
      <c r="J376" s="200" t="str">
        <f aca="false">IF($A377="","",VLOOKUP($A376,Table,MATCH(J$4,Curves,0)))</f>
        <v/>
      </c>
      <c r="K376" s="201" t="str">
        <f aca="false">IF(A377="","",J376)</f>
        <v/>
      </c>
      <c r="L376" s="185" t="n">
        <v>0</v>
      </c>
      <c r="M376" s="201" t="str">
        <f aca="false">IF(A377="","",L376)</f>
        <v/>
      </c>
      <c r="O376" s="200" t="str">
        <f aca="false">IF(A377="","",L376+J376+G376)</f>
        <v/>
      </c>
      <c r="P376" s="200" t="str">
        <f aca="false">IF(A377="","",M376+K376+H376)</f>
        <v/>
      </c>
      <c r="R376" s="200" t="str">
        <f aca="false">IF($A377="","",VLOOKUP($A376,Table,MATCH(R$4,Curves,0)))</f>
        <v/>
      </c>
      <c r="S376" s="201" t="str">
        <f aca="false">IF(A377="","",R376)</f>
        <v/>
      </c>
      <c r="T376" s="185" t="n">
        <v>0</v>
      </c>
      <c r="U376" s="201" t="str">
        <f aca="false">IF(A377="","",T376)</f>
        <v/>
      </c>
      <c r="V376" s="205"/>
      <c r="W376" s="202" t="str">
        <f aca="false">IF($A377="","",(T376+R376+G376+V376))</f>
        <v/>
      </c>
      <c r="X376" s="202" t="str">
        <f aca="false">IF($A377="","",(U376+S376+H376+V376))</f>
        <v/>
      </c>
      <c r="Y376" s="202"/>
      <c r="Z376" s="185"/>
      <c r="AG376" s="182"/>
      <c r="AH376" s="182"/>
      <c r="AI376" s="182"/>
      <c r="AJ376" s="218"/>
      <c r="AK376" s="218"/>
      <c r="AL376" s="218"/>
      <c r="AM376" s="218"/>
      <c r="AN376" s="218"/>
      <c r="AO376" s="137" t="str">
        <f aca="false">IF(A377="","",A377-A376)</f>
        <v/>
      </c>
      <c r="AP376" s="212" t="str">
        <f aca="false">IF(A377="","",CHOOSE(F$3,A377+24,A376))</f>
        <v/>
      </c>
      <c r="AQ376" s="209" t="str">
        <f aca="false">IF(A377="","",AP376-$E$1)</f>
        <v/>
      </c>
      <c r="AR376" s="185" t="n">
        <f aca="false">'ANR OK vs ML7'!AR376</f>
        <v>0.1</v>
      </c>
      <c r="AS376" s="213" t="str">
        <f aca="false">IF(A377="","",1/(1+CHOOSE(F$3,(AR377+($I$3/10000))/2,(AR376+($I$3/10000))/2))^(2*AQ376/365.25))</f>
        <v/>
      </c>
      <c r="AT376" s="137" t="str">
        <f aca="false">IF(A377="","",IF(AND(mthbeg&lt;=A376,mthend&gt;=A376),1,0))</f>
        <v/>
      </c>
      <c r="AU376" s="137" t="str">
        <f aca="false">IF(A377="","",AO376*AT376)</f>
        <v/>
      </c>
      <c r="AW376" s="195" t="str">
        <f aca="false">IF($A377="","",AL376*$E376)</f>
        <v/>
      </c>
      <c r="AX376" s="195" t="str">
        <f aca="false">IF($A377="","",AM376*$E376)</f>
        <v/>
      </c>
      <c r="AY376" s="195" t="str">
        <f aca="false">IF($A377="","",AN376*$E376)</f>
        <v/>
      </c>
      <c r="BA376" s="195" t="str">
        <f aca="false">IF($A377="","",F376*Summary!$Q$13)</f>
        <v/>
      </c>
    </row>
    <row r="377" customFormat="false" ht="12.75" hidden="false" customHeight="false" outlineLevel="0" collapsed="false">
      <c r="A377" s="196" t="str">
        <f aca="false">IF(A376&lt;mthend,EDATE(A376,1),"")</f>
        <v/>
      </c>
      <c r="B377" s="197" t="str">
        <f aca="false">IF(A377&lt;mthend,B376,"")</f>
        <v/>
      </c>
      <c r="D377" s="197" t="str">
        <f aca="false">IF(A378&lt;&gt;"",B377+C377,"")</f>
        <v/>
      </c>
      <c r="E377" s="199" t="str">
        <f aca="false">IF(A378="","",IF(AND(AT377=1,$H$3=1),D377*AO377,IF($H$3=2,D377,"N/A")))</f>
        <v/>
      </c>
      <c r="F377" s="199" t="str">
        <f aca="false">IF(A378="","",E377*AS377)</f>
        <v/>
      </c>
      <c r="G377" s="200" t="str">
        <f aca="false">IF($A378="","",VLOOKUP($A377,Table,MATCH(G$4,Curves,0)))</f>
        <v/>
      </c>
      <c r="H377" s="201" t="str">
        <f aca="false">IF(A378="","",G377)</f>
        <v/>
      </c>
      <c r="J377" s="200" t="str">
        <f aca="false">IF($A378="","",VLOOKUP($A377,Table,MATCH(J$4,Curves,0)))</f>
        <v/>
      </c>
      <c r="K377" s="201" t="str">
        <f aca="false">IF(A378="","",J377)</f>
        <v/>
      </c>
      <c r="L377" s="185" t="n">
        <v>0</v>
      </c>
      <c r="M377" s="201" t="str">
        <f aca="false">IF(A378="","",L377)</f>
        <v/>
      </c>
      <c r="O377" s="200" t="str">
        <f aca="false">IF(A378="","",L377+J377+G377)</f>
        <v/>
      </c>
      <c r="P377" s="200" t="str">
        <f aca="false">IF(A378="","",M377+K377+H377)</f>
        <v/>
      </c>
      <c r="R377" s="200" t="str">
        <f aca="false">IF($A378="","",VLOOKUP($A377,Table,MATCH(R$4,Curves,0)))</f>
        <v/>
      </c>
      <c r="S377" s="201" t="str">
        <f aca="false">IF(A378="","",R377)</f>
        <v/>
      </c>
      <c r="T377" s="185" t="n">
        <v>0</v>
      </c>
      <c r="U377" s="201" t="str">
        <f aca="false">IF(A378="","",T377)</f>
        <v/>
      </c>
      <c r="V377" s="205"/>
      <c r="W377" s="202" t="str">
        <f aca="false">IF($A378="","",(T377+R377+G377+V377))</f>
        <v/>
      </c>
      <c r="X377" s="202" t="str">
        <f aca="false">IF($A378="","",(U377+S377+H377+V377))</f>
        <v/>
      </c>
      <c r="Y377" s="202"/>
      <c r="Z377" s="185"/>
      <c r="AG377" s="182"/>
      <c r="AH377" s="182"/>
      <c r="AI377" s="182"/>
      <c r="AJ377" s="218"/>
      <c r="AK377" s="218"/>
      <c r="AL377" s="218"/>
      <c r="AM377" s="218"/>
      <c r="AN377" s="218"/>
      <c r="AO377" s="137" t="str">
        <f aca="false">IF(A378="","",A378-A377)</f>
        <v/>
      </c>
      <c r="AP377" s="212" t="str">
        <f aca="false">IF(A378="","",CHOOSE(F$3,A378+24,A377))</f>
        <v/>
      </c>
      <c r="AQ377" s="209" t="str">
        <f aca="false">IF(A378="","",AP377-$E$1)</f>
        <v/>
      </c>
      <c r="AR377" s="185" t="n">
        <f aca="false">'ANR OK vs ML7'!AR377</f>
        <v>0.1</v>
      </c>
      <c r="AS377" s="213" t="str">
        <f aca="false">IF(A378="","",1/(1+CHOOSE(F$3,(AR378+($I$3/10000))/2,(AR377+($I$3/10000))/2))^(2*AQ377/365.25))</f>
        <v/>
      </c>
      <c r="AT377" s="137" t="str">
        <f aca="false">IF(A378="","",IF(AND(mthbeg&lt;=A377,mthend&gt;=A377),1,0))</f>
        <v/>
      </c>
      <c r="AU377" s="137" t="str">
        <f aca="false">IF(A378="","",AO377*AT377)</f>
        <v/>
      </c>
      <c r="AW377" s="195" t="str">
        <f aca="false">IF($A378="","",AL377*$E377)</f>
        <v/>
      </c>
      <c r="AX377" s="195" t="str">
        <f aca="false">IF($A378="","",AM377*$E377)</f>
        <v/>
      </c>
      <c r="AY377" s="195" t="str">
        <f aca="false">IF($A378="","",AN377*$E377)</f>
        <v/>
      </c>
      <c r="BA377" s="195" t="str">
        <f aca="false">IF($A378="","",F377*Summary!$Q$13)</f>
        <v/>
      </c>
    </row>
    <row r="378" customFormat="false" ht="12.75" hidden="false" customHeight="false" outlineLevel="0" collapsed="false">
      <c r="A378" s="196" t="str">
        <f aca="false">IF(A377&lt;mthend,EDATE(A377,1),"")</f>
        <v/>
      </c>
      <c r="B378" s="197" t="str">
        <f aca="false">IF(A378&lt;mthend,B377,"")</f>
        <v/>
      </c>
      <c r="D378" s="197" t="str">
        <f aca="false">IF(A379&lt;&gt;"",B378+C378,"")</f>
        <v/>
      </c>
      <c r="E378" s="199" t="str">
        <f aca="false">IF(A379="","",IF(AND(AT378=1,$H$3=1),D378*AO378,IF($H$3=2,D378,"N/A")))</f>
        <v/>
      </c>
      <c r="F378" s="199" t="str">
        <f aca="false">IF(A379="","",E378*AS378)</f>
        <v/>
      </c>
      <c r="G378" s="200" t="str">
        <f aca="false">IF($A379="","",VLOOKUP($A378,Table,MATCH(G$4,Curves,0)))</f>
        <v/>
      </c>
      <c r="H378" s="201" t="str">
        <f aca="false">IF(A379="","",G378)</f>
        <v/>
      </c>
      <c r="J378" s="200" t="str">
        <f aca="false">IF($A379="","",VLOOKUP($A378,Table,MATCH(J$4,Curves,0)))</f>
        <v/>
      </c>
      <c r="K378" s="201" t="str">
        <f aca="false">IF(A379="","",J378)</f>
        <v/>
      </c>
      <c r="L378" s="185" t="n">
        <v>0</v>
      </c>
      <c r="M378" s="201" t="str">
        <f aca="false">IF(A379="","",L378)</f>
        <v/>
      </c>
      <c r="O378" s="200" t="str">
        <f aca="false">IF(A379="","",L378+J378+G378)</f>
        <v/>
      </c>
      <c r="P378" s="200" t="str">
        <f aca="false">IF(A379="","",M378+K378+H378)</f>
        <v/>
      </c>
      <c r="R378" s="200" t="str">
        <f aca="false">IF($A379="","",VLOOKUP($A378,Table,MATCH(R$4,Curves,0)))</f>
        <v/>
      </c>
      <c r="S378" s="201" t="str">
        <f aca="false">IF(A379="","",R378)</f>
        <v/>
      </c>
      <c r="T378" s="185" t="n">
        <v>0</v>
      </c>
      <c r="U378" s="201" t="str">
        <f aca="false">IF(A379="","",T378)</f>
        <v/>
      </c>
      <c r="V378" s="205"/>
      <c r="W378" s="202" t="str">
        <f aca="false">IF($A379="","",(T378+R378+G378+V378))</f>
        <v/>
      </c>
      <c r="X378" s="202" t="str">
        <f aca="false">IF($A379="","",(U378+S378+H378+V378))</f>
        <v/>
      </c>
      <c r="Y378" s="202"/>
      <c r="Z378" s="185"/>
      <c r="AG378" s="182"/>
      <c r="AH378" s="182"/>
      <c r="AI378" s="182"/>
      <c r="AJ378" s="218"/>
      <c r="AK378" s="218"/>
      <c r="AL378" s="218"/>
      <c r="AM378" s="218"/>
      <c r="AN378" s="218"/>
      <c r="AO378" s="137" t="str">
        <f aca="false">IF(A379="","",A379-A378)</f>
        <v/>
      </c>
      <c r="AP378" s="212" t="str">
        <f aca="false">IF(A379="","",CHOOSE(F$3,A379+24,A378))</f>
        <v/>
      </c>
      <c r="AQ378" s="209" t="str">
        <f aca="false">IF(A379="","",AP378-$E$1)</f>
        <v/>
      </c>
      <c r="AR378" s="185" t="n">
        <f aca="false">'ANR OK vs ML7'!AR378</f>
        <v>0.1</v>
      </c>
      <c r="AS378" s="213" t="str">
        <f aca="false">IF(A379="","",1/(1+CHOOSE(F$3,(AR379+($I$3/10000))/2,(AR378+($I$3/10000))/2))^(2*AQ378/365.25))</f>
        <v/>
      </c>
      <c r="AT378" s="137" t="str">
        <f aca="false">IF(A379="","",IF(AND(mthbeg&lt;=A378,mthend&gt;=A378),1,0))</f>
        <v/>
      </c>
      <c r="AU378" s="137" t="str">
        <f aca="false">IF(A379="","",AO378*AT378)</f>
        <v/>
      </c>
      <c r="AW378" s="195" t="str">
        <f aca="false">IF($A379="","",AL378*$E378)</f>
        <v/>
      </c>
      <c r="AX378" s="195" t="str">
        <f aca="false">IF($A379="","",AM378*$E378)</f>
        <v/>
      </c>
      <c r="AY378" s="195" t="str">
        <f aca="false">IF($A379="","",AN378*$E378)</f>
        <v/>
      </c>
      <c r="BA378" s="195" t="str">
        <f aca="false">IF($A379="","",F378*Summary!$Q$13)</f>
        <v/>
      </c>
    </row>
    <row r="379" customFormat="false" ht="12.75" hidden="false" customHeight="false" outlineLevel="0" collapsed="false">
      <c r="A379" s="196" t="str">
        <f aca="false">IF(A378&lt;mthend,EDATE(A378,1),"")</f>
        <v/>
      </c>
      <c r="B379" s="197" t="str">
        <f aca="false">IF(A379&lt;mthend,B378,"")</f>
        <v/>
      </c>
      <c r="D379" s="197" t="str">
        <f aca="false">IF(A380&lt;&gt;"",B379+C379,"")</f>
        <v/>
      </c>
      <c r="E379" s="199" t="str">
        <f aca="false">IF(A380="","",IF(AND(AT379=1,$H$3=1),D379*AO379,IF($H$3=2,D379,"N/A")))</f>
        <v/>
      </c>
      <c r="F379" s="199" t="str">
        <f aca="false">IF(A380="","",E379*AS379)</f>
        <v/>
      </c>
      <c r="G379" s="200" t="str">
        <f aca="false">IF($A380="","",VLOOKUP($A379,Table,MATCH(G$4,Curves,0)))</f>
        <v/>
      </c>
      <c r="H379" s="201" t="str">
        <f aca="false">IF(A380="","",G379)</f>
        <v/>
      </c>
      <c r="J379" s="200" t="str">
        <f aca="false">IF($A380="","",VLOOKUP($A379,Table,MATCH(J$4,Curves,0)))</f>
        <v/>
      </c>
      <c r="K379" s="201" t="str">
        <f aca="false">IF(A380="","",J379)</f>
        <v/>
      </c>
      <c r="L379" s="185" t="n">
        <v>0</v>
      </c>
      <c r="M379" s="201" t="str">
        <f aca="false">IF(A380="","",L379)</f>
        <v/>
      </c>
      <c r="O379" s="200" t="str">
        <f aca="false">IF(A380="","",L379+J379+G379)</f>
        <v/>
      </c>
      <c r="P379" s="200" t="str">
        <f aca="false">IF(A380="","",M379+K379+H379)</f>
        <v/>
      </c>
      <c r="R379" s="200" t="str">
        <f aca="false">IF($A380="","",VLOOKUP($A379,Table,MATCH(R$4,Curves,0)))</f>
        <v/>
      </c>
      <c r="S379" s="201" t="str">
        <f aca="false">IF(A380="","",R379)</f>
        <v/>
      </c>
      <c r="T379" s="185" t="n">
        <v>0</v>
      </c>
      <c r="U379" s="201" t="str">
        <f aca="false">IF(A380="","",T379)</f>
        <v/>
      </c>
      <c r="V379" s="205"/>
      <c r="W379" s="202" t="str">
        <f aca="false">IF($A380="","",(T379+R379+G379+V379))</f>
        <v/>
      </c>
      <c r="X379" s="202" t="str">
        <f aca="false">IF($A380="","",(U379+S379+H379+V379))</f>
        <v/>
      </c>
      <c r="Y379" s="202"/>
      <c r="Z379" s="185"/>
      <c r="AG379" s="182"/>
      <c r="AH379" s="182"/>
      <c r="AI379" s="182"/>
      <c r="AJ379" s="218"/>
      <c r="AK379" s="218"/>
      <c r="AL379" s="218"/>
      <c r="AM379" s="218"/>
      <c r="AN379" s="218"/>
      <c r="AO379" s="137" t="str">
        <f aca="false">IF(A380="","",A380-A379)</f>
        <v/>
      </c>
      <c r="AP379" s="212" t="str">
        <f aca="false">IF(A380="","",CHOOSE(F$3,A380+24,A379))</f>
        <v/>
      </c>
      <c r="AQ379" s="209" t="str">
        <f aca="false">IF(A380="","",AP379-$E$1)</f>
        <v/>
      </c>
      <c r="AR379" s="185" t="n">
        <f aca="false">'ANR OK vs ML7'!AR379</f>
        <v>0.1</v>
      </c>
      <c r="AS379" s="213" t="str">
        <f aca="false">IF(A380="","",1/(1+CHOOSE(F$3,(AR380+($I$3/10000))/2,(AR379+($I$3/10000))/2))^(2*AQ379/365.25))</f>
        <v/>
      </c>
      <c r="AT379" s="137" t="str">
        <f aca="false">IF(A380="","",IF(AND(mthbeg&lt;=A379,mthend&gt;=A379),1,0))</f>
        <v/>
      </c>
      <c r="AU379" s="137" t="str">
        <f aca="false">IF(A380="","",AO379*AT379)</f>
        <v/>
      </c>
      <c r="AW379" s="195" t="str">
        <f aca="false">IF($A380="","",AL379*$E379)</f>
        <v/>
      </c>
      <c r="AX379" s="195" t="str">
        <f aca="false">IF($A380="","",AM379*$E379)</f>
        <v/>
      </c>
      <c r="AY379" s="195" t="str">
        <f aca="false">IF($A380="","",AN379*$E379)</f>
        <v/>
      </c>
      <c r="BA379" s="195" t="str">
        <f aca="false">IF($A380="","",F379*Summary!$Q$13)</f>
        <v/>
      </c>
    </row>
    <row r="380" customFormat="false" ht="12.75" hidden="false" customHeight="false" outlineLevel="0" collapsed="false">
      <c r="A380" s="196" t="str">
        <f aca="false">IF(A379&lt;mthend,EDATE(A379,1),"")</f>
        <v/>
      </c>
      <c r="B380" s="197" t="str">
        <f aca="false">IF(A380&lt;mthend,B379,"")</f>
        <v/>
      </c>
      <c r="D380" s="197" t="str">
        <f aca="false">IF(A381&lt;&gt;"",B380+C380,"")</f>
        <v/>
      </c>
      <c r="E380" s="199" t="str">
        <f aca="false">IF(A381="","",IF(AND(AT380=1,$H$3=1),D380*AO380,IF($H$3=2,D380,"N/A")))</f>
        <v/>
      </c>
      <c r="F380" s="199" t="str">
        <f aca="false">IF(A381="","",E380*AS380)</f>
        <v/>
      </c>
      <c r="G380" s="200" t="str">
        <f aca="false">IF($A381="","",VLOOKUP($A380,Table,MATCH(G$4,Curves,0)))</f>
        <v/>
      </c>
      <c r="H380" s="201" t="str">
        <f aca="false">IF(A381="","",G380)</f>
        <v/>
      </c>
      <c r="J380" s="200" t="str">
        <f aca="false">IF($A381="","",VLOOKUP($A380,Table,MATCH(J$4,Curves,0)))</f>
        <v/>
      </c>
      <c r="K380" s="201" t="str">
        <f aca="false">IF(A381="","",J380)</f>
        <v/>
      </c>
      <c r="L380" s="185" t="n">
        <v>0</v>
      </c>
      <c r="M380" s="201" t="str">
        <f aca="false">IF(A381="","",L380)</f>
        <v/>
      </c>
      <c r="O380" s="200" t="str">
        <f aca="false">IF(A381="","",L380+J380+G380)</f>
        <v/>
      </c>
      <c r="P380" s="200" t="str">
        <f aca="false">IF(A381="","",M380+K380+H380)</f>
        <v/>
      </c>
      <c r="R380" s="200" t="str">
        <f aca="false">IF($A381="","",VLOOKUP($A380,Table,MATCH(R$4,Curves,0)))</f>
        <v/>
      </c>
      <c r="S380" s="201" t="str">
        <f aca="false">IF(A381="","",R380)</f>
        <v/>
      </c>
      <c r="T380" s="185" t="n">
        <v>0</v>
      </c>
      <c r="U380" s="201" t="str">
        <f aca="false">IF(A381="","",T380)</f>
        <v/>
      </c>
      <c r="V380" s="205"/>
      <c r="W380" s="202" t="str">
        <f aca="false">IF($A381="","",(T380+R380+G380+V380))</f>
        <v/>
      </c>
      <c r="X380" s="202" t="str">
        <f aca="false">IF($A381="","",(U380+S380+H380+V380))</f>
        <v/>
      </c>
      <c r="Y380" s="202"/>
      <c r="Z380" s="185"/>
      <c r="AG380" s="182"/>
      <c r="AH380" s="182"/>
      <c r="AI380" s="182"/>
      <c r="AJ380" s="218"/>
      <c r="AK380" s="218"/>
      <c r="AL380" s="218"/>
      <c r="AM380" s="218"/>
      <c r="AN380" s="218"/>
      <c r="AO380" s="137" t="str">
        <f aca="false">IF(A381="","",A381-A380)</f>
        <v/>
      </c>
      <c r="AP380" s="212" t="str">
        <f aca="false">IF(A381="","",CHOOSE(F$3,A381+24,A380))</f>
        <v/>
      </c>
      <c r="AQ380" s="209" t="str">
        <f aca="false">IF(A381="","",AP380-$E$1)</f>
        <v/>
      </c>
      <c r="AR380" s="185" t="n">
        <f aca="false">'ANR OK vs ML7'!AR380</f>
        <v>0.1</v>
      </c>
      <c r="AS380" s="213" t="str">
        <f aca="false">IF(A381="","",1/(1+CHOOSE(F$3,(AR381+($I$3/10000))/2,(AR380+($I$3/10000))/2))^(2*AQ380/365.25))</f>
        <v/>
      </c>
      <c r="AT380" s="137" t="str">
        <f aca="false">IF(A381="","",IF(AND(mthbeg&lt;=A380,mthend&gt;=A380),1,0))</f>
        <v/>
      </c>
      <c r="AU380" s="137" t="str">
        <f aca="false">IF(A381="","",AO380*AT380)</f>
        <v/>
      </c>
      <c r="AW380" s="195" t="str">
        <f aca="false">IF($A381="","",AL380*$E380)</f>
        <v/>
      </c>
      <c r="AX380" s="195" t="str">
        <f aca="false">IF($A381="","",AM380*$E380)</f>
        <v/>
      </c>
      <c r="AY380" s="195" t="str">
        <f aca="false">IF($A381="","",AN380*$E380)</f>
        <v/>
      </c>
      <c r="BA380" s="195" t="str">
        <f aca="false">IF($A381="","",F380*Summary!$Q$13)</f>
        <v/>
      </c>
    </row>
    <row r="381" customFormat="false" ht="12.75" hidden="false" customHeight="false" outlineLevel="0" collapsed="false">
      <c r="A381" s="196" t="str">
        <f aca="false">IF(A380&lt;mthend,EDATE(A380,1),"")</f>
        <v/>
      </c>
      <c r="B381" s="197" t="str">
        <f aca="false">IF(A381&lt;mthend,B380,"")</f>
        <v/>
      </c>
      <c r="D381" s="197" t="str">
        <f aca="false">IF(A382&lt;&gt;"",B381+C381,"")</f>
        <v/>
      </c>
      <c r="E381" s="199" t="str">
        <f aca="false">IF(A382="","",IF(AND(AT381=1,$H$3=1),D381*AO381,IF($H$3=2,D381,"N/A")))</f>
        <v/>
      </c>
      <c r="F381" s="199" t="str">
        <f aca="false">IF(A382="","",E381*AS381)</f>
        <v/>
      </c>
      <c r="G381" s="200" t="str">
        <f aca="false">IF($A382="","",VLOOKUP($A381,Table,MATCH(G$4,Curves,0)))</f>
        <v/>
      </c>
      <c r="H381" s="201" t="str">
        <f aca="false">IF(A382="","",G381)</f>
        <v/>
      </c>
      <c r="J381" s="200" t="str">
        <f aca="false">IF($A382="","",VLOOKUP($A381,Table,MATCH(J$4,Curves,0)))</f>
        <v/>
      </c>
      <c r="K381" s="201" t="str">
        <f aca="false">IF(A382="","",J381)</f>
        <v/>
      </c>
      <c r="L381" s="185" t="n">
        <v>0</v>
      </c>
      <c r="M381" s="201" t="str">
        <f aca="false">IF(A382="","",L381)</f>
        <v/>
      </c>
      <c r="O381" s="200" t="str">
        <f aca="false">IF(A382="","",L381+J381+G381)</f>
        <v/>
      </c>
      <c r="P381" s="200" t="str">
        <f aca="false">IF(A382="","",M381+K381+H381)</f>
        <v/>
      </c>
      <c r="R381" s="200" t="str">
        <f aca="false">IF($A382="","",VLOOKUP($A381,Table,MATCH(R$4,Curves,0)))</f>
        <v/>
      </c>
      <c r="S381" s="201" t="str">
        <f aca="false">IF(A382="","",R381)</f>
        <v/>
      </c>
      <c r="T381" s="185" t="n">
        <v>0</v>
      </c>
      <c r="U381" s="201" t="str">
        <f aca="false">IF(A382="","",T381)</f>
        <v/>
      </c>
      <c r="V381" s="205"/>
      <c r="W381" s="202" t="str">
        <f aca="false">IF($A382="","",(T381+R381+G381+V381))</f>
        <v/>
      </c>
      <c r="X381" s="202" t="str">
        <f aca="false">IF($A382="","",(U381+S381+H381+V381))</f>
        <v/>
      </c>
      <c r="Y381" s="202"/>
      <c r="Z381" s="185"/>
      <c r="AG381" s="182"/>
      <c r="AH381" s="182"/>
      <c r="AI381" s="182"/>
      <c r="AJ381" s="218"/>
      <c r="AK381" s="218"/>
      <c r="AL381" s="218"/>
      <c r="AM381" s="218"/>
      <c r="AN381" s="218"/>
      <c r="AO381" s="137" t="str">
        <f aca="false">IF(A382="","",A382-A381)</f>
        <v/>
      </c>
      <c r="AP381" s="212" t="str">
        <f aca="false">IF(A382="","",CHOOSE(F$3,A382+24,A381))</f>
        <v/>
      </c>
      <c r="AQ381" s="209" t="str">
        <f aca="false">IF(A382="","",AP381-$E$1)</f>
        <v/>
      </c>
      <c r="AR381" s="185" t="n">
        <f aca="false">'ANR OK vs ML7'!AR381</f>
        <v>0.1</v>
      </c>
      <c r="AS381" s="213" t="str">
        <f aca="false">IF(A382="","",1/(1+CHOOSE(F$3,(AR382+($I$3/10000))/2,(AR381+($I$3/10000))/2))^(2*AQ381/365.25))</f>
        <v/>
      </c>
      <c r="AT381" s="137" t="str">
        <f aca="false">IF(A382="","",IF(AND(mthbeg&lt;=A381,mthend&gt;=A381),1,0))</f>
        <v/>
      </c>
      <c r="AU381" s="137" t="str">
        <f aca="false">IF(A382="","",AO381*AT381)</f>
        <v/>
      </c>
      <c r="AW381" s="195" t="str">
        <f aca="false">IF($A382="","",AL381*$E381)</f>
        <v/>
      </c>
      <c r="AX381" s="195" t="str">
        <f aca="false">IF($A382="","",AM381*$E381)</f>
        <v/>
      </c>
      <c r="AY381" s="195" t="str">
        <f aca="false">IF($A382="","",AN381*$E381)</f>
        <v/>
      </c>
      <c r="BA381" s="195" t="str">
        <f aca="false">IF($A382="","",F381*Summary!$Q$13)</f>
        <v/>
      </c>
    </row>
    <row r="382" customFormat="false" ht="12.75" hidden="false" customHeight="false" outlineLevel="0" collapsed="false">
      <c r="A382" s="196" t="str">
        <f aca="false">IF(A381&lt;mthend,EDATE(A381,1),"")</f>
        <v/>
      </c>
      <c r="B382" s="197" t="str">
        <f aca="false">IF(A382&lt;mthend,B381,"")</f>
        <v/>
      </c>
      <c r="D382" s="197" t="str">
        <f aca="false">IF(A383&lt;&gt;"",B382+C382,"")</f>
        <v/>
      </c>
      <c r="E382" s="199" t="str">
        <f aca="false">IF(A383="","",IF(AND(AT382=1,$H$3=1),D382*AO382,IF($H$3=2,D382,"N/A")))</f>
        <v/>
      </c>
      <c r="F382" s="199" t="str">
        <f aca="false">IF(A383="","",E382*AS382)</f>
        <v/>
      </c>
      <c r="G382" s="200" t="str">
        <f aca="false">IF($A383="","",VLOOKUP($A382,Table,MATCH(G$4,Curves,0)))</f>
        <v/>
      </c>
      <c r="H382" s="201" t="str">
        <f aca="false">IF(A383="","",G382)</f>
        <v/>
      </c>
      <c r="J382" s="200" t="str">
        <f aca="false">IF($A383="","",VLOOKUP($A382,Table,MATCH(J$4,Curves,0)))</f>
        <v/>
      </c>
      <c r="K382" s="201" t="str">
        <f aca="false">IF(A383="","",J382)</f>
        <v/>
      </c>
      <c r="L382" s="185" t="n">
        <v>0</v>
      </c>
      <c r="M382" s="201" t="str">
        <f aca="false">IF(A383="","",L382)</f>
        <v/>
      </c>
      <c r="O382" s="200" t="str">
        <f aca="false">IF(A383="","",L382+J382+G382)</f>
        <v/>
      </c>
      <c r="P382" s="200" t="str">
        <f aca="false">IF(A383="","",M382+K382+H382)</f>
        <v/>
      </c>
      <c r="R382" s="200" t="str">
        <f aca="false">IF($A383="","",VLOOKUP($A382,Table,MATCH(R$4,Curves,0)))</f>
        <v/>
      </c>
      <c r="S382" s="201" t="str">
        <f aca="false">IF(A383="","",R382)</f>
        <v/>
      </c>
      <c r="T382" s="185" t="n">
        <v>0</v>
      </c>
      <c r="U382" s="201" t="str">
        <f aca="false">IF(A383="","",T382)</f>
        <v/>
      </c>
      <c r="V382" s="205"/>
      <c r="W382" s="202" t="str">
        <f aca="false">IF($A383="","",(T382+R382+G382+V382))</f>
        <v/>
      </c>
      <c r="X382" s="202" t="str">
        <f aca="false">IF($A383="","",(U382+S382+H382+V382))</f>
        <v/>
      </c>
      <c r="Y382" s="202"/>
      <c r="Z382" s="185"/>
      <c r="AG382" s="182"/>
      <c r="AH382" s="182"/>
      <c r="AI382" s="182"/>
      <c r="AJ382" s="218"/>
      <c r="AK382" s="218"/>
      <c r="AL382" s="218"/>
      <c r="AM382" s="218"/>
      <c r="AN382" s="218"/>
      <c r="AO382" s="137" t="str">
        <f aca="false">IF(A383="","",A383-A382)</f>
        <v/>
      </c>
      <c r="AP382" s="212" t="str">
        <f aca="false">IF(A383="","",CHOOSE(F$3,A383+24,A382))</f>
        <v/>
      </c>
      <c r="AQ382" s="209" t="str">
        <f aca="false">IF(A383="","",AP382-$E$1)</f>
        <v/>
      </c>
      <c r="AR382" s="185" t="n">
        <f aca="false">'ANR OK vs ML7'!AR382</f>
        <v>0.1</v>
      </c>
      <c r="AS382" s="213" t="str">
        <f aca="false">IF(A383="","",1/(1+CHOOSE(F$3,(AR383+($I$3/10000))/2,(AR382+($I$3/10000))/2))^(2*AQ382/365.25))</f>
        <v/>
      </c>
      <c r="AT382" s="137" t="str">
        <f aca="false">IF(A383="","",IF(AND(mthbeg&lt;=A382,mthend&gt;=A382),1,0))</f>
        <v/>
      </c>
      <c r="AU382" s="137" t="str">
        <f aca="false">IF(A383="","",AO382*AT382)</f>
        <v/>
      </c>
      <c r="AW382" s="195" t="str">
        <f aca="false">IF($A383="","",AL382*$E382)</f>
        <v/>
      </c>
      <c r="AX382" s="195" t="str">
        <f aca="false">IF($A383="","",AM382*$E382)</f>
        <v/>
      </c>
      <c r="AY382" s="195" t="str">
        <f aca="false">IF($A383="","",AN382*$E382)</f>
        <v/>
      </c>
      <c r="BA382" s="195" t="str">
        <f aca="false">IF($A383="","",F382*Summary!$Q$13)</f>
        <v/>
      </c>
    </row>
    <row r="383" customFormat="false" ht="12.75" hidden="false" customHeight="false" outlineLevel="0" collapsed="false">
      <c r="A383" s="196" t="str">
        <f aca="false">IF(A382&lt;mthend,EDATE(A382,1),"")</f>
        <v/>
      </c>
      <c r="B383" s="197" t="str">
        <f aca="false">IF(A383&lt;mthend,B382,"")</f>
        <v/>
      </c>
      <c r="D383" s="197" t="str">
        <f aca="false">IF(A384&lt;&gt;"",B383+C383,"")</f>
        <v/>
      </c>
      <c r="E383" s="199" t="str">
        <f aca="false">IF(A384="","",IF(AND(AT383=1,$H$3=1),D383*AO383,IF($H$3=2,D383,"N/A")))</f>
        <v/>
      </c>
      <c r="F383" s="199" t="str">
        <f aca="false">IF(A384="","",E383*AS383)</f>
        <v/>
      </c>
      <c r="G383" s="200" t="str">
        <f aca="false">IF($A384="","",VLOOKUP($A383,Table,MATCH(G$4,Curves,0)))</f>
        <v/>
      </c>
      <c r="H383" s="201" t="str">
        <f aca="false">IF(A384="","",G383)</f>
        <v/>
      </c>
      <c r="J383" s="200" t="str">
        <f aca="false">IF($A384="","",VLOOKUP($A383,Table,MATCH(J$4,Curves,0)))</f>
        <v/>
      </c>
      <c r="K383" s="201" t="str">
        <f aca="false">IF(A384="","",J383)</f>
        <v/>
      </c>
      <c r="L383" s="185" t="n">
        <v>0</v>
      </c>
      <c r="M383" s="201" t="str">
        <f aca="false">IF(A384="","",L383)</f>
        <v/>
      </c>
      <c r="O383" s="200" t="str">
        <f aca="false">IF(A384="","",L383+J383+G383)</f>
        <v/>
      </c>
      <c r="P383" s="200" t="str">
        <f aca="false">IF(A384="","",M383+K383+H383)</f>
        <v/>
      </c>
      <c r="R383" s="200" t="str">
        <f aca="false">IF($A384="","",VLOOKUP($A383,Table,MATCH(R$4,Curves,0)))</f>
        <v/>
      </c>
      <c r="S383" s="201" t="str">
        <f aca="false">IF(A384="","",R383)</f>
        <v/>
      </c>
      <c r="T383" s="185" t="n">
        <v>0</v>
      </c>
      <c r="U383" s="201" t="str">
        <f aca="false">IF(A384="","",T383)</f>
        <v/>
      </c>
      <c r="V383" s="205"/>
      <c r="W383" s="202" t="str">
        <f aca="false">IF($A384="","",(T383+R383+G383+V383))</f>
        <v/>
      </c>
      <c r="X383" s="202" t="str">
        <f aca="false">IF($A384="","",(U383+S383+H383+V383))</f>
        <v/>
      </c>
      <c r="Y383" s="202"/>
      <c r="Z383" s="185"/>
      <c r="AG383" s="182"/>
      <c r="AH383" s="182"/>
      <c r="AI383" s="182"/>
      <c r="AJ383" s="218"/>
      <c r="AK383" s="218"/>
      <c r="AL383" s="218"/>
      <c r="AM383" s="218"/>
      <c r="AN383" s="218"/>
      <c r="AO383" s="137" t="str">
        <f aca="false">IF(A384="","",A384-A383)</f>
        <v/>
      </c>
      <c r="AP383" s="212" t="str">
        <f aca="false">IF(A384="","",CHOOSE(F$3,A384+24,A383))</f>
        <v/>
      </c>
      <c r="AQ383" s="209" t="str">
        <f aca="false">IF(A384="","",AP383-$E$1)</f>
        <v/>
      </c>
      <c r="AR383" s="185" t="n">
        <f aca="false">'ANR OK vs ML7'!AR383</f>
        <v>0.1</v>
      </c>
      <c r="AS383" s="213" t="str">
        <f aca="false">IF(A384="","",1/(1+CHOOSE(F$3,(AR384+($I$3/10000))/2,(AR383+($I$3/10000))/2))^(2*AQ383/365.25))</f>
        <v/>
      </c>
      <c r="AT383" s="137" t="str">
        <f aca="false">IF(A384="","",IF(AND(mthbeg&lt;=A383,mthend&gt;=A383),1,0))</f>
        <v/>
      </c>
      <c r="AU383" s="137" t="str">
        <f aca="false">IF(A384="","",AO383*AT383)</f>
        <v/>
      </c>
      <c r="AW383" s="195" t="str">
        <f aca="false">IF($A384="","",AL383*$E383)</f>
        <v/>
      </c>
      <c r="AX383" s="195" t="str">
        <f aca="false">IF($A384="","",AM383*$E383)</f>
        <v/>
      </c>
      <c r="AY383" s="195" t="str">
        <f aca="false">IF($A384="","",AN383*$E383)</f>
        <v/>
      </c>
      <c r="BA383" s="195" t="str">
        <f aca="false">IF($A384="","",F383*Summary!$Q$13)</f>
        <v/>
      </c>
    </row>
    <row r="384" customFormat="false" ht="12.75" hidden="false" customHeight="false" outlineLevel="0" collapsed="false">
      <c r="A384" s="196" t="str">
        <f aca="false">IF(A383&lt;mthend,EDATE(A383,1),"")</f>
        <v/>
      </c>
      <c r="B384" s="197" t="str">
        <f aca="false">IF(A384&lt;mthend,B383,"")</f>
        <v/>
      </c>
      <c r="D384" s="197" t="str">
        <f aca="false">IF(A385&lt;&gt;"",B384+C384,"")</f>
        <v/>
      </c>
      <c r="E384" s="199" t="str">
        <f aca="false">IF(A385="","",IF(AND(AT384=1,$H$3=1),D384*AO384,IF($H$3=2,D384,"N/A")))</f>
        <v/>
      </c>
      <c r="F384" s="199" t="str">
        <f aca="false">IF(A385="","",E384*AS384)</f>
        <v/>
      </c>
      <c r="G384" s="200" t="str">
        <f aca="false">IF($A385="","",VLOOKUP($A384,Table,MATCH(G$4,Curves,0)))</f>
        <v/>
      </c>
      <c r="H384" s="201" t="str">
        <f aca="false">IF(A385="","",G384)</f>
        <v/>
      </c>
      <c r="J384" s="200" t="str">
        <f aca="false">IF($A385="","",VLOOKUP($A384,Table,MATCH(J$4,Curves,0)))</f>
        <v/>
      </c>
      <c r="K384" s="201" t="str">
        <f aca="false">IF(A385="","",J384)</f>
        <v/>
      </c>
      <c r="L384" s="185" t="n">
        <v>0</v>
      </c>
      <c r="M384" s="201" t="str">
        <f aca="false">IF(A385="","",L384)</f>
        <v/>
      </c>
      <c r="O384" s="200" t="str">
        <f aca="false">IF(A385="","",L384+J384+G384)</f>
        <v/>
      </c>
      <c r="P384" s="200" t="str">
        <f aca="false">IF(A385="","",M384+K384+H384)</f>
        <v/>
      </c>
      <c r="R384" s="200" t="str">
        <f aca="false">IF($A385="","",VLOOKUP($A384,Table,MATCH(R$4,Curves,0)))</f>
        <v/>
      </c>
      <c r="S384" s="201" t="str">
        <f aca="false">IF(A385="","",R384)</f>
        <v/>
      </c>
      <c r="T384" s="185" t="n">
        <v>0</v>
      </c>
      <c r="U384" s="201" t="str">
        <f aca="false">IF(A385="","",T384)</f>
        <v/>
      </c>
      <c r="V384" s="205"/>
      <c r="W384" s="202" t="str">
        <f aca="false">IF($A385="","",(T384+R384+G384+V384))</f>
        <v/>
      </c>
      <c r="X384" s="202" t="str">
        <f aca="false">IF($A385="","",(U384+S384+H384+V384))</f>
        <v/>
      </c>
      <c r="Y384" s="202"/>
      <c r="Z384" s="185"/>
      <c r="AG384" s="182"/>
      <c r="AH384" s="182"/>
      <c r="AI384" s="182"/>
      <c r="AJ384" s="218"/>
      <c r="AK384" s="218"/>
      <c r="AL384" s="218"/>
      <c r="AM384" s="218"/>
      <c r="AN384" s="218"/>
      <c r="AO384" s="137" t="str">
        <f aca="false">IF(A385="","",A385-A384)</f>
        <v/>
      </c>
      <c r="AP384" s="212" t="str">
        <f aca="false">IF(A385="","",CHOOSE(F$3,A385+24,A384))</f>
        <v/>
      </c>
      <c r="AQ384" s="209" t="str">
        <f aca="false">IF(A385="","",AP384-$E$1)</f>
        <v/>
      </c>
      <c r="AR384" s="185" t="n">
        <f aca="false">'ANR OK vs ML7'!AR384</f>
        <v>0.1</v>
      </c>
      <c r="AS384" s="213" t="str">
        <f aca="false">IF(A385="","",1/(1+CHOOSE(F$3,(AR385+($I$3/10000))/2,(AR384+($I$3/10000))/2))^(2*AQ384/365.25))</f>
        <v/>
      </c>
      <c r="AT384" s="137" t="str">
        <f aca="false">IF(A385="","",IF(AND(mthbeg&lt;=A384,mthend&gt;=A384),1,0))</f>
        <v/>
      </c>
      <c r="AU384" s="137" t="str">
        <f aca="false">IF(A385="","",AO384*AT384)</f>
        <v/>
      </c>
      <c r="AW384" s="195" t="str">
        <f aca="false">IF($A385="","",AL384*$E384)</f>
        <v/>
      </c>
      <c r="AX384" s="195" t="str">
        <f aca="false">IF($A385="","",AM384*$E384)</f>
        <v/>
      </c>
      <c r="AY384" s="195" t="str">
        <f aca="false">IF($A385="","",AN384*$E384)</f>
        <v/>
      </c>
      <c r="BA384" s="195" t="str">
        <f aca="false">IF($A385="","",F384*Summary!$Q$13)</f>
        <v/>
      </c>
    </row>
    <row r="385" customFormat="false" ht="12.75" hidden="false" customHeight="false" outlineLevel="0" collapsed="false">
      <c r="A385" s="196" t="str">
        <f aca="false">IF(A384&lt;mthend,EDATE(A384,1),"")</f>
        <v/>
      </c>
      <c r="B385" s="197" t="str">
        <f aca="false">IF(A385&lt;mthend,B384,"")</f>
        <v/>
      </c>
      <c r="D385" s="197" t="str">
        <f aca="false">IF(A386&lt;&gt;"",B385+C385,"")</f>
        <v/>
      </c>
      <c r="E385" s="199" t="str">
        <f aca="false">IF(A386="","",IF(AND(AT385=1,$H$3=1),D385*AO385,IF($H$3=2,D385,"N/A")))</f>
        <v/>
      </c>
      <c r="F385" s="199" t="str">
        <f aca="false">IF(A386="","",E385*AS385)</f>
        <v/>
      </c>
      <c r="G385" s="200" t="str">
        <f aca="false">IF($A386="","",VLOOKUP($A385,Table,MATCH(G$4,Curves,0)))</f>
        <v/>
      </c>
      <c r="H385" s="201" t="str">
        <f aca="false">IF(A386="","",G385)</f>
        <v/>
      </c>
      <c r="J385" s="200" t="str">
        <f aca="false">IF($A386="","",VLOOKUP($A385,Table,MATCH(J$4,Curves,0)))</f>
        <v/>
      </c>
      <c r="K385" s="201" t="str">
        <f aca="false">IF(A386="","",J385)</f>
        <v/>
      </c>
      <c r="L385" s="185" t="n">
        <v>0</v>
      </c>
      <c r="M385" s="201" t="str">
        <f aca="false">IF(A386="","",L385)</f>
        <v/>
      </c>
      <c r="O385" s="200" t="str">
        <f aca="false">IF(A386="","",L385+J385+G385)</f>
        <v/>
      </c>
      <c r="P385" s="200" t="str">
        <f aca="false">IF(A386="","",M385+K385+H385)</f>
        <v/>
      </c>
      <c r="R385" s="200" t="str">
        <f aca="false">IF($A386="","",VLOOKUP($A385,Table,MATCH(R$4,Curves,0)))</f>
        <v/>
      </c>
      <c r="S385" s="201" t="str">
        <f aca="false">IF(A386="","",R385)</f>
        <v/>
      </c>
      <c r="T385" s="185" t="n">
        <v>0</v>
      </c>
      <c r="U385" s="201" t="str">
        <f aca="false">IF(A386="","",T385)</f>
        <v/>
      </c>
      <c r="V385" s="205"/>
      <c r="W385" s="202" t="str">
        <f aca="false">IF($A386="","",(T385+R385+G385+V385))</f>
        <v/>
      </c>
      <c r="X385" s="202" t="str">
        <f aca="false">IF($A386="","",(U385+S385+H385+V385))</f>
        <v/>
      </c>
      <c r="Y385" s="202"/>
      <c r="Z385" s="185"/>
      <c r="AG385" s="182"/>
      <c r="AH385" s="182"/>
      <c r="AI385" s="182"/>
      <c r="AJ385" s="218"/>
      <c r="AK385" s="218"/>
      <c r="AL385" s="218"/>
      <c r="AM385" s="218"/>
      <c r="AN385" s="218"/>
      <c r="AO385" s="137" t="str">
        <f aca="false">IF(A386="","",A386-A385)</f>
        <v/>
      </c>
      <c r="AP385" s="212" t="str">
        <f aca="false">IF(A386="","",CHOOSE(F$3,A386+24,A385))</f>
        <v/>
      </c>
      <c r="AQ385" s="209" t="str">
        <f aca="false">IF(A386="","",AP385-$E$1)</f>
        <v/>
      </c>
      <c r="AR385" s="185" t="n">
        <f aca="false">'ANR OK vs ML7'!AR385</f>
        <v>0.1</v>
      </c>
      <c r="AS385" s="213" t="str">
        <f aca="false">IF(A386="","",1/(1+CHOOSE(F$3,(AR386+($I$3/10000))/2,(AR385+($I$3/10000))/2))^(2*AQ385/365.25))</f>
        <v/>
      </c>
      <c r="AT385" s="137" t="str">
        <f aca="false">IF(A386="","",IF(AND(mthbeg&lt;=A385,mthend&gt;=A385),1,0))</f>
        <v/>
      </c>
      <c r="AU385" s="137" t="str">
        <f aca="false">IF(A386="","",AO385*AT385)</f>
        <v/>
      </c>
      <c r="AW385" s="195" t="str">
        <f aca="false">IF($A386="","",AL385*$E385)</f>
        <v/>
      </c>
      <c r="AX385" s="195" t="str">
        <f aca="false">IF($A386="","",AM385*$E385)</f>
        <v/>
      </c>
      <c r="AY385" s="195" t="str">
        <f aca="false">IF($A386="","",AN385*$E385)</f>
        <v/>
      </c>
      <c r="BA385" s="195" t="str">
        <f aca="false">IF($A386="","",F385*Summary!$Q$13)</f>
        <v/>
      </c>
    </row>
    <row r="386" customFormat="false" ht="12.75" hidden="false" customHeight="false" outlineLevel="0" collapsed="false">
      <c r="A386" s="196" t="str">
        <f aca="false">IF(A385&lt;mthend,EDATE(A385,1),"")</f>
        <v/>
      </c>
      <c r="B386" s="197" t="str">
        <f aca="false">IF(A386&lt;mthend,B385,"")</f>
        <v/>
      </c>
      <c r="D386" s="197" t="str">
        <f aca="false">IF(A387&lt;&gt;"",B386+C386,"")</f>
        <v/>
      </c>
      <c r="E386" s="199" t="str">
        <f aca="false">IF(A387="","",IF(AND(AT386=1,$H$3=1),D386*AO386,IF($H$3=2,D386,"N/A")))</f>
        <v/>
      </c>
      <c r="F386" s="199" t="str">
        <f aca="false">IF(A387="","",E386*AS386)</f>
        <v/>
      </c>
      <c r="G386" s="200" t="str">
        <f aca="false">IF($A387="","",VLOOKUP($A386,Table,MATCH(G$4,Curves,0)))</f>
        <v/>
      </c>
      <c r="H386" s="201" t="str">
        <f aca="false">IF(A387="","",G386)</f>
        <v/>
      </c>
      <c r="J386" s="200" t="str">
        <f aca="false">IF($A387="","",VLOOKUP($A386,Table,MATCH(J$4,Curves,0)))</f>
        <v/>
      </c>
      <c r="K386" s="201" t="str">
        <f aca="false">IF(A387="","",J386)</f>
        <v/>
      </c>
      <c r="L386" s="185" t="n">
        <v>0</v>
      </c>
      <c r="M386" s="201" t="str">
        <f aca="false">IF(A387="","",L386)</f>
        <v/>
      </c>
      <c r="O386" s="200" t="str">
        <f aca="false">IF(A387="","",L386+J386+G386)</f>
        <v/>
      </c>
      <c r="P386" s="200" t="str">
        <f aca="false">IF(A387="","",M386+K386+H386)</f>
        <v/>
      </c>
      <c r="R386" s="200" t="str">
        <f aca="false">IF($A387="","",VLOOKUP($A386,Table,MATCH(R$4,Curves,0)))</f>
        <v/>
      </c>
      <c r="S386" s="201" t="str">
        <f aca="false">IF(A387="","",R386)</f>
        <v/>
      </c>
      <c r="T386" s="185" t="n">
        <v>0</v>
      </c>
      <c r="U386" s="201" t="str">
        <f aca="false">IF(A387="","",T386)</f>
        <v/>
      </c>
      <c r="V386" s="205"/>
      <c r="W386" s="202" t="str">
        <f aca="false">IF($A387="","",(T386+R386+G386+V386))</f>
        <v/>
      </c>
      <c r="X386" s="202" t="str">
        <f aca="false">IF($A387="","",(U386+S386+H386+V386))</f>
        <v/>
      </c>
      <c r="Y386" s="202"/>
      <c r="Z386" s="185"/>
      <c r="AG386" s="182"/>
      <c r="AH386" s="182"/>
      <c r="AI386" s="182"/>
      <c r="AJ386" s="218"/>
      <c r="AK386" s="218"/>
      <c r="AL386" s="218"/>
      <c r="AM386" s="218"/>
      <c r="AN386" s="218"/>
      <c r="AO386" s="137" t="str">
        <f aca="false">IF(A387="","",A387-A386)</f>
        <v/>
      </c>
      <c r="AP386" s="212" t="str">
        <f aca="false">IF(A387="","",CHOOSE(F$3,A387+24,A386))</f>
        <v/>
      </c>
      <c r="AQ386" s="209" t="str">
        <f aca="false">IF(A387="","",AP386-$E$1)</f>
        <v/>
      </c>
      <c r="AR386" s="185" t="n">
        <f aca="false">'ANR OK vs ML7'!AR386</f>
        <v>0.1</v>
      </c>
      <c r="AS386" s="213" t="str">
        <f aca="false">IF(A387="","",1/(1+CHOOSE(F$3,(AR387+($I$3/10000))/2,(AR386+($I$3/10000))/2))^(2*AQ386/365.25))</f>
        <v/>
      </c>
      <c r="AT386" s="137" t="str">
        <f aca="false">IF(A387="","",IF(AND(mthbeg&lt;=A386,mthend&gt;=A386),1,0))</f>
        <v/>
      </c>
      <c r="AU386" s="137" t="str">
        <f aca="false">IF(A387="","",AO386*AT386)</f>
        <v/>
      </c>
      <c r="AW386" s="195" t="str">
        <f aca="false">IF($A387="","",AL386*$E386)</f>
        <v/>
      </c>
      <c r="AX386" s="195" t="str">
        <f aca="false">IF($A387="","",AM386*$E386)</f>
        <v/>
      </c>
      <c r="AY386" s="195" t="str">
        <f aca="false">IF($A387="","",AN386*$E386)</f>
        <v/>
      </c>
      <c r="BA386" s="195" t="str">
        <f aca="false">IF($A387="","",F386*Summary!$Q$13)</f>
        <v/>
      </c>
    </row>
    <row r="387" customFormat="false" ht="12.75" hidden="false" customHeight="false" outlineLevel="0" collapsed="false">
      <c r="A387" s="196" t="str">
        <f aca="false">IF(A386&lt;mthend,EDATE(A386,1),"")</f>
        <v/>
      </c>
      <c r="B387" s="197" t="str">
        <f aca="false">IF(A387&lt;mthend,B386,"")</f>
        <v/>
      </c>
      <c r="D387" s="197" t="str">
        <f aca="false">IF(A388&lt;&gt;"",B387+C387,"")</f>
        <v/>
      </c>
      <c r="E387" s="199" t="str">
        <f aca="false">IF(A388="","",IF(AND(AT387=1,$H$3=1),D387*AO387,IF($H$3=2,D387,"N/A")))</f>
        <v/>
      </c>
      <c r="F387" s="199" t="str">
        <f aca="false">IF(A388="","",E387*AS387)</f>
        <v/>
      </c>
      <c r="G387" s="200" t="str">
        <f aca="false">IF($A388="","",VLOOKUP($A387,Table,MATCH(G$4,Curves,0)))</f>
        <v/>
      </c>
      <c r="H387" s="201" t="str">
        <f aca="false">IF(A388="","",G387)</f>
        <v/>
      </c>
      <c r="J387" s="200" t="str">
        <f aca="false">IF($A388="","",VLOOKUP($A387,Table,MATCH(J$4,Curves,0)))</f>
        <v/>
      </c>
      <c r="K387" s="201" t="str">
        <f aca="false">IF(A388="","",J387)</f>
        <v/>
      </c>
      <c r="L387" s="185" t="n">
        <v>0</v>
      </c>
      <c r="M387" s="201" t="str">
        <f aca="false">IF(A388="","",L387)</f>
        <v/>
      </c>
      <c r="O387" s="200" t="str">
        <f aca="false">IF(A388="","",L387+J387+G387)</f>
        <v/>
      </c>
      <c r="P387" s="200" t="str">
        <f aca="false">IF(A388="","",M387+K387+H387)</f>
        <v/>
      </c>
      <c r="R387" s="200" t="str">
        <f aca="false">IF($A388="","",VLOOKUP($A387,Table,MATCH(R$4,Curves,0)))</f>
        <v/>
      </c>
      <c r="S387" s="201" t="str">
        <f aca="false">IF(A388="","",R387)</f>
        <v/>
      </c>
      <c r="T387" s="185" t="n">
        <v>0</v>
      </c>
      <c r="U387" s="201" t="str">
        <f aca="false">IF(A388="","",T387)</f>
        <v/>
      </c>
      <c r="V387" s="205"/>
      <c r="W387" s="202" t="str">
        <f aca="false">IF($A388="","",(T387+R387+G387+V387))</f>
        <v/>
      </c>
      <c r="X387" s="202" t="str">
        <f aca="false">IF($A388="","",(U387+S387+H387+V387))</f>
        <v/>
      </c>
      <c r="Y387" s="202"/>
      <c r="Z387" s="185"/>
      <c r="AG387" s="182"/>
      <c r="AH387" s="182"/>
      <c r="AI387" s="182"/>
      <c r="AJ387" s="218"/>
      <c r="AK387" s="218"/>
      <c r="AL387" s="218"/>
      <c r="AM387" s="218"/>
      <c r="AN387" s="218"/>
      <c r="AO387" s="137" t="str">
        <f aca="false">IF(A388="","",A388-A387)</f>
        <v/>
      </c>
      <c r="AP387" s="212" t="str">
        <f aca="false">IF(A388="","",CHOOSE(F$3,A388+24,A387))</f>
        <v/>
      </c>
      <c r="AQ387" s="209" t="str">
        <f aca="false">IF(A388="","",AP387-$E$1)</f>
        <v/>
      </c>
      <c r="AR387" s="185" t="n">
        <f aca="false">'ANR OK vs ML7'!AR387</f>
        <v>0.1</v>
      </c>
      <c r="AS387" s="213" t="str">
        <f aca="false">IF(A388="","",1/(1+CHOOSE(F$3,(AR388+($I$3/10000))/2,(AR387+($I$3/10000))/2))^(2*AQ387/365.25))</f>
        <v/>
      </c>
      <c r="AT387" s="137" t="str">
        <f aca="false">IF(A388="","",IF(AND(mthbeg&lt;=A387,mthend&gt;=A387),1,0))</f>
        <v/>
      </c>
      <c r="AU387" s="137" t="str">
        <f aca="false">IF(A388="","",AO387*AT387)</f>
        <v/>
      </c>
      <c r="AW387" s="195" t="str">
        <f aca="false">IF($A388="","",AL387*$E387)</f>
        <v/>
      </c>
      <c r="AX387" s="195" t="str">
        <f aca="false">IF($A388="","",AM387*$E387)</f>
        <v/>
      </c>
      <c r="AY387" s="195" t="str">
        <f aca="false">IF($A388="","",AN387*$E387)</f>
        <v/>
      </c>
      <c r="BA387" s="195" t="str">
        <f aca="false">IF($A388="","",F387*Summary!$Q$13)</f>
        <v/>
      </c>
    </row>
    <row r="388" customFormat="false" ht="12.75" hidden="false" customHeight="false" outlineLevel="0" collapsed="false">
      <c r="A388" s="196" t="str">
        <f aca="false">IF(A387&lt;mthend,EDATE(A387,1),"")</f>
        <v/>
      </c>
      <c r="B388" s="197" t="str">
        <f aca="false">IF(A388&lt;mthend,B387,"")</f>
        <v/>
      </c>
      <c r="D388" s="197" t="str">
        <f aca="false">IF(A389&lt;&gt;"",B388+C388,"")</f>
        <v/>
      </c>
      <c r="E388" s="199" t="str">
        <f aca="false">IF(A389="","",IF(AND(AT388=1,$H$3=1),D388*AO388,IF($H$3=2,D388,"N/A")))</f>
        <v/>
      </c>
      <c r="F388" s="199" t="str">
        <f aca="false">IF(A389="","",E388*AS388)</f>
        <v/>
      </c>
      <c r="G388" s="200" t="str">
        <f aca="false">IF($A389="","",VLOOKUP($A388,Table,MATCH(G$4,Curves,0)))</f>
        <v/>
      </c>
      <c r="H388" s="201" t="str">
        <f aca="false">IF(A389="","",G388)</f>
        <v/>
      </c>
      <c r="J388" s="200" t="str">
        <f aca="false">IF($A389="","",VLOOKUP($A388,Table,MATCH(J$4,Curves,0)))</f>
        <v/>
      </c>
      <c r="K388" s="201" t="str">
        <f aca="false">IF(A389="","",J388)</f>
        <v/>
      </c>
      <c r="L388" s="185" t="n">
        <v>0</v>
      </c>
      <c r="M388" s="201" t="str">
        <f aca="false">IF(A389="","",L388)</f>
        <v/>
      </c>
      <c r="O388" s="200" t="str">
        <f aca="false">IF(A389="","",L388+J388+G388)</f>
        <v/>
      </c>
      <c r="P388" s="200" t="str">
        <f aca="false">IF(A389="","",M388+K388+H388)</f>
        <v/>
      </c>
      <c r="R388" s="200" t="str">
        <f aca="false">IF($A389="","",VLOOKUP($A388,Table,MATCH(R$4,Curves,0)))</f>
        <v/>
      </c>
      <c r="S388" s="201" t="str">
        <f aca="false">IF(A389="","",R388)</f>
        <v/>
      </c>
      <c r="T388" s="185" t="n">
        <v>0</v>
      </c>
      <c r="U388" s="201" t="str">
        <f aca="false">IF(A389="","",T388)</f>
        <v/>
      </c>
      <c r="V388" s="205"/>
      <c r="W388" s="202" t="str">
        <f aca="false">IF($A389="","",(T388+R388+G388+V388))</f>
        <v/>
      </c>
      <c r="X388" s="202" t="str">
        <f aca="false">IF($A389="","",(U388+S388+H388+V388))</f>
        <v/>
      </c>
      <c r="Y388" s="202"/>
      <c r="Z388" s="185"/>
      <c r="AG388" s="182"/>
      <c r="AH388" s="182"/>
      <c r="AI388" s="182"/>
      <c r="AJ388" s="218"/>
      <c r="AK388" s="218"/>
      <c r="AL388" s="218"/>
      <c r="AM388" s="218"/>
      <c r="AN388" s="218"/>
      <c r="AO388" s="137" t="str">
        <f aca="false">IF(A389="","",A389-A388)</f>
        <v/>
      </c>
      <c r="AP388" s="212" t="str">
        <f aca="false">IF(A389="","",CHOOSE(F$3,A389+24,A388))</f>
        <v/>
      </c>
      <c r="AQ388" s="209" t="str">
        <f aca="false">IF(A389="","",AP388-$E$1)</f>
        <v/>
      </c>
      <c r="AR388" s="185" t="n">
        <f aca="false">'ANR OK vs ML7'!AR388</f>
        <v>0.1</v>
      </c>
      <c r="AS388" s="213" t="str">
        <f aca="false">IF(A389="","",1/(1+CHOOSE(F$3,(AR389+($I$3/10000))/2,(AR388+($I$3/10000))/2))^(2*AQ388/365.25))</f>
        <v/>
      </c>
      <c r="AT388" s="137" t="str">
        <f aca="false">IF(A389="","",IF(AND(mthbeg&lt;=A388,mthend&gt;=A388),1,0))</f>
        <v/>
      </c>
      <c r="AU388" s="137" t="str">
        <f aca="false">IF(A389="","",AO388*AT388)</f>
        <v/>
      </c>
      <c r="AW388" s="195" t="str">
        <f aca="false">IF($A389="","",AL388*$E388)</f>
        <v/>
      </c>
      <c r="AX388" s="195" t="str">
        <f aca="false">IF($A389="","",AM388*$E388)</f>
        <v/>
      </c>
      <c r="AY388" s="195" t="str">
        <f aca="false">IF($A389="","",AN388*$E388)</f>
        <v/>
      </c>
      <c r="BA388" s="195" t="str">
        <f aca="false">IF($A389="","",F388*Summary!$Q$13)</f>
        <v/>
      </c>
    </row>
    <row r="389" customFormat="false" ht="12.75" hidden="false" customHeight="false" outlineLevel="0" collapsed="false">
      <c r="A389" s="196" t="str">
        <f aca="false">IF(A388&lt;mthend,EDATE(A388,1),"")</f>
        <v/>
      </c>
      <c r="B389" s="197" t="str">
        <f aca="false">IF(A389&lt;mthend,B388,"")</f>
        <v/>
      </c>
      <c r="D389" s="197" t="str">
        <f aca="false">IF(A390&lt;&gt;"",B389+C389,"")</f>
        <v/>
      </c>
      <c r="E389" s="199" t="str">
        <f aca="false">IF(A390="","",IF(AND(AT389=1,$H$3=1),D389*AO389,IF($H$3=2,D389,"N/A")))</f>
        <v/>
      </c>
      <c r="F389" s="199" t="str">
        <f aca="false">IF(A390="","",E389*AS389)</f>
        <v/>
      </c>
      <c r="G389" s="200" t="str">
        <f aca="false">IF($A390="","",VLOOKUP($A389,Table,MATCH(G$4,Curves,0)))</f>
        <v/>
      </c>
      <c r="H389" s="201" t="str">
        <f aca="false">IF(A390="","",G389)</f>
        <v/>
      </c>
      <c r="J389" s="200" t="str">
        <f aca="false">IF($A390="","",VLOOKUP($A389,Table,MATCH(J$4,Curves,0)))</f>
        <v/>
      </c>
      <c r="K389" s="201" t="str">
        <f aca="false">IF(A390="","",J389)</f>
        <v/>
      </c>
      <c r="L389" s="185" t="n">
        <v>0</v>
      </c>
      <c r="M389" s="201" t="str">
        <f aca="false">IF(A390="","",L389)</f>
        <v/>
      </c>
      <c r="O389" s="200" t="str">
        <f aca="false">IF(A390="","",L389+J389+G389)</f>
        <v/>
      </c>
      <c r="P389" s="200" t="str">
        <f aca="false">IF(A390="","",M389+K389+H389)</f>
        <v/>
      </c>
      <c r="R389" s="200" t="str">
        <f aca="false">IF($A390="","",VLOOKUP($A389,Table,MATCH(R$4,Curves,0)))</f>
        <v/>
      </c>
      <c r="S389" s="201" t="str">
        <f aca="false">IF(A390="","",R389)</f>
        <v/>
      </c>
      <c r="T389" s="185" t="n">
        <v>0</v>
      </c>
      <c r="U389" s="201" t="str">
        <f aca="false">IF(A390="","",T389)</f>
        <v/>
      </c>
      <c r="V389" s="205"/>
      <c r="W389" s="202" t="str">
        <f aca="false">IF($A390="","",(T389+R389+G389+V389))</f>
        <v/>
      </c>
      <c r="X389" s="202" t="str">
        <f aca="false">IF($A390="","",(U389+S389+H389+V389))</f>
        <v/>
      </c>
      <c r="Y389" s="202"/>
      <c r="Z389" s="185"/>
      <c r="AG389" s="182"/>
      <c r="AH389" s="182"/>
      <c r="AI389" s="182"/>
      <c r="AJ389" s="218"/>
      <c r="AK389" s="218"/>
      <c r="AL389" s="218"/>
      <c r="AM389" s="218"/>
      <c r="AN389" s="218"/>
      <c r="AO389" s="137" t="str">
        <f aca="false">IF(A390="","",A390-A389)</f>
        <v/>
      </c>
      <c r="AP389" s="212" t="str">
        <f aca="false">IF(A390="","",CHOOSE(F$3,A390+24,A389))</f>
        <v/>
      </c>
      <c r="AQ389" s="209" t="str">
        <f aca="false">IF(A390="","",AP389-$E$1)</f>
        <v/>
      </c>
      <c r="AR389" s="185" t="n">
        <f aca="false">'ANR OK vs ML7'!AR389</f>
        <v>0.1</v>
      </c>
      <c r="AS389" s="213" t="str">
        <f aca="false">IF(A390="","",1/(1+CHOOSE(F$3,(AR390+($I$3/10000))/2,(AR389+($I$3/10000))/2))^(2*AQ389/365.25))</f>
        <v/>
      </c>
      <c r="AT389" s="137" t="str">
        <f aca="false">IF(A390="","",IF(AND(mthbeg&lt;=A389,mthend&gt;=A389),1,0))</f>
        <v/>
      </c>
      <c r="AU389" s="137" t="str">
        <f aca="false">IF(A390="","",AO389*AT389)</f>
        <v/>
      </c>
      <c r="AW389" s="195" t="str">
        <f aca="false">IF($A390="","",AL389*$E389)</f>
        <v/>
      </c>
      <c r="AX389" s="195" t="str">
        <f aca="false">IF($A390="","",AM389*$E389)</f>
        <v/>
      </c>
      <c r="AY389" s="195" t="str">
        <f aca="false">IF($A390="","",AN389*$E389)</f>
        <v/>
      </c>
      <c r="BA389" s="195" t="str">
        <f aca="false">IF($A390="","",F389*Summary!$Q$13)</f>
        <v/>
      </c>
    </row>
    <row r="390" customFormat="false" ht="12.75" hidden="false" customHeight="false" outlineLevel="0" collapsed="false">
      <c r="A390" s="196" t="str">
        <f aca="false">IF(A389&lt;mthend,EDATE(A389,1),"")</f>
        <v/>
      </c>
      <c r="B390" s="197" t="str">
        <f aca="false">IF(A390&lt;mthend,B389,"")</f>
        <v/>
      </c>
      <c r="D390" s="197" t="str">
        <f aca="false">IF(A391&lt;&gt;"",B390+C390,"")</f>
        <v/>
      </c>
      <c r="E390" s="199" t="str">
        <f aca="false">IF(A391="","",IF(AND(AT390=1,$H$3=1),D390*AO390,IF($H$3=2,D390,"N/A")))</f>
        <v/>
      </c>
      <c r="F390" s="199" t="str">
        <f aca="false">IF(A391="","",E390*AS390)</f>
        <v/>
      </c>
      <c r="G390" s="200" t="str">
        <f aca="false">IF($A391="","",VLOOKUP($A390,Table,MATCH(G$4,Curves,0)))</f>
        <v/>
      </c>
      <c r="H390" s="201" t="str">
        <f aca="false">IF(A391="","",G390)</f>
        <v/>
      </c>
      <c r="J390" s="200" t="str">
        <f aca="false">IF($A391="","",VLOOKUP($A390,Table,MATCH(J$4,Curves,0)))</f>
        <v/>
      </c>
      <c r="K390" s="201" t="str">
        <f aca="false">IF(A391="","",J390)</f>
        <v/>
      </c>
      <c r="L390" s="185" t="n">
        <v>0</v>
      </c>
      <c r="M390" s="201" t="str">
        <f aca="false">IF(A391="","",L390)</f>
        <v/>
      </c>
      <c r="O390" s="200" t="str">
        <f aca="false">IF(A391="","",L390+J390+G390)</f>
        <v/>
      </c>
      <c r="P390" s="200" t="str">
        <f aca="false">IF(A391="","",M390+K390+H390)</f>
        <v/>
      </c>
      <c r="R390" s="200" t="str">
        <f aca="false">IF($A391="","",VLOOKUP($A390,Table,MATCH(R$4,Curves,0)))</f>
        <v/>
      </c>
      <c r="S390" s="201" t="str">
        <f aca="false">IF(A391="","",R390)</f>
        <v/>
      </c>
      <c r="T390" s="185" t="n">
        <v>0</v>
      </c>
      <c r="U390" s="201" t="str">
        <f aca="false">IF(A391="","",T390)</f>
        <v/>
      </c>
      <c r="V390" s="205"/>
      <c r="W390" s="202" t="str">
        <f aca="false">IF($A391="","",(T390+R390+G390+V390))</f>
        <v/>
      </c>
      <c r="X390" s="202" t="str">
        <f aca="false">IF($A391="","",(U390+S390+H390+V390))</f>
        <v/>
      </c>
      <c r="Y390" s="202"/>
      <c r="Z390" s="185"/>
      <c r="AG390" s="182"/>
      <c r="AH390" s="182"/>
      <c r="AI390" s="182"/>
      <c r="AJ390" s="218"/>
      <c r="AK390" s="218"/>
      <c r="AL390" s="218"/>
      <c r="AM390" s="218"/>
      <c r="AN390" s="218"/>
      <c r="AO390" s="137" t="str">
        <f aca="false">IF(A391="","",A391-A390)</f>
        <v/>
      </c>
      <c r="AP390" s="212" t="str">
        <f aca="false">IF(A391="","",CHOOSE(F$3,A391+24,A390))</f>
        <v/>
      </c>
      <c r="AQ390" s="209" t="str">
        <f aca="false">IF(A391="","",AP390-$E$1)</f>
        <v/>
      </c>
      <c r="AR390" s="185" t="n">
        <f aca="false">'ANR OK vs ML7'!AR390</f>
        <v>0.1</v>
      </c>
      <c r="AS390" s="213" t="str">
        <f aca="false">IF(A391="","",1/(1+CHOOSE(F$3,(AR391+($I$3/10000))/2,(AR390+($I$3/10000))/2))^(2*AQ390/365.25))</f>
        <v/>
      </c>
      <c r="AT390" s="137" t="str">
        <f aca="false">IF(A391="","",IF(AND(mthbeg&lt;=A390,mthend&gt;=A390),1,0))</f>
        <v/>
      </c>
      <c r="AU390" s="137" t="str">
        <f aca="false">IF(A391="","",AO390*AT390)</f>
        <v/>
      </c>
      <c r="AW390" s="195" t="str">
        <f aca="false">IF($A391="","",AL390*$E390)</f>
        <v/>
      </c>
      <c r="AX390" s="195" t="str">
        <f aca="false">IF($A391="","",AM390*$E390)</f>
        <v/>
      </c>
      <c r="AY390" s="195" t="str">
        <f aca="false">IF($A391="","",AN390*$E390)</f>
        <v/>
      </c>
      <c r="BA390" s="195" t="str">
        <f aca="false">IF($A391="","",F390*Summary!$Q$13)</f>
        <v/>
      </c>
    </row>
    <row r="391" customFormat="false" ht="12.75" hidden="false" customHeight="false" outlineLevel="0" collapsed="false">
      <c r="A391" s="196" t="str">
        <f aca="false">IF(A390&lt;mthend,EDATE(A390,1),"")</f>
        <v/>
      </c>
      <c r="B391" s="197" t="str">
        <f aca="false">IF(A391&lt;mthend,B390,"")</f>
        <v/>
      </c>
      <c r="D391" s="197" t="str">
        <f aca="false">IF(A392&lt;&gt;"",B391+C391,"")</f>
        <v/>
      </c>
      <c r="E391" s="199" t="str">
        <f aca="false">IF(A392="","",IF(AND(AT391=1,$H$3=1),D391*AO391,IF($H$3=2,D391,"N/A")))</f>
        <v/>
      </c>
      <c r="F391" s="199" t="str">
        <f aca="false">IF(A392="","",E391*AS391)</f>
        <v/>
      </c>
      <c r="G391" s="200" t="str">
        <f aca="false">IF($A392="","",VLOOKUP($A391,Table,MATCH(G$4,Curves,0)))</f>
        <v/>
      </c>
      <c r="H391" s="201" t="str">
        <f aca="false">IF(A392="","",G391)</f>
        <v/>
      </c>
      <c r="J391" s="200" t="str">
        <f aca="false">IF($A392="","",VLOOKUP($A391,Table,MATCH(J$4,Curves,0)))</f>
        <v/>
      </c>
      <c r="K391" s="201" t="str">
        <f aca="false">IF(A392="","",J391)</f>
        <v/>
      </c>
      <c r="L391" s="185" t="n">
        <v>0</v>
      </c>
      <c r="M391" s="201" t="str">
        <f aca="false">IF(A392="","",L391)</f>
        <v/>
      </c>
      <c r="O391" s="200" t="str">
        <f aca="false">IF(A392="","",L391+J391+G391)</f>
        <v/>
      </c>
      <c r="P391" s="200" t="str">
        <f aca="false">IF(A392="","",M391+K391+H391)</f>
        <v/>
      </c>
      <c r="R391" s="200" t="str">
        <f aca="false">IF($A392="","",VLOOKUP($A391,Table,MATCH(R$4,Curves,0)))</f>
        <v/>
      </c>
      <c r="S391" s="201" t="str">
        <f aca="false">IF(A392="","",R391)</f>
        <v/>
      </c>
      <c r="T391" s="185" t="n">
        <v>0</v>
      </c>
      <c r="U391" s="201" t="str">
        <f aca="false">IF(A392="","",T391)</f>
        <v/>
      </c>
      <c r="V391" s="205"/>
      <c r="W391" s="202" t="str">
        <f aca="false">IF($A392="","",(T391+R391+G391+V391))</f>
        <v/>
      </c>
      <c r="X391" s="202" t="str">
        <f aca="false">IF($A392="","",(U391+S391+H391+V391))</f>
        <v/>
      </c>
      <c r="Y391" s="202"/>
      <c r="Z391" s="185"/>
      <c r="AG391" s="182"/>
      <c r="AH391" s="182"/>
      <c r="AI391" s="182"/>
      <c r="AJ391" s="218"/>
      <c r="AK391" s="218"/>
      <c r="AL391" s="218"/>
      <c r="AM391" s="218"/>
      <c r="AN391" s="218"/>
      <c r="AO391" s="137" t="str">
        <f aca="false">IF(A392="","",A392-A391)</f>
        <v/>
      </c>
      <c r="AP391" s="212" t="str">
        <f aca="false">IF(A392="","",CHOOSE(F$3,A392+24,A391))</f>
        <v/>
      </c>
      <c r="AQ391" s="209" t="str">
        <f aca="false">IF(A392="","",AP391-$E$1)</f>
        <v/>
      </c>
      <c r="AR391" s="185" t="n">
        <f aca="false">'ANR OK vs ML7'!AR391</f>
        <v>0.1</v>
      </c>
      <c r="AS391" s="213" t="str">
        <f aca="false">IF(A392="","",1/(1+CHOOSE(F$3,(AR392+($I$3/10000))/2,(AR391+($I$3/10000))/2))^(2*AQ391/365.25))</f>
        <v/>
      </c>
      <c r="AT391" s="137" t="str">
        <f aca="false">IF(A392="","",IF(AND(mthbeg&lt;=A391,mthend&gt;=A391),1,0))</f>
        <v/>
      </c>
      <c r="AU391" s="137" t="str">
        <f aca="false">IF(A392="","",AO391*AT391)</f>
        <v/>
      </c>
      <c r="AW391" s="195" t="str">
        <f aca="false">IF($A392="","",AL391*$E391)</f>
        <v/>
      </c>
      <c r="AX391" s="195" t="str">
        <f aca="false">IF($A392="","",AM391*$E391)</f>
        <v/>
      </c>
      <c r="AY391" s="195" t="str">
        <f aca="false">IF($A392="","",AN391*$E391)</f>
        <v/>
      </c>
      <c r="BA391" s="195" t="str">
        <f aca="false">IF($A392="","",F391*Summary!$Q$13)</f>
        <v/>
      </c>
    </row>
    <row r="392" customFormat="false" ht="12.75" hidden="false" customHeight="false" outlineLevel="0" collapsed="false">
      <c r="A392" s="196" t="str">
        <f aca="false">IF(A391&lt;mthend,EDATE(A391,1),"")</f>
        <v/>
      </c>
      <c r="B392" s="197" t="str">
        <f aca="false">IF(A392&lt;mthend,B391,"")</f>
        <v/>
      </c>
      <c r="D392" s="197" t="str">
        <f aca="false">IF(A393&lt;&gt;"",B392+C392,"")</f>
        <v/>
      </c>
      <c r="E392" s="199" t="str">
        <f aca="false">IF(A393="","",IF(AND(AT392=1,$H$3=1),D392*AO392,IF($H$3=2,D392,"N/A")))</f>
        <v/>
      </c>
      <c r="F392" s="199" t="str">
        <f aca="false">IF(A393="","",E392*AS392)</f>
        <v/>
      </c>
      <c r="G392" s="200" t="str">
        <f aca="false">IF($A393="","",VLOOKUP($A392,Table,MATCH(G$4,Curves,0)))</f>
        <v/>
      </c>
      <c r="H392" s="201" t="str">
        <f aca="false">IF(A393="","",G392)</f>
        <v/>
      </c>
      <c r="J392" s="200" t="str">
        <f aca="false">IF($A393="","",VLOOKUP($A392,Table,MATCH(J$4,Curves,0)))</f>
        <v/>
      </c>
      <c r="K392" s="201" t="str">
        <f aca="false">IF(A393="","",J392)</f>
        <v/>
      </c>
      <c r="L392" s="185" t="n">
        <v>0</v>
      </c>
      <c r="M392" s="201" t="str">
        <f aca="false">IF(A393="","",L392)</f>
        <v/>
      </c>
      <c r="O392" s="200" t="str">
        <f aca="false">IF(A393="","",L392+J392+G392)</f>
        <v/>
      </c>
      <c r="P392" s="200" t="str">
        <f aca="false">IF(A393="","",M392+K392+H392)</f>
        <v/>
      </c>
      <c r="R392" s="200" t="str">
        <f aca="false">IF($A393="","",VLOOKUP($A392,Table,MATCH(R$4,Curves,0)))</f>
        <v/>
      </c>
      <c r="S392" s="201" t="str">
        <f aca="false">IF(A393="","",R392)</f>
        <v/>
      </c>
      <c r="T392" s="185" t="n">
        <v>0</v>
      </c>
      <c r="U392" s="201" t="str">
        <f aca="false">IF(A393="","",T392)</f>
        <v/>
      </c>
      <c r="V392" s="205"/>
      <c r="W392" s="202" t="str">
        <f aca="false">IF($A393="","",(T392+R392+G392+V392))</f>
        <v/>
      </c>
      <c r="X392" s="202" t="str">
        <f aca="false">IF($A393="","",(U392+S392+H392+V392))</f>
        <v/>
      </c>
      <c r="Y392" s="202"/>
      <c r="Z392" s="185"/>
      <c r="AG392" s="182"/>
      <c r="AH392" s="182"/>
      <c r="AI392" s="182"/>
      <c r="AJ392" s="218"/>
      <c r="AK392" s="218"/>
      <c r="AL392" s="218"/>
      <c r="AM392" s="218"/>
      <c r="AN392" s="218"/>
      <c r="AO392" s="137" t="str">
        <f aca="false">IF(A393="","",A393-A392)</f>
        <v/>
      </c>
      <c r="AP392" s="212" t="str">
        <f aca="false">IF(A393="","",CHOOSE(F$3,A393+24,A392))</f>
        <v/>
      </c>
      <c r="AQ392" s="209" t="str">
        <f aca="false">IF(A393="","",AP392-$E$1)</f>
        <v/>
      </c>
      <c r="AR392" s="185" t="n">
        <f aca="false">'ANR OK vs ML7'!AR392</f>
        <v>0.1</v>
      </c>
      <c r="AS392" s="213" t="str">
        <f aca="false">IF(A393="","",1/(1+CHOOSE(F$3,(AR393+($I$3/10000))/2,(AR392+($I$3/10000))/2))^(2*AQ392/365.25))</f>
        <v/>
      </c>
      <c r="AT392" s="137" t="str">
        <f aca="false">IF(A393="","",IF(AND(mthbeg&lt;=A392,mthend&gt;=A392),1,0))</f>
        <v/>
      </c>
      <c r="AU392" s="137" t="str">
        <f aca="false">IF(A393="","",AO392*AT392)</f>
        <v/>
      </c>
      <c r="AW392" s="195" t="str">
        <f aca="false">IF($A393="","",AL392*$E392)</f>
        <v/>
      </c>
      <c r="AX392" s="195" t="str">
        <f aca="false">IF($A393="","",AM392*$E392)</f>
        <v/>
      </c>
      <c r="AY392" s="195" t="str">
        <f aca="false">IF($A393="","",AN392*$E392)</f>
        <v/>
      </c>
      <c r="BA392" s="195" t="str">
        <f aca="false">IF($A393="","",F392*Summary!$Q$13)</f>
        <v/>
      </c>
    </row>
    <row r="393" customFormat="false" ht="12.75" hidden="false" customHeight="false" outlineLevel="0" collapsed="false">
      <c r="A393" s="196" t="str">
        <f aca="false">IF(A392&lt;mthend,EDATE(A392,1),"")</f>
        <v/>
      </c>
      <c r="B393" s="197" t="str">
        <f aca="false">IF(A393&lt;mthend,B392,"")</f>
        <v/>
      </c>
      <c r="D393" s="197" t="str">
        <f aca="false">IF(A394&lt;&gt;"",B393+C393,"")</f>
        <v/>
      </c>
      <c r="E393" s="199" t="str">
        <f aca="false">IF(A394="","",IF(AND(AT393=1,$H$3=1),D393*AO393,IF($H$3=2,D393,"N/A")))</f>
        <v/>
      </c>
      <c r="F393" s="199" t="str">
        <f aca="false">IF(A394="","",E393*AS393)</f>
        <v/>
      </c>
      <c r="G393" s="200" t="str">
        <f aca="false">IF($A394="","",VLOOKUP($A393,Table,MATCH(G$4,Curves,0)))</f>
        <v/>
      </c>
      <c r="H393" s="201" t="str">
        <f aca="false">IF(A394="","",G393)</f>
        <v/>
      </c>
      <c r="J393" s="200" t="str">
        <f aca="false">IF($A394="","",VLOOKUP($A393,Table,MATCH(J$4,Curves,0)))</f>
        <v/>
      </c>
      <c r="K393" s="201" t="str">
        <f aca="false">IF(A394="","",J393)</f>
        <v/>
      </c>
      <c r="L393" s="185" t="n">
        <v>0</v>
      </c>
      <c r="M393" s="201" t="str">
        <f aca="false">IF(A394="","",L393)</f>
        <v/>
      </c>
      <c r="O393" s="200" t="str">
        <f aca="false">IF(A394="","",L393+J393+G393)</f>
        <v/>
      </c>
      <c r="P393" s="200" t="str">
        <f aca="false">IF(A394="","",M393+K393+H393)</f>
        <v/>
      </c>
      <c r="R393" s="200" t="str">
        <f aca="false">IF($A394="","",VLOOKUP($A393,Table,MATCH(R$4,Curves,0)))</f>
        <v/>
      </c>
      <c r="S393" s="201" t="str">
        <f aca="false">IF(A394="","",R393)</f>
        <v/>
      </c>
      <c r="T393" s="185" t="n">
        <v>0</v>
      </c>
      <c r="U393" s="201" t="str">
        <f aca="false">IF(A394="","",T393)</f>
        <v/>
      </c>
      <c r="V393" s="205"/>
      <c r="W393" s="202" t="str">
        <f aca="false">IF($A394="","",(T393+R393+G393+V393))</f>
        <v/>
      </c>
      <c r="X393" s="202" t="str">
        <f aca="false">IF($A394="","",(U393+S393+H393+V393))</f>
        <v/>
      </c>
      <c r="Y393" s="202"/>
      <c r="Z393" s="185"/>
      <c r="AG393" s="182"/>
      <c r="AH393" s="182"/>
      <c r="AI393" s="182"/>
      <c r="AJ393" s="218"/>
      <c r="AK393" s="218"/>
      <c r="AL393" s="218"/>
      <c r="AM393" s="218"/>
      <c r="AN393" s="218"/>
      <c r="AO393" s="137" t="str">
        <f aca="false">IF(A394="","",A394-A393)</f>
        <v/>
      </c>
      <c r="AP393" s="212" t="str">
        <f aca="false">IF(A394="","",CHOOSE(F$3,A394+24,A393))</f>
        <v/>
      </c>
      <c r="AQ393" s="209" t="str">
        <f aca="false">IF(A394="","",AP393-$E$1)</f>
        <v/>
      </c>
      <c r="AR393" s="185" t="n">
        <f aca="false">'ANR OK vs ML7'!AR393</f>
        <v>0.1</v>
      </c>
      <c r="AS393" s="213" t="str">
        <f aca="false">IF(A394="","",1/(1+CHOOSE(F$3,(AR394+($I$3/10000))/2,(AR393+($I$3/10000))/2))^(2*AQ393/365.25))</f>
        <v/>
      </c>
      <c r="AT393" s="137" t="str">
        <f aca="false">IF(A394="","",IF(AND(mthbeg&lt;=A393,mthend&gt;=A393),1,0))</f>
        <v/>
      </c>
      <c r="AU393" s="137" t="str">
        <f aca="false">IF(A394="","",AO393*AT393)</f>
        <v/>
      </c>
      <c r="AW393" s="195" t="str">
        <f aca="false">IF($A394="","",AL393*$E393)</f>
        <v/>
      </c>
      <c r="AX393" s="195" t="str">
        <f aca="false">IF($A394="","",AM393*$E393)</f>
        <v/>
      </c>
      <c r="AY393" s="195" t="str">
        <f aca="false">IF($A394="","",AN393*$E393)</f>
        <v/>
      </c>
      <c r="BA393" s="195" t="str">
        <f aca="false">IF($A394="","",F393*Summary!$Q$13)</f>
        <v/>
      </c>
    </row>
    <row r="394" customFormat="false" ht="12.75" hidden="false" customHeight="false" outlineLevel="0" collapsed="false">
      <c r="A394" s="196" t="str">
        <f aca="false">IF(A393&lt;mthend,EDATE(A393,1),"")</f>
        <v/>
      </c>
      <c r="B394" s="197" t="str">
        <f aca="false">IF(A394&lt;mthend,B393,"")</f>
        <v/>
      </c>
      <c r="D394" s="197" t="str">
        <f aca="false">IF(A395&lt;&gt;"",B394+C394,"")</f>
        <v/>
      </c>
      <c r="E394" s="199" t="str">
        <f aca="false">IF(A395="","",IF(AND(AT394=1,$H$3=1),D394*AO394,IF($H$3=2,D394,"N/A")))</f>
        <v/>
      </c>
      <c r="F394" s="199" t="str">
        <f aca="false">IF(A395="","",E394*AS394)</f>
        <v/>
      </c>
      <c r="G394" s="200" t="str">
        <f aca="false">IF($A395="","",VLOOKUP($A394,Table,MATCH(G$4,Curves,0)))</f>
        <v/>
      </c>
      <c r="H394" s="201" t="str">
        <f aca="false">IF(A395="","",G394)</f>
        <v/>
      </c>
      <c r="J394" s="200" t="str">
        <f aca="false">IF($A395="","",VLOOKUP($A394,Table,MATCH(J$4,Curves,0)))</f>
        <v/>
      </c>
      <c r="K394" s="201" t="str">
        <f aca="false">IF(A395="","",J394)</f>
        <v/>
      </c>
      <c r="L394" s="185" t="n">
        <v>0</v>
      </c>
      <c r="M394" s="201" t="str">
        <f aca="false">IF(A395="","",L394)</f>
        <v/>
      </c>
      <c r="O394" s="200" t="str">
        <f aca="false">IF(A395="","",L394+J394+G394)</f>
        <v/>
      </c>
      <c r="P394" s="200" t="str">
        <f aca="false">IF(A395="","",M394+K394+H394)</f>
        <v/>
      </c>
      <c r="R394" s="200" t="str">
        <f aca="false">IF($A395="","",VLOOKUP($A394,Table,MATCH(R$4,Curves,0)))</f>
        <v/>
      </c>
      <c r="S394" s="201" t="str">
        <f aca="false">IF(A395="","",R394)</f>
        <v/>
      </c>
      <c r="T394" s="185" t="n">
        <v>0</v>
      </c>
      <c r="U394" s="201" t="str">
        <f aca="false">IF(A395="","",T394)</f>
        <v/>
      </c>
      <c r="V394" s="205"/>
      <c r="W394" s="202" t="str">
        <f aca="false">IF($A395="","",(T394+R394+G394+V394))</f>
        <v/>
      </c>
      <c r="X394" s="202" t="str">
        <f aca="false">IF($A395="","",(U394+S394+H394+V394))</f>
        <v/>
      </c>
      <c r="Y394" s="202"/>
      <c r="Z394" s="185"/>
      <c r="AG394" s="182"/>
      <c r="AH394" s="182"/>
      <c r="AI394" s="182"/>
      <c r="AJ394" s="218"/>
      <c r="AK394" s="218"/>
      <c r="AL394" s="218"/>
      <c r="AM394" s="218"/>
      <c r="AN394" s="218"/>
      <c r="AO394" s="137" t="str">
        <f aca="false">IF(A395="","",A395-A394)</f>
        <v/>
      </c>
      <c r="AP394" s="212" t="str">
        <f aca="false">IF(A395="","",CHOOSE(F$3,A395+24,A394))</f>
        <v/>
      </c>
      <c r="AQ394" s="209" t="str">
        <f aca="false">IF(A395="","",AP394-$E$1)</f>
        <v/>
      </c>
      <c r="AR394" s="185" t="n">
        <f aca="false">'ANR OK vs ML7'!AR394</f>
        <v>0.1</v>
      </c>
      <c r="AS394" s="213" t="str">
        <f aca="false">IF(A395="","",1/(1+CHOOSE(F$3,(AR395+($I$3/10000))/2,(AR394+($I$3/10000))/2))^(2*AQ394/365.25))</f>
        <v/>
      </c>
      <c r="AT394" s="137" t="str">
        <f aca="false">IF(A395="","",IF(AND(mthbeg&lt;=A394,mthend&gt;=A394),1,0))</f>
        <v/>
      </c>
      <c r="AU394" s="137" t="str">
        <f aca="false">IF(A395="","",AO394*AT394)</f>
        <v/>
      </c>
      <c r="AW394" s="195" t="str">
        <f aca="false">IF($A395="","",AL394*$E394)</f>
        <v/>
      </c>
      <c r="AX394" s="195" t="str">
        <f aca="false">IF($A395="","",AM394*$E394)</f>
        <v/>
      </c>
      <c r="AY394" s="195" t="str">
        <f aca="false">IF($A395="","",AN394*$E394)</f>
        <v/>
      </c>
      <c r="BA394" s="195" t="str">
        <f aca="false">IF($A395="","",F394*Summary!$Q$13)</f>
        <v/>
      </c>
    </row>
    <row r="395" customFormat="false" ht="12.75" hidden="false" customHeight="false" outlineLevel="0" collapsed="false">
      <c r="A395" s="196" t="str">
        <f aca="false">IF(A394&lt;mthend,EDATE(A394,1),"")</f>
        <v/>
      </c>
      <c r="B395" s="197" t="str">
        <f aca="false">IF(A395&lt;mthend,B394,"")</f>
        <v/>
      </c>
      <c r="D395" s="197" t="str">
        <f aca="false">IF(A396&lt;&gt;"",B395+C395,"")</f>
        <v/>
      </c>
      <c r="E395" s="199" t="str">
        <f aca="false">IF(A396="","",IF(AND(AT395=1,$H$3=1),D395*AO395,IF($H$3=2,D395,"N/A")))</f>
        <v/>
      </c>
      <c r="F395" s="199" t="str">
        <f aca="false">IF(A396="","",E395*AS395)</f>
        <v/>
      </c>
      <c r="G395" s="200" t="str">
        <f aca="false">IF($A396="","",VLOOKUP($A395,Table,MATCH(G$4,Curves,0)))</f>
        <v/>
      </c>
      <c r="H395" s="201" t="str">
        <f aca="false">IF(A396="","",G395)</f>
        <v/>
      </c>
      <c r="J395" s="200" t="str">
        <f aca="false">IF($A396="","",VLOOKUP($A395,Table,MATCH(J$4,Curves,0)))</f>
        <v/>
      </c>
      <c r="K395" s="201" t="str">
        <f aca="false">IF(A396="","",J395)</f>
        <v/>
      </c>
      <c r="L395" s="185" t="n">
        <v>0</v>
      </c>
      <c r="M395" s="201" t="str">
        <f aca="false">IF(A396="","",L395)</f>
        <v/>
      </c>
      <c r="O395" s="200" t="str">
        <f aca="false">IF(A396="","",L395+J395+G395)</f>
        <v/>
      </c>
      <c r="P395" s="200" t="str">
        <f aca="false">IF(A396="","",M395+K395+H395)</f>
        <v/>
      </c>
      <c r="R395" s="200" t="str">
        <f aca="false">IF($A396="","",VLOOKUP($A395,Table,MATCH(R$4,Curves,0)))</f>
        <v/>
      </c>
      <c r="S395" s="201" t="str">
        <f aca="false">IF(A396="","",R395)</f>
        <v/>
      </c>
      <c r="T395" s="185" t="n">
        <v>0</v>
      </c>
      <c r="U395" s="201" t="str">
        <f aca="false">IF(A396="","",T395)</f>
        <v/>
      </c>
      <c r="V395" s="205"/>
      <c r="W395" s="202" t="str">
        <f aca="false">IF($A396="","",(T395+R395+G395+V395))</f>
        <v/>
      </c>
      <c r="X395" s="202" t="str">
        <f aca="false">IF($A396="","",(U395+S395+H395+V395))</f>
        <v/>
      </c>
      <c r="Y395" s="202"/>
      <c r="Z395" s="185"/>
      <c r="AG395" s="182"/>
      <c r="AH395" s="182"/>
      <c r="AI395" s="182"/>
      <c r="AJ395" s="218"/>
      <c r="AK395" s="218"/>
      <c r="AL395" s="218"/>
      <c r="AM395" s="218"/>
      <c r="AN395" s="218"/>
      <c r="AO395" s="137" t="str">
        <f aca="false">IF(A396="","",A396-A395)</f>
        <v/>
      </c>
      <c r="AP395" s="212" t="str">
        <f aca="false">IF(A396="","",CHOOSE(F$3,A396+24,A395))</f>
        <v/>
      </c>
      <c r="AQ395" s="209" t="str">
        <f aca="false">IF(A396="","",AP395-$E$1)</f>
        <v/>
      </c>
      <c r="AR395" s="185" t="n">
        <f aca="false">'ANR OK vs ML7'!AR395</f>
        <v>0.1</v>
      </c>
      <c r="AS395" s="213" t="str">
        <f aca="false">IF(A396="","",1/(1+CHOOSE(F$3,(AR396+($I$3/10000))/2,(AR395+($I$3/10000))/2))^(2*AQ395/365.25))</f>
        <v/>
      </c>
      <c r="AT395" s="137" t="str">
        <f aca="false">IF(A396="","",IF(AND(mthbeg&lt;=A395,mthend&gt;=A395),1,0))</f>
        <v/>
      </c>
      <c r="AU395" s="137" t="str">
        <f aca="false">IF(A396="","",AO395*AT395)</f>
        <v/>
      </c>
      <c r="AW395" s="195" t="str">
        <f aca="false">IF($A396="","",AL395*$E395)</f>
        <v/>
      </c>
      <c r="AX395" s="195" t="str">
        <f aca="false">IF($A396="","",AM395*$E395)</f>
        <v/>
      </c>
      <c r="AY395" s="195" t="str">
        <f aca="false">IF($A396="","",AN395*$E395)</f>
        <v/>
      </c>
      <c r="BA395" s="195" t="str">
        <f aca="false">IF($A396="","",F395*Summary!$Q$13)</f>
        <v/>
      </c>
    </row>
    <row r="396" customFormat="false" ht="12.75" hidden="false" customHeight="false" outlineLevel="0" collapsed="false">
      <c r="A396" s="196" t="str">
        <f aca="false">IF(A395&lt;mthend,EDATE(A395,1),"")</f>
        <v/>
      </c>
      <c r="B396" s="197" t="str">
        <f aca="false">IF(A396&lt;mthend,B395,"")</f>
        <v/>
      </c>
      <c r="D396" s="197" t="str">
        <f aca="false">IF(A397&lt;&gt;"",B396+C396,"")</f>
        <v/>
      </c>
      <c r="E396" s="199" t="str">
        <f aca="false">IF(A397="","",IF(AND(AT396=1,$H$3=1),D396*AO396,IF($H$3=2,D396,"N/A")))</f>
        <v/>
      </c>
      <c r="F396" s="199" t="str">
        <f aca="false">IF(A397="","",E396*AS396)</f>
        <v/>
      </c>
      <c r="G396" s="200" t="str">
        <f aca="false">IF($A397="","",VLOOKUP($A396,Table,MATCH(G$4,Curves,0)))</f>
        <v/>
      </c>
      <c r="H396" s="201" t="str">
        <f aca="false">IF(A397="","",G396)</f>
        <v/>
      </c>
      <c r="J396" s="200" t="str">
        <f aca="false">IF($A397="","",VLOOKUP($A396,Table,MATCH(J$4,Curves,0)))</f>
        <v/>
      </c>
      <c r="K396" s="201" t="str">
        <f aca="false">IF(A397="","",J396)</f>
        <v/>
      </c>
      <c r="L396" s="185" t="n">
        <v>0</v>
      </c>
      <c r="M396" s="201" t="str">
        <f aca="false">IF(A397="","",L396)</f>
        <v/>
      </c>
      <c r="O396" s="200" t="str">
        <f aca="false">IF(A397="","",L396+J396+G396)</f>
        <v/>
      </c>
      <c r="P396" s="200" t="str">
        <f aca="false">IF(A397="","",M396+K396+H396)</f>
        <v/>
      </c>
      <c r="R396" s="200" t="str">
        <f aca="false">IF($A397="","",VLOOKUP($A396,Table,MATCH(R$4,Curves,0)))</f>
        <v/>
      </c>
      <c r="S396" s="201" t="str">
        <f aca="false">IF(A397="","",R396)</f>
        <v/>
      </c>
      <c r="T396" s="185" t="n">
        <v>0</v>
      </c>
      <c r="U396" s="201" t="str">
        <f aca="false">IF(A397="","",T396)</f>
        <v/>
      </c>
      <c r="V396" s="205"/>
      <c r="W396" s="202" t="str">
        <f aca="false">IF($A397="","",(T396+R396+G396+V396))</f>
        <v/>
      </c>
      <c r="X396" s="202" t="str">
        <f aca="false">IF($A397="","",(U396+S396+H396+V396))</f>
        <v/>
      </c>
      <c r="Y396" s="202"/>
      <c r="Z396" s="185"/>
      <c r="AG396" s="182"/>
      <c r="AH396" s="182"/>
      <c r="AI396" s="182"/>
      <c r="AJ396" s="218"/>
      <c r="AK396" s="218"/>
      <c r="AL396" s="218"/>
      <c r="AM396" s="218"/>
      <c r="AN396" s="218"/>
      <c r="AO396" s="137" t="str">
        <f aca="false">IF(A397="","",A397-A396)</f>
        <v/>
      </c>
      <c r="AP396" s="212" t="str">
        <f aca="false">IF(A397="","",CHOOSE(F$3,A397+24,A396))</f>
        <v/>
      </c>
      <c r="AQ396" s="209" t="str">
        <f aca="false">IF(A397="","",AP396-$E$1)</f>
        <v/>
      </c>
      <c r="AR396" s="185" t="n">
        <f aca="false">'ANR OK vs ML7'!AR396</f>
        <v>0.1</v>
      </c>
      <c r="AS396" s="213" t="str">
        <f aca="false">IF(A397="","",1/(1+CHOOSE(F$3,(AR397+($I$3/10000))/2,(AR396+($I$3/10000))/2))^(2*AQ396/365.25))</f>
        <v/>
      </c>
      <c r="AT396" s="137" t="str">
        <f aca="false">IF(A397="","",IF(AND(mthbeg&lt;=A396,mthend&gt;=A396),1,0))</f>
        <v/>
      </c>
      <c r="AU396" s="137" t="str">
        <f aca="false">IF(A397="","",AO396*AT396)</f>
        <v/>
      </c>
      <c r="AW396" s="195" t="str">
        <f aca="false">IF($A397="","",AL396*$E396)</f>
        <v/>
      </c>
      <c r="AX396" s="195" t="str">
        <f aca="false">IF($A397="","",AM396*$E396)</f>
        <v/>
      </c>
      <c r="AY396" s="195" t="str">
        <f aca="false">IF($A397="","",AN396*$E396)</f>
        <v/>
      </c>
      <c r="BA396" s="195" t="str">
        <f aca="false">IF($A397="","",F396*Summary!$Q$13)</f>
        <v/>
      </c>
    </row>
    <row r="397" customFormat="false" ht="12.75" hidden="false" customHeight="false" outlineLevel="0" collapsed="false">
      <c r="A397" s="196" t="str">
        <f aca="false">IF(A396&lt;mthend,EDATE(A396,1),"")</f>
        <v/>
      </c>
      <c r="B397" s="197" t="str">
        <f aca="false">IF(A397&lt;mthend,B396,"")</f>
        <v/>
      </c>
      <c r="D397" s="197" t="str">
        <f aca="false">IF(A398&lt;&gt;"",B397+C397,"")</f>
        <v/>
      </c>
      <c r="E397" s="199" t="str">
        <f aca="false">IF(A398="","",IF(AND(AT397=1,$H$3=1),D397*AO397,IF($H$3=2,D397,"N/A")))</f>
        <v/>
      </c>
      <c r="F397" s="199" t="str">
        <f aca="false">IF(A398="","",E397*AS397)</f>
        <v/>
      </c>
      <c r="G397" s="200" t="str">
        <f aca="false">IF($A398="","",VLOOKUP($A397,Table,MATCH(G$4,Curves,0)))</f>
        <v/>
      </c>
      <c r="H397" s="201" t="str">
        <f aca="false">IF(A398="","",G397)</f>
        <v/>
      </c>
      <c r="J397" s="200" t="str">
        <f aca="false">IF($A398="","",VLOOKUP($A397,Table,MATCH(J$4,Curves,0)))</f>
        <v/>
      </c>
      <c r="K397" s="201" t="str">
        <f aca="false">IF(A398="","",J397)</f>
        <v/>
      </c>
      <c r="L397" s="185" t="n">
        <v>0</v>
      </c>
      <c r="M397" s="201" t="str">
        <f aca="false">IF(A398="","",L397)</f>
        <v/>
      </c>
      <c r="O397" s="200" t="str">
        <f aca="false">IF(A398="","",L397+J397+G397)</f>
        <v/>
      </c>
      <c r="P397" s="200" t="str">
        <f aca="false">IF(A398="","",M397+K397+H397)</f>
        <v/>
      </c>
      <c r="R397" s="200" t="str">
        <f aca="false">IF($A398="","",VLOOKUP($A397,Table,MATCH(R$4,Curves,0)))</f>
        <v/>
      </c>
      <c r="S397" s="201" t="str">
        <f aca="false">IF(A398="","",R397)</f>
        <v/>
      </c>
      <c r="T397" s="185" t="n">
        <v>0</v>
      </c>
      <c r="U397" s="201" t="str">
        <f aca="false">IF(A398="","",T397)</f>
        <v/>
      </c>
      <c r="V397" s="205"/>
      <c r="W397" s="202" t="str">
        <f aca="false">IF($A398="","",(T397+R397+G397+V397))</f>
        <v/>
      </c>
      <c r="X397" s="202" t="str">
        <f aca="false">IF($A398="","",(U397+S397+H397+V397))</f>
        <v/>
      </c>
      <c r="Y397" s="202"/>
      <c r="Z397" s="185"/>
      <c r="AJ397" s="218"/>
      <c r="AK397" s="218"/>
      <c r="AL397" s="218"/>
      <c r="AM397" s="218"/>
      <c r="AN397" s="218"/>
      <c r="AO397" s="137" t="str">
        <f aca="false">IF(A398="","",A398-A397)</f>
        <v/>
      </c>
      <c r="AP397" s="212" t="str">
        <f aca="false">IF(A398="","",CHOOSE(F$3,A398+24,A397))</f>
        <v/>
      </c>
      <c r="AQ397" s="209" t="str">
        <f aca="false">IF(A398="","",AP397-$E$1)</f>
        <v/>
      </c>
      <c r="AR397" s="185" t="n">
        <f aca="false">'ANR OK vs ML7'!AR397</f>
        <v>0.1</v>
      </c>
      <c r="AS397" s="213" t="str">
        <f aca="false">IF(A398="","",1/(1+CHOOSE(F$3,(AR398+($I$3/10000))/2,(AR397+($I$3/10000))/2))^(2*AQ397/365.25))</f>
        <v/>
      </c>
      <c r="AT397" s="137" t="str">
        <f aca="false">IF(A398="","",IF(AND(mthbeg&lt;=A397,mthend&gt;=A397),1,0))</f>
        <v/>
      </c>
      <c r="AU397" s="137" t="str">
        <f aca="false">IF(A398="","",AO397*AT397)</f>
        <v/>
      </c>
      <c r="AW397" s="195" t="str">
        <f aca="false">IF($A398="","",AL397*$E397)</f>
        <v/>
      </c>
      <c r="AX397" s="195" t="str">
        <f aca="false">IF($A398="","",AM397*$E397)</f>
        <v/>
      </c>
      <c r="AY397" s="195" t="str">
        <f aca="false">IF($A398="","",AN397*$E397)</f>
        <v/>
      </c>
      <c r="BA397" s="195" t="str">
        <f aca="false">IF($A398="","",F397*Summary!$Q$13)</f>
        <v/>
      </c>
    </row>
    <row r="398" customFormat="false" ht="12.75" hidden="false" customHeight="false" outlineLevel="0" collapsed="false">
      <c r="A398" s="196" t="str">
        <f aca="false">IF(A397&lt;mthend,EDATE(A397,1),"")</f>
        <v/>
      </c>
      <c r="B398" s="197" t="str">
        <f aca="false">IF(A398&lt;mthend,B397,"")</f>
        <v/>
      </c>
      <c r="D398" s="197" t="str">
        <f aca="false">IF(A399&lt;&gt;"",B398+C398,"")</f>
        <v/>
      </c>
      <c r="E398" s="199" t="str">
        <f aca="false">IF(A399="","",IF(AND(AT398=1,$H$3=1),D398*AO398,IF($H$3=2,D398,"N/A")))</f>
        <v/>
      </c>
      <c r="F398" s="199" t="str">
        <f aca="false">IF(A399="","",E398*AS398)</f>
        <v/>
      </c>
      <c r="G398" s="200" t="str">
        <f aca="false">IF($A399="","",VLOOKUP($A398,Table,MATCH(G$4,Curves,0)))</f>
        <v/>
      </c>
      <c r="H398" s="201" t="str">
        <f aca="false">IF(A399="","",G398)</f>
        <v/>
      </c>
      <c r="J398" s="200" t="str">
        <f aca="false">IF($A399="","",VLOOKUP($A398,Table,MATCH(J$4,Curves,0)))</f>
        <v/>
      </c>
      <c r="K398" s="201" t="str">
        <f aca="false">IF(A399="","",J398)</f>
        <v/>
      </c>
      <c r="L398" s="185" t="n">
        <v>0</v>
      </c>
      <c r="M398" s="201" t="str">
        <f aca="false">IF(A399="","",L398)</f>
        <v/>
      </c>
      <c r="O398" s="200" t="str">
        <f aca="false">IF(A399="","",L398+J398+G398)</f>
        <v/>
      </c>
      <c r="P398" s="200" t="str">
        <f aca="false">IF(A399="","",M398+K398+H398)</f>
        <v/>
      </c>
      <c r="R398" s="200" t="str">
        <f aca="false">IF($A399="","",VLOOKUP($A398,Table,MATCH(R$4,Curves,0)))</f>
        <v/>
      </c>
      <c r="S398" s="201" t="str">
        <f aca="false">IF(A399="","",R398)</f>
        <v/>
      </c>
      <c r="T398" s="185" t="n">
        <v>0</v>
      </c>
      <c r="U398" s="201" t="str">
        <f aca="false">IF(A399="","",T398)</f>
        <v/>
      </c>
      <c r="V398" s="205"/>
      <c r="W398" s="202" t="str">
        <f aca="false">IF($A399="","",(T398+R398+G398+V398))</f>
        <v/>
      </c>
      <c r="X398" s="202" t="str">
        <f aca="false">IF($A399="","",(U398+S398+H398+V398))</f>
        <v/>
      </c>
      <c r="Y398" s="202"/>
      <c r="Z398" s="185"/>
      <c r="AJ398" s="218"/>
      <c r="AK398" s="218"/>
      <c r="AL398" s="218"/>
      <c r="AM398" s="218"/>
      <c r="AN398" s="218"/>
      <c r="AO398" s="137" t="str">
        <f aca="false">IF(A399="","",A399-A398)</f>
        <v/>
      </c>
      <c r="AP398" s="212" t="str">
        <f aca="false">IF(A399="","",CHOOSE(F$3,A399+24,A398))</f>
        <v/>
      </c>
      <c r="AQ398" s="209" t="str">
        <f aca="false">IF(A399="","",AP398-$E$1)</f>
        <v/>
      </c>
      <c r="AR398" s="185" t="n">
        <f aca="false">'ANR OK vs ML7'!AR398</f>
        <v>0.1</v>
      </c>
      <c r="AS398" s="213" t="str">
        <f aca="false">IF(A399="","",1/(1+CHOOSE(F$3,(AR399+($I$3/10000))/2,(AR398+($I$3/10000))/2))^(2*AQ398/365.25))</f>
        <v/>
      </c>
      <c r="AT398" s="137" t="str">
        <f aca="false">IF(A399="","",IF(AND(mthbeg&lt;=A398,mthend&gt;=A398),1,0))</f>
        <v/>
      </c>
      <c r="AU398" s="137" t="str">
        <f aca="false">IF(A399="","",AO398*AT398)</f>
        <v/>
      </c>
      <c r="AW398" s="195" t="str">
        <f aca="false">IF($A399="","",AL398*$E398)</f>
        <v/>
      </c>
      <c r="AX398" s="195" t="str">
        <f aca="false">IF($A399="","",AM398*$E398)</f>
        <v/>
      </c>
      <c r="AY398" s="195" t="str">
        <f aca="false">IF($A399="","",AN398*$E398)</f>
        <v/>
      </c>
      <c r="BA398" s="195" t="str">
        <f aca="false">IF($A399="","",F398*Summary!$Q$13)</f>
        <v/>
      </c>
    </row>
    <row r="399" customFormat="false" ht="12.75" hidden="false" customHeight="false" outlineLevel="0" collapsed="false">
      <c r="A399" s="196" t="str">
        <f aca="false">IF(A398&lt;mthend,EDATE(A398,1),"")</f>
        <v/>
      </c>
      <c r="B399" s="197" t="str">
        <f aca="false">IF(A399&lt;mthend,B398,"")</f>
        <v/>
      </c>
      <c r="D399" s="197" t="str">
        <f aca="false">IF(A400&lt;&gt;"",B399+C399,"")</f>
        <v/>
      </c>
      <c r="E399" s="199" t="str">
        <f aca="false">IF(A400="","",IF(AND(AT399=1,$H$3=1),D399*AO399,IF($H$3=2,D399,"N/A")))</f>
        <v/>
      </c>
      <c r="F399" s="199" t="str">
        <f aca="false">IF(A400="","",E399*AS399)</f>
        <v/>
      </c>
      <c r="G399" s="200" t="str">
        <f aca="false">IF($A400="","",VLOOKUP($A399,Table,MATCH(G$4,Curves,0)))</f>
        <v/>
      </c>
      <c r="H399" s="201" t="str">
        <f aca="false">IF(A400="","",G399)</f>
        <v/>
      </c>
      <c r="J399" s="200" t="str">
        <f aca="false">IF($A400="","",VLOOKUP($A399,Table,MATCH(J$4,Curves,0)))</f>
        <v/>
      </c>
      <c r="K399" s="201" t="str">
        <f aca="false">IF(A400="","",J399)</f>
        <v/>
      </c>
      <c r="L399" s="185" t="n">
        <v>0</v>
      </c>
      <c r="M399" s="201" t="str">
        <f aca="false">IF(A400="","",L399)</f>
        <v/>
      </c>
      <c r="O399" s="200" t="str">
        <f aca="false">IF(A400="","",L399+J399+G399)</f>
        <v/>
      </c>
      <c r="P399" s="200" t="str">
        <f aca="false">IF(A400="","",M399+K399+H399)</f>
        <v/>
      </c>
      <c r="R399" s="200" t="str">
        <f aca="false">IF($A400="","",VLOOKUP($A399,Table,MATCH(R$4,Curves,0)))</f>
        <v/>
      </c>
      <c r="S399" s="201" t="str">
        <f aca="false">IF(A400="","",R399)</f>
        <v/>
      </c>
      <c r="T399" s="185" t="n">
        <v>0</v>
      </c>
      <c r="U399" s="201" t="str">
        <f aca="false">IF(A400="","",T399)</f>
        <v/>
      </c>
      <c r="V399" s="205"/>
      <c r="W399" s="202" t="str">
        <f aca="false">IF($A400="","",(T399+R399+G399+V399))</f>
        <v/>
      </c>
      <c r="X399" s="202" t="str">
        <f aca="false">IF($A400="","",(U399+S399+H399+V399))</f>
        <v/>
      </c>
      <c r="Y399" s="202"/>
      <c r="Z399" s="185"/>
      <c r="AJ399" s="218"/>
      <c r="AK399" s="218"/>
      <c r="AL399" s="218"/>
      <c r="AM399" s="218"/>
      <c r="AN399" s="218"/>
      <c r="AO399" s="137" t="str">
        <f aca="false">IF(A400="","",A400-A399)</f>
        <v/>
      </c>
      <c r="AP399" s="212" t="str">
        <f aca="false">IF(A400="","",CHOOSE(F$3,A400+24,A399))</f>
        <v/>
      </c>
      <c r="AQ399" s="209" t="str">
        <f aca="false">IF(A400="","",AP399-$E$1)</f>
        <v/>
      </c>
      <c r="AR399" s="185" t="n">
        <f aca="false">'ANR OK vs ML7'!AR399</f>
        <v>0.1</v>
      </c>
      <c r="AS399" s="213" t="str">
        <f aca="false">IF(A400="","",1/(1+CHOOSE(F$3,(AR400+($I$3/10000))/2,(AR399+($I$3/10000))/2))^(2*AQ399/365.25))</f>
        <v/>
      </c>
      <c r="AT399" s="137" t="str">
        <f aca="false">IF(A400="","",IF(AND(mthbeg&lt;=A399,mthend&gt;=A399),1,0))</f>
        <v/>
      </c>
      <c r="AU399" s="137" t="str">
        <f aca="false">IF(A400="","",AO399*AT399)</f>
        <v/>
      </c>
      <c r="AW399" s="195" t="str">
        <f aca="false">IF($A400="","",AL399*$E399)</f>
        <v/>
      </c>
      <c r="AX399" s="195" t="str">
        <f aca="false">IF($A400="","",AM399*$E399)</f>
        <v/>
      </c>
      <c r="AY399" s="195" t="str">
        <f aca="false">IF($A400="","",AN399*$E399)</f>
        <v/>
      </c>
      <c r="BA399" s="195" t="str">
        <f aca="false">IF($A400="","",F399*Summary!$Q$13)</f>
        <v/>
      </c>
    </row>
    <row r="400" customFormat="false" ht="12.75" hidden="false" customHeight="false" outlineLevel="0" collapsed="false">
      <c r="A400" s="196" t="str">
        <f aca="false">IF(A399&lt;mthend,EDATE(A399,1),"")</f>
        <v/>
      </c>
      <c r="B400" s="197" t="str">
        <f aca="false">IF(A400&lt;mthend,B399,"")</f>
        <v/>
      </c>
      <c r="D400" s="197" t="str">
        <f aca="false">IF(A401&lt;&gt;"",B400+C400,"")</f>
        <v/>
      </c>
      <c r="E400" s="199" t="str">
        <f aca="false">IF(A401="","",IF(AND(AT400=1,$H$3=1),D400*AO400,IF($H$3=2,D400,"N/A")))</f>
        <v/>
      </c>
      <c r="F400" s="199" t="str">
        <f aca="false">IF(A401="","",E400*AS400)</f>
        <v/>
      </c>
      <c r="G400" s="200" t="str">
        <f aca="false">IF($A401="","",VLOOKUP($A400,Table,MATCH(G$4,Curves,0)))</f>
        <v/>
      </c>
      <c r="H400" s="201" t="str">
        <f aca="false">IF(A401="","",G400)</f>
        <v/>
      </c>
      <c r="J400" s="200" t="str">
        <f aca="false">IF($A401="","",VLOOKUP($A400,Table,MATCH(J$4,Curves,0)))</f>
        <v/>
      </c>
      <c r="K400" s="201" t="str">
        <f aca="false">IF(A401="","",J400)</f>
        <v/>
      </c>
      <c r="L400" s="185" t="n">
        <v>0</v>
      </c>
      <c r="M400" s="201" t="str">
        <f aca="false">IF(A401="","",L400)</f>
        <v/>
      </c>
      <c r="O400" s="200" t="str">
        <f aca="false">IF(A401="","",L400+J400+G400)</f>
        <v/>
      </c>
      <c r="P400" s="200" t="str">
        <f aca="false">IF(A401="","",M400+K400+H400)</f>
        <v/>
      </c>
      <c r="R400" s="200" t="str">
        <f aca="false">IF($A401="","",VLOOKUP($A400,Table,MATCH(R$4,Curves,0)))</f>
        <v/>
      </c>
      <c r="S400" s="201" t="str">
        <f aca="false">IF(A401="","",R400)</f>
        <v/>
      </c>
      <c r="T400" s="185" t="n">
        <v>0</v>
      </c>
      <c r="U400" s="201" t="str">
        <f aca="false">IF(A401="","",T400)</f>
        <v/>
      </c>
      <c r="V400" s="205"/>
      <c r="W400" s="202" t="str">
        <f aca="false">IF($A401="","",(T400+R400+G400+V400))</f>
        <v/>
      </c>
      <c r="X400" s="202" t="str">
        <f aca="false">IF($A401="","",(U400+S400+H400+V400))</f>
        <v/>
      </c>
      <c r="Y400" s="202"/>
      <c r="Z400" s="185"/>
      <c r="AJ400" s="218"/>
      <c r="AK400" s="218"/>
      <c r="AL400" s="218"/>
      <c r="AM400" s="218"/>
      <c r="AN400" s="218"/>
      <c r="AO400" s="137" t="str">
        <f aca="false">IF(A401="","",A401-A400)</f>
        <v/>
      </c>
      <c r="AP400" s="212" t="str">
        <f aca="false">IF(A401="","",CHOOSE(F$3,A401+24,A400))</f>
        <v/>
      </c>
      <c r="AQ400" s="209" t="str">
        <f aca="false">IF(A401="","",AP400-$E$1)</f>
        <v/>
      </c>
      <c r="AR400" s="185" t="n">
        <f aca="false">'ANR OK vs ML7'!AR400</f>
        <v>0.1</v>
      </c>
      <c r="AS400" s="213" t="str">
        <f aca="false">IF(A401="","",1/(1+CHOOSE(F$3,(AR401+($I$3/10000))/2,(AR400+($I$3/10000))/2))^(2*AQ400/365.25))</f>
        <v/>
      </c>
      <c r="AT400" s="137" t="str">
        <f aca="false">IF(A401="","",IF(AND(mthbeg&lt;=A400,mthend&gt;=A400),1,0))</f>
        <v/>
      </c>
      <c r="AU400" s="137" t="str">
        <f aca="false">IF(A401="","",AO400*AT400)</f>
        <v/>
      </c>
      <c r="AW400" s="195" t="str">
        <f aca="false">IF($A401="","",AL400*$E400)</f>
        <v/>
      </c>
      <c r="AX400" s="195" t="str">
        <f aca="false">IF($A401="","",AM400*$E400)</f>
        <v/>
      </c>
      <c r="AY400" s="195" t="str">
        <f aca="false">IF($A401="","",AN400*$E400)</f>
        <v/>
      </c>
      <c r="BA400" s="195" t="str">
        <f aca="false">IF($A401="","",F400*Summary!$Q$13)</f>
        <v/>
      </c>
    </row>
    <row r="401" customFormat="false" ht="12.75" hidden="false" customHeight="false" outlineLevel="0" collapsed="false">
      <c r="A401" s="196" t="str">
        <f aca="false">IF(A400&lt;mthend,EDATE(A400,1),"")</f>
        <v/>
      </c>
      <c r="B401" s="197" t="str">
        <f aca="false">IF(A401&lt;mthend,B400,"")</f>
        <v/>
      </c>
      <c r="D401" s="197" t="str">
        <f aca="false">IF(A402&lt;&gt;"",B401+C401,"")</f>
        <v/>
      </c>
      <c r="E401" s="199" t="str">
        <f aca="false">IF(A402="","",IF(AND(AT401=1,$H$3=1),D401*AO401,IF($H$3=2,D401,"N/A")))</f>
        <v/>
      </c>
      <c r="F401" s="199" t="str">
        <f aca="false">IF(A402="","",E401*AS401)</f>
        <v/>
      </c>
      <c r="G401" s="200" t="str">
        <f aca="false">IF($A402="","",VLOOKUP($A401,Table,MATCH(G$4,Curves,0)))</f>
        <v/>
      </c>
      <c r="H401" s="201" t="str">
        <f aca="false">IF(A402="","",G401)</f>
        <v/>
      </c>
      <c r="J401" s="200" t="str">
        <f aca="false">IF($A402="","",VLOOKUP($A401,Table,MATCH(J$4,Curves,0)))</f>
        <v/>
      </c>
      <c r="K401" s="201" t="str">
        <f aca="false">IF(A402="","",J401)</f>
        <v/>
      </c>
      <c r="L401" s="185" t="n">
        <v>0</v>
      </c>
      <c r="M401" s="201" t="str">
        <f aca="false">IF(A402="","",L401)</f>
        <v/>
      </c>
      <c r="O401" s="200" t="str">
        <f aca="false">IF(A402="","",L401+J401+G401)</f>
        <v/>
      </c>
      <c r="P401" s="200" t="str">
        <f aca="false">IF(A402="","",M401+K401+H401)</f>
        <v/>
      </c>
      <c r="R401" s="200" t="str">
        <f aca="false">IF($A402="","",VLOOKUP($A401,Table,MATCH(R$4,Curves,0)))</f>
        <v/>
      </c>
      <c r="S401" s="201" t="str">
        <f aca="false">IF(A402="","",R401)</f>
        <v/>
      </c>
      <c r="T401" s="185" t="n">
        <v>0</v>
      </c>
      <c r="U401" s="201" t="str">
        <f aca="false">IF(A402="","",T401)</f>
        <v/>
      </c>
      <c r="V401" s="205"/>
      <c r="W401" s="202" t="str">
        <f aca="false">IF($A402="","",(T401+R401+G401+V401))</f>
        <v/>
      </c>
      <c r="X401" s="202" t="str">
        <f aca="false">IF($A402="","",(U401+S401+H401+V401))</f>
        <v/>
      </c>
      <c r="Y401" s="202"/>
      <c r="Z401" s="185"/>
      <c r="AJ401" s="218"/>
      <c r="AK401" s="218"/>
      <c r="AL401" s="218"/>
      <c r="AM401" s="218"/>
      <c r="AN401" s="218"/>
      <c r="AO401" s="137" t="str">
        <f aca="false">IF(A402="","",A402-A401)</f>
        <v/>
      </c>
      <c r="AP401" s="212" t="str">
        <f aca="false">IF(A402="","",CHOOSE(F$3,A402+24,A401))</f>
        <v/>
      </c>
      <c r="AQ401" s="209" t="str">
        <f aca="false">IF(A402="","",AP401-$E$1)</f>
        <v/>
      </c>
      <c r="AR401" s="185" t="n">
        <f aca="false">'ANR OK vs ML7'!AR401</f>
        <v>0.1</v>
      </c>
      <c r="AS401" s="213" t="str">
        <f aca="false">IF(A402="","",1/(1+CHOOSE(F$3,(AR402+($I$3/10000))/2,(AR401+($I$3/10000))/2))^(2*AQ401/365.25))</f>
        <v/>
      </c>
      <c r="AT401" s="137" t="str">
        <f aca="false">IF(A402="","",IF(AND(mthbeg&lt;=A401,mthend&gt;=A401),1,0))</f>
        <v/>
      </c>
      <c r="AU401" s="137" t="str">
        <f aca="false">IF(A402="","",AO401*AT401)</f>
        <v/>
      </c>
      <c r="AW401" s="195" t="str">
        <f aca="false">IF($A402="","",AL401*$E401)</f>
        <v/>
      </c>
      <c r="AX401" s="195" t="str">
        <f aca="false">IF($A402="","",AM401*$E401)</f>
        <v/>
      </c>
      <c r="AY401" s="195" t="str">
        <f aca="false">IF($A402="","",AN401*$E401)</f>
        <v/>
      </c>
      <c r="BA401" s="195" t="str">
        <f aca="false">IF($A402="","",F401*Summary!$Q$13)</f>
        <v/>
      </c>
    </row>
    <row r="402" customFormat="false" ht="12.75" hidden="false" customHeight="false" outlineLevel="0" collapsed="false">
      <c r="A402" s="196" t="str">
        <f aca="false">IF(A401&lt;mthend,EDATE(A401,1),"")</f>
        <v/>
      </c>
      <c r="B402" s="197" t="str">
        <f aca="false">IF(A402&lt;mthend,B401,"")</f>
        <v/>
      </c>
      <c r="D402" s="197" t="str">
        <f aca="false">IF(A403&lt;&gt;"",B402+C402,"")</f>
        <v/>
      </c>
      <c r="E402" s="199" t="str">
        <f aca="false">IF(A403="","",IF(AND(AT402=1,$H$3=1),D402*AO402,IF($H$3=2,D402,"N/A")))</f>
        <v/>
      </c>
      <c r="F402" s="199" t="str">
        <f aca="false">IF(A403="","",E402*AS402)</f>
        <v/>
      </c>
      <c r="G402" s="200" t="str">
        <f aca="false">IF($A403="","",VLOOKUP($A402,Table,MATCH(G$4,Curves,0)))</f>
        <v/>
      </c>
      <c r="H402" s="201" t="str">
        <f aca="false">IF(A403="","",G402)</f>
        <v/>
      </c>
      <c r="J402" s="200" t="str">
        <f aca="false">IF($A403="","",VLOOKUP($A402,Table,MATCH(J$4,Curves,0)))</f>
        <v/>
      </c>
      <c r="K402" s="201" t="str">
        <f aca="false">IF(A403="","",J402)</f>
        <v/>
      </c>
      <c r="L402" s="185" t="n">
        <v>0</v>
      </c>
      <c r="M402" s="201" t="str">
        <f aca="false">IF(A403="","",L402)</f>
        <v/>
      </c>
      <c r="O402" s="200" t="str">
        <f aca="false">IF(A403="","",L402+J402+G402)</f>
        <v/>
      </c>
      <c r="P402" s="200" t="str">
        <f aca="false">IF(A403="","",M402+K402+H402)</f>
        <v/>
      </c>
      <c r="R402" s="200" t="str">
        <f aca="false">IF($A403="","",VLOOKUP($A402,Table,MATCH(R$4,Curves,0)))</f>
        <v/>
      </c>
      <c r="S402" s="201" t="str">
        <f aca="false">IF(A403="","",R402)</f>
        <v/>
      </c>
      <c r="T402" s="185" t="n">
        <v>0</v>
      </c>
      <c r="U402" s="201" t="str">
        <f aca="false">IF(A403="","",T402)</f>
        <v/>
      </c>
      <c r="V402" s="205"/>
      <c r="W402" s="202" t="str">
        <f aca="false">IF($A403="","",(T402+R402+G402+V402))</f>
        <v/>
      </c>
      <c r="X402" s="202" t="str">
        <f aca="false">IF($A403="","",(U402+S402+H402+V402))</f>
        <v/>
      </c>
      <c r="Y402" s="202"/>
      <c r="Z402" s="185"/>
      <c r="AJ402" s="218"/>
      <c r="AK402" s="218"/>
      <c r="AL402" s="218"/>
      <c r="AM402" s="218"/>
      <c r="AN402" s="218"/>
      <c r="AO402" s="137" t="str">
        <f aca="false">IF(A403="","",A403-A402)</f>
        <v/>
      </c>
      <c r="AP402" s="212" t="str">
        <f aca="false">IF(A403="","",CHOOSE(F$3,A403+24,A402))</f>
        <v/>
      </c>
      <c r="AQ402" s="209" t="str">
        <f aca="false">IF(A403="","",AP402-$E$1)</f>
        <v/>
      </c>
      <c r="AR402" s="185" t="n">
        <f aca="false">'ANR OK vs ML7'!AR402</f>
        <v>0.1</v>
      </c>
      <c r="AS402" s="213" t="str">
        <f aca="false">IF(A403="","",1/(1+CHOOSE(F$3,(AR403+($I$3/10000))/2,(AR402+($I$3/10000))/2))^(2*AQ402/365.25))</f>
        <v/>
      </c>
      <c r="AT402" s="137" t="str">
        <f aca="false">IF(A403="","",IF(AND(mthbeg&lt;=A402,mthend&gt;=A402),1,0))</f>
        <v/>
      </c>
      <c r="AU402" s="137" t="str">
        <f aca="false">IF(A403="","",AO402*AT402)</f>
        <v/>
      </c>
      <c r="AW402" s="195" t="str">
        <f aca="false">IF($A403="","",AL402*$E402)</f>
        <v/>
      </c>
      <c r="AX402" s="195" t="str">
        <f aca="false">IF($A403="","",AM402*$E402)</f>
        <v/>
      </c>
      <c r="AY402" s="195" t="str">
        <f aca="false">IF($A403="","",AN402*$E402)</f>
        <v/>
      </c>
      <c r="BA402" s="195" t="str">
        <f aca="false">IF($A403="","",F402*Summary!$Q$13)</f>
        <v/>
      </c>
    </row>
    <row r="403" customFormat="false" ht="12.75" hidden="false" customHeight="false" outlineLevel="0" collapsed="false">
      <c r="A403" s="196" t="str">
        <f aca="false">IF(A402&lt;mthend,EDATE(A402,1),"")</f>
        <v/>
      </c>
      <c r="B403" s="197" t="str">
        <f aca="false">IF(A403&lt;mthend,B402,"")</f>
        <v/>
      </c>
      <c r="D403" s="197" t="str">
        <f aca="false">IF(A404&lt;&gt;"",B403+C403,"")</f>
        <v/>
      </c>
      <c r="E403" s="199" t="str">
        <f aca="false">IF(A404="","",IF(AND(AT403=1,$H$3=1),D403*AO403,IF($H$3=2,D403,"N/A")))</f>
        <v/>
      </c>
      <c r="F403" s="199" t="str">
        <f aca="false">IF(A404="","",E403*AS403)</f>
        <v/>
      </c>
      <c r="G403" s="200" t="str">
        <f aca="false">IF($A404="","",VLOOKUP($A403,Table,MATCH(G$4,Curves,0)))</f>
        <v/>
      </c>
      <c r="H403" s="201" t="str">
        <f aca="false">IF(A404="","",G403)</f>
        <v/>
      </c>
      <c r="J403" s="200" t="str">
        <f aca="false">IF($A404="","",VLOOKUP($A403,Table,MATCH(J$4,Curves,0)))</f>
        <v/>
      </c>
      <c r="K403" s="201" t="str">
        <f aca="false">IF(A404="","",J403)</f>
        <v/>
      </c>
      <c r="L403" s="185" t="n">
        <v>0</v>
      </c>
      <c r="M403" s="201" t="str">
        <f aca="false">IF(A404="","",L403)</f>
        <v/>
      </c>
      <c r="O403" s="200" t="str">
        <f aca="false">IF(A404="","",L403+J403+G403)</f>
        <v/>
      </c>
      <c r="P403" s="200" t="str">
        <f aca="false">IF(A404="","",M403+K403+H403)</f>
        <v/>
      </c>
      <c r="R403" s="200" t="str">
        <f aca="false">IF($A404="","",VLOOKUP($A403,Table,MATCH(R$4,Curves,0)))</f>
        <v/>
      </c>
      <c r="S403" s="201" t="str">
        <f aca="false">IF(A404="","",R403)</f>
        <v/>
      </c>
      <c r="T403" s="185" t="n">
        <v>0</v>
      </c>
      <c r="U403" s="201" t="str">
        <f aca="false">IF(A404="","",T403)</f>
        <v/>
      </c>
      <c r="V403" s="205"/>
      <c r="W403" s="202" t="str">
        <f aca="false">IF($A404="","",(T403+R403+G403+V403))</f>
        <v/>
      </c>
      <c r="X403" s="202" t="str">
        <f aca="false">IF($A404="","",(U403+S403+H403+V403))</f>
        <v/>
      </c>
      <c r="Y403" s="202"/>
      <c r="Z403" s="185"/>
      <c r="AJ403" s="77"/>
      <c r="AK403" s="77"/>
      <c r="AL403" s="77"/>
      <c r="AM403" s="77"/>
      <c r="AN403" s="77"/>
      <c r="AO403" s="137" t="str">
        <f aca="false">IF(A404="","",A404-A403)</f>
        <v/>
      </c>
      <c r="AP403" s="212" t="str">
        <f aca="false">IF(A404="","",CHOOSE(F$3,A404+24,A403))</f>
        <v/>
      </c>
      <c r="AQ403" s="209" t="str">
        <f aca="false">IF(A404="","",AP403-$E$1)</f>
        <v/>
      </c>
      <c r="AR403" s="185" t="n">
        <f aca="false">'ANR OK vs ML7'!AR403</f>
        <v>0.1</v>
      </c>
      <c r="AS403" s="213" t="str">
        <f aca="false">IF(A404="","",1/(1+CHOOSE(F$3,(AR404+($I$3/10000))/2,(AR403+($I$3/10000))/2))^(2*AQ403/365.25))</f>
        <v/>
      </c>
      <c r="AT403" s="137" t="str">
        <f aca="false">IF(A404="","",IF(AND(mthbeg&lt;=A403,mthend&gt;=A403),1,0))</f>
        <v/>
      </c>
      <c r="AU403" s="137" t="str">
        <f aca="false">IF(A404="","",AO403*AT403)</f>
        <v/>
      </c>
      <c r="AW403" s="195" t="str">
        <f aca="false">IF($A404="","",AL403*$E403)</f>
        <v/>
      </c>
      <c r="AX403" s="195" t="str">
        <f aca="false">IF($A404="","",AM403*$E403)</f>
        <v/>
      </c>
      <c r="AY403" s="195" t="str">
        <f aca="false">IF($A404="","",AN403*$E403)</f>
        <v/>
      </c>
      <c r="BA403" s="195" t="str">
        <f aca="false">IF($A404="","",F403*Summary!$Q$13)</f>
        <v/>
      </c>
    </row>
    <row r="404" customFormat="false" ht="12.75" hidden="false" customHeight="false" outlineLevel="0" collapsed="false">
      <c r="A404" s="196" t="str">
        <f aca="false">IF(A403&lt;mthend,EDATE(A403,1),"")</f>
        <v/>
      </c>
      <c r="B404" s="197" t="str">
        <f aca="false">IF(A404&lt;mthend,B403,"")</f>
        <v/>
      </c>
      <c r="D404" s="197" t="str">
        <f aca="false">IF(A405&lt;&gt;"",B404+C404,"")</f>
        <v/>
      </c>
      <c r="E404" s="199" t="str">
        <f aca="false">IF(A405="","",IF(AND(AT404=1,$H$3=1),D404*AO404,IF($H$3=2,D404,"N/A")))</f>
        <v/>
      </c>
      <c r="F404" s="199" t="str">
        <f aca="false">IF(A405="","",E404*AS404)</f>
        <v/>
      </c>
      <c r="G404" s="200" t="str">
        <f aca="false">IF($A405="","",VLOOKUP($A404,Table,MATCH(G$4,Curves,0)))</f>
        <v/>
      </c>
      <c r="H404" s="201" t="str">
        <f aca="false">IF(A405="","",G404)</f>
        <v/>
      </c>
      <c r="J404" s="200" t="str">
        <f aca="false">IF($A405="","",VLOOKUP($A404,Table,MATCH(J$4,Curves,0)))</f>
        <v/>
      </c>
      <c r="K404" s="201" t="str">
        <f aca="false">IF(A405="","",J404)</f>
        <v/>
      </c>
      <c r="L404" s="185" t="n">
        <v>0</v>
      </c>
      <c r="M404" s="201" t="str">
        <f aca="false">IF(A405="","",L404)</f>
        <v/>
      </c>
      <c r="O404" s="200" t="str">
        <f aca="false">IF(A405="","",L404+J404+G404)</f>
        <v/>
      </c>
      <c r="P404" s="200" t="str">
        <f aca="false">IF(A405="","",M404+K404+H404)</f>
        <v/>
      </c>
      <c r="R404" s="200" t="str">
        <f aca="false">IF($A405="","",VLOOKUP($A404,Table,MATCH(R$4,Curves,0)))</f>
        <v/>
      </c>
      <c r="S404" s="201" t="str">
        <f aca="false">IF(A405="","",R404)</f>
        <v/>
      </c>
      <c r="T404" s="185" t="n">
        <v>0</v>
      </c>
      <c r="U404" s="201" t="str">
        <f aca="false">IF(A405="","",T404)</f>
        <v/>
      </c>
      <c r="V404" s="205"/>
      <c r="W404" s="202" t="str">
        <f aca="false">IF($A405="","",(T404+R404+G404+V404))</f>
        <v/>
      </c>
      <c r="X404" s="202" t="str">
        <f aca="false">IF($A405="","",(U404+S404+H404+V404))</f>
        <v/>
      </c>
      <c r="Y404" s="202"/>
      <c r="Z404" s="185"/>
      <c r="AJ404" s="77"/>
      <c r="AK404" s="77"/>
      <c r="AL404" s="77"/>
      <c r="AM404" s="77"/>
      <c r="AN404" s="77"/>
      <c r="AO404" s="137" t="str">
        <f aca="false">IF(A405="","",A405-A404)</f>
        <v/>
      </c>
      <c r="AP404" s="212" t="str">
        <f aca="false">IF(A405="","",CHOOSE(F$3,A405+24,A404))</f>
        <v/>
      </c>
      <c r="AQ404" s="209" t="str">
        <f aca="false">IF(A405="","",AP404-$E$1)</f>
        <v/>
      </c>
      <c r="AR404" s="185" t="n">
        <f aca="false">'ANR OK vs ML7'!AR404</f>
        <v>0.1</v>
      </c>
      <c r="AS404" s="213" t="str">
        <f aca="false">IF(A405="","",1/(1+CHOOSE(F$3,(AR405+($I$3/10000))/2,(AR404+($I$3/10000))/2))^(2*AQ404/365.25))</f>
        <v/>
      </c>
      <c r="AT404" s="137" t="str">
        <f aca="false">IF(A405="","",IF(AND(mthbeg&lt;=A404,mthend&gt;=A404),1,0))</f>
        <v/>
      </c>
      <c r="AU404" s="137" t="str">
        <f aca="false">IF(A405="","",AO404*AT404)</f>
        <v/>
      </c>
      <c r="AW404" s="195" t="str">
        <f aca="false">IF($A405="","",AL404*$E404)</f>
        <v/>
      </c>
      <c r="AX404" s="195" t="str">
        <f aca="false">IF($A405="","",AM404*$E404)</f>
        <v/>
      </c>
      <c r="AY404" s="195" t="str">
        <f aca="false">IF($A405="","",AN404*$E404)</f>
        <v/>
      </c>
      <c r="BA404" s="195" t="str">
        <f aca="false">IF($A405="","",F404*Summary!$Q$13)</f>
        <v/>
      </c>
    </row>
    <row r="405" customFormat="false" ht="12.75" hidden="false" customHeight="false" outlineLevel="0" collapsed="false">
      <c r="A405" s="196" t="str">
        <f aca="false">IF(A404&lt;mthend,EDATE(A404,1),"")</f>
        <v/>
      </c>
      <c r="B405" s="197" t="str">
        <f aca="false">IF(A405&lt;mthend,B404,"")</f>
        <v/>
      </c>
      <c r="D405" s="197" t="str">
        <f aca="false">IF(A406&lt;&gt;"",B405+C405,"")</f>
        <v/>
      </c>
      <c r="E405" s="199" t="str">
        <f aca="false">IF(A406="","",IF(AND(AT405=1,$H$3=1),D405*AO405,IF($H$3=2,D405,"N/A")))</f>
        <v/>
      </c>
      <c r="F405" s="199" t="str">
        <f aca="false">IF(A406="","",E405*AS405)</f>
        <v/>
      </c>
      <c r="G405" s="200" t="str">
        <f aca="false">IF($A406="","",VLOOKUP($A405,Table,MATCH(G$4,Curves,0)))</f>
        <v/>
      </c>
      <c r="H405" s="201" t="str">
        <f aca="false">IF(A406="","",G405)</f>
        <v/>
      </c>
      <c r="J405" s="200" t="str">
        <f aca="false">IF($A406="","",VLOOKUP($A405,Table,MATCH(J$4,Curves,0)))</f>
        <v/>
      </c>
      <c r="K405" s="201" t="str">
        <f aca="false">IF(A406="","",J405)</f>
        <v/>
      </c>
      <c r="L405" s="185" t="n">
        <v>0</v>
      </c>
      <c r="M405" s="201" t="str">
        <f aca="false">IF(A406="","",L405)</f>
        <v/>
      </c>
      <c r="O405" s="200" t="str">
        <f aca="false">IF(A406="","",L405+J405+G405)</f>
        <v/>
      </c>
      <c r="P405" s="200" t="str">
        <f aca="false">IF(A406="","",M405+K405+H405)</f>
        <v/>
      </c>
      <c r="R405" s="200" t="str">
        <f aca="false">IF($A406="","",VLOOKUP($A405,Table,MATCH(R$4,Curves,0)))</f>
        <v/>
      </c>
      <c r="S405" s="201" t="str">
        <f aca="false">IF(A406="","",R405)</f>
        <v/>
      </c>
      <c r="T405" s="185" t="n">
        <v>0</v>
      </c>
      <c r="U405" s="201" t="str">
        <f aca="false">IF(A406="","",T405)</f>
        <v/>
      </c>
      <c r="V405" s="205"/>
      <c r="W405" s="202" t="str">
        <f aca="false">IF($A406="","",(T405+R405+G405+V405))</f>
        <v/>
      </c>
      <c r="X405" s="202" t="str">
        <f aca="false">IF($A406="","",(U405+S405+H405+V405))</f>
        <v/>
      </c>
      <c r="Y405" s="202"/>
      <c r="Z405" s="185"/>
      <c r="AJ405" s="77"/>
      <c r="AK405" s="77"/>
      <c r="AL405" s="77"/>
      <c r="AM405" s="77"/>
      <c r="AN405" s="77"/>
      <c r="AO405" s="137" t="str">
        <f aca="false">IF(A406="","",A406-A405)</f>
        <v/>
      </c>
      <c r="AP405" s="212" t="str">
        <f aca="false">IF(A406="","",CHOOSE(F$3,A406+24,A405))</f>
        <v/>
      </c>
      <c r="AQ405" s="209" t="str">
        <f aca="false">IF(A406="","",AP405-$E$1)</f>
        <v/>
      </c>
      <c r="AR405" s="185" t="n">
        <f aca="false">'ANR OK vs ML7'!AR405</f>
        <v>0.1</v>
      </c>
      <c r="AS405" s="213" t="str">
        <f aca="false">IF(A406="","",1/(1+CHOOSE(F$3,(AR406+($I$3/10000))/2,(AR405+($I$3/10000))/2))^(2*AQ405/365.25))</f>
        <v/>
      </c>
      <c r="AT405" s="137" t="str">
        <f aca="false">IF(A406="","",IF(AND(mthbeg&lt;=A405,mthend&gt;=A405),1,0))</f>
        <v/>
      </c>
      <c r="AU405" s="137" t="str">
        <f aca="false">IF(A406="","",AO405*AT405)</f>
        <v/>
      </c>
      <c r="AW405" s="195" t="str">
        <f aca="false">IF($A406="","",AL405*$E405)</f>
        <v/>
      </c>
      <c r="AX405" s="195" t="str">
        <f aca="false">IF($A406="","",AM405*$E405)</f>
        <v/>
      </c>
      <c r="AY405" s="195" t="str">
        <f aca="false">IF($A406="","",AN405*$E405)</f>
        <v/>
      </c>
      <c r="BA405" s="195" t="str">
        <f aca="false">IF($A406="","",F405*Summary!$Q$13)</f>
        <v/>
      </c>
    </row>
    <row r="406" customFormat="false" ht="12.75" hidden="false" customHeight="false" outlineLevel="0" collapsed="false">
      <c r="A406" s="196" t="str">
        <f aca="false">IF(A405&lt;mthend,EDATE(A405,1),"")</f>
        <v/>
      </c>
      <c r="B406" s="197" t="str">
        <f aca="false">IF(A406&lt;mthend,B405,"")</f>
        <v/>
      </c>
      <c r="D406" s="197" t="str">
        <f aca="false">IF(A407&lt;&gt;"",B406+C406,"")</f>
        <v/>
      </c>
      <c r="E406" s="199" t="str">
        <f aca="false">IF(A407="","",IF(AND(AT406=1,$H$3=1),D406*AO406,IF($H$3=2,D406,"N/A")))</f>
        <v/>
      </c>
      <c r="F406" s="199" t="str">
        <f aca="false">IF(A407="","",E406*AS406)</f>
        <v/>
      </c>
      <c r="G406" s="200" t="str">
        <f aca="false">IF($A407="","",VLOOKUP($A406,Table,MATCH(G$4,Curves,0)))</f>
        <v/>
      </c>
      <c r="H406" s="201" t="str">
        <f aca="false">IF(A407="","",G406)</f>
        <v/>
      </c>
      <c r="J406" s="200" t="str">
        <f aca="false">IF($A407="","",VLOOKUP($A406,Table,MATCH(J$4,Curves,0)))</f>
        <v/>
      </c>
      <c r="K406" s="201" t="str">
        <f aca="false">IF(A407="","",J406)</f>
        <v/>
      </c>
      <c r="L406" s="185" t="n">
        <v>0</v>
      </c>
      <c r="M406" s="201" t="str">
        <f aca="false">IF(A407="","",L406)</f>
        <v/>
      </c>
      <c r="O406" s="200" t="str">
        <f aca="false">IF(A407="","",L406+J406+G406)</f>
        <v/>
      </c>
      <c r="P406" s="200" t="str">
        <f aca="false">IF(A407="","",M406+K406+H406)</f>
        <v/>
      </c>
      <c r="R406" s="200" t="str">
        <f aca="false">IF($A407="","",VLOOKUP($A406,Table,MATCH(R$4,Curves,0)))</f>
        <v/>
      </c>
      <c r="S406" s="201" t="str">
        <f aca="false">IF(A407="","",R406)</f>
        <v/>
      </c>
      <c r="T406" s="185" t="n">
        <v>0</v>
      </c>
      <c r="U406" s="201" t="str">
        <f aca="false">IF(A407="","",T406)</f>
        <v/>
      </c>
      <c r="V406" s="205"/>
      <c r="W406" s="202" t="str">
        <f aca="false">IF($A407="","",(T406+R406+G406+V406))</f>
        <v/>
      </c>
      <c r="X406" s="202" t="str">
        <f aca="false">IF($A407="","",(U406+S406+H406+V406))</f>
        <v/>
      </c>
      <c r="Y406" s="202"/>
      <c r="Z406" s="185"/>
      <c r="AJ406" s="77"/>
      <c r="AK406" s="77"/>
      <c r="AL406" s="77"/>
      <c r="AM406" s="77"/>
      <c r="AN406" s="77"/>
      <c r="AO406" s="137" t="str">
        <f aca="false">IF(A407="","",A407-A406)</f>
        <v/>
      </c>
      <c r="AP406" s="212" t="str">
        <f aca="false">IF(A407="","",CHOOSE(F$3,A407+24,A406))</f>
        <v/>
      </c>
      <c r="AQ406" s="209" t="str">
        <f aca="false">IF(A407="","",AP406-$E$1)</f>
        <v/>
      </c>
      <c r="AR406" s="185" t="n">
        <f aca="false">'ANR OK vs ML7'!AR406</f>
        <v>0.1</v>
      </c>
      <c r="AS406" s="213" t="str">
        <f aca="false">IF(A407="","",1/(1+CHOOSE(F$3,(AR407+($I$3/10000))/2,(AR406+($I$3/10000))/2))^(2*AQ406/365.25))</f>
        <v/>
      </c>
      <c r="AT406" s="137" t="str">
        <f aca="false">IF(A407="","",IF(AND(mthbeg&lt;=A406,mthend&gt;=A406),1,0))</f>
        <v/>
      </c>
      <c r="AU406" s="137" t="str">
        <f aca="false">IF(A407="","",AO406*AT406)</f>
        <v/>
      </c>
      <c r="AW406" s="195" t="str">
        <f aca="false">IF($A407="","",AL406*$E406)</f>
        <v/>
      </c>
      <c r="AX406" s="195" t="str">
        <f aca="false">IF($A407="","",AM406*$E406)</f>
        <v/>
      </c>
      <c r="AY406" s="195" t="str">
        <f aca="false">IF($A407="","",AN406*$E406)</f>
        <v/>
      </c>
      <c r="BA406" s="195" t="str">
        <f aca="false">IF($A407="","",F406*Summary!$Q$13)</f>
        <v/>
      </c>
    </row>
    <row r="407" customFormat="false" ht="12.75" hidden="false" customHeight="false" outlineLevel="0" collapsed="false">
      <c r="A407" s="196" t="str">
        <f aca="false">IF(A406&lt;mthend,EDATE(A406,1),"")</f>
        <v/>
      </c>
      <c r="B407" s="197" t="str">
        <f aca="false">IF(A407&lt;mthend,B406,"")</f>
        <v/>
      </c>
      <c r="D407" s="197" t="str">
        <f aca="false">IF(A408&lt;&gt;"",B407+C407,"")</f>
        <v/>
      </c>
      <c r="E407" s="199" t="str">
        <f aca="false">IF(A408="","",IF(AND(AT407=1,$H$3=1),D407*AO407,IF($H$3=2,D407,"N/A")))</f>
        <v/>
      </c>
      <c r="F407" s="199" t="str">
        <f aca="false">IF(A408="","",E407*AS407)</f>
        <v/>
      </c>
      <c r="G407" s="200" t="str">
        <f aca="false">IF($A408="","",VLOOKUP($A407,Table,MATCH(G$4,Curves,0)))</f>
        <v/>
      </c>
      <c r="H407" s="201" t="str">
        <f aca="false">IF(A408="","",G407)</f>
        <v/>
      </c>
      <c r="J407" s="200" t="str">
        <f aca="false">IF($A408="","",VLOOKUP($A407,Table,MATCH(J$4,Curves,0)))</f>
        <v/>
      </c>
      <c r="K407" s="201" t="str">
        <f aca="false">IF(A408="","",J407)</f>
        <v/>
      </c>
      <c r="L407" s="185" t="n">
        <v>0</v>
      </c>
      <c r="M407" s="201" t="str">
        <f aca="false">IF(A408="","",L407)</f>
        <v/>
      </c>
      <c r="O407" s="200" t="str">
        <f aca="false">IF(A408="","",L407+J407+G407)</f>
        <v/>
      </c>
      <c r="P407" s="200" t="str">
        <f aca="false">IF(A408="","",M407+K407+H407)</f>
        <v/>
      </c>
      <c r="R407" s="200" t="str">
        <f aca="false">IF($A408="","",VLOOKUP($A407,Table,MATCH(R$4,Curves,0)))</f>
        <v/>
      </c>
      <c r="S407" s="201" t="str">
        <f aca="false">IF(A408="","",R407)</f>
        <v/>
      </c>
      <c r="T407" s="185" t="n">
        <v>0</v>
      </c>
      <c r="U407" s="201" t="str">
        <f aca="false">IF(A408="","",T407)</f>
        <v/>
      </c>
      <c r="V407" s="205"/>
      <c r="W407" s="202" t="str">
        <f aca="false">IF($A408="","",(T407+R407+G407+V407))</f>
        <v/>
      </c>
      <c r="X407" s="202" t="str">
        <f aca="false">IF($A408="","",(U407+S407+H407+V407))</f>
        <v/>
      </c>
      <c r="Y407" s="202"/>
      <c r="Z407" s="185"/>
      <c r="AJ407" s="77"/>
      <c r="AK407" s="77"/>
      <c r="AL407" s="77"/>
      <c r="AM407" s="77"/>
      <c r="AN407" s="77"/>
      <c r="AO407" s="137" t="str">
        <f aca="false">IF(A408="","",A408-A407)</f>
        <v/>
      </c>
      <c r="AP407" s="212" t="str">
        <f aca="false">IF(A408="","",CHOOSE(F$3,A408+24,A407))</f>
        <v/>
      </c>
      <c r="AQ407" s="209" t="str">
        <f aca="false">IF(A408="","",AP407-$E$1)</f>
        <v/>
      </c>
      <c r="AR407" s="185" t="n">
        <f aca="false">'ANR OK vs ML7'!AR407</f>
        <v>0.1</v>
      </c>
      <c r="AS407" s="213" t="str">
        <f aca="false">IF(A408="","",1/(1+CHOOSE(F$3,(AR408+($I$3/10000))/2,(AR407+($I$3/10000))/2))^(2*AQ407/365.25))</f>
        <v/>
      </c>
      <c r="AT407" s="137" t="str">
        <f aca="false">IF(A408="","",IF(AND(mthbeg&lt;=A407,mthend&gt;=A407),1,0))</f>
        <v/>
      </c>
      <c r="AU407" s="137" t="str">
        <f aca="false">IF(A408="","",AO407*AT407)</f>
        <v/>
      </c>
      <c r="AW407" s="195" t="str">
        <f aca="false">IF($A408="","",AL407*$E407)</f>
        <v/>
      </c>
      <c r="AX407" s="195" t="str">
        <f aca="false">IF($A408="","",AM407*$E407)</f>
        <v/>
      </c>
      <c r="AY407" s="195" t="str">
        <f aca="false">IF($A408="","",AN407*$E407)</f>
        <v/>
      </c>
      <c r="BA407" s="195" t="str">
        <f aca="false">IF($A408="","",F407*Summary!$Q$13)</f>
        <v/>
      </c>
    </row>
    <row r="408" customFormat="false" ht="12.75" hidden="false" customHeight="false" outlineLevel="0" collapsed="false">
      <c r="A408" s="196" t="str">
        <f aca="false">IF(A407&lt;mthend,EDATE(A407,1),"")</f>
        <v/>
      </c>
      <c r="B408" s="197" t="str">
        <f aca="false">IF(A408&lt;mthend,B407,"")</f>
        <v/>
      </c>
      <c r="D408" s="197" t="str">
        <f aca="false">IF(A409&lt;&gt;"",B408+C408,"")</f>
        <v/>
      </c>
      <c r="E408" s="199" t="str">
        <f aca="false">IF(A409="","",IF(AND(AT408=1,$H$3=1),D408*AO408,IF($H$3=2,D408,"N/A")))</f>
        <v/>
      </c>
      <c r="F408" s="199" t="str">
        <f aca="false">IF(A409="","",E408*AS408)</f>
        <v/>
      </c>
      <c r="G408" s="200" t="str">
        <f aca="false">IF($A409="","",VLOOKUP($A408,Table,MATCH(G$4,Curves,0)))</f>
        <v/>
      </c>
      <c r="H408" s="201" t="str">
        <f aca="false">IF(A409="","",G408)</f>
        <v/>
      </c>
      <c r="J408" s="200" t="str">
        <f aca="false">IF($A409="","",VLOOKUP($A408,Table,MATCH(J$4,Curves,0)))</f>
        <v/>
      </c>
      <c r="K408" s="201" t="str">
        <f aca="false">IF(A409="","",J408)</f>
        <v/>
      </c>
      <c r="L408" s="185" t="n">
        <v>0</v>
      </c>
      <c r="M408" s="201" t="str">
        <f aca="false">IF(A409="","",L408)</f>
        <v/>
      </c>
      <c r="O408" s="200" t="str">
        <f aca="false">IF(A409="","",L408+J408+G408)</f>
        <v/>
      </c>
      <c r="P408" s="200" t="str">
        <f aca="false">IF(A409="","",M408+K408+H408)</f>
        <v/>
      </c>
      <c r="R408" s="200" t="str">
        <f aca="false">IF($A409="","",VLOOKUP($A408,Table,MATCH(R$4,Curves,0)))</f>
        <v/>
      </c>
      <c r="S408" s="201" t="str">
        <f aca="false">IF(A409="","",R408)</f>
        <v/>
      </c>
      <c r="T408" s="185" t="n">
        <v>0</v>
      </c>
      <c r="U408" s="201" t="str">
        <f aca="false">IF(A409="","",T408)</f>
        <v/>
      </c>
      <c r="V408" s="205"/>
      <c r="W408" s="202" t="str">
        <f aca="false">IF($A409="","",(T408+R408+G408+V408))</f>
        <v/>
      </c>
      <c r="X408" s="202" t="str">
        <f aca="false">IF($A409="","",(U408+S408+H408+V408))</f>
        <v/>
      </c>
      <c r="Y408" s="202"/>
      <c r="Z408" s="185"/>
      <c r="AJ408" s="77"/>
      <c r="AK408" s="77"/>
      <c r="AL408" s="77"/>
      <c r="AM408" s="77"/>
      <c r="AN408" s="77"/>
      <c r="AO408" s="137" t="str">
        <f aca="false">IF(A409="","",A409-A408)</f>
        <v/>
      </c>
      <c r="AP408" s="212" t="str">
        <f aca="false">IF(A409="","",CHOOSE(F$3,A409+24,A408))</f>
        <v/>
      </c>
      <c r="AQ408" s="209" t="str">
        <f aca="false">IF(A409="","",AP408-$E$1)</f>
        <v/>
      </c>
      <c r="AR408" s="185" t="n">
        <f aca="false">'ANR OK vs ML7'!AR408</f>
        <v>0.1</v>
      </c>
      <c r="AS408" s="213" t="str">
        <f aca="false">IF(A409="","",1/(1+CHOOSE(F$3,(AR409+($I$3/10000))/2,(AR408+($I$3/10000))/2))^(2*AQ408/365.25))</f>
        <v/>
      </c>
      <c r="AT408" s="137" t="str">
        <f aca="false">IF(A409="","",IF(AND(mthbeg&lt;=A408,mthend&gt;=A408),1,0))</f>
        <v/>
      </c>
      <c r="AU408" s="137" t="str">
        <f aca="false">IF(A409="","",AO408*AT408)</f>
        <v/>
      </c>
      <c r="AW408" s="195" t="str">
        <f aca="false">IF($A409="","",AL408*$E408)</f>
        <v/>
      </c>
      <c r="AX408" s="195" t="str">
        <f aca="false">IF($A409="","",AM408*$E408)</f>
        <v/>
      </c>
      <c r="AY408" s="195" t="str">
        <f aca="false">IF($A409="","",AN408*$E408)</f>
        <v/>
      </c>
      <c r="BA408" s="195" t="str">
        <f aca="false">IF($A409="","",F408*Summary!$Q$13)</f>
        <v/>
      </c>
    </row>
    <row r="409" customFormat="false" ht="12.75" hidden="false" customHeight="false" outlineLevel="0" collapsed="false">
      <c r="A409" s="196" t="str">
        <f aca="false">IF(A408&lt;mthend,EDATE(A408,1),"")</f>
        <v/>
      </c>
      <c r="B409" s="197" t="str">
        <f aca="false">IF(A409&lt;mthend,B408,"")</f>
        <v/>
      </c>
      <c r="D409" s="197" t="str">
        <f aca="false">IF(A410&lt;&gt;"",B409+C409,"")</f>
        <v/>
      </c>
      <c r="E409" s="199" t="str">
        <f aca="false">IF(A410="","",IF(AND(AT409=1,$H$3=1),D409*AO409,IF($H$3=2,D409,"N/A")))</f>
        <v/>
      </c>
      <c r="F409" s="199" t="str">
        <f aca="false">IF(A410="","",E409*AS409)</f>
        <v/>
      </c>
      <c r="G409" s="200" t="str">
        <f aca="false">IF($A410="","",VLOOKUP($A409,Table,MATCH(G$4,Curves,0)))</f>
        <v/>
      </c>
      <c r="H409" s="201" t="str">
        <f aca="false">IF(A410="","",G409)</f>
        <v/>
      </c>
      <c r="J409" s="200" t="str">
        <f aca="false">IF($A410="","",VLOOKUP($A409,Table,MATCH(J$4,Curves,0)))</f>
        <v/>
      </c>
      <c r="K409" s="201" t="str">
        <f aca="false">IF(A410="","",J409)</f>
        <v/>
      </c>
      <c r="L409" s="185" t="n">
        <v>0</v>
      </c>
      <c r="M409" s="201" t="str">
        <f aca="false">IF(A410="","",L409)</f>
        <v/>
      </c>
      <c r="O409" s="200" t="str">
        <f aca="false">IF(A410="","",L409+J409+G409)</f>
        <v/>
      </c>
      <c r="P409" s="200" t="str">
        <f aca="false">IF(A410="","",M409+K409+H409)</f>
        <v/>
      </c>
      <c r="R409" s="200" t="str">
        <f aca="false">IF($A410="","",VLOOKUP($A409,Table,MATCH(R$4,Curves,0)))</f>
        <v/>
      </c>
      <c r="S409" s="201" t="str">
        <f aca="false">IF(A410="","",R409)</f>
        <v/>
      </c>
      <c r="T409" s="185" t="n">
        <v>0</v>
      </c>
      <c r="U409" s="201" t="str">
        <f aca="false">IF(A410="","",T409)</f>
        <v/>
      </c>
      <c r="V409" s="205"/>
      <c r="W409" s="202" t="str">
        <f aca="false">IF($A410="","",(T409+R409+G409+V409))</f>
        <v/>
      </c>
      <c r="X409" s="202" t="str">
        <f aca="false">IF($A410="","",(U409+S409+H409+V409))</f>
        <v/>
      </c>
      <c r="Y409" s="202"/>
      <c r="Z409" s="185"/>
      <c r="AJ409" s="77"/>
      <c r="AK409" s="77"/>
      <c r="AL409" s="77"/>
      <c r="AM409" s="77"/>
      <c r="AN409" s="77"/>
      <c r="AO409" s="137" t="str">
        <f aca="false">IF(A410="","",A410-A409)</f>
        <v/>
      </c>
      <c r="AP409" s="212" t="str">
        <f aca="false">IF(A410="","",CHOOSE(F$3,A410+24,A409))</f>
        <v/>
      </c>
      <c r="AQ409" s="209" t="str">
        <f aca="false">IF(A410="","",AP409-$E$1)</f>
        <v/>
      </c>
      <c r="AR409" s="185" t="n">
        <f aca="false">'ANR OK vs ML7'!AR409</f>
        <v>0.1</v>
      </c>
      <c r="AS409" s="213" t="str">
        <f aca="false">IF(A410="","",1/(1+CHOOSE(F$3,(AR410+($I$3/10000))/2,(AR409+($I$3/10000))/2))^(2*AQ409/365.25))</f>
        <v/>
      </c>
      <c r="AT409" s="137" t="str">
        <f aca="false">IF(A410="","",IF(AND(mthbeg&lt;=A409,mthend&gt;=A409),1,0))</f>
        <v/>
      </c>
      <c r="AU409" s="137" t="str">
        <f aca="false">IF(A410="","",AO409*AT409)</f>
        <v/>
      </c>
      <c r="AW409" s="195" t="str">
        <f aca="false">IF($A410="","",AL409*$E409)</f>
        <v/>
      </c>
      <c r="AX409" s="195" t="str">
        <f aca="false">IF($A410="","",AM409*$E409)</f>
        <v/>
      </c>
      <c r="AY409" s="195" t="str">
        <f aca="false">IF($A410="","",AN409*$E409)</f>
        <v/>
      </c>
      <c r="BA409" s="195" t="str">
        <f aca="false">IF($A410="","",F409*Summary!$Q$13)</f>
        <v/>
      </c>
    </row>
    <row r="410" customFormat="false" ht="12.75" hidden="false" customHeight="false" outlineLevel="0" collapsed="false">
      <c r="A410" s="196" t="str">
        <f aca="false">IF(A409&lt;mthend,EDATE(A409,1),"")</f>
        <v/>
      </c>
      <c r="B410" s="197" t="str">
        <f aca="false">IF(A410&lt;mthend,B409,"")</f>
        <v/>
      </c>
      <c r="D410" s="197" t="str">
        <f aca="false">IF(A411&lt;&gt;"",B410+C410,"")</f>
        <v/>
      </c>
      <c r="E410" s="199" t="str">
        <f aca="false">IF(A411="","",IF(AND(AT410=1,$H$3=1),D410*AO410,IF($H$3=2,D410,"N/A")))</f>
        <v/>
      </c>
      <c r="F410" s="199" t="str">
        <f aca="false">IF(A411="","",E410*AS410)</f>
        <v/>
      </c>
      <c r="G410" s="200" t="str">
        <f aca="false">IF($A411="","",VLOOKUP($A410,Table,MATCH(G$4,Curves,0)))</f>
        <v/>
      </c>
      <c r="H410" s="201" t="str">
        <f aca="false">IF(A411="","",G410)</f>
        <v/>
      </c>
      <c r="J410" s="200" t="str">
        <f aca="false">IF($A411="","",VLOOKUP($A410,Table,MATCH(J$4,Curves,0)))</f>
        <v/>
      </c>
      <c r="K410" s="201" t="str">
        <f aca="false">IF(A411="","",J410)</f>
        <v/>
      </c>
      <c r="L410" s="185" t="n">
        <v>0</v>
      </c>
      <c r="M410" s="201" t="str">
        <f aca="false">IF(A411="","",L410)</f>
        <v/>
      </c>
      <c r="O410" s="200" t="str">
        <f aca="false">IF(A411="","",L410+J410+G410)</f>
        <v/>
      </c>
      <c r="P410" s="200" t="str">
        <f aca="false">IF(A411="","",M410+K410+H410)</f>
        <v/>
      </c>
      <c r="R410" s="200" t="str">
        <f aca="false">IF($A411="","",VLOOKUP($A410,Table,MATCH(R$4,Curves,0)))</f>
        <v/>
      </c>
      <c r="S410" s="201" t="str">
        <f aca="false">IF(A411="","",R410)</f>
        <v/>
      </c>
      <c r="T410" s="185" t="n">
        <v>0</v>
      </c>
      <c r="U410" s="201" t="str">
        <f aca="false">IF(A411="","",T410)</f>
        <v/>
      </c>
      <c r="V410" s="205"/>
      <c r="W410" s="202" t="str">
        <f aca="false">IF($A411="","",(T410+R410+G410+V410))</f>
        <v/>
      </c>
      <c r="X410" s="202" t="str">
        <f aca="false">IF($A411="","",(U410+S410+H410+V410))</f>
        <v/>
      </c>
      <c r="Y410" s="202"/>
      <c r="Z410" s="185"/>
      <c r="AJ410" s="77"/>
      <c r="AK410" s="77"/>
      <c r="AL410" s="77"/>
      <c r="AM410" s="77"/>
      <c r="AN410" s="77"/>
      <c r="AO410" s="137" t="str">
        <f aca="false">IF(A411="","",A411-A410)</f>
        <v/>
      </c>
      <c r="AP410" s="212" t="str">
        <f aca="false">IF(A411="","",CHOOSE(F$3,A411+24,A410))</f>
        <v/>
      </c>
      <c r="AQ410" s="209" t="str">
        <f aca="false">IF(A411="","",AP410-$E$1)</f>
        <v/>
      </c>
      <c r="AR410" s="185" t="n">
        <f aca="false">'ANR OK vs ML7'!AR410</f>
        <v>0.1</v>
      </c>
      <c r="AS410" s="213" t="str">
        <f aca="false">IF(A411="","",1/(1+CHOOSE(F$3,(AR411+($I$3/10000))/2,(AR410+($I$3/10000))/2))^(2*AQ410/365.25))</f>
        <v/>
      </c>
      <c r="AT410" s="137" t="str">
        <f aca="false">IF(A411="","",IF(AND(mthbeg&lt;=A410,mthend&gt;=A410),1,0))</f>
        <v/>
      </c>
      <c r="AU410" s="137" t="str">
        <f aca="false">IF(A411="","",AO410*AT410)</f>
        <v/>
      </c>
      <c r="AW410" s="195" t="str">
        <f aca="false">IF($A411="","",AL410*$E410)</f>
        <v/>
      </c>
      <c r="AX410" s="195" t="str">
        <f aca="false">IF($A411="","",AM410*$E410)</f>
        <v/>
      </c>
      <c r="AY410" s="195" t="str">
        <f aca="false">IF($A411="","",AN410*$E410)</f>
        <v/>
      </c>
      <c r="BA410" s="195" t="str">
        <f aca="false">IF($A411="","",F410*Summary!$Q$13)</f>
        <v/>
      </c>
    </row>
    <row r="411" customFormat="false" ht="12.75" hidden="false" customHeight="false" outlineLevel="0" collapsed="false">
      <c r="A411" s="196" t="str">
        <f aca="false">IF(A410&lt;mthend,EDATE(A410,1),"")</f>
        <v/>
      </c>
      <c r="B411" s="197" t="str">
        <f aca="false">IF(A411&lt;mthend,B410,"")</f>
        <v/>
      </c>
      <c r="D411" s="197" t="str">
        <f aca="false">IF(A412&lt;&gt;"",B411+C411,"")</f>
        <v/>
      </c>
      <c r="E411" s="199" t="str">
        <f aca="false">IF(A412="","",IF(AND(AT411=1,$H$3=1),D411*AO411,IF($H$3=2,D411,"N/A")))</f>
        <v/>
      </c>
      <c r="F411" s="199" t="str">
        <f aca="false">IF(A412="","",E411*AS411)</f>
        <v/>
      </c>
      <c r="G411" s="200" t="str">
        <f aca="false">IF($A412="","",VLOOKUP($A411,Table,MATCH(G$4,Curves,0)))</f>
        <v/>
      </c>
      <c r="H411" s="201" t="str">
        <f aca="false">IF(A412="","",G411)</f>
        <v/>
      </c>
      <c r="J411" s="200" t="str">
        <f aca="false">IF($A412="","",VLOOKUP($A411,Table,MATCH(J$4,Curves,0)))</f>
        <v/>
      </c>
      <c r="K411" s="201" t="str">
        <f aca="false">IF(A412="","",J411)</f>
        <v/>
      </c>
      <c r="L411" s="185" t="n">
        <v>0</v>
      </c>
      <c r="M411" s="201" t="str">
        <f aca="false">IF(A412="","",L411)</f>
        <v/>
      </c>
      <c r="O411" s="200" t="str">
        <f aca="false">IF(A412="","",L411+J411+G411)</f>
        <v/>
      </c>
      <c r="P411" s="200" t="str">
        <f aca="false">IF(A412="","",M411+K411+H411)</f>
        <v/>
      </c>
      <c r="R411" s="200" t="str">
        <f aca="false">IF($A412="","",VLOOKUP($A411,Table,MATCH(R$4,Curves,0)))</f>
        <v/>
      </c>
      <c r="S411" s="201" t="str">
        <f aca="false">IF(A412="","",R411)</f>
        <v/>
      </c>
      <c r="T411" s="185" t="n">
        <v>0</v>
      </c>
      <c r="U411" s="201" t="str">
        <f aca="false">IF(A412="","",T411)</f>
        <v/>
      </c>
      <c r="V411" s="205"/>
      <c r="W411" s="202" t="str">
        <f aca="false">IF($A412="","",(T411+R411+G411+V411))</f>
        <v/>
      </c>
      <c r="X411" s="202" t="str">
        <f aca="false">IF($A412="","",(U411+S411+H411+V411))</f>
        <v/>
      </c>
      <c r="Y411" s="202"/>
      <c r="Z411" s="185"/>
      <c r="AJ411" s="77"/>
      <c r="AK411" s="77"/>
      <c r="AL411" s="77"/>
      <c r="AM411" s="77"/>
      <c r="AN411" s="77"/>
      <c r="AO411" s="137" t="str">
        <f aca="false">IF(A412="","",A412-A411)</f>
        <v/>
      </c>
      <c r="AP411" s="212" t="str">
        <f aca="false">IF(A412="","",CHOOSE(F$3,A412+24,A411))</f>
        <v/>
      </c>
      <c r="AQ411" s="209" t="str">
        <f aca="false">IF(A412="","",AP411-$E$1)</f>
        <v/>
      </c>
      <c r="AR411" s="185" t="n">
        <f aca="false">'ANR OK vs ML7'!AR411</f>
        <v>0.1</v>
      </c>
      <c r="AS411" s="213" t="str">
        <f aca="false">IF(A412="","",1/(1+CHOOSE(F$3,(AR412+($I$3/10000))/2,(AR411+($I$3/10000))/2))^(2*AQ411/365.25))</f>
        <v/>
      </c>
      <c r="AT411" s="137" t="str">
        <f aca="false">IF(A412="","",IF(AND(mthbeg&lt;=A411,mthend&gt;=A411),1,0))</f>
        <v/>
      </c>
      <c r="AU411" s="137" t="str">
        <f aca="false">IF(A412="","",AO411*AT411)</f>
        <v/>
      </c>
      <c r="AW411" s="195" t="str">
        <f aca="false">IF($A412="","",AL411*$E411)</f>
        <v/>
      </c>
      <c r="AX411" s="195" t="str">
        <f aca="false">IF($A412="","",AM411*$E411)</f>
        <v/>
      </c>
      <c r="AY411" s="195" t="str">
        <f aca="false">IF($A412="","",AN411*$E411)</f>
        <v/>
      </c>
      <c r="BA411" s="195" t="str">
        <f aca="false">IF($A412="","",F411*Summary!$Q$13)</f>
        <v/>
      </c>
    </row>
    <row r="412" customFormat="false" ht="12.75" hidden="false" customHeight="false" outlineLevel="0" collapsed="false">
      <c r="A412" s="196" t="str">
        <f aca="false">IF(A411&lt;mthend,EDATE(A411,1),"")</f>
        <v/>
      </c>
      <c r="B412" s="197" t="str">
        <f aca="false">IF(A412&lt;mthend,B411,"")</f>
        <v/>
      </c>
      <c r="D412" s="197" t="str">
        <f aca="false">IF(A413&lt;&gt;"",B412+C412,"")</f>
        <v/>
      </c>
      <c r="E412" s="199" t="str">
        <f aca="false">IF(A413="","",IF(AND(AT412=1,$H$3=1),D412*AO412,IF($H$3=2,D412,"N/A")))</f>
        <v/>
      </c>
      <c r="F412" s="199" t="str">
        <f aca="false">IF(A413="","",E412*AS412)</f>
        <v/>
      </c>
      <c r="G412" s="200" t="str">
        <f aca="false">IF($A413="","",VLOOKUP($A412,Table,MATCH(G$4,Curves,0)))</f>
        <v/>
      </c>
      <c r="H412" s="201" t="str">
        <f aca="false">IF(A413="","",G412)</f>
        <v/>
      </c>
      <c r="J412" s="200" t="str">
        <f aca="false">IF($A413="","",VLOOKUP($A412,Table,MATCH(J$4,Curves,0)))</f>
        <v/>
      </c>
      <c r="K412" s="201" t="str">
        <f aca="false">IF(A413="","",J412)</f>
        <v/>
      </c>
      <c r="L412" s="185" t="n">
        <v>0</v>
      </c>
      <c r="M412" s="201" t="str">
        <f aca="false">IF(A413="","",L412)</f>
        <v/>
      </c>
      <c r="O412" s="200" t="str">
        <f aca="false">IF(A413="","",L412+J412+G412)</f>
        <v/>
      </c>
      <c r="P412" s="200" t="str">
        <f aca="false">IF(A413="","",M412+K412+H412)</f>
        <v/>
      </c>
      <c r="R412" s="200" t="str">
        <f aca="false">IF($A413="","",VLOOKUP($A412,Table,MATCH(R$4,Curves,0)))</f>
        <v/>
      </c>
      <c r="S412" s="201" t="str">
        <f aca="false">IF(A413="","",R412)</f>
        <v/>
      </c>
      <c r="T412" s="185" t="n">
        <v>0</v>
      </c>
      <c r="U412" s="201" t="str">
        <f aca="false">IF(A413="","",T412)</f>
        <v/>
      </c>
      <c r="V412" s="205"/>
      <c r="W412" s="202" t="str">
        <f aca="false">IF($A413="","",(T412+R412+G412+V412))</f>
        <v/>
      </c>
      <c r="X412" s="202" t="str">
        <f aca="false">IF($A413="","",(U412+S412+H412+V412))</f>
        <v/>
      </c>
      <c r="Y412" s="202"/>
      <c r="Z412" s="185"/>
      <c r="AJ412" s="77"/>
      <c r="AK412" s="77"/>
      <c r="AL412" s="77"/>
      <c r="AM412" s="77"/>
      <c r="AN412" s="77"/>
      <c r="AO412" s="137" t="str">
        <f aca="false">IF(A413="","",A413-A412)</f>
        <v/>
      </c>
      <c r="AP412" s="212" t="str">
        <f aca="false">IF(A413="","",CHOOSE(F$3,A413+24,A412))</f>
        <v/>
      </c>
      <c r="AQ412" s="209" t="str">
        <f aca="false">IF(A413="","",AP412-$E$1)</f>
        <v/>
      </c>
      <c r="AR412" s="185" t="n">
        <f aca="false">'ANR OK vs ML7'!AR412</f>
        <v>0.1</v>
      </c>
      <c r="AS412" s="213" t="str">
        <f aca="false">IF(A413="","",1/(1+CHOOSE(F$3,(AR413+($I$3/10000))/2,(AR412+($I$3/10000))/2))^(2*AQ412/365.25))</f>
        <v/>
      </c>
      <c r="AT412" s="137" t="str">
        <f aca="false">IF(A413="","",IF(AND(mthbeg&lt;=A412,mthend&gt;=A412),1,0))</f>
        <v/>
      </c>
      <c r="AU412" s="137" t="str">
        <f aca="false">IF(A413="","",AO412*AT412)</f>
        <v/>
      </c>
      <c r="AW412" s="195" t="str">
        <f aca="false">IF($A413="","",AL412*$E412)</f>
        <v/>
      </c>
      <c r="AX412" s="195" t="str">
        <f aca="false">IF($A413="","",AM412*$E412)</f>
        <v/>
      </c>
      <c r="AY412" s="195" t="str">
        <f aca="false">IF($A413="","",AN412*$E412)</f>
        <v/>
      </c>
      <c r="BA412" s="195" t="str">
        <f aca="false">IF($A413="","",F412*Summary!$Q$13)</f>
        <v/>
      </c>
    </row>
    <row r="413" customFormat="false" ht="12.75" hidden="false" customHeight="false" outlineLevel="0" collapsed="false">
      <c r="A413" s="196" t="str">
        <f aca="false">IF(A412&lt;mthend,EDATE(A412,1),"")</f>
        <v/>
      </c>
      <c r="B413" s="197" t="str">
        <f aca="false">IF(A413&lt;mthend,B412,"")</f>
        <v/>
      </c>
      <c r="D413" s="197" t="str">
        <f aca="false">IF(A414&lt;&gt;"",B413+C413,"")</f>
        <v/>
      </c>
      <c r="E413" s="199" t="str">
        <f aca="false">IF(A414="","",IF(AND(AT413=1,$H$3=1),D413*AO413,IF($H$3=2,D413,"N/A")))</f>
        <v/>
      </c>
      <c r="F413" s="199" t="str">
        <f aca="false">IF(A414="","",E413*AS413)</f>
        <v/>
      </c>
      <c r="G413" s="200" t="str">
        <f aca="false">IF($A414="","",VLOOKUP($A413,Table,MATCH(G$4,Curves,0)))</f>
        <v/>
      </c>
      <c r="H413" s="201" t="str">
        <f aca="false">IF(A414="","",G413)</f>
        <v/>
      </c>
      <c r="J413" s="200" t="str">
        <f aca="false">IF($A414="","",VLOOKUP($A413,Table,MATCH(J$4,Curves,0)))</f>
        <v/>
      </c>
      <c r="K413" s="201" t="str">
        <f aca="false">IF(A414="","",J413)</f>
        <v/>
      </c>
      <c r="L413" s="185" t="n">
        <v>0</v>
      </c>
      <c r="M413" s="201" t="str">
        <f aca="false">IF(A414="","",L413)</f>
        <v/>
      </c>
      <c r="O413" s="200" t="str">
        <f aca="false">IF(A414="","",L413+J413+G413)</f>
        <v/>
      </c>
      <c r="P413" s="200" t="str">
        <f aca="false">IF(A414="","",M413+K413+H413)</f>
        <v/>
      </c>
      <c r="R413" s="200" t="str">
        <f aca="false">IF($A414="","",VLOOKUP($A413,Table,MATCH(R$4,Curves,0)))</f>
        <v/>
      </c>
      <c r="S413" s="201" t="str">
        <f aca="false">IF(A414="","",R413)</f>
        <v/>
      </c>
      <c r="T413" s="185" t="n">
        <v>0</v>
      </c>
      <c r="U413" s="201" t="str">
        <f aca="false">IF(A414="","",T413)</f>
        <v/>
      </c>
      <c r="V413" s="205"/>
      <c r="W413" s="202" t="str">
        <f aca="false">IF($A414="","",(T413+R413+G413+V413))</f>
        <v/>
      </c>
      <c r="X413" s="202" t="str">
        <f aca="false">IF($A414="","",(U413+S413+H413+V413))</f>
        <v/>
      </c>
      <c r="Y413" s="202"/>
      <c r="Z413" s="185"/>
      <c r="AJ413" s="77"/>
      <c r="AK413" s="77"/>
      <c r="AL413" s="77"/>
      <c r="AM413" s="77"/>
      <c r="AN413" s="77"/>
      <c r="AO413" s="137" t="str">
        <f aca="false">IF(A414="","",A414-A413)</f>
        <v/>
      </c>
      <c r="AP413" s="212" t="str">
        <f aca="false">IF(A414="","",CHOOSE(F$3,A414+24,A413))</f>
        <v/>
      </c>
      <c r="AQ413" s="209" t="str">
        <f aca="false">IF(A414="","",AP413-$E$1)</f>
        <v/>
      </c>
      <c r="AR413" s="185" t="n">
        <f aca="false">'ANR OK vs ML7'!AR413</f>
        <v>0.1</v>
      </c>
      <c r="AS413" s="213" t="str">
        <f aca="false">IF(A414="","",1/(1+CHOOSE(F$3,(AR414+($I$3/10000))/2,(AR413+($I$3/10000))/2))^(2*AQ413/365.25))</f>
        <v/>
      </c>
      <c r="AT413" s="137" t="str">
        <f aca="false">IF(A414="","",IF(AND(mthbeg&lt;=A413,mthend&gt;=A413),1,0))</f>
        <v/>
      </c>
      <c r="AU413" s="137" t="str">
        <f aca="false">IF(A414="","",AO413*AT413)</f>
        <v/>
      </c>
      <c r="AW413" s="195" t="str">
        <f aca="false">IF($A414="","",AL413*$E413)</f>
        <v/>
      </c>
      <c r="AX413" s="195" t="str">
        <f aca="false">IF($A414="","",AM413*$E413)</f>
        <v/>
      </c>
      <c r="AY413" s="195" t="str">
        <f aca="false">IF($A414="","",AN413*$E413)</f>
        <v/>
      </c>
      <c r="BA413" s="195" t="str">
        <f aca="false">IF($A414="","",F413*Summary!$Q$13)</f>
        <v/>
      </c>
    </row>
    <row r="414" customFormat="false" ht="12.75" hidden="false" customHeight="false" outlineLevel="0" collapsed="false">
      <c r="A414" s="196" t="str">
        <f aca="false">IF(A413&lt;mthend,EDATE(A413,1),"")</f>
        <v/>
      </c>
      <c r="B414" s="197" t="str">
        <f aca="false">IF(A414&lt;mthend,B413,"")</f>
        <v/>
      </c>
      <c r="D414" s="197" t="str">
        <f aca="false">IF(A415&lt;&gt;"",B414+C414,"")</f>
        <v/>
      </c>
      <c r="E414" s="199" t="str">
        <f aca="false">IF(A415="","",IF(AND(AT414=1,$H$3=1),D414*AO414,IF($H$3=2,D414,"N/A")))</f>
        <v/>
      </c>
      <c r="F414" s="199" t="str">
        <f aca="false">IF(A415="","",E414*AS414)</f>
        <v/>
      </c>
      <c r="G414" s="200" t="str">
        <f aca="false">IF($A415="","",VLOOKUP($A414,Table,MATCH(G$4,Curves,0)))</f>
        <v/>
      </c>
      <c r="H414" s="201" t="str">
        <f aca="false">IF(A415="","",G414)</f>
        <v/>
      </c>
      <c r="J414" s="200" t="str">
        <f aca="false">IF($A415="","",VLOOKUP($A414,Table,MATCH(J$4,Curves,0)))</f>
        <v/>
      </c>
      <c r="K414" s="201" t="str">
        <f aca="false">IF(A415="","",J414)</f>
        <v/>
      </c>
      <c r="L414" s="185" t="n">
        <v>0</v>
      </c>
      <c r="M414" s="201" t="str">
        <f aca="false">IF(A415="","",L414)</f>
        <v/>
      </c>
      <c r="O414" s="200" t="str">
        <f aca="false">IF(A415="","",L414+J414+G414)</f>
        <v/>
      </c>
      <c r="P414" s="200" t="str">
        <f aca="false">IF(A415="","",M414+K414+H414)</f>
        <v/>
      </c>
      <c r="R414" s="200" t="str">
        <f aca="false">IF($A415="","",VLOOKUP($A414,Table,MATCH(R$4,Curves,0)))</f>
        <v/>
      </c>
      <c r="S414" s="201" t="str">
        <f aca="false">IF(A415="","",R414)</f>
        <v/>
      </c>
      <c r="T414" s="185" t="n">
        <v>0</v>
      </c>
      <c r="U414" s="201" t="str">
        <f aca="false">IF(A415="","",T414)</f>
        <v/>
      </c>
      <c r="V414" s="205"/>
      <c r="W414" s="202" t="str">
        <f aca="false">IF($A415="","",(T414+R414+G414+V414))</f>
        <v/>
      </c>
      <c r="X414" s="202" t="str">
        <f aca="false">IF($A415="","",(U414+S414+H414+V414))</f>
        <v/>
      </c>
      <c r="Y414" s="202"/>
      <c r="Z414" s="185"/>
      <c r="AJ414" s="77"/>
      <c r="AK414" s="77"/>
      <c r="AL414" s="77"/>
      <c r="AM414" s="77"/>
      <c r="AN414" s="77"/>
      <c r="AO414" s="137" t="str">
        <f aca="false">IF(A415="","",A415-A414)</f>
        <v/>
      </c>
      <c r="AP414" s="212" t="str">
        <f aca="false">IF(A415="","",CHOOSE(F$3,A415+24,A414))</f>
        <v/>
      </c>
      <c r="AQ414" s="209" t="str">
        <f aca="false">IF(A415="","",AP414-$E$1)</f>
        <v/>
      </c>
      <c r="AR414" s="185" t="n">
        <f aca="false">'ANR OK vs ML7'!AR414</f>
        <v>0.1</v>
      </c>
      <c r="AS414" s="213" t="str">
        <f aca="false">IF(A415="","",1/(1+CHOOSE(F$3,(AR415+($I$3/10000))/2,(AR414+($I$3/10000))/2))^(2*AQ414/365.25))</f>
        <v/>
      </c>
      <c r="AT414" s="137" t="str">
        <f aca="false">IF(A415="","",IF(AND(mthbeg&lt;=A414,mthend&gt;=A414),1,0))</f>
        <v/>
      </c>
      <c r="AU414" s="137" t="str">
        <f aca="false">IF(A415="","",AO414*AT414)</f>
        <v/>
      </c>
      <c r="AW414" s="195" t="str">
        <f aca="false">IF($A415="","",AL414*$E414)</f>
        <v/>
      </c>
      <c r="AX414" s="195" t="str">
        <f aca="false">IF($A415="","",AM414*$E414)</f>
        <v/>
      </c>
      <c r="AY414" s="195" t="str">
        <f aca="false">IF($A415="","",AN414*$E414)</f>
        <v/>
      </c>
      <c r="BA414" s="195" t="str">
        <f aca="false">IF($A415="","",F414*Summary!$Q$13)</f>
        <v/>
      </c>
    </row>
    <row r="415" customFormat="false" ht="12.75" hidden="false" customHeight="false" outlineLevel="0" collapsed="false">
      <c r="A415" s="196" t="str">
        <f aca="false">IF(A414&lt;mthend,EDATE(A414,1),"")</f>
        <v/>
      </c>
      <c r="B415" s="197" t="str">
        <f aca="false">IF(A415&lt;mthend,B414,"")</f>
        <v/>
      </c>
      <c r="D415" s="197" t="str">
        <f aca="false">IF(A416&lt;&gt;"",B415+C415,"")</f>
        <v/>
      </c>
      <c r="E415" s="199" t="str">
        <f aca="false">IF(A416="","",IF(AND(AT415=1,$H$3=1),D415*AO415,IF($H$3=2,D415,"N/A")))</f>
        <v/>
      </c>
      <c r="F415" s="199" t="str">
        <f aca="false">IF(A416="","",E415*AS415)</f>
        <v/>
      </c>
      <c r="G415" s="200" t="str">
        <f aca="false">IF($A416="","",VLOOKUP($A415,Table,MATCH(G$4,Curves,0)))</f>
        <v/>
      </c>
      <c r="H415" s="201" t="str">
        <f aca="false">IF(A416="","",G415)</f>
        <v/>
      </c>
      <c r="J415" s="200" t="str">
        <f aca="false">IF($A416="","",VLOOKUP($A415,Table,MATCH(J$4,Curves,0)))</f>
        <v/>
      </c>
      <c r="K415" s="201" t="str">
        <f aca="false">IF(A416="","",J415)</f>
        <v/>
      </c>
      <c r="L415" s="185" t="n">
        <v>0</v>
      </c>
      <c r="M415" s="201" t="str">
        <f aca="false">IF(A416="","",L415)</f>
        <v/>
      </c>
      <c r="O415" s="200" t="str">
        <f aca="false">IF(A416="","",L415+J415+G415)</f>
        <v/>
      </c>
      <c r="P415" s="200" t="str">
        <f aca="false">IF(A416="","",M415+K415+H415)</f>
        <v/>
      </c>
      <c r="R415" s="200" t="str">
        <f aca="false">IF($A416="","",VLOOKUP($A415,Table,MATCH(R$4,Curves,0)))</f>
        <v/>
      </c>
      <c r="S415" s="201" t="str">
        <f aca="false">IF(A416="","",R415)</f>
        <v/>
      </c>
      <c r="T415" s="185" t="n">
        <v>0</v>
      </c>
      <c r="U415" s="201" t="str">
        <f aca="false">IF(A416="","",T415)</f>
        <v/>
      </c>
      <c r="V415" s="205"/>
      <c r="W415" s="202" t="str">
        <f aca="false">IF($A416="","",(T415+R415+G415+V415))</f>
        <v/>
      </c>
      <c r="X415" s="202" t="str">
        <f aca="false">IF($A416="","",(U415+S415+H415+V415))</f>
        <v/>
      </c>
      <c r="Y415" s="202"/>
      <c r="Z415" s="185"/>
      <c r="AJ415" s="77"/>
      <c r="AK415" s="77"/>
      <c r="AL415" s="77"/>
      <c r="AM415" s="77"/>
      <c r="AN415" s="77"/>
      <c r="AO415" s="137" t="str">
        <f aca="false">IF(A416="","",A416-A415)</f>
        <v/>
      </c>
      <c r="AP415" s="212" t="str">
        <f aca="false">IF(A416="","",CHOOSE(F$3,A416+24,A415))</f>
        <v/>
      </c>
      <c r="AQ415" s="209" t="str">
        <f aca="false">IF(A416="","",AP415-$E$1)</f>
        <v/>
      </c>
      <c r="AR415" s="185" t="n">
        <f aca="false">'ANR OK vs ML7'!AR415</f>
        <v>0.1</v>
      </c>
      <c r="AS415" s="213" t="str">
        <f aca="false">IF(A416="","",1/(1+CHOOSE(F$3,(AR416+($I$3/10000))/2,(AR415+($I$3/10000))/2))^(2*AQ415/365.25))</f>
        <v/>
      </c>
      <c r="AT415" s="137" t="str">
        <f aca="false">IF(A416="","",IF(AND(mthbeg&lt;=A415,mthend&gt;=A415),1,0))</f>
        <v/>
      </c>
      <c r="AU415" s="137" t="str">
        <f aca="false">IF(A416="","",AO415*AT415)</f>
        <v/>
      </c>
      <c r="AW415" s="195" t="str">
        <f aca="false">IF($A416="","",AL415*$E415)</f>
        <v/>
      </c>
      <c r="AX415" s="195" t="str">
        <f aca="false">IF($A416="","",AM415*$E415)</f>
        <v/>
      </c>
      <c r="AY415" s="195" t="str">
        <f aca="false">IF($A416="","",AN415*$E415)</f>
        <v/>
      </c>
      <c r="BA415" s="195" t="str">
        <f aca="false">IF($A416="","",F415*Summary!$Q$13)</f>
        <v/>
      </c>
    </row>
    <row r="416" customFormat="false" ht="12.75" hidden="false" customHeight="false" outlineLevel="0" collapsed="false">
      <c r="A416" s="196" t="str">
        <f aca="false">IF(A415&lt;mthend,EDATE(A415,1),"")</f>
        <v/>
      </c>
      <c r="B416" s="197" t="str">
        <f aca="false">IF(A416&lt;mthend,B415,"")</f>
        <v/>
      </c>
      <c r="D416" s="197" t="str">
        <f aca="false">IF(A417&lt;&gt;"",B416+C416,"")</f>
        <v/>
      </c>
      <c r="E416" s="199" t="str">
        <f aca="false">IF(A417="","",IF(AND(AT416=1,$H$3=1),D416*AO416,IF($H$3=2,D416,"N/A")))</f>
        <v/>
      </c>
      <c r="F416" s="199" t="str">
        <f aca="false">IF(A417="","",E416*AS416)</f>
        <v/>
      </c>
      <c r="G416" s="200" t="str">
        <f aca="false">IF($A417="","",VLOOKUP($A416,Table,MATCH(G$4,Curves,0)))</f>
        <v/>
      </c>
      <c r="H416" s="201" t="str">
        <f aca="false">IF(A417="","",G416)</f>
        <v/>
      </c>
      <c r="J416" s="200" t="str">
        <f aca="false">IF($A417="","",VLOOKUP($A416,Table,MATCH(J$4,Curves,0)))</f>
        <v/>
      </c>
      <c r="K416" s="201" t="str">
        <f aca="false">IF(A417="","",J416)</f>
        <v/>
      </c>
      <c r="L416" s="185" t="n">
        <v>0</v>
      </c>
      <c r="M416" s="201" t="str">
        <f aca="false">IF(A417="","",L416)</f>
        <v/>
      </c>
      <c r="O416" s="200" t="str">
        <f aca="false">IF(A417="","",L416+J416+G416)</f>
        <v/>
      </c>
      <c r="P416" s="200" t="str">
        <f aca="false">IF(A417="","",M416+K416+H416)</f>
        <v/>
      </c>
      <c r="R416" s="200" t="str">
        <f aca="false">IF($A417="","",VLOOKUP($A416,Table,MATCH(R$4,Curves,0)))</f>
        <v/>
      </c>
      <c r="S416" s="201" t="str">
        <f aca="false">IF(A417="","",R416)</f>
        <v/>
      </c>
      <c r="T416" s="185" t="n">
        <v>0</v>
      </c>
      <c r="U416" s="201" t="str">
        <f aca="false">IF(A417="","",T416)</f>
        <v/>
      </c>
      <c r="V416" s="205"/>
      <c r="W416" s="202" t="str">
        <f aca="false">IF($A417="","",(T416+R416+G416+V416))</f>
        <v/>
      </c>
      <c r="X416" s="202" t="str">
        <f aca="false">IF($A417="","",(U416+S416+H416+V416))</f>
        <v/>
      </c>
      <c r="Y416" s="202"/>
      <c r="Z416" s="185"/>
      <c r="AJ416" s="77"/>
      <c r="AK416" s="77"/>
      <c r="AL416" s="77"/>
      <c r="AM416" s="77"/>
      <c r="AN416" s="77"/>
      <c r="AO416" s="137" t="str">
        <f aca="false">IF(A417="","",A417-A416)</f>
        <v/>
      </c>
      <c r="AP416" s="212" t="str">
        <f aca="false">IF(A417="","",CHOOSE(F$3,A417+24,A416))</f>
        <v/>
      </c>
      <c r="AQ416" s="209" t="str">
        <f aca="false">IF(A417="","",AP416-$E$1)</f>
        <v/>
      </c>
      <c r="AR416" s="185" t="n">
        <f aca="false">'ANR OK vs ML7'!AR416</f>
        <v>0.1</v>
      </c>
      <c r="AS416" s="213" t="str">
        <f aca="false">IF(A417="","",1/(1+CHOOSE(F$3,(AR417+($I$3/10000))/2,(AR416+($I$3/10000))/2))^(2*AQ416/365.25))</f>
        <v/>
      </c>
      <c r="AT416" s="137" t="str">
        <f aca="false">IF(A417="","",IF(AND(mthbeg&lt;=A416,mthend&gt;=A416),1,0))</f>
        <v/>
      </c>
      <c r="AU416" s="137" t="str">
        <f aca="false">IF(A417="","",AO416*AT416)</f>
        <v/>
      </c>
      <c r="AW416" s="195" t="str">
        <f aca="false">IF($A417="","",AL416*$E416)</f>
        <v/>
      </c>
      <c r="AX416" s="195" t="str">
        <f aca="false">IF($A417="","",AM416*$E416)</f>
        <v/>
      </c>
      <c r="AY416" s="195" t="str">
        <f aca="false">IF($A417="","",AN416*$E416)</f>
        <v/>
      </c>
      <c r="BA416" s="195" t="str">
        <f aca="false">IF($A417="","",F416*Summary!$Q$13)</f>
        <v/>
      </c>
    </row>
    <row r="417" customFormat="false" ht="12.75" hidden="false" customHeight="false" outlineLevel="0" collapsed="false">
      <c r="A417" s="196" t="str">
        <f aca="false">IF(A416&lt;mthend,EDATE(A416,1),"")</f>
        <v/>
      </c>
      <c r="B417" s="197" t="str">
        <f aca="false">IF(A417&lt;mthend,B416,"")</f>
        <v/>
      </c>
      <c r="D417" s="197" t="str">
        <f aca="false">IF(A418&lt;&gt;"",B417+C417,"")</f>
        <v/>
      </c>
      <c r="E417" s="199" t="str">
        <f aca="false">IF(A418="","",IF(AND(AT417=1,$H$3=1),D417*AO417,IF($H$3=2,D417,"N/A")))</f>
        <v/>
      </c>
      <c r="F417" s="199" t="str">
        <f aca="false">IF(A418="","",E417*AS417)</f>
        <v/>
      </c>
      <c r="G417" s="200" t="str">
        <f aca="false">IF($A418="","",VLOOKUP($A417,Table,MATCH(G$4,Curves,0)))</f>
        <v/>
      </c>
      <c r="H417" s="201" t="str">
        <f aca="false">IF(A418="","",G417)</f>
        <v/>
      </c>
      <c r="J417" s="200" t="str">
        <f aca="false">IF($A418="","",VLOOKUP($A417,Table,MATCH(J$4,Curves,0)))</f>
        <v/>
      </c>
      <c r="K417" s="201" t="str">
        <f aca="false">IF(A418="","",J417)</f>
        <v/>
      </c>
      <c r="L417" s="185" t="n">
        <v>0</v>
      </c>
      <c r="M417" s="201" t="str">
        <f aca="false">IF(A418="","",L417)</f>
        <v/>
      </c>
      <c r="O417" s="200" t="str">
        <f aca="false">IF(A418="","",L417+J417+G417)</f>
        <v/>
      </c>
      <c r="P417" s="200" t="str">
        <f aca="false">IF(A418="","",M417+K417+H417)</f>
        <v/>
      </c>
      <c r="R417" s="200" t="str">
        <f aca="false">IF($A418="","",VLOOKUP($A417,Table,MATCH(R$4,Curves,0)))</f>
        <v/>
      </c>
      <c r="S417" s="201" t="str">
        <f aca="false">IF(A418="","",R417)</f>
        <v/>
      </c>
      <c r="T417" s="185" t="n">
        <v>0</v>
      </c>
      <c r="U417" s="201" t="str">
        <f aca="false">IF(A418="","",T417)</f>
        <v/>
      </c>
      <c r="V417" s="205"/>
      <c r="W417" s="202" t="str">
        <f aca="false">IF($A418="","",(T417+R417+G417+V417))</f>
        <v/>
      </c>
      <c r="X417" s="202" t="str">
        <f aca="false">IF($A418="","",(U417+S417+H417+V417))</f>
        <v/>
      </c>
      <c r="Y417" s="202"/>
      <c r="Z417" s="185"/>
      <c r="AJ417" s="77"/>
      <c r="AK417" s="77"/>
      <c r="AL417" s="77"/>
      <c r="AM417" s="77"/>
      <c r="AN417" s="77"/>
      <c r="AO417" s="137" t="str">
        <f aca="false">IF(A418="","",A418-A417)</f>
        <v/>
      </c>
      <c r="AP417" s="212" t="str">
        <f aca="false">IF(A418="","",CHOOSE(F$3,A418+24,A417))</f>
        <v/>
      </c>
      <c r="AQ417" s="209" t="str">
        <f aca="false">IF(A418="","",AP417-$E$1)</f>
        <v/>
      </c>
      <c r="AR417" s="185" t="n">
        <f aca="false">'ANR OK vs ML7'!AR417</f>
        <v>0.1</v>
      </c>
      <c r="AS417" s="213" t="str">
        <f aca="false">IF(A418="","",1/(1+CHOOSE(F$3,(AR418+($I$3/10000))/2,(AR417+($I$3/10000))/2))^(2*AQ417/365.25))</f>
        <v/>
      </c>
      <c r="AT417" s="137" t="str">
        <f aca="false">IF(A418="","",IF(AND(mthbeg&lt;=A417,mthend&gt;=A417),1,0))</f>
        <v/>
      </c>
      <c r="AU417" s="137" t="str">
        <f aca="false">IF(A418="","",AO417*AT417)</f>
        <v/>
      </c>
      <c r="AW417" s="195" t="str">
        <f aca="false">IF($A418="","",AL417*$E417)</f>
        <v/>
      </c>
      <c r="AX417" s="195" t="str">
        <f aca="false">IF($A418="","",AM417*$E417)</f>
        <v/>
      </c>
      <c r="AY417" s="195" t="str">
        <f aca="false">IF($A418="","",AN417*$E417)</f>
        <v/>
      </c>
      <c r="BA417" s="195" t="str">
        <f aca="false">IF($A418="","",F417*Summary!$Q$13)</f>
        <v/>
      </c>
    </row>
    <row r="418" customFormat="false" ht="12.75" hidden="false" customHeight="false" outlineLevel="0" collapsed="false">
      <c r="A418" s="196" t="str">
        <f aca="false">IF(A417&lt;mthend,EDATE(A417,1),"")</f>
        <v/>
      </c>
      <c r="B418" s="197" t="str">
        <f aca="false">IF(A418&lt;mthend,B417,"")</f>
        <v/>
      </c>
      <c r="D418" s="197" t="str">
        <f aca="false">IF(A419&lt;&gt;"",B418+C418,"")</f>
        <v/>
      </c>
      <c r="E418" s="199" t="str">
        <f aca="false">IF(A419="","",IF(AND(AT418=1,$H$3=1),D418*AO418,IF($H$3=2,D418,"N/A")))</f>
        <v/>
      </c>
      <c r="F418" s="199" t="str">
        <f aca="false">IF(A419="","",E418*AS418)</f>
        <v/>
      </c>
      <c r="G418" s="200" t="str">
        <f aca="false">IF($A419="","",VLOOKUP($A418,Table,MATCH(G$4,Curves,0)))</f>
        <v/>
      </c>
      <c r="H418" s="201" t="str">
        <f aca="false">IF(A419="","",G418)</f>
        <v/>
      </c>
      <c r="J418" s="200" t="str">
        <f aca="false">IF($A419="","",VLOOKUP($A418,Table,MATCH(J$4,Curves,0)))</f>
        <v/>
      </c>
      <c r="K418" s="201" t="str">
        <f aca="false">IF(A419="","",J418)</f>
        <v/>
      </c>
      <c r="L418" s="185" t="n">
        <v>0</v>
      </c>
      <c r="M418" s="201" t="str">
        <f aca="false">IF(A419="","",L418)</f>
        <v/>
      </c>
      <c r="O418" s="200" t="str">
        <f aca="false">IF(A419="","",L418+J418+G418)</f>
        <v/>
      </c>
      <c r="P418" s="200" t="str">
        <f aca="false">IF(A419="","",M418+K418+H418)</f>
        <v/>
      </c>
      <c r="R418" s="200" t="str">
        <f aca="false">IF($A419="","",VLOOKUP($A418,Table,MATCH(R$4,Curves,0)))</f>
        <v/>
      </c>
      <c r="S418" s="201" t="str">
        <f aca="false">IF(A419="","",R418)</f>
        <v/>
      </c>
      <c r="T418" s="185" t="n">
        <v>0</v>
      </c>
      <c r="U418" s="201" t="str">
        <f aca="false">IF(A419="","",T418)</f>
        <v/>
      </c>
      <c r="V418" s="205"/>
      <c r="W418" s="202" t="str">
        <f aca="false">IF($A419="","",(T418+R418+G418+V418))</f>
        <v/>
      </c>
      <c r="X418" s="202" t="str">
        <f aca="false">IF($A419="","",(U418+S418+H418+V418))</f>
        <v/>
      </c>
      <c r="Y418" s="202"/>
      <c r="Z418" s="185"/>
      <c r="AJ418" s="77"/>
      <c r="AK418" s="77"/>
      <c r="AL418" s="77"/>
      <c r="AM418" s="77"/>
      <c r="AN418" s="77"/>
      <c r="AO418" s="137" t="str">
        <f aca="false">IF(A419="","",A419-A418)</f>
        <v/>
      </c>
      <c r="AP418" s="212" t="str">
        <f aca="false">IF(A419="","",CHOOSE(F$3,A419+24,A418))</f>
        <v/>
      </c>
      <c r="AQ418" s="209" t="str">
        <f aca="false">IF(A419="","",AP418-$E$1)</f>
        <v/>
      </c>
      <c r="AR418" s="185" t="n">
        <f aca="false">'ANR OK vs ML7'!AR418</f>
        <v>0.1</v>
      </c>
      <c r="AS418" s="213" t="str">
        <f aca="false">IF(A419="","",1/(1+CHOOSE(F$3,(AR419+($I$3/10000))/2,(AR418+($I$3/10000))/2))^(2*AQ418/365.25))</f>
        <v/>
      </c>
      <c r="AT418" s="137" t="str">
        <f aca="false">IF(A419="","",IF(AND(mthbeg&lt;=A418,mthend&gt;=A418),1,0))</f>
        <v/>
      </c>
      <c r="AU418" s="137" t="str">
        <f aca="false">IF(A419="","",AO418*AT418)</f>
        <v/>
      </c>
      <c r="AW418" s="195" t="str">
        <f aca="false">IF($A419="","",AL418*$E418)</f>
        <v/>
      </c>
      <c r="AX418" s="195" t="str">
        <f aca="false">IF($A419="","",AM418*$E418)</f>
        <v/>
      </c>
      <c r="AY418" s="195" t="str">
        <f aca="false">IF($A419="","",AN418*$E418)</f>
        <v/>
      </c>
      <c r="BA418" s="195" t="str">
        <f aca="false">IF($A419="","",F418*Summary!$Q$13)</f>
        <v/>
      </c>
    </row>
    <row r="419" customFormat="false" ht="12.75" hidden="false" customHeight="false" outlineLevel="0" collapsed="false">
      <c r="A419" s="196" t="str">
        <f aca="false">IF(A418&lt;mthend,EDATE(A418,1),"")</f>
        <v/>
      </c>
      <c r="B419" s="197" t="str">
        <f aca="false">IF(A419&lt;mthend,B418,"")</f>
        <v/>
      </c>
      <c r="D419" s="197" t="str">
        <f aca="false">IF(A420&lt;&gt;"",B419+C419,"")</f>
        <v/>
      </c>
      <c r="E419" s="199" t="str">
        <f aca="false">IF(A420="","",IF(AND(AT419=1,$H$3=1),D419*AO419,IF($H$3=2,D419,"N/A")))</f>
        <v/>
      </c>
      <c r="F419" s="199" t="str">
        <f aca="false">IF(A420="","",E419*AS419)</f>
        <v/>
      </c>
      <c r="G419" s="200" t="str">
        <f aca="false">IF($A420="","",VLOOKUP($A419,Table,MATCH(G$4,Curves,0)))</f>
        <v/>
      </c>
      <c r="H419" s="201" t="str">
        <f aca="false">IF(A420="","",G419)</f>
        <v/>
      </c>
      <c r="J419" s="200" t="str">
        <f aca="false">IF($A420="","",VLOOKUP($A419,Table,MATCH(J$4,Curves,0)))</f>
        <v/>
      </c>
      <c r="K419" s="201" t="str">
        <f aca="false">IF(A420="","",J419)</f>
        <v/>
      </c>
      <c r="L419" s="185" t="n">
        <v>0</v>
      </c>
      <c r="M419" s="201" t="str">
        <f aca="false">IF(A420="","",L419)</f>
        <v/>
      </c>
      <c r="O419" s="200" t="str">
        <f aca="false">IF(A420="","",L419+J419+G419)</f>
        <v/>
      </c>
      <c r="P419" s="200" t="str">
        <f aca="false">IF(A420="","",M419+K419+H419)</f>
        <v/>
      </c>
      <c r="R419" s="200" t="str">
        <f aca="false">IF($A420="","",VLOOKUP($A419,Table,MATCH(R$4,Curves,0)))</f>
        <v/>
      </c>
      <c r="S419" s="201" t="str">
        <f aca="false">IF(A420="","",R419)</f>
        <v/>
      </c>
      <c r="T419" s="185" t="n">
        <v>0</v>
      </c>
      <c r="U419" s="201" t="str">
        <f aca="false">IF(A420="","",T419)</f>
        <v/>
      </c>
      <c r="V419" s="205"/>
      <c r="W419" s="202" t="str">
        <f aca="false">IF($A420="","",(T419+R419+G419+V419))</f>
        <v/>
      </c>
      <c r="X419" s="202" t="str">
        <f aca="false">IF($A420="","",(U419+S419+H419+V419))</f>
        <v/>
      </c>
      <c r="Y419" s="202"/>
      <c r="Z419" s="185"/>
      <c r="AJ419" s="77"/>
      <c r="AK419" s="77"/>
      <c r="AL419" s="77"/>
      <c r="AM419" s="77"/>
      <c r="AN419" s="77"/>
      <c r="AO419" s="137" t="str">
        <f aca="false">IF(A420="","",A420-A419)</f>
        <v/>
      </c>
      <c r="AP419" s="212" t="str">
        <f aca="false">IF(A420="","",CHOOSE(F$3,A420+24,A419))</f>
        <v/>
      </c>
      <c r="AQ419" s="209" t="str">
        <f aca="false">IF(A420="","",AP419-$E$1)</f>
        <v/>
      </c>
      <c r="AR419" s="185" t="n">
        <f aca="false">'ANR OK vs ML7'!AR419</f>
        <v>0.1</v>
      </c>
      <c r="AS419" s="213" t="str">
        <f aca="false">IF(A420="","",1/(1+CHOOSE(F$3,(AR420+($I$3/10000))/2,(AR419+($I$3/10000))/2))^(2*AQ419/365.25))</f>
        <v/>
      </c>
      <c r="AT419" s="137" t="str">
        <f aca="false">IF(A420="","",IF(AND(mthbeg&lt;=A419,mthend&gt;=A419),1,0))</f>
        <v/>
      </c>
      <c r="AU419" s="137" t="str">
        <f aca="false">IF(A420="","",AO419*AT419)</f>
        <v/>
      </c>
      <c r="AW419" s="195" t="str">
        <f aca="false">IF($A420="","",AL419*$E419)</f>
        <v/>
      </c>
      <c r="AX419" s="195" t="str">
        <f aca="false">IF($A420="","",AM419*$E419)</f>
        <v/>
      </c>
      <c r="AY419" s="195" t="str">
        <f aca="false">IF($A420="","",AN419*$E419)</f>
        <v/>
      </c>
      <c r="BA419" s="195" t="str">
        <f aca="false">IF($A420="","",F419*Summary!$Q$13)</f>
        <v/>
      </c>
    </row>
    <row r="420" customFormat="false" ht="12.75" hidden="false" customHeight="false" outlineLevel="0" collapsed="false">
      <c r="A420" s="196" t="str">
        <f aca="false">IF(A419&lt;mthend,EDATE(A419,1),"")</f>
        <v/>
      </c>
      <c r="B420" s="197" t="str">
        <f aca="false">IF(A420&lt;mthend,B419,"")</f>
        <v/>
      </c>
      <c r="D420" s="197" t="str">
        <f aca="false">IF(A421&lt;&gt;"",B420+C420,"")</f>
        <v/>
      </c>
      <c r="E420" s="199" t="str">
        <f aca="false">IF(A421="","",IF(AND(AT420=1,$H$3=1),D420*AO420,IF($H$3=2,D420,"N/A")))</f>
        <v/>
      </c>
      <c r="F420" s="199" t="str">
        <f aca="false">IF(A421="","",E420*AS420)</f>
        <v/>
      </c>
      <c r="G420" s="200" t="str">
        <f aca="false">IF($A421="","",VLOOKUP($A420,Table,MATCH(G$4,Curves,0)))</f>
        <v/>
      </c>
      <c r="H420" s="201" t="str">
        <f aca="false">IF(A421="","",G420)</f>
        <v/>
      </c>
      <c r="J420" s="200" t="str">
        <f aca="false">IF($A421="","",VLOOKUP($A420,Table,MATCH(J$4,Curves,0)))</f>
        <v/>
      </c>
      <c r="K420" s="201" t="str">
        <f aca="false">IF(A421="","",J420)</f>
        <v/>
      </c>
      <c r="L420" s="185" t="n">
        <v>0</v>
      </c>
      <c r="M420" s="201" t="str">
        <f aca="false">IF(A421="","",L420)</f>
        <v/>
      </c>
      <c r="O420" s="200" t="str">
        <f aca="false">IF(A421="","",L420+J420+G420)</f>
        <v/>
      </c>
      <c r="P420" s="200" t="str">
        <f aca="false">IF(A421="","",M420+K420+H420)</f>
        <v/>
      </c>
      <c r="R420" s="200" t="str">
        <f aca="false">IF($A421="","",VLOOKUP($A420,Table,MATCH(R$4,Curves,0)))</f>
        <v/>
      </c>
      <c r="S420" s="201" t="str">
        <f aca="false">IF(A421="","",R420)</f>
        <v/>
      </c>
      <c r="T420" s="185" t="n">
        <v>0</v>
      </c>
      <c r="U420" s="201" t="str">
        <f aca="false">IF(A421="","",T420)</f>
        <v/>
      </c>
      <c r="V420" s="205"/>
      <c r="W420" s="202" t="str">
        <f aca="false">IF($A421="","",(T420+R420+G420+V420))</f>
        <v/>
      </c>
      <c r="X420" s="202" t="str">
        <f aca="false">IF($A421="","",(U420+S420+H420+V420))</f>
        <v/>
      </c>
      <c r="Y420" s="202"/>
      <c r="Z420" s="185"/>
      <c r="AJ420" s="77"/>
      <c r="AK420" s="77"/>
      <c r="AL420" s="77"/>
      <c r="AM420" s="77"/>
      <c r="AN420" s="77"/>
      <c r="AO420" s="137" t="str">
        <f aca="false">IF(A421="","",A421-A420)</f>
        <v/>
      </c>
      <c r="AP420" s="212" t="str">
        <f aca="false">IF(A421="","",CHOOSE(F$3,A421+24,A420))</f>
        <v/>
      </c>
      <c r="AQ420" s="209" t="str">
        <f aca="false">IF(A421="","",AP420-$E$1)</f>
        <v/>
      </c>
      <c r="AR420" s="185" t="n">
        <f aca="false">'ANR OK vs ML7'!AR420</f>
        <v>0.1</v>
      </c>
      <c r="AS420" s="213" t="str">
        <f aca="false">IF(A421="","",1/(1+CHOOSE(F$3,(AR421+($I$3/10000))/2,(AR420+($I$3/10000))/2))^(2*AQ420/365.25))</f>
        <v/>
      </c>
      <c r="AT420" s="137" t="str">
        <f aca="false">IF(A421="","",IF(AND(mthbeg&lt;=A420,mthend&gt;=A420),1,0))</f>
        <v/>
      </c>
      <c r="AU420" s="137" t="str">
        <f aca="false">IF(A421="","",AO420*AT420)</f>
        <v/>
      </c>
      <c r="AW420" s="195" t="str">
        <f aca="false">IF($A421="","",AL420*$E420)</f>
        <v/>
      </c>
      <c r="AX420" s="195" t="str">
        <f aca="false">IF($A421="","",AM420*$E420)</f>
        <v/>
      </c>
      <c r="AY420" s="195" t="str">
        <f aca="false">IF($A421="","",AN420*$E420)</f>
        <v/>
      </c>
      <c r="BA420" s="195" t="str">
        <f aca="false">IF($A421="","",F420*Summary!$Q$13)</f>
        <v/>
      </c>
    </row>
    <row r="421" customFormat="false" ht="12.75" hidden="false" customHeight="false" outlineLevel="0" collapsed="false">
      <c r="A421" s="196" t="str">
        <f aca="false">IF(A420&lt;mthend,EDATE(A420,1),"")</f>
        <v/>
      </c>
      <c r="B421" s="197" t="str">
        <f aca="false">IF(A421&lt;mthend,B420,"")</f>
        <v/>
      </c>
      <c r="D421" s="197" t="str">
        <f aca="false">IF(A422&lt;&gt;"",B421+C421,"")</f>
        <v/>
      </c>
      <c r="E421" s="199" t="str">
        <f aca="false">IF(A422="","",IF(AND(AT421=1,$H$3=1),D421*AO421,IF($H$3=2,D421,"N/A")))</f>
        <v/>
      </c>
      <c r="F421" s="199" t="str">
        <f aca="false">IF(A422="","",E421*AS421)</f>
        <v/>
      </c>
      <c r="G421" s="200" t="str">
        <f aca="false">IF($A422="","",VLOOKUP($A421,Table,MATCH(G$4,Curves,0)))</f>
        <v/>
      </c>
      <c r="H421" s="201" t="str">
        <f aca="false">IF(A422="","",G421)</f>
        <v/>
      </c>
      <c r="J421" s="200" t="str">
        <f aca="false">IF($A422="","",VLOOKUP($A421,Table,MATCH(J$4,Curves,0)))</f>
        <v/>
      </c>
      <c r="K421" s="201" t="str">
        <f aca="false">IF(A422="","",J421)</f>
        <v/>
      </c>
      <c r="L421" s="185" t="n">
        <v>0</v>
      </c>
      <c r="M421" s="201" t="str">
        <f aca="false">IF(A422="","",L421)</f>
        <v/>
      </c>
      <c r="O421" s="200" t="str">
        <f aca="false">IF(A422="","",L421+J421+G421)</f>
        <v/>
      </c>
      <c r="P421" s="200" t="str">
        <f aca="false">IF(A422="","",M421+K421+H421)</f>
        <v/>
      </c>
      <c r="R421" s="200" t="str">
        <f aca="false">IF($A422="","",VLOOKUP($A421,Table,MATCH(R$4,Curves,0)))</f>
        <v/>
      </c>
      <c r="S421" s="201" t="str">
        <f aca="false">IF(A422="","",R421)</f>
        <v/>
      </c>
      <c r="T421" s="185" t="n">
        <v>0</v>
      </c>
      <c r="U421" s="201" t="str">
        <f aca="false">IF(A422="","",T421)</f>
        <v/>
      </c>
      <c r="V421" s="205"/>
      <c r="W421" s="202" t="str">
        <f aca="false">IF($A422="","",(T421+R421+G421+V421))</f>
        <v/>
      </c>
      <c r="X421" s="202" t="str">
        <f aca="false">IF($A422="","",(U421+S421+H421+V421))</f>
        <v/>
      </c>
      <c r="Y421" s="202"/>
      <c r="Z421" s="185"/>
      <c r="AJ421" s="77"/>
      <c r="AK421" s="77"/>
      <c r="AL421" s="77"/>
      <c r="AM421" s="77"/>
      <c r="AN421" s="77"/>
      <c r="AO421" s="137" t="str">
        <f aca="false">IF(A422="","",A422-A421)</f>
        <v/>
      </c>
      <c r="AP421" s="212" t="str">
        <f aca="false">IF(A422="","",CHOOSE(F$3,A422+24,A421))</f>
        <v/>
      </c>
      <c r="AQ421" s="209" t="str">
        <f aca="false">IF(A422="","",AP421-$E$1)</f>
        <v/>
      </c>
      <c r="AR421" s="185" t="n">
        <f aca="false">'ANR OK vs ML7'!AR421</f>
        <v>0.1</v>
      </c>
      <c r="AS421" s="213" t="str">
        <f aca="false">IF(A422="","",1/(1+CHOOSE(F$3,(AR422+($I$3/10000))/2,(AR421+($I$3/10000))/2))^(2*AQ421/365.25))</f>
        <v/>
      </c>
      <c r="AT421" s="137" t="str">
        <f aca="false">IF(A422="","",IF(AND(mthbeg&lt;=A421,mthend&gt;=A421),1,0))</f>
        <v/>
      </c>
      <c r="AU421" s="137" t="str">
        <f aca="false">IF(A422="","",AO421*AT421)</f>
        <v/>
      </c>
      <c r="AW421" s="195" t="str">
        <f aca="false">IF($A422="","",AL421*$E421)</f>
        <v/>
      </c>
      <c r="AX421" s="195" t="str">
        <f aca="false">IF($A422="","",AM421*$E421)</f>
        <v/>
      </c>
      <c r="AY421" s="195" t="str">
        <f aca="false">IF($A422="","",AN421*$E421)</f>
        <v/>
      </c>
      <c r="BA421" s="195" t="str">
        <f aca="false">IF($A422="","",F421*Summary!$Q$13)</f>
        <v/>
      </c>
    </row>
    <row r="422" customFormat="false" ht="12.75" hidden="false" customHeight="false" outlineLevel="0" collapsed="false">
      <c r="A422" s="196" t="str">
        <f aca="false">IF(A421&lt;mthend,EDATE(A421,1),"")</f>
        <v/>
      </c>
      <c r="B422" s="197" t="str">
        <f aca="false">IF(A422&lt;mthend,B421,"")</f>
        <v/>
      </c>
      <c r="D422" s="197" t="str">
        <f aca="false">IF(A423&lt;&gt;"",B422+C422,"")</f>
        <v/>
      </c>
      <c r="E422" s="199" t="str">
        <f aca="false">IF(A423="","",IF(AND(AT422=1,$H$3=1),D422*AO422,IF($H$3=2,D422,"N/A")))</f>
        <v/>
      </c>
      <c r="F422" s="199" t="str">
        <f aca="false">IF(A423="","",E422*AS422)</f>
        <v/>
      </c>
      <c r="G422" s="200" t="str">
        <f aca="false">IF($A423="","",VLOOKUP($A422,Table,MATCH(G$4,Curves,0)))</f>
        <v/>
      </c>
      <c r="H422" s="201" t="str">
        <f aca="false">IF(A423="","",G422)</f>
        <v/>
      </c>
      <c r="J422" s="200" t="str">
        <f aca="false">IF($A423="","",VLOOKUP($A422,Table,MATCH(J$4,Curves,0)))</f>
        <v/>
      </c>
      <c r="K422" s="201" t="str">
        <f aca="false">IF(A423="","",J422)</f>
        <v/>
      </c>
      <c r="L422" s="185" t="n">
        <v>0</v>
      </c>
      <c r="M422" s="201" t="str">
        <f aca="false">IF(A423="","",L422)</f>
        <v/>
      </c>
      <c r="O422" s="200" t="str">
        <f aca="false">IF(A423="","",L422+J422+G422)</f>
        <v/>
      </c>
      <c r="P422" s="200" t="str">
        <f aca="false">IF(A423="","",M422+K422+H422)</f>
        <v/>
      </c>
      <c r="R422" s="200" t="str">
        <f aca="false">IF($A423="","",VLOOKUP($A422,Table,MATCH(R$4,Curves,0)))</f>
        <v/>
      </c>
      <c r="S422" s="201" t="str">
        <f aca="false">IF(A423="","",R422)</f>
        <v/>
      </c>
      <c r="T422" s="185" t="n">
        <v>0</v>
      </c>
      <c r="U422" s="201" t="str">
        <f aca="false">IF(A423="","",T422)</f>
        <v/>
      </c>
      <c r="V422" s="205"/>
      <c r="W422" s="202" t="str">
        <f aca="false">IF($A423="","",(T422+R422+G422+V422))</f>
        <v/>
      </c>
      <c r="X422" s="202" t="str">
        <f aca="false">IF($A423="","",(U422+S422+H422+V422))</f>
        <v/>
      </c>
      <c r="Y422" s="202"/>
      <c r="Z422" s="185"/>
      <c r="AJ422" s="77"/>
      <c r="AK422" s="77"/>
      <c r="AL422" s="77"/>
      <c r="AM422" s="77"/>
      <c r="AN422" s="77"/>
      <c r="AO422" s="137" t="str">
        <f aca="false">IF(A423="","",A423-A422)</f>
        <v/>
      </c>
      <c r="AP422" s="212" t="str">
        <f aca="false">IF(A423="","",CHOOSE(F$3,A423+24,A422))</f>
        <v/>
      </c>
      <c r="AQ422" s="209" t="str">
        <f aca="false">IF(A423="","",AP422-$E$1)</f>
        <v/>
      </c>
      <c r="AR422" s="185" t="n">
        <f aca="false">'ANR OK vs ML7'!AR422</f>
        <v>0.1</v>
      </c>
      <c r="AS422" s="213" t="str">
        <f aca="false">IF(A423="","",1/(1+CHOOSE(F$3,(AR423+($I$3/10000))/2,(AR422+($I$3/10000))/2))^(2*AQ422/365.25))</f>
        <v/>
      </c>
      <c r="AT422" s="137" t="str">
        <f aca="false">IF(A423="","",IF(AND(mthbeg&lt;=A422,mthend&gt;=A422),1,0))</f>
        <v/>
      </c>
      <c r="AU422" s="137" t="str">
        <f aca="false">IF(A423="","",AO422*AT422)</f>
        <v/>
      </c>
      <c r="AW422" s="195" t="str">
        <f aca="false">IF($A423="","",AL422*$E422)</f>
        <v/>
      </c>
      <c r="AX422" s="195" t="str">
        <f aca="false">IF($A423="","",AM422*$E422)</f>
        <v/>
      </c>
      <c r="AY422" s="195" t="str">
        <f aca="false">IF($A423="","",AN422*$E422)</f>
        <v/>
      </c>
      <c r="BA422" s="195" t="str">
        <f aca="false">IF($A423="","",F422*Summary!$Q$13)</f>
        <v/>
      </c>
    </row>
    <row r="423" customFormat="false" ht="12.75" hidden="false" customHeight="false" outlineLevel="0" collapsed="false">
      <c r="A423" s="196" t="str">
        <f aca="false">IF(A422&lt;mthend,EDATE(A422,1),"")</f>
        <v/>
      </c>
      <c r="B423" s="197" t="str">
        <f aca="false">IF(A423&lt;mthend,B422,"")</f>
        <v/>
      </c>
      <c r="D423" s="197" t="str">
        <f aca="false">IF(A424&lt;&gt;"",B423+C423,"")</f>
        <v/>
      </c>
      <c r="E423" s="199" t="str">
        <f aca="false">IF(A424="","",IF(AND(AT423=1,$H$3=1),D423*AO423,IF($H$3=2,D423,"N/A")))</f>
        <v/>
      </c>
      <c r="F423" s="199" t="str">
        <f aca="false">IF(A424="","",E423*AS423)</f>
        <v/>
      </c>
      <c r="G423" s="200" t="str">
        <f aca="false">IF($A424="","",VLOOKUP($A423,Table,MATCH(G$4,Curves,0)))</f>
        <v/>
      </c>
      <c r="H423" s="201" t="str">
        <f aca="false">IF(A424="","",G423)</f>
        <v/>
      </c>
      <c r="J423" s="200" t="str">
        <f aca="false">IF($A424="","",VLOOKUP($A423,Table,MATCH(J$4,Curves,0)))</f>
        <v/>
      </c>
      <c r="K423" s="201" t="str">
        <f aca="false">IF(A424="","",J423)</f>
        <v/>
      </c>
      <c r="L423" s="185" t="n">
        <v>0</v>
      </c>
      <c r="M423" s="201" t="str">
        <f aca="false">IF(A424="","",L423)</f>
        <v/>
      </c>
      <c r="O423" s="200" t="str">
        <f aca="false">IF(A424="","",L423+J423+G423)</f>
        <v/>
      </c>
      <c r="P423" s="200" t="str">
        <f aca="false">IF(A424="","",M423+K423+H423)</f>
        <v/>
      </c>
      <c r="R423" s="200" t="str">
        <f aca="false">IF($A424="","",VLOOKUP($A423,Table,MATCH(R$4,Curves,0)))</f>
        <v/>
      </c>
      <c r="S423" s="201" t="str">
        <f aca="false">IF(A424="","",R423)</f>
        <v/>
      </c>
      <c r="T423" s="185" t="n">
        <v>0</v>
      </c>
      <c r="U423" s="201" t="str">
        <f aca="false">IF(A424="","",T423)</f>
        <v/>
      </c>
      <c r="V423" s="205"/>
      <c r="W423" s="202" t="str">
        <f aca="false">IF($A424="","",(T423+R423+G423+V423))</f>
        <v/>
      </c>
      <c r="X423" s="202" t="str">
        <f aca="false">IF($A424="","",(U423+S423+H423+V423))</f>
        <v/>
      </c>
      <c r="Y423" s="202"/>
      <c r="Z423" s="185"/>
      <c r="AJ423" s="77"/>
      <c r="AK423" s="77"/>
      <c r="AL423" s="77"/>
      <c r="AM423" s="77"/>
      <c r="AN423" s="77"/>
      <c r="AO423" s="137" t="str">
        <f aca="false">IF(A424="","",A424-A423)</f>
        <v/>
      </c>
      <c r="AP423" s="212" t="str">
        <f aca="false">IF(A424="","",CHOOSE(F$3,A424+24,A423))</f>
        <v/>
      </c>
      <c r="AQ423" s="209" t="str">
        <f aca="false">IF(A424="","",AP423-$E$1)</f>
        <v/>
      </c>
      <c r="AR423" s="185" t="n">
        <f aca="false">'ANR OK vs ML7'!AR423</f>
        <v>0.1</v>
      </c>
      <c r="AS423" s="213" t="str">
        <f aca="false">IF(A424="","",1/(1+CHOOSE(F$3,(AR424+($I$3/10000))/2,(AR423+($I$3/10000))/2))^(2*AQ423/365.25))</f>
        <v/>
      </c>
      <c r="AT423" s="137" t="str">
        <f aca="false">IF(A424="","",IF(AND(mthbeg&lt;=A423,mthend&gt;=A423),1,0))</f>
        <v/>
      </c>
      <c r="AU423" s="137" t="str">
        <f aca="false">IF(A424="","",AO423*AT423)</f>
        <v/>
      </c>
      <c r="AW423" s="195" t="str">
        <f aca="false">IF($A424="","",AL423*$E423)</f>
        <v/>
      </c>
      <c r="AX423" s="195" t="str">
        <f aca="false">IF($A424="","",AM423*$E423)</f>
        <v/>
      </c>
      <c r="AY423" s="195" t="str">
        <f aca="false">IF($A424="","",AN423*$E423)</f>
        <v/>
      </c>
      <c r="BA423" s="195" t="str">
        <f aca="false">IF($A424="","",F423*Summary!$Q$13)</f>
        <v/>
      </c>
    </row>
    <row r="424" customFormat="false" ht="12.75" hidden="false" customHeight="false" outlineLevel="0" collapsed="false">
      <c r="A424" s="196" t="str">
        <f aca="false">IF(A423&lt;mthend,EDATE(A423,1),"")</f>
        <v/>
      </c>
      <c r="B424" s="197" t="str">
        <f aca="false">IF(A424&lt;mthend,B423,"")</f>
        <v/>
      </c>
      <c r="D424" s="197" t="str">
        <f aca="false">IF(A425&lt;&gt;"",B424+C424,"")</f>
        <v/>
      </c>
      <c r="E424" s="199" t="str">
        <f aca="false">IF(A425="","",IF(AND(AT424=1,$H$3=1),D424*AO424,IF($H$3=2,D424,"N/A")))</f>
        <v/>
      </c>
      <c r="F424" s="199" t="str">
        <f aca="false">IF(A425="","",E424*AS424)</f>
        <v/>
      </c>
      <c r="G424" s="200" t="str">
        <f aca="false">IF($A425="","",VLOOKUP($A424,Table,MATCH(G$4,Curves,0)))</f>
        <v/>
      </c>
      <c r="H424" s="201" t="str">
        <f aca="false">IF(A425="","",G424)</f>
        <v/>
      </c>
      <c r="J424" s="200" t="str">
        <f aca="false">IF($A425="","",VLOOKUP($A424,Table,MATCH(J$4,Curves,0)))</f>
        <v/>
      </c>
      <c r="K424" s="201" t="str">
        <f aca="false">IF(A425="","",J424)</f>
        <v/>
      </c>
      <c r="L424" s="185" t="n">
        <v>0</v>
      </c>
      <c r="M424" s="201" t="str">
        <f aca="false">IF(A425="","",L424)</f>
        <v/>
      </c>
      <c r="O424" s="200" t="str">
        <f aca="false">IF(A425="","",L424+J424+G424)</f>
        <v/>
      </c>
      <c r="P424" s="200" t="str">
        <f aca="false">IF(A425="","",M424+K424+H424)</f>
        <v/>
      </c>
      <c r="R424" s="200" t="str">
        <f aca="false">IF($A425="","",VLOOKUP($A424,Table,MATCH(R$4,Curves,0)))</f>
        <v/>
      </c>
      <c r="S424" s="201" t="str">
        <f aca="false">IF(A425="","",R424)</f>
        <v/>
      </c>
      <c r="T424" s="185" t="n">
        <v>0</v>
      </c>
      <c r="U424" s="201" t="str">
        <f aca="false">IF(A425="","",T424)</f>
        <v/>
      </c>
      <c r="V424" s="205"/>
      <c r="W424" s="202" t="str">
        <f aca="false">IF($A425="","",(T424+R424+G424+V424))</f>
        <v/>
      </c>
      <c r="X424" s="202" t="str">
        <f aca="false">IF($A425="","",(U424+S424+H424+V424))</f>
        <v/>
      </c>
      <c r="Y424" s="202"/>
      <c r="Z424" s="185"/>
      <c r="AJ424" s="77"/>
      <c r="AK424" s="77"/>
      <c r="AL424" s="77"/>
      <c r="AM424" s="77"/>
      <c r="AN424" s="77"/>
      <c r="AO424" s="137" t="str">
        <f aca="false">IF(A425="","",A425-A424)</f>
        <v/>
      </c>
      <c r="AP424" s="212" t="str">
        <f aca="false">IF(A425="","",CHOOSE(F$3,A425+24,A424))</f>
        <v/>
      </c>
      <c r="AQ424" s="209" t="str">
        <f aca="false">IF(A425="","",AP424-$E$1)</f>
        <v/>
      </c>
      <c r="AR424" s="185" t="n">
        <f aca="false">'ANR OK vs ML7'!AR424</f>
        <v>0.1</v>
      </c>
      <c r="AS424" s="213" t="str">
        <f aca="false">IF(A425="","",1/(1+CHOOSE(F$3,(AR425+($I$3/10000))/2,(AR424+($I$3/10000))/2))^(2*AQ424/365.25))</f>
        <v/>
      </c>
      <c r="AT424" s="137" t="str">
        <f aca="false">IF(A425="","",IF(AND(mthbeg&lt;=A424,mthend&gt;=A424),1,0))</f>
        <v/>
      </c>
      <c r="AU424" s="137" t="str">
        <f aca="false">IF(A425="","",AO424*AT424)</f>
        <v/>
      </c>
      <c r="AW424" s="195" t="str">
        <f aca="false">IF($A425="","",AL424*$E424)</f>
        <v/>
      </c>
      <c r="AX424" s="195" t="str">
        <f aca="false">IF($A425="","",AM424*$E424)</f>
        <v/>
      </c>
      <c r="AY424" s="195" t="str">
        <f aca="false">IF($A425="","",AN424*$E424)</f>
        <v/>
      </c>
      <c r="BA424" s="195" t="str">
        <f aca="false">IF($A425="","",F424*Summary!$Q$13)</f>
        <v/>
      </c>
    </row>
    <row r="425" customFormat="false" ht="12.75" hidden="false" customHeight="false" outlineLevel="0" collapsed="false">
      <c r="A425" s="196" t="str">
        <f aca="false">IF(A424&lt;mthend,EDATE(A424,1),"")</f>
        <v/>
      </c>
      <c r="B425" s="197" t="str">
        <f aca="false">IF(A425&lt;mthend,B424,"")</f>
        <v/>
      </c>
      <c r="D425" s="197" t="str">
        <f aca="false">IF(A426&lt;&gt;"",B425+C425,"")</f>
        <v/>
      </c>
      <c r="E425" s="199" t="str">
        <f aca="false">IF(A426="","",IF(AND(AT425=1,$H$3=1),D425*AO425,IF($H$3=2,D425,"N/A")))</f>
        <v/>
      </c>
      <c r="F425" s="199" t="str">
        <f aca="false">IF(A426="","",E425*AS425)</f>
        <v/>
      </c>
      <c r="G425" s="200" t="str">
        <f aca="false">IF($A426="","",VLOOKUP($A425,Table,MATCH(G$4,Curves,0)))</f>
        <v/>
      </c>
      <c r="H425" s="201" t="str">
        <f aca="false">IF(A426="","",G425)</f>
        <v/>
      </c>
      <c r="J425" s="200" t="str">
        <f aca="false">IF($A426="","",VLOOKUP($A425,Table,MATCH(J$4,Curves,0)))</f>
        <v/>
      </c>
      <c r="K425" s="201" t="str">
        <f aca="false">IF(A426="","",J425)</f>
        <v/>
      </c>
      <c r="L425" s="185" t="n">
        <v>0</v>
      </c>
      <c r="M425" s="201" t="str">
        <f aca="false">IF(A426="","",L425)</f>
        <v/>
      </c>
      <c r="O425" s="200" t="str">
        <f aca="false">IF(A426="","",L425+J425+G425)</f>
        <v/>
      </c>
      <c r="P425" s="200" t="str">
        <f aca="false">IF(A426="","",M425+K425+H425)</f>
        <v/>
      </c>
      <c r="R425" s="200" t="str">
        <f aca="false">IF($A426="","",VLOOKUP($A425,Table,MATCH(R$4,Curves,0)))</f>
        <v/>
      </c>
      <c r="S425" s="201" t="str">
        <f aca="false">IF(A426="","",R425)</f>
        <v/>
      </c>
      <c r="T425" s="185" t="n">
        <v>0</v>
      </c>
      <c r="U425" s="201" t="str">
        <f aca="false">IF(A426="","",T425)</f>
        <v/>
      </c>
      <c r="V425" s="205"/>
      <c r="W425" s="202" t="str">
        <f aca="false">IF($A426="","",(T425+R425+G425+V425))</f>
        <v/>
      </c>
      <c r="X425" s="202" t="str">
        <f aca="false">IF($A426="","",(U425+S425+H425+V425))</f>
        <v/>
      </c>
      <c r="Y425" s="202"/>
      <c r="Z425" s="185"/>
      <c r="AJ425" s="77"/>
      <c r="AK425" s="77"/>
      <c r="AL425" s="77"/>
      <c r="AM425" s="77"/>
      <c r="AN425" s="77"/>
      <c r="AO425" s="137" t="str">
        <f aca="false">IF(A426="","",A426-A425)</f>
        <v/>
      </c>
      <c r="AP425" s="212" t="str">
        <f aca="false">IF(A426="","",CHOOSE(F$3,A426+24,A425))</f>
        <v/>
      </c>
      <c r="AQ425" s="209" t="str">
        <f aca="false">IF(A426="","",AP425-$E$1)</f>
        <v/>
      </c>
      <c r="AR425" s="185" t="n">
        <f aca="false">'ANR OK vs ML7'!AR425</f>
        <v>0.1</v>
      </c>
      <c r="AS425" s="213" t="str">
        <f aca="false">IF(A426="","",1/(1+CHOOSE(F$3,(AR426+($I$3/10000))/2,(AR425+($I$3/10000))/2))^(2*AQ425/365.25))</f>
        <v/>
      </c>
      <c r="AT425" s="137" t="str">
        <f aca="false">IF(A426="","",IF(AND(mthbeg&lt;=A425,mthend&gt;=A425),1,0))</f>
        <v/>
      </c>
      <c r="AU425" s="137" t="str">
        <f aca="false">IF(A426="","",AO425*AT425)</f>
        <v/>
      </c>
      <c r="AW425" s="195" t="str">
        <f aca="false">IF($A426="","",AL425*$E425)</f>
        <v/>
      </c>
      <c r="AX425" s="195" t="str">
        <f aca="false">IF($A426="","",AM425*$E425)</f>
        <v/>
      </c>
      <c r="AY425" s="195" t="str">
        <f aca="false">IF($A426="","",AN425*$E425)</f>
        <v/>
      </c>
      <c r="BA425" s="195" t="str">
        <f aca="false">IF($A426="","",F425*Summary!$Q$13)</f>
        <v/>
      </c>
    </row>
    <row r="426" customFormat="false" ht="12.75" hidden="false" customHeight="false" outlineLevel="0" collapsed="false">
      <c r="A426" s="196" t="str">
        <f aca="false">IF(A425&lt;mthend,EDATE(A425,1),"")</f>
        <v/>
      </c>
      <c r="B426" s="197" t="str">
        <f aca="false">IF(A426&lt;mthend,B425,"")</f>
        <v/>
      </c>
      <c r="D426" s="197" t="str">
        <f aca="false">IF(A427&lt;&gt;"",B426+C426,"")</f>
        <v/>
      </c>
      <c r="E426" s="199" t="str">
        <f aca="false">IF(A427="","",IF(AND(AT426=1,$H$3=1),D426*AO426,IF($H$3=2,D426,"N/A")))</f>
        <v/>
      </c>
      <c r="F426" s="199" t="str">
        <f aca="false">IF(A427="","",E426*AS426)</f>
        <v/>
      </c>
      <c r="G426" s="200" t="str">
        <f aca="false">IF($A427="","",VLOOKUP($A426,Table,MATCH(G$4,Curves,0)))</f>
        <v/>
      </c>
      <c r="H426" s="201" t="str">
        <f aca="false">IF(A427="","",G426)</f>
        <v/>
      </c>
      <c r="J426" s="200" t="str">
        <f aca="false">IF($A427="","",VLOOKUP($A426,Table,MATCH(J$4,Curves,0)))</f>
        <v/>
      </c>
      <c r="K426" s="201" t="str">
        <f aca="false">IF(A427="","",J426)</f>
        <v/>
      </c>
      <c r="L426" s="185" t="n">
        <v>0</v>
      </c>
      <c r="M426" s="201" t="str">
        <f aca="false">IF(A427="","",L426)</f>
        <v/>
      </c>
      <c r="O426" s="200" t="str">
        <f aca="false">IF(A427="","",L426+J426+G426)</f>
        <v/>
      </c>
      <c r="P426" s="200" t="str">
        <f aca="false">IF(A427="","",M426+K426+H426)</f>
        <v/>
      </c>
      <c r="R426" s="200" t="str">
        <f aca="false">IF($A427="","",VLOOKUP($A426,Table,MATCH(R$4,Curves,0)))</f>
        <v/>
      </c>
      <c r="S426" s="201" t="str">
        <f aca="false">IF(A427="","",R426)</f>
        <v/>
      </c>
      <c r="T426" s="185" t="n">
        <v>0</v>
      </c>
      <c r="U426" s="201" t="str">
        <f aca="false">IF(A427="","",T426)</f>
        <v/>
      </c>
      <c r="V426" s="205"/>
      <c r="W426" s="202" t="str">
        <f aca="false">IF($A427="","",(T426+R426+G426+V426))</f>
        <v/>
      </c>
      <c r="X426" s="202" t="str">
        <f aca="false">IF($A427="","",(U426+S426+H426+V426))</f>
        <v/>
      </c>
      <c r="Y426" s="202"/>
      <c r="Z426" s="185"/>
      <c r="AJ426" s="77"/>
      <c r="AK426" s="77"/>
      <c r="AL426" s="77"/>
      <c r="AM426" s="77"/>
      <c r="AN426" s="77"/>
      <c r="AO426" s="137" t="str">
        <f aca="false">IF(A427="","",A427-A426)</f>
        <v/>
      </c>
      <c r="AP426" s="212" t="str">
        <f aca="false">IF(A427="","",CHOOSE(F$3,A427+24,A426))</f>
        <v/>
      </c>
      <c r="AQ426" s="209" t="str">
        <f aca="false">IF(A427="","",AP426-$E$1)</f>
        <v/>
      </c>
      <c r="AR426" s="185" t="n">
        <f aca="false">'ANR OK vs ML7'!AR426</f>
        <v>0.1</v>
      </c>
      <c r="AS426" s="213" t="str">
        <f aca="false">IF(A427="","",1/(1+CHOOSE(F$3,(AR427+($I$3/10000))/2,(AR426+($I$3/10000))/2))^(2*AQ426/365.25))</f>
        <v/>
      </c>
      <c r="AT426" s="137" t="str">
        <f aca="false">IF(A427="","",IF(AND(mthbeg&lt;=A426,mthend&gt;=A426),1,0))</f>
        <v/>
      </c>
      <c r="AU426" s="137" t="str">
        <f aca="false">IF(A427="","",AO426*AT426)</f>
        <v/>
      </c>
      <c r="AW426" s="195" t="str">
        <f aca="false">IF($A427="","",AL426*$E426)</f>
        <v/>
      </c>
      <c r="AX426" s="195" t="str">
        <f aca="false">IF($A427="","",AM426*$E426)</f>
        <v/>
      </c>
      <c r="AY426" s="195" t="str">
        <f aca="false">IF($A427="","",AN426*$E426)</f>
        <v/>
      </c>
      <c r="BA426" s="195" t="str">
        <f aca="false">IF($A427="","",F426*Summary!$Q$13)</f>
        <v/>
      </c>
    </row>
    <row r="427" customFormat="false" ht="12.75" hidden="false" customHeight="false" outlineLevel="0" collapsed="false">
      <c r="A427" s="196" t="str">
        <f aca="false">IF(A426&lt;mthend,EDATE(A426,1),"")</f>
        <v/>
      </c>
      <c r="B427" s="197" t="str">
        <f aca="false">IF(A427&lt;mthend,B426,"")</f>
        <v/>
      </c>
      <c r="D427" s="197" t="str">
        <f aca="false">IF(A428&lt;&gt;"",B427+C427,"")</f>
        <v/>
      </c>
      <c r="E427" s="199" t="str">
        <f aca="false">IF(A428="","",IF(AND(AT427=1,$H$3=1),D427*AO427,IF($H$3=2,D427,"N/A")))</f>
        <v/>
      </c>
      <c r="F427" s="199" t="str">
        <f aca="false">IF(A428="","",E427*AS427)</f>
        <v/>
      </c>
      <c r="G427" s="200" t="str">
        <f aca="false">IF($A428="","",VLOOKUP($A427,Table,MATCH(G$4,Curves,0)))</f>
        <v/>
      </c>
      <c r="H427" s="201" t="str">
        <f aca="false">IF(A428="","",G427)</f>
        <v/>
      </c>
      <c r="J427" s="200" t="str">
        <f aca="false">IF($A428="","",VLOOKUP($A427,Table,MATCH(J$4,Curves,0)))</f>
        <v/>
      </c>
      <c r="K427" s="201" t="str">
        <f aca="false">IF(A428="","",J427)</f>
        <v/>
      </c>
      <c r="L427" s="185" t="n">
        <v>0</v>
      </c>
      <c r="M427" s="201" t="str">
        <f aca="false">IF(A428="","",L427)</f>
        <v/>
      </c>
      <c r="O427" s="200" t="str">
        <f aca="false">IF(A428="","",L427+J427+G427)</f>
        <v/>
      </c>
      <c r="P427" s="200" t="str">
        <f aca="false">IF(A428="","",M427+K427+H427)</f>
        <v/>
      </c>
      <c r="R427" s="200" t="str">
        <f aca="false">IF($A428="","",VLOOKUP($A427,Table,MATCH(R$4,Curves,0)))</f>
        <v/>
      </c>
      <c r="S427" s="201" t="str">
        <f aca="false">IF(A428="","",R427)</f>
        <v/>
      </c>
      <c r="T427" s="185" t="n">
        <v>0</v>
      </c>
      <c r="U427" s="201" t="str">
        <f aca="false">IF(A428="","",T427)</f>
        <v/>
      </c>
      <c r="V427" s="205"/>
      <c r="W427" s="202" t="str">
        <f aca="false">IF($A428="","",(T427+R427+G427+V427))</f>
        <v/>
      </c>
      <c r="X427" s="202" t="str">
        <f aca="false">IF($A428="","",(U427+S427+H427+V427))</f>
        <v/>
      </c>
      <c r="Y427" s="202"/>
      <c r="Z427" s="185"/>
      <c r="AJ427" s="77"/>
      <c r="AK427" s="77"/>
      <c r="AL427" s="77"/>
      <c r="AM427" s="77"/>
      <c r="AN427" s="77"/>
      <c r="AO427" s="137" t="str">
        <f aca="false">IF(A428="","",A428-A427)</f>
        <v/>
      </c>
      <c r="AP427" s="212" t="str">
        <f aca="false">IF(A428="","",CHOOSE(F$3,A428+24,A427))</f>
        <v/>
      </c>
      <c r="AQ427" s="209" t="str">
        <f aca="false">IF(A428="","",AP427-$E$1)</f>
        <v/>
      </c>
      <c r="AR427" s="185" t="n">
        <f aca="false">'ANR OK vs ML7'!AR427</f>
        <v>0.1</v>
      </c>
      <c r="AS427" s="213" t="str">
        <f aca="false">IF(A428="","",1/(1+CHOOSE(F$3,(AR428+($I$3/10000))/2,(AR427+($I$3/10000))/2))^(2*AQ427/365.25))</f>
        <v/>
      </c>
      <c r="AT427" s="137" t="str">
        <f aca="false">IF(A428="","",IF(AND(mthbeg&lt;=A427,mthend&gt;=A427),1,0))</f>
        <v/>
      </c>
      <c r="AU427" s="137" t="str">
        <f aca="false">IF(A428="","",AO427*AT427)</f>
        <v/>
      </c>
      <c r="AW427" s="195" t="str">
        <f aca="false">IF($A428="","",AL427*$E427)</f>
        <v/>
      </c>
      <c r="AX427" s="195" t="str">
        <f aca="false">IF($A428="","",AM427*$E427)</f>
        <v/>
      </c>
      <c r="AY427" s="195" t="str">
        <f aca="false">IF($A428="","",AN427*$E427)</f>
        <v/>
      </c>
      <c r="BA427" s="195" t="str">
        <f aca="false">IF($A428="","",F427*Summary!$Q$13)</f>
        <v/>
      </c>
    </row>
    <row r="428" customFormat="false" ht="12.75" hidden="false" customHeight="false" outlineLevel="0" collapsed="false">
      <c r="A428" s="196" t="str">
        <f aca="false">IF(A427&lt;mthend,EDATE(A427,1),"")</f>
        <v/>
      </c>
      <c r="B428" s="197" t="str">
        <f aca="false">IF(A428&lt;mthend,B427,"")</f>
        <v/>
      </c>
      <c r="D428" s="197" t="str">
        <f aca="false">IF(A429&lt;&gt;"",B428+C428,"")</f>
        <v/>
      </c>
      <c r="E428" s="199" t="str">
        <f aca="false">IF(A429="","",IF(AND(AT428=1,$H$3=1),D428*AO428,IF($H$3=2,D428,"N/A")))</f>
        <v/>
      </c>
      <c r="F428" s="199" t="str">
        <f aca="false">IF(A429="","",E428*AS428)</f>
        <v/>
      </c>
      <c r="G428" s="200" t="str">
        <f aca="false">IF($A429="","",VLOOKUP($A428,Table,MATCH(G$4,Curves,0)))</f>
        <v/>
      </c>
      <c r="H428" s="201" t="str">
        <f aca="false">IF(A429="","",G428)</f>
        <v/>
      </c>
      <c r="J428" s="200" t="str">
        <f aca="false">IF($A429="","",VLOOKUP($A428,Table,MATCH(J$4,Curves,0)))</f>
        <v/>
      </c>
      <c r="K428" s="201" t="str">
        <f aca="false">IF(A429="","",J428)</f>
        <v/>
      </c>
      <c r="L428" s="185" t="n">
        <v>0</v>
      </c>
      <c r="M428" s="201" t="str">
        <f aca="false">IF(A429="","",L428)</f>
        <v/>
      </c>
      <c r="O428" s="200" t="str">
        <f aca="false">IF(A429="","",L428+J428+G428)</f>
        <v/>
      </c>
      <c r="P428" s="200" t="str">
        <f aca="false">IF(A429="","",M428+K428+H428)</f>
        <v/>
      </c>
      <c r="R428" s="200" t="str">
        <f aca="false">IF($A429="","",VLOOKUP($A428,Table,MATCH(R$4,Curves,0)))</f>
        <v/>
      </c>
      <c r="S428" s="201" t="str">
        <f aca="false">IF(A429="","",R428)</f>
        <v/>
      </c>
      <c r="T428" s="185" t="n">
        <v>0</v>
      </c>
      <c r="U428" s="201" t="str">
        <f aca="false">IF(A429="","",T428)</f>
        <v/>
      </c>
      <c r="V428" s="205"/>
      <c r="W428" s="202" t="str">
        <f aca="false">IF($A429="","",(T428+R428+G428+V428))</f>
        <v/>
      </c>
      <c r="X428" s="202" t="str">
        <f aca="false">IF($A429="","",(U428+S428+H428+V428))</f>
        <v/>
      </c>
      <c r="Y428" s="202"/>
      <c r="Z428" s="185"/>
      <c r="AJ428" s="77"/>
      <c r="AK428" s="77"/>
      <c r="AL428" s="77"/>
      <c r="AM428" s="77"/>
      <c r="AN428" s="77"/>
      <c r="AO428" s="137" t="str">
        <f aca="false">IF(A429="","",A429-A428)</f>
        <v/>
      </c>
      <c r="AP428" s="212" t="str">
        <f aca="false">IF(A429="","",CHOOSE(F$3,A429+24,A428))</f>
        <v/>
      </c>
      <c r="AQ428" s="209" t="str">
        <f aca="false">IF(A429="","",AP428-$E$1)</f>
        <v/>
      </c>
      <c r="AR428" s="185" t="n">
        <f aca="false">'ANR OK vs ML7'!AR428</f>
        <v>0.1</v>
      </c>
      <c r="AS428" s="213" t="str">
        <f aca="false">IF(A429="","",1/(1+CHOOSE(F$3,(AR429+($I$3/10000))/2,(AR428+($I$3/10000))/2))^(2*AQ428/365.25))</f>
        <v/>
      </c>
      <c r="AT428" s="137" t="str">
        <f aca="false">IF(A429="","",IF(AND(mthbeg&lt;=A428,mthend&gt;=A428),1,0))</f>
        <v/>
      </c>
      <c r="AU428" s="137" t="str">
        <f aca="false">IF(A429="","",AO428*AT428)</f>
        <v/>
      </c>
      <c r="AW428" s="195" t="str">
        <f aca="false">IF($A429="","",AL428*$E428)</f>
        <v/>
      </c>
      <c r="AX428" s="195" t="str">
        <f aca="false">IF($A429="","",AM428*$E428)</f>
        <v/>
      </c>
      <c r="AY428" s="195" t="str">
        <f aca="false">IF($A429="","",AN428*$E428)</f>
        <v/>
      </c>
      <c r="BA428" s="195" t="str">
        <f aca="false">IF($A429="","",F428*Summary!$Q$13)</f>
        <v/>
      </c>
    </row>
    <row r="429" customFormat="false" ht="12.75" hidden="false" customHeight="false" outlineLevel="0" collapsed="false">
      <c r="A429" s="196" t="str">
        <f aca="false">IF(A428&lt;mthend,EDATE(A428,1),"")</f>
        <v/>
      </c>
      <c r="B429" s="197" t="str">
        <f aca="false">IF(A429&lt;mthend,B428,"")</f>
        <v/>
      </c>
      <c r="D429" s="197" t="str">
        <f aca="false">IF(A430&lt;&gt;"",B429+C429,"")</f>
        <v/>
      </c>
      <c r="E429" s="199" t="str">
        <f aca="false">IF(A430="","",IF(AND(AT429=1,$H$3=1),D429*AO429,IF($H$3=2,D429,"N/A")))</f>
        <v/>
      </c>
      <c r="F429" s="199" t="str">
        <f aca="false">IF(A430="","",E429*AS429)</f>
        <v/>
      </c>
      <c r="G429" s="200" t="str">
        <f aca="false">IF($A430="","",VLOOKUP($A429,Table,MATCH(G$4,Curves,0)))</f>
        <v/>
      </c>
      <c r="H429" s="201" t="str">
        <f aca="false">IF(A430="","",G429)</f>
        <v/>
      </c>
      <c r="J429" s="200" t="str">
        <f aca="false">IF($A430="","",VLOOKUP($A429,Table,MATCH(J$4,Curves,0)))</f>
        <v/>
      </c>
      <c r="K429" s="201" t="str">
        <f aca="false">IF(A430="","",J429)</f>
        <v/>
      </c>
      <c r="L429" s="185" t="n">
        <v>0</v>
      </c>
      <c r="M429" s="201" t="str">
        <f aca="false">IF(A430="","",L429)</f>
        <v/>
      </c>
      <c r="O429" s="200" t="str">
        <f aca="false">IF(A430="","",L429+J429+G429)</f>
        <v/>
      </c>
      <c r="P429" s="200" t="str">
        <f aca="false">IF(A430="","",M429+K429+H429)</f>
        <v/>
      </c>
      <c r="R429" s="200" t="str">
        <f aca="false">IF($A430="","",VLOOKUP($A429,Table,MATCH(R$4,Curves,0)))</f>
        <v/>
      </c>
      <c r="S429" s="201" t="str">
        <f aca="false">IF(A430="","",R429)</f>
        <v/>
      </c>
      <c r="T429" s="185" t="n">
        <v>0</v>
      </c>
      <c r="U429" s="201" t="str">
        <f aca="false">IF(A430="","",T429)</f>
        <v/>
      </c>
      <c r="V429" s="205"/>
      <c r="W429" s="202" t="str">
        <f aca="false">IF($A430="","",(T429+R429+G429+V429))</f>
        <v/>
      </c>
      <c r="X429" s="202" t="str">
        <f aca="false">IF($A430="","",(U429+S429+H429+V429))</f>
        <v/>
      </c>
      <c r="Y429" s="202"/>
      <c r="Z429" s="185"/>
      <c r="AJ429" s="77"/>
      <c r="AK429" s="77"/>
      <c r="AL429" s="77"/>
      <c r="AM429" s="77"/>
      <c r="AN429" s="77"/>
      <c r="AO429" s="137" t="str">
        <f aca="false">IF(A430="","",A430-A429)</f>
        <v/>
      </c>
      <c r="AP429" s="212" t="str">
        <f aca="false">IF(A430="","",CHOOSE(F$3,A430+24,A429))</f>
        <v/>
      </c>
      <c r="AQ429" s="209" t="str">
        <f aca="false">IF(A430="","",AP429-$E$1)</f>
        <v/>
      </c>
      <c r="AR429" s="185" t="n">
        <f aca="false">'ANR OK vs ML7'!AR429</f>
        <v>0.1</v>
      </c>
      <c r="AS429" s="213" t="str">
        <f aca="false">IF(A430="","",1/(1+CHOOSE(F$3,(AR430+($I$3/10000))/2,(AR429+($I$3/10000))/2))^(2*AQ429/365.25))</f>
        <v/>
      </c>
      <c r="AT429" s="137" t="str">
        <f aca="false">IF(A430="","",IF(AND(mthbeg&lt;=A429,mthend&gt;=A429),1,0))</f>
        <v/>
      </c>
      <c r="AU429" s="137" t="str">
        <f aca="false">IF(A430="","",AO429*AT429)</f>
        <v/>
      </c>
      <c r="AW429" s="195" t="str">
        <f aca="false">IF($A430="","",AL429*$E429)</f>
        <v/>
      </c>
      <c r="AX429" s="195" t="str">
        <f aca="false">IF($A430="","",AM429*$E429)</f>
        <v/>
      </c>
      <c r="AY429" s="195" t="str">
        <f aca="false">IF($A430="","",AN429*$E429)</f>
        <v/>
      </c>
      <c r="BA429" s="195" t="str">
        <f aca="false">IF($A430="","",F429*Summary!$Q$13)</f>
        <v/>
      </c>
    </row>
    <row r="430" customFormat="false" ht="12.75" hidden="false" customHeight="false" outlineLevel="0" collapsed="false">
      <c r="A430" s="196" t="str">
        <f aca="false">IF(A429&lt;mthend,EDATE(A429,1),"")</f>
        <v/>
      </c>
      <c r="B430" s="197" t="str">
        <f aca="false">IF(A430&lt;mthend,B429,"")</f>
        <v/>
      </c>
      <c r="D430" s="197" t="str">
        <f aca="false">IF(A431&lt;&gt;"",B430+C430,"")</f>
        <v/>
      </c>
      <c r="E430" s="199" t="str">
        <f aca="false">IF(A431="","",IF(AND(AT430=1,$H$3=1),D430*AO430,IF($H$3=2,D430,"N/A")))</f>
        <v/>
      </c>
      <c r="F430" s="199" t="str">
        <f aca="false">IF(A431="","",E430*AS430)</f>
        <v/>
      </c>
      <c r="G430" s="200" t="str">
        <f aca="false">IF($A431="","",VLOOKUP($A430,Table,MATCH(G$4,Curves,0)))</f>
        <v/>
      </c>
      <c r="H430" s="201" t="str">
        <f aca="false">IF(A431="","",G430)</f>
        <v/>
      </c>
      <c r="J430" s="200" t="str">
        <f aca="false">IF($A431="","",VLOOKUP($A430,Table,MATCH(J$4,Curves,0)))</f>
        <v/>
      </c>
      <c r="K430" s="201" t="str">
        <f aca="false">IF(A431="","",J430)</f>
        <v/>
      </c>
      <c r="L430" s="185" t="n">
        <v>0</v>
      </c>
      <c r="M430" s="201" t="str">
        <f aca="false">IF(A431="","",L430)</f>
        <v/>
      </c>
      <c r="O430" s="200" t="str">
        <f aca="false">IF(A431="","",L430+J430+G430)</f>
        <v/>
      </c>
      <c r="P430" s="200" t="str">
        <f aca="false">IF(A431="","",M430+K430+H430)</f>
        <v/>
      </c>
      <c r="R430" s="200" t="str">
        <f aca="false">IF($A431="","",VLOOKUP($A430,Table,MATCH(R$4,Curves,0)))</f>
        <v/>
      </c>
      <c r="S430" s="201" t="str">
        <f aca="false">IF(A431="","",R430)</f>
        <v/>
      </c>
      <c r="T430" s="185" t="n">
        <v>0</v>
      </c>
      <c r="U430" s="201" t="str">
        <f aca="false">IF(A431="","",T430)</f>
        <v/>
      </c>
      <c r="V430" s="205"/>
      <c r="W430" s="202" t="str">
        <f aca="false">IF($A431="","",(T430+R430+G430+V430))</f>
        <v/>
      </c>
      <c r="X430" s="202" t="str">
        <f aca="false">IF($A431="","",(U430+S430+H430+V430))</f>
        <v/>
      </c>
      <c r="Y430" s="202"/>
      <c r="Z430" s="185"/>
      <c r="AJ430" s="77"/>
      <c r="AK430" s="77"/>
      <c r="AL430" s="77"/>
      <c r="AM430" s="77"/>
      <c r="AN430" s="77"/>
      <c r="AO430" s="137" t="str">
        <f aca="false">IF(A431="","",A431-A430)</f>
        <v/>
      </c>
      <c r="AP430" s="212" t="str">
        <f aca="false">IF(A431="","",CHOOSE(F$3,A431+24,A430))</f>
        <v/>
      </c>
      <c r="AQ430" s="209" t="str">
        <f aca="false">IF(A431="","",AP430-$E$1)</f>
        <v/>
      </c>
      <c r="AR430" s="185" t="n">
        <f aca="false">'ANR OK vs ML7'!AR430</f>
        <v>0.1</v>
      </c>
      <c r="AS430" s="213" t="str">
        <f aca="false">IF(A431="","",1/(1+CHOOSE(F$3,(AR431+($I$3/10000))/2,(AR430+($I$3/10000))/2))^(2*AQ430/365.25))</f>
        <v/>
      </c>
      <c r="AT430" s="137" t="str">
        <f aca="false">IF(A431="","",IF(AND(mthbeg&lt;=A430,mthend&gt;=A430),1,0))</f>
        <v/>
      </c>
      <c r="AU430" s="137" t="str">
        <f aca="false">IF(A431="","",AO430*AT430)</f>
        <v/>
      </c>
      <c r="AW430" s="195" t="str">
        <f aca="false">IF($A431="","",AL430*$E430)</f>
        <v/>
      </c>
      <c r="AX430" s="195" t="str">
        <f aca="false">IF($A431="","",AM430*$E430)</f>
        <v/>
      </c>
      <c r="AY430" s="195" t="str">
        <f aca="false">IF($A431="","",AN430*$E430)</f>
        <v/>
      </c>
      <c r="BA430" s="195" t="str">
        <f aca="false">IF($A431="","",F430*Summary!$Q$13)</f>
        <v/>
      </c>
    </row>
    <row r="431" customFormat="false" ht="12.75" hidden="false" customHeight="false" outlineLevel="0" collapsed="false">
      <c r="A431" s="196" t="str">
        <f aca="false">IF(A430&lt;mthend,EDATE(A430,1),"")</f>
        <v/>
      </c>
      <c r="B431" s="197" t="str">
        <f aca="false">IF(A431&lt;mthend,B430,"")</f>
        <v/>
      </c>
      <c r="D431" s="197" t="str">
        <f aca="false">IF(A432&lt;&gt;"",B431+C431,"")</f>
        <v/>
      </c>
      <c r="E431" s="199" t="str">
        <f aca="false">IF(A432="","",IF(AND(AT431=1,$H$3=1),D431*AO431,IF($H$3=2,D431,"N/A")))</f>
        <v/>
      </c>
      <c r="F431" s="199" t="str">
        <f aca="false">IF(A432="","",E431*AS431)</f>
        <v/>
      </c>
      <c r="G431" s="200" t="str">
        <f aca="false">IF($A432="","",VLOOKUP($A431,Table,MATCH(G$4,Curves,0)))</f>
        <v/>
      </c>
      <c r="H431" s="201" t="str">
        <f aca="false">IF(A432="","",G431)</f>
        <v/>
      </c>
      <c r="J431" s="200" t="str">
        <f aca="false">IF($A432="","",VLOOKUP($A431,Table,MATCH(J$4,Curves,0)))</f>
        <v/>
      </c>
      <c r="K431" s="201" t="str">
        <f aca="false">IF(A432="","",J431)</f>
        <v/>
      </c>
      <c r="L431" s="185" t="n">
        <v>0</v>
      </c>
      <c r="M431" s="201" t="str">
        <f aca="false">IF(A432="","",L431)</f>
        <v/>
      </c>
      <c r="O431" s="200" t="str">
        <f aca="false">IF(A432="","",L431+J431+G431)</f>
        <v/>
      </c>
      <c r="P431" s="200" t="str">
        <f aca="false">IF(A432="","",M431+K431+H431)</f>
        <v/>
      </c>
      <c r="R431" s="200" t="str">
        <f aca="false">IF($A432="","",VLOOKUP($A431,Table,MATCH(R$4,Curves,0)))</f>
        <v/>
      </c>
      <c r="S431" s="201" t="str">
        <f aca="false">IF(A432="","",R431)</f>
        <v/>
      </c>
      <c r="T431" s="185" t="n">
        <v>0</v>
      </c>
      <c r="U431" s="201" t="str">
        <f aca="false">IF(A432="","",T431)</f>
        <v/>
      </c>
      <c r="V431" s="205"/>
      <c r="W431" s="202" t="str">
        <f aca="false">IF($A432="","",(T431+R431+G431+V431))</f>
        <v/>
      </c>
      <c r="X431" s="202" t="str">
        <f aca="false">IF($A432="","",(U431+S431+H431+V431))</f>
        <v/>
      </c>
      <c r="Y431" s="202"/>
      <c r="Z431" s="185"/>
      <c r="AJ431" s="77"/>
      <c r="AK431" s="77"/>
      <c r="AL431" s="77"/>
      <c r="AM431" s="77"/>
      <c r="AN431" s="77"/>
      <c r="AO431" s="137" t="str">
        <f aca="false">IF(A432="","",A432-A431)</f>
        <v/>
      </c>
      <c r="AP431" s="212" t="str">
        <f aca="false">IF(A432="","",CHOOSE(F$3,A432+24,A431))</f>
        <v/>
      </c>
      <c r="AQ431" s="209" t="str">
        <f aca="false">IF(A432="","",AP431-$E$1)</f>
        <v/>
      </c>
      <c r="AR431" s="185" t="n">
        <f aca="false">'ANR OK vs ML7'!AR431</f>
        <v>0.1</v>
      </c>
      <c r="AS431" s="213" t="str">
        <f aca="false">IF(A432="","",1/(1+CHOOSE(F$3,(AR432+($I$3/10000))/2,(AR431+($I$3/10000))/2))^(2*AQ431/365.25))</f>
        <v/>
      </c>
      <c r="AT431" s="137" t="str">
        <f aca="false">IF(A432="","",IF(AND(mthbeg&lt;=A431,mthend&gt;=A431),1,0))</f>
        <v/>
      </c>
      <c r="AU431" s="137" t="str">
        <f aca="false">IF(A432="","",AO431*AT431)</f>
        <v/>
      </c>
      <c r="AW431" s="195" t="str">
        <f aca="false">IF($A432="","",AL431*$E431)</f>
        <v/>
      </c>
      <c r="AX431" s="195" t="str">
        <f aca="false">IF($A432="","",AM431*$E431)</f>
        <v/>
      </c>
      <c r="AY431" s="195" t="str">
        <f aca="false">IF($A432="","",AN431*$E431)</f>
        <v/>
      </c>
      <c r="BA431" s="195" t="str">
        <f aca="false">IF($A432="","",F431*Summary!$Q$13)</f>
        <v/>
      </c>
    </row>
    <row r="432" customFormat="false" ht="12.75" hidden="false" customHeight="false" outlineLevel="0" collapsed="false">
      <c r="A432" s="196" t="str">
        <f aca="false">IF(A431&lt;mthend,EDATE(A431,1),"")</f>
        <v/>
      </c>
      <c r="B432" s="197" t="str">
        <f aca="false">IF(A432&lt;mthend,B431,"")</f>
        <v/>
      </c>
      <c r="D432" s="197" t="str">
        <f aca="false">IF(A433&lt;&gt;"",B432+C432,"")</f>
        <v/>
      </c>
      <c r="E432" s="199" t="str">
        <f aca="false">IF(A433="","",IF(AND(AT432=1,$H$3=1),D432*AO432,IF($H$3=2,D432,"N/A")))</f>
        <v/>
      </c>
      <c r="F432" s="199" t="str">
        <f aca="false">IF(A433="","",E432*AS432)</f>
        <v/>
      </c>
      <c r="G432" s="200" t="str">
        <f aca="false">IF($A433="","",VLOOKUP($A432,Table,MATCH(G$4,Curves,0)))</f>
        <v/>
      </c>
      <c r="H432" s="201" t="str">
        <f aca="false">IF(A433="","",G432)</f>
        <v/>
      </c>
      <c r="J432" s="200" t="str">
        <f aca="false">IF($A433="","",VLOOKUP($A432,Table,MATCH(J$4,Curves,0)))</f>
        <v/>
      </c>
      <c r="K432" s="201" t="str">
        <f aca="false">IF(A433="","",J432)</f>
        <v/>
      </c>
      <c r="L432" s="185" t="n">
        <v>0</v>
      </c>
      <c r="M432" s="201" t="str">
        <f aca="false">IF(A433="","",L432)</f>
        <v/>
      </c>
      <c r="O432" s="200" t="str">
        <f aca="false">IF(A433="","",L432+J432+G432)</f>
        <v/>
      </c>
      <c r="P432" s="200" t="str">
        <f aca="false">IF(A433="","",M432+K432+H432)</f>
        <v/>
      </c>
      <c r="R432" s="200" t="str">
        <f aca="false">IF($A433="","",VLOOKUP($A432,Table,MATCH(R$4,Curves,0)))</f>
        <v/>
      </c>
      <c r="S432" s="201" t="str">
        <f aca="false">IF(A433="","",R432)</f>
        <v/>
      </c>
      <c r="T432" s="185" t="n">
        <v>0</v>
      </c>
      <c r="U432" s="201" t="str">
        <f aca="false">IF(A433="","",T432)</f>
        <v/>
      </c>
      <c r="V432" s="205"/>
      <c r="W432" s="202" t="str">
        <f aca="false">IF($A433="","",(T432+R432+G432+V432))</f>
        <v/>
      </c>
      <c r="X432" s="202" t="str">
        <f aca="false">IF($A433="","",(U432+S432+H432+V432))</f>
        <v/>
      </c>
      <c r="Y432" s="202"/>
      <c r="Z432" s="185"/>
      <c r="AJ432" s="77"/>
      <c r="AK432" s="77"/>
      <c r="AL432" s="77"/>
      <c r="AM432" s="77"/>
      <c r="AN432" s="77"/>
      <c r="AO432" s="137" t="str">
        <f aca="false">IF(A433="","",A433-A432)</f>
        <v/>
      </c>
      <c r="AP432" s="212" t="str">
        <f aca="false">IF(A433="","",CHOOSE(F$3,A433+24,A432))</f>
        <v/>
      </c>
      <c r="AQ432" s="209" t="str">
        <f aca="false">IF(A433="","",AP432-$E$1)</f>
        <v/>
      </c>
      <c r="AR432" s="185" t="n">
        <f aca="false">'ANR OK vs ML7'!AR432</f>
        <v>0.1</v>
      </c>
      <c r="AS432" s="213" t="str">
        <f aca="false">IF(A433="","",1/(1+CHOOSE(F$3,(AR433+($I$3/10000))/2,(AR432+($I$3/10000))/2))^(2*AQ432/365.25))</f>
        <v/>
      </c>
      <c r="AT432" s="137" t="str">
        <f aca="false">IF(A433="","",IF(AND(mthbeg&lt;=A432,mthend&gt;=A432),1,0))</f>
        <v/>
      </c>
      <c r="AU432" s="137" t="str">
        <f aca="false">IF(A433="","",AO432*AT432)</f>
        <v/>
      </c>
      <c r="AW432" s="195" t="str">
        <f aca="false">IF($A433="","",AL432*$E432)</f>
        <v/>
      </c>
      <c r="AX432" s="195" t="str">
        <f aca="false">IF($A433="","",AM432*$E432)</f>
        <v/>
      </c>
      <c r="AY432" s="195" t="str">
        <f aca="false">IF($A433="","",AN432*$E432)</f>
        <v/>
      </c>
      <c r="BA432" s="195" t="str">
        <f aca="false">IF($A433="","",F432*Summary!$Q$13)</f>
        <v/>
      </c>
    </row>
    <row r="433" customFormat="false" ht="12.75" hidden="false" customHeight="false" outlineLevel="0" collapsed="false">
      <c r="A433" s="196" t="str">
        <f aca="false">IF(A432&lt;mthend,EDATE(A432,1),"")</f>
        <v/>
      </c>
      <c r="B433" s="197" t="str">
        <f aca="false">IF(A433&lt;mthend,B432,"")</f>
        <v/>
      </c>
      <c r="D433" s="197" t="str">
        <f aca="false">IF(A434&lt;&gt;"",B433+C433,"")</f>
        <v/>
      </c>
      <c r="E433" s="199" t="str">
        <f aca="false">IF(A434="","",IF(AND(AT433=1,$H$3=1),D433*AO433,IF($H$3=2,D433,"N/A")))</f>
        <v/>
      </c>
      <c r="F433" s="199" t="str">
        <f aca="false">IF(A434="","",E433*AS433)</f>
        <v/>
      </c>
      <c r="G433" s="200" t="str">
        <f aca="false">IF($A434="","",VLOOKUP($A433,Table,MATCH(G$4,Curves,0)))</f>
        <v/>
      </c>
      <c r="H433" s="201" t="str">
        <f aca="false">IF(A434="","",G433)</f>
        <v/>
      </c>
      <c r="J433" s="200" t="str">
        <f aca="false">IF($A434="","",VLOOKUP($A433,Table,MATCH(J$4,Curves,0)))</f>
        <v/>
      </c>
      <c r="K433" s="201" t="str">
        <f aca="false">IF(A434="","",J433)</f>
        <v/>
      </c>
      <c r="L433" s="185" t="n">
        <v>0</v>
      </c>
      <c r="M433" s="201" t="str">
        <f aca="false">IF(A434="","",L433)</f>
        <v/>
      </c>
      <c r="O433" s="200" t="str">
        <f aca="false">IF(A434="","",L433+J433+G433)</f>
        <v/>
      </c>
      <c r="P433" s="200" t="str">
        <f aca="false">IF(A434="","",M433+K433+H433)</f>
        <v/>
      </c>
      <c r="R433" s="200" t="str">
        <f aca="false">IF($A434="","",VLOOKUP($A433,Table,MATCH(R$4,Curves,0)))</f>
        <v/>
      </c>
      <c r="S433" s="201" t="str">
        <f aca="false">IF(A434="","",R433)</f>
        <v/>
      </c>
      <c r="T433" s="185" t="n">
        <v>0</v>
      </c>
      <c r="U433" s="201" t="str">
        <f aca="false">IF(A434="","",T433)</f>
        <v/>
      </c>
      <c r="V433" s="205"/>
      <c r="W433" s="202" t="str">
        <f aca="false">IF($A434="","",(T433+R433+G433+V433))</f>
        <v/>
      </c>
      <c r="X433" s="202" t="str">
        <f aca="false">IF($A434="","",(U433+S433+H433+V433))</f>
        <v/>
      </c>
      <c r="Y433" s="202"/>
      <c r="Z433" s="185"/>
      <c r="AJ433" s="77"/>
      <c r="AK433" s="77"/>
      <c r="AL433" s="77"/>
      <c r="AM433" s="77"/>
      <c r="AN433" s="77"/>
      <c r="AO433" s="137" t="str">
        <f aca="false">IF(A434="","",A434-A433)</f>
        <v/>
      </c>
      <c r="AP433" s="212" t="str">
        <f aca="false">IF(A434="","",CHOOSE(F$3,A434+24,A433))</f>
        <v/>
      </c>
      <c r="AQ433" s="209" t="str">
        <f aca="false">IF(A434="","",AP433-$E$1)</f>
        <v/>
      </c>
      <c r="AR433" s="185" t="n">
        <f aca="false">'ANR OK vs ML7'!AR433</f>
        <v>0.1</v>
      </c>
      <c r="AS433" s="213" t="str">
        <f aca="false">IF(A434="","",1/(1+CHOOSE(F$3,(AR434+($I$3/10000))/2,(AR433+($I$3/10000))/2))^(2*AQ433/365.25))</f>
        <v/>
      </c>
      <c r="AT433" s="137" t="str">
        <f aca="false">IF(A434="","",IF(AND(mthbeg&lt;=A433,mthend&gt;=A433),1,0))</f>
        <v/>
      </c>
      <c r="AU433" s="137" t="str">
        <f aca="false">IF(A434="","",AO433*AT433)</f>
        <v/>
      </c>
      <c r="AW433" s="195" t="str">
        <f aca="false">IF($A434="","",AL433*$E433)</f>
        <v/>
      </c>
      <c r="AX433" s="195" t="str">
        <f aca="false">IF($A434="","",AM433*$E433)</f>
        <v/>
      </c>
      <c r="AY433" s="195" t="str">
        <f aca="false">IF($A434="","",AN433*$E433)</f>
        <v/>
      </c>
      <c r="BA433" s="195" t="str">
        <f aca="false">IF($A434="","",F433*Summary!$Q$13)</f>
        <v/>
      </c>
    </row>
    <row r="434" customFormat="false" ht="12.75" hidden="false" customHeight="false" outlineLevel="0" collapsed="false">
      <c r="A434" s="196" t="str">
        <f aca="false">IF(A433&lt;mthend,EDATE(A433,1),"")</f>
        <v/>
      </c>
      <c r="B434" s="197" t="str">
        <f aca="false">IF(A434&lt;mthend,B433,"")</f>
        <v/>
      </c>
      <c r="D434" s="197" t="str">
        <f aca="false">IF(A435&lt;&gt;"",B434+C434,"")</f>
        <v/>
      </c>
      <c r="E434" s="199" t="str">
        <f aca="false">IF(A435="","",IF(AND(AT434=1,$H$3=1),D434*AO434,IF($H$3=2,D434,"N/A")))</f>
        <v/>
      </c>
      <c r="F434" s="199" t="str">
        <f aca="false">IF(A435="","",E434*AS434)</f>
        <v/>
      </c>
      <c r="G434" s="200" t="str">
        <f aca="false">IF($A435="","",VLOOKUP($A434,Table,MATCH(G$4,Curves,0)))</f>
        <v/>
      </c>
      <c r="H434" s="201" t="str">
        <f aca="false">IF(A435="","",G434)</f>
        <v/>
      </c>
      <c r="J434" s="200" t="str">
        <f aca="false">IF($A435="","",VLOOKUP($A434,Table,MATCH(J$4,Curves,0)))</f>
        <v/>
      </c>
      <c r="K434" s="201" t="str">
        <f aca="false">IF(A435="","",J434)</f>
        <v/>
      </c>
      <c r="L434" s="185" t="n">
        <v>0</v>
      </c>
      <c r="M434" s="201" t="str">
        <f aca="false">IF(A435="","",L434)</f>
        <v/>
      </c>
      <c r="O434" s="200" t="str">
        <f aca="false">IF(A435="","",L434+J434+G434)</f>
        <v/>
      </c>
      <c r="P434" s="200" t="str">
        <f aca="false">IF(A435="","",M434+K434+H434)</f>
        <v/>
      </c>
      <c r="R434" s="200" t="str">
        <f aca="false">IF($A435="","",VLOOKUP($A434,Table,MATCH(R$4,Curves,0)))</f>
        <v/>
      </c>
      <c r="S434" s="201" t="str">
        <f aca="false">IF(A435="","",R434)</f>
        <v/>
      </c>
      <c r="T434" s="185" t="n">
        <v>0</v>
      </c>
      <c r="U434" s="201" t="str">
        <f aca="false">IF(A435="","",T434)</f>
        <v/>
      </c>
      <c r="V434" s="205"/>
      <c r="W434" s="202" t="str">
        <f aca="false">IF($A435="","",(T434+R434+G434+V434))</f>
        <v/>
      </c>
      <c r="X434" s="202" t="str">
        <f aca="false">IF($A435="","",(U434+S434+H434+V434))</f>
        <v/>
      </c>
      <c r="Y434" s="202"/>
      <c r="Z434" s="185"/>
      <c r="AJ434" s="77"/>
      <c r="AK434" s="77"/>
      <c r="AL434" s="77"/>
      <c r="AM434" s="77"/>
      <c r="AN434" s="77"/>
      <c r="AO434" s="137" t="str">
        <f aca="false">IF(A435="","",A435-A434)</f>
        <v/>
      </c>
      <c r="AP434" s="212" t="str">
        <f aca="false">IF(A435="","",CHOOSE(F$3,A435+24,A434))</f>
        <v/>
      </c>
      <c r="AQ434" s="209" t="str">
        <f aca="false">IF(A435="","",AP434-$E$1)</f>
        <v/>
      </c>
      <c r="AR434" s="185" t="n">
        <f aca="false">'ANR OK vs ML7'!AR434</f>
        <v>0.1</v>
      </c>
      <c r="AS434" s="213" t="str">
        <f aca="false">IF(A435="","",1/(1+CHOOSE(F$3,(AR435+($I$3/10000))/2,(AR434+($I$3/10000))/2))^(2*AQ434/365.25))</f>
        <v/>
      </c>
      <c r="AT434" s="137" t="str">
        <f aca="false">IF(A435="","",IF(AND(mthbeg&lt;=A434,mthend&gt;=A434),1,0))</f>
        <v/>
      </c>
      <c r="AU434" s="137" t="str">
        <f aca="false">IF(A435="","",AO434*AT434)</f>
        <v/>
      </c>
      <c r="AW434" s="195" t="str">
        <f aca="false">IF($A435="","",AL434*$E434)</f>
        <v/>
      </c>
      <c r="AX434" s="195" t="str">
        <f aca="false">IF($A435="","",AM434*$E434)</f>
        <v/>
      </c>
      <c r="AY434" s="195" t="str">
        <f aca="false">IF($A435="","",AN434*$E434)</f>
        <v/>
      </c>
      <c r="BA434" s="195" t="str">
        <f aca="false">IF($A435="","",F434*Summary!$Q$13)</f>
        <v/>
      </c>
    </row>
    <row r="435" customFormat="false" ht="12.75" hidden="false" customHeight="false" outlineLevel="0" collapsed="false">
      <c r="A435" s="196" t="str">
        <f aca="false">IF(A434&lt;mthend,EDATE(A434,1),"")</f>
        <v/>
      </c>
      <c r="B435" s="197" t="str">
        <f aca="false">IF(A435&lt;mthend,B434,"")</f>
        <v/>
      </c>
      <c r="D435" s="197" t="str">
        <f aca="false">IF(A436&lt;&gt;"",B435+C435,"")</f>
        <v/>
      </c>
      <c r="E435" s="199" t="str">
        <f aca="false">IF(A436="","",IF(AND(AT435=1,$H$3=1),D435*AO435,IF($H$3=2,D435,"N/A")))</f>
        <v/>
      </c>
      <c r="F435" s="199" t="str">
        <f aca="false">IF(A436="","",E435*AS435)</f>
        <v/>
      </c>
      <c r="G435" s="200" t="str">
        <f aca="false">IF($A436="","",VLOOKUP($A435,Table,MATCH(G$4,Curves,0)))</f>
        <v/>
      </c>
      <c r="H435" s="201" t="str">
        <f aca="false">IF(A436="","",G435)</f>
        <v/>
      </c>
      <c r="J435" s="200" t="str">
        <f aca="false">IF($A436="","",VLOOKUP($A435,Table,MATCH(J$4,Curves,0)))</f>
        <v/>
      </c>
      <c r="K435" s="201" t="str">
        <f aca="false">IF(A436="","",J435)</f>
        <v/>
      </c>
      <c r="L435" s="185" t="n">
        <v>0</v>
      </c>
      <c r="M435" s="201" t="str">
        <f aca="false">IF(A436="","",L435)</f>
        <v/>
      </c>
      <c r="O435" s="200" t="str">
        <f aca="false">IF(A436="","",L435+J435+G435)</f>
        <v/>
      </c>
      <c r="P435" s="200" t="str">
        <f aca="false">IF(A436="","",M435+K435+H435)</f>
        <v/>
      </c>
      <c r="R435" s="200" t="str">
        <f aca="false">IF($A436="","",VLOOKUP($A435,Table,MATCH(R$4,Curves,0)))</f>
        <v/>
      </c>
      <c r="S435" s="201" t="str">
        <f aca="false">IF(A436="","",R435)</f>
        <v/>
      </c>
      <c r="T435" s="185" t="n">
        <v>0</v>
      </c>
      <c r="U435" s="201" t="str">
        <f aca="false">IF(A436="","",T435)</f>
        <v/>
      </c>
      <c r="V435" s="205"/>
      <c r="W435" s="202" t="str">
        <f aca="false">IF($A436="","",(T435+R435+G435+V435))</f>
        <v/>
      </c>
      <c r="X435" s="202" t="str">
        <f aca="false">IF($A436="","",(U435+S435+H435+V435))</f>
        <v/>
      </c>
      <c r="Y435" s="202"/>
      <c r="Z435" s="185"/>
      <c r="AJ435" s="77"/>
      <c r="AK435" s="77"/>
      <c r="AL435" s="77"/>
      <c r="AM435" s="77"/>
      <c r="AN435" s="77"/>
      <c r="AO435" s="137" t="str">
        <f aca="false">IF(A436="","",A436-A435)</f>
        <v/>
      </c>
      <c r="AP435" s="212" t="str">
        <f aca="false">IF(A436="","",CHOOSE(F$3,A436+24,A435))</f>
        <v/>
      </c>
      <c r="AQ435" s="209" t="str">
        <f aca="false">IF(A436="","",AP435-$E$1)</f>
        <v/>
      </c>
      <c r="AR435" s="185" t="n">
        <f aca="false">'ANR OK vs ML7'!AR435</f>
        <v>0.1</v>
      </c>
      <c r="AS435" s="213" t="str">
        <f aca="false">IF(A436="","",1/(1+CHOOSE(F$3,(AR436+($I$3/10000))/2,(AR435+($I$3/10000))/2))^(2*AQ435/365.25))</f>
        <v/>
      </c>
      <c r="AT435" s="137" t="str">
        <f aca="false">IF(A436="","",IF(AND(mthbeg&lt;=A435,mthend&gt;=A435),1,0))</f>
        <v/>
      </c>
      <c r="AU435" s="137" t="str">
        <f aca="false">IF(A436="","",AO435*AT435)</f>
        <v/>
      </c>
      <c r="AW435" s="195" t="str">
        <f aca="false">IF($A436="","",AL435*$E435)</f>
        <v/>
      </c>
      <c r="AX435" s="195" t="str">
        <f aca="false">IF($A436="","",AM435*$E435)</f>
        <v/>
      </c>
      <c r="AY435" s="195" t="str">
        <f aca="false">IF($A436="","",AN435*$E435)</f>
        <v/>
      </c>
      <c r="BA435" s="195" t="str">
        <f aca="false">IF($A436="","",F435*Summary!$Q$13)</f>
        <v/>
      </c>
    </row>
    <row r="436" customFormat="false" ht="12.75" hidden="false" customHeight="false" outlineLevel="0" collapsed="false">
      <c r="A436" s="196" t="str">
        <f aca="false">IF(A435&lt;mthend,EDATE(A435,1),"")</f>
        <v/>
      </c>
      <c r="B436" s="197" t="str">
        <f aca="false">IF(A436&lt;mthend,B435,"")</f>
        <v/>
      </c>
      <c r="D436" s="197" t="str">
        <f aca="false">IF(A437&lt;&gt;"",B436+C436,"")</f>
        <v/>
      </c>
      <c r="E436" s="199" t="str">
        <f aca="false">IF(A437="","",IF(AND(AT436=1,$H$3=1),D436*AO436,IF($H$3=2,D436,"N/A")))</f>
        <v/>
      </c>
      <c r="F436" s="199" t="str">
        <f aca="false">IF(A437="","",E436*AS436)</f>
        <v/>
      </c>
      <c r="G436" s="200" t="str">
        <f aca="false">IF($A437="","",VLOOKUP($A436,Table,MATCH(G$4,Curves,0)))</f>
        <v/>
      </c>
      <c r="H436" s="201" t="str">
        <f aca="false">IF(A437="","",G436)</f>
        <v/>
      </c>
      <c r="J436" s="200" t="str">
        <f aca="false">IF($A437="","",VLOOKUP($A436,Table,MATCH(J$4,Curves,0)))</f>
        <v/>
      </c>
      <c r="K436" s="201" t="str">
        <f aca="false">IF(A437="","",J436)</f>
        <v/>
      </c>
      <c r="L436" s="185" t="n">
        <v>0</v>
      </c>
      <c r="M436" s="201" t="str">
        <f aca="false">IF(A437="","",L436)</f>
        <v/>
      </c>
      <c r="O436" s="200" t="str">
        <f aca="false">IF(A437="","",L436+J436+G436)</f>
        <v/>
      </c>
      <c r="P436" s="200" t="str">
        <f aca="false">IF(A437="","",M436+K436+H436)</f>
        <v/>
      </c>
      <c r="R436" s="200" t="str">
        <f aca="false">IF($A437="","",VLOOKUP($A436,Table,MATCH(R$4,Curves,0)))</f>
        <v/>
      </c>
      <c r="S436" s="201" t="str">
        <f aca="false">IF(A437="","",R436)</f>
        <v/>
      </c>
      <c r="T436" s="185" t="n">
        <v>0</v>
      </c>
      <c r="U436" s="201" t="str">
        <f aca="false">IF(A437="","",T436)</f>
        <v/>
      </c>
      <c r="V436" s="205"/>
      <c r="W436" s="202" t="str">
        <f aca="false">IF($A437="","",(T436+R436+G436+V436))</f>
        <v/>
      </c>
      <c r="X436" s="202" t="str">
        <f aca="false">IF($A437="","",(U436+S436+H436+V436))</f>
        <v/>
      </c>
      <c r="Y436" s="202"/>
      <c r="Z436" s="185"/>
      <c r="AJ436" s="77"/>
      <c r="AK436" s="77"/>
      <c r="AL436" s="77"/>
      <c r="AM436" s="77"/>
      <c r="AN436" s="77"/>
      <c r="AO436" s="137" t="str">
        <f aca="false">IF(A437="","",A437-A436)</f>
        <v/>
      </c>
      <c r="AP436" s="212" t="str">
        <f aca="false">IF(A437="","",CHOOSE(F$3,A437+24,A436))</f>
        <v/>
      </c>
      <c r="AQ436" s="209" t="str">
        <f aca="false">IF(A437="","",AP436-$E$1)</f>
        <v/>
      </c>
      <c r="AR436" s="185" t="n">
        <f aca="false">'ANR OK vs ML7'!AR436</f>
        <v>0.1</v>
      </c>
      <c r="AS436" s="213" t="str">
        <f aca="false">IF(A437="","",1/(1+CHOOSE(F$3,(AR437+($I$3/10000))/2,(AR436+($I$3/10000))/2))^(2*AQ436/365.25))</f>
        <v/>
      </c>
      <c r="AT436" s="137" t="str">
        <f aca="false">IF(A437="","",IF(AND(mthbeg&lt;=A436,mthend&gt;=A436),1,0))</f>
        <v/>
      </c>
      <c r="AU436" s="137" t="str">
        <f aca="false">IF(A437="","",AO436*AT436)</f>
        <v/>
      </c>
      <c r="AW436" s="195" t="str">
        <f aca="false">IF($A437="","",AL436*$E436)</f>
        <v/>
      </c>
      <c r="AX436" s="195" t="str">
        <f aca="false">IF($A437="","",AM436*$E436)</f>
        <v/>
      </c>
      <c r="AY436" s="195" t="str">
        <f aca="false">IF($A437="","",AN436*$E436)</f>
        <v/>
      </c>
      <c r="BA436" s="195" t="str">
        <f aca="false">IF($A437="","",F436*Summary!$Q$13)</f>
        <v/>
      </c>
    </row>
    <row r="437" customFormat="false" ht="12.75" hidden="false" customHeight="false" outlineLevel="0" collapsed="false">
      <c r="A437" s="196" t="str">
        <f aca="false">IF(A436&lt;mthend,EDATE(A436,1),"")</f>
        <v/>
      </c>
      <c r="B437" s="197" t="str">
        <f aca="false">IF(A437&lt;mthend,B436,"")</f>
        <v/>
      </c>
      <c r="D437" s="197" t="str">
        <f aca="false">IF(A438&lt;&gt;"",B437+C437,"")</f>
        <v/>
      </c>
      <c r="E437" s="199" t="str">
        <f aca="false">IF(A438="","",IF(AND(AT437=1,$H$3=1),D437*AO437,IF($H$3=2,D437,"N/A")))</f>
        <v/>
      </c>
      <c r="F437" s="199" t="str">
        <f aca="false">IF(A438="","",E437*AS437)</f>
        <v/>
      </c>
      <c r="G437" s="200" t="str">
        <f aca="false">IF($A438="","",VLOOKUP($A437,Table,MATCH(G$4,Curves,0)))</f>
        <v/>
      </c>
      <c r="H437" s="201" t="str">
        <f aca="false">IF(A438="","",G437)</f>
        <v/>
      </c>
      <c r="J437" s="200" t="str">
        <f aca="false">IF($A438="","",VLOOKUP($A437,Table,MATCH(J$4,Curves,0)))</f>
        <v/>
      </c>
      <c r="K437" s="201" t="str">
        <f aca="false">IF(A438="","",J437)</f>
        <v/>
      </c>
      <c r="L437" s="185" t="n">
        <v>0</v>
      </c>
      <c r="M437" s="201" t="str">
        <f aca="false">IF(A438="","",L437)</f>
        <v/>
      </c>
      <c r="O437" s="200" t="str">
        <f aca="false">IF(A438="","",L437+J437+G437)</f>
        <v/>
      </c>
      <c r="P437" s="200" t="str">
        <f aca="false">IF(A438="","",M437+K437+H437)</f>
        <v/>
      </c>
      <c r="R437" s="200" t="str">
        <f aca="false">IF($A438="","",VLOOKUP($A437,Table,MATCH(R$4,Curves,0)))</f>
        <v/>
      </c>
      <c r="S437" s="201" t="str">
        <f aca="false">IF(A438="","",R437)</f>
        <v/>
      </c>
      <c r="T437" s="185" t="n">
        <v>0</v>
      </c>
      <c r="U437" s="201" t="str">
        <f aca="false">IF(A438="","",T437)</f>
        <v/>
      </c>
      <c r="V437" s="205"/>
      <c r="W437" s="202" t="str">
        <f aca="false">IF($A438="","",(T437+R437+G437+V437))</f>
        <v/>
      </c>
      <c r="X437" s="202" t="str">
        <f aca="false">IF($A438="","",(U437+S437+H437+V437))</f>
        <v/>
      </c>
      <c r="Y437" s="202"/>
      <c r="Z437" s="185"/>
      <c r="AJ437" s="77"/>
      <c r="AK437" s="77"/>
      <c r="AL437" s="77"/>
      <c r="AM437" s="77"/>
      <c r="AN437" s="77"/>
      <c r="AO437" s="137" t="str">
        <f aca="false">IF(A438="","",A438-A437)</f>
        <v/>
      </c>
      <c r="AP437" s="212" t="str">
        <f aca="false">IF(A438="","",CHOOSE(F$3,A438+24,A437))</f>
        <v/>
      </c>
      <c r="AQ437" s="209" t="str">
        <f aca="false">IF(A438="","",AP437-$E$1)</f>
        <v/>
      </c>
      <c r="AR437" s="185" t="n">
        <f aca="false">'ANR OK vs ML7'!AR437</f>
        <v>0.1</v>
      </c>
      <c r="AS437" s="213" t="str">
        <f aca="false">IF(A438="","",1/(1+CHOOSE(F$3,(AR438+($I$3/10000))/2,(AR437+($I$3/10000))/2))^(2*AQ437/365.25))</f>
        <v/>
      </c>
      <c r="AT437" s="137" t="str">
        <f aca="false">IF(A438="","",IF(AND(mthbeg&lt;=A437,mthend&gt;=A437),1,0))</f>
        <v/>
      </c>
      <c r="AU437" s="137" t="str">
        <f aca="false">IF(A438="","",AO437*AT437)</f>
        <v/>
      </c>
      <c r="AW437" s="195" t="str">
        <f aca="false">IF($A438="","",AL437*$E437)</f>
        <v/>
      </c>
      <c r="AX437" s="195" t="str">
        <f aca="false">IF($A438="","",AM437*$E437)</f>
        <v/>
      </c>
      <c r="AY437" s="195" t="str">
        <f aca="false">IF($A438="","",AN437*$E437)</f>
        <v/>
      </c>
      <c r="BA437" s="195" t="str">
        <f aca="false">IF($A438="","",F437*Summary!$Q$13)</f>
        <v/>
      </c>
    </row>
    <row r="438" customFormat="false" ht="12.75" hidden="false" customHeight="false" outlineLevel="0" collapsed="false">
      <c r="A438" s="196" t="str">
        <f aca="false">IF(A437&lt;mthend,EDATE(A437,1),"")</f>
        <v/>
      </c>
      <c r="B438" s="197" t="str">
        <f aca="false">IF(A438&lt;mthend,B437,"")</f>
        <v/>
      </c>
      <c r="D438" s="197" t="str">
        <f aca="false">IF(A439&lt;&gt;"",B438+C438,"")</f>
        <v/>
      </c>
      <c r="E438" s="199" t="str">
        <f aca="false">IF(A439="","",IF(AND(AT438=1,$H$3=1),D438*AO438,IF($H$3=2,D438,"N/A")))</f>
        <v/>
      </c>
      <c r="F438" s="199" t="str">
        <f aca="false">IF(A439="","",E438*AS438)</f>
        <v/>
      </c>
      <c r="G438" s="200" t="str">
        <f aca="false">IF($A439="","",VLOOKUP($A438,Table,MATCH(G$4,Curves,0)))</f>
        <v/>
      </c>
      <c r="H438" s="201" t="str">
        <f aca="false">IF(A439="","",G438)</f>
        <v/>
      </c>
      <c r="J438" s="200" t="str">
        <f aca="false">IF($A439="","",VLOOKUP($A438,Table,MATCH(J$4,Curves,0)))</f>
        <v/>
      </c>
      <c r="K438" s="201" t="str">
        <f aca="false">IF(A439="","",J438)</f>
        <v/>
      </c>
      <c r="L438" s="185" t="n">
        <v>0</v>
      </c>
      <c r="M438" s="201" t="str">
        <f aca="false">IF(A439="","",L438)</f>
        <v/>
      </c>
      <c r="O438" s="200" t="str">
        <f aca="false">IF(A439="","",L438+J438+G438)</f>
        <v/>
      </c>
      <c r="P438" s="200" t="str">
        <f aca="false">IF(A439="","",M438+K438+H438)</f>
        <v/>
      </c>
      <c r="R438" s="200" t="str">
        <f aca="false">IF($A439="","",VLOOKUP($A438,Table,MATCH(R$4,Curves,0)))</f>
        <v/>
      </c>
      <c r="S438" s="201" t="str">
        <f aca="false">IF(A439="","",R438)</f>
        <v/>
      </c>
      <c r="T438" s="185" t="n">
        <v>0</v>
      </c>
      <c r="U438" s="201" t="str">
        <f aca="false">IF(A439="","",T438)</f>
        <v/>
      </c>
      <c r="V438" s="205"/>
      <c r="W438" s="202" t="str">
        <f aca="false">IF($A439="","",(T438+R438+G438+V438))</f>
        <v/>
      </c>
      <c r="X438" s="202" t="str">
        <f aca="false">IF($A439="","",(U438+S438+H438+V438))</f>
        <v/>
      </c>
      <c r="Y438" s="202"/>
      <c r="Z438" s="185"/>
      <c r="AJ438" s="77"/>
      <c r="AK438" s="77"/>
      <c r="AL438" s="77"/>
      <c r="AM438" s="77"/>
      <c r="AN438" s="77"/>
      <c r="AO438" s="137" t="str">
        <f aca="false">IF(A439="","",A439-A438)</f>
        <v/>
      </c>
      <c r="AP438" s="212" t="str">
        <f aca="false">IF(A439="","",CHOOSE(F$3,A439+24,A438))</f>
        <v/>
      </c>
      <c r="AQ438" s="209" t="str">
        <f aca="false">IF(A439="","",AP438-$E$1)</f>
        <v/>
      </c>
      <c r="AR438" s="185" t="n">
        <f aca="false">'ANR OK vs ML7'!AR438</f>
        <v>0.1</v>
      </c>
      <c r="AS438" s="213" t="str">
        <f aca="false">IF(A439="","",1/(1+CHOOSE(F$3,(AR439+($I$3/10000))/2,(AR438+($I$3/10000))/2))^(2*AQ438/365.25))</f>
        <v/>
      </c>
      <c r="AT438" s="137" t="str">
        <f aca="false">IF(A439="","",IF(AND(mthbeg&lt;=A438,mthend&gt;=A438),1,0))</f>
        <v/>
      </c>
      <c r="AU438" s="137" t="str">
        <f aca="false">IF(A439="","",AO438*AT438)</f>
        <v/>
      </c>
      <c r="AW438" s="195" t="str">
        <f aca="false">IF($A439="","",AL438*$E438)</f>
        <v/>
      </c>
      <c r="AX438" s="195" t="str">
        <f aca="false">IF($A439="","",AM438*$E438)</f>
        <v/>
      </c>
      <c r="AY438" s="195" t="str">
        <f aca="false">IF($A439="","",AN438*$E438)</f>
        <v/>
      </c>
      <c r="BA438" s="195" t="str">
        <f aca="false">IF($A439="","",F438*Summary!$Q$13)</f>
        <v/>
      </c>
    </row>
    <row r="439" customFormat="false" ht="12.75" hidden="false" customHeight="false" outlineLevel="0" collapsed="false">
      <c r="A439" s="196" t="str">
        <f aca="false">IF(A438&lt;mthend,EDATE(A438,1),"")</f>
        <v/>
      </c>
      <c r="B439" s="197" t="str">
        <f aca="false">IF(A439&lt;mthend,B438,"")</f>
        <v/>
      </c>
      <c r="D439" s="197" t="str">
        <f aca="false">IF(A440&lt;&gt;"",B439+C439,"")</f>
        <v/>
      </c>
      <c r="E439" s="199" t="str">
        <f aca="false">IF(A440="","",IF(AND(AT439=1,$H$3=1),D439*AO439,IF($H$3=2,D439,"N/A")))</f>
        <v/>
      </c>
      <c r="F439" s="199" t="str">
        <f aca="false">IF(A440="","",E439*AS439)</f>
        <v/>
      </c>
      <c r="G439" s="200" t="str">
        <f aca="false">IF($A440="","",VLOOKUP($A439,Table,MATCH(G$4,Curves,0)))</f>
        <v/>
      </c>
      <c r="H439" s="201" t="str">
        <f aca="false">IF(A440="","",G439)</f>
        <v/>
      </c>
      <c r="J439" s="200" t="str">
        <f aca="false">IF($A440="","",VLOOKUP($A439,Table,MATCH(J$4,Curves,0)))</f>
        <v/>
      </c>
      <c r="K439" s="201" t="str">
        <f aca="false">IF(A440="","",J439)</f>
        <v/>
      </c>
      <c r="L439" s="185" t="n">
        <v>0</v>
      </c>
      <c r="M439" s="201" t="str">
        <f aca="false">IF(A440="","",L439)</f>
        <v/>
      </c>
      <c r="O439" s="200" t="str">
        <f aca="false">IF(A440="","",L439+J439+G439)</f>
        <v/>
      </c>
      <c r="P439" s="200" t="str">
        <f aca="false">IF(A440="","",M439+K439+H439)</f>
        <v/>
      </c>
      <c r="R439" s="200" t="str">
        <f aca="false">IF($A440="","",VLOOKUP($A439,Table,MATCH(R$4,Curves,0)))</f>
        <v/>
      </c>
      <c r="S439" s="201" t="str">
        <f aca="false">IF(A440="","",R439)</f>
        <v/>
      </c>
      <c r="T439" s="185" t="n">
        <v>0</v>
      </c>
      <c r="U439" s="201" t="str">
        <f aca="false">IF(A440="","",T439)</f>
        <v/>
      </c>
      <c r="V439" s="205"/>
      <c r="W439" s="202" t="str">
        <f aca="false">IF($A440="","",(T439+R439+G439+V439))</f>
        <v/>
      </c>
      <c r="X439" s="202" t="str">
        <f aca="false">IF($A440="","",(U439+S439+H439+V439))</f>
        <v/>
      </c>
      <c r="Y439" s="202"/>
      <c r="Z439" s="185"/>
      <c r="AJ439" s="77"/>
      <c r="AK439" s="77"/>
      <c r="AL439" s="77"/>
      <c r="AM439" s="77"/>
      <c r="AN439" s="77"/>
      <c r="AO439" s="137" t="str">
        <f aca="false">IF(A440="","",A440-A439)</f>
        <v/>
      </c>
      <c r="AP439" s="212" t="str">
        <f aca="false">IF(A440="","",CHOOSE(F$3,A440+24,A439))</f>
        <v/>
      </c>
      <c r="AQ439" s="209" t="str">
        <f aca="false">IF(A440="","",AP439-$E$1)</f>
        <v/>
      </c>
      <c r="AR439" s="185" t="n">
        <f aca="false">'ANR OK vs ML7'!AR439</f>
        <v>0.1</v>
      </c>
      <c r="AS439" s="213" t="str">
        <f aca="false">IF(A440="","",1/(1+CHOOSE(F$3,(AR440+($I$3/10000))/2,(AR439+($I$3/10000))/2))^(2*AQ439/365.25))</f>
        <v/>
      </c>
      <c r="AT439" s="137" t="str">
        <f aca="false">IF(A440="","",IF(AND(mthbeg&lt;=A439,mthend&gt;=A439),1,0))</f>
        <v/>
      </c>
      <c r="AU439" s="137" t="str">
        <f aca="false">IF(A440="","",AO439*AT439)</f>
        <v/>
      </c>
      <c r="AW439" s="195" t="str">
        <f aca="false">IF($A440="","",AL439*$E439)</f>
        <v/>
      </c>
      <c r="AX439" s="195" t="str">
        <f aca="false">IF($A440="","",AM439*$E439)</f>
        <v/>
      </c>
      <c r="AY439" s="195" t="str">
        <f aca="false">IF($A440="","",AN439*$E439)</f>
        <v/>
      </c>
      <c r="BA439" s="195" t="str">
        <f aca="false">IF($A440="","",F439*Summary!$Q$13)</f>
        <v/>
      </c>
    </row>
    <row r="440" customFormat="false" ht="12.75" hidden="false" customHeight="false" outlineLevel="0" collapsed="false">
      <c r="A440" s="196" t="str">
        <f aca="false">IF(A439&lt;mthend,EDATE(A439,1),"")</f>
        <v/>
      </c>
      <c r="B440" s="197" t="str">
        <f aca="false">IF(A440&lt;mthend,B439,"")</f>
        <v/>
      </c>
      <c r="D440" s="197" t="str">
        <f aca="false">IF(A441&lt;&gt;"",B440+C440,"")</f>
        <v/>
      </c>
      <c r="E440" s="199" t="str">
        <f aca="false">IF(A441="","",IF(AND(AT440=1,$H$3=1),D440*AO440,IF($H$3=2,D440,"N/A")))</f>
        <v/>
      </c>
      <c r="F440" s="199" t="str">
        <f aca="false">IF(A441="","",E440*AS440)</f>
        <v/>
      </c>
      <c r="G440" s="200" t="str">
        <f aca="false">IF($A441="","",VLOOKUP($A440,Table,MATCH(G$4,Curves,0)))</f>
        <v/>
      </c>
      <c r="H440" s="201" t="str">
        <f aca="false">IF(A441="","",G440)</f>
        <v/>
      </c>
      <c r="J440" s="200" t="str">
        <f aca="false">IF($A441="","",VLOOKUP($A440,Table,MATCH(J$4,Curves,0)))</f>
        <v/>
      </c>
      <c r="K440" s="201" t="str">
        <f aca="false">IF(A441="","",J440)</f>
        <v/>
      </c>
      <c r="L440" s="185" t="n">
        <v>0</v>
      </c>
      <c r="M440" s="201" t="str">
        <f aca="false">IF(A441="","",L440)</f>
        <v/>
      </c>
      <c r="O440" s="200" t="str">
        <f aca="false">IF(A441="","",L440+J440+G440)</f>
        <v/>
      </c>
      <c r="P440" s="200" t="str">
        <f aca="false">IF(A441="","",M440+K440+H440)</f>
        <v/>
      </c>
      <c r="R440" s="200" t="str">
        <f aca="false">IF($A441="","",VLOOKUP($A440,Table,MATCH(R$4,Curves,0)))</f>
        <v/>
      </c>
      <c r="S440" s="201" t="str">
        <f aca="false">IF(A441="","",R440)</f>
        <v/>
      </c>
      <c r="T440" s="185" t="n">
        <v>0</v>
      </c>
      <c r="U440" s="201" t="str">
        <f aca="false">IF(A441="","",T440)</f>
        <v/>
      </c>
      <c r="V440" s="205"/>
      <c r="W440" s="202" t="str">
        <f aca="false">IF($A441="","",(T440+R440+G440+V440))</f>
        <v/>
      </c>
      <c r="X440" s="202" t="str">
        <f aca="false">IF($A441="","",(U440+S440+H440+V440))</f>
        <v/>
      </c>
      <c r="Y440" s="202"/>
      <c r="Z440" s="185"/>
      <c r="AJ440" s="77"/>
      <c r="AK440" s="77"/>
      <c r="AL440" s="77"/>
      <c r="AM440" s="77"/>
      <c r="AN440" s="77"/>
      <c r="AO440" s="137" t="str">
        <f aca="false">IF(A441="","",A441-A440)</f>
        <v/>
      </c>
      <c r="AP440" s="212" t="str">
        <f aca="false">IF(A441="","",CHOOSE(F$3,A441+24,A440))</f>
        <v/>
      </c>
      <c r="AQ440" s="209" t="str">
        <f aca="false">IF(A441="","",AP440-$E$1)</f>
        <v/>
      </c>
      <c r="AR440" s="185" t="n">
        <f aca="false">'ANR OK vs ML7'!AR440</f>
        <v>0.1</v>
      </c>
      <c r="AS440" s="213" t="str">
        <f aca="false">IF(A441="","",1/(1+CHOOSE(F$3,(AR441+($I$3/10000))/2,(AR440+($I$3/10000))/2))^(2*AQ440/365.25))</f>
        <v/>
      </c>
      <c r="AT440" s="137" t="str">
        <f aca="false">IF(A441="","",IF(AND(mthbeg&lt;=A440,mthend&gt;=A440),1,0))</f>
        <v/>
      </c>
      <c r="AU440" s="137" t="str">
        <f aca="false">IF(A441="","",AO440*AT440)</f>
        <v/>
      </c>
      <c r="AW440" s="195" t="str">
        <f aca="false">IF($A441="","",AL440*$E440)</f>
        <v/>
      </c>
      <c r="AX440" s="195" t="str">
        <f aca="false">IF($A441="","",AM440*$E440)</f>
        <v/>
      </c>
      <c r="AY440" s="195" t="str">
        <f aca="false">IF($A441="","",AN440*$E440)</f>
        <v/>
      </c>
      <c r="BA440" s="195" t="str">
        <f aca="false">IF($A441="","",F440*Summary!$Q$13)</f>
        <v/>
      </c>
    </row>
    <row r="441" customFormat="false" ht="12.75" hidden="false" customHeight="false" outlineLevel="0" collapsed="false">
      <c r="A441" s="196" t="str">
        <f aca="false">IF(A440&lt;mthend,EDATE(A440,1),"")</f>
        <v/>
      </c>
      <c r="B441" s="197" t="str">
        <f aca="false">IF(A441&lt;mthend,B440,"")</f>
        <v/>
      </c>
      <c r="D441" s="197" t="str">
        <f aca="false">IF(A442&lt;&gt;"",B441+C441,"")</f>
        <v/>
      </c>
      <c r="E441" s="199" t="str">
        <f aca="false">IF(A442="","",IF(AND(AT441=1,$H$3=1),D441*AO441,IF($H$3=2,D441,"N/A")))</f>
        <v/>
      </c>
      <c r="F441" s="199" t="str">
        <f aca="false">IF(A442="","",E441*AS441)</f>
        <v/>
      </c>
      <c r="G441" s="200" t="str">
        <f aca="false">IF($A442="","",VLOOKUP($A441,Table,MATCH(G$4,Curves,0)))</f>
        <v/>
      </c>
      <c r="H441" s="201" t="str">
        <f aca="false">IF(A442="","",G441)</f>
        <v/>
      </c>
      <c r="J441" s="200" t="str">
        <f aca="false">IF($A442="","",VLOOKUP($A441,Table,MATCH(J$4,Curves,0)))</f>
        <v/>
      </c>
      <c r="K441" s="201" t="str">
        <f aca="false">IF(A442="","",J441)</f>
        <v/>
      </c>
      <c r="L441" s="185" t="n">
        <v>0</v>
      </c>
      <c r="M441" s="201" t="str">
        <f aca="false">IF(A442="","",L441)</f>
        <v/>
      </c>
      <c r="O441" s="200" t="str">
        <f aca="false">IF(A442="","",L441+J441+G441)</f>
        <v/>
      </c>
      <c r="P441" s="200" t="str">
        <f aca="false">IF(A442="","",M441+K441+H441)</f>
        <v/>
      </c>
      <c r="R441" s="200" t="str">
        <f aca="false">IF($A442="","",VLOOKUP($A441,Table,MATCH(R$4,Curves,0)))</f>
        <v/>
      </c>
      <c r="S441" s="201" t="str">
        <f aca="false">IF(A442="","",R441)</f>
        <v/>
      </c>
      <c r="T441" s="185" t="n">
        <v>0</v>
      </c>
      <c r="U441" s="201" t="str">
        <f aca="false">IF(A442="","",T441)</f>
        <v/>
      </c>
      <c r="V441" s="205"/>
      <c r="W441" s="202" t="str">
        <f aca="false">IF($A442="","",(T441+R441+G441+V441))</f>
        <v/>
      </c>
      <c r="X441" s="202" t="str">
        <f aca="false">IF($A442="","",(U441+S441+H441+V441))</f>
        <v/>
      </c>
      <c r="Y441" s="202"/>
      <c r="Z441" s="185"/>
      <c r="AJ441" s="77"/>
      <c r="AK441" s="77"/>
      <c r="AL441" s="77"/>
      <c r="AM441" s="77"/>
      <c r="AN441" s="77"/>
      <c r="AO441" s="137" t="str">
        <f aca="false">IF(A442="","",A442-A441)</f>
        <v/>
      </c>
      <c r="AP441" s="212" t="str">
        <f aca="false">IF(A442="","",CHOOSE(F$3,A442+24,A441))</f>
        <v/>
      </c>
      <c r="AQ441" s="209" t="str">
        <f aca="false">IF(A442="","",AP441-$E$1)</f>
        <v/>
      </c>
      <c r="AR441" s="185" t="n">
        <f aca="false">'ANR OK vs ML7'!AR441</f>
        <v>0.1</v>
      </c>
      <c r="AS441" s="213" t="str">
        <f aca="false">IF(A442="","",1/(1+CHOOSE(F$3,(AR442+($I$3/10000))/2,(AR441+($I$3/10000))/2))^(2*AQ441/365.25))</f>
        <v/>
      </c>
      <c r="AT441" s="137" t="str">
        <f aca="false">IF(A442="","",IF(AND(mthbeg&lt;=A441,mthend&gt;=A441),1,0))</f>
        <v/>
      </c>
      <c r="AU441" s="137" t="str">
        <f aca="false">IF(A442="","",AO441*AT441)</f>
        <v/>
      </c>
      <c r="AW441" s="195" t="str">
        <f aca="false">IF($A442="","",AL441*$E441)</f>
        <v/>
      </c>
      <c r="AX441" s="195" t="str">
        <f aca="false">IF($A442="","",AM441*$E441)</f>
        <v/>
      </c>
      <c r="AY441" s="195" t="str">
        <f aca="false">IF($A442="","",AN441*$E441)</f>
        <v/>
      </c>
      <c r="BA441" s="195" t="str">
        <f aca="false">IF($A442="","",F441*Summary!$Q$13)</f>
        <v/>
      </c>
    </row>
    <row r="442" customFormat="false" ht="12.75" hidden="false" customHeight="false" outlineLevel="0" collapsed="false">
      <c r="A442" s="196" t="str">
        <f aca="false">IF(A441&lt;mthend,EDATE(A441,1),"")</f>
        <v/>
      </c>
      <c r="B442" s="197" t="str">
        <f aca="false">IF(A442&lt;mthend,B441,"")</f>
        <v/>
      </c>
      <c r="D442" s="197" t="str">
        <f aca="false">IF(A443&lt;&gt;"",B442+C442,"")</f>
        <v/>
      </c>
      <c r="E442" s="199" t="str">
        <f aca="false">IF(A443="","",IF(AND(AT442=1,$H$3=1),D442*AO442,IF($H$3=2,D442,"N/A")))</f>
        <v/>
      </c>
      <c r="F442" s="199" t="str">
        <f aca="false">IF(A443="","",E442*AS442)</f>
        <v/>
      </c>
      <c r="G442" s="200" t="str">
        <f aca="false">IF($A443="","",VLOOKUP($A442,Table,MATCH(G$4,Curves,0)))</f>
        <v/>
      </c>
      <c r="H442" s="201" t="str">
        <f aca="false">IF(A443="","",G442)</f>
        <v/>
      </c>
      <c r="J442" s="200" t="str">
        <f aca="false">IF($A443="","",VLOOKUP($A442,Table,MATCH(J$4,Curves,0)))</f>
        <v/>
      </c>
      <c r="K442" s="201" t="str">
        <f aca="false">IF(A443="","",J442)</f>
        <v/>
      </c>
      <c r="L442" s="185" t="n">
        <v>0</v>
      </c>
      <c r="M442" s="201" t="str">
        <f aca="false">IF(A443="","",L442)</f>
        <v/>
      </c>
      <c r="O442" s="200" t="str">
        <f aca="false">IF(A443="","",L442+J442+G442)</f>
        <v/>
      </c>
      <c r="P442" s="200" t="str">
        <f aca="false">IF(A443="","",M442+K442+H442)</f>
        <v/>
      </c>
      <c r="R442" s="200" t="str">
        <f aca="false">IF($A443="","",VLOOKUP($A442,Table,MATCH(R$4,Curves,0)))</f>
        <v/>
      </c>
      <c r="S442" s="201" t="str">
        <f aca="false">IF(A443="","",R442)</f>
        <v/>
      </c>
      <c r="T442" s="185" t="n">
        <v>0</v>
      </c>
      <c r="U442" s="201" t="str">
        <f aca="false">IF(A443="","",T442)</f>
        <v/>
      </c>
      <c r="V442" s="205"/>
      <c r="W442" s="202" t="str">
        <f aca="false">IF($A443="","",(T442+R442+G442+V442))</f>
        <v/>
      </c>
      <c r="X442" s="202" t="str">
        <f aca="false">IF($A443="","",(U442+S442+H442+V442))</f>
        <v/>
      </c>
      <c r="Y442" s="202"/>
      <c r="Z442" s="185"/>
      <c r="AJ442" s="77"/>
      <c r="AK442" s="77"/>
      <c r="AL442" s="77"/>
      <c r="AM442" s="77"/>
      <c r="AN442" s="77"/>
      <c r="AO442" s="137" t="str">
        <f aca="false">IF(A443="","",A443-A442)</f>
        <v/>
      </c>
      <c r="AP442" s="212" t="str">
        <f aca="false">IF(A443="","",CHOOSE(F$3,A443+24,A442))</f>
        <v/>
      </c>
      <c r="AQ442" s="209" t="str">
        <f aca="false">IF(A443="","",AP442-$E$1)</f>
        <v/>
      </c>
      <c r="AR442" s="185" t="n">
        <f aca="false">'ANR OK vs ML7'!AR442</f>
        <v>0.1</v>
      </c>
      <c r="AS442" s="213" t="str">
        <f aca="false">IF(A443="","",1/(1+CHOOSE(F$3,(AR443+($I$3/10000))/2,(AR442+($I$3/10000))/2))^(2*AQ442/365.25))</f>
        <v/>
      </c>
      <c r="AT442" s="137" t="str">
        <f aca="false">IF(A443="","",IF(AND(mthbeg&lt;=A442,mthend&gt;=A442),1,0))</f>
        <v/>
      </c>
      <c r="AU442" s="137" t="str">
        <f aca="false">IF(A443="","",AO442*AT442)</f>
        <v/>
      </c>
      <c r="AW442" s="195" t="str">
        <f aca="false">IF($A443="","",AL442*$E442)</f>
        <v/>
      </c>
      <c r="AX442" s="195" t="str">
        <f aca="false">IF($A443="","",AM442*$E442)</f>
        <v/>
      </c>
      <c r="AY442" s="195" t="str">
        <f aca="false">IF($A443="","",AN442*$E442)</f>
        <v/>
      </c>
      <c r="BA442" s="195" t="str">
        <f aca="false">IF($A443="","",F442*Summary!$Q$13)</f>
        <v/>
      </c>
    </row>
    <row r="443" customFormat="false" ht="12.75" hidden="false" customHeight="false" outlineLevel="0" collapsed="false">
      <c r="A443" s="196" t="str">
        <f aca="false">IF(A442&lt;mthend,EDATE(A442,1),"")</f>
        <v/>
      </c>
      <c r="B443" s="197" t="str">
        <f aca="false">IF(A443&lt;mthend,B442,"")</f>
        <v/>
      </c>
      <c r="D443" s="197" t="str">
        <f aca="false">IF(A444&lt;&gt;"",B443+C443,"")</f>
        <v/>
      </c>
      <c r="E443" s="199" t="str">
        <f aca="false">IF(A444="","",IF(AND(AT443=1,$H$3=1),D443*AO443,IF($H$3=2,D443,"N/A")))</f>
        <v/>
      </c>
      <c r="F443" s="199" t="str">
        <f aca="false">IF(A444="","",E443*AS443)</f>
        <v/>
      </c>
      <c r="G443" s="200" t="str">
        <f aca="false">IF($A444="","",VLOOKUP($A443,Table,MATCH(G$4,Curves,0)))</f>
        <v/>
      </c>
      <c r="H443" s="201" t="str">
        <f aca="false">IF(A444="","",G443)</f>
        <v/>
      </c>
      <c r="J443" s="200" t="str">
        <f aca="false">IF($A444="","",VLOOKUP($A443,Table,MATCH(J$4,Curves,0)))</f>
        <v/>
      </c>
      <c r="K443" s="201" t="str">
        <f aca="false">IF(A444="","",J443)</f>
        <v/>
      </c>
      <c r="L443" s="185" t="n">
        <v>0</v>
      </c>
      <c r="M443" s="201" t="str">
        <f aca="false">IF(A444="","",L443)</f>
        <v/>
      </c>
      <c r="O443" s="200" t="str">
        <f aca="false">IF(A444="","",L443+J443+G443)</f>
        <v/>
      </c>
      <c r="P443" s="200" t="str">
        <f aca="false">IF(A444="","",M443+K443+H443)</f>
        <v/>
      </c>
      <c r="R443" s="200" t="str">
        <f aca="false">IF($A444="","",VLOOKUP($A443,Table,MATCH(R$4,Curves,0)))</f>
        <v/>
      </c>
      <c r="S443" s="201" t="str">
        <f aca="false">IF(A444="","",R443)</f>
        <v/>
      </c>
      <c r="T443" s="185" t="n">
        <v>0</v>
      </c>
      <c r="U443" s="201" t="str">
        <f aca="false">IF(A444="","",T443)</f>
        <v/>
      </c>
      <c r="V443" s="205"/>
      <c r="W443" s="202" t="str">
        <f aca="false">IF($A444="","",(T443+R443+G443+V443))</f>
        <v/>
      </c>
      <c r="X443" s="202" t="str">
        <f aca="false">IF($A444="","",(U443+S443+H443+V443))</f>
        <v/>
      </c>
      <c r="Y443" s="202"/>
      <c r="Z443" s="185"/>
      <c r="AJ443" s="77"/>
      <c r="AK443" s="77"/>
      <c r="AL443" s="77"/>
      <c r="AM443" s="77"/>
      <c r="AN443" s="77"/>
      <c r="AO443" s="137" t="str">
        <f aca="false">IF(A444="","",A444-A443)</f>
        <v/>
      </c>
      <c r="AP443" s="212" t="str">
        <f aca="false">IF(A444="","",CHOOSE(F$3,A444+24,A443))</f>
        <v/>
      </c>
      <c r="AQ443" s="209" t="str">
        <f aca="false">IF(A444="","",AP443-$E$1)</f>
        <v/>
      </c>
      <c r="AR443" s="185" t="n">
        <f aca="false">'ANR OK vs ML7'!AR443</f>
        <v>0.1</v>
      </c>
      <c r="AS443" s="213" t="str">
        <f aca="false">IF(A444="","",1/(1+CHOOSE(F$3,(AR444+($I$3/10000))/2,(AR443+($I$3/10000))/2))^(2*AQ443/365.25))</f>
        <v/>
      </c>
      <c r="AT443" s="137" t="str">
        <f aca="false">IF(A444="","",IF(AND(mthbeg&lt;=A443,mthend&gt;=A443),1,0))</f>
        <v/>
      </c>
      <c r="AU443" s="137" t="str">
        <f aca="false">IF(A444="","",AO443*AT443)</f>
        <v/>
      </c>
      <c r="AW443" s="195" t="str">
        <f aca="false">IF($A444="","",AL443*$E443)</f>
        <v/>
      </c>
      <c r="AX443" s="195" t="str">
        <f aca="false">IF($A444="","",AM443*$E443)</f>
        <v/>
      </c>
      <c r="AY443" s="195" t="str">
        <f aca="false">IF($A444="","",AN443*$E443)</f>
        <v/>
      </c>
      <c r="BA443" s="195" t="str">
        <f aca="false">IF($A444="","",F443*Summary!$Q$13)</f>
        <v/>
      </c>
    </row>
    <row r="444" customFormat="false" ht="12.75" hidden="false" customHeight="false" outlineLevel="0" collapsed="false">
      <c r="A444" s="196" t="str">
        <f aca="false">IF(A443&lt;mthend,EDATE(A443,1),"")</f>
        <v/>
      </c>
      <c r="B444" s="197" t="str">
        <f aca="false">IF(A444&lt;mthend,B443,"")</f>
        <v/>
      </c>
      <c r="D444" s="197" t="str">
        <f aca="false">IF(A445&lt;&gt;"",B444+C444,"")</f>
        <v/>
      </c>
      <c r="E444" s="199" t="str">
        <f aca="false">IF(A445="","",IF(AND(AT444=1,$H$3=1),D444*AO444,IF($H$3=2,D444,"N/A")))</f>
        <v/>
      </c>
      <c r="F444" s="199" t="str">
        <f aca="false">IF(A445="","",E444*AS444)</f>
        <v/>
      </c>
      <c r="G444" s="200" t="str">
        <f aca="false">IF($A445="","",VLOOKUP($A444,Table,MATCH(G$4,Curves,0)))</f>
        <v/>
      </c>
      <c r="H444" s="201" t="str">
        <f aca="false">IF(A445="","",G444)</f>
        <v/>
      </c>
      <c r="J444" s="200" t="str">
        <f aca="false">IF($A445="","",VLOOKUP($A444,Table,MATCH(J$4,Curves,0)))</f>
        <v/>
      </c>
      <c r="K444" s="201" t="str">
        <f aca="false">IF(A445="","",J444)</f>
        <v/>
      </c>
      <c r="L444" s="185" t="n">
        <v>0</v>
      </c>
      <c r="M444" s="201" t="str">
        <f aca="false">IF(A445="","",L444)</f>
        <v/>
      </c>
      <c r="O444" s="200" t="str">
        <f aca="false">IF(A445="","",L444+J444+G444)</f>
        <v/>
      </c>
      <c r="P444" s="200" t="str">
        <f aca="false">IF(A445="","",M444+K444+H444)</f>
        <v/>
      </c>
      <c r="R444" s="200" t="str">
        <f aca="false">IF($A445="","",VLOOKUP($A444,Table,MATCH(R$4,Curves,0)))</f>
        <v/>
      </c>
      <c r="S444" s="201" t="str">
        <f aca="false">IF(A445="","",R444)</f>
        <v/>
      </c>
      <c r="T444" s="185" t="n">
        <v>0</v>
      </c>
      <c r="U444" s="201" t="str">
        <f aca="false">IF(A445="","",T444)</f>
        <v/>
      </c>
      <c r="V444" s="205"/>
      <c r="W444" s="202" t="str">
        <f aca="false">IF($A445="","",(T444+R444+G444+V444))</f>
        <v/>
      </c>
      <c r="X444" s="202" t="str">
        <f aca="false">IF($A445="","",(U444+S444+H444+V444))</f>
        <v/>
      </c>
      <c r="Y444" s="202"/>
      <c r="Z444" s="185"/>
      <c r="AJ444" s="77"/>
      <c r="AK444" s="77"/>
      <c r="AL444" s="77"/>
      <c r="AM444" s="77"/>
      <c r="AN444" s="77"/>
      <c r="AO444" s="137" t="str">
        <f aca="false">IF(A445="","",A445-A444)</f>
        <v/>
      </c>
      <c r="AP444" s="212" t="str">
        <f aca="false">IF(A445="","",CHOOSE(F$3,A445+24,A444))</f>
        <v/>
      </c>
      <c r="AQ444" s="209" t="str">
        <f aca="false">IF(A445="","",AP444-$E$1)</f>
        <v/>
      </c>
      <c r="AR444" s="185" t="n">
        <f aca="false">'ANR OK vs ML7'!AR444</f>
        <v>0.1</v>
      </c>
      <c r="AS444" s="213" t="str">
        <f aca="false">IF(A445="","",1/(1+CHOOSE(F$3,(AR445+($I$3/10000))/2,(AR444+($I$3/10000))/2))^(2*AQ444/365.25))</f>
        <v/>
      </c>
      <c r="AT444" s="137" t="str">
        <f aca="false">IF(A445="","",IF(AND(mthbeg&lt;=A444,mthend&gt;=A444),1,0))</f>
        <v/>
      </c>
      <c r="AU444" s="137" t="str">
        <f aca="false">IF(A445="","",AO444*AT444)</f>
        <v/>
      </c>
      <c r="AW444" s="195" t="str">
        <f aca="false">IF($A445="","",AL444*$E444)</f>
        <v/>
      </c>
      <c r="AX444" s="195" t="str">
        <f aca="false">IF($A445="","",AM444*$E444)</f>
        <v/>
      </c>
      <c r="AY444" s="195" t="str">
        <f aca="false">IF($A445="","",AN444*$E444)</f>
        <v/>
      </c>
      <c r="BA444" s="195" t="str">
        <f aca="false">IF($A445="","",F444*Summary!$Q$13)</f>
        <v/>
      </c>
    </row>
    <row r="445" customFormat="false" ht="12.75" hidden="false" customHeight="false" outlineLevel="0" collapsed="false">
      <c r="A445" s="196" t="str">
        <f aca="false">IF(A444&lt;mthend,EDATE(A444,1),"")</f>
        <v/>
      </c>
      <c r="B445" s="197" t="str">
        <f aca="false">IF(A445&lt;mthend,B444,"")</f>
        <v/>
      </c>
      <c r="D445" s="197" t="str">
        <f aca="false">IF(A446&lt;&gt;"",B445+C445,"")</f>
        <v/>
      </c>
      <c r="E445" s="199" t="str">
        <f aca="false">IF(A446="","",IF(AND(AT445=1,$H$3=1),D445*AO445,IF($H$3=2,D445,"N/A")))</f>
        <v/>
      </c>
      <c r="F445" s="199" t="str">
        <f aca="false">IF(A446="","",E445*AS445)</f>
        <v/>
      </c>
      <c r="G445" s="200" t="str">
        <f aca="false">IF($A446="","",VLOOKUP($A445,Table,MATCH(G$4,Curves,0)))</f>
        <v/>
      </c>
      <c r="H445" s="201" t="str">
        <f aca="false">IF(A446="","",G445)</f>
        <v/>
      </c>
      <c r="J445" s="200" t="str">
        <f aca="false">IF($A446="","",VLOOKUP($A445,Table,MATCH(J$4,Curves,0)))</f>
        <v/>
      </c>
      <c r="K445" s="201" t="str">
        <f aca="false">IF(A446="","",J445)</f>
        <v/>
      </c>
      <c r="L445" s="185" t="n">
        <v>0</v>
      </c>
      <c r="M445" s="201" t="str">
        <f aca="false">IF(A446="","",L445)</f>
        <v/>
      </c>
      <c r="O445" s="200" t="str">
        <f aca="false">IF(A446="","",L445+J445+G445)</f>
        <v/>
      </c>
      <c r="P445" s="200" t="str">
        <f aca="false">IF(A446="","",M445+K445+H445)</f>
        <v/>
      </c>
      <c r="R445" s="200" t="str">
        <f aca="false">IF($A446="","",VLOOKUP($A445,Table,MATCH(R$4,Curves,0)))</f>
        <v/>
      </c>
      <c r="S445" s="201" t="str">
        <f aca="false">IF(A446="","",R445)</f>
        <v/>
      </c>
      <c r="T445" s="185" t="n">
        <v>0</v>
      </c>
      <c r="U445" s="201" t="str">
        <f aca="false">IF(A446="","",T445)</f>
        <v/>
      </c>
      <c r="V445" s="205"/>
      <c r="W445" s="202" t="str">
        <f aca="false">IF($A446="","",(T445+R445+G445+V445))</f>
        <v/>
      </c>
      <c r="X445" s="202" t="str">
        <f aca="false">IF($A446="","",(U445+S445+H445+V445))</f>
        <v/>
      </c>
      <c r="Y445" s="202"/>
      <c r="Z445" s="185"/>
      <c r="AJ445" s="77"/>
      <c r="AK445" s="77"/>
      <c r="AL445" s="77"/>
      <c r="AM445" s="77"/>
      <c r="AN445" s="77"/>
      <c r="AO445" s="137" t="str">
        <f aca="false">IF(A446="","",A446-A445)</f>
        <v/>
      </c>
      <c r="AP445" s="212" t="str">
        <f aca="false">IF(A446="","",CHOOSE(F$3,A446+24,A445))</f>
        <v/>
      </c>
      <c r="AQ445" s="209" t="str">
        <f aca="false">IF(A446="","",AP445-$E$1)</f>
        <v/>
      </c>
      <c r="AR445" s="185" t="n">
        <f aca="false">'ANR OK vs ML7'!AR445</f>
        <v>0.1</v>
      </c>
      <c r="AS445" s="213" t="str">
        <f aca="false">IF(A446="","",1/(1+CHOOSE(F$3,(AR446+($I$3/10000))/2,(AR445+($I$3/10000))/2))^(2*AQ445/365.25))</f>
        <v/>
      </c>
      <c r="AT445" s="137" t="str">
        <f aca="false">IF(A446="","",IF(AND(mthbeg&lt;=A445,mthend&gt;=A445),1,0))</f>
        <v/>
      </c>
      <c r="AU445" s="137" t="str">
        <f aca="false">IF(A446="","",AO445*AT445)</f>
        <v/>
      </c>
      <c r="AW445" s="195" t="str">
        <f aca="false">IF($A446="","",AL445*$E445)</f>
        <v/>
      </c>
      <c r="AX445" s="195" t="str">
        <f aca="false">IF($A446="","",AM445*$E445)</f>
        <v/>
      </c>
      <c r="AY445" s="195" t="str">
        <f aca="false">IF($A446="","",AN445*$E445)</f>
        <v/>
      </c>
      <c r="BA445" s="195" t="str">
        <f aca="false">IF($A446="","",F445*Summary!$Q$13)</f>
        <v/>
      </c>
    </row>
    <row r="446" customFormat="false" ht="12.75" hidden="false" customHeight="false" outlineLevel="0" collapsed="false">
      <c r="A446" s="196" t="str">
        <f aca="false">IF(A445&lt;mthend,EDATE(A445,1),"")</f>
        <v/>
      </c>
      <c r="B446" s="197" t="str">
        <f aca="false">IF(A446&lt;mthend,B445,"")</f>
        <v/>
      </c>
      <c r="D446" s="197" t="str">
        <f aca="false">IF(A447&lt;&gt;"",B446+C446,"")</f>
        <v/>
      </c>
      <c r="E446" s="199" t="str">
        <f aca="false">IF(A447="","",IF(AND(AT446=1,$H$3=1),D446*AO446,IF($H$3=2,D446,"N/A")))</f>
        <v/>
      </c>
      <c r="F446" s="199" t="str">
        <f aca="false">IF(A447="","",E446*AS446)</f>
        <v/>
      </c>
      <c r="G446" s="200" t="str">
        <f aca="false">IF($A447="","",VLOOKUP($A446,Table,MATCH(G$4,Curves,0)))</f>
        <v/>
      </c>
      <c r="H446" s="201" t="str">
        <f aca="false">IF(A447="","",G446)</f>
        <v/>
      </c>
      <c r="J446" s="200" t="str">
        <f aca="false">IF($A447="","",VLOOKUP($A446,Table,MATCH(J$4,Curves,0)))</f>
        <v/>
      </c>
      <c r="K446" s="201" t="str">
        <f aca="false">IF(A447="","",J446)</f>
        <v/>
      </c>
      <c r="L446" s="185" t="n">
        <v>0</v>
      </c>
      <c r="M446" s="201" t="str">
        <f aca="false">IF(A447="","",L446)</f>
        <v/>
      </c>
      <c r="O446" s="200" t="str">
        <f aca="false">IF(A447="","",L446+J446+G446)</f>
        <v/>
      </c>
      <c r="P446" s="200" t="str">
        <f aca="false">IF(A447="","",M446+K446+H446)</f>
        <v/>
      </c>
      <c r="R446" s="200" t="str">
        <f aca="false">IF($A447="","",VLOOKUP($A446,Table,MATCH(R$4,Curves,0)))</f>
        <v/>
      </c>
      <c r="S446" s="201" t="str">
        <f aca="false">IF(A447="","",R446)</f>
        <v/>
      </c>
      <c r="T446" s="185" t="n">
        <v>0</v>
      </c>
      <c r="U446" s="201" t="str">
        <f aca="false">IF(A447="","",T446)</f>
        <v/>
      </c>
      <c r="V446" s="205"/>
      <c r="W446" s="202" t="str">
        <f aca="false">IF($A447="","",(T446+R446+G446+V446))</f>
        <v/>
      </c>
      <c r="X446" s="202" t="str">
        <f aca="false">IF($A447="","",(U446+S446+H446+V446))</f>
        <v/>
      </c>
      <c r="Y446" s="202"/>
      <c r="Z446" s="185"/>
      <c r="AJ446" s="77"/>
      <c r="AK446" s="77"/>
      <c r="AL446" s="77"/>
      <c r="AM446" s="77"/>
      <c r="AN446" s="77"/>
      <c r="AO446" s="137" t="str">
        <f aca="false">IF(A447="","",A447-A446)</f>
        <v/>
      </c>
      <c r="AP446" s="212" t="str">
        <f aca="false">IF(A447="","",CHOOSE(F$3,A447+24,A446))</f>
        <v/>
      </c>
      <c r="AQ446" s="209" t="str">
        <f aca="false">IF(A447="","",AP446-$E$1)</f>
        <v/>
      </c>
      <c r="AR446" s="185" t="n">
        <f aca="false">'ANR OK vs ML7'!AR446</f>
        <v>0.1</v>
      </c>
      <c r="AS446" s="213" t="str">
        <f aca="false">IF(A447="","",1/(1+CHOOSE(F$3,(AR447+($I$3/10000))/2,(AR446+($I$3/10000))/2))^(2*AQ446/365.25))</f>
        <v/>
      </c>
      <c r="AT446" s="137" t="str">
        <f aca="false">IF(A447="","",IF(AND(mthbeg&lt;=A446,mthend&gt;=A446),1,0))</f>
        <v/>
      </c>
      <c r="AU446" s="137" t="str">
        <f aca="false">IF(A447="","",AO446*AT446)</f>
        <v/>
      </c>
      <c r="AW446" s="195" t="str">
        <f aca="false">IF($A447="","",AL446*$E446)</f>
        <v/>
      </c>
      <c r="AX446" s="195" t="str">
        <f aca="false">IF($A447="","",AM446*$E446)</f>
        <v/>
      </c>
      <c r="AY446" s="195" t="str">
        <f aca="false">IF($A447="","",AN446*$E446)</f>
        <v/>
      </c>
      <c r="BA446" s="195" t="str">
        <f aca="false">IF($A447="","",F446*Summary!$Q$13)</f>
        <v/>
      </c>
    </row>
    <row r="447" customFormat="false" ht="12.75" hidden="false" customHeight="false" outlineLevel="0" collapsed="false">
      <c r="A447" s="196" t="str">
        <f aca="false">IF(A446&lt;mthend,EDATE(A446,1),"")</f>
        <v/>
      </c>
      <c r="B447" s="197" t="str">
        <f aca="false">IF(A447&lt;mthend,B446,"")</f>
        <v/>
      </c>
      <c r="D447" s="197" t="str">
        <f aca="false">IF(A448&lt;&gt;"",B447+C447,"")</f>
        <v/>
      </c>
      <c r="E447" s="199" t="str">
        <f aca="false">IF(A448="","",IF(AND(AT447=1,$H$3=1),D447*AO447,IF($H$3=2,D447,"N/A")))</f>
        <v/>
      </c>
      <c r="F447" s="199" t="str">
        <f aca="false">IF(A448="","",E447*AS447)</f>
        <v/>
      </c>
      <c r="G447" s="200" t="str">
        <f aca="false">IF($A448="","",VLOOKUP($A447,Table,MATCH(G$4,Curves,0)))</f>
        <v/>
      </c>
      <c r="H447" s="201" t="str">
        <f aca="false">IF(A448="","",G447)</f>
        <v/>
      </c>
      <c r="J447" s="200" t="str">
        <f aca="false">IF($A448="","",VLOOKUP($A447,Table,MATCH(J$4,Curves,0)))</f>
        <v/>
      </c>
      <c r="K447" s="201" t="str">
        <f aca="false">IF(A448="","",J447)</f>
        <v/>
      </c>
      <c r="L447" s="185" t="n">
        <v>0</v>
      </c>
      <c r="M447" s="201" t="str">
        <f aca="false">IF(A448="","",L447)</f>
        <v/>
      </c>
      <c r="O447" s="200" t="str">
        <f aca="false">IF(A448="","",L447+J447+G447)</f>
        <v/>
      </c>
      <c r="P447" s="200" t="str">
        <f aca="false">IF(A448="","",M447+K447+H447)</f>
        <v/>
      </c>
      <c r="R447" s="200" t="str">
        <f aca="false">IF($A448="","",VLOOKUP($A447,Table,MATCH(R$4,Curves,0)))</f>
        <v/>
      </c>
      <c r="S447" s="201" t="str">
        <f aca="false">IF(A448="","",R447)</f>
        <v/>
      </c>
      <c r="T447" s="185" t="n">
        <v>0</v>
      </c>
      <c r="U447" s="201" t="str">
        <f aca="false">IF(A448="","",T447)</f>
        <v/>
      </c>
      <c r="V447" s="205"/>
      <c r="W447" s="202" t="str">
        <f aca="false">IF($A448="","",(T447+R447+G447+V447))</f>
        <v/>
      </c>
      <c r="X447" s="202" t="str">
        <f aca="false">IF($A448="","",(U447+S447+H447+V447))</f>
        <v/>
      </c>
      <c r="Y447" s="202"/>
      <c r="Z447" s="185"/>
      <c r="AJ447" s="77"/>
      <c r="AK447" s="77"/>
      <c r="AL447" s="77"/>
      <c r="AM447" s="77"/>
      <c r="AN447" s="77"/>
      <c r="AO447" s="137" t="str">
        <f aca="false">IF(A448="","",A448-A447)</f>
        <v/>
      </c>
      <c r="AP447" s="212" t="str">
        <f aca="false">IF(A448="","",CHOOSE(F$3,A448+24,A447))</f>
        <v/>
      </c>
      <c r="AQ447" s="209" t="str">
        <f aca="false">IF(A448="","",AP447-$E$1)</f>
        <v/>
      </c>
      <c r="AR447" s="185" t="n">
        <f aca="false">'ANR OK vs ML7'!AR447</f>
        <v>0.1</v>
      </c>
      <c r="AS447" s="213" t="str">
        <f aca="false">IF(A448="","",1/(1+CHOOSE(F$3,(AR448+($I$3/10000))/2,(AR447+($I$3/10000))/2))^(2*AQ447/365.25))</f>
        <v/>
      </c>
      <c r="AT447" s="137" t="str">
        <f aca="false">IF(A448="","",IF(AND(mthbeg&lt;=A447,mthend&gt;=A447),1,0))</f>
        <v/>
      </c>
      <c r="AU447" s="137" t="str">
        <f aca="false">IF(A448="","",AO447*AT447)</f>
        <v/>
      </c>
      <c r="AW447" s="195" t="str">
        <f aca="false">IF($A448="","",AL447*$E447)</f>
        <v/>
      </c>
      <c r="AX447" s="195" t="str">
        <f aca="false">IF($A448="","",AM447*$E447)</f>
        <v/>
      </c>
      <c r="AY447" s="195" t="str">
        <f aca="false">IF($A448="","",AN447*$E447)</f>
        <v/>
      </c>
      <c r="BA447" s="195" t="str">
        <f aca="false">IF($A448="","",F447*Summary!$Q$13)</f>
        <v/>
      </c>
    </row>
    <row r="448" customFormat="false" ht="12.75" hidden="false" customHeight="false" outlineLevel="0" collapsed="false">
      <c r="A448" s="196" t="str">
        <f aca="false">IF(A447&lt;mthend,EDATE(A447,1),"")</f>
        <v/>
      </c>
      <c r="B448" s="197" t="str">
        <f aca="false">IF(A448&lt;mthend,B447,"")</f>
        <v/>
      </c>
      <c r="D448" s="197" t="str">
        <f aca="false">IF(A449&lt;&gt;"",B448+C448,"")</f>
        <v/>
      </c>
      <c r="E448" s="199" t="str">
        <f aca="false">IF(A449="","",IF(AND(AT448=1,$H$3=1),D448*AO448,IF($H$3=2,D448,"N/A")))</f>
        <v/>
      </c>
      <c r="F448" s="199" t="str">
        <f aca="false">IF(A449="","",E448*AS448)</f>
        <v/>
      </c>
      <c r="G448" s="200" t="str">
        <f aca="false">IF($A449="","",VLOOKUP($A448,Table,MATCH(G$4,Curves,0)))</f>
        <v/>
      </c>
      <c r="H448" s="201" t="str">
        <f aca="false">IF(A449="","",G448)</f>
        <v/>
      </c>
      <c r="J448" s="200" t="str">
        <f aca="false">IF($A449="","",VLOOKUP($A448,Table,MATCH(J$4,Curves,0)))</f>
        <v/>
      </c>
      <c r="K448" s="201" t="str">
        <f aca="false">IF(A449="","",J448)</f>
        <v/>
      </c>
      <c r="L448" s="185" t="n">
        <v>0</v>
      </c>
      <c r="M448" s="201" t="str">
        <f aca="false">IF(A449="","",L448)</f>
        <v/>
      </c>
      <c r="O448" s="200" t="str">
        <f aca="false">IF(A449="","",L448+J448+G448)</f>
        <v/>
      </c>
      <c r="P448" s="200" t="str">
        <f aca="false">IF(A449="","",M448+K448+H448)</f>
        <v/>
      </c>
      <c r="R448" s="200" t="str">
        <f aca="false">IF($A449="","",VLOOKUP($A448,Table,MATCH(R$4,Curves,0)))</f>
        <v/>
      </c>
      <c r="S448" s="201" t="str">
        <f aca="false">IF(A449="","",R448)</f>
        <v/>
      </c>
      <c r="T448" s="185" t="n">
        <v>0</v>
      </c>
      <c r="U448" s="201" t="str">
        <f aca="false">IF(A449="","",T448)</f>
        <v/>
      </c>
      <c r="V448" s="205"/>
      <c r="W448" s="202" t="str">
        <f aca="false">IF($A449="","",(T448+R448+G448+V448))</f>
        <v/>
      </c>
      <c r="X448" s="202" t="str">
        <f aca="false">IF($A449="","",(U448+S448+H448+V448))</f>
        <v/>
      </c>
      <c r="Y448" s="202"/>
      <c r="Z448" s="185"/>
      <c r="AJ448" s="77"/>
      <c r="AK448" s="77"/>
      <c r="AL448" s="77"/>
      <c r="AM448" s="77"/>
      <c r="AN448" s="77"/>
      <c r="AO448" s="137" t="str">
        <f aca="false">IF(A449="","",A449-A448)</f>
        <v/>
      </c>
      <c r="AP448" s="212" t="str">
        <f aca="false">IF(A449="","",CHOOSE(F$3,A449+24,A448))</f>
        <v/>
      </c>
      <c r="AQ448" s="209" t="str">
        <f aca="false">IF(A449="","",AP448-$E$1)</f>
        <v/>
      </c>
      <c r="AR448" s="185" t="n">
        <f aca="false">'ANR OK vs ML7'!AR448</f>
        <v>0.1</v>
      </c>
      <c r="AS448" s="213" t="str">
        <f aca="false">IF(A449="","",1/(1+CHOOSE(F$3,(AR449+($I$3/10000))/2,(AR448+($I$3/10000))/2))^(2*AQ448/365.25))</f>
        <v/>
      </c>
      <c r="AT448" s="137" t="str">
        <f aca="false">IF(A449="","",IF(AND(mthbeg&lt;=A448,mthend&gt;=A448),1,0))</f>
        <v/>
      </c>
      <c r="AU448" s="137" t="str">
        <f aca="false">IF(A449="","",AO448*AT448)</f>
        <v/>
      </c>
      <c r="AW448" s="195" t="str">
        <f aca="false">IF($A449="","",AL448*$E448)</f>
        <v/>
      </c>
      <c r="AX448" s="195" t="str">
        <f aca="false">IF($A449="","",AM448*$E448)</f>
        <v/>
      </c>
      <c r="AY448" s="195" t="str">
        <f aca="false">IF($A449="","",AN448*$E448)</f>
        <v/>
      </c>
      <c r="BA448" s="195" t="str">
        <f aca="false">IF($A449="","",F448*Summary!$Q$13)</f>
        <v/>
      </c>
    </row>
    <row r="449" customFormat="false" ht="12.75" hidden="false" customHeight="false" outlineLevel="0" collapsed="false">
      <c r="A449" s="196" t="str">
        <f aca="false">IF(A448&lt;mthend,EDATE(A448,1),"")</f>
        <v/>
      </c>
      <c r="B449" s="197" t="str">
        <f aca="false">IF(A449&lt;mthend,B448,"")</f>
        <v/>
      </c>
      <c r="D449" s="197" t="str">
        <f aca="false">IF(A450&lt;&gt;"",B449+C449,"")</f>
        <v/>
      </c>
      <c r="E449" s="199" t="str">
        <f aca="false">IF(A450="","",IF(AND(AT449=1,$H$3=1),D449*AO449,IF($H$3=2,D449,"N/A")))</f>
        <v/>
      </c>
      <c r="F449" s="199" t="str">
        <f aca="false">IF(A450="","",E449*AS449)</f>
        <v/>
      </c>
      <c r="G449" s="200" t="str">
        <f aca="false">IF($A450="","",VLOOKUP($A449,Table,MATCH(G$4,Curves,0)))</f>
        <v/>
      </c>
      <c r="H449" s="201" t="str">
        <f aca="false">IF(A450="","",G449)</f>
        <v/>
      </c>
      <c r="J449" s="200" t="str">
        <f aca="false">IF($A450="","",VLOOKUP($A449,Table,MATCH(J$4,Curves,0)))</f>
        <v/>
      </c>
      <c r="K449" s="201" t="str">
        <f aca="false">IF(A450="","",J449)</f>
        <v/>
      </c>
      <c r="L449" s="185" t="n">
        <v>0</v>
      </c>
      <c r="M449" s="201" t="str">
        <f aca="false">IF(A450="","",L449)</f>
        <v/>
      </c>
      <c r="O449" s="200" t="str">
        <f aca="false">IF(A450="","",L449+J449+G449)</f>
        <v/>
      </c>
      <c r="P449" s="200" t="str">
        <f aca="false">IF(A450="","",M449+K449+H449)</f>
        <v/>
      </c>
      <c r="R449" s="200" t="str">
        <f aca="false">IF($A450="","",VLOOKUP($A449,Table,MATCH(R$4,Curves,0)))</f>
        <v/>
      </c>
      <c r="S449" s="201" t="str">
        <f aca="false">IF(A450="","",R449)</f>
        <v/>
      </c>
      <c r="T449" s="185" t="n">
        <v>0</v>
      </c>
      <c r="U449" s="201" t="str">
        <f aca="false">IF(A450="","",T449)</f>
        <v/>
      </c>
      <c r="V449" s="205"/>
      <c r="W449" s="202" t="str">
        <f aca="false">IF($A450="","",(T449+R449+G449+V449))</f>
        <v/>
      </c>
      <c r="X449" s="202" t="str">
        <f aca="false">IF($A450="","",(U449+S449+H449+V449))</f>
        <v/>
      </c>
      <c r="Y449" s="202"/>
      <c r="Z449" s="185"/>
      <c r="AJ449" s="77"/>
      <c r="AK449" s="77"/>
      <c r="AL449" s="77"/>
      <c r="AM449" s="77"/>
      <c r="AN449" s="77"/>
      <c r="AO449" s="137" t="str">
        <f aca="false">IF(A450="","",A450-A449)</f>
        <v/>
      </c>
      <c r="AP449" s="212" t="str">
        <f aca="false">IF(A450="","",CHOOSE(F$3,A450+24,A449))</f>
        <v/>
      </c>
      <c r="AQ449" s="209" t="str">
        <f aca="false">IF(A450="","",AP449-$E$1)</f>
        <v/>
      </c>
      <c r="AR449" s="185" t="n">
        <f aca="false">'ANR OK vs ML7'!AR449</f>
        <v>0.1</v>
      </c>
      <c r="AS449" s="213" t="str">
        <f aca="false">IF(A450="","",1/(1+CHOOSE(F$3,(AR450+($I$3/10000))/2,(AR449+($I$3/10000))/2))^(2*AQ449/365.25))</f>
        <v/>
      </c>
      <c r="AT449" s="137" t="str">
        <f aca="false">IF(A450="","",IF(AND(mthbeg&lt;=A449,mthend&gt;=A449),1,0))</f>
        <v/>
      </c>
      <c r="AU449" s="137" t="str">
        <f aca="false">IF(A450="","",AO449*AT449)</f>
        <v/>
      </c>
      <c r="AW449" s="195" t="str">
        <f aca="false">IF($A450="","",AL449*$E449)</f>
        <v/>
      </c>
      <c r="AX449" s="195" t="str">
        <f aca="false">IF($A450="","",AM449*$E449)</f>
        <v/>
      </c>
      <c r="AY449" s="195" t="str">
        <f aca="false">IF($A450="","",AN449*$E449)</f>
        <v/>
      </c>
      <c r="BA449" s="195" t="str">
        <f aca="false">IF($A450="","",F449*Summary!$Q$13)</f>
        <v/>
      </c>
    </row>
    <row r="450" customFormat="false" ht="12.75" hidden="false" customHeight="false" outlineLevel="0" collapsed="false">
      <c r="A450" s="196" t="str">
        <f aca="false">IF(A449&lt;mthend,EDATE(A449,1),"")</f>
        <v/>
      </c>
      <c r="B450" s="197" t="str">
        <f aca="false">IF(A450&lt;mthend,B449,"")</f>
        <v/>
      </c>
      <c r="D450" s="197" t="str">
        <f aca="false">IF(A451&lt;&gt;"",B450+C450,"")</f>
        <v/>
      </c>
      <c r="E450" s="199" t="str">
        <f aca="false">IF(A451="","",IF(AND(AT450=1,$H$3=1),D450*AO450,IF($H$3=2,D450,"N/A")))</f>
        <v/>
      </c>
      <c r="F450" s="199" t="str">
        <f aca="false">IF(A451="","",E450*AS450)</f>
        <v/>
      </c>
      <c r="G450" s="200" t="str">
        <f aca="false">IF($A451="","",VLOOKUP($A450,Table,MATCH(G$4,Curves,0)))</f>
        <v/>
      </c>
      <c r="H450" s="201" t="str">
        <f aca="false">IF(A451="","",G450)</f>
        <v/>
      </c>
      <c r="J450" s="200" t="str">
        <f aca="false">IF($A451="","",VLOOKUP($A450,Table,MATCH(J$4,Curves,0)))</f>
        <v/>
      </c>
      <c r="K450" s="201" t="str">
        <f aca="false">IF(A451="","",J450)</f>
        <v/>
      </c>
      <c r="L450" s="185" t="n">
        <v>0</v>
      </c>
      <c r="M450" s="201" t="str">
        <f aca="false">IF(A451="","",L450)</f>
        <v/>
      </c>
      <c r="O450" s="200" t="str">
        <f aca="false">IF(A451="","",L450+J450+G450)</f>
        <v/>
      </c>
      <c r="P450" s="200" t="str">
        <f aca="false">IF(A451="","",M450+K450+H450)</f>
        <v/>
      </c>
      <c r="R450" s="200" t="str">
        <f aca="false">IF($A451="","",VLOOKUP($A450,Table,MATCH(R$4,Curves,0)))</f>
        <v/>
      </c>
      <c r="S450" s="201" t="str">
        <f aca="false">IF(A451="","",R450)</f>
        <v/>
      </c>
      <c r="T450" s="185" t="n">
        <v>0</v>
      </c>
      <c r="U450" s="201" t="str">
        <f aca="false">IF(A451="","",T450)</f>
        <v/>
      </c>
      <c r="V450" s="205"/>
      <c r="W450" s="202" t="str">
        <f aca="false">IF($A451="","",(T450+R450+G450+V450))</f>
        <v/>
      </c>
      <c r="X450" s="202" t="str">
        <f aca="false">IF($A451="","",(U450+S450+H450+V450))</f>
        <v/>
      </c>
      <c r="Y450" s="202"/>
      <c r="Z450" s="185"/>
      <c r="AJ450" s="77"/>
      <c r="AK450" s="77"/>
      <c r="AL450" s="77"/>
      <c r="AM450" s="77"/>
      <c r="AN450" s="77"/>
      <c r="AO450" s="137" t="str">
        <f aca="false">IF(A451="","",A451-A450)</f>
        <v/>
      </c>
      <c r="AP450" s="212" t="str">
        <f aca="false">IF(A451="","",CHOOSE(F$3,A451+24,A450))</f>
        <v/>
      </c>
      <c r="AQ450" s="209" t="str">
        <f aca="false">IF(A451="","",AP450-$E$1)</f>
        <v/>
      </c>
      <c r="AR450" s="185" t="n">
        <f aca="false">'ANR OK vs ML7'!AR450</f>
        <v>0.1</v>
      </c>
      <c r="AS450" s="213" t="str">
        <f aca="false">IF(A451="","",1/(1+CHOOSE(F$3,(AR451+($I$3/10000))/2,(AR450+($I$3/10000))/2))^(2*AQ450/365.25))</f>
        <v/>
      </c>
      <c r="AT450" s="137" t="str">
        <f aca="false">IF(A451="","",IF(AND(mthbeg&lt;=A450,mthend&gt;=A450),1,0))</f>
        <v/>
      </c>
      <c r="AU450" s="137" t="str">
        <f aca="false">IF(A451="","",AO450*AT450)</f>
        <v/>
      </c>
      <c r="AW450" s="195" t="str">
        <f aca="false">IF($A451="","",AL450*$E450)</f>
        <v/>
      </c>
      <c r="AX450" s="195" t="str">
        <f aca="false">IF($A451="","",AM450*$E450)</f>
        <v/>
      </c>
      <c r="AY450" s="195" t="str">
        <f aca="false">IF($A451="","",AN450*$E450)</f>
        <v/>
      </c>
      <c r="BA450" s="195" t="str">
        <f aca="false">IF($A451="","",F450*Summary!$Q$13)</f>
        <v/>
      </c>
    </row>
    <row r="451" customFormat="false" ht="12.75" hidden="false" customHeight="false" outlineLevel="0" collapsed="false">
      <c r="A451" s="196" t="str">
        <f aca="false">IF(A450&lt;mthend,EDATE(A450,1),"")</f>
        <v/>
      </c>
      <c r="B451" s="197" t="str">
        <f aca="false">IF(A451&lt;mthend,B450,"")</f>
        <v/>
      </c>
      <c r="D451" s="197" t="str">
        <f aca="false">IF(A452&lt;&gt;"",B451+C451,"")</f>
        <v/>
      </c>
      <c r="E451" s="199" t="str">
        <f aca="false">IF(A452="","",IF(AND(AT451=1,$H$3=1),D451*AO451,IF($H$3=2,D451,"N/A")))</f>
        <v/>
      </c>
      <c r="F451" s="199" t="str">
        <f aca="false">IF(A452="","",E451*AS451)</f>
        <v/>
      </c>
      <c r="G451" s="200" t="str">
        <f aca="false">IF($A452="","",VLOOKUP($A451,Table,MATCH(G$4,Curves,0)))</f>
        <v/>
      </c>
      <c r="H451" s="201" t="str">
        <f aca="false">IF(A452="","",G451)</f>
        <v/>
      </c>
      <c r="J451" s="200" t="str">
        <f aca="false">IF($A452="","",VLOOKUP($A451,Table,MATCH(J$4,Curves,0)))</f>
        <v/>
      </c>
      <c r="K451" s="201" t="str">
        <f aca="false">IF(A452="","",J451)</f>
        <v/>
      </c>
      <c r="L451" s="185" t="n">
        <v>0</v>
      </c>
      <c r="M451" s="201" t="str">
        <f aca="false">IF(A452="","",L451)</f>
        <v/>
      </c>
      <c r="O451" s="200" t="str">
        <f aca="false">IF(A452="","",L451+J451+G451)</f>
        <v/>
      </c>
      <c r="P451" s="200" t="str">
        <f aca="false">IF(A452="","",M451+K451+H451)</f>
        <v/>
      </c>
      <c r="R451" s="200" t="str">
        <f aca="false">IF($A452="","",VLOOKUP($A451,Table,MATCH(R$4,Curves,0)))</f>
        <v/>
      </c>
      <c r="S451" s="201" t="str">
        <f aca="false">IF(A452="","",R451)</f>
        <v/>
      </c>
      <c r="T451" s="185" t="n">
        <v>0</v>
      </c>
      <c r="U451" s="201" t="str">
        <f aca="false">IF(A452="","",T451)</f>
        <v/>
      </c>
      <c r="V451" s="205"/>
      <c r="W451" s="202" t="str">
        <f aca="false">IF($A452="","",(T451+R451+G451+V451))</f>
        <v/>
      </c>
      <c r="X451" s="202" t="str">
        <f aca="false">IF($A452="","",(U451+S451+H451+V451))</f>
        <v/>
      </c>
      <c r="Y451" s="202"/>
      <c r="Z451" s="185"/>
      <c r="AJ451" s="77"/>
      <c r="AK451" s="77"/>
      <c r="AL451" s="77"/>
      <c r="AM451" s="77"/>
      <c r="AN451" s="77"/>
      <c r="AO451" s="137" t="str">
        <f aca="false">IF(A452="","",A452-A451)</f>
        <v/>
      </c>
      <c r="AP451" s="212" t="str">
        <f aca="false">IF(A452="","",CHOOSE(F$3,A452+24,A451))</f>
        <v/>
      </c>
      <c r="AQ451" s="209" t="str">
        <f aca="false">IF(A452="","",AP451-$E$1)</f>
        <v/>
      </c>
      <c r="AR451" s="185" t="n">
        <f aca="false">'ANR OK vs ML7'!AR451</f>
        <v>0.1</v>
      </c>
      <c r="AS451" s="213" t="str">
        <f aca="false">IF(A452="","",1/(1+CHOOSE(F$3,(AR452+($I$3/10000))/2,(AR451+($I$3/10000))/2))^(2*AQ451/365.25))</f>
        <v/>
      </c>
      <c r="AT451" s="137" t="str">
        <f aca="false">IF(A452="","",IF(AND(mthbeg&lt;=A451,mthend&gt;=A451),1,0))</f>
        <v/>
      </c>
      <c r="AU451" s="137" t="str">
        <f aca="false">IF(A452="","",AO451*AT451)</f>
        <v/>
      </c>
      <c r="AW451" s="195" t="str">
        <f aca="false">IF($A452="","",AL451*$E451)</f>
        <v/>
      </c>
      <c r="AX451" s="195" t="str">
        <f aca="false">IF($A452="","",AM451*$E451)</f>
        <v/>
      </c>
      <c r="AY451" s="195" t="str">
        <f aca="false">IF($A452="","",AN451*$E451)</f>
        <v/>
      </c>
      <c r="BA451" s="195" t="str">
        <f aca="false">IF($A452="","",F451*Summary!$Q$13)</f>
        <v/>
      </c>
    </row>
    <row r="452" customFormat="false" ht="12.75" hidden="false" customHeight="false" outlineLevel="0" collapsed="false">
      <c r="A452" s="196" t="str">
        <f aca="false">IF(A451&lt;mthend,EDATE(A451,1),"")</f>
        <v/>
      </c>
      <c r="B452" s="197" t="str">
        <f aca="false">IF(A452&lt;mthend,B451,"")</f>
        <v/>
      </c>
      <c r="D452" s="197" t="str">
        <f aca="false">IF(A453&lt;&gt;"",B452+C452,"")</f>
        <v/>
      </c>
      <c r="E452" s="199" t="str">
        <f aca="false">IF(A453="","",IF(AND(AT452=1,$H$3=1),D452*AO452,IF($H$3=2,D452,"N/A")))</f>
        <v/>
      </c>
      <c r="F452" s="199" t="str">
        <f aca="false">IF(A453="","",E452*AS452)</f>
        <v/>
      </c>
      <c r="G452" s="200" t="str">
        <f aca="false">IF($A453="","",VLOOKUP($A452,Table,MATCH(G$4,Curves,0)))</f>
        <v/>
      </c>
      <c r="H452" s="201" t="str">
        <f aca="false">IF(A453="","",G452)</f>
        <v/>
      </c>
      <c r="J452" s="200" t="str">
        <f aca="false">IF($A453="","",VLOOKUP($A452,Table,MATCH(J$4,Curves,0)))</f>
        <v/>
      </c>
      <c r="K452" s="201" t="str">
        <f aca="false">IF(A453="","",J452)</f>
        <v/>
      </c>
      <c r="L452" s="185" t="n">
        <v>0</v>
      </c>
      <c r="M452" s="201" t="str">
        <f aca="false">IF(A453="","",L452)</f>
        <v/>
      </c>
      <c r="O452" s="200" t="str">
        <f aca="false">IF(A453="","",L452+J452+G452)</f>
        <v/>
      </c>
      <c r="P452" s="200" t="str">
        <f aca="false">IF(A453="","",M452+K452+H452)</f>
        <v/>
      </c>
      <c r="R452" s="200" t="str">
        <f aca="false">IF($A453="","",VLOOKUP($A452,Table,MATCH(R$4,Curves,0)))</f>
        <v/>
      </c>
      <c r="S452" s="201" t="str">
        <f aca="false">IF(A453="","",R452)</f>
        <v/>
      </c>
      <c r="T452" s="185" t="n">
        <v>0</v>
      </c>
      <c r="U452" s="201" t="str">
        <f aca="false">IF(A453="","",T452)</f>
        <v/>
      </c>
      <c r="V452" s="205"/>
      <c r="W452" s="202" t="str">
        <f aca="false">IF($A453="","",(T452+R452+G452+V452))</f>
        <v/>
      </c>
      <c r="X452" s="202" t="str">
        <f aca="false">IF($A453="","",(U452+S452+H452+V452))</f>
        <v/>
      </c>
      <c r="Y452" s="202"/>
      <c r="Z452" s="185"/>
      <c r="AJ452" s="77"/>
      <c r="AK452" s="77"/>
      <c r="AL452" s="77"/>
      <c r="AM452" s="77"/>
      <c r="AN452" s="77"/>
      <c r="AO452" s="137" t="str">
        <f aca="false">IF(A453="","",A453-A452)</f>
        <v/>
      </c>
      <c r="AP452" s="212" t="str">
        <f aca="false">IF(A453="","",CHOOSE(F$3,A453+24,A452))</f>
        <v/>
      </c>
      <c r="AQ452" s="209" t="str">
        <f aca="false">IF(A453="","",AP452-$E$1)</f>
        <v/>
      </c>
      <c r="AR452" s="185" t="n">
        <f aca="false">'ANR OK vs ML7'!AR452</f>
        <v>0.1</v>
      </c>
      <c r="AS452" s="213" t="str">
        <f aca="false">IF(A453="","",1/(1+CHOOSE(F$3,(AR453+($I$3/10000))/2,(AR452+($I$3/10000))/2))^(2*AQ452/365.25))</f>
        <v/>
      </c>
      <c r="AT452" s="137" t="str">
        <f aca="false">IF(A453="","",IF(AND(mthbeg&lt;=A452,mthend&gt;=A452),1,0))</f>
        <v/>
      </c>
      <c r="AU452" s="137" t="str">
        <f aca="false">IF(A453="","",AO452*AT452)</f>
        <v/>
      </c>
      <c r="AW452" s="195" t="str">
        <f aca="false">IF($A453="","",AL452*$E452)</f>
        <v/>
      </c>
      <c r="AX452" s="195" t="str">
        <f aca="false">IF($A453="","",AM452*$E452)</f>
        <v/>
      </c>
      <c r="AY452" s="195" t="str">
        <f aca="false">IF($A453="","",AN452*$E452)</f>
        <v/>
      </c>
      <c r="BA452" s="195" t="str">
        <f aca="false">IF($A453="","",F452*Summary!$Q$13)</f>
        <v/>
      </c>
    </row>
    <row r="453" customFormat="false" ht="12.75" hidden="false" customHeight="false" outlineLevel="0" collapsed="false">
      <c r="A453" s="196" t="str">
        <f aca="false">IF(A452&lt;mthend,EDATE(A452,1),"")</f>
        <v/>
      </c>
      <c r="B453" s="197" t="str">
        <f aca="false">IF(A453&lt;mthend,B452,"")</f>
        <v/>
      </c>
      <c r="D453" s="197" t="str">
        <f aca="false">IF(A454&lt;&gt;"",B453+C453,"")</f>
        <v/>
      </c>
      <c r="E453" s="199" t="str">
        <f aca="false">IF(A454="","",IF(AND(AT453=1,$H$3=1),D453*AO453,IF($H$3=2,D453,"N/A")))</f>
        <v/>
      </c>
      <c r="F453" s="199" t="str">
        <f aca="false">IF(A454="","",E453*AS453)</f>
        <v/>
      </c>
      <c r="G453" s="200" t="str">
        <f aca="false">IF($A454="","",VLOOKUP($A453,Table,MATCH(G$4,Curves,0)))</f>
        <v/>
      </c>
      <c r="H453" s="201" t="str">
        <f aca="false">IF(A454="","",G453)</f>
        <v/>
      </c>
      <c r="J453" s="200" t="str">
        <f aca="false">IF($A454="","",VLOOKUP($A453,Table,MATCH(J$4,Curves,0)))</f>
        <v/>
      </c>
      <c r="K453" s="201" t="str">
        <f aca="false">IF(A454="","",J453)</f>
        <v/>
      </c>
      <c r="L453" s="185" t="n">
        <v>0</v>
      </c>
      <c r="M453" s="201" t="str">
        <f aca="false">IF(A454="","",L453)</f>
        <v/>
      </c>
      <c r="O453" s="200" t="str">
        <f aca="false">IF(A454="","",L453+J453+G453)</f>
        <v/>
      </c>
      <c r="P453" s="200" t="str">
        <f aca="false">IF(A454="","",M453+K453+H453)</f>
        <v/>
      </c>
      <c r="R453" s="200" t="str">
        <f aca="false">IF($A454="","",VLOOKUP($A453,Table,MATCH(R$4,Curves,0)))</f>
        <v/>
      </c>
      <c r="S453" s="201" t="str">
        <f aca="false">IF(A454="","",R453)</f>
        <v/>
      </c>
      <c r="T453" s="185" t="n">
        <v>0</v>
      </c>
      <c r="U453" s="201" t="str">
        <f aca="false">IF(A454="","",T453)</f>
        <v/>
      </c>
      <c r="V453" s="205"/>
      <c r="W453" s="202" t="str">
        <f aca="false">IF($A454="","",(T453+R453+G453+V453))</f>
        <v/>
      </c>
      <c r="X453" s="202" t="str">
        <f aca="false">IF($A454="","",(U453+S453+H453+V453))</f>
        <v/>
      </c>
      <c r="Y453" s="202"/>
      <c r="Z453" s="185"/>
      <c r="AJ453" s="77"/>
      <c r="AK453" s="77"/>
      <c r="AL453" s="77"/>
      <c r="AM453" s="77"/>
      <c r="AN453" s="77"/>
      <c r="AO453" s="137" t="str">
        <f aca="false">IF(A454="","",A454-A453)</f>
        <v/>
      </c>
      <c r="AP453" s="212" t="str">
        <f aca="false">IF(A454="","",CHOOSE(F$3,A454+24,A453))</f>
        <v/>
      </c>
      <c r="AQ453" s="209" t="str">
        <f aca="false">IF(A454="","",AP453-$E$1)</f>
        <v/>
      </c>
      <c r="AR453" s="185" t="n">
        <f aca="false">'ANR OK vs ML7'!AR453</f>
        <v>0.1</v>
      </c>
      <c r="AS453" s="213" t="str">
        <f aca="false">IF(A454="","",1/(1+CHOOSE(F$3,(AR454+($I$3/10000))/2,(AR453+($I$3/10000))/2))^(2*AQ453/365.25))</f>
        <v/>
      </c>
      <c r="AT453" s="137" t="str">
        <f aca="false">IF(A454="","",IF(AND(mthbeg&lt;=A453,mthend&gt;=A453),1,0))</f>
        <v/>
      </c>
      <c r="AU453" s="137" t="str">
        <f aca="false">IF(A454="","",AO453*AT453)</f>
        <v/>
      </c>
      <c r="AW453" s="195" t="str">
        <f aca="false">IF($A454="","",AL453*$E453)</f>
        <v/>
      </c>
      <c r="AX453" s="195" t="str">
        <f aca="false">IF($A454="","",AM453*$E453)</f>
        <v/>
      </c>
      <c r="AY453" s="195" t="str">
        <f aca="false">IF($A454="","",AN453*$E453)</f>
        <v/>
      </c>
      <c r="BA453" s="195" t="str">
        <f aca="false">IF($A454="","",F453*Summary!$Q$13)</f>
        <v/>
      </c>
    </row>
    <row r="454" customFormat="false" ht="12.75" hidden="false" customHeight="false" outlineLevel="0" collapsed="false">
      <c r="A454" s="196" t="str">
        <f aca="false">IF(A453&lt;mthend,EDATE(A453,1),"")</f>
        <v/>
      </c>
      <c r="B454" s="197" t="str">
        <f aca="false">IF(A454&lt;mthend,B453,"")</f>
        <v/>
      </c>
      <c r="D454" s="197" t="str">
        <f aca="false">IF(A455&lt;&gt;"",B454+C454,"")</f>
        <v/>
      </c>
      <c r="E454" s="199" t="str">
        <f aca="false">IF(A455="","",IF(AND(AT454=1,$H$3=1),D454*AO454,IF($H$3=2,D454,"N/A")))</f>
        <v/>
      </c>
      <c r="F454" s="199" t="str">
        <f aca="false">IF(A455="","",E454*AS454)</f>
        <v/>
      </c>
      <c r="G454" s="200" t="str">
        <f aca="false">IF($A455="","",VLOOKUP($A454,Table,MATCH(G$4,Curves,0)))</f>
        <v/>
      </c>
      <c r="H454" s="201" t="str">
        <f aca="false">IF(A455="","",G454)</f>
        <v/>
      </c>
      <c r="J454" s="200" t="str">
        <f aca="false">IF($A455="","",VLOOKUP($A454,Table,MATCH(J$4,Curves,0)))</f>
        <v/>
      </c>
      <c r="K454" s="201" t="str">
        <f aca="false">IF(A455="","",J454)</f>
        <v/>
      </c>
      <c r="L454" s="185" t="n">
        <v>0</v>
      </c>
      <c r="M454" s="201" t="str">
        <f aca="false">IF(A455="","",L454)</f>
        <v/>
      </c>
      <c r="O454" s="200" t="str">
        <f aca="false">IF(A455="","",L454+J454+G454)</f>
        <v/>
      </c>
      <c r="P454" s="200" t="str">
        <f aca="false">IF(A455="","",M454+K454+H454)</f>
        <v/>
      </c>
      <c r="R454" s="200" t="str">
        <f aca="false">IF($A455="","",VLOOKUP($A454,Table,MATCH(R$4,Curves,0)))</f>
        <v/>
      </c>
      <c r="S454" s="201" t="str">
        <f aca="false">IF(A455="","",R454)</f>
        <v/>
      </c>
      <c r="T454" s="185" t="n">
        <v>0</v>
      </c>
      <c r="U454" s="201" t="str">
        <f aca="false">IF(A455="","",T454)</f>
        <v/>
      </c>
      <c r="V454" s="205"/>
      <c r="W454" s="202" t="str">
        <f aca="false">IF($A455="","",(T454+R454+G454+V454))</f>
        <v/>
      </c>
      <c r="X454" s="202" t="str">
        <f aca="false">IF($A455="","",(U454+S454+H454+V454))</f>
        <v/>
      </c>
      <c r="Y454" s="202"/>
      <c r="Z454" s="185"/>
      <c r="AJ454" s="77"/>
      <c r="AK454" s="77"/>
      <c r="AL454" s="77"/>
      <c r="AM454" s="77"/>
      <c r="AN454" s="77"/>
      <c r="AO454" s="137" t="str">
        <f aca="false">IF(A455="","",A455-A454)</f>
        <v/>
      </c>
      <c r="AP454" s="212" t="str">
        <f aca="false">IF(A455="","",CHOOSE(F$3,A455+24,A454))</f>
        <v/>
      </c>
      <c r="AQ454" s="209" t="str">
        <f aca="false">IF(A455="","",AP454-$E$1)</f>
        <v/>
      </c>
      <c r="AR454" s="185" t="n">
        <f aca="false">'ANR OK vs ML7'!AR454</f>
        <v>0.1</v>
      </c>
      <c r="AS454" s="213" t="str">
        <f aca="false">IF(A455="","",1/(1+CHOOSE(F$3,(AR455+($I$3/10000))/2,(AR454+($I$3/10000))/2))^(2*AQ454/365.25))</f>
        <v/>
      </c>
      <c r="AT454" s="137" t="str">
        <f aca="false">IF(A455="","",IF(AND(mthbeg&lt;=A454,mthend&gt;=A454),1,0))</f>
        <v/>
      </c>
      <c r="AU454" s="137" t="str">
        <f aca="false">IF(A455="","",AO454*AT454)</f>
        <v/>
      </c>
      <c r="AW454" s="195" t="str">
        <f aca="false">IF($A455="","",AL454*$E454)</f>
        <v/>
      </c>
      <c r="AX454" s="195" t="str">
        <f aca="false">IF($A455="","",AM454*$E454)</f>
        <v/>
      </c>
      <c r="AY454" s="195" t="str">
        <f aca="false">IF($A455="","",AN454*$E454)</f>
        <v/>
      </c>
      <c r="BA454" s="195" t="str">
        <f aca="false">IF($A455="","",F454*Summary!$Q$13)</f>
        <v/>
      </c>
    </row>
    <row r="455" customFormat="false" ht="12.75" hidden="false" customHeight="false" outlineLevel="0" collapsed="false">
      <c r="A455" s="196" t="str">
        <f aca="false">IF(A454&lt;mthend,EDATE(A454,1),"")</f>
        <v/>
      </c>
      <c r="B455" s="197" t="str">
        <f aca="false">IF(A455&lt;mthend,B454,"")</f>
        <v/>
      </c>
      <c r="D455" s="197" t="str">
        <f aca="false">IF(A456&lt;&gt;"",B455+C455,"")</f>
        <v/>
      </c>
      <c r="E455" s="199" t="str">
        <f aca="false">IF(A456="","",IF(AND(AT455=1,$H$3=1),D455*AO455,IF($H$3=2,D455,"N/A")))</f>
        <v/>
      </c>
      <c r="F455" s="199" t="str">
        <f aca="false">IF(A456="","",E455*AS455)</f>
        <v/>
      </c>
      <c r="G455" s="200" t="str">
        <f aca="false">IF($A456="","",VLOOKUP($A455,Table,MATCH(G$4,Curves,0)))</f>
        <v/>
      </c>
      <c r="H455" s="201" t="str">
        <f aca="false">IF(A456="","",G455)</f>
        <v/>
      </c>
      <c r="J455" s="200" t="str">
        <f aca="false">IF($A456="","",VLOOKUP($A455,Table,MATCH(J$4,Curves,0)))</f>
        <v/>
      </c>
      <c r="K455" s="201" t="str">
        <f aca="false">IF(A456="","",J455)</f>
        <v/>
      </c>
      <c r="L455" s="185" t="n">
        <v>0</v>
      </c>
      <c r="M455" s="201" t="str">
        <f aca="false">IF(A456="","",L455)</f>
        <v/>
      </c>
      <c r="O455" s="200" t="str">
        <f aca="false">IF(A456="","",L455+J455+G455)</f>
        <v/>
      </c>
      <c r="P455" s="200" t="str">
        <f aca="false">IF(A456="","",M455+K455+H455)</f>
        <v/>
      </c>
      <c r="R455" s="200" t="str">
        <f aca="false">IF($A456="","",VLOOKUP($A455,Table,MATCH(R$4,Curves,0)))</f>
        <v/>
      </c>
      <c r="S455" s="201" t="str">
        <f aca="false">IF(A456="","",R455)</f>
        <v/>
      </c>
      <c r="T455" s="185" t="n">
        <v>0</v>
      </c>
      <c r="U455" s="201" t="str">
        <f aca="false">IF(A456="","",T455)</f>
        <v/>
      </c>
      <c r="V455" s="205"/>
      <c r="W455" s="202" t="str">
        <f aca="false">IF($A456="","",(T455+R455+G455+V455))</f>
        <v/>
      </c>
      <c r="X455" s="202" t="str">
        <f aca="false">IF($A456="","",(U455+S455+H455+V455))</f>
        <v/>
      </c>
      <c r="Y455" s="202"/>
      <c r="Z455" s="185"/>
      <c r="AJ455" s="77"/>
      <c r="AK455" s="77"/>
      <c r="AL455" s="77"/>
      <c r="AM455" s="77"/>
      <c r="AN455" s="77"/>
      <c r="AO455" s="137" t="str">
        <f aca="false">IF(A456="","",A456-A455)</f>
        <v/>
      </c>
      <c r="AP455" s="212" t="str">
        <f aca="false">IF(A456="","",CHOOSE(F$3,A456+24,A455))</f>
        <v/>
      </c>
      <c r="AQ455" s="209" t="str">
        <f aca="false">IF(A456="","",AP455-$E$1)</f>
        <v/>
      </c>
      <c r="AR455" s="185" t="n">
        <f aca="false">'ANR OK vs ML7'!AR455</f>
        <v>0.1</v>
      </c>
      <c r="AS455" s="213" t="str">
        <f aca="false">IF(A456="","",1/(1+CHOOSE(F$3,(AR456+($I$3/10000))/2,(AR455+($I$3/10000))/2))^(2*AQ455/365.25))</f>
        <v/>
      </c>
      <c r="AT455" s="137" t="str">
        <f aca="false">IF(A456="","",IF(AND(mthbeg&lt;=A455,mthend&gt;=A455),1,0))</f>
        <v/>
      </c>
      <c r="AU455" s="137" t="str">
        <f aca="false">IF(A456="","",AO455*AT455)</f>
        <v/>
      </c>
      <c r="AW455" s="195" t="str">
        <f aca="false">IF($A456="","",AL455*$E455)</f>
        <v/>
      </c>
      <c r="AX455" s="195" t="str">
        <f aca="false">IF($A456="","",AM455*$E455)</f>
        <v/>
      </c>
      <c r="AY455" s="195" t="str">
        <f aca="false">IF($A456="","",AN455*$E455)</f>
        <v/>
      </c>
      <c r="BA455" s="195" t="str">
        <f aca="false">IF($A456="","",F455*Summary!$Q$13)</f>
        <v/>
      </c>
    </row>
    <row r="456" customFormat="false" ht="12.75" hidden="false" customHeight="false" outlineLevel="0" collapsed="false">
      <c r="A456" s="196" t="str">
        <f aca="false">IF(A455&lt;mthend,EDATE(A455,1),"")</f>
        <v/>
      </c>
      <c r="B456" s="197" t="str">
        <f aca="false">IF(A456&lt;mthend,B455,"")</f>
        <v/>
      </c>
      <c r="D456" s="197" t="str">
        <f aca="false">IF(A457&lt;&gt;"",B456+C456,"")</f>
        <v/>
      </c>
      <c r="E456" s="199" t="str">
        <f aca="false">IF(A457="","",IF(AND(AT456=1,$H$3=1),D456*AO456,IF($H$3=2,D456,"N/A")))</f>
        <v/>
      </c>
      <c r="F456" s="199" t="str">
        <f aca="false">IF(A457="","",E456*AS456)</f>
        <v/>
      </c>
      <c r="G456" s="200" t="str">
        <f aca="false">IF($A457="","",VLOOKUP($A456,Table,MATCH(G$4,Curves,0)))</f>
        <v/>
      </c>
      <c r="H456" s="201" t="str">
        <f aca="false">IF(A457="","",G456)</f>
        <v/>
      </c>
      <c r="J456" s="200" t="str">
        <f aca="false">IF($A457="","",VLOOKUP($A456,Table,MATCH(J$4,Curves,0)))</f>
        <v/>
      </c>
      <c r="K456" s="201" t="str">
        <f aca="false">IF(A457="","",J456)</f>
        <v/>
      </c>
      <c r="L456" s="185" t="n">
        <v>0</v>
      </c>
      <c r="M456" s="201" t="str">
        <f aca="false">IF(A457="","",L456)</f>
        <v/>
      </c>
      <c r="O456" s="200" t="str">
        <f aca="false">IF(A457="","",L456+J456+G456)</f>
        <v/>
      </c>
      <c r="P456" s="200" t="str">
        <f aca="false">IF(A457="","",M456+K456+H456)</f>
        <v/>
      </c>
      <c r="R456" s="200" t="str">
        <f aca="false">IF($A457="","",VLOOKUP($A456,Table,MATCH(R$4,Curves,0)))</f>
        <v/>
      </c>
      <c r="S456" s="201" t="str">
        <f aca="false">IF(A457="","",R456)</f>
        <v/>
      </c>
      <c r="T456" s="185" t="n">
        <v>0</v>
      </c>
      <c r="U456" s="201" t="str">
        <f aca="false">IF(A457="","",T456)</f>
        <v/>
      </c>
      <c r="V456" s="205"/>
      <c r="W456" s="202" t="str">
        <f aca="false">IF($A457="","",(T456+R456+G456+V456))</f>
        <v/>
      </c>
      <c r="X456" s="202" t="str">
        <f aca="false">IF($A457="","",(U456+S456+H456+V456))</f>
        <v/>
      </c>
      <c r="Y456" s="202"/>
      <c r="Z456" s="185"/>
      <c r="AJ456" s="77"/>
      <c r="AK456" s="77"/>
      <c r="AL456" s="77"/>
      <c r="AM456" s="77"/>
      <c r="AN456" s="77"/>
      <c r="AO456" s="137" t="str">
        <f aca="false">IF(A457="","",A457-A456)</f>
        <v/>
      </c>
      <c r="AP456" s="212" t="str">
        <f aca="false">IF(A457="","",CHOOSE(F$3,A457+24,A456))</f>
        <v/>
      </c>
      <c r="AQ456" s="209" t="str">
        <f aca="false">IF(A457="","",AP456-$E$1)</f>
        <v/>
      </c>
      <c r="AR456" s="185" t="n">
        <f aca="false">'ANR OK vs ML7'!AR456</f>
        <v>0.1</v>
      </c>
      <c r="AS456" s="213" t="str">
        <f aca="false">IF(A457="","",1/(1+CHOOSE(F$3,(AR457+($I$3/10000))/2,(AR456+($I$3/10000))/2))^(2*AQ456/365.25))</f>
        <v/>
      </c>
      <c r="AT456" s="137" t="str">
        <f aca="false">IF(A457="","",IF(AND(mthbeg&lt;=A456,mthend&gt;=A456),1,0))</f>
        <v/>
      </c>
      <c r="AU456" s="137" t="str">
        <f aca="false">IF(A457="","",AO456*AT456)</f>
        <v/>
      </c>
      <c r="AW456" s="195" t="str">
        <f aca="false">IF($A457="","",AL456*$E456)</f>
        <v/>
      </c>
      <c r="AX456" s="195" t="str">
        <f aca="false">IF($A457="","",AM456*$E456)</f>
        <v/>
      </c>
      <c r="AY456" s="195" t="str">
        <f aca="false">IF($A457="","",AN456*$E456)</f>
        <v/>
      </c>
      <c r="BA456" s="195" t="str">
        <f aca="false">IF($A457="","",F456*Summary!$Q$13)</f>
        <v/>
      </c>
    </row>
    <row r="457" customFormat="false" ht="12.75" hidden="false" customHeight="false" outlineLevel="0" collapsed="false">
      <c r="A457" s="196" t="str">
        <f aca="false">IF(A456&lt;mthend,EDATE(A456,1),"")</f>
        <v/>
      </c>
      <c r="B457" s="197" t="str">
        <f aca="false">IF(A457&lt;mthend,B456,"")</f>
        <v/>
      </c>
      <c r="D457" s="197" t="str">
        <f aca="false">IF(A458&lt;&gt;"",B457+C457,"")</f>
        <v/>
      </c>
      <c r="E457" s="199" t="str">
        <f aca="false">IF(A458="","",IF(AND(AT457=1,$H$3=1),D457*AO457,IF($H$3=2,D457,"N/A")))</f>
        <v/>
      </c>
      <c r="F457" s="199" t="str">
        <f aca="false">IF(A458="","",E457*AS457)</f>
        <v/>
      </c>
      <c r="G457" s="200" t="str">
        <f aca="false">IF($A458="","",VLOOKUP($A457,Table,MATCH(G$4,Curves,0)))</f>
        <v/>
      </c>
      <c r="H457" s="201" t="str">
        <f aca="false">IF(A458="","",G457)</f>
        <v/>
      </c>
      <c r="J457" s="200" t="str">
        <f aca="false">IF($A458="","",VLOOKUP($A457,Table,MATCH(J$4,Curves,0)))</f>
        <v/>
      </c>
      <c r="K457" s="201" t="str">
        <f aca="false">IF(A458="","",J457)</f>
        <v/>
      </c>
      <c r="L457" s="185" t="n">
        <v>0</v>
      </c>
      <c r="M457" s="201" t="str">
        <f aca="false">IF(A458="","",L457)</f>
        <v/>
      </c>
      <c r="O457" s="200" t="str">
        <f aca="false">IF(A458="","",L457+J457+G457)</f>
        <v/>
      </c>
      <c r="P457" s="200" t="str">
        <f aca="false">IF(A458="","",M457+K457+H457)</f>
        <v/>
      </c>
      <c r="R457" s="200" t="str">
        <f aca="false">IF($A458="","",VLOOKUP($A457,Table,MATCH(R$4,Curves,0)))</f>
        <v/>
      </c>
      <c r="S457" s="201" t="str">
        <f aca="false">IF(A458="","",R457)</f>
        <v/>
      </c>
      <c r="T457" s="185" t="n">
        <v>0</v>
      </c>
      <c r="U457" s="201" t="str">
        <f aca="false">IF(A458="","",T457)</f>
        <v/>
      </c>
      <c r="V457" s="205"/>
      <c r="W457" s="202" t="str">
        <f aca="false">IF($A458="","",(T457+R457+G457+V457))</f>
        <v/>
      </c>
      <c r="X457" s="202" t="str">
        <f aca="false">IF($A458="","",(U457+S457+H457+V457))</f>
        <v/>
      </c>
      <c r="Y457" s="202"/>
      <c r="Z457" s="185"/>
      <c r="AJ457" s="77"/>
      <c r="AK457" s="77"/>
      <c r="AL457" s="77"/>
      <c r="AM457" s="77"/>
      <c r="AN457" s="77"/>
      <c r="AO457" s="137" t="str">
        <f aca="false">IF(A458="","",A458-A457)</f>
        <v/>
      </c>
      <c r="AP457" s="212" t="str">
        <f aca="false">IF(A458="","",CHOOSE(F$3,A458+24,A457))</f>
        <v/>
      </c>
      <c r="AQ457" s="209" t="str">
        <f aca="false">IF(A458="","",AP457-$E$1)</f>
        <v/>
      </c>
      <c r="AR457" s="185" t="n">
        <f aca="false">'ANR OK vs ML7'!AR457</f>
        <v>0.1</v>
      </c>
      <c r="AS457" s="213" t="str">
        <f aca="false">IF(A458="","",1/(1+CHOOSE(F$3,(AR458+($I$3/10000))/2,(AR457+($I$3/10000))/2))^(2*AQ457/365.25))</f>
        <v/>
      </c>
      <c r="AT457" s="137" t="str">
        <f aca="false">IF(A458="","",IF(AND(mthbeg&lt;=A457,mthend&gt;=A457),1,0))</f>
        <v/>
      </c>
      <c r="AU457" s="137" t="str">
        <f aca="false">IF(A458="","",AO457*AT457)</f>
        <v/>
      </c>
      <c r="AW457" s="195" t="str">
        <f aca="false">IF($A458="","",AL457*$E457)</f>
        <v/>
      </c>
      <c r="AX457" s="195" t="str">
        <f aca="false">IF($A458="","",AM457*$E457)</f>
        <v/>
      </c>
      <c r="AY457" s="195" t="str">
        <f aca="false">IF($A458="","",AN457*$E457)</f>
        <v/>
      </c>
      <c r="BA457" s="195" t="str">
        <f aca="false">IF($A458="","",F457*Summary!$Q$13)</f>
        <v/>
      </c>
    </row>
    <row r="458" customFormat="false" ht="12.75" hidden="false" customHeight="false" outlineLevel="0" collapsed="false">
      <c r="A458" s="196" t="str">
        <f aca="false">IF(A457&lt;mthend,EDATE(A457,1),"")</f>
        <v/>
      </c>
      <c r="B458" s="197" t="str">
        <f aca="false">IF(A458&lt;mthend,B457,"")</f>
        <v/>
      </c>
      <c r="D458" s="197" t="str">
        <f aca="false">IF(A459&lt;&gt;"",B458+C458,"")</f>
        <v/>
      </c>
      <c r="E458" s="199" t="str">
        <f aca="false">IF(A459="","",IF(AND(AT458=1,$H$3=1),D458*AO458,IF($H$3=2,D458,"N/A")))</f>
        <v/>
      </c>
      <c r="F458" s="199" t="str">
        <f aca="false">IF(A459="","",E458*AS458)</f>
        <v/>
      </c>
      <c r="G458" s="200" t="str">
        <f aca="false">IF($A459="","",VLOOKUP($A458,Table,MATCH(G$4,Curves,0)))</f>
        <v/>
      </c>
      <c r="H458" s="201" t="str">
        <f aca="false">IF(A459="","",G458)</f>
        <v/>
      </c>
      <c r="J458" s="200" t="str">
        <f aca="false">IF($A459="","",VLOOKUP($A458,Table,MATCH(J$4,Curves,0)))</f>
        <v/>
      </c>
      <c r="K458" s="201" t="str">
        <f aca="false">IF(A459="","",J458)</f>
        <v/>
      </c>
      <c r="L458" s="185" t="n">
        <v>0</v>
      </c>
      <c r="M458" s="201" t="str">
        <f aca="false">IF(A459="","",L458)</f>
        <v/>
      </c>
      <c r="O458" s="200" t="str">
        <f aca="false">IF(A459="","",L458+J458+G458)</f>
        <v/>
      </c>
      <c r="P458" s="200" t="str">
        <f aca="false">IF(A459="","",M458+K458+H458)</f>
        <v/>
      </c>
      <c r="R458" s="200" t="str">
        <f aca="false">IF($A459="","",VLOOKUP($A458,Table,MATCH(R$4,Curves,0)))</f>
        <v/>
      </c>
      <c r="S458" s="201" t="str">
        <f aca="false">IF(A459="","",R458)</f>
        <v/>
      </c>
      <c r="T458" s="185" t="n">
        <v>0</v>
      </c>
      <c r="U458" s="201" t="str">
        <f aca="false">IF(A459="","",T458)</f>
        <v/>
      </c>
      <c r="V458" s="205"/>
      <c r="W458" s="202" t="str">
        <f aca="false">IF($A459="","",(T458+R458+G458+V458))</f>
        <v/>
      </c>
      <c r="X458" s="202" t="str">
        <f aca="false">IF($A459="","",(U458+S458+H458+V458))</f>
        <v/>
      </c>
      <c r="Y458" s="202"/>
      <c r="Z458" s="185"/>
      <c r="AJ458" s="77"/>
      <c r="AK458" s="77"/>
      <c r="AL458" s="77"/>
      <c r="AM458" s="77"/>
      <c r="AN458" s="77"/>
      <c r="AO458" s="137" t="str">
        <f aca="false">IF(A459="","",A459-A458)</f>
        <v/>
      </c>
      <c r="AP458" s="212" t="str">
        <f aca="false">IF(A459="","",CHOOSE(F$3,A459+24,A458))</f>
        <v/>
      </c>
      <c r="AQ458" s="209" t="str">
        <f aca="false">IF(A459="","",AP458-$E$1)</f>
        <v/>
      </c>
      <c r="AR458" s="185" t="n">
        <f aca="false">'ANR OK vs ML7'!AR458</f>
        <v>0.1</v>
      </c>
      <c r="AS458" s="213" t="str">
        <f aca="false">IF(A459="","",1/(1+CHOOSE(F$3,(AR459+($I$3/10000))/2,(AR458+($I$3/10000))/2))^(2*AQ458/365.25))</f>
        <v/>
      </c>
      <c r="AT458" s="137" t="str">
        <f aca="false">IF(A459="","",IF(AND(mthbeg&lt;=A458,mthend&gt;=A458),1,0))</f>
        <v/>
      </c>
      <c r="AU458" s="137" t="str">
        <f aca="false">IF(A459="","",AO458*AT458)</f>
        <v/>
      </c>
      <c r="AW458" s="195" t="str">
        <f aca="false">IF($A459="","",AL458*$E458)</f>
        <v/>
      </c>
      <c r="AX458" s="195" t="str">
        <f aca="false">IF($A459="","",AM458*$E458)</f>
        <v/>
      </c>
      <c r="AY458" s="195" t="str">
        <f aca="false">IF($A459="","",AN458*$E458)</f>
        <v/>
      </c>
      <c r="BA458" s="195" t="str">
        <f aca="false">IF($A459="","",F458*Summary!$Q$13)</f>
        <v/>
      </c>
    </row>
    <row r="459" customFormat="false" ht="12.75" hidden="false" customHeight="false" outlineLevel="0" collapsed="false">
      <c r="A459" s="196" t="str">
        <f aca="false">IF(A458&lt;mthend,EDATE(A458,1),"")</f>
        <v/>
      </c>
      <c r="B459" s="197" t="str">
        <f aca="false">IF(A459&lt;mthend,B458,"")</f>
        <v/>
      </c>
      <c r="D459" s="197" t="str">
        <f aca="false">IF(A460&lt;&gt;"",B459+C459,"")</f>
        <v/>
      </c>
      <c r="E459" s="199" t="str">
        <f aca="false">IF(A460="","",IF(AND(AT459=1,$H$3=1),D459*AO459,IF($H$3=2,D459,"N/A")))</f>
        <v/>
      </c>
      <c r="F459" s="199" t="str">
        <f aca="false">IF(A460="","",E459*AS459)</f>
        <v/>
      </c>
      <c r="G459" s="200" t="str">
        <f aca="false">IF($A460="","",VLOOKUP($A459,Table,MATCH(G$4,Curves,0)))</f>
        <v/>
      </c>
      <c r="H459" s="201" t="str">
        <f aca="false">IF(A460="","",G459)</f>
        <v/>
      </c>
      <c r="J459" s="200" t="str">
        <f aca="false">IF($A460="","",VLOOKUP($A459,Table,MATCH(J$4,Curves,0)))</f>
        <v/>
      </c>
      <c r="K459" s="201" t="str">
        <f aca="false">IF(A460="","",J459)</f>
        <v/>
      </c>
      <c r="L459" s="185" t="n">
        <v>0</v>
      </c>
      <c r="M459" s="201" t="str">
        <f aca="false">IF(A460="","",L459)</f>
        <v/>
      </c>
      <c r="O459" s="200" t="str">
        <f aca="false">IF(A460="","",L459+J459+G459)</f>
        <v/>
      </c>
      <c r="P459" s="200" t="str">
        <f aca="false">IF(A460="","",M459+K459+H459)</f>
        <v/>
      </c>
      <c r="R459" s="200" t="str">
        <f aca="false">IF($A460="","",VLOOKUP($A459,Table,MATCH(R$4,Curves,0)))</f>
        <v/>
      </c>
      <c r="S459" s="201" t="str">
        <f aca="false">IF(A460="","",R459)</f>
        <v/>
      </c>
      <c r="T459" s="185" t="n">
        <v>0</v>
      </c>
      <c r="U459" s="201" t="str">
        <f aca="false">IF(A460="","",T459)</f>
        <v/>
      </c>
      <c r="V459" s="205"/>
      <c r="W459" s="202" t="str">
        <f aca="false">IF($A460="","",(T459+R459+G459+V459))</f>
        <v/>
      </c>
      <c r="X459" s="202" t="str">
        <f aca="false">IF($A460="","",(U459+S459+H459+V459))</f>
        <v/>
      </c>
      <c r="Y459" s="202"/>
      <c r="Z459" s="185"/>
      <c r="AJ459" s="77"/>
      <c r="AK459" s="77"/>
      <c r="AL459" s="77"/>
      <c r="AM459" s="77"/>
      <c r="AN459" s="77"/>
      <c r="AO459" s="137" t="str">
        <f aca="false">IF(A460="","",A460-A459)</f>
        <v/>
      </c>
      <c r="AP459" s="212" t="str">
        <f aca="false">IF(A460="","",CHOOSE(F$3,A460+24,A459))</f>
        <v/>
      </c>
      <c r="AQ459" s="209" t="str">
        <f aca="false">IF(A460="","",AP459-$E$1)</f>
        <v/>
      </c>
      <c r="AR459" s="185" t="n">
        <f aca="false">'ANR OK vs ML7'!AR459</f>
        <v>0.1</v>
      </c>
      <c r="AS459" s="213" t="str">
        <f aca="false">IF(A460="","",1/(1+CHOOSE(F$3,(AR460+($I$3/10000))/2,(AR459+($I$3/10000))/2))^(2*AQ459/365.25))</f>
        <v/>
      </c>
      <c r="AT459" s="137" t="str">
        <f aca="false">IF(A460="","",IF(AND(mthbeg&lt;=A459,mthend&gt;=A459),1,0))</f>
        <v/>
      </c>
      <c r="AU459" s="137" t="str">
        <f aca="false">IF(A460="","",AO459*AT459)</f>
        <v/>
      </c>
      <c r="AW459" s="195" t="str">
        <f aca="false">IF($A460="","",AL459*$E459)</f>
        <v/>
      </c>
      <c r="AX459" s="195" t="str">
        <f aca="false">IF($A460="","",AM459*$E459)</f>
        <v/>
      </c>
      <c r="AY459" s="195" t="str">
        <f aca="false">IF($A460="","",AN459*$E459)</f>
        <v/>
      </c>
      <c r="BA459" s="195" t="str">
        <f aca="false">IF($A460="","",F459*Summary!$Q$13)</f>
        <v/>
      </c>
    </row>
    <row r="460" customFormat="false" ht="12.75" hidden="false" customHeight="false" outlineLevel="0" collapsed="false">
      <c r="A460" s="196" t="str">
        <f aca="false">IF(A459&lt;mthend,EDATE(A459,1),"")</f>
        <v/>
      </c>
      <c r="B460" s="197" t="str">
        <f aca="false">IF(A460&lt;mthend,B459,"")</f>
        <v/>
      </c>
      <c r="D460" s="197" t="str">
        <f aca="false">IF(A461&lt;&gt;"",B460+C460,"")</f>
        <v/>
      </c>
      <c r="E460" s="199" t="str">
        <f aca="false">IF(A461="","",IF(AND(AT460=1,$H$3=1),D460*AO460,IF($H$3=2,D460,"N/A")))</f>
        <v/>
      </c>
      <c r="F460" s="199" t="str">
        <f aca="false">IF(A461="","",E460*AS460)</f>
        <v/>
      </c>
      <c r="G460" s="200" t="str">
        <f aca="false">IF($A461="","",VLOOKUP($A460,Table,MATCH(G$4,Curves,0)))</f>
        <v/>
      </c>
      <c r="H460" s="201" t="str">
        <f aca="false">IF(A461="","",G460)</f>
        <v/>
      </c>
      <c r="J460" s="200" t="str">
        <f aca="false">IF($A461="","",VLOOKUP($A460,Table,MATCH(J$4,Curves,0)))</f>
        <v/>
      </c>
      <c r="K460" s="201" t="str">
        <f aca="false">IF(A461="","",J460)</f>
        <v/>
      </c>
      <c r="L460" s="185" t="n">
        <v>0</v>
      </c>
      <c r="M460" s="201" t="str">
        <f aca="false">IF(A461="","",L460)</f>
        <v/>
      </c>
      <c r="O460" s="200" t="str">
        <f aca="false">IF(A461="","",L460+J460+G460)</f>
        <v/>
      </c>
      <c r="P460" s="200" t="str">
        <f aca="false">IF(A461="","",M460+K460+H460)</f>
        <v/>
      </c>
      <c r="R460" s="200" t="str">
        <f aca="false">IF($A461="","",VLOOKUP($A460,Table,MATCH(R$4,Curves,0)))</f>
        <v/>
      </c>
      <c r="S460" s="201" t="str">
        <f aca="false">IF(A461="","",R460)</f>
        <v/>
      </c>
      <c r="T460" s="185" t="n">
        <v>0</v>
      </c>
      <c r="U460" s="201" t="str">
        <f aca="false">IF(A461="","",T460)</f>
        <v/>
      </c>
      <c r="V460" s="205"/>
      <c r="W460" s="202" t="str">
        <f aca="false">IF($A461="","",(T460+R460+G460+V460))</f>
        <v/>
      </c>
      <c r="X460" s="202" t="str">
        <f aca="false">IF($A461="","",(U460+S460+H460+V460))</f>
        <v/>
      </c>
      <c r="Y460" s="202"/>
      <c r="Z460" s="185"/>
      <c r="AJ460" s="77"/>
      <c r="AK460" s="77"/>
      <c r="AL460" s="77"/>
      <c r="AM460" s="77"/>
      <c r="AN460" s="77"/>
      <c r="AO460" s="137" t="str">
        <f aca="false">IF(A461="","",A461-A460)</f>
        <v/>
      </c>
      <c r="AP460" s="212" t="str">
        <f aca="false">IF(A461="","",CHOOSE(F$3,A461+24,A460))</f>
        <v/>
      </c>
      <c r="AQ460" s="209" t="str">
        <f aca="false">IF(A461="","",AP460-$E$1)</f>
        <v/>
      </c>
      <c r="AR460" s="185" t="n">
        <f aca="false">'ANR OK vs ML7'!AR460</f>
        <v>0.1</v>
      </c>
      <c r="AS460" s="213" t="str">
        <f aca="false">IF(A461="","",1/(1+CHOOSE(F$3,(AR461+($I$3/10000))/2,(AR460+($I$3/10000))/2))^(2*AQ460/365.25))</f>
        <v/>
      </c>
      <c r="AT460" s="137" t="str">
        <f aca="false">IF(A461="","",IF(AND(mthbeg&lt;=A460,mthend&gt;=A460),1,0))</f>
        <v/>
      </c>
      <c r="AU460" s="137" t="str">
        <f aca="false">IF(A461="","",AO460*AT460)</f>
        <v/>
      </c>
      <c r="AW460" s="195" t="str">
        <f aca="false">IF($A461="","",AL460*$E460)</f>
        <v/>
      </c>
      <c r="AX460" s="195" t="str">
        <f aca="false">IF($A461="","",AM460*$E460)</f>
        <v/>
      </c>
      <c r="AY460" s="195" t="str">
        <f aca="false">IF($A461="","",AN460*$E460)</f>
        <v/>
      </c>
      <c r="BA460" s="195" t="str">
        <f aca="false">IF($A461="","",F460*Summary!$Q$13)</f>
        <v/>
      </c>
    </row>
    <row r="461" customFormat="false" ht="12.75" hidden="false" customHeight="false" outlineLevel="0" collapsed="false">
      <c r="A461" s="196" t="str">
        <f aca="false">IF(A460&lt;mthend,EDATE(A460,1),"")</f>
        <v/>
      </c>
      <c r="B461" s="197" t="str">
        <f aca="false">IF(A461&lt;mthend,B460,"")</f>
        <v/>
      </c>
      <c r="D461" s="197" t="str">
        <f aca="false">IF(A462&lt;&gt;"",B461+C461,"")</f>
        <v/>
      </c>
      <c r="E461" s="199" t="str">
        <f aca="false">IF(A462="","",IF(AND(AT461=1,$H$3=1),D461*AO461,IF($H$3=2,D461,"N/A")))</f>
        <v/>
      </c>
      <c r="F461" s="199" t="str">
        <f aca="false">IF(A462="","",E461*AS461)</f>
        <v/>
      </c>
      <c r="G461" s="200" t="str">
        <f aca="false">IF($A462="","",VLOOKUP($A461,Table,MATCH(G$4,Curves,0)))</f>
        <v/>
      </c>
      <c r="H461" s="201" t="str">
        <f aca="false">IF(A462="","",G461)</f>
        <v/>
      </c>
      <c r="J461" s="200" t="str">
        <f aca="false">IF($A462="","",VLOOKUP($A461,Table,MATCH(J$4,Curves,0)))</f>
        <v/>
      </c>
      <c r="K461" s="201" t="str">
        <f aca="false">IF(A462="","",J461)</f>
        <v/>
      </c>
      <c r="L461" s="185" t="n">
        <v>0</v>
      </c>
      <c r="M461" s="201" t="str">
        <f aca="false">IF(A462="","",L461)</f>
        <v/>
      </c>
      <c r="O461" s="200" t="str">
        <f aca="false">IF(A462="","",L461+J461+G461)</f>
        <v/>
      </c>
      <c r="P461" s="200" t="str">
        <f aca="false">IF(A462="","",M461+K461+H461)</f>
        <v/>
      </c>
      <c r="R461" s="200" t="str">
        <f aca="false">IF($A462="","",VLOOKUP($A461,Table,MATCH(R$4,Curves,0)))</f>
        <v/>
      </c>
      <c r="S461" s="201" t="str">
        <f aca="false">IF(A462="","",R461)</f>
        <v/>
      </c>
      <c r="T461" s="185" t="n">
        <v>0</v>
      </c>
      <c r="U461" s="201" t="str">
        <f aca="false">IF(A462="","",T461)</f>
        <v/>
      </c>
      <c r="V461" s="205"/>
      <c r="W461" s="202" t="str">
        <f aca="false">IF($A462="","",(T461+R461+G461+V461))</f>
        <v/>
      </c>
      <c r="X461" s="202" t="str">
        <f aca="false">IF($A462="","",(U461+S461+H461+V461))</f>
        <v/>
      </c>
      <c r="Y461" s="202"/>
      <c r="Z461" s="185"/>
      <c r="AJ461" s="77"/>
      <c r="AK461" s="77"/>
      <c r="AL461" s="77"/>
      <c r="AM461" s="77"/>
      <c r="AN461" s="77"/>
      <c r="AO461" s="137" t="str">
        <f aca="false">IF(A462="","",A462-A461)</f>
        <v/>
      </c>
      <c r="AP461" s="212" t="str">
        <f aca="false">IF(A462="","",CHOOSE(F$3,A462+24,A461))</f>
        <v/>
      </c>
      <c r="AQ461" s="209" t="str">
        <f aca="false">IF(A462="","",AP461-$E$1)</f>
        <v/>
      </c>
      <c r="AR461" s="185" t="n">
        <f aca="false">'ANR OK vs ML7'!AR461</f>
        <v>0.1</v>
      </c>
      <c r="AS461" s="213" t="str">
        <f aca="false">IF(A462="","",1/(1+CHOOSE(F$3,(AR462+($I$3/10000))/2,(AR461+($I$3/10000))/2))^(2*AQ461/365.25))</f>
        <v/>
      </c>
      <c r="AT461" s="137" t="str">
        <f aca="false">IF(A462="","",IF(AND(mthbeg&lt;=A461,mthend&gt;=A461),1,0))</f>
        <v/>
      </c>
      <c r="AU461" s="137" t="str">
        <f aca="false">IF(A462="","",AO461*AT461)</f>
        <v/>
      </c>
      <c r="AW461" s="195" t="str">
        <f aca="false">IF($A462="","",AL461*$E461)</f>
        <v/>
      </c>
      <c r="AX461" s="195" t="str">
        <f aca="false">IF($A462="","",AM461*$E461)</f>
        <v/>
      </c>
      <c r="AY461" s="195" t="str">
        <f aca="false">IF($A462="","",AN461*$E461)</f>
        <v/>
      </c>
      <c r="BA461" s="195" t="str">
        <f aca="false">IF($A462="","",F461*Summary!$Q$13)</f>
        <v/>
      </c>
    </row>
    <row r="462" customFormat="false" ht="12.75" hidden="false" customHeight="false" outlineLevel="0" collapsed="false">
      <c r="A462" s="196" t="str">
        <f aca="false">IF(A461&lt;mthend,EDATE(A461,1),"")</f>
        <v/>
      </c>
      <c r="B462" s="197" t="str">
        <f aca="false">IF(A462&lt;mthend,B461,"")</f>
        <v/>
      </c>
      <c r="D462" s="197" t="str">
        <f aca="false">IF(A463&lt;&gt;"",B462+C462,"")</f>
        <v/>
      </c>
      <c r="E462" s="199" t="str">
        <f aca="false">IF(A463="","",IF(AND(AT462=1,$H$3=1),D462*AO462,IF($H$3=2,D462,"N/A")))</f>
        <v/>
      </c>
      <c r="F462" s="199" t="str">
        <f aca="false">IF(A463="","",E462*AS462)</f>
        <v/>
      </c>
      <c r="G462" s="200" t="str">
        <f aca="false">IF($A463="","",VLOOKUP($A462,Table,MATCH(G$4,Curves,0)))</f>
        <v/>
      </c>
      <c r="H462" s="201" t="str">
        <f aca="false">IF(A463="","",G462)</f>
        <v/>
      </c>
      <c r="J462" s="200" t="str">
        <f aca="false">IF($A463="","",VLOOKUP($A462,Table,MATCH(J$4,Curves,0)))</f>
        <v/>
      </c>
      <c r="K462" s="201" t="str">
        <f aca="false">IF(A463="","",J462)</f>
        <v/>
      </c>
      <c r="L462" s="185" t="n">
        <v>0</v>
      </c>
      <c r="M462" s="201" t="str">
        <f aca="false">IF(A463="","",L462)</f>
        <v/>
      </c>
      <c r="O462" s="200" t="str">
        <f aca="false">IF(A463="","",L462+J462+G462)</f>
        <v/>
      </c>
      <c r="P462" s="200" t="str">
        <f aca="false">IF(A463="","",M462+K462+H462)</f>
        <v/>
      </c>
      <c r="R462" s="200" t="str">
        <f aca="false">IF($A463="","",VLOOKUP($A462,Table,MATCH(R$4,Curves,0)))</f>
        <v/>
      </c>
      <c r="S462" s="201" t="str">
        <f aca="false">IF(A463="","",R462)</f>
        <v/>
      </c>
      <c r="T462" s="185" t="n">
        <v>0</v>
      </c>
      <c r="U462" s="201" t="str">
        <f aca="false">IF(A463="","",T462)</f>
        <v/>
      </c>
      <c r="V462" s="205"/>
      <c r="W462" s="202" t="str">
        <f aca="false">IF($A463="","",(T462+R462+G462+V462))</f>
        <v/>
      </c>
      <c r="X462" s="202" t="str">
        <f aca="false">IF($A463="","",(U462+S462+H462+V462))</f>
        <v/>
      </c>
      <c r="Y462" s="202"/>
      <c r="Z462" s="185"/>
      <c r="AJ462" s="77"/>
      <c r="AK462" s="77"/>
      <c r="AL462" s="77"/>
      <c r="AM462" s="77"/>
      <c r="AN462" s="77"/>
      <c r="AO462" s="137" t="str">
        <f aca="false">IF(A463="","",A463-A462)</f>
        <v/>
      </c>
      <c r="AP462" s="212" t="str">
        <f aca="false">IF(A463="","",CHOOSE(F$3,A463+24,A462))</f>
        <v/>
      </c>
      <c r="AQ462" s="209" t="str">
        <f aca="false">IF(A463="","",AP462-$E$1)</f>
        <v/>
      </c>
      <c r="AR462" s="185" t="n">
        <f aca="false">'ANR OK vs ML7'!AR462</f>
        <v>0.1</v>
      </c>
      <c r="AS462" s="213" t="str">
        <f aca="false">IF(A463="","",1/(1+CHOOSE(F$3,(AR463+($I$3/10000))/2,(AR462+($I$3/10000))/2))^(2*AQ462/365.25))</f>
        <v/>
      </c>
      <c r="AT462" s="137" t="str">
        <f aca="false">IF(A463="","",IF(AND(mthbeg&lt;=A462,mthend&gt;=A462),1,0))</f>
        <v/>
      </c>
      <c r="AU462" s="137" t="str">
        <f aca="false">IF(A463="","",AO462*AT462)</f>
        <v/>
      </c>
      <c r="AW462" s="195" t="str">
        <f aca="false">IF($A463="","",AL462*$E462)</f>
        <v/>
      </c>
      <c r="AX462" s="195" t="str">
        <f aca="false">IF($A463="","",AM462*$E462)</f>
        <v/>
      </c>
      <c r="AY462" s="195" t="str">
        <f aca="false">IF($A463="","",AN462*$E462)</f>
        <v/>
      </c>
      <c r="BA462" s="195" t="str">
        <f aca="false">IF($A463="","",F462*Summary!$Q$13)</f>
        <v/>
      </c>
    </row>
    <row r="463" customFormat="false" ht="12.75" hidden="false" customHeight="false" outlineLevel="0" collapsed="false">
      <c r="A463" s="196" t="str">
        <f aca="false">IF(A462&lt;mthend,EDATE(A462,1),"")</f>
        <v/>
      </c>
      <c r="B463" s="197" t="str">
        <f aca="false">IF(A463&lt;mthend,B462,"")</f>
        <v/>
      </c>
      <c r="D463" s="197" t="str">
        <f aca="false">IF(A464&lt;&gt;"",B463+C463,"")</f>
        <v/>
      </c>
      <c r="E463" s="199" t="str">
        <f aca="false">IF(A464="","",IF(AND(AT463=1,$H$3=1),D463*AO463,IF($H$3=2,D463,"N/A")))</f>
        <v/>
      </c>
      <c r="F463" s="199" t="str">
        <f aca="false">IF(A464="","",E463*AS463)</f>
        <v/>
      </c>
      <c r="G463" s="200" t="str">
        <f aca="false">IF($A464="","",VLOOKUP($A463,Table,MATCH(G$4,Curves,0)))</f>
        <v/>
      </c>
      <c r="H463" s="201" t="str">
        <f aca="false">IF(A464="","",G463)</f>
        <v/>
      </c>
      <c r="J463" s="200" t="str">
        <f aca="false">IF($A464="","",VLOOKUP($A463,Table,MATCH(J$4,Curves,0)))</f>
        <v/>
      </c>
      <c r="K463" s="201" t="str">
        <f aca="false">IF(A464="","",J463)</f>
        <v/>
      </c>
      <c r="L463" s="185" t="n">
        <v>0</v>
      </c>
      <c r="M463" s="201" t="str">
        <f aca="false">IF(A464="","",L463)</f>
        <v/>
      </c>
      <c r="O463" s="200" t="str">
        <f aca="false">IF(A464="","",L463+J463+G463)</f>
        <v/>
      </c>
      <c r="P463" s="200" t="str">
        <f aca="false">IF(A464="","",M463+K463+H463)</f>
        <v/>
      </c>
      <c r="R463" s="200" t="str">
        <f aca="false">IF($A464="","",VLOOKUP($A463,Table,MATCH(R$4,Curves,0)))</f>
        <v/>
      </c>
      <c r="S463" s="201" t="str">
        <f aca="false">IF(A464="","",R463)</f>
        <v/>
      </c>
      <c r="T463" s="185" t="n">
        <v>0</v>
      </c>
      <c r="U463" s="201" t="str">
        <f aca="false">IF(A464="","",T463)</f>
        <v/>
      </c>
      <c r="V463" s="205"/>
      <c r="W463" s="202" t="str">
        <f aca="false">IF($A464="","",(T463+R463+G463+V463))</f>
        <v/>
      </c>
      <c r="X463" s="202" t="str">
        <f aca="false">IF($A464="","",(U463+S463+H463+V463))</f>
        <v/>
      </c>
      <c r="Y463" s="202"/>
      <c r="Z463" s="185"/>
      <c r="AJ463" s="77"/>
      <c r="AK463" s="77"/>
      <c r="AL463" s="77"/>
      <c r="AM463" s="77"/>
      <c r="AN463" s="77"/>
      <c r="AO463" s="137" t="str">
        <f aca="false">IF(A464="","",A464-A463)</f>
        <v/>
      </c>
      <c r="AP463" s="212" t="str">
        <f aca="false">IF(A464="","",CHOOSE(F$3,A464+24,A463))</f>
        <v/>
      </c>
      <c r="AQ463" s="209" t="str">
        <f aca="false">IF(A464="","",AP463-$E$1)</f>
        <v/>
      </c>
      <c r="AR463" s="185" t="n">
        <f aca="false">'ANR OK vs ML7'!AR463</f>
        <v>0.1</v>
      </c>
      <c r="AS463" s="213" t="str">
        <f aca="false">IF(A464="","",1/(1+CHOOSE(F$3,(AR464+($I$3/10000))/2,(AR463+($I$3/10000))/2))^(2*AQ463/365.25))</f>
        <v/>
      </c>
      <c r="AT463" s="137" t="str">
        <f aca="false">IF(A464="","",IF(AND(mthbeg&lt;=A463,mthend&gt;=A463),1,0))</f>
        <v/>
      </c>
      <c r="AU463" s="137" t="str">
        <f aca="false">IF(A464="","",AO463*AT463)</f>
        <v/>
      </c>
      <c r="AW463" s="195" t="str">
        <f aca="false">IF($A464="","",AL463*$E463)</f>
        <v/>
      </c>
      <c r="AX463" s="195" t="str">
        <f aca="false">IF($A464="","",AM463*$E463)</f>
        <v/>
      </c>
      <c r="AY463" s="195" t="str">
        <f aca="false">IF($A464="","",AN463*$E463)</f>
        <v/>
      </c>
      <c r="BA463" s="195" t="str">
        <f aca="false">IF($A464="","",F463*Summary!$Q$13)</f>
        <v/>
      </c>
    </row>
    <row r="464" customFormat="false" ht="12.75" hidden="false" customHeight="false" outlineLevel="0" collapsed="false">
      <c r="A464" s="196" t="str">
        <f aca="false">IF(A463&lt;mthend,EDATE(A463,1),"")</f>
        <v/>
      </c>
      <c r="B464" s="197" t="str">
        <f aca="false">IF(A464&lt;mthend,B463,"")</f>
        <v/>
      </c>
      <c r="D464" s="197" t="str">
        <f aca="false">IF(A465&lt;&gt;"",B464+C464,"")</f>
        <v/>
      </c>
      <c r="E464" s="199" t="str">
        <f aca="false">IF(A465="","",IF(AND(AT464=1,$H$3=1),D464*AO464,IF($H$3=2,D464,"N/A")))</f>
        <v/>
      </c>
      <c r="F464" s="199" t="str">
        <f aca="false">IF(A465="","",E464*AS464)</f>
        <v/>
      </c>
      <c r="G464" s="200" t="str">
        <f aca="false">IF($A465="","",VLOOKUP($A464,Table,MATCH(G$4,Curves,0)))</f>
        <v/>
      </c>
      <c r="H464" s="201" t="str">
        <f aca="false">IF(A465="","",G464)</f>
        <v/>
      </c>
      <c r="J464" s="200" t="str">
        <f aca="false">IF($A465="","",VLOOKUP($A464,Table,MATCH(J$4,Curves,0)))</f>
        <v/>
      </c>
      <c r="K464" s="201" t="str">
        <f aca="false">IF(A465="","",J464)</f>
        <v/>
      </c>
      <c r="L464" s="185" t="n">
        <v>0</v>
      </c>
      <c r="M464" s="201" t="str">
        <f aca="false">IF(A465="","",L464)</f>
        <v/>
      </c>
      <c r="O464" s="200" t="str">
        <f aca="false">IF(A465="","",L464+J464+G464)</f>
        <v/>
      </c>
      <c r="P464" s="200" t="str">
        <f aca="false">IF(A465="","",M464+K464+H464)</f>
        <v/>
      </c>
      <c r="R464" s="200" t="str">
        <f aca="false">IF($A465="","",VLOOKUP($A464,Table,MATCH(R$4,Curves,0)))</f>
        <v/>
      </c>
      <c r="S464" s="201" t="str">
        <f aca="false">IF(A465="","",R464)</f>
        <v/>
      </c>
      <c r="T464" s="185" t="n">
        <v>0</v>
      </c>
      <c r="U464" s="201" t="str">
        <f aca="false">IF(A465="","",T464)</f>
        <v/>
      </c>
      <c r="V464" s="205"/>
      <c r="W464" s="202" t="str">
        <f aca="false">IF($A465="","",(T464+R464+G464+V464))</f>
        <v/>
      </c>
      <c r="X464" s="202" t="str">
        <f aca="false">IF($A465="","",(U464+S464+H464+V464))</f>
        <v/>
      </c>
      <c r="Y464" s="202"/>
      <c r="Z464" s="185"/>
      <c r="AJ464" s="77"/>
      <c r="AK464" s="77"/>
      <c r="AL464" s="77"/>
      <c r="AM464" s="77"/>
      <c r="AN464" s="77"/>
      <c r="AO464" s="137" t="str">
        <f aca="false">IF(A465="","",A465-A464)</f>
        <v/>
      </c>
      <c r="AP464" s="212" t="str">
        <f aca="false">IF(A465="","",CHOOSE(F$3,A465+24,A464))</f>
        <v/>
      </c>
      <c r="AQ464" s="209" t="str">
        <f aca="false">IF(A465="","",AP464-$E$1)</f>
        <v/>
      </c>
      <c r="AR464" s="185" t="n">
        <f aca="false">'ANR OK vs ML7'!AR464</f>
        <v>0.1</v>
      </c>
      <c r="AS464" s="213" t="str">
        <f aca="false">IF(A465="","",1/(1+CHOOSE(F$3,(AR465+($I$3/10000))/2,(AR464+($I$3/10000))/2))^(2*AQ464/365.25))</f>
        <v/>
      </c>
      <c r="AT464" s="137" t="str">
        <f aca="false">IF(A465="","",IF(AND(mthbeg&lt;=A464,mthend&gt;=A464),1,0))</f>
        <v/>
      </c>
      <c r="AU464" s="137" t="str">
        <f aca="false">IF(A465="","",AO464*AT464)</f>
        <v/>
      </c>
      <c r="AW464" s="195" t="str">
        <f aca="false">IF($A465="","",AL464*$E464)</f>
        <v/>
      </c>
      <c r="AX464" s="195" t="str">
        <f aca="false">IF($A465="","",AM464*$E464)</f>
        <v/>
      </c>
      <c r="AY464" s="195" t="str">
        <f aca="false">IF($A465="","",AN464*$E464)</f>
        <v/>
      </c>
      <c r="BA464" s="195" t="str">
        <f aca="false">IF($A465="","",F464*Summary!$Q$13)</f>
        <v/>
      </c>
    </row>
    <row r="465" customFormat="false" ht="12.75" hidden="false" customHeight="false" outlineLevel="0" collapsed="false">
      <c r="A465" s="196" t="str">
        <f aca="false">IF(A464&lt;mthend,EDATE(A464,1),"")</f>
        <v/>
      </c>
      <c r="B465" s="197" t="str">
        <f aca="false">IF(A465&lt;mthend,B464,"")</f>
        <v/>
      </c>
      <c r="D465" s="197" t="str">
        <f aca="false">IF(A466&lt;&gt;"",B465+C465,"")</f>
        <v/>
      </c>
      <c r="E465" s="199" t="str">
        <f aca="false">IF(A466="","",IF(AND(AT465=1,$H$3=1),D465*AO465,IF($H$3=2,D465,"N/A")))</f>
        <v/>
      </c>
      <c r="F465" s="199" t="str">
        <f aca="false">IF(A466="","",E465*AS465)</f>
        <v/>
      </c>
      <c r="G465" s="200" t="str">
        <f aca="false">IF($A466="","",VLOOKUP($A465,Table,MATCH(G$4,Curves,0)))</f>
        <v/>
      </c>
      <c r="H465" s="201" t="str">
        <f aca="false">IF(A466="","",G465)</f>
        <v/>
      </c>
      <c r="J465" s="200" t="str">
        <f aca="false">IF($A466="","",VLOOKUP($A465,Table,MATCH(J$4,Curves,0)))</f>
        <v/>
      </c>
      <c r="K465" s="201" t="str">
        <f aca="false">IF(A466="","",J465)</f>
        <v/>
      </c>
      <c r="L465" s="185" t="n">
        <v>0</v>
      </c>
      <c r="M465" s="201" t="str">
        <f aca="false">IF(A466="","",L465)</f>
        <v/>
      </c>
      <c r="O465" s="200" t="str">
        <f aca="false">IF(A466="","",L465+J465+G465)</f>
        <v/>
      </c>
      <c r="P465" s="200" t="str">
        <f aca="false">IF(A466="","",M465+K465+H465)</f>
        <v/>
      </c>
      <c r="R465" s="200" t="str">
        <f aca="false">IF($A466="","",VLOOKUP($A465,Table,MATCH(R$4,Curves,0)))</f>
        <v/>
      </c>
      <c r="S465" s="201" t="str">
        <f aca="false">IF(A466="","",R465)</f>
        <v/>
      </c>
      <c r="T465" s="185" t="n">
        <v>0</v>
      </c>
      <c r="U465" s="201" t="str">
        <f aca="false">IF(A466="","",T465)</f>
        <v/>
      </c>
      <c r="V465" s="205"/>
      <c r="W465" s="202" t="str">
        <f aca="false">IF($A466="","",(T465+R465+G465+V465))</f>
        <v/>
      </c>
      <c r="X465" s="202" t="str">
        <f aca="false">IF($A466="","",(U465+S465+H465+V465))</f>
        <v/>
      </c>
      <c r="Y465" s="202"/>
      <c r="Z465" s="185"/>
      <c r="AJ465" s="77"/>
      <c r="AK465" s="77"/>
      <c r="AL465" s="77"/>
      <c r="AM465" s="77"/>
      <c r="AN465" s="77"/>
      <c r="AO465" s="137" t="str">
        <f aca="false">IF(A466="","",A466-A465)</f>
        <v/>
      </c>
      <c r="AP465" s="212" t="str">
        <f aca="false">IF(A466="","",CHOOSE(F$3,A466+24,A465))</f>
        <v/>
      </c>
      <c r="AQ465" s="209" t="str">
        <f aca="false">IF(A466="","",AP465-$E$1)</f>
        <v/>
      </c>
      <c r="AR465" s="185" t="n">
        <f aca="false">'ANR OK vs ML7'!AR465</f>
        <v>0.1</v>
      </c>
      <c r="AS465" s="213" t="str">
        <f aca="false">IF(A466="","",1/(1+CHOOSE(F$3,(AR466+($I$3/10000))/2,(AR465+($I$3/10000))/2))^(2*AQ465/365.25))</f>
        <v/>
      </c>
      <c r="AT465" s="137" t="str">
        <f aca="false">IF(A466="","",IF(AND(mthbeg&lt;=A465,mthend&gt;=A465),1,0))</f>
        <v/>
      </c>
      <c r="AU465" s="137" t="str">
        <f aca="false">IF(A466="","",AO465*AT465)</f>
        <v/>
      </c>
      <c r="AW465" s="195" t="str">
        <f aca="false">IF($A466="","",AL465*$E465)</f>
        <v/>
      </c>
      <c r="AX465" s="195" t="str">
        <f aca="false">IF($A466="","",AM465*$E465)</f>
        <v/>
      </c>
      <c r="AY465" s="195" t="str">
        <f aca="false">IF($A466="","",AN465*$E465)</f>
        <v/>
      </c>
      <c r="BA465" s="195" t="str">
        <f aca="false">IF($A466="","",F465*Summary!$Q$13)</f>
        <v/>
      </c>
    </row>
    <row r="466" customFormat="false" ht="12.75" hidden="false" customHeight="false" outlineLevel="0" collapsed="false">
      <c r="A466" s="196" t="str">
        <f aca="false">IF(A465&lt;mthend,EDATE(A465,1),"")</f>
        <v/>
      </c>
      <c r="B466" s="197" t="str">
        <f aca="false">IF(A466&lt;mthend,B465,"")</f>
        <v/>
      </c>
      <c r="D466" s="197" t="str">
        <f aca="false">IF(A467&lt;&gt;"",B466+C466,"")</f>
        <v/>
      </c>
      <c r="E466" s="199" t="str">
        <f aca="false">IF(A467="","",IF(AND(AT466=1,$H$3=1),D466*AO466,IF($H$3=2,D466,"N/A")))</f>
        <v/>
      </c>
      <c r="F466" s="199" t="str">
        <f aca="false">IF(A467="","",E466*AS466)</f>
        <v/>
      </c>
      <c r="G466" s="200" t="str">
        <f aca="false">IF($A467="","",VLOOKUP($A466,Table,MATCH(G$4,Curves,0)))</f>
        <v/>
      </c>
      <c r="H466" s="201" t="str">
        <f aca="false">IF(A467="","",G466)</f>
        <v/>
      </c>
      <c r="J466" s="200" t="str">
        <f aca="false">IF($A467="","",VLOOKUP($A466,Table,MATCH(J$4,Curves,0)))</f>
        <v/>
      </c>
      <c r="K466" s="201" t="str">
        <f aca="false">IF(A467="","",J466)</f>
        <v/>
      </c>
      <c r="L466" s="185" t="n">
        <v>0</v>
      </c>
      <c r="M466" s="201" t="str">
        <f aca="false">IF(A467="","",L466)</f>
        <v/>
      </c>
      <c r="O466" s="200" t="str">
        <f aca="false">IF(A467="","",L466+J466+G466)</f>
        <v/>
      </c>
      <c r="P466" s="200" t="str">
        <f aca="false">IF(A467="","",M466+K466+H466)</f>
        <v/>
      </c>
      <c r="R466" s="200" t="str">
        <f aca="false">IF($A467="","",VLOOKUP($A466,Table,MATCH(R$4,Curves,0)))</f>
        <v/>
      </c>
      <c r="S466" s="201" t="str">
        <f aca="false">IF(A467="","",R466)</f>
        <v/>
      </c>
      <c r="T466" s="185" t="n">
        <v>0</v>
      </c>
      <c r="U466" s="201" t="str">
        <f aca="false">IF(A467="","",T466)</f>
        <v/>
      </c>
      <c r="V466" s="205"/>
      <c r="W466" s="202" t="str">
        <f aca="false">IF($A467="","",(T466+R466+G466+V466))</f>
        <v/>
      </c>
      <c r="X466" s="202" t="str">
        <f aca="false">IF($A467="","",(U466+S466+H466+V466))</f>
        <v/>
      </c>
      <c r="Y466" s="202"/>
      <c r="Z466" s="185"/>
      <c r="AJ466" s="77"/>
      <c r="AK466" s="77"/>
      <c r="AL466" s="77"/>
      <c r="AM466" s="77"/>
      <c r="AN466" s="77"/>
      <c r="AO466" s="137" t="str">
        <f aca="false">IF(A467="","",A467-A466)</f>
        <v/>
      </c>
      <c r="AP466" s="212" t="str">
        <f aca="false">IF(A467="","",CHOOSE(F$3,A467+24,A466))</f>
        <v/>
      </c>
      <c r="AQ466" s="209" t="str">
        <f aca="false">IF(A467="","",AP466-$E$1)</f>
        <v/>
      </c>
      <c r="AR466" s="185" t="n">
        <f aca="false">'ANR OK vs ML7'!AR466</f>
        <v>0.1</v>
      </c>
      <c r="AS466" s="213" t="str">
        <f aca="false">IF(A467="","",1/(1+CHOOSE(F$3,(AR467+($I$3/10000))/2,(AR466+($I$3/10000))/2))^(2*AQ466/365.25))</f>
        <v/>
      </c>
      <c r="AT466" s="137" t="str">
        <f aca="false">IF(A467="","",IF(AND(mthbeg&lt;=A466,mthend&gt;=A466),1,0))</f>
        <v/>
      </c>
      <c r="AU466" s="137" t="str">
        <f aca="false">IF(A467="","",AO466*AT466)</f>
        <v/>
      </c>
      <c r="AW466" s="195" t="str">
        <f aca="false">IF($A467="","",AL466*$E466)</f>
        <v/>
      </c>
      <c r="AX466" s="195" t="str">
        <f aca="false">IF($A467="","",AM466*$E466)</f>
        <v/>
      </c>
      <c r="AY466" s="195" t="str">
        <f aca="false">IF($A467="","",AN466*$E466)</f>
        <v/>
      </c>
      <c r="BA466" s="195" t="str">
        <f aca="false">IF($A467="","",F466*Summary!$Q$13)</f>
        <v/>
      </c>
    </row>
    <row r="467" customFormat="false" ht="12.75" hidden="false" customHeight="false" outlineLevel="0" collapsed="false">
      <c r="A467" s="196" t="str">
        <f aca="false">IF(A466&lt;mthend,EDATE(A466,1),"")</f>
        <v/>
      </c>
      <c r="B467" s="197" t="str">
        <f aca="false">IF(A467&lt;mthend,B466,"")</f>
        <v/>
      </c>
      <c r="D467" s="197" t="str">
        <f aca="false">IF(A468&lt;&gt;"",B467+C467,"")</f>
        <v/>
      </c>
      <c r="E467" s="199" t="str">
        <f aca="false">IF(A468="","",IF(AND(AT467=1,$H$3=1),D467*AO467,IF($H$3=2,D467,"N/A")))</f>
        <v/>
      </c>
      <c r="F467" s="199" t="str">
        <f aca="false">IF(A468="","",E467*AS467)</f>
        <v/>
      </c>
      <c r="G467" s="200" t="str">
        <f aca="false">IF($A468="","",VLOOKUP($A467,Table,MATCH(G$4,Curves,0)))</f>
        <v/>
      </c>
      <c r="H467" s="201" t="str">
        <f aca="false">IF(A468="","",G467)</f>
        <v/>
      </c>
      <c r="J467" s="200" t="str">
        <f aca="false">IF($A468="","",VLOOKUP($A467,Table,MATCH(J$4,Curves,0)))</f>
        <v/>
      </c>
      <c r="K467" s="201" t="str">
        <f aca="false">IF(A468="","",J467)</f>
        <v/>
      </c>
      <c r="L467" s="185" t="n">
        <v>0</v>
      </c>
      <c r="M467" s="201" t="str">
        <f aca="false">IF(A468="","",L467)</f>
        <v/>
      </c>
      <c r="O467" s="200" t="str">
        <f aca="false">IF(A468="","",L467+J467+G467)</f>
        <v/>
      </c>
      <c r="P467" s="200" t="str">
        <f aca="false">IF(A468="","",M467+K467+H467)</f>
        <v/>
      </c>
      <c r="R467" s="200" t="str">
        <f aca="false">IF($A468="","",VLOOKUP($A467,Table,MATCH(R$4,Curves,0)))</f>
        <v/>
      </c>
      <c r="S467" s="201" t="str">
        <f aca="false">IF(A468="","",R467)</f>
        <v/>
      </c>
      <c r="T467" s="185" t="n">
        <v>0</v>
      </c>
      <c r="U467" s="201" t="str">
        <f aca="false">IF(A468="","",T467)</f>
        <v/>
      </c>
      <c r="V467" s="205"/>
      <c r="W467" s="202" t="str">
        <f aca="false">IF($A468="","",(T467+R467+G467+V467))</f>
        <v/>
      </c>
      <c r="X467" s="202" t="str">
        <f aca="false">IF($A468="","",(U467+S467+H467+V467))</f>
        <v/>
      </c>
      <c r="Y467" s="202"/>
      <c r="Z467" s="185"/>
      <c r="AJ467" s="77"/>
      <c r="AK467" s="77"/>
      <c r="AL467" s="77"/>
      <c r="AM467" s="77"/>
      <c r="AN467" s="77"/>
      <c r="AO467" s="137" t="str">
        <f aca="false">IF(A468="","",A468-A467)</f>
        <v/>
      </c>
      <c r="AP467" s="212" t="str">
        <f aca="false">IF(A468="","",CHOOSE(F$3,A468+24,A467))</f>
        <v/>
      </c>
      <c r="AQ467" s="209" t="str">
        <f aca="false">IF(A468="","",AP467-$E$1)</f>
        <v/>
      </c>
      <c r="AR467" s="185" t="n">
        <f aca="false">'ANR OK vs ML7'!AR467</f>
        <v>0.1</v>
      </c>
      <c r="AS467" s="213" t="str">
        <f aca="false">IF(A468="","",1/(1+CHOOSE(F$3,(AR468+($I$3/10000))/2,(AR467+($I$3/10000))/2))^(2*AQ467/365.25))</f>
        <v/>
      </c>
      <c r="AT467" s="137" t="str">
        <f aca="false">IF(A468="","",IF(AND(mthbeg&lt;=A467,mthend&gt;=A467),1,0))</f>
        <v/>
      </c>
      <c r="AU467" s="137" t="str">
        <f aca="false">IF(A468="","",AO467*AT467)</f>
        <v/>
      </c>
      <c r="AW467" s="195" t="str">
        <f aca="false">IF($A468="","",AL467*$E467)</f>
        <v/>
      </c>
      <c r="AX467" s="195" t="str">
        <f aca="false">IF($A468="","",AM467*$E467)</f>
        <v/>
      </c>
      <c r="AY467" s="195" t="str">
        <f aca="false">IF($A468="","",AN467*$E467)</f>
        <v/>
      </c>
      <c r="BA467" s="195" t="str">
        <f aca="false">IF($A468="","",F467*Summary!$Q$13)</f>
        <v/>
      </c>
    </row>
    <row r="468" customFormat="false" ht="12.75" hidden="false" customHeight="false" outlineLevel="0" collapsed="false">
      <c r="A468" s="196" t="str">
        <f aca="false">IF(A467&lt;mthend,EDATE(A467,1),"")</f>
        <v/>
      </c>
      <c r="B468" s="197" t="str">
        <f aca="false">IF(A468&lt;mthend,B467,"")</f>
        <v/>
      </c>
      <c r="D468" s="197" t="str">
        <f aca="false">IF(A469&lt;&gt;"",B468+C468,"")</f>
        <v/>
      </c>
      <c r="E468" s="199" t="str">
        <f aca="false">IF(A469="","",IF(AND(AT468=1,$H$3=1),D468*AO468,IF($H$3=2,D468,"N/A")))</f>
        <v/>
      </c>
      <c r="F468" s="199" t="str">
        <f aca="false">IF(A469="","",E468*AS468)</f>
        <v/>
      </c>
      <c r="G468" s="200" t="str">
        <f aca="false">IF($A469="","",VLOOKUP($A468,Table,MATCH(G$4,Curves,0)))</f>
        <v/>
      </c>
      <c r="H468" s="201" t="str">
        <f aca="false">IF(A469="","",G468)</f>
        <v/>
      </c>
      <c r="J468" s="200" t="str">
        <f aca="false">IF($A469="","",VLOOKUP($A468,Table,MATCH(J$4,Curves,0)))</f>
        <v/>
      </c>
      <c r="K468" s="201" t="str">
        <f aca="false">IF(A469="","",J468)</f>
        <v/>
      </c>
      <c r="L468" s="185" t="n">
        <v>0</v>
      </c>
      <c r="M468" s="201" t="str">
        <f aca="false">IF(A469="","",L468)</f>
        <v/>
      </c>
      <c r="O468" s="200" t="str">
        <f aca="false">IF(A469="","",L468+J468+G468)</f>
        <v/>
      </c>
      <c r="P468" s="200" t="str">
        <f aca="false">IF(A469="","",M468+K468+H468)</f>
        <v/>
      </c>
      <c r="R468" s="200" t="str">
        <f aca="false">IF($A469="","",VLOOKUP($A468,Table,MATCH(R$4,Curves,0)))</f>
        <v/>
      </c>
      <c r="S468" s="201" t="str">
        <f aca="false">IF(A469="","",R468)</f>
        <v/>
      </c>
      <c r="T468" s="185" t="n">
        <v>0</v>
      </c>
      <c r="U468" s="201" t="str">
        <f aca="false">IF(A469="","",T468)</f>
        <v/>
      </c>
      <c r="V468" s="205"/>
      <c r="W468" s="202" t="str">
        <f aca="false">IF($A469="","",(T468+R468+G468+V468))</f>
        <v/>
      </c>
      <c r="X468" s="202" t="str">
        <f aca="false">IF($A469="","",(U468+S468+H468+V468))</f>
        <v/>
      </c>
      <c r="Y468" s="202"/>
      <c r="Z468" s="185"/>
      <c r="AJ468" s="77"/>
      <c r="AK468" s="77"/>
      <c r="AL468" s="77"/>
      <c r="AM468" s="77"/>
      <c r="AN468" s="77"/>
      <c r="AO468" s="137" t="str">
        <f aca="false">IF(A469="","",A469-A468)</f>
        <v/>
      </c>
      <c r="AP468" s="212" t="str">
        <f aca="false">IF(A469="","",CHOOSE(F$3,A469+24,A468))</f>
        <v/>
      </c>
      <c r="AQ468" s="209" t="str">
        <f aca="false">IF(A469="","",AP468-$E$1)</f>
        <v/>
      </c>
      <c r="AR468" s="185" t="n">
        <f aca="false">'ANR OK vs ML7'!AR468</f>
        <v>0.1</v>
      </c>
      <c r="AS468" s="213" t="str">
        <f aca="false">IF(A469="","",1/(1+CHOOSE(F$3,(AR469+($I$3/10000))/2,(AR468+($I$3/10000))/2))^(2*AQ468/365.25))</f>
        <v/>
      </c>
      <c r="AT468" s="137" t="str">
        <f aca="false">IF(A469="","",IF(AND(mthbeg&lt;=A468,mthend&gt;=A468),1,0))</f>
        <v/>
      </c>
      <c r="AU468" s="137" t="str">
        <f aca="false">IF(A469="","",AO468*AT468)</f>
        <v/>
      </c>
      <c r="AW468" s="195" t="str">
        <f aca="false">IF($A469="","",AL468*$E468)</f>
        <v/>
      </c>
      <c r="AX468" s="195" t="str">
        <f aca="false">IF($A469="","",AM468*$E468)</f>
        <v/>
      </c>
      <c r="AY468" s="195" t="str">
        <f aca="false">IF($A469="","",AN468*$E468)</f>
        <v/>
      </c>
      <c r="BA468" s="195" t="str">
        <f aca="false">IF($A469="","",F468*Summary!$Q$13)</f>
        <v/>
      </c>
    </row>
    <row r="469" customFormat="false" ht="12.75" hidden="false" customHeight="false" outlineLevel="0" collapsed="false">
      <c r="A469" s="196" t="str">
        <f aca="false">IF(A468&lt;mthend,EDATE(A468,1),"")</f>
        <v/>
      </c>
      <c r="B469" s="197" t="str">
        <f aca="false">IF(A469&lt;mthend,B468,"")</f>
        <v/>
      </c>
      <c r="D469" s="197" t="str">
        <f aca="false">IF(A470&lt;&gt;"",B469+C469,"")</f>
        <v/>
      </c>
      <c r="E469" s="199" t="str">
        <f aca="false">IF(A470="","",IF(AND(AT469=1,$H$3=1),D469*AO469,IF($H$3=2,D469,"N/A")))</f>
        <v/>
      </c>
      <c r="F469" s="199" t="str">
        <f aca="false">IF(A470="","",E469*AS469)</f>
        <v/>
      </c>
      <c r="G469" s="200" t="str">
        <f aca="false">IF($A470="","",VLOOKUP($A469,Table,MATCH(G$4,Curves,0)))</f>
        <v/>
      </c>
      <c r="H469" s="201" t="str">
        <f aca="false">IF(A470="","",G469)</f>
        <v/>
      </c>
      <c r="J469" s="200" t="str">
        <f aca="false">IF($A470="","",VLOOKUP($A469,Table,MATCH(J$4,Curves,0)))</f>
        <v/>
      </c>
      <c r="K469" s="201" t="str">
        <f aca="false">IF(A470="","",J469)</f>
        <v/>
      </c>
      <c r="L469" s="185" t="n">
        <v>0</v>
      </c>
      <c r="M469" s="201" t="str">
        <f aca="false">IF(A470="","",L469)</f>
        <v/>
      </c>
      <c r="O469" s="200" t="str">
        <f aca="false">IF(A470="","",L469+J469+G469)</f>
        <v/>
      </c>
      <c r="P469" s="200" t="str">
        <f aca="false">IF(A470="","",M469+K469+H469)</f>
        <v/>
      </c>
      <c r="R469" s="200" t="str">
        <f aca="false">IF($A470="","",VLOOKUP($A469,Table,MATCH(R$4,Curves,0)))</f>
        <v/>
      </c>
      <c r="S469" s="201" t="str">
        <f aca="false">IF(A470="","",R469)</f>
        <v/>
      </c>
      <c r="T469" s="185" t="n">
        <v>0</v>
      </c>
      <c r="U469" s="201" t="str">
        <f aca="false">IF(A470="","",T469)</f>
        <v/>
      </c>
      <c r="V469" s="205"/>
      <c r="W469" s="202" t="str">
        <f aca="false">IF($A470="","",(T469+R469+G469+V469))</f>
        <v/>
      </c>
      <c r="X469" s="202" t="str">
        <f aca="false">IF($A470="","",(U469+S469+H469+V469))</f>
        <v/>
      </c>
      <c r="Y469" s="202"/>
      <c r="Z469" s="185"/>
      <c r="AJ469" s="77"/>
      <c r="AK469" s="77"/>
      <c r="AL469" s="77"/>
      <c r="AM469" s="77"/>
      <c r="AN469" s="77"/>
      <c r="AO469" s="137" t="str">
        <f aca="false">IF(A470="","",A470-A469)</f>
        <v/>
      </c>
      <c r="AP469" s="212" t="str">
        <f aca="false">IF(A470="","",CHOOSE(F$3,A470+24,A469))</f>
        <v/>
      </c>
      <c r="AQ469" s="209" t="str">
        <f aca="false">IF(A470="","",AP469-$E$1)</f>
        <v/>
      </c>
      <c r="AR469" s="185" t="n">
        <f aca="false">'ANR OK vs ML7'!AR469</f>
        <v>0.1</v>
      </c>
      <c r="AS469" s="213" t="str">
        <f aca="false">IF(A470="","",1/(1+CHOOSE(F$3,(AR470+($I$3/10000))/2,(AR469+($I$3/10000))/2))^(2*AQ469/365.25))</f>
        <v/>
      </c>
      <c r="AT469" s="137" t="str">
        <f aca="false">IF(A470="","",IF(AND(mthbeg&lt;=A469,mthend&gt;=A469),1,0))</f>
        <v/>
      </c>
      <c r="AU469" s="137" t="str">
        <f aca="false">IF(A470="","",AO469*AT469)</f>
        <v/>
      </c>
      <c r="AW469" s="195" t="str">
        <f aca="false">IF($A470="","",AL469*$E469)</f>
        <v/>
      </c>
      <c r="AX469" s="195" t="str">
        <f aca="false">IF($A470="","",AM469*$E469)</f>
        <v/>
      </c>
      <c r="AY469" s="195" t="str">
        <f aca="false">IF($A470="","",AN469*$E469)</f>
        <v/>
      </c>
      <c r="BA469" s="195" t="str">
        <f aca="false">IF($A470="","",F469*Summary!$Q$13)</f>
        <v/>
      </c>
    </row>
    <row r="470" customFormat="false" ht="12.75" hidden="false" customHeight="false" outlineLevel="0" collapsed="false">
      <c r="A470" s="196" t="str">
        <f aca="false">IF(A469&lt;mthend,EDATE(A469,1),"")</f>
        <v/>
      </c>
      <c r="B470" s="197" t="str">
        <f aca="false">IF(A470&lt;mthend,B469,"")</f>
        <v/>
      </c>
      <c r="D470" s="197" t="str">
        <f aca="false">IF(A471&lt;&gt;"",B470+C470,"")</f>
        <v/>
      </c>
      <c r="E470" s="199" t="str">
        <f aca="false">IF(A471="","",IF(AND(AT470=1,$H$3=1),D470*AO470,IF($H$3=2,D470,"N/A")))</f>
        <v/>
      </c>
      <c r="F470" s="199" t="str">
        <f aca="false">IF(A471="","",E470*AS470)</f>
        <v/>
      </c>
      <c r="G470" s="200" t="str">
        <f aca="false">IF($A471="","",VLOOKUP($A470,Table,MATCH(G$4,Curves,0)))</f>
        <v/>
      </c>
      <c r="H470" s="201" t="str">
        <f aca="false">IF(A471="","",G470)</f>
        <v/>
      </c>
      <c r="J470" s="200" t="str">
        <f aca="false">IF($A471="","",VLOOKUP($A470,Table,MATCH(J$4,Curves,0)))</f>
        <v/>
      </c>
      <c r="K470" s="201" t="str">
        <f aca="false">IF(A471="","",J470)</f>
        <v/>
      </c>
      <c r="L470" s="185" t="n">
        <v>0</v>
      </c>
      <c r="M470" s="201" t="str">
        <f aca="false">IF(A471="","",L470)</f>
        <v/>
      </c>
      <c r="O470" s="200" t="str">
        <f aca="false">IF(A471="","",L470+J470+G470)</f>
        <v/>
      </c>
      <c r="P470" s="200" t="str">
        <f aca="false">IF(A471="","",M470+K470+H470)</f>
        <v/>
      </c>
      <c r="R470" s="200" t="str">
        <f aca="false">IF($A471="","",VLOOKUP($A470,Table,MATCH(R$4,Curves,0)))</f>
        <v/>
      </c>
      <c r="S470" s="201" t="str">
        <f aca="false">IF(A471="","",R470)</f>
        <v/>
      </c>
      <c r="T470" s="185" t="n">
        <v>0</v>
      </c>
      <c r="U470" s="201" t="str">
        <f aca="false">IF(A471="","",T470)</f>
        <v/>
      </c>
      <c r="V470" s="205"/>
      <c r="W470" s="202" t="str">
        <f aca="false">IF($A471="","",(T470+R470+G470+V470))</f>
        <v/>
      </c>
      <c r="X470" s="202" t="str">
        <f aca="false">IF($A471="","",(U470+S470+H470+V470))</f>
        <v/>
      </c>
      <c r="Y470" s="202"/>
      <c r="Z470" s="185"/>
      <c r="AJ470" s="77"/>
      <c r="AK470" s="77"/>
      <c r="AL470" s="77"/>
      <c r="AM470" s="77"/>
      <c r="AN470" s="77"/>
      <c r="AO470" s="137" t="str">
        <f aca="false">IF(A471="","",A471-A470)</f>
        <v/>
      </c>
      <c r="AP470" s="212" t="str">
        <f aca="false">IF(A471="","",CHOOSE(F$3,A471+24,A470))</f>
        <v/>
      </c>
      <c r="AQ470" s="209" t="str">
        <f aca="false">IF(A471="","",AP470-$E$1)</f>
        <v/>
      </c>
      <c r="AR470" s="185" t="n">
        <f aca="false">'ANR OK vs ML7'!AR470</f>
        <v>0.1</v>
      </c>
      <c r="AS470" s="213" t="str">
        <f aca="false">IF(A471="","",1/(1+CHOOSE(F$3,(AR471+($I$3/10000))/2,(AR470+($I$3/10000))/2))^(2*AQ470/365.25))</f>
        <v/>
      </c>
      <c r="AT470" s="137" t="str">
        <f aca="false">IF(A471="","",IF(AND(mthbeg&lt;=A470,mthend&gt;=A470),1,0))</f>
        <v/>
      </c>
      <c r="AU470" s="137" t="str">
        <f aca="false">IF(A471="","",AO470*AT470)</f>
        <v/>
      </c>
      <c r="AW470" s="195" t="str">
        <f aca="false">IF($A471="","",AL470*$E470)</f>
        <v/>
      </c>
      <c r="AX470" s="195" t="str">
        <f aca="false">IF($A471="","",AM470*$E470)</f>
        <v/>
      </c>
      <c r="AY470" s="195" t="str">
        <f aca="false">IF($A471="","",AN470*$E470)</f>
        <v/>
      </c>
      <c r="BA470" s="195" t="str">
        <f aca="false">IF($A471="","",F470*Summary!$Q$13)</f>
        <v/>
      </c>
    </row>
    <row r="471" customFormat="false" ht="12.75" hidden="false" customHeight="false" outlineLevel="0" collapsed="false">
      <c r="A471" s="196" t="str">
        <f aca="false">IF(A470&lt;mthend,EDATE(A470,1),"")</f>
        <v/>
      </c>
      <c r="B471" s="197" t="str">
        <f aca="false">IF(A471&lt;mthend,B470,"")</f>
        <v/>
      </c>
      <c r="D471" s="197" t="str">
        <f aca="false">IF(A472&lt;&gt;"",B471+C471,"")</f>
        <v/>
      </c>
      <c r="E471" s="199" t="str">
        <f aca="false">IF(A472="","",IF(AND(AT471=1,$H$3=1),D471*AO471,IF($H$3=2,D471,"N/A")))</f>
        <v/>
      </c>
      <c r="F471" s="199" t="str">
        <f aca="false">IF(A472="","",E471*AS471)</f>
        <v/>
      </c>
      <c r="G471" s="200" t="str">
        <f aca="false">IF($A472="","",VLOOKUP($A471,Table,MATCH(G$4,Curves,0)))</f>
        <v/>
      </c>
      <c r="H471" s="201" t="str">
        <f aca="false">IF(A472="","",G471)</f>
        <v/>
      </c>
      <c r="J471" s="200" t="str">
        <f aca="false">IF($A472="","",VLOOKUP($A471,Table,MATCH(J$4,Curves,0)))</f>
        <v/>
      </c>
      <c r="K471" s="201" t="str">
        <f aca="false">IF(A472="","",J471)</f>
        <v/>
      </c>
      <c r="L471" s="185" t="n">
        <v>0</v>
      </c>
      <c r="M471" s="201" t="str">
        <f aca="false">IF(A472="","",L471)</f>
        <v/>
      </c>
      <c r="O471" s="200" t="str">
        <f aca="false">IF(A472="","",L471+J471+G471)</f>
        <v/>
      </c>
      <c r="P471" s="200" t="str">
        <f aca="false">IF(A472="","",M471+K471+H471)</f>
        <v/>
      </c>
      <c r="R471" s="200" t="str">
        <f aca="false">IF($A472="","",VLOOKUP($A471,Table,MATCH(R$4,Curves,0)))</f>
        <v/>
      </c>
      <c r="S471" s="201" t="str">
        <f aca="false">IF(A472="","",R471)</f>
        <v/>
      </c>
      <c r="T471" s="185" t="n">
        <v>0</v>
      </c>
      <c r="U471" s="201" t="str">
        <f aca="false">IF(A472="","",T471)</f>
        <v/>
      </c>
      <c r="V471" s="205"/>
      <c r="W471" s="202" t="str">
        <f aca="false">IF($A472="","",(T471+R471+G471+V471))</f>
        <v/>
      </c>
      <c r="X471" s="202" t="str">
        <f aca="false">IF($A472="","",(U471+S471+H471+V471))</f>
        <v/>
      </c>
      <c r="Y471" s="202"/>
      <c r="Z471" s="21"/>
      <c r="AJ471" s="77"/>
      <c r="AK471" s="77"/>
      <c r="AL471" s="77"/>
      <c r="AM471" s="77"/>
      <c r="AN471" s="77"/>
      <c r="AO471" s="137" t="str">
        <f aca="false">IF(A472="","",A472-A471)</f>
        <v/>
      </c>
      <c r="AP471" s="212" t="str">
        <f aca="false">IF(A472="","",CHOOSE(F$3,A472+24,A471))</f>
        <v/>
      </c>
      <c r="AQ471" s="209" t="str">
        <f aca="false">IF(A472="","",AP471-$E$1)</f>
        <v/>
      </c>
      <c r="AR471" s="185" t="n">
        <f aca="false">'ANR OK vs ML7'!AR471</f>
        <v>0.1</v>
      </c>
      <c r="AS471" s="213" t="str">
        <f aca="false">IF(A472="","",1/(1+CHOOSE(F$3,(AR472+($I$3/10000))/2,(AR471+($I$3/10000))/2))^(2*AQ471/365.25))</f>
        <v/>
      </c>
      <c r="AT471" s="137" t="str">
        <f aca="false">IF(A472="","",IF(AND(mthbeg&lt;=A471,mthend&gt;=A471),1,0))</f>
        <v/>
      </c>
      <c r="AU471" s="137" t="str">
        <f aca="false">IF(A472="","",AO471*AT471)</f>
        <v/>
      </c>
      <c r="AW471" s="195" t="str">
        <f aca="false">IF($A472="","",AL471*$E471)</f>
        <v/>
      </c>
      <c r="AX471" s="195" t="str">
        <f aca="false">IF($A472="","",AM471*$E471)</f>
        <v/>
      </c>
      <c r="AY471" s="195" t="str">
        <f aca="false">IF($A472="","",AN471*$E471)</f>
        <v/>
      </c>
      <c r="BA471" s="195" t="str">
        <f aca="false">IF($A472="","",F471*Summary!$Q$13)</f>
        <v/>
      </c>
    </row>
    <row r="472" customFormat="false" ht="12.75" hidden="false" customHeight="false" outlineLevel="0" collapsed="false">
      <c r="A472" s="196" t="str">
        <f aca="false">IF(A471&lt;mthend,EDATE(A471,1),"")</f>
        <v/>
      </c>
      <c r="B472" s="197" t="str">
        <f aca="false">IF(A472&lt;mthend,B471,"")</f>
        <v/>
      </c>
      <c r="D472" s="197" t="str">
        <f aca="false">IF(A473&lt;&gt;"",B472+C472,"")</f>
        <v/>
      </c>
      <c r="E472" s="199" t="str">
        <f aca="false">IF(A473="","",IF(AND(AT472=1,$H$3=1),D472*AO472,IF($H$3=2,D472,"N/A")))</f>
        <v/>
      </c>
      <c r="F472" s="199" t="str">
        <f aca="false">IF(A473="","",E472*AS472)</f>
        <v/>
      </c>
      <c r="G472" s="200" t="str">
        <f aca="false">IF($A473="","",VLOOKUP($A472,Table,MATCH(G$4,Curves,0)))</f>
        <v/>
      </c>
      <c r="H472" s="201" t="str">
        <f aca="false">IF(A473="","",G472)</f>
        <v/>
      </c>
      <c r="J472" s="200" t="str">
        <f aca="false">IF($A473="","",VLOOKUP($A472,Table,MATCH(J$4,Curves,0)))</f>
        <v/>
      </c>
      <c r="K472" s="201" t="str">
        <f aca="false">IF(A473="","",J472)</f>
        <v/>
      </c>
      <c r="L472" s="185" t="n">
        <v>0</v>
      </c>
      <c r="M472" s="201" t="str">
        <f aca="false">IF(A473="","",L472)</f>
        <v/>
      </c>
      <c r="O472" s="200" t="str">
        <f aca="false">IF(A473="","",L472+J472+G472)</f>
        <v/>
      </c>
      <c r="P472" s="200" t="str">
        <f aca="false">IF(A473="","",M472+K472+H472)</f>
        <v/>
      </c>
      <c r="R472" s="200" t="str">
        <f aca="false">IF($A473="","",VLOOKUP($A472,Table,MATCH(R$4,Curves,0)))</f>
        <v/>
      </c>
      <c r="S472" s="201" t="str">
        <f aca="false">IF(A473="","",R472)</f>
        <v/>
      </c>
      <c r="T472" s="185" t="n">
        <v>0</v>
      </c>
      <c r="U472" s="201" t="str">
        <f aca="false">IF(A473="","",T472)</f>
        <v/>
      </c>
      <c r="V472" s="205"/>
      <c r="W472" s="202" t="str">
        <f aca="false">IF($A473="","",(T472+R472+G472+V472))</f>
        <v/>
      </c>
      <c r="X472" s="202" t="str">
        <f aca="false">IF($A473="","",(U472+S472+H472+V472))</f>
        <v/>
      </c>
      <c r="Y472" s="202"/>
      <c r="AJ472" s="77"/>
      <c r="AK472" s="77"/>
      <c r="AL472" s="77"/>
      <c r="AM472" s="77"/>
      <c r="AN472" s="77"/>
      <c r="AO472" s="137" t="str">
        <f aca="false">IF(A473="","",A473-A472)</f>
        <v/>
      </c>
      <c r="AP472" s="212" t="str">
        <f aca="false">IF(A473="","",CHOOSE(F$3,A473+24,A472))</f>
        <v/>
      </c>
      <c r="AQ472" s="209" t="str">
        <f aca="false">IF(A473="","",AP472-$E$1)</f>
        <v/>
      </c>
      <c r="AR472" s="185" t="n">
        <f aca="false">'ANR OK vs ML7'!AR472</f>
        <v>0.1</v>
      </c>
      <c r="AS472" s="213" t="str">
        <f aca="false">IF(A473="","",1/(1+CHOOSE(F$3,(AR473+($I$3/10000))/2,(AR472+($I$3/10000))/2))^(2*AQ472/365.25))</f>
        <v/>
      </c>
      <c r="AT472" s="137" t="str">
        <f aca="false">IF(A473="","",IF(AND(mthbeg&lt;=A472,mthend&gt;=A472),1,0))</f>
        <v/>
      </c>
      <c r="AU472" s="137" t="str">
        <f aca="false">IF(A473="","",AO472*AT472)</f>
        <v/>
      </c>
      <c r="AW472" s="195" t="str">
        <f aca="false">IF($A473="","",AL472*$E472)</f>
        <v/>
      </c>
      <c r="AX472" s="195" t="str">
        <f aca="false">IF($A473="","",AM472*$E472)</f>
        <v/>
      </c>
      <c r="AY472" s="195" t="str">
        <f aca="false">IF($A473="","",AN472*$E472)</f>
        <v/>
      </c>
      <c r="BA472" s="195" t="str">
        <f aca="false">IF($A473="","",F472*Summary!$Q$13)</f>
        <v/>
      </c>
    </row>
    <row r="473" customFormat="false" ht="12.75" hidden="false" customHeight="false" outlineLevel="0" collapsed="false">
      <c r="A473" s="196" t="str">
        <f aca="false">IF(A472&lt;mthend,EDATE(A472,1),"")</f>
        <v/>
      </c>
      <c r="B473" s="197" t="str">
        <f aca="false">IF(A473&lt;mthend,B472,"")</f>
        <v/>
      </c>
      <c r="D473" s="197" t="str">
        <f aca="false">IF(A474&lt;&gt;"",B473+C473,"")</f>
        <v/>
      </c>
      <c r="E473" s="199" t="str">
        <f aca="false">IF(A474="","",IF(AND(AT473=1,$H$3=1),D473*AO473,IF($H$3=2,D473,"N/A")))</f>
        <v/>
      </c>
      <c r="F473" s="199" t="str">
        <f aca="false">IF(A474="","",E473*AS473)</f>
        <v/>
      </c>
      <c r="G473" s="200" t="str">
        <f aca="false">IF($A474="","",VLOOKUP($A473,Table,MATCH(G$4,Curves,0)))</f>
        <v/>
      </c>
      <c r="H473" s="201" t="str">
        <f aca="false">IF(A474="","",G473)</f>
        <v/>
      </c>
      <c r="J473" s="200" t="str">
        <f aca="false">IF($A474="","",VLOOKUP($A473,Table,MATCH(J$4,Curves,0)))</f>
        <v/>
      </c>
      <c r="K473" s="201" t="str">
        <f aca="false">IF(A474="","",J473)</f>
        <v/>
      </c>
      <c r="L473" s="185" t="n">
        <v>0</v>
      </c>
      <c r="M473" s="201" t="str">
        <f aca="false">IF(A474="","",L473)</f>
        <v/>
      </c>
      <c r="O473" s="200" t="str">
        <f aca="false">IF(A474="","",L473+J473+G473)</f>
        <v/>
      </c>
      <c r="P473" s="200" t="str">
        <f aca="false">IF(A474="","",M473+K473+H473)</f>
        <v/>
      </c>
      <c r="R473" s="200" t="str">
        <f aca="false">IF($A474="","",VLOOKUP($A473,Table,MATCH(R$4,Curves,0)))</f>
        <v/>
      </c>
      <c r="S473" s="201" t="str">
        <f aca="false">IF(A474="","",R473)</f>
        <v/>
      </c>
      <c r="T473" s="185" t="n">
        <v>0</v>
      </c>
      <c r="U473" s="201" t="str">
        <f aca="false">IF(A474="","",T473)</f>
        <v/>
      </c>
      <c r="V473" s="205"/>
      <c r="W473" s="202" t="str">
        <f aca="false">IF($A474="","",(T473+R473+G473+V473))</f>
        <v/>
      </c>
      <c r="X473" s="202" t="str">
        <f aca="false">IF($A474="","",(U473+S473+H473+V473))</f>
        <v/>
      </c>
      <c r="Y473" s="202"/>
      <c r="AJ473" s="77"/>
      <c r="AK473" s="77"/>
      <c r="AL473" s="77"/>
      <c r="AM473" s="77"/>
      <c r="AN473" s="77"/>
      <c r="AO473" s="137" t="str">
        <f aca="false">IF(A474="","",A474-A473)</f>
        <v/>
      </c>
      <c r="AP473" s="212" t="str">
        <f aca="false">IF(A474="","",CHOOSE(F$3,A474+24,A473))</f>
        <v/>
      </c>
      <c r="AQ473" s="209" t="str">
        <f aca="false">IF(A474="","",AP473-$E$1)</f>
        <v/>
      </c>
      <c r="AR473" s="185" t="n">
        <f aca="false">'ANR OK vs ML7'!AR473</f>
        <v>0.1</v>
      </c>
      <c r="AS473" s="213" t="str">
        <f aca="false">IF(A474="","",1/(1+CHOOSE(F$3,(AR474+($I$3/10000))/2,(AR473+($I$3/10000))/2))^(2*AQ473/365.25))</f>
        <v/>
      </c>
      <c r="AT473" s="137" t="str">
        <f aca="false">IF(A474="","",IF(AND(mthbeg&lt;=A473,mthend&gt;=A473),1,0))</f>
        <v/>
      </c>
      <c r="AU473" s="137" t="str">
        <f aca="false">IF(A474="","",AO473*AT473)</f>
        <v/>
      </c>
      <c r="AW473" s="195" t="str">
        <f aca="false">IF($A474="","",AL473*$E473)</f>
        <v/>
      </c>
      <c r="AX473" s="195" t="str">
        <f aca="false">IF($A474="","",AM473*$E473)</f>
        <v/>
      </c>
      <c r="AY473" s="195" t="str">
        <f aca="false">IF($A474="","",AN473*$E473)</f>
        <v/>
      </c>
      <c r="BA473" s="195" t="str">
        <f aca="false">IF($A474="","",F473*Summary!$Q$13)</f>
        <v/>
      </c>
    </row>
    <row r="474" customFormat="false" ht="12.75" hidden="false" customHeight="false" outlineLevel="0" collapsed="false">
      <c r="A474" s="196" t="str">
        <f aca="false">IF(A473&lt;mthend,EDATE(A473,1),"")</f>
        <v/>
      </c>
      <c r="B474" s="197" t="str">
        <f aca="false">IF(A474&lt;mthend,B473,"")</f>
        <v/>
      </c>
      <c r="D474" s="197" t="str">
        <f aca="false">IF(A475&lt;&gt;"",B474+C474,"")</f>
        <v/>
      </c>
      <c r="E474" s="199" t="str">
        <f aca="false">IF(A475="","",IF(AND(AT474=1,$H$3=1),D474*AO474,IF($H$3=2,D474,"N/A")))</f>
        <v/>
      </c>
      <c r="F474" s="199" t="str">
        <f aca="false">IF(A475="","",E474*AS474)</f>
        <v/>
      </c>
      <c r="G474" s="200" t="str">
        <f aca="false">IF($A475="","",VLOOKUP($A474,Table,MATCH(G$4,Curves,0)))</f>
        <v/>
      </c>
      <c r="H474" s="201" t="str">
        <f aca="false">IF(A475="","",G474)</f>
        <v/>
      </c>
      <c r="J474" s="200" t="str">
        <f aca="false">IF($A475="","",VLOOKUP($A474,Table,MATCH(J$4,Curves,0)))</f>
        <v/>
      </c>
      <c r="K474" s="201" t="str">
        <f aca="false">IF(A475="","",J474)</f>
        <v/>
      </c>
      <c r="L474" s="185" t="n">
        <v>0</v>
      </c>
      <c r="M474" s="201" t="str">
        <f aca="false">IF(A475="","",L474)</f>
        <v/>
      </c>
      <c r="O474" s="200" t="str">
        <f aca="false">IF(A475="","",L474+J474+G474)</f>
        <v/>
      </c>
      <c r="P474" s="200" t="str">
        <f aca="false">IF(A475="","",M474+K474+H474)</f>
        <v/>
      </c>
      <c r="R474" s="200" t="str">
        <f aca="false">IF($A475="","",VLOOKUP($A474,Table,MATCH(R$4,Curves,0)))</f>
        <v/>
      </c>
      <c r="S474" s="201" t="str">
        <f aca="false">IF(A475="","",R474)</f>
        <v/>
      </c>
      <c r="T474" s="185" t="n">
        <v>0</v>
      </c>
      <c r="U474" s="201" t="str">
        <f aca="false">IF(A475="","",T474)</f>
        <v/>
      </c>
      <c r="V474" s="205"/>
      <c r="W474" s="202" t="str">
        <f aca="false">IF($A475="","",(T474+R474+G474+V474))</f>
        <v/>
      </c>
      <c r="X474" s="202" t="str">
        <f aca="false">IF($A475="","",(U474+S474+H474+V474))</f>
        <v/>
      </c>
      <c r="Y474" s="202"/>
      <c r="AJ474" s="77"/>
      <c r="AK474" s="77"/>
      <c r="AL474" s="77"/>
      <c r="AM474" s="77"/>
      <c r="AN474" s="77"/>
      <c r="AO474" s="137" t="str">
        <f aca="false">IF(A475="","",A475-A474)</f>
        <v/>
      </c>
      <c r="AP474" s="212" t="str">
        <f aca="false">IF(A475="","",CHOOSE(F$3,A475+24,A474))</f>
        <v/>
      </c>
      <c r="AQ474" s="209" t="str">
        <f aca="false">IF(A475="","",AP474-$E$1)</f>
        <v/>
      </c>
      <c r="AR474" s="185" t="n">
        <f aca="false">'ANR OK vs ML7'!AR474</f>
        <v>0.1</v>
      </c>
      <c r="AS474" s="213" t="str">
        <f aca="false">IF(A475="","",1/(1+CHOOSE(F$3,(AR475+($I$3/10000))/2,(AR474+($I$3/10000))/2))^(2*AQ474/365.25))</f>
        <v/>
      </c>
      <c r="AT474" s="137" t="str">
        <f aca="false">IF(A475="","",IF(AND(mthbeg&lt;=A474,mthend&gt;=A474),1,0))</f>
        <v/>
      </c>
      <c r="AU474" s="137" t="str">
        <f aca="false">IF(A475="","",AO474*AT474)</f>
        <v/>
      </c>
      <c r="AW474" s="195" t="str">
        <f aca="false">IF($A475="","",AL474*$E474)</f>
        <v/>
      </c>
      <c r="AX474" s="195" t="str">
        <f aca="false">IF($A475="","",AM474*$E474)</f>
        <v/>
      </c>
      <c r="AY474" s="195" t="str">
        <f aca="false">IF($A475="","",AN474*$E474)</f>
        <v/>
      </c>
      <c r="BA474" s="195" t="str">
        <f aca="false">IF($A475="","",F474*Summary!$Q$13)</f>
        <v/>
      </c>
    </row>
    <row r="475" customFormat="false" ht="12.75" hidden="false" customHeight="false" outlineLevel="0" collapsed="false">
      <c r="A475" s="196" t="str">
        <f aca="false">IF(A474&lt;mthend,EDATE(A474,1),"")</f>
        <v/>
      </c>
      <c r="B475" s="197" t="str">
        <f aca="false">IF(A475&lt;mthend,B474,"")</f>
        <v/>
      </c>
      <c r="D475" s="197" t="str">
        <f aca="false">IF(A476&lt;&gt;"",B475+C475,"")</f>
        <v/>
      </c>
      <c r="E475" s="199" t="str">
        <f aca="false">IF(A476="","",IF(AND(AT475=1,$H$3=1),D475*AO475,IF($H$3=2,D475,"N/A")))</f>
        <v/>
      </c>
      <c r="F475" s="199" t="str">
        <f aca="false">IF(A476="","",E475*AS475)</f>
        <v/>
      </c>
      <c r="G475" s="200" t="str">
        <f aca="false">IF($A476="","",VLOOKUP($A475,Table,MATCH(G$4,Curves,0)))</f>
        <v/>
      </c>
      <c r="H475" s="201" t="str">
        <f aca="false">IF(A476="","",G475)</f>
        <v/>
      </c>
      <c r="J475" s="200" t="str">
        <f aca="false">IF($A476="","",VLOOKUP($A475,Table,MATCH(J$4,Curves,0)))</f>
        <v/>
      </c>
      <c r="K475" s="201" t="str">
        <f aca="false">IF(A476="","",J475)</f>
        <v/>
      </c>
      <c r="L475" s="185" t="n">
        <v>0</v>
      </c>
      <c r="M475" s="201" t="str">
        <f aca="false">IF(A476="","",L475)</f>
        <v/>
      </c>
      <c r="O475" s="200" t="str">
        <f aca="false">IF(A476="","",L475+J475+G475)</f>
        <v/>
      </c>
      <c r="P475" s="200" t="str">
        <f aca="false">IF(A476="","",M475+K475+H475)</f>
        <v/>
      </c>
      <c r="R475" s="200" t="str">
        <f aca="false">IF($A476="","",VLOOKUP($A475,Table,MATCH(R$4,Curves,0)))</f>
        <v/>
      </c>
      <c r="S475" s="201" t="str">
        <f aca="false">IF(A476="","",R475)</f>
        <v/>
      </c>
      <c r="T475" s="185" t="n">
        <v>0</v>
      </c>
      <c r="U475" s="201" t="str">
        <f aca="false">IF(A476="","",T475)</f>
        <v/>
      </c>
      <c r="V475" s="205"/>
      <c r="W475" s="202" t="str">
        <f aca="false">IF($A476="","",(T475+R475+G475+V475))</f>
        <v/>
      </c>
      <c r="X475" s="202" t="str">
        <f aca="false">IF($A476="","",(U475+S475+H475+V475))</f>
        <v/>
      </c>
      <c r="Y475" s="202"/>
      <c r="AJ475" s="77"/>
      <c r="AK475" s="77"/>
      <c r="AL475" s="77"/>
      <c r="AM475" s="77"/>
      <c r="AN475" s="77"/>
      <c r="AO475" s="137" t="str">
        <f aca="false">IF(A476="","",A476-A475)</f>
        <v/>
      </c>
      <c r="AP475" s="212" t="str">
        <f aca="false">IF(A476="","",CHOOSE(F$3,A476+24,A475))</f>
        <v/>
      </c>
      <c r="AQ475" s="209" t="str">
        <f aca="false">IF(A476="","",AP475-$E$1)</f>
        <v/>
      </c>
      <c r="AR475" s="185" t="n">
        <f aca="false">'ANR OK vs ML7'!AR475</f>
        <v>0.1</v>
      </c>
      <c r="AS475" s="213" t="str">
        <f aca="false">IF(A476="","",1/(1+CHOOSE(F$3,(AR476+($I$3/10000))/2,(AR475+($I$3/10000))/2))^(2*AQ475/365.25))</f>
        <v/>
      </c>
      <c r="AT475" s="137" t="str">
        <f aca="false">IF(A476="","",IF(AND(mthbeg&lt;=A475,mthend&gt;=A475),1,0))</f>
        <v/>
      </c>
      <c r="AU475" s="137" t="str">
        <f aca="false">IF(A476="","",AO475*AT475)</f>
        <v/>
      </c>
      <c r="AW475" s="195" t="str">
        <f aca="false">IF($A476="","",AL475*$E475)</f>
        <v/>
      </c>
      <c r="AX475" s="195" t="str">
        <f aca="false">IF($A476="","",AM475*$E475)</f>
        <v/>
      </c>
      <c r="AY475" s="195" t="str">
        <f aca="false">IF($A476="","",AN475*$E475)</f>
        <v/>
      </c>
      <c r="BA475" s="195" t="str">
        <f aca="false">IF($A476="","",F475*Summary!$Q$13)</f>
        <v/>
      </c>
    </row>
    <row r="476" customFormat="false" ht="12.75" hidden="false" customHeight="false" outlineLevel="0" collapsed="false">
      <c r="A476" s="196" t="str">
        <f aca="false">IF(A475&lt;mthend,EDATE(A475,1),"")</f>
        <v/>
      </c>
      <c r="B476" s="197" t="str">
        <f aca="false">IF(A476&lt;mthend,B475,"")</f>
        <v/>
      </c>
      <c r="D476" s="197" t="str">
        <f aca="false">IF(A477&lt;&gt;"",B476+C476,"")</f>
        <v/>
      </c>
      <c r="E476" s="199" t="str">
        <f aca="false">IF(A477="","",IF(AND(AT476=1,$H$3=1),D476*AO476,IF($H$3=2,D476,"N/A")))</f>
        <v/>
      </c>
      <c r="F476" s="199" t="str">
        <f aca="false">IF(A477="","",E476*AS476)</f>
        <v/>
      </c>
      <c r="G476" s="200" t="str">
        <f aca="false">IF($A477="","",VLOOKUP($A476,Table,MATCH(G$4,Curves,0)))</f>
        <v/>
      </c>
      <c r="H476" s="201" t="str">
        <f aca="false">IF(A477="","",G476)</f>
        <v/>
      </c>
      <c r="J476" s="200" t="str">
        <f aca="false">IF($A477="","",VLOOKUP($A476,Table,MATCH(J$4,Curves,0)))</f>
        <v/>
      </c>
      <c r="K476" s="201" t="str">
        <f aca="false">IF(A477="","",J476)</f>
        <v/>
      </c>
      <c r="L476" s="185" t="n">
        <v>0</v>
      </c>
      <c r="M476" s="201" t="str">
        <f aca="false">IF(A477="","",L476)</f>
        <v/>
      </c>
      <c r="O476" s="200" t="str">
        <f aca="false">IF(A477="","",L476+J476+G476)</f>
        <v/>
      </c>
      <c r="P476" s="200" t="str">
        <f aca="false">IF(A477="","",M476+K476+H476)</f>
        <v/>
      </c>
      <c r="R476" s="200" t="str">
        <f aca="false">IF($A477="","",VLOOKUP($A476,Table,MATCH(R$4,Curves,0)))</f>
        <v/>
      </c>
      <c r="S476" s="201" t="str">
        <f aca="false">IF(A477="","",R476)</f>
        <v/>
      </c>
      <c r="T476" s="185" t="n">
        <v>0</v>
      </c>
      <c r="U476" s="201" t="str">
        <f aca="false">IF(A477="","",T476)</f>
        <v/>
      </c>
      <c r="V476" s="205"/>
      <c r="W476" s="202" t="str">
        <f aca="false">IF($A477="","",(T476+R476+G476+V476))</f>
        <v/>
      </c>
      <c r="X476" s="202" t="str">
        <f aca="false">IF($A477="","",(U476+S476+H476+V476))</f>
        <v/>
      </c>
      <c r="Y476" s="202"/>
      <c r="AJ476" s="77"/>
      <c r="AK476" s="77"/>
      <c r="AL476" s="77"/>
      <c r="AM476" s="77"/>
      <c r="AN476" s="77"/>
      <c r="AO476" s="137" t="str">
        <f aca="false">IF(A477="","",A477-A476)</f>
        <v/>
      </c>
      <c r="AP476" s="212" t="str">
        <f aca="false">IF(A477="","",CHOOSE(F$3,A477+24,A476))</f>
        <v/>
      </c>
      <c r="AQ476" s="209" t="str">
        <f aca="false">IF(A477="","",AP476-$E$1)</f>
        <v/>
      </c>
      <c r="AR476" s="185" t="n">
        <f aca="false">'ANR OK vs ML7'!AR476</f>
        <v>0.1</v>
      </c>
      <c r="AS476" s="213" t="str">
        <f aca="false">IF(A477="","",1/(1+CHOOSE(F$3,(AR477+($I$3/10000))/2,(AR476+($I$3/10000))/2))^(2*AQ476/365.25))</f>
        <v/>
      </c>
      <c r="AT476" s="137" t="str">
        <f aca="false">IF(A477="","",IF(AND(mthbeg&lt;=A476,mthend&gt;=A476),1,0))</f>
        <v/>
      </c>
      <c r="AU476" s="137" t="str">
        <f aca="false">IF(A477="","",AO476*AT476)</f>
        <v/>
      </c>
      <c r="AW476" s="195" t="str">
        <f aca="false">IF($A477="","",AL476*$E476)</f>
        <v/>
      </c>
      <c r="AX476" s="195" t="str">
        <f aca="false">IF($A477="","",AM476*$E476)</f>
        <v/>
      </c>
      <c r="AY476" s="195" t="str">
        <f aca="false">IF($A477="","",AN476*$E476)</f>
        <v/>
      </c>
      <c r="BA476" s="195" t="str">
        <f aca="false">IF($A477="","",F476*Summary!$Q$13)</f>
        <v/>
      </c>
    </row>
    <row r="477" customFormat="false" ht="12.75" hidden="false" customHeight="false" outlineLevel="0" collapsed="false">
      <c r="A477" s="196" t="str">
        <f aca="false">IF(A476&lt;mthend,EDATE(A476,1),"")</f>
        <v/>
      </c>
      <c r="B477" s="197" t="str">
        <f aca="false">IF(A477&lt;mthend,B476,"")</f>
        <v/>
      </c>
      <c r="D477" s="197" t="str">
        <f aca="false">IF(A478&lt;&gt;"",B477+C477,"")</f>
        <v/>
      </c>
      <c r="E477" s="199" t="str">
        <f aca="false">IF(A478="","",IF(AND(AT477=1,$H$3=1),D477*AO477,IF($H$3=2,D477,"N/A")))</f>
        <v/>
      </c>
      <c r="F477" s="199" t="str">
        <f aca="false">IF(A478="","",E477*AS477)</f>
        <v/>
      </c>
      <c r="G477" s="200" t="str">
        <f aca="false">IF($A478="","",VLOOKUP($A477,Table,MATCH(G$4,Curves,0)))</f>
        <v/>
      </c>
      <c r="H477" s="201" t="str">
        <f aca="false">IF(A478="","",G477)</f>
        <v/>
      </c>
      <c r="J477" s="200" t="str">
        <f aca="false">IF($A478="","",VLOOKUP($A477,Table,MATCH(J$4,Curves,0)))</f>
        <v/>
      </c>
      <c r="K477" s="201" t="str">
        <f aca="false">IF(A478="","",J477)</f>
        <v/>
      </c>
      <c r="L477" s="185" t="n">
        <v>0</v>
      </c>
      <c r="M477" s="201" t="str">
        <f aca="false">IF(A478="","",L477)</f>
        <v/>
      </c>
      <c r="O477" s="200" t="str">
        <f aca="false">IF(A478="","",L477+J477+G477)</f>
        <v/>
      </c>
      <c r="P477" s="200" t="str">
        <f aca="false">IF(A478="","",M477+K477+H477)</f>
        <v/>
      </c>
      <c r="R477" s="200" t="str">
        <f aca="false">IF($A478="","",VLOOKUP($A477,Table,MATCH(R$4,Curves,0)))</f>
        <v/>
      </c>
      <c r="S477" s="201" t="str">
        <f aca="false">IF(A478="","",R477)</f>
        <v/>
      </c>
      <c r="T477" s="185" t="n">
        <v>0</v>
      </c>
      <c r="U477" s="201" t="str">
        <f aca="false">IF(A478="","",T477)</f>
        <v/>
      </c>
      <c r="V477" s="205"/>
      <c r="W477" s="202" t="str">
        <f aca="false">IF($A478="","",(T477+R477+G477+V477))</f>
        <v/>
      </c>
      <c r="X477" s="202" t="str">
        <f aca="false">IF($A478="","",(U477+S477+H477+V477))</f>
        <v/>
      </c>
      <c r="Y477" s="202"/>
      <c r="AJ477" s="77"/>
      <c r="AK477" s="77"/>
      <c r="AL477" s="77"/>
      <c r="AM477" s="77"/>
      <c r="AN477" s="77"/>
      <c r="AO477" s="137" t="str">
        <f aca="false">IF(A478="","",A478-A477)</f>
        <v/>
      </c>
      <c r="AP477" s="212" t="str">
        <f aca="false">IF(A478="","",CHOOSE(F$3,A478+24,A477))</f>
        <v/>
      </c>
      <c r="AQ477" s="209" t="str">
        <f aca="false">IF(A478="","",AP477-$E$1)</f>
        <v/>
      </c>
      <c r="AR477" s="185" t="n">
        <f aca="false">'ANR OK vs ML7'!AR477</f>
        <v>0.1</v>
      </c>
      <c r="AS477" s="213" t="str">
        <f aca="false">IF(A478="","",1/(1+CHOOSE(F$3,(AR478+($I$3/10000))/2,(AR477+($I$3/10000))/2))^(2*AQ477/365.25))</f>
        <v/>
      </c>
      <c r="AT477" s="137" t="str">
        <f aca="false">IF(A478="","",IF(AND(mthbeg&lt;=A477,mthend&gt;=A477),1,0))</f>
        <v/>
      </c>
      <c r="AU477" s="137" t="str">
        <f aca="false">IF(A478="","",AO477*AT477)</f>
        <v/>
      </c>
      <c r="AW477" s="195" t="str">
        <f aca="false">IF($A478="","",AL477*$E477)</f>
        <v/>
      </c>
      <c r="AX477" s="195" t="str">
        <f aca="false">IF($A478="","",AM477*$E477)</f>
        <v/>
      </c>
      <c r="AY477" s="195" t="str">
        <f aca="false">IF($A478="","",AN477*$E477)</f>
        <v/>
      </c>
      <c r="BA477" s="195" t="str">
        <f aca="false">IF($A478="","",F477*Summary!$Q$13)</f>
        <v/>
      </c>
    </row>
    <row r="478" customFormat="false" ht="12.75" hidden="false" customHeight="false" outlineLevel="0" collapsed="false">
      <c r="A478" s="196" t="str">
        <f aca="false">IF(A477&lt;mthend,EDATE(A477,1),"")</f>
        <v/>
      </c>
      <c r="B478" s="197" t="str">
        <f aca="false">IF(A478&lt;mthend,B477,"")</f>
        <v/>
      </c>
      <c r="D478" s="197" t="str">
        <f aca="false">IF(A479&lt;&gt;"",B478+C478,"")</f>
        <v/>
      </c>
      <c r="E478" s="199" t="str">
        <f aca="false">IF(A479="","",IF(AND(AT478=1,$H$3=1),D478*AO478,IF($H$3=2,D478,"N/A")))</f>
        <v/>
      </c>
      <c r="F478" s="199" t="str">
        <f aca="false">IF(A479="","",E478*AS478)</f>
        <v/>
      </c>
      <c r="G478" s="200" t="str">
        <f aca="false">IF($A479="","",VLOOKUP($A478,Table,MATCH(G$4,Curves,0)))</f>
        <v/>
      </c>
      <c r="H478" s="201" t="str">
        <f aca="false">IF(A479="","",G478)</f>
        <v/>
      </c>
      <c r="J478" s="200" t="str">
        <f aca="false">IF($A479="","",VLOOKUP($A478,Table,MATCH(J$4,Curves,0)))</f>
        <v/>
      </c>
      <c r="K478" s="201" t="str">
        <f aca="false">IF(A479="","",J478)</f>
        <v/>
      </c>
      <c r="L478" s="185" t="n">
        <v>0</v>
      </c>
      <c r="M478" s="201" t="str">
        <f aca="false">IF(A479="","",L478)</f>
        <v/>
      </c>
      <c r="O478" s="200" t="str">
        <f aca="false">IF(A479="","",L478+J478+G478)</f>
        <v/>
      </c>
      <c r="P478" s="200" t="str">
        <f aca="false">IF(A479="","",M478+K478+H478)</f>
        <v/>
      </c>
      <c r="R478" s="200" t="str">
        <f aca="false">IF($A479="","",VLOOKUP($A478,Table,MATCH(R$4,Curves,0)))</f>
        <v/>
      </c>
      <c r="S478" s="201" t="str">
        <f aca="false">IF(A479="","",R478)</f>
        <v/>
      </c>
      <c r="T478" s="185" t="n">
        <v>0</v>
      </c>
      <c r="U478" s="201" t="str">
        <f aca="false">IF(A479="","",T478)</f>
        <v/>
      </c>
      <c r="V478" s="205"/>
      <c r="W478" s="202" t="str">
        <f aca="false">IF($A479="","",(T478+R478+G478+V478))</f>
        <v/>
      </c>
      <c r="X478" s="202" t="str">
        <f aca="false">IF($A479="","",(U478+S478+H478+V478))</f>
        <v/>
      </c>
      <c r="Y478" s="202"/>
      <c r="AJ478" s="77"/>
      <c r="AK478" s="77"/>
      <c r="AL478" s="77"/>
      <c r="AM478" s="77"/>
      <c r="AN478" s="77"/>
      <c r="AO478" s="137" t="str">
        <f aca="false">IF(A479="","",A479-A478)</f>
        <v/>
      </c>
      <c r="AP478" s="212" t="str">
        <f aca="false">IF(A479="","",CHOOSE(F$3,A479+24,A478))</f>
        <v/>
      </c>
      <c r="AQ478" s="209" t="str">
        <f aca="false">IF(A479="","",AP478-$E$1)</f>
        <v/>
      </c>
      <c r="AR478" s="185" t="n">
        <f aca="false">'ANR OK vs ML7'!AR478</f>
        <v>0.1</v>
      </c>
      <c r="AS478" s="213" t="str">
        <f aca="false">IF(A479="","",1/(1+CHOOSE(F$3,(AR479+($I$3/10000))/2,(AR478+($I$3/10000))/2))^(2*AQ478/365.25))</f>
        <v/>
      </c>
      <c r="AT478" s="137" t="str">
        <f aca="false">IF(A479="","",IF(AND(mthbeg&lt;=A478,mthend&gt;=A478),1,0))</f>
        <v/>
      </c>
      <c r="AU478" s="137" t="str">
        <f aca="false">IF(A479="","",AO478*AT478)</f>
        <v/>
      </c>
      <c r="AW478" s="195" t="str">
        <f aca="false">IF($A479="","",AL478*$E478)</f>
        <v/>
      </c>
      <c r="AX478" s="195" t="str">
        <f aca="false">IF($A479="","",AM478*$E478)</f>
        <v/>
      </c>
      <c r="AY478" s="195" t="str">
        <f aca="false">IF($A479="","",AN478*$E478)</f>
        <v/>
      </c>
      <c r="BA478" s="195" t="str">
        <f aca="false">IF($A479="","",F478*Summary!$Q$13)</f>
        <v/>
      </c>
    </row>
    <row r="479" customFormat="false" ht="12.75" hidden="false" customHeight="false" outlineLevel="0" collapsed="false">
      <c r="A479" s="196" t="str">
        <f aca="false">IF(A478&lt;mthend,EDATE(A478,1),"")</f>
        <v/>
      </c>
      <c r="B479" s="197" t="str">
        <f aca="false">IF(A479&lt;mthend,B478,"")</f>
        <v/>
      </c>
      <c r="D479" s="197" t="str">
        <f aca="false">IF(A480&lt;&gt;"",B479+C479,"")</f>
        <v/>
      </c>
      <c r="E479" s="199" t="str">
        <f aca="false">IF(A480="","",IF(AND(AT479=1,$H$3=1),D479*AO479,IF($H$3=2,D479,"N/A")))</f>
        <v/>
      </c>
      <c r="F479" s="199" t="str">
        <f aca="false">IF(A480="","",E479*AS479)</f>
        <v/>
      </c>
      <c r="G479" s="200" t="str">
        <f aca="false">IF($A480="","",VLOOKUP($A479,Table,MATCH(G$4,Curves,0)))</f>
        <v/>
      </c>
      <c r="H479" s="201" t="str">
        <f aca="false">IF(A480="","",G479)</f>
        <v/>
      </c>
      <c r="J479" s="200" t="str">
        <f aca="false">IF($A480="","",VLOOKUP($A479,Table,MATCH(J$4,Curves,0)))</f>
        <v/>
      </c>
      <c r="K479" s="201" t="str">
        <f aca="false">IF(A480="","",J479)</f>
        <v/>
      </c>
      <c r="L479" s="185" t="n">
        <v>0</v>
      </c>
      <c r="M479" s="201" t="str">
        <f aca="false">IF(A480="","",L479)</f>
        <v/>
      </c>
      <c r="O479" s="200" t="str">
        <f aca="false">IF(A480="","",L479+J479+G479)</f>
        <v/>
      </c>
      <c r="P479" s="200" t="str">
        <f aca="false">IF(A480="","",M479+K479+H479)</f>
        <v/>
      </c>
      <c r="R479" s="200" t="str">
        <f aca="false">IF($A480="","",VLOOKUP($A479,Table,MATCH(R$4,Curves,0)))</f>
        <v/>
      </c>
      <c r="S479" s="201" t="str">
        <f aca="false">IF(A480="","",R479)</f>
        <v/>
      </c>
      <c r="T479" s="185" t="n">
        <v>0</v>
      </c>
      <c r="U479" s="201" t="str">
        <f aca="false">IF(A480="","",T479)</f>
        <v/>
      </c>
      <c r="V479" s="205"/>
      <c r="W479" s="202" t="str">
        <f aca="false">IF($A480="","",(T479+R479+G479+V479))</f>
        <v/>
      </c>
      <c r="X479" s="202" t="str">
        <f aca="false">IF($A480="","",(U479+S479+H479+V479))</f>
        <v/>
      </c>
      <c r="Y479" s="202"/>
      <c r="AJ479" s="77"/>
      <c r="AK479" s="77"/>
      <c r="AL479" s="77"/>
      <c r="AM479" s="77"/>
      <c r="AN479" s="77"/>
      <c r="AO479" s="137" t="str">
        <f aca="false">IF(A480="","",A480-A479)</f>
        <v/>
      </c>
      <c r="AP479" s="212" t="str">
        <f aca="false">IF(A480="","",CHOOSE(F$3,A480+24,A479))</f>
        <v/>
      </c>
      <c r="AQ479" s="209" t="str">
        <f aca="false">IF(A480="","",AP479-$E$1)</f>
        <v/>
      </c>
      <c r="AR479" s="185" t="n">
        <f aca="false">'ANR OK vs ML7'!AR479</f>
        <v>0.1</v>
      </c>
      <c r="AS479" s="213" t="str">
        <f aca="false">IF(A480="","",1/(1+CHOOSE(F$3,(AR480+($I$3/10000))/2,(AR479+($I$3/10000))/2))^(2*AQ479/365.25))</f>
        <v/>
      </c>
      <c r="AT479" s="137" t="str">
        <f aca="false">IF(A480="","",IF(AND(mthbeg&lt;=A479,mthend&gt;=A479),1,0))</f>
        <v/>
      </c>
      <c r="AU479" s="137" t="str">
        <f aca="false">IF(A480="","",AO479*AT479)</f>
        <v/>
      </c>
      <c r="AW479" s="195" t="str">
        <f aca="false">IF($A480="","",AL479*$E479)</f>
        <v/>
      </c>
      <c r="AX479" s="195" t="str">
        <f aca="false">IF($A480="","",AM479*$E479)</f>
        <v/>
      </c>
      <c r="AY479" s="195" t="str">
        <f aca="false">IF($A480="","",AN479*$E479)</f>
        <v/>
      </c>
      <c r="BA479" s="195" t="str">
        <f aca="false">IF($A480="","",F479*Summary!$Q$13)</f>
        <v/>
      </c>
    </row>
    <row r="480" customFormat="false" ht="12.75" hidden="false" customHeight="false" outlineLevel="0" collapsed="false">
      <c r="A480" s="196" t="str">
        <f aca="false">IF(A479&lt;mthend,EDATE(A479,1),"")</f>
        <v/>
      </c>
      <c r="B480" s="197" t="str">
        <f aca="false">IF(A480&lt;mthend,B479,"")</f>
        <v/>
      </c>
      <c r="D480" s="197" t="str">
        <f aca="false">IF(A481&lt;&gt;"",B480+C480,"")</f>
        <v/>
      </c>
      <c r="E480" s="199" t="str">
        <f aca="false">IF(A481="","",IF(AND(AT480=1,$H$3=1),D480*AO480,IF($H$3=2,D480,"N/A")))</f>
        <v/>
      </c>
      <c r="F480" s="199" t="str">
        <f aca="false">IF(A481="","",E480*AS480)</f>
        <v/>
      </c>
      <c r="G480" s="200" t="str">
        <f aca="false">IF($A481="","",VLOOKUP($A480,Table,MATCH(G$4,Curves,0)))</f>
        <v/>
      </c>
      <c r="H480" s="201" t="str">
        <f aca="false">IF(A481="","",G480)</f>
        <v/>
      </c>
      <c r="J480" s="200" t="str">
        <f aca="false">IF($A481="","",VLOOKUP($A480,Table,MATCH(J$4,Curves,0)))</f>
        <v/>
      </c>
      <c r="K480" s="201" t="str">
        <f aca="false">IF(A481="","",J480)</f>
        <v/>
      </c>
      <c r="L480" s="185" t="n">
        <v>0</v>
      </c>
      <c r="M480" s="201" t="str">
        <f aca="false">IF(A481="","",L480)</f>
        <v/>
      </c>
      <c r="O480" s="200" t="str">
        <f aca="false">IF(A481="","",L480+J480+G480)</f>
        <v/>
      </c>
      <c r="P480" s="200" t="str">
        <f aca="false">IF(A481="","",M480+K480+H480)</f>
        <v/>
      </c>
      <c r="R480" s="200" t="str">
        <f aca="false">IF($A481="","",VLOOKUP($A480,Table,MATCH(R$4,Curves,0)))</f>
        <v/>
      </c>
      <c r="S480" s="201" t="str">
        <f aca="false">IF(A481="","",R480)</f>
        <v/>
      </c>
      <c r="T480" s="185" t="n">
        <v>0</v>
      </c>
      <c r="U480" s="201" t="str">
        <f aca="false">IF(A481="","",T480)</f>
        <v/>
      </c>
      <c r="V480" s="205"/>
      <c r="W480" s="202" t="str">
        <f aca="false">IF($A481="","",(T480+R480+G480+V480))</f>
        <v/>
      </c>
      <c r="X480" s="202" t="str">
        <f aca="false">IF($A481="","",(U480+S480+H480+V480))</f>
        <v/>
      </c>
      <c r="Y480" s="202"/>
      <c r="AJ480" s="77"/>
      <c r="AK480" s="77"/>
      <c r="AL480" s="77"/>
      <c r="AM480" s="77"/>
      <c r="AN480" s="77"/>
      <c r="AO480" s="137" t="str">
        <f aca="false">IF(A481="","",A481-A480)</f>
        <v/>
      </c>
      <c r="AP480" s="212" t="str">
        <f aca="false">IF(A481="","",CHOOSE(F$3,A481+24,A480))</f>
        <v/>
      </c>
      <c r="AQ480" s="209" t="str">
        <f aca="false">IF(A481="","",AP480-$E$1)</f>
        <v/>
      </c>
      <c r="AR480" s="185" t="n">
        <f aca="false">'ANR OK vs ML7'!AR480</f>
        <v>0.1</v>
      </c>
      <c r="AS480" s="213" t="str">
        <f aca="false">IF(A481="","",1/(1+CHOOSE(F$3,(AR481+($I$3/10000))/2,(AR480+($I$3/10000))/2))^(2*AQ480/365.25))</f>
        <v/>
      </c>
      <c r="AT480" s="137" t="str">
        <f aca="false">IF(A481="","",IF(AND(mthbeg&lt;=A480,mthend&gt;=A480),1,0))</f>
        <v/>
      </c>
      <c r="AU480" s="137" t="str">
        <f aca="false">IF(A481="","",AO480*AT480)</f>
        <v/>
      </c>
      <c r="AW480" s="195" t="str">
        <f aca="false">IF($A481="","",AL480*$E480)</f>
        <v/>
      </c>
      <c r="AX480" s="195" t="str">
        <f aca="false">IF($A481="","",AM480*$E480)</f>
        <v/>
      </c>
      <c r="AY480" s="195" t="str">
        <f aca="false">IF($A481="","",AN480*$E480)</f>
        <v/>
      </c>
      <c r="BA480" s="195" t="str">
        <f aca="false">IF($A481="","",F480*Summary!$Q$13)</f>
        <v/>
      </c>
    </row>
    <row r="481" customFormat="false" ht="12.75" hidden="false" customHeight="false" outlineLevel="0" collapsed="false">
      <c r="A481" s="196" t="str">
        <f aca="false">IF(A480&lt;mthend,EDATE(A480,1),"")</f>
        <v/>
      </c>
      <c r="B481" s="197" t="str">
        <f aca="false">IF(A481&lt;mthend,B480,"")</f>
        <v/>
      </c>
      <c r="D481" s="197" t="str">
        <f aca="false">IF(A482&lt;&gt;"",B481+C481,"")</f>
        <v/>
      </c>
      <c r="E481" s="199" t="str">
        <f aca="false">IF(A482="","",IF(AND(AT481=1,$H$3=1),D481*AO481,IF($H$3=2,D481,"N/A")))</f>
        <v/>
      </c>
      <c r="F481" s="199" t="str">
        <f aca="false">IF(A482="","",E481*AS481)</f>
        <v/>
      </c>
      <c r="G481" s="200" t="str">
        <f aca="false">IF($A482="","",VLOOKUP($A481,Table,MATCH(G$4,Curves,0)))</f>
        <v/>
      </c>
      <c r="H481" s="201" t="str">
        <f aca="false">IF(A482="","",G481)</f>
        <v/>
      </c>
      <c r="J481" s="200" t="str">
        <f aca="false">IF($A482="","",VLOOKUP($A481,Table,MATCH(J$4,Curves,0)))</f>
        <v/>
      </c>
      <c r="K481" s="201" t="str">
        <f aca="false">IF(A482="","",J481)</f>
        <v/>
      </c>
      <c r="L481" s="185" t="n">
        <v>0</v>
      </c>
      <c r="M481" s="201" t="str">
        <f aca="false">IF(A482="","",L481)</f>
        <v/>
      </c>
      <c r="O481" s="200" t="str">
        <f aca="false">IF(A482="","",L481+J481+G481)</f>
        <v/>
      </c>
      <c r="P481" s="200" t="str">
        <f aca="false">IF(A482="","",M481+K481+H481)</f>
        <v/>
      </c>
      <c r="R481" s="200" t="str">
        <f aca="false">IF($A482="","",VLOOKUP($A481,Table,MATCH(R$4,Curves,0)))</f>
        <v/>
      </c>
      <c r="S481" s="201" t="str">
        <f aca="false">IF(A482="","",R481)</f>
        <v/>
      </c>
      <c r="T481" s="185" t="n">
        <v>0</v>
      </c>
      <c r="U481" s="201" t="str">
        <f aca="false">IF(A482="","",T481)</f>
        <v/>
      </c>
      <c r="V481" s="205"/>
      <c r="W481" s="202" t="str">
        <f aca="false">IF($A482="","",(T481+R481+G481+V481))</f>
        <v/>
      </c>
      <c r="X481" s="202" t="str">
        <f aca="false">IF($A482="","",(U481+S481+H481+V481))</f>
        <v/>
      </c>
      <c r="Y481" s="202"/>
      <c r="AJ481" s="77"/>
      <c r="AK481" s="77"/>
      <c r="AL481" s="77"/>
      <c r="AM481" s="77"/>
      <c r="AN481" s="77"/>
      <c r="AO481" s="137" t="str">
        <f aca="false">IF(A482="","",A482-A481)</f>
        <v/>
      </c>
      <c r="AP481" s="212" t="str">
        <f aca="false">IF(A482="","",CHOOSE(F$3,A482+24,A481))</f>
        <v/>
      </c>
      <c r="AQ481" s="209" t="str">
        <f aca="false">IF(A482="","",AP481-$E$1)</f>
        <v/>
      </c>
      <c r="AR481" s="185" t="n">
        <f aca="false">'ANR OK vs ML7'!AR481</f>
        <v>0.1</v>
      </c>
      <c r="AS481" s="213" t="str">
        <f aca="false">IF(A482="","",1/(1+CHOOSE(F$3,(AR482+($I$3/10000))/2,(AR481+($I$3/10000))/2))^(2*AQ481/365.25))</f>
        <v/>
      </c>
      <c r="AT481" s="137" t="str">
        <f aca="false">IF(A482="","",IF(AND(mthbeg&lt;=A481,mthend&gt;=A481),1,0))</f>
        <v/>
      </c>
      <c r="AU481" s="137" t="str">
        <f aca="false">IF(A482="","",AO481*AT481)</f>
        <v/>
      </c>
      <c r="AW481" s="195" t="str">
        <f aca="false">IF($A482="","",AL481*$E481)</f>
        <v/>
      </c>
      <c r="AX481" s="195" t="str">
        <f aca="false">IF($A482="","",AM481*$E481)</f>
        <v/>
      </c>
      <c r="AY481" s="195" t="str">
        <f aca="false">IF($A482="","",AN481*$E481)</f>
        <v/>
      </c>
      <c r="BA481" s="195" t="str">
        <f aca="false">IF($A482="","",F481*Summary!$Q$13)</f>
        <v/>
      </c>
    </row>
    <row r="482" customFormat="false" ht="12.75" hidden="false" customHeight="false" outlineLevel="0" collapsed="false">
      <c r="A482" s="196" t="str">
        <f aca="false">IF(A481&lt;mthend,EDATE(A481,1),"")</f>
        <v/>
      </c>
      <c r="B482" s="197" t="str">
        <f aca="false">IF(A482&lt;mthend,B481,"")</f>
        <v/>
      </c>
      <c r="D482" s="197" t="str">
        <f aca="false">IF(A483&lt;&gt;"",B482+C482,"")</f>
        <v/>
      </c>
      <c r="E482" s="199" t="str">
        <f aca="false">IF(A483="","",IF(AND(AT482=1,$H$3=1),D482*AO482,IF($H$3=2,D482,"N/A")))</f>
        <v/>
      </c>
      <c r="F482" s="199" t="str">
        <f aca="false">IF(A483="","",E482*AS482)</f>
        <v/>
      </c>
      <c r="G482" s="200" t="str">
        <f aca="false">IF($A483="","",VLOOKUP($A482,Table,MATCH(G$4,Curves,0)))</f>
        <v/>
      </c>
      <c r="H482" s="201" t="str">
        <f aca="false">IF(A483="","",G482)</f>
        <v/>
      </c>
      <c r="J482" s="200" t="str">
        <f aca="false">IF($A483="","",VLOOKUP($A482,Table,MATCH(J$4,Curves,0)))</f>
        <v/>
      </c>
      <c r="K482" s="201" t="str">
        <f aca="false">IF(A483="","",J482)</f>
        <v/>
      </c>
      <c r="L482" s="185" t="n">
        <v>0</v>
      </c>
      <c r="M482" s="201" t="str">
        <f aca="false">IF(A483="","",L482)</f>
        <v/>
      </c>
      <c r="O482" s="200" t="str">
        <f aca="false">IF(A483="","",L482+J482+G482)</f>
        <v/>
      </c>
      <c r="P482" s="200" t="str">
        <f aca="false">IF(A483="","",M482+K482+H482)</f>
        <v/>
      </c>
      <c r="R482" s="200" t="str">
        <f aca="false">IF($A483="","",VLOOKUP($A482,Table,MATCH(R$4,Curves,0)))</f>
        <v/>
      </c>
      <c r="S482" s="201" t="str">
        <f aca="false">IF(A483="","",R482)</f>
        <v/>
      </c>
      <c r="T482" s="185" t="n">
        <v>0</v>
      </c>
      <c r="U482" s="201" t="str">
        <f aca="false">IF(A483="","",T482)</f>
        <v/>
      </c>
      <c r="V482" s="205"/>
      <c r="W482" s="202" t="str">
        <f aca="false">IF($A483="","",(T482+R482+G482+V482))</f>
        <v/>
      </c>
      <c r="X482" s="202" t="str">
        <f aca="false">IF($A483="","",(U482+S482+H482+V482))</f>
        <v/>
      </c>
      <c r="Y482" s="202"/>
      <c r="AJ482" s="77"/>
      <c r="AK482" s="77"/>
      <c r="AL482" s="77"/>
      <c r="AM482" s="77"/>
      <c r="AN482" s="77"/>
      <c r="AO482" s="137" t="str">
        <f aca="false">IF(A483="","",A483-A482)</f>
        <v/>
      </c>
      <c r="AP482" s="212" t="str">
        <f aca="false">IF(A483="","",CHOOSE(F$3,A483+24,A482))</f>
        <v/>
      </c>
      <c r="AQ482" s="209" t="str">
        <f aca="false">IF(A483="","",AP482-$E$1)</f>
        <v/>
      </c>
      <c r="AR482" s="185" t="n">
        <f aca="false">'ANR OK vs ML7'!AR482</f>
        <v>0.1</v>
      </c>
      <c r="AS482" s="213" t="str">
        <f aca="false">IF(A483="","",1/(1+CHOOSE(F$3,(AR483+($I$3/10000))/2,(AR482+($I$3/10000))/2))^(2*AQ482/365.25))</f>
        <v/>
      </c>
      <c r="AT482" s="137" t="str">
        <f aca="false">IF(A483="","",IF(AND(mthbeg&lt;=A482,mthend&gt;=A482),1,0))</f>
        <v/>
      </c>
      <c r="AU482" s="137" t="str">
        <f aca="false">IF(A483="","",AO482*AT482)</f>
        <v/>
      </c>
      <c r="AW482" s="195" t="str">
        <f aca="false">IF($A483="","",AL482*$E482)</f>
        <v/>
      </c>
      <c r="AX482" s="195" t="str">
        <f aca="false">IF($A483="","",AM482*$E482)</f>
        <v/>
      </c>
      <c r="AY482" s="195" t="str">
        <f aca="false">IF($A483="","",AN482*$E482)</f>
        <v/>
      </c>
      <c r="BA482" s="195" t="str">
        <f aca="false">IF($A483="","",F482*Summary!$Q$13)</f>
        <v/>
      </c>
    </row>
    <row r="483" customFormat="false" ht="12.75" hidden="false" customHeight="false" outlineLevel="0" collapsed="false">
      <c r="A483" s="196" t="str">
        <f aca="false">IF(A482&lt;mthend,EDATE(A482,1),"")</f>
        <v/>
      </c>
      <c r="B483" s="197" t="str">
        <f aca="false">IF(A483&lt;mthend,B482,"")</f>
        <v/>
      </c>
      <c r="D483" s="197" t="str">
        <f aca="false">IF(A484&lt;&gt;"",B483+C483,"")</f>
        <v/>
      </c>
      <c r="E483" s="199" t="str">
        <f aca="false">IF(A484="","",IF(AND(AT483=1,$H$3=1),D483*AO483,IF($H$3=2,D483,"N/A")))</f>
        <v/>
      </c>
      <c r="F483" s="199" t="str">
        <f aca="false">IF(A484="","",E483*AS483)</f>
        <v/>
      </c>
      <c r="G483" s="200" t="str">
        <f aca="false">IF($A484="","",VLOOKUP($A483,Table,MATCH(G$4,Curves,0)))</f>
        <v/>
      </c>
      <c r="H483" s="201" t="str">
        <f aca="false">IF(A484="","",G483)</f>
        <v/>
      </c>
      <c r="J483" s="200" t="str">
        <f aca="false">IF($A484="","",VLOOKUP($A483,Table,MATCH(J$4,Curves,0)))</f>
        <v/>
      </c>
      <c r="K483" s="201" t="str">
        <f aca="false">IF(A484="","",J483)</f>
        <v/>
      </c>
      <c r="L483" s="185" t="n">
        <v>0</v>
      </c>
      <c r="M483" s="201" t="str">
        <f aca="false">IF(A484="","",L483)</f>
        <v/>
      </c>
      <c r="O483" s="200" t="str">
        <f aca="false">IF(A484="","",L483+J483+G483)</f>
        <v/>
      </c>
      <c r="P483" s="200" t="str">
        <f aca="false">IF(A484="","",M483+K483+H483)</f>
        <v/>
      </c>
      <c r="R483" s="200" t="str">
        <f aca="false">IF($A484="","",VLOOKUP($A483,Table,MATCH(R$4,Curves,0)))</f>
        <v/>
      </c>
      <c r="S483" s="201" t="str">
        <f aca="false">IF(A484="","",R483)</f>
        <v/>
      </c>
      <c r="T483" s="185" t="n">
        <v>0</v>
      </c>
      <c r="U483" s="201" t="str">
        <f aca="false">IF(A484="","",T483)</f>
        <v/>
      </c>
      <c r="V483" s="205"/>
      <c r="W483" s="202" t="str">
        <f aca="false">IF($A484="","",(T483+R483+G483+V483))</f>
        <v/>
      </c>
      <c r="X483" s="202" t="str">
        <f aca="false">IF($A484="","",(U483+S483+H483+V483))</f>
        <v/>
      </c>
      <c r="Y483" s="202"/>
      <c r="AJ483" s="77"/>
      <c r="AK483" s="77"/>
      <c r="AL483" s="77"/>
      <c r="AM483" s="77"/>
      <c r="AN483" s="77"/>
      <c r="AO483" s="137" t="str">
        <f aca="false">IF(A484="","",A484-A483)</f>
        <v/>
      </c>
      <c r="AP483" s="212" t="str">
        <f aca="false">IF(A484="","",CHOOSE(F$3,A484+24,A483))</f>
        <v/>
      </c>
      <c r="AQ483" s="209" t="str">
        <f aca="false">IF(A484="","",AP483-$E$1)</f>
        <v/>
      </c>
      <c r="AR483" s="185" t="n">
        <f aca="false">'ANR OK vs ML7'!AR483</f>
        <v>0.1</v>
      </c>
      <c r="AS483" s="213" t="str">
        <f aca="false">IF(A484="","",1/(1+CHOOSE(F$3,(AR484+($I$3/10000))/2,(AR483+($I$3/10000))/2))^(2*AQ483/365.25))</f>
        <v/>
      </c>
      <c r="AT483" s="137" t="str">
        <f aca="false">IF(A484="","",IF(AND(mthbeg&lt;=A483,mthend&gt;=A483),1,0))</f>
        <v/>
      </c>
      <c r="AU483" s="137" t="str">
        <f aca="false">IF(A484="","",AO483*AT483)</f>
        <v/>
      </c>
      <c r="AW483" s="195" t="str">
        <f aca="false">IF($A484="","",AL483*$E483)</f>
        <v/>
      </c>
      <c r="AX483" s="195" t="str">
        <f aca="false">IF($A484="","",AM483*$E483)</f>
        <v/>
      </c>
      <c r="AY483" s="195" t="str">
        <f aca="false">IF($A484="","",AN483*$E483)</f>
        <v/>
      </c>
      <c r="BA483" s="195" t="str">
        <f aca="false">IF($A484="","",F483*Summary!$Q$13)</f>
        <v/>
      </c>
    </row>
    <row r="484" customFormat="false" ht="12.75" hidden="false" customHeight="false" outlineLevel="0" collapsed="false">
      <c r="A484" s="196" t="str">
        <f aca="false">IF(A483&lt;mthend,EDATE(A483,1),"")</f>
        <v/>
      </c>
      <c r="B484" s="197" t="str">
        <f aca="false">IF(A484&lt;mthend,B483,"")</f>
        <v/>
      </c>
      <c r="D484" s="197" t="str">
        <f aca="false">IF(A485&lt;&gt;"",B484+C484,"")</f>
        <v/>
      </c>
      <c r="E484" s="199" t="str">
        <f aca="false">IF(A485="","",IF(AND(AT484=1,$H$3=1),D484*AO484,IF($H$3=2,D484,"N/A")))</f>
        <v/>
      </c>
      <c r="F484" s="199" t="str">
        <f aca="false">IF(A485="","",E484*AS484)</f>
        <v/>
      </c>
      <c r="G484" s="200" t="str">
        <f aca="false">IF($A485="","",VLOOKUP($A484,Table,MATCH(G$4,Curves,0)))</f>
        <v/>
      </c>
      <c r="H484" s="201" t="str">
        <f aca="false">IF(A485="","",G484)</f>
        <v/>
      </c>
      <c r="J484" s="200" t="str">
        <f aca="false">IF($A485="","",VLOOKUP($A484,Table,MATCH(J$4,Curves,0)))</f>
        <v/>
      </c>
      <c r="K484" s="201" t="str">
        <f aca="false">IF(A485="","",J484)</f>
        <v/>
      </c>
      <c r="L484" s="185" t="n">
        <v>0</v>
      </c>
      <c r="M484" s="201" t="str">
        <f aca="false">IF(A485="","",L484)</f>
        <v/>
      </c>
      <c r="O484" s="200" t="str">
        <f aca="false">IF(A485="","",L484+J484+G484)</f>
        <v/>
      </c>
      <c r="P484" s="200" t="str">
        <f aca="false">IF(A485="","",M484+K484+H484)</f>
        <v/>
      </c>
      <c r="R484" s="200" t="str">
        <f aca="false">IF($A485="","",VLOOKUP($A484,Table,MATCH(R$4,Curves,0)))</f>
        <v/>
      </c>
      <c r="S484" s="201" t="str">
        <f aca="false">IF(A485="","",R484)</f>
        <v/>
      </c>
      <c r="T484" s="185" t="n">
        <v>0</v>
      </c>
      <c r="U484" s="201" t="str">
        <f aca="false">IF(A485="","",T484)</f>
        <v/>
      </c>
      <c r="V484" s="205"/>
      <c r="W484" s="202" t="str">
        <f aca="false">IF($A485="","",(T484+R484+G484+V484))</f>
        <v/>
      </c>
      <c r="X484" s="202" t="str">
        <f aca="false">IF($A485="","",(U484+S484+H484+V484))</f>
        <v/>
      </c>
      <c r="Y484" s="202"/>
      <c r="AJ484" s="77"/>
      <c r="AK484" s="77"/>
      <c r="AL484" s="77"/>
      <c r="AM484" s="77"/>
      <c r="AN484" s="77"/>
      <c r="AO484" s="137" t="str">
        <f aca="false">IF(A485="","",A485-A484)</f>
        <v/>
      </c>
      <c r="AP484" s="212" t="str">
        <f aca="false">IF(A485="","",CHOOSE(F$3,A485+24,A484))</f>
        <v/>
      </c>
      <c r="AQ484" s="209" t="str">
        <f aca="false">IF(A485="","",AP484-$E$1)</f>
        <v/>
      </c>
      <c r="AR484" s="185" t="n">
        <f aca="false">'ANR OK vs ML7'!AR484</f>
        <v>0.1</v>
      </c>
      <c r="AS484" s="213" t="str">
        <f aca="false">IF(A485="","",1/(1+CHOOSE(F$3,(AR485+($I$3/10000))/2,(AR484+($I$3/10000))/2))^(2*AQ484/365.25))</f>
        <v/>
      </c>
      <c r="AT484" s="137" t="str">
        <f aca="false">IF(A485="","",IF(AND(mthbeg&lt;=A484,mthend&gt;=A484),1,0))</f>
        <v/>
      </c>
      <c r="AU484" s="137" t="str">
        <f aca="false">IF(A485="","",AO484*AT484)</f>
        <v/>
      </c>
      <c r="AW484" s="195" t="str">
        <f aca="false">IF($A485="","",AL484*$E484)</f>
        <v/>
      </c>
      <c r="AX484" s="195" t="str">
        <f aca="false">IF($A485="","",AM484*$E484)</f>
        <v/>
      </c>
      <c r="AY484" s="195" t="str">
        <f aca="false">IF($A485="","",AN484*$E484)</f>
        <v/>
      </c>
      <c r="BA484" s="195" t="str">
        <f aca="false">IF($A485="","",F484*Summary!$Q$13)</f>
        <v/>
      </c>
    </row>
    <row r="485" customFormat="false" ht="12.75" hidden="false" customHeight="false" outlineLevel="0" collapsed="false">
      <c r="A485" s="196" t="str">
        <f aca="false">IF(A484&lt;mthend,EDATE(A484,1),"")</f>
        <v/>
      </c>
      <c r="B485" s="197" t="str">
        <f aca="false">IF(A485&lt;mthend,B484,"")</f>
        <v/>
      </c>
      <c r="D485" s="197" t="str">
        <f aca="false">IF(A486&lt;&gt;"",B485+C485,"")</f>
        <v/>
      </c>
      <c r="E485" s="199" t="str">
        <f aca="false">IF(A486="","",IF(AND(AT485=1,$H$3=1),D485*AO485,IF($H$3=2,D485,"N/A")))</f>
        <v/>
      </c>
      <c r="F485" s="199" t="str">
        <f aca="false">IF(A486="","",E485*AS485)</f>
        <v/>
      </c>
      <c r="G485" s="200" t="str">
        <f aca="false">IF($A486="","",VLOOKUP($A485,Table,MATCH(G$4,Curves,0)))</f>
        <v/>
      </c>
      <c r="H485" s="201" t="str">
        <f aca="false">IF(A486="","",G485)</f>
        <v/>
      </c>
      <c r="J485" s="200" t="str">
        <f aca="false">IF($A486="","",VLOOKUP($A485,Table,MATCH(J$4,Curves,0)))</f>
        <v/>
      </c>
      <c r="K485" s="201" t="str">
        <f aca="false">IF(A486="","",J485)</f>
        <v/>
      </c>
      <c r="L485" s="185" t="n">
        <v>0</v>
      </c>
      <c r="M485" s="201" t="str">
        <f aca="false">IF(A486="","",L485)</f>
        <v/>
      </c>
      <c r="O485" s="200" t="str">
        <f aca="false">IF(A486="","",L485+J485+G485)</f>
        <v/>
      </c>
      <c r="P485" s="200" t="str">
        <f aca="false">IF(A486="","",M485+K485+H485)</f>
        <v/>
      </c>
      <c r="R485" s="200" t="str">
        <f aca="false">IF($A486="","",VLOOKUP($A485,Table,MATCH(R$4,Curves,0)))</f>
        <v/>
      </c>
      <c r="S485" s="201" t="str">
        <f aca="false">IF(A486="","",R485)</f>
        <v/>
      </c>
      <c r="T485" s="185" t="n">
        <v>0</v>
      </c>
      <c r="U485" s="201" t="str">
        <f aca="false">IF(A486="","",T485)</f>
        <v/>
      </c>
      <c r="V485" s="205"/>
      <c r="W485" s="202" t="str">
        <f aca="false">IF($A486="","",(T485+R485+G485+V485))</f>
        <v/>
      </c>
      <c r="X485" s="202" t="str">
        <f aca="false">IF($A486="","",(U485+S485+H485+V485))</f>
        <v/>
      </c>
      <c r="Y485" s="202"/>
      <c r="AJ485" s="77"/>
      <c r="AK485" s="77"/>
      <c r="AL485" s="77"/>
      <c r="AM485" s="77"/>
      <c r="AN485" s="77"/>
      <c r="AO485" s="137" t="str">
        <f aca="false">IF(A486="","",A486-A485)</f>
        <v/>
      </c>
      <c r="AP485" s="212" t="str">
        <f aca="false">IF(A486="","",CHOOSE(F$3,A486+24,A485))</f>
        <v/>
      </c>
      <c r="AQ485" s="209" t="str">
        <f aca="false">IF(A486="","",AP485-$E$1)</f>
        <v/>
      </c>
      <c r="AR485" s="185" t="n">
        <f aca="false">'ANR OK vs ML7'!AR485</f>
        <v>0.1</v>
      </c>
      <c r="AS485" s="213" t="str">
        <f aca="false">IF(A486="","",1/(1+CHOOSE(F$3,(AR486+($I$3/10000))/2,(AR485+($I$3/10000))/2))^(2*AQ485/365.25))</f>
        <v/>
      </c>
      <c r="AT485" s="137" t="str">
        <f aca="false">IF(A486="","",IF(AND(mthbeg&lt;=A485,mthend&gt;=A485),1,0))</f>
        <v/>
      </c>
      <c r="AU485" s="137" t="str">
        <f aca="false">IF(A486="","",AO485*AT485)</f>
        <v/>
      </c>
      <c r="AW485" s="195" t="str">
        <f aca="false">IF($A486="","",AL485*$E485)</f>
        <v/>
      </c>
      <c r="AX485" s="195" t="str">
        <f aca="false">IF($A486="","",AM485*$E485)</f>
        <v/>
      </c>
      <c r="AY485" s="195" t="str">
        <f aca="false">IF($A486="","",AN485*$E485)</f>
        <v/>
      </c>
      <c r="BA485" s="195" t="str">
        <f aca="false">IF($A486="","",F485*Summary!$Q$13)</f>
        <v/>
      </c>
    </row>
    <row r="486" customFormat="false" ht="12.75" hidden="false" customHeight="false" outlineLevel="0" collapsed="false">
      <c r="A486" s="196" t="str">
        <f aca="false">IF(A485&lt;mthend,EDATE(A485,1),"")</f>
        <v/>
      </c>
      <c r="B486" s="197" t="str">
        <f aca="false">IF(A486&lt;mthend,B485,"")</f>
        <v/>
      </c>
      <c r="D486" s="197" t="str">
        <f aca="false">IF(A487&lt;&gt;"",B486+C486,"")</f>
        <v/>
      </c>
      <c r="E486" s="199" t="str">
        <f aca="false">IF(A487="","",IF(AND(AT486=1,$H$3=1),D486*AO486,IF($H$3=2,D486,"N/A")))</f>
        <v/>
      </c>
      <c r="F486" s="199" t="str">
        <f aca="false">IF(A487="","",E486*AS486)</f>
        <v/>
      </c>
      <c r="G486" s="200" t="str">
        <f aca="false">IF($A487="","",VLOOKUP($A486,Table,MATCH(G$4,Curves,0)))</f>
        <v/>
      </c>
      <c r="H486" s="201" t="str">
        <f aca="false">IF(A487="","",G486)</f>
        <v/>
      </c>
      <c r="J486" s="200" t="str">
        <f aca="false">IF($A487="","",VLOOKUP($A486,Table,MATCH(J$4,Curves,0)))</f>
        <v/>
      </c>
      <c r="K486" s="201" t="str">
        <f aca="false">IF(A487="","",J486)</f>
        <v/>
      </c>
      <c r="L486" s="185" t="n">
        <v>0</v>
      </c>
      <c r="M486" s="201" t="str">
        <f aca="false">IF(A487="","",L486)</f>
        <v/>
      </c>
      <c r="O486" s="200" t="str">
        <f aca="false">IF(A487="","",L486+J486+G486)</f>
        <v/>
      </c>
      <c r="P486" s="200" t="str">
        <f aca="false">IF(A487="","",M486+K486+H486)</f>
        <v/>
      </c>
      <c r="R486" s="200" t="str">
        <f aca="false">IF($A487="","",VLOOKUP($A486,Table,MATCH(R$4,Curves,0)))</f>
        <v/>
      </c>
      <c r="S486" s="201" t="str">
        <f aca="false">IF(A487="","",R486)</f>
        <v/>
      </c>
      <c r="T486" s="185" t="n">
        <v>0</v>
      </c>
      <c r="U486" s="201" t="str">
        <f aca="false">IF(A487="","",T486)</f>
        <v/>
      </c>
      <c r="V486" s="205"/>
      <c r="W486" s="202" t="str">
        <f aca="false">IF($A487="","",(T486+R486+G486+V486))</f>
        <v/>
      </c>
      <c r="X486" s="202" t="str">
        <f aca="false">IF($A487="","",(U486+S486+H486+V486))</f>
        <v/>
      </c>
      <c r="Y486" s="202"/>
      <c r="AJ486" s="77"/>
      <c r="AK486" s="77"/>
      <c r="AL486" s="77"/>
      <c r="AM486" s="77"/>
      <c r="AN486" s="77"/>
      <c r="AO486" s="137" t="str">
        <f aca="false">IF(A487="","",A487-A486)</f>
        <v/>
      </c>
      <c r="AP486" s="212" t="str">
        <f aca="false">IF(A487="","",CHOOSE(F$3,A487+24,A486))</f>
        <v/>
      </c>
      <c r="AQ486" s="209" t="str">
        <f aca="false">IF(A487="","",AP486-$E$1)</f>
        <v/>
      </c>
      <c r="AR486" s="185" t="n">
        <f aca="false">'ANR OK vs ML7'!AR486</f>
        <v>0.1</v>
      </c>
      <c r="AS486" s="213" t="str">
        <f aca="false">IF(A487="","",1/(1+CHOOSE(F$3,(AR487+($I$3/10000))/2,(AR486+($I$3/10000))/2))^(2*AQ486/365.25))</f>
        <v/>
      </c>
      <c r="AT486" s="137" t="str">
        <f aca="false">IF(A487="","",IF(AND(mthbeg&lt;=A486,mthend&gt;=A486),1,0))</f>
        <v/>
      </c>
      <c r="AU486" s="137" t="str">
        <f aca="false">IF(A487="","",AO486*AT486)</f>
        <v/>
      </c>
      <c r="AW486" s="195" t="str">
        <f aca="false">IF($A487="","",AL486*$E486)</f>
        <v/>
      </c>
      <c r="AX486" s="195" t="str">
        <f aca="false">IF($A487="","",AM486*$E486)</f>
        <v/>
      </c>
      <c r="AY486" s="195" t="str">
        <f aca="false">IF($A487="","",AN486*$E486)</f>
        <v/>
      </c>
      <c r="BA486" s="195" t="str">
        <f aca="false">IF($A487="","",F486*Summary!$Q$13)</f>
        <v/>
      </c>
    </row>
    <row r="487" customFormat="false" ht="12.75" hidden="false" customHeight="false" outlineLevel="0" collapsed="false">
      <c r="A487" s="196" t="str">
        <f aca="false">IF(A486&lt;mthend,EDATE(A486,1),"")</f>
        <v/>
      </c>
      <c r="B487" s="197" t="str">
        <f aca="false">IF(A487&lt;mthend,B486,"")</f>
        <v/>
      </c>
      <c r="D487" s="197" t="str">
        <f aca="false">IF(A488&lt;&gt;"",B487+C487,"")</f>
        <v/>
      </c>
      <c r="E487" s="199" t="str">
        <f aca="false">IF(A488="","",IF(AND(AT487=1,$H$3=1),D487*AO487,IF($H$3=2,D487,"N/A")))</f>
        <v/>
      </c>
      <c r="F487" s="199" t="str">
        <f aca="false">IF(A488="","",E487*AS487)</f>
        <v/>
      </c>
      <c r="G487" s="200" t="str">
        <f aca="false">IF($A488="","",VLOOKUP($A487,Table,MATCH(G$4,Curves,0)))</f>
        <v/>
      </c>
      <c r="H487" s="201" t="str">
        <f aca="false">IF(A488="","",G487)</f>
        <v/>
      </c>
      <c r="J487" s="200" t="str">
        <f aca="false">IF($A488="","",VLOOKUP($A487,Table,MATCH(J$4,Curves,0)))</f>
        <v/>
      </c>
      <c r="K487" s="201" t="str">
        <f aca="false">IF(A488="","",J487)</f>
        <v/>
      </c>
      <c r="L487" s="185" t="n">
        <v>0</v>
      </c>
      <c r="M487" s="201" t="str">
        <f aca="false">IF(A488="","",L487)</f>
        <v/>
      </c>
      <c r="O487" s="200" t="str">
        <f aca="false">IF(A488="","",L487+J487+G487)</f>
        <v/>
      </c>
      <c r="P487" s="200" t="str">
        <f aca="false">IF(A488="","",M487+K487+H487)</f>
        <v/>
      </c>
      <c r="R487" s="200" t="str">
        <f aca="false">IF($A488="","",VLOOKUP($A487,Table,MATCH(R$4,Curves,0)))</f>
        <v/>
      </c>
      <c r="S487" s="201" t="str">
        <f aca="false">IF(A488="","",R487)</f>
        <v/>
      </c>
      <c r="T487" s="185" t="n">
        <v>0</v>
      </c>
      <c r="U487" s="201" t="str">
        <f aca="false">IF(A488="","",T487)</f>
        <v/>
      </c>
      <c r="V487" s="205"/>
      <c r="W487" s="202" t="str">
        <f aca="false">IF($A488="","",(T487+R487+G487+V487))</f>
        <v/>
      </c>
      <c r="X487" s="202" t="str">
        <f aca="false">IF($A488="","",(U487+S487+H487+V487))</f>
        <v/>
      </c>
      <c r="Y487" s="202"/>
      <c r="AJ487" s="77"/>
      <c r="AK487" s="77"/>
      <c r="AL487" s="77"/>
      <c r="AM487" s="77"/>
      <c r="AN487" s="77"/>
      <c r="AO487" s="137" t="str">
        <f aca="false">IF(A488="","",A488-A487)</f>
        <v/>
      </c>
      <c r="AP487" s="212" t="str">
        <f aca="false">IF(A488="","",CHOOSE(F$3,A488+24,A487))</f>
        <v/>
      </c>
      <c r="AQ487" s="209" t="str">
        <f aca="false">IF(A488="","",AP487-$E$1)</f>
        <v/>
      </c>
      <c r="AR487" s="185" t="n">
        <f aca="false">'ANR OK vs ML7'!AR487</f>
        <v>0.1</v>
      </c>
      <c r="AS487" s="213" t="str">
        <f aca="false">IF(A488="","",1/(1+CHOOSE(F$3,(AR488+($I$3/10000))/2,(AR487+($I$3/10000))/2))^(2*AQ487/365.25))</f>
        <v/>
      </c>
      <c r="AT487" s="137" t="str">
        <f aca="false">IF(A488="","",IF(AND(mthbeg&lt;=A487,mthend&gt;=A487),1,0))</f>
        <v/>
      </c>
      <c r="AU487" s="137" t="str">
        <f aca="false">IF(A488="","",AO487*AT487)</f>
        <v/>
      </c>
      <c r="AW487" s="195" t="str">
        <f aca="false">IF($A488="","",AL487*$E487)</f>
        <v/>
      </c>
      <c r="AX487" s="195" t="str">
        <f aca="false">IF($A488="","",AM487*$E487)</f>
        <v/>
      </c>
      <c r="AY487" s="195" t="str">
        <f aca="false">IF($A488="","",AN487*$E487)</f>
        <v/>
      </c>
      <c r="BA487" s="195" t="str">
        <f aca="false">IF($A488="","",F487*Summary!$Q$13)</f>
        <v/>
      </c>
    </row>
    <row r="488" customFormat="false" ht="12.75" hidden="false" customHeight="false" outlineLevel="0" collapsed="false">
      <c r="A488" s="196" t="str">
        <f aca="false">IF(A487&lt;mthend,EDATE(A487,1),"")</f>
        <v/>
      </c>
      <c r="B488" s="197" t="str">
        <f aca="false">IF(A488&lt;mthend,B487,"")</f>
        <v/>
      </c>
      <c r="D488" s="197" t="str">
        <f aca="false">IF(A489&lt;&gt;"",B488+C488,"")</f>
        <v/>
      </c>
      <c r="E488" s="199" t="str">
        <f aca="false">IF(A489="","",IF(AND(AT488=1,$H$3=1),D488*AO488,IF($H$3=2,D488,"N/A")))</f>
        <v/>
      </c>
      <c r="F488" s="199" t="str">
        <f aca="false">IF(A489="","",E488*AS488)</f>
        <v/>
      </c>
      <c r="G488" s="200" t="str">
        <f aca="false">IF($A489="","",VLOOKUP($A488,Table,MATCH(G$4,Curves,0)))</f>
        <v/>
      </c>
      <c r="H488" s="201" t="str">
        <f aca="false">IF(A489="","",G488)</f>
        <v/>
      </c>
      <c r="J488" s="200" t="str">
        <f aca="false">IF($A489="","",VLOOKUP($A488,Table,MATCH(J$4,Curves,0)))</f>
        <v/>
      </c>
      <c r="K488" s="201" t="str">
        <f aca="false">IF(A489="","",J488)</f>
        <v/>
      </c>
      <c r="L488" s="185" t="n">
        <v>0</v>
      </c>
      <c r="M488" s="201" t="str">
        <f aca="false">IF(A489="","",L488)</f>
        <v/>
      </c>
      <c r="O488" s="200" t="str">
        <f aca="false">IF(A489="","",L488+J488+G488)</f>
        <v/>
      </c>
      <c r="P488" s="200" t="str">
        <f aca="false">IF(A489="","",M488+K488+H488)</f>
        <v/>
      </c>
      <c r="R488" s="200" t="str">
        <f aca="false">IF($A489="","",VLOOKUP($A488,Table,MATCH(R$4,Curves,0)))</f>
        <v/>
      </c>
      <c r="S488" s="201" t="str">
        <f aca="false">IF(A489="","",R488)</f>
        <v/>
      </c>
      <c r="T488" s="185" t="n">
        <v>0</v>
      </c>
      <c r="U488" s="201" t="str">
        <f aca="false">IF(A489="","",T488)</f>
        <v/>
      </c>
      <c r="V488" s="205"/>
      <c r="W488" s="202" t="str">
        <f aca="false">IF($A489="","",(T488+R488+G488+V488))</f>
        <v/>
      </c>
      <c r="X488" s="202" t="str">
        <f aca="false">IF($A489="","",(U488+S488+H488+V488))</f>
        <v/>
      </c>
      <c r="Y488" s="202"/>
      <c r="AJ488" s="77"/>
      <c r="AK488" s="77"/>
      <c r="AL488" s="77"/>
      <c r="AM488" s="77"/>
      <c r="AN488" s="77"/>
      <c r="AO488" s="137" t="str">
        <f aca="false">IF(A489="","",A489-A488)</f>
        <v/>
      </c>
      <c r="AP488" s="212" t="str">
        <f aca="false">IF(A489="","",CHOOSE(F$3,A489+24,A488))</f>
        <v/>
      </c>
      <c r="AQ488" s="209" t="str">
        <f aca="false">IF(A489="","",AP488-$E$1)</f>
        <v/>
      </c>
      <c r="AR488" s="185" t="n">
        <f aca="false">'ANR OK vs ML7'!AR488</f>
        <v>0.1</v>
      </c>
      <c r="AS488" s="213" t="str">
        <f aca="false">IF(A489="","",1/(1+CHOOSE(F$3,(AR489+($I$3/10000))/2,(AR488+($I$3/10000))/2))^(2*AQ488/365.25))</f>
        <v/>
      </c>
      <c r="AT488" s="137" t="str">
        <f aca="false">IF(A489="","",IF(AND(mthbeg&lt;=A488,mthend&gt;=A488),1,0))</f>
        <v/>
      </c>
      <c r="AU488" s="137" t="str">
        <f aca="false">IF(A489="","",AO488*AT488)</f>
        <v/>
      </c>
      <c r="AW488" s="195" t="str">
        <f aca="false">IF($A489="","",AL488*$E488)</f>
        <v/>
      </c>
      <c r="AX488" s="195" t="str">
        <f aca="false">IF($A489="","",AM488*$E488)</f>
        <v/>
      </c>
      <c r="AY488" s="195" t="str">
        <f aca="false">IF($A489="","",AN488*$E488)</f>
        <v/>
      </c>
      <c r="BA488" s="195" t="str">
        <f aca="false">IF($A489="","",F488*Summary!$Q$13)</f>
        <v/>
      </c>
    </row>
    <row r="489" customFormat="false" ht="12.75" hidden="false" customHeight="false" outlineLevel="0" collapsed="false">
      <c r="A489" s="196" t="str">
        <f aca="false">IF(A488&lt;mthend,EDATE(A488,1),"")</f>
        <v/>
      </c>
      <c r="B489" s="197" t="str">
        <f aca="false">IF(A489&lt;mthend,B488,"")</f>
        <v/>
      </c>
      <c r="D489" s="197" t="str">
        <f aca="false">IF(A490&lt;&gt;"",B489+C489,"")</f>
        <v/>
      </c>
      <c r="E489" s="199" t="str">
        <f aca="false">IF(A490="","",IF(AND(AT489=1,$H$3=1),D489*AO489,IF($H$3=2,D489,"N/A")))</f>
        <v/>
      </c>
      <c r="F489" s="199" t="str">
        <f aca="false">IF(A490="","",E489*AS489)</f>
        <v/>
      </c>
      <c r="G489" s="200" t="str">
        <f aca="false">IF($A490="","",VLOOKUP($A489,Table,MATCH(G$4,Curves,0)))</f>
        <v/>
      </c>
      <c r="H489" s="201" t="str">
        <f aca="false">IF(A490="","",G489)</f>
        <v/>
      </c>
      <c r="J489" s="200" t="str">
        <f aca="false">IF($A490="","",VLOOKUP($A489,Table,MATCH(J$4,Curves,0)))</f>
        <v/>
      </c>
      <c r="K489" s="201" t="str">
        <f aca="false">IF(A490="","",J489)</f>
        <v/>
      </c>
      <c r="L489" s="185" t="n">
        <v>0</v>
      </c>
      <c r="M489" s="201" t="str">
        <f aca="false">IF(A490="","",L489)</f>
        <v/>
      </c>
      <c r="O489" s="200" t="str">
        <f aca="false">IF(A490="","",L489+J489+G489)</f>
        <v/>
      </c>
      <c r="P489" s="200" t="str">
        <f aca="false">IF(A490="","",M489+K489+H489)</f>
        <v/>
      </c>
      <c r="R489" s="200" t="str">
        <f aca="false">IF($A490="","",VLOOKUP($A489,Table,MATCH(R$4,Curves,0)))</f>
        <v/>
      </c>
      <c r="S489" s="201" t="str">
        <f aca="false">IF(A490="","",R489)</f>
        <v/>
      </c>
      <c r="T489" s="185" t="n">
        <v>0</v>
      </c>
      <c r="U489" s="201" t="str">
        <f aca="false">IF(A490="","",T489)</f>
        <v/>
      </c>
      <c r="V489" s="205"/>
      <c r="W489" s="202" t="str">
        <f aca="false">IF($A490="","",(T489+R489+G489+V489))</f>
        <v/>
      </c>
      <c r="X489" s="202" t="str">
        <f aca="false">IF($A490="","",(U489+S489+H489+V489))</f>
        <v/>
      </c>
      <c r="Y489" s="202"/>
      <c r="AJ489" s="77"/>
      <c r="AK489" s="77"/>
      <c r="AL489" s="77"/>
      <c r="AM489" s="77"/>
      <c r="AN489" s="77"/>
      <c r="AO489" s="137" t="str">
        <f aca="false">IF(A490="","",A490-A489)</f>
        <v/>
      </c>
      <c r="AP489" s="212" t="str">
        <f aca="false">IF(A490="","",CHOOSE(F$3,A490+24,A489))</f>
        <v/>
      </c>
      <c r="AQ489" s="209" t="str">
        <f aca="false">IF(A490="","",AP489-$E$1)</f>
        <v/>
      </c>
      <c r="AR489" s="185" t="n">
        <f aca="false">'ANR OK vs ML7'!AR489</f>
        <v>0.1</v>
      </c>
      <c r="AS489" s="213" t="str">
        <f aca="false">IF(A490="","",1/(1+CHOOSE(F$3,(AR490+($I$3/10000))/2,(AR489+($I$3/10000))/2))^(2*AQ489/365.25))</f>
        <v/>
      </c>
      <c r="AT489" s="137" t="str">
        <f aca="false">IF(A490="","",IF(AND(mthbeg&lt;=A489,mthend&gt;=A489),1,0))</f>
        <v/>
      </c>
      <c r="AU489" s="137" t="str">
        <f aca="false">IF(A490="","",AO489*AT489)</f>
        <v/>
      </c>
      <c r="AW489" s="195" t="str">
        <f aca="false">IF($A490="","",AL489*$E489)</f>
        <v/>
      </c>
      <c r="AX489" s="195" t="str">
        <f aca="false">IF($A490="","",AM489*$E489)</f>
        <v/>
      </c>
      <c r="AY489" s="195" t="str">
        <f aca="false">IF($A490="","",AN489*$E489)</f>
        <v/>
      </c>
      <c r="BA489" s="195" t="str">
        <f aca="false">IF($A490="","",F489*Summary!$Q$13)</f>
        <v/>
      </c>
    </row>
    <row r="490" customFormat="false" ht="12.75" hidden="false" customHeight="false" outlineLevel="0" collapsed="false">
      <c r="A490" s="196" t="str">
        <f aca="false">IF(A489&lt;mthend,EDATE(A489,1),"")</f>
        <v/>
      </c>
      <c r="B490" s="197" t="str">
        <f aca="false">IF(A490&lt;mthend,B489,"")</f>
        <v/>
      </c>
      <c r="D490" s="197" t="str">
        <f aca="false">IF(A491&lt;&gt;"",B490+C490,"")</f>
        <v/>
      </c>
      <c r="E490" s="199" t="str">
        <f aca="false">IF(A491="","",IF(AND(AT490=1,$H$3=1),D490*AO490,IF($H$3=2,D490,"N/A")))</f>
        <v/>
      </c>
      <c r="F490" s="199" t="str">
        <f aca="false">IF(A491="","",E490*AS490)</f>
        <v/>
      </c>
      <c r="G490" s="200" t="str">
        <f aca="false">IF($A491="","",VLOOKUP($A490,Table,MATCH(G$4,Curves,0)))</f>
        <v/>
      </c>
      <c r="H490" s="201" t="str">
        <f aca="false">IF(A491="","",G490)</f>
        <v/>
      </c>
      <c r="J490" s="200" t="str">
        <f aca="false">IF($A491="","",VLOOKUP($A490,Table,MATCH(J$4,Curves,0)))</f>
        <v/>
      </c>
      <c r="K490" s="201" t="str">
        <f aca="false">IF(A491="","",J490)</f>
        <v/>
      </c>
      <c r="L490" s="185" t="n">
        <v>0</v>
      </c>
      <c r="M490" s="201" t="str">
        <f aca="false">IF(A491="","",L490)</f>
        <v/>
      </c>
      <c r="O490" s="200" t="str">
        <f aca="false">IF(A491="","",L490+J490+G490)</f>
        <v/>
      </c>
      <c r="P490" s="200" t="str">
        <f aca="false">IF(A491="","",M490+K490+H490)</f>
        <v/>
      </c>
      <c r="R490" s="200" t="str">
        <f aca="false">IF($A491="","",VLOOKUP($A490,Table,MATCH(R$4,Curves,0)))</f>
        <v/>
      </c>
      <c r="S490" s="201" t="str">
        <f aca="false">IF(A491="","",R490)</f>
        <v/>
      </c>
      <c r="T490" s="185" t="n">
        <v>0</v>
      </c>
      <c r="U490" s="201" t="str">
        <f aca="false">IF(A491="","",T490)</f>
        <v/>
      </c>
      <c r="V490" s="205"/>
      <c r="W490" s="202" t="str">
        <f aca="false">IF($A491="","",(T490+R490+G490+V490))</f>
        <v/>
      </c>
      <c r="X490" s="202" t="str">
        <f aca="false">IF($A491="","",(U490+S490+H490+V490))</f>
        <v/>
      </c>
      <c r="Y490" s="202"/>
      <c r="AJ490" s="77"/>
      <c r="AK490" s="77"/>
      <c r="AL490" s="77"/>
      <c r="AM490" s="77"/>
      <c r="AN490" s="77"/>
      <c r="AO490" s="137" t="str">
        <f aca="false">IF(A491="","",A491-A490)</f>
        <v/>
      </c>
      <c r="AP490" s="212" t="str">
        <f aca="false">IF(A491="","",CHOOSE(F$3,A491+24,A490))</f>
        <v/>
      </c>
      <c r="AQ490" s="209" t="str">
        <f aca="false">IF(A491="","",AP490-$E$1)</f>
        <v/>
      </c>
      <c r="AR490" s="185" t="n">
        <f aca="false">'ANR OK vs ML7'!AR490</f>
        <v>0.1</v>
      </c>
      <c r="AS490" s="213" t="str">
        <f aca="false">IF(A491="","",1/(1+CHOOSE(F$3,(AR491+($I$3/10000))/2,(AR490+($I$3/10000))/2))^(2*AQ490/365.25))</f>
        <v/>
      </c>
      <c r="AT490" s="137" t="str">
        <f aca="false">IF(A491="","",IF(AND(mthbeg&lt;=A490,mthend&gt;=A490),1,0))</f>
        <v/>
      </c>
      <c r="AU490" s="137" t="str">
        <f aca="false">IF(A491="","",AO490*AT490)</f>
        <v/>
      </c>
      <c r="AW490" s="195" t="str">
        <f aca="false">IF($A491="","",AL490*$E490)</f>
        <v/>
      </c>
      <c r="AX490" s="195" t="str">
        <f aca="false">IF($A491="","",AM490*$E490)</f>
        <v/>
      </c>
      <c r="AY490" s="195" t="str">
        <f aca="false">IF($A491="","",AN490*$E490)</f>
        <v/>
      </c>
      <c r="BA490" s="195" t="str">
        <f aca="false">IF($A491="","",F490*Summary!$Q$13)</f>
        <v/>
      </c>
    </row>
    <row r="491" customFormat="false" ht="12.75" hidden="false" customHeight="false" outlineLevel="0" collapsed="false">
      <c r="A491" s="196" t="str">
        <f aca="false">IF(A490&lt;mthend,EDATE(A490,1),"")</f>
        <v/>
      </c>
      <c r="B491" s="197" t="str">
        <f aca="false">IF(A491&lt;mthend,B490,"")</f>
        <v/>
      </c>
      <c r="D491" s="197" t="str">
        <f aca="false">IF(A492&lt;&gt;"",B491+C491,"")</f>
        <v/>
      </c>
      <c r="E491" s="199" t="str">
        <f aca="false">IF(A492="","",IF(AND(AT491=1,$H$3=1),D491*AO491,IF($H$3=2,D491,"N/A")))</f>
        <v/>
      </c>
      <c r="F491" s="199" t="str">
        <f aca="false">IF(A492="","",E491*AS491)</f>
        <v/>
      </c>
      <c r="G491" s="200" t="str">
        <f aca="false">IF($A492="","",VLOOKUP($A491,Table,MATCH(G$4,Curves,0)))</f>
        <v/>
      </c>
      <c r="H491" s="201" t="str">
        <f aca="false">IF(A492="","",G491)</f>
        <v/>
      </c>
      <c r="J491" s="200" t="str">
        <f aca="false">IF($A492="","",VLOOKUP($A491,Table,MATCH(J$4,Curves,0)))</f>
        <v/>
      </c>
      <c r="K491" s="201" t="str">
        <f aca="false">IF(A492="","",J491)</f>
        <v/>
      </c>
      <c r="L491" s="185" t="n">
        <v>0</v>
      </c>
      <c r="M491" s="201" t="str">
        <f aca="false">IF(A492="","",L491)</f>
        <v/>
      </c>
      <c r="O491" s="200" t="str">
        <f aca="false">IF(A492="","",L491+J491+G491)</f>
        <v/>
      </c>
      <c r="P491" s="200" t="str">
        <f aca="false">IF(A492="","",M491+K491+H491)</f>
        <v/>
      </c>
      <c r="R491" s="200" t="str">
        <f aca="false">IF($A492="","",VLOOKUP($A491,Table,MATCH(R$4,Curves,0)))</f>
        <v/>
      </c>
      <c r="S491" s="201" t="str">
        <f aca="false">IF(A492="","",R491)</f>
        <v/>
      </c>
      <c r="T491" s="185" t="n">
        <v>0</v>
      </c>
      <c r="U491" s="201" t="str">
        <f aca="false">IF(A492="","",T491)</f>
        <v/>
      </c>
      <c r="V491" s="205"/>
      <c r="W491" s="202" t="str">
        <f aca="false">IF($A492="","",(T491+R491+G491+V491))</f>
        <v/>
      </c>
      <c r="X491" s="202" t="str">
        <f aca="false">IF($A492="","",(U491+S491+H491+V491))</f>
        <v/>
      </c>
      <c r="Y491" s="202"/>
      <c r="AJ491" s="77"/>
      <c r="AK491" s="77"/>
      <c r="AL491" s="77"/>
      <c r="AM491" s="77"/>
      <c r="AN491" s="77"/>
      <c r="AO491" s="137" t="str">
        <f aca="false">IF(A492="","",A492-A491)</f>
        <v/>
      </c>
      <c r="AP491" s="212" t="str">
        <f aca="false">IF(A492="","",CHOOSE(F$3,A492+24,A491))</f>
        <v/>
      </c>
      <c r="AQ491" s="209" t="str">
        <f aca="false">IF(A492="","",AP491-$E$1)</f>
        <v/>
      </c>
      <c r="AR491" s="185" t="n">
        <f aca="false">'ANR OK vs ML7'!AR491</f>
        <v>0.1</v>
      </c>
      <c r="AS491" s="213" t="str">
        <f aca="false">IF(A492="","",1/(1+CHOOSE(F$3,(AR492+($I$3/10000))/2,(AR491+($I$3/10000))/2))^(2*AQ491/365.25))</f>
        <v/>
      </c>
      <c r="AT491" s="137" t="str">
        <f aca="false">IF(A492="","",IF(AND(mthbeg&lt;=A491,mthend&gt;=A491),1,0))</f>
        <v/>
      </c>
      <c r="AU491" s="137" t="str">
        <f aca="false">IF(A492="","",AO491*AT491)</f>
        <v/>
      </c>
      <c r="AW491" s="195" t="str">
        <f aca="false">IF($A492="","",AL491*$E491)</f>
        <v/>
      </c>
      <c r="AX491" s="195" t="str">
        <f aca="false">IF($A492="","",AM491*$E491)</f>
        <v/>
      </c>
      <c r="AY491" s="195" t="str">
        <f aca="false">IF($A492="","",AN491*$E491)</f>
        <v/>
      </c>
      <c r="BA491" s="195" t="str">
        <f aca="false">IF($A492="","",F491*Summary!$Q$13)</f>
        <v/>
      </c>
    </row>
    <row r="492" customFormat="false" ht="12.75" hidden="false" customHeight="false" outlineLevel="0" collapsed="false">
      <c r="A492" s="196" t="str">
        <f aca="false">IF(A491&lt;mthend,EDATE(A491,1),"")</f>
        <v/>
      </c>
      <c r="B492" s="197" t="str">
        <f aca="false">IF(A492&lt;mthend,B491,"")</f>
        <v/>
      </c>
      <c r="D492" s="197" t="str">
        <f aca="false">IF(A493&lt;&gt;"",B492+C492,"")</f>
        <v/>
      </c>
      <c r="E492" s="199" t="str">
        <f aca="false">IF(A493="","",IF(AND(AT492=1,$H$3=1),D492*AO492,IF($H$3=2,D492,"N/A")))</f>
        <v/>
      </c>
      <c r="F492" s="199" t="str">
        <f aca="false">IF(A493="","",E492*AS492)</f>
        <v/>
      </c>
      <c r="G492" s="200" t="str">
        <f aca="false">IF($A493="","",VLOOKUP($A492,Table,MATCH(G$4,Curves,0)))</f>
        <v/>
      </c>
      <c r="H492" s="201" t="str">
        <f aca="false">IF(A493="","",G492)</f>
        <v/>
      </c>
      <c r="J492" s="200" t="str">
        <f aca="false">IF($A493="","",VLOOKUP($A492,Table,MATCH(J$4,Curves,0)))</f>
        <v/>
      </c>
      <c r="K492" s="201" t="str">
        <f aca="false">IF(A493="","",J492)</f>
        <v/>
      </c>
      <c r="L492" s="185" t="n">
        <v>0</v>
      </c>
      <c r="M492" s="201" t="str">
        <f aca="false">IF(A493="","",L492)</f>
        <v/>
      </c>
      <c r="O492" s="200" t="str">
        <f aca="false">IF(A493="","",L492+J492+G492)</f>
        <v/>
      </c>
      <c r="P492" s="200" t="str">
        <f aca="false">IF(A493="","",M492+K492+H492)</f>
        <v/>
      </c>
      <c r="R492" s="200" t="str">
        <f aca="false">IF($A493="","",VLOOKUP($A492,Table,MATCH(R$4,Curves,0)))</f>
        <v/>
      </c>
      <c r="S492" s="201" t="str">
        <f aca="false">IF(A493="","",R492)</f>
        <v/>
      </c>
      <c r="T492" s="185" t="n">
        <v>0</v>
      </c>
      <c r="U492" s="201" t="str">
        <f aca="false">IF(A493="","",T492)</f>
        <v/>
      </c>
      <c r="V492" s="205"/>
      <c r="W492" s="202" t="str">
        <f aca="false">IF($A493="","",(T492+R492+G492+V492))</f>
        <v/>
      </c>
      <c r="X492" s="202" t="str">
        <f aca="false">IF($A493="","",(U492+S492+H492+V492))</f>
        <v/>
      </c>
      <c r="Y492" s="202"/>
      <c r="AJ492" s="77"/>
      <c r="AK492" s="77"/>
      <c r="AL492" s="77"/>
      <c r="AM492" s="77"/>
      <c r="AN492" s="77"/>
      <c r="AO492" s="137" t="str">
        <f aca="false">IF(A493="","",A493-A492)</f>
        <v/>
      </c>
      <c r="AP492" s="212" t="str">
        <f aca="false">IF(A493="","",CHOOSE(F$3,A493+24,A492))</f>
        <v/>
      </c>
      <c r="AQ492" s="209" t="str">
        <f aca="false">IF(A493="","",AP492-$E$1)</f>
        <v/>
      </c>
      <c r="AR492" s="185" t="n">
        <f aca="false">'ANR OK vs ML7'!AR492</f>
        <v>0.1</v>
      </c>
      <c r="AS492" s="213" t="str">
        <f aca="false">IF(A493="","",1/(1+CHOOSE(F$3,(AR493+($I$3/10000))/2,(AR492+($I$3/10000))/2))^(2*AQ492/365.25))</f>
        <v/>
      </c>
      <c r="AT492" s="137" t="str">
        <f aca="false">IF(A493="","",IF(AND(mthbeg&lt;=A492,mthend&gt;=A492),1,0))</f>
        <v/>
      </c>
      <c r="AU492" s="137" t="str">
        <f aca="false">IF(A493="","",AO492*AT492)</f>
        <v/>
      </c>
      <c r="AW492" s="195" t="str">
        <f aca="false">IF($A493="","",AL492*$E492)</f>
        <v/>
      </c>
      <c r="AX492" s="195" t="str">
        <f aca="false">IF($A493="","",AM492*$E492)</f>
        <v/>
      </c>
      <c r="AY492" s="195" t="str">
        <f aca="false">IF($A493="","",AN492*$E492)</f>
        <v/>
      </c>
      <c r="BA492" s="195" t="str">
        <f aca="false">IF($A493="","",F492*Summary!$Q$13)</f>
        <v/>
      </c>
    </row>
    <row r="493" customFormat="false" ht="12.75" hidden="false" customHeight="false" outlineLevel="0" collapsed="false">
      <c r="A493" s="196" t="str">
        <f aca="false">IF(A492&lt;mthend,EDATE(A492,1),"")</f>
        <v/>
      </c>
      <c r="B493" s="197" t="str">
        <f aca="false">IF(A493&lt;mthend,B492,"")</f>
        <v/>
      </c>
      <c r="D493" s="197" t="str">
        <f aca="false">IF(A494&lt;&gt;"",B493+C493,"")</f>
        <v/>
      </c>
      <c r="E493" s="199" t="str">
        <f aca="false">IF(A494="","",IF(AND(AT493=1,$H$3=1),D493*AO493,IF($H$3=2,D493,"N/A")))</f>
        <v/>
      </c>
      <c r="F493" s="199" t="str">
        <f aca="false">IF(A494="","",E493*AS493)</f>
        <v/>
      </c>
      <c r="G493" s="200" t="str">
        <f aca="false">IF($A494="","",VLOOKUP($A493,Table,MATCH(G$4,Curves,0)))</f>
        <v/>
      </c>
      <c r="H493" s="201" t="str">
        <f aca="false">IF(A494="","",G493)</f>
        <v/>
      </c>
      <c r="J493" s="200" t="str">
        <f aca="false">IF($A494="","",VLOOKUP($A493,Table,MATCH(J$4,Curves,0)))</f>
        <v/>
      </c>
      <c r="K493" s="201" t="str">
        <f aca="false">IF(A494="","",J493)</f>
        <v/>
      </c>
      <c r="L493" s="185" t="n">
        <v>0</v>
      </c>
      <c r="M493" s="201" t="str">
        <f aca="false">IF(A494="","",L493)</f>
        <v/>
      </c>
      <c r="O493" s="200" t="str">
        <f aca="false">IF(A494="","",L493+J493+G493)</f>
        <v/>
      </c>
      <c r="P493" s="200" t="str">
        <f aca="false">IF(A494="","",M493+K493+H493)</f>
        <v/>
      </c>
      <c r="R493" s="200" t="str">
        <f aca="false">IF($A494="","",VLOOKUP($A493,Table,MATCH(R$4,Curves,0)))</f>
        <v/>
      </c>
      <c r="S493" s="201" t="str">
        <f aca="false">IF(A494="","",R493)</f>
        <v/>
      </c>
      <c r="T493" s="185" t="n">
        <v>0</v>
      </c>
      <c r="U493" s="201" t="str">
        <f aca="false">IF(A494="","",T493)</f>
        <v/>
      </c>
      <c r="V493" s="205"/>
      <c r="W493" s="202" t="str">
        <f aca="false">IF($A494="","",(T493+R493+G493+V493))</f>
        <v/>
      </c>
      <c r="X493" s="202" t="str">
        <f aca="false">IF($A494="","",(U493+S493+H493+V493))</f>
        <v/>
      </c>
      <c r="Y493" s="202"/>
      <c r="AJ493" s="77"/>
      <c r="AK493" s="77"/>
      <c r="AL493" s="77"/>
      <c r="AM493" s="77"/>
      <c r="AN493" s="77"/>
      <c r="AO493" s="137" t="str">
        <f aca="false">IF(A494="","",A494-A493)</f>
        <v/>
      </c>
      <c r="AP493" s="212" t="str">
        <f aca="false">IF(A494="","",CHOOSE(F$3,A494+24,A493))</f>
        <v/>
      </c>
      <c r="AQ493" s="209" t="str">
        <f aca="false">IF(A494="","",AP493-$E$1)</f>
        <v/>
      </c>
      <c r="AR493" s="185" t="n">
        <f aca="false">'ANR OK vs ML7'!AR493</f>
        <v>0.1</v>
      </c>
      <c r="AS493" s="213" t="str">
        <f aca="false">IF(A494="","",1/(1+CHOOSE(F$3,(AR494+($I$3/10000))/2,(AR493+($I$3/10000))/2))^(2*AQ493/365.25))</f>
        <v/>
      </c>
      <c r="AT493" s="137" t="str">
        <f aca="false">IF(A494="","",IF(AND(mthbeg&lt;=A493,mthend&gt;=A493),1,0))</f>
        <v/>
      </c>
      <c r="AU493" s="137" t="str">
        <f aca="false">IF(A494="","",AO493*AT493)</f>
        <v/>
      </c>
      <c r="AW493" s="195" t="str">
        <f aca="false">IF($A494="","",AL493*$E493)</f>
        <v/>
      </c>
      <c r="AX493" s="195" t="str">
        <f aca="false">IF($A494="","",AM493*$E493)</f>
        <v/>
      </c>
      <c r="AY493" s="195" t="str">
        <f aca="false">IF($A494="","",AN493*$E493)</f>
        <v/>
      </c>
      <c r="BA493" s="195" t="str">
        <f aca="false">IF($A494="","",F493*Summary!$Q$13)</f>
        <v/>
      </c>
    </row>
    <row r="494" customFormat="false" ht="12.75" hidden="false" customHeight="false" outlineLevel="0" collapsed="false">
      <c r="A494" s="196" t="str">
        <f aca="false">IF(A493&lt;mthend,EDATE(A493,1),"")</f>
        <v/>
      </c>
      <c r="B494" s="197" t="str">
        <f aca="false">IF(A494&lt;mthend,B493,"")</f>
        <v/>
      </c>
      <c r="D494" s="197" t="str">
        <f aca="false">IF(A495&lt;&gt;"",B494+C494,"")</f>
        <v/>
      </c>
      <c r="E494" s="199" t="str">
        <f aca="false">IF(A495="","",IF(AND(AT494=1,$H$3=1),D494*AO494,IF($H$3=2,D494,"N/A")))</f>
        <v/>
      </c>
      <c r="F494" s="199" t="str">
        <f aca="false">IF(A495="","",E494*AS494)</f>
        <v/>
      </c>
      <c r="G494" s="200" t="str">
        <f aca="false">IF($A495="","",VLOOKUP($A494,Table,MATCH(G$4,Curves,0)))</f>
        <v/>
      </c>
      <c r="H494" s="201" t="str">
        <f aca="false">IF(A495="","",G494)</f>
        <v/>
      </c>
      <c r="J494" s="200" t="str">
        <f aca="false">IF($A495="","",VLOOKUP($A494,Table,MATCH(J$4,Curves,0)))</f>
        <v/>
      </c>
      <c r="K494" s="201" t="str">
        <f aca="false">IF(A495="","",J494)</f>
        <v/>
      </c>
      <c r="L494" s="185" t="n">
        <v>0</v>
      </c>
      <c r="M494" s="201" t="str">
        <f aca="false">IF(A495="","",L494)</f>
        <v/>
      </c>
      <c r="O494" s="200" t="str">
        <f aca="false">IF(A495="","",L494+J494+G494)</f>
        <v/>
      </c>
      <c r="P494" s="200" t="str">
        <f aca="false">IF(A495="","",M494+K494+H494)</f>
        <v/>
      </c>
      <c r="R494" s="200" t="str">
        <f aca="false">IF($A495="","",VLOOKUP($A494,Table,MATCH(R$4,Curves,0)))</f>
        <v/>
      </c>
      <c r="S494" s="201" t="str">
        <f aca="false">IF(A495="","",R494)</f>
        <v/>
      </c>
      <c r="T494" s="185" t="n">
        <v>0</v>
      </c>
      <c r="U494" s="201" t="str">
        <f aca="false">IF(A495="","",T494)</f>
        <v/>
      </c>
      <c r="V494" s="205"/>
      <c r="W494" s="202" t="str">
        <f aca="false">IF($A495="","",(T494+R494+G494+V494))</f>
        <v/>
      </c>
      <c r="X494" s="202" t="str">
        <f aca="false">IF($A495="","",(U494+S494+H494+V494))</f>
        <v/>
      </c>
      <c r="Y494" s="202"/>
      <c r="AJ494" s="77"/>
      <c r="AK494" s="77"/>
      <c r="AL494" s="77"/>
      <c r="AM494" s="77"/>
      <c r="AN494" s="77"/>
      <c r="AO494" s="137" t="str">
        <f aca="false">IF(A495="","",A495-A494)</f>
        <v/>
      </c>
      <c r="AP494" s="212" t="str">
        <f aca="false">IF(A495="","",CHOOSE(F$3,A495+24,A494))</f>
        <v/>
      </c>
      <c r="AQ494" s="209" t="str">
        <f aca="false">IF(A495="","",AP494-$E$1)</f>
        <v/>
      </c>
      <c r="AR494" s="185" t="n">
        <f aca="false">'ANR OK vs ML7'!AR494</f>
        <v>0.1</v>
      </c>
      <c r="AS494" s="213" t="str">
        <f aca="false">IF(A495="","",1/(1+CHOOSE(F$3,(AR495+($I$3/10000))/2,(AR494+($I$3/10000))/2))^(2*AQ494/365.25))</f>
        <v/>
      </c>
      <c r="AT494" s="137" t="str">
        <f aca="false">IF(A495="","",IF(AND(mthbeg&lt;=A494,mthend&gt;=A494),1,0))</f>
        <v/>
      </c>
      <c r="AU494" s="137" t="str">
        <f aca="false">IF(A495="","",AO494*AT494)</f>
        <v/>
      </c>
      <c r="AW494" s="195" t="str">
        <f aca="false">IF($A495="","",AL494*$E494)</f>
        <v/>
      </c>
      <c r="AX494" s="195" t="str">
        <f aca="false">IF($A495="","",AM494*$E494)</f>
        <v/>
      </c>
      <c r="AY494" s="195" t="str">
        <f aca="false">IF($A495="","",AN494*$E494)</f>
        <v/>
      </c>
      <c r="BA494" s="195" t="str">
        <f aca="false">IF($A495="","",F494*Summary!$Q$13)</f>
        <v/>
      </c>
    </row>
    <row r="495" customFormat="false" ht="12.75" hidden="false" customHeight="false" outlineLevel="0" collapsed="false">
      <c r="A495" s="196" t="str">
        <f aca="false">IF(A494&lt;mthend,EDATE(A494,1),"")</f>
        <v/>
      </c>
      <c r="B495" s="197" t="str">
        <f aca="false">IF(A495&lt;mthend,B494,"")</f>
        <v/>
      </c>
      <c r="D495" s="197" t="str">
        <f aca="false">IF(A496&lt;&gt;"",B495+C495,"")</f>
        <v/>
      </c>
      <c r="E495" s="199" t="str">
        <f aca="false">IF(A496="","",IF(AND(AT495=1,$H$3=1),D495*AO495,IF($H$3=2,D495,"N/A")))</f>
        <v/>
      </c>
      <c r="F495" s="199" t="str">
        <f aca="false">IF(A496="","",E495*AS495)</f>
        <v/>
      </c>
      <c r="G495" s="200" t="str">
        <f aca="false">IF($A496="","",VLOOKUP($A495,Table,MATCH(G$4,Curves,0)))</f>
        <v/>
      </c>
      <c r="H495" s="201" t="str">
        <f aca="false">IF(A496="","",G495)</f>
        <v/>
      </c>
      <c r="J495" s="200" t="str">
        <f aca="false">IF($A496="","",VLOOKUP($A495,Table,MATCH(J$4,Curves,0)))</f>
        <v/>
      </c>
      <c r="K495" s="201" t="str">
        <f aca="false">IF(A496="","",J495)</f>
        <v/>
      </c>
      <c r="L495" s="185" t="n">
        <v>0</v>
      </c>
      <c r="M495" s="201" t="str">
        <f aca="false">IF(A496="","",L495)</f>
        <v/>
      </c>
      <c r="O495" s="200" t="str">
        <f aca="false">IF(A496="","",L495+J495+G495)</f>
        <v/>
      </c>
      <c r="P495" s="200" t="str">
        <f aca="false">IF(A496="","",M495+K495+H495)</f>
        <v/>
      </c>
      <c r="R495" s="200" t="str">
        <f aca="false">IF($A496="","",VLOOKUP($A495,Table,MATCH(R$4,Curves,0)))</f>
        <v/>
      </c>
      <c r="S495" s="201" t="str">
        <f aca="false">IF(A496="","",R495)</f>
        <v/>
      </c>
      <c r="T495" s="185" t="n">
        <v>0</v>
      </c>
      <c r="U495" s="201" t="str">
        <f aca="false">IF(A496="","",T495)</f>
        <v/>
      </c>
      <c r="V495" s="205"/>
      <c r="W495" s="202" t="str">
        <f aca="false">IF($A496="","",(T495+R495+G495+V495))</f>
        <v/>
      </c>
      <c r="X495" s="202" t="str">
        <f aca="false">IF($A496="","",(U495+S495+H495+V495))</f>
        <v/>
      </c>
      <c r="Y495" s="202"/>
      <c r="AJ495" s="77"/>
      <c r="AK495" s="77"/>
      <c r="AL495" s="77"/>
      <c r="AM495" s="77"/>
      <c r="AN495" s="77"/>
      <c r="AO495" s="137" t="str">
        <f aca="false">IF(A496="","",A496-A495)</f>
        <v/>
      </c>
      <c r="AP495" s="212" t="str">
        <f aca="false">IF(A496="","",CHOOSE(F$3,A496+24,A495))</f>
        <v/>
      </c>
      <c r="AQ495" s="209" t="str">
        <f aca="false">IF(A496="","",AP495-$E$1)</f>
        <v/>
      </c>
      <c r="AR495" s="185" t="n">
        <f aca="false">'ANR OK vs ML7'!AR495</f>
        <v>0.1</v>
      </c>
      <c r="AS495" s="213" t="str">
        <f aca="false">IF(A496="","",1/(1+CHOOSE(F$3,(AR496+($I$3/10000))/2,(AR495+($I$3/10000))/2))^(2*AQ495/365.25))</f>
        <v/>
      </c>
      <c r="AT495" s="137" t="str">
        <f aca="false">IF(A496="","",IF(AND(mthbeg&lt;=A495,mthend&gt;=A495),1,0))</f>
        <v/>
      </c>
      <c r="AU495" s="137" t="str">
        <f aca="false">IF(A496="","",AO495*AT495)</f>
        <v/>
      </c>
      <c r="AW495" s="195" t="str">
        <f aca="false">IF($A496="","",AL495*$E495)</f>
        <v/>
      </c>
      <c r="AX495" s="195" t="str">
        <f aca="false">IF($A496="","",AM495*$E495)</f>
        <v/>
      </c>
      <c r="AY495" s="195" t="str">
        <f aca="false">IF($A496="","",AN495*$E495)</f>
        <v/>
      </c>
      <c r="BA495" s="195" t="str">
        <f aca="false">IF($A496="","",F495*Summary!$Q$13)</f>
        <v/>
      </c>
    </row>
    <row r="496" customFormat="false" ht="12.75" hidden="false" customHeight="false" outlineLevel="0" collapsed="false">
      <c r="A496" s="196" t="str">
        <f aca="false">IF(A495&lt;mthend,EDATE(A495,1),"")</f>
        <v/>
      </c>
      <c r="B496" s="197" t="str">
        <f aca="false">IF(A496&lt;mthend,B495,"")</f>
        <v/>
      </c>
      <c r="D496" s="197" t="str">
        <f aca="false">IF(A497&lt;&gt;"",B496+C496,"")</f>
        <v/>
      </c>
      <c r="E496" s="199" t="str">
        <f aca="false">IF(A497="","",IF(AND(AT496=1,$H$3=1),D496*AO496,IF($H$3=2,D496,"N/A")))</f>
        <v/>
      </c>
      <c r="F496" s="199" t="str">
        <f aca="false">IF(A497="","",E496*AS496)</f>
        <v/>
      </c>
      <c r="G496" s="200" t="str">
        <f aca="false">IF($A497="","",VLOOKUP($A496,Table,MATCH(G$4,Curves,0)))</f>
        <v/>
      </c>
      <c r="H496" s="201" t="str">
        <f aca="false">IF(A497="","",G496)</f>
        <v/>
      </c>
      <c r="J496" s="200" t="str">
        <f aca="false">IF($A497="","",VLOOKUP($A496,Table,MATCH(J$4,Curves,0)))</f>
        <v/>
      </c>
      <c r="K496" s="201" t="str">
        <f aca="false">IF(A497="","",J496)</f>
        <v/>
      </c>
      <c r="L496" s="185" t="n">
        <v>0</v>
      </c>
      <c r="M496" s="201" t="str">
        <f aca="false">IF(A497="","",L496)</f>
        <v/>
      </c>
      <c r="O496" s="200" t="str">
        <f aca="false">IF(A497="","",L496+J496+G496)</f>
        <v/>
      </c>
      <c r="P496" s="200" t="str">
        <f aca="false">IF(A497="","",M496+K496+H496)</f>
        <v/>
      </c>
      <c r="R496" s="200" t="str">
        <f aca="false">IF($A497="","",VLOOKUP($A496,Table,MATCH(R$4,Curves,0)))</f>
        <v/>
      </c>
      <c r="S496" s="201" t="str">
        <f aca="false">IF(A497="","",R496)</f>
        <v/>
      </c>
      <c r="T496" s="185" t="n">
        <v>0</v>
      </c>
      <c r="U496" s="201" t="str">
        <f aca="false">IF(A497="","",T496)</f>
        <v/>
      </c>
      <c r="V496" s="205"/>
      <c r="W496" s="202" t="str">
        <f aca="false">IF($A497="","",(T496+R496+G496+V496))</f>
        <v/>
      </c>
      <c r="X496" s="202" t="str">
        <f aca="false">IF($A497="","",(U496+S496+H496+V496))</f>
        <v/>
      </c>
      <c r="Y496" s="202"/>
      <c r="AJ496" s="77"/>
      <c r="AK496" s="77"/>
      <c r="AL496" s="77"/>
      <c r="AM496" s="77"/>
      <c r="AN496" s="77"/>
      <c r="AO496" s="137" t="str">
        <f aca="false">IF(A497="","",A497-A496)</f>
        <v/>
      </c>
      <c r="AP496" s="212" t="str">
        <f aca="false">IF(A497="","",CHOOSE(F$3,A497+24,A496))</f>
        <v/>
      </c>
      <c r="AQ496" s="209" t="str">
        <f aca="false">IF(A497="","",AP496-$E$1)</f>
        <v/>
      </c>
      <c r="AR496" s="185" t="n">
        <f aca="false">'ANR OK vs ML7'!AR496</f>
        <v>0.1</v>
      </c>
      <c r="AS496" s="213" t="str">
        <f aca="false">IF(A497="","",1/(1+CHOOSE(F$3,(AR497+($I$3/10000))/2,(AR496+($I$3/10000))/2))^(2*AQ496/365.25))</f>
        <v/>
      </c>
      <c r="AT496" s="137" t="str">
        <f aca="false">IF(A497="","",IF(AND(mthbeg&lt;=A496,mthend&gt;=A496),1,0))</f>
        <v/>
      </c>
      <c r="AU496" s="137" t="str">
        <f aca="false">IF(A497="","",AO496*AT496)</f>
        <v/>
      </c>
      <c r="AW496" s="195" t="str">
        <f aca="false">IF($A497="","",AL496*$E496)</f>
        <v/>
      </c>
      <c r="AX496" s="195" t="str">
        <f aca="false">IF($A497="","",AM496*$E496)</f>
        <v/>
      </c>
      <c r="AY496" s="195" t="str">
        <f aca="false">IF($A497="","",AN496*$E496)</f>
        <v/>
      </c>
      <c r="BA496" s="195" t="str">
        <f aca="false">IF($A497="","",F496*Summary!$Q$13)</f>
        <v/>
      </c>
    </row>
    <row r="497" customFormat="false" ht="12.75" hidden="false" customHeight="false" outlineLevel="0" collapsed="false">
      <c r="A497" s="196" t="str">
        <f aca="false">IF(A496&lt;mthend,EDATE(A496,1),"")</f>
        <v/>
      </c>
      <c r="B497" s="197" t="str">
        <f aca="false">IF(A497&lt;mthend,B496,"")</f>
        <v/>
      </c>
      <c r="D497" s="197" t="str">
        <f aca="false">IF(A498&lt;&gt;"",B497+C497,"")</f>
        <v/>
      </c>
      <c r="E497" s="199" t="str">
        <f aca="false">IF(A498="","",IF(AND(AT497=1,$H$3=1),D497*AO497,IF($H$3=2,D497,"N/A")))</f>
        <v/>
      </c>
      <c r="F497" s="199" t="str">
        <f aca="false">IF(A498="","",E497*AS497)</f>
        <v/>
      </c>
      <c r="G497" s="200" t="str">
        <f aca="false">IF($A498="","",VLOOKUP($A497,Table,MATCH(G$4,Curves,0)))</f>
        <v/>
      </c>
      <c r="H497" s="201" t="str">
        <f aca="false">IF(A498="","",G497)</f>
        <v/>
      </c>
      <c r="J497" s="200" t="str">
        <f aca="false">IF($A498="","",VLOOKUP($A497,Table,MATCH(J$4,Curves,0)))</f>
        <v/>
      </c>
      <c r="K497" s="201" t="str">
        <f aca="false">IF(A498="","",J497)</f>
        <v/>
      </c>
      <c r="L497" s="185" t="n">
        <v>0</v>
      </c>
      <c r="M497" s="201" t="str">
        <f aca="false">IF(A498="","",L497)</f>
        <v/>
      </c>
      <c r="O497" s="200" t="str">
        <f aca="false">IF(A498="","",L497+J497+G497)</f>
        <v/>
      </c>
      <c r="P497" s="200" t="str">
        <f aca="false">IF(A498="","",M497+K497+H497)</f>
        <v/>
      </c>
      <c r="R497" s="200" t="str">
        <f aca="false">IF($A498="","",VLOOKUP($A497,Table,MATCH(R$4,Curves,0)))</f>
        <v/>
      </c>
      <c r="S497" s="201" t="str">
        <f aca="false">IF(A498="","",R497)</f>
        <v/>
      </c>
      <c r="T497" s="185" t="n">
        <v>0</v>
      </c>
      <c r="U497" s="201" t="str">
        <f aca="false">IF(A498="","",T497)</f>
        <v/>
      </c>
      <c r="V497" s="205"/>
      <c r="W497" s="202" t="str">
        <f aca="false">IF($A498="","",(T497+R497+G497+V497))</f>
        <v/>
      </c>
      <c r="X497" s="202" t="str">
        <f aca="false">IF($A498="","",(U497+S497+H497+V497))</f>
        <v/>
      </c>
      <c r="Y497" s="202"/>
      <c r="AJ497" s="77"/>
      <c r="AK497" s="77"/>
      <c r="AL497" s="77"/>
      <c r="AM497" s="77"/>
      <c r="AN497" s="77"/>
      <c r="AO497" s="137" t="str">
        <f aca="false">IF(A498="","",A498-A497)</f>
        <v/>
      </c>
      <c r="AP497" s="212" t="str">
        <f aca="false">IF(A498="","",CHOOSE(F$3,A498+24,A497))</f>
        <v/>
      </c>
      <c r="AQ497" s="209" t="str">
        <f aca="false">IF(A498="","",AP497-$E$1)</f>
        <v/>
      </c>
      <c r="AR497" s="185" t="n">
        <f aca="false">'ANR OK vs ML7'!AR497</f>
        <v>0.1</v>
      </c>
      <c r="AS497" s="213" t="str">
        <f aca="false">IF(A498="","",1/(1+CHOOSE(F$3,(AR498+($I$3/10000))/2,(AR497+($I$3/10000))/2))^(2*AQ497/365.25))</f>
        <v/>
      </c>
      <c r="AT497" s="137" t="str">
        <f aca="false">IF(A498="","",IF(AND(mthbeg&lt;=A497,mthend&gt;=A497),1,0))</f>
        <v/>
      </c>
      <c r="AU497" s="137" t="str">
        <f aca="false">IF(A498="","",AO497*AT497)</f>
        <v/>
      </c>
      <c r="AW497" s="195" t="str">
        <f aca="false">IF($A498="","",AL497*$E497)</f>
        <v/>
      </c>
      <c r="AX497" s="195" t="str">
        <f aca="false">IF($A498="","",AM497*$E497)</f>
        <v/>
      </c>
      <c r="AY497" s="195" t="str">
        <f aca="false">IF($A498="","",AN497*$E497)</f>
        <v/>
      </c>
      <c r="BA497" s="195" t="str">
        <f aca="false">IF($A498="","",F497*Summary!$Q$13)</f>
        <v/>
      </c>
    </row>
    <row r="498" customFormat="false" ht="12.75" hidden="false" customHeight="false" outlineLevel="0" collapsed="false">
      <c r="A498" s="196" t="str">
        <f aca="false">IF(A497&lt;mthend,EDATE(A497,1),"")</f>
        <v/>
      </c>
      <c r="B498" s="197" t="str">
        <f aca="false">IF(A498&lt;mthend,B497,"")</f>
        <v/>
      </c>
      <c r="D498" s="197" t="str">
        <f aca="false">IF(A499&lt;&gt;"",B498+C498,"")</f>
        <v/>
      </c>
      <c r="E498" s="199" t="str">
        <f aca="false">IF(A499="","",IF(AND(AT498=1,$H$3=1),D498*AO498,IF($H$3=2,D498,"N/A")))</f>
        <v/>
      </c>
      <c r="F498" s="199" t="str">
        <f aca="false">IF(A499="","",E498*AS498)</f>
        <v/>
      </c>
      <c r="G498" s="200" t="str">
        <f aca="false">IF($A499="","",VLOOKUP($A498,Table,MATCH(G$4,Curves,0)))</f>
        <v/>
      </c>
      <c r="H498" s="201" t="str">
        <f aca="false">IF(A499="","",G498)</f>
        <v/>
      </c>
      <c r="J498" s="200" t="str">
        <f aca="false">IF($A499="","",VLOOKUP($A498,Table,MATCH(J$4,Curves,0)))</f>
        <v/>
      </c>
      <c r="K498" s="201" t="str">
        <f aca="false">IF(A499="","",J498)</f>
        <v/>
      </c>
      <c r="L498" s="185" t="n">
        <v>0</v>
      </c>
      <c r="M498" s="201" t="str">
        <f aca="false">IF(A499="","",L498)</f>
        <v/>
      </c>
      <c r="O498" s="200" t="str">
        <f aca="false">IF(A499="","",L498+J498+G498)</f>
        <v/>
      </c>
      <c r="P498" s="200" t="str">
        <f aca="false">IF(A499="","",M498+K498+H498)</f>
        <v/>
      </c>
      <c r="R498" s="200" t="str">
        <f aca="false">IF($A499="","",VLOOKUP($A498,Table,MATCH(R$4,Curves,0)))</f>
        <v/>
      </c>
      <c r="S498" s="201" t="str">
        <f aca="false">IF(A499="","",R498)</f>
        <v/>
      </c>
      <c r="T498" s="185" t="n">
        <v>0</v>
      </c>
      <c r="U498" s="201" t="str">
        <f aca="false">IF(A499="","",T498)</f>
        <v/>
      </c>
      <c r="V498" s="205"/>
      <c r="W498" s="202" t="str">
        <f aca="false">IF($A499="","",(T498+R498+G498+V498))</f>
        <v/>
      </c>
      <c r="X498" s="202" t="str">
        <f aca="false">IF($A499="","",(U498+S498+H498+V498))</f>
        <v/>
      </c>
      <c r="Y498" s="202"/>
      <c r="AJ498" s="77"/>
      <c r="AK498" s="77"/>
      <c r="AL498" s="77"/>
      <c r="AM498" s="77"/>
      <c r="AN498" s="77"/>
      <c r="AO498" s="137" t="str">
        <f aca="false">IF(A499="","",A499-A498)</f>
        <v/>
      </c>
      <c r="AP498" s="212" t="str">
        <f aca="false">IF(A499="","",CHOOSE(F$3,A499+24,A498))</f>
        <v/>
      </c>
      <c r="AQ498" s="209" t="str">
        <f aca="false">IF(A499="","",AP498-$E$1)</f>
        <v/>
      </c>
      <c r="AR498" s="185" t="n">
        <f aca="false">'ANR OK vs ML7'!AR498</f>
        <v>0.1</v>
      </c>
      <c r="AS498" s="213" t="str">
        <f aca="false">IF(A499="","",1/(1+CHOOSE(F$3,(AR499+($I$3/10000))/2,(AR498+($I$3/10000))/2))^(2*AQ498/365.25))</f>
        <v/>
      </c>
      <c r="AT498" s="137" t="str">
        <f aca="false">IF(A499="","",IF(AND(mthbeg&lt;=A498,mthend&gt;=A498),1,0))</f>
        <v/>
      </c>
      <c r="AU498" s="137" t="str">
        <f aca="false">IF(A499="","",AO498*AT498)</f>
        <v/>
      </c>
      <c r="AW498" s="195" t="str">
        <f aca="false">IF($A499="","",AL498*$E498)</f>
        <v/>
      </c>
      <c r="AX498" s="195" t="str">
        <f aca="false">IF($A499="","",AM498*$E498)</f>
        <v/>
      </c>
      <c r="AY498" s="195" t="str">
        <f aca="false">IF($A499="","",AN498*$E498)</f>
        <v/>
      </c>
      <c r="BA498" s="195" t="str">
        <f aca="false">IF($A499="","",F498*Summary!$Q$13)</f>
        <v/>
      </c>
    </row>
    <row r="499" customFormat="false" ht="12.75" hidden="false" customHeight="false" outlineLevel="0" collapsed="false">
      <c r="A499" s="196" t="str">
        <f aca="false">IF(A498&lt;mthend,EDATE(A498,1),"")</f>
        <v/>
      </c>
      <c r="B499" s="197" t="str">
        <f aca="false">IF(A499&lt;mthend,B498,"")</f>
        <v/>
      </c>
      <c r="D499" s="197" t="str">
        <f aca="false">IF(A500&lt;&gt;"",B499+C499,"")</f>
        <v/>
      </c>
      <c r="E499" s="199" t="str">
        <f aca="false">IF(A500="","",IF(AND(AT499=1,$H$3=1),D499*AO499,IF($H$3=2,D499,"N/A")))</f>
        <v/>
      </c>
      <c r="F499" s="199" t="str">
        <f aca="false">IF(A500="","",E499*AS499)</f>
        <v/>
      </c>
      <c r="G499" s="200" t="str">
        <f aca="false">IF($A500="","",VLOOKUP($A499,Table,MATCH(G$4,Curves,0)))</f>
        <v/>
      </c>
      <c r="H499" s="201" t="str">
        <f aca="false">IF(A500="","",G499)</f>
        <v/>
      </c>
      <c r="J499" s="200" t="str">
        <f aca="false">IF($A500="","",VLOOKUP($A499,Table,MATCH(J$4,Curves,0)))</f>
        <v/>
      </c>
      <c r="K499" s="201" t="str">
        <f aca="false">IF(A500="","",J499)</f>
        <v/>
      </c>
      <c r="L499" s="185" t="n">
        <v>0</v>
      </c>
      <c r="M499" s="201" t="str">
        <f aca="false">IF(A500="","",L499)</f>
        <v/>
      </c>
      <c r="O499" s="200" t="str">
        <f aca="false">IF(A500="","",L499+J499+G499)</f>
        <v/>
      </c>
      <c r="P499" s="200" t="str">
        <f aca="false">IF(A500="","",M499+K499+H499)</f>
        <v/>
      </c>
      <c r="R499" s="200" t="str">
        <f aca="false">IF($A500="","",VLOOKUP($A499,Table,MATCH(R$4,Curves,0)))</f>
        <v/>
      </c>
      <c r="S499" s="201" t="str">
        <f aca="false">IF(A500="","",R499)</f>
        <v/>
      </c>
      <c r="T499" s="185" t="n">
        <v>0</v>
      </c>
      <c r="U499" s="201" t="str">
        <f aca="false">IF(A500="","",T499)</f>
        <v/>
      </c>
      <c r="V499" s="205"/>
      <c r="W499" s="202" t="str">
        <f aca="false">IF($A500="","",(T499+R499+G499+V499))</f>
        <v/>
      </c>
      <c r="X499" s="202" t="str">
        <f aca="false">IF($A500="","",(U499+S499+H499+V499))</f>
        <v/>
      </c>
      <c r="Y499" s="202"/>
      <c r="AJ499" s="77"/>
      <c r="AK499" s="77"/>
      <c r="AL499" s="77"/>
      <c r="AM499" s="77"/>
      <c r="AN499" s="77"/>
      <c r="AO499" s="137" t="str">
        <f aca="false">IF(A500="","",A500-A499)</f>
        <v/>
      </c>
      <c r="AP499" s="212" t="str">
        <f aca="false">IF(A500="","",CHOOSE(F$3,A500+24,A499))</f>
        <v/>
      </c>
      <c r="AQ499" s="209" t="str">
        <f aca="false">IF(A500="","",AP499-$E$1)</f>
        <v/>
      </c>
      <c r="AR499" s="185" t="n">
        <f aca="false">'ANR OK vs ML7'!AR499</f>
        <v>0.1</v>
      </c>
      <c r="AS499" s="213" t="str">
        <f aca="false">IF(A500="","",1/(1+CHOOSE(F$3,(AR500+($I$3/10000))/2,(AR499+($I$3/10000))/2))^(2*AQ499/365.25))</f>
        <v/>
      </c>
      <c r="AT499" s="137" t="str">
        <f aca="false">IF(A500="","",IF(AND(mthbeg&lt;=A499,mthend&gt;=A499),1,0))</f>
        <v/>
      </c>
      <c r="AU499" s="137" t="str">
        <f aca="false">IF(A500="","",AO499*AT499)</f>
        <v/>
      </c>
      <c r="AW499" s="195" t="str">
        <f aca="false">IF($A500="","",AL499*$E499)</f>
        <v/>
      </c>
      <c r="AX499" s="195" t="str">
        <f aca="false">IF($A500="","",AM499*$E499)</f>
        <v/>
      </c>
      <c r="AY499" s="195" t="str">
        <f aca="false">IF($A500="","",AN499*$E499)</f>
        <v/>
      </c>
      <c r="BA499" s="195" t="str">
        <f aca="false">IF($A500="","",F499*Summary!$Q$13)</f>
        <v/>
      </c>
    </row>
    <row r="500" customFormat="false" ht="12.75" hidden="false" customHeight="false" outlineLevel="0" collapsed="false">
      <c r="A500" s="196" t="str">
        <f aca="false">IF(A499&lt;mthend,EDATE(A499,1),"")</f>
        <v/>
      </c>
      <c r="B500" s="197" t="str">
        <f aca="false">IF(A500&lt;mthend,B499,"")</f>
        <v/>
      </c>
      <c r="D500" s="197"/>
      <c r="E500" s="199"/>
      <c r="F500" s="199"/>
      <c r="G500" s="200"/>
      <c r="H500" s="201"/>
      <c r="J500" s="200"/>
      <c r="K500" s="201"/>
      <c r="L500" s="200"/>
      <c r="M500" s="201"/>
      <c r="O500" s="204"/>
      <c r="P500" s="204"/>
      <c r="R500" s="200"/>
      <c r="S500" s="201"/>
      <c r="T500" s="200"/>
      <c r="U500" s="201"/>
      <c r="W500" s="202"/>
      <c r="X500" s="202"/>
      <c r="Y500" s="202"/>
      <c r="AJ500" s="77"/>
      <c r="AK500" s="77"/>
      <c r="AL500" s="77"/>
      <c r="AM500" s="77"/>
      <c r="AN500" s="77"/>
      <c r="AP500" s="212"/>
      <c r="AQ500" s="209"/>
      <c r="AR500" s="185"/>
      <c r="AS500" s="213"/>
      <c r="AW500" s="195" t="str">
        <f aca="false">IF($A501="","",AL500*$E500)</f>
        <v/>
      </c>
      <c r="AX500" s="195" t="str">
        <f aca="false">IF($A501="","",AM500*$E500)</f>
        <v/>
      </c>
      <c r="AY500" s="195" t="str">
        <f aca="false">IF($A501="","",AN500*$E500)</f>
        <v/>
      </c>
      <c r="BA500" s="195" t="str">
        <f aca="false">IF($A501="","",F500*Summary!$Q$13)</f>
        <v/>
      </c>
    </row>
    <row r="501" customFormat="false" ht="12.75" hidden="false" customHeight="false" outlineLevel="0" collapsed="false">
      <c r="A501" s="196" t="str">
        <f aca="false">IF(A500&lt;mthend,EDATE(A500,1),"")</f>
        <v/>
      </c>
      <c r="B501" s="197" t="str">
        <f aca="false">IF(A501&lt;mthend,B500,"")</f>
        <v/>
      </c>
      <c r="C501" s="21" t="n">
        <v>0</v>
      </c>
      <c r="D501" s="21" t="n">
        <v>0</v>
      </c>
      <c r="E501" s="21" t="n">
        <v>0</v>
      </c>
      <c r="F501" s="21" t="n">
        <v>0</v>
      </c>
      <c r="G501" s="21" t="n">
        <v>0</v>
      </c>
      <c r="H501" s="21" t="n">
        <v>0</v>
      </c>
      <c r="I501" s="21" t="n">
        <v>0</v>
      </c>
      <c r="J501" s="21" t="n">
        <v>0</v>
      </c>
      <c r="K501" s="21" t="n">
        <v>0</v>
      </c>
      <c r="L501" s="21" t="n">
        <v>0</v>
      </c>
      <c r="M501" s="21" t="n">
        <v>0</v>
      </c>
      <c r="N501" s="21" t="n">
        <v>0</v>
      </c>
      <c r="O501" s="21" t="n">
        <v>0</v>
      </c>
      <c r="P501" s="21" t="n">
        <v>0</v>
      </c>
      <c r="Q501" s="21" t="n">
        <v>0</v>
      </c>
      <c r="R501" s="21" t="n">
        <v>0</v>
      </c>
      <c r="S501" s="21" t="n">
        <v>0</v>
      </c>
      <c r="T501" s="21" t="n">
        <v>0</v>
      </c>
      <c r="U501" s="21" t="n">
        <v>0</v>
      </c>
      <c r="V501" s="21" t="n">
        <v>0</v>
      </c>
      <c r="W501" s="21" t="n">
        <v>0</v>
      </c>
      <c r="X501" s="21" t="n">
        <v>0</v>
      </c>
      <c r="Y501" s="21" t="n">
        <v>0</v>
      </c>
      <c r="Z501" s="21" t="n">
        <v>0</v>
      </c>
      <c r="AA501" s="21" t="n">
        <v>0</v>
      </c>
      <c r="AB501" s="21"/>
      <c r="AC501" s="21" t="n">
        <v>0</v>
      </c>
      <c r="AD501" s="21"/>
      <c r="AE501" s="21"/>
      <c r="AF501" s="21" t="n">
        <v>0</v>
      </c>
      <c r="AG501" s="21" t="n">
        <v>0</v>
      </c>
      <c r="AH501" s="21" t="n">
        <v>0</v>
      </c>
      <c r="AI501" s="21" t="n">
        <v>0</v>
      </c>
      <c r="AJ501" s="77"/>
      <c r="AK501" s="77"/>
      <c r="AL501" s="77"/>
      <c r="AM501" s="77"/>
      <c r="AN501" s="77"/>
      <c r="AO501" s="21" t="n">
        <v>0</v>
      </c>
      <c r="AP501" s="21" t="n">
        <v>0</v>
      </c>
      <c r="AQ501" s="21" t="n">
        <v>0</v>
      </c>
      <c r="AR501" s="21" t="n">
        <v>0</v>
      </c>
      <c r="AS501" s="21" t="n">
        <v>0</v>
      </c>
      <c r="AT501" s="21" t="n">
        <v>0</v>
      </c>
      <c r="AU501" s="21" t="n">
        <v>0</v>
      </c>
      <c r="AV501" s="21" t="n">
        <v>0</v>
      </c>
      <c r="AW501" s="195" t="str">
        <f aca="false">IF($A502="","",AL501*$E501)</f>
        <v/>
      </c>
      <c r="AX501" s="195" t="str">
        <f aca="false">IF($A502="","",AM501*$E501)</f>
        <v/>
      </c>
      <c r="AY501" s="195" t="str">
        <f aca="false">IF($A502="","",AN501*$E501)</f>
        <v/>
      </c>
      <c r="AZ501" s="21" t="n">
        <v>0</v>
      </c>
      <c r="BA501" s="195" t="str">
        <f aca="false">IF($A502="","",F501*Summary!$Q$13)</f>
        <v/>
      </c>
      <c r="BB501" s="21" t="n">
        <v>0</v>
      </c>
      <c r="BC501" s="21" t="n">
        <v>0</v>
      </c>
      <c r="BD501" s="21" t="n">
        <v>0</v>
      </c>
      <c r="BE501" s="21" t="n">
        <v>0</v>
      </c>
      <c r="BF501" s="21" t="n">
        <v>0</v>
      </c>
      <c r="BG501" s="21" t="n">
        <v>0</v>
      </c>
      <c r="BH501" s="21" t="n">
        <v>0</v>
      </c>
      <c r="BI501" s="21" t="n">
        <v>0</v>
      </c>
      <c r="BJ501" s="21" t="n">
        <v>0</v>
      </c>
      <c r="BK501" s="21" t="n">
        <v>0</v>
      </c>
      <c r="BL501" s="21" t="n">
        <v>0</v>
      </c>
      <c r="BM501" s="21" t="n">
        <v>0</v>
      </c>
      <c r="BN501" s="21" t="n">
        <v>0</v>
      </c>
      <c r="BO501" s="21" t="n">
        <v>0</v>
      </c>
      <c r="BP501" s="21" t="n">
        <v>0</v>
      </c>
      <c r="BQ501" s="21" t="n">
        <v>0</v>
      </c>
      <c r="BR501" s="21" t="n">
        <v>0</v>
      </c>
      <c r="BS501" s="21" t="n">
        <v>0</v>
      </c>
      <c r="BT501" s="21" t="n">
        <v>0</v>
      </c>
      <c r="BU501" s="21" t="n">
        <v>0</v>
      </c>
      <c r="BV501" s="21" t="n">
        <v>0</v>
      </c>
      <c r="BW501" s="21" t="n">
        <v>0</v>
      </c>
      <c r="BX501" s="21" t="n">
        <v>0</v>
      </c>
      <c r="BY501" s="21" t="n">
        <v>0</v>
      </c>
      <c r="BZ501" s="21" t="n">
        <v>0</v>
      </c>
      <c r="CA501" s="21" t="n">
        <v>0</v>
      </c>
      <c r="CB501" s="21" t="n">
        <v>0</v>
      </c>
      <c r="CC501" s="21" t="n">
        <v>0</v>
      </c>
      <c r="CD501" s="21" t="n">
        <v>0</v>
      </c>
      <c r="CE501" s="21" t="n">
        <v>0</v>
      </c>
      <c r="CF501" s="21" t="n">
        <v>0</v>
      </c>
      <c r="CG501" s="21" t="n">
        <v>0</v>
      </c>
      <c r="CH501" s="21" t="n">
        <v>0</v>
      </c>
      <c r="CI501" s="21" t="n">
        <v>0</v>
      </c>
      <c r="CJ501" s="21" t="n">
        <v>0</v>
      </c>
      <c r="CK501" s="21" t="n">
        <v>0</v>
      </c>
      <c r="CL501" s="21" t="n">
        <v>0</v>
      </c>
      <c r="CM501" s="21" t="n">
        <v>0</v>
      </c>
      <c r="CN501" s="21" t="n">
        <v>0</v>
      </c>
      <c r="CO501" s="21" t="n">
        <v>0</v>
      </c>
      <c r="CP501" s="21" t="n">
        <v>0</v>
      </c>
      <c r="CQ501" s="21" t="n">
        <v>0</v>
      </c>
      <c r="CR501" s="21" t="n">
        <v>0</v>
      </c>
      <c r="CS501" s="21" t="n">
        <v>0</v>
      </c>
      <c r="CT501" s="21" t="n">
        <v>0</v>
      </c>
      <c r="CU501" s="21" t="n">
        <v>0</v>
      </c>
      <c r="CV501" s="21" t="n">
        <v>0</v>
      </c>
      <c r="CW501" s="21" t="n">
        <v>0</v>
      </c>
      <c r="CX501" s="21" t="n">
        <v>0</v>
      </c>
      <c r="CY501" s="21" t="n">
        <v>0</v>
      </c>
      <c r="CZ501" s="21" t="n">
        <v>0</v>
      </c>
      <c r="DA501" s="21" t="n">
        <v>0</v>
      </c>
      <c r="DB501" s="21" t="n">
        <v>0</v>
      </c>
      <c r="DC501" s="21" t="n">
        <v>0</v>
      </c>
      <c r="DD501" s="21" t="n">
        <v>0</v>
      </c>
      <c r="DE501" s="21" t="n">
        <v>0</v>
      </c>
      <c r="DF501" s="21" t="n">
        <v>0</v>
      </c>
      <c r="DG501" s="21" t="n">
        <v>0</v>
      </c>
      <c r="DH501" s="21" t="n">
        <v>0</v>
      </c>
      <c r="DI501" s="21" t="n">
        <v>0</v>
      </c>
      <c r="DJ501" s="21" t="n">
        <v>0</v>
      </c>
      <c r="DK501" s="21" t="n">
        <v>0</v>
      </c>
      <c r="DL501" s="21" t="n">
        <v>0</v>
      </c>
      <c r="DM501" s="21" t="n">
        <v>0</v>
      </c>
      <c r="DN501" s="21" t="n">
        <v>0</v>
      </c>
      <c r="DO501" s="21" t="n">
        <v>0</v>
      </c>
      <c r="DP501" s="21" t="n">
        <v>0</v>
      </c>
      <c r="DQ501" s="21" t="n">
        <v>0</v>
      </c>
      <c r="DR501" s="21" t="n">
        <v>0</v>
      </c>
      <c r="DS501" s="21" t="n">
        <v>0</v>
      </c>
      <c r="DT501" s="21" t="n">
        <v>0</v>
      </c>
      <c r="DU501" s="21" t="n">
        <v>0</v>
      </c>
      <c r="DV501" s="21" t="n">
        <v>0</v>
      </c>
      <c r="DW501" s="21" t="n">
        <v>0</v>
      </c>
      <c r="DX501" s="21" t="n">
        <v>0</v>
      </c>
      <c r="DY501" s="21" t="n">
        <v>0</v>
      </c>
      <c r="DZ501" s="21" t="n">
        <v>0</v>
      </c>
      <c r="EA501" s="21" t="n">
        <v>0</v>
      </c>
      <c r="EB501" s="21" t="n">
        <v>0</v>
      </c>
      <c r="EC501" s="21" t="n">
        <v>0</v>
      </c>
      <c r="ED501" s="21" t="n">
        <v>0</v>
      </c>
      <c r="EE501" s="21" t="n">
        <v>0</v>
      </c>
      <c r="EF501" s="21" t="n">
        <v>0</v>
      </c>
      <c r="EG501" s="21" t="n">
        <v>0</v>
      </c>
      <c r="EH501" s="21" t="n">
        <v>0</v>
      </c>
      <c r="EI501" s="21" t="n">
        <v>0</v>
      </c>
      <c r="EJ501" s="21" t="n">
        <v>0</v>
      </c>
      <c r="EK501" s="21" t="n">
        <v>0</v>
      </c>
      <c r="EL501" s="21" t="n">
        <v>0</v>
      </c>
      <c r="EM501" s="21" t="n">
        <v>0</v>
      </c>
      <c r="EN501" s="21" t="n">
        <v>0</v>
      </c>
      <c r="EO501" s="21" t="n">
        <v>0</v>
      </c>
      <c r="EP501" s="21" t="n">
        <v>0</v>
      </c>
      <c r="EQ501" s="21" t="n">
        <v>0</v>
      </c>
      <c r="ER501" s="21" t="n">
        <v>0</v>
      </c>
      <c r="ES501" s="21" t="n">
        <v>0</v>
      </c>
      <c r="ET501" s="21" t="n">
        <v>0</v>
      </c>
      <c r="EU501" s="21" t="n">
        <v>0</v>
      </c>
      <c r="EV501" s="21" t="n">
        <v>0</v>
      </c>
      <c r="EW501" s="21" t="n">
        <v>0</v>
      </c>
      <c r="EX501" s="21" t="n">
        <v>0</v>
      </c>
      <c r="EY501" s="21" t="n">
        <v>0</v>
      </c>
      <c r="EZ501" s="21" t="n">
        <v>0</v>
      </c>
      <c r="FA501" s="21" t="n">
        <v>0</v>
      </c>
      <c r="FB501" s="21" t="n">
        <v>0</v>
      </c>
      <c r="FC501" s="21" t="n">
        <v>0</v>
      </c>
      <c r="FD501" s="21" t="n">
        <v>0</v>
      </c>
      <c r="FE501" s="21" t="n">
        <v>0</v>
      </c>
      <c r="FF501" s="21" t="n">
        <v>0</v>
      </c>
      <c r="FG501" s="21" t="n">
        <v>0</v>
      </c>
      <c r="FH501" s="21" t="n">
        <v>0</v>
      </c>
      <c r="FI501" s="21" t="n">
        <v>0</v>
      </c>
      <c r="FJ501" s="21" t="n">
        <v>0</v>
      </c>
      <c r="FK501" s="21" t="n">
        <v>0</v>
      </c>
      <c r="FL501" s="21" t="n">
        <v>0</v>
      </c>
      <c r="FM501" s="21" t="n">
        <v>0</v>
      </c>
      <c r="FN501" s="21" t="n">
        <v>0</v>
      </c>
      <c r="FO501" s="21" t="n">
        <v>0</v>
      </c>
      <c r="FP501" s="21" t="n">
        <v>0</v>
      </c>
      <c r="FQ501" s="21" t="n">
        <v>0</v>
      </c>
      <c r="FR501" s="21" t="n">
        <v>0</v>
      </c>
      <c r="FS501" s="21" t="n">
        <v>0</v>
      </c>
      <c r="FT501" s="21" t="n">
        <v>0</v>
      </c>
      <c r="FU501" s="21" t="n">
        <v>0</v>
      </c>
      <c r="FV501" s="21" t="n">
        <v>0</v>
      </c>
      <c r="FW501" s="21" t="n">
        <v>0</v>
      </c>
      <c r="FX501" s="21" t="n">
        <v>0</v>
      </c>
      <c r="FY501" s="21" t="n">
        <v>0</v>
      </c>
      <c r="FZ501" s="21" t="n">
        <v>0</v>
      </c>
      <c r="GA501" s="21" t="n">
        <v>0</v>
      </c>
      <c r="GB501" s="21" t="n">
        <v>0</v>
      </c>
      <c r="GC501" s="21" t="n">
        <v>0</v>
      </c>
      <c r="GD501" s="21" t="n">
        <v>0</v>
      </c>
      <c r="GE501" s="21" t="n">
        <v>0</v>
      </c>
      <c r="GF501" s="21" t="n">
        <v>0</v>
      </c>
      <c r="GG501" s="21" t="n">
        <v>0</v>
      </c>
      <c r="GH501" s="21" t="n">
        <v>0</v>
      </c>
      <c r="GI501" s="21" t="n">
        <v>0</v>
      </c>
      <c r="GJ501" s="21" t="n">
        <v>0</v>
      </c>
      <c r="GK501" s="21" t="n">
        <v>0</v>
      </c>
      <c r="GL501" s="21" t="n">
        <v>0</v>
      </c>
      <c r="GM501" s="21" t="n">
        <v>0</v>
      </c>
      <c r="GN501" s="21" t="n">
        <v>0</v>
      </c>
      <c r="GO501" s="21" t="n">
        <v>0</v>
      </c>
      <c r="GP501" s="21" t="n">
        <v>0</v>
      </c>
      <c r="GQ501" s="21" t="n">
        <v>0</v>
      </c>
      <c r="GR501" s="21" t="n">
        <v>0</v>
      </c>
      <c r="GS501" s="21" t="n">
        <v>0</v>
      </c>
      <c r="GT501" s="21" t="n">
        <v>0</v>
      </c>
      <c r="GU501" s="21" t="n">
        <v>0</v>
      </c>
      <c r="GV501" s="21" t="n">
        <v>0</v>
      </c>
      <c r="GW501" s="21" t="n">
        <v>0</v>
      </c>
      <c r="GX501" s="21" t="n">
        <v>0</v>
      </c>
      <c r="GY501" s="21" t="n">
        <v>0</v>
      </c>
      <c r="GZ501" s="21" t="n">
        <v>0</v>
      </c>
      <c r="HA501" s="21" t="n">
        <v>0</v>
      </c>
      <c r="HB501" s="21" t="n">
        <v>0</v>
      </c>
      <c r="HC501" s="21" t="n">
        <v>0</v>
      </c>
      <c r="HD501" s="21" t="n">
        <v>0</v>
      </c>
      <c r="HE501" s="21" t="n">
        <v>0</v>
      </c>
      <c r="HF501" s="21" t="n">
        <v>0</v>
      </c>
      <c r="HG501" s="21" t="n">
        <v>0</v>
      </c>
      <c r="HH501" s="21" t="n">
        <v>0</v>
      </c>
      <c r="HI501" s="21" t="n">
        <v>0</v>
      </c>
      <c r="HJ501" s="21" t="n">
        <v>0</v>
      </c>
      <c r="HK501" s="21" t="n">
        <v>0</v>
      </c>
      <c r="HL501" s="21" t="n">
        <v>0</v>
      </c>
      <c r="HM501" s="21" t="n">
        <v>0</v>
      </c>
      <c r="HN501" s="21" t="n">
        <v>0</v>
      </c>
      <c r="HO501" s="21" t="n">
        <v>0</v>
      </c>
      <c r="HP501" s="21" t="n">
        <v>0</v>
      </c>
      <c r="HQ501" s="21" t="n">
        <v>0</v>
      </c>
      <c r="HR501" s="21" t="n">
        <v>0</v>
      </c>
      <c r="HS501" s="21" t="n">
        <v>0</v>
      </c>
      <c r="HT501" s="21" t="n">
        <v>0</v>
      </c>
      <c r="HU501" s="21" t="n">
        <v>0</v>
      </c>
      <c r="HV501" s="21" t="n">
        <v>0</v>
      </c>
      <c r="HW501" s="21" t="n">
        <v>0</v>
      </c>
      <c r="HX501" s="21" t="n">
        <v>0</v>
      </c>
      <c r="HY501" s="21" t="n">
        <v>0</v>
      </c>
      <c r="HZ501" s="21" t="n">
        <v>0</v>
      </c>
      <c r="IA501" s="21" t="n">
        <v>0</v>
      </c>
      <c r="IB501" s="21" t="n">
        <v>0</v>
      </c>
      <c r="IC501" s="21" t="n">
        <v>0</v>
      </c>
      <c r="ID501" s="21" t="n">
        <v>0</v>
      </c>
      <c r="IE501" s="21" t="n">
        <v>0</v>
      </c>
      <c r="IF501" s="21" t="n">
        <v>0</v>
      </c>
      <c r="IG501" s="21" t="n">
        <v>0</v>
      </c>
      <c r="IH501" s="21" t="n">
        <v>0</v>
      </c>
    </row>
    <row r="502" customFormat="false" ht="12.75" hidden="false" customHeight="false" outlineLevel="0" collapsed="false">
      <c r="AJ502" s="77"/>
      <c r="AK502" s="77"/>
      <c r="AL502" s="77"/>
      <c r="AM502" s="77"/>
      <c r="AN502" s="77"/>
    </row>
    <row r="503" customFormat="false" ht="12.75" hidden="false" customHeight="false" outlineLevel="0" collapsed="false">
      <c r="AJ503" s="77"/>
      <c r="AK503" s="77"/>
      <c r="AL503" s="77"/>
      <c r="AM503" s="77"/>
      <c r="AN503" s="77"/>
    </row>
    <row r="504" customFormat="false" ht="12.75" hidden="false" customHeight="false" outlineLevel="0" collapsed="false">
      <c r="AJ504" s="77"/>
      <c r="AK504" s="77"/>
      <c r="AL504" s="77"/>
      <c r="AM504" s="77"/>
      <c r="AN504" s="77"/>
    </row>
    <row r="505" customFormat="false" ht="12.75" hidden="false" customHeight="false" outlineLevel="0" collapsed="false">
      <c r="AJ505" s="77"/>
      <c r="AK505" s="77"/>
      <c r="AL505" s="77"/>
      <c r="AM505" s="77"/>
      <c r="AN505" s="77"/>
    </row>
    <row r="506" customFormat="false" ht="12.75" hidden="false" customHeight="false" outlineLevel="0" collapsed="false">
      <c r="AJ506" s="77"/>
      <c r="AK506" s="77"/>
      <c r="AL506" s="77"/>
      <c r="AM506" s="77"/>
      <c r="AN506" s="77"/>
    </row>
    <row r="507" customFormat="false" ht="12.75" hidden="false" customHeight="false" outlineLevel="0" collapsed="false">
      <c r="AJ507" s="77"/>
      <c r="AK507" s="77"/>
      <c r="AL507" s="77"/>
      <c r="AM507" s="77"/>
      <c r="AN507" s="77"/>
    </row>
    <row r="508" customFormat="false" ht="12.75" hidden="false" customHeight="false" outlineLevel="0" collapsed="false">
      <c r="AJ508" s="77"/>
      <c r="AK508" s="77"/>
      <c r="AL508" s="77"/>
      <c r="AM508" s="77"/>
      <c r="AN508" s="77"/>
    </row>
    <row r="509" customFormat="false" ht="12.75" hidden="false" customHeight="false" outlineLevel="0" collapsed="false">
      <c r="AJ509" s="77"/>
      <c r="AK509" s="77"/>
      <c r="AL509" s="77"/>
      <c r="AM509" s="77"/>
      <c r="AN509" s="77"/>
    </row>
    <row r="510" customFormat="false" ht="12.75" hidden="false" customHeight="false" outlineLevel="0" collapsed="false">
      <c r="AJ510" s="77"/>
      <c r="AK510" s="77"/>
      <c r="AL510" s="77"/>
      <c r="AM510" s="77"/>
      <c r="AN510" s="77"/>
    </row>
    <row r="511" customFormat="false" ht="12.75" hidden="false" customHeight="false" outlineLevel="0" collapsed="false">
      <c r="AJ511" s="77"/>
      <c r="AK511" s="77"/>
      <c r="AL511" s="77"/>
      <c r="AM511" s="77"/>
      <c r="AN511" s="77"/>
    </row>
    <row r="512" customFormat="false" ht="12.75" hidden="false" customHeight="false" outlineLevel="0" collapsed="false">
      <c r="AJ512" s="77"/>
      <c r="AK512" s="77"/>
      <c r="AL512" s="77"/>
      <c r="AM512" s="77"/>
      <c r="AN512" s="77"/>
    </row>
    <row r="513" customFormat="false" ht="12.75" hidden="false" customHeight="false" outlineLevel="0" collapsed="false">
      <c r="AJ513" s="77"/>
      <c r="AK513" s="77"/>
      <c r="AL513" s="77"/>
      <c r="AM513" s="77"/>
      <c r="AN513" s="77"/>
    </row>
    <row r="514" customFormat="false" ht="12.75" hidden="false" customHeight="false" outlineLevel="0" collapsed="false">
      <c r="AJ514" s="77"/>
      <c r="AK514" s="77"/>
      <c r="AL514" s="77"/>
      <c r="AM514" s="77"/>
      <c r="AN514" s="77"/>
    </row>
    <row r="515" customFormat="false" ht="12.75" hidden="false" customHeight="false" outlineLevel="0" collapsed="false">
      <c r="AJ515" s="77"/>
      <c r="AK515" s="77"/>
      <c r="AL515" s="77"/>
      <c r="AM515" s="77"/>
      <c r="AN515" s="77"/>
    </row>
    <row r="516" customFormat="false" ht="12.75" hidden="false" customHeight="false" outlineLevel="0" collapsed="false">
      <c r="AJ516" s="77"/>
      <c r="AK516" s="77"/>
      <c r="AL516" s="77"/>
      <c r="AM516" s="77"/>
      <c r="AN516" s="77"/>
    </row>
    <row r="517" customFormat="false" ht="12.75" hidden="false" customHeight="false" outlineLevel="0" collapsed="false">
      <c r="AJ517" s="77"/>
      <c r="AK517" s="77"/>
      <c r="AL517" s="77"/>
      <c r="AM517" s="77"/>
      <c r="AN517" s="77"/>
    </row>
    <row r="518" customFormat="false" ht="12.75" hidden="false" customHeight="false" outlineLevel="0" collapsed="false">
      <c r="AJ518" s="77"/>
      <c r="AK518" s="77"/>
      <c r="AL518" s="77"/>
      <c r="AM518" s="77"/>
      <c r="AN518" s="77"/>
    </row>
    <row r="519" customFormat="false" ht="12.75" hidden="false" customHeight="false" outlineLevel="0" collapsed="false">
      <c r="AJ519" s="77"/>
      <c r="AK519" s="77"/>
      <c r="AL519" s="77"/>
      <c r="AM519" s="77"/>
      <c r="AN519" s="77"/>
    </row>
    <row r="520" customFormat="false" ht="12.75" hidden="false" customHeight="false" outlineLevel="0" collapsed="false">
      <c r="AJ520" s="77"/>
      <c r="AK520" s="77"/>
      <c r="AL520" s="77"/>
      <c r="AM520" s="77"/>
      <c r="AN520" s="77"/>
    </row>
    <row r="521" customFormat="false" ht="12.75" hidden="false" customHeight="false" outlineLevel="0" collapsed="false">
      <c r="AJ521" s="77"/>
      <c r="AK521" s="77"/>
      <c r="AL521" s="77"/>
      <c r="AM521" s="77"/>
      <c r="AN521" s="77"/>
    </row>
    <row r="522" customFormat="false" ht="12.75" hidden="false" customHeight="false" outlineLevel="0" collapsed="false">
      <c r="AJ522" s="77"/>
      <c r="AK522" s="77"/>
      <c r="AL522" s="77"/>
      <c r="AM522" s="77"/>
      <c r="AN522" s="77"/>
    </row>
    <row r="523" customFormat="false" ht="12.75" hidden="false" customHeight="false" outlineLevel="0" collapsed="false">
      <c r="AJ523" s="77"/>
      <c r="AK523" s="77"/>
      <c r="AL523" s="77"/>
      <c r="AM523" s="77"/>
      <c r="AN523" s="77"/>
    </row>
    <row r="524" customFormat="false" ht="12.75" hidden="false" customHeight="false" outlineLevel="0" collapsed="false">
      <c r="AJ524" s="77"/>
      <c r="AK524" s="77"/>
      <c r="AL524" s="77"/>
      <c r="AM524" s="77"/>
      <c r="AN524" s="77"/>
    </row>
    <row r="525" customFormat="false" ht="12.75" hidden="false" customHeight="false" outlineLevel="0" collapsed="false">
      <c r="AJ525" s="77"/>
      <c r="AK525" s="77"/>
      <c r="AL525" s="77"/>
      <c r="AM525" s="77"/>
      <c r="AN525" s="77"/>
    </row>
    <row r="526" customFormat="false" ht="12.75" hidden="false" customHeight="false" outlineLevel="0" collapsed="false">
      <c r="AJ526" s="77"/>
      <c r="AK526" s="77"/>
      <c r="AL526" s="77"/>
      <c r="AM526" s="77"/>
      <c r="AN526" s="77"/>
    </row>
    <row r="527" customFormat="false" ht="12.75" hidden="false" customHeight="false" outlineLevel="0" collapsed="false">
      <c r="AJ527" s="77"/>
      <c r="AK527" s="77"/>
      <c r="AL527" s="77"/>
      <c r="AM527" s="77"/>
      <c r="AN527" s="77"/>
    </row>
    <row r="528" customFormat="false" ht="12.75" hidden="false" customHeight="false" outlineLevel="0" collapsed="false">
      <c r="AJ528" s="77"/>
      <c r="AK528" s="77"/>
      <c r="AL528" s="77"/>
      <c r="AM528" s="77"/>
      <c r="AN528" s="77"/>
    </row>
    <row r="529" customFormat="false" ht="12.75" hidden="false" customHeight="false" outlineLevel="0" collapsed="false">
      <c r="AJ529" s="77"/>
      <c r="AK529" s="77"/>
      <c r="AL529" s="77"/>
      <c r="AM529" s="77"/>
      <c r="AN529" s="77"/>
    </row>
    <row r="530" customFormat="false" ht="12.75" hidden="false" customHeight="false" outlineLevel="0" collapsed="false">
      <c r="AJ530" s="77"/>
      <c r="AK530" s="77"/>
      <c r="AL530" s="77"/>
      <c r="AM530" s="77"/>
      <c r="AN530" s="77"/>
    </row>
    <row r="531" customFormat="false" ht="12.75" hidden="false" customHeight="false" outlineLevel="0" collapsed="false">
      <c r="AJ531" s="77"/>
      <c r="AK531" s="77"/>
      <c r="AL531" s="77"/>
      <c r="AM531" s="77"/>
      <c r="AN531" s="77"/>
    </row>
    <row r="532" customFormat="false" ht="12.75" hidden="false" customHeight="false" outlineLevel="0" collapsed="false">
      <c r="AJ532" s="77"/>
      <c r="AK532" s="77"/>
      <c r="AL532" s="77"/>
      <c r="AM532" s="77"/>
      <c r="AN532" s="77"/>
    </row>
    <row r="533" customFormat="false" ht="12.75" hidden="false" customHeight="false" outlineLevel="0" collapsed="false">
      <c r="AJ533" s="77"/>
      <c r="AK533" s="77"/>
      <c r="AL533" s="77"/>
      <c r="AM533" s="77"/>
      <c r="AN533" s="77"/>
    </row>
    <row r="534" customFormat="false" ht="12.75" hidden="false" customHeight="false" outlineLevel="0" collapsed="false">
      <c r="AJ534" s="77"/>
      <c r="AK534" s="77"/>
      <c r="AL534" s="77"/>
      <c r="AM534" s="77"/>
      <c r="AN534" s="77"/>
    </row>
    <row r="535" customFormat="false" ht="12.75" hidden="false" customHeight="false" outlineLevel="0" collapsed="false">
      <c r="AJ535" s="77"/>
      <c r="AK535" s="77"/>
      <c r="AL535" s="77"/>
      <c r="AM535" s="77"/>
      <c r="AN535" s="77"/>
    </row>
    <row r="536" customFormat="false" ht="12.75" hidden="false" customHeight="false" outlineLevel="0" collapsed="false">
      <c r="AJ536" s="77"/>
      <c r="AK536" s="77"/>
      <c r="AL536" s="77"/>
      <c r="AM536" s="77"/>
      <c r="AN536" s="77"/>
    </row>
    <row r="537" customFormat="false" ht="12.75" hidden="false" customHeight="false" outlineLevel="0" collapsed="false">
      <c r="AJ537" s="77"/>
      <c r="AK537" s="77"/>
      <c r="AL537" s="77"/>
      <c r="AM537" s="77"/>
      <c r="AN537" s="77"/>
    </row>
    <row r="538" customFormat="false" ht="12.75" hidden="false" customHeight="false" outlineLevel="0" collapsed="false">
      <c r="AJ538" s="77"/>
      <c r="AK538" s="77"/>
      <c r="AL538" s="77"/>
      <c r="AM538" s="77"/>
      <c r="AN538" s="77"/>
    </row>
    <row r="539" customFormat="false" ht="12.75" hidden="false" customHeight="false" outlineLevel="0" collapsed="false">
      <c r="AJ539" s="77"/>
      <c r="AK539" s="77"/>
      <c r="AL539" s="77"/>
      <c r="AM539" s="77"/>
      <c r="AN539" s="77"/>
    </row>
    <row r="540" customFormat="false" ht="12.75" hidden="false" customHeight="false" outlineLevel="0" collapsed="false">
      <c r="AJ540" s="77"/>
      <c r="AK540" s="77"/>
      <c r="AL540" s="77"/>
      <c r="AM540" s="77"/>
      <c r="AN540" s="77"/>
    </row>
    <row r="541" customFormat="false" ht="12.75" hidden="false" customHeight="false" outlineLevel="0" collapsed="false">
      <c r="AJ541" s="77"/>
      <c r="AK541" s="77"/>
      <c r="AL541" s="77"/>
      <c r="AM541" s="77"/>
      <c r="AN541" s="77"/>
    </row>
    <row r="542" customFormat="false" ht="12.75" hidden="false" customHeight="false" outlineLevel="0" collapsed="false">
      <c r="AJ542" s="77"/>
      <c r="AK542" s="77"/>
      <c r="AL542" s="77"/>
      <c r="AM542" s="77"/>
      <c r="AN542" s="77"/>
    </row>
    <row r="543" customFormat="false" ht="12.75" hidden="false" customHeight="false" outlineLevel="0" collapsed="false">
      <c r="AJ543" s="77"/>
      <c r="AK543" s="77"/>
      <c r="AL543" s="77"/>
      <c r="AM543" s="77"/>
      <c r="AN543" s="77"/>
    </row>
    <row r="544" customFormat="false" ht="12.75" hidden="false" customHeight="false" outlineLevel="0" collapsed="false">
      <c r="AJ544" s="77"/>
      <c r="AK544" s="77"/>
      <c r="AL544" s="77"/>
      <c r="AM544" s="77"/>
      <c r="AN544" s="77"/>
    </row>
    <row r="545" customFormat="false" ht="12.75" hidden="false" customHeight="false" outlineLevel="0" collapsed="false">
      <c r="AJ545" s="77"/>
      <c r="AK545" s="77"/>
      <c r="AL545" s="77"/>
      <c r="AM545" s="77"/>
      <c r="AN545" s="77"/>
    </row>
    <row r="546" customFormat="false" ht="12.75" hidden="false" customHeight="false" outlineLevel="0" collapsed="false">
      <c r="AJ546" s="77"/>
      <c r="AK546" s="77"/>
      <c r="AL546" s="77"/>
      <c r="AM546" s="77"/>
      <c r="AN546" s="77"/>
    </row>
    <row r="547" customFormat="false" ht="12.75" hidden="false" customHeight="false" outlineLevel="0" collapsed="false">
      <c r="AJ547" s="77"/>
      <c r="AK547" s="77"/>
      <c r="AL547" s="77"/>
      <c r="AM547" s="77"/>
      <c r="AN547" s="77"/>
    </row>
    <row r="548" customFormat="false" ht="12.75" hidden="false" customHeight="false" outlineLevel="0" collapsed="false">
      <c r="AJ548" s="77"/>
      <c r="AK548" s="77"/>
      <c r="AL548" s="77"/>
      <c r="AM548" s="77"/>
      <c r="AN548" s="77"/>
    </row>
    <row r="549" customFormat="false" ht="12.75" hidden="false" customHeight="false" outlineLevel="0" collapsed="false">
      <c r="AJ549" s="77"/>
      <c r="AK549" s="77"/>
      <c r="AL549" s="77"/>
      <c r="AM549" s="77"/>
      <c r="AN549" s="77"/>
    </row>
    <row r="550" customFormat="false" ht="12.75" hidden="false" customHeight="false" outlineLevel="0" collapsed="false">
      <c r="AJ550" s="77"/>
      <c r="AK550" s="77"/>
      <c r="AL550" s="77"/>
      <c r="AM550" s="77"/>
      <c r="AN550" s="77"/>
    </row>
    <row r="551" customFormat="false" ht="12.75" hidden="false" customHeight="false" outlineLevel="0" collapsed="false">
      <c r="AJ551" s="77"/>
      <c r="AK551" s="77"/>
      <c r="AL551" s="77"/>
      <c r="AM551" s="77"/>
      <c r="AN551" s="77"/>
    </row>
    <row r="552" customFormat="false" ht="12.75" hidden="false" customHeight="false" outlineLevel="0" collapsed="false">
      <c r="AJ552" s="77"/>
      <c r="AK552" s="77"/>
      <c r="AL552" s="77"/>
      <c r="AM552" s="77"/>
      <c r="AN552" s="77"/>
    </row>
    <row r="553" customFormat="false" ht="12.75" hidden="false" customHeight="false" outlineLevel="0" collapsed="false">
      <c r="AJ553" s="77"/>
      <c r="AK553" s="77"/>
      <c r="AL553" s="77"/>
      <c r="AM553" s="77"/>
      <c r="AN553" s="77"/>
    </row>
    <row r="554" customFormat="false" ht="12.75" hidden="false" customHeight="false" outlineLevel="0" collapsed="false">
      <c r="AJ554" s="77"/>
      <c r="AK554" s="77"/>
      <c r="AL554" s="77"/>
      <c r="AM554" s="77"/>
      <c r="AN554" s="77"/>
    </row>
    <row r="555" customFormat="false" ht="12.75" hidden="false" customHeight="false" outlineLevel="0" collapsed="false">
      <c r="AJ555" s="77"/>
      <c r="AK555" s="77"/>
      <c r="AL555" s="77"/>
      <c r="AM555" s="77"/>
      <c r="AN555" s="77"/>
    </row>
    <row r="556" customFormat="false" ht="12.75" hidden="false" customHeight="false" outlineLevel="0" collapsed="false">
      <c r="AJ556" s="77"/>
      <c r="AK556" s="77"/>
      <c r="AL556" s="77"/>
      <c r="AM556" s="77"/>
      <c r="AN556" s="77"/>
    </row>
    <row r="557" customFormat="false" ht="12.75" hidden="false" customHeight="false" outlineLevel="0" collapsed="false">
      <c r="AJ557" s="77"/>
      <c r="AK557" s="77"/>
      <c r="AL557" s="77"/>
      <c r="AM557" s="77"/>
      <c r="AN557" s="77"/>
    </row>
    <row r="558" customFormat="false" ht="12.75" hidden="false" customHeight="false" outlineLevel="0" collapsed="false">
      <c r="AJ558" s="77"/>
      <c r="AK558" s="77"/>
      <c r="AL558" s="77"/>
      <c r="AM558" s="77"/>
      <c r="AN558" s="77"/>
    </row>
    <row r="559" customFormat="false" ht="12.75" hidden="false" customHeight="false" outlineLevel="0" collapsed="false">
      <c r="AJ559" s="77"/>
      <c r="AK559" s="77"/>
      <c r="AL559" s="77"/>
      <c r="AM559" s="77"/>
      <c r="AN559" s="77"/>
    </row>
    <row r="560" customFormat="false" ht="12.75" hidden="false" customHeight="false" outlineLevel="0" collapsed="false">
      <c r="AJ560" s="77"/>
      <c r="AK560" s="77"/>
      <c r="AL560" s="77"/>
      <c r="AM560" s="77"/>
      <c r="AN560" s="77"/>
    </row>
    <row r="561" customFormat="false" ht="12.75" hidden="false" customHeight="false" outlineLevel="0" collapsed="false">
      <c r="AJ561" s="77"/>
      <c r="AK561" s="77"/>
      <c r="AL561" s="77"/>
      <c r="AM561" s="77"/>
      <c r="AN561" s="77"/>
    </row>
    <row r="562" customFormat="false" ht="12.75" hidden="false" customHeight="false" outlineLevel="0" collapsed="false">
      <c r="AJ562" s="77"/>
      <c r="AK562" s="77"/>
      <c r="AL562" s="77"/>
      <c r="AM562" s="77"/>
      <c r="AN562" s="77"/>
    </row>
    <row r="563" customFormat="false" ht="12.75" hidden="false" customHeight="false" outlineLevel="0" collapsed="false">
      <c r="AJ563" s="77"/>
      <c r="AK563" s="77"/>
      <c r="AL563" s="77"/>
      <c r="AM563" s="77"/>
      <c r="AN563" s="77"/>
    </row>
    <row r="564" customFormat="false" ht="12.75" hidden="false" customHeight="false" outlineLevel="0" collapsed="false">
      <c r="AJ564" s="77"/>
      <c r="AK564" s="77"/>
      <c r="AL564" s="77"/>
      <c r="AM564" s="77"/>
      <c r="AN564" s="77"/>
    </row>
    <row r="565" customFormat="false" ht="12.75" hidden="false" customHeight="false" outlineLevel="0" collapsed="false">
      <c r="AJ565" s="77"/>
      <c r="AK565" s="77"/>
      <c r="AL565" s="77"/>
      <c r="AM565" s="77"/>
      <c r="AN565" s="77"/>
    </row>
    <row r="566" customFormat="false" ht="12.75" hidden="false" customHeight="false" outlineLevel="0" collapsed="false">
      <c r="AJ566" s="77"/>
      <c r="AK566" s="77"/>
      <c r="AL566" s="77"/>
      <c r="AM566" s="77"/>
      <c r="AN566" s="77"/>
    </row>
    <row r="567" customFormat="false" ht="12.75" hidden="false" customHeight="false" outlineLevel="0" collapsed="false">
      <c r="AJ567" s="77"/>
      <c r="AK567" s="77"/>
      <c r="AL567" s="77"/>
      <c r="AM567" s="77"/>
      <c r="AN567" s="77"/>
    </row>
    <row r="568" customFormat="false" ht="12.75" hidden="false" customHeight="false" outlineLevel="0" collapsed="false">
      <c r="AJ568" s="77"/>
      <c r="AK568" s="77"/>
      <c r="AL568" s="77"/>
      <c r="AM568" s="77"/>
      <c r="AN568" s="77"/>
    </row>
    <row r="569" customFormat="false" ht="12.75" hidden="false" customHeight="false" outlineLevel="0" collapsed="false">
      <c r="AJ569" s="77"/>
      <c r="AK569" s="77"/>
      <c r="AL569" s="77"/>
      <c r="AM569" s="77"/>
      <c r="AN569" s="77"/>
    </row>
    <row r="570" customFormat="false" ht="12.75" hidden="false" customHeight="false" outlineLevel="0" collapsed="false">
      <c r="AJ570" s="77"/>
      <c r="AK570" s="77"/>
      <c r="AL570" s="77"/>
      <c r="AM570" s="77"/>
      <c r="AN570" s="77"/>
    </row>
    <row r="571" customFormat="false" ht="12.75" hidden="false" customHeight="false" outlineLevel="0" collapsed="false">
      <c r="AJ571" s="77"/>
      <c r="AK571" s="77"/>
      <c r="AL571" s="77"/>
      <c r="AM571" s="77"/>
      <c r="AN571" s="77"/>
    </row>
    <row r="572" customFormat="false" ht="12.75" hidden="false" customHeight="false" outlineLevel="0" collapsed="false">
      <c r="AJ572" s="77"/>
      <c r="AK572" s="77"/>
      <c r="AL572" s="77"/>
      <c r="AM572" s="77"/>
      <c r="AN572" s="77"/>
    </row>
    <row r="573" customFormat="false" ht="12.75" hidden="false" customHeight="false" outlineLevel="0" collapsed="false">
      <c r="AJ573" s="77"/>
      <c r="AK573" s="77"/>
      <c r="AL573" s="77"/>
      <c r="AM573" s="77"/>
      <c r="AN573" s="77"/>
    </row>
    <row r="574" customFormat="false" ht="12.75" hidden="false" customHeight="false" outlineLevel="0" collapsed="false">
      <c r="AJ574" s="77"/>
      <c r="AK574" s="77"/>
      <c r="AL574" s="77"/>
      <c r="AM574" s="77"/>
      <c r="AN574" s="77"/>
    </row>
    <row r="575" customFormat="false" ht="12.75" hidden="false" customHeight="false" outlineLevel="0" collapsed="false">
      <c r="AJ575" s="77"/>
      <c r="AK575" s="77"/>
      <c r="AL575" s="77"/>
      <c r="AM575" s="77"/>
      <c r="AN575" s="77"/>
    </row>
    <row r="576" customFormat="false" ht="12.75" hidden="false" customHeight="false" outlineLevel="0" collapsed="false">
      <c r="AJ576" s="77"/>
      <c r="AK576" s="77"/>
      <c r="AL576" s="77"/>
      <c r="AM576" s="77"/>
      <c r="AN576" s="77"/>
    </row>
    <row r="577" customFormat="false" ht="12.75" hidden="false" customHeight="false" outlineLevel="0" collapsed="false">
      <c r="AJ577" s="77"/>
      <c r="AK577" s="77"/>
      <c r="AL577" s="77"/>
      <c r="AM577" s="77"/>
      <c r="AN577" s="77"/>
    </row>
    <row r="578" customFormat="false" ht="12.75" hidden="false" customHeight="false" outlineLevel="0" collapsed="false">
      <c r="AJ578" s="77"/>
      <c r="AK578" s="77"/>
      <c r="AL578" s="77"/>
      <c r="AM578" s="77"/>
      <c r="AN578" s="77"/>
    </row>
    <row r="579" customFormat="false" ht="12.75" hidden="false" customHeight="false" outlineLevel="0" collapsed="false">
      <c r="AJ579" s="77"/>
      <c r="AK579" s="77"/>
      <c r="AL579" s="77"/>
      <c r="AM579" s="77"/>
      <c r="AN579" s="77"/>
    </row>
    <row r="580" customFormat="false" ht="12.75" hidden="false" customHeight="false" outlineLevel="0" collapsed="false">
      <c r="AJ580" s="77"/>
      <c r="AK580" s="77"/>
      <c r="AL580" s="77"/>
      <c r="AM580" s="77"/>
      <c r="AN580" s="77"/>
    </row>
    <row r="581" customFormat="false" ht="12.75" hidden="false" customHeight="false" outlineLevel="0" collapsed="false">
      <c r="AJ581" s="77"/>
      <c r="AK581" s="77"/>
      <c r="AL581" s="77"/>
      <c r="AM581" s="77"/>
      <c r="AN581" s="77"/>
    </row>
    <row r="582" customFormat="false" ht="12.75" hidden="false" customHeight="false" outlineLevel="0" collapsed="false">
      <c r="AJ582" s="77"/>
      <c r="AK582" s="77"/>
      <c r="AL582" s="77"/>
      <c r="AM582" s="77"/>
      <c r="AN582" s="77"/>
    </row>
    <row r="583" customFormat="false" ht="12.75" hidden="false" customHeight="false" outlineLevel="0" collapsed="false">
      <c r="AJ583" s="77"/>
      <c r="AK583" s="77"/>
      <c r="AL583" s="77"/>
      <c r="AM583" s="77"/>
      <c r="AN583" s="77"/>
    </row>
    <row r="584" customFormat="false" ht="12.75" hidden="false" customHeight="false" outlineLevel="0" collapsed="false">
      <c r="AJ584" s="77"/>
      <c r="AK584" s="77"/>
      <c r="AL584" s="77"/>
      <c r="AM584" s="77"/>
      <c r="AN584" s="77"/>
    </row>
    <row r="585" customFormat="false" ht="12.75" hidden="false" customHeight="false" outlineLevel="0" collapsed="false">
      <c r="AJ585" s="77"/>
      <c r="AK585" s="77"/>
      <c r="AL585" s="77"/>
      <c r="AM585" s="77"/>
      <c r="AN585" s="77"/>
    </row>
    <row r="586" customFormat="false" ht="12.75" hidden="false" customHeight="false" outlineLevel="0" collapsed="false">
      <c r="AJ586" s="77"/>
      <c r="AK586" s="77"/>
      <c r="AL586" s="77"/>
      <c r="AM586" s="77"/>
      <c r="AN586" s="77"/>
    </row>
    <row r="587" customFormat="false" ht="12.75" hidden="false" customHeight="false" outlineLevel="0" collapsed="false">
      <c r="AJ587" s="77"/>
      <c r="AK587" s="77"/>
      <c r="AL587" s="77"/>
      <c r="AM587" s="77"/>
      <c r="AN587" s="77"/>
    </row>
    <row r="588" customFormat="false" ht="12.75" hidden="false" customHeight="false" outlineLevel="0" collapsed="false">
      <c r="AJ588" s="77"/>
      <c r="AK588" s="77"/>
      <c r="AL588" s="77"/>
      <c r="AM588" s="77"/>
      <c r="AN588" s="77"/>
    </row>
    <row r="589" customFormat="false" ht="12.75" hidden="false" customHeight="false" outlineLevel="0" collapsed="false">
      <c r="AJ589" s="77"/>
      <c r="AK589" s="77"/>
      <c r="AL589" s="77"/>
      <c r="AM589" s="77"/>
      <c r="AN589" s="77"/>
    </row>
    <row r="590" customFormat="false" ht="12.75" hidden="false" customHeight="false" outlineLevel="0" collapsed="false">
      <c r="AJ590" s="77"/>
      <c r="AK590" s="77"/>
      <c r="AL590" s="77"/>
      <c r="AM590" s="77"/>
      <c r="AN590" s="77"/>
    </row>
    <row r="591" customFormat="false" ht="12.75" hidden="false" customHeight="false" outlineLevel="0" collapsed="false">
      <c r="AJ591" s="77"/>
      <c r="AK591" s="77"/>
      <c r="AL591" s="77"/>
      <c r="AM591" s="77"/>
      <c r="AN591" s="77"/>
    </row>
    <row r="592" customFormat="false" ht="12.75" hidden="false" customHeight="false" outlineLevel="0" collapsed="false">
      <c r="AJ592" s="77"/>
      <c r="AK592" s="77"/>
      <c r="AL592" s="77"/>
      <c r="AM592" s="77"/>
      <c r="AN592" s="77"/>
    </row>
    <row r="593" customFormat="false" ht="12.75" hidden="false" customHeight="false" outlineLevel="0" collapsed="false">
      <c r="AJ593" s="77"/>
      <c r="AK593" s="77"/>
      <c r="AL593" s="77"/>
      <c r="AM593" s="77"/>
      <c r="AN593" s="77"/>
    </row>
    <row r="594" customFormat="false" ht="12.75" hidden="false" customHeight="false" outlineLevel="0" collapsed="false">
      <c r="AJ594" s="77"/>
      <c r="AK594" s="77"/>
      <c r="AL594" s="77"/>
      <c r="AM594" s="77"/>
      <c r="AN594" s="77"/>
    </row>
    <row r="595" customFormat="false" ht="12.75" hidden="false" customHeight="false" outlineLevel="0" collapsed="false">
      <c r="AJ595" s="77"/>
      <c r="AK595" s="77"/>
      <c r="AL595" s="77"/>
      <c r="AM595" s="77"/>
      <c r="AN595" s="77"/>
    </row>
    <row r="596" customFormat="false" ht="12.75" hidden="false" customHeight="false" outlineLevel="0" collapsed="false">
      <c r="AJ596" s="77"/>
      <c r="AK596" s="77"/>
      <c r="AL596" s="77"/>
      <c r="AM596" s="77"/>
      <c r="AN596" s="77"/>
    </row>
    <row r="597" customFormat="false" ht="12.75" hidden="false" customHeight="false" outlineLevel="0" collapsed="false">
      <c r="AJ597" s="77"/>
      <c r="AK597" s="77"/>
      <c r="AL597" s="77"/>
      <c r="AM597" s="77"/>
      <c r="AN597" s="77"/>
    </row>
    <row r="598" customFormat="false" ht="12.75" hidden="false" customHeight="false" outlineLevel="0" collapsed="false">
      <c r="AJ598" s="77"/>
      <c r="AK598" s="77"/>
      <c r="AL598" s="77"/>
      <c r="AM598" s="77"/>
      <c r="AN598" s="77"/>
    </row>
    <row r="599" customFormat="false" ht="12.75" hidden="false" customHeight="false" outlineLevel="0" collapsed="false">
      <c r="AJ599" s="77"/>
      <c r="AK599" s="77"/>
      <c r="AL599" s="77"/>
      <c r="AM599" s="77"/>
      <c r="AN599" s="77"/>
    </row>
    <row r="600" customFormat="false" ht="12.75" hidden="false" customHeight="false" outlineLevel="0" collapsed="false">
      <c r="AJ600" s="77"/>
      <c r="AK600" s="77"/>
      <c r="AL600" s="77"/>
      <c r="AM600" s="77"/>
      <c r="AN600" s="77"/>
    </row>
    <row r="601" customFormat="false" ht="12.75" hidden="false" customHeight="false" outlineLevel="0" collapsed="false">
      <c r="AJ601" s="77"/>
      <c r="AK601" s="77"/>
      <c r="AL601" s="77"/>
      <c r="AM601" s="77"/>
      <c r="AN601" s="77"/>
    </row>
    <row r="602" customFormat="false" ht="12.75" hidden="false" customHeight="false" outlineLevel="0" collapsed="false">
      <c r="AJ602" s="77"/>
      <c r="AK602" s="77"/>
      <c r="AL602" s="77"/>
      <c r="AM602" s="77"/>
      <c r="AN602" s="77"/>
    </row>
    <row r="603" customFormat="false" ht="12.75" hidden="false" customHeight="false" outlineLevel="0" collapsed="false">
      <c r="AJ603" s="77"/>
      <c r="AK603" s="77"/>
      <c r="AL603" s="77"/>
      <c r="AM603" s="77"/>
      <c r="AN603" s="77"/>
    </row>
    <row r="604" customFormat="false" ht="12.75" hidden="false" customHeight="false" outlineLevel="0" collapsed="false">
      <c r="AJ604" s="77"/>
      <c r="AK604" s="77"/>
      <c r="AL604" s="77"/>
      <c r="AM604" s="77"/>
      <c r="AN604" s="77"/>
    </row>
    <row r="605" customFormat="false" ht="12.75" hidden="false" customHeight="false" outlineLevel="0" collapsed="false">
      <c r="AJ605" s="77"/>
      <c r="AK605" s="77"/>
      <c r="AL605" s="77"/>
      <c r="AM605" s="77"/>
      <c r="AN605" s="77"/>
    </row>
    <row r="606" customFormat="false" ht="12.75" hidden="false" customHeight="false" outlineLevel="0" collapsed="false">
      <c r="AJ606" s="77"/>
      <c r="AK606" s="77"/>
      <c r="AL606" s="77"/>
      <c r="AM606" s="77"/>
      <c r="AN606" s="77"/>
    </row>
    <row r="607" customFormat="false" ht="12.75" hidden="false" customHeight="false" outlineLevel="0" collapsed="false">
      <c r="AJ607" s="77"/>
      <c r="AK607" s="77"/>
      <c r="AL607" s="77"/>
      <c r="AM607" s="77"/>
      <c r="AN607" s="77"/>
    </row>
    <row r="608" customFormat="false" ht="12.75" hidden="false" customHeight="false" outlineLevel="0" collapsed="false">
      <c r="AJ608" s="77"/>
      <c r="AK608" s="77"/>
      <c r="AL608" s="77"/>
      <c r="AM608" s="77"/>
      <c r="AN608" s="77"/>
    </row>
    <row r="609" customFormat="false" ht="12.75" hidden="false" customHeight="false" outlineLevel="0" collapsed="false">
      <c r="AJ609" s="77"/>
      <c r="AK609" s="77"/>
      <c r="AL609" s="77"/>
      <c r="AM609" s="77"/>
      <c r="AN609" s="77"/>
    </row>
    <row r="610" customFormat="false" ht="12.75" hidden="false" customHeight="false" outlineLevel="0" collapsed="false">
      <c r="AJ610" s="77"/>
      <c r="AK610" s="77"/>
      <c r="AL610" s="77"/>
      <c r="AM610" s="77"/>
      <c r="AN610" s="77"/>
    </row>
    <row r="611" customFormat="false" ht="12.75" hidden="false" customHeight="false" outlineLevel="0" collapsed="false">
      <c r="AJ611" s="77"/>
      <c r="AK611" s="77"/>
      <c r="AL611" s="77"/>
      <c r="AM611" s="77"/>
      <c r="AN611" s="77"/>
    </row>
    <row r="612" customFormat="false" ht="12.75" hidden="false" customHeight="false" outlineLevel="0" collapsed="false">
      <c r="AJ612" s="77"/>
      <c r="AK612" s="77"/>
      <c r="AL612" s="77"/>
      <c r="AM612" s="77"/>
      <c r="AN612" s="77"/>
    </row>
    <row r="613" customFormat="false" ht="12.75" hidden="false" customHeight="false" outlineLevel="0" collapsed="false">
      <c r="AJ613" s="77"/>
      <c r="AK613" s="77"/>
      <c r="AL613" s="77"/>
      <c r="AM613" s="77"/>
      <c r="AN613" s="77"/>
    </row>
    <row r="614" customFormat="false" ht="12.75" hidden="false" customHeight="false" outlineLevel="0" collapsed="false">
      <c r="AJ614" s="77"/>
      <c r="AK614" s="77"/>
      <c r="AL614" s="77"/>
      <c r="AM614" s="77"/>
      <c r="AN614" s="77"/>
    </row>
    <row r="615" customFormat="false" ht="12.75" hidden="false" customHeight="false" outlineLevel="0" collapsed="false">
      <c r="AJ615" s="77"/>
      <c r="AK615" s="77"/>
      <c r="AL615" s="77"/>
      <c r="AM615" s="77"/>
      <c r="AN615" s="77"/>
    </row>
    <row r="616" customFormat="false" ht="12.75" hidden="false" customHeight="false" outlineLevel="0" collapsed="false">
      <c r="AJ616" s="77"/>
      <c r="AK616" s="77"/>
      <c r="AL616" s="77"/>
      <c r="AM616" s="77"/>
      <c r="AN616" s="77"/>
    </row>
    <row r="617" customFormat="false" ht="12.75" hidden="false" customHeight="false" outlineLevel="0" collapsed="false">
      <c r="AJ617" s="77"/>
      <c r="AK617" s="77"/>
      <c r="AL617" s="77"/>
      <c r="AM617" s="77"/>
      <c r="AN617" s="77"/>
    </row>
    <row r="618" customFormat="false" ht="12.75" hidden="false" customHeight="false" outlineLevel="0" collapsed="false">
      <c r="AJ618" s="77"/>
      <c r="AK618" s="77"/>
      <c r="AL618" s="77"/>
      <c r="AM618" s="77"/>
      <c r="AN618" s="77"/>
    </row>
    <row r="619" customFormat="false" ht="12.75" hidden="false" customHeight="false" outlineLevel="0" collapsed="false">
      <c r="AJ619" s="77"/>
      <c r="AK619" s="77"/>
      <c r="AL619" s="77"/>
      <c r="AM619" s="77"/>
      <c r="AN619" s="77"/>
    </row>
    <row r="620" customFormat="false" ht="12.75" hidden="false" customHeight="false" outlineLevel="0" collapsed="false">
      <c r="AJ620" s="77"/>
      <c r="AK620" s="77"/>
      <c r="AL620" s="77"/>
      <c r="AM620" s="77"/>
      <c r="AN620" s="77"/>
    </row>
    <row r="621" customFormat="false" ht="12.75" hidden="false" customHeight="false" outlineLevel="0" collapsed="false">
      <c r="AJ621" s="77"/>
      <c r="AK621" s="77"/>
      <c r="AL621" s="77"/>
      <c r="AM621" s="77"/>
      <c r="AN621" s="77"/>
    </row>
    <row r="622" customFormat="false" ht="12.75" hidden="false" customHeight="false" outlineLevel="0" collapsed="false">
      <c r="AJ622" s="77"/>
      <c r="AK622" s="77"/>
      <c r="AL622" s="77"/>
      <c r="AM622" s="77"/>
      <c r="AN622" s="77"/>
    </row>
    <row r="623" customFormat="false" ht="12.75" hidden="false" customHeight="false" outlineLevel="0" collapsed="false">
      <c r="AJ623" s="77"/>
      <c r="AK623" s="77"/>
      <c r="AL623" s="77"/>
      <c r="AM623" s="77"/>
      <c r="AN623" s="77"/>
    </row>
    <row r="624" customFormat="false" ht="12.75" hidden="false" customHeight="false" outlineLevel="0" collapsed="false">
      <c r="AJ624" s="77"/>
      <c r="AK624" s="77"/>
      <c r="AL624" s="77"/>
      <c r="AM624" s="77"/>
      <c r="AN624" s="77"/>
    </row>
    <row r="625" customFormat="false" ht="12.75" hidden="false" customHeight="false" outlineLevel="0" collapsed="false">
      <c r="AJ625" s="77"/>
      <c r="AK625" s="77"/>
      <c r="AL625" s="77"/>
      <c r="AM625" s="77"/>
      <c r="AN625" s="77"/>
    </row>
    <row r="626" customFormat="false" ht="12.75" hidden="false" customHeight="false" outlineLevel="0" collapsed="false">
      <c r="AJ626" s="77"/>
      <c r="AK626" s="77"/>
      <c r="AL626" s="77"/>
      <c r="AM626" s="77"/>
      <c r="AN626" s="77"/>
    </row>
    <row r="627" customFormat="false" ht="12.75" hidden="false" customHeight="false" outlineLevel="0" collapsed="false">
      <c r="AJ627" s="77"/>
      <c r="AK627" s="77"/>
      <c r="AL627" s="77"/>
      <c r="AM627" s="77"/>
      <c r="AN627" s="77"/>
    </row>
    <row r="628" customFormat="false" ht="12.75" hidden="false" customHeight="false" outlineLevel="0" collapsed="false">
      <c r="AJ628" s="77"/>
      <c r="AK628" s="77"/>
      <c r="AL628" s="77"/>
      <c r="AM628" s="77"/>
      <c r="AN628" s="77"/>
    </row>
    <row r="629" customFormat="false" ht="12.75" hidden="false" customHeight="false" outlineLevel="0" collapsed="false">
      <c r="AJ629" s="77"/>
      <c r="AK629" s="77"/>
      <c r="AL629" s="77"/>
      <c r="AM629" s="77"/>
      <c r="AN629" s="77"/>
    </row>
    <row r="630" customFormat="false" ht="12.75" hidden="false" customHeight="false" outlineLevel="0" collapsed="false">
      <c r="AJ630" s="77"/>
      <c r="AK630" s="77"/>
      <c r="AL630" s="77"/>
      <c r="AM630" s="77"/>
      <c r="AN630" s="77"/>
    </row>
    <row r="631" customFormat="false" ht="12.75" hidden="false" customHeight="false" outlineLevel="0" collapsed="false">
      <c r="AJ631" s="77"/>
      <c r="AK631" s="77"/>
      <c r="AL631" s="77"/>
      <c r="AM631" s="77"/>
      <c r="AN631" s="77"/>
    </row>
    <row r="632" customFormat="false" ht="12.75" hidden="false" customHeight="false" outlineLevel="0" collapsed="false">
      <c r="AJ632" s="77"/>
      <c r="AK632" s="77"/>
      <c r="AL632" s="77"/>
      <c r="AM632" s="77"/>
      <c r="AN632" s="77"/>
    </row>
    <row r="633" customFormat="false" ht="12.75" hidden="false" customHeight="false" outlineLevel="0" collapsed="false">
      <c r="AJ633" s="77"/>
      <c r="AK633" s="77"/>
      <c r="AL633" s="77"/>
      <c r="AM633" s="77"/>
      <c r="AN633" s="77"/>
    </row>
    <row r="634" customFormat="false" ht="12.75" hidden="false" customHeight="false" outlineLevel="0" collapsed="false">
      <c r="AJ634" s="77"/>
      <c r="AK634" s="77"/>
      <c r="AL634" s="77"/>
      <c r="AM634" s="77"/>
      <c r="AN634" s="77"/>
    </row>
    <row r="635" customFormat="false" ht="12.75" hidden="false" customHeight="false" outlineLevel="0" collapsed="false">
      <c r="AJ635" s="77"/>
      <c r="AK635" s="77"/>
      <c r="AL635" s="77"/>
      <c r="AM635" s="77"/>
      <c r="AN635" s="77"/>
    </row>
    <row r="636" customFormat="false" ht="12.75" hidden="false" customHeight="false" outlineLevel="0" collapsed="false">
      <c r="AJ636" s="77"/>
      <c r="AK636" s="77"/>
      <c r="AL636" s="77"/>
      <c r="AM636" s="77"/>
      <c r="AN636" s="77"/>
    </row>
    <row r="637" customFormat="false" ht="12.75" hidden="false" customHeight="false" outlineLevel="0" collapsed="false">
      <c r="AJ637" s="77"/>
      <c r="AK637" s="77"/>
      <c r="AL637" s="77"/>
      <c r="AM637" s="77"/>
      <c r="AN637" s="77"/>
    </row>
    <row r="638" customFormat="false" ht="12.75" hidden="false" customHeight="false" outlineLevel="0" collapsed="false">
      <c r="AJ638" s="77"/>
      <c r="AK638" s="77"/>
      <c r="AL638" s="77"/>
      <c r="AM638" s="77"/>
      <c r="AN638" s="77"/>
    </row>
    <row r="639" customFormat="false" ht="12.75" hidden="false" customHeight="false" outlineLevel="0" collapsed="false">
      <c r="AJ639" s="77"/>
      <c r="AK639" s="77"/>
      <c r="AL639" s="77"/>
      <c r="AM639" s="77"/>
      <c r="AN639" s="77"/>
    </row>
    <row r="640" customFormat="false" ht="12.75" hidden="false" customHeight="false" outlineLevel="0" collapsed="false">
      <c r="AJ640" s="77"/>
      <c r="AK640" s="77"/>
      <c r="AL640" s="77"/>
      <c r="AM640" s="77"/>
      <c r="AN640" s="77"/>
    </row>
    <row r="641" customFormat="false" ht="12.75" hidden="false" customHeight="false" outlineLevel="0" collapsed="false">
      <c r="AJ641" s="77"/>
      <c r="AK641" s="77"/>
      <c r="AL641" s="77"/>
      <c r="AM641" s="77"/>
      <c r="AN641" s="77"/>
    </row>
    <row r="642" customFormat="false" ht="12.75" hidden="false" customHeight="false" outlineLevel="0" collapsed="false">
      <c r="AJ642" s="77"/>
      <c r="AK642" s="77"/>
      <c r="AL642" s="77"/>
      <c r="AM642" s="77"/>
      <c r="AN642" s="77"/>
    </row>
    <row r="643" customFormat="false" ht="12.75" hidden="false" customHeight="false" outlineLevel="0" collapsed="false">
      <c r="AJ643" s="77"/>
      <c r="AK643" s="77"/>
      <c r="AL643" s="77"/>
      <c r="AM643" s="77"/>
      <c r="AN643" s="77"/>
    </row>
    <row r="644" customFormat="false" ht="12.75" hidden="false" customHeight="false" outlineLevel="0" collapsed="false">
      <c r="AJ644" s="77"/>
      <c r="AK644" s="77"/>
      <c r="AL644" s="77"/>
      <c r="AM644" s="77"/>
      <c r="AN644" s="77"/>
    </row>
    <row r="645" customFormat="false" ht="12.75" hidden="false" customHeight="false" outlineLevel="0" collapsed="false">
      <c r="AJ645" s="77"/>
      <c r="AK645" s="77"/>
      <c r="AL645" s="77"/>
      <c r="AM645" s="77"/>
      <c r="AN645" s="77"/>
    </row>
    <row r="646" customFormat="false" ht="12.75" hidden="false" customHeight="false" outlineLevel="0" collapsed="false">
      <c r="AJ646" s="77"/>
      <c r="AK646" s="77"/>
      <c r="AL646" s="77"/>
      <c r="AM646" s="77"/>
      <c r="AN646" s="77"/>
    </row>
    <row r="647" customFormat="false" ht="12.75" hidden="false" customHeight="false" outlineLevel="0" collapsed="false">
      <c r="AJ647" s="77"/>
      <c r="AK647" s="77"/>
      <c r="AL647" s="77"/>
      <c r="AM647" s="77"/>
      <c r="AN647" s="77"/>
    </row>
    <row r="648" customFormat="false" ht="12.75" hidden="false" customHeight="false" outlineLevel="0" collapsed="false">
      <c r="AJ648" s="77"/>
      <c r="AK648" s="77"/>
      <c r="AL648" s="77"/>
      <c r="AM648" s="77"/>
      <c r="AN648" s="77"/>
    </row>
    <row r="649" customFormat="false" ht="12.75" hidden="false" customHeight="false" outlineLevel="0" collapsed="false">
      <c r="AJ649" s="77"/>
      <c r="AK649" s="77"/>
      <c r="AL649" s="77"/>
      <c r="AM649" s="77"/>
      <c r="AN649" s="77"/>
    </row>
    <row r="650" customFormat="false" ht="12.75" hidden="false" customHeight="false" outlineLevel="0" collapsed="false">
      <c r="AJ650" s="77"/>
      <c r="AK650" s="77"/>
      <c r="AL650" s="77"/>
      <c r="AM650" s="77"/>
      <c r="AN650" s="77"/>
    </row>
    <row r="651" customFormat="false" ht="12.75" hidden="false" customHeight="false" outlineLevel="0" collapsed="false">
      <c r="AJ651" s="77"/>
      <c r="AK651" s="77"/>
      <c r="AL651" s="77"/>
      <c r="AM651" s="77"/>
      <c r="AN651" s="77"/>
    </row>
    <row r="652" customFormat="false" ht="12.75" hidden="false" customHeight="false" outlineLevel="0" collapsed="false">
      <c r="AJ652" s="77"/>
      <c r="AK652" s="77"/>
      <c r="AL652" s="77"/>
      <c r="AM652" s="77"/>
      <c r="AN652" s="77"/>
    </row>
    <row r="653" customFormat="false" ht="12.75" hidden="false" customHeight="false" outlineLevel="0" collapsed="false">
      <c r="AJ653" s="77"/>
      <c r="AK653" s="77"/>
      <c r="AL653" s="77"/>
      <c r="AM653" s="77"/>
      <c r="AN653" s="77"/>
    </row>
    <row r="654" customFormat="false" ht="12.75" hidden="false" customHeight="false" outlineLevel="0" collapsed="false">
      <c r="AJ654" s="77"/>
      <c r="AK654" s="77"/>
      <c r="AL654" s="77"/>
      <c r="AM654" s="77"/>
      <c r="AN654" s="77"/>
    </row>
    <row r="655" customFormat="false" ht="12.75" hidden="false" customHeight="false" outlineLevel="0" collapsed="false">
      <c r="AJ655" s="77"/>
      <c r="AK655" s="77"/>
      <c r="AL655" s="77"/>
      <c r="AM655" s="77"/>
      <c r="AN655" s="77"/>
    </row>
    <row r="656" customFormat="false" ht="12.75" hidden="false" customHeight="false" outlineLevel="0" collapsed="false">
      <c r="AJ656" s="77"/>
      <c r="AK656" s="77"/>
      <c r="AL656" s="77"/>
      <c r="AM656" s="77"/>
      <c r="AN656" s="77"/>
    </row>
    <row r="657" customFormat="false" ht="12.75" hidden="false" customHeight="false" outlineLevel="0" collapsed="false">
      <c r="AJ657" s="77"/>
      <c r="AK657" s="77"/>
      <c r="AL657" s="77"/>
      <c r="AM657" s="77"/>
      <c r="AN657" s="77"/>
    </row>
    <row r="658" customFormat="false" ht="12.75" hidden="false" customHeight="false" outlineLevel="0" collapsed="false">
      <c r="AJ658" s="77"/>
      <c r="AK658" s="77"/>
      <c r="AL658" s="77"/>
      <c r="AM658" s="77"/>
      <c r="AN658" s="77"/>
    </row>
    <row r="659" customFormat="false" ht="12.75" hidden="false" customHeight="false" outlineLevel="0" collapsed="false">
      <c r="AJ659" s="77"/>
      <c r="AK659" s="77"/>
      <c r="AL659" s="77"/>
      <c r="AM659" s="77"/>
      <c r="AN659" s="77"/>
    </row>
    <row r="660" customFormat="false" ht="12.75" hidden="false" customHeight="false" outlineLevel="0" collapsed="false">
      <c r="AJ660" s="77"/>
      <c r="AK660" s="77"/>
      <c r="AL660" s="77"/>
      <c r="AM660" s="77"/>
      <c r="AN660" s="77"/>
    </row>
    <row r="661" customFormat="false" ht="12.75" hidden="false" customHeight="false" outlineLevel="0" collapsed="false">
      <c r="AJ661" s="77"/>
      <c r="AK661" s="77"/>
      <c r="AL661" s="77"/>
      <c r="AM661" s="77"/>
      <c r="AN661" s="77"/>
    </row>
    <row r="662" customFormat="false" ht="12.75" hidden="false" customHeight="false" outlineLevel="0" collapsed="false">
      <c r="AJ662" s="77"/>
      <c r="AK662" s="77"/>
      <c r="AL662" s="77"/>
      <c r="AM662" s="77"/>
      <c r="AN662" s="77"/>
    </row>
    <row r="663" customFormat="false" ht="12.75" hidden="false" customHeight="false" outlineLevel="0" collapsed="false">
      <c r="AJ663" s="77"/>
      <c r="AK663" s="77"/>
      <c r="AL663" s="77"/>
      <c r="AM663" s="77"/>
      <c r="AN663" s="77"/>
    </row>
    <row r="664" customFormat="false" ht="12.75" hidden="false" customHeight="false" outlineLevel="0" collapsed="false">
      <c r="AJ664" s="77"/>
      <c r="AK664" s="77"/>
      <c r="AL664" s="77"/>
      <c r="AM664" s="77"/>
      <c r="AN664" s="77"/>
    </row>
    <row r="665" customFormat="false" ht="12.75" hidden="false" customHeight="false" outlineLevel="0" collapsed="false">
      <c r="AJ665" s="77"/>
      <c r="AK665" s="77"/>
      <c r="AL665" s="77"/>
      <c r="AM665" s="77"/>
      <c r="AN665" s="77"/>
    </row>
    <row r="666" customFormat="false" ht="12.75" hidden="false" customHeight="false" outlineLevel="0" collapsed="false">
      <c r="AJ666" s="77"/>
      <c r="AK666" s="77"/>
      <c r="AL666" s="77"/>
      <c r="AM666" s="77"/>
      <c r="AN666" s="77"/>
    </row>
    <row r="667" customFormat="false" ht="12.75" hidden="false" customHeight="false" outlineLevel="0" collapsed="false">
      <c r="AJ667" s="77"/>
      <c r="AK667" s="77"/>
      <c r="AL667" s="77"/>
      <c r="AM667" s="77"/>
      <c r="AN667" s="77"/>
    </row>
    <row r="668" customFormat="false" ht="12.75" hidden="false" customHeight="false" outlineLevel="0" collapsed="false">
      <c r="AJ668" s="77"/>
      <c r="AK668" s="77"/>
      <c r="AL668" s="77"/>
      <c r="AM668" s="77"/>
      <c r="AN668" s="77"/>
    </row>
    <row r="669" customFormat="false" ht="12.75" hidden="false" customHeight="false" outlineLevel="0" collapsed="false">
      <c r="AJ669" s="77"/>
      <c r="AK669" s="77"/>
      <c r="AL669" s="77"/>
      <c r="AM669" s="77"/>
      <c r="AN669" s="77"/>
    </row>
    <row r="670" customFormat="false" ht="12.75" hidden="false" customHeight="false" outlineLevel="0" collapsed="false">
      <c r="AJ670" s="77"/>
      <c r="AK670" s="77"/>
      <c r="AL670" s="77"/>
      <c r="AM670" s="77"/>
      <c r="AN670" s="77"/>
    </row>
    <row r="671" customFormat="false" ht="12.75" hidden="false" customHeight="false" outlineLevel="0" collapsed="false">
      <c r="AJ671" s="77"/>
      <c r="AK671" s="77"/>
      <c r="AL671" s="77"/>
      <c r="AM671" s="77"/>
      <c r="AN671" s="77"/>
    </row>
    <row r="672" customFormat="false" ht="12.75" hidden="false" customHeight="false" outlineLevel="0" collapsed="false">
      <c r="AJ672" s="77"/>
      <c r="AK672" s="77"/>
      <c r="AL672" s="77"/>
      <c r="AM672" s="77"/>
      <c r="AN672" s="77"/>
    </row>
    <row r="673" customFormat="false" ht="12.75" hidden="false" customHeight="false" outlineLevel="0" collapsed="false">
      <c r="AJ673" s="77"/>
      <c r="AK673" s="77"/>
      <c r="AL673" s="77"/>
      <c r="AM673" s="77"/>
      <c r="AN673" s="77"/>
    </row>
    <row r="674" customFormat="false" ht="12.75" hidden="false" customHeight="false" outlineLevel="0" collapsed="false">
      <c r="AJ674" s="77"/>
      <c r="AK674" s="77"/>
      <c r="AL674" s="77"/>
      <c r="AM674" s="77"/>
      <c r="AN674" s="77"/>
    </row>
    <row r="675" customFormat="false" ht="12.75" hidden="false" customHeight="false" outlineLevel="0" collapsed="false">
      <c r="AJ675" s="77"/>
      <c r="AK675" s="77"/>
      <c r="AL675" s="77"/>
      <c r="AM675" s="77"/>
      <c r="AN675" s="77"/>
    </row>
    <row r="676" customFormat="false" ht="12.75" hidden="false" customHeight="false" outlineLevel="0" collapsed="false">
      <c r="AJ676" s="77"/>
      <c r="AK676" s="77"/>
      <c r="AL676" s="77"/>
      <c r="AM676" s="77"/>
      <c r="AN676" s="77"/>
    </row>
    <row r="677" customFormat="false" ht="12.75" hidden="false" customHeight="false" outlineLevel="0" collapsed="false">
      <c r="AJ677" s="77"/>
      <c r="AK677" s="77"/>
      <c r="AL677" s="77"/>
      <c r="AM677" s="77"/>
      <c r="AN677" s="77"/>
    </row>
    <row r="678" customFormat="false" ht="12.75" hidden="false" customHeight="false" outlineLevel="0" collapsed="false">
      <c r="AJ678" s="77"/>
      <c r="AK678" s="77"/>
      <c r="AL678" s="77"/>
      <c r="AM678" s="77"/>
      <c r="AN678" s="77"/>
    </row>
    <row r="679" customFormat="false" ht="12.75" hidden="false" customHeight="false" outlineLevel="0" collapsed="false">
      <c r="AJ679" s="77"/>
      <c r="AK679" s="77"/>
      <c r="AL679" s="77"/>
      <c r="AM679" s="77"/>
      <c r="AN679" s="77"/>
    </row>
    <row r="680" customFormat="false" ht="12.75" hidden="false" customHeight="false" outlineLevel="0" collapsed="false">
      <c r="AJ680" s="77"/>
      <c r="AK680" s="77"/>
      <c r="AL680" s="77"/>
      <c r="AM680" s="77"/>
      <c r="AN680" s="77"/>
    </row>
    <row r="681" customFormat="false" ht="12.75" hidden="false" customHeight="false" outlineLevel="0" collapsed="false">
      <c r="AJ681" s="77"/>
      <c r="AK681" s="77"/>
      <c r="AL681" s="77"/>
      <c r="AM681" s="77"/>
      <c r="AN681" s="77"/>
    </row>
    <row r="682" customFormat="false" ht="12.75" hidden="false" customHeight="false" outlineLevel="0" collapsed="false">
      <c r="AJ682" s="77"/>
      <c r="AK682" s="77"/>
      <c r="AL682" s="77"/>
      <c r="AM682" s="77"/>
      <c r="AN682" s="77"/>
    </row>
    <row r="683" customFormat="false" ht="12.75" hidden="false" customHeight="false" outlineLevel="0" collapsed="false">
      <c r="AJ683" s="77"/>
      <c r="AK683" s="77"/>
      <c r="AL683" s="77"/>
      <c r="AM683" s="77"/>
      <c r="AN683" s="77"/>
    </row>
    <row r="684" customFormat="false" ht="12.75" hidden="false" customHeight="false" outlineLevel="0" collapsed="false">
      <c r="AJ684" s="77"/>
      <c r="AK684" s="77"/>
      <c r="AL684" s="77"/>
      <c r="AM684" s="77"/>
      <c r="AN684" s="77"/>
    </row>
    <row r="685" customFormat="false" ht="12.75" hidden="false" customHeight="false" outlineLevel="0" collapsed="false">
      <c r="AJ685" s="77"/>
      <c r="AK685" s="77"/>
      <c r="AL685" s="77"/>
      <c r="AM685" s="77"/>
      <c r="AN685" s="77"/>
    </row>
    <row r="686" customFormat="false" ht="12.75" hidden="false" customHeight="false" outlineLevel="0" collapsed="false">
      <c r="AJ686" s="77"/>
      <c r="AK686" s="77"/>
      <c r="AL686" s="77"/>
      <c r="AM686" s="77"/>
      <c r="AN686" s="77"/>
    </row>
    <row r="687" customFormat="false" ht="12.75" hidden="false" customHeight="false" outlineLevel="0" collapsed="false">
      <c r="AJ687" s="77"/>
      <c r="AK687" s="77"/>
      <c r="AL687" s="77"/>
      <c r="AM687" s="77"/>
      <c r="AN687" s="77"/>
    </row>
    <row r="688" customFormat="false" ht="12.75" hidden="false" customHeight="false" outlineLevel="0" collapsed="false">
      <c r="AJ688" s="77"/>
      <c r="AK688" s="77"/>
      <c r="AL688" s="77"/>
      <c r="AM688" s="77"/>
      <c r="AN688" s="77"/>
    </row>
    <row r="689" customFormat="false" ht="12.75" hidden="false" customHeight="false" outlineLevel="0" collapsed="false">
      <c r="AJ689" s="77"/>
      <c r="AK689" s="77"/>
      <c r="AL689" s="77"/>
      <c r="AM689" s="77"/>
      <c r="AN689" s="77"/>
    </row>
    <row r="690" customFormat="false" ht="12.75" hidden="false" customHeight="false" outlineLevel="0" collapsed="false">
      <c r="AJ690" s="77"/>
      <c r="AK690" s="77"/>
      <c r="AL690" s="77"/>
      <c r="AM690" s="77"/>
      <c r="AN690" s="77"/>
    </row>
    <row r="691" customFormat="false" ht="12.75" hidden="false" customHeight="false" outlineLevel="0" collapsed="false">
      <c r="AJ691" s="77"/>
      <c r="AK691" s="77"/>
      <c r="AL691" s="77"/>
      <c r="AM691" s="77"/>
      <c r="AN691" s="77"/>
    </row>
    <row r="692" customFormat="false" ht="12.75" hidden="false" customHeight="false" outlineLevel="0" collapsed="false">
      <c r="AJ692" s="77"/>
      <c r="AK692" s="77"/>
      <c r="AL692" s="77"/>
      <c r="AM692" s="77"/>
      <c r="AN692" s="77"/>
    </row>
    <row r="693" customFormat="false" ht="12.75" hidden="false" customHeight="false" outlineLevel="0" collapsed="false">
      <c r="AJ693" s="77"/>
      <c r="AK693" s="77"/>
      <c r="AL693" s="77"/>
      <c r="AM693" s="77"/>
      <c r="AN693" s="77"/>
    </row>
    <row r="694" customFormat="false" ht="12.75" hidden="false" customHeight="false" outlineLevel="0" collapsed="false">
      <c r="AJ694" s="77"/>
      <c r="AK694" s="77"/>
      <c r="AL694" s="77"/>
      <c r="AM694" s="77"/>
      <c r="AN694" s="77"/>
    </row>
    <row r="695" customFormat="false" ht="12.75" hidden="false" customHeight="false" outlineLevel="0" collapsed="false">
      <c r="AJ695" s="77"/>
      <c r="AK695" s="77"/>
      <c r="AL695" s="77"/>
      <c r="AM695" s="77"/>
      <c r="AN695" s="77"/>
    </row>
    <row r="696" customFormat="false" ht="12.75" hidden="false" customHeight="false" outlineLevel="0" collapsed="false">
      <c r="AJ696" s="77"/>
      <c r="AK696" s="77"/>
      <c r="AL696" s="77"/>
      <c r="AM696" s="77"/>
      <c r="AN696" s="77"/>
    </row>
    <row r="697" customFormat="false" ht="12.75" hidden="false" customHeight="false" outlineLevel="0" collapsed="false">
      <c r="AJ697" s="77"/>
      <c r="AK697" s="77"/>
      <c r="AL697" s="77"/>
      <c r="AM697" s="77"/>
      <c r="AN697" s="77"/>
    </row>
    <row r="698" customFormat="false" ht="12.75" hidden="false" customHeight="false" outlineLevel="0" collapsed="false">
      <c r="AJ698" s="77"/>
      <c r="AK698" s="77"/>
      <c r="AL698" s="77"/>
      <c r="AM698" s="77"/>
      <c r="AN698" s="77"/>
    </row>
    <row r="699" customFormat="false" ht="12.75" hidden="false" customHeight="false" outlineLevel="0" collapsed="false">
      <c r="AJ699" s="77"/>
      <c r="AK699" s="77"/>
      <c r="AL699" s="77"/>
      <c r="AM699" s="77"/>
      <c r="AN699" s="77"/>
    </row>
    <row r="700" customFormat="false" ht="12.75" hidden="false" customHeight="false" outlineLevel="0" collapsed="false">
      <c r="AJ700" s="77"/>
      <c r="AK700" s="77"/>
      <c r="AL700" s="77"/>
      <c r="AM700" s="77"/>
      <c r="AN700" s="77"/>
    </row>
    <row r="701" customFormat="false" ht="12.75" hidden="false" customHeight="false" outlineLevel="0" collapsed="false">
      <c r="AJ701" s="77"/>
      <c r="AK701" s="77"/>
      <c r="AL701" s="77"/>
      <c r="AM701" s="77"/>
      <c r="AN701" s="77"/>
    </row>
    <row r="702" customFormat="false" ht="12.75" hidden="false" customHeight="false" outlineLevel="0" collapsed="false">
      <c r="AJ702" s="77"/>
      <c r="AK702" s="77"/>
      <c r="AL702" s="77"/>
      <c r="AM702" s="77"/>
      <c r="AN702" s="77"/>
    </row>
    <row r="703" customFormat="false" ht="12.75" hidden="false" customHeight="false" outlineLevel="0" collapsed="false">
      <c r="AJ703" s="77"/>
      <c r="AK703" s="77"/>
      <c r="AL703" s="77"/>
      <c r="AM703" s="77"/>
      <c r="AN703" s="77"/>
    </row>
    <row r="704" customFormat="false" ht="12.75" hidden="false" customHeight="false" outlineLevel="0" collapsed="false">
      <c r="AJ704" s="77"/>
      <c r="AK704" s="77"/>
      <c r="AL704" s="77"/>
      <c r="AM704" s="77"/>
      <c r="AN704" s="77"/>
    </row>
    <row r="705" customFormat="false" ht="12.75" hidden="false" customHeight="false" outlineLevel="0" collapsed="false">
      <c r="AJ705" s="77"/>
      <c r="AK705" s="77"/>
      <c r="AL705" s="77"/>
      <c r="AM705" s="77"/>
      <c r="AN705" s="77"/>
    </row>
    <row r="706" customFormat="false" ht="12.75" hidden="false" customHeight="false" outlineLevel="0" collapsed="false">
      <c r="AJ706" s="77"/>
      <c r="AK706" s="77"/>
      <c r="AL706" s="77"/>
      <c r="AM706" s="77"/>
      <c r="AN706" s="77"/>
    </row>
    <row r="707" customFormat="false" ht="12.75" hidden="false" customHeight="false" outlineLevel="0" collapsed="false">
      <c r="AJ707" s="77"/>
      <c r="AK707" s="77"/>
      <c r="AL707" s="77"/>
      <c r="AM707" s="77"/>
      <c r="AN707" s="77"/>
    </row>
    <row r="708" customFormat="false" ht="12.75" hidden="false" customHeight="false" outlineLevel="0" collapsed="false">
      <c r="AJ708" s="77"/>
      <c r="AK708" s="77"/>
      <c r="AL708" s="77"/>
      <c r="AM708" s="77"/>
      <c r="AN708" s="77"/>
    </row>
    <row r="709" customFormat="false" ht="12.75" hidden="false" customHeight="false" outlineLevel="0" collapsed="false">
      <c r="AJ709" s="77"/>
      <c r="AK709" s="77"/>
      <c r="AL709" s="77"/>
      <c r="AM709" s="77"/>
      <c r="AN709" s="77"/>
    </row>
    <row r="710" customFormat="false" ht="12.75" hidden="false" customHeight="false" outlineLevel="0" collapsed="false">
      <c r="AJ710" s="77"/>
      <c r="AK710" s="77"/>
      <c r="AL710" s="77"/>
      <c r="AM710" s="77"/>
      <c r="AN710" s="77"/>
    </row>
    <row r="711" customFormat="false" ht="12.75" hidden="false" customHeight="false" outlineLevel="0" collapsed="false">
      <c r="AJ711" s="77"/>
      <c r="AK711" s="77"/>
      <c r="AL711" s="77"/>
      <c r="AM711" s="77"/>
      <c r="AN711" s="77"/>
    </row>
    <row r="712" customFormat="false" ht="12.75" hidden="false" customHeight="false" outlineLevel="0" collapsed="false">
      <c r="AJ712" s="77"/>
      <c r="AK712" s="77"/>
      <c r="AL712" s="77"/>
      <c r="AM712" s="77"/>
      <c r="AN712" s="77"/>
    </row>
    <row r="713" customFormat="false" ht="12.75" hidden="false" customHeight="false" outlineLevel="0" collapsed="false">
      <c r="AJ713" s="77"/>
      <c r="AK713" s="77"/>
      <c r="AL713" s="77"/>
      <c r="AM713" s="77"/>
      <c r="AN713" s="77"/>
    </row>
    <row r="714" customFormat="false" ht="12.75" hidden="false" customHeight="false" outlineLevel="0" collapsed="false">
      <c r="AJ714" s="77"/>
      <c r="AK714" s="77"/>
      <c r="AL714" s="77"/>
      <c r="AM714" s="77"/>
      <c r="AN714" s="77"/>
    </row>
    <row r="715" customFormat="false" ht="12.75" hidden="false" customHeight="false" outlineLevel="0" collapsed="false">
      <c r="AJ715" s="77"/>
      <c r="AK715" s="77"/>
      <c r="AL715" s="77"/>
      <c r="AM715" s="77"/>
      <c r="AN715" s="77"/>
    </row>
    <row r="716" customFormat="false" ht="12.75" hidden="false" customHeight="false" outlineLevel="0" collapsed="false">
      <c r="AJ716" s="77"/>
      <c r="AK716" s="77"/>
      <c r="AL716" s="77"/>
      <c r="AM716" s="77"/>
      <c r="AN716" s="77"/>
    </row>
    <row r="717" customFormat="false" ht="12.75" hidden="false" customHeight="false" outlineLevel="0" collapsed="false">
      <c r="AJ717" s="77"/>
      <c r="AK717" s="77"/>
      <c r="AL717" s="77"/>
      <c r="AM717" s="77"/>
      <c r="AN717" s="77"/>
    </row>
    <row r="718" customFormat="false" ht="12.75" hidden="false" customHeight="false" outlineLevel="0" collapsed="false">
      <c r="AJ718" s="77"/>
      <c r="AK718" s="77"/>
      <c r="AL718" s="77"/>
      <c r="AM718" s="77"/>
      <c r="AN718" s="77"/>
    </row>
    <row r="719" customFormat="false" ht="12.75" hidden="false" customHeight="false" outlineLevel="0" collapsed="false">
      <c r="AJ719" s="77"/>
      <c r="AK719" s="77"/>
      <c r="AL719" s="77"/>
      <c r="AM719" s="77"/>
      <c r="AN719" s="77"/>
    </row>
    <row r="720" customFormat="false" ht="12.75" hidden="false" customHeight="false" outlineLevel="0" collapsed="false">
      <c r="AJ720" s="77"/>
      <c r="AK720" s="77"/>
      <c r="AL720" s="77"/>
      <c r="AM720" s="77"/>
      <c r="AN720" s="77"/>
    </row>
    <row r="721" customFormat="false" ht="12.75" hidden="false" customHeight="false" outlineLevel="0" collapsed="false">
      <c r="AJ721" s="77"/>
      <c r="AK721" s="77"/>
      <c r="AL721" s="77"/>
      <c r="AM721" s="77"/>
      <c r="AN721" s="77"/>
    </row>
    <row r="722" customFormat="false" ht="12.75" hidden="false" customHeight="false" outlineLevel="0" collapsed="false">
      <c r="AJ722" s="77"/>
      <c r="AK722" s="77"/>
      <c r="AL722" s="77"/>
      <c r="AM722" s="77"/>
      <c r="AN722" s="77"/>
    </row>
  </sheetData>
  <printOptions headings="false" gridLines="false" gridLinesSet="true" horizontalCentered="false" verticalCentered="false"/>
  <pageMargins left="0.270138888888889" right="0.329861111111111" top="0.984027777777778" bottom="0.984027777777778" header="0.511811023622047" footer="0.511811023622047"/>
  <pageSetup paperSize="5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H722"/>
  <sheetViews>
    <sheetView showFormulas="false" showGridLines="false" showRowColHeaders="true" showZeros="true" rightToLeft="false" tabSelected="false" showOutlineSymbols="true" defaultGridColor="true" view="normal" topLeftCell="M1" colorId="64" zoomScale="80" zoomScaleNormal="80" zoomScalePageLayoutView="100" workbookViewId="0">
      <selection pane="topLeft" activeCell="AK8" activeCellId="0" sqref="AK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3" min="3" style="21" width="5.13"/>
    <col collapsed="false" customWidth="true" hidden="false" outlineLevel="0" max="4" min="4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8" min="8" style="21" width="14.56"/>
    <col collapsed="false" customWidth="true" hidden="false" outlineLevel="0" max="9" min="9" style="21" width="9.99"/>
    <col collapsed="false" customWidth="true" hidden="false" outlineLevel="0" max="10" min="10" style="21" width="23.7"/>
    <col collapsed="false" customWidth="true" hidden="false" outlineLevel="0" max="11" min="11" style="21" width="18.28"/>
    <col collapsed="false" customWidth="true" hidden="false" outlineLevel="0" max="12" min="12" style="21" width="19.14"/>
    <col collapsed="false" customWidth="true" hidden="false" outlineLevel="0" max="13" min="13" style="21" width="14.99"/>
    <col collapsed="false" customWidth="true" hidden="false" outlineLevel="0" max="14" min="14" style="21" width="1.41"/>
    <col collapsed="false" customWidth="true" hidden="false" outlineLevel="0" max="15" min="15" style="21" width="14.99"/>
    <col collapsed="false" customWidth="true" hidden="false" outlineLevel="0" max="16" min="16" style="21" width="16.84"/>
    <col collapsed="false" customWidth="true" hidden="false" outlineLevel="0" max="17" min="17" style="21" width="2.99"/>
    <col collapsed="false" customWidth="true" hidden="false" outlineLevel="0" max="18" min="18" style="21" width="20.13"/>
    <col collapsed="false" customWidth="true" hidden="false" outlineLevel="0" max="19" min="19" style="21" width="17.85"/>
    <col collapsed="false" customWidth="true" hidden="false" outlineLevel="0" max="20" min="20" style="21" width="21.56"/>
    <col collapsed="false" customWidth="true" hidden="false" outlineLevel="0" max="21" min="21" style="21" width="14.99"/>
    <col collapsed="false" customWidth="true" hidden="false" outlineLevel="0" max="22" min="22" style="21" width="9.56"/>
    <col collapsed="false" customWidth="true" hidden="false" outlineLevel="0" max="23" min="23" style="21" width="14.99"/>
    <col collapsed="false" customWidth="true" hidden="false" outlineLevel="0" max="24" min="24" style="21" width="16.84"/>
    <col collapsed="false" customWidth="true" hidden="false" outlineLevel="0" max="25" min="25" style="21" width="1.99"/>
    <col collapsed="false" customWidth="true" hidden="false" outlineLevel="0" max="26" min="26" style="137" width="15.99"/>
    <col collapsed="false" customWidth="true" hidden="false" outlineLevel="0" max="27" min="27" style="137" width="20.28"/>
    <col collapsed="false" customWidth="true" hidden="false" outlineLevel="0" max="28" min="28" style="137" width="15.28"/>
    <col collapsed="false" customWidth="true" hidden="false" outlineLevel="0" max="29" min="29" style="137" width="20.28"/>
    <col collapsed="false" customWidth="true" hidden="false" outlineLevel="0" max="31" min="30" style="137" width="15.7"/>
    <col collapsed="false" customWidth="true" hidden="false" outlineLevel="0" max="32" min="32" style="137" width="17.56"/>
    <col collapsed="false" customWidth="true" hidden="false" outlineLevel="0" max="33" min="33" style="137" width="13.41"/>
    <col collapsed="false" customWidth="true" hidden="false" outlineLevel="0" max="34" min="34" style="137" width="13.85"/>
    <col collapsed="false" customWidth="true" hidden="false" outlineLevel="0" max="35" min="35" style="137" width="14.14"/>
    <col collapsed="false" customWidth="true" hidden="false" outlineLevel="0" max="36" min="36" style="21" width="12.56"/>
    <col collapsed="false" customWidth="true" hidden="false" outlineLevel="0" max="37" min="37" style="21" width="10.71"/>
    <col collapsed="false" customWidth="false" hidden="false" outlineLevel="0" max="40" min="38" style="21" width="9.14"/>
    <col collapsed="false" customWidth="true" hidden="false" outlineLevel="0" max="41" min="41" style="137" width="8.28"/>
    <col collapsed="false" customWidth="true" hidden="false" outlineLevel="0" max="43" min="42" style="137" width="8.56"/>
    <col collapsed="false" customWidth="true" hidden="false" outlineLevel="0" max="44" min="44" style="137" width="11.7"/>
    <col collapsed="false" customWidth="true" hidden="false" outlineLevel="0" max="45" min="45" style="137" width="10.28"/>
    <col collapsed="false" customWidth="true" hidden="false" outlineLevel="0" max="46" min="46" style="137" width="7.56"/>
    <col collapsed="false" customWidth="true" hidden="false" outlineLevel="0" max="47" min="47" style="137" width="6.41"/>
    <col collapsed="false" customWidth="true" hidden="false" outlineLevel="0" max="48" min="48" style="21" width="1.41"/>
    <col collapsed="false" customWidth="true" hidden="false" outlineLevel="0" max="49" min="49" style="138" width="14.28"/>
    <col collapsed="false" customWidth="true" hidden="false" outlineLevel="0" max="51" min="50" style="21" width="14.28"/>
    <col collapsed="false" customWidth="false" hidden="false" outlineLevel="0" max="52" min="52" style="21" width="9.14"/>
    <col collapsed="false" customWidth="true" hidden="false" outlineLevel="0" max="53" min="53" style="21" width="14.28"/>
    <col collapsed="false" customWidth="false" hidden="false" outlineLevel="0" max="54" min="54" style="21" width="9.14"/>
    <col collapsed="false" customWidth="true" hidden="false" outlineLevel="0" max="55" min="55" style="21" width="12.56"/>
    <col collapsed="false" customWidth="false" hidden="false" outlineLevel="0" max="257" min="56" style="21" width="9.14"/>
  </cols>
  <sheetData>
    <row r="1" customFormat="false" ht="13.5" hidden="false" customHeight="false" outlineLevel="0" collapsed="false">
      <c r="A1" s="139" t="s">
        <v>114</v>
      </c>
      <c r="C1" s="140"/>
      <c r="D1" s="140" t="s">
        <v>115</v>
      </c>
      <c r="E1" s="141" t="n">
        <f aca="false">Summary!D14</f>
        <v>45926</v>
      </c>
      <c r="H1" s="142" t="s">
        <v>116</v>
      </c>
      <c r="I1" s="143" t="s">
        <v>117</v>
      </c>
      <c r="J1" s="142" t="s">
        <v>118</v>
      </c>
      <c r="K1" s="143" t="s">
        <v>119</v>
      </c>
      <c r="R1" s="142" t="s">
        <v>118</v>
      </c>
      <c r="S1" s="143" t="s">
        <v>119</v>
      </c>
      <c r="Z1" s="144" t="str">
        <f aca="false">Summary!J13</f>
        <v>NG_OMICRON_11</v>
      </c>
      <c r="AA1" s="144" t="str">
        <f aca="false">Summary!L13</f>
        <v>CGPR-DAWN</v>
      </c>
      <c r="AC1" s="144" t="str">
        <f aca="false">Summary!I13</f>
        <v>NG_OMICRON_9</v>
      </c>
      <c r="AD1" s="144" t="str">
        <f aca="false">Summary!K13</f>
        <v>CGPR-DAWN</v>
      </c>
      <c r="AH1" s="230"/>
      <c r="AJ1" s="83"/>
    </row>
    <row r="2" customFormat="false" ht="12.75" hidden="false" customHeight="false" outlineLevel="0" collapsed="false">
      <c r="A2" s="142" t="s">
        <v>120</v>
      </c>
      <c r="B2" s="145" t="s">
        <v>121</v>
      </c>
      <c r="C2" s="145"/>
      <c r="D2" s="146" t="s">
        <v>122</v>
      </c>
      <c r="E2" s="145" t="s">
        <v>98</v>
      </c>
      <c r="F2" s="145" t="s">
        <v>123</v>
      </c>
      <c r="G2" s="145" t="s">
        <v>124</v>
      </c>
      <c r="H2" s="147" t="s">
        <v>125</v>
      </c>
      <c r="I2" s="148" t="s">
        <v>126</v>
      </c>
      <c r="J2" s="149" t="s">
        <v>127</v>
      </c>
      <c r="K2" s="148" t="s">
        <v>127</v>
      </c>
      <c r="R2" s="149" t="s">
        <v>128</v>
      </c>
      <c r="S2" s="148" t="str">
        <f aca="false">R2</f>
        <v>Receipt Pt</v>
      </c>
      <c r="AH2" s="230"/>
      <c r="AI2" s="137" t="s">
        <v>129</v>
      </c>
      <c r="AJ2" s="21" t="n">
        <v>1</v>
      </c>
    </row>
    <row r="3" customFormat="false" ht="13.5" hidden="false" customHeight="false" outlineLevel="0" collapsed="false">
      <c r="A3" s="150" t="n">
        <f aca="false">Summary!E14</f>
        <v>37043</v>
      </c>
      <c r="B3" s="151" t="n">
        <f aca="false">Summary!F14</f>
        <v>42094</v>
      </c>
      <c r="C3" s="152"/>
      <c r="D3" s="152" t="n">
        <f aca="false">Summary!C14</f>
        <v>37025</v>
      </c>
      <c r="E3" s="153" t="str">
        <f aca="false">CONCATENATE(INT(AT8/12)," Y - ",AT8-INT(AT8/12)*12," M")</f>
        <v>13 Y - 10 M</v>
      </c>
      <c r="F3" s="154" t="n">
        <v>2</v>
      </c>
      <c r="G3" s="154" t="n">
        <v>1</v>
      </c>
      <c r="H3" s="155" t="n">
        <v>1</v>
      </c>
      <c r="I3" s="156" t="n">
        <f aca="false">Summary!P14</f>
        <v>0</v>
      </c>
      <c r="J3" s="157" t="str">
        <f aca="false">Summary!H14</f>
        <v>CGPR-CHIPPAWA</v>
      </c>
      <c r="K3" s="156" t="str">
        <f aca="false">J3</f>
        <v>CGPR-CHIPPAWA</v>
      </c>
      <c r="R3" s="157" t="str">
        <f aca="false">Summary!G14</f>
        <v>CGPR-DAWN</v>
      </c>
      <c r="S3" s="156" t="str">
        <f aca="false">R3</f>
        <v>CGPR-DAWN</v>
      </c>
      <c r="Z3" s="219" t="s">
        <v>130</v>
      </c>
      <c r="AA3" s="220" t="s">
        <v>130</v>
      </c>
      <c r="AB3" s="221" t="s">
        <v>130</v>
      </c>
      <c r="AC3" s="219" t="s">
        <v>131</v>
      </c>
      <c r="AD3" s="220" t="s">
        <v>131</v>
      </c>
      <c r="AE3" s="221" t="s">
        <v>131</v>
      </c>
      <c r="AH3" s="230"/>
    </row>
    <row r="4" customFormat="false" ht="12.75" hidden="false" customHeight="false" outlineLevel="0" collapsed="false">
      <c r="A4" s="158"/>
      <c r="B4" s="158"/>
      <c r="C4" s="158"/>
      <c r="D4" s="158" t="s">
        <v>132</v>
      </c>
      <c r="E4" s="158" t="s">
        <v>93</v>
      </c>
      <c r="F4" s="158" t="s">
        <v>94</v>
      </c>
      <c r="G4" s="159" t="s">
        <v>133</v>
      </c>
      <c r="H4" s="160"/>
      <c r="I4" s="158"/>
      <c r="J4" s="159" t="str">
        <f aca="false">CONCATENATE(J3,"-","D")</f>
        <v>CGPR-CHIPPAWA-D</v>
      </c>
      <c r="K4" s="160" t="str">
        <f aca="false">J3</f>
        <v>CGPR-CHIPPAWA</v>
      </c>
      <c r="L4" s="159" t="str">
        <f aca="false">CONCATENATE(K3,"-","I")</f>
        <v>CGPR-CHIPPAWA-I</v>
      </c>
      <c r="M4" s="160" t="str">
        <f aca="false">K3</f>
        <v>CGPR-CHIPPAWA</v>
      </c>
      <c r="O4" s="160" t="str">
        <f aca="false">K4</f>
        <v>CGPR-CHIPPAWA</v>
      </c>
      <c r="P4" s="160" t="str">
        <f aca="false">J4</f>
        <v>CGPR-CHIPPAWA-D</v>
      </c>
      <c r="Q4" s="158"/>
      <c r="R4" s="159" t="str">
        <f aca="false">CONCATENATE(R3,"-","D")</f>
        <v>CGPR-DAWN-D</v>
      </c>
      <c r="S4" s="160" t="str">
        <f aca="false">R3</f>
        <v>CGPR-DAWN</v>
      </c>
      <c r="T4" s="159" t="str">
        <f aca="false">CONCATENATE(S3,"-","I")</f>
        <v>CGPR-DAWN-I</v>
      </c>
      <c r="U4" s="160" t="str">
        <f aca="false">S3</f>
        <v>CGPR-DAWN</v>
      </c>
      <c r="V4" s="160" t="s">
        <v>134</v>
      </c>
      <c r="W4" s="160" t="str">
        <f aca="false">S4</f>
        <v>CGPR-DAWN</v>
      </c>
      <c r="X4" s="160" t="str">
        <f aca="false">R4</f>
        <v>CGPR-DAWN-D</v>
      </c>
      <c r="Z4" s="161" t="str">
        <f aca="false">IF(Z1="NG",CONCATENATE(Z1,"-","VO"),CONCATENATE(Z1,"-","P"))</f>
        <v>NG_OMICRON_11-P</v>
      </c>
      <c r="AA4" s="162" t="str">
        <f aca="false">IF(AA1="NG",CONCATENATE(AA1,"-","VO"),CONCATENATE(AA1,"-","P"))</f>
        <v>CGPR-DAWN-P</v>
      </c>
      <c r="AB4" s="162" t="s">
        <v>135</v>
      </c>
      <c r="AC4" s="161" t="str">
        <f aca="false">IF(AC1="NG",CONCATENATE(AC1,"-","VO"),CONCATENATE(AC1,"-","P"))</f>
        <v>NG_OMICRON_9-P</v>
      </c>
      <c r="AD4" s="162" t="str">
        <f aca="false">IF(AD1="NG",CONCATENATE(AD1,"-","VO"),CONCATENATE(AD1,"-","P"))</f>
        <v>CGPR-DAWN-P</v>
      </c>
      <c r="AE4" s="163" t="s">
        <v>136</v>
      </c>
      <c r="AF4" s="160" t="str">
        <f aca="false">J3</f>
        <v>CGPR-CHIPPAWA</v>
      </c>
      <c r="AG4" s="160" t="s">
        <v>81</v>
      </c>
      <c r="AH4" s="160" t="s">
        <v>167</v>
      </c>
      <c r="AI4" s="160" t="s">
        <v>81</v>
      </c>
      <c r="AJ4" s="160"/>
      <c r="AK4" s="160"/>
      <c r="AL4" s="160"/>
      <c r="AM4" s="160"/>
      <c r="AN4" s="160"/>
      <c r="AO4" s="164"/>
      <c r="AP4" s="164"/>
      <c r="AQ4" s="164" t="s">
        <v>137</v>
      </c>
      <c r="AR4" s="159" t="s">
        <v>138</v>
      </c>
      <c r="AS4" s="164"/>
      <c r="AT4" s="164"/>
      <c r="AU4" s="164"/>
      <c r="AW4" s="164"/>
      <c r="AX4" s="164" t="s">
        <v>139</v>
      </c>
      <c r="AY4" s="164"/>
      <c r="BA4" s="164"/>
      <c r="BC4" s="165" t="s">
        <v>140</v>
      </c>
    </row>
    <row r="5" customFormat="false" ht="12.75" hidden="false" customHeight="false" outlineLevel="0" collapsed="false">
      <c r="A5" s="158" t="s">
        <v>141</v>
      </c>
      <c r="B5" s="158" t="s">
        <v>32</v>
      </c>
      <c r="C5" s="158"/>
      <c r="D5" s="158" t="s">
        <v>32</v>
      </c>
      <c r="E5" s="158" t="s">
        <v>32</v>
      </c>
      <c r="F5" s="158" t="s">
        <v>32</v>
      </c>
      <c r="G5" s="158" t="s">
        <v>142</v>
      </c>
      <c r="H5" s="158" t="s">
        <v>142</v>
      </c>
      <c r="I5" s="158"/>
      <c r="J5" s="158" t="s">
        <v>118</v>
      </c>
      <c r="K5" s="158" t="s">
        <v>118</v>
      </c>
      <c r="L5" s="158" t="s">
        <v>119</v>
      </c>
      <c r="M5" s="158" t="s">
        <v>119</v>
      </c>
      <c r="O5" s="158" t="s">
        <v>97</v>
      </c>
      <c r="P5" s="158" t="s">
        <v>97</v>
      </c>
      <c r="Q5" s="158"/>
      <c r="R5" s="158" t="s">
        <v>118</v>
      </c>
      <c r="S5" s="158" t="s">
        <v>118</v>
      </c>
      <c r="T5" s="158" t="s">
        <v>119</v>
      </c>
      <c r="U5" s="158" t="s">
        <v>119</v>
      </c>
      <c r="V5" s="158" t="s">
        <v>101</v>
      </c>
      <c r="W5" s="158" t="s">
        <v>97</v>
      </c>
      <c r="X5" s="158" t="s">
        <v>97</v>
      </c>
      <c r="Z5" s="166" t="s">
        <v>143</v>
      </c>
      <c r="AA5" s="158" t="s">
        <v>143</v>
      </c>
      <c r="AB5" s="167" t="s">
        <v>143</v>
      </c>
      <c r="AC5" s="166" t="s">
        <v>143</v>
      </c>
      <c r="AD5" s="158" t="s">
        <v>143</v>
      </c>
      <c r="AE5" s="167" t="s">
        <v>144</v>
      </c>
      <c r="AF5" s="158" t="str">
        <f aca="false">S3</f>
        <v>CGPR-DAWN</v>
      </c>
      <c r="AG5" s="158" t="s">
        <v>151</v>
      </c>
      <c r="AH5" s="158" t="s">
        <v>168</v>
      </c>
      <c r="AI5" s="158"/>
      <c r="AJ5" s="158" t="s">
        <v>146</v>
      </c>
      <c r="AK5" s="158" t="s">
        <v>146</v>
      </c>
      <c r="AL5" s="158" t="s">
        <v>146</v>
      </c>
      <c r="AM5" s="158" t="s">
        <v>86</v>
      </c>
      <c r="AN5" s="158" t="s">
        <v>96</v>
      </c>
      <c r="AO5" s="168" t="s">
        <v>147</v>
      </c>
      <c r="AP5" s="168" t="s">
        <v>148</v>
      </c>
      <c r="AQ5" s="168" t="s">
        <v>148</v>
      </c>
      <c r="AR5" s="169" t="s">
        <v>149</v>
      </c>
      <c r="AS5" s="168" t="s">
        <v>148</v>
      </c>
      <c r="AT5" s="168" t="s">
        <v>150</v>
      </c>
      <c r="AU5" s="168" t="s">
        <v>150</v>
      </c>
      <c r="AW5" s="168" t="s">
        <v>97</v>
      </c>
      <c r="AX5" s="168" t="s">
        <v>86</v>
      </c>
      <c r="AY5" s="168" t="s">
        <v>96</v>
      </c>
      <c r="BA5" s="168" t="s">
        <v>151</v>
      </c>
      <c r="BC5" s="170" t="s">
        <v>86</v>
      </c>
    </row>
    <row r="6" customFormat="false" ht="12.75" hidden="false" customHeight="false" outlineLevel="0" collapsed="false">
      <c r="A6" s="171" t="s">
        <v>152</v>
      </c>
      <c r="B6" s="171" t="s">
        <v>153</v>
      </c>
      <c r="C6" s="171"/>
      <c r="D6" s="171" t="s">
        <v>153</v>
      </c>
      <c r="E6" s="171" t="s">
        <v>154</v>
      </c>
      <c r="F6" s="171" t="s">
        <v>154</v>
      </c>
      <c r="G6" s="171" t="s">
        <v>155</v>
      </c>
      <c r="H6" s="171" t="str">
        <f aca="false">CHOOSE(G3,"Bid","Offer")</f>
        <v>Bid</v>
      </c>
      <c r="I6" s="171"/>
      <c r="J6" s="171" t="s">
        <v>155</v>
      </c>
      <c r="K6" s="171" t="str">
        <f aca="false">H6</f>
        <v>Bid</v>
      </c>
      <c r="L6" s="171" t="s">
        <v>155</v>
      </c>
      <c r="M6" s="171" t="str">
        <f aca="false">K6</f>
        <v>Bid</v>
      </c>
      <c r="O6" s="171" t="s">
        <v>155</v>
      </c>
      <c r="P6" s="171" t="str">
        <f aca="false">K6</f>
        <v>Bid</v>
      </c>
      <c r="Q6" s="158"/>
      <c r="R6" s="171" t="s">
        <v>155</v>
      </c>
      <c r="S6" s="171" t="str">
        <f aca="false">IF(K6="Offer","Bid","Offer")</f>
        <v>Offer</v>
      </c>
      <c r="T6" s="171" t="s">
        <v>155</v>
      </c>
      <c r="U6" s="171" t="str">
        <f aca="false">S6</f>
        <v>Offer</v>
      </c>
      <c r="V6" s="171"/>
      <c r="W6" s="171" t="s">
        <v>155</v>
      </c>
      <c r="X6" s="171" t="str">
        <f aca="false">S6</f>
        <v>Offer</v>
      </c>
      <c r="Z6" s="172" t="s">
        <v>155</v>
      </c>
      <c r="AA6" s="171" t="str">
        <f aca="false">P6</f>
        <v>Bid</v>
      </c>
      <c r="AB6" s="173" t="s">
        <v>156</v>
      </c>
      <c r="AC6" s="172" t="str">
        <f aca="false">U6</f>
        <v>Offer</v>
      </c>
      <c r="AD6" s="171" t="s">
        <v>157</v>
      </c>
      <c r="AE6" s="173" t="s">
        <v>157</v>
      </c>
      <c r="AF6" s="174" t="s">
        <v>48</v>
      </c>
      <c r="AG6" s="171" t="s">
        <v>101</v>
      </c>
      <c r="AH6" s="171" t="s">
        <v>101</v>
      </c>
      <c r="AI6" s="171" t="s">
        <v>158</v>
      </c>
      <c r="AJ6" s="171" t="s">
        <v>159</v>
      </c>
      <c r="AK6" s="171" t="s">
        <v>160</v>
      </c>
      <c r="AL6" s="171" t="s">
        <v>102</v>
      </c>
      <c r="AM6" s="171" t="s">
        <v>102</v>
      </c>
      <c r="AN6" s="171" t="s">
        <v>102</v>
      </c>
      <c r="AO6" s="175" t="s">
        <v>161</v>
      </c>
      <c r="AP6" s="175" t="s">
        <v>44</v>
      </c>
      <c r="AQ6" s="175" t="s">
        <v>161</v>
      </c>
      <c r="AR6" s="176" t="s">
        <v>162</v>
      </c>
      <c r="AS6" s="175" t="s">
        <v>163</v>
      </c>
      <c r="AT6" s="175" t="s">
        <v>164</v>
      </c>
      <c r="AU6" s="175" t="s">
        <v>161</v>
      </c>
      <c r="AW6" s="175" t="s">
        <v>102</v>
      </c>
      <c r="AX6" s="175" t="s">
        <v>165</v>
      </c>
      <c r="AY6" s="175" t="s">
        <v>165</v>
      </c>
      <c r="BA6" s="175" t="s">
        <v>101</v>
      </c>
      <c r="BC6" s="177" t="s">
        <v>165</v>
      </c>
    </row>
    <row r="7" customFormat="false" ht="13.5" hidden="false" customHeight="false" outlineLevel="0" collapsed="false">
      <c r="A7" s="178"/>
      <c r="B7" s="178"/>
      <c r="C7" s="178"/>
      <c r="D7" s="178"/>
      <c r="Z7" s="21"/>
      <c r="AA7" s="21"/>
      <c r="AB7" s="21"/>
      <c r="AC7" s="21"/>
      <c r="AD7" s="21"/>
      <c r="AE7" s="21"/>
      <c r="AF7" s="21"/>
      <c r="AG7" s="21"/>
      <c r="AH7" s="21"/>
      <c r="AI7" s="21"/>
      <c r="AQ7" s="144"/>
      <c r="BC7" s="179"/>
    </row>
    <row r="8" customFormat="false" ht="13.5" hidden="false" customHeight="false" outlineLevel="0" collapsed="false">
      <c r="A8" s="180" t="s">
        <v>166</v>
      </c>
      <c r="B8" s="181"/>
      <c r="C8" s="181"/>
      <c r="D8" s="181" t="n">
        <f aca="false">SUM(D10:D500)</f>
        <v>4714400</v>
      </c>
      <c r="E8" s="181" t="n">
        <f aca="false">SUM(E10:E500)</f>
        <v>143476800</v>
      </c>
      <c r="F8" s="181" t="n">
        <f aca="false">SUM(F10:F370)</f>
        <v>848407314.496435</v>
      </c>
      <c r="G8" s="182" t="e">
        <f aca="false">SUMPRODUCT(G10:G499,$F$10:$F$499)/SUM($F$10:$F$499)</f>
        <v>#N/A</v>
      </c>
      <c r="H8" s="182" t="e">
        <f aca="false">SUMPRODUCT(H10:H499,$F$10:$F$499)/SUM($F$10:$F$499)</f>
        <v>#N/A</v>
      </c>
      <c r="I8" s="182"/>
      <c r="J8" s="182" t="e">
        <f aca="false">SUMPRODUCT(J10:J499,$F$10:$F$499)/SUM($F$10:$F$499)</f>
        <v>#N/A</v>
      </c>
      <c r="K8" s="182" t="e">
        <f aca="false">SUMPRODUCT(K10:K499,$F$10:$F$499)/SUM($F$10:$F$499)</f>
        <v>#N/A</v>
      </c>
      <c r="L8" s="182" t="n">
        <f aca="false">SUMPRODUCT(L10:L499,$F$10:$F$499)/SUM($F$10:$F$499)</f>
        <v>0</v>
      </c>
      <c r="M8" s="182" t="n">
        <f aca="false">SUMPRODUCT(M10:M499,$F$10:$F$499)/SUM($F$10:$F$499)</f>
        <v>0</v>
      </c>
      <c r="O8" s="182" t="e">
        <f aca="false">SUMPRODUCT(O10:O499,$F$10:$F$499)/SUM($F$10:$F$499)</f>
        <v>#N/A</v>
      </c>
      <c r="P8" s="182" t="e">
        <f aca="false">SUMPRODUCT(P10:P499,$F$10:$F$499)/SUM($F$10:$F$499)</f>
        <v>#N/A</v>
      </c>
      <c r="Q8" s="182"/>
      <c r="R8" s="182" t="e">
        <f aca="false">SUMPRODUCT(R10:R499,$F$10:$F$499)/SUM($F$10:$F$499)</f>
        <v>#N/A</v>
      </c>
      <c r="S8" s="182" t="e">
        <f aca="false">SUMPRODUCT(S10:S499,$F$10:$F$499)/SUM($F$10:$F$499)</f>
        <v>#N/A</v>
      </c>
      <c r="T8" s="182" t="e">
        <f aca="false">SUMPRODUCT(T10:T499,$F$10:$F$499)/SUM($F$10:$F$499)</f>
        <v>#N/A</v>
      </c>
      <c r="U8" s="182" t="e">
        <f aca="false">SUMPRODUCT(U10:U499,$F$10:$F$499)/SUM($F$10:$F$499)</f>
        <v>#N/A</v>
      </c>
      <c r="V8" s="183" t="e">
        <f aca="false">SUMPRODUCT(V10:V499,F10:F499)/F8</f>
        <v>#N/A</v>
      </c>
      <c r="W8" s="182" t="e">
        <f aca="false">SUMPRODUCT(W10:W499,$F$10:$F$499)/SUM($F$10:$F$499)</f>
        <v>#N/A</v>
      </c>
      <c r="X8" s="182" t="e">
        <f aca="false">SUMPRODUCT(X10:X499,$F$10:$F$499)/SUM($F$10:$F$499)</f>
        <v>#N/A</v>
      </c>
      <c r="Y8" s="182"/>
      <c r="Z8" s="184"/>
      <c r="AA8" s="185"/>
      <c r="AB8" s="185"/>
      <c r="AC8" s="185"/>
      <c r="AD8" s="185"/>
      <c r="AE8" s="185"/>
      <c r="AF8" s="182"/>
      <c r="AG8" s="182"/>
      <c r="AH8" s="182" t="n">
        <f aca="false">SUMPRODUCT(AH10:AH499,F10:F499)/F8</f>
        <v>0.00514655416258674</v>
      </c>
      <c r="AI8" s="182"/>
      <c r="AJ8" s="182"/>
      <c r="AK8" s="182"/>
      <c r="AL8" s="182" t="e">
        <f aca="false">AW8/$E8</f>
        <v>#NAME?</v>
      </c>
      <c r="AM8" s="182" t="e">
        <f aca="false">BC8/$F8</f>
        <v>#N/A</v>
      </c>
      <c r="AN8" s="182" t="e">
        <f aca="false">AY8/$E8</f>
        <v>#N/A</v>
      </c>
      <c r="AR8" s="186"/>
      <c r="AT8" s="187" t="n">
        <f aca="false">SUM(AT10:AT500)</f>
        <v>166</v>
      </c>
      <c r="AU8" s="187" t="n">
        <f aca="false">SUM(AU10:AU500)</f>
        <v>5052</v>
      </c>
      <c r="AW8" s="188" t="e">
        <f aca="false">SUM(AW10:AW501)</f>
        <v>#NAME?</v>
      </c>
      <c r="AX8" s="188" t="e">
        <f aca="false">SUM(AX10:AX501)</f>
        <v>#N/A</v>
      </c>
      <c r="AY8" s="188" t="e">
        <f aca="false">SUM(AY10:AY501)</f>
        <v>#N/A</v>
      </c>
      <c r="BA8" s="188" t="n">
        <f aca="false">SUM(BA10:BA501)</f>
        <v>0</v>
      </c>
      <c r="BC8" s="189" t="e">
        <f aca="false">SUM(BC10:BC501)</f>
        <v>#N/A</v>
      </c>
    </row>
    <row r="9" customFormat="false" ht="12.75" hidden="false" customHeight="false" outlineLevel="0" collapsed="false">
      <c r="B9" s="190"/>
      <c r="C9" s="190"/>
      <c r="D9" s="190"/>
      <c r="E9" s="190"/>
      <c r="F9" s="190"/>
      <c r="G9" s="191"/>
      <c r="H9" s="191"/>
      <c r="I9" s="191"/>
      <c r="J9" s="191"/>
      <c r="K9" s="191"/>
      <c r="L9" s="191"/>
      <c r="M9" s="191"/>
      <c r="O9" s="191"/>
      <c r="P9" s="191"/>
      <c r="Q9" s="191"/>
      <c r="R9" s="191"/>
      <c r="S9" s="191"/>
      <c r="T9" s="191"/>
      <c r="U9" s="191"/>
      <c r="V9" s="228"/>
      <c r="W9" s="191"/>
      <c r="X9" s="191"/>
      <c r="Y9" s="191"/>
      <c r="Z9" s="193"/>
      <c r="AA9" s="185"/>
      <c r="AB9" s="185"/>
      <c r="AC9" s="185"/>
      <c r="AD9" s="185"/>
      <c r="AE9" s="185"/>
      <c r="AF9" s="194"/>
      <c r="AG9" s="182"/>
      <c r="AH9" s="182"/>
      <c r="AI9" s="182"/>
      <c r="AJ9" s="191"/>
      <c r="AK9" s="191"/>
      <c r="AL9" s="191"/>
      <c r="AM9" s="191"/>
      <c r="AN9" s="191"/>
      <c r="AW9" s="195"/>
      <c r="BC9" s="179"/>
    </row>
    <row r="10" customFormat="false" ht="12.75" hidden="false" customHeight="false" outlineLevel="0" collapsed="false">
      <c r="A10" s="196" t="n">
        <f aca="false">A3</f>
        <v>37043</v>
      </c>
      <c r="B10" s="197" t="n">
        <f aca="false">Summary!O13</f>
        <v>28400</v>
      </c>
      <c r="C10" s="198"/>
      <c r="D10" s="197" t="n">
        <f aca="false">IF(A11&lt;&gt;"",B10+C10,"")</f>
        <v>28400</v>
      </c>
      <c r="E10" s="199" t="n">
        <f aca="false">IF(A11="","",IF(AND(AT10=1,$H$3=1),D10*AO10,IF($H$3=2,D10,"N/A")))</f>
        <v>852000</v>
      </c>
      <c r="F10" s="199" t="n">
        <f aca="false">IF(A11="","",E10*AS10)</f>
        <v>9143259.05330845</v>
      </c>
      <c r="G10" s="200" t="e">
        <f aca="false">IF($A11="","",VLOOKUP($A10,Table,MATCH(G$4,Curves,0)))</f>
        <v>#N/A</v>
      </c>
      <c r="H10" s="201" t="e">
        <f aca="false">IF(A11="","",G10)</f>
        <v>#N/A</v>
      </c>
      <c r="I10" s="202"/>
      <c r="J10" s="200" t="e">
        <f aca="false">IF($A11="","",VLOOKUP($A10,Table,MATCH(J$4,Curves,0)))</f>
        <v>#N/A</v>
      </c>
      <c r="K10" s="201" t="e">
        <f aca="false">IF(A11="","",J10)</f>
        <v>#N/A</v>
      </c>
      <c r="L10" s="185" t="n">
        <v>0</v>
      </c>
      <c r="M10" s="201" t="n">
        <f aca="false">IF(A11="","",L10)</f>
        <v>0</v>
      </c>
      <c r="N10" s="203"/>
      <c r="O10" s="200" t="e">
        <f aca="false">IF(A11="","",L10+J10+G10)</f>
        <v>#N/A</v>
      </c>
      <c r="P10" s="200" t="e">
        <f aca="false">IF(A11="","",M10+K10+H10)</f>
        <v>#N/A</v>
      </c>
      <c r="Q10" s="204"/>
      <c r="R10" s="200" t="e">
        <f aca="false">IF($A11="","",VLOOKUP($A10,Table,MATCH(R$4,Curves,0)))</f>
        <v>#N/A</v>
      </c>
      <c r="S10" s="201" t="e">
        <f aca="false">IF(A11="","",R10)</f>
        <v>#N/A</v>
      </c>
      <c r="T10" s="200" t="e">
        <f aca="false">IF($A11="","",VLOOKUP($A10,Table,MATCH(T$4,Curves,0)))</f>
        <v>#N/A</v>
      </c>
      <c r="U10" s="201" t="e">
        <f aca="false">IF(A11="","",T10)</f>
        <v>#N/A</v>
      </c>
      <c r="V10" s="183" t="e">
        <f aca="false">IF($A11="","",IF(AND(MONTH(A10)&gt;3,MONTH(A10)&lt;11),(T10+R10+G10)*(((1/(1-Summary!$T$14))/(1-Summary!$W$14))-1),(T10+R10+G10)*((1/(1-Summary!$U$14))/(1-Summary!$X$14)-1)))</f>
        <v>#N/A</v>
      </c>
      <c r="W10" s="202" t="e">
        <f aca="false">IF($A11="","",(T10+R10+G10+V10))</f>
        <v>#N/A</v>
      </c>
      <c r="X10" s="202" t="e">
        <f aca="false">IF($A11="","",(U10+S10+H10+V10))</f>
        <v>#N/A</v>
      </c>
      <c r="Y10" s="202"/>
      <c r="Z10" s="185" t="e">
        <f aca="false">IF($A11="","",VLOOKUP($A10,Table,MATCH(Z$4,Curves,0)))</f>
        <v>#N/A</v>
      </c>
      <c r="AA10" s="185" t="e">
        <f aca="false">IF($A11="","",VLOOKUP($A10,Table,MATCH(AA$4,Curves,0)))</f>
        <v>#N/A</v>
      </c>
      <c r="AB10" s="185" t="e">
        <f aca="false">SQRT((AA10^2*(A10-$D$3)+Z10^2*(DAY(EOMONTH(A10,0))/2))/AK10)</f>
        <v>#N/A</v>
      </c>
      <c r="AC10" s="185" t="e">
        <f aca="false">IF($A11="","",VLOOKUP($A10,Table,MATCH(AC$4,Curves,0)))</f>
        <v>#N/A</v>
      </c>
      <c r="AD10" s="185" t="e">
        <f aca="false">IF($A11="","",VLOOKUP($A10,Table,MATCH(AD$4,Curves,0)))</f>
        <v>#N/A</v>
      </c>
      <c r="AE10" s="185" t="e">
        <f aca="false">SQRT((AD10^2*(A10-$D$3)+AC10^2*(DAY(EOMONTH(A10,0))/2))/AK10)</f>
        <v>#N/A</v>
      </c>
      <c r="AF10" s="224" t="e">
        <f aca="false">((Summary!$N$14*(AA10*AD10)*(A10-$D$3))+(Summary!$M$14*Z10*AC10*(AJ10-EOMONTH(EDATE(A10,-1),0))))/(AK10*AB10*AE10)</f>
        <v>#N/A</v>
      </c>
      <c r="AG10" s="207" t="n">
        <f aca="false">IF($A11="","",Summary!$Q$14)</f>
        <v>0</v>
      </c>
      <c r="AH10" s="207" t="n">
        <f aca="false">IF($A11="","",IF(Summary!$R$12="Y",(VLOOKUP($A10,Summary!$AD$6:$AF$9,3)+'Escalating commodity'!J23),'Escalating commodity'!J23))</f>
        <v>0.0036970217296</v>
      </c>
      <c r="AI10" s="207" t="n">
        <f aca="false">IF($A11="","",AH10)</f>
        <v>0.0036970217296</v>
      </c>
      <c r="AJ10" s="208" t="n">
        <f aca="false">A10+DAY(EOMONTH(A10,0))/2-1</f>
        <v>37057</v>
      </c>
      <c r="AK10" s="209" t="n">
        <f aca="false">IF($A11="","",$A10-$E$1)</f>
        <v>-8883</v>
      </c>
      <c r="AL10" s="182" t="e">
        <f aca="false">IF($A11="","",SPRDOPT(P10,X10,AI10,0,AB10,AE10,AF10,AK10,$AJ$2,0))</f>
        <v>#NAME?</v>
      </c>
      <c r="AM10" s="211" t="e">
        <f aca="false">IF($A11="","",MAX(0,O10-W10-AI10))</f>
        <v>#N/A</v>
      </c>
      <c r="AN10" s="211" t="e">
        <f aca="false">IF($A11="","",AL10-AM10)</f>
        <v>#N/A</v>
      </c>
      <c r="AO10" s="137" t="n">
        <f aca="false">IF(A11="","",A11-A10)</f>
        <v>30</v>
      </c>
      <c r="AP10" s="212" t="n">
        <f aca="false">IF(A11="","",CHOOSE(F$3,A11+24,A10))</f>
        <v>37043</v>
      </c>
      <c r="AQ10" s="209" t="n">
        <f aca="false">IF(A11="","",AP10-$E$1)</f>
        <v>-8883</v>
      </c>
      <c r="AR10" s="185" t="n">
        <f aca="false">'ANR OK vs ML7'!AR10</f>
        <v>0.1</v>
      </c>
      <c r="AS10" s="213" t="n">
        <f aca="false">IF(A11="","",1/(1+CHOOSE(F$3,(AR11+($I$3/10000))/2,(AR10+($I$3/10000))/2))^(2*AQ10/365.25))</f>
        <v>10.7315247104559</v>
      </c>
      <c r="AT10" s="137" t="n">
        <f aca="false">IF(A11="","",IF(AND(mthbeg&lt;=A10,mthend&gt;=A10),1,0))</f>
        <v>1</v>
      </c>
      <c r="AU10" s="137" t="n">
        <f aca="false">IF(A11="","",AO10*AT10)</f>
        <v>30</v>
      </c>
      <c r="AW10" s="195" t="e">
        <f aca="false">IF($A11="","",AL10*$E10)</f>
        <v>#NAME?</v>
      </c>
      <c r="AX10" s="195" t="e">
        <f aca="false">IF($A11="","",AM10*$E10)</f>
        <v>#N/A</v>
      </c>
      <c r="AY10" s="195" t="e">
        <f aca="false">IF($A11="","",AN10*$E10)</f>
        <v>#N/A</v>
      </c>
      <c r="AZ10" s="214"/>
      <c r="BA10" s="195" t="n">
        <f aca="false">IF($A11="","",F10*Summary!$Q$14)</f>
        <v>0</v>
      </c>
      <c r="BC10" s="179" t="e">
        <f aca="false">IF(A11="","",AM10*F10)</f>
        <v>#N/A</v>
      </c>
    </row>
    <row r="11" customFormat="false" ht="12.75" hidden="false" customHeight="false" outlineLevel="0" collapsed="false">
      <c r="A11" s="196" t="n">
        <f aca="false">IF(A10&lt;mthend,EDATE(A10,1),"")</f>
        <v>37073</v>
      </c>
      <c r="B11" s="197" t="n">
        <f aca="false">IF(A11&lt;mthend,B10,"")</f>
        <v>28400</v>
      </c>
      <c r="C11" s="215"/>
      <c r="D11" s="197" t="n">
        <f aca="false">IF(A12&lt;&gt;"",B11+C11,"")</f>
        <v>28400</v>
      </c>
      <c r="E11" s="199" t="n">
        <f aca="false">IF(A12="","",IF(AND(AT11=1,$H$3=1),D11*AO11,IF($H$3=2,D11,"N/A")))</f>
        <v>880400</v>
      </c>
      <c r="F11" s="199" t="n">
        <f aca="false">IF(A12="","",E11*AS11)</f>
        <v>9372612.79052769</v>
      </c>
      <c r="G11" s="200" t="e">
        <f aca="false">IF($A12="","",VLOOKUP($A11,Table,MATCH(G$4,Curves,0)))</f>
        <v>#N/A</v>
      </c>
      <c r="H11" s="201" t="e">
        <f aca="false">IF(A12="","",G11)</f>
        <v>#N/A</v>
      </c>
      <c r="I11" s="202"/>
      <c r="J11" s="200" t="e">
        <f aca="false">IF($A12="","",VLOOKUP($A11,Table,MATCH(J$4,Curves,0)))</f>
        <v>#N/A</v>
      </c>
      <c r="K11" s="201" t="e">
        <f aca="false">IF(A12="","",J11)</f>
        <v>#N/A</v>
      </c>
      <c r="L11" s="185" t="n">
        <v>0</v>
      </c>
      <c r="M11" s="201" t="n">
        <f aca="false">IF(A12="","",L11)</f>
        <v>0</v>
      </c>
      <c r="N11" s="203"/>
      <c r="O11" s="200" t="e">
        <f aca="false">IF(A12="","",L11+J11+G11)</f>
        <v>#N/A</v>
      </c>
      <c r="P11" s="200" t="e">
        <f aca="false">IF(A12="","",M11+K11+H11)</f>
        <v>#N/A</v>
      </c>
      <c r="Q11" s="204"/>
      <c r="R11" s="200" t="e">
        <f aca="false">IF($A12="","",VLOOKUP($A11,Table,MATCH(R$4,Curves,0)))</f>
        <v>#N/A</v>
      </c>
      <c r="S11" s="201" t="e">
        <f aca="false">IF(A12="","",R11)</f>
        <v>#N/A</v>
      </c>
      <c r="T11" s="200" t="e">
        <f aca="false">IF($A12="","",VLOOKUP($A11,Table,MATCH(T$4,Curves,0)))</f>
        <v>#N/A</v>
      </c>
      <c r="U11" s="201" t="e">
        <f aca="false">IF(A12="","",T11)</f>
        <v>#N/A</v>
      </c>
      <c r="V11" s="183" t="e">
        <f aca="false">IF($A12="","",IF(AND(MONTH(A11)&gt;3,MONTH(A11)&lt;11),(T11+R11+G11)*(((1/(1-Summary!$T$14))/(1-Summary!$W$14))-1),(T11+R11+G11)*((1/(1-Summary!$U$14))/(1-Summary!$X$14)-1)))</f>
        <v>#N/A</v>
      </c>
      <c r="W11" s="202" t="e">
        <f aca="false">IF($A12="","",(T11+R11+G11+V11))</f>
        <v>#N/A</v>
      </c>
      <c r="X11" s="202" t="e">
        <f aca="false">IF($A12="","",(U11+S11+H11+V11))</f>
        <v>#N/A</v>
      </c>
      <c r="Y11" s="202"/>
      <c r="Z11" s="185" t="e">
        <f aca="false">IF($A12="","",VLOOKUP($A11,Table,MATCH(Z$4,Curves,0)))</f>
        <v>#N/A</v>
      </c>
      <c r="AA11" s="185" t="e">
        <f aca="false">IF($A12="","",VLOOKUP($A11,Table,MATCH(AA$4,Curves,0)))</f>
        <v>#N/A</v>
      </c>
      <c r="AB11" s="185" t="e">
        <f aca="false">SQRT((AA11^2*(A11-$D$3)+Z11^2*(DAY(EOMONTH(A11,0))/2))/AK11)</f>
        <v>#N/A</v>
      </c>
      <c r="AC11" s="185" t="e">
        <f aca="false">IF($A12="","",VLOOKUP($A11,Table,MATCH(AC$4,Curves,0)))</f>
        <v>#N/A</v>
      </c>
      <c r="AD11" s="185" t="e">
        <f aca="false">IF($A12="","",VLOOKUP($A11,Table,MATCH(AD$4,Curves,0)))</f>
        <v>#N/A</v>
      </c>
      <c r="AE11" s="185" t="e">
        <f aca="false">SQRT((AD11^2*(A11-$D$3)+AC11^2*(DAY(EOMONTH(A11,0))/2))/AK11)</f>
        <v>#N/A</v>
      </c>
      <c r="AF11" s="224" t="e">
        <f aca="false">((Summary!$N$14*(AA11*AD11)*(A11-$D$3))+(Summary!$M$14*Z11*AC11*(AJ11-EOMONTH(EDATE(A11,-1),0))))/(AK11*AB11*AE11)</f>
        <v>#N/A</v>
      </c>
      <c r="AG11" s="207" t="n">
        <f aca="false">IF($A12="","",Summary!$Q$14)</f>
        <v>0</v>
      </c>
      <c r="AH11" s="207" t="n">
        <f aca="false">IF($A12="","",IF(Summary!$R$12="Y",(VLOOKUP($A11,Summary!$AD$6:$AF$9,3)+'Escalating commodity'!J24),'Escalating commodity'!J24))</f>
        <v>0.0036970217296</v>
      </c>
      <c r="AI11" s="207" t="n">
        <f aca="false">IF($A12="","",AH11)</f>
        <v>0.0036970217296</v>
      </c>
      <c r="AJ11" s="208" t="n">
        <f aca="false">A11+DAY(EOMONTH(A11,0))/2-1</f>
        <v>37087.5</v>
      </c>
      <c r="AK11" s="209" t="n">
        <f aca="false">IF($A12="","",$A11-$E$1)</f>
        <v>-8853</v>
      </c>
      <c r="AL11" s="182" t="e">
        <f aca="false">IF($A12="","",SPRDOPT(P11,X11,AI11,0,AB11,AE11,AF11,AK11,$AJ$2,0))</f>
        <v>#NAME?</v>
      </c>
      <c r="AM11" s="211" t="e">
        <f aca="false">IF($A12="","",MAX(0,O11-W11-AI11))</f>
        <v>#N/A</v>
      </c>
      <c r="AN11" s="211" t="e">
        <f aca="false">IF($A12="","",AL11-AM11)</f>
        <v>#N/A</v>
      </c>
      <c r="AO11" s="137" t="n">
        <f aca="false">IF(A12="","",A12-A11)</f>
        <v>31</v>
      </c>
      <c r="AP11" s="212" t="n">
        <f aca="false">IF(A12="","",CHOOSE(F$3,A12+24,A11))</f>
        <v>37073</v>
      </c>
      <c r="AQ11" s="209" t="n">
        <f aca="false">IF(A12="","",AP11-$E$1)</f>
        <v>-8853</v>
      </c>
      <c r="AR11" s="185" t="n">
        <f aca="false">'ANR OK vs ML7'!AR11</f>
        <v>0.1</v>
      </c>
      <c r="AS11" s="213" t="n">
        <f aca="false">IF(A12="","",1/(1+CHOOSE(F$3,(AR12+($I$3/10000))/2,(AR11+($I$3/10000))/2))^(2*AQ11/365.25))</f>
        <v>10.6458573268147</v>
      </c>
      <c r="AT11" s="137" t="n">
        <f aca="false">IF(A12="","",IF(AND(mthbeg&lt;=A11,mthend&gt;=A11),1,0))</f>
        <v>1</v>
      </c>
      <c r="AU11" s="137" t="n">
        <f aca="false">IF(A12="","",AO11*AT11)</f>
        <v>31</v>
      </c>
      <c r="AW11" s="195" t="e">
        <f aca="false">IF($A12="","",AL11*$E11)</f>
        <v>#NAME?</v>
      </c>
      <c r="AX11" s="195" t="e">
        <f aca="false">IF($A12="","",AM11*$E11)</f>
        <v>#N/A</v>
      </c>
      <c r="AY11" s="195" t="e">
        <f aca="false">IF($A12="","",AN11*$E11)</f>
        <v>#N/A</v>
      </c>
      <c r="BA11" s="195" t="n">
        <f aca="false">IF($A12="","",F11*Summary!$Q$14)</f>
        <v>0</v>
      </c>
      <c r="BC11" s="179" t="e">
        <f aca="false">IF(A12="","",AM11*F11)</f>
        <v>#N/A</v>
      </c>
    </row>
    <row r="12" customFormat="false" ht="12.75" hidden="false" customHeight="false" outlineLevel="0" collapsed="false">
      <c r="A12" s="196" t="n">
        <f aca="false">IF(A11&lt;mthend,EDATE(A11,1),"")</f>
        <v>37104</v>
      </c>
      <c r="B12" s="197" t="n">
        <f aca="false">IF(A12&lt;mthend,B11,"")</f>
        <v>28400</v>
      </c>
      <c r="C12" s="215"/>
      <c r="D12" s="197" t="n">
        <f aca="false">IF(A13&lt;&gt;"",B12+C12,"")</f>
        <v>28400</v>
      </c>
      <c r="E12" s="199" t="n">
        <f aca="false">IF(A13="","",IF(AND(AT12=1,$H$3=1),D12*AO12,IF($H$3=2,D12,"N/A")))</f>
        <v>880400</v>
      </c>
      <c r="F12" s="199" t="n">
        <f aca="false">IF(A13="","",E12*AS12)</f>
        <v>9295309.62941075</v>
      </c>
      <c r="G12" s="200" t="e">
        <f aca="false">IF($A13="","",VLOOKUP($A12,Table,MATCH(G$4,Curves,0)))</f>
        <v>#N/A</v>
      </c>
      <c r="H12" s="201" t="e">
        <f aca="false">IF(A13="","",G12)</f>
        <v>#N/A</v>
      </c>
      <c r="I12" s="202"/>
      <c r="J12" s="200" t="e">
        <f aca="false">IF($A13="","",VLOOKUP($A12,Table,MATCH(J$4,Curves,0)))</f>
        <v>#N/A</v>
      </c>
      <c r="K12" s="201" t="e">
        <f aca="false">IF(A13="","",J12)</f>
        <v>#N/A</v>
      </c>
      <c r="L12" s="185" t="n">
        <v>0</v>
      </c>
      <c r="M12" s="201" t="n">
        <f aca="false">IF(A13="","",L12)</f>
        <v>0</v>
      </c>
      <c r="N12" s="203"/>
      <c r="O12" s="200" t="e">
        <f aca="false">IF(A13="","",L12+J12+G12)</f>
        <v>#N/A</v>
      </c>
      <c r="P12" s="200" t="e">
        <f aca="false">IF(A13="","",M12+K12+H12)</f>
        <v>#N/A</v>
      </c>
      <c r="Q12" s="204"/>
      <c r="R12" s="200" t="e">
        <f aca="false">IF($A13="","",VLOOKUP($A12,Table,MATCH(R$4,Curves,0)))</f>
        <v>#N/A</v>
      </c>
      <c r="S12" s="201" t="e">
        <f aca="false">IF(A13="","",R12)</f>
        <v>#N/A</v>
      </c>
      <c r="T12" s="200" t="e">
        <f aca="false">IF($A13="","",VLOOKUP($A12,Table,MATCH(T$4,Curves,0)))</f>
        <v>#N/A</v>
      </c>
      <c r="U12" s="201" t="e">
        <f aca="false">IF(A13="","",T12)</f>
        <v>#N/A</v>
      </c>
      <c r="V12" s="183" t="e">
        <f aca="false">IF($A13="","",IF(AND(MONTH(A12)&gt;3,MONTH(A12)&lt;11),(T12+R12+G12)*(((1/(1-Summary!$T$14))/(1-Summary!$W$14))-1),(T12+R12+G12)*((1/(1-Summary!$U$14))/(1-Summary!$X$14)-1)))</f>
        <v>#N/A</v>
      </c>
      <c r="W12" s="202" t="e">
        <f aca="false">IF($A13="","",(T12+R12+G12+V12))</f>
        <v>#N/A</v>
      </c>
      <c r="X12" s="202" t="e">
        <f aca="false">IF($A13="","",(U12+S12+H12+V12))</f>
        <v>#N/A</v>
      </c>
      <c r="Y12" s="202"/>
      <c r="Z12" s="185" t="e">
        <f aca="false">IF($A13="","",VLOOKUP($A12,Table,MATCH(Z$4,Curves,0)))</f>
        <v>#N/A</v>
      </c>
      <c r="AA12" s="185" t="e">
        <f aca="false">IF($A13="","",VLOOKUP($A12,Table,MATCH(AA$4,Curves,0)))</f>
        <v>#N/A</v>
      </c>
      <c r="AB12" s="185" t="e">
        <f aca="false">SQRT((AA12^2*(A12-$D$3)+Z12^2*(DAY(EOMONTH(A12,0))/2))/AK12)</f>
        <v>#N/A</v>
      </c>
      <c r="AC12" s="185" t="e">
        <f aca="false">IF($A13="","",VLOOKUP($A12,Table,MATCH(AC$4,Curves,0)))</f>
        <v>#N/A</v>
      </c>
      <c r="AD12" s="185" t="e">
        <f aca="false">IF($A13="","",VLOOKUP($A12,Table,MATCH(AD$4,Curves,0)))</f>
        <v>#N/A</v>
      </c>
      <c r="AE12" s="185" t="e">
        <f aca="false">SQRT((AD12^2*(A12-$D$3)+AC12^2*(DAY(EOMONTH(A12,0))/2))/AK12)</f>
        <v>#N/A</v>
      </c>
      <c r="AF12" s="224" t="e">
        <f aca="false">((Summary!$N$14*(AA12*AD12)*(A12-$D$3))+(Summary!$M$14*Z12*AC12*(AJ12-EOMONTH(EDATE(A12,-1),0))))/(AK12*AB12*AE12)</f>
        <v>#N/A</v>
      </c>
      <c r="AG12" s="207" t="n">
        <f aca="false">IF($A13="","",Summary!$Q$14)</f>
        <v>0</v>
      </c>
      <c r="AH12" s="207" t="n">
        <f aca="false">IF($A13="","",IF(Summary!$R$12="Y",(VLOOKUP($A12,Summary!$AD$6:$AF$9,3)+'Escalating commodity'!J25),'Escalating commodity'!J25))</f>
        <v>0.0036970217296</v>
      </c>
      <c r="AI12" s="207" t="n">
        <f aca="false">IF($A13="","",AH12)</f>
        <v>0.0036970217296</v>
      </c>
      <c r="AJ12" s="208" t="n">
        <f aca="false">A12+DAY(EOMONTH(A12,0))/2-1</f>
        <v>37118.5</v>
      </c>
      <c r="AK12" s="209" t="n">
        <f aca="false">IF($A13="","",$A12-$E$1)</f>
        <v>-8822</v>
      </c>
      <c r="AL12" s="182" t="e">
        <f aca="false">IF($A13="","",SPRDOPT(P12,X12,AI12,0,AB12,AE12,AF12,AK12,$AJ$2,0))</f>
        <v>#NAME?</v>
      </c>
      <c r="AM12" s="211" t="e">
        <f aca="false">IF($A13="","",MAX(0,O12-W12-AI12))</f>
        <v>#N/A</v>
      </c>
      <c r="AN12" s="211" t="e">
        <f aca="false">IF($A13="","",AL12-AM12)</f>
        <v>#N/A</v>
      </c>
      <c r="AO12" s="137" t="n">
        <f aca="false">IF(A13="","",A13-A12)</f>
        <v>31</v>
      </c>
      <c r="AP12" s="212" t="n">
        <f aca="false">IF(A13="","",CHOOSE(F$3,A13+24,A12))</f>
        <v>37104</v>
      </c>
      <c r="AQ12" s="209" t="n">
        <f aca="false">IF(A13="","",AP12-$E$1)</f>
        <v>-8822</v>
      </c>
      <c r="AR12" s="185" t="n">
        <f aca="false">'ANR OK vs ML7'!AR12</f>
        <v>0.1</v>
      </c>
      <c r="AS12" s="213" t="n">
        <f aca="false">IF(A13="","",1/(1+CHOOSE(F$3,(AR13+($I$3/10000))/2,(AR12+($I$3/10000))/2))^(2*AQ12/365.25))</f>
        <v>10.5580527367228</v>
      </c>
      <c r="AT12" s="137" t="n">
        <f aca="false">IF(A13="","",IF(AND(mthbeg&lt;=A12,mthend&gt;=A12),1,0))</f>
        <v>1</v>
      </c>
      <c r="AU12" s="137" t="n">
        <f aca="false">IF(A13="","",AO12*AT12)</f>
        <v>31</v>
      </c>
      <c r="AW12" s="195" t="e">
        <f aca="false">IF($A13="","",AL12*$E12)</f>
        <v>#NAME?</v>
      </c>
      <c r="AX12" s="195" t="e">
        <f aca="false">IF($A13="","",AM12*$E12)</f>
        <v>#N/A</v>
      </c>
      <c r="AY12" s="195" t="e">
        <f aca="false">IF($A13="","",AN12*$E12)</f>
        <v>#N/A</v>
      </c>
      <c r="BA12" s="195" t="n">
        <f aca="false">IF($A13="","",F12*Summary!$Q$14)</f>
        <v>0</v>
      </c>
      <c r="BC12" s="179" t="e">
        <f aca="false">IF(A13="","",AM12*F12)</f>
        <v>#N/A</v>
      </c>
    </row>
    <row r="13" customFormat="false" ht="12.75" hidden="false" customHeight="false" outlineLevel="0" collapsed="false">
      <c r="A13" s="196" t="n">
        <f aca="false">IF(A12&lt;mthend,EDATE(A12,1),"")</f>
        <v>37135</v>
      </c>
      <c r="B13" s="197" t="n">
        <f aca="false">IF(A13&lt;mthend,B12,"")</f>
        <v>28400</v>
      </c>
      <c r="C13" s="215"/>
      <c r="D13" s="197" t="n">
        <f aca="false">IF(A14&lt;&gt;"",B13+C13,"")</f>
        <v>28400</v>
      </c>
      <c r="E13" s="199" t="n">
        <f aca="false">IF(A14="","",IF(AND(AT13=1,$H$3=1),D13*AO13,IF($H$3=2,D13,"N/A")))</f>
        <v>852000</v>
      </c>
      <c r="F13" s="199" t="n">
        <f aca="false">IF(A14="","",E13*AS13)</f>
        <v>8921268.43262008</v>
      </c>
      <c r="G13" s="200" t="e">
        <f aca="false">IF($A14="","",VLOOKUP($A13,Table,MATCH(G$4,Curves,0)))</f>
        <v>#N/A</v>
      </c>
      <c r="H13" s="201" t="e">
        <f aca="false">IF(A14="","",G13)</f>
        <v>#N/A</v>
      </c>
      <c r="I13" s="202"/>
      <c r="J13" s="200" t="e">
        <f aca="false">IF($A14="","",VLOOKUP($A13,Table,MATCH(J$4,Curves,0)))</f>
        <v>#N/A</v>
      </c>
      <c r="K13" s="201" t="e">
        <f aca="false">IF(A14="","",J13)</f>
        <v>#N/A</v>
      </c>
      <c r="L13" s="185" t="n">
        <v>0</v>
      </c>
      <c r="M13" s="201" t="n">
        <f aca="false">IF(A14="","",L13)</f>
        <v>0</v>
      </c>
      <c r="N13" s="203"/>
      <c r="O13" s="200" t="e">
        <f aca="false">IF(A14="","",L13+J13+G13)</f>
        <v>#N/A</v>
      </c>
      <c r="P13" s="200" t="e">
        <f aca="false">IF(A14="","",M13+K13+H13)</f>
        <v>#N/A</v>
      </c>
      <c r="Q13" s="204"/>
      <c r="R13" s="200" t="e">
        <f aca="false">IF($A14="","",VLOOKUP($A13,Table,MATCH(R$4,Curves,0)))</f>
        <v>#N/A</v>
      </c>
      <c r="S13" s="201" t="e">
        <f aca="false">IF(A14="","",R13)</f>
        <v>#N/A</v>
      </c>
      <c r="T13" s="200" t="e">
        <f aca="false">IF($A14="","",VLOOKUP($A13,Table,MATCH(T$4,Curves,0)))</f>
        <v>#N/A</v>
      </c>
      <c r="U13" s="201" t="e">
        <f aca="false">IF(A14="","",T13)</f>
        <v>#N/A</v>
      </c>
      <c r="V13" s="183" t="e">
        <f aca="false">IF($A14="","",IF(AND(MONTH(A13)&gt;3,MONTH(A13)&lt;11),(T13+R13+G13)*(((1/(1-Summary!$T$14))/(1-Summary!$W$14))-1),(T13+R13+G13)*((1/(1-Summary!$U$14))/(1-Summary!$X$14)-1)))</f>
        <v>#N/A</v>
      </c>
      <c r="W13" s="202" t="e">
        <f aca="false">IF($A14="","",(T13+R13+G13+V13))</f>
        <v>#N/A</v>
      </c>
      <c r="X13" s="202" t="e">
        <f aca="false">IF($A14="","",(U13+S13+H13+V13))</f>
        <v>#N/A</v>
      </c>
      <c r="Y13" s="202"/>
      <c r="Z13" s="185" t="e">
        <f aca="false">IF($A14="","",VLOOKUP($A13,Table,MATCH(Z$4,Curves,0)))</f>
        <v>#N/A</v>
      </c>
      <c r="AA13" s="185" t="e">
        <f aca="false">IF($A14="","",VLOOKUP($A13,Table,MATCH(AA$4,Curves,0)))</f>
        <v>#N/A</v>
      </c>
      <c r="AB13" s="185" t="e">
        <f aca="false">SQRT((AA13^2*(A13-$D$3)+Z13^2*(DAY(EOMONTH(A13,0))/2))/AK13)</f>
        <v>#N/A</v>
      </c>
      <c r="AC13" s="185" t="e">
        <f aca="false">IF($A14="","",VLOOKUP($A13,Table,MATCH(AC$4,Curves,0)))</f>
        <v>#N/A</v>
      </c>
      <c r="AD13" s="185" t="e">
        <f aca="false">IF($A14="","",VLOOKUP($A13,Table,MATCH(AD$4,Curves,0)))</f>
        <v>#N/A</v>
      </c>
      <c r="AE13" s="185" t="e">
        <f aca="false">SQRT((AD13^2*(A13-$D$3)+AC13^2*(DAY(EOMONTH(A13,0))/2))/AK13)</f>
        <v>#N/A</v>
      </c>
      <c r="AF13" s="224" t="e">
        <f aca="false">((Summary!$N$14*(AA13*AD13)*(A13-$D$3))+(Summary!$M$14*Z13*AC13*(AJ13-EOMONTH(EDATE(A13,-1),0))))/(AK13*AB13*AE13)</f>
        <v>#N/A</v>
      </c>
      <c r="AG13" s="207" t="n">
        <f aca="false">IF($A14="","",Summary!$Q$14)</f>
        <v>0</v>
      </c>
      <c r="AH13" s="207" t="n">
        <f aca="false">IF($A14="","",IF(Summary!$R$12="Y",(VLOOKUP($A13,Summary!$AD$6:$AF$9,3)+'Escalating commodity'!J26),'Escalating commodity'!J26))</f>
        <v>0.0036970217296</v>
      </c>
      <c r="AI13" s="207" t="n">
        <f aca="false">IF($A14="","",AH13)</f>
        <v>0.0036970217296</v>
      </c>
      <c r="AJ13" s="208" t="n">
        <f aca="false">A13+DAY(EOMONTH(A13,0))/2-1</f>
        <v>37149</v>
      </c>
      <c r="AK13" s="209" t="n">
        <f aca="false">IF($A14="","",$A13-$E$1)</f>
        <v>-8791</v>
      </c>
      <c r="AL13" s="182" t="e">
        <f aca="false">IF($A14="","",SPRDOPT(P13,X13,AI13,0,AB13,AE13,AF13,AK13,$AJ$2,0))</f>
        <v>#NAME?</v>
      </c>
      <c r="AM13" s="211" t="e">
        <f aca="false">IF($A14="","",MAX(0,O13-W13-AI13))</f>
        <v>#N/A</v>
      </c>
      <c r="AN13" s="211" t="e">
        <f aca="false">IF($A14="","",AL13-AM13)</f>
        <v>#N/A</v>
      </c>
      <c r="AO13" s="137" t="n">
        <f aca="false">IF(A14="","",A14-A13)</f>
        <v>30</v>
      </c>
      <c r="AP13" s="212" t="n">
        <f aca="false">IF(A14="","",CHOOSE(F$3,A14+24,A13))</f>
        <v>37135</v>
      </c>
      <c r="AQ13" s="209" t="n">
        <f aca="false">IF(A14="","",AP13-$E$1)</f>
        <v>-8791</v>
      </c>
      <c r="AR13" s="185" t="n">
        <f aca="false">'ANR OK vs ML7'!AR13</f>
        <v>0.1</v>
      </c>
      <c r="AS13" s="213" t="n">
        <f aca="false">IF(A14="","",1/(1+CHOOSE(F$3,(AR14+($I$3/10000))/2,(AR13+($I$3/10000))/2))^(2*AQ13/365.25))</f>
        <v>10.470972338756</v>
      </c>
      <c r="AT13" s="137" t="n">
        <f aca="false">IF(A14="","",IF(AND(mthbeg&lt;=A13,mthend&gt;=A13),1,0))</f>
        <v>1</v>
      </c>
      <c r="AU13" s="137" t="n">
        <f aca="false">IF(A14="","",AO13*AT13)</f>
        <v>30</v>
      </c>
      <c r="AW13" s="195" t="e">
        <f aca="false">IF($A14="","",AL13*$E13)</f>
        <v>#NAME?</v>
      </c>
      <c r="AX13" s="195" t="e">
        <f aca="false">IF($A14="","",AM13*$E13)</f>
        <v>#N/A</v>
      </c>
      <c r="AY13" s="195" t="e">
        <f aca="false">IF($A14="","",AN13*$E13)</f>
        <v>#N/A</v>
      </c>
      <c r="BA13" s="195" t="n">
        <f aca="false">IF($A14="","",F13*Summary!$Q$14)</f>
        <v>0</v>
      </c>
      <c r="BC13" s="179" t="e">
        <f aca="false">IF(A14="","",AM13*F13)</f>
        <v>#N/A</v>
      </c>
    </row>
    <row r="14" customFormat="false" ht="12.75" hidden="false" customHeight="false" outlineLevel="0" collapsed="false">
      <c r="A14" s="196" t="n">
        <f aca="false">IF(A13&lt;mthend,EDATE(A13,1),"")</f>
        <v>37165</v>
      </c>
      <c r="B14" s="197" t="n">
        <f aca="false">IF(A14&lt;mthend,B13,"")</f>
        <v>28400</v>
      </c>
      <c r="C14" s="215"/>
      <c r="D14" s="197" t="n">
        <f aca="false">IF(A15&lt;&gt;"",B14+C14,"")</f>
        <v>28400</v>
      </c>
      <c r="E14" s="199" t="n">
        <f aca="false">IF(A15="","",IF(AND(AT14=1,$H$3=1),D14*AO14,IF($H$3=2,D14,"N/A")))</f>
        <v>880400</v>
      </c>
      <c r="F14" s="199" t="n">
        <f aca="false">IF(A15="","",E14*AS14)</f>
        <v>9145053.65447892</v>
      </c>
      <c r="G14" s="200" t="e">
        <f aca="false">IF($A15="","",VLOOKUP($A14,Table,MATCH(G$4,Curves,0)))</f>
        <v>#N/A</v>
      </c>
      <c r="H14" s="201" t="e">
        <f aca="false">IF(A15="","",G14)</f>
        <v>#N/A</v>
      </c>
      <c r="I14" s="202"/>
      <c r="J14" s="200" t="e">
        <f aca="false">IF($A15="","",VLOOKUP($A14,Table,MATCH(J$4,Curves,0)))</f>
        <v>#N/A</v>
      </c>
      <c r="K14" s="201" t="e">
        <f aca="false">IF(A15="","",J14)</f>
        <v>#N/A</v>
      </c>
      <c r="L14" s="185" t="n">
        <v>0</v>
      </c>
      <c r="M14" s="201" t="n">
        <f aca="false">IF(A15="","",L14)</f>
        <v>0</v>
      </c>
      <c r="N14" s="203"/>
      <c r="O14" s="200" t="e">
        <f aca="false">IF(A15="","",L14+J14+G14)</f>
        <v>#N/A</v>
      </c>
      <c r="P14" s="200" t="e">
        <f aca="false">IF(A15="","",M14+K14+H14)</f>
        <v>#N/A</v>
      </c>
      <c r="Q14" s="204"/>
      <c r="R14" s="200" t="e">
        <f aca="false">IF($A15="","",VLOOKUP($A14,Table,MATCH(R$4,Curves,0)))</f>
        <v>#N/A</v>
      </c>
      <c r="S14" s="201" t="e">
        <f aca="false">IF(A15="","",R14)</f>
        <v>#N/A</v>
      </c>
      <c r="T14" s="200" t="e">
        <f aca="false">IF($A15="","",VLOOKUP($A14,Table,MATCH(T$4,Curves,0)))</f>
        <v>#N/A</v>
      </c>
      <c r="U14" s="201" t="e">
        <f aca="false">IF(A15="","",T14)</f>
        <v>#N/A</v>
      </c>
      <c r="V14" s="183" t="e">
        <f aca="false">IF($A15="","",IF(AND(MONTH(A14)&gt;3,MONTH(A14)&lt;11),(T14+R14+G14)*(((1/(1-Summary!$T$14))/(1-Summary!$W$14))-1),(T14+R14+G14)*((1/(1-Summary!$U$14))/(1-Summary!$X$14)-1)))</f>
        <v>#N/A</v>
      </c>
      <c r="W14" s="202" t="e">
        <f aca="false">IF($A15="","",(T14+R14+G14+V14))</f>
        <v>#N/A</v>
      </c>
      <c r="X14" s="202" t="e">
        <f aca="false">IF($A15="","",(U14+S14+H14+V14))</f>
        <v>#N/A</v>
      </c>
      <c r="Y14" s="202"/>
      <c r="Z14" s="185" t="e">
        <f aca="false">IF($A15="","",VLOOKUP($A14,Table,MATCH(Z$4,Curves,0)))</f>
        <v>#N/A</v>
      </c>
      <c r="AA14" s="185" t="e">
        <f aca="false">IF($A15="","",VLOOKUP($A14,Table,MATCH(AA$4,Curves,0)))</f>
        <v>#N/A</v>
      </c>
      <c r="AB14" s="185" t="e">
        <f aca="false">SQRT((AA14^2*(A14-$D$3)+Z14^2*(DAY(EOMONTH(A14,0))/2))/AK14)</f>
        <v>#N/A</v>
      </c>
      <c r="AC14" s="185" t="e">
        <f aca="false">IF($A15="","",VLOOKUP($A14,Table,MATCH(AC$4,Curves,0)))</f>
        <v>#N/A</v>
      </c>
      <c r="AD14" s="185" t="e">
        <f aca="false">IF($A15="","",VLOOKUP($A14,Table,MATCH(AD$4,Curves,0)))</f>
        <v>#N/A</v>
      </c>
      <c r="AE14" s="185" t="e">
        <f aca="false">SQRT((AD14^2*(A14-$D$3)+AC14^2*(DAY(EOMONTH(A14,0))/2))/AK14)</f>
        <v>#N/A</v>
      </c>
      <c r="AF14" s="224" t="e">
        <f aca="false">((Summary!$N$14*(AA14*AD14)*(A14-$D$3))+(Summary!$M$14*Z14*AC14*(AJ14-EOMONTH(EDATE(A14,-1),0))))/(AK14*AB14*AE14)</f>
        <v>#N/A</v>
      </c>
      <c r="AG14" s="207" t="n">
        <f aca="false">IF($A15="","",Summary!$Q$14)</f>
        <v>0</v>
      </c>
      <c r="AH14" s="207" t="n">
        <f aca="false">IF($A15="","",IF(Summary!$R$12="Y",(VLOOKUP($A14,Summary!$AD$6:$AF$9,3)+'Escalating commodity'!J27),'Escalating commodity'!J27))</f>
        <v>0.0036970217296</v>
      </c>
      <c r="AI14" s="207" t="n">
        <f aca="false">IF($A15="","",AH14)</f>
        <v>0.0036970217296</v>
      </c>
      <c r="AJ14" s="208" t="n">
        <f aca="false">A14+DAY(EOMONTH(A14,0))/2-1</f>
        <v>37179.5</v>
      </c>
      <c r="AK14" s="209" t="n">
        <f aca="false">IF($A15="","",$A14-$E$1)</f>
        <v>-8761</v>
      </c>
      <c r="AL14" s="182" t="e">
        <f aca="false">IF($A15="","",SPRDOPT(P14,X14,AI14,0,AB14,AE14,AF14,AK14,$AJ$2,0))</f>
        <v>#NAME?</v>
      </c>
      <c r="AM14" s="211" t="e">
        <f aca="false">IF($A15="","",MAX(0,O14-W14-AI14))</f>
        <v>#N/A</v>
      </c>
      <c r="AN14" s="211" t="e">
        <f aca="false">IF($A15="","",AL14-AM14)</f>
        <v>#N/A</v>
      </c>
      <c r="AO14" s="137" t="n">
        <f aca="false">IF(A15="","",A15-A14)</f>
        <v>31</v>
      </c>
      <c r="AP14" s="212" t="n">
        <f aca="false">IF(A15="","",CHOOSE(F$3,A15+24,A14))</f>
        <v>37165</v>
      </c>
      <c r="AQ14" s="209" t="n">
        <f aca="false">IF(A15="","",AP14-$E$1)</f>
        <v>-8761</v>
      </c>
      <c r="AR14" s="185" t="n">
        <f aca="false">'ANR OK vs ML7'!AR14</f>
        <v>0.1</v>
      </c>
      <c r="AS14" s="213" t="n">
        <f aca="false">IF(A15="","",1/(1+CHOOSE(F$3,(AR15+($I$3/10000))/2,(AR14+($I$3/10000))/2))^(2*AQ14/365.25))</f>
        <v>10.3873848869592</v>
      </c>
      <c r="AT14" s="137" t="n">
        <f aca="false">IF(A15="","",IF(AND(mthbeg&lt;=A14,mthend&gt;=A14),1,0))</f>
        <v>1</v>
      </c>
      <c r="AU14" s="137" t="n">
        <f aca="false">IF(A15="","",AO14*AT14)</f>
        <v>31</v>
      </c>
      <c r="AW14" s="195" t="e">
        <f aca="false">IF($A15="","",AL14*$E14)</f>
        <v>#NAME?</v>
      </c>
      <c r="AX14" s="195" t="e">
        <f aca="false">IF($A15="","",AM14*$E14)</f>
        <v>#N/A</v>
      </c>
      <c r="AY14" s="195" t="e">
        <f aca="false">IF($A15="","",AN14*$E14)</f>
        <v>#N/A</v>
      </c>
      <c r="BA14" s="195" t="n">
        <f aca="false">IF($A15="","",F14*Summary!$Q$14)</f>
        <v>0</v>
      </c>
      <c r="BC14" s="179" t="e">
        <f aca="false">IF(A15="","",AM14*F14)</f>
        <v>#N/A</v>
      </c>
    </row>
    <row r="15" customFormat="false" ht="12.75" hidden="false" customHeight="false" outlineLevel="0" collapsed="false">
      <c r="A15" s="196" t="n">
        <f aca="false">IF(A14&lt;mthend,EDATE(A14,1),"")</f>
        <v>37196</v>
      </c>
      <c r="B15" s="197" t="n">
        <f aca="false">IF(A15&lt;mthend,B14,"")</f>
        <v>28400</v>
      </c>
      <c r="C15" s="215"/>
      <c r="D15" s="197" t="n">
        <f aca="false">IF(A16&lt;&gt;"",B15+C15,"")</f>
        <v>28400</v>
      </c>
      <c r="E15" s="199" t="n">
        <f aca="false">IF(A16="","",IF(AND(AT15=1,$H$3=1),D15*AO15,IF($H$3=2,D15,"N/A")))</f>
        <v>852000</v>
      </c>
      <c r="F15" s="199" t="n">
        <f aca="false">IF(A16="","",E15*AS15)</f>
        <v>8777058.72477662</v>
      </c>
      <c r="G15" s="200" t="e">
        <f aca="false">IF($A16="","",VLOOKUP($A15,Table,MATCH(G$4,Curves,0)))</f>
        <v>#N/A</v>
      </c>
      <c r="H15" s="201" t="e">
        <f aca="false">IF(A16="","",G15)</f>
        <v>#N/A</v>
      </c>
      <c r="I15" s="202"/>
      <c r="J15" s="200" t="e">
        <f aca="false">IF($A16="","",VLOOKUP($A15,Table,MATCH(J$4,Curves,0)))</f>
        <v>#N/A</v>
      </c>
      <c r="K15" s="201" t="e">
        <f aca="false">IF(A16="","",J15)</f>
        <v>#N/A</v>
      </c>
      <c r="L15" s="185" t="n">
        <v>0</v>
      </c>
      <c r="M15" s="201" t="n">
        <f aca="false">IF(A16="","",L15)</f>
        <v>0</v>
      </c>
      <c r="N15" s="203"/>
      <c r="O15" s="200" t="e">
        <f aca="false">IF(A16="","",L15+J15+G15)</f>
        <v>#N/A</v>
      </c>
      <c r="P15" s="200" t="e">
        <f aca="false">IF(A16="","",M15+K15+H15)</f>
        <v>#N/A</v>
      </c>
      <c r="Q15" s="204"/>
      <c r="R15" s="200" t="e">
        <f aca="false">IF($A16="","",VLOOKUP($A15,Table,MATCH(R$4,Curves,0)))</f>
        <v>#N/A</v>
      </c>
      <c r="S15" s="201" t="e">
        <f aca="false">IF(A16="","",R15)</f>
        <v>#N/A</v>
      </c>
      <c r="T15" s="200" t="e">
        <f aca="false">IF($A16="","",VLOOKUP($A15,Table,MATCH(T$4,Curves,0)))</f>
        <v>#N/A</v>
      </c>
      <c r="U15" s="201" t="e">
        <f aca="false">IF(A16="","",T15)</f>
        <v>#N/A</v>
      </c>
      <c r="V15" s="183" t="e">
        <f aca="false">IF($A16="","",IF(AND(MONTH(A15)&gt;3,MONTH(A15)&lt;11),(T15+R15+G15)*(((1/(1-Summary!$T$14))/(1-Summary!$W$14))-1),(T15+R15+G15)*((1/(1-Summary!$U$14))/(1-Summary!$X$14)-1)))</f>
        <v>#N/A</v>
      </c>
      <c r="W15" s="202" t="e">
        <f aca="false">IF($A16="","",(T15+R15+G15+V15))</f>
        <v>#N/A</v>
      </c>
      <c r="X15" s="202" t="e">
        <f aca="false">IF($A16="","",(U15+S15+H15+V15))</f>
        <v>#N/A</v>
      </c>
      <c r="Y15" s="202"/>
      <c r="Z15" s="185" t="e">
        <f aca="false">IF($A16="","",VLOOKUP($A15,Table,MATCH(Z$4,Curves,0)))</f>
        <v>#N/A</v>
      </c>
      <c r="AA15" s="185" t="e">
        <f aca="false">IF($A16="","",VLOOKUP($A15,Table,MATCH(AA$4,Curves,0)))</f>
        <v>#N/A</v>
      </c>
      <c r="AB15" s="185" t="e">
        <f aca="false">SQRT((AA15^2*(A15-$D$3)+Z15^2*(DAY(EOMONTH(A15,0))/2))/AK15)</f>
        <v>#N/A</v>
      </c>
      <c r="AC15" s="185" t="e">
        <f aca="false">IF($A16="","",VLOOKUP($A15,Table,MATCH(AC$4,Curves,0)))</f>
        <v>#N/A</v>
      </c>
      <c r="AD15" s="185" t="e">
        <f aca="false">IF($A16="","",VLOOKUP($A15,Table,MATCH(AD$4,Curves,0)))</f>
        <v>#N/A</v>
      </c>
      <c r="AE15" s="185" t="e">
        <f aca="false">SQRT((AD15^2*(A15-$D$3)+AC15^2*(DAY(EOMONTH(A15,0))/2))/AK15)</f>
        <v>#N/A</v>
      </c>
      <c r="AF15" s="224" t="e">
        <f aca="false">((Summary!$N$14*(AA15*AD15)*(A15-$D$3))+(Summary!$M$14*Z15*AC15*(AJ15-EOMONTH(EDATE(A15,-1),0))))/(AK15*AB15*AE15)</f>
        <v>#N/A</v>
      </c>
      <c r="AG15" s="207" t="n">
        <f aca="false">IF($A16="","",Summary!$Q$14)</f>
        <v>0</v>
      </c>
      <c r="AH15" s="207" t="n">
        <f aca="false">IF($A16="","",IF(Summary!$R$12="Y",(VLOOKUP($A15,Summary!$AD$6:$AF$9,3)+'Escalating commodity'!J28),'Escalating commodity'!J28))</f>
        <v>0.0036970217296</v>
      </c>
      <c r="AI15" s="207" t="n">
        <f aca="false">IF($A16="","",AH15)</f>
        <v>0.0036970217296</v>
      </c>
      <c r="AJ15" s="208" t="n">
        <f aca="false">A15+DAY(EOMONTH(A15,0))/2-1</f>
        <v>37210</v>
      </c>
      <c r="AK15" s="209" t="n">
        <f aca="false">IF($A16="","",$A15-$E$1)</f>
        <v>-8730</v>
      </c>
      <c r="AL15" s="182" t="e">
        <f aca="false">IF($A16="","",SPRDOPT(P15,X15,AI15,0,AB15,AE15,AF15,AK15,$AJ$2,0))</f>
        <v>#NAME?</v>
      </c>
      <c r="AM15" s="211" t="e">
        <f aca="false">IF($A16="","",MAX(0,O15-W15-AI15))</f>
        <v>#N/A</v>
      </c>
      <c r="AN15" s="211" t="e">
        <f aca="false">IF($A16="","",AL15-AM15)</f>
        <v>#N/A</v>
      </c>
      <c r="AO15" s="137" t="n">
        <f aca="false">IF(A16="","",A16-A15)</f>
        <v>30</v>
      </c>
      <c r="AP15" s="212" t="n">
        <f aca="false">IF(A16="","",CHOOSE(F$3,A16+24,A15))</f>
        <v>37196</v>
      </c>
      <c r="AQ15" s="209" t="n">
        <f aca="false">IF(A16="","",AP15-$E$1)</f>
        <v>-8730</v>
      </c>
      <c r="AR15" s="185" t="n">
        <f aca="false">'ANR OK vs ML7'!AR15</f>
        <v>0.1</v>
      </c>
      <c r="AS15" s="213" t="n">
        <f aca="false">IF(A16="","",1/(1+CHOOSE(F$3,(AR16+($I$3/10000))/2,(AR15+($I$3/10000))/2))^(2*AQ15/365.25))</f>
        <v>10.3017121182824</v>
      </c>
      <c r="AT15" s="137" t="n">
        <f aca="false">IF(A16="","",IF(AND(mthbeg&lt;=A15,mthend&gt;=A15),1,0))</f>
        <v>1</v>
      </c>
      <c r="AU15" s="137" t="n">
        <f aca="false">IF(A16="","",AO15*AT15)</f>
        <v>30</v>
      </c>
      <c r="AW15" s="195" t="e">
        <f aca="false">IF($A16="","",AL15*$E15)</f>
        <v>#NAME?</v>
      </c>
      <c r="AX15" s="195" t="e">
        <f aca="false">IF($A16="","",AM15*$E15)</f>
        <v>#N/A</v>
      </c>
      <c r="AY15" s="195" t="e">
        <f aca="false">IF($A16="","",AN15*$E15)</f>
        <v>#N/A</v>
      </c>
      <c r="BA15" s="195" t="n">
        <f aca="false">IF($A16="","",F15*Summary!$Q$14)</f>
        <v>0</v>
      </c>
      <c r="BC15" s="179" t="e">
        <f aca="false">IF(A16="","",AM15*F15)</f>
        <v>#N/A</v>
      </c>
    </row>
    <row r="16" customFormat="false" ht="12.75" hidden="false" customHeight="false" outlineLevel="0" collapsed="false">
      <c r="A16" s="196" t="n">
        <f aca="false">IF(A15&lt;mthend,EDATE(A15,1),"")</f>
        <v>37226</v>
      </c>
      <c r="B16" s="197" t="n">
        <f aca="false">IF(A16&lt;mthend,B15,"")</f>
        <v>28400</v>
      </c>
      <c r="C16" s="215"/>
      <c r="D16" s="197" t="n">
        <f aca="false">IF(A17&lt;&gt;"",B16+C16,"")</f>
        <v>28400</v>
      </c>
      <c r="E16" s="199" t="n">
        <f aca="false">IF(A17="","",IF(AND(AT16=1,$H$3=1),D16*AO16,IF($H$3=2,D16,"N/A")))</f>
        <v>880400</v>
      </c>
      <c r="F16" s="199" t="n">
        <f aca="false">IF(A17="","",E16*AS16)</f>
        <v>8997226.52365265</v>
      </c>
      <c r="G16" s="200" t="e">
        <f aca="false">IF($A17="","",VLOOKUP($A16,Table,MATCH(G$4,Curves,0)))</f>
        <v>#N/A</v>
      </c>
      <c r="H16" s="201" t="e">
        <f aca="false">IF(A17="","",G16)</f>
        <v>#N/A</v>
      </c>
      <c r="I16" s="202"/>
      <c r="J16" s="200" t="e">
        <f aca="false">IF($A17="","",VLOOKUP($A16,Table,MATCH(J$4,Curves,0)))</f>
        <v>#N/A</v>
      </c>
      <c r="K16" s="201" t="e">
        <f aca="false">IF(A17="","",J16)</f>
        <v>#N/A</v>
      </c>
      <c r="L16" s="185" t="n">
        <v>0</v>
      </c>
      <c r="M16" s="201" t="n">
        <f aca="false">IF(A17="","",L16)</f>
        <v>0</v>
      </c>
      <c r="N16" s="203"/>
      <c r="O16" s="200" t="e">
        <f aca="false">IF(A17="","",L16+J16+G16)</f>
        <v>#N/A</v>
      </c>
      <c r="P16" s="200" t="e">
        <f aca="false">IF(A17="","",M16+K16+H16)</f>
        <v>#N/A</v>
      </c>
      <c r="Q16" s="204"/>
      <c r="R16" s="200" t="e">
        <f aca="false">IF($A17="","",VLOOKUP($A16,Table,MATCH(R$4,Curves,0)))</f>
        <v>#N/A</v>
      </c>
      <c r="S16" s="201" t="e">
        <f aca="false">IF(A17="","",R16)</f>
        <v>#N/A</v>
      </c>
      <c r="T16" s="200" t="e">
        <f aca="false">IF($A17="","",VLOOKUP($A16,Table,MATCH(T$4,Curves,0)))</f>
        <v>#N/A</v>
      </c>
      <c r="U16" s="201" t="e">
        <f aca="false">IF(A17="","",T16)</f>
        <v>#N/A</v>
      </c>
      <c r="V16" s="183" t="e">
        <f aca="false">IF($A17="","",IF(AND(MONTH(A16)&gt;3,MONTH(A16)&lt;11),(T16+R16+G16)*(((1/(1-Summary!$T$14))/(1-Summary!$W$14))-1),(T16+R16+G16)*((1/(1-Summary!$U$14))/(1-Summary!$X$14)-1)))</f>
        <v>#N/A</v>
      </c>
      <c r="W16" s="202" t="e">
        <f aca="false">IF($A17="","",(T16+R16+G16+V16))</f>
        <v>#N/A</v>
      </c>
      <c r="X16" s="202" t="e">
        <f aca="false">IF($A17="","",(U16+S16+H16+V16))</f>
        <v>#N/A</v>
      </c>
      <c r="Y16" s="202"/>
      <c r="Z16" s="185" t="e">
        <f aca="false">IF($A17="","",VLOOKUP($A16,Table,MATCH(Z$4,Curves,0)))</f>
        <v>#N/A</v>
      </c>
      <c r="AA16" s="185" t="e">
        <f aca="false">IF($A17="","",VLOOKUP($A16,Table,MATCH(AA$4,Curves,0)))</f>
        <v>#N/A</v>
      </c>
      <c r="AB16" s="185" t="e">
        <f aca="false">SQRT((AA16^2*(A16-$D$3)+Z16^2*(DAY(EOMONTH(A16,0))/2))/AK16)</f>
        <v>#N/A</v>
      </c>
      <c r="AC16" s="185" t="e">
        <f aca="false">IF($A17="","",VLOOKUP($A16,Table,MATCH(AC$4,Curves,0)))</f>
        <v>#N/A</v>
      </c>
      <c r="AD16" s="185" t="e">
        <f aca="false">IF($A17="","",VLOOKUP($A16,Table,MATCH(AD$4,Curves,0)))</f>
        <v>#N/A</v>
      </c>
      <c r="AE16" s="185" t="e">
        <f aca="false">SQRT((AD16^2*(A16-$D$3)+AC16^2*(DAY(EOMONTH(A16,0))/2))/AK16)</f>
        <v>#N/A</v>
      </c>
      <c r="AF16" s="224" t="e">
        <f aca="false">((Summary!$N$14*(AA16*AD16)*(A16-$D$3))+(Summary!$M$14*Z16*AC16*(AJ16-EOMONTH(EDATE(A16,-1),0))))/(AK16*AB16*AE16)</f>
        <v>#N/A</v>
      </c>
      <c r="AG16" s="207" t="n">
        <f aca="false">IF($A17="","",Summary!$Q$14)</f>
        <v>0</v>
      </c>
      <c r="AH16" s="207" t="n">
        <f aca="false">IF($A17="","",IF(Summary!$R$12="Y",(VLOOKUP($A16,Summary!$AD$6:$AF$9,3)+'Escalating commodity'!J29),'Escalating commodity'!J29))</f>
        <v>0.0036970217296</v>
      </c>
      <c r="AI16" s="207" t="n">
        <f aca="false">IF($A17="","",AH16)</f>
        <v>0.0036970217296</v>
      </c>
      <c r="AJ16" s="208" t="n">
        <f aca="false">A16+DAY(EOMONTH(A16,0))/2-1</f>
        <v>37240.5</v>
      </c>
      <c r="AK16" s="209" t="n">
        <f aca="false">IF($A17="","",$A16-$E$1)</f>
        <v>-8700</v>
      </c>
      <c r="AL16" s="182" t="e">
        <f aca="false">IF($A17="","",SPRDOPT(P16,X16,AI16,0,AB16,AE16,AF16,AK16,$AJ$2,0))</f>
        <v>#NAME?</v>
      </c>
      <c r="AM16" s="211" t="e">
        <f aca="false">IF($A17="","",MAX(0,O16-W16-AI16))</f>
        <v>#N/A</v>
      </c>
      <c r="AN16" s="211" t="e">
        <f aca="false">IF($A17="","",AL16-AM16)</f>
        <v>#N/A</v>
      </c>
      <c r="AO16" s="137" t="n">
        <f aca="false">IF(A17="","",A17-A16)</f>
        <v>31</v>
      </c>
      <c r="AP16" s="212" t="n">
        <f aca="false">IF(A17="","",CHOOSE(F$3,A17+24,A16))</f>
        <v>37226</v>
      </c>
      <c r="AQ16" s="209" t="n">
        <f aca="false">IF(A17="","",AP16-$E$1)</f>
        <v>-8700</v>
      </c>
      <c r="AR16" s="185" t="n">
        <f aca="false">'ANR OK vs ML7'!AR16</f>
        <v>0.1</v>
      </c>
      <c r="AS16" s="213" t="n">
        <f aca="false">IF(A17="","",1/(1+CHOOSE(F$3,(AR17+($I$3/10000))/2,(AR16+($I$3/10000))/2))^(2*AQ16/365.25))</f>
        <v>10.2194758333174</v>
      </c>
      <c r="AT16" s="137" t="n">
        <f aca="false">IF(A17="","",IF(AND(mthbeg&lt;=A16,mthend&gt;=A16),1,0))</f>
        <v>1</v>
      </c>
      <c r="AU16" s="137" t="n">
        <f aca="false">IF(A17="","",AO16*AT16)</f>
        <v>31</v>
      </c>
      <c r="AW16" s="195" t="e">
        <f aca="false">IF($A17="","",AL16*$E16)</f>
        <v>#NAME?</v>
      </c>
      <c r="AX16" s="195" t="e">
        <f aca="false">IF($A17="","",AM16*$E16)</f>
        <v>#N/A</v>
      </c>
      <c r="AY16" s="195" t="e">
        <f aca="false">IF($A17="","",AN16*$E16)</f>
        <v>#N/A</v>
      </c>
      <c r="BA16" s="195" t="n">
        <f aca="false">IF($A17="","",F16*Summary!$Q$14)</f>
        <v>0</v>
      </c>
      <c r="BC16" s="179" t="e">
        <f aca="false">IF(A17="","",AM16*F16)</f>
        <v>#N/A</v>
      </c>
    </row>
    <row r="17" customFormat="false" ht="12.75" hidden="false" customHeight="false" outlineLevel="0" collapsed="false">
      <c r="A17" s="196" t="n">
        <f aca="false">IF(A16&lt;mthend,EDATE(A16,1),"")</f>
        <v>37257</v>
      </c>
      <c r="B17" s="197" t="n">
        <f aca="false">IF(A17&lt;mthend,B16,"")</f>
        <v>28400</v>
      </c>
      <c r="C17" s="215"/>
      <c r="D17" s="197" t="n">
        <f aca="false">IF(A18&lt;&gt;"",B17+C17,"")</f>
        <v>28400</v>
      </c>
      <c r="E17" s="199" t="n">
        <f aca="false">IF(A18="","",IF(AND(AT17=1,$H$3=1),D17*AO17,IF($H$3=2,D17,"N/A")))</f>
        <v>880400</v>
      </c>
      <c r="F17" s="199" t="n">
        <f aca="false">IF(A18="","",E17*AS17)</f>
        <v>8923019.46238725</v>
      </c>
      <c r="G17" s="200" t="e">
        <f aca="false">IF($A18="","",VLOOKUP($A17,Table,MATCH(G$4,Curves,0)))</f>
        <v>#N/A</v>
      </c>
      <c r="H17" s="201" t="e">
        <f aca="false">IF(A18="","",G17)</f>
        <v>#N/A</v>
      </c>
      <c r="I17" s="202"/>
      <c r="J17" s="200" t="e">
        <f aca="false">IF($A18="","",VLOOKUP($A17,Table,MATCH(J$4,Curves,0)))</f>
        <v>#N/A</v>
      </c>
      <c r="K17" s="201" t="e">
        <f aca="false">IF(A18="","",J17)</f>
        <v>#N/A</v>
      </c>
      <c r="L17" s="185" t="n">
        <v>0</v>
      </c>
      <c r="M17" s="201" t="n">
        <f aca="false">IF(A18="","",L17)</f>
        <v>0</v>
      </c>
      <c r="N17" s="203"/>
      <c r="O17" s="200" t="e">
        <f aca="false">IF(A18="","",L17+J17+G17)</f>
        <v>#N/A</v>
      </c>
      <c r="P17" s="200" t="e">
        <f aca="false">IF(A18="","",M17+K17+H17)</f>
        <v>#N/A</v>
      </c>
      <c r="Q17" s="204"/>
      <c r="R17" s="200" t="e">
        <f aca="false">IF($A18="","",VLOOKUP($A17,Table,MATCH(R$4,Curves,0)))</f>
        <v>#N/A</v>
      </c>
      <c r="S17" s="201" t="e">
        <f aca="false">IF(A18="","",R17)</f>
        <v>#N/A</v>
      </c>
      <c r="T17" s="200" t="e">
        <f aca="false">IF($A18="","",VLOOKUP($A17,Table,MATCH(T$4,Curves,0)))</f>
        <v>#N/A</v>
      </c>
      <c r="U17" s="201" t="e">
        <f aca="false">IF(A18="","",T17)</f>
        <v>#N/A</v>
      </c>
      <c r="V17" s="183" t="e">
        <f aca="false">IF($A18="","",IF(AND(MONTH(A17)&gt;3,MONTH(A17)&lt;11),(T17+R17+G17)*(((1/(1-Summary!$T$14))/(1-Summary!$W$14))-1),(T17+R17+G17)*((1/(1-Summary!$U$14))/(1-Summary!$X$14)-1)))</f>
        <v>#N/A</v>
      </c>
      <c r="W17" s="202" t="e">
        <f aca="false">IF($A18="","",(T17+R17+G17+V17))</f>
        <v>#N/A</v>
      </c>
      <c r="X17" s="202" t="e">
        <f aca="false">IF($A18="","",(U17+S17+H17+V17))</f>
        <v>#N/A</v>
      </c>
      <c r="Y17" s="202"/>
      <c r="Z17" s="185" t="e">
        <f aca="false">IF($A18="","",VLOOKUP($A17,Table,MATCH(Z$4,Curves,0)))</f>
        <v>#N/A</v>
      </c>
      <c r="AA17" s="185" t="e">
        <f aca="false">IF($A18="","",VLOOKUP($A17,Table,MATCH(AA$4,Curves,0)))</f>
        <v>#N/A</v>
      </c>
      <c r="AB17" s="185" t="e">
        <f aca="false">SQRT((AA17^2*(A17-$D$3)+Z17^2*(DAY(EOMONTH(A17,0))/2))/AK17)</f>
        <v>#N/A</v>
      </c>
      <c r="AC17" s="185" t="e">
        <f aca="false">IF($A18="","",VLOOKUP($A17,Table,MATCH(AC$4,Curves,0)))</f>
        <v>#N/A</v>
      </c>
      <c r="AD17" s="185" t="e">
        <f aca="false">IF($A18="","",VLOOKUP($A17,Table,MATCH(AD$4,Curves,0)))</f>
        <v>#N/A</v>
      </c>
      <c r="AE17" s="185" t="e">
        <f aca="false">SQRT((AD17^2*(A17-$D$3)+AC17^2*(DAY(EOMONTH(A17,0))/2))/AK17)</f>
        <v>#N/A</v>
      </c>
      <c r="AF17" s="224" t="e">
        <f aca="false">((Summary!$N$14*(AA17*AD17)*(A17-$D$3))+(Summary!$M$14*Z17*AC17*(AJ17-EOMONTH(EDATE(A17,-1),0))))/(AK17*AB17*AE17)</f>
        <v>#N/A</v>
      </c>
      <c r="AG17" s="207" t="n">
        <f aca="false">IF($A18="","",Summary!$Q$14)</f>
        <v>0</v>
      </c>
      <c r="AH17" s="207" t="n">
        <f aca="false">IF($A18="","",IF(Summary!$R$12="Y",(VLOOKUP($A17,Summary!$AD$6:$AF$9,3)+'Escalating commodity'!J30),'Escalating commodity'!J30))</f>
        <v>0.0038892668595392</v>
      </c>
      <c r="AI17" s="207" t="n">
        <f aca="false">IF($A18="","",AH17)</f>
        <v>0.0038892668595392</v>
      </c>
      <c r="AJ17" s="208" t="n">
        <f aca="false">A17+DAY(EOMONTH(A17,0))/2-1</f>
        <v>37271.5</v>
      </c>
      <c r="AK17" s="209" t="n">
        <f aca="false">IF($A18="","",$A17-$E$1)</f>
        <v>-8669</v>
      </c>
      <c r="AL17" s="182" t="e">
        <f aca="false">IF($A18="","",SPRDOPT(P17,X17,AI17,0,AB17,AE17,AF17,AK17,$AJ$2,0))</f>
        <v>#NAME?</v>
      </c>
      <c r="AM17" s="211" t="e">
        <f aca="false">IF($A18="","",MAX(0,O17-W17-AI17))</f>
        <v>#N/A</v>
      </c>
      <c r="AN17" s="211" t="e">
        <f aca="false">IF($A18="","",AL17-AM17)</f>
        <v>#N/A</v>
      </c>
      <c r="AO17" s="137" t="n">
        <f aca="false">IF(A18="","",A18-A17)</f>
        <v>31</v>
      </c>
      <c r="AP17" s="212" t="n">
        <f aca="false">IF(A18="","",CHOOSE(F$3,A18+24,A17))</f>
        <v>37257</v>
      </c>
      <c r="AQ17" s="209" t="n">
        <f aca="false">IF(A18="","",AP17-$E$1)</f>
        <v>-8669</v>
      </c>
      <c r="AR17" s="185" t="n">
        <f aca="false">'ANR OK vs ML7'!AR17</f>
        <v>0.1</v>
      </c>
      <c r="AS17" s="213" t="n">
        <f aca="false">IF(A18="","",1/(1+CHOOSE(F$3,(AR18+($I$3/10000))/2,(AR17+($I$3/10000))/2))^(2*AQ17/365.25))</f>
        <v>10.1351879400128</v>
      </c>
      <c r="AT17" s="137" t="n">
        <f aca="false">IF(A18="","",IF(AND(mthbeg&lt;=A17,mthend&gt;=A17),1,0))</f>
        <v>1</v>
      </c>
      <c r="AU17" s="137" t="n">
        <f aca="false">IF(A18="","",AO17*AT17)</f>
        <v>31</v>
      </c>
      <c r="AW17" s="195" t="e">
        <f aca="false">IF($A18="","",AL17*$E17)</f>
        <v>#NAME?</v>
      </c>
      <c r="AX17" s="195" t="e">
        <f aca="false">IF($A18="","",AM17*$E17)</f>
        <v>#N/A</v>
      </c>
      <c r="AY17" s="195" t="e">
        <f aca="false">IF($A18="","",AN17*$E17)</f>
        <v>#N/A</v>
      </c>
      <c r="BA17" s="195" t="n">
        <f aca="false">IF($A18="","",F17*Summary!$Q$14)</f>
        <v>0</v>
      </c>
      <c r="BC17" s="179" t="e">
        <f aca="false">IF(A18="","",AM17*F17)</f>
        <v>#N/A</v>
      </c>
    </row>
    <row r="18" customFormat="false" ht="12.75" hidden="false" customHeight="false" outlineLevel="0" collapsed="false">
      <c r="A18" s="196" t="n">
        <f aca="false">IF(A17&lt;mthend,EDATE(A17,1),"")</f>
        <v>37288</v>
      </c>
      <c r="B18" s="197" t="n">
        <f aca="false">IF(A18&lt;mthend,B17,"")</f>
        <v>28400</v>
      </c>
      <c r="C18" s="215"/>
      <c r="D18" s="197" t="n">
        <f aca="false">IF(A19&lt;&gt;"",B18+C18,"")</f>
        <v>28400</v>
      </c>
      <c r="E18" s="199" t="n">
        <f aca="false">IF(A19="","",IF(AND(AT18=1,$H$3=1),D18*AO18,IF($H$3=2,D18,"N/A")))</f>
        <v>795200</v>
      </c>
      <c r="F18" s="199" t="n">
        <f aca="false">IF(A19="","",E18*AS18)</f>
        <v>7993028.53001681</v>
      </c>
      <c r="G18" s="200" t="e">
        <f aca="false">IF($A19="","",VLOOKUP($A18,Table,MATCH(G$4,Curves,0)))</f>
        <v>#N/A</v>
      </c>
      <c r="H18" s="201" t="e">
        <f aca="false">IF(A19="","",G18)</f>
        <v>#N/A</v>
      </c>
      <c r="I18" s="202"/>
      <c r="J18" s="200" t="e">
        <f aca="false">IF($A19="","",VLOOKUP($A18,Table,MATCH(J$4,Curves,0)))</f>
        <v>#N/A</v>
      </c>
      <c r="K18" s="201" t="e">
        <f aca="false">IF(A19="","",J18)</f>
        <v>#N/A</v>
      </c>
      <c r="L18" s="185" t="n">
        <v>0</v>
      </c>
      <c r="M18" s="201" t="n">
        <f aca="false">IF(A19="","",L18)</f>
        <v>0</v>
      </c>
      <c r="N18" s="203"/>
      <c r="O18" s="200" t="e">
        <f aca="false">IF(A19="","",L18+J18+G18)</f>
        <v>#N/A</v>
      </c>
      <c r="P18" s="200" t="e">
        <f aca="false">IF(A19="","",M18+K18+H18)</f>
        <v>#N/A</v>
      </c>
      <c r="Q18" s="204"/>
      <c r="R18" s="200" t="e">
        <f aca="false">IF($A19="","",VLOOKUP($A18,Table,MATCH(R$4,Curves,0)))</f>
        <v>#N/A</v>
      </c>
      <c r="S18" s="201" t="e">
        <f aca="false">IF(A19="","",R18)</f>
        <v>#N/A</v>
      </c>
      <c r="T18" s="200" t="e">
        <f aca="false">IF($A19="","",VLOOKUP($A18,Table,MATCH(T$4,Curves,0)))</f>
        <v>#N/A</v>
      </c>
      <c r="U18" s="201" t="e">
        <f aca="false">IF(A19="","",T18)</f>
        <v>#N/A</v>
      </c>
      <c r="V18" s="183" t="e">
        <f aca="false">IF($A19="","",IF(AND(MONTH(A18)&gt;3,MONTH(A18)&lt;11),(T18+R18+G18)*(((1/(1-Summary!$T$14))/(1-Summary!$W$14))-1),(T18+R18+G18)*((1/(1-Summary!$U$14))/(1-Summary!$X$14)-1)))</f>
        <v>#N/A</v>
      </c>
      <c r="W18" s="202" t="e">
        <f aca="false">IF($A19="","",(T18+R18+G18+V18))</f>
        <v>#N/A</v>
      </c>
      <c r="X18" s="202" t="e">
        <f aca="false">IF($A19="","",(U18+S18+H18+V18))</f>
        <v>#N/A</v>
      </c>
      <c r="Y18" s="202"/>
      <c r="Z18" s="185" t="e">
        <f aca="false">IF($A19="","",VLOOKUP($A18,Table,MATCH(Z$4,Curves,0)))</f>
        <v>#N/A</v>
      </c>
      <c r="AA18" s="185" t="e">
        <f aca="false">IF($A19="","",VLOOKUP($A18,Table,MATCH(AA$4,Curves,0)))</f>
        <v>#N/A</v>
      </c>
      <c r="AB18" s="185" t="e">
        <f aca="false">SQRT((AA18^2*(A18-$D$3)+Z18^2*(DAY(EOMONTH(A18,0))/2))/AK18)</f>
        <v>#N/A</v>
      </c>
      <c r="AC18" s="185" t="e">
        <f aca="false">IF($A19="","",VLOOKUP($A18,Table,MATCH(AC$4,Curves,0)))</f>
        <v>#N/A</v>
      </c>
      <c r="AD18" s="185" t="e">
        <f aca="false">IF($A19="","",VLOOKUP($A18,Table,MATCH(AD$4,Curves,0)))</f>
        <v>#N/A</v>
      </c>
      <c r="AE18" s="185" t="e">
        <f aca="false">SQRT((AD18^2*(A18-$D$3)+AC18^2*(DAY(EOMONTH(A18,0))/2))/AK18)</f>
        <v>#N/A</v>
      </c>
      <c r="AF18" s="224" t="e">
        <f aca="false">((Summary!$N$14*(AA18*AD18)*(A18-$D$3))+(Summary!$M$14*Z18*AC18*(AJ18-EOMONTH(EDATE(A18,-1),0))))/(AK18*AB18*AE18)</f>
        <v>#N/A</v>
      </c>
      <c r="AG18" s="207" t="n">
        <f aca="false">IF($A19="","",Summary!$Q$14)</f>
        <v>0</v>
      </c>
      <c r="AH18" s="207" t="n">
        <f aca="false">IF($A19="","",IF(Summary!$R$12="Y",(VLOOKUP($A18,Summary!$AD$6:$AF$9,3)+'Escalating commodity'!J31),'Escalating commodity'!J31))</f>
        <v>0.0038892668595392</v>
      </c>
      <c r="AI18" s="207" t="n">
        <f aca="false">IF($A19="","",AH18)</f>
        <v>0.0038892668595392</v>
      </c>
      <c r="AJ18" s="208" t="n">
        <f aca="false">A18+DAY(EOMONTH(A18,0))/2-1</f>
        <v>37301</v>
      </c>
      <c r="AK18" s="209" t="n">
        <f aca="false">IF($A19="","",$A18-$E$1)</f>
        <v>-8638</v>
      </c>
      <c r="AL18" s="182" t="e">
        <f aca="false">IF($A19="","",SPRDOPT(P18,X18,AI18,0,AB18,AE18,AF18,AK18,$AJ$2,0))</f>
        <v>#NAME?</v>
      </c>
      <c r="AM18" s="211" t="e">
        <f aca="false">IF($A19="","",MAX(0,O18-W18-AI18))</f>
        <v>#N/A</v>
      </c>
      <c r="AN18" s="211" t="e">
        <f aca="false">IF($A19="","",AL18-AM18)</f>
        <v>#N/A</v>
      </c>
      <c r="AO18" s="137" t="n">
        <f aca="false">IF(A19="","",A19-A18)</f>
        <v>28</v>
      </c>
      <c r="AP18" s="212" t="n">
        <f aca="false">IF(A19="","",CHOOSE(F$3,A19+24,A18))</f>
        <v>37288</v>
      </c>
      <c r="AQ18" s="209" t="n">
        <f aca="false">IF(A19="","",AP18-$E$1)</f>
        <v>-8638</v>
      </c>
      <c r="AR18" s="185" t="n">
        <f aca="false">'ANR OK vs ML7'!AR18</f>
        <v>0.1</v>
      </c>
      <c r="AS18" s="213" t="n">
        <f aca="false">IF(A19="","",1/(1+CHOOSE(F$3,(AR19+($I$3/10000))/2,(AR18+($I$3/10000))/2))^(2*AQ18/365.25))</f>
        <v>10.0515952339246</v>
      </c>
      <c r="AT18" s="137" t="n">
        <f aca="false">IF(A19="","",IF(AND(mthbeg&lt;=A18,mthend&gt;=A18),1,0))</f>
        <v>1</v>
      </c>
      <c r="AU18" s="137" t="n">
        <f aca="false">IF(A19="","",AO18*AT18)</f>
        <v>28</v>
      </c>
      <c r="AW18" s="195" t="e">
        <f aca="false">IF($A19="","",AL18*$E18)</f>
        <v>#NAME?</v>
      </c>
      <c r="AX18" s="195" t="e">
        <f aca="false">IF($A19="","",AM18*$E18)</f>
        <v>#N/A</v>
      </c>
      <c r="AY18" s="195" t="e">
        <f aca="false">IF($A19="","",AN18*$E18)</f>
        <v>#N/A</v>
      </c>
      <c r="BA18" s="195" t="n">
        <f aca="false">IF($A19="","",F18*Summary!$Q$14)</f>
        <v>0</v>
      </c>
      <c r="BC18" s="179" t="e">
        <f aca="false">IF(A19="","",AM18*F18)</f>
        <v>#N/A</v>
      </c>
    </row>
    <row r="19" customFormat="false" ht="12.75" hidden="false" customHeight="false" outlineLevel="0" collapsed="false">
      <c r="A19" s="196" t="n">
        <f aca="false">IF(A18&lt;mthend,EDATE(A18,1),"")</f>
        <v>37316</v>
      </c>
      <c r="B19" s="197" t="n">
        <f aca="false">IF(A19&lt;mthend,B18,"")</f>
        <v>28400</v>
      </c>
      <c r="C19" s="215"/>
      <c r="D19" s="197" t="n">
        <f aca="false">IF(A20&lt;&gt;"",B19+C19,"")</f>
        <v>28400</v>
      </c>
      <c r="E19" s="199" t="n">
        <f aca="false">IF(A20="","",IF(AND(AT19=1,$H$3=1),D19*AO19,IF($H$3=2,D19,"N/A")))</f>
        <v>880400</v>
      </c>
      <c r="F19" s="199" t="n">
        <f aca="false">IF(A20="","",E19*AS19)</f>
        <v>8783473.38819979</v>
      </c>
      <c r="G19" s="200" t="e">
        <f aca="false">IF($A20="","",VLOOKUP($A19,Table,MATCH(G$4,Curves,0)))</f>
        <v>#N/A</v>
      </c>
      <c r="H19" s="201" t="e">
        <f aca="false">IF(A20="","",G19)</f>
        <v>#N/A</v>
      </c>
      <c r="I19" s="202"/>
      <c r="J19" s="200" t="e">
        <f aca="false">IF($A20="","",VLOOKUP($A19,Table,MATCH(J$4,Curves,0)))</f>
        <v>#N/A</v>
      </c>
      <c r="K19" s="201" t="e">
        <f aca="false">IF(A20="","",J19)</f>
        <v>#N/A</v>
      </c>
      <c r="L19" s="185" t="n">
        <v>0</v>
      </c>
      <c r="M19" s="201" t="n">
        <f aca="false">IF(A20="","",L19)</f>
        <v>0</v>
      </c>
      <c r="N19" s="203"/>
      <c r="O19" s="200" t="e">
        <f aca="false">IF(A20="","",L19+J19+G19)</f>
        <v>#N/A</v>
      </c>
      <c r="P19" s="200" t="e">
        <f aca="false">IF(A20="","",M19+K19+H19)</f>
        <v>#N/A</v>
      </c>
      <c r="Q19" s="204"/>
      <c r="R19" s="200" t="e">
        <f aca="false">IF($A20="","",VLOOKUP($A19,Table,MATCH(R$4,Curves,0)))</f>
        <v>#N/A</v>
      </c>
      <c r="S19" s="201" t="e">
        <f aca="false">IF(A20="","",R19)</f>
        <v>#N/A</v>
      </c>
      <c r="T19" s="200" t="e">
        <f aca="false">IF($A20="","",VLOOKUP($A19,Table,MATCH(T$4,Curves,0)))</f>
        <v>#N/A</v>
      </c>
      <c r="U19" s="201" t="e">
        <f aca="false">IF(A20="","",T19)</f>
        <v>#N/A</v>
      </c>
      <c r="V19" s="183" t="e">
        <f aca="false">IF($A20="","",IF(AND(MONTH(A19)&gt;3,MONTH(A19)&lt;11),(T19+R19+G19)*(((1/(1-Summary!$T$14))/(1-Summary!$W$14))-1),(T19+R19+G19)*((1/(1-Summary!$U$14))/(1-Summary!$X$14)-1)))</f>
        <v>#N/A</v>
      </c>
      <c r="W19" s="202" t="e">
        <f aca="false">IF($A20="","",(T19+R19+G19+V19))</f>
        <v>#N/A</v>
      </c>
      <c r="X19" s="202" t="e">
        <f aca="false">IF($A20="","",(U19+S19+H19+V19))</f>
        <v>#N/A</v>
      </c>
      <c r="Y19" s="202"/>
      <c r="Z19" s="185" t="e">
        <f aca="false">IF($A20="","",VLOOKUP($A19,Table,MATCH(Z$4,Curves,0)))</f>
        <v>#N/A</v>
      </c>
      <c r="AA19" s="185" t="e">
        <f aca="false">IF($A20="","",VLOOKUP($A19,Table,MATCH(AA$4,Curves,0)))</f>
        <v>#N/A</v>
      </c>
      <c r="AB19" s="185" t="e">
        <f aca="false">SQRT((AA19^2*(A19-$D$3)+Z19^2*(DAY(EOMONTH(A19,0))/2))/AK19)</f>
        <v>#N/A</v>
      </c>
      <c r="AC19" s="185" t="e">
        <f aca="false">IF($A20="","",VLOOKUP($A19,Table,MATCH(AC$4,Curves,0)))</f>
        <v>#N/A</v>
      </c>
      <c r="AD19" s="185" t="e">
        <f aca="false">IF($A20="","",VLOOKUP($A19,Table,MATCH(AD$4,Curves,0)))</f>
        <v>#N/A</v>
      </c>
      <c r="AE19" s="185" t="e">
        <f aca="false">SQRT((AD19^2*(A19-$D$3)+AC19^2*(DAY(EOMONTH(A19,0))/2))/AK19)</f>
        <v>#N/A</v>
      </c>
      <c r="AF19" s="224" t="e">
        <f aca="false">((Summary!$N$14*(AA19*AD19)*(A19-$D$3))+(Summary!$M$14*Z19*AC19*(AJ19-EOMONTH(EDATE(A19,-1),0))))/(AK19*AB19*AE19)</f>
        <v>#N/A</v>
      </c>
      <c r="AG19" s="207" t="n">
        <f aca="false">IF($A20="","",Summary!$Q$14)</f>
        <v>0</v>
      </c>
      <c r="AH19" s="207" t="n">
        <f aca="false">IF($A20="","",IF(Summary!$R$12="Y",(VLOOKUP($A19,Summary!$AD$6:$AF$9,3)+'Escalating commodity'!J32),'Escalating commodity'!J32))</f>
        <v>0.0038892668595392</v>
      </c>
      <c r="AI19" s="207" t="n">
        <f aca="false">IF($A20="","",AH19)</f>
        <v>0.0038892668595392</v>
      </c>
      <c r="AJ19" s="208" t="n">
        <f aca="false">A19+DAY(EOMONTH(A19,0))/2-1</f>
        <v>37330.5</v>
      </c>
      <c r="AK19" s="209" t="n">
        <f aca="false">IF($A20="","",$A19-$E$1)</f>
        <v>-8610</v>
      </c>
      <c r="AL19" s="182" t="e">
        <f aca="false">IF($A20="","",SPRDOPT(P19,X19,AI19,0,AB19,AE19,AF19,AK19,$AJ$2,0))</f>
        <v>#NAME?</v>
      </c>
      <c r="AM19" s="211" t="e">
        <f aca="false">IF($A20="","",MAX(0,O19-W19-AI19))</f>
        <v>#N/A</v>
      </c>
      <c r="AN19" s="211" t="e">
        <f aca="false">IF($A20="","",AL19-AM19)</f>
        <v>#N/A</v>
      </c>
      <c r="AO19" s="137" t="n">
        <f aca="false">IF(A20="","",A20-A19)</f>
        <v>31</v>
      </c>
      <c r="AP19" s="212" t="n">
        <f aca="false">IF(A20="","",CHOOSE(F$3,A20+24,A19))</f>
        <v>37316</v>
      </c>
      <c r="AQ19" s="209" t="n">
        <f aca="false">IF(A20="","",AP19-$E$1)</f>
        <v>-8610</v>
      </c>
      <c r="AR19" s="185" t="n">
        <f aca="false">'ANR OK vs ML7'!AR19</f>
        <v>0.1</v>
      </c>
      <c r="AS19" s="213" t="n">
        <f aca="false">IF(A20="","",1/(1+CHOOSE(F$3,(AR20+($I$3/10000))/2,(AR19+($I$3/10000))/2))^(2*AQ19/365.25))</f>
        <v>9.97668490254406</v>
      </c>
      <c r="AT19" s="137" t="n">
        <f aca="false">IF(A20="","",IF(AND(mthbeg&lt;=A19,mthend&gt;=A19),1,0))</f>
        <v>1</v>
      </c>
      <c r="AU19" s="137" t="n">
        <f aca="false">IF(A20="","",AO19*AT19)</f>
        <v>31</v>
      </c>
      <c r="AW19" s="195" t="e">
        <f aca="false">IF($A20="","",AL19*$E19)</f>
        <v>#NAME?</v>
      </c>
      <c r="AX19" s="195" t="e">
        <f aca="false">IF($A20="","",AM19*$E19)</f>
        <v>#N/A</v>
      </c>
      <c r="AY19" s="195" t="e">
        <f aca="false">IF($A20="","",AN19*$E19)</f>
        <v>#N/A</v>
      </c>
      <c r="BA19" s="195" t="n">
        <f aca="false">IF($A20="","",F19*Summary!$Q$14)</f>
        <v>0</v>
      </c>
      <c r="BC19" s="179" t="e">
        <f aca="false">IF(A20="","",AM19*F19)</f>
        <v>#N/A</v>
      </c>
    </row>
    <row r="20" customFormat="false" ht="12.75" hidden="false" customHeight="false" outlineLevel="0" collapsed="false">
      <c r="A20" s="196" t="n">
        <f aca="false">IF(A19&lt;mthend,EDATE(A19,1),"")</f>
        <v>37347</v>
      </c>
      <c r="B20" s="197" t="n">
        <f aca="false">IF(A20&lt;mthend,B19,"")</f>
        <v>28400</v>
      </c>
      <c r="C20" s="215"/>
      <c r="D20" s="197" t="n">
        <f aca="false">IF(A21&lt;&gt;"",B20+C20,"")</f>
        <v>28400</v>
      </c>
      <c r="E20" s="199" t="n">
        <f aca="false">IF(A21="","",IF(AND(AT20=1,$H$3=1),D20*AO20,IF($H$3=2,D20,"N/A")))</f>
        <v>852000</v>
      </c>
      <c r="F20" s="199" t="n">
        <f aca="false">IF(A21="","",E20*AS20)</f>
        <v>8430028.36817527</v>
      </c>
      <c r="G20" s="200" t="e">
        <f aca="false">IF($A21="","",VLOOKUP($A20,Table,MATCH(G$4,Curves,0)))</f>
        <v>#N/A</v>
      </c>
      <c r="H20" s="201" t="e">
        <f aca="false">IF(A21="","",G20)</f>
        <v>#N/A</v>
      </c>
      <c r="I20" s="202"/>
      <c r="J20" s="200" t="e">
        <f aca="false">IF($A21="","",VLOOKUP($A20,Table,MATCH(J$4,Curves,0)))</f>
        <v>#N/A</v>
      </c>
      <c r="K20" s="201" t="e">
        <f aca="false">IF(A21="","",J20)</f>
        <v>#N/A</v>
      </c>
      <c r="L20" s="185" t="n">
        <v>0</v>
      </c>
      <c r="M20" s="201" t="n">
        <f aca="false">IF(A21="","",L20)</f>
        <v>0</v>
      </c>
      <c r="N20" s="203"/>
      <c r="O20" s="200" t="e">
        <f aca="false">IF(A21="","",L20+J20+G20)</f>
        <v>#N/A</v>
      </c>
      <c r="P20" s="200" t="e">
        <f aca="false">IF(A21="","",M20+K20+H20)</f>
        <v>#N/A</v>
      </c>
      <c r="Q20" s="204"/>
      <c r="R20" s="200" t="e">
        <f aca="false">IF($A21="","",VLOOKUP($A20,Table,MATCH(R$4,Curves,0)))</f>
        <v>#N/A</v>
      </c>
      <c r="S20" s="201" t="e">
        <f aca="false">IF(A21="","",R20)</f>
        <v>#N/A</v>
      </c>
      <c r="T20" s="200" t="e">
        <f aca="false">IF($A21="","",VLOOKUP($A20,Table,MATCH(T$4,Curves,0)))</f>
        <v>#N/A</v>
      </c>
      <c r="U20" s="201" t="e">
        <f aca="false">IF(A21="","",T20)</f>
        <v>#N/A</v>
      </c>
      <c r="V20" s="183" t="e">
        <f aca="false">IF($A21="","",IF(AND(MONTH(A20)&gt;3,MONTH(A20)&lt;11),(T20+R20+G20)*(((1/(1-Summary!$T$14))/(1-Summary!$W$14))-1),(T20+R20+G20)*((1/(1-Summary!$U$14))/(1-Summary!$X$14)-1)))</f>
        <v>#N/A</v>
      </c>
      <c r="W20" s="202" t="e">
        <f aca="false">IF($A21="","",(T20+R20+G20+V20))</f>
        <v>#N/A</v>
      </c>
      <c r="X20" s="202" t="e">
        <f aca="false">IF($A21="","",(U20+S20+H20+V20))</f>
        <v>#N/A</v>
      </c>
      <c r="Y20" s="202"/>
      <c r="Z20" s="185" t="e">
        <f aca="false">IF($A21="","",VLOOKUP($A20,Table,MATCH(Z$4,Curves,0)))</f>
        <v>#N/A</v>
      </c>
      <c r="AA20" s="185" t="e">
        <f aca="false">IF($A21="","",VLOOKUP($A20,Table,MATCH(AA$4,Curves,0)))</f>
        <v>#N/A</v>
      </c>
      <c r="AB20" s="185" t="e">
        <f aca="false">SQRT((AA20^2*(A20-$D$3)+Z20^2*(DAY(EOMONTH(A20,0))/2))/AK20)</f>
        <v>#N/A</v>
      </c>
      <c r="AC20" s="185" t="e">
        <f aca="false">IF($A21="","",VLOOKUP($A20,Table,MATCH(AC$4,Curves,0)))</f>
        <v>#N/A</v>
      </c>
      <c r="AD20" s="185" t="e">
        <f aca="false">IF($A21="","",VLOOKUP($A20,Table,MATCH(AD$4,Curves,0)))</f>
        <v>#N/A</v>
      </c>
      <c r="AE20" s="185" t="e">
        <f aca="false">SQRT((AD20^2*(A20-$D$3)+AC20^2*(DAY(EOMONTH(A20,0))/2))/AK20)</f>
        <v>#N/A</v>
      </c>
      <c r="AF20" s="224" t="e">
        <f aca="false">((Summary!$N$14*(AA20*AD20)*(A20-$D$3))+(Summary!$M$14*Z20*AC20*(AJ20-EOMONTH(EDATE(A20,-1),0))))/(AK20*AB20*AE20)</f>
        <v>#N/A</v>
      </c>
      <c r="AG20" s="207" t="n">
        <f aca="false">IF($A21="","",Summary!$Q$14)</f>
        <v>0</v>
      </c>
      <c r="AH20" s="207" t="n">
        <f aca="false">IF($A21="","",IF(Summary!$R$12="Y",(VLOOKUP($A20,Summary!$AD$6:$AF$9,3)+'Escalating commodity'!J33),'Escalating commodity'!J33))</f>
        <v>0.0038892668595392</v>
      </c>
      <c r="AI20" s="207" t="n">
        <f aca="false">IF($A21="","",AH20)</f>
        <v>0.0038892668595392</v>
      </c>
      <c r="AJ20" s="208" t="n">
        <f aca="false">A20+DAY(EOMONTH(A20,0))/2-1</f>
        <v>37361</v>
      </c>
      <c r="AK20" s="209" t="n">
        <f aca="false">IF($A21="","",$A20-$E$1)</f>
        <v>-8579</v>
      </c>
      <c r="AL20" s="182" t="e">
        <f aca="false">IF($A21="","",SPRDOPT(P20,X20,AI20,0,AB20,AE20,AF20,AK20,$AJ$2,0))</f>
        <v>#NAME?</v>
      </c>
      <c r="AM20" s="211" t="e">
        <f aca="false">IF($A21="","",MAX(0,O20-W20-AI20))</f>
        <v>#N/A</v>
      </c>
      <c r="AN20" s="211" t="e">
        <f aca="false">IF($A21="","",AL20-AM20)</f>
        <v>#N/A</v>
      </c>
      <c r="AO20" s="137" t="n">
        <f aca="false">IF(A21="","",A21-A20)</f>
        <v>30</v>
      </c>
      <c r="AP20" s="212" t="n">
        <f aca="false">IF(A21="","",CHOOSE(F$3,A21+24,A20))</f>
        <v>37347</v>
      </c>
      <c r="AQ20" s="209" t="n">
        <f aca="false">IF(A21="","",AP20-$E$1)</f>
        <v>-8579</v>
      </c>
      <c r="AR20" s="185" t="n">
        <f aca="false">'ANR OK vs ML7'!AR20</f>
        <v>0.1</v>
      </c>
      <c r="AS20" s="213" t="n">
        <f aca="false">IF(A21="","",1/(1+CHOOSE(F$3,(AR21+($I$3/10000))/2,(AR20+($I$3/10000))/2))^(2*AQ20/365.25))</f>
        <v>9.89439949316346</v>
      </c>
      <c r="AT20" s="137" t="n">
        <f aca="false">IF(A21="","",IF(AND(mthbeg&lt;=A20,mthend&gt;=A20),1,0))</f>
        <v>1</v>
      </c>
      <c r="AU20" s="137" t="n">
        <f aca="false">IF(A21="","",AO20*AT20)</f>
        <v>30</v>
      </c>
      <c r="AW20" s="195" t="e">
        <f aca="false">IF($A21="","",AL20*$E20)</f>
        <v>#NAME?</v>
      </c>
      <c r="AX20" s="195" t="e">
        <f aca="false">IF($A21="","",AM20*$E20)</f>
        <v>#N/A</v>
      </c>
      <c r="AY20" s="195" t="e">
        <f aca="false">IF($A21="","",AN20*$E20)</f>
        <v>#N/A</v>
      </c>
      <c r="BA20" s="195" t="n">
        <f aca="false">IF($A21="","",F20*Summary!$Q$14)</f>
        <v>0</v>
      </c>
      <c r="BC20" s="179" t="e">
        <f aca="false">IF(A21="","",AM20*F20)</f>
        <v>#N/A</v>
      </c>
    </row>
    <row r="21" customFormat="false" ht="12.75" hidden="false" customHeight="false" outlineLevel="0" collapsed="false">
      <c r="A21" s="196" t="n">
        <f aca="false">IF(A20&lt;mthend,EDATE(A20,1),"")</f>
        <v>37377</v>
      </c>
      <c r="B21" s="197" t="n">
        <f aca="false">IF(A21&lt;mthend,B20,"")</f>
        <v>28400</v>
      </c>
      <c r="C21" s="215"/>
      <c r="D21" s="197" t="n">
        <f aca="false">IF(A22&lt;&gt;"",B21+C21,"")</f>
        <v>28400</v>
      </c>
      <c r="E21" s="199" t="n">
        <f aca="false">IF(A22="","",IF(AND(AT21=1,$H$3=1),D21*AO21,IF($H$3=2,D21,"N/A")))</f>
        <v>880400</v>
      </c>
      <c r="F21" s="199" t="n">
        <f aca="false">IF(A22="","",E21*AS21)</f>
        <v>8641491.09714669</v>
      </c>
      <c r="G21" s="200" t="e">
        <f aca="false">IF($A22="","",VLOOKUP($A21,Table,MATCH(G$4,Curves,0)))</f>
        <v>#N/A</v>
      </c>
      <c r="H21" s="201" t="e">
        <f aca="false">IF(A22="","",G21)</f>
        <v>#N/A</v>
      </c>
      <c r="I21" s="202"/>
      <c r="J21" s="200" t="e">
        <f aca="false">IF($A22="","",VLOOKUP($A21,Table,MATCH(J$4,Curves,0)))</f>
        <v>#N/A</v>
      </c>
      <c r="K21" s="201" t="e">
        <f aca="false">IF(A22="","",J21)</f>
        <v>#N/A</v>
      </c>
      <c r="L21" s="185" t="n">
        <v>0</v>
      </c>
      <c r="M21" s="201" t="n">
        <f aca="false">IF(A22="","",L21)</f>
        <v>0</v>
      </c>
      <c r="N21" s="203"/>
      <c r="O21" s="200" t="e">
        <f aca="false">IF(A22="","",L21+J21+G21)</f>
        <v>#N/A</v>
      </c>
      <c r="P21" s="200" t="e">
        <f aca="false">IF(A22="","",M21+K21+H21)</f>
        <v>#N/A</v>
      </c>
      <c r="Q21" s="204"/>
      <c r="R21" s="200" t="e">
        <f aca="false">IF($A22="","",VLOOKUP($A21,Table,MATCH(R$4,Curves,0)))</f>
        <v>#N/A</v>
      </c>
      <c r="S21" s="201" t="e">
        <f aca="false">IF(A22="","",R21)</f>
        <v>#N/A</v>
      </c>
      <c r="T21" s="200" t="e">
        <f aca="false">IF($A22="","",VLOOKUP($A21,Table,MATCH(T$4,Curves,0)))</f>
        <v>#N/A</v>
      </c>
      <c r="U21" s="201" t="e">
        <f aca="false">IF(A22="","",T21)</f>
        <v>#N/A</v>
      </c>
      <c r="V21" s="183" t="e">
        <f aca="false">IF($A22="","",IF(AND(MONTH(A21)&gt;3,MONTH(A21)&lt;11),(T21+R21+G21)*(((1/(1-Summary!$T$14))/(1-Summary!$W$14))-1),(T21+R21+G21)*((1/(1-Summary!$U$14))/(1-Summary!$X$14)-1)))</f>
        <v>#N/A</v>
      </c>
      <c r="W21" s="202" t="e">
        <f aca="false">IF($A22="","",(T21+R21+G21+V21))</f>
        <v>#N/A</v>
      </c>
      <c r="X21" s="202" t="e">
        <f aca="false">IF($A22="","",(U21+S21+H21+V21))</f>
        <v>#N/A</v>
      </c>
      <c r="Y21" s="202"/>
      <c r="Z21" s="185" t="e">
        <f aca="false">IF($A22="","",VLOOKUP($A21,Table,MATCH(Z$4,Curves,0)))</f>
        <v>#N/A</v>
      </c>
      <c r="AA21" s="185" t="e">
        <f aca="false">IF($A22="","",VLOOKUP($A21,Table,MATCH(AA$4,Curves,0)))</f>
        <v>#N/A</v>
      </c>
      <c r="AB21" s="185" t="e">
        <f aca="false">SQRT((AA21^2*(A21-$D$3)+Z21^2*(DAY(EOMONTH(A21,0))/2))/AK21)</f>
        <v>#N/A</v>
      </c>
      <c r="AC21" s="185" t="e">
        <f aca="false">IF($A22="","",VLOOKUP($A21,Table,MATCH(AC$4,Curves,0)))</f>
        <v>#N/A</v>
      </c>
      <c r="AD21" s="185" t="e">
        <f aca="false">IF($A22="","",VLOOKUP($A21,Table,MATCH(AD$4,Curves,0)))</f>
        <v>#N/A</v>
      </c>
      <c r="AE21" s="185" t="e">
        <f aca="false">SQRT((AD21^2*(A21-$D$3)+AC21^2*(DAY(EOMONTH(A21,0))/2))/AK21)</f>
        <v>#N/A</v>
      </c>
      <c r="AF21" s="224" t="e">
        <f aca="false">((Summary!$N$14*(AA21*AD21)*(A21-$D$3))+(Summary!$M$14*Z21*AC21*(AJ21-EOMONTH(EDATE(A21,-1),0))))/(AK21*AB21*AE21)</f>
        <v>#N/A</v>
      </c>
      <c r="AG21" s="207" t="n">
        <f aca="false">IF($A22="","",Summary!$Q$14)</f>
        <v>0</v>
      </c>
      <c r="AH21" s="207" t="n">
        <f aca="false">IF($A22="","",IF(Summary!$R$12="Y",(VLOOKUP($A21,Summary!$AD$6:$AF$9,3)+'Escalating commodity'!J34),'Escalating commodity'!J34))</f>
        <v>0.0038892668595392</v>
      </c>
      <c r="AI21" s="207" t="n">
        <f aca="false">IF($A22="","",AH21)</f>
        <v>0.0038892668595392</v>
      </c>
      <c r="AJ21" s="208" t="n">
        <f aca="false">A21+DAY(EOMONTH(A21,0))/2-1</f>
        <v>37391.5</v>
      </c>
      <c r="AK21" s="209" t="n">
        <f aca="false">IF($A22="","",$A21-$E$1)</f>
        <v>-8549</v>
      </c>
      <c r="AL21" s="182" t="e">
        <f aca="false">IF($A22="","",SPRDOPT(P21,X21,AI21,0,AB21,AE21,AF21,AK21,$AJ$2,0))</f>
        <v>#NAME?</v>
      </c>
      <c r="AM21" s="211" t="e">
        <f aca="false">IF($A22="","",MAX(0,O21-W21-AI21))</f>
        <v>#N/A</v>
      </c>
      <c r="AN21" s="211" t="e">
        <f aca="false">IF($A22="","",AL21-AM21)</f>
        <v>#N/A</v>
      </c>
      <c r="AO21" s="137" t="n">
        <f aca="false">IF(A22="","",A22-A21)</f>
        <v>31</v>
      </c>
      <c r="AP21" s="212" t="n">
        <f aca="false">IF(A22="","",CHOOSE(F$3,A22+24,A21))</f>
        <v>37377</v>
      </c>
      <c r="AQ21" s="209" t="n">
        <f aca="false">IF(A22="","",AP21-$E$1)</f>
        <v>-8549</v>
      </c>
      <c r="AR21" s="185" t="n">
        <f aca="false">'ANR OK vs ML7'!AR21</f>
        <v>0.1</v>
      </c>
      <c r="AS21" s="213" t="n">
        <f aca="false">IF(A22="","",1/(1+CHOOSE(F$3,(AR22+($I$3/10000))/2,(AR21+($I$3/10000))/2))^(2*AQ21/365.25))</f>
        <v>9.81541469462368</v>
      </c>
      <c r="AT21" s="137" t="n">
        <f aca="false">IF(A22="","",IF(AND(mthbeg&lt;=A21,mthend&gt;=A21),1,0))</f>
        <v>1</v>
      </c>
      <c r="AU21" s="137" t="n">
        <f aca="false">IF(A22="","",AO21*AT21)</f>
        <v>31</v>
      </c>
      <c r="AW21" s="195" t="e">
        <f aca="false">IF($A22="","",AL21*$E21)</f>
        <v>#NAME?</v>
      </c>
      <c r="AX21" s="195" t="e">
        <f aca="false">IF($A22="","",AM21*$E21)</f>
        <v>#N/A</v>
      </c>
      <c r="AY21" s="195" t="e">
        <f aca="false">IF($A22="","",AN21*$E21)</f>
        <v>#N/A</v>
      </c>
      <c r="BA21" s="195" t="n">
        <f aca="false">IF($A22="","",F21*Summary!$Q$14)</f>
        <v>0</v>
      </c>
      <c r="BC21" s="179" t="e">
        <f aca="false">IF(A22="","",AM21*F21)</f>
        <v>#N/A</v>
      </c>
    </row>
    <row r="22" customFormat="false" ht="12.75" hidden="false" customHeight="false" outlineLevel="0" collapsed="false">
      <c r="A22" s="196" t="n">
        <f aca="false">IF(A21&lt;mthend,EDATE(A21,1),"")</f>
        <v>37408</v>
      </c>
      <c r="B22" s="197" t="n">
        <f aca="false">IF(A22&lt;mthend,B21,"")</f>
        <v>28400</v>
      </c>
      <c r="C22" s="215"/>
      <c r="D22" s="197" t="n">
        <f aca="false">IF(A23&lt;&gt;"",B22+C22,"")</f>
        <v>28400</v>
      </c>
      <c r="E22" s="199" t="n">
        <f aca="false">IF(A23="","",IF(AND(AT22=1,$H$3=1),D22*AO22,IF($H$3=2,D22,"N/A")))</f>
        <v>852000</v>
      </c>
      <c r="F22" s="199" t="n">
        <f aca="false">IF(A23="","",E22*AS22)</f>
        <v>8293759.41300724</v>
      </c>
      <c r="G22" s="200" t="e">
        <f aca="false">IF($A23="","",VLOOKUP($A22,Table,MATCH(G$4,Curves,0)))</f>
        <v>#N/A</v>
      </c>
      <c r="H22" s="201" t="e">
        <f aca="false">IF(A23="","",G22)</f>
        <v>#N/A</v>
      </c>
      <c r="I22" s="202"/>
      <c r="J22" s="200" t="e">
        <f aca="false">IF($A23="","",VLOOKUP($A22,Table,MATCH(J$4,Curves,0)))</f>
        <v>#N/A</v>
      </c>
      <c r="K22" s="201" t="e">
        <f aca="false">IF(A23="","",J22)</f>
        <v>#N/A</v>
      </c>
      <c r="L22" s="185" t="n">
        <v>0</v>
      </c>
      <c r="M22" s="201" t="n">
        <f aca="false">IF(A23="","",L22)</f>
        <v>0</v>
      </c>
      <c r="N22" s="203"/>
      <c r="O22" s="200" t="e">
        <f aca="false">IF(A23="","",L22+J22+G22)</f>
        <v>#N/A</v>
      </c>
      <c r="P22" s="200" t="e">
        <f aca="false">IF(A23="","",M22+K22+H22)</f>
        <v>#N/A</v>
      </c>
      <c r="Q22" s="204"/>
      <c r="R22" s="200" t="e">
        <f aca="false">IF($A23="","",VLOOKUP($A22,Table,MATCH(R$4,Curves,0)))</f>
        <v>#N/A</v>
      </c>
      <c r="S22" s="201" t="e">
        <f aca="false">IF(A23="","",R22)</f>
        <v>#N/A</v>
      </c>
      <c r="T22" s="200" t="e">
        <f aca="false">IF($A23="","",VLOOKUP($A22,Table,MATCH(T$4,Curves,0)))</f>
        <v>#N/A</v>
      </c>
      <c r="U22" s="201" t="e">
        <f aca="false">IF(A23="","",T22)</f>
        <v>#N/A</v>
      </c>
      <c r="V22" s="183" t="e">
        <f aca="false">IF($A23="","",IF(AND(MONTH(A22)&gt;3,MONTH(A22)&lt;11),(T22+R22+G22)*(((1/(1-Summary!$T$14))/(1-Summary!$W$14))-1),(T22+R22+G22)*((1/(1-Summary!$U$14))/(1-Summary!$X$14)-1)))</f>
        <v>#N/A</v>
      </c>
      <c r="W22" s="202" t="e">
        <f aca="false">IF($A23="","",(T22+R22+G22+V22))</f>
        <v>#N/A</v>
      </c>
      <c r="X22" s="202" t="e">
        <f aca="false">IF($A23="","",(U22+S22+H22+V22))</f>
        <v>#N/A</v>
      </c>
      <c r="Y22" s="202"/>
      <c r="Z22" s="185" t="e">
        <f aca="false">IF($A23="","",VLOOKUP($A22,Table,MATCH(Z$4,Curves,0)))</f>
        <v>#N/A</v>
      </c>
      <c r="AA22" s="185" t="e">
        <f aca="false">IF($A23="","",VLOOKUP($A22,Table,MATCH(AA$4,Curves,0)))</f>
        <v>#N/A</v>
      </c>
      <c r="AB22" s="185" t="e">
        <f aca="false">SQRT((AA22^2*(A22-$D$3)+Z22^2*(DAY(EOMONTH(A22,0))/2))/AK22)</f>
        <v>#N/A</v>
      </c>
      <c r="AC22" s="185" t="e">
        <f aca="false">IF($A23="","",VLOOKUP($A22,Table,MATCH(AC$4,Curves,0)))</f>
        <v>#N/A</v>
      </c>
      <c r="AD22" s="185" t="e">
        <f aca="false">IF($A23="","",VLOOKUP($A22,Table,MATCH(AD$4,Curves,0)))</f>
        <v>#N/A</v>
      </c>
      <c r="AE22" s="185" t="e">
        <f aca="false">SQRT((AD22^2*(A22-$D$3)+AC22^2*(DAY(EOMONTH(A22,0))/2))/AK22)</f>
        <v>#N/A</v>
      </c>
      <c r="AF22" s="224" t="e">
        <f aca="false">((Summary!$N$14*(AA22*AD22)*(A22-$D$3))+(Summary!$M$14*Z22*AC22*(AJ22-EOMONTH(EDATE(A22,-1),0))))/(AK22*AB22*AE22)</f>
        <v>#N/A</v>
      </c>
      <c r="AG22" s="207" t="n">
        <f aca="false">IF($A23="","",Summary!$Q$14)</f>
        <v>0</v>
      </c>
      <c r="AH22" s="207" t="n">
        <f aca="false">IF($A23="","",IF(Summary!$R$12="Y",(VLOOKUP($A22,Summary!$AD$6:$AF$9,3)+'Escalating commodity'!J35),'Escalating commodity'!J35))</f>
        <v>0.0038892668595392</v>
      </c>
      <c r="AI22" s="207" t="n">
        <f aca="false">IF($A23="","",AH22)</f>
        <v>0.0038892668595392</v>
      </c>
      <c r="AJ22" s="208" t="n">
        <f aca="false">A22+DAY(EOMONTH(A22,0))/2-1</f>
        <v>37422</v>
      </c>
      <c r="AK22" s="209" t="n">
        <f aca="false">IF($A23="","",$A22-$E$1)</f>
        <v>-8518</v>
      </c>
      <c r="AL22" s="182" t="e">
        <f aca="false">IF($A23="","",SPRDOPT(P22,X22,AI22,0,AB22,AE22,AF22,AK22,$AJ$2,0))</f>
        <v>#NAME?</v>
      </c>
      <c r="AM22" s="211" t="e">
        <f aca="false">IF($A23="","",MAX(0,O22-W22-AI22))</f>
        <v>#N/A</v>
      </c>
      <c r="AN22" s="211" t="e">
        <f aca="false">IF($A23="","",AL22-AM22)</f>
        <v>#N/A</v>
      </c>
      <c r="AO22" s="137" t="n">
        <f aca="false">IF(A23="","",A23-A22)</f>
        <v>30</v>
      </c>
      <c r="AP22" s="212" t="n">
        <f aca="false">IF(A23="","",CHOOSE(F$3,A23+24,A22))</f>
        <v>37408</v>
      </c>
      <c r="AQ22" s="209" t="n">
        <f aca="false">IF(A23="","",AP22-$E$1)</f>
        <v>-8518</v>
      </c>
      <c r="AR22" s="185" t="n">
        <f aca="false">'ANR OK vs ML7'!AR22</f>
        <v>0.1</v>
      </c>
      <c r="AS22" s="213" t="n">
        <f aca="false">IF(A23="","",1/(1+CHOOSE(F$3,(AR23+($I$3/10000))/2,(AR22+($I$3/10000))/2))^(2*AQ22/365.25))</f>
        <v>9.73445940493808</v>
      </c>
      <c r="AT22" s="137" t="n">
        <f aca="false">IF(A23="","",IF(AND(mthbeg&lt;=A22,mthend&gt;=A22),1,0))</f>
        <v>1</v>
      </c>
      <c r="AU22" s="137" t="n">
        <f aca="false">IF(A23="","",AO22*AT22)</f>
        <v>30</v>
      </c>
      <c r="AW22" s="195" t="e">
        <f aca="false">IF($A23="","",AL22*$E22)</f>
        <v>#NAME?</v>
      </c>
      <c r="AX22" s="195" t="e">
        <f aca="false">IF($A23="","",AM22*$E22)</f>
        <v>#N/A</v>
      </c>
      <c r="AY22" s="195" t="e">
        <f aca="false">IF($A23="","",AN22*$E22)</f>
        <v>#N/A</v>
      </c>
      <c r="BA22" s="195" t="n">
        <f aca="false">IF($A23="","",F22*Summary!$Q$14)</f>
        <v>0</v>
      </c>
      <c r="BC22" s="179" t="e">
        <f aca="false">IF(A23="","",AM22*F22)</f>
        <v>#N/A</v>
      </c>
    </row>
    <row r="23" customFormat="false" ht="12.75" hidden="false" customHeight="false" outlineLevel="0" collapsed="false">
      <c r="A23" s="196" t="n">
        <f aca="false">IF(A22&lt;mthend,EDATE(A22,1),"")</f>
        <v>37438</v>
      </c>
      <c r="B23" s="197" t="n">
        <f aca="false">IF(A23&lt;mthend,B22,"")</f>
        <v>28400</v>
      </c>
      <c r="C23" s="215"/>
      <c r="D23" s="197" t="n">
        <f aca="false">IF(A24&lt;&gt;"",B23+C23,"")</f>
        <v>28400</v>
      </c>
      <c r="E23" s="199" t="n">
        <f aca="false">IF(A24="","",IF(AND(AT23=1,$H$3=1),D23*AO23,IF($H$3=2,D23,"N/A")))</f>
        <v>880400</v>
      </c>
      <c r="F23" s="199" t="n">
        <f aca="false">IF(A24="","",E23*AS23)</f>
        <v>8501803.90850714</v>
      </c>
      <c r="G23" s="200" t="e">
        <f aca="false">IF($A24="","",VLOOKUP($A23,Table,MATCH(G$4,Curves,0)))</f>
        <v>#N/A</v>
      </c>
      <c r="H23" s="201" t="e">
        <f aca="false">IF(A24="","",G23)</f>
        <v>#N/A</v>
      </c>
      <c r="I23" s="202"/>
      <c r="J23" s="200" t="e">
        <f aca="false">IF($A24="","",VLOOKUP($A23,Table,MATCH(J$4,Curves,0)))</f>
        <v>#N/A</v>
      </c>
      <c r="K23" s="201" t="e">
        <f aca="false">IF(A24="","",J23)</f>
        <v>#N/A</v>
      </c>
      <c r="L23" s="185" t="n">
        <v>0</v>
      </c>
      <c r="M23" s="201" t="n">
        <f aca="false">IF(A24="","",L23)</f>
        <v>0</v>
      </c>
      <c r="N23" s="203"/>
      <c r="O23" s="200" t="e">
        <f aca="false">IF(A24="","",L23+J23+G23)</f>
        <v>#N/A</v>
      </c>
      <c r="P23" s="200" t="e">
        <f aca="false">IF(A24="","",M23+K23+H23)</f>
        <v>#N/A</v>
      </c>
      <c r="Q23" s="204"/>
      <c r="R23" s="200" t="e">
        <f aca="false">IF($A24="","",VLOOKUP($A23,Table,MATCH(R$4,Curves,0)))</f>
        <v>#N/A</v>
      </c>
      <c r="S23" s="201" t="e">
        <f aca="false">IF(A24="","",R23)</f>
        <v>#N/A</v>
      </c>
      <c r="T23" s="200" t="e">
        <f aca="false">IF($A24="","",VLOOKUP($A23,Table,MATCH(T$4,Curves,0)))</f>
        <v>#N/A</v>
      </c>
      <c r="U23" s="201" t="e">
        <f aca="false">IF(A24="","",T23)</f>
        <v>#N/A</v>
      </c>
      <c r="V23" s="183" t="e">
        <f aca="false">IF($A24="","",IF(AND(MONTH(A23)&gt;3,MONTH(A23)&lt;11),(T23+R23+G23)*(((1/(1-Summary!$T$14))/(1-Summary!$W$14))-1),(T23+R23+G23)*((1/(1-Summary!$U$14))/(1-Summary!$X$14)-1)))</f>
        <v>#N/A</v>
      </c>
      <c r="W23" s="202" t="e">
        <f aca="false">IF($A24="","",(T23+R23+G23+V23))</f>
        <v>#N/A</v>
      </c>
      <c r="X23" s="202" t="e">
        <f aca="false">IF($A24="","",(U23+S23+H23+V23))</f>
        <v>#N/A</v>
      </c>
      <c r="Y23" s="202"/>
      <c r="Z23" s="185" t="e">
        <f aca="false">IF($A24="","",VLOOKUP($A23,Table,MATCH(Z$4,Curves,0)))</f>
        <v>#N/A</v>
      </c>
      <c r="AA23" s="185" t="e">
        <f aca="false">IF($A24="","",VLOOKUP($A23,Table,MATCH(AA$4,Curves,0)))</f>
        <v>#N/A</v>
      </c>
      <c r="AB23" s="185" t="e">
        <f aca="false">SQRT((AA23^2*(A23-$D$3)+Z23^2*(DAY(EOMONTH(A23,0))/2))/AK23)</f>
        <v>#N/A</v>
      </c>
      <c r="AC23" s="185" t="e">
        <f aca="false">IF($A24="","",VLOOKUP($A23,Table,MATCH(AC$4,Curves,0)))</f>
        <v>#N/A</v>
      </c>
      <c r="AD23" s="185" t="e">
        <f aca="false">IF($A24="","",VLOOKUP($A23,Table,MATCH(AD$4,Curves,0)))</f>
        <v>#N/A</v>
      </c>
      <c r="AE23" s="185" t="e">
        <f aca="false">SQRT((AD23^2*(A23-$D$3)+AC23^2*(DAY(EOMONTH(A23,0))/2))/AK23)</f>
        <v>#N/A</v>
      </c>
      <c r="AF23" s="224" t="e">
        <f aca="false">((Summary!$N$14*(AA23*AD23)*(A23-$D$3))+(Summary!$M$14*Z23*AC23*(AJ23-EOMONTH(EDATE(A23,-1),0))))/(AK23*AB23*AE23)</f>
        <v>#N/A</v>
      </c>
      <c r="AG23" s="207" t="n">
        <f aca="false">IF($A24="","",Summary!$Q$14)</f>
        <v>0</v>
      </c>
      <c r="AH23" s="207" t="n">
        <f aca="false">IF($A24="","",IF(Summary!$R$12="Y",(VLOOKUP($A23,Summary!$AD$6:$AF$9,3)+'Escalating commodity'!J36),'Escalating commodity'!J36))</f>
        <v>0.0038892668595392</v>
      </c>
      <c r="AI23" s="207" t="n">
        <f aca="false">IF($A24="","",AH23)</f>
        <v>0.0038892668595392</v>
      </c>
      <c r="AJ23" s="208" t="n">
        <f aca="false">A23+DAY(EOMONTH(A23,0))/2-1</f>
        <v>37452.5</v>
      </c>
      <c r="AK23" s="209" t="n">
        <f aca="false">IF($A24="","",$A23-$E$1)</f>
        <v>-8488</v>
      </c>
      <c r="AL23" s="182" t="e">
        <f aca="false">IF($A24="","",SPRDOPT(P23,X23,AI23,0,AB23,AE23,AF23,AK23,$AJ$2,0))</f>
        <v>#NAME?</v>
      </c>
      <c r="AM23" s="211" t="e">
        <f aca="false">IF($A24="","",MAX(0,O23-W23-AI23))</f>
        <v>#N/A</v>
      </c>
      <c r="AN23" s="211" t="e">
        <f aca="false">IF($A24="","",AL23-AM23)</f>
        <v>#N/A</v>
      </c>
      <c r="AO23" s="137" t="n">
        <f aca="false">IF(A24="","",A24-A23)</f>
        <v>31</v>
      </c>
      <c r="AP23" s="212" t="n">
        <f aca="false">IF(A24="","",CHOOSE(F$3,A24+24,A23))</f>
        <v>37438</v>
      </c>
      <c r="AQ23" s="209" t="n">
        <f aca="false">IF(A24="","",AP23-$E$1)</f>
        <v>-8488</v>
      </c>
      <c r="AR23" s="185" t="n">
        <f aca="false">'ANR OK vs ML7'!AR23</f>
        <v>0.1</v>
      </c>
      <c r="AS23" s="213" t="n">
        <f aca="false">IF(A24="","",1/(1+CHOOSE(F$3,(AR24+($I$3/10000))/2,(AR23+($I$3/10000))/2))^(2*AQ23/365.25))</f>
        <v>9.65675137267963</v>
      </c>
      <c r="AT23" s="137" t="n">
        <f aca="false">IF(A24="","",IF(AND(mthbeg&lt;=A23,mthend&gt;=A23),1,0))</f>
        <v>1</v>
      </c>
      <c r="AU23" s="137" t="n">
        <f aca="false">IF(A24="","",AO23*AT23)</f>
        <v>31</v>
      </c>
      <c r="AW23" s="195" t="e">
        <f aca="false">IF($A24="","",AL23*$E23)</f>
        <v>#NAME?</v>
      </c>
      <c r="AX23" s="195" t="e">
        <f aca="false">IF($A24="","",AM23*$E23)</f>
        <v>#N/A</v>
      </c>
      <c r="AY23" s="195" t="e">
        <f aca="false">IF($A24="","",AN23*$E23)</f>
        <v>#N/A</v>
      </c>
      <c r="BA23" s="195" t="n">
        <f aca="false">IF($A24="","",F23*Summary!$Q$14)</f>
        <v>0</v>
      </c>
      <c r="BC23" s="179" t="e">
        <f aca="false">IF(A24="","",AM23*F23)</f>
        <v>#N/A</v>
      </c>
    </row>
    <row r="24" customFormat="false" ht="12.75" hidden="false" customHeight="false" outlineLevel="0" collapsed="false">
      <c r="A24" s="196" t="n">
        <f aca="false">IF(A23&lt;mthend,EDATE(A23,1),"")</f>
        <v>37469</v>
      </c>
      <c r="B24" s="197" t="n">
        <f aca="false">IF(A24&lt;mthend,B23,"")</f>
        <v>28400</v>
      </c>
      <c r="C24" s="215"/>
      <c r="D24" s="197" t="n">
        <f aca="false">IF(A25&lt;&gt;"",B24+C24,"")</f>
        <v>28400</v>
      </c>
      <c r="E24" s="199" t="n">
        <f aca="false">IF(A25="","",IF(AND(AT24=1,$H$3=1),D24*AO24,IF($H$3=2,D24,"N/A")))</f>
        <v>880400</v>
      </c>
      <c r="F24" s="199" t="n">
        <f aca="false">IF(A25="","",E24*AS24)</f>
        <v>8431682.97936899</v>
      </c>
      <c r="G24" s="200" t="e">
        <f aca="false">IF($A25="","",VLOOKUP($A24,Table,MATCH(G$4,Curves,0)))</f>
        <v>#N/A</v>
      </c>
      <c r="H24" s="201" t="e">
        <f aca="false">IF(A25="","",G24)</f>
        <v>#N/A</v>
      </c>
      <c r="I24" s="202"/>
      <c r="J24" s="200" t="e">
        <f aca="false">IF($A25="","",VLOOKUP($A24,Table,MATCH(J$4,Curves,0)))</f>
        <v>#N/A</v>
      </c>
      <c r="K24" s="201" t="e">
        <f aca="false">IF(A25="","",J24)</f>
        <v>#N/A</v>
      </c>
      <c r="L24" s="185" t="n">
        <v>0</v>
      </c>
      <c r="M24" s="201" t="n">
        <f aca="false">IF(A25="","",L24)</f>
        <v>0</v>
      </c>
      <c r="N24" s="203"/>
      <c r="O24" s="200" t="e">
        <f aca="false">IF(A25="","",L24+J24+G24)</f>
        <v>#N/A</v>
      </c>
      <c r="P24" s="200" t="e">
        <f aca="false">IF(A25="","",M24+K24+H24)</f>
        <v>#N/A</v>
      </c>
      <c r="Q24" s="204"/>
      <c r="R24" s="200" t="e">
        <f aca="false">IF($A25="","",VLOOKUP($A24,Table,MATCH(R$4,Curves,0)))</f>
        <v>#N/A</v>
      </c>
      <c r="S24" s="201" t="e">
        <f aca="false">IF(A25="","",R24)</f>
        <v>#N/A</v>
      </c>
      <c r="T24" s="200" t="e">
        <f aca="false">IF($A25="","",VLOOKUP($A24,Table,MATCH(T$4,Curves,0)))</f>
        <v>#N/A</v>
      </c>
      <c r="U24" s="201" t="e">
        <f aca="false">IF(A25="","",T24)</f>
        <v>#N/A</v>
      </c>
      <c r="V24" s="183" t="e">
        <f aca="false">IF($A25="","",IF(AND(MONTH(A24)&gt;3,MONTH(A24)&lt;11),(T24+R24+G24)*(((1/(1-Summary!$T$14))/(1-Summary!$W$14))-1),(T24+R24+G24)*((1/(1-Summary!$U$14))/(1-Summary!$X$14)-1)))</f>
        <v>#N/A</v>
      </c>
      <c r="W24" s="202" t="e">
        <f aca="false">IF($A25="","",(T24+R24+G24+V24))</f>
        <v>#N/A</v>
      </c>
      <c r="X24" s="202" t="e">
        <f aca="false">IF($A25="","",(U24+S24+H24+V24))</f>
        <v>#N/A</v>
      </c>
      <c r="Y24" s="202"/>
      <c r="Z24" s="185" t="e">
        <f aca="false">IF($A25="","",VLOOKUP($A24,Table,MATCH(Z$4,Curves,0)))</f>
        <v>#N/A</v>
      </c>
      <c r="AA24" s="185" t="e">
        <f aca="false">IF($A25="","",VLOOKUP($A24,Table,MATCH(AA$4,Curves,0)))</f>
        <v>#N/A</v>
      </c>
      <c r="AB24" s="185" t="e">
        <f aca="false">SQRT((AA24^2*(A24-$D$3)+Z24^2*(DAY(EOMONTH(A24,0))/2))/AK24)</f>
        <v>#N/A</v>
      </c>
      <c r="AC24" s="185" t="e">
        <f aca="false">IF($A25="","",VLOOKUP($A24,Table,MATCH(AC$4,Curves,0)))</f>
        <v>#N/A</v>
      </c>
      <c r="AD24" s="185" t="e">
        <f aca="false">IF($A25="","",VLOOKUP($A24,Table,MATCH(AD$4,Curves,0)))</f>
        <v>#N/A</v>
      </c>
      <c r="AE24" s="185" t="e">
        <f aca="false">SQRT((AD24^2*(A24-$D$3)+AC24^2*(DAY(EOMONTH(A24,0))/2))/AK24)</f>
        <v>#N/A</v>
      </c>
      <c r="AF24" s="224" t="e">
        <f aca="false">((Summary!$N$14*(AA24*AD24)*(A24-$D$3))+(Summary!$M$14*Z24*AC24*(AJ24-EOMONTH(EDATE(A24,-1),0))))/(AK24*AB24*AE24)</f>
        <v>#N/A</v>
      </c>
      <c r="AG24" s="207" t="n">
        <f aca="false">IF($A25="","",Summary!$Q$14)</f>
        <v>0</v>
      </c>
      <c r="AH24" s="207" t="n">
        <f aca="false">IF($A25="","",IF(Summary!$R$12="Y",(VLOOKUP($A24,Summary!$AD$6:$AF$9,3)+'Escalating commodity'!J37),'Escalating commodity'!J37))</f>
        <v>0.0038892668595392</v>
      </c>
      <c r="AI24" s="207" t="n">
        <f aca="false">IF($A25="","",AH24)</f>
        <v>0.0038892668595392</v>
      </c>
      <c r="AJ24" s="208" t="n">
        <f aca="false">A24+DAY(EOMONTH(A24,0))/2-1</f>
        <v>37483.5</v>
      </c>
      <c r="AK24" s="209" t="n">
        <f aca="false">IF($A25="","",$A24-$E$1)</f>
        <v>-8457</v>
      </c>
      <c r="AL24" s="182" t="e">
        <f aca="false">IF($A25="","",SPRDOPT(P24,X24,AI24,0,AB24,AE24,AF24,AK24,$AJ$2,0))</f>
        <v>#NAME?</v>
      </c>
      <c r="AM24" s="211" t="e">
        <f aca="false">IF($A25="","",MAX(0,O24-W24-AI24))</f>
        <v>#N/A</v>
      </c>
      <c r="AN24" s="211" t="e">
        <f aca="false">IF($A25="","",AL24-AM24)</f>
        <v>#N/A</v>
      </c>
      <c r="AO24" s="137" t="n">
        <f aca="false">IF(A25="","",A25-A24)</f>
        <v>31</v>
      </c>
      <c r="AP24" s="212" t="n">
        <f aca="false">IF(A25="","",CHOOSE(F$3,A25+24,A24))</f>
        <v>37469</v>
      </c>
      <c r="AQ24" s="209" t="n">
        <f aca="false">IF(A25="","",AP24-$E$1)</f>
        <v>-8457</v>
      </c>
      <c r="AR24" s="185" t="n">
        <f aca="false">'ANR OK vs ML7'!AR24</f>
        <v>0.1</v>
      </c>
      <c r="AS24" s="213" t="n">
        <f aca="false">IF(A25="","",1/(1+CHOOSE(F$3,(AR25+($I$3/10000))/2,(AR24+($I$3/10000))/2))^(2*AQ24/365.25))</f>
        <v>9.57710470169126</v>
      </c>
      <c r="AT24" s="137" t="n">
        <f aca="false">IF(A25="","",IF(AND(mthbeg&lt;=A24,mthend&gt;=A24),1,0))</f>
        <v>1</v>
      </c>
      <c r="AU24" s="137" t="n">
        <f aca="false">IF(A25="","",AO24*AT24)</f>
        <v>31</v>
      </c>
      <c r="AW24" s="195" t="e">
        <f aca="false">IF($A25="","",AL24*$E24)</f>
        <v>#NAME?</v>
      </c>
      <c r="AX24" s="195" t="e">
        <f aca="false">IF($A25="","",AM24*$E24)</f>
        <v>#N/A</v>
      </c>
      <c r="AY24" s="195" t="e">
        <f aca="false">IF($A25="","",AN24*$E24)</f>
        <v>#N/A</v>
      </c>
      <c r="BA24" s="195" t="n">
        <f aca="false">IF($A25="","",F24*Summary!$Q$14)</f>
        <v>0</v>
      </c>
      <c r="BC24" s="179" t="e">
        <f aca="false">IF(A25="","",AM24*F24)</f>
        <v>#N/A</v>
      </c>
    </row>
    <row r="25" customFormat="false" ht="12.75" hidden="false" customHeight="false" outlineLevel="0" collapsed="false">
      <c r="A25" s="196" t="n">
        <f aca="false">IF(A24&lt;mthend,EDATE(A24,1),"")</f>
        <v>37500</v>
      </c>
      <c r="B25" s="197" t="n">
        <f aca="false">IF(A25&lt;mthend,B24,"")</f>
        <v>28400</v>
      </c>
      <c r="C25" s="215"/>
      <c r="D25" s="197" t="n">
        <f aca="false">IF(A26&lt;&gt;"",B25+C25,"")</f>
        <v>28400</v>
      </c>
      <c r="E25" s="199" t="n">
        <f aca="false">IF(A26="","",IF(AND(AT25=1,$H$3=1),D25*AO25,IF($H$3=2,D25,"N/A")))</f>
        <v>852000</v>
      </c>
      <c r="F25" s="199" t="n">
        <f aca="false">IF(A26="","",E25*AS25)</f>
        <v>8092393.92733097</v>
      </c>
      <c r="G25" s="200" t="e">
        <f aca="false">IF($A26="","",VLOOKUP($A25,Table,MATCH(G$4,Curves,0)))</f>
        <v>#N/A</v>
      </c>
      <c r="H25" s="201" t="e">
        <f aca="false">IF(A26="","",G25)</f>
        <v>#N/A</v>
      </c>
      <c r="I25" s="202"/>
      <c r="J25" s="200" t="e">
        <f aca="false">IF($A26="","",VLOOKUP($A25,Table,MATCH(J$4,Curves,0)))</f>
        <v>#N/A</v>
      </c>
      <c r="K25" s="201" t="e">
        <f aca="false">IF(A26="","",J25)</f>
        <v>#N/A</v>
      </c>
      <c r="L25" s="185" t="n">
        <v>0</v>
      </c>
      <c r="M25" s="201" t="n">
        <f aca="false">IF(A26="","",L25)</f>
        <v>0</v>
      </c>
      <c r="N25" s="203"/>
      <c r="O25" s="200" t="e">
        <f aca="false">IF(A26="","",L25+J25+G25)</f>
        <v>#N/A</v>
      </c>
      <c r="P25" s="200" t="e">
        <f aca="false">IF(A26="","",M25+K25+H25)</f>
        <v>#N/A</v>
      </c>
      <c r="Q25" s="204"/>
      <c r="R25" s="200" t="e">
        <f aca="false">IF($A26="","",VLOOKUP($A25,Table,MATCH(R$4,Curves,0)))</f>
        <v>#N/A</v>
      </c>
      <c r="S25" s="201" t="e">
        <f aca="false">IF(A26="","",R25)</f>
        <v>#N/A</v>
      </c>
      <c r="T25" s="200" t="e">
        <f aca="false">IF($A26="","",VLOOKUP($A25,Table,MATCH(T$4,Curves,0)))</f>
        <v>#N/A</v>
      </c>
      <c r="U25" s="201" t="e">
        <f aca="false">IF(A26="","",T25)</f>
        <v>#N/A</v>
      </c>
      <c r="V25" s="183" t="e">
        <f aca="false">IF($A26="","",IF(AND(MONTH(A25)&gt;3,MONTH(A25)&lt;11),(T25+R25+G25)*(((1/(1-Summary!$T$14))/(1-Summary!$W$14))-1),(T25+R25+G25)*((1/(1-Summary!$U$14))/(1-Summary!$X$14)-1)))</f>
        <v>#N/A</v>
      </c>
      <c r="W25" s="202" t="e">
        <f aca="false">IF($A26="","",(T25+R25+G25+V25))</f>
        <v>#N/A</v>
      </c>
      <c r="X25" s="202" t="e">
        <f aca="false">IF($A26="","",(U25+S25+H25+V25))</f>
        <v>#N/A</v>
      </c>
      <c r="Y25" s="202"/>
      <c r="Z25" s="185" t="e">
        <f aca="false">IF($A26="","",VLOOKUP($A25,Table,MATCH(Z$4,Curves,0)))</f>
        <v>#N/A</v>
      </c>
      <c r="AA25" s="185" t="e">
        <f aca="false">IF($A26="","",VLOOKUP($A25,Table,MATCH(AA$4,Curves,0)))</f>
        <v>#N/A</v>
      </c>
      <c r="AB25" s="185" t="e">
        <f aca="false">SQRT((AA25^2*(A25-$D$3)+Z25^2*(DAY(EOMONTH(A25,0))/2))/AK25)</f>
        <v>#N/A</v>
      </c>
      <c r="AC25" s="185" t="e">
        <f aca="false">IF($A26="","",VLOOKUP($A25,Table,MATCH(AC$4,Curves,0)))</f>
        <v>#N/A</v>
      </c>
      <c r="AD25" s="185" t="e">
        <f aca="false">IF($A26="","",VLOOKUP($A25,Table,MATCH(AD$4,Curves,0)))</f>
        <v>#N/A</v>
      </c>
      <c r="AE25" s="185" t="e">
        <f aca="false">SQRT((AD25^2*(A25-$D$3)+AC25^2*(DAY(EOMONTH(A25,0))/2))/AK25)</f>
        <v>#N/A</v>
      </c>
      <c r="AF25" s="224" t="e">
        <f aca="false">((Summary!$N$14*(AA25*AD25)*(A25-$D$3))+(Summary!$M$14*Z25*AC25*(AJ25-EOMONTH(EDATE(A25,-1),0))))/(AK25*AB25*AE25)</f>
        <v>#N/A</v>
      </c>
      <c r="AG25" s="207" t="n">
        <f aca="false">IF($A26="","",Summary!$Q$14)</f>
        <v>0</v>
      </c>
      <c r="AH25" s="207" t="n">
        <f aca="false">IF($A26="","",IF(Summary!$R$12="Y",(VLOOKUP($A25,Summary!$AD$6:$AF$9,3)+'Escalating commodity'!J38),'Escalating commodity'!J38))</f>
        <v>0.0038892668595392</v>
      </c>
      <c r="AI25" s="207" t="n">
        <f aca="false">IF($A26="","",AH25)</f>
        <v>0.0038892668595392</v>
      </c>
      <c r="AJ25" s="208" t="n">
        <f aca="false">A25+DAY(EOMONTH(A25,0))/2-1</f>
        <v>37514</v>
      </c>
      <c r="AK25" s="209" t="n">
        <f aca="false">IF($A26="","",$A25-$E$1)</f>
        <v>-8426</v>
      </c>
      <c r="AL25" s="182" t="e">
        <f aca="false">IF($A26="","",SPRDOPT(P25,X25,AI25,0,AB25,AE25,AF25,AK25,$AJ$2,0))</f>
        <v>#NAME?</v>
      </c>
      <c r="AM25" s="211" t="e">
        <f aca="false">IF($A26="","",MAX(0,O25-W25-AI25))</f>
        <v>#N/A</v>
      </c>
      <c r="AN25" s="211" t="e">
        <f aca="false">IF($A26="","",AL25-AM25)</f>
        <v>#N/A</v>
      </c>
      <c r="AO25" s="137" t="n">
        <f aca="false">IF(A26="","",A26-A25)</f>
        <v>30</v>
      </c>
      <c r="AP25" s="212" t="n">
        <f aca="false">IF(A26="","",CHOOSE(F$3,A26+24,A25))</f>
        <v>37500</v>
      </c>
      <c r="AQ25" s="209" t="n">
        <f aca="false">IF(A26="","",AP25-$E$1)</f>
        <v>-8426</v>
      </c>
      <c r="AR25" s="185" t="n">
        <f aca="false">'ANR OK vs ML7'!AR25</f>
        <v>0.1</v>
      </c>
      <c r="AS25" s="213" t="n">
        <f aca="false">IF(A26="","",1/(1+CHOOSE(F$3,(AR26+($I$3/10000))/2,(AR25+($I$3/10000))/2))^(2*AQ25/365.25))</f>
        <v>9.49811493818189</v>
      </c>
      <c r="AT25" s="137" t="n">
        <f aca="false">IF(A26="","",IF(AND(mthbeg&lt;=A25,mthend&gt;=A25),1,0))</f>
        <v>1</v>
      </c>
      <c r="AU25" s="137" t="n">
        <f aca="false">IF(A26="","",AO25*AT25)</f>
        <v>30</v>
      </c>
      <c r="AW25" s="195" t="e">
        <f aca="false">IF($A26="","",AL25*$E25)</f>
        <v>#NAME?</v>
      </c>
      <c r="AX25" s="195" t="e">
        <f aca="false">IF($A26="","",AM25*$E25)</f>
        <v>#N/A</v>
      </c>
      <c r="AY25" s="195" t="e">
        <f aca="false">IF($A26="","",AN25*$E25)</f>
        <v>#N/A</v>
      </c>
      <c r="BA25" s="195" t="n">
        <f aca="false">IF($A26="","",F25*Summary!$Q$14)</f>
        <v>0</v>
      </c>
      <c r="BC25" s="179" t="e">
        <f aca="false">IF(A26="","",AM25*F25)</f>
        <v>#N/A</v>
      </c>
    </row>
    <row r="26" customFormat="false" ht="12.75" hidden="false" customHeight="false" outlineLevel="0" collapsed="false">
      <c r="A26" s="196" t="n">
        <f aca="false">IF(A25&lt;mthend,EDATE(A25,1),"")</f>
        <v>37530</v>
      </c>
      <c r="B26" s="197" t="n">
        <f aca="false">IF(A26&lt;mthend,B25,"")</f>
        <v>28400</v>
      </c>
      <c r="C26" s="215"/>
      <c r="D26" s="197" t="n">
        <f aca="false">IF(A27&lt;&gt;"",B26+C26,"")</f>
        <v>28400</v>
      </c>
      <c r="E26" s="199" t="n">
        <f aca="false">IF(A27="","",IF(AND(AT26=1,$H$3=1),D26*AO26,IF($H$3=2,D26,"N/A")))</f>
        <v>880400</v>
      </c>
      <c r="F26" s="199" t="n">
        <f aca="false">IF(A27="","",E26*AS26)</f>
        <v>8295387.27789256</v>
      </c>
      <c r="G26" s="200" t="e">
        <f aca="false">IF($A27="","",VLOOKUP($A26,Table,MATCH(G$4,Curves,0)))</f>
        <v>#N/A</v>
      </c>
      <c r="H26" s="201" t="e">
        <f aca="false">IF(A27="","",G26)</f>
        <v>#N/A</v>
      </c>
      <c r="I26" s="202"/>
      <c r="J26" s="200" t="e">
        <f aca="false">IF($A27="","",VLOOKUP($A26,Table,MATCH(J$4,Curves,0)))</f>
        <v>#N/A</v>
      </c>
      <c r="K26" s="201" t="e">
        <f aca="false">IF(A27="","",J26)</f>
        <v>#N/A</v>
      </c>
      <c r="L26" s="185" t="n">
        <v>0</v>
      </c>
      <c r="M26" s="201" t="n">
        <f aca="false">IF(A27="","",L26)</f>
        <v>0</v>
      </c>
      <c r="N26" s="203"/>
      <c r="O26" s="200" t="e">
        <f aca="false">IF(A27="","",L26+J26+G26)</f>
        <v>#N/A</v>
      </c>
      <c r="P26" s="200" t="e">
        <f aca="false">IF(A27="","",M26+K26+H26)</f>
        <v>#N/A</v>
      </c>
      <c r="Q26" s="204"/>
      <c r="R26" s="200" t="e">
        <f aca="false">IF($A27="","",VLOOKUP($A26,Table,MATCH(R$4,Curves,0)))</f>
        <v>#N/A</v>
      </c>
      <c r="S26" s="201" t="e">
        <f aca="false">IF(A27="","",R26)</f>
        <v>#N/A</v>
      </c>
      <c r="T26" s="200" t="e">
        <f aca="false">IF($A27="","",VLOOKUP($A26,Table,MATCH(T$4,Curves,0)))</f>
        <v>#N/A</v>
      </c>
      <c r="U26" s="201" t="e">
        <f aca="false">IF(A27="","",T26)</f>
        <v>#N/A</v>
      </c>
      <c r="V26" s="183" t="e">
        <f aca="false">IF($A27="","",IF(AND(MONTH(A26)&gt;3,MONTH(A26)&lt;11),(T26+R26+G26)*(((1/(1-Summary!$T$14))/(1-Summary!$W$14))-1),(T26+R26+G26)*((1/(1-Summary!$U$14))/(1-Summary!$X$14)-1)))</f>
        <v>#N/A</v>
      </c>
      <c r="W26" s="202" t="e">
        <f aca="false">IF($A27="","",(T26+R26+G26+V26))</f>
        <v>#N/A</v>
      </c>
      <c r="X26" s="202" t="e">
        <f aca="false">IF($A27="","",(U26+S26+H26+V26))</f>
        <v>#N/A</v>
      </c>
      <c r="Y26" s="202"/>
      <c r="Z26" s="185" t="e">
        <f aca="false">IF($A27="","",VLOOKUP($A26,Table,MATCH(Z$4,Curves,0)))</f>
        <v>#N/A</v>
      </c>
      <c r="AA26" s="185" t="e">
        <f aca="false">IF($A27="","",VLOOKUP($A26,Table,MATCH(AA$4,Curves,0)))</f>
        <v>#N/A</v>
      </c>
      <c r="AB26" s="185" t="e">
        <f aca="false">SQRT((AA26^2*(A26-$D$3)+Z26^2*(DAY(EOMONTH(A26,0))/2))/AK26)</f>
        <v>#N/A</v>
      </c>
      <c r="AC26" s="185" t="e">
        <f aca="false">IF($A27="","",VLOOKUP($A26,Table,MATCH(AC$4,Curves,0)))</f>
        <v>#N/A</v>
      </c>
      <c r="AD26" s="185" t="e">
        <f aca="false">IF($A27="","",VLOOKUP($A26,Table,MATCH(AD$4,Curves,0)))</f>
        <v>#N/A</v>
      </c>
      <c r="AE26" s="185" t="e">
        <f aca="false">SQRT((AD26^2*(A26-$D$3)+AC26^2*(DAY(EOMONTH(A26,0))/2))/AK26)</f>
        <v>#N/A</v>
      </c>
      <c r="AF26" s="224" t="e">
        <f aca="false">((Summary!$N$14*(AA26*AD26)*(A26-$D$3))+(Summary!$M$14*Z26*AC26*(AJ26-EOMONTH(EDATE(A26,-1),0))))/(AK26*AB26*AE26)</f>
        <v>#N/A</v>
      </c>
      <c r="AG26" s="207" t="n">
        <f aca="false">IF($A27="","",Summary!$Q$14)</f>
        <v>0</v>
      </c>
      <c r="AH26" s="207" t="n">
        <f aca="false">IF($A27="","",IF(Summary!$R$12="Y",(VLOOKUP($A26,Summary!$AD$6:$AF$9,3)+'Escalating commodity'!J39),'Escalating commodity'!J39))</f>
        <v>0.0038892668595392</v>
      </c>
      <c r="AI26" s="207" t="n">
        <f aca="false">IF($A27="","",AH26)</f>
        <v>0.0038892668595392</v>
      </c>
      <c r="AJ26" s="208" t="n">
        <f aca="false">A26+DAY(EOMONTH(A26,0))/2-1</f>
        <v>37544.5</v>
      </c>
      <c r="AK26" s="209" t="n">
        <f aca="false">IF($A27="","",$A26-$E$1)</f>
        <v>-8396</v>
      </c>
      <c r="AL26" s="182" t="e">
        <f aca="false">IF($A27="","",SPRDOPT(P26,X26,AI26,0,AB26,AE26,AF26,AK26,$AJ$2,0))</f>
        <v>#NAME?</v>
      </c>
      <c r="AM26" s="211" t="e">
        <f aca="false">IF($A27="","",MAX(0,O26-W26-AI26))</f>
        <v>#N/A</v>
      </c>
      <c r="AN26" s="211" t="e">
        <f aca="false">IF($A27="","",AL26-AM26)</f>
        <v>#N/A</v>
      </c>
      <c r="AO26" s="137" t="n">
        <f aca="false">IF(A27="","",A27-A26)</f>
        <v>31</v>
      </c>
      <c r="AP26" s="212" t="n">
        <f aca="false">IF(A27="","",CHOOSE(F$3,A27+24,A26))</f>
        <v>37530</v>
      </c>
      <c r="AQ26" s="209" t="n">
        <f aca="false">IF(A27="","",AP26-$E$1)</f>
        <v>-8396</v>
      </c>
      <c r="AR26" s="185" t="n">
        <f aca="false">'ANR OK vs ML7'!AR26</f>
        <v>0.1</v>
      </c>
      <c r="AS26" s="213" t="n">
        <f aca="false">IF(A27="","",1/(1+CHOOSE(F$3,(AR27+($I$3/10000))/2,(AR26+($I$3/10000))/2))^(2*AQ26/365.25))</f>
        <v>9.42229359142726</v>
      </c>
      <c r="AT26" s="137" t="n">
        <f aca="false">IF(A27="","",IF(AND(mthbeg&lt;=A26,mthend&gt;=A26),1,0))</f>
        <v>1</v>
      </c>
      <c r="AU26" s="137" t="n">
        <f aca="false">IF(A27="","",AO26*AT26)</f>
        <v>31</v>
      </c>
      <c r="AW26" s="195" t="e">
        <f aca="false">IF($A27="","",AL26*$E26)</f>
        <v>#NAME?</v>
      </c>
      <c r="AX26" s="195" t="e">
        <f aca="false">IF($A27="","",AM26*$E26)</f>
        <v>#N/A</v>
      </c>
      <c r="AY26" s="195" t="e">
        <f aca="false">IF($A27="","",AN26*$E26)</f>
        <v>#N/A</v>
      </c>
      <c r="BA26" s="195" t="n">
        <f aca="false">IF($A27="","",F26*Summary!$Q$14)</f>
        <v>0</v>
      </c>
      <c r="BC26" s="179" t="e">
        <f aca="false">IF(A27="","",AM26*F26)</f>
        <v>#N/A</v>
      </c>
    </row>
    <row r="27" customFormat="false" ht="12.75" hidden="false" customHeight="false" outlineLevel="0" collapsed="false">
      <c r="A27" s="196" t="n">
        <f aca="false">IF(A26&lt;mthend,EDATE(A26,1),"")</f>
        <v>37561</v>
      </c>
      <c r="B27" s="197" t="n">
        <f aca="false">IF(A27&lt;mthend,B26,"")</f>
        <v>28400</v>
      </c>
      <c r="C27" s="215"/>
      <c r="D27" s="197" t="n">
        <f aca="false">IF(A28&lt;&gt;"",B27+C27,"")</f>
        <v>28400</v>
      </c>
      <c r="E27" s="199" t="n">
        <f aca="false">IF(A28="","",IF(AND(AT27=1,$H$3=1),D27*AO27,IF($H$3=2,D27,"N/A")))</f>
        <v>852000</v>
      </c>
      <c r="F27" s="199" t="n">
        <f aca="false">IF(A28="","",E27*AS27)</f>
        <v>7961582.73463694</v>
      </c>
      <c r="G27" s="200" t="e">
        <f aca="false">IF($A28="","",VLOOKUP($A27,Table,MATCH(G$4,Curves,0)))</f>
        <v>#N/A</v>
      </c>
      <c r="H27" s="201" t="e">
        <f aca="false">IF(A28="","",G27)</f>
        <v>#N/A</v>
      </c>
      <c r="I27" s="202"/>
      <c r="J27" s="200" t="e">
        <f aca="false">IF($A28="","",VLOOKUP($A27,Table,MATCH(J$4,Curves,0)))</f>
        <v>#N/A</v>
      </c>
      <c r="K27" s="201" t="e">
        <f aca="false">IF(A28="","",J27)</f>
        <v>#N/A</v>
      </c>
      <c r="L27" s="185" t="n">
        <v>0</v>
      </c>
      <c r="M27" s="201" t="n">
        <f aca="false">IF(A28="","",L27)</f>
        <v>0</v>
      </c>
      <c r="N27" s="203"/>
      <c r="O27" s="200" t="e">
        <f aca="false">IF(A28="","",L27+J27+G27)</f>
        <v>#N/A</v>
      </c>
      <c r="P27" s="200" t="e">
        <f aca="false">IF(A28="","",M27+K27+H27)</f>
        <v>#N/A</v>
      </c>
      <c r="Q27" s="204"/>
      <c r="R27" s="200" t="e">
        <f aca="false">IF($A28="","",VLOOKUP($A27,Table,MATCH(R$4,Curves,0)))</f>
        <v>#N/A</v>
      </c>
      <c r="S27" s="201" t="e">
        <f aca="false">IF(A28="","",R27)</f>
        <v>#N/A</v>
      </c>
      <c r="T27" s="200" t="e">
        <f aca="false">IF($A28="","",VLOOKUP($A27,Table,MATCH(T$4,Curves,0)))</f>
        <v>#N/A</v>
      </c>
      <c r="U27" s="201" t="e">
        <f aca="false">IF(A28="","",T27)</f>
        <v>#N/A</v>
      </c>
      <c r="V27" s="183" t="e">
        <f aca="false">IF($A28="","",IF(AND(MONTH(A27)&gt;3,MONTH(A27)&lt;11),(T27+R27+G27)*(((1/(1-Summary!$T$14))/(1-Summary!$W$14))-1),(T27+R27+G27)*((1/(1-Summary!$U$14))/(1-Summary!$X$14)-1)))</f>
        <v>#N/A</v>
      </c>
      <c r="W27" s="202" t="e">
        <f aca="false">IF($A28="","",(T27+R27+G27+V27))</f>
        <v>#N/A</v>
      </c>
      <c r="X27" s="202" t="e">
        <f aca="false">IF($A28="","",(U27+S27+H27+V27))</f>
        <v>#N/A</v>
      </c>
      <c r="Y27" s="202"/>
      <c r="Z27" s="185" t="e">
        <f aca="false">IF($A28="","",VLOOKUP($A27,Table,MATCH(Z$4,Curves,0)))</f>
        <v>#N/A</v>
      </c>
      <c r="AA27" s="185" t="e">
        <f aca="false">IF($A28="","",VLOOKUP($A27,Table,MATCH(AA$4,Curves,0)))</f>
        <v>#N/A</v>
      </c>
      <c r="AB27" s="185" t="e">
        <f aca="false">SQRT((AA27^2*(A27-$D$3)+Z27^2*(DAY(EOMONTH(A27,0))/2))/AK27)</f>
        <v>#N/A</v>
      </c>
      <c r="AC27" s="185" t="e">
        <f aca="false">IF($A28="","",VLOOKUP($A27,Table,MATCH(AC$4,Curves,0)))</f>
        <v>#N/A</v>
      </c>
      <c r="AD27" s="185" t="e">
        <f aca="false">IF($A28="","",VLOOKUP($A27,Table,MATCH(AD$4,Curves,0)))</f>
        <v>#N/A</v>
      </c>
      <c r="AE27" s="185" t="e">
        <f aca="false">SQRT((AD27^2*(A27-$D$3)+AC27^2*(DAY(EOMONTH(A27,0))/2))/AK27)</f>
        <v>#N/A</v>
      </c>
      <c r="AF27" s="224" t="e">
        <f aca="false">((Summary!$N$14*(AA27*AD27)*(A27-$D$3))+(Summary!$M$14*Z27*AC27*(AJ27-EOMONTH(EDATE(A27,-1),0))))/(AK27*AB27*AE27)</f>
        <v>#N/A</v>
      </c>
      <c r="AG27" s="207" t="n">
        <f aca="false">IF($A28="","",Summary!$Q$14)</f>
        <v>0</v>
      </c>
      <c r="AH27" s="207" t="n">
        <f aca="false">IF($A28="","",IF(Summary!$R$12="Y",(VLOOKUP($A27,Summary!$AD$6:$AF$9,3)+'Escalating commodity'!J40),'Escalating commodity'!J40))</f>
        <v>0.0038892668595392</v>
      </c>
      <c r="AI27" s="207" t="n">
        <f aca="false">IF($A28="","",AH27)</f>
        <v>0.0038892668595392</v>
      </c>
      <c r="AJ27" s="208" t="n">
        <f aca="false">A27+DAY(EOMONTH(A27,0))/2-1</f>
        <v>37575</v>
      </c>
      <c r="AK27" s="209" t="n">
        <f aca="false">IF($A28="","",$A27-$E$1)</f>
        <v>-8365</v>
      </c>
      <c r="AL27" s="182" t="e">
        <f aca="false">IF($A28="","",SPRDOPT(P27,X27,AI27,0,AB27,AE27,AF27,AK27,$AJ$2,0))</f>
        <v>#NAME?</v>
      </c>
      <c r="AM27" s="211" t="e">
        <f aca="false">IF($A28="","",MAX(0,O27-W27-AI27))</f>
        <v>#N/A</v>
      </c>
      <c r="AN27" s="211" t="e">
        <f aca="false">IF($A28="","",AL27-AM27)</f>
        <v>#N/A</v>
      </c>
      <c r="AO27" s="137" t="n">
        <f aca="false">IF(A28="","",A28-A27)</f>
        <v>30</v>
      </c>
      <c r="AP27" s="212" t="n">
        <f aca="false">IF(A28="","",CHOOSE(F$3,A28+24,A27))</f>
        <v>37561</v>
      </c>
      <c r="AQ27" s="209" t="n">
        <f aca="false">IF(A28="","",AP27-$E$1)</f>
        <v>-8365</v>
      </c>
      <c r="AR27" s="185" t="n">
        <f aca="false">'ANR OK vs ML7'!AR27</f>
        <v>0.1</v>
      </c>
      <c r="AS27" s="213" t="n">
        <f aca="false">IF(A28="","",1/(1+CHOOSE(F$3,(AR28+($I$3/10000))/2,(AR27+($I$3/10000))/2))^(2*AQ27/365.25))</f>
        <v>9.34458067445651</v>
      </c>
      <c r="AT27" s="137" t="n">
        <f aca="false">IF(A28="","",IF(AND(mthbeg&lt;=A27,mthend&gt;=A27),1,0))</f>
        <v>1</v>
      </c>
      <c r="AU27" s="137" t="n">
        <f aca="false">IF(A28="","",AO27*AT27)</f>
        <v>30</v>
      </c>
      <c r="AW27" s="195" t="e">
        <f aca="false">IF($A28="","",AL27*$E27)</f>
        <v>#NAME?</v>
      </c>
      <c r="AX27" s="195" t="e">
        <f aca="false">IF($A28="","",AM27*$E27)</f>
        <v>#N/A</v>
      </c>
      <c r="AY27" s="195" t="e">
        <f aca="false">IF($A28="","",AN27*$E27)</f>
        <v>#N/A</v>
      </c>
      <c r="BA27" s="195" t="n">
        <f aca="false">IF($A28="","",F27*Summary!$Q$14)</f>
        <v>0</v>
      </c>
      <c r="BC27" s="179" t="e">
        <f aca="false">IF(A28="","",AM27*F27)</f>
        <v>#N/A</v>
      </c>
    </row>
    <row r="28" customFormat="false" ht="12.75" hidden="false" customHeight="false" outlineLevel="0" collapsed="false">
      <c r="A28" s="196" t="n">
        <f aca="false">IF(A27&lt;mthend,EDATE(A27,1),"")</f>
        <v>37591</v>
      </c>
      <c r="B28" s="197" t="n">
        <f aca="false">IF(A28&lt;mthend,B27,"")</f>
        <v>28400</v>
      </c>
      <c r="C28" s="215"/>
      <c r="D28" s="197" t="n">
        <f aca="false">IF(A29&lt;&gt;"",B28+C28,"")</f>
        <v>28400</v>
      </c>
      <c r="E28" s="199" t="n">
        <f aca="false">IF(A29="","",IF(AND(AT28=1,$H$3=1),D28*AO28,IF($H$3=2,D28,"N/A")))</f>
        <v>880400</v>
      </c>
      <c r="F28" s="199" t="n">
        <f aca="false">IF(A29="","",E28*AS28)</f>
        <v>8161294.75676415</v>
      </c>
      <c r="G28" s="200" t="e">
        <f aca="false">IF($A29="","",VLOOKUP($A28,Table,MATCH(G$4,Curves,0)))</f>
        <v>#N/A</v>
      </c>
      <c r="H28" s="201" t="e">
        <f aca="false">IF(A29="","",G28)</f>
        <v>#N/A</v>
      </c>
      <c r="I28" s="202"/>
      <c r="J28" s="200" t="e">
        <f aca="false">IF($A29="","",VLOOKUP($A28,Table,MATCH(J$4,Curves,0)))</f>
        <v>#N/A</v>
      </c>
      <c r="K28" s="201" t="e">
        <f aca="false">IF(A29="","",J28)</f>
        <v>#N/A</v>
      </c>
      <c r="L28" s="185" t="n">
        <v>0</v>
      </c>
      <c r="M28" s="201" t="n">
        <f aca="false">IF(A29="","",L28)</f>
        <v>0</v>
      </c>
      <c r="N28" s="203"/>
      <c r="O28" s="200" t="e">
        <f aca="false">IF(A29="","",L28+J28+G28)</f>
        <v>#N/A</v>
      </c>
      <c r="P28" s="200" t="e">
        <f aca="false">IF(A29="","",M28+K28+H28)</f>
        <v>#N/A</v>
      </c>
      <c r="Q28" s="204"/>
      <c r="R28" s="200" t="e">
        <f aca="false">IF($A29="","",VLOOKUP($A28,Table,MATCH(R$4,Curves,0)))</f>
        <v>#N/A</v>
      </c>
      <c r="S28" s="201" t="e">
        <f aca="false">IF(A29="","",R28)</f>
        <v>#N/A</v>
      </c>
      <c r="T28" s="200" t="e">
        <f aca="false">IF($A29="","",VLOOKUP($A28,Table,MATCH(T$4,Curves,0)))</f>
        <v>#N/A</v>
      </c>
      <c r="U28" s="201" t="e">
        <f aca="false">IF(A29="","",T28)</f>
        <v>#N/A</v>
      </c>
      <c r="V28" s="183" t="e">
        <f aca="false">IF($A29="","",IF(AND(MONTH(A28)&gt;3,MONTH(A28)&lt;11),(T28+R28+G28)*(((1/(1-Summary!$T$14))/(1-Summary!$W$14))-1),(T28+R28+G28)*((1/(1-Summary!$U$14))/(1-Summary!$X$14)-1)))</f>
        <v>#N/A</v>
      </c>
      <c r="W28" s="202" t="e">
        <f aca="false">IF($A29="","",(T28+R28+G28+V28))</f>
        <v>#N/A</v>
      </c>
      <c r="X28" s="202" t="e">
        <f aca="false">IF($A29="","",(U28+S28+H28+V28))</f>
        <v>#N/A</v>
      </c>
      <c r="Y28" s="202"/>
      <c r="Z28" s="185" t="e">
        <f aca="false">IF($A29="","",VLOOKUP($A28,Table,MATCH(Z$4,Curves,0)))</f>
        <v>#N/A</v>
      </c>
      <c r="AA28" s="185" t="e">
        <f aca="false">IF($A29="","",VLOOKUP($A28,Table,MATCH(AA$4,Curves,0)))</f>
        <v>#N/A</v>
      </c>
      <c r="AB28" s="185" t="e">
        <f aca="false">SQRT((AA28^2*(A28-$D$3)+Z28^2*(DAY(EOMONTH(A28,0))/2))/AK28)</f>
        <v>#N/A</v>
      </c>
      <c r="AC28" s="185" t="e">
        <f aca="false">IF($A29="","",VLOOKUP($A28,Table,MATCH(AC$4,Curves,0)))</f>
        <v>#N/A</v>
      </c>
      <c r="AD28" s="185" t="e">
        <f aca="false">IF($A29="","",VLOOKUP($A28,Table,MATCH(AD$4,Curves,0)))</f>
        <v>#N/A</v>
      </c>
      <c r="AE28" s="185" t="e">
        <f aca="false">SQRT((AD28^2*(A28-$D$3)+AC28^2*(DAY(EOMONTH(A28,0))/2))/AK28)</f>
        <v>#N/A</v>
      </c>
      <c r="AF28" s="224" t="e">
        <f aca="false">((Summary!$N$14*(AA28*AD28)*(A28-$D$3))+(Summary!$M$14*Z28*AC28*(AJ28-EOMONTH(EDATE(A28,-1),0))))/(AK28*AB28*AE28)</f>
        <v>#N/A</v>
      </c>
      <c r="AG28" s="207" t="n">
        <f aca="false">IF($A29="","",Summary!$Q$14)</f>
        <v>0</v>
      </c>
      <c r="AH28" s="207" t="n">
        <f aca="false">IF($A29="","",IF(Summary!$R$12="Y",(VLOOKUP($A28,Summary!$AD$6:$AF$9,3)+'Escalating commodity'!J41),'Escalating commodity'!J41))</f>
        <v>0.0038892668595392</v>
      </c>
      <c r="AI28" s="207" t="n">
        <f aca="false">IF($A29="","",AH28)</f>
        <v>0.0038892668595392</v>
      </c>
      <c r="AJ28" s="208" t="n">
        <f aca="false">A28+DAY(EOMONTH(A28,0))/2-1</f>
        <v>37605.5</v>
      </c>
      <c r="AK28" s="209" t="n">
        <f aca="false">IF($A29="","",$A28-$E$1)</f>
        <v>-8335</v>
      </c>
      <c r="AL28" s="182" t="e">
        <f aca="false">IF($A29="","",SPRDOPT(P28,X28,AI28,0,AB28,AE28,AF28,AK28,$AJ$2,0))</f>
        <v>#NAME?</v>
      </c>
      <c r="AM28" s="211" t="e">
        <f aca="false">IF($A29="","",MAX(0,O28-W28-AI28))</f>
        <v>#N/A</v>
      </c>
      <c r="AN28" s="211" t="e">
        <f aca="false">IF($A29="","",AL28-AM28)</f>
        <v>#N/A</v>
      </c>
      <c r="AO28" s="137" t="n">
        <f aca="false">IF(A29="","",A29-A28)</f>
        <v>31</v>
      </c>
      <c r="AP28" s="212" t="n">
        <f aca="false">IF(A29="","",CHOOSE(F$3,A29+24,A28))</f>
        <v>37591</v>
      </c>
      <c r="AQ28" s="209" t="n">
        <f aca="false">IF(A29="","",AP28-$E$1)</f>
        <v>-8335</v>
      </c>
      <c r="AR28" s="185" t="n">
        <f aca="false">'ANR OK vs ML7'!AR28</f>
        <v>0.1</v>
      </c>
      <c r="AS28" s="213" t="n">
        <f aca="false">IF(A29="","",1/(1+CHOOSE(F$3,(AR29+($I$3/10000))/2,(AR28+($I$3/10000))/2))^(2*AQ28/365.25))</f>
        <v>9.26998495770576</v>
      </c>
      <c r="AT28" s="137" t="n">
        <f aca="false">IF(A29="","",IF(AND(mthbeg&lt;=A28,mthend&gt;=A28),1,0))</f>
        <v>1</v>
      </c>
      <c r="AU28" s="137" t="n">
        <f aca="false">IF(A29="","",AO28*AT28)</f>
        <v>31</v>
      </c>
      <c r="AW28" s="195" t="e">
        <f aca="false">IF($A29="","",AL28*$E28)</f>
        <v>#NAME?</v>
      </c>
      <c r="AX28" s="195" t="e">
        <f aca="false">IF($A29="","",AM28*$E28)</f>
        <v>#N/A</v>
      </c>
      <c r="AY28" s="195" t="e">
        <f aca="false">IF($A29="","",AN28*$E28)</f>
        <v>#N/A</v>
      </c>
      <c r="BA28" s="195" t="n">
        <f aca="false">IF($A29="","",F28*Summary!$Q$14)</f>
        <v>0</v>
      </c>
      <c r="BC28" s="179" t="e">
        <f aca="false">IF(A29="","",AM28*F28)</f>
        <v>#N/A</v>
      </c>
    </row>
    <row r="29" customFormat="false" ht="12.75" hidden="false" customHeight="false" outlineLevel="0" collapsed="false">
      <c r="A29" s="196" t="n">
        <f aca="false">IF(A28&lt;mthend,EDATE(A28,1),"")</f>
        <v>37622</v>
      </c>
      <c r="B29" s="197" t="n">
        <f aca="false">IF(A29&lt;mthend,B28,"")</f>
        <v>28400</v>
      </c>
      <c r="C29" s="215"/>
      <c r="D29" s="197" t="n">
        <f aca="false">IF(A30&lt;&gt;"",B29+C29,"")</f>
        <v>28400</v>
      </c>
      <c r="E29" s="199" t="n">
        <f aca="false">IF(A30="","",IF(AND(AT29=1,$H$3=1),D29*AO29,IF($H$3=2,D29,"N/A")))</f>
        <v>880400</v>
      </c>
      <c r="F29" s="199" t="n">
        <f aca="false">IF(A30="","",E29*AS29)</f>
        <v>8093982.2690294</v>
      </c>
      <c r="G29" s="200" t="e">
        <f aca="false">IF($A30="","",VLOOKUP($A29,Table,MATCH(G$4,Curves,0)))</f>
        <v>#N/A</v>
      </c>
      <c r="H29" s="201" t="e">
        <f aca="false">IF(A30="","",G29)</f>
        <v>#N/A</v>
      </c>
      <c r="I29" s="202"/>
      <c r="J29" s="200" t="e">
        <f aca="false">IF($A30="","",VLOOKUP($A29,Table,MATCH(J$4,Curves,0)))</f>
        <v>#N/A</v>
      </c>
      <c r="K29" s="201" t="e">
        <f aca="false">IF(A30="","",J29)</f>
        <v>#N/A</v>
      </c>
      <c r="L29" s="185" t="n">
        <v>0</v>
      </c>
      <c r="M29" s="201" t="n">
        <f aca="false">IF(A30="","",L29)</f>
        <v>0</v>
      </c>
      <c r="N29" s="203"/>
      <c r="O29" s="200" t="e">
        <f aca="false">IF(A30="","",L29+J29+G29)</f>
        <v>#N/A</v>
      </c>
      <c r="P29" s="200" t="e">
        <f aca="false">IF(A30="","",M29+K29+H29)</f>
        <v>#N/A</v>
      </c>
      <c r="Q29" s="204"/>
      <c r="R29" s="200" t="e">
        <f aca="false">IF($A30="","",VLOOKUP($A29,Table,MATCH(R$4,Curves,0)))</f>
        <v>#N/A</v>
      </c>
      <c r="S29" s="201" t="e">
        <f aca="false">IF(A30="","",R29)</f>
        <v>#N/A</v>
      </c>
      <c r="T29" s="200" t="e">
        <f aca="false">IF($A30="","",VLOOKUP($A29,Table,MATCH(T$4,Curves,0)))</f>
        <v>#N/A</v>
      </c>
      <c r="U29" s="201" t="e">
        <f aca="false">IF(A30="","",T29)</f>
        <v>#N/A</v>
      </c>
      <c r="V29" s="183" t="e">
        <f aca="false">IF($A30="","",IF(AND(MONTH(A29)&gt;3,MONTH(A29)&lt;11),(T29+R29+G29)*(((1/(1-Summary!$T$14))/(1-Summary!$W$14))-1),(T29+R29+G29)*((1/(1-Summary!$U$14))/(1-Summary!$X$14)-1)))</f>
        <v>#N/A</v>
      </c>
      <c r="W29" s="202" t="e">
        <f aca="false">IF($A30="","",(T29+R29+G29+V29))</f>
        <v>#N/A</v>
      </c>
      <c r="X29" s="202" t="e">
        <f aca="false">IF($A30="","",(U29+S29+H29+V29))</f>
        <v>#N/A</v>
      </c>
      <c r="Y29" s="202"/>
      <c r="Z29" s="185" t="e">
        <f aca="false">IF($A30="","",VLOOKUP($A29,Table,MATCH(Z$4,Curves,0)))</f>
        <v>#N/A</v>
      </c>
      <c r="AA29" s="185" t="e">
        <f aca="false">IF($A30="","",VLOOKUP($A29,Table,MATCH(AA$4,Curves,0)))</f>
        <v>#N/A</v>
      </c>
      <c r="AB29" s="185" t="e">
        <f aca="false">SQRT((AA29^2*(A29-$D$3)+Z29^2*(DAY(EOMONTH(A29,0))/2))/AK29)</f>
        <v>#N/A</v>
      </c>
      <c r="AC29" s="185" t="e">
        <f aca="false">IF($A30="","",VLOOKUP($A29,Table,MATCH(AC$4,Curves,0)))</f>
        <v>#N/A</v>
      </c>
      <c r="AD29" s="185" t="e">
        <f aca="false">IF($A30="","",VLOOKUP($A29,Table,MATCH(AD$4,Curves,0)))</f>
        <v>#N/A</v>
      </c>
      <c r="AE29" s="185" t="e">
        <f aca="false">SQRT((AD29^2*(A29-$D$3)+AC29^2*(DAY(EOMONTH(A29,0))/2))/AK29)</f>
        <v>#N/A</v>
      </c>
      <c r="AF29" s="224" t="e">
        <f aca="false">((Summary!$N$14*(AA29*AD29)*(A29-$D$3))+(Summary!$M$14*Z29*AC29*(AJ29-EOMONTH(EDATE(A29,-1),0))))/(AK29*AB29*AE29)</f>
        <v>#N/A</v>
      </c>
      <c r="AG29" s="207" t="n">
        <f aca="false">IF($A30="","",Summary!$Q$14)</f>
        <v>0</v>
      </c>
      <c r="AH29" s="207" t="n">
        <f aca="false">IF($A30="","",IF(Summary!$R$12="Y",(VLOOKUP($A29,Summary!$AD$6:$AF$9,3)+'Escalating commodity'!J42),'Escalating commodity'!J42))</f>
        <v>0.00505604691740096</v>
      </c>
      <c r="AI29" s="207" t="n">
        <f aca="false">IF($A30="","",AH29)</f>
        <v>0.00505604691740096</v>
      </c>
      <c r="AJ29" s="208" t="n">
        <f aca="false">A29+DAY(EOMONTH(A29,0))/2-1</f>
        <v>37636.5</v>
      </c>
      <c r="AK29" s="209" t="n">
        <f aca="false">IF($A30="","",$A29-$E$1)</f>
        <v>-8304</v>
      </c>
      <c r="AL29" s="182" t="e">
        <f aca="false">IF($A30="","",SPRDOPT(P29,X29,AI29,0,AB29,AE29,AF29,AK29,$AJ$2,0))</f>
        <v>#NAME?</v>
      </c>
      <c r="AM29" s="211" t="e">
        <f aca="false">IF($A30="","",MAX(0,O29-W29-AI29))</f>
        <v>#N/A</v>
      </c>
      <c r="AN29" s="211" t="e">
        <f aca="false">IF($A30="","",AL29-AM29)</f>
        <v>#N/A</v>
      </c>
      <c r="AO29" s="137" t="n">
        <f aca="false">IF(A30="","",A30-A29)</f>
        <v>31</v>
      </c>
      <c r="AP29" s="212" t="n">
        <f aca="false">IF(A30="","",CHOOSE(F$3,A30+24,A29))</f>
        <v>37622</v>
      </c>
      <c r="AQ29" s="209" t="n">
        <f aca="false">IF(A30="","",AP29-$E$1)</f>
        <v>-8304</v>
      </c>
      <c r="AR29" s="185" t="n">
        <f aca="false">'ANR OK vs ML7'!AR29</f>
        <v>0.1</v>
      </c>
      <c r="AS29" s="213" t="n">
        <f aca="false">IF(A30="","",1/(1+CHOOSE(F$3,(AR30+($I$3/10000))/2,(AR29+($I$3/10000))/2))^(2*AQ29/365.25))</f>
        <v>9.19352824742094</v>
      </c>
      <c r="AT29" s="137" t="n">
        <f aca="false">IF(A30="","",IF(AND(mthbeg&lt;=A29,mthend&gt;=A29),1,0))</f>
        <v>1</v>
      </c>
      <c r="AU29" s="137" t="n">
        <f aca="false">IF(A30="","",AO29*AT29)</f>
        <v>31</v>
      </c>
      <c r="AW29" s="195" t="e">
        <f aca="false">IF($A30="","",AL29*$E29)</f>
        <v>#NAME?</v>
      </c>
      <c r="AX29" s="195" t="e">
        <f aca="false">IF($A30="","",AM29*$E29)</f>
        <v>#N/A</v>
      </c>
      <c r="AY29" s="195" t="e">
        <f aca="false">IF($A30="","",AN29*$E29)</f>
        <v>#N/A</v>
      </c>
      <c r="BA29" s="195" t="n">
        <f aca="false">IF($A30="","",F29*Summary!$Q$14)</f>
        <v>0</v>
      </c>
      <c r="BC29" s="179" t="e">
        <f aca="false">IF(A30="","",AM29*F29)</f>
        <v>#N/A</v>
      </c>
    </row>
    <row r="30" customFormat="false" ht="12.75" hidden="false" customHeight="false" outlineLevel="0" collapsed="false">
      <c r="A30" s="196" t="n">
        <f aca="false">IF(A29&lt;mthend,EDATE(A29,1),"")</f>
        <v>37653</v>
      </c>
      <c r="B30" s="197" t="n">
        <f aca="false">IF(A30&lt;mthend,B29,"")</f>
        <v>28400</v>
      </c>
      <c r="C30" s="215"/>
      <c r="D30" s="197" t="n">
        <f aca="false">IF(A31&lt;&gt;"",B30+C30,"")</f>
        <v>28400</v>
      </c>
      <c r="E30" s="199" t="n">
        <f aca="false">IF(A31="","",IF(AND(AT30=1,$H$3=1),D30*AO30,IF($H$3=2,D30,"N/A")))</f>
        <v>795200</v>
      </c>
      <c r="F30" s="199" t="n">
        <f aca="false">IF(A31="","",E30*AS30)</f>
        <v>7250396.73739472</v>
      </c>
      <c r="G30" s="200" t="e">
        <f aca="false">IF($A31="","",VLOOKUP($A30,Table,MATCH(G$4,Curves,0)))</f>
        <v>#N/A</v>
      </c>
      <c r="H30" s="201" t="e">
        <f aca="false">IF(A31="","",G30)</f>
        <v>#N/A</v>
      </c>
      <c r="I30" s="202"/>
      <c r="J30" s="200" t="e">
        <f aca="false">IF($A31="","",VLOOKUP($A30,Table,MATCH(J$4,Curves,0)))</f>
        <v>#N/A</v>
      </c>
      <c r="K30" s="201" t="e">
        <f aca="false">IF(A31="","",J30)</f>
        <v>#N/A</v>
      </c>
      <c r="L30" s="185" t="n">
        <v>0</v>
      </c>
      <c r="M30" s="201" t="n">
        <f aca="false">IF(A31="","",L30)</f>
        <v>0</v>
      </c>
      <c r="N30" s="203"/>
      <c r="O30" s="200" t="e">
        <f aca="false">IF(A31="","",L30+J30+G30)</f>
        <v>#N/A</v>
      </c>
      <c r="P30" s="200" t="e">
        <f aca="false">IF(A31="","",M30+K30+H30)</f>
        <v>#N/A</v>
      </c>
      <c r="Q30" s="204"/>
      <c r="R30" s="200" t="e">
        <f aca="false">IF($A31="","",VLOOKUP($A30,Table,MATCH(R$4,Curves,0)))</f>
        <v>#N/A</v>
      </c>
      <c r="S30" s="201" t="e">
        <f aca="false">IF(A31="","",R30)</f>
        <v>#N/A</v>
      </c>
      <c r="T30" s="200" t="e">
        <f aca="false">IF($A31="","",VLOOKUP($A30,Table,MATCH(T$4,Curves,0)))</f>
        <v>#N/A</v>
      </c>
      <c r="U30" s="201" t="e">
        <f aca="false">IF(A31="","",T30)</f>
        <v>#N/A</v>
      </c>
      <c r="V30" s="183" t="e">
        <f aca="false">IF($A31="","",IF(AND(MONTH(A30)&gt;3,MONTH(A30)&lt;11),(T30+R30+G30)*(((1/(1-Summary!$T$14))/(1-Summary!$W$14))-1),(T30+R30+G30)*((1/(1-Summary!$U$14))/(1-Summary!$X$14)-1)))</f>
        <v>#N/A</v>
      </c>
      <c r="W30" s="202" t="e">
        <f aca="false">IF($A31="","",(T30+R30+G30+V30))</f>
        <v>#N/A</v>
      </c>
      <c r="X30" s="202" t="e">
        <f aca="false">IF($A31="","",(U30+S30+H30+V30))</f>
        <v>#N/A</v>
      </c>
      <c r="Y30" s="202"/>
      <c r="Z30" s="185" t="e">
        <f aca="false">IF($A31="","",VLOOKUP($A30,Table,MATCH(Z$4,Curves,0)))</f>
        <v>#N/A</v>
      </c>
      <c r="AA30" s="185" t="e">
        <f aca="false">IF($A31="","",VLOOKUP($A30,Table,MATCH(AA$4,Curves,0)))</f>
        <v>#N/A</v>
      </c>
      <c r="AB30" s="185" t="e">
        <f aca="false">SQRT((AA30^2*(A30-$D$3)+Z30^2*(DAY(EOMONTH(A30,0))/2))/AK30)</f>
        <v>#N/A</v>
      </c>
      <c r="AC30" s="185" t="e">
        <f aca="false">IF($A31="","",VLOOKUP($A30,Table,MATCH(AC$4,Curves,0)))</f>
        <v>#N/A</v>
      </c>
      <c r="AD30" s="185" t="e">
        <f aca="false">IF($A31="","",VLOOKUP($A30,Table,MATCH(AD$4,Curves,0)))</f>
        <v>#N/A</v>
      </c>
      <c r="AE30" s="185" t="e">
        <f aca="false">SQRT((AD30^2*(A30-$D$3)+AC30^2*(DAY(EOMONTH(A30,0))/2))/AK30)</f>
        <v>#N/A</v>
      </c>
      <c r="AF30" s="224" t="e">
        <f aca="false">((Summary!$N$14*(AA30*AD30)*(A30-$D$3))+(Summary!$M$14*Z30*AC30*(AJ30-EOMONTH(EDATE(A30,-1),0))))/(AK30*AB30*AE30)</f>
        <v>#N/A</v>
      </c>
      <c r="AG30" s="207" t="n">
        <f aca="false">IF($A31="","",Summary!$Q$14)</f>
        <v>0</v>
      </c>
      <c r="AH30" s="207" t="n">
        <f aca="false">IF($A31="","",IF(Summary!$R$12="Y",(VLOOKUP($A30,Summary!$AD$6:$AF$9,3)+'Escalating commodity'!J43),'Escalating commodity'!J43))</f>
        <v>0.00505604691740096</v>
      </c>
      <c r="AI30" s="207" t="n">
        <f aca="false">IF($A31="","",AH30)</f>
        <v>0.00505604691740096</v>
      </c>
      <c r="AJ30" s="208" t="n">
        <f aca="false">A30+DAY(EOMONTH(A30,0))/2-1</f>
        <v>37666</v>
      </c>
      <c r="AK30" s="209" t="n">
        <f aca="false">IF($A31="","",$A30-$E$1)</f>
        <v>-8273</v>
      </c>
      <c r="AL30" s="182" t="e">
        <f aca="false">IF($A31="","",SPRDOPT(P30,X30,AI30,0,AB30,AE30,AF30,AK30,$AJ$2,0))</f>
        <v>#NAME?</v>
      </c>
      <c r="AM30" s="211" t="e">
        <f aca="false">IF($A31="","",MAX(0,O30-W30-AI30))</f>
        <v>#N/A</v>
      </c>
      <c r="AN30" s="211" t="e">
        <f aca="false">IF($A31="","",AL30-AM30)</f>
        <v>#N/A</v>
      </c>
      <c r="AO30" s="137" t="n">
        <f aca="false">IF(A31="","",A31-A30)</f>
        <v>28</v>
      </c>
      <c r="AP30" s="212" t="n">
        <f aca="false">IF(A31="","",CHOOSE(F$3,A31+24,A30))</f>
        <v>37653</v>
      </c>
      <c r="AQ30" s="209" t="n">
        <f aca="false">IF(A31="","",AP30-$E$1)</f>
        <v>-8273</v>
      </c>
      <c r="AR30" s="185" t="n">
        <f aca="false">'ANR OK vs ML7'!AR30</f>
        <v>0.1</v>
      </c>
      <c r="AS30" s="213" t="n">
        <f aca="false">IF(A31="","",1/(1+CHOOSE(F$3,(AR31+($I$3/10000))/2,(AR30+($I$3/10000))/2))^(2*AQ30/365.25))</f>
        <v>9.11770213455071</v>
      </c>
      <c r="AT30" s="137" t="n">
        <f aca="false">IF(A31="","",IF(AND(mthbeg&lt;=A30,mthend&gt;=A30),1,0))</f>
        <v>1</v>
      </c>
      <c r="AU30" s="137" t="n">
        <f aca="false">IF(A31="","",AO30*AT30)</f>
        <v>28</v>
      </c>
      <c r="AW30" s="195" t="e">
        <f aca="false">IF($A31="","",AL30*$E30)</f>
        <v>#NAME?</v>
      </c>
      <c r="AX30" s="195" t="e">
        <f aca="false">IF($A31="","",AM30*$E30)</f>
        <v>#N/A</v>
      </c>
      <c r="AY30" s="195" t="e">
        <f aca="false">IF($A31="","",AN30*$E30)</f>
        <v>#N/A</v>
      </c>
      <c r="BA30" s="195" t="n">
        <f aca="false">IF($A31="","",F30*Summary!$Q$14)</f>
        <v>0</v>
      </c>
      <c r="BC30" s="179" t="e">
        <f aca="false">IF(A31="","",AM30*F30)</f>
        <v>#N/A</v>
      </c>
    </row>
    <row r="31" customFormat="false" ht="12.75" hidden="false" customHeight="false" outlineLevel="0" collapsed="false">
      <c r="A31" s="196" t="n">
        <f aca="false">IF(A30&lt;mthend,EDATE(A30,1),"")</f>
        <v>37681</v>
      </c>
      <c r="B31" s="197" t="n">
        <f aca="false">IF(A31&lt;mthend,B30,"")</f>
        <v>28400</v>
      </c>
      <c r="C31" s="215"/>
      <c r="D31" s="197" t="n">
        <f aca="false">IF(A32&lt;&gt;"",B31+C31,"")</f>
        <v>28400</v>
      </c>
      <c r="E31" s="199" t="n">
        <f aca="false">IF(A32="","",IF(AND(AT31=1,$H$3=1),D31*AO31,IF($H$3=2,D31,"N/A")))</f>
        <v>880400</v>
      </c>
      <c r="F31" s="199" t="n">
        <f aca="false">IF(A32="","",E31*AS31)</f>
        <v>7967401.41207318</v>
      </c>
      <c r="G31" s="200" t="e">
        <f aca="false">IF($A32="","",VLOOKUP($A31,Table,MATCH(G$4,Curves,0)))</f>
        <v>#N/A</v>
      </c>
      <c r="H31" s="201" t="e">
        <f aca="false">IF(A32="","",G31)</f>
        <v>#N/A</v>
      </c>
      <c r="I31" s="202"/>
      <c r="J31" s="200" t="e">
        <f aca="false">IF($A32="","",VLOOKUP($A31,Table,MATCH(J$4,Curves,0)))</f>
        <v>#N/A</v>
      </c>
      <c r="K31" s="201" t="e">
        <f aca="false">IF(A32="","",J31)</f>
        <v>#N/A</v>
      </c>
      <c r="L31" s="185" t="n">
        <v>0</v>
      </c>
      <c r="M31" s="201" t="n">
        <f aca="false">IF(A32="","",L31)</f>
        <v>0</v>
      </c>
      <c r="N31" s="203"/>
      <c r="O31" s="200" t="e">
        <f aca="false">IF(A32="","",L31+J31+G31)</f>
        <v>#N/A</v>
      </c>
      <c r="P31" s="200" t="e">
        <f aca="false">IF(A32="","",M31+K31+H31)</f>
        <v>#N/A</v>
      </c>
      <c r="Q31" s="204"/>
      <c r="R31" s="200" t="e">
        <f aca="false">IF($A32="","",VLOOKUP($A31,Table,MATCH(R$4,Curves,0)))</f>
        <v>#N/A</v>
      </c>
      <c r="S31" s="201" t="e">
        <f aca="false">IF(A32="","",R31)</f>
        <v>#N/A</v>
      </c>
      <c r="T31" s="200" t="e">
        <f aca="false">IF($A32="","",VLOOKUP($A31,Table,MATCH(T$4,Curves,0)))</f>
        <v>#N/A</v>
      </c>
      <c r="U31" s="201" t="e">
        <f aca="false">IF(A32="","",T31)</f>
        <v>#N/A</v>
      </c>
      <c r="V31" s="183" t="e">
        <f aca="false">IF($A32="","",IF(AND(MONTH(A31)&gt;3,MONTH(A31)&lt;11),(T31+R31+G31)*(((1/(1-Summary!$T$14))/(1-Summary!$W$14))-1),(T31+R31+G31)*((1/(1-Summary!$U$14))/(1-Summary!$X$14)-1)))</f>
        <v>#N/A</v>
      </c>
      <c r="W31" s="202" t="e">
        <f aca="false">IF($A32="","",(T31+R31+G31+V31))</f>
        <v>#N/A</v>
      </c>
      <c r="X31" s="202" t="e">
        <f aca="false">IF($A32="","",(U31+S31+H31+V31))</f>
        <v>#N/A</v>
      </c>
      <c r="Y31" s="202"/>
      <c r="Z31" s="185" t="e">
        <f aca="false">IF($A32="","",VLOOKUP($A31,Table,MATCH(Z$4,Curves,0)))</f>
        <v>#N/A</v>
      </c>
      <c r="AA31" s="185" t="e">
        <f aca="false">IF($A32="","",VLOOKUP($A31,Table,MATCH(AA$4,Curves,0)))</f>
        <v>#N/A</v>
      </c>
      <c r="AB31" s="185" t="e">
        <f aca="false">SQRT((AA31^2*(A31-$D$3)+Z31^2*(DAY(EOMONTH(A31,0))/2))/AK31)</f>
        <v>#N/A</v>
      </c>
      <c r="AC31" s="185" t="e">
        <f aca="false">IF($A32="","",VLOOKUP($A31,Table,MATCH(AC$4,Curves,0)))</f>
        <v>#N/A</v>
      </c>
      <c r="AD31" s="185" t="e">
        <f aca="false">IF($A32="","",VLOOKUP($A31,Table,MATCH(AD$4,Curves,0)))</f>
        <v>#N/A</v>
      </c>
      <c r="AE31" s="185" t="e">
        <f aca="false">SQRT((AD31^2*(A31-$D$3)+AC31^2*(DAY(EOMONTH(A31,0))/2))/AK31)</f>
        <v>#N/A</v>
      </c>
      <c r="AF31" s="224" t="e">
        <f aca="false">((Summary!$N$14*(AA31*AD31)*(A31-$D$3))+(Summary!$M$14*Z31*AC31*(AJ31-EOMONTH(EDATE(A31,-1),0))))/(AK31*AB31*AE31)</f>
        <v>#N/A</v>
      </c>
      <c r="AG31" s="207" t="n">
        <f aca="false">IF($A32="","",Summary!$Q$14)</f>
        <v>0</v>
      </c>
      <c r="AH31" s="207" t="n">
        <f aca="false">IF($A32="","",IF(Summary!$R$12="Y",(VLOOKUP($A31,Summary!$AD$6:$AF$9,3)+'Escalating commodity'!J44),'Escalating commodity'!J44))</f>
        <v>0.00505604691740096</v>
      </c>
      <c r="AI31" s="207" t="n">
        <f aca="false">IF($A32="","",AH31)</f>
        <v>0.00505604691740096</v>
      </c>
      <c r="AJ31" s="208" t="n">
        <f aca="false">A31+DAY(EOMONTH(A31,0))/2-1</f>
        <v>37695.5</v>
      </c>
      <c r="AK31" s="209" t="n">
        <f aca="false">IF($A32="","",$A31-$E$1)</f>
        <v>-8245</v>
      </c>
      <c r="AL31" s="182" t="e">
        <f aca="false">IF($A32="","",SPRDOPT(P31,X31,AI31,0,AB31,AE31,AF31,AK31,$AJ$2,0))</f>
        <v>#NAME?</v>
      </c>
      <c r="AM31" s="211" t="e">
        <f aca="false">IF($A32="","",MAX(0,O31-W31-AI31))</f>
        <v>#N/A</v>
      </c>
      <c r="AN31" s="211" t="e">
        <f aca="false">IF($A32="","",AL31-AM31)</f>
        <v>#N/A</v>
      </c>
      <c r="AO31" s="137" t="n">
        <f aca="false">IF(A32="","",A32-A31)</f>
        <v>31</v>
      </c>
      <c r="AP31" s="212" t="n">
        <f aca="false">IF(A32="","",CHOOSE(F$3,A32+24,A31))</f>
        <v>37681</v>
      </c>
      <c r="AQ31" s="209" t="n">
        <f aca="false">IF(A32="","",AP31-$E$1)</f>
        <v>-8245</v>
      </c>
      <c r="AR31" s="185" t="n">
        <f aca="false">'ANR OK vs ML7'!AR31</f>
        <v>0.1</v>
      </c>
      <c r="AS31" s="213" t="n">
        <f aca="false">IF(A32="","",1/(1+CHOOSE(F$3,(AR32+($I$3/10000))/2,(AR31+($I$3/10000))/2))^(2*AQ31/365.25))</f>
        <v>9.0497517174843</v>
      </c>
      <c r="AT31" s="137" t="n">
        <f aca="false">IF(A32="","",IF(AND(mthbeg&lt;=A31,mthend&gt;=A31),1,0))</f>
        <v>1</v>
      </c>
      <c r="AU31" s="137" t="n">
        <f aca="false">IF(A32="","",AO31*AT31)</f>
        <v>31</v>
      </c>
      <c r="AW31" s="195" t="e">
        <f aca="false">IF($A32="","",AL31*$E31)</f>
        <v>#NAME?</v>
      </c>
      <c r="AX31" s="195" t="e">
        <f aca="false">IF($A32="","",AM31*$E31)</f>
        <v>#N/A</v>
      </c>
      <c r="AY31" s="195" t="e">
        <f aca="false">IF($A32="","",AN31*$E31)</f>
        <v>#N/A</v>
      </c>
      <c r="BA31" s="195" t="n">
        <f aca="false">IF($A32="","",F31*Summary!$Q$14)</f>
        <v>0</v>
      </c>
      <c r="BC31" s="179" t="e">
        <f aca="false">IF(A32="","",AM31*F31)</f>
        <v>#N/A</v>
      </c>
    </row>
    <row r="32" customFormat="false" ht="12.75" hidden="false" customHeight="false" outlineLevel="0" collapsed="false">
      <c r="A32" s="196" t="n">
        <f aca="false">IF(A31&lt;mthend,EDATE(A31,1),"")</f>
        <v>37712</v>
      </c>
      <c r="B32" s="197" t="n">
        <f aca="false">IF(A32&lt;mthend,B31,"")</f>
        <v>28400</v>
      </c>
      <c r="C32" s="215"/>
      <c r="D32" s="197" t="n">
        <f aca="false">IF(A33&lt;&gt;"",B32+C32,"")</f>
        <v>28400</v>
      </c>
      <c r="E32" s="199" t="n">
        <f aca="false">IF(A33="","",IF(AND(AT32=1,$H$3=1),D32*AO32,IF($H$3=2,D32,"N/A")))</f>
        <v>852000</v>
      </c>
      <c r="F32" s="199" t="n">
        <f aca="false">IF(A33="","",E32*AS32)</f>
        <v>7646794.94727569</v>
      </c>
      <c r="G32" s="200" t="e">
        <f aca="false">IF($A33="","",VLOOKUP($A32,Table,MATCH(G$4,Curves,0)))</f>
        <v>#N/A</v>
      </c>
      <c r="H32" s="201" t="e">
        <f aca="false">IF(A33="","",G32)</f>
        <v>#N/A</v>
      </c>
      <c r="I32" s="202"/>
      <c r="J32" s="200" t="e">
        <f aca="false">IF($A33="","",VLOOKUP($A32,Table,MATCH(J$4,Curves,0)))</f>
        <v>#N/A</v>
      </c>
      <c r="K32" s="201" t="e">
        <f aca="false">IF(A33="","",J32)</f>
        <v>#N/A</v>
      </c>
      <c r="L32" s="185" t="n">
        <v>0</v>
      </c>
      <c r="M32" s="201" t="n">
        <f aca="false">IF(A33="","",L32)</f>
        <v>0</v>
      </c>
      <c r="N32" s="203"/>
      <c r="O32" s="200" t="e">
        <f aca="false">IF(A33="","",L32+J32+G32)</f>
        <v>#N/A</v>
      </c>
      <c r="P32" s="200" t="e">
        <f aca="false">IF(A33="","",M32+K32+H32)</f>
        <v>#N/A</v>
      </c>
      <c r="Q32" s="204"/>
      <c r="R32" s="200" t="e">
        <f aca="false">IF($A33="","",VLOOKUP($A32,Table,MATCH(R$4,Curves,0)))</f>
        <v>#N/A</v>
      </c>
      <c r="S32" s="201" t="e">
        <f aca="false">IF(A33="","",R32)</f>
        <v>#N/A</v>
      </c>
      <c r="T32" s="200" t="e">
        <f aca="false">IF($A33="","",VLOOKUP($A32,Table,MATCH(T$4,Curves,0)))</f>
        <v>#N/A</v>
      </c>
      <c r="U32" s="201" t="e">
        <f aca="false">IF(A33="","",T32)</f>
        <v>#N/A</v>
      </c>
      <c r="V32" s="183" t="e">
        <f aca="false">IF($A33="","",IF(AND(MONTH(A32)&gt;3,MONTH(A32)&lt;11),(T32+R32+G32)*(((1/(1-Summary!$T$14))/(1-Summary!$W$14))-1),(T32+R32+G32)*((1/(1-Summary!$U$14))/(1-Summary!$X$14)-1)))</f>
        <v>#N/A</v>
      </c>
      <c r="W32" s="202" t="e">
        <f aca="false">IF($A33="","",(T32+R32+G32+V32))</f>
        <v>#N/A</v>
      </c>
      <c r="X32" s="202" t="e">
        <f aca="false">IF($A33="","",(U32+S32+H32+V32))</f>
        <v>#N/A</v>
      </c>
      <c r="Y32" s="202"/>
      <c r="Z32" s="185" t="e">
        <f aca="false">IF($A33="","",VLOOKUP($A32,Table,MATCH(Z$4,Curves,0)))</f>
        <v>#N/A</v>
      </c>
      <c r="AA32" s="185" t="e">
        <f aca="false">IF($A33="","",VLOOKUP($A32,Table,MATCH(AA$4,Curves,0)))</f>
        <v>#N/A</v>
      </c>
      <c r="AB32" s="185" t="e">
        <f aca="false">SQRT((AA32^2*(A32-$D$3)+Z32^2*(DAY(EOMONTH(A32,0))/2))/AK32)</f>
        <v>#N/A</v>
      </c>
      <c r="AC32" s="185" t="e">
        <f aca="false">IF($A33="","",VLOOKUP($A32,Table,MATCH(AC$4,Curves,0)))</f>
        <v>#N/A</v>
      </c>
      <c r="AD32" s="185" t="e">
        <f aca="false">IF($A33="","",VLOOKUP($A32,Table,MATCH(AD$4,Curves,0)))</f>
        <v>#N/A</v>
      </c>
      <c r="AE32" s="185" t="e">
        <f aca="false">SQRT((AD32^2*(A32-$D$3)+AC32^2*(DAY(EOMONTH(A32,0))/2))/AK32)</f>
        <v>#N/A</v>
      </c>
      <c r="AF32" s="224" t="e">
        <f aca="false">((Summary!$N$14*(AA32*AD32)*(A32-$D$3))+(Summary!$M$14*Z32*AC32*(AJ32-EOMONTH(EDATE(A32,-1),0))))/(AK32*AB32*AE32)</f>
        <v>#N/A</v>
      </c>
      <c r="AG32" s="207" t="n">
        <f aca="false">IF($A33="","",Summary!$Q$14)</f>
        <v>0</v>
      </c>
      <c r="AH32" s="207" t="n">
        <f aca="false">IF($A33="","",IF(Summary!$R$12="Y",(VLOOKUP($A32,Summary!$AD$6:$AF$9,3)+'Escalating commodity'!J45),'Escalating commodity'!J45))</f>
        <v>0.00505604691740096</v>
      </c>
      <c r="AI32" s="207" t="n">
        <f aca="false">IF($A33="","",AH32)</f>
        <v>0.00505604691740096</v>
      </c>
      <c r="AJ32" s="208" t="n">
        <f aca="false">A32+DAY(EOMONTH(A32,0))/2-1</f>
        <v>37726</v>
      </c>
      <c r="AK32" s="209" t="n">
        <f aca="false">IF($A33="","",$A32-$E$1)</f>
        <v>-8214</v>
      </c>
      <c r="AL32" s="182" t="e">
        <f aca="false">IF($A33="","",SPRDOPT(P32,X32,AI32,0,AB32,AE32,AF32,AK32,$AJ$2,0))</f>
        <v>#NAME?</v>
      </c>
      <c r="AM32" s="211" t="e">
        <f aca="false">IF($A33="","",MAX(0,O32-W32-AI32))</f>
        <v>#N/A</v>
      </c>
      <c r="AN32" s="211" t="e">
        <f aca="false">IF($A33="","",AL32-AM32)</f>
        <v>#N/A</v>
      </c>
      <c r="AO32" s="137" t="n">
        <f aca="false">IF(A33="","",A33-A32)</f>
        <v>30</v>
      </c>
      <c r="AP32" s="212" t="n">
        <f aca="false">IF(A33="","",CHOOSE(F$3,A33+24,A32))</f>
        <v>37712</v>
      </c>
      <c r="AQ32" s="209" t="n">
        <f aca="false">IF(A33="","",AP32-$E$1)</f>
        <v>-8214</v>
      </c>
      <c r="AR32" s="185" t="n">
        <f aca="false">'ANR OK vs ML7'!AR32</f>
        <v>0.1</v>
      </c>
      <c r="AS32" s="213" t="n">
        <f aca="false">IF(A33="","",1/(1+CHOOSE(F$3,(AR33+($I$3/10000))/2,(AR32+($I$3/10000))/2))^(2*AQ32/365.25))</f>
        <v>8.97511144046442</v>
      </c>
      <c r="AT32" s="137" t="n">
        <f aca="false">IF(A33="","",IF(AND(mthbeg&lt;=A32,mthend&gt;=A32),1,0))</f>
        <v>1</v>
      </c>
      <c r="AU32" s="137" t="n">
        <f aca="false">IF(A33="","",AO32*AT32)</f>
        <v>30</v>
      </c>
      <c r="AW32" s="195" t="e">
        <f aca="false">IF($A33="","",AL32*$E32)</f>
        <v>#NAME?</v>
      </c>
      <c r="AX32" s="195" t="e">
        <f aca="false">IF($A33="","",AM32*$E32)</f>
        <v>#N/A</v>
      </c>
      <c r="AY32" s="195" t="e">
        <f aca="false">IF($A33="","",AN32*$E32)</f>
        <v>#N/A</v>
      </c>
      <c r="BA32" s="195" t="n">
        <f aca="false">IF($A33="","",F32*Summary!$Q$14)</f>
        <v>0</v>
      </c>
      <c r="BC32" s="179" t="e">
        <f aca="false">IF(A33="","",AM32*F32)</f>
        <v>#N/A</v>
      </c>
    </row>
    <row r="33" customFormat="false" ht="12.75" hidden="false" customHeight="false" outlineLevel="0" collapsed="false">
      <c r="A33" s="196" t="n">
        <f aca="false">IF(A32&lt;mthend,EDATE(A32,1),"")</f>
        <v>37742</v>
      </c>
      <c r="B33" s="197" t="n">
        <f aca="false">IF(A33&lt;mthend,B32,"")</f>
        <v>28400</v>
      </c>
      <c r="C33" s="215"/>
      <c r="D33" s="197" t="n">
        <f aca="false">IF(A34&lt;&gt;"",B33+C33,"")</f>
        <v>28400</v>
      </c>
      <c r="E33" s="199" t="n">
        <f aca="false">IF(A34="","",IF(AND(AT33=1,$H$3=1),D33*AO33,IF($H$3=2,D33,"N/A")))</f>
        <v>880400</v>
      </c>
      <c r="F33" s="199" t="n">
        <f aca="false">IF(A34="","",E33*AS33)</f>
        <v>7838610.68701154</v>
      </c>
      <c r="G33" s="200" t="e">
        <f aca="false">IF($A34="","",VLOOKUP($A33,Table,MATCH(G$4,Curves,0)))</f>
        <v>#N/A</v>
      </c>
      <c r="H33" s="201" t="e">
        <f aca="false">IF(A34="","",G33)</f>
        <v>#N/A</v>
      </c>
      <c r="I33" s="202"/>
      <c r="J33" s="200" t="e">
        <f aca="false">IF($A34="","",VLOOKUP($A33,Table,MATCH(J$4,Curves,0)))</f>
        <v>#N/A</v>
      </c>
      <c r="K33" s="201" t="e">
        <f aca="false">IF(A34="","",J33)</f>
        <v>#N/A</v>
      </c>
      <c r="L33" s="185" t="n">
        <v>0</v>
      </c>
      <c r="M33" s="201" t="n">
        <f aca="false">IF(A34="","",L33)</f>
        <v>0</v>
      </c>
      <c r="N33" s="203"/>
      <c r="O33" s="200" t="e">
        <f aca="false">IF(A34="","",L33+J33+G33)</f>
        <v>#N/A</v>
      </c>
      <c r="P33" s="200" t="e">
        <f aca="false">IF(A34="","",M33+K33+H33)</f>
        <v>#N/A</v>
      </c>
      <c r="Q33" s="204"/>
      <c r="R33" s="200" t="e">
        <f aca="false">IF($A34="","",VLOOKUP($A33,Table,MATCH(R$4,Curves,0)))</f>
        <v>#N/A</v>
      </c>
      <c r="S33" s="201" t="e">
        <f aca="false">IF(A34="","",R33)</f>
        <v>#N/A</v>
      </c>
      <c r="T33" s="200" t="e">
        <f aca="false">IF($A34="","",VLOOKUP($A33,Table,MATCH(T$4,Curves,0)))</f>
        <v>#N/A</v>
      </c>
      <c r="U33" s="201" t="e">
        <f aca="false">IF(A34="","",T33)</f>
        <v>#N/A</v>
      </c>
      <c r="V33" s="183" t="e">
        <f aca="false">IF($A34="","",IF(AND(MONTH(A33)&gt;3,MONTH(A33)&lt;11),(T33+R33+G33)*(((1/(1-Summary!$T$14))/(1-Summary!$W$14))-1),(T33+R33+G33)*((1/(1-Summary!$U$14))/(1-Summary!$X$14)-1)))</f>
        <v>#N/A</v>
      </c>
      <c r="W33" s="202" t="e">
        <f aca="false">IF($A34="","",(T33+R33+G33+V33))</f>
        <v>#N/A</v>
      </c>
      <c r="X33" s="202" t="e">
        <f aca="false">IF($A34="","",(U33+S33+H33+V33))</f>
        <v>#N/A</v>
      </c>
      <c r="Y33" s="202"/>
      <c r="Z33" s="185" t="e">
        <f aca="false">IF($A34="","",VLOOKUP($A33,Table,MATCH(Z$4,Curves,0)))</f>
        <v>#N/A</v>
      </c>
      <c r="AA33" s="185" t="e">
        <f aca="false">IF($A34="","",VLOOKUP($A33,Table,MATCH(AA$4,Curves,0)))</f>
        <v>#N/A</v>
      </c>
      <c r="AB33" s="185" t="e">
        <f aca="false">SQRT((AA33^2*(A33-$D$3)+Z33^2*(DAY(EOMONTH(A33,0))/2))/AK33)</f>
        <v>#N/A</v>
      </c>
      <c r="AC33" s="185" t="e">
        <f aca="false">IF($A34="","",VLOOKUP($A33,Table,MATCH(AC$4,Curves,0)))</f>
        <v>#N/A</v>
      </c>
      <c r="AD33" s="185" t="e">
        <f aca="false">IF($A34="","",VLOOKUP($A33,Table,MATCH(AD$4,Curves,0)))</f>
        <v>#N/A</v>
      </c>
      <c r="AE33" s="185" t="e">
        <f aca="false">SQRT((AD33^2*(A33-$D$3)+AC33^2*(DAY(EOMONTH(A33,0))/2))/AK33)</f>
        <v>#N/A</v>
      </c>
      <c r="AF33" s="224" t="e">
        <f aca="false">((Summary!$N$14*(AA33*AD33)*(A33-$D$3))+(Summary!$M$14*Z33*AC33*(AJ33-EOMONTH(EDATE(A33,-1),0))))/(AK33*AB33*AE33)</f>
        <v>#N/A</v>
      </c>
      <c r="AG33" s="207" t="n">
        <f aca="false">IF($A34="","",Summary!$Q$14)</f>
        <v>0</v>
      </c>
      <c r="AH33" s="207" t="n">
        <f aca="false">IF($A34="","",IF(Summary!$R$12="Y",(VLOOKUP($A33,Summary!$AD$6:$AF$9,3)+'Escalating commodity'!J46),'Escalating commodity'!J46))</f>
        <v>0.00505604691740096</v>
      </c>
      <c r="AI33" s="207" t="n">
        <f aca="false">IF($A34="","",AH33)</f>
        <v>0.00505604691740096</v>
      </c>
      <c r="AJ33" s="208" t="n">
        <f aca="false">A33+DAY(EOMONTH(A33,0))/2-1</f>
        <v>37756.5</v>
      </c>
      <c r="AK33" s="209" t="n">
        <f aca="false">IF($A34="","",$A33-$E$1)</f>
        <v>-8184</v>
      </c>
      <c r="AL33" s="182" t="e">
        <f aca="false">IF($A34="","",SPRDOPT(P33,X33,AI33,0,AB33,AE33,AF33,AK33,$AJ$2,0))</f>
        <v>#NAME?</v>
      </c>
      <c r="AM33" s="211" t="e">
        <f aca="false">IF($A34="","",MAX(0,O33-W33-AI33))</f>
        <v>#N/A</v>
      </c>
      <c r="AN33" s="211" t="e">
        <f aca="false">IF($A34="","",AL33-AM33)</f>
        <v>#N/A</v>
      </c>
      <c r="AO33" s="137" t="n">
        <f aca="false">IF(A34="","",A34-A33)</f>
        <v>31</v>
      </c>
      <c r="AP33" s="212" t="n">
        <f aca="false">IF(A34="","",CHOOSE(F$3,A34+24,A33))</f>
        <v>37742</v>
      </c>
      <c r="AQ33" s="209" t="n">
        <f aca="false">IF(A34="","",AP33-$E$1)</f>
        <v>-8184</v>
      </c>
      <c r="AR33" s="185" t="n">
        <f aca="false">'ANR OK vs ML7'!AR33</f>
        <v>0.1</v>
      </c>
      <c r="AS33" s="213" t="n">
        <f aca="false">IF(A34="","",1/(1+CHOOSE(F$3,(AR34+($I$3/10000))/2,(AR33+($I$3/10000))/2))^(2*AQ33/365.25))</f>
        <v>8.90346511473369</v>
      </c>
      <c r="AT33" s="137" t="n">
        <f aca="false">IF(A34="","",IF(AND(mthbeg&lt;=A33,mthend&gt;=A33),1,0))</f>
        <v>1</v>
      </c>
      <c r="AU33" s="137" t="n">
        <f aca="false">IF(A34="","",AO33*AT33)</f>
        <v>31</v>
      </c>
      <c r="AW33" s="195" t="e">
        <f aca="false">IF($A34="","",AL33*$E33)</f>
        <v>#NAME?</v>
      </c>
      <c r="AX33" s="195" t="e">
        <f aca="false">IF($A34="","",AM33*$E33)</f>
        <v>#N/A</v>
      </c>
      <c r="AY33" s="195" t="e">
        <f aca="false">IF($A34="","",AN33*$E33)</f>
        <v>#N/A</v>
      </c>
      <c r="BA33" s="195" t="n">
        <f aca="false">IF($A34="","",F33*Summary!$Q$14)</f>
        <v>0</v>
      </c>
      <c r="BC33" s="179" t="e">
        <f aca="false">IF(A34="","",AM33*F33)</f>
        <v>#N/A</v>
      </c>
    </row>
    <row r="34" customFormat="false" ht="12.75" hidden="false" customHeight="false" outlineLevel="0" collapsed="false">
      <c r="A34" s="196" t="n">
        <f aca="false">IF(A33&lt;mthend,EDATE(A33,1),"")</f>
        <v>37773</v>
      </c>
      <c r="B34" s="197" t="n">
        <f aca="false">IF(A34&lt;mthend,B33,"")</f>
        <v>28400</v>
      </c>
      <c r="C34" s="215"/>
      <c r="D34" s="197" t="n">
        <f aca="false">IF(A35&lt;&gt;"",B34+C34,"")</f>
        <v>28400</v>
      </c>
      <c r="E34" s="199" t="n">
        <f aca="false">IF(A35="","",IF(AND(AT34=1,$H$3=1),D34*AO34,IF($H$3=2,D34,"N/A")))</f>
        <v>852000</v>
      </c>
      <c r="F34" s="199" t="n">
        <f aca="false">IF(A35="","",E34*AS34)</f>
        <v>7523186.73241093</v>
      </c>
      <c r="G34" s="200" t="e">
        <f aca="false">IF($A35="","",VLOOKUP($A34,Table,MATCH(G$4,Curves,0)))</f>
        <v>#N/A</v>
      </c>
      <c r="H34" s="201" t="e">
        <f aca="false">IF(A35="","",G34)</f>
        <v>#N/A</v>
      </c>
      <c r="I34" s="202"/>
      <c r="J34" s="200" t="e">
        <f aca="false">IF($A35="","",VLOOKUP($A34,Table,MATCH(J$4,Curves,0)))</f>
        <v>#N/A</v>
      </c>
      <c r="K34" s="201" t="e">
        <f aca="false">IF(A35="","",J34)</f>
        <v>#N/A</v>
      </c>
      <c r="L34" s="185" t="n">
        <v>0</v>
      </c>
      <c r="M34" s="201" t="n">
        <f aca="false">IF(A35="","",L34)</f>
        <v>0</v>
      </c>
      <c r="N34" s="203"/>
      <c r="O34" s="200" t="e">
        <f aca="false">IF(A35="","",L34+J34+G34)</f>
        <v>#N/A</v>
      </c>
      <c r="P34" s="200" t="e">
        <f aca="false">IF(A35="","",M34+K34+H34)</f>
        <v>#N/A</v>
      </c>
      <c r="Q34" s="204"/>
      <c r="R34" s="200" t="e">
        <f aca="false">IF($A35="","",VLOOKUP($A34,Table,MATCH(R$4,Curves,0)))</f>
        <v>#N/A</v>
      </c>
      <c r="S34" s="201" t="e">
        <f aca="false">IF(A35="","",R34)</f>
        <v>#N/A</v>
      </c>
      <c r="T34" s="200" t="e">
        <f aca="false">IF($A35="","",VLOOKUP($A34,Table,MATCH(T$4,Curves,0)))</f>
        <v>#N/A</v>
      </c>
      <c r="U34" s="201" t="e">
        <f aca="false">IF(A35="","",T34)</f>
        <v>#N/A</v>
      </c>
      <c r="V34" s="183" t="e">
        <f aca="false">IF($A35="","",IF(AND(MONTH(A34)&gt;3,MONTH(A34)&lt;11),(T34+R34+G34)*(((1/(1-Summary!$T$14))/(1-Summary!$W$14))-1),(T34+R34+G34)*((1/(1-Summary!$U$14))/(1-Summary!$X$14)-1)))</f>
        <v>#N/A</v>
      </c>
      <c r="W34" s="202" t="e">
        <f aca="false">IF($A35="","",(T34+R34+G34+V34))</f>
        <v>#N/A</v>
      </c>
      <c r="X34" s="202" t="e">
        <f aca="false">IF($A35="","",(U34+S34+H34+V34))</f>
        <v>#N/A</v>
      </c>
      <c r="Y34" s="202"/>
      <c r="Z34" s="185" t="e">
        <f aca="false">IF($A35="","",VLOOKUP($A34,Table,MATCH(Z$4,Curves,0)))</f>
        <v>#N/A</v>
      </c>
      <c r="AA34" s="185" t="e">
        <f aca="false">IF($A35="","",VLOOKUP($A34,Table,MATCH(AA$4,Curves,0)))</f>
        <v>#N/A</v>
      </c>
      <c r="AB34" s="185" t="e">
        <f aca="false">SQRT((AA34^2*(A34-$D$3)+Z34^2*(DAY(EOMONTH(A34,0))/2))/AK34)</f>
        <v>#N/A</v>
      </c>
      <c r="AC34" s="185" t="e">
        <f aca="false">IF($A35="","",VLOOKUP($A34,Table,MATCH(AC$4,Curves,0)))</f>
        <v>#N/A</v>
      </c>
      <c r="AD34" s="185" t="e">
        <f aca="false">IF($A35="","",VLOOKUP($A34,Table,MATCH(AD$4,Curves,0)))</f>
        <v>#N/A</v>
      </c>
      <c r="AE34" s="185" t="e">
        <f aca="false">SQRT((AD34^2*(A34-$D$3)+AC34^2*(DAY(EOMONTH(A34,0))/2))/AK34)</f>
        <v>#N/A</v>
      </c>
      <c r="AF34" s="224" t="e">
        <f aca="false">((Summary!$N$14*(AA34*AD34)*(A34-$D$3))+(Summary!$M$14*Z34*AC34*(AJ34-EOMONTH(EDATE(A34,-1),0))))/(AK34*AB34*AE34)</f>
        <v>#N/A</v>
      </c>
      <c r="AG34" s="207" t="n">
        <f aca="false">IF($A35="","",Summary!$Q$14)</f>
        <v>0</v>
      </c>
      <c r="AH34" s="207" t="n">
        <f aca="false">IF($A35="","",IF(Summary!$R$12="Y",(VLOOKUP($A34,Summary!$AD$6:$AF$9,3)+'Escalating commodity'!J47),'Escalating commodity'!J47))</f>
        <v>0.00505604691740096</v>
      </c>
      <c r="AI34" s="207" t="n">
        <f aca="false">IF($A35="","",AH34)</f>
        <v>0.00505604691740096</v>
      </c>
      <c r="AJ34" s="208" t="n">
        <f aca="false">A34+DAY(EOMONTH(A34,0))/2-1</f>
        <v>37787</v>
      </c>
      <c r="AK34" s="209" t="n">
        <f aca="false">IF($A35="","",$A34-$E$1)</f>
        <v>-8153</v>
      </c>
      <c r="AL34" s="182" t="e">
        <f aca="false">IF($A35="","",SPRDOPT(P34,X34,AI34,0,AB34,AE34,AF34,AK34,$AJ$2,0))</f>
        <v>#NAME?</v>
      </c>
      <c r="AM34" s="211" t="e">
        <f aca="false">IF($A35="","",MAX(0,O34-W34-AI34))</f>
        <v>#N/A</v>
      </c>
      <c r="AN34" s="211" t="e">
        <f aca="false">IF($A35="","",AL34-AM34)</f>
        <v>#N/A</v>
      </c>
      <c r="AO34" s="137" t="n">
        <f aca="false">IF(A35="","",A35-A34)</f>
        <v>30</v>
      </c>
      <c r="AP34" s="212" t="n">
        <f aca="false">IF(A35="","",CHOOSE(F$3,A35+24,A34))</f>
        <v>37773</v>
      </c>
      <c r="AQ34" s="209" t="n">
        <f aca="false">IF(A35="","",AP34-$E$1)</f>
        <v>-8153</v>
      </c>
      <c r="AR34" s="185" t="n">
        <f aca="false">'ANR OK vs ML7'!AR34</f>
        <v>0.1</v>
      </c>
      <c r="AS34" s="213" t="n">
        <f aca="false">IF(A35="","",1/(1+CHOOSE(F$3,(AR35+($I$3/10000))/2,(AR34+($I$3/10000))/2))^(2*AQ34/365.25))</f>
        <v>8.83003137606917</v>
      </c>
      <c r="AT34" s="137" t="n">
        <f aca="false">IF(A35="","",IF(AND(mthbeg&lt;=A34,mthend&gt;=A34),1,0))</f>
        <v>1</v>
      </c>
      <c r="AU34" s="137" t="n">
        <f aca="false">IF(A35="","",AO34*AT34)</f>
        <v>30</v>
      </c>
      <c r="AW34" s="195" t="e">
        <f aca="false">IF($A35="","",AL34*$E34)</f>
        <v>#NAME?</v>
      </c>
      <c r="AX34" s="195" t="e">
        <f aca="false">IF($A35="","",AM34*$E34)</f>
        <v>#N/A</v>
      </c>
      <c r="AY34" s="195" t="e">
        <f aca="false">IF($A35="","",AN34*$E34)</f>
        <v>#N/A</v>
      </c>
      <c r="BA34" s="195" t="n">
        <f aca="false">IF($A35="","",F34*Summary!$Q$14)</f>
        <v>0</v>
      </c>
      <c r="BC34" s="179" t="e">
        <f aca="false">IF(A35="","",AM34*F34)</f>
        <v>#N/A</v>
      </c>
    </row>
    <row r="35" customFormat="false" ht="12.75" hidden="false" customHeight="false" outlineLevel="0" collapsed="false">
      <c r="A35" s="196" t="n">
        <f aca="false">IF(A34&lt;mthend,EDATE(A34,1),"")</f>
        <v>37803</v>
      </c>
      <c r="B35" s="197" t="n">
        <f aca="false">IF(A35&lt;mthend,B34,"")</f>
        <v>28400</v>
      </c>
      <c r="C35" s="215"/>
      <c r="D35" s="197" t="n">
        <f aca="false">IF(A36&lt;&gt;"",B35+C35,"")</f>
        <v>28400</v>
      </c>
      <c r="E35" s="199" t="n">
        <f aca="false">IF(A36="","",IF(AND(AT35=1,$H$3=1),D35*AO35,IF($H$3=2,D35,"N/A")))</f>
        <v>880400</v>
      </c>
      <c r="F35" s="199" t="n">
        <f aca="false">IF(A36="","",E35*AS35)</f>
        <v>7711901.82653837</v>
      </c>
      <c r="G35" s="200" t="e">
        <f aca="false">IF($A36="","",VLOOKUP($A35,Table,MATCH(G$4,Curves,0)))</f>
        <v>#N/A</v>
      </c>
      <c r="H35" s="201" t="e">
        <f aca="false">IF(A36="","",G35)</f>
        <v>#N/A</v>
      </c>
      <c r="I35" s="202"/>
      <c r="J35" s="200" t="e">
        <f aca="false">IF($A36="","",VLOOKUP($A35,Table,MATCH(J$4,Curves,0)))</f>
        <v>#N/A</v>
      </c>
      <c r="K35" s="201" t="e">
        <f aca="false">IF(A36="","",J35)</f>
        <v>#N/A</v>
      </c>
      <c r="L35" s="185" t="n">
        <v>0</v>
      </c>
      <c r="M35" s="201" t="n">
        <f aca="false">IF(A36="","",L35)</f>
        <v>0</v>
      </c>
      <c r="N35" s="203"/>
      <c r="O35" s="200" t="e">
        <f aca="false">IF(A36="","",L35+J35+G35)</f>
        <v>#N/A</v>
      </c>
      <c r="P35" s="200" t="e">
        <f aca="false">IF(A36="","",M35+K35+H35)</f>
        <v>#N/A</v>
      </c>
      <c r="Q35" s="204"/>
      <c r="R35" s="200" t="e">
        <f aca="false">IF($A36="","",VLOOKUP($A35,Table,MATCH(R$4,Curves,0)))</f>
        <v>#N/A</v>
      </c>
      <c r="S35" s="201" t="e">
        <f aca="false">IF(A36="","",R35)</f>
        <v>#N/A</v>
      </c>
      <c r="T35" s="200" t="e">
        <f aca="false">IF($A36="","",VLOOKUP($A35,Table,MATCH(T$4,Curves,0)))</f>
        <v>#N/A</v>
      </c>
      <c r="U35" s="201" t="e">
        <f aca="false">IF(A36="","",T35)</f>
        <v>#N/A</v>
      </c>
      <c r="V35" s="183" t="e">
        <f aca="false">IF($A36="","",IF(AND(MONTH(A35)&gt;3,MONTH(A35)&lt;11),(T35+R35+G35)*(((1/(1-Summary!$T$14))/(1-Summary!$W$14))-1),(T35+R35+G35)*((1/(1-Summary!$U$14))/(1-Summary!$X$14)-1)))</f>
        <v>#N/A</v>
      </c>
      <c r="W35" s="202" t="e">
        <f aca="false">IF($A36="","",(T35+R35+G35+V35))</f>
        <v>#N/A</v>
      </c>
      <c r="X35" s="202" t="e">
        <f aca="false">IF($A36="","",(U35+S35+H35+V35))</f>
        <v>#N/A</v>
      </c>
      <c r="Y35" s="202"/>
      <c r="Z35" s="185" t="e">
        <f aca="false">IF($A36="","",VLOOKUP($A35,Table,MATCH(Z$4,Curves,0)))</f>
        <v>#N/A</v>
      </c>
      <c r="AA35" s="185" t="e">
        <f aca="false">IF($A36="","",VLOOKUP($A35,Table,MATCH(AA$4,Curves,0)))</f>
        <v>#N/A</v>
      </c>
      <c r="AB35" s="185" t="e">
        <f aca="false">SQRT((AA35^2*(A35-$D$3)+Z35^2*(DAY(EOMONTH(A35,0))/2))/AK35)</f>
        <v>#N/A</v>
      </c>
      <c r="AC35" s="185" t="e">
        <f aca="false">IF($A36="","",VLOOKUP($A35,Table,MATCH(AC$4,Curves,0)))</f>
        <v>#N/A</v>
      </c>
      <c r="AD35" s="185" t="e">
        <f aca="false">IF($A36="","",VLOOKUP($A35,Table,MATCH(AD$4,Curves,0)))</f>
        <v>#N/A</v>
      </c>
      <c r="AE35" s="185" t="e">
        <f aca="false">SQRT((AD35^2*(A35-$D$3)+AC35^2*(DAY(EOMONTH(A35,0))/2))/AK35)</f>
        <v>#N/A</v>
      </c>
      <c r="AF35" s="224" t="e">
        <f aca="false">((Summary!$N$14*(AA35*AD35)*(A35-$D$3))+(Summary!$M$14*Z35*AC35*(AJ35-EOMONTH(EDATE(A35,-1),0))))/(AK35*AB35*AE35)</f>
        <v>#N/A</v>
      </c>
      <c r="AG35" s="207" t="n">
        <f aca="false">IF($A36="","",Summary!$Q$14)</f>
        <v>0</v>
      </c>
      <c r="AH35" s="207" t="n">
        <f aca="false">IF($A36="","",IF(Summary!$R$12="Y",(VLOOKUP($A35,Summary!$AD$6:$AF$9,3)+'Escalating commodity'!J48),'Escalating commodity'!J48))</f>
        <v>0.00505604691740096</v>
      </c>
      <c r="AI35" s="207" t="n">
        <f aca="false">IF($A36="","",AH35)</f>
        <v>0.00505604691740096</v>
      </c>
      <c r="AJ35" s="208" t="n">
        <f aca="false">A35+DAY(EOMONTH(A35,0))/2-1</f>
        <v>37817.5</v>
      </c>
      <c r="AK35" s="209" t="n">
        <f aca="false">IF($A36="","",$A35-$E$1)</f>
        <v>-8123</v>
      </c>
      <c r="AL35" s="182" t="e">
        <f aca="false">IF($A36="","",SPRDOPT(P35,X35,AI35,0,AB35,AE35,AF35,AK35,$AJ$2,0))</f>
        <v>#NAME?</v>
      </c>
      <c r="AM35" s="211" t="e">
        <f aca="false">IF($A36="","",MAX(0,O35-W35-AI35))</f>
        <v>#N/A</v>
      </c>
      <c r="AN35" s="211" t="e">
        <f aca="false">IF($A36="","",AL35-AM35)</f>
        <v>#N/A</v>
      </c>
      <c r="AO35" s="137" t="n">
        <f aca="false">IF(A36="","",A36-A35)</f>
        <v>31</v>
      </c>
      <c r="AP35" s="212" t="n">
        <f aca="false">IF(A36="","",CHOOSE(F$3,A36+24,A35))</f>
        <v>37803</v>
      </c>
      <c r="AQ35" s="209" t="n">
        <f aca="false">IF(A36="","",AP35-$E$1)</f>
        <v>-8123</v>
      </c>
      <c r="AR35" s="185" t="n">
        <f aca="false">'ANR OK vs ML7'!AR35</f>
        <v>0.1</v>
      </c>
      <c r="AS35" s="213" t="n">
        <f aca="false">IF(A36="","",1/(1+CHOOSE(F$3,(AR36+($I$3/10000))/2,(AR35+($I$3/10000))/2))^(2*AQ35/365.25))</f>
        <v>8.75954319234254</v>
      </c>
      <c r="AT35" s="137" t="n">
        <f aca="false">IF(A36="","",IF(AND(mthbeg&lt;=A35,mthend&gt;=A35),1,0))</f>
        <v>1</v>
      </c>
      <c r="AU35" s="137" t="n">
        <f aca="false">IF(A36="","",AO35*AT35)</f>
        <v>31</v>
      </c>
      <c r="AW35" s="195" t="e">
        <f aca="false">IF($A36="","",AL35*$E35)</f>
        <v>#NAME?</v>
      </c>
      <c r="AX35" s="195" t="e">
        <f aca="false">IF($A36="","",AM35*$E35)</f>
        <v>#N/A</v>
      </c>
      <c r="AY35" s="195" t="e">
        <f aca="false">IF($A36="","",AN35*$E35)</f>
        <v>#N/A</v>
      </c>
      <c r="BA35" s="195" t="n">
        <f aca="false">IF($A36="","",F35*Summary!$Q$14)</f>
        <v>0</v>
      </c>
      <c r="BC35" s="179" t="e">
        <f aca="false">IF(A36="","",AM35*F35)</f>
        <v>#N/A</v>
      </c>
    </row>
    <row r="36" customFormat="false" ht="12.75" hidden="false" customHeight="false" outlineLevel="0" collapsed="false">
      <c r="A36" s="196" t="n">
        <f aca="false">IF(A35&lt;mthend,EDATE(A35,1),"")</f>
        <v>37834</v>
      </c>
      <c r="B36" s="197" t="n">
        <f aca="false">IF(A36&lt;mthend,B35,"")</f>
        <v>28400</v>
      </c>
      <c r="C36" s="215"/>
      <c r="D36" s="197" t="n">
        <f aca="false">IF(A37&lt;&gt;"",B36+C36,"")</f>
        <v>28400</v>
      </c>
      <c r="E36" s="199" t="n">
        <f aca="false">IF(A37="","",IF(AND(AT36=1,$H$3=1),D36*AO36,IF($H$3=2,D36,"N/A")))</f>
        <v>880400</v>
      </c>
      <c r="F36" s="199" t="n">
        <f aca="false">IF(A37="","",E36*AS36)</f>
        <v>7648295.82864444</v>
      </c>
      <c r="G36" s="200" t="e">
        <f aca="false">IF($A37="","",VLOOKUP($A36,Table,MATCH(G$4,Curves,0)))</f>
        <v>#N/A</v>
      </c>
      <c r="H36" s="201" t="e">
        <f aca="false">IF(A37="","",G36)</f>
        <v>#N/A</v>
      </c>
      <c r="I36" s="202"/>
      <c r="J36" s="200" t="e">
        <f aca="false">IF($A37="","",VLOOKUP($A36,Table,MATCH(J$4,Curves,0)))</f>
        <v>#N/A</v>
      </c>
      <c r="K36" s="201" t="e">
        <f aca="false">IF(A37="","",J36)</f>
        <v>#N/A</v>
      </c>
      <c r="L36" s="185" t="n">
        <v>0</v>
      </c>
      <c r="M36" s="201" t="n">
        <f aca="false">IF(A37="","",L36)</f>
        <v>0</v>
      </c>
      <c r="N36" s="203"/>
      <c r="O36" s="200" t="e">
        <f aca="false">IF(A37="","",L36+J36+G36)</f>
        <v>#N/A</v>
      </c>
      <c r="P36" s="200" t="e">
        <f aca="false">IF(A37="","",M36+K36+H36)</f>
        <v>#N/A</v>
      </c>
      <c r="Q36" s="204"/>
      <c r="R36" s="200" t="e">
        <f aca="false">IF($A37="","",VLOOKUP($A36,Table,MATCH(R$4,Curves,0)))</f>
        <v>#N/A</v>
      </c>
      <c r="S36" s="201" t="e">
        <f aca="false">IF(A37="","",R36)</f>
        <v>#N/A</v>
      </c>
      <c r="T36" s="200" t="e">
        <f aca="false">IF($A37="","",VLOOKUP($A36,Table,MATCH(T$4,Curves,0)))</f>
        <v>#N/A</v>
      </c>
      <c r="U36" s="201" t="e">
        <f aca="false">IF(A37="","",T36)</f>
        <v>#N/A</v>
      </c>
      <c r="V36" s="183" t="e">
        <f aca="false">IF($A37="","",IF(AND(MONTH(A36)&gt;3,MONTH(A36)&lt;11),(T36+R36+G36)*(((1/(1-Summary!$T$14))/(1-Summary!$W$14))-1),(T36+R36+G36)*((1/(1-Summary!$U$14))/(1-Summary!$X$14)-1)))</f>
        <v>#N/A</v>
      </c>
      <c r="W36" s="202" t="e">
        <f aca="false">IF($A37="","",(T36+R36+G36+V36))</f>
        <v>#N/A</v>
      </c>
      <c r="X36" s="202" t="e">
        <f aca="false">IF($A37="","",(U36+S36+H36+V36))</f>
        <v>#N/A</v>
      </c>
      <c r="Y36" s="202"/>
      <c r="Z36" s="185" t="e">
        <f aca="false">IF($A37="","",VLOOKUP($A36,Table,MATCH(Z$4,Curves,0)))</f>
        <v>#N/A</v>
      </c>
      <c r="AA36" s="185" t="e">
        <f aca="false">IF($A37="","",VLOOKUP($A36,Table,MATCH(AA$4,Curves,0)))</f>
        <v>#N/A</v>
      </c>
      <c r="AB36" s="185" t="e">
        <f aca="false">SQRT((AA36^2*(A36-$D$3)+Z36^2*(DAY(EOMONTH(A36,0))/2))/AK36)</f>
        <v>#N/A</v>
      </c>
      <c r="AC36" s="185" t="e">
        <f aca="false">IF($A37="","",VLOOKUP($A36,Table,MATCH(AC$4,Curves,0)))</f>
        <v>#N/A</v>
      </c>
      <c r="AD36" s="185" t="e">
        <f aca="false">IF($A37="","",VLOOKUP($A36,Table,MATCH(AD$4,Curves,0)))</f>
        <v>#N/A</v>
      </c>
      <c r="AE36" s="185" t="e">
        <f aca="false">SQRT((AD36^2*(A36-$D$3)+AC36^2*(DAY(EOMONTH(A36,0))/2))/AK36)</f>
        <v>#N/A</v>
      </c>
      <c r="AF36" s="224" t="e">
        <f aca="false">((Summary!$N$14*(AA36*AD36)*(A36-$D$3))+(Summary!$M$14*Z36*AC36*(AJ36-EOMONTH(EDATE(A36,-1),0))))/(AK36*AB36*AE36)</f>
        <v>#N/A</v>
      </c>
      <c r="AG36" s="207" t="n">
        <f aca="false">IF($A37="","",Summary!$Q$14)</f>
        <v>0</v>
      </c>
      <c r="AH36" s="207" t="n">
        <f aca="false">IF($A37="","",IF(Summary!$R$12="Y",(VLOOKUP($A36,Summary!$AD$6:$AF$9,3)+'Escalating commodity'!J49),'Escalating commodity'!J49))</f>
        <v>0.00505604691740096</v>
      </c>
      <c r="AI36" s="207" t="n">
        <f aca="false">IF($A37="","",AH36)</f>
        <v>0.00505604691740096</v>
      </c>
      <c r="AJ36" s="208" t="n">
        <f aca="false">A36+DAY(EOMONTH(A36,0))/2-1</f>
        <v>37848.5</v>
      </c>
      <c r="AK36" s="209" t="n">
        <f aca="false">IF($A37="","",$A36-$E$1)</f>
        <v>-8092</v>
      </c>
      <c r="AL36" s="182" t="e">
        <f aca="false">IF($A37="","",SPRDOPT(P36,X36,AI36,0,AB36,AE36,AF36,AK36,$AJ$2,0))</f>
        <v>#NAME?</v>
      </c>
      <c r="AM36" s="211" t="e">
        <f aca="false">IF($A37="","",MAX(0,O36-W36-AI36))</f>
        <v>#N/A</v>
      </c>
      <c r="AN36" s="211" t="e">
        <f aca="false">IF($A37="","",AL36-AM36)</f>
        <v>#N/A</v>
      </c>
      <c r="AO36" s="137" t="n">
        <f aca="false">IF(A37="","",A37-A36)</f>
        <v>31</v>
      </c>
      <c r="AP36" s="212" t="n">
        <f aca="false">IF(A37="","",CHOOSE(F$3,A37+24,A36))</f>
        <v>37834</v>
      </c>
      <c r="AQ36" s="209" t="n">
        <f aca="false">IF(A37="","",AP36-$E$1)</f>
        <v>-8092</v>
      </c>
      <c r="AR36" s="185" t="n">
        <f aca="false">'ANR OK vs ML7'!AR36</f>
        <v>0.1</v>
      </c>
      <c r="AS36" s="213" t="n">
        <f aca="false">IF(A37="","",1/(1+CHOOSE(F$3,(AR37+($I$3/10000))/2,(AR36+($I$3/10000))/2))^(2*AQ36/365.25))</f>
        <v>8.687296488692</v>
      </c>
      <c r="AT36" s="137" t="n">
        <f aca="false">IF(A37="","",IF(AND(mthbeg&lt;=A36,mthend&gt;=A36),1,0))</f>
        <v>1</v>
      </c>
      <c r="AU36" s="137" t="n">
        <f aca="false">IF(A37="","",AO36*AT36)</f>
        <v>31</v>
      </c>
      <c r="AW36" s="195" t="e">
        <f aca="false">IF($A37="","",AL36*$E36)</f>
        <v>#NAME?</v>
      </c>
      <c r="AX36" s="195" t="e">
        <f aca="false">IF($A37="","",AM36*$E36)</f>
        <v>#N/A</v>
      </c>
      <c r="AY36" s="195" t="e">
        <f aca="false">IF($A37="","",AN36*$E36)</f>
        <v>#N/A</v>
      </c>
      <c r="BA36" s="195" t="n">
        <f aca="false">IF($A37="","",F36*Summary!$Q$14)</f>
        <v>0</v>
      </c>
      <c r="BC36" s="179" t="e">
        <f aca="false">IF(A37="","",AM36*F36)</f>
        <v>#N/A</v>
      </c>
    </row>
    <row r="37" customFormat="false" ht="12.75" hidden="false" customHeight="false" outlineLevel="0" collapsed="false">
      <c r="A37" s="196" t="n">
        <f aca="false">IF(A36&lt;mthend,EDATE(A36,1),"")</f>
        <v>37865</v>
      </c>
      <c r="B37" s="197" t="n">
        <f aca="false">IF(A37&lt;mthend,B36,"")</f>
        <v>28400</v>
      </c>
      <c r="C37" s="215"/>
      <c r="D37" s="197" t="n">
        <f aca="false">IF(A38&lt;&gt;"",B37+C37,"")</f>
        <v>28400</v>
      </c>
      <c r="E37" s="199" t="n">
        <f aca="false">IF(A38="","",IF(AND(AT37=1,$H$3=1),D37*AO37,IF($H$3=2,D37,"N/A")))</f>
        <v>852000</v>
      </c>
      <c r="F37" s="199" t="n">
        <f aca="false">IF(A38="","",E37*AS37)</f>
        <v>7340530.10171227</v>
      </c>
      <c r="G37" s="200" t="e">
        <f aca="false">IF($A38="","",VLOOKUP($A37,Table,MATCH(G$4,Curves,0)))</f>
        <v>#N/A</v>
      </c>
      <c r="H37" s="201" t="e">
        <f aca="false">IF(A38="","",G37)</f>
        <v>#N/A</v>
      </c>
      <c r="I37" s="202"/>
      <c r="J37" s="200" t="e">
        <f aca="false">IF($A38="","",VLOOKUP($A37,Table,MATCH(J$4,Curves,0)))</f>
        <v>#N/A</v>
      </c>
      <c r="K37" s="201" t="e">
        <f aca="false">IF(A38="","",J37)</f>
        <v>#N/A</v>
      </c>
      <c r="L37" s="185" t="n">
        <v>0</v>
      </c>
      <c r="M37" s="201" t="n">
        <f aca="false">IF(A38="","",L37)</f>
        <v>0</v>
      </c>
      <c r="N37" s="203"/>
      <c r="O37" s="200" t="e">
        <f aca="false">IF(A38="","",L37+J37+G37)</f>
        <v>#N/A</v>
      </c>
      <c r="P37" s="200" t="e">
        <f aca="false">IF(A38="","",M37+K37+H37)</f>
        <v>#N/A</v>
      </c>
      <c r="Q37" s="204"/>
      <c r="R37" s="200" t="e">
        <f aca="false">IF($A38="","",VLOOKUP($A37,Table,MATCH(R$4,Curves,0)))</f>
        <v>#N/A</v>
      </c>
      <c r="S37" s="201" t="e">
        <f aca="false">IF(A38="","",R37)</f>
        <v>#N/A</v>
      </c>
      <c r="T37" s="200" t="e">
        <f aca="false">IF($A38="","",VLOOKUP($A37,Table,MATCH(T$4,Curves,0)))</f>
        <v>#N/A</v>
      </c>
      <c r="U37" s="201" t="e">
        <f aca="false">IF(A38="","",T37)</f>
        <v>#N/A</v>
      </c>
      <c r="V37" s="183" t="e">
        <f aca="false">IF($A38="","",IF(AND(MONTH(A37)&gt;3,MONTH(A37)&lt;11),(T37+R37+G37)*(((1/(1-Summary!$T$14))/(1-Summary!$W$14))-1),(T37+R37+G37)*((1/(1-Summary!$U$14))/(1-Summary!$X$14)-1)))</f>
        <v>#N/A</v>
      </c>
      <c r="W37" s="202" t="e">
        <f aca="false">IF($A38="","",(T37+R37+G37+V37))</f>
        <v>#N/A</v>
      </c>
      <c r="X37" s="202" t="e">
        <f aca="false">IF($A38="","",(U37+S37+H37+V37))</f>
        <v>#N/A</v>
      </c>
      <c r="Y37" s="202"/>
      <c r="Z37" s="185" t="e">
        <f aca="false">IF($A38="","",VLOOKUP($A37,Table,MATCH(Z$4,Curves,0)))</f>
        <v>#N/A</v>
      </c>
      <c r="AA37" s="185" t="e">
        <f aca="false">IF($A38="","",VLOOKUP($A37,Table,MATCH(AA$4,Curves,0)))</f>
        <v>#N/A</v>
      </c>
      <c r="AB37" s="185" t="e">
        <f aca="false">SQRT((AA37^2*(A37-$D$3)+Z37^2*(DAY(EOMONTH(A37,0))/2))/AK37)</f>
        <v>#N/A</v>
      </c>
      <c r="AC37" s="185" t="e">
        <f aca="false">IF($A38="","",VLOOKUP($A37,Table,MATCH(AC$4,Curves,0)))</f>
        <v>#N/A</v>
      </c>
      <c r="AD37" s="185" t="e">
        <f aca="false">IF($A38="","",VLOOKUP($A37,Table,MATCH(AD$4,Curves,0)))</f>
        <v>#N/A</v>
      </c>
      <c r="AE37" s="185" t="e">
        <f aca="false">SQRT((AD37^2*(A37-$D$3)+AC37^2*(DAY(EOMONTH(A37,0))/2))/AK37)</f>
        <v>#N/A</v>
      </c>
      <c r="AF37" s="224" t="e">
        <f aca="false">((Summary!$N$14*(AA37*AD37)*(A37-$D$3))+(Summary!$M$14*Z37*AC37*(AJ37-EOMONTH(EDATE(A37,-1),0))))/(AK37*AB37*AE37)</f>
        <v>#N/A</v>
      </c>
      <c r="AG37" s="207" t="n">
        <f aca="false">IF($A38="","",Summary!$Q$14)</f>
        <v>0</v>
      </c>
      <c r="AH37" s="207" t="n">
        <f aca="false">IF($A38="","",IF(Summary!$R$12="Y",(VLOOKUP($A37,Summary!$AD$6:$AF$9,3)+'Escalating commodity'!J50),'Escalating commodity'!J50))</f>
        <v>0.00505604691740096</v>
      </c>
      <c r="AI37" s="207" t="n">
        <f aca="false">IF($A38="","",AH37)</f>
        <v>0.00505604691740096</v>
      </c>
      <c r="AJ37" s="208" t="n">
        <f aca="false">A37+DAY(EOMONTH(A37,0))/2-1</f>
        <v>37879</v>
      </c>
      <c r="AK37" s="209" t="n">
        <f aca="false">IF($A38="","",$A37-$E$1)</f>
        <v>-8061</v>
      </c>
      <c r="AL37" s="182" t="e">
        <f aca="false">IF($A38="","",SPRDOPT(P37,X37,AI37,0,AB37,AE37,AF37,AK37,$AJ$2,0))</f>
        <v>#NAME?</v>
      </c>
      <c r="AM37" s="211" t="e">
        <f aca="false">IF($A38="","",MAX(0,O37-W37-AI37))</f>
        <v>#N/A</v>
      </c>
      <c r="AN37" s="211" t="e">
        <f aca="false">IF($A38="","",AL37-AM37)</f>
        <v>#N/A</v>
      </c>
      <c r="AO37" s="137" t="n">
        <f aca="false">IF(A38="","",A38-A37)</f>
        <v>30</v>
      </c>
      <c r="AP37" s="212" t="n">
        <f aca="false">IF(A38="","",CHOOSE(F$3,A38+24,A37))</f>
        <v>37865</v>
      </c>
      <c r="AQ37" s="209" t="n">
        <f aca="false">IF(A38="","",AP37-$E$1)</f>
        <v>-8061</v>
      </c>
      <c r="AR37" s="185" t="n">
        <f aca="false">'ANR OK vs ML7'!AR37</f>
        <v>0.1</v>
      </c>
      <c r="AS37" s="213" t="n">
        <f aca="false">IF(A38="","",1/(1+CHOOSE(F$3,(AR38+($I$3/10000))/2,(AR37+($I$3/10000))/2))^(2*AQ37/365.25))</f>
        <v>8.6156456592867</v>
      </c>
      <c r="AT37" s="137" t="n">
        <f aca="false">IF(A38="","",IF(AND(mthbeg&lt;=A37,mthend&gt;=A37),1,0))</f>
        <v>1</v>
      </c>
      <c r="AU37" s="137" t="n">
        <f aca="false">IF(A38="","",AO37*AT37)</f>
        <v>30</v>
      </c>
      <c r="AW37" s="195" t="e">
        <f aca="false">IF($A38="","",AL37*$E37)</f>
        <v>#NAME?</v>
      </c>
      <c r="AX37" s="195" t="e">
        <f aca="false">IF($A38="","",AM37*$E37)</f>
        <v>#N/A</v>
      </c>
      <c r="AY37" s="195" t="e">
        <f aca="false">IF($A38="","",AN37*$E37)</f>
        <v>#N/A</v>
      </c>
      <c r="BA37" s="195" t="n">
        <f aca="false">IF($A38="","",F37*Summary!$Q$14)</f>
        <v>0</v>
      </c>
      <c r="BC37" s="179" t="e">
        <f aca="false">IF(A38="","",AM37*F37)</f>
        <v>#N/A</v>
      </c>
    </row>
    <row r="38" customFormat="false" ht="12.75" hidden="false" customHeight="false" outlineLevel="0" collapsed="false">
      <c r="A38" s="196" t="n">
        <f aca="false">IF(A37&lt;mthend,EDATE(A37,1),"")</f>
        <v>37895</v>
      </c>
      <c r="B38" s="197" t="n">
        <f aca="false">IF(A38&lt;mthend,B37,"")</f>
        <v>28400</v>
      </c>
      <c r="C38" s="215"/>
      <c r="D38" s="197" t="n">
        <f aca="false">IF(A39&lt;&gt;"",B38+C38,"")</f>
        <v>28400</v>
      </c>
      <c r="E38" s="199" t="n">
        <f aca="false">IF(A39="","",IF(AND(AT38=1,$H$3=1),D38*AO38,IF($H$3=2,D38,"N/A")))</f>
        <v>880400</v>
      </c>
      <c r="F38" s="199" t="n">
        <f aca="false">IF(A39="","",E38*AS38)</f>
        <v>7524663.35246916</v>
      </c>
      <c r="G38" s="200" t="e">
        <f aca="false">IF($A39="","",VLOOKUP($A38,Table,MATCH(G$4,Curves,0)))</f>
        <v>#N/A</v>
      </c>
      <c r="H38" s="201" t="e">
        <f aca="false">IF(A39="","",G38)</f>
        <v>#N/A</v>
      </c>
      <c r="I38" s="202"/>
      <c r="J38" s="200" t="e">
        <f aca="false">IF($A39="","",VLOOKUP($A38,Table,MATCH(J$4,Curves,0)))</f>
        <v>#N/A</v>
      </c>
      <c r="K38" s="201" t="e">
        <f aca="false">IF(A39="","",J38)</f>
        <v>#N/A</v>
      </c>
      <c r="L38" s="185" t="n">
        <v>0</v>
      </c>
      <c r="M38" s="201" t="n">
        <f aca="false">IF(A39="","",L38)</f>
        <v>0</v>
      </c>
      <c r="N38" s="203"/>
      <c r="O38" s="200" t="e">
        <f aca="false">IF(A39="","",L38+J38+G38)</f>
        <v>#N/A</v>
      </c>
      <c r="P38" s="200" t="e">
        <f aca="false">IF(A39="","",M38+K38+H38)</f>
        <v>#N/A</v>
      </c>
      <c r="Q38" s="204"/>
      <c r="R38" s="200" t="e">
        <f aca="false">IF($A39="","",VLOOKUP($A38,Table,MATCH(R$4,Curves,0)))</f>
        <v>#N/A</v>
      </c>
      <c r="S38" s="201" t="e">
        <f aca="false">IF(A39="","",R38)</f>
        <v>#N/A</v>
      </c>
      <c r="T38" s="200" t="e">
        <f aca="false">IF($A39="","",VLOOKUP($A38,Table,MATCH(T$4,Curves,0)))</f>
        <v>#N/A</v>
      </c>
      <c r="U38" s="201" t="e">
        <f aca="false">IF(A39="","",T38)</f>
        <v>#N/A</v>
      </c>
      <c r="V38" s="183" t="e">
        <f aca="false">IF($A39="","",IF(AND(MONTH(A38)&gt;3,MONTH(A38)&lt;11),(T38+R38+G38)*(((1/(1-Summary!$T$14))/(1-Summary!$W$14))-1),(T38+R38+G38)*((1/(1-Summary!$U$14))/(1-Summary!$X$14)-1)))</f>
        <v>#N/A</v>
      </c>
      <c r="W38" s="202" t="e">
        <f aca="false">IF($A39="","",(T38+R38+G38+V38))</f>
        <v>#N/A</v>
      </c>
      <c r="X38" s="202" t="e">
        <f aca="false">IF($A39="","",(U38+S38+H38+V38))</f>
        <v>#N/A</v>
      </c>
      <c r="Y38" s="202"/>
      <c r="Z38" s="185" t="e">
        <f aca="false">IF($A39="","",VLOOKUP($A38,Table,MATCH(Z$4,Curves,0)))</f>
        <v>#N/A</v>
      </c>
      <c r="AA38" s="185" t="e">
        <f aca="false">IF($A39="","",VLOOKUP($A38,Table,MATCH(AA$4,Curves,0)))</f>
        <v>#N/A</v>
      </c>
      <c r="AB38" s="185" t="e">
        <f aca="false">SQRT((AA38^2*(A38-$D$3)+Z38^2*(DAY(EOMONTH(A38,0))/2))/AK38)</f>
        <v>#N/A</v>
      </c>
      <c r="AC38" s="185" t="e">
        <f aca="false">IF($A39="","",VLOOKUP($A38,Table,MATCH(AC$4,Curves,0)))</f>
        <v>#N/A</v>
      </c>
      <c r="AD38" s="185" t="e">
        <f aca="false">IF($A39="","",VLOOKUP($A38,Table,MATCH(AD$4,Curves,0)))</f>
        <v>#N/A</v>
      </c>
      <c r="AE38" s="185" t="e">
        <f aca="false">SQRT((AD38^2*(A38-$D$3)+AC38^2*(DAY(EOMONTH(A38,0))/2))/AK38)</f>
        <v>#N/A</v>
      </c>
      <c r="AF38" s="224" t="e">
        <f aca="false">((Summary!$N$14*(AA38*AD38)*(A38-$D$3))+(Summary!$M$14*Z38*AC38*(AJ38-EOMONTH(EDATE(A38,-1),0))))/(AK38*AB38*AE38)</f>
        <v>#N/A</v>
      </c>
      <c r="AG38" s="207" t="n">
        <f aca="false">IF($A39="","",Summary!$Q$14)</f>
        <v>0</v>
      </c>
      <c r="AH38" s="207" t="n">
        <f aca="false">IF($A39="","",IF(Summary!$R$12="Y",(VLOOKUP($A38,Summary!$AD$6:$AF$9,3)+'Escalating commodity'!J51),'Escalating commodity'!J51))</f>
        <v>0.00505604691740096</v>
      </c>
      <c r="AI38" s="207" t="n">
        <f aca="false">IF($A39="","",AH38)</f>
        <v>0.00505604691740096</v>
      </c>
      <c r="AJ38" s="208" t="n">
        <f aca="false">A38+DAY(EOMONTH(A38,0))/2-1</f>
        <v>37909.5</v>
      </c>
      <c r="AK38" s="209" t="n">
        <f aca="false">IF($A39="","",$A38-$E$1)</f>
        <v>-8031</v>
      </c>
      <c r="AL38" s="182" t="e">
        <f aca="false">IF($A39="","",SPRDOPT(P38,X38,AI38,0,AB38,AE38,AF38,AK38,$AJ$2,0))</f>
        <v>#NAME?</v>
      </c>
      <c r="AM38" s="211" t="e">
        <f aca="false">IF($A39="","",MAX(0,O38-W38-AI38))</f>
        <v>#N/A</v>
      </c>
      <c r="AN38" s="211" t="e">
        <f aca="false">IF($A39="","",AL38-AM38)</f>
        <v>#N/A</v>
      </c>
      <c r="AO38" s="137" t="n">
        <f aca="false">IF(A39="","",A39-A38)</f>
        <v>31</v>
      </c>
      <c r="AP38" s="212" t="n">
        <f aca="false">IF(A39="","",CHOOSE(F$3,A39+24,A38))</f>
        <v>37895</v>
      </c>
      <c r="AQ38" s="209" t="n">
        <f aca="false">IF(A39="","",AP38-$E$1)</f>
        <v>-8031</v>
      </c>
      <c r="AR38" s="185" t="n">
        <f aca="false">'ANR OK vs ML7'!AR38</f>
        <v>0.1</v>
      </c>
      <c r="AS38" s="213" t="n">
        <f aca="false">IF(A39="","",1/(1+CHOOSE(F$3,(AR39+($I$3/10000))/2,(AR38+($I$3/10000))/2))^(2*AQ38/365.25))</f>
        <v>8.54686886922894</v>
      </c>
      <c r="AT38" s="137" t="n">
        <f aca="false">IF(A39="","",IF(AND(mthbeg&lt;=A38,mthend&gt;=A38),1,0))</f>
        <v>1</v>
      </c>
      <c r="AU38" s="137" t="n">
        <f aca="false">IF(A39="","",AO38*AT38)</f>
        <v>31</v>
      </c>
      <c r="AW38" s="195" t="e">
        <f aca="false">IF($A39="","",AL38*$E38)</f>
        <v>#NAME?</v>
      </c>
      <c r="AX38" s="195" t="e">
        <f aca="false">IF($A39="","",AM38*$E38)</f>
        <v>#N/A</v>
      </c>
      <c r="AY38" s="195" t="e">
        <f aca="false">IF($A39="","",AN38*$E38)</f>
        <v>#N/A</v>
      </c>
      <c r="BA38" s="195" t="n">
        <f aca="false">IF($A39="","",F38*Summary!$Q$14)</f>
        <v>0</v>
      </c>
      <c r="BC38" s="179" t="e">
        <f aca="false">IF(A39="","",AM38*F38)</f>
        <v>#N/A</v>
      </c>
    </row>
    <row r="39" customFormat="false" ht="12.75" hidden="false" customHeight="false" outlineLevel="0" collapsed="false">
      <c r="A39" s="196" t="n">
        <f aca="false">IF(A38&lt;mthend,EDATE(A38,1),"")</f>
        <v>37926</v>
      </c>
      <c r="B39" s="197" t="n">
        <f aca="false">IF(A39&lt;mthend,B38,"")</f>
        <v>28400</v>
      </c>
      <c r="C39" s="215"/>
      <c r="D39" s="197" t="n">
        <f aca="false">IF(A40&lt;&gt;"",B39+C39,"")</f>
        <v>28400</v>
      </c>
      <c r="E39" s="199" t="n">
        <f aca="false">IF(A40="","",IF(AND(AT39=1,$H$3=1),D39*AO39,IF($H$3=2,D39,"N/A")))</f>
        <v>852000</v>
      </c>
      <c r="F39" s="199" t="n">
        <f aca="false">IF(A40="","",E39*AS39)</f>
        <v>7221872.56894334</v>
      </c>
      <c r="G39" s="200" t="e">
        <f aca="false">IF($A40="","",VLOOKUP($A39,Table,MATCH(G$4,Curves,0)))</f>
        <v>#N/A</v>
      </c>
      <c r="H39" s="201" t="e">
        <f aca="false">IF(A40="","",G39)</f>
        <v>#N/A</v>
      </c>
      <c r="I39" s="202"/>
      <c r="J39" s="200" t="e">
        <f aca="false">IF($A40="","",VLOOKUP($A39,Table,MATCH(J$4,Curves,0)))</f>
        <v>#N/A</v>
      </c>
      <c r="K39" s="201" t="e">
        <f aca="false">IF(A40="","",J39)</f>
        <v>#N/A</v>
      </c>
      <c r="L39" s="185" t="n">
        <v>0</v>
      </c>
      <c r="M39" s="201" t="n">
        <f aca="false">IF(A40="","",L39)</f>
        <v>0</v>
      </c>
      <c r="N39" s="203"/>
      <c r="O39" s="200" t="e">
        <f aca="false">IF(A40="","",L39+J39+G39)</f>
        <v>#N/A</v>
      </c>
      <c r="P39" s="200" t="e">
        <f aca="false">IF(A40="","",M39+K39+H39)</f>
        <v>#N/A</v>
      </c>
      <c r="Q39" s="204"/>
      <c r="R39" s="200" t="e">
        <f aca="false">IF($A40="","",VLOOKUP($A39,Table,MATCH(R$4,Curves,0)))</f>
        <v>#N/A</v>
      </c>
      <c r="S39" s="201" t="e">
        <f aca="false">IF(A40="","",R39)</f>
        <v>#N/A</v>
      </c>
      <c r="T39" s="200" t="e">
        <f aca="false">IF($A40="","",VLOOKUP($A39,Table,MATCH(T$4,Curves,0)))</f>
        <v>#N/A</v>
      </c>
      <c r="U39" s="201" t="e">
        <f aca="false">IF(A40="","",T39)</f>
        <v>#N/A</v>
      </c>
      <c r="V39" s="183" t="e">
        <f aca="false">IF($A40="","",IF(AND(MONTH(A39)&gt;3,MONTH(A39)&lt;11),(T39+R39+G39)*(((1/(1-Summary!$T$14))/(1-Summary!$W$14))-1),(T39+R39+G39)*((1/(1-Summary!$U$14))/(1-Summary!$X$14)-1)))</f>
        <v>#N/A</v>
      </c>
      <c r="W39" s="202" t="e">
        <f aca="false">IF($A40="","",(T39+R39+G39+V39))</f>
        <v>#N/A</v>
      </c>
      <c r="X39" s="202" t="e">
        <f aca="false">IF($A40="","",(U39+S39+H39+V39))</f>
        <v>#N/A</v>
      </c>
      <c r="Y39" s="202"/>
      <c r="Z39" s="185" t="e">
        <f aca="false">IF($A40="","",VLOOKUP($A39,Table,MATCH(Z$4,Curves,0)))</f>
        <v>#N/A</v>
      </c>
      <c r="AA39" s="185" t="e">
        <f aca="false">IF($A40="","",VLOOKUP($A39,Table,MATCH(AA$4,Curves,0)))</f>
        <v>#N/A</v>
      </c>
      <c r="AB39" s="185" t="e">
        <f aca="false">SQRT((AA39^2*(A39-$D$3)+Z39^2*(DAY(EOMONTH(A39,0))/2))/AK39)</f>
        <v>#N/A</v>
      </c>
      <c r="AC39" s="185" t="e">
        <f aca="false">IF($A40="","",VLOOKUP($A39,Table,MATCH(AC$4,Curves,0)))</f>
        <v>#N/A</v>
      </c>
      <c r="AD39" s="185" t="e">
        <f aca="false">IF($A40="","",VLOOKUP($A39,Table,MATCH(AD$4,Curves,0)))</f>
        <v>#N/A</v>
      </c>
      <c r="AE39" s="185" t="e">
        <f aca="false">SQRT((AD39^2*(A39-$D$3)+AC39^2*(DAY(EOMONTH(A39,0))/2))/AK39)</f>
        <v>#N/A</v>
      </c>
      <c r="AF39" s="224" t="e">
        <f aca="false">((Summary!$N$14*(AA39*AD39)*(A39-$D$3))+(Summary!$M$14*Z39*AC39*(AJ39-EOMONTH(EDATE(A39,-1),0))))/(AK39*AB39*AE39)</f>
        <v>#N/A</v>
      </c>
      <c r="AG39" s="207" t="n">
        <f aca="false">IF($A40="","",Summary!$Q$14)</f>
        <v>0</v>
      </c>
      <c r="AH39" s="207" t="n">
        <f aca="false">IF($A40="","",IF(Summary!$R$12="Y",(VLOOKUP($A39,Summary!$AD$6:$AF$9,3)+'Escalating commodity'!J52),'Escalating commodity'!J52))</f>
        <v>0.00505604691740096</v>
      </c>
      <c r="AI39" s="207" t="n">
        <f aca="false">IF($A40="","",AH39)</f>
        <v>0.00505604691740096</v>
      </c>
      <c r="AJ39" s="208" t="n">
        <f aca="false">A39+DAY(EOMONTH(A39,0))/2-1</f>
        <v>37940</v>
      </c>
      <c r="AK39" s="209" t="n">
        <f aca="false">IF($A40="","",$A39-$E$1)</f>
        <v>-8000</v>
      </c>
      <c r="AL39" s="182" t="e">
        <f aca="false">IF($A40="","",SPRDOPT(P39,X39,AI39,0,AB39,AE39,AF39,AK39,$AJ$2,0))</f>
        <v>#NAME?</v>
      </c>
      <c r="AM39" s="211" t="e">
        <f aca="false">IF($A40="","",MAX(0,O39-W39-AI39))</f>
        <v>#N/A</v>
      </c>
      <c r="AN39" s="211" t="e">
        <f aca="false">IF($A40="","",AL39-AM39)</f>
        <v>#N/A</v>
      </c>
      <c r="AO39" s="137" t="n">
        <f aca="false">IF(A40="","",A40-A39)</f>
        <v>30</v>
      </c>
      <c r="AP39" s="212" t="n">
        <f aca="false">IF(A40="","",CHOOSE(F$3,A40+24,A39))</f>
        <v>37926</v>
      </c>
      <c r="AQ39" s="209" t="n">
        <f aca="false">IF(A40="","",AP39-$E$1)</f>
        <v>-8000</v>
      </c>
      <c r="AR39" s="185" t="n">
        <f aca="false">'ANR OK vs ML7'!AR39</f>
        <v>0.1</v>
      </c>
      <c r="AS39" s="213" t="n">
        <f aca="false">IF(A40="","",1/(1+CHOOSE(F$3,(AR40+($I$3/10000))/2,(AR39+($I$3/10000))/2))^(2*AQ39/365.25))</f>
        <v>8.47637625462833</v>
      </c>
      <c r="AT39" s="137" t="n">
        <f aca="false">IF(A40="","",IF(AND(mthbeg&lt;=A39,mthend&gt;=A39),1,0))</f>
        <v>1</v>
      </c>
      <c r="AU39" s="137" t="n">
        <f aca="false">IF(A40="","",AO39*AT39)</f>
        <v>30</v>
      </c>
      <c r="AW39" s="195" t="e">
        <f aca="false">IF($A40="","",AL39*$E39)</f>
        <v>#NAME?</v>
      </c>
      <c r="AX39" s="195" t="e">
        <f aca="false">IF($A40="","",AM39*$E39)</f>
        <v>#N/A</v>
      </c>
      <c r="AY39" s="195" t="e">
        <f aca="false">IF($A40="","",AN39*$E39)</f>
        <v>#N/A</v>
      </c>
      <c r="BA39" s="195" t="n">
        <f aca="false">IF($A40="","",F39*Summary!$Q$14)</f>
        <v>0</v>
      </c>
      <c r="BC39" s="179" t="e">
        <f aca="false">IF(A40="","",AM39*F39)</f>
        <v>#N/A</v>
      </c>
    </row>
    <row r="40" customFormat="false" ht="12.75" hidden="false" customHeight="false" outlineLevel="0" collapsed="false">
      <c r="A40" s="196" t="n">
        <f aca="false">IF(A39&lt;mthend,EDATE(A39,1),"")</f>
        <v>37956</v>
      </c>
      <c r="B40" s="197" t="n">
        <f aca="false">IF(A40&lt;mthend,B39,"")</f>
        <v>28400</v>
      </c>
      <c r="C40" s="215"/>
      <c r="D40" s="197" t="n">
        <f aca="false">IF(A41&lt;&gt;"",B40+C40,"")</f>
        <v>28400</v>
      </c>
      <c r="E40" s="199" t="n">
        <f aca="false">IF(A41="","",IF(AND(AT40=1,$H$3=1),D40*AO40,IF($H$3=2,D40,"N/A")))</f>
        <v>880400</v>
      </c>
      <c r="F40" s="199" t="n">
        <f aca="false">IF(A41="","",E40*AS40)</f>
        <v>7403029.35929031</v>
      </c>
      <c r="G40" s="200" t="e">
        <f aca="false">IF($A41="","",VLOOKUP($A40,Table,MATCH(G$4,Curves,0)))</f>
        <v>#N/A</v>
      </c>
      <c r="H40" s="201" t="e">
        <f aca="false">IF(A41="","",G40)</f>
        <v>#N/A</v>
      </c>
      <c r="I40" s="202"/>
      <c r="J40" s="200" t="e">
        <f aca="false">IF($A41="","",VLOOKUP($A40,Table,MATCH(J$4,Curves,0)))</f>
        <v>#N/A</v>
      </c>
      <c r="K40" s="201" t="e">
        <f aca="false">IF(A41="","",J40)</f>
        <v>#N/A</v>
      </c>
      <c r="L40" s="185" t="n">
        <v>0</v>
      </c>
      <c r="M40" s="201" t="n">
        <f aca="false">IF(A41="","",L40)</f>
        <v>0</v>
      </c>
      <c r="N40" s="203"/>
      <c r="O40" s="200" t="e">
        <f aca="false">IF(A41="","",L40+J40+G40)</f>
        <v>#N/A</v>
      </c>
      <c r="P40" s="200" t="e">
        <f aca="false">IF(A41="","",M40+K40+H40)</f>
        <v>#N/A</v>
      </c>
      <c r="Q40" s="204"/>
      <c r="R40" s="200" t="e">
        <f aca="false">IF($A41="","",VLOOKUP($A40,Table,MATCH(R$4,Curves,0)))</f>
        <v>#N/A</v>
      </c>
      <c r="S40" s="201" t="e">
        <f aca="false">IF(A41="","",R40)</f>
        <v>#N/A</v>
      </c>
      <c r="T40" s="200" t="e">
        <f aca="false">IF($A41="","",VLOOKUP($A40,Table,MATCH(T$4,Curves,0)))</f>
        <v>#N/A</v>
      </c>
      <c r="U40" s="201" t="e">
        <f aca="false">IF(A41="","",T40)</f>
        <v>#N/A</v>
      </c>
      <c r="V40" s="183" t="e">
        <f aca="false">IF($A41="","",IF(AND(MONTH(A40)&gt;3,MONTH(A40)&lt;11),(T40+R40+G40)*(((1/(1-Summary!$T$14))/(1-Summary!$W$14))-1),(T40+R40+G40)*((1/(1-Summary!$U$14))/(1-Summary!$X$14)-1)))</f>
        <v>#N/A</v>
      </c>
      <c r="W40" s="202" t="e">
        <f aca="false">IF($A41="","",(T40+R40+G40+V40))</f>
        <v>#N/A</v>
      </c>
      <c r="X40" s="202" t="e">
        <f aca="false">IF($A41="","",(U40+S40+H40+V40))</f>
        <v>#N/A</v>
      </c>
      <c r="Y40" s="202"/>
      <c r="Z40" s="185" t="e">
        <f aca="false">IF($A41="","",VLOOKUP($A40,Table,MATCH(Z$4,Curves,0)))</f>
        <v>#N/A</v>
      </c>
      <c r="AA40" s="185" t="e">
        <f aca="false">IF($A41="","",VLOOKUP($A40,Table,MATCH(AA$4,Curves,0)))</f>
        <v>#N/A</v>
      </c>
      <c r="AB40" s="185" t="e">
        <f aca="false">SQRT((AA40^2*(A40-$D$3)+Z40^2*(DAY(EOMONTH(A40,0))/2))/AK40)</f>
        <v>#N/A</v>
      </c>
      <c r="AC40" s="185" t="e">
        <f aca="false">IF($A41="","",VLOOKUP($A40,Table,MATCH(AC$4,Curves,0)))</f>
        <v>#N/A</v>
      </c>
      <c r="AD40" s="185" t="e">
        <f aca="false">IF($A41="","",VLOOKUP($A40,Table,MATCH(AD$4,Curves,0)))</f>
        <v>#N/A</v>
      </c>
      <c r="AE40" s="185" t="e">
        <f aca="false">SQRT((AD40^2*(A40-$D$3)+AC40^2*(DAY(EOMONTH(A40,0))/2))/AK40)</f>
        <v>#N/A</v>
      </c>
      <c r="AF40" s="224" t="e">
        <f aca="false">((Summary!$N$14*(AA40*AD40)*(A40-$D$3))+(Summary!$M$14*Z40*AC40*(AJ40-EOMONTH(EDATE(A40,-1),0))))/(AK40*AB40*AE40)</f>
        <v>#N/A</v>
      </c>
      <c r="AG40" s="207" t="n">
        <f aca="false">IF($A41="","",Summary!$Q$14)</f>
        <v>0</v>
      </c>
      <c r="AH40" s="207" t="n">
        <f aca="false">IF($A41="","",IF(Summary!$R$12="Y",(VLOOKUP($A40,Summary!$AD$6:$AF$9,3)+'Escalating commodity'!J53),'Escalating commodity'!J53))</f>
        <v>0.00505604691740096</v>
      </c>
      <c r="AI40" s="207" t="n">
        <f aca="false">IF($A41="","",AH40)</f>
        <v>0.00505604691740096</v>
      </c>
      <c r="AJ40" s="208" t="n">
        <f aca="false">A40+DAY(EOMONTH(A40,0))/2-1</f>
        <v>37970.5</v>
      </c>
      <c r="AK40" s="209" t="n">
        <f aca="false">IF($A41="","",$A40-$E$1)</f>
        <v>-7970</v>
      </c>
      <c r="AL40" s="182" t="e">
        <f aca="false">IF($A41="","",SPRDOPT(P40,X40,AI40,0,AB40,AE40,AF40,AK40,$AJ$2,0))</f>
        <v>#NAME?</v>
      </c>
      <c r="AM40" s="211" t="e">
        <f aca="false">IF($A41="","",MAX(0,O40-W40-AI40))</f>
        <v>#N/A</v>
      </c>
      <c r="AN40" s="211" t="e">
        <f aca="false">IF($A41="","",AL40-AM40)</f>
        <v>#N/A</v>
      </c>
      <c r="AO40" s="137" t="n">
        <f aca="false">IF(A41="","",A41-A40)</f>
        <v>31</v>
      </c>
      <c r="AP40" s="212" t="n">
        <f aca="false">IF(A41="","",CHOOSE(F$3,A41+24,A40))</f>
        <v>37956</v>
      </c>
      <c r="AQ40" s="209" t="n">
        <f aca="false">IF(A41="","",AP40-$E$1)</f>
        <v>-7970</v>
      </c>
      <c r="AR40" s="185" t="n">
        <f aca="false">'ANR OK vs ML7'!AR40</f>
        <v>0.1</v>
      </c>
      <c r="AS40" s="213" t="n">
        <f aca="false">IF(A41="","",1/(1+CHOOSE(F$3,(AR41+($I$3/10000))/2,(AR40+($I$3/10000))/2))^(2*AQ40/365.25))</f>
        <v>8.40871122136564</v>
      </c>
      <c r="AT40" s="137" t="n">
        <f aca="false">IF(A41="","",IF(AND(mthbeg&lt;=A40,mthend&gt;=A40),1,0))</f>
        <v>1</v>
      </c>
      <c r="AU40" s="137" t="n">
        <f aca="false">IF(A41="","",AO40*AT40)</f>
        <v>31</v>
      </c>
      <c r="AW40" s="195" t="e">
        <f aca="false">IF($A41="","",AL40*$E40)</f>
        <v>#NAME?</v>
      </c>
      <c r="AX40" s="195" t="e">
        <f aca="false">IF($A41="","",AM40*$E40)</f>
        <v>#N/A</v>
      </c>
      <c r="AY40" s="195" t="e">
        <f aca="false">IF($A41="","",AN40*$E40)</f>
        <v>#N/A</v>
      </c>
      <c r="BA40" s="195" t="n">
        <f aca="false">IF($A41="","",F40*Summary!$Q$14)</f>
        <v>0</v>
      </c>
      <c r="BC40" s="179" t="e">
        <f aca="false">IF(A41="","",AM40*F40)</f>
        <v>#N/A</v>
      </c>
    </row>
    <row r="41" customFormat="false" ht="12.75" hidden="false" customHeight="false" outlineLevel="0" collapsed="false">
      <c r="A41" s="196" t="n">
        <f aca="false">IF(A40&lt;mthend,EDATE(A40,1),"")</f>
        <v>37987</v>
      </c>
      <c r="B41" s="197" t="n">
        <f aca="false">IF(A41&lt;mthend,B40,"")</f>
        <v>28400</v>
      </c>
      <c r="C41" s="215"/>
      <c r="D41" s="197" t="n">
        <f aca="false">IF(A42&lt;&gt;"",B41+C41,"")</f>
        <v>28400</v>
      </c>
      <c r="E41" s="199" t="n">
        <f aca="false">IF(A42="","",IF(AND(AT41=1,$H$3=1),D41*AO41,IF($H$3=2,D41,"N/A")))</f>
        <v>880400</v>
      </c>
      <c r="F41" s="199" t="n">
        <f aca="false">IF(A42="","",E41*AS41)</f>
        <v>7341970.87068049</v>
      </c>
      <c r="G41" s="200" t="e">
        <f aca="false">IF($A42="","",VLOOKUP($A41,Table,MATCH(G$4,Curves,0)))</f>
        <v>#N/A</v>
      </c>
      <c r="H41" s="201" t="e">
        <f aca="false">IF(A42="","",G41)</f>
        <v>#N/A</v>
      </c>
      <c r="I41" s="202"/>
      <c r="J41" s="200" t="e">
        <f aca="false">IF($A42="","",VLOOKUP($A41,Table,MATCH(J$4,Curves,0)))</f>
        <v>#N/A</v>
      </c>
      <c r="K41" s="201" t="e">
        <f aca="false">IF(A42="","",J41)</f>
        <v>#N/A</v>
      </c>
      <c r="L41" s="185" t="n">
        <v>0</v>
      </c>
      <c r="M41" s="201" t="n">
        <f aca="false">IF(A42="","",L41)</f>
        <v>0</v>
      </c>
      <c r="N41" s="203"/>
      <c r="O41" s="200" t="e">
        <f aca="false">IF(A42="","",L41+J41+G41)</f>
        <v>#N/A</v>
      </c>
      <c r="P41" s="200" t="e">
        <f aca="false">IF(A42="","",M41+K41+H41)</f>
        <v>#N/A</v>
      </c>
      <c r="Q41" s="204"/>
      <c r="R41" s="200" t="e">
        <f aca="false">IF($A42="","",VLOOKUP($A41,Table,MATCH(R$4,Curves,0)))</f>
        <v>#N/A</v>
      </c>
      <c r="S41" s="201" t="e">
        <f aca="false">IF(A42="","",R41)</f>
        <v>#N/A</v>
      </c>
      <c r="T41" s="200" t="e">
        <f aca="false">IF($A42="","",VLOOKUP($A41,Table,MATCH(T$4,Curves,0)))</f>
        <v>#N/A</v>
      </c>
      <c r="U41" s="201" t="e">
        <f aca="false">IF(A42="","",T41)</f>
        <v>#N/A</v>
      </c>
      <c r="V41" s="183" t="e">
        <f aca="false">IF($A42="","",IF(AND(MONTH(A41)&gt;3,MONTH(A41)&lt;11),(T41+R41+G41)*(((1/(1-Summary!$T$14))/(1-Summary!$W$14))-1),(T41+R41+G41)*((1/(1-Summary!$U$14))/(1-Summary!$X$14)-1)))</f>
        <v>#N/A</v>
      </c>
      <c r="W41" s="202" t="e">
        <f aca="false">IF($A42="","",(T41+R41+G41+V41))</f>
        <v>#N/A</v>
      </c>
      <c r="X41" s="202" t="e">
        <f aca="false">IF($A42="","",(U41+S41+H41+V41))</f>
        <v>#N/A</v>
      </c>
      <c r="Y41" s="202"/>
      <c r="Z41" s="185" t="e">
        <f aca="false">IF($A42="","",VLOOKUP($A41,Table,MATCH(Z$4,Curves,0)))</f>
        <v>#N/A</v>
      </c>
      <c r="AA41" s="185" t="e">
        <f aca="false">IF($A42="","",VLOOKUP($A41,Table,MATCH(AA$4,Curves,0)))</f>
        <v>#N/A</v>
      </c>
      <c r="AB41" s="185" t="e">
        <f aca="false">SQRT((AA41^2*(A41-$D$3)+Z41^2*(DAY(EOMONTH(A41,0))/2))/AK41)</f>
        <v>#N/A</v>
      </c>
      <c r="AC41" s="185" t="e">
        <f aca="false">IF($A42="","",VLOOKUP($A41,Table,MATCH(AC$4,Curves,0)))</f>
        <v>#N/A</v>
      </c>
      <c r="AD41" s="185" t="e">
        <f aca="false">IF($A42="","",VLOOKUP($A41,Table,MATCH(AD$4,Curves,0)))</f>
        <v>#N/A</v>
      </c>
      <c r="AE41" s="185" t="e">
        <f aca="false">SQRT((AD41^2*(A41-$D$3)+AC41^2*(DAY(EOMONTH(A41,0))/2))/AK41)</f>
        <v>#N/A</v>
      </c>
      <c r="AF41" s="224" t="e">
        <f aca="false">((Summary!$N$14*(AA41*AD41)*(A41-$D$3))+(Summary!$M$14*Z41*AC41*(AJ41-EOMONTH(EDATE(A41,-1),0))))/(AK41*AB41*AE41)</f>
        <v>#N/A</v>
      </c>
      <c r="AG41" s="207" t="n">
        <f aca="false">IF($A42="","",Summary!$Q$14)</f>
        <v>0</v>
      </c>
      <c r="AH41" s="207" t="n">
        <f aca="false">IF($A42="","",IF(Summary!$R$12="Y",(VLOOKUP($A41,Summary!$AD$6:$AF$9,3)+'Escalating commodity'!J54),'Escalating commodity'!J54))</f>
        <v>0.00515716785574898</v>
      </c>
      <c r="AI41" s="207" t="n">
        <f aca="false">IF($A42="","",AH41)</f>
        <v>0.00515716785574898</v>
      </c>
      <c r="AJ41" s="208" t="n">
        <f aca="false">A41+DAY(EOMONTH(A41,0))/2-1</f>
        <v>38001.5</v>
      </c>
      <c r="AK41" s="209" t="n">
        <f aca="false">IF($A42="","",$A41-$E$1)</f>
        <v>-7939</v>
      </c>
      <c r="AL41" s="182" t="e">
        <f aca="false">IF($A42="","",SPRDOPT(P41,X41,AI41,0,AB41,AE41,AF41,AK41,$AJ$2,0))</f>
        <v>#NAME?</v>
      </c>
      <c r="AM41" s="211" t="e">
        <f aca="false">IF($A42="","",MAX(0,O41-W41-AI41))</f>
        <v>#N/A</v>
      </c>
      <c r="AN41" s="211" t="e">
        <f aca="false">IF($A42="","",AL41-AM41)</f>
        <v>#N/A</v>
      </c>
      <c r="AO41" s="137" t="n">
        <f aca="false">IF(A42="","",A42-A41)</f>
        <v>31</v>
      </c>
      <c r="AP41" s="212" t="n">
        <f aca="false">IF(A42="","",CHOOSE(F$3,A42+24,A41))</f>
        <v>37987</v>
      </c>
      <c r="AQ41" s="209" t="n">
        <f aca="false">IF(A42="","",AP41-$E$1)</f>
        <v>-7939</v>
      </c>
      <c r="AR41" s="185" t="n">
        <f aca="false">'ANR OK vs ML7'!AR41</f>
        <v>0.1</v>
      </c>
      <c r="AS41" s="213" t="n">
        <f aca="false">IF(A42="","",1/(1+CHOOSE(F$3,(AR42+($I$3/10000))/2,(AR41+($I$3/10000))/2))^(2*AQ41/365.25))</f>
        <v>8.33935809936448</v>
      </c>
      <c r="AT41" s="137" t="n">
        <f aca="false">IF(A42="","",IF(AND(mthbeg&lt;=A41,mthend&gt;=A41),1,0))</f>
        <v>1</v>
      </c>
      <c r="AU41" s="137" t="n">
        <f aca="false">IF(A42="","",AO41*AT41)</f>
        <v>31</v>
      </c>
      <c r="AW41" s="195" t="e">
        <f aca="false">IF($A42="","",AL41*$E41)</f>
        <v>#NAME?</v>
      </c>
      <c r="AX41" s="195" t="e">
        <f aca="false">IF($A42="","",AM41*$E41)</f>
        <v>#N/A</v>
      </c>
      <c r="AY41" s="195" t="e">
        <f aca="false">IF($A42="","",AN41*$E41)</f>
        <v>#N/A</v>
      </c>
      <c r="BA41" s="195" t="n">
        <f aca="false">IF($A42="","",F41*Summary!$Q$14)</f>
        <v>0</v>
      </c>
      <c r="BC41" s="179" t="e">
        <f aca="false">IF(A42="","",AM41*F41)</f>
        <v>#N/A</v>
      </c>
    </row>
    <row r="42" customFormat="false" ht="12.75" hidden="false" customHeight="false" outlineLevel="0" collapsed="false">
      <c r="A42" s="196" t="n">
        <f aca="false">IF(A41&lt;mthend,EDATE(A41,1),"")</f>
        <v>38018</v>
      </c>
      <c r="B42" s="197" t="n">
        <f aca="false">IF(A42&lt;mthend,B41,"")</f>
        <v>28400</v>
      </c>
      <c r="C42" s="215"/>
      <c r="D42" s="197" t="n">
        <f aca="false">IF(A43&lt;&gt;"",B42+C42,"")</f>
        <v>28400</v>
      </c>
      <c r="E42" s="199" t="n">
        <f aca="false">IF(A43="","",IF(AND(AT42=1,$H$3=1),D42*AO42,IF($H$3=2,D42,"N/A")))</f>
        <v>823600</v>
      </c>
      <c r="F42" s="199" t="n">
        <f aca="false">IF(A43="","",E42*AS42)</f>
        <v>6811647.20567835</v>
      </c>
      <c r="G42" s="200" t="e">
        <f aca="false">IF($A43="","",VLOOKUP($A42,Table,MATCH(G$4,Curves,0)))</f>
        <v>#N/A</v>
      </c>
      <c r="H42" s="201" t="e">
        <f aca="false">IF(A43="","",G42)</f>
        <v>#N/A</v>
      </c>
      <c r="I42" s="202"/>
      <c r="J42" s="200" t="e">
        <f aca="false">IF($A43="","",VLOOKUP($A42,Table,MATCH(J$4,Curves,0)))</f>
        <v>#N/A</v>
      </c>
      <c r="K42" s="201" t="e">
        <f aca="false">IF(A43="","",J42)</f>
        <v>#N/A</v>
      </c>
      <c r="L42" s="185" t="n">
        <v>0</v>
      </c>
      <c r="M42" s="201" t="n">
        <f aca="false">IF(A43="","",L42)</f>
        <v>0</v>
      </c>
      <c r="N42" s="203"/>
      <c r="O42" s="200" t="e">
        <f aca="false">IF(A43="","",L42+J42+G42)</f>
        <v>#N/A</v>
      </c>
      <c r="P42" s="200" t="e">
        <f aca="false">IF(A43="","",M42+K42+H42)</f>
        <v>#N/A</v>
      </c>
      <c r="Q42" s="204"/>
      <c r="R42" s="200" t="e">
        <f aca="false">IF($A43="","",VLOOKUP($A42,Table,MATCH(R$4,Curves,0)))</f>
        <v>#N/A</v>
      </c>
      <c r="S42" s="201" t="e">
        <f aca="false">IF(A43="","",R42)</f>
        <v>#N/A</v>
      </c>
      <c r="T42" s="200" t="e">
        <f aca="false">IF($A43="","",VLOOKUP($A42,Table,MATCH(T$4,Curves,0)))</f>
        <v>#N/A</v>
      </c>
      <c r="U42" s="201" t="e">
        <f aca="false">IF(A43="","",T42)</f>
        <v>#N/A</v>
      </c>
      <c r="V42" s="183" t="e">
        <f aca="false">IF($A43="","",IF(AND(MONTH(A42)&gt;3,MONTH(A42)&lt;11),(T42+R42+G42)*(((1/(1-Summary!$T$14))/(1-Summary!$W$14))-1),(T42+R42+G42)*((1/(1-Summary!$U$14))/(1-Summary!$X$14)-1)))</f>
        <v>#N/A</v>
      </c>
      <c r="W42" s="202" t="e">
        <f aca="false">IF($A43="","",(T42+R42+G42+V42))</f>
        <v>#N/A</v>
      </c>
      <c r="X42" s="202" t="e">
        <f aca="false">IF($A43="","",(U42+S42+H42+V42))</f>
        <v>#N/A</v>
      </c>
      <c r="Y42" s="202"/>
      <c r="Z42" s="185" t="e">
        <f aca="false">IF($A43="","",VLOOKUP($A42,Table,MATCH(Z$4,Curves,0)))</f>
        <v>#N/A</v>
      </c>
      <c r="AA42" s="185" t="e">
        <f aca="false">IF($A43="","",VLOOKUP($A42,Table,MATCH(AA$4,Curves,0)))</f>
        <v>#N/A</v>
      </c>
      <c r="AB42" s="185" t="e">
        <f aca="false">SQRT((AA42^2*(A42-$D$3)+Z42^2*(DAY(EOMONTH(A42,0))/2))/AK42)</f>
        <v>#N/A</v>
      </c>
      <c r="AC42" s="185" t="e">
        <f aca="false">IF($A43="","",VLOOKUP($A42,Table,MATCH(AC$4,Curves,0)))</f>
        <v>#N/A</v>
      </c>
      <c r="AD42" s="185" t="e">
        <f aca="false">IF($A43="","",VLOOKUP($A42,Table,MATCH(AD$4,Curves,0)))</f>
        <v>#N/A</v>
      </c>
      <c r="AE42" s="185" t="e">
        <f aca="false">SQRT((AD42^2*(A42-$D$3)+AC42^2*(DAY(EOMONTH(A42,0))/2))/AK42)</f>
        <v>#N/A</v>
      </c>
      <c r="AF42" s="224" t="e">
        <f aca="false">((Summary!$N$14*(AA42*AD42)*(A42-$D$3))+(Summary!$M$14*Z42*AC42*(AJ42-EOMONTH(EDATE(A42,-1),0))))/(AK42*AB42*AE42)</f>
        <v>#N/A</v>
      </c>
      <c r="AG42" s="207" t="n">
        <f aca="false">IF($A43="","",Summary!$Q$14)</f>
        <v>0</v>
      </c>
      <c r="AH42" s="207" t="n">
        <f aca="false">IF($A43="","",IF(Summary!$R$12="Y",(VLOOKUP($A42,Summary!$AD$6:$AF$9,3)+'Escalating commodity'!J55),'Escalating commodity'!J55))</f>
        <v>0.00515716785574898</v>
      </c>
      <c r="AI42" s="207" t="n">
        <f aca="false">IF($A43="","",AH42)</f>
        <v>0.00515716785574898</v>
      </c>
      <c r="AJ42" s="208" t="n">
        <f aca="false">A42+DAY(EOMONTH(A42,0))/2-1</f>
        <v>38031.5</v>
      </c>
      <c r="AK42" s="209" t="n">
        <f aca="false">IF($A43="","",$A42-$E$1)</f>
        <v>-7908</v>
      </c>
      <c r="AL42" s="182" t="e">
        <f aca="false">IF($A43="","",SPRDOPT(P42,X42,AI42,0,AB42,AE42,AF42,AK42,$AJ$2,0))</f>
        <v>#NAME?</v>
      </c>
      <c r="AM42" s="211" t="e">
        <f aca="false">IF($A43="","",MAX(0,O42-W42-AI42))</f>
        <v>#N/A</v>
      </c>
      <c r="AN42" s="211" t="e">
        <f aca="false">IF($A43="","",AL42-AM42)</f>
        <v>#N/A</v>
      </c>
      <c r="AO42" s="137" t="n">
        <f aca="false">IF(A43="","",A43-A42)</f>
        <v>29</v>
      </c>
      <c r="AP42" s="212" t="n">
        <f aca="false">IF(A43="","",CHOOSE(F$3,A43+24,A42))</f>
        <v>38018</v>
      </c>
      <c r="AQ42" s="209" t="n">
        <f aca="false">IF(A43="","",AP42-$E$1)</f>
        <v>-7908</v>
      </c>
      <c r="AR42" s="185" t="n">
        <f aca="false">'ANR OK vs ML7'!AR42</f>
        <v>0.1</v>
      </c>
      <c r="AS42" s="213" t="n">
        <f aca="false">IF(A43="","",1/(1+CHOOSE(F$3,(AR43+($I$3/10000))/2,(AR42+($I$3/10000))/2))^(2*AQ42/365.25))</f>
        <v>8.27057698601063</v>
      </c>
      <c r="AT42" s="137" t="n">
        <f aca="false">IF(A43="","",IF(AND(mthbeg&lt;=A42,mthend&gt;=A42),1,0))</f>
        <v>1</v>
      </c>
      <c r="AU42" s="137" t="n">
        <f aca="false">IF(A43="","",AO42*AT42)</f>
        <v>29</v>
      </c>
      <c r="AW42" s="195" t="e">
        <f aca="false">IF($A43="","",AL42*$E42)</f>
        <v>#NAME?</v>
      </c>
      <c r="AX42" s="195" t="e">
        <f aca="false">IF($A43="","",AM42*$E42)</f>
        <v>#N/A</v>
      </c>
      <c r="AY42" s="195" t="e">
        <f aca="false">IF($A43="","",AN42*$E42)</f>
        <v>#N/A</v>
      </c>
      <c r="BA42" s="195" t="n">
        <f aca="false">IF($A43="","",F42*Summary!$Q$14)</f>
        <v>0</v>
      </c>
      <c r="BC42" s="179" t="e">
        <f aca="false">IF(A43="","",AM42*F42)</f>
        <v>#N/A</v>
      </c>
    </row>
    <row r="43" customFormat="false" ht="12.75" hidden="false" customHeight="false" outlineLevel="0" collapsed="false">
      <c r="A43" s="196" t="n">
        <f aca="false">IF(A42&lt;mthend,EDATE(A42,1),"")</f>
        <v>38047</v>
      </c>
      <c r="B43" s="197" t="n">
        <f aca="false">IF(A43&lt;mthend,B42,"")</f>
        <v>28400</v>
      </c>
      <c r="C43" s="215"/>
      <c r="D43" s="197" t="n">
        <f aca="false">IF(A44&lt;&gt;"",B43+C43,"")</f>
        <v>28400</v>
      </c>
      <c r="E43" s="199" t="n">
        <f aca="false">IF(A44="","",IF(AND(AT43=1,$H$3=1),D43*AO43,IF($H$3=2,D43,"N/A")))</f>
        <v>880400</v>
      </c>
      <c r="F43" s="199" t="n">
        <f aca="false">IF(A44="","",E43*AS43)</f>
        <v>7225220.08300855</v>
      </c>
      <c r="G43" s="200" t="e">
        <f aca="false">IF($A44="","",VLOOKUP($A43,Table,MATCH(G$4,Curves,0)))</f>
        <v>#N/A</v>
      </c>
      <c r="H43" s="201" t="e">
        <f aca="false">IF(A44="","",G43)</f>
        <v>#N/A</v>
      </c>
      <c r="I43" s="202"/>
      <c r="J43" s="200" t="e">
        <f aca="false">IF($A44="","",VLOOKUP($A43,Table,MATCH(J$4,Curves,0)))</f>
        <v>#N/A</v>
      </c>
      <c r="K43" s="201" t="e">
        <f aca="false">IF(A44="","",J43)</f>
        <v>#N/A</v>
      </c>
      <c r="L43" s="185" t="n">
        <v>0</v>
      </c>
      <c r="M43" s="201" t="n">
        <f aca="false">IF(A44="","",L43)</f>
        <v>0</v>
      </c>
      <c r="N43" s="203"/>
      <c r="O43" s="200" t="e">
        <f aca="false">IF(A44="","",L43+J43+G43)</f>
        <v>#N/A</v>
      </c>
      <c r="P43" s="200" t="e">
        <f aca="false">IF(A44="","",M43+K43+H43)</f>
        <v>#N/A</v>
      </c>
      <c r="Q43" s="204"/>
      <c r="R43" s="200" t="e">
        <f aca="false">IF($A44="","",VLOOKUP($A43,Table,MATCH(R$4,Curves,0)))</f>
        <v>#N/A</v>
      </c>
      <c r="S43" s="201" t="e">
        <f aca="false">IF(A44="","",R43)</f>
        <v>#N/A</v>
      </c>
      <c r="T43" s="200" t="e">
        <f aca="false">IF($A44="","",VLOOKUP($A43,Table,MATCH(T$4,Curves,0)))</f>
        <v>#N/A</v>
      </c>
      <c r="U43" s="201" t="e">
        <f aca="false">IF(A44="","",T43)</f>
        <v>#N/A</v>
      </c>
      <c r="V43" s="183" t="e">
        <f aca="false">IF($A44="","",IF(AND(MONTH(A43)&gt;3,MONTH(A43)&lt;11),(T43+R43+G43)*(((1/(1-Summary!$T$14))/(1-Summary!$W$14))-1),(T43+R43+G43)*((1/(1-Summary!$U$14))/(1-Summary!$X$14)-1)))</f>
        <v>#N/A</v>
      </c>
      <c r="W43" s="202" t="e">
        <f aca="false">IF($A44="","",(T43+R43+G43+V43))</f>
        <v>#N/A</v>
      </c>
      <c r="X43" s="202" t="e">
        <f aca="false">IF($A44="","",(U43+S43+H43+V43))</f>
        <v>#N/A</v>
      </c>
      <c r="Y43" s="202"/>
      <c r="Z43" s="185" t="e">
        <f aca="false">IF($A44="","",VLOOKUP($A43,Table,MATCH(Z$4,Curves,0)))</f>
        <v>#N/A</v>
      </c>
      <c r="AA43" s="185" t="e">
        <f aca="false">IF($A44="","",VLOOKUP($A43,Table,MATCH(AA$4,Curves,0)))</f>
        <v>#N/A</v>
      </c>
      <c r="AB43" s="185" t="e">
        <f aca="false">SQRT((AA43^2*(A43-$D$3)+Z43^2*(DAY(EOMONTH(A43,0))/2))/AK43)</f>
        <v>#N/A</v>
      </c>
      <c r="AC43" s="185" t="e">
        <f aca="false">IF($A44="","",VLOOKUP($A43,Table,MATCH(AC$4,Curves,0)))</f>
        <v>#N/A</v>
      </c>
      <c r="AD43" s="185" t="e">
        <f aca="false">IF($A44="","",VLOOKUP($A43,Table,MATCH(AD$4,Curves,0)))</f>
        <v>#N/A</v>
      </c>
      <c r="AE43" s="185" t="e">
        <f aca="false">SQRT((AD43^2*(A43-$D$3)+AC43^2*(DAY(EOMONTH(A43,0))/2))/AK43)</f>
        <v>#N/A</v>
      </c>
      <c r="AF43" s="224" t="e">
        <f aca="false">((Summary!$N$14*(AA43*AD43)*(A43-$D$3))+(Summary!$M$14*Z43*AC43*(AJ43-EOMONTH(EDATE(A43,-1),0))))/(AK43*AB43*AE43)</f>
        <v>#N/A</v>
      </c>
      <c r="AG43" s="207" t="n">
        <f aca="false">IF($A44="","",Summary!$Q$14)</f>
        <v>0</v>
      </c>
      <c r="AH43" s="207" t="n">
        <f aca="false">IF($A44="","",IF(Summary!$R$12="Y",(VLOOKUP($A43,Summary!$AD$6:$AF$9,3)+'Escalating commodity'!J56),'Escalating commodity'!J56))</f>
        <v>0.00515716785574898</v>
      </c>
      <c r="AI43" s="207" t="n">
        <f aca="false">IF($A44="","",AH43)</f>
        <v>0.00515716785574898</v>
      </c>
      <c r="AJ43" s="208" t="n">
        <f aca="false">A43+DAY(EOMONTH(A43,0))/2-1</f>
        <v>38061.5</v>
      </c>
      <c r="AK43" s="209" t="n">
        <f aca="false">IF($A44="","",$A43-$E$1)</f>
        <v>-7879</v>
      </c>
      <c r="AL43" s="182" t="e">
        <f aca="false">IF($A44="","",SPRDOPT(P43,X43,AI43,0,AB43,AE43,AF43,AK43,$AJ$2,0))</f>
        <v>#NAME?</v>
      </c>
      <c r="AM43" s="211" t="e">
        <f aca="false">IF($A44="","",MAX(0,O43-W43-AI43))</f>
        <v>#N/A</v>
      </c>
      <c r="AN43" s="211" t="e">
        <f aca="false">IF($A44="","",AL43-AM43)</f>
        <v>#N/A</v>
      </c>
      <c r="AO43" s="137" t="n">
        <f aca="false">IF(A44="","",A44-A43)</f>
        <v>31</v>
      </c>
      <c r="AP43" s="212" t="n">
        <f aca="false">IF(A44="","",CHOOSE(F$3,A44+24,A43))</f>
        <v>38047</v>
      </c>
      <c r="AQ43" s="209" t="n">
        <f aca="false">IF(A44="","",AP43-$E$1)</f>
        <v>-7879</v>
      </c>
      <c r="AR43" s="185" t="n">
        <f aca="false">'ANR OK vs ML7'!AR43</f>
        <v>0.1</v>
      </c>
      <c r="AS43" s="213" t="n">
        <f aca="false">IF(A44="","",1/(1+CHOOSE(F$3,(AR44+($I$3/10000))/2,(AR43+($I$3/10000))/2))^(2*AQ43/365.25))</f>
        <v>8.20674702749722</v>
      </c>
      <c r="AT43" s="137" t="n">
        <f aca="false">IF(A44="","",IF(AND(mthbeg&lt;=A43,mthend&gt;=A43),1,0))</f>
        <v>1</v>
      </c>
      <c r="AU43" s="137" t="n">
        <f aca="false">IF(A44="","",AO43*AT43)</f>
        <v>31</v>
      </c>
      <c r="AW43" s="195" t="e">
        <f aca="false">IF($A44="","",AL43*$E43)</f>
        <v>#NAME?</v>
      </c>
      <c r="AX43" s="195" t="e">
        <f aca="false">IF($A44="","",AM43*$E43)</f>
        <v>#N/A</v>
      </c>
      <c r="AY43" s="195" t="e">
        <f aca="false">IF($A44="","",AN43*$E43)</f>
        <v>#N/A</v>
      </c>
      <c r="BA43" s="195" t="n">
        <f aca="false">IF($A44="","",F43*Summary!$Q$14)</f>
        <v>0</v>
      </c>
      <c r="BC43" s="179" t="e">
        <f aca="false">IF(A44="","",AM43*F43)</f>
        <v>#N/A</v>
      </c>
    </row>
    <row r="44" customFormat="false" ht="12.75" hidden="false" customHeight="false" outlineLevel="0" collapsed="false">
      <c r="A44" s="196" t="n">
        <f aca="false">IF(A43&lt;mthend,EDATE(A43,1),"")</f>
        <v>38078</v>
      </c>
      <c r="B44" s="197" t="n">
        <f aca="false">IF(A44&lt;mthend,B43,"")</f>
        <v>28400</v>
      </c>
      <c r="C44" s="215"/>
      <c r="D44" s="197" t="n">
        <f aca="false">IF(A45&lt;&gt;"",B44+C44,"")</f>
        <v>28400</v>
      </c>
      <c r="E44" s="199" t="n">
        <f aca="false">IF(A45="","",IF(AND(AT44=1,$H$3=1),D44*AO44,IF($H$3=2,D44,"N/A")))</f>
        <v>852000</v>
      </c>
      <c r="F44" s="199" t="n">
        <f aca="false">IF(A45="","",E44*AS44)</f>
        <v>6934478.83019719</v>
      </c>
      <c r="G44" s="200" t="e">
        <f aca="false">IF($A45="","",VLOOKUP($A44,Table,MATCH(G$4,Curves,0)))</f>
        <v>#N/A</v>
      </c>
      <c r="H44" s="201" t="e">
        <f aca="false">IF(A45="","",G44)</f>
        <v>#N/A</v>
      </c>
      <c r="I44" s="202"/>
      <c r="J44" s="200" t="e">
        <f aca="false">IF($A45="","",VLOOKUP($A44,Table,MATCH(J$4,Curves,0)))</f>
        <v>#N/A</v>
      </c>
      <c r="K44" s="201" t="e">
        <f aca="false">IF(A45="","",J44)</f>
        <v>#N/A</v>
      </c>
      <c r="L44" s="185" t="n">
        <v>0</v>
      </c>
      <c r="M44" s="201" t="n">
        <f aca="false">IF(A45="","",L44)</f>
        <v>0</v>
      </c>
      <c r="N44" s="203"/>
      <c r="O44" s="200" t="e">
        <f aca="false">IF(A45="","",L44+J44+G44)</f>
        <v>#N/A</v>
      </c>
      <c r="P44" s="200" t="e">
        <f aca="false">IF(A45="","",M44+K44+H44)</f>
        <v>#N/A</v>
      </c>
      <c r="Q44" s="204"/>
      <c r="R44" s="200" t="e">
        <f aca="false">IF($A45="","",VLOOKUP($A44,Table,MATCH(R$4,Curves,0)))</f>
        <v>#N/A</v>
      </c>
      <c r="S44" s="201" t="e">
        <f aca="false">IF(A45="","",R44)</f>
        <v>#N/A</v>
      </c>
      <c r="T44" s="200" t="e">
        <f aca="false">IF($A45="","",VLOOKUP($A44,Table,MATCH(T$4,Curves,0)))</f>
        <v>#N/A</v>
      </c>
      <c r="U44" s="201" t="e">
        <f aca="false">IF(A45="","",T44)</f>
        <v>#N/A</v>
      </c>
      <c r="V44" s="183" t="e">
        <f aca="false">IF($A45="","",IF(AND(MONTH(A44)&gt;3,MONTH(A44)&lt;11),(T44+R44+G44)*(((1/(1-Summary!$T$14))/(1-Summary!$W$14))-1),(T44+R44+G44)*((1/(1-Summary!$U$14))/(1-Summary!$X$14)-1)))</f>
        <v>#N/A</v>
      </c>
      <c r="W44" s="202" t="e">
        <f aca="false">IF($A45="","",(T44+R44+G44+V44))</f>
        <v>#N/A</v>
      </c>
      <c r="X44" s="202" t="e">
        <f aca="false">IF($A45="","",(U44+S44+H44+V44))</f>
        <v>#N/A</v>
      </c>
      <c r="Y44" s="202"/>
      <c r="Z44" s="185" t="e">
        <f aca="false">IF($A45="","",VLOOKUP($A44,Table,MATCH(Z$4,Curves,0)))</f>
        <v>#N/A</v>
      </c>
      <c r="AA44" s="185" t="e">
        <f aca="false">IF($A45="","",VLOOKUP($A44,Table,MATCH(AA$4,Curves,0)))</f>
        <v>#N/A</v>
      </c>
      <c r="AB44" s="185" t="e">
        <f aca="false">SQRT((AA44^2*(A44-$D$3)+Z44^2*(DAY(EOMONTH(A44,0))/2))/AK44)</f>
        <v>#N/A</v>
      </c>
      <c r="AC44" s="185" t="e">
        <f aca="false">IF($A45="","",VLOOKUP($A44,Table,MATCH(AC$4,Curves,0)))</f>
        <v>#N/A</v>
      </c>
      <c r="AD44" s="185" t="e">
        <f aca="false">IF($A45="","",VLOOKUP($A44,Table,MATCH(AD$4,Curves,0)))</f>
        <v>#N/A</v>
      </c>
      <c r="AE44" s="185" t="e">
        <f aca="false">SQRT((AD44^2*(A44-$D$3)+AC44^2*(DAY(EOMONTH(A44,0))/2))/AK44)</f>
        <v>#N/A</v>
      </c>
      <c r="AF44" s="224" t="e">
        <f aca="false">((Summary!$N$14*(AA44*AD44)*(A44-$D$3))+(Summary!$M$14*Z44*AC44*(AJ44-EOMONTH(EDATE(A44,-1),0))))/(AK44*AB44*AE44)</f>
        <v>#N/A</v>
      </c>
      <c r="AG44" s="207" t="n">
        <f aca="false">IF($A45="","",Summary!$Q$14)</f>
        <v>0</v>
      </c>
      <c r="AH44" s="207" t="n">
        <f aca="false">IF($A45="","",IF(Summary!$R$12="Y",(VLOOKUP($A44,Summary!$AD$6:$AF$9,3)+'Escalating commodity'!J57),'Escalating commodity'!J57))</f>
        <v>0.00515716785574898</v>
      </c>
      <c r="AI44" s="207" t="n">
        <f aca="false">IF($A45="","",AH44)</f>
        <v>0.00515716785574898</v>
      </c>
      <c r="AJ44" s="208" t="n">
        <f aca="false">A44+DAY(EOMONTH(A44,0))/2-1</f>
        <v>38092</v>
      </c>
      <c r="AK44" s="209" t="n">
        <f aca="false">IF($A45="","",$A44-$E$1)</f>
        <v>-7848</v>
      </c>
      <c r="AL44" s="182" t="e">
        <f aca="false">IF($A45="","",SPRDOPT(P44,X44,AI44,0,AB44,AE44,AF44,AK44,$AJ$2,0))</f>
        <v>#NAME?</v>
      </c>
      <c r="AM44" s="211" t="e">
        <f aca="false">IF($A45="","",MAX(0,O44-W44-AI44))</f>
        <v>#N/A</v>
      </c>
      <c r="AN44" s="211" t="e">
        <f aca="false">IF($A45="","",AL44-AM44)</f>
        <v>#N/A</v>
      </c>
      <c r="AO44" s="137" t="n">
        <f aca="false">IF(A45="","",A45-A44)</f>
        <v>30</v>
      </c>
      <c r="AP44" s="212" t="n">
        <f aca="false">IF(A45="","",CHOOSE(F$3,A45+24,A44))</f>
        <v>38078</v>
      </c>
      <c r="AQ44" s="209" t="n">
        <f aca="false">IF(A45="","",AP44-$E$1)</f>
        <v>-7848</v>
      </c>
      <c r="AR44" s="185" t="n">
        <f aca="false">'ANR OK vs ML7'!AR44</f>
        <v>0.1</v>
      </c>
      <c r="AS44" s="213" t="n">
        <f aca="false">IF(A45="","",1/(1+CHOOSE(F$3,(AR45+($I$3/10000))/2,(AR44+($I$3/10000))/2))^(2*AQ44/365.25))</f>
        <v>8.13905965985585</v>
      </c>
      <c r="AT44" s="137" t="n">
        <f aca="false">IF(A45="","",IF(AND(mthbeg&lt;=A44,mthend&gt;=A44),1,0))</f>
        <v>1</v>
      </c>
      <c r="AU44" s="137" t="n">
        <f aca="false">IF(A45="","",AO44*AT44)</f>
        <v>30</v>
      </c>
      <c r="AW44" s="195" t="e">
        <f aca="false">IF($A45="","",AL44*$E44)</f>
        <v>#NAME?</v>
      </c>
      <c r="AX44" s="195" t="e">
        <f aca="false">IF($A45="","",AM44*$E44)</f>
        <v>#N/A</v>
      </c>
      <c r="AY44" s="195" t="e">
        <f aca="false">IF($A45="","",AN44*$E44)</f>
        <v>#N/A</v>
      </c>
      <c r="BA44" s="195" t="n">
        <f aca="false">IF($A45="","",F44*Summary!$Q$14)</f>
        <v>0</v>
      </c>
      <c r="BC44" s="179" t="e">
        <f aca="false">IF(A45="","",AM44*F44)</f>
        <v>#N/A</v>
      </c>
    </row>
    <row r="45" customFormat="false" ht="12.75" hidden="false" customHeight="false" outlineLevel="0" collapsed="false">
      <c r="A45" s="196" t="n">
        <f aca="false">IF(A44&lt;mthend,EDATE(A44,1),"")</f>
        <v>38108</v>
      </c>
      <c r="B45" s="197" t="n">
        <f aca="false">IF(A45&lt;mthend,B44,"")</f>
        <v>28400</v>
      </c>
      <c r="C45" s="215"/>
      <c r="D45" s="197" t="n">
        <f aca="false">IF(A46&lt;&gt;"",B45+C45,"")</f>
        <v>28400</v>
      </c>
      <c r="E45" s="199" t="n">
        <f aca="false">IF(A46="","",IF(AND(AT45=1,$H$3=1),D45*AO45,IF($H$3=2,D45,"N/A")))</f>
        <v>880400</v>
      </c>
      <c r="F45" s="199" t="n">
        <f aca="false">IF(A46="","",E45*AS45)</f>
        <v>7108426.50313312</v>
      </c>
      <c r="G45" s="200" t="e">
        <f aca="false">IF($A46="","",VLOOKUP($A45,Table,MATCH(G$4,Curves,0)))</f>
        <v>#N/A</v>
      </c>
      <c r="H45" s="201" t="e">
        <f aca="false">IF(A46="","",G45)</f>
        <v>#N/A</v>
      </c>
      <c r="I45" s="202"/>
      <c r="J45" s="200" t="e">
        <f aca="false">IF($A46="","",VLOOKUP($A45,Table,MATCH(J$4,Curves,0)))</f>
        <v>#N/A</v>
      </c>
      <c r="K45" s="201" t="e">
        <f aca="false">IF(A46="","",J45)</f>
        <v>#N/A</v>
      </c>
      <c r="L45" s="185" t="n">
        <v>0</v>
      </c>
      <c r="M45" s="201" t="n">
        <f aca="false">IF(A46="","",L45)</f>
        <v>0</v>
      </c>
      <c r="N45" s="203"/>
      <c r="O45" s="200" t="e">
        <f aca="false">IF(A46="","",L45+J45+G45)</f>
        <v>#N/A</v>
      </c>
      <c r="P45" s="200" t="e">
        <f aca="false">IF(A46="","",M45+K45+H45)</f>
        <v>#N/A</v>
      </c>
      <c r="Q45" s="204"/>
      <c r="R45" s="200" t="e">
        <f aca="false">IF($A46="","",VLOOKUP($A45,Table,MATCH(R$4,Curves,0)))</f>
        <v>#N/A</v>
      </c>
      <c r="S45" s="201" t="e">
        <f aca="false">IF(A46="","",R45)</f>
        <v>#N/A</v>
      </c>
      <c r="T45" s="200" t="e">
        <f aca="false">IF($A46="","",VLOOKUP($A45,Table,MATCH(T$4,Curves,0)))</f>
        <v>#N/A</v>
      </c>
      <c r="U45" s="201" t="e">
        <f aca="false">IF(A46="","",T45)</f>
        <v>#N/A</v>
      </c>
      <c r="V45" s="183" t="e">
        <f aca="false">IF($A46="","",IF(AND(MONTH(A45)&gt;3,MONTH(A45)&lt;11),(T45+R45+G45)*(((1/(1-Summary!$T$14))/(1-Summary!$W$14))-1),(T45+R45+G45)*((1/(1-Summary!$U$14))/(1-Summary!$X$14)-1)))</f>
        <v>#N/A</v>
      </c>
      <c r="W45" s="202" t="e">
        <f aca="false">IF($A46="","",(T45+R45+G45+V45))</f>
        <v>#N/A</v>
      </c>
      <c r="X45" s="202" t="e">
        <f aca="false">IF($A46="","",(U45+S45+H45+V45))</f>
        <v>#N/A</v>
      </c>
      <c r="Y45" s="202"/>
      <c r="Z45" s="185" t="e">
        <f aca="false">IF($A46="","",VLOOKUP($A45,Table,MATCH(Z$4,Curves,0)))</f>
        <v>#N/A</v>
      </c>
      <c r="AA45" s="185" t="e">
        <f aca="false">IF($A46="","",VLOOKUP($A45,Table,MATCH(AA$4,Curves,0)))</f>
        <v>#N/A</v>
      </c>
      <c r="AB45" s="185" t="e">
        <f aca="false">SQRT((AA45^2*(A45-$D$3)+Z45^2*(DAY(EOMONTH(A45,0))/2))/AK45)</f>
        <v>#N/A</v>
      </c>
      <c r="AC45" s="185" t="e">
        <f aca="false">IF($A46="","",VLOOKUP($A45,Table,MATCH(AC$4,Curves,0)))</f>
        <v>#N/A</v>
      </c>
      <c r="AD45" s="185" t="e">
        <f aca="false">IF($A46="","",VLOOKUP($A45,Table,MATCH(AD$4,Curves,0)))</f>
        <v>#N/A</v>
      </c>
      <c r="AE45" s="185" t="e">
        <f aca="false">SQRT((AD45^2*(A45-$D$3)+AC45^2*(DAY(EOMONTH(A45,0))/2))/AK45)</f>
        <v>#N/A</v>
      </c>
      <c r="AF45" s="224" t="e">
        <f aca="false">((Summary!$N$14*(AA45*AD45)*(A45-$D$3))+(Summary!$M$14*Z45*AC45*(AJ45-EOMONTH(EDATE(A45,-1),0))))/(AK45*AB45*AE45)</f>
        <v>#N/A</v>
      </c>
      <c r="AG45" s="207" t="n">
        <f aca="false">IF($A46="","",Summary!$Q$14)</f>
        <v>0</v>
      </c>
      <c r="AH45" s="207" t="n">
        <f aca="false">IF($A46="","",IF(Summary!$R$12="Y",(VLOOKUP($A45,Summary!$AD$6:$AF$9,3)+'Escalating commodity'!J58),'Escalating commodity'!J58))</f>
        <v>0.00515716785574898</v>
      </c>
      <c r="AI45" s="207" t="n">
        <f aca="false">IF($A46="","",AH45)</f>
        <v>0.00515716785574898</v>
      </c>
      <c r="AJ45" s="208" t="n">
        <f aca="false">A45+DAY(EOMONTH(A45,0))/2-1</f>
        <v>38122.5</v>
      </c>
      <c r="AK45" s="209" t="n">
        <f aca="false">IF($A46="","",$A45-$E$1)</f>
        <v>-7818</v>
      </c>
      <c r="AL45" s="182" t="e">
        <f aca="false">IF($A46="","",SPRDOPT(P45,X45,AI45,0,AB45,AE45,AF45,AK45,$AJ$2,0))</f>
        <v>#NAME?</v>
      </c>
      <c r="AM45" s="211" t="e">
        <f aca="false">IF($A46="","",MAX(0,O45-W45-AI45))</f>
        <v>#N/A</v>
      </c>
      <c r="AN45" s="211" t="e">
        <f aca="false">IF($A46="","",AL45-AM45)</f>
        <v>#N/A</v>
      </c>
      <c r="AO45" s="137" t="n">
        <f aca="false">IF(A46="","",A46-A45)</f>
        <v>31</v>
      </c>
      <c r="AP45" s="212" t="n">
        <f aca="false">IF(A46="","",CHOOSE(F$3,A46+24,A45))</f>
        <v>38108</v>
      </c>
      <c r="AQ45" s="209" t="n">
        <f aca="false">IF(A46="","",AP45-$E$1)</f>
        <v>-7818</v>
      </c>
      <c r="AR45" s="185" t="n">
        <f aca="false">'ANR OK vs ML7'!AR45</f>
        <v>0.1</v>
      </c>
      <c r="AS45" s="213" t="n">
        <f aca="false">IF(A46="","",1/(1+CHOOSE(F$3,(AR46+($I$3/10000))/2,(AR45+($I$3/10000))/2))^(2*AQ45/365.25))</f>
        <v>8.07408735021935</v>
      </c>
      <c r="AT45" s="137" t="n">
        <f aca="false">IF(A46="","",IF(AND(mthbeg&lt;=A45,mthend&gt;=A45),1,0))</f>
        <v>1</v>
      </c>
      <c r="AU45" s="137" t="n">
        <f aca="false">IF(A46="","",AO45*AT45)</f>
        <v>31</v>
      </c>
      <c r="AW45" s="195" t="e">
        <f aca="false">IF($A46="","",AL45*$E45)</f>
        <v>#NAME?</v>
      </c>
      <c r="AX45" s="195" t="e">
        <f aca="false">IF($A46="","",AM45*$E45)</f>
        <v>#N/A</v>
      </c>
      <c r="AY45" s="195" t="e">
        <f aca="false">IF($A46="","",AN45*$E45)</f>
        <v>#N/A</v>
      </c>
      <c r="BA45" s="195" t="n">
        <f aca="false">IF($A46="","",F45*Summary!$Q$14)</f>
        <v>0</v>
      </c>
      <c r="BC45" s="179" t="e">
        <f aca="false">IF(A46="","",AM45*F45)</f>
        <v>#N/A</v>
      </c>
    </row>
    <row r="46" customFormat="false" ht="12.75" hidden="false" customHeight="false" outlineLevel="0" collapsed="false">
      <c r="A46" s="196" t="n">
        <f aca="false">IF(A45&lt;mthend,EDATE(A45,1),"")</f>
        <v>38139</v>
      </c>
      <c r="B46" s="197" t="n">
        <f aca="false">IF(A46&lt;mthend,B45,"")</f>
        <v>28400</v>
      </c>
      <c r="C46" s="215"/>
      <c r="D46" s="197" t="n">
        <f aca="false">IF(A47&lt;&gt;"",B46+C46,"")</f>
        <v>28400</v>
      </c>
      <c r="E46" s="199" t="n">
        <f aca="false">IF(A47="","",IF(AND(AT46=1,$H$3=1),D46*AO46,IF($H$3=2,D46,"N/A")))</f>
        <v>852000</v>
      </c>
      <c r="F46" s="199" t="n">
        <f aca="false">IF(A47="","",E46*AS46)</f>
        <v>6822384.9980586</v>
      </c>
      <c r="G46" s="200" t="e">
        <f aca="false">IF($A47="","",VLOOKUP($A46,Table,MATCH(G$4,Curves,0)))</f>
        <v>#N/A</v>
      </c>
      <c r="H46" s="201" t="e">
        <f aca="false">IF(A47="","",G46)</f>
        <v>#N/A</v>
      </c>
      <c r="I46" s="202"/>
      <c r="J46" s="200" t="e">
        <f aca="false">IF($A47="","",VLOOKUP($A46,Table,MATCH(J$4,Curves,0)))</f>
        <v>#N/A</v>
      </c>
      <c r="K46" s="201" t="e">
        <f aca="false">IF(A47="","",J46)</f>
        <v>#N/A</v>
      </c>
      <c r="L46" s="185" t="n">
        <v>0</v>
      </c>
      <c r="M46" s="201" t="n">
        <f aca="false">IF(A47="","",L46)</f>
        <v>0</v>
      </c>
      <c r="N46" s="203"/>
      <c r="O46" s="200" t="e">
        <f aca="false">IF(A47="","",L46+J46+G46)</f>
        <v>#N/A</v>
      </c>
      <c r="P46" s="200" t="e">
        <f aca="false">IF(A47="","",M46+K46+H46)</f>
        <v>#N/A</v>
      </c>
      <c r="Q46" s="204"/>
      <c r="R46" s="200" t="e">
        <f aca="false">IF($A47="","",VLOOKUP($A46,Table,MATCH(R$4,Curves,0)))</f>
        <v>#N/A</v>
      </c>
      <c r="S46" s="201" t="e">
        <f aca="false">IF(A47="","",R46)</f>
        <v>#N/A</v>
      </c>
      <c r="T46" s="200" t="e">
        <f aca="false">IF($A47="","",VLOOKUP($A46,Table,MATCH(T$4,Curves,0)))</f>
        <v>#N/A</v>
      </c>
      <c r="U46" s="201" t="e">
        <f aca="false">IF(A47="","",T46)</f>
        <v>#N/A</v>
      </c>
      <c r="V46" s="183" t="e">
        <f aca="false">IF($A47="","",IF(AND(MONTH(A46)&gt;3,MONTH(A46)&lt;11),(T46+R46+G46)*(((1/(1-Summary!$T$14))/(1-Summary!$W$14))-1),(T46+R46+G46)*((1/(1-Summary!$U$14))/(1-Summary!$X$14)-1)))</f>
        <v>#N/A</v>
      </c>
      <c r="W46" s="202" t="e">
        <f aca="false">IF($A47="","",(T46+R46+G46+V46))</f>
        <v>#N/A</v>
      </c>
      <c r="X46" s="202" t="e">
        <f aca="false">IF($A47="","",(U46+S46+H46+V46))</f>
        <v>#N/A</v>
      </c>
      <c r="Y46" s="202"/>
      <c r="Z46" s="185" t="e">
        <f aca="false">IF($A47="","",VLOOKUP($A46,Table,MATCH(Z$4,Curves,0)))</f>
        <v>#N/A</v>
      </c>
      <c r="AA46" s="185" t="e">
        <f aca="false">IF($A47="","",VLOOKUP($A46,Table,MATCH(AA$4,Curves,0)))</f>
        <v>#N/A</v>
      </c>
      <c r="AB46" s="185" t="e">
        <f aca="false">SQRT((AA46^2*(A46-$D$3)+Z46^2*(DAY(EOMONTH(A46,0))/2))/AK46)</f>
        <v>#N/A</v>
      </c>
      <c r="AC46" s="185" t="e">
        <f aca="false">IF($A47="","",VLOOKUP($A46,Table,MATCH(AC$4,Curves,0)))</f>
        <v>#N/A</v>
      </c>
      <c r="AD46" s="185" t="e">
        <f aca="false">IF($A47="","",VLOOKUP($A46,Table,MATCH(AD$4,Curves,0)))</f>
        <v>#N/A</v>
      </c>
      <c r="AE46" s="185" t="e">
        <f aca="false">SQRT((AD46^2*(A46-$D$3)+AC46^2*(DAY(EOMONTH(A46,0))/2))/AK46)</f>
        <v>#N/A</v>
      </c>
      <c r="AF46" s="224" t="e">
        <f aca="false">((Summary!$N$14*(AA46*AD46)*(A46-$D$3))+(Summary!$M$14*Z46*AC46*(AJ46-EOMONTH(EDATE(A46,-1),0))))/(AK46*AB46*AE46)</f>
        <v>#N/A</v>
      </c>
      <c r="AG46" s="207" t="n">
        <f aca="false">IF($A47="","",Summary!$Q$14)</f>
        <v>0</v>
      </c>
      <c r="AH46" s="207" t="n">
        <f aca="false">IF($A47="","",IF(Summary!$R$12="Y",(VLOOKUP($A46,Summary!$AD$6:$AF$9,3)+'Escalating commodity'!J59),'Escalating commodity'!J59))</f>
        <v>0.00515716785574898</v>
      </c>
      <c r="AI46" s="207" t="n">
        <f aca="false">IF($A47="","",AH46)</f>
        <v>0.00515716785574898</v>
      </c>
      <c r="AJ46" s="208" t="n">
        <f aca="false">A46+DAY(EOMONTH(A46,0))/2-1</f>
        <v>38153</v>
      </c>
      <c r="AK46" s="209" t="n">
        <f aca="false">IF($A47="","",$A46-$E$1)</f>
        <v>-7787</v>
      </c>
      <c r="AL46" s="182" t="e">
        <f aca="false">IF($A47="","",SPRDOPT(P46,X46,AI46,0,AB46,AE46,AF46,AK46,$AJ$2,0))</f>
        <v>#NAME?</v>
      </c>
      <c r="AM46" s="211" t="e">
        <f aca="false">IF($A47="","",MAX(0,O46-W46-AI46))</f>
        <v>#N/A</v>
      </c>
      <c r="AN46" s="211" t="e">
        <f aca="false">IF($A47="","",AL46-AM46)</f>
        <v>#N/A</v>
      </c>
      <c r="AO46" s="137" t="n">
        <f aca="false">IF(A47="","",A47-A46)</f>
        <v>30</v>
      </c>
      <c r="AP46" s="212" t="n">
        <f aca="false">IF(A47="","",CHOOSE(F$3,A47+24,A46))</f>
        <v>38139</v>
      </c>
      <c r="AQ46" s="209" t="n">
        <f aca="false">IF(A47="","",AP46-$E$1)</f>
        <v>-7787</v>
      </c>
      <c r="AR46" s="185" t="n">
        <f aca="false">'ANR OK vs ML7'!AR46</f>
        <v>0.1</v>
      </c>
      <c r="AS46" s="213" t="n">
        <f aca="false">IF(A47="","",1/(1+CHOOSE(F$3,(AR47+($I$3/10000))/2,(AR46+($I$3/10000))/2))^(2*AQ46/365.25))</f>
        <v>8.00749412917676</v>
      </c>
      <c r="AT46" s="137" t="n">
        <f aca="false">IF(A47="","",IF(AND(mthbeg&lt;=A46,mthend&gt;=A46),1,0))</f>
        <v>1</v>
      </c>
      <c r="AU46" s="137" t="n">
        <f aca="false">IF(A47="","",AO46*AT46)</f>
        <v>30</v>
      </c>
      <c r="AW46" s="195" t="e">
        <f aca="false">IF($A47="","",AL46*$E46)</f>
        <v>#NAME?</v>
      </c>
      <c r="AX46" s="195" t="e">
        <f aca="false">IF($A47="","",AM46*$E46)</f>
        <v>#N/A</v>
      </c>
      <c r="AY46" s="195" t="e">
        <f aca="false">IF($A47="","",AN46*$E46)</f>
        <v>#N/A</v>
      </c>
      <c r="BA46" s="195" t="n">
        <f aca="false">IF($A47="","",F46*Summary!$Q$14)</f>
        <v>0</v>
      </c>
      <c r="BC46" s="179" t="e">
        <f aca="false">IF(A47="","",AM46*F46)</f>
        <v>#N/A</v>
      </c>
    </row>
    <row r="47" customFormat="false" ht="12.75" hidden="false" customHeight="false" outlineLevel="0" collapsed="false">
      <c r="A47" s="196" t="n">
        <f aca="false">IF(A46&lt;mthend,EDATE(A46,1),"")</f>
        <v>38169</v>
      </c>
      <c r="B47" s="197" t="n">
        <f aca="false">IF(A47&lt;mthend,B46,"")</f>
        <v>28400</v>
      </c>
      <c r="C47" s="215"/>
      <c r="D47" s="197" t="n">
        <f aca="false">IF(A48&lt;&gt;"",B47+C47,"")</f>
        <v>28400</v>
      </c>
      <c r="E47" s="199" t="n">
        <f aca="false">IF(A48="","",IF(AND(AT47=1,$H$3=1),D47*AO47,IF($H$3=2,D47,"N/A")))</f>
        <v>880400</v>
      </c>
      <c r="F47" s="199" t="n">
        <f aca="false">IF(A48="","",E47*AS47)</f>
        <v>6993520.85748577</v>
      </c>
      <c r="G47" s="200" t="e">
        <f aca="false">IF($A48="","",VLOOKUP($A47,Table,MATCH(G$4,Curves,0)))</f>
        <v>#N/A</v>
      </c>
      <c r="H47" s="201" t="e">
        <f aca="false">IF(A48="","",G47)</f>
        <v>#N/A</v>
      </c>
      <c r="I47" s="202"/>
      <c r="J47" s="200" t="e">
        <f aca="false">IF($A48="","",VLOOKUP($A47,Table,MATCH(J$4,Curves,0)))</f>
        <v>#N/A</v>
      </c>
      <c r="K47" s="201" t="e">
        <f aca="false">IF(A48="","",J47)</f>
        <v>#N/A</v>
      </c>
      <c r="L47" s="185" t="n">
        <v>0</v>
      </c>
      <c r="M47" s="201" t="n">
        <f aca="false">IF(A48="","",L47)</f>
        <v>0</v>
      </c>
      <c r="N47" s="203"/>
      <c r="O47" s="200" t="e">
        <f aca="false">IF(A48="","",L47+J47+G47)</f>
        <v>#N/A</v>
      </c>
      <c r="P47" s="200" t="e">
        <f aca="false">IF(A48="","",M47+K47+H47)</f>
        <v>#N/A</v>
      </c>
      <c r="Q47" s="204"/>
      <c r="R47" s="200" t="e">
        <f aca="false">IF($A48="","",VLOOKUP($A47,Table,MATCH(R$4,Curves,0)))</f>
        <v>#N/A</v>
      </c>
      <c r="S47" s="201" t="e">
        <f aca="false">IF(A48="","",R47)</f>
        <v>#N/A</v>
      </c>
      <c r="T47" s="200" t="e">
        <f aca="false">IF($A48="","",VLOOKUP($A47,Table,MATCH(T$4,Curves,0)))</f>
        <v>#N/A</v>
      </c>
      <c r="U47" s="201" t="e">
        <f aca="false">IF(A48="","",T47)</f>
        <v>#N/A</v>
      </c>
      <c r="V47" s="183" t="e">
        <f aca="false">IF($A48="","",IF(AND(MONTH(A47)&gt;3,MONTH(A47)&lt;11),(T47+R47+G47)*(((1/(1-Summary!$T$14))/(1-Summary!$W$14))-1),(T47+R47+G47)*((1/(1-Summary!$U$14))/(1-Summary!$X$14)-1)))</f>
        <v>#N/A</v>
      </c>
      <c r="W47" s="202" t="e">
        <f aca="false">IF($A48="","",(T47+R47+G47+V47))</f>
        <v>#N/A</v>
      </c>
      <c r="X47" s="202" t="e">
        <f aca="false">IF($A48="","",(U47+S47+H47+V47))</f>
        <v>#N/A</v>
      </c>
      <c r="Y47" s="202"/>
      <c r="Z47" s="185" t="e">
        <f aca="false">IF($A48="","",VLOOKUP($A47,Table,MATCH(Z$4,Curves,0)))</f>
        <v>#N/A</v>
      </c>
      <c r="AA47" s="185" t="e">
        <f aca="false">IF($A48="","",VLOOKUP($A47,Table,MATCH(AA$4,Curves,0)))</f>
        <v>#N/A</v>
      </c>
      <c r="AB47" s="185" t="e">
        <f aca="false">SQRT((AA47^2*(A47-$D$3)+Z47^2*(DAY(EOMONTH(A47,0))/2))/AK47)</f>
        <v>#N/A</v>
      </c>
      <c r="AC47" s="185" t="e">
        <f aca="false">IF($A48="","",VLOOKUP($A47,Table,MATCH(AC$4,Curves,0)))</f>
        <v>#N/A</v>
      </c>
      <c r="AD47" s="185" t="e">
        <f aca="false">IF($A48="","",VLOOKUP($A47,Table,MATCH(AD$4,Curves,0)))</f>
        <v>#N/A</v>
      </c>
      <c r="AE47" s="185" t="e">
        <f aca="false">SQRT((AD47^2*(A47-$D$3)+AC47^2*(DAY(EOMONTH(A47,0))/2))/AK47)</f>
        <v>#N/A</v>
      </c>
      <c r="AF47" s="224" t="e">
        <f aca="false">((Summary!$N$14*(AA47*AD47)*(A47-$D$3))+(Summary!$M$14*Z47*AC47*(AJ47-EOMONTH(EDATE(A47,-1),0))))/(AK47*AB47*AE47)</f>
        <v>#N/A</v>
      </c>
      <c r="AG47" s="207" t="n">
        <f aca="false">IF($A48="","",Summary!$Q$14)</f>
        <v>0</v>
      </c>
      <c r="AH47" s="207" t="n">
        <f aca="false">IF($A48="","",IF(Summary!$R$12="Y",(VLOOKUP($A47,Summary!$AD$6:$AF$9,3)+'Escalating commodity'!J60),'Escalating commodity'!J60))</f>
        <v>0.00515716785574898</v>
      </c>
      <c r="AI47" s="207" t="n">
        <f aca="false">IF($A48="","",AH47)</f>
        <v>0.00515716785574898</v>
      </c>
      <c r="AJ47" s="208" t="n">
        <f aca="false">A47+DAY(EOMONTH(A47,0))/2-1</f>
        <v>38183.5</v>
      </c>
      <c r="AK47" s="209" t="n">
        <f aca="false">IF($A48="","",$A47-$E$1)</f>
        <v>-7757</v>
      </c>
      <c r="AL47" s="182" t="e">
        <f aca="false">IF($A48="","",SPRDOPT(P47,X47,AI47,0,AB47,AE47,AF47,AK47,$AJ$2,0))</f>
        <v>#NAME?</v>
      </c>
      <c r="AM47" s="211" t="e">
        <f aca="false">IF($A48="","",MAX(0,O47-W47-AI47))</f>
        <v>#N/A</v>
      </c>
      <c r="AN47" s="211" t="e">
        <f aca="false">IF($A48="","",AL47-AM47)</f>
        <v>#N/A</v>
      </c>
      <c r="AO47" s="137" t="n">
        <f aca="false">IF(A48="","",A48-A47)</f>
        <v>31</v>
      </c>
      <c r="AP47" s="212" t="n">
        <f aca="false">IF(A48="","",CHOOSE(F$3,A48+24,A47))</f>
        <v>38169</v>
      </c>
      <c r="AQ47" s="209" t="n">
        <f aca="false">IF(A48="","",AP47-$E$1)</f>
        <v>-7757</v>
      </c>
      <c r="AR47" s="185" t="n">
        <f aca="false">'ANR OK vs ML7'!AR47</f>
        <v>0.1</v>
      </c>
      <c r="AS47" s="213" t="n">
        <f aca="false">IF(A48="","",1/(1+CHOOSE(F$3,(AR48+($I$3/10000))/2,(AR47+($I$3/10000))/2))^(2*AQ47/365.25))</f>
        <v>7.94357207801655</v>
      </c>
      <c r="AT47" s="137" t="n">
        <f aca="false">IF(A48="","",IF(AND(mthbeg&lt;=A47,mthend&gt;=A47),1,0))</f>
        <v>1</v>
      </c>
      <c r="AU47" s="137" t="n">
        <f aca="false">IF(A48="","",AO47*AT47)</f>
        <v>31</v>
      </c>
      <c r="AW47" s="195" t="e">
        <f aca="false">IF($A48="","",AL47*$E47)</f>
        <v>#NAME?</v>
      </c>
      <c r="AX47" s="195" t="e">
        <f aca="false">IF($A48="","",AM47*$E47)</f>
        <v>#N/A</v>
      </c>
      <c r="AY47" s="195" t="e">
        <f aca="false">IF($A48="","",AN47*$E47)</f>
        <v>#N/A</v>
      </c>
      <c r="BA47" s="195" t="n">
        <f aca="false">IF($A48="","",F47*Summary!$Q$14)</f>
        <v>0</v>
      </c>
      <c r="BC47" s="179" t="e">
        <f aca="false">IF(A48="","",AM47*F47)</f>
        <v>#N/A</v>
      </c>
    </row>
    <row r="48" customFormat="false" ht="12.75" hidden="false" customHeight="false" outlineLevel="0" collapsed="false">
      <c r="A48" s="196" t="n">
        <f aca="false">IF(A47&lt;mthend,EDATE(A47,1),"")</f>
        <v>38200</v>
      </c>
      <c r="B48" s="197" t="n">
        <f aca="false">IF(A48&lt;mthend,B47,"")</f>
        <v>28400</v>
      </c>
      <c r="C48" s="215"/>
      <c r="D48" s="197" t="n">
        <f aca="false">IF(A49&lt;&gt;"",B48+C48,"")</f>
        <v>28400</v>
      </c>
      <c r="E48" s="199" t="n">
        <f aca="false">IF(A49="","",IF(AND(AT48=1,$H$3=1),D48*AO48,IF($H$3=2,D48,"N/A")))</f>
        <v>880400</v>
      </c>
      <c r="F48" s="199" t="n">
        <f aca="false">IF(A49="","",E48*AS48)</f>
        <v>6935839.90109682</v>
      </c>
      <c r="G48" s="200" t="e">
        <f aca="false">IF($A49="","",VLOOKUP($A48,Table,MATCH(G$4,Curves,0)))</f>
        <v>#N/A</v>
      </c>
      <c r="H48" s="201" t="e">
        <f aca="false">IF(A49="","",G48)</f>
        <v>#N/A</v>
      </c>
      <c r="I48" s="202"/>
      <c r="J48" s="200" t="e">
        <f aca="false">IF($A49="","",VLOOKUP($A48,Table,MATCH(J$4,Curves,0)))</f>
        <v>#N/A</v>
      </c>
      <c r="K48" s="201" t="e">
        <f aca="false">IF(A49="","",J48)</f>
        <v>#N/A</v>
      </c>
      <c r="L48" s="185" t="n">
        <v>0</v>
      </c>
      <c r="M48" s="201" t="n">
        <f aca="false">IF(A49="","",L48)</f>
        <v>0</v>
      </c>
      <c r="N48" s="203"/>
      <c r="O48" s="200" t="e">
        <f aca="false">IF(A49="","",L48+J48+G48)</f>
        <v>#N/A</v>
      </c>
      <c r="P48" s="200" t="e">
        <f aca="false">IF(A49="","",M48+K48+H48)</f>
        <v>#N/A</v>
      </c>
      <c r="Q48" s="204"/>
      <c r="R48" s="200" t="e">
        <f aca="false">IF($A49="","",VLOOKUP($A48,Table,MATCH(R$4,Curves,0)))</f>
        <v>#N/A</v>
      </c>
      <c r="S48" s="201" t="e">
        <f aca="false">IF(A49="","",R48)</f>
        <v>#N/A</v>
      </c>
      <c r="T48" s="200" t="e">
        <f aca="false">IF($A49="","",VLOOKUP($A48,Table,MATCH(T$4,Curves,0)))</f>
        <v>#N/A</v>
      </c>
      <c r="U48" s="201" t="e">
        <f aca="false">IF(A49="","",T48)</f>
        <v>#N/A</v>
      </c>
      <c r="V48" s="183" t="e">
        <f aca="false">IF($A49="","",IF(AND(MONTH(A48)&gt;3,MONTH(A48)&lt;11),(T48+R48+G48)*(((1/(1-Summary!$T$14))/(1-Summary!$W$14))-1),(T48+R48+G48)*((1/(1-Summary!$U$14))/(1-Summary!$X$14)-1)))</f>
        <v>#N/A</v>
      </c>
      <c r="W48" s="202" t="e">
        <f aca="false">IF($A49="","",(T48+R48+G48+V48))</f>
        <v>#N/A</v>
      </c>
      <c r="X48" s="202" t="e">
        <f aca="false">IF($A49="","",(U48+S48+H48+V48))</f>
        <v>#N/A</v>
      </c>
      <c r="Y48" s="202"/>
      <c r="Z48" s="185" t="e">
        <f aca="false">IF($A49="","",VLOOKUP($A48,Table,MATCH(Z$4,Curves,0)))</f>
        <v>#N/A</v>
      </c>
      <c r="AA48" s="185" t="e">
        <f aca="false">IF($A49="","",VLOOKUP($A48,Table,MATCH(AA$4,Curves,0)))</f>
        <v>#N/A</v>
      </c>
      <c r="AB48" s="185" t="e">
        <f aca="false">SQRT((AA48^2*(A48-$D$3)+Z48^2*(DAY(EOMONTH(A48,0))/2))/AK48)</f>
        <v>#N/A</v>
      </c>
      <c r="AC48" s="185" t="e">
        <f aca="false">IF($A49="","",VLOOKUP($A48,Table,MATCH(AC$4,Curves,0)))</f>
        <v>#N/A</v>
      </c>
      <c r="AD48" s="185" t="e">
        <f aca="false">IF($A49="","",VLOOKUP($A48,Table,MATCH(AD$4,Curves,0)))</f>
        <v>#N/A</v>
      </c>
      <c r="AE48" s="185" t="e">
        <f aca="false">SQRT((AD48^2*(A48-$D$3)+AC48^2*(DAY(EOMONTH(A48,0))/2))/AK48)</f>
        <v>#N/A</v>
      </c>
      <c r="AF48" s="224" t="e">
        <f aca="false">((Summary!$N$14*(AA48*AD48)*(A48-$D$3))+(Summary!$M$14*Z48*AC48*(AJ48-EOMONTH(EDATE(A48,-1),0))))/(AK48*AB48*AE48)</f>
        <v>#N/A</v>
      </c>
      <c r="AG48" s="207" t="n">
        <f aca="false">IF($A49="","",Summary!$Q$14)</f>
        <v>0</v>
      </c>
      <c r="AH48" s="207" t="n">
        <f aca="false">IF($A49="","",IF(Summary!$R$12="Y",(VLOOKUP($A48,Summary!$AD$6:$AF$9,3)+'Escalating commodity'!J61),'Escalating commodity'!J61))</f>
        <v>0.00515716785574898</v>
      </c>
      <c r="AI48" s="207" t="n">
        <f aca="false">IF($A49="","",AH48)</f>
        <v>0.00515716785574898</v>
      </c>
      <c r="AJ48" s="208" t="n">
        <f aca="false">A48+DAY(EOMONTH(A48,0))/2-1</f>
        <v>38214.5</v>
      </c>
      <c r="AK48" s="209" t="n">
        <f aca="false">IF($A49="","",$A48-$E$1)</f>
        <v>-7726</v>
      </c>
      <c r="AL48" s="182" t="e">
        <f aca="false">IF($A49="","",SPRDOPT(P48,X48,AI48,0,AB48,AE48,AF48,AK48,$AJ$2,0))</f>
        <v>#NAME?</v>
      </c>
      <c r="AM48" s="211" t="e">
        <f aca="false">IF($A49="","",MAX(0,O48-W48-AI48))</f>
        <v>#N/A</v>
      </c>
      <c r="AN48" s="211" t="e">
        <f aca="false">IF($A49="","",AL48-AM48)</f>
        <v>#N/A</v>
      </c>
      <c r="AO48" s="137" t="n">
        <f aca="false">IF(A49="","",A49-A48)</f>
        <v>31</v>
      </c>
      <c r="AP48" s="212" t="n">
        <f aca="false">IF(A49="","",CHOOSE(F$3,A49+24,A48))</f>
        <v>38200</v>
      </c>
      <c r="AQ48" s="209" t="n">
        <f aca="false">IF(A49="","",AP48-$E$1)</f>
        <v>-7726</v>
      </c>
      <c r="AR48" s="185" t="n">
        <f aca="false">'ANR OK vs ML7'!AR48</f>
        <v>0.1</v>
      </c>
      <c r="AS48" s="213" t="n">
        <f aca="false">IF(A49="","",1/(1+CHOOSE(F$3,(AR49+($I$3/10000))/2,(AR48+($I$3/10000))/2))^(2*AQ48/365.25))</f>
        <v>7.87805531701138</v>
      </c>
      <c r="AT48" s="137" t="n">
        <f aca="false">IF(A49="","",IF(AND(mthbeg&lt;=A48,mthend&gt;=A48),1,0))</f>
        <v>1</v>
      </c>
      <c r="AU48" s="137" t="n">
        <f aca="false">IF(A49="","",AO48*AT48)</f>
        <v>31</v>
      </c>
      <c r="AW48" s="195" t="e">
        <f aca="false">IF($A49="","",AL48*$E48)</f>
        <v>#NAME?</v>
      </c>
      <c r="AX48" s="195" t="e">
        <f aca="false">IF($A49="","",AM48*$E48)</f>
        <v>#N/A</v>
      </c>
      <c r="AY48" s="195" t="e">
        <f aca="false">IF($A49="","",AN48*$E48)</f>
        <v>#N/A</v>
      </c>
      <c r="BA48" s="195" t="n">
        <f aca="false">IF($A49="","",F48*Summary!$Q$14)</f>
        <v>0</v>
      </c>
      <c r="BC48" s="179" t="e">
        <f aca="false">IF(A49="","",AM48*F48)</f>
        <v>#N/A</v>
      </c>
    </row>
    <row r="49" customFormat="false" ht="12.75" hidden="false" customHeight="false" outlineLevel="0" collapsed="false">
      <c r="A49" s="196" t="n">
        <f aca="false">IF(A48&lt;mthend,EDATE(A48,1),"")</f>
        <v>38231</v>
      </c>
      <c r="B49" s="197" t="n">
        <f aca="false">IF(A49&lt;mthend,B48,"")</f>
        <v>28400</v>
      </c>
      <c r="C49" s="215"/>
      <c r="D49" s="197" t="n">
        <f aca="false">IF(A50&lt;&gt;"",B49+C49,"")</f>
        <v>28400</v>
      </c>
      <c r="E49" s="199" t="n">
        <f aca="false">IF(A50="","",IF(AND(AT49=1,$H$3=1),D49*AO49,IF($H$3=2,D49,"N/A")))</f>
        <v>852000</v>
      </c>
      <c r="F49" s="199" t="n">
        <f aca="false">IF(A50="","",E49*AS49)</f>
        <v>6656743.24259002</v>
      </c>
      <c r="G49" s="200" t="e">
        <f aca="false">IF($A50="","",VLOOKUP($A49,Table,MATCH(G$4,Curves,0)))</f>
        <v>#N/A</v>
      </c>
      <c r="H49" s="201" t="e">
        <f aca="false">IF(A50="","",G49)</f>
        <v>#N/A</v>
      </c>
      <c r="I49" s="202"/>
      <c r="J49" s="200" t="e">
        <f aca="false">IF($A50="","",VLOOKUP($A49,Table,MATCH(J$4,Curves,0)))</f>
        <v>#N/A</v>
      </c>
      <c r="K49" s="201" t="e">
        <f aca="false">IF(A50="","",J49)</f>
        <v>#N/A</v>
      </c>
      <c r="L49" s="185" t="n">
        <v>0</v>
      </c>
      <c r="M49" s="201" t="n">
        <f aca="false">IF(A50="","",L49)</f>
        <v>0</v>
      </c>
      <c r="N49" s="203"/>
      <c r="O49" s="200" t="e">
        <f aca="false">IF(A50="","",L49+J49+G49)</f>
        <v>#N/A</v>
      </c>
      <c r="P49" s="200" t="e">
        <f aca="false">IF(A50="","",M49+K49+H49)</f>
        <v>#N/A</v>
      </c>
      <c r="Q49" s="204"/>
      <c r="R49" s="200" t="e">
        <f aca="false">IF($A50="","",VLOOKUP($A49,Table,MATCH(R$4,Curves,0)))</f>
        <v>#N/A</v>
      </c>
      <c r="S49" s="201" t="e">
        <f aca="false">IF(A50="","",R49)</f>
        <v>#N/A</v>
      </c>
      <c r="T49" s="200" t="e">
        <f aca="false">IF($A50="","",VLOOKUP($A49,Table,MATCH(T$4,Curves,0)))</f>
        <v>#N/A</v>
      </c>
      <c r="U49" s="201" t="e">
        <f aca="false">IF(A50="","",T49)</f>
        <v>#N/A</v>
      </c>
      <c r="V49" s="183" t="e">
        <f aca="false">IF($A50="","",IF(AND(MONTH(A49)&gt;3,MONTH(A49)&lt;11),(T49+R49+G49)*(((1/(1-Summary!$T$14))/(1-Summary!$W$14))-1),(T49+R49+G49)*((1/(1-Summary!$U$14))/(1-Summary!$X$14)-1)))</f>
        <v>#N/A</v>
      </c>
      <c r="W49" s="202" t="e">
        <f aca="false">IF($A50="","",(T49+R49+G49+V49))</f>
        <v>#N/A</v>
      </c>
      <c r="X49" s="202" t="e">
        <f aca="false">IF($A50="","",(U49+S49+H49+V49))</f>
        <v>#N/A</v>
      </c>
      <c r="Y49" s="202"/>
      <c r="Z49" s="185" t="e">
        <f aca="false">IF($A50="","",VLOOKUP($A49,Table,MATCH(Z$4,Curves,0)))</f>
        <v>#N/A</v>
      </c>
      <c r="AA49" s="185" t="e">
        <f aca="false">IF($A50="","",VLOOKUP($A49,Table,MATCH(AA$4,Curves,0)))</f>
        <v>#N/A</v>
      </c>
      <c r="AB49" s="185" t="e">
        <f aca="false">SQRT((AA49^2*(A49-$D$3)+Z49^2*(DAY(EOMONTH(A49,0))/2))/AK49)</f>
        <v>#N/A</v>
      </c>
      <c r="AC49" s="185" t="e">
        <f aca="false">IF($A50="","",VLOOKUP($A49,Table,MATCH(AC$4,Curves,0)))</f>
        <v>#N/A</v>
      </c>
      <c r="AD49" s="185" t="e">
        <f aca="false">IF($A50="","",VLOOKUP($A49,Table,MATCH(AD$4,Curves,0)))</f>
        <v>#N/A</v>
      </c>
      <c r="AE49" s="185" t="e">
        <f aca="false">SQRT((AD49^2*(A49-$D$3)+AC49^2*(DAY(EOMONTH(A49,0))/2))/AK49)</f>
        <v>#N/A</v>
      </c>
      <c r="AF49" s="224" t="e">
        <f aca="false">((Summary!$N$14*(AA49*AD49)*(A49-$D$3))+(Summary!$M$14*Z49*AC49*(AJ49-EOMONTH(EDATE(A49,-1),0))))/(AK49*AB49*AE49)</f>
        <v>#N/A</v>
      </c>
      <c r="AG49" s="207" t="n">
        <f aca="false">IF($A50="","",Summary!$Q$14)</f>
        <v>0</v>
      </c>
      <c r="AH49" s="207" t="n">
        <f aca="false">IF($A50="","",IF(Summary!$R$12="Y",(VLOOKUP($A49,Summary!$AD$6:$AF$9,3)+'Escalating commodity'!J62),'Escalating commodity'!J62))</f>
        <v>0.00515716785574898</v>
      </c>
      <c r="AI49" s="207" t="n">
        <f aca="false">IF($A50="","",AH49)</f>
        <v>0.00515716785574898</v>
      </c>
      <c r="AJ49" s="208" t="n">
        <f aca="false">A49+DAY(EOMONTH(A49,0))/2-1</f>
        <v>38245</v>
      </c>
      <c r="AK49" s="209" t="n">
        <f aca="false">IF($A50="","",$A49-$E$1)</f>
        <v>-7695</v>
      </c>
      <c r="AL49" s="182" t="e">
        <f aca="false">IF($A50="","",SPRDOPT(P49,X49,AI49,0,AB49,AE49,AF49,AK49,$AJ$2,0))</f>
        <v>#NAME?</v>
      </c>
      <c r="AM49" s="211" t="e">
        <f aca="false">IF($A50="","",MAX(0,O49-W49-AI49))</f>
        <v>#N/A</v>
      </c>
      <c r="AN49" s="211" t="e">
        <f aca="false">IF($A50="","",AL49-AM49)</f>
        <v>#N/A</v>
      </c>
      <c r="AO49" s="137" t="n">
        <f aca="false">IF(A50="","",A50-A49)</f>
        <v>30</v>
      </c>
      <c r="AP49" s="212" t="n">
        <f aca="false">IF(A50="","",CHOOSE(F$3,A50+24,A49))</f>
        <v>38231</v>
      </c>
      <c r="AQ49" s="209" t="n">
        <f aca="false">IF(A50="","",AP49-$E$1)</f>
        <v>-7695</v>
      </c>
      <c r="AR49" s="185" t="n">
        <f aca="false">'ANR OK vs ML7'!AR49</f>
        <v>0.1</v>
      </c>
      <c r="AS49" s="213" t="n">
        <f aca="false">IF(A50="","",1/(1+CHOOSE(F$3,(AR50+($I$3/10000))/2,(AR49+($I$3/10000))/2))^(2*AQ49/365.25))</f>
        <v>7.81307892322772</v>
      </c>
      <c r="AT49" s="137" t="n">
        <f aca="false">IF(A50="","",IF(AND(mthbeg&lt;=A49,mthend&gt;=A49),1,0))</f>
        <v>1</v>
      </c>
      <c r="AU49" s="137" t="n">
        <f aca="false">IF(A50="","",AO49*AT49)</f>
        <v>30</v>
      </c>
      <c r="AW49" s="195" t="e">
        <f aca="false">IF($A50="","",AL49*$E49)</f>
        <v>#NAME?</v>
      </c>
      <c r="AX49" s="195" t="e">
        <f aca="false">IF($A50="","",AM49*$E49)</f>
        <v>#N/A</v>
      </c>
      <c r="AY49" s="195" t="e">
        <f aca="false">IF($A50="","",AN49*$E49)</f>
        <v>#N/A</v>
      </c>
      <c r="BA49" s="195" t="n">
        <f aca="false">IF($A50="","",F49*Summary!$Q$14)</f>
        <v>0</v>
      </c>
      <c r="BC49" s="179" t="e">
        <f aca="false">IF(A50="","",AM49*F49)</f>
        <v>#N/A</v>
      </c>
    </row>
    <row r="50" customFormat="false" ht="12.75" hidden="false" customHeight="false" outlineLevel="0" collapsed="false">
      <c r="A50" s="196" t="n">
        <f aca="false">IF(A49&lt;mthend,EDATE(A49,1),"")</f>
        <v>38261</v>
      </c>
      <c r="B50" s="197" t="n">
        <f aca="false">IF(A50&lt;mthend,B49,"")</f>
        <v>28400</v>
      </c>
      <c r="C50" s="215"/>
      <c r="D50" s="197" t="n">
        <f aca="false">IF(A51&lt;&gt;"",B50+C50,"")</f>
        <v>28400</v>
      </c>
      <c r="E50" s="199" t="n">
        <f aca="false">IF(A51="","",IF(AND(AT50=1,$H$3=1),D50*AO50,IF($H$3=2,D50,"N/A")))</f>
        <v>880400</v>
      </c>
      <c r="F50" s="199" t="n">
        <f aca="false">IF(A51="","",E50*AS50)</f>
        <v>6823724.06764325</v>
      </c>
      <c r="G50" s="200" t="e">
        <f aca="false">IF($A51="","",VLOOKUP($A50,Table,MATCH(G$4,Curves,0)))</f>
        <v>#N/A</v>
      </c>
      <c r="H50" s="201" t="e">
        <f aca="false">IF(A51="","",G50)</f>
        <v>#N/A</v>
      </c>
      <c r="I50" s="202"/>
      <c r="J50" s="200" t="e">
        <f aca="false">IF($A51="","",VLOOKUP($A50,Table,MATCH(J$4,Curves,0)))</f>
        <v>#N/A</v>
      </c>
      <c r="K50" s="201" t="e">
        <f aca="false">IF(A51="","",J50)</f>
        <v>#N/A</v>
      </c>
      <c r="L50" s="185" t="n">
        <v>0</v>
      </c>
      <c r="M50" s="201" t="n">
        <f aca="false">IF(A51="","",L50)</f>
        <v>0</v>
      </c>
      <c r="N50" s="203"/>
      <c r="O50" s="200" t="e">
        <f aca="false">IF(A51="","",L50+J50+G50)</f>
        <v>#N/A</v>
      </c>
      <c r="P50" s="200" t="e">
        <f aca="false">IF(A51="","",M50+K50+H50)</f>
        <v>#N/A</v>
      </c>
      <c r="Q50" s="204"/>
      <c r="R50" s="200" t="e">
        <f aca="false">IF($A51="","",VLOOKUP($A50,Table,MATCH(R$4,Curves,0)))</f>
        <v>#N/A</v>
      </c>
      <c r="S50" s="201" t="e">
        <f aca="false">IF(A51="","",R50)</f>
        <v>#N/A</v>
      </c>
      <c r="T50" s="200" t="e">
        <f aca="false">IF($A51="","",VLOOKUP($A50,Table,MATCH(T$4,Curves,0)))</f>
        <v>#N/A</v>
      </c>
      <c r="U50" s="201" t="e">
        <f aca="false">IF(A51="","",T50)</f>
        <v>#N/A</v>
      </c>
      <c r="V50" s="183" t="e">
        <f aca="false">IF($A51="","",IF(AND(MONTH(A50)&gt;3,MONTH(A50)&lt;11),(T50+R50+G50)*(((1/(1-Summary!$T$14))/(1-Summary!$W$14))-1),(T50+R50+G50)*((1/(1-Summary!$U$14))/(1-Summary!$X$14)-1)))</f>
        <v>#N/A</v>
      </c>
      <c r="W50" s="202" t="e">
        <f aca="false">IF($A51="","",(T50+R50+G50+V50))</f>
        <v>#N/A</v>
      </c>
      <c r="X50" s="202" t="e">
        <f aca="false">IF($A51="","",(U50+S50+H50+V50))</f>
        <v>#N/A</v>
      </c>
      <c r="Y50" s="202"/>
      <c r="Z50" s="185" t="e">
        <f aca="false">IF($A51="","",VLOOKUP($A50,Table,MATCH(Z$4,Curves,0)))</f>
        <v>#N/A</v>
      </c>
      <c r="AA50" s="185" t="e">
        <f aca="false">IF($A51="","",VLOOKUP($A50,Table,MATCH(AA$4,Curves,0)))</f>
        <v>#N/A</v>
      </c>
      <c r="AB50" s="185" t="e">
        <f aca="false">SQRT((AA50^2*(A50-$D$3)+Z50^2*(DAY(EOMONTH(A50,0))/2))/AK50)</f>
        <v>#N/A</v>
      </c>
      <c r="AC50" s="185" t="e">
        <f aca="false">IF($A51="","",VLOOKUP($A50,Table,MATCH(AC$4,Curves,0)))</f>
        <v>#N/A</v>
      </c>
      <c r="AD50" s="185" t="e">
        <f aca="false">IF($A51="","",VLOOKUP($A50,Table,MATCH(AD$4,Curves,0)))</f>
        <v>#N/A</v>
      </c>
      <c r="AE50" s="185" t="e">
        <f aca="false">SQRT((AD50^2*(A50-$D$3)+AC50^2*(DAY(EOMONTH(A50,0))/2))/AK50)</f>
        <v>#N/A</v>
      </c>
      <c r="AF50" s="224" t="e">
        <f aca="false">((Summary!$N$14*(AA50*AD50)*(A50-$D$3))+(Summary!$M$14*Z50*AC50*(AJ50-EOMONTH(EDATE(A50,-1),0))))/(AK50*AB50*AE50)</f>
        <v>#N/A</v>
      </c>
      <c r="AG50" s="207" t="n">
        <f aca="false">IF($A51="","",Summary!$Q$14)</f>
        <v>0</v>
      </c>
      <c r="AH50" s="207" t="n">
        <f aca="false">IF($A51="","",IF(Summary!$R$12="Y",(VLOOKUP($A50,Summary!$AD$6:$AF$9,3)+'Escalating commodity'!J63),'Escalating commodity'!J63))</f>
        <v>0.00515716785574898</v>
      </c>
      <c r="AI50" s="207" t="n">
        <f aca="false">IF($A51="","",AH50)</f>
        <v>0.00515716785574898</v>
      </c>
      <c r="AJ50" s="208" t="n">
        <f aca="false">A50+DAY(EOMONTH(A50,0))/2-1</f>
        <v>38275.5</v>
      </c>
      <c r="AK50" s="209" t="n">
        <f aca="false">IF($A51="","",$A50-$E$1)</f>
        <v>-7665</v>
      </c>
      <c r="AL50" s="182" t="e">
        <f aca="false">IF($A51="","",SPRDOPT(P50,X50,AI50,0,AB50,AE50,AF50,AK50,$AJ$2,0))</f>
        <v>#NAME?</v>
      </c>
      <c r="AM50" s="211" t="e">
        <f aca="false">IF($A51="","",MAX(0,O50-W50-AI50))</f>
        <v>#N/A</v>
      </c>
      <c r="AN50" s="211" t="e">
        <f aca="false">IF($A51="","",AL50-AM50)</f>
        <v>#N/A</v>
      </c>
      <c r="AO50" s="137" t="n">
        <f aca="false">IF(A51="","",A51-A50)</f>
        <v>31</v>
      </c>
      <c r="AP50" s="212" t="n">
        <f aca="false">IF(A51="","",CHOOSE(F$3,A51+24,A50))</f>
        <v>38261</v>
      </c>
      <c r="AQ50" s="209" t="n">
        <f aca="false">IF(A51="","",AP50-$E$1)</f>
        <v>-7665</v>
      </c>
      <c r="AR50" s="185" t="n">
        <f aca="false">'ANR OK vs ML7'!AR50</f>
        <v>0.1</v>
      </c>
      <c r="AS50" s="213" t="n">
        <f aca="false">IF(A51="","",1/(1+CHOOSE(F$3,(AR51+($I$3/10000))/2,(AR50+($I$3/10000))/2))^(2*AQ50/365.25))</f>
        <v>7.75070884557389</v>
      </c>
      <c r="AT50" s="137" t="n">
        <f aca="false">IF(A51="","",IF(AND(mthbeg&lt;=A50,mthend&gt;=A50),1,0))</f>
        <v>1</v>
      </c>
      <c r="AU50" s="137" t="n">
        <f aca="false">IF(A51="","",AO50*AT50)</f>
        <v>31</v>
      </c>
      <c r="AW50" s="195" t="e">
        <f aca="false">IF($A51="","",AL50*$E50)</f>
        <v>#NAME?</v>
      </c>
      <c r="AX50" s="195" t="e">
        <f aca="false">IF($A51="","",AM50*$E50)</f>
        <v>#N/A</v>
      </c>
      <c r="AY50" s="195" t="e">
        <f aca="false">IF($A51="","",AN50*$E50)</f>
        <v>#N/A</v>
      </c>
      <c r="BA50" s="195" t="n">
        <f aca="false">IF($A51="","",F50*Summary!$Q$14)</f>
        <v>0</v>
      </c>
      <c r="BC50" s="179" t="e">
        <f aca="false">IF(A51="","",AM50*F50)</f>
        <v>#N/A</v>
      </c>
    </row>
    <row r="51" customFormat="false" ht="12.75" hidden="false" customHeight="false" outlineLevel="0" collapsed="false">
      <c r="A51" s="196" t="n">
        <f aca="false">IF(A50&lt;mthend,EDATE(A50,1),"")</f>
        <v>38292</v>
      </c>
      <c r="B51" s="197" t="n">
        <f aca="false">IF(A51&lt;mthend,B50,"")</f>
        <v>28400</v>
      </c>
      <c r="C51" s="215"/>
      <c r="D51" s="197" t="n">
        <f aca="false">IF(A52&lt;&gt;"",B51+C51,"")</f>
        <v>28400</v>
      </c>
      <c r="E51" s="199" t="n">
        <f aca="false">IF(A52="","",IF(AND(AT51=1,$H$3=1),D51*AO51,IF($H$3=2,D51,"N/A")))</f>
        <v>852000</v>
      </c>
      <c r="F51" s="199" t="n">
        <f aca="false">IF(A52="","",E51*AS51)</f>
        <v>6549138.9253953</v>
      </c>
      <c r="G51" s="200" t="e">
        <f aca="false">IF($A52="","",VLOOKUP($A51,Table,MATCH(G$4,Curves,0)))</f>
        <v>#N/A</v>
      </c>
      <c r="H51" s="201" t="e">
        <f aca="false">IF(A52="","",G51)</f>
        <v>#N/A</v>
      </c>
      <c r="I51" s="202"/>
      <c r="J51" s="200" t="e">
        <f aca="false">IF($A52="","",VLOOKUP($A51,Table,MATCH(J$4,Curves,0)))</f>
        <v>#N/A</v>
      </c>
      <c r="K51" s="201" t="e">
        <f aca="false">IF(A52="","",J51)</f>
        <v>#N/A</v>
      </c>
      <c r="L51" s="185" t="n">
        <v>0</v>
      </c>
      <c r="M51" s="201" t="n">
        <f aca="false">IF(A52="","",L51)</f>
        <v>0</v>
      </c>
      <c r="N51" s="203"/>
      <c r="O51" s="200" t="e">
        <f aca="false">IF(A52="","",L51+J51+G51)</f>
        <v>#N/A</v>
      </c>
      <c r="P51" s="200" t="e">
        <f aca="false">IF(A52="","",M51+K51+H51)</f>
        <v>#N/A</v>
      </c>
      <c r="Q51" s="204"/>
      <c r="R51" s="200" t="e">
        <f aca="false">IF($A52="","",VLOOKUP($A51,Table,MATCH(R$4,Curves,0)))</f>
        <v>#N/A</v>
      </c>
      <c r="S51" s="201" t="e">
        <f aca="false">IF(A52="","",R51)</f>
        <v>#N/A</v>
      </c>
      <c r="T51" s="200" t="e">
        <f aca="false">IF($A52="","",VLOOKUP($A51,Table,MATCH(T$4,Curves,0)))</f>
        <v>#N/A</v>
      </c>
      <c r="U51" s="201" t="e">
        <f aca="false">IF(A52="","",T51)</f>
        <v>#N/A</v>
      </c>
      <c r="V51" s="183" t="e">
        <f aca="false">IF($A52="","",IF(AND(MONTH(A51)&gt;3,MONTH(A51)&lt;11),(T51+R51+G51)*(((1/(1-Summary!$T$14))/(1-Summary!$W$14))-1),(T51+R51+G51)*((1/(1-Summary!$U$14))/(1-Summary!$X$14)-1)))</f>
        <v>#N/A</v>
      </c>
      <c r="W51" s="202" t="e">
        <f aca="false">IF($A52="","",(T51+R51+G51+V51))</f>
        <v>#N/A</v>
      </c>
      <c r="X51" s="202" t="e">
        <f aca="false">IF($A52="","",(U51+S51+H51+V51))</f>
        <v>#N/A</v>
      </c>
      <c r="Y51" s="202"/>
      <c r="Z51" s="185" t="e">
        <f aca="false">IF($A52="","",VLOOKUP($A51,Table,MATCH(Z$4,Curves,0)))</f>
        <v>#N/A</v>
      </c>
      <c r="AA51" s="185" t="e">
        <f aca="false">IF($A52="","",VLOOKUP($A51,Table,MATCH(AA$4,Curves,0)))</f>
        <v>#N/A</v>
      </c>
      <c r="AB51" s="185" t="e">
        <f aca="false">SQRT((AA51^2*(A51-$D$3)+Z51^2*(DAY(EOMONTH(A51,0))/2))/AK51)</f>
        <v>#N/A</v>
      </c>
      <c r="AC51" s="185" t="e">
        <f aca="false">IF($A52="","",VLOOKUP($A51,Table,MATCH(AC$4,Curves,0)))</f>
        <v>#N/A</v>
      </c>
      <c r="AD51" s="185" t="e">
        <f aca="false">IF($A52="","",VLOOKUP($A51,Table,MATCH(AD$4,Curves,0)))</f>
        <v>#N/A</v>
      </c>
      <c r="AE51" s="185" t="e">
        <f aca="false">SQRT((AD51^2*(A51-$D$3)+AC51^2*(DAY(EOMONTH(A51,0))/2))/AK51)</f>
        <v>#N/A</v>
      </c>
      <c r="AF51" s="224" t="e">
        <f aca="false">((Summary!$N$14*(AA51*AD51)*(A51-$D$3))+(Summary!$M$14*Z51*AC51*(AJ51-EOMONTH(EDATE(A51,-1),0))))/(AK51*AB51*AE51)</f>
        <v>#N/A</v>
      </c>
      <c r="AG51" s="207" t="n">
        <f aca="false">IF($A52="","",Summary!$Q$14)</f>
        <v>0</v>
      </c>
      <c r="AH51" s="207" t="n">
        <f aca="false">IF($A52="","",IF(Summary!$R$12="Y",(VLOOKUP($A51,Summary!$AD$6:$AF$9,3)+'Escalating commodity'!J64),'Escalating commodity'!J64))</f>
        <v>0.00515716785574898</v>
      </c>
      <c r="AI51" s="207" t="n">
        <f aca="false">IF($A52="","",AH51)</f>
        <v>0.00515716785574898</v>
      </c>
      <c r="AJ51" s="208" t="n">
        <f aca="false">A51+DAY(EOMONTH(A51,0))/2-1</f>
        <v>38306</v>
      </c>
      <c r="AK51" s="209" t="n">
        <f aca="false">IF($A52="","",$A51-$E$1)</f>
        <v>-7634</v>
      </c>
      <c r="AL51" s="182" t="e">
        <f aca="false">IF($A52="","",SPRDOPT(P51,X51,AI51,0,AB51,AE51,AF51,AK51,$AJ$2,0))</f>
        <v>#NAME?</v>
      </c>
      <c r="AM51" s="211" t="e">
        <f aca="false">IF($A52="","",MAX(0,O51-W51-AI51))</f>
        <v>#N/A</v>
      </c>
      <c r="AN51" s="211" t="e">
        <f aca="false">IF($A52="","",AL51-AM51)</f>
        <v>#N/A</v>
      </c>
      <c r="AO51" s="137" t="n">
        <f aca="false">IF(A52="","",A52-A51)</f>
        <v>30</v>
      </c>
      <c r="AP51" s="212" t="n">
        <f aca="false">IF(A52="","",CHOOSE(F$3,A52+24,A51))</f>
        <v>38292</v>
      </c>
      <c r="AQ51" s="209" t="n">
        <f aca="false">IF(A52="","",AP51-$E$1)</f>
        <v>-7634</v>
      </c>
      <c r="AR51" s="185" t="n">
        <f aca="false">'ANR OK vs ML7'!AR51</f>
        <v>0.1</v>
      </c>
      <c r="AS51" s="213" t="n">
        <f aca="false">IF(A52="","",1/(1+CHOOSE(F$3,(AR52+($I$3/10000))/2,(AR51+($I$3/10000))/2))^(2*AQ51/365.25))</f>
        <v>7.68678277628556</v>
      </c>
      <c r="AT51" s="137" t="n">
        <f aca="false">IF(A52="","",IF(AND(mthbeg&lt;=A51,mthend&gt;=A51),1,0))</f>
        <v>1</v>
      </c>
      <c r="AU51" s="137" t="n">
        <f aca="false">IF(A52="","",AO51*AT51)</f>
        <v>30</v>
      </c>
      <c r="AW51" s="195" t="e">
        <f aca="false">IF($A52="","",AL51*$E51)</f>
        <v>#NAME?</v>
      </c>
      <c r="AX51" s="195" t="e">
        <f aca="false">IF($A52="","",AM51*$E51)</f>
        <v>#N/A</v>
      </c>
      <c r="AY51" s="195" t="e">
        <f aca="false">IF($A52="","",AN51*$E51)</f>
        <v>#N/A</v>
      </c>
      <c r="BA51" s="195" t="n">
        <f aca="false">IF($A52="","",F51*Summary!$Q$14)</f>
        <v>0</v>
      </c>
      <c r="BC51" s="179" t="e">
        <f aca="false">IF(A52="","",AM51*F51)</f>
        <v>#N/A</v>
      </c>
    </row>
    <row r="52" customFormat="false" ht="12.75" hidden="false" customHeight="false" outlineLevel="0" collapsed="false">
      <c r="A52" s="196" t="n">
        <f aca="false">IF(A51&lt;mthend,EDATE(A51,1),"")</f>
        <v>38322</v>
      </c>
      <c r="B52" s="197" t="n">
        <f aca="false">IF(A52&lt;mthend,B51,"")</f>
        <v>28400</v>
      </c>
      <c r="C52" s="215"/>
      <c r="D52" s="197" t="n">
        <f aca="false">IF(A53&lt;&gt;"",B52+C52,"")</f>
        <v>28400</v>
      </c>
      <c r="E52" s="199" t="n">
        <f aca="false">IF(A53="","",IF(AND(AT52=1,$H$3=1),D52*AO52,IF($H$3=2,D52,"N/A")))</f>
        <v>880400</v>
      </c>
      <c r="F52" s="199" t="n">
        <f aca="false">IF(A53="","",E52*AS52)</f>
        <v>6713420.55400823</v>
      </c>
      <c r="G52" s="200" t="e">
        <f aca="false">IF($A53="","",VLOOKUP($A52,Table,MATCH(G$4,Curves,0)))</f>
        <v>#N/A</v>
      </c>
      <c r="H52" s="201" t="e">
        <f aca="false">IF(A53="","",G52)</f>
        <v>#N/A</v>
      </c>
      <c r="I52" s="202"/>
      <c r="J52" s="200" t="e">
        <f aca="false">IF($A53="","",VLOOKUP($A52,Table,MATCH(J$4,Curves,0)))</f>
        <v>#N/A</v>
      </c>
      <c r="K52" s="201" t="e">
        <f aca="false">IF(A53="","",J52)</f>
        <v>#N/A</v>
      </c>
      <c r="L52" s="185" t="n">
        <v>0</v>
      </c>
      <c r="M52" s="201" t="n">
        <f aca="false">IF(A53="","",L52)</f>
        <v>0</v>
      </c>
      <c r="N52" s="203"/>
      <c r="O52" s="200" t="e">
        <f aca="false">IF(A53="","",L52+J52+G52)</f>
        <v>#N/A</v>
      </c>
      <c r="P52" s="200" t="e">
        <f aca="false">IF(A53="","",M52+K52+H52)</f>
        <v>#N/A</v>
      </c>
      <c r="Q52" s="204"/>
      <c r="R52" s="200" t="e">
        <f aca="false">IF($A53="","",VLOOKUP($A52,Table,MATCH(R$4,Curves,0)))</f>
        <v>#N/A</v>
      </c>
      <c r="S52" s="201" t="e">
        <f aca="false">IF(A53="","",R52)</f>
        <v>#N/A</v>
      </c>
      <c r="T52" s="200" t="e">
        <f aca="false">IF($A53="","",VLOOKUP($A52,Table,MATCH(T$4,Curves,0)))</f>
        <v>#N/A</v>
      </c>
      <c r="U52" s="201" t="e">
        <f aca="false">IF(A53="","",T52)</f>
        <v>#N/A</v>
      </c>
      <c r="V52" s="183" t="e">
        <f aca="false">IF($A53="","",IF(AND(MONTH(A52)&gt;3,MONTH(A52)&lt;11),(T52+R52+G52)*(((1/(1-Summary!$T$14))/(1-Summary!$W$14))-1),(T52+R52+G52)*((1/(1-Summary!$U$14))/(1-Summary!$X$14)-1)))</f>
        <v>#N/A</v>
      </c>
      <c r="W52" s="202" t="e">
        <f aca="false">IF($A53="","",(T52+R52+G52+V52))</f>
        <v>#N/A</v>
      </c>
      <c r="X52" s="202" t="e">
        <f aca="false">IF($A53="","",(U52+S52+H52+V52))</f>
        <v>#N/A</v>
      </c>
      <c r="Y52" s="202"/>
      <c r="Z52" s="185" t="e">
        <f aca="false">IF($A53="","",VLOOKUP($A52,Table,MATCH(Z$4,Curves,0)))</f>
        <v>#N/A</v>
      </c>
      <c r="AA52" s="185" t="e">
        <f aca="false">IF($A53="","",VLOOKUP($A52,Table,MATCH(AA$4,Curves,0)))</f>
        <v>#N/A</v>
      </c>
      <c r="AB52" s="185" t="e">
        <f aca="false">SQRT((AA52^2*(A52-$D$3)+Z52^2*(DAY(EOMONTH(A52,0))/2))/AK52)</f>
        <v>#N/A</v>
      </c>
      <c r="AC52" s="185" t="e">
        <f aca="false">IF($A53="","",VLOOKUP($A52,Table,MATCH(AC$4,Curves,0)))</f>
        <v>#N/A</v>
      </c>
      <c r="AD52" s="185" t="e">
        <f aca="false">IF($A53="","",VLOOKUP($A52,Table,MATCH(AD$4,Curves,0)))</f>
        <v>#N/A</v>
      </c>
      <c r="AE52" s="185" t="e">
        <f aca="false">SQRT((AD52^2*(A52-$D$3)+AC52^2*(DAY(EOMONTH(A52,0))/2))/AK52)</f>
        <v>#N/A</v>
      </c>
      <c r="AF52" s="224" t="e">
        <f aca="false">((Summary!$N$14*(AA52*AD52)*(A52-$D$3))+(Summary!$M$14*Z52*AC52*(AJ52-EOMONTH(EDATE(A52,-1),0))))/(AK52*AB52*AE52)</f>
        <v>#N/A</v>
      </c>
      <c r="AG52" s="207" t="n">
        <f aca="false">IF($A53="","",Summary!$Q$14)</f>
        <v>0</v>
      </c>
      <c r="AH52" s="207" t="n">
        <f aca="false">IF($A53="","",IF(Summary!$R$12="Y",(VLOOKUP($A52,Summary!$AD$6:$AF$9,3)+'Escalating commodity'!J65),'Escalating commodity'!J65))</f>
        <v>0.00515716785574898</v>
      </c>
      <c r="AI52" s="207" t="n">
        <f aca="false">IF($A53="","",AH52)</f>
        <v>0.00515716785574898</v>
      </c>
      <c r="AJ52" s="208" t="n">
        <f aca="false">A52+DAY(EOMONTH(A52,0))/2-1</f>
        <v>38336.5</v>
      </c>
      <c r="AK52" s="209" t="n">
        <f aca="false">IF($A53="","",$A52-$E$1)</f>
        <v>-7604</v>
      </c>
      <c r="AL52" s="182" t="e">
        <f aca="false">IF($A53="","",SPRDOPT(P52,X52,AI52,0,AB52,AE52,AF52,AK52,$AJ$2,0))</f>
        <v>#NAME?</v>
      </c>
      <c r="AM52" s="211" t="e">
        <f aca="false">IF($A53="","",MAX(0,O52-W52-AI52))</f>
        <v>#N/A</v>
      </c>
      <c r="AN52" s="211" t="e">
        <f aca="false">IF($A53="","",AL52-AM52)</f>
        <v>#N/A</v>
      </c>
      <c r="AO52" s="137" t="n">
        <f aca="false">IF(A53="","",A53-A52)</f>
        <v>31</v>
      </c>
      <c r="AP52" s="212" t="n">
        <f aca="false">IF(A53="","",CHOOSE(F$3,A53+24,A52))</f>
        <v>38322</v>
      </c>
      <c r="AQ52" s="209" t="n">
        <f aca="false">IF(A53="","",AP52-$E$1)</f>
        <v>-7604</v>
      </c>
      <c r="AR52" s="185" t="n">
        <f aca="false">'ANR OK vs ML7'!AR52</f>
        <v>0.1</v>
      </c>
      <c r="AS52" s="213" t="n">
        <f aca="false">IF(A53="","",1/(1+CHOOSE(F$3,(AR53+($I$3/10000))/2,(AR52+($I$3/10000))/2))^(2*AQ52/365.25))</f>
        <v>7.62542089278536</v>
      </c>
      <c r="AT52" s="137" t="n">
        <f aca="false">IF(A53="","",IF(AND(mthbeg&lt;=A52,mthend&gt;=A52),1,0))</f>
        <v>1</v>
      </c>
      <c r="AU52" s="137" t="n">
        <f aca="false">IF(A53="","",AO52*AT52)</f>
        <v>31</v>
      </c>
      <c r="AW52" s="195" t="e">
        <f aca="false">IF($A53="","",AL52*$E52)</f>
        <v>#NAME?</v>
      </c>
      <c r="AX52" s="195" t="e">
        <f aca="false">IF($A53="","",AM52*$E52)</f>
        <v>#N/A</v>
      </c>
      <c r="AY52" s="195" t="e">
        <f aca="false">IF($A53="","",AN52*$E52)</f>
        <v>#N/A</v>
      </c>
      <c r="BA52" s="195" t="n">
        <f aca="false">IF($A53="","",F52*Summary!$Q$14)</f>
        <v>0</v>
      </c>
      <c r="BC52" s="179" t="e">
        <f aca="false">IF(A53="","",AM52*F52)</f>
        <v>#N/A</v>
      </c>
    </row>
    <row r="53" customFormat="false" ht="12.75" hidden="false" customHeight="false" outlineLevel="0" collapsed="false">
      <c r="A53" s="196" t="n">
        <f aca="false">IF(A52&lt;mthend,EDATE(A52,1),"")</f>
        <v>38353</v>
      </c>
      <c r="B53" s="197" t="n">
        <f aca="false">IF(A53&lt;mthend,B52,"")</f>
        <v>28400</v>
      </c>
      <c r="C53" s="215"/>
      <c r="D53" s="197" t="n">
        <f aca="false">IF(A54&lt;&gt;"",B53+C53,"")</f>
        <v>28400</v>
      </c>
      <c r="E53" s="199" t="n">
        <f aca="false">IF(A54="","",IF(AND(AT53=1,$H$3=1),D53*AO53,IF($H$3=2,D53,"N/A")))</f>
        <v>880400</v>
      </c>
      <c r="F53" s="199" t="n">
        <f aca="false">IF(A54="","",E53*AS53)</f>
        <v>6658049.80069419</v>
      </c>
      <c r="G53" s="200" t="e">
        <f aca="false">IF($A54="","",VLOOKUP($A53,Table,MATCH(G$4,Curves,0)))</f>
        <v>#N/A</v>
      </c>
      <c r="H53" s="201" t="e">
        <f aca="false">IF(A54="","",G53)</f>
        <v>#N/A</v>
      </c>
      <c r="I53" s="202"/>
      <c r="J53" s="200" t="e">
        <f aca="false">IF($A54="","",VLOOKUP($A53,Table,MATCH(J$4,Curves,0)))</f>
        <v>#N/A</v>
      </c>
      <c r="K53" s="201" t="e">
        <f aca="false">IF(A54="","",J53)</f>
        <v>#N/A</v>
      </c>
      <c r="L53" s="185" t="n">
        <v>0</v>
      </c>
      <c r="M53" s="201" t="n">
        <f aca="false">IF(A54="","",L53)</f>
        <v>0</v>
      </c>
      <c r="N53" s="203"/>
      <c r="O53" s="200" t="e">
        <f aca="false">IF(A54="","",L53+J53+G53)</f>
        <v>#N/A</v>
      </c>
      <c r="P53" s="200" t="e">
        <f aca="false">IF(A54="","",M53+K53+H53)</f>
        <v>#N/A</v>
      </c>
      <c r="Q53" s="204"/>
      <c r="R53" s="200" t="e">
        <f aca="false">IF($A54="","",VLOOKUP($A53,Table,MATCH(R$4,Curves,0)))</f>
        <v>#N/A</v>
      </c>
      <c r="S53" s="201" t="e">
        <f aca="false">IF(A54="","",R53)</f>
        <v>#N/A</v>
      </c>
      <c r="T53" s="200" t="e">
        <f aca="false">IF($A54="","",VLOOKUP($A53,Table,MATCH(T$4,Curves,0)))</f>
        <v>#N/A</v>
      </c>
      <c r="U53" s="201" t="e">
        <f aca="false">IF(A54="","",T53)</f>
        <v>#N/A</v>
      </c>
      <c r="V53" s="183" t="e">
        <f aca="false">IF($A54="","",IF(AND(MONTH(A53)&gt;3,MONTH(A53)&lt;11),(T53+R53+G53)*(((1/(1-Summary!$T$14))/(1-Summary!$W$14))-1),(T53+R53+G53)*((1/(1-Summary!$U$14))/(1-Summary!$X$14)-1)))</f>
        <v>#N/A</v>
      </c>
      <c r="W53" s="202" t="e">
        <f aca="false">IF($A54="","",(T53+R53+G53+V53))</f>
        <v>#N/A</v>
      </c>
      <c r="X53" s="202" t="e">
        <f aca="false">IF($A54="","",(U53+S53+H53+V53))</f>
        <v>#N/A</v>
      </c>
      <c r="Y53" s="202"/>
      <c r="Z53" s="185" t="e">
        <f aca="false">IF($A54="","",VLOOKUP($A53,Table,MATCH(Z$4,Curves,0)))</f>
        <v>#N/A</v>
      </c>
      <c r="AA53" s="185" t="e">
        <f aca="false">IF($A54="","",VLOOKUP($A53,Table,MATCH(AA$4,Curves,0)))</f>
        <v>#N/A</v>
      </c>
      <c r="AB53" s="185" t="e">
        <f aca="false">SQRT((AA53^2*(A53-$D$3)+Z53^2*(DAY(EOMONTH(A53,0))/2))/AK53)</f>
        <v>#N/A</v>
      </c>
      <c r="AC53" s="185" t="e">
        <f aca="false">IF($A54="","",VLOOKUP($A53,Table,MATCH(AC$4,Curves,0)))</f>
        <v>#N/A</v>
      </c>
      <c r="AD53" s="185" t="e">
        <f aca="false">IF($A54="","",VLOOKUP($A53,Table,MATCH(AD$4,Curves,0)))</f>
        <v>#N/A</v>
      </c>
      <c r="AE53" s="185" t="e">
        <f aca="false">SQRT((AD53^2*(A53-$D$3)+AC53^2*(DAY(EOMONTH(A53,0))/2))/AK53)</f>
        <v>#N/A</v>
      </c>
      <c r="AF53" s="224" t="e">
        <f aca="false">((Summary!$N$14*(AA53*AD53)*(A53-$D$3))+(Summary!$M$14*Z53*AC53*(AJ53-EOMONTH(EDATE(A53,-1),0))))/(AK53*AB53*AE53)</f>
        <v>#N/A</v>
      </c>
      <c r="AG53" s="207" t="n">
        <f aca="false">IF($A54="","",Summary!$Q$14)</f>
        <v>0</v>
      </c>
      <c r="AH53" s="207" t="n">
        <f aca="false">IF($A54="","",IF(Summary!$R$12="Y",(VLOOKUP($A53,Summary!$AD$6:$AF$9,3)+'Escalating commodity'!J66),'Escalating commodity'!J66))</f>
        <v>0.00526031121286396</v>
      </c>
      <c r="AI53" s="207" t="n">
        <f aca="false">IF($A54="","",AH53)</f>
        <v>0.00526031121286396</v>
      </c>
      <c r="AJ53" s="208" t="n">
        <f aca="false">A53+DAY(EOMONTH(A53,0))/2-1</f>
        <v>38367.5</v>
      </c>
      <c r="AK53" s="209" t="n">
        <f aca="false">IF($A54="","",$A53-$E$1)</f>
        <v>-7573</v>
      </c>
      <c r="AL53" s="182" t="e">
        <f aca="false">IF($A54="","",SPRDOPT(P53,X53,AI53,0,AB53,AE53,AF53,AK53,$AJ$2,0))</f>
        <v>#NAME?</v>
      </c>
      <c r="AM53" s="211" t="e">
        <f aca="false">IF($A54="","",MAX(0,O53-W53-AI53))</f>
        <v>#N/A</v>
      </c>
      <c r="AN53" s="211" t="e">
        <f aca="false">IF($A54="","",AL53-AM53)</f>
        <v>#N/A</v>
      </c>
      <c r="AO53" s="137" t="n">
        <f aca="false">IF(A54="","",A54-A53)</f>
        <v>31</v>
      </c>
      <c r="AP53" s="212" t="n">
        <f aca="false">IF(A54="","",CHOOSE(F$3,A54+24,A53))</f>
        <v>38353</v>
      </c>
      <c r="AQ53" s="209" t="n">
        <f aca="false">IF(A54="","",AP53-$E$1)</f>
        <v>-7573</v>
      </c>
      <c r="AR53" s="185" t="n">
        <f aca="false">'ANR OK vs ML7'!AR53</f>
        <v>0.1</v>
      </c>
      <c r="AS53" s="213" t="n">
        <f aca="false">IF(A54="","",1/(1+CHOOSE(F$3,(AR54+($I$3/10000))/2,(AR53+($I$3/10000))/2))^(2*AQ53/365.25))</f>
        <v>7.56252816980258</v>
      </c>
      <c r="AT53" s="137" t="n">
        <f aca="false">IF(A54="","",IF(AND(mthbeg&lt;=A53,mthend&gt;=A53),1,0))</f>
        <v>1</v>
      </c>
      <c r="AU53" s="137" t="n">
        <f aca="false">IF(A54="","",AO53*AT53)</f>
        <v>31</v>
      </c>
      <c r="AW53" s="195" t="e">
        <f aca="false">IF($A54="","",AL53*$E53)</f>
        <v>#NAME?</v>
      </c>
      <c r="AX53" s="195" t="e">
        <f aca="false">IF($A54="","",AM53*$E53)</f>
        <v>#N/A</v>
      </c>
      <c r="AY53" s="195" t="e">
        <f aca="false">IF($A54="","",AN53*$E53)</f>
        <v>#N/A</v>
      </c>
      <c r="BA53" s="195" t="n">
        <f aca="false">IF($A54="","",F53*Summary!$Q$14)</f>
        <v>0</v>
      </c>
      <c r="BC53" s="179" t="e">
        <f aca="false">IF(A54="","",AM53*F53)</f>
        <v>#N/A</v>
      </c>
    </row>
    <row r="54" customFormat="false" ht="12.75" hidden="false" customHeight="false" outlineLevel="0" collapsed="false">
      <c r="A54" s="196" t="n">
        <f aca="false">IF(A53&lt;mthend,EDATE(A53,1),"")</f>
        <v>38384</v>
      </c>
      <c r="B54" s="197" t="n">
        <f aca="false">IF(A54&lt;mthend,B53,"")</f>
        <v>28400</v>
      </c>
      <c r="C54" s="215"/>
      <c r="D54" s="197" t="n">
        <f aca="false">IF(A55&lt;&gt;"",B54+C54,"")</f>
        <v>28400</v>
      </c>
      <c r="E54" s="199" t="n">
        <f aca="false">IF(A55="","",IF(AND(AT54=1,$H$3=1),D54*AO54,IF($H$3=2,D54,"N/A")))</f>
        <v>795200</v>
      </c>
      <c r="F54" s="199" t="n">
        <f aca="false">IF(A55="","",E54*AS54)</f>
        <v>5964122.59723835</v>
      </c>
      <c r="G54" s="200" t="e">
        <f aca="false">IF($A55="","",VLOOKUP($A54,Table,MATCH(G$4,Curves,0)))</f>
        <v>#N/A</v>
      </c>
      <c r="H54" s="201" t="e">
        <f aca="false">IF(A55="","",G54)</f>
        <v>#N/A</v>
      </c>
      <c r="I54" s="202"/>
      <c r="J54" s="200" t="e">
        <f aca="false">IF($A55="","",VLOOKUP($A54,Table,MATCH(J$4,Curves,0)))</f>
        <v>#N/A</v>
      </c>
      <c r="K54" s="201" t="e">
        <f aca="false">IF(A55="","",J54)</f>
        <v>#N/A</v>
      </c>
      <c r="L54" s="185" t="n">
        <v>0</v>
      </c>
      <c r="M54" s="201" t="n">
        <f aca="false">IF(A55="","",L54)</f>
        <v>0</v>
      </c>
      <c r="N54" s="203"/>
      <c r="O54" s="200" t="e">
        <f aca="false">IF(A55="","",L54+J54+G54)</f>
        <v>#N/A</v>
      </c>
      <c r="P54" s="200" t="e">
        <f aca="false">IF(A55="","",M54+K54+H54)</f>
        <v>#N/A</v>
      </c>
      <c r="Q54" s="204"/>
      <c r="R54" s="200" t="e">
        <f aca="false">IF($A55="","",VLOOKUP($A54,Table,MATCH(R$4,Curves,0)))</f>
        <v>#N/A</v>
      </c>
      <c r="S54" s="201" t="e">
        <f aca="false">IF(A55="","",R54)</f>
        <v>#N/A</v>
      </c>
      <c r="T54" s="200" t="e">
        <f aca="false">IF($A55="","",VLOOKUP($A54,Table,MATCH(T$4,Curves,0)))</f>
        <v>#N/A</v>
      </c>
      <c r="U54" s="201" t="e">
        <f aca="false">IF(A55="","",T54)</f>
        <v>#N/A</v>
      </c>
      <c r="V54" s="183" t="e">
        <f aca="false">IF($A55="","",IF(AND(MONTH(A54)&gt;3,MONTH(A54)&lt;11),(T54+R54+G54)*(((1/(1-Summary!$T$14))/(1-Summary!$W$14))-1),(T54+R54+G54)*((1/(1-Summary!$U$14))/(1-Summary!$X$14)-1)))</f>
        <v>#N/A</v>
      </c>
      <c r="W54" s="202" t="e">
        <f aca="false">IF($A55="","",(T54+R54+G54+V54))</f>
        <v>#N/A</v>
      </c>
      <c r="X54" s="202" t="e">
        <f aca="false">IF($A55="","",(U54+S54+H54+V54))</f>
        <v>#N/A</v>
      </c>
      <c r="Y54" s="202"/>
      <c r="Z54" s="185" t="e">
        <f aca="false">IF($A55="","",VLOOKUP($A54,Table,MATCH(Z$4,Curves,0)))</f>
        <v>#N/A</v>
      </c>
      <c r="AA54" s="185" t="e">
        <f aca="false">IF($A55="","",VLOOKUP($A54,Table,MATCH(AA$4,Curves,0)))</f>
        <v>#N/A</v>
      </c>
      <c r="AB54" s="185" t="e">
        <f aca="false">SQRT((AA54^2*(A54-$D$3)+Z54^2*(DAY(EOMONTH(A54,0))/2))/AK54)</f>
        <v>#N/A</v>
      </c>
      <c r="AC54" s="185" t="e">
        <f aca="false">IF($A55="","",VLOOKUP($A54,Table,MATCH(AC$4,Curves,0)))</f>
        <v>#N/A</v>
      </c>
      <c r="AD54" s="185" t="e">
        <f aca="false">IF($A55="","",VLOOKUP($A54,Table,MATCH(AD$4,Curves,0)))</f>
        <v>#N/A</v>
      </c>
      <c r="AE54" s="185" t="e">
        <f aca="false">SQRT((AD54^2*(A54-$D$3)+AC54^2*(DAY(EOMONTH(A54,0))/2))/AK54)</f>
        <v>#N/A</v>
      </c>
      <c r="AF54" s="224" t="e">
        <f aca="false">((Summary!$N$14*(AA54*AD54)*(A54-$D$3))+(Summary!$M$14*Z54*AC54*(AJ54-EOMONTH(EDATE(A54,-1),0))))/(AK54*AB54*AE54)</f>
        <v>#N/A</v>
      </c>
      <c r="AG54" s="207" t="n">
        <f aca="false">IF($A55="","",Summary!$Q$14)</f>
        <v>0</v>
      </c>
      <c r="AH54" s="207" t="n">
        <f aca="false">IF($A55="","",IF(Summary!$R$12="Y",(VLOOKUP($A54,Summary!$AD$6:$AF$9,3)+'Escalating commodity'!J67),'Escalating commodity'!J67))</f>
        <v>0.00526031121286396</v>
      </c>
      <c r="AI54" s="207" t="n">
        <f aca="false">IF($A55="","",AH54)</f>
        <v>0.00526031121286396</v>
      </c>
      <c r="AJ54" s="208" t="n">
        <f aca="false">A54+DAY(EOMONTH(A54,0))/2-1</f>
        <v>38397</v>
      </c>
      <c r="AK54" s="209" t="n">
        <f aca="false">IF($A55="","",$A54-$E$1)</f>
        <v>-7542</v>
      </c>
      <c r="AL54" s="182" t="e">
        <f aca="false">IF($A55="","",SPRDOPT(P54,X54,AI54,0,AB54,AE54,AF54,AK54,$AJ$2,0))</f>
        <v>#NAME?</v>
      </c>
      <c r="AM54" s="211" t="e">
        <f aca="false">IF($A55="","",MAX(0,O54-W54-AI54))</f>
        <v>#N/A</v>
      </c>
      <c r="AN54" s="211" t="e">
        <f aca="false">IF($A55="","",AL54-AM54)</f>
        <v>#N/A</v>
      </c>
      <c r="AO54" s="137" t="n">
        <f aca="false">IF(A55="","",A55-A54)</f>
        <v>28</v>
      </c>
      <c r="AP54" s="212" t="n">
        <f aca="false">IF(A55="","",CHOOSE(F$3,A55+24,A54))</f>
        <v>38384</v>
      </c>
      <c r="AQ54" s="209" t="n">
        <f aca="false">IF(A55="","",AP54-$E$1)</f>
        <v>-7542</v>
      </c>
      <c r="AR54" s="185" t="n">
        <f aca="false">'ANR OK vs ML7'!AR54</f>
        <v>0.1</v>
      </c>
      <c r="AS54" s="213" t="n">
        <f aca="false">IF(A55="","",1/(1+CHOOSE(F$3,(AR55+($I$3/10000))/2,(AR54+($I$3/10000))/2))^(2*AQ54/365.25))</f>
        <v>7.5001541715774</v>
      </c>
      <c r="AT54" s="137" t="n">
        <f aca="false">IF(A55="","",IF(AND(mthbeg&lt;=A54,mthend&gt;=A54),1,0))</f>
        <v>1</v>
      </c>
      <c r="AU54" s="137" t="n">
        <f aca="false">IF(A55="","",AO54*AT54)</f>
        <v>28</v>
      </c>
      <c r="AW54" s="195" t="e">
        <f aca="false">IF($A55="","",AL54*$E54)</f>
        <v>#NAME?</v>
      </c>
      <c r="AX54" s="195" t="e">
        <f aca="false">IF($A55="","",AM54*$E54)</f>
        <v>#N/A</v>
      </c>
      <c r="AY54" s="195" t="e">
        <f aca="false">IF($A55="","",AN54*$E54)</f>
        <v>#N/A</v>
      </c>
      <c r="BA54" s="195" t="n">
        <f aca="false">IF($A55="","",F54*Summary!$Q$14)</f>
        <v>0</v>
      </c>
      <c r="BC54" s="179" t="e">
        <f aca="false">IF(A55="","",AM54*F54)</f>
        <v>#N/A</v>
      </c>
    </row>
    <row r="55" customFormat="false" ht="12.75" hidden="false" customHeight="false" outlineLevel="0" collapsed="false">
      <c r="A55" s="196" t="n">
        <f aca="false">IF(A54&lt;mthend,EDATE(A54,1),"")</f>
        <v>38412</v>
      </c>
      <c r="B55" s="197" t="n">
        <f aca="false">IF(A55&lt;mthend,B54,"")</f>
        <v>28400</v>
      </c>
      <c r="C55" s="215"/>
      <c r="D55" s="197" t="n">
        <f aca="false">IF(A56&lt;&gt;"",B55+C55,"")</f>
        <v>28400</v>
      </c>
      <c r="E55" s="199" t="n">
        <f aca="false">IF(A56="","",IF(AND(AT55=1,$H$3=1),D55*AO55,IF($H$3=2,D55,"N/A")))</f>
        <v>880400</v>
      </c>
      <c r="F55" s="199" t="n">
        <f aca="false">IF(A56="","",E55*AS55)</f>
        <v>6553925.32631106</v>
      </c>
      <c r="G55" s="200" t="e">
        <f aca="false">IF($A56="","",VLOOKUP($A55,Table,MATCH(G$4,Curves,0)))</f>
        <v>#N/A</v>
      </c>
      <c r="H55" s="201" t="e">
        <f aca="false">IF(A56="","",G55)</f>
        <v>#N/A</v>
      </c>
      <c r="I55" s="202"/>
      <c r="J55" s="200" t="e">
        <f aca="false">IF($A56="","",VLOOKUP($A55,Table,MATCH(J$4,Curves,0)))</f>
        <v>#N/A</v>
      </c>
      <c r="K55" s="201" t="e">
        <f aca="false">IF(A56="","",J55)</f>
        <v>#N/A</v>
      </c>
      <c r="L55" s="185" t="n">
        <v>0</v>
      </c>
      <c r="M55" s="201" t="n">
        <f aca="false">IF(A56="","",L55)</f>
        <v>0</v>
      </c>
      <c r="N55" s="203"/>
      <c r="O55" s="200" t="e">
        <f aca="false">IF(A56="","",L55+J55+G55)</f>
        <v>#N/A</v>
      </c>
      <c r="P55" s="200" t="e">
        <f aca="false">IF(A56="","",M55+K55+H55)</f>
        <v>#N/A</v>
      </c>
      <c r="Q55" s="204"/>
      <c r="R55" s="200" t="e">
        <f aca="false">IF($A56="","",VLOOKUP($A55,Table,MATCH(R$4,Curves,0)))</f>
        <v>#N/A</v>
      </c>
      <c r="S55" s="201" t="e">
        <f aca="false">IF(A56="","",R55)</f>
        <v>#N/A</v>
      </c>
      <c r="T55" s="200" t="e">
        <f aca="false">IF($A56="","",VLOOKUP($A55,Table,MATCH(T$4,Curves,0)))</f>
        <v>#N/A</v>
      </c>
      <c r="U55" s="201" t="e">
        <f aca="false">IF(A56="","",T55)</f>
        <v>#N/A</v>
      </c>
      <c r="V55" s="183" t="e">
        <f aca="false">IF($A56="","",IF(AND(MONTH(A55)&gt;3,MONTH(A55)&lt;11),(T55+R55+G55)*(((1/(1-Summary!$T$14))/(1-Summary!$W$14))-1),(T55+R55+G55)*((1/(1-Summary!$U$14))/(1-Summary!$X$14)-1)))</f>
        <v>#N/A</v>
      </c>
      <c r="W55" s="202" t="e">
        <f aca="false">IF($A56="","",(T55+R55+G55+V55))</f>
        <v>#N/A</v>
      </c>
      <c r="X55" s="202" t="e">
        <f aca="false">IF($A56="","",(U55+S55+H55+V55))</f>
        <v>#N/A</v>
      </c>
      <c r="Y55" s="202"/>
      <c r="Z55" s="185" t="e">
        <f aca="false">IF($A56="","",VLOOKUP($A55,Table,MATCH(Z$4,Curves,0)))</f>
        <v>#N/A</v>
      </c>
      <c r="AA55" s="185" t="e">
        <f aca="false">IF($A56="","",VLOOKUP($A55,Table,MATCH(AA$4,Curves,0)))</f>
        <v>#N/A</v>
      </c>
      <c r="AB55" s="185" t="e">
        <f aca="false">SQRT((AA55^2*(A55-$D$3)+Z55^2*(DAY(EOMONTH(A55,0))/2))/AK55)</f>
        <v>#N/A</v>
      </c>
      <c r="AC55" s="185" t="e">
        <f aca="false">IF($A56="","",VLOOKUP($A55,Table,MATCH(AC$4,Curves,0)))</f>
        <v>#N/A</v>
      </c>
      <c r="AD55" s="185" t="e">
        <f aca="false">IF($A56="","",VLOOKUP($A55,Table,MATCH(AD$4,Curves,0)))</f>
        <v>#N/A</v>
      </c>
      <c r="AE55" s="185" t="e">
        <f aca="false">SQRT((AD55^2*(A55-$D$3)+AC55^2*(DAY(EOMONTH(A55,0))/2))/AK55)</f>
        <v>#N/A</v>
      </c>
      <c r="AF55" s="224" t="e">
        <f aca="false">((Summary!$N$14*(AA55*AD55)*(A55-$D$3))+(Summary!$M$14*Z55*AC55*(AJ55-EOMONTH(EDATE(A55,-1),0))))/(AK55*AB55*AE55)</f>
        <v>#N/A</v>
      </c>
      <c r="AG55" s="207" t="n">
        <f aca="false">IF($A56="","",Summary!$Q$14)</f>
        <v>0</v>
      </c>
      <c r="AH55" s="207" t="n">
        <f aca="false">IF($A56="","",IF(Summary!$R$12="Y",(VLOOKUP($A55,Summary!$AD$6:$AF$9,3)+'Escalating commodity'!J68),'Escalating commodity'!J68))</f>
        <v>0.00526031121286396</v>
      </c>
      <c r="AI55" s="207" t="n">
        <f aca="false">IF($A56="","",AH55)</f>
        <v>0.00526031121286396</v>
      </c>
      <c r="AJ55" s="208" t="n">
        <f aca="false">A55+DAY(EOMONTH(A55,0))/2-1</f>
        <v>38426.5</v>
      </c>
      <c r="AK55" s="209" t="n">
        <f aca="false">IF($A56="","",$A55-$E$1)</f>
        <v>-7514</v>
      </c>
      <c r="AL55" s="182" t="e">
        <f aca="false">IF($A56="","",SPRDOPT(P55,X55,AI55,0,AB55,AE55,AF55,AK55,$AJ$2,0))</f>
        <v>#NAME?</v>
      </c>
      <c r="AM55" s="211" t="e">
        <f aca="false">IF($A56="","",MAX(0,O55-W55-AI55))</f>
        <v>#N/A</v>
      </c>
      <c r="AN55" s="211" t="e">
        <f aca="false">IF($A56="","",AL55-AM55)</f>
        <v>#N/A</v>
      </c>
      <c r="AO55" s="137" t="n">
        <f aca="false">IF(A56="","",A56-A55)</f>
        <v>31</v>
      </c>
      <c r="AP55" s="212" t="n">
        <f aca="false">IF(A56="","",CHOOSE(F$3,A56+24,A55))</f>
        <v>38412</v>
      </c>
      <c r="AQ55" s="209" t="n">
        <f aca="false">IF(A56="","",AP55-$E$1)</f>
        <v>-7514</v>
      </c>
      <c r="AR55" s="185" t="n">
        <f aca="false">'ANR OK vs ML7'!AR55</f>
        <v>0.1</v>
      </c>
      <c r="AS55" s="213" t="n">
        <f aca="false">IF(A56="","",1/(1+CHOOSE(F$3,(AR56+($I$3/10000))/2,(AR55+($I$3/10000))/2))^(2*AQ55/365.25))</f>
        <v>7.44425866232515</v>
      </c>
      <c r="AT55" s="137" t="n">
        <f aca="false">IF(A56="","",IF(AND(mthbeg&lt;=A55,mthend&gt;=A55),1,0))</f>
        <v>1</v>
      </c>
      <c r="AU55" s="137" t="n">
        <f aca="false">IF(A56="","",AO55*AT55)</f>
        <v>31</v>
      </c>
      <c r="AW55" s="195" t="e">
        <f aca="false">IF($A56="","",AL55*$E55)</f>
        <v>#NAME?</v>
      </c>
      <c r="AX55" s="195" t="e">
        <f aca="false">IF($A56="","",AM55*$E55)</f>
        <v>#N/A</v>
      </c>
      <c r="AY55" s="195" t="e">
        <f aca="false">IF($A56="","",AN55*$E55)</f>
        <v>#N/A</v>
      </c>
      <c r="BA55" s="195" t="n">
        <f aca="false">IF($A56="","",F55*Summary!$Q$14)</f>
        <v>0</v>
      </c>
      <c r="BC55" s="179" t="e">
        <f aca="false">IF(A56="","",AM55*F55)</f>
        <v>#N/A</v>
      </c>
    </row>
    <row r="56" customFormat="false" ht="12.75" hidden="false" customHeight="false" outlineLevel="0" collapsed="false">
      <c r="A56" s="196" t="n">
        <f aca="false">IF(A55&lt;mthend,EDATE(A55,1),"")</f>
        <v>38443</v>
      </c>
      <c r="B56" s="197" t="n">
        <f aca="false">IF(A56&lt;mthend,B55,"")</f>
        <v>28400</v>
      </c>
      <c r="C56" s="215"/>
      <c r="D56" s="197" t="n">
        <f aca="false">IF(A57&lt;&gt;"",B56+C56,"")</f>
        <v>28400</v>
      </c>
      <c r="E56" s="199" t="n">
        <f aca="false">IF(A57="","",IF(AND(AT56=1,$H$3=1),D56*AO56,IF($H$3=2,D56,"N/A")))</f>
        <v>852000</v>
      </c>
      <c r="F56" s="199" t="n">
        <f aca="false">IF(A57="","",E56*AS56)</f>
        <v>6290196.82554401</v>
      </c>
      <c r="G56" s="200" t="e">
        <f aca="false">IF($A57="","",VLOOKUP($A56,Table,MATCH(G$4,Curves,0)))</f>
        <v>#N/A</v>
      </c>
      <c r="H56" s="201" t="e">
        <f aca="false">IF(A57="","",G56)</f>
        <v>#N/A</v>
      </c>
      <c r="I56" s="202"/>
      <c r="J56" s="200" t="e">
        <f aca="false">IF($A57="","",VLOOKUP($A56,Table,MATCH(J$4,Curves,0)))</f>
        <v>#N/A</v>
      </c>
      <c r="K56" s="201" t="e">
        <f aca="false">IF(A57="","",J56)</f>
        <v>#N/A</v>
      </c>
      <c r="L56" s="185" t="n">
        <v>0</v>
      </c>
      <c r="M56" s="201" t="n">
        <f aca="false">IF(A57="","",L56)</f>
        <v>0</v>
      </c>
      <c r="N56" s="203"/>
      <c r="O56" s="200" t="e">
        <f aca="false">IF(A57="","",L56+J56+G56)</f>
        <v>#N/A</v>
      </c>
      <c r="P56" s="200" t="e">
        <f aca="false">IF(A57="","",M56+K56+H56)</f>
        <v>#N/A</v>
      </c>
      <c r="Q56" s="204"/>
      <c r="R56" s="200" t="e">
        <f aca="false">IF($A57="","",VLOOKUP($A56,Table,MATCH(R$4,Curves,0)))</f>
        <v>#N/A</v>
      </c>
      <c r="S56" s="201" t="e">
        <f aca="false">IF(A57="","",R56)</f>
        <v>#N/A</v>
      </c>
      <c r="T56" s="200" t="e">
        <f aca="false">IF($A57="","",VLOOKUP($A56,Table,MATCH(T$4,Curves,0)))</f>
        <v>#N/A</v>
      </c>
      <c r="U56" s="201" t="e">
        <f aca="false">IF(A57="","",T56)</f>
        <v>#N/A</v>
      </c>
      <c r="V56" s="183" t="e">
        <f aca="false">IF($A57="","",IF(AND(MONTH(A56)&gt;3,MONTH(A56)&lt;11),(T56+R56+G56)*(((1/(1-Summary!$T$14))/(1-Summary!$W$14))-1),(T56+R56+G56)*((1/(1-Summary!$U$14))/(1-Summary!$X$14)-1)))</f>
        <v>#N/A</v>
      </c>
      <c r="W56" s="202" t="e">
        <f aca="false">IF($A57="","",(T56+R56+G56+V56))</f>
        <v>#N/A</v>
      </c>
      <c r="X56" s="202" t="e">
        <f aca="false">IF($A57="","",(U56+S56+H56+V56))</f>
        <v>#N/A</v>
      </c>
      <c r="Y56" s="202"/>
      <c r="Z56" s="185" t="e">
        <f aca="false">IF($A57="","",VLOOKUP($A56,Table,MATCH(Z$4,Curves,0)))</f>
        <v>#N/A</v>
      </c>
      <c r="AA56" s="185" t="e">
        <f aca="false">IF($A57="","",VLOOKUP($A56,Table,MATCH(AA$4,Curves,0)))</f>
        <v>#N/A</v>
      </c>
      <c r="AB56" s="185" t="e">
        <f aca="false">SQRT((AA56^2*(A56-$D$3)+Z56^2*(DAY(EOMONTH(A56,0))/2))/AK56)</f>
        <v>#N/A</v>
      </c>
      <c r="AC56" s="185" t="e">
        <f aca="false">IF($A57="","",VLOOKUP($A56,Table,MATCH(AC$4,Curves,0)))</f>
        <v>#N/A</v>
      </c>
      <c r="AD56" s="185" t="e">
        <f aca="false">IF($A57="","",VLOOKUP($A56,Table,MATCH(AD$4,Curves,0)))</f>
        <v>#N/A</v>
      </c>
      <c r="AE56" s="185" t="e">
        <f aca="false">SQRT((AD56^2*(A56-$D$3)+AC56^2*(DAY(EOMONTH(A56,0))/2))/AK56)</f>
        <v>#N/A</v>
      </c>
      <c r="AF56" s="224" t="e">
        <f aca="false">((Summary!$N$14*(AA56*AD56)*(A56-$D$3))+(Summary!$M$14*Z56*AC56*(AJ56-EOMONTH(EDATE(A56,-1),0))))/(AK56*AB56*AE56)</f>
        <v>#N/A</v>
      </c>
      <c r="AG56" s="207" t="n">
        <f aca="false">IF($A57="","",Summary!$Q$14)</f>
        <v>0</v>
      </c>
      <c r="AH56" s="207" t="n">
        <f aca="false">IF($A57="","",IF(Summary!$R$12="Y",(VLOOKUP($A56,Summary!$AD$6:$AF$9,3)+'Escalating commodity'!J69),'Escalating commodity'!J69))</f>
        <v>0.00526031121286396</v>
      </c>
      <c r="AI56" s="207" t="n">
        <f aca="false">IF($A57="","",AH56)</f>
        <v>0.00526031121286396</v>
      </c>
      <c r="AJ56" s="208" t="n">
        <f aca="false">A56+DAY(EOMONTH(A56,0))/2-1</f>
        <v>38457</v>
      </c>
      <c r="AK56" s="209" t="n">
        <f aca="false">IF($A57="","",$A56-$E$1)</f>
        <v>-7483</v>
      </c>
      <c r="AL56" s="182" t="e">
        <f aca="false">IF($A57="","",SPRDOPT(P56,X56,AI56,0,AB56,AE56,AF56,AK56,$AJ$2,0))</f>
        <v>#NAME?</v>
      </c>
      <c r="AM56" s="211" t="e">
        <f aca="false">IF($A57="","",MAX(0,O56-W56-AI56))</f>
        <v>#N/A</v>
      </c>
      <c r="AN56" s="211" t="e">
        <f aca="false">IF($A57="","",AL56-AM56)</f>
        <v>#N/A</v>
      </c>
      <c r="AO56" s="137" t="n">
        <f aca="false">IF(A57="","",A57-A56)</f>
        <v>30</v>
      </c>
      <c r="AP56" s="212" t="n">
        <f aca="false">IF(A57="","",CHOOSE(F$3,A57+24,A56))</f>
        <v>38443</v>
      </c>
      <c r="AQ56" s="209" t="n">
        <f aca="false">IF(A57="","",AP56-$E$1)</f>
        <v>-7483</v>
      </c>
      <c r="AR56" s="185" t="n">
        <f aca="false">'ANR OK vs ML7'!AR56</f>
        <v>0.1</v>
      </c>
      <c r="AS56" s="213" t="n">
        <f aca="false">IF(A57="","",1/(1+CHOOSE(F$3,(AR57+($I$3/10000))/2,(AR56+($I$3/10000))/2))^(2*AQ56/365.25))</f>
        <v>7.38286012387795</v>
      </c>
      <c r="AT56" s="137" t="n">
        <f aca="false">IF(A57="","",IF(AND(mthbeg&lt;=A56,mthend&gt;=A56),1,0))</f>
        <v>1</v>
      </c>
      <c r="AU56" s="137" t="n">
        <f aca="false">IF(A57="","",AO56*AT56)</f>
        <v>30</v>
      </c>
      <c r="AW56" s="195" t="e">
        <f aca="false">IF($A57="","",AL56*$E56)</f>
        <v>#NAME?</v>
      </c>
      <c r="AX56" s="195" t="e">
        <f aca="false">IF($A57="","",AM56*$E56)</f>
        <v>#N/A</v>
      </c>
      <c r="AY56" s="195" t="e">
        <f aca="false">IF($A57="","",AN56*$E56)</f>
        <v>#N/A</v>
      </c>
      <c r="BA56" s="195" t="n">
        <f aca="false">IF($A57="","",F56*Summary!$Q$14)</f>
        <v>0</v>
      </c>
      <c r="BC56" s="179" t="e">
        <f aca="false">IF(A57="","",AM56*F56)</f>
        <v>#N/A</v>
      </c>
    </row>
    <row r="57" customFormat="false" ht="12.75" hidden="false" customHeight="false" outlineLevel="0" collapsed="false">
      <c r="A57" s="196" t="n">
        <f aca="false">IF(A56&lt;mthend,EDATE(A56,1),"")</f>
        <v>38473</v>
      </c>
      <c r="B57" s="197" t="n">
        <f aca="false">IF(A57&lt;mthend,B56,"")</f>
        <v>28400</v>
      </c>
      <c r="C57" s="215"/>
      <c r="D57" s="197" t="n">
        <f aca="false">IF(A58&lt;&gt;"",B57+C57,"")</f>
        <v>28400</v>
      </c>
      <c r="E57" s="199" t="n">
        <f aca="false">IF(A58="","",IF(AND(AT57=1,$H$3=1),D57*AO57,IF($H$3=2,D57,"N/A")))</f>
        <v>880400</v>
      </c>
      <c r="F57" s="199" t="n">
        <f aca="false">IF(A58="","",E57*AS57)</f>
        <v>6447983.03080975</v>
      </c>
      <c r="G57" s="200" t="e">
        <f aca="false">IF($A58="","",VLOOKUP($A57,Table,MATCH(G$4,Curves,0)))</f>
        <v>#N/A</v>
      </c>
      <c r="H57" s="201" t="e">
        <f aca="false">IF(A58="","",G57)</f>
        <v>#N/A</v>
      </c>
      <c r="I57" s="202"/>
      <c r="J57" s="200" t="e">
        <f aca="false">IF($A58="","",VLOOKUP($A57,Table,MATCH(J$4,Curves,0)))</f>
        <v>#N/A</v>
      </c>
      <c r="K57" s="201" t="e">
        <f aca="false">IF(A58="","",J57)</f>
        <v>#N/A</v>
      </c>
      <c r="L57" s="185" t="n">
        <v>0</v>
      </c>
      <c r="M57" s="201" t="n">
        <f aca="false">IF(A58="","",L57)</f>
        <v>0</v>
      </c>
      <c r="N57" s="203"/>
      <c r="O57" s="200" t="e">
        <f aca="false">IF(A58="","",L57+J57+G57)</f>
        <v>#N/A</v>
      </c>
      <c r="P57" s="200" t="e">
        <f aca="false">IF(A58="","",M57+K57+H57)</f>
        <v>#N/A</v>
      </c>
      <c r="Q57" s="204"/>
      <c r="R57" s="200" t="e">
        <f aca="false">IF($A58="","",VLOOKUP($A57,Table,MATCH(R$4,Curves,0)))</f>
        <v>#N/A</v>
      </c>
      <c r="S57" s="201" t="e">
        <f aca="false">IF(A58="","",R57)</f>
        <v>#N/A</v>
      </c>
      <c r="T57" s="200" t="e">
        <f aca="false">IF($A58="","",VLOOKUP($A57,Table,MATCH(T$4,Curves,0)))</f>
        <v>#N/A</v>
      </c>
      <c r="U57" s="201" t="e">
        <f aca="false">IF(A58="","",T57)</f>
        <v>#N/A</v>
      </c>
      <c r="V57" s="183" t="e">
        <f aca="false">IF($A58="","",IF(AND(MONTH(A57)&gt;3,MONTH(A57)&lt;11),(T57+R57+G57)*(((1/(1-Summary!$T$14))/(1-Summary!$W$14))-1),(T57+R57+G57)*((1/(1-Summary!$U$14))/(1-Summary!$X$14)-1)))</f>
        <v>#N/A</v>
      </c>
      <c r="W57" s="202" t="e">
        <f aca="false">IF($A58="","",(T57+R57+G57+V57))</f>
        <v>#N/A</v>
      </c>
      <c r="X57" s="202" t="e">
        <f aca="false">IF($A58="","",(U57+S57+H57+V57))</f>
        <v>#N/A</v>
      </c>
      <c r="Y57" s="202"/>
      <c r="Z57" s="185" t="e">
        <f aca="false">IF($A58="","",VLOOKUP($A57,Table,MATCH(Z$4,Curves,0)))</f>
        <v>#N/A</v>
      </c>
      <c r="AA57" s="185" t="e">
        <f aca="false">IF($A58="","",VLOOKUP($A57,Table,MATCH(AA$4,Curves,0)))</f>
        <v>#N/A</v>
      </c>
      <c r="AB57" s="185" t="e">
        <f aca="false">SQRT((AA57^2*(A57-$D$3)+Z57^2*(DAY(EOMONTH(A57,0))/2))/AK57)</f>
        <v>#N/A</v>
      </c>
      <c r="AC57" s="185" t="e">
        <f aca="false">IF($A58="","",VLOOKUP($A57,Table,MATCH(AC$4,Curves,0)))</f>
        <v>#N/A</v>
      </c>
      <c r="AD57" s="185" t="e">
        <f aca="false">IF($A58="","",VLOOKUP($A57,Table,MATCH(AD$4,Curves,0)))</f>
        <v>#N/A</v>
      </c>
      <c r="AE57" s="185" t="e">
        <f aca="false">SQRT((AD57^2*(A57-$D$3)+AC57^2*(DAY(EOMONTH(A57,0))/2))/AK57)</f>
        <v>#N/A</v>
      </c>
      <c r="AF57" s="224" t="e">
        <f aca="false">((Summary!$N$14*(AA57*AD57)*(A57-$D$3))+(Summary!$M$14*Z57*AC57*(AJ57-EOMONTH(EDATE(A57,-1),0))))/(AK57*AB57*AE57)</f>
        <v>#N/A</v>
      </c>
      <c r="AG57" s="207" t="n">
        <f aca="false">IF($A58="","",Summary!$Q$14)</f>
        <v>0</v>
      </c>
      <c r="AH57" s="207" t="n">
        <f aca="false">IF($A58="","",IF(Summary!$R$12="Y",(VLOOKUP($A57,Summary!$AD$6:$AF$9,3)+'Escalating commodity'!J70),'Escalating commodity'!J70))</f>
        <v>0.00526031121286396</v>
      </c>
      <c r="AI57" s="207" t="n">
        <f aca="false">IF($A58="","",AH57)</f>
        <v>0.00526031121286396</v>
      </c>
      <c r="AJ57" s="208" t="n">
        <f aca="false">A57+DAY(EOMONTH(A57,0))/2-1</f>
        <v>38487.5</v>
      </c>
      <c r="AK57" s="209" t="n">
        <f aca="false">IF($A58="","",$A57-$E$1)</f>
        <v>-7453</v>
      </c>
      <c r="AL57" s="182" t="e">
        <f aca="false">IF($A58="","",SPRDOPT(P57,X57,AI57,0,AB57,AE57,AF57,AK57,$AJ$2,0))</f>
        <v>#NAME?</v>
      </c>
      <c r="AM57" s="211" t="e">
        <f aca="false">IF($A58="","",MAX(0,O57-W57-AI57))</f>
        <v>#N/A</v>
      </c>
      <c r="AN57" s="211" t="e">
        <f aca="false">IF($A58="","",AL57-AM57)</f>
        <v>#N/A</v>
      </c>
      <c r="AO57" s="137" t="n">
        <f aca="false">IF(A58="","",A58-A57)</f>
        <v>31</v>
      </c>
      <c r="AP57" s="212" t="n">
        <f aca="false">IF(A58="","",CHOOSE(F$3,A58+24,A57))</f>
        <v>38473</v>
      </c>
      <c r="AQ57" s="209" t="n">
        <f aca="false">IF(A58="","",AP57-$E$1)</f>
        <v>-7453</v>
      </c>
      <c r="AR57" s="185" t="n">
        <f aca="false">'ANR OK vs ML7'!AR57</f>
        <v>0.1</v>
      </c>
      <c r="AS57" s="213" t="n">
        <f aca="false">IF(A58="","",1/(1+CHOOSE(F$3,(AR58+($I$3/10000))/2,(AR57+($I$3/10000))/2))^(2*AQ57/365.25))</f>
        <v>7.32392438756219</v>
      </c>
      <c r="AT57" s="137" t="n">
        <f aca="false">IF(A58="","",IF(AND(mthbeg&lt;=A57,mthend&gt;=A57),1,0))</f>
        <v>1</v>
      </c>
      <c r="AU57" s="137" t="n">
        <f aca="false">IF(A58="","",AO57*AT57)</f>
        <v>31</v>
      </c>
      <c r="AW57" s="195" t="e">
        <f aca="false">IF($A58="","",AL57*$E57)</f>
        <v>#NAME?</v>
      </c>
      <c r="AX57" s="195" t="e">
        <f aca="false">IF($A58="","",AM57*$E57)</f>
        <v>#N/A</v>
      </c>
      <c r="AY57" s="195" t="e">
        <f aca="false">IF($A58="","",AN57*$E57)</f>
        <v>#N/A</v>
      </c>
      <c r="BA57" s="195" t="n">
        <f aca="false">IF($A58="","",F57*Summary!$Q$14)</f>
        <v>0</v>
      </c>
      <c r="BC57" s="179" t="e">
        <f aca="false">IF(A58="","",AM57*F57)</f>
        <v>#N/A</v>
      </c>
    </row>
    <row r="58" customFormat="false" ht="12.75" hidden="false" customHeight="false" outlineLevel="0" collapsed="false">
      <c r="A58" s="196" t="n">
        <f aca="false">IF(A57&lt;mthend,EDATE(A57,1),"")</f>
        <v>38504</v>
      </c>
      <c r="B58" s="197" t="n">
        <f aca="false">IF(A58&lt;mthend,B57,"")</f>
        <v>28400</v>
      </c>
      <c r="C58" s="215"/>
      <c r="D58" s="197" t="n">
        <f aca="false">IF(A59&lt;&gt;"",B58+C58,"")</f>
        <v>28400</v>
      </c>
      <c r="E58" s="199" t="n">
        <f aca="false">IF(A59="","",IF(AND(AT58=1,$H$3=1),D58*AO58,IF($H$3=2,D58,"N/A")))</f>
        <v>852000</v>
      </c>
      <c r="F58" s="199" t="n">
        <f aca="false">IF(A59="","",E58*AS58)</f>
        <v>6188517.62450431</v>
      </c>
      <c r="G58" s="200" t="e">
        <f aca="false">IF($A59="","",VLOOKUP($A58,Table,MATCH(G$4,Curves,0)))</f>
        <v>#N/A</v>
      </c>
      <c r="H58" s="201" t="e">
        <f aca="false">IF(A59="","",G58)</f>
        <v>#N/A</v>
      </c>
      <c r="I58" s="202"/>
      <c r="J58" s="200" t="e">
        <f aca="false">IF($A59="","",VLOOKUP($A58,Table,MATCH(J$4,Curves,0)))</f>
        <v>#N/A</v>
      </c>
      <c r="K58" s="201" t="e">
        <f aca="false">IF(A59="","",J58)</f>
        <v>#N/A</v>
      </c>
      <c r="L58" s="185" t="n">
        <v>0</v>
      </c>
      <c r="M58" s="201" t="n">
        <f aca="false">IF(A59="","",L58)</f>
        <v>0</v>
      </c>
      <c r="N58" s="203"/>
      <c r="O58" s="200" t="e">
        <f aca="false">IF(A59="","",L58+J58+G58)</f>
        <v>#N/A</v>
      </c>
      <c r="P58" s="200" t="e">
        <f aca="false">IF(A59="","",M58+K58+H58)</f>
        <v>#N/A</v>
      </c>
      <c r="Q58" s="204"/>
      <c r="R58" s="200" t="e">
        <f aca="false">IF($A59="","",VLOOKUP($A58,Table,MATCH(R$4,Curves,0)))</f>
        <v>#N/A</v>
      </c>
      <c r="S58" s="201" t="e">
        <f aca="false">IF(A59="","",R58)</f>
        <v>#N/A</v>
      </c>
      <c r="T58" s="200" t="e">
        <f aca="false">IF($A59="","",VLOOKUP($A58,Table,MATCH(T$4,Curves,0)))</f>
        <v>#N/A</v>
      </c>
      <c r="U58" s="201" t="e">
        <f aca="false">IF(A59="","",T58)</f>
        <v>#N/A</v>
      </c>
      <c r="V58" s="183" t="e">
        <f aca="false">IF($A59="","",IF(AND(MONTH(A58)&gt;3,MONTH(A58)&lt;11),(T58+R58+G58)*(((1/(1-Summary!$T$14))/(1-Summary!$W$14))-1),(T58+R58+G58)*((1/(1-Summary!$U$14))/(1-Summary!$X$14)-1)))</f>
        <v>#N/A</v>
      </c>
      <c r="W58" s="202" t="e">
        <f aca="false">IF($A59="","",(T58+R58+G58+V58))</f>
        <v>#N/A</v>
      </c>
      <c r="X58" s="202" t="e">
        <f aca="false">IF($A59="","",(U58+S58+H58+V58))</f>
        <v>#N/A</v>
      </c>
      <c r="Y58" s="202"/>
      <c r="Z58" s="185" t="e">
        <f aca="false">IF($A59="","",VLOOKUP($A58,Table,MATCH(Z$4,Curves,0)))</f>
        <v>#N/A</v>
      </c>
      <c r="AA58" s="185" t="e">
        <f aca="false">IF($A59="","",VLOOKUP($A58,Table,MATCH(AA$4,Curves,0)))</f>
        <v>#N/A</v>
      </c>
      <c r="AB58" s="185" t="e">
        <f aca="false">SQRT((AA58^2*(A58-$D$3)+Z58^2*(DAY(EOMONTH(A58,0))/2))/AK58)</f>
        <v>#N/A</v>
      </c>
      <c r="AC58" s="185" t="e">
        <f aca="false">IF($A59="","",VLOOKUP($A58,Table,MATCH(AC$4,Curves,0)))</f>
        <v>#N/A</v>
      </c>
      <c r="AD58" s="185" t="e">
        <f aca="false">IF($A59="","",VLOOKUP($A58,Table,MATCH(AD$4,Curves,0)))</f>
        <v>#N/A</v>
      </c>
      <c r="AE58" s="185" t="e">
        <f aca="false">SQRT((AD58^2*(A58-$D$3)+AC58^2*(DAY(EOMONTH(A58,0))/2))/AK58)</f>
        <v>#N/A</v>
      </c>
      <c r="AF58" s="224" t="e">
        <f aca="false">((Summary!$N$14*(AA58*AD58)*(A58-$D$3))+(Summary!$M$14*Z58*AC58*(AJ58-EOMONTH(EDATE(A58,-1),0))))/(AK58*AB58*AE58)</f>
        <v>#N/A</v>
      </c>
      <c r="AG58" s="207" t="n">
        <f aca="false">IF($A59="","",Summary!$Q$14)</f>
        <v>0</v>
      </c>
      <c r="AH58" s="207" t="n">
        <f aca="false">IF($A59="","",IF(Summary!$R$12="Y",(VLOOKUP($A58,Summary!$AD$6:$AF$9,3)+'Escalating commodity'!J71),'Escalating commodity'!J71))</f>
        <v>0.00526031121286396</v>
      </c>
      <c r="AI58" s="207" t="n">
        <f aca="false">IF($A59="","",AH58)</f>
        <v>0.00526031121286396</v>
      </c>
      <c r="AJ58" s="208" t="n">
        <f aca="false">A58+DAY(EOMONTH(A58,0))/2-1</f>
        <v>38518</v>
      </c>
      <c r="AK58" s="209" t="n">
        <f aca="false">IF($A59="","",$A58-$E$1)</f>
        <v>-7422</v>
      </c>
      <c r="AL58" s="182" t="e">
        <f aca="false">IF($A59="","",SPRDOPT(P58,X58,AI58,0,AB58,AE58,AF58,AK58,$AJ$2,0))</f>
        <v>#NAME?</v>
      </c>
      <c r="AM58" s="211" t="e">
        <f aca="false">IF($A59="","",MAX(0,O58-W58-AI58))</f>
        <v>#N/A</v>
      </c>
      <c r="AN58" s="211" t="e">
        <f aca="false">IF($A59="","",AL58-AM58)</f>
        <v>#N/A</v>
      </c>
      <c r="AO58" s="137" t="n">
        <f aca="false">IF(A59="","",A59-A58)</f>
        <v>30</v>
      </c>
      <c r="AP58" s="212" t="n">
        <f aca="false">IF(A59="","",CHOOSE(F$3,A59+24,A58))</f>
        <v>38504</v>
      </c>
      <c r="AQ58" s="209" t="n">
        <f aca="false">IF(A59="","",AP58-$E$1)</f>
        <v>-7422</v>
      </c>
      <c r="AR58" s="185" t="n">
        <f aca="false">'ANR OK vs ML7'!AR58</f>
        <v>0.1</v>
      </c>
      <c r="AS58" s="213" t="n">
        <f aca="false">IF(A59="","",1/(1+CHOOSE(F$3,(AR59+($I$3/10000))/2,(AR58+($I$3/10000))/2))^(2*AQ58/365.25))</f>
        <v>7.26351833862008</v>
      </c>
      <c r="AT58" s="137" t="n">
        <f aca="false">IF(A59="","",IF(AND(mthbeg&lt;=A58,mthend&gt;=A58),1,0))</f>
        <v>1</v>
      </c>
      <c r="AU58" s="137" t="n">
        <f aca="false">IF(A59="","",AO58*AT58)</f>
        <v>30</v>
      </c>
      <c r="AW58" s="195" t="e">
        <f aca="false">IF($A59="","",AL58*$E58)</f>
        <v>#NAME?</v>
      </c>
      <c r="AX58" s="195" t="e">
        <f aca="false">IF($A59="","",AM58*$E58)</f>
        <v>#N/A</v>
      </c>
      <c r="AY58" s="195" t="e">
        <f aca="false">IF($A59="","",AN58*$E58)</f>
        <v>#N/A</v>
      </c>
      <c r="BA58" s="195" t="n">
        <f aca="false">IF($A59="","",F58*Summary!$Q$14)</f>
        <v>0</v>
      </c>
      <c r="BC58" s="179" t="e">
        <f aca="false">IF(A59="","",AM58*F58)</f>
        <v>#N/A</v>
      </c>
    </row>
    <row r="59" customFormat="false" ht="12.75" hidden="false" customHeight="false" outlineLevel="0" collapsed="false">
      <c r="A59" s="196" t="n">
        <f aca="false">IF(A58&lt;mthend,EDATE(A58,1),"")</f>
        <v>38534</v>
      </c>
      <c r="B59" s="197" t="n">
        <f aca="false">IF(A59&lt;mthend,B58,"")</f>
        <v>28400</v>
      </c>
      <c r="C59" s="215"/>
      <c r="D59" s="197" t="n">
        <f aca="false">IF(A60&lt;&gt;"",B59+C59,"")</f>
        <v>28400</v>
      </c>
      <c r="E59" s="199" t="n">
        <f aca="false">IF(A60="","",IF(AND(AT59=1,$H$3=1),D59*AO59,IF($H$3=2,D59,"N/A")))</f>
        <v>880400</v>
      </c>
      <c r="F59" s="199" t="n">
        <f aca="false">IF(A60="","",E59*AS59)</f>
        <v>6343753.26168267</v>
      </c>
      <c r="G59" s="200" t="e">
        <f aca="false">IF($A60="","",VLOOKUP($A59,Table,MATCH(G$4,Curves,0)))</f>
        <v>#N/A</v>
      </c>
      <c r="H59" s="201" t="e">
        <f aca="false">IF(A60="","",G59)</f>
        <v>#N/A</v>
      </c>
      <c r="I59" s="202"/>
      <c r="J59" s="200" t="e">
        <f aca="false">IF($A60="","",VLOOKUP($A59,Table,MATCH(J$4,Curves,0)))</f>
        <v>#N/A</v>
      </c>
      <c r="K59" s="201" t="e">
        <f aca="false">IF(A60="","",J59)</f>
        <v>#N/A</v>
      </c>
      <c r="L59" s="185" t="n">
        <v>0</v>
      </c>
      <c r="M59" s="201" t="n">
        <f aca="false">IF(A60="","",L59)</f>
        <v>0</v>
      </c>
      <c r="N59" s="203"/>
      <c r="O59" s="200" t="e">
        <f aca="false">IF(A60="","",L59+J59+G59)</f>
        <v>#N/A</v>
      </c>
      <c r="P59" s="200" t="e">
        <f aca="false">IF(A60="","",M59+K59+H59)</f>
        <v>#N/A</v>
      </c>
      <c r="Q59" s="204"/>
      <c r="R59" s="200" t="e">
        <f aca="false">IF($A60="","",VLOOKUP($A59,Table,MATCH(R$4,Curves,0)))</f>
        <v>#N/A</v>
      </c>
      <c r="S59" s="201" t="e">
        <f aca="false">IF(A60="","",R59)</f>
        <v>#N/A</v>
      </c>
      <c r="T59" s="200" t="e">
        <f aca="false">IF($A60="","",VLOOKUP($A59,Table,MATCH(T$4,Curves,0)))</f>
        <v>#N/A</v>
      </c>
      <c r="U59" s="201" t="e">
        <f aca="false">IF(A60="","",T59)</f>
        <v>#N/A</v>
      </c>
      <c r="V59" s="183" t="e">
        <f aca="false">IF($A60="","",IF(AND(MONTH(A59)&gt;3,MONTH(A59)&lt;11),(T59+R59+G59)*(((1/(1-Summary!$T$14))/(1-Summary!$W$14))-1),(T59+R59+G59)*((1/(1-Summary!$U$14))/(1-Summary!$X$14)-1)))</f>
        <v>#N/A</v>
      </c>
      <c r="W59" s="202" t="e">
        <f aca="false">IF($A60="","",(T59+R59+G59+V59))</f>
        <v>#N/A</v>
      </c>
      <c r="X59" s="202" t="e">
        <f aca="false">IF($A60="","",(U59+S59+H59+V59))</f>
        <v>#N/A</v>
      </c>
      <c r="Y59" s="202"/>
      <c r="Z59" s="185" t="e">
        <f aca="false">IF($A60="","",VLOOKUP($A59,Table,MATCH(Z$4,Curves,0)))</f>
        <v>#N/A</v>
      </c>
      <c r="AA59" s="185" t="e">
        <f aca="false">IF($A60="","",VLOOKUP($A59,Table,MATCH(AA$4,Curves,0)))</f>
        <v>#N/A</v>
      </c>
      <c r="AB59" s="185" t="e">
        <f aca="false">SQRT((AA59^2*(A59-$D$3)+Z59^2*(DAY(EOMONTH(A59,0))/2))/AK59)</f>
        <v>#N/A</v>
      </c>
      <c r="AC59" s="185" t="e">
        <f aca="false">IF($A60="","",VLOOKUP($A59,Table,MATCH(AC$4,Curves,0)))</f>
        <v>#N/A</v>
      </c>
      <c r="AD59" s="185" t="e">
        <f aca="false">IF($A60="","",VLOOKUP($A59,Table,MATCH(AD$4,Curves,0)))</f>
        <v>#N/A</v>
      </c>
      <c r="AE59" s="185" t="e">
        <f aca="false">SQRT((AD59^2*(A59-$D$3)+AC59^2*(DAY(EOMONTH(A59,0))/2))/AK59)</f>
        <v>#N/A</v>
      </c>
      <c r="AF59" s="224" t="e">
        <f aca="false">((Summary!$N$14*(AA59*AD59)*(A59-$D$3))+(Summary!$M$14*Z59*AC59*(AJ59-EOMONTH(EDATE(A59,-1),0))))/(AK59*AB59*AE59)</f>
        <v>#N/A</v>
      </c>
      <c r="AG59" s="207" t="n">
        <f aca="false">IF($A60="","",Summary!$Q$14)</f>
        <v>0</v>
      </c>
      <c r="AH59" s="207" t="n">
        <f aca="false">IF($A60="","",IF(Summary!$R$12="Y",(VLOOKUP($A59,Summary!$AD$6:$AF$9,3)+'Escalating commodity'!J72),'Escalating commodity'!J72))</f>
        <v>0.00526031121286396</v>
      </c>
      <c r="AI59" s="207" t="n">
        <f aca="false">IF($A60="","",AH59)</f>
        <v>0.00526031121286396</v>
      </c>
      <c r="AJ59" s="208" t="n">
        <f aca="false">A59+DAY(EOMONTH(A59,0))/2-1</f>
        <v>38548.5</v>
      </c>
      <c r="AK59" s="209" t="n">
        <f aca="false">IF($A60="","",$A59-$E$1)</f>
        <v>-7392</v>
      </c>
      <c r="AL59" s="182" t="e">
        <f aca="false">IF($A60="","",SPRDOPT(P59,X59,AI59,0,AB59,AE59,AF59,AK59,$AJ$2,0))</f>
        <v>#NAME?</v>
      </c>
      <c r="AM59" s="211" t="e">
        <f aca="false">IF($A60="","",MAX(0,O59-W59-AI59))</f>
        <v>#N/A</v>
      </c>
      <c r="AN59" s="211" t="e">
        <f aca="false">IF($A60="","",AL59-AM59)</f>
        <v>#N/A</v>
      </c>
      <c r="AO59" s="137" t="n">
        <f aca="false">IF(A60="","",A60-A59)</f>
        <v>31</v>
      </c>
      <c r="AP59" s="212" t="n">
        <f aca="false">IF(A60="","",CHOOSE(F$3,A60+24,A59))</f>
        <v>38534</v>
      </c>
      <c r="AQ59" s="209" t="n">
        <f aca="false">IF(A60="","",AP59-$E$1)</f>
        <v>-7392</v>
      </c>
      <c r="AR59" s="185" t="n">
        <f aca="false">'ANR OK vs ML7'!AR59</f>
        <v>0.1</v>
      </c>
      <c r="AS59" s="213" t="n">
        <f aca="false">IF(A60="","",1/(1+CHOOSE(F$3,(AR60+($I$3/10000))/2,(AR59+($I$3/10000))/2))^(2*AQ59/365.25))</f>
        <v>7.20553528132971</v>
      </c>
      <c r="AT59" s="137" t="n">
        <f aca="false">IF(A60="","",IF(AND(mthbeg&lt;=A59,mthend&gt;=A59),1,0))</f>
        <v>1</v>
      </c>
      <c r="AU59" s="137" t="n">
        <f aca="false">IF(A60="","",AO59*AT59)</f>
        <v>31</v>
      </c>
      <c r="AW59" s="195" t="e">
        <f aca="false">IF($A60="","",AL59*$E59)</f>
        <v>#NAME?</v>
      </c>
      <c r="AX59" s="195" t="e">
        <f aca="false">IF($A60="","",AM59*$E59)</f>
        <v>#N/A</v>
      </c>
      <c r="AY59" s="195" t="e">
        <f aca="false">IF($A60="","",AN59*$E59)</f>
        <v>#N/A</v>
      </c>
      <c r="BA59" s="195" t="n">
        <f aca="false">IF($A60="","",F59*Summary!$Q$14)</f>
        <v>0</v>
      </c>
      <c r="BC59" s="179" t="e">
        <f aca="false">IF(A60="","",AM59*F59)</f>
        <v>#N/A</v>
      </c>
    </row>
    <row r="60" customFormat="false" ht="12.75" hidden="false" customHeight="false" outlineLevel="0" collapsed="false">
      <c r="A60" s="196" t="n">
        <f aca="false">IF(A59&lt;mthend,EDATE(A59,1),"")</f>
        <v>38565</v>
      </c>
      <c r="B60" s="197" t="n">
        <f aca="false">IF(A60&lt;mthend,B59,"")</f>
        <v>28400</v>
      </c>
      <c r="C60" s="215"/>
      <c r="D60" s="197" t="n">
        <f aca="false">IF(A61&lt;&gt;"",B60+C60,"")</f>
        <v>28400</v>
      </c>
      <c r="E60" s="199" t="n">
        <f aca="false">IF(A61="","",IF(AND(AT60=1,$H$3=1),D60*AO60,IF($H$3=2,D60,"N/A")))</f>
        <v>880400</v>
      </c>
      <c r="F60" s="199" t="n">
        <f aca="false">IF(A61="","",E60*AS60)</f>
        <v>6291431.43942948</v>
      </c>
      <c r="G60" s="200" t="e">
        <f aca="false">IF($A61="","",VLOOKUP($A60,Table,MATCH(G$4,Curves,0)))</f>
        <v>#N/A</v>
      </c>
      <c r="H60" s="201" t="e">
        <f aca="false">IF(A61="","",G60)</f>
        <v>#N/A</v>
      </c>
      <c r="I60" s="202"/>
      <c r="J60" s="200" t="e">
        <f aca="false">IF($A61="","",VLOOKUP($A60,Table,MATCH(J$4,Curves,0)))</f>
        <v>#N/A</v>
      </c>
      <c r="K60" s="201" t="e">
        <f aca="false">IF(A61="","",J60)</f>
        <v>#N/A</v>
      </c>
      <c r="L60" s="185" t="n">
        <v>0</v>
      </c>
      <c r="M60" s="201" t="n">
        <f aca="false">IF(A61="","",L60)</f>
        <v>0</v>
      </c>
      <c r="N60" s="203"/>
      <c r="O60" s="200" t="e">
        <f aca="false">IF(A61="","",L60+J60+G60)</f>
        <v>#N/A</v>
      </c>
      <c r="P60" s="200" t="e">
        <f aca="false">IF(A61="","",M60+K60+H60)</f>
        <v>#N/A</v>
      </c>
      <c r="Q60" s="204"/>
      <c r="R60" s="200" t="e">
        <f aca="false">IF($A61="","",VLOOKUP($A60,Table,MATCH(R$4,Curves,0)))</f>
        <v>#N/A</v>
      </c>
      <c r="S60" s="201" t="e">
        <f aca="false">IF(A61="","",R60)</f>
        <v>#N/A</v>
      </c>
      <c r="T60" s="200" t="e">
        <f aca="false">IF($A61="","",VLOOKUP($A60,Table,MATCH(T$4,Curves,0)))</f>
        <v>#N/A</v>
      </c>
      <c r="U60" s="201" t="e">
        <f aca="false">IF(A61="","",T60)</f>
        <v>#N/A</v>
      </c>
      <c r="V60" s="183" t="e">
        <f aca="false">IF($A61="","",IF(AND(MONTH(A60)&gt;3,MONTH(A60)&lt;11),(T60+R60+G60)*(((1/(1-Summary!$T$14))/(1-Summary!$W$14))-1),(T60+R60+G60)*((1/(1-Summary!$U$14))/(1-Summary!$X$14)-1)))</f>
        <v>#N/A</v>
      </c>
      <c r="W60" s="202" t="e">
        <f aca="false">IF($A61="","",(T60+R60+G60+V60))</f>
        <v>#N/A</v>
      </c>
      <c r="X60" s="202" t="e">
        <f aca="false">IF($A61="","",(U60+S60+H60+V60))</f>
        <v>#N/A</v>
      </c>
      <c r="Y60" s="202"/>
      <c r="Z60" s="185" t="e">
        <f aca="false">IF($A61="","",VLOOKUP($A60,Table,MATCH(Z$4,Curves,0)))</f>
        <v>#N/A</v>
      </c>
      <c r="AA60" s="185" t="e">
        <f aca="false">IF($A61="","",VLOOKUP($A60,Table,MATCH(AA$4,Curves,0)))</f>
        <v>#N/A</v>
      </c>
      <c r="AB60" s="185" t="e">
        <f aca="false">SQRT((AA60^2*(A60-$D$3)+Z60^2*(DAY(EOMONTH(A60,0))/2))/AK60)</f>
        <v>#N/A</v>
      </c>
      <c r="AC60" s="185" t="e">
        <f aca="false">IF($A61="","",VLOOKUP($A60,Table,MATCH(AC$4,Curves,0)))</f>
        <v>#N/A</v>
      </c>
      <c r="AD60" s="185" t="e">
        <f aca="false">IF($A61="","",VLOOKUP($A60,Table,MATCH(AD$4,Curves,0)))</f>
        <v>#N/A</v>
      </c>
      <c r="AE60" s="185" t="e">
        <f aca="false">SQRT((AD60^2*(A60-$D$3)+AC60^2*(DAY(EOMONTH(A60,0))/2))/AK60)</f>
        <v>#N/A</v>
      </c>
      <c r="AF60" s="224" t="e">
        <f aca="false">((Summary!$N$14*(AA60*AD60)*(A60-$D$3))+(Summary!$M$14*Z60*AC60*(AJ60-EOMONTH(EDATE(A60,-1),0))))/(AK60*AB60*AE60)</f>
        <v>#N/A</v>
      </c>
      <c r="AG60" s="207" t="n">
        <f aca="false">IF($A61="","",Summary!$Q$14)</f>
        <v>0</v>
      </c>
      <c r="AH60" s="207" t="n">
        <f aca="false">IF($A61="","",IF(Summary!$R$12="Y",(VLOOKUP($A60,Summary!$AD$6:$AF$9,3)+'Escalating commodity'!J73),'Escalating commodity'!J73))</f>
        <v>0.00526031121286396</v>
      </c>
      <c r="AI60" s="207" t="n">
        <f aca="false">IF($A61="","",AH60)</f>
        <v>0.00526031121286396</v>
      </c>
      <c r="AJ60" s="208" t="n">
        <f aca="false">A60+DAY(EOMONTH(A60,0))/2-1</f>
        <v>38579.5</v>
      </c>
      <c r="AK60" s="209" t="n">
        <f aca="false">IF($A61="","",$A60-$E$1)</f>
        <v>-7361</v>
      </c>
      <c r="AL60" s="182" t="e">
        <f aca="false">IF($A61="","",SPRDOPT(P60,X60,AI60,0,AB60,AE60,AF60,AK60,$AJ$2,0))</f>
        <v>#NAME?</v>
      </c>
      <c r="AM60" s="211" t="e">
        <f aca="false">IF($A61="","",MAX(0,O60-W60-AI60))</f>
        <v>#N/A</v>
      </c>
      <c r="AN60" s="211" t="e">
        <f aca="false">IF($A61="","",AL60-AM60)</f>
        <v>#N/A</v>
      </c>
      <c r="AO60" s="137" t="n">
        <f aca="false">IF(A61="","",A61-A60)</f>
        <v>31</v>
      </c>
      <c r="AP60" s="212" t="n">
        <f aca="false">IF(A61="","",CHOOSE(F$3,A61+24,A60))</f>
        <v>38565</v>
      </c>
      <c r="AQ60" s="209" t="n">
        <f aca="false">IF(A61="","",AP60-$E$1)</f>
        <v>-7361</v>
      </c>
      <c r="AR60" s="185" t="n">
        <f aca="false">'ANR OK vs ML7'!AR60</f>
        <v>0.1</v>
      </c>
      <c r="AS60" s="213" t="n">
        <f aca="false">IF(A61="","",1/(1+CHOOSE(F$3,(AR61+($I$3/10000))/2,(AR60+($I$3/10000))/2))^(2*AQ60/365.25))</f>
        <v>7.14610567858869</v>
      </c>
      <c r="AT60" s="137" t="n">
        <f aca="false">IF(A61="","",IF(AND(mthbeg&lt;=A60,mthend&gt;=A60),1,0))</f>
        <v>1</v>
      </c>
      <c r="AU60" s="137" t="n">
        <f aca="false">IF(A61="","",AO60*AT60)</f>
        <v>31</v>
      </c>
      <c r="AW60" s="195" t="e">
        <f aca="false">IF($A61="","",AL60*$E60)</f>
        <v>#NAME?</v>
      </c>
      <c r="AX60" s="195" t="e">
        <f aca="false">IF($A61="","",AM60*$E60)</f>
        <v>#N/A</v>
      </c>
      <c r="AY60" s="195" t="e">
        <f aca="false">IF($A61="","",AN60*$E60)</f>
        <v>#N/A</v>
      </c>
      <c r="BA60" s="195" t="n">
        <f aca="false">IF($A61="","",F60*Summary!$Q$14)</f>
        <v>0</v>
      </c>
      <c r="BC60" s="179" t="e">
        <f aca="false">IF(A61="","",AM60*F60)</f>
        <v>#N/A</v>
      </c>
    </row>
    <row r="61" customFormat="false" ht="12.75" hidden="false" customHeight="false" outlineLevel="0" collapsed="false">
      <c r="A61" s="196" t="n">
        <f aca="false">IF(A60&lt;mthend,EDATE(A60,1),"")</f>
        <v>38596</v>
      </c>
      <c r="B61" s="197" t="n">
        <f aca="false">IF(A61&lt;mthend,B60,"")</f>
        <v>28400</v>
      </c>
      <c r="C61" s="215"/>
      <c r="D61" s="197" t="n">
        <f aca="false">IF(A62&lt;&gt;"",B61+C61,"")</f>
        <v>28400</v>
      </c>
      <c r="E61" s="199" t="n">
        <f aca="false">IF(A62="","",IF(AND(AT61=1,$H$3=1),D61*AO61,IF($H$3=2,D61,"N/A")))</f>
        <v>852000</v>
      </c>
      <c r="F61" s="199" t="n">
        <f aca="false">IF(A62="","",E61*AS61)</f>
        <v>6038265.63442124</v>
      </c>
      <c r="G61" s="200" t="e">
        <f aca="false">IF($A62="","",VLOOKUP($A61,Table,MATCH(G$4,Curves,0)))</f>
        <v>#N/A</v>
      </c>
      <c r="H61" s="201" t="e">
        <f aca="false">IF(A62="","",G61)</f>
        <v>#N/A</v>
      </c>
      <c r="I61" s="202"/>
      <c r="J61" s="200" t="e">
        <f aca="false">IF($A62="","",VLOOKUP($A61,Table,MATCH(J$4,Curves,0)))</f>
        <v>#N/A</v>
      </c>
      <c r="K61" s="201" t="e">
        <f aca="false">IF(A62="","",J61)</f>
        <v>#N/A</v>
      </c>
      <c r="L61" s="185" t="n">
        <v>0</v>
      </c>
      <c r="M61" s="201" t="n">
        <f aca="false">IF(A62="","",L61)</f>
        <v>0</v>
      </c>
      <c r="N61" s="203"/>
      <c r="O61" s="200" t="e">
        <f aca="false">IF(A62="","",L61+J61+G61)</f>
        <v>#N/A</v>
      </c>
      <c r="P61" s="200" t="e">
        <f aca="false">IF(A62="","",M61+K61+H61)</f>
        <v>#N/A</v>
      </c>
      <c r="Q61" s="204"/>
      <c r="R61" s="200" t="e">
        <f aca="false">IF($A62="","",VLOOKUP($A61,Table,MATCH(R$4,Curves,0)))</f>
        <v>#N/A</v>
      </c>
      <c r="S61" s="201" t="e">
        <f aca="false">IF(A62="","",R61)</f>
        <v>#N/A</v>
      </c>
      <c r="T61" s="200" t="e">
        <f aca="false">IF($A62="","",VLOOKUP($A61,Table,MATCH(T$4,Curves,0)))</f>
        <v>#N/A</v>
      </c>
      <c r="U61" s="201" t="e">
        <f aca="false">IF(A62="","",T61)</f>
        <v>#N/A</v>
      </c>
      <c r="V61" s="183" t="e">
        <f aca="false">IF($A62="","",IF(AND(MONTH(A61)&gt;3,MONTH(A61)&lt;11),(T61+R61+G61)*(((1/(1-Summary!$T$14))/(1-Summary!$W$14))-1),(T61+R61+G61)*((1/(1-Summary!$U$14))/(1-Summary!$X$14)-1)))</f>
        <v>#N/A</v>
      </c>
      <c r="W61" s="202" t="e">
        <f aca="false">IF($A62="","",(T61+R61+G61+V61))</f>
        <v>#N/A</v>
      </c>
      <c r="X61" s="202" t="e">
        <f aca="false">IF($A62="","",(U61+S61+H61+V61))</f>
        <v>#N/A</v>
      </c>
      <c r="Y61" s="202"/>
      <c r="Z61" s="185" t="e">
        <f aca="false">IF($A62="","",VLOOKUP($A61,Table,MATCH(Z$4,Curves,0)))</f>
        <v>#N/A</v>
      </c>
      <c r="AA61" s="185" t="e">
        <f aca="false">IF($A62="","",VLOOKUP($A61,Table,MATCH(AA$4,Curves,0)))</f>
        <v>#N/A</v>
      </c>
      <c r="AB61" s="185" t="e">
        <f aca="false">SQRT((AA61^2*(A61-$D$3)+Z61^2*(DAY(EOMONTH(A61,0))/2))/AK61)</f>
        <v>#N/A</v>
      </c>
      <c r="AC61" s="185" t="e">
        <f aca="false">IF($A62="","",VLOOKUP($A61,Table,MATCH(AC$4,Curves,0)))</f>
        <v>#N/A</v>
      </c>
      <c r="AD61" s="185" t="e">
        <f aca="false">IF($A62="","",VLOOKUP($A61,Table,MATCH(AD$4,Curves,0)))</f>
        <v>#N/A</v>
      </c>
      <c r="AE61" s="185" t="e">
        <f aca="false">SQRT((AD61^2*(A61-$D$3)+AC61^2*(DAY(EOMONTH(A61,0))/2))/AK61)</f>
        <v>#N/A</v>
      </c>
      <c r="AF61" s="224" t="e">
        <f aca="false">((Summary!$N$14*(AA61*AD61)*(A61-$D$3))+(Summary!$M$14*Z61*AC61*(AJ61-EOMONTH(EDATE(A61,-1),0))))/(AK61*AB61*AE61)</f>
        <v>#N/A</v>
      </c>
      <c r="AG61" s="207" t="n">
        <f aca="false">IF($A62="","",Summary!$Q$14)</f>
        <v>0</v>
      </c>
      <c r="AH61" s="207" t="n">
        <f aca="false">IF($A62="","",IF(Summary!$R$12="Y",(VLOOKUP($A61,Summary!$AD$6:$AF$9,3)+'Escalating commodity'!J74),'Escalating commodity'!J74))</f>
        <v>0.00526031121286396</v>
      </c>
      <c r="AI61" s="207" t="n">
        <f aca="false">IF($A62="","",AH61)</f>
        <v>0.00526031121286396</v>
      </c>
      <c r="AJ61" s="208" t="n">
        <f aca="false">A61+DAY(EOMONTH(A61,0))/2-1</f>
        <v>38610</v>
      </c>
      <c r="AK61" s="209" t="n">
        <f aca="false">IF($A62="","",$A61-$E$1)</f>
        <v>-7330</v>
      </c>
      <c r="AL61" s="182" t="e">
        <f aca="false">IF($A62="","",SPRDOPT(P61,X61,AI61,0,AB61,AE61,AF61,AK61,$AJ$2,0))</f>
        <v>#NAME?</v>
      </c>
      <c r="AM61" s="211" t="e">
        <f aca="false">IF($A62="","",MAX(0,O61-W61-AI61))</f>
        <v>#N/A</v>
      </c>
      <c r="AN61" s="211" t="e">
        <f aca="false">IF($A62="","",AL61-AM61)</f>
        <v>#N/A</v>
      </c>
      <c r="AO61" s="137" t="n">
        <f aca="false">IF(A62="","",A62-A61)</f>
        <v>30</v>
      </c>
      <c r="AP61" s="212" t="n">
        <f aca="false">IF(A62="","",CHOOSE(F$3,A62+24,A61))</f>
        <v>38596</v>
      </c>
      <c r="AQ61" s="209" t="n">
        <f aca="false">IF(A62="","",AP61-$E$1)</f>
        <v>-7330</v>
      </c>
      <c r="AR61" s="185" t="n">
        <f aca="false">'ANR OK vs ML7'!AR61</f>
        <v>0.1</v>
      </c>
      <c r="AS61" s="213" t="n">
        <f aca="false">IF(A62="","",1/(1+CHOOSE(F$3,(AR62+($I$3/10000))/2,(AR61+($I$3/10000))/2))^(2*AQ61/365.25))</f>
        <v>7.08716623758362</v>
      </c>
      <c r="AT61" s="137" t="n">
        <f aca="false">IF(A62="","",IF(AND(mthbeg&lt;=A61,mthend&gt;=A61),1,0))</f>
        <v>1</v>
      </c>
      <c r="AU61" s="137" t="n">
        <f aca="false">IF(A62="","",AO61*AT61)</f>
        <v>30</v>
      </c>
      <c r="AW61" s="195" t="e">
        <f aca="false">IF($A62="","",AL61*$E61)</f>
        <v>#NAME?</v>
      </c>
      <c r="AX61" s="195" t="e">
        <f aca="false">IF($A62="","",AM61*$E61)</f>
        <v>#N/A</v>
      </c>
      <c r="AY61" s="195" t="e">
        <f aca="false">IF($A62="","",AN61*$E61)</f>
        <v>#N/A</v>
      </c>
      <c r="BA61" s="195" t="n">
        <f aca="false">IF($A62="","",F61*Summary!$Q$14)</f>
        <v>0</v>
      </c>
      <c r="BC61" s="179" t="e">
        <f aca="false">IF(A62="","",AM61*F61)</f>
        <v>#N/A</v>
      </c>
    </row>
    <row r="62" customFormat="false" ht="12.75" hidden="false" customHeight="false" outlineLevel="0" collapsed="false">
      <c r="A62" s="196" t="n">
        <f aca="false">IF(A61&lt;mthend,EDATE(A61,1),"")</f>
        <v>38626</v>
      </c>
      <c r="B62" s="197" t="n">
        <f aca="false">IF(A62&lt;mthend,B61,"")</f>
        <v>28400</v>
      </c>
      <c r="C62" s="215"/>
      <c r="D62" s="197" t="n">
        <f aca="false">IF(A63&lt;&gt;"",B62+C62,"")</f>
        <v>28400</v>
      </c>
      <c r="E62" s="199" t="n">
        <f aca="false">IF(A63="","",IF(AND(AT62=1,$H$3=1),D62*AO62,IF($H$3=2,D62,"N/A")))</f>
        <v>880400</v>
      </c>
      <c r="F62" s="199" t="n">
        <f aca="false">IF(A63="","",E62*AS62)</f>
        <v>6189732.28121563</v>
      </c>
      <c r="G62" s="200" t="e">
        <f aca="false">IF($A63="","",VLOOKUP($A62,Table,MATCH(G$4,Curves,0)))</f>
        <v>#N/A</v>
      </c>
      <c r="H62" s="201" t="e">
        <f aca="false">IF(A63="","",G62)</f>
        <v>#N/A</v>
      </c>
      <c r="I62" s="202"/>
      <c r="J62" s="200" t="e">
        <f aca="false">IF($A63="","",VLOOKUP($A62,Table,MATCH(J$4,Curves,0)))</f>
        <v>#N/A</v>
      </c>
      <c r="K62" s="201" t="e">
        <f aca="false">IF(A63="","",J62)</f>
        <v>#N/A</v>
      </c>
      <c r="L62" s="185" t="n">
        <v>0</v>
      </c>
      <c r="M62" s="201" t="n">
        <f aca="false">IF(A63="","",L62)</f>
        <v>0</v>
      </c>
      <c r="N62" s="203"/>
      <c r="O62" s="200" t="e">
        <f aca="false">IF(A63="","",L62+J62+G62)</f>
        <v>#N/A</v>
      </c>
      <c r="P62" s="200" t="e">
        <f aca="false">IF(A63="","",M62+K62+H62)</f>
        <v>#N/A</v>
      </c>
      <c r="Q62" s="204"/>
      <c r="R62" s="200" t="e">
        <f aca="false">IF($A63="","",VLOOKUP($A62,Table,MATCH(R$4,Curves,0)))</f>
        <v>#N/A</v>
      </c>
      <c r="S62" s="201" t="e">
        <f aca="false">IF(A63="","",R62)</f>
        <v>#N/A</v>
      </c>
      <c r="T62" s="200" t="e">
        <f aca="false">IF($A63="","",VLOOKUP($A62,Table,MATCH(T$4,Curves,0)))</f>
        <v>#N/A</v>
      </c>
      <c r="U62" s="201" t="e">
        <f aca="false">IF(A63="","",T62)</f>
        <v>#N/A</v>
      </c>
      <c r="V62" s="183" t="e">
        <f aca="false">IF($A63="","",IF(AND(MONTH(A62)&gt;3,MONTH(A62)&lt;11),(T62+R62+G62)*(((1/(1-Summary!$T$14))/(1-Summary!$W$14))-1),(T62+R62+G62)*((1/(1-Summary!$U$14))/(1-Summary!$X$14)-1)))</f>
        <v>#N/A</v>
      </c>
      <c r="W62" s="202" t="e">
        <f aca="false">IF($A63="","",(T62+R62+G62+V62))</f>
        <v>#N/A</v>
      </c>
      <c r="X62" s="202" t="e">
        <f aca="false">IF($A63="","",(U62+S62+H62+V62))</f>
        <v>#N/A</v>
      </c>
      <c r="Y62" s="202"/>
      <c r="Z62" s="185" t="e">
        <f aca="false">IF($A63="","",VLOOKUP($A62,Table,MATCH(Z$4,Curves,0)))</f>
        <v>#N/A</v>
      </c>
      <c r="AA62" s="185" t="e">
        <f aca="false">IF($A63="","",VLOOKUP($A62,Table,MATCH(AA$4,Curves,0)))</f>
        <v>#N/A</v>
      </c>
      <c r="AB62" s="185" t="e">
        <f aca="false">SQRT((AA62^2*(A62-$D$3)+Z62^2*(DAY(EOMONTH(A62,0))/2))/AK62)</f>
        <v>#N/A</v>
      </c>
      <c r="AC62" s="185" t="e">
        <f aca="false">IF($A63="","",VLOOKUP($A62,Table,MATCH(AC$4,Curves,0)))</f>
        <v>#N/A</v>
      </c>
      <c r="AD62" s="185" t="e">
        <f aca="false">IF($A63="","",VLOOKUP($A62,Table,MATCH(AD$4,Curves,0)))</f>
        <v>#N/A</v>
      </c>
      <c r="AE62" s="185" t="e">
        <f aca="false">SQRT((AD62^2*(A62-$D$3)+AC62^2*(DAY(EOMONTH(A62,0))/2))/AK62)</f>
        <v>#N/A</v>
      </c>
      <c r="AF62" s="224" t="e">
        <f aca="false">((Summary!$N$14*(AA62*AD62)*(A62-$D$3))+(Summary!$M$14*Z62*AC62*(AJ62-EOMONTH(EDATE(A62,-1),0))))/(AK62*AB62*AE62)</f>
        <v>#N/A</v>
      </c>
      <c r="AG62" s="207" t="n">
        <f aca="false">IF($A63="","",Summary!$Q$14)</f>
        <v>0</v>
      </c>
      <c r="AH62" s="207" t="n">
        <f aca="false">IF($A63="","",IF(Summary!$R$12="Y",(VLOOKUP($A62,Summary!$AD$6:$AF$9,3)+'Escalating commodity'!J75),'Escalating commodity'!J75))</f>
        <v>0.00526031121286396</v>
      </c>
      <c r="AI62" s="207" t="n">
        <f aca="false">IF($A63="","",AH62)</f>
        <v>0.00526031121286396</v>
      </c>
      <c r="AJ62" s="208" t="n">
        <f aca="false">A62+DAY(EOMONTH(A62,0))/2-1</f>
        <v>38640.5</v>
      </c>
      <c r="AK62" s="209" t="n">
        <f aca="false">IF($A63="","",$A62-$E$1)</f>
        <v>-7300</v>
      </c>
      <c r="AL62" s="182" t="e">
        <f aca="false">IF($A63="","",SPRDOPT(P62,X62,AI62,0,AB62,AE62,AF62,AK62,$AJ$2,0))</f>
        <v>#NAME?</v>
      </c>
      <c r="AM62" s="211" t="e">
        <f aca="false">IF($A63="","",MAX(0,O62-W62-AI62))</f>
        <v>#N/A</v>
      </c>
      <c r="AN62" s="211" t="e">
        <f aca="false">IF($A63="","",AL62-AM62)</f>
        <v>#N/A</v>
      </c>
      <c r="AO62" s="137" t="n">
        <f aca="false">IF(A63="","",A63-A62)</f>
        <v>31</v>
      </c>
      <c r="AP62" s="212" t="n">
        <f aca="false">IF(A63="","",CHOOSE(F$3,A63+24,A62))</f>
        <v>38626</v>
      </c>
      <c r="AQ62" s="209" t="n">
        <f aca="false">IF(A63="","",AP62-$E$1)</f>
        <v>-7300</v>
      </c>
      <c r="AR62" s="185" t="n">
        <f aca="false">'ANR OK vs ML7'!AR62</f>
        <v>0.1</v>
      </c>
      <c r="AS62" s="213" t="n">
        <f aca="false">IF(A63="","",1/(1+CHOOSE(F$3,(AR63+($I$3/10000))/2,(AR62+($I$3/10000))/2))^(2*AQ62/365.25))</f>
        <v>7.03059096003592</v>
      </c>
      <c r="AT62" s="137" t="n">
        <f aca="false">IF(A63="","",IF(AND(mthbeg&lt;=A62,mthend&gt;=A62),1,0))</f>
        <v>1</v>
      </c>
      <c r="AU62" s="137" t="n">
        <f aca="false">IF(A63="","",AO62*AT62)</f>
        <v>31</v>
      </c>
      <c r="AW62" s="195" t="e">
        <f aca="false">IF($A63="","",AL62*$E62)</f>
        <v>#NAME?</v>
      </c>
      <c r="AX62" s="195" t="e">
        <f aca="false">IF($A63="","",AM62*$E62)</f>
        <v>#N/A</v>
      </c>
      <c r="AY62" s="195" t="e">
        <f aca="false">IF($A63="","",AN62*$E62)</f>
        <v>#N/A</v>
      </c>
      <c r="BA62" s="195" t="n">
        <f aca="false">IF($A63="","",F62*Summary!$Q$14)</f>
        <v>0</v>
      </c>
      <c r="BC62" s="179" t="e">
        <f aca="false">IF(A63="","",AM62*F62)</f>
        <v>#N/A</v>
      </c>
    </row>
    <row r="63" customFormat="false" ht="12.75" hidden="false" customHeight="false" outlineLevel="0" collapsed="false">
      <c r="A63" s="196" t="n">
        <f aca="false">IF(A62&lt;mthend,EDATE(A62,1),"")</f>
        <v>38657</v>
      </c>
      <c r="B63" s="197" t="n">
        <f aca="false">IF(A63&lt;mthend,B62,"")</f>
        <v>28400</v>
      </c>
      <c r="C63" s="215"/>
      <c r="D63" s="197" t="n">
        <f aca="false">IF(A64&lt;&gt;"",B63+C63,"")</f>
        <v>28400</v>
      </c>
      <c r="E63" s="199" t="n">
        <f aca="false">IF(A64="","",IF(AND(AT63=1,$H$3=1),D63*AO63,IF($H$3=2,D63,"N/A")))</f>
        <v>852000</v>
      </c>
      <c r="F63" s="199" t="n">
        <f aca="false">IF(A64="","",E63*AS63)</f>
        <v>5940658.82776613</v>
      </c>
      <c r="G63" s="200" t="e">
        <f aca="false">IF($A64="","",VLOOKUP($A63,Table,MATCH(G$4,Curves,0)))</f>
        <v>#N/A</v>
      </c>
      <c r="H63" s="201" t="e">
        <f aca="false">IF(A64="","",G63)</f>
        <v>#N/A</v>
      </c>
      <c r="I63" s="202"/>
      <c r="J63" s="200" t="e">
        <f aca="false">IF($A64="","",VLOOKUP($A63,Table,MATCH(J$4,Curves,0)))</f>
        <v>#N/A</v>
      </c>
      <c r="K63" s="201" t="e">
        <f aca="false">IF(A64="","",J63)</f>
        <v>#N/A</v>
      </c>
      <c r="L63" s="185" t="n">
        <v>0</v>
      </c>
      <c r="M63" s="201" t="n">
        <f aca="false">IF(A64="","",L63)</f>
        <v>0</v>
      </c>
      <c r="N63" s="203"/>
      <c r="O63" s="200" t="e">
        <f aca="false">IF(A64="","",L63+J63+G63)</f>
        <v>#N/A</v>
      </c>
      <c r="P63" s="200" t="e">
        <f aca="false">IF(A64="","",M63+K63+H63)</f>
        <v>#N/A</v>
      </c>
      <c r="Q63" s="204"/>
      <c r="R63" s="200" t="e">
        <f aca="false">IF($A64="","",VLOOKUP($A63,Table,MATCH(R$4,Curves,0)))</f>
        <v>#N/A</v>
      </c>
      <c r="S63" s="201" t="e">
        <f aca="false">IF(A64="","",R63)</f>
        <v>#N/A</v>
      </c>
      <c r="T63" s="200" t="e">
        <f aca="false">IF($A64="","",VLOOKUP($A63,Table,MATCH(T$4,Curves,0)))</f>
        <v>#N/A</v>
      </c>
      <c r="U63" s="201" t="e">
        <f aca="false">IF(A64="","",T63)</f>
        <v>#N/A</v>
      </c>
      <c r="V63" s="183" t="e">
        <f aca="false">IF($A64="","",IF(AND(MONTH(A63)&gt;3,MONTH(A63)&lt;11),(T63+R63+G63)*(((1/(1-Summary!$T$14))/(1-Summary!$W$14))-1),(T63+R63+G63)*((1/(1-Summary!$U$14))/(1-Summary!$X$14)-1)))</f>
        <v>#N/A</v>
      </c>
      <c r="W63" s="202" t="e">
        <f aca="false">IF($A64="","",(T63+R63+G63+V63))</f>
        <v>#N/A</v>
      </c>
      <c r="X63" s="202" t="e">
        <f aca="false">IF($A64="","",(U63+S63+H63+V63))</f>
        <v>#N/A</v>
      </c>
      <c r="Y63" s="202"/>
      <c r="Z63" s="185" t="e">
        <f aca="false">IF($A64="","",VLOOKUP($A63,Table,MATCH(Z$4,Curves,0)))</f>
        <v>#N/A</v>
      </c>
      <c r="AA63" s="185" t="e">
        <f aca="false">IF($A64="","",VLOOKUP($A63,Table,MATCH(AA$4,Curves,0)))</f>
        <v>#N/A</v>
      </c>
      <c r="AB63" s="185" t="e">
        <f aca="false">SQRT((AA63^2*(A63-$D$3)+Z63^2*(DAY(EOMONTH(A63,0))/2))/AK63)</f>
        <v>#N/A</v>
      </c>
      <c r="AC63" s="185" t="e">
        <f aca="false">IF($A64="","",VLOOKUP($A63,Table,MATCH(AC$4,Curves,0)))</f>
        <v>#N/A</v>
      </c>
      <c r="AD63" s="185" t="e">
        <f aca="false">IF($A64="","",VLOOKUP($A63,Table,MATCH(AD$4,Curves,0)))</f>
        <v>#N/A</v>
      </c>
      <c r="AE63" s="185" t="e">
        <f aca="false">SQRT((AD63^2*(A63-$D$3)+AC63^2*(DAY(EOMONTH(A63,0))/2))/AK63)</f>
        <v>#N/A</v>
      </c>
      <c r="AF63" s="224" t="e">
        <f aca="false">((Summary!$N$14*(AA63*AD63)*(A63-$D$3))+(Summary!$M$14*Z63*AC63*(AJ63-EOMONTH(EDATE(A63,-1),0))))/(AK63*AB63*AE63)</f>
        <v>#N/A</v>
      </c>
      <c r="AG63" s="207" t="n">
        <f aca="false">IF($A64="","",Summary!$Q$14)</f>
        <v>0</v>
      </c>
      <c r="AH63" s="207" t="n">
        <f aca="false">IF($A64="","",IF(Summary!$R$12="Y",(VLOOKUP($A63,Summary!$AD$6:$AF$9,3)+'Escalating commodity'!J76),'Escalating commodity'!J76))</f>
        <v>0.00526031121286396</v>
      </c>
      <c r="AI63" s="207" t="n">
        <f aca="false">IF($A64="","",AH63)</f>
        <v>0.00526031121286396</v>
      </c>
      <c r="AJ63" s="208" t="n">
        <f aca="false">A63+DAY(EOMONTH(A63,0))/2-1</f>
        <v>38671</v>
      </c>
      <c r="AK63" s="209" t="n">
        <f aca="false">IF($A64="","",$A63-$E$1)</f>
        <v>-7269</v>
      </c>
      <c r="AL63" s="182" t="e">
        <f aca="false">IF($A64="","",SPRDOPT(P63,X63,AI63,0,AB63,AE63,AF63,AK63,$AJ$2,0))</f>
        <v>#NAME?</v>
      </c>
      <c r="AM63" s="211" t="e">
        <f aca="false">IF($A64="","",MAX(0,O63-W63-AI63))</f>
        <v>#N/A</v>
      </c>
      <c r="AN63" s="211" t="e">
        <f aca="false">IF($A64="","",AL63-AM63)</f>
        <v>#N/A</v>
      </c>
      <c r="AO63" s="137" t="n">
        <f aca="false">IF(A64="","",A64-A63)</f>
        <v>30</v>
      </c>
      <c r="AP63" s="212" t="n">
        <f aca="false">IF(A64="","",CHOOSE(F$3,A64+24,A63))</f>
        <v>38657</v>
      </c>
      <c r="AQ63" s="209" t="n">
        <f aca="false">IF(A64="","",AP63-$E$1)</f>
        <v>-7269</v>
      </c>
      <c r="AR63" s="185" t="n">
        <f aca="false">'ANR OK vs ML7'!AR63</f>
        <v>0.1</v>
      </c>
      <c r="AS63" s="213" t="n">
        <f aca="false">IF(A64="","",1/(1+CHOOSE(F$3,(AR64+($I$3/10000))/2,(AR63+($I$3/10000))/2))^(2*AQ63/365.25))</f>
        <v>6.97260425794147</v>
      </c>
      <c r="AT63" s="137" t="n">
        <f aca="false">IF(A64="","",IF(AND(mthbeg&lt;=A63,mthend&gt;=A63),1,0))</f>
        <v>1</v>
      </c>
      <c r="AU63" s="137" t="n">
        <f aca="false">IF(A64="","",AO63*AT63)</f>
        <v>30</v>
      </c>
      <c r="AW63" s="195" t="e">
        <f aca="false">IF($A64="","",AL63*$E63)</f>
        <v>#NAME?</v>
      </c>
      <c r="AX63" s="195" t="e">
        <f aca="false">IF($A64="","",AM63*$E63)</f>
        <v>#N/A</v>
      </c>
      <c r="AY63" s="195" t="e">
        <f aca="false">IF($A64="","",AN63*$E63)</f>
        <v>#N/A</v>
      </c>
      <c r="BA63" s="195" t="n">
        <f aca="false">IF($A64="","",F63*Summary!$Q$14)</f>
        <v>0</v>
      </c>
      <c r="BC63" s="179" t="e">
        <f aca="false">IF(A64="","",AM63*F63)</f>
        <v>#N/A</v>
      </c>
    </row>
    <row r="64" customFormat="false" ht="12.75" hidden="false" customHeight="false" outlineLevel="0" collapsed="false">
      <c r="A64" s="196" t="n">
        <f aca="false">IF(A63&lt;mthend,EDATE(A63,1),"")</f>
        <v>38687</v>
      </c>
      <c r="B64" s="197" t="n">
        <f aca="false">IF(A64&lt;mthend,B63,"")</f>
        <v>28400</v>
      </c>
      <c r="C64" s="215"/>
      <c r="D64" s="197" t="n">
        <f aca="false">IF(A65&lt;&gt;"",B64+C64,"")</f>
        <v>28400</v>
      </c>
      <c r="E64" s="199" t="n">
        <f aca="false">IF(A65="","",IF(AND(AT64=1,$H$3=1),D64*AO64,IF($H$3=2,D64,"N/A")))</f>
        <v>880400</v>
      </c>
      <c r="F64" s="199" t="n">
        <f aca="false">IF(A65="","",E64*AS64)</f>
        <v>6089677.06029664</v>
      </c>
      <c r="G64" s="200" t="e">
        <f aca="false">IF($A65="","",VLOOKUP($A64,Table,MATCH(G$4,Curves,0)))</f>
        <v>#N/A</v>
      </c>
      <c r="H64" s="201" t="e">
        <f aca="false">IF(A65="","",G64)</f>
        <v>#N/A</v>
      </c>
      <c r="I64" s="202"/>
      <c r="J64" s="200" t="e">
        <f aca="false">IF($A65="","",VLOOKUP($A64,Table,MATCH(J$4,Curves,0)))</f>
        <v>#N/A</v>
      </c>
      <c r="K64" s="201" t="e">
        <f aca="false">IF(A65="","",J64)</f>
        <v>#N/A</v>
      </c>
      <c r="L64" s="185" t="n">
        <v>0</v>
      </c>
      <c r="M64" s="201" t="n">
        <f aca="false">IF(A65="","",L64)</f>
        <v>0</v>
      </c>
      <c r="N64" s="203"/>
      <c r="O64" s="200" t="e">
        <f aca="false">IF(A65="","",L64+J64+G64)</f>
        <v>#N/A</v>
      </c>
      <c r="P64" s="200" t="e">
        <f aca="false">IF(A65="","",M64+K64+H64)</f>
        <v>#N/A</v>
      </c>
      <c r="Q64" s="204"/>
      <c r="R64" s="200" t="e">
        <f aca="false">IF($A65="","",VLOOKUP($A64,Table,MATCH(R$4,Curves,0)))</f>
        <v>#N/A</v>
      </c>
      <c r="S64" s="201" t="e">
        <f aca="false">IF(A65="","",R64)</f>
        <v>#N/A</v>
      </c>
      <c r="T64" s="200" t="e">
        <f aca="false">IF($A65="","",VLOOKUP($A64,Table,MATCH(T$4,Curves,0)))</f>
        <v>#N/A</v>
      </c>
      <c r="U64" s="201" t="e">
        <f aca="false">IF(A65="","",T64)</f>
        <v>#N/A</v>
      </c>
      <c r="V64" s="183" t="e">
        <f aca="false">IF($A65="","",IF(AND(MONTH(A64)&gt;3,MONTH(A64)&lt;11),(T64+R64+G64)*(((1/(1-Summary!$T$14))/(1-Summary!$W$14))-1),(T64+R64+G64)*((1/(1-Summary!$U$14))/(1-Summary!$X$14)-1)))</f>
        <v>#N/A</v>
      </c>
      <c r="W64" s="202" t="e">
        <f aca="false">IF($A65="","",(T64+R64+G64+V64))</f>
        <v>#N/A</v>
      </c>
      <c r="X64" s="202" t="e">
        <f aca="false">IF($A65="","",(U64+S64+H64+V64))</f>
        <v>#N/A</v>
      </c>
      <c r="Y64" s="202"/>
      <c r="Z64" s="185" t="e">
        <f aca="false">IF($A65="","",VLOOKUP($A64,Table,MATCH(Z$4,Curves,0)))</f>
        <v>#N/A</v>
      </c>
      <c r="AA64" s="185" t="e">
        <f aca="false">IF($A65="","",VLOOKUP($A64,Table,MATCH(AA$4,Curves,0)))</f>
        <v>#N/A</v>
      </c>
      <c r="AB64" s="185" t="e">
        <f aca="false">SQRT((AA64^2*(A64-$D$3)+Z64^2*(DAY(EOMONTH(A64,0))/2))/AK64)</f>
        <v>#N/A</v>
      </c>
      <c r="AC64" s="185" t="e">
        <f aca="false">IF($A65="","",VLOOKUP($A64,Table,MATCH(AC$4,Curves,0)))</f>
        <v>#N/A</v>
      </c>
      <c r="AD64" s="185" t="e">
        <f aca="false">IF($A65="","",VLOOKUP($A64,Table,MATCH(AD$4,Curves,0)))</f>
        <v>#N/A</v>
      </c>
      <c r="AE64" s="185" t="e">
        <f aca="false">SQRT((AD64^2*(A64-$D$3)+AC64^2*(DAY(EOMONTH(A64,0))/2))/AK64)</f>
        <v>#N/A</v>
      </c>
      <c r="AF64" s="224" t="e">
        <f aca="false">((Summary!$N$14*(AA64*AD64)*(A64-$D$3))+(Summary!$M$14*Z64*AC64*(AJ64-EOMONTH(EDATE(A64,-1),0))))/(AK64*AB64*AE64)</f>
        <v>#N/A</v>
      </c>
      <c r="AG64" s="207" t="n">
        <f aca="false">IF($A65="","",Summary!$Q$14)</f>
        <v>0</v>
      </c>
      <c r="AH64" s="207" t="n">
        <f aca="false">IF($A65="","",IF(Summary!$R$12="Y",(VLOOKUP($A64,Summary!$AD$6:$AF$9,3)+'Escalating commodity'!J77),'Escalating commodity'!J77))</f>
        <v>0.00526031121286396</v>
      </c>
      <c r="AI64" s="207" t="n">
        <f aca="false">IF($A65="","",AH64)</f>
        <v>0.00526031121286396</v>
      </c>
      <c r="AJ64" s="208" t="n">
        <f aca="false">A64+DAY(EOMONTH(A64,0))/2-1</f>
        <v>38701.5</v>
      </c>
      <c r="AK64" s="209" t="n">
        <f aca="false">IF($A65="","",$A64-$E$1)</f>
        <v>-7239</v>
      </c>
      <c r="AL64" s="182" t="e">
        <f aca="false">IF($A65="","",SPRDOPT(P64,X64,AI64,0,AB64,AE64,AF64,AK64,$AJ$2,0))</f>
        <v>#NAME?</v>
      </c>
      <c r="AM64" s="211" t="e">
        <f aca="false">IF($A65="","",MAX(0,O64-W64-AI64))</f>
        <v>#N/A</v>
      </c>
      <c r="AN64" s="211" t="e">
        <f aca="false">IF($A65="","",AL64-AM64)</f>
        <v>#N/A</v>
      </c>
      <c r="AO64" s="137" t="n">
        <f aca="false">IF(A65="","",A65-A64)</f>
        <v>31</v>
      </c>
      <c r="AP64" s="212" t="n">
        <f aca="false">IF(A65="","",CHOOSE(F$3,A65+24,A64))</f>
        <v>38687</v>
      </c>
      <c r="AQ64" s="209" t="n">
        <f aca="false">IF(A65="","",AP64-$E$1)</f>
        <v>-7239</v>
      </c>
      <c r="AR64" s="185" t="n">
        <f aca="false">'ANR OK vs ML7'!AR64</f>
        <v>0.1</v>
      </c>
      <c r="AS64" s="213" t="n">
        <f aca="false">IF(A65="","",1/(1+CHOOSE(F$3,(AR65+($I$3/10000))/2,(AR64+($I$3/10000))/2))^(2*AQ64/365.25))</f>
        <v>6.91694350329014</v>
      </c>
      <c r="AT64" s="137" t="n">
        <f aca="false">IF(A65="","",IF(AND(mthbeg&lt;=A64,mthend&gt;=A64),1,0))</f>
        <v>1</v>
      </c>
      <c r="AU64" s="137" t="n">
        <f aca="false">IF(A65="","",AO64*AT64)</f>
        <v>31</v>
      </c>
      <c r="AW64" s="195" t="e">
        <f aca="false">IF($A65="","",AL64*$E64)</f>
        <v>#NAME?</v>
      </c>
      <c r="AX64" s="195" t="e">
        <f aca="false">IF($A65="","",AM64*$E64)</f>
        <v>#N/A</v>
      </c>
      <c r="AY64" s="195" t="e">
        <f aca="false">IF($A65="","",AN64*$E64)</f>
        <v>#N/A</v>
      </c>
      <c r="BA64" s="195" t="n">
        <f aca="false">IF($A65="","",F64*Summary!$Q$14)</f>
        <v>0</v>
      </c>
      <c r="BC64" s="179" t="e">
        <f aca="false">IF(A65="","",AM64*F64)</f>
        <v>#N/A</v>
      </c>
    </row>
    <row r="65" customFormat="false" ht="12.75" hidden="false" customHeight="false" outlineLevel="0" collapsed="false">
      <c r="A65" s="196" t="n">
        <f aca="false">IF(A64&lt;mthend,EDATE(A64,1),"")</f>
        <v>38718</v>
      </c>
      <c r="B65" s="197" t="n">
        <f aca="false">IF(A65&lt;mthend,B64,"")</f>
        <v>28400</v>
      </c>
      <c r="C65" s="215"/>
      <c r="D65" s="197" t="n">
        <f aca="false">IF(A66&lt;&gt;"",B65+C65,"")</f>
        <v>28400</v>
      </c>
      <c r="E65" s="199" t="n">
        <f aca="false">IF(A66="","",IF(AND(AT65=1,$H$3=1),D65*AO65,IF($H$3=2,D65,"N/A")))</f>
        <v>880400</v>
      </c>
      <c r="F65" s="199" t="n">
        <f aca="false">IF(A66="","",E65*AS65)</f>
        <v>6039450.80029175</v>
      </c>
      <c r="G65" s="200" t="e">
        <f aca="false">IF($A66="","",VLOOKUP($A65,Table,MATCH(G$4,Curves,0)))</f>
        <v>#N/A</v>
      </c>
      <c r="H65" s="201" t="e">
        <f aca="false">IF(A66="","",G65)</f>
        <v>#N/A</v>
      </c>
      <c r="I65" s="202"/>
      <c r="J65" s="200" t="e">
        <f aca="false">IF($A66="","",VLOOKUP($A65,Table,MATCH(J$4,Curves,0)))</f>
        <v>#N/A</v>
      </c>
      <c r="K65" s="201" t="e">
        <f aca="false">IF(A66="","",J65)</f>
        <v>#N/A</v>
      </c>
      <c r="L65" s="185" t="n">
        <v>0</v>
      </c>
      <c r="M65" s="201" t="n">
        <f aca="false">IF(A66="","",L65)</f>
        <v>0</v>
      </c>
      <c r="N65" s="203"/>
      <c r="O65" s="200" t="e">
        <f aca="false">IF(A66="","",L65+J65+G65)</f>
        <v>#N/A</v>
      </c>
      <c r="P65" s="200" t="e">
        <f aca="false">IF(A66="","",M65+K65+H65)</f>
        <v>#N/A</v>
      </c>
      <c r="Q65" s="204"/>
      <c r="R65" s="200" t="e">
        <f aca="false">IF($A66="","",VLOOKUP($A65,Table,MATCH(R$4,Curves,0)))</f>
        <v>#N/A</v>
      </c>
      <c r="S65" s="201" t="e">
        <f aca="false">IF(A66="","",R65)</f>
        <v>#N/A</v>
      </c>
      <c r="T65" s="200" t="e">
        <f aca="false">IF($A66="","",VLOOKUP($A65,Table,MATCH(T$4,Curves,0)))</f>
        <v>#N/A</v>
      </c>
      <c r="U65" s="201" t="e">
        <f aca="false">IF(A66="","",T65)</f>
        <v>#N/A</v>
      </c>
      <c r="V65" s="183" t="e">
        <f aca="false">IF($A66="","",IF(AND(MONTH(A65)&gt;3,MONTH(A65)&lt;11),(T65+R65+G65)*(((1/(1-Summary!$T$14))/(1-Summary!$W$14))-1),(T65+R65+G65)*((1/(1-Summary!$U$14))/(1-Summary!$X$14)-1)))</f>
        <v>#N/A</v>
      </c>
      <c r="W65" s="202" t="e">
        <f aca="false">IF($A66="","",(T65+R65+G65+V65))</f>
        <v>#N/A</v>
      </c>
      <c r="X65" s="202" t="e">
        <f aca="false">IF($A66="","",(U65+S65+H65+V65))</f>
        <v>#N/A</v>
      </c>
      <c r="Y65" s="202"/>
      <c r="Z65" s="185" t="e">
        <f aca="false">IF($A66="","",VLOOKUP($A65,Table,MATCH(Z$4,Curves,0)))</f>
        <v>#N/A</v>
      </c>
      <c r="AA65" s="185" t="e">
        <f aca="false">IF($A66="","",VLOOKUP($A65,Table,MATCH(AA$4,Curves,0)))</f>
        <v>#N/A</v>
      </c>
      <c r="AB65" s="185" t="e">
        <f aca="false">SQRT((AA65^2*(A65-$D$3)+Z65^2*(DAY(EOMONTH(A65,0))/2))/AK65)</f>
        <v>#N/A</v>
      </c>
      <c r="AC65" s="185" t="e">
        <f aca="false">IF($A66="","",VLOOKUP($A65,Table,MATCH(AC$4,Curves,0)))</f>
        <v>#N/A</v>
      </c>
      <c r="AD65" s="185" t="e">
        <f aca="false">IF($A66="","",VLOOKUP($A65,Table,MATCH(AD$4,Curves,0)))</f>
        <v>#N/A</v>
      </c>
      <c r="AE65" s="185" t="e">
        <f aca="false">SQRT((AD65^2*(A65-$D$3)+AC65^2*(DAY(EOMONTH(A65,0))/2))/AK65)</f>
        <v>#N/A</v>
      </c>
      <c r="AF65" s="224" t="e">
        <f aca="false">((Summary!$N$14*(AA65*AD65)*(A65-$D$3))+(Summary!$M$14*Z65*AC65*(AJ65-EOMONTH(EDATE(A65,-1),0))))/(AK65*AB65*AE65)</f>
        <v>#N/A</v>
      </c>
      <c r="AG65" s="207" t="n">
        <f aca="false">IF($A66="","",Summary!$Q$14)</f>
        <v>0</v>
      </c>
      <c r="AH65" s="207" t="n">
        <f aca="false">IF($A66="","",IF(Summary!$R$12="Y",(VLOOKUP($A65,Summary!$AD$6:$AF$9,3)+'Escalating commodity'!J78),'Escalating commodity'!J78))</f>
        <v>0.00536551743712124</v>
      </c>
      <c r="AI65" s="207" t="n">
        <f aca="false">IF($A66="","",AH65)</f>
        <v>0.00536551743712124</v>
      </c>
      <c r="AJ65" s="208" t="n">
        <f aca="false">A65+DAY(EOMONTH(A65,0))/2-1</f>
        <v>38732.5</v>
      </c>
      <c r="AK65" s="209" t="n">
        <f aca="false">IF($A66="","",$A65-$E$1)</f>
        <v>-7208</v>
      </c>
      <c r="AL65" s="182" t="e">
        <f aca="false">IF($A66="","",SPRDOPT(P65,X65,AI65,0,AB65,AE65,AF65,AK65,$AJ$2,0))</f>
        <v>#NAME?</v>
      </c>
      <c r="AM65" s="211" t="e">
        <f aca="false">IF($A66="","",MAX(0,O65-W65-AI65))</f>
        <v>#N/A</v>
      </c>
      <c r="AN65" s="211" t="e">
        <f aca="false">IF($A66="","",AL65-AM65)</f>
        <v>#N/A</v>
      </c>
      <c r="AO65" s="137" t="n">
        <f aca="false">IF(A66="","",A66-A65)</f>
        <v>31</v>
      </c>
      <c r="AP65" s="212" t="n">
        <f aca="false">IF(A66="","",CHOOSE(F$3,A66+24,A65))</f>
        <v>38718</v>
      </c>
      <c r="AQ65" s="209" t="n">
        <f aca="false">IF(A66="","",AP65-$E$1)</f>
        <v>-7208</v>
      </c>
      <c r="AR65" s="185" t="n">
        <f aca="false">'ANR OK vs ML7'!AR65</f>
        <v>0.1</v>
      </c>
      <c r="AS65" s="213" t="n">
        <f aca="false">IF(A66="","",1/(1+CHOOSE(F$3,(AR66+($I$3/10000))/2,(AR65+($I$3/10000))/2))^(2*AQ65/365.25))</f>
        <v>6.85989413935909</v>
      </c>
      <c r="AT65" s="137" t="n">
        <f aca="false">IF(A66="","",IF(AND(mthbeg&lt;=A65,mthend&gt;=A65),1,0))</f>
        <v>1</v>
      </c>
      <c r="AU65" s="137" t="n">
        <f aca="false">IF(A66="","",AO65*AT65)</f>
        <v>31</v>
      </c>
      <c r="AW65" s="195" t="e">
        <f aca="false">IF($A66="","",AL65*$E65)</f>
        <v>#NAME?</v>
      </c>
      <c r="AX65" s="195" t="e">
        <f aca="false">IF($A66="","",AM65*$E65)</f>
        <v>#N/A</v>
      </c>
      <c r="AY65" s="195" t="e">
        <f aca="false">IF($A66="","",AN65*$E65)</f>
        <v>#N/A</v>
      </c>
      <c r="BA65" s="195" t="n">
        <f aca="false">IF($A66="","",F65*Summary!$Q$14)</f>
        <v>0</v>
      </c>
      <c r="BC65" s="179" t="e">
        <f aca="false">IF(A66="","",AM65*F65)</f>
        <v>#N/A</v>
      </c>
    </row>
    <row r="66" customFormat="false" ht="12.75" hidden="false" customHeight="false" outlineLevel="0" collapsed="false">
      <c r="A66" s="196" t="n">
        <f aca="false">IF(A65&lt;mthend,EDATE(A65,1),"")</f>
        <v>38749</v>
      </c>
      <c r="B66" s="197" t="n">
        <f aca="false">IF(A66&lt;mthend,B65,"")</f>
        <v>28400</v>
      </c>
      <c r="C66" s="215"/>
      <c r="D66" s="197" t="n">
        <f aca="false">IF(A67&lt;&gt;"",B66+C66,"")</f>
        <v>28400</v>
      </c>
      <c r="E66" s="199" t="n">
        <f aca="false">IF(A67="","",IF(AND(AT66=1,$H$3=1),D66*AO66,IF($H$3=2,D66,"N/A")))</f>
        <v>795200</v>
      </c>
      <c r="F66" s="199" t="n">
        <f aca="false">IF(A67="","",E66*AS66)</f>
        <v>5409996.33093367</v>
      </c>
      <c r="G66" s="200" t="e">
        <f aca="false">IF($A67="","",VLOOKUP($A66,Table,MATCH(G$4,Curves,0)))</f>
        <v>#N/A</v>
      </c>
      <c r="H66" s="201" t="e">
        <f aca="false">IF(A67="","",G66)</f>
        <v>#N/A</v>
      </c>
      <c r="I66" s="202"/>
      <c r="J66" s="200" t="e">
        <f aca="false">IF($A67="","",VLOOKUP($A66,Table,MATCH(J$4,Curves,0)))</f>
        <v>#N/A</v>
      </c>
      <c r="K66" s="201" t="e">
        <f aca="false">IF(A67="","",J66)</f>
        <v>#N/A</v>
      </c>
      <c r="L66" s="185" t="n">
        <v>0</v>
      </c>
      <c r="M66" s="201" t="n">
        <f aca="false">IF(A67="","",L66)</f>
        <v>0</v>
      </c>
      <c r="N66" s="203"/>
      <c r="O66" s="200" t="e">
        <f aca="false">IF(A67="","",L66+J66+G66)</f>
        <v>#N/A</v>
      </c>
      <c r="P66" s="200" t="e">
        <f aca="false">IF(A67="","",M66+K66+H66)</f>
        <v>#N/A</v>
      </c>
      <c r="Q66" s="204"/>
      <c r="R66" s="200" t="e">
        <f aca="false">IF($A67="","",VLOOKUP($A66,Table,MATCH(R$4,Curves,0)))</f>
        <v>#N/A</v>
      </c>
      <c r="S66" s="201" t="e">
        <f aca="false">IF(A67="","",R66)</f>
        <v>#N/A</v>
      </c>
      <c r="T66" s="200" t="e">
        <f aca="false">IF($A67="","",VLOOKUP($A66,Table,MATCH(T$4,Curves,0)))</f>
        <v>#N/A</v>
      </c>
      <c r="U66" s="201" t="e">
        <f aca="false">IF(A67="","",T66)</f>
        <v>#N/A</v>
      </c>
      <c r="V66" s="183" t="e">
        <f aca="false">IF($A67="","",IF(AND(MONTH(A66)&gt;3,MONTH(A66)&lt;11),(T66+R66+G66)*(((1/(1-Summary!$T$14))/(1-Summary!$W$14))-1),(T66+R66+G66)*((1/(1-Summary!$U$14))/(1-Summary!$X$14)-1)))</f>
        <v>#N/A</v>
      </c>
      <c r="W66" s="202" t="e">
        <f aca="false">IF($A67="","",(T66+R66+G66+V66))</f>
        <v>#N/A</v>
      </c>
      <c r="X66" s="202" t="e">
        <f aca="false">IF($A67="","",(U66+S66+H66+V66))</f>
        <v>#N/A</v>
      </c>
      <c r="Y66" s="202"/>
      <c r="Z66" s="185" t="e">
        <f aca="false">IF($A67="","",VLOOKUP($A66,Table,MATCH(Z$4,Curves,0)))</f>
        <v>#N/A</v>
      </c>
      <c r="AA66" s="185" t="e">
        <f aca="false">IF($A67="","",VLOOKUP($A66,Table,MATCH(AA$4,Curves,0)))</f>
        <v>#N/A</v>
      </c>
      <c r="AB66" s="185" t="e">
        <f aca="false">SQRT((AA66^2*(A66-$D$3)+Z66^2*(DAY(EOMONTH(A66,0))/2))/AK66)</f>
        <v>#N/A</v>
      </c>
      <c r="AC66" s="185" t="e">
        <f aca="false">IF($A67="","",VLOOKUP($A66,Table,MATCH(AC$4,Curves,0)))</f>
        <v>#N/A</v>
      </c>
      <c r="AD66" s="185" t="e">
        <f aca="false">IF($A67="","",VLOOKUP($A66,Table,MATCH(AD$4,Curves,0)))</f>
        <v>#N/A</v>
      </c>
      <c r="AE66" s="185" t="e">
        <f aca="false">SQRT((AD66^2*(A66-$D$3)+AC66^2*(DAY(EOMONTH(A66,0))/2))/AK66)</f>
        <v>#N/A</v>
      </c>
      <c r="AF66" s="224" t="e">
        <f aca="false">((Summary!$N$14*(AA66*AD66)*(A66-$D$3))+(Summary!$M$14*Z66*AC66*(AJ66-EOMONTH(EDATE(A66,-1),0))))/(AK66*AB66*AE66)</f>
        <v>#N/A</v>
      </c>
      <c r="AG66" s="207" t="n">
        <f aca="false">IF($A67="","",Summary!$Q$14)</f>
        <v>0</v>
      </c>
      <c r="AH66" s="207" t="n">
        <f aca="false">IF($A67="","",IF(Summary!$R$12="Y",(VLOOKUP($A66,Summary!$AD$6:$AF$9,3)+'Escalating commodity'!J79),'Escalating commodity'!J79))</f>
        <v>0.00536551743712124</v>
      </c>
      <c r="AI66" s="207" t="n">
        <f aca="false">IF($A67="","",AH66)</f>
        <v>0.00536551743712124</v>
      </c>
      <c r="AJ66" s="208" t="n">
        <f aca="false">A66+DAY(EOMONTH(A66,0))/2-1</f>
        <v>38762</v>
      </c>
      <c r="AK66" s="209" t="n">
        <f aca="false">IF($A67="","",$A66-$E$1)</f>
        <v>-7177</v>
      </c>
      <c r="AL66" s="182" t="e">
        <f aca="false">IF($A67="","",SPRDOPT(P66,X66,AI66,0,AB66,AE66,AF66,AK66,$AJ$2,0))</f>
        <v>#NAME?</v>
      </c>
      <c r="AM66" s="211" t="e">
        <f aca="false">IF($A67="","",MAX(0,O66-W66-AI66))</f>
        <v>#N/A</v>
      </c>
      <c r="AN66" s="211" t="e">
        <f aca="false">IF($A67="","",AL66-AM66)</f>
        <v>#N/A</v>
      </c>
      <c r="AO66" s="137" t="n">
        <f aca="false">IF(A67="","",A67-A66)</f>
        <v>28</v>
      </c>
      <c r="AP66" s="212" t="n">
        <f aca="false">IF(A67="","",CHOOSE(F$3,A67+24,A66))</f>
        <v>38749</v>
      </c>
      <c r="AQ66" s="209" t="n">
        <f aca="false">IF(A67="","",AP66-$E$1)</f>
        <v>-7177</v>
      </c>
      <c r="AR66" s="185" t="n">
        <f aca="false">'ANR OK vs ML7'!AR66</f>
        <v>0.1</v>
      </c>
      <c r="AS66" s="213" t="n">
        <f aca="false">IF(A67="","",1/(1+CHOOSE(F$3,(AR67+($I$3/10000))/2,(AR66+($I$3/10000))/2))^(2*AQ66/365.25))</f>
        <v>6.80331530550009</v>
      </c>
      <c r="AT66" s="137" t="n">
        <f aca="false">IF(A67="","",IF(AND(mthbeg&lt;=A66,mthend&gt;=A66),1,0))</f>
        <v>1</v>
      </c>
      <c r="AU66" s="137" t="n">
        <f aca="false">IF(A67="","",AO66*AT66)</f>
        <v>28</v>
      </c>
      <c r="AW66" s="195" t="e">
        <f aca="false">IF($A67="","",AL66*$E66)</f>
        <v>#NAME?</v>
      </c>
      <c r="AX66" s="195" t="e">
        <f aca="false">IF($A67="","",AM66*$E66)</f>
        <v>#N/A</v>
      </c>
      <c r="AY66" s="195" t="e">
        <f aca="false">IF($A67="","",AN66*$E66)</f>
        <v>#N/A</v>
      </c>
      <c r="BA66" s="195" t="n">
        <f aca="false">IF($A67="","",F66*Summary!$Q$14)</f>
        <v>0</v>
      </c>
      <c r="BC66" s="179" t="e">
        <f aca="false">IF(A67="","",AM66*F66)</f>
        <v>#N/A</v>
      </c>
    </row>
    <row r="67" customFormat="false" ht="12.75" hidden="false" customHeight="false" outlineLevel="0" collapsed="false">
      <c r="A67" s="196" t="n">
        <f aca="false">IF(A66&lt;mthend,EDATE(A66,1),"")</f>
        <v>38777</v>
      </c>
      <c r="B67" s="197" t="n">
        <f aca="false">IF(A67&lt;mthend,B66,"")</f>
        <v>28400</v>
      </c>
      <c r="C67" s="215"/>
      <c r="D67" s="197" t="n">
        <f aca="false">IF(A68&lt;&gt;"",B67+C67,"")</f>
        <v>28400</v>
      </c>
      <c r="E67" s="199" t="n">
        <f aca="false">IF(A68="","",IF(AND(AT67=1,$H$3=1),D67*AO67,IF($H$3=2,D67,"N/A")))</f>
        <v>880400</v>
      </c>
      <c r="F67" s="199" t="n">
        <f aca="false">IF(A68="","",E67*AS67)</f>
        <v>5945000.52446509</v>
      </c>
      <c r="G67" s="200" t="e">
        <f aca="false">IF($A68="","",VLOOKUP($A67,Table,MATCH(G$4,Curves,0)))</f>
        <v>#N/A</v>
      </c>
      <c r="H67" s="201" t="e">
        <f aca="false">IF(A68="","",G67)</f>
        <v>#N/A</v>
      </c>
      <c r="I67" s="202"/>
      <c r="J67" s="200" t="e">
        <f aca="false">IF($A68="","",VLOOKUP($A67,Table,MATCH(J$4,Curves,0)))</f>
        <v>#N/A</v>
      </c>
      <c r="K67" s="201" t="e">
        <f aca="false">IF(A68="","",J67)</f>
        <v>#N/A</v>
      </c>
      <c r="L67" s="185" t="n">
        <v>0</v>
      </c>
      <c r="M67" s="201" t="n">
        <f aca="false">IF(A68="","",L67)</f>
        <v>0</v>
      </c>
      <c r="N67" s="203"/>
      <c r="O67" s="200" t="e">
        <f aca="false">IF(A68="","",L67+J67+G67)</f>
        <v>#N/A</v>
      </c>
      <c r="P67" s="200" t="e">
        <f aca="false">IF(A68="","",M67+K67+H67)</f>
        <v>#N/A</v>
      </c>
      <c r="Q67" s="204"/>
      <c r="R67" s="200" t="e">
        <f aca="false">IF($A68="","",VLOOKUP($A67,Table,MATCH(R$4,Curves,0)))</f>
        <v>#N/A</v>
      </c>
      <c r="S67" s="201" t="e">
        <f aca="false">IF(A68="","",R67)</f>
        <v>#N/A</v>
      </c>
      <c r="T67" s="200" t="e">
        <f aca="false">IF($A68="","",VLOOKUP($A67,Table,MATCH(T$4,Curves,0)))</f>
        <v>#N/A</v>
      </c>
      <c r="U67" s="201" t="e">
        <f aca="false">IF(A68="","",T67)</f>
        <v>#N/A</v>
      </c>
      <c r="V67" s="183" t="e">
        <f aca="false">IF($A68="","",IF(AND(MONTH(A67)&gt;3,MONTH(A67)&lt;11),(T67+R67+G67)*(((1/(1-Summary!$T$14))/(1-Summary!$W$14))-1),(T67+R67+G67)*((1/(1-Summary!$U$14))/(1-Summary!$X$14)-1)))</f>
        <v>#N/A</v>
      </c>
      <c r="W67" s="202" t="e">
        <f aca="false">IF($A68="","",(T67+R67+G67+V67))</f>
        <v>#N/A</v>
      </c>
      <c r="X67" s="202" t="e">
        <f aca="false">IF($A68="","",(U67+S67+H67+V67))</f>
        <v>#N/A</v>
      </c>
      <c r="Y67" s="202"/>
      <c r="Z67" s="185" t="e">
        <f aca="false">IF($A68="","",VLOOKUP($A67,Table,MATCH(Z$4,Curves,0)))</f>
        <v>#N/A</v>
      </c>
      <c r="AA67" s="185" t="e">
        <f aca="false">IF($A68="","",VLOOKUP($A67,Table,MATCH(AA$4,Curves,0)))</f>
        <v>#N/A</v>
      </c>
      <c r="AB67" s="185" t="e">
        <f aca="false">SQRT((AA67^2*(A67-$D$3)+Z67^2*(DAY(EOMONTH(A67,0))/2))/AK67)</f>
        <v>#N/A</v>
      </c>
      <c r="AC67" s="185" t="e">
        <f aca="false">IF($A68="","",VLOOKUP($A67,Table,MATCH(AC$4,Curves,0)))</f>
        <v>#N/A</v>
      </c>
      <c r="AD67" s="185" t="e">
        <f aca="false">IF($A68="","",VLOOKUP($A67,Table,MATCH(AD$4,Curves,0)))</f>
        <v>#N/A</v>
      </c>
      <c r="AE67" s="185" t="e">
        <f aca="false">SQRT((AD67^2*(A67-$D$3)+AC67^2*(DAY(EOMONTH(A67,0))/2))/AK67)</f>
        <v>#N/A</v>
      </c>
      <c r="AF67" s="224" t="e">
        <f aca="false">((Summary!$N$14*(AA67*AD67)*(A67-$D$3))+(Summary!$M$14*Z67*AC67*(AJ67-EOMONTH(EDATE(A67,-1),0))))/(AK67*AB67*AE67)</f>
        <v>#N/A</v>
      </c>
      <c r="AG67" s="207" t="n">
        <f aca="false">IF($A68="","",Summary!$Q$14)</f>
        <v>0</v>
      </c>
      <c r="AH67" s="207" t="n">
        <f aca="false">IF($A68="","",IF(Summary!$R$12="Y",(VLOOKUP($A67,Summary!$AD$6:$AF$9,3)+'Escalating commodity'!J80),'Escalating commodity'!J80))</f>
        <v>0.00536551743712124</v>
      </c>
      <c r="AI67" s="207" t="n">
        <f aca="false">IF($A68="","",AH67)</f>
        <v>0.00536551743712124</v>
      </c>
      <c r="AJ67" s="208" t="n">
        <f aca="false">A67+DAY(EOMONTH(A67,0))/2-1</f>
        <v>38791.5</v>
      </c>
      <c r="AK67" s="209" t="n">
        <f aca="false">IF($A68="","",$A67-$E$1)</f>
        <v>-7149</v>
      </c>
      <c r="AL67" s="182" t="e">
        <f aca="false">IF($A68="","",SPRDOPT(P67,X67,AI67,0,AB67,AE67,AF67,AK67,$AJ$2,0))</f>
        <v>#NAME?</v>
      </c>
      <c r="AM67" s="211" t="e">
        <f aca="false">IF($A68="","",MAX(0,O67-W67-AI67))</f>
        <v>#N/A</v>
      </c>
      <c r="AN67" s="211" t="e">
        <f aca="false">IF($A68="","",AL67-AM67)</f>
        <v>#N/A</v>
      </c>
      <c r="AO67" s="137" t="n">
        <f aca="false">IF(A68="","",A68-A67)</f>
        <v>31</v>
      </c>
      <c r="AP67" s="212" t="n">
        <f aca="false">IF(A68="","",CHOOSE(F$3,A68+24,A67))</f>
        <v>38777</v>
      </c>
      <c r="AQ67" s="209" t="n">
        <f aca="false">IF(A68="","",AP67-$E$1)</f>
        <v>-7149</v>
      </c>
      <c r="AR67" s="185" t="n">
        <f aca="false">'ANR OK vs ML7'!AR67</f>
        <v>0.1</v>
      </c>
      <c r="AS67" s="213" t="n">
        <f aca="false">IF(A68="","",1/(1+CHOOSE(F$3,(AR68+($I$3/10000))/2,(AR67+($I$3/10000))/2))^(2*AQ67/365.25))</f>
        <v>6.75261304459915</v>
      </c>
      <c r="AT67" s="137" t="n">
        <f aca="false">IF(A68="","",IF(AND(mthbeg&lt;=A67,mthend&gt;=A67),1,0))</f>
        <v>1</v>
      </c>
      <c r="AU67" s="137" t="n">
        <f aca="false">IF(A68="","",AO67*AT67)</f>
        <v>31</v>
      </c>
      <c r="AW67" s="195" t="e">
        <f aca="false">IF($A68="","",AL67*$E67)</f>
        <v>#NAME?</v>
      </c>
      <c r="AX67" s="195" t="e">
        <f aca="false">IF($A68="","",AM67*$E67)</f>
        <v>#N/A</v>
      </c>
      <c r="AY67" s="195" t="e">
        <f aca="false">IF($A68="","",AN67*$E67)</f>
        <v>#N/A</v>
      </c>
      <c r="BA67" s="195" t="n">
        <f aca="false">IF($A68="","",F67*Summary!$Q$14)</f>
        <v>0</v>
      </c>
      <c r="BC67" s="179" t="e">
        <f aca="false">IF(A68="","",AM67*F67)</f>
        <v>#N/A</v>
      </c>
    </row>
    <row r="68" customFormat="false" ht="12.75" hidden="false" customHeight="false" outlineLevel="0" collapsed="false">
      <c r="A68" s="196" t="n">
        <f aca="false">IF(A67&lt;mthend,EDATE(A67,1),"")</f>
        <v>38808</v>
      </c>
      <c r="B68" s="197" t="n">
        <f aca="false">IF(A68&lt;mthend,B67,"")</f>
        <v>28400</v>
      </c>
      <c r="C68" s="215"/>
      <c r="D68" s="197" t="n">
        <f aca="false">IF(A69&lt;&gt;"",B68+C68,"")</f>
        <v>28400</v>
      </c>
      <c r="E68" s="199" t="n">
        <f aca="false">IF(A69="","",IF(AND(AT68=1,$H$3=1),D68*AO68,IF($H$3=2,D68,"N/A")))</f>
        <v>852000</v>
      </c>
      <c r="F68" s="199" t="n">
        <f aca="false">IF(A69="","",E68*AS68)</f>
        <v>5705775.02259948</v>
      </c>
      <c r="G68" s="200" t="e">
        <f aca="false">IF($A69="","",VLOOKUP($A68,Table,MATCH(G$4,Curves,0)))</f>
        <v>#N/A</v>
      </c>
      <c r="H68" s="201" t="e">
        <f aca="false">IF(A69="","",G68)</f>
        <v>#N/A</v>
      </c>
      <c r="I68" s="202"/>
      <c r="J68" s="200" t="e">
        <f aca="false">IF($A69="","",VLOOKUP($A68,Table,MATCH(J$4,Curves,0)))</f>
        <v>#N/A</v>
      </c>
      <c r="K68" s="201" t="e">
        <f aca="false">IF(A69="","",J68)</f>
        <v>#N/A</v>
      </c>
      <c r="L68" s="185" t="n">
        <v>0</v>
      </c>
      <c r="M68" s="201" t="n">
        <f aca="false">IF(A69="","",L68)</f>
        <v>0</v>
      </c>
      <c r="N68" s="203"/>
      <c r="O68" s="200" t="e">
        <f aca="false">IF(A69="","",L68+J68+G68)</f>
        <v>#N/A</v>
      </c>
      <c r="P68" s="200" t="e">
        <f aca="false">IF(A69="","",M68+K68+H68)</f>
        <v>#N/A</v>
      </c>
      <c r="Q68" s="204"/>
      <c r="R68" s="200" t="e">
        <f aca="false">IF($A69="","",VLOOKUP($A68,Table,MATCH(R$4,Curves,0)))</f>
        <v>#N/A</v>
      </c>
      <c r="S68" s="201" t="e">
        <f aca="false">IF(A69="","",R68)</f>
        <v>#N/A</v>
      </c>
      <c r="T68" s="200" t="e">
        <f aca="false">IF($A69="","",VLOOKUP($A68,Table,MATCH(T$4,Curves,0)))</f>
        <v>#N/A</v>
      </c>
      <c r="U68" s="201" t="e">
        <f aca="false">IF(A69="","",T68)</f>
        <v>#N/A</v>
      </c>
      <c r="V68" s="183" t="e">
        <f aca="false">IF($A69="","",IF(AND(MONTH(A68)&gt;3,MONTH(A68)&lt;11),(T68+R68+G68)*(((1/(1-Summary!$T$14))/(1-Summary!$W$14))-1),(T68+R68+G68)*((1/(1-Summary!$U$14))/(1-Summary!$X$14)-1)))</f>
        <v>#N/A</v>
      </c>
      <c r="W68" s="202" t="e">
        <f aca="false">IF($A69="","",(T68+R68+G68+V68))</f>
        <v>#N/A</v>
      </c>
      <c r="X68" s="202" t="e">
        <f aca="false">IF($A69="","",(U68+S68+H68+V68))</f>
        <v>#N/A</v>
      </c>
      <c r="Y68" s="202"/>
      <c r="Z68" s="185" t="e">
        <f aca="false">IF($A69="","",VLOOKUP($A68,Table,MATCH(Z$4,Curves,0)))</f>
        <v>#N/A</v>
      </c>
      <c r="AA68" s="185" t="e">
        <f aca="false">IF($A69="","",VLOOKUP($A68,Table,MATCH(AA$4,Curves,0)))</f>
        <v>#N/A</v>
      </c>
      <c r="AB68" s="185" t="e">
        <f aca="false">SQRT((AA68^2*(A68-$D$3)+Z68^2*(DAY(EOMONTH(A68,0))/2))/AK68)</f>
        <v>#N/A</v>
      </c>
      <c r="AC68" s="185" t="e">
        <f aca="false">IF($A69="","",VLOOKUP($A68,Table,MATCH(AC$4,Curves,0)))</f>
        <v>#N/A</v>
      </c>
      <c r="AD68" s="185" t="e">
        <f aca="false">IF($A69="","",VLOOKUP($A68,Table,MATCH(AD$4,Curves,0)))</f>
        <v>#N/A</v>
      </c>
      <c r="AE68" s="185" t="e">
        <f aca="false">SQRT((AD68^2*(A68-$D$3)+AC68^2*(DAY(EOMONTH(A68,0))/2))/AK68)</f>
        <v>#N/A</v>
      </c>
      <c r="AF68" s="224" t="e">
        <f aca="false">((Summary!$N$14*(AA68*AD68)*(A68-$D$3))+(Summary!$M$14*Z68*AC68*(AJ68-EOMONTH(EDATE(A68,-1),0))))/(AK68*AB68*AE68)</f>
        <v>#N/A</v>
      </c>
      <c r="AG68" s="207" t="n">
        <f aca="false">IF($A69="","",Summary!$Q$14)</f>
        <v>0</v>
      </c>
      <c r="AH68" s="207" t="n">
        <f aca="false">IF($A69="","",IF(Summary!$R$12="Y",(VLOOKUP($A68,Summary!$AD$6:$AF$9,3)+'Escalating commodity'!J81),'Escalating commodity'!J81))</f>
        <v>0.00536551743712124</v>
      </c>
      <c r="AI68" s="207" t="n">
        <f aca="false">IF($A69="","",AH68)</f>
        <v>0.00536551743712124</v>
      </c>
      <c r="AJ68" s="208" t="n">
        <f aca="false">A68+DAY(EOMONTH(A68,0))/2-1</f>
        <v>38822</v>
      </c>
      <c r="AK68" s="209" t="n">
        <f aca="false">IF($A69="","",$A68-$E$1)</f>
        <v>-7118</v>
      </c>
      <c r="AL68" s="182" t="e">
        <f aca="false">IF($A69="","",SPRDOPT(P68,X68,AI68,0,AB68,AE68,AF68,AK68,$AJ$2,0))</f>
        <v>#NAME?</v>
      </c>
      <c r="AM68" s="211" t="e">
        <f aca="false">IF($A69="","",MAX(0,O68-W68-AI68))</f>
        <v>#N/A</v>
      </c>
      <c r="AN68" s="211" t="e">
        <f aca="false">IF($A69="","",AL68-AM68)</f>
        <v>#N/A</v>
      </c>
      <c r="AO68" s="137" t="n">
        <f aca="false">IF(A69="","",A69-A68)</f>
        <v>30</v>
      </c>
      <c r="AP68" s="212" t="n">
        <f aca="false">IF(A69="","",CHOOSE(F$3,A69+24,A68))</f>
        <v>38808</v>
      </c>
      <c r="AQ68" s="209" t="n">
        <f aca="false">IF(A69="","",AP68-$E$1)</f>
        <v>-7118</v>
      </c>
      <c r="AR68" s="185" t="n">
        <f aca="false">'ANR OK vs ML7'!AR68</f>
        <v>0.1</v>
      </c>
      <c r="AS68" s="213" t="n">
        <f aca="false">IF(A69="","",1/(1+CHOOSE(F$3,(AR69+($I$3/10000))/2,(AR68+($I$3/10000))/2))^(2*AQ68/365.25))</f>
        <v>6.69691904060972</v>
      </c>
      <c r="AT68" s="137" t="n">
        <f aca="false">IF(A69="","",IF(AND(mthbeg&lt;=A68,mthend&gt;=A68),1,0))</f>
        <v>1</v>
      </c>
      <c r="AU68" s="137" t="n">
        <f aca="false">IF(A69="","",AO68*AT68)</f>
        <v>30</v>
      </c>
      <c r="AW68" s="195" t="e">
        <f aca="false">IF($A69="","",AL68*$E68)</f>
        <v>#NAME?</v>
      </c>
      <c r="AX68" s="195" t="e">
        <f aca="false">IF($A69="","",AM68*$E68)</f>
        <v>#N/A</v>
      </c>
      <c r="AY68" s="195" t="e">
        <f aca="false">IF($A69="","",AN68*$E68)</f>
        <v>#N/A</v>
      </c>
      <c r="BA68" s="195" t="n">
        <f aca="false">IF($A69="","",F68*Summary!$Q$14)</f>
        <v>0</v>
      </c>
      <c r="BC68" s="179" t="e">
        <f aca="false">IF(A69="","",AM68*F68)</f>
        <v>#N/A</v>
      </c>
    </row>
    <row r="69" customFormat="false" ht="12.75" hidden="false" customHeight="false" outlineLevel="0" collapsed="false">
      <c r="A69" s="196" t="n">
        <f aca="false">IF(A68&lt;mthend,EDATE(A68,1),"")</f>
        <v>38838</v>
      </c>
      <c r="B69" s="197" t="n">
        <f aca="false">IF(A69&lt;mthend,B68,"")</f>
        <v>28400</v>
      </c>
      <c r="C69" s="215"/>
      <c r="D69" s="197" t="n">
        <f aca="false">IF(A70&lt;&gt;"",B69+C69,"")</f>
        <v>28400</v>
      </c>
      <c r="E69" s="199" t="n">
        <f aca="false">IF(A70="","",IF(AND(AT69=1,$H$3=1),D69*AO69,IF($H$3=2,D69,"N/A")))</f>
        <v>880400</v>
      </c>
      <c r="F69" s="199" t="n">
        <f aca="false">IF(A70="","",E69*AS69)</f>
        <v>5848901.32116934</v>
      </c>
      <c r="G69" s="200" t="e">
        <f aca="false">IF($A70="","",VLOOKUP($A69,Table,MATCH(G$4,Curves,0)))</f>
        <v>#N/A</v>
      </c>
      <c r="H69" s="201" t="e">
        <f aca="false">IF(A70="","",G69)</f>
        <v>#N/A</v>
      </c>
      <c r="I69" s="202"/>
      <c r="J69" s="200" t="e">
        <f aca="false">IF($A70="","",VLOOKUP($A69,Table,MATCH(J$4,Curves,0)))</f>
        <v>#N/A</v>
      </c>
      <c r="K69" s="201" t="e">
        <f aca="false">IF(A70="","",J69)</f>
        <v>#N/A</v>
      </c>
      <c r="L69" s="185" t="n">
        <v>0</v>
      </c>
      <c r="M69" s="201" t="n">
        <f aca="false">IF(A70="","",L69)</f>
        <v>0</v>
      </c>
      <c r="N69" s="203"/>
      <c r="O69" s="200" t="e">
        <f aca="false">IF(A70="","",L69+J69+G69)</f>
        <v>#N/A</v>
      </c>
      <c r="P69" s="200" t="e">
        <f aca="false">IF(A70="","",M69+K69+H69)</f>
        <v>#N/A</v>
      </c>
      <c r="Q69" s="204"/>
      <c r="R69" s="200" t="e">
        <f aca="false">IF($A70="","",VLOOKUP($A69,Table,MATCH(R$4,Curves,0)))</f>
        <v>#N/A</v>
      </c>
      <c r="S69" s="201" t="e">
        <f aca="false">IF(A70="","",R69)</f>
        <v>#N/A</v>
      </c>
      <c r="T69" s="200" t="e">
        <f aca="false">IF($A70="","",VLOOKUP($A69,Table,MATCH(T$4,Curves,0)))</f>
        <v>#N/A</v>
      </c>
      <c r="U69" s="201" t="e">
        <f aca="false">IF(A70="","",T69)</f>
        <v>#N/A</v>
      </c>
      <c r="V69" s="183" t="e">
        <f aca="false">IF($A70="","",IF(AND(MONTH(A69)&gt;3,MONTH(A69)&lt;11),(T69+R69+G69)*(((1/(1-Summary!$T$14))/(1-Summary!$W$14))-1),(T69+R69+G69)*((1/(1-Summary!$U$14))/(1-Summary!$X$14)-1)))</f>
        <v>#N/A</v>
      </c>
      <c r="W69" s="202" t="e">
        <f aca="false">IF($A70="","",(T69+R69+G69+V69))</f>
        <v>#N/A</v>
      </c>
      <c r="X69" s="202" t="e">
        <f aca="false">IF($A70="","",(U69+S69+H69+V69))</f>
        <v>#N/A</v>
      </c>
      <c r="Y69" s="202"/>
      <c r="Z69" s="185" t="e">
        <f aca="false">IF($A70="","",VLOOKUP($A69,Table,MATCH(Z$4,Curves,0)))</f>
        <v>#N/A</v>
      </c>
      <c r="AA69" s="185" t="e">
        <f aca="false">IF($A70="","",VLOOKUP($A69,Table,MATCH(AA$4,Curves,0)))</f>
        <v>#N/A</v>
      </c>
      <c r="AB69" s="185" t="e">
        <f aca="false">SQRT((AA69^2*(A69-$D$3)+Z69^2*(DAY(EOMONTH(A69,0))/2))/AK69)</f>
        <v>#N/A</v>
      </c>
      <c r="AC69" s="185" t="e">
        <f aca="false">IF($A70="","",VLOOKUP($A69,Table,MATCH(AC$4,Curves,0)))</f>
        <v>#N/A</v>
      </c>
      <c r="AD69" s="185" t="e">
        <f aca="false">IF($A70="","",VLOOKUP($A69,Table,MATCH(AD$4,Curves,0)))</f>
        <v>#N/A</v>
      </c>
      <c r="AE69" s="185" t="e">
        <f aca="false">SQRT((AD69^2*(A69-$D$3)+AC69^2*(DAY(EOMONTH(A69,0))/2))/AK69)</f>
        <v>#N/A</v>
      </c>
      <c r="AF69" s="224" t="e">
        <f aca="false">((Summary!$N$14*(AA69*AD69)*(A69-$D$3))+(Summary!$M$14*Z69*AC69*(AJ69-EOMONTH(EDATE(A69,-1),0))))/(AK69*AB69*AE69)</f>
        <v>#N/A</v>
      </c>
      <c r="AG69" s="207" t="n">
        <f aca="false">IF($A70="","",Summary!$Q$14)</f>
        <v>0</v>
      </c>
      <c r="AH69" s="207" t="n">
        <f aca="false">IF($A70="","",IF(Summary!$R$12="Y",(VLOOKUP($A69,Summary!$AD$6:$AF$9,3)+'Escalating commodity'!J82),'Escalating commodity'!J82))</f>
        <v>0.00536551743712124</v>
      </c>
      <c r="AI69" s="207" t="n">
        <f aca="false">IF($A70="","",AH69)</f>
        <v>0.00536551743712124</v>
      </c>
      <c r="AJ69" s="208" t="n">
        <f aca="false">A69+DAY(EOMONTH(A69,0))/2-1</f>
        <v>38852.5</v>
      </c>
      <c r="AK69" s="209" t="n">
        <f aca="false">IF($A70="","",$A69-$E$1)</f>
        <v>-7088</v>
      </c>
      <c r="AL69" s="182" t="e">
        <f aca="false">IF($A70="","",SPRDOPT(P69,X69,AI69,0,AB69,AE69,AF69,AK69,$AJ$2,0))</f>
        <v>#NAME?</v>
      </c>
      <c r="AM69" s="211" t="e">
        <f aca="false">IF($A70="","",MAX(0,O69-W69-AI69))</f>
        <v>#N/A</v>
      </c>
      <c r="AN69" s="211" t="e">
        <f aca="false">IF($A70="","",AL69-AM69)</f>
        <v>#N/A</v>
      </c>
      <c r="AO69" s="137" t="n">
        <f aca="false">IF(A70="","",A70-A69)</f>
        <v>31</v>
      </c>
      <c r="AP69" s="212" t="n">
        <f aca="false">IF(A70="","",CHOOSE(F$3,A70+24,A69))</f>
        <v>38838</v>
      </c>
      <c r="AQ69" s="209" t="n">
        <f aca="false">IF(A70="","",AP69-$E$1)</f>
        <v>-7088</v>
      </c>
      <c r="AR69" s="185" t="n">
        <f aca="false">'ANR OK vs ML7'!AR69</f>
        <v>0.1</v>
      </c>
      <c r="AS69" s="213" t="n">
        <f aca="false">IF(A70="","",1/(1+CHOOSE(F$3,(AR70+($I$3/10000))/2,(AR69+($I$3/10000))/2))^(2*AQ69/365.25))</f>
        <v>6.64345901995609</v>
      </c>
      <c r="AT69" s="137" t="n">
        <f aca="false">IF(A70="","",IF(AND(mthbeg&lt;=A69,mthend&gt;=A69),1,0))</f>
        <v>1</v>
      </c>
      <c r="AU69" s="137" t="n">
        <f aca="false">IF(A70="","",AO69*AT69)</f>
        <v>31</v>
      </c>
      <c r="AW69" s="195" t="e">
        <f aca="false">IF($A70="","",AL69*$E69)</f>
        <v>#NAME?</v>
      </c>
      <c r="AX69" s="195" t="e">
        <f aca="false">IF($A70="","",AM69*$E69)</f>
        <v>#N/A</v>
      </c>
      <c r="AY69" s="195" t="e">
        <f aca="false">IF($A70="","",AN69*$E69)</f>
        <v>#N/A</v>
      </c>
      <c r="BA69" s="195" t="n">
        <f aca="false">IF($A70="","",F69*Summary!$Q$14)</f>
        <v>0</v>
      </c>
      <c r="BC69" s="179" t="e">
        <f aca="false">IF(A70="","",AM69*F69)</f>
        <v>#N/A</v>
      </c>
    </row>
    <row r="70" customFormat="false" ht="12.75" hidden="false" customHeight="false" outlineLevel="0" collapsed="false">
      <c r="A70" s="196" t="n">
        <f aca="false">IF(A69&lt;mthend,EDATE(A69,1),"")</f>
        <v>38869</v>
      </c>
      <c r="B70" s="197" t="n">
        <f aca="false">IF(A70&lt;mthend,B69,"")</f>
        <v>28400</v>
      </c>
      <c r="C70" s="215"/>
      <c r="D70" s="197" t="n">
        <f aca="false">IF(A71&lt;&gt;"",B70+C70,"")</f>
        <v>28400</v>
      </c>
      <c r="E70" s="199" t="n">
        <f aca="false">IF(A71="","",IF(AND(AT70=1,$H$3=1),D70*AO70,IF($H$3=2,D70,"N/A")))</f>
        <v>852000</v>
      </c>
      <c r="F70" s="199" t="n">
        <f aca="false">IF(A71="","",E70*AS70)</f>
        <v>5613542.82991924</v>
      </c>
      <c r="G70" s="200" t="e">
        <f aca="false">IF($A71="","",VLOOKUP($A70,Table,MATCH(G$4,Curves,0)))</f>
        <v>#N/A</v>
      </c>
      <c r="H70" s="201" t="e">
        <f aca="false">IF(A71="","",G70)</f>
        <v>#N/A</v>
      </c>
      <c r="I70" s="202"/>
      <c r="J70" s="200" t="e">
        <f aca="false">IF($A71="","",VLOOKUP($A70,Table,MATCH(J$4,Curves,0)))</f>
        <v>#N/A</v>
      </c>
      <c r="K70" s="201" t="e">
        <f aca="false">IF(A71="","",J70)</f>
        <v>#N/A</v>
      </c>
      <c r="L70" s="185" t="n">
        <v>0</v>
      </c>
      <c r="M70" s="201" t="n">
        <f aca="false">IF(A71="","",L70)</f>
        <v>0</v>
      </c>
      <c r="N70" s="203"/>
      <c r="O70" s="200" t="e">
        <f aca="false">IF(A71="","",L70+J70+G70)</f>
        <v>#N/A</v>
      </c>
      <c r="P70" s="200" t="e">
        <f aca="false">IF(A71="","",M70+K70+H70)</f>
        <v>#N/A</v>
      </c>
      <c r="Q70" s="204"/>
      <c r="R70" s="200" t="e">
        <f aca="false">IF($A71="","",VLOOKUP($A70,Table,MATCH(R$4,Curves,0)))</f>
        <v>#N/A</v>
      </c>
      <c r="S70" s="201" t="e">
        <f aca="false">IF(A71="","",R70)</f>
        <v>#N/A</v>
      </c>
      <c r="T70" s="200" t="e">
        <f aca="false">IF($A71="","",VLOOKUP($A70,Table,MATCH(T$4,Curves,0)))</f>
        <v>#N/A</v>
      </c>
      <c r="U70" s="201" t="e">
        <f aca="false">IF(A71="","",T70)</f>
        <v>#N/A</v>
      </c>
      <c r="V70" s="183" t="e">
        <f aca="false">IF($A71="","",IF(AND(MONTH(A70)&gt;3,MONTH(A70)&lt;11),(T70+R70+G70)*(((1/(1-Summary!$T$14))/(1-Summary!$W$14))-1),(T70+R70+G70)*((1/(1-Summary!$U$14))/(1-Summary!$X$14)-1)))</f>
        <v>#N/A</v>
      </c>
      <c r="W70" s="202" t="e">
        <f aca="false">IF($A71="","",(T70+R70+G70+V70))</f>
        <v>#N/A</v>
      </c>
      <c r="X70" s="202" t="e">
        <f aca="false">IF($A71="","",(U70+S70+H70+V70))</f>
        <v>#N/A</v>
      </c>
      <c r="Y70" s="202"/>
      <c r="Z70" s="185" t="e">
        <f aca="false">IF($A71="","",VLOOKUP($A70,Table,MATCH(Z$4,Curves,0)))</f>
        <v>#N/A</v>
      </c>
      <c r="AA70" s="185" t="e">
        <f aca="false">IF($A71="","",VLOOKUP($A70,Table,MATCH(AA$4,Curves,0)))</f>
        <v>#N/A</v>
      </c>
      <c r="AB70" s="185" t="e">
        <f aca="false">SQRT((AA70^2*(A70-$D$3)+Z70^2*(DAY(EOMONTH(A70,0))/2))/AK70)</f>
        <v>#N/A</v>
      </c>
      <c r="AC70" s="185" t="e">
        <f aca="false">IF($A71="","",VLOOKUP($A70,Table,MATCH(AC$4,Curves,0)))</f>
        <v>#N/A</v>
      </c>
      <c r="AD70" s="185" t="e">
        <f aca="false">IF($A71="","",VLOOKUP($A70,Table,MATCH(AD$4,Curves,0)))</f>
        <v>#N/A</v>
      </c>
      <c r="AE70" s="185" t="e">
        <f aca="false">SQRT((AD70^2*(A70-$D$3)+AC70^2*(DAY(EOMONTH(A70,0))/2))/AK70)</f>
        <v>#N/A</v>
      </c>
      <c r="AF70" s="224" t="e">
        <f aca="false">((Summary!$N$14*(AA70*AD70)*(A70-$D$3))+(Summary!$M$14*Z70*AC70*(AJ70-EOMONTH(EDATE(A70,-1),0))))/(AK70*AB70*AE70)</f>
        <v>#N/A</v>
      </c>
      <c r="AG70" s="207" t="n">
        <f aca="false">IF($A71="","",Summary!$Q$14)</f>
        <v>0</v>
      </c>
      <c r="AH70" s="207" t="n">
        <f aca="false">IF($A71="","",IF(Summary!$R$12="Y",(VLOOKUP($A70,Summary!$AD$6:$AF$9,3)+'Escalating commodity'!J83),'Escalating commodity'!J83))</f>
        <v>0.00536551743712124</v>
      </c>
      <c r="AI70" s="207" t="n">
        <f aca="false">IF($A71="","",AH70)</f>
        <v>0.00536551743712124</v>
      </c>
      <c r="AJ70" s="208" t="n">
        <f aca="false">A70+DAY(EOMONTH(A70,0))/2-1</f>
        <v>38883</v>
      </c>
      <c r="AK70" s="209" t="n">
        <f aca="false">IF($A71="","",$A70-$E$1)</f>
        <v>-7057</v>
      </c>
      <c r="AL70" s="182" t="e">
        <f aca="false">IF($A71="","",SPRDOPT(P70,X70,AI70,0,AB70,AE70,AF70,AK70,$AJ$2,0))</f>
        <v>#NAME?</v>
      </c>
      <c r="AM70" s="211" t="e">
        <f aca="false">IF($A71="","",MAX(0,O70-W70-AI70))</f>
        <v>#N/A</v>
      </c>
      <c r="AN70" s="211" t="e">
        <f aca="false">IF($A71="","",AL70-AM70)</f>
        <v>#N/A</v>
      </c>
      <c r="AO70" s="137" t="n">
        <f aca="false">IF(A71="","",A71-A70)</f>
        <v>30</v>
      </c>
      <c r="AP70" s="212" t="n">
        <f aca="false">IF(A71="","",CHOOSE(F$3,A71+24,A70))</f>
        <v>38869</v>
      </c>
      <c r="AQ70" s="209" t="n">
        <f aca="false">IF(A71="","",AP70-$E$1)</f>
        <v>-7057</v>
      </c>
      <c r="AR70" s="185" t="n">
        <f aca="false">'ANR OK vs ML7'!AR70</f>
        <v>0.1</v>
      </c>
      <c r="AS70" s="213" t="n">
        <f aca="false">IF(A71="","",1/(1+CHOOSE(F$3,(AR71+($I$3/10000))/2,(AR70+($I$3/10000))/2))^(2*AQ70/365.25))</f>
        <v>6.58866529333244</v>
      </c>
      <c r="AT70" s="137" t="n">
        <f aca="false">IF(A71="","",IF(AND(mthbeg&lt;=A70,mthend&gt;=A70),1,0))</f>
        <v>1</v>
      </c>
      <c r="AU70" s="137" t="n">
        <f aca="false">IF(A71="","",AO70*AT70)</f>
        <v>30</v>
      </c>
      <c r="AW70" s="195" t="e">
        <f aca="false">IF($A71="","",AL70*$E70)</f>
        <v>#NAME?</v>
      </c>
      <c r="AX70" s="195" t="e">
        <f aca="false">IF($A71="","",AM70*$E70)</f>
        <v>#N/A</v>
      </c>
      <c r="AY70" s="195" t="e">
        <f aca="false">IF($A71="","",AN70*$E70)</f>
        <v>#N/A</v>
      </c>
      <c r="BA70" s="195" t="n">
        <f aca="false">IF($A71="","",F70*Summary!$Q$14)</f>
        <v>0</v>
      </c>
      <c r="BC70" s="179" t="e">
        <f aca="false">IF(A71="","",AM70*F70)</f>
        <v>#N/A</v>
      </c>
    </row>
    <row r="71" customFormat="false" ht="12.75" hidden="false" customHeight="false" outlineLevel="0" collapsed="false">
      <c r="A71" s="196" t="n">
        <f aca="false">IF(A70&lt;mthend,EDATE(A70,1),"")</f>
        <v>38899</v>
      </c>
      <c r="B71" s="197" t="n">
        <f aca="false">IF(A71&lt;mthend,B70,"")</f>
        <v>28400</v>
      </c>
      <c r="C71" s="215"/>
      <c r="D71" s="197" t="n">
        <f aca="false">IF(A72&lt;&gt;"",B71+C71,"")</f>
        <v>28400</v>
      </c>
      <c r="E71" s="199" t="n">
        <f aca="false">IF(A72="","",IF(AND(AT71=1,$H$3=1),D71*AO71,IF($H$3=2,D71,"N/A")))</f>
        <v>880400</v>
      </c>
      <c r="F71" s="199" t="n">
        <f aca="false">IF(A72="","",E71*AS71)</f>
        <v>5754355.53352697</v>
      </c>
      <c r="G71" s="200" t="e">
        <f aca="false">IF($A72="","",VLOOKUP($A71,Table,MATCH(G$4,Curves,0)))</f>
        <v>#N/A</v>
      </c>
      <c r="H71" s="201" t="e">
        <f aca="false">IF(A72="","",G71)</f>
        <v>#N/A</v>
      </c>
      <c r="I71" s="202"/>
      <c r="J71" s="200" t="e">
        <f aca="false">IF($A72="","",VLOOKUP($A71,Table,MATCH(J$4,Curves,0)))</f>
        <v>#N/A</v>
      </c>
      <c r="K71" s="201" t="e">
        <f aca="false">IF(A72="","",J71)</f>
        <v>#N/A</v>
      </c>
      <c r="L71" s="185" t="n">
        <v>0</v>
      </c>
      <c r="M71" s="201" t="n">
        <f aca="false">IF(A72="","",L71)</f>
        <v>0</v>
      </c>
      <c r="N71" s="203"/>
      <c r="O71" s="200" t="e">
        <f aca="false">IF(A72="","",L71+J71+G71)</f>
        <v>#N/A</v>
      </c>
      <c r="P71" s="200" t="e">
        <f aca="false">IF(A72="","",M71+K71+H71)</f>
        <v>#N/A</v>
      </c>
      <c r="Q71" s="204"/>
      <c r="R71" s="200" t="e">
        <f aca="false">IF($A72="","",VLOOKUP($A71,Table,MATCH(R$4,Curves,0)))</f>
        <v>#N/A</v>
      </c>
      <c r="S71" s="201" t="e">
        <f aca="false">IF(A72="","",R71)</f>
        <v>#N/A</v>
      </c>
      <c r="T71" s="200" t="e">
        <f aca="false">IF($A72="","",VLOOKUP($A71,Table,MATCH(T$4,Curves,0)))</f>
        <v>#N/A</v>
      </c>
      <c r="U71" s="201" t="e">
        <f aca="false">IF(A72="","",T71)</f>
        <v>#N/A</v>
      </c>
      <c r="V71" s="183" t="e">
        <f aca="false">IF($A72="","",IF(AND(MONTH(A71)&gt;3,MONTH(A71)&lt;11),(T71+R71+G71)*(((1/(1-Summary!$T$14))/(1-Summary!$W$14))-1),(T71+R71+G71)*((1/(1-Summary!$U$14))/(1-Summary!$X$14)-1)))</f>
        <v>#N/A</v>
      </c>
      <c r="W71" s="202" t="e">
        <f aca="false">IF($A72="","",(T71+R71+G71+V71))</f>
        <v>#N/A</v>
      </c>
      <c r="X71" s="202" t="e">
        <f aca="false">IF($A72="","",(U71+S71+H71+V71))</f>
        <v>#N/A</v>
      </c>
      <c r="Y71" s="202"/>
      <c r="Z71" s="185" t="e">
        <f aca="false">IF($A72="","",VLOOKUP($A71,Table,MATCH(Z$4,Curves,0)))</f>
        <v>#N/A</v>
      </c>
      <c r="AA71" s="185" t="e">
        <f aca="false">IF($A72="","",VLOOKUP($A71,Table,MATCH(AA$4,Curves,0)))</f>
        <v>#N/A</v>
      </c>
      <c r="AB71" s="185" t="e">
        <f aca="false">SQRT((AA71^2*(A71-$D$3)+Z71^2*(DAY(EOMONTH(A71,0))/2))/AK71)</f>
        <v>#N/A</v>
      </c>
      <c r="AC71" s="185" t="e">
        <f aca="false">IF($A72="","",VLOOKUP($A71,Table,MATCH(AC$4,Curves,0)))</f>
        <v>#N/A</v>
      </c>
      <c r="AD71" s="185" t="e">
        <f aca="false">IF($A72="","",VLOOKUP($A71,Table,MATCH(AD$4,Curves,0)))</f>
        <v>#N/A</v>
      </c>
      <c r="AE71" s="185" t="e">
        <f aca="false">SQRT((AD71^2*(A71-$D$3)+AC71^2*(DAY(EOMONTH(A71,0))/2))/AK71)</f>
        <v>#N/A</v>
      </c>
      <c r="AF71" s="224" t="e">
        <f aca="false">((Summary!$N$14*(AA71*AD71)*(A71-$D$3))+(Summary!$M$14*Z71*AC71*(AJ71-EOMONTH(EDATE(A71,-1),0))))/(AK71*AB71*AE71)</f>
        <v>#N/A</v>
      </c>
      <c r="AG71" s="207" t="n">
        <f aca="false">IF($A72="","",Summary!$Q$14)</f>
        <v>0</v>
      </c>
      <c r="AH71" s="207" t="n">
        <f aca="false">IF($A72="","",IF(Summary!$R$12="Y",(VLOOKUP($A71,Summary!$AD$6:$AF$9,3)+'Escalating commodity'!J84),'Escalating commodity'!J84))</f>
        <v>0.00536551743712124</v>
      </c>
      <c r="AI71" s="207" t="n">
        <f aca="false">IF($A72="","",AH71)</f>
        <v>0.00536551743712124</v>
      </c>
      <c r="AJ71" s="208" t="n">
        <f aca="false">A71+DAY(EOMONTH(A71,0))/2-1</f>
        <v>38913.5</v>
      </c>
      <c r="AK71" s="209" t="n">
        <f aca="false">IF($A72="","",$A71-$E$1)</f>
        <v>-7027</v>
      </c>
      <c r="AL71" s="182" t="e">
        <f aca="false">IF($A72="","",SPRDOPT(P71,X71,AI71,0,AB71,AE71,AF71,AK71,$AJ$2,0))</f>
        <v>#NAME?</v>
      </c>
      <c r="AM71" s="211" t="e">
        <f aca="false">IF($A72="","",MAX(0,O71-W71-AI71))</f>
        <v>#N/A</v>
      </c>
      <c r="AN71" s="211" t="e">
        <f aca="false">IF($A72="","",AL71-AM71)</f>
        <v>#N/A</v>
      </c>
      <c r="AO71" s="137" t="n">
        <f aca="false">IF(A72="","",A72-A71)</f>
        <v>31</v>
      </c>
      <c r="AP71" s="212" t="n">
        <f aca="false">IF(A72="","",CHOOSE(F$3,A72+24,A71))</f>
        <v>38899</v>
      </c>
      <c r="AQ71" s="209" t="n">
        <f aca="false">IF(A72="","",AP71-$E$1)</f>
        <v>-7027</v>
      </c>
      <c r="AR71" s="185" t="n">
        <f aca="false">'ANR OK vs ML7'!AR71</f>
        <v>0.1</v>
      </c>
      <c r="AS71" s="213" t="n">
        <f aca="false">IF(A72="","",1/(1+CHOOSE(F$3,(AR72+($I$3/10000))/2,(AR71+($I$3/10000))/2))^(2*AQ71/365.25))</f>
        <v>6.53606943835413</v>
      </c>
      <c r="AT71" s="137" t="n">
        <f aca="false">IF(A72="","",IF(AND(mthbeg&lt;=A71,mthend&gt;=A71),1,0))</f>
        <v>1</v>
      </c>
      <c r="AU71" s="137" t="n">
        <f aca="false">IF(A72="","",AO71*AT71)</f>
        <v>31</v>
      </c>
      <c r="AW71" s="195" t="e">
        <f aca="false">IF($A72="","",AL71*$E71)</f>
        <v>#NAME?</v>
      </c>
      <c r="AX71" s="195" t="e">
        <f aca="false">IF($A72="","",AM71*$E71)</f>
        <v>#N/A</v>
      </c>
      <c r="AY71" s="195" t="e">
        <f aca="false">IF($A72="","",AN71*$E71)</f>
        <v>#N/A</v>
      </c>
      <c r="BA71" s="195" t="n">
        <f aca="false">IF($A72="","",F71*Summary!$Q$14)</f>
        <v>0</v>
      </c>
      <c r="BC71" s="179" t="e">
        <f aca="false">IF(A72="","",AM71*F71)</f>
        <v>#N/A</v>
      </c>
    </row>
    <row r="72" customFormat="false" ht="12.75" hidden="false" customHeight="false" outlineLevel="0" collapsed="false">
      <c r="A72" s="196" t="n">
        <f aca="false">IF(A71&lt;mthend,EDATE(A71,1),"")</f>
        <v>38930</v>
      </c>
      <c r="B72" s="197" t="n">
        <f aca="false">IF(A72&lt;mthend,B71,"")</f>
        <v>28400</v>
      </c>
      <c r="C72" s="215"/>
      <c r="D72" s="197" t="n">
        <f aca="false">IF(A73&lt;&gt;"",B72+C72,"")</f>
        <v>28400</v>
      </c>
      <c r="E72" s="199" t="n">
        <f aca="false">IF(A73="","",IF(AND(AT72=1,$H$3=1),D72*AO72,IF($H$3=2,D72,"N/A")))</f>
        <v>880400</v>
      </c>
      <c r="F72" s="199" t="n">
        <f aca="false">IF(A73="","",E72*AS72)</f>
        <v>5706894.92858424</v>
      </c>
      <c r="G72" s="200" t="e">
        <f aca="false">IF($A73="","",VLOOKUP($A72,Table,MATCH(G$4,Curves,0)))</f>
        <v>#N/A</v>
      </c>
      <c r="H72" s="201" t="e">
        <f aca="false">IF(A73="","",G72)</f>
        <v>#N/A</v>
      </c>
      <c r="I72" s="202"/>
      <c r="J72" s="200" t="e">
        <f aca="false">IF($A73="","",VLOOKUP($A72,Table,MATCH(J$4,Curves,0)))</f>
        <v>#N/A</v>
      </c>
      <c r="K72" s="201" t="e">
        <f aca="false">IF(A73="","",J72)</f>
        <v>#N/A</v>
      </c>
      <c r="L72" s="185" t="n">
        <v>0</v>
      </c>
      <c r="M72" s="201" t="n">
        <f aca="false">IF(A73="","",L72)</f>
        <v>0</v>
      </c>
      <c r="N72" s="203"/>
      <c r="O72" s="200" t="e">
        <f aca="false">IF(A73="","",L72+J72+G72)</f>
        <v>#N/A</v>
      </c>
      <c r="P72" s="200" t="e">
        <f aca="false">IF(A73="","",M72+K72+H72)</f>
        <v>#N/A</v>
      </c>
      <c r="Q72" s="204"/>
      <c r="R72" s="200" t="e">
        <f aca="false">IF($A73="","",VLOOKUP($A72,Table,MATCH(R$4,Curves,0)))</f>
        <v>#N/A</v>
      </c>
      <c r="S72" s="201" t="e">
        <f aca="false">IF(A73="","",R72)</f>
        <v>#N/A</v>
      </c>
      <c r="T72" s="200" t="e">
        <f aca="false">IF($A73="","",VLOOKUP($A72,Table,MATCH(T$4,Curves,0)))</f>
        <v>#N/A</v>
      </c>
      <c r="U72" s="201" t="e">
        <f aca="false">IF(A73="","",T72)</f>
        <v>#N/A</v>
      </c>
      <c r="V72" s="183" t="e">
        <f aca="false">IF($A73="","",IF(AND(MONTH(A72)&gt;3,MONTH(A72)&lt;11),(T72+R72+G72)*(((1/(1-Summary!$T$14))/(1-Summary!$W$14))-1),(T72+R72+G72)*((1/(1-Summary!$U$14))/(1-Summary!$X$14)-1)))</f>
        <v>#N/A</v>
      </c>
      <c r="W72" s="202" t="e">
        <f aca="false">IF($A73="","",(T72+R72+G72+V72))</f>
        <v>#N/A</v>
      </c>
      <c r="X72" s="202" t="e">
        <f aca="false">IF($A73="","",(U72+S72+H72+V72))</f>
        <v>#N/A</v>
      </c>
      <c r="Y72" s="202"/>
      <c r="Z72" s="185" t="e">
        <f aca="false">IF($A73="","",VLOOKUP($A72,Table,MATCH(Z$4,Curves,0)))</f>
        <v>#N/A</v>
      </c>
      <c r="AA72" s="185" t="e">
        <f aca="false">IF($A73="","",VLOOKUP($A72,Table,MATCH(AA$4,Curves,0)))</f>
        <v>#N/A</v>
      </c>
      <c r="AB72" s="185" t="e">
        <f aca="false">SQRT((AA72^2*(A72-$D$3)+Z72^2*(DAY(EOMONTH(A72,0))/2))/AK72)</f>
        <v>#N/A</v>
      </c>
      <c r="AC72" s="185" t="e">
        <f aca="false">IF($A73="","",VLOOKUP($A72,Table,MATCH(AC$4,Curves,0)))</f>
        <v>#N/A</v>
      </c>
      <c r="AD72" s="185" t="e">
        <f aca="false">IF($A73="","",VLOOKUP($A72,Table,MATCH(AD$4,Curves,0)))</f>
        <v>#N/A</v>
      </c>
      <c r="AE72" s="185" t="e">
        <f aca="false">SQRT((AD72^2*(A72-$D$3)+AC72^2*(DAY(EOMONTH(A72,0))/2))/AK72)</f>
        <v>#N/A</v>
      </c>
      <c r="AF72" s="224" t="e">
        <f aca="false">((Summary!$N$14*(AA72*AD72)*(A72-$D$3))+(Summary!$M$14*Z72*AC72*(AJ72-EOMONTH(EDATE(A72,-1),0))))/(AK72*AB72*AE72)</f>
        <v>#N/A</v>
      </c>
      <c r="AG72" s="207" t="n">
        <f aca="false">IF($A73="","",Summary!$Q$14)</f>
        <v>0</v>
      </c>
      <c r="AH72" s="207" t="n">
        <f aca="false">IF($A73="","",IF(Summary!$R$12="Y",(VLOOKUP($A72,Summary!$AD$6:$AF$9,3)+'Escalating commodity'!J85),'Escalating commodity'!J85))</f>
        <v>0.00536551743712124</v>
      </c>
      <c r="AI72" s="207" t="n">
        <f aca="false">IF($A73="","",AH72)</f>
        <v>0.00536551743712124</v>
      </c>
      <c r="AJ72" s="208" t="n">
        <f aca="false">A72+DAY(EOMONTH(A72,0))/2-1</f>
        <v>38944.5</v>
      </c>
      <c r="AK72" s="209" t="n">
        <f aca="false">IF($A73="","",$A72-$E$1)</f>
        <v>-6996</v>
      </c>
      <c r="AL72" s="182" t="e">
        <f aca="false">IF($A73="","",SPRDOPT(P72,X72,AI72,0,AB72,AE72,AF72,AK72,$AJ$2,0))</f>
        <v>#NAME?</v>
      </c>
      <c r="AM72" s="211" t="e">
        <f aca="false">IF($A73="","",MAX(0,O72-W72-AI72))</f>
        <v>#N/A</v>
      </c>
      <c r="AN72" s="211" t="e">
        <f aca="false">IF($A73="","",AL72-AM72)</f>
        <v>#N/A</v>
      </c>
      <c r="AO72" s="137" t="n">
        <f aca="false">IF(A73="","",A73-A72)</f>
        <v>31</v>
      </c>
      <c r="AP72" s="212" t="n">
        <f aca="false">IF(A73="","",CHOOSE(F$3,A73+24,A72))</f>
        <v>38930</v>
      </c>
      <c r="AQ72" s="209" t="n">
        <f aca="false">IF(A73="","",AP72-$E$1)</f>
        <v>-6996</v>
      </c>
      <c r="AR72" s="185" t="n">
        <f aca="false">'ANR OK vs ML7'!AR72</f>
        <v>0.1</v>
      </c>
      <c r="AS72" s="213" t="n">
        <f aca="false">IF(A73="","",1/(1+CHOOSE(F$3,(AR73+($I$3/10000))/2,(AR72+($I$3/10000))/2))^(2*AQ72/365.25))</f>
        <v>6.48216143637465</v>
      </c>
      <c r="AT72" s="137" t="n">
        <f aca="false">IF(A73="","",IF(AND(mthbeg&lt;=A72,mthend&gt;=A72),1,0))</f>
        <v>1</v>
      </c>
      <c r="AU72" s="137" t="n">
        <f aca="false">IF(A73="","",AO72*AT72)</f>
        <v>31</v>
      </c>
      <c r="AW72" s="195" t="e">
        <f aca="false">IF($A73="","",AL72*$E72)</f>
        <v>#NAME?</v>
      </c>
      <c r="AX72" s="195" t="e">
        <f aca="false">IF($A73="","",AM72*$E72)</f>
        <v>#N/A</v>
      </c>
      <c r="AY72" s="195" t="e">
        <f aca="false">IF($A73="","",AN72*$E72)</f>
        <v>#N/A</v>
      </c>
      <c r="BA72" s="195" t="n">
        <f aca="false">IF($A73="","",F72*Summary!$Q$14)</f>
        <v>0</v>
      </c>
      <c r="BC72" s="179" t="e">
        <f aca="false">IF(A73="","",AM72*F72)</f>
        <v>#N/A</v>
      </c>
    </row>
    <row r="73" customFormat="false" ht="12.75" hidden="false" customHeight="false" outlineLevel="0" collapsed="false">
      <c r="A73" s="196" t="n">
        <f aca="false">IF(A72&lt;mthend,EDATE(A72,1),"")</f>
        <v>38961</v>
      </c>
      <c r="B73" s="197" t="n">
        <f aca="false">IF(A73&lt;mthend,B72,"")</f>
        <v>28400</v>
      </c>
      <c r="C73" s="215"/>
      <c r="D73" s="197" t="n">
        <f aca="false">IF(A74&lt;&gt;"",B73+C73,"")</f>
        <v>28400</v>
      </c>
      <c r="E73" s="199" t="n">
        <f aca="false">IF(A74="","",IF(AND(AT73=1,$H$3=1),D73*AO73,IF($H$3=2,D73,"N/A")))</f>
        <v>852000</v>
      </c>
      <c r="F73" s="199" t="n">
        <f aca="false">IF(A74="","",E73*AS73)</f>
        <v>5477250.74305951</v>
      </c>
      <c r="G73" s="200" t="e">
        <f aca="false">IF($A74="","",VLOOKUP($A73,Table,MATCH(G$4,Curves,0)))</f>
        <v>#N/A</v>
      </c>
      <c r="H73" s="201" t="e">
        <f aca="false">IF(A74="","",G73)</f>
        <v>#N/A</v>
      </c>
      <c r="I73" s="202"/>
      <c r="J73" s="200" t="e">
        <f aca="false">IF($A74="","",VLOOKUP($A73,Table,MATCH(J$4,Curves,0)))</f>
        <v>#N/A</v>
      </c>
      <c r="K73" s="201" t="e">
        <f aca="false">IF(A74="","",J73)</f>
        <v>#N/A</v>
      </c>
      <c r="L73" s="185" t="n">
        <v>0</v>
      </c>
      <c r="M73" s="201" t="n">
        <f aca="false">IF(A74="","",L73)</f>
        <v>0</v>
      </c>
      <c r="N73" s="203"/>
      <c r="O73" s="200" t="e">
        <f aca="false">IF(A74="","",L73+J73+G73)</f>
        <v>#N/A</v>
      </c>
      <c r="P73" s="200" t="e">
        <f aca="false">IF(A74="","",M73+K73+H73)</f>
        <v>#N/A</v>
      </c>
      <c r="Q73" s="204"/>
      <c r="R73" s="200" t="e">
        <f aca="false">IF($A74="","",VLOOKUP($A73,Table,MATCH(R$4,Curves,0)))</f>
        <v>#N/A</v>
      </c>
      <c r="S73" s="201" t="e">
        <f aca="false">IF(A74="","",R73)</f>
        <v>#N/A</v>
      </c>
      <c r="T73" s="200" t="e">
        <f aca="false">IF($A74="","",VLOOKUP($A73,Table,MATCH(T$4,Curves,0)))</f>
        <v>#N/A</v>
      </c>
      <c r="U73" s="201" t="e">
        <f aca="false">IF(A74="","",T73)</f>
        <v>#N/A</v>
      </c>
      <c r="V73" s="183" t="e">
        <f aca="false">IF($A74="","",IF(AND(MONTH(A73)&gt;3,MONTH(A73)&lt;11),(T73+R73+G73)*(((1/(1-Summary!$T$14))/(1-Summary!$W$14))-1),(T73+R73+G73)*((1/(1-Summary!$U$14))/(1-Summary!$X$14)-1)))</f>
        <v>#N/A</v>
      </c>
      <c r="W73" s="202" t="e">
        <f aca="false">IF($A74="","",(T73+R73+G73+V73))</f>
        <v>#N/A</v>
      </c>
      <c r="X73" s="202" t="e">
        <f aca="false">IF($A74="","",(U73+S73+H73+V73))</f>
        <v>#N/A</v>
      </c>
      <c r="Y73" s="202"/>
      <c r="Z73" s="185" t="e">
        <f aca="false">IF($A74="","",VLOOKUP($A73,Table,MATCH(Z$4,Curves,0)))</f>
        <v>#N/A</v>
      </c>
      <c r="AA73" s="185" t="e">
        <f aca="false">IF($A74="","",VLOOKUP($A73,Table,MATCH(AA$4,Curves,0)))</f>
        <v>#N/A</v>
      </c>
      <c r="AB73" s="185" t="e">
        <f aca="false">SQRT((AA73^2*(A73-$D$3)+Z73^2*(DAY(EOMONTH(A73,0))/2))/AK73)</f>
        <v>#N/A</v>
      </c>
      <c r="AC73" s="185" t="e">
        <f aca="false">IF($A74="","",VLOOKUP($A73,Table,MATCH(AC$4,Curves,0)))</f>
        <v>#N/A</v>
      </c>
      <c r="AD73" s="185" t="e">
        <f aca="false">IF($A74="","",VLOOKUP($A73,Table,MATCH(AD$4,Curves,0)))</f>
        <v>#N/A</v>
      </c>
      <c r="AE73" s="185" t="e">
        <f aca="false">SQRT((AD73^2*(A73-$D$3)+AC73^2*(DAY(EOMONTH(A73,0))/2))/AK73)</f>
        <v>#N/A</v>
      </c>
      <c r="AF73" s="224" t="e">
        <f aca="false">((Summary!$N$14*(AA73*AD73)*(A73-$D$3))+(Summary!$M$14*Z73*AC73*(AJ73-EOMONTH(EDATE(A73,-1),0))))/(AK73*AB73*AE73)</f>
        <v>#N/A</v>
      </c>
      <c r="AG73" s="207" t="n">
        <f aca="false">IF($A74="","",Summary!$Q$14)</f>
        <v>0</v>
      </c>
      <c r="AH73" s="207" t="n">
        <f aca="false">IF($A74="","",IF(Summary!$R$12="Y",(VLOOKUP($A73,Summary!$AD$6:$AF$9,3)+'Escalating commodity'!J86),'Escalating commodity'!J86))</f>
        <v>0.00536551743712124</v>
      </c>
      <c r="AI73" s="207" t="n">
        <f aca="false">IF($A74="","",AH73)</f>
        <v>0.00536551743712124</v>
      </c>
      <c r="AJ73" s="208" t="n">
        <f aca="false">A73+DAY(EOMONTH(A73,0))/2-1</f>
        <v>38975</v>
      </c>
      <c r="AK73" s="209" t="n">
        <f aca="false">IF($A74="","",$A73-$E$1)</f>
        <v>-6965</v>
      </c>
      <c r="AL73" s="182" t="e">
        <f aca="false">IF($A74="","",SPRDOPT(P73,X73,AI73,0,AB73,AE73,AF73,AK73,$AJ$2,0))</f>
        <v>#NAME?</v>
      </c>
      <c r="AM73" s="211" t="e">
        <f aca="false">IF($A74="","",MAX(0,O73-W73-AI73))</f>
        <v>#N/A</v>
      </c>
      <c r="AN73" s="211" t="e">
        <f aca="false">IF($A74="","",AL73-AM73)</f>
        <v>#N/A</v>
      </c>
      <c r="AO73" s="137" t="n">
        <f aca="false">IF(A74="","",A74-A73)</f>
        <v>30</v>
      </c>
      <c r="AP73" s="212" t="n">
        <f aca="false">IF(A74="","",CHOOSE(F$3,A74+24,A73))</f>
        <v>38961</v>
      </c>
      <c r="AQ73" s="209" t="n">
        <f aca="false">IF(A74="","",AP73-$E$1)</f>
        <v>-6965</v>
      </c>
      <c r="AR73" s="185" t="n">
        <f aca="false">'ANR OK vs ML7'!AR73</f>
        <v>0.1</v>
      </c>
      <c r="AS73" s="213" t="n">
        <f aca="false">IF(A74="","",1/(1+CHOOSE(F$3,(AR74+($I$3/10000))/2,(AR73+($I$3/10000))/2))^(2*AQ73/365.25))</f>
        <v>6.42869805523417</v>
      </c>
      <c r="AT73" s="137" t="n">
        <f aca="false">IF(A74="","",IF(AND(mthbeg&lt;=A73,mthend&gt;=A73),1,0))</f>
        <v>1</v>
      </c>
      <c r="AU73" s="137" t="n">
        <f aca="false">IF(A74="","",AO73*AT73)</f>
        <v>30</v>
      </c>
      <c r="AW73" s="195" t="e">
        <f aca="false">IF($A74="","",AL73*$E73)</f>
        <v>#NAME?</v>
      </c>
      <c r="AX73" s="195" t="e">
        <f aca="false">IF($A74="","",AM73*$E73)</f>
        <v>#N/A</v>
      </c>
      <c r="AY73" s="195" t="e">
        <f aca="false">IF($A74="","",AN73*$E73)</f>
        <v>#N/A</v>
      </c>
      <c r="BA73" s="195" t="n">
        <f aca="false">IF($A74="","",F73*Summary!$Q$14)</f>
        <v>0</v>
      </c>
      <c r="BC73" s="179" t="e">
        <f aca="false">IF(A74="","",AM73*F73)</f>
        <v>#N/A</v>
      </c>
    </row>
    <row r="74" customFormat="false" ht="12.75" hidden="false" customHeight="false" outlineLevel="0" collapsed="false">
      <c r="A74" s="196" t="n">
        <f aca="false">IF(A73&lt;mthend,EDATE(A73,1),"")</f>
        <v>38991</v>
      </c>
      <c r="B74" s="197" t="n">
        <f aca="false">IF(A74&lt;mthend,B73,"")</f>
        <v>28400</v>
      </c>
      <c r="C74" s="215"/>
      <c r="D74" s="197" t="n">
        <f aca="false">IF(A75&lt;&gt;"",B74+C74,"")</f>
        <v>28400</v>
      </c>
      <c r="E74" s="199" t="n">
        <f aca="false">IF(A75="","",IF(AND(AT74=1,$H$3=1),D74*AO74,IF($H$3=2,D74,"N/A")))</f>
        <v>880400</v>
      </c>
      <c r="F74" s="199" t="n">
        <f aca="false">IF(A75="","",E74*AS74)</f>
        <v>5614644.63294968</v>
      </c>
      <c r="G74" s="200" t="e">
        <f aca="false">IF($A75="","",VLOOKUP($A74,Table,MATCH(G$4,Curves,0)))</f>
        <v>#N/A</v>
      </c>
      <c r="H74" s="201" t="e">
        <f aca="false">IF(A75="","",G74)</f>
        <v>#N/A</v>
      </c>
      <c r="I74" s="202"/>
      <c r="J74" s="200" t="e">
        <f aca="false">IF($A75="","",VLOOKUP($A74,Table,MATCH(J$4,Curves,0)))</f>
        <v>#N/A</v>
      </c>
      <c r="K74" s="201" t="e">
        <f aca="false">IF(A75="","",J74)</f>
        <v>#N/A</v>
      </c>
      <c r="L74" s="185" t="n">
        <v>0</v>
      </c>
      <c r="M74" s="201" t="n">
        <f aca="false">IF(A75="","",L74)</f>
        <v>0</v>
      </c>
      <c r="N74" s="203"/>
      <c r="O74" s="200" t="e">
        <f aca="false">IF(A75="","",L74+J74+G74)</f>
        <v>#N/A</v>
      </c>
      <c r="P74" s="200" t="e">
        <f aca="false">IF(A75="","",M74+K74+H74)</f>
        <v>#N/A</v>
      </c>
      <c r="Q74" s="204"/>
      <c r="R74" s="200" t="e">
        <f aca="false">IF($A75="","",VLOOKUP($A74,Table,MATCH(R$4,Curves,0)))</f>
        <v>#N/A</v>
      </c>
      <c r="S74" s="201" t="e">
        <f aca="false">IF(A75="","",R74)</f>
        <v>#N/A</v>
      </c>
      <c r="T74" s="200" t="e">
        <f aca="false">IF($A75="","",VLOOKUP($A74,Table,MATCH(T$4,Curves,0)))</f>
        <v>#N/A</v>
      </c>
      <c r="U74" s="201" t="e">
        <f aca="false">IF(A75="","",T74)</f>
        <v>#N/A</v>
      </c>
      <c r="V74" s="183" t="e">
        <f aca="false">IF($A75="","",IF(AND(MONTH(A74)&gt;3,MONTH(A74)&lt;11),(T74+R74+G74)*(((1/(1-Summary!$T$14))/(1-Summary!$W$14))-1),(T74+R74+G74)*((1/(1-Summary!$U$14))/(1-Summary!$X$14)-1)))</f>
        <v>#N/A</v>
      </c>
      <c r="W74" s="202" t="e">
        <f aca="false">IF($A75="","",(T74+R74+G74+V74))</f>
        <v>#N/A</v>
      </c>
      <c r="X74" s="202" t="e">
        <f aca="false">IF($A75="","",(U74+S74+H74+V74))</f>
        <v>#N/A</v>
      </c>
      <c r="Y74" s="202"/>
      <c r="Z74" s="185" t="e">
        <f aca="false">IF($A75="","",VLOOKUP($A74,Table,MATCH(Z$4,Curves,0)))</f>
        <v>#N/A</v>
      </c>
      <c r="AA74" s="185" t="e">
        <f aca="false">IF($A75="","",VLOOKUP($A74,Table,MATCH(AA$4,Curves,0)))</f>
        <v>#N/A</v>
      </c>
      <c r="AB74" s="185" t="e">
        <f aca="false">SQRT((AA74^2*(A74-$D$3)+Z74^2*(DAY(EOMONTH(A74,0))/2))/AK74)</f>
        <v>#N/A</v>
      </c>
      <c r="AC74" s="185" t="e">
        <f aca="false">IF($A75="","",VLOOKUP($A74,Table,MATCH(AC$4,Curves,0)))</f>
        <v>#N/A</v>
      </c>
      <c r="AD74" s="185" t="e">
        <f aca="false">IF($A75="","",VLOOKUP($A74,Table,MATCH(AD$4,Curves,0)))</f>
        <v>#N/A</v>
      </c>
      <c r="AE74" s="185" t="e">
        <f aca="false">SQRT((AD74^2*(A74-$D$3)+AC74^2*(DAY(EOMONTH(A74,0))/2))/AK74)</f>
        <v>#N/A</v>
      </c>
      <c r="AF74" s="224" t="e">
        <f aca="false">((Summary!$N$14*(AA74*AD74)*(A74-$D$3))+(Summary!$M$14*Z74*AC74*(AJ74-EOMONTH(EDATE(A74,-1),0))))/(AK74*AB74*AE74)</f>
        <v>#N/A</v>
      </c>
      <c r="AG74" s="207" t="n">
        <f aca="false">IF($A75="","",Summary!$Q$14)</f>
        <v>0</v>
      </c>
      <c r="AH74" s="207" t="n">
        <f aca="false">IF($A75="","",IF(Summary!$R$12="Y",(VLOOKUP($A74,Summary!$AD$6:$AF$9,3)+'Escalating commodity'!J87),'Escalating commodity'!J87))</f>
        <v>0.00536551743712124</v>
      </c>
      <c r="AI74" s="207" t="n">
        <f aca="false">IF($A75="","",AH74)</f>
        <v>0.00536551743712124</v>
      </c>
      <c r="AJ74" s="208" t="n">
        <f aca="false">A74+DAY(EOMONTH(A74,0))/2-1</f>
        <v>39005.5</v>
      </c>
      <c r="AK74" s="209" t="n">
        <f aca="false">IF($A75="","",$A74-$E$1)</f>
        <v>-6935</v>
      </c>
      <c r="AL74" s="182" t="e">
        <f aca="false">IF($A75="","",SPRDOPT(P74,X74,AI74,0,AB74,AE74,AF74,AK74,$AJ$2,0))</f>
        <v>#NAME?</v>
      </c>
      <c r="AM74" s="211" t="e">
        <f aca="false">IF($A75="","",MAX(0,O74-W74-AI74))</f>
        <v>#N/A</v>
      </c>
      <c r="AN74" s="211" t="e">
        <f aca="false">IF($A75="","",AL74-AM74)</f>
        <v>#N/A</v>
      </c>
      <c r="AO74" s="137" t="n">
        <f aca="false">IF(A75="","",A75-A74)</f>
        <v>31</v>
      </c>
      <c r="AP74" s="212" t="n">
        <f aca="false">IF(A75="","",CHOOSE(F$3,A75+24,A74))</f>
        <v>38991</v>
      </c>
      <c r="AQ74" s="209" t="n">
        <f aca="false">IF(A75="","",AP74-$E$1)</f>
        <v>-6935</v>
      </c>
      <c r="AR74" s="185" t="n">
        <f aca="false">'ANR OK vs ML7'!AR74</f>
        <v>0.1</v>
      </c>
      <c r="AS74" s="213" t="n">
        <f aca="false">IF(A75="","",1/(1+CHOOSE(F$3,(AR75+($I$3/10000))/2,(AR74+($I$3/10000))/2))^(2*AQ74/365.25))</f>
        <v>6.37737918326861</v>
      </c>
      <c r="AT74" s="137" t="n">
        <f aca="false">IF(A75="","",IF(AND(mthbeg&lt;=A74,mthend&gt;=A74),1,0))</f>
        <v>1</v>
      </c>
      <c r="AU74" s="137" t="n">
        <f aca="false">IF(A75="","",AO74*AT74)</f>
        <v>31</v>
      </c>
      <c r="AW74" s="195" t="e">
        <f aca="false">IF($A75="","",AL74*$E74)</f>
        <v>#NAME?</v>
      </c>
      <c r="AX74" s="195" t="e">
        <f aca="false">IF($A75="","",AM74*$E74)</f>
        <v>#N/A</v>
      </c>
      <c r="AY74" s="195" t="e">
        <f aca="false">IF($A75="","",AN74*$E74)</f>
        <v>#N/A</v>
      </c>
      <c r="BA74" s="195" t="n">
        <f aca="false">IF($A75="","",F74*Summary!$Q$14)</f>
        <v>0</v>
      </c>
      <c r="BC74" s="179" t="e">
        <f aca="false">IF(A75="","",AM74*F74)</f>
        <v>#N/A</v>
      </c>
    </row>
    <row r="75" customFormat="false" ht="12.75" hidden="false" customHeight="false" outlineLevel="0" collapsed="false">
      <c r="A75" s="196" t="n">
        <f aca="false">IF(A74&lt;mthend,EDATE(A74,1),"")</f>
        <v>39022</v>
      </c>
      <c r="B75" s="197" t="n">
        <f aca="false">IF(A75&lt;mthend,B74,"")</f>
        <v>28400</v>
      </c>
      <c r="C75" s="215"/>
      <c r="D75" s="197" t="n">
        <f aca="false">IF(A76&lt;&gt;"",B75+C75,"")</f>
        <v>28400</v>
      </c>
      <c r="E75" s="199" t="n">
        <f aca="false">IF(A76="","",IF(AND(AT75=1,$H$3=1),D75*AO75,IF($H$3=2,D75,"N/A")))</f>
        <v>852000</v>
      </c>
      <c r="F75" s="199" t="n">
        <f aca="false">IF(A76="","",E75*AS75)</f>
        <v>5388712.57885028</v>
      </c>
      <c r="G75" s="200" t="e">
        <f aca="false">IF($A76="","",VLOOKUP($A75,Table,MATCH(G$4,Curves,0)))</f>
        <v>#N/A</v>
      </c>
      <c r="H75" s="201" t="e">
        <f aca="false">IF(A76="","",G75)</f>
        <v>#N/A</v>
      </c>
      <c r="I75" s="202"/>
      <c r="J75" s="200" t="e">
        <f aca="false">IF($A76="","",VLOOKUP($A75,Table,MATCH(J$4,Curves,0)))</f>
        <v>#N/A</v>
      </c>
      <c r="K75" s="201" t="e">
        <f aca="false">IF(A76="","",J75)</f>
        <v>#N/A</v>
      </c>
      <c r="L75" s="185" t="n">
        <v>0</v>
      </c>
      <c r="M75" s="201" t="n">
        <f aca="false">IF(A76="","",L75)</f>
        <v>0</v>
      </c>
      <c r="N75" s="203"/>
      <c r="O75" s="200" t="e">
        <f aca="false">IF(A76="","",L75+J75+G75)</f>
        <v>#N/A</v>
      </c>
      <c r="P75" s="200" t="e">
        <f aca="false">IF(A76="","",M75+K75+H75)</f>
        <v>#N/A</v>
      </c>
      <c r="Q75" s="204"/>
      <c r="R75" s="200" t="e">
        <f aca="false">IF($A76="","",VLOOKUP($A75,Table,MATCH(R$4,Curves,0)))</f>
        <v>#N/A</v>
      </c>
      <c r="S75" s="201" t="e">
        <f aca="false">IF(A76="","",R75)</f>
        <v>#N/A</v>
      </c>
      <c r="T75" s="200" t="e">
        <f aca="false">IF($A76="","",VLOOKUP($A75,Table,MATCH(T$4,Curves,0)))</f>
        <v>#N/A</v>
      </c>
      <c r="U75" s="201" t="e">
        <f aca="false">IF(A76="","",T75)</f>
        <v>#N/A</v>
      </c>
      <c r="V75" s="183" t="e">
        <f aca="false">IF($A76="","",IF(AND(MONTH(A75)&gt;3,MONTH(A75)&lt;11),(T75+R75+G75)*(((1/(1-Summary!$T$14))/(1-Summary!$W$14))-1),(T75+R75+G75)*((1/(1-Summary!$U$14))/(1-Summary!$X$14)-1)))</f>
        <v>#N/A</v>
      </c>
      <c r="W75" s="202" t="e">
        <f aca="false">IF($A76="","",(T75+R75+G75+V75))</f>
        <v>#N/A</v>
      </c>
      <c r="X75" s="202" t="e">
        <f aca="false">IF($A76="","",(U75+S75+H75+V75))</f>
        <v>#N/A</v>
      </c>
      <c r="Y75" s="202"/>
      <c r="Z75" s="185" t="e">
        <f aca="false">IF($A76="","",VLOOKUP($A75,Table,MATCH(Z$4,Curves,0)))</f>
        <v>#N/A</v>
      </c>
      <c r="AA75" s="185" t="e">
        <f aca="false">IF($A76="","",VLOOKUP($A75,Table,MATCH(AA$4,Curves,0)))</f>
        <v>#N/A</v>
      </c>
      <c r="AB75" s="185" t="e">
        <f aca="false">SQRT((AA75^2*(A75-$D$3)+Z75^2*(DAY(EOMONTH(A75,0))/2))/AK75)</f>
        <v>#N/A</v>
      </c>
      <c r="AC75" s="185" t="e">
        <f aca="false">IF($A76="","",VLOOKUP($A75,Table,MATCH(AC$4,Curves,0)))</f>
        <v>#N/A</v>
      </c>
      <c r="AD75" s="185" t="e">
        <f aca="false">IF($A76="","",VLOOKUP($A75,Table,MATCH(AD$4,Curves,0)))</f>
        <v>#N/A</v>
      </c>
      <c r="AE75" s="185" t="e">
        <f aca="false">SQRT((AD75^2*(A75-$D$3)+AC75^2*(DAY(EOMONTH(A75,0))/2))/AK75)</f>
        <v>#N/A</v>
      </c>
      <c r="AF75" s="224" t="e">
        <f aca="false">((Summary!$N$14*(AA75*AD75)*(A75-$D$3))+(Summary!$M$14*Z75*AC75*(AJ75-EOMONTH(EDATE(A75,-1),0))))/(AK75*AB75*AE75)</f>
        <v>#N/A</v>
      </c>
      <c r="AG75" s="207" t="n">
        <f aca="false">IF($A76="","",Summary!$Q$14)</f>
        <v>0</v>
      </c>
      <c r="AH75" s="207" t="n">
        <f aca="false">IF($A76="","",IF(Summary!$R$12="Y",(VLOOKUP($A75,Summary!$AD$6:$AF$9,3)+'Escalating commodity'!J88),'Escalating commodity'!J88))</f>
        <v>0.00536551743712124</v>
      </c>
      <c r="AI75" s="207" t="n">
        <f aca="false">IF($A76="","",AH75)</f>
        <v>0.00536551743712124</v>
      </c>
      <c r="AJ75" s="208" t="n">
        <f aca="false">A75+DAY(EOMONTH(A75,0))/2-1</f>
        <v>39036</v>
      </c>
      <c r="AK75" s="209" t="n">
        <f aca="false">IF($A76="","",$A75-$E$1)</f>
        <v>-6904</v>
      </c>
      <c r="AL75" s="182" t="e">
        <f aca="false">IF($A76="","",SPRDOPT(P75,X75,AI75,0,AB75,AE75,AF75,AK75,$AJ$2,0))</f>
        <v>#NAME?</v>
      </c>
      <c r="AM75" s="211" t="e">
        <f aca="false">IF($A76="","",MAX(0,O75-W75-AI75))</f>
        <v>#N/A</v>
      </c>
      <c r="AN75" s="211" t="e">
        <f aca="false">IF($A76="","",AL75-AM75)</f>
        <v>#N/A</v>
      </c>
      <c r="AO75" s="137" t="n">
        <f aca="false">IF(A76="","",A76-A75)</f>
        <v>30</v>
      </c>
      <c r="AP75" s="212" t="n">
        <f aca="false">IF(A76="","",CHOOSE(F$3,A76+24,A75))</f>
        <v>39022</v>
      </c>
      <c r="AQ75" s="209" t="n">
        <f aca="false">IF(A76="","",AP75-$E$1)</f>
        <v>-6904</v>
      </c>
      <c r="AR75" s="185" t="n">
        <f aca="false">'ANR OK vs ML7'!AR75</f>
        <v>0.1</v>
      </c>
      <c r="AS75" s="213" t="n">
        <f aca="false">IF(A76="","",1/(1+CHOOSE(F$3,(AR76+($I$3/10000))/2,(AR75+($I$3/10000))/2))^(2*AQ75/365.25))</f>
        <v>6.32478002212474</v>
      </c>
      <c r="AT75" s="137" t="n">
        <f aca="false">IF(A76="","",IF(AND(mthbeg&lt;=A75,mthend&gt;=A75),1,0))</f>
        <v>1</v>
      </c>
      <c r="AU75" s="137" t="n">
        <f aca="false">IF(A76="","",AO75*AT75)</f>
        <v>30</v>
      </c>
      <c r="AW75" s="195" t="e">
        <f aca="false">IF($A76="","",AL75*$E75)</f>
        <v>#NAME?</v>
      </c>
      <c r="AX75" s="195" t="e">
        <f aca="false">IF($A76="","",AM75*$E75)</f>
        <v>#N/A</v>
      </c>
      <c r="AY75" s="195" t="e">
        <f aca="false">IF($A76="","",AN75*$E75)</f>
        <v>#N/A</v>
      </c>
      <c r="BA75" s="195" t="n">
        <f aca="false">IF($A76="","",F75*Summary!$Q$14)</f>
        <v>0</v>
      </c>
      <c r="BC75" s="179" t="e">
        <f aca="false">IF(A76="","",AM75*F75)</f>
        <v>#N/A</v>
      </c>
    </row>
    <row r="76" customFormat="false" ht="12.75" hidden="false" customHeight="false" outlineLevel="0" collapsed="false">
      <c r="A76" s="196" t="n">
        <f aca="false">IF(A75&lt;mthend,EDATE(A75,1),"")</f>
        <v>39052</v>
      </c>
      <c r="B76" s="197" t="n">
        <f aca="false">IF(A76&lt;mthend,B75,"")</f>
        <v>28400</v>
      </c>
      <c r="C76" s="215"/>
      <c r="D76" s="197" t="n">
        <f aca="false">IF(A77&lt;&gt;"",B76+C76,"")</f>
        <v>28400</v>
      </c>
      <c r="E76" s="199" t="n">
        <f aca="false">IF(A77="","",IF(AND(AT76=1,$H$3=1),D76*AO76,IF($H$3=2,D76,"N/A")))</f>
        <v>880400</v>
      </c>
      <c r="F76" s="199" t="n">
        <f aca="false">IF(A77="","",E76*AS76)</f>
        <v>5523885.53649632</v>
      </c>
      <c r="G76" s="200" t="e">
        <f aca="false">IF($A77="","",VLOOKUP($A76,Table,MATCH(G$4,Curves,0)))</f>
        <v>#N/A</v>
      </c>
      <c r="H76" s="201" t="e">
        <f aca="false">IF(A77="","",G76)</f>
        <v>#N/A</v>
      </c>
      <c r="I76" s="202"/>
      <c r="J76" s="200" t="e">
        <f aca="false">IF($A77="","",VLOOKUP($A76,Table,MATCH(J$4,Curves,0)))</f>
        <v>#N/A</v>
      </c>
      <c r="K76" s="201" t="e">
        <f aca="false">IF(A77="","",J76)</f>
        <v>#N/A</v>
      </c>
      <c r="L76" s="185" t="n">
        <v>0</v>
      </c>
      <c r="M76" s="201" t="n">
        <f aca="false">IF(A77="","",L76)</f>
        <v>0</v>
      </c>
      <c r="N76" s="203"/>
      <c r="O76" s="200" t="e">
        <f aca="false">IF(A77="","",L76+J76+G76)</f>
        <v>#N/A</v>
      </c>
      <c r="P76" s="200" t="e">
        <f aca="false">IF(A77="","",M76+K76+H76)</f>
        <v>#N/A</v>
      </c>
      <c r="Q76" s="204"/>
      <c r="R76" s="200" t="e">
        <f aca="false">IF($A77="","",VLOOKUP($A76,Table,MATCH(R$4,Curves,0)))</f>
        <v>#N/A</v>
      </c>
      <c r="S76" s="201" t="e">
        <f aca="false">IF(A77="","",R76)</f>
        <v>#N/A</v>
      </c>
      <c r="T76" s="200" t="e">
        <f aca="false">IF($A77="","",VLOOKUP($A76,Table,MATCH(T$4,Curves,0)))</f>
        <v>#N/A</v>
      </c>
      <c r="U76" s="201" t="e">
        <f aca="false">IF(A77="","",T76)</f>
        <v>#N/A</v>
      </c>
      <c r="V76" s="183" t="e">
        <f aca="false">IF($A77="","",IF(AND(MONTH(A76)&gt;3,MONTH(A76)&lt;11),(T76+R76+G76)*(((1/(1-Summary!$T$14))/(1-Summary!$W$14))-1),(T76+R76+G76)*((1/(1-Summary!$U$14))/(1-Summary!$X$14)-1)))</f>
        <v>#N/A</v>
      </c>
      <c r="W76" s="202" t="e">
        <f aca="false">IF($A77="","",(T76+R76+G76+V76))</f>
        <v>#N/A</v>
      </c>
      <c r="X76" s="202" t="e">
        <f aca="false">IF($A77="","",(U76+S76+H76+V76))</f>
        <v>#N/A</v>
      </c>
      <c r="Y76" s="202"/>
      <c r="Z76" s="185" t="e">
        <f aca="false">IF($A77="","",VLOOKUP($A76,Table,MATCH(Z$4,Curves,0)))</f>
        <v>#N/A</v>
      </c>
      <c r="AA76" s="185" t="e">
        <f aca="false">IF($A77="","",VLOOKUP($A76,Table,MATCH(AA$4,Curves,0)))</f>
        <v>#N/A</v>
      </c>
      <c r="AB76" s="185" t="e">
        <f aca="false">SQRT((AA76^2*(A76-$D$3)+Z76^2*(DAY(EOMONTH(A76,0))/2))/AK76)</f>
        <v>#N/A</v>
      </c>
      <c r="AC76" s="185" t="e">
        <f aca="false">IF($A77="","",VLOOKUP($A76,Table,MATCH(AC$4,Curves,0)))</f>
        <v>#N/A</v>
      </c>
      <c r="AD76" s="185" t="e">
        <f aca="false">IF($A77="","",VLOOKUP($A76,Table,MATCH(AD$4,Curves,0)))</f>
        <v>#N/A</v>
      </c>
      <c r="AE76" s="185" t="e">
        <f aca="false">SQRT((AD76^2*(A76-$D$3)+AC76^2*(DAY(EOMONTH(A76,0))/2))/AK76)</f>
        <v>#N/A</v>
      </c>
      <c r="AF76" s="224" t="e">
        <f aca="false">((Summary!$N$14*(AA76*AD76)*(A76-$D$3))+(Summary!$M$14*Z76*AC76*(AJ76-EOMONTH(EDATE(A76,-1),0))))/(AK76*AB76*AE76)</f>
        <v>#N/A</v>
      </c>
      <c r="AG76" s="207" t="n">
        <f aca="false">IF($A77="","",Summary!$Q$14)</f>
        <v>0</v>
      </c>
      <c r="AH76" s="207" t="n">
        <f aca="false">IF($A77="","",IF(Summary!$R$12="Y",(VLOOKUP($A76,Summary!$AD$6:$AF$9,3)+'Escalating commodity'!J89),'Escalating commodity'!J89))</f>
        <v>0.00536551743712124</v>
      </c>
      <c r="AI76" s="207" t="n">
        <f aca="false">IF($A77="","",AH76)</f>
        <v>0.00536551743712124</v>
      </c>
      <c r="AJ76" s="208" t="n">
        <f aca="false">A76+DAY(EOMONTH(A76,0))/2-1</f>
        <v>39066.5</v>
      </c>
      <c r="AK76" s="209" t="n">
        <f aca="false">IF($A77="","",$A76-$E$1)</f>
        <v>-6874</v>
      </c>
      <c r="AL76" s="182" t="e">
        <f aca="false">IF($A77="","",SPRDOPT(P76,X76,AI76,0,AB76,AE76,AF76,AK76,$AJ$2,0))</f>
        <v>#NAME?</v>
      </c>
      <c r="AM76" s="211" t="e">
        <f aca="false">IF($A77="","",MAX(0,O76-W76-AI76))</f>
        <v>#N/A</v>
      </c>
      <c r="AN76" s="211" t="e">
        <f aca="false">IF($A77="","",AL76-AM76)</f>
        <v>#N/A</v>
      </c>
      <c r="AO76" s="137" t="n">
        <f aca="false">IF(A77="","",A77-A76)</f>
        <v>31</v>
      </c>
      <c r="AP76" s="212" t="n">
        <f aca="false">IF(A77="","",CHOOSE(F$3,A77+24,A76))</f>
        <v>39052</v>
      </c>
      <c r="AQ76" s="209" t="n">
        <f aca="false">IF(A77="","",AP76-$E$1)</f>
        <v>-6874</v>
      </c>
      <c r="AR76" s="185" t="n">
        <f aca="false">'ANR OK vs ML7'!AR76</f>
        <v>0.1</v>
      </c>
      <c r="AS76" s="213" t="n">
        <f aca="false">IF(A77="","",1/(1+CHOOSE(F$3,(AR77+($I$3/10000))/2,(AR76+($I$3/10000))/2))^(2*AQ76/365.25))</f>
        <v>6.27429070478909</v>
      </c>
      <c r="AT76" s="137" t="n">
        <f aca="false">IF(A77="","",IF(AND(mthbeg&lt;=A76,mthend&gt;=A76),1,0))</f>
        <v>1</v>
      </c>
      <c r="AU76" s="137" t="n">
        <f aca="false">IF(A77="","",AO76*AT76)</f>
        <v>31</v>
      </c>
      <c r="AW76" s="195" t="e">
        <f aca="false">IF($A77="","",AL76*$E76)</f>
        <v>#NAME?</v>
      </c>
      <c r="AX76" s="195" t="e">
        <f aca="false">IF($A77="","",AM76*$E76)</f>
        <v>#N/A</v>
      </c>
      <c r="AY76" s="195" t="e">
        <f aca="false">IF($A77="","",AN76*$E76)</f>
        <v>#N/A</v>
      </c>
      <c r="BA76" s="195" t="n">
        <f aca="false">IF($A77="","",F76*Summary!$Q$14)</f>
        <v>0</v>
      </c>
      <c r="BC76" s="179" t="e">
        <f aca="false">IF(A77="","",AM76*F76)</f>
        <v>#N/A</v>
      </c>
    </row>
    <row r="77" customFormat="false" ht="12.75" hidden="false" customHeight="false" outlineLevel="0" collapsed="false">
      <c r="A77" s="196" t="n">
        <f aca="false">IF(A76&lt;mthend,EDATE(A76,1),"")</f>
        <v>39083</v>
      </c>
      <c r="B77" s="197" t="n">
        <f aca="false">IF(A77&lt;mthend,B76,"")</f>
        <v>28400</v>
      </c>
      <c r="C77" s="215"/>
      <c r="D77" s="197" t="n">
        <f aca="false">IF(A78&lt;&gt;"",B77+C77,"")</f>
        <v>28400</v>
      </c>
      <c r="E77" s="199" t="n">
        <f aca="false">IF(A78="","",IF(AND(AT77=1,$H$3=1),D77*AO77,IF($H$3=2,D77,"N/A")))</f>
        <v>880400</v>
      </c>
      <c r="F77" s="199" t="n">
        <f aca="false">IF(A78="","",E77*AS77)</f>
        <v>5478325.79524136</v>
      </c>
      <c r="G77" s="200" t="e">
        <f aca="false">IF($A78="","",VLOOKUP($A77,Table,MATCH(G$4,Curves,0)))</f>
        <v>#N/A</v>
      </c>
      <c r="H77" s="201" t="e">
        <f aca="false">IF(A78="","",G77)</f>
        <v>#N/A</v>
      </c>
      <c r="I77" s="202"/>
      <c r="J77" s="200" t="e">
        <f aca="false">IF($A78="","",VLOOKUP($A77,Table,MATCH(J$4,Curves,0)))</f>
        <v>#N/A</v>
      </c>
      <c r="K77" s="201" t="e">
        <f aca="false">IF(A78="","",J77)</f>
        <v>#N/A</v>
      </c>
      <c r="L77" s="185" t="n">
        <v>0</v>
      </c>
      <c r="M77" s="201" t="n">
        <f aca="false">IF(A78="","",L77)</f>
        <v>0</v>
      </c>
      <c r="N77" s="203"/>
      <c r="O77" s="200" t="e">
        <f aca="false">IF(A78="","",L77+J77+G77)</f>
        <v>#N/A</v>
      </c>
      <c r="P77" s="200" t="e">
        <f aca="false">IF(A78="","",M77+K77+H77)</f>
        <v>#N/A</v>
      </c>
      <c r="Q77" s="204"/>
      <c r="R77" s="200" t="e">
        <f aca="false">IF($A78="","",VLOOKUP($A77,Table,MATCH(R$4,Curves,0)))</f>
        <v>#N/A</v>
      </c>
      <c r="S77" s="201" t="e">
        <f aca="false">IF(A78="","",R77)</f>
        <v>#N/A</v>
      </c>
      <c r="T77" s="200" t="e">
        <f aca="false">IF($A78="","",VLOOKUP($A77,Table,MATCH(T$4,Curves,0)))</f>
        <v>#N/A</v>
      </c>
      <c r="U77" s="201" t="e">
        <f aca="false">IF(A78="","",T77)</f>
        <v>#N/A</v>
      </c>
      <c r="V77" s="183" t="e">
        <f aca="false">IF($A78="","",IF(AND(MONTH(A77)&gt;3,MONTH(A77)&lt;11),(T77+R77+G77)*(((1/(1-Summary!$T$14))/(1-Summary!$W$14))-1),(T77+R77+G77)*((1/(1-Summary!$U$14))/(1-Summary!$X$14)-1)))</f>
        <v>#N/A</v>
      </c>
      <c r="W77" s="202" t="e">
        <f aca="false">IF($A78="","",(T77+R77+G77+V77))</f>
        <v>#N/A</v>
      </c>
      <c r="X77" s="202" t="e">
        <f aca="false">IF($A78="","",(U77+S77+H77+V77))</f>
        <v>#N/A</v>
      </c>
      <c r="Y77" s="202"/>
      <c r="Z77" s="185" t="e">
        <f aca="false">IF($A78="","",VLOOKUP($A77,Table,MATCH(Z$4,Curves,0)))</f>
        <v>#N/A</v>
      </c>
      <c r="AA77" s="185" t="e">
        <f aca="false">IF($A78="","",VLOOKUP($A77,Table,MATCH(AA$4,Curves,0)))</f>
        <v>#N/A</v>
      </c>
      <c r="AB77" s="185" t="e">
        <f aca="false">SQRT((AA77^2*(A77-$D$3)+Z77^2*(DAY(EOMONTH(A77,0))/2))/AK77)</f>
        <v>#N/A</v>
      </c>
      <c r="AC77" s="185" t="e">
        <f aca="false">IF($A78="","",VLOOKUP($A77,Table,MATCH(AC$4,Curves,0)))</f>
        <v>#N/A</v>
      </c>
      <c r="AD77" s="185" t="e">
        <f aca="false">IF($A78="","",VLOOKUP($A77,Table,MATCH(AD$4,Curves,0)))</f>
        <v>#N/A</v>
      </c>
      <c r="AE77" s="185" t="e">
        <f aca="false">SQRT((AD77^2*(A77-$D$3)+AC77^2*(DAY(EOMONTH(A77,0))/2))/AK77)</f>
        <v>#N/A</v>
      </c>
      <c r="AF77" s="224" t="e">
        <f aca="false">((Summary!$N$14*(AA77*AD77)*(A77-$D$3))+(Summary!$M$14*Z77*AC77*(AJ77-EOMONTH(EDATE(A77,-1),0))))/(AK77*AB77*AE77)</f>
        <v>#N/A</v>
      </c>
      <c r="AG77" s="207" t="n">
        <f aca="false">IF($A78="","",Summary!$Q$14)</f>
        <v>0</v>
      </c>
      <c r="AH77" s="207" t="n">
        <f aca="false">IF($A78="","",IF(Summary!$R$12="Y",(VLOOKUP($A77,Summary!$AD$6:$AF$9,3)+'Escalating commodity'!J90),'Escalating commodity'!J90))</f>
        <v>0.00547282778586367</v>
      </c>
      <c r="AI77" s="207" t="n">
        <f aca="false">IF($A78="","",AH77)</f>
        <v>0.00547282778586367</v>
      </c>
      <c r="AJ77" s="208" t="n">
        <f aca="false">A77+DAY(EOMONTH(A77,0))/2-1</f>
        <v>39097.5</v>
      </c>
      <c r="AK77" s="209" t="n">
        <f aca="false">IF($A78="","",$A77-$E$1)</f>
        <v>-6843</v>
      </c>
      <c r="AL77" s="182" t="e">
        <f aca="false">IF($A78="","",SPRDOPT(P77,X77,AI77,0,AB77,AE77,AF77,AK77,$AJ$2,0))</f>
        <v>#NAME?</v>
      </c>
      <c r="AM77" s="211" t="e">
        <f aca="false">IF($A78="","",MAX(0,O77-W77-AI77))</f>
        <v>#N/A</v>
      </c>
      <c r="AN77" s="211" t="e">
        <f aca="false">IF($A78="","",AL77-AM77)</f>
        <v>#N/A</v>
      </c>
      <c r="AO77" s="137" t="n">
        <f aca="false">IF(A78="","",A78-A77)</f>
        <v>31</v>
      </c>
      <c r="AP77" s="212" t="n">
        <f aca="false">IF(A78="","",CHOOSE(F$3,A78+24,A77))</f>
        <v>39083</v>
      </c>
      <c r="AQ77" s="209" t="n">
        <f aca="false">IF(A78="","",AP77-$E$1)</f>
        <v>-6843</v>
      </c>
      <c r="AR77" s="185" t="n">
        <f aca="false">'ANR OK vs ML7'!AR77</f>
        <v>0.1</v>
      </c>
      <c r="AS77" s="213" t="n">
        <f aca="false">IF(A78="","",1/(1+CHOOSE(F$3,(AR78+($I$3/10000))/2,(AR77+($I$3/10000))/2))^(2*AQ77/365.25))</f>
        <v>6.2225417937771</v>
      </c>
      <c r="AT77" s="137" t="n">
        <f aca="false">IF(A78="","",IF(AND(mthbeg&lt;=A77,mthend&gt;=A77),1,0))</f>
        <v>1</v>
      </c>
      <c r="AU77" s="137" t="n">
        <f aca="false">IF(A78="","",AO77*AT77)</f>
        <v>31</v>
      </c>
      <c r="AW77" s="195" t="e">
        <f aca="false">IF($A78="","",AL77*$E77)</f>
        <v>#NAME?</v>
      </c>
      <c r="AX77" s="195" t="e">
        <f aca="false">IF($A78="","",AM77*$E77)</f>
        <v>#N/A</v>
      </c>
      <c r="AY77" s="195" t="e">
        <f aca="false">IF($A78="","",AN77*$E77)</f>
        <v>#N/A</v>
      </c>
      <c r="BA77" s="195" t="n">
        <f aca="false">IF($A78="","",F77*Summary!$Q$14)</f>
        <v>0</v>
      </c>
      <c r="BC77" s="179" t="e">
        <f aca="false">IF(A78="","",AM77*F77)</f>
        <v>#N/A</v>
      </c>
    </row>
    <row r="78" customFormat="false" ht="12.75" hidden="false" customHeight="false" outlineLevel="0" collapsed="false">
      <c r="A78" s="196" t="n">
        <f aca="false">IF(A77&lt;mthend,EDATE(A77,1),"")</f>
        <v>39114</v>
      </c>
      <c r="B78" s="197" t="n">
        <f aca="false">IF(A78&lt;mthend,B77,"")</f>
        <v>28400</v>
      </c>
      <c r="C78" s="215"/>
      <c r="D78" s="197" t="n">
        <f aca="false">IF(A79&lt;&gt;"",B78+C78,"")</f>
        <v>28400</v>
      </c>
      <c r="E78" s="199" t="n">
        <f aca="false">IF(A79="","",IF(AND(AT78=1,$H$3=1),D78*AO78,IF($H$3=2,D78,"N/A")))</f>
        <v>795200</v>
      </c>
      <c r="F78" s="199" t="n">
        <f aca="false">IF(A79="","",E78*AS78)</f>
        <v>4907353.90219312</v>
      </c>
      <c r="G78" s="200" t="e">
        <f aca="false">IF($A79="","",VLOOKUP($A78,Table,MATCH(G$4,Curves,0)))</f>
        <v>#N/A</v>
      </c>
      <c r="H78" s="201" t="e">
        <f aca="false">IF(A79="","",G78)</f>
        <v>#N/A</v>
      </c>
      <c r="I78" s="202"/>
      <c r="J78" s="200" t="e">
        <f aca="false">IF($A79="","",VLOOKUP($A78,Table,MATCH(J$4,Curves,0)))</f>
        <v>#N/A</v>
      </c>
      <c r="K78" s="201" t="e">
        <f aca="false">IF(A79="","",J78)</f>
        <v>#N/A</v>
      </c>
      <c r="L78" s="185" t="n">
        <v>0</v>
      </c>
      <c r="M78" s="201" t="n">
        <f aca="false">IF(A79="","",L78)</f>
        <v>0</v>
      </c>
      <c r="N78" s="203"/>
      <c r="O78" s="200" t="e">
        <f aca="false">IF(A79="","",L78+J78+G78)</f>
        <v>#N/A</v>
      </c>
      <c r="P78" s="200" t="e">
        <f aca="false">IF(A79="","",M78+K78+H78)</f>
        <v>#N/A</v>
      </c>
      <c r="Q78" s="204"/>
      <c r="R78" s="200" t="e">
        <f aca="false">IF($A79="","",VLOOKUP($A78,Table,MATCH(R$4,Curves,0)))</f>
        <v>#N/A</v>
      </c>
      <c r="S78" s="201" t="e">
        <f aca="false">IF(A79="","",R78)</f>
        <v>#N/A</v>
      </c>
      <c r="T78" s="200" t="e">
        <f aca="false">IF($A79="","",VLOOKUP($A78,Table,MATCH(T$4,Curves,0)))</f>
        <v>#N/A</v>
      </c>
      <c r="U78" s="201" t="e">
        <f aca="false">IF(A79="","",T78)</f>
        <v>#N/A</v>
      </c>
      <c r="V78" s="183" t="e">
        <f aca="false">IF($A79="","",IF(AND(MONTH(A78)&gt;3,MONTH(A78)&lt;11),(T78+R78+G78)*(((1/(1-Summary!$T$14))/(1-Summary!$W$14))-1),(T78+R78+G78)*((1/(1-Summary!$U$14))/(1-Summary!$X$14)-1)))</f>
        <v>#N/A</v>
      </c>
      <c r="W78" s="202" t="e">
        <f aca="false">IF($A79="","",(T78+R78+G78+V78))</f>
        <v>#N/A</v>
      </c>
      <c r="X78" s="202" t="e">
        <f aca="false">IF($A79="","",(U78+S78+H78+V78))</f>
        <v>#N/A</v>
      </c>
      <c r="Y78" s="202"/>
      <c r="Z78" s="185" t="e">
        <f aca="false">IF($A79="","",VLOOKUP($A78,Table,MATCH(Z$4,Curves,0)))</f>
        <v>#N/A</v>
      </c>
      <c r="AA78" s="185" t="e">
        <f aca="false">IF($A79="","",VLOOKUP($A78,Table,MATCH(AA$4,Curves,0)))</f>
        <v>#N/A</v>
      </c>
      <c r="AB78" s="185" t="e">
        <f aca="false">SQRT((AA78^2*(A78-$D$3)+Z78^2*(DAY(EOMONTH(A78,0))/2))/AK78)</f>
        <v>#N/A</v>
      </c>
      <c r="AC78" s="185" t="e">
        <f aca="false">IF($A79="","",VLOOKUP($A78,Table,MATCH(AC$4,Curves,0)))</f>
        <v>#N/A</v>
      </c>
      <c r="AD78" s="185" t="e">
        <f aca="false">IF($A79="","",VLOOKUP($A78,Table,MATCH(AD$4,Curves,0)))</f>
        <v>#N/A</v>
      </c>
      <c r="AE78" s="185" t="e">
        <f aca="false">SQRT((AD78^2*(A78-$D$3)+AC78^2*(DAY(EOMONTH(A78,0))/2))/AK78)</f>
        <v>#N/A</v>
      </c>
      <c r="AF78" s="224" t="e">
        <f aca="false">((Summary!$N$14*(AA78*AD78)*(A78-$D$3))+(Summary!$M$14*Z78*AC78*(AJ78-EOMONTH(EDATE(A78,-1),0))))/(AK78*AB78*AE78)</f>
        <v>#N/A</v>
      </c>
      <c r="AG78" s="207" t="n">
        <f aca="false">IF($A79="","",Summary!$Q$14)</f>
        <v>0</v>
      </c>
      <c r="AH78" s="207" t="n">
        <f aca="false">IF($A79="","",IF(Summary!$R$12="Y",(VLOOKUP($A78,Summary!$AD$6:$AF$9,3)+'Escalating commodity'!J91),'Escalating commodity'!J91))</f>
        <v>0.00547282778586367</v>
      </c>
      <c r="AI78" s="207" t="n">
        <f aca="false">IF($A79="","",AH78)</f>
        <v>0.00547282778586367</v>
      </c>
      <c r="AJ78" s="208" t="n">
        <f aca="false">A78+DAY(EOMONTH(A78,0))/2-1</f>
        <v>39127</v>
      </c>
      <c r="AK78" s="209" t="n">
        <f aca="false">IF($A79="","",$A78-$E$1)</f>
        <v>-6812</v>
      </c>
      <c r="AL78" s="182" t="e">
        <f aca="false">IF($A79="","",SPRDOPT(P78,X78,AI78,0,AB78,AE78,AF78,AK78,$AJ$2,0))</f>
        <v>#NAME?</v>
      </c>
      <c r="AM78" s="211" t="e">
        <f aca="false">IF($A79="","",MAX(0,O78-W78-AI78))</f>
        <v>#N/A</v>
      </c>
      <c r="AN78" s="211" t="e">
        <f aca="false">IF($A79="","",AL78-AM78)</f>
        <v>#N/A</v>
      </c>
      <c r="AO78" s="137" t="n">
        <f aca="false">IF(A79="","",A79-A78)</f>
        <v>28</v>
      </c>
      <c r="AP78" s="212" t="n">
        <f aca="false">IF(A79="","",CHOOSE(F$3,A79+24,A78))</f>
        <v>39114</v>
      </c>
      <c r="AQ78" s="209" t="n">
        <f aca="false">IF(A79="","",AP78-$E$1)</f>
        <v>-6812</v>
      </c>
      <c r="AR78" s="185" t="n">
        <f aca="false">'ANR OK vs ML7'!AR78</f>
        <v>0.1</v>
      </c>
      <c r="AS78" s="213" t="n">
        <f aca="false">IF(A79="","",1/(1+CHOOSE(F$3,(AR79+($I$3/10000))/2,(AR78+($I$3/10000))/2))^(2*AQ78/365.25))</f>
        <v>6.1712196959169</v>
      </c>
      <c r="AT78" s="137" t="n">
        <f aca="false">IF(A79="","",IF(AND(mthbeg&lt;=A78,mthend&gt;=A78),1,0))</f>
        <v>1</v>
      </c>
      <c r="AU78" s="137" t="n">
        <f aca="false">IF(A79="","",AO78*AT78)</f>
        <v>28</v>
      </c>
      <c r="AW78" s="195" t="e">
        <f aca="false">IF($A79="","",AL78*$E78)</f>
        <v>#NAME?</v>
      </c>
      <c r="AX78" s="195" t="e">
        <f aca="false">IF($A79="","",AM78*$E78)</f>
        <v>#N/A</v>
      </c>
      <c r="AY78" s="195" t="e">
        <f aca="false">IF($A79="","",AN78*$E78)</f>
        <v>#N/A</v>
      </c>
      <c r="BA78" s="195" t="n">
        <f aca="false">IF($A79="","",F78*Summary!$Q$14)</f>
        <v>0</v>
      </c>
      <c r="BC78" s="179" t="e">
        <f aca="false">IF(A79="","",AM78*F78)</f>
        <v>#N/A</v>
      </c>
    </row>
    <row r="79" customFormat="false" ht="12.75" hidden="false" customHeight="false" outlineLevel="0" collapsed="false">
      <c r="A79" s="196" t="n">
        <f aca="false">IF(A78&lt;mthend,EDATE(A78,1),"")</f>
        <v>39142</v>
      </c>
      <c r="B79" s="197" t="n">
        <f aca="false">IF(A79&lt;mthend,B78,"")</f>
        <v>28400</v>
      </c>
      <c r="C79" s="215"/>
      <c r="D79" s="197" t="n">
        <f aca="false">IF(A80&lt;&gt;"",B79+C79,"")</f>
        <v>28400</v>
      </c>
      <c r="E79" s="199" t="n">
        <f aca="false">IF(A80="","",IF(AND(AT79=1,$H$3=1),D79*AO79,IF($H$3=2,D79,"N/A")))</f>
        <v>880400</v>
      </c>
      <c r="F79" s="199" t="n">
        <f aca="false">IF(A80="","",E79*AS79)</f>
        <v>5392650.88877407</v>
      </c>
      <c r="G79" s="200" t="e">
        <f aca="false">IF($A80="","",VLOOKUP($A79,Table,MATCH(G$4,Curves,0)))</f>
        <v>#N/A</v>
      </c>
      <c r="H79" s="201" t="e">
        <f aca="false">IF(A80="","",G79)</f>
        <v>#N/A</v>
      </c>
      <c r="I79" s="202"/>
      <c r="J79" s="200" t="e">
        <f aca="false">IF($A80="","",VLOOKUP($A79,Table,MATCH(J$4,Curves,0)))</f>
        <v>#N/A</v>
      </c>
      <c r="K79" s="201" t="e">
        <f aca="false">IF(A80="","",J79)</f>
        <v>#N/A</v>
      </c>
      <c r="L79" s="185" t="n">
        <v>0</v>
      </c>
      <c r="M79" s="201" t="n">
        <f aca="false">IF(A80="","",L79)</f>
        <v>0</v>
      </c>
      <c r="N79" s="203"/>
      <c r="O79" s="200" t="e">
        <f aca="false">IF(A80="","",L79+J79+G79)</f>
        <v>#N/A</v>
      </c>
      <c r="P79" s="200" t="e">
        <f aca="false">IF(A80="","",M79+K79+H79)</f>
        <v>#N/A</v>
      </c>
      <c r="Q79" s="204"/>
      <c r="R79" s="200" t="e">
        <f aca="false">IF($A80="","",VLOOKUP($A79,Table,MATCH(R$4,Curves,0)))</f>
        <v>#N/A</v>
      </c>
      <c r="S79" s="201" t="e">
        <f aca="false">IF(A80="","",R79)</f>
        <v>#N/A</v>
      </c>
      <c r="T79" s="200" t="e">
        <f aca="false">IF($A80="","",VLOOKUP($A79,Table,MATCH(T$4,Curves,0)))</f>
        <v>#N/A</v>
      </c>
      <c r="U79" s="201" t="e">
        <f aca="false">IF(A80="","",T79)</f>
        <v>#N/A</v>
      </c>
      <c r="V79" s="183" t="e">
        <f aca="false">IF($A80="","",IF(AND(MONTH(A79)&gt;3,MONTH(A79)&lt;11),(T79+R79+G79)*(((1/(1-Summary!$T$14))/(1-Summary!$W$14))-1),(T79+R79+G79)*((1/(1-Summary!$U$14))/(1-Summary!$X$14)-1)))</f>
        <v>#N/A</v>
      </c>
      <c r="W79" s="202" t="e">
        <f aca="false">IF($A80="","",(T79+R79+G79+V79))</f>
        <v>#N/A</v>
      </c>
      <c r="X79" s="202" t="e">
        <f aca="false">IF($A80="","",(U79+S79+H79+V79))</f>
        <v>#N/A</v>
      </c>
      <c r="Y79" s="202"/>
      <c r="Z79" s="185" t="e">
        <f aca="false">IF($A80="","",VLOOKUP($A79,Table,MATCH(Z$4,Curves,0)))</f>
        <v>#N/A</v>
      </c>
      <c r="AA79" s="185" t="e">
        <f aca="false">IF($A80="","",VLOOKUP($A79,Table,MATCH(AA$4,Curves,0)))</f>
        <v>#N/A</v>
      </c>
      <c r="AB79" s="185" t="e">
        <f aca="false">SQRT((AA79^2*(A79-$D$3)+Z79^2*(DAY(EOMONTH(A79,0))/2))/AK79)</f>
        <v>#N/A</v>
      </c>
      <c r="AC79" s="185" t="e">
        <f aca="false">IF($A80="","",VLOOKUP($A79,Table,MATCH(AC$4,Curves,0)))</f>
        <v>#N/A</v>
      </c>
      <c r="AD79" s="185" t="e">
        <f aca="false">IF($A80="","",VLOOKUP($A79,Table,MATCH(AD$4,Curves,0)))</f>
        <v>#N/A</v>
      </c>
      <c r="AE79" s="185" t="e">
        <f aca="false">SQRT((AD79^2*(A79-$D$3)+AC79^2*(DAY(EOMONTH(A79,0))/2))/AK79)</f>
        <v>#N/A</v>
      </c>
      <c r="AF79" s="224" t="e">
        <f aca="false">((Summary!$N$14*(AA79*AD79)*(A79-$D$3))+(Summary!$M$14*Z79*AC79*(AJ79-EOMONTH(EDATE(A79,-1),0))))/(AK79*AB79*AE79)</f>
        <v>#N/A</v>
      </c>
      <c r="AG79" s="207" t="n">
        <f aca="false">IF($A80="","",Summary!$Q$14)</f>
        <v>0</v>
      </c>
      <c r="AH79" s="207" t="n">
        <f aca="false">IF($A80="","",IF(Summary!$R$12="Y",(VLOOKUP($A79,Summary!$AD$6:$AF$9,3)+'Escalating commodity'!J92),'Escalating commodity'!J92))</f>
        <v>0.00547282778586367</v>
      </c>
      <c r="AI79" s="207" t="n">
        <f aca="false">IF($A80="","",AH79)</f>
        <v>0.00547282778586367</v>
      </c>
      <c r="AJ79" s="208" t="n">
        <f aca="false">A79+DAY(EOMONTH(A79,0))/2-1</f>
        <v>39156.5</v>
      </c>
      <c r="AK79" s="209" t="n">
        <f aca="false">IF($A80="","",$A79-$E$1)</f>
        <v>-6784</v>
      </c>
      <c r="AL79" s="182" t="e">
        <f aca="false">IF($A80="","",SPRDOPT(P79,X79,AI79,0,AB79,AE79,AF79,AK79,$AJ$2,0))</f>
        <v>#NAME?</v>
      </c>
      <c r="AM79" s="211" t="e">
        <f aca="false">IF($A80="","",MAX(0,O79-W79-AI79))</f>
        <v>#N/A</v>
      </c>
      <c r="AN79" s="211" t="e">
        <f aca="false">IF($A80="","",AL79-AM79)</f>
        <v>#N/A</v>
      </c>
      <c r="AO79" s="137" t="n">
        <f aca="false">IF(A80="","",A80-A79)</f>
        <v>31</v>
      </c>
      <c r="AP79" s="212" t="n">
        <f aca="false">IF(A80="","",CHOOSE(F$3,A80+24,A79))</f>
        <v>39142</v>
      </c>
      <c r="AQ79" s="209" t="n">
        <f aca="false">IF(A80="","",AP79-$E$1)</f>
        <v>-6784</v>
      </c>
      <c r="AR79" s="185" t="n">
        <f aca="false">'ANR OK vs ML7'!AR79</f>
        <v>0.1</v>
      </c>
      <c r="AS79" s="213" t="n">
        <f aca="false">IF(A80="","",1/(1+CHOOSE(F$3,(AR80+($I$3/10000))/2,(AR79+($I$3/10000))/2))^(2*AQ79/365.25))</f>
        <v>6.12522817898009</v>
      </c>
      <c r="AT79" s="137" t="n">
        <f aca="false">IF(A80="","",IF(AND(mthbeg&lt;=A79,mthend&gt;=A79),1,0))</f>
        <v>1</v>
      </c>
      <c r="AU79" s="137" t="n">
        <f aca="false">IF(A80="","",AO79*AT79)</f>
        <v>31</v>
      </c>
      <c r="AW79" s="195" t="e">
        <f aca="false">IF($A80="","",AL79*$E79)</f>
        <v>#NAME?</v>
      </c>
      <c r="AX79" s="195" t="e">
        <f aca="false">IF($A80="","",AM79*$E79)</f>
        <v>#N/A</v>
      </c>
      <c r="AY79" s="195" t="e">
        <f aca="false">IF($A80="","",AN79*$E79)</f>
        <v>#N/A</v>
      </c>
      <c r="BA79" s="195" t="n">
        <f aca="false">IF($A80="","",F79*Summary!$Q$14)</f>
        <v>0</v>
      </c>
      <c r="BC79" s="179" t="e">
        <f aca="false">IF(A80="","",AM79*F79)</f>
        <v>#N/A</v>
      </c>
    </row>
    <row r="80" customFormat="false" ht="12.75" hidden="false" customHeight="false" outlineLevel="0" collapsed="false">
      <c r="A80" s="196" t="n">
        <f aca="false">IF(A79&lt;mthend,EDATE(A79,1),"")</f>
        <v>39173</v>
      </c>
      <c r="B80" s="197" t="n">
        <f aca="false">IF(A80&lt;mthend,B79,"")</f>
        <v>28400</v>
      </c>
      <c r="C80" s="215"/>
      <c r="D80" s="197" t="n">
        <f aca="false">IF(A81&lt;&gt;"",B80+C80,"")</f>
        <v>28400</v>
      </c>
      <c r="E80" s="199" t="n">
        <f aca="false">IF(A81="","",IF(AND(AT80=1,$H$3=1),D80*AO80,IF($H$3=2,D80,"N/A")))</f>
        <v>852000</v>
      </c>
      <c r="F80" s="199" t="n">
        <f aca="false">IF(A81="","",E80*AS80)</f>
        <v>5175651.81367827</v>
      </c>
      <c r="G80" s="200" t="e">
        <f aca="false">IF($A81="","",VLOOKUP($A80,Table,MATCH(G$4,Curves,0)))</f>
        <v>#N/A</v>
      </c>
      <c r="H80" s="201" t="e">
        <f aca="false">IF(A81="","",G80)</f>
        <v>#N/A</v>
      </c>
      <c r="I80" s="202"/>
      <c r="J80" s="200" t="e">
        <f aca="false">IF($A81="","",VLOOKUP($A80,Table,MATCH(J$4,Curves,0)))</f>
        <v>#N/A</v>
      </c>
      <c r="K80" s="201" t="e">
        <f aca="false">IF(A81="","",J80)</f>
        <v>#N/A</v>
      </c>
      <c r="L80" s="185" t="n">
        <v>0</v>
      </c>
      <c r="M80" s="201" t="n">
        <f aca="false">IF(A81="","",L80)</f>
        <v>0</v>
      </c>
      <c r="N80" s="203"/>
      <c r="O80" s="200" t="e">
        <f aca="false">IF(A81="","",L80+J80+G80)</f>
        <v>#N/A</v>
      </c>
      <c r="P80" s="200" t="e">
        <f aca="false">IF(A81="","",M80+K80+H80)</f>
        <v>#N/A</v>
      </c>
      <c r="Q80" s="204"/>
      <c r="R80" s="200" t="e">
        <f aca="false">IF($A81="","",VLOOKUP($A80,Table,MATCH(R$4,Curves,0)))</f>
        <v>#N/A</v>
      </c>
      <c r="S80" s="201" t="e">
        <f aca="false">IF(A81="","",R80)</f>
        <v>#N/A</v>
      </c>
      <c r="T80" s="200" t="e">
        <f aca="false">IF($A81="","",VLOOKUP($A80,Table,MATCH(T$4,Curves,0)))</f>
        <v>#N/A</v>
      </c>
      <c r="U80" s="201" t="e">
        <f aca="false">IF(A81="","",T80)</f>
        <v>#N/A</v>
      </c>
      <c r="V80" s="183" t="e">
        <f aca="false">IF($A81="","",IF(AND(MONTH(A80)&gt;3,MONTH(A80)&lt;11),(T80+R80+G80)*(((1/(1-Summary!$T$14))/(1-Summary!$W$14))-1),(T80+R80+G80)*((1/(1-Summary!$U$14))/(1-Summary!$X$14)-1)))</f>
        <v>#N/A</v>
      </c>
      <c r="W80" s="202" t="e">
        <f aca="false">IF($A81="","",(T80+R80+G80+V80))</f>
        <v>#N/A</v>
      </c>
      <c r="X80" s="202" t="e">
        <f aca="false">IF($A81="","",(U80+S80+H80+V80))</f>
        <v>#N/A</v>
      </c>
      <c r="Y80" s="202"/>
      <c r="Z80" s="185" t="e">
        <f aca="false">IF($A81="","",VLOOKUP($A80,Table,MATCH(Z$4,Curves,0)))</f>
        <v>#N/A</v>
      </c>
      <c r="AA80" s="185" t="e">
        <f aca="false">IF($A81="","",VLOOKUP($A80,Table,MATCH(AA$4,Curves,0)))</f>
        <v>#N/A</v>
      </c>
      <c r="AB80" s="185" t="e">
        <f aca="false">SQRT((AA80^2*(A80-$D$3)+Z80^2*(DAY(EOMONTH(A80,0))/2))/AK80)</f>
        <v>#N/A</v>
      </c>
      <c r="AC80" s="185" t="e">
        <f aca="false">IF($A81="","",VLOOKUP($A80,Table,MATCH(AC$4,Curves,0)))</f>
        <v>#N/A</v>
      </c>
      <c r="AD80" s="185" t="e">
        <f aca="false">IF($A81="","",VLOOKUP($A80,Table,MATCH(AD$4,Curves,0)))</f>
        <v>#N/A</v>
      </c>
      <c r="AE80" s="185" t="e">
        <f aca="false">SQRT((AD80^2*(A80-$D$3)+AC80^2*(DAY(EOMONTH(A80,0))/2))/AK80)</f>
        <v>#N/A</v>
      </c>
      <c r="AF80" s="224" t="e">
        <f aca="false">((Summary!$N$14*(AA80*AD80)*(A80-$D$3))+(Summary!$M$14*Z80*AC80*(AJ80-EOMONTH(EDATE(A80,-1),0))))/(AK80*AB80*AE80)</f>
        <v>#N/A</v>
      </c>
      <c r="AG80" s="207" t="n">
        <f aca="false">IF($A81="","",Summary!$Q$14)</f>
        <v>0</v>
      </c>
      <c r="AH80" s="207" t="n">
        <f aca="false">IF($A81="","",IF(Summary!$R$12="Y",(VLOOKUP($A80,Summary!$AD$6:$AF$9,3)+'Escalating commodity'!J93),'Escalating commodity'!J93))</f>
        <v>0.00547282778586367</v>
      </c>
      <c r="AI80" s="207" t="n">
        <f aca="false">IF($A81="","",AH80)</f>
        <v>0.00547282778586367</v>
      </c>
      <c r="AJ80" s="208" t="n">
        <f aca="false">A80+DAY(EOMONTH(A80,0))/2-1</f>
        <v>39187</v>
      </c>
      <c r="AK80" s="209" t="n">
        <f aca="false">IF($A81="","",$A80-$E$1)</f>
        <v>-6753</v>
      </c>
      <c r="AL80" s="182" t="e">
        <f aca="false">IF($A81="","",SPRDOPT(P80,X80,AI80,0,AB80,AE80,AF80,AK80,$AJ$2,0))</f>
        <v>#NAME?</v>
      </c>
      <c r="AM80" s="211" t="e">
        <f aca="false">IF($A81="","",MAX(0,O80-W80-AI80))</f>
        <v>#N/A</v>
      </c>
      <c r="AN80" s="211" t="e">
        <f aca="false">IF($A81="","",AL80-AM80)</f>
        <v>#N/A</v>
      </c>
      <c r="AO80" s="137" t="n">
        <f aca="false">IF(A81="","",A81-A80)</f>
        <v>30</v>
      </c>
      <c r="AP80" s="212" t="n">
        <f aca="false">IF(A81="","",CHOOSE(F$3,A81+24,A80))</f>
        <v>39173</v>
      </c>
      <c r="AQ80" s="209" t="n">
        <f aca="false">IF(A81="","",AP80-$E$1)</f>
        <v>-6753</v>
      </c>
      <c r="AR80" s="185" t="n">
        <f aca="false">'ANR OK vs ML7'!AR80</f>
        <v>0.1</v>
      </c>
      <c r="AS80" s="213" t="n">
        <f aca="false">IF(A81="","",1/(1+CHOOSE(F$3,(AR81+($I$3/10000))/2,(AR80+($I$3/10000))/2))^(2*AQ80/365.25))</f>
        <v>6.07470870150031</v>
      </c>
      <c r="AT80" s="137" t="n">
        <f aca="false">IF(A81="","",IF(AND(mthbeg&lt;=A80,mthend&gt;=A80),1,0))</f>
        <v>1</v>
      </c>
      <c r="AU80" s="137" t="n">
        <f aca="false">IF(A81="","",AO80*AT80)</f>
        <v>30</v>
      </c>
      <c r="AW80" s="195" t="e">
        <f aca="false">IF($A81="","",AL80*$E80)</f>
        <v>#NAME?</v>
      </c>
      <c r="AX80" s="195" t="e">
        <f aca="false">IF($A81="","",AM80*$E80)</f>
        <v>#N/A</v>
      </c>
      <c r="AY80" s="195" t="e">
        <f aca="false">IF($A81="","",AN80*$E80)</f>
        <v>#N/A</v>
      </c>
      <c r="BA80" s="195" t="n">
        <f aca="false">IF($A81="","",F80*Summary!$Q$14)</f>
        <v>0</v>
      </c>
      <c r="BC80" s="179" t="e">
        <f aca="false">IF(A81="","",AM80*F80)</f>
        <v>#N/A</v>
      </c>
    </row>
    <row r="81" customFormat="false" ht="12.75" hidden="false" customHeight="false" outlineLevel="0" collapsed="false">
      <c r="A81" s="196" t="n">
        <f aca="false">IF(A80&lt;mthend,EDATE(A80,1),"")</f>
        <v>39203</v>
      </c>
      <c r="B81" s="197" t="n">
        <f aca="false">IF(A81&lt;mthend,B80,"")</f>
        <v>28400</v>
      </c>
      <c r="C81" s="215"/>
      <c r="D81" s="197" t="n">
        <f aca="false">IF(A82&lt;&gt;"",B81+C81,"")</f>
        <v>28400</v>
      </c>
      <c r="E81" s="199" t="n">
        <f aca="false">IF(A82="","",IF(AND(AT81=1,$H$3=1),D81*AO81,IF($H$3=2,D81,"N/A")))</f>
        <v>880400</v>
      </c>
      <c r="F81" s="199" t="n">
        <f aca="false">IF(A82="","",E81*AS81)</f>
        <v>5305480.25658814</v>
      </c>
      <c r="G81" s="200" t="e">
        <f aca="false">IF($A82="","",VLOOKUP($A81,Table,MATCH(G$4,Curves,0)))</f>
        <v>#N/A</v>
      </c>
      <c r="H81" s="201" t="e">
        <f aca="false">IF(A82="","",G81)</f>
        <v>#N/A</v>
      </c>
      <c r="I81" s="202"/>
      <c r="J81" s="200" t="e">
        <f aca="false">IF($A82="","",VLOOKUP($A81,Table,MATCH(J$4,Curves,0)))</f>
        <v>#N/A</v>
      </c>
      <c r="K81" s="201" t="e">
        <f aca="false">IF(A82="","",J81)</f>
        <v>#N/A</v>
      </c>
      <c r="L81" s="185" t="n">
        <v>0</v>
      </c>
      <c r="M81" s="201" t="n">
        <f aca="false">IF(A82="","",L81)</f>
        <v>0</v>
      </c>
      <c r="N81" s="203"/>
      <c r="O81" s="200" t="e">
        <f aca="false">IF(A82="","",L81+J81+G81)</f>
        <v>#N/A</v>
      </c>
      <c r="P81" s="200" t="e">
        <f aca="false">IF(A82="","",M81+K81+H81)</f>
        <v>#N/A</v>
      </c>
      <c r="Q81" s="204"/>
      <c r="R81" s="200" t="e">
        <f aca="false">IF($A82="","",VLOOKUP($A81,Table,MATCH(R$4,Curves,0)))</f>
        <v>#N/A</v>
      </c>
      <c r="S81" s="201" t="e">
        <f aca="false">IF(A82="","",R81)</f>
        <v>#N/A</v>
      </c>
      <c r="T81" s="200" t="e">
        <f aca="false">IF($A82="","",VLOOKUP($A81,Table,MATCH(T$4,Curves,0)))</f>
        <v>#N/A</v>
      </c>
      <c r="U81" s="201" t="e">
        <f aca="false">IF(A82="","",T81)</f>
        <v>#N/A</v>
      </c>
      <c r="V81" s="183" t="e">
        <f aca="false">IF($A82="","",IF(AND(MONTH(A81)&gt;3,MONTH(A81)&lt;11),(T81+R81+G81)*(((1/(1-Summary!$T$14))/(1-Summary!$W$14))-1),(T81+R81+G81)*((1/(1-Summary!$U$14))/(1-Summary!$X$14)-1)))</f>
        <v>#N/A</v>
      </c>
      <c r="W81" s="202" t="e">
        <f aca="false">IF($A82="","",(T81+R81+G81+V81))</f>
        <v>#N/A</v>
      </c>
      <c r="X81" s="202" t="e">
        <f aca="false">IF($A82="","",(U81+S81+H81+V81))</f>
        <v>#N/A</v>
      </c>
      <c r="Y81" s="202"/>
      <c r="Z81" s="185" t="e">
        <f aca="false">IF($A82="","",VLOOKUP($A81,Table,MATCH(Z$4,Curves,0)))</f>
        <v>#N/A</v>
      </c>
      <c r="AA81" s="185" t="e">
        <f aca="false">IF($A82="","",VLOOKUP($A81,Table,MATCH(AA$4,Curves,0)))</f>
        <v>#N/A</v>
      </c>
      <c r="AB81" s="185" t="e">
        <f aca="false">SQRT((AA81^2*(A81-$D$3)+Z81^2*(DAY(EOMONTH(A81,0))/2))/AK81)</f>
        <v>#N/A</v>
      </c>
      <c r="AC81" s="185" t="e">
        <f aca="false">IF($A82="","",VLOOKUP($A81,Table,MATCH(AC$4,Curves,0)))</f>
        <v>#N/A</v>
      </c>
      <c r="AD81" s="185" t="e">
        <f aca="false">IF($A82="","",VLOOKUP($A81,Table,MATCH(AD$4,Curves,0)))</f>
        <v>#N/A</v>
      </c>
      <c r="AE81" s="185" t="e">
        <f aca="false">SQRT((AD81^2*(A81-$D$3)+AC81^2*(DAY(EOMONTH(A81,0))/2))/AK81)</f>
        <v>#N/A</v>
      </c>
      <c r="AF81" s="224" t="e">
        <f aca="false">((Summary!$N$14*(AA81*AD81)*(A81-$D$3))+(Summary!$M$14*Z81*AC81*(AJ81-EOMONTH(EDATE(A81,-1),0))))/(AK81*AB81*AE81)</f>
        <v>#N/A</v>
      </c>
      <c r="AG81" s="207" t="n">
        <f aca="false">IF($A82="","",Summary!$Q$14)</f>
        <v>0</v>
      </c>
      <c r="AH81" s="207" t="n">
        <f aca="false">IF($A82="","",IF(Summary!$R$12="Y",(VLOOKUP($A81,Summary!$AD$6:$AF$9,3)+'Escalating commodity'!J94),'Escalating commodity'!J94))</f>
        <v>0.00547282778586367</v>
      </c>
      <c r="AI81" s="207" t="n">
        <f aca="false">IF($A82="","",AH81)</f>
        <v>0.00547282778586367</v>
      </c>
      <c r="AJ81" s="208" t="n">
        <f aca="false">A81+DAY(EOMONTH(A81,0))/2-1</f>
        <v>39217.5</v>
      </c>
      <c r="AK81" s="209" t="n">
        <f aca="false">IF($A82="","",$A81-$E$1)</f>
        <v>-6723</v>
      </c>
      <c r="AL81" s="182" t="e">
        <f aca="false">IF($A82="","",SPRDOPT(P81,X81,AI81,0,AB81,AE81,AF81,AK81,$AJ$2,0))</f>
        <v>#NAME?</v>
      </c>
      <c r="AM81" s="211" t="e">
        <f aca="false">IF($A82="","",MAX(0,O81-W81-AI81))</f>
        <v>#N/A</v>
      </c>
      <c r="AN81" s="211" t="e">
        <f aca="false">IF($A82="","",AL81-AM81)</f>
        <v>#N/A</v>
      </c>
      <c r="AO81" s="137" t="n">
        <f aca="false">IF(A82="","",A82-A81)</f>
        <v>31</v>
      </c>
      <c r="AP81" s="212" t="n">
        <f aca="false">IF(A82="","",CHOOSE(F$3,A82+24,A81))</f>
        <v>39203</v>
      </c>
      <c r="AQ81" s="209" t="n">
        <f aca="false">IF(A82="","",AP81-$E$1)</f>
        <v>-6723</v>
      </c>
      <c r="AR81" s="185" t="n">
        <f aca="false">'ANR OK vs ML7'!AR81</f>
        <v>0.1</v>
      </c>
      <c r="AS81" s="213" t="n">
        <f aca="false">IF(A82="","",1/(1+CHOOSE(F$3,(AR82+($I$3/10000))/2,(AR81+($I$3/10000))/2))^(2*AQ81/365.25))</f>
        <v>6.02621564810102</v>
      </c>
      <c r="AT81" s="137" t="n">
        <f aca="false">IF(A82="","",IF(AND(mthbeg&lt;=A81,mthend&gt;=A81),1,0))</f>
        <v>1</v>
      </c>
      <c r="AU81" s="137" t="n">
        <f aca="false">IF(A82="","",AO81*AT81)</f>
        <v>31</v>
      </c>
      <c r="AW81" s="195" t="e">
        <f aca="false">IF($A82="","",AL81*$E81)</f>
        <v>#NAME?</v>
      </c>
      <c r="AX81" s="195" t="e">
        <f aca="false">IF($A82="","",AM81*$E81)</f>
        <v>#N/A</v>
      </c>
      <c r="AY81" s="195" t="e">
        <f aca="false">IF($A82="","",AN81*$E81)</f>
        <v>#N/A</v>
      </c>
      <c r="BA81" s="195" t="n">
        <f aca="false">IF($A82="","",F81*Summary!$Q$14)</f>
        <v>0</v>
      </c>
      <c r="BC81" s="179" t="e">
        <f aca="false">IF(A82="","",AM81*F81)</f>
        <v>#N/A</v>
      </c>
    </row>
    <row r="82" customFormat="false" ht="12.75" hidden="false" customHeight="false" outlineLevel="0" collapsed="false">
      <c r="A82" s="196" t="n">
        <f aca="false">IF(A81&lt;mthend,EDATE(A81,1),"")</f>
        <v>39234</v>
      </c>
      <c r="B82" s="197" t="n">
        <f aca="false">IF(A82&lt;mthend,B81,"")</f>
        <v>28400</v>
      </c>
      <c r="C82" s="215"/>
      <c r="D82" s="197" t="n">
        <f aca="false">IF(A83&lt;&gt;"",B82+C82,"")</f>
        <v>28400</v>
      </c>
      <c r="E82" s="199" t="n">
        <f aca="false">IF(A83="","",IF(AND(AT82=1,$H$3=1),D82*AO82,IF($H$3=2,D82,"N/A")))</f>
        <v>852000</v>
      </c>
      <c r="F82" s="199" t="n">
        <f aca="false">IF(A83="","",E82*AS82)</f>
        <v>5091988.9083877</v>
      </c>
      <c r="G82" s="200" t="e">
        <f aca="false">IF($A83="","",VLOOKUP($A82,Table,MATCH(G$4,Curves,0)))</f>
        <v>#N/A</v>
      </c>
      <c r="H82" s="201" t="e">
        <f aca="false">IF(A83="","",G82)</f>
        <v>#N/A</v>
      </c>
      <c r="I82" s="202"/>
      <c r="J82" s="200" t="e">
        <f aca="false">IF($A83="","",VLOOKUP($A82,Table,MATCH(J$4,Curves,0)))</f>
        <v>#N/A</v>
      </c>
      <c r="K82" s="201" t="e">
        <f aca="false">IF(A83="","",J82)</f>
        <v>#N/A</v>
      </c>
      <c r="L82" s="185" t="n">
        <v>0</v>
      </c>
      <c r="M82" s="201" t="n">
        <f aca="false">IF(A83="","",L82)</f>
        <v>0</v>
      </c>
      <c r="N82" s="203"/>
      <c r="O82" s="200" t="e">
        <f aca="false">IF(A83="","",L82+J82+G82)</f>
        <v>#N/A</v>
      </c>
      <c r="P82" s="200" t="e">
        <f aca="false">IF(A83="","",M82+K82+H82)</f>
        <v>#N/A</v>
      </c>
      <c r="Q82" s="204"/>
      <c r="R82" s="200" t="e">
        <f aca="false">IF($A83="","",VLOOKUP($A82,Table,MATCH(R$4,Curves,0)))</f>
        <v>#N/A</v>
      </c>
      <c r="S82" s="201" t="e">
        <f aca="false">IF(A83="","",R82)</f>
        <v>#N/A</v>
      </c>
      <c r="T82" s="200" t="e">
        <f aca="false">IF($A83="","",VLOOKUP($A82,Table,MATCH(T$4,Curves,0)))</f>
        <v>#N/A</v>
      </c>
      <c r="U82" s="201" t="e">
        <f aca="false">IF(A83="","",T82)</f>
        <v>#N/A</v>
      </c>
      <c r="V82" s="183" t="e">
        <f aca="false">IF($A83="","",IF(AND(MONTH(A82)&gt;3,MONTH(A82)&lt;11),(T82+R82+G82)*(((1/(1-Summary!$T$14))/(1-Summary!$W$14))-1),(T82+R82+G82)*((1/(1-Summary!$U$14))/(1-Summary!$X$14)-1)))</f>
        <v>#N/A</v>
      </c>
      <c r="W82" s="202" t="e">
        <f aca="false">IF($A83="","",(T82+R82+G82+V82))</f>
        <v>#N/A</v>
      </c>
      <c r="X82" s="202" t="e">
        <f aca="false">IF($A83="","",(U82+S82+H82+V82))</f>
        <v>#N/A</v>
      </c>
      <c r="Y82" s="202"/>
      <c r="Z82" s="185" t="e">
        <f aca="false">IF($A83="","",VLOOKUP($A82,Table,MATCH(Z$4,Curves,0)))</f>
        <v>#N/A</v>
      </c>
      <c r="AA82" s="185" t="e">
        <f aca="false">IF($A83="","",VLOOKUP($A82,Table,MATCH(AA$4,Curves,0)))</f>
        <v>#N/A</v>
      </c>
      <c r="AB82" s="185" t="e">
        <f aca="false">SQRT((AA82^2*(A82-$D$3)+Z82^2*(DAY(EOMONTH(A82,0))/2))/AK82)</f>
        <v>#N/A</v>
      </c>
      <c r="AC82" s="185" t="e">
        <f aca="false">IF($A83="","",VLOOKUP($A82,Table,MATCH(AC$4,Curves,0)))</f>
        <v>#N/A</v>
      </c>
      <c r="AD82" s="185" t="e">
        <f aca="false">IF($A83="","",VLOOKUP($A82,Table,MATCH(AD$4,Curves,0)))</f>
        <v>#N/A</v>
      </c>
      <c r="AE82" s="185" t="e">
        <f aca="false">SQRT((AD82^2*(A82-$D$3)+AC82^2*(DAY(EOMONTH(A82,0))/2))/AK82)</f>
        <v>#N/A</v>
      </c>
      <c r="AF82" s="224" t="e">
        <f aca="false">((Summary!$N$14*(AA82*AD82)*(A82-$D$3))+(Summary!$M$14*Z82*AC82*(AJ82-EOMONTH(EDATE(A82,-1),0))))/(AK82*AB82*AE82)</f>
        <v>#N/A</v>
      </c>
      <c r="AG82" s="207" t="n">
        <f aca="false">IF($A83="","",Summary!$Q$14)</f>
        <v>0</v>
      </c>
      <c r="AH82" s="207" t="n">
        <f aca="false">IF($A83="","",IF(Summary!$R$12="Y",(VLOOKUP($A82,Summary!$AD$6:$AF$9,3)+'Escalating commodity'!J95),'Escalating commodity'!J95))</f>
        <v>0.00547282778586367</v>
      </c>
      <c r="AI82" s="207" t="n">
        <f aca="false">IF($A83="","",AH82)</f>
        <v>0.00547282778586367</v>
      </c>
      <c r="AJ82" s="208" t="n">
        <f aca="false">A82+DAY(EOMONTH(A82,0))/2-1</f>
        <v>39248</v>
      </c>
      <c r="AK82" s="209" t="n">
        <f aca="false">IF($A83="","",$A82-$E$1)</f>
        <v>-6692</v>
      </c>
      <c r="AL82" s="182" t="e">
        <f aca="false">IF($A83="","",SPRDOPT(P82,X82,AI82,0,AB82,AE82,AF82,AK82,$AJ$2,0))</f>
        <v>#NAME?</v>
      </c>
      <c r="AM82" s="211" t="e">
        <f aca="false">IF($A83="","",MAX(0,O82-W82-AI82))</f>
        <v>#N/A</v>
      </c>
      <c r="AN82" s="211" t="e">
        <f aca="false">IF($A83="","",AL82-AM82)</f>
        <v>#N/A</v>
      </c>
      <c r="AO82" s="137" t="n">
        <f aca="false">IF(A83="","",A83-A82)</f>
        <v>30</v>
      </c>
      <c r="AP82" s="212" t="n">
        <f aca="false">IF(A83="","",CHOOSE(F$3,A83+24,A82))</f>
        <v>39234</v>
      </c>
      <c r="AQ82" s="209" t="n">
        <f aca="false">IF(A83="","",AP82-$E$1)</f>
        <v>-6692</v>
      </c>
      <c r="AR82" s="185" t="n">
        <f aca="false">'ANR OK vs ML7'!AR82</f>
        <v>0.1</v>
      </c>
      <c r="AS82" s="213" t="n">
        <f aca="false">IF(A83="","",1/(1+CHOOSE(F$3,(AR83+($I$3/10000))/2,(AR82+($I$3/10000))/2))^(2*AQ82/365.25))</f>
        <v>5.97651280327195</v>
      </c>
      <c r="AT82" s="137" t="n">
        <f aca="false">IF(A83="","",IF(AND(mthbeg&lt;=A82,mthend&gt;=A82),1,0))</f>
        <v>1</v>
      </c>
      <c r="AU82" s="137" t="n">
        <f aca="false">IF(A83="","",AO82*AT82)</f>
        <v>30</v>
      </c>
      <c r="AW82" s="195" t="e">
        <f aca="false">IF($A83="","",AL82*$E82)</f>
        <v>#NAME?</v>
      </c>
      <c r="AX82" s="195" t="e">
        <f aca="false">IF($A83="","",AM82*$E82)</f>
        <v>#N/A</v>
      </c>
      <c r="AY82" s="195" t="e">
        <f aca="false">IF($A83="","",AN82*$E82)</f>
        <v>#N/A</v>
      </c>
      <c r="BA82" s="195" t="n">
        <f aca="false">IF($A83="","",F82*Summary!$Q$14)</f>
        <v>0</v>
      </c>
      <c r="BC82" s="179" t="e">
        <f aca="false">IF(A83="","",AM82*F82)</f>
        <v>#N/A</v>
      </c>
    </row>
    <row r="83" customFormat="false" ht="12.75" hidden="false" customHeight="false" outlineLevel="0" collapsed="false">
      <c r="A83" s="196" t="n">
        <f aca="false">IF(A82&lt;mthend,EDATE(A82,1),"")</f>
        <v>39264</v>
      </c>
      <c r="B83" s="197" t="n">
        <f aca="false">IF(A83&lt;mthend,B82,"")</f>
        <v>28400</v>
      </c>
      <c r="C83" s="215"/>
      <c r="D83" s="197" t="n">
        <f aca="false">IF(A84&lt;&gt;"",B83+C83,"")</f>
        <v>28400</v>
      </c>
      <c r="E83" s="199" t="n">
        <f aca="false">IF(A84="","",IF(AND(AT83=1,$H$3=1),D83*AO83,IF($H$3=2,D83,"N/A")))</f>
        <v>880400</v>
      </c>
      <c r="F83" s="199" t="n">
        <f aca="false">IF(A84="","",E83*AS83)</f>
        <v>5219718.71230209</v>
      </c>
      <c r="G83" s="200" t="e">
        <f aca="false">IF($A84="","",VLOOKUP($A83,Table,MATCH(G$4,Curves,0)))</f>
        <v>#N/A</v>
      </c>
      <c r="H83" s="201" t="e">
        <f aca="false">IF(A84="","",G83)</f>
        <v>#N/A</v>
      </c>
      <c r="I83" s="202"/>
      <c r="J83" s="200" t="e">
        <f aca="false">IF($A84="","",VLOOKUP($A83,Table,MATCH(J$4,Curves,0)))</f>
        <v>#N/A</v>
      </c>
      <c r="K83" s="201" t="e">
        <f aca="false">IF(A84="","",J83)</f>
        <v>#N/A</v>
      </c>
      <c r="L83" s="185" t="n">
        <v>0</v>
      </c>
      <c r="M83" s="201" t="n">
        <f aca="false">IF(A84="","",L83)</f>
        <v>0</v>
      </c>
      <c r="N83" s="203"/>
      <c r="O83" s="200" t="e">
        <f aca="false">IF(A84="","",L83+J83+G83)</f>
        <v>#N/A</v>
      </c>
      <c r="P83" s="200" t="e">
        <f aca="false">IF(A84="","",M83+K83+H83)</f>
        <v>#N/A</v>
      </c>
      <c r="Q83" s="204"/>
      <c r="R83" s="200" t="e">
        <f aca="false">IF($A84="","",VLOOKUP($A83,Table,MATCH(R$4,Curves,0)))</f>
        <v>#N/A</v>
      </c>
      <c r="S83" s="201" t="e">
        <f aca="false">IF(A84="","",R83)</f>
        <v>#N/A</v>
      </c>
      <c r="T83" s="200" t="e">
        <f aca="false">IF($A84="","",VLOOKUP($A83,Table,MATCH(T$4,Curves,0)))</f>
        <v>#N/A</v>
      </c>
      <c r="U83" s="201" t="e">
        <f aca="false">IF(A84="","",T83)</f>
        <v>#N/A</v>
      </c>
      <c r="V83" s="183" t="e">
        <f aca="false">IF($A84="","",IF(AND(MONTH(A83)&gt;3,MONTH(A83)&lt;11),(T83+R83+G83)*(((1/(1-Summary!$T$14))/(1-Summary!$W$14))-1),(T83+R83+G83)*((1/(1-Summary!$U$14))/(1-Summary!$X$14)-1)))</f>
        <v>#N/A</v>
      </c>
      <c r="W83" s="202" t="e">
        <f aca="false">IF($A84="","",(T83+R83+G83+V83))</f>
        <v>#N/A</v>
      </c>
      <c r="X83" s="202" t="e">
        <f aca="false">IF($A84="","",(U83+S83+H83+V83))</f>
        <v>#N/A</v>
      </c>
      <c r="Y83" s="202"/>
      <c r="Z83" s="185" t="e">
        <f aca="false">IF($A84="","",VLOOKUP($A83,Table,MATCH(Z$4,Curves,0)))</f>
        <v>#N/A</v>
      </c>
      <c r="AA83" s="185" t="e">
        <f aca="false">IF($A84="","",VLOOKUP($A83,Table,MATCH(AA$4,Curves,0)))</f>
        <v>#N/A</v>
      </c>
      <c r="AB83" s="185" t="e">
        <f aca="false">SQRT((AA83^2*(A83-$D$3)+Z83^2*(DAY(EOMONTH(A83,0))/2))/AK83)</f>
        <v>#N/A</v>
      </c>
      <c r="AC83" s="185" t="e">
        <f aca="false">IF($A84="","",VLOOKUP($A83,Table,MATCH(AC$4,Curves,0)))</f>
        <v>#N/A</v>
      </c>
      <c r="AD83" s="185" t="e">
        <f aca="false">IF($A84="","",VLOOKUP($A83,Table,MATCH(AD$4,Curves,0)))</f>
        <v>#N/A</v>
      </c>
      <c r="AE83" s="185" t="e">
        <f aca="false">SQRT((AD83^2*(A83-$D$3)+AC83^2*(DAY(EOMONTH(A83,0))/2))/AK83)</f>
        <v>#N/A</v>
      </c>
      <c r="AF83" s="224" t="e">
        <f aca="false">((Summary!$N$14*(AA83*AD83)*(A83-$D$3))+(Summary!$M$14*Z83*AC83*(AJ83-EOMONTH(EDATE(A83,-1),0))))/(AK83*AB83*AE83)</f>
        <v>#N/A</v>
      </c>
      <c r="AG83" s="207" t="n">
        <f aca="false">IF($A84="","",Summary!$Q$14)</f>
        <v>0</v>
      </c>
      <c r="AH83" s="207" t="n">
        <f aca="false">IF($A84="","",IF(Summary!$R$12="Y",(VLOOKUP($A83,Summary!$AD$6:$AF$9,3)+'Escalating commodity'!J96),'Escalating commodity'!J96))</f>
        <v>0.00547282778586367</v>
      </c>
      <c r="AI83" s="207" t="n">
        <f aca="false">IF($A84="","",AH83)</f>
        <v>0.00547282778586367</v>
      </c>
      <c r="AJ83" s="208" t="n">
        <f aca="false">A83+DAY(EOMONTH(A83,0))/2-1</f>
        <v>39278.5</v>
      </c>
      <c r="AK83" s="209" t="n">
        <f aca="false">IF($A84="","",$A83-$E$1)</f>
        <v>-6662</v>
      </c>
      <c r="AL83" s="182" t="e">
        <f aca="false">IF($A84="","",SPRDOPT(P83,X83,AI83,0,AB83,AE83,AF83,AK83,$AJ$2,0))</f>
        <v>#NAME?</v>
      </c>
      <c r="AM83" s="211" t="e">
        <f aca="false">IF($A84="","",MAX(0,O83-W83-AI83))</f>
        <v>#N/A</v>
      </c>
      <c r="AN83" s="211" t="e">
        <f aca="false">IF($A84="","",AL83-AM83)</f>
        <v>#N/A</v>
      </c>
      <c r="AO83" s="137" t="n">
        <f aca="false">IF(A84="","",A84-A83)</f>
        <v>31</v>
      </c>
      <c r="AP83" s="212" t="n">
        <f aca="false">IF(A84="","",CHOOSE(F$3,A84+24,A83))</f>
        <v>39264</v>
      </c>
      <c r="AQ83" s="209" t="n">
        <f aca="false">IF(A84="","",AP83-$E$1)</f>
        <v>-6662</v>
      </c>
      <c r="AR83" s="185" t="n">
        <f aca="false">'ANR OK vs ML7'!AR83</f>
        <v>0.1</v>
      </c>
      <c r="AS83" s="213" t="n">
        <f aca="false">IF(A84="","",1/(1+CHOOSE(F$3,(AR84+($I$3/10000))/2,(AR83+($I$3/10000))/2))^(2*AQ83/365.25))</f>
        <v>5.92880362596785</v>
      </c>
      <c r="AT83" s="137" t="n">
        <f aca="false">IF(A84="","",IF(AND(mthbeg&lt;=A83,mthend&gt;=A83),1,0))</f>
        <v>1</v>
      </c>
      <c r="AU83" s="137" t="n">
        <f aca="false">IF(A84="","",AO83*AT83)</f>
        <v>31</v>
      </c>
      <c r="AW83" s="195" t="e">
        <f aca="false">IF($A84="","",AL83*$E83)</f>
        <v>#NAME?</v>
      </c>
      <c r="AX83" s="195" t="e">
        <f aca="false">IF($A84="","",AM83*$E83)</f>
        <v>#N/A</v>
      </c>
      <c r="AY83" s="195" t="e">
        <f aca="false">IF($A84="","",AN83*$E83)</f>
        <v>#N/A</v>
      </c>
      <c r="BA83" s="195" t="n">
        <f aca="false">IF($A84="","",F83*Summary!$Q$14)</f>
        <v>0</v>
      </c>
      <c r="BC83" s="179" t="e">
        <f aca="false">IF(A84="","",AM83*F83)</f>
        <v>#N/A</v>
      </c>
    </row>
    <row r="84" customFormat="false" ht="12.75" hidden="false" customHeight="false" outlineLevel="0" collapsed="false">
      <c r="A84" s="196" t="n">
        <f aca="false">IF(A83&lt;mthend,EDATE(A83,1),"")</f>
        <v>39295</v>
      </c>
      <c r="B84" s="197" t="n">
        <f aca="false">IF(A84&lt;mthend,B83,"")</f>
        <v>28400</v>
      </c>
      <c r="C84" s="215"/>
      <c r="D84" s="197" t="n">
        <f aca="false">IF(A85&lt;&gt;"",B84+C84,"")</f>
        <v>28400</v>
      </c>
      <c r="E84" s="199" t="n">
        <f aca="false">IF(A85="","",IF(AND(AT84=1,$H$3=1),D84*AO84,IF($H$3=2,D84,"N/A")))</f>
        <v>880400</v>
      </c>
      <c r="F84" s="199" t="n">
        <f aca="false">IF(A85="","",E84*AS84)</f>
        <v>5176667.66926637</v>
      </c>
      <c r="G84" s="200" t="e">
        <f aca="false">IF($A85="","",VLOOKUP($A84,Table,MATCH(G$4,Curves,0)))</f>
        <v>#N/A</v>
      </c>
      <c r="H84" s="201" t="e">
        <f aca="false">IF(A85="","",G84)</f>
        <v>#N/A</v>
      </c>
      <c r="I84" s="202"/>
      <c r="J84" s="200" t="e">
        <f aca="false">IF($A85="","",VLOOKUP($A84,Table,MATCH(J$4,Curves,0)))</f>
        <v>#N/A</v>
      </c>
      <c r="K84" s="201" t="e">
        <f aca="false">IF(A85="","",J84)</f>
        <v>#N/A</v>
      </c>
      <c r="L84" s="185" t="n">
        <v>0</v>
      </c>
      <c r="M84" s="201" t="n">
        <f aca="false">IF(A85="","",L84)</f>
        <v>0</v>
      </c>
      <c r="N84" s="203"/>
      <c r="O84" s="200" t="e">
        <f aca="false">IF(A85="","",L84+J84+G84)</f>
        <v>#N/A</v>
      </c>
      <c r="P84" s="200" t="e">
        <f aca="false">IF(A85="","",M84+K84+H84)</f>
        <v>#N/A</v>
      </c>
      <c r="Q84" s="204"/>
      <c r="R84" s="200" t="e">
        <f aca="false">IF($A85="","",VLOOKUP($A84,Table,MATCH(R$4,Curves,0)))</f>
        <v>#N/A</v>
      </c>
      <c r="S84" s="201" t="e">
        <f aca="false">IF(A85="","",R84)</f>
        <v>#N/A</v>
      </c>
      <c r="T84" s="200" t="e">
        <f aca="false">IF($A85="","",VLOOKUP($A84,Table,MATCH(T$4,Curves,0)))</f>
        <v>#N/A</v>
      </c>
      <c r="U84" s="201" t="e">
        <f aca="false">IF(A85="","",T84)</f>
        <v>#N/A</v>
      </c>
      <c r="V84" s="183" t="e">
        <f aca="false">IF($A85="","",IF(AND(MONTH(A84)&gt;3,MONTH(A84)&lt;11),(T84+R84+G84)*(((1/(1-Summary!$T$14))/(1-Summary!$W$14))-1),(T84+R84+G84)*((1/(1-Summary!$U$14))/(1-Summary!$X$14)-1)))</f>
        <v>#N/A</v>
      </c>
      <c r="W84" s="202" t="e">
        <f aca="false">IF($A85="","",(T84+R84+G84+V84))</f>
        <v>#N/A</v>
      </c>
      <c r="X84" s="202" t="e">
        <f aca="false">IF($A85="","",(U84+S84+H84+V84))</f>
        <v>#N/A</v>
      </c>
      <c r="Y84" s="202"/>
      <c r="Z84" s="185" t="e">
        <f aca="false">IF($A85="","",VLOOKUP($A84,Table,MATCH(Z$4,Curves,0)))</f>
        <v>#N/A</v>
      </c>
      <c r="AA84" s="185" t="e">
        <f aca="false">IF($A85="","",VLOOKUP($A84,Table,MATCH(AA$4,Curves,0)))</f>
        <v>#N/A</v>
      </c>
      <c r="AB84" s="185" t="e">
        <f aca="false">SQRT((AA84^2*(A84-$D$3)+Z84^2*(DAY(EOMONTH(A84,0))/2))/AK84)</f>
        <v>#N/A</v>
      </c>
      <c r="AC84" s="185" t="e">
        <f aca="false">IF($A85="","",VLOOKUP($A84,Table,MATCH(AC$4,Curves,0)))</f>
        <v>#N/A</v>
      </c>
      <c r="AD84" s="185" t="e">
        <f aca="false">IF($A85="","",VLOOKUP($A84,Table,MATCH(AD$4,Curves,0)))</f>
        <v>#N/A</v>
      </c>
      <c r="AE84" s="185" t="e">
        <f aca="false">SQRT((AD84^2*(A84-$D$3)+AC84^2*(DAY(EOMONTH(A84,0))/2))/AK84)</f>
        <v>#N/A</v>
      </c>
      <c r="AF84" s="224" t="e">
        <f aca="false">((Summary!$N$14*(AA84*AD84)*(A84-$D$3))+(Summary!$M$14*Z84*AC84*(AJ84-EOMONTH(EDATE(A84,-1),0))))/(AK84*AB84*AE84)</f>
        <v>#N/A</v>
      </c>
      <c r="AG84" s="207" t="n">
        <f aca="false">IF($A85="","",Summary!$Q$14)</f>
        <v>0</v>
      </c>
      <c r="AH84" s="207" t="n">
        <f aca="false">IF($A85="","",IF(Summary!$R$12="Y",(VLOOKUP($A84,Summary!$AD$6:$AF$9,3)+'Escalating commodity'!J97),'Escalating commodity'!J97))</f>
        <v>0.00547282778586367</v>
      </c>
      <c r="AI84" s="207" t="n">
        <f aca="false">IF($A85="","",AH84)</f>
        <v>0.00547282778586367</v>
      </c>
      <c r="AJ84" s="208" t="n">
        <f aca="false">A84+DAY(EOMONTH(A84,0))/2-1</f>
        <v>39309.5</v>
      </c>
      <c r="AK84" s="209" t="n">
        <f aca="false">IF($A85="","",$A84-$E$1)</f>
        <v>-6631</v>
      </c>
      <c r="AL84" s="182" t="e">
        <f aca="false">IF($A85="","",SPRDOPT(P84,X84,AI84,0,AB84,AE84,AF84,AK84,$AJ$2,0))</f>
        <v>#NAME?</v>
      </c>
      <c r="AM84" s="211" t="e">
        <f aca="false">IF($A85="","",MAX(0,O84-W84-AI84))</f>
        <v>#N/A</v>
      </c>
      <c r="AN84" s="211" t="e">
        <f aca="false">IF($A85="","",AL84-AM84)</f>
        <v>#N/A</v>
      </c>
      <c r="AO84" s="137" t="n">
        <f aca="false">IF(A85="","",A85-A84)</f>
        <v>31</v>
      </c>
      <c r="AP84" s="212" t="n">
        <f aca="false">IF(A85="","",CHOOSE(F$3,A85+24,A84))</f>
        <v>39295</v>
      </c>
      <c r="AQ84" s="209" t="n">
        <f aca="false">IF(A85="","",AP84-$E$1)</f>
        <v>-6631</v>
      </c>
      <c r="AR84" s="185" t="n">
        <f aca="false">'ANR OK vs ML7'!AR84</f>
        <v>0.1</v>
      </c>
      <c r="AS84" s="213" t="n">
        <f aca="false">IF(A85="","",1/(1+CHOOSE(F$3,(AR85+($I$3/10000))/2,(AR84+($I$3/10000))/2))^(2*AQ84/365.25))</f>
        <v>5.87990421316034</v>
      </c>
      <c r="AT84" s="137" t="n">
        <f aca="false">IF(A85="","",IF(AND(mthbeg&lt;=A84,mthend&gt;=A84),1,0))</f>
        <v>1</v>
      </c>
      <c r="AU84" s="137" t="n">
        <f aca="false">IF(A85="","",AO84*AT84)</f>
        <v>31</v>
      </c>
      <c r="AW84" s="195" t="e">
        <f aca="false">IF($A85="","",AL84*$E84)</f>
        <v>#NAME?</v>
      </c>
      <c r="AX84" s="195" t="e">
        <f aca="false">IF($A85="","",AM84*$E84)</f>
        <v>#N/A</v>
      </c>
      <c r="AY84" s="195" t="e">
        <f aca="false">IF($A85="","",AN84*$E84)</f>
        <v>#N/A</v>
      </c>
      <c r="BA84" s="195" t="n">
        <f aca="false">IF($A85="","",F84*Summary!$Q$14)</f>
        <v>0</v>
      </c>
      <c r="BC84" s="179" t="e">
        <f aca="false">IF(A85="","",AM84*F84)</f>
        <v>#N/A</v>
      </c>
    </row>
    <row r="85" customFormat="false" ht="12.75" hidden="false" customHeight="false" outlineLevel="0" collapsed="false">
      <c r="A85" s="196" t="n">
        <f aca="false">IF(A84&lt;mthend,EDATE(A84,1),"")</f>
        <v>39326</v>
      </c>
      <c r="B85" s="197" t="n">
        <f aca="false">IF(A85&lt;mthend,B84,"")</f>
        <v>28400</v>
      </c>
      <c r="C85" s="215"/>
      <c r="D85" s="197" t="n">
        <f aca="false">IF(A86&lt;&gt;"",B85+C85,"")</f>
        <v>28400</v>
      </c>
      <c r="E85" s="199" t="n">
        <f aca="false">IF(A86="","",IF(AND(AT85=1,$H$3=1),D85*AO85,IF($H$3=2,D85,"N/A")))</f>
        <v>852000</v>
      </c>
      <c r="F85" s="199" t="n">
        <f aca="false">IF(A86="","",E85*AS85)</f>
        <v>4968359.7109953</v>
      </c>
      <c r="G85" s="200" t="e">
        <f aca="false">IF($A86="","",VLOOKUP($A85,Table,MATCH(G$4,Curves,0)))</f>
        <v>#N/A</v>
      </c>
      <c r="H85" s="201" t="e">
        <f aca="false">IF(A86="","",G85)</f>
        <v>#N/A</v>
      </c>
      <c r="I85" s="202"/>
      <c r="J85" s="200" t="e">
        <f aca="false">IF($A86="","",VLOOKUP($A85,Table,MATCH(J$4,Curves,0)))</f>
        <v>#N/A</v>
      </c>
      <c r="K85" s="201" t="e">
        <f aca="false">IF(A86="","",J85)</f>
        <v>#N/A</v>
      </c>
      <c r="L85" s="185" t="n">
        <v>0</v>
      </c>
      <c r="M85" s="201" t="n">
        <f aca="false">IF(A86="","",L85)</f>
        <v>0</v>
      </c>
      <c r="N85" s="203"/>
      <c r="O85" s="200" t="e">
        <f aca="false">IF(A86="","",L85+J85+G85)</f>
        <v>#N/A</v>
      </c>
      <c r="P85" s="200" t="e">
        <f aca="false">IF(A86="","",M85+K85+H85)</f>
        <v>#N/A</v>
      </c>
      <c r="Q85" s="204"/>
      <c r="R85" s="200" t="e">
        <f aca="false">IF($A86="","",VLOOKUP($A85,Table,MATCH(R$4,Curves,0)))</f>
        <v>#N/A</v>
      </c>
      <c r="S85" s="201" t="e">
        <f aca="false">IF(A86="","",R85)</f>
        <v>#N/A</v>
      </c>
      <c r="T85" s="200" t="e">
        <f aca="false">IF($A86="","",VLOOKUP($A85,Table,MATCH(T$4,Curves,0)))</f>
        <v>#N/A</v>
      </c>
      <c r="U85" s="201" t="e">
        <f aca="false">IF(A86="","",T85)</f>
        <v>#N/A</v>
      </c>
      <c r="V85" s="183" t="e">
        <f aca="false">IF($A86="","",IF(AND(MONTH(A85)&gt;3,MONTH(A85)&lt;11),(T85+R85+G85)*(((1/(1-Summary!$T$14))/(1-Summary!$W$14))-1),(T85+R85+G85)*((1/(1-Summary!$U$14))/(1-Summary!$X$14)-1)))</f>
        <v>#N/A</v>
      </c>
      <c r="W85" s="202" t="e">
        <f aca="false">IF($A86="","",(T85+R85+G85+V85))</f>
        <v>#N/A</v>
      </c>
      <c r="X85" s="202" t="e">
        <f aca="false">IF($A86="","",(U85+S85+H85+V85))</f>
        <v>#N/A</v>
      </c>
      <c r="Y85" s="202"/>
      <c r="Z85" s="185" t="e">
        <f aca="false">IF($A86="","",VLOOKUP($A85,Table,MATCH(Z$4,Curves,0)))</f>
        <v>#N/A</v>
      </c>
      <c r="AA85" s="185" t="e">
        <f aca="false">IF($A86="","",VLOOKUP($A85,Table,MATCH(AA$4,Curves,0)))</f>
        <v>#N/A</v>
      </c>
      <c r="AB85" s="185" t="e">
        <f aca="false">SQRT((AA85^2*(A85-$D$3)+Z85^2*(DAY(EOMONTH(A85,0))/2))/AK85)</f>
        <v>#N/A</v>
      </c>
      <c r="AC85" s="185" t="e">
        <f aca="false">IF($A86="","",VLOOKUP($A85,Table,MATCH(AC$4,Curves,0)))</f>
        <v>#N/A</v>
      </c>
      <c r="AD85" s="185" t="e">
        <f aca="false">IF($A86="","",VLOOKUP($A85,Table,MATCH(AD$4,Curves,0)))</f>
        <v>#N/A</v>
      </c>
      <c r="AE85" s="185" t="e">
        <f aca="false">SQRT((AD85^2*(A85-$D$3)+AC85^2*(DAY(EOMONTH(A85,0))/2))/AK85)</f>
        <v>#N/A</v>
      </c>
      <c r="AF85" s="224" t="e">
        <f aca="false">((Summary!$N$14*(AA85*AD85)*(A85-$D$3))+(Summary!$M$14*Z85*AC85*(AJ85-EOMONTH(EDATE(A85,-1),0))))/(AK85*AB85*AE85)</f>
        <v>#N/A</v>
      </c>
      <c r="AG85" s="207" t="n">
        <f aca="false">IF($A86="","",Summary!$Q$14)</f>
        <v>0</v>
      </c>
      <c r="AH85" s="207" t="n">
        <f aca="false">IF($A86="","",IF(Summary!$R$12="Y",(VLOOKUP($A85,Summary!$AD$6:$AF$9,3)+'Escalating commodity'!J98),'Escalating commodity'!J98))</f>
        <v>0.00547282778586367</v>
      </c>
      <c r="AI85" s="207" t="n">
        <f aca="false">IF($A86="","",AH85)</f>
        <v>0.00547282778586367</v>
      </c>
      <c r="AJ85" s="208" t="n">
        <f aca="false">A85+DAY(EOMONTH(A85,0))/2-1</f>
        <v>39340</v>
      </c>
      <c r="AK85" s="209" t="n">
        <f aca="false">IF($A86="","",$A85-$E$1)</f>
        <v>-6600</v>
      </c>
      <c r="AL85" s="182" t="e">
        <f aca="false">IF($A86="","",SPRDOPT(P85,X85,AI85,0,AB85,AE85,AF85,AK85,$AJ$2,0))</f>
        <v>#NAME?</v>
      </c>
      <c r="AM85" s="211" t="e">
        <f aca="false">IF($A86="","",MAX(0,O85-W85-AI85))</f>
        <v>#N/A</v>
      </c>
      <c r="AN85" s="211" t="e">
        <f aca="false">IF($A86="","",AL85-AM85)</f>
        <v>#N/A</v>
      </c>
      <c r="AO85" s="137" t="n">
        <f aca="false">IF(A86="","",A86-A85)</f>
        <v>30</v>
      </c>
      <c r="AP85" s="212" t="n">
        <f aca="false">IF(A86="","",CHOOSE(F$3,A86+24,A85))</f>
        <v>39326</v>
      </c>
      <c r="AQ85" s="209" t="n">
        <f aca="false">IF(A86="","",AP85-$E$1)</f>
        <v>-6600</v>
      </c>
      <c r="AR85" s="185" t="n">
        <f aca="false">'ANR OK vs ML7'!AR85</f>
        <v>0.1</v>
      </c>
      <c r="AS85" s="213" t="n">
        <f aca="false">IF(A86="","",1/(1+CHOOSE(F$3,(AR86+($I$3/10000))/2,(AR85+($I$3/10000))/2))^(2*AQ85/365.25))</f>
        <v>5.83140811149684</v>
      </c>
      <c r="AT85" s="137" t="n">
        <f aca="false">IF(A86="","",IF(AND(mthbeg&lt;=A85,mthend&gt;=A85),1,0))</f>
        <v>1</v>
      </c>
      <c r="AU85" s="137" t="n">
        <f aca="false">IF(A86="","",AO85*AT85)</f>
        <v>30</v>
      </c>
      <c r="AW85" s="195" t="e">
        <f aca="false">IF($A86="","",AL85*$E85)</f>
        <v>#NAME?</v>
      </c>
      <c r="AX85" s="195" t="e">
        <f aca="false">IF($A86="","",AM85*$E85)</f>
        <v>#N/A</v>
      </c>
      <c r="AY85" s="195" t="e">
        <f aca="false">IF($A86="","",AN85*$E85)</f>
        <v>#N/A</v>
      </c>
      <c r="BA85" s="195" t="n">
        <f aca="false">IF($A86="","",F85*Summary!$Q$14)</f>
        <v>0</v>
      </c>
      <c r="BC85" s="179" t="e">
        <f aca="false">IF(A86="","",AM85*F85)</f>
        <v>#N/A</v>
      </c>
    </row>
    <row r="86" customFormat="false" ht="12.75" hidden="false" customHeight="false" outlineLevel="0" collapsed="false">
      <c r="A86" s="196" t="n">
        <f aca="false">IF(A85&lt;mthend,EDATE(A85,1),"")</f>
        <v>39356</v>
      </c>
      <c r="B86" s="197" t="n">
        <f aca="false">IF(A86&lt;mthend,B85,"")</f>
        <v>28400</v>
      </c>
      <c r="C86" s="215"/>
      <c r="D86" s="197" t="n">
        <f aca="false">IF(A87&lt;&gt;"",B86+C86,"")</f>
        <v>28400</v>
      </c>
      <c r="E86" s="199" t="n">
        <f aca="false">IF(A87="","",IF(AND(AT86=1,$H$3=1),D86*AO86,IF($H$3=2,D86,"N/A")))</f>
        <v>880400</v>
      </c>
      <c r="F86" s="199" t="n">
        <f aca="false">IF(A87="","",E86*AS86)</f>
        <v>5092988.34296586</v>
      </c>
      <c r="G86" s="200" t="e">
        <f aca="false">IF($A87="","",VLOOKUP($A86,Table,MATCH(G$4,Curves,0)))</f>
        <v>#N/A</v>
      </c>
      <c r="H86" s="201" t="e">
        <f aca="false">IF(A87="","",G86)</f>
        <v>#N/A</v>
      </c>
      <c r="I86" s="202"/>
      <c r="J86" s="200" t="e">
        <f aca="false">IF($A87="","",VLOOKUP($A86,Table,MATCH(J$4,Curves,0)))</f>
        <v>#N/A</v>
      </c>
      <c r="K86" s="201" t="e">
        <f aca="false">IF(A87="","",J86)</f>
        <v>#N/A</v>
      </c>
      <c r="L86" s="185" t="n">
        <v>0</v>
      </c>
      <c r="M86" s="201" t="n">
        <f aca="false">IF(A87="","",L86)</f>
        <v>0</v>
      </c>
      <c r="N86" s="203"/>
      <c r="O86" s="200" t="e">
        <f aca="false">IF(A87="","",L86+J86+G86)</f>
        <v>#N/A</v>
      </c>
      <c r="P86" s="200" t="e">
        <f aca="false">IF(A87="","",M86+K86+H86)</f>
        <v>#N/A</v>
      </c>
      <c r="Q86" s="204"/>
      <c r="R86" s="200" t="e">
        <f aca="false">IF($A87="","",VLOOKUP($A86,Table,MATCH(R$4,Curves,0)))</f>
        <v>#N/A</v>
      </c>
      <c r="S86" s="201" t="e">
        <f aca="false">IF(A87="","",R86)</f>
        <v>#N/A</v>
      </c>
      <c r="T86" s="200" t="e">
        <f aca="false">IF($A87="","",VLOOKUP($A86,Table,MATCH(T$4,Curves,0)))</f>
        <v>#N/A</v>
      </c>
      <c r="U86" s="201" t="e">
        <f aca="false">IF(A87="","",T86)</f>
        <v>#N/A</v>
      </c>
      <c r="V86" s="183" t="e">
        <f aca="false">IF($A87="","",IF(AND(MONTH(A86)&gt;3,MONTH(A86)&lt;11),(T86+R86+G86)*(((1/(1-Summary!$T$14))/(1-Summary!$W$14))-1),(T86+R86+G86)*((1/(1-Summary!$U$14))/(1-Summary!$X$14)-1)))</f>
        <v>#N/A</v>
      </c>
      <c r="W86" s="202" t="e">
        <f aca="false">IF($A87="","",(T86+R86+G86+V86))</f>
        <v>#N/A</v>
      </c>
      <c r="X86" s="202" t="e">
        <f aca="false">IF($A87="","",(U86+S86+H86+V86))</f>
        <v>#N/A</v>
      </c>
      <c r="Y86" s="202"/>
      <c r="Z86" s="185" t="e">
        <f aca="false">IF($A87="","",VLOOKUP($A86,Table,MATCH(Z$4,Curves,0)))</f>
        <v>#N/A</v>
      </c>
      <c r="AA86" s="185" t="e">
        <f aca="false">IF($A87="","",VLOOKUP($A86,Table,MATCH(AA$4,Curves,0)))</f>
        <v>#N/A</v>
      </c>
      <c r="AB86" s="185" t="e">
        <f aca="false">SQRT((AA86^2*(A86-$D$3)+Z86^2*(DAY(EOMONTH(A86,0))/2))/AK86)</f>
        <v>#N/A</v>
      </c>
      <c r="AC86" s="185" t="e">
        <f aca="false">IF($A87="","",VLOOKUP($A86,Table,MATCH(AC$4,Curves,0)))</f>
        <v>#N/A</v>
      </c>
      <c r="AD86" s="185" t="e">
        <f aca="false">IF($A87="","",VLOOKUP($A86,Table,MATCH(AD$4,Curves,0)))</f>
        <v>#N/A</v>
      </c>
      <c r="AE86" s="185" t="e">
        <f aca="false">SQRT((AD86^2*(A86-$D$3)+AC86^2*(DAY(EOMONTH(A86,0))/2))/AK86)</f>
        <v>#N/A</v>
      </c>
      <c r="AF86" s="224" t="e">
        <f aca="false">((Summary!$N$14*(AA86*AD86)*(A86-$D$3))+(Summary!$M$14*Z86*AC86*(AJ86-EOMONTH(EDATE(A86,-1),0))))/(AK86*AB86*AE86)</f>
        <v>#N/A</v>
      </c>
      <c r="AG86" s="207" t="n">
        <f aca="false">IF($A87="","",Summary!$Q$14)</f>
        <v>0</v>
      </c>
      <c r="AH86" s="207" t="n">
        <f aca="false">IF($A87="","",IF(Summary!$R$12="Y",(VLOOKUP($A86,Summary!$AD$6:$AF$9,3)+'Escalating commodity'!J99),'Escalating commodity'!J99))</f>
        <v>0.00547282778586367</v>
      </c>
      <c r="AI86" s="207" t="n">
        <f aca="false">IF($A87="","",AH86)</f>
        <v>0.00547282778586367</v>
      </c>
      <c r="AJ86" s="208" t="n">
        <f aca="false">A86+DAY(EOMONTH(A86,0))/2-1</f>
        <v>39370.5</v>
      </c>
      <c r="AK86" s="209" t="n">
        <f aca="false">IF($A87="","",$A86-$E$1)</f>
        <v>-6570</v>
      </c>
      <c r="AL86" s="182" t="e">
        <f aca="false">IF($A87="","",SPRDOPT(P86,X86,AI86,0,AB86,AE86,AF86,AK86,$AJ$2,0))</f>
        <v>#NAME?</v>
      </c>
      <c r="AM86" s="211" t="e">
        <f aca="false">IF($A87="","",MAX(0,O86-W86-AI86))</f>
        <v>#N/A</v>
      </c>
      <c r="AN86" s="211" t="e">
        <f aca="false">IF($A87="","",AL86-AM86)</f>
        <v>#N/A</v>
      </c>
      <c r="AO86" s="137" t="n">
        <f aca="false">IF(A87="","",A87-A86)</f>
        <v>31</v>
      </c>
      <c r="AP86" s="212" t="n">
        <f aca="false">IF(A87="","",CHOOSE(F$3,A87+24,A86))</f>
        <v>39356</v>
      </c>
      <c r="AQ86" s="209" t="n">
        <f aca="false">IF(A87="","",AP86-$E$1)</f>
        <v>-6570</v>
      </c>
      <c r="AR86" s="185" t="n">
        <f aca="false">'ANR OK vs ML7'!AR86</f>
        <v>0.1</v>
      </c>
      <c r="AS86" s="213" t="n">
        <f aca="false">IF(A87="","",1/(1+CHOOSE(F$3,(AR87+($I$3/10000))/2,(AR86+($I$3/10000))/2))^(2*AQ86/365.25))</f>
        <v>5.78485727279176</v>
      </c>
      <c r="AT86" s="137" t="n">
        <f aca="false">IF(A87="","",IF(AND(mthbeg&lt;=A86,mthend&gt;=A86),1,0))</f>
        <v>1</v>
      </c>
      <c r="AU86" s="137" t="n">
        <f aca="false">IF(A87="","",AO86*AT86)</f>
        <v>31</v>
      </c>
      <c r="AW86" s="195" t="e">
        <f aca="false">IF($A87="","",AL86*$E86)</f>
        <v>#NAME?</v>
      </c>
      <c r="AX86" s="195" t="e">
        <f aca="false">IF($A87="","",AM86*$E86)</f>
        <v>#N/A</v>
      </c>
      <c r="AY86" s="195" t="e">
        <f aca="false">IF($A87="","",AN86*$E86)</f>
        <v>#N/A</v>
      </c>
      <c r="BA86" s="195" t="n">
        <f aca="false">IF($A87="","",F86*Summary!$Q$14)</f>
        <v>0</v>
      </c>
      <c r="BC86" s="179" t="e">
        <f aca="false">IF(A87="","",AM86*F86)</f>
        <v>#N/A</v>
      </c>
    </row>
    <row r="87" customFormat="false" ht="12.75" hidden="false" customHeight="false" outlineLevel="0" collapsed="false">
      <c r="A87" s="196" t="n">
        <f aca="false">IF(A86&lt;mthend,EDATE(A86,1),"")</f>
        <v>39387</v>
      </c>
      <c r="B87" s="197" t="n">
        <f aca="false">IF(A87&lt;mthend,B86,"")</f>
        <v>28400</v>
      </c>
      <c r="C87" s="215"/>
      <c r="D87" s="197" t="n">
        <f aca="false">IF(A88&lt;&gt;"",B87+C87,"")</f>
        <v>28400</v>
      </c>
      <c r="E87" s="199" t="n">
        <f aca="false">IF(A88="","",IF(AND(AT87=1,$H$3=1),D87*AO87,IF($H$3=2,D87,"N/A")))</f>
        <v>852000</v>
      </c>
      <c r="F87" s="199" t="n">
        <f aca="false">IF(A88="","",E87*AS87)</f>
        <v>4888047.62221608</v>
      </c>
      <c r="G87" s="200" t="e">
        <f aca="false">IF($A88="","",VLOOKUP($A87,Table,MATCH(G$4,Curves,0)))</f>
        <v>#N/A</v>
      </c>
      <c r="H87" s="201" t="e">
        <f aca="false">IF(A88="","",G87)</f>
        <v>#N/A</v>
      </c>
      <c r="I87" s="202"/>
      <c r="J87" s="200" t="e">
        <f aca="false">IF($A88="","",VLOOKUP($A87,Table,MATCH(J$4,Curves,0)))</f>
        <v>#N/A</v>
      </c>
      <c r="K87" s="201" t="e">
        <f aca="false">IF(A88="","",J87)</f>
        <v>#N/A</v>
      </c>
      <c r="L87" s="185" t="n">
        <v>0</v>
      </c>
      <c r="M87" s="201" t="n">
        <f aca="false">IF(A88="","",L87)</f>
        <v>0</v>
      </c>
      <c r="N87" s="203"/>
      <c r="O87" s="200" t="e">
        <f aca="false">IF(A88="","",L87+J87+G87)</f>
        <v>#N/A</v>
      </c>
      <c r="P87" s="200" t="e">
        <f aca="false">IF(A88="","",M87+K87+H87)</f>
        <v>#N/A</v>
      </c>
      <c r="Q87" s="204"/>
      <c r="R87" s="200" t="e">
        <f aca="false">IF($A88="","",VLOOKUP($A87,Table,MATCH(R$4,Curves,0)))</f>
        <v>#N/A</v>
      </c>
      <c r="S87" s="201" t="e">
        <f aca="false">IF(A88="","",R87)</f>
        <v>#N/A</v>
      </c>
      <c r="T87" s="200" t="e">
        <f aca="false">IF($A88="","",VLOOKUP($A87,Table,MATCH(T$4,Curves,0)))</f>
        <v>#N/A</v>
      </c>
      <c r="U87" s="201" t="e">
        <f aca="false">IF(A88="","",T87)</f>
        <v>#N/A</v>
      </c>
      <c r="V87" s="183" t="e">
        <f aca="false">IF($A88="","",IF(AND(MONTH(A87)&gt;3,MONTH(A87)&lt;11),(T87+R87+G87)*(((1/(1-Summary!$T$14))/(1-Summary!$W$14))-1),(T87+R87+G87)*((1/(1-Summary!$U$14))/(1-Summary!$X$14)-1)))</f>
        <v>#N/A</v>
      </c>
      <c r="W87" s="202" t="e">
        <f aca="false">IF($A88="","",(T87+R87+G87+V87))</f>
        <v>#N/A</v>
      </c>
      <c r="X87" s="202" t="e">
        <f aca="false">IF($A88="","",(U87+S87+H87+V87))</f>
        <v>#N/A</v>
      </c>
      <c r="Y87" s="202"/>
      <c r="Z87" s="185" t="e">
        <f aca="false">IF($A88="","",VLOOKUP($A87,Table,MATCH(Z$4,Curves,0)))</f>
        <v>#N/A</v>
      </c>
      <c r="AA87" s="185" t="e">
        <f aca="false">IF($A88="","",VLOOKUP($A87,Table,MATCH(AA$4,Curves,0)))</f>
        <v>#N/A</v>
      </c>
      <c r="AB87" s="185" t="e">
        <f aca="false">SQRT((AA87^2*(A87-$D$3)+Z87^2*(DAY(EOMONTH(A87,0))/2))/AK87)</f>
        <v>#N/A</v>
      </c>
      <c r="AC87" s="185" t="e">
        <f aca="false">IF($A88="","",VLOOKUP($A87,Table,MATCH(AC$4,Curves,0)))</f>
        <v>#N/A</v>
      </c>
      <c r="AD87" s="185" t="e">
        <f aca="false">IF($A88="","",VLOOKUP($A87,Table,MATCH(AD$4,Curves,0)))</f>
        <v>#N/A</v>
      </c>
      <c r="AE87" s="185" t="e">
        <f aca="false">SQRT((AD87^2*(A87-$D$3)+AC87^2*(DAY(EOMONTH(A87,0))/2))/AK87)</f>
        <v>#N/A</v>
      </c>
      <c r="AF87" s="224" t="e">
        <f aca="false">((Summary!$N$14*(AA87*AD87)*(A87-$D$3))+(Summary!$M$14*Z87*AC87*(AJ87-EOMONTH(EDATE(A87,-1),0))))/(AK87*AB87*AE87)</f>
        <v>#N/A</v>
      </c>
      <c r="AG87" s="207" t="n">
        <f aca="false">IF($A88="","",Summary!$Q$14)</f>
        <v>0</v>
      </c>
      <c r="AH87" s="207" t="n">
        <f aca="false">IF($A88="","",IF(Summary!$R$12="Y",(VLOOKUP($A87,Summary!$AD$6:$AF$9,3)+'Escalating commodity'!J100),'Escalating commodity'!J100))</f>
        <v>0.00547282778586367</v>
      </c>
      <c r="AI87" s="207" t="n">
        <f aca="false">IF($A88="","",AH87)</f>
        <v>0.00547282778586367</v>
      </c>
      <c r="AJ87" s="208" t="n">
        <f aca="false">A87+DAY(EOMONTH(A87,0))/2-1</f>
        <v>39401</v>
      </c>
      <c r="AK87" s="209" t="n">
        <f aca="false">IF($A88="","",$A87-$E$1)</f>
        <v>-6539</v>
      </c>
      <c r="AL87" s="182" t="e">
        <f aca="false">IF($A88="","",SPRDOPT(P87,X87,AI87,0,AB87,AE87,AF87,AK87,$AJ$2,0))</f>
        <v>#NAME?</v>
      </c>
      <c r="AM87" s="211" t="e">
        <f aca="false">IF($A88="","",MAX(0,O87-W87-AI87))</f>
        <v>#N/A</v>
      </c>
      <c r="AN87" s="211" t="e">
        <f aca="false">IF($A88="","",AL87-AM87)</f>
        <v>#N/A</v>
      </c>
      <c r="AO87" s="137" t="n">
        <f aca="false">IF(A88="","",A88-A87)</f>
        <v>30</v>
      </c>
      <c r="AP87" s="212" t="n">
        <f aca="false">IF(A88="","",CHOOSE(F$3,A88+24,A87))</f>
        <v>39387</v>
      </c>
      <c r="AQ87" s="209" t="n">
        <f aca="false">IF(A88="","",AP87-$E$1)</f>
        <v>-6539</v>
      </c>
      <c r="AR87" s="185" t="n">
        <f aca="false">'ANR OK vs ML7'!AR87</f>
        <v>0.1</v>
      </c>
      <c r="AS87" s="213" t="n">
        <f aca="false">IF(A88="","",1/(1+CHOOSE(F$3,(AR88+($I$3/10000))/2,(AR87+($I$3/10000))/2))^(2*AQ87/365.25))</f>
        <v>5.73714509649775</v>
      </c>
      <c r="AT87" s="137" t="n">
        <f aca="false">IF(A88="","",IF(AND(mthbeg&lt;=A87,mthend&gt;=A87),1,0))</f>
        <v>1</v>
      </c>
      <c r="AU87" s="137" t="n">
        <f aca="false">IF(A88="","",AO87*AT87)</f>
        <v>30</v>
      </c>
      <c r="AW87" s="195" t="e">
        <f aca="false">IF($A88="","",AL87*$E87)</f>
        <v>#NAME?</v>
      </c>
      <c r="AX87" s="195" t="e">
        <f aca="false">IF($A88="","",AM87*$E87)</f>
        <v>#N/A</v>
      </c>
      <c r="AY87" s="195" t="e">
        <f aca="false">IF($A88="","",AN87*$E87)</f>
        <v>#N/A</v>
      </c>
      <c r="BA87" s="195" t="n">
        <f aca="false">IF($A88="","",F87*Summary!$Q$14)</f>
        <v>0</v>
      </c>
      <c r="BC87" s="179" t="e">
        <f aca="false">IF(A88="","",AM87*F87)</f>
        <v>#N/A</v>
      </c>
    </row>
    <row r="88" customFormat="false" ht="12.75" hidden="false" customHeight="false" outlineLevel="0" collapsed="false">
      <c r="A88" s="196" t="n">
        <f aca="false">IF(A87&lt;mthend,EDATE(A87,1),"")</f>
        <v>39417</v>
      </c>
      <c r="B88" s="197" t="n">
        <f aca="false">IF(A88&lt;mthend,B87,"")</f>
        <v>28400</v>
      </c>
      <c r="C88" s="215"/>
      <c r="D88" s="197" t="n">
        <f aca="false">IF(A89&lt;&gt;"",B88+C88,"")</f>
        <v>28400</v>
      </c>
      <c r="E88" s="199" t="n">
        <f aca="false">IF(A89="","",IF(AND(AT88=1,$H$3=1),D88*AO88,IF($H$3=2,D88,"N/A")))</f>
        <v>880400</v>
      </c>
      <c r="F88" s="199" t="n">
        <f aca="false">IF(A89="","",E88*AS88)</f>
        <v>5010661.66862169</v>
      </c>
      <c r="G88" s="200" t="e">
        <f aca="false">IF($A89="","",VLOOKUP($A88,Table,MATCH(G$4,Curves,0)))</f>
        <v>#N/A</v>
      </c>
      <c r="H88" s="201" t="e">
        <f aca="false">IF(A89="","",G88)</f>
        <v>#N/A</v>
      </c>
      <c r="I88" s="202"/>
      <c r="J88" s="200" t="e">
        <f aca="false">IF($A89="","",VLOOKUP($A88,Table,MATCH(J$4,Curves,0)))</f>
        <v>#N/A</v>
      </c>
      <c r="K88" s="201" t="e">
        <f aca="false">IF(A89="","",J88)</f>
        <v>#N/A</v>
      </c>
      <c r="L88" s="185" t="n">
        <v>0</v>
      </c>
      <c r="M88" s="201" t="n">
        <f aca="false">IF(A89="","",L88)</f>
        <v>0</v>
      </c>
      <c r="N88" s="203"/>
      <c r="O88" s="200" t="e">
        <f aca="false">IF(A89="","",L88+J88+G88)</f>
        <v>#N/A</v>
      </c>
      <c r="P88" s="200" t="e">
        <f aca="false">IF(A89="","",M88+K88+H88)</f>
        <v>#N/A</v>
      </c>
      <c r="Q88" s="204"/>
      <c r="R88" s="200" t="e">
        <f aca="false">IF($A89="","",VLOOKUP($A88,Table,MATCH(R$4,Curves,0)))</f>
        <v>#N/A</v>
      </c>
      <c r="S88" s="201" t="e">
        <f aca="false">IF(A89="","",R88)</f>
        <v>#N/A</v>
      </c>
      <c r="T88" s="200" t="e">
        <f aca="false">IF($A89="","",VLOOKUP($A88,Table,MATCH(T$4,Curves,0)))</f>
        <v>#N/A</v>
      </c>
      <c r="U88" s="201" t="e">
        <f aca="false">IF(A89="","",T88)</f>
        <v>#N/A</v>
      </c>
      <c r="V88" s="183" t="e">
        <f aca="false">IF($A89="","",IF(AND(MONTH(A88)&gt;3,MONTH(A88)&lt;11),(T88+R88+G88)*(((1/(1-Summary!$T$14))/(1-Summary!$W$14))-1),(T88+R88+G88)*((1/(1-Summary!$U$14))/(1-Summary!$X$14)-1)))</f>
        <v>#N/A</v>
      </c>
      <c r="W88" s="202" t="e">
        <f aca="false">IF($A89="","",(T88+R88+G88+V88))</f>
        <v>#N/A</v>
      </c>
      <c r="X88" s="202" t="e">
        <f aca="false">IF($A89="","",(U88+S88+H88+V88))</f>
        <v>#N/A</v>
      </c>
      <c r="Y88" s="202"/>
      <c r="Z88" s="185" t="e">
        <f aca="false">IF($A89="","",VLOOKUP($A88,Table,MATCH(Z$4,Curves,0)))</f>
        <v>#N/A</v>
      </c>
      <c r="AA88" s="185" t="e">
        <f aca="false">IF($A89="","",VLOOKUP($A88,Table,MATCH(AA$4,Curves,0)))</f>
        <v>#N/A</v>
      </c>
      <c r="AB88" s="185" t="e">
        <f aca="false">SQRT((AA88^2*(A88-$D$3)+Z88^2*(DAY(EOMONTH(A88,0))/2))/AK88)</f>
        <v>#N/A</v>
      </c>
      <c r="AC88" s="185" t="e">
        <f aca="false">IF($A89="","",VLOOKUP($A88,Table,MATCH(AC$4,Curves,0)))</f>
        <v>#N/A</v>
      </c>
      <c r="AD88" s="185" t="e">
        <f aca="false">IF($A89="","",VLOOKUP($A88,Table,MATCH(AD$4,Curves,0)))</f>
        <v>#N/A</v>
      </c>
      <c r="AE88" s="185" t="e">
        <f aca="false">SQRT((AD88^2*(A88-$D$3)+AC88^2*(DAY(EOMONTH(A88,0))/2))/AK88)</f>
        <v>#N/A</v>
      </c>
      <c r="AF88" s="224" t="e">
        <f aca="false">((Summary!$N$14*(AA88*AD88)*(A88-$D$3))+(Summary!$M$14*Z88*AC88*(AJ88-EOMONTH(EDATE(A88,-1),0))))/(AK88*AB88*AE88)</f>
        <v>#N/A</v>
      </c>
      <c r="AG88" s="207" t="n">
        <f aca="false">IF($A89="","",Summary!$Q$14)</f>
        <v>0</v>
      </c>
      <c r="AH88" s="207" t="n">
        <f aca="false">IF($A89="","",IF(Summary!$R$12="Y",(VLOOKUP($A88,Summary!$AD$6:$AF$9,3)+'Escalating commodity'!J101),'Escalating commodity'!J101))</f>
        <v>0.00547282778586367</v>
      </c>
      <c r="AI88" s="207" t="n">
        <f aca="false">IF($A89="","",AH88)</f>
        <v>0.00547282778586367</v>
      </c>
      <c r="AJ88" s="208" t="n">
        <f aca="false">A88+DAY(EOMONTH(A88,0))/2-1</f>
        <v>39431.5</v>
      </c>
      <c r="AK88" s="209" t="n">
        <f aca="false">IF($A89="","",$A88-$E$1)</f>
        <v>-6509</v>
      </c>
      <c r="AL88" s="182" t="e">
        <f aca="false">IF($A89="","",SPRDOPT(P88,X88,AI88,0,AB88,AE88,AF88,AK88,$AJ$2,0))</f>
        <v>#NAME?</v>
      </c>
      <c r="AM88" s="211" t="e">
        <f aca="false">IF($A89="","",MAX(0,O88-W88-AI88))</f>
        <v>#N/A</v>
      </c>
      <c r="AN88" s="211" t="e">
        <f aca="false">IF($A89="","",AL88-AM88)</f>
        <v>#N/A</v>
      </c>
      <c r="AO88" s="137" t="n">
        <f aca="false">IF(A89="","",A89-A88)</f>
        <v>31</v>
      </c>
      <c r="AP88" s="212" t="n">
        <f aca="false">IF(A89="","",CHOOSE(F$3,A89+24,A88))</f>
        <v>39417</v>
      </c>
      <c r="AQ88" s="209" t="n">
        <f aca="false">IF(A89="","",AP88-$E$1)</f>
        <v>-6509</v>
      </c>
      <c r="AR88" s="185" t="n">
        <f aca="false">'ANR OK vs ML7'!AR88</f>
        <v>0.1</v>
      </c>
      <c r="AS88" s="213" t="n">
        <f aca="false">IF(A89="","",1/(1+CHOOSE(F$3,(AR89+($I$3/10000))/2,(AR88+($I$3/10000))/2))^(2*AQ88/365.25))</f>
        <v>5.69134673855258</v>
      </c>
      <c r="AT88" s="137" t="n">
        <f aca="false">IF(A89="","",IF(AND(mthbeg&lt;=A88,mthend&gt;=A88),1,0))</f>
        <v>1</v>
      </c>
      <c r="AU88" s="137" t="n">
        <f aca="false">IF(A89="","",AO88*AT88)</f>
        <v>31</v>
      </c>
      <c r="AW88" s="195" t="e">
        <f aca="false">IF($A89="","",AL88*$E88)</f>
        <v>#NAME?</v>
      </c>
      <c r="AX88" s="195" t="e">
        <f aca="false">IF($A89="","",AM88*$E88)</f>
        <v>#N/A</v>
      </c>
      <c r="AY88" s="195" t="e">
        <f aca="false">IF($A89="","",AN88*$E88)</f>
        <v>#N/A</v>
      </c>
      <c r="BA88" s="195" t="n">
        <f aca="false">IF($A89="","",F88*Summary!$Q$14)</f>
        <v>0</v>
      </c>
      <c r="BC88" s="179" t="e">
        <f aca="false">IF(A89="","",AM88*F88)</f>
        <v>#N/A</v>
      </c>
    </row>
    <row r="89" customFormat="false" ht="12.75" hidden="false" customHeight="false" outlineLevel="0" collapsed="false">
      <c r="A89" s="196" t="n">
        <f aca="false">IF(A88&lt;mthend,EDATE(A88,1),"")</f>
        <v>39448</v>
      </c>
      <c r="B89" s="197" t="n">
        <f aca="false">IF(A89&lt;mthend,B88,"")</f>
        <v>28400</v>
      </c>
      <c r="C89" s="215"/>
      <c r="D89" s="197" t="n">
        <f aca="false">IF(A90&lt;&gt;"",B89+C89,"")</f>
        <v>28400</v>
      </c>
      <c r="E89" s="199" t="n">
        <f aca="false">IF(A90="","",IF(AND(AT89=1,$H$3=1),D89*AO89,IF($H$3=2,D89,"N/A")))</f>
        <v>880400</v>
      </c>
      <c r="F89" s="199" t="n">
        <f aca="false">IF(A90="","",E89*AS89)</f>
        <v>4969334.88014459</v>
      </c>
      <c r="G89" s="200" t="e">
        <f aca="false">IF($A90="","",VLOOKUP($A89,Table,MATCH(G$4,Curves,0)))</f>
        <v>#N/A</v>
      </c>
      <c r="H89" s="201" t="e">
        <f aca="false">IF(A90="","",G89)</f>
        <v>#N/A</v>
      </c>
      <c r="I89" s="202"/>
      <c r="J89" s="200" t="e">
        <f aca="false">IF($A90="","",VLOOKUP($A89,Table,MATCH(J$4,Curves,0)))</f>
        <v>#N/A</v>
      </c>
      <c r="K89" s="201" t="e">
        <f aca="false">IF(A90="","",J89)</f>
        <v>#N/A</v>
      </c>
      <c r="L89" s="185" t="n">
        <v>0</v>
      </c>
      <c r="M89" s="201" t="n">
        <f aca="false">IF(A90="","",L89)</f>
        <v>0</v>
      </c>
      <c r="N89" s="203"/>
      <c r="O89" s="200" t="e">
        <f aca="false">IF(A90="","",L89+J89+G89)</f>
        <v>#N/A</v>
      </c>
      <c r="P89" s="200" t="e">
        <f aca="false">IF(A90="","",M89+K89+H89)</f>
        <v>#N/A</v>
      </c>
      <c r="Q89" s="204"/>
      <c r="R89" s="200" t="e">
        <f aca="false">IF($A90="","",VLOOKUP($A89,Table,MATCH(R$4,Curves,0)))</f>
        <v>#N/A</v>
      </c>
      <c r="S89" s="201" t="e">
        <f aca="false">IF(A90="","",R89)</f>
        <v>#N/A</v>
      </c>
      <c r="T89" s="200" t="e">
        <f aca="false">IF($A90="","",VLOOKUP($A89,Table,MATCH(T$4,Curves,0)))</f>
        <v>#N/A</v>
      </c>
      <c r="U89" s="201" t="e">
        <f aca="false">IF(A90="","",T89)</f>
        <v>#N/A</v>
      </c>
      <c r="V89" s="183" t="e">
        <f aca="false">IF($A90="","",IF(AND(MONTH(A89)&gt;3,MONTH(A89)&lt;11),(T89+R89+G89)*(((1/(1-Summary!$T$14))/(1-Summary!$W$14))-1),(T89+R89+G89)*((1/(1-Summary!$U$14))/(1-Summary!$X$14)-1)))</f>
        <v>#N/A</v>
      </c>
      <c r="W89" s="202" t="e">
        <f aca="false">IF($A90="","",(T89+R89+G89+V89))</f>
        <v>#N/A</v>
      </c>
      <c r="X89" s="202" t="e">
        <f aca="false">IF($A90="","",(U89+S89+H89+V89))</f>
        <v>#N/A</v>
      </c>
      <c r="Y89" s="202"/>
      <c r="Z89" s="185" t="e">
        <f aca="false">IF($A90="","",VLOOKUP($A89,Table,MATCH(Z$4,Curves,0)))</f>
        <v>#N/A</v>
      </c>
      <c r="AA89" s="185" t="e">
        <f aca="false">IF($A90="","",VLOOKUP($A89,Table,MATCH(AA$4,Curves,0)))</f>
        <v>#N/A</v>
      </c>
      <c r="AB89" s="185" t="e">
        <f aca="false">SQRT((AA89^2*(A89-$D$3)+Z89^2*(DAY(EOMONTH(A89,0))/2))/AK89)</f>
        <v>#N/A</v>
      </c>
      <c r="AC89" s="185" t="e">
        <f aca="false">IF($A90="","",VLOOKUP($A89,Table,MATCH(AC$4,Curves,0)))</f>
        <v>#N/A</v>
      </c>
      <c r="AD89" s="185" t="e">
        <f aca="false">IF($A90="","",VLOOKUP($A89,Table,MATCH(AD$4,Curves,0)))</f>
        <v>#N/A</v>
      </c>
      <c r="AE89" s="185" t="e">
        <f aca="false">SQRT((AD89^2*(A89-$D$3)+AC89^2*(DAY(EOMONTH(A89,0))/2))/AK89)</f>
        <v>#N/A</v>
      </c>
      <c r="AF89" s="224" t="e">
        <f aca="false">((Summary!$N$14*(AA89*AD89)*(A89-$D$3))+(Summary!$M$14*Z89*AC89*(AJ89-EOMONTH(EDATE(A89,-1),0))))/(AK89*AB89*AE89)</f>
        <v>#N/A</v>
      </c>
      <c r="AG89" s="207" t="n">
        <f aca="false">IF($A90="","",Summary!$Q$14)</f>
        <v>0</v>
      </c>
      <c r="AH89" s="207" t="n">
        <f aca="false">IF($A90="","",IF(Summary!$R$12="Y",(VLOOKUP($A89,Summary!$AD$6:$AF$9,3)+'Escalating commodity'!J102),'Escalating commodity'!J102))</f>
        <v>0.00558228434158094</v>
      </c>
      <c r="AI89" s="207" t="n">
        <f aca="false">IF($A90="","",AH89)</f>
        <v>0.00558228434158094</v>
      </c>
      <c r="AJ89" s="208" t="n">
        <f aca="false">A89+DAY(EOMONTH(A89,0))/2-1</f>
        <v>39462.5</v>
      </c>
      <c r="AK89" s="209" t="n">
        <f aca="false">IF($A90="","",$A89-$E$1)</f>
        <v>-6478</v>
      </c>
      <c r="AL89" s="182" t="e">
        <f aca="false">IF($A90="","",SPRDOPT(P89,X89,AI89,0,AB89,AE89,AF89,AK89,$AJ$2,0))</f>
        <v>#NAME?</v>
      </c>
      <c r="AM89" s="211" t="e">
        <f aca="false">IF($A90="","",MAX(0,O89-W89-AI89))</f>
        <v>#N/A</v>
      </c>
      <c r="AN89" s="211" t="e">
        <f aca="false">IF($A90="","",AL89-AM89)</f>
        <v>#N/A</v>
      </c>
      <c r="AO89" s="137" t="n">
        <f aca="false">IF(A90="","",A90-A89)</f>
        <v>31</v>
      </c>
      <c r="AP89" s="212" t="n">
        <f aca="false">IF(A90="","",CHOOSE(F$3,A90+24,A89))</f>
        <v>39448</v>
      </c>
      <c r="AQ89" s="209" t="n">
        <f aca="false">IF(A90="","",AP89-$E$1)</f>
        <v>-6478</v>
      </c>
      <c r="AR89" s="185" t="n">
        <f aca="false">'ANR OK vs ML7'!AR89</f>
        <v>0.1</v>
      </c>
      <c r="AS89" s="213" t="n">
        <f aca="false">IF(A90="","",1/(1+CHOOSE(F$3,(AR90+($I$3/10000))/2,(AR89+($I$3/10000))/2))^(2*AQ89/365.25))</f>
        <v>5.64440581570262</v>
      </c>
      <c r="AT89" s="137" t="n">
        <f aca="false">IF(A90="","",IF(AND(mthbeg&lt;=A89,mthend&gt;=A89),1,0))</f>
        <v>1</v>
      </c>
      <c r="AU89" s="137" t="n">
        <f aca="false">IF(A90="","",AO89*AT89)</f>
        <v>31</v>
      </c>
      <c r="AW89" s="195" t="e">
        <f aca="false">IF($A90="","",AL89*$E89)</f>
        <v>#NAME?</v>
      </c>
      <c r="AX89" s="195" t="e">
        <f aca="false">IF($A90="","",AM89*$E89)</f>
        <v>#N/A</v>
      </c>
      <c r="AY89" s="195" t="e">
        <f aca="false">IF($A90="","",AN89*$E89)</f>
        <v>#N/A</v>
      </c>
      <c r="BA89" s="195" t="n">
        <f aca="false">IF($A90="","",F89*Summary!$Q$14)</f>
        <v>0</v>
      </c>
      <c r="BC89" s="179" t="e">
        <f aca="false">IF(A90="","",AM89*F89)</f>
        <v>#N/A</v>
      </c>
    </row>
    <row r="90" customFormat="false" ht="12.75" hidden="false" customHeight="false" outlineLevel="0" collapsed="false">
      <c r="A90" s="196" t="n">
        <f aca="false">IF(A89&lt;mthend,EDATE(A89,1),"")</f>
        <v>39479</v>
      </c>
      <c r="B90" s="197" t="n">
        <f aca="false">IF(A90&lt;mthend,B89,"")</f>
        <v>28400</v>
      </c>
      <c r="C90" s="215"/>
      <c r="D90" s="197" t="n">
        <f aca="false">IF(A91&lt;&gt;"",B90+C90,"")</f>
        <v>28400</v>
      </c>
      <c r="E90" s="199" t="n">
        <f aca="false">IF(A91="","",IF(AND(AT90=1,$H$3=1),D90*AO90,IF($H$3=2,D90,"N/A")))</f>
        <v>823600</v>
      </c>
      <c r="F90" s="199" t="n">
        <f aca="false">IF(A91="","",E90*AS90)</f>
        <v>4610390.94905582</v>
      </c>
      <c r="G90" s="200" t="e">
        <f aca="false">IF($A91="","",VLOOKUP($A90,Table,MATCH(G$4,Curves,0)))</f>
        <v>#N/A</v>
      </c>
      <c r="H90" s="201" t="e">
        <f aca="false">IF(A91="","",G90)</f>
        <v>#N/A</v>
      </c>
      <c r="I90" s="202"/>
      <c r="J90" s="200" t="e">
        <f aca="false">IF($A91="","",VLOOKUP($A90,Table,MATCH(J$4,Curves,0)))</f>
        <v>#N/A</v>
      </c>
      <c r="K90" s="201" t="e">
        <f aca="false">IF(A91="","",J90)</f>
        <v>#N/A</v>
      </c>
      <c r="L90" s="185" t="n">
        <v>0</v>
      </c>
      <c r="M90" s="201" t="n">
        <f aca="false">IF(A91="","",L90)</f>
        <v>0</v>
      </c>
      <c r="N90" s="203"/>
      <c r="O90" s="200" t="e">
        <f aca="false">IF(A91="","",L90+J90+G90)</f>
        <v>#N/A</v>
      </c>
      <c r="P90" s="200" t="e">
        <f aca="false">IF(A91="","",M90+K90+H90)</f>
        <v>#N/A</v>
      </c>
      <c r="Q90" s="204"/>
      <c r="R90" s="200" t="e">
        <f aca="false">IF($A91="","",VLOOKUP($A90,Table,MATCH(R$4,Curves,0)))</f>
        <v>#N/A</v>
      </c>
      <c r="S90" s="201" t="e">
        <f aca="false">IF(A91="","",R90)</f>
        <v>#N/A</v>
      </c>
      <c r="T90" s="200" t="e">
        <f aca="false">IF($A91="","",VLOOKUP($A90,Table,MATCH(T$4,Curves,0)))</f>
        <v>#N/A</v>
      </c>
      <c r="U90" s="201" t="e">
        <f aca="false">IF(A91="","",T90)</f>
        <v>#N/A</v>
      </c>
      <c r="V90" s="183" t="e">
        <f aca="false">IF($A91="","",IF(AND(MONTH(A90)&gt;3,MONTH(A90)&lt;11),(T90+R90+G90)*(((1/(1-Summary!$T$14))/(1-Summary!$W$14))-1),(T90+R90+G90)*((1/(1-Summary!$U$14))/(1-Summary!$X$14)-1)))</f>
        <v>#N/A</v>
      </c>
      <c r="W90" s="202" t="e">
        <f aca="false">IF($A91="","",(T90+R90+G90+V90))</f>
        <v>#N/A</v>
      </c>
      <c r="X90" s="202" t="e">
        <f aca="false">IF($A91="","",(U90+S90+H90+V90))</f>
        <v>#N/A</v>
      </c>
      <c r="Y90" s="202"/>
      <c r="Z90" s="185" t="e">
        <f aca="false">IF($A91="","",VLOOKUP($A90,Table,MATCH(Z$4,Curves,0)))</f>
        <v>#N/A</v>
      </c>
      <c r="AA90" s="185" t="e">
        <f aca="false">IF($A91="","",VLOOKUP($A90,Table,MATCH(AA$4,Curves,0)))</f>
        <v>#N/A</v>
      </c>
      <c r="AB90" s="185" t="e">
        <f aca="false">SQRT((AA90^2*(A90-$D$3)+Z90^2*(DAY(EOMONTH(A90,0))/2))/AK90)</f>
        <v>#N/A</v>
      </c>
      <c r="AC90" s="185" t="e">
        <f aca="false">IF($A91="","",VLOOKUP($A90,Table,MATCH(AC$4,Curves,0)))</f>
        <v>#N/A</v>
      </c>
      <c r="AD90" s="185" t="e">
        <f aca="false">IF($A91="","",VLOOKUP($A90,Table,MATCH(AD$4,Curves,0)))</f>
        <v>#N/A</v>
      </c>
      <c r="AE90" s="185" t="e">
        <f aca="false">SQRT((AD90^2*(A90-$D$3)+AC90^2*(DAY(EOMONTH(A90,0))/2))/AK90)</f>
        <v>#N/A</v>
      </c>
      <c r="AF90" s="224" t="e">
        <f aca="false">((Summary!$N$14*(AA90*AD90)*(A90-$D$3))+(Summary!$M$14*Z90*AC90*(AJ90-EOMONTH(EDATE(A90,-1),0))))/(AK90*AB90*AE90)</f>
        <v>#N/A</v>
      </c>
      <c r="AG90" s="207" t="n">
        <f aca="false">IF($A91="","",Summary!$Q$14)</f>
        <v>0</v>
      </c>
      <c r="AH90" s="207" t="n">
        <f aca="false">IF($A91="","",IF(Summary!$R$12="Y",(VLOOKUP($A90,Summary!$AD$6:$AF$9,3)+'Escalating commodity'!J103),'Escalating commodity'!J103))</f>
        <v>0.00558228434158094</v>
      </c>
      <c r="AI90" s="207" t="n">
        <f aca="false">IF($A91="","",AH90)</f>
        <v>0.00558228434158094</v>
      </c>
      <c r="AJ90" s="208" t="n">
        <f aca="false">A90+DAY(EOMONTH(A90,0))/2-1</f>
        <v>39492.5</v>
      </c>
      <c r="AK90" s="209" t="n">
        <f aca="false">IF($A91="","",$A90-$E$1)</f>
        <v>-6447</v>
      </c>
      <c r="AL90" s="182" t="e">
        <f aca="false">IF($A91="","",SPRDOPT(P90,X90,AI90,0,AB90,AE90,AF90,AK90,$AJ$2,0))</f>
        <v>#NAME?</v>
      </c>
      <c r="AM90" s="211" t="e">
        <f aca="false">IF($A91="","",MAX(0,O90-W90-AI90))</f>
        <v>#N/A</v>
      </c>
      <c r="AN90" s="211" t="e">
        <f aca="false">IF($A91="","",AL90-AM90)</f>
        <v>#N/A</v>
      </c>
      <c r="AO90" s="137" t="n">
        <f aca="false">IF(A91="","",A91-A90)</f>
        <v>29</v>
      </c>
      <c r="AP90" s="212" t="n">
        <f aca="false">IF(A91="","",CHOOSE(F$3,A91+24,A90))</f>
        <v>39479</v>
      </c>
      <c r="AQ90" s="209" t="n">
        <f aca="false">IF(A91="","",AP90-$E$1)</f>
        <v>-6447</v>
      </c>
      <c r="AR90" s="185" t="n">
        <f aca="false">'ANR OK vs ML7'!AR90</f>
        <v>0.1</v>
      </c>
      <c r="AS90" s="213" t="n">
        <f aca="false">IF(A91="","",1/(1+CHOOSE(F$3,(AR91+($I$3/10000))/2,(AR90+($I$3/10000))/2))^(2*AQ90/365.25))</f>
        <v>5.59785205082057</v>
      </c>
      <c r="AT90" s="137" t="n">
        <f aca="false">IF(A91="","",IF(AND(mthbeg&lt;=A90,mthend&gt;=A90),1,0))</f>
        <v>1</v>
      </c>
      <c r="AU90" s="137" t="n">
        <f aca="false">IF(A91="","",AO90*AT90)</f>
        <v>29</v>
      </c>
      <c r="AW90" s="195" t="e">
        <f aca="false">IF($A91="","",AL90*$E90)</f>
        <v>#NAME?</v>
      </c>
      <c r="AX90" s="195" t="e">
        <f aca="false">IF($A91="","",AM90*$E90)</f>
        <v>#N/A</v>
      </c>
      <c r="AY90" s="195" t="e">
        <f aca="false">IF($A91="","",AN90*$E90)</f>
        <v>#N/A</v>
      </c>
      <c r="BA90" s="195" t="n">
        <f aca="false">IF($A91="","",F90*Summary!$Q$14)</f>
        <v>0</v>
      </c>
      <c r="BC90" s="179" t="e">
        <f aca="false">IF(A91="","",AM90*F90)</f>
        <v>#N/A</v>
      </c>
    </row>
    <row r="91" customFormat="false" ht="12.75" hidden="false" customHeight="false" outlineLevel="0" collapsed="false">
      <c r="A91" s="196" t="n">
        <f aca="false">IF(A90&lt;mthend,EDATE(A90,1),"")</f>
        <v>39508</v>
      </c>
      <c r="B91" s="197" t="n">
        <f aca="false">IF(A91&lt;mthend,B90,"")</f>
        <v>28400</v>
      </c>
      <c r="C91" s="215"/>
      <c r="D91" s="197" t="n">
        <f aca="false">IF(A92&lt;&gt;"",B91+C91,"")</f>
        <v>28400</v>
      </c>
      <c r="E91" s="199" t="n">
        <f aca="false">IF(A92="","",IF(AND(AT91=1,$H$3=1),D91*AO91,IF($H$3=2,D91,"N/A")))</f>
        <v>880400</v>
      </c>
      <c r="F91" s="199" t="n">
        <f aca="false">IF(A92="","",E91*AS91)</f>
        <v>4890313.35150036</v>
      </c>
      <c r="G91" s="200" t="e">
        <f aca="false">IF($A92="","",VLOOKUP($A91,Table,MATCH(G$4,Curves,0)))</f>
        <v>#N/A</v>
      </c>
      <c r="H91" s="201" t="e">
        <f aca="false">IF(A92="","",G91)</f>
        <v>#N/A</v>
      </c>
      <c r="I91" s="202"/>
      <c r="J91" s="200" t="e">
        <f aca="false">IF($A92="","",VLOOKUP($A91,Table,MATCH(J$4,Curves,0)))</f>
        <v>#N/A</v>
      </c>
      <c r="K91" s="201" t="e">
        <f aca="false">IF(A92="","",J91)</f>
        <v>#N/A</v>
      </c>
      <c r="L91" s="185" t="n">
        <v>0</v>
      </c>
      <c r="M91" s="201" t="n">
        <f aca="false">IF(A92="","",L91)</f>
        <v>0</v>
      </c>
      <c r="N91" s="203"/>
      <c r="O91" s="200" t="e">
        <f aca="false">IF(A92="","",L91+J91+G91)</f>
        <v>#N/A</v>
      </c>
      <c r="P91" s="200" t="e">
        <f aca="false">IF(A92="","",M91+K91+H91)</f>
        <v>#N/A</v>
      </c>
      <c r="Q91" s="204"/>
      <c r="R91" s="200" t="e">
        <f aca="false">IF($A92="","",VLOOKUP($A91,Table,MATCH(R$4,Curves,0)))</f>
        <v>#N/A</v>
      </c>
      <c r="S91" s="201" t="e">
        <f aca="false">IF(A92="","",R91)</f>
        <v>#N/A</v>
      </c>
      <c r="T91" s="200" t="e">
        <f aca="false">IF($A92="","",VLOOKUP($A91,Table,MATCH(T$4,Curves,0)))</f>
        <v>#N/A</v>
      </c>
      <c r="U91" s="201" t="e">
        <f aca="false">IF(A92="","",T91)</f>
        <v>#N/A</v>
      </c>
      <c r="V91" s="183" t="e">
        <f aca="false">IF($A92="","",IF(AND(MONTH(A91)&gt;3,MONTH(A91)&lt;11),(T91+R91+G91)*(((1/(1-Summary!$T$14))/(1-Summary!$W$14))-1),(T91+R91+G91)*((1/(1-Summary!$U$14))/(1-Summary!$X$14)-1)))</f>
        <v>#N/A</v>
      </c>
      <c r="W91" s="202" t="e">
        <f aca="false">IF($A92="","",(T91+R91+G91+V91))</f>
        <v>#N/A</v>
      </c>
      <c r="X91" s="202" t="e">
        <f aca="false">IF($A92="","",(U91+S91+H91+V91))</f>
        <v>#N/A</v>
      </c>
      <c r="Y91" s="202"/>
      <c r="Z91" s="185" t="e">
        <f aca="false">IF($A92="","",VLOOKUP($A91,Table,MATCH(Z$4,Curves,0)))</f>
        <v>#N/A</v>
      </c>
      <c r="AA91" s="185" t="e">
        <f aca="false">IF($A92="","",VLOOKUP($A91,Table,MATCH(AA$4,Curves,0)))</f>
        <v>#N/A</v>
      </c>
      <c r="AB91" s="185" t="e">
        <f aca="false">SQRT((AA91^2*(A91-$D$3)+Z91^2*(DAY(EOMONTH(A91,0))/2))/AK91)</f>
        <v>#N/A</v>
      </c>
      <c r="AC91" s="185" t="e">
        <f aca="false">IF($A92="","",VLOOKUP($A91,Table,MATCH(AC$4,Curves,0)))</f>
        <v>#N/A</v>
      </c>
      <c r="AD91" s="185" t="e">
        <f aca="false">IF($A92="","",VLOOKUP($A91,Table,MATCH(AD$4,Curves,0)))</f>
        <v>#N/A</v>
      </c>
      <c r="AE91" s="185" t="e">
        <f aca="false">SQRT((AD91^2*(A91-$D$3)+AC91^2*(DAY(EOMONTH(A91,0))/2))/AK91)</f>
        <v>#N/A</v>
      </c>
      <c r="AF91" s="224" t="e">
        <f aca="false">((Summary!$N$14*(AA91*AD91)*(A91-$D$3))+(Summary!$M$14*Z91*AC91*(AJ91-EOMONTH(EDATE(A91,-1),0))))/(AK91*AB91*AE91)</f>
        <v>#N/A</v>
      </c>
      <c r="AG91" s="207" t="n">
        <f aca="false">IF($A92="","",Summary!$Q$14)</f>
        <v>0</v>
      </c>
      <c r="AH91" s="207" t="n">
        <f aca="false">IF($A92="","",IF(Summary!$R$12="Y",(VLOOKUP($A91,Summary!$AD$6:$AF$9,3)+'Escalating commodity'!J104),'Escalating commodity'!J104))</f>
        <v>0.00558228434158094</v>
      </c>
      <c r="AI91" s="207" t="n">
        <f aca="false">IF($A92="","",AH91)</f>
        <v>0.00558228434158094</v>
      </c>
      <c r="AJ91" s="208" t="n">
        <f aca="false">A91+DAY(EOMONTH(A91,0))/2-1</f>
        <v>39522.5</v>
      </c>
      <c r="AK91" s="209" t="n">
        <f aca="false">IF($A92="","",$A91-$E$1)</f>
        <v>-6418</v>
      </c>
      <c r="AL91" s="182" t="e">
        <f aca="false">IF($A92="","",SPRDOPT(P91,X91,AI91,0,AB91,AE91,AF91,AK91,$AJ$2,0))</f>
        <v>#NAME?</v>
      </c>
      <c r="AM91" s="211" t="e">
        <f aca="false">IF($A92="","",MAX(0,O91-W91-AI91))</f>
        <v>#N/A</v>
      </c>
      <c r="AN91" s="211" t="e">
        <f aca="false">IF($A92="","",AL91-AM91)</f>
        <v>#N/A</v>
      </c>
      <c r="AO91" s="137" t="n">
        <f aca="false">IF(A92="","",A92-A91)</f>
        <v>31</v>
      </c>
      <c r="AP91" s="212" t="n">
        <f aca="false">IF(A92="","",CHOOSE(F$3,A92+24,A91))</f>
        <v>39508</v>
      </c>
      <c r="AQ91" s="209" t="n">
        <f aca="false">IF(A92="","",AP91-$E$1)</f>
        <v>-6418</v>
      </c>
      <c r="AR91" s="185" t="n">
        <f aca="false">'ANR OK vs ML7'!AR91</f>
        <v>0.1</v>
      </c>
      <c r="AS91" s="213" t="n">
        <f aca="false">IF(A92="","",1/(1+CHOOSE(F$3,(AR92+($I$3/10000))/2,(AR91+($I$3/10000))/2))^(2*AQ91/365.25))</f>
        <v>5.55464942242204</v>
      </c>
      <c r="AT91" s="137" t="n">
        <f aca="false">IF(A92="","",IF(AND(mthbeg&lt;=A91,mthend&gt;=A91),1,0))</f>
        <v>1</v>
      </c>
      <c r="AU91" s="137" t="n">
        <f aca="false">IF(A92="","",AO91*AT91)</f>
        <v>31</v>
      </c>
      <c r="AW91" s="195" t="e">
        <f aca="false">IF($A92="","",AL91*$E91)</f>
        <v>#NAME?</v>
      </c>
      <c r="AX91" s="195" t="e">
        <f aca="false">IF($A92="","",AM91*$E91)</f>
        <v>#N/A</v>
      </c>
      <c r="AY91" s="195" t="e">
        <f aca="false">IF($A92="","",AN91*$E91)</f>
        <v>#N/A</v>
      </c>
      <c r="BA91" s="195" t="n">
        <f aca="false">IF($A92="","",F91*Summary!$Q$14)</f>
        <v>0</v>
      </c>
      <c r="BC91" s="179" t="e">
        <f aca="false">IF(A92="","",AM91*F91)</f>
        <v>#N/A</v>
      </c>
    </row>
    <row r="92" customFormat="false" ht="12.75" hidden="false" customHeight="false" outlineLevel="0" collapsed="false">
      <c r="A92" s="196" t="n">
        <f aca="false">IF(A91&lt;mthend,EDATE(A91,1),"")</f>
        <v>39539</v>
      </c>
      <c r="B92" s="197" t="n">
        <f aca="false">IF(A92&lt;mthend,B91,"")</f>
        <v>28400</v>
      </c>
      <c r="C92" s="215"/>
      <c r="D92" s="197" t="n">
        <f aca="false">IF(A93&lt;&gt;"",B92+C92,"")</f>
        <v>28400</v>
      </c>
      <c r="E92" s="199" t="n">
        <f aca="false">IF(A93="","",IF(AND(AT92=1,$H$3=1),D92*AO92,IF($H$3=2,D92,"N/A")))</f>
        <v>852000</v>
      </c>
      <c r="F92" s="199" t="n">
        <f aca="false">IF(A93="","",E92*AS92)</f>
        <v>4693528.2274321</v>
      </c>
      <c r="G92" s="200" t="e">
        <f aca="false">IF($A93="","",VLOOKUP($A92,Table,MATCH(G$4,Curves,0)))</f>
        <v>#N/A</v>
      </c>
      <c r="H92" s="201" t="e">
        <f aca="false">IF(A93="","",G92)</f>
        <v>#N/A</v>
      </c>
      <c r="I92" s="202"/>
      <c r="J92" s="200" t="e">
        <f aca="false">IF($A93="","",VLOOKUP($A92,Table,MATCH(J$4,Curves,0)))</f>
        <v>#N/A</v>
      </c>
      <c r="K92" s="201" t="e">
        <f aca="false">IF(A93="","",J92)</f>
        <v>#N/A</v>
      </c>
      <c r="L92" s="185" t="n">
        <v>0</v>
      </c>
      <c r="M92" s="201" t="n">
        <f aca="false">IF(A93="","",L92)</f>
        <v>0</v>
      </c>
      <c r="N92" s="203"/>
      <c r="O92" s="200" t="e">
        <f aca="false">IF(A93="","",L92+J92+G92)</f>
        <v>#N/A</v>
      </c>
      <c r="P92" s="200" t="e">
        <f aca="false">IF(A93="","",M92+K92+H92)</f>
        <v>#N/A</v>
      </c>
      <c r="Q92" s="204"/>
      <c r="R92" s="200" t="e">
        <f aca="false">IF($A93="","",VLOOKUP($A92,Table,MATCH(R$4,Curves,0)))</f>
        <v>#N/A</v>
      </c>
      <c r="S92" s="201" t="e">
        <f aca="false">IF(A93="","",R92)</f>
        <v>#N/A</v>
      </c>
      <c r="T92" s="200" t="e">
        <f aca="false">IF($A93="","",VLOOKUP($A92,Table,MATCH(T$4,Curves,0)))</f>
        <v>#N/A</v>
      </c>
      <c r="U92" s="201" t="e">
        <f aca="false">IF(A93="","",T92)</f>
        <v>#N/A</v>
      </c>
      <c r="V92" s="183" t="e">
        <f aca="false">IF($A93="","",IF(AND(MONTH(A92)&gt;3,MONTH(A92)&lt;11),(T92+R92+G92)*(((1/(1-Summary!$T$14))/(1-Summary!$W$14))-1),(T92+R92+G92)*((1/(1-Summary!$U$14))/(1-Summary!$X$14)-1)))</f>
        <v>#N/A</v>
      </c>
      <c r="W92" s="202" t="e">
        <f aca="false">IF($A93="","",(T92+R92+G92+V92))</f>
        <v>#N/A</v>
      </c>
      <c r="X92" s="202" t="e">
        <f aca="false">IF($A93="","",(U92+S92+H92+V92))</f>
        <v>#N/A</v>
      </c>
      <c r="Y92" s="202"/>
      <c r="Z92" s="185" t="e">
        <f aca="false">IF($A93="","",VLOOKUP($A92,Table,MATCH(Z$4,Curves,0)))</f>
        <v>#N/A</v>
      </c>
      <c r="AA92" s="185" t="e">
        <f aca="false">IF($A93="","",VLOOKUP($A92,Table,MATCH(AA$4,Curves,0)))</f>
        <v>#N/A</v>
      </c>
      <c r="AB92" s="185" t="e">
        <f aca="false">SQRT((AA92^2*(A92-$D$3)+Z92^2*(DAY(EOMONTH(A92,0))/2))/AK92)</f>
        <v>#N/A</v>
      </c>
      <c r="AC92" s="185" t="e">
        <f aca="false">IF($A93="","",VLOOKUP($A92,Table,MATCH(AC$4,Curves,0)))</f>
        <v>#N/A</v>
      </c>
      <c r="AD92" s="185" t="e">
        <f aca="false">IF($A93="","",VLOOKUP($A92,Table,MATCH(AD$4,Curves,0)))</f>
        <v>#N/A</v>
      </c>
      <c r="AE92" s="185" t="e">
        <f aca="false">SQRT((AD92^2*(A92-$D$3)+AC92^2*(DAY(EOMONTH(A92,0))/2))/AK92)</f>
        <v>#N/A</v>
      </c>
      <c r="AF92" s="224" t="e">
        <f aca="false">((Summary!$N$14*(AA92*AD92)*(A92-$D$3))+(Summary!$M$14*Z92*AC92*(AJ92-EOMONTH(EDATE(A92,-1),0))))/(AK92*AB92*AE92)</f>
        <v>#N/A</v>
      </c>
      <c r="AG92" s="207" t="n">
        <f aca="false">IF($A93="","",Summary!$Q$14)</f>
        <v>0</v>
      </c>
      <c r="AH92" s="207" t="n">
        <f aca="false">IF($A93="","",IF(Summary!$R$12="Y",(VLOOKUP($A92,Summary!$AD$6:$AF$9,3)+'Escalating commodity'!J105),'Escalating commodity'!J105))</f>
        <v>0.00558228434158094</v>
      </c>
      <c r="AI92" s="207" t="n">
        <f aca="false">IF($A93="","",AH92)</f>
        <v>0.00558228434158094</v>
      </c>
      <c r="AJ92" s="208" t="n">
        <f aca="false">A92+DAY(EOMONTH(A92,0))/2-1</f>
        <v>39553</v>
      </c>
      <c r="AK92" s="209" t="n">
        <f aca="false">IF($A93="","",$A92-$E$1)</f>
        <v>-6387</v>
      </c>
      <c r="AL92" s="182" t="e">
        <f aca="false">IF($A93="","",SPRDOPT(P92,X92,AI92,0,AB92,AE92,AF92,AK92,$AJ$2,0))</f>
        <v>#NAME?</v>
      </c>
      <c r="AM92" s="211" t="e">
        <f aca="false">IF($A93="","",MAX(0,O92-W92-AI92))</f>
        <v>#N/A</v>
      </c>
      <c r="AN92" s="211" t="e">
        <f aca="false">IF($A93="","",AL92-AM92)</f>
        <v>#N/A</v>
      </c>
      <c r="AO92" s="137" t="n">
        <f aca="false">IF(A93="","",A93-A92)</f>
        <v>30</v>
      </c>
      <c r="AP92" s="212" t="n">
        <f aca="false">IF(A93="","",CHOOSE(F$3,A93+24,A92))</f>
        <v>39539</v>
      </c>
      <c r="AQ92" s="209" t="n">
        <f aca="false">IF(A93="","",AP92-$E$1)</f>
        <v>-6387</v>
      </c>
      <c r="AR92" s="185" t="n">
        <f aca="false">'ANR OK vs ML7'!AR92</f>
        <v>0.1</v>
      </c>
      <c r="AS92" s="213" t="n">
        <f aca="false">IF(A93="","",1/(1+CHOOSE(F$3,(AR93+($I$3/10000))/2,(AR92+($I$3/10000))/2))^(2*AQ92/365.25))</f>
        <v>5.50883594769026</v>
      </c>
      <c r="AT92" s="137" t="n">
        <f aca="false">IF(A93="","",IF(AND(mthbeg&lt;=A92,mthend&gt;=A92),1,0))</f>
        <v>1</v>
      </c>
      <c r="AU92" s="137" t="n">
        <f aca="false">IF(A93="","",AO92*AT92)</f>
        <v>30</v>
      </c>
      <c r="AW92" s="195" t="e">
        <f aca="false">IF($A93="","",AL92*$E92)</f>
        <v>#NAME?</v>
      </c>
      <c r="AX92" s="195" t="e">
        <f aca="false">IF($A93="","",AM92*$E92)</f>
        <v>#N/A</v>
      </c>
      <c r="AY92" s="195" t="e">
        <f aca="false">IF($A93="","",AN92*$E92)</f>
        <v>#N/A</v>
      </c>
      <c r="BA92" s="195" t="n">
        <f aca="false">IF($A93="","",F92*Summary!$Q$14)</f>
        <v>0</v>
      </c>
      <c r="BC92" s="179" t="e">
        <f aca="false">IF(A93="","",AM92*F92)</f>
        <v>#N/A</v>
      </c>
    </row>
    <row r="93" customFormat="false" ht="12.75" hidden="false" customHeight="false" outlineLevel="0" collapsed="false">
      <c r="A93" s="196" t="n">
        <f aca="false">IF(A92&lt;mthend,EDATE(A92,1),"")</f>
        <v>39569</v>
      </c>
      <c r="B93" s="197" t="n">
        <f aca="false">IF(A93&lt;mthend,B92,"")</f>
        <v>28400</v>
      </c>
      <c r="C93" s="215"/>
      <c r="D93" s="197" t="n">
        <f aca="false">IF(A94&lt;&gt;"",B93+C93,"")</f>
        <v>28400</v>
      </c>
      <c r="E93" s="199" t="n">
        <f aca="false">IF(A94="","",IF(AND(AT93=1,$H$3=1),D93*AO93,IF($H$3=2,D93,"N/A")))</f>
        <v>880400</v>
      </c>
      <c r="F93" s="199" t="n">
        <f aca="false">IF(A94="","",E93*AS93)</f>
        <v>4811262.85940843</v>
      </c>
      <c r="G93" s="200" t="e">
        <f aca="false">IF($A94="","",VLOOKUP($A93,Table,MATCH(G$4,Curves,0)))</f>
        <v>#N/A</v>
      </c>
      <c r="H93" s="201" t="e">
        <f aca="false">IF(A94="","",G93)</f>
        <v>#N/A</v>
      </c>
      <c r="I93" s="202"/>
      <c r="J93" s="200" t="e">
        <f aca="false">IF($A94="","",VLOOKUP($A93,Table,MATCH(J$4,Curves,0)))</f>
        <v>#N/A</v>
      </c>
      <c r="K93" s="201" t="e">
        <f aca="false">IF(A94="","",J93)</f>
        <v>#N/A</v>
      </c>
      <c r="L93" s="185" t="n">
        <v>0</v>
      </c>
      <c r="M93" s="201" t="n">
        <f aca="false">IF(A94="","",L93)</f>
        <v>0</v>
      </c>
      <c r="N93" s="203"/>
      <c r="O93" s="200" t="e">
        <f aca="false">IF(A94="","",L93+J93+G93)</f>
        <v>#N/A</v>
      </c>
      <c r="P93" s="200" t="e">
        <f aca="false">IF(A94="","",M93+K93+H93)</f>
        <v>#N/A</v>
      </c>
      <c r="Q93" s="204"/>
      <c r="R93" s="200" t="e">
        <f aca="false">IF($A94="","",VLOOKUP($A93,Table,MATCH(R$4,Curves,0)))</f>
        <v>#N/A</v>
      </c>
      <c r="S93" s="201" t="e">
        <f aca="false">IF(A94="","",R93)</f>
        <v>#N/A</v>
      </c>
      <c r="T93" s="200" t="e">
        <f aca="false">IF($A94="","",VLOOKUP($A93,Table,MATCH(T$4,Curves,0)))</f>
        <v>#N/A</v>
      </c>
      <c r="U93" s="201" t="e">
        <f aca="false">IF(A94="","",T93)</f>
        <v>#N/A</v>
      </c>
      <c r="V93" s="183" t="e">
        <f aca="false">IF($A94="","",IF(AND(MONTH(A93)&gt;3,MONTH(A93)&lt;11),(T93+R93+G93)*(((1/(1-Summary!$T$14))/(1-Summary!$W$14))-1),(T93+R93+G93)*((1/(1-Summary!$U$14))/(1-Summary!$X$14)-1)))</f>
        <v>#N/A</v>
      </c>
      <c r="W93" s="202" t="e">
        <f aca="false">IF($A94="","",(T93+R93+G93+V93))</f>
        <v>#N/A</v>
      </c>
      <c r="X93" s="202" t="e">
        <f aca="false">IF($A94="","",(U93+S93+H93+V93))</f>
        <v>#N/A</v>
      </c>
      <c r="Y93" s="202"/>
      <c r="Z93" s="185" t="e">
        <f aca="false">IF($A94="","",VLOOKUP($A93,Table,MATCH(Z$4,Curves,0)))</f>
        <v>#N/A</v>
      </c>
      <c r="AA93" s="185" t="e">
        <f aca="false">IF($A94="","",VLOOKUP($A93,Table,MATCH(AA$4,Curves,0)))</f>
        <v>#N/A</v>
      </c>
      <c r="AB93" s="185" t="e">
        <f aca="false">SQRT((AA93^2*(A93-$D$3)+Z93^2*(DAY(EOMONTH(A93,0))/2))/AK93)</f>
        <v>#N/A</v>
      </c>
      <c r="AC93" s="185" t="e">
        <f aca="false">IF($A94="","",VLOOKUP($A93,Table,MATCH(AC$4,Curves,0)))</f>
        <v>#N/A</v>
      </c>
      <c r="AD93" s="185" t="e">
        <f aca="false">IF($A94="","",VLOOKUP($A93,Table,MATCH(AD$4,Curves,0)))</f>
        <v>#N/A</v>
      </c>
      <c r="AE93" s="185" t="e">
        <f aca="false">SQRT((AD93^2*(A93-$D$3)+AC93^2*(DAY(EOMONTH(A93,0))/2))/AK93)</f>
        <v>#N/A</v>
      </c>
      <c r="AF93" s="224" t="e">
        <f aca="false">((Summary!$N$14*(AA93*AD93)*(A93-$D$3))+(Summary!$M$14*Z93*AC93*(AJ93-EOMONTH(EDATE(A93,-1),0))))/(AK93*AB93*AE93)</f>
        <v>#N/A</v>
      </c>
      <c r="AG93" s="207" t="n">
        <f aca="false">IF($A94="","",Summary!$Q$14)</f>
        <v>0</v>
      </c>
      <c r="AH93" s="207" t="n">
        <f aca="false">IF($A94="","",IF(Summary!$R$12="Y",(VLOOKUP($A93,Summary!$AD$6:$AF$9,3)+'Escalating commodity'!J106),'Escalating commodity'!J106))</f>
        <v>0.00558228434158094</v>
      </c>
      <c r="AI93" s="207" t="n">
        <f aca="false">IF($A94="","",AH93)</f>
        <v>0.00558228434158094</v>
      </c>
      <c r="AJ93" s="208" t="n">
        <f aca="false">A93+DAY(EOMONTH(A93,0))/2-1</f>
        <v>39583.5</v>
      </c>
      <c r="AK93" s="209" t="n">
        <f aca="false">IF($A94="","",$A93-$E$1)</f>
        <v>-6357</v>
      </c>
      <c r="AL93" s="182" t="e">
        <f aca="false">IF($A94="","",SPRDOPT(P93,X93,AI93,0,AB93,AE93,AF93,AK93,$AJ$2,0))</f>
        <v>#NAME?</v>
      </c>
      <c r="AM93" s="211" t="e">
        <f aca="false">IF($A94="","",MAX(0,O93-W93-AI93))</f>
        <v>#N/A</v>
      </c>
      <c r="AN93" s="211" t="e">
        <f aca="false">IF($A94="","",AL93-AM93)</f>
        <v>#N/A</v>
      </c>
      <c r="AO93" s="137" t="n">
        <f aca="false">IF(A94="","",A94-A93)</f>
        <v>31</v>
      </c>
      <c r="AP93" s="212" t="n">
        <f aca="false">IF(A94="","",CHOOSE(F$3,A94+24,A93))</f>
        <v>39569</v>
      </c>
      <c r="AQ93" s="209" t="n">
        <f aca="false">IF(A94="","",AP93-$E$1)</f>
        <v>-6357</v>
      </c>
      <c r="AR93" s="185" t="n">
        <f aca="false">'ANR OK vs ML7'!AR93</f>
        <v>0.1</v>
      </c>
      <c r="AS93" s="213" t="n">
        <f aca="false">IF(A94="","",1/(1+CHOOSE(F$3,(AR94+($I$3/10000))/2,(AR93+($I$3/10000))/2))^(2*AQ93/365.25))</f>
        <v>5.46486013108636</v>
      </c>
      <c r="AT93" s="137" t="n">
        <f aca="false">IF(A94="","",IF(AND(mthbeg&lt;=A93,mthend&gt;=A93),1,0))</f>
        <v>1</v>
      </c>
      <c r="AU93" s="137" t="n">
        <f aca="false">IF(A94="","",AO93*AT93)</f>
        <v>31</v>
      </c>
      <c r="AW93" s="195" t="e">
        <f aca="false">IF($A94="","",AL93*$E93)</f>
        <v>#NAME?</v>
      </c>
      <c r="AX93" s="195" t="e">
        <f aca="false">IF($A94="","",AM93*$E93)</f>
        <v>#N/A</v>
      </c>
      <c r="AY93" s="195" t="e">
        <f aca="false">IF($A94="","",AN93*$E93)</f>
        <v>#N/A</v>
      </c>
      <c r="BA93" s="195" t="n">
        <f aca="false">IF($A94="","",F93*Summary!$Q$14)</f>
        <v>0</v>
      </c>
      <c r="BC93" s="179" t="e">
        <f aca="false">IF(A94="","",AM93*F93)</f>
        <v>#N/A</v>
      </c>
    </row>
    <row r="94" customFormat="false" ht="12.75" hidden="false" customHeight="false" outlineLevel="0" collapsed="false">
      <c r="A94" s="196" t="n">
        <f aca="false">IF(A93&lt;mthend,EDATE(A93,1),"")</f>
        <v>39600</v>
      </c>
      <c r="B94" s="197" t="n">
        <f aca="false">IF(A94&lt;mthend,B93,"")</f>
        <v>28400</v>
      </c>
      <c r="C94" s="215"/>
      <c r="D94" s="197" t="n">
        <f aca="false">IF(A95&lt;&gt;"",B94+C94,"")</f>
        <v>28400</v>
      </c>
      <c r="E94" s="199" t="n">
        <f aca="false">IF(A95="","",IF(AND(AT94=1,$H$3=1),D94*AO94,IF($H$3=2,D94,"N/A")))</f>
        <v>852000</v>
      </c>
      <c r="F94" s="199" t="n">
        <f aca="false">IF(A95="","",E94*AS94)</f>
        <v>4617658.70960007</v>
      </c>
      <c r="G94" s="200" t="e">
        <f aca="false">IF($A95="","",VLOOKUP($A94,Table,MATCH(G$4,Curves,0)))</f>
        <v>#N/A</v>
      </c>
      <c r="H94" s="201" t="e">
        <f aca="false">IF(A95="","",G94)</f>
        <v>#N/A</v>
      </c>
      <c r="I94" s="202"/>
      <c r="J94" s="200" t="e">
        <f aca="false">IF($A95="","",VLOOKUP($A94,Table,MATCH(J$4,Curves,0)))</f>
        <v>#N/A</v>
      </c>
      <c r="K94" s="201" t="e">
        <f aca="false">IF(A95="","",J94)</f>
        <v>#N/A</v>
      </c>
      <c r="L94" s="185" t="n">
        <v>0</v>
      </c>
      <c r="M94" s="201" t="n">
        <f aca="false">IF(A95="","",L94)</f>
        <v>0</v>
      </c>
      <c r="N94" s="203"/>
      <c r="O94" s="200" t="e">
        <f aca="false">IF(A95="","",L94+J94+G94)</f>
        <v>#N/A</v>
      </c>
      <c r="P94" s="200" t="e">
        <f aca="false">IF(A95="","",M94+K94+H94)</f>
        <v>#N/A</v>
      </c>
      <c r="Q94" s="204"/>
      <c r="R94" s="200" t="e">
        <f aca="false">IF($A95="","",VLOOKUP($A94,Table,MATCH(R$4,Curves,0)))</f>
        <v>#N/A</v>
      </c>
      <c r="S94" s="201" t="e">
        <f aca="false">IF(A95="","",R94)</f>
        <v>#N/A</v>
      </c>
      <c r="T94" s="200" t="e">
        <f aca="false">IF($A95="","",VLOOKUP($A94,Table,MATCH(T$4,Curves,0)))</f>
        <v>#N/A</v>
      </c>
      <c r="U94" s="201" t="e">
        <f aca="false">IF(A95="","",T94)</f>
        <v>#N/A</v>
      </c>
      <c r="V94" s="183" t="e">
        <f aca="false">IF($A95="","",IF(AND(MONTH(A94)&gt;3,MONTH(A94)&lt;11),(T94+R94+G94)*(((1/(1-Summary!$T$14))/(1-Summary!$W$14))-1),(T94+R94+G94)*((1/(1-Summary!$U$14))/(1-Summary!$X$14)-1)))</f>
        <v>#N/A</v>
      </c>
      <c r="W94" s="202" t="e">
        <f aca="false">IF($A95="","",(T94+R94+G94+V94))</f>
        <v>#N/A</v>
      </c>
      <c r="X94" s="202" t="e">
        <f aca="false">IF($A95="","",(U94+S94+H94+V94))</f>
        <v>#N/A</v>
      </c>
      <c r="Y94" s="202"/>
      <c r="Z94" s="185" t="e">
        <f aca="false">IF($A95="","",VLOOKUP($A94,Table,MATCH(Z$4,Curves,0)))</f>
        <v>#N/A</v>
      </c>
      <c r="AA94" s="185" t="e">
        <f aca="false">IF($A95="","",VLOOKUP($A94,Table,MATCH(AA$4,Curves,0)))</f>
        <v>#N/A</v>
      </c>
      <c r="AB94" s="185" t="e">
        <f aca="false">SQRT((AA94^2*(A94-$D$3)+Z94^2*(DAY(EOMONTH(A94,0))/2))/AK94)</f>
        <v>#N/A</v>
      </c>
      <c r="AC94" s="185" t="e">
        <f aca="false">IF($A95="","",VLOOKUP($A94,Table,MATCH(AC$4,Curves,0)))</f>
        <v>#N/A</v>
      </c>
      <c r="AD94" s="185" t="e">
        <f aca="false">IF($A95="","",VLOOKUP($A94,Table,MATCH(AD$4,Curves,0)))</f>
        <v>#N/A</v>
      </c>
      <c r="AE94" s="185" t="e">
        <f aca="false">SQRT((AD94^2*(A94-$D$3)+AC94^2*(DAY(EOMONTH(A94,0))/2))/AK94)</f>
        <v>#N/A</v>
      </c>
      <c r="AF94" s="224" t="e">
        <f aca="false">((Summary!$N$14*(AA94*AD94)*(A94-$D$3))+(Summary!$M$14*Z94*AC94*(AJ94-EOMONTH(EDATE(A94,-1),0))))/(AK94*AB94*AE94)</f>
        <v>#N/A</v>
      </c>
      <c r="AG94" s="207" t="n">
        <f aca="false">IF($A95="","",Summary!$Q$14)</f>
        <v>0</v>
      </c>
      <c r="AH94" s="207" t="n">
        <f aca="false">IF($A95="","",IF(Summary!$R$12="Y",(VLOOKUP($A94,Summary!$AD$6:$AF$9,3)+'Escalating commodity'!J107),'Escalating commodity'!J107))</f>
        <v>0.00558228434158094</v>
      </c>
      <c r="AI94" s="207" t="n">
        <f aca="false">IF($A95="","",AH94)</f>
        <v>0.00558228434158094</v>
      </c>
      <c r="AJ94" s="208" t="n">
        <f aca="false">A94+DAY(EOMONTH(A94,0))/2-1</f>
        <v>39614</v>
      </c>
      <c r="AK94" s="209" t="n">
        <f aca="false">IF($A95="","",$A94-$E$1)</f>
        <v>-6326</v>
      </c>
      <c r="AL94" s="182" t="e">
        <f aca="false">IF($A95="","",SPRDOPT(P94,X94,AI94,0,AB94,AE94,AF94,AK94,$AJ$2,0))</f>
        <v>#NAME?</v>
      </c>
      <c r="AM94" s="211" t="e">
        <f aca="false">IF($A95="","",MAX(0,O94-W94-AI94))</f>
        <v>#N/A</v>
      </c>
      <c r="AN94" s="211" t="e">
        <f aca="false">IF($A95="","",AL94-AM94)</f>
        <v>#N/A</v>
      </c>
      <c r="AO94" s="137" t="n">
        <f aca="false">IF(A95="","",A95-A94)</f>
        <v>30</v>
      </c>
      <c r="AP94" s="212" t="n">
        <f aca="false">IF(A95="","",CHOOSE(F$3,A95+24,A94))</f>
        <v>39600</v>
      </c>
      <c r="AQ94" s="209" t="n">
        <f aca="false">IF(A95="","",AP94-$E$1)</f>
        <v>-6326</v>
      </c>
      <c r="AR94" s="185" t="n">
        <f aca="false">'ANR OK vs ML7'!AR94</f>
        <v>0.1</v>
      </c>
      <c r="AS94" s="213" t="n">
        <f aca="false">IF(A95="","",1/(1+CHOOSE(F$3,(AR95+($I$3/10000))/2,(AR94+($I$3/10000))/2))^(2*AQ94/365.25))</f>
        <v>5.41978721784045</v>
      </c>
      <c r="AT94" s="137" t="n">
        <f aca="false">IF(A95="","",IF(AND(mthbeg&lt;=A94,mthend&gt;=A94),1,0))</f>
        <v>1</v>
      </c>
      <c r="AU94" s="137" t="n">
        <f aca="false">IF(A95="","",AO94*AT94)</f>
        <v>30</v>
      </c>
      <c r="AW94" s="195" t="e">
        <f aca="false">IF($A95="","",AL94*$E94)</f>
        <v>#NAME?</v>
      </c>
      <c r="AX94" s="195" t="e">
        <f aca="false">IF($A95="","",AM94*$E94)</f>
        <v>#N/A</v>
      </c>
      <c r="AY94" s="195" t="e">
        <f aca="false">IF($A95="","",AN94*$E94)</f>
        <v>#N/A</v>
      </c>
      <c r="BA94" s="195" t="n">
        <f aca="false">IF($A95="","",F94*Summary!$Q$14)</f>
        <v>0</v>
      </c>
      <c r="BC94" s="179" t="e">
        <f aca="false">IF(A95="","",AM94*F94)</f>
        <v>#N/A</v>
      </c>
    </row>
    <row r="95" customFormat="false" ht="12.75" hidden="false" customHeight="false" outlineLevel="0" collapsed="false">
      <c r="A95" s="196" t="n">
        <f aca="false">IF(A94&lt;mthend,EDATE(A94,1),"")</f>
        <v>39630</v>
      </c>
      <c r="B95" s="197" t="n">
        <f aca="false">IF(A95&lt;mthend,B94,"")</f>
        <v>28400</v>
      </c>
      <c r="C95" s="215"/>
      <c r="D95" s="197" t="n">
        <f aca="false">IF(A96&lt;&gt;"",B95+C95,"")</f>
        <v>28400</v>
      </c>
      <c r="E95" s="199" t="n">
        <f aca="false">IF(A96="","",IF(AND(AT95=1,$H$3=1),D95*AO95,IF($H$3=2,D95,"N/A")))</f>
        <v>880400</v>
      </c>
      <c r="F95" s="199" t="n">
        <f aca="false">IF(A96="","",E95*AS95)</f>
        <v>4733490.19551498</v>
      </c>
      <c r="G95" s="200" t="e">
        <f aca="false">IF($A96="","",VLOOKUP($A95,Table,MATCH(G$4,Curves,0)))</f>
        <v>#N/A</v>
      </c>
      <c r="H95" s="201" t="e">
        <f aca="false">IF(A96="","",G95)</f>
        <v>#N/A</v>
      </c>
      <c r="I95" s="202"/>
      <c r="J95" s="200" t="e">
        <f aca="false">IF($A96="","",VLOOKUP($A95,Table,MATCH(J$4,Curves,0)))</f>
        <v>#N/A</v>
      </c>
      <c r="K95" s="201" t="e">
        <f aca="false">IF(A96="","",J95)</f>
        <v>#N/A</v>
      </c>
      <c r="L95" s="185" t="n">
        <v>0</v>
      </c>
      <c r="M95" s="201" t="n">
        <f aca="false">IF(A96="","",L95)</f>
        <v>0</v>
      </c>
      <c r="N95" s="203"/>
      <c r="O95" s="200" t="e">
        <f aca="false">IF(A96="","",L95+J95+G95)</f>
        <v>#N/A</v>
      </c>
      <c r="P95" s="200" t="e">
        <f aca="false">IF(A96="","",M95+K95+H95)</f>
        <v>#N/A</v>
      </c>
      <c r="Q95" s="204"/>
      <c r="R95" s="200" t="e">
        <f aca="false">IF($A96="","",VLOOKUP($A95,Table,MATCH(R$4,Curves,0)))</f>
        <v>#N/A</v>
      </c>
      <c r="S95" s="201" t="e">
        <f aca="false">IF(A96="","",R95)</f>
        <v>#N/A</v>
      </c>
      <c r="T95" s="200" t="e">
        <f aca="false">IF($A96="","",VLOOKUP($A95,Table,MATCH(T$4,Curves,0)))</f>
        <v>#N/A</v>
      </c>
      <c r="U95" s="201" t="e">
        <f aca="false">IF(A96="","",T95)</f>
        <v>#N/A</v>
      </c>
      <c r="V95" s="183" t="e">
        <f aca="false">IF($A96="","",IF(AND(MONTH(A95)&gt;3,MONTH(A95)&lt;11),(T95+R95+G95)*(((1/(1-Summary!$T$14))/(1-Summary!$W$14))-1),(T95+R95+G95)*((1/(1-Summary!$U$14))/(1-Summary!$X$14)-1)))</f>
        <v>#N/A</v>
      </c>
      <c r="W95" s="202" t="e">
        <f aca="false">IF($A96="","",(T95+R95+G95+V95))</f>
        <v>#N/A</v>
      </c>
      <c r="X95" s="202" t="e">
        <f aca="false">IF($A96="","",(U95+S95+H95+V95))</f>
        <v>#N/A</v>
      </c>
      <c r="Y95" s="202"/>
      <c r="Z95" s="185" t="e">
        <f aca="false">IF($A96="","",VLOOKUP($A95,Table,MATCH(Z$4,Curves,0)))</f>
        <v>#N/A</v>
      </c>
      <c r="AA95" s="185" t="e">
        <f aca="false">IF($A96="","",VLOOKUP($A95,Table,MATCH(AA$4,Curves,0)))</f>
        <v>#N/A</v>
      </c>
      <c r="AB95" s="185" t="e">
        <f aca="false">SQRT((AA95^2*(A95-$D$3)+Z95^2*(DAY(EOMONTH(A95,0))/2))/AK95)</f>
        <v>#N/A</v>
      </c>
      <c r="AC95" s="185" t="e">
        <f aca="false">IF($A96="","",VLOOKUP($A95,Table,MATCH(AC$4,Curves,0)))</f>
        <v>#N/A</v>
      </c>
      <c r="AD95" s="185" t="e">
        <f aca="false">IF($A96="","",VLOOKUP($A95,Table,MATCH(AD$4,Curves,0)))</f>
        <v>#N/A</v>
      </c>
      <c r="AE95" s="185" t="e">
        <f aca="false">SQRT((AD95^2*(A95-$D$3)+AC95^2*(DAY(EOMONTH(A95,0))/2))/AK95)</f>
        <v>#N/A</v>
      </c>
      <c r="AF95" s="224" t="e">
        <f aca="false">((Summary!$N$14*(AA95*AD95)*(A95-$D$3))+(Summary!$M$14*Z95*AC95*(AJ95-EOMONTH(EDATE(A95,-1),0))))/(AK95*AB95*AE95)</f>
        <v>#N/A</v>
      </c>
      <c r="AG95" s="207" t="n">
        <f aca="false">IF($A96="","",Summary!$Q$14)</f>
        <v>0</v>
      </c>
      <c r="AH95" s="207" t="n">
        <f aca="false">IF($A96="","",IF(Summary!$R$12="Y",(VLOOKUP($A95,Summary!$AD$6:$AF$9,3)+'Escalating commodity'!J108),'Escalating commodity'!J108))</f>
        <v>0.00558228434158094</v>
      </c>
      <c r="AI95" s="207" t="n">
        <f aca="false">IF($A96="","",AH95)</f>
        <v>0.00558228434158094</v>
      </c>
      <c r="AJ95" s="208" t="n">
        <f aca="false">A95+DAY(EOMONTH(A95,0))/2-1</f>
        <v>39644.5</v>
      </c>
      <c r="AK95" s="209" t="n">
        <f aca="false">IF($A96="","",$A95-$E$1)</f>
        <v>-6296</v>
      </c>
      <c r="AL95" s="182" t="e">
        <f aca="false">IF($A96="","",SPRDOPT(P95,X95,AI95,0,AB95,AE95,AF95,AK95,$AJ$2,0))</f>
        <v>#NAME?</v>
      </c>
      <c r="AM95" s="211" t="e">
        <f aca="false">IF($A96="","",MAX(0,O95-W95-AI95))</f>
        <v>#N/A</v>
      </c>
      <c r="AN95" s="211" t="e">
        <f aca="false">IF($A96="","",AL95-AM95)</f>
        <v>#N/A</v>
      </c>
      <c r="AO95" s="137" t="n">
        <f aca="false">IF(A96="","",A96-A95)</f>
        <v>31</v>
      </c>
      <c r="AP95" s="212" t="n">
        <f aca="false">IF(A96="","",CHOOSE(F$3,A96+24,A95))</f>
        <v>39630</v>
      </c>
      <c r="AQ95" s="209" t="n">
        <f aca="false">IF(A96="","",AP95-$E$1)</f>
        <v>-6296</v>
      </c>
      <c r="AR95" s="185" t="n">
        <f aca="false">'ANR OK vs ML7'!AR95</f>
        <v>0.1</v>
      </c>
      <c r="AS95" s="213" t="n">
        <f aca="false">IF(A96="","",1/(1+CHOOSE(F$3,(AR96+($I$3/10000))/2,(AR95+($I$3/10000))/2))^(2*AQ95/365.25))</f>
        <v>5.37652225751361</v>
      </c>
      <c r="AT95" s="137" t="n">
        <f aca="false">IF(A96="","",IF(AND(mthbeg&lt;=A95,mthend&gt;=A95),1,0))</f>
        <v>1</v>
      </c>
      <c r="AU95" s="137" t="n">
        <f aca="false">IF(A96="","",AO95*AT95)</f>
        <v>31</v>
      </c>
      <c r="AW95" s="195" t="e">
        <f aca="false">IF($A96="","",AL95*$E95)</f>
        <v>#NAME?</v>
      </c>
      <c r="AX95" s="195" t="e">
        <f aca="false">IF($A96="","",AM95*$E95)</f>
        <v>#N/A</v>
      </c>
      <c r="AY95" s="195" t="e">
        <f aca="false">IF($A96="","",AN95*$E95)</f>
        <v>#N/A</v>
      </c>
      <c r="BA95" s="195" t="n">
        <f aca="false">IF($A96="","",F95*Summary!$Q$14)</f>
        <v>0</v>
      </c>
      <c r="BC95" s="179" t="e">
        <f aca="false">IF(A96="","",AM95*F95)</f>
        <v>#N/A</v>
      </c>
    </row>
    <row r="96" customFormat="false" ht="12.75" hidden="false" customHeight="false" outlineLevel="0" collapsed="false">
      <c r="A96" s="196" t="n">
        <f aca="false">IF(A95&lt;mthend,EDATE(A95,1),"")</f>
        <v>39661</v>
      </c>
      <c r="B96" s="197" t="n">
        <f aca="false">IF(A96&lt;mthend,B95,"")</f>
        <v>28400</v>
      </c>
      <c r="C96" s="215"/>
      <c r="D96" s="197" t="n">
        <f aca="false">IF(A97&lt;&gt;"",B96+C96,"")</f>
        <v>28400</v>
      </c>
      <c r="E96" s="199" t="n">
        <f aca="false">IF(A97="","",IF(AND(AT96=1,$H$3=1),D96*AO96,IF($H$3=2,D96,"N/A")))</f>
        <v>880400</v>
      </c>
      <c r="F96" s="199" t="n">
        <f aca="false">IF(A97="","",E96*AS96)</f>
        <v>4694449.45379148</v>
      </c>
      <c r="G96" s="200" t="e">
        <f aca="false">IF($A97="","",VLOOKUP($A96,Table,MATCH(G$4,Curves,0)))</f>
        <v>#N/A</v>
      </c>
      <c r="H96" s="201" t="e">
        <f aca="false">IF(A97="","",G96)</f>
        <v>#N/A</v>
      </c>
      <c r="I96" s="202"/>
      <c r="J96" s="200" t="e">
        <f aca="false">IF($A97="","",VLOOKUP($A96,Table,MATCH(J$4,Curves,0)))</f>
        <v>#N/A</v>
      </c>
      <c r="K96" s="201" t="e">
        <f aca="false">IF(A97="","",J96)</f>
        <v>#N/A</v>
      </c>
      <c r="L96" s="185" t="n">
        <v>0</v>
      </c>
      <c r="M96" s="201" t="n">
        <f aca="false">IF(A97="","",L96)</f>
        <v>0</v>
      </c>
      <c r="N96" s="203"/>
      <c r="O96" s="200" t="e">
        <f aca="false">IF(A97="","",L96+J96+G96)</f>
        <v>#N/A</v>
      </c>
      <c r="P96" s="200" t="e">
        <f aca="false">IF(A97="","",M96+K96+H96)</f>
        <v>#N/A</v>
      </c>
      <c r="Q96" s="204"/>
      <c r="R96" s="200" t="e">
        <f aca="false">IF($A97="","",VLOOKUP($A96,Table,MATCH(R$4,Curves,0)))</f>
        <v>#N/A</v>
      </c>
      <c r="S96" s="201" t="e">
        <f aca="false">IF(A97="","",R96)</f>
        <v>#N/A</v>
      </c>
      <c r="T96" s="200" t="e">
        <f aca="false">IF($A97="","",VLOOKUP($A96,Table,MATCH(T$4,Curves,0)))</f>
        <v>#N/A</v>
      </c>
      <c r="U96" s="201" t="e">
        <f aca="false">IF(A97="","",T96)</f>
        <v>#N/A</v>
      </c>
      <c r="V96" s="183" t="e">
        <f aca="false">IF($A97="","",IF(AND(MONTH(A96)&gt;3,MONTH(A96)&lt;11),(T96+R96+G96)*(((1/(1-Summary!$T$14))/(1-Summary!$W$14))-1),(T96+R96+G96)*((1/(1-Summary!$U$14))/(1-Summary!$X$14)-1)))</f>
        <v>#N/A</v>
      </c>
      <c r="W96" s="202" t="e">
        <f aca="false">IF($A97="","",(T96+R96+G96+V96))</f>
        <v>#N/A</v>
      </c>
      <c r="X96" s="202" t="e">
        <f aca="false">IF($A97="","",(U96+S96+H96+V96))</f>
        <v>#N/A</v>
      </c>
      <c r="Y96" s="202"/>
      <c r="Z96" s="185" t="e">
        <f aca="false">IF($A97="","",VLOOKUP($A96,Table,MATCH(Z$4,Curves,0)))</f>
        <v>#N/A</v>
      </c>
      <c r="AA96" s="185" t="e">
        <f aca="false">IF($A97="","",VLOOKUP($A96,Table,MATCH(AA$4,Curves,0)))</f>
        <v>#N/A</v>
      </c>
      <c r="AB96" s="185" t="e">
        <f aca="false">SQRT((AA96^2*(A96-$D$3)+Z96^2*(DAY(EOMONTH(A96,0))/2))/AK96)</f>
        <v>#N/A</v>
      </c>
      <c r="AC96" s="185" t="e">
        <f aca="false">IF($A97="","",VLOOKUP($A96,Table,MATCH(AC$4,Curves,0)))</f>
        <v>#N/A</v>
      </c>
      <c r="AD96" s="185" t="e">
        <f aca="false">IF($A97="","",VLOOKUP($A96,Table,MATCH(AD$4,Curves,0)))</f>
        <v>#N/A</v>
      </c>
      <c r="AE96" s="185" t="e">
        <f aca="false">SQRT((AD96^2*(A96-$D$3)+AC96^2*(DAY(EOMONTH(A96,0))/2))/AK96)</f>
        <v>#N/A</v>
      </c>
      <c r="AF96" s="224" t="e">
        <f aca="false">((Summary!$N$14*(AA96*AD96)*(A96-$D$3))+(Summary!$M$14*Z96*AC96*(AJ96-EOMONTH(EDATE(A96,-1),0))))/(AK96*AB96*AE96)</f>
        <v>#N/A</v>
      </c>
      <c r="AG96" s="207" t="n">
        <f aca="false">IF($A97="","",Summary!$Q$14)</f>
        <v>0</v>
      </c>
      <c r="AH96" s="207" t="n">
        <f aca="false">IF($A97="","",IF(Summary!$R$12="Y",(VLOOKUP($A96,Summary!$AD$6:$AF$9,3)+'Escalating commodity'!J109),'Escalating commodity'!J109))</f>
        <v>0.00558228434158094</v>
      </c>
      <c r="AI96" s="207" t="n">
        <f aca="false">IF($A97="","",AH96)</f>
        <v>0.00558228434158094</v>
      </c>
      <c r="AJ96" s="208" t="n">
        <f aca="false">A96+DAY(EOMONTH(A96,0))/2-1</f>
        <v>39675.5</v>
      </c>
      <c r="AK96" s="209" t="n">
        <f aca="false">IF($A97="","",$A96-$E$1)</f>
        <v>-6265</v>
      </c>
      <c r="AL96" s="182" t="e">
        <f aca="false">IF($A97="","",SPRDOPT(P96,X96,AI96,0,AB96,AE96,AF96,AK96,$AJ$2,0))</f>
        <v>#NAME?</v>
      </c>
      <c r="AM96" s="211" t="e">
        <f aca="false">IF($A97="","",MAX(0,O96-W96-AI96))</f>
        <v>#N/A</v>
      </c>
      <c r="AN96" s="211" t="e">
        <f aca="false">IF($A97="","",AL96-AM96)</f>
        <v>#N/A</v>
      </c>
      <c r="AO96" s="137" t="n">
        <f aca="false">IF(A97="","",A97-A96)</f>
        <v>31</v>
      </c>
      <c r="AP96" s="212" t="n">
        <f aca="false">IF(A97="","",CHOOSE(F$3,A97+24,A96))</f>
        <v>39661</v>
      </c>
      <c r="AQ96" s="209" t="n">
        <f aca="false">IF(A97="","",AP96-$E$1)</f>
        <v>-6265</v>
      </c>
      <c r="AR96" s="185" t="n">
        <f aca="false">'ANR OK vs ML7'!AR96</f>
        <v>0.1</v>
      </c>
      <c r="AS96" s="213" t="n">
        <f aca="false">IF(A97="","",1/(1+CHOOSE(F$3,(AR97+($I$3/10000))/2,(AR96+($I$3/10000))/2))^(2*AQ96/365.25))</f>
        <v>5.33217793479269</v>
      </c>
      <c r="AT96" s="137" t="n">
        <f aca="false">IF(A97="","",IF(AND(mthbeg&lt;=A96,mthend&gt;=A96),1,0))</f>
        <v>1</v>
      </c>
      <c r="AU96" s="137" t="n">
        <f aca="false">IF(A97="","",AO96*AT96)</f>
        <v>31</v>
      </c>
      <c r="AW96" s="195" t="e">
        <f aca="false">IF($A97="","",AL96*$E96)</f>
        <v>#NAME?</v>
      </c>
      <c r="AX96" s="195" t="e">
        <f aca="false">IF($A97="","",AM96*$E96)</f>
        <v>#N/A</v>
      </c>
      <c r="AY96" s="195" t="e">
        <f aca="false">IF($A97="","",AN96*$E96)</f>
        <v>#N/A</v>
      </c>
      <c r="BA96" s="195" t="n">
        <f aca="false">IF($A97="","",F96*Summary!$Q$14)</f>
        <v>0</v>
      </c>
      <c r="BC96" s="179" t="e">
        <f aca="false">IF(A97="","",AM96*F96)</f>
        <v>#N/A</v>
      </c>
    </row>
    <row r="97" customFormat="false" ht="12.75" hidden="false" customHeight="false" outlineLevel="0" collapsed="false">
      <c r="A97" s="196" t="n">
        <f aca="false">IF(A96&lt;mthend,EDATE(A96,1),"")</f>
        <v>39692</v>
      </c>
      <c r="B97" s="197" t="n">
        <f aca="false">IF(A97&lt;mthend,B96,"")</f>
        <v>28400</v>
      </c>
      <c r="C97" s="215"/>
      <c r="D97" s="197" t="n">
        <f aca="false">IF(A98&lt;&gt;"",B97+C97,"")</f>
        <v>28400</v>
      </c>
      <c r="E97" s="199" t="n">
        <f aca="false">IF(A98="","",IF(AND(AT97=1,$H$3=1),D97*AO97,IF($H$3=2,D97,"N/A")))</f>
        <v>852000</v>
      </c>
      <c r="F97" s="199" t="n">
        <f aca="false">IF(A98="","",E97*AS97)</f>
        <v>4505545.8495034</v>
      </c>
      <c r="G97" s="200" t="e">
        <f aca="false">IF($A98="","",VLOOKUP($A97,Table,MATCH(G$4,Curves,0)))</f>
        <v>#N/A</v>
      </c>
      <c r="H97" s="201" t="e">
        <f aca="false">IF(A98="","",G97)</f>
        <v>#N/A</v>
      </c>
      <c r="I97" s="202"/>
      <c r="J97" s="200" t="e">
        <f aca="false">IF($A98="","",VLOOKUP($A97,Table,MATCH(J$4,Curves,0)))</f>
        <v>#N/A</v>
      </c>
      <c r="K97" s="201" t="e">
        <f aca="false">IF(A98="","",J97)</f>
        <v>#N/A</v>
      </c>
      <c r="L97" s="185" t="n">
        <v>0</v>
      </c>
      <c r="M97" s="201" t="n">
        <f aca="false">IF(A98="","",L97)</f>
        <v>0</v>
      </c>
      <c r="N97" s="203"/>
      <c r="O97" s="200" t="e">
        <f aca="false">IF(A98="","",L97+J97+G97)</f>
        <v>#N/A</v>
      </c>
      <c r="P97" s="200" t="e">
        <f aca="false">IF(A98="","",M97+K97+H97)</f>
        <v>#N/A</v>
      </c>
      <c r="Q97" s="204"/>
      <c r="R97" s="200" t="e">
        <f aca="false">IF($A98="","",VLOOKUP($A97,Table,MATCH(R$4,Curves,0)))</f>
        <v>#N/A</v>
      </c>
      <c r="S97" s="201" t="e">
        <f aca="false">IF(A98="","",R97)</f>
        <v>#N/A</v>
      </c>
      <c r="T97" s="200" t="e">
        <f aca="false">IF($A98="","",VLOOKUP($A97,Table,MATCH(T$4,Curves,0)))</f>
        <v>#N/A</v>
      </c>
      <c r="U97" s="201" t="e">
        <f aca="false">IF(A98="","",T97)</f>
        <v>#N/A</v>
      </c>
      <c r="V97" s="183" t="e">
        <f aca="false">IF($A98="","",IF(AND(MONTH(A97)&gt;3,MONTH(A97)&lt;11),(T97+R97+G97)*(((1/(1-Summary!$T$14))/(1-Summary!$W$14))-1),(T97+R97+G97)*((1/(1-Summary!$U$14))/(1-Summary!$X$14)-1)))</f>
        <v>#N/A</v>
      </c>
      <c r="W97" s="202" t="e">
        <f aca="false">IF($A98="","",(T97+R97+G97+V97))</f>
        <v>#N/A</v>
      </c>
      <c r="X97" s="202" t="e">
        <f aca="false">IF($A98="","",(U97+S97+H97+V97))</f>
        <v>#N/A</v>
      </c>
      <c r="Y97" s="202"/>
      <c r="Z97" s="185" t="e">
        <f aca="false">IF($A98="","",VLOOKUP($A97,Table,MATCH(Z$4,Curves,0)))</f>
        <v>#N/A</v>
      </c>
      <c r="AA97" s="185" t="e">
        <f aca="false">IF($A98="","",VLOOKUP($A97,Table,MATCH(AA$4,Curves,0)))</f>
        <v>#N/A</v>
      </c>
      <c r="AB97" s="185" t="e">
        <f aca="false">SQRT((AA97^2*(A97-$D$3)+Z97^2*(DAY(EOMONTH(A97,0))/2))/AK97)</f>
        <v>#N/A</v>
      </c>
      <c r="AC97" s="185" t="e">
        <f aca="false">IF($A98="","",VLOOKUP($A97,Table,MATCH(AC$4,Curves,0)))</f>
        <v>#N/A</v>
      </c>
      <c r="AD97" s="185" t="e">
        <f aca="false">IF($A98="","",VLOOKUP($A97,Table,MATCH(AD$4,Curves,0)))</f>
        <v>#N/A</v>
      </c>
      <c r="AE97" s="185" t="e">
        <f aca="false">SQRT((AD97^2*(A97-$D$3)+AC97^2*(DAY(EOMONTH(A97,0))/2))/AK97)</f>
        <v>#N/A</v>
      </c>
      <c r="AF97" s="224" t="e">
        <f aca="false">((Summary!$N$14*(AA97*AD97)*(A97-$D$3))+(Summary!$M$14*Z97*AC97*(AJ97-EOMONTH(EDATE(A97,-1),0))))/(AK97*AB97*AE97)</f>
        <v>#N/A</v>
      </c>
      <c r="AG97" s="207" t="n">
        <f aca="false">IF($A98="","",Summary!$Q$14)</f>
        <v>0</v>
      </c>
      <c r="AH97" s="207" t="n">
        <f aca="false">IF($A98="","",IF(Summary!$R$12="Y",(VLOOKUP($A97,Summary!$AD$6:$AF$9,3)+'Escalating commodity'!J110),'Escalating commodity'!J110))</f>
        <v>0.00558228434158094</v>
      </c>
      <c r="AI97" s="207" t="n">
        <f aca="false">IF($A98="","",AH97)</f>
        <v>0.00558228434158094</v>
      </c>
      <c r="AJ97" s="208" t="n">
        <f aca="false">A97+DAY(EOMONTH(A97,0))/2-1</f>
        <v>39706</v>
      </c>
      <c r="AK97" s="209" t="n">
        <f aca="false">IF($A98="","",$A97-$E$1)</f>
        <v>-6234</v>
      </c>
      <c r="AL97" s="182" t="e">
        <f aca="false">IF($A98="","",SPRDOPT(P97,X97,AI97,0,AB97,AE97,AF97,AK97,$AJ$2,0))</f>
        <v>#NAME?</v>
      </c>
      <c r="AM97" s="211" t="e">
        <f aca="false">IF($A98="","",MAX(0,O97-W97-AI97))</f>
        <v>#N/A</v>
      </c>
      <c r="AN97" s="211" t="e">
        <f aca="false">IF($A98="","",AL97-AM97)</f>
        <v>#N/A</v>
      </c>
      <c r="AO97" s="137" t="n">
        <f aca="false">IF(A98="","",A98-A97)</f>
        <v>30</v>
      </c>
      <c r="AP97" s="212" t="n">
        <f aca="false">IF(A98="","",CHOOSE(F$3,A98+24,A97))</f>
        <v>39692</v>
      </c>
      <c r="AQ97" s="209" t="n">
        <f aca="false">IF(A98="","",AP97-$E$1)</f>
        <v>-6234</v>
      </c>
      <c r="AR97" s="185" t="n">
        <f aca="false">'ANR OK vs ML7'!AR97</f>
        <v>0.1</v>
      </c>
      <c r="AS97" s="213" t="n">
        <f aca="false">IF(A98="","",1/(1+CHOOSE(F$3,(AR98+($I$3/10000))/2,(AR97+($I$3/10000))/2))^(2*AQ97/365.25))</f>
        <v>5.28819935387723</v>
      </c>
      <c r="AT97" s="137" t="n">
        <f aca="false">IF(A98="","",IF(AND(mthbeg&lt;=A97,mthend&gt;=A97),1,0))</f>
        <v>1</v>
      </c>
      <c r="AU97" s="137" t="n">
        <f aca="false">IF(A98="","",AO97*AT97)</f>
        <v>30</v>
      </c>
      <c r="AW97" s="195" t="e">
        <f aca="false">IF($A98="","",AL97*$E97)</f>
        <v>#NAME?</v>
      </c>
      <c r="AX97" s="195" t="e">
        <f aca="false">IF($A98="","",AM97*$E97)</f>
        <v>#N/A</v>
      </c>
      <c r="AY97" s="195" t="e">
        <f aca="false">IF($A98="","",AN97*$E97)</f>
        <v>#N/A</v>
      </c>
      <c r="BA97" s="195" t="n">
        <f aca="false">IF($A98="","",F97*Summary!$Q$14)</f>
        <v>0</v>
      </c>
      <c r="BC97" s="179" t="e">
        <f aca="false">IF(A98="","",AM97*F97)</f>
        <v>#N/A</v>
      </c>
    </row>
    <row r="98" customFormat="false" ht="12.75" hidden="false" customHeight="false" outlineLevel="0" collapsed="false">
      <c r="A98" s="196" t="n">
        <f aca="false">IF(A97&lt;mthend,EDATE(A97,1),"")</f>
        <v>39722</v>
      </c>
      <c r="B98" s="197" t="n">
        <f aca="false">IF(A98&lt;mthend,B97,"")</f>
        <v>28400</v>
      </c>
      <c r="C98" s="215"/>
      <c r="D98" s="197" t="n">
        <f aca="false">IF(A99&lt;&gt;"",B98+C98,"")</f>
        <v>28400</v>
      </c>
      <c r="E98" s="199" t="n">
        <f aca="false">IF(A99="","",IF(AND(AT98=1,$H$3=1),D98*AO98,IF($H$3=2,D98,"N/A")))</f>
        <v>880400</v>
      </c>
      <c r="F98" s="199" t="n">
        <f aca="false">IF(A99="","",E98*AS98)</f>
        <v>4618565.04460346</v>
      </c>
      <c r="G98" s="200" t="e">
        <f aca="false">IF($A99="","",VLOOKUP($A98,Table,MATCH(G$4,Curves,0)))</f>
        <v>#N/A</v>
      </c>
      <c r="H98" s="201" t="e">
        <f aca="false">IF(A99="","",G98)</f>
        <v>#N/A</v>
      </c>
      <c r="I98" s="202"/>
      <c r="J98" s="200" t="e">
        <f aca="false">IF($A99="","",VLOOKUP($A98,Table,MATCH(J$4,Curves,0)))</f>
        <v>#N/A</v>
      </c>
      <c r="K98" s="201" t="e">
        <f aca="false">IF(A99="","",J98)</f>
        <v>#N/A</v>
      </c>
      <c r="L98" s="185" t="n">
        <v>0</v>
      </c>
      <c r="M98" s="201" t="n">
        <f aca="false">IF(A99="","",L98)</f>
        <v>0</v>
      </c>
      <c r="N98" s="203"/>
      <c r="O98" s="200" t="e">
        <f aca="false">IF(A99="","",L98+J98+G98)</f>
        <v>#N/A</v>
      </c>
      <c r="P98" s="200" t="e">
        <f aca="false">IF(A99="","",M98+K98+H98)</f>
        <v>#N/A</v>
      </c>
      <c r="Q98" s="204"/>
      <c r="R98" s="200" t="e">
        <f aca="false">IF($A99="","",VLOOKUP($A98,Table,MATCH(R$4,Curves,0)))</f>
        <v>#N/A</v>
      </c>
      <c r="S98" s="201" t="e">
        <f aca="false">IF(A99="","",R98)</f>
        <v>#N/A</v>
      </c>
      <c r="T98" s="200" t="e">
        <f aca="false">IF($A99="","",VLOOKUP($A98,Table,MATCH(T$4,Curves,0)))</f>
        <v>#N/A</v>
      </c>
      <c r="U98" s="201" t="e">
        <f aca="false">IF(A99="","",T98)</f>
        <v>#N/A</v>
      </c>
      <c r="V98" s="183" t="e">
        <f aca="false">IF($A99="","",IF(AND(MONTH(A98)&gt;3,MONTH(A98)&lt;11),(T98+R98+G98)*(((1/(1-Summary!$T$14))/(1-Summary!$W$14))-1),(T98+R98+G98)*((1/(1-Summary!$U$14))/(1-Summary!$X$14)-1)))</f>
        <v>#N/A</v>
      </c>
      <c r="W98" s="202" t="e">
        <f aca="false">IF($A99="","",(T98+R98+G98+V98))</f>
        <v>#N/A</v>
      </c>
      <c r="X98" s="202" t="e">
        <f aca="false">IF($A99="","",(U98+S98+H98+V98))</f>
        <v>#N/A</v>
      </c>
      <c r="Y98" s="202"/>
      <c r="Z98" s="185" t="e">
        <f aca="false">IF($A99="","",VLOOKUP($A98,Table,MATCH(Z$4,Curves,0)))</f>
        <v>#N/A</v>
      </c>
      <c r="AA98" s="185" t="e">
        <f aca="false">IF($A99="","",VLOOKUP($A98,Table,MATCH(AA$4,Curves,0)))</f>
        <v>#N/A</v>
      </c>
      <c r="AB98" s="185" t="e">
        <f aca="false">SQRT((AA98^2*(A98-$D$3)+Z98^2*(DAY(EOMONTH(A98,0))/2))/AK98)</f>
        <v>#N/A</v>
      </c>
      <c r="AC98" s="185" t="e">
        <f aca="false">IF($A99="","",VLOOKUP($A98,Table,MATCH(AC$4,Curves,0)))</f>
        <v>#N/A</v>
      </c>
      <c r="AD98" s="185" t="e">
        <f aca="false">IF($A99="","",VLOOKUP($A98,Table,MATCH(AD$4,Curves,0)))</f>
        <v>#N/A</v>
      </c>
      <c r="AE98" s="185" t="e">
        <f aca="false">SQRT((AD98^2*(A98-$D$3)+AC98^2*(DAY(EOMONTH(A98,0))/2))/AK98)</f>
        <v>#N/A</v>
      </c>
      <c r="AF98" s="224" t="e">
        <f aca="false">((Summary!$N$14*(AA98*AD98)*(A98-$D$3))+(Summary!$M$14*Z98*AC98*(AJ98-EOMONTH(EDATE(A98,-1),0))))/(AK98*AB98*AE98)</f>
        <v>#N/A</v>
      </c>
      <c r="AG98" s="207" t="n">
        <f aca="false">IF($A99="","",Summary!$Q$14)</f>
        <v>0</v>
      </c>
      <c r="AH98" s="207" t="n">
        <f aca="false">IF($A99="","",IF(Summary!$R$12="Y",(VLOOKUP($A98,Summary!$AD$6:$AF$9,3)+'Escalating commodity'!J111),'Escalating commodity'!J111))</f>
        <v>0.00558228434158094</v>
      </c>
      <c r="AI98" s="207" t="n">
        <f aca="false">IF($A99="","",AH98)</f>
        <v>0.00558228434158094</v>
      </c>
      <c r="AJ98" s="208" t="n">
        <f aca="false">A98+DAY(EOMONTH(A98,0))/2-1</f>
        <v>39736.5</v>
      </c>
      <c r="AK98" s="209" t="n">
        <f aca="false">IF($A99="","",$A98-$E$1)</f>
        <v>-6204</v>
      </c>
      <c r="AL98" s="182" t="e">
        <f aca="false">IF($A99="","",SPRDOPT(P98,X98,AI98,0,AB98,AE98,AF98,AK98,$AJ$2,0))</f>
        <v>#NAME?</v>
      </c>
      <c r="AM98" s="211" t="e">
        <f aca="false">IF($A99="","",MAX(0,O98-W98-AI98))</f>
        <v>#N/A</v>
      </c>
      <c r="AN98" s="211" t="e">
        <f aca="false">IF($A99="","",AL98-AM98)</f>
        <v>#N/A</v>
      </c>
      <c r="AO98" s="137" t="n">
        <f aca="false">IF(A99="","",A99-A98)</f>
        <v>31</v>
      </c>
      <c r="AP98" s="212" t="n">
        <f aca="false">IF(A99="","",CHOOSE(F$3,A99+24,A98))</f>
        <v>39722</v>
      </c>
      <c r="AQ98" s="209" t="n">
        <f aca="false">IF(A99="","",AP98-$E$1)</f>
        <v>-6204</v>
      </c>
      <c r="AR98" s="185" t="n">
        <f aca="false">'ANR OK vs ML7'!AR98</f>
        <v>0.1</v>
      </c>
      <c r="AS98" s="213" t="n">
        <f aca="false">IF(A99="","",1/(1+CHOOSE(F$3,(AR99+($I$3/10000))/2,(AR98+($I$3/10000))/2))^(2*AQ98/365.25))</f>
        <v>5.24598483030833</v>
      </c>
      <c r="AT98" s="137" t="n">
        <f aca="false">IF(A99="","",IF(AND(mthbeg&lt;=A98,mthend&gt;=A98),1,0))</f>
        <v>1</v>
      </c>
      <c r="AU98" s="137" t="n">
        <f aca="false">IF(A99="","",AO98*AT98)</f>
        <v>31</v>
      </c>
      <c r="AW98" s="195" t="e">
        <f aca="false">IF($A99="","",AL98*$E98)</f>
        <v>#NAME?</v>
      </c>
      <c r="AX98" s="195" t="e">
        <f aca="false">IF($A99="","",AM98*$E98)</f>
        <v>#N/A</v>
      </c>
      <c r="AY98" s="195" t="e">
        <f aca="false">IF($A99="","",AN98*$E98)</f>
        <v>#N/A</v>
      </c>
      <c r="BA98" s="195" t="n">
        <f aca="false">IF($A99="","",F98*Summary!$Q$14)</f>
        <v>0</v>
      </c>
      <c r="BC98" s="179" t="e">
        <f aca="false">IF(A99="","",AM98*F98)</f>
        <v>#N/A</v>
      </c>
    </row>
    <row r="99" customFormat="false" ht="12.75" hidden="false" customHeight="false" outlineLevel="0" collapsed="false">
      <c r="A99" s="196" t="n">
        <f aca="false">IF(A98&lt;mthend,EDATE(A98,1),"")</f>
        <v>39753</v>
      </c>
      <c r="B99" s="197" t="n">
        <f aca="false">IF(A99&lt;mthend,B98,"")</f>
        <v>28400</v>
      </c>
      <c r="C99" s="215"/>
      <c r="D99" s="197" t="n">
        <f aca="false">IF(A100&lt;&gt;"",B99+C99,"")</f>
        <v>28400</v>
      </c>
      <c r="E99" s="199" t="n">
        <f aca="false">IF(A100="","",IF(AND(AT99=1,$H$3=1),D99*AO99,IF($H$3=2,D99,"N/A")))</f>
        <v>852000</v>
      </c>
      <c r="F99" s="199" t="n">
        <f aca="false">IF(A100="","",E99*AS99)</f>
        <v>4432715.0121018</v>
      </c>
      <c r="G99" s="200" t="e">
        <f aca="false">IF($A100="","",VLOOKUP($A99,Table,MATCH(G$4,Curves,0)))</f>
        <v>#N/A</v>
      </c>
      <c r="H99" s="201" t="e">
        <f aca="false">IF(A100="","",G99)</f>
        <v>#N/A</v>
      </c>
      <c r="I99" s="202"/>
      <c r="J99" s="200" t="e">
        <f aca="false">IF($A100="","",VLOOKUP($A99,Table,MATCH(J$4,Curves,0)))</f>
        <v>#N/A</v>
      </c>
      <c r="K99" s="201" t="e">
        <f aca="false">IF(A100="","",J99)</f>
        <v>#N/A</v>
      </c>
      <c r="L99" s="185" t="n">
        <v>0</v>
      </c>
      <c r="M99" s="201" t="n">
        <f aca="false">IF(A100="","",L99)</f>
        <v>0</v>
      </c>
      <c r="N99" s="203"/>
      <c r="O99" s="200" t="e">
        <f aca="false">IF(A100="","",L99+J99+G99)</f>
        <v>#N/A</v>
      </c>
      <c r="P99" s="200" t="e">
        <f aca="false">IF(A100="","",M99+K99+H99)</f>
        <v>#N/A</v>
      </c>
      <c r="Q99" s="204"/>
      <c r="R99" s="200" t="e">
        <f aca="false">IF($A100="","",VLOOKUP($A99,Table,MATCH(R$4,Curves,0)))</f>
        <v>#N/A</v>
      </c>
      <c r="S99" s="201" t="e">
        <f aca="false">IF(A100="","",R99)</f>
        <v>#N/A</v>
      </c>
      <c r="T99" s="200" t="e">
        <f aca="false">IF($A100="","",VLOOKUP($A99,Table,MATCH(T$4,Curves,0)))</f>
        <v>#N/A</v>
      </c>
      <c r="U99" s="201" t="e">
        <f aca="false">IF(A100="","",T99)</f>
        <v>#N/A</v>
      </c>
      <c r="V99" s="183" t="e">
        <f aca="false">IF($A100="","",IF(AND(MONTH(A99)&gt;3,MONTH(A99)&lt;11),(T99+R99+G99)*(((1/(1-Summary!$T$14))/(1-Summary!$W$14))-1),(T99+R99+G99)*((1/(1-Summary!$U$14))/(1-Summary!$X$14)-1)))</f>
        <v>#N/A</v>
      </c>
      <c r="W99" s="202" t="e">
        <f aca="false">IF($A100="","",(T99+R99+G99+V99))</f>
        <v>#N/A</v>
      </c>
      <c r="X99" s="202" t="e">
        <f aca="false">IF($A100="","",(U99+S99+H99+V99))</f>
        <v>#N/A</v>
      </c>
      <c r="Y99" s="202"/>
      <c r="Z99" s="185" t="e">
        <f aca="false">IF($A100="","",VLOOKUP($A99,Table,MATCH(Z$4,Curves,0)))</f>
        <v>#N/A</v>
      </c>
      <c r="AA99" s="185" t="e">
        <f aca="false">IF($A100="","",VLOOKUP($A99,Table,MATCH(AA$4,Curves,0)))</f>
        <v>#N/A</v>
      </c>
      <c r="AB99" s="185" t="e">
        <f aca="false">SQRT((AA99^2*(A99-$D$3)+Z99^2*(DAY(EOMONTH(A99,0))/2))/AK99)</f>
        <v>#N/A</v>
      </c>
      <c r="AC99" s="185" t="e">
        <f aca="false">IF($A100="","",VLOOKUP($A99,Table,MATCH(AC$4,Curves,0)))</f>
        <v>#N/A</v>
      </c>
      <c r="AD99" s="185" t="e">
        <f aca="false">IF($A100="","",VLOOKUP($A99,Table,MATCH(AD$4,Curves,0)))</f>
        <v>#N/A</v>
      </c>
      <c r="AE99" s="185" t="e">
        <f aca="false">SQRT((AD99^2*(A99-$D$3)+AC99^2*(DAY(EOMONTH(A99,0))/2))/AK99)</f>
        <v>#N/A</v>
      </c>
      <c r="AF99" s="224" t="e">
        <f aca="false">((Summary!$N$14*(AA99*AD99)*(A99-$D$3))+(Summary!$M$14*Z99*AC99*(AJ99-EOMONTH(EDATE(A99,-1),0))))/(AK99*AB99*AE99)</f>
        <v>#N/A</v>
      </c>
      <c r="AG99" s="207" t="n">
        <f aca="false">IF($A100="","",Summary!$Q$14)</f>
        <v>0</v>
      </c>
      <c r="AH99" s="207" t="n">
        <f aca="false">IF($A100="","",IF(Summary!$R$12="Y",(VLOOKUP($A99,Summary!$AD$6:$AF$9,3)+'Escalating commodity'!J112),'Escalating commodity'!J112))</f>
        <v>0.00558228434158094</v>
      </c>
      <c r="AI99" s="207" t="n">
        <f aca="false">IF($A100="","",AH99)</f>
        <v>0.00558228434158094</v>
      </c>
      <c r="AJ99" s="208" t="n">
        <f aca="false">A99+DAY(EOMONTH(A99,0))/2-1</f>
        <v>39767</v>
      </c>
      <c r="AK99" s="209" t="n">
        <f aca="false">IF($A100="","",$A99-$E$1)</f>
        <v>-6173</v>
      </c>
      <c r="AL99" s="182" t="e">
        <f aca="false">IF($A100="","",SPRDOPT(P99,X99,AI99,0,AB99,AE99,AF99,AK99,$AJ$2,0))</f>
        <v>#NAME?</v>
      </c>
      <c r="AM99" s="211" t="e">
        <f aca="false">IF($A100="","",MAX(0,O99-W99-AI99))</f>
        <v>#N/A</v>
      </c>
      <c r="AN99" s="211" t="e">
        <f aca="false">IF($A100="","",AL99-AM99)</f>
        <v>#N/A</v>
      </c>
      <c r="AO99" s="137" t="n">
        <f aca="false">IF(A100="","",A100-A99)</f>
        <v>30</v>
      </c>
      <c r="AP99" s="212" t="n">
        <f aca="false">IF(A100="","",CHOOSE(F$3,A100+24,A99))</f>
        <v>39753</v>
      </c>
      <c r="AQ99" s="209" t="n">
        <f aca="false">IF(A100="","",AP99-$E$1)</f>
        <v>-6173</v>
      </c>
      <c r="AR99" s="185" t="n">
        <f aca="false">'ANR OK vs ML7'!AR99</f>
        <v>0.1</v>
      </c>
      <c r="AS99" s="213" t="n">
        <f aca="false">IF(A100="","",1/(1+CHOOSE(F$3,(AR100+($I$3/10000))/2,(AR99+($I$3/10000))/2))^(2*AQ99/365.25))</f>
        <v>5.20271715035422</v>
      </c>
      <c r="AT99" s="137" t="n">
        <f aca="false">IF(A100="","",IF(AND(mthbeg&lt;=A99,mthend&gt;=A99),1,0))</f>
        <v>1</v>
      </c>
      <c r="AU99" s="137" t="n">
        <f aca="false">IF(A100="","",AO99*AT99)</f>
        <v>30</v>
      </c>
      <c r="AW99" s="195" t="e">
        <f aca="false">IF($A100="","",AL99*$E99)</f>
        <v>#NAME?</v>
      </c>
      <c r="AX99" s="195" t="e">
        <f aca="false">IF($A100="","",AM99*$E99)</f>
        <v>#N/A</v>
      </c>
      <c r="AY99" s="195" t="e">
        <f aca="false">IF($A100="","",AN99*$E99)</f>
        <v>#N/A</v>
      </c>
      <c r="BA99" s="195" t="n">
        <f aca="false">IF($A100="","",F99*Summary!$Q$14)</f>
        <v>0</v>
      </c>
      <c r="BC99" s="179" t="e">
        <f aca="false">IF(A100="","",AM99*F99)</f>
        <v>#N/A</v>
      </c>
    </row>
    <row r="100" customFormat="false" ht="12.75" hidden="false" customHeight="false" outlineLevel="0" collapsed="false">
      <c r="A100" s="196" t="n">
        <f aca="false">IF(A99&lt;mthend,EDATE(A99,1),"")</f>
        <v>39783</v>
      </c>
      <c r="B100" s="197" t="n">
        <f aca="false">IF(A100&lt;mthend,B99,"")</f>
        <v>28400</v>
      </c>
      <c r="C100" s="215"/>
      <c r="D100" s="197" t="n">
        <f aca="false">IF(A101&lt;&gt;"",B100+C100,"")</f>
        <v>28400</v>
      </c>
      <c r="E100" s="199" t="n">
        <f aca="false">IF(A101="","",IF(AND(AT100=1,$H$3=1),D100*AO100,IF($H$3=2,D100,"N/A")))</f>
        <v>880400</v>
      </c>
      <c r="F100" s="199" t="n">
        <f aca="false">IF(A101="","",E100*AS100)</f>
        <v>4543907.28480521</v>
      </c>
      <c r="G100" s="200" t="e">
        <f aca="false">IF($A101="","",VLOOKUP($A100,Table,MATCH(G$4,Curves,0)))</f>
        <v>#N/A</v>
      </c>
      <c r="H100" s="201" t="e">
        <f aca="false">IF(A101="","",G100)</f>
        <v>#N/A</v>
      </c>
      <c r="I100" s="202"/>
      <c r="J100" s="200" t="e">
        <f aca="false">IF($A101="","",VLOOKUP($A100,Table,MATCH(J$4,Curves,0)))</f>
        <v>#N/A</v>
      </c>
      <c r="K100" s="201" t="e">
        <f aca="false">IF(A101="","",J100)</f>
        <v>#N/A</v>
      </c>
      <c r="L100" s="185" t="n">
        <v>0</v>
      </c>
      <c r="M100" s="201" t="n">
        <f aca="false">IF(A101="","",L100)</f>
        <v>0</v>
      </c>
      <c r="N100" s="203"/>
      <c r="O100" s="200" t="e">
        <f aca="false">IF(A101="","",L100+J100+G100)</f>
        <v>#N/A</v>
      </c>
      <c r="P100" s="200" t="e">
        <f aca="false">IF(A101="","",M100+K100+H100)</f>
        <v>#N/A</v>
      </c>
      <c r="Q100" s="204"/>
      <c r="R100" s="200" t="e">
        <f aca="false">IF($A101="","",VLOOKUP($A100,Table,MATCH(R$4,Curves,0)))</f>
        <v>#N/A</v>
      </c>
      <c r="S100" s="201" t="e">
        <f aca="false">IF(A101="","",R100)</f>
        <v>#N/A</v>
      </c>
      <c r="T100" s="200" t="e">
        <f aca="false">IF($A101="","",VLOOKUP($A100,Table,MATCH(T$4,Curves,0)))</f>
        <v>#N/A</v>
      </c>
      <c r="U100" s="201" t="e">
        <f aca="false">IF(A101="","",T100)</f>
        <v>#N/A</v>
      </c>
      <c r="V100" s="183" t="e">
        <f aca="false">IF($A101="","",IF(AND(MONTH(A100)&gt;3,MONTH(A100)&lt;11),(T100+R100+G100)*(((1/(1-Summary!$T$14))/(1-Summary!$W$14))-1),(T100+R100+G100)*((1/(1-Summary!$U$14))/(1-Summary!$X$14)-1)))</f>
        <v>#N/A</v>
      </c>
      <c r="W100" s="202" t="e">
        <f aca="false">IF($A101="","",(T100+R100+G100+V100))</f>
        <v>#N/A</v>
      </c>
      <c r="X100" s="202" t="e">
        <f aca="false">IF($A101="","",(U100+S100+H100+V100))</f>
        <v>#N/A</v>
      </c>
      <c r="Y100" s="202"/>
      <c r="Z100" s="185" t="e">
        <f aca="false">IF($A101="","",VLOOKUP($A100,Table,MATCH(Z$4,Curves,0)))</f>
        <v>#N/A</v>
      </c>
      <c r="AA100" s="185" t="e">
        <f aca="false">IF($A101="","",VLOOKUP($A100,Table,MATCH(AA$4,Curves,0)))</f>
        <v>#N/A</v>
      </c>
      <c r="AB100" s="185" t="e">
        <f aca="false">SQRT((AA100^2*(A100-$D$3)+Z100^2*(DAY(EOMONTH(A100,0))/2))/AK100)</f>
        <v>#N/A</v>
      </c>
      <c r="AC100" s="185" t="e">
        <f aca="false">IF($A101="","",VLOOKUP($A100,Table,MATCH(AC$4,Curves,0)))</f>
        <v>#N/A</v>
      </c>
      <c r="AD100" s="185" t="e">
        <f aca="false">IF($A101="","",VLOOKUP($A100,Table,MATCH(AD$4,Curves,0)))</f>
        <v>#N/A</v>
      </c>
      <c r="AE100" s="185" t="e">
        <f aca="false">SQRT((AD100^2*(A100-$D$3)+AC100^2*(DAY(EOMONTH(A100,0))/2))/AK100)</f>
        <v>#N/A</v>
      </c>
      <c r="AF100" s="224" t="e">
        <f aca="false">((Summary!$N$14*(AA100*AD100)*(A100-$D$3))+(Summary!$M$14*Z100*AC100*(AJ100-EOMONTH(EDATE(A100,-1),0))))/(AK100*AB100*AE100)</f>
        <v>#N/A</v>
      </c>
      <c r="AG100" s="207" t="n">
        <f aca="false">IF($A101="","",Summary!$Q$14)</f>
        <v>0</v>
      </c>
      <c r="AH100" s="207" t="n">
        <f aca="false">IF($A101="","",IF(Summary!$R$12="Y",(VLOOKUP($A100,Summary!$AD$6:$AF$9,3)+'Escalating commodity'!J113),'Escalating commodity'!J113))</f>
        <v>0.00558228434158094</v>
      </c>
      <c r="AI100" s="207" t="n">
        <f aca="false">IF($A101="","",AH100)</f>
        <v>0.00558228434158094</v>
      </c>
      <c r="AJ100" s="208" t="n">
        <f aca="false">A100+DAY(EOMONTH(A100,0))/2-1</f>
        <v>39797.5</v>
      </c>
      <c r="AK100" s="209" t="n">
        <f aca="false">IF($A101="","",$A100-$E$1)</f>
        <v>-6143</v>
      </c>
      <c r="AL100" s="182" t="e">
        <f aca="false">IF($A101="","",SPRDOPT(P100,X100,AI100,0,AB100,AE100,AF100,AK100,$AJ$2,0))</f>
        <v>#NAME?</v>
      </c>
      <c r="AM100" s="211" t="e">
        <f aca="false">IF($A101="","",MAX(0,O100-W100-AI100))</f>
        <v>#N/A</v>
      </c>
      <c r="AN100" s="211" t="e">
        <f aca="false">IF($A101="","",AL100-AM100)</f>
        <v>#N/A</v>
      </c>
      <c r="AO100" s="137" t="n">
        <f aca="false">IF(A101="","",A101-A100)</f>
        <v>31</v>
      </c>
      <c r="AP100" s="212" t="n">
        <f aca="false">IF(A101="","",CHOOSE(F$3,A101+24,A100))</f>
        <v>39783</v>
      </c>
      <c r="AQ100" s="209" t="n">
        <f aca="false">IF(A101="","",AP100-$E$1)</f>
        <v>-6143</v>
      </c>
      <c r="AR100" s="185" t="n">
        <f aca="false">'ANR OK vs ML7'!AR100</f>
        <v>0.1</v>
      </c>
      <c r="AS100" s="213" t="n">
        <f aca="false">IF(A101="","",1/(1+CHOOSE(F$3,(AR101+($I$3/10000))/2,(AR100+($I$3/10000))/2))^(2*AQ100/365.25))</f>
        <v>5.16118501227306</v>
      </c>
      <c r="AT100" s="137" t="n">
        <f aca="false">IF(A101="","",IF(AND(mthbeg&lt;=A100,mthend&gt;=A100),1,0))</f>
        <v>1</v>
      </c>
      <c r="AU100" s="137" t="n">
        <f aca="false">IF(A101="","",AO100*AT100)</f>
        <v>31</v>
      </c>
      <c r="AW100" s="195" t="e">
        <f aca="false">IF($A101="","",AL100*$E100)</f>
        <v>#NAME?</v>
      </c>
      <c r="AX100" s="195" t="e">
        <f aca="false">IF($A101="","",AM100*$E100)</f>
        <v>#N/A</v>
      </c>
      <c r="AY100" s="195" t="e">
        <f aca="false">IF($A101="","",AN100*$E100)</f>
        <v>#N/A</v>
      </c>
      <c r="BA100" s="195" t="n">
        <f aca="false">IF($A101="","",F100*Summary!$Q$14)</f>
        <v>0</v>
      </c>
      <c r="BC100" s="179" t="e">
        <f aca="false">IF(A101="","",AM100*F100)</f>
        <v>#N/A</v>
      </c>
    </row>
    <row r="101" customFormat="false" ht="12.75" hidden="false" customHeight="false" outlineLevel="0" collapsed="false">
      <c r="A101" s="196" t="n">
        <f aca="false">IF(A100&lt;mthend,EDATE(A100,1),"")</f>
        <v>39814</v>
      </c>
      <c r="B101" s="197" t="n">
        <f aca="false">IF(A101&lt;mthend,B100,"")</f>
        <v>28400</v>
      </c>
      <c r="C101" s="215"/>
      <c r="D101" s="197" t="n">
        <f aca="false">IF(A102&lt;&gt;"",B101+C101,"")</f>
        <v>28400</v>
      </c>
      <c r="E101" s="199" t="n">
        <f aca="false">IF(A102="","",IF(AND(AT101=1,$H$3=1),D101*AO101,IF($H$3=2,D101,"N/A")))</f>
        <v>880400</v>
      </c>
      <c r="F101" s="199" t="n">
        <f aca="false">IF(A102="","",E101*AS101)</f>
        <v>4506430.17945708</v>
      </c>
      <c r="G101" s="200" t="e">
        <f aca="false">IF($A102="","",VLOOKUP($A101,Table,MATCH(G$4,Curves,0)))</f>
        <v>#N/A</v>
      </c>
      <c r="H101" s="201" t="e">
        <f aca="false">IF(A102="","",G101)</f>
        <v>#N/A</v>
      </c>
      <c r="I101" s="202"/>
      <c r="J101" s="200" t="e">
        <f aca="false">IF($A102="","",VLOOKUP($A101,Table,MATCH(J$4,Curves,0)))</f>
        <v>#N/A</v>
      </c>
      <c r="K101" s="201" t="e">
        <f aca="false">IF(A102="","",J101)</f>
        <v>#N/A</v>
      </c>
      <c r="L101" s="185" t="n">
        <v>0</v>
      </c>
      <c r="M101" s="201" t="n">
        <f aca="false">IF(A102="","",L101)</f>
        <v>0</v>
      </c>
      <c r="N101" s="203"/>
      <c r="O101" s="200" t="e">
        <f aca="false">IF(A102="","",L101+J101+G101)</f>
        <v>#N/A</v>
      </c>
      <c r="P101" s="200" t="e">
        <f aca="false">IF(A102="","",M101+K101+H101)</f>
        <v>#N/A</v>
      </c>
      <c r="Q101" s="204"/>
      <c r="R101" s="200" t="e">
        <f aca="false">IF($A102="","",VLOOKUP($A101,Table,MATCH(R$4,Curves,0)))</f>
        <v>#N/A</v>
      </c>
      <c r="S101" s="201" t="e">
        <f aca="false">IF(A102="","",R101)</f>
        <v>#N/A</v>
      </c>
      <c r="T101" s="200" t="e">
        <f aca="false">IF($A102="","",VLOOKUP($A101,Table,MATCH(T$4,Curves,0)))</f>
        <v>#N/A</v>
      </c>
      <c r="U101" s="201" t="e">
        <f aca="false">IF(A102="","",T101)</f>
        <v>#N/A</v>
      </c>
      <c r="V101" s="183" t="e">
        <f aca="false">IF($A102="","",IF(AND(MONTH(A101)&gt;3,MONTH(A101)&lt;11),(T101+R101+G101)*(((1/(1-Summary!$T$14))/(1-Summary!$W$14))-1),(T101+R101+G101)*((1/(1-Summary!$U$14))/(1-Summary!$X$14)-1)))</f>
        <v>#N/A</v>
      </c>
      <c r="W101" s="202" t="e">
        <f aca="false">IF($A102="","",(T101+R101+G101+V101))</f>
        <v>#N/A</v>
      </c>
      <c r="X101" s="202" t="e">
        <f aca="false">IF($A102="","",(U101+S101+H101+V101))</f>
        <v>#N/A</v>
      </c>
      <c r="Y101" s="202"/>
      <c r="Z101" s="185" t="e">
        <f aca="false">IF($A102="","",VLOOKUP($A101,Table,MATCH(Z$4,Curves,0)))</f>
        <v>#N/A</v>
      </c>
      <c r="AA101" s="185" t="e">
        <f aca="false">IF($A102="","",VLOOKUP($A101,Table,MATCH(AA$4,Curves,0)))</f>
        <v>#N/A</v>
      </c>
      <c r="AB101" s="185" t="e">
        <f aca="false">SQRT((AA101^2*(A101-$D$3)+Z101^2*(DAY(EOMONTH(A101,0))/2))/AK101)</f>
        <v>#N/A</v>
      </c>
      <c r="AC101" s="185" t="e">
        <f aca="false">IF($A102="","",VLOOKUP($A101,Table,MATCH(AC$4,Curves,0)))</f>
        <v>#N/A</v>
      </c>
      <c r="AD101" s="185" t="e">
        <f aca="false">IF($A102="","",VLOOKUP($A101,Table,MATCH(AD$4,Curves,0)))</f>
        <v>#N/A</v>
      </c>
      <c r="AE101" s="185" t="e">
        <f aca="false">SQRT((AD101^2*(A101-$D$3)+AC101^2*(DAY(EOMONTH(A101,0))/2))/AK101)</f>
        <v>#N/A</v>
      </c>
      <c r="AF101" s="224" t="e">
        <f aca="false">((Summary!$N$14*(AA101*AD101)*(A101-$D$3))+(Summary!$M$14*Z101*AC101*(AJ101-EOMONTH(EDATE(A101,-1),0))))/(AK101*AB101*AE101)</f>
        <v>#N/A</v>
      </c>
      <c r="AG101" s="207" t="n">
        <f aca="false">IF($A102="","",Summary!$Q$14)</f>
        <v>0</v>
      </c>
      <c r="AH101" s="207" t="n">
        <f aca="false">IF($A102="","",IF(Summary!$R$12="Y",(VLOOKUP($A101,Summary!$AD$6:$AF$9,3)+'Escalating commodity'!J114),'Escalating commodity'!J114))</f>
        <v>0.00569393002841256</v>
      </c>
      <c r="AI101" s="207" t="n">
        <f aca="false">IF($A102="","",AH101)</f>
        <v>0.00569393002841256</v>
      </c>
      <c r="AJ101" s="208" t="n">
        <f aca="false">A101+DAY(EOMONTH(A101,0))/2-1</f>
        <v>39828.5</v>
      </c>
      <c r="AK101" s="209" t="n">
        <f aca="false">IF($A102="","",$A101-$E$1)</f>
        <v>-6112</v>
      </c>
      <c r="AL101" s="182" t="e">
        <f aca="false">IF($A102="","",SPRDOPT(P101,X101,AI101,0,AB101,AE101,AF101,AK101,$AJ$2,0))</f>
        <v>#NAME?</v>
      </c>
      <c r="AM101" s="211" t="e">
        <f aca="false">IF($A102="","",MAX(0,O101-W101-AI101))</f>
        <v>#N/A</v>
      </c>
      <c r="AN101" s="211" t="e">
        <f aca="false">IF($A102="","",AL101-AM101)</f>
        <v>#N/A</v>
      </c>
      <c r="AO101" s="137" t="n">
        <f aca="false">IF(A102="","",A102-A101)</f>
        <v>31</v>
      </c>
      <c r="AP101" s="212" t="n">
        <f aca="false">IF(A102="","",CHOOSE(F$3,A102+24,A101))</f>
        <v>39814</v>
      </c>
      <c r="AQ101" s="209" t="n">
        <f aca="false">IF(A102="","",AP101-$E$1)</f>
        <v>-6112</v>
      </c>
      <c r="AR101" s="185" t="n">
        <f aca="false">'ANR OK vs ML7'!AR101</f>
        <v>0.1</v>
      </c>
      <c r="AS101" s="213" t="n">
        <f aca="false">IF(A102="","",1/(1+CHOOSE(F$3,(AR102+($I$3/10000))/2,(AR101+($I$3/10000))/2))^(2*AQ101/365.25))</f>
        <v>5.11861674177315</v>
      </c>
      <c r="AT101" s="137" t="n">
        <f aca="false">IF(A102="","",IF(AND(mthbeg&lt;=A101,mthend&gt;=A101),1,0))</f>
        <v>1</v>
      </c>
      <c r="AU101" s="137" t="n">
        <f aca="false">IF(A102="","",AO101*AT101)</f>
        <v>31</v>
      </c>
      <c r="AW101" s="195" t="e">
        <f aca="false">IF($A102="","",AL101*$E101)</f>
        <v>#NAME?</v>
      </c>
      <c r="AX101" s="195" t="e">
        <f aca="false">IF($A102="","",AM101*$E101)</f>
        <v>#N/A</v>
      </c>
      <c r="AY101" s="195" t="e">
        <f aca="false">IF($A102="","",AN101*$E101)</f>
        <v>#N/A</v>
      </c>
      <c r="BA101" s="195" t="n">
        <f aca="false">IF($A102="","",F101*Summary!$Q$14)</f>
        <v>0</v>
      </c>
      <c r="BC101" s="179" t="e">
        <f aca="false">IF(A102="","",AM101*F101)</f>
        <v>#N/A</v>
      </c>
    </row>
    <row r="102" customFormat="false" ht="12.75" hidden="false" customHeight="false" outlineLevel="0" collapsed="false">
      <c r="A102" s="196" t="n">
        <f aca="false">IF(A101&lt;mthend,EDATE(A101,1),"")</f>
        <v>39845</v>
      </c>
      <c r="B102" s="197" t="n">
        <f aca="false">IF(A102&lt;mthend,B101,"")</f>
        <v>28400</v>
      </c>
      <c r="C102" s="215"/>
      <c r="D102" s="197" t="n">
        <f aca="false">IF(A103&lt;&gt;"",B102+C102,"")</f>
        <v>28400</v>
      </c>
      <c r="E102" s="199" t="n">
        <f aca="false">IF(A103="","",IF(AND(AT102=1,$H$3=1),D102*AO102,IF($H$3=2,D102,"N/A")))</f>
        <v>795200</v>
      </c>
      <c r="F102" s="199" t="n">
        <f aca="false">IF(A103="","",E102*AS102)</f>
        <v>4036752.93377568</v>
      </c>
      <c r="G102" s="200" t="e">
        <f aca="false">IF($A103="","",VLOOKUP($A102,Table,MATCH(G$4,Curves,0)))</f>
        <v>#N/A</v>
      </c>
      <c r="H102" s="201" t="e">
        <f aca="false">IF(A103="","",G102)</f>
        <v>#N/A</v>
      </c>
      <c r="I102" s="202"/>
      <c r="J102" s="200" t="e">
        <f aca="false">IF($A103="","",VLOOKUP($A102,Table,MATCH(J$4,Curves,0)))</f>
        <v>#N/A</v>
      </c>
      <c r="K102" s="201" t="e">
        <f aca="false">IF(A103="","",J102)</f>
        <v>#N/A</v>
      </c>
      <c r="L102" s="185" t="n">
        <v>0</v>
      </c>
      <c r="M102" s="201" t="n">
        <f aca="false">IF(A103="","",L102)</f>
        <v>0</v>
      </c>
      <c r="N102" s="203"/>
      <c r="O102" s="200" t="e">
        <f aca="false">IF(A103="","",L102+J102+G102)</f>
        <v>#N/A</v>
      </c>
      <c r="P102" s="200" t="e">
        <f aca="false">IF(A103="","",M102+K102+H102)</f>
        <v>#N/A</v>
      </c>
      <c r="Q102" s="204"/>
      <c r="R102" s="200" t="e">
        <f aca="false">IF($A103="","",VLOOKUP($A102,Table,MATCH(R$4,Curves,0)))</f>
        <v>#N/A</v>
      </c>
      <c r="S102" s="201" t="e">
        <f aca="false">IF(A103="","",R102)</f>
        <v>#N/A</v>
      </c>
      <c r="T102" s="200" t="e">
        <f aca="false">IF($A103="","",VLOOKUP($A102,Table,MATCH(T$4,Curves,0)))</f>
        <v>#N/A</v>
      </c>
      <c r="U102" s="201" t="e">
        <f aca="false">IF(A103="","",T102)</f>
        <v>#N/A</v>
      </c>
      <c r="V102" s="183" t="e">
        <f aca="false">IF($A103="","",IF(AND(MONTH(A102)&gt;3,MONTH(A102)&lt;11),(T102+R102+G102)*(((1/(1-Summary!$T$14))/(1-Summary!$W$14))-1),(T102+R102+G102)*((1/(1-Summary!$U$14))/(1-Summary!$X$14)-1)))</f>
        <v>#N/A</v>
      </c>
      <c r="W102" s="202" t="e">
        <f aca="false">IF($A103="","",(T102+R102+G102+V102))</f>
        <v>#N/A</v>
      </c>
      <c r="X102" s="202" t="e">
        <f aca="false">IF($A103="","",(U102+S102+H102+V102))</f>
        <v>#N/A</v>
      </c>
      <c r="Y102" s="202"/>
      <c r="Z102" s="185" t="e">
        <f aca="false">IF($A103="","",VLOOKUP($A102,Table,MATCH(Z$4,Curves,0)))</f>
        <v>#N/A</v>
      </c>
      <c r="AA102" s="185" t="e">
        <f aca="false">IF($A103="","",VLOOKUP($A102,Table,MATCH(AA$4,Curves,0)))</f>
        <v>#N/A</v>
      </c>
      <c r="AB102" s="185" t="e">
        <f aca="false">SQRT((AA102^2*(A102-$D$3)+Z102^2*(DAY(EOMONTH(A102,0))/2))/AK102)</f>
        <v>#N/A</v>
      </c>
      <c r="AC102" s="185" t="e">
        <f aca="false">IF($A103="","",VLOOKUP($A102,Table,MATCH(AC$4,Curves,0)))</f>
        <v>#N/A</v>
      </c>
      <c r="AD102" s="185" t="e">
        <f aca="false">IF($A103="","",VLOOKUP($A102,Table,MATCH(AD$4,Curves,0)))</f>
        <v>#N/A</v>
      </c>
      <c r="AE102" s="185" t="e">
        <f aca="false">SQRT((AD102^2*(A102-$D$3)+AC102^2*(DAY(EOMONTH(A102,0))/2))/AK102)</f>
        <v>#N/A</v>
      </c>
      <c r="AF102" s="224" t="e">
        <f aca="false">((Summary!$N$14*(AA102*AD102)*(A102-$D$3))+(Summary!$M$14*Z102*AC102*(AJ102-EOMONTH(EDATE(A102,-1),0))))/(AK102*AB102*AE102)</f>
        <v>#N/A</v>
      </c>
      <c r="AG102" s="207" t="n">
        <f aca="false">IF($A103="","",Summary!$Q$14)</f>
        <v>0</v>
      </c>
      <c r="AH102" s="207" t="n">
        <f aca="false">IF($A103="","",IF(Summary!$R$12="Y",(VLOOKUP($A102,Summary!$AD$6:$AF$9,3)+'Escalating commodity'!J115),'Escalating commodity'!J115))</f>
        <v>0.00569393002841256</v>
      </c>
      <c r="AI102" s="207" t="n">
        <f aca="false">IF($A103="","",AH102)</f>
        <v>0.00569393002841256</v>
      </c>
      <c r="AJ102" s="208" t="n">
        <f aca="false">A102+DAY(EOMONTH(A102,0))/2-1</f>
        <v>39858</v>
      </c>
      <c r="AK102" s="209" t="n">
        <f aca="false">IF($A103="","",$A102-$E$1)</f>
        <v>-6081</v>
      </c>
      <c r="AL102" s="182" t="e">
        <f aca="false">IF($A103="","",SPRDOPT(P102,X102,AI102,0,AB102,AE102,AF102,AK102,$AJ$2,0))</f>
        <v>#NAME?</v>
      </c>
      <c r="AM102" s="211" t="e">
        <f aca="false">IF($A103="","",MAX(0,O102-W102-AI102))</f>
        <v>#N/A</v>
      </c>
      <c r="AN102" s="211" t="e">
        <f aca="false">IF($A103="","",AL102-AM102)</f>
        <v>#N/A</v>
      </c>
      <c r="AO102" s="137" t="n">
        <f aca="false">IF(A103="","",A103-A102)</f>
        <v>28</v>
      </c>
      <c r="AP102" s="212" t="n">
        <f aca="false">IF(A103="","",CHOOSE(F$3,A103+24,A102))</f>
        <v>39845</v>
      </c>
      <c r="AQ102" s="209" t="n">
        <f aca="false">IF(A103="","",AP102-$E$1)</f>
        <v>-6081</v>
      </c>
      <c r="AR102" s="185" t="n">
        <f aca="false">'ANR OK vs ML7'!AR102</f>
        <v>0.1</v>
      </c>
      <c r="AS102" s="213" t="n">
        <f aca="false">IF(A103="","",1/(1+CHOOSE(F$3,(AR103+($I$3/10000))/2,(AR102+($I$3/10000))/2))^(2*AQ102/365.25))</f>
        <v>5.07639956460724</v>
      </c>
      <c r="AT102" s="137" t="n">
        <f aca="false">IF(A103="","",IF(AND(mthbeg&lt;=A102,mthend&gt;=A102),1,0))</f>
        <v>1</v>
      </c>
      <c r="AU102" s="137" t="n">
        <f aca="false">IF(A103="","",AO102*AT102)</f>
        <v>28</v>
      </c>
      <c r="AW102" s="195" t="e">
        <f aca="false">IF($A103="","",AL102*$E102)</f>
        <v>#NAME?</v>
      </c>
      <c r="AX102" s="195" t="e">
        <f aca="false">IF($A103="","",AM102*$E102)</f>
        <v>#N/A</v>
      </c>
      <c r="AY102" s="195" t="e">
        <f aca="false">IF($A103="","",AN102*$E102)</f>
        <v>#N/A</v>
      </c>
      <c r="BA102" s="195" t="n">
        <f aca="false">IF($A103="","",F102*Summary!$Q$14)</f>
        <v>0</v>
      </c>
      <c r="BC102" s="179" t="e">
        <f aca="false">IF(A103="","",AM102*F102)</f>
        <v>#N/A</v>
      </c>
    </row>
    <row r="103" customFormat="false" ht="12.75" hidden="false" customHeight="false" outlineLevel="0" collapsed="false">
      <c r="A103" s="196" t="n">
        <f aca="false">IF(A102&lt;mthend,EDATE(A102,1),"")</f>
        <v>39873</v>
      </c>
      <c r="B103" s="197" t="n">
        <f aca="false">IF(A103&lt;mthend,B102,"")</f>
        <v>28400</v>
      </c>
      <c r="C103" s="215"/>
      <c r="D103" s="197" t="n">
        <f aca="false">IF(A104&lt;&gt;"",B103+C103,"")</f>
        <v>28400</v>
      </c>
      <c r="E103" s="199" t="n">
        <f aca="false">IF(A104="","",IF(AND(AT103=1,$H$3=1),D103*AO103,IF($H$3=2,D103,"N/A")))</f>
        <v>880400</v>
      </c>
      <c r="F103" s="199" t="n">
        <f aca="false">IF(A104="","",E103*AS103)</f>
        <v>4435954.63664403</v>
      </c>
      <c r="G103" s="200" t="e">
        <f aca="false">IF($A104="","",VLOOKUP($A103,Table,MATCH(G$4,Curves,0)))</f>
        <v>#N/A</v>
      </c>
      <c r="H103" s="201" t="e">
        <f aca="false">IF(A104="","",G103)</f>
        <v>#N/A</v>
      </c>
      <c r="I103" s="202"/>
      <c r="J103" s="200" t="e">
        <f aca="false">IF($A104="","",VLOOKUP($A103,Table,MATCH(J$4,Curves,0)))</f>
        <v>#N/A</v>
      </c>
      <c r="K103" s="201" t="e">
        <f aca="false">IF(A104="","",J103)</f>
        <v>#N/A</v>
      </c>
      <c r="L103" s="185" t="n">
        <v>0</v>
      </c>
      <c r="M103" s="201" t="n">
        <f aca="false">IF(A104="","",L103)</f>
        <v>0</v>
      </c>
      <c r="N103" s="203"/>
      <c r="O103" s="200" t="e">
        <f aca="false">IF(A104="","",L103+J103+G103)</f>
        <v>#N/A</v>
      </c>
      <c r="P103" s="200" t="e">
        <f aca="false">IF(A104="","",M103+K103+H103)</f>
        <v>#N/A</v>
      </c>
      <c r="Q103" s="204"/>
      <c r="R103" s="200" t="e">
        <f aca="false">IF($A104="","",VLOOKUP($A103,Table,MATCH(R$4,Curves,0)))</f>
        <v>#N/A</v>
      </c>
      <c r="S103" s="201" t="e">
        <f aca="false">IF(A104="","",R103)</f>
        <v>#N/A</v>
      </c>
      <c r="T103" s="200" t="e">
        <f aca="false">IF($A104="","",VLOOKUP($A103,Table,MATCH(T$4,Curves,0)))</f>
        <v>#N/A</v>
      </c>
      <c r="U103" s="201" t="e">
        <f aca="false">IF(A104="","",T103)</f>
        <v>#N/A</v>
      </c>
      <c r="V103" s="183" t="e">
        <f aca="false">IF($A104="","",IF(AND(MONTH(A103)&gt;3,MONTH(A103)&lt;11),(T103+R103+G103)*(((1/(1-Summary!$T$14))/(1-Summary!$W$14))-1),(T103+R103+G103)*((1/(1-Summary!$U$14))/(1-Summary!$X$14)-1)))</f>
        <v>#N/A</v>
      </c>
      <c r="W103" s="202" t="e">
        <f aca="false">IF($A104="","",(T103+R103+G103+V103))</f>
        <v>#N/A</v>
      </c>
      <c r="X103" s="202" t="e">
        <f aca="false">IF($A104="","",(U103+S103+H103+V103))</f>
        <v>#N/A</v>
      </c>
      <c r="Y103" s="202"/>
      <c r="Z103" s="185" t="e">
        <f aca="false">IF($A104="","",VLOOKUP($A103,Table,MATCH(Z$4,Curves,0)))</f>
        <v>#N/A</v>
      </c>
      <c r="AA103" s="185" t="e">
        <f aca="false">IF($A104="","",VLOOKUP($A103,Table,MATCH(AA$4,Curves,0)))</f>
        <v>#N/A</v>
      </c>
      <c r="AB103" s="185" t="e">
        <f aca="false">SQRT((AA103^2*(A103-$D$3)+Z103^2*(DAY(EOMONTH(A103,0))/2))/AK103)</f>
        <v>#N/A</v>
      </c>
      <c r="AC103" s="185" t="e">
        <f aca="false">IF($A104="","",VLOOKUP($A103,Table,MATCH(AC$4,Curves,0)))</f>
        <v>#N/A</v>
      </c>
      <c r="AD103" s="185" t="e">
        <f aca="false">IF($A104="","",VLOOKUP($A103,Table,MATCH(AD$4,Curves,0)))</f>
        <v>#N/A</v>
      </c>
      <c r="AE103" s="185" t="e">
        <f aca="false">SQRT((AD103^2*(A103-$D$3)+AC103^2*(DAY(EOMONTH(A103,0))/2))/AK103)</f>
        <v>#N/A</v>
      </c>
      <c r="AF103" s="224" t="e">
        <f aca="false">((Summary!$N$14*(AA103*AD103)*(A103-$D$3))+(Summary!$M$14*Z103*AC103*(AJ103-EOMONTH(EDATE(A103,-1),0))))/(AK103*AB103*AE103)</f>
        <v>#N/A</v>
      </c>
      <c r="AG103" s="207" t="n">
        <f aca="false">IF($A104="","",Summary!$Q$14)</f>
        <v>0</v>
      </c>
      <c r="AH103" s="207" t="n">
        <f aca="false">IF($A104="","",IF(Summary!$R$12="Y",(VLOOKUP($A103,Summary!$AD$6:$AF$9,3)+'Escalating commodity'!J116),'Escalating commodity'!J116))</f>
        <v>0.00569393002841256</v>
      </c>
      <c r="AI103" s="207" t="n">
        <f aca="false">IF($A104="","",AH103)</f>
        <v>0.00569393002841256</v>
      </c>
      <c r="AJ103" s="208" t="n">
        <f aca="false">A103+DAY(EOMONTH(A103,0))/2-1</f>
        <v>39887.5</v>
      </c>
      <c r="AK103" s="209" t="n">
        <f aca="false">IF($A104="","",$A103-$E$1)</f>
        <v>-6053</v>
      </c>
      <c r="AL103" s="182" t="e">
        <f aca="false">IF($A104="","",SPRDOPT(P103,X103,AI103,0,AB103,AE103,AF103,AK103,$AJ$2,0))</f>
        <v>#NAME?</v>
      </c>
      <c r="AM103" s="211" t="e">
        <f aca="false">IF($A104="","",MAX(0,O103-W103-AI103))</f>
        <v>#N/A</v>
      </c>
      <c r="AN103" s="211" t="e">
        <f aca="false">IF($A104="","",AL103-AM103)</f>
        <v>#N/A</v>
      </c>
      <c r="AO103" s="137" t="n">
        <f aca="false">IF(A104="","",A104-A103)</f>
        <v>31</v>
      </c>
      <c r="AP103" s="212" t="n">
        <f aca="false">IF(A104="","",CHOOSE(F$3,A104+24,A103))</f>
        <v>39873</v>
      </c>
      <c r="AQ103" s="209" t="n">
        <f aca="false">IF(A104="","",AP103-$E$1)</f>
        <v>-6053</v>
      </c>
      <c r="AR103" s="185" t="n">
        <f aca="false">'ANR OK vs ML7'!AR103</f>
        <v>0.1</v>
      </c>
      <c r="AS103" s="213" t="n">
        <f aca="false">IF(A104="","",1/(1+CHOOSE(F$3,(AR104+($I$3/10000))/2,(AR103+($I$3/10000))/2))^(2*AQ103/365.25))</f>
        <v>5.03856728378468</v>
      </c>
      <c r="AT103" s="137" t="n">
        <f aca="false">IF(A104="","",IF(AND(mthbeg&lt;=A103,mthend&gt;=A103),1,0))</f>
        <v>1</v>
      </c>
      <c r="AU103" s="137" t="n">
        <f aca="false">IF(A104="","",AO103*AT103)</f>
        <v>31</v>
      </c>
      <c r="AW103" s="195" t="e">
        <f aca="false">IF($A104="","",AL103*$E103)</f>
        <v>#NAME?</v>
      </c>
      <c r="AX103" s="195" t="e">
        <f aca="false">IF($A104="","",AM103*$E103)</f>
        <v>#N/A</v>
      </c>
      <c r="AY103" s="195" t="e">
        <f aca="false">IF($A104="","",AN103*$E103)</f>
        <v>#N/A</v>
      </c>
      <c r="BA103" s="195" t="n">
        <f aca="false">IF($A104="","",F103*Summary!$Q$14)</f>
        <v>0</v>
      </c>
      <c r="BC103" s="179" t="e">
        <f aca="false">IF(A104="","",AM103*F103)</f>
        <v>#N/A</v>
      </c>
    </row>
    <row r="104" customFormat="false" ht="12.75" hidden="false" customHeight="false" outlineLevel="0" collapsed="false">
      <c r="A104" s="196" t="n">
        <f aca="false">IF(A103&lt;mthend,EDATE(A103,1),"")</f>
        <v>39904</v>
      </c>
      <c r="B104" s="197" t="n">
        <f aca="false">IF(A104&lt;mthend,B103,"")</f>
        <v>28400</v>
      </c>
      <c r="C104" s="215"/>
      <c r="D104" s="197" t="n">
        <f aca="false">IF(A105&lt;&gt;"",B104+C104,"")</f>
        <v>28400</v>
      </c>
      <c r="E104" s="199" t="n">
        <f aca="false">IF(A105="","",IF(AND(AT104=1,$H$3=1),D104*AO104,IF($H$3=2,D104,"N/A")))</f>
        <v>852000</v>
      </c>
      <c r="F104" s="199" t="n">
        <f aca="false">IF(A105="","",E104*AS104)</f>
        <v>4257452.80643608</v>
      </c>
      <c r="G104" s="200" t="e">
        <f aca="false">IF($A105="","",VLOOKUP($A104,Table,MATCH(G$4,Curves,0)))</f>
        <v>#N/A</v>
      </c>
      <c r="H104" s="201" t="e">
        <f aca="false">IF(A105="","",G104)</f>
        <v>#N/A</v>
      </c>
      <c r="I104" s="202"/>
      <c r="J104" s="200" t="e">
        <f aca="false">IF($A105="","",VLOOKUP($A104,Table,MATCH(J$4,Curves,0)))</f>
        <v>#N/A</v>
      </c>
      <c r="K104" s="201" t="e">
        <f aca="false">IF(A105="","",J104)</f>
        <v>#N/A</v>
      </c>
      <c r="L104" s="185" t="n">
        <v>0</v>
      </c>
      <c r="M104" s="201" t="n">
        <f aca="false">IF(A105="","",L104)</f>
        <v>0</v>
      </c>
      <c r="N104" s="203"/>
      <c r="O104" s="200" t="e">
        <f aca="false">IF(A105="","",L104+J104+G104)</f>
        <v>#N/A</v>
      </c>
      <c r="P104" s="200" t="e">
        <f aca="false">IF(A105="","",M104+K104+H104)</f>
        <v>#N/A</v>
      </c>
      <c r="Q104" s="204"/>
      <c r="R104" s="200" t="e">
        <f aca="false">IF($A105="","",VLOOKUP($A104,Table,MATCH(R$4,Curves,0)))</f>
        <v>#N/A</v>
      </c>
      <c r="S104" s="201" t="e">
        <f aca="false">IF(A105="","",R104)</f>
        <v>#N/A</v>
      </c>
      <c r="T104" s="200" t="e">
        <f aca="false">IF($A105="","",VLOOKUP($A104,Table,MATCH(T$4,Curves,0)))</f>
        <v>#N/A</v>
      </c>
      <c r="U104" s="201" t="e">
        <f aca="false">IF(A105="","",T104)</f>
        <v>#N/A</v>
      </c>
      <c r="V104" s="183" t="e">
        <f aca="false">IF($A105="","",IF(AND(MONTH(A104)&gt;3,MONTH(A104)&lt;11),(T104+R104+G104)*(((1/(1-Summary!$T$14))/(1-Summary!$W$14))-1),(T104+R104+G104)*((1/(1-Summary!$U$14))/(1-Summary!$X$14)-1)))</f>
        <v>#N/A</v>
      </c>
      <c r="W104" s="202" t="e">
        <f aca="false">IF($A105="","",(T104+R104+G104+V104))</f>
        <v>#N/A</v>
      </c>
      <c r="X104" s="202" t="e">
        <f aca="false">IF($A105="","",(U104+S104+H104+V104))</f>
        <v>#N/A</v>
      </c>
      <c r="Y104" s="202"/>
      <c r="Z104" s="185" t="e">
        <f aca="false">IF($A105="","",VLOOKUP($A104,Table,MATCH(Z$4,Curves,0)))</f>
        <v>#N/A</v>
      </c>
      <c r="AA104" s="185" t="e">
        <f aca="false">IF($A105="","",VLOOKUP($A104,Table,MATCH(AA$4,Curves,0)))</f>
        <v>#N/A</v>
      </c>
      <c r="AB104" s="185" t="e">
        <f aca="false">SQRT((AA104^2*(A104-$D$3)+Z104^2*(DAY(EOMONTH(A104,0))/2))/AK104)</f>
        <v>#N/A</v>
      </c>
      <c r="AC104" s="185" t="e">
        <f aca="false">IF($A105="","",VLOOKUP($A104,Table,MATCH(AC$4,Curves,0)))</f>
        <v>#N/A</v>
      </c>
      <c r="AD104" s="185" t="e">
        <f aca="false">IF($A105="","",VLOOKUP($A104,Table,MATCH(AD$4,Curves,0)))</f>
        <v>#N/A</v>
      </c>
      <c r="AE104" s="185" t="e">
        <f aca="false">SQRT((AD104^2*(A104-$D$3)+AC104^2*(DAY(EOMONTH(A104,0))/2))/AK104)</f>
        <v>#N/A</v>
      </c>
      <c r="AF104" s="224" t="e">
        <f aca="false">((Summary!$N$14*(AA104*AD104)*(A104-$D$3))+(Summary!$M$14*Z104*AC104*(AJ104-EOMONTH(EDATE(A104,-1),0))))/(AK104*AB104*AE104)</f>
        <v>#N/A</v>
      </c>
      <c r="AG104" s="207" t="n">
        <f aca="false">IF($A105="","",Summary!$Q$14)</f>
        <v>0</v>
      </c>
      <c r="AH104" s="207" t="n">
        <f aca="false">IF($A105="","",IF(Summary!$R$12="Y",(VLOOKUP($A104,Summary!$AD$6:$AF$9,3)+'Escalating commodity'!J117),'Escalating commodity'!J117))</f>
        <v>0.00569393002841256</v>
      </c>
      <c r="AI104" s="207" t="n">
        <f aca="false">IF($A105="","",AH104)</f>
        <v>0.00569393002841256</v>
      </c>
      <c r="AJ104" s="208" t="n">
        <f aca="false">A104+DAY(EOMONTH(A104,0))/2-1</f>
        <v>39918</v>
      </c>
      <c r="AK104" s="209" t="n">
        <f aca="false">IF($A105="","",$A104-$E$1)</f>
        <v>-6022</v>
      </c>
      <c r="AL104" s="182" t="e">
        <f aca="false">IF($A105="","",SPRDOPT(P104,X104,AI104,0,AB104,AE104,AF104,AK104,$AJ$2,0))</f>
        <v>#NAME?</v>
      </c>
      <c r="AM104" s="211" t="e">
        <f aca="false">IF($A105="","",MAX(0,O104-W104-AI104))</f>
        <v>#N/A</v>
      </c>
      <c r="AN104" s="211" t="e">
        <f aca="false">IF($A105="","",AL104-AM104)</f>
        <v>#N/A</v>
      </c>
      <c r="AO104" s="137" t="n">
        <f aca="false">IF(A105="","",A105-A104)</f>
        <v>30</v>
      </c>
      <c r="AP104" s="212" t="n">
        <f aca="false">IF(A105="","",CHOOSE(F$3,A105+24,A104))</f>
        <v>39904</v>
      </c>
      <c r="AQ104" s="209" t="n">
        <f aca="false">IF(A105="","",AP104-$E$1)</f>
        <v>-6022</v>
      </c>
      <c r="AR104" s="185" t="n">
        <f aca="false">'ANR OK vs ML7'!AR104</f>
        <v>0.1</v>
      </c>
      <c r="AS104" s="213" t="n">
        <f aca="false">IF(A105="","",1/(1+CHOOSE(F$3,(AR105+($I$3/10000))/2,(AR104+($I$3/10000))/2))^(2*AQ104/365.25))</f>
        <v>4.99701033619258</v>
      </c>
      <c r="AT104" s="137" t="n">
        <f aca="false">IF(A105="","",IF(AND(mthbeg&lt;=A104,mthend&gt;=A104),1,0))</f>
        <v>1</v>
      </c>
      <c r="AU104" s="137" t="n">
        <f aca="false">IF(A105="","",AO104*AT104)</f>
        <v>30</v>
      </c>
      <c r="AW104" s="195" t="e">
        <f aca="false">IF($A105="","",AL104*$E104)</f>
        <v>#NAME?</v>
      </c>
      <c r="AX104" s="195" t="e">
        <f aca="false">IF($A105="","",AM104*$E104)</f>
        <v>#N/A</v>
      </c>
      <c r="AY104" s="195" t="e">
        <f aca="false">IF($A105="","",AN104*$E104)</f>
        <v>#N/A</v>
      </c>
      <c r="BA104" s="195" t="n">
        <f aca="false">IF($A105="","",F104*Summary!$Q$14)</f>
        <v>0</v>
      </c>
      <c r="BC104" s="179" t="e">
        <f aca="false">IF(A105="","",AM104*F104)</f>
        <v>#N/A</v>
      </c>
    </row>
    <row r="105" customFormat="false" ht="12.75" hidden="false" customHeight="false" outlineLevel="0" collapsed="false">
      <c r="A105" s="196" t="n">
        <f aca="false">IF(A104&lt;mthend,EDATE(A104,1),"")</f>
        <v>39934</v>
      </c>
      <c r="B105" s="197" t="n">
        <f aca="false">IF(A105&lt;mthend,B104,"")</f>
        <v>28400</v>
      </c>
      <c r="C105" s="215"/>
      <c r="D105" s="197" t="n">
        <f aca="false">IF(A106&lt;&gt;"",B105+C105,"")</f>
        <v>28400</v>
      </c>
      <c r="E105" s="199" t="n">
        <f aca="false">IF(A106="","",IF(AND(AT105=1,$H$3=1),D105*AO105,IF($H$3=2,D105,"N/A")))</f>
        <v>880400</v>
      </c>
      <c r="F105" s="199" t="n">
        <f aca="false">IF(A106="","",E105*AS105)</f>
        <v>4364248.72094507</v>
      </c>
      <c r="G105" s="200" t="e">
        <f aca="false">IF($A106="","",VLOOKUP($A105,Table,MATCH(G$4,Curves,0)))</f>
        <v>#N/A</v>
      </c>
      <c r="H105" s="201" t="e">
        <f aca="false">IF(A106="","",G105)</f>
        <v>#N/A</v>
      </c>
      <c r="I105" s="202"/>
      <c r="J105" s="200" t="e">
        <f aca="false">IF($A106="","",VLOOKUP($A105,Table,MATCH(J$4,Curves,0)))</f>
        <v>#N/A</v>
      </c>
      <c r="K105" s="201" t="e">
        <f aca="false">IF(A106="","",J105)</f>
        <v>#N/A</v>
      </c>
      <c r="L105" s="185" t="n">
        <v>0</v>
      </c>
      <c r="M105" s="201" t="n">
        <f aca="false">IF(A106="","",L105)</f>
        <v>0</v>
      </c>
      <c r="N105" s="203"/>
      <c r="O105" s="200" t="e">
        <f aca="false">IF(A106="","",L105+J105+G105)</f>
        <v>#N/A</v>
      </c>
      <c r="P105" s="200" t="e">
        <f aca="false">IF(A106="","",M105+K105+H105)</f>
        <v>#N/A</v>
      </c>
      <c r="Q105" s="204"/>
      <c r="R105" s="200" t="e">
        <f aca="false">IF($A106="","",VLOOKUP($A105,Table,MATCH(R$4,Curves,0)))</f>
        <v>#N/A</v>
      </c>
      <c r="S105" s="201" t="e">
        <f aca="false">IF(A106="","",R105)</f>
        <v>#N/A</v>
      </c>
      <c r="T105" s="200" t="e">
        <f aca="false">IF($A106="","",VLOOKUP($A105,Table,MATCH(T$4,Curves,0)))</f>
        <v>#N/A</v>
      </c>
      <c r="U105" s="201" t="e">
        <f aca="false">IF(A106="","",T105)</f>
        <v>#N/A</v>
      </c>
      <c r="V105" s="183" t="e">
        <f aca="false">IF($A106="","",IF(AND(MONTH(A105)&gt;3,MONTH(A105)&lt;11),(T105+R105+G105)*(((1/(1-Summary!$T$14))/(1-Summary!$W$14))-1),(T105+R105+G105)*((1/(1-Summary!$U$14))/(1-Summary!$X$14)-1)))</f>
        <v>#N/A</v>
      </c>
      <c r="W105" s="202" t="e">
        <f aca="false">IF($A106="","",(T105+R105+G105+V105))</f>
        <v>#N/A</v>
      </c>
      <c r="X105" s="202" t="e">
        <f aca="false">IF($A106="","",(U105+S105+H105+V105))</f>
        <v>#N/A</v>
      </c>
      <c r="Y105" s="202"/>
      <c r="Z105" s="185" t="e">
        <f aca="false">IF($A106="","",VLOOKUP($A105,Table,MATCH(Z$4,Curves,0)))</f>
        <v>#N/A</v>
      </c>
      <c r="AA105" s="185" t="e">
        <f aca="false">IF($A106="","",VLOOKUP($A105,Table,MATCH(AA$4,Curves,0)))</f>
        <v>#N/A</v>
      </c>
      <c r="AB105" s="185" t="e">
        <f aca="false">SQRT((AA105^2*(A105-$D$3)+Z105^2*(DAY(EOMONTH(A105,0))/2))/AK105)</f>
        <v>#N/A</v>
      </c>
      <c r="AC105" s="185" t="e">
        <f aca="false">IF($A106="","",VLOOKUP($A105,Table,MATCH(AC$4,Curves,0)))</f>
        <v>#N/A</v>
      </c>
      <c r="AD105" s="185" t="e">
        <f aca="false">IF($A106="","",VLOOKUP($A105,Table,MATCH(AD$4,Curves,0)))</f>
        <v>#N/A</v>
      </c>
      <c r="AE105" s="185" t="e">
        <f aca="false">SQRT((AD105^2*(A105-$D$3)+AC105^2*(DAY(EOMONTH(A105,0))/2))/AK105)</f>
        <v>#N/A</v>
      </c>
      <c r="AF105" s="224" t="e">
        <f aca="false">((Summary!$N$14*(AA105*AD105)*(A105-$D$3))+(Summary!$M$14*Z105*AC105*(AJ105-EOMONTH(EDATE(A105,-1),0))))/(AK105*AB105*AE105)</f>
        <v>#N/A</v>
      </c>
      <c r="AG105" s="207" t="n">
        <f aca="false">IF($A106="","",Summary!$Q$14)</f>
        <v>0</v>
      </c>
      <c r="AH105" s="207" t="n">
        <f aca="false">IF($A106="","",IF(Summary!$R$12="Y",(VLOOKUP($A105,Summary!$AD$6:$AF$9,3)+'Escalating commodity'!J118),'Escalating commodity'!J118))</f>
        <v>0.00569393002841256</v>
      </c>
      <c r="AI105" s="207" t="n">
        <f aca="false">IF($A106="","",AH105)</f>
        <v>0.00569393002841256</v>
      </c>
      <c r="AJ105" s="208" t="n">
        <f aca="false">A105+DAY(EOMONTH(A105,0))/2-1</f>
        <v>39948.5</v>
      </c>
      <c r="AK105" s="209" t="n">
        <f aca="false">IF($A106="","",$A105-$E$1)</f>
        <v>-5992</v>
      </c>
      <c r="AL105" s="182" t="e">
        <f aca="false">IF($A106="","",SPRDOPT(P105,X105,AI105,0,AB105,AE105,AF105,AK105,$AJ$2,0))</f>
        <v>#NAME?</v>
      </c>
      <c r="AM105" s="211" t="e">
        <f aca="false">IF($A106="","",MAX(0,O105-W105-AI105))</f>
        <v>#N/A</v>
      </c>
      <c r="AN105" s="211" t="e">
        <f aca="false">IF($A106="","",AL105-AM105)</f>
        <v>#N/A</v>
      </c>
      <c r="AO105" s="137" t="n">
        <f aca="false">IF(A106="","",A106-A105)</f>
        <v>31</v>
      </c>
      <c r="AP105" s="212" t="n">
        <f aca="false">IF(A106="","",CHOOSE(F$3,A106+24,A105))</f>
        <v>39934</v>
      </c>
      <c r="AQ105" s="209" t="n">
        <f aca="false">IF(A106="","",AP105-$E$1)</f>
        <v>-5992</v>
      </c>
      <c r="AR105" s="185" t="n">
        <f aca="false">'ANR OK vs ML7'!AR105</f>
        <v>0.1</v>
      </c>
      <c r="AS105" s="213" t="n">
        <f aca="false">IF(A106="","",1/(1+CHOOSE(F$3,(AR106+($I$3/10000))/2,(AR105+($I$3/10000))/2))^(2*AQ105/365.25))</f>
        <v>4.95712031002393</v>
      </c>
      <c r="AT105" s="137" t="n">
        <f aca="false">IF(A106="","",IF(AND(mthbeg&lt;=A105,mthend&gt;=A105),1,0))</f>
        <v>1</v>
      </c>
      <c r="AU105" s="137" t="n">
        <f aca="false">IF(A106="","",AO105*AT105)</f>
        <v>31</v>
      </c>
      <c r="AW105" s="195" t="e">
        <f aca="false">IF($A106="","",AL105*$E105)</f>
        <v>#NAME?</v>
      </c>
      <c r="AX105" s="195" t="e">
        <f aca="false">IF($A106="","",AM105*$E105)</f>
        <v>#N/A</v>
      </c>
      <c r="AY105" s="195" t="e">
        <f aca="false">IF($A106="","",AN105*$E105)</f>
        <v>#N/A</v>
      </c>
      <c r="BA105" s="195" t="n">
        <f aca="false">IF($A106="","",F105*Summary!$Q$14)</f>
        <v>0</v>
      </c>
      <c r="BC105" s="179" t="e">
        <f aca="false">IF(A106="","",AM105*F105)</f>
        <v>#N/A</v>
      </c>
    </row>
    <row r="106" customFormat="false" ht="12.75" hidden="false" customHeight="false" outlineLevel="0" collapsed="false">
      <c r="A106" s="196" t="n">
        <f aca="false">IF(A105&lt;mthend,EDATE(A105,1),"")</f>
        <v>39965</v>
      </c>
      <c r="B106" s="197" t="n">
        <f aca="false">IF(A106&lt;mthend,B105,"")</f>
        <v>28400</v>
      </c>
      <c r="C106" s="215"/>
      <c r="D106" s="197" t="n">
        <f aca="false">IF(A107&lt;&gt;"",B106+C106,"")</f>
        <v>28400</v>
      </c>
      <c r="E106" s="199" t="n">
        <f aca="false">IF(A107="","",IF(AND(AT106=1,$H$3=1),D106*AO106,IF($H$3=2,D106,"N/A")))</f>
        <v>852000</v>
      </c>
      <c r="F106" s="199" t="n">
        <f aca="false">IF(A107="","",E106*AS106)</f>
        <v>4188632.32087278</v>
      </c>
      <c r="G106" s="200" t="e">
        <f aca="false">IF($A107="","",VLOOKUP($A106,Table,MATCH(G$4,Curves,0)))</f>
        <v>#N/A</v>
      </c>
      <c r="H106" s="201" t="e">
        <f aca="false">IF(A107="","",G106)</f>
        <v>#N/A</v>
      </c>
      <c r="I106" s="202"/>
      <c r="J106" s="200" t="e">
        <f aca="false">IF($A107="","",VLOOKUP($A106,Table,MATCH(J$4,Curves,0)))</f>
        <v>#N/A</v>
      </c>
      <c r="K106" s="201" t="e">
        <f aca="false">IF(A107="","",J106)</f>
        <v>#N/A</v>
      </c>
      <c r="L106" s="185" t="n">
        <v>0</v>
      </c>
      <c r="M106" s="201" t="n">
        <f aca="false">IF(A107="","",L106)</f>
        <v>0</v>
      </c>
      <c r="N106" s="203"/>
      <c r="O106" s="200" t="e">
        <f aca="false">IF(A107="","",L106+J106+G106)</f>
        <v>#N/A</v>
      </c>
      <c r="P106" s="200" t="e">
        <f aca="false">IF(A107="","",M106+K106+H106)</f>
        <v>#N/A</v>
      </c>
      <c r="Q106" s="204"/>
      <c r="R106" s="200" t="e">
        <f aca="false">IF($A107="","",VLOOKUP($A106,Table,MATCH(R$4,Curves,0)))</f>
        <v>#N/A</v>
      </c>
      <c r="S106" s="201" t="e">
        <f aca="false">IF(A107="","",R106)</f>
        <v>#N/A</v>
      </c>
      <c r="T106" s="200" t="e">
        <f aca="false">IF($A107="","",VLOOKUP($A106,Table,MATCH(T$4,Curves,0)))</f>
        <v>#N/A</v>
      </c>
      <c r="U106" s="201" t="e">
        <f aca="false">IF(A107="","",T106)</f>
        <v>#N/A</v>
      </c>
      <c r="V106" s="183" t="e">
        <f aca="false">IF($A107="","",IF(AND(MONTH(A106)&gt;3,MONTH(A106)&lt;11),(T106+R106+G106)*(((1/(1-Summary!$T$14))/(1-Summary!$W$14))-1),(T106+R106+G106)*((1/(1-Summary!$U$14))/(1-Summary!$X$14)-1)))</f>
        <v>#N/A</v>
      </c>
      <c r="W106" s="202" t="e">
        <f aca="false">IF($A107="","",(T106+R106+G106+V106))</f>
        <v>#N/A</v>
      </c>
      <c r="X106" s="202" t="e">
        <f aca="false">IF($A107="","",(U106+S106+H106+V106))</f>
        <v>#N/A</v>
      </c>
      <c r="Y106" s="202"/>
      <c r="Z106" s="185" t="e">
        <f aca="false">IF($A107="","",VLOOKUP($A106,Table,MATCH(Z$4,Curves,0)))</f>
        <v>#N/A</v>
      </c>
      <c r="AA106" s="185" t="e">
        <f aca="false">IF($A107="","",VLOOKUP($A106,Table,MATCH(AA$4,Curves,0)))</f>
        <v>#N/A</v>
      </c>
      <c r="AB106" s="185" t="e">
        <f aca="false">SQRT((AA106^2*(A106-$D$3)+Z106^2*(DAY(EOMONTH(A106,0))/2))/AK106)</f>
        <v>#N/A</v>
      </c>
      <c r="AC106" s="185" t="e">
        <f aca="false">IF($A107="","",VLOOKUP($A106,Table,MATCH(AC$4,Curves,0)))</f>
        <v>#N/A</v>
      </c>
      <c r="AD106" s="185" t="e">
        <f aca="false">IF($A107="","",VLOOKUP($A106,Table,MATCH(AD$4,Curves,0)))</f>
        <v>#N/A</v>
      </c>
      <c r="AE106" s="185" t="e">
        <f aca="false">SQRT((AD106^2*(A106-$D$3)+AC106^2*(DAY(EOMONTH(A106,0))/2))/AK106)</f>
        <v>#N/A</v>
      </c>
      <c r="AF106" s="224" t="e">
        <f aca="false">((Summary!$N$14*(AA106*AD106)*(A106-$D$3))+(Summary!$M$14*Z106*AC106*(AJ106-EOMONTH(EDATE(A106,-1),0))))/(AK106*AB106*AE106)</f>
        <v>#N/A</v>
      </c>
      <c r="AG106" s="207" t="n">
        <f aca="false">IF($A107="","",Summary!$Q$14)</f>
        <v>0</v>
      </c>
      <c r="AH106" s="207" t="n">
        <f aca="false">IF($A107="","",IF(Summary!$R$12="Y",(VLOOKUP($A106,Summary!$AD$6:$AF$9,3)+'Escalating commodity'!J119),'Escalating commodity'!J119))</f>
        <v>0.00569393002841256</v>
      </c>
      <c r="AI106" s="207" t="n">
        <f aca="false">IF($A107="","",AH106)</f>
        <v>0.00569393002841256</v>
      </c>
      <c r="AJ106" s="208" t="n">
        <f aca="false">A106+DAY(EOMONTH(A106,0))/2-1</f>
        <v>39979</v>
      </c>
      <c r="AK106" s="209" t="n">
        <f aca="false">IF($A107="","",$A106-$E$1)</f>
        <v>-5961</v>
      </c>
      <c r="AL106" s="182" t="e">
        <f aca="false">IF($A107="","",SPRDOPT(P106,X106,AI106,0,AB106,AE106,AF106,AK106,$AJ$2,0))</f>
        <v>#NAME?</v>
      </c>
      <c r="AM106" s="211" t="e">
        <f aca="false">IF($A107="","",MAX(0,O106-W106-AI106))</f>
        <v>#N/A</v>
      </c>
      <c r="AN106" s="211" t="e">
        <f aca="false">IF($A107="","",AL106-AM106)</f>
        <v>#N/A</v>
      </c>
      <c r="AO106" s="137" t="n">
        <f aca="false">IF(A107="","",A107-A106)</f>
        <v>30</v>
      </c>
      <c r="AP106" s="212" t="n">
        <f aca="false">IF(A107="","",CHOOSE(F$3,A107+24,A106))</f>
        <v>39965</v>
      </c>
      <c r="AQ106" s="209" t="n">
        <f aca="false">IF(A107="","",AP106-$E$1)</f>
        <v>-5961</v>
      </c>
      <c r="AR106" s="185" t="n">
        <f aca="false">'ANR OK vs ML7'!AR106</f>
        <v>0.1</v>
      </c>
      <c r="AS106" s="213" t="n">
        <f aca="false">IF(A107="","",1/(1+CHOOSE(F$3,(AR107+($I$3/10000))/2,(AR106+($I$3/10000))/2))^(2*AQ106/365.25))</f>
        <v>4.91623511839528</v>
      </c>
      <c r="AT106" s="137" t="n">
        <f aca="false">IF(A107="","",IF(AND(mthbeg&lt;=A106,mthend&gt;=A106),1,0))</f>
        <v>1</v>
      </c>
      <c r="AU106" s="137" t="n">
        <f aca="false">IF(A107="","",AO106*AT106)</f>
        <v>30</v>
      </c>
      <c r="AW106" s="195" t="e">
        <f aca="false">IF($A107="","",AL106*$E106)</f>
        <v>#NAME?</v>
      </c>
      <c r="AX106" s="195" t="e">
        <f aca="false">IF($A107="","",AM106*$E106)</f>
        <v>#N/A</v>
      </c>
      <c r="AY106" s="195" t="e">
        <f aca="false">IF($A107="","",AN106*$E106)</f>
        <v>#N/A</v>
      </c>
      <c r="BA106" s="195" t="n">
        <f aca="false">IF($A107="","",F106*Summary!$Q$14)</f>
        <v>0</v>
      </c>
      <c r="BC106" s="179" t="e">
        <f aca="false">IF(A107="","",AM106*F106)</f>
        <v>#N/A</v>
      </c>
    </row>
    <row r="107" customFormat="false" ht="12.75" hidden="false" customHeight="false" outlineLevel="0" collapsed="false">
      <c r="A107" s="196" t="n">
        <f aca="false">IF(A106&lt;mthend,EDATE(A106,1),"")</f>
        <v>39995</v>
      </c>
      <c r="B107" s="197" t="n">
        <f aca="false">IF(A107&lt;mthend,B106,"")</f>
        <v>28400</v>
      </c>
      <c r="C107" s="215"/>
      <c r="D107" s="197" t="n">
        <f aca="false">IF(A108&lt;&gt;"",B107+C107,"")</f>
        <v>28400</v>
      </c>
      <c r="E107" s="199" t="n">
        <f aca="false">IF(A108="","",IF(AND(AT107=1,$H$3=1),D107*AO107,IF($H$3=2,D107,"N/A")))</f>
        <v>880400</v>
      </c>
      <c r="F107" s="199" t="n">
        <f aca="false">IF(A108="","",E107*AS107)</f>
        <v>4293701.9105047</v>
      </c>
      <c r="G107" s="200" t="e">
        <f aca="false">IF($A108="","",VLOOKUP($A107,Table,MATCH(G$4,Curves,0)))</f>
        <v>#N/A</v>
      </c>
      <c r="H107" s="201" t="e">
        <f aca="false">IF(A108="","",G107)</f>
        <v>#N/A</v>
      </c>
      <c r="I107" s="202"/>
      <c r="J107" s="200" t="e">
        <f aca="false">IF($A108="","",VLOOKUP($A107,Table,MATCH(J$4,Curves,0)))</f>
        <v>#N/A</v>
      </c>
      <c r="K107" s="201" t="e">
        <f aca="false">IF(A108="","",J107)</f>
        <v>#N/A</v>
      </c>
      <c r="L107" s="185" t="n">
        <v>0</v>
      </c>
      <c r="M107" s="201" t="n">
        <f aca="false">IF(A108="","",L107)</f>
        <v>0</v>
      </c>
      <c r="N107" s="203"/>
      <c r="O107" s="200" t="e">
        <f aca="false">IF(A108="","",L107+J107+G107)</f>
        <v>#N/A</v>
      </c>
      <c r="P107" s="200" t="e">
        <f aca="false">IF(A108="","",M107+K107+H107)</f>
        <v>#N/A</v>
      </c>
      <c r="Q107" s="204"/>
      <c r="R107" s="200" t="e">
        <f aca="false">IF($A108="","",VLOOKUP($A107,Table,MATCH(R$4,Curves,0)))</f>
        <v>#N/A</v>
      </c>
      <c r="S107" s="201" t="e">
        <f aca="false">IF(A108="","",R107)</f>
        <v>#N/A</v>
      </c>
      <c r="T107" s="200" t="e">
        <f aca="false">IF($A108="","",VLOOKUP($A107,Table,MATCH(T$4,Curves,0)))</f>
        <v>#N/A</v>
      </c>
      <c r="U107" s="201" t="e">
        <f aca="false">IF(A108="","",T107)</f>
        <v>#N/A</v>
      </c>
      <c r="V107" s="183" t="e">
        <f aca="false">IF($A108="","",IF(AND(MONTH(A107)&gt;3,MONTH(A107)&lt;11),(T107+R107+G107)*(((1/(1-Summary!$T$14))/(1-Summary!$W$14))-1),(T107+R107+G107)*((1/(1-Summary!$U$14))/(1-Summary!$X$14)-1)))</f>
        <v>#N/A</v>
      </c>
      <c r="W107" s="202" t="e">
        <f aca="false">IF($A108="","",(T107+R107+G107+V107))</f>
        <v>#N/A</v>
      </c>
      <c r="X107" s="202" t="e">
        <f aca="false">IF($A108="","",(U107+S107+H107+V107))</f>
        <v>#N/A</v>
      </c>
      <c r="Y107" s="202"/>
      <c r="Z107" s="185" t="e">
        <f aca="false">IF($A108="","",VLOOKUP($A107,Table,MATCH(Z$4,Curves,0)))</f>
        <v>#N/A</v>
      </c>
      <c r="AA107" s="185" t="e">
        <f aca="false">IF($A108="","",VLOOKUP($A107,Table,MATCH(AA$4,Curves,0)))</f>
        <v>#N/A</v>
      </c>
      <c r="AB107" s="185" t="e">
        <f aca="false">SQRT((AA107^2*(A107-$D$3)+Z107^2*(DAY(EOMONTH(A107,0))/2))/AK107)</f>
        <v>#N/A</v>
      </c>
      <c r="AC107" s="185" t="e">
        <f aca="false">IF($A108="","",VLOOKUP($A107,Table,MATCH(AC$4,Curves,0)))</f>
        <v>#N/A</v>
      </c>
      <c r="AD107" s="185" t="e">
        <f aca="false">IF($A108="","",VLOOKUP($A107,Table,MATCH(AD$4,Curves,0)))</f>
        <v>#N/A</v>
      </c>
      <c r="AE107" s="185" t="e">
        <f aca="false">SQRT((AD107^2*(A107-$D$3)+AC107^2*(DAY(EOMONTH(A107,0))/2))/AK107)</f>
        <v>#N/A</v>
      </c>
      <c r="AF107" s="224" t="e">
        <f aca="false">((Summary!$N$14*(AA107*AD107)*(A107-$D$3))+(Summary!$M$14*Z107*AC107*(AJ107-EOMONTH(EDATE(A107,-1),0))))/(AK107*AB107*AE107)</f>
        <v>#N/A</v>
      </c>
      <c r="AG107" s="207" t="n">
        <f aca="false">IF($A108="","",Summary!$Q$14)</f>
        <v>0</v>
      </c>
      <c r="AH107" s="207" t="n">
        <f aca="false">IF($A108="","",IF(Summary!$R$12="Y",(VLOOKUP($A107,Summary!$AD$6:$AF$9,3)+'Escalating commodity'!J120),'Escalating commodity'!J120))</f>
        <v>0.00569393002841256</v>
      </c>
      <c r="AI107" s="207" t="n">
        <f aca="false">IF($A108="","",AH107)</f>
        <v>0.00569393002841256</v>
      </c>
      <c r="AJ107" s="208" t="n">
        <f aca="false">A107+DAY(EOMONTH(A107,0))/2-1</f>
        <v>40009.5</v>
      </c>
      <c r="AK107" s="209" t="n">
        <f aca="false">IF($A108="","",$A107-$E$1)</f>
        <v>-5931</v>
      </c>
      <c r="AL107" s="182" t="e">
        <f aca="false">IF($A108="","",SPRDOPT(P107,X107,AI107,0,AB107,AE107,AF107,AK107,$AJ$2,0))</f>
        <v>#NAME?</v>
      </c>
      <c r="AM107" s="211" t="e">
        <f aca="false">IF($A108="","",MAX(0,O107-W107-AI107))</f>
        <v>#N/A</v>
      </c>
      <c r="AN107" s="211" t="e">
        <f aca="false">IF($A108="","",AL107-AM107)</f>
        <v>#N/A</v>
      </c>
      <c r="AO107" s="137" t="n">
        <f aca="false">IF(A108="","",A108-A107)</f>
        <v>31</v>
      </c>
      <c r="AP107" s="212" t="n">
        <f aca="false">IF(A108="","",CHOOSE(F$3,A108+24,A107))</f>
        <v>39995</v>
      </c>
      <c r="AQ107" s="209" t="n">
        <f aca="false">IF(A108="","",AP107-$E$1)</f>
        <v>-5931</v>
      </c>
      <c r="AR107" s="185" t="n">
        <f aca="false">'ANR OK vs ML7'!AR107</f>
        <v>0.1</v>
      </c>
      <c r="AS107" s="213" t="n">
        <f aca="false">IF(A108="","",1/(1+CHOOSE(F$3,(AR108+($I$3/10000))/2,(AR107+($I$3/10000))/2))^(2*AQ107/365.25))</f>
        <v>4.87698990289039</v>
      </c>
      <c r="AT107" s="137" t="n">
        <f aca="false">IF(A108="","",IF(AND(mthbeg&lt;=A107,mthend&gt;=A107),1,0))</f>
        <v>1</v>
      </c>
      <c r="AU107" s="137" t="n">
        <f aca="false">IF(A108="","",AO107*AT107)</f>
        <v>31</v>
      </c>
      <c r="AW107" s="195" t="e">
        <f aca="false">IF($A108="","",AL107*$E107)</f>
        <v>#NAME?</v>
      </c>
      <c r="AX107" s="195" t="e">
        <f aca="false">IF($A108="","",AM107*$E107)</f>
        <v>#N/A</v>
      </c>
      <c r="AY107" s="195" t="e">
        <f aca="false">IF($A108="","",AN107*$E107)</f>
        <v>#N/A</v>
      </c>
      <c r="BA107" s="195" t="n">
        <f aca="false">IF($A108="","",F107*Summary!$Q$14)</f>
        <v>0</v>
      </c>
      <c r="BC107" s="179" t="e">
        <f aca="false">IF(A108="","",AM107*F107)</f>
        <v>#N/A</v>
      </c>
    </row>
    <row r="108" customFormat="false" ht="12.75" hidden="false" customHeight="false" outlineLevel="0" collapsed="false">
      <c r="A108" s="196" t="n">
        <f aca="false">IF(A107&lt;mthend,EDATE(A107,1),"")</f>
        <v>40026</v>
      </c>
      <c r="B108" s="197" t="n">
        <f aca="false">IF(A108&lt;mthend,B107,"")</f>
        <v>28400</v>
      </c>
      <c r="C108" s="215"/>
      <c r="D108" s="197" t="n">
        <f aca="false">IF(A109&lt;&gt;"",B108+C108,"")</f>
        <v>28400</v>
      </c>
      <c r="E108" s="199" t="n">
        <f aca="false">IF(A109="","",IF(AND(AT108=1,$H$3=1),D108*AO108,IF($H$3=2,D108,"N/A")))</f>
        <v>880400</v>
      </c>
      <c r="F108" s="199" t="n">
        <f aca="false">IF(A109="","",E108*AS108)</f>
        <v>4258288.44171067</v>
      </c>
      <c r="G108" s="200" t="e">
        <f aca="false">IF($A109="","",VLOOKUP($A108,Table,MATCH(G$4,Curves,0)))</f>
        <v>#N/A</v>
      </c>
      <c r="H108" s="201" t="e">
        <f aca="false">IF(A109="","",G108)</f>
        <v>#N/A</v>
      </c>
      <c r="I108" s="202"/>
      <c r="J108" s="200" t="e">
        <f aca="false">IF($A109="","",VLOOKUP($A108,Table,MATCH(J$4,Curves,0)))</f>
        <v>#N/A</v>
      </c>
      <c r="K108" s="201" t="e">
        <f aca="false">IF(A109="","",J108)</f>
        <v>#N/A</v>
      </c>
      <c r="L108" s="185" t="n">
        <v>0</v>
      </c>
      <c r="M108" s="201" t="n">
        <f aca="false">IF(A109="","",L108)</f>
        <v>0</v>
      </c>
      <c r="N108" s="203"/>
      <c r="O108" s="200" t="e">
        <f aca="false">IF(A109="","",L108+J108+G108)</f>
        <v>#N/A</v>
      </c>
      <c r="P108" s="200" t="e">
        <f aca="false">IF(A109="","",M108+K108+H108)</f>
        <v>#N/A</v>
      </c>
      <c r="Q108" s="204"/>
      <c r="R108" s="200" t="e">
        <f aca="false">IF($A109="","",VLOOKUP($A108,Table,MATCH(R$4,Curves,0)))</f>
        <v>#N/A</v>
      </c>
      <c r="S108" s="201" t="e">
        <f aca="false">IF(A109="","",R108)</f>
        <v>#N/A</v>
      </c>
      <c r="T108" s="200" t="e">
        <f aca="false">IF($A109="","",VLOOKUP($A108,Table,MATCH(T$4,Curves,0)))</f>
        <v>#N/A</v>
      </c>
      <c r="U108" s="201" t="e">
        <f aca="false">IF(A109="","",T108)</f>
        <v>#N/A</v>
      </c>
      <c r="V108" s="183" t="e">
        <f aca="false">IF($A109="","",IF(AND(MONTH(A108)&gt;3,MONTH(A108)&lt;11),(T108+R108+G108)*(((1/(1-Summary!$T$14))/(1-Summary!$W$14))-1),(T108+R108+G108)*((1/(1-Summary!$U$14))/(1-Summary!$X$14)-1)))</f>
        <v>#N/A</v>
      </c>
      <c r="W108" s="202" t="e">
        <f aca="false">IF($A109="","",(T108+R108+G108+V108))</f>
        <v>#N/A</v>
      </c>
      <c r="X108" s="202" t="e">
        <f aca="false">IF($A109="","",(U108+S108+H108+V108))</f>
        <v>#N/A</v>
      </c>
      <c r="Y108" s="202"/>
      <c r="Z108" s="185" t="e">
        <f aca="false">IF($A109="","",VLOOKUP($A108,Table,MATCH(Z$4,Curves,0)))</f>
        <v>#N/A</v>
      </c>
      <c r="AA108" s="185" t="e">
        <f aca="false">IF($A109="","",VLOOKUP($A108,Table,MATCH(AA$4,Curves,0)))</f>
        <v>#N/A</v>
      </c>
      <c r="AB108" s="185" t="e">
        <f aca="false">SQRT((AA108^2*(A108-$D$3)+Z108^2*(DAY(EOMONTH(A108,0))/2))/AK108)</f>
        <v>#N/A</v>
      </c>
      <c r="AC108" s="185" t="e">
        <f aca="false">IF($A109="","",VLOOKUP($A108,Table,MATCH(AC$4,Curves,0)))</f>
        <v>#N/A</v>
      </c>
      <c r="AD108" s="185" t="e">
        <f aca="false">IF($A109="","",VLOOKUP($A108,Table,MATCH(AD$4,Curves,0)))</f>
        <v>#N/A</v>
      </c>
      <c r="AE108" s="185" t="e">
        <f aca="false">SQRT((AD108^2*(A108-$D$3)+AC108^2*(DAY(EOMONTH(A108,0))/2))/AK108)</f>
        <v>#N/A</v>
      </c>
      <c r="AF108" s="224" t="e">
        <f aca="false">((Summary!$N$14*(AA108*AD108)*(A108-$D$3))+(Summary!$M$14*Z108*AC108*(AJ108-EOMONTH(EDATE(A108,-1),0))))/(AK108*AB108*AE108)</f>
        <v>#N/A</v>
      </c>
      <c r="AG108" s="207" t="n">
        <f aca="false">IF($A109="","",Summary!$Q$14)</f>
        <v>0</v>
      </c>
      <c r="AH108" s="207" t="n">
        <f aca="false">IF($A109="","",IF(Summary!$R$12="Y",(VLOOKUP($A108,Summary!$AD$6:$AF$9,3)+'Escalating commodity'!J121),'Escalating commodity'!J121))</f>
        <v>0.00569393002841256</v>
      </c>
      <c r="AI108" s="207" t="n">
        <f aca="false">IF($A109="","",AH108)</f>
        <v>0.00569393002841256</v>
      </c>
      <c r="AJ108" s="208" t="n">
        <f aca="false">A108+DAY(EOMONTH(A108,0))/2-1</f>
        <v>40040.5</v>
      </c>
      <c r="AK108" s="209" t="n">
        <f aca="false">IF($A109="","",$A108-$E$1)</f>
        <v>-5900</v>
      </c>
      <c r="AL108" s="182" t="e">
        <f aca="false">IF($A109="","",SPRDOPT(P108,X108,AI108,0,AB108,AE108,AF108,AK108,$AJ$2,0))</f>
        <v>#NAME?</v>
      </c>
      <c r="AM108" s="211" t="e">
        <f aca="false">IF($A109="","",MAX(0,O108-W108-AI108))</f>
        <v>#N/A</v>
      </c>
      <c r="AN108" s="211" t="e">
        <f aca="false">IF($A109="","",AL108-AM108)</f>
        <v>#N/A</v>
      </c>
      <c r="AO108" s="137" t="n">
        <f aca="false">IF(A109="","",A109-A108)</f>
        <v>31</v>
      </c>
      <c r="AP108" s="212" t="n">
        <f aca="false">IF(A109="","",CHOOSE(F$3,A109+24,A108))</f>
        <v>40026</v>
      </c>
      <c r="AQ108" s="209" t="n">
        <f aca="false">IF(A109="","",AP108-$E$1)</f>
        <v>-5900</v>
      </c>
      <c r="AR108" s="185" t="n">
        <f aca="false">'ANR OK vs ML7'!AR108</f>
        <v>0.1</v>
      </c>
      <c r="AS108" s="213" t="n">
        <f aca="false">IF(A109="","",1/(1+CHOOSE(F$3,(AR109+($I$3/10000))/2,(AR108+($I$3/10000))/2))^(2*AQ108/365.25))</f>
        <v>4.83676560848554</v>
      </c>
      <c r="AT108" s="137" t="n">
        <f aca="false">IF(A109="","",IF(AND(mthbeg&lt;=A108,mthend&gt;=A108),1,0))</f>
        <v>1</v>
      </c>
      <c r="AU108" s="137" t="n">
        <f aca="false">IF(A109="","",AO108*AT108)</f>
        <v>31</v>
      </c>
      <c r="AW108" s="195" t="e">
        <f aca="false">IF($A109="","",AL108*$E108)</f>
        <v>#NAME?</v>
      </c>
      <c r="AX108" s="195" t="e">
        <f aca="false">IF($A109="","",AM108*$E108)</f>
        <v>#N/A</v>
      </c>
      <c r="AY108" s="195" t="e">
        <f aca="false">IF($A109="","",AN108*$E108)</f>
        <v>#N/A</v>
      </c>
      <c r="BA108" s="195" t="n">
        <f aca="false">IF($A109="","",F108*Summary!$Q$14)</f>
        <v>0</v>
      </c>
      <c r="BC108" s="179" t="e">
        <f aca="false">IF(A109="","",AM108*F108)</f>
        <v>#N/A</v>
      </c>
    </row>
    <row r="109" customFormat="false" ht="12.75" hidden="false" customHeight="false" outlineLevel="0" collapsed="false">
      <c r="A109" s="196" t="n">
        <f aca="false">IF(A108&lt;mthend,EDATE(A108,1),"")</f>
        <v>40057</v>
      </c>
      <c r="B109" s="197" t="n">
        <f aca="false">IF(A109&lt;mthend,B108,"")</f>
        <v>28400</v>
      </c>
      <c r="C109" s="215"/>
      <c r="D109" s="197" t="n">
        <f aca="false">IF(A110&lt;&gt;"",B109+C109,"")</f>
        <v>28400</v>
      </c>
      <c r="E109" s="199" t="n">
        <f aca="false">IF(A110="","",IF(AND(AT109=1,$H$3=1),D109*AO109,IF($H$3=2,D109,"N/A")))</f>
        <v>852000</v>
      </c>
      <c r="F109" s="199" t="n">
        <f aca="false">IF(A110="","",E109*AS109)</f>
        <v>4086935.85976142</v>
      </c>
      <c r="G109" s="200" t="e">
        <f aca="false">IF($A110="","",VLOOKUP($A109,Table,MATCH(G$4,Curves,0)))</f>
        <v>#N/A</v>
      </c>
      <c r="H109" s="201" t="e">
        <f aca="false">IF(A110="","",G109)</f>
        <v>#N/A</v>
      </c>
      <c r="I109" s="202"/>
      <c r="J109" s="200" t="e">
        <f aca="false">IF($A110="","",VLOOKUP($A109,Table,MATCH(J$4,Curves,0)))</f>
        <v>#N/A</v>
      </c>
      <c r="K109" s="201" t="e">
        <f aca="false">IF(A110="","",J109)</f>
        <v>#N/A</v>
      </c>
      <c r="L109" s="185" t="n">
        <v>0</v>
      </c>
      <c r="M109" s="201" t="n">
        <f aca="false">IF(A110="","",L109)</f>
        <v>0</v>
      </c>
      <c r="N109" s="203"/>
      <c r="O109" s="200" t="e">
        <f aca="false">IF(A110="","",L109+J109+G109)</f>
        <v>#N/A</v>
      </c>
      <c r="P109" s="200" t="e">
        <f aca="false">IF(A110="","",M109+K109+H109)</f>
        <v>#N/A</v>
      </c>
      <c r="Q109" s="204"/>
      <c r="R109" s="200" t="e">
        <f aca="false">IF($A110="","",VLOOKUP($A109,Table,MATCH(R$4,Curves,0)))</f>
        <v>#N/A</v>
      </c>
      <c r="S109" s="201" t="e">
        <f aca="false">IF(A110="","",R109)</f>
        <v>#N/A</v>
      </c>
      <c r="T109" s="200" t="e">
        <f aca="false">IF($A110="","",VLOOKUP($A109,Table,MATCH(T$4,Curves,0)))</f>
        <v>#N/A</v>
      </c>
      <c r="U109" s="201" t="e">
        <f aca="false">IF(A110="","",T109)</f>
        <v>#N/A</v>
      </c>
      <c r="V109" s="183" t="e">
        <f aca="false">IF($A110="","",IF(AND(MONTH(A109)&gt;3,MONTH(A109)&lt;11),(T109+R109+G109)*(((1/(1-Summary!$T$14))/(1-Summary!$W$14))-1),(T109+R109+G109)*((1/(1-Summary!$U$14))/(1-Summary!$X$14)-1)))</f>
        <v>#N/A</v>
      </c>
      <c r="W109" s="202" t="e">
        <f aca="false">IF($A110="","",(T109+R109+G109+V109))</f>
        <v>#N/A</v>
      </c>
      <c r="X109" s="202" t="e">
        <f aca="false">IF($A110="","",(U109+S109+H109+V109))</f>
        <v>#N/A</v>
      </c>
      <c r="Y109" s="202"/>
      <c r="Z109" s="185" t="e">
        <f aca="false">IF($A110="","",VLOOKUP($A109,Table,MATCH(Z$4,Curves,0)))</f>
        <v>#N/A</v>
      </c>
      <c r="AA109" s="185" t="e">
        <f aca="false">IF($A110="","",VLOOKUP($A109,Table,MATCH(AA$4,Curves,0)))</f>
        <v>#N/A</v>
      </c>
      <c r="AB109" s="185" t="e">
        <f aca="false">SQRT((AA109^2*(A109-$D$3)+Z109^2*(DAY(EOMONTH(A109,0))/2))/AK109)</f>
        <v>#N/A</v>
      </c>
      <c r="AC109" s="185" t="e">
        <f aca="false">IF($A110="","",VLOOKUP($A109,Table,MATCH(AC$4,Curves,0)))</f>
        <v>#N/A</v>
      </c>
      <c r="AD109" s="185" t="e">
        <f aca="false">IF($A110="","",VLOOKUP($A109,Table,MATCH(AD$4,Curves,0)))</f>
        <v>#N/A</v>
      </c>
      <c r="AE109" s="185" t="e">
        <f aca="false">SQRT((AD109^2*(A109-$D$3)+AC109^2*(DAY(EOMONTH(A109,0))/2))/AK109)</f>
        <v>#N/A</v>
      </c>
      <c r="AF109" s="224" t="e">
        <f aca="false">((Summary!$N$14*(AA109*AD109)*(A109-$D$3))+(Summary!$M$14*Z109*AC109*(AJ109-EOMONTH(EDATE(A109,-1),0))))/(AK109*AB109*AE109)</f>
        <v>#N/A</v>
      </c>
      <c r="AG109" s="207" t="n">
        <f aca="false">IF($A110="","",Summary!$Q$14)</f>
        <v>0</v>
      </c>
      <c r="AH109" s="207" t="n">
        <f aca="false">IF($A110="","",IF(Summary!$R$12="Y",(VLOOKUP($A109,Summary!$AD$6:$AF$9,3)+'Escalating commodity'!J122),'Escalating commodity'!J122))</f>
        <v>0.00569393002841256</v>
      </c>
      <c r="AI109" s="207" t="n">
        <f aca="false">IF($A110="","",AH109)</f>
        <v>0.00569393002841256</v>
      </c>
      <c r="AJ109" s="208" t="n">
        <f aca="false">A109+DAY(EOMONTH(A109,0))/2-1</f>
        <v>40071</v>
      </c>
      <c r="AK109" s="209" t="n">
        <f aca="false">IF($A110="","",$A109-$E$1)</f>
        <v>-5869</v>
      </c>
      <c r="AL109" s="182" t="e">
        <f aca="false">IF($A110="","",SPRDOPT(P109,X109,AI109,0,AB109,AE109,AF109,AK109,$AJ$2,0))</f>
        <v>#NAME?</v>
      </c>
      <c r="AM109" s="211" t="e">
        <f aca="false">IF($A110="","",MAX(0,O109-W109-AI109))</f>
        <v>#N/A</v>
      </c>
      <c r="AN109" s="211" t="e">
        <f aca="false">IF($A110="","",AL109-AM109)</f>
        <v>#N/A</v>
      </c>
      <c r="AO109" s="137" t="n">
        <f aca="false">IF(A110="","",A110-A109)</f>
        <v>30</v>
      </c>
      <c r="AP109" s="212" t="n">
        <f aca="false">IF(A110="","",CHOOSE(F$3,A110+24,A109))</f>
        <v>40057</v>
      </c>
      <c r="AQ109" s="209" t="n">
        <f aca="false">IF(A110="","",AP109-$E$1)</f>
        <v>-5869</v>
      </c>
      <c r="AR109" s="185" t="n">
        <f aca="false">'ANR OK vs ML7'!AR109</f>
        <v>0.1</v>
      </c>
      <c r="AS109" s="213" t="n">
        <f aca="false">IF(A110="","",1/(1+CHOOSE(F$3,(AR110+($I$3/10000))/2,(AR109+($I$3/10000))/2))^(2*AQ109/365.25))</f>
        <v>4.79687307483734</v>
      </c>
      <c r="AT109" s="137" t="n">
        <f aca="false">IF(A110="","",IF(AND(mthbeg&lt;=A109,mthend&gt;=A109),1,0))</f>
        <v>1</v>
      </c>
      <c r="AU109" s="137" t="n">
        <f aca="false">IF(A110="","",AO109*AT109)</f>
        <v>30</v>
      </c>
      <c r="AW109" s="195" t="e">
        <f aca="false">IF($A110="","",AL109*$E109)</f>
        <v>#NAME?</v>
      </c>
      <c r="AX109" s="195" t="e">
        <f aca="false">IF($A110="","",AM109*$E109)</f>
        <v>#N/A</v>
      </c>
      <c r="AY109" s="195" t="e">
        <f aca="false">IF($A110="","",AN109*$E109)</f>
        <v>#N/A</v>
      </c>
      <c r="BA109" s="195" t="n">
        <f aca="false">IF($A110="","",F109*Summary!$Q$14)</f>
        <v>0</v>
      </c>
      <c r="BC109" s="179" t="e">
        <f aca="false">IF(A110="","",AM109*F109)</f>
        <v>#N/A</v>
      </c>
    </row>
    <row r="110" customFormat="false" ht="12.75" hidden="false" customHeight="false" outlineLevel="0" collapsed="false">
      <c r="A110" s="196" t="n">
        <f aca="false">IF(A109&lt;mthend,EDATE(A109,1),"")</f>
        <v>40087</v>
      </c>
      <c r="B110" s="197" t="n">
        <f aca="false">IF(A110&lt;mthend,B109,"")</f>
        <v>28400</v>
      </c>
      <c r="C110" s="215"/>
      <c r="D110" s="197" t="n">
        <f aca="false">IF(A111&lt;&gt;"",B110+C110,"")</f>
        <v>28400</v>
      </c>
      <c r="E110" s="199" t="n">
        <f aca="false">IF(A111="","",IF(AND(AT110=1,$H$3=1),D110*AO110,IF($H$3=2,D110,"N/A")))</f>
        <v>880400</v>
      </c>
      <c r="F110" s="199" t="n">
        <f aca="false">IF(A111="","",E110*AS110)</f>
        <v>4189454.44834635</v>
      </c>
      <c r="G110" s="200" t="e">
        <f aca="false">IF($A111="","",VLOOKUP($A110,Table,MATCH(G$4,Curves,0)))</f>
        <v>#N/A</v>
      </c>
      <c r="H110" s="201" t="e">
        <f aca="false">IF(A111="","",G110)</f>
        <v>#N/A</v>
      </c>
      <c r="I110" s="202"/>
      <c r="J110" s="200" t="e">
        <f aca="false">IF($A111="","",VLOOKUP($A110,Table,MATCH(J$4,Curves,0)))</f>
        <v>#N/A</v>
      </c>
      <c r="K110" s="201" t="e">
        <f aca="false">IF(A111="","",J110)</f>
        <v>#N/A</v>
      </c>
      <c r="L110" s="185" t="n">
        <v>0</v>
      </c>
      <c r="M110" s="201" t="n">
        <f aca="false">IF(A111="","",L110)</f>
        <v>0</v>
      </c>
      <c r="N110" s="203"/>
      <c r="O110" s="200" t="e">
        <f aca="false">IF(A111="","",L110+J110+G110)</f>
        <v>#N/A</v>
      </c>
      <c r="P110" s="200" t="e">
        <f aca="false">IF(A111="","",M110+K110+H110)</f>
        <v>#N/A</v>
      </c>
      <c r="Q110" s="204"/>
      <c r="R110" s="200" t="e">
        <f aca="false">IF($A111="","",VLOOKUP($A110,Table,MATCH(R$4,Curves,0)))</f>
        <v>#N/A</v>
      </c>
      <c r="S110" s="201" t="e">
        <f aca="false">IF(A111="","",R110)</f>
        <v>#N/A</v>
      </c>
      <c r="T110" s="200" t="e">
        <f aca="false">IF($A111="","",VLOOKUP($A110,Table,MATCH(T$4,Curves,0)))</f>
        <v>#N/A</v>
      </c>
      <c r="U110" s="201" t="e">
        <f aca="false">IF(A111="","",T110)</f>
        <v>#N/A</v>
      </c>
      <c r="V110" s="183" t="e">
        <f aca="false">IF($A111="","",IF(AND(MONTH(A110)&gt;3,MONTH(A110)&lt;11),(T110+R110+G110)*(((1/(1-Summary!$T$14))/(1-Summary!$W$14))-1),(T110+R110+G110)*((1/(1-Summary!$U$14))/(1-Summary!$X$14)-1)))</f>
        <v>#N/A</v>
      </c>
      <c r="W110" s="202" t="e">
        <f aca="false">IF($A111="","",(T110+R110+G110+V110))</f>
        <v>#N/A</v>
      </c>
      <c r="X110" s="202" t="e">
        <f aca="false">IF($A111="","",(U110+S110+H110+V110))</f>
        <v>#N/A</v>
      </c>
      <c r="Y110" s="202"/>
      <c r="Z110" s="185" t="e">
        <f aca="false">IF($A111="","",VLOOKUP($A110,Table,MATCH(Z$4,Curves,0)))</f>
        <v>#N/A</v>
      </c>
      <c r="AA110" s="185" t="e">
        <f aca="false">IF($A111="","",VLOOKUP($A110,Table,MATCH(AA$4,Curves,0)))</f>
        <v>#N/A</v>
      </c>
      <c r="AB110" s="185" t="e">
        <f aca="false">SQRT((AA110^2*(A110-$D$3)+Z110^2*(DAY(EOMONTH(A110,0))/2))/AK110)</f>
        <v>#N/A</v>
      </c>
      <c r="AC110" s="185" t="e">
        <f aca="false">IF($A111="","",VLOOKUP($A110,Table,MATCH(AC$4,Curves,0)))</f>
        <v>#N/A</v>
      </c>
      <c r="AD110" s="185" t="e">
        <f aca="false">IF($A111="","",VLOOKUP($A110,Table,MATCH(AD$4,Curves,0)))</f>
        <v>#N/A</v>
      </c>
      <c r="AE110" s="185" t="e">
        <f aca="false">SQRT((AD110^2*(A110-$D$3)+AC110^2*(DAY(EOMONTH(A110,0))/2))/AK110)</f>
        <v>#N/A</v>
      </c>
      <c r="AF110" s="224" t="e">
        <f aca="false">((Summary!$N$14*(AA110*AD110)*(A110-$D$3))+(Summary!$M$14*Z110*AC110*(AJ110-EOMONTH(EDATE(A110,-1),0))))/(AK110*AB110*AE110)</f>
        <v>#N/A</v>
      </c>
      <c r="AG110" s="207" t="n">
        <f aca="false">IF($A111="","",Summary!$Q$14)</f>
        <v>0</v>
      </c>
      <c r="AH110" s="207" t="n">
        <f aca="false">IF($A111="","",IF(Summary!$R$12="Y",(VLOOKUP($A110,Summary!$AD$6:$AF$9,3)+'Escalating commodity'!J123),'Escalating commodity'!J123))</f>
        <v>0.00569393002841256</v>
      </c>
      <c r="AI110" s="207" t="n">
        <f aca="false">IF($A111="","",AH110)</f>
        <v>0.00569393002841256</v>
      </c>
      <c r="AJ110" s="208" t="n">
        <f aca="false">A110+DAY(EOMONTH(A110,0))/2-1</f>
        <v>40101.5</v>
      </c>
      <c r="AK110" s="209" t="n">
        <f aca="false">IF($A111="","",$A110-$E$1)</f>
        <v>-5839</v>
      </c>
      <c r="AL110" s="182" t="e">
        <f aca="false">IF($A111="","",SPRDOPT(P110,X110,AI110,0,AB110,AE110,AF110,AK110,$AJ$2,0))</f>
        <v>#NAME?</v>
      </c>
      <c r="AM110" s="211" t="e">
        <f aca="false">IF($A111="","",MAX(0,O110-W110-AI110))</f>
        <v>#N/A</v>
      </c>
      <c r="AN110" s="211" t="e">
        <f aca="false">IF($A111="","",AL110-AM110)</f>
        <v>#N/A</v>
      </c>
      <c r="AO110" s="137" t="n">
        <f aca="false">IF(A111="","",A111-A110)</f>
        <v>31</v>
      </c>
      <c r="AP110" s="212" t="n">
        <f aca="false">IF(A111="","",CHOOSE(F$3,A111+24,A110))</f>
        <v>40087</v>
      </c>
      <c r="AQ110" s="209" t="n">
        <f aca="false">IF(A111="","",AP110-$E$1)</f>
        <v>-5839</v>
      </c>
      <c r="AR110" s="185" t="n">
        <f aca="false">'ANR OK vs ML7'!AR110</f>
        <v>0.1</v>
      </c>
      <c r="AS110" s="213" t="n">
        <f aca="false">IF(A111="","",1/(1+CHOOSE(F$3,(AR111+($I$3/10000))/2,(AR110+($I$3/10000))/2))^(2*AQ110/365.25))</f>
        <v>4.75858070007537</v>
      </c>
      <c r="AT110" s="137" t="n">
        <f aca="false">IF(A111="","",IF(AND(mthbeg&lt;=A110,mthend&gt;=A110),1,0))</f>
        <v>1</v>
      </c>
      <c r="AU110" s="137" t="n">
        <f aca="false">IF(A111="","",AO110*AT110)</f>
        <v>31</v>
      </c>
      <c r="AW110" s="195" t="e">
        <f aca="false">IF($A111="","",AL110*$E110)</f>
        <v>#NAME?</v>
      </c>
      <c r="AX110" s="195" t="e">
        <f aca="false">IF($A111="","",AM110*$E110)</f>
        <v>#N/A</v>
      </c>
      <c r="AY110" s="195" t="e">
        <f aca="false">IF($A111="","",AN110*$E110)</f>
        <v>#N/A</v>
      </c>
      <c r="BA110" s="195" t="n">
        <f aca="false">IF($A111="","",F110*Summary!$Q$14)</f>
        <v>0</v>
      </c>
      <c r="BC110" s="179" t="e">
        <f aca="false">IF(A111="","",AM110*F110)</f>
        <v>#N/A</v>
      </c>
    </row>
    <row r="111" customFormat="false" ht="12.75" hidden="false" customHeight="false" outlineLevel="0" collapsed="false">
      <c r="A111" s="196" t="n">
        <f aca="false">IF(A110&lt;mthend,EDATE(A110,1),"")</f>
        <v>40118</v>
      </c>
      <c r="B111" s="197" t="n">
        <f aca="false">IF(A111&lt;mthend,B110,"")</f>
        <v>28400</v>
      </c>
      <c r="C111" s="215"/>
      <c r="D111" s="197" t="n">
        <f aca="false">IF(A112&lt;&gt;"",B111+C111,"")</f>
        <v>28400</v>
      </c>
      <c r="E111" s="199" t="n">
        <f aca="false">IF(A112="","",IF(AND(AT111=1,$H$3=1),D111*AO111,IF($H$3=2,D111,"N/A")))</f>
        <v>852000</v>
      </c>
      <c r="F111" s="199" t="n">
        <f aca="false">IF(A112="","",E111*AS111)</f>
        <v>4020871.73101532</v>
      </c>
      <c r="G111" s="200" t="e">
        <f aca="false">IF($A112="","",VLOOKUP($A111,Table,MATCH(G$4,Curves,0)))</f>
        <v>#N/A</v>
      </c>
      <c r="H111" s="201" t="e">
        <f aca="false">IF(A112="","",G111)</f>
        <v>#N/A</v>
      </c>
      <c r="I111" s="202"/>
      <c r="J111" s="200" t="e">
        <f aca="false">IF($A112="","",VLOOKUP($A111,Table,MATCH(J$4,Curves,0)))</f>
        <v>#N/A</v>
      </c>
      <c r="K111" s="201" t="e">
        <f aca="false">IF(A112="","",J111)</f>
        <v>#N/A</v>
      </c>
      <c r="L111" s="185" t="n">
        <v>0</v>
      </c>
      <c r="M111" s="201" t="n">
        <f aca="false">IF(A112="","",L111)</f>
        <v>0</v>
      </c>
      <c r="N111" s="203"/>
      <c r="O111" s="200" t="e">
        <f aca="false">IF(A112="","",L111+J111+G111)</f>
        <v>#N/A</v>
      </c>
      <c r="P111" s="200" t="e">
        <f aca="false">IF(A112="","",M111+K111+H111)</f>
        <v>#N/A</v>
      </c>
      <c r="Q111" s="204"/>
      <c r="R111" s="200" t="e">
        <f aca="false">IF($A112="","",VLOOKUP($A111,Table,MATCH(R$4,Curves,0)))</f>
        <v>#N/A</v>
      </c>
      <c r="S111" s="201" t="e">
        <f aca="false">IF(A112="","",R111)</f>
        <v>#N/A</v>
      </c>
      <c r="T111" s="200" t="e">
        <f aca="false">IF($A112="","",VLOOKUP($A111,Table,MATCH(T$4,Curves,0)))</f>
        <v>#N/A</v>
      </c>
      <c r="U111" s="201" t="e">
        <f aca="false">IF(A112="","",T111)</f>
        <v>#N/A</v>
      </c>
      <c r="V111" s="183" t="e">
        <f aca="false">IF($A112="","",IF(AND(MONTH(A111)&gt;3,MONTH(A111)&lt;11),(T111+R111+G111)*(((1/(1-Summary!$T$14))/(1-Summary!$W$14))-1),(T111+R111+G111)*((1/(1-Summary!$U$14))/(1-Summary!$X$14)-1)))</f>
        <v>#N/A</v>
      </c>
      <c r="W111" s="202" t="e">
        <f aca="false">IF($A112="","",(T111+R111+G111+V111))</f>
        <v>#N/A</v>
      </c>
      <c r="X111" s="202" t="e">
        <f aca="false">IF($A112="","",(U111+S111+H111+V111))</f>
        <v>#N/A</v>
      </c>
      <c r="Y111" s="202"/>
      <c r="Z111" s="185" t="e">
        <f aca="false">IF($A112="","",VLOOKUP($A111,Table,MATCH(Z$4,Curves,0)))</f>
        <v>#N/A</v>
      </c>
      <c r="AA111" s="185" t="e">
        <f aca="false">IF($A112="","",VLOOKUP($A111,Table,MATCH(AA$4,Curves,0)))</f>
        <v>#N/A</v>
      </c>
      <c r="AB111" s="185" t="e">
        <f aca="false">SQRT((AA111^2*(A111-$D$3)+Z111^2*(DAY(EOMONTH(A111,0))/2))/AK111)</f>
        <v>#N/A</v>
      </c>
      <c r="AC111" s="185" t="e">
        <f aca="false">IF($A112="","",VLOOKUP($A111,Table,MATCH(AC$4,Curves,0)))</f>
        <v>#N/A</v>
      </c>
      <c r="AD111" s="185" t="e">
        <f aca="false">IF($A112="","",VLOOKUP($A111,Table,MATCH(AD$4,Curves,0)))</f>
        <v>#N/A</v>
      </c>
      <c r="AE111" s="185" t="e">
        <f aca="false">SQRT((AD111^2*(A111-$D$3)+AC111^2*(DAY(EOMONTH(A111,0))/2))/AK111)</f>
        <v>#N/A</v>
      </c>
      <c r="AF111" s="224" t="e">
        <f aca="false">((Summary!$N$14*(AA111*AD111)*(A111-$D$3))+(Summary!$M$14*Z111*AC111*(AJ111-EOMONTH(EDATE(A111,-1),0))))/(AK111*AB111*AE111)</f>
        <v>#N/A</v>
      </c>
      <c r="AG111" s="207" t="n">
        <f aca="false">IF($A112="","",Summary!$Q$14)</f>
        <v>0</v>
      </c>
      <c r="AH111" s="207" t="n">
        <f aca="false">IF($A112="","",IF(Summary!$R$12="Y",(VLOOKUP($A111,Summary!$AD$6:$AF$9,3)+'Escalating commodity'!J124),'Escalating commodity'!J124))</f>
        <v>0.00569393002841256</v>
      </c>
      <c r="AI111" s="207" t="n">
        <f aca="false">IF($A112="","",AH111)</f>
        <v>0.00569393002841256</v>
      </c>
      <c r="AJ111" s="208" t="n">
        <f aca="false">A111+DAY(EOMONTH(A111,0))/2-1</f>
        <v>40132</v>
      </c>
      <c r="AK111" s="209" t="n">
        <f aca="false">IF($A112="","",$A111-$E$1)</f>
        <v>-5808</v>
      </c>
      <c r="AL111" s="182" t="e">
        <f aca="false">IF($A112="","",SPRDOPT(P111,X111,AI111,0,AB111,AE111,AF111,AK111,$AJ$2,0))</f>
        <v>#NAME?</v>
      </c>
      <c r="AM111" s="211" t="e">
        <f aca="false">IF($A112="","",MAX(0,O111-W111-AI111))</f>
        <v>#N/A</v>
      </c>
      <c r="AN111" s="211" t="e">
        <f aca="false">IF($A112="","",AL111-AM111)</f>
        <v>#N/A</v>
      </c>
      <c r="AO111" s="137" t="n">
        <f aca="false">IF(A112="","",A112-A111)</f>
        <v>30</v>
      </c>
      <c r="AP111" s="212" t="n">
        <f aca="false">IF(A112="","",CHOOSE(F$3,A112+24,A111))</f>
        <v>40118</v>
      </c>
      <c r="AQ111" s="209" t="n">
        <f aca="false">IF(A112="","",AP111-$E$1)</f>
        <v>-5808</v>
      </c>
      <c r="AR111" s="185" t="n">
        <f aca="false">'ANR OK vs ML7'!AR111</f>
        <v>0.1</v>
      </c>
      <c r="AS111" s="213" t="n">
        <f aca="false">IF(A112="","",1/(1+CHOOSE(F$3,(AR112+($I$3/10000))/2,(AR111+($I$3/10000))/2))^(2*AQ111/365.25))</f>
        <v>4.71933301762361</v>
      </c>
      <c r="AT111" s="137" t="n">
        <f aca="false">IF(A112="","",IF(AND(mthbeg&lt;=A111,mthend&gt;=A111),1,0))</f>
        <v>1</v>
      </c>
      <c r="AU111" s="137" t="n">
        <f aca="false">IF(A112="","",AO111*AT111)</f>
        <v>30</v>
      </c>
      <c r="AW111" s="195" t="e">
        <f aca="false">IF($A112="","",AL111*$E111)</f>
        <v>#NAME?</v>
      </c>
      <c r="AX111" s="195" t="e">
        <f aca="false">IF($A112="","",AM111*$E111)</f>
        <v>#N/A</v>
      </c>
      <c r="AY111" s="195" t="e">
        <f aca="false">IF($A112="","",AN111*$E111)</f>
        <v>#N/A</v>
      </c>
      <c r="BA111" s="195" t="n">
        <f aca="false">IF($A112="","",F111*Summary!$Q$14)</f>
        <v>0</v>
      </c>
      <c r="BC111" s="179" t="e">
        <f aca="false">IF(A112="","",AM111*F111)</f>
        <v>#N/A</v>
      </c>
    </row>
    <row r="112" customFormat="false" ht="12.75" hidden="false" customHeight="false" outlineLevel="0" collapsed="false">
      <c r="A112" s="196" t="n">
        <f aca="false">IF(A111&lt;mthend,EDATE(A111,1),"")</f>
        <v>40148</v>
      </c>
      <c r="B112" s="197" t="n">
        <f aca="false">IF(A112&lt;mthend,B111,"")</f>
        <v>28400</v>
      </c>
      <c r="C112" s="215"/>
      <c r="D112" s="197" t="n">
        <f aca="false">IF(A113&lt;&gt;"",B112+C112,"")</f>
        <v>28400</v>
      </c>
      <c r="E112" s="199" t="n">
        <f aca="false">IF(A113="","",IF(AND(AT112=1,$H$3=1),D112*AO112,IF($H$3=2,D112,"N/A")))</f>
        <v>880400</v>
      </c>
      <c r="F112" s="199" t="n">
        <f aca="false">IF(A113="","",E112*AS112)</f>
        <v>4121733.13645191</v>
      </c>
      <c r="G112" s="200" t="e">
        <f aca="false">IF($A113="","",VLOOKUP($A112,Table,MATCH(G$4,Curves,0)))</f>
        <v>#N/A</v>
      </c>
      <c r="H112" s="201" t="e">
        <f aca="false">IF(A113="","",G112)</f>
        <v>#N/A</v>
      </c>
      <c r="I112" s="202"/>
      <c r="J112" s="200" t="e">
        <f aca="false">IF($A113="","",VLOOKUP($A112,Table,MATCH(J$4,Curves,0)))</f>
        <v>#N/A</v>
      </c>
      <c r="K112" s="201" t="e">
        <f aca="false">IF(A113="","",J112)</f>
        <v>#N/A</v>
      </c>
      <c r="L112" s="185" t="n">
        <v>0</v>
      </c>
      <c r="M112" s="201" t="n">
        <f aca="false">IF(A113="","",L112)</f>
        <v>0</v>
      </c>
      <c r="N112" s="203"/>
      <c r="O112" s="200" t="e">
        <f aca="false">IF(A113="","",L112+J112+G112)</f>
        <v>#N/A</v>
      </c>
      <c r="P112" s="200" t="e">
        <f aca="false">IF(A113="","",M112+K112+H112)</f>
        <v>#N/A</v>
      </c>
      <c r="Q112" s="204"/>
      <c r="R112" s="200" t="e">
        <f aca="false">IF($A113="","",VLOOKUP($A112,Table,MATCH(R$4,Curves,0)))</f>
        <v>#N/A</v>
      </c>
      <c r="S112" s="201" t="e">
        <f aca="false">IF(A113="","",R112)</f>
        <v>#N/A</v>
      </c>
      <c r="T112" s="200" t="e">
        <f aca="false">IF($A113="","",VLOOKUP($A112,Table,MATCH(T$4,Curves,0)))</f>
        <v>#N/A</v>
      </c>
      <c r="U112" s="201" t="e">
        <f aca="false">IF(A113="","",T112)</f>
        <v>#N/A</v>
      </c>
      <c r="V112" s="183" t="e">
        <f aca="false">IF($A113="","",IF(AND(MONTH(A112)&gt;3,MONTH(A112)&lt;11),(T112+R112+G112)*(((1/(1-Summary!$T$14))/(1-Summary!$W$14))-1),(T112+R112+G112)*((1/(1-Summary!$U$14))/(1-Summary!$X$14)-1)))</f>
        <v>#N/A</v>
      </c>
      <c r="W112" s="202" t="e">
        <f aca="false">IF($A113="","",(T112+R112+G112+V112))</f>
        <v>#N/A</v>
      </c>
      <c r="X112" s="202" t="e">
        <f aca="false">IF($A113="","",(U112+S112+H112+V112))</f>
        <v>#N/A</v>
      </c>
      <c r="Y112" s="202"/>
      <c r="Z112" s="185" t="e">
        <f aca="false">IF($A113="","",VLOOKUP($A112,Table,MATCH(Z$4,Curves,0)))</f>
        <v>#N/A</v>
      </c>
      <c r="AA112" s="185" t="e">
        <f aca="false">IF($A113="","",VLOOKUP($A112,Table,MATCH(AA$4,Curves,0)))</f>
        <v>#N/A</v>
      </c>
      <c r="AB112" s="185" t="e">
        <f aca="false">SQRT((AA112^2*(A112-$D$3)+Z112^2*(DAY(EOMONTH(A112,0))/2))/AK112)</f>
        <v>#N/A</v>
      </c>
      <c r="AC112" s="185" t="e">
        <f aca="false">IF($A113="","",VLOOKUP($A112,Table,MATCH(AC$4,Curves,0)))</f>
        <v>#N/A</v>
      </c>
      <c r="AD112" s="185" t="e">
        <f aca="false">IF($A113="","",VLOOKUP($A112,Table,MATCH(AD$4,Curves,0)))</f>
        <v>#N/A</v>
      </c>
      <c r="AE112" s="185" t="e">
        <f aca="false">SQRT((AD112^2*(A112-$D$3)+AC112^2*(DAY(EOMONTH(A112,0))/2))/AK112)</f>
        <v>#N/A</v>
      </c>
      <c r="AF112" s="224" t="e">
        <f aca="false">((Summary!$N$14*(AA112*AD112)*(A112-$D$3))+(Summary!$M$14*Z112*AC112*(AJ112-EOMONTH(EDATE(A112,-1),0))))/(AK112*AB112*AE112)</f>
        <v>#N/A</v>
      </c>
      <c r="AG112" s="207" t="n">
        <f aca="false">IF($A113="","",Summary!$Q$14)</f>
        <v>0</v>
      </c>
      <c r="AH112" s="207" t="n">
        <f aca="false">IF($A113="","",IF(Summary!$R$12="Y",(VLOOKUP($A112,Summary!$AD$6:$AF$9,3)+'Escalating commodity'!J125),'Escalating commodity'!J125))</f>
        <v>0.00569393002841256</v>
      </c>
      <c r="AI112" s="207" t="n">
        <f aca="false">IF($A113="","",AH112)</f>
        <v>0.00569393002841256</v>
      </c>
      <c r="AJ112" s="208" t="n">
        <f aca="false">A112+DAY(EOMONTH(A112,0))/2-1</f>
        <v>40162.5</v>
      </c>
      <c r="AK112" s="209" t="n">
        <f aca="false">IF($A113="","",$A112-$E$1)</f>
        <v>-5778</v>
      </c>
      <c r="AL112" s="182" t="e">
        <f aca="false">IF($A113="","",SPRDOPT(P112,X112,AI112,0,AB112,AE112,AF112,AK112,$AJ$2,0))</f>
        <v>#NAME?</v>
      </c>
      <c r="AM112" s="211" t="e">
        <f aca="false">IF($A113="","",MAX(0,O112-W112-AI112))</f>
        <v>#N/A</v>
      </c>
      <c r="AN112" s="211" t="e">
        <f aca="false">IF($A113="","",AL112-AM112)</f>
        <v>#N/A</v>
      </c>
      <c r="AO112" s="137" t="n">
        <f aca="false">IF(A113="","",A113-A112)</f>
        <v>31</v>
      </c>
      <c r="AP112" s="212" t="n">
        <f aca="false">IF(A113="","",CHOOSE(F$3,A113+24,A112))</f>
        <v>40148</v>
      </c>
      <c r="AQ112" s="209" t="n">
        <f aca="false">IF(A113="","",AP112-$E$1)</f>
        <v>-5778</v>
      </c>
      <c r="AR112" s="185" t="n">
        <f aca="false">'ANR OK vs ML7'!AR112</f>
        <v>0.1</v>
      </c>
      <c r="AS112" s="213" t="n">
        <f aca="false">IF(A113="","",1/(1+CHOOSE(F$3,(AR113+($I$3/10000))/2,(AR112+($I$3/10000))/2))^(2*AQ112/365.25))</f>
        <v>4.68165962795537</v>
      </c>
      <c r="AT112" s="137" t="n">
        <f aca="false">IF(A113="","",IF(AND(mthbeg&lt;=A112,mthend&gt;=A112),1,0))</f>
        <v>1</v>
      </c>
      <c r="AU112" s="137" t="n">
        <f aca="false">IF(A113="","",AO112*AT112)</f>
        <v>31</v>
      </c>
      <c r="AW112" s="195" t="e">
        <f aca="false">IF($A113="","",AL112*$E112)</f>
        <v>#NAME?</v>
      </c>
      <c r="AX112" s="195" t="e">
        <f aca="false">IF($A113="","",AM112*$E112)</f>
        <v>#N/A</v>
      </c>
      <c r="AY112" s="195" t="e">
        <f aca="false">IF($A113="","",AN112*$E112)</f>
        <v>#N/A</v>
      </c>
      <c r="BA112" s="195" t="n">
        <f aca="false">IF($A113="","",F112*Summary!$Q$14)</f>
        <v>0</v>
      </c>
      <c r="BC112" s="179" t="e">
        <f aca="false">IF(A113="","",AM112*F112)</f>
        <v>#N/A</v>
      </c>
    </row>
    <row r="113" customFormat="false" ht="12.75" hidden="false" customHeight="false" outlineLevel="0" collapsed="false">
      <c r="A113" s="196" t="n">
        <f aca="false">IF(A112&lt;mthend,EDATE(A112,1),"")</f>
        <v>40179</v>
      </c>
      <c r="B113" s="197" t="n">
        <f aca="false">IF(A113&lt;mthend,B112,"")</f>
        <v>28400</v>
      </c>
      <c r="C113" s="215"/>
      <c r="D113" s="197" t="n">
        <f aca="false">IF(A114&lt;&gt;"",B113+C113,"")</f>
        <v>28400</v>
      </c>
      <c r="E113" s="199" t="n">
        <f aca="false">IF(A114="","",IF(AND(AT113=1,$H$3=1),D113*AO113,IF($H$3=2,D113,"N/A")))</f>
        <v>880400</v>
      </c>
      <c r="F113" s="199" t="n">
        <f aca="false">IF(A114="","",E113*AS113)</f>
        <v>4087738.02667311</v>
      </c>
      <c r="G113" s="200" t="e">
        <f aca="false">IF($A114="","",VLOOKUP($A113,Table,MATCH(G$4,Curves,0)))</f>
        <v>#N/A</v>
      </c>
      <c r="H113" s="201" t="e">
        <f aca="false">IF(A114="","",G113)</f>
        <v>#N/A</v>
      </c>
      <c r="I113" s="202"/>
      <c r="J113" s="200" t="e">
        <f aca="false">IF($A114="","",VLOOKUP($A113,Table,MATCH(J$4,Curves,0)))</f>
        <v>#N/A</v>
      </c>
      <c r="K113" s="201" t="e">
        <f aca="false">IF(A114="","",J113)</f>
        <v>#N/A</v>
      </c>
      <c r="L113" s="185" t="n">
        <v>0</v>
      </c>
      <c r="M113" s="201" t="n">
        <f aca="false">IF(A114="","",L113)</f>
        <v>0</v>
      </c>
      <c r="N113" s="203"/>
      <c r="O113" s="200" t="e">
        <f aca="false">IF(A114="","",L113+J113+G113)</f>
        <v>#N/A</v>
      </c>
      <c r="P113" s="200" t="e">
        <f aca="false">IF(A114="","",M113+K113+H113)</f>
        <v>#N/A</v>
      </c>
      <c r="Q113" s="204"/>
      <c r="R113" s="200" t="e">
        <f aca="false">IF($A114="","",VLOOKUP($A113,Table,MATCH(R$4,Curves,0)))</f>
        <v>#N/A</v>
      </c>
      <c r="S113" s="201" t="e">
        <f aca="false">IF(A114="","",R113)</f>
        <v>#N/A</v>
      </c>
      <c r="T113" s="200" t="e">
        <f aca="false">IF($A114="","",VLOOKUP($A113,Table,MATCH(T$4,Curves,0)))</f>
        <v>#N/A</v>
      </c>
      <c r="U113" s="201" t="e">
        <f aca="false">IF(A114="","",T113)</f>
        <v>#N/A</v>
      </c>
      <c r="V113" s="183" t="e">
        <f aca="false">IF($A114="","",IF(AND(MONTH(A113)&gt;3,MONTH(A113)&lt;11),(T113+R113+G113)*(((1/(1-Summary!$T$14))/(1-Summary!$W$14))-1),(T113+R113+G113)*((1/(1-Summary!$U$14))/(1-Summary!$X$14)-1)))</f>
        <v>#N/A</v>
      </c>
      <c r="W113" s="202" t="e">
        <f aca="false">IF($A114="","",(T113+R113+G113+V113))</f>
        <v>#N/A</v>
      </c>
      <c r="X113" s="202" t="e">
        <f aca="false">IF($A114="","",(U113+S113+H113+V113))</f>
        <v>#N/A</v>
      </c>
      <c r="Y113" s="202"/>
      <c r="Z113" s="185" t="e">
        <f aca="false">IF($A114="","",VLOOKUP($A113,Table,MATCH(Z$4,Curves,0)))</f>
        <v>#N/A</v>
      </c>
      <c r="AA113" s="185" t="e">
        <f aca="false">IF($A114="","",VLOOKUP($A113,Table,MATCH(AA$4,Curves,0)))</f>
        <v>#N/A</v>
      </c>
      <c r="AB113" s="185" t="e">
        <f aca="false">SQRT((AA113^2*(A113-$D$3)+Z113^2*(DAY(EOMONTH(A113,0))/2))/AK113)</f>
        <v>#N/A</v>
      </c>
      <c r="AC113" s="185" t="e">
        <f aca="false">IF($A114="","",VLOOKUP($A113,Table,MATCH(AC$4,Curves,0)))</f>
        <v>#N/A</v>
      </c>
      <c r="AD113" s="185" t="e">
        <f aca="false">IF($A114="","",VLOOKUP($A113,Table,MATCH(AD$4,Curves,0)))</f>
        <v>#N/A</v>
      </c>
      <c r="AE113" s="185" t="e">
        <f aca="false">SQRT((AD113^2*(A113-$D$3)+AC113^2*(DAY(EOMONTH(A113,0))/2))/AK113)</f>
        <v>#N/A</v>
      </c>
      <c r="AF113" s="224" t="e">
        <f aca="false">((Summary!$N$14*(AA113*AD113)*(A113-$D$3))+(Summary!$M$14*Z113*AC113*(AJ113-EOMONTH(EDATE(A113,-1),0))))/(AK113*AB113*AE113)</f>
        <v>#N/A</v>
      </c>
      <c r="AG113" s="207" t="n">
        <f aca="false">IF($A114="","",Summary!$Q$14)</f>
        <v>0</v>
      </c>
      <c r="AH113" s="207" t="n">
        <f aca="false">IF($A114="","",IF(Summary!$R$12="Y",(VLOOKUP($A113,Summary!$AD$6:$AF$9,3)+'Escalating commodity'!J126),'Escalating commodity'!J126))</f>
        <v>0.00580780862898081</v>
      </c>
      <c r="AI113" s="207" t="n">
        <f aca="false">IF($A114="","",AH113)</f>
        <v>0.00580780862898081</v>
      </c>
      <c r="AJ113" s="208" t="n">
        <f aca="false">A113+DAY(EOMONTH(A113,0))/2-1</f>
        <v>40193.5</v>
      </c>
      <c r="AK113" s="209" t="n">
        <f aca="false">IF($A114="","",$A113-$E$1)</f>
        <v>-5747</v>
      </c>
      <c r="AL113" s="182" t="e">
        <f aca="false">IF($A114="","",SPRDOPT(P113,X113,AI113,0,AB113,AE113,AF113,AK113,$AJ$2,0))</f>
        <v>#NAME?</v>
      </c>
      <c r="AM113" s="211" t="e">
        <f aca="false">IF($A114="","",MAX(0,O113-W113-AI113))</f>
        <v>#N/A</v>
      </c>
      <c r="AN113" s="211" t="e">
        <f aca="false">IF($A114="","",AL113-AM113)</f>
        <v>#N/A</v>
      </c>
      <c r="AO113" s="137" t="n">
        <f aca="false">IF(A114="","",A114-A113)</f>
        <v>31</v>
      </c>
      <c r="AP113" s="212" t="n">
        <f aca="false">IF(A114="","",CHOOSE(F$3,A114+24,A113))</f>
        <v>40179</v>
      </c>
      <c r="AQ113" s="209" t="n">
        <f aca="false">IF(A114="","",AP113-$E$1)</f>
        <v>-5747</v>
      </c>
      <c r="AR113" s="185" t="n">
        <f aca="false">'ANR OK vs ML7'!AR113</f>
        <v>0.1</v>
      </c>
      <c r="AS113" s="213" t="n">
        <f aca="false">IF(A114="","",1/(1+CHOOSE(F$3,(AR114+($I$3/10000))/2,(AR113+($I$3/10000))/2))^(2*AQ113/365.25))</f>
        <v>4.64304637286814</v>
      </c>
      <c r="AT113" s="137" t="n">
        <f aca="false">IF(A114="","",IF(AND(mthbeg&lt;=A113,mthend&gt;=A113),1,0))</f>
        <v>1</v>
      </c>
      <c r="AU113" s="137" t="n">
        <f aca="false">IF(A114="","",AO113*AT113)</f>
        <v>31</v>
      </c>
      <c r="AW113" s="195" t="e">
        <f aca="false">IF($A114="","",AL113*$E113)</f>
        <v>#NAME?</v>
      </c>
      <c r="AX113" s="195" t="e">
        <f aca="false">IF($A114="","",AM113*$E113)</f>
        <v>#N/A</v>
      </c>
      <c r="AY113" s="195" t="e">
        <f aca="false">IF($A114="","",AN113*$E113)</f>
        <v>#N/A</v>
      </c>
      <c r="BA113" s="195" t="n">
        <f aca="false">IF($A114="","",F113*Summary!$Q$14)</f>
        <v>0</v>
      </c>
      <c r="BC113" s="179" t="e">
        <f aca="false">IF(A114="","",AM113*F113)</f>
        <v>#N/A</v>
      </c>
    </row>
    <row r="114" customFormat="false" ht="12.75" hidden="false" customHeight="false" outlineLevel="0" collapsed="false">
      <c r="A114" s="196" t="n">
        <f aca="false">IF(A113&lt;mthend,EDATE(A113,1),"")</f>
        <v>40210</v>
      </c>
      <c r="B114" s="197" t="n">
        <f aca="false">IF(A114&lt;mthend,B113,"")</f>
        <v>28400</v>
      </c>
      <c r="C114" s="215"/>
      <c r="D114" s="197" t="n">
        <f aca="false">IF(A115&lt;&gt;"",B114+C114,"")</f>
        <v>28400</v>
      </c>
      <c r="E114" s="199" t="n">
        <f aca="false">IF(A115="","",IF(AND(AT114=1,$H$3=1),D114*AO114,IF($H$3=2,D114,"N/A")))</f>
        <v>795200</v>
      </c>
      <c r="F114" s="199" t="n">
        <f aca="false">IF(A115="","",E114*AS114)</f>
        <v>3661698.46520668</v>
      </c>
      <c r="G114" s="200" t="e">
        <f aca="false">IF($A115="","",VLOOKUP($A114,Table,MATCH(G$4,Curves,0)))</f>
        <v>#N/A</v>
      </c>
      <c r="H114" s="201" t="e">
        <f aca="false">IF(A115="","",G114)</f>
        <v>#N/A</v>
      </c>
      <c r="I114" s="202"/>
      <c r="J114" s="200" t="e">
        <f aca="false">IF($A115="","",VLOOKUP($A114,Table,MATCH(J$4,Curves,0)))</f>
        <v>#N/A</v>
      </c>
      <c r="K114" s="201" t="e">
        <f aca="false">IF(A115="","",J114)</f>
        <v>#N/A</v>
      </c>
      <c r="L114" s="185" t="n">
        <v>0</v>
      </c>
      <c r="M114" s="201" t="n">
        <f aca="false">IF(A115="","",L114)</f>
        <v>0</v>
      </c>
      <c r="N114" s="203"/>
      <c r="O114" s="200" t="e">
        <f aca="false">IF(A115="","",L114+J114+G114)</f>
        <v>#N/A</v>
      </c>
      <c r="P114" s="200" t="e">
        <f aca="false">IF(A115="","",M114+K114+H114)</f>
        <v>#N/A</v>
      </c>
      <c r="Q114" s="204"/>
      <c r="R114" s="200" t="e">
        <f aca="false">IF($A115="","",VLOOKUP($A114,Table,MATCH(R$4,Curves,0)))</f>
        <v>#N/A</v>
      </c>
      <c r="S114" s="201" t="e">
        <f aca="false">IF(A115="","",R114)</f>
        <v>#N/A</v>
      </c>
      <c r="T114" s="200" t="e">
        <f aca="false">IF($A115="","",VLOOKUP($A114,Table,MATCH(T$4,Curves,0)))</f>
        <v>#N/A</v>
      </c>
      <c r="U114" s="201" t="e">
        <f aca="false">IF(A115="","",T114)</f>
        <v>#N/A</v>
      </c>
      <c r="V114" s="183" t="e">
        <f aca="false">IF($A115="","",IF(AND(MONTH(A114)&gt;3,MONTH(A114)&lt;11),(T114+R114+G114)*(((1/(1-Summary!$T$14))/(1-Summary!$W$14))-1),(T114+R114+G114)*((1/(1-Summary!$U$14))/(1-Summary!$X$14)-1)))</f>
        <v>#N/A</v>
      </c>
      <c r="W114" s="202" t="e">
        <f aca="false">IF($A115="","",(T114+R114+G114+V114))</f>
        <v>#N/A</v>
      </c>
      <c r="X114" s="202" t="e">
        <f aca="false">IF($A115="","",(U114+S114+H114+V114))</f>
        <v>#N/A</v>
      </c>
      <c r="Y114" s="202"/>
      <c r="Z114" s="185" t="e">
        <f aca="false">IF($A115="","",VLOOKUP($A114,Table,MATCH(Z$4,Curves,0)))</f>
        <v>#N/A</v>
      </c>
      <c r="AA114" s="185" t="e">
        <f aca="false">IF($A115="","",VLOOKUP($A114,Table,MATCH(AA$4,Curves,0)))</f>
        <v>#N/A</v>
      </c>
      <c r="AB114" s="185" t="e">
        <f aca="false">SQRT((AA114^2*(A114-$D$3)+Z114^2*(DAY(EOMONTH(A114,0))/2))/AK114)</f>
        <v>#N/A</v>
      </c>
      <c r="AC114" s="185" t="e">
        <f aca="false">IF($A115="","",VLOOKUP($A114,Table,MATCH(AC$4,Curves,0)))</f>
        <v>#N/A</v>
      </c>
      <c r="AD114" s="185" t="e">
        <f aca="false">IF($A115="","",VLOOKUP($A114,Table,MATCH(AD$4,Curves,0)))</f>
        <v>#N/A</v>
      </c>
      <c r="AE114" s="185" t="e">
        <f aca="false">SQRT((AD114^2*(A114-$D$3)+AC114^2*(DAY(EOMONTH(A114,0))/2))/AK114)</f>
        <v>#N/A</v>
      </c>
      <c r="AF114" s="224" t="e">
        <f aca="false">((Summary!$N$14*(AA114*AD114)*(A114-$D$3))+(Summary!$M$14*Z114*AC114*(AJ114-EOMONTH(EDATE(A114,-1),0))))/(AK114*AB114*AE114)</f>
        <v>#N/A</v>
      </c>
      <c r="AG114" s="207" t="n">
        <f aca="false">IF($A115="","",Summary!$Q$14)</f>
        <v>0</v>
      </c>
      <c r="AH114" s="207" t="n">
        <f aca="false">IF($A115="","",IF(Summary!$R$12="Y",(VLOOKUP($A114,Summary!$AD$6:$AF$9,3)+'Escalating commodity'!J127),'Escalating commodity'!J127))</f>
        <v>0.00580780862898081</v>
      </c>
      <c r="AI114" s="207" t="n">
        <f aca="false">IF($A115="","",AH114)</f>
        <v>0.00580780862898081</v>
      </c>
      <c r="AJ114" s="208" t="n">
        <f aca="false">A114+DAY(EOMONTH(A114,0))/2-1</f>
        <v>40223</v>
      </c>
      <c r="AK114" s="209" t="n">
        <f aca="false">IF($A115="","",$A114-$E$1)</f>
        <v>-5716</v>
      </c>
      <c r="AL114" s="182" t="e">
        <f aca="false">IF($A115="","",SPRDOPT(P114,X114,AI114,0,AB114,AE114,AF114,AK114,$AJ$2,0))</f>
        <v>#NAME?</v>
      </c>
      <c r="AM114" s="211" t="e">
        <f aca="false">IF($A115="","",MAX(0,O114-W114-AI114))</f>
        <v>#N/A</v>
      </c>
      <c r="AN114" s="211" t="e">
        <f aca="false">IF($A115="","",AL114-AM114)</f>
        <v>#N/A</v>
      </c>
      <c r="AO114" s="137" t="n">
        <f aca="false">IF(A115="","",A115-A114)</f>
        <v>28</v>
      </c>
      <c r="AP114" s="212" t="n">
        <f aca="false">IF(A115="","",CHOOSE(F$3,A115+24,A114))</f>
        <v>40210</v>
      </c>
      <c r="AQ114" s="209" t="n">
        <f aca="false">IF(A115="","",AP114-$E$1)</f>
        <v>-5716</v>
      </c>
      <c r="AR114" s="185" t="n">
        <f aca="false">'ANR OK vs ML7'!AR114</f>
        <v>0.1</v>
      </c>
      <c r="AS114" s="213" t="n">
        <f aca="false">IF(A115="","",1/(1+CHOOSE(F$3,(AR115+($I$3/10000))/2,(AR114+($I$3/10000))/2))^(2*AQ114/365.25))</f>
        <v>4.60475159105468</v>
      </c>
      <c r="AT114" s="137" t="n">
        <f aca="false">IF(A115="","",IF(AND(mthbeg&lt;=A114,mthend&gt;=A114),1,0))</f>
        <v>1</v>
      </c>
      <c r="AU114" s="137" t="n">
        <f aca="false">IF(A115="","",AO114*AT114)</f>
        <v>28</v>
      </c>
      <c r="AW114" s="195" t="e">
        <f aca="false">IF($A115="","",AL114*$E114)</f>
        <v>#NAME?</v>
      </c>
      <c r="AX114" s="195" t="e">
        <f aca="false">IF($A115="","",AM114*$E114)</f>
        <v>#N/A</v>
      </c>
      <c r="AY114" s="195" t="e">
        <f aca="false">IF($A115="","",AN114*$E114)</f>
        <v>#N/A</v>
      </c>
      <c r="BA114" s="195" t="n">
        <f aca="false">IF($A115="","",F114*Summary!$Q$14)</f>
        <v>0</v>
      </c>
      <c r="BC114" s="179" t="e">
        <f aca="false">IF(A115="","",AM114*F114)</f>
        <v>#N/A</v>
      </c>
    </row>
    <row r="115" customFormat="false" ht="12.75" hidden="false" customHeight="false" outlineLevel="0" collapsed="false">
      <c r="A115" s="196" t="n">
        <f aca="false">IF(A114&lt;mthend,EDATE(A114,1),"")</f>
        <v>40238</v>
      </c>
      <c r="B115" s="197" t="n">
        <f aca="false">IF(A115&lt;mthend,B114,"")</f>
        <v>28400</v>
      </c>
      <c r="C115" s="215"/>
      <c r="D115" s="197" t="n">
        <f aca="false">IF(A116&lt;&gt;"",B115+C115,"")</f>
        <v>28400</v>
      </c>
      <c r="E115" s="199" t="n">
        <f aca="false">IF(A116="","",IF(AND(AT115=1,$H$3=1),D115*AO115,IF($H$3=2,D115,"N/A")))</f>
        <v>880400</v>
      </c>
      <c r="F115" s="199" t="n">
        <f aca="false">IF(A116="","",E115*AS115)</f>
        <v>4023810.36223916</v>
      </c>
      <c r="G115" s="200" t="e">
        <f aca="false">IF($A116="","",VLOOKUP($A115,Table,MATCH(G$4,Curves,0)))</f>
        <v>#N/A</v>
      </c>
      <c r="H115" s="201" t="e">
        <f aca="false">IF(A116="","",G115)</f>
        <v>#N/A</v>
      </c>
      <c r="I115" s="202"/>
      <c r="J115" s="200" t="e">
        <f aca="false">IF($A116="","",VLOOKUP($A115,Table,MATCH(J$4,Curves,0)))</f>
        <v>#N/A</v>
      </c>
      <c r="K115" s="201" t="e">
        <f aca="false">IF(A116="","",J115)</f>
        <v>#N/A</v>
      </c>
      <c r="L115" s="185" t="n">
        <v>0</v>
      </c>
      <c r="M115" s="201" t="n">
        <f aca="false">IF(A116="","",L115)</f>
        <v>0</v>
      </c>
      <c r="N115" s="203"/>
      <c r="O115" s="200" t="e">
        <f aca="false">IF(A116="","",L115+J115+G115)</f>
        <v>#N/A</v>
      </c>
      <c r="P115" s="200" t="e">
        <f aca="false">IF(A116="","",M115+K115+H115)</f>
        <v>#N/A</v>
      </c>
      <c r="Q115" s="204"/>
      <c r="R115" s="200" t="e">
        <f aca="false">IF($A116="","",VLOOKUP($A115,Table,MATCH(R$4,Curves,0)))</f>
        <v>#N/A</v>
      </c>
      <c r="S115" s="201" t="e">
        <f aca="false">IF(A116="","",R115)</f>
        <v>#N/A</v>
      </c>
      <c r="T115" s="200" t="e">
        <f aca="false">IF($A116="","",VLOOKUP($A115,Table,MATCH(T$4,Curves,0)))</f>
        <v>#N/A</v>
      </c>
      <c r="U115" s="201" t="e">
        <f aca="false">IF(A116="","",T115)</f>
        <v>#N/A</v>
      </c>
      <c r="V115" s="183" t="e">
        <f aca="false">IF($A116="","",IF(AND(MONTH(A115)&gt;3,MONTH(A115)&lt;11),(T115+R115+G115)*(((1/(1-Summary!$T$14))/(1-Summary!$W$14))-1),(T115+R115+G115)*((1/(1-Summary!$U$14))/(1-Summary!$X$14)-1)))</f>
        <v>#N/A</v>
      </c>
      <c r="W115" s="202" t="e">
        <f aca="false">IF($A116="","",(T115+R115+G115+V115))</f>
        <v>#N/A</v>
      </c>
      <c r="X115" s="202" t="e">
        <f aca="false">IF($A116="","",(U115+S115+H115+V115))</f>
        <v>#N/A</v>
      </c>
      <c r="Y115" s="202"/>
      <c r="Z115" s="185" t="e">
        <f aca="false">IF($A116="","",VLOOKUP($A115,Table,MATCH(Z$4,Curves,0)))</f>
        <v>#N/A</v>
      </c>
      <c r="AA115" s="185" t="e">
        <f aca="false">IF($A116="","",VLOOKUP($A115,Table,MATCH(AA$4,Curves,0)))</f>
        <v>#N/A</v>
      </c>
      <c r="AB115" s="185" t="e">
        <f aca="false">SQRT((AA115^2*(A115-$D$3)+Z115^2*(DAY(EOMONTH(A115,0))/2))/AK115)</f>
        <v>#N/A</v>
      </c>
      <c r="AC115" s="185" t="e">
        <f aca="false">IF($A116="","",VLOOKUP($A115,Table,MATCH(AC$4,Curves,0)))</f>
        <v>#N/A</v>
      </c>
      <c r="AD115" s="185" t="e">
        <f aca="false">IF($A116="","",VLOOKUP($A115,Table,MATCH(AD$4,Curves,0)))</f>
        <v>#N/A</v>
      </c>
      <c r="AE115" s="185" t="e">
        <f aca="false">SQRT((AD115^2*(A115-$D$3)+AC115^2*(DAY(EOMONTH(A115,0))/2))/AK115)</f>
        <v>#N/A</v>
      </c>
      <c r="AF115" s="224" t="e">
        <f aca="false">((Summary!$N$14*(AA115*AD115)*(A115-$D$3))+(Summary!$M$14*Z115*AC115*(AJ115-EOMONTH(EDATE(A115,-1),0))))/(AK115*AB115*AE115)</f>
        <v>#N/A</v>
      </c>
      <c r="AG115" s="207" t="n">
        <f aca="false">IF($A116="","",Summary!$Q$14)</f>
        <v>0</v>
      </c>
      <c r="AH115" s="207" t="n">
        <f aca="false">IF($A116="","",IF(Summary!$R$12="Y",(VLOOKUP($A115,Summary!$AD$6:$AF$9,3)+'Escalating commodity'!J128),'Escalating commodity'!J128))</f>
        <v>0.00580780862898081</v>
      </c>
      <c r="AI115" s="207" t="n">
        <f aca="false">IF($A116="","",AH115)</f>
        <v>0.00580780862898081</v>
      </c>
      <c r="AJ115" s="208" t="n">
        <f aca="false">A115+DAY(EOMONTH(A115,0))/2-1</f>
        <v>40252.5</v>
      </c>
      <c r="AK115" s="209" t="n">
        <f aca="false">IF($A116="","",$A115-$E$1)</f>
        <v>-5688</v>
      </c>
      <c r="AL115" s="182" t="e">
        <f aca="false">IF($A116="","",SPRDOPT(P115,X115,AI115,0,AB115,AE115,AF115,AK115,$AJ$2,0))</f>
        <v>#NAME?</v>
      </c>
      <c r="AM115" s="211" t="e">
        <f aca="false">IF($A116="","",MAX(0,O115-W115-AI115))</f>
        <v>#N/A</v>
      </c>
      <c r="AN115" s="211" t="e">
        <f aca="false">IF($A116="","",AL115-AM115)</f>
        <v>#N/A</v>
      </c>
      <c r="AO115" s="137" t="n">
        <f aca="false">IF(A116="","",A116-A115)</f>
        <v>31</v>
      </c>
      <c r="AP115" s="212" t="n">
        <f aca="false">IF(A116="","",CHOOSE(F$3,A116+24,A115))</f>
        <v>40238</v>
      </c>
      <c r="AQ115" s="209" t="n">
        <f aca="false">IF(A116="","",AP115-$E$1)</f>
        <v>-5688</v>
      </c>
      <c r="AR115" s="185" t="n">
        <f aca="false">'ANR OK vs ML7'!AR115</f>
        <v>0.1</v>
      </c>
      <c r="AS115" s="213" t="n">
        <f aca="false">IF(A116="","",1/(1+CHOOSE(F$3,(AR116+($I$3/10000))/2,(AR115+($I$3/10000))/2))^(2*AQ115/365.25))</f>
        <v>4.57043430513308</v>
      </c>
      <c r="AT115" s="137" t="n">
        <f aca="false">IF(A116="","",IF(AND(mthbeg&lt;=A115,mthend&gt;=A115),1,0))</f>
        <v>1</v>
      </c>
      <c r="AU115" s="137" t="n">
        <f aca="false">IF(A116="","",AO115*AT115)</f>
        <v>31</v>
      </c>
      <c r="AW115" s="195" t="e">
        <f aca="false">IF($A116="","",AL115*$E115)</f>
        <v>#NAME?</v>
      </c>
      <c r="AX115" s="195" t="e">
        <f aca="false">IF($A116="","",AM115*$E115)</f>
        <v>#N/A</v>
      </c>
      <c r="AY115" s="195" t="e">
        <f aca="false">IF($A116="","",AN115*$E115)</f>
        <v>#N/A</v>
      </c>
      <c r="BA115" s="195" t="n">
        <f aca="false">IF($A116="","",F115*Summary!$Q$14)</f>
        <v>0</v>
      </c>
      <c r="BC115" s="179" t="e">
        <f aca="false">IF(A116="","",AM115*F115)</f>
        <v>#N/A</v>
      </c>
    </row>
    <row r="116" customFormat="false" ht="12.75" hidden="false" customHeight="false" outlineLevel="0" collapsed="false">
      <c r="A116" s="196" t="n">
        <f aca="false">IF(A115&lt;mthend,EDATE(A115,1),"")</f>
        <v>40269</v>
      </c>
      <c r="B116" s="197" t="n">
        <f aca="false">IF(A116&lt;mthend,B115,"")</f>
        <v>28400</v>
      </c>
      <c r="C116" s="215"/>
      <c r="D116" s="197" t="n">
        <f aca="false">IF(A117&lt;&gt;"",B116+C116,"")</f>
        <v>28400</v>
      </c>
      <c r="E116" s="199" t="n">
        <f aca="false">IF(A117="","",IF(AND(AT116=1,$H$3=1),D116*AO116,IF($H$3=2,D116,"N/A")))</f>
        <v>852000</v>
      </c>
      <c r="F116" s="199" t="n">
        <f aca="false">IF(A117="","",E116*AS116)</f>
        <v>3861893.12617545</v>
      </c>
      <c r="G116" s="200" t="e">
        <f aca="false">IF($A117="","",VLOOKUP($A116,Table,MATCH(G$4,Curves,0)))</f>
        <v>#N/A</v>
      </c>
      <c r="H116" s="201" t="e">
        <f aca="false">IF(A117="","",G116)</f>
        <v>#N/A</v>
      </c>
      <c r="I116" s="202"/>
      <c r="J116" s="200" t="e">
        <f aca="false">IF($A117="","",VLOOKUP($A116,Table,MATCH(J$4,Curves,0)))</f>
        <v>#N/A</v>
      </c>
      <c r="K116" s="201" t="e">
        <f aca="false">IF(A117="","",J116)</f>
        <v>#N/A</v>
      </c>
      <c r="L116" s="185" t="n">
        <v>0</v>
      </c>
      <c r="M116" s="201" t="n">
        <f aca="false">IF(A117="","",L116)</f>
        <v>0</v>
      </c>
      <c r="N116" s="203"/>
      <c r="O116" s="200" t="e">
        <f aca="false">IF(A117="","",L116+J116+G116)</f>
        <v>#N/A</v>
      </c>
      <c r="P116" s="200" t="e">
        <f aca="false">IF(A117="","",M116+K116+H116)</f>
        <v>#N/A</v>
      </c>
      <c r="Q116" s="204"/>
      <c r="R116" s="200" t="e">
        <f aca="false">IF($A117="","",VLOOKUP($A116,Table,MATCH(R$4,Curves,0)))</f>
        <v>#N/A</v>
      </c>
      <c r="S116" s="201" t="e">
        <f aca="false">IF(A117="","",R116)</f>
        <v>#N/A</v>
      </c>
      <c r="T116" s="200" t="e">
        <f aca="false">IF($A117="","",VLOOKUP($A116,Table,MATCH(T$4,Curves,0)))</f>
        <v>#N/A</v>
      </c>
      <c r="U116" s="201" t="e">
        <f aca="false">IF(A117="","",T116)</f>
        <v>#N/A</v>
      </c>
      <c r="V116" s="183" t="e">
        <f aca="false">IF($A117="","",IF(AND(MONTH(A116)&gt;3,MONTH(A116)&lt;11),(T116+R116+G116)*(((1/(1-Summary!$T$14))/(1-Summary!$W$14))-1),(T116+R116+G116)*((1/(1-Summary!$U$14))/(1-Summary!$X$14)-1)))</f>
        <v>#N/A</v>
      </c>
      <c r="W116" s="202" t="e">
        <f aca="false">IF($A117="","",(T116+R116+G116+V116))</f>
        <v>#N/A</v>
      </c>
      <c r="X116" s="202" t="e">
        <f aca="false">IF($A117="","",(U116+S116+H116+V116))</f>
        <v>#N/A</v>
      </c>
      <c r="Y116" s="202"/>
      <c r="Z116" s="185" t="e">
        <f aca="false">IF($A117="","",VLOOKUP($A116,Table,MATCH(Z$4,Curves,0)))</f>
        <v>#N/A</v>
      </c>
      <c r="AA116" s="185" t="e">
        <f aca="false">IF($A117="","",VLOOKUP($A116,Table,MATCH(AA$4,Curves,0)))</f>
        <v>#N/A</v>
      </c>
      <c r="AB116" s="185" t="e">
        <f aca="false">SQRT((AA116^2*(A116-$D$3)+Z116^2*(DAY(EOMONTH(A116,0))/2))/AK116)</f>
        <v>#N/A</v>
      </c>
      <c r="AC116" s="185" t="e">
        <f aca="false">IF($A117="","",VLOOKUP($A116,Table,MATCH(AC$4,Curves,0)))</f>
        <v>#N/A</v>
      </c>
      <c r="AD116" s="185" t="e">
        <f aca="false">IF($A117="","",VLOOKUP($A116,Table,MATCH(AD$4,Curves,0)))</f>
        <v>#N/A</v>
      </c>
      <c r="AE116" s="185" t="e">
        <f aca="false">SQRT((AD116^2*(A116-$D$3)+AC116^2*(DAY(EOMONTH(A116,0))/2))/AK116)</f>
        <v>#N/A</v>
      </c>
      <c r="AF116" s="224" t="e">
        <f aca="false">((Summary!$N$14*(AA116*AD116)*(A116-$D$3))+(Summary!$M$14*Z116*AC116*(AJ116-EOMONTH(EDATE(A116,-1),0))))/(AK116*AB116*AE116)</f>
        <v>#N/A</v>
      </c>
      <c r="AG116" s="207" t="n">
        <f aca="false">IF($A117="","",Summary!$Q$14)</f>
        <v>0</v>
      </c>
      <c r="AH116" s="207" t="n">
        <f aca="false">IF($A117="","",IF(Summary!$R$12="Y",(VLOOKUP($A116,Summary!$AD$6:$AF$9,3)+'Escalating commodity'!J129),'Escalating commodity'!J129))</f>
        <v>0.00580780862898081</v>
      </c>
      <c r="AI116" s="207" t="n">
        <f aca="false">IF($A117="","",AH116)</f>
        <v>0.00580780862898081</v>
      </c>
      <c r="AJ116" s="208" t="n">
        <f aca="false">A116+DAY(EOMONTH(A116,0))/2-1</f>
        <v>40283</v>
      </c>
      <c r="AK116" s="209" t="n">
        <f aca="false">IF($A117="","",$A116-$E$1)</f>
        <v>-5657</v>
      </c>
      <c r="AL116" s="182" t="e">
        <f aca="false">IF($A117="","",SPRDOPT(P116,X116,AI116,0,AB116,AE116,AF116,AK116,$AJ$2,0))</f>
        <v>#NAME?</v>
      </c>
      <c r="AM116" s="211" t="e">
        <f aca="false">IF($A117="","",MAX(0,O116-W116-AI116))</f>
        <v>#N/A</v>
      </c>
      <c r="AN116" s="211" t="e">
        <f aca="false">IF($A117="","",AL116-AM116)</f>
        <v>#N/A</v>
      </c>
      <c r="AO116" s="137" t="n">
        <f aca="false">IF(A117="","",A117-A116)</f>
        <v>30</v>
      </c>
      <c r="AP116" s="212" t="n">
        <f aca="false">IF(A117="","",CHOOSE(F$3,A117+24,A116))</f>
        <v>40269</v>
      </c>
      <c r="AQ116" s="209" t="n">
        <f aca="false">IF(A117="","",AP116-$E$1)</f>
        <v>-5657</v>
      </c>
      <c r="AR116" s="185" t="n">
        <f aca="false">'ANR OK vs ML7'!AR116</f>
        <v>0.1</v>
      </c>
      <c r="AS116" s="213" t="n">
        <f aca="false">IF(A117="","",1/(1+CHOOSE(F$3,(AR117+($I$3/10000))/2,(AR116+($I$3/10000))/2))^(2*AQ116/365.25))</f>
        <v>4.53273841100405</v>
      </c>
      <c r="AT116" s="137" t="n">
        <f aca="false">IF(A117="","",IF(AND(mthbeg&lt;=A116,mthend&gt;=A116),1,0))</f>
        <v>1</v>
      </c>
      <c r="AU116" s="137" t="n">
        <f aca="false">IF(A117="","",AO116*AT116)</f>
        <v>30</v>
      </c>
      <c r="AW116" s="195" t="e">
        <f aca="false">IF($A117="","",AL116*$E116)</f>
        <v>#NAME?</v>
      </c>
      <c r="AX116" s="195" t="e">
        <f aca="false">IF($A117="","",AM116*$E116)</f>
        <v>#N/A</v>
      </c>
      <c r="AY116" s="195" t="e">
        <f aca="false">IF($A117="","",AN116*$E116)</f>
        <v>#N/A</v>
      </c>
      <c r="BA116" s="195" t="n">
        <f aca="false">IF($A117="","",F116*Summary!$Q$14)</f>
        <v>0</v>
      </c>
      <c r="BC116" s="179" t="e">
        <f aca="false">IF(A117="","",AM116*F116)</f>
        <v>#N/A</v>
      </c>
    </row>
    <row r="117" customFormat="false" ht="12.75" hidden="false" customHeight="false" outlineLevel="0" collapsed="false">
      <c r="A117" s="196" t="n">
        <f aca="false">IF(A116&lt;mthend,EDATE(A116,1),"")</f>
        <v>40299</v>
      </c>
      <c r="B117" s="197" t="n">
        <f aca="false">IF(A117&lt;mthend,B116,"")</f>
        <v>28400</v>
      </c>
      <c r="C117" s="215"/>
      <c r="D117" s="197" t="n">
        <f aca="false">IF(A118&lt;&gt;"",B117+C117,"")</f>
        <v>28400</v>
      </c>
      <c r="E117" s="199" t="n">
        <f aca="false">IF(A118="","",IF(AND(AT117=1,$H$3=1),D117*AO117,IF($H$3=2,D117,"N/A")))</f>
        <v>880400</v>
      </c>
      <c r="F117" s="199" t="n">
        <f aca="false">IF(A118="","",E117*AS117)</f>
        <v>3958766.638789</v>
      </c>
      <c r="G117" s="200" t="e">
        <f aca="false">IF($A118="","",VLOOKUP($A117,Table,MATCH(G$4,Curves,0)))</f>
        <v>#N/A</v>
      </c>
      <c r="H117" s="201" t="e">
        <f aca="false">IF(A118="","",G117)</f>
        <v>#N/A</v>
      </c>
      <c r="I117" s="202"/>
      <c r="J117" s="200" t="e">
        <f aca="false">IF($A118="","",VLOOKUP($A117,Table,MATCH(J$4,Curves,0)))</f>
        <v>#N/A</v>
      </c>
      <c r="K117" s="201" t="e">
        <f aca="false">IF(A118="","",J117)</f>
        <v>#N/A</v>
      </c>
      <c r="L117" s="185" t="n">
        <v>0</v>
      </c>
      <c r="M117" s="201" t="n">
        <f aca="false">IF(A118="","",L117)</f>
        <v>0</v>
      </c>
      <c r="N117" s="203"/>
      <c r="O117" s="200" t="e">
        <f aca="false">IF(A118="","",L117+J117+G117)</f>
        <v>#N/A</v>
      </c>
      <c r="P117" s="200" t="e">
        <f aca="false">IF(A118="","",M117+K117+H117)</f>
        <v>#N/A</v>
      </c>
      <c r="Q117" s="204"/>
      <c r="R117" s="200" t="e">
        <f aca="false">IF($A118="","",VLOOKUP($A117,Table,MATCH(R$4,Curves,0)))</f>
        <v>#N/A</v>
      </c>
      <c r="S117" s="201" t="e">
        <f aca="false">IF(A118="","",R117)</f>
        <v>#N/A</v>
      </c>
      <c r="T117" s="200" t="e">
        <f aca="false">IF($A118="","",VLOOKUP($A117,Table,MATCH(T$4,Curves,0)))</f>
        <v>#N/A</v>
      </c>
      <c r="U117" s="201" t="e">
        <f aca="false">IF(A118="","",T117)</f>
        <v>#N/A</v>
      </c>
      <c r="V117" s="183" t="e">
        <f aca="false">IF($A118="","",IF(AND(MONTH(A117)&gt;3,MONTH(A117)&lt;11),(T117+R117+G117)*(((1/(1-Summary!$T$14))/(1-Summary!$W$14))-1),(T117+R117+G117)*((1/(1-Summary!$U$14))/(1-Summary!$X$14)-1)))</f>
        <v>#N/A</v>
      </c>
      <c r="W117" s="202" t="e">
        <f aca="false">IF($A118="","",(T117+R117+G117+V117))</f>
        <v>#N/A</v>
      </c>
      <c r="X117" s="202" t="e">
        <f aca="false">IF($A118="","",(U117+S117+H117+V117))</f>
        <v>#N/A</v>
      </c>
      <c r="Y117" s="202"/>
      <c r="Z117" s="185" t="e">
        <f aca="false">IF($A118="","",VLOOKUP($A117,Table,MATCH(Z$4,Curves,0)))</f>
        <v>#N/A</v>
      </c>
      <c r="AA117" s="185" t="e">
        <f aca="false">IF($A118="","",VLOOKUP($A117,Table,MATCH(AA$4,Curves,0)))</f>
        <v>#N/A</v>
      </c>
      <c r="AB117" s="185" t="e">
        <f aca="false">SQRT((AA117^2*(A117-$D$3)+Z117^2*(DAY(EOMONTH(A117,0))/2))/AK117)</f>
        <v>#N/A</v>
      </c>
      <c r="AC117" s="185" t="e">
        <f aca="false">IF($A118="","",VLOOKUP($A117,Table,MATCH(AC$4,Curves,0)))</f>
        <v>#N/A</v>
      </c>
      <c r="AD117" s="185" t="e">
        <f aca="false">IF($A118="","",VLOOKUP($A117,Table,MATCH(AD$4,Curves,0)))</f>
        <v>#N/A</v>
      </c>
      <c r="AE117" s="185" t="e">
        <f aca="false">SQRT((AD117^2*(A117-$D$3)+AC117^2*(DAY(EOMONTH(A117,0))/2))/AK117)</f>
        <v>#N/A</v>
      </c>
      <c r="AF117" s="224" t="e">
        <f aca="false">((Summary!$N$14*(AA117*AD117)*(A117-$D$3))+(Summary!$M$14*Z117*AC117*(AJ117-EOMONTH(EDATE(A117,-1),0))))/(AK117*AB117*AE117)</f>
        <v>#N/A</v>
      </c>
      <c r="AG117" s="207" t="n">
        <f aca="false">IF($A118="","",Summary!$Q$14)</f>
        <v>0</v>
      </c>
      <c r="AH117" s="207" t="n">
        <f aca="false">IF($A118="","",IF(Summary!$R$12="Y",(VLOOKUP($A117,Summary!$AD$6:$AF$9,3)+'Escalating commodity'!J130),'Escalating commodity'!J130))</f>
        <v>0.00580780862898081</v>
      </c>
      <c r="AI117" s="207" t="n">
        <f aca="false">IF($A118="","",AH117)</f>
        <v>0.00580780862898081</v>
      </c>
      <c r="AJ117" s="208" t="n">
        <f aca="false">A117+DAY(EOMONTH(A117,0))/2-1</f>
        <v>40313.5</v>
      </c>
      <c r="AK117" s="209" t="n">
        <f aca="false">IF($A118="","",$A117-$E$1)</f>
        <v>-5627</v>
      </c>
      <c r="AL117" s="182" t="e">
        <f aca="false">IF($A118="","",SPRDOPT(P117,X117,AI117,0,AB117,AE117,AF117,AK117,$AJ$2,0))</f>
        <v>#NAME?</v>
      </c>
      <c r="AM117" s="211" t="e">
        <f aca="false">IF($A118="","",MAX(0,O117-W117-AI117))</f>
        <v>#N/A</v>
      </c>
      <c r="AN117" s="211" t="e">
        <f aca="false">IF($A118="","",AL117-AM117)</f>
        <v>#N/A</v>
      </c>
      <c r="AO117" s="137" t="n">
        <f aca="false">IF(A118="","",A118-A117)</f>
        <v>31</v>
      </c>
      <c r="AP117" s="212" t="n">
        <f aca="false">IF(A118="","",CHOOSE(F$3,A118+24,A117))</f>
        <v>40299</v>
      </c>
      <c r="AQ117" s="209" t="n">
        <f aca="false">IF(A118="","",AP117-$E$1)</f>
        <v>-5627</v>
      </c>
      <c r="AR117" s="185" t="n">
        <f aca="false">'ANR OK vs ML7'!AR117</f>
        <v>0.1</v>
      </c>
      <c r="AS117" s="213" t="n">
        <f aca="false">IF(A118="","",1/(1+CHOOSE(F$3,(AR118+($I$3/10000))/2,(AR117+($I$3/10000))/2))^(2*AQ117/365.25))</f>
        <v>4.49655456473081</v>
      </c>
      <c r="AT117" s="137" t="n">
        <f aca="false">IF(A118="","",IF(AND(mthbeg&lt;=A117,mthend&gt;=A117),1,0))</f>
        <v>1</v>
      </c>
      <c r="AU117" s="137" t="n">
        <f aca="false">IF(A118="","",AO117*AT117)</f>
        <v>31</v>
      </c>
      <c r="AW117" s="195" t="e">
        <f aca="false">IF($A118="","",AL117*$E117)</f>
        <v>#NAME?</v>
      </c>
      <c r="AX117" s="195" t="e">
        <f aca="false">IF($A118="","",AM117*$E117)</f>
        <v>#N/A</v>
      </c>
      <c r="AY117" s="195" t="e">
        <f aca="false">IF($A118="","",AN117*$E117)</f>
        <v>#N/A</v>
      </c>
      <c r="BA117" s="195" t="n">
        <f aca="false">IF($A118="","",F117*Summary!$Q$14)</f>
        <v>0</v>
      </c>
      <c r="BC117" s="179" t="e">
        <f aca="false">IF(A118="","",AM117*F117)</f>
        <v>#N/A</v>
      </c>
    </row>
    <row r="118" customFormat="false" ht="12.75" hidden="false" customHeight="false" outlineLevel="0" collapsed="false">
      <c r="A118" s="196" t="n">
        <f aca="false">IF(A117&lt;mthend,EDATE(A117,1),"")</f>
        <v>40330</v>
      </c>
      <c r="B118" s="197" t="n">
        <f aca="false">IF(A118&lt;mthend,B117,"")</f>
        <v>28400</v>
      </c>
      <c r="C118" s="215"/>
      <c r="D118" s="197" t="n">
        <f aca="false">IF(A119&lt;&gt;"",B118+C118,"")</f>
        <v>28400</v>
      </c>
      <c r="E118" s="199" t="n">
        <f aca="false">IF(A119="","",IF(AND(AT118=1,$H$3=1),D118*AO118,IF($H$3=2,D118,"N/A")))</f>
        <v>852000</v>
      </c>
      <c r="F118" s="199" t="n">
        <f aca="false">IF(A119="","",E118*AS118)</f>
        <v>3799466.74772325</v>
      </c>
      <c r="G118" s="200" t="e">
        <f aca="false">IF($A119="","",VLOOKUP($A118,Table,MATCH(G$4,Curves,0)))</f>
        <v>#N/A</v>
      </c>
      <c r="H118" s="201" t="e">
        <f aca="false">IF(A119="","",G118)</f>
        <v>#N/A</v>
      </c>
      <c r="I118" s="202"/>
      <c r="J118" s="200" t="e">
        <f aca="false">IF($A119="","",VLOOKUP($A118,Table,MATCH(J$4,Curves,0)))</f>
        <v>#N/A</v>
      </c>
      <c r="K118" s="201" t="e">
        <f aca="false">IF(A119="","",J118)</f>
        <v>#N/A</v>
      </c>
      <c r="L118" s="185" t="n">
        <v>0</v>
      </c>
      <c r="M118" s="201" t="n">
        <f aca="false">IF(A119="","",L118)</f>
        <v>0</v>
      </c>
      <c r="N118" s="203"/>
      <c r="O118" s="200" t="e">
        <f aca="false">IF(A119="","",L118+J118+G118)</f>
        <v>#N/A</v>
      </c>
      <c r="P118" s="200" t="e">
        <f aca="false">IF(A119="","",M118+K118+H118)</f>
        <v>#N/A</v>
      </c>
      <c r="Q118" s="204"/>
      <c r="R118" s="200" t="e">
        <f aca="false">IF($A119="","",VLOOKUP($A118,Table,MATCH(R$4,Curves,0)))</f>
        <v>#N/A</v>
      </c>
      <c r="S118" s="201" t="e">
        <f aca="false">IF(A119="","",R118)</f>
        <v>#N/A</v>
      </c>
      <c r="T118" s="200" t="e">
        <f aca="false">IF($A119="","",VLOOKUP($A118,Table,MATCH(T$4,Curves,0)))</f>
        <v>#N/A</v>
      </c>
      <c r="U118" s="201" t="e">
        <f aca="false">IF(A119="","",T118)</f>
        <v>#N/A</v>
      </c>
      <c r="V118" s="183" t="e">
        <f aca="false">IF($A119="","",IF(AND(MONTH(A118)&gt;3,MONTH(A118)&lt;11),(T118+R118+G118)*(((1/(1-Summary!$T$14))/(1-Summary!$W$14))-1),(T118+R118+G118)*((1/(1-Summary!$U$14))/(1-Summary!$X$14)-1)))</f>
        <v>#N/A</v>
      </c>
      <c r="W118" s="202" t="e">
        <f aca="false">IF($A119="","",(T118+R118+G118+V118))</f>
        <v>#N/A</v>
      </c>
      <c r="X118" s="202" t="e">
        <f aca="false">IF($A119="","",(U118+S118+H118+V118))</f>
        <v>#N/A</v>
      </c>
      <c r="Y118" s="202"/>
      <c r="Z118" s="185" t="e">
        <f aca="false">IF($A119="","",VLOOKUP($A118,Table,MATCH(Z$4,Curves,0)))</f>
        <v>#N/A</v>
      </c>
      <c r="AA118" s="185" t="e">
        <f aca="false">IF($A119="","",VLOOKUP($A118,Table,MATCH(AA$4,Curves,0)))</f>
        <v>#N/A</v>
      </c>
      <c r="AB118" s="185" t="e">
        <f aca="false">SQRT((AA118^2*(A118-$D$3)+Z118^2*(DAY(EOMONTH(A118,0))/2))/AK118)</f>
        <v>#N/A</v>
      </c>
      <c r="AC118" s="185" t="e">
        <f aca="false">IF($A119="","",VLOOKUP($A118,Table,MATCH(AC$4,Curves,0)))</f>
        <v>#N/A</v>
      </c>
      <c r="AD118" s="185" t="e">
        <f aca="false">IF($A119="","",VLOOKUP($A118,Table,MATCH(AD$4,Curves,0)))</f>
        <v>#N/A</v>
      </c>
      <c r="AE118" s="185" t="e">
        <f aca="false">SQRT((AD118^2*(A118-$D$3)+AC118^2*(DAY(EOMONTH(A118,0))/2))/AK118)</f>
        <v>#N/A</v>
      </c>
      <c r="AF118" s="224" t="e">
        <f aca="false">((Summary!$N$14*(AA118*AD118)*(A118-$D$3))+(Summary!$M$14*Z118*AC118*(AJ118-EOMONTH(EDATE(A118,-1),0))))/(AK118*AB118*AE118)</f>
        <v>#N/A</v>
      </c>
      <c r="AG118" s="207" t="n">
        <f aca="false">IF($A119="","",Summary!$Q$14)</f>
        <v>0</v>
      </c>
      <c r="AH118" s="207" t="n">
        <f aca="false">IF($A119="","",IF(Summary!$R$12="Y",(VLOOKUP($A118,Summary!$AD$6:$AF$9,3)+'Escalating commodity'!J131),'Escalating commodity'!J131))</f>
        <v>0.00580780862898081</v>
      </c>
      <c r="AI118" s="207" t="n">
        <f aca="false">IF($A119="","",AH118)</f>
        <v>0.00580780862898081</v>
      </c>
      <c r="AJ118" s="208" t="n">
        <f aca="false">A118+DAY(EOMONTH(A118,0))/2-1</f>
        <v>40344</v>
      </c>
      <c r="AK118" s="209" t="n">
        <f aca="false">IF($A119="","",$A118-$E$1)</f>
        <v>-5596</v>
      </c>
      <c r="AL118" s="182" t="e">
        <f aca="false">IF($A119="","",SPRDOPT(P118,X118,AI118,0,AB118,AE118,AF118,AK118,$AJ$2,0))</f>
        <v>#NAME?</v>
      </c>
      <c r="AM118" s="211" t="e">
        <f aca="false">IF($A119="","",MAX(0,O118-W118-AI118))</f>
        <v>#N/A</v>
      </c>
      <c r="AN118" s="211" t="e">
        <f aca="false">IF($A119="","",AL118-AM118)</f>
        <v>#N/A</v>
      </c>
      <c r="AO118" s="137" t="n">
        <f aca="false">IF(A119="","",A119-A118)</f>
        <v>30</v>
      </c>
      <c r="AP118" s="212" t="n">
        <f aca="false">IF(A119="","",CHOOSE(F$3,A119+24,A118))</f>
        <v>40330</v>
      </c>
      <c r="AQ118" s="209" t="n">
        <f aca="false">IF(A119="","",AP118-$E$1)</f>
        <v>-5596</v>
      </c>
      <c r="AR118" s="185" t="n">
        <f aca="false">'ANR OK vs ML7'!AR118</f>
        <v>0.1</v>
      </c>
      <c r="AS118" s="213" t="n">
        <f aca="false">IF(A119="","",1/(1+CHOOSE(F$3,(AR119+($I$3/10000))/2,(AR118+($I$3/10000))/2))^(2*AQ118/365.25))</f>
        <v>4.45946801375968</v>
      </c>
      <c r="AT118" s="137" t="n">
        <f aca="false">IF(A119="","",IF(AND(mthbeg&lt;=A118,mthend&gt;=A118),1,0))</f>
        <v>1</v>
      </c>
      <c r="AU118" s="137" t="n">
        <f aca="false">IF(A119="","",AO118*AT118)</f>
        <v>30</v>
      </c>
      <c r="AW118" s="195" t="e">
        <f aca="false">IF($A119="","",AL118*$E118)</f>
        <v>#NAME?</v>
      </c>
      <c r="AX118" s="195" t="e">
        <f aca="false">IF($A119="","",AM118*$E118)</f>
        <v>#N/A</v>
      </c>
      <c r="AY118" s="195" t="e">
        <f aca="false">IF($A119="","",AN118*$E118)</f>
        <v>#N/A</v>
      </c>
      <c r="BA118" s="195" t="n">
        <f aca="false">IF($A119="","",F118*Summary!$Q$14)</f>
        <v>0</v>
      </c>
      <c r="BC118" s="179" t="e">
        <f aca="false">IF(A119="","",AM118*F118)</f>
        <v>#N/A</v>
      </c>
    </row>
    <row r="119" customFormat="false" ht="12.75" hidden="false" customHeight="false" outlineLevel="0" collapsed="false">
      <c r="A119" s="196" t="n">
        <f aca="false">IF(A118&lt;mthend,EDATE(A118,1),"")</f>
        <v>40360</v>
      </c>
      <c r="B119" s="197" t="n">
        <f aca="false">IF(A119&lt;mthend,B118,"")</f>
        <v>28400</v>
      </c>
      <c r="C119" s="215"/>
      <c r="D119" s="197" t="n">
        <f aca="false">IF(A120&lt;&gt;"",B119+C119,"")</f>
        <v>28400</v>
      </c>
      <c r="E119" s="199" t="n">
        <f aca="false">IF(A120="","",IF(AND(AT119=1,$H$3=1),D119*AO119,IF($H$3=2,D119,"N/A")))</f>
        <v>880400</v>
      </c>
      <c r="F119" s="199" t="n">
        <f aca="false">IF(A120="","",E119*AS119)</f>
        <v>3894774.32819864</v>
      </c>
      <c r="G119" s="200" t="e">
        <f aca="false">IF($A120="","",VLOOKUP($A119,Table,MATCH(G$4,Curves,0)))</f>
        <v>#N/A</v>
      </c>
      <c r="H119" s="201" t="e">
        <f aca="false">IF(A120="","",G119)</f>
        <v>#N/A</v>
      </c>
      <c r="I119" s="202"/>
      <c r="J119" s="200" t="e">
        <f aca="false">IF($A120="","",VLOOKUP($A119,Table,MATCH(J$4,Curves,0)))</f>
        <v>#N/A</v>
      </c>
      <c r="K119" s="201" t="e">
        <f aca="false">IF(A120="","",J119)</f>
        <v>#N/A</v>
      </c>
      <c r="L119" s="185" t="n">
        <v>0</v>
      </c>
      <c r="M119" s="201" t="n">
        <f aca="false">IF(A120="","",L119)</f>
        <v>0</v>
      </c>
      <c r="N119" s="203"/>
      <c r="O119" s="200" t="e">
        <f aca="false">IF(A120="","",L119+J119+G119)</f>
        <v>#N/A</v>
      </c>
      <c r="P119" s="200" t="e">
        <f aca="false">IF(A120="","",M119+K119+H119)</f>
        <v>#N/A</v>
      </c>
      <c r="Q119" s="204"/>
      <c r="R119" s="200" t="e">
        <f aca="false">IF($A120="","",VLOOKUP($A119,Table,MATCH(R$4,Curves,0)))</f>
        <v>#N/A</v>
      </c>
      <c r="S119" s="201" t="e">
        <f aca="false">IF(A120="","",R119)</f>
        <v>#N/A</v>
      </c>
      <c r="T119" s="200" t="e">
        <f aca="false">IF($A120="","",VLOOKUP($A119,Table,MATCH(T$4,Curves,0)))</f>
        <v>#N/A</v>
      </c>
      <c r="U119" s="201" t="e">
        <f aca="false">IF(A120="","",T119)</f>
        <v>#N/A</v>
      </c>
      <c r="V119" s="183" t="e">
        <f aca="false">IF($A120="","",IF(AND(MONTH(A119)&gt;3,MONTH(A119)&lt;11),(T119+R119+G119)*(((1/(1-Summary!$T$14))/(1-Summary!$W$14))-1),(T119+R119+G119)*((1/(1-Summary!$U$14))/(1-Summary!$X$14)-1)))</f>
        <v>#N/A</v>
      </c>
      <c r="W119" s="202" t="e">
        <f aca="false">IF($A120="","",(T119+R119+G119+V119))</f>
        <v>#N/A</v>
      </c>
      <c r="X119" s="202" t="e">
        <f aca="false">IF($A120="","",(U119+S119+H119+V119))</f>
        <v>#N/A</v>
      </c>
      <c r="Y119" s="202"/>
      <c r="Z119" s="185" t="e">
        <f aca="false">IF($A120="","",VLOOKUP($A119,Table,MATCH(Z$4,Curves,0)))</f>
        <v>#N/A</v>
      </c>
      <c r="AA119" s="185" t="e">
        <f aca="false">IF($A120="","",VLOOKUP($A119,Table,MATCH(AA$4,Curves,0)))</f>
        <v>#N/A</v>
      </c>
      <c r="AB119" s="185" t="e">
        <f aca="false">SQRT((AA119^2*(A119-$D$3)+Z119^2*(DAY(EOMONTH(A119,0))/2))/AK119)</f>
        <v>#N/A</v>
      </c>
      <c r="AC119" s="185" t="e">
        <f aca="false">IF($A120="","",VLOOKUP($A119,Table,MATCH(AC$4,Curves,0)))</f>
        <v>#N/A</v>
      </c>
      <c r="AD119" s="185" t="e">
        <f aca="false">IF($A120="","",VLOOKUP($A119,Table,MATCH(AD$4,Curves,0)))</f>
        <v>#N/A</v>
      </c>
      <c r="AE119" s="185" t="e">
        <f aca="false">SQRT((AD119^2*(A119-$D$3)+AC119^2*(DAY(EOMONTH(A119,0))/2))/AK119)</f>
        <v>#N/A</v>
      </c>
      <c r="AF119" s="224" t="e">
        <f aca="false">((Summary!$N$14*(AA119*AD119)*(A119-$D$3))+(Summary!$M$14*Z119*AC119*(AJ119-EOMONTH(EDATE(A119,-1),0))))/(AK119*AB119*AE119)</f>
        <v>#N/A</v>
      </c>
      <c r="AG119" s="207" t="n">
        <f aca="false">IF($A120="","",Summary!$Q$14)</f>
        <v>0</v>
      </c>
      <c r="AH119" s="207" t="n">
        <f aca="false">IF($A120="","",IF(Summary!$R$12="Y",(VLOOKUP($A119,Summary!$AD$6:$AF$9,3)+'Escalating commodity'!J132),'Escalating commodity'!J132))</f>
        <v>0.00580780862898081</v>
      </c>
      <c r="AI119" s="207" t="n">
        <f aca="false">IF($A120="","",AH119)</f>
        <v>0.00580780862898081</v>
      </c>
      <c r="AJ119" s="208" t="n">
        <f aca="false">A119+DAY(EOMONTH(A119,0))/2-1</f>
        <v>40374.5</v>
      </c>
      <c r="AK119" s="209" t="n">
        <f aca="false">IF($A120="","",$A119-$E$1)</f>
        <v>-5566</v>
      </c>
      <c r="AL119" s="182" t="e">
        <f aca="false">IF($A120="","",SPRDOPT(P119,X119,AI119,0,AB119,AE119,AF119,AK119,$AJ$2,0))</f>
        <v>#NAME?</v>
      </c>
      <c r="AM119" s="211" t="e">
        <f aca="false">IF($A120="","",MAX(0,O119-W119-AI119))</f>
        <v>#N/A</v>
      </c>
      <c r="AN119" s="211" t="e">
        <f aca="false">IF($A120="","",AL119-AM119)</f>
        <v>#N/A</v>
      </c>
      <c r="AO119" s="137" t="n">
        <f aca="false">IF(A120="","",A120-A119)</f>
        <v>31</v>
      </c>
      <c r="AP119" s="212" t="n">
        <f aca="false">IF(A120="","",CHOOSE(F$3,A120+24,A119))</f>
        <v>40360</v>
      </c>
      <c r="AQ119" s="209" t="n">
        <f aca="false">IF(A120="","",AP119-$E$1)</f>
        <v>-5566</v>
      </c>
      <c r="AR119" s="185" t="n">
        <f aca="false">'ANR OK vs ML7'!AR119</f>
        <v>0.1</v>
      </c>
      <c r="AS119" s="213" t="n">
        <f aca="false">IF(A120="","",1/(1+CHOOSE(F$3,(AR120+($I$3/10000))/2,(AR119+($I$3/10000))/2))^(2*AQ119/365.25))</f>
        <v>4.42386906883081</v>
      </c>
      <c r="AT119" s="137" t="n">
        <f aca="false">IF(A120="","",IF(AND(mthbeg&lt;=A119,mthend&gt;=A119),1,0))</f>
        <v>1</v>
      </c>
      <c r="AU119" s="137" t="n">
        <f aca="false">IF(A120="","",AO119*AT119)</f>
        <v>31</v>
      </c>
      <c r="AW119" s="195" t="e">
        <f aca="false">IF($A120="","",AL119*$E119)</f>
        <v>#NAME?</v>
      </c>
      <c r="AX119" s="195" t="e">
        <f aca="false">IF($A120="","",AM119*$E119)</f>
        <v>#N/A</v>
      </c>
      <c r="AY119" s="195" t="e">
        <f aca="false">IF($A120="","",AN119*$E119)</f>
        <v>#N/A</v>
      </c>
      <c r="BA119" s="195" t="n">
        <f aca="false">IF($A120="","",F119*Summary!$Q$14)</f>
        <v>0</v>
      </c>
      <c r="BC119" s="179" t="e">
        <f aca="false">IF(A120="","",AM119*F119)</f>
        <v>#N/A</v>
      </c>
    </row>
    <row r="120" customFormat="false" ht="12.75" hidden="false" customHeight="false" outlineLevel="0" collapsed="false">
      <c r="A120" s="196" t="n">
        <f aca="false">IF(A119&lt;mthend,EDATE(A119,1),"")</f>
        <v>40391</v>
      </c>
      <c r="B120" s="197" t="n">
        <f aca="false">IF(A120&lt;mthend,B119,"")</f>
        <v>28400</v>
      </c>
      <c r="C120" s="215"/>
      <c r="D120" s="197" t="n">
        <f aca="false">IF(A121&lt;&gt;"",B120+C120,"")</f>
        <v>28400</v>
      </c>
      <c r="E120" s="199" t="n">
        <f aca="false">IF(A121="","",IF(AND(AT120=1,$H$3=1),D120*AO120,IF($H$3=2,D120,"N/A")))</f>
        <v>880400</v>
      </c>
      <c r="F120" s="199" t="n">
        <f aca="false">IF(A121="","",E120*AS120)</f>
        <v>3862651.12262771</v>
      </c>
      <c r="G120" s="200" t="e">
        <f aca="false">IF($A121="","",VLOOKUP($A120,Table,MATCH(G$4,Curves,0)))</f>
        <v>#N/A</v>
      </c>
      <c r="H120" s="201" t="e">
        <f aca="false">IF(A121="","",G120)</f>
        <v>#N/A</v>
      </c>
      <c r="I120" s="202"/>
      <c r="J120" s="200" t="e">
        <f aca="false">IF($A121="","",VLOOKUP($A120,Table,MATCH(J$4,Curves,0)))</f>
        <v>#N/A</v>
      </c>
      <c r="K120" s="201" t="e">
        <f aca="false">IF(A121="","",J120)</f>
        <v>#N/A</v>
      </c>
      <c r="L120" s="185" t="n">
        <v>0</v>
      </c>
      <c r="M120" s="201" t="n">
        <f aca="false">IF(A121="","",L120)</f>
        <v>0</v>
      </c>
      <c r="N120" s="203"/>
      <c r="O120" s="200" t="e">
        <f aca="false">IF(A121="","",L120+J120+G120)</f>
        <v>#N/A</v>
      </c>
      <c r="P120" s="200" t="e">
        <f aca="false">IF(A121="","",M120+K120+H120)</f>
        <v>#N/A</v>
      </c>
      <c r="Q120" s="204"/>
      <c r="R120" s="200" t="e">
        <f aca="false">IF($A121="","",VLOOKUP($A120,Table,MATCH(R$4,Curves,0)))</f>
        <v>#N/A</v>
      </c>
      <c r="S120" s="201" t="e">
        <f aca="false">IF(A121="","",R120)</f>
        <v>#N/A</v>
      </c>
      <c r="T120" s="200" t="e">
        <f aca="false">IF($A121="","",VLOOKUP($A120,Table,MATCH(T$4,Curves,0)))</f>
        <v>#N/A</v>
      </c>
      <c r="U120" s="201" t="e">
        <f aca="false">IF(A121="","",T120)</f>
        <v>#N/A</v>
      </c>
      <c r="V120" s="183" t="e">
        <f aca="false">IF($A121="","",IF(AND(MONTH(A120)&gt;3,MONTH(A120)&lt;11),(T120+R120+G120)*(((1/(1-Summary!$T$14))/(1-Summary!$W$14))-1),(T120+R120+G120)*((1/(1-Summary!$U$14))/(1-Summary!$X$14)-1)))</f>
        <v>#N/A</v>
      </c>
      <c r="W120" s="202" t="e">
        <f aca="false">IF($A121="","",(T120+R120+G120+V120))</f>
        <v>#N/A</v>
      </c>
      <c r="X120" s="202" t="e">
        <f aca="false">IF($A121="","",(U120+S120+H120+V120))</f>
        <v>#N/A</v>
      </c>
      <c r="Y120" s="202"/>
      <c r="Z120" s="185" t="e">
        <f aca="false">IF($A121="","",VLOOKUP($A120,Table,MATCH(Z$4,Curves,0)))</f>
        <v>#N/A</v>
      </c>
      <c r="AA120" s="185" t="e">
        <f aca="false">IF($A121="","",VLOOKUP($A120,Table,MATCH(AA$4,Curves,0)))</f>
        <v>#N/A</v>
      </c>
      <c r="AB120" s="185" t="e">
        <f aca="false">SQRT((AA120^2*(A120-$D$3)+Z120^2*(DAY(EOMONTH(A120,0))/2))/AK120)</f>
        <v>#N/A</v>
      </c>
      <c r="AC120" s="185" t="e">
        <f aca="false">IF($A121="","",VLOOKUP($A120,Table,MATCH(AC$4,Curves,0)))</f>
        <v>#N/A</v>
      </c>
      <c r="AD120" s="185" t="e">
        <f aca="false">IF($A121="","",VLOOKUP($A120,Table,MATCH(AD$4,Curves,0)))</f>
        <v>#N/A</v>
      </c>
      <c r="AE120" s="185" t="e">
        <f aca="false">SQRT((AD120^2*(A120-$D$3)+AC120^2*(DAY(EOMONTH(A120,0))/2))/AK120)</f>
        <v>#N/A</v>
      </c>
      <c r="AF120" s="224" t="e">
        <f aca="false">((Summary!$N$14*(AA120*AD120)*(A120-$D$3))+(Summary!$M$14*Z120*AC120*(AJ120-EOMONTH(EDATE(A120,-1),0))))/(AK120*AB120*AE120)</f>
        <v>#N/A</v>
      </c>
      <c r="AG120" s="207" t="n">
        <f aca="false">IF($A121="","",Summary!$Q$14)</f>
        <v>0</v>
      </c>
      <c r="AH120" s="207" t="n">
        <f aca="false">IF($A121="","",IF(Summary!$R$12="Y",(VLOOKUP($A120,Summary!$AD$6:$AF$9,3)+'Escalating commodity'!J133),'Escalating commodity'!J133))</f>
        <v>0.00580780862898081</v>
      </c>
      <c r="AI120" s="207" t="n">
        <f aca="false">IF($A121="","",AH120)</f>
        <v>0.00580780862898081</v>
      </c>
      <c r="AJ120" s="208" t="n">
        <f aca="false">A120+DAY(EOMONTH(A120,0))/2-1</f>
        <v>40405.5</v>
      </c>
      <c r="AK120" s="209" t="n">
        <f aca="false">IF($A121="","",$A120-$E$1)</f>
        <v>-5535</v>
      </c>
      <c r="AL120" s="182" t="e">
        <f aca="false">IF($A121="","",SPRDOPT(P120,X120,AI120,0,AB120,AE120,AF120,AK120,$AJ$2,0))</f>
        <v>#NAME?</v>
      </c>
      <c r="AM120" s="211" t="e">
        <f aca="false">IF($A121="","",MAX(0,O120-W120-AI120))</f>
        <v>#N/A</v>
      </c>
      <c r="AN120" s="211" t="e">
        <f aca="false">IF($A121="","",AL120-AM120)</f>
        <v>#N/A</v>
      </c>
      <c r="AO120" s="137" t="n">
        <f aca="false">IF(A121="","",A121-A120)</f>
        <v>31</v>
      </c>
      <c r="AP120" s="212" t="n">
        <f aca="false">IF(A121="","",CHOOSE(F$3,A121+24,A120))</f>
        <v>40391</v>
      </c>
      <c r="AQ120" s="209" t="n">
        <f aca="false">IF(A121="","",AP120-$E$1)</f>
        <v>-5535</v>
      </c>
      <c r="AR120" s="185" t="n">
        <f aca="false">'ANR OK vs ML7'!AR120</f>
        <v>0.1</v>
      </c>
      <c r="AS120" s="213" t="n">
        <f aca="false">IF(A121="","",1/(1+CHOOSE(F$3,(AR121+($I$3/10000))/2,(AR120+($I$3/10000))/2))^(2*AQ120/365.25))</f>
        <v>4.38738201116278</v>
      </c>
      <c r="AT120" s="137" t="n">
        <f aca="false">IF(A121="","",IF(AND(mthbeg&lt;=A120,mthend&gt;=A120),1,0))</f>
        <v>1</v>
      </c>
      <c r="AU120" s="137" t="n">
        <f aca="false">IF(A121="","",AO120*AT120)</f>
        <v>31</v>
      </c>
      <c r="AW120" s="195" t="e">
        <f aca="false">IF($A121="","",AL120*$E120)</f>
        <v>#NAME?</v>
      </c>
      <c r="AX120" s="195" t="e">
        <f aca="false">IF($A121="","",AM120*$E120)</f>
        <v>#N/A</v>
      </c>
      <c r="AY120" s="195" t="e">
        <f aca="false">IF($A121="","",AN120*$E120)</f>
        <v>#N/A</v>
      </c>
      <c r="BA120" s="195" t="n">
        <f aca="false">IF($A121="","",F120*Summary!$Q$14)</f>
        <v>0</v>
      </c>
      <c r="BC120" s="179" t="e">
        <f aca="false">IF(A121="","",AM120*F120)</f>
        <v>#N/A</v>
      </c>
    </row>
    <row r="121" customFormat="false" ht="12.75" hidden="false" customHeight="false" outlineLevel="0" collapsed="false">
      <c r="A121" s="196" t="n">
        <f aca="false">IF(A120&lt;mthend,EDATE(A120,1),"")</f>
        <v>40422</v>
      </c>
      <c r="B121" s="197" t="n">
        <f aca="false">IF(A121&lt;mthend,B120,"")</f>
        <v>28400</v>
      </c>
      <c r="C121" s="215"/>
      <c r="D121" s="197" t="n">
        <f aca="false">IF(A122&lt;&gt;"",B121+C121,"")</f>
        <v>28400</v>
      </c>
      <c r="E121" s="199" t="n">
        <f aca="false">IF(A122="","",IF(AND(AT121=1,$H$3=1),D121*AO121,IF($H$3=2,D121,"N/A")))</f>
        <v>852000</v>
      </c>
      <c r="F121" s="199" t="n">
        <f aca="false">IF(A122="","",E121*AS121)</f>
        <v>3707218.89860355</v>
      </c>
      <c r="G121" s="200" t="e">
        <f aca="false">IF($A122="","",VLOOKUP($A121,Table,MATCH(G$4,Curves,0)))</f>
        <v>#N/A</v>
      </c>
      <c r="H121" s="201" t="e">
        <f aca="false">IF(A122="","",G121)</f>
        <v>#N/A</v>
      </c>
      <c r="I121" s="202"/>
      <c r="J121" s="200" t="e">
        <f aca="false">IF($A122="","",VLOOKUP($A121,Table,MATCH(J$4,Curves,0)))</f>
        <v>#N/A</v>
      </c>
      <c r="K121" s="201" t="e">
        <f aca="false">IF(A122="","",J121)</f>
        <v>#N/A</v>
      </c>
      <c r="L121" s="185" t="n">
        <v>0</v>
      </c>
      <c r="M121" s="201" t="n">
        <f aca="false">IF(A122="","",L121)</f>
        <v>0</v>
      </c>
      <c r="N121" s="203"/>
      <c r="O121" s="200" t="e">
        <f aca="false">IF(A122="","",L121+J121+G121)</f>
        <v>#N/A</v>
      </c>
      <c r="P121" s="200" t="e">
        <f aca="false">IF(A122="","",M121+K121+H121)</f>
        <v>#N/A</v>
      </c>
      <c r="Q121" s="204"/>
      <c r="R121" s="200" t="e">
        <f aca="false">IF($A122="","",VLOOKUP($A121,Table,MATCH(R$4,Curves,0)))</f>
        <v>#N/A</v>
      </c>
      <c r="S121" s="201" t="e">
        <f aca="false">IF(A122="","",R121)</f>
        <v>#N/A</v>
      </c>
      <c r="T121" s="200" t="e">
        <f aca="false">IF($A122="","",VLOOKUP($A121,Table,MATCH(T$4,Curves,0)))</f>
        <v>#N/A</v>
      </c>
      <c r="U121" s="201" t="e">
        <f aca="false">IF(A122="","",T121)</f>
        <v>#N/A</v>
      </c>
      <c r="V121" s="183" t="e">
        <f aca="false">IF($A122="","",IF(AND(MONTH(A121)&gt;3,MONTH(A121)&lt;11),(T121+R121+G121)*(((1/(1-Summary!$T$14))/(1-Summary!$W$14))-1),(T121+R121+G121)*((1/(1-Summary!$U$14))/(1-Summary!$X$14)-1)))</f>
        <v>#N/A</v>
      </c>
      <c r="W121" s="202" t="e">
        <f aca="false">IF($A122="","",(T121+R121+G121+V121))</f>
        <v>#N/A</v>
      </c>
      <c r="X121" s="202" t="e">
        <f aca="false">IF($A122="","",(U121+S121+H121+V121))</f>
        <v>#N/A</v>
      </c>
      <c r="Y121" s="202"/>
      <c r="Z121" s="185" t="e">
        <f aca="false">IF($A122="","",VLOOKUP($A121,Table,MATCH(Z$4,Curves,0)))</f>
        <v>#N/A</v>
      </c>
      <c r="AA121" s="185" t="e">
        <f aca="false">IF($A122="","",VLOOKUP($A121,Table,MATCH(AA$4,Curves,0)))</f>
        <v>#N/A</v>
      </c>
      <c r="AB121" s="185" t="e">
        <f aca="false">SQRT((AA121^2*(A121-$D$3)+Z121^2*(DAY(EOMONTH(A121,0))/2))/AK121)</f>
        <v>#N/A</v>
      </c>
      <c r="AC121" s="185" t="e">
        <f aca="false">IF($A122="","",VLOOKUP($A121,Table,MATCH(AC$4,Curves,0)))</f>
        <v>#N/A</v>
      </c>
      <c r="AD121" s="185" t="e">
        <f aca="false">IF($A122="","",VLOOKUP($A121,Table,MATCH(AD$4,Curves,0)))</f>
        <v>#N/A</v>
      </c>
      <c r="AE121" s="185" t="e">
        <f aca="false">SQRT((AD121^2*(A121-$D$3)+AC121^2*(DAY(EOMONTH(A121,0))/2))/AK121)</f>
        <v>#N/A</v>
      </c>
      <c r="AF121" s="224" t="e">
        <f aca="false">((Summary!$N$14*(AA121*AD121)*(A121-$D$3))+(Summary!$M$14*Z121*AC121*(AJ121-EOMONTH(EDATE(A121,-1),0))))/(AK121*AB121*AE121)</f>
        <v>#N/A</v>
      </c>
      <c r="AG121" s="207" t="n">
        <f aca="false">IF($A122="","",Summary!$Q$14)</f>
        <v>0</v>
      </c>
      <c r="AH121" s="207" t="n">
        <f aca="false">IF($A122="","",IF(Summary!$R$12="Y",(VLOOKUP($A121,Summary!$AD$6:$AF$9,3)+'Escalating commodity'!J134),'Escalating commodity'!J134))</f>
        <v>0.00580780862898081</v>
      </c>
      <c r="AI121" s="207" t="n">
        <f aca="false">IF($A122="","",AH121)</f>
        <v>0.00580780862898081</v>
      </c>
      <c r="AJ121" s="208" t="n">
        <f aca="false">A121+DAY(EOMONTH(A121,0))/2-1</f>
        <v>40436</v>
      </c>
      <c r="AK121" s="209" t="n">
        <f aca="false">IF($A122="","",$A121-$E$1)</f>
        <v>-5504</v>
      </c>
      <c r="AL121" s="182" t="e">
        <f aca="false">IF($A122="","",SPRDOPT(P121,X121,AI121,0,AB121,AE121,AF121,AK121,$AJ$2,0))</f>
        <v>#NAME?</v>
      </c>
      <c r="AM121" s="211" t="e">
        <f aca="false">IF($A122="","",MAX(0,O121-W121-AI121))</f>
        <v>#N/A</v>
      </c>
      <c r="AN121" s="211" t="e">
        <f aca="false">IF($A122="","",AL121-AM121)</f>
        <v>#N/A</v>
      </c>
      <c r="AO121" s="137" t="n">
        <f aca="false">IF(A122="","",A122-A121)</f>
        <v>30</v>
      </c>
      <c r="AP121" s="212" t="n">
        <f aca="false">IF(A122="","",CHOOSE(F$3,A122+24,A121))</f>
        <v>40422</v>
      </c>
      <c r="AQ121" s="209" t="n">
        <f aca="false">IF(A122="","",AP121-$E$1)</f>
        <v>-5504</v>
      </c>
      <c r="AR121" s="185" t="n">
        <f aca="false">'ANR OK vs ML7'!AR121</f>
        <v>0.1</v>
      </c>
      <c r="AS121" s="213" t="n">
        <f aca="false">IF(A122="","",1/(1+CHOOSE(F$3,(AR122+($I$3/10000))/2,(AR121+($I$3/10000))/2))^(2*AQ121/365.25))</f>
        <v>4.35119589037976</v>
      </c>
      <c r="AT121" s="137" t="n">
        <f aca="false">IF(A122="","",IF(AND(mthbeg&lt;=A121,mthend&gt;=A121),1,0))</f>
        <v>1</v>
      </c>
      <c r="AU121" s="137" t="n">
        <f aca="false">IF(A122="","",AO121*AT121)</f>
        <v>30</v>
      </c>
      <c r="AW121" s="195" t="e">
        <f aca="false">IF($A122="","",AL121*$E121)</f>
        <v>#NAME?</v>
      </c>
      <c r="AX121" s="195" t="e">
        <f aca="false">IF($A122="","",AM121*$E121)</f>
        <v>#N/A</v>
      </c>
      <c r="AY121" s="195" t="e">
        <f aca="false">IF($A122="","",AN121*$E121)</f>
        <v>#N/A</v>
      </c>
      <c r="BA121" s="195" t="n">
        <f aca="false">IF($A122="","",F121*Summary!$Q$14)</f>
        <v>0</v>
      </c>
      <c r="BC121" s="179" t="e">
        <f aca="false">IF(A122="","",AM121*F121)</f>
        <v>#N/A</v>
      </c>
    </row>
    <row r="122" customFormat="false" ht="12.75" hidden="false" customHeight="false" outlineLevel="0" collapsed="false">
      <c r="A122" s="196" t="n">
        <f aca="false">IF(A121&lt;mthend,EDATE(A121,1),"")</f>
        <v>40452</v>
      </c>
      <c r="B122" s="197" t="n">
        <f aca="false">IF(A122&lt;mthend,B121,"")</f>
        <v>28400</v>
      </c>
      <c r="C122" s="215"/>
      <c r="D122" s="197" t="n">
        <f aca="false">IF(A123&lt;&gt;"",B122+C122,"")</f>
        <v>28400</v>
      </c>
      <c r="E122" s="199" t="n">
        <f aca="false">IF(A123="","",IF(AND(AT122=1,$H$3=1),D122*AO122,IF($H$3=2,D122,"N/A")))</f>
        <v>880400</v>
      </c>
      <c r="F122" s="199" t="n">
        <f aca="false">IF(A123="","",E122*AS122)</f>
        <v>3800212.49138346</v>
      </c>
      <c r="G122" s="200" t="e">
        <f aca="false">IF($A123="","",VLOOKUP($A122,Table,MATCH(G$4,Curves,0)))</f>
        <v>#N/A</v>
      </c>
      <c r="H122" s="201" t="e">
        <f aca="false">IF(A123="","",G122)</f>
        <v>#N/A</v>
      </c>
      <c r="I122" s="202"/>
      <c r="J122" s="200" t="e">
        <f aca="false">IF($A123="","",VLOOKUP($A122,Table,MATCH(J$4,Curves,0)))</f>
        <v>#N/A</v>
      </c>
      <c r="K122" s="201" t="e">
        <f aca="false">IF(A123="","",J122)</f>
        <v>#N/A</v>
      </c>
      <c r="L122" s="185" t="n">
        <v>0</v>
      </c>
      <c r="M122" s="201" t="n">
        <f aca="false">IF(A123="","",L122)</f>
        <v>0</v>
      </c>
      <c r="N122" s="203"/>
      <c r="O122" s="200" t="e">
        <f aca="false">IF(A123="","",L122+J122+G122)</f>
        <v>#N/A</v>
      </c>
      <c r="P122" s="200" t="e">
        <f aca="false">IF(A123="","",M122+K122+H122)</f>
        <v>#N/A</v>
      </c>
      <c r="Q122" s="204"/>
      <c r="R122" s="200" t="e">
        <f aca="false">IF($A123="","",VLOOKUP($A122,Table,MATCH(R$4,Curves,0)))</f>
        <v>#N/A</v>
      </c>
      <c r="S122" s="201" t="e">
        <f aca="false">IF(A123="","",R122)</f>
        <v>#N/A</v>
      </c>
      <c r="T122" s="200" t="e">
        <f aca="false">IF($A123="","",VLOOKUP($A122,Table,MATCH(T$4,Curves,0)))</f>
        <v>#N/A</v>
      </c>
      <c r="U122" s="201" t="e">
        <f aca="false">IF(A123="","",T122)</f>
        <v>#N/A</v>
      </c>
      <c r="V122" s="183" t="e">
        <f aca="false">IF($A123="","",IF(AND(MONTH(A122)&gt;3,MONTH(A122)&lt;11),(T122+R122+G122)*(((1/(1-Summary!$T$14))/(1-Summary!$W$14))-1),(T122+R122+G122)*((1/(1-Summary!$U$14))/(1-Summary!$X$14)-1)))</f>
        <v>#N/A</v>
      </c>
      <c r="W122" s="202" t="e">
        <f aca="false">IF($A123="","",(T122+R122+G122+V122))</f>
        <v>#N/A</v>
      </c>
      <c r="X122" s="202" t="e">
        <f aca="false">IF($A123="","",(U122+S122+H122+V122))</f>
        <v>#N/A</v>
      </c>
      <c r="Y122" s="202"/>
      <c r="Z122" s="185" t="e">
        <f aca="false">IF($A123="","",VLOOKUP($A122,Table,MATCH(Z$4,Curves,0)))</f>
        <v>#N/A</v>
      </c>
      <c r="AA122" s="185" t="e">
        <f aca="false">IF($A123="","",VLOOKUP($A122,Table,MATCH(AA$4,Curves,0)))</f>
        <v>#N/A</v>
      </c>
      <c r="AB122" s="185" t="e">
        <f aca="false">SQRT((AA122^2*(A122-$D$3)+Z122^2*(DAY(EOMONTH(A122,0))/2))/AK122)</f>
        <v>#N/A</v>
      </c>
      <c r="AC122" s="185" t="e">
        <f aca="false">IF($A123="","",VLOOKUP($A122,Table,MATCH(AC$4,Curves,0)))</f>
        <v>#N/A</v>
      </c>
      <c r="AD122" s="185" t="e">
        <f aca="false">IF($A123="","",VLOOKUP($A122,Table,MATCH(AD$4,Curves,0)))</f>
        <v>#N/A</v>
      </c>
      <c r="AE122" s="185" t="e">
        <f aca="false">SQRT((AD122^2*(A122-$D$3)+AC122^2*(DAY(EOMONTH(A122,0))/2))/AK122)</f>
        <v>#N/A</v>
      </c>
      <c r="AF122" s="224" t="e">
        <f aca="false">((Summary!$N$14*(AA122*AD122)*(A122-$D$3))+(Summary!$M$14*Z122*AC122*(AJ122-EOMONTH(EDATE(A122,-1),0))))/(AK122*AB122*AE122)</f>
        <v>#N/A</v>
      </c>
      <c r="AG122" s="207" t="n">
        <f aca="false">IF($A123="","",Summary!$Q$14)</f>
        <v>0</v>
      </c>
      <c r="AH122" s="207" t="n">
        <f aca="false">IF($A123="","",IF(Summary!$R$12="Y",(VLOOKUP($A122,Summary!$AD$6:$AF$9,3)+'Escalating commodity'!J135),'Escalating commodity'!J135))</f>
        <v>0.00580780862898081</v>
      </c>
      <c r="AI122" s="207" t="n">
        <f aca="false">IF($A123="","",AH122)</f>
        <v>0.00580780862898081</v>
      </c>
      <c r="AJ122" s="208" t="n">
        <f aca="false">A122+DAY(EOMONTH(A122,0))/2-1</f>
        <v>40466.5</v>
      </c>
      <c r="AK122" s="209" t="n">
        <f aca="false">IF($A123="","",$A122-$E$1)</f>
        <v>-5474</v>
      </c>
      <c r="AL122" s="182" t="e">
        <f aca="false">IF($A123="","",SPRDOPT(P122,X122,AI122,0,AB122,AE122,AF122,AK122,$AJ$2,0))</f>
        <v>#NAME?</v>
      </c>
      <c r="AM122" s="211" t="e">
        <f aca="false">IF($A123="","",MAX(0,O122-W122-AI122))</f>
        <v>#N/A</v>
      </c>
      <c r="AN122" s="211" t="e">
        <f aca="false">IF($A123="","",AL122-AM122)</f>
        <v>#N/A</v>
      </c>
      <c r="AO122" s="137" t="n">
        <f aca="false">IF(A123="","",A123-A122)</f>
        <v>31</v>
      </c>
      <c r="AP122" s="212" t="n">
        <f aca="false">IF(A123="","",CHOOSE(F$3,A123+24,A122))</f>
        <v>40452</v>
      </c>
      <c r="AQ122" s="209" t="n">
        <f aca="false">IF(A123="","",AP122-$E$1)</f>
        <v>-5474</v>
      </c>
      <c r="AR122" s="185" t="n">
        <f aca="false">'ANR OK vs ML7'!AR122</f>
        <v>0.1</v>
      </c>
      <c r="AS122" s="213" t="n">
        <f aca="false">IF(A123="","",1/(1+CHOOSE(F$3,(AR123+($I$3/10000))/2,(AR122+($I$3/10000))/2))^(2*AQ122/365.25))</f>
        <v>4.31646125781855</v>
      </c>
      <c r="AT122" s="137" t="n">
        <f aca="false">IF(A123="","",IF(AND(mthbeg&lt;=A122,mthend&gt;=A122),1,0))</f>
        <v>1</v>
      </c>
      <c r="AU122" s="137" t="n">
        <f aca="false">IF(A123="","",AO122*AT122)</f>
        <v>31</v>
      </c>
      <c r="AW122" s="195" t="e">
        <f aca="false">IF($A123="","",AL122*$E122)</f>
        <v>#NAME?</v>
      </c>
      <c r="AX122" s="195" t="e">
        <f aca="false">IF($A123="","",AM122*$E122)</f>
        <v>#N/A</v>
      </c>
      <c r="AY122" s="195" t="e">
        <f aca="false">IF($A123="","",AN122*$E122)</f>
        <v>#N/A</v>
      </c>
      <c r="BA122" s="195" t="n">
        <f aca="false">IF($A123="","",F122*Summary!$Q$14)</f>
        <v>0</v>
      </c>
      <c r="BC122" s="179" t="e">
        <f aca="false">IF(A123="","",AM122*F122)</f>
        <v>#N/A</v>
      </c>
    </row>
    <row r="123" customFormat="false" ht="12.75" hidden="false" customHeight="false" outlineLevel="0" collapsed="false">
      <c r="A123" s="196" t="n">
        <f aca="false">IF(A122&lt;mthend,EDATE(A122,1),"")</f>
        <v>40483</v>
      </c>
      <c r="B123" s="197" t="n">
        <f aca="false">IF(A123&lt;mthend,B122,"")</f>
        <v>28400</v>
      </c>
      <c r="C123" s="215"/>
      <c r="D123" s="197" t="n">
        <f aca="false">IF(A124&lt;&gt;"",B123+C123,"")</f>
        <v>28400</v>
      </c>
      <c r="E123" s="199" t="n">
        <f aca="false">IF(A124="","",IF(AND(AT123=1,$H$3=1),D123*AO123,IF($H$3=2,D123,"N/A")))</f>
        <v>852000</v>
      </c>
      <c r="F123" s="199" t="n">
        <f aca="false">IF(A124="","",E123*AS123)</f>
        <v>3647292.78402498</v>
      </c>
      <c r="G123" s="200" t="e">
        <f aca="false">IF($A124="","",VLOOKUP($A123,Table,MATCH(G$4,Curves,0)))</f>
        <v>#N/A</v>
      </c>
      <c r="H123" s="201" t="e">
        <f aca="false">IF(A124="","",G123)</f>
        <v>#N/A</v>
      </c>
      <c r="I123" s="202"/>
      <c r="J123" s="200" t="e">
        <f aca="false">IF($A124="","",VLOOKUP($A123,Table,MATCH(J$4,Curves,0)))</f>
        <v>#N/A</v>
      </c>
      <c r="K123" s="201" t="e">
        <f aca="false">IF(A124="","",J123)</f>
        <v>#N/A</v>
      </c>
      <c r="L123" s="185" t="n">
        <v>0</v>
      </c>
      <c r="M123" s="201" t="n">
        <f aca="false">IF(A124="","",L123)</f>
        <v>0</v>
      </c>
      <c r="N123" s="203"/>
      <c r="O123" s="200" t="e">
        <f aca="false">IF(A124="","",L123+J123+G123)</f>
        <v>#N/A</v>
      </c>
      <c r="P123" s="200" t="e">
        <f aca="false">IF(A124="","",M123+K123+H123)</f>
        <v>#N/A</v>
      </c>
      <c r="Q123" s="204"/>
      <c r="R123" s="200" t="e">
        <f aca="false">IF($A124="","",VLOOKUP($A123,Table,MATCH(R$4,Curves,0)))</f>
        <v>#N/A</v>
      </c>
      <c r="S123" s="201" t="e">
        <f aca="false">IF(A124="","",R123)</f>
        <v>#N/A</v>
      </c>
      <c r="T123" s="200" t="e">
        <f aca="false">IF($A124="","",VLOOKUP($A123,Table,MATCH(T$4,Curves,0)))</f>
        <v>#N/A</v>
      </c>
      <c r="U123" s="201" t="e">
        <f aca="false">IF(A124="","",T123)</f>
        <v>#N/A</v>
      </c>
      <c r="V123" s="183" t="e">
        <f aca="false">IF($A124="","",IF(AND(MONTH(A123)&gt;3,MONTH(A123)&lt;11),(T123+R123+G123)*(((1/(1-Summary!$T$14))/(1-Summary!$W$14))-1),(T123+R123+G123)*((1/(1-Summary!$U$14))/(1-Summary!$X$14)-1)))</f>
        <v>#N/A</v>
      </c>
      <c r="W123" s="202" t="e">
        <f aca="false">IF($A124="","",(T123+R123+G123+V123))</f>
        <v>#N/A</v>
      </c>
      <c r="X123" s="202" t="e">
        <f aca="false">IF($A124="","",(U123+S123+H123+V123))</f>
        <v>#N/A</v>
      </c>
      <c r="Y123" s="202"/>
      <c r="Z123" s="185" t="e">
        <f aca="false">IF($A124="","",VLOOKUP($A123,Table,MATCH(Z$4,Curves,0)))</f>
        <v>#N/A</v>
      </c>
      <c r="AA123" s="185" t="e">
        <f aca="false">IF($A124="","",VLOOKUP($A123,Table,MATCH(AA$4,Curves,0)))</f>
        <v>#N/A</v>
      </c>
      <c r="AB123" s="185" t="e">
        <f aca="false">SQRT((AA123^2*(A123-$D$3)+Z123^2*(DAY(EOMONTH(A123,0))/2))/AK123)</f>
        <v>#N/A</v>
      </c>
      <c r="AC123" s="185" t="e">
        <f aca="false">IF($A124="","",VLOOKUP($A123,Table,MATCH(AC$4,Curves,0)))</f>
        <v>#N/A</v>
      </c>
      <c r="AD123" s="185" t="e">
        <f aca="false">IF($A124="","",VLOOKUP($A123,Table,MATCH(AD$4,Curves,0)))</f>
        <v>#N/A</v>
      </c>
      <c r="AE123" s="185" t="e">
        <f aca="false">SQRT((AD123^2*(A123-$D$3)+AC123^2*(DAY(EOMONTH(A123,0))/2))/AK123)</f>
        <v>#N/A</v>
      </c>
      <c r="AF123" s="224" t="e">
        <f aca="false">((Summary!$N$14*(AA123*AD123)*(A123-$D$3))+(Summary!$M$14*Z123*AC123*(AJ123-EOMONTH(EDATE(A123,-1),0))))/(AK123*AB123*AE123)</f>
        <v>#N/A</v>
      </c>
      <c r="AG123" s="207" t="n">
        <f aca="false">IF($A124="","",Summary!$Q$14)</f>
        <v>0</v>
      </c>
      <c r="AH123" s="207" t="n">
        <f aca="false">IF($A124="","",IF(Summary!$R$12="Y",(VLOOKUP($A123,Summary!$AD$6:$AF$9,3)+'Escalating commodity'!J136),'Escalating commodity'!J136))</f>
        <v>0.00580780862898081</v>
      </c>
      <c r="AI123" s="207" t="n">
        <f aca="false">IF($A124="","",AH123)</f>
        <v>0.00580780862898081</v>
      </c>
      <c r="AJ123" s="208" t="n">
        <f aca="false">A123+DAY(EOMONTH(A123,0))/2-1</f>
        <v>40497</v>
      </c>
      <c r="AK123" s="209" t="n">
        <f aca="false">IF($A124="","",$A123-$E$1)</f>
        <v>-5443</v>
      </c>
      <c r="AL123" s="182" t="e">
        <f aca="false">IF($A124="","",SPRDOPT(P123,X123,AI123,0,AB123,AE123,AF123,AK123,$AJ$2,0))</f>
        <v>#NAME?</v>
      </c>
      <c r="AM123" s="211" t="e">
        <f aca="false">IF($A124="","",MAX(0,O123-W123-AI123))</f>
        <v>#N/A</v>
      </c>
      <c r="AN123" s="211" t="e">
        <f aca="false">IF($A124="","",AL123-AM123)</f>
        <v>#N/A</v>
      </c>
      <c r="AO123" s="137" t="n">
        <f aca="false">IF(A124="","",A124-A123)</f>
        <v>30</v>
      </c>
      <c r="AP123" s="212" t="n">
        <f aca="false">IF(A124="","",CHOOSE(F$3,A124+24,A123))</f>
        <v>40483</v>
      </c>
      <c r="AQ123" s="209" t="n">
        <f aca="false">IF(A124="","",AP123-$E$1)</f>
        <v>-5443</v>
      </c>
      <c r="AR123" s="185" t="n">
        <f aca="false">'ANR OK vs ML7'!AR123</f>
        <v>0.1</v>
      </c>
      <c r="AS123" s="213" t="n">
        <f aca="false">IF(A124="","",1/(1+CHOOSE(F$3,(AR124+($I$3/10000))/2,(AR123+($I$3/10000))/2))^(2*AQ123/365.25))</f>
        <v>4.28086007514669</v>
      </c>
      <c r="AT123" s="137" t="n">
        <f aca="false">IF(A124="","",IF(AND(mthbeg&lt;=A123,mthend&gt;=A123),1,0))</f>
        <v>1</v>
      </c>
      <c r="AU123" s="137" t="n">
        <f aca="false">IF(A124="","",AO123*AT123)</f>
        <v>30</v>
      </c>
      <c r="AW123" s="195" t="e">
        <f aca="false">IF($A124="","",AL123*$E123)</f>
        <v>#NAME?</v>
      </c>
      <c r="AX123" s="195" t="e">
        <f aca="false">IF($A124="","",AM123*$E123)</f>
        <v>#N/A</v>
      </c>
      <c r="AY123" s="195" t="e">
        <f aca="false">IF($A124="","",AN123*$E123)</f>
        <v>#N/A</v>
      </c>
      <c r="BA123" s="195" t="n">
        <f aca="false">IF($A124="","",F123*Summary!$Q$14)</f>
        <v>0</v>
      </c>
      <c r="BC123" s="179" t="e">
        <f aca="false">IF(A124="","",AM123*F123)</f>
        <v>#N/A</v>
      </c>
    </row>
    <row r="124" customFormat="false" ht="12.75" hidden="false" customHeight="false" outlineLevel="0" collapsed="false">
      <c r="A124" s="196" t="n">
        <f aca="false">IF(A123&lt;mthend,EDATE(A123,1),"")</f>
        <v>40513</v>
      </c>
      <c r="B124" s="197" t="n">
        <f aca="false">IF(A124&lt;mthend,B123,"")</f>
        <v>28400</v>
      </c>
      <c r="C124" s="215"/>
      <c r="D124" s="197" t="n">
        <f aca="false">IF(A125&lt;&gt;"",B124+C124,"")</f>
        <v>28400</v>
      </c>
      <c r="E124" s="199" t="n">
        <f aca="false">IF(A125="","",IF(AND(AT124=1,$H$3=1),D124*AO124,IF($H$3=2,D124,"N/A")))</f>
        <v>880400</v>
      </c>
      <c r="F124" s="199" t="n">
        <f aca="false">IF(A125="","",E124*AS124)</f>
        <v>3738783.16244166</v>
      </c>
      <c r="G124" s="200" t="e">
        <f aca="false">IF($A125="","",VLOOKUP($A124,Table,MATCH(G$4,Curves,0)))</f>
        <v>#N/A</v>
      </c>
      <c r="H124" s="201" t="e">
        <f aca="false">IF(A125="","",G124)</f>
        <v>#N/A</v>
      </c>
      <c r="I124" s="202"/>
      <c r="J124" s="200" t="e">
        <f aca="false">IF($A125="","",VLOOKUP($A124,Table,MATCH(J$4,Curves,0)))</f>
        <v>#N/A</v>
      </c>
      <c r="K124" s="201" t="e">
        <f aca="false">IF(A125="","",J124)</f>
        <v>#N/A</v>
      </c>
      <c r="L124" s="185" t="n">
        <v>0</v>
      </c>
      <c r="M124" s="201" t="n">
        <f aca="false">IF(A125="","",L124)</f>
        <v>0</v>
      </c>
      <c r="N124" s="203"/>
      <c r="O124" s="200" t="e">
        <f aca="false">IF(A125="","",L124+J124+G124)</f>
        <v>#N/A</v>
      </c>
      <c r="P124" s="200" t="e">
        <f aca="false">IF(A125="","",M124+K124+H124)</f>
        <v>#N/A</v>
      </c>
      <c r="Q124" s="204"/>
      <c r="R124" s="200" t="e">
        <f aca="false">IF($A125="","",VLOOKUP($A124,Table,MATCH(R$4,Curves,0)))</f>
        <v>#N/A</v>
      </c>
      <c r="S124" s="201" t="e">
        <f aca="false">IF(A125="","",R124)</f>
        <v>#N/A</v>
      </c>
      <c r="T124" s="200" t="e">
        <f aca="false">IF($A125="","",VLOOKUP($A124,Table,MATCH(T$4,Curves,0)))</f>
        <v>#N/A</v>
      </c>
      <c r="U124" s="201" t="e">
        <f aca="false">IF(A125="","",T124)</f>
        <v>#N/A</v>
      </c>
      <c r="V124" s="183" t="e">
        <f aca="false">IF($A125="","",IF(AND(MONTH(A124)&gt;3,MONTH(A124)&lt;11),(T124+R124+G124)*(((1/(1-Summary!$T$14))/(1-Summary!$W$14))-1),(T124+R124+G124)*((1/(1-Summary!$U$14))/(1-Summary!$X$14)-1)))</f>
        <v>#N/A</v>
      </c>
      <c r="W124" s="202" t="e">
        <f aca="false">IF($A125="","",(T124+R124+G124+V124))</f>
        <v>#N/A</v>
      </c>
      <c r="X124" s="202" t="e">
        <f aca="false">IF($A125="","",(U124+S124+H124+V124))</f>
        <v>#N/A</v>
      </c>
      <c r="Y124" s="202"/>
      <c r="Z124" s="185" t="e">
        <f aca="false">IF($A125="","",VLOOKUP($A124,Table,MATCH(Z$4,Curves,0)))</f>
        <v>#N/A</v>
      </c>
      <c r="AA124" s="185" t="e">
        <f aca="false">IF($A125="","",VLOOKUP($A124,Table,MATCH(AA$4,Curves,0)))</f>
        <v>#N/A</v>
      </c>
      <c r="AB124" s="185" t="e">
        <f aca="false">SQRT((AA124^2*(A124-$D$3)+Z124^2*(DAY(EOMONTH(A124,0))/2))/AK124)</f>
        <v>#N/A</v>
      </c>
      <c r="AC124" s="185" t="e">
        <f aca="false">IF($A125="","",VLOOKUP($A124,Table,MATCH(AC$4,Curves,0)))</f>
        <v>#N/A</v>
      </c>
      <c r="AD124" s="185" t="e">
        <f aca="false">IF($A125="","",VLOOKUP($A124,Table,MATCH(AD$4,Curves,0)))</f>
        <v>#N/A</v>
      </c>
      <c r="AE124" s="185" t="e">
        <f aca="false">SQRT((AD124^2*(A124-$D$3)+AC124^2*(DAY(EOMONTH(A124,0))/2))/AK124)</f>
        <v>#N/A</v>
      </c>
      <c r="AF124" s="224" t="e">
        <f aca="false">((Summary!$N$14*(AA124*AD124)*(A124-$D$3))+(Summary!$M$14*Z124*AC124*(AJ124-EOMONTH(EDATE(A124,-1),0))))/(AK124*AB124*AE124)</f>
        <v>#N/A</v>
      </c>
      <c r="AG124" s="207" t="n">
        <f aca="false">IF($A125="","",Summary!$Q$14)</f>
        <v>0</v>
      </c>
      <c r="AH124" s="207" t="n">
        <f aca="false">IF($A125="","",IF(Summary!$R$12="Y",(VLOOKUP($A124,Summary!$AD$6:$AF$9,3)+'Escalating commodity'!J137),'Escalating commodity'!J137))</f>
        <v>0.00580780862898081</v>
      </c>
      <c r="AI124" s="207" t="n">
        <f aca="false">IF($A125="","",AH124)</f>
        <v>0.00580780862898081</v>
      </c>
      <c r="AJ124" s="208" t="n">
        <f aca="false">A124+DAY(EOMONTH(A124,0))/2-1</f>
        <v>40527.5</v>
      </c>
      <c r="AK124" s="209" t="n">
        <f aca="false">IF($A125="","",$A124-$E$1)</f>
        <v>-5413</v>
      </c>
      <c r="AL124" s="182" t="e">
        <f aca="false">IF($A125="","",SPRDOPT(P124,X124,AI124,0,AB124,AE124,AF124,AK124,$AJ$2,0))</f>
        <v>#NAME?</v>
      </c>
      <c r="AM124" s="211" t="e">
        <f aca="false">IF($A125="","",MAX(0,O124-W124-AI124))</f>
        <v>#N/A</v>
      </c>
      <c r="AN124" s="211" t="e">
        <f aca="false">IF($A125="","",AL124-AM124)</f>
        <v>#N/A</v>
      </c>
      <c r="AO124" s="137" t="n">
        <f aca="false">IF(A125="","",A125-A124)</f>
        <v>31</v>
      </c>
      <c r="AP124" s="212" t="n">
        <f aca="false">IF(A125="","",CHOOSE(F$3,A125+24,A124))</f>
        <v>40513</v>
      </c>
      <c r="AQ124" s="209" t="n">
        <f aca="false">IF(A125="","",AP124-$E$1)</f>
        <v>-5413</v>
      </c>
      <c r="AR124" s="185" t="n">
        <f aca="false">'ANR OK vs ML7'!AR124</f>
        <v>0.1</v>
      </c>
      <c r="AS124" s="213" t="n">
        <f aca="false">IF(A125="","",1/(1+CHOOSE(F$3,(AR125+($I$3/10000))/2,(AR124+($I$3/10000))/2))^(2*AQ124/365.25))</f>
        <v>4.24668691781197</v>
      </c>
      <c r="AT124" s="137" t="n">
        <f aca="false">IF(A125="","",IF(AND(mthbeg&lt;=A124,mthend&gt;=A124),1,0))</f>
        <v>1</v>
      </c>
      <c r="AU124" s="137" t="n">
        <f aca="false">IF(A125="","",AO124*AT124)</f>
        <v>31</v>
      </c>
      <c r="AW124" s="195" t="e">
        <f aca="false">IF($A125="","",AL124*$E124)</f>
        <v>#NAME?</v>
      </c>
      <c r="AX124" s="195" t="e">
        <f aca="false">IF($A125="","",AM124*$E124)</f>
        <v>#N/A</v>
      </c>
      <c r="AY124" s="195" t="e">
        <f aca="false">IF($A125="","",AN124*$E124)</f>
        <v>#N/A</v>
      </c>
      <c r="BA124" s="195" t="n">
        <f aca="false">IF($A125="","",F124*Summary!$Q$14)</f>
        <v>0</v>
      </c>
      <c r="BC124" s="179" t="e">
        <f aca="false">IF(A125="","",AM124*F124)</f>
        <v>#N/A</v>
      </c>
    </row>
    <row r="125" customFormat="false" ht="12.75" hidden="false" customHeight="false" outlineLevel="0" collapsed="false">
      <c r="A125" s="196" t="n">
        <f aca="false">IF(A124&lt;mthend,EDATE(A124,1),"")</f>
        <v>40544</v>
      </c>
      <c r="B125" s="197" t="n">
        <f aca="false">IF(A125&lt;mthend,B124,"")</f>
        <v>28400</v>
      </c>
      <c r="C125" s="215"/>
      <c r="D125" s="197" t="n">
        <f aca="false">IF(A126&lt;&gt;"",B125+C125,"")</f>
        <v>28400</v>
      </c>
      <c r="E125" s="199" t="n">
        <f aca="false">IF(A126="","",IF(AND(AT125=1,$H$3=1),D125*AO125,IF($H$3=2,D125,"N/A")))</f>
        <v>880400</v>
      </c>
      <c r="F125" s="199" t="n">
        <f aca="false">IF(A126="","",E125*AS125)</f>
        <v>3707946.53623646</v>
      </c>
      <c r="G125" s="200" t="e">
        <f aca="false">IF($A126="","",VLOOKUP($A125,Table,MATCH(G$4,Curves,0)))</f>
        <v>#N/A</v>
      </c>
      <c r="H125" s="201" t="e">
        <f aca="false">IF(A126="","",G125)</f>
        <v>#N/A</v>
      </c>
      <c r="I125" s="202"/>
      <c r="J125" s="200" t="e">
        <f aca="false">IF($A126="","",VLOOKUP($A125,Table,MATCH(J$4,Curves,0)))</f>
        <v>#N/A</v>
      </c>
      <c r="K125" s="201" t="e">
        <f aca="false">IF(A126="","",J125)</f>
        <v>#N/A</v>
      </c>
      <c r="L125" s="185" t="n">
        <v>0</v>
      </c>
      <c r="M125" s="201" t="n">
        <f aca="false">IF(A126="","",L125)</f>
        <v>0</v>
      </c>
      <c r="N125" s="203"/>
      <c r="O125" s="200" t="e">
        <f aca="false">IF(A126="","",L125+J125+G125)</f>
        <v>#N/A</v>
      </c>
      <c r="P125" s="200" t="e">
        <f aca="false">IF(A126="","",M125+K125+H125)</f>
        <v>#N/A</v>
      </c>
      <c r="Q125" s="204"/>
      <c r="R125" s="200" t="e">
        <f aca="false">IF($A126="","",VLOOKUP($A125,Table,MATCH(R$4,Curves,0)))</f>
        <v>#N/A</v>
      </c>
      <c r="S125" s="201" t="e">
        <f aca="false">IF(A126="","",R125)</f>
        <v>#N/A</v>
      </c>
      <c r="T125" s="200" t="e">
        <f aca="false">IF($A126="","",VLOOKUP($A125,Table,MATCH(T$4,Curves,0)))</f>
        <v>#N/A</v>
      </c>
      <c r="U125" s="201" t="e">
        <f aca="false">IF(A126="","",T125)</f>
        <v>#N/A</v>
      </c>
      <c r="V125" s="183" t="e">
        <f aca="false">IF($A126="","",IF(AND(MONTH(A125)&gt;3,MONTH(A125)&lt;11),(T125+R125+G125)*(((1/(1-Summary!$T$14))/(1-Summary!$W$14))-1),(T125+R125+G125)*((1/(1-Summary!$U$14))/(1-Summary!$X$14)-1)))</f>
        <v>#N/A</v>
      </c>
      <c r="W125" s="202" t="e">
        <f aca="false">IF($A126="","",(T125+R125+G125+V125))</f>
        <v>#N/A</v>
      </c>
      <c r="X125" s="202" t="e">
        <f aca="false">IF($A126="","",(U125+S125+H125+V125))</f>
        <v>#N/A</v>
      </c>
      <c r="Y125" s="202"/>
      <c r="Z125" s="185" t="e">
        <f aca="false">IF($A126="","",VLOOKUP($A125,Table,MATCH(Z$4,Curves,0)))</f>
        <v>#N/A</v>
      </c>
      <c r="AA125" s="185" t="e">
        <f aca="false">IF($A126="","",VLOOKUP($A125,Table,MATCH(AA$4,Curves,0)))</f>
        <v>#N/A</v>
      </c>
      <c r="AB125" s="185" t="e">
        <f aca="false">SQRT((AA125^2*(A125-$D$3)+Z125^2*(DAY(EOMONTH(A125,0))/2))/AK125)</f>
        <v>#N/A</v>
      </c>
      <c r="AC125" s="185" t="e">
        <f aca="false">IF($A126="","",VLOOKUP($A125,Table,MATCH(AC$4,Curves,0)))</f>
        <v>#N/A</v>
      </c>
      <c r="AD125" s="185" t="e">
        <f aca="false">IF($A126="","",VLOOKUP($A125,Table,MATCH(AD$4,Curves,0)))</f>
        <v>#N/A</v>
      </c>
      <c r="AE125" s="185" t="e">
        <f aca="false">SQRT((AD125^2*(A125-$D$3)+AC125^2*(DAY(EOMONTH(A125,0))/2))/AK125)</f>
        <v>#N/A</v>
      </c>
      <c r="AF125" s="224" t="e">
        <f aca="false">((Summary!$N$14*(AA125*AD125)*(A125-$D$3))+(Summary!$M$14*Z125*AC125*(AJ125-EOMONTH(EDATE(A125,-1),0))))/(AK125*AB125*AE125)</f>
        <v>#N/A</v>
      </c>
      <c r="AG125" s="207" t="n">
        <f aca="false">IF($A126="","",Summary!$Q$14)</f>
        <v>0</v>
      </c>
      <c r="AH125" s="207" t="n">
        <f aca="false">IF($A126="","",IF(Summary!$R$12="Y",(VLOOKUP($A125,Summary!$AD$6:$AF$9,3)+'Escalating commodity'!J138),'Escalating commodity'!J138))</f>
        <v>0.00592396480156043</v>
      </c>
      <c r="AI125" s="207" t="n">
        <f aca="false">IF($A126="","",AH125)</f>
        <v>0.00592396480156043</v>
      </c>
      <c r="AJ125" s="208" t="n">
        <f aca="false">A125+DAY(EOMONTH(A125,0))/2-1</f>
        <v>40558.5</v>
      </c>
      <c r="AK125" s="209" t="n">
        <f aca="false">IF($A126="","",$A125-$E$1)</f>
        <v>-5382</v>
      </c>
      <c r="AL125" s="182" t="e">
        <f aca="false">IF($A126="","",SPRDOPT(P125,X125,AI125,0,AB125,AE125,AF125,AK125,$AJ$2,0))</f>
        <v>#NAME?</v>
      </c>
      <c r="AM125" s="211" t="e">
        <f aca="false">IF($A126="","",MAX(0,O125-W125-AI125))</f>
        <v>#N/A</v>
      </c>
      <c r="AN125" s="211" t="e">
        <f aca="false">IF($A126="","",AL125-AM125)</f>
        <v>#N/A</v>
      </c>
      <c r="AO125" s="137" t="n">
        <f aca="false">IF(A126="","",A126-A125)</f>
        <v>31</v>
      </c>
      <c r="AP125" s="212" t="n">
        <f aca="false">IF(A126="","",CHOOSE(F$3,A126+24,A125))</f>
        <v>40544</v>
      </c>
      <c r="AQ125" s="209" t="n">
        <f aca="false">IF(A126="","",AP125-$E$1)</f>
        <v>-5382</v>
      </c>
      <c r="AR125" s="185" t="n">
        <f aca="false">'ANR OK vs ML7'!AR125</f>
        <v>0.1</v>
      </c>
      <c r="AS125" s="213" t="n">
        <f aca="false">IF(A126="","",1/(1+CHOOSE(F$3,(AR126+($I$3/10000))/2,(AR125+($I$3/10000))/2))^(2*AQ125/365.25))</f>
        <v>4.21166121789694</v>
      </c>
      <c r="AT125" s="137" t="n">
        <f aca="false">IF(A126="","",IF(AND(mthbeg&lt;=A125,mthend&gt;=A125),1,0))</f>
        <v>1</v>
      </c>
      <c r="AU125" s="137" t="n">
        <f aca="false">IF(A126="","",AO125*AT125)</f>
        <v>31</v>
      </c>
      <c r="AW125" s="195" t="e">
        <f aca="false">IF($A126="","",AL125*$E125)</f>
        <v>#NAME?</v>
      </c>
      <c r="AX125" s="195" t="e">
        <f aca="false">IF($A126="","",AM125*$E125)</f>
        <v>#N/A</v>
      </c>
      <c r="AY125" s="195" t="e">
        <f aca="false">IF($A126="","",AN125*$E125)</f>
        <v>#N/A</v>
      </c>
      <c r="BA125" s="195" t="n">
        <f aca="false">IF($A126="","",F125*Summary!$Q$14)</f>
        <v>0</v>
      </c>
      <c r="BC125" s="179" t="e">
        <f aca="false">IF(A126="","",AM125*F125)</f>
        <v>#N/A</v>
      </c>
    </row>
    <row r="126" customFormat="false" ht="12.75" hidden="false" customHeight="false" outlineLevel="0" collapsed="false">
      <c r="A126" s="196" t="n">
        <f aca="false">IF(A125&lt;mthend,EDATE(A125,1),"")</f>
        <v>40575</v>
      </c>
      <c r="B126" s="197" t="n">
        <f aca="false">IF(A126&lt;mthend,B125,"")</f>
        <v>28400</v>
      </c>
      <c r="C126" s="215"/>
      <c r="D126" s="197" t="n">
        <f aca="false">IF(A127&lt;&gt;"",B126+C126,"")</f>
        <v>28400</v>
      </c>
      <c r="E126" s="199" t="n">
        <f aca="false">IF(A127="","",IF(AND(AT126=1,$H$3=1),D126*AO126,IF($H$3=2,D126,"N/A")))</f>
        <v>795200</v>
      </c>
      <c r="F126" s="199" t="n">
        <f aca="false">IF(A127="","",E126*AS126)</f>
        <v>3321490.28440938</v>
      </c>
      <c r="G126" s="200" t="e">
        <f aca="false">IF($A127="","",VLOOKUP($A126,Table,MATCH(G$4,Curves,0)))</f>
        <v>#N/A</v>
      </c>
      <c r="H126" s="201" t="e">
        <f aca="false">IF(A127="","",G126)</f>
        <v>#N/A</v>
      </c>
      <c r="I126" s="202"/>
      <c r="J126" s="200" t="e">
        <f aca="false">IF($A127="","",VLOOKUP($A126,Table,MATCH(J$4,Curves,0)))</f>
        <v>#N/A</v>
      </c>
      <c r="K126" s="201" t="e">
        <f aca="false">IF(A127="","",J126)</f>
        <v>#N/A</v>
      </c>
      <c r="L126" s="185" t="n">
        <v>0</v>
      </c>
      <c r="M126" s="201" t="n">
        <f aca="false">IF(A127="","",L126)</f>
        <v>0</v>
      </c>
      <c r="N126" s="203"/>
      <c r="O126" s="200" t="e">
        <f aca="false">IF(A127="","",L126+J126+G126)</f>
        <v>#N/A</v>
      </c>
      <c r="P126" s="200" t="e">
        <f aca="false">IF(A127="","",M126+K126+H126)</f>
        <v>#N/A</v>
      </c>
      <c r="Q126" s="204"/>
      <c r="R126" s="200" t="e">
        <f aca="false">IF($A127="","",VLOOKUP($A126,Table,MATCH(R$4,Curves,0)))</f>
        <v>#N/A</v>
      </c>
      <c r="S126" s="201" t="e">
        <f aca="false">IF(A127="","",R126)</f>
        <v>#N/A</v>
      </c>
      <c r="T126" s="200" t="e">
        <f aca="false">IF($A127="","",VLOOKUP($A126,Table,MATCH(T$4,Curves,0)))</f>
        <v>#N/A</v>
      </c>
      <c r="U126" s="201" t="e">
        <f aca="false">IF(A127="","",T126)</f>
        <v>#N/A</v>
      </c>
      <c r="V126" s="183" t="e">
        <f aca="false">IF($A127="","",IF(AND(MONTH(A126)&gt;3,MONTH(A126)&lt;11),(T126+R126+G126)*(((1/(1-Summary!$T$14))/(1-Summary!$W$14))-1),(T126+R126+G126)*((1/(1-Summary!$U$14))/(1-Summary!$X$14)-1)))</f>
        <v>#N/A</v>
      </c>
      <c r="W126" s="202" t="e">
        <f aca="false">IF($A127="","",(T126+R126+G126+V126))</f>
        <v>#N/A</v>
      </c>
      <c r="X126" s="202" t="e">
        <f aca="false">IF($A127="","",(U126+S126+H126+V126))</f>
        <v>#N/A</v>
      </c>
      <c r="Y126" s="202"/>
      <c r="Z126" s="185" t="e">
        <f aca="false">IF($A127="","",VLOOKUP($A126,Table,MATCH(Z$4,Curves,0)))</f>
        <v>#N/A</v>
      </c>
      <c r="AA126" s="185" t="e">
        <f aca="false">IF($A127="","",VLOOKUP($A126,Table,MATCH(AA$4,Curves,0)))</f>
        <v>#N/A</v>
      </c>
      <c r="AB126" s="185" t="e">
        <f aca="false">SQRT((AA126^2*(A126-$D$3)+Z126^2*(DAY(EOMONTH(A126,0))/2))/AK126)</f>
        <v>#N/A</v>
      </c>
      <c r="AC126" s="185" t="e">
        <f aca="false">IF($A127="","",VLOOKUP($A126,Table,MATCH(AC$4,Curves,0)))</f>
        <v>#N/A</v>
      </c>
      <c r="AD126" s="185" t="e">
        <f aca="false">IF($A127="","",VLOOKUP($A126,Table,MATCH(AD$4,Curves,0)))</f>
        <v>#N/A</v>
      </c>
      <c r="AE126" s="185" t="e">
        <f aca="false">SQRT((AD126^2*(A126-$D$3)+AC126^2*(DAY(EOMONTH(A126,0))/2))/AK126)</f>
        <v>#N/A</v>
      </c>
      <c r="AF126" s="224" t="e">
        <f aca="false">((Summary!$N$14*(AA126*AD126)*(A126-$D$3))+(Summary!$M$14*Z126*AC126*(AJ126-EOMONTH(EDATE(A126,-1),0))))/(AK126*AB126*AE126)</f>
        <v>#N/A</v>
      </c>
      <c r="AG126" s="207" t="n">
        <f aca="false">IF($A127="","",Summary!$Q$14)</f>
        <v>0</v>
      </c>
      <c r="AH126" s="207" t="n">
        <f aca="false">IF($A127="","",IF(Summary!$R$12="Y",(VLOOKUP($A126,Summary!$AD$6:$AF$9,3)+'Escalating commodity'!J139),'Escalating commodity'!J139))</f>
        <v>0.00592396480156043</v>
      </c>
      <c r="AI126" s="207" t="n">
        <f aca="false">IF($A127="","",AH126)</f>
        <v>0.00592396480156043</v>
      </c>
      <c r="AJ126" s="208" t="n">
        <f aca="false">A126+DAY(EOMONTH(A126,0))/2-1</f>
        <v>40588</v>
      </c>
      <c r="AK126" s="209" t="n">
        <f aca="false">IF($A127="","",$A126-$E$1)</f>
        <v>-5351</v>
      </c>
      <c r="AL126" s="182" t="e">
        <f aca="false">IF($A127="","",SPRDOPT(P126,X126,AI126,0,AB126,AE126,AF126,AK126,$AJ$2,0))</f>
        <v>#NAME?</v>
      </c>
      <c r="AM126" s="211" t="e">
        <f aca="false">IF($A127="","",MAX(0,O126-W126-AI126))</f>
        <v>#N/A</v>
      </c>
      <c r="AN126" s="211" t="e">
        <f aca="false">IF($A127="","",AL126-AM126)</f>
        <v>#N/A</v>
      </c>
      <c r="AO126" s="137" t="n">
        <f aca="false">IF(A127="","",A127-A126)</f>
        <v>28</v>
      </c>
      <c r="AP126" s="212" t="n">
        <f aca="false">IF(A127="","",CHOOSE(F$3,A127+24,A126))</f>
        <v>40575</v>
      </c>
      <c r="AQ126" s="209" t="n">
        <f aca="false">IF(A127="","",AP126-$E$1)</f>
        <v>-5351</v>
      </c>
      <c r="AR126" s="185" t="n">
        <f aca="false">'ANR OK vs ML7'!AR126</f>
        <v>0.1</v>
      </c>
      <c r="AS126" s="213" t="n">
        <f aca="false">IF(A127="","",1/(1+CHOOSE(F$3,(AR127+($I$3/10000))/2,(AR126+($I$3/10000))/2))^(2*AQ126/365.25))</f>
        <v>4.17692440192326</v>
      </c>
      <c r="AT126" s="137" t="n">
        <f aca="false">IF(A127="","",IF(AND(mthbeg&lt;=A126,mthend&gt;=A126),1,0))</f>
        <v>1</v>
      </c>
      <c r="AU126" s="137" t="n">
        <f aca="false">IF(A127="","",AO126*AT126)</f>
        <v>28</v>
      </c>
      <c r="AW126" s="195" t="e">
        <f aca="false">IF($A127="","",AL126*$E126)</f>
        <v>#NAME?</v>
      </c>
      <c r="AX126" s="195" t="e">
        <f aca="false">IF($A127="","",AM126*$E126)</f>
        <v>#N/A</v>
      </c>
      <c r="AY126" s="195" t="e">
        <f aca="false">IF($A127="","",AN126*$E126)</f>
        <v>#N/A</v>
      </c>
      <c r="BA126" s="195" t="n">
        <f aca="false">IF($A127="","",F126*Summary!$Q$14)</f>
        <v>0</v>
      </c>
      <c r="BC126" s="179" t="e">
        <f aca="false">IF(A127="","",AM126*F126)</f>
        <v>#N/A</v>
      </c>
    </row>
    <row r="127" customFormat="false" ht="12.75" hidden="false" customHeight="false" outlineLevel="0" collapsed="false">
      <c r="A127" s="196" t="n">
        <f aca="false">IF(A126&lt;mthend,EDATE(A126,1),"")</f>
        <v>40603</v>
      </c>
      <c r="B127" s="197" t="n">
        <f aca="false">IF(A127&lt;mthend,B126,"")</f>
        <v>28400</v>
      </c>
      <c r="C127" s="215"/>
      <c r="D127" s="197" t="n">
        <f aca="false">IF(A128&lt;&gt;"",B127+C127,"")</f>
        <v>28400</v>
      </c>
      <c r="E127" s="199" t="n">
        <f aca="false">IF(A128="","",IF(AND(AT127=1,$H$3=1),D127*AO127,IF($H$3=2,D127,"N/A")))</f>
        <v>880400</v>
      </c>
      <c r="F127" s="199" t="n">
        <f aca="false">IF(A128="","",E127*AS127)</f>
        <v>3649958.38720127</v>
      </c>
      <c r="G127" s="200" t="e">
        <f aca="false">IF($A128="","",VLOOKUP($A127,Table,MATCH(G$4,Curves,0)))</f>
        <v>#N/A</v>
      </c>
      <c r="H127" s="201" t="e">
        <f aca="false">IF(A128="","",G127)</f>
        <v>#N/A</v>
      </c>
      <c r="I127" s="202"/>
      <c r="J127" s="200" t="e">
        <f aca="false">IF($A128="","",VLOOKUP($A127,Table,MATCH(J$4,Curves,0)))</f>
        <v>#N/A</v>
      </c>
      <c r="K127" s="201" t="e">
        <f aca="false">IF(A128="","",J127)</f>
        <v>#N/A</v>
      </c>
      <c r="L127" s="185" t="n">
        <v>0</v>
      </c>
      <c r="M127" s="201" t="n">
        <f aca="false">IF(A128="","",L127)</f>
        <v>0</v>
      </c>
      <c r="N127" s="203"/>
      <c r="O127" s="200" t="e">
        <f aca="false">IF(A128="","",L127+J127+G127)</f>
        <v>#N/A</v>
      </c>
      <c r="P127" s="200" t="e">
        <f aca="false">IF(A128="","",M127+K127+H127)</f>
        <v>#N/A</v>
      </c>
      <c r="Q127" s="204"/>
      <c r="R127" s="200" t="e">
        <f aca="false">IF($A128="","",VLOOKUP($A127,Table,MATCH(R$4,Curves,0)))</f>
        <v>#N/A</v>
      </c>
      <c r="S127" s="201" t="e">
        <f aca="false">IF(A128="","",R127)</f>
        <v>#N/A</v>
      </c>
      <c r="T127" s="200" t="e">
        <f aca="false">IF($A128="","",VLOOKUP($A127,Table,MATCH(T$4,Curves,0)))</f>
        <v>#N/A</v>
      </c>
      <c r="U127" s="201" t="e">
        <f aca="false">IF(A128="","",T127)</f>
        <v>#N/A</v>
      </c>
      <c r="V127" s="183" t="e">
        <f aca="false">IF($A128="","",IF(AND(MONTH(A127)&gt;3,MONTH(A127)&lt;11),(T127+R127+G127)*(((1/(1-Summary!$T$14))/(1-Summary!$W$14))-1),(T127+R127+G127)*((1/(1-Summary!$U$14))/(1-Summary!$X$14)-1)))</f>
        <v>#N/A</v>
      </c>
      <c r="W127" s="202" t="e">
        <f aca="false">IF($A128="","",(T127+R127+G127+V127))</f>
        <v>#N/A</v>
      </c>
      <c r="X127" s="202" t="e">
        <f aca="false">IF($A128="","",(U127+S127+H127+V127))</f>
        <v>#N/A</v>
      </c>
      <c r="Y127" s="202"/>
      <c r="Z127" s="185" t="e">
        <f aca="false">IF($A128="","",VLOOKUP($A127,Table,MATCH(Z$4,Curves,0)))</f>
        <v>#N/A</v>
      </c>
      <c r="AA127" s="185" t="e">
        <f aca="false">IF($A128="","",VLOOKUP($A127,Table,MATCH(AA$4,Curves,0)))</f>
        <v>#N/A</v>
      </c>
      <c r="AB127" s="185" t="e">
        <f aca="false">SQRT((AA127^2*(A127-$D$3)+Z127^2*(DAY(EOMONTH(A127,0))/2))/AK127)</f>
        <v>#N/A</v>
      </c>
      <c r="AC127" s="185" t="e">
        <f aca="false">IF($A128="","",VLOOKUP($A127,Table,MATCH(AC$4,Curves,0)))</f>
        <v>#N/A</v>
      </c>
      <c r="AD127" s="185" t="e">
        <f aca="false">IF($A128="","",VLOOKUP($A127,Table,MATCH(AD$4,Curves,0)))</f>
        <v>#N/A</v>
      </c>
      <c r="AE127" s="185" t="e">
        <f aca="false">SQRT((AD127^2*(A127-$D$3)+AC127^2*(DAY(EOMONTH(A127,0))/2))/AK127)</f>
        <v>#N/A</v>
      </c>
      <c r="AF127" s="224" t="e">
        <f aca="false">((Summary!$N$14*(AA127*AD127)*(A127-$D$3))+(Summary!$M$14*Z127*AC127*(AJ127-EOMONTH(EDATE(A127,-1),0))))/(AK127*AB127*AE127)</f>
        <v>#N/A</v>
      </c>
      <c r="AG127" s="207" t="n">
        <f aca="false">IF($A128="","",Summary!$Q$14)</f>
        <v>0</v>
      </c>
      <c r="AH127" s="207" t="n">
        <f aca="false">IF($A128="","",IF(Summary!$R$12="Y",(VLOOKUP($A127,Summary!$AD$6:$AF$9,3)+'Escalating commodity'!J140),'Escalating commodity'!J140))</f>
        <v>0.00592396480156043</v>
      </c>
      <c r="AI127" s="207" t="n">
        <f aca="false">IF($A128="","",AH127)</f>
        <v>0.00592396480156043</v>
      </c>
      <c r="AJ127" s="208" t="n">
        <f aca="false">A127+DAY(EOMONTH(A127,0))/2-1</f>
        <v>40617.5</v>
      </c>
      <c r="AK127" s="209" t="n">
        <f aca="false">IF($A128="","",$A127-$E$1)</f>
        <v>-5323</v>
      </c>
      <c r="AL127" s="182" t="e">
        <f aca="false">IF($A128="","",SPRDOPT(P127,X127,AI127,0,AB127,AE127,AF127,AK127,$AJ$2,0))</f>
        <v>#NAME?</v>
      </c>
      <c r="AM127" s="211" t="e">
        <f aca="false">IF($A128="","",MAX(0,O127-W127-AI127))</f>
        <v>#N/A</v>
      </c>
      <c r="AN127" s="211" t="e">
        <f aca="false">IF($A128="","",AL127-AM127)</f>
        <v>#N/A</v>
      </c>
      <c r="AO127" s="137" t="n">
        <f aca="false">IF(A128="","",A128-A127)</f>
        <v>31</v>
      </c>
      <c r="AP127" s="212" t="n">
        <f aca="false">IF(A128="","",CHOOSE(F$3,A128+24,A127))</f>
        <v>40603</v>
      </c>
      <c r="AQ127" s="209" t="n">
        <f aca="false">IF(A128="","",AP127-$E$1)</f>
        <v>-5323</v>
      </c>
      <c r="AR127" s="185" t="n">
        <f aca="false">'ANR OK vs ML7'!AR127</f>
        <v>0.1</v>
      </c>
      <c r="AS127" s="213" t="n">
        <f aca="false">IF(A128="","",1/(1+CHOOSE(F$3,(AR128+($I$3/10000))/2,(AR127+($I$3/10000))/2))^(2*AQ127/365.25))</f>
        <v>4.14579553294102</v>
      </c>
      <c r="AT127" s="137" t="n">
        <f aca="false">IF(A128="","",IF(AND(mthbeg&lt;=A127,mthend&gt;=A127),1,0))</f>
        <v>1</v>
      </c>
      <c r="AU127" s="137" t="n">
        <f aca="false">IF(A128="","",AO127*AT127)</f>
        <v>31</v>
      </c>
      <c r="AW127" s="195" t="e">
        <f aca="false">IF($A128="","",AL127*$E127)</f>
        <v>#NAME?</v>
      </c>
      <c r="AX127" s="195" t="e">
        <f aca="false">IF($A128="","",AM127*$E127)</f>
        <v>#N/A</v>
      </c>
      <c r="AY127" s="195" t="e">
        <f aca="false">IF($A128="","",AN127*$E127)</f>
        <v>#N/A</v>
      </c>
      <c r="BA127" s="195" t="n">
        <f aca="false">IF($A128="","",F127*Summary!$Q$14)</f>
        <v>0</v>
      </c>
      <c r="BC127" s="179" t="e">
        <f aca="false">IF(A128="","",AM127*F127)</f>
        <v>#N/A</v>
      </c>
    </row>
    <row r="128" customFormat="false" ht="12.75" hidden="false" customHeight="false" outlineLevel="0" collapsed="false">
      <c r="A128" s="196" t="n">
        <f aca="false">IF(A127&lt;mthend,EDATE(A127,1),"")</f>
        <v>40634</v>
      </c>
      <c r="B128" s="197" t="n">
        <f aca="false">IF(A128&lt;mthend,B127,"")</f>
        <v>28400</v>
      </c>
      <c r="C128" s="215"/>
      <c r="D128" s="197" t="n">
        <f aca="false">IF(A129&lt;&gt;"",B128+C128,"")</f>
        <v>28400</v>
      </c>
      <c r="E128" s="199" t="n">
        <f aca="false">IF(A129="","",IF(AND(AT128=1,$H$3=1),D128*AO128,IF($H$3=2,D128,"N/A")))</f>
        <v>852000</v>
      </c>
      <c r="F128" s="199" t="n">
        <f aca="false">IF(A129="","",E128*AS128)</f>
        <v>3503084.87165261</v>
      </c>
      <c r="G128" s="200" t="e">
        <f aca="false">IF($A129="","",VLOOKUP($A128,Table,MATCH(G$4,Curves,0)))</f>
        <v>#N/A</v>
      </c>
      <c r="H128" s="201" t="e">
        <f aca="false">IF(A129="","",G128)</f>
        <v>#N/A</v>
      </c>
      <c r="I128" s="202"/>
      <c r="J128" s="200" t="e">
        <f aca="false">IF($A129="","",VLOOKUP($A128,Table,MATCH(J$4,Curves,0)))</f>
        <v>#N/A</v>
      </c>
      <c r="K128" s="201" t="e">
        <f aca="false">IF(A129="","",J128)</f>
        <v>#N/A</v>
      </c>
      <c r="L128" s="185" t="n">
        <v>0</v>
      </c>
      <c r="M128" s="201" t="n">
        <f aca="false">IF(A129="","",L128)</f>
        <v>0</v>
      </c>
      <c r="N128" s="203"/>
      <c r="O128" s="200" t="e">
        <f aca="false">IF(A129="","",L128+J128+G128)</f>
        <v>#N/A</v>
      </c>
      <c r="P128" s="200" t="e">
        <f aca="false">IF(A129="","",M128+K128+H128)</f>
        <v>#N/A</v>
      </c>
      <c r="Q128" s="204"/>
      <c r="R128" s="200" t="e">
        <f aca="false">IF($A129="","",VLOOKUP($A128,Table,MATCH(R$4,Curves,0)))</f>
        <v>#N/A</v>
      </c>
      <c r="S128" s="201" t="e">
        <f aca="false">IF(A129="","",R128)</f>
        <v>#N/A</v>
      </c>
      <c r="T128" s="200" t="e">
        <f aca="false">IF($A129="","",VLOOKUP($A128,Table,MATCH(T$4,Curves,0)))</f>
        <v>#N/A</v>
      </c>
      <c r="U128" s="201" t="e">
        <f aca="false">IF(A129="","",T128)</f>
        <v>#N/A</v>
      </c>
      <c r="V128" s="183" t="e">
        <f aca="false">IF($A129="","",IF(AND(MONTH(A128)&gt;3,MONTH(A128)&lt;11),(T128+R128+G128)*(((1/(1-Summary!$T$14))/(1-Summary!$W$14))-1),(T128+R128+G128)*((1/(1-Summary!$U$14))/(1-Summary!$X$14)-1)))</f>
        <v>#N/A</v>
      </c>
      <c r="W128" s="202" t="e">
        <f aca="false">IF($A129="","",(T128+R128+G128+V128))</f>
        <v>#N/A</v>
      </c>
      <c r="X128" s="202" t="e">
        <f aca="false">IF($A129="","",(U128+S128+H128+V128))</f>
        <v>#N/A</v>
      </c>
      <c r="Y128" s="202"/>
      <c r="Z128" s="185" t="e">
        <f aca="false">IF($A129="","",VLOOKUP($A128,Table,MATCH(Z$4,Curves,0)))</f>
        <v>#N/A</v>
      </c>
      <c r="AA128" s="185" t="e">
        <f aca="false">IF($A129="","",VLOOKUP($A128,Table,MATCH(AA$4,Curves,0)))</f>
        <v>#N/A</v>
      </c>
      <c r="AB128" s="185" t="e">
        <f aca="false">SQRT((AA128^2*(A128-$D$3)+Z128^2*(DAY(EOMONTH(A128,0))/2))/AK128)</f>
        <v>#N/A</v>
      </c>
      <c r="AC128" s="185" t="e">
        <f aca="false">IF($A129="","",VLOOKUP($A128,Table,MATCH(AC$4,Curves,0)))</f>
        <v>#N/A</v>
      </c>
      <c r="AD128" s="185" t="e">
        <f aca="false">IF($A129="","",VLOOKUP($A128,Table,MATCH(AD$4,Curves,0)))</f>
        <v>#N/A</v>
      </c>
      <c r="AE128" s="185" t="e">
        <f aca="false">SQRT((AD128^2*(A128-$D$3)+AC128^2*(DAY(EOMONTH(A128,0))/2))/AK128)</f>
        <v>#N/A</v>
      </c>
      <c r="AF128" s="224" t="e">
        <f aca="false">((Summary!$N$14*(AA128*AD128)*(A128-$D$3))+(Summary!$M$14*Z128*AC128*(AJ128-EOMONTH(EDATE(A128,-1),0))))/(AK128*AB128*AE128)</f>
        <v>#N/A</v>
      </c>
      <c r="AG128" s="207" t="n">
        <f aca="false">IF($A129="","",Summary!$Q$14)</f>
        <v>0</v>
      </c>
      <c r="AH128" s="207" t="n">
        <f aca="false">IF($A129="","",IF(Summary!$R$12="Y",(VLOOKUP($A128,Summary!$AD$6:$AF$9,3)+'Escalating commodity'!J141),'Escalating commodity'!J141))</f>
        <v>0.00592396480156043</v>
      </c>
      <c r="AI128" s="207" t="n">
        <f aca="false">IF($A129="","",AH128)</f>
        <v>0.00592396480156043</v>
      </c>
      <c r="AJ128" s="208" t="n">
        <f aca="false">A128+DAY(EOMONTH(A128,0))/2-1</f>
        <v>40648</v>
      </c>
      <c r="AK128" s="209" t="n">
        <f aca="false">IF($A129="","",$A128-$E$1)</f>
        <v>-5292</v>
      </c>
      <c r="AL128" s="182" t="e">
        <f aca="false">IF($A129="","",SPRDOPT(P128,X128,AI128,0,AB128,AE128,AF128,AK128,$AJ$2,0))</f>
        <v>#NAME?</v>
      </c>
      <c r="AM128" s="211" t="e">
        <f aca="false">IF($A129="","",MAX(0,O128-W128-AI128))</f>
        <v>#N/A</v>
      </c>
      <c r="AN128" s="211" t="e">
        <f aca="false">IF($A129="","",AL128-AM128)</f>
        <v>#N/A</v>
      </c>
      <c r="AO128" s="137" t="n">
        <f aca="false">IF(A129="","",A129-A128)</f>
        <v>30</v>
      </c>
      <c r="AP128" s="212" t="n">
        <f aca="false">IF(A129="","",CHOOSE(F$3,A129+24,A128))</f>
        <v>40634</v>
      </c>
      <c r="AQ128" s="209" t="n">
        <f aca="false">IF(A129="","",AP128-$E$1)</f>
        <v>-5292</v>
      </c>
      <c r="AR128" s="185" t="n">
        <f aca="false">'ANR OK vs ML7'!AR128</f>
        <v>0.1</v>
      </c>
      <c r="AS128" s="213" t="n">
        <f aca="false">IF(A129="","",1/(1+CHOOSE(F$3,(AR129+($I$3/10000))/2,(AR128+($I$3/10000))/2))^(2*AQ128/365.25))</f>
        <v>4.11160196203358</v>
      </c>
      <c r="AT128" s="137" t="n">
        <f aca="false">IF(A129="","",IF(AND(mthbeg&lt;=A128,mthend&gt;=A128),1,0))</f>
        <v>1</v>
      </c>
      <c r="AU128" s="137" t="n">
        <f aca="false">IF(A129="","",AO128*AT128)</f>
        <v>30</v>
      </c>
      <c r="AW128" s="195" t="e">
        <f aca="false">IF($A129="","",AL128*$E128)</f>
        <v>#NAME?</v>
      </c>
      <c r="AX128" s="195" t="e">
        <f aca="false">IF($A129="","",AM128*$E128)</f>
        <v>#N/A</v>
      </c>
      <c r="AY128" s="195" t="e">
        <f aca="false">IF($A129="","",AN128*$E128)</f>
        <v>#N/A</v>
      </c>
      <c r="BA128" s="195" t="n">
        <f aca="false">IF($A129="","",F128*Summary!$Q$14)</f>
        <v>0</v>
      </c>
      <c r="BC128" s="179" t="e">
        <f aca="false">IF(A129="","",AM128*F128)</f>
        <v>#N/A</v>
      </c>
    </row>
    <row r="129" customFormat="false" ht="12.75" hidden="false" customHeight="false" outlineLevel="0" collapsed="false">
      <c r="A129" s="196" t="n">
        <f aca="false">IF(A128&lt;mthend,EDATE(A128,1),"")</f>
        <v>40664</v>
      </c>
      <c r="B129" s="197" t="n">
        <f aca="false">IF(A129&lt;mthend,B128,"")</f>
        <v>28400</v>
      </c>
      <c r="C129" s="215"/>
      <c r="D129" s="197" t="n">
        <f aca="false">IF(A130&lt;&gt;"",B129+C129,"")</f>
        <v>28400</v>
      </c>
      <c r="E129" s="199" t="n">
        <f aca="false">IF(A130="","",IF(AND(AT129=1,$H$3=1),D129*AO129,IF($H$3=2,D129,"N/A")))</f>
        <v>880400</v>
      </c>
      <c r="F129" s="199" t="n">
        <f aca="false">IF(A130="","",E129*AS129)</f>
        <v>3590957.87212491</v>
      </c>
      <c r="G129" s="200" t="e">
        <f aca="false">IF($A130="","",VLOOKUP($A129,Table,MATCH(G$4,Curves,0)))</f>
        <v>#N/A</v>
      </c>
      <c r="H129" s="201" t="e">
        <f aca="false">IF(A130="","",G129)</f>
        <v>#N/A</v>
      </c>
      <c r="I129" s="202"/>
      <c r="J129" s="200" t="e">
        <f aca="false">IF($A130="","",VLOOKUP($A129,Table,MATCH(J$4,Curves,0)))</f>
        <v>#N/A</v>
      </c>
      <c r="K129" s="201" t="e">
        <f aca="false">IF(A130="","",J129)</f>
        <v>#N/A</v>
      </c>
      <c r="L129" s="185" t="n">
        <v>0</v>
      </c>
      <c r="M129" s="201" t="n">
        <f aca="false">IF(A130="","",L129)</f>
        <v>0</v>
      </c>
      <c r="N129" s="203"/>
      <c r="O129" s="200" t="e">
        <f aca="false">IF(A130="","",L129+J129+G129)</f>
        <v>#N/A</v>
      </c>
      <c r="P129" s="200" t="e">
        <f aca="false">IF(A130="","",M129+K129+H129)</f>
        <v>#N/A</v>
      </c>
      <c r="Q129" s="204"/>
      <c r="R129" s="200" t="e">
        <f aca="false">IF($A130="","",VLOOKUP($A129,Table,MATCH(R$4,Curves,0)))</f>
        <v>#N/A</v>
      </c>
      <c r="S129" s="201" t="e">
        <f aca="false">IF(A130="","",R129)</f>
        <v>#N/A</v>
      </c>
      <c r="T129" s="200" t="e">
        <f aca="false">IF($A130="","",VLOOKUP($A129,Table,MATCH(T$4,Curves,0)))</f>
        <v>#N/A</v>
      </c>
      <c r="U129" s="201" t="e">
        <f aca="false">IF(A130="","",T129)</f>
        <v>#N/A</v>
      </c>
      <c r="V129" s="183" t="e">
        <f aca="false">IF($A130="","",IF(AND(MONTH(A129)&gt;3,MONTH(A129)&lt;11),(T129+R129+G129)*(((1/(1-Summary!$T$14))/(1-Summary!$W$14))-1),(T129+R129+G129)*((1/(1-Summary!$U$14))/(1-Summary!$X$14)-1)))</f>
        <v>#N/A</v>
      </c>
      <c r="W129" s="202" t="e">
        <f aca="false">IF($A130="","",(T129+R129+G129+V129))</f>
        <v>#N/A</v>
      </c>
      <c r="X129" s="202" t="e">
        <f aca="false">IF($A130="","",(U129+S129+H129+V129))</f>
        <v>#N/A</v>
      </c>
      <c r="Y129" s="202"/>
      <c r="Z129" s="185" t="e">
        <f aca="false">IF($A130="","",VLOOKUP($A129,Table,MATCH(Z$4,Curves,0)))</f>
        <v>#N/A</v>
      </c>
      <c r="AA129" s="185" t="e">
        <f aca="false">IF($A130="","",VLOOKUP($A129,Table,MATCH(AA$4,Curves,0)))</f>
        <v>#N/A</v>
      </c>
      <c r="AB129" s="185" t="e">
        <f aca="false">SQRT((AA129^2*(A129-$D$3)+Z129^2*(DAY(EOMONTH(A129,0))/2))/AK129)</f>
        <v>#N/A</v>
      </c>
      <c r="AC129" s="185" t="e">
        <f aca="false">IF($A130="","",VLOOKUP($A129,Table,MATCH(AC$4,Curves,0)))</f>
        <v>#N/A</v>
      </c>
      <c r="AD129" s="185" t="e">
        <f aca="false">IF($A130="","",VLOOKUP($A129,Table,MATCH(AD$4,Curves,0)))</f>
        <v>#N/A</v>
      </c>
      <c r="AE129" s="185" t="e">
        <f aca="false">SQRT((AD129^2*(A129-$D$3)+AC129^2*(DAY(EOMONTH(A129,0))/2))/AK129)</f>
        <v>#N/A</v>
      </c>
      <c r="AF129" s="224" t="e">
        <f aca="false">((Summary!$N$14*(AA129*AD129)*(A129-$D$3))+(Summary!$M$14*Z129*AC129*(AJ129-EOMONTH(EDATE(A129,-1),0))))/(AK129*AB129*AE129)</f>
        <v>#N/A</v>
      </c>
      <c r="AG129" s="207" t="n">
        <f aca="false">IF($A130="","",Summary!$Q$14)</f>
        <v>0</v>
      </c>
      <c r="AH129" s="207" t="n">
        <f aca="false">IF($A130="","",IF(Summary!$R$12="Y",(VLOOKUP($A129,Summary!$AD$6:$AF$9,3)+'Escalating commodity'!J142),'Escalating commodity'!J142))</f>
        <v>0.00592396480156043</v>
      </c>
      <c r="AI129" s="207" t="n">
        <f aca="false">IF($A130="","",AH129)</f>
        <v>0.00592396480156043</v>
      </c>
      <c r="AJ129" s="208" t="n">
        <f aca="false">A129+DAY(EOMONTH(A129,0))/2-1</f>
        <v>40678.5</v>
      </c>
      <c r="AK129" s="209" t="n">
        <f aca="false">IF($A130="","",$A129-$E$1)</f>
        <v>-5262</v>
      </c>
      <c r="AL129" s="182" t="e">
        <f aca="false">IF($A130="","",SPRDOPT(P129,X129,AI129,0,AB129,AE129,AF129,AK129,$AJ$2,0))</f>
        <v>#NAME?</v>
      </c>
      <c r="AM129" s="211" t="e">
        <f aca="false">IF($A130="","",MAX(0,O129-W129-AI129))</f>
        <v>#N/A</v>
      </c>
      <c r="AN129" s="211" t="e">
        <f aca="false">IF($A130="","",AL129-AM129)</f>
        <v>#N/A</v>
      </c>
      <c r="AO129" s="137" t="n">
        <f aca="false">IF(A130="","",A130-A129)</f>
        <v>31</v>
      </c>
      <c r="AP129" s="212" t="n">
        <f aca="false">IF(A130="","",CHOOSE(F$3,A130+24,A129))</f>
        <v>40664</v>
      </c>
      <c r="AQ129" s="209" t="n">
        <f aca="false">IF(A130="","",AP129-$E$1)</f>
        <v>-5262</v>
      </c>
      <c r="AR129" s="185" t="n">
        <f aca="false">'ANR OK vs ML7'!AR129</f>
        <v>0.1</v>
      </c>
      <c r="AS129" s="213" t="n">
        <f aca="false">IF(A130="","",1/(1+CHOOSE(F$3,(AR130+($I$3/10000))/2,(AR129+($I$3/10000))/2))^(2*AQ129/365.25))</f>
        <v>4.07877995470799</v>
      </c>
      <c r="AT129" s="137" t="n">
        <f aca="false">IF(A130="","",IF(AND(mthbeg&lt;=A129,mthend&gt;=A129),1,0))</f>
        <v>1</v>
      </c>
      <c r="AU129" s="137" t="n">
        <f aca="false">IF(A130="","",AO129*AT129)</f>
        <v>31</v>
      </c>
      <c r="AW129" s="195" t="e">
        <f aca="false">IF($A130="","",AL129*$E129)</f>
        <v>#NAME?</v>
      </c>
      <c r="AX129" s="195" t="e">
        <f aca="false">IF($A130="","",AM129*$E129)</f>
        <v>#N/A</v>
      </c>
      <c r="AY129" s="195" t="e">
        <f aca="false">IF($A130="","",AN129*$E129)</f>
        <v>#N/A</v>
      </c>
      <c r="BA129" s="195" t="n">
        <f aca="false">IF($A130="","",F129*Summary!$Q$14)</f>
        <v>0</v>
      </c>
      <c r="BC129" s="179" t="e">
        <f aca="false">IF(A130="","",AM129*F129)</f>
        <v>#N/A</v>
      </c>
    </row>
    <row r="130" customFormat="false" ht="12.75" hidden="false" customHeight="false" outlineLevel="0" collapsed="false">
      <c r="A130" s="196" t="n">
        <f aca="false">IF(A129&lt;mthend,EDATE(A129,1),"")</f>
        <v>40695</v>
      </c>
      <c r="B130" s="197" t="n">
        <f aca="false">IF(A130&lt;mthend,B129,"")</f>
        <v>28400</v>
      </c>
      <c r="C130" s="215"/>
      <c r="D130" s="197" t="n">
        <f aca="false">IF(A131&lt;&gt;"",B130+C130,"")</f>
        <v>28400</v>
      </c>
      <c r="E130" s="199" t="n">
        <f aca="false">IF(A131="","",IF(AND(AT130=1,$H$3=1),D130*AO130,IF($H$3=2,D130,"N/A")))</f>
        <v>852000</v>
      </c>
      <c r="F130" s="199" t="n">
        <f aca="false">IF(A131="","",E130*AS130)</f>
        <v>3446458.52421028</v>
      </c>
      <c r="G130" s="200" t="e">
        <f aca="false">IF($A131="","",VLOOKUP($A130,Table,MATCH(G$4,Curves,0)))</f>
        <v>#N/A</v>
      </c>
      <c r="H130" s="201" t="e">
        <f aca="false">IF(A131="","",G130)</f>
        <v>#N/A</v>
      </c>
      <c r="I130" s="202"/>
      <c r="J130" s="200" t="e">
        <f aca="false">IF($A131="","",VLOOKUP($A130,Table,MATCH(J$4,Curves,0)))</f>
        <v>#N/A</v>
      </c>
      <c r="K130" s="201" t="e">
        <f aca="false">IF(A131="","",J130)</f>
        <v>#N/A</v>
      </c>
      <c r="L130" s="185" t="n">
        <v>0</v>
      </c>
      <c r="M130" s="201" t="n">
        <f aca="false">IF(A131="","",L130)</f>
        <v>0</v>
      </c>
      <c r="N130" s="203"/>
      <c r="O130" s="200" t="e">
        <f aca="false">IF(A131="","",L130+J130+G130)</f>
        <v>#N/A</v>
      </c>
      <c r="P130" s="200" t="e">
        <f aca="false">IF(A131="","",M130+K130+H130)</f>
        <v>#N/A</v>
      </c>
      <c r="Q130" s="204"/>
      <c r="R130" s="200" t="e">
        <f aca="false">IF($A131="","",VLOOKUP($A130,Table,MATCH(R$4,Curves,0)))</f>
        <v>#N/A</v>
      </c>
      <c r="S130" s="201" t="e">
        <f aca="false">IF(A131="","",R130)</f>
        <v>#N/A</v>
      </c>
      <c r="T130" s="200" t="e">
        <f aca="false">IF($A131="","",VLOOKUP($A130,Table,MATCH(T$4,Curves,0)))</f>
        <v>#N/A</v>
      </c>
      <c r="U130" s="201" t="e">
        <f aca="false">IF(A131="","",T130)</f>
        <v>#N/A</v>
      </c>
      <c r="V130" s="183" t="e">
        <f aca="false">IF($A131="","",IF(AND(MONTH(A130)&gt;3,MONTH(A130)&lt;11),(T130+R130+G130)*(((1/(1-Summary!$T$14))/(1-Summary!$W$14))-1),(T130+R130+G130)*((1/(1-Summary!$U$14))/(1-Summary!$X$14)-1)))</f>
        <v>#N/A</v>
      </c>
      <c r="W130" s="202" t="e">
        <f aca="false">IF($A131="","",(T130+R130+G130+V130))</f>
        <v>#N/A</v>
      </c>
      <c r="X130" s="202" t="e">
        <f aca="false">IF($A131="","",(U130+S130+H130+V130))</f>
        <v>#N/A</v>
      </c>
      <c r="Y130" s="202"/>
      <c r="Z130" s="185" t="e">
        <f aca="false">IF($A131="","",VLOOKUP($A130,Table,MATCH(Z$4,Curves,0)))</f>
        <v>#N/A</v>
      </c>
      <c r="AA130" s="185" t="e">
        <f aca="false">IF($A131="","",VLOOKUP($A130,Table,MATCH(AA$4,Curves,0)))</f>
        <v>#N/A</v>
      </c>
      <c r="AB130" s="185" t="e">
        <f aca="false">SQRT((AA130^2*(A130-$D$3)+Z130^2*(DAY(EOMONTH(A130,0))/2))/AK130)</f>
        <v>#N/A</v>
      </c>
      <c r="AC130" s="185" t="e">
        <f aca="false">IF($A131="","",VLOOKUP($A130,Table,MATCH(AC$4,Curves,0)))</f>
        <v>#N/A</v>
      </c>
      <c r="AD130" s="185" t="e">
        <f aca="false">IF($A131="","",VLOOKUP($A130,Table,MATCH(AD$4,Curves,0)))</f>
        <v>#N/A</v>
      </c>
      <c r="AE130" s="185" t="e">
        <f aca="false">SQRT((AD130^2*(A130-$D$3)+AC130^2*(DAY(EOMONTH(A130,0))/2))/AK130)</f>
        <v>#N/A</v>
      </c>
      <c r="AF130" s="224" t="e">
        <f aca="false">((Summary!$N$14*(AA130*AD130)*(A130-$D$3))+(Summary!$M$14*Z130*AC130*(AJ130-EOMONTH(EDATE(A130,-1),0))))/(AK130*AB130*AE130)</f>
        <v>#N/A</v>
      </c>
      <c r="AG130" s="207" t="n">
        <f aca="false">IF($A131="","",Summary!$Q$14)</f>
        <v>0</v>
      </c>
      <c r="AH130" s="207" t="n">
        <f aca="false">IF($A131="","",IF(Summary!$R$12="Y",(VLOOKUP($A130,Summary!$AD$6:$AF$9,3)+'Escalating commodity'!J143),'Escalating commodity'!J143))</f>
        <v>0.00592396480156043</v>
      </c>
      <c r="AI130" s="207" t="n">
        <f aca="false">IF($A131="","",AH130)</f>
        <v>0.00592396480156043</v>
      </c>
      <c r="AJ130" s="208" t="n">
        <f aca="false">A130+DAY(EOMONTH(A130,0))/2-1</f>
        <v>40709</v>
      </c>
      <c r="AK130" s="209" t="n">
        <f aca="false">IF($A131="","",$A130-$E$1)</f>
        <v>-5231</v>
      </c>
      <c r="AL130" s="182" t="e">
        <f aca="false">IF($A131="","",SPRDOPT(P130,X130,AI130,0,AB130,AE130,AF130,AK130,$AJ$2,0))</f>
        <v>#NAME?</v>
      </c>
      <c r="AM130" s="211" t="e">
        <f aca="false">IF($A131="","",MAX(0,O130-W130-AI130))</f>
        <v>#N/A</v>
      </c>
      <c r="AN130" s="211" t="e">
        <f aca="false">IF($A131="","",AL130-AM130)</f>
        <v>#N/A</v>
      </c>
      <c r="AO130" s="137" t="n">
        <f aca="false">IF(A131="","",A131-A130)</f>
        <v>30</v>
      </c>
      <c r="AP130" s="212" t="n">
        <f aca="false">IF(A131="","",CHOOSE(F$3,A131+24,A130))</f>
        <v>40695</v>
      </c>
      <c r="AQ130" s="209" t="n">
        <f aca="false">IF(A131="","",AP130-$E$1)</f>
        <v>-5231</v>
      </c>
      <c r="AR130" s="185" t="n">
        <f aca="false">'ANR OK vs ML7'!AR130</f>
        <v>0.1</v>
      </c>
      <c r="AS130" s="213" t="n">
        <f aca="false">IF(A131="","",1/(1+CHOOSE(F$3,(AR131+($I$3/10000))/2,(AR130+($I$3/10000))/2))^(2*AQ130/365.25))</f>
        <v>4.04513911292286</v>
      </c>
      <c r="AT130" s="137" t="n">
        <f aca="false">IF(A131="","",IF(AND(mthbeg&lt;=A130,mthend&gt;=A130),1,0))</f>
        <v>1</v>
      </c>
      <c r="AU130" s="137" t="n">
        <f aca="false">IF(A131="","",AO130*AT130)</f>
        <v>30</v>
      </c>
      <c r="AW130" s="195" t="e">
        <f aca="false">IF($A131="","",AL130*$E130)</f>
        <v>#NAME?</v>
      </c>
      <c r="AX130" s="195" t="e">
        <f aca="false">IF($A131="","",AM130*$E130)</f>
        <v>#N/A</v>
      </c>
      <c r="AY130" s="195" t="e">
        <f aca="false">IF($A131="","",AN130*$E130)</f>
        <v>#N/A</v>
      </c>
      <c r="BA130" s="195" t="n">
        <f aca="false">IF($A131="","",F130*Summary!$Q$14)</f>
        <v>0</v>
      </c>
      <c r="BC130" s="179" t="e">
        <f aca="false">IF(A131="","",AM130*F130)</f>
        <v>#N/A</v>
      </c>
    </row>
    <row r="131" customFormat="false" ht="12.75" hidden="false" customHeight="false" outlineLevel="0" collapsed="false">
      <c r="A131" s="196" t="n">
        <f aca="false">IF(A130&lt;mthend,EDATE(A130,1),"")</f>
        <v>40725</v>
      </c>
      <c r="B131" s="197" t="n">
        <f aca="false">IF(A131&lt;mthend,B130,"")</f>
        <v>28400</v>
      </c>
      <c r="C131" s="215"/>
      <c r="D131" s="197" t="n">
        <f aca="false">IF(A132&lt;&gt;"",B131+C131,"")</f>
        <v>28400</v>
      </c>
      <c r="E131" s="199" t="n">
        <f aca="false">IF(A132="","",IF(AND(AT131=1,$H$3=1),D131*AO131,IF($H$3=2,D131,"N/A")))</f>
        <v>880400</v>
      </c>
      <c r="F131" s="199" t="n">
        <f aca="false">IF(A132="","",E131*AS131)</f>
        <v>3532911.08320375</v>
      </c>
      <c r="G131" s="200" t="e">
        <f aca="false">IF($A132="","",VLOOKUP($A131,Table,MATCH(G$4,Curves,0)))</f>
        <v>#N/A</v>
      </c>
      <c r="H131" s="201" t="e">
        <f aca="false">IF(A132="","",G131)</f>
        <v>#N/A</v>
      </c>
      <c r="I131" s="202"/>
      <c r="J131" s="200" t="e">
        <f aca="false">IF($A132="","",VLOOKUP($A131,Table,MATCH(J$4,Curves,0)))</f>
        <v>#N/A</v>
      </c>
      <c r="K131" s="201" t="e">
        <f aca="false">IF(A132="","",J131)</f>
        <v>#N/A</v>
      </c>
      <c r="L131" s="185" t="n">
        <v>0</v>
      </c>
      <c r="M131" s="201" t="n">
        <f aca="false">IF(A132="","",L131)</f>
        <v>0</v>
      </c>
      <c r="N131" s="203"/>
      <c r="O131" s="200" t="e">
        <f aca="false">IF(A132="","",L131+J131+G131)</f>
        <v>#N/A</v>
      </c>
      <c r="P131" s="200" t="e">
        <f aca="false">IF(A132="","",M131+K131+H131)</f>
        <v>#N/A</v>
      </c>
      <c r="Q131" s="204"/>
      <c r="R131" s="200" t="e">
        <f aca="false">IF($A132="","",VLOOKUP($A131,Table,MATCH(R$4,Curves,0)))</f>
        <v>#N/A</v>
      </c>
      <c r="S131" s="201" t="e">
        <f aca="false">IF(A132="","",R131)</f>
        <v>#N/A</v>
      </c>
      <c r="T131" s="200" t="e">
        <f aca="false">IF($A132="","",VLOOKUP($A131,Table,MATCH(T$4,Curves,0)))</f>
        <v>#N/A</v>
      </c>
      <c r="U131" s="201" t="e">
        <f aca="false">IF(A132="","",T131)</f>
        <v>#N/A</v>
      </c>
      <c r="V131" s="183" t="e">
        <f aca="false">IF($A132="","",IF(AND(MONTH(A131)&gt;3,MONTH(A131)&lt;11),(T131+R131+G131)*(((1/(1-Summary!$T$14))/(1-Summary!$W$14))-1),(T131+R131+G131)*((1/(1-Summary!$U$14))/(1-Summary!$X$14)-1)))</f>
        <v>#N/A</v>
      </c>
      <c r="W131" s="202" t="e">
        <f aca="false">IF($A132="","",(T131+R131+G131+V131))</f>
        <v>#N/A</v>
      </c>
      <c r="X131" s="202" t="e">
        <f aca="false">IF($A132="","",(U131+S131+H131+V131))</f>
        <v>#N/A</v>
      </c>
      <c r="Y131" s="202"/>
      <c r="Z131" s="185" t="e">
        <f aca="false">IF($A132="","",VLOOKUP($A131,Table,MATCH(Z$4,Curves,0)))</f>
        <v>#N/A</v>
      </c>
      <c r="AA131" s="185" t="e">
        <f aca="false">IF($A132="","",VLOOKUP($A131,Table,MATCH(AA$4,Curves,0)))</f>
        <v>#N/A</v>
      </c>
      <c r="AB131" s="185" t="e">
        <f aca="false">SQRT((AA131^2*(A131-$D$3)+Z131^2*(DAY(EOMONTH(A131,0))/2))/AK131)</f>
        <v>#N/A</v>
      </c>
      <c r="AC131" s="185" t="e">
        <f aca="false">IF($A132="","",VLOOKUP($A131,Table,MATCH(AC$4,Curves,0)))</f>
        <v>#N/A</v>
      </c>
      <c r="AD131" s="185" t="e">
        <f aca="false">IF($A132="","",VLOOKUP($A131,Table,MATCH(AD$4,Curves,0)))</f>
        <v>#N/A</v>
      </c>
      <c r="AE131" s="185" t="e">
        <f aca="false">SQRT((AD131^2*(A131-$D$3)+AC131^2*(DAY(EOMONTH(A131,0))/2))/AK131)</f>
        <v>#N/A</v>
      </c>
      <c r="AF131" s="224" t="e">
        <f aca="false">((Summary!$N$14*(AA131*AD131)*(A131-$D$3))+(Summary!$M$14*Z131*AC131*(AJ131-EOMONTH(EDATE(A131,-1),0))))/(AK131*AB131*AE131)</f>
        <v>#N/A</v>
      </c>
      <c r="AG131" s="207" t="n">
        <f aca="false">IF($A132="","",Summary!$Q$14)</f>
        <v>0</v>
      </c>
      <c r="AH131" s="207" t="n">
        <f aca="false">IF($A132="","",IF(Summary!$R$12="Y",(VLOOKUP($A131,Summary!$AD$6:$AF$9,3)+'Escalating commodity'!J144),'Escalating commodity'!J144))</f>
        <v>0.00592396480156043</v>
      </c>
      <c r="AI131" s="207" t="n">
        <f aca="false">IF($A132="","",AH131)</f>
        <v>0.00592396480156043</v>
      </c>
      <c r="AJ131" s="208" t="n">
        <f aca="false">A131+DAY(EOMONTH(A131,0))/2-1</f>
        <v>40739.5</v>
      </c>
      <c r="AK131" s="209" t="n">
        <f aca="false">IF($A132="","",$A131-$E$1)</f>
        <v>-5201</v>
      </c>
      <c r="AL131" s="182" t="e">
        <f aca="false">IF($A132="","",SPRDOPT(P131,X131,AI131,0,AB131,AE131,AF131,AK131,$AJ$2,0))</f>
        <v>#NAME?</v>
      </c>
      <c r="AM131" s="211" t="e">
        <f aca="false">IF($A132="","",MAX(0,O131-W131-AI131))</f>
        <v>#N/A</v>
      </c>
      <c r="AN131" s="211" t="e">
        <f aca="false">IF($A132="","",AL131-AM131)</f>
        <v>#N/A</v>
      </c>
      <c r="AO131" s="137" t="n">
        <f aca="false">IF(A132="","",A132-A131)</f>
        <v>31</v>
      </c>
      <c r="AP131" s="212" t="n">
        <f aca="false">IF(A132="","",CHOOSE(F$3,A132+24,A131))</f>
        <v>40725</v>
      </c>
      <c r="AQ131" s="209" t="n">
        <f aca="false">IF(A132="","",AP131-$E$1)</f>
        <v>-5201</v>
      </c>
      <c r="AR131" s="185" t="n">
        <f aca="false">'ANR OK vs ML7'!AR131</f>
        <v>0.1</v>
      </c>
      <c r="AS131" s="213" t="n">
        <f aca="false">IF(A132="","",1/(1+CHOOSE(F$3,(AR132+($I$3/10000))/2,(AR131+($I$3/10000))/2))^(2*AQ131/365.25))</f>
        <v>4.01284766379345</v>
      </c>
      <c r="AT131" s="137" t="n">
        <f aca="false">IF(A132="","",IF(AND(mthbeg&lt;=A131,mthend&gt;=A131),1,0))</f>
        <v>1</v>
      </c>
      <c r="AU131" s="137" t="n">
        <f aca="false">IF(A132="","",AO131*AT131)</f>
        <v>31</v>
      </c>
      <c r="AW131" s="195" t="e">
        <f aca="false">IF($A132="","",AL131*$E131)</f>
        <v>#NAME?</v>
      </c>
      <c r="AX131" s="195" t="e">
        <f aca="false">IF($A132="","",AM131*$E131)</f>
        <v>#N/A</v>
      </c>
      <c r="AY131" s="195" t="e">
        <f aca="false">IF($A132="","",AN131*$E131)</f>
        <v>#N/A</v>
      </c>
      <c r="BA131" s="195" t="n">
        <f aca="false">IF($A132="","",F131*Summary!$Q$14)</f>
        <v>0</v>
      </c>
      <c r="BC131" s="179" t="e">
        <f aca="false">IF(A132="","",AM131*F131)</f>
        <v>#N/A</v>
      </c>
    </row>
    <row r="132" customFormat="false" ht="12.75" hidden="false" customHeight="false" outlineLevel="0" collapsed="false">
      <c r="A132" s="196" t="n">
        <f aca="false">IF(A131&lt;mthend,EDATE(A131,1),"")</f>
        <v>40756</v>
      </c>
      <c r="B132" s="197" t="n">
        <f aca="false">IF(A132&lt;mthend,B131,"")</f>
        <v>28400</v>
      </c>
      <c r="C132" s="215"/>
      <c r="D132" s="197" t="n">
        <f aca="false">IF(A133&lt;&gt;"",B132+C132,"")</f>
        <v>28400</v>
      </c>
      <c r="E132" s="199" t="n">
        <f aca="false">IF(A133="","",IF(AND(AT132=1,$H$3=1),D132*AO132,IF($H$3=2,D132,"N/A")))</f>
        <v>880400</v>
      </c>
      <c r="F132" s="199" t="n">
        <f aca="false">IF(A133="","",E132*AS132)</f>
        <v>3503772.44270078</v>
      </c>
      <c r="G132" s="200" t="e">
        <f aca="false">IF($A133="","",VLOOKUP($A132,Table,MATCH(G$4,Curves,0)))</f>
        <v>#N/A</v>
      </c>
      <c r="H132" s="201" t="e">
        <f aca="false">IF(A133="","",G132)</f>
        <v>#N/A</v>
      </c>
      <c r="I132" s="202"/>
      <c r="J132" s="200" t="e">
        <f aca="false">IF($A133="","",VLOOKUP($A132,Table,MATCH(J$4,Curves,0)))</f>
        <v>#N/A</v>
      </c>
      <c r="K132" s="201" t="e">
        <f aca="false">IF(A133="","",J132)</f>
        <v>#N/A</v>
      </c>
      <c r="L132" s="185" t="n">
        <v>0</v>
      </c>
      <c r="M132" s="201" t="n">
        <f aca="false">IF(A133="","",L132)</f>
        <v>0</v>
      </c>
      <c r="N132" s="203"/>
      <c r="O132" s="200" t="e">
        <f aca="false">IF(A133="","",L132+J132+G132)</f>
        <v>#N/A</v>
      </c>
      <c r="P132" s="200" t="e">
        <f aca="false">IF(A133="","",M132+K132+H132)</f>
        <v>#N/A</v>
      </c>
      <c r="Q132" s="204"/>
      <c r="R132" s="200" t="e">
        <f aca="false">IF($A133="","",VLOOKUP($A132,Table,MATCH(R$4,Curves,0)))</f>
        <v>#N/A</v>
      </c>
      <c r="S132" s="201" t="e">
        <f aca="false">IF(A133="","",R132)</f>
        <v>#N/A</v>
      </c>
      <c r="T132" s="200" t="e">
        <f aca="false">IF($A133="","",VLOOKUP($A132,Table,MATCH(T$4,Curves,0)))</f>
        <v>#N/A</v>
      </c>
      <c r="U132" s="201" t="e">
        <f aca="false">IF(A133="","",T132)</f>
        <v>#N/A</v>
      </c>
      <c r="V132" s="183" t="e">
        <f aca="false">IF($A133="","",IF(AND(MONTH(A132)&gt;3,MONTH(A132)&lt;11),(T132+R132+G132)*(((1/(1-Summary!$T$14))/(1-Summary!$W$14))-1),(T132+R132+G132)*((1/(1-Summary!$U$14))/(1-Summary!$X$14)-1)))</f>
        <v>#N/A</v>
      </c>
      <c r="W132" s="202" t="e">
        <f aca="false">IF($A133="","",(T132+R132+G132+V132))</f>
        <v>#N/A</v>
      </c>
      <c r="X132" s="202" t="e">
        <f aca="false">IF($A133="","",(U132+S132+H132+V132))</f>
        <v>#N/A</v>
      </c>
      <c r="Y132" s="202"/>
      <c r="Z132" s="185" t="e">
        <f aca="false">IF($A133="","",VLOOKUP($A132,Table,MATCH(Z$4,Curves,0)))</f>
        <v>#N/A</v>
      </c>
      <c r="AA132" s="185" t="e">
        <f aca="false">IF($A133="","",VLOOKUP($A132,Table,MATCH(AA$4,Curves,0)))</f>
        <v>#N/A</v>
      </c>
      <c r="AB132" s="185" t="e">
        <f aca="false">SQRT((AA132^2*(A132-$D$3)+Z132^2*(DAY(EOMONTH(A132,0))/2))/AK132)</f>
        <v>#N/A</v>
      </c>
      <c r="AC132" s="185" t="e">
        <f aca="false">IF($A133="","",VLOOKUP($A132,Table,MATCH(AC$4,Curves,0)))</f>
        <v>#N/A</v>
      </c>
      <c r="AD132" s="185" t="e">
        <f aca="false">IF($A133="","",VLOOKUP($A132,Table,MATCH(AD$4,Curves,0)))</f>
        <v>#N/A</v>
      </c>
      <c r="AE132" s="185" t="e">
        <f aca="false">SQRT((AD132^2*(A132-$D$3)+AC132^2*(DAY(EOMONTH(A132,0))/2))/AK132)</f>
        <v>#N/A</v>
      </c>
      <c r="AF132" s="224" t="e">
        <f aca="false">((Summary!$N$14*(AA132*AD132)*(A132-$D$3))+(Summary!$M$14*Z132*AC132*(AJ132-EOMONTH(EDATE(A132,-1),0))))/(AK132*AB132*AE132)</f>
        <v>#N/A</v>
      </c>
      <c r="AG132" s="207" t="n">
        <f aca="false">IF($A133="","",Summary!$Q$14)</f>
        <v>0</v>
      </c>
      <c r="AH132" s="207" t="n">
        <f aca="false">IF($A133="","",IF(Summary!$R$12="Y",(VLOOKUP($A132,Summary!$AD$6:$AF$9,3)+'Escalating commodity'!J145),'Escalating commodity'!J145))</f>
        <v>0.00592396480156043</v>
      </c>
      <c r="AI132" s="207" t="n">
        <f aca="false">IF($A133="","",AH132)</f>
        <v>0.00592396480156043</v>
      </c>
      <c r="AJ132" s="208" t="n">
        <f aca="false">A132+DAY(EOMONTH(A132,0))/2-1</f>
        <v>40770.5</v>
      </c>
      <c r="AK132" s="209" t="n">
        <f aca="false">IF($A133="","",$A132-$E$1)</f>
        <v>-5170</v>
      </c>
      <c r="AL132" s="182" t="e">
        <f aca="false">IF($A133="","",SPRDOPT(P132,X132,AI132,0,AB132,AE132,AF132,AK132,$AJ$2,0))</f>
        <v>#NAME?</v>
      </c>
      <c r="AM132" s="211" t="e">
        <f aca="false">IF($A133="","",MAX(0,O132-W132-AI132))</f>
        <v>#N/A</v>
      </c>
      <c r="AN132" s="211" t="e">
        <f aca="false">IF($A133="","",AL132-AM132)</f>
        <v>#N/A</v>
      </c>
      <c r="AO132" s="137" t="n">
        <f aca="false">IF(A133="","",A133-A132)</f>
        <v>31</v>
      </c>
      <c r="AP132" s="212" t="n">
        <f aca="false">IF(A133="","",CHOOSE(F$3,A133+24,A132))</f>
        <v>40756</v>
      </c>
      <c r="AQ132" s="209" t="n">
        <f aca="false">IF(A133="","",AP132-$E$1)</f>
        <v>-5170</v>
      </c>
      <c r="AR132" s="185" t="n">
        <f aca="false">'ANR OK vs ML7'!AR132</f>
        <v>0.1</v>
      </c>
      <c r="AS132" s="213" t="n">
        <f aca="false">IF(A133="","",1/(1+CHOOSE(F$3,(AR133+($I$3/10000))/2,(AR132+($I$3/10000))/2))^(2*AQ132/365.25))</f>
        <v>3.97975061642524</v>
      </c>
      <c r="AT132" s="137" t="n">
        <f aca="false">IF(A133="","",IF(AND(mthbeg&lt;=A132,mthend&gt;=A132),1,0))</f>
        <v>1</v>
      </c>
      <c r="AU132" s="137" t="n">
        <f aca="false">IF(A133="","",AO132*AT132)</f>
        <v>31</v>
      </c>
      <c r="AW132" s="195" t="e">
        <f aca="false">IF($A133="","",AL132*$E132)</f>
        <v>#NAME?</v>
      </c>
      <c r="AX132" s="195" t="e">
        <f aca="false">IF($A133="","",AM132*$E132)</f>
        <v>#N/A</v>
      </c>
      <c r="AY132" s="195" t="e">
        <f aca="false">IF($A133="","",AN132*$E132)</f>
        <v>#N/A</v>
      </c>
      <c r="BA132" s="195" t="n">
        <f aca="false">IF($A133="","",F132*Summary!$Q$14)</f>
        <v>0</v>
      </c>
      <c r="BC132" s="179" t="e">
        <f aca="false">IF(A133="","",AM132*F132)</f>
        <v>#N/A</v>
      </c>
    </row>
    <row r="133" customFormat="false" ht="12.75" hidden="false" customHeight="false" outlineLevel="0" collapsed="false">
      <c r="A133" s="196" t="n">
        <f aca="false">IF(A132&lt;mthend,EDATE(A132,1),"")</f>
        <v>40787</v>
      </c>
      <c r="B133" s="197" t="n">
        <f aca="false">IF(A133&lt;mthend,B132,"")</f>
        <v>28400</v>
      </c>
      <c r="C133" s="215"/>
      <c r="D133" s="197" t="n">
        <f aca="false">IF(A134&lt;&gt;"",B133+C133,"")</f>
        <v>28400</v>
      </c>
      <c r="E133" s="199" t="n">
        <f aca="false">IF(A134="","",IF(AND(AT133=1,$H$3=1),D133*AO133,IF($H$3=2,D133,"N/A")))</f>
        <v>852000</v>
      </c>
      <c r="F133" s="199" t="n">
        <f aca="false">IF(A134="","",E133*AS133)</f>
        <v>3362781.41711909</v>
      </c>
      <c r="G133" s="200" t="e">
        <f aca="false">IF($A134="","",VLOOKUP($A133,Table,MATCH(G$4,Curves,0)))</f>
        <v>#N/A</v>
      </c>
      <c r="H133" s="201" t="e">
        <f aca="false">IF(A134="","",G133)</f>
        <v>#N/A</v>
      </c>
      <c r="I133" s="202"/>
      <c r="J133" s="200" t="e">
        <f aca="false">IF($A134="","",VLOOKUP($A133,Table,MATCH(J$4,Curves,0)))</f>
        <v>#N/A</v>
      </c>
      <c r="K133" s="201" t="e">
        <f aca="false">IF(A134="","",J133)</f>
        <v>#N/A</v>
      </c>
      <c r="L133" s="185" t="n">
        <v>0</v>
      </c>
      <c r="M133" s="201" t="n">
        <f aca="false">IF(A134="","",L133)</f>
        <v>0</v>
      </c>
      <c r="N133" s="203"/>
      <c r="O133" s="200" t="e">
        <f aca="false">IF(A134="","",L133+J133+G133)</f>
        <v>#N/A</v>
      </c>
      <c r="P133" s="200" t="e">
        <f aca="false">IF(A134="","",M133+K133+H133)</f>
        <v>#N/A</v>
      </c>
      <c r="Q133" s="204"/>
      <c r="R133" s="200" t="e">
        <f aca="false">IF($A134="","",VLOOKUP($A133,Table,MATCH(R$4,Curves,0)))</f>
        <v>#N/A</v>
      </c>
      <c r="S133" s="201" t="e">
        <f aca="false">IF(A134="","",R133)</f>
        <v>#N/A</v>
      </c>
      <c r="T133" s="200" t="e">
        <f aca="false">IF($A134="","",VLOOKUP($A133,Table,MATCH(T$4,Curves,0)))</f>
        <v>#N/A</v>
      </c>
      <c r="U133" s="201" t="e">
        <f aca="false">IF(A134="","",T133)</f>
        <v>#N/A</v>
      </c>
      <c r="V133" s="183" t="e">
        <f aca="false">IF($A134="","",IF(AND(MONTH(A133)&gt;3,MONTH(A133)&lt;11),(T133+R133+G133)*(((1/(1-Summary!$T$14))/(1-Summary!$W$14))-1),(T133+R133+G133)*((1/(1-Summary!$U$14))/(1-Summary!$X$14)-1)))</f>
        <v>#N/A</v>
      </c>
      <c r="W133" s="202" t="e">
        <f aca="false">IF($A134="","",(T133+R133+G133+V133))</f>
        <v>#N/A</v>
      </c>
      <c r="X133" s="202" t="e">
        <f aca="false">IF($A134="","",(U133+S133+H133+V133))</f>
        <v>#N/A</v>
      </c>
      <c r="Y133" s="202"/>
      <c r="Z133" s="185" t="e">
        <f aca="false">IF($A134="","",VLOOKUP($A133,Table,MATCH(Z$4,Curves,0)))</f>
        <v>#N/A</v>
      </c>
      <c r="AA133" s="185" t="e">
        <f aca="false">IF($A134="","",VLOOKUP($A133,Table,MATCH(AA$4,Curves,0)))</f>
        <v>#N/A</v>
      </c>
      <c r="AB133" s="185" t="e">
        <f aca="false">SQRT((AA133^2*(A133-$D$3)+Z133^2*(DAY(EOMONTH(A133,0))/2))/AK133)</f>
        <v>#N/A</v>
      </c>
      <c r="AC133" s="185" t="e">
        <f aca="false">IF($A134="","",VLOOKUP($A133,Table,MATCH(AC$4,Curves,0)))</f>
        <v>#N/A</v>
      </c>
      <c r="AD133" s="185" t="e">
        <f aca="false">IF($A134="","",VLOOKUP($A133,Table,MATCH(AD$4,Curves,0)))</f>
        <v>#N/A</v>
      </c>
      <c r="AE133" s="185" t="e">
        <f aca="false">SQRT((AD133^2*(A133-$D$3)+AC133^2*(DAY(EOMONTH(A133,0))/2))/AK133)</f>
        <v>#N/A</v>
      </c>
      <c r="AF133" s="224" t="e">
        <f aca="false">((Summary!$N$14*(AA133*AD133)*(A133-$D$3))+(Summary!$M$14*Z133*AC133*(AJ133-EOMONTH(EDATE(A133,-1),0))))/(AK133*AB133*AE133)</f>
        <v>#N/A</v>
      </c>
      <c r="AG133" s="207" t="n">
        <f aca="false">IF($A134="","",Summary!$Q$14)</f>
        <v>0</v>
      </c>
      <c r="AH133" s="207" t="n">
        <f aca="false">IF($A134="","",IF(Summary!$R$12="Y",(VLOOKUP($A133,Summary!$AD$6:$AF$9,3)+'Escalating commodity'!J146),'Escalating commodity'!J146))</f>
        <v>0.00592396480156043</v>
      </c>
      <c r="AI133" s="207" t="n">
        <f aca="false">IF($A134="","",AH133)</f>
        <v>0.00592396480156043</v>
      </c>
      <c r="AJ133" s="208" t="n">
        <f aca="false">A133+DAY(EOMONTH(A133,0))/2-1</f>
        <v>40801</v>
      </c>
      <c r="AK133" s="209" t="n">
        <f aca="false">IF($A134="","",$A133-$E$1)</f>
        <v>-5139</v>
      </c>
      <c r="AL133" s="182" t="e">
        <f aca="false">IF($A134="","",SPRDOPT(P133,X133,AI133,0,AB133,AE133,AF133,AK133,$AJ$2,0))</f>
        <v>#NAME?</v>
      </c>
      <c r="AM133" s="211" t="e">
        <f aca="false">IF($A134="","",MAX(0,O133-W133-AI133))</f>
        <v>#N/A</v>
      </c>
      <c r="AN133" s="211" t="e">
        <f aca="false">IF($A134="","",AL133-AM133)</f>
        <v>#N/A</v>
      </c>
      <c r="AO133" s="137" t="n">
        <f aca="false">IF(A134="","",A134-A133)</f>
        <v>30</v>
      </c>
      <c r="AP133" s="212" t="n">
        <f aca="false">IF(A134="","",CHOOSE(F$3,A134+24,A133))</f>
        <v>40787</v>
      </c>
      <c r="AQ133" s="209" t="n">
        <f aca="false">IF(A134="","",AP133-$E$1)</f>
        <v>-5139</v>
      </c>
      <c r="AR133" s="185" t="n">
        <f aca="false">'ANR OK vs ML7'!AR133</f>
        <v>0.1</v>
      </c>
      <c r="AS133" s="213" t="n">
        <f aca="false">IF(A134="","",1/(1+CHOOSE(F$3,(AR134+($I$3/10000))/2,(AR133+($I$3/10000))/2))^(2*AQ133/365.25))</f>
        <v>3.94692654591443</v>
      </c>
      <c r="AT133" s="137" t="n">
        <f aca="false">IF(A134="","",IF(AND(mthbeg&lt;=A133,mthend&gt;=A133),1,0))</f>
        <v>1</v>
      </c>
      <c r="AU133" s="137" t="n">
        <f aca="false">IF(A134="","",AO133*AT133)</f>
        <v>30</v>
      </c>
      <c r="AW133" s="195" t="e">
        <f aca="false">IF($A134="","",AL133*$E133)</f>
        <v>#NAME?</v>
      </c>
      <c r="AX133" s="195" t="e">
        <f aca="false">IF($A134="","",AM133*$E133)</f>
        <v>#N/A</v>
      </c>
      <c r="AY133" s="195" t="e">
        <f aca="false">IF($A134="","",AN133*$E133)</f>
        <v>#N/A</v>
      </c>
      <c r="BA133" s="195" t="n">
        <f aca="false">IF($A134="","",F133*Summary!$Q$14)</f>
        <v>0</v>
      </c>
      <c r="BC133" s="179" t="e">
        <f aca="false">IF(A134="","",AM133*F133)</f>
        <v>#N/A</v>
      </c>
    </row>
    <row r="134" customFormat="false" ht="12.75" hidden="false" customHeight="false" outlineLevel="0" collapsed="false">
      <c r="A134" s="196" t="n">
        <f aca="false">IF(A133&lt;mthend,EDATE(A133,1),"")</f>
        <v>40817</v>
      </c>
      <c r="B134" s="197" t="n">
        <f aca="false">IF(A134&lt;mthend,B133,"")</f>
        <v>28400</v>
      </c>
      <c r="C134" s="215"/>
      <c r="D134" s="197" t="n">
        <f aca="false">IF(A135&lt;&gt;"",B134+C134,"")</f>
        <v>28400</v>
      </c>
      <c r="E134" s="199" t="n">
        <f aca="false">IF(A135="","",IF(AND(AT134=1,$H$3=1),D134*AO134,IF($H$3=2,D134,"N/A")))</f>
        <v>880400</v>
      </c>
      <c r="F134" s="199" t="n">
        <f aca="false">IF(A135="","",E134*AS134)</f>
        <v>3447134.98087256</v>
      </c>
      <c r="G134" s="200" t="e">
        <f aca="false">IF($A135="","",VLOOKUP($A134,Table,MATCH(G$4,Curves,0)))</f>
        <v>#N/A</v>
      </c>
      <c r="H134" s="201" t="e">
        <f aca="false">IF(A135="","",G134)</f>
        <v>#N/A</v>
      </c>
      <c r="I134" s="202"/>
      <c r="J134" s="200" t="e">
        <f aca="false">IF($A135="","",VLOOKUP($A134,Table,MATCH(J$4,Curves,0)))</f>
        <v>#N/A</v>
      </c>
      <c r="K134" s="201" t="e">
        <f aca="false">IF(A135="","",J134)</f>
        <v>#N/A</v>
      </c>
      <c r="L134" s="185" t="n">
        <v>0</v>
      </c>
      <c r="M134" s="201" t="n">
        <f aca="false">IF(A135="","",L134)</f>
        <v>0</v>
      </c>
      <c r="N134" s="203"/>
      <c r="O134" s="200" t="e">
        <f aca="false">IF(A135="","",L134+J134+G134)</f>
        <v>#N/A</v>
      </c>
      <c r="P134" s="200" t="e">
        <f aca="false">IF(A135="","",M134+K134+H134)</f>
        <v>#N/A</v>
      </c>
      <c r="Q134" s="204"/>
      <c r="R134" s="200" t="e">
        <f aca="false">IF($A135="","",VLOOKUP($A134,Table,MATCH(R$4,Curves,0)))</f>
        <v>#N/A</v>
      </c>
      <c r="S134" s="201" t="e">
        <f aca="false">IF(A135="","",R134)</f>
        <v>#N/A</v>
      </c>
      <c r="T134" s="200" t="e">
        <f aca="false">IF($A135="","",VLOOKUP($A134,Table,MATCH(T$4,Curves,0)))</f>
        <v>#N/A</v>
      </c>
      <c r="U134" s="201" t="e">
        <f aca="false">IF(A135="","",T134)</f>
        <v>#N/A</v>
      </c>
      <c r="V134" s="183" t="e">
        <f aca="false">IF($A135="","",IF(AND(MONTH(A134)&gt;3,MONTH(A134)&lt;11),(T134+R134+G134)*(((1/(1-Summary!$T$14))/(1-Summary!$W$14))-1),(T134+R134+G134)*((1/(1-Summary!$U$14))/(1-Summary!$X$14)-1)))</f>
        <v>#N/A</v>
      </c>
      <c r="W134" s="202" t="e">
        <f aca="false">IF($A135="","",(T134+R134+G134+V134))</f>
        <v>#N/A</v>
      </c>
      <c r="X134" s="202" t="e">
        <f aca="false">IF($A135="","",(U134+S134+H134+V134))</f>
        <v>#N/A</v>
      </c>
      <c r="Y134" s="202"/>
      <c r="Z134" s="185" t="e">
        <f aca="false">IF($A135="","",VLOOKUP($A134,Table,MATCH(Z$4,Curves,0)))</f>
        <v>#N/A</v>
      </c>
      <c r="AA134" s="185" t="e">
        <f aca="false">IF($A135="","",VLOOKUP($A134,Table,MATCH(AA$4,Curves,0)))</f>
        <v>#N/A</v>
      </c>
      <c r="AB134" s="185" t="e">
        <f aca="false">SQRT((AA134^2*(A134-$D$3)+Z134^2*(DAY(EOMONTH(A134,0))/2))/AK134)</f>
        <v>#N/A</v>
      </c>
      <c r="AC134" s="185" t="e">
        <f aca="false">IF($A135="","",VLOOKUP($A134,Table,MATCH(AC$4,Curves,0)))</f>
        <v>#N/A</v>
      </c>
      <c r="AD134" s="185" t="e">
        <f aca="false">IF($A135="","",VLOOKUP($A134,Table,MATCH(AD$4,Curves,0)))</f>
        <v>#N/A</v>
      </c>
      <c r="AE134" s="185" t="e">
        <f aca="false">SQRT((AD134^2*(A134-$D$3)+AC134^2*(DAY(EOMONTH(A134,0))/2))/AK134)</f>
        <v>#N/A</v>
      </c>
      <c r="AF134" s="224" t="e">
        <f aca="false">((Summary!$N$14*(AA134*AD134)*(A134-$D$3))+(Summary!$M$14*Z134*AC134*(AJ134-EOMONTH(EDATE(A134,-1),0))))/(AK134*AB134*AE134)</f>
        <v>#N/A</v>
      </c>
      <c r="AG134" s="207" t="n">
        <f aca="false">IF($A135="","",Summary!$Q$14)</f>
        <v>0</v>
      </c>
      <c r="AH134" s="207" t="n">
        <f aca="false">IF($A135="","",IF(Summary!$R$12="Y",(VLOOKUP($A134,Summary!$AD$6:$AF$9,3)+'Escalating commodity'!J147),'Escalating commodity'!J147))</f>
        <v>0.00592396480156043</v>
      </c>
      <c r="AI134" s="207" t="n">
        <f aca="false">IF($A135="","",AH134)</f>
        <v>0.00592396480156043</v>
      </c>
      <c r="AJ134" s="208" t="n">
        <f aca="false">A134+DAY(EOMONTH(A134,0))/2-1</f>
        <v>40831.5</v>
      </c>
      <c r="AK134" s="209" t="n">
        <f aca="false">IF($A135="","",$A134-$E$1)</f>
        <v>-5109</v>
      </c>
      <c r="AL134" s="182" t="e">
        <f aca="false">IF($A135="","",SPRDOPT(P134,X134,AI134,0,AB134,AE134,AF134,AK134,$AJ$2,0))</f>
        <v>#NAME?</v>
      </c>
      <c r="AM134" s="211" t="e">
        <f aca="false">IF($A135="","",MAX(0,O134-W134-AI134))</f>
        <v>#N/A</v>
      </c>
      <c r="AN134" s="211" t="e">
        <f aca="false">IF($A135="","",AL134-AM134)</f>
        <v>#N/A</v>
      </c>
      <c r="AO134" s="137" t="n">
        <f aca="false">IF(A135="","",A135-A134)</f>
        <v>31</v>
      </c>
      <c r="AP134" s="212" t="n">
        <f aca="false">IF(A135="","",CHOOSE(F$3,A135+24,A134))</f>
        <v>40817</v>
      </c>
      <c r="AQ134" s="209" t="n">
        <f aca="false">IF(A135="","",AP134-$E$1)</f>
        <v>-5109</v>
      </c>
      <c r="AR134" s="185" t="n">
        <f aca="false">'ANR OK vs ML7'!AR134</f>
        <v>0.1</v>
      </c>
      <c r="AS134" s="213" t="n">
        <f aca="false">IF(A135="","",1/(1+CHOOSE(F$3,(AR135+($I$3/10000))/2,(AR134+($I$3/10000))/2))^(2*AQ134/365.25))</f>
        <v>3.91541910594338</v>
      </c>
      <c r="AT134" s="137" t="n">
        <f aca="false">IF(A135="","",IF(AND(mthbeg&lt;=A134,mthend&gt;=A134),1,0))</f>
        <v>1</v>
      </c>
      <c r="AU134" s="137" t="n">
        <f aca="false">IF(A135="","",AO134*AT134)</f>
        <v>31</v>
      </c>
      <c r="AW134" s="195" t="e">
        <f aca="false">IF($A135="","",AL134*$E134)</f>
        <v>#NAME?</v>
      </c>
      <c r="AX134" s="195" t="e">
        <f aca="false">IF($A135="","",AM134*$E134)</f>
        <v>#N/A</v>
      </c>
      <c r="AY134" s="195" t="e">
        <f aca="false">IF($A135="","",AN134*$E134)</f>
        <v>#N/A</v>
      </c>
      <c r="BA134" s="195" t="n">
        <f aca="false">IF($A135="","",F134*Summary!$Q$14)</f>
        <v>0</v>
      </c>
      <c r="BC134" s="179" t="e">
        <f aca="false">IF(A135="","",AM134*F134)</f>
        <v>#N/A</v>
      </c>
    </row>
    <row r="135" customFormat="false" ht="12.75" hidden="false" customHeight="false" outlineLevel="0" collapsed="false">
      <c r="A135" s="196" t="n">
        <f aca="false">IF(A134&lt;mthend,EDATE(A134,1),"")</f>
        <v>40848</v>
      </c>
      <c r="B135" s="197" t="n">
        <f aca="false">IF(A135&lt;mthend,B134,"")</f>
        <v>28400</v>
      </c>
      <c r="C135" s="215"/>
      <c r="D135" s="197" t="n">
        <f aca="false">IF(A136&lt;&gt;"",B135+C135,"")</f>
        <v>28400</v>
      </c>
      <c r="E135" s="199" t="n">
        <f aca="false">IF(A136="","",IF(AND(AT135=1,$H$3=1),D135*AO135,IF($H$3=2,D135,"N/A")))</f>
        <v>852000</v>
      </c>
      <c r="F135" s="199" t="n">
        <f aca="false">IF(A136="","",E135*AS135)</f>
        <v>3308423.03418657</v>
      </c>
      <c r="G135" s="200" t="e">
        <f aca="false">IF($A136="","",VLOOKUP($A135,Table,MATCH(G$4,Curves,0)))</f>
        <v>#N/A</v>
      </c>
      <c r="H135" s="201" t="e">
        <f aca="false">IF(A136="","",G135)</f>
        <v>#N/A</v>
      </c>
      <c r="I135" s="202"/>
      <c r="J135" s="200" t="e">
        <f aca="false">IF($A136="","",VLOOKUP($A135,Table,MATCH(J$4,Curves,0)))</f>
        <v>#N/A</v>
      </c>
      <c r="K135" s="201" t="e">
        <f aca="false">IF(A136="","",J135)</f>
        <v>#N/A</v>
      </c>
      <c r="L135" s="185" t="n">
        <v>0</v>
      </c>
      <c r="M135" s="201" t="n">
        <f aca="false">IF(A136="","",L135)</f>
        <v>0</v>
      </c>
      <c r="N135" s="203"/>
      <c r="O135" s="200" t="e">
        <f aca="false">IF(A136="","",L135+J135+G135)</f>
        <v>#N/A</v>
      </c>
      <c r="P135" s="200" t="e">
        <f aca="false">IF(A136="","",M135+K135+H135)</f>
        <v>#N/A</v>
      </c>
      <c r="Q135" s="204"/>
      <c r="R135" s="200" t="e">
        <f aca="false">IF($A136="","",VLOOKUP($A135,Table,MATCH(R$4,Curves,0)))</f>
        <v>#N/A</v>
      </c>
      <c r="S135" s="201" t="e">
        <f aca="false">IF(A136="","",R135)</f>
        <v>#N/A</v>
      </c>
      <c r="T135" s="200" t="e">
        <f aca="false">IF($A136="","",VLOOKUP($A135,Table,MATCH(T$4,Curves,0)))</f>
        <v>#N/A</v>
      </c>
      <c r="U135" s="201" t="e">
        <f aca="false">IF(A136="","",T135)</f>
        <v>#N/A</v>
      </c>
      <c r="V135" s="183" t="e">
        <f aca="false">IF($A136="","",IF(AND(MONTH(A135)&gt;3,MONTH(A135)&lt;11),(T135+R135+G135)*(((1/(1-Summary!$T$14))/(1-Summary!$W$14))-1),(T135+R135+G135)*((1/(1-Summary!$U$14))/(1-Summary!$X$14)-1)))</f>
        <v>#N/A</v>
      </c>
      <c r="W135" s="202" t="e">
        <f aca="false">IF($A136="","",(T135+R135+G135+V135))</f>
        <v>#N/A</v>
      </c>
      <c r="X135" s="202" t="e">
        <f aca="false">IF($A136="","",(U135+S135+H135+V135))</f>
        <v>#N/A</v>
      </c>
      <c r="Y135" s="202"/>
      <c r="Z135" s="185" t="e">
        <f aca="false">IF($A136="","",VLOOKUP($A135,Table,MATCH(Z$4,Curves,0)))</f>
        <v>#N/A</v>
      </c>
      <c r="AA135" s="185" t="e">
        <f aca="false">IF($A136="","",VLOOKUP($A135,Table,MATCH(AA$4,Curves,0)))</f>
        <v>#N/A</v>
      </c>
      <c r="AB135" s="185" t="e">
        <f aca="false">SQRT((AA135^2*(A135-$D$3)+Z135^2*(DAY(EOMONTH(A135,0))/2))/AK135)</f>
        <v>#N/A</v>
      </c>
      <c r="AC135" s="185" t="e">
        <f aca="false">IF($A136="","",VLOOKUP($A135,Table,MATCH(AC$4,Curves,0)))</f>
        <v>#N/A</v>
      </c>
      <c r="AD135" s="185" t="e">
        <f aca="false">IF($A136="","",VLOOKUP($A135,Table,MATCH(AD$4,Curves,0)))</f>
        <v>#N/A</v>
      </c>
      <c r="AE135" s="185" t="e">
        <f aca="false">SQRT((AD135^2*(A135-$D$3)+AC135^2*(DAY(EOMONTH(A135,0))/2))/AK135)</f>
        <v>#N/A</v>
      </c>
      <c r="AF135" s="224" t="e">
        <f aca="false">((Summary!$N$14*(AA135*AD135)*(A135-$D$3))+(Summary!$M$14*Z135*AC135*(AJ135-EOMONTH(EDATE(A135,-1),0))))/(AK135*AB135*AE135)</f>
        <v>#N/A</v>
      </c>
      <c r="AG135" s="207" t="n">
        <f aca="false">IF($A136="","",Summary!$Q$14)</f>
        <v>0</v>
      </c>
      <c r="AH135" s="207" t="n">
        <f aca="false">IF($A136="","",IF(Summary!$R$12="Y",(VLOOKUP($A135,Summary!$AD$6:$AF$9,3)+'Escalating commodity'!J148),'Escalating commodity'!J148))</f>
        <v>0.00592396480156043</v>
      </c>
      <c r="AI135" s="207" t="n">
        <f aca="false">IF($A136="","",AH135)</f>
        <v>0.00592396480156043</v>
      </c>
      <c r="AJ135" s="208" t="n">
        <f aca="false">A135+DAY(EOMONTH(A135,0))/2-1</f>
        <v>40862</v>
      </c>
      <c r="AK135" s="209" t="n">
        <f aca="false">IF($A136="","",$A135-$E$1)</f>
        <v>-5078</v>
      </c>
      <c r="AL135" s="182" t="e">
        <f aca="false">IF($A136="","",SPRDOPT(P135,X135,AI135,0,AB135,AE135,AF135,AK135,$AJ$2,0))</f>
        <v>#NAME?</v>
      </c>
      <c r="AM135" s="211" t="e">
        <f aca="false">IF($A136="","",MAX(0,O135-W135-AI135))</f>
        <v>#N/A</v>
      </c>
      <c r="AN135" s="211" t="e">
        <f aca="false">IF($A136="","",AL135-AM135)</f>
        <v>#N/A</v>
      </c>
      <c r="AO135" s="137" t="n">
        <f aca="false">IF(A136="","",A136-A135)</f>
        <v>30</v>
      </c>
      <c r="AP135" s="212" t="n">
        <f aca="false">IF(A136="","",CHOOSE(F$3,A136+24,A135))</f>
        <v>40848</v>
      </c>
      <c r="AQ135" s="209" t="n">
        <f aca="false">IF(A136="","",AP135-$E$1)</f>
        <v>-5078</v>
      </c>
      <c r="AR135" s="185" t="n">
        <f aca="false">'ANR OK vs ML7'!AR135</f>
        <v>0.1</v>
      </c>
      <c r="AS135" s="213" t="n">
        <f aca="false">IF(A136="","",1/(1+CHOOSE(F$3,(AR136+($I$3/10000))/2,(AR135+($I$3/10000))/2))^(2*AQ135/365.25))</f>
        <v>3.88312562697955</v>
      </c>
      <c r="AT135" s="137" t="n">
        <f aca="false">IF(A136="","",IF(AND(mthbeg&lt;=A135,mthend&gt;=A135),1,0))</f>
        <v>1</v>
      </c>
      <c r="AU135" s="137" t="n">
        <f aca="false">IF(A136="","",AO135*AT135)</f>
        <v>30</v>
      </c>
      <c r="AW135" s="195" t="e">
        <f aca="false">IF($A136="","",AL135*$E135)</f>
        <v>#NAME?</v>
      </c>
      <c r="AX135" s="195" t="e">
        <f aca="false">IF($A136="","",AM135*$E135)</f>
        <v>#N/A</v>
      </c>
      <c r="AY135" s="195" t="e">
        <f aca="false">IF($A136="","",AN135*$E135)</f>
        <v>#N/A</v>
      </c>
      <c r="BA135" s="195" t="n">
        <f aca="false">IF($A136="","",F135*Summary!$Q$14)</f>
        <v>0</v>
      </c>
      <c r="BC135" s="179" t="e">
        <f aca="false">IF(A136="","",AM135*F135)</f>
        <v>#N/A</v>
      </c>
    </row>
    <row r="136" customFormat="false" ht="12.75" hidden="false" customHeight="false" outlineLevel="0" collapsed="false">
      <c r="A136" s="196" t="n">
        <f aca="false">IF(A135&lt;mthend,EDATE(A135,1),"")</f>
        <v>40878</v>
      </c>
      <c r="B136" s="197" t="n">
        <f aca="false">IF(A136&lt;mthend,B135,"")</f>
        <v>28400</v>
      </c>
      <c r="C136" s="215"/>
      <c r="D136" s="197" t="n">
        <f aca="false">IF(A137&lt;&gt;"",B136+C136,"")</f>
        <v>28400</v>
      </c>
      <c r="E136" s="199" t="n">
        <f aca="false">IF(A137="","",IF(AND(AT136=1,$H$3=1),D136*AO136,IF($H$3=2,D136,"N/A")))</f>
        <v>880400</v>
      </c>
      <c r="F136" s="199" t="n">
        <f aca="false">IF(A137="","",E136*AS136)</f>
        <v>3391413.0471315</v>
      </c>
      <c r="G136" s="200" t="e">
        <f aca="false">IF($A137="","",VLOOKUP($A136,Table,MATCH(G$4,Curves,0)))</f>
        <v>#N/A</v>
      </c>
      <c r="H136" s="201" t="e">
        <f aca="false">IF(A137="","",G136)</f>
        <v>#N/A</v>
      </c>
      <c r="I136" s="202"/>
      <c r="J136" s="200" t="e">
        <f aca="false">IF($A137="","",VLOOKUP($A136,Table,MATCH(J$4,Curves,0)))</f>
        <v>#N/A</v>
      </c>
      <c r="K136" s="201" t="e">
        <f aca="false">IF(A137="","",J136)</f>
        <v>#N/A</v>
      </c>
      <c r="L136" s="185" t="n">
        <v>0</v>
      </c>
      <c r="M136" s="201" t="n">
        <f aca="false">IF(A137="","",L136)</f>
        <v>0</v>
      </c>
      <c r="N136" s="203"/>
      <c r="O136" s="200" t="e">
        <f aca="false">IF(A137="","",L136+J136+G136)</f>
        <v>#N/A</v>
      </c>
      <c r="P136" s="200" t="e">
        <f aca="false">IF(A137="","",M136+K136+H136)</f>
        <v>#N/A</v>
      </c>
      <c r="Q136" s="204"/>
      <c r="R136" s="200" t="e">
        <f aca="false">IF($A137="","",VLOOKUP($A136,Table,MATCH(R$4,Curves,0)))</f>
        <v>#N/A</v>
      </c>
      <c r="S136" s="201" t="e">
        <f aca="false">IF(A137="","",R136)</f>
        <v>#N/A</v>
      </c>
      <c r="T136" s="200" t="e">
        <f aca="false">IF($A137="","",VLOOKUP($A136,Table,MATCH(T$4,Curves,0)))</f>
        <v>#N/A</v>
      </c>
      <c r="U136" s="201" t="e">
        <f aca="false">IF(A137="","",T136)</f>
        <v>#N/A</v>
      </c>
      <c r="V136" s="183" t="e">
        <f aca="false">IF($A137="","",IF(AND(MONTH(A136)&gt;3,MONTH(A136)&lt;11),(T136+R136+G136)*(((1/(1-Summary!$T$14))/(1-Summary!$W$14))-1),(T136+R136+G136)*((1/(1-Summary!$U$14))/(1-Summary!$X$14)-1)))</f>
        <v>#N/A</v>
      </c>
      <c r="W136" s="202" t="e">
        <f aca="false">IF($A137="","",(T136+R136+G136+V136))</f>
        <v>#N/A</v>
      </c>
      <c r="X136" s="202" t="e">
        <f aca="false">IF($A137="","",(U136+S136+H136+V136))</f>
        <v>#N/A</v>
      </c>
      <c r="Y136" s="202"/>
      <c r="Z136" s="185" t="e">
        <f aca="false">IF($A137="","",VLOOKUP($A136,Table,MATCH(Z$4,Curves,0)))</f>
        <v>#N/A</v>
      </c>
      <c r="AA136" s="185" t="e">
        <f aca="false">IF($A137="","",VLOOKUP($A136,Table,MATCH(AA$4,Curves,0)))</f>
        <v>#N/A</v>
      </c>
      <c r="AB136" s="185" t="e">
        <f aca="false">SQRT((AA136^2*(A136-$D$3)+Z136^2*(DAY(EOMONTH(A136,0))/2))/AK136)</f>
        <v>#N/A</v>
      </c>
      <c r="AC136" s="185" t="e">
        <f aca="false">IF($A137="","",VLOOKUP($A136,Table,MATCH(AC$4,Curves,0)))</f>
        <v>#N/A</v>
      </c>
      <c r="AD136" s="185" t="e">
        <f aca="false">IF($A137="","",VLOOKUP($A136,Table,MATCH(AD$4,Curves,0)))</f>
        <v>#N/A</v>
      </c>
      <c r="AE136" s="185" t="e">
        <f aca="false">SQRT((AD136^2*(A136-$D$3)+AC136^2*(DAY(EOMONTH(A136,0))/2))/AK136)</f>
        <v>#N/A</v>
      </c>
      <c r="AF136" s="224" t="e">
        <f aca="false">((Summary!$N$14*(AA136*AD136)*(A136-$D$3))+(Summary!$M$14*Z136*AC136*(AJ136-EOMONTH(EDATE(A136,-1),0))))/(AK136*AB136*AE136)</f>
        <v>#N/A</v>
      </c>
      <c r="AG136" s="207" t="n">
        <f aca="false">IF($A137="","",Summary!$Q$14)</f>
        <v>0</v>
      </c>
      <c r="AH136" s="207" t="n">
        <f aca="false">IF($A137="","",IF(Summary!$R$12="Y",(VLOOKUP($A136,Summary!$AD$6:$AF$9,3)+'Escalating commodity'!J149),'Escalating commodity'!J149))</f>
        <v>0.00592396480156043</v>
      </c>
      <c r="AI136" s="207" t="n">
        <f aca="false">IF($A137="","",AH136)</f>
        <v>0.00592396480156043</v>
      </c>
      <c r="AJ136" s="208" t="n">
        <f aca="false">A136+DAY(EOMONTH(A136,0))/2-1</f>
        <v>40892.5</v>
      </c>
      <c r="AK136" s="209" t="n">
        <f aca="false">IF($A137="","",$A136-$E$1)</f>
        <v>-5048</v>
      </c>
      <c r="AL136" s="182" t="e">
        <f aca="false">IF($A137="","",SPRDOPT(P136,X136,AI136,0,AB136,AE136,AF136,AK136,$AJ$2,0))</f>
        <v>#NAME?</v>
      </c>
      <c r="AM136" s="211" t="e">
        <f aca="false">IF($A137="","",MAX(0,O136-W136-AI136))</f>
        <v>#N/A</v>
      </c>
      <c r="AN136" s="211" t="e">
        <f aca="false">IF($A137="","",AL136-AM136)</f>
        <v>#N/A</v>
      </c>
      <c r="AO136" s="137" t="n">
        <f aca="false">IF(A137="","",A137-A136)</f>
        <v>31</v>
      </c>
      <c r="AP136" s="212" t="n">
        <f aca="false">IF(A137="","",CHOOSE(F$3,A137+24,A136))</f>
        <v>40878</v>
      </c>
      <c r="AQ136" s="209" t="n">
        <f aca="false">IF(A137="","",AP136-$E$1)</f>
        <v>-5048</v>
      </c>
      <c r="AR136" s="185" t="n">
        <f aca="false">'ANR OK vs ML7'!AR136</f>
        <v>0.1</v>
      </c>
      <c r="AS136" s="213" t="n">
        <f aca="false">IF(A137="","",1/(1+CHOOSE(F$3,(AR137+($I$3/10000))/2,(AR136+($I$3/10000))/2))^(2*AQ136/365.25))</f>
        <v>3.85212749560598</v>
      </c>
      <c r="AT136" s="137" t="n">
        <f aca="false">IF(A137="","",IF(AND(mthbeg&lt;=A136,mthend&gt;=A136),1,0))</f>
        <v>1</v>
      </c>
      <c r="AU136" s="137" t="n">
        <f aca="false">IF(A137="","",AO136*AT136)</f>
        <v>31</v>
      </c>
      <c r="AW136" s="195" t="e">
        <f aca="false">IF($A137="","",AL136*$E136)</f>
        <v>#NAME?</v>
      </c>
      <c r="AX136" s="195" t="e">
        <f aca="false">IF($A137="","",AM136*$E136)</f>
        <v>#N/A</v>
      </c>
      <c r="AY136" s="195" t="e">
        <f aca="false">IF($A137="","",AN136*$E136)</f>
        <v>#N/A</v>
      </c>
      <c r="BA136" s="195" t="n">
        <f aca="false">IF($A137="","",F136*Summary!$Q$14)</f>
        <v>0</v>
      </c>
      <c r="BC136" s="179" t="e">
        <f aca="false">IF(A137="","",AM136*F136)</f>
        <v>#N/A</v>
      </c>
    </row>
    <row r="137" customFormat="false" ht="12.75" hidden="false" customHeight="false" outlineLevel="0" collapsed="false">
      <c r="A137" s="196" t="n">
        <f aca="false">IF(A136&lt;mthend,EDATE(A136,1),"")</f>
        <v>40909</v>
      </c>
      <c r="B137" s="197" t="n">
        <f aca="false">IF(A137&lt;mthend,B136,"")</f>
        <v>28400</v>
      </c>
      <c r="C137" s="215"/>
      <c r="D137" s="197" t="n">
        <f aca="false">IF(A138&lt;&gt;"",B137+C137,"")</f>
        <v>28400</v>
      </c>
      <c r="E137" s="199" t="n">
        <f aca="false">IF(A138="","",IF(AND(AT137=1,$H$3=1),D137*AO137,IF($H$3=2,D137,"N/A")))</f>
        <v>880400</v>
      </c>
      <c r="F137" s="199" t="n">
        <f aca="false">IF(A138="","",E137*AS137)</f>
        <v>3363441.44998396</v>
      </c>
      <c r="G137" s="200" t="e">
        <f aca="false">IF($A138="","",VLOOKUP($A137,Table,MATCH(G$4,Curves,0)))</f>
        <v>#N/A</v>
      </c>
      <c r="H137" s="201" t="e">
        <f aca="false">IF(A138="","",G137)</f>
        <v>#N/A</v>
      </c>
      <c r="I137" s="202"/>
      <c r="J137" s="200" t="e">
        <f aca="false">IF($A138="","",VLOOKUP($A137,Table,MATCH(J$4,Curves,0)))</f>
        <v>#N/A</v>
      </c>
      <c r="K137" s="201" t="e">
        <f aca="false">IF(A138="","",J137)</f>
        <v>#N/A</v>
      </c>
      <c r="L137" s="185" t="n">
        <v>0</v>
      </c>
      <c r="M137" s="201" t="n">
        <f aca="false">IF(A138="","",L137)</f>
        <v>0</v>
      </c>
      <c r="N137" s="203"/>
      <c r="O137" s="200" t="e">
        <f aca="false">IF(A138="","",L137+J137+G137)</f>
        <v>#N/A</v>
      </c>
      <c r="P137" s="200" t="e">
        <f aca="false">IF(A138="","",M137+K137+H137)</f>
        <v>#N/A</v>
      </c>
      <c r="Q137" s="204"/>
      <c r="R137" s="200" t="e">
        <f aca="false">IF($A138="","",VLOOKUP($A137,Table,MATCH(R$4,Curves,0)))</f>
        <v>#N/A</v>
      </c>
      <c r="S137" s="201" t="e">
        <f aca="false">IF(A138="","",R137)</f>
        <v>#N/A</v>
      </c>
      <c r="T137" s="200" t="e">
        <f aca="false">IF($A138="","",VLOOKUP($A137,Table,MATCH(T$4,Curves,0)))</f>
        <v>#N/A</v>
      </c>
      <c r="U137" s="201" t="e">
        <f aca="false">IF(A138="","",T137)</f>
        <v>#N/A</v>
      </c>
      <c r="V137" s="183" t="e">
        <f aca="false">IF($A138="","",IF(AND(MONTH(A137)&gt;3,MONTH(A137)&lt;11),(T137+R137+G137)*(((1/(1-Summary!$T$14))/(1-Summary!$W$14))-1),(T137+R137+G137)*((1/(1-Summary!$U$14))/(1-Summary!$X$14)-1)))</f>
        <v>#N/A</v>
      </c>
      <c r="W137" s="202" t="e">
        <f aca="false">IF($A138="","",(T137+R137+G137+V137))</f>
        <v>#N/A</v>
      </c>
      <c r="X137" s="202" t="e">
        <f aca="false">IF($A138="","",(U137+S137+H137+V137))</f>
        <v>#N/A</v>
      </c>
      <c r="Y137" s="202"/>
      <c r="Z137" s="185" t="e">
        <f aca="false">IF($A138="","",VLOOKUP($A137,Table,MATCH(Z$4,Curves,0)))</f>
        <v>#N/A</v>
      </c>
      <c r="AA137" s="185" t="e">
        <f aca="false">IF($A138="","",VLOOKUP($A137,Table,MATCH(AA$4,Curves,0)))</f>
        <v>#N/A</v>
      </c>
      <c r="AB137" s="185" t="e">
        <f aca="false">SQRT((AA137^2*(A137-$D$3)+Z137^2*(DAY(EOMONTH(A137,0))/2))/AK137)</f>
        <v>#N/A</v>
      </c>
      <c r="AC137" s="185" t="e">
        <f aca="false">IF($A138="","",VLOOKUP($A137,Table,MATCH(AC$4,Curves,0)))</f>
        <v>#N/A</v>
      </c>
      <c r="AD137" s="185" t="e">
        <f aca="false">IF($A138="","",VLOOKUP($A137,Table,MATCH(AD$4,Curves,0)))</f>
        <v>#N/A</v>
      </c>
      <c r="AE137" s="185" t="e">
        <f aca="false">SQRT((AD137^2*(A137-$D$3)+AC137^2*(DAY(EOMONTH(A137,0))/2))/AK137)</f>
        <v>#N/A</v>
      </c>
      <c r="AF137" s="224" t="e">
        <f aca="false">((Summary!$N$14*(AA137*AD137)*(A137-$D$3))+(Summary!$M$14*Z137*AC137*(AJ137-EOMONTH(EDATE(A137,-1),0))))/(AK137*AB137*AE137)</f>
        <v>#N/A</v>
      </c>
      <c r="AG137" s="207" t="n">
        <f aca="false">IF($A138="","",Summary!$Q$14)</f>
        <v>0</v>
      </c>
      <c r="AH137" s="207" t="n">
        <f aca="false">IF($A138="","",IF(Summary!$R$12="Y",(VLOOKUP($A137,Summary!$AD$6:$AF$9,3)+'Escalating commodity'!J150),'Escalating commodity'!J150))</f>
        <v>0.00604244409759163</v>
      </c>
      <c r="AI137" s="207" t="n">
        <f aca="false">IF($A138="","",AH137)</f>
        <v>0.00604244409759163</v>
      </c>
      <c r="AJ137" s="208" t="n">
        <f aca="false">A137+DAY(EOMONTH(A137,0))/2-1</f>
        <v>40923.5</v>
      </c>
      <c r="AK137" s="209" t="n">
        <f aca="false">IF($A138="","",$A137-$E$1)</f>
        <v>-5017</v>
      </c>
      <c r="AL137" s="182" t="e">
        <f aca="false">IF($A138="","",SPRDOPT(P137,X137,AI137,0,AB137,AE137,AF137,AK137,$AJ$2,0))</f>
        <v>#NAME?</v>
      </c>
      <c r="AM137" s="211" t="e">
        <f aca="false">IF($A138="","",MAX(0,O137-W137-AI137))</f>
        <v>#N/A</v>
      </c>
      <c r="AN137" s="211" t="e">
        <f aca="false">IF($A138="","",AL137-AM137)</f>
        <v>#N/A</v>
      </c>
      <c r="AO137" s="137" t="n">
        <f aca="false">IF(A138="","",A138-A137)</f>
        <v>31</v>
      </c>
      <c r="AP137" s="212" t="n">
        <f aca="false">IF(A138="","",CHOOSE(F$3,A138+24,A137))</f>
        <v>40909</v>
      </c>
      <c r="AQ137" s="209" t="n">
        <f aca="false">IF(A138="","",AP137-$E$1)</f>
        <v>-5017</v>
      </c>
      <c r="AR137" s="185" t="n">
        <f aca="false">'ANR OK vs ML7'!AR137</f>
        <v>0.1</v>
      </c>
      <c r="AS137" s="213" t="n">
        <f aca="false">IF(A138="","",1/(1+CHOOSE(F$3,(AR138+($I$3/10000))/2,(AR137+($I$3/10000))/2))^(2*AQ137/365.25))</f>
        <v>3.82035603133117</v>
      </c>
      <c r="AT137" s="137" t="n">
        <f aca="false">IF(A138="","",IF(AND(mthbeg&lt;=A137,mthend&gt;=A137),1,0))</f>
        <v>1</v>
      </c>
      <c r="AU137" s="137" t="n">
        <f aca="false">IF(A138="","",AO137*AT137)</f>
        <v>31</v>
      </c>
      <c r="AW137" s="195" t="e">
        <f aca="false">IF($A138="","",AL137*$E137)</f>
        <v>#NAME?</v>
      </c>
      <c r="AX137" s="195" t="e">
        <f aca="false">IF($A138="","",AM137*$E137)</f>
        <v>#N/A</v>
      </c>
      <c r="AY137" s="195" t="e">
        <f aca="false">IF($A138="","",AN137*$E137)</f>
        <v>#N/A</v>
      </c>
      <c r="BA137" s="195" t="n">
        <f aca="false">IF($A138="","",F137*Summary!$Q$14)</f>
        <v>0</v>
      </c>
      <c r="BC137" s="179" t="e">
        <f aca="false">IF(A138="","",AM137*F137)</f>
        <v>#N/A</v>
      </c>
    </row>
    <row r="138" customFormat="false" ht="12.75" hidden="false" customHeight="false" outlineLevel="0" collapsed="false">
      <c r="A138" s="196" t="n">
        <f aca="false">IF(A137&lt;mthend,EDATE(A137,1),"")</f>
        <v>40940</v>
      </c>
      <c r="B138" s="197" t="n">
        <f aca="false">IF(A138&lt;mthend,B137,"")</f>
        <v>28400</v>
      </c>
      <c r="C138" s="215"/>
      <c r="D138" s="197" t="n">
        <f aca="false">IF(A139&lt;&gt;"",B138+C138,"")</f>
        <v>28400</v>
      </c>
      <c r="E138" s="199" t="n">
        <f aca="false">IF(A139="","",IF(AND(AT138=1,$H$3=1),D138*AO138,IF($H$3=2,D138,"N/A")))</f>
        <v>823600</v>
      </c>
      <c r="F138" s="199" t="n">
        <f aca="false">IF(A139="","",E138*AS138)</f>
        <v>3120494.06866178</v>
      </c>
      <c r="G138" s="200" t="e">
        <f aca="false">IF($A139="","",VLOOKUP($A138,Table,MATCH(G$4,Curves,0)))</f>
        <v>#N/A</v>
      </c>
      <c r="H138" s="201" t="e">
        <f aca="false">IF(A139="","",G138)</f>
        <v>#N/A</v>
      </c>
      <c r="I138" s="202"/>
      <c r="J138" s="200" t="e">
        <f aca="false">IF($A139="","",VLOOKUP($A138,Table,MATCH(J$4,Curves,0)))</f>
        <v>#N/A</v>
      </c>
      <c r="K138" s="201" t="e">
        <f aca="false">IF(A139="","",J138)</f>
        <v>#N/A</v>
      </c>
      <c r="L138" s="185" t="n">
        <v>0</v>
      </c>
      <c r="M138" s="201" t="n">
        <f aca="false">IF(A139="","",L138)</f>
        <v>0</v>
      </c>
      <c r="N138" s="203"/>
      <c r="O138" s="200" t="e">
        <f aca="false">IF(A139="","",L138+J138+G138)</f>
        <v>#N/A</v>
      </c>
      <c r="P138" s="200" t="e">
        <f aca="false">IF(A139="","",M138+K138+H138)</f>
        <v>#N/A</v>
      </c>
      <c r="Q138" s="204"/>
      <c r="R138" s="200" t="e">
        <f aca="false">IF($A139="","",VLOOKUP($A138,Table,MATCH(R$4,Curves,0)))</f>
        <v>#N/A</v>
      </c>
      <c r="S138" s="201" t="e">
        <f aca="false">IF(A139="","",R138)</f>
        <v>#N/A</v>
      </c>
      <c r="T138" s="200" t="e">
        <f aca="false">IF($A139="","",VLOOKUP($A138,Table,MATCH(T$4,Curves,0)))</f>
        <v>#N/A</v>
      </c>
      <c r="U138" s="201" t="e">
        <f aca="false">IF(A139="","",T138)</f>
        <v>#N/A</v>
      </c>
      <c r="V138" s="183" t="e">
        <f aca="false">IF($A139="","",IF(AND(MONTH(A138)&gt;3,MONTH(A138)&lt;11),(T138+R138+G138)*(((1/(1-Summary!$T$14))/(1-Summary!$W$14))-1),(T138+R138+G138)*((1/(1-Summary!$U$14))/(1-Summary!$X$14)-1)))</f>
        <v>#N/A</v>
      </c>
      <c r="W138" s="202" t="e">
        <f aca="false">IF($A139="","",(T138+R138+G138+V138))</f>
        <v>#N/A</v>
      </c>
      <c r="X138" s="202" t="e">
        <f aca="false">IF($A139="","",(U138+S138+H138+V138))</f>
        <v>#N/A</v>
      </c>
      <c r="Y138" s="202"/>
      <c r="Z138" s="185" t="e">
        <f aca="false">IF($A139="","",VLOOKUP($A138,Table,MATCH(Z$4,Curves,0)))</f>
        <v>#N/A</v>
      </c>
      <c r="AA138" s="185" t="e">
        <f aca="false">IF($A139="","",VLOOKUP($A138,Table,MATCH(AA$4,Curves,0)))</f>
        <v>#N/A</v>
      </c>
      <c r="AB138" s="185" t="e">
        <f aca="false">SQRT((AA138^2*(A138-$D$3)+Z138^2*(DAY(EOMONTH(A138,0))/2))/AK138)</f>
        <v>#N/A</v>
      </c>
      <c r="AC138" s="185" t="e">
        <f aca="false">IF($A139="","",VLOOKUP($A138,Table,MATCH(AC$4,Curves,0)))</f>
        <v>#N/A</v>
      </c>
      <c r="AD138" s="185" t="e">
        <f aca="false">IF($A139="","",VLOOKUP($A138,Table,MATCH(AD$4,Curves,0)))</f>
        <v>#N/A</v>
      </c>
      <c r="AE138" s="185" t="e">
        <f aca="false">SQRT((AD138^2*(A138-$D$3)+AC138^2*(DAY(EOMONTH(A138,0))/2))/AK138)</f>
        <v>#N/A</v>
      </c>
      <c r="AF138" s="224" t="e">
        <f aca="false">((Summary!$N$14*(AA138*AD138)*(A138-$D$3))+(Summary!$M$14*Z138*AC138*(AJ138-EOMONTH(EDATE(A138,-1),0))))/(AK138*AB138*AE138)</f>
        <v>#N/A</v>
      </c>
      <c r="AG138" s="207" t="n">
        <f aca="false">IF($A139="","",Summary!$Q$14)</f>
        <v>0</v>
      </c>
      <c r="AH138" s="207" t="n">
        <f aca="false">IF($A139="","",IF(Summary!$R$12="Y",(VLOOKUP($A138,Summary!$AD$6:$AF$9,3)+'Escalating commodity'!J151),'Escalating commodity'!J151))</f>
        <v>0.00604244409759163</v>
      </c>
      <c r="AI138" s="207" t="n">
        <f aca="false">IF($A139="","",AH138)</f>
        <v>0.00604244409759163</v>
      </c>
      <c r="AJ138" s="208" t="n">
        <f aca="false">A138+DAY(EOMONTH(A138,0))/2-1</f>
        <v>40953.5</v>
      </c>
      <c r="AK138" s="209" t="n">
        <f aca="false">IF($A139="","",$A138-$E$1)</f>
        <v>-4986</v>
      </c>
      <c r="AL138" s="182" t="e">
        <f aca="false">IF($A139="","",SPRDOPT(P138,X138,AI138,0,AB138,AE138,AF138,AK138,$AJ$2,0))</f>
        <v>#NAME?</v>
      </c>
      <c r="AM138" s="211" t="e">
        <f aca="false">IF($A139="","",MAX(0,O138-W138-AI138))</f>
        <v>#N/A</v>
      </c>
      <c r="AN138" s="211" t="e">
        <f aca="false">IF($A139="","",AL138-AM138)</f>
        <v>#N/A</v>
      </c>
      <c r="AO138" s="137" t="n">
        <f aca="false">IF(A139="","",A139-A138)</f>
        <v>29</v>
      </c>
      <c r="AP138" s="212" t="n">
        <f aca="false">IF(A139="","",CHOOSE(F$3,A139+24,A138))</f>
        <v>40940</v>
      </c>
      <c r="AQ138" s="209" t="n">
        <f aca="false">IF(A139="","",AP138-$E$1)</f>
        <v>-4986</v>
      </c>
      <c r="AR138" s="185" t="n">
        <f aca="false">'ANR OK vs ML7'!AR138</f>
        <v>0.1</v>
      </c>
      <c r="AS138" s="213" t="n">
        <f aca="false">IF(A139="","",1/(1+CHOOSE(F$3,(AR139+($I$3/10000))/2,(AR138+($I$3/10000))/2))^(2*AQ138/365.25))</f>
        <v>3.78884661080837</v>
      </c>
      <c r="AT138" s="137" t="n">
        <f aca="false">IF(A139="","",IF(AND(mthbeg&lt;=A138,mthend&gt;=A138),1,0))</f>
        <v>1</v>
      </c>
      <c r="AU138" s="137" t="n">
        <f aca="false">IF(A139="","",AO138*AT138)</f>
        <v>29</v>
      </c>
      <c r="AW138" s="195" t="e">
        <f aca="false">IF($A139="","",AL138*$E138)</f>
        <v>#NAME?</v>
      </c>
      <c r="AX138" s="195" t="e">
        <f aca="false">IF($A139="","",AM138*$E138)</f>
        <v>#N/A</v>
      </c>
      <c r="AY138" s="195" t="e">
        <f aca="false">IF($A139="","",AN138*$E138)</f>
        <v>#N/A</v>
      </c>
      <c r="BA138" s="195" t="n">
        <f aca="false">IF($A139="","",F138*Summary!$Q$14)</f>
        <v>0</v>
      </c>
      <c r="BC138" s="179" t="e">
        <f aca="false">IF(A139="","",AM138*F138)</f>
        <v>#N/A</v>
      </c>
    </row>
    <row r="139" customFormat="false" ht="12.75" hidden="false" customHeight="false" outlineLevel="0" collapsed="false">
      <c r="A139" s="196" t="n">
        <f aca="false">IF(A138&lt;mthend,EDATE(A138,1),"")</f>
        <v>40969</v>
      </c>
      <c r="B139" s="197" t="n">
        <f aca="false">IF(A139&lt;mthend,B138,"")</f>
        <v>28400</v>
      </c>
      <c r="C139" s="215"/>
      <c r="D139" s="197" t="n">
        <f aca="false">IF(A140&lt;&gt;"",B139+C139,"")</f>
        <v>28400</v>
      </c>
      <c r="E139" s="199" t="n">
        <f aca="false">IF(A140="","",IF(AND(AT139=1,$H$3=1),D139*AO139,IF($H$3=2,D139,"N/A")))</f>
        <v>880400</v>
      </c>
      <c r="F139" s="199" t="n">
        <f aca="false">IF(A140="","",E139*AS139)</f>
        <v>3309956.56894988</v>
      </c>
      <c r="G139" s="200" t="e">
        <f aca="false">IF($A140="","",VLOOKUP($A139,Table,MATCH(G$4,Curves,0)))</f>
        <v>#N/A</v>
      </c>
      <c r="H139" s="201" t="e">
        <f aca="false">IF(A140="","",G139)</f>
        <v>#N/A</v>
      </c>
      <c r="I139" s="202"/>
      <c r="J139" s="200" t="e">
        <f aca="false">IF($A140="","",VLOOKUP($A139,Table,MATCH(J$4,Curves,0)))</f>
        <v>#N/A</v>
      </c>
      <c r="K139" s="201" t="e">
        <f aca="false">IF(A140="","",J139)</f>
        <v>#N/A</v>
      </c>
      <c r="L139" s="185" t="n">
        <v>0</v>
      </c>
      <c r="M139" s="201" t="n">
        <f aca="false">IF(A140="","",L139)</f>
        <v>0</v>
      </c>
      <c r="N139" s="203"/>
      <c r="O139" s="200" t="e">
        <f aca="false">IF(A140="","",L139+J139+G139)</f>
        <v>#N/A</v>
      </c>
      <c r="P139" s="200" t="e">
        <f aca="false">IF(A140="","",M139+K139+H139)</f>
        <v>#N/A</v>
      </c>
      <c r="Q139" s="204"/>
      <c r="R139" s="200" t="e">
        <f aca="false">IF($A140="","",VLOOKUP($A139,Table,MATCH(R$4,Curves,0)))</f>
        <v>#N/A</v>
      </c>
      <c r="S139" s="201" t="e">
        <f aca="false">IF(A140="","",R139)</f>
        <v>#N/A</v>
      </c>
      <c r="T139" s="200" t="e">
        <f aca="false">IF($A140="","",VLOOKUP($A139,Table,MATCH(T$4,Curves,0)))</f>
        <v>#N/A</v>
      </c>
      <c r="U139" s="201" t="e">
        <f aca="false">IF(A140="","",T139)</f>
        <v>#N/A</v>
      </c>
      <c r="V139" s="183" t="e">
        <f aca="false">IF($A140="","",IF(AND(MONTH(A139)&gt;3,MONTH(A139)&lt;11),(T139+R139+G139)*(((1/(1-Summary!$T$14))/(1-Summary!$W$14))-1),(T139+R139+G139)*((1/(1-Summary!$U$14))/(1-Summary!$X$14)-1)))</f>
        <v>#N/A</v>
      </c>
      <c r="W139" s="202" t="e">
        <f aca="false">IF($A140="","",(T139+R139+G139+V139))</f>
        <v>#N/A</v>
      </c>
      <c r="X139" s="202" t="e">
        <f aca="false">IF($A140="","",(U139+S139+H139+V139))</f>
        <v>#N/A</v>
      </c>
      <c r="Y139" s="202"/>
      <c r="Z139" s="185" t="e">
        <f aca="false">IF($A140="","",VLOOKUP($A139,Table,MATCH(Z$4,Curves,0)))</f>
        <v>#N/A</v>
      </c>
      <c r="AA139" s="185" t="e">
        <f aca="false">IF($A140="","",VLOOKUP($A139,Table,MATCH(AA$4,Curves,0)))</f>
        <v>#N/A</v>
      </c>
      <c r="AB139" s="185" t="e">
        <f aca="false">SQRT((AA139^2*(A139-$D$3)+Z139^2*(DAY(EOMONTH(A139,0))/2))/AK139)</f>
        <v>#N/A</v>
      </c>
      <c r="AC139" s="185" t="e">
        <f aca="false">IF($A140="","",VLOOKUP($A139,Table,MATCH(AC$4,Curves,0)))</f>
        <v>#N/A</v>
      </c>
      <c r="AD139" s="185" t="e">
        <f aca="false">IF($A140="","",VLOOKUP($A139,Table,MATCH(AD$4,Curves,0)))</f>
        <v>#N/A</v>
      </c>
      <c r="AE139" s="185" t="e">
        <f aca="false">SQRT((AD139^2*(A139-$D$3)+AC139^2*(DAY(EOMONTH(A139,0))/2))/AK139)</f>
        <v>#N/A</v>
      </c>
      <c r="AF139" s="224" t="e">
        <f aca="false">((Summary!$N$14*(AA139*AD139)*(A139-$D$3))+(Summary!$M$14*Z139*AC139*(AJ139-EOMONTH(EDATE(A139,-1),0))))/(AK139*AB139*AE139)</f>
        <v>#N/A</v>
      </c>
      <c r="AG139" s="207" t="n">
        <f aca="false">IF($A140="","",Summary!$Q$14)</f>
        <v>0</v>
      </c>
      <c r="AH139" s="207" t="n">
        <f aca="false">IF($A140="","",IF(Summary!$R$12="Y",(VLOOKUP($A139,Summary!$AD$6:$AF$9,3)+'Escalating commodity'!J152),'Escalating commodity'!J152))</f>
        <v>0.00604244409759163</v>
      </c>
      <c r="AI139" s="207" t="n">
        <f aca="false">IF($A140="","",AH139)</f>
        <v>0.00604244409759163</v>
      </c>
      <c r="AJ139" s="208" t="n">
        <f aca="false">A139+DAY(EOMONTH(A139,0))/2-1</f>
        <v>40983.5</v>
      </c>
      <c r="AK139" s="209" t="n">
        <f aca="false">IF($A140="","",$A139-$E$1)</f>
        <v>-4957</v>
      </c>
      <c r="AL139" s="182" t="e">
        <f aca="false">IF($A140="","",SPRDOPT(P139,X139,AI139,0,AB139,AE139,AF139,AK139,$AJ$2,0))</f>
        <v>#NAME?</v>
      </c>
      <c r="AM139" s="211" t="e">
        <f aca="false">IF($A140="","",MAX(0,O139-W139-AI139))</f>
        <v>#N/A</v>
      </c>
      <c r="AN139" s="211" t="e">
        <f aca="false">IF($A140="","",AL139-AM139)</f>
        <v>#N/A</v>
      </c>
      <c r="AO139" s="137" t="n">
        <f aca="false">IF(A140="","",A140-A139)</f>
        <v>31</v>
      </c>
      <c r="AP139" s="212" t="n">
        <f aca="false">IF(A140="","",CHOOSE(F$3,A140+24,A139))</f>
        <v>40969</v>
      </c>
      <c r="AQ139" s="209" t="n">
        <f aca="false">IF(A140="","",AP139-$E$1)</f>
        <v>-4957</v>
      </c>
      <c r="AR139" s="185" t="n">
        <f aca="false">'ANR OK vs ML7'!AR139</f>
        <v>0.1</v>
      </c>
      <c r="AS139" s="213" t="n">
        <f aca="false">IF(A140="","",1/(1+CHOOSE(F$3,(AR140+($I$3/10000))/2,(AR139+($I$3/10000))/2))^(2*AQ139/365.25))</f>
        <v>3.75960537136515</v>
      </c>
      <c r="AT139" s="137" t="n">
        <f aca="false">IF(A140="","",IF(AND(mthbeg&lt;=A139,mthend&gt;=A139),1,0))</f>
        <v>1</v>
      </c>
      <c r="AU139" s="137" t="n">
        <f aca="false">IF(A140="","",AO139*AT139)</f>
        <v>31</v>
      </c>
      <c r="AW139" s="195" t="e">
        <f aca="false">IF($A140="","",AL139*$E139)</f>
        <v>#NAME?</v>
      </c>
      <c r="AX139" s="195" t="e">
        <f aca="false">IF($A140="","",AM139*$E139)</f>
        <v>#N/A</v>
      </c>
      <c r="AY139" s="195" t="e">
        <f aca="false">IF($A140="","",AN139*$E139)</f>
        <v>#N/A</v>
      </c>
      <c r="BA139" s="195" t="n">
        <f aca="false">IF($A140="","",F139*Summary!$Q$14)</f>
        <v>0</v>
      </c>
      <c r="BC139" s="179" t="e">
        <f aca="false">IF(A140="","",AM139*F139)</f>
        <v>#N/A</v>
      </c>
    </row>
    <row r="140" customFormat="false" ht="12.75" hidden="false" customHeight="false" outlineLevel="0" collapsed="false">
      <c r="A140" s="196" t="n">
        <f aca="false">IF(A139&lt;mthend,EDATE(A139,1),"")</f>
        <v>41000</v>
      </c>
      <c r="B140" s="197" t="n">
        <f aca="false">IF(A140&lt;mthend,B139,"")</f>
        <v>28400</v>
      </c>
      <c r="C140" s="215"/>
      <c r="D140" s="197" t="n">
        <f aca="false">IF(A141&lt;&gt;"",B140+C140,"")</f>
        <v>28400</v>
      </c>
      <c r="E140" s="199" t="n">
        <f aca="false">IF(A141="","",IF(AND(AT140=1,$H$3=1),D140*AO140,IF($H$3=2,D140,"N/A")))</f>
        <v>852000</v>
      </c>
      <c r="F140" s="199" t="n">
        <f aca="false">IF(A141="","",E140*AS140)</f>
        <v>3176764.65111878</v>
      </c>
      <c r="G140" s="200" t="e">
        <f aca="false">IF($A141="","",VLOOKUP($A140,Table,MATCH(G$4,Curves,0)))</f>
        <v>#N/A</v>
      </c>
      <c r="H140" s="201" t="e">
        <f aca="false">IF(A141="","",G140)</f>
        <v>#N/A</v>
      </c>
      <c r="I140" s="202"/>
      <c r="J140" s="200" t="e">
        <f aca="false">IF($A141="","",VLOOKUP($A140,Table,MATCH(J$4,Curves,0)))</f>
        <v>#N/A</v>
      </c>
      <c r="K140" s="201" t="e">
        <f aca="false">IF(A141="","",J140)</f>
        <v>#N/A</v>
      </c>
      <c r="L140" s="185" t="n">
        <v>0</v>
      </c>
      <c r="M140" s="201" t="n">
        <f aca="false">IF(A141="","",L140)</f>
        <v>0</v>
      </c>
      <c r="N140" s="203"/>
      <c r="O140" s="200" t="e">
        <f aca="false">IF(A141="","",L140+J140+G140)</f>
        <v>#N/A</v>
      </c>
      <c r="P140" s="200" t="e">
        <f aca="false">IF(A141="","",M140+K140+H140)</f>
        <v>#N/A</v>
      </c>
      <c r="Q140" s="204"/>
      <c r="R140" s="200" t="e">
        <f aca="false">IF($A141="","",VLOOKUP($A140,Table,MATCH(R$4,Curves,0)))</f>
        <v>#N/A</v>
      </c>
      <c r="S140" s="201" t="e">
        <f aca="false">IF(A141="","",R140)</f>
        <v>#N/A</v>
      </c>
      <c r="T140" s="200" t="e">
        <f aca="false">IF($A141="","",VLOOKUP($A140,Table,MATCH(T$4,Curves,0)))</f>
        <v>#N/A</v>
      </c>
      <c r="U140" s="201" t="e">
        <f aca="false">IF(A141="","",T140)</f>
        <v>#N/A</v>
      </c>
      <c r="V140" s="183" t="e">
        <f aca="false">IF($A141="","",IF(AND(MONTH(A140)&gt;3,MONTH(A140)&lt;11),(T140+R140+G140)*(((1/(1-Summary!$T$14))/(1-Summary!$W$14))-1),(T140+R140+G140)*((1/(1-Summary!$U$14))/(1-Summary!$X$14)-1)))</f>
        <v>#N/A</v>
      </c>
      <c r="W140" s="202" t="e">
        <f aca="false">IF($A141="","",(T140+R140+G140+V140))</f>
        <v>#N/A</v>
      </c>
      <c r="X140" s="202" t="e">
        <f aca="false">IF($A141="","",(U140+S140+H140+V140))</f>
        <v>#N/A</v>
      </c>
      <c r="Y140" s="202"/>
      <c r="Z140" s="185" t="e">
        <f aca="false">IF($A141="","",VLOOKUP($A140,Table,MATCH(Z$4,Curves,0)))</f>
        <v>#N/A</v>
      </c>
      <c r="AA140" s="185" t="e">
        <f aca="false">IF($A141="","",VLOOKUP($A140,Table,MATCH(AA$4,Curves,0)))</f>
        <v>#N/A</v>
      </c>
      <c r="AB140" s="185" t="e">
        <f aca="false">SQRT((AA140^2*(A140-$D$3)+Z140^2*(DAY(EOMONTH(A140,0))/2))/AK140)</f>
        <v>#N/A</v>
      </c>
      <c r="AC140" s="185" t="e">
        <f aca="false">IF($A141="","",VLOOKUP($A140,Table,MATCH(AC$4,Curves,0)))</f>
        <v>#N/A</v>
      </c>
      <c r="AD140" s="185" t="e">
        <f aca="false">IF($A141="","",VLOOKUP($A140,Table,MATCH(AD$4,Curves,0)))</f>
        <v>#N/A</v>
      </c>
      <c r="AE140" s="185" t="e">
        <f aca="false">SQRT((AD140^2*(A140-$D$3)+AC140^2*(DAY(EOMONTH(A140,0))/2))/AK140)</f>
        <v>#N/A</v>
      </c>
      <c r="AF140" s="224" t="e">
        <f aca="false">((Summary!$N$14*(AA140*AD140)*(A140-$D$3))+(Summary!$M$14*Z140*AC140*(AJ140-EOMONTH(EDATE(A140,-1),0))))/(AK140*AB140*AE140)</f>
        <v>#N/A</v>
      </c>
      <c r="AG140" s="207" t="n">
        <f aca="false">IF($A141="","",Summary!$Q$14)</f>
        <v>0</v>
      </c>
      <c r="AH140" s="207" t="n">
        <f aca="false">IF($A141="","",IF(Summary!$R$12="Y",(VLOOKUP($A140,Summary!$AD$6:$AF$9,3)+'Escalating commodity'!J153),'Escalating commodity'!J153))</f>
        <v>0.00604244409759163</v>
      </c>
      <c r="AI140" s="207" t="n">
        <f aca="false">IF($A141="","",AH140)</f>
        <v>0.00604244409759163</v>
      </c>
      <c r="AJ140" s="208" t="n">
        <f aca="false">A140+DAY(EOMONTH(A140,0))/2-1</f>
        <v>41014</v>
      </c>
      <c r="AK140" s="209" t="n">
        <f aca="false">IF($A141="","",$A140-$E$1)</f>
        <v>-4926</v>
      </c>
      <c r="AL140" s="182" t="e">
        <f aca="false">IF($A141="","",SPRDOPT(P140,X140,AI140,0,AB140,AE140,AF140,AK140,$AJ$2,0))</f>
        <v>#NAME?</v>
      </c>
      <c r="AM140" s="211" t="e">
        <f aca="false">IF($A141="","",MAX(0,O140-W140-AI140))</f>
        <v>#N/A</v>
      </c>
      <c r="AN140" s="211" t="e">
        <f aca="false">IF($A141="","",AL140-AM140)</f>
        <v>#N/A</v>
      </c>
      <c r="AO140" s="137" t="n">
        <f aca="false">IF(A141="","",A141-A140)</f>
        <v>30</v>
      </c>
      <c r="AP140" s="212" t="n">
        <f aca="false">IF(A141="","",CHOOSE(F$3,A141+24,A140))</f>
        <v>41000</v>
      </c>
      <c r="AQ140" s="209" t="n">
        <f aca="false">IF(A141="","",AP140-$E$1)</f>
        <v>-4926</v>
      </c>
      <c r="AR140" s="185" t="n">
        <f aca="false">'ANR OK vs ML7'!AR140</f>
        <v>0.1</v>
      </c>
      <c r="AS140" s="213" t="n">
        <f aca="false">IF(A141="","",1/(1+CHOOSE(F$3,(AR141+($I$3/10000))/2,(AR140+($I$3/10000))/2))^(2*AQ140/365.25))</f>
        <v>3.72859700835537</v>
      </c>
      <c r="AT140" s="137" t="n">
        <f aca="false">IF(A141="","",IF(AND(mthbeg&lt;=A140,mthend&gt;=A140),1,0))</f>
        <v>1</v>
      </c>
      <c r="AU140" s="137" t="n">
        <f aca="false">IF(A141="","",AO140*AT140)</f>
        <v>30</v>
      </c>
      <c r="AW140" s="195" t="e">
        <f aca="false">IF($A141="","",AL140*$E140)</f>
        <v>#NAME?</v>
      </c>
      <c r="AX140" s="195" t="e">
        <f aca="false">IF($A141="","",AM140*$E140)</f>
        <v>#N/A</v>
      </c>
      <c r="AY140" s="195" t="e">
        <f aca="false">IF($A141="","",AN140*$E140)</f>
        <v>#N/A</v>
      </c>
      <c r="BA140" s="195" t="n">
        <f aca="false">IF($A141="","",F140*Summary!$Q$14)</f>
        <v>0</v>
      </c>
      <c r="BC140" s="179" t="e">
        <f aca="false">IF(A141="","",AM140*F140)</f>
        <v>#N/A</v>
      </c>
    </row>
    <row r="141" customFormat="false" ht="12.75" hidden="false" customHeight="false" outlineLevel="0" collapsed="false">
      <c r="A141" s="196" t="n">
        <f aca="false">IF(A140&lt;mthend,EDATE(A140,1),"")</f>
        <v>41030</v>
      </c>
      <c r="B141" s="197" t="n">
        <f aca="false">IF(A141&lt;mthend,B140,"")</f>
        <v>28400</v>
      </c>
      <c r="C141" s="215"/>
      <c r="D141" s="197" t="n">
        <f aca="false">IF(A142&lt;&gt;"",B141+C141,"")</f>
        <v>28400</v>
      </c>
      <c r="E141" s="199" t="n">
        <f aca="false">IF(A142="","",IF(AND(AT141=1,$H$3=1),D141*AO141,IF($H$3=2,D141,"N/A")))</f>
        <v>880400</v>
      </c>
      <c r="F141" s="199" t="n">
        <f aca="false">IF(A142="","",E141*AS141)</f>
        <v>3256452.08431432</v>
      </c>
      <c r="G141" s="200" t="e">
        <f aca="false">IF($A142="","",VLOOKUP($A141,Table,MATCH(G$4,Curves,0)))</f>
        <v>#N/A</v>
      </c>
      <c r="H141" s="201" t="e">
        <f aca="false">IF(A142="","",G141)</f>
        <v>#N/A</v>
      </c>
      <c r="I141" s="202"/>
      <c r="J141" s="200" t="e">
        <f aca="false">IF($A142="","",VLOOKUP($A141,Table,MATCH(J$4,Curves,0)))</f>
        <v>#N/A</v>
      </c>
      <c r="K141" s="201" t="e">
        <f aca="false">IF(A142="","",J141)</f>
        <v>#N/A</v>
      </c>
      <c r="L141" s="185" t="n">
        <v>0</v>
      </c>
      <c r="M141" s="201" t="n">
        <f aca="false">IF(A142="","",L141)</f>
        <v>0</v>
      </c>
      <c r="N141" s="203"/>
      <c r="O141" s="200" t="e">
        <f aca="false">IF(A142="","",L141+J141+G141)</f>
        <v>#N/A</v>
      </c>
      <c r="P141" s="200" t="e">
        <f aca="false">IF(A142="","",M141+K141+H141)</f>
        <v>#N/A</v>
      </c>
      <c r="Q141" s="204"/>
      <c r="R141" s="200" t="e">
        <f aca="false">IF($A142="","",VLOOKUP($A141,Table,MATCH(R$4,Curves,0)))</f>
        <v>#N/A</v>
      </c>
      <c r="S141" s="201" t="e">
        <f aca="false">IF(A142="","",R141)</f>
        <v>#N/A</v>
      </c>
      <c r="T141" s="200" t="e">
        <f aca="false">IF($A142="","",VLOOKUP($A141,Table,MATCH(T$4,Curves,0)))</f>
        <v>#N/A</v>
      </c>
      <c r="U141" s="201" t="e">
        <f aca="false">IF(A142="","",T141)</f>
        <v>#N/A</v>
      </c>
      <c r="V141" s="183" t="e">
        <f aca="false">IF($A142="","",IF(AND(MONTH(A141)&gt;3,MONTH(A141)&lt;11),(T141+R141+G141)*(((1/(1-Summary!$T$14))/(1-Summary!$W$14))-1),(T141+R141+G141)*((1/(1-Summary!$U$14))/(1-Summary!$X$14)-1)))</f>
        <v>#N/A</v>
      </c>
      <c r="W141" s="202" t="e">
        <f aca="false">IF($A142="","",(T141+R141+G141+V141))</f>
        <v>#N/A</v>
      </c>
      <c r="X141" s="202" t="e">
        <f aca="false">IF($A142="","",(U141+S141+H141+V141))</f>
        <v>#N/A</v>
      </c>
      <c r="Y141" s="202"/>
      <c r="Z141" s="185" t="e">
        <f aca="false">IF($A142="","",VLOOKUP($A141,Table,MATCH(Z$4,Curves,0)))</f>
        <v>#N/A</v>
      </c>
      <c r="AA141" s="185" t="e">
        <f aca="false">IF($A142="","",VLOOKUP($A141,Table,MATCH(AA$4,Curves,0)))</f>
        <v>#N/A</v>
      </c>
      <c r="AB141" s="185" t="e">
        <f aca="false">SQRT((AA141^2*(A141-$D$3)+Z141^2*(DAY(EOMONTH(A141,0))/2))/AK141)</f>
        <v>#N/A</v>
      </c>
      <c r="AC141" s="185" t="e">
        <f aca="false">IF($A142="","",VLOOKUP($A141,Table,MATCH(AC$4,Curves,0)))</f>
        <v>#N/A</v>
      </c>
      <c r="AD141" s="185" t="e">
        <f aca="false">IF($A142="","",VLOOKUP($A141,Table,MATCH(AD$4,Curves,0)))</f>
        <v>#N/A</v>
      </c>
      <c r="AE141" s="185" t="e">
        <f aca="false">SQRT((AD141^2*(A141-$D$3)+AC141^2*(DAY(EOMONTH(A141,0))/2))/AK141)</f>
        <v>#N/A</v>
      </c>
      <c r="AF141" s="224" t="e">
        <f aca="false">((Summary!$N$14*(AA141*AD141)*(A141-$D$3))+(Summary!$M$14*Z141*AC141*(AJ141-EOMONTH(EDATE(A141,-1),0))))/(AK141*AB141*AE141)</f>
        <v>#N/A</v>
      </c>
      <c r="AG141" s="207" t="n">
        <f aca="false">IF($A142="","",Summary!$Q$14)</f>
        <v>0</v>
      </c>
      <c r="AH141" s="207" t="n">
        <f aca="false">IF($A142="","",IF(Summary!$R$12="Y",(VLOOKUP($A141,Summary!$AD$6:$AF$9,3)+'Escalating commodity'!J154),'Escalating commodity'!J154))</f>
        <v>0.00604244409759163</v>
      </c>
      <c r="AI141" s="207" t="n">
        <f aca="false">IF($A142="","",AH141)</f>
        <v>0.00604244409759163</v>
      </c>
      <c r="AJ141" s="208" t="n">
        <f aca="false">A141+DAY(EOMONTH(A141,0))/2-1</f>
        <v>41044.5</v>
      </c>
      <c r="AK141" s="209" t="n">
        <f aca="false">IF($A142="","",$A141-$E$1)</f>
        <v>-4896</v>
      </c>
      <c r="AL141" s="182" t="e">
        <f aca="false">IF($A142="","",SPRDOPT(P141,X141,AI141,0,AB141,AE141,AF141,AK141,$AJ$2,0))</f>
        <v>#NAME?</v>
      </c>
      <c r="AM141" s="211" t="e">
        <f aca="false">IF($A142="","",MAX(0,O141-W141-AI141))</f>
        <v>#N/A</v>
      </c>
      <c r="AN141" s="211" t="e">
        <f aca="false">IF($A142="","",AL141-AM141)</f>
        <v>#N/A</v>
      </c>
      <c r="AO141" s="137" t="n">
        <f aca="false">IF(A142="","",A142-A141)</f>
        <v>31</v>
      </c>
      <c r="AP141" s="212" t="n">
        <f aca="false">IF(A142="","",CHOOSE(F$3,A142+24,A141))</f>
        <v>41030</v>
      </c>
      <c r="AQ141" s="209" t="n">
        <f aca="false">IF(A142="","",AP141-$E$1)</f>
        <v>-4896</v>
      </c>
      <c r="AR141" s="185" t="n">
        <f aca="false">'ANR OK vs ML7'!AR141</f>
        <v>0.1</v>
      </c>
      <c r="AS141" s="213" t="n">
        <f aca="false">IF(A142="","",1/(1+CHOOSE(F$3,(AR142+($I$3/10000))/2,(AR141+($I$3/10000))/2))^(2*AQ141/365.25))</f>
        <v>3.6988324447005</v>
      </c>
      <c r="AT141" s="137" t="n">
        <f aca="false">IF(A142="","",IF(AND(mthbeg&lt;=A141,mthend&gt;=A141),1,0))</f>
        <v>1</v>
      </c>
      <c r="AU141" s="137" t="n">
        <f aca="false">IF(A142="","",AO141*AT141)</f>
        <v>31</v>
      </c>
      <c r="AW141" s="195" t="e">
        <f aca="false">IF($A142="","",AL141*$E141)</f>
        <v>#NAME?</v>
      </c>
      <c r="AX141" s="195" t="e">
        <f aca="false">IF($A142="","",AM141*$E141)</f>
        <v>#N/A</v>
      </c>
      <c r="AY141" s="195" t="e">
        <f aca="false">IF($A142="","",AN141*$E141)</f>
        <v>#N/A</v>
      </c>
      <c r="BA141" s="195" t="n">
        <f aca="false">IF($A142="","",F141*Summary!$Q$14)</f>
        <v>0</v>
      </c>
      <c r="BC141" s="179" t="e">
        <f aca="false">IF(A142="","",AM141*F141)</f>
        <v>#N/A</v>
      </c>
    </row>
    <row r="142" customFormat="false" ht="12.75" hidden="false" customHeight="false" outlineLevel="0" collapsed="false">
      <c r="A142" s="196" t="n">
        <f aca="false">IF(A141&lt;mthend,EDATE(A141,1),"")</f>
        <v>41061</v>
      </c>
      <c r="B142" s="197" t="n">
        <f aca="false">IF(A142&lt;mthend,B141,"")</f>
        <v>28400</v>
      </c>
      <c r="C142" s="215"/>
      <c r="D142" s="197" t="n">
        <f aca="false">IF(A143&lt;&gt;"",B142+C142,"")</f>
        <v>28400</v>
      </c>
      <c r="E142" s="199" t="n">
        <f aca="false">IF(A143="","",IF(AND(AT142=1,$H$3=1),D142*AO142,IF($H$3=2,D142,"N/A")))</f>
        <v>852000</v>
      </c>
      <c r="F142" s="199" t="n">
        <f aca="false">IF(A143="","",E142*AS142)</f>
        <v>3125413.17507192</v>
      </c>
      <c r="G142" s="200" t="e">
        <f aca="false">IF($A143="","",VLOOKUP($A142,Table,MATCH(G$4,Curves,0)))</f>
        <v>#N/A</v>
      </c>
      <c r="H142" s="201" t="e">
        <f aca="false">IF(A143="","",G142)</f>
        <v>#N/A</v>
      </c>
      <c r="I142" s="202"/>
      <c r="J142" s="200" t="e">
        <f aca="false">IF($A143="","",VLOOKUP($A142,Table,MATCH(J$4,Curves,0)))</f>
        <v>#N/A</v>
      </c>
      <c r="K142" s="201" t="e">
        <f aca="false">IF(A143="","",J142)</f>
        <v>#N/A</v>
      </c>
      <c r="L142" s="185" t="n">
        <v>0</v>
      </c>
      <c r="M142" s="201" t="n">
        <f aca="false">IF(A143="","",L142)</f>
        <v>0</v>
      </c>
      <c r="N142" s="203"/>
      <c r="O142" s="200" t="e">
        <f aca="false">IF(A143="","",L142+J142+G142)</f>
        <v>#N/A</v>
      </c>
      <c r="P142" s="200" t="e">
        <f aca="false">IF(A143="","",M142+K142+H142)</f>
        <v>#N/A</v>
      </c>
      <c r="Q142" s="204"/>
      <c r="R142" s="200" t="e">
        <f aca="false">IF($A143="","",VLOOKUP($A142,Table,MATCH(R$4,Curves,0)))</f>
        <v>#N/A</v>
      </c>
      <c r="S142" s="201" t="e">
        <f aca="false">IF(A143="","",R142)</f>
        <v>#N/A</v>
      </c>
      <c r="T142" s="200" t="e">
        <f aca="false">IF($A143="","",VLOOKUP($A142,Table,MATCH(T$4,Curves,0)))</f>
        <v>#N/A</v>
      </c>
      <c r="U142" s="201" t="e">
        <f aca="false">IF(A143="","",T142)</f>
        <v>#N/A</v>
      </c>
      <c r="V142" s="183" t="e">
        <f aca="false">IF($A143="","",IF(AND(MONTH(A142)&gt;3,MONTH(A142)&lt;11),(T142+R142+G142)*(((1/(1-Summary!$T$14))/(1-Summary!$W$14))-1),(T142+R142+G142)*((1/(1-Summary!$U$14))/(1-Summary!$X$14)-1)))</f>
        <v>#N/A</v>
      </c>
      <c r="W142" s="202" t="e">
        <f aca="false">IF($A143="","",(T142+R142+G142+V142))</f>
        <v>#N/A</v>
      </c>
      <c r="X142" s="202" t="e">
        <f aca="false">IF($A143="","",(U142+S142+H142+V142))</f>
        <v>#N/A</v>
      </c>
      <c r="Y142" s="202"/>
      <c r="Z142" s="185" t="e">
        <f aca="false">IF($A143="","",VLOOKUP($A142,Table,MATCH(Z$4,Curves,0)))</f>
        <v>#N/A</v>
      </c>
      <c r="AA142" s="185" t="e">
        <f aca="false">IF($A143="","",VLOOKUP($A142,Table,MATCH(AA$4,Curves,0)))</f>
        <v>#N/A</v>
      </c>
      <c r="AB142" s="185" t="e">
        <f aca="false">SQRT((AA142^2*(A142-$D$3)+Z142^2*(DAY(EOMONTH(A142,0))/2))/AK142)</f>
        <v>#N/A</v>
      </c>
      <c r="AC142" s="185" t="e">
        <f aca="false">IF($A143="","",VLOOKUP($A142,Table,MATCH(AC$4,Curves,0)))</f>
        <v>#N/A</v>
      </c>
      <c r="AD142" s="185" t="e">
        <f aca="false">IF($A143="","",VLOOKUP($A142,Table,MATCH(AD$4,Curves,0)))</f>
        <v>#N/A</v>
      </c>
      <c r="AE142" s="185" t="e">
        <f aca="false">SQRT((AD142^2*(A142-$D$3)+AC142^2*(DAY(EOMONTH(A142,0))/2))/AK142)</f>
        <v>#N/A</v>
      </c>
      <c r="AF142" s="224" t="e">
        <f aca="false">((Summary!$N$14*(AA142*AD142)*(A142-$D$3))+(Summary!$M$14*Z142*AC142*(AJ142-EOMONTH(EDATE(A142,-1),0))))/(AK142*AB142*AE142)</f>
        <v>#N/A</v>
      </c>
      <c r="AG142" s="207" t="n">
        <f aca="false">IF($A143="","",Summary!$Q$14)</f>
        <v>0</v>
      </c>
      <c r="AH142" s="207" t="n">
        <f aca="false">IF($A143="","",IF(Summary!$R$12="Y",(VLOOKUP($A142,Summary!$AD$6:$AF$9,3)+'Escalating commodity'!J155),'Escalating commodity'!J155))</f>
        <v>0.00604244409759163</v>
      </c>
      <c r="AI142" s="207" t="n">
        <f aca="false">IF($A143="","",AH142)</f>
        <v>0.00604244409759163</v>
      </c>
      <c r="AJ142" s="208" t="n">
        <f aca="false">A142+DAY(EOMONTH(A142,0))/2-1</f>
        <v>41075</v>
      </c>
      <c r="AK142" s="209" t="n">
        <f aca="false">IF($A143="","",$A142-$E$1)</f>
        <v>-4865</v>
      </c>
      <c r="AL142" s="182" t="e">
        <f aca="false">IF($A143="","",SPRDOPT(P142,X142,AI142,0,AB142,AE142,AF142,AK142,$AJ$2,0))</f>
        <v>#NAME?</v>
      </c>
      <c r="AM142" s="211" t="e">
        <f aca="false">IF($A143="","",MAX(0,O142-W142-AI142))</f>
        <v>#N/A</v>
      </c>
      <c r="AN142" s="211" t="e">
        <f aca="false">IF($A143="","",AL142-AM142)</f>
        <v>#N/A</v>
      </c>
      <c r="AO142" s="137" t="n">
        <f aca="false">IF(A143="","",A143-A142)</f>
        <v>30</v>
      </c>
      <c r="AP142" s="212" t="n">
        <f aca="false">IF(A143="","",CHOOSE(F$3,A143+24,A142))</f>
        <v>41061</v>
      </c>
      <c r="AQ142" s="209" t="n">
        <f aca="false">IF(A143="","",AP142-$E$1)</f>
        <v>-4865</v>
      </c>
      <c r="AR142" s="185" t="n">
        <f aca="false">'ANR OK vs ML7'!AR142</f>
        <v>0.1</v>
      </c>
      <c r="AS142" s="213" t="n">
        <f aca="false">IF(A143="","",1/(1+CHOOSE(F$3,(AR143+($I$3/10000))/2,(AR142+($I$3/10000))/2))^(2*AQ142/365.25))</f>
        <v>3.66832532285436</v>
      </c>
      <c r="AT142" s="137" t="n">
        <f aca="false">IF(A143="","",IF(AND(mthbeg&lt;=A142,mthend&gt;=A142),1,0))</f>
        <v>1</v>
      </c>
      <c r="AU142" s="137" t="n">
        <f aca="false">IF(A143="","",AO142*AT142)</f>
        <v>30</v>
      </c>
      <c r="AW142" s="195" t="e">
        <f aca="false">IF($A143="","",AL142*$E142)</f>
        <v>#NAME?</v>
      </c>
      <c r="AX142" s="195" t="e">
        <f aca="false">IF($A143="","",AM142*$E142)</f>
        <v>#N/A</v>
      </c>
      <c r="AY142" s="195" t="e">
        <f aca="false">IF($A143="","",AN142*$E142)</f>
        <v>#N/A</v>
      </c>
      <c r="BA142" s="195" t="n">
        <f aca="false">IF($A143="","",F142*Summary!$Q$14)</f>
        <v>0</v>
      </c>
      <c r="BC142" s="179" t="e">
        <f aca="false">IF(A143="","",AM142*F142)</f>
        <v>#N/A</v>
      </c>
    </row>
    <row r="143" customFormat="false" ht="12.75" hidden="false" customHeight="false" outlineLevel="0" collapsed="false">
      <c r="A143" s="196" t="n">
        <f aca="false">IF(A142&lt;mthend,EDATE(A142,1),"")</f>
        <v>41091</v>
      </c>
      <c r="B143" s="197" t="n">
        <f aca="false">IF(A143&lt;mthend,B142,"")</f>
        <v>28400</v>
      </c>
      <c r="C143" s="215"/>
      <c r="D143" s="197" t="n">
        <f aca="false">IF(A144&lt;&gt;"",B143+C143,"")</f>
        <v>28400</v>
      </c>
      <c r="E143" s="199" t="n">
        <f aca="false">IF(A144="","",IF(AND(AT143=1,$H$3=1),D143*AO143,IF($H$3=2,D143,"N/A")))</f>
        <v>880400</v>
      </c>
      <c r="F143" s="199" t="n">
        <f aca="false">IF(A144="","",E143*AS143)</f>
        <v>3203812.48410141</v>
      </c>
      <c r="G143" s="200" t="e">
        <f aca="false">IF($A144="","",VLOOKUP($A143,Table,MATCH(G$4,Curves,0)))</f>
        <v>#N/A</v>
      </c>
      <c r="H143" s="201" t="e">
        <f aca="false">IF(A144="","",G143)</f>
        <v>#N/A</v>
      </c>
      <c r="I143" s="202"/>
      <c r="J143" s="200" t="e">
        <f aca="false">IF($A144="","",VLOOKUP($A143,Table,MATCH(J$4,Curves,0)))</f>
        <v>#N/A</v>
      </c>
      <c r="K143" s="201" t="e">
        <f aca="false">IF(A144="","",J143)</f>
        <v>#N/A</v>
      </c>
      <c r="L143" s="185" t="n">
        <v>0</v>
      </c>
      <c r="M143" s="201" t="n">
        <f aca="false">IF(A144="","",L143)</f>
        <v>0</v>
      </c>
      <c r="N143" s="203"/>
      <c r="O143" s="200" t="e">
        <f aca="false">IF(A144="","",L143+J143+G143)</f>
        <v>#N/A</v>
      </c>
      <c r="P143" s="200" t="e">
        <f aca="false">IF(A144="","",M143+K143+H143)</f>
        <v>#N/A</v>
      </c>
      <c r="Q143" s="204"/>
      <c r="R143" s="200" t="e">
        <f aca="false">IF($A144="","",VLOOKUP($A143,Table,MATCH(R$4,Curves,0)))</f>
        <v>#N/A</v>
      </c>
      <c r="S143" s="201" t="e">
        <f aca="false">IF(A144="","",R143)</f>
        <v>#N/A</v>
      </c>
      <c r="T143" s="200" t="e">
        <f aca="false">IF($A144="","",VLOOKUP($A143,Table,MATCH(T$4,Curves,0)))</f>
        <v>#N/A</v>
      </c>
      <c r="U143" s="201" t="e">
        <f aca="false">IF(A144="","",T143)</f>
        <v>#N/A</v>
      </c>
      <c r="V143" s="183" t="e">
        <f aca="false">IF($A144="","",IF(AND(MONTH(A143)&gt;3,MONTH(A143)&lt;11),(T143+R143+G143)*(((1/(1-Summary!$T$14))/(1-Summary!$W$14))-1),(T143+R143+G143)*((1/(1-Summary!$U$14))/(1-Summary!$X$14)-1)))</f>
        <v>#N/A</v>
      </c>
      <c r="W143" s="202" t="e">
        <f aca="false">IF($A144="","",(T143+R143+G143+V143))</f>
        <v>#N/A</v>
      </c>
      <c r="X143" s="202" t="e">
        <f aca="false">IF($A144="","",(U143+S143+H143+V143))</f>
        <v>#N/A</v>
      </c>
      <c r="Y143" s="202"/>
      <c r="Z143" s="185" t="e">
        <f aca="false">IF($A144="","",VLOOKUP($A143,Table,MATCH(Z$4,Curves,0)))</f>
        <v>#N/A</v>
      </c>
      <c r="AA143" s="185" t="e">
        <f aca="false">IF($A144="","",VLOOKUP($A143,Table,MATCH(AA$4,Curves,0)))</f>
        <v>#N/A</v>
      </c>
      <c r="AB143" s="185" t="e">
        <f aca="false">SQRT((AA143^2*(A143-$D$3)+Z143^2*(DAY(EOMONTH(A143,0))/2))/AK143)</f>
        <v>#N/A</v>
      </c>
      <c r="AC143" s="185" t="e">
        <f aca="false">IF($A144="","",VLOOKUP($A143,Table,MATCH(AC$4,Curves,0)))</f>
        <v>#N/A</v>
      </c>
      <c r="AD143" s="185" t="e">
        <f aca="false">IF($A144="","",VLOOKUP($A143,Table,MATCH(AD$4,Curves,0)))</f>
        <v>#N/A</v>
      </c>
      <c r="AE143" s="185" t="e">
        <f aca="false">SQRT((AD143^2*(A143-$D$3)+AC143^2*(DAY(EOMONTH(A143,0))/2))/AK143)</f>
        <v>#N/A</v>
      </c>
      <c r="AF143" s="224" t="e">
        <f aca="false">((Summary!$N$14*(AA143*AD143)*(A143-$D$3))+(Summary!$M$14*Z143*AC143*(AJ143-EOMONTH(EDATE(A143,-1),0))))/(AK143*AB143*AE143)</f>
        <v>#N/A</v>
      </c>
      <c r="AG143" s="207" t="n">
        <f aca="false">IF($A144="","",Summary!$Q$14)</f>
        <v>0</v>
      </c>
      <c r="AH143" s="207" t="n">
        <f aca="false">IF($A144="","",IF(Summary!$R$12="Y",(VLOOKUP($A143,Summary!$AD$6:$AF$9,3)+'Escalating commodity'!J156),'Escalating commodity'!J156))</f>
        <v>0.00604244409759163</v>
      </c>
      <c r="AI143" s="207" t="n">
        <f aca="false">IF($A144="","",AH143)</f>
        <v>0.00604244409759163</v>
      </c>
      <c r="AJ143" s="208" t="n">
        <f aca="false">A143+DAY(EOMONTH(A143,0))/2-1</f>
        <v>41105.5</v>
      </c>
      <c r="AK143" s="209" t="n">
        <f aca="false">IF($A144="","",$A143-$E$1)</f>
        <v>-4835</v>
      </c>
      <c r="AL143" s="182" t="e">
        <f aca="false">IF($A144="","",SPRDOPT(P143,X143,AI143,0,AB143,AE143,AF143,AK143,$AJ$2,0))</f>
        <v>#NAME?</v>
      </c>
      <c r="AM143" s="211" t="e">
        <f aca="false">IF($A144="","",MAX(0,O143-W143-AI143))</f>
        <v>#N/A</v>
      </c>
      <c r="AN143" s="211" t="e">
        <f aca="false">IF($A144="","",AL143-AM143)</f>
        <v>#N/A</v>
      </c>
      <c r="AO143" s="137" t="n">
        <f aca="false">IF(A144="","",A144-A143)</f>
        <v>31</v>
      </c>
      <c r="AP143" s="212" t="n">
        <f aca="false">IF(A144="","",CHOOSE(F$3,A144+24,A143))</f>
        <v>41091</v>
      </c>
      <c r="AQ143" s="209" t="n">
        <f aca="false">IF(A144="","",AP143-$E$1)</f>
        <v>-4835</v>
      </c>
      <c r="AR143" s="185" t="n">
        <f aca="false">'ANR OK vs ML7'!AR143</f>
        <v>0.1</v>
      </c>
      <c r="AS143" s="213" t="n">
        <f aca="false">IF(A144="","",1/(1+CHOOSE(F$3,(AR144+($I$3/10000))/2,(AR143+($I$3/10000))/2))^(2*AQ143/365.25))</f>
        <v>3.63904189470855</v>
      </c>
      <c r="AT143" s="137" t="n">
        <f aca="false">IF(A144="","",IF(AND(mthbeg&lt;=A143,mthend&gt;=A143),1,0))</f>
        <v>1</v>
      </c>
      <c r="AU143" s="137" t="n">
        <f aca="false">IF(A144="","",AO143*AT143)</f>
        <v>31</v>
      </c>
      <c r="AW143" s="195" t="e">
        <f aca="false">IF($A144="","",AL143*$E143)</f>
        <v>#NAME?</v>
      </c>
      <c r="AX143" s="195" t="e">
        <f aca="false">IF($A144="","",AM143*$E143)</f>
        <v>#N/A</v>
      </c>
      <c r="AY143" s="195" t="e">
        <f aca="false">IF($A144="","",AN143*$E143)</f>
        <v>#N/A</v>
      </c>
      <c r="BA143" s="195" t="n">
        <f aca="false">IF($A144="","",F143*Summary!$Q$14)</f>
        <v>0</v>
      </c>
      <c r="BC143" s="179" t="e">
        <f aca="false">IF(A144="","",AM143*F143)</f>
        <v>#N/A</v>
      </c>
    </row>
    <row r="144" customFormat="false" ht="12.75" hidden="false" customHeight="false" outlineLevel="0" collapsed="false">
      <c r="A144" s="196" t="n">
        <f aca="false">IF(A143&lt;mthend,EDATE(A143,1),"")</f>
        <v>41122</v>
      </c>
      <c r="B144" s="197" t="n">
        <f aca="false">IF(A144&lt;mthend,B143,"")</f>
        <v>28400</v>
      </c>
      <c r="C144" s="215"/>
      <c r="D144" s="197" t="n">
        <f aca="false">IF(A145&lt;&gt;"",B144+C144,"")</f>
        <v>28400</v>
      </c>
      <c r="E144" s="199" t="n">
        <f aca="false">IF(A145="","",IF(AND(AT144=1,$H$3=1),D144*AO144,IF($H$3=2,D144,"N/A")))</f>
        <v>880400</v>
      </c>
      <c r="F144" s="199" t="n">
        <f aca="false">IF(A145="","",E144*AS144)</f>
        <v>3177388.17338015</v>
      </c>
      <c r="G144" s="200" t="e">
        <f aca="false">IF($A145="","",VLOOKUP($A144,Table,MATCH(G$4,Curves,0)))</f>
        <v>#N/A</v>
      </c>
      <c r="H144" s="201" t="e">
        <f aca="false">IF(A145="","",G144)</f>
        <v>#N/A</v>
      </c>
      <c r="I144" s="202"/>
      <c r="J144" s="200" t="e">
        <f aca="false">IF($A145="","",VLOOKUP($A144,Table,MATCH(J$4,Curves,0)))</f>
        <v>#N/A</v>
      </c>
      <c r="K144" s="201" t="e">
        <f aca="false">IF(A145="","",J144)</f>
        <v>#N/A</v>
      </c>
      <c r="L144" s="185" t="n">
        <v>0</v>
      </c>
      <c r="M144" s="201" t="n">
        <f aca="false">IF(A145="","",L144)</f>
        <v>0</v>
      </c>
      <c r="N144" s="203"/>
      <c r="O144" s="200" t="e">
        <f aca="false">IF(A145="","",L144+J144+G144)</f>
        <v>#N/A</v>
      </c>
      <c r="P144" s="200" t="e">
        <f aca="false">IF(A145="","",M144+K144+H144)</f>
        <v>#N/A</v>
      </c>
      <c r="Q144" s="204"/>
      <c r="R144" s="200" t="e">
        <f aca="false">IF($A145="","",VLOOKUP($A144,Table,MATCH(R$4,Curves,0)))</f>
        <v>#N/A</v>
      </c>
      <c r="S144" s="201" t="e">
        <f aca="false">IF(A145="","",R144)</f>
        <v>#N/A</v>
      </c>
      <c r="T144" s="200" t="e">
        <f aca="false">IF($A145="","",VLOOKUP($A144,Table,MATCH(T$4,Curves,0)))</f>
        <v>#N/A</v>
      </c>
      <c r="U144" s="201" t="e">
        <f aca="false">IF(A145="","",T144)</f>
        <v>#N/A</v>
      </c>
      <c r="V144" s="183" t="e">
        <f aca="false">IF($A145="","",IF(AND(MONTH(A144)&gt;3,MONTH(A144)&lt;11),(T144+R144+G144)*(((1/(1-Summary!$T$14))/(1-Summary!$W$14))-1),(T144+R144+G144)*((1/(1-Summary!$U$14))/(1-Summary!$X$14)-1)))</f>
        <v>#N/A</v>
      </c>
      <c r="W144" s="202" t="e">
        <f aca="false">IF($A145="","",(T144+R144+G144+V144))</f>
        <v>#N/A</v>
      </c>
      <c r="X144" s="202" t="e">
        <f aca="false">IF($A145="","",(U144+S144+H144+V144))</f>
        <v>#N/A</v>
      </c>
      <c r="Y144" s="202"/>
      <c r="Z144" s="185" t="e">
        <f aca="false">IF($A145="","",VLOOKUP($A144,Table,MATCH(Z$4,Curves,0)))</f>
        <v>#N/A</v>
      </c>
      <c r="AA144" s="185" t="e">
        <f aca="false">IF($A145="","",VLOOKUP($A144,Table,MATCH(AA$4,Curves,0)))</f>
        <v>#N/A</v>
      </c>
      <c r="AB144" s="185" t="e">
        <f aca="false">SQRT((AA144^2*(A144-$D$3)+Z144^2*(DAY(EOMONTH(A144,0))/2))/AK144)</f>
        <v>#N/A</v>
      </c>
      <c r="AC144" s="185" t="e">
        <f aca="false">IF($A145="","",VLOOKUP($A144,Table,MATCH(AC$4,Curves,0)))</f>
        <v>#N/A</v>
      </c>
      <c r="AD144" s="185" t="e">
        <f aca="false">IF($A145="","",VLOOKUP($A144,Table,MATCH(AD$4,Curves,0)))</f>
        <v>#N/A</v>
      </c>
      <c r="AE144" s="185" t="e">
        <f aca="false">SQRT((AD144^2*(A144-$D$3)+AC144^2*(DAY(EOMONTH(A144,0))/2))/AK144)</f>
        <v>#N/A</v>
      </c>
      <c r="AF144" s="224" t="e">
        <f aca="false">((Summary!$N$14*(AA144*AD144)*(A144-$D$3))+(Summary!$M$14*Z144*AC144*(AJ144-EOMONTH(EDATE(A144,-1),0))))/(AK144*AB144*AE144)</f>
        <v>#N/A</v>
      </c>
      <c r="AG144" s="207" t="n">
        <f aca="false">IF($A145="","",Summary!$Q$14)</f>
        <v>0</v>
      </c>
      <c r="AH144" s="207" t="n">
        <f aca="false">IF($A145="","",IF(Summary!$R$12="Y",(VLOOKUP($A144,Summary!$AD$6:$AF$9,3)+'Escalating commodity'!J157),'Escalating commodity'!J157))</f>
        <v>0.00604244409759163</v>
      </c>
      <c r="AI144" s="207" t="n">
        <f aca="false">IF($A145="","",AH144)</f>
        <v>0.00604244409759163</v>
      </c>
      <c r="AJ144" s="208" t="n">
        <f aca="false">A144+DAY(EOMONTH(A144,0))/2-1</f>
        <v>41136.5</v>
      </c>
      <c r="AK144" s="209" t="n">
        <f aca="false">IF($A145="","",$A144-$E$1)</f>
        <v>-4804</v>
      </c>
      <c r="AL144" s="182" t="e">
        <f aca="false">IF($A145="","",SPRDOPT(P144,X144,AI144,0,AB144,AE144,AF144,AK144,$AJ$2,0))</f>
        <v>#NAME?</v>
      </c>
      <c r="AM144" s="211" t="e">
        <f aca="false">IF($A145="","",MAX(0,O144-W144-AI144))</f>
        <v>#N/A</v>
      </c>
      <c r="AN144" s="211" t="e">
        <f aca="false">IF($A145="","",AL144-AM144)</f>
        <v>#N/A</v>
      </c>
      <c r="AO144" s="137" t="n">
        <f aca="false">IF(A145="","",A145-A144)</f>
        <v>31</v>
      </c>
      <c r="AP144" s="212" t="n">
        <f aca="false">IF(A145="","",CHOOSE(F$3,A145+24,A144))</f>
        <v>41122</v>
      </c>
      <c r="AQ144" s="209" t="n">
        <f aca="false">IF(A145="","",AP144-$E$1)</f>
        <v>-4804</v>
      </c>
      <c r="AR144" s="185" t="n">
        <f aca="false">'ANR OK vs ML7'!AR144</f>
        <v>0.1</v>
      </c>
      <c r="AS144" s="213" t="n">
        <f aca="false">IF(A145="","",1/(1+CHOOSE(F$3,(AR145+($I$3/10000))/2,(AR144+($I$3/10000))/2))^(2*AQ144/365.25))</f>
        <v>3.60902791160853</v>
      </c>
      <c r="AT144" s="137" t="n">
        <f aca="false">IF(A145="","",IF(AND(mthbeg&lt;=A144,mthend&gt;=A144),1,0))</f>
        <v>1</v>
      </c>
      <c r="AU144" s="137" t="n">
        <f aca="false">IF(A145="","",AO144*AT144)</f>
        <v>31</v>
      </c>
      <c r="AW144" s="195" t="e">
        <f aca="false">IF($A145="","",AL144*$E144)</f>
        <v>#NAME?</v>
      </c>
      <c r="AX144" s="195" t="e">
        <f aca="false">IF($A145="","",AM144*$E144)</f>
        <v>#N/A</v>
      </c>
      <c r="AY144" s="195" t="e">
        <f aca="false">IF($A145="","",AN144*$E144)</f>
        <v>#N/A</v>
      </c>
      <c r="BA144" s="195" t="n">
        <f aca="false">IF($A145="","",F144*Summary!$Q$14)</f>
        <v>0</v>
      </c>
      <c r="BC144" s="179" t="e">
        <f aca="false">IF(A145="","",AM144*F144)</f>
        <v>#N/A</v>
      </c>
    </row>
    <row r="145" customFormat="false" ht="12.75" hidden="false" customHeight="false" outlineLevel="0" collapsed="false">
      <c r="A145" s="196" t="n">
        <f aca="false">IF(A144&lt;mthend,EDATE(A144,1),"")</f>
        <v>41153</v>
      </c>
      <c r="B145" s="197" t="n">
        <f aca="false">IF(A145&lt;mthend,B144,"")</f>
        <v>28400</v>
      </c>
      <c r="C145" s="215"/>
      <c r="D145" s="197" t="n">
        <f aca="false">IF(A146&lt;&gt;"",B145+C145,"")</f>
        <v>28400</v>
      </c>
      <c r="E145" s="199" t="n">
        <f aca="false">IF(A146="","",IF(AND(AT145=1,$H$3=1),D145*AO145,IF($H$3=2,D145,"N/A")))</f>
        <v>852000</v>
      </c>
      <c r="F145" s="199" t="n">
        <f aca="false">IF(A146="","",E145*AS145)</f>
        <v>3049530.77836888</v>
      </c>
      <c r="G145" s="200" t="e">
        <f aca="false">IF($A146="","",VLOOKUP($A145,Table,MATCH(G$4,Curves,0)))</f>
        <v>#N/A</v>
      </c>
      <c r="H145" s="201" t="e">
        <f aca="false">IF(A146="","",G145)</f>
        <v>#N/A</v>
      </c>
      <c r="I145" s="202"/>
      <c r="J145" s="200" t="e">
        <f aca="false">IF($A146="","",VLOOKUP($A145,Table,MATCH(J$4,Curves,0)))</f>
        <v>#N/A</v>
      </c>
      <c r="K145" s="201" t="e">
        <f aca="false">IF(A146="","",J145)</f>
        <v>#N/A</v>
      </c>
      <c r="L145" s="185" t="n">
        <v>0</v>
      </c>
      <c r="M145" s="201" t="n">
        <f aca="false">IF(A146="","",L145)</f>
        <v>0</v>
      </c>
      <c r="N145" s="203"/>
      <c r="O145" s="200" t="e">
        <f aca="false">IF(A146="","",L145+J145+G145)</f>
        <v>#N/A</v>
      </c>
      <c r="P145" s="200" t="e">
        <f aca="false">IF(A146="","",M145+K145+H145)</f>
        <v>#N/A</v>
      </c>
      <c r="Q145" s="204"/>
      <c r="R145" s="200" t="e">
        <f aca="false">IF($A146="","",VLOOKUP($A145,Table,MATCH(R$4,Curves,0)))</f>
        <v>#N/A</v>
      </c>
      <c r="S145" s="201" t="e">
        <f aca="false">IF(A146="","",R145)</f>
        <v>#N/A</v>
      </c>
      <c r="T145" s="200" t="e">
        <f aca="false">IF($A146="","",VLOOKUP($A145,Table,MATCH(T$4,Curves,0)))</f>
        <v>#N/A</v>
      </c>
      <c r="U145" s="201" t="e">
        <f aca="false">IF(A146="","",T145)</f>
        <v>#N/A</v>
      </c>
      <c r="V145" s="183" t="e">
        <f aca="false">IF($A146="","",IF(AND(MONTH(A145)&gt;3,MONTH(A145)&lt;11),(T145+R145+G145)*(((1/(1-Summary!$T$14))/(1-Summary!$W$14))-1),(T145+R145+G145)*((1/(1-Summary!$U$14))/(1-Summary!$X$14)-1)))</f>
        <v>#N/A</v>
      </c>
      <c r="W145" s="202" t="e">
        <f aca="false">IF($A146="","",(T145+R145+G145+V145))</f>
        <v>#N/A</v>
      </c>
      <c r="X145" s="202" t="e">
        <f aca="false">IF($A146="","",(U145+S145+H145+V145))</f>
        <v>#N/A</v>
      </c>
      <c r="Y145" s="202"/>
      <c r="Z145" s="185" t="e">
        <f aca="false">IF($A146="","",VLOOKUP($A145,Table,MATCH(Z$4,Curves,0)))</f>
        <v>#N/A</v>
      </c>
      <c r="AA145" s="185" t="e">
        <f aca="false">IF($A146="","",VLOOKUP($A145,Table,MATCH(AA$4,Curves,0)))</f>
        <v>#N/A</v>
      </c>
      <c r="AB145" s="185" t="e">
        <f aca="false">SQRT((AA145^2*(A145-$D$3)+Z145^2*(DAY(EOMONTH(A145,0))/2))/AK145)</f>
        <v>#N/A</v>
      </c>
      <c r="AC145" s="185" t="e">
        <f aca="false">IF($A146="","",VLOOKUP($A145,Table,MATCH(AC$4,Curves,0)))</f>
        <v>#N/A</v>
      </c>
      <c r="AD145" s="185" t="e">
        <f aca="false">IF($A146="","",VLOOKUP($A145,Table,MATCH(AD$4,Curves,0)))</f>
        <v>#N/A</v>
      </c>
      <c r="AE145" s="185" t="e">
        <f aca="false">SQRT((AD145^2*(A145-$D$3)+AC145^2*(DAY(EOMONTH(A145,0))/2))/AK145)</f>
        <v>#N/A</v>
      </c>
      <c r="AF145" s="224" t="e">
        <f aca="false">((Summary!$N$14*(AA145*AD145)*(A145-$D$3))+(Summary!$M$14*Z145*AC145*(AJ145-EOMONTH(EDATE(A145,-1),0))))/(AK145*AB145*AE145)</f>
        <v>#N/A</v>
      </c>
      <c r="AG145" s="207" t="n">
        <f aca="false">IF($A146="","",Summary!$Q$14)</f>
        <v>0</v>
      </c>
      <c r="AH145" s="207" t="n">
        <f aca="false">IF($A146="","",IF(Summary!$R$12="Y",(VLOOKUP($A145,Summary!$AD$6:$AF$9,3)+'Escalating commodity'!J158),'Escalating commodity'!J158))</f>
        <v>0.00604244409759163</v>
      </c>
      <c r="AI145" s="207" t="n">
        <f aca="false">IF($A146="","",AH145)</f>
        <v>0.00604244409759163</v>
      </c>
      <c r="AJ145" s="208" t="n">
        <f aca="false">A145+DAY(EOMONTH(A145,0))/2-1</f>
        <v>41167</v>
      </c>
      <c r="AK145" s="209" t="n">
        <f aca="false">IF($A146="","",$A145-$E$1)</f>
        <v>-4773</v>
      </c>
      <c r="AL145" s="182" t="e">
        <f aca="false">IF($A146="","",SPRDOPT(P145,X145,AI145,0,AB145,AE145,AF145,AK145,$AJ$2,0))</f>
        <v>#NAME?</v>
      </c>
      <c r="AM145" s="211" t="e">
        <f aca="false">IF($A146="","",MAX(0,O145-W145-AI145))</f>
        <v>#N/A</v>
      </c>
      <c r="AN145" s="211" t="e">
        <f aca="false">IF($A146="","",AL145-AM145)</f>
        <v>#N/A</v>
      </c>
      <c r="AO145" s="137" t="n">
        <f aca="false">IF(A146="","",A146-A145)</f>
        <v>30</v>
      </c>
      <c r="AP145" s="212" t="n">
        <f aca="false">IF(A146="","",CHOOSE(F$3,A146+24,A145))</f>
        <v>41153</v>
      </c>
      <c r="AQ145" s="209" t="n">
        <f aca="false">IF(A146="","",AP145-$E$1)</f>
        <v>-4773</v>
      </c>
      <c r="AR145" s="185" t="n">
        <f aca="false">'ANR OK vs ML7'!AR145</f>
        <v>0.1</v>
      </c>
      <c r="AS145" s="213" t="n">
        <f aca="false">IF(A146="","",1/(1+CHOOSE(F$3,(AR146+($I$3/10000))/2,(AR145+($I$3/10000))/2))^(2*AQ145/365.25))</f>
        <v>3.57926147695878</v>
      </c>
      <c r="AT145" s="137" t="n">
        <f aca="false">IF(A146="","",IF(AND(mthbeg&lt;=A145,mthend&gt;=A145),1,0))</f>
        <v>1</v>
      </c>
      <c r="AU145" s="137" t="n">
        <f aca="false">IF(A146="","",AO145*AT145)</f>
        <v>30</v>
      </c>
      <c r="AW145" s="195" t="e">
        <f aca="false">IF($A146="","",AL145*$E145)</f>
        <v>#NAME?</v>
      </c>
      <c r="AX145" s="195" t="e">
        <f aca="false">IF($A146="","",AM145*$E145)</f>
        <v>#N/A</v>
      </c>
      <c r="AY145" s="195" t="e">
        <f aca="false">IF($A146="","",AN145*$E145)</f>
        <v>#N/A</v>
      </c>
      <c r="BA145" s="195" t="n">
        <f aca="false">IF($A146="","",F145*Summary!$Q$14)</f>
        <v>0</v>
      </c>
      <c r="BC145" s="179" t="e">
        <f aca="false">IF(A146="","",AM145*F145)</f>
        <v>#N/A</v>
      </c>
    </row>
    <row r="146" customFormat="false" ht="12.75" hidden="false" customHeight="false" outlineLevel="0" collapsed="false">
      <c r="A146" s="196" t="n">
        <f aca="false">IF(A145&lt;mthend,EDATE(A145,1),"")</f>
        <v>41183</v>
      </c>
      <c r="B146" s="197" t="n">
        <f aca="false">IF(A146&lt;mthend,B145,"")</f>
        <v>28400</v>
      </c>
      <c r="C146" s="215"/>
      <c r="D146" s="197" t="n">
        <f aca="false">IF(A147&lt;&gt;"",B146+C146,"")</f>
        <v>28400</v>
      </c>
      <c r="E146" s="199" t="n">
        <f aca="false">IF(A147="","",IF(AND(AT146=1,$H$3=1),D146*AO146,IF($H$3=2,D146,"N/A")))</f>
        <v>880400</v>
      </c>
      <c r="F146" s="199" t="n">
        <f aca="false">IF(A147="","",E146*AS146)</f>
        <v>3126026.6182774</v>
      </c>
      <c r="G146" s="200" t="e">
        <f aca="false">IF($A147="","",VLOOKUP($A146,Table,MATCH(G$4,Curves,0)))</f>
        <v>#N/A</v>
      </c>
      <c r="H146" s="201" t="e">
        <f aca="false">IF(A147="","",G146)</f>
        <v>#N/A</v>
      </c>
      <c r="I146" s="202"/>
      <c r="J146" s="200" t="e">
        <f aca="false">IF($A147="","",VLOOKUP($A146,Table,MATCH(J$4,Curves,0)))</f>
        <v>#N/A</v>
      </c>
      <c r="K146" s="201" t="e">
        <f aca="false">IF(A147="","",J146)</f>
        <v>#N/A</v>
      </c>
      <c r="L146" s="185" t="n">
        <v>0</v>
      </c>
      <c r="M146" s="201" t="n">
        <f aca="false">IF(A147="","",L146)</f>
        <v>0</v>
      </c>
      <c r="N146" s="203"/>
      <c r="O146" s="200" t="e">
        <f aca="false">IF(A147="","",L146+J146+G146)</f>
        <v>#N/A</v>
      </c>
      <c r="P146" s="200" t="e">
        <f aca="false">IF(A147="","",M146+K146+H146)</f>
        <v>#N/A</v>
      </c>
      <c r="Q146" s="204"/>
      <c r="R146" s="200" t="e">
        <f aca="false">IF($A147="","",VLOOKUP($A146,Table,MATCH(R$4,Curves,0)))</f>
        <v>#N/A</v>
      </c>
      <c r="S146" s="201" t="e">
        <f aca="false">IF(A147="","",R146)</f>
        <v>#N/A</v>
      </c>
      <c r="T146" s="200" t="e">
        <f aca="false">IF($A147="","",VLOOKUP($A146,Table,MATCH(T$4,Curves,0)))</f>
        <v>#N/A</v>
      </c>
      <c r="U146" s="201" t="e">
        <f aca="false">IF(A147="","",T146)</f>
        <v>#N/A</v>
      </c>
      <c r="V146" s="183" t="e">
        <f aca="false">IF($A147="","",IF(AND(MONTH(A146)&gt;3,MONTH(A146)&lt;11),(T146+R146+G146)*(((1/(1-Summary!$T$14))/(1-Summary!$W$14))-1),(T146+R146+G146)*((1/(1-Summary!$U$14))/(1-Summary!$X$14)-1)))</f>
        <v>#N/A</v>
      </c>
      <c r="W146" s="202" t="e">
        <f aca="false">IF($A147="","",(T146+R146+G146+V146))</f>
        <v>#N/A</v>
      </c>
      <c r="X146" s="202" t="e">
        <f aca="false">IF($A147="","",(U146+S146+H146+V146))</f>
        <v>#N/A</v>
      </c>
      <c r="Y146" s="202"/>
      <c r="Z146" s="185" t="e">
        <f aca="false">IF($A147="","",VLOOKUP($A146,Table,MATCH(Z$4,Curves,0)))</f>
        <v>#N/A</v>
      </c>
      <c r="AA146" s="185" t="e">
        <f aca="false">IF($A147="","",VLOOKUP($A146,Table,MATCH(AA$4,Curves,0)))</f>
        <v>#N/A</v>
      </c>
      <c r="AB146" s="185" t="e">
        <f aca="false">SQRT((AA146^2*(A146-$D$3)+Z146^2*(DAY(EOMONTH(A146,0))/2))/AK146)</f>
        <v>#N/A</v>
      </c>
      <c r="AC146" s="185" t="e">
        <f aca="false">IF($A147="","",VLOOKUP($A146,Table,MATCH(AC$4,Curves,0)))</f>
        <v>#N/A</v>
      </c>
      <c r="AD146" s="185" t="e">
        <f aca="false">IF($A147="","",VLOOKUP($A146,Table,MATCH(AD$4,Curves,0)))</f>
        <v>#N/A</v>
      </c>
      <c r="AE146" s="185" t="e">
        <f aca="false">SQRT((AD146^2*(A146-$D$3)+AC146^2*(DAY(EOMONTH(A146,0))/2))/AK146)</f>
        <v>#N/A</v>
      </c>
      <c r="AF146" s="224" t="e">
        <f aca="false">((Summary!$N$14*(AA146*AD146)*(A146-$D$3))+(Summary!$M$14*Z146*AC146*(AJ146-EOMONTH(EDATE(A146,-1),0))))/(AK146*AB146*AE146)</f>
        <v>#N/A</v>
      </c>
      <c r="AG146" s="207" t="n">
        <f aca="false">IF($A147="","",Summary!$Q$14)</f>
        <v>0</v>
      </c>
      <c r="AH146" s="207" t="n">
        <f aca="false">IF($A147="","",IF(Summary!$R$12="Y",(VLOOKUP($A146,Summary!$AD$6:$AF$9,3)+'Escalating commodity'!J159),'Escalating commodity'!J159))</f>
        <v>0.00604244409759163</v>
      </c>
      <c r="AI146" s="207" t="n">
        <f aca="false">IF($A147="","",AH146)</f>
        <v>0.00604244409759163</v>
      </c>
      <c r="AJ146" s="208" t="n">
        <f aca="false">A146+DAY(EOMONTH(A146,0))/2-1</f>
        <v>41197.5</v>
      </c>
      <c r="AK146" s="209" t="n">
        <f aca="false">IF($A147="","",$A146-$E$1)</f>
        <v>-4743</v>
      </c>
      <c r="AL146" s="182" t="e">
        <f aca="false">IF($A147="","",SPRDOPT(P146,X146,AI146,0,AB146,AE146,AF146,AK146,$AJ$2,0))</f>
        <v>#NAME?</v>
      </c>
      <c r="AM146" s="211" t="e">
        <f aca="false">IF($A147="","",MAX(0,O146-W146-AI146))</f>
        <v>#N/A</v>
      </c>
      <c r="AN146" s="211" t="e">
        <f aca="false">IF($A147="","",AL146-AM146)</f>
        <v>#N/A</v>
      </c>
      <c r="AO146" s="137" t="n">
        <f aca="false">IF(A147="","",A147-A146)</f>
        <v>31</v>
      </c>
      <c r="AP146" s="212" t="n">
        <f aca="false">IF(A147="","",CHOOSE(F$3,A147+24,A146))</f>
        <v>41183</v>
      </c>
      <c r="AQ146" s="209" t="n">
        <f aca="false">IF(A147="","",AP146-$E$1)</f>
        <v>-4743</v>
      </c>
      <c r="AR146" s="185" t="n">
        <f aca="false">'ANR OK vs ML7'!AR146</f>
        <v>0.1</v>
      </c>
      <c r="AS146" s="213" t="n">
        <f aca="false">IF(A147="","",1/(1+CHOOSE(F$3,(AR147+($I$3/10000))/2,(AR146+($I$3/10000))/2))^(2*AQ146/365.25))</f>
        <v>3.55068902575806</v>
      </c>
      <c r="AT146" s="137" t="n">
        <f aca="false">IF(A147="","",IF(AND(mthbeg&lt;=A146,mthend&gt;=A146),1,0))</f>
        <v>1</v>
      </c>
      <c r="AU146" s="137" t="n">
        <f aca="false">IF(A147="","",AO146*AT146)</f>
        <v>31</v>
      </c>
      <c r="AW146" s="195" t="e">
        <f aca="false">IF($A147="","",AL146*$E146)</f>
        <v>#NAME?</v>
      </c>
      <c r="AX146" s="195" t="e">
        <f aca="false">IF($A147="","",AM146*$E146)</f>
        <v>#N/A</v>
      </c>
      <c r="AY146" s="195" t="e">
        <f aca="false">IF($A147="","",AN146*$E146)</f>
        <v>#N/A</v>
      </c>
      <c r="BA146" s="195" t="n">
        <f aca="false">IF($A147="","",F146*Summary!$Q$14)</f>
        <v>0</v>
      </c>
      <c r="BC146" s="179" t="e">
        <f aca="false">IF(A147="","",AM146*F146)</f>
        <v>#N/A</v>
      </c>
    </row>
    <row r="147" customFormat="false" ht="12.75" hidden="false" customHeight="false" outlineLevel="0" collapsed="false">
      <c r="A147" s="196" t="n">
        <f aca="false">IF(A146&lt;mthend,EDATE(A146,1),"")</f>
        <v>41214</v>
      </c>
      <c r="B147" s="197" t="n">
        <f aca="false">IF(A147&lt;mthend,B146,"")</f>
        <v>28400</v>
      </c>
      <c r="C147" s="215"/>
      <c r="D147" s="197" t="n">
        <f aca="false">IF(A148&lt;&gt;"",B147+C147,"")</f>
        <v>28400</v>
      </c>
      <c r="E147" s="199" t="n">
        <f aca="false">IF(A148="","",IF(AND(AT147=1,$H$3=1),D147*AO147,IF($H$3=2,D147,"N/A")))</f>
        <v>852000</v>
      </c>
      <c r="F147" s="199" t="n">
        <f aca="false">IF(A148="","",E147*AS147)</f>
        <v>3000236.00084596</v>
      </c>
      <c r="G147" s="200" t="e">
        <f aca="false">IF($A148="","",VLOOKUP($A147,Table,MATCH(G$4,Curves,0)))</f>
        <v>#N/A</v>
      </c>
      <c r="H147" s="201" t="e">
        <f aca="false">IF(A148="","",G147)</f>
        <v>#N/A</v>
      </c>
      <c r="I147" s="202"/>
      <c r="J147" s="200" t="e">
        <f aca="false">IF($A148="","",VLOOKUP($A147,Table,MATCH(J$4,Curves,0)))</f>
        <v>#N/A</v>
      </c>
      <c r="K147" s="201" t="e">
        <f aca="false">IF(A148="","",J147)</f>
        <v>#N/A</v>
      </c>
      <c r="L147" s="185" t="n">
        <v>0</v>
      </c>
      <c r="M147" s="201" t="n">
        <f aca="false">IF(A148="","",L147)</f>
        <v>0</v>
      </c>
      <c r="N147" s="203"/>
      <c r="O147" s="200" t="e">
        <f aca="false">IF(A148="","",L147+J147+G147)</f>
        <v>#N/A</v>
      </c>
      <c r="P147" s="200" t="e">
        <f aca="false">IF(A148="","",M147+K147+H147)</f>
        <v>#N/A</v>
      </c>
      <c r="Q147" s="204"/>
      <c r="R147" s="200" t="e">
        <f aca="false">IF($A148="","",VLOOKUP($A147,Table,MATCH(R$4,Curves,0)))</f>
        <v>#N/A</v>
      </c>
      <c r="S147" s="201" t="e">
        <f aca="false">IF(A148="","",R147)</f>
        <v>#N/A</v>
      </c>
      <c r="T147" s="200" t="e">
        <f aca="false">IF($A148="","",VLOOKUP($A147,Table,MATCH(T$4,Curves,0)))</f>
        <v>#N/A</v>
      </c>
      <c r="U147" s="201" t="e">
        <f aca="false">IF(A148="","",T147)</f>
        <v>#N/A</v>
      </c>
      <c r="V147" s="183" t="e">
        <f aca="false">IF($A148="","",IF(AND(MONTH(A147)&gt;3,MONTH(A147)&lt;11),(T147+R147+G147)*(((1/(1-Summary!$T$14))/(1-Summary!$W$14))-1),(T147+R147+G147)*((1/(1-Summary!$U$14))/(1-Summary!$X$14)-1)))</f>
        <v>#N/A</v>
      </c>
      <c r="W147" s="202" t="e">
        <f aca="false">IF($A148="","",(T147+R147+G147+V147))</f>
        <v>#N/A</v>
      </c>
      <c r="X147" s="202" t="e">
        <f aca="false">IF($A148="","",(U147+S147+H147+V147))</f>
        <v>#N/A</v>
      </c>
      <c r="Y147" s="202"/>
      <c r="Z147" s="185" t="e">
        <f aca="false">IF($A148="","",VLOOKUP($A147,Table,MATCH(Z$4,Curves,0)))</f>
        <v>#N/A</v>
      </c>
      <c r="AA147" s="185" t="e">
        <f aca="false">IF($A148="","",VLOOKUP($A147,Table,MATCH(AA$4,Curves,0)))</f>
        <v>#N/A</v>
      </c>
      <c r="AB147" s="185" t="e">
        <f aca="false">SQRT((AA147^2*(A147-$D$3)+Z147^2*(DAY(EOMONTH(A147,0))/2))/AK147)</f>
        <v>#N/A</v>
      </c>
      <c r="AC147" s="185" t="e">
        <f aca="false">IF($A148="","",VLOOKUP($A147,Table,MATCH(AC$4,Curves,0)))</f>
        <v>#N/A</v>
      </c>
      <c r="AD147" s="185" t="e">
        <f aca="false">IF($A148="","",VLOOKUP($A147,Table,MATCH(AD$4,Curves,0)))</f>
        <v>#N/A</v>
      </c>
      <c r="AE147" s="185" t="e">
        <f aca="false">SQRT((AD147^2*(A147-$D$3)+AC147^2*(DAY(EOMONTH(A147,0))/2))/AK147)</f>
        <v>#N/A</v>
      </c>
      <c r="AF147" s="224" t="e">
        <f aca="false">((Summary!$N$14*(AA147*AD147)*(A147-$D$3))+(Summary!$M$14*Z147*AC147*(AJ147-EOMONTH(EDATE(A147,-1),0))))/(AK147*AB147*AE147)</f>
        <v>#N/A</v>
      </c>
      <c r="AG147" s="207" t="n">
        <f aca="false">IF($A148="","",Summary!$Q$14)</f>
        <v>0</v>
      </c>
      <c r="AH147" s="207" t="n">
        <f aca="false">IF($A148="","",IF(Summary!$R$12="Y",(VLOOKUP($A147,Summary!$AD$6:$AF$9,3)+'Escalating commodity'!J160),'Escalating commodity'!J160))</f>
        <v>0.00604244409759163</v>
      </c>
      <c r="AI147" s="207" t="n">
        <f aca="false">IF($A148="","",AH147)</f>
        <v>0.00604244409759163</v>
      </c>
      <c r="AJ147" s="208" t="n">
        <f aca="false">A147+DAY(EOMONTH(A147,0))/2-1</f>
        <v>41228</v>
      </c>
      <c r="AK147" s="209" t="n">
        <f aca="false">IF($A148="","",$A147-$E$1)</f>
        <v>-4712</v>
      </c>
      <c r="AL147" s="182" t="e">
        <f aca="false">IF($A148="","",SPRDOPT(P147,X147,AI147,0,AB147,AE147,AF147,AK147,$AJ$2,0))</f>
        <v>#NAME?</v>
      </c>
      <c r="AM147" s="211" t="e">
        <f aca="false">IF($A148="","",MAX(0,O147-W147-AI147))</f>
        <v>#N/A</v>
      </c>
      <c r="AN147" s="211" t="e">
        <f aca="false">IF($A148="","",AL147-AM147)</f>
        <v>#N/A</v>
      </c>
      <c r="AO147" s="137" t="n">
        <f aca="false">IF(A148="","",A148-A147)</f>
        <v>30</v>
      </c>
      <c r="AP147" s="212" t="n">
        <f aca="false">IF(A148="","",CHOOSE(F$3,A148+24,A147))</f>
        <v>41214</v>
      </c>
      <c r="AQ147" s="209" t="n">
        <f aca="false">IF(A148="","",AP147-$E$1)</f>
        <v>-4712</v>
      </c>
      <c r="AR147" s="185" t="n">
        <f aca="false">'ANR OK vs ML7'!AR147</f>
        <v>0.1</v>
      </c>
      <c r="AS147" s="213" t="n">
        <f aca="false">IF(A148="","",1/(1+CHOOSE(F$3,(AR148+($I$3/10000))/2,(AR147+($I$3/10000))/2))^(2*AQ147/365.25))</f>
        <v>3.52140375686146</v>
      </c>
      <c r="AT147" s="137" t="n">
        <f aca="false">IF(A148="","",IF(AND(mthbeg&lt;=A147,mthend&gt;=A147),1,0))</f>
        <v>1</v>
      </c>
      <c r="AU147" s="137" t="n">
        <f aca="false">IF(A148="","",AO147*AT147)</f>
        <v>30</v>
      </c>
      <c r="AW147" s="195" t="e">
        <f aca="false">IF($A148="","",AL147*$E147)</f>
        <v>#NAME?</v>
      </c>
      <c r="AX147" s="195" t="e">
        <f aca="false">IF($A148="","",AM147*$E147)</f>
        <v>#N/A</v>
      </c>
      <c r="AY147" s="195" t="e">
        <f aca="false">IF($A148="","",AN147*$E147)</f>
        <v>#N/A</v>
      </c>
      <c r="BA147" s="195" t="n">
        <f aca="false">IF($A148="","",F147*Summary!$Q$14)</f>
        <v>0</v>
      </c>
      <c r="BC147" s="179" t="e">
        <f aca="false">IF(A148="","",AM147*F147)</f>
        <v>#N/A</v>
      </c>
    </row>
    <row r="148" customFormat="false" ht="12.75" hidden="false" customHeight="false" outlineLevel="0" collapsed="false">
      <c r="A148" s="196" t="n">
        <f aca="false">IF(A147&lt;mthend,EDATE(A147,1),"")</f>
        <v>41244</v>
      </c>
      <c r="B148" s="197" t="n">
        <f aca="false">IF(A148&lt;mthend,B147,"")</f>
        <v>28400</v>
      </c>
      <c r="C148" s="215"/>
      <c r="D148" s="197" t="n">
        <f aca="false">IF(A149&lt;&gt;"",B148+C148,"")</f>
        <v>28400</v>
      </c>
      <c r="E148" s="199" t="n">
        <f aca="false">IF(A149="","",IF(AND(AT148=1,$H$3=1),D148*AO148,IF($H$3=2,D148,"N/A")))</f>
        <v>880400</v>
      </c>
      <c r="F148" s="199" t="n">
        <f aca="false">IF(A149="","",E148*AS148)</f>
        <v>3075495.30776506</v>
      </c>
      <c r="G148" s="200" t="e">
        <f aca="false">IF($A149="","",VLOOKUP($A148,Table,MATCH(G$4,Curves,0)))</f>
        <v>#N/A</v>
      </c>
      <c r="H148" s="201" t="e">
        <f aca="false">IF(A149="","",G148)</f>
        <v>#N/A</v>
      </c>
      <c r="I148" s="202"/>
      <c r="J148" s="200" t="e">
        <f aca="false">IF($A149="","",VLOOKUP($A148,Table,MATCH(J$4,Curves,0)))</f>
        <v>#N/A</v>
      </c>
      <c r="K148" s="201" t="e">
        <f aca="false">IF(A149="","",J148)</f>
        <v>#N/A</v>
      </c>
      <c r="L148" s="185" t="n">
        <v>0</v>
      </c>
      <c r="M148" s="201" t="n">
        <f aca="false">IF(A149="","",L148)</f>
        <v>0</v>
      </c>
      <c r="N148" s="203"/>
      <c r="O148" s="200" t="e">
        <f aca="false">IF(A149="","",L148+J148+G148)</f>
        <v>#N/A</v>
      </c>
      <c r="P148" s="200" t="e">
        <f aca="false">IF(A149="","",M148+K148+H148)</f>
        <v>#N/A</v>
      </c>
      <c r="Q148" s="204"/>
      <c r="R148" s="200" t="e">
        <f aca="false">IF($A149="","",VLOOKUP($A148,Table,MATCH(R$4,Curves,0)))</f>
        <v>#N/A</v>
      </c>
      <c r="S148" s="201" t="e">
        <f aca="false">IF(A149="","",R148)</f>
        <v>#N/A</v>
      </c>
      <c r="T148" s="200" t="e">
        <f aca="false">IF($A149="","",VLOOKUP($A148,Table,MATCH(T$4,Curves,0)))</f>
        <v>#N/A</v>
      </c>
      <c r="U148" s="201" t="e">
        <f aca="false">IF(A149="","",T148)</f>
        <v>#N/A</v>
      </c>
      <c r="V148" s="183" t="e">
        <f aca="false">IF($A149="","",IF(AND(MONTH(A148)&gt;3,MONTH(A148)&lt;11),(T148+R148+G148)*(((1/(1-Summary!$T$14))/(1-Summary!$W$14))-1),(T148+R148+G148)*((1/(1-Summary!$U$14))/(1-Summary!$X$14)-1)))</f>
        <v>#N/A</v>
      </c>
      <c r="W148" s="202" t="e">
        <f aca="false">IF($A149="","",(T148+R148+G148+V148))</f>
        <v>#N/A</v>
      </c>
      <c r="X148" s="202" t="e">
        <f aca="false">IF($A149="","",(U148+S148+H148+V148))</f>
        <v>#N/A</v>
      </c>
      <c r="Y148" s="202"/>
      <c r="Z148" s="185" t="e">
        <f aca="false">IF($A149="","",VLOOKUP($A148,Table,MATCH(Z$4,Curves,0)))</f>
        <v>#N/A</v>
      </c>
      <c r="AA148" s="185" t="e">
        <f aca="false">IF($A149="","",VLOOKUP($A148,Table,MATCH(AA$4,Curves,0)))</f>
        <v>#N/A</v>
      </c>
      <c r="AB148" s="185" t="e">
        <f aca="false">SQRT((AA148^2*(A148-$D$3)+Z148^2*(DAY(EOMONTH(A148,0))/2))/AK148)</f>
        <v>#N/A</v>
      </c>
      <c r="AC148" s="185" t="e">
        <f aca="false">IF($A149="","",VLOOKUP($A148,Table,MATCH(AC$4,Curves,0)))</f>
        <v>#N/A</v>
      </c>
      <c r="AD148" s="185" t="e">
        <f aca="false">IF($A149="","",VLOOKUP($A148,Table,MATCH(AD$4,Curves,0)))</f>
        <v>#N/A</v>
      </c>
      <c r="AE148" s="185" t="e">
        <f aca="false">SQRT((AD148^2*(A148-$D$3)+AC148^2*(DAY(EOMONTH(A148,0))/2))/AK148)</f>
        <v>#N/A</v>
      </c>
      <c r="AF148" s="224" t="e">
        <f aca="false">((Summary!$N$14*(AA148*AD148)*(A148-$D$3))+(Summary!$M$14*Z148*AC148*(AJ148-EOMONTH(EDATE(A148,-1),0))))/(AK148*AB148*AE148)</f>
        <v>#N/A</v>
      </c>
      <c r="AG148" s="207" t="n">
        <f aca="false">IF($A149="","",Summary!$Q$14)</f>
        <v>0</v>
      </c>
      <c r="AH148" s="207" t="n">
        <f aca="false">IF($A149="","",IF(Summary!$R$12="Y",(VLOOKUP($A148,Summary!$AD$6:$AF$9,3)+'Escalating commodity'!J161),'Escalating commodity'!J161))</f>
        <v>0.00604244409759163</v>
      </c>
      <c r="AI148" s="207" t="n">
        <f aca="false">IF($A149="","",AH148)</f>
        <v>0.00604244409759163</v>
      </c>
      <c r="AJ148" s="208" t="n">
        <f aca="false">A148+DAY(EOMONTH(A148,0))/2-1</f>
        <v>41258.5</v>
      </c>
      <c r="AK148" s="209" t="n">
        <f aca="false">IF($A149="","",$A148-$E$1)</f>
        <v>-4682</v>
      </c>
      <c r="AL148" s="182" t="e">
        <f aca="false">IF($A149="","",SPRDOPT(P148,X148,AI148,0,AB148,AE148,AF148,AK148,$AJ$2,0))</f>
        <v>#NAME?</v>
      </c>
      <c r="AM148" s="211" t="e">
        <f aca="false">IF($A149="","",MAX(0,O148-W148-AI148))</f>
        <v>#N/A</v>
      </c>
      <c r="AN148" s="211" t="e">
        <f aca="false">IF($A149="","",AL148-AM148)</f>
        <v>#N/A</v>
      </c>
      <c r="AO148" s="137" t="n">
        <f aca="false">IF(A149="","",A149-A148)</f>
        <v>31</v>
      </c>
      <c r="AP148" s="212" t="n">
        <f aca="false">IF(A149="","",CHOOSE(F$3,A149+24,A148))</f>
        <v>41244</v>
      </c>
      <c r="AQ148" s="209" t="n">
        <f aca="false">IF(A149="","",AP148-$E$1)</f>
        <v>-4682</v>
      </c>
      <c r="AR148" s="185" t="n">
        <f aca="false">'ANR OK vs ML7'!AR148</f>
        <v>0.1</v>
      </c>
      <c r="AS148" s="213" t="n">
        <f aca="false">IF(A149="","",1/(1+CHOOSE(F$3,(AR149+($I$3/10000))/2,(AR148+($I$3/10000))/2))^(2*AQ148/365.25))</f>
        <v>3.49329317101892</v>
      </c>
      <c r="AT148" s="137" t="n">
        <f aca="false">IF(A149="","",IF(AND(mthbeg&lt;=A148,mthend&gt;=A148),1,0))</f>
        <v>1</v>
      </c>
      <c r="AU148" s="137" t="n">
        <f aca="false">IF(A149="","",AO148*AT148)</f>
        <v>31</v>
      </c>
      <c r="AW148" s="195" t="e">
        <f aca="false">IF($A149="","",AL148*$E148)</f>
        <v>#NAME?</v>
      </c>
      <c r="AX148" s="195" t="e">
        <f aca="false">IF($A149="","",AM148*$E148)</f>
        <v>#N/A</v>
      </c>
      <c r="AY148" s="195" t="e">
        <f aca="false">IF($A149="","",AN148*$E148)</f>
        <v>#N/A</v>
      </c>
      <c r="BA148" s="195" t="n">
        <f aca="false">IF($A149="","",F148*Summary!$Q$14)</f>
        <v>0</v>
      </c>
      <c r="BC148" s="179" t="e">
        <f aca="false">IF(A149="","",AM148*F148)</f>
        <v>#N/A</v>
      </c>
    </row>
    <row r="149" customFormat="false" ht="12.75" hidden="false" customHeight="false" outlineLevel="0" collapsed="false">
      <c r="A149" s="196" t="n">
        <f aca="false">IF(A148&lt;mthend,EDATE(A148,1),"")</f>
        <v>41275</v>
      </c>
      <c r="B149" s="197" t="n">
        <f aca="false">IF(A149&lt;mthend,B148,"")</f>
        <v>28400</v>
      </c>
      <c r="C149" s="215"/>
      <c r="D149" s="197" t="n">
        <f aca="false">IF(A150&lt;&gt;"",B149+C149,"")</f>
        <v>28400</v>
      </c>
      <c r="E149" s="199" t="n">
        <f aca="false">IF(A150="","",IF(AND(AT149=1,$H$3=1),D149*AO149,IF($H$3=2,D149,"N/A")))</f>
        <v>880400</v>
      </c>
      <c r="F149" s="199" t="n">
        <f aca="false">IF(A150="","",E149*AS149)</f>
        <v>3050129.32769055</v>
      </c>
      <c r="G149" s="200" t="e">
        <f aca="false">IF($A150="","",VLOOKUP($A149,Table,MATCH(G$4,Curves,0)))</f>
        <v>#N/A</v>
      </c>
      <c r="H149" s="201" t="e">
        <f aca="false">IF(A150="","",G149)</f>
        <v>#N/A</v>
      </c>
      <c r="I149" s="202"/>
      <c r="J149" s="200" t="e">
        <f aca="false">IF($A150="","",VLOOKUP($A149,Table,MATCH(J$4,Curves,0)))</f>
        <v>#N/A</v>
      </c>
      <c r="K149" s="201" t="e">
        <f aca="false">IF(A150="","",J149)</f>
        <v>#N/A</v>
      </c>
      <c r="L149" s="185" t="n">
        <v>0</v>
      </c>
      <c r="M149" s="201" t="n">
        <f aca="false">IF(A150="","",L149)</f>
        <v>0</v>
      </c>
      <c r="N149" s="203"/>
      <c r="O149" s="200" t="e">
        <f aca="false">IF(A150="","",L149+J149+G149)</f>
        <v>#N/A</v>
      </c>
      <c r="P149" s="200" t="e">
        <f aca="false">IF(A150="","",M149+K149+H149)</f>
        <v>#N/A</v>
      </c>
      <c r="Q149" s="204"/>
      <c r="R149" s="200" t="e">
        <f aca="false">IF($A150="","",VLOOKUP($A149,Table,MATCH(R$4,Curves,0)))</f>
        <v>#N/A</v>
      </c>
      <c r="S149" s="201" t="e">
        <f aca="false">IF(A150="","",R149)</f>
        <v>#N/A</v>
      </c>
      <c r="T149" s="200" t="e">
        <f aca="false">IF($A150="","",VLOOKUP($A149,Table,MATCH(T$4,Curves,0)))</f>
        <v>#N/A</v>
      </c>
      <c r="U149" s="201" t="e">
        <f aca="false">IF(A150="","",T149)</f>
        <v>#N/A</v>
      </c>
      <c r="V149" s="183" t="e">
        <f aca="false">IF($A150="","",IF(AND(MONTH(A149)&gt;3,MONTH(A149)&lt;11),(T149+R149+G149)*(((1/(1-Summary!$T$14))/(1-Summary!$W$14))-1),(T149+R149+G149)*((1/(1-Summary!$U$14))/(1-Summary!$X$14)-1)))</f>
        <v>#N/A</v>
      </c>
      <c r="W149" s="202" t="e">
        <f aca="false">IF($A150="","",(T149+R149+G149+V149))</f>
        <v>#N/A</v>
      </c>
      <c r="X149" s="202" t="e">
        <f aca="false">IF($A150="","",(U149+S149+H149+V149))</f>
        <v>#N/A</v>
      </c>
      <c r="Y149" s="202"/>
      <c r="Z149" s="185" t="e">
        <f aca="false">IF($A150="","",VLOOKUP($A149,Table,MATCH(Z$4,Curves,0)))</f>
        <v>#N/A</v>
      </c>
      <c r="AA149" s="185" t="e">
        <f aca="false">IF($A150="","",VLOOKUP($A149,Table,MATCH(AA$4,Curves,0)))</f>
        <v>#N/A</v>
      </c>
      <c r="AB149" s="185" t="e">
        <f aca="false">SQRT((AA149^2*(A149-$D$3)+Z149^2*(DAY(EOMONTH(A149,0))/2))/AK149)</f>
        <v>#N/A</v>
      </c>
      <c r="AC149" s="185" t="e">
        <f aca="false">IF($A150="","",VLOOKUP($A149,Table,MATCH(AC$4,Curves,0)))</f>
        <v>#N/A</v>
      </c>
      <c r="AD149" s="185" t="e">
        <f aca="false">IF($A150="","",VLOOKUP($A149,Table,MATCH(AD$4,Curves,0)))</f>
        <v>#N/A</v>
      </c>
      <c r="AE149" s="185" t="e">
        <f aca="false">SQRT((AD149^2*(A149-$D$3)+AC149^2*(DAY(EOMONTH(A149,0))/2))/AK149)</f>
        <v>#N/A</v>
      </c>
      <c r="AF149" s="224" t="e">
        <f aca="false">((Summary!$N$14*(AA149*AD149)*(A149-$D$3))+(Summary!$M$14*Z149*AC149*(AJ149-EOMONTH(EDATE(A149,-1),0))))/(AK149*AB149*AE149)</f>
        <v>#N/A</v>
      </c>
      <c r="AG149" s="207" t="n">
        <f aca="false">IF($A150="","",Summary!$Q$14)</f>
        <v>0</v>
      </c>
      <c r="AH149" s="207" t="n">
        <f aca="false">IF($A150="","",IF(Summary!$R$12="Y",(VLOOKUP($A149,Summary!$AD$6:$AF$9,3)+'Escalating commodity'!J162),'Escalating commodity'!J162))</f>
        <v>0.00616329297954347</v>
      </c>
      <c r="AI149" s="207" t="n">
        <f aca="false">IF($A150="","",AH149)</f>
        <v>0.00616329297954347</v>
      </c>
      <c r="AJ149" s="208" t="n">
        <f aca="false">A149+DAY(EOMONTH(A149,0))/2-1</f>
        <v>41289.5</v>
      </c>
      <c r="AK149" s="209" t="n">
        <f aca="false">IF($A150="","",$A149-$E$1)</f>
        <v>-4651</v>
      </c>
      <c r="AL149" s="182" t="e">
        <f aca="false">IF($A150="","",SPRDOPT(P149,X149,AI149,0,AB149,AE149,AF149,AK149,$AJ$2,0))</f>
        <v>#NAME?</v>
      </c>
      <c r="AM149" s="211" t="e">
        <f aca="false">IF($A150="","",MAX(0,O149-W149-AI149))</f>
        <v>#N/A</v>
      </c>
      <c r="AN149" s="211" t="e">
        <f aca="false">IF($A150="","",AL149-AM149)</f>
        <v>#N/A</v>
      </c>
      <c r="AO149" s="137" t="n">
        <f aca="false">IF(A150="","",A150-A149)</f>
        <v>31</v>
      </c>
      <c r="AP149" s="212" t="n">
        <f aca="false">IF(A150="","",CHOOSE(F$3,A150+24,A149))</f>
        <v>41275</v>
      </c>
      <c r="AQ149" s="209" t="n">
        <f aca="false">IF(A150="","",AP149-$E$1)</f>
        <v>-4651</v>
      </c>
      <c r="AR149" s="185" t="n">
        <f aca="false">'ANR OK vs ML7'!AR149</f>
        <v>0.1</v>
      </c>
      <c r="AS149" s="213" t="n">
        <f aca="false">IF(A150="","",1/(1+CHOOSE(F$3,(AR150+($I$3/10000))/2,(AR149+($I$3/10000))/2))^(2*AQ149/365.25))</f>
        <v>3.4644812899711</v>
      </c>
      <c r="AT149" s="137" t="n">
        <f aca="false">IF(A150="","",IF(AND(mthbeg&lt;=A149,mthend&gt;=A149),1,0))</f>
        <v>1</v>
      </c>
      <c r="AU149" s="137" t="n">
        <f aca="false">IF(A150="","",AO149*AT149)</f>
        <v>31</v>
      </c>
      <c r="AW149" s="195" t="e">
        <f aca="false">IF($A150="","",AL149*$E149)</f>
        <v>#NAME?</v>
      </c>
      <c r="AX149" s="195" t="e">
        <f aca="false">IF($A150="","",AM149*$E149)</f>
        <v>#N/A</v>
      </c>
      <c r="AY149" s="195" t="e">
        <f aca="false">IF($A150="","",AN149*$E149)</f>
        <v>#N/A</v>
      </c>
      <c r="BA149" s="195" t="n">
        <f aca="false">IF($A150="","",F149*Summary!$Q$14)</f>
        <v>0</v>
      </c>
      <c r="BC149" s="179" t="e">
        <f aca="false">IF(A150="","",AM149*F149)</f>
        <v>#N/A</v>
      </c>
    </row>
    <row r="150" customFormat="false" ht="12.75" hidden="false" customHeight="false" outlineLevel="0" collapsed="false">
      <c r="A150" s="196" t="n">
        <f aca="false">IF(A149&lt;mthend,EDATE(A149,1),"")</f>
        <v>41306</v>
      </c>
      <c r="B150" s="197" t="n">
        <f aca="false">IF(A150&lt;mthend,B149,"")</f>
        <v>28400</v>
      </c>
      <c r="C150" s="215"/>
      <c r="D150" s="197" t="n">
        <f aca="false">IF(A151&lt;&gt;"",B150+C150,"")</f>
        <v>28400</v>
      </c>
      <c r="E150" s="199" t="n">
        <f aca="false">IF(A151="","",IF(AND(AT150=1,$H$3=1),D150*AO150,IF($H$3=2,D150,"N/A")))</f>
        <v>795200</v>
      </c>
      <c r="F150" s="199" t="n">
        <f aca="false">IF(A151="","",E150*AS150)</f>
        <v>2732233.28036416</v>
      </c>
      <c r="G150" s="200" t="e">
        <f aca="false">IF($A151="","",VLOOKUP($A150,Table,MATCH(G$4,Curves,0)))</f>
        <v>#N/A</v>
      </c>
      <c r="H150" s="201" t="e">
        <f aca="false">IF(A151="","",G150)</f>
        <v>#N/A</v>
      </c>
      <c r="I150" s="202"/>
      <c r="J150" s="200" t="e">
        <f aca="false">IF($A151="","",VLOOKUP($A150,Table,MATCH(J$4,Curves,0)))</f>
        <v>#N/A</v>
      </c>
      <c r="K150" s="201" t="e">
        <f aca="false">IF(A151="","",J150)</f>
        <v>#N/A</v>
      </c>
      <c r="L150" s="185" t="n">
        <v>0</v>
      </c>
      <c r="M150" s="201" t="n">
        <f aca="false">IF(A151="","",L150)</f>
        <v>0</v>
      </c>
      <c r="N150" s="203"/>
      <c r="O150" s="200" t="e">
        <f aca="false">IF(A151="","",L150+J150+G150)</f>
        <v>#N/A</v>
      </c>
      <c r="P150" s="200" t="e">
        <f aca="false">IF(A151="","",M150+K150+H150)</f>
        <v>#N/A</v>
      </c>
      <c r="Q150" s="204"/>
      <c r="R150" s="200" t="e">
        <f aca="false">IF($A151="","",VLOOKUP($A150,Table,MATCH(R$4,Curves,0)))</f>
        <v>#N/A</v>
      </c>
      <c r="S150" s="201" t="e">
        <f aca="false">IF(A151="","",R150)</f>
        <v>#N/A</v>
      </c>
      <c r="T150" s="200" t="e">
        <f aca="false">IF($A151="","",VLOOKUP($A150,Table,MATCH(T$4,Curves,0)))</f>
        <v>#N/A</v>
      </c>
      <c r="U150" s="201" t="e">
        <f aca="false">IF(A151="","",T150)</f>
        <v>#N/A</v>
      </c>
      <c r="V150" s="183" t="e">
        <f aca="false">IF($A151="","",IF(AND(MONTH(A150)&gt;3,MONTH(A150)&lt;11),(T150+R150+G150)*(((1/(1-Summary!$T$14))/(1-Summary!$W$14))-1),(T150+R150+G150)*((1/(1-Summary!$U$14))/(1-Summary!$X$14)-1)))</f>
        <v>#N/A</v>
      </c>
      <c r="W150" s="202" t="e">
        <f aca="false">IF($A151="","",(T150+R150+G150+V150))</f>
        <v>#N/A</v>
      </c>
      <c r="X150" s="202" t="e">
        <f aca="false">IF($A151="","",(U150+S150+H150+V150))</f>
        <v>#N/A</v>
      </c>
      <c r="Y150" s="202"/>
      <c r="Z150" s="185" t="e">
        <f aca="false">IF($A151="","",VLOOKUP($A150,Table,MATCH(Z$4,Curves,0)))</f>
        <v>#N/A</v>
      </c>
      <c r="AA150" s="185" t="e">
        <f aca="false">IF($A151="","",VLOOKUP($A150,Table,MATCH(AA$4,Curves,0)))</f>
        <v>#N/A</v>
      </c>
      <c r="AB150" s="185" t="e">
        <f aca="false">SQRT((AA150^2*(A150-$D$3)+Z150^2*(DAY(EOMONTH(A150,0))/2))/AK150)</f>
        <v>#N/A</v>
      </c>
      <c r="AC150" s="185" t="e">
        <f aca="false">IF($A151="","",VLOOKUP($A150,Table,MATCH(AC$4,Curves,0)))</f>
        <v>#N/A</v>
      </c>
      <c r="AD150" s="185" t="e">
        <f aca="false">IF($A151="","",VLOOKUP($A150,Table,MATCH(AD$4,Curves,0)))</f>
        <v>#N/A</v>
      </c>
      <c r="AE150" s="185" t="e">
        <f aca="false">SQRT((AD150^2*(A150-$D$3)+AC150^2*(DAY(EOMONTH(A150,0))/2))/AK150)</f>
        <v>#N/A</v>
      </c>
      <c r="AF150" s="224" t="e">
        <f aca="false">((Summary!$N$14*(AA150*AD150)*(A150-$D$3))+(Summary!$M$14*Z150*AC150*(AJ150-EOMONTH(EDATE(A150,-1),0))))/(AK150*AB150*AE150)</f>
        <v>#N/A</v>
      </c>
      <c r="AG150" s="207" t="n">
        <f aca="false">IF($A151="","",Summary!$Q$14)</f>
        <v>0</v>
      </c>
      <c r="AH150" s="207" t="n">
        <f aca="false">IF($A151="","",IF(Summary!$R$12="Y",(VLOOKUP($A150,Summary!$AD$6:$AF$9,3)+'Escalating commodity'!J163),'Escalating commodity'!J163))</f>
        <v>0.00616329297954347</v>
      </c>
      <c r="AI150" s="207" t="n">
        <f aca="false">IF($A151="","",AH150)</f>
        <v>0.00616329297954347</v>
      </c>
      <c r="AJ150" s="208" t="n">
        <f aca="false">A150+DAY(EOMONTH(A150,0))/2-1</f>
        <v>41319</v>
      </c>
      <c r="AK150" s="209" t="n">
        <f aca="false">IF($A151="","",$A150-$E$1)</f>
        <v>-4620</v>
      </c>
      <c r="AL150" s="182" t="e">
        <f aca="false">IF($A151="","",SPRDOPT(P150,X150,AI150,0,AB150,AE150,AF150,AK150,$AJ$2,0))</f>
        <v>#NAME?</v>
      </c>
      <c r="AM150" s="211" t="e">
        <f aca="false">IF($A151="","",MAX(0,O150-W150-AI150))</f>
        <v>#N/A</v>
      </c>
      <c r="AN150" s="211" t="e">
        <f aca="false">IF($A151="","",AL150-AM150)</f>
        <v>#N/A</v>
      </c>
      <c r="AO150" s="137" t="n">
        <f aca="false">IF(A151="","",A151-A150)</f>
        <v>28</v>
      </c>
      <c r="AP150" s="212" t="n">
        <f aca="false">IF(A151="","",CHOOSE(F$3,A151+24,A150))</f>
        <v>41306</v>
      </c>
      <c r="AQ150" s="209" t="n">
        <f aca="false">IF(A151="","",AP150-$E$1)</f>
        <v>-4620</v>
      </c>
      <c r="AR150" s="185" t="n">
        <f aca="false">'ANR OK vs ML7'!AR150</f>
        <v>0.1</v>
      </c>
      <c r="AS150" s="213" t="n">
        <f aca="false">IF(A151="","",1/(1+CHOOSE(F$3,(AR151+($I$3/10000))/2,(AR150+($I$3/10000))/2))^(2*AQ150/365.25))</f>
        <v>3.43590704271147</v>
      </c>
      <c r="AT150" s="137" t="n">
        <f aca="false">IF(A151="","",IF(AND(mthbeg&lt;=A150,mthend&gt;=A150),1,0))</f>
        <v>1</v>
      </c>
      <c r="AU150" s="137" t="n">
        <f aca="false">IF(A151="","",AO150*AT150)</f>
        <v>28</v>
      </c>
      <c r="AW150" s="195" t="e">
        <f aca="false">IF($A151="","",AL150*$E150)</f>
        <v>#NAME?</v>
      </c>
      <c r="AX150" s="195" t="e">
        <f aca="false">IF($A151="","",AM150*$E150)</f>
        <v>#N/A</v>
      </c>
      <c r="AY150" s="195" t="e">
        <f aca="false">IF($A151="","",AN150*$E150)</f>
        <v>#N/A</v>
      </c>
      <c r="BA150" s="195" t="n">
        <f aca="false">IF($A151="","",F150*Summary!$Q$14)</f>
        <v>0</v>
      </c>
      <c r="BC150" s="179" t="e">
        <f aca="false">IF(A151="","",AM150*F150)</f>
        <v>#N/A</v>
      </c>
    </row>
    <row r="151" customFormat="false" ht="12.75" hidden="false" customHeight="false" outlineLevel="0" collapsed="false">
      <c r="A151" s="196" t="n">
        <f aca="false">IF(A150&lt;mthend,EDATE(A150,1),"")</f>
        <v>41334</v>
      </c>
      <c r="B151" s="197" t="n">
        <f aca="false">IF(A151&lt;mthend,B150,"")</f>
        <v>28400</v>
      </c>
      <c r="C151" s="215"/>
      <c r="D151" s="197" t="n">
        <f aca="false">IF(A152&lt;&gt;"",B151+C151,"")</f>
        <v>28400</v>
      </c>
      <c r="E151" s="199" t="n">
        <f aca="false">IF(A152="","",IF(AND(AT151=1,$H$3=1),D151*AO151,IF($H$3=2,D151,"N/A")))</f>
        <v>880400</v>
      </c>
      <c r="F151" s="199" t="n">
        <f aca="false">IF(A152="","",E151*AS151)</f>
        <v>3002428.70625434</v>
      </c>
      <c r="G151" s="200" t="e">
        <f aca="false">IF($A152="","",VLOOKUP($A151,Table,MATCH(G$4,Curves,0)))</f>
        <v>#N/A</v>
      </c>
      <c r="H151" s="201" t="e">
        <f aca="false">IF(A152="","",G151)</f>
        <v>#N/A</v>
      </c>
      <c r="I151" s="202"/>
      <c r="J151" s="200" t="e">
        <f aca="false">IF($A152="","",VLOOKUP($A151,Table,MATCH(J$4,Curves,0)))</f>
        <v>#N/A</v>
      </c>
      <c r="K151" s="201" t="e">
        <f aca="false">IF(A152="","",J151)</f>
        <v>#N/A</v>
      </c>
      <c r="L151" s="185" t="n">
        <v>0</v>
      </c>
      <c r="M151" s="201" t="n">
        <f aca="false">IF(A152="","",L151)</f>
        <v>0</v>
      </c>
      <c r="N151" s="203"/>
      <c r="O151" s="200" t="e">
        <f aca="false">IF(A152="","",L151+J151+G151)</f>
        <v>#N/A</v>
      </c>
      <c r="P151" s="200" t="e">
        <f aca="false">IF(A152="","",M151+K151+H151)</f>
        <v>#N/A</v>
      </c>
      <c r="Q151" s="204"/>
      <c r="R151" s="200" t="e">
        <f aca="false">IF($A152="","",VLOOKUP($A151,Table,MATCH(R$4,Curves,0)))</f>
        <v>#N/A</v>
      </c>
      <c r="S151" s="201" t="e">
        <f aca="false">IF(A152="","",R151)</f>
        <v>#N/A</v>
      </c>
      <c r="T151" s="200" t="e">
        <f aca="false">IF($A152="","",VLOOKUP($A151,Table,MATCH(T$4,Curves,0)))</f>
        <v>#N/A</v>
      </c>
      <c r="U151" s="201" t="e">
        <f aca="false">IF(A152="","",T151)</f>
        <v>#N/A</v>
      </c>
      <c r="V151" s="183" t="e">
        <f aca="false">IF($A152="","",IF(AND(MONTH(A151)&gt;3,MONTH(A151)&lt;11),(T151+R151+G151)*(((1/(1-Summary!$T$14))/(1-Summary!$W$14))-1),(T151+R151+G151)*((1/(1-Summary!$U$14))/(1-Summary!$X$14)-1)))</f>
        <v>#N/A</v>
      </c>
      <c r="W151" s="202" t="e">
        <f aca="false">IF($A152="","",(T151+R151+G151+V151))</f>
        <v>#N/A</v>
      </c>
      <c r="X151" s="202" t="e">
        <f aca="false">IF($A152="","",(U151+S151+H151+V151))</f>
        <v>#N/A</v>
      </c>
      <c r="Y151" s="202"/>
      <c r="Z151" s="185" t="e">
        <f aca="false">IF($A152="","",VLOOKUP($A151,Table,MATCH(Z$4,Curves,0)))</f>
        <v>#N/A</v>
      </c>
      <c r="AA151" s="185" t="e">
        <f aca="false">IF($A152="","",VLOOKUP($A151,Table,MATCH(AA$4,Curves,0)))</f>
        <v>#N/A</v>
      </c>
      <c r="AB151" s="185" t="e">
        <f aca="false">SQRT((AA151^2*(A151-$D$3)+Z151^2*(DAY(EOMONTH(A151,0))/2))/AK151)</f>
        <v>#N/A</v>
      </c>
      <c r="AC151" s="185" t="e">
        <f aca="false">IF($A152="","",VLOOKUP($A151,Table,MATCH(AC$4,Curves,0)))</f>
        <v>#N/A</v>
      </c>
      <c r="AD151" s="185" t="e">
        <f aca="false">IF($A152="","",VLOOKUP($A151,Table,MATCH(AD$4,Curves,0)))</f>
        <v>#N/A</v>
      </c>
      <c r="AE151" s="185" t="e">
        <f aca="false">SQRT((AD151^2*(A151-$D$3)+AC151^2*(DAY(EOMONTH(A151,0))/2))/AK151)</f>
        <v>#N/A</v>
      </c>
      <c r="AF151" s="224" t="e">
        <f aca="false">((Summary!$N$14*(AA151*AD151)*(A151-$D$3))+(Summary!$M$14*Z151*AC151*(AJ151-EOMONTH(EDATE(A151,-1),0))))/(AK151*AB151*AE151)</f>
        <v>#N/A</v>
      </c>
      <c r="AG151" s="207" t="n">
        <f aca="false">IF($A152="","",Summary!$Q$14)</f>
        <v>0</v>
      </c>
      <c r="AH151" s="207" t="n">
        <f aca="false">IF($A152="","",IF(Summary!$R$12="Y",(VLOOKUP($A151,Summary!$AD$6:$AF$9,3)+'Escalating commodity'!J164),'Escalating commodity'!J164))</f>
        <v>0.00616329297954347</v>
      </c>
      <c r="AI151" s="207" t="n">
        <f aca="false">IF($A152="","",AH151)</f>
        <v>0.00616329297954347</v>
      </c>
      <c r="AJ151" s="208" t="n">
        <f aca="false">A151+DAY(EOMONTH(A151,0))/2-1</f>
        <v>41348.5</v>
      </c>
      <c r="AK151" s="209" t="n">
        <f aca="false">IF($A152="","",$A151-$E$1)</f>
        <v>-4592</v>
      </c>
      <c r="AL151" s="182" t="e">
        <f aca="false">IF($A152="","",SPRDOPT(P151,X151,AI151,0,AB151,AE151,AF151,AK151,$AJ$2,0))</f>
        <v>#NAME?</v>
      </c>
      <c r="AM151" s="211" t="e">
        <f aca="false">IF($A152="","",MAX(0,O151-W151-AI151))</f>
        <v>#N/A</v>
      </c>
      <c r="AN151" s="211" t="e">
        <f aca="false">IF($A152="","",AL151-AM151)</f>
        <v>#N/A</v>
      </c>
      <c r="AO151" s="137" t="n">
        <f aca="false">IF(A152="","",A152-A151)</f>
        <v>31</v>
      </c>
      <c r="AP151" s="212" t="n">
        <f aca="false">IF(A152="","",CHOOSE(F$3,A152+24,A151))</f>
        <v>41334</v>
      </c>
      <c r="AQ151" s="209" t="n">
        <f aca="false">IF(A152="","",AP151-$E$1)</f>
        <v>-4592</v>
      </c>
      <c r="AR151" s="185" t="n">
        <f aca="false">'ANR OK vs ML7'!AR151</f>
        <v>0.1</v>
      </c>
      <c r="AS151" s="213" t="n">
        <f aca="false">IF(A152="","",1/(1+CHOOSE(F$3,(AR152+($I$3/10000))/2,(AR151+($I$3/10000))/2))^(2*AQ151/365.25))</f>
        <v>3.41030066589544</v>
      </c>
      <c r="AT151" s="137" t="n">
        <f aca="false">IF(A152="","",IF(AND(mthbeg&lt;=A151,mthend&gt;=A151),1,0))</f>
        <v>1</v>
      </c>
      <c r="AU151" s="137" t="n">
        <f aca="false">IF(A152="","",AO151*AT151)</f>
        <v>31</v>
      </c>
      <c r="AW151" s="195" t="e">
        <f aca="false">IF($A152="","",AL151*$E151)</f>
        <v>#NAME?</v>
      </c>
      <c r="AX151" s="195" t="e">
        <f aca="false">IF($A152="","",AM151*$E151)</f>
        <v>#N/A</v>
      </c>
      <c r="AY151" s="195" t="e">
        <f aca="false">IF($A152="","",AN151*$E151)</f>
        <v>#N/A</v>
      </c>
      <c r="BA151" s="195" t="n">
        <f aca="false">IF($A152="","",F151*Summary!$Q$14)</f>
        <v>0</v>
      </c>
      <c r="BC151" s="179" t="e">
        <f aca="false">IF(A152="","",AM151*F151)</f>
        <v>#N/A</v>
      </c>
    </row>
    <row r="152" customFormat="false" ht="12.75" hidden="false" customHeight="false" outlineLevel="0" collapsed="false">
      <c r="A152" s="196" t="n">
        <f aca="false">IF(A151&lt;mthend,EDATE(A151,1),"")</f>
        <v>41365</v>
      </c>
      <c r="B152" s="197" t="n">
        <f aca="false">IF(A152&lt;mthend,B151,"")</f>
        <v>28400</v>
      </c>
      <c r="C152" s="215"/>
      <c r="D152" s="197" t="n">
        <f aca="false">IF(A153&lt;&gt;"",B152+C152,"")</f>
        <v>28400</v>
      </c>
      <c r="E152" s="199" t="n">
        <f aca="false">IF(A153="","",IF(AND(AT152=1,$H$3=1),D152*AO152,IF($H$3=2,D152,"N/A")))</f>
        <v>852000</v>
      </c>
      <c r="F152" s="199" t="n">
        <f aca="false">IF(A153="","",E152*AS152)</f>
        <v>2881611.64137544</v>
      </c>
      <c r="G152" s="200" t="e">
        <f aca="false">IF($A153="","",VLOOKUP($A152,Table,MATCH(G$4,Curves,0)))</f>
        <v>#N/A</v>
      </c>
      <c r="H152" s="201" t="e">
        <f aca="false">IF(A153="","",G152)</f>
        <v>#N/A</v>
      </c>
      <c r="I152" s="202"/>
      <c r="J152" s="200" t="e">
        <f aca="false">IF($A153="","",VLOOKUP($A152,Table,MATCH(J$4,Curves,0)))</f>
        <v>#N/A</v>
      </c>
      <c r="K152" s="201" t="e">
        <f aca="false">IF(A153="","",J152)</f>
        <v>#N/A</v>
      </c>
      <c r="L152" s="185" t="n">
        <v>0</v>
      </c>
      <c r="M152" s="201" t="n">
        <f aca="false">IF(A153="","",L152)</f>
        <v>0</v>
      </c>
      <c r="N152" s="203"/>
      <c r="O152" s="200" t="e">
        <f aca="false">IF(A153="","",L152+J152+G152)</f>
        <v>#N/A</v>
      </c>
      <c r="P152" s="200" t="e">
        <f aca="false">IF(A153="","",M152+K152+H152)</f>
        <v>#N/A</v>
      </c>
      <c r="Q152" s="204"/>
      <c r="R152" s="200" t="e">
        <f aca="false">IF($A153="","",VLOOKUP($A152,Table,MATCH(R$4,Curves,0)))</f>
        <v>#N/A</v>
      </c>
      <c r="S152" s="201" t="e">
        <f aca="false">IF(A153="","",R152)</f>
        <v>#N/A</v>
      </c>
      <c r="T152" s="200" t="e">
        <f aca="false">IF($A153="","",VLOOKUP($A152,Table,MATCH(T$4,Curves,0)))</f>
        <v>#N/A</v>
      </c>
      <c r="U152" s="201" t="e">
        <f aca="false">IF(A153="","",T152)</f>
        <v>#N/A</v>
      </c>
      <c r="V152" s="183" t="e">
        <f aca="false">IF($A153="","",IF(AND(MONTH(A152)&gt;3,MONTH(A152)&lt;11),(T152+R152+G152)*(((1/(1-Summary!$T$14))/(1-Summary!$W$14))-1),(T152+R152+G152)*((1/(1-Summary!$U$14))/(1-Summary!$X$14)-1)))</f>
        <v>#N/A</v>
      </c>
      <c r="W152" s="202" t="e">
        <f aca="false">IF($A153="","",(T152+R152+G152+V152))</f>
        <v>#N/A</v>
      </c>
      <c r="X152" s="202" t="e">
        <f aca="false">IF($A153="","",(U152+S152+H152+V152))</f>
        <v>#N/A</v>
      </c>
      <c r="Y152" s="202"/>
      <c r="Z152" s="185" t="e">
        <f aca="false">IF($A153="","",VLOOKUP($A152,Table,MATCH(Z$4,Curves,0)))</f>
        <v>#N/A</v>
      </c>
      <c r="AA152" s="185" t="e">
        <f aca="false">IF($A153="","",VLOOKUP($A152,Table,MATCH(AA$4,Curves,0)))</f>
        <v>#N/A</v>
      </c>
      <c r="AB152" s="185" t="e">
        <f aca="false">SQRT((AA152^2*(A152-$D$3)+Z152^2*(DAY(EOMONTH(A152,0))/2))/AK152)</f>
        <v>#N/A</v>
      </c>
      <c r="AC152" s="185" t="e">
        <f aca="false">IF($A153="","",VLOOKUP($A152,Table,MATCH(AC$4,Curves,0)))</f>
        <v>#N/A</v>
      </c>
      <c r="AD152" s="185" t="e">
        <f aca="false">IF($A153="","",VLOOKUP($A152,Table,MATCH(AD$4,Curves,0)))</f>
        <v>#N/A</v>
      </c>
      <c r="AE152" s="185" t="e">
        <f aca="false">SQRT((AD152^2*(A152-$D$3)+AC152^2*(DAY(EOMONTH(A152,0))/2))/AK152)</f>
        <v>#N/A</v>
      </c>
      <c r="AF152" s="224" t="e">
        <f aca="false">((Summary!$N$14*(AA152*AD152)*(A152-$D$3))+(Summary!$M$14*Z152*AC152*(AJ152-EOMONTH(EDATE(A152,-1),0))))/(AK152*AB152*AE152)</f>
        <v>#N/A</v>
      </c>
      <c r="AG152" s="207" t="n">
        <f aca="false">IF($A153="","",Summary!$Q$14)</f>
        <v>0</v>
      </c>
      <c r="AH152" s="207" t="n">
        <f aca="false">IF($A153="","",IF(Summary!$R$12="Y",(VLOOKUP($A152,Summary!$AD$6:$AF$9,3)+'Escalating commodity'!J165),'Escalating commodity'!J165))</f>
        <v>0.00616329297954347</v>
      </c>
      <c r="AI152" s="207" t="n">
        <f aca="false">IF($A153="","",AH152)</f>
        <v>0.00616329297954347</v>
      </c>
      <c r="AJ152" s="208" t="n">
        <f aca="false">A152+DAY(EOMONTH(A152,0))/2-1</f>
        <v>41379</v>
      </c>
      <c r="AK152" s="209" t="n">
        <f aca="false">IF($A153="","",$A152-$E$1)</f>
        <v>-4561</v>
      </c>
      <c r="AL152" s="182" t="e">
        <f aca="false">IF($A153="","",SPRDOPT(P152,X152,AI152,0,AB152,AE152,AF152,AK152,$AJ$2,0))</f>
        <v>#NAME?</v>
      </c>
      <c r="AM152" s="211" t="e">
        <f aca="false">IF($A153="","",MAX(0,O152-W152-AI152))</f>
        <v>#N/A</v>
      </c>
      <c r="AN152" s="211" t="e">
        <f aca="false">IF($A153="","",AL152-AM152)</f>
        <v>#N/A</v>
      </c>
      <c r="AO152" s="137" t="n">
        <f aca="false">IF(A153="","",A153-A152)</f>
        <v>30</v>
      </c>
      <c r="AP152" s="212" t="n">
        <f aca="false">IF(A153="","",CHOOSE(F$3,A153+24,A152))</f>
        <v>41365</v>
      </c>
      <c r="AQ152" s="209" t="n">
        <f aca="false">IF(A153="","",AP152-$E$1)</f>
        <v>-4561</v>
      </c>
      <c r="AR152" s="185" t="n">
        <f aca="false">'ANR OK vs ML7'!AR152</f>
        <v>0.1</v>
      </c>
      <c r="AS152" s="213" t="n">
        <f aca="false">IF(A153="","",1/(1+CHOOSE(F$3,(AR153+($I$3/10000))/2,(AR152+($I$3/10000))/2))^(2*AQ152/365.25))</f>
        <v>3.38217328799934</v>
      </c>
      <c r="AT152" s="137" t="n">
        <f aca="false">IF(A153="","",IF(AND(mthbeg&lt;=A152,mthend&gt;=A152),1,0))</f>
        <v>1</v>
      </c>
      <c r="AU152" s="137" t="n">
        <f aca="false">IF(A153="","",AO152*AT152)</f>
        <v>30</v>
      </c>
      <c r="AW152" s="195" t="e">
        <f aca="false">IF($A153="","",AL152*$E152)</f>
        <v>#NAME?</v>
      </c>
      <c r="AX152" s="195" t="e">
        <f aca="false">IF($A153="","",AM152*$E152)</f>
        <v>#N/A</v>
      </c>
      <c r="AY152" s="195" t="e">
        <f aca="false">IF($A153="","",AN152*$E152)</f>
        <v>#N/A</v>
      </c>
      <c r="BA152" s="195" t="n">
        <f aca="false">IF($A153="","",F152*Summary!$Q$14)</f>
        <v>0</v>
      </c>
      <c r="BC152" s="179" t="e">
        <f aca="false">IF(A153="","",AM152*F152)</f>
        <v>#N/A</v>
      </c>
    </row>
    <row r="153" customFormat="false" ht="12.75" hidden="false" customHeight="false" outlineLevel="0" collapsed="false">
      <c r="A153" s="196" t="n">
        <f aca="false">IF(A152&lt;mthend,EDATE(A152,1),"")</f>
        <v>41395</v>
      </c>
      <c r="B153" s="197" t="n">
        <f aca="false">IF(A153&lt;mthend,B152,"")</f>
        <v>28400</v>
      </c>
      <c r="C153" s="215"/>
      <c r="D153" s="197" t="n">
        <f aca="false">IF(A154&lt;&gt;"",B153+C153,"")</f>
        <v>28400</v>
      </c>
      <c r="E153" s="199" t="n">
        <f aca="false">IF(A154="","",IF(AND(AT153=1,$H$3=1),D153*AO153,IF($H$3=2,D153,"N/A")))</f>
        <v>880400</v>
      </c>
      <c r="F153" s="199" t="n">
        <f aca="false">IF(A154="","",E153*AS153)</f>
        <v>2953895.32001897</v>
      </c>
      <c r="G153" s="200" t="e">
        <f aca="false">IF($A154="","",VLOOKUP($A153,Table,MATCH(G$4,Curves,0)))</f>
        <v>#N/A</v>
      </c>
      <c r="H153" s="201" t="e">
        <f aca="false">IF(A154="","",G153)</f>
        <v>#N/A</v>
      </c>
      <c r="I153" s="202"/>
      <c r="J153" s="200" t="e">
        <f aca="false">IF($A154="","",VLOOKUP($A153,Table,MATCH(J$4,Curves,0)))</f>
        <v>#N/A</v>
      </c>
      <c r="K153" s="201" t="e">
        <f aca="false">IF(A154="","",J153)</f>
        <v>#N/A</v>
      </c>
      <c r="L153" s="185" t="n">
        <v>0</v>
      </c>
      <c r="M153" s="201" t="n">
        <f aca="false">IF(A154="","",L153)</f>
        <v>0</v>
      </c>
      <c r="N153" s="203"/>
      <c r="O153" s="200" t="e">
        <f aca="false">IF(A154="","",L153+J153+G153)</f>
        <v>#N/A</v>
      </c>
      <c r="P153" s="200" t="e">
        <f aca="false">IF(A154="","",M153+K153+H153)</f>
        <v>#N/A</v>
      </c>
      <c r="Q153" s="204"/>
      <c r="R153" s="200" t="e">
        <f aca="false">IF($A154="","",VLOOKUP($A153,Table,MATCH(R$4,Curves,0)))</f>
        <v>#N/A</v>
      </c>
      <c r="S153" s="201" t="e">
        <f aca="false">IF(A154="","",R153)</f>
        <v>#N/A</v>
      </c>
      <c r="T153" s="200" t="e">
        <f aca="false">IF($A154="","",VLOOKUP($A153,Table,MATCH(T$4,Curves,0)))</f>
        <v>#N/A</v>
      </c>
      <c r="U153" s="201" t="e">
        <f aca="false">IF(A154="","",T153)</f>
        <v>#N/A</v>
      </c>
      <c r="V153" s="183" t="e">
        <f aca="false">IF($A154="","",IF(AND(MONTH(A153)&gt;3,MONTH(A153)&lt;11),(T153+R153+G153)*(((1/(1-Summary!$T$14))/(1-Summary!$W$14))-1),(T153+R153+G153)*((1/(1-Summary!$U$14))/(1-Summary!$X$14)-1)))</f>
        <v>#N/A</v>
      </c>
      <c r="W153" s="202" t="e">
        <f aca="false">IF($A154="","",(T153+R153+G153+V153))</f>
        <v>#N/A</v>
      </c>
      <c r="X153" s="202" t="e">
        <f aca="false">IF($A154="","",(U153+S153+H153+V153))</f>
        <v>#N/A</v>
      </c>
      <c r="Y153" s="202"/>
      <c r="Z153" s="185" t="e">
        <f aca="false">IF($A154="","",VLOOKUP($A153,Table,MATCH(Z$4,Curves,0)))</f>
        <v>#N/A</v>
      </c>
      <c r="AA153" s="185" t="e">
        <f aca="false">IF($A154="","",VLOOKUP($A153,Table,MATCH(AA$4,Curves,0)))</f>
        <v>#N/A</v>
      </c>
      <c r="AB153" s="185" t="e">
        <f aca="false">SQRT((AA153^2*(A153-$D$3)+Z153^2*(DAY(EOMONTH(A153,0))/2))/AK153)</f>
        <v>#N/A</v>
      </c>
      <c r="AC153" s="185" t="e">
        <f aca="false">IF($A154="","",VLOOKUP($A153,Table,MATCH(AC$4,Curves,0)))</f>
        <v>#N/A</v>
      </c>
      <c r="AD153" s="185" t="e">
        <f aca="false">IF($A154="","",VLOOKUP($A153,Table,MATCH(AD$4,Curves,0)))</f>
        <v>#N/A</v>
      </c>
      <c r="AE153" s="185" t="e">
        <f aca="false">SQRT((AD153^2*(A153-$D$3)+AC153^2*(DAY(EOMONTH(A153,0))/2))/AK153)</f>
        <v>#N/A</v>
      </c>
      <c r="AF153" s="224" t="e">
        <f aca="false">((Summary!$N$14*(AA153*AD153)*(A153-$D$3))+(Summary!$M$14*Z153*AC153*(AJ153-EOMONTH(EDATE(A153,-1),0))))/(AK153*AB153*AE153)</f>
        <v>#N/A</v>
      </c>
      <c r="AG153" s="207" t="n">
        <f aca="false">IF($A154="","",Summary!$Q$14)</f>
        <v>0</v>
      </c>
      <c r="AH153" s="207" t="n">
        <f aca="false">IF($A154="","",IF(Summary!$R$12="Y",(VLOOKUP($A153,Summary!$AD$6:$AF$9,3)+'Escalating commodity'!J166),'Escalating commodity'!J166))</f>
        <v>0.00616329297954347</v>
      </c>
      <c r="AI153" s="207" t="n">
        <f aca="false">IF($A154="","",AH153)</f>
        <v>0.00616329297954347</v>
      </c>
      <c r="AJ153" s="208" t="n">
        <f aca="false">A153+DAY(EOMONTH(A153,0))/2-1</f>
        <v>41409.5</v>
      </c>
      <c r="AK153" s="209" t="n">
        <f aca="false">IF($A154="","",$A153-$E$1)</f>
        <v>-4531</v>
      </c>
      <c r="AL153" s="182" t="e">
        <f aca="false">IF($A154="","",SPRDOPT(P153,X153,AI153,0,AB153,AE153,AF153,AK153,$AJ$2,0))</f>
        <v>#NAME?</v>
      </c>
      <c r="AM153" s="211" t="e">
        <f aca="false">IF($A154="","",MAX(0,O153-W153-AI153))</f>
        <v>#N/A</v>
      </c>
      <c r="AN153" s="211" t="e">
        <f aca="false">IF($A154="","",AL153-AM153)</f>
        <v>#N/A</v>
      </c>
      <c r="AO153" s="137" t="n">
        <f aca="false">IF(A154="","",A154-A153)</f>
        <v>31</v>
      </c>
      <c r="AP153" s="212" t="n">
        <f aca="false">IF(A154="","",CHOOSE(F$3,A154+24,A153))</f>
        <v>41395</v>
      </c>
      <c r="AQ153" s="209" t="n">
        <f aca="false">IF(A154="","",AP153-$E$1)</f>
        <v>-4531</v>
      </c>
      <c r="AR153" s="185" t="n">
        <f aca="false">'ANR OK vs ML7'!AR153</f>
        <v>0.1</v>
      </c>
      <c r="AS153" s="213" t="n">
        <f aca="false">IF(A154="","",1/(1+CHOOSE(F$3,(AR154+($I$3/10000))/2,(AR153+($I$3/10000))/2))^(2*AQ153/365.25))</f>
        <v>3.35517414813605</v>
      </c>
      <c r="AT153" s="137" t="n">
        <f aca="false">IF(A154="","",IF(AND(mthbeg&lt;=A153,mthend&gt;=A153),1,0))</f>
        <v>1</v>
      </c>
      <c r="AU153" s="137" t="n">
        <f aca="false">IF(A154="","",AO153*AT153)</f>
        <v>31</v>
      </c>
      <c r="AW153" s="195" t="e">
        <f aca="false">IF($A154="","",AL153*$E153)</f>
        <v>#NAME?</v>
      </c>
      <c r="AX153" s="195" t="e">
        <f aca="false">IF($A154="","",AM153*$E153)</f>
        <v>#N/A</v>
      </c>
      <c r="AY153" s="195" t="e">
        <f aca="false">IF($A154="","",AN153*$E153)</f>
        <v>#N/A</v>
      </c>
      <c r="BA153" s="195" t="n">
        <f aca="false">IF($A154="","",F153*Summary!$Q$14)</f>
        <v>0</v>
      </c>
      <c r="BC153" s="179" t="e">
        <f aca="false">IF(A154="","",AM153*F153)</f>
        <v>#N/A</v>
      </c>
    </row>
    <row r="154" customFormat="false" ht="12.75" hidden="false" customHeight="false" outlineLevel="0" collapsed="false">
      <c r="A154" s="196" t="n">
        <f aca="false">IF(A153&lt;mthend,EDATE(A153,1),"")</f>
        <v>41426</v>
      </c>
      <c r="B154" s="197" t="n">
        <f aca="false">IF(A154&lt;mthend,B153,"")</f>
        <v>28400</v>
      </c>
      <c r="C154" s="215"/>
      <c r="D154" s="197" t="n">
        <f aca="false">IF(A155&lt;&gt;"",B154+C154,"")</f>
        <v>28400</v>
      </c>
      <c r="E154" s="199" t="n">
        <f aca="false">IF(A155="","",IF(AND(AT154=1,$H$3=1),D154*AO154,IF($H$3=2,D154,"N/A")))</f>
        <v>852000</v>
      </c>
      <c r="F154" s="199" t="n">
        <f aca="false">IF(A155="","",E154*AS154)</f>
        <v>2835031.22783227</v>
      </c>
      <c r="G154" s="200" t="e">
        <f aca="false">IF($A155="","",VLOOKUP($A154,Table,MATCH(G$4,Curves,0)))</f>
        <v>#N/A</v>
      </c>
      <c r="H154" s="201" t="e">
        <f aca="false">IF(A155="","",G154)</f>
        <v>#N/A</v>
      </c>
      <c r="I154" s="202"/>
      <c r="J154" s="200" t="e">
        <f aca="false">IF($A155="","",VLOOKUP($A154,Table,MATCH(J$4,Curves,0)))</f>
        <v>#N/A</v>
      </c>
      <c r="K154" s="201" t="e">
        <f aca="false">IF(A155="","",J154)</f>
        <v>#N/A</v>
      </c>
      <c r="L154" s="185" t="n">
        <v>0</v>
      </c>
      <c r="M154" s="201" t="n">
        <f aca="false">IF(A155="","",L154)</f>
        <v>0</v>
      </c>
      <c r="N154" s="203"/>
      <c r="O154" s="200" t="e">
        <f aca="false">IF(A155="","",L154+J154+G154)</f>
        <v>#N/A</v>
      </c>
      <c r="P154" s="200" t="e">
        <f aca="false">IF(A155="","",M154+K154+H154)</f>
        <v>#N/A</v>
      </c>
      <c r="Q154" s="204"/>
      <c r="R154" s="200" t="e">
        <f aca="false">IF($A155="","",VLOOKUP($A154,Table,MATCH(R$4,Curves,0)))</f>
        <v>#N/A</v>
      </c>
      <c r="S154" s="201" t="e">
        <f aca="false">IF(A155="","",R154)</f>
        <v>#N/A</v>
      </c>
      <c r="T154" s="200" t="e">
        <f aca="false">IF($A155="","",VLOOKUP($A154,Table,MATCH(T$4,Curves,0)))</f>
        <v>#N/A</v>
      </c>
      <c r="U154" s="201" t="e">
        <f aca="false">IF(A155="","",T154)</f>
        <v>#N/A</v>
      </c>
      <c r="V154" s="183" t="e">
        <f aca="false">IF($A155="","",IF(AND(MONTH(A154)&gt;3,MONTH(A154)&lt;11),(T154+R154+G154)*(((1/(1-Summary!$T$14))/(1-Summary!$W$14))-1),(T154+R154+G154)*((1/(1-Summary!$U$14))/(1-Summary!$X$14)-1)))</f>
        <v>#N/A</v>
      </c>
      <c r="W154" s="202" t="e">
        <f aca="false">IF($A155="","",(T154+R154+G154+V154))</f>
        <v>#N/A</v>
      </c>
      <c r="X154" s="202" t="e">
        <f aca="false">IF($A155="","",(U154+S154+H154+V154))</f>
        <v>#N/A</v>
      </c>
      <c r="Y154" s="202"/>
      <c r="Z154" s="185" t="e">
        <f aca="false">IF($A155="","",VLOOKUP($A154,Table,MATCH(Z$4,Curves,0)))</f>
        <v>#N/A</v>
      </c>
      <c r="AA154" s="185" t="e">
        <f aca="false">IF($A155="","",VLOOKUP($A154,Table,MATCH(AA$4,Curves,0)))</f>
        <v>#N/A</v>
      </c>
      <c r="AB154" s="185" t="e">
        <f aca="false">SQRT((AA154^2*(A154-$D$3)+Z154^2*(DAY(EOMONTH(A154,0))/2))/AK154)</f>
        <v>#N/A</v>
      </c>
      <c r="AC154" s="185" t="e">
        <f aca="false">IF($A155="","",VLOOKUP($A154,Table,MATCH(AC$4,Curves,0)))</f>
        <v>#N/A</v>
      </c>
      <c r="AD154" s="185" t="e">
        <f aca="false">IF($A155="","",VLOOKUP($A154,Table,MATCH(AD$4,Curves,0)))</f>
        <v>#N/A</v>
      </c>
      <c r="AE154" s="185" t="e">
        <f aca="false">SQRT((AD154^2*(A154-$D$3)+AC154^2*(DAY(EOMONTH(A154,0))/2))/AK154)</f>
        <v>#N/A</v>
      </c>
      <c r="AF154" s="224" t="e">
        <f aca="false">((Summary!$N$14*(AA154*AD154)*(A154-$D$3))+(Summary!$M$14*Z154*AC154*(AJ154-EOMONTH(EDATE(A154,-1),0))))/(AK154*AB154*AE154)</f>
        <v>#N/A</v>
      </c>
      <c r="AG154" s="207" t="n">
        <f aca="false">IF($A155="","",Summary!$Q$14)</f>
        <v>0</v>
      </c>
      <c r="AH154" s="207" t="n">
        <f aca="false">IF($A155="","",IF(Summary!$R$12="Y",(VLOOKUP($A154,Summary!$AD$6:$AF$9,3)+'Escalating commodity'!J167),'Escalating commodity'!J167))</f>
        <v>0.00616329297954347</v>
      </c>
      <c r="AI154" s="207" t="n">
        <f aca="false">IF($A155="","",AH154)</f>
        <v>0.00616329297954347</v>
      </c>
      <c r="AJ154" s="208" t="n">
        <f aca="false">A154+DAY(EOMONTH(A154,0))/2-1</f>
        <v>41440</v>
      </c>
      <c r="AK154" s="209" t="n">
        <f aca="false">IF($A155="","",$A154-$E$1)</f>
        <v>-4500</v>
      </c>
      <c r="AL154" s="182" t="e">
        <f aca="false">IF($A155="","",SPRDOPT(P154,X154,AI154,0,AB154,AE154,AF154,AK154,$AJ$2,0))</f>
        <v>#NAME?</v>
      </c>
      <c r="AM154" s="211" t="e">
        <f aca="false">IF($A155="","",MAX(0,O154-W154-AI154))</f>
        <v>#N/A</v>
      </c>
      <c r="AN154" s="211" t="e">
        <f aca="false">IF($A155="","",AL154-AM154)</f>
        <v>#N/A</v>
      </c>
      <c r="AO154" s="137" t="n">
        <f aca="false">IF(A155="","",A155-A154)</f>
        <v>30</v>
      </c>
      <c r="AP154" s="212" t="n">
        <f aca="false">IF(A155="","",CHOOSE(F$3,A155+24,A154))</f>
        <v>41426</v>
      </c>
      <c r="AQ154" s="209" t="n">
        <f aca="false">IF(A155="","",AP154-$E$1)</f>
        <v>-4500</v>
      </c>
      <c r="AR154" s="185" t="n">
        <f aca="false">'ANR OK vs ML7'!AR154</f>
        <v>0.1</v>
      </c>
      <c r="AS154" s="213" t="n">
        <f aca="false">IF(A155="","",1/(1+CHOOSE(F$3,(AR155+($I$3/10000))/2,(AR154+($I$3/10000))/2))^(2*AQ154/365.25))</f>
        <v>3.32750144111769</v>
      </c>
      <c r="AT154" s="137" t="n">
        <f aca="false">IF(A155="","",IF(AND(mthbeg&lt;=A154,mthend&gt;=A154),1,0))</f>
        <v>1</v>
      </c>
      <c r="AU154" s="137" t="n">
        <f aca="false">IF(A155="","",AO154*AT154)</f>
        <v>30</v>
      </c>
      <c r="AW154" s="195" t="e">
        <f aca="false">IF($A155="","",AL154*$E154)</f>
        <v>#NAME?</v>
      </c>
      <c r="AX154" s="195" t="e">
        <f aca="false">IF($A155="","",AM154*$E154)</f>
        <v>#N/A</v>
      </c>
      <c r="AY154" s="195" t="e">
        <f aca="false">IF($A155="","",AN154*$E154)</f>
        <v>#N/A</v>
      </c>
      <c r="BA154" s="195" t="n">
        <f aca="false">IF($A155="","",F154*Summary!$Q$14)</f>
        <v>0</v>
      </c>
      <c r="BC154" s="179" t="e">
        <f aca="false">IF(A155="","",AM154*F154)</f>
        <v>#N/A</v>
      </c>
    </row>
    <row r="155" customFormat="false" ht="12.75" hidden="false" customHeight="false" outlineLevel="0" collapsed="false">
      <c r="A155" s="196" t="n">
        <f aca="false">IF(A154&lt;mthend,EDATE(A154,1),"")</f>
        <v>41456</v>
      </c>
      <c r="B155" s="197" t="n">
        <f aca="false">IF(A155&lt;mthend,B154,"")</f>
        <v>28400</v>
      </c>
      <c r="C155" s="215"/>
      <c r="D155" s="197" t="n">
        <f aca="false">IF(A156&lt;&gt;"",B155+C155,"")</f>
        <v>28400</v>
      </c>
      <c r="E155" s="199" t="n">
        <f aca="false">IF(A156="","",IF(AND(AT155=1,$H$3=1),D155*AO155,IF($H$3=2,D155,"N/A")))</f>
        <v>880400</v>
      </c>
      <c r="F155" s="199" t="n">
        <f aca="false">IF(A156="","",E155*AS155)</f>
        <v>2906146.46184736</v>
      </c>
      <c r="G155" s="200" t="e">
        <f aca="false">IF($A156="","",VLOOKUP($A155,Table,MATCH(G$4,Curves,0)))</f>
        <v>#N/A</v>
      </c>
      <c r="H155" s="201" t="e">
        <f aca="false">IF(A156="","",G155)</f>
        <v>#N/A</v>
      </c>
      <c r="I155" s="202"/>
      <c r="J155" s="200" t="e">
        <f aca="false">IF($A156="","",VLOOKUP($A155,Table,MATCH(J$4,Curves,0)))</f>
        <v>#N/A</v>
      </c>
      <c r="K155" s="201" t="e">
        <f aca="false">IF(A156="","",J155)</f>
        <v>#N/A</v>
      </c>
      <c r="L155" s="185" t="n">
        <v>0</v>
      </c>
      <c r="M155" s="201" t="n">
        <f aca="false">IF(A156="","",L155)</f>
        <v>0</v>
      </c>
      <c r="N155" s="203"/>
      <c r="O155" s="200" t="e">
        <f aca="false">IF(A156="","",L155+J155+G155)</f>
        <v>#N/A</v>
      </c>
      <c r="P155" s="200" t="e">
        <f aca="false">IF(A156="","",M155+K155+H155)</f>
        <v>#N/A</v>
      </c>
      <c r="Q155" s="204"/>
      <c r="R155" s="200" t="e">
        <f aca="false">IF($A156="","",VLOOKUP($A155,Table,MATCH(R$4,Curves,0)))</f>
        <v>#N/A</v>
      </c>
      <c r="S155" s="201" t="e">
        <f aca="false">IF(A156="","",R155)</f>
        <v>#N/A</v>
      </c>
      <c r="T155" s="200" t="e">
        <f aca="false">IF($A156="","",VLOOKUP($A155,Table,MATCH(T$4,Curves,0)))</f>
        <v>#N/A</v>
      </c>
      <c r="U155" s="201" t="e">
        <f aca="false">IF(A156="","",T155)</f>
        <v>#N/A</v>
      </c>
      <c r="V155" s="183" t="e">
        <f aca="false">IF($A156="","",IF(AND(MONTH(A155)&gt;3,MONTH(A155)&lt;11),(T155+R155+G155)*(((1/(1-Summary!$T$14))/(1-Summary!$W$14))-1),(T155+R155+G155)*((1/(1-Summary!$U$14))/(1-Summary!$X$14)-1)))</f>
        <v>#N/A</v>
      </c>
      <c r="W155" s="202" t="e">
        <f aca="false">IF($A156="","",(T155+R155+G155+V155))</f>
        <v>#N/A</v>
      </c>
      <c r="X155" s="202" t="e">
        <f aca="false">IF($A156="","",(U155+S155+H155+V155))</f>
        <v>#N/A</v>
      </c>
      <c r="Y155" s="202"/>
      <c r="Z155" s="185" t="e">
        <f aca="false">IF($A156="","",VLOOKUP($A155,Table,MATCH(Z$4,Curves,0)))</f>
        <v>#N/A</v>
      </c>
      <c r="AA155" s="185" t="e">
        <f aca="false">IF($A156="","",VLOOKUP($A155,Table,MATCH(AA$4,Curves,0)))</f>
        <v>#N/A</v>
      </c>
      <c r="AB155" s="185" t="e">
        <f aca="false">SQRT((AA155^2*(A155-$D$3)+Z155^2*(DAY(EOMONTH(A155,0))/2))/AK155)</f>
        <v>#N/A</v>
      </c>
      <c r="AC155" s="185" t="e">
        <f aca="false">IF($A156="","",VLOOKUP($A155,Table,MATCH(AC$4,Curves,0)))</f>
        <v>#N/A</v>
      </c>
      <c r="AD155" s="185" t="e">
        <f aca="false">IF($A156="","",VLOOKUP($A155,Table,MATCH(AD$4,Curves,0)))</f>
        <v>#N/A</v>
      </c>
      <c r="AE155" s="185" t="e">
        <f aca="false">SQRT((AD155^2*(A155-$D$3)+AC155^2*(DAY(EOMONTH(A155,0))/2))/AK155)</f>
        <v>#N/A</v>
      </c>
      <c r="AF155" s="224" t="e">
        <f aca="false">((Summary!$N$14*(AA155*AD155)*(A155-$D$3))+(Summary!$M$14*Z155*AC155*(AJ155-EOMONTH(EDATE(A155,-1),0))))/(AK155*AB155*AE155)</f>
        <v>#N/A</v>
      </c>
      <c r="AG155" s="207" t="n">
        <f aca="false">IF($A156="","",Summary!$Q$14)</f>
        <v>0</v>
      </c>
      <c r="AH155" s="207" t="n">
        <f aca="false">IF($A156="","",IF(Summary!$R$12="Y",(VLOOKUP($A155,Summary!$AD$6:$AF$9,3)+'Escalating commodity'!J168),'Escalating commodity'!J168))</f>
        <v>0.00616329297954347</v>
      </c>
      <c r="AI155" s="207" t="n">
        <f aca="false">IF($A156="","",AH155)</f>
        <v>0.00616329297954347</v>
      </c>
      <c r="AJ155" s="208" t="n">
        <f aca="false">A155+DAY(EOMONTH(A155,0))/2-1</f>
        <v>41470.5</v>
      </c>
      <c r="AK155" s="209" t="n">
        <f aca="false">IF($A156="","",$A155-$E$1)</f>
        <v>-4470</v>
      </c>
      <c r="AL155" s="182" t="e">
        <f aca="false">IF($A156="","",SPRDOPT(P155,X155,AI155,0,AB155,AE155,AF155,AK155,$AJ$2,0))</f>
        <v>#NAME?</v>
      </c>
      <c r="AM155" s="211" t="e">
        <f aca="false">IF($A156="","",MAX(0,O155-W155-AI155))</f>
        <v>#N/A</v>
      </c>
      <c r="AN155" s="211" t="e">
        <f aca="false">IF($A156="","",AL155-AM155)</f>
        <v>#N/A</v>
      </c>
      <c r="AO155" s="137" t="n">
        <f aca="false">IF(A156="","",A156-A155)</f>
        <v>31</v>
      </c>
      <c r="AP155" s="212" t="n">
        <f aca="false">IF(A156="","",CHOOSE(F$3,A156+24,A155))</f>
        <v>41456</v>
      </c>
      <c r="AQ155" s="209" t="n">
        <f aca="false">IF(A156="","",AP155-$E$1)</f>
        <v>-4470</v>
      </c>
      <c r="AR155" s="185" t="n">
        <f aca="false">'ANR OK vs ML7'!AR155</f>
        <v>0.1</v>
      </c>
      <c r="AS155" s="213" t="n">
        <f aca="false">IF(A156="","",1/(1+CHOOSE(F$3,(AR156+($I$3/10000))/2,(AR155+($I$3/10000))/2))^(2*AQ155/365.25))</f>
        <v>3.30093873449268</v>
      </c>
      <c r="AT155" s="137" t="n">
        <f aca="false">IF(A156="","",IF(AND(mthbeg&lt;=A155,mthend&gt;=A155),1,0))</f>
        <v>1</v>
      </c>
      <c r="AU155" s="137" t="n">
        <f aca="false">IF(A156="","",AO155*AT155)</f>
        <v>31</v>
      </c>
      <c r="AW155" s="195" t="e">
        <f aca="false">IF($A156="","",AL155*$E155)</f>
        <v>#NAME?</v>
      </c>
      <c r="AX155" s="195" t="e">
        <f aca="false">IF($A156="","",AM155*$E155)</f>
        <v>#N/A</v>
      </c>
      <c r="AY155" s="195" t="e">
        <f aca="false">IF($A156="","",AN155*$E155)</f>
        <v>#N/A</v>
      </c>
      <c r="BA155" s="195" t="n">
        <f aca="false">IF($A156="","",F155*Summary!$Q$14)</f>
        <v>0</v>
      </c>
      <c r="BC155" s="179" t="e">
        <f aca="false">IF(A156="","",AM155*F155)</f>
        <v>#N/A</v>
      </c>
    </row>
    <row r="156" customFormat="false" ht="12.75" hidden="false" customHeight="false" outlineLevel="0" collapsed="false">
      <c r="A156" s="196" t="n">
        <f aca="false">IF(A155&lt;mthend,EDATE(A155,1),"")</f>
        <v>41487</v>
      </c>
      <c r="B156" s="197" t="n">
        <f aca="false">IF(A156&lt;mthend,B155,"")</f>
        <v>28400</v>
      </c>
      <c r="C156" s="215"/>
      <c r="D156" s="197" t="n">
        <f aca="false">IF(A157&lt;&gt;"",B156+C156,"")</f>
        <v>28400</v>
      </c>
      <c r="E156" s="199" t="n">
        <f aca="false">IF(A157="","",IF(AND(AT156=1,$H$3=1),D156*AO156,IF($H$3=2,D156,"N/A")))</f>
        <v>880400</v>
      </c>
      <c r="F156" s="199" t="n">
        <f aca="false">IF(A157="","",E156*AS156)</f>
        <v>2882177.23222158</v>
      </c>
      <c r="G156" s="200" t="e">
        <f aca="false">IF($A157="","",VLOOKUP($A156,Table,MATCH(G$4,Curves,0)))</f>
        <v>#N/A</v>
      </c>
      <c r="H156" s="201" t="e">
        <f aca="false">IF(A157="","",G156)</f>
        <v>#N/A</v>
      </c>
      <c r="I156" s="202"/>
      <c r="J156" s="200" t="e">
        <f aca="false">IF($A157="","",VLOOKUP($A156,Table,MATCH(J$4,Curves,0)))</f>
        <v>#N/A</v>
      </c>
      <c r="K156" s="201" t="e">
        <f aca="false">IF(A157="","",J156)</f>
        <v>#N/A</v>
      </c>
      <c r="L156" s="185" t="n">
        <v>0</v>
      </c>
      <c r="M156" s="201" t="n">
        <f aca="false">IF(A157="","",L156)</f>
        <v>0</v>
      </c>
      <c r="N156" s="203"/>
      <c r="O156" s="200" t="e">
        <f aca="false">IF(A157="","",L156+J156+G156)</f>
        <v>#N/A</v>
      </c>
      <c r="P156" s="200" t="e">
        <f aca="false">IF(A157="","",M156+K156+H156)</f>
        <v>#N/A</v>
      </c>
      <c r="Q156" s="204"/>
      <c r="R156" s="200" t="e">
        <f aca="false">IF($A157="","",VLOOKUP($A156,Table,MATCH(R$4,Curves,0)))</f>
        <v>#N/A</v>
      </c>
      <c r="S156" s="201" t="e">
        <f aca="false">IF(A157="","",R156)</f>
        <v>#N/A</v>
      </c>
      <c r="T156" s="200" t="e">
        <f aca="false">IF($A157="","",VLOOKUP($A156,Table,MATCH(T$4,Curves,0)))</f>
        <v>#N/A</v>
      </c>
      <c r="U156" s="201" t="e">
        <f aca="false">IF(A157="","",T156)</f>
        <v>#N/A</v>
      </c>
      <c r="V156" s="183" t="e">
        <f aca="false">IF($A157="","",IF(AND(MONTH(A156)&gt;3,MONTH(A156)&lt;11),(T156+R156+G156)*(((1/(1-Summary!$T$14))/(1-Summary!$W$14))-1),(T156+R156+G156)*((1/(1-Summary!$U$14))/(1-Summary!$X$14)-1)))</f>
        <v>#N/A</v>
      </c>
      <c r="W156" s="202" t="e">
        <f aca="false">IF($A157="","",(T156+R156+G156+V156))</f>
        <v>#N/A</v>
      </c>
      <c r="X156" s="202" t="e">
        <f aca="false">IF($A157="","",(U156+S156+H156+V156))</f>
        <v>#N/A</v>
      </c>
      <c r="Y156" s="202"/>
      <c r="Z156" s="185" t="e">
        <f aca="false">IF($A157="","",VLOOKUP($A156,Table,MATCH(Z$4,Curves,0)))</f>
        <v>#N/A</v>
      </c>
      <c r="AA156" s="185" t="e">
        <f aca="false">IF($A157="","",VLOOKUP($A156,Table,MATCH(AA$4,Curves,0)))</f>
        <v>#N/A</v>
      </c>
      <c r="AB156" s="185" t="e">
        <f aca="false">SQRT((AA156^2*(A156-$D$3)+Z156^2*(DAY(EOMONTH(A156,0))/2))/AK156)</f>
        <v>#N/A</v>
      </c>
      <c r="AC156" s="185" t="e">
        <f aca="false">IF($A157="","",VLOOKUP($A156,Table,MATCH(AC$4,Curves,0)))</f>
        <v>#N/A</v>
      </c>
      <c r="AD156" s="185" t="e">
        <f aca="false">IF($A157="","",VLOOKUP($A156,Table,MATCH(AD$4,Curves,0)))</f>
        <v>#N/A</v>
      </c>
      <c r="AE156" s="185" t="e">
        <f aca="false">SQRT((AD156^2*(A156-$D$3)+AC156^2*(DAY(EOMONTH(A156,0))/2))/AK156)</f>
        <v>#N/A</v>
      </c>
      <c r="AF156" s="224" t="e">
        <f aca="false">((Summary!$N$14*(AA156*AD156)*(A156-$D$3))+(Summary!$M$14*Z156*AC156*(AJ156-EOMONTH(EDATE(A156,-1),0))))/(AK156*AB156*AE156)</f>
        <v>#N/A</v>
      </c>
      <c r="AG156" s="207" t="n">
        <f aca="false">IF($A157="","",Summary!$Q$14)</f>
        <v>0</v>
      </c>
      <c r="AH156" s="207" t="n">
        <f aca="false">IF($A157="","",IF(Summary!$R$12="Y",(VLOOKUP($A156,Summary!$AD$6:$AF$9,3)+'Escalating commodity'!J169),'Escalating commodity'!J169))</f>
        <v>0.00616329297954347</v>
      </c>
      <c r="AI156" s="207" t="n">
        <f aca="false">IF($A157="","",AH156)</f>
        <v>0.00616329297954347</v>
      </c>
      <c r="AJ156" s="208" t="n">
        <f aca="false">A156+DAY(EOMONTH(A156,0))/2-1</f>
        <v>41501.5</v>
      </c>
      <c r="AK156" s="209" t="n">
        <f aca="false">IF($A157="","",$A156-$E$1)</f>
        <v>-4439</v>
      </c>
      <c r="AL156" s="182" t="e">
        <f aca="false">IF($A157="","",SPRDOPT(P156,X156,AI156,0,AB156,AE156,AF156,AK156,$AJ$2,0))</f>
        <v>#NAME?</v>
      </c>
      <c r="AM156" s="211" t="e">
        <f aca="false">IF($A157="","",MAX(0,O156-W156-AI156))</f>
        <v>#N/A</v>
      </c>
      <c r="AN156" s="211" t="e">
        <f aca="false">IF($A157="","",AL156-AM156)</f>
        <v>#N/A</v>
      </c>
      <c r="AO156" s="137" t="n">
        <f aca="false">IF(A157="","",A157-A156)</f>
        <v>31</v>
      </c>
      <c r="AP156" s="212" t="n">
        <f aca="false">IF(A157="","",CHOOSE(F$3,A157+24,A156))</f>
        <v>41487</v>
      </c>
      <c r="AQ156" s="209" t="n">
        <f aca="false">IF(A157="","",AP156-$E$1)</f>
        <v>-4439</v>
      </c>
      <c r="AR156" s="185" t="n">
        <f aca="false">'ANR OK vs ML7'!AR156</f>
        <v>0.1</v>
      </c>
      <c r="AS156" s="213" t="n">
        <f aca="false">IF(A157="","",1/(1+CHOOSE(F$3,(AR157+($I$3/10000))/2,(AR156+($I$3/10000))/2))^(2*AQ156/365.25))</f>
        <v>3.27371334872965</v>
      </c>
      <c r="AT156" s="137" t="n">
        <f aca="false">IF(A157="","",IF(AND(mthbeg&lt;=A156,mthend&gt;=A156),1,0))</f>
        <v>1</v>
      </c>
      <c r="AU156" s="137" t="n">
        <f aca="false">IF(A157="","",AO156*AT156)</f>
        <v>31</v>
      </c>
      <c r="AW156" s="195" t="e">
        <f aca="false">IF($A157="","",AL156*$E156)</f>
        <v>#NAME?</v>
      </c>
      <c r="AX156" s="195" t="e">
        <f aca="false">IF($A157="","",AM156*$E156)</f>
        <v>#N/A</v>
      </c>
      <c r="AY156" s="195" t="e">
        <f aca="false">IF($A157="","",AN156*$E156)</f>
        <v>#N/A</v>
      </c>
      <c r="BA156" s="195" t="n">
        <f aca="false">IF($A157="","",F156*Summary!$Q$14)</f>
        <v>0</v>
      </c>
      <c r="BC156" s="179" t="e">
        <f aca="false">IF(A157="","",AM156*F156)</f>
        <v>#N/A</v>
      </c>
    </row>
    <row r="157" customFormat="false" ht="12.75" hidden="false" customHeight="false" outlineLevel="0" collapsed="false">
      <c r="A157" s="196" t="n">
        <f aca="false">IF(A156&lt;mthend,EDATE(A156,1),"")</f>
        <v>41518</v>
      </c>
      <c r="B157" s="197" t="n">
        <f aca="false">IF(A157&lt;mthend,B156,"")</f>
        <v>28400</v>
      </c>
      <c r="C157" s="215"/>
      <c r="D157" s="197" t="n">
        <f aca="false">IF(A158&lt;&gt;"",B157+C157,"")</f>
        <v>28400</v>
      </c>
      <c r="E157" s="199" t="n">
        <f aca="false">IF(A158="","",IF(AND(AT157=1,$H$3=1),D157*AO157,IF($H$3=2,D157,"N/A")))</f>
        <v>852000</v>
      </c>
      <c r="F157" s="199" t="n">
        <f aca="false">IF(A158="","",E157*AS157)</f>
        <v>2766199.05997308</v>
      </c>
      <c r="G157" s="200" t="e">
        <f aca="false">IF($A158="","",VLOOKUP($A157,Table,MATCH(G$4,Curves,0)))</f>
        <v>#N/A</v>
      </c>
      <c r="H157" s="201" t="e">
        <f aca="false">IF(A158="","",G157)</f>
        <v>#N/A</v>
      </c>
      <c r="I157" s="202"/>
      <c r="J157" s="200" t="e">
        <f aca="false">IF($A158="","",VLOOKUP($A157,Table,MATCH(J$4,Curves,0)))</f>
        <v>#N/A</v>
      </c>
      <c r="K157" s="201" t="e">
        <f aca="false">IF(A158="","",J157)</f>
        <v>#N/A</v>
      </c>
      <c r="L157" s="185" t="n">
        <v>0</v>
      </c>
      <c r="M157" s="201" t="n">
        <f aca="false">IF(A158="","",L157)</f>
        <v>0</v>
      </c>
      <c r="N157" s="203"/>
      <c r="O157" s="200" t="e">
        <f aca="false">IF(A158="","",L157+J157+G157)</f>
        <v>#N/A</v>
      </c>
      <c r="P157" s="200" t="e">
        <f aca="false">IF(A158="","",M157+K157+H157)</f>
        <v>#N/A</v>
      </c>
      <c r="Q157" s="204"/>
      <c r="R157" s="200" t="e">
        <f aca="false">IF($A158="","",VLOOKUP($A157,Table,MATCH(R$4,Curves,0)))</f>
        <v>#N/A</v>
      </c>
      <c r="S157" s="201" t="e">
        <f aca="false">IF(A158="","",R157)</f>
        <v>#N/A</v>
      </c>
      <c r="T157" s="200" t="e">
        <f aca="false">IF($A158="","",VLOOKUP($A157,Table,MATCH(T$4,Curves,0)))</f>
        <v>#N/A</v>
      </c>
      <c r="U157" s="201" t="e">
        <f aca="false">IF(A158="","",T157)</f>
        <v>#N/A</v>
      </c>
      <c r="V157" s="183" t="e">
        <f aca="false">IF($A158="","",IF(AND(MONTH(A157)&gt;3,MONTH(A157)&lt;11),(T157+R157+G157)*(((1/(1-Summary!$T$14))/(1-Summary!$W$14))-1),(T157+R157+G157)*((1/(1-Summary!$U$14))/(1-Summary!$X$14)-1)))</f>
        <v>#N/A</v>
      </c>
      <c r="W157" s="202" t="e">
        <f aca="false">IF($A158="","",(T157+R157+G157+V157))</f>
        <v>#N/A</v>
      </c>
      <c r="X157" s="202" t="e">
        <f aca="false">IF($A158="","",(U157+S157+H157+V157))</f>
        <v>#N/A</v>
      </c>
      <c r="Y157" s="202"/>
      <c r="Z157" s="185" t="e">
        <f aca="false">IF($A158="","",VLOOKUP($A157,Table,MATCH(Z$4,Curves,0)))</f>
        <v>#N/A</v>
      </c>
      <c r="AA157" s="185" t="e">
        <f aca="false">IF($A158="","",VLOOKUP($A157,Table,MATCH(AA$4,Curves,0)))</f>
        <v>#N/A</v>
      </c>
      <c r="AB157" s="185" t="e">
        <f aca="false">SQRT((AA157^2*(A157-$D$3)+Z157^2*(DAY(EOMONTH(A157,0))/2))/AK157)</f>
        <v>#N/A</v>
      </c>
      <c r="AC157" s="185" t="e">
        <f aca="false">IF($A158="","",VLOOKUP($A157,Table,MATCH(AC$4,Curves,0)))</f>
        <v>#N/A</v>
      </c>
      <c r="AD157" s="185" t="e">
        <f aca="false">IF($A158="","",VLOOKUP($A157,Table,MATCH(AD$4,Curves,0)))</f>
        <v>#N/A</v>
      </c>
      <c r="AE157" s="185" t="e">
        <f aca="false">SQRT((AD157^2*(A157-$D$3)+AC157^2*(DAY(EOMONTH(A157,0))/2))/AK157)</f>
        <v>#N/A</v>
      </c>
      <c r="AF157" s="224" t="e">
        <f aca="false">((Summary!$N$14*(AA157*AD157)*(A157-$D$3))+(Summary!$M$14*Z157*AC157*(AJ157-EOMONTH(EDATE(A157,-1),0))))/(AK157*AB157*AE157)</f>
        <v>#N/A</v>
      </c>
      <c r="AG157" s="207" t="n">
        <f aca="false">IF($A158="","",Summary!$Q$14)</f>
        <v>0</v>
      </c>
      <c r="AH157" s="207" t="n">
        <f aca="false">IF($A158="","",IF(Summary!$R$12="Y",(VLOOKUP($A157,Summary!$AD$6:$AF$9,3)+'Escalating commodity'!J170),'Escalating commodity'!J170))</f>
        <v>0.00616329297954347</v>
      </c>
      <c r="AI157" s="207" t="n">
        <f aca="false">IF($A158="","",AH157)</f>
        <v>0.00616329297954347</v>
      </c>
      <c r="AJ157" s="208" t="n">
        <f aca="false">A157+DAY(EOMONTH(A157,0))/2-1</f>
        <v>41532</v>
      </c>
      <c r="AK157" s="209" t="n">
        <f aca="false">IF($A158="","",$A157-$E$1)</f>
        <v>-4408</v>
      </c>
      <c r="AL157" s="182" t="e">
        <f aca="false">IF($A158="","",SPRDOPT(P157,X157,AI157,0,AB157,AE157,AF157,AK157,$AJ$2,0))</f>
        <v>#NAME?</v>
      </c>
      <c r="AM157" s="211" t="e">
        <f aca="false">IF($A158="","",MAX(0,O157-W157-AI157))</f>
        <v>#N/A</v>
      </c>
      <c r="AN157" s="211" t="e">
        <f aca="false">IF($A158="","",AL157-AM157)</f>
        <v>#N/A</v>
      </c>
      <c r="AO157" s="137" t="n">
        <f aca="false">IF(A158="","",A158-A157)</f>
        <v>30</v>
      </c>
      <c r="AP157" s="212" t="n">
        <f aca="false">IF(A158="","",CHOOSE(F$3,A158+24,A157))</f>
        <v>41518</v>
      </c>
      <c r="AQ157" s="209" t="n">
        <f aca="false">IF(A158="","",AP157-$E$1)</f>
        <v>-4408</v>
      </c>
      <c r="AR157" s="185" t="n">
        <f aca="false">'ANR OK vs ML7'!AR157</f>
        <v>0.1</v>
      </c>
      <c r="AS157" s="213" t="n">
        <f aca="false">IF(A158="","",1/(1+CHOOSE(F$3,(AR158+($I$3/10000))/2,(AR157+($I$3/10000))/2))^(2*AQ157/365.25))</f>
        <v>3.2467125117055</v>
      </c>
      <c r="AT157" s="137" t="n">
        <f aca="false">IF(A158="","",IF(AND(mthbeg&lt;=A157,mthend&gt;=A157),1,0))</f>
        <v>1</v>
      </c>
      <c r="AU157" s="137" t="n">
        <f aca="false">IF(A158="","",AO157*AT157)</f>
        <v>30</v>
      </c>
      <c r="AW157" s="195" t="e">
        <f aca="false">IF($A158="","",AL157*$E157)</f>
        <v>#NAME?</v>
      </c>
      <c r="AX157" s="195" t="e">
        <f aca="false">IF($A158="","",AM157*$E157)</f>
        <v>#N/A</v>
      </c>
      <c r="AY157" s="195" t="e">
        <f aca="false">IF($A158="","",AN157*$E157)</f>
        <v>#N/A</v>
      </c>
      <c r="BA157" s="195" t="n">
        <f aca="false">IF($A158="","",F157*Summary!$Q$14)</f>
        <v>0</v>
      </c>
      <c r="BC157" s="179" t="e">
        <f aca="false">IF(A158="","",AM157*F157)</f>
        <v>#N/A</v>
      </c>
    </row>
    <row r="158" customFormat="false" ht="12.75" hidden="false" customHeight="false" outlineLevel="0" collapsed="false">
      <c r="A158" s="196" t="n">
        <f aca="false">IF(A157&lt;mthend,EDATE(A157,1),"")</f>
        <v>41548</v>
      </c>
      <c r="B158" s="197" t="n">
        <f aca="false">IF(A158&lt;mthend,B157,"")</f>
        <v>28400</v>
      </c>
      <c r="C158" s="215"/>
      <c r="D158" s="197" t="n">
        <f aca="false">IF(A159&lt;&gt;"",B158+C158,"")</f>
        <v>28400</v>
      </c>
      <c r="E158" s="199" t="n">
        <f aca="false">IF(A159="","",IF(AND(AT158=1,$H$3=1),D158*AO158,IF($H$3=2,D158,"N/A")))</f>
        <v>880400</v>
      </c>
      <c r="F158" s="199" t="n">
        <f aca="false">IF(A159="","",E158*AS158)</f>
        <v>2835587.67606699</v>
      </c>
      <c r="G158" s="200" t="e">
        <f aca="false">IF($A159="","",VLOOKUP($A158,Table,MATCH(G$4,Curves,0)))</f>
        <v>#N/A</v>
      </c>
      <c r="H158" s="201" t="e">
        <f aca="false">IF(A159="","",G158)</f>
        <v>#N/A</v>
      </c>
      <c r="I158" s="202"/>
      <c r="J158" s="200" t="e">
        <f aca="false">IF($A159="","",VLOOKUP($A158,Table,MATCH(J$4,Curves,0)))</f>
        <v>#N/A</v>
      </c>
      <c r="K158" s="201" t="e">
        <f aca="false">IF(A159="","",J158)</f>
        <v>#N/A</v>
      </c>
      <c r="L158" s="185" t="n">
        <v>0</v>
      </c>
      <c r="M158" s="201" t="n">
        <f aca="false">IF(A159="","",L158)</f>
        <v>0</v>
      </c>
      <c r="N158" s="203"/>
      <c r="O158" s="200" t="e">
        <f aca="false">IF(A159="","",L158+J158+G158)</f>
        <v>#N/A</v>
      </c>
      <c r="P158" s="200" t="e">
        <f aca="false">IF(A159="","",M158+K158+H158)</f>
        <v>#N/A</v>
      </c>
      <c r="Q158" s="204"/>
      <c r="R158" s="200" t="e">
        <f aca="false">IF($A159="","",VLOOKUP($A158,Table,MATCH(R$4,Curves,0)))</f>
        <v>#N/A</v>
      </c>
      <c r="S158" s="201" t="e">
        <f aca="false">IF(A159="","",R158)</f>
        <v>#N/A</v>
      </c>
      <c r="T158" s="200" t="e">
        <f aca="false">IF($A159="","",VLOOKUP($A158,Table,MATCH(T$4,Curves,0)))</f>
        <v>#N/A</v>
      </c>
      <c r="U158" s="201" t="e">
        <f aca="false">IF(A159="","",T158)</f>
        <v>#N/A</v>
      </c>
      <c r="V158" s="183" t="e">
        <f aca="false">IF($A159="","",IF(AND(MONTH(A158)&gt;3,MONTH(A158)&lt;11),(T158+R158+G158)*(((1/(1-Summary!$T$14))/(1-Summary!$W$14))-1),(T158+R158+G158)*((1/(1-Summary!$U$14))/(1-Summary!$X$14)-1)))</f>
        <v>#N/A</v>
      </c>
      <c r="W158" s="202" t="e">
        <f aca="false">IF($A159="","",(T158+R158+G158+V158))</f>
        <v>#N/A</v>
      </c>
      <c r="X158" s="202" t="e">
        <f aca="false">IF($A159="","",(U158+S158+H158+V158))</f>
        <v>#N/A</v>
      </c>
      <c r="Y158" s="202"/>
      <c r="Z158" s="185" t="e">
        <f aca="false">IF($A159="","",VLOOKUP($A158,Table,MATCH(Z$4,Curves,0)))</f>
        <v>#N/A</v>
      </c>
      <c r="AA158" s="185" t="e">
        <f aca="false">IF($A159="","",VLOOKUP($A158,Table,MATCH(AA$4,Curves,0)))</f>
        <v>#N/A</v>
      </c>
      <c r="AB158" s="185" t="e">
        <f aca="false">SQRT((AA158^2*(A158-$D$3)+Z158^2*(DAY(EOMONTH(A158,0))/2))/AK158)</f>
        <v>#N/A</v>
      </c>
      <c r="AC158" s="185" t="e">
        <f aca="false">IF($A159="","",VLOOKUP($A158,Table,MATCH(AC$4,Curves,0)))</f>
        <v>#N/A</v>
      </c>
      <c r="AD158" s="185" t="e">
        <f aca="false">IF($A159="","",VLOOKUP($A158,Table,MATCH(AD$4,Curves,0)))</f>
        <v>#N/A</v>
      </c>
      <c r="AE158" s="185" t="e">
        <f aca="false">SQRT((AD158^2*(A158-$D$3)+AC158^2*(DAY(EOMONTH(A158,0))/2))/AK158)</f>
        <v>#N/A</v>
      </c>
      <c r="AF158" s="224" t="e">
        <f aca="false">((Summary!$N$14*(AA158*AD158)*(A158-$D$3))+(Summary!$M$14*Z158*AC158*(AJ158-EOMONTH(EDATE(A158,-1),0))))/(AK158*AB158*AE158)</f>
        <v>#N/A</v>
      </c>
      <c r="AG158" s="207" t="n">
        <f aca="false">IF($A159="","",Summary!$Q$14)</f>
        <v>0</v>
      </c>
      <c r="AH158" s="207" t="n">
        <f aca="false">IF($A159="","",IF(Summary!$R$12="Y",(VLOOKUP($A158,Summary!$AD$6:$AF$9,3)+'Escalating commodity'!J171),'Escalating commodity'!J171))</f>
        <v>0.00616329297954347</v>
      </c>
      <c r="AI158" s="207" t="n">
        <f aca="false">IF($A159="","",AH158)</f>
        <v>0.00616329297954347</v>
      </c>
      <c r="AJ158" s="208" t="n">
        <f aca="false">A158+DAY(EOMONTH(A158,0))/2-1</f>
        <v>41562.5</v>
      </c>
      <c r="AK158" s="209" t="n">
        <f aca="false">IF($A159="","",$A158-$E$1)</f>
        <v>-4378</v>
      </c>
      <c r="AL158" s="182" t="e">
        <f aca="false">IF($A159="","",SPRDOPT(P158,X158,AI158,0,AB158,AE158,AF158,AK158,$AJ$2,0))</f>
        <v>#NAME?</v>
      </c>
      <c r="AM158" s="211" t="e">
        <f aca="false">IF($A159="","",MAX(0,O158-W158-AI158))</f>
        <v>#N/A</v>
      </c>
      <c r="AN158" s="211" t="e">
        <f aca="false">IF($A159="","",AL158-AM158)</f>
        <v>#N/A</v>
      </c>
      <c r="AO158" s="137" t="n">
        <f aca="false">IF(A159="","",A159-A158)</f>
        <v>31</v>
      </c>
      <c r="AP158" s="212" t="n">
        <f aca="false">IF(A159="","",CHOOSE(F$3,A159+24,A158))</f>
        <v>41548</v>
      </c>
      <c r="AQ158" s="209" t="n">
        <f aca="false">IF(A159="","",AP158-$E$1)</f>
        <v>-4378</v>
      </c>
      <c r="AR158" s="185" t="n">
        <f aca="false">'ANR OK vs ML7'!AR158</f>
        <v>0.1</v>
      </c>
      <c r="AS158" s="213" t="n">
        <f aca="false">IF(A159="","",1/(1+CHOOSE(F$3,(AR159+($I$3/10000))/2,(AR158+($I$3/10000))/2))^(2*AQ158/365.25))</f>
        <v>3.22079472520103</v>
      </c>
      <c r="AT158" s="137" t="n">
        <f aca="false">IF(A159="","",IF(AND(mthbeg&lt;=A158,mthend&gt;=A158),1,0))</f>
        <v>1</v>
      </c>
      <c r="AU158" s="137" t="n">
        <f aca="false">IF(A159="","",AO158*AT158)</f>
        <v>31</v>
      </c>
      <c r="AW158" s="195" t="e">
        <f aca="false">IF($A159="","",AL158*$E158)</f>
        <v>#NAME?</v>
      </c>
      <c r="AX158" s="195" t="e">
        <f aca="false">IF($A159="","",AM158*$E158)</f>
        <v>#N/A</v>
      </c>
      <c r="AY158" s="195" t="e">
        <f aca="false">IF($A159="","",AN158*$E158)</f>
        <v>#N/A</v>
      </c>
      <c r="BA158" s="195" t="n">
        <f aca="false">IF($A159="","",F158*Summary!$Q$14)</f>
        <v>0</v>
      </c>
      <c r="BC158" s="179" t="e">
        <f aca="false">IF(A159="","",AM158*F158)</f>
        <v>#N/A</v>
      </c>
    </row>
    <row r="159" customFormat="false" ht="12.75" hidden="false" customHeight="false" outlineLevel="0" collapsed="false">
      <c r="A159" s="196" t="n">
        <f aca="false">IF(A158&lt;mthend,EDATE(A158,1),"")</f>
        <v>41579</v>
      </c>
      <c r="B159" s="197" t="n">
        <f aca="false">IF(A159&lt;mthend,B158,"")</f>
        <v>28400</v>
      </c>
      <c r="C159" s="215"/>
      <c r="D159" s="197" t="n">
        <f aca="false">IF(A160&lt;&gt;"",B159+C159,"")</f>
        <v>28400</v>
      </c>
      <c r="E159" s="199" t="n">
        <f aca="false">IF(A160="","",IF(AND(AT159=1,$H$3=1),D159*AO159,IF($H$3=2,D159,"N/A")))</f>
        <v>852000</v>
      </c>
      <c r="F159" s="199" t="n">
        <f aca="false">IF(A160="","",E159*AS159)</f>
        <v>2721484.25721959</v>
      </c>
      <c r="G159" s="200" t="e">
        <f aca="false">IF($A160="","",VLOOKUP($A159,Table,MATCH(G$4,Curves,0)))</f>
        <v>#N/A</v>
      </c>
      <c r="H159" s="201" t="e">
        <f aca="false">IF(A160="","",G159)</f>
        <v>#N/A</v>
      </c>
      <c r="I159" s="202"/>
      <c r="J159" s="200" t="e">
        <f aca="false">IF($A160="","",VLOOKUP($A159,Table,MATCH(J$4,Curves,0)))</f>
        <v>#N/A</v>
      </c>
      <c r="K159" s="201" t="e">
        <f aca="false">IF(A160="","",J159)</f>
        <v>#N/A</v>
      </c>
      <c r="L159" s="185" t="n">
        <v>0</v>
      </c>
      <c r="M159" s="201" t="n">
        <f aca="false">IF(A160="","",L159)</f>
        <v>0</v>
      </c>
      <c r="N159" s="203"/>
      <c r="O159" s="200" t="e">
        <f aca="false">IF(A160="","",L159+J159+G159)</f>
        <v>#N/A</v>
      </c>
      <c r="P159" s="200" t="e">
        <f aca="false">IF(A160="","",M159+K159+H159)</f>
        <v>#N/A</v>
      </c>
      <c r="Q159" s="204"/>
      <c r="R159" s="200" t="e">
        <f aca="false">IF($A160="","",VLOOKUP($A159,Table,MATCH(R$4,Curves,0)))</f>
        <v>#N/A</v>
      </c>
      <c r="S159" s="201" t="e">
        <f aca="false">IF(A160="","",R159)</f>
        <v>#N/A</v>
      </c>
      <c r="T159" s="200" t="e">
        <f aca="false">IF($A160="","",VLOOKUP($A159,Table,MATCH(T$4,Curves,0)))</f>
        <v>#N/A</v>
      </c>
      <c r="U159" s="201" t="e">
        <f aca="false">IF(A160="","",T159)</f>
        <v>#N/A</v>
      </c>
      <c r="V159" s="183" t="e">
        <f aca="false">IF($A160="","",IF(AND(MONTH(A159)&gt;3,MONTH(A159)&lt;11),(T159+R159+G159)*(((1/(1-Summary!$T$14))/(1-Summary!$W$14))-1),(T159+R159+G159)*((1/(1-Summary!$U$14))/(1-Summary!$X$14)-1)))</f>
        <v>#N/A</v>
      </c>
      <c r="W159" s="202" t="e">
        <f aca="false">IF($A160="","",(T159+R159+G159+V159))</f>
        <v>#N/A</v>
      </c>
      <c r="X159" s="202" t="e">
        <f aca="false">IF($A160="","",(U159+S159+H159+V159))</f>
        <v>#N/A</v>
      </c>
      <c r="Y159" s="202"/>
      <c r="Z159" s="185" t="e">
        <f aca="false">IF($A160="","",VLOOKUP($A159,Table,MATCH(Z$4,Curves,0)))</f>
        <v>#N/A</v>
      </c>
      <c r="AA159" s="185" t="e">
        <f aca="false">IF($A160="","",VLOOKUP($A159,Table,MATCH(AA$4,Curves,0)))</f>
        <v>#N/A</v>
      </c>
      <c r="AB159" s="185" t="e">
        <f aca="false">SQRT((AA159^2*(A159-$D$3)+Z159^2*(DAY(EOMONTH(A159,0))/2))/AK159)</f>
        <v>#N/A</v>
      </c>
      <c r="AC159" s="185" t="e">
        <f aca="false">IF($A160="","",VLOOKUP($A159,Table,MATCH(AC$4,Curves,0)))</f>
        <v>#N/A</v>
      </c>
      <c r="AD159" s="185" t="e">
        <f aca="false">IF($A160="","",VLOOKUP($A159,Table,MATCH(AD$4,Curves,0)))</f>
        <v>#N/A</v>
      </c>
      <c r="AE159" s="185" t="e">
        <f aca="false">SQRT((AD159^2*(A159-$D$3)+AC159^2*(DAY(EOMONTH(A159,0))/2))/AK159)</f>
        <v>#N/A</v>
      </c>
      <c r="AF159" s="224" t="e">
        <f aca="false">((Summary!$N$14*(AA159*AD159)*(A159-$D$3))+(Summary!$M$14*Z159*AC159*(AJ159-EOMONTH(EDATE(A159,-1),0))))/(AK159*AB159*AE159)</f>
        <v>#N/A</v>
      </c>
      <c r="AG159" s="207" t="n">
        <f aca="false">IF($A160="","",Summary!$Q$14)</f>
        <v>0</v>
      </c>
      <c r="AH159" s="207" t="n">
        <f aca="false">IF($A160="","",IF(Summary!$R$12="Y",(VLOOKUP($A159,Summary!$AD$6:$AF$9,3)+'Escalating commodity'!J172),'Escalating commodity'!J172))</f>
        <v>0.00616329297954347</v>
      </c>
      <c r="AI159" s="207" t="n">
        <f aca="false">IF($A160="","",AH159)</f>
        <v>0.00616329297954347</v>
      </c>
      <c r="AJ159" s="208" t="n">
        <f aca="false">A159+DAY(EOMONTH(A159,0))/2-1</f>
        <v>41593</v>
      </c>
      <c r="AK159" s="209" t="n">
        <f aca="false">IF($A160="","",$A159-$E$1)</f>
        <v>-4347</v>
      </c>
      <c r="AL159" s="182" t="e">
        <f aca="false">IF($A160="","",SPRDOPT(P159,X159,AI159,0,AB159,AE159,AF159,AK159,$AJ$2,0))</f>
        <v>#NAME?</v>
      </c>
      <c r="AM159" s="211" t="e">
        <f aca="false">IF($A160="","",MAX(0,O159-W159-AI159))</f>
        <v>#N/A</v>
      </c>
      <c r="AN159" s="211" t="e">
        <f aca="false">IF($A160="","",AL159-AM159)</f>
        <v>#N/A</v>
      </c>
      <c r="AO159" s="137" t="n">
        <f aca="false">IF(A160="","",A160-A159)</f>
        <v>30</v>
      </c>
      <c r="AP159" s="212" t="n">
        <f aca="false">IF(A160="","",CHOOSE(F$3,A160+24,A159))</f>
        <v>41579</v>
      </c>
      <c r="AQ159" s="209" t="n">
        <f aca="false">IF(A160="","",AP159-$E$1)</f>
        <v>-4347</v>
      </c>
      <c r="AR159" s="185" t="n">
        <f aca="false">'ANR OK vs ML7'!AR159</f>
        <v>0.1</v>
      </c>
      <c r="AS159" s="213" t="n">
        <f aca="false">IF(A160="","",1/(1+CHOOSE(F$3,(AR160+($I$3/10000))/2,(AR159+($I$3/10000))/2))^(2*AQ159/365.25))</f>
        <v>3.19423034884928</v>
      </c>
      <c r="AT159" s="137" t="n">
        <f aca="false">IF(A160="","",IF(AND(mthbeg&lt;=A159,mthend&gt;=A159),1,0))</f>
        <v>1</v>
      </c>
      <c r="AU159" s="137" t="n">
        <f aca="false">IF(A160="","",AO159*AT159)</f>
        <v>30</v>
      </c>
      <c r="AW159" s="195" t="e">
        <f aca="false">IF($A160="","",AL159*$E159)</f>
        <v>#NAME?</v>
      </c>
      <c r="AX159" s="195" t="e">
        <f aca="false">IF($A160="","",AM159*$E159)</f>
        <v>#N/A</v>
      </c>
      <c r="AY159" s="195" t="e">
        <f aca="false">IF($A160="","",AN159*$E159)</f>
        <v>#N/A</v>
      </c>
      <c r="BA159" s="195" t="n">
        <f aca="false">IF($A160="","",F159*Summary!$Q$14)</f>
        <v>0</v>
      </c>
      <c r="BC159" s="179" t="e">
        <f aca="false">IF(A160="","",AM159*F159)</f>
        <v>#N/A</v>
      </c>
    </row>
    <row r="160" customFormat="false" ht="12.75" hidden="false" customHeight="false" outlineLevel="0" collapsed="false">
      <c r="A160" s="196" t="n">
        <f aca="false">IF(A159&lt;mthend,EDATE(A159,1),"")</f>
        <v>41609</v>
      </c>
      <c r="B160" s="197" t="n">
        <f aca="false">IF(A160&lt;mthend,B159,"")</f>
        <v>28400</v>
      </c>
      <c r="C160" s="215"/>
      <c r="D160" s="197" t="n">
        <f aca="false">IF(A161&lt;&gt;"",B160+C160,"")</f>
        <v>28400</v>
      </c>
      <c r="E160" s="199" t="n">
        <f aca="false">IF(A161="","",IF(AND(AT160=1,$H$3=1),D160*AO160,IF($H$3=2,D160,"N/A")))</f>
        <v>880400</v>
      </c>
      <c r="F160" s="199" t="n">
        <f aca="false">IF(A161="","",E160*AS160)</f>
        <v>2789751.22652861</v>
      </c>
      <c r="G160" s="200" t="e">
        <f aca="false">IF($A161="","",VLOOKUP($A160,Table,MATCH(G$4,Curves,0)))</f>
        <v>#N/A</v>
      </c>
      <c r="H160" s="201" t="e">
        <f aca="false">IF(A161="","",G160)</f>
        <v>#N/A</v>
      </c>
      <c r="I160" s="202"/>
      <c r="J160" s="200" t="e">
        <f aca="false">IF($A161="","",VLOOKUP($A160,Table,MATCH(J$4,Curves,0)))</f>
        <v>#N/A</v>
      </c>
      <c r="K160" s="201" t="e">
        <f aca="false">IF(A161="","",J160)</f>
        <v>#N/A</v>
      </c>
      <c r="L160" s="185" t="n">
        <v>0</v>
      </c>
      <c r="M160" s="201" t="n">
        <f aca="false">IF(A161="","",L160)</f>
        <v>0</v>
      </c>
      <c r="N160" s="203"/>
      <c r="O160" s="200" t="e">
        <f aca="false">IF(A161="","",L160+J160+G160)</f>
        <v>#N/A</v>
      </c>
      <c r="P160" s="200" t="e">
        <f aca="false">IF(A161="","",M160+K160+H160)</f>
        <v>#N/A</v>
      </c>
      <c r="Q160" s="204"/>
      <c r="R160" s="200" t="e">
        <f aca="false">IF($A161="","",VLOOKUP($A160,Table,MATCH(R$4,Curves,0)))</f>
        <v>#N/A</v>
      </c>
      <c r="S160" s="201" t="e">
        <f aca="false">IF(A161="","",R160)</f>
        <v>#N/A</v>
      </c>
      <c r="T160" s="200" t="e">
        <f aca="false">IF($A161="","",VLOOKUP($A160,Table,MATCH(T$4,Curves,0)))</f>
        <v>#N/A</v>
      </c>
      <c r="U160" s="201" t="e">
        <f aca="false">IF(A161="","",T160)</f>
        <v>#N/A</v>
      </c>
      <c r="V160" s="183" t="e">
        <f aca="false">IF($A161="","",IF(AND(MONTH(A160)&gt;3,MONTH(A160)&lt;11),(T160+R160+G160)*(((1/(1-Summary!$T$14))/(1-Summary!$W$14))-1),(T160+R160+G160)*((1/(1-Summary!$U$14))/(1-Summary!$X$14)-1)))</f>
        <v>#N/A</v>
      </c>
      <c r="W160" s="202" t="e">
        <f aca="false">IF($A161="","",(T160+R160+G160+V160))</f>
        <v>#N/A</v>
      </c>
      <c r="X160" s="202" t="e">
        <f aca="false">IF($A161="","",(U160+S160+H160+V160))</f>
        <v>#N/A</v>
      </c>
      <c r="Y160" s="202"/>
      <c r="Z160" s="185" t="e">
        <f aca="false">IF($A161="","",VLOOKUP($A160,Table,MATCH(Z$4,Curves,0)))</f>
        <v>#N/A</v>
      </c>
      <c r="AA160" s="185" t="e">
        <f aca="false">IF($A161="","",VLOOKUP($A160,Table,MATCH(AA$4,Curves,0)))</f>
        <v>#N/A</v>
      </c>
      <c r="AB160" s="185" t="e">
        <f aca="false">SQRT((AA160^2*(A160-$D$3)+Z160^2*(DAY(EOMONTH(A160,0))/2))/AK160)</f>
        <v>#N/A</v>
      </c>
      <c r="AC160" s="185" t="e">
        <f aca="false">IF($A161="","",VLOOKUP($A160,Table,MATCH(AC$4,Curves,0)))</f>
        <v>#N/A</v>
      </c>
      <c r="AD160" s="185" t="e">
        <f aca="false">IF($A161="","",VLOOKUP($A160,Table,MATCH(AD$4,Curves,0)))</f>
        <v>#N/A</v>
      </c>
      <c r="AE160" s="185" t="e">
        <f aca="false">SQRT((AD160^2*(A160-$D$3)+AC160^2*(DAY(EOMONTH(A160,0))/2))/AK160)</f>
        <v>#N/A</v>
      </c>
      <c r="AF160" s="224" t="e">
        <f aca="false">((Summary!$N$14*(AA160*AD160)*(A160-$D$3))+(Summary!$M$14*Z160*AC160*(AJ160-EOMONTH(EDATE(A160,-1),0))))/(AK160*AB160*AE160)</f>
        <v>#N/A</v>
      </c>
      <c r="AG160" s="207" t="n">
        <f aca="false">IF($A161="","",Summary!$Q$14)</f>
        <v>0</v>
      </c>
      <c r="AH160" s="207" t="n">
        <f aca="false">IF($A161="","",IF(Summary!$R$12="Y",(VLOOKUP($A160,Summary!$AD$6:$AF$9,3)+'Escalating commodity'!J173),'Escalating commodity'!J173))</f>
        <v>0.00616329297954347</v>
      </c>
      <c r="AI160" s="207" t="n">
        <f aca="false">IF($A161="","",AH160)</f>
        <v>0.00616329297954347</v>
      </c>
      <c r="AJ160" s="208" t="n">
        <f aca="false">A160+DAY(EOMONTH(A160,0))/2-1</f>
        <v>41623.5</v>
      </c>
      <c r="AK160" s="209" t="n">
        <f aca="false">IF($A161="","",$A160-$E$1)</f>
        <v>-4317</v>
      </c>
      <c r="AL160" s="182" t="e">
        <f aca="false">IF($A161="","",SPRDOPT(P160,X160,AI160,0,AB160,AE160,AF160,AK160,$AJ$2,0))</f>
        <v>#NAME?</v>
      </c>
      <c r="AM160" s="211" t="e">
        <f aca="false">IF($A161="","",MAX(0,O160-W160-AI160))</f>
        <v>#N/A</v>
      </c>
      <c r="AN160" s="211" t="e">
        <f aca="false">IF($A161="","",AL160-AM160)</f>
        <v>#N/A</v>
      </c>
      <c r="AO160" s="137" t="n">
        <f aca="false">IF(A161="","",A161-A160)</f>
        <v>31</v>
      </c>
      <c r="AP160" s="212" t="n">
        <f aca="false">IF(A161="","",CHOOSE(F$3,A161+24,A160))</f>
        <v>41609</v>
      </c>
      <c r="AQ160" s="209" t="n">
        <f aca="false">IF(A161="","",AP160-$E$1)</f>
        <v>-4317</v>
      </c>
      <c r="AR160" s="185" t="n">
        <f aca="false">'ANR OK vs ML7'!AR160</f>
        <v>0.1</v>
      </c>
      <c r="AS160" s="213" t="n">
        <f aca="false">IF(A161="","",1/(1+CHOOSE(F$3,(AR161+($I$3/10000))/2,(AR160+($I$3/10000))/2))^(2*AQ160/365.25))</f>
        <v>3.16873151582077</v>
      </c>
      <c r="AT160" s="137" t="n">
        <f aca="false">IF(A161="","",IF(AND(mthbeg&lt;=A160,mthend&gt;=A160),1,0))</f>
        <v>1</v>
      </c>
      <c r="AU160" s="137" t="n">
        <f aca="false">IF(A161="","",AO160*AT160)</f>
        <v>31</v>
      </c>
      <c r="AW160" s="195" t="e">
        <f aca="false">IF($A161="","",AL160*$E160)</f>
        <v>#NAME?</v>
      </c>
      <c r="AX160" s="195" t="e">
        <f aca="false">IF($A161="","",AM160*$E160)</f>
        <v>#N/A</v>
      </c>
      <c r="AY160" s="195" t="e">
        <f aca="false">IF($A161="","",AN160*$E160)</f>
        <v>#N/A</v>
      </c>
      <c r="BA160" s="195" t="n">
        <f aca="false">IF($A161="","",F160*Summary!$Q$14)</f>
        <v>0</v>
      </c>
      <c r="BC160" s="179" t="e">
        <f aca="false">IF(A161="","",AM160*F160)</f>
        <v>#N/A</v>
      </c>
    </row>
    <row r="161" customFormat="false" ht="12.75" hidden="false" customHeight="false" outlineLevel="0" collapsed="false">
      <c r="A161" s="196" t="n">
        <f aca="false">IF(A160&lt;mthend,EDATE(A160,1),"")</f>
        <v>41640</v>
      </c>
      <c r="B161" s="197" t="n">
        <f aca="false">IF(A161&lt;mthend,B160,"")</f>
        <v>28400</v>
      </c>
      <c r="C161" s="215"/>
      <c r="D161" s="197" t="n">
        <f aca="false">IF(A162&lt;&gt;"",B161+C161,"")</f>
        <v>28400</v>
      </c>
      <c r="E161" s="199" t="n">
        <f aca="false">IF(A162="","",IF(AND(AT161=1,$H$3=1),D161*AO161,IF($H$3=2,D161,"N/A")))</f>
        <v>880400</v>
      </c>
      <c r="F161" s="199" t="n">
        <f aca="false">IF(A162="","",E161*AS161)</f>
        <v>2766741.99811383</v>
      </c>
      <c r="G161" s="200" t="e">
        <f aca="false">IF($A162="","",VLOOKUP($A161,Table,MATCH(G$4,Curves,0)))</f>
        <v>#N/A</v>
      </c>
      <c r="H161" s="201" t="e">
        <f aca="false">IF(A162="","",G161)</f>
        <v>#N/A</v>
      </c>
      <c r="I161" s="202"/>
      <c r="J161" s="200" t="e">
        <f aca="false">IF($A162="","",VLOOKUP($A161,Table,MATCH(J$4,Curves,0)))</f>
        <v>#N/A</v>
      </c>
      <c r="K161" s="201" t="e">
        <f aca="false">IF(A162="","",J161)</f>
        <v>#N/A</v>
      </c>
      <c r="L161" s="185" t="n">
        <v>0</v>
      </c>
      <c r="M161" s="201" t="n">
        <f aca="false">IF(A162="","",L161)</f>
        <v>0</v>
      </c>
      <c r="N161" s="203"/>
      <c r="O161" s="200" t="e">
        <f aca="false">IF(A162="","",L161+J161+G161)</f>
        <v>#N/A</v>
      </c>
      <c r="P161" s="200" t="e">
        <f aca="false">IF(A162="","",M161+K161+H161)</f>
        <v>#N/A</v>
      </c>
      <c r="Q161" s="204"/>
      <c r="R161" s="200" t="e">
        <f aca="false">IF($A162="","",VLOOKUP($A161,Table,MATCH(R$4,Curves,0)))</f>
        <v>#N/A</v>
      </c>
      <c r="S161" s="201" t="e">
        <f aca="false">IF(A162="","",R161)</f>
        <v>#N/A</v>
      </c>
      <c r="T161" s="200" t="e">
        <f aca="false">IF($A162="","",VLOOKUP($A161,Table,MATCH(T$4,Curves,0)))</f>
        <v>#N/A</v>
      </c>
      <c r="U161" s="201" t="e">
        <f aca="false">IF(A162="","",T161)</f>
        <v>#N/A</v>
      </c>
      <c r="V161" s="183" t="e">
        <f aca="false">IF($A162="","",IF(AND(MONTH(A161)&gt;3,MONTH(A161)&lt;11),(T161+R161+G161)*(((1/(1-Summary!$T$14))/(1-Summary!$W$14))-1),(T161+R161+G161)*((1/(1-Summary!$U$14))/(1-Summary!$X$14)-1)))</f>
        <v>#N/A</v>
      </c>
      <c r="W161" s="202" t="e">
        <f aca="false">IF($A162="","",(T161+R161+G161+V161))</f>
        <v>#N/A</v>
      </c>
      <c r="X161" s="202" t="e">
        <f aca="false">IF($A162="","",(U161+S161+H161+V161))</f>
        <v>#N/A</v>
      </c>
      <c r="Y161" s="202"/>
      <c r="Z161" s="185" t="e">
        <f aca="false">IF($A162="","",VLOOKUP($A161,Table,MATCH(Z$4,Curves,0)))</f>
        <v>#N/A</v>
      </c>
      <c r="AA161" s="185" t="e">
        <f aca="false">IF($A162="","",VLOOKUP($A161,Table,MATCH(AA$4,Curves,0)))</f>
        <v>#N/A</v>
      </c>
      <c r="AB161" s="185" t="e">
        <f aca="false">SQRT((AA161^2*(A161-$D$3)+Z161^2*(DAY(EOMONTH(A161,0))/2))/AK161)</f>
        <v>#N/A</v>
      </c>
      <c r="AC161" s="185" t="e">
        <f aca="false">IF($A162="","",VLOOKUP($A161,Table,MATCH(AC$4,Curves,0)))</f>
        <v>#N/A</v>
      </c>
      <c r="AD161" s="185" t="e">
        <f aca="false">IF($A162="","",VLOOKUP($A161,Table,MATCH(AD$4,Curves,0)))</f>
        <v>#N/A</v>
      </c>
      <c r="AE161" s="185" t="e">
        <f aca="false">SQRT((AD161^2*(A161-$D$3)+AC161^2*(DAY(EOMONTH(A161,0))/2))/AK161)</f>
        <v>#N/A</v>
      </c>
      <c r="AF161" s="224" t="e">
        <f aca="false">((Summary!$N$14*(AA161*AD161)*(A161-$D$3))+(Summary!$M$14*Z161*AC161*(AJ161-EOMONTH(EDATE(A161,-1),0))))/(AK161*AB161*AE161)</f>
        <v>#N/A</v>
      </c>
      <c r="AG161" s="207" t="n">
        <f aca="false">IF($A162="","",Summary!$Q$14)</f>
        <v>0</v>
      </c>
      <c r="AH161" s="207" t="n">
        <f aca="false">IF($A162="","",IF(Summary!$R$12="Y",(VLOOKUP($A161,Summary!$AD$6:$AF$9,3)+'Escalating commodity'!J174),'Escalating commodity'!J174))</f>
        <v>0.00628655883913434</v>
      </c>
      <c r="AI161" s="207" t="n">
        <f aca="false">IF($A162="","",AH161)</f>
        <v>0.00628655883913434</v>
      </c>
      <c r="AJ161" s="208" t="n">
        <f aca="false">A161+DAY(EOMONTH(A161,0))/2-1</f>
        <v>41654.5</v>
      </c>
      <c r="AK161" s="209" t="n">
        <f aca="false">IF($A162="","",$A161-$E$1)</f>
        <v>-4286</v>
      </c>
      <c r="AL161" s="182" t="e">
        <f aca="false">IF($A162="","",SPRDOPT(P161,X161,AI161,0,AB161,AE161,AF161,AK161,$AJ$2,0))</f>
        <v>#NAME?</v>
      </c>
      <c r="AM161" s="211" t="e">
        <f aca="false">IF($A162="","",MAX(0,O161-W161-AI161))</f>
        <v>#N/A</v>
      </c>
      <c r="AN161" s="211" t="e">
        <f aca="false">IF($A162="","",AL161-AM161)</f>
        <v>#N/A</v>
      </c>
      <c r="AO161" s="137" t="n">
        <f aca="false">IF(A162="","",A162-A161)</f>
        <v>31</v>
      </c>
      <c r="AP161" s="212" t="n">
        <f aca="false">IF(A162="","",CHOOSE(F$3,A162+24,A161))</f>
        <v>41640</v>
      </c>
      <c r="AQ161" s="209" t="n">
        <f aca="false">IF(A162="","",AP161-$E$1)</f>
        <v>-4286</v>
      </c>
      <c r="AR161" s="185" t="n">
        <f aca="false">'ANR OK vs ML7'!AR161</f>
        <v>0.1</v>
      </c>
      <c r="AS161" s="213" t="n">
        <f aca="false">IF(A162="","",1/(1+CHOOSE(F$3,(AR162+($I$3/10000))/2,(AR161+($I$3/10000))/2))^(2*AQ161/365.25))</f>
        <v>3.14259654488168</v>
      </c>
      <c r="AT161" s="137" t="n">
        <f aca="false">IF(A162="","",IF(AND(mthbeg&lt;=A161,mthend&gt;=A161),1,0))</f>
        <v>1</v>
      </c>
      <c r="AU161" s="137" t="n">
        <f aca="false">IF(A162="","",AO161*AT161)</f>
        <v>31</v>
      </c>
      <c r="AW161" s="195" t="e">
        <f aca="false">IF($A162="","",AL161*$E161)</f>
        <v>#NAME?</v>
      </c>
      <c r="AX161" s="195" t="e">
        <f aca="false">IF($A162="","",AM161*$E161)</f>
        <v>#N/A</v>
      </c>
      <c r="AY161" s="195" t="e">
        <f aca="false">IF($A162="","",AN161*$E161)</f>
        <v>#N/A</v>
      </c>
      <c r="BA161" s="195" t="n">
        <f aca="false">IF($A162="","",F161*Summary!$Q$14)</f>
        <v>0</v>
      </c>
      <c r="BC161" s="179" t="e">
        <f aca="false">IF(A162="","",AM161*F161)</f>
        <v>#N/A</v>
      </c>
    </row>
    <row r="162" customFormat="false" ht="12.75" hidden="false" customHeight="false" outlineLevel="0" collapsed="false">
      <c r="A162" s="196" t="n">
        <f aca="false">IF(A161&lt;mthend,EDATE(A161,1),"")</f>
        <v>41671</v>
      </c>
      <c r="B162" s="197" t="n">
        <f aca="false">IF(A162&lt;mthend,B161,"")</f>
        <v>28400</v>
      </c>
      <c r="C162" s="215"/>
      <c r="D162" s="197" t="n">
        <f aca="false">IF(A163&lt;&gt;"",B162+C162,"")</f>
        <v>28400</v>
      </c>
      <c r="E162" s="199" t="n">
        <f aca="false">IF(A163="","",IF(AND(AT162=1,$H$3=1),D162*AO162,IF($H$3=2,D162,"N/A")))</f>
        <v>795200</v>
      </c>
      <c r="F162" s="199" t="n">
        <f aca="false">IF(A163="","",E162*AS162)</f>
        <v>2478381.65313191</v>
      </c>
      <c r="G162" s="200" t="e">
        <f aca="false">IF($A163="","",VLOOKUP($A162,Table,MATCH(G$4,Curves,0)))</f>
        <v>#N/A</v>
      </c>
      <c r="H162" s="201" t="e">
        <f aca="false">IF(A163="","",G162)</f>
        <v>#N/A</v>
      </c>
      <c r="I162" s="202"/>
      <c r="J162" s="200" t="e">
        <f aca="false">IF($A163="","",VLOOKUP($A162,Table,MATCH(J$4,Curves,0)))</f>
        <v>#N/A</v>
      </c>
      <c r="K162" s="201" t="e">
        <f aca="false">IF(A163="","",J162)</f>
        <v>#N/A</v>
      </c>
      <c r="L162" s="185" t="n">
        <v>0</v>
      </c>
      <c r="M162" s="201" t="n">
        <f aca="false">IF(A163="","",L162)</f>
        <v>0</v>
      </c>
      <c r="N162" s="203"/>
      <c r="O162" s="200" t="e">
        <f aca="false">IF(A163="","",L162+J162+G162)</f>
        <v>#N/A</v>
      </c>
      <c r="P162" s="200" t="e">
        <f aca="false">IF(A163="","",M162+K162+H162)</f>
        <v>#N/A</v>
      </c>
      <c r="Q162" s="204"/>
      <c r="R162" s="200" t="e">
        <f aca="false">IF($A163="","",VLOOKUP($A162,Table,MATCH(R$4,Curves,0)))</f>
        <v>#N/A</v>
      </c>
      <c r="S162" s="201" t="e">
        <f aca="false">IF(A163="","",R162)</f>
        <v>#N/A</v>
      </c>
      <c r="T162" s="200" t="e">
        <f aca="false">IF($A163="","",VLOOKUP($A162,Table,MATCH(T$4,Curves,0)))</f>
        <v>#N/A</v>
      </c>
      <c r="U162" s="201" t="e">
        <f aca="false">IF(A163="","",T162)</f>
        <v>#N/A</v>
      </c>
      <c r="V162" s="183" t="e">
        <f aca="false">IF($A163="","",IF(AND(MONTH(A162)&gt;3,MONTH(A162)&lt;11),(T162+R162+G162)*(((1/(1-Summary!$T$14))/(1-Summary!$W$14))-1),(T162+R162+G162)*((1/(1-Summary!$U$14))/(1-Summary!$X$14)-1)))</f>
        <v>#N/A</v>
      </c>
      <c r="W162" s="202" t="e">
        <f aca="false">IF($A163="","",(T162+R162+G162+V162))</f>
        <v>#N/A</v>
      </c>
      <c r="X162" s="202" t="e">
        <f aca="false">IF($A163="","",(U162+S162+H162+V162))</f>
        <v>#N/A</v>
      </c>
      <c r="Y162" s="202"/>
      <c r="Z162" s="185" t="e">
        <f aca="false">IF($A163="","",VLOOKUP($A162,Table,MATCH(Z$4,Curves,0)))</f>
        <v>#N/A</v>
      </c>
      <c r="AA162" s="185" t="e">
        <f aca="false">IF($A163="","",VLOOKUP($A162,Table,MATCH(AA$4,Curves,0)))</f>
        <v>#N/A</v>
      </c>
      <c r="AB162" s="185" t="e">
        <f aca="false">SQRT((AA162^2*(A162-$D$3)+Z162^2*(DAY(EOMONTH(A162,0))/2))/AK162)</f>
        <v>#N/A</v>
      </c>
      <c r="AC162" s="185" t="e">
        <f aca="false">IF($A163="","",VLOOKUP($A162,Table,MATCH(AC$4,Curves,0)))</f>
        <v>#N/A</v>
      </c>
      <c r="AD162" s="185" t="e">
        <f aca="false">IF($A163="","",VLOOKUP($A162,Table,MATCH(AD$4,Curves,0)))</f>
        <v>#N/A</v>
      </c>
      <c r="AE162" s="185" t="e">
        <f aca="false">SQRT((AD162^2*(A162-$D$3)+AC162^2*(DAY(EOMONTH(A162,0))/2))/AK162)</f>
        <v>#N/A</v>
      </c>
      <c r="AF162" s="224" t="e">
        <f aca="false">((Summary!$N$14*(AA162*AD162)*(A162-$D$3))+(Summary!$M$14*Z162*AC162*(AJ162-EOMONTH(EDATE(A162,-1),0))))/(AK162*AB162*AE162)</f>
        <v>#N/A</v>
      </c>
      <c r="AG162" s="207" t="n">
        <f aca="false">IF($A163="","",Summary!$Q$14)</f>
        <v>0</v>
      </c>
      <c r="AH162" s="207" t="n">
        <f aca="false">IF($A163="","",IF(Summary!$R$12="Y",(VLOOKUP($A162,Summary!$AD$6:$AF$9,3)+'Escalating commodity'!J175),'Escalating commodity'!J175))</f>
        <v>0.00628655883913434</v>
      </c>
      <c r="AI162" s="207" t="n">
        <f aca="false">IF($A163="","",AH162)</f>
        <v>0.00628655883913434</v>
      </c>
      <c r="AJ162" s="208" t="n">
        <f aca="false">A162+DAY(EOMONTH(A162,0))/2-1</f>
        <v>41684</v>
      </c>
      <c r="AK162" s="209" t="n">
        <f aca="false">IF($A163="","",$A162-$E$1)</f>
        <v>-4255</v>
      </c>
      <c r="AL162" s="182" t="e">
        <f aca="false">IF($A163="","",SPRDOPT(P162,X162,AI162,0,AB162,AE162,AF162,AK162,$AJ$2,0))</f>
        <v>#NAME?</v>
      </c>
      <c r="AM162" s="211" t="e">
        <f aca="false">IF($A163="","",MAX(0,O162-W162-AI162))</f>
        <v>#N/A</v>
      </c>
      <c r="AN162" s="211" t="e">
        <f aca="false">IF($A163="","",AL162-AM162)</f>
        <v>#N/A</v>
      </c>
      <c r="AO162" s="137" t="n">
        <f aca="false">IF(A163="","",A163-A162)</f>
        <v>28</v>
      </c>
      <c r="AP162" s="212" t="n">
        <f aca="false">IF(A163="","",CHOOSE(F$3,A163+24,A162))</f>
        <v>41671</v>
      </c>
      <c r="AQ162" s="209" t="n">
        <f aca="false">IF(A163="","",AP162-$E$1)</f>
        <v>-4255</v>
      </c>
      <c r="AR162" s="185" t="n">
        <f aca="false">'ANR OK vs ML7'!AR162</f>
        <v>0.1</v>
      </c>
      <c r="AS162" s="213" t="n">
        <f aca="false">IF(A163="","",1/(1+CHOOSE(F$3,(AR163+($I$3/10000))/2,(AR162+($I$3/10000))/2))^(2*AQ162/365.25))</f>
        <v>3.11667712919003</v>
      </c>
      <c r="AT162" s="137" t="n">
        <f aca="false">IF(A163="","",IF(AND(mthbeg&lt;=A162,mthend&gt;=A162),1,0))</f>
        <v>1</v>
      </c>
      <c r="AU162" s="137" t="n">
        <f aca="false">IF(A163="","",AO162*AT162)</f>
        <v>28</v>
      </c>
      <c r="AW162" s="195" t="e">
        <f aca="false">IF($A163="","",AL162*$E162)</f>
        <v>#NAME?</v>
      </c>
      <c r="AX162" s="195" t="e">
        <f aca="false">IF($A163="","",AM162*$E162)</f>
        <v>#N/A</v>
      </c>
      <c r="AY162" s="195" t="e">
        <f aca="false">IF($A163="","",AN162*$E162)</f>
        <v>#N/A</v>
      </c>
      <c r="BA162" s="195" t="n">
        <f aca="false">IF($A163="","",F162*Summary!$Q$14)</f>
        <v>0</v>
      </c>
      <c r="BC162" s="179" t="e">
        <f aca="false">IF(A163="","",AM162*F162)</f>
        <v>#N/A</v>
      </c>
    </row>
    <row r="163" customFormat="false" ht="12.75" hidden="false" customHeight="false" outlineLevel="0" collapsed="false">
      <c r="A163" s="196" t="n">
        <f aca="false">IF(A162&lt;mthend,EDATE(A162,1),"")</f>
        <v>41699</v>
      </c>
      <c r="B163" s="197" t="n">
        <f aca="false">IF(A163&lt;mthend,B162,"")</f>
        <v>28400</v>
      </c>
      <c r="C163" s="215"/>
      <c r="D163" s="197" t="n">
        <f aca="false">IF(A164&lt;&gt;"",B163+C163,"")</f>
        <v>28400</v>
      </c>
      <c r="E163" s="199" t="n">
        <f aca="false">IF(A164="","",IF(AND(AT163=1,$H$3=1),D163*AO163,IF($H$3=2,D163,"N/A")))</f>
        <v>880400</v>
      </c>
      <c r="F163" s="199" t="n">
        <f aca="false">IF(A164="","",E163*AS163)</f>
        <v>2723473.23850238</v>
      </c>
      <c r="G163" s="200" t="e">
        <f aca="false">IF($A164="","",VLOOKUP($A163,Table,MATCH(G$4,Curves,0)))</f>
        <v>#N/A</v>
      </c>
      <c r="H163" s="201" t="e">
        <f aca="false">IF(A164="","",G163)</f>
        <v>#N/A</v>
      </c>
      <c r="I163" s="202"/>
      <c r="J163" s="200" t="e">
        <f aca="false">IF($A164="","",VLOOKUP($A163,Table,MATCH(J$4,Curves,0)))</f>
        <v>#N/A</v>
      </c>
      <c r="K163" s="201" t="e">
        <f aca="false">IF(A164="","",J163)</f>
        <v>#N/A</v>
      </c>
      <c r="L163" s="185" t="n">
        <v>0</v>
      </c>
      <c r="M163" s="201" t="n">
        <f aca="false">IF(A164="","",L163)</f>
        <v>0</v>
      </c>
      <c r="N163" s="203"/>
      <c r="O163" s="200" t="e">
        <f aca="false">IF(A164="","",L163+J163+G163)</f>
        <v>#N/A</v>
      </c>
      <c r="P163" s="200" t="e">
        <f aca="false">IF(A164="","",M163+K163+H163)</f>
        <v>#N/A</v>
      </c>
      <c r="Q163" s="204"/>
      <c r="R163" s="200" t="e">
        <f aca="false">IF($A164="","",VLOOKUP($A163,Table,MATCH(R$4,Curves,0)))</f>
        <v>#N/A</v>
      </c>
      <c r="S163" s="201" t="e">
        <f aca="false">IF(A164="","",R163)</f>
        <v>#N/A</v>
      </c>
      <c r="T163" s="200" t="e">
        <f aca="false">IF($A164="","",VLOOKUP($A163,Table,MATCH(T$4,Curves,0)))</f>
        <v>#N/A</v>
      </c>
      <c r="U163" s="201" t="e">
        <f aca="false">IF(A164="","",T163)</f>
        <v>#N/A</v>
      </c>
      <c r="V163" s="183" t="e">
        <f aca="false">IF($A164="","",IF(AND(MONTH(A163)&gt;3,MONTH(A163)&lt;11),(T163+R163+G163)*(((1/(1-Summary!$T$14))/(1-Summary!$W$14))-1),(T163+R163+G163)*((1/(1-Summary!$U$14))/(1-Summary!$X$14)-1)))</f>
        <v>#N/A</v>
      </c>
      <c r="W163" s="202" t="e">
        <f aca="false">IF($A164="","",(T163+R163+G163+V163))</f>
        <v>#N/A</v>
      </c>
      <c r="X163" s="202" t="e">
        <f aca="false">IF($A164="","",(U163+S163+H163+V163))</f>
        <v>#N/A</v>
      </c>
      <c r="Y163" s="202"/>
      <c r="Z163" s="185" t="e">
        <f aca="false">IF($A164="","",VLOOKUP($A163,Table,MATCH(Z$4,Curves,0)))</f>
        <v>#N/A</v>
      </c>
      <c r="AA163" s="185" t="e">
        <f aca="false">IF($A164="","",VLOOKUP($A163,Table,MATCH(AA$4,Curves,0)))</f>
        <v>#N/A</v>
      </c>
      <c r="AB163" s="185" t="e">
        <f aca="false">SQRT((AA163^2*(A163-$D$3)+Z163^2*(DAY(EOMONTH(A163,0))/2))/AK163)</f>
        <v>#N/A</v>
      </c>
      <c r="AC163" s="185" t="e">
        <f aca="false">IF($A164="","",VLOOKUP($A163,Table,MATCH(AC$4,Curves,0)))</f>
        <v>#N/A</v>
      </c>
      <c r="AD163" s="185" t="e">
        <f aca="false">IF($A164="","",VLOOKUP($A163,Table,MATCH(AD$4,Curves,0)))</f>
        <v>#N/A</v>
      </c>
      <c r="AE163" s="185" t="e">
        <f aca="false">SQRT((AD163^2*(A163-$D$3)+AC163^2*(DAY(EOMONTH(A163,0))/2))/AK163)</f>
        <v>#N/A</v>
      </c>
      <c r="AF163" s="224" t="e">
        <f aca="false">((Summary!$N$14*(AA163*AD163)*(A163-$D$3))+(Summary!$M$14*Z163*AC163*(AJ163-EOMONTH(EDATE(A163,-1),0))))/(AK163*AB163*AE163)</f>
        <v>#N/A</v>
      </c>
      <c r="AG163" s="207" t="n">
        <f aca="false">IF($A164="","",Summary!$Q$14)</f>
        <v>0</v>
      </c>
      <c r="AH163" s="207" t="n">
        <f aca="false">IF($A164="","",IF(Summary!$R$12="Y",(VLOOKUP($A163,Summary!$AD$6:$AF$9,3)+'Escalating commodity'!J176),'Escalating commodity'!J176))</f>
        <v>0.00628655883913434</v>
      </c>
      <c r="AI163" s="207" t="n">
        <f aca="false">IF($A164="","",AH163)</f>
        <v>0.00628655883913434</v>
      </c>
      <c r="AJ163" s="208" t="n">
        <f aca="false">A163+DAY(EOMONTH(A163,0))/2-1</f>
        <v>41713.5</v>
      </c>
      <c r="AK163" s="209" t="n">
        <f aca="false">IF($A164="","",$A163-$E$1)</f>
        <v>-4227</v>
      </c>
      <c r="AL163" s="182" t="e">
        <f aca="false">IF($A164="","",SPRDOPT(P163,X163,AI163,0,AB163,AE163,AF163,AK163,$AJ$2,0))</f>
        <v>#NAME?</v>
      </c>
      <c r="AM163" s="211" t="e">
        <f aca="false">IF($A164="","",MAX(0,O163-W163-AI163))</f>
        <v>#N/A</v>
      </c>
      <c r="AN163" s="211" t="e">
        <f aca="false">IF($A164="","",AL163-AM163)</f>
        <v>#N/A</v>
      </c>
      <c r="AO163" s="137" t="n">
        <f aca="false">IF(A164="","",A164-A163)</f>
        <v>31</v>
      </c>
      <c r="AP163" s="212" t="n">
        <f aca="false">IF(A164="","",CHOOSE(F$3,A164+24,A163))</f>
        <v>41699</v>
      </c>
      <c r="AQ163" s="209" t="n">
        <f aca="false">IF(A164="","",AP163-$E$1)</f>
        <v>-4227</v>
      </c>
      <c r="AR163" s="185" t="n">
        <f aca="false">'ANR OK vs ML7'!AR163</f>
        <v>0.1</v>
      </c>
      <c r="AS163" s="213" t="n">
        <f aca="false">IF(A164="","",1/(1+CHOOSE(F$3,(AR164+($I$3/10000))/2,(AR163+($I$3/10000))/2))^(2*AQ163/365.25))</f>
        <v>3.0934498392803</v>
      </c>
      <c r="AT163" s="137" t="n">
        <f aca="false">IF(A164="","",IF(AND(mthbeg&lt;=A163,mthend&gt;=A163),1,0))</f>
        <v>1</v>
      </c>
      <c r="AU163" s="137" t="n">
        <f aca="false">IF(A164="","",AO163*AT163)</f>
        <v>31</v>
      </c>
      <c r="AW163" s="195" t="e">
        <f aca="false">IF($A164="","",AL163*$E163)</f>
        <v>#NAME?</v>
      </c>
      <c r="AX163" s="195" t="e">
        <f aca="false">IF($A164="","",AM163*$E163)</f>
        <v>#N/A</v>
      </c>
      <c r="AY163" s="195" t="e">
        <f aca="false">IF($A164="","",AN163*$E163)</f>
        <v>#N/A</v>
      </c>
      <c r="BA163" s="195" t="n">
        <f aca="false">IF($A164="","",F163*Summary!$Q$14)</f>
        <v>0</v>
      </c>
      <c r="BC163" s="179" t="e">
        <f aca="false">IF(A164="","",AM163*F163)</f>
        <v>#N/A</v>
      </c>
    </row>
    <row r="164" customFormat="false" ht="12.75" hidden="false" customHeight="false" outlineLevel="0" collapsed="false">
      <c r="A164" s="196" t="n">
        <f aca="false">IF(A163&lt;mthend,EDATE(A163,1),"")</f>
        <v>41730</v>
      </c>
      <c r="B164" s="197" t="n">
        <f aca="false">IF(A164&lt;mthend,B163,"")</f>
        <v>28400</v>
      </c>
      <c r="C164" s="215"/>
      <c r="D164" s="197" t="n">
        <f aca="false">IF(A165&lt;&gt;"",B164+C164,"")</f>
        <v>28400</v>
      </c>
      <c r="E164" s="199" t="n">
        <f aca="false">IF(A165="","",IF(AND(AT164=1,$H$3=1),D164*AO164,IF($H$3=2,D164,"N/A")))</f>
        <v>852000</v>
      </c>
      <c r="F164" s="199" t="n">
        <f aca="false">IF(A165="","",E164*AS164)</f>
        <v>2613881.27974356</v>
      </c>
      <c r="G164" s="200" t="e">
        <f aca="false">IF($A165="","",VLOOKUP($A164,Table,MATCH(G$4,Curves,0)))</f>
        <v>#N/A</v>
      </c>
      <c r="H164" s="201" t="e">
        <f aca="false">IF(A165="","",G164)</f>
        <v>#N/A</v>
      </c>
      <c r="I164" s="202"/>
      <c r="J164" s="200" t="e">
        <f aca="false">IF($A165="","",VLOOKUP($A164,Table,MATCH(J$4,Curves,0)))</f>
        <v>#N/A</v>
      </c>
      <c r="K164" s="201" t="e">
        <f aca="false">IF(A165="","",J164)</f>
        <v>#N/A</v>
      </c>
      <c r="L164" s="185" t="n">
        <v>0</v>
      </c>
      <c r="M164" s="201" t="n">
        <f aca="false">IF(A165="","",L164)</f>
        <v>0</v>
      </c>
      <c r="N164" s="203"/>
      <c r="O164" s="200" t="e">
        <f aca="false">IF(A165="","",L164+J164+G164)</f>
        <v>#N/A</v>
      </c>
      <c r="P164" s="200" t="e">
        <f aca="false">IF(A165="","",M164+K164+H164)</f>
        <v>#N/A</v>
      </c>
      <c r="Q164" s="204"/>
      <c r="R164" s="200" t="e">
        <f aca="false">IF($A165="","",VLOOKUP($A164,Table,MATCH(R$4,Curves,0)))</f>
        <v>#N/A</v>
      </c>
      <c r="S164" s="201" t="e">
        <f aca="false">IF(A165="","",R164)</f>
        <v>#N/A</v>
      </c>
      <c r="T164" s="200" t="e">
        <f aca="false">IF($A165="","",VLOOKUP($A164,Table,MATCH(T$4,Curves,0)))</f>
        <v>#N/A</v>
      </c>
      <c r="U164" s="201" t="e">
        <f aca="false">IF(A165="","",T164)</f>
        <v>#N/A</v>
      </c>
      <c r="V164" s="183" t="e">
        <f aca="false">IF($A165="","",IF(AND(MONTH(A164)&gt;3,MONTH(A164)&lt;11),(T164+R164+G164)*(((1/(1-Summary!$T$14))/(1-Summary!$W$14))-1),(T164+R164+G164)*((1/(1-Summary!$U$14))/(1-Summary!$X$14)-1)))</f>
        <v>#N/A</v>
      </c>
      <c r="W164" s="202" t="e">
        <f aca="false">IF($A165="","",(T164+R164+G164+V164))</f>
        <v>#N/A</v>
      </c>
      <c r="X164" s="202" t="e">
        <f aca="false">IF($A165="","",(U164+S164+H164+V164))</f>
        <v>#N/A</v>
      </c>
      <c r="Y164" s="202"/>
      <c r="Z164" s="185" t="e">
        <f aca="false">IF($A165="","",VLOOKUP($A164,Table,MATCH(Z$4,Curves,0)))</f>
        <v>#N/A</v>
      </c>
      <c r="AA164" s="185" t="e">
        <f aca="false">IF($A165="","",VLOOKUP($A164,Table,MATCH(AA$4,Curves,0)))</f>
        <v>#N/A</v>
      </c>
      <c r="AB164" s="185" t="e">
        <f aca="false">SQRT((AA164^2*(A164-$D$3)+Z164^2*(DAY(EOMONTH(A164,0))/2))/AK164)</f>
        <v>#N/A</v>
      </c>
      <c r="AC164" s="185" t="e">
        <f aca="false">IF($A165="","",VLOOKUP($A164,Table,MATCH(AC$4,Curves,0)))</f>
        <v>#N/A</v>
      </c>
      <c r="AD164" s="185" t="e">
        <f aca="false">IF($A165="","",VLOOKUP($A164,Table,MATCH(AD$4,Curves,0)))</f>
        <v>#N/A</v>
      </c>
      <c r="AE164" s="185" t="e">
        <f aca="false">SQRT((AD164^2*(A164-$D$3)+AC164^2*(DAY(EOMONTH(A164,0))/2))/AK164)</f>
        <v>#N/A</v>
      </c>
      <c r="AF164" s="224" t="e">
        <f aca="false">((Summary!$N$14*(AA164*AD164)*(A164-$D$3))+(Summary!$M$14*Z164*AC164*(AJ164-EOMONTH(EDATE(A164,-1),0))))/(AK164*AB164*AE164)</f>
        <v>#N/A</v>
      </c>
      <c r="AG164" s="207" t="n">
        <f aca="false">IF($A165="","",Summary!$Q$14)</f>
        <v>0</v>
      </c>
      <c r="AH164" s="207" t="n">
        <f aca="false">IF($A165="","",IF(Summary!$R$12="Y",(VLOOKUP($A164,Summary!$AD$6:$AF$9,3)+'Escalating commodity'!J177),'Escalating commodity'!J177))</f>
        <v>0.00628655883913434</v>
      </c>
      <c r="AI164" s="207" t="n">
        <f aca="false">IF($A165="","",AH164)</f>
        <v>0.00628655883913434</v>
      </c>
      <c r="AJ164" s="208" t="n">
        <f aca="false">A164+DAY(EOMONTH(A164,0))/2-1</f>
        <v>41744</v>
      </c>
      <c r="AK164" s="209" t="n">
        <f aca="false">IF($A165="","",$A164-$E$1)</f>
        <v>-4196</v>
      </c>
      <c r="AL164" s="182" t="e">
        <f aca="false">IF($A165="","",SPRDOPT(P164,X164,AI164,0,AB164,AE164,AF164,AK164,$AJ$2,0))</f>
        <v>#NAME?</v>
      </c>
      <c r="AM164" s="211" t="e">
        <f aca="false">IF($A165="","",MAX(0,O164-W164-AI164))</f>
        <v>#N/A</v>
      </c>
      <c r="AN164" s="211" t="e">
        <f aca="false">IF($A165="","",AL164-AM164)</f>
        <v>#N/A</v>
      </c>
      <c r="AO164" s="137" t="n">
        <f aca="false">IF(A165="","",A165-A164)</f>
        <v>30</v>
      </c>
      <c r="AP164" s="212" t="n">
        <f aca="false">IF(A165="","",CHOOSE(F$3,A165+24,A164))</f>
        <v>41730</v>
      </c>
      <c r="AQ164" s="209" t="n">
        <f aca="false">IF(A165="","",AP164-$E$1)</f>
        <v>-4196</v>
      </c>
      <c r="AR164" s="185" t="n">
        <f aca="false">'ANR OK vs ML7'!AR164</f>
        <v>0.1</v>
      </c>
      <c r="AS164" s="213" t="n">
        <f aca="false">IF(A165="","",1/(1+CHOOSE(F$3,(AR165+($I$3/10000))/2,(AR164+($I$3/10000))/2))^(2*AQ164/365.25))</f>
        <v>3.06793577434691</v>
      </c>
      <c r="AT164" s="137" t="n">
        <f aca="false">IF(A165="","",IF(AND(mthbeg&lt;=A164,mthend&gt;=A164),1,0))</f>
        <v>1</v>
      </c>
      <c r="AU164" s="137" t="n">
        <f aca="false">IF(A165="","",AO164*AT164)</f>
        <v>30</v>
      </c>
      <c r="AW164" s="195" t="e">
        <f aca="false">IF($A165="","",AL164*$E164)</f>
        <v>#NAME?</v>
      </c>
      <c r="AX164" s="195" t="e">
        <f aca="false">IF($A165="","",AM164*$E164)</f>
        <v>#N/A</v>
      </c>
      <c r="AY164" s="195" t="e">
        <f aca="false">IF($A165="","",AN164*$E164)</f>
        <v>#N/A</v>
      </c>
      <c r="BA164" s="195" t="n">
        <f aca="false">IF($A165="","",F164*Summary!$Q$14)</f>
        <v>0</v>
      </c>
      <c r="BC164" s="179" t="e">
        <f aca="false">IF(A165="","",AM164*F164)</f>
        <v>#N/A</v>
      </c>
    </row>
    <row r="165" customFormat="false" ht="12.75" hidden="false" customHeight="false" outlineLevel="0" collapsed="false">
      <c r="A165" s="196" t="n">
        <f aca="false">IF(A164&lt;mthend,EDATE(A164,1),"")</f>
        <v>41760</v>
      </c>
      <c r="B165" s="197" t="n">
        <f aca="false">IF(A165&lt;mthend,B164,"")</f>
        <v>28400</v>
      </c>
      <c r="C165" s="215"/>
      <c r="D165" s="197" t="n">
        <f aca="false">IF(A166&lt;&gt;"",B165+C165,"")</f>
        <v>28400</v>
      </c>
      <c r="E165" s="199" t="n">
        <f aca="false">IF(A166="","",IF(AND(AT165=1,$H$3=1),D165*AO165,IF($H$3=2,D165,"N/A")))</f>
        <v>880400</v>
      </c>
      <c r="F165" s="199" t="n">
        <f aca="false">IF(A166="","",E165*AS165)</f>
        <v>2679449.0862184</v>
      </c>
      <c r="G165" s="200" t="e">
        <f aca="false">IF($A166="","",VLOOKUP($A165,Table,MATCH(G$4,Curves,0)))</f>
        <v>#N/A</v>
      </c>
      <c r="H165" s="201" t="e">
        <f aca="false">IF(A166="","",G165)</f>
        <v>#N/A</v>
      </c>
      <c r="I165" s="202"/>
      <c r="J165" s="200" t="e">
        <f aca="false">IF($A166="","",VLOOKUP($A165,Table,MATCH(J$4,Curves,0)))</f>
        <v>#N/A</v>
      </c>
      <c r="K165" s="201" t="e">
        <f aca="false">IF(A166="","",J165)</f>
        <v>#N/A</v>
      </c>
      <c r="L165" s="185" t="n">
        <v>0</v>
      </c>
      <c r="M165" s="201" t="n">
        <f aca="false">IF(A166="","",L165)</f>
        <v>0</v>
      </c>
      <c r="N165" s="203"/>
      <c r="O165" s="200" t="e">
        <f aca="false">IF(A166="","",L165+J165+G165)</f>
        <v>#N/A</v>
      </c>
      <c r="P165" s="200" t="e">
        <f aca="false">IF(A166="","",M165+K165+H165)</f>
        <v>#N/A</v>
      </c>
      <c r="Q165" s="204"/>
      <c r="R165" s="200" t="e">
        <f aca="false">IF($A166="","",VLOOKUP($A165,Table,MATCH(R$4,Curves,0)))</f>
        <v>#N/A</v>
      </c>
      <c r="S165" s="201" t="e">
        <f aca="false">IF(A166="","",R165)</f>
        <v>#N/A</v>
      </c>
      <c r="T165" s="200" t="e">
        <f aca="false">IF($A166="","",VLOOKUP($A165,Table,MATCH(T$4,Curves,0)))</f>
        <v>#N/A</v>
      </c>
      <c r="U165" s="201" t="e">
        <f aca="false">IF(A166="","",T165)</f>
        <v>#N/A</v>
      </c>
      <c r="V165" s="183" t="e">
        <f aca="false">IF($A166="","",IF(AND(MONTH(A165)&gt;3,MONTH(A165)&lt;11),(T165+R165+G165)*(((1/(1-Summary!$T$14))/(1-Summary!$W$14))-1),(T165+R165+G165)*((1/(1-Summary!$U$14))/(1-Summary!$X$14)-1)))</f>
        <v>#N/A</v>
      </c>
      <c r="W165" s="202" t="e">
        <f aca="false">IF($A166="","",(T165+R165+G165+V165))</f>
        <v>#N/A</v>
      </c>
      <c r="X165" s="202" t="e">
        <f aca="false">IF($A166="","",(U165+S165+H165+V165))</f>
        <v>#N/A</v>
      </c>
      <c r="Y165" s="202"/>
      <c r="Z165" s="185" t="e">
        <f aca="false">IF($A166="","",VLOOKUP($A165,Table,MATCH(Z$4,Curves,0)))</f>
        <v>#N/A</v>
      </c>
      <c r="AA165" s="185" t="e">
        <f aca="false">IF($A166="","",VLOOKUP($A165,Table,MATCH(AA$4,Curves,0)))</f>
        <v>#N/A</v>
      </c>
      <c r="AB165" s="185" t="e">
        <f aca="false">SQRT((AA165^2*(A165-$D$3)+Z165^2*(DAY(EOMONTH(A165,0))/2))/AK165)</f>
        <v>#N/A</v>
      </c>
      <c r="AC165" s="185" t="e">
        <f aca="false">IF($A166="","",VLOOKUP($A165,Table,MATCH(AC$4,Curves,0)))</f>
        <v>#N/A</v>
      </c>
      <c r="AD165" s="185" t="e">
        <f aca="false">IF($A166="","",VLOOKUP($A165,Table,MATCH(AD$4,Curves,0)))</f>
        <v>#N/A</v>
      </c>
      <c r="AE165" s="185" t="e">
        <f aca="false">SQRT((AD165^2*(A165-$D$3)+AC165^2*(DAY(EOMONTH(A165,0))/2))/AK165)</f>
        <v>#N/A</v>
      </c>
      <c r="AF165" s="224" t="e">
        <f aca="false">((Summary!$N$14*(AA165*AD165)*(A165-$D$3))+(Summary!$M$14*Z165*AC165*(AJ165-EOMONTH(EDATE(A165,-1),0))))/(AK165*AB165*AE165)</f>
        <v>#N/A</v>
      </c>
      <c r="AG165" s="207" t="n">
        <f aca="false">IF($A166="","",Summary!$Q$14)</f>
        <v>0</v>
      </c>
      <c r="AH165" s="207" t="n">
        <f aca="false">IF($A166="","",IF(Summary!$R$12="Y",(VLOOKUP($A165,Summary!$AD$6:$AF$9,3)+'Escalating commodity'!J178),'Escalating commodity'!J178))</f>
        <v>0.00628655883913434</v>
      </c>
      <c r="AI165" s="207" t="n">
        <f aca="false">IF($A166="","",AH165)</f>
        <v>0.00628655883913434</v>
      </c>
      <c r="AJ165" s="208" t="n">
        <f aca="false">A165+DAY(EOMONTH(A165,0))/2-1</f>
        <v>41774.5</v>
      </c>
      <c r="AK165" s="209" t="n">
        <f aca="false">IF($A166="","",$A165-$E$1)</f>
        <v>-4166</v>
      </c>
      <c r="AL165" s="182" t="e">
        <f aca="false">IF($A166="","",SPRDOPT(P165,X165,AI165,0,AB165,AE165,AF165,AK165,$AJ$2,0))</f>
        <v>#NAME?</v>
      </c>
      <c r="AM165" s="211" t="e">
        <f aca="false">IF($A166="","",MAX(0,O165-W165-AI165))</f>
        <v>#N/A</v>
      </c>
      <c r="AN165" s="211" t="e">
        <f aca="false">IF($A166="","",AL165-AM165)</f>
        <v>#N/A</v>
      </c>
      <c r="AO165" s="137" t="n">
        <f aca="false">IF(A166="","",A166-A165)</f>
        <v>31</v>
      </c>
      <c r="AP165" s="212" t="n">
        <f aca="false">IF(A166="","",CHOOSE(F$3,A166+24,A165))</f>
        <v>41760</v>
      </c>
      <c r="AQ165" s="209" t="n">
        <f aca="false">IF(A166="","",AP165-$E$1)</f>
        <v>-4166</v>
      </c>
      <c r="AR165" s="185" t="n">
        <f aca="false">'ANR OK vs ML7'!AR165</f>
        <v>0.1</v>
      </c>
      <c r="AS165" s="213" t="n">
        <f aca="false">IF(A166="","",1/(1+CHOOSE(F$3,(AR166+($I$3/10000))/2,(AR165+($I$3/10000))/2))^(2*AQ165/365.25))</f>
        <v>3.04344512291958</v>
      </c>
      <c r="AT165" s="137" t="n">
        <f aca="false">IF(A166="","",IF(AND(mthbeg&lt;=A165,mthend&gt;=A165),1,0))</f>
        <v>1</v>
      </c>
      <c r="AU165" s="137" t="n">
        <f aca="false">IF(A166="","",AO165*AT165)</f>
        <v>31</v>
      </c>
      <c r="AW165" s="195" t="e">
        <f aca="false">IF($A166="","",AL165*$E165)</f>
        <v>#NAME?</v>
      </c>
      <c r="AX165" s="195" t="e">
        <f aca="false">IF($A166="","",AM165*$E165)</f>
        <v>#N/A</v>
      </c>
      <c r="AY165" s="195" t="e">
        <f aca="false">IF($A166="","",AN165*$E165)</f>
        <v>#N/A</v>
      </c>
      <c r="BA165" s="195" t="n">
        <f aca="false">IF($A166="","",F165*Summary!$Q$14)</f>
        <v>0</v>
      </c>
      <c r="BC165" s="179" t="e">
        <f aca="false">IF(A166="","",AM165*F165)</f>
        <v>#N/A</v>
      </c>
    </row>
    <row r="166" customFormat="false" ht="12.75" hidden="false" customHeight="false" outlineLevel="0" collapsed="false">
      <c r="A166" s="196" t="n">
        <f aca="false">IF(A165&lt;mthend,EDATE(A165,1),"")</f>
        <v>41791</v>
      </c>
      <c r="B166" s="197" t="n">
        <f aca="false">IF(A166&lt;mthend,B165,"")</f>
        <v>28400</v>
      </c>
      <c r="C166" s="215"/>
      <c r="D166" s="197" t="n">
        <f aca="false">IF(A167&lt;&gt;"",B166+C166,"")</f>
        <v>28400</v>
      </c>
      <c r="E166" s="199" t="n">
        <f aca="false">IF(A167="","",IF(AND(AT166=1,$H$3=1),D166*AO166,IF($H$3=2,D166,"N/A")))</f>
        <v>852000</v>
      </c>
      <c r="F166" s="199" t="n">
        <f aca="false">IF(A167="","",E166*AS166)</f>
        <v>2571628.64957821</v>
      </c>
      <c r="G166" s="200" t="e">
        <f aca="false">IF($A167="","",VLOOKUP($A166,Table,MATCH(G$4,Curves,0)))</f>
        <v>#N/A</v>
      </c>
      <c r="H166" s="201" t="e">
        <f aca="false">IF(A167="","",G166)</f>
        <v>#N/A</v>
      </c>
      <c r="I166" s="202"/>
      <c r="J166" s="200" t="e">
        <f aca="false">IF($A167="","",VLOOKUP($A166,Table,MATCH(J$4,Curves,0)))</f>
        <v>#N/A</v>
      </c>
      <c r="K166" s="201" t="e">
        <f aca="false">IF(A167="","",J166)</f>
        <v>#N/A</v>
      </c>
      <c r="L166" s="185" t="n">
        <v>0</v>
      </c>
      <c r="M166" s="201" t="n">
        <f aca="false">IF(A167="","",L166)</f>
        <v>0</v>
      </c>
      <c r="N166" s="203"/>
      <c r="O166" s="200" t="e">
        <f aca="false">IF(A167="","",L166+J166+G166)</f>
        <v>#N/A</v>
      </c>
      <c r="P166" s="200" t="e">
        <f aca="false">IF(A167="","",M166+K166+H166)</f>
        <v>#N/A</v>
      </c>
      <c r="Q166" s="204"/>
      <c r="R166" s="200" t="e">
        <f aca="false">IF($A167="","",VLOOKUP($A166,Table,MATCH(R$4,Curves,0)))</f>
        <v>#N/A</v>
      </c>
      <c r="S166" s="201" t="e">
        <f aca="false">IF(A167="","",R166)</f>
        <v>#N/A</v>
      </c>
      <c r="T166" s="200" t="e">
        <f aca="false">IF($A167="","",VLOOKUP($A166,Table,MATCH(T$4,Curves,0)))</f>
        <v>#N/A</v>
      </c>
      <c r="U166" s="201" t="e">
        <f aca="false">IF(A167="","",T166)</f>
        <v>#N/A</v>
      </c>
      <c r="V166" s="183" t="e">
        <f aca="false">IF($A167="","",IF(AND(MONTH(A166)&gt;3,MONTH(A166)&lt;11),(T166+R166+G166)*(((1/(1-Summary!$T$14))/(1-Summary!$W$14))-1),(T166+R166+G166)*((1/(1-Summary!$U$14))/(1-Summary!$X$14)-1)))</f>
        <v>#N/A</v>
      </c>
      <c r="W166" s="202" t="e">
        <f aca="false">IF($A167="","",(T166+R166+G166+V166))</f>
        <v>#N/A</v>
      </c>
      <c r="X166" s="202" t="e">
        <f aca="false">IF($A167="","",(U166+S166+H166+V166))</f>
        <v>#N/A</v>
      </c>
      <c r="Y166" s="202"/>
      <c r="Z166" s="185" t="e">
        <f aca="false">IF($A167="","",VLOOKUP($A166,Table,MATCH(Z$4,Curves,0)))</f>
        <v>#N/A</v>
      </c>
      <c r="AA166" s="185" t="e">
        <f aca="false">IF($A167="","",VLOOKUP($A166,Table,MATCH(AA$4,Curves,0)))</f>
        <v>#N/A</v>
      </c>
      <c r="AB166" s="185" t="e">
        <f aca="false">SQRT((AA166^2*(A166-$D$3)+Z166^2*(DAY(EOMONTH(A166,0))/2))/AK166)</f>
        <v>#N/A</v>
      </c>
      <c r="AC166" s="185" t="e">
        <f aca="false">IF($A167="","",VLOOKUP($A166,Table,MATCH(AC$4,Curves,0)))</f>
        <v>#N/A</v>
      </c>
      <c r="AD166" s="185" t="e">
        <f aca="false">IF($A167="","",VLOOKUP($A166,Table,MATCH(AD$4,Curves,0)))</f>
        <v>#N/A</v>
      </c>
      <c r="AE166" s="185" t="e">
        <f aca="false">SQRT((AD166^2*(A166-$D$3)+AC166^2*(DAY(EOMONTH(A166,0))/2))/AK166)</f>
        <v>#N/A</v>
      </c>
      <c r="AF166" s="224" t="e">
        <f aca="false">((Summary!$N$14*(AA166*AD166)*(A166-$D$3))+(Summary!$M$14*Z166*AC166*(AJ166-EOMONTH(EDATE(A166,-1),0))))/(AK166*AB166*AE166)</f>
        <v>#N/A</v>
      </c>
      <c r="AG166" s="207" t="n">
        <f aca="false">IF($A167="","",Summary!$Q$14)</f>
        <v>0</v>
      </c>
      <c r="AH166" s="207" t="n">
        <f aca="false">IF($A167="","",IF(Summary!$R$12="Y",(VLOOKUP($A166,Summary!$AD$6:$AF$9,3)+'Escalating commodity'!J179),'Escalating commodity'!J179))</f>
        <v>0.00628655883913434</v>
      </c>
      <c r="AI166" s="207" t="n">
        <f aca="false">IF($A167="","",AH166)</f>
        <v>0.00628655883913434</v>
      </c>
      <c r="AJ166" s="208" t="n">
        <f aca="false">A166+DAY(EOMONTH(A166,0))/2-1</f>
        <v>41805</v>
      </c>
      <c r="AK166" s="209" t="n">
        <f aca="false">IF($A167="","",$A166-$E$1)</f>
        <v>-4135</v>
      </c>
      <c r="AL166" s="182" t="e">
        <f aca="false">IF($A167="","",SPRDOPT(P166,X166,AI166,0,AB166,AE166,AF166,AK166,$AJ$2,0))</f>
        <v>#NAME?</v>
      </c>
      <c r="AM166" s="211" t="e">
        <f aca="false">IF($A167="","",MAX(0,O166-W166-AI166))</f>
        <v>#N/A</v>
      </c>
      <c r="AN166" s="211" t="e">
        <f aca="false">IF($A167="","",AL166-AM166)</f>
        <v>#N/A</v>
      </c>
      <c r="AO166" s="137" t="n">
        <f aca="false">IF(A167="","",A167-A166)</f>
        <v>30</v>
      </c>
      <c r="AP166" s="212" t="n">
        <f aca="false">IF(A167="","",CHOOSE(F$3,A167+24,A166))</f>
        <v>41791</v>
      </c>
      <c r="AQ166" s="209" t="n">
        <f aca="false">IF(A167="","",AP166-$E$1)</f>
        <v>-4135</v>
      </c>
      <c r="AR166" s="185" t="n">
        <f aca="false">'ANR OK vs ML7'!AR166</f>
        <v>0.1</v>
      </c>
      <c r="AS166" s="213" t="n">
        <f aca="false">IF(A167="","",1/(1+CHOOSE(F$3,(AR167+($I$3/10000))/2,(AR166+($I$3/10000))/2))^(2*AQ166/365.25))</f>
        <v>3.01834348542044</v>
      </c>
      <c r="AT166" s="137" t="n">
        <f aca="false">IF(A167="","",IF(AND(mthbeg&lt;=A166,mthend&gt;=A166),1,0))</f>
        <v>1</v>
      </c>
      <c r="AU166" s="137" t="n">
        <f aca="false">IF(A167="","",AO166*AT166)</f>
        <v>30</v>
      </c>
      <c r="AW166" s="195" t="e">
        <f aca="false">IF($A167="","",AL166*$E166)</f>
        <v>#NAME?</v>
      </c>
      <c r="AX166" s="195" t="e">
        <f aca="false">IF($A167="","",AM166*$E166)</f>
        <v>#N/A</v>
      </c>
      <c r="AY166" s="195" t="e">
        <f aca="false">IF($A167="","",AN166*$E166)</f>
        <v>#N/A</v>
      </c>
      <c r="BA166" s="195" t="n">
        <f aca="false">IF($A167="","",F166*Summary!$Q$14)</f>
        <v>0</v>
      </c>
      <c r="BC166" s="179" t="e">
        <f aca="false">IF(A167="","",AM166*F166)</f>
        <v>#N/A</v>
      </c>
    </row>
    <row r="167" customFormat="false" ht="12.75" hidden="false" customHeight="false" outlineLevel="0" collapsed="false">
      <c r="A167" s="196" t="n">
        <f aca="false">IF(A166&lt;mthend,EDATE(A166,1),"")</f>
        <v>41821</v>
      </c>
      <c r="B167" s="197" t="n">
        <f aca="false">IF(A167&lt;mthend,B166,"")</f>
        <v>28400</v>
      </c>
      <c r="C167" s="215"/>
      <c r="D167" s="197" t="n">
        <f aca="false">IF(A168&lt;&gt;"",B167+C167,"")</f>
        <v>28400</v>
      </c>
      <c r="E167" s="199" t="n">
        <f aca="false">IF(A168="","",IF(AND(AT167=1,$H$3=1),D167*AO167,IF($H$3=2,D167,"N/A")))</f>
        <v>880400</v>
      </c>
      <c r="F167" s="199" t="n">
        <f aca="false">IF(A168="","",E167*AS167)</f>
        <v>2636136.57154368</v>
      </c>
      <c r="G167" s="200" t="e">
        <f aca="false">IF($A168="","",VLOOKUP($A167,Table,MATCH(G$4,Curves,0)))</f>
        <v>#N/A</v>
      </c>
      <c r="H167" s="201" t="e">
        <f aca="false">IF(A168="","",G167)</f>
        <v>#N/A</v>
      </c>
      <c r="I167" s="202"/>
      <c r="J167" s="200" t="e">
        <f aca="false">IF($A168="","",VLOOKUP($A167,Table,MATCH(J$4,Curves,0)))</f>
        <v>#N/A</v>
      </c>
      <c r="K167" s="201" t="e">
        <f aca="false">IF(A168="","",J167)</f>
        <v>#N/A</v>
      </c>
      <c r="L167" s="185" t="n">
        <v>0</v>
      </c>
      <c r="M167" s="201" t="n">
        <f aca="false">IF(A168="","",L167)</f>
        <v>0</v>
      </c>
      <c r="N167" s="203"/>
      <c r="O167" s="200" t="e">
        <f aca="false">IF(A168="","",L167+J167+G167)</f>
        <v>#N/A</v>
      </c>
      <c r="P167" s="200" t="e">
        <f aca="false">IF(A168="","",M167+K167+H167)</f>
        <v>#N/A</v>
      </c>
      <c r="Q167" s="204"/>
      <c r="R167" s="200" t="e">
        <f aca="false">IF($A168="","",VLOOKUP($A167,Table,MATCH(R$4,Curves,0)))</f>
        <v>#N/A</v>
      </c>
      <c r="S167" s="201" t="e">
        <f aca="false">IF(A168="","",R167)</f>
        <v>#N/A</v>
      </c>
      <c r="T167" s="200" t="e">
        <f aca="false">IF($A168="","",VLOOKUP($A167,Table,MATCH(T$4,Curves,0)))</f>
        <v>#N/A</v>
      </c>
      <c r="U167" s="201" t="e">
        <f aca="false">IF(A168="","",T167)</f>
        <v>#N/A</v>
      </c>
      <c r="V167" s="183" t="e">
        <f aca="false">IF($A168="","",IF(AND(MONTH(A167)&gt;3,MONTH(A167)&lt;11),(T167+R167+G167)*(((1/(1-Summary!$T$14))/(1-Summary!$W$14))-1),(T167+R167+G167)*((1/(1-Summary!$U$14))/(1-Summary!$X$14)-1)))</f>
        <v>#N/A</v>
      </c>
      <c r="W167" s="202" t="e">
        <f aca="false">IF($A168="","",(T167+R167+G167+V167))</f>
        <v>#N/A</v>
      </c>
      <c r="X167" s="202" t="e">
        <f aca="false">IF($A168="","",(U167+S167+H167+V167))</f>
        <v>#N/A</v>
      </c>
      <c r="Y167" s="202"/>
      <c r="Z167" s="185" t="e">
        <f aca="false">IF($A168="","",VLOOKUP($A167,Table,MATCH(Z$4,Curves,0)))</f>
        <v>#N/A</v>
      </c>
      <c r="AA167" s="185" t="e">
        <f aca="false">IF($A168="","",VLOOKUP($A167,Table,MATCH(AA$4,Curves,0)))</f>
        <v>#N/A</v>
      </c>
      <c r="AB167" s="185" t="e">
        <f aca="false">SQRT((AA167^2*(A167-$D$3)+Z167^2*(DAY(EOMONTH(A167,0))/2))/AK167)</f>
        <v>#N/A</v>
      </c>
      <c r="AC167" s="185" t="e">
        <f aca="false">IF($A168="","",VLOOKUP($A167,Table,MATCH(AC$4,Curves,0)))</f>
        <v>#N/A</v>
      </c>
      <c r="AD167" s="185" t="e">
        <f aca="false">IF($A168="","",VLOOKUP($A167,Table,MATCH(AD$4,Curves,0)))</f>
        <v>#N/A</v>
      </c>
      <c r="AE167" s="185" t="e">
        <f aca="false">SQRT((AD167^2*(A167-$D$3)+AC167^2*(DAY(EOMONTH(A167,0))/2))/AK167)</f>
        <v>#N/A</v>
      </c>
      <c r="AF167" s="224" t="e">
        <f aca="false">((Summary!$N$14*(AA167*AD167)*(A167-$D$3))+(Summary!$M$14*Z167*AC167*(AJ167-EOMONTH(EDATE(A167,-1),0))))/(AK167*AB167*AE167)</f>
        <v>#N/A</v>
      </c>
      <c r="AG167" s="207" t="n">
        <f aca="false">IF($A168="","",Summary!$Q$14)</f>
        <v>0</v>
      </c>
      <c r="AH167" s="207" t="n">
        <f aca="false">IF($A168="","",IF(Summary!$R$12="Y",(VLOOKUP($A167,Summary!$AD$6:$AF$9,3)+'Escalating commodity'!J180),'Escalating commodity'!J180))</f>
        <v>0.00628655883913434</v>
      </c>
      <c r="AI167" s="207" t="n">
        <f aca="false">IF($A168="","",AH167)</f>
        <v>0.00628655883913434</v>
      </c>
      <c r="AJ167" s="208" t="n">
        <f aca="false">A167+DAY(EOMONTH(A167,0))/2-1</f>
        <v>41835.5</v>
      </c>
      <c r="AK167" s="209" t="n">
        <f aca="false">IF($A168="","",$A167-$E$1)</f>
        <v>-4105</v>
      </c>
      <c r="AL167" s="182" t="e">
        <f aca="false">IF($A168="","",SPRDOPT(P167,X167,AI167,0,AB167,AE167,AF167,AK167,$AJ$2,0))</f>
        <v>#NAME?</v>
      </c>
      <c r="AM167" s="211" t="e">
        <f aca="false">IF($A168="","",MAX(0,O167-W167-AI167))</f>
        <v>#N/A</v>
      </c>
      <c r="AN167" s="211" t="e">
        <f aca="false">IF($A168="","",AL167-AM167)</f>
        <v>#N/A</v>
      </c>
      <c r="AO167" s="137" t="n">
        <f aca="false">IF(A168="","",A168-A167)</f>
        <v>31</v>
      </c>
      <c r="AP167" s="212" t="n">
        <f aca="false">IF(A168="","",CHOOSE(F$3,A168+24,A167))</f>
        <v>41821</v>
      </c>
      <c r="AQ167" s="209" t="n">
        <f aca="false">IF(A168="","",AP167-$E$1)</f>
        <v>-4105</v>
      </c>
      <c r="AR167" s="185" t="n">
        <f aca="false">'ANR OK vs ML7'!AR167</f>
        <v>0.1</v>
      </c>
      <c r="AS167" s="213" t="n">
        <f aca="false">IF(A168="","",1/(1+CHOOSE(F$3,(AR168+($I$3/10000))/2,(AR167+($I$3/10000))/2))^(2*AQ167/365.25))</f>
        <v>2.99424871824588</v>
      </c>
      <c r="AT167" s="137" t="n">
        <f aca="false">IF(A168="","",IF(AND(mthbeg&lt;=A167,mthend&gt;=A167),1,0))</f>
        <v>1</v>
      </c>
      <c r="AU167" s="137" t="n">
        <f aca="false">IF(A168="","",AO167*AT167)</f>
        <v>31</v>
      </c>
      <c r="AW167" s="195" t="e">
        <f aca="false">IF($A168="","",AL167*$E167)</f>
        <v>#NAME?</v>
      </c>
      <c r="AX167" s="195" t="e">
        <f aca="false">IF($A168="","",AM167*$E167)</f>
        <v>#N/A</v>
      </c>
      <c r="AY167" s="195" t="e">
        <f aca="false">IF($A168="","",AN167*$E167)</f>
        <v>#N/A</v>
      </c>
      <c r="BA167" s="195" t="n">
        <f aca="false">IF($A168="","",F167*Summary!$Q$14)</f>
        <v>0</v>
      </c>
      <c r="BC167" s="179" t="e">
        <f aca="false">IF(A168="","",AM167*F167)</f>
        <v>#N/A</v>
      </c>
    </row>
    <row r="168" customFormat="false" ht="12.75" hidden="false" customHeight="false" outlineLevel="0" collapsed="false">
      <c r="A168" s="196" t="n">
        <f aca="false">IF(A167&lt;mthend,EDATE(A167,1),"")</f>
        <v>41852</v>
      </c>
      <c r="B168" s="197" t="n">
        <f aca="false">IF(A168&lt;mthend,B167,"")</f>
        <v>28400</v>
      </c>
      <c r="C168" s="215"/>
      <c r="D168" s="197" t="n">
        <f aca="false">IF(A169&lt;&gt;"",B168+C168,"")</f>
        <v>28400</v>
      </c>
      <c r="E168" s="199" t="n">
        <f aca="false">IF(A169="","",IF(AND(AT168=1,$H$3=1),D168*AO168,IF($H$3=2,D168,"N/A")))</f>
        <v>880400</v>
      </c>
      <c r="F168" s="199" t="n">
        <f aca="false">IF(A169="","",E168*AS168)</f>
        <v>2614394.32157873</v>
      </c>
      <c r="G168" s="200" t="e">
        <f aca="false">IF($A169="","",VLOOKUP($A168,Table,MATCH(G$4,Curves,0)))</f>
        <v>#N/A</v>
      </c>
      <c r="H168" s="201" t="e">
        <f aca="false">IF(A169="","",G168)</f>
        <v>#N/A</v>
      </c>
      <c r="I168" s="202"/>
      <c r="J168" s="200" t="e">
        <f aca="false">IF($A169="","",VLOOKUP($A168,Table,MATCH(J$4,Curves,0)))</f>
        <v>#N/A</v>
      </c>
      <c r="K168" s="201" t="e">
        <f aca="false">IF(A169="","",J168)</f>
        <v>#N/A</v>
      </c>
      <c r="L168" s="185" t="n">
        <v>0</v>
      </c>
      <c r="M168" s="201" t="n">
        <f aca="false">IF(A169="","",L168)</f>
        <v>0</v>
      </c>
      <c r="N168" s="203"/>
      <c r="O168" s="200" t="e">
        <f aca="false">IF(A169="","",L168+J168+G168)</f>
        <v>#N/A</v>
      </c>
      <c r="P168" s="200" t="e">
        <f aca="false">IF(A169="","",M168+K168+H168)</f>
        <v>#N/A</v>
      </c>
      <c r="Q168" s="204"/>
      <c r="R168" s="200" t="e">
        <f aca="false">IF($A169="","",VLOOKUP($A168,Table,MATCH(R$4,Curves,0)))</f>
        <v>#N/A</v>
      </c>
      <c r="S168" s="201" t="e">
        <f aca="false">IF(A169="","",R168)</f>
        <v>#N/A</v>
      </c>
      <c r="T168" s="200" t="e">
        <f aca="false">IF($A169="","",VLOOKUP($A168,Table,MATCH(T$4,Curves,0)))</f>
        <v>#N/A</v>
      </c>
      <c r="U168" s="201" t="e">
        <f aca="false">IF(A169="","",T168)</f>
        <v>#N/A</v>
      </c>
      <c r="V168" s="183" t="e">
        <f aca="false">IF($A169="","",IF(AND(MONTH(A168)&gt;3,MONTH(A168)&lt;11),(T168+R168+G168)*(((1/(1-Summary!$T$14))/(1-Summary!$W$14))-1),(T168+R168+G168)*((1/(1-Summary!$U$14))/(1-Summary!$X$14)-1)))</f>
        <v>#N/A</v>
      </c>
      <c r="W168" s="202" t="e">
        <f aca="false">IF($A169="","",(T168+R168+G168+V168))</f>
        <v>#N/A</v>
      </c>
      <c r="X168" s="202" t="e">
        <f aca="false">IF($A169="","",(U168+S168+H168+V168))</f>
        <v>#N/A</v>
      </c>
      <c r="Y168" s="202"/>
      <c r="Z168" s="185" t="e">
        <f aca="false">IF($A169="","",VLOOKUP($A168,Table,MATCH(Z$4,Curves,0)))</f>
        <v>#N/A</v>
      </c>
      <c r="AA168" s="185" t="e">
        <f aca="false">IF($A169="","",VLOOKUP($A168,Table,MATCH(AA$4,Curves,0)))</f>
        <v>#N/A</v>
      </c>
      <c r="AB168" s="185" t="e">
        <f aca="false">SQRT((AA168^2*(A168-$D$3)+Z168^2*(DAY(EOMONTH(A168,0))/2))/AK168)</f>
        <v>#N/A</v>
      </c>
      <c r="AC168" s="185" t="e">
        <f aca="false">IF($A169="","",VLOOKUP($A168,Table,MATCH(AC$4,Curves,0)))</f>
        <v>#N/A</v>
      </c>
      <c r="AD168" s="185" t="e">
        <f aca="false">IF($A169="","",VLOOKUP($A168,Table,MATCH(AD$4,Curves,0)))</f>
        <v>#N/A</v>
      </c>
      <c r="AE168" s="185" t="e">
        <f aca="false">SQRT((AD168^2*(A168-$D$3)+AC168^2*(DAY(EOMONTH(A168,0))/2))/AK168)</f>
        <v>#N/A</v>
      </c>
      <c r="AF168" s="224" t="e">
        <f aca="false">((Summary!$N$14*(AA168*AD168)*(A168-$D$3))+(Summary!$M$14*Z168*AC168*(AJ168-EOMONTH(EDATE(A168,-1),0))))/(AK168*AB168*AE168)</f>
        <v>#N/A</v>
      </c>
      <c r="AG168" s="207" t="n">
        <f aca="false">IF($A169="","",Summary!$Q$14)</f>
        <v>0</v>
      </c>
      <c r="AH168" s="207" t="n">
        <f aca="false">IF($A169="","",IF(Summary!$R$12="Y",(VLOOKUP($A168,Summary!$AD$6:$AF$9,3)+'Escalating commodity'!J181),'Escalating commodity'!J181))</f>
        <v>0.00628655883913434</v>
      </c>
      <c r="AI168" s="207" t="n">
        <f aca="false">IF($A169="","",AH168)</f>
        <v>0.00628655883913434</v>
      </c>
      <c r="AJ168" s="208" t="n">
        <f aca="false">A168+DAY(EOMONTH(A168,0))/2-1</f>
        <v>41866.5</v>
      </c>
      <c r="AK168" s="209" t="n">
        <f aca="false">IF($A169="","",$A168-$E$1)</f>
        <v>-4074</v>
      </c>
      <c r="AL168" s="182" t="e">
        <f aca="false">IF($A169="","",SPRDOPT(P168,X168,AI168,0,AB168,AE168,AF168,AK168,$AJ$2,0))</f>
        <v>#NAME?</v>
      </c>
      <c r="AM168" s="211" t="e">
        <f aca="false">IF($A169="","",MAX(0,O168-W168-AI168))</f>
        <v>#N/A</v>
      </c>
      <c r="AN168" s="211" t="e">
        <f aca="false">IF($A169="","",AL168-AM168)</f>
        <v>#N/A</v>
      </c>
      <c r="AO168" s="137" t="n">
        <f aca="false">IF(A169="","",A169-A168)</f>
        <v>31</v>
      </c>
      <c r="AP168" s="212" t="n">
        <f aca="false">IF(A169="","",CHOOSE(F$3,A169+24,A168))</f>
        <v>41852</v>
      </c>
      <c r="AQ168" s="209" t="n">
        <f aca="false">IF(A169="","",AP168-$E$1)</f>
        <v>-4074</v>
      </c>
      <c r="AR168" s="185" t="n">
        <f aca="false">'ANR OK vs ML7'!AR168</f>
        <v>0.1</v>
      </c>
      <c r="AS168" s="213" t="n">
        <f aca="false">IF(A169="","",1/(1+CHOOSE(F$3,(AR169+($I$3/10000))/2,(AR168+($I$3/10000))/2))^(2*AQ168/365.25))</f>
        <v>2.96955284141155</v>
      </c>
      <c r="AT168" s="137" t="n">
        <f aca="false">IF(A169="","",IF(AND(mthbeg&lt;=A168,mthend&gt;=A168),1,0))</f>
        <v>1</v>
      </c>
      <c r="AU168" s="137" t="n">
        <f aca="false">IF(A169="","",AO168*AT168)</f>
        <v>31</v>
      </c>
      <c r="AW168" s="195" t="e">
        <f aca="false">IF($A169="","",AL168*$E168)</f>
        <v>#NAME?</v>
      </c>
      <c r="AX168" s="195" t="e">
        <f aca="false">IF($A169="","",AM168*$E168)</f>
        <v>#N/A</v>
      </c>
      <c r="AY168" s="195" t="e">
        <f aca="false">IF($A169="","",AN168*$E168)</f>
        <v>#N/A</v>
      </c>
      <c r="BA168" s="195" t="n">
        <f aca="false">IF($A169="","",F168*Summary!$Q$14)</f>
        <v>0</v>
      </c>
      <c r="BC168" s="179" t="e">
        <f aca="false">IF(A169="","",AM168*F168)</f>
        <v>#N/A</v>
      </c>
    </row>
    <row r="169" customFormat="false" ht="12.75" hidden="false" customHeight="false" outlineLevel="0" collapsed="false">
      <c r="A169" s="196" t="n">
        <f aca="false">IF(A168&lt;mthend,EDATE(A168,1),"")</f>
        <v>41883</v>
      </c>
      <c r="B169" s="197" t="n">
        <f aca="false">IF(A169&lt;mthend,B168,"")</f>
        <v>28400</v>
      </c>
      <c r="C169" s="215"/>
      <c r="D169" s="197" t="n">
        <f aca="false">IF(A170&lt;&gt;"",B169+C169,"")</f>
        <v>28400</v>
      </c>
      <c r="E169" s="199" t="n">
        <f aca="false">IF(A170="","",IF(AND(AT169=1,$H$3=1),D169*AO169,IF($H$3=2,D169,"N/A")))</f>
        <v>852000</v>
      </c>
      <c r="F169" s="199" t="n">
        <f aca="false">IF(A170="","",E169*AS169)</f>
        <v>2509191.67423152</v>
      </c>
      <c r="G169" s="200" t="e">
        <f aca="false">IF($A170="","",VLOOKUP($A169,Table,MATCH(G$4,Curves,0)))</f>
        <v>#N/A</v>
      </c>
      <c r="H169" s="201" t="e">
        <f aca="false">IF(A170="","",G169)</f>
        <v>#N/A</v>
      </c>
      <c r="I169" s="202"/>
      <c r="J169" s="200" t="e">
        <f aca="false">IF($A170="","",VLOOKUP($A169,Table,MATCH(J$4,Curves,0)))</f>
        <v>#N/A</v>
      </c>
      <c r="K169" s="201" t="e">
        <f aca="false">IF(A170="","",J169)</f>
        <v>#N/A</v>
      </c>
      <c r="L169" s="185" t="n">
        <v>0</v>
      </c>
      <c r="M169" s="201" t="n">
        <f aca="false">IF(A170="","",L169)</f>
        <v>0</v>
      </c>
      <c r="N169" s="203"/>
      <c r="O169" s="200" t="e">
        <f aca="false">IF(A170="","",L169+J169+G169)</f>
        <v>#N/A</v>
      </c>
      <c r="P169" s="200" t="e">
        <f aca="false">IF(A170="","",M169+K169+H169)</f>
        <v>#N/A</v>
      </c>
      <c r="Q169" s="204"/>
      <c r="R169" s="200" t="e">
        <f aca="false">IF($A170="","",VLOOKUP($A169,Table,MATCH(R$4,Curves,0)))</f>
        <v>#N/A</v>
      </c>
      <c r="S169" s="201" t="e">
        <f aca="false">IF(A170="","",R169)</f>
        <v>#N/A</v>
      </c>
      <c r="T169" s="200" t="e">
        <f aca="false">IF($A170="","",VLOOKUP($A169,Table,MATCH(T$4,Curves,0)))</f>
        <v>#N/A</v>
      </c>
      <c r="U169" s="201" t="e">
        <f aca="false">IF(A170="","",T169)</f>
        <v>#N/A</v>
      </c>
      <c r="V169" s="183" t="e">
        <f aca="false">IF($A170="","",IF(AND(MONTH(A169)&gt;3,MONTH(A169)&lt;11),(T169+R169+G169)*(((1/(1-Summary!$T$14))/(1-Summary!$W$14))-1),(T169+R169+G169)*((1/(1-Summary!$U$14))/(1-Summary!$X$14)-1)))</f>
        <v>#N/A</v>
      </c>
      <c r="W169" s="202" t="e">
        <f aca="false">IF($A170="","",(T169+R169+G169+V169))</f>
        <v>#N/A</v>
      </c>
      <c r="X169" s="202" t="e">
        <f aca="false">IF($A170="","",(U169+S169+H169+V169))</f>
        <v>#N/A</v>
      </c>
      <c r="Y169" s="202"/>
      <c r="Z169" s="185" t="e">
        <f aca="false">IF($A170="","",VLOOKUP($A169,Table,MATCH(Z$4,Curves,0)))</f>
        <v>#N/A</v>
      </c>
      <c r="AA169" s="185" t="e">
        <f aca="false">IF($A170="","",VLOOKUP($A169,Table,MATCH(AA$4,Curves,0)))</f>
        <v>#N/A</v>
      </c>
      <c r="AB169" s="185" t="e">
        <f aca="false">SQRT((AA169^2*(A169-$D$3)+Z169^2*(DAY(EOMONTH(A169,0))/2))/AK169)</f>
        <v>#N/A</v>
      </c>
      <c r="AC169" s="185" t="e">
        <f aca="false">IF($A170="","",VLOOKUP($A169,Table,MATCH(AC$4,Curves,0)))</f>
        <v>#N/A</v>
      </c>
      <c r="AD169" s="185" t="e">
        <f aca="false">IF($A170="","",VLOOKUP($A169,Table,MATCH(AD$4,Curves,0)))</f>
        <v>#N/A</v>
      </c>
      <c r="AE169" s="185" t="e">
        <f aca="false">SQRT((AD169^2*(A169-$D$3)+AC169^2*(DAY(EOMONTH(A169,0))/2))/AK169)</f>
        <v>#N/A</v>
      </c>
      <c r="AF169" s="224" t="e">
        <f aca="false">((Summary!$N$14*(AA169*AD169)*(A169-$D$3))+(Summary!$M$14*Z169*AC169*(AJ169-EOMONTH(EDATE(A169,-1),0))))/(AK169*AB169*AE169)</f>
        <v>#N/A</v>
      </c>
      <c r="AG169" s="207" t="n">
        <f aca="false">IF($A170="","",Summary!$Q$14)</f>
        <v>0</v>
      </c>
      <c r="AH169" s="207" t="n">
        <f aca="false">IF($A170="","",IF(Summary!$R$12="Y",(VLOOKUP($A169,Summary!$AD$6:$AF$9,3)+'Escalating commodity'!J182),'Escalating commodity'!J182))</f>
        <v>0.00628655883913434</v>
      </c>
      <c r="AI169" s="207" t="n">
        <f aca="false">IF($A170="","",AH169)</f>
        <v>0.00628655883913434</v>
      </c>
      <c r="AJ169" s="208" t="n">
        <f aca="false">A169+DAY(EOMONTH(A169,0))/2-1</f>
        <v>41897</v>
      </c>
      <c r="AK169" s="209" t="n">
        <f aca="false">IF($A170="","",$A169-$E$1)</f>
        <v>-4043</v>
      </c>
      <c r="AL169" s="182" t="e">
        <f aca="false">IF($A170="","",SPRDOPT(P169,X169,AI169,0,AB169,AE169,AF169,AK169,$AJ$2,0))</f>
        <v>#NAME?</v>
      </c>
      <c r="AM169" s="211" t="e">
        <f aca="false">IF($A170="","",MAX(0,O169-W169-AI169))</f>
        <v>#N/A</v>
      </c>
      <c r="AN169" s="211" t="e">
        <f aca="false">IF($A170="","",AL169-AM169)</f>
        <v>#N/A</v>
      </c>
      <c r="AO169" s="137" t="n">
        <f aca="false">IF(A170="","",A170-A169)</f>
        <v>30</v>
      </c>
      <c r="AP169" s="212" t="n">
        <f aca="false">IF(A170="","",CHOOSE(F$3,A170+24,A169))</f>
        <v>41883</v>
      </c>
      <c r="AQ169" s="209" t="n">
        <f aca="false">IF(A170="","",AP169-$E$1)</f>
        <v>-4043</v>
      </c>
      <c r="AR169" s="185" t="n">
        <f aca="false">'ANR OK vs ML7'!AR169</f>
        <v>0.1</v>
      </c>
      <c r="AS169" s="213" t="n">
        <f aca="false">IF(A170="","",1/(1+CHOOSE(F$3,(AR170+($I$3/10000))/2,(AR169+($I$3/10000))/2))^(2*AQ169/365.25))</f>
        <v>2.94506065050648</v>
      </c>
      <c r="AT169" s="137" t="n">
        <f aca="false">IF(A170="","",IF(AND(mthbeg&lt;=A169,mthend&gt;=A169),1,0))</f>
        <v>1</v>
      </c>
      <c r="AU169" s="137" t="n">
        <f aca="false">IF(A170="","",AO169*AT169)</f>
        <v>30</v>
      </c>
      <c r="AW169" s="195" t="e">
        <f aca="false">IF($A170="","",AL169*$E169)</f>
        <v>#NAME?</v>
      </c>
      <c r="AX169" s="195" t="e">
        <f aca="false">IF($A170="","",AM169*$E169)</f>
        <v>#N/A</v>
      </c>
      <c r="AY169" s="195" t="e">
        <f aca="false">IF($A170="","",AN169*$E169)</f>
        <v>#N/A</v>
      </c>
      <c r="BA169" s="195" t="n">
        <f aca="false">IF($A170="","",F169*Summary!$Q$14)</f>
        <v>0</v>
      </c>
      <c r="BC169" s="179" t="e">
        <f aca="false">IF(A170="","",AM169*F169)</f>
        <v>#N/A</v>
      </c>
    </row>
    <row r="170" customFormat="false" ht="12" hidden="false" customHeight="true" outlineLevel="0" collapsed="false">
      <c r="A170" s="196" t="n">
        <f aca="false">IF(A169&lt;mthend,EDATE(A169,1),"")</f>
        <v>41913</v>
      </c>
      <c r="B170" s="197" t="n">
        <f aca="false">IF(A170&lt;mthend,B169,"")</f>
        <v>28400</v>
      </c>
      <c r="C170" s="215"/>
      <c r="D170" s="197" t="n">
        <f aca="false">IF(A171&lt;&gt;"",B170+C170,"")</f>
        <v>28400</v>
      </c>
      <c r="E170" s="199" t="n">
        <f aca="false">IF(A171="","",IF(AND(AT170=1,$H$3=1),D170*AO170,IF($H$3=2,D170,"N/A")))</f>
        <v>880400</v>
      </c>
      <c r="F170" s="199" t="n">
        <f aca="false">IF(A171="","",E170*AS170)</f>
        <v>2572133.39824143</v>
      </c>
      <c r="G170" s="200" t="e">
        <f aca="false">IF($A171="","",VLOOKUP($A170,Table,MATCH(G$4,Curves,0)))</f>
        <v>#N/A</v>
      </c>
      <c r="H170" s="201" t="e">
        <f aca="false">IF(A171="","",G170)</f>
        <v>#N/A</v>
      </c>
      <c r="I170" s="202"/>
      <c r="J170" s="200" t="e">
        <f aca="false">IF($A171="","",VLOOKUP($A170,Table,MATCH(J$4,Curves,0)))</f>
        <v>#N/A</v>
      </c>
      <c r="K170" s="201" t="e">
        <f aca="false">IF(A171="","",J170)</f>
        <v>#N/A</v>
      </c>
      <c r="L170" s="185" t="n">
        <v>0</v>
      </c>
      <c r="M170" s="201" t="n">
        <f aca="false">IF(A171="","",L170)</f>
        <v>0</v>
      </c>
      <c r="N170" s="203"/>
      <c r="O170" s="200" t="e">
        <f aca="false">IF(A171="","",L170+J170+G170)</f>
        <v>#N/A</v>
      </c>
      <c r="P170" s="200" t="e">
        <f aca="false">IF(A171="","",M170+K170+H170)</f>
        <v>#N/A</v>
      </c>
      <c r="Q170" s="204"/>
      <c r="R170" s="200" t="e">
        <f aca="false">IF($A171="","",VLOOKUP($A170,Table,MATCH(R$4,Curves,0)))</f>
        <v>#N/A</v>
      </c>
      <c r="S170" s="201" t="e">
        <f aca="false">IF(A171="","",R170)</f>
        <v>#N/A</v>
      </c>
      <c r="T170" s="200" t="e">
        <f aca="false">IF($A171="","",VLOOKUP($A170,Table,MATCH(T$4,Curves,0)))</f>
        <v>#N/A</v>
      </c>
      <c r="U170" s="201" t="e">
        <f aca="false">IF(A171="","",T170)</f>
        <v>#N/A</v>
      </c>
      <c r="V170" s="183" t="e">
        <f aca="false">IF($A171="","",IF(AND(MONTH(A170)&gt;3,MONTH(A170)&lt;11),(T170+R170+G170)*(((1/(1-Summary!$T$14))/(1-Summary!$W$14))-1),(T170+R170+G170)*((1/(1-Summary!$U$14))/(1-Summary!$X$14)-1)))</f>
        <v>#N/A</v>
      </c>
      <c r="W170" s="202" t="e">
        <f aca="false">IF($A171="","",(T170+R170+G170+V170))</f>
        <v>#N/A</v>
      </c>
      <c r="X170" s="202" t="e">
        <f aca="false">IF($A171="","",(U170+S170+H170+V170))</f>
        <v>#N/A</v>
      </c>
      <c r="Y170" s="202"/>
      <c r="Z170" s="185" t="e">
        <f aca="false">IF($A171="","",VLOOKUP($A170,Table,MATCH(Z$4,Curves,0)))</f>
        <v>#N/A</v>
      </c>
      <c r="AA170" s="185" t="e">
        <f aca="false">IF($A171="","",VLOOKUP($A170,Table,MATCH(AA$4,Curves,0)))</f>
        <v>#N/A</v>
      </c>
      <c r="AB170" s="185" t="e">
        <f aca="false">SQRT((AA170^2*(A170-$D$3)+Z170^2*(DAY(EOMONTH(A170,0))/2))/AK170)</f>
        <v>#N/A</v>
      </c>
      <c r="AC170" s="185" t="e">
        <f aca="false">IF($A171="","",VLOOKUP($A170,Table,MATCH(AC$4,Curves,0)))</f>
        <v>#N/A</v>
      </c>
      <c r="AD170" s="185" t="e">
        <f aca="false">IF($A171="","",VLOOKUP($A170,Table,MATCH(AD$4,Curves,0)))</f>
        <v>#N/A</v>
      </c>
      <c r="AE170" s="185" t="e">
        <f aca="false">SQRT((AD170^2*(A170-$D$3)+AC170^2*(DAY(EOMONTH(A170,0))/2))/AK170)</f>
        <v>#N/A</v>
      </c>
      <c r="AF170" s="224" t="e">
        <f aca="false">((Summary!$N$14*(AA170*AD170)*(A170-$D$3))+(Summary!$M$14*Z170*AC170*(AJ170-EOMONTH(EDATE(A170,-1),0))))/(AK170*AB170*AE170)</f>
        <v>#N/A</v>
      </c>
      <c r="AG170" s="207" t="n">
        <f aca="false">IF($A171="","",Summary!$Q$14)</f>
        <v>0</v>
      </c>
      <c r="AH170" s="207" t="n">
        <f aca="false">IF($A171="","",IF(Summary!$R$12="Y",(VLOOKUP($A170,Summary!$AD$6:$AF$9,3)+'Escalating commodity'!J183),'Escalating commodity'!J183))</f>
        <v>0.00628655883913434</v>
      </c>
      <c r="AI170" s="207" t="n">
        <f aca="false">IF($A171="","",AH170)</f>
        <v>0.00628655883913434</v>
      </c>
      <c r="AJ170" s="208" t="n">
        <f aca="false">A170+DAY(EOMONTH(A170,0))/2-1</f>
        <v>41927.5</v>
      </c>
      <c r="AK170" s="209" t="n">
        <f aca="false">IF($A171="","",$A170-$E$1)</f>
        <v>-4013</v>
      </c>
      <c r="AL170" s="182" t="e">
        <f aca="false">IF($A171="","",SPRDOPT(P170,X170,AI170,0,AB170,AE170,AF170,AK170,$AJ$2,0))</f>
        <v>#NAME?</v>
      </c>
      <c r="AM170" s="211" t="e">
        <f aca="false">IF($A171="","",MAX(0,O170-W170-AI170))</f>
        <v>#N/A</v>
      </c>
      <c r="AN170" s="211" t="e">
        <f aca="false">IF($A171="","",AL170-AM170)</f>
        <v>#N/A</v>
      </c>
      <c r="AO170" s="137" t="n">
        <f aca="false">IF(A171="","",A171-A170)</f>
        <v>31</v>
      </c>
      <c r="AP170" s="212" t="n">
        <f aca="false">IF(A171="","",CHOOSE(F$3,A171+24,A170))</f>
        <v>41913</v>
      </c>
      <c r="AQ170" s="209" t="n">
        <f aca="false">IF(A171="","",AP170-$E$1)</f>
        <v>-4013</v>
      </c>
      <c r="AR170" s="185" t="n">
        <f aca="false">'ANR OK vs ML7'!AR170</f>
        <v>0.1</v>
      </c>
      <c r="AS170" s="213" t="n">
        <f aca="false">IF(A171="","",1/(1+CHOOSE(F$3,(AR171+($I$3/10000))/2,(AR170+($I$3/10000))/2))^(2*AQ170/365.25))</f>
        <v>2.92155088396345</v>
      </c>
      <c r="AT170" s="137" t="n">
        <f aca="false">IF(A171="","",IF(AND(mthbeg&lt;=A170,mthend&gt;=A170),1,0))</f>
        <v>1</v>
      </c>
      <c r="AU170" s="137" t="n">
        <f aca="false">IF(A171="","",AO170*AT170)</f>
        <v>31</v>
      </c>
      <c r="AW170" s="195" t="e">
        <f aca="false">IF($A171="","",AL170*$E170)</f>
        <v>#NAME?</v>
      </c>
      <c r="AX170" s="195" t="e">
        <f aca="false">IF($A171="","",AM170*$E170)</f>
        <v>#N/A</v>
      </c>
      <c r="AY170" s="195" t="e">
        <f aca="false">IF($A171="","",AN170*$E170)</f>
        <v>#N/A</v>
      </c>
      <c r="BA170" s="195" t="n">
        <f aca="false">IF($A171="","",F170*Summary!$Q$14)</f>
        <v>0</v>
      </c>
      <c r="BC170" s="179" t="e">
        <f aca="false">IF(A171="","",AM170*F170)</f>
        <v>#N/A</v>
      </c>
    </row>
    <row r="171" customFormat="false" ht="12" hidden="false" customHeight="true" outlineLevel="0" collapsed="false">
      <c r="A171" s="196" t="n">
        <f aca="false">IF(A170&lt;mthend,EDATE(A170,1),"")</f>
        <v>41944</v>
      </c>
      <c r="B171" s="197" t="n">
        <f aca="false">IF(A171&lt;mthend,B170,"")</f>
        <v>28400</v>
      </c>
      <c r="C171" s="215"/>
      <c r="D171" s="197" t="n">
        <f aca="false">IF(A172&lt;&gt;"",B171+C171,"")</f>
        <v>28400</v>
      </c>
      <c r="E171" s="199" t="n">
        <f aca="false">IF(A172="","",IF(AND(AT171=1,$H$3=1),D171*AO171,IF($H$3=2,D171,"N/A")))</f>
        <v>852000</v>
      </c>
      <c r="F171" s="199" t="n">
        <f aca="false">IF(A172="","",E171*AS171)</f>
        <v>2468631.3210713</v>
      </c>
      <c r="G171" s="200" t="e">
        <f aca="false">IF($A172="","",VLOOKUP($A171,Table,MATCH(G$4,Curves,0)))</f>
        <v>#N/A</v>
      </c>
      <c r="H171" s="201" t="e">
        <f aca="false">IF(A172="","",G171)</f>
        <v>#N/A</v>
      </c>
      <c r="I171" s="202"/>
      <c r="J171" s="227" t="e">
        <f aca="false">J159</f>
        <v>#N/A</v>
      </c>
      <c r="K171" s="201" t="e">
        <f aca="false">IF(A172="","",J171)</f>
        <v>#N/A</v>
      </c>
      <c r="L171" s="185" t="n">
        <v>0</v>
      </c>
      <c r="M171" s="201" t="n">
        <f aca="false">IF(A172="","",L171)</f>
        <v>0</v>
      </c>
      <c r="N171" s="203"/>
      <c r="O171" s="200" t="e">
        <f aca="false">IF(A172="","",L171+J171+G171)</f>
        <v>#N/A</v>
      </c>
      <c r="P171" s="200" t="e">
        <f aca="false">IF(A172="","",M171+K171+H171)</f>
        <v>#N/A</v>
      </c>
      <c r="Q171" s="204"/>
      <c r="R171" s="227" t="e">
        <f aca="false">R159</f>
        <v>#N/A</v>
      </c>
      <c r="S171" s="201" t="e">
        <f aca="false">IF(A172="","",R171)</f>
        <v>#N/A</v>
      </c>
      <c r="T171" s="200" t="e">
        <f aca="false">IF($A172="","",VLOOKUP($A171,Table,MATCH(T$4,Curves,0)))</f>
        <v>#N/A</v>
      </c>
      <c r="U171" s="201" t="e">
        <f aca="false">IF(A172="","",T171)</f>
        <v>#N/A</v>
      </c>
      <c r="V171" s="183" t="e">
        <f aca="false">IF($A172="","",IF(AND(MONTH(A171)&gt;3,MONTH(A171)&lt;11),(T171+R171+G171)*(((1/(1-Summary!$T$14))/(1-Summary!$W$14))-1),(T171+R171+G171)*((1/(1-Summary!$U$14))/(1-Summary!$X$14)-1)))</f>
        <v>#N/A</v>
      </c>
      <c r="W171" s="202" t="e">
        <f aca="false">IF($A172="","",(T171+R171+G171+V171))</f>
        <v>#N/A</v>
      </c>
      <c r="X171" s="202" t="e">
        <f aca="false">IF($A172="","",(U171+S171+H171+V171))</f>
        <v>#N/A</v>
      </c>
      <c r="Y171" s="202"/>
      <c r="Z171" s="185" t="e">
        <f aca="false">IF($A172="","",VLOOKUP($A171,Table,MATCH(Z$4,Curves,0)))</f>
        <v>#N/A</v>
      </c>
      <c r="AA171" s="185" t="e">
        <f aca="false">IF($A172="","",VLOOKUP($A171,Table,MATCH(AA$4,Curves,0)))</f>
        <v>#N/A</v>
      </c>
      <c r="AB171" s="185" t="e">
        <f aca="false">SQRT((AA171^2*(A171-$D$3)+Z171^2*(DAY(EOMONTH(A171,0))/2))/AK171)</f>
        <v>#N/A</v>
      </c>
      <c r="AC171" s="185" t="e">
        <f aca="false">IF($A172="","",VLOOKUP($A171,Table,MATCH(AC$4,Curves,0)))</f>
        <v>#N/A</v>
      </c>
      <c r="AD171" s="185" t="e">
        <f aca="false">IF($A172="","",VLOOKUP($A171,Table,MATCH(AD$4,Curves,0)))</f>
        <v>#N/A</v>
      </c>
      <c r="AE171" s="185" t="e">
        <f aca="false">SQRT((AD171^2*(A171-$D$3)+AC171^2*(DAY(EOMONTH(A171,0))/2))/AK171)</f>
        <v>#N/A</v>
      </c>
      <c r="AF171" s="224" t="e">
        <f aca="false">((Summary!$N$14*(AA171*AD171)*(A171-$D$3))+(Summary!$M$14*Z171*AC171*(AJ171-EOMONTH(EDATE(A171,-1),0))))/(AK171*AB171*AE171)</f>
        <v>#N/A</v>
      </c>
      <c r="AG171" s="207" t="n">
        <f aca="false">IF($A172="","",Summary!$Q$14)</f>
        <v>0</v>
      </c>
      <c r="AH171" s="207" t="n">
        <f aca="false">IF($A172="","",IF(Summary!$R$12="Y",(VLOOKUP($A171,Summary!$AD$6:$AF$9,3)+'Escalating commodity'!J184),'Escalating commodity'!J184))</f>
        <v>0.00628655883913434</v>
      </c>
      <c r="AI171" s="207" t="n">
        <f aca="false">IF($A172="","",AH171)</f>
        <v>0.00628655883913434</v>
      </c>
      <c r="AJ171" s="208" t="n">
        <f aca="false">A171+DAY(EOMONTH(A171,0))/2-1</f>
        <v>41958</v>
      </c>
      <c r="AK171" s="209" t="n">
        <f aca="false">IF($A172="","",$A171-$E$1)</f>
        <v>-3982</v>
      </c>
      <c r="AL171" s="182" t="e">
        <f aca="false">IF($A172="","",SPRDOPT(P171,X171,AI171,0,AB171,AE171,AF171,AK171,$AJ$2,0))</f>
        <v>#NAME?</v>
      </c>
      <c r="AM171" s="211" t="e">
        <f aca="false">IF($A172="","",MAX(0,O171-W171-AI171))</f>
        <v>#N/A</v>
      </c>
      <c r="AN171" s="211" t="e">
        <f aca="false">IF($A172="","",AL171-AM171)</f>
        <v>#N/A</v>
      </c>
      <c r="AO171" s="137" t="n">
        <f aca="false">IF(A172="","",A172-A171)</f>
        <v>30</v>
      </c>
      <c r="AP171" s="212" t="n">
        <f aca="false">IF(A172="","",CHOOSE(F$3,A172+24,A171))</f>
        <v>41944</v>
      </c>
      <c r="AQ171" s="209" t="n">
        <f aca="false">IF(A172="","",AP171-$E$1)</f>
        <v>-3982</v>
      </c>
      <c r="AR171" s="185" t="n">
        <f aca="false">'ANR OK vs ML7'!AR171</f>
        <v>0.1</v>
      </c>
      <c r="AS171" s="213" t="n">
        <f aca="false">IF(A172="","",1/(1+CHOOSE(F$3,(AR172+($I$3/10000))/2,(AR171+($I$3/10000))/2))^(2*AQ171/365.25))</f>
        <v>2.89745460219636</v>
      </c>
      <c r="AT171" s="137" t="n">
        <f aca="false">IF(A172="","",IF(AND(mthbeg&lt;=A171,mthend&gt;=A171),1,0))</f>
        <v>1</v>
      </c>
      <c r="AU171" s="137" t="n">
        <f aca="false">IF(A172="","",AO171*AT171)</f>
        <v>30</v>
      </c>
      <c r="AW171" s="195" t="e">
        <f aca="false">IF($A172="","",AL171*$E171)</f>
        <v>#NAME?</v>
      </c>
      <c r="AX171" s="195" t="e">
        <f aca="false">IF($A172="","",AM171*$E171)</f>
        <v>#N/A</v>
      </c>
      <c r="AY171" s="195" t="e">
        <f aca="false">IF($A172="","",AN171*$E171)</f>
        <v>#N/A</v>
      </c>
      <c r="BA171" s="195" t="n">
        <f aca="false">IF($A172="","",F171*Summary!$Q$14)</f>
        <v>0</v>
      </c>
      <c r="BC171" s="179" t="e">
        <f aca="false">IF(A172="","",AM171*F171)</f>
        <v>#N/A</v>
      </c>
    </row>
    <row r="172" customFormat="false" ht="12" hidden="false" customHeight="true" outlineLevel="0" collapsed="false">
      <c r="A172" s="196" t="n">
        <f aca="false">IF(A171&lt;mthend,EDATE(A171,1),"")</f>
        <v>41974</v>
      </c>
      <c r="B172" s="197" t="n">
        <f aca="false">IF(A172&lt;mthend,B171,"")</f>
        <v>28400</v>
      </c>
      <c r="C172" s="215"/>
      <c r="D172" s="197" t="n">
        <f aca="false">IF(A173&lt;&gt;"",B172+C172,"")</f>
        <v>28400</v>
      </c>
      <c r="E172" s="199" t="n">
        <f aca="false">IF(A173="","",IF(AND(AT172=1,$H$3=1),D172*AO172,IF($H$3=2,D172,"N/A")))</f>
        <v>880400</v>
      </c>
      <c r="F172" s="199" t="n">
        <f aca="false">IF(A173="","",E172*AS172)</f>
        <v>2530555.61043061</v>
      </c>
      <c r="G172" s="200" t="e">
        <f aca="false">IF($A173="","",VLOOKUP($A172,Table,MATCH(G$4,Curves,0)))</f>
        <v>#N/A</v>
      </c>
      <c r="H172" s="201" t="e">
        <f aca="false">IF(A173="","",G172)</f>
        <v>#N/A</v>
      </c>
      <c r="I172" s="202"/>
      <c r="J172" s="227" t="e">
        <f aca="false">J160</f>
        <v>#N/A</v>
      </c>
      <c r="K172" s="201" t="e">
        <f aca="false">IF(A173="","",J172)</f>
        <v>#N/A</v>
      </c>
      <c r="L172" s="185" t="n">
        <v>0</v>
      </c>
      <c r="M172" s="201" t="n">
        <f aca="false">IF(A173="","",L172)</f>
        <v>0</v>
      </c>
      <c r="N172" s="203"/>
      <c r="O172" s="200" t="e">
        <f aca="false">IF(A173="","",L172+J172+G172)</f>
        <v>#N/A</v>
      </c>
      <c r="P172" s="200" t="e">
        <f aca="false">IF(A173="","",M172+K172+H172)</f>
        <v>#N/A</v>
      </c>
      <c r="Q172" s="204"/>
      <c r="R172" s="227" t="e">
        <f aca="false">R160</f>
        <v>#N/A</v>
      </c>
      <c r="S172" s="201" t="e">
        <f aca="false">IF(A173="","",R172)</f>
        <v>#N/A</v>
      </c>
      <c r="T172" s="200" t="e">
        <f aca="false">IF($A173="","",VLOOKUP($A172,Table,MATCH(T$4,Curves,0)))</f>
        <v>#N/A</v>
      </c>
      <c r="U172" s="201" t="e">
        <f aca="false">IF(A173="","",T172)</f>
        <v>#N/A</v>
      </c>
      <c r="V172" s="183" t="e">
        <f aca="false">IF($A173="","",IF(AND(MONTH(A172)&gt;3,MONTH(A172)&lt;11),(T172+R172+G172)*(((1/(1-Summary!$T$14))/(1-Summary!$W$14))-1),(T172+R172+G172)*((1/(1-Summary!$U$14))/(1-Summary!$X$14)-1)))</f>
        <v>#N/A</v>
      </c>
      <c r="W172" s="202" t="e">
        <f aca="false">IF($A173="","",(T172+R172+G172+V172))</f>
        <v>#N/A</v>
      </c>
      <c r="X172" s="202" t="e">
        <f aca="false">IF($A173="","",(U172+S172+H172+V172))</f>
        <v>#N/A</v>
      </c>
      <c r="Y172" s="202"/>
      <c r="Z172" s="185" t="e">
        <f aca="false">IF($A173="","",VLOOKUP($A172,Table,MATCH(Z$4,Curves,0)))</f>
        <v>#N/A</v>
      </c>
      <c r="AA172" s="185" t="e">
        <f aca="false">IF($A173="","",VLOOKUP($A172,Table,MATCH(AA$4,Curves,0)))</f>
        <v>#N/A</v>
      </c>
      <c r="AB172" s="185" t="e">
        <f aca="false">SQRT((AA172^2*(A172-$D$3)+Z172^2*(DAY(EOMONTH(A172,0))/2))/AK172)</f>
        <v>#N/A</v>
      </c>
      <c r="AC172" s="185" t="e">
        <f aca="false">IF($A173="","",VLOOKUP($A172,Table,MATCH(AC$4,Curves,0)))</f>
        <v>#N/A</v>
      </c>
      <c r="AD172" s="185" t="e">
        <f aca="false">IF($A173="","",VLOOKUP($A172,Table,MATCH(AD$4,Curves,0)))</f>
        <v>#N/A</v>
      </c>
      <c r="AE172" s="185" t="e">
        <f aca="false">SQRT((AD172^2*(A172-$D$3)+AC172^2*(DAY(EOMONTH(A172,0))/2))/AK172)</f>
        <v>#N/A</v>
      </c>
      <c r="AF172" s="224" t="e">
        <f aca="false">((Summary!$N$14*(AA172*AD172)*(A172-$D$3))+(Summary!$M$14*Z172*AC172*(AJ172-EOMONTH(EDATE(A172,-1),0))))/(AK172*AB172*AE172)</f>
        <v>#N/A</v>
      </c>
      <c r="AG172" s="207" t="n">
        <f aca="false">IF($A173="","",Summary!$Q$14)</f>
        <v>0</v>
      </c>
      <c r="AH172" s="207" t="n">
        <f aca="false">IF($A173="","",IF(Summary!$R$12="Y",(VLOOKUP($A172,Summary!$AD$6:$AF$9,3)+'Escalating commodity'!J185),'Escalating commodity'!J185))</f>
        <v>0.00628655883913434</v>
      </c>
      <c r="AI172" s="207" t="n">
        <f aca="false">IF($A173="","",AH172)</f>
        <v>0.00628655883913434</v>
      </c>
      <c r="AJ172" s="208" t="n">
        <f aca="false">A172+DAY(EOMONTH(A172,0))/2-1</f>
        <v>41988.5</v>
      </c>
      <c r="AK172" s="209" t="n">
        <f aca="false">IF($A173="","",$A172-$E$1)</f>
        <v>-3952</v>
      </c>
      <c r="AL172" s="182" t="e">
        <f aca="false">IF($A173="","",SPRDOPT(P172,X172,AI172,0,AB172,AE172,AF172,AK172,$AJ$2,0))</f>
        <v>#NAME?</v>
      </c>
      <c r="AM172" s="211" t="e">
        <f aca="false">IF($A173="","",MAX(0,O172-W172-AI172))</f>
        <v>#N/A</v>
      </c>
      <c r="AN172" s="211" t="e">
        <f aca="false">IF($A173="","",AL172-AM172)</f>
        <v>#N/A</v>
      </c>
      <c r="AO172" s="137" t="n">
        <f aca="false">IF(A173="","",A173-A172)</f>
        <v>31</v>
      </c>
      <c r="AP172" s="212" t="n">
        <f aca="false">IF(A173="","",CHOOSE(F$3,A173+24,A172))</f>
        <v>41974</v>
      </c>
      <c r="AQ172" s="209" t="n">
        <f aca="false">IF(A173="","",AP172-$E$1)</f>
        <v>-3952</v>
      </c>
      <c r="AR172" s="185" t="n">
        <f aca="false">'ANR OK vs ML7'!AR172</f>
        <v>0.1</v>
      </c>
      <c r="AS172" s="213" t="n">
        <f aca="false">IF(A173="","",1/(1+CHOOSE(F$3,(AR173+($I$3/10000))/2,(AR172+($I$3/10000))/2))^(2*AQ172/365.25))</f>
        <v>2.87432486418743</v>
      </c>
      <c r="AT172" s="137" t="n">
        <f aca="false">IF(A173="","",IF(AND(mthbeg&lt;=A172,mthend&gt;=A172),1,0))</f>
        <v>1</v>
      </c>
      <c r="AU172" s="137" t="n">
        <f aca="false">IF(A173="","",AO172*AT172)</f>
        <v>31</v>
      </c>
      <c r="AW172" s="195" t="e">
        <f aca="false">IF($A173="","",AL172*$E172)</f>
        <v>#NAME?</v>
      </c>
      <c r="AX172" s="195" t="e">
        <f aca="false">IF($A173="","",AM172*$E172)</f>
        <v>#N/A</v>
      </c>
      <c r="AY172" s="195" t="e">
        <f aca="false">IF($A173="","",AN172*$E172)</f>
        <v>#N/A</v>
      </c>
      <c r="BA172" s="195" t="n">
        <f aca="false">IF($A173="","",F172*Summary!$Q$14)</f>
        <v>0</v>
      </c>
      <c r="BC172" s="179" t="e">
        <f aca="false">IF(A173="","",AM172*F172)</f>
        <v>#N/A</v>
      </c>
    </row>
    <row r="173" customFormat="false" ht="12" hidden="false" customHeight="true" outlineLevel="0" collapsed="false">
      <c r="A173" s="196" t="n">
        <f aca="false">IF(A172&lt;mthend,EDATE(A172,1),"")</f>
        <v>42005</v>
      </c>
      <c r="B173" s="197" t="n">
        <f aca="false">IF(A173&lt;mthend,B172,"")</f>
        <v>28400</v>
      </c>
      <c r="C173" s="215"/>
      <c r="D173" s="197" t="n">
        <f aca="false">IF(A174&lt;&gt;"",B173+C173,"")</f>
        <v>28400</v>
      </c>
      <c r="E173" s="199" t="n">
        <f aca="false">IF(A174="","",IF(AND(AT173=1,$H$3=1),D173*AO173,IF($H$3=2,D173,"N/A")))</f>
        <v>880400</v>
      </c>
      <c r="F173" s="199" t="n">
        <f aca="false">IF(A174="","",E173*AS173)</f>
        <v>2509684.16802277</v>
      </c>
      <c r="G173" s="200" t="e">
        <f aca="false">IF($A174="","",VLOOKUP($A173,Table,MATCH(G$4,Curves,0)))</f>
        <v>#N/A</v>
      </c>
      <c r="H173" s="201" t="e">
        <f aca="false">IF(A174="","",G173)</f>
        <v>#N/A</v>
      </c>
      <c r="I173" s="202"/>
      <c r="J173" s="227" t="e">
        <f aca="false">J161</f>
        <v>#N/A</v>
      </c>
      <c r="K173" s="201" t="e">
        <f aca="false">IF(A174="","",J173)</f>
        <v>#N/A</v>
      </c>
      <c r="L173" s="185" t="n">
        <v>0</v>
      </c>
      <c r="M173" s="201" t="n">
        <f aca="false">IF(A174="","",L173)</f>
        <v>0</v>
      </c>
      <c r="N173" s="203"/>
      <c r="O173" s="200" t="e">
        <f aca="false">IF(A174="","",L173+J173+G173)</f>
        <v>#N/A</v>
      </c>
      <c r="P173" s="200" t="e">
        <f aca="false">IF(A174="","",M173+K173+H173)</f>
        <v>#N/A</v>
      </c>
      <c r="Q173" s="204"/>
      <c r="R173" s="227" t="e">
        <f aca="false">R161</f>
        <v>#N/A</v>
      </c>
      <c r="S173" s="201" t="e">
        <f aca="false">IF(A174="","",R173)</f>
        <v>#N/A</v>
      </c>
      <c r="T173" s="200" t="e">
        <f aca="false">IF($A174="","",VLOOKUP($A173,Table,MATCH(T$4,Curves,0)))</f>
        <v>#N/A</v>
      </c>
      <c r="U173" s="201" t="e">
        <f aca="false">IF(A174="","",T173)</f>
        <v>#N/A</v>
      </c>
      <c r="V173" s="183" t="e">
        <f aca="false">IF($A174="","",IF(AND(MONTH(A173)&gt;3,MONTH(A173)&lt;11),(T173+R173+G173)*(((1/(1-Summary!$T$14))/(1-Summary!$W$14))-1),(T173+R173+G173)*((1/(1-Summary!$U$14))/(1-Summary!$X$14)-1)))</f>
        <v>#N/A</v>
      </c>
      <c r="W173" s="202" t="e">
        <f aca="false">IF($A174="","",(T173+R173+G173+V173))</f>
        <v>#N/A</v>
      </c>
      <c r="X173" s="202" t="e">
        <f aca="false">IF($A174="","",(U173+S173+H173+V173))</f>
        <v>#N/A</v>
      </c>
      <c r="Y173" s="202"/>
      <c r="Z173" s="185" t="e">
        <f aca="false">IF($A174="","",VLOOKUP($A173,Table,MATCH(Z$4,Curves,0)))</f>
        <v>#N/A</v>
      </c>
      <c r="AA173" s="185" t="e">
        <f aca="false">IF($A174="","",VLOOKUP($A173,Table,MATCH(AA$4,Curves,0)))</f>
        <v>#N/A</v>
      </c>
      <c r="AB173" s="185" t="e">
        <f aca="false">SQRT((AA173^2*(A173-$D$3)+Z173^2*(DAY(EOMONTH(A173,0))/2))/AK173)</f>
        <v>#N/A</v>
      </c>
      <c r="AC173" s="185" t="e">
        <f aca="false">IF($A174="","",VLOOKUP($A173,Table,MATCH(AC$4,Curves,0)))</f>
        <v>#N/A</v>
      </c>
      <c r="AD173" s="185" t="e">
        <f aca="false">IF($A174="","",VLOOKUP($A173,Table,MATCH(AD$4,Curves,0)))</f>
        <v>#N/A</v>
      </c>
      <c r="AE173" s="185" t="e">
        <f aca="false">SQRT((AD173^2*(A173-$D$3)+AC173^2*(DAY(EOMONTH(A173,0))/2))/AK173)</f>
        <v>#N/A</v>
      </c>
      <c r="AF173" s="224" t="e">
        <f aca="false">((Summary!$N$14*(AA173*AD173)*(A173-$D$3))+(Summary!$M$14*Z173*AC173*(AJ173-EOMONTH(EDATE(A173,-1),0))))/(AK173*AB173*AE173)</f>
        <v>#N/A</v>
      </c>
      <c r="AG173" s="207" t="n">
        <f aca="false">IF($A174="","",Summary!$Q$14)</f>
        <v>0</v>
      </c>
      <c r="AH173" s="207" t="n">
        <f aca="false">IF($A174="","",IF(Summary!$R$12="Y",(VLOOKUP($A173,Summary!$AD$6:$AF$9,3)+'Escalating commodity'!J186),'Escalating commodity'!J186))</f>
        <v>0</v>
      </c>
      <c r="AI173" s="207" t="n">
        <f aca="false">IF($A174="","",AH173)</f>
        <v>0</v>
      </c>
      <c r="AJ173" s="208" t="n">
        <f aca="false">A173+DAY(EOMONTH(A173,0))/2-1</f>
        <v>42019.5</v>
      </c>
      <c r="AK173" s="209" t="n">
        <f aca="false">IF($A174="","",$A173-$E$1)</f>
        <v>-3921</v>
      </c>
      <c r="AL173" s="182" t="e">
        <f aca="false">IF($A174="","",SPRDOPT(P173,X173,AI173,0,AB173,AE173,AF173,AK173,$AJ$2,0))</f>
        <v>#NAME?</v>
      </c>
      <c r="AM173" s="211" t="e">
        <f aca="false">IF($A174="","",MAX(0,O173-W173-AI173))</f>
        <v>#N/A</v>
      </c>
      <c r="AN173" s="211" t="e">
        <f aca="false">IF($A174="","",AL173-AM173)</f>
        <v>#N/A</v>
      </c>
      <c r="AO173" s="137" t="n">
        <f aca="false">IF(A174="","",A174-A173)</f>
        <v>31</v>
      </c>
      <c r="AP173" s="212" t="n">
        <f aca="false">IF(A174="","",CHOOSE(F$3,A174+24,A173))</f>
        <v>42005</v>
      </c>
      <c r="AQ173" s="209" t="n">
        <f aca="false">IF(A174="","",AP173-$E$1)</f>
        <v>-3921</v>
      </c>
      <c r="AR173" s="185" t="n">
        <f aca="false">'ANR OK vs ML7'!AR173</f>
        <v>0.1</v>
      </c>
      <c r="AS173" s="213" t="n">
        <f aca="false">IF(A174="","",1/(1+CHOOSE(F$3,(AR174+($I$3/10000))/2,(AR173+($I$3/10000))/2))^(2*AQ173/365.25))</f>
        <v>2.85061809180233</v>
      </c>
      <c r="AT173" s="137" t="n">
        <f aca="false">IF(A174="","",IF(AND(mthbeg&lt;=A173,mthend&gt;=A173),1,0))</f>
        <v>1</v>
      </c>
      <c r="AU173" s="137" t="n">
        <f aca="false">IF(A174="","",AO173*AT173)</f>
        <v>31</v>
      </c>
      <c r="AW173" s="195" t="e">
        <f aca="false">IF($A174="","",AL173*$E173)</f>
        <v>#NAME?</v>
      </c>
      <c r="AX173" s="195" t="e">
        <f aca="false">IF($A174="","",AM173*$E173)</f>
        <v>#N/A</v>
      </c>
      <c r="AY173" s="195" t="e">
        <f aca="false">IF($A174="","",AN173*$E173)</f>
        <v>#N/A</v>
      </c>
      <c r="BA173" s="195" t="n">
        <f aca="false">IF($A174="","",F173*Summary!$Q$14)</f>
        <v>0</v>
      </c>
      <c r="BC173" s="179" t="e">
        <f aca="false">IF(A174="","",AM173*F173)</f>
        <v>#N/A</v>
      </c>
    </row>
    <row r="174" customFormat="false" ht="12" hidden="false" customHeight="true" outlineLevel="0" collapsed="false">
      <c r="A174" s="196" t="n">
        <f aca="false">IF(A173&lt;mthend,EDATE(A173,1),"")</f>
        <v>42036</v>
      </c>
      <c r="B174" s="197" t="n">
        <f aca="false">IF(A174&lt;mthend,B173,"")</f>
        <v>28400</v>
      </c>
      <c r="C174" s="215"/>
      <c r="D174" s="197" t="n">
        <f aca="false">IF(A175&lt;&gt;"",B174+C174,"")</f>
        <v>28400</v>
      </c>
      <c r="E174" s="199" t="n">
        <f aca="false">IF(A175="","",IF(AND(AT174=1,$H$3=1),D174*AO174,IF($H$3=2,D174,"N/A")))</f>
        <v>795200</v>
      </c>
      <c r="F174" s="199" t="n">
        <f aca="false">IF(A175="","",E174*AS174)</f>
        <v>2248115.36508412</v>
      </c>
      <c r="G174" s="200" t="e">
        <f aca="false">IF($A175="","",VLOOKUP($A174,Table,MATCH(G$4,Curves,0)))</f>
        <v>#N/A</v>
      </c>
      <c r="H174" s="201" t="e">
        <f aca="false">IF(A175="","",G174)</f>
        <v>#N/A</v>
      </c>
      <c r="I174" s="202"/>
      <c r="J174" s="227" t="e">
        <f aca="false">J162</f>
        <v>#N/A</v>
      </c>
      <c r="K174" s="201" t="e">
        <f aca="false">IF(A175="","",J174)</f>
        <v>#N/A</v>
      </c>
      <c r="L174" s="185" t="n">
        <v>0</v>
      </c>
      <c r="M174" s="201" t="n">
        <f aca="false">IF(A175="","",L174)</f>
        <v>0</v>
      </c>
      <c r="N174" s="203"/>
      <c r="O174" s="200" t="e">
        <f aca="false">IF(A175="","",L174+J174+G174)</f>
        <v>#N/A</v>
      </c>
      <c r="P174" s="200" t="e">
        <f aca="false">IF(A175="","",M174+K174+H174)</f>
        <v>#N/A</v>
      </c>
      <c r="Q174" s="204"/>
      <c r="R174" s="227" t="e">
        <f aca="false">R162</f>
        <v>#N/A</v>
      </c>
      <c r="S174" s="201" t="e">
        <f aca="false">IF(A175="","",R174)</f>
        <v>#N/A</v>
      </c>
      <c r="T174" s="200" t="e">
        <f aca="false">IF($A175="","",VLOOKUP($A174,Table,MATCH(T$4,Curves,0)))</f>
        <v>#N/A</v>
      </c>
      <c r="U174" s="201" t="e">
        <f aca="false">IF(A175="","",T174)</f>
        <v>#N/A</v>
      </c>
      <c r="V174" s="183" t="e">
        <f aca="false">IF($A175="","",IF(AND(MONTH(A174)&gt;3,MONTH(A174)&lt;11),(T174+R174+G174)*(((1/(1-Summary!$T$14))/(1-Summary!$W$14))-1),(T174+R174+G174)*((1/(1-Summary!$U$14))/(1-Summary!$X$14)-1)))</f>
        <v>#N/A</v>
      </c>
      <c r="W174" s="202" t="e">
        <f aca="false">IF($A175="","",(T174+R174+G174+V174))</f>
        <v>#N/A</v>
      </c>
      <c r="X174" s="202" t="e">
        <f aca="false">IF($A175="","",(U174+S174+H174+V174))</f>
        <v>#N/A</v>
      </c>
      <c r="Y174" s="202"/>
      <c r="Z174" s="185" t="e">
        <f aca="false">IF($A175="","",VLOOKUP($A174,Table,MATCH(Z$4,Curves,0)))</f>
        <v>#N/A</v>
      </c>
      <c r="AA174" s="185" t="e">
        <f aca="false">IF($A175="","",VLOOKUP($A174,Table,MATCH(AA$4,Curves,0)))</f>
        <v>#N/A</v>
      </c>
      <c r="AB174" s="185" t="e">
        <f aca="false">SQRT((AA174^2*(A174-$D$3)+Z174^2*(DAY(EOMONTH(A174,0))/2))/AK174)</f>
        <v>#N/A</v>
      </c>
      <c r="AC174" s="185" t="e">
        <f aca="false">IF($A175="","",VLOOKUP($A174,Table,MATCH(AC$4,Curves,0)))</f>
        <v>#N/A</v>
      </c>
      <c r="AD174" s="185" t="e">
        <f aca="false">IF($A175="","",VLOOKUP($A174,Table,MATCH(AD$4,Curves,0)))</f>
        <v>#N/A</v>
      </c>
      <c r="AE174" s="185" t="e">
        <f aca="false">SQRT((AD174^2*(A174-$D$3)+AC174^2*(DAY(EOMONTH(A174,0))/2))/AK174)</f>
        <v>#N/A</v>
      </c>
      <c r="AF174" s="224" t="e">
        <f aca="false">((Summary!$N$14*(AA174*AD174)*(A174-$D$3))+(Summary!$M$14*Z174*AC174*(AJ174-EOMONTH(EDATE(A174,-1),0))))/(AK174*AB174*AE174)</f>
        <v>#N/A</v>
      </c>
      <c r="AG174" s="207" t="n">
        <f aca="false">IF($A175="","",Summary!$Q$14)</f>
        <v>0</v>
      </c>
      <c r="AH174" s="207" t="n">
        <f aca="false">IF($A175="","",IF(Summary!$R$12="Y",(VLOOKUP($A174,Summary!$AD$6:$AF$9,3)+'Escalating commodity'!J187),'Escalating commodity'!J187))</f>
        <v>0</v>
      </c>
      <c r="AI174" s="207" t="n">
        <f aca="false">IF($A175="","",AH174)</f>
        <v>0</v>
      </c>
      <c r="AJ174" s="208" t="n">
        <f aca="false">A174+DAY(EOMONTH(A174,0))/2-1</f>
        <v>42049</v>
      </c>
      <c r="AK174" s="209" t="n">
        <f aca="false">IF($A175="","",$A174-$E$1)</f>
        <v>-3890</v>
      </c>
      <c r="AL174" s="182" t="e">
        <f aca="false">IF($A175="","",SPRDOPT(P174,X174,AI174,0,AB174,AE174,AF174,AK174,$AJ$2,0))</f>
        <v>#NAME?</v>
      </c>
      <c r="AM174" s="211" t="e">
        <f aca="false">IF($A175="","",MAX(0,O174-W174-AI174))</f>
        <v>#N/A</v>
      </c>
      <c r="AN174" s="211" t="e">
        <f aca="false">IF($A175="","",AL174-AM174)</f>
        <v>#N/A</v>
      </c>
      <c r="AO174" s="137" t="n">
        <f aca="false">IF(A175="","",A175-A174)</f>
        <v>28</v>
      </c>
      <c r="AP174" s="212" t="n">
        <f aca="false">IF(A175="","",CHOOSE(F$3,A175+24,A174))</f>
        <v>42036</v>
      </c>
      <c r="AQ174" s="209" t="n">
        <f aca="false">IF(A175="","",AP174-$E$1)</f>
        <v>-3890</v>
      </c>
      <c r="AR174" s="185" t="n">
        <f aca="false">'ANR OK vs ML7'!AR174</f>
        <v>0.1</v>
      </c>
      <c r="AS174" s="213" t="n">
        <f aca="false">IF(A175="","",1/(1+CHOOSE(F$3,(AR175+($I$3/10000))/2,(AR174+($I$3/10000))/2))^(2*AQ174/365.25))</f>
        <v>2.8271068474398</v>
      </c>
      <c r="AT174" s="137" t="n">
        <f aca="false">IF(A175="","",IF(AND(mthbeg&lt;=A174,mthend&gt;=A174),1,0))</f>
        <v>1</v>
      </c>
      <c r="AU174" s="137" t="n">
        <f aca="false">IF(A175="","",AO174*AT174)</f>
        <v>28</v>
      </c>
      <c r="AW174" s="195" t="e">
        <f aca="false">IF($A175="","",AL174*$E174)</f>
        <v>#NAME?</v>
      </c>
      <c r="AX174" s="195" t="e">
        <f aca="false">IF($A175="","",AM174*$E174)</f>
        <v>#N/A</v>
      </c>
      <c r="AY174" s="195" t="e">
        <f aca="false">IF($A175="","",AN174*$E174)</f>
        <v>#N/A</v>
      </c>
      <c r="BA174" s="195" t="n">
        <f aca="false">IF($A175="","",F174*Summary!$Q$14)</f>
        <v>0</v>
      </c>
    </row>
    <row r="175" customFormat="false" ht="12" hidden="false" customHeight="true" outlineLevel="0" collapsed="false">
      <c r="A175" s="196" t="n">
        <f aca="false">IF(A174&lt;mthend,EDATE(A174,1),"")</f>
        <v>42064</v>
      </c>
      <c r="B175" s="197" t="n">
        <f aca="false">IF(A175&lt;mthend,B174,"")</f>
        <v>28400</v>
      </c>
      <c r="C175" s="215"/>
      <c r="D175" s="197" t="n">
        <f aca="false">IF(A176&lt;&gt;"",B175+C175,"")</f>
        <v>28400</v>
      </c>
      <c r="E175" s="199" t="n">
        <f aca="false">IF(A176="","",IF(AND(AT175=1,$H$3=1),D175*AO175,IF($H$3=2,D175,"N/A")))</f>
        <v>880400</v>
      </c>
      <c r="F175" s="199" t="n">
        <f aca="false">IF(A176="","",E175*AS175)</f>
        <v>2470435.50622457</v>
      </c>
      <c r="G175" s="200" t="e">
        <f aca="false">IF($A176="","",VLOOKUP($A175,Table,MATCH(G$4,Curves,0)))</f>
        <v>#N/A</v>
      </c>
      <c r="H175" s="201" t="e">
        <f aca="false">IF(A176="","",G175)</f>
        <v>#N/A</v>
      </c>
      <c r="I175" s="202"/>
      <c r="J175" s="227" t="e">
        <f aca="false">J163</f>
        <v>#N/A</v>
      </c>
      <c r="K175" s="201" t="e">
        <f aca="false">IF(A176="","",J175)</f>
        <v>#N/A</v>
      </c>
      <c r="L175" s="185" t="n">
        <v>0</v>
      </c>
      <c r="M175" s="201" t="n">
        <f aca="false">IF(A176="","",L175)</f>
        <v>0</v>
      </c>
      <c r="N175" s="203"/>
      <c r="O175" s="200" t="e">
        <f aca="false">IF(A176="","",L175+J175+G175)</f>
        <v>#N/A</v>
      </c>
      <c r="P175" s="200" t="e">
        <f aca="false">IF(A176="","",M175+K175+H175)</f>
        <v>#N/A</v>
      </c>
      <c r="Q175" s="204"/>
      <c r="R175" s="227" t="e">
        <f aca="false">R163</f>
        <v>#N/A</v>
      </c>
      <c r="S175" s="201" t="e">
        <f aca="false">IF(A176="","",R175)</f>
        <v>#N/A</v>
      </c>
      <c r="T175" s="200" t="e">
        <f aca="false">IF($A176="","",VLOOKUP($A175,Table,MATCH(T$4,Curves,0)))</f>
        <v>#N/A</v>
      </c>
      <c r="U175" s="201" t="e">
        <f aca="false">IF(A176="","",T175)</f>
        <v>#N/A</v>
      </c>
      <c r="V175" s="183" t="e">
        <f aca="false">IF($A176="","",IF(AND(MONTH(A175)&gt;3,MONTH(A175)&lt;11),(T175+R175+G175)*(((1/(1-Summary!$T$14))/(1-Summary!$W$14))-1),(T175+R175+G175)*((1/(1-Summary!$U$14))/(1-Summary!$X$14)-1)))</f>
        <v>#N/A</v>
      </c>
      <c r="W175" s="202" t="e">
        <f aca="false">IF($A176="","",(T175+R175+G175+V175))</f>
        <v>#N/A</v>
      </c>
      <c r="X175" s="202" t="e">
        <f aca="false">IF($A176="","",(U175+S175+H175+V175))</f>
        <v>#N/A</v>
      </c>
      <c r="Y175" s="202"/>
      <c r="Z175" s="185" t="e">
        <f aca="false">IF($A176="","",VLOOKUP($A175,Table,MATCH(Z$4,Curves,0)))</f>
        <v>#N/A</v>
      </c>
      <c r="AA175" s="185" t="e">
        <f aca="false">IF($A176="","",VLOOKUP($A175,Table,MATCH(AA$4,Curves,0)))</f>
        <v>#N/A</v>
      </c>
      <c r="AB175" s="185" t="e">
        <f aca="false">SQRT((AA175^2*(A175-$D$3)+Z175^2*(DAY(EOMONTH(A175,0))/2))/AK175)</f>
        <v>#N/A</v>
      </c>
      <c r="AC175" s="185" t="e">
        <f aca="false">IF($A176="","",VLOOKUP($A175,Table,MATCH(AC$4,Curves,0)))</f>
        <v>#N/A</v>
      </c>
      <c r="AD175" s="185" t="e">
        <f aca="false">IF($A176="","",VLOOKUP($A175,Table,MATCH(AD$4,Curves,0)))</f>
        <v>#N/A</v>
      </c>
      <c r="AE175" s="185" t="e">
        <f aca="false">SQRT((AD175^2*(A175-$D$3)+AC175^2*(DAY(EOMONTH(A175,0))/2))/AK175)</f>
        <v>#N/A</v>
      </c>
      <c r="AF175" s="224" t="e">
        <f aca="false">((Summary!$N$14*(AA175*AD175)*(A175-$D$3))+(Summary!$M$14*Z175*AC175*(AJ175-EOMONTH(EDATE(A175,-1),0))))/(AK175*AB175*AE175)</f>
        <v>#N/A</v>
      </c>
      <c r="AG175" s="207" t="n">
        <f aca="false">IF($A176="","",Summary!$Q$14)</f>
        <v>0</v>
      </c>
      <c r="AH175" s="207" t="n">
        <f aca="false">IF($A176="","",IF(Summary!$R$12="Y",(VLOOKUP($A175,Summary!$AD$6:$AF$9,3)+'Escalating commodity'!J188),'Escalating commodity'!J188))</f>
        <v>0</v>
      </c>
      <c r="AI175" s="207" t="n">
        <f aca="false">IF($A176="","",AH175)</f>
        <v>0</v>
      </c>
      <c r="AJ175" s="208" t="n">
        <f aca="false">A175+DAY(EOMONTH(A175,0))/2-1</f>
        <v>42078.5</v>
      </c>
      <c r="AK175" s="209" t="n">
        <f aca="false">IF($A176="","",$A175-$E$1)</f>
        <v>-3862</v>
      </c>
      <c r="AL175" s="182" t="e">
        <f aca="false">IF($A176="","",SPRDOPT(P175,X175,AI175,0,AB175,AE175,AF175,AK175,$AJ$2,0))</f>
        <v>#NAME?</v>
      </c>
      <c r="AM175" s="211" t="e">
        <f aca="false">IF($A176="","",MAX(0,O175-W175-AI175))</f>
        <v>#N/A</v>
      </c>
      <c r="AN175" s="211" t="e">
        <f aca="false">IF($A176="","",AL175-AM175)</f>
        <v>#N/A</v>
      </c>
      <c r="AO175" s="137" t="n">
        <f aca="false">IF(A176="","",A176-A175)</f>
        <v>31</v>
      </c>
      <c r="AP175" s="212" t="n">
        <f aca="false">IF(A176="","",CHOOSE(F$3,A176+24,A175))</f>
        <v>42064</v>
      </c>
      <c r="AQ175" s="209" t="n">
        <f aca="false">IF(A176="","",AP175-$E$1)</f>
        <v>-3862</v>
      </c>
      <c r="AR175" s="185" t="n">
        <f aca="false">'ANR OK vs ML7'!AR175</f>
        <v>0.1</v>
      </c>
      <c r="AS175" s="213" t="n">
        <f aca="false">IF(A176="","",1/(1+CHOOSE(F$3,(AR176+($I$3/10000))/2,(AR175+($I$3/10000))/2))^(2*AQ175/365.25))</f>
        <v>2.80603760361718</v>
      </c>
      <c r="AT175" s="137" t="n">
        <f aca="false">IF(A176="","",IF(AND(mthbeg&lt;=A175,mthend&gt;=A175),1,0))</f>
        <v>1</v>
      </c>
      <c r="AU175" s="137" t="n">
        <f aca="false">IF(A176="","",AO175*AT175)</f>
        <v>31</v>
      </c>
      <c r="AW175" s="195" t="e">
        <f aca="false">IF($A176="","",AL175*$E175)</f>
        <v>#NAME?</v>
      </c>
      <c r="AX175" s="195" t="e">
        <f aca="false">IF($A176="","",AM175*$E175)</f>
        <v>#N/A</v>
      </c>
      <c r="AY175" s="195" t="e">
        <f aca="false">IF($A176="","",AN175*$E175)</f>
        <v>#N/A</v>
      </c>
      <c r="BA175" s="195" t="n">
        <f aca="false">IF($A176="","",F175*Summary!$Q$14)</f>
        <v>0</v>
      </c>
    </row>
    <row r="176" customFormat="false" ht="12" hidden="false" customHeight="true" outlineLevel="0" collapsed="false">
      <c r="A176" s="196" t="n">
        <f aca="false">IF(A175&lt;mthend,EDATE(A175,1),"")</f>
        <v>42095</v>
      </c>
      <c r="B176" s="197" t="str">
        <f aca="false">IF(A176&lt;mthend,B175,"")</f>
        <v/>
      </c>
      <c r="C176" s="215"/>
      <c r="D176" s="197" t="str">
        <f aca="false">IF(A177&lt;&gt;"",B176+C176,"")</f>
        <v/>
      </c>
      <c r="E176" s="199" t="str">
        <f aca="false">IF(A177="","",IF(AND(AT176=1,$H$3=1),D176*AO176,IF($H$3=2,D176,"N/A")))</f>
        <v/>
      </c>
      <c r="F176" s="199" t="str">
        <f aca="false">IF(A177="","",E176*AS176)</f>
        <v/>
      </c>
      <c r="G176" s="200" t="str">
        <f aca="false">IF($A177="","",VLOOKUP($A176,Table,MATCH(G$4,Curves,0)))</f>
        <v/>
      </c>
      <c r="H176" s="201" t="str">
        <f aca="false">IF(A177="","",G176)</f>
        <v/>
      </c>
      <c r="I176" s="202"/>
      <c r="J176" s="200" t="str">
        <f aca="false">IF($A177="","",VLOOKUP($A176,Table,MATCH(J$4,Curves,0)))</f>
        <v/>
      </c>
      <c r="K176" s="201" t="str">
        <f aca="false">IF(A177="","",J176)</f>
        <v/>
      </c>
      <c r="L176" s="185" t="n">
        <v>0</v>
      </c>
      <c r="M176" s="201" t="str">
        <f aca="false">IF(A177="","",L176)</f>
        <v/>
      </c>
      <c r="N176" s="203"/>
      <c r="O176" s="200" t="str">
        <f aca="false">IF(A177="","",L176+J176+G176)</f>
        <v/>
      </c>
      <c r="P176" s="200" t="str">
        <f aca="false">IF(A177="","",M176+K176+H176)</f>
        <v/>
      </c>
      <c r="Q176" s="204"/>
      <c r="R176" s="200" t="str">
        <f aca="false">IF($A177="","",VLOOKUP($A176,Table,MATCH(R$4,Curves,0)))</f>
        <v/>
      </c>
      <c r="S176" s="201" t="str">
        <f aca="false">IF(A177="","",R176)</f>
        <v/>
      </c>
      <c r="T176" s="200" t="str">
        <f aca="false">IF($A177="","",VLOOKUP($A176,Table,MATCH(T$4,Curves,0)))</f>
        <v/>
      </c>
      <c r="U176" s="201" t="str">
        <f aca="false">IF(A177="","",T176)</f>
        <v/>
      </c>
      <c r="V176" s="183" t="str">
        <f aca="false">IF($A177="","",IF(AND(MONTH(A176)&gt;3,MONTH(A176)&lt;11),(T176+R176+G176)*(((1/(1-Summary!$T$14))/(1-Summary!$W$14))-1),(T176+R176+G176)*((1/(1-Summary!$U$14))/(1-Summary!$X$14)-1)))</f>
        <v/>
      </c>
      <c r="W176" s="202" t="str">
        <f aca="false">IF($A177="","",(T176+R176+G176+V176))</f>
        <v/>
      </c>
      <c r="X176" s="202" t="str">
        <f aca="false">IF($A177="","",(U176+S176+H176+V176))</f>
        <v/>
      </c>
      <c r="Y176" s="202"/>
      <c r="Z176" s="185" t="str">
        <f aca="false">IF($A177="","",VLOOKUP($A176,Table,MATCH(Z$4,Curves,0)))</f>
        <v/>
      </c>
      <c r="AA176" s="185" t="str">
        <f aca="false">IF($A177="","",VLOOKUP($A176,Table,MATCH(AA$4,Curves,0)))</f>
        <v/>
      </c>
      <c r="AB176" s="185" t="e">
        <f aca="false">SQRT((AA176^2*(A176-$D$3)+Z176^2*(DAY(EOMONTH(A176,0))/2))/AK176)</f>
        <v>#VALUE!</v>
      </c>
      <c r="AC176" s="185" t="str">
        <f aca="false">IF($A177="","",VLOOKUP($A176,Table,MATCH(AC$4,Curves,0)))</f>
        <v/>
      </c>
      <c r="AD176" s="185" t="str">
        <f aca="false">IF($A177="","",VLOOKUP($A176,Table,MATCH(AD$4,Curves,0)))</f>
        <v/>
      </c>
      <c r="AE176" s="185" t="e">
        <f aca="false">SQRT((AD176^2*(A176-$D$3)+AC176^2*(DAY(EOMONTH(A176,0))/2))/AK176)</f>
        <v>#VALUE!</v>
      </c>
      <c r="AF176" s="224" t="e">
        <f aca="false">((Summary!$N$14*(AA176*AD176)*(A176-$D$3))+(Summary!$M$14*Z176*AC176*(AJ176-EOMONTH(EDATE(A176,-1),0))))/(AK176*AB176*AE176)</f>
        <v>#VALUE!</v>
      </c>
      <c r="AG176" s="207" t="str">
        <f aca="false">IF($A177="","",Summary!$Q$14)</f>
        <v/>
      </c>
      <c r="AH176" s="207" t="str">
        <f aca="false">IF($A177="","",IF(Summary!$R$12="Y",(VLOOKUP($A176,Summary!$AD$6:$AF$9,3)+'Escalating commodity'!J189),'Escalating commodity'!J189))</f>
        <v/>
      </c>
      <c r="AI176" s="207" t="str">
        <f aca="false">IF($A177="","",AH176)</f>
        <v/>
      </c>
      <c r="AJ176" s="208" t="n">
        <f aca="false">A176+DAY(EOMONTH(A176,0))/2-1</f>
        <v>42109</v>
      </c>
      <c r="AK176" s="209" t="str">
        <f aca="false">IF($A177="","",$A176-$E$1)</f>
        <v/>
      </c>
      <c r="AL176" s="182" t="str">
        <f aca="false">IF($A177="","",SPRDOPT(P176,X176,AI176,0,AB176,AE176,AF176,AK176,$AJ$2,0))</f>
        <v/>
      </c>
      <c r="AM176" s="211" t="str">
        <f aca="false">IF($A177="","",MAX(0,O176-W176-AI176))</f>
        <v/>
      </c>
      <c r="AN176" s="211" t="str">
        <f aca="false">IF($A177="","",AL176-AM176)</f>
        <v/>
      </c>
      <c r="AO176" s="137" t="str">
        <f aca="false">IF(A177="","",A177-A176)</f>
        <v/>
      </c>
      <c r="AP176" s="212" t="str">
        <f aca="false">IF(A177="","",CHOOSE(F$3,A177+24,A176))</f>
        <v/>
      </c>
      <c r="AQ176" s="209" t="str">
        <f aca="false">IF(A177="","",AP176-$E$1)</f>
        <v/>
      </c>
      <c r="AR176" s="185" t="n">
        <f aca="false">'ANR OK vs ML7'!AR176</f>
        <v>0.1</v>
      </c>
      <c r="AS176" s="213" t="str">
        <f aca="false">IF(A177="","",1/(1+CHOOSE(F$3,(AR177+($I$3/10000))/2,(AR176+($I$3/10000))/2))^(2*AQ176/365.25))</f>
        <v/>
      </c>
      <c r="AT176" s="137" t="str">
        <f aca="false">IF(A177="","",IF(AND(mthbeg&lt;=A176,mthend&gt;=A176),1,0))</f>
        <v/>
      </c>
      <c r="AU176" s="137" t="str">
        <f aca="false">IF(A177="","",AO176*AT176)</f>
        <v/>
      </c>
      <c r="AW176" s="195" t="str">
        <f aca="false">IF($A177="","",AL176*$E176)</f>
        <v/>
      </c>
      <c r="AX176" s="195" t="str">
        <f aca="false">IF($A177="","",AM176*$E176)</f>
        <v/>
      </c>
      <c r="AY176" s="195" t="str">
        <f aca="false">IF($A177="","",AN176*$E176)</f>
        <v/>
      </c>
      <c r="BA176" s="195" t="str">
        <f aca="false">IF($A177="","",F176*Summary!$Q$14)</f>
        <v/>
      </c>
    </row>
    <row r="177" customFormat="false" ht="12" hidden="false" customHeight="true" outlineLevel="0" collapsed="false">
      <c r="A177" s="196" t="str">
        <f aca="false">IF(A176&lt;mthend,EDATE(A176,1),"")</f>
        <v/>
      </c>
      <c r="B177" s="197" t="str">
        <f aca="false">IF(A177&lt;mthend,B176,"")</f>
        <v/>
      </c>
      <c r="C177" s="215"/>
      <c r="D177" s="197" t="str">
        <f aca="false">IF(A178&lt;&gt;"",B177+C177,"")</f>
        <v/>
      </c>
      <c r="E177" s="199" t="str">
        <f aca="false">IF(A178="","",IF(AND(AT177=1,$H$3=1),D177*AO177,IF($H$3=2,D177,"N/A")))</f>
        <v/>
      </c>
      <c r="F177" s="199" t="str">
        <f aca="false">IF(A178="","",E177*AS177)</f>
        <v/>
      </c>
      <c r="G177" s="200" t="str">
        <f aca="false">IF($A178="","",VLOOKUP($A177,Table,MATCH(G$4,Curves,0)))</f>
        <v/>
      </c>
      <c r="H177" s="201" t="str">
        <f aca="false">IF(A178="","",G177)</f>
        <v/>
      </c>
      <c r="I177" s="202"/>
      <c r="J177" s="200" t="str">
        <f aca="false">IF($A178="","",VLOOKUP($A177,Table,MATCH(J$4,Curves,0)))</f>
        <v/>
      </c>
      <c r="K177" s="201" t="str">
        <f aca="false">IF(A178="","",J177)</f>
        <v/>
      </c>
      <c r="L177" s="185" t="n">
        <v>0</v>
      </c>
      <c r="M177" s="201" t="str">
        <f aca="false">IF(A178="","",L177)</f>
        <v/>
      </c>
      <c r="N177" s="203"/>
      <c r="O177" s="200" t="str">
        <f aca="false">IF(A178="","",L177+J177+G177)</f>
        <v/>
      </c>
      <c r="P177" s="200" t="str">
        <f aca="false">IF(A178="","",M177+K177+H177)</f>
        <v/>
      </c>
      <c r="Q177" s="204"/>
      <c r="R177" s="200" t="str">
        <f aca="false">IF($A178="","",VLOOKUP($A177,Table,MATCH(R$4,Curves,0)))</f>
        <v/>
      </c>
      <c r="S177" s="201" t="str">
        <f aca="false">IF(A178="","",R177)</f>
        <v/>
      </c>
      <c r="T177" s="200" t="str">
        <f aca="false">IF($A178="","",VLOOKUP($A177,Table,MATCH(T$4,Curves,0)))</f>
        <v/>
      </c>
      <c r="U177" s="201" t="str">
        <f aca="false">IF(A178="","",T177)</f>
        <v/>
      </c>
      <c r="V177" s="183" t="str">
        <f aca="false">IF($A178="","",IF(AND(MONTH(A177)&gt;3,MONTH(A177)&lt;11),(T177+R177+G177)*(((1/(1-Summary!$T$14))/(1-Summary!$W$14))-1),(T177+R177+G177)*((1/(1-Summary!$U$14))/(1-Summary!$X$14)-1)))</f>
        <v/>
      </c>
      <c r="W177" s="202" t="str">
        <f aca="false">IF($A178="","",(T177+R177+G177+V177))</f>
        <v/>
      </c>
      <c r="X177" s="202" t="str">
        <f aca="false">IF($A178="","",(U177+S177+H177+V177))</f>
        <v/>
      </c>
      <c r="Y177" s="202"/>
      <c r="Z177" s="185" t="str">
        <f aca="false">IF($A178="","",VLOOKUP($A177,Table,MATCH(Z$4,Curves,0)))</f>
        <v/>
      </c>
      <c r="AA177" s="185" t="str">
        <f aca="false">IF($A178="","",VLOOKUP($A177,Table,MATCH(AA$4,Curves,0)))</f>
        <v/>
      </c>
      <c r="AB177" s="185" t="e">
        <f aca="false">SQRT((AA177^2*(A177-$D$3)+Z177^2*(DAY(EOMONTH(A177,0))/2))/AK177)</f>
        <v>#VALUE!</v>
      </c>
      <c r="AC177" s="185" t="str">
        <f aca="false">IF($A178="","",VLOOKUP($A177,Table,MATCH(AC$4,Curves,0)))</f>
        <v/>
      </c>
      <c r="AD177" s="185" t="str">
        <f aca="false">IF($A178="","",VLOOKUP($A177,Table,MATCH(AD$4,Curves,0)))</f>
        <v/>
      </c>
      <c r="AE177" s="185" t="e">
        <f aca="false">SQRT((AD177^2*(A177-$D$3)+AC177^2*(DAY(EOMONTH(A177,0))/2))/AK177)</f>
        <v>#VALUE!</v>
      </c>
      <c r="AF177" s="224" t="e">
        <f aca="false">((Summary!$N$14*(AA177*AD177)*(A177-$D$3))+(Summary!$M$14*Z177*AC177*(AJ177-EOMONTH(EDATE(A177,-1),0))))/(AK177*AB177*AE177)</f>
        <v>#VALUE!</v>
      </c>
      <c r="AG177" s="207" t="str">
        <f aca="false">IF($A178="","",Summary!$Q$14)</f>
        <v/>
      </c>
      <c r="AH177" s="207" t="str">
        <f aca="false">IF($A178="","",IF(Summary!$R$12="Y",(VLOOKUP($A177,Summary!$AD$6:$AF$9,3)+'Escalating commodity'!J190),'Escalating commodity'!J190))</f>
        <v/>
      </c>
      <c r="AI177" s="207" t="str">
        <f aca="false">IF($A178="","",AH177)</f>
        <v/>
      </c>
      <c r="AJ177" s="208" t="e">
        <f aca="false">A177+DAY(EOMONTH(A177,0))/2-1</f>
        <v>#VALUE!</v>
      </c>
      <c r="AK177" s="209" t="str">
        <f aca="false">IF($A178="","",$A177-$E$1)</f>
        <v/>
      </c>
      <c r="AL177" s="182" t="str">
        <f aca="false">IF($A178="","",SPRDOPT(P177,X177,AI177,0,AB177,AE177,AF177,AK177,$AJ$2,0))</f>
        <v/>
      </c>
      <c r="AM177" s="211" t="str">
        <f aca="false">IF($A178="","",MAX(0,O177-W177-AI177))</f>
        <v/>
      </c>
      <c r="AN177" s="211" t="str">
        <f aca="false">IF($A178="","",AL177-AM177)</f>
        <v/>
      </c>
      <c r="AO177" s="137" t="str">
        <f aca="false">IF(A178="","",A178-A177)</f>
        <v/>
      </c>
      <c r="AP177" s="212" t="str">
        <f aca="false">IF(A178="","",CHOOSE(F$3,A178+24,A177))</f>
        <v/>
      </c>
      <c r="AQ177" s="209" t="str">
        <f aca="false">IF(A178="","",AP177-$E$1)</f>
        <v/>
      </c>
      <c r="AR177" s="185" t="n">
        <f aca="false">'ANR OK vs ML7'!AR177</f>
        <v>0.1</v>
      </c>
      <c r="AS177" s="213" t="str">
        <f aca="false">IF(A178="","",1/(1+CHOOSE(F$3,(AR178+($I$3/10000))/2,(AR177+($I$3/10000))/2))^(2*AQ177/365.25))</f>
        <v/>
      </c>
      <c r="AT177" s="137" t="str">
        <f aca="false">IF(A178="","",IF(AND(mthbeg&lt;=A177,mthend&gt;=A177),1,0))</f>
        <v/>
      </c>
      <c r="AU177" s="137" t="str">
        <f aca="false">IF(A178="","",AO177*AT177)</f>
        <v/>
      </c>
      <c r="AW177" s="195" t="str">
        <f aca="false">IF($A178="","",AL177*$E177)</f>
        <v/>
      </c>
      <c r="AX177" s="195" t="str">
        <f aca="false">IF($A178="","",AM177*$E177)</f>
        <v/>
      </c>
      <c r="AY177" s="195" t="str">
        <f aca="false">IF($A178="","",AN177*$E177)</f>
        <v/>
      </c>
      <c r="BA177" s="195" t="str">
        <f aca="false">IF($A178="","",F177*Summary!$Q$14)</f>
        <v/>
      </c>
    </row>
    <row r="178" customFormat="false" ht="12" hidden="false" customHeight="true" outlineLevel="0" collapsed="false">
      <c r="A178" s="196" t="str">
        <f aca="false">IF(A177&lt;mthend,EDATE(A177,1),"")</f>
        <v/>
      </c>
      <c r="B178" s="197" t="str">
        <f aca="false">IF(A178&lt;mthend,B177,"")</f>
        <v/>
      </c>
      <c r="C178" s="215"/>
      <c r="D178" s="197" t="str">
        <f aca="false">IF(A179&lt;&gt;"",B178+C178,"")</f>
        <v/>
      </c>
      <c r="E178" s="199" t="str">
        <f aca="false">IF(A179="","",IF(AND(AT178=1,$H$3=1),D178*AO178,IF($H$3=2,D178,"N/A")))</f>
        <v/>
      </c>
      <c r="F178" s="199" t="str">
        <f aca="false">IF(A179="","",E178*AS178)</f>
        <v/>
      </c>
      <c r="G178" s="200" t="str">
        <f aca="false">IF($A179="","",VLOOKUP($A178,Table,MATCH(G$4,Curves,0)))</f>
        <v/>
      </c>
      <c r="H178" s="201" t="str">
        <f aca="false">IF(A179="","",G178)</f>
        <v/>
      </c>
      <c r="I178" s="202"/>
      <c r="J178" s="200" t="str">
        <f aca="false">IF($A179="","",VLOOKUP($A178,Table,MATCH(J$4,Curves,0)))</f>
        <v/>
      </c>
      <c r="K178" s="201" t="str">
        <f aca="false">IF(A179="","",J178)</f>
        <v/>
      </c>
      <c r="L178" s="185" t="n">
        <v>0</v>
      </c>
      <c r="M178" s="201" t="str">
        <f aca="false">IF(A179="","",L178)</f>
        <v/>
      </c>
      <c r="N178" s="203"/>
      <c r="O178" s="200" t="str">
        <f aca="false">IF(A179="","",L178+J178+G178)</f>
        <v/>
      </c>
      <c r="P178" s="200" t="str">
        <f aca="false">IF(A179="","",M178+K178+H178)</f>
        <v/>
      </c>
      <c r="Q178" s="204"/>
      <c r="R178" s="200" t="str">
        <f aca="false">IF($A179="","",VLOOKUP($A178,Table,MATCH(R$4,Curves,0)))</f>
        <v/>
      </c>
      <c r="S178" s="201" t="str">
        <f aca="false">IF(A179="","",R178)</f>
        <v/>
      </c>
      <c r="T178" s="200" t="str">
        <f aca="false">IF($A179="","",VLOOKUP($A178,Table,MATCH(T$4,Curves,0)))</f>
        <v/>
      </c>
      <c r="U178" s="201" t="str">
        <f aca="false">IF(A179="","",T178)</f>
        <v/>
      </c>
      <c r="V178" s="183" t="str">
        <f aca="false">IF($A179="","",IF(AND(MONTH(A178)&gt;3,MONTH(A178)&lt;11),(T178+R178+G178)*(((1/(1-Summary!$T$14))/(1-Summary!$W$14))-1),(T178+R178+G178)*((1/(1-Summary!$U$14))/(1-Summary!$X$14)-1)))</f>
        <v/>
      </c>
      <c r="W178" s="202" t="str">
        <f aca="false">IF($A179="","",(T178+R178+G178+V178))</f>
        <v/>
      </c>
      <c r="X178" s="202" t="str">
        <f aca="false">IF($A179="","",(U178+S178+H178+V178))</f>
        <v/>
      </c>
      <c r="Y178" s="202"/>
      <c r="Z178" s="185" t="str">
        <f aca="false">IF($A179="","",VLOOKUP($A178,Table,MATCH(Z$4,Curves,0)))</f>
        <v/>
      </c>
      <c r="AA178" s="185" t="str">
        <f aca="false">IF($A179="","",VLOOKUP($A178,Table,MATCH(AA$4,Curves,0)))</f>
        <v/>
      </c>
      <c r="AB178" s="185" t="e">
        <f aca="false">SQRT((AA178^2*(A178-$D$3)+Z178^2*(DAY(EOMONTH(A178,0))/2))/AK178)</f>
        <v>#VALUE!</v>
      </c>
      <c r="AC178" s="185" t="str">
        <f aca="false">IF($A179="","",VLOOKUP($A178,Table,MATCH(AC$4,Curves,0)))</f>
        <v/>
      </c>
      <c r="AD178" s="185" t="str">
        <f aca="false">IF($A179="","",VLOOKUP($A178,Table,MATCH(AD$4,Curves,0)))</f>
        <v/>
      </c>
      <c r="AE178" s="185" t="e">
        <f aca="false">SQRT((AD178^2*(A178-$D$3)+AC178^2*(DAY(EOMONTH(A178,0))/2))/AK178)</f>
        <v>#VALUE!</v>
      </c>
      <c r="AF178" s="224" t="e">
        <f aca="false">((Summary!$N$14*(AA178*AD178)*(A178-$D$3))+(Summary!$M$14*Z178*AC178*(AJ178-EOMONTH(EDATE(A178,-1),0))))/(AK178*AB178*AE178)</f>
        <v>#VALUE!</v>
      </c>
      <c r="AG178" s="207" t="str">
        <f aca="false">IF($A179="","",Summary!$Q$14)</f>
        <v/>
      </c>
      <c r="AH178" s="207" t="str">
        <f aca="false">IF($A179="","",IF(Summary!$R$12="Y",(VLOOKUP($A178,Summary!$AD$6:$AF$9,3)+'Escalating commodity'!J191),'Escalating commodity'!J191))</f>
        <v/>
      </c>
      <c r="AI178" s="207" t="str">
        <f aca="false">IF($A179="","",AH178)</f>
        <v/>
      </c>
      <c r="AJ178" s="208" t="e">
        <f aca="false">A178+DAY(EOMONTH(A178,0))/2-1</f>
        <v>#VALUE!</v>
      </c>
      <c r="AK178" s="209" t="str">
        <f aca="false">IF($A179="","",$A178-$E$1)</f>
        <v/>
      </c>
      <c r="AL178" s="182" t="str">
        <f aca="false">IF($A179="","",SPRDOPT(P178,X178,AI178,0,AB178,AE178,AF178,AK178,$AJ$2,0))</f>
        <v/>
      </c>
      <c r="AM178" s="211" t="str">
        <f aca="false">IF($A179="","",MAX(0,O178-W178-AI178))</f>
        <v/>
      </c>
      <c r="AN178" s="211" t="str">
        <f aca="false">IF($A179="","",AL178-AM178)</f>
        <v/>
      </c>
      <c r="AO178" s="137" t="str">
        <f aca="false">IF(A179="","",A179-A178)</f>
        <v/>
      </c>
      <c r="AP178" s="212" t="str">
        <f aca="false">IF(A179="","",CHOOSE(F$3,A179+24,A178))</f>
        <v/>
      </c>
      <c r="AQ178" s="209" t="str">
        <f aca="false">IF(A179="","",AP178-$E$1)</f>
        <v/>
      </c>
      <c r="AR178" s="185" t="n">
        <f aca="false">'ANR OK vs ML7'!AR178</f>
        <v>0.1</v>
      </c>
      <c r="AS178" s="213" t="str">
        <f aca="false">IF(A179="","",1/(1+CHOOSE(F$3,(AR179+($I$3/10000))/2,(AR178+($I$3/10000))/2))^(2*AQ178/365.25))</f>
        <v/>
      </c>
      <c r="AT178" s="137" t="str">
        <f aca="false">IF(A179="","",IF(AND(mthbeg&lt;=A178,mthend&gt;=A178),1,0))</f>
        <v/>
      </c>
      <c r="AU178" s="137" t="str">
        <f aca="false">IF(A179="","",AO178*AT178)</f>
        <v/>
      </c>
      <c r="AW178" s="195" t="str">
        <f aca="false">IF($A179="","",AL178*$E178)</f>
        <v/>
      </c>
      <c r="AX178" s="195" t="str">
        <f aca="false">IF($A179="","",AM178*$E178)</f>
        <v/>
      </c>
      <c r="AY178" s="195" t="str">
        <f aca="false">IF($A179="","",AN178*$E178)</f>
        <v/>
      </c>
      <c r="BA178" s="195" t="str">
        <f aca="false">IF($A179="","",F178*Summary!$Q$14)</f>
        <v/>
      </c>
    </row>
    <row r="179" customFormat="false" ht="12" hidden="false" customHeight="true" outlineLevel="0" collapsed="false">
      <c r="A179" s="196" t="str">
        <f aca="false">IF(A178&lt;mthend,EDATE(A178,1),"")</f>
        <v/>
      </c>
      <c r="B179" s="197" t="str">
        <f aca="false">IF(A179&lt;mthend,B178,"")</f>
        <v/>
      </c>
      <c r="C179" s="215"/>
      <c r="D179" s="197" t="str">
        <f aca="false">IF(A180&lt;&gt;"",B179+C179,"")</f>
        <v/>
      </c>
      <c r="E179" s="199" t="str">
        <f aca="false">IF(A180="","",IF(AND(AT179=1,$H$3=1),D179*AO179,IF($H$3=2,D179,"N/A")))</f>
        <v/>
      </c>
      <c r="F179" s="199" t="str">
        <f aca="false">IF(A180="","",E179*AS179)</f>
        <v/>
      </c>
      <c r="G179" s="200" t="str">
        <f aca="false">IF($A180="","",VLOOKUP($A179,Table,MATCH(G$4,Curves,0)))</f>
        <v/>
      </c>
      <c r="H179" s="201" t="str">
        <f aca="false">IF(A180="","",G179)</f>
        <v/>
      </c>
      <c r="I179" s="202"/>
      <c r="J179" s="200" t="str">
        <f aca="false">IF($A180="","",VLOOKUP($A179,Table,MATCH(J$4,Curves,0)))</f>
        <v/>
      </c>
      <c r="K179" s="201" t="str">
        <f aca="false">IF(A180="","",J179)</f>
        <v/>
      </c>
      <c r="L179" s="185" t="n">
        <v>0</v>
      </c>
      <c r="M179" s="201" t="str">
        <f aca="false">IF(A180="","",L179)</f>
        <v/>
      </c>
      <c r="N179" s="203"/>
      <c r="O179" s="200" t="str">
        <f aca="false">IF(A180="","",L179+J179+G179)</f>
        <v/>
      </c>
      <c r="P179" s="200" t="str">
        <f aca="false">IF(A180="","",M179+K179+H179)</f>
        <v/>
      </c>
      <c r="Q179" s="204"/>
      <c r="R179" s="200" t="str">
        <f aca="false">IF($A180="","",VLOOKUP($A179,Table,MATCH(R$4,Curves,0)))</f>
        <v/>
      </c>
      <c r="S179" s="201" t="str">
        <f aca="false">IF(A180="","",R179)</f>
        <v/>
      </c>
      <c r="T179" s="200" t="str">
        <f aca="false">IF($A180="","",VLOOKUP($A179,Table,MATCH(T$4,Curves,0)))</f>
        <v/>
      </c>
      <c r="U179" s="201" t="str">
        <f aca="false">IF(A180="","",T179)</f>
        <v/>
      </c>
      <c r="V179" s="183" t="str">
        <f aca="false">IF($A180="","",IF(AND(MONTH(A179)&gt;3,MONTH(A179)&lt;11),(T179+R179+G179)*(((1/(1-Summary!$T$14))/(1-Summary!$W$14))-1),(T179+R179+G179)*((1/(1-Summary!$U$14))/(1-Summary!$X$14)-1)))</f>
        <v/>
      </c>
      <c r="W179" s="202" t="str">
        <f aca="false">IF($A180="","",(T179+R179+G179+V179))</f>
        <v/>
      </c>
      <c r="X179" s="202" t="str">
        <f aca="false">IF($A180="","",(U179+S179+H179+V179))</f>
        <v/>
      </c>
      <c r="Y179" s="202"/>
      <c r="Z179" s="185" t="str">
        <f aca="false">IF($A180="","",VLOOKUP($A179,Table,MATCH(Z$4,Curves,0)))</f>
        <v/>
      </c>
      <c r="AA179" s="185" t="str">
        <f aca="false">IF($A180="","",VLOOKUP($A179,Table,MATCH(AA$4,Curves,0)))</f>
        <v/>
      </c>
      <c r="AB179" s="185" t="e">
        <f aca="false">SQRT((AA179^2*(A179-$D$3)+Z179^2*(DAY(EOMONTH(A179,0))/2))/AK179)</f>
        <v>#VALUE!</v>
      </c>
      <c r="AC179" s="185" t="str">
        <f aca="false">IF($A180="","",VLOOKUP($A179,Table,MATCH(AC$4,Curves,0)))</f>
        <v/>
      </c>
      <c r="AD179" s="185" t="str">
        <f aca="false">IF($A180="","",VLOOKUP($A179,Table,MATCH(AD$4,Curves,0)))</f>
        <v/>
      </c>
      <c r="AE179" s="185" t="e">
        <f aca="false">SQRT((AD179^2*(A179-$D$3)+AC179^2*(DAY(EOMONTH(A179,0))/2))/AK179)</f>
        <v>#VALUE!</v>
      </c>
      <c r="AF179" s="224" t="e">
        <f aca="false">((Summary!$N$14*(AA179*AD179)*(A179-$D$3))+(Summary!$M$14*Z179*AC179*(AJ179-EOMONTH(EDATE(A179,-1),0))))/(AK179*AB179*AE179)</f>
        <v>#VALUE!</v>
      </c>
      <c r="AG179" s="207" t="str">
        <f aca="false">IF($A180="","",Summary!$Q$14)</f>
        <v/>
      </c>
      <c r="AH179" s="207" t="str">
        <f aca="false">IF($A180="","",IF(Summary!$R$12="Y",(VLOOKUP($A179,Summary!$AD$6:$AF$9,3)+'Escalating commodity'!J192),'Escalating commodity'!J192))</f>
        <v/>
      </c>
      <c r="AI179" s="207" t="str">
        <f aca="false">IF($A180="","",AH179)</f>
        <v/>
      </c>
      <c r="AJ179" s="208" t="e">
        <f aca="false">A179+DAY(EOMONTH(A179,0))/2-1</f>
        <v>#VALUE!</v>
      </c>
      <c r="AK179" s="209" t="str">
        <f aca="false">IF($A180="","",$A179-$E$1)</f>
        <v/>
      </c>
      <c r="AL179" s="182" t="str">
        <f aca="false">IF($A180="","",SPRDOPT(P179,X179,AI179,0,AB179,AE179,AF179,AK179,$AJ$2,0))</f>
        <v/>
      </c>
      <c r="AM179" s="211" t="str">
        <f aca="false">IF($A180="","",MAX(0,O179-W179-AI179))</f>
        <v/>
      </c>
      <c r="AN179" s="211" t="str">
        <f aca="false">IF($A180="","",AL179-AM179)</f>
        <v/>
      </c>
      <c r="AO179" s="137" t="str">
        <f aca="false">IF(A180="","",A180-A179)</f>
        <v/>
      </c>
      <c r="AP179" s="212" t="str">
        <f aca="false">IF(A180="","",CHOOSE(F$3,A180+24,A179))</f>
        <v/>
      </c>
      <c r="AQ179" s="209" t="str">
        <f aca="false">IF(A180="","",AP179-$E$1)</f>
        <v/>
      </c>
      <c r="AR179" s="185" t="n">
        <f aca="false">'ANR OK vs ML7'!AR179</f>
        <v>0.1</v>
      </c>
      <c r="AS179" s="213" t="str">
        <f aca="false">IF(A180="","",1/(1+CHOOSE(F$3,(AR180+($I$3/10000))/2,(AR179+($I$3/10000))/2))^(2*AQ179/365.25))</f>
        <v/>
      </c>
      <c r="AT179" s="137" t="str">
        <f aca="false">IF(A180="","",IF(AND(mthbeg&lt;=A179,mthend&gt;=A179),1,0))</f>
        <v/>
      </c>
      <c r="AU179" s="137" t="str">
        <f aca="false">IF(A180="","",AO179*AT179)</f>
        <v/>
      </c>
      <c r="AW179" s="195" t="str">
        <f aca="false">IF($A180="","",AL179*$E179)</f>
        <v/>
      </c>
      <c r="AX179" s="195" t="str">
        <f aca="false">IF($A180="","",AM179*$E179)</f>
        <v/>
      </c>
      <c r="AY179" s="195" t="str">
        <f aca="false">IF($A180="","",AN179*$E179)</f>
        <v/>
      </c>
      <c r="BA179" s="195" t="str">
        <f aca="false">IF($A180="","",F179*Summary!$Q$14)</f>
        <v/>
      </c>
    </row>
    <row r="180" customFormat="false" ht="12" hidden="false" customHeight="true" outlineLevel="0" collapsed="false">
      <c r="A180" s="196" t="str">
        <f aca="false">IF(A179&lt;mthend,EDATE(A179,1),"")</f>
        <v/>
      </c>
      <c r="B180" s="197" t="str">
        <f aca="false">IF(A180&lt;mthend,B179,"")</f>
        <v/>
      </c>
      <c r="C180" s="215"/>
      <c r="D180" s="197" t="str">
        <f aca="false">IF(A181&lt;&gt;"",B180+C180,"")</f>
        <v/>
      </c>
      <c r="E180" s="199" t="str">
        <f aca="false">IF(A181="","",IF(AND(AT180=1,$H$3=1),D180*AO180,IF($H$3=2,D180,"N/A")))</f>
        <v/>
      </c>
      <c r="F180" s="199" t="str">
        <f aca="false">IF(A181="","",E180*AS180)</f>
        <v/>
      </c>
      <c r="G180" s="200" t="str">
        <f aca="false">IF($A181="","",VLOOKUP($A180,Table,MATCH(G$4,Curves,0)))</f>
        <v/>
      </c>
      <c r="H180" s="201" t="str">
        <f aca="false">IF(A181="","",G180)</f>
        <v/>
      </c>
      <c r="I180" s="202"/>
      <c r="J180" s="200" t="str">
        <f aca="false">IF($A181="","",VLOOKUP($A180,Table,MATCH(J$4,Curves,0)))</f>
        <v/>
      </c>
      <c r="K180" s="201" t="str">
        <f aca="false">IF(A181="","",J180)</f>
        <v/>
      </c>
      <c r="L180" s="185" t="n">
        <v>0</v>
      </c>
      <c r="M180" s="201" t="str">
        <f aca="false">IF(A181="","",L180)</f>
        <v/>
      </c>
      <c r="N180" s="203"/>
      <c r="O180" s="200" t="str">
        <f aca="false">IF(A181="","",L180+J180+G180)</f>
        <v/>
      </c>
      <c r="P180" s="200" t="str">
        <f aca="false">IF(A181="","",M180+K180+H180)</f>
        <v/>
      </c>
      <c r="Q180" s="204"/>
      <c r="R180" s="200" t="str">
        <f aca="false">IF($A181="","",VLOOKUP($A180,Table,MATCH(R$4,Curves,0)))</f>
        <v/>
      </c>
      <c r="S180" s="201" t="str">
        <f aca="false">IF(A181="","",R180)</f>
        <v/>
      </c>
      <c r="T180" s="200" t="str">
        <f aca="false">IF($A181="","",VLOOKUP($A180,Table,MATCH(T$4,Curves,0)))</f>
        <v/>
      </c>
      <c r="U180" s="201" t="str">
        <f aca="false">IF(A181="","",T180)</f>
        <v/>
      </c>
      <c r="V180" s="183" t="str">
        <f aca="false">IF($A181="","",IF(AND(MONTH(A180)&gt;3,MONTH(A180)&lt;11),(T180+R180+G180)*(((1/(1-Summary!$T$14))/(1-Summary!$W$14))-1),(T180+R180+G180)*((1/(1-Summary!$U$14))/(1-Summary!$X$14)-1)))</f>
        <v/>
      </c>
      <c r="W180" s="202" t="str">
        <f aca="false">IF($A181="","",(T180+R180+G180+V180))</f>
        <v/>
      </c>
      <c r="X180" s="202" t="str">
        <f aca="false">IF($A181="","",(U180+S180+H180+V180))</f>
        <v/>
      </c>
      <c r="Y180" s="202"/>
      <c r="Z180" s="185" t="str">
        <f aca="false">IF($A181="","",VLOOKUP($A180,Table,MATCH(Z$4,Curves,0)))</f>
        <v/>
      </c>
      <c r="AA180" s="185" t="str">
        <f aca="false">IF($A181="","",VLOOKUP($A180,Table,MATCH(AA$4,Curves,0)))</f>
        <v/>
      </c>
      <c r="AB180" s="185" t="e">
        <f aca="false">SQRT((AA180^2*(A180-$D$3)+Z180^2*(DAY(EOMONTH(A180,0))/2))/AK180)</f>
        <v>#VALUE!</v>
      </c>
      <c r="AC180" s="185" t="str">
        <f aca="false">IF($A181="","",VLOOKUP($A180,Table,MATCH(AC$4,Curves,0)))</f>
        <v/>
      </c>
      <c r="AD180" s="185" t="str">
        <f aca="false">IF($A181="","",VLOOKUP($A180,Table,MATCH(AD$4,Curves,0)))</f>
        <v/>
      </c>
      <c r="AE180" s="185" t="e">
        <f aca="false">SQRT((AD180^2*(A180-$D$3)+AC180^2*(DAY(EOMONTH(A180,0))/2))/AK180)</f>
        <v>#VALUE!</v>
      </c>
      <c r="AF180" s="224" t="e">
        <f aca="false">((Summary!$N$14*(AA180*AD180)*(A180-$D$3))+(Summary!$M$14*Z180*AC180*(AJ180-EOMONTH(EDATE(A180,-1),0))))/(AK180*AB180*AE180)</f>
        <v>#VALUE!</v>
      </c>
      <c r="AG180" s="207" t="str">
        <f aca="false">IF($A181="","",Summary!$Q$14)</f>
        <v/>
      </c>
      <c r="AH180" s="207" t="str">
        <f aca="false">IF($A181="","",IF(Summary!$R$12="Y",(VLOOKUP($A180,Summary!$AD$6:$AF$9,3)+'Escalating commodity'!J193),'Escalating commodity'!J193))</f>
        <v/>
      </c>
      <c r="AI180" s="207" t="str">
        <f aca="false">IF($A181="","",AH180)</f>
        <v/>
      </c>
      <c r="AJ180" s="208" t="e">
        <f aca="false">A180+DAY(EOMONTH(A180,0))/2-1</f>
        <v>#VALUE!</v>
      </c>
      <c r="AK180" s="209" t="str">
        <f aca="false">IF($A181="","",$A180-$E$1)</f>
        <v/>
      </c>
      <c r="AL180" s="182" t="str">
        <f aca="false">IF($A181="","",SPRDOPT(P180,X180,AI180,0,AB180,AE180,AF180,AK180,$AJ$2,0))</f>
        <v/>
      </c>
      <c r="AM180" s="211" t="str">
        <f aca="false">IF($A181="","",MAX(0,O180-W180-AI180))</f>
        <v/>
      </c>
      <c r="AN180" s="211" t="str">
        <f aca="false">IF($A181="","",AL180-AM180)</f>
        <v/>
      </c>
      <c r="AO180" s="137" t="str">
        <f aca="false">IF(A181="","",A181-A180)</f>
        <v/>
      </c>
      <c r="AP180" s="212" t="str">
        <f aca="false">IF(A181="","",CHOOSE(F$3,A181+24,A180))</f>
        <v/>
      </c>
      <c r="AQ180" s="209" t="str">
        <f aca="false">IF(A181="","",AP180-$E$1)</f>
        <v/>
      </c>
      <c r="AR180" s="185" t="n">
        <f aca="false">'ANR OK vs ML7'!AR180</f>
        <v>0.1</v>
      </c>
      <c r="AS180" s="213" t="str">
        <f aca="false">IF(A181="","",1/(1+CHOOSE(F$3,(AR181+($I$3/10000))/2,(AR180+($I$3/10000))/2))^(2*AQ180/365.25))</f>
        <v/>
      </c>
      <c r="AT180" s="137" t="str">
        <f aca="false">IF(A181="","",IF(AND(mthbeg&lt;=A180,mthend&gt;=A180),1,0))</f>
        <v/>
      </c>
      <c r="AU180" s="137" t="str">
        <f aca="false">IF(A181="","",AO180*AT180)</f>
        <v/>
      </c>
      <c r="AW180" s="195" t="str">
        <f aca="false">IF($A181="","",AL180*$E180)</f>
        <v/>
      </c>
      <c r="AX180" s="195" t="str">
        <f aca="false">IF($A181="","",AM180*$E180)</f>
        <v/>
      </c>
      <c r="AY180" s="195" t="str">
        <f aca="false">IF($A181="","",AN180*$E180)</f>
        <v/>
      </c>
      <c r="BA180" s="195" t="str">
        <f aca="false">IF($A181="","",F180*Summary!$Q$14)</f>
        <v/>
      </c>
    </row>
    <row r="181" customFormat="false" ht="12" hidden="false" customHeight="true" outlineLevel="0" collapsed="false">
      <c r="A181" s="196" t="str">
        <f aca="false">IF(A180&lt;mthend,EDATE(A180,1),"")</f>
        <v/>
      </c>
      <c r="B181" s="197" t="str">
        <f aca="false">IF(A181&lt;mthend,B180,"")</f>
        <v/>
      </c>
      <c r="C181" s="215"/>
      <c r="D181" s="197" t="str">
        <f aca="false">IF(A182&lt;&gt;"",B181+C181,"")</f>
        <v/>
      </c>
      <c r="E181" s="199" t="str">
        <f aca="false">IF(A182="","",IF(AND(AT181=1,$H$3=1),D181*AO181,IF($H$3=2,D181,"N/A")))</f>
        <v/>
      </c>
      <c r="F181" s="199" t="str">
        <f aca="false">IF(A182="","",E181*AS181)</f>
        <v/>
      </c>
      <c r="G181" s="200" t="str">
        <f aca="false">IF($A182="","",VLOOKUP($A181,Table,MATCH(G$4,Curves,0)))</f>
        <v/>
      </c>
      <c r="H181" s="201" t="str">
        <f aca="false">IF(A182="","",G181)</f>
        <v/>
      </c>
      <c r="I181" s="202"/>
      <c r="J181" s="200" t="str">
        <f aca="false">IF($A182="","",VLOOKUP($A181,Table,MATCH(J$4,Curves,0)))</f>
        <v/>
      </c>
      <c r="K181" s="201" t="str">
        <f aca="false">IF(A182="","",J181)</f>
        <v/>
      </c>
      <c r="L181" s="185" t="n">
        <v>0</v>
      </c>
      <c r="M181" s="201" t="str">
        <f aca="false">IF(A182="","",L181)</f>
        <v/>
      </c>
      <c r="N181" s="203"/>
      <c r="O181" s="200" t="str">
        <f aca="false">IF(A182="","",L181+J181+G181)</f>
        <v/>
      </c>
      <c r="P181" s="200" t="str">
        <f aca="false">IF(A182="","",M181+K181+H181)</f>
        <v/>
      </c>
      <c r="Q181" s="204"/>
      <c r="R181" s="200" t="str">
        <f aca="false">IF($A182="","",VLOOKUP($A181,Table,MATCH(R$4,Curves,0)))</f>
        <v/>
      </c>
      <c r="S181" s="201" t="str">
        <f aca="false">IF(A182="","",R181)</f>
        <v/>
      </c>
      <c r="T181" s="200" t="str">
        <f aca="false">IF($A182="","",VLOOKUP($A181,Table,MATCH(T$4,Curves,0)))</f>
        <v/>
      </c>
      <c r="U181" s="201" t="str">
        <f aca="false">IF(A182="","",T181)</f>
        <v/>
      </c>
      <c r="V181" s="183" t="str">
        <f aca="false">IF($A182="","",IF(AND(MONTH(A181)&gt;3,MONTH(A181)&lt;11),(T181+R181+G181)*(((1/(1-Summary!$T$14))/(1-Summary!$W$14))-1),(T181+R181+G181)*((1/(1-Summary!$U$14))/(1-Summary!$X$14)-1)))</f>
        <v/>
      </c>
      <c r="W181" s="202" t="str">
        <f aca="false">IF($A182="","",(T181+R181+G181+V181))</f>
        <v/>
      </c>
      <c r="X181" s="202" t="str">
        <f aca="false">IF($A182="","",(U181+S181+H181+V181))</f>
        <v/>
      </c>
      <c r="Y181" s="202"/>
      <c r="Z181" s="185" t="str">
        <f aca="false">IF($A182="","",VLOOKUP($A181,Table,MATCH(Z$4,Curves,0)))</f>
        <v/>
      </c>
      <c r="AA181" s="185" t="str">
        <f aca="false">IF($A182="","",VLOOKUP($A181,Table,MATCH(AA$4,Curves,0)))</f>
        <v/>
      </c>
      <c r="AB181" s="185" t="e">
        <f aca="false">SQRT((AA181^2*(A181-$D$3)+Z181^2*(DAY(EOMONTH(A181,0))/2))/AK181)</f>
        <v>#VALUE!</v>
      </c>
      <c r="AC181" s="185" t="str">
        <f aca="false">IF($A182="","",VLOOKUP($A181,Table,MATCH(AC$4,Curves,0)))</f>
        <v/>
      </c>
      <c r="AD181" s="185" t="str">
        <f aca="false">IF($A182="","",VLOOKUP($A181,Table,MATCH(AD$4,Curves,0)))</f>
        <v/>
      </c>
      <c r="AE181" s="185" t="e">
        <f aca="false">SQRT((AD181^2*(A181-$D$3)+AC181^2*(DAY(EOMONTH(A181,0))/2))/AK181)</f>
        <v>#VALUE!</v>
      </c>
      <c r="AF181" s="224" t="e">
        <f aca="false">((Summary!$N$14*(AA181*AD181)*(A181-$D$3))+(Summary!$M$14*Z181*AC181*(AJ181-EOMONTH(EDATE(A181,-1),0))))/(AK181*AB181*AE181)</f>
        <v>#VALUE!</v>
      </c>
      <c r="AG181" s="207" t="str">
        <f aca="false">IF($A182="","",Summary!$Q$14)</f>
        <v/>
      </c>
      <c r="AH181" s="207" t="str">
        <f aca="false">IF($A182="","",IF(Summary!$R$12="Y",(VLOOKUP($A181,Summary!$AD$6:$AF$9,3)+'Escalating commodity'!J194),'Escalating commodity'!J194))</f>
        <v/>
      </c>
      <c r="AI181" s="207" t="str">
        <f aca="false">IF($A182="","",AH181)</f>
        <v/>
      </c>
      <c r="AJ181" s="208" t="e">
        <f aca="false">A181+DAY(EOMONTH(A181,0))/2-1</f>
        <v>#VALUE!</v>
      </c>
      <c r="AK181" s="209" t="str">
        <f aca="false">IF($A182="","",$A181-$E$1)</f>
        <v/>
      </c>
      <c r="AL181" s="182" t="str">
        <f aca="false">IF($A182="","",SPRDOPT(P181,X181,AI181,0,AB181,AE181,AF181,AK181,$AJ$2,0))</f>
        <v/>
      </c>
      <c r="AM181" s="211" t="str">
        <f aca="false">IF($A182="","",MAX(0,O181-W181-AI181))</f>
        <v/>
      </c>
      <c r="AN181" s="211" t="str">
        <f aca="false">IF($A182="","",AL181-AM181)</f>
        <v/>
      </c>
      <c r="AO181" s="137" t="str">
        <f aca="false">IF(A182="","",A182-A181)</f>
        <v/>
      </c>
      <c r="AP181" s="212" t="str">
        <f aca="false">IF(A182="","",CHOOSE(F$3,A182+24,A181))</f>
        <v/>
      </c>
      <c r="AQ181" s="209" t="str">
        <f aca="false">IF(A182="","",AP181-$E$1)</f>
        <v/>
      </c>
      <c r="AR181" s="185" t="n">
        <f aca="false">'ANR OK vs ML7'!AR181</f>
        <v>0.1</v>
      </c>
      <c r="AS181" s="213" t="str">
        <f aca="false">IF(A182="","",1/(1+CHOOSE(F$3,(AR182+($I$3/10000))/2,(AR181+($I$3/10000))/2))^(2*AQ181/365.25))</f>
        <v/>
      </c>
      <c r="AT181" s="137" t="str">
        <f aca="false">IF(A182="","",IF(AND(mthbeg&lt;=A181,mthend&gt;=A181),1,0))</f>
        <v/>
      </c>
      <c r="AU181" s="137" t="str">
        <f aca="false">IF(A182="","",AO181*AT181)</f>
        <v/>
      </c>
      <c r="AW181" s="195" t="str">
        <f aca="false">IF($A182="","",AL181*$E181)</f>
        <v/>
      </c>
      <c r="AX181" s="195" t="str">
        <f aca="false">IF($A182="","",AM181*$E181)</f>
        <v/>
      </c>
      <c r="AY181" s="195" t="str">
        <f aca="false">IF($A182="","",AN181*$E181)</f>
        <v/>
      </c>
      <c r="BA181" s="195" t="str">
        <f aca="false">IF($A182="","",F181*Summary!$Q$14)</f>
        <v/>
      </c>
    </row>
    <row r="182" customFormat="false" ht="12" hidden="false" customHeight="true" outlineLevel="0" collapsed="false">
      <c r="A182" s="196" t="str">
        <f aca="false">IF(A181&lt;mthend,EDATE(A181,1),"")</f>
        <v/>
      </c>
      <c r="B182" s="197" t="str">
        <f aca="false">IF(A182&lt;mthend,B181,"")</f>
        <v/>
      </c>
      <c r="C182" s="215"/>
      <c r="D182" s="197" t="str">
        <f aca="false">IF(A183&lt;&gt;"",B182+C182,"")</f>
        <v/>
      </c>
      <c r="E182" s="199" t="str">
        <f aca="false">IF(A183="","",IF(AND(AT182=1,$H$3=1),D182*AO182,IF($H$3=2,D182,"N/A")))</f>
        <v/>
      </c>
      <c r="F182" s="199" t="str">
        <f aca="false">IF(A183="","",E182*AS182)</f>
        <v/>
      </c>
      <c r="G182" s="200" t="str">
        <f aca="false">IF($A183="","",VLOOKUP($A182,Table,MATCH(G$4,Curves,0)))</f>
        <v/>
      </c>
      <c r="H182" s="201" t="str">
        <f aca="false">IF(A183="","",G182)</f>
        <v/>
      </c>
      <c r="I182" s="202"/>
      <c r="J182" s="200" t="str">
        <f aca="false">IF($A183="","",VLOOKUP($A182,Table,MATCH(J$4,Curves,0)))</f>
        <v/>
      </c>
      <c r="K182" s="201" t="str">
        <f aca="false">IF(A183="","",J182)</f>
        <v/>
      </c>
      <c r="L182" s="185" t="n">
        <v>0</v>
      </c>
      <c r="M182" s="201" t="str">
        <f aca="false">IF(A183="","",L182)</f>
        <v/>
      </c>
      <c r="N182" s="203"/>
      <c r="O182" s="200" t="str">
        <f aca="false">IF(A183="","",L182+J182+G182)</f>
        <v/>
      </c>
      <c r="P182" s="200" t="str">
        <f aca="false">IF(A183="","",M182+K182+H182)</f>
        <v/>
      </c>
      <c r="Q182" s="204"/>
      <c r="R182" s="200" t="str">
        <f aca="false">IF($A183="","",VLOOKUP($A182,Table,MATCH(R$4,Curves,0)))</f>
        <v/>
      </c>
      <c r="S182" s="201" t="str">
        <f aca="false">IF(A183="","",R182)</f>
        <v/>
      </c>
      <c r="T182" s="200" t="str">
        <f aca="false">IF($A183="","",VLOOKUP($A182,Table,MATCH(T$4,Curves,0)))</f>
        <v/>
      </c>
      <c r="U182" s="201" t="str">
        <f aca="false">IF(A183="","",T182)</f>
        <v/>
      </c>
      <c r="V182" s="183" t="str">
        <f aca="false">IF($A183="","",IF(AND(MONTH(A182)&gt;3,MONTH(A182)&lt;11),(T182+R182+G182)*(((1/(1-Summary!$T$14))/(1-Summary!$W$14))-1),(T182+R182+G182)*((1/(1-Summary!$U$14))/(1-Summary!$X$14)-1)))</f>
        <v/>
      </c>
      <c r="W182" s="202" t="str">
        <f aca="false">IF($A183="","",(T182+R182+G182+V182))</f>
        <v/>
      </c>
      <c r="X182" s="202" t="str">
        <f aca="false">IF($A183="","",(U182+S182+H182+V182))</f>
        <v/>
      </c>
      <c r="Y182" s="202"/>
      <c r="Z182" s="185" t="str">
        <f aca="false">IF($A183="","",VLOOKUP($A182,Table,MATCH(Z$4,Curves,0)))</f>
        <v/>
      </c>
      <c r="AA182" s="185" t="str">
        <f aca="false">IF($A183="","",VLOOKUP($A182,Table,MATCH(AA$4,Curves,0)))</f>
        <v/>
      </c>
      <c r="AB182" s="185" t="e">
        <f aca="false">SQRT((AA182^2*(A182-$D$3)+Z182^2*(DAY(EOMONTH(A182,0))/2))/AK182)</f>
        <v>#VALUE!</v>
      </c>
      <c r="AC182" s="185" t="str">
        <f aca="false">IF($A183="","",VLOOKUP($A182,Table,MATCH(AC$4,Curves,0)))</f>
        <v/>
      </c>
      <c r="AD182" s="185" t="str">
        <f aca="false">IF($A183="","",VLOOKUP($A182,Table,MATCH(AD$4,Curves,0)))</f>
        <v/>
      </c>
      <c r="AE182" s="185" t="e">
        <f aca="false">SQRT((AD182^2*(A182-$D$3)+AC182^2*(DAY(EOMONTH(A182,0))/2))/AK182)</f>
        <v>#VALUE!</v>
      </c>
      <c r="AF182" s="224" t="e">
        <f aca="false">((Summary!$N$14*(AA182*AD182)*(A182-$D$3))+(Summary!$M$14*Z182*AC182*(AJ182-EOMONTH(EDATE(A182,-1),0))))/(AK182*AB182*AE182)</f>
        <v>#VALUE!</v>
      </c>
      <c r="AG182" s="207" t="str">
        <f aca="false">IF($A183="","",Summary!$Q$14)</f>
        <v/>
      </c>
      <c r="AH182" s="207" t="str">
        <f aca="false">IF($A183="","",IF(Summary!$R$12="Y",(VLOOKUP($A182,Summary!$AD$6:$AF$9,3)+'Escalating commodity'!J195),'Escalating commodity'!J195))</f>
        <v/>
      </c>
      <c r="AI182" s="207" t="str">
        <f aca="false">IF($A183="","",AH182)</f>
        <v/>
      </c>
      <c r="AJ182" s="208" t="e">
        <f aca="false">A182+DAY(EOMONTH(A182,0))/2-1</f>
        <v>#VALUE!</v>
      </c>
      <c r="AK182" s="209" t="str">
        <f aca="false">IF($A183="","",$A182-$E$1)</f>
        <v/>
      </c>
      <c r="AL182" s="182" t="str">
        <f aca="false">IF($A183="","",SPRDOPT(P182,X182,AI182,0,AB182,AE182,AF182,AK182,$AJ$2,0))</f>
        <v/>
      </c>
      <c r="AM182" s="211" t="str">
        <f aca="false">IF($A183="","",MAX(0,O182-W182-AI182))</f>
        <v/>
      </c>
      <c r="AN182" s="211" t="str">
        <f aca="false">IF($A183="","",AL182-AM182)</f>
        <v/>
      </c>
      <c r="AO182" s="137" t="str">
        <f aca="false">IF(A183="","",A183-A182)</f>
        <v/>
      </c>
      <c r="AP182" s="212" t="str">
        <f aca="false">IF(A183="","",CHOOSE(F$3,A183+24,A182))</f>
        <v/>
      </c>
      <c r="AQ182" s="209" t="str">
        <f aca="false">IF(A183="","",AP182-$E$1)</f>
        <v/>
      </c>
      <c r="AR182" s="185" t="n">
        <f aca="false">'ANR OK vs ML7'!AR182</f>
        <v>0.1</v>
      </c>
      <c r="AS182" s="213" t="str">
        <f aca="false">IF(A183="","",1/(1+CHOOSE(F$3,(AR183+($I$3/10000))/2,(AR182+($I$3/10000))/2))^(2*AQ182/365.25))</f>
        <v/>
      </c>
      <c r="AT182" s="137" t="str">
        <f aca="false">IF(A183="","",IF(AND(mthbeg&lt;=A182,mthend&gt;=A182),1,0))</f>
        <v/>
      </c>
      <c r="AU182" s="137" t="str">
        <f aca="false">IF(A183="","",AO182*AT182)</f>
        <v/>
      </c>
      <c r="AW182" s="195" t="str">
        <f aca="false">IF($A183="","",AL182*$E182)</f>
        <v/>
      </c>
      <c r="AX182" s="195" t="str">
        <f aca="false">IF($A183="","",AM182*$E182)</f>
        <v/>
      </c>
      <c r="AY182" s="195" t="str">
        <f aca="false">IF($A183="","",AN182*$E182)</f>
        <v/>
      </c>
      <c r="BA182" s="195" t="str">
        <f aca="false">IF($A183="","",F182*Summary!$Q$14)</f>
        <v/>
      </c>
    </row>
    <row r="183" customFormat="false" ht="12" hidden="false" customHeight="true" outlineLevel="0" collapsed="false">
      <c r="A183" s="196" t="str">
        <f aca="false">IF(A182&lt;mthend,EDATE(A182,1),"")</f>
        <v/>
      </c>
      <c r="B183" s="197" t="str">
        <f aca="false">IF(A183&lt;mthend,B182,"")</f>
        <v/>
      </c>
      <c r="C183" s="215"/>
      <c r="D183" s="197" t="str">
        <f aca="false">IF(A184&lt;&gt;"",B183+C183,"")</f>
        <v/>
      </c>
      <c r="E183" s="199" t="str">
        <f aca="false">IF(A184="","",IF(AND(AT183=1,$H$3=1),D183*AO183,IF($H$3=2,D183,"N/A")))</f>
        <v/>
      </c>
      <c r="F183" s="199" t="str">
        <f aca="false">IF(A184="","",E183*AS183)</f>
        <v/>
      </c>
      <c r="G183" s="200" t="str">
        <f aca="false">IF($A184="","",VLOOKUP($A183,Table,MATCH(G$4,Curves,0)))</f>
        <v/>
      </c>
      <c r="H183" s="201" t="str">
        <f aca="false">IF(A184="","",G183)</f>
        <v/>
      </c>
      <c r="I183" s="202"/>
      <c r="J183" s="200" t="str">
        <f aca="false">IF($A184="","",VLOOKUP($A183,Table,MATCH(J$4,Curves,0)))</f>
        <v/>
      </c>
      <c r="K183" s="201" t="str">
        <f aca="false">IF(A184="","",J183)</f>
        <v/>
      </c>
      <c r="L183" s="185" t="n">
        <v>0</v>
      </c>
      <c r="M183" s="201" t="str">
        <f aca="false">IF(A184="","",L183)</f>
        <v/>
      </c>
      <c r="N183" s="203"/>
      <c r="O183" s="200" t="str">
        <f aca="false">IF(A184="","",L183+J183+G183)</f>
        <v/>
      </c>
      <c r="P183" s="200" t="str">
        <f aca="false">IF(A184="","",M183+K183+H183)</f>
        <v/>
      </c>
      <c r="Q183" s="204"/>
      <c r="R183" s="200" t="str">
        <f aca="false">IF($A184="","",VLOOKUP($A183,Table,MATCH(R$4,Curves,0)))</f>
        <v/>
      </c>
      <c r="S183" s="201" t="str">
        <f aca="false">IF(A184="","",R183)</f>
        <v/>
      </c>
      <c r="T183" s="200" t="str">
        <f aca="false">IF($A184="","",VLOOKUP($A183,Table,MATCH(T$4,Curves,0)))</f>
        <v/>
      </c>
      <c r="U183" s="201" t="str">
        <f aca="false">IF(A184="","",T183)</f>
        <v/>
      </c>
      <c r="V183" s="183" t="str">
        <f aca="false">IF($A184="","",IF(AND(MONTH(A183)&gt;3,MONTH(A183)&lt;11),(T183+R183+G183)*(((1/(1-Summary!$T$14))/(1-Summary!$W$14))-1),(T183+R183+G183)*((1/(1-Summary!$U$14))/(1-Summary!$X$14)-1)))</f>
        <v/>
      </c>
      <c r="W183" s="202" t="str">
        <f aca="false">IF($A184="","",(T183+R183+G183+V183))</f>
        <v/>
      </c>
      <c r="X183" s="202" t="str">
        <f aca="false">IF($A184="","",(U183+S183+H183+V183))</f>
        <v/>
      </c>
      <c r="Y183" s="202"/>
      <c r="Z183" s="185" t="str">
        <f aca="false">IF($A184="","",VLOOKUP($A183,Table,MATCH(Z$4,Curves,0)))</f>
        <v/>
      </c>
      <c r="AA183" s="185" t="str">
        <f aca="false">IF($A184="","",VLOOKUP($A183,Table,MATCH(AA$4,Curves,0)))</f>
        <v/>
      </c>
      <c r="AB183" s="185" t="e">
        <f aca="false">SQRT((AA183^2*(A183-$D$3)+Z183^2*(DAY(EOMONTH(A183,0))/2))/AK183)</f>
        <v>#VALUE!</v>
      </c>
      <c r="AC183" s="185" t="str">
        <f aca="false">IF($A184="","",VLOOKUP($A183,Table,MATCH(AC$4,Curves,0)))</f>
        <v/>
      </c>
      <c r="AD183" s="185" t="str">
        <f aca="false">IF($A184="","",VLOOKUP($A183,Table,MATCH(AD$4,Curves,0)))</f>
        <v/>
      </c>
      <c r="AE183" s="185" t="e">
        <f aca="false">SQRT((AD183^2*(A183-$D$3)+AC183^2*(DAY(EOMONTH(A183,0))/2))/AK183)</f>
        <v>#VALUE!</v>
      </c>
      <c r="AF183" s="224" t="e">
        <f aca="false">((Summary!$N$14*(AA183*AD183)*(A183-$D$3))+(Summary!$M$14*Z183*AC183*(AJ183-EOMONTH(EDATE(A183,-1),0))))/(AK183*AB183*AE183)</f>
        <v>#VALUE!</v>
      </c>
      <c r="AG183" s="207" t="str">
        <f aca="false">IF($A184="","",Summary!$Q$14)</f>
        <v/>
      </c>
      <c r="AH183" s="207" t="str">
        <f aca="false">IF($A184="","",IF(Summary!$R$12="Y",(VLOOKUP($A183,Summary!$AD$6:$AF$9,3)+'Escalating commodity'!J196),'Escalating commodity'!J196))</f>
        <v/>
      </c>
      <c r="AI183" s="207" t="str">
        <f aca="false">IF($A184="","",AH183)</f>
        <v/>
      </c>
      <c r="AJ183" s="208" t="e">
        <f aca="false">A183+DAY(EOMONTH(A183,0))/2-1</f>
        <v>#VALUE!</v>
      </c>
      <c r="AK183" s="209" t="str">
        <f aca="false">IF($A184="","",$A183-$E$1)</f>
        <v/>
      </c>
      <c r="AL183" s="182" t="str">
        <f aca="false">IF($A184="","",SPRDOPT(P183,X183,AI183,0,AB183,AE183,AF183,AK183,$AJ$2,0))</f>
        <v/>
      </c>
      <c r="AM183" s="211" t="str">
        <f aca="false">IF($A184="","",MAX(0,O183-W183-AI183))</f>
        <v/>
      </c>
      <c r="AN183" s="211" t="str">
        <f aca="false">IF($A184="","",AL183-AM183)</f>
        <v/>
      </c>
      <c r="AO183" s="137" t="str">
        <f aca="false">IF(A184="","",A184-A183)</f>
        <v/>
      </c>
      <c r="AP183" s="212" t="str">
        <f aca="false">IF(A184="","",CHOOSE(F$3,A184+24,A183))</f>
        <v/>
      </c>
      <c r="AQ183" s="209" t="str">
        <f aca="false">IF(A184="","",AP183-$E$1)</f>
        <v/>
      </c>
      <c r="AR183" s="185" t="n">
        <f aca="false">'ANR OK vs ML7'!AR183</f>
        <v>0.1</v>
      </c>
      <c r="AS183" s="213" t="str">
        <f aca="false">IF(A184="","",1/(1+CHOOSE(F$3,(AR184+($I$3/10000))/2,(AR183+($I$3/10000))/2))^(2*AQ183/365.25))</f>
        <v/>
      </c>
      <c r="AT183" s="137" t="str">
        <f aca="false">IF(A184="","",IF(AND(mthbeg&lt;=A183,mthend&gt;=A183),1,0))</f>
        <v/>
      </c>
      <c r="AU183" s="137" t="str">
        <f aca="false">IF(A184="","",AO183*AT183)</f>
        <v/>
      </c>
      <c r="AW183" s="195" t="str">
        <f aca="false">IF($A184="","",AL183*$E183)</f>
        <v/>
      </c>
      <c r="AX183" s="195" t="str">
        <f aca="false">IF($A184="","",AM183*$E183)</f>
        <v/>
      </c>
      <c r="AY183" s="195" t="str">
        <f aca="false">IF($A184="","",AN183*$E183)</f>
        <v/>
      </c>
      <c r="BA183" s="195" t="str">
        <f aca="false">IF($A184="","",F183*Summary!$Q$14)</f>
        <v/>
      </c>
    </row>
    <row r="184" customFormat="false" ht="12" hidden="false" customHeight="true" outlineLevel="0" collapsed="false">
      <c r="A184" s="196" t="str">
        <f aca="false">IF(A183&lt;mthend,EDATE(A183,1),"")</f>
        <v/>
      </c>
      <c r="B184" s="197" t="str">
        <f aca="false">IF(A184&lt;mthend,B183,"")</f>
        <v/>
      </c>
      <c r="C184" s="215"/>
      <c r="D184" s="197" t="str">
        <f aca="false">IF(A185&lt;&gt;"",B184+C184,"")</f>
        <v/>
      </c>
      <c r="E184" s="199" t="str">
        <f aca="false">IF(A185="","",IF(AND(AT184=1,$H$3=1),D184*AO184,IF($H$3=2,D184,"N/A")))</f>
        <v/>
      </c>
      <c r="F184" s="199" t="str">
        <f aca="false">IF(A185="","",E184*AS184)</f>
        <v/>
      </c>
      <c r="G184" s="200" t="str">
        <f aca="false">IF($A185="","",VLOOKUP($A184,Table,MATCH(G$4,Curves,0)))</f>
        <v/>
      </c>
      <c r="H184" s="201" t="str">
        <f aca="false">IF(A185="","",G184)</f>
        <v/>
      </c>
      <c r="I184" s="202"/>
      <c r="J184" s="200" t="str">
        <f aca="false">IF($A185="","",VLOOKUP($A184,Table,MATCH(J$4,Curves,0)))</f>
        <v/>
      </c>
      <c r="K184" s="201" t="str">
        <f aca="false">IF(A185="","",J184)</f>
        <v/>
      </c>
      <c r="L184" s="185" t="n">
        <v>0</v>
      </c>
      <c r="M184" s="201" t="str">
        <f aca="false">IF(A185="","",L184)</f>
        <v/>
      </c>
      <c r="N184" s="203"/>
      <c r="O184" s="200" t="str">
        <f aca="false">IF(A185="","",L184+J184+G184)</f>
        <v/>
      </c>
      <c r="P184" s="200" t="str">
        <f aca="false">IF(A185="","",M184+K184+H184)</f>
        <v/>
      </c>
      <c r="Q184" s="204"/>
      <c r="R184" s="200" t="str">
        <f aca="false">IF($A185="","",VLOOKUP($A184,Table,MATCH(R$4,Curves,0)))</f>
        <v/>
      </c>
      <c r="S184" s="201" t="str">
        <f aca="false">IF(A185="","",R184)</f>
        <v/>
      </c>
      <c r="T184" s="200" t="str">
        <f aca="false">IF($A185="","",VLOOKUP($A184,Table,MATCH(T$4,Curves,0)))</f>
        <v/>
      </c>
      <c r="U184" s="201" t="str">
        <f aca="false">IF(A185="","",T184)</f>
        <v/>
      </c>
      <c r="V184" s="183" t="str">
        <f aca="false">IF($A185="","",IF(AND(MONTH(A184)&gt;3,MONTH(A184)&lt;11),(T184+R184+G184)*(((1/(1-Summary!$T$14))/(1-Summary!$W$14))-1),(T184+R184+G184)*((1/(1-Summary!$U$14))/(1-Summary!$X$14)-1)))</f>
        <v/>
      </c>
      <c r="W184" s="202" t="str">
        <f aca="false">IF($A185="","",(T184+R184+G184+V184))</f>
        <v/>
      </c>
      <c r="X184" s="202" t="str">
        <f aca="false">IF($A185="","",(U184+S184+H184+V184))</f>
        <v/>
      </c>
      <c r="Y184" s="202"/>
      <c r="Z184" s="185" t="str">
        <f aca="false">IF($A185="","",VLOOKUP($A184,Table,MATCH(Z$4,Curves,0)))</f>
        <v/>
      </c>
      <c r="AA184" s="185" t="str">
        <f aca="false">IF($A185="","",VLOOKUP($A184,Table,MATCH(AA$4,Curves,0)))</f>
        <v/>
      </c>
      <c r="AB184" s="185" t="e">
        <f aca="false">SQRT((AA184^2*(A184-$D$3)+Z184^2*(DAY(EOMONTH(A184,0))/2))/AK184)</f>
        <v>#VALUE!</v>
      </c>
      <c r="AC184" s="185" t="str">
        <f aca="false">IF($A185="","",VLOOKUP($A184,Table,MATCH(AC$4,Curves,0)))</f>
        <v/>
      </c>
      <c r="AD184" s="185" t="str">
        <f aca="false">IF($A185="","",VLOOKUP($A184,Table,MATCH(AD$4,Curves,0)))</f>
        <v/>
      </c>
      <c r="AE184" s="185" t="e">
        <f aca="false">SQRT((AD184^2*(A184-$D$3)+AC184^2*(DAY(EOMONTH(A184,0))/2))/AK184)</f>
        <v>#VALUE!</v>
      </c>
      <c r="AF184" s="224" t="e">
        <f aca="false">((Summary!$N$14*(AA184*AD184)*(A184-$D$3))+(Summary!$M$14*Z184*AC184*(AJ184-EOMONTH(EDATE(A184,-1),0))))/(AK184*AB184*AE184)</f>
        <v>#VALUE!</v>
      </c>
      <c r="AG184" s="207" t="str">
        <f aca="false">IF($A185="","",Summary!$Q$14)</f>
        <v/>
      </c>
      <c r="AH184" s="207" t="str">
        <f aca="false">IF($A185="","",IF(Summary!$R$12="Y",(VLOOKUP($A184,Summary!$AD$6:$AF$9,3)+'Escalating commodity'!J197),'Escalating commodity'!J197))</f>
        <v/>
      </c>
      <c r="AI184" s="207" t="str">
        <f aca="false">IF($A185="","",AH184)</f>
        <v/>
      </c>
      <c r="AJ184" s="208" t="e">
        <f aca="false">A184+DAY(EOMONTH(A184,0))/2-1</f>
        <v>#VALUE!</v>
      </c>
      <c r="AK184" s="209" t="str">
        <f aca="false">IF($A185="","",$A184-$E$1)</f>
        <v/>
      </c>
      <c r="AL184" s="182" t="str">
        <f aca="false">IF($A185="","",SPRDOPT(P184,X184,AI184,0,AB184,AE184,AF184,AK184,$AJ$2,0))</f>
        <v/>
      </c>
      <c r="AM184" s="211" t="str">
        <f aca="false">IF($A185="","",MAX(0,O184-W184-AI184))</f>
        <v/>
      </c>
      <c r="AN184" s="211" t="str">
        <f aca="false">IF($A185="","",AL184-AM184)</f>
        <v/>
      </c>
      <c r="AO184" s="137" t="str">
        <f aca="false">IF(A185="","",A185-A184)</f>
        <v/>
      </c>
      <c r="AP184" s="212" t="str">
        <f aca="false">IF(A185="","",CHOOSE(F$3,A185+24,A184))</f>
        <v/>
      </c>
      <c r="AQ184" s="209" t="str">
        <f aca="false">IF(A185="","",AP184-$E$1)</f>
        <v/>
      </c>
      <c r="AR184" s="185" t="n">
        <f aca="false">'ANR OK vs ML7'!AR184</f>
        <v>0.1</v>
      </c>
      <c r="AS184" s="213" t="str">
        <f aca="false">IF(A185="","",1/(1+CHOOSE(F$3,(AR185+($I$3/10000))/2,(AR184+($I$3/10000))/2))^(2*AQ184/365.25))</f>
        <v/>
      </c>
      <c r="AT184" s="137" t="str">
        <f aca="false">IF(A185="","",IF(AND(mthbeg&lt;=A184,mthend&gt;=A184),1,0))</f>
        <v/>
      </c>
      <c r="AU184" s="137" t="str">
        <f aca="false">IF(A185="","",AO184*AT184)</f>
        <v/>
      </c>
      <c r="AW184" s="195" t="str">
        <f aca="false">IF($A185="","",AL184*$E184)</f>
        <v/>
      </c>
      <c r="AX184" s="195" t="str">
        <f aca="false">IF($A185="","",AM184*$E184)</f>
        <v/>
      </c>
      <c r="AY184" s="195" t="str">
        <f aca="false">IF($A185="","",AN184*$E184)</f>
        <v/>
      </c>
      <c r="BA184" s="195" t="str">
        <f aca="false">IF($A185="","",F184*Summary!$Q$14)</f>
        <v/>
      </c>
    </row>
    <row r="185" customFormat="false" ht="12" hidden="false" customHeight="true" outlineLevel="0" collapsed="false">
      <c r="A185" s="196" t="str">
        <f aca="false">IF(A184&lt;mthend,EDATE(A184,1),"")</f>
        <v/>
      </c>
      <c r="B185" s="197" t="str">
        <f aca="false">IF(A185&lt;mthend,B184,"")</f>
        <v/>
      </c>
      <c r="C185" s="215"/>
      <c r="D185" s="197" t="str">
        <f aca="false">IF(A186&lt;&gt;"",B185+C185,"")</f>
        <v/>
      </c>
      <c r="E185" s="199" t="str">
        <f aca="false">IF(A186="","",IF(AND(AT185=1,$H$3=1),D185*AO185,IF($H$3=2,D185,"N/A")))</f>
        <v/>
      </c>
      <c r="F185" s="199" t="str">
        <f aca="false">IF(A186="","",E185*AS185)</f>
        <v/>
      </c>
      <c r="G185" s="200" t="str">
        <f aca="false">IF($A186="","",VLOOKUP($A185,Table,MATCH(G$4,Curves,0)))</f>
        <v/>
      </c>
      <c r="H185" s="201" t="str">
        <f aca="false">IF(A186="","",G185)</f>
        <v/>
      </c>
      <c r="I185" s="202"/>
      <c r="J185" s="200" t="str">
        <f aca="false">IF($A186="","",VLOOKUP($A185,Table,MATCH(J$4,Curves,0)))</f>
        <v/>
      </c>
      <c r="K185" s="201" t="str">
        <f aca="false">IF(A186="","",J185)</f>
        <v/>
      </c>
      <c r="L185" s="185" t="n">
        <v>0</v>
      </c>
      <c r="M185" s="201" t="str">
        <f aca="false">IF(A186="","",L185)</f>
        <v/>
      </c>
      <c r="N185" s="203"/>
      <c r="O185" s="200" t="str">
        <f aca="false">IF(A186="","",L185+J185+G185)</f>
        <v/>
      </c>
      <c r="P185" s="200" t="str">
        <f aca="false">IF(A186="","",M185+K185+H185)</f>
        <v/>
      </c>
      <c r="Q185" s="204"/>
      <c r="R185" s="200" t="str">
        <f aca="false">IF($A186="","",VLOOKUP($A185,Table,MATCH(R$4,Curves,0)))</f>
        <v/>
      </c>
      <c r="S185" s="201" t="str">
        <f aca="false">IF(A186="","",R185)</f>
        <v/>
      </c>
      <c r="T185" s="200" t="str">
        <f aca="false">IF($A186="","",VLOOKUP($A185,Table,MATCH(T$4,Curves,0)))</f>
        <v/>
      </c>
      <c r="U185" s="201" t="str">
        <f aca="false">IF(A186="","",T185)</f>
        <v/>
      </c>
      <c r="V185" s="183" t="str">
        <f aca="false">IF($A186="","",IF(AND(MONTH(A185)&gt;3,MONTH(A185)&lt;11),(T185+R185+G185)*(((1/(1-Summary!$T$14))/(1-Summary!$W$14))-1),(T185+R185+G185)*((1/(1-Summary!$U$14))/(1-Summary!$X$14)-1)))</f>
        <v/>
      </c>
      <c r="W185" s="202" t="str">
        <f aca="false">IF($A186="","",(T185+R185+G185+V185))</f>
        <v/>
      </c>
      <c r="X185" s="202" t="str">
        <f aca="false">IF($A186="","",(U185+S185+H185+V185))</f>
        <v/>
      </c>
      <c r="Y185" s="202"/>
      <c r="Z185" s="185" t="str">
        <f aca="false">IF($A186="","",VLOOKUP($A185,Table,MATCH(Z$4,Curves,0)))</f>
        <v/>
      </c>
      <c r="AA185" s="185" t="str">
        <f aca="false">IF($A186="","",VLOOKUP($A185,Table,MATCH(AA$4,Curves,0)))</f>
        <v/>
      </c>
      <c r="AB185" s="185" t="e">
        <f aca="false">SQRT((AA185^2*(A185-$D$3)+Z185^2*(DAY(EOMONTH(A185,0))/2))/AK185)</f>
        <v>#VALUE!</v>
      </c>
      <c r="AC185" s="185" t="str">
        <f aca="false">IF($A186="","",VLOOKUP($A185,Table,MATCH(AC$4,Curves,0)))</f>
        <v/>
      </c>
      <c r="AD185" s="185" t="str">
        <f aca="false">IF($A186="","",VLOOKUP($A185,Table,MATCH(AD$4,Curves,0)))</f>
        <v/>
      </c>
      <c r="AE185" s="185" t="e">
        <f aca="false">SQRT((AD185^2*(A185-$D$3)+AC185^2*(DAY(EOMONTH(A185,0))/2))/AK185)</f>
        <v>#VALUE!</v>
      </c>
      <c r="AF185" s="224" t="e">
        <f aca="false">((Summary!$N$14*(AA185*AD185)*(A185-$D$3))+(Summary!$M$14*Z185*AC185*(AJ185-EOMONTH(EDATE(A185,-1),0))))/(AK185*AB185*AE185)</f>
        <v>#VALUE!</v>
      </c>
      <c r="AG185" s="207" t="str">
        <f aca="false">IF($A186="","",Summary!$Q$14)</f>
        <v/>
      </c>
      <c r="AH185" s="207" t="str">
        <f aca="false">IF($A186="","",IF(Summary!$R$12="Y",(VLOOKUP($A185,Summary!$AD$6:$AF$9,3)+'Escalating commodity'!J198),'Escalating commodity'!J198))</f>
        <v/>
      </c>
      <c r="AI185" s="207" t="str">
        <f aca="false">IF($A186="","",AH185)</f>
        <v/>
      </c>
      <c r="AJ185" s="208" t="e">
        <f aca="false">A185+DAY(EOMONTH(A185,0))/2-1</f>
        <v>#VALUE!</v>
      </c>
      <c r="AK185" s="209" t="str">
        <f aca="false">IF($A186="","",$A185-$E$1)</f>
        <v/>
      </c>
      <c r="AL185" s="182" t="str">
        <f aca="false">IF($A186="","",SPRDOPT(P185,X185,AI185,0,AB185,AE185,AF185,AK185,$AJ$2,0))</f>
        <v/>
      </c>
      <c r="AM185" s="211" t="str">
        <f aca="false">IF($A186="","",MAX(0,O185-W185-AI185))</f>
        <v/>
      </c>
      <c r="AN185" s="211" t="str">
        <f aca="false">IF($A186="","",AL185-AM185)</f>
        <v/>
      </c>
      <c r="AO185" s="137" t="str">
        <f aca="false">IF(A186="","",A186-A185)</f>
        <v/>
      </c>
      <c r="AP185" s="212" t="str">
        <f aca="false">IF(A186="","",CHOOSE(F$3,A186+24,A185))</f>
        <v/>
      </c>
      <c r="AQ185" s="209" t="str">
        <f aca="false">IF(A186="","",AP185-$E$1)</f>
        <v/>
      </c>
      <c r="AR185" s="185" t="n">
        <f aca="false">'ANR OK vs ML7'!AR185</f>
        <v>0.1</v>
      </c>
      <c r="AS185" s="213" t="str">
        <f aca="false">IF(A186="","",1/(1+CHOOSE(F$3,(AR186+($I$3/10000))/2,(AR185+($I$3/10000))/2))^(2*AQ185/365.25))</f>
        <v/>
      </c>
      <c r="AT185" s="137" t="str">
        <f aca="false">IF(A186="","",IF(AND(mthbeg&lt;=A185,mthend&gt;=A185),1,0))</f>
        <v/>
      </c>
      <c r="AU185" s="137" t="str">
        <f aca="false">IF(A186="","",AO185*AT185)</f>
        <v/>
      </c>
      <c r="AW185" s="195" t="str">
        <f aca="false">IF($A186="","",AL185*$E185)</f>
        <v/>
      </c>
      <c r="AX185" s="195" t="str">
        <f aca="false">IF($A186="","",AM185*$E185)</f>
        <v/>
      </c>
      <c r="AY185" s="195" t="str">
        <f aca="false">IF($A186="","",AN185*$E185)</f>
        <v/>
      </c>
      <c r="BA185" s="195" t="str">
        <f aca="false">IF($A186="","",F185*Summary!$Q$14)</f>
        <v/>
      </c>
    </row>
    <row r="186" customFormat="false" ht="12" hidden="false" customHeight="true" outlineLevel="0" collapsed="false">
      <c r="A186" s="196" t="str">
        <f aca="false">IF(A185&lt;mthend,EDATE(A185,1),"")</f>
        <v/>
      </c>
      <c r="B186" s="197" t="str">
        <f aca="false">IF(A186&lt;mthend,B185,"")</f>
        <v/>
      </c>
      <c r="C186" s="215"/>
      <c r="D186" s="197" t="str">
        <f aca="false">IF(A187&lt;&gt;"",B186+C186,"")</f>
        <v/>
      </c>
      <c r="E186" s="199" t="str">
        <f aca="false">IF(A187="","",IF(AND(AT186=1,$H$3=1),D186*AO186,IF($H$3=2,D186,"N/A")))</f>
        <v/>
      </c>
      <c r="F186" s="199" t="str">
        <f aca="false">IF(A187="","",E186*AS186)</f>
        <v/>
      </c>
      <c r="G186" s="200" t="str">
        <f aca="false">IF($A187="","",VLOOKUP($A186,Table,MATCH(G$4,Curves,0)))</f>
        <v/>
      </c>
      <c r="H186" s="201" t="str">
        <f aca="false">IF(A187="","",G186)</f>
        <v/>
      </c>
      <c r="I186" s="202"/>
      <c r="J186" s="200" t="str">
        <f aca="false">IF($A187="","",VLOOKUP($A186,Table,MATCH(J$4,Curves,0)))</f>
        <v/>
      </c>
      <c r="K186" s="201" t="str">
        <f aca="false">IF(A187="","",J186)</f>
        <v/>
      </c>
      <c r="L186" s="185" t="n">
        <v>0</v>
      </c>
      <c r="M186" s="201" t="str">
        <f aca="false">IF(A187="","",L186)</f>
        <v/>
      </c>
      <c r="N186" s="203"/>
      <c r="O186" s="200" t="str">
        <f aca="false">IF(A187="","",L186+J186+G186)</f>
        <v/>
      </c>
      <c r="P186" s="200" t="str">
        <f aca="false">IF(A187="","",M186+K186+H186)</f>
        <v/>
      </c>
      <c r="Q186" s="204"/>
      <c r="R186" s="200" t="str">
        <f aca="false">IF($A187="","",VLOOKUP($A186,Table,MATCH(R$4,Curves,0)))</f>
        <v/>
      </c>
      <c r="S186" s="201" t="str">
        <f aca="false">IF(A187="","",R186)</f>
        <v/>
      </c>
      <c r="T186" s="200" t="str">
        <f aca="false">IF($A187="","",VLOOKUP($A186,Table,MATCH(T$4,Curves,0)))</f>
        <v/>
      </c>
      <c r="U186" s="201" t="str">
        <f aca="false">IF(A187="","",T186)</f>
        <v/>
      </c>
      <c r="V186" s="183" t="str">
        <f aca="false">IF($A187="","",IF(AND(MONTH(A186)&gt;3,MONTH(A186)&lt;11),(T186+R186+G186)*(((1/(1-Summary!$T$14))/(1-Summary!$W$14))-1),(T186+R186+G186)*((1/(1-Summary!$U$14))/(1-Summary!$X$14)-1)))</f>
        <v/>
      </c>
      <c r="W186" s="202" t="str">
        <f aca="false">IF($A187="","",(T186+R186+G186+V186))</f>
        <v/>
      </c>
      <c r="X186" s="202" t="str">
        <f aca="false">IF($A187="","",(U186+S186+H186+V186))</f>
        <v/>
      </c>
      <c r="Y186" s="202"/>
      <c r="Z186" s="185" t="str">
        <f aca="false">IF($A187="","",VLOOKUP($A186,Table,MATCH(Z$4,Curves,0)))</f>
        <v/>
      </c>
      <c r="AA186" s="185" t="str">
        <f aca="false">IF($A187="","",VLOOKUP($A186,Table,MATCH(AA$4,Curves,0)))</f>
        <v/>
      </c>
      <c r="AB186" s="185" t="e">
        <f aca="false">SQRT((AA186^2*(A186-$D$3)+Z186^2*(DAY(EOMONTH(A186,0))/2))/AK186)</f>
        <v>#VALUE!</v>
      </c>
      <c r="AC186" s="185" t="str">
        <f aca="false">IF($A187="","",VLOOKUP($A186,Table,MATCH(AC$4,Curves,0)))</f>
        <v/>
      </c>
      <c r="AD186" s="185" t="str">
        <f aca="false">IF($A187="","",VLOOKUP($A186,Table,MATCH(AD$4,Curves,0)))</f>
        <v/>
      </c>
      <c r="AE186" s="185" t="e">
        <f aca="false">SQRT((AD186^2*(A186-$D$3)+AC186^2*(DAY(EOMONTH(A186,0))/2))/AK186)</f>
        <v>#VALUE!</v>
      </c>
      <c r="AF186" s="224" t="e">
        <f aca="false">((Summary!$N$14*(AA186*AD186)*(A186-$D$3))+(Summary!$M$14*Z186*AC186*(AJ186-EOMONTH(EDATE(A186,-1),0))))/(AK186*AB186*AE186)</f>
        <v>#VALUE!</v>
      </c>
      <c r="AG186" s="207" t="str">
        <f aca="false">IF($A187="","",Summary!$Q$14)</f>
        <v/>
      </c>
      <c r="AH186" s="207" t="str">
        <f aca="false">IF($A187="","",IF(Summary!$R$12="Y",(VLOOKUP($A186,Summary!$AD$6:$AF$9,3)+'Escalating commodity'!J199),'Escalating commodity'!J199))</f>
        <v/>
      </c>
      <c r="AI186" s="207" t="str">
        <f aca="false">IF($A187="","",AH186)</f>
        <v/>
      </c>
      <c r="AJ186" s="208" t="e">
        <f aca="false">A186+DAY(EOMONTH(A186,0))/2-1</f>
        <v>#VALUE!</v>
      </c>
      <c r="AK186" s="209" t="str">
        <f aca="false">IF($A187="","",$A186-$E$1)</f>
        <v/>
      </c>
      <c r="AL186" s="182" t="str">
        <f aca="false">IF($A187="","",SPRDOPT(P186,X186,AI186,0,AB186,AE186,AF186,AK186,$AJ$2,0))</f>
        <v/>
      </c>
      <c r="AM186" s="211" t="str">
        <f aca="false">IF($A187="","",MAX(0,O186-W186-AI186))</f>
        <v/>
      </c>
      <c r="AN186" s="211" t="str">
        <f aca="false">IF($A187="","",AL186-AM186)</f>
        <v/>
      </c>
      <c r="AO186" s="137" t="str">
        <f aca="false">IF(A187="","",A187-A186)</f>
        <v/>
      </c>
      <c r="AP186" s="212" t="str">
        <f aca="false">IF(A187="","",CHOOSE(F$3,A187+24,A186))</f>
        <v/>
      </c>
      <c r="AQ186" s="209" t="str">
        <f aca="false">IF(A187="","",AP186-$E$1)</f>
        <v/>
      </c>
      <c r="AR186" s="185" t="n">
        <f aca="false">'ANR OK vs ML7'!AR186</f>
        <v>0.1</v>
      </c>
      <c r="AS186" s="213" t="str">
        <f aca="false">IF(A187="","",1/(1+CHOOSE(F$3,(AR187+($I$3/10000))/2,(AR186+($I$3/10000))/2))^(2*AQ186/365.25))</f>
        <v/>
      </c>
      <c r="AT186" s="137" t="str">
        <f aca="false">IF(A187="","",IF(AND(mthbeg&lt;=A186,mthend&gt;=A186),1,0))</f>
        <v/>
      </c>
      <c r="AU186" s="137" t="str">
        <f aca="false">IF(A187="","",AO186*AT186)</f>
        <v/>
      </c>
      <c r="AW186" s="195" t="str">
        <f aca="false">IF($A187="","",AL186*$E186)</f>
        <v/>
      </c>
      <c r="AX186" s="195" t="str">
        <f aca="false">IF($A187="","",AM186*$E186)</f>
        <v/>
      </c>
      <c r="AY186" s="195" t="str">
        <f aca="false">IF($A187="","",AN186*$E186)</f>
        <v/>
      </c>
      <c r="BA186" s="195" t="str">
        <f aca="false">IF($A187="","",F186*Summary!$Q$14)</f>
        <v/>
      </c>
    </row>
    <row r="187" customFormat="false" ht="12" hidden="false" customHeight="true" outlineLevel="0" collapsed="false">
      <c r="A187" s="196" t="str">
        <f aca="false">IF(A186&lt;mthend,EDATE(A186,1),"")</f>
        <v/>
      </c>
      <c r="B187" s="197" t="str">
        <f aca="false">IF(A187&lt;mthend,B186,"")</f>
        <v/>
      </c>
      <c r="C187" s="215"/>
      <c r="D187" s="197" t="str">
        <f aca="false">IF(A188&lt;&gt;"",B187+C187,"")</f>
        <v/>
      </c>
      <c r="E187" s="199" t="str">
        <f aca="false">IF(A188="","",IF(AND(AT187=1,$H$3=1),D187*AO187,IF($H$3=2,D187,"N/A")))</f>
        <v/>
      </c>
      <c r="F187" s="199" t="str">
        <f aca="false">IF(A188="","",E187*AS187)</f>
        <v/>
      </c>
      <c r="G187" s="200" t="str">
        <f aca="false">IF($A188="","",VLOOKUP($A187,Table,MATCH(G$4,Curves,0)))</f>
        <v/>
      </c>
      <c r="H187" s="201" t="str">
        <f aca="false">IF(A188="","",G187)</f>
        <v/>
      </c>
      <c r="I187" s="202"/>
      <c r="J187" s="200" t="str">
        <f aca="false">IF($A188="","",VLOOKUP($A187,Table,MATCH(J$4,Curves,0)))</f>
        <v/>
      </c>
      <c r="K187" s="201" t="str">
        <f aca="false">IF(A188="","",J187)</f>
        <v/>
      </c>
      <c r="L187" s="185" t="n">
        <v>0</v>
      </c>
      <c r="M187" s="201" t="str">
        <f aca="false">IF(A188="","",L187)</f>
        <v/>
      </c>
      <c r="N187" s="203"/>
      <c r="O187" s="200" t="str">
        <f aca="false">IF(A188="","",L187+J187+G187)</f>
        <v/>
      </c>
      <c r="P187" s="200" t="str">
        <f aca="false">IF(A188="","",M187+K187+H187)</f>
        <v/>
      </c>
      <c r="Q187" s="204"/>
      <c r="R187" s="200" t="str">
        <f aca="false">IF($A188="","",VLOOKUP($A187,Table,MATCH(R$4,Curves,0)))</f>
        <v/>
      </c>
      <c r="S187" s="201" t="str">
        <f aca="false">IF(A188="","",R187)</f>
        <v/>
      </c>
      <c r="T187" s="200" t="str">
        <f aca="false">IF($A188="","",VLOOKUP($A187,Table,MATCH(T$4,Curves,0)))</f>
        <v/>
      </c>
      <c r="U187" s="201" t="str">
        <f aca="false">IF(A188="","",T187)</f>
        <v/>
      </c>
      <c r="V187" s="183" t="str">
        <f aca="false">IF($A188="","",IF(AND(MONTH(A187)&gt;3,MONTH(A187)&lt;11),(T187+R187+G187)*(((1/(1-Summary!$T$14))/(1-Summary!$W$14))-1),(T187+R187+G187)*((1/(1-Summary!$U$14))/(1-Summary!$X$14)-1)))</f>
        <v/>
      </c>
      <c r="W187" s="202" t="str">
        <f aca="false">IF($A188="","",(T187+R187+G187+V187))</f>
        <v/>
      </c>
      <c r="X187" s="202" t="str">
        <f aca="false">IF($A188="","",(U187+S187+H187+V187))</f>
        <v/>
      </c>
      <c r="Y187" s="202"/>
      <c r="Z187" s="185" t="str">
        <f aca="false">IF($A188="","",VLOOKUP($A187,Table,MATCH(Z$4,Curves,0)))</f>
        <v/>
      </c>
      <c r="AA187" s="185" t="str">
        <f aca="false">IF($A188="","",VLOOKUP($A187,Table,MATCH(AA$4,Curves,0)))</f>
        <v/>
      </c>
      <c r="AB187" s="185" t="e">
        <f aca="false">SQRT((AA187^2*(A187-$D$3)+Z187^2*(DAY(EOMONTH(A187,0))/2))/AK187)</f>
        <v>#VALUE!</v>
      </c>
      <c r="AC187" s="185" t="str">
        <f aca="false">IF($A188="","",VLOOKUP($A187,Table,MATCH(AC$4,Curves,0)))</f>
        <v/>
      </c>
      <c r="AD187" s="185" t="str">
        <f aca="false">IF($A188="","",VLOOKUP($A187,Table,MATCH(AD$4,Curves,0)))</f>
        <v/>
      </c>
      <c r="AE187" s="185" t="e">
        <f aca="false">SQRT((AD187^2*(A187-$D$3)+AC187^2*(DAY(EOMONTH(A187,0))/2))/AK187)</f>
        <v>#VALUE!</v>
      </c>
      <c r="AF187" s="224" t="e">
        <f aca="false">((Summary!$N$14*(AA187*AD187)*(A187-$D$3))+(Summary!$M$14*Z187*AC187*(AJ187-EOMONTH(EDATE(A187,-1),0))))/(AK187*AB187*AE187)</f>
        <v>#VALUE!</v>
      </c>
      <c r="AG187" s="207" t="str">
        <f aca="false">IF($A188="","",Summary!$Q$14)</f>
        <v/>
      </c>
      <c r="AH187" s="207" t="str">
        <f aca="false">IF($A188="","",IF(Summary!$R$12="Y",(VLOOKUP($A187,Summary!$AD$6:$AF$9,3)+'Escalating commodity'!J200),'Escalating commodity'!J200))</f>
        <v/>
      </c>
      <c r="AI187" s="207" t="str">
        <f aca="false">IF($A188="","",AH187)</f>
        <v/>
      </c>
      <c r="AJ187" s="208" t="e">
        <f aca="false">A187+DAY(EOMONTH(A187,0))/2-1</f>
        <v>#VALUE!</v>
      </c>
      <c r="AK187" s="209" t="str">
        <f aca="false">IF($A188="","",$A187-$E$1)</f>
        <v/>
      </c>
      <c r="AL187" s="182" t="str">
        <f aca="false">IF($A188="","",SPRDOPT(P187,X187,AI187,0,AB187,AE187,AF187,AK187,$AJ$2,0))</f>
        <v/>
      </c>
      <c r="AM187" s="211" t="str">
        <f aca="false">IF($A188="","",MAX(0,O187-W187-AI187))</f>
        <v/>
      </c>
      <c r="AN187" s="211" t="str">
        <f aca="false">IF($A188="","",AL187-AM187)</f>
        <v/>
      </c>
      <c r="AO187" s="137" t="str">
        <f aca="false">IF(A188="","",A188-A187)</f>
        <v/>
      </c>
      <c r="AP187" s="212" t="str">
        <f aca="false">IF(A188="","",CHOOSE(F$3,A188+24,A187))</f>
        <v/>
      </c>
      <c r="AQ187" s="209" t="str">
        <f aca="false">IF(A188="","",AP187-$E$1)</f>
        <v/>
      </c>
      <c r="AR187" s="185" t="n">
        <f aca="false">'ANR OK vs ML7'!AR187</f>
        <v>0.1</v>
      </c>
      <c r="AS187" s="213" t="str">
        <f aca="false">IF(A188="","",1/(1+CHOOSE(F$3,(AR188+($I$3/10000))/2,(AR187+($I$3/10000))/2))^(2*AQ187/365.25))</f>
        <v/>
      </c>
      <c r="AT187" s="137" t="str">
        <f aca="false">IF(A188="","",IF(AND(mthbeg&lt;=A187,mthend&gt;=A187),1,0))</f>
        <v/>
      </c>
      <c r="AU187" s="137" t="str">
        <f aca="false">IF(A188="","",AO187*AT187)</f>
        <v/>
      </c>
      <c r="AW187" s="195" t="str">
        <f aca="false">IF($A188="","",AL187*$E187)</f>
        <v/>
      </c>
      <c r="AX187" s="195" t="str">
        <f aca="false">IF($A188="","",AM187*$E187)</f>
        <v/>
      </c>
      <c r="AY187" s="195" t="str">
        <f aca="false">IF($A188="","",AN187*$E187)</f>
        <v/>
      </c>
      <c r="BA187" s="195" t="str">
        <f aca="false">IF($A188="","",F187*Summary!$Q$14)</f>
        <v/>
      </c>
    </row>
    <row r="188" customFormat="false" ht="12" hidden="false" customHeight="true" outlineLevel="0" collapsed="false">
      <c r="A188" s="196" t="str">
        <f aca="false">IF(A187&lt;mthend,EDATE(A187,1),"")</f>
        <v/>
      </c>
      <c r="B188" s="197" t="str">
        <f aca="false">IF(A188&lt;mthend,B187,"")</f>
        <v/>
      </c>
      <c r="C188" s="215"/>
      <c r="D188" s="197" t="str">
        <f aca="false">IF(A189&lt;&gt;"",B188+C188,"")</f>
        <v/>
      </c>
      <c r="E188" s="199" t="str">
        <f aca="false">IF(A189="","",IF(AND(AT188=1,$H$3=1),D188*AO188,IF($H$3=2,D188,"N/A")))</f>
        <v/>
      </c>
      <c r="F188" s="199" t="str">
        <f aca="false">IF(A189="","",E188*AS188)</f>
        <v/>
      </c>
      <c r="G188" s="200" t="str">
        <f aca="false">IF($A189="","",VLOOKUP($A188,Table,MATCH(G$4,Curves,0)))</f>
        <v/>
      </c>
      <c r="H188" s="201" t="str">
        <f aca="false">IF(A189="","",G188)</f>
        <v/>
      </c>
      <c r="I188" s="202"/>
      <c r="J188" s="200" t="str">
        <f aca="false">IF($A189="","",VLOOKUP($A188,Table,MATCH(J$4,Curves,0)))</f>
        <v/>
      </c>
      <c r="K188" s="201" t="str">
        <f aca="false">IF(A189="","",J188)</f>
        <v/>
      </c>
      <c r="L188" s="185" t="n">
        <v>0</v>
      </c>
      <c r="M188" s="201" t="str">
        <f aca="false">IF(A189="","",L188)</f>
        <v/>
      </c>
      <c r="N188" s="203"/>
      <c r="O188" s="200" t="str">
        <f aca="false">IF(A189="","",L188+J188+G188)</f>
        <v/>
      </c>
      <c r="P188" s="200" t="str">
        <f aca="false">IF(A189="","",M188+K188+H188)</f>
        <v/>
      </c>
      <c r="Q188" s="204"/>
      <c r="R188" s="200" t="str">
        <f aca="false">IF($A189="","",VLOOKUP($A188,Table,MATCH(R$4,Curves,0)))</f>
        <v/>
      </c>
      <c r="S188" s="201" t="str">
        <f aca="false">IF(A189="","",R188)</f>
        <v/>
      </c>
      <c r="T188" s="200" t="str">
        <f aca="false">IF($A189="","",VLOOKUP($A188,Table,MATCH(T$4,Curves,0)))</f>
        <v/>
      </c>
      <c r="U188" s="201" t="str">
        <f aca="false">IF(A189="","",T188)</f>
        <v/>
      </c>
      <c r="V188" s="183" t="str">
        <f aca="false">IF($A189="","",IF(AND(MONTH(A188)&gt;3,MONTH(A188)&lt;11),(T188+R188+G188)*(((1/(1-Summary!$T$14))/(1-Summary!$W$14))-1),(T188+R188+G188)*((1/(1-Summary!$U$14))/(1-Summary!$X$14)-1)))</f>
        <v/>
      </c>
      <c r="W188" s="202" t="str">
        <f aca="false">IF($A189="","",(T188+R188+G188+V188))</f>
        <v/>
      </c>
      <c r="X188" s="202" t="str">
        <f aca="false">IF($A189="","",(U188+S188+H188+V188))</f>
        <v/>
      </c>
      <c r="Y188" s="202"/>
      <c r="Z188" s="185" t="str">
        <f aca="false">IF($A189="","",VLOOKUP($A188,Table,MATCH(Z$4,Curves,0)))</f>
        <v/>
      </c>
      <c r="AA188" s="185" t="str">
        <f aca="false">IF($A189="","",VLOOKUP($A188,Table,MATCH(AA$4,Curves,0)))</f>
        <v/>
      </c>
      <c r="AB188" s="185" t="e">
        <f aca="false">SQRT((AA188^2*(A188-$D$3)+Z188^2*(DAY(EOMONTH(A188,0))/2))/AK188)</f>
        <v>#VALUE!</v>
      </c>
      <c r="AC188" s="185" t="str">
        <f aca="false">IF($A189="","",VLOOKUP($A188,Table,MATCH(AC$4,Curves,0)))</f>
        <v/>
      </c>
      <c r="AD188" s="185" t="str">
        <f aca="false">IF($A189="","",VLOOKUP($A188,Table,MATCH(AD$4,Curves,0)))</f>
        <v/>
      </c>
      <c r="AE188" s="185" t="e">
        <f aca="false">SQRT((AD188^2*(A188-$D$3)+AC188^2*(DAY(EOMONTH(A188,0))/2))/AK188)</f>
        <v>#VALUE!</v>
      </c>
      <c r="AF188" s="224" t="e">
        <f aca="false">((Summary!$N$14*(AA188*AD188)*(A188-$D$3))+(Summary!$M$14*Z188*AC188*(AJ188-EOMONTH(EDATE(A188,-1),0))))/(AK188*AB188*AE188)</f>
        <v>#VALUE!</v>
      </c>
      <c r="AG188" s="207" t="str">
        <f aca="false">IF($A189="","",Summary!$Q$14)</f>
        <v/>
      </c>
      <c r="AH188" s="207" t="str">
        <f aca="false">IF($A189="","",IF(Summary!$R$12="Y",(VLOOKUP($A188,Summary!$AD$6:$AF$9,3)+'Escalating commodity'!J201),'Escalating commodity'!J201))</f>
        <v/>
      </c>
      <c r="AI188" s="207" t="str">
        <f aca="false">IF($A189="","",AH188)</f>
        <v/>
      </c>
      <c r="AJ188" s="208" t="e">
        <f aca="false">A188+DAY(EOMONTH(A188,0))/2-1</f>
        <v>#VALUE!</v>
      </c>
      <c r="AK188" s="209" t="str">
        <f aca="false">IF($A189="","",$A188-$E$1)</f>
        <v/>
      </c>
      <c r="AL188" s="182" t="str">
        <f aca="false">IF($A189="","",SPRDOPT(P188,X188,AI188,0,AB188,AE188,AF188,AK188,$AJ$2,0))</f>
        <v/>
      </c>
      <c r="AM188" s="211" t="str">
        <f aca="false">IF($A189="","",MAX(0,O188-W188-AI188))</f>
        <v/>
      </c>
      <c r="AN188" s="211" t="str">
        <f aca="false">IF($A189="","",AL188-AM188)</f>
        <v/>
      </c>
      <c r="AO188" s="137" t="str">
        <f aca="false">IF(A189="","",A189-A188)</f>
        <v/>
      </c>
      <c r="AP188" s="212" t="str">
        <f aca="false">IF(A189="","",CHOOSE(F$3,A189+24,A188))</f>
        <v/>
      </c>
      <c r="AQ188" s="209" t="str">
        <f aca="false">IF(A189="","",AP188-$E$1)</f>
        <v/>
      </c>
      <c r="AR188" s="185" t="n">
        <f aca="false">'ANR OK vs ML7'!AR188</f>
        <v>0.1</v>
      </c>
      <c r="AS188" s="213" t="str">
        <f aca="false">IF(A189="","",1/(1+CHOOSE(F$3,(AR189+($I$3/10000))/2,(AR188+($I$3/10000))/2))^(2*AQ188/365.25))</f>
        <v/>
      </c>
      <c r="AT188" s="137" t="str">
        <f aca="false">IF(A189="","",IF(AND(mthbeg&lt;=A188,mthend&gt;=A188),1,0))</f>
        <v/>
      </c>
      <c r="AU188" s="137" t="str">
        <f aca="false">IF(A189="","",AO188*AT188)</f>
        <v/>
      </c>
      <c r="AW188" s="195" t="str">
        <f aca="false">IF($A189="","",AL188*$E188)</f>
        <v/>
      </c>
      <c r="AX188" s="195" t="str">
        <f aca="false">IF($A189="","",AM188*$E188)</f>
        <v/>
      </c>
      <c r="AY188" s="195" t="str">
        <f aca="false">IF($A189="","",AN188*$E188)</f>
        <v/>
      </c>
      <c r="BA188" s="195" t="str">
        <f aca="false">IF($A189="","",F188*Summary!$Q$14)</f>
        <v/>
      </c>
    </row>
    <row r="189" customFormat="false" ht="12" hidden="false" customHeight="true" outlineLevel="0" collapsed="false">
      <c r="A189" s="196" t="str">
        <f aca="false">IF(A188&lt;mthend,EDATE(A188,1),"")</f>
        <v/>
      </c>
      <c r="B189" s="197" t="str">
        <f aca="false">IF(A189&lt;mthend,B188,"")</f>
        <v/>
      </c>
      <c r="C189" s="215"/>
      <c r="D189" s="197" t="str">
        <f aca="false">IF(A190&lt;&gt;"",B189+C189,"")</f>
        <v/>
      </c>
      <c r="E189" s="199" t="str">
        <f aca="false">IF(A190="","",IF(AND(AT189=1,$H$3=1),D189*AO189,IF($H$3=2,D189,"N/A")))</f>
        <v/>
      </c>
      <c r="F189" s="199" t="str">
        <f aca="false">IF(A190="","",E189*AS189)</f>
        <v/>
      </c>
      <c r="G189" s="200" t="str">
        <f aca="false">IF($A190="","",VLOOKUP($A189,Table,MATCH(G$4,Curves,0)))</f>
        <v/>
      </c>
      <c r="H189" s="201" t="str">
        <f aca="false">IF(A190="","",G189)</f>
        <v/>
      </c>
      <c r="I189" s="202"/>
      <c r="J189" s="200" t="str">
        <f aca="false">IF($A190="","",VLOOKUP($A189,Table,MATCH(J$4,Curves,0)))</f>
        <v/>
      </c>
      <c r="K189" s="201" t="str">
        <f aca="false">IF(A190="","",J189)</f>
        <v/>
      </c>
      <c r="L189" s="185" t="n">
        <v>0</v>
      </c>
      <c r="M189" s="201" t="str">
        <f aca="false">IF(A190="","",L189)</f>
        <v/>
      </c>
      <c r="N189" s="203"/>
      <c r="O189" s="200" t="str">
        <f aca="false">IF(A190="","",L189+J189+G189)</f>
        <v/>
      </c>
      <c r="P189" s="200" t="str">
        <f aca="false">IF(A190="","",M189+K189+H189)</f>
        <v/>
      </c>
      <c r="Q189" s="204"/>
      <c r="R189" s="200" t="str">
        <f aca="false">IF($A190="","",VLOOKUP($A189,Table,MATCH(R$4,Curves,0)))</f>
        <v/>
      </c>
      <c r="S189" s="201" t="str">
        <f aca="false">IF(A190="","",R189)</f>
        <v/>
      </c>
      <c r="T189" s="200" t="str">
        <f aca="false">IF($A190="","",VLOOKUP($A189,Table,MATCH(T$4,Curves,0)))</f>
        <v/>
      </c>
      <c r="U189" s="201" t="str">
        <f aca="false">IF(A190="","",T189)</f>
        <v/>
      </c>
      <c r="V189" s="183" t="str">
        <f aca="false">IF($A190="","",IF(AND(MONTH(A189)&gt;3,MONTH(A189)&lt;11),(T189+R189+G189)*(((1/(1-Summary!$T$14))/(1-Summary!$W$14))-1),(T189+R189+G189)*((1/(1-Summary!$U$14))/(1-Summary!$X$14)-1)))</f>
        <v/>
      </c>
      <c r="W189" s="202" t="str">
        <f aca="false">IF($A190="","",(T189+R189+G189+V189))</f>
        <v/>
      </c>
      <c r="X189" s="202" t="str">
        <f aca="false">IF($A190="","",(U189+S189+H189+V189))</f>
        <v/>
      </c>
      <c r="Y189" s="202"/>
      <c r="Z189" s="185" t="str">
        <f aca="false">IF($A190="","",VLOOKUP($A189,Table,MATCH(Z$4,Curves,0)))</f>
        <v/>
      </c>
      <c r="AA189" s="185" t="str">
        <f aca="false">IF($A190="","",VLOOKUP($A189,Table,MATCH(AA$4,Curves,0)))</f>
        <v/>
      </c>
      <c r="AB189" s="185" t="e">
        <f aca="false">SQRT((AA189^2*(A189-$D$3)+Z189^2*(DAY(EOMONTH(A189,0))/2))/AK189)</f>
        <v>#VALUE!</v>
      </c>
      <c r="AC189" s="185" t="str">
        <f aca="false">IF($A190="","",VLOOKUP($A189,Table,MATCH(AC$4,Curves,0)))</f>
        <v/>
      </c>
      <c r="AD189" s="185" t="str">
        <f aca="false">IF($A190="","",VLOOKUP($A189,Table,MATCH(AD$4,Curves,0)))</f>
        <v/>
      </c>
      <c r="AE189" s="185" t="e">
        <f aca="false">SQRT((AD189^2*(A189-$D$3)+AC189^2*(DAY(EOMONTH(A189,0))/2))/AK189)</f>
        <v>#VALUE!</v>
      </c>
      <c r="AF189" s="224" t="e">
        <f aca="false">((Summary!$N$14*(AA189*AD189)*(A189-$D$3))+(Summary!$M$14*Z189*AC189*(AJ189-EOMONTH(EDATE(A189,-1),0))))/(AK189*AB189*AE189)</f>
        <v>#VALUE!</v>
      </c>
      <c r="AG189" s="207" t="str">
        <f aca="false">IF($A190="","",Summary!$Q$14)</f>
        <v/>
      </c>
      <c r="AH189" s="207" t="str">
        <f aca="false">IF($A190="","",IF(Summary!$R$12="Y",(VLOOKUP($A189,Summary!$AD$6:$AF$9,3)+'Escalating commodity'!J202),'Escalating commodity'!J202))</f>
        <v/>
      </c>
      <c r="AI189" s="207" t="str">
        <f aca="false">IF($A190="","",AH189)</f>
        <v/>
      </c>
      <c r="AJ189" s="208" t="e">
        <f aca="false">A189+DAY(EOMONTH(A189,0))/2-1</f>
        <v>#VALUE!</v>
      </c>
      <c r="AK189" s="209" t="str">
        <f aca="false">IF($A190="","",$A189-$E$1)</f>
        <v/>
      </c>
      <c r="AL189" s="182" t="str">
        <f aca="false">IF($A190="","",SPRDOPT(P189,X189,AI189,0,AB189,AE189,AF189,AK189,$AJ$2,0))</f>
        <v/>
      </c>
      <c r="AM189" s="211" t="str">
        <f aca="false">IF($A190="","",MAX(0,O189-W189-AI189))</f>
        <v/>
      </c>
      <c r="AN189" s="211" t="str">
        <f aca="false">IF($A190="","",AL189-AM189)</f>
        <v/>
      </c>
      <c r="AO189" s="137" t="str">
        <f aca="false">IF(A190="","",A190-A189)</f>
        <v/>
      </c>
      <c r="AP189" s="212" t="str">
        <f aca="false">IF(A190="","",CHOOSE(F$3,A190+24,A189))</f>
        <v/>
      </c>
      <c r="AQ189" s="209" t="str">
        <f aca="false">IF(A190="","",AP189-$E$1)</f>
        <v/>
      </c>
      <c r="AR189" s="185" t="n">
        <f aca="false">'ANR OK vs ML7'!AR189</f>
        <v>0.1</v>
      </c>
      <c r="AS189" s="213" t="str">
        <f aca="false">IF(A190="","",1/(1+CHOOSE(F$3,(AR190+($I$3/10000))/2,(AR189+($I$3/10000))/2))^(2*AQ189/365.25))</f>
        <v/>
      </c>
      <c r="AT189" s="137" t="str">
        <f aca="false">IF(A190="","",IF(AND(mthbeg&lt;=A189,mthend&gt;=A189),1,0))</f>
        <v/>
      </c>
      <c r="AU189" s="137" t="str">
        <f aca="false">IF(A190="","",AO189*AT189)</f>
        <v/>
      </c>
      <c r="AW189" s="195" t="str">
        <f aca="false">IF($A190="","",AL189*$E189)</f>
        <v/>
      </c>
      <c r="AX189" s="195" t="str">
        <f aca="false">IF($A190="","",AM189*$E189)</f>
        <v/>
      </c>
      <c r="AY189" s="195" t="str">
        <f aca="false">IF($A190="","",AN189*$E189)</f>
        <v/>
      </c>
      <c r="BA189" s="195" t="str">
        <f aca="false">IF($A190="","",F189*Summary!$Q$14)</f>
        <v/>
      </c>
    </row>
    <row r="190" customFormat="false" ht="12" hidden="false" customHeight="true" outlineLevel="0" collapsed="false">
      <c r="A190" s="196" t="str">
        <f aca="false">IF(A189&lt;mthend,EDATE(A189,1),"")</f>
        <v/>
      </c>
      <c r="B190" s="197" t="str">
        <f aca="false">IF(A190&lt;mthend,B189,"")</f>
        <v/>
      </c>
      <c r="C190" s="215"/>
      <c r="D190" s="197" t="str">
        <f aca="false">IF(A191&lt;&gt;"",B190+C190,"")</f>
        <v/>
      </c>
      <c r="E190" s="199" t="str">
        <f aca="false">IF(A191="","",IF(AND(AT190=1,$H$3=1),D190*AO190,IF($H$3=2,D190,"N/A")))</f>
        <v/>
      </c>
      <c r="F190" s="199" t="str">
        <f aca="false">IF(A191="","",E190*AS190)</f>
        <v/>
      </c>
      <c r="G190" s="200" t="str">
        <f aca="false">IF($A191="","",VLOOKUP($A190,Table,MATCH(G$4,Curves,0)))</f>
        <v/>
      </c>
      <c r="H190" s="201" t="str">
        <f aca="false">IF(A191="","",G190)</f>
        <v/>
      </c>
      <c r="I190" s="202"/>
      <c r="J190" s="200" t="str">
        <f aca="false">IF($A191="","",VLOOKUP($A190,Table,MATCH(J$4,Curves,0)))</f>
        <v/>
      </c>
      <c r="K190" s="201" t="str">
        <f aca="false">IF(A191="","",J190)</f>
        <v/>
      </c>
      <c r="L190" s="185" t="n">
        <v>0</v>
      </c>
      <c r="M190" s="201" t="str">
        <f aca="false">IF(A191="","",L190)</f>
        <v/>
      </c>
      <c r="N190" s="203"/>
      <c r="O190" s="200" t="str">
        <f aca="false">IF(A191="","",L190+J190+G190)</f>
        <v/>
      </c>
      <c r="P190" s="200" t="str">
        <f aca="false">IF(A191="","",M190+K190+H190)</f>
        <v/>
      </c>
      <c r="Q190" s="204"/>
      <c r="R190" s="200" t="str">
        <f aca="false">IF($A191="","",VLOOKUP($A190,Table,MATCH(R$4,Curves,0)))</f>
        <v/>
      </c>
      <c r="S190" s="201" t="str">
        <f aca="false">IF(A191="","",R190)</f>
        <v/>
      </c>
      <c r="T190" s="200" t="str">
        <f aca="false">IF($A191="","",VLOOKUP($A190,Table,MATCH(T$4,Curves,0)))</f>
        <v/>
      </c>
      <c r="U190" s="201" t="str">
        <f aca="false">IF(A191="","",T190)</f>
        <v/>
      </c>
      <c r="V190" s="183" t="str">
        <f aca="false">IF($A191="","",IF(AND(MONTH(A190)&gt;3,MONTH(A190)&lt;11),(T190+R190+G190)*(((1/(1-Summary!$T$14))/(1-Summary!$W$14))-1),(T190+R190+G190)*((1/(1-Summary!$U$14))/(1-Summary!$X$14)-1)))</f>
        <v/>
      </c>
      <c r="W190" s="202" t="str">
        <f aca="false">IF($A191="","",(T190+R190+G190+V190))</f>
        <v/>
      </c>
      <c r="X190" s="202" t="str">
        <f aca="false">IF($A191="","",(U190+S190+H190+V190))</f>
        <v/>
      </c>
      <c r="Y190" s="202"/>
      <c r="Z190" s="185" t="str">
        <f aca="false">IF($A191="","",VLOOKUP($A190,Table,MATCH(Z$4,Curves,0)))</f>
        <v/>
      </c>
      <c r="AA190" s="185" t="str">
        <f aca="false">IF($A191="","",VLOOKUP($A190,Table,MATCH(AA$4,Curves,0)))</f>
        <v/>
      </c>
      <c r="AB190" s="185" t="e">
        <f aca="false">SQRT((AA190^2*(A190-$D$3)+Z190^2*(DAY(EOMONTH(A190,0))/2))/AK190)</f>
        <v>#VALUE!</v>
      </c>
      <c r="AC190" s="185" t="str">
        <f aca="false">IF($A191="","",VLOOKUP($A190,Table,MATCH(AC$4,Curves,0)))</f>
        <v/>
      </c>
      <c r="AD190" s="185" t="str">
        <f aca="false">IF($A191="","",VLOOKUP($A190,Table,MATCH(AD$4,Curves,0)))</f>
        <v/>
      </c>
      <c r="AE190" s="185" t="e">
        <f aca="false">SQRT((AD190^2*(A190-$D$3)+AC190^2*(DAY(EOMONTH(A190,0))/2))/AK190)</f>
        <v>#VALUE!</v>
      </c>
      <c r="AF190" s="224" t="e">
        <f aca="false">((Summary!$N$14*(AA190*AD190)*(A190-$D$3))+(Summary!$M$14*Z190*AC190*(AJ190-EOMONTH(EDATE(A190,-1),0))))/(AK190*AB190*AE190)</f>
        <v>#VALUE!</v>
      </c>
      <c r="AG190" s="207" t="str">
        <f aca="false">IF($A191="","",Summary!$Q$14)</f>
        <v/>
      </c>
      <c r="AH190" s="207" t="str">
        <f aca="false">IF($A191="","",IF(Summary!$R$12="Y",(VLOOKUP($A190,Summary!$AD$6:$AF$9,3)+'Escalating commodity'!J203),'Escalating commodity'!J203))</f>
        <v/>
      </c>
      <c r="AI190" s="207" t="str">
        <f aca="false">IF($A191="","",AH190)</f>
        <v/>
      </c>
      <c r="AJ190" s="208" t="e">
        <f aca="false">A190+DAY(EOMONTH(A190,0))/2-1</f>
        <v>#VALUE!</v>
      </c>
      <c r="AK190" s="209" t="str">
        <f aca="false">IF($A191="","",$A190-$E$1)</f>
        <v/>
      </c>
      <c r="AL190" s="182" t="str">
        <f aca="false">IF($A191="","",SPRDOPT(P190,X190,AI190,0,AB190,AE190,AF190,AK190,$AJ$2,0))</f>
        <v/>
      </c>
      <c r="AM190" s="211" t="str">
        <f aca="false">IF($A191="","",MAX(0,O190-W190-AI190))</f>
        <v/>
      </c>
      <c r="AN190" s="211" t="str">
        <f aca="false">IF($A191="","",AL190-AM190)</f>
        <v/>
      </c>
      <c r="AO190" s="137" t="str">
        <f aca="false">IF(A191="","",A191-A190)</f>
        <v/>
      </c>
      <c r="AP190" s="212" t="str">
        <f aca="false">IF(A191="","",CHOOSE(F$3,A191+24,A190))</f>
        <v/>
      </c>
      <c r="AQ190" s="209" t="str">
        <f aca="false">IF(A191="","",AP190-$E$1)</f>
        <v/>
      </c>
      <c r="AR190" s="185" t="n">
        <f aca="false">'ANR OK vs ML7'!AR190</f>
        <v>0.1</v>
      </c>
      <c r="AS190" s="213" t="str">
        <f aca="false">IF(A191="","",1/(1+CHOOSE(F$3,(AR191+($I$3/10000))/2,(AR190+($I$3/10000))/2))^(2*AQ190/365.25))</f>
        <v/>
      </c>
      <c r="AT190" s="137" t="str">
        <f aca="false">IF(A191="","",IF(AND(mthbeg&lt;=A190,mthend&gt;=A190),1,0))</f>
        <v/>
      </c>
      <c r="AU190" s="137" t="str">
        <f aca="false">IF(A191="","",AO190*AT190)</f>
        <v/>
      </c>
      <c r="AW190" s="195" t="str">
        <f aca="false">IF($A191="","",AL190*$E190)</f>
        <v/>
      </c>
      <c r="AX190" s="195" t="str">
        <f aca="false">IF($A191="","",AM190*$E190)</f>
        <v/>
      </c>
      <c r="AY190" s="195" t="str">
        <f aca="false">IF($A191="","",AN190*$E190)</f>
        <v/>
      </c>
      <c r="BA190" s="195" t="str">
        <f aca="false">IF($A191="","",F190*Summary!$Q$14)</f>
        <v/>
      </c>
    </row>
    <row r="191" customFormat="false" ht="12" hidden="false" customHeight="true" outlineLevel="0" collapsed="false">
      <c r="A191" s="196" t="str">
        <f aca="false">IF(A190&lt;mthend,EDATE(A190,1),"")</f>
        <v/>
      </c>
      <c r="B191" s="197" t="str">
        <f aca="false">IF(A191&lt;mthend,B190,"")</f>
        <v/>
      </c>
      <c r="C191" s="215"/>
      <c r="D191" s="197" t="str">
        <f aca="false">IF(A192&lt;&gt;"",B191+C191,"")</f>
        <v/>
      </c>
      <c r="E191" s="199" t="str">
        <f aca="false">IF(A192="","",IF(AND(AT191=1,$H$3=1),D191*AO191,IF($H$3=2,D191,"N/A")))</f>
        <v/>
      </c>
      <c r="F191" s="199" t="str">
        <f aca="false">IF(A192="","",E191*AS191)</f>
        <v/>
      </c>
      <c r="G191" s="200" t="str">
        <f aca="false">IF($A192="","",VLOOKUP($A191,Table,MATCH(G$4,Curves,0)))</f>
        <v/>
      </c>
      <c r="H191" s="201" t="str">
        <f aca="false">IF(A192="","",G191)</f>
        <v/>
      </c>
      <c r="I191" s="202"/>
      <c r="J191" s="200" t="str">
        <f aca="false">IF($A192="","",VLOOKUP($A191,Table,MATCH(J$4,Curves,0)))</f>
        <v/>
      </c>
      <c r="K191" s="201" t="str">
        <f aca="false">IF(A192="","",J191)</f>
        <v/>
      </c>
      <c r="L191" s="185" t="n">
        <v>0</v>
      </c>
      <c r="M191" s="201" t="str">
        <f aca="false">IF(A192="","",L191)</f>
        <v/>
      </c>
      <c r="N191" s="203"/>
      <c r="O191" s="200" t="str">
        <f aca="false">IF(A192="","",L191+J191+G191)</f>
        <v/>
      </c>
      <c r="P191" s="200" t="str">
        <f aca="false">IF(A192="","",M191+K191+H191)</f>
        <v/>
      </c>
      <c r="Q191" s="204"/>
      <c r="R191" s="200" t="str">
        <f aca="false">IF($A192="","",VLOOKUP($A191,Table,MATCH(R$4,Curves,0)))</f>
        <v/>
      </c>
      <c r="S191" s="201" t="str">
        <f aca="false">IF(A192="","",R191)</f>
        <v/>
      </c>
      <c r="T191" s="200" t="str">
        <f aca="false">IF($A192="","",VLOOKUP($A191,Table,MATCH(T$4,Curves,0)))</f>
        <v/>
      </c>
      <c r="U191" s="201" t="str">
        <f aca="false">IF(A192="","",T191)</f>
        <v/>
      </c>
      <c r="V191" s="183" t="str">
        <f aca="false">IF($A192="","",IF(AND(MONTH(A191)&gt;3,MONTH(A191)&lt;11),(T191+R191+G191)*(((1/(1-Summary!$T$14))/(1-Summary!$W$14))-1),(T191+R191+G191)*((1/(1-Summary!$U$14))/(1-Summary!$X$14)-1)))</f>
        <v/>
      </c>
      <c r="W191" s="202" t="str">
        <f aca="false">IF($A192="","",(T191+R191+G191+V191))</f>
        <v/>
      </c>
      <c r="X191" s="202" t="str">
        <f aca="false">IF($A192="","",(U191+S191+H191+V191))</f>
        <v/>
      </c>
      <c r="Y191" s="202"/>
      <c r="Z191" s="185" t="str">
        <f aca="false">IF($A192="","",VLOOKUP($A191,Table,MATCH(Z$4,Curves,0)))</f>
        <v/>
      </c>
      <c r="AA191" s="185" t="str">
        <f aca="false">IF($A192="","",VLOOKUP($A191,Table,MATCH(AA$4,Curves,0)))</f>
        <v/>
      </c>
      <c r="AB191" s="185" t="e">
        <f aca="false">SQRT((AA191^2*(A191-$D$3)+Z191^2*(DAY(EOMONTH(A191,0))/2))/AK191)</f>
        <v>#VALUE!</v>
      </c>
      <c r="AC191" s="185" t="str">
        <f aca="false">IF($A192="","",VLOOKUP($A191,Table,MATCH(AC$4,Curves,0)))</f>
        <v/>
      </c>
      <c r="AD191" s="185" t="str">
        <f aca="false">IF($A192="","",VLOOKUP($A191,Table,MATCH(AD$4,Curves,0)))</f>
        <v/>
      </c>
      <c r="AE191" s="185" t="e">
        <f aca="false">SQRT((AD191^2*(A191-$D$3)+AC191^2*(DAY(EOMONTH(A191,0))/2))/AK191)</f>
        <v>#VALUE!</v>
      </c>
      <c r="AF191" s="224" t="e">
        <f aca="false">((Summary!$N$14*(AA191*AD191)*(A191-$D$3))+(Summary!$M$14*Z191*AC191*(AJ191-EOMONTH(EDATE(A191,-1),0))))/(AK191*AB191*AE191)</f>
        <v>#VALUE!</v>
      </c>
      <c r="AG191" s="207" t="str">
        <f aca="false">IF($A192="","",Summary!$Q$14)</f>
        <v/>
      </c>
      <c r="AH191" s="207" t="str">
        <f aca="false">IF($A192="","",IF(Summary!$R$12="Y",(VLOOKUP($A191,Summary!$AD$6:$AF$9,3)+'Escalating commodity'!J204),'Escalating commodity'!J204))</f>
        <v/>
      </c>
      <c r="AI191" s="207" t="str">
        <f aca="false">IF($A192="","",AH191)</f>
        <v/>
      </c>
      <c r="AJ191" s="208" t="e">
        <f aca="false">A191+DAY(EOMONTH(A191,0))/2-1</f>
        <v>#VALUE!</v>
      </c>
      <c r="AK191" s="209" t="str">
        <f aca="false">IF($A192="","",$A191-$E$1)</f>
        <v/>
      </c>
      <c r="AL191" s="182" t="str">
        <f aca="false">IF($A192="","",SPRDOPT(P191,X191,AI191,0,AB191,AE191,AF191,AK191,$AJ$2,0))</f>
        <v/>
      </c>
      <c r="AM191" s="211" t="str">
        <f aca="false">IF($A192="","",MAX(0,O191-W191-AI191))</f>
        <v/>
      </c>
      <c r="AN191" s="211" t="str">
        <f aca="false">IF($A192="","",AL191-AM191)</f>
        <v/>
      </c>
      <c r="AO191" s="137" t="str">
        <f aca="false">IF(A192="","",A192-A191)</f>
        <v/>
      </c>
      <c r="AP191" s="212" t="str">
        <f aca="false">IF(A192="","",CHOOSE(F$3,A192+24,A191))</f>
        <v/>
      </c>
      <c r="AQ191" s="209" t="str">
        <f aca="false">IF(A192="","",AP191-$E$1)</f>
        <v/>
      </c>
      <c r="AR191" s="185" t="n">
        <f aca="false">'ANR OK vs ML7'!AR191</f>
        <v>0.1</v>
      </c>
      <c r="AS191" s="213" t="str">
        <f aca="false">IF(A192="","",1/(1+CHOOSE(F$3,(AR192+($I$3/10000))/2,(AR191+($I$3/10000))/2))^(2*AQ191/365.25))</f>
        <v/>
      </c>
      <c r="AT191" s="137" t="str">
        <f aca="false">IF(A192="","",IF(AND(mthbeg&lt;=A191,mthend&gt;=A191),1,0))</f>
        <v/>
      </c>
      <c r="AU191" s="137" t="str">
        <f aca="false">IF(A192="","",AO191*AT191)</f>
        <v/>
      </c>
      <c r="AW191" s="195" t="str">
        <f aca="false">IF($A192="","",AL191*$E191)</f>
        <v/>
      </c>
      <c r="AX191" s="195" t="str">
        <f aca="false">IF($A192="","",AM191*$E191)</f>
        <v/>
      </c>
      <c r="AY191" s="195" t="str">
        <f aca="false">IF($A192="","",AN191*$E191)</f>
        <v/>
      </c>
      <c r="BA191" s="195" t="str">
        <f aca="false">IF($A192="","",F191*Summary!$Q$14)</f>
        <v/>
      </c>
    </row>
    <row r="192" customFormat="false" ht="12" hidden="false" customHeight="true" outlineLevel="0" collapsed="false">
      <c r="A192" s="196" t="str">
        <f aca="false">IF(A191&lt;mthend,EDATE(A191,1),"")</f>
        <v/>
      </c>
      <c r="B192" s="197" t="str">
        <f aca="false">IF(A192&lt;mthend,B191,"")</f>
        <v/>
      </c>
      <c r="C192" s="215"/>
      <c r="D192" s="197" t="str">
        <f aca="false">IF(A193&lt;&gt;"",B192+C192,"")</f>
        <v/>
      </c>
      <c r="E192" s="199" t="str">
        <f aca="false">IF(A193="","",IF(AND(AT192=1,$H$3=1),D192*AO192,IF($H$3=2,D192,"N/A")))</f>
        <v/>
      </c>
      <c r="F192" s="199" t="str">
        <f aca="false">IF(A193="","",E192*AS192)</f>
        <v/>
      </c>
      <c r="G192" s="200" t="str">
        <f aca="false">IF($A193="","",VLOOKUP($A192,Table,MATCH(G$4,Curves,0)))</f>
        <v/>
      </c>
      <c r="H192" s="201" t="str">
        <f aca="false">IF(A193="","",G192)</f>
        <v/>
      </c>
      <c r="I192" s="202"/>
      <c r="J192" s="200" t="str">
        <f aca="false">IF($A193="","",VLOOKUP($A192,Table,MATCH(J$4,Curves,0)))</f>
        <v/>
      </c>
      <c r="K192" s="201" t="str">
        <f aca="false">IF(A193="","",J192)</f>
        <v/>
      </c>
      <c r="L192" s="185" t="n">
        <v>0</v>
      </c>
      <c r="M192" s="201" t="str">
        <f aca="false">IF(A193="","",L192)</f>
        <v/>
      </c>
      <c r="N192" s="203"/>
      <c r="O192" s="200" t="str">
        <f aca="false">IF(A193="","",L192+J192+G192)</f>
        <v/>
      </c>
      <c r="P192" s="200" t="str">
        <f aca="false">IF(A193="","",M192+K192+H192)</f>
        <v/>
      </c>
      <c r="Q192" s="204"/>
      <c r="R192" s="200" t="str">
        <f aca="false">IF($A193="","",VLOOKUP($A192,Table,MATCH(R$4,Curves,0)))</f>
        <v/>
      </c>
      <c r="S192" s="201" t="str">
        <f aca="false">IF(A193="","",R192)</f>
        <v/>
      </c>
      <c r="T192" s="200" t="str">
        <f aca="false">IF($A193="","",VLOOKUP($A192,Table,MATCH(T$4,Curves,0)))</f>
        <v/>
      </c>
      <c r="U192" s="201" t="str">
        <f aca="false">IF(A193="","",T192)</f>
        <v/>
      </c>
      <c r="V192" s="183" t="str">
        <f aca="false">IF($A193="","",IF(AND(MONTH(A192)&gt;3,MONTH(A192)&lt;11),(T192+R192+G192)*(((1/(1-Summary!$T$14))/(1-Summary!$W$14))-1),(T192+R192+G192)*((1/(1-Summary!$U$14))/(1-Summary!$X$14)-1)))</f>
        <v/>
      </c>
      <c r="W192" s="202" t="str">
        <f aca="false">IF($A193="","",(T192+R192+G192+V192))</f>
        <v/>
      </c>
      <c r="X192" s="202" t="str">
        <f aca="false">IF($A193="","",(U192+S192+H192+V192))</f>
        <v/>
      </c>
      <c r="Y192" s="202"/>
      <c r="Z192" s="185" t="str">
        <f aca="false">IF($A193="","",VLOOKUP($A192,Table,MATCH(Z$4,Curves,0)))</f>
        <v/>
      </c>
      <c r="AA192" s="185" t="str">
        <f aca="false">IF($A193="","",VLOOKUP($A192,Table,MATCH(AA$4,Curves,0)))</f>
        <v/>
      </c>
      <c r="AB192" s="185" t="e">
        <f aca="false">SQRT((AA192^2*(A192-$D$3)+Z192^2*(DAY(EOMONTH(A192,0))/2))/AK192)</f>
        <v>#VALUE!</v>
      </c>
      <c r="AC192" s="185" t="str">
        <f aca="false">IF($A193="","",VLOOKUP($A192,Table,MATCH(AC$4,Curves,0)))</f>
        <v/>
      </c>
      <c r="AD192" s="185" t="str">
        <f aca="false">IF($A193="","",VLOOKUP($A192,Table,MATCH(AD$4,Curves,0)))</f>
        <v/>
      </c>
      <c r="AE192" s="185" t="e">
        <f aca="false">SQRT((AD192^2*(A192-$D$3)+AC192^2*(DAY(EOMONTH(A192,0))/2))/AK192)</f>
        <v>#VALUE!</v>
      </c>
      <c r="AF192" s="224" t="e">
        <f aca="false">((Summary!$N$14*(AA192*AD192)*(A192-$D$3))+(Summary!$M$14*Z192*AC192*(AJ192-EOMONTH(EDATE(A192,-1),0))))/(AK192*AB192*AE192)</f>
        <v>#VALUE!</v>
      </c>
      <c r="AG192" s="207" t="str">
        <f aca="false">IF($A193="","",Summary!$Q$14)</f>
        <v/>
      </c>
      <c r="AH192" s="207" t="str">
        <f aca="false">IF($A193="","",IF(Summary!$R$12="Y",(VLOOKUP($A192,Summary!$AD$6:$AF$9,3)+'Escalating commodity'!J205),'Escalating commodity'!J205))</f>
        <v/>
      </c>
      <c r="AI192" s="207" t="str">
        <f aca="false">IF($A193="","",AH192)</f>
        <v/>
      </c>
      <c r="AJ192" s="208" t="e">
        <f aca="false">A192+DAY(EOMONTH(A192,0))/2-1</f>
        <v>#VALUE!</v>
      </c>
      <c r="AK192" s="209" t="str">
        <f aca="false">IF($A193="","",$A192-$E$1)</f>
        <v/>
      </c>
      <c r="AL192" s="182" t="str">
        <f aca="false">IF($A193="","",SPRDOPT(P192,X192,AI192,0,AB192,AE192,AF192,AK192,$AJ$2,0))</f>
        <v/>
      </c>
      <c r="AM192" s="211" t="str">
        <f aca="false">IF($A193="","",MAX(0,O192-W192-AI192))</f>
        <v/>
      </c>
      <c r="AN192" s="211" t="str">
        <f aca="false">IF($A193="","",AL192-AM192)</f>
        <v/>
      </c>
      <c r="AO192" s="137" t="str">
        <f aca="false">IF(A193="","",A193-A192)</f>
        <v/>
      </c>
      <c r="AP192" s="212" t="str">
        <f aca="false">IF(A193="","",CHOOSE(F$3,A193+24,A192))</f>
        <v/>
      </c>
      <c r="AQ192" s="209" t="str">
        <f aca="false">IF(A193="","",AP192-$E$1)</f>
        <v/>
      </c>
      <c r="AR192" s="185" t="n">
        <f aca="false">'ANR OK vs ML7'!AR192</f>
        <v>0.1</v>
      </c>
      <c r="AS192" s="213" t="str">
        <f aca="false">IF(A193="","",1/(1+CHOOSE(F$3,(AR193+($I$3/10000))/2,(AR192+($I$3/10000))/2))^(2*AQ192/365.25))</f>
        <v/>
      </c>
      <c r="AT192" s="137" t="str">
        <f aca="false">IF(A193="","",IF(AND(mthbeg&lt;=A192,mthend&gt;=A192),1,0))</f>
        <v/>
      </c>
      <c r="AU192" s="137" t="str">
        <f aca="false">IF(A193="","",AO192*AT192)</f>
        <v/>
      </c>
      <c r="AW192" s="195" t="str">
        <f aca="false">IF($A193="","",AL192*$E192)</f>
        <v/>
      </c>
      <c r="AX192" s="195" t="str">
        <f aca="false">IF($A193="","",AM192*$E192)</f>
        <v/>
      </c>
      <c r="AY192" s="195" t="str">
        <f aca="false">IF($A193="","",AN192*$E192)</f>
        <v/>
      </c>
      <c r="BA192" s="195" t="str">
        <f aca="false">IF($A193="","",F192*Summary!$Q$14)</f>
        <v/>
      </c>
    </row>
    <row r="193" customFormat="false" ht="12" hidden="false" customHeight="true" outlineLevel="0" collapsed="false">
      <c r="A193" s="196" t="str">
        <f aca="false">IF(A192&lt;mthend,EDATE(A192,1),"")</f>
        <v/>
      </c>
      <c r="B193" s="197" t="str">
        <f aca="false">IF(A193&lt;mthend,B192,"")</f>
        <v/>
      </c>
      <c r="C193" s="215"/>
      <c r="D193" s="197" t="str">
        <f aca="false">IF(A194&lt;&gt;"",B193+C193,"")</f>
        <v/>
      </c>
      <c r="E193" s="199" t="str">
        <f aca="false">IF(A194="","",IF(AND(AT193=1,$H$3=1),D193*AO193,IF($H$3=2,D193,"N/A")))</f>
        <v/>
      </c>
      <c r="F193" s="199" t="str">
        <f aca="false">IF(A194="","",E193*AS193)</f>
        <v/>
      </c>
      <c r="G193" s="200" t="str">
        <f aca="false">IF($A194="","",VLOOKUP($A193,Table,MATCH(G$4,Curves,0)))</f>
        <v/>
      </c>
      <c r="H193" s="201" t="str">
        <f aca="false">IF(A194="","",G193)</f>
        <v/>
      </c>
      <c r="I193" s="202"/>
      <c r="J193" s="200" t="str">
        <f aca="false">IF($A194="","",VLOOKUP($A193,Table,MATCH(J$4,Curves,0)))</f>
        <v/>
      </c>
      <c r="K193" s="201" t="str">
        <f aca="false">IF(A194="","",J193)</f>
        <v/>
      </c>
      <c r="L193" s="185" t="n">
        <v>0</v>
      </c>
      <c r="M193" s="201" t="str">
        <f aca="false">IF(A194="","",L193)</f>
        <v/>
      </c>
      <c r="N193" s="203"/>
      <c r="O193" s="200" t="str">
        <f aca="false">IF(A194="","",L193+J193+G193)</f>
        <v/>
      </c>
      <c r="P193" s="200" t="str">
        <f aca="false">IF(A194="","",M193+K193+H193)</f>
        <v/>
      </c>
      <c r="Q193" s="204"/>
      <c r="R193" s="200" t="str">
        <f aca="false">IF($A194="","",VLOOKUP($A193,Table,MATCH(R$4,Curves,0)))</f>
        <v/>
      </c>
      <c r="S193" s="201" t="str">
        <f aca="false">IF(A194="","",R193)</f>
        <v/>
      </c>
      <c r="T193" s="200" t="str">
        <f aca="false">IF($A194="","",VLOOKUP($A193,Table,MATCH(T$4,Curves,0)))</f>
        <v/>
      </c>
      <c r="U193" s="201" t="str">
        <f aca="false">IF(A194="","",T193)</f>
        <v/>
      </c>
      <c r="V193" s="183" t="str">
        <f aca="false">IF($A194="","",IF(AND(MONTH(A193)&gt;3,MONTH(A193)&lt;11),(T193+R193+G193)*(((1/(1-Summary!$T$14))/(1-Summary!$W$14))-1),(T193+R193+G193)*((1/(1-Summary!$U$14))/(1-Summary!$X$14)-1)))</f>
        <v/>
      </c>
      <c r="W193" s="202" t="str">
        <f aca="false">IF($A194="","",(T193+R193+G193+V193))</f>
        <v/>
      </c>
      <c r="X193" s="202" t="str">
        <f aca="false">IF($A194="","",(U193+S193+H193+V193))</f>
        <v/>
      </c>
      <c r="Y193" s="202"/>
      <c r="Z193" s="185" t="str">
        <f aca="false">IF($A194="","",VLOOKUP($A193,Table,MATCH(Z$4,Curves,0)))</f>
        <v/>
      </c>
      <c r="AA193" s="185" t="str">
        <f aca="false">IF($A194="","",VLOOKUP($A193,Table,MATCH(AA$4,Curves,0)))</f>
        <v/>
      </c>
      <c r="AB193" s="185" t="e">
        <f aca="false">SQRT((AA193^2*(A193-$D$3)+Z193^2*(DAY(EOMONTH(A193,0))/2))/AK193)</f>
        <v>#VALUE!</v>
      </c>
      <c r="AC193" s="185" t="str">
        <f aca="false">IF($A194="","",VLOOKUP($A193,Table,MATCH(AC$4,Curves,0)))</f>
        <v/>
      </c>
      <c r="AD193" s="185" t="str">
        <f aca="false">IF($A194="","",VLOOKUP($A193,Table,MATCH(AD$4,Curves,0)))</f>
        <v/>
      </c>
      <c r="AE193" s="185" t="e">
        <f aca="false">SQRT((AD193^2*(A193-$D$3)+AC193^2*(DAY(EOMONTH(A193,0))/2))/AK193)</f>
        <v>#VALUE!</v>
      </c>
      <c r="AF193" s="224" t="e">
        <f aca="false">((Summary!$N$14*(AA193*AD193)*(A193-$D$3))+(Summary!$M$14*Z193*AC193*(AJ193-EOMONTH(EDATE(A193,-1),0))))/(AK193*AB193*AE193)</f>
        <v>#VALUE!</v>
      </c>
      <c r="AG193" s="207" t="str">
        <f aca="false">IF($A194="","",Summary!$Q$14)</f>
        <v/>
      </c>
      <c r="AH193" s="207" t="str">
        <f aca="false">IF($A194="","",IF(Summary!$R$12="Y",(VLOOKUP($A193,Summary!$AD$6:$AF$9,3)+'Escalating commodity'!J206),'Escalating commodity'!J206))</f>
        <v/>
      </c>
      <c r="AI193" s="207" t="str">
        <f aca="false">IF($A194="","",AH193)</f>
        <v/>
      </c>
      <c r="AJ193" s="208" t="e">
        <f aca="false">A193+DAY(EOMONTH(A193,0))/2-1</f>
        <v>#VALUE!</v>
      </c>
      <c r="AK193" s="209" t="str">
        <f aca="false">IF($A194="","",$A193-$E$1)</f>
        <v/>
      </c>
      <c r="AL193" s="182" t="str">
        <f aca="false">IF($A194="","",SPRDOPT(P193,X193,AI193,0,AB193,AE193,AF193,AK193,$AJ$2,0))</f>
        <v/>
      </c>
      <c r="AM193" s="211" t="str">
        <f aca="false">IF($A194="","",MAX(0,O193-W193-AI193))</f>
        <v/>
      </c>
      <c r="AN193" s="211" t="str">
        <f aca="false">IF($A194="","",AL193-AM193)</f>
        <v/>
      </c>
      <c r="AO193" s="137" t="str">
        <f aca="false">IF(A194="","",A194-A193)</f>
        <v/>
      </c>
      <c r="AP193" s="212" t="str">
        <f aca="false">IF(A194="","",CHOOSE(F$3,A194+24,A193))</f>
        <v/>
      </c>
      <c r="AQ193" s="209" t="str">
        <f aca="false">IF(A194="","",AP193-$E$1)</f>
        <v/>
      </c>
      <c r="AR193" s="185" t="n">
        <f aca="false">'ANR OK vs ML7'!AR193</f>
        <v>0.1</v>
      </c>
      <c r="AS193" s="213" t="str">
        <f aca="false">IF(A194="","",1/(1+CHOOSE(F$3,(AR194+($I$3/10000))/2,(AR193+($I$3/10000))/2))^(2*AQ193/365.25))</f>
        <v/>
      </c>
      <c r="AT193" s="137" t="str">
        <f aca="false">IF(A194="","",IF(AND(mthbeg&lt;=A193,mthend&gt;=A193),1,0))</f>
        <v/>
      </c>
      <c r="AU193" s="137" t="str">
        <f aca="false">IF(A194="","",AO193*AT193)</f>
        <v/>
      </c>
      <c r="AW193" s="195" t="str">
        <f aca="false">IF($A194="","",AL193*$E193)</f>
        <v/>
      </c>
      <c r="AX193" s="195" t="str">
        <f aca="false">IF($A194="","",AM193*$E193)</f>
        <v/>
      </c>
      <c r="AY193" s="195" t="str">
        <f aca="false">IF($A194="","",AN193*$E193)</f>
        <v/>
      </c>
      <c r="BA193" s="195" t="str">
        <f aca="false">IF($A194="","",F193*Summary!$Q$14)</f>
        <v/>
      </c>
    </row>
    <row r="194" customFormat="false" ht="12" hidden="false" customHeight="true" outlineLevel="0" collapsed="false">
      <c r="A194" s="196" t="str">
        <f aca="false">IF(A193&lt;mthend,EDATE(A193,1),"")</f>
        <v/>
      </c>
      <c r="B194" s="197" t="str">
        <f aca="false">IF(A194&lt;mthend,B193,"")</f>
        <v/>
      </c>
      <c r="C194" s="215"/>
      <c r="D194" s="197" t="str">
        <f aca="false">IF(A195&lt;&gt;"",B194+C194,"")</f>
        <v/>
      </c>
      <c r="E194" s="199" t="str">
        <f aca="false">IF(A195="","",IF(AND(AT194=1,$H$3=1),D194*AO194,IF($H$3=2,D194,"N/A")))</f>
        <v/>
      </c>
      <c r="F194" s="199" t="str">
        <f aca="false">IF(A195="","",E194*AS194)</f>
        <v/>
      </c>
      <c r="G194" s="200" t="str">
        <f aca="false">IF($A195="","",VLOOKUP($A194,Table,MATCH(G$4,Curves,0)))</f>
        <v/>
      </c>
      <c r="H194" s="201" t="str">
        <f aca="false">IF(A195="","",G194)</f>
        <v/>
      </c>
      <c r="I194" s="202"/>
      <c r="J194" s="200" t="str">
        <f aca="false">IF($A195="","",VLOOKUP($A194,Table,MATCH(J$4,Curves,0)))</f>
        <v/>
      </c>
      <c r="K194" s="201" t="str">
        <f aca="false">IF(A195="","",J194)</f>
        <v/>
      </c>
      <c r="L194" s="185" t="n">
        <v>0</v>
      </c>
      <c r="M194" s="201" t="str">
        <f aca="false">IF(A195="","",L194)</f>
        <v/>
      </c>
      <c r="N194" s="203"/>
      <c r="O194" s="200" t="str">
        <f aca="false">IF(A195="","",L194+J194+G194)</f>
        <v/>
      </c>
      <c r="P194" s="200" t="str">
        <f aca="false">IF(A195="","",M194+K194+H194)</f>
        <v/>
      </c>
      <c r="Q194" s="204"/>
      <c r="R194" s="200" t="str">
        <f aca="false">IF($A195="","",VLOOKUP($A194,Table,MATCH(R$4,Curves,0)))</f>
        <v/>
      </c>
      <c r="S194" s="201" t="str">
        <f aca="false">IF(A195="","",R194)</f>
        <v/>
      </c>
      <c r="T194" s="200" t="str">
        <f aca="false">IF($A195="","",VLOOKUP($A194,Table,MATCH(T$4,Curves,0)))</f>
        <v/>
      </c>
      <c r="U194" s="201" t="str">
        <f aca="false">IF(A195="","",T194)</f>
        <v/>
      </c>
      <c r="V194" s="183" t="str">
        <f aca="false">IF($A195="","",IF(AND(MONTH(A194)&gt;3,MONTH(A194)&lt;11),(T194+R194+G194)*(((1/(1-Summary!$T$14))/(1-Summary!$W$14))-1),(T194+R194+G194)*((1/(1-Summary!$U$14))/(1-Summary!$X$14)-1)))</f>
        <v/>
      </c>
      <c r="W194" s="202" t="str">
        <f aca="false">IF($A195="","",(T194+R194+G194+V194))</f>
        <v/>
      </c>
      <c r="X194" s="202" t="str">
        <f aca="false">IF($A195="","",(U194+S194+H194+V194))</f>
        <v/>
      </c>
      <c r="Y194" s="202"/>
      <c r="Z194" s="185" t="str">
        <f aca="false">IF($A195="","",VLOOKUP($A194,Table,MATCH(Z$4,Curves,0)))</f>
        <v/>
      </c>
      <c r="AA194" s="185" t="str">
        <f aca="false">IF($A195="","",VLOOKUP($A194,Table,MATCH(AA$4,Curves,0)))</f>
        <v/>
      </c>
      <c r="AB194" s="185" t="e">
        <f aca="false">SQRT((AA194^2*(A194-$D$3)+Z194^2*(DAY(EOMONTH(A194,0))/2))/AK194)</f>
        <v>#VALUE!</v>
      </c>
      <c r="AC194" s="185" t="str">
        <f aca="false">IF($A195="","",VLOOKUP($A194,Table,MATCH(AC$4,Curves,0)))</f>
        <v/>
      </c>
      <c r="AD194" s="185" t="str">
        <f aca="false">IF($A195="","",VLOOKUP($A194,Table,MATCH(AD$4,Curves,0)))</f>
        <v/>
      </c>
      <c r="AE194" s="185" t="e">
        <f aca="false">SQRT((AD194^2*(A194-$D$3)+AC194^2*(DAY(EOMONTH(A194,0))/2))/AK194)</f>
        <v>#VALUE!</v>
      </c>
      <c r="AF194" s="224" t="e">
        <f aca="false">((Summary!$N$14*(AA194*AD194)*(A194-$D$3))+(Summary!$M$14*Z194*AC194*(AJ194-EOMONTH(EDATE(A194,-1),0))))/(AK194*AB194*AE194)</f>
        <v>#VALUE!</v>
      </c>
      <c r="AG194" s="207" t="str">
        <f aca="false">IF($A195="","",Summary!$Q$14)</f>
        <v/>
      </c>
      <c r="AH194" s="207" t="str">
        <f aca="false">IF($A195="","",IF(Summary!$R$12="Y",(VLOOKUP($A194,Summary!$AD$6:$AF$9,3)+'Escalating commodity'!J207),'Escalating commodity'!J207))</f>
        <v/>
      </c>
      <c r="AI194" s="207" t="str">
        <f aca="false">IF($A195="","",AH194)</f>
        <v/>
      </c>
      <c r="AJ194" s="208" t="e">
        <f aca="false">A194+DAY(EOMONTH(A194,0))/2-1</f>
        <v>#VALUE!</v>
      </c>
      <c r="AK194" s="209" t="str">
        <f aca="false">IF($A195="","",$A194-$E$1)</f>
        <v/>
      </c>
      <c r="AL194" s="182" t="str">
        <f aca="false">IF($A195="","",SPRDOPT(P194,X194,AI194,0,AB194,AE194,AF194,AK194,$AJ$2,0))</f>
        <v/>
      </c>
      <c r="AM194" s="211" t="str">
        <f aca="false">IF($A195="","",MAX(0,O194-W194-AI194))</f>
        <v/>
      </c>
      <c r="AN194" s="211" t="str">
        <f aca="false">IF($A195="","",AL194-AM194)</f>
        <v/>
      </c>
      <c r="AO194" s="137" t="str">
        <f aca="false">IF(A195="","",A195-A194)</f>
        <v/>
      </c>
      <c r="AP194" s="212" t="str">
        <f aca="false">IF(A195="","",CHOOSE(F$3,A195+24,A194))</f>
        <v/>
      </c>
      <c r="AQ194" s="209" t="str">
        <f aca="false">IF(A195="","",AP194-$E$1)</f>
        <v/>
      </c>
      <c r="AR194" s="185" t="n">
        <f aca="false">'ANR OK vs ML7'!AR194</f>
        <v>0.1</v>
      </c>
      <c r="AS194" s="213" t="str">
        <f aca="false">IF(A195="","",1/(1+CHOOSE(F$3,(AR195+($I$3/10000))/2,(AR194+($I$3/10000))/2))^(2*AQ194/365.25))</f>
        <v/>
      </c>
      <c r="AT194" s="137" t="str">
        <f aca="false">IF(A195="","",IF(AND(mthbeg&lt;=A194,mthend&gt;=A194),1,0))</f>
        <v/>
      </c>
      <c r="AU194" s="137" t="str">
        <f aca="false">IF(A195="","",AO194*AT194)</f>
        <v/>
      </c>
      <c r="AW194" s="195" t="str">
        <f aca="false">IF($A195="","",AL194*$E194)</f>
        <v/>
      </c>
      <c r="AX194" s="195" t="str">
        <f aca="false">IF($A195="","",AM194*$E194)</f>
        <v/>
      </c>
      <c r="AY194" s="195" t="str">
        <f aca="false">IF($A195="","",AN194*$E194)</f>
        <v/>
      </c>
      <c r="BA194" s="195" t="str">
        <f aca="false">IF($A195="","",F194*Summary!$Q$14)</f>
        <v/>
      </c>
    </row>
    <row r="195" customFormat="false" ht="12" hidden="false" customHeight="true" outlineLevel="0" collapsed="false">
      <c r="A195" s="196" t="str">
        <f aca="false">IF(A194&lt;mthend,EDATE(A194,1),"")</f>
        <v/>
      </c>
      <c r="B195" s="197" t="str">
        <f aca="false">IF(A195&lt;mthend,B194,"")</f>
        <v/>
      </c>
      <c r="C195" s="215"/>
      <c r="D195" s="197" t="str">
        <f aca="false">IF(A196&lt;&gt;"",B195+C195,"")</f>
        <v/>
      </c>
      <c r="E195" s="199" t="str">
        <f aca="false">IF(A196="","",IF(AND(AT195=1,$H$3=1),D195*AO195,IF($H$3=2,D195,"N/A")))</f>
        <v/>
      </c>
      <c r="F195" s="199" t="str">
        <f aca="false">IF(A196="","",E195*AS195)</f>
        <v/>
      </c>
      <c r="G195" s="200" t="str">
        <f aca="false">IF($A196="","",VLOOKUP($A195,Table,MATCH(G$4,Curves,0)))</f>
        <v/>
      </c>
      <c r="H195" s="201" t="str">
        <f aca="false">IF(A196="","",G195)</f>
        <v/>
      </c>
      <c r="I195" s="202"/>
      <c r="J195" s="200" t="str">
        <f aca="false">IF($A196="","",VLOOKUP($A195,Table,MATCH(J$4,Curves,0)))</f>
        <v/>
      </c>
      <c r="K195" s="201" t="str">
        <f aca="false">IF(A196="","",J195)</f>
        <v/>
      </c>
      <c r="L195" s="185" t="n">
        <v>0</v>
      </c>
      <c r="M195" s="201" t="str">
        <f aca="false">IF(A196="","",L195)</f>
        <v/>
      </c>
      <c r="N195" s="203"/>
      <c r="O195" s="200" t="str">
        <f aca="false">IF(A196="","",L195+J195+G195)</f>
        <v/>
      </c>
      <c r="P195" s="200" t="str">
        <f aca="false">IF(A196="","",M195+K195+H195)</f>
        <v/>
      </c>
      <c r="Q195" s="204"/>
      <c r="R195" s="200" t="str">
        <f aca="false">IF($A196="","",VLOOKUP($A195,Table,MATCH(R$4,Curves,0)))</f>
        <v/>
      </c>
      <c r="S195" s="201" t="str">
        <f aca="false">IF(A196="","",R195)</f>
        <v/>
      </c>
      <c r="T195" s="200" t="str">
        <f aca="false">IF($A196="","",VLOOKUP($A195,Table,MATCH(T$4,Curves,0)))</f>
        <v/>
      </c>
      <c r="U195" s="201" t="str">
        <f aca="false">IF(A196="","",T195)</f>
        <v/>
      </c>
      <c r="V195" s="183" t="str">
        <f aca="false">IF($A196="","",IF(AND(MONTH(A195)&gt;3,MONTH(A195)&lt;11),(T195+R195+G195)*(((1/(1-Summary!$T$14))/(1-Summary!$W$14))-1),(T195+R195+G195)*((1/(1-Summary!$U$14))/(1-Summary!$X$14)-1)))</f>
        <v/>
      </c>
      <c r="W195" s="202" t="str">
        <f aca="false">IF($A196="","",(T195+R195+G195+V195))</f>
        <v/>
      </c>
      <c r="X195" s="202" t="str">
        <f aca="false">IF($A196="","",(U195+S195+H195+V195))</f>
        <v/>
      </c>
      <c r="Y195" s="202"/>
      <c r="Z195" s="185" t="str">
        <f aca="false">IF($A196="","",VLOOKUP($A195,Table,MATCH(Z$4,Curves,0)))</f>
        <v/>
      </c>
      <c r="AA195" s="185" t="str">
        <f aca="false">IF($A196="","",VLOOKUP($A195,Table,MATCH(AA$4,Curves,0)))</f>
        <v/>
      </c>
      <c r="AB195" s="185" t="e">
        <f aca="false">SQRT((AA195^2*(A195-$D$3)+Z195^2*(DAY(EOMONTH(A195,0))/2))/AK195)</f>
        <v>#VALUE!</v>
      </c>
      <c r="AC195" s="185" t="str">
        <f aca="false">IF($A196="","",VLOOKUP($A195,Table,MATCH(AC$4,Curves,0)))</f>
        <v/>
      </c>
      <c r="AD195" s="185" t="str">
        <f aca="false">IF($A196="","",VLOOKUP($A195,Table,MATCH(AD$4,Curves,0)))</f>
        <v/>
      </c>
      <c r="AE195" s="185" t="e">
        <f aca="false">SQRT((AD195^2*(A195-$D$3)+AC195^2*(DAY(EOMONTH(A195,0))/2))/AK195)</f>
        <v>#VALUE!</v>
      </c>
      <c r="AF195" s="224" t="e">
        <f aca="false">((Summary!$N$14*(AA195*AD195)*(A195-$D$3))+(Summary!$M$14*Z195*AC195*(AJ195-EOMONTH(EDATE(A195,-1),0))))/(AK195*AB195*AE195)</f>
        <v>#VALUE!</v>
      </c>
      <c r="AG195" s="207" t="str">
        <f aca="false">IF($A196="","",Summary!$Q$14)</f>
        <v/>
      </c>
      <c r="AH195" s="207" t="str">
        <f aca="false">IF($A196="","",IF(Summary!$R$12="Y",(VLOOKUP($A195,Summary!$AD$6:$AF$9,3)+'Escalating commodity'!J208),'Escalating commodity'!J208))</f>
        <v/>
      </c>
      <c r="AI195" s="207" t="str">
        <f aca="false">IF($A196="","",AH195)</f>
        <v/>
      </c>
      <c r="AJ195" s="208" t="e">
        <f aca="false">A195+DAY(EOMONTH(A195,0))/2-1</f>
        <v>#VALUE!</v>
      </c>
      <c r="AK195" s="209" t="str">
        <f aca="false">IF($A196="","",$A195-$E$1)</f>
        <v/>
      </c>
      <c r="AL195" s="182" t="str">
        <f aca="false">IF($A196="","",SPRDOPT(P195,X195,AI195,0,AB195,AE195,AF195,AK195,$AJ$2,0))</f>
        <v/>
      </c>
      <c r="AM195" s="211" t="str">
        <f aca="false">IF($A196="","",MAX(0,O195-W195-AI195))</f>
        <v/>
      </c>
      <c r="AN195" s="211" t="str">
        <f aca="false">IF($A196="","",AL195-AM195)</f>
        <v/>
      </c>
      <c r="AO195" s="137" t="str">
        <f aca="false">IF(A196="","",A196-A195)</f>
        <v/>
      </c>
      <c r="AP195" s="212" t="str">
        <f aca="false">IF(A196="","",CHOOSE(F$3,A196+24,A195))</f>
        <v/>
      </c>
      <c r="AQ195" s="209" t="str">
        <f aca="false">IF(A196="","",AP195-$E$1)</f>
        <v/>
      </c>
      <c r="AR195" s="185" t="n">
        <f aca="false">'ANR OK vs ML7'!AR195</f>
        <v>0.1</v>
      </c>
      <c r="AS195" s="213" t="str">
        <f aca="false">IF(A196="","",1/(1+CHOOSE(F$3,(AR196+($I$3/10000))/2,(AR195+($I$3/10000))/2))^(2*AQ195/365.25))</f>
        <v/>
      </c>
      <c r="AT195" s="137" t="str">
        <f aca="false">IF(A196="","",IF(AND(mthbeg&lt;=A195,mthend&gt;=A195),1,0))</f>
        <v/>
      </c>
      <c r="AU195" s="137" t="str">
        <f aca="false">IF(A196="","",AO195*AT195)</f>
        <v/>
      </c>
      <c r="AW195" s="195" t="str">
        <f aca="false">IF($A196="","",AL195*$E195)</f>
        <v/>
      </c>
      <c r="AX195" s="195" t="str">
        <f aca="false">IF($A196="","",AM195*$E195)</f>
        <v/>
      </c>
      <c r="AY195" s="195" t="str">
        <f aca="false">IF($A196="","",AN195*$E195)</f>
        <v/>
      </c>
      <c r="BA195" s="195" t="str">
        <f aca="false">IF($A196="","",F195*Summary!$Q$14)</f>
        <v/>
      </c>
    </row>
    <row r="196" customFormat="false" ht="12" hidden="false" customHeight="true" outlineLevel="0" collapsed="false">
      <c r="A196" s="196" t="str">
        <f aca="false">IF(A195&lt;mthend,EDATE(A195,1),"")</f>
        <v/>
      </c>
      <c r="B196" s="197" t="str">
        <f aca="false">IF(A196&lt;mthend,B195,"")</f>
        <v/>
      </c>
      <c r="C196" s="215"/>
      <c r="D196" s="197" t="str">
        <f aca="false">IF(A197&lt;&gt;"",B196+C196,"")</f>
        <v/>
      </c>
      <c r="E196" s="199" t="str">
        <f aca="false">IF(A197="","",IF(AND(AT196=1,$H$3=1),D196*AO196,IF($H$3=2,D196,"N/A")))</f>
        <v/>
      </c>
      <c r="F196" s="199" t="str">
        <f aca="false">IF(A197="","",E196*AS196)</f>
        <v/>
      </c>
      <c r="G196" s="200" t="str">
        <f aca="false">IF($A197="","",VLOOKUP($A196,Table,MATCH(G$4,Curves,0)))</f>
        <v/>
      </c>
      <c r="H196" s="201" t="str">
        <f aca="false">IF(A197="","",G196)</f>
        <v/>
      </c>
      <c r="I196" s="202"/>
      <c r="J196" s="200" t="str">
        <f aca="false">IF($A197="","",VLOOKUP($A196,Table,MATCH(J$4,Curves,0)))</f>
        <v/>
      </c>
      <c r="K196" s="201" t="str">
        <f aca="false">IF(A197="","",J196)</f>
        <v/>
      </c>
      <c r="L196" s="185" t="n">
        <v>0</v>
      </c>
      <c r="M196" s="201" t="str">
        <f aca="false">IF(A197="","",L196)</f>
        <v/>
      </c>
      <c r="N196" s="203"/>
      <c r="O196" s="200" t="str">
        <f aca="false">IF(A197="","",L196+J196+G196)</f>
        <v/>
      </c>
      <c r="P196" s="200" t="str">
        <f aca="false">IF(A197="","",M196+K196+H196)</f>
        <v/>
      </c>
      <c r="Q196" s="204"/>
      <c r="R196" s="200" t="str">
        <f aca="false">IF($A197="","",VLOOKUP($A196,Table,MATCH(R$4,Curves,0)))</f>
        <v/>
      </c>
      <c r="S196" s="201" t="str">
        <f aca="false">IF(A197="","",R196)</f>
        <v/>
      </c>
      <c r="T196" s="200" t="str">
        <f aca="false">IF($A197="","",VLOOKUP($A196,Table,MATCH(T$4,Curves,0)))</f>
        <v/>
      </c>
      <c r="U196" s="201" t="str">
        <f aca="false">IF(A197="","",T196)</f>
        <v/>
      </c>
      <c r="V196" s="183" t="str">
        <f aca="false">IF($A197="","",IF(AND(MONTH(A196)&gt;3,MONTH(A196)&lt;11),(T196+R196+G196)*(((1/(1-Summary!$T$14))/(1-Summary!$W$14))-1),(T196+R196+G196)*((1/(1-Summary!$U$14))/(1-Summary!$X$14)-1)))</f>
        <v/>
      </c>
      <c r="W196" s="202" t="str">
        <f aca="false">IF($A197="","",(T196+R196+G196+V196))</f>
        <v/>
      </c>
      <c r="X196" s="202" t="str">
        <f aca="false">IF($A197="","",(U196+S196+H196+V196))</f>
        <v/>
      </c>
      <c r="Y196" s="202"/>
      <c r="Z196" s="185" t="str">
        <f aca="false">IF($A197="","",VLOOKUP($A196,Table,MATCH(Z$4,Curves,0)))</f>
        <v/>
      </c>
      <c r="AA196" s="185" t="str">
        <f aca="false">IF($A197="","",VLOOKUP($A196,Table,MATCH(AA$4,Curves,0)))</f>
        <v/>
      </c>
      <c r="AB196" s="185" t="e">
        <f aca="false">SQRT((AA196^2*(A196-$D$3)+Z196^2*(DAY(EOMONTH(A196,0))/2))/AK196)</f>
        <v>#VALUE!</v>
      </c>
      <c r="AC196" s="185" t="str">
        <f aca="false">IF($A197="","",VLOOKUP($A196,Table,MATCH(AC$4,Curves,0)))</f>
        <v/>
      </c>
      <c r="AD196" s="185" t="str">
        <f aca="false">IF($A197="","",VLOOKUP($A196,Table,MATCH(AD$4,Curves,0)))</f>
        <v/>
      </c>
      <c r="AE196" s="185" t="e">
        <f aca="false">SQRT((AD196^2*(A196-$D$3)+AC196^2*(DAY(EOMONTH(A196,0))/2))/AK196)</f>
        <v>#VALUE!</v>
      </c>
      <c r="AF196" s="224" t="e">
        <f aca="false">((Summary!$N$14*(AA196*AD196)*(A196-$D$3))+(Summary!$M$14*Z196*AC196*(AJ196-EOMONTH(EDATE(A196,-1),0))))/(AK196*AB196*AE196)</f>
        <v>#VALUE!</v>
      </c>
      <c r="AG196" s="207" t="str">
        <f aca="false">IF($A197="","",Summary!$Q$14)</f>
        <v/>
      </c>
      <c r="AH196" s="207" t="str">
        <f aca="false">IF($A197="","",IF(Summary!$R$12="Y",(VLOOKUP($A196,Summary!$AD$6:$AF$9,3)+'Escalating commodity'!J209),'Escalating commodity'!J209))</f>
        <v/>
      </c>
      <c r="AI196" s="207" t="str">
        <f aca="false">IF($A197="","",AH196)</f>
        <v/>
      </c>
      <c r="AJ196" s="208" t="e">
        <f aca="false">A196+DAY(EOMONTH(A196,0))/2-1</f>
        <v>#VALUE!</v>
      </c>
      <c r="AK196" s="209" t="str">
        <f aca="false">IF($A197="","",$A196-$E$1)</f>
        <v/>
      </c>
      <c r="AL196" s="182" t="str">
        <f aca="false">IF($A197="","",SPRDOPT(P196,X196,AI196,0,AB196,AE196,AF196,AK196,$AJ$2,0))</f>
        <v/>
      </c>
      <c r="AM196" s="211" t="str">
        <f aca="false">IF($A197="","",MAX(0,O196-W196-AI196))</f>
        <v/>
      </c>
      <c r="AN196" s="211" t="str">
        <f aca="false">IF($A197="","",AL196-AM196)</f>
        <v/>
      </c>
      <c r="AO196" s="137" t="str">
        <f aca="false">IF(A197="","",A197-A196)</f>
        <v/>
      </c>
      <c r="AP196" s="212" t="str">
        <f aca="false">IF(A197="","",CHOOSE(F$3,A197+24,A196))</f>
        <v/>
      </c>
      <c r="AQ196" s="209" t="str">
        <f aca="false">IF(A197="","",AP196-$E$1)</f>
        <v/>
      </c>
      <c r="AR196" s="185" t="n">
        <f aca="false">'ANR OK vs ML7'!AR196</f>
        <v>0.1</v>
      </c>
      <c r="AS196" s="213" t="str">
        <f aca="false">IF(A197="","",1/(1+CHOOSE(F$3,(AR197+($I$3/10000))/2,(AR196+($I$3/10000))/2))^(2*AQ196/365.25))</f>
        <v/>
      </c>
      <c r="AT196" s="137" t="str">
        <f aca="false">IF(A197="","",IF(AND(mthbeg&lt;=A196,mthend&gt;=A196),1,0))</f>
        <v/>
      </c>
      <c r="AU196" s="137" t="str">
        <f aca="false">IF(A197="","",AO196*AT196)</f>
        <v/>
      </c>
      <c r="AW196" s="195" t="str">
        <f aca="false">IF($A197="","",AL196*$E196)</f>
        <v/>
      </c>
      <c r="AX196" s="195" t="str">
        <f aca="false">IF($A197="","",AM196*$E196)</f>
        <v/>
      </c>
      <c r="AY196" s="195" t="str">
        <f aca="false">IF($A197="","",AN196*$E196)</f>
        <v/>
      </c>
      <c r="BA196" s="195" t="str">
        <f aca="false">IF($A197="","",F196*Summary!$Q$14)</f>
        <v/>
      </c>
    </row>
    <row r="197" customFormat="false" ht="12" hidden="false" customHeight="true" outlineLevel="0" collapsed="false">
      <c r="A197" s="196" t="str">
        <f aca="false">IF(A196&lt;mthend,EDATE(A196,1),"")</f>
        <v/>
      </c>
      <c r="B197" s="197" t="str">
        <f aca="false">IF(A197&lt;mthend,B196,"")</f>
        <v/>
      </c>
      <c r="C197" s="215"/>
      <c r="D197" s="197" t="str">
        <f aca="false">IF(A198&lt;&gt;"",B197+C197,"")</f>
        <v/>
      </c>
      <c r="E197" s="199" t="str">
        <f aca="false">IF(A198="","",IF(AND(AT197=1,$H$3=1),D197*AO197,IF($H$3=2,D197,"N/A")))</f>
        <v/>
      </c>
      <c r="F197" s="199" t="str">
        <f aca="false">IF(A198="","",E197*AS197)</f>
        <v/>
      </c>
      <c r="G197" s="200" t="str">
        <f aca="false">IF($A198="","",VLOOKUP($A197,Table,MATCH(G$4,Curves,0)))</f>
        <v/>
      </c>
      <c r="H197" s="201" t="str">
        <f aca="false">IF(A198="","",G197)</f>
        <v/>
      </c>
      <c r="I197" s="202"/>
      <c r="J197" s="200" t="str">
        <f aca="false">IF($A198="","",VLOOKUP($A197,Table,MATCH(J$4,Curves,0)))</f>
        <v/>
      </c>
      <c r="K197" s="201" t="str">
        <f aca="false">IF(A198="","",J197)</f>
        <v/>
      </c>
      <c r="L197" s="185" t="n">
        <v>0</v>
      </c>
      <c r="M197" s="201" t="str">
        <f aca="false">IF(A198="","",L197)</f>
        <v/>
      </c>
      <c r="N197" s="203"/>
      <c r="O197" s="200" t="str">
        <f aca="false">IF(A198="","",L197+J197+G197)</f>
        <v/>
      </c>
      <c r="P197" s="200" t="str">
        <f aca="false">IF(A198="","",M197+K197+H197)</f>
        <v/>
      </c>
      <c r="Q197" s="204"/>
      <c r="R197" s="200" t="str">
        <f aca="false">IF($A198="","",VLOOKUP($A197,Table,MATCH(R$4,Curves,0)))</f>
        <v/>
      </c>
      <c r="S197" s="201" t="str">
        <f aca="false">IF(A198="","",R197)</f>
        <v/>
      </c>
      <c r="T197" s="200" t="str">
        <f aca="false">IF($A198="","",VLOOKUP($A197,Table,MATCH(T$4,Curves,0)))</f>
        <v/>
      </c>
      <c r="U197" s="201" t="str">
        <f aca="false">IF(A198="","",T197)</f>
        <v/>
      </c>
      <c r="V197" s="183" t="str">
        <f aca="false">IF($A198="","",IF(AND(MONTH(A197)&gt;3,MONTH(A197)&lt;11),(T197+R197+G197)*(((1/(1-Summary!$T$14))/(1-Summary!$W$14))-1),(T197+R197+G197)*((1/(1-Summary!$U$14))/(1-Summary!$X$14)-1)))</f>
        <v/>
      </c>
      <c r="W197" s="202" t="str">
        <f aca="false">IF($A198="","",(T197+R197+G197+V197))</f>
        <v/>
      </c>
      <c r="X197" s="202" t="str">
        <f aca="false">IF($A198="","",(U197+S197+H197+V197))</f>
        <v/>
      </c>
      <c r="Y197" s="202"/>
      <c r="Z197" s="185" t="str">
        <f aca="false">IF($A198="","",VLOOKUP($A197,Table,MATCH(Z$4,Curves,0)))</f>
        <v/>
      </c>
      <c r="AA197" s="185" t="str">
        <f aca="false">IF($A198="","",VLOOKUP($A197,Table,MATCH(AA$4,Curves,0)))</f>
        <v/>
      </c>
      <c r="AB197" s="185" t="e">
        <f aca="false">SQRT((AA197^2*(A197-$D$3)+Z197^2*(DAY(EOMONTH(A197,0))/2))/AK197)</f>
        <v>#VALUE!</v>
      </c>
      <c r="AC197" s="185" t="str">
        <f aca="false">IF($A198="","",VLOOKUP($A197,Table,MATCH(AC$4,Curves,0)))</f>
        <v/>
      </c>
      <c r="AD197" s="185" t="str">
        <f aca="false">IF($A198="","",VLOOKUP($A197,Table,MATCH(AD$4,Curves,0)))</f>
        <v/>
      </c>
      <c r="AE197" s="185" t="e">
        <f aca="false">SQRT((AD197^2*(A197-$D$3)+AC197^2*(DAY(EOMONTH(A197,0))/2))/AK197)</f>
        <v>#VALUE!</v>
      </c>
      <c r="AF197" s="224" t="e">
        <f aca="false">((Summary!$N$14*(AA197*AD197)*(A197-$D$3))+(Summary!$M$14*Z197*AC197*(AJ197-EOMONTH(EDATE(A197,-1),0))))/(AK197*AB197*AE197)</f>
        <v>#VALUE!</v>
      </c>
      <c r="AG197" s="207" t="str">
        <f aca="false">IF($A198="","",Summary!$Q$14)</f>
        <v/>
      </c>
      <c r="AH197" s="207" t="str">
        <f aca="false">IF($A198="","",IF(Summary!$R$12="Y",(VLOOKUP($A197,Summary!$AD$6:$AF$9,3)+'Escalating commodity'!J210),'Escalating commodity'!J210))</f>
        <v/>
      </c>
      <c r="AI197" s="207" t="str">
        <f aca="false">IF($A198="","",AH197)</f>
        <v/>
      </c>
      <c r="AJ197" s="208" t="e">
        <f aca="false">A197+DAY(EOMONTH(A197,0))/2-1</f>
        <v>#VALUE!</v>
      </c>
      <c r="AK197" s="209" t="str">
        <f aca="false">IF($A198="","",$A197-$E$1)</f>
        <v/>
      </c>
      <c r="AL197" s="182" t="str">
        <f aca="false">IF($A198="","",SPRDOPT(P197,X197,AI197,0,AB197,AE197,AF197,AK197,$AJ$2,0))</f>
        <v/>
      </c>
      <c r="AM197" s="211" t="str">
        <f aca="false">IF($A198="","",MAX(0,O197-W197-AI197))</f>
        <v/>
      </c>
      <c r="AN197" s="211" t="str">
        <f aca="false">IF($A198="","",AL197-AM197)</f>
        <v/>
      </c>
      <c r="AO197" s="137" t="str">
        <f aca="false">IF(A198="","",A198-A197)</f>
        <v/>
      </c>
      <c r="AP197" s="212" t="str">
        <f aca="false">IF(A198="","",CHOOSE(F$3,A198+24,A197))</f>
        <v/>
      </c>
      <c r="AQ197" s="209" t="str">
        <f aca="false">IF(A198="","",AP197-$E$1)</f>
        <v/>
      </c>
      <c r="AR197" s="185" t="n">
        <f aca="false">'ANR OK vs ML7'!AR197</f>
        <v>0.1</v>
      </c>
      <c r="AS197" s="213" t="str">
        <f aca="false">IF(A198="","",1/(1+CHOOSE(F$3,(AR198+($I$3/10000))/2,(AR197+($I$3/10000))/2))^(2*AQ197/365.25))</f>
        <v/>
      </c>
      <c r="AT197" s="137" t="str">
        <f aca="false">IF(A198="","",IF(AND(mthbeg&lt;=A197,mthend&gt;=A197),1,0))</f>
        <v/>
      </c>
      <c r="AU197" s="137" t="str">
        <f aca="false">IF(A198="","",AO197*AT197)</f>
        <v/>
      </c>
      <c r="AW197" s="195" t="str">
        <f aca="false">IF($A198="","",AL197*$E197)</f>
        <v/>
      </c>
      <c r="AX197" s="195" t="str">
        <f aca="false">IF($A198="","",AM197*$E197)</f>
        <v/>
      </c>
      <c r="AY197" s="195" t="str">
        <f aca="false">IF($A198="","",AN197*$E197)</f>
        <v/>
      </c>
      <c r="BA197" s="195" t="str">
        <f aca="false">IF($A198="","",F197*Summary!$Q$14)</f>
        <v/>
      </c>
    </row>
    <row r="198" customFormat="false" ht="12" hidden="false" customHeight="true" outlineLevel="0" collapsed="false">
      <c r="A198" s="196" t="str">
        <f aca="false">IF(A197&lt;mthend,EDATE(A197,1),"")</f>
        <v/>
      </c>
      <c r="B198" s="197" t="str">
        <f aca="false">IF(A198&lt;mthend,B197,"")</f>
        <v/>
      </c>
      <c r="C198" s="215"/>
      <c r="D198" s="197" t="str">
        <f aca="false">IF(A199&lt;&gt;"",B198+C198,"")</f>
        <v/>
      </c>
      <c r="E198" s="199" t="str">
        <f aca="false">IF(A199="","",IF(AND(AT198=1,$H$3=1),D198*AO198,IF($H$3=2,D198,"N/A")))</f>
        <v/>
      </c>
      <c r="F198" s="199" t="str">
        <f aca="false">IF(A199="","",E198*AS198)</f>
        <v/>
      </c>
      <c r="G198" s="200" t="str">
        <f aca="false">IF($A199="","",VLOOKUP($A198,Table,MATCH(G$4,Curves,0)))</f>
        <v/>
      </c>
      <c r="H198" s="201" t="str">
        <f aca="false">IF(A199="","",G198)</f>
        <v/>
      </c>
      <c r="I198" s="202"/>
      <c r="J198" s="200" t="str">
        <f aca="false">IF($A199="","",VLOOKUP($A198,Table,MATCH(J$4,Curves,0)))</f>
        <v/>
      </c>
      <c r="K198" s="201" t="str">
        <f aca="false">IF(A199="","",J198)</f>
        <v/>
      </c>
      <c r="L198" s="185" t="n">
        <v>0</v>
      </c>
      <c r="M198" s="201" t="str">
        <f aca="false">IF(A199="","",L198)</f>
        <v/>
      </c>
      <c r="N198" s="203"/>
      <c r="O198" s="200" t="str">
        <f aca="false">IF(A199="","",L198+J198+G198)</f>
        <v/>
      </c>
      <c r="P198" s="200" t="str">
        <f aca="false">IF(A199="","",M198+K198+H198)</f>
        <v/>
      </c>
      <c r="Q198" s="204"/>
      <c r="R198" s="200" t="str">
        <f aca="false">IF($A199="","",VLOOKUP($A198,Table,MATCH(R$4,Curves,0)))</f>
        <v/>
      </c>
      <c r="S198" s="201" t="str">
        <f aca="false">IF(A199="","",R198)</f>
        <v/>
      </c>
      <c r="T198" s="200" t="str">
        <f aca="false">IF($A199="","",VLOOKUP($A198,Table,MATCH(T$4,Curves,0)))</f>
        <v/>
      </c>
      <c r="U198" s="201" t="str">
        <f aca="false">IF(A199="","",T198)</f>
        <v/>
      </c>
      <c r="V198" s="183" t="str">
        <f aca="false">IF($A199="","",IF(AND(MONTH(A198)&gt;3,MONTH(A198)&lt;11),(T198+R198+G198)*(((1/(1-Summary!$T$14))/(1-Summary!$W$14))-1),(T198+R198+G198)*((1/(1-Summary!$U$14))/(1-Summary!$X$14)-1)))</f>
        <v/>
      </c>
      <c r="W198" s="202" t="str">
        <f aca="false">IF($A199="","",(T198+R198+G198+V198))</f>
        <v/>
      </c>
      <c r="X198" s="202" t="str">
        <f aca="false">IF($A199="","",(U198+S198+H198+V198))</f>
        <v/>
      </c>
      <c r="Y198" s="202"/>
      <c r="Z198" s="185" t="str">
        <f aca="false">IF($A199="","",VLOOKUP($A198,Table,MATCH(Z$4,Curves,0)))</f>
        <v/>
      </c>
      <c r="AA198" s="185" t="str">
        <f aca="false">IF($A199="","",VLOOKUP($A198,Table,MATCH(AA$4,Curves,0)))</f>
        <v/>
      </c>
      <c r="AB198" s="185" t="e">
        <f aca="false">SQRT((AA198^2*(A198-$D$3)+Z198^2*(DAY(EOMONTH(A198,0))/2))/AK198)</f>
        <v>#VALUE!</v>
      </c>
      <c r="AC198" s="185" t="str">
        <f aca="false">IF($A199="","",VLOOKUP($A198,Table,MATCH(AC$4,Curves,0)))</f>
        <v/>
      </c>
      <c r="AD198" s="185" t="str">
        <f aca="false">IF($A199="","",VLOOKUP($A198,Table,MATCH(AD$4,Curves,0)))</f>
        <v/>
      </c>
      <c r="AE198" s="185" t="e">
        <f aca="false">SQRT((AD198^2*(A198-$D$3)+AC198^2*(DAY(EOMONTH(A198,0))/2))/AK198)</f>
        <v>#VALUE!</v>
      </c>
      <c r="AF198" s="224" t="e">
        <f aca="false">((Summary!$N$14*(AA198*AD198)*(A198-$D$3))+(Summary!$M$14*Z198*AC198*(AJ198-EOMONTH(EDATE(A198,-1),0))))/(AK198*AB198*AE198)</f>
        <v>#VALUE!</v>
      </c>
      <c r="AG198" s="207" t="str">
        <f aca="false">IF($A199="","",Summary!$Q$14)</f>
        <v/>
      </c>
      <c r="AH198" s="207" t="str">
        <f aca="false">IF($A199="","",IF(Summary!$R$12="Y",(VLOOKUP($A198,Summary!$AD$6:$AF$9,3)+'Escalating commodity'!J211),'Escalating commodity'!J211))</f>
        <v/>
      </c>
      <c r="AI198" s="207" t="str">
        <f aca="false">IF($A199="","",AH198)</f>
        <v/>
      </c>
      <c r="AJ198" s="208" t="e">
        <f aca="false">A198+DAY(EOMONTH(A198,0))/2-1</f>
        <v>#VALUE!</v>
      </c>
      <c r="AK198" s="209" t="str">
        <f aca="false">IF($A199="","",$A198-$E$1)</f>
        <v/>
      </c>
      <c r="AL198" s="182" t="str">
        <f aca="false">IF($A199="","",SPRDOPT(P198,X198,AI198,0,AB198,AE198,AF198,AK198,$AJ$2,0))</f>
        <v/>
      </c>
      <c r="AM198" s="211" t="str">
        <f aca="false">IF($A199="","",MAX(0,O198-W198-AI198))</f>
        <v/>
      </c>
      <c r="AN198" s="211" t="str">
        <f aca="false">IF($A199="","",AL198-AM198)</f>
        <v/>
      </c>
      <c r="AO198" s="137" t="str">
        <f aca="false">IF(A199="","",A199-A198)</f>
        <v/>
      </c>
      <c r="AP198" s="212" t="str">
        <f aca="false">IF(A199="","",CHOOSE(F$3,A199+24,A198))</f>
        <v/>
      </c>
      <c r="AQ198" s="209" t="str">
        <f aca="false">IF(A199="","",AP198-$E$1)</f>
        <v/>
      </c>
      <c r="AR198" s="185" t="n">
        <f aca="false">'ANR OK vs ML7'!AR198</f>
        <v>0.1</v>
      </c>
      <c r="AS198" s="213" t="str">
        <f aca="false">IF(A199="","",1/(1+CHOOSE(F$3,(AR199+($I$3/10000))/2,(AR198+($I$3/10000))/2))^(2*AQ198/365.25))</f>
        <v/>
      </c>
      <c r="AT198" s="137" t="str">
        <f aca="false">IF(A199="","",IF(AND(mthbeg&lt;=A198,mthend&gt;=A198),1,0))</f>
        <v/>
      </c>
      <c r="AU198" s="137" t="str">
        <f aca="false">IF(A199="","",AO198*AT198)</f>
        <v/>
      </c>
      <c r="AW198" s="195" t="str">
        <f aca="false">IF($A199="","",AL198*$E198)</f>
        <v/>
      </c>
      <c r="AX198" s="195" t="str">
        <f aca="false">IF($A199="","",AM198*$E198)</f>
        <v/>
      </c>
      <c r="AY198" s="195" t="str">
        <f aca="false">IF($A199="","",AN198*$E198)</f>
        <v/>
      </c>
      <c r="BA198" s="195" t="str">
        <f aca="false">IF($A199="","",F198*Summary!$Q$14)</f>
        <v/>
      </c>
    </row>
    <row r="199" customFormat="false" ht="12" hidden="false" customHeight="true" outlineLevel="0" collapsed="false">
      <c r="A199" s="196" t="str">
        <f aca="false">IF(A198&lt;mthend,EDATE(A198,1),"")</f>
        <v/>
      </c>
      <c r="B199" s="197" t="str">
        <f aca="false">IF(A199&lt;mthend,B198,"")</f>
        <v/>
      </c>
      <c r="C199" s="215"/>
      <c r="D199" s="197" t="str">
        <f aca="false">IF(A200&lt;&gt;"",B199+C199,"")</f>
        <v/>
      </c>
      <c r="E199" s="199" t="str">
        <f aca="false">IF(A200="","",IF(AND(AT199=1,$H$3=1),D199*AO199,IF($H$3=2,D199,"N/A")))</f>
        <v/>
      </c>
      <c r="F199" s="199" t="str">
        <f aca="false">IF(A200="","",E199*AS199)</f>
        <v/>
      </c>
      <c r="G199" s="200" t="str">
        <f aca="false">IF($A200="","",VLOOKUP($A199,Table,MATCH(G$4,Curves,0)))</f>
        <v/>
      </c>
      <c r="H199" s="201" t="str">
        <f aca="false">IF(A200="","",G199)</f>
        <v/>
      </c>
      <c r="I199" s="202"/>
      <c r="J199" s="200" t="str">
        <f aca="false">IF($A200="","",VLOOKUP($A199,Table,MATCH(J$4,Curves,0)))</f>
        <v/>
      </c>
      <c r="K199" s="201" t="str">
        <f aca="false">IF(A200="","",J199)</f>
        <v/>
      </c>
      <c r="L199" s="185" t="n">
        <v>0</v>
      </c>
      <c r="M199" s="201" t="str">
        <f aca="false">IF(A200="","",L199)</f>
        <v/>
      </c>
      <c r="N199" s="203"/>
      <c r="O199" s="200" t="str">
        <f aca="false">IF(A200="","",L199+J199+G199)</f>
        <v/>
      </c>
      <c r="P199" s="200" t="str">
        <f aca="false">IF(A200="","",M199+K199+H199)</f>
        <v/>
      </c>
      <c r="Q199" s="204"/>
      <c r="R199" s="200" t="str">
        <f aca="false">IF($A200="","",VLOOKUP($A199,Table,MATCH(R$4,Curves,0)))</f>
        <v/>
      </c>
      <c r="S199" s="201" t="str">
        <f aca="false">IF(A200="","",R199)</f>
        <v/>
      </c>
      <c r="T199" s="200" t="str">
        <f aca="false">IF($A200="","",VLOOKUP($A199,Table,MATCH(T$4,Curves,0)))</f>
        <v/>
      </c>
      <c r="U199" s="201" t="str">
        <f aca="false">IF(A200="","",T199)</f>
        <v/>
      </c>
      <c r="V199" s="183" t="str">
        <f aca="false">IF($A200="","",IF(AND(MONTH(A199)&gt;3,MONTH(A199)&lt;11),(T199+R199+G199)*(((1/(1-Summary!$T$14))/(1-Summary!$W$14))-1),(T199+R199+G199)*((1/(1-Summary!$U$14))/(1-Summary!$X$14)-1)))</f>
        <v/>
      </c>
      <c r="W199" s="202" t="str">
        <f aca="false">IF($A200="","",(T199+R199+G199+V199))</f>
        <v/>
      </c>
      <c r="X199" s="202" t="str">
        <f aca="false">IF($A200="","",(U199+S199+H199+V199))</f>
        <v/>
      </c>
      <c r="Y199" s="202"/>
      <c r="Z199" s="185" t="str">
        <f aca="false">IF($A200="","",VLOOKUP($A199,Table,MATCH(Z$4,Curves,0)))</f>
        <v/>
      </c>
      <c r="AA199" s="185" t="str">
        <f aca="false">IF($A200="","",VLOOKUP($A199,Table,MATCH(AA$4,Curves,0)))</f>
        <v/>
      </c>
      <c r="AB199" s="185" t="e">
        <f aca="false">SQRT((AA199^2*(A199-$D$3)+Z199^2*(DAY(EOMONTH(A199,0))/2))/AK199)</f>
        <v>#VALUE!</v>
      </c>
      <c r="AC199" s="185" t="str">
        <f aca="false">IF($A200="","",VLOOKUP($A199,Table,MATCH(AC$4,Curves,0)))</f>
        <v/>
      </c>
      <c r="AD199" s="185" t="str">
        <f aca="false">IF($A200="","",VLOOKUP($A199,Table,MATCH(AD$4,Curves,0)))</f>
        <v/>
      </c>
      <c r="AE199" s="185" t="e">
        <f aca="false">SQRT((AD199^2*(A199-$D$3)+AC199^2*(DAY(EOMONTH(A199,0))/2))/AK199)</f>
        <v>#VALUE!</v>
      </c>
      <c r="AF199" s="224" t="e">
        <f aca="false">((Summary!$N$14*(AA199*AD199)*(A199-$D$3))+(Summary!$M$14*Z199*AC199*(AJ199-EOMONTH(EDATE(A199,-1),0))))/(AK199*AB199*AE199)</f>
        <v>#VALUE!</v>
      </c>
      <c r="AG199" s="207" t="str">
        <f aca="false">IF($A200="","",Summary!$Q$14)</f>
        <v/>
      </c>
      <c r="AH199" s="207" t="str">
        <f aca="false">IF($A200="","",IF(Summary!$R$12="Y",(VLOOKUP($A199,Summary!$AD$6:$AF$9,3)+'Escalating commodity'!J212),'Escalating commodity'!J212))</f>
        <v/>
      </c>
      <c r="AI199" s="207" t="str">
        <f aca="false">IF($A200="","",AH199)</f>
        <v/>
      </c>
      <c r="AJ199" s="208" t="e">
        <f aca="false">A199+DAY(EOMONTH(A199,0))/2-1</f>
        <v>#VALUE!</v>
      </c>
      <c r="AK199" s="209" t="str">
        <f aca="false">IF($A200="","",$A199-$E$1)</f>
        <v/>
      </c>
      <c r="AL199" s="182" t="str">
        <f aca="false">IF($A200="","",SPRDOPT(P199,X199,AI199,0,AB199,AE199,AF199,AK199,$AJ$2,0))</f>
        <v/>
      </c>
      <c r="AM199" s="211" t="str">
        <f aca="false">IF($A200="","",MAX(0,O199-W199-AI199))</f>
        <v/>
      </c>
      <c r="AN199" s="211" t="str">
        <f aca="false">IF($A200="","",AL199-AM199)</f>
        <v/>
      </c>
      <c r="AO199" s="137" t="str">
        <f aca="false">IF(A200="","",A200-A199)</f>
        <v/>
      </c>
      <c r="AP199" s="212" t="str">
        <f aca="false">IF(A200="","",CHOOSE(F$3,A200+24,A199))</f>
        <v/>
      </c>
      <c r="AQ199" s="209" t="str">
        <f aca="false">IF(A200="","",AP199-$E$1)</f>
        <v/>
      </c>
      <c r="AR199" s="185" t="n">
        <f aca="false">'ANR OK vs ML7'!AR199</f>
        <v>0.1</v>
      </c>
      <c r="AS199" s="213" t="str">
        <f aca="false">IF(A200="","",1/(1+CHOOSE(F$3,(AR200+($I$3/10000))/2,(AR199+($I$3/10000))/2))^(2*AQ199/365.25))</f>
        <v/>
      </c>
      <c r="AT199" s="137" t="str">
        <f aca="false">IF(A200="","",IF(AND(mthbeg&lt;=A199,mthend&gt;=A199),1,0))</f>
        <v/>
      </c>
      <c r="AU199" s="137" t="str">
        <f aca="false">IF(A200="","",AO199*AT199)</f>
        <v/>
      </c>
      <c r="AW199" s="195" t="str">
        <f aca="false">IF($A200="","",AL199*$E199)</f>
        <v/>
      </c>
      <c r="AX199" s="195" t="str">
        <f aca="false">IF($A200="","",AM199*$E199)</f>
        <v/>
      </c>
      <c r="AY199" s="195" t="str">
        <f aca="false">IF($A200="","",AN199*$E199)</f>
        <v/>
      </c>
      <c r="BA199" s="195" t="str">
        <f aca="false">IF($A200="","",F199*Summary!$Q$14)</f>
        <v/>
      </c>
    </row>
    <row r="200" customFormat="false" ht="12" hidden="false" customHeight="true" outlineLevel="0" collapsed="false">
      <c r="A200" s="196" t="str">
        <f aca="false">IF(A199&lt;mthend,EDATE(A199,1),"")</f>
        <v/>
      </c>
      <c r="B200" s="197" t="str">
        <f aca="false">IF(A200&lt;mthend,B199,"")</f>
        <v/>
      </c>
      <c r="C200" s="215"/>
      <c r="D200" s="197" t="str">
        <f aca="false">IF(A201&lt;&gt;"",B200+C200,"")</f>
        <v/>
      </c>
      <c r="E200" s="199" t="str">
        <f aca="false">IF(A201="","",IF(AND(AT200=1,$H$3=1),D200*AO200,IF($H$3=2,D200,"N/A")))</f>
        <v/>
      </c>
      <c r="F200" s="199" t="str">
        <f aca="false">IF(A201="","",E200*AS200)</f>
        <v/>
      </c>
      <c r="G200" s="200" t="str">
        <f aca="false">IF($A201="","",VLOOKUP($A200,Table,MATCH(G$4,Curves,0)))</f>
        <v/>
      </c>
      <c r="H200" s="201" t="str">
        <f aca="false">IF(A201="","",G200)</f>
        <v/>
      </c>
      <c r="I200" s="202"/>
      <c r="J200" s="200" t="str">
        <f aca="false">IF($A201="","",VLOOKUP($A200,Table,MATCH(J$4,Curves,0)))</f>
        <v/>
      </c>
      <c r="K200" s="201" t="str">
        <f aca="false">IF(A201="","",J200)</f>
        <v/>
      </c>
      <c r="L200" s="185" t="n">
        <v>0</v>
      </c>
      <c r="M200" s="201" t="str">
        <f aca="false">IF(A201="","",L200)</f>
        <v/>
      </c>
      <c r="N200" s="203"/>
      <c r="O200" s="200" t="str">
        <f aca="false">IF(A201="","",L200+J200+G200)</f>
        <v/>
      </c>
      <c r="P200" s="200" t="str">
        <f aca="false">IF(A201="","",M200+K200+H200)</f>
        <v/>
      </c>
      <c r="Q200" s="204"/>
      <c r="R200" s="200" t="str">
        <f aca="false">IF($A201="","",VLOOKUP($A200,Table,MATCH(R$4,Curves,0)))</f>
        <v/>
      </c>
      <c r="S200" s="201" t="str">
        <f aca="false">IF(A201="","",R200)</f>
        <v/>
      </c>
      <c r="T200" s="200" t="str">
        <f aca="false">IF($A201="","",VLOOKUP($A200,Table,MATCH(T$4,Curves,0)))</f>
        <v/>
      </c>
      <c r="U200" s="201" t="str">
        <f aca="false">IF(A201="","",T200)</f>
        <v/>
      </c>
      <c r="V200" s="183" t="str">
        <f aca="false">IF($A201="","",IF(AND(MONTH(A200)&gt;3,MONTH(A200)&lt;11),(T200+R200+G200)*(((1/(1-Summary!$T$14))/(1-Summary!$W$14))-1),(T200+R200+G200)*((1/(1-Summary!$U$14))/(1-Summary!$X$14)-1)))</f>
        <v/>
      </c>
      <c r="W200" s="202" t="str">
        <f aca="false">IF($A201="","",(T200+R200+G200+V200))</f>
        <v/>
      </c>
      <c r="X200" s="202" t="str">
        <f aca="false">IF($A201="","",(U200+S200+H200+V200))</f>
        <v/>
      </c>
      <c r="Y200" s="202"/>
      <c r="Z200" s="185" t="str">
        <f aca="false">IF($A201="","",VLOOKUP($A200,Table,MATCH(Z$4,Curves,0)))</f>
        <v/>
      </c>
      <c r="AA200" s="185" t="str">
        <f aca="false">IF($A201="","",VLOOKUP($A200,Table,MATCH(AA$4,Curves,0)))</f>
        <v/>
      </c>
      <c r="AB200" s="185" t="e">
        <f aca="false">SQRT((AA200^2*(A200-$D$3)+Z200^2*(DAY(EOMONTH(A200,0))/2))/AK200)</f>
        <v>#VALUE!</v>
      </c>
      <c r="AC200" s="185" t="str">
        <f aca="false">IF($A201="","",VLOOKUP($A200,Table,MATCH(AC$4,Curves,0)))</f>
        <v/>
      </c>
      <c r="AD200" s="185" t="str">
        <f aca="false">IF($A201="","",VLOOKUP($A200,Table,MATCH(AD$4,Curves,0)))</f>
        <v/>
      </c>
      <c r="AE200" s="185" t="e">
        <f aca="false">SQRT((AD200^2*(A200-$D$3)+AC200^2*(DAY(EOMONTH(A200,0))/2))/AK200)</f>
        <v>#VALUE!</v>
      </c>
      <c r="AF200" s="224" t="e">
        <f aca="false">((Summary!$N$14*(AA200*AD200)*(A200-$D$3))+(Summary!$M$14*Z200*AC200*(AJ200-EOMONTH(EDATE(A200,-1),0))))/(AK200*AB200*AE200)</f>
        <v>#VALUE!</v>
      </c>
      <c r="AG200" s="207" t="str">
        <f aca="false">IF($A201="","",Summary!$Q$14)</f>
        <v/>
      </c>
      <c r="AH200" s="207" t="str">
        <f aca="false">IF($A201="","",IF(Summary!$R$12="Y",(VLOOKUP($A200,Summary!$AD$6:$AF$9,3)+'Escalating commodity'!J213),'Escalating commodity'!J213))</f>
        <v/>
      </c>
      <c r="AI200" s="207" t="str">
        <f aca="false">IF($A201="","",AH200)</f>
        <v/>
      </c>
      <c r="AJ200" s="208" t="e">
        <f aca="false">A200+DAY(EOMONTH(A200,0))/2-1</f>
        <v>#VALUE!</v>
      </c>
      <c r="AK200" s="209" t="str">
        <f aca="false">IF($A201="","",$A200-$E$1)</f>
        <v/>
      </c>
      <c r="AL200" s="182" t="str">
        <f aca="false">IF($A201="","",SPRDOPT(P200,X200,AI200,0,AB200,AE200,AF200,AK200,$AJ$2,0))</f>
        <v/>
      </c>
      <c r="AM200" s="211" t="str">
        <f aca="false">IF($A201="","",MAX(0,O200-W200-AI200))</f>
        <v/>
      </c>
      <c r="AN200" s="211" t="str">
        <f aca="false">IF($A201="","",AL200-AM200)</f>
        <v/>
      </c>
      <c r="AO200" s="137" t="str">
        <f aca="false">IF(A201="","",A201-A200)</f>
        <v/>
      </c>
      <c r="AP200" s="212" t="str">
        <f aca="false">IF(A201="","",CHOOSE(F$3,A201+24,A200))</f>
        <v/>
      </c>
      <c r="AQ200" s="209" t="str">
        <f aca="false">IF(A201="","",AP200-$E$1)</f>
        <v/>
      </c>
      <c r="AR200" s="185" t="n">
        <f aca="false">'ANR OK vs ML7'!AR200</f>
        <v>0.1</v>
      </c>
      <c r="AS200" s="213" t="str">
        <f aca="false">IF(A201="","",1/(1+CHOOSE(F$3,(AR201+($I$3/10000))/2,(AR200+($I$3/10000))/2))^(2*AQ200/365.25))</f>
        <v/>
      </c>
      <c r="AT200" s="137" t="str">
        <f aca="false">IF(A201="","",IF(AND(mthbeg&lt;=A200,mthend&gt;=A200),1,0))</f>
        <v/>
      </c>
      <c r="AU200" s="137" t="str">
        <f aca="false">IF(A201="","",AO200*AT200)</f>
        <v/>
      </c>
      <c r="AW200" s="195" t="str">
        <f aca="false">IF($A201="","",AL200*$E200)</f>
        <v/>
      </c>
      <c r="AX200" s="195" t="str">
        <f aca="false">IF($A201="","",AM200*$E200)</f>
        <v/>
      </c>
      <c r="AY200" s="195" t="str">
        <f aca="false">IF($A201="","",AN200*$E200)</f>
        <v/>
      </c>
      <c r="BA200" s="195" t="str">
        <f aca="false">IF($A201="","",F200*Summary!$Q$14)</f>
        <v/>
      </c>
    </row>
    <row r="201" customFormat="false" ht="12" hidden="false" customHeight="true" outlineLevel="0" collapsed="false">
      <c r="A201" s="196" t="str">
        <f aca="false">IF(A200&lt;mthend,EDATE(A200,1),"")</f>
        <v/>
      </c>
      <c r="B201" s="197" t="str">
        <f aca="false">IF(A201&lt;mthend,B200,"")</f>
        <v/>
      </c>
      <c r="C201" s="215"/>
      <c r="D201" s="197" t="str">
        <f aca="false">IF(A202&lt;&gt;"",B201+C201,"")</f>
        <v/>
      </c>
      <c r="E201" s="199" t="str">
        <f aca="false">IF(A202="","",IF(AND(AT201=1,$H$3=1),D201*AO201,IF($H$3=2,D201,"N/A")))</f>
        <v/>
      </c>
      <c r="F201" s="199" t="str">
        <f aca="false">IF(A202="","",E201*AS201)</f>
        <v/>
      </c>
      <c r="G201" s="200" t="str">
        <f aca="false">IF($A202="","",VLOOKUP($A201,Table,MATCH(G$4,Curves,0)))</f>
        <v/>
      </c>
      <c r="H201" s="201" t="str">
        <f aca="false">IF(A202="","",G201)</f>
        <v/>
      </c>
      <c r="I201" s="202"/>
      <c r="J201" s="200" t="str">
        <f aca="false">IF($A202="","",VLOOKUP($A201,Table,MATCH(J$4,Curves,0)))</f>
        <v/>
      </c>
      <c r="K201" s="201" t="str">
        <f aca="false">IF(A202="","",J201)</f>
        <v/>
      </c>
      <c r="L201" s="185" t="n">
        <v>0</v>
      </c>
      <c r="M201" s="201" t="str">
        <f aca="false">IF(A202="","",L201)</f>
        <v/>
      </c>
      <c r="N201" s="203"/>
      <c r="O201" s="200" t="str">
        <f aca="false">IF(A202="","",L201+J201+G201)</f>
        <v/>
      </c>
      <c r="P201" s="200" t="str">
        <f aca="false">IF(A202="","",M201+K201+H201)</f>
        <v/>
      </c>
      <c r="Q201" s="204"/>
      <c r="R201" s="200" t="str">
        <f aca="false">IF($A202="","",VLOOKUP($A201,Table,MATCH(R$4,Curves,0)))</f>
        <v/>
      </c>
      <c r="S201" s="201" t="str">
        <f aca="false">IF(A202="","",R201)</f>
        <v/>
      </c>
      <c r="T201" s="200" t="str">
        <f aca="false">IF($A202="","",VLOOKUP($A201,Table,MATCH(T$4,Curves,0)))</f>
        <v/>
      </c>
      <c r="U201" s="201" t="str">
        <f aca="false">IF(A202="","",T201)</f>
        <v/>
      </c>
      <c r="V201" s="183" t="str">
        <f aca="false">IF($A202="","",IF(AND(MONTH(A201)&gt;3,MONTH(A201)&lt;11),(T201+R201+G201)*(((1/(1-Summary!$T$14))/(1-Summary!$W$14))-1),(T201+R201+G201)*((1/(1-Summary!$U$14))/(1-Summary!$X$14)-1)))</f>
        <v/>
      </c>
      <c r="W201" s="202" t="str">
        <f aca="false">IF($A202="","",(T201+R201+G201+V201))</f>
        <v/>
      </c>
      <c r="X201" s="202" t="str">
        <f aca="false">IF($A202="","",(U201+S201+H201+V201))</f>
        <v/>
      </c>
      <c r="Y201" s="202"/>
      <c r="Z201" s="185" t="str">
        <f aca="false">IF($A202="","",VLOOKUP($A201,Table,MATCH(Z$4,Curves,0)))</f>
        <v/>
      </c>
      <c r="AA201" s="185" t="str">
        <f aca="false">IF($A202="","",VLOOKUP($A201,Table,MATCH(AA$4,Curves,0)))</f>
        <v/>
      </c>
      <c r="AB201" s="185" t="e">
        <f aca="false">SQRT((AA201^2*(A201-$D$3)+Z201^2*(DAY(EOMONTH(A201,0))/2))/AK201)</f>
        <v>#VALUE!</v>
      </c>
      <c r="AC201" s="185" t="str">
        <f aca="false">IF($A202="","",VLOOKUP($A201,Table,MATCH(AC$4,Curves,0)))</f>
        <v/>
      </c>
      <c r="AD201" s="185" t="str">
        <f aca="false">IF($A202="","",VLOOKUP($A201,Table,MATCH(AD$4,Curves,0)))</f>
        <v/>
      </c>
      <c r="AE201" s="185" t="e">
        <f aca="false">SQRT((AD201^2*(A201-$D$3)+AC201^2*(DAY(EOMONTH(A201,0))/2))/AK201)</f>
        <v>#VALUE!</v>
      </c>
      <c r="AF201" s="224" t="e">
        <f aca="false">((Summary!$N$14*(AA201*AD201)*(A201-$D$3))+(Summary!$M$14*Z201*AC201*(AJ201-EOMONTH(EDATE(A201,-1),0))))/(AK201*AB201*AE201)</f>
        <v>#VALUE!</v>
      </c>
      <c r="AG201" s="207" t="str">
        <f aca="false">IF($A202="","",Summary!$Q$14)</f>
        <v/>
      </c>
      <c r="AH201" s="207" t="str">
        <f aca="false">IF($A202="","",IF(Summary!$R$12="Y",(VLOOKUP($A201,Summary!$AD$6:$AF$9,3)+'Escalating commodity'!J214),'Escalating commodity'!J214))</f>
        <v/>
      </c>
      <c r="AI201" s="207" t="str">
        <f aca="false">IF($A202="","",AH201)</f>
        <v/>
      </c>
      <c r="AJ201" s="208" t="e">
        <f aca="false">A201+DAY(EOMONTH(A201,0))/2-1</f>
        <v>#VALUE!</v>
      </c>
      <c r="AK201" s="209" t="str">
        <f aca="false">IF($A202="","",$A201-$E$1)</f>
        <v/>
      </c>
      <c r="AL201" s="182" t="str">
        <f aca="false">IF($A202="","",SPRDOPT(P201,X201,AI201,0,AB201,AE201,AF201,AK201,$AJ$2,0))</f>
        <v/>
      </c>
      <c r="AM201" s="211" t="str">
        <f aca="false">IF($A202="","",MAX(0,O201-W201-AI201))</f>
        <v/>
      </c>
      <c r="AN201" s="211" t="str">
        <f aca="false">IF($A202="","",AL201-AM201)</f>
        <v/>
      </c>
      <c r="AO201" s="137" t="str">
        <f aca="false">IF(A202="","",A202-A201)</f>
        <v/>
      </c>
      <c r="AP201" s="212" t="str">
        <f aca="false">IF(A202="","",CHOOSE(F$3,A202+24,A201))</f>
        <v/>
      </c>
      <c r="AQ201" s="209" t="str">
        <f aca="false">IF(A202="","",AP201-$E$1)</f>
        <v/>
      </c>
      <c r="AR201" s="185" t="n">
        <f aca="false">'ANR OK vs ML7'!AR201</f>
        <v>0.1</v>
      </c>
      <c r="AS201" s="213" t="str">
        <f aca="false">IF(A202="","",1/(1+CHOOSE(F$3,(AR202+($I$3/10000))/2,(AR201+($I$3/10000))/2))^(2*AQ201/365.25))</f>
        <v/>
      </c>
      <c r="AT201" s="137" t="str">
        <f aca="false">IF(A202="","",IF(AND(mthbeg&lt;=A201,mthend&gt;=A201),1,0))</f>
        <v/>
      </c>
      <c r="AU201" s="137" t="str">
        <f aca="false">IF(A202="","",AO201*AT201)</f>
        <v/>
      </c>
      <c r="AW201" s="195" t="str">
        <f aca="false">IF($A202="","",AL201*$E201)</f>
        <v/>
      </c>
      <c r="AX201" s="195" t="str">
        <f aca="false">IF($A202="","",AM201*$E201)</f>
        <v/>
      </c>
      <c r="AY201" s="195" t="str">
        <f aca="false">IF($A202="","",AN201*$E201)</f>
        <v/>
      </c>
      <c r="BA201" s="195" t="str">
        <f aca="false">IF($A202="","",F201*Summary!$Q$14)</f>
        <v/>
      </c>
    </row>
    <row r="202" customFormat="false" ht="12" hidden="false" customHeight="true" outlineLevel="0" collapsed="false">
      <c r="A202" s="196" t="str">
        <f aca="false">IF(A201&lt;mthend,EDATE(A201,1),"")</f>
        <v/>
      </c>
      <c r="B202" s="197" t="str">
        <f aca="false">IF(A202&lt;mthend,B201,"")</f>
        <v/>
      </c>
      <c r="C202" s="215"/>
      <c r="D202" s="197" t="str">
        <f aca="false">IF(A203&lt;&gt;"",B202+C202,"")</f>
        <v/>
      </c>
      <c r="E202" s="199" t="str">
        <f aca="false">IF(A203="","",IF(AND(AT202=1,$H$3=1),D202*AO202,IF($H$3=2,D202,"N/A")))</f>
        <v/>
      </c>
      <c r="F202" s="199" t="str">
        <f aca="false">IF(A203="","",E202*AS202)</f>
        <v/>
      </c>
      <c r="G202" s="200" t="str">
        <f aca="false">IF($A203="","",VLOOKUP($A202,Table,MATCH(G$4,Curves,0)))</f>
        <v/>
      </c>
      <c r="H202" s="201" t="str">
        <f aca="false">IF(A203="","",G202)</f>
        <v/>
      </c>
      <c r="I202" s="202"/>
      <c r="J202" s="200" t="str">
        <f aca="false">IF($A203="","",VLOOKUP($A202,Table,MATCH(J$4,Curves,0)))</f>
        <v/>
      </c>
      <c r="K202" s="201" t="str">
        <f aca="false">IF(A203="","",J202)</f>
        <v/>
      </c>
      <c r="L202" s="185" t="n">
        <v>0</v>
      </c>
      <c r="M202" s="201" t="str">
        <f aca="false">IF(A203="","",L202)</f>
        <v/>
      </c>
      <c r="N202" s="203"/>
      <c r="O202" s="200" t="str">
        <f aca="false">IF(A203="","",L202+J202+G202)</f>
        <v/>
      </c>
      <c r="P202" s="200" t="str">
        <f aca="false">IF(A203="","",M202+K202+H202)</f>
        <v/>
      </c>
      <c r="Q202" s="204"/>
      <c r="R202" s="200" t="str">
        <f aca="false">IF($A203="","",VLOOKUP($A202,Table,MATCH(R$4,Curves,0)))</f>
        <v/>
      </c>
      <c r="S202" s="201" t="str">
        <f aca="false">IF(A203="","",R202)</f>
        <v/>
      </c>
      <c r="T202" s="200" t="str">
        <f aca="false">IF($A203="","",VLOOKUP($A202,Table,MATCH(T$4,Curves,0)))</f>
        <v/>
      </c>
      <c r="U202" s="201" t="str">
        <f aca="false">IF(A203="","",T202)</f>
        <v/>
      </c>
      <c r="V202" s="183" t="str">
        <f aca="false">IF($A203="","",IF(AND(MONTH(A202)&gt;3,MONTH(A202)&lt;11),(T202+R202+G202)*(((1/(1-Summary!$T$14))/(1-Summary!$W$14))-1),(T202+R202+G202)*((1/(1-Summary!$U$14))/(1-Summary!$X$14)-1)))</f>
        <v/>
      </c>
      <c r="W202" s="202" t="str">
        <f aca="false">IF($A203="","",(T202+R202+G202+V202))</f>
        <v/>
      </c>
      <c r="X202" s="202" t="str">
        <f aca="false">IF($A203="","",(U202+S202+H202+V202))</f>
        <v/>
      </c>
      <c r="Y202" s="202"/>
      <c r="Z202" s="185" t="str">
        <f aca="false">IF($A203="","",VLOOKUP($A202,Table,MATCH(Z$4,Curves,0)))</f>
        <v/>
      </c>
      <c r="AA202" s="185" t="str">
        <f aca="false">IF($A203="","",VLOOKUP($A202,Table,MATCH(AA$4,Curves,0)))</f>
        <v/>
      </c>
      <c r="AB202" s="185" t="e">
        <f aca="false">SQRT((AA202^2*(A202-$D$3)+Z202^2*(DAY(EOMONTH(A202,0))/2))/AK202)</f>
        <v>#VALUE!</v>
      </c>
      <c r="AC202" s="185" t="str">
        <f aca="false">IF($A203="","",VLOOKUP($A202,Table,MATCH(AC$4,Curves,0)))</f>
        <v/>
      </c>
      <c r="AD202" s="185" t="str">
        <f aca="false">IF($A203="","",VLOOKUP($A202,Table,MATCH(AD$4,Curves,0)))</f>
        <v/>
      </c>
      <c r="AE202" s="185" t="e">
        <f aca="false">SQRT((AD202^2*(A202-$D$3)+AC202^2*(DAY(EOMONTH(A202,0))/2))/AK202)</f>
        <v>#VALUE!</v>
      </c>
      <c r="AF202" s="224" t="e">
        <f aca="false">((Summary!$N$14*(AA202*AD202)*(A202-$D$3))+(Summary!$M$14*Z202*AC202*(AJ202-EOMONTH(EDATE(A202,-1),0))))/(AK202*AB202*AE202)</f>
        <v>#VALUE!</v>
      </c>
      <c r="AG202" s="207" t="str">
        <f aca="false">IF($A203="","",Summary!$Q$14)</f>
        <v/>
      </c>
      <c r="AH202" s="207" t="str">
        <f aca="false">IF($A203="","",IF(Summary!$R$12="Y",(VLOOKUP($A202,Summary!$AD$6:$AF$9,3)+'Escalating commodity'!J215),'Escalating commodity'!J215))</f>
        <v/>
      </c>
      <c r="AI202" s="207" t="str">
        <f aca="false">IF($A203="","",AH202)</f>
        <v/>
      </c>
      <c r="AJ202" s="208" t="e">
        <f aca="false">A202+DAY(EOMONTH(A202,0))/2-1</f>
        <v>#VALUE!</v>
      </c>
      <c r="AK202" s="209" t="str">
        <f aca="false">IF($A203="","",$A202-$E$1)</f>
        <v/>
      </c>
      <c r="AL202" s="182" t="str">
        <f aca="false">IF($A203="","",SPRDOPT(P202,X202,AI202,0,AB202,AE202,AF202,AK202,$AJ$2,0))</f>
        <v/>
      </c>
      <c r="AM202" s="211" t="str">
        <f aca="false">IF($A203="","",MAX(0,O202-W202-AI202))</f>
        <v/>
      </c>
      <c r="AN202" s="211" t="str">
        <f aca="false">IF($A203="","",AL202-AM202)</f>
        <v/>
      </c>
      <c r="AO202" s="137" t="str">
        <f aca="false">IF(A203="","",A203-A202)</f>
        <v/>
      </c>
      <c r="AP202" s="212" t="str">
        <f aca="false">IF(A203="","",CHOOSE(F$3,A203+24,A202))</f>
        <v/>
      </c>
      <c r="AQ202" s="209" t="str">
        <f aca="false">IF(A203="","",AP202-$E$1)</f>
        <v/>
      </c>
      <c r="AR202" s="185" t="n">
        <f aca="false">'ANR OK vs ML7'!AR202</f>
        <v>0.1</v>
      </c>
      <c r="AS202" s="213" t="str">
        <f aca="false">IF(A203="","",1/(1+CHOOSE(F$3,(AR203+($I$3/10000))/2,(AR202+($I$3/10000))/2))^(2*AQ202/365.25))</f>
        <v/>
      </c>
      <c r="AT202" s="137" t="str">
        <f aca="false">IF(A203="","",IF(AND(mthbeg&lt;=A202,mthend&gt;=A202),1,0))</f>
        <v/>
      </c>
      <c r="AU202" s="137" t="str">
        <f aca="false">IF(A203="","",AO202*AT202)</f>
        <v/>
      </c>
      <c r="AW202" s="195" t="str">
        <f aca="false">IF($A203="","",AL202*$E202)</f>
        <v/>
      </c>
      <c r="AX202" s="195" t="str">
        <f aca="false">IF($A203="","",AM202*$E202)</f>
        <v/>
      </c>
      <c r="AY202" s="195" t="str">
        <f aca="false">IF($A203="","",AN202*$E202)</f>
        <v/>
      </c>
      <c r="BA202" s="195" t="str">
        <f aca="false">IF($A203="","",F202*Summary!$Q$14)</f>
        <v/>
      </c>
    </row>
    <row r="203" customFormat="false" ht="12" hidden="false" customHeight="true" outlineLevel="0" collapsed="false">
      <c r="A203" s="196" t="str">
        <f aca="false">IF(A202&lt;mthend,EDATE(A202,1),"")</f>
        <v/>
      </c>
      <c r="B203" s="197" t="str">
        <f aca="false">IF(A203&lt;mthend,B202,"")</f>
        <v/>
      </c>
      <c r="C203" s="215"/>
      <c r="D203" s="197" t="str">
        <f aca="false">IF(A204&lt;&gt;"",B203+C203,"")</f>
        <v/>
      </c>
      <c r="E203" s="199" t="str">
        <f aca="false">IF(A204="","",IF(AND(AT203=1,$H$3=1),D203*AO203,IF($H$3=2,D203,"N/A")))</f>
        <v/>
      </c>
      <c r="F203" s="199" t="str">
        <f aca="false">IF(A204="","",E203*AS203)</f>
        <v/>
      </c>
      <c r="G203" s="200" t="str">
        <f aca="false">IF($A204="","",VLOOKUP($A203,Table,MATCH(G$4,Curves,0)))</f>
        <v/>
      </c>
      <c r="H203" s="201" t="str">
        <f aca="false">IF(A204="","",G203)</f>
        <v/>
      </c>
      <c r="I203" s="202"/>
      <c r="J203" s="200" t="str">
        <f aca="false">IF($A204="","",VLOOKUP($A203,Table,MATCH(J$4,Curves,0)))</f>
        <v/>
      </c>
      <c r="K203" s="201" t="str">
        <f aca="false">IF(A204="","",J203)</f>
        <v/>
      </c>
      <c r="L203" s="185" t="n">
        <v>0</v>
      </c>
      <c r="M203" s="201" t="str">
        <f aca="false">IF(A204="","",L203)</f>
        <v/>
      </c>
      <c r="N203" s="203"/>
      <c r="O203" s="200" t="str">
        <f aca="false">IF(A204="","",L203+J203+G203)</f>
        <v/>
      </c>
      <c r="P203" s="200" t="str">
        <f aca="false">IF(A204="","",M203+K203+H203)</f>
        <v/>
      </c>
      <c r="Q203" s="204"/>
      <c r="R203" s="200" t="str">
        <f aca="false">IF($A204="","",VLOOKUP($A203,Table,MATCH(R$4,Curves,0)))</f>
        <v/>
      </c>
      <c r="S203" s="201" t="str">
        <f aca="false">IF(A204="","",R203)</f>
        <v/>
      </c>
      <c r="T203" s="200" t="str">
        <f aca="false">IF($A204="","",VLOOKUP($A203,Table,MATCH(T$4,Curves,0)))</f>
        <v/>
      </c>
      <c r="U203" s="201" t="str">
        <f aca="false">IF(A204="","",T203)</f>
        <v/>
      </c>
      <c r="V203" s="183" t="str">
        <f aca="false">IF($A204="","",IF(AND(MONTH(A203)&gt;3,MONTH(A203)&lt;11),(T203+R203+G203)*(((1/(1-Summary!$T$14))/(1-Summary!$W$14))-1),(T203+R203+G203)*((1/(1-Summary!$U$14))/(1-Summary!$X$14)-1)))</f>
        <v/>
      </c>
      <c r="W203" s="202" t="str">
        <f aca="false">IF($A204="","",(T203+R203+G203+V203))</f>
        <v/>
      </c>
      <c r="X203" s="202" t="str">
        <f aca="false">IF($A204="","",(U203+S203+H203+V203))</f>
        <v/>
      </c>
      <c r="Y203" s="202"/>
      <c r="Z203" s="185" t="str">
        <f aca="false">IF($A204="","",VLOOKUP($A203,Table,MATCH(Z$4,Curves,0)))</f>
        <v/>
      </c>
      <c r="AA203" s="185" t="str">
        <f aca="false">IF($A204="","",VLOOKUP($A203,Table,MATCH(AA$4,Curves,0)))</f>
        <v/>
      </c>
      <c r="AB203" s="185" t="e">
        <f aca="false">SQRT((AA203^2*(A203-$D$3)+Z203^2*(DAY(EOMONTH(A203,0))/2))/AK203)</f>
        <v>#VALUE!</v>
      </c>
      <c r="AC203" s="185" t="str">
        <f aca="false">IF($A204="","",VLOOKUP($A203,Table,MATCH(AC$4,Curves,0)))</f>
        <v/>
      </c>
      <c r="AD203" s="185" t="str">
        <f aca="false">IF($A204="","",VLOOKUP($A203,Table,MATCH(AD$4,Curves,0)))</f>
        <v/>
      </c>
      <c r="AE203" s="185" t="e">
        <f aca="false">SQRT((AD203^2*(A203-$D$3)+AC203^2*(DAY(EOMONTH(A203,0))/2))/AK203)</f>
        <v>#VALUE!</v>
      </c>
      <c r="AF203" s="224" t="e">
        <f aca="false">((Summary!$N$14*(AA203*AD203)*(A203-$D$3))+(Summary!$M$14*Z203*AC203*(AJ203-EOMONTH(EDATE(A203,-1),0))))/(AK203*AB203*AE203)</f>
        <v>#VALUE!</v>
      </c>
      <c r="AG203" s="207" t="str">
        <f aca="false">IF($A204="","",Summary!$Q$14)</f>
        <v/>
      </c>
      <c r="AH203" s="207" t="str">
        <f aca="false">IF($A204="","",IF(Summary!$R$12="Y",(VLOOKUP($A203,Summary!$AD$6:$AF$9,3)+'Escalating commodity'!J216),'Escalating commodity'!J216))</f>
        <v/>
      </c>
      <c r="AI203" s="207" t="str">
        <f aca="false">IF($A204="","",AH203)</f>
        <v/>
      </c>
      <c r="AJ203" s="208" t="e">
        <f aca="false">A203+DAY(EOMONTH(A203,0))/2-1</f>
        <v>#VALUE!</v>
      </c>
      <c r="AK203" s="209" t="str">
        <f aca="false">IF($A204="","",$A203-$E$1)</f>
        <v/>
      </c>
      <c r="AL203" s="182" t="str">
        <f aca="false">IF($A204="","",SPRDOPT(P203,X203,AI203,0,AB203,AE203,AF203,AK203,$AJ$2,0))</f>
        <v/>
      </c>
      <c r="AM203" s="211" t="str">
        <f aca="false">IF($A204="","",MAX(0,O203-W203-AI203))</f>
        <v/>
      </c>
      <c r="AN203" s="211" t="str">
        <f aca="false">IF($A204="","",AL203-AM203)</f>
        <v/>
      </c>
      <c r="AO203" s="137" t="str">
        <f aca="false">IF(A204="","",A204-A203)</f>
        <v/>
      </c>
      <c r="AP203" s="212" t="str">
        <f aca="false">IF(A204="","",CHOOSE(F$3,A204+24,A203))</f>
        <v/>
      </c>
      <c r="AQ203" s="209" t="str">
        <f aca="false">IF(A204="","",AP203-$E$1)</f>
        <v/>
      </c>
      <c r="AR203" s="185" t="n">
        <f aca="false">'ANR OK vs ML7'!AR203</f>
        <v>0.1</v>
      </c>
      <c r="AS203" s="213" t="str">
        <f aca="false">IF(A204="","",1/(1+CHOOSE(F$3,(AR204+($I$3/10000))/2,(AR203+($I$3/10000))/2))^(2*AQ203/365.25))</f>
        <v/>
      </c>
      <c r="AT203" s="137" t="str">
        <f aca="false">IF(A204="","",IF(AND(mthbeg&lt;=A203,mthend&gt;=A203),1,0))</f>
        <v/>
      </c>
      <c r="AU203" s="137" t="str">
        <f aca="false">IF(A204="","",AO203*AT203)</f>
        <v/>
      </c>
      <c r="AW203" s="195" t="str">
        <f aca="false">IF($A204="","",AL203*$E203)</f>
        <v/>
      </c>
      <c r="AX203" s="195" t="str">
        <f aca="false">IF($A204="","",AM203*$E203)</f>
        <v/>
      </c>
      <c r="AY203" s="195" t="str">
        <f aca="false">IF($A204="","",AN203*$E203)</f>
        <v/>
      </c>
      <c r="BA203" s="195" t="str">
        <f aca="false">IF($A204="","",F203*Summary!$Q$14)</f>
        <v/>
      </c>
    </row>
    <row r="204" customFormat="false" ht="12" hidden="false" customHeight="true" outlineLevel="0" collapsed="false">
      <c r="A204" s="196" t="str">
        <f aca="false">IF(A203&lt;mthend,EDATE(A203,1),"")</f>
        <v/>
      </c>
      <c r="B204" s="197" t="str">
        <f aca="false">IF(A204&lt;mthend,B203,"")</f>
        <v/>
      </c>
      <c r="C204" s="215"/>
      <c r="D204" s="197" t="str">
        <f aca="false">IF(A205&lt;&gt;"",B204+C204,"")</f>
        <v/>
      </c>
      <c r="E204" s="199" t="str">
        <f aca="false">IF(A205="","",IF(AND(AT204=1,$H$3=1),D204*AO204,IF($H$3=2,D204,"N/A")))</f>
        <v/>
      </c>
      <c r="F204" s="199" t="str">
        <f aca="false">IF(A205="","",E204*AS204)</f>
        <v/>
      </c>
      <c r="G204" s="200" t="str">
        <f aca="false">IF($A205="","",VLOOKUP($A204,Table,MATCH(G$4,Curves,0)))</f>
        <v/>
      </c>
      <c r="H204" s="201" t="str">
        <f aca="false">IF(A205="","",G204)</f>
        <v/>
      </c>
      <c r="I204" s="202"/>
      <c r="J204" s="200" t="str">
        <f aca="false">IF($A205="","",VLOOKUP($A204,Table,MATCH(J$4,Curves,0)))</f>
        <v/>
      </c>
      <c r="K204" s="201" t="str">
        <f aca="false">IF(A205="","",J204)</f>
        <v/>
      </c>
      <c r="L204" s="185" t="n">
        <v>0</v>
      </c>
      <c r="M204" s="201" t="str">
        <f aca="false">IF(A205="","",L204)</f>
        <v/>
      </c>
      <c r="N204" s="203"/>
      <c r="O204" s="200" t="str">
        <f aca="false">IF(A205="","",L204+J204+G204)</f>
        <v/>
      </c>
      <c r="P204" s="200" t="str">
        <f aca="false">IF(A205="","",M204+K204+H204)</f>
        <v/>
      </c>
      <c r="Q204" s="204"/>
      <c r="R204" s="200" t="str">
        <f aca="false">IF($A205="","",VLOOKUP($A204,Table,MATCH(R$4,Curves,0)))</f>
        <v/>
      </c>
      <c r="S204" s="201" t="str">
        <f aca="false">IF(A205="","",R204)</f>
        <v/>
      </c>
      <c r="T204" s="200" t="str">
        <f aca="false">IF($A205="","",VLOOKUP($A204,Table,MATCH(T$4,Curves,0)))</f>
        <v/>
      </c>
      <c r="U204" s="201" t="str">
        <f aca="false">IF(A205="","",T204)</f>
        <v/>
      </c>
      <c r="V204" s="183" t="str">
        <f aca="false">IF($A205="","",IF(AND(MONTH(A204)&gt;3,MONTH(A204)&lt;11),(T204+R204+G204)*(((1/(1-Summary!$T$14))/(1-Summary!$W$14))-1),(T204+R204+G204)*((1/(1-Summary!$U$14))/(1-Summary!$X$14)-1)))</f>
        <v/>
      </c>
      <c r="W204" s="202" t="str">
        <f aca="false">IF($A205="","",(T204+R204+G204+V204))</f>
        <v/>
      </c>
      <c r="X204" s="202" t="str">
        <f aca="false">IF($A205="","",(U204+S204+H204+V204))</f>
        <v/>
      </c>
      <c r="Y204" s="202"/>
      <c r="Z204" s="185" t="str">
        <f aca="false">IF($A205="","",VLOOKUP($A204,Table,MATCH(Z$4,Curves,0)))</f>
        <v/>
      </c>
      <c r="AA204" s="185" t="str">
        <f aca="false">IF($A205="","",VLOOKUP($A204,Table,MATCH(AA$4,Curves,0)))</f>
        <v/>
      </c>
      <c r="AB204" s="185" t="e">
        <f aca="false">SQRT((AA204^2*(A204-$D$3)+Z204^2*(DAY(EOMONTH(A204,0))/2))/AK204)</f>
        <v>#VALUE!</v>
      </c>
      <c r="AC204" s="185" t="str">
        <f aca="false">IF($A205="","",VLOOKUP($A204,Table,MATCH(AC$4,Curves,0)))</f>
        <v/>
      </c>
      <c r="AD204" s="185" t="str">
        <f aca="false">IF($A205="","",VLOOKUP($A204,Table,MATCH(AD$4,Curves,0)))</f>
        <v/>
      </c>
      <c r="AE204" s="185" t="e">
        <f aca="false">SQRT((AD204^2*(A204-$D$3)+AC204^2*(DAY(EOMONTH(A204,0))/2))/AK204)</f>
        <v>#VALUE!</v>
      </c>
      <c r="AF204" s="224" t="e">
        <f aca="false">((Summary!$N$14*(AA204*AD204)*(A204-$D$3))+(Summary!$M$14*Z204*AC204*(AJ204-EOMONTH(EDATE(A204,-1),0))))/(AK204*AB204*AE204)</f>
        <v>#VALUE!</v>
      </c>
      <c r="AG204" s="207" t="str">
        <f aca="false">IF($A205="","",Summary!$Q$14)</f>
        <v/>
      </c>
      <c r="AH204" s="207" t="str">
        <f aca="false">IF($A205="","",IF(Summary!$R$12="Y",(VLOOKUP($A204,Summary!$AD$6:$AF$9,3)+'Escalating commodity'!J217),'Escalating commodity'!J217))</f>
        <v/>
      </c>
      <c r="AI204" s="207" t="str">
        <f aca="false">IF($A205="","",AH204)</f>
        <v/>
      </c>
      <c r="AJ204" s="208" t="e">
        <f aca="false">A204+DAY(EOMONTH(A204,0))/2-1</f>
        <v>#VALUE!</v>
      </c>
      <c r="AK204" s="209" t="str">
        <f aca="false">IF($A205="","",$A204-$E$1)</f>
        <v/>
      </c>
      <c r="AL204" s="182" t="str">
        <f aca="false">IF($A205="","",SPRDOPT(P204,X204,AI204,0,AB204,AE204,AF204,AK204,$AJ$2,0))</f>
        <v/>
      </c>
      <c r="AM204" s="211" t="str">
        <f aca="false">IF($A205="","",MAX(0,O204-W204-AI204))</f>
        <v/>
      </c>
      <c r="AN204" s="211" t="str">
        <f aca="false">IF($A205="","",AL204-AM204)</f>
        <v/>
      </c>
      <c r="AO204" s="137" t="str">
        <f aca="false">IF(A205="","",A205-A204)</f>
        <v/>
      </c>
      <c r="AP204" s="212" t="str">
        <f aca="false">IF(A205="","",CHOOSE(F$3,A205+24,A204))</f>
        <v/>
      </c>
      <c r="AQ204" s="209" t="str">
        <f aca="false">IF(A205="","",AP204-$E$1)</f>
        <v/>
      </c>
      <c r="AR204" s="185" t="n">
        <f aca="false">'ANR OK vs ML7'!AR204</f>
        <v>0.1</v>
      </c>
      <c r="AS204" s="213" t="str">
        <f aca="false">IF(A205="","",1/(1+CHOOSE(F$3,(AR205+($I$3/10000))/2,(AR204+($I$3/10000))/2))^(2*AQ204/365.25))</f>
        <v/>
      </c>
      <c r="AT204" s="137" t="str">
        <f aca="false">IF(A205="","",IF(AND(mthbeg&lt;=A204,mthend&gt;=A204),1,0))</f>
        <v/>
      </c>
      <c r="AU204" s="137" t="str">
        <f aca="false">IF(A205="","",AO204*AT204)</f>
        <v/>
      </c>
      <c r="AW204" s="195" t="str">
        <f aca="false">IF($A205="","",AL204*$E204)</f>
        <v/>
      </c>
      <c r="AX204" s="195" t="str">
        <f aca="false">IF($A205="","",AM204*$E204)</f>
        <v/>
      </c>
      <c r="AY204" s="195" t="str">
        <f aca="false">IF($A205="","",AN204*$E204)</f>
        <v/>
      </c>
      <c r="BA204" s="195" t="str">
        <f aca="false">IF($A205="","",F204*Summary!$Q$14)</f>
        <v/>
      </c>
    </row>
    <row r="205" customFormat="false" ht="12" hidden="false" customHeight="true" outlineLevel="0" collapsed="false">
      <c r="A205" s="196" t="str">
        <f aca="false">IF(A204&lt;mthend,EDATE(A204,1),"")</f>
        <v/>
      </c>
      <c r="B205" s="197" t="str">
        <f aca="false">IF(A205&lt;mthend,B204,"")</f>
        <v/>
      </c>
      <c r="C205" s="215"/>
      <c r="D205" s="197" t="str">
        <f aca="false">IF(A206&lt;&gt;"",B205+C205,"")</f>
        <v/>
      </c>
      <c r="E205" s="199" t="str">
        <f aca="false">IF(A206="","",IF(AND(AT205=1,$H$3=1),D205*AO205,IF($H$3=2,D205,"N/A")))</f>
        <v/>
      </c>
      <c r="F205" s="199" t="str">
        <f aca="false">IF(A206="","",E205*AS205)</f>
        <v/>
      </c>
      <c r="G205" s="200" t="str">
        <f aca="false">IF($A206="","",VLOOKUP($A205,Table,MATCH(G$4,Curves,0)))</f>
        <v/>
      </c>
      <c r="H205" s="201" t="str">
        <f aca="false">IF(A206="","",G205)</f>
        <v/>
      </c>
      <c r="I205" s="202"/>
      <c r="J205" s="200" t="str">
        <f aca="false">IF($A206="","",VLOOKUP($A205,Table,MATCH(J$4,Curves,0)))</f>
        <v/>
      </c>
      <c r="K205" s="201" t="str">
        <f aca="false">IF(A206="","",J205)</f>
        <v/>
      </c>
      <c r="L205" s="185" t="n">
        <v>0</v>
      </c>
      <c r="M205" s="201" t="str">
        <f aca="false">IF(A206="","",L205)</f>
        <v/>
      </c>
      <c r="N205" s="203"/>
      <c r="O205" s="200" t="str">
        <f aca="false">IF(A206="","",L205+J205+G205)</f>
        <v/>
      </c>
      <c r="P205" s="200" t="str">
        <f aca="false">IF(A206="","",M205+K205+H205)</f>
        <v/>
      </c>
      <c r="Q205" s="204"/>
      <c r="R205" s="200" t="str">
        <f aca="false">IF($A206="","",VLOOKUP($A205,Table,MATCH(R$4,Curves,0)))</f>
        <v/>
      </c>
      <c r="S205" s="201" t="str">
        <f aca="false">IF(A206="","",R205)</f>
        <v/>
      </c>
      <c r="T205" s="200" t="str">
        <f aca="false">IF($A206="","",VLOOKUP($A205,Table,MATCH(T$4,Curves,0)))</f>
        <v/>
      </c>
      <c r="U205" s="201" t="str">
        <f aca="false">IF(A206="","",T205)</f>
        <v/>
      </c>
      <c r="V205" s="183" t="str">
        <f aca="false">IF($A206="","",IF(AND(MONTH(A205)&gt;3,MONTH(A205)&lt;11),(T205+R205+G205)*(((1/(1-Summary!$T$14))/(1-Summary!$W$14))-1),(T205+R205+G205)*((1/(1-Summary!$U$14))/(1-Summary!$X$14)-1)))</f>
        <v/>
      </c>
      <c r="W205" s="202" t="str">
        <f aca="false">IF($A206="","",(T205+R205+G205+V205))</f>
        <v/>
      </c>
      <c r="X205" s="202" t="str">
        <f aca="false">IF($A206="","",(U205+S205+H205+V205))</f>
        <v/>
      </c>
      <c r="Y205" s="202"/>
      <c r="Z205" s="185" t="str">
        <f aca="false">IF($A206="","",VLOOKUP($A205,Table,MATCH(Z$4,Curves,0)))</f>
        <v/>
      </c>
      <c r="AA205" s="185" t="str">
        <f aca="false">IF($A206="","",VLOOKUP($A205,Table,MATCH(AA$4,Curves,0)))</f>
        <v/>
      </c>
      <c r="AB205" s="185" t="e">
        <f aca="false">SQRT((AA205^2*(A205-$D$3)+Z205^2*(DAY(EOMONTH(A205,0))/2))/AK205)</f>
        <v>#VALUE!</v>
      </c>
      <c r="AC205" s="185" t="str">
        <f aca="false">IF($A206="","",VLOOKUP($A205,Table,MATCH(AC$4,Curves,0)))</f>
        <v/>
      </c>
      <c r="AD205" s="185" t="str">
        <f aca="false">IF($A206="","",VLOOKUP($A205,Table,MATCH(AD$4,Curves,0)))</f>
        <v/>
      </c>
      <c r="AE205" s="185" t="e">
        <f aca="false">SQRT((AD205^2*(A205-$D$3)+AC205^2*(DAY(EOMONTH(A205,0))/2))/AK205)</f>
        <v>#VALUE!</v>
      </c>
      <c r="AF205" s="224" t="e">
        <f aca="false">((Summary!$N$14*(AA205*AD205)*(A205-$D$3))+(Summary!$M$14*Z205*AC205*(AJ205-EOMONTH(EDATE(A205,-1),0))))/(AK205*AB205*AE205)</f>
        <v>#VALUE!</v>
      </c>
      <c r="AG205" s="207" t="str">
        <f aca="false">IF($A206="","",Summary!$Q$14)</f>
        <v/>
      </c>
      <c r="AH205" s="207" t="str">
        <f aca="false">IF($A206="","",IF(Summary!$R$12="Y",(VLOOKUP($A205,Summary!$AD$6:$AF$9,3)+'Escalating commodity'!J218),'Escalating commodity'!J218))</f>
        <v/>
      </c>
      <c r="AI205" s="207" t="str">
        <f aca="false">IF($A206="","",AH205)</f>
        <v/>
      </c>
      <c r="AJ205" s="208" t="e">
        <f aca="false">A205+DAY(EOMONTH(A205,0))/2-1</f>
        <v>#VALUE!</v>
      </c>
      <c r="AK205" s="209" t="str">
        <f aca="false">IF($A206="","",$A205-$E$1)</f>
        <v/>
      </c>
      <c r="AL205" s="182" t="str">
        <f aca="false">IF($A206="","",SPRDOPT(P205,X205,AI205,0,AB205,AE205,AF205,AK205,$AJ$2,0))</f>
        <v/>
      </c>
      <c r="AM205" s="211" t="str">
        <f aca="false">IF($A206="","",MAX(0,O205-W205-AI205))</f>
        <v/>
      </c>
      <c r="AN205" s="211" t="str">
        <f aca="false">IF($A206="","",AL205-AM205)</f>
        <v/>
      </c>
      <c r="AO205" s="137" t="str">
        <f aca="false">IF(A206="","",A206-A205)</f>
        <v/>
      </c>
      <c r="AP205" s="212" t="str">
        <f aca="false">IF(A206="","",CHOOSE(F$3,A206+24,A205))</f>
        <v/>
      </c>
      <c r="AQ205" s="209" t="str">
        <f aca="false">IF(A206="","",AP205-$E$1)</f>
        <v/>
      </c>
      <c r="AR205" s="185" t="n">
        <f aca="false">'ANR OK vs ML7'!AR205</f>
        <v>0.1</v>
      </c>
      <c r="AS205" s="213" t="str">
        <f aca="false">IF(A206="","",1/(1+CHOOSE(F$3,(AR206+($I$3/10000))/2,(AR205+($I$3/10000))/2))^(2*AQ205/365.25))</f>
        <v/>
      </c>
      <c r="AT205" s="137" t="str">
        <f aca="false">IF(A206="","",IF(AND(mthbeg&lt;=A205,mthend&gt;=A205),1,0))</f>
        <v/>
      </c>
      <c r="AU205" s="137" t="str">
        <f aca="false">IF(A206="","",AO205*AT205)</f>
        <v/>
      </c>
      <c r="AW205" s="195" t="str">
        <f aca="false">IF($A206="","",AL205*$E205)</f>
        <v/>
      </c>
      <c r="AX205" s="195" t="str">
        <f aca="false">IF($A206="","",AM205*$E205)</f>
        <v/>
      </c>
      <c r="AY205" s="195" t="str">
        <f aca="false">IF($A206="","",AN205*$E205)</f>
        <v/>
      </c>
      <c r="BA205" s="195" t="str">
        <f aca="false">IF($A206="","",F205*Summary!$Q$14)</f>
        <v/>
      </c>
    </row>
    <row r="206" customFormat="false" ht="12" hidden="false" customHeight="true" outlineLevel="0" collapsed="false">
      <c r="A206" s="196" t="str">
        <f aca="false">IF(A205&lt;mthend,EDATE(A205,1),"")</f>
        <v/>
      </c>
      <c r="B206" s="197" t="str">
        <f aca="false">IF(A206&lt;mthend,B205,"")</f>
        <v/>
      </c>
      <c r="C206" s="215"/>
      <c r="D206" s="197" t="str">
        <f aca="false">IF(A207&lt;&gt;"",B206+C206,"")</f>
        <v/>
      </c>
      <c r="E206" s="199" t="str">
        <f aca="false">IF(A207="","",IF(AND(AT206=1,$H$3=1),D206*AO206,IF($H$3=2,D206,"N/A")))</f>
        <v/>
      </c>
      <c r="F206" s="199" t="str">
        <f aca="false">IF(A207="","",E206*AS206)</f>
        <v/>
      </c>
      <c r="G206" s="200" t="str">
        <f aca="false">IF($A207="","",VLOOKUP($A206,Table,MATCH(G$4,Curves,0)))</f>
        <v/>
      </c>
      <c r="H206" s="201" t="str">
        <f aca="false">IF(A207="","",G206)</f>
        <v/>
      </c>
      <c r="I206" s="202"/>
      <c r="J206" s="200" t="str">
        <f aca="false">IF($A207="","",VLOOKUP($A206,Table,MATCH(J$4,Curves,0)))</f>
        <v/>
      </c>
      <c r="K206" s="201" t="str">
        <f aca="false">IF(A207="","",J206)</f>
        <v/>
      </c>
      <c r="L206" s="185" t="n">
        <v>0</v>
      </c>
      <c r="M206" s="201" t="str">
        <f aca="false">IF(A207="","",L206)</f>
        <v/>
      </c>
      <c r="N206" s="203"/>
      <c r="O206" s="200" t="str">
        <f aca="false">IF(A207="","",L206+J206+G206)</f>
        <v/>
      </c>
      <c r="P206" s="200" t="str">
        <f aca="false">IF(A207="","",M206+K206+H206)</f>
        <v/>
      </c>
      <c r="Q206" s="204"/>
      <c r="R206" s="200" t="str">
        <f aca="false">IF($A207="","",VLOOKUP($A206,Table,MATCH(R$4,Curves,0)))</f>
        <v/>
      </c>
      <c r="S206" s="201" t="str">
        <f aca="false">IF(A207="","",R206)</f>
        <v/>
      </c>
      <c r="T206" s="200" t="str">
        <f aca="false">IF($A207="","",VLOOKUP($A206,Table,MATCH(T$4,Curves,0)))</f>
        <v/>
      </c>
      <c r="U206" s="201" t="str">
        <f aca="false">IF(A207="","",T206)</f>
        <v/>
      </c>
      <c r="V206" s="183" t="str">
        <f aca="false">IF($A207="","",IF(AND(MONTH(A206)&gt;3,MONTH(A206)&lt;11),(T206+R206+G206)*(((1/(1-Summary!$T$14))/(1-Summary!$W$14))-1),(T206+R206+G206)*((1/(1-Summary!$U$14))/(1-Summary!$X$14)-1)))</f>
        <v/>
      </c>
      <c r="W206" s="202" t="str">
        <f aca="false">IF($A207="","",(T206+R206+G206+V206))</f>
        <v/>
      </c>
      <c r="X206" s="202" t="str">
        <f aca="false">IF($A207="","",(U206+S206+H206+V206))</f>
        <v/>
      </c>
      <c r="Y206" s="202"/>
      <c r="Z206" s="185" t="str">
        <f aca="false">IF($A207="","",VLOOKUP($A206,Table,MATCH(Z$4,Curves,0)))</f>
        <v/>
      </c>
      <c r="AA206" s="185" t="str">
        <f aca="false">IF($A207="","",VLOOKUP($A206,Table,MATCH(AA$4,Curves,0)))</f>
        <v/>
      </c>
      <c r="AB206" s="185" t="e">
        <f aca="false">SQRT((AA206^2*(A206-$D$3)+Z206^2*(DAY(EOMONTH(A206,0))/2))/AK206)</f>
        <v>#VALUE!</v>
      </c>
      <c r="AC206" s="185" t="str">
        <f aca="false">IF($A207="","",VLOOKUP($A206,Table,MATCH(AC$4,Curves,0)))</f>
        <v/>
      </c>
      <c r="AD206" s="185" t="str">
        <f aca="false">IF($A207="","",VLOOKUP($A206,Table,MATCH(AD$4,Curves,0)))</f>
        <v/>
      </c>
      <c r="AE206" s="185" t="e">
        <f aca="false">SQRT((AD206^2*(A206-$D$3)+AC206^2*(DAY(EOMONTH(A206,0))/2))/AK206)</f>
        <v>#VALUE!</v>
      </c>
      <c r="AF206" s="224" t="e">
        <f aca="false">((Summary!$N$14*(AA206*AD206)*(A206-$D$3))+(Summary!$M$14*Z206*AC206*(AJ206-EOMONTH(EDATE(A206,-1),0))))/(AK206*AB206*AE206)</f>
        <v>#VALUE!</v>
      </c>
      <c r="AG206" s="207" t="str">
        <f aca="false">IF($A207="","",Summary!$Q$14)</f>
        <v/>
      </c>
      <c r="AH206" s="207" t="str">
        <f aca="false">IF($A207="","",IF(Summary!$R$12="Y",(VLOOKUP($A206,Summary!$AD$6:$AF$9,3)+'Escalating commodity'!J219),'Escalating commodity'!J219))</f>
        <v/>
      </c>
      <c r="AI206" s="207" t="str">
        <f aca="false">IF($A207="","",AH206)</f>
        <v/>
      </c>
      <c r="AJ206" s="208" t="e">
        <f aca="false">A206+DAY(EOMONTH(A206,0))/2-1</f>
        <v>#VALUE!</v>
      </c>
      <c r="AK206" s="209" t="str">
        <f aca="false">IF($A207="","",$A206-$E$1)</f>
        <v/>
      </c>
      <c r="AL206" s="182" t="str">
        <f aca="false">IF($A207="","",SPRDOPT(P206,X206,AI206,0,AB206,AE206,AF206,AK206,$AJ$2,0))</f>
        <v/>
      </c>
      <c r="AM206" s="211" t="str">
        <f aca="false">IF($A207="","",MAX(0,O206-W206-AI206))</f>
        <v/>
      </c>
      <c r="AN206" s="211" t="str">
        <f aca="false">IF($A207="","",AL206-AM206)</f>
        <v/>
      </c>
      <c r="AO206" s="137" t="str">
        <f aca="false">IF(A207="","",A207-A206)</f>
        <v/>
      </c>
      <c r="AP206" s="212" t="str">
        <f aca="false">IF(A207="","",CHOOSE(F$3,A207+24,A206))</f>
        <v/>
      </c>
      <c r="AQ206" s="209" t="str">
        <f aca="false">IF(A207="","",AP206-$E$1)</f>
        <v/>
      </c>
      <c r="AR206" s="185" t="n">
        <f aca="false">'ANR OK vs ML7'!AR206</f>
        <v>0.1</v>
      </c>
      <c r="AS206" s="213" t="str">
        <f aca="false">IF(A207="","",1/(1+CHOOSE(F$3,(AR207+($I$3/10000))/2,(AR206+($I$3/10000))/2))^(2*AQ206/365.25))</f>
        <v/>
      </c>
      <c r="AT206" s="137" t="str">
        <f aca="false">IF(A207="","",IF(AND(mthbeg&lt;=A206,mthend&gt;=A206),1,0))</f>
        <v/>
      </c>
      <c r="AU206" s="137" t="str">
        <f aca="false">IF(A207="","",AO206*AT206)</f>
        <v/>
      </c>
      <c r="AW206" s="195" t="str">
        <f aca="false">IF($A207="","",AL206*$E206)</f>
        <v/>
      </c>
      <c r="AX206" s="195" t="str">
        <f aca="false">IF($A207="","",AM206*$E206)</f>
        <v/>
      </c>
      <c r="AY206" s="195" t="str">
        <f aca="false">IF($A207="","",AN206*$E206)</f>
        <v/>
      </c>
      <c r="BA206" s="195" t="str">
        <f aca="false">IF($A207="","",F206*Summary!$Q$14)</f>
        <v/>
      </c>
    </row>
    <row r="207" customFormat="false" ht="12" hidden="false" customHeight="true" outlineLevel="0" collapsed="false">
      <c r="A207" s="196" t="str">
        <f aca="false">IF(A206&lt;mthend,EDATE(A206,1),"")</f>
        <v/>
      </c>
      <c r="B207" s="197" t="str">
        <f aca="false">IF(A207&lt;mthend,B206,"")</f>
        <v/>
      </c>
      <c r="C207" s="215"/>
      <c r="D207" s="197" t="str">
        <f aca="false">IF(A208&lt;&gt;"",B207+C207,"")</f>
        <v/>
      </c>
      <c r="E207" s="199" t="str">
        <f aca="false">IF(A208="","",IF(AND(AT207=1,$H$3=1),D207*AO207,IF($H$3=2,D207,"N/A")))</f>
        <v/>
      </c>
      <c r="F207" s="199" t="str">
        <f aca="false">IF(A208="","",E207*AS207)</f>
        <v/>
      </c>
      <c r="G207" s="200" t="str">
        <f aca="false">IF($A208="","",VLOOKUP($A207,Table,MATCH(G$4,Curves,0)))</f>
        <v/>
      </c>
      <c r="H207" s="201" t="str">
        <f aca="false">IF(A208="","",G207)</f>
        <v/>
      </c>
      <c r="I207" s="202"/>
      <c r="J207" s="200" t="str">
        <f aca="false">IF($A208="","",VLOOKUP($A207,Table,MATCH(J$4,Curves,0)))</f>
        <v/>
      </c>
      <c r="K207" s="201" t="str">
        <f aca="false">IF(A208="","",J207)</f>
        <v/>
      </c>
      <c r="L207" s="185" t="n">
        <v>0</v>
      </c>
      <c r="M207" s="201" t="str">
        <f aca="false">IF(A208="","",L207)</f>
        <v/>
      </c>
      <c r="N207" s="203"/>
      <c r="O207" s="200" t="str">
        <f aca="false">IF(A208="","",L207+J207+G207)</f>
        <v/>
      </c>
      <c r="P207" s="200" t="str">
        <f aca="false">IF(A208="","",M207+K207+H207)</f>
        <v/>
      </c>
      <c r="Q207" s="204"/>
      <c r="R207" s="200" t="str">
        <f aca="false">IF($A208="","",VLOOKUP($A207,Table,MATCH(R$4,Curves,0)))</f>
        <v/>
      </c>
      <c r="S207" s="201" t="str">
        <f aca="false">IF(A208="","",R207)</f>
        <v/>
      </c>
      <c r="T207" s="200" t="str">
        <f aca="false">IF($A208="","",VLOOKUP($A207,Table,MATCH(T$4,Curves,0)))</f>
        <v/>
      </c>
      <c r="U207" s="201" t="str">
        <f aca="false">IF(A208="","",T207)</f>
        <v/>
      </c>
      <c r="V207" s="183" t="str">
        <f aca="false">IF($A208="","",IF(AND(MONTH(A207)&gt;3,MONTH(A207)&lt;11),(T207+R207+G207)*(((1/(1-Summary!$T$14))/(1-Summary!$W$14))-1),(T207+R207+G207)*((1/(1-Summary!$U$14))/(1-Summary!$X$14)-1)))</f>
        <v/>
      </c>
      <c r="W207" s="202" t="str">
        <f aca="false">IF($A208="","",(T207+R207+G207+V207))</f>
        <v/>
      </c>
      <c r="X207" s="202" t="str">
        <f aca="false">IF($A208="","",(U207+S207+H207+V207))</f>
        <v/>
      </c>
      <c r="Y207" s="202"/>
      <c r="Z207" s="185" t="str">
        <f aca="false">IF($A208="","",VLOOKUP($A207,Table,MATCH(Z$4,Curves,0)))</f>
        <v/>
      </c>
      <c r="AA207" s="185" t="str">
        <f aca="false">IF($A208="","",VLOOKUP($A207,Table,MATCH(AA$4,Curves,0)))</f>
        <v/>
      </c>
      <c r="AB207" s="185" t="e">
        <f aca="false">SQRT((AA207^2*(A207-$D$3)+Z207^2*(DAY(EOMONTH(A207,0))/2))/AK207)</f>
        <v>#VALUE!</v>
      </c>
      <c r="AC207" s="185" t="str">
        <f aca="false">IF($A208="","",VLOOKUP($A207,Table,MATCH(AC$4,Curves,0)))</f>
        <v/>
      </c>
      <c r="AD207" s="185" t="str">
        <f aca="false">IF($A208="","",VLOOKUP($A207,Table,MATCH(AD$4,Curves,0)))</f>
        <v/>
      </c>
      <c r="AE207" s="185" t="e">
        <f aca="false">SQRT((AD207^2*(A207-$D$3)+AC207^2*(DAY(EOMONTH(A207,0))/2))/AK207)</f>
        <v>#VALUE!</v>
      </c>
      <c r="AF207" s="224" t="e">
        <f aca="false">((Summary!$N$14*(AA207*AD207)*(A207-$D$3))+(Summary!$M$14*Z207*AC207*(AJ207-EOMONTH(EDATE(A207,-1),0))))/(AK207*AB207*AE207)</f>
        <v>#VALUE!</v>
      </c>
      <c r="AG207" s="207" t="str">
        <f aca="false">IF($A208="","",Summary!$Q$14)</f>
        <v/>
      </c>
      <c r="AH207" s="207" t="str">
        <f aca="false">IF($A208="","",IF(Summary!$R$12="Y",(VLOOKUP($A207,Summary!$AD$6:$AF$9,3)+'Escalating commodity'!J220),'Escalating commodity'!J220))</f>
        <v/>
      </c>
      <c r="AI207" s="207" t="str">
        <f aca="false">IF($A208="","",AH207)</f>
        <v/>
      </c>
      <c r="AJ207" s="208" t="e">
        <f aca="false">A207+DAY(EOMONTH(A207,0))/2-1</f>
        <v>#VALUE!</v>
      </c>
      <c r="AK207" s="209" t="str">
        <f aca="false">IF($A208="","",$A207-$E$1)</f>
        <v/>
      </c>
      <c r="AL207" s="182" t="str">
        <f aca="false">IF($A208="","",SPRDOPT(P207,X207,AI207,0,AB207,AE207,AF207,AK207,$AJ$2,0))</f>
        <v/>
      </c>
      <c r="AM207" s="211" t="str">
        <f aca="false">IF($A208="","",MAX(0,O207-W207-AI207))</f>
        <v/>
      </c>
      <c r="AN207" s="211" t="str">
        <f aca="false">IF($A208="","",AL207-AM207)</f>
        <v/>
      </c>
      <c r="AO207" s="137" t="str">
        <f aca="false">IF(A208="","",A208-A207)</f>
        <v/>
      </c>
      <c r="AP207" s="212" t="str">
        <f aca="false">IF(A208="","",CHOOSE(F$3,A208+24,A207))</f>
        <v/>
      </c>
      <c r="AQ207" s="209" t="str">
        <f aca="false">IF(A208="","",AP207-$E$1)</f>
        <v/>
      </c>
      <c r="AR207" s="185" t="n">
        <f aca="false">'ANR OK vs ML7'!AR207</f>
        <v>0.1</v>
      </c>
      <c r="AS207" s="213" t="str">
        <f aca="false">IF(A208="","",1/(1+CHOOSE(F$3,(AR208+($I$3/10000))/2,(AR207+($I$3/10000))/2))^(2*AQ207/365.25))</f>
        <v/>
      </c>
      <c r="AT207" s="137" t="str">
        <f aca="false">IF(A208="","",IF(AND(mthbeg&lt;=A207,mthend&gt;=A207),1,0))</f>
        <v/>
      </c>
      <c r="AU207" s="137" t="str">
        <f aca="false">IF(A208="","",AO207*AT207)</f>
        <v/>
      </c>
      <c r="AW207" s="195" t="str">
        <f aca="false">IF($A208="","",AL207*$E207)</f>
        <v/>
      </c>
      <c r="AX207" s="195" t="str">
        <f aca="false">IF($A208="","",AM207*$E207)</f>
        <v/>
      </c>
      <c r="AY207" s="195" t="str">
        <f aca="false">IF($A208="","",AN207*$E207)</f>
        <v/>
      </c>
      <c r="BA207" s="195" t="str">
        <f aca="false">IF($A208="","",F207*Summary!$Q$14)</f>
        <v/>
      </c>
    </row>
    <row r="208" customFormat="false" ht="12" hidden="false" customHeight="true" outlineLevel="0" collapsed="false">
      <c r="A208" s="196" t="str">
        <f aca="false">IF(A207&lt;mthend,EDATE(A207,1),"")</f>
        <v/>
      </c>
      <c r="B208" s="197" t="str">
        <f aca="false">IF(A208&lt;mthend,B207,"")</f>
        <v/>
      </c>
      <c r="C208" s="215"/>
      <c r="D208" s="197" t="str">
        <f aca="false">IF(A209&lt;&gt;"",B208+C208,"")</f>
        <v/>
      </c>
      <c r="E208" s="199" t="str">
        <f aca="false">IF(A209="","",IF(AND(AT208=1,$H$3=1),D208*AO208,IF($H$3=2,D208,"N/A")))</f>
        <v/>
      </c>
      <c r="F208" s="199" t="str">
        <f aca="false">IF(A209="","",E208*AS208)</f>
        <v/>
      </c>
      <c r="G208" s="200" t="str">
        <f aca="false">IF($A209="","",VLOOKUP($A208,Table,MATCH(G$4,Curves,0)))</f>
        <v/>
      </c>
      <c r="H208" s="201" t="str">
        <f aca="false">IF(A209="","",G208)</f>
        <v/>
      </c>
      <c r="I208" s="202"/>
      <c r="J208" s="200" t="str">
        <f aca="false">IF($A209="","",VLOOKUP($A208,Table,MATCH(J$4,Curves,0)))</f>
        <v/>
      </c>
      <c r="K208" s="201" t="str">
        <f aca="false">IF(A209="","",J208)</f>
        <v/>
      </c>
      <c r="L208" s="185" t="n">
        <v>0</v>
      </c>
      <c r="M208" s="201" t="str">
        <f aca="false">IF(A209="","",L208)</f>
        <v/>
      </c>
      <c r="N208" s="203"/>
      <c r="O208" s="200" t="str">
        <f aca="false">IF(A209="","",L208+J208+G208)</f>
        <v/>
      </c>
      <c r="P208" s="200" t="str">
        <f aca="false">IF(A209="","",M208+K208+H208)</f>
        <v/>
      </c>
      <c r="Q208" s="204"/>
      <c r="R208" s="200" t="str">
        <f aca="false">IF($A209="","",VLOOKUP($A208,Table,MATCH(R$4,Curves,0)))</f>
        <v/>
      </c>
      <c r="S208" s="201" t="str">
        <f aca="false">IF(A209="","",R208)</f>
        <v/>
      </c>
      <c r="T208" s="200" t="str">
        <f aca="false">IF($A209="","",VLOOKUP($A208,Table,MATCH(T$4,Curves,0)))</f>
        <v/>
      </c>
      <c r="U208" s="201" t="str">
        <f aca="false">IF(A209="","",T208)</f>
        <v/>
      </c>
      <c r="V208" s="183" t="str">
        <f aca="false">IF($A209="","",IF(AND(MONTH(A208)&gt;3,MONTH(A208)&lt;11),(T208+R208+G208)*(((1/(1-Summary!$T$14))/(1-Summary!$W$14))-1),(T208+R208+G208)*((1/(1-Summary!$U$14))/(1-Summary!$X$14)-1)))</f>
        <v/>
      </c>
      <c r="W208" s="202" t="str">
        <f aca="false">IF($A209="","",(T208+R208+G208+V208))</f>
        <v/>
      </c>
      <c r="X208" s="202" t="str">
        <f aca="false">IF($A209="","",(U208+S208+H208+V208))</f>
        <v/>
      </c>
      <c r="Y208" s="202"/>
      <c r="Z208" s="185" t="str">
        <f aca="false">IF($A209="","",VLOOKUP($A208,Table,MATCH(Z$4,Curves,0)))</f>
        <v/>
      </c>
      <c r="AA208" s="185" t="str">
        <f aca="false">IF($A209="","",VLOOKUP($A208,Table,MATCH(AA$4,Curves,0)))</f>
        <v/>
      </c>
      <c r="AB208" s="185" t="e">
        <f aca="false">SQRT((AA208^2*(A208-$D$3)+Z208^2*(DAY(EOMONTH(A208,0))/2))/AK208)</f>
        <v>#VALUE!</v>
      </c>
      <c r="AC208" s="185" t="str">
        <f aca="false">IF($A209="","",VLOOKUP($A208,Table,MATCH(AC$4,Curves,0)))</f>
        <v/>
      </c>
      <c r="AD208" s="185" t="str">
        <f aca="false">IF($A209="","",VLOOKUP($A208,Table,MATCH(AD$4,Curves,0)))</f>
        <v/>
      </c>
      <c r="AE208" s="185" t="e">
        <f aca="false">SQRT((AD208^2*(A208-$D$3)+AC208^2*(DAY(EOMONTH(A208,0))/2))/AK208)</f>
        <v>#VALUE!</v>
      </c>
      <c r="AF208" s="224" t="e">
        <f aca="false">((Summary!$N$14*(AA208*AD208)*(A208-$D$3))+(Summary!$M$14*Z208*AC208*(AJ208-EOMONTH(EDATE(A208,-1),0))))/(AK208*AB208*AE208)</f>
        <v>#VALUE!</v>
      </c>
      <c r="AG208" s="207" t="str">
        <f aca="false">IF($A209="","",Summary!$Q$14)</f>
        <v/>
      </c>
      <c r="AH208" s="207" t="str">
        <f aca="false">IF($A209="","",IF(Summary!$R$12="Y",(VLOOKUP($A208,Summary!$AD$6:$AF$9,3)+'Escalating commodity'!J221),'Escalating commodity'!J221))</f>
        <v/>
      </c>
      <c r="AI208" s="207" t="str">
        <f aca="false">IF($A209="","",AH208)</f>
        <v/>
      </c>
      <c r="AJ208" s="208" t="e">
        <f aca="false">A208+DAY(EOMONTH(A208,0))/2-1</f>
        <v>#VALUE!</v>
      </c>
      <c r="AK208" s="209" t="str">
        <f aca="false">IF($A209="","",$A208-$E$1)</f>
        <v/>
      </c>
      <c r="AL208" s="182" t="str">
        <f aca="false">IF($A209="","",SPRDOPT(P208,X208,AI208,0,AB208,AE208,AF208,AK208,$AJ$2,0))</f>
        <v/>
      </c>
      <c r="AM208" s="211" t="str">
        <f aca="false">IF($A209="","",MAX(0,O208-W208-AI208))</f>
        <v/>
      </c>
      <c r="AN208" s="211" t="str">
        <f aca="false">IF($A209="","",AL208-AM208)</f>
        <v/>
      </c>
      <c r="AO208" s="137" t="str">
        <f aca="false">IF(A209="","",A209-A208)</f>
        <v/>
      </c>
      <c r="AP208" s="212" t="str">
        <f aca="false">IF(A209="","",CHOOSE(F$3,A209+24,A208))</f>
        <v/>
      </c>
      <c r="AQ208" s="209" t="str">
        <f aca="false">IF(A209="","",AP208-$E$1)</f>
        <v/>
      </c>
      <c r="AR208" s="185" t="n">
        <f aca="false">'ANR OK vs ML7'!AR208</f>
        <v>0.1</v>
      </c>
      <c r="AS208" s="213" t="str">
        <f aca="false">IF(A209="","",1/(1+CHOOSE(F$3,(AR209+($I$3/10000))/2,(AR208+($I$3/10000))/2))^(2*AQ208/365.25))</f>
        <v/>
      </c>
      <c r="AT208" s="137" t="str">
        <f aca="false">IF(A209="","",IF(AND(mthbeg&lt;=A208,mthend&gt;=A208),1,0))</f>
        <v/>
      </c>
      <c r="AU208" s="137" t="str">
        <f aca="false">IF(A209="","",AO208*AT208)</f>
        <v/>
      </c>
      <c r="AW208" s="195" t="str">
        <f aca="false">IF($A209="","",AL208*$E208)</f>
        <v/>
      </c>
      <c r="AX208" s="195" t="str">
        <f aca="false">IF($A209="","",AM208*$E208)</f>
        <v/>
      </c>
      <c r="AY208" s="195" t="str">
        <f aca="false">IF($A209="","",AN208*$E208)</f>
        <v/>
      </c>
      <c r="BA208" s="195" t="str">
        <f aca="false">IF($A209="","",F208*Summary!$Q$14)</f>
        <v/>
      </c>
    </row>
    <row r="209" customFormat="false" ht="12" hidden="false" customHeight="true" outlineLevel="0" collapsed="false">
      <c r="A209" s="196" t="str">
        <f aca="false">IF(A208&lt;mthend,EDATE(A208,1),"")</f>
        <v/>
      </c>
      <c r="B209" s="197" t="str">
        <f aca="false">IF(A209&lt;mthend,B208,"")</f>
        <v/>
      </c>
      <c r="C209" s="215"/>
      <c r="D209" s="197" t="str">
        <f aca="false">IF(A210&lt;&gt;"",B209+C209,"")</f>
        <v/>
      </c>
      <c r="E209" s="199" t="str">
        <f aca="false">IF(A210="","",IF(AND(AT209=1,$H$3=1),D209*AO209,IF($H$3=2,D209,"N/A")))</f>
        <v/>
      </c>
      <c r="F209" s="199" t="str">
        <f aca="false">IF(A210="","",E209*AS209)</f>
        <v/>
      </c>
      <c r="G209" s="200" t="str">
        <f aca="false">IF($A210="","",VLOOKUP($A209,Table,MATCH(G$4,Curves,0)))</f>
        <v/>
      </c>
      <c r="H209" s="201" t="str">
        <f aca="false">IF(A210="","",G209)</f>
        <v/>
      </c>
      <c r="I209" s="202"/>
      <c r="J209" s="200" t="str">
        <f aca="false">IF($A210="","",VLOOKUP($A209,Table,MATCH(J$4,Curves,0)))</f>
        <v/>
      </c>
      <c r="K209" s="201" t="str">
        <f aca="false">IF(A210="","",J209)</f>
        <v/>
      </c>
      <c r="L209" s="185" t="n">
        <v>0</v>
      </c>
      <c r="M209" s="201" t="str">
        <f aca="false">IF(A210="","",L209)</f>
        <v/>
      </c>
      <c r="N209" s="203"/>
      <c r="O209" s="200" t="str">
        <f aca="false">IF(A210="","",L209+J209+G209)</f>
        <v/>
      </c>
      <c r="P209" s="200" t="str">
        <f aca="false">IF(A210="","",M209+K209+H209)</f>
        <v/>
      </c>
      <c r="Q209" s="204"/>
      <c r="R209" s="200" t="str">
        <f aca="false">IF($A210="","",VLOOKUP($A209,Table,MATCH(R$4,Curves,0)))</f>
        <v/>
      </c>
      <c r="S209" s="201" t="str">
        <f aca="false">IF(A210="","",R209)</f>
        <v/>
      </c>
      <c r="T209" s="200" t="str">
        <f aca="false">IF($A210="","",VLOOKUP($A209,Table,MATCH(T$4,Curves,0)))</f>
        <v/>
      </c>
      <c r="U209" s="201" t="str">
        <f aca="false">IF(A210="","",T209)</f>
        <v/>
      </c>
      <c r="V209" s="183" t="str">
        <f aca="false">IF($A210="","",IF(AND(MONTH(A209)&gt;3,MONTH(A209)&lt;11),(T209+R209+G209)*(((1/(1-Summary!$T$14))/(1-Summary!$W$14))-1),(T209+R209+G209)*((1/(1-Summary!$U$14))/(1-Summary!$X$14)-1)))</f>
        <v/>
      </c>
      <c r="W209" s="202" t="str">
        <f aca="false">IF($A210="","",(T209+R209+G209+V209))</f>
        <v/>
      </c>
      <c r="X209" s="202" t="str">
        <f aca="false">IF($A210="","",(U209+S209+H209+V209))</f>
        <v/>
      </c>
      <c r="Y209" s="202"/>
      <c r="Z209" s="185" t="str">
        <f aca="false">IF($A210="","",VLOOKUP($A209,Table,MATCH(Z$4,Curves,0)))</f>
        <v/>
      </c>
      <c r="AA209" s="185" t="str">
        <f aca="false">IF($A210="","",VLOOKUP($A209,Table,MATCH(AA$4,Curves,0)))</f>
        <v/>
      </c>
      <c r="AB209" s="185" t="e">
        <f aca="false">SQRT((AA209^2*(A209-$D$3)+Z209^2*(DAY(EOMONTH(A209,0))/2))/AK209)</f>
        <v>#VALUE!</v>
      </c>
      <c r="AC209" s="185" t="str">
        <f aca="false">IF($A210="","",VLOOKUP($A209,Table,MATCH(AC$4,Curves,0)))</f>
        <v/>
      </c>
      <c r="AD209" s="185" t="str">
        <f aca="false">IF($A210="","",VLOOKUP($A209,Table,MATCH(AD$4,Curves,0)))</f>
        <v/>
      </c>
      <c r="AE209" s="185" t="e">
        <f aca="false">SQRT((AD209^2*(A209-$D$3)+AC209^2*(DAY(EOMONTH(A209,0))/2))/AK209)</f>
        <v>#VALUE!</v>
      </c>
      <c r="AF209" s="224" t="e">
        <f aca="false">((Summary!$N$14*(AA209*AD209)*(A209-$D$3))+(Summary!$M$14*Z209*AC209*(AJ209-EOMONTH(EDATE(A209,-1),0))))/(AK209*AB209*AE209)</f>
        <v>#VALUE!</v>
      </c>
      <c r="AG209" s="207" t="str">
        <f aca="false">IF($A210="","",Summary!$Q$14)</f>
        <v/>
      </c>
      <c r="AH209" s="207" t="str">
        <f aca="false">IF($A210="","",IF(Summary!$R$12="Y",(VLOOKUP($A209,Summary!$AD$6:$AF$9,3)+'Escalating commodity'!J222),'Escalating commodity'!J222))</f>
        <v/>
      </c>
      <c r="AI209" s="207" t="str">
        <f aca="false">IF($A210="","",AH209)</f>
        <v/>
      </c>
      <c r="AJ209" s="208" t="e">
        <f aca="false">A209+DAY(EOMONTH(A209,0))/2-1</f>
        <v>#VALUE!</v>
      </c>
      <c r="AK209" s="209" t="str">
        <f aca="false">IF($A210="","",$A209-$E$1)</f>
        <v/>
      </c>
      <c r="AL209" s="182" t="str">
        <f aca="false">IF($A210="","",SPRDOPT(P209,X209,AI209,0,AB209,AE209,AF209,AK209,$AJ$2,0))</f>
        <v/>
      </c>
      <c r="AM209" s="211" t="str">
        <f aca="false">IF($A210="","",MAX(0,O209-W209-AI209))</f>
        <v/>
      </c>
      <c r="AN209" s="211" t="str">
        <f aca="false">IF($A210="","",AL209-AM209)</f>
        <v/>
      </c>
      <c r="AO209" s="137" t="str">
        <f aca="false">IF(A210="","",A210-A209)</f>
        <v/>
      </c>
      <c r="AP209" s="212" t="str">
        <f aca="false">IF(A210="","",CHOOSE(F$3,A210+24,A209))</f>
        <v/>
      </c>
      <c r="AQ209" s="209" t="str">
        <f aca="false">IF(A210="","",AP209-$E$1)</f>
        <v/>
      </c>
      <c r="AR209" s="185" t="n">
        <f aca="false">'ANR OK vs ML7'!AR209</f>
        <v>0.1</v>
      </c>
      <c r="AS209" s="213" t="str">
        <f aca="false">IF(A210="","",1/(1+CHOOSE(F$3,(AR210+($I$3/10000))/2,(AR209+($I$3/10000))/2))^(2*AQ209/365.25))</f>
        <v/>
      </c>
      <c r="AT209" s="137" t="str">
        <f aca="false">IF(A210="","",IF(AND(mthbeg&lt;=A209,mthend&gt;=A209),1,0))</f>
        <v/>
      </c>
      <c r="AU209" s="137" t="str">
        <f aca="false">IF(A210="","",AO209*AT209)</f>
        <v/>
      </c>
      <c r="AW209" s="195" t="str">
        <f aca="false">IF($A210="","",AL209*$E209)</f>
        <v/>
      </c>
      <c r="AX209" s="195" t="str">
        <f aca="false">IF($A210="","",AM209*$E209)</f>
        <v/>
      </c>
      <c r="AY209" s="195" t="str">
        <f aca="false">IF($A210="","",AN209*$E209)</f>
        <v/>
      </c>
      <c r="BA209" s="195" t="str">
        <f aca="false">IF($A210="","",F209*Summary!$Q$14)</f>
        <v/>
      </c>
    </row>
    <row r="210" customFormat="false" ht="12" hidden="false" customHeight="true" outlineLevel="0" collapsed="false">
      <c r="A210" s="196" t="str">
        <f aca="false">IF(A209&lt;mthend,EDATE(A209,1),"")</f>
        <v/>
      </c>
      <c r="B210" s="197" t="str">
        <f aca="false">IF(A210&lt;mthend,B209,"")</f>
        <v/>
      </c>
      <c r="C210" s="215"/>
      <c r="D210" s="197" t="str">
        <f aca="false">IF(A211&lt;&gt;"",B210+C210,"")</f>
        <v/>
      </c>
      <c r="E210" s="199" t="str">
        <f aca="false">IF(A211="","",IF(AND(AT210=1,$H$3=1),D210*AO210,IF($H$3=2,D210,"N/A")))</f>
        <v/>
      </c>
      <c r="F210" s="199" t="str">
        <f aca="false">IF(A211="","",E210*AS210)</f>
        <v/>
      </c>
      <c r="G210" s="200" t="str">
        <f aca="false">IF($A211="","",VLOOKUP($A210,Table,MATCH(G$4,Curves,0)))</f>
        <v/>
      </c>
      <c r="H210" s="201" t="str">
        <f aca="false">IF(A211="","",G210)</f>
        <v/>
      </c>
      <c r="I210" s="202"/>
      <c r="J210" s="200" t="str">
        <f aca="false">IF($A211="","",VLOOKUP($A210,Table,MATCH(J$4,Curves,0)))</f>
        <v/>
      </c>
      <c r="K210" s="201" t="str">
        <f aca="false">IF(A211="","",J210)</f>
        <v/>
      </c>
      <c r="L210" s="185" t="n">
        <v>0</v>
      </c>
      <c r="M210" s="201" t="str">
        <f aca="false">IF(A211="","",L210)</f>
        <v/>
      </c>
      <c r="N210" s="203"/>
      <c r="O210" s="200" t="str">
        <f aca="false">IF(A211="","",L210+J210+G210)</f>
        <v/>
      </c>
      <c r="P210" s="200" t="str">
        <f aca="false">IF(A211="","",M210+K210+H210)</f>
        <v/>
      </c>
      <c r="Q210" s="204"/>
      <c r="R210" s="200" t="str">
        <f aca="false">IF($A211="","",VLOOKUP($A210,Table,MATCH(R$4,Curves,0)))</f>
        <v/>
      </c>
      <c r="S210" s="201" t="str">
        <f aca="false">IF(A211="","",R210)</f>
        <v/>
      </c>
      <c r="T210" s="200" t="str">
        <f aca="false">IF($A211="","",VLOOKUP($A210,Table,MATCH(T$4,Curves,0)))</f>
        <v/>
      </c>
      <c r="U210" s="201" t="str">
        <f aca="false">IF(A211="","",T210)</f>
        <v/>
      </c>
      <c r="V210" s="183" t="str">
        <f aca="false">IF($A211="","",IF(AND(MONTH(A210)&gt;3,MONTH(A210)&lt;11),(T210+R210+G210)*(((1/(1-Summary!$T$14))/(1-Summary!$W$14))-1),(T210+R210+G210)*((1/(1-Summary!$U$14))/(1-Summary!$X$14)-1)))</f>
        <v/>
      </c>
      <c r="W210" s="202" t="str">
        <f aca="false">IF($A211="","",(T210+R210+G210+V210))</f>
        <v/>
      </c>
      <c r="X210" s="202" t="str">
        <f aca="false">IF($A211="","",(U210+S210+H210+V210))</f>
        <v/>
      </c>
      <c r="Y210" s="202"/>
      <c r="Z210" s="185" t="str">
        <f aca="false">IF($A211="","",VLOOKUP($A210,Table,MATCH(Z$4,Curves,0)))</f>
        <v/>
      </c>
      <c r="AA210" s="185" t="str">
        <f aca="false">IF($A211="","",VLOOKUP($A210,Table,MATCH(AA$4,Curves,0)))</f>
        <v/>
      </c>
      <c r="AB210" s="185" t="e">
        <f aca="false">SQRT((AA210^2*(A210-$D$3)+Z210^2*(DAY(EOMONTH(A210,0))/2))/AK210)</f>
        <v>#VALUE!</v>
      </c>
      <c r="AC210" s="185" t="str">
        <f aca="false">IF($A211="","",VLOOKUP($A210,Table,MATCH(AC$4,Curves,0)))</f>
        <v/>
      </c>
      <c r="AD210" s="185" t="str">
        <f aca="false">IF($A211="","",VLOOKUP($A210,Table,MATCH(AD$4,Curves,0)))</f>
        <v/>
      </c>
      <c r="AE210" s="185" t="e">
        <f aca="false">SQRT((AD210^2*(A210-$D$3)+AC210^2*(DAY(EOMONTH(A210,0))/2))/AK210)</f>
        <v>#VALUE!</v>
      </c>
      <c r="AF210" s="224" t="e">
        <f aca="false">((Summary!$N$14*(AA210*AD210)*(A210-$D$3))+(Summary!$M$14*Z210*AC210*(AJ210-EOMONTH(EDATE(A210,-1),0))))/(AK210*AB210*AE210)</f>
        <v>#VALUE!</v>
      </c>
      <c r="AG210" s="207" t="str">
        <f aca="false">IF($A211="","",Summary!$Q$14)</f>
        <v/>
      </c>
      <c r="AH210" s="207" t="str">
        <f aca="false">IF($A211="","",IF(Summary!$R$12="Y",(VLOOKUP($A210,Summary!$AD$6:$AF$9,3)+'Escalating commodity'!J223),'Escalating commodity'!J223))</f>
        <v/>
      </c>
      <c r="AI210" s="207" t="str">
        <f aca="false">IF($A211="","",AH210)</f>
        <v/>
      </c>
      <c r="AJ210" s="208" t="e">
        <f aca="false">A210+DAY(EOMONTH(A210,0))/2-1</f>
        <v>#VALUE!</v>
      </c>
      <c r="AK210" s="209" t="str">
        <f aca="false">IF($A211="","",$A210-$E$1)</f>
        <v/>
      </c>
      <c r="AL210" s="182" t="str">
        <f aca="false">IF($A211="","",SPRDOPT(P210,X210,AI210,0,AB210,AE210,AF210,AK210,$AJ$2,0))</f>
        <v/>
      </c>
      <c r="AM210" s="211" t="str">
        <f aca="false">IF($A211="","",MAX(0,O210-W210-AI210))</f>
        <v/>
      </c>
      <c r="AN210" s="211" t="str">
        <f aca="false">IF($A211="","",AL210-AM210)</f>
        <v/>
      </c>
      <c r="AO210" s="137" t="str">
        <f aca="false">IF(A211="","",A211-A210)</f>
        <v/>
      </c>
      <c r="AP210" s="212" t="str">
        <f aca="false">IF(A211="","",CHOOSE(F$3,A211+24,A210))</f>
        <v/>
      </c>
      <c r="AQ210" s="209" t="str">
        <f aca="false">IF(A211="","",AP210-$E$1)</f>
        <v/>
      </c>
      <c r="AR210" s="185" t="n">
        <f aca="false">'ANR OK vs ML7'!AR210</f>
        <v>0.1</v>
      </c>
      <c r="AS210" s="213" t="str">
        <f aca="false">IF(A211="","",1/(1+CHOOSE(F$3,(AR211+($I$3/10000))/2,(AR210+($I$3/10000))/2))^(2*AQ210/365.25))</f>
        <v/>
      </c>
      <c r="AT210" s="137" t="str">
        <f aca="false">IF(A211="","",IF(AND(mthbeg&lt;=A210,mthend&gt;=A210),1,0))</f>
        <v/>
      </c>
      <c r="AU210" s="137" t="str">
        <f aca="false">IF(A211="","",AO210*AT210)</f>
        <v/>
      </c>
      <c r="AW210" s="195" t="str">
        <f aca="false">IF($A211="","",AL210*$E210)</f>
        <v/>
      </c>
      <c r="AX210" s="195" t="str">
        <f aca="false">IF($A211="","",AM210*$E210)</f>
        <v/>
      </c>
      <c r="AY210" s="195" t="str">
        <f aca="false">IF($A211="","",AN210*$E210)</f>
        <v/>
      </c>
      <c r="BA210" s="195" t="str">
        <f aca="false">IF($A211="","",F210*Summary!$Q$14)</f>
        <v/>
      </c>
    </row>
    <row r="211" customFormat="false" ht="12" hidden="false" customHeight="true" outlineLevel="0" collapsed="false">
      <c r="A211" s="196" t="str">
        <f aca="false">IF(A210&lt;mthend,EDATE(A210,1),"")</f>
        <v/>
      </c>
      <c r="B211" s="197" t="str">
        <f aca="false">IF(A211&lt;mthend,B210,"")</f>
        <v/>
      </c>
      <c r="C211" s="215"/>
      <c r="D211" s="197" t="str">
        <f aca="false">IF(A212&lt;&gt;"",B211+C211,"")</f>
        <v/>
      </c>
      <c r="E211" s="199" t="str">
        <f aca="false">IF(A212="","",IF(AND(AT211=1,$H$3=1),D211*AO211,IF($H$3=2,D211,"N/A")))</f>
        <v/>
      </c>
      <c r="F211" s="199" t="str">
        <f aca="false">IF(A212="","",E211*AS211)</f>
        <v/>
      </c>
      <c r="G211" s="200" t="str">
        <f aca="false">IF($A212="","",VLOOKUP($A211,Table,MATCH(G$4,Curves,0)))</f>
        <v/>
      </c>
      <c r="H211" s="201" t="str">
        <f aca="false">IF(A212="","",G211)</f>
        <v/>
      </c>
      <c r="I211" s="202"/>
      <c r="J211" s="200" t="str">
        <f aca="false">IF($A212="","",VLOOKUP($A211,Table,MATCH(J$4,Curves,0)))</f>
        <v/>
      </c>
      <c r="K211" s="201" t="str">
        <f aca="false">IF(A212="","",J211)</f>
        <v/>
      </c>
      <c r="L211" s="185" t="n">
        <v>0</v>
      </c>
      <c r="M211" s="201" t="str">
        <f aca="false">IF(A212="","",L211)</f>
        <v/>
      </c>
      <c r="N211" s="203"/>
      <c r="O211" s="200" t="str">
        <f aca="false">IF(A212="","",L211+J211+G211)</f>
        <v/>
      </c>
      <c r="P211" s="200" t="str">
        <f aca="false">IF(A212="","",M211+K211+H211)</f>
        <v/>
      </c>
      <c r="Q211" s="204"/>
      <c r="R211" s="200" t="str">
        <f aca="false">IF($A212="","",VLOOKUP($A211,Table,MATCH(R$4,Curves,0)))</f>
        <v/>
      </c>
      <c r="S211" s="201" t="str">
        <f aca="false">IF(A212="","",R211)</f>
        <v/>
      </c>
      <c r="T211" s="200" t="str">
        <f aca="false">IF($A212="","",VLOOKUP($A211,Table,MATCH(T$4,Curves,0)))</f>
        <v/>
      </c>
      <c r="U211" s="201" t="str">
        <f aca="false">IF(A212="","",T211)</f>
        <v/>
      </c>
      <c r="V211" s="183" t="str">
        <f aca="false">IF($A212="","",IF(AND(MONTH(A211)&gt;3,MONTH(A211)&lt;11),(T211+R211+G211)*(((1/(1-Summary!$T$14))/(1-Summary!$W$14))-1),(T211+R211+G211)*((1/(1-Summary!$U$14))/(1-Summary!$X$14)-1)))</f>
        <v/>
      </c>
      <c r="W211" s="202" t="str">
        <f aca="false">IF($A212="","",(T211+R211+G211+V211))</f>
        <v/>
      </c>
      <c r="X211" s="202" t="str">
        <f aca="false">IF($A212="","",(U211+S211+H211+V211))</f>
        <v/>
      </c>
      <c r="Y211" s="202"/>
      <c r="Z211" s="185" t="str">
        <f aca="false">IF($A212="","",VLOOKUP($A211,Table,MATCH(Z$4,Curves,0)))</f>
        <v/>
      </c>
      <c r="AA211" s="185" t="str">
        <f aca="false">IF($A212="","",VLOOKUP($A211,Table,MATCH(AA$4,Curves,0)))</f>
        <v/>
      </c>
      <c r="AB211" s="185" t="e">
        <f aca="false">SQRT((AA211^2*(A211-$D$3)+Z211^2*(DAY(EOMONTH(A211,0))/2))/AK211)</f>
        <v>#VALUE!</v>
      </c>
      <c r="AC211" s="185" t="str">
        <f aca="false">IF($A212="","",VLOOKUP($A211,Table,MATCH(AC$4,Curves,0)))</f>
        <v/>
      </c>
      <c r="AD211" s="185" t="str">
        <f aca="false">IF($A212="","",VLOOKUP($A211,Table,MATCH(AD$4,Curves,0)))</f>
        <v/>
      </c>
      <c r="AE211" s="185" t="e">
        <f aca="false">SQRT((AD211^2*(A211-$D$3)+AC211^2*(DAY(EOMONTH(A211,0))/2))/AK211)</f>
        <v>#VALUE!</v>
      </c>
      <c r="AF211" s="224" t="e">
        <f aca="false">((Summary!$N$14*(AA211*AD211)*(A211-$D$3))+(Summary!$M$14*Z211*AC211*(AJ211-EOMONTH(EDATE(A211,-1),0))))/(AK211*AB211*AE211)</f>
        <v>#VALUE!</v>
      </c>
      <c r="AG211" s="207" t="str">
        <f aca="false">IF($A212="","",Summary!$Q$14)</f>
        <v/>
      </c>
      <c r="AH211" s="207" t="str">
        <f aca="false">IF($A212="","",IF(Summary!$R$12="Y",(VLOOKUP($A211,Summary!$AD$6:$AF$9,3)+'Escalating commodity'!J224),'Escalating commodity'!J224))</f>
        <v/>
      </c>
      <c r="AI211" s="207" t="str">
        <f aca="false">IF($A212="","",AH211)</f>
        <v/>
      </c>
      <c r="AJ211" s="208" t="e">
        <f aca="false">A211+DAY(EOMONTH(A211,0))/2-1</f>
        <v>#VALUE!</v>
      </c>
      <c r="AK211" s="209" t="str">
        <f aca="false">IF($A212="","",$A211-$E$1)</f>
        <v/>
      </c>
      <c r="AL211" s="182" t="str">
        <f aca="false">IF($A212="","",SPRDOPT(P211,X211,AI211,0,AB211,AE211,AF211,AK211,$AJ$2,0))</f>
        <v/>
      </c>
      <c r="AM211" s="211" t="str">
        <f aca="false">IF($A212="","",MAX(0,O211-W211-AI211))</f>
        <v/>
      </c>
      <c r="AN211" s="211" t="str">
        <f aca="false">IF($A212="","",AL211-AM211)</f>
        <v/>
      </c>
      <c r="AO211" s="137" t="str">
        <f aca="false">IF(A212="","",A212-A211)</f>
        <v/>
      </c>
      <c r="AP211" s="212" t="str">
        <f aca="false">IF(A212="","",CHOOSE(F$3,A212+24,A211))</f>
        <v/>
      </c>
      <c r="AQ211" s="209" t="str">
        <f aca="false">IF(A212="","",AP211-$E$1)</f>
        <v/>
      </c>
      <c r="AR211" s="185" t="n">
        <f aca="false">'ANR OK vs ML7'!AR211</f>
        <v>0.1</v>
      </c>
      <c r="AS211" s="213" t="str">
        <f aca="false">IF(A212="","",1/(1+CHOOSE(F$3,(AR212+($I$3/10000))/2,(AR211+($I$3/10000))/2))^(2*AQ211/365.25))</f>
        <v/>
      </c>
      <c r="AT211" s="137" t="str">
        <f aca="false">IF(A212="","",IF(AND(mthbeg&lt;=A211,mthend&gt;=A211),1,0))</f>
        <v/>
      </c>
      <c r="AU211" s="137" t="str">
        <f aca="false">IF(A212="","",AO211*AT211)</f>
        <v/>
      </c>
      <c r="AW211" s="195" t="str">
        <f aca="false">IF($A212="","",AL211*$E211)</f>
        <v/>
      </c>
      <c r="AX211" s="195" t="str">
        <f aca="false">IF($A212="","",AM211*$E211)</f>
        <v/>
      </c>
      <c r="AY211" s="195" t="str">
        <f aca="false">IF($A212="","",AN211*$E211)</f>
        <v/>
      </c>
      <c r="BA211" s="195" t="str">
        <f aca="false">IF($A212="","",F211*Summary!$Q$14)</f>
        <v/>
      </c>
    </row>
    <row r="212" customFormat="false" ht="12" hidden="false" customHeight="true" outlineLevel="0" collapsed="false">
      <c r="A212" s="196" t="str">
        <f aca="false">IF(A211&lt;mthend,EDATE(A211,1),"")</f>
        <v/>
      </c>
      <c r="B212" s="197" t="str">
        <f aca="false">IF(A212&lt;mthend,B211,"")</f>
        <v/>
      </c>
      <c r="C212" s="215"/>
      <c r="D212" s="197" t="str">
        <f aca="false">IF(A213&lt;&gt;"",B212+C212,"")</f>
        <v/>
      </c>
      <c r="E212" s="199" t="str">
        <f aca="false">IF(A213="","",IF(AND(AT212=1,$H$3=1),D212*AO212,IF($H$3=2,D212,"N/A")))</f>
        <v/>
      </c>
      <c r="F212" s="199" t="str">
        <f aca="false">IF(A213="","",E212*AS212)</f>
        <v/>
      </c>
      <c r="G212" s="200" t="str">
        <f aca="false">IF($A213="","",VLOOKUP($A212,Table,MATCH(G$4,Curves,0)))</f>
        <v/>
      </c>
      <c r="H212" s="201" t="str">
        <f aca="false">IF(A213="","",G212)</f>
        <v/>
      </c>
      <c r="I212" s="202"/>
      <c r="J212" s="200" t="str">
        <f aca="false">IF($A213="","",VLOOKUP($A212,Table,MATCH(J$4,Curves,0)))</f>
        <v/>
      </c>
      <c r="K212" s="201" t="str">
        <f aca="false">IF(A213="","",J212)</f>
        <v/>
      </c>
      <c r="L212" s="185" t="n">
        <v>0</v>
      </c>
      <c r="M212" s="201" t="str">
        <f aca="false">IF(A213="","",L212)</f>
        <v/>
      </c>
      <c r="N212" s="203"/>
      <c r="O212" s="200" t="str">
        <f aca="false">IF(A213="","",L212+J212+G212)</f>
        <v/>
      </c>
      <c r="P212" s="200" t="str">
        <f aca="false">IF(A213="","",M212+K212+H212)</f>
        <v/>
      </c>
      <c r="Q212" s="204"/>
      <c r="R212" s="200" t="str">
        <f aca="false">IF($A213="","",VLOOKUP($A212,Table,MATCH(R$4,Curves,0)))</f>
        <v/>
      </c>
      <c r="S212" s="201" t="str">
        <f aca="false">IF(A213="","",R212)</f>
        <v/>
      </c>
      <c r="T212" s="200" t="str">
        <f aca="false">IF($A213="","",VLOOKUP($A212,Table,MATCH(T$4,Curves,0)))</f>
        <v/>
      </c>
      <c r="U212" s="201" t="str">
        <f aca="false">IF(A213="","",T212)</f>
        <v/>
      </c>
      <c r="V212" s="183" t="str">
        <f aca="false">IF($A213="","",IF(AND(MONTH(A212)&gt;3,MONTH(A212)&lt;11),(T212+R212+G212)*(((1/(1-Summary!$T$14))/(1-Summary!$W$14))-1),(T212+R212+G212)*((1/(1-Summary!$U$14))/(1-Summary!$X$14)-1)))</f>
        <v/>
      </c>
      <c r="W212" s="202" t="str">
        <f aca="false">IF($A213="","",(T212+R212+G212+V212))</f>
        <v/>
      </c>
      <c r="X212" s="202" t="str">
        <f aca="false">IF($A213="","",(U212+S212+H212+V212))</f>
        <v/>
      </c>
      <c r="Y212" s="202"/>
      <c r="Z212" s="185" t="str">
        <f aca="false">IF($A213="","",VLOOKUP($A212,Table,MATCH(Z$4,Curves,0)))</f>
        <v/>
      </c>
      <c r="AA212" s="185" t="str">
        <f aca="false">IF($A213="","",VLOOKUP($A212,Table,MATCH(AA$4,Curves,0)))</f>
        <v/>
      </c>
      <c r="AB212" s="185" t="e">
        <f aca="false">SQRT((AA212^2*(A212-$D$3)+Z212^2*(DAY(EOMONTH(A212,0))/2))/AK212)</f>
        <v>#VALUE!</v>
      </c>
      <c r="AC212" s="185" t="str">
        <f aca="false">IF($A213="","",VLOOKUP($A212,Table,MATCH(AC$4,Curves,0)))</f>
        <v/>
      </c>
      <c r="AD212" s="185" t="str">
        <f aca="false">IF($A213="","",VLOOKUP($A212,Table,MATCH(AD$4,Curves,0)))</f>
        <v/>
      </c>
      <c r="AE212" s="185" t="e">
        <f aca="false">SQRT((AD212^2*(A212-$D$3)+AC212^2*(DAY(EOMONTH(A212,0))/2))/AK212)</f>
        <v>#VALUE!</v>
      </c>
      <c r="AF212" s="224" t="e">
        <f aca="false">((Summary!$N$14*(AA212*AD212)*(A212-$D$3))+(Summary!$M$14*Z212*AC212*(AJ212-EOMONTH(EDATE(A212,-1),0))))/(AK212*AB212*AE212)</f>
        <v>#VALUE!</v>
      </c>
      <c r="AG212" s="207" t="str">
        <f aca="false">IF($A213="","",Summary!$Q$14)</f>
        <v/>
      </c>
      <c r="AH212" s="207" t="str">
        <f aca="false">IF($A213="","",IF(Summary!$R$12="Y",(VLOOKUP($A212,Summary!$AD$6:$AF$9,3)+'Escalating commodity'!J225),'Escalating commodity'!J225))</f>
        <v/>
      </c>
      <c r="AI212" s="207" t="str">
        <f aca="false">IF($A213="","",AH212)</f>
        <v/>
      </c>
      <c r="AJ212" s="208" t="e">
        <f aca="false">A212+DAY(EOMONTH(A212,0))/2-1</f>
        <v>#VALUE!</v>
      </c>
      <c r="AK212" s="209" t="str">
        <f aca="false">IF($A213="","",$A212-$E$1)</f>
        <v/>
      </c>
      <c r="AL212" s="182" t="str">
        <f aca="false">IF($A213="","",SPRDOPT(P212,X212,AI212,0,AB212,AE212,AF212,AK212,$AJ$2,0))</f>
        <v/>
      </c>
      <c r="AM212" s="211" t="str">
        <f aca="false">IF($A213="","",MAX(0,O212-W212-AI212))</f>
        <v/>
      </c>
      <c r="AN212" s="211" t="str">
        <f aca="false">IF($A213="","",AL212-AM212)</f>
        <v/>
      </c>
      <c r="AO212" s="137" t="str">
        <f aca="false">IF(A213="","",A213-A212)</f>
        <v/>
      </c>
      <c r="AP212" s="212" t="str">
        <f aca="false">IF(A213="","",CHOOSE(F$3,A213+24,A212))</f>
        <v/>
      </c>
      <c r="AQ212" s="209" t="str">
        <f aca="false">IF(A213="","",AP212-$E$1)</f>
        <v/>
      </c>
      <c r="AR212" s="185" t="n">
        <f aca="false">'ANR OK vs ML7'!AR212</f>
        <v>0.1</v>
      </c>
      <c r="AS212" s="213" t="str">
        <f aca="false">IF(A213="","",1/(1+CHOOSE(F$3,(AR213+($I$3/10000))/2,(AR212+($I$3/10000))/2))^(2*AQ212/365.25))</f>
        <v/>
      </c>
      <c r="AT212" s="137" t="str">
        <f aca="false">IF(A213="","",IF(AND(mthbeg&lt;=A212,mthend&gt;=A212),1,0))</f>
        <v/>
      </c>
      <c r="AU212" s="137" t="str">
        <f aca="false">IF(A213="","",AO212*AT212)</f>
        <v/>
      </c>
      <c r="AW212" s="195" t="str">
        <f aca="false">IF($A213="","",AL212*$E212)</f>
        <v/>
      </c>
      <c r="AX212" s="195" t="str">
        <f aca="false">IF($A213="","",AM212*$E212)</f>
        <v/>
      </c>
      <c r="AY212" s="195" t="str">
        <f aca="false">IF($A213="","",AN212*$E212)</f>
        <v/>
      </c>
      <c r="BA212" s="195" t="str">
        <f aca="false">IF($A213="","",F212*Summary!$Q$14)</f>
        <v/>
      </c>
    </row>
    <row r="213" customFormat="false" ht="12" hidden="false" customHeight="true" outlineLevel="0" collapsed="false">
      <c r="A213" s="196" t="str">
        <f aca="false">IF(A212&lt;mthend,EDATE(A212,1),"")</f>
        <v/>
      </c>
      <c r="B213" s="197" t="str">
        <f aca="false">IF(A213&lt;mthend,B212,"")</f>
        <v/>
      </c>
      <c r="C213" s="215"/>
      <c r="D213" s="197" t="str">
        <f aca="false">IF(A214&lt;&gt;"",B213+C213,"")</f>
        <v/>
      </c>
      <c r="E213" s="199" t="str">
        <f aca="false">IF(A214="","",IF(AND(AT213=1,$H$3=1),D213*AO213,IF($H$3=2,D213,"N/A")))</f>
        <v/>
      </c>
      <c r="F213" s="199" t="str">
        <f aca="false">IF(A214="","",E213*AS213)</f>
        <v/>
      </c>
      <c r="G213" s="200" t="str">
        <f aca="false">IF($A214="","",VLOOKUP($A213,Table,MATCH(G$4,Curves,0)))</f>
        <v/>
      </c>
      <c r="H213" s="201" t="str">
        <f aca="false">IF(A214="","",G213)</f>
        <v/>
      </c>
      <c r="I213" s="202"/>
      <c r="J213" s="200" t="str">
        <f aca="false">IF($A214="","",VLOOKUP($A213,Table,MATCH(J$4,Curves,0)))</f>
        <v/>
      </c>
      <c r="K213" s="201" t="str">
        <f aca="false">IF(A214="","",J213)</f>
        <v/>
      </c>
      <c r="L213" s="185" t="n">
        <v>0</v>
      </c>
      <c r="M213" s="201" t="str">
        <f aca="false">IF(A214="","",L213)</f>
        <v/>
      </c>
      <c r="N213" s="203"/>
      <c r="O213" s="200" t="str">
        <f aca="false">IF(A214="","",L213+J213+G213)</f>
        <v/>
      </c>
      <c r="P213" s="200" t="str">
        <f aca="false">IF(A214="","",M213+K213+H213)</f>
        <v/>
      </c>
      <c r="Q213" s="204"/>
      <c r="R213" s="200" t="str">
        <f aca="false">IF($A214="","",VLOOKUP($A213,Table,MATCH(R$4,Curves,0)))</f>
        <v/>
      </c>
      <c r="S213" s="201" t="str">
        <f aca="false">IF(A214="","",R213)</f>
        <v/>
      </c>
      <c r="T213" s="200" t="str">
        <f aca="false">IF($A214="","",VLOOKUP($A213,Table,MATCH(T$4,Curves,0)))</f>
        <v/>
      </c>
      <c r="U213" s="201" t="str">
        <f aca="false">IF(A214="","",T213)</f>
        <v/>
      </c>
      <c r="V213" s="183" t="str">
        <f aca="false">IF($A214="","",IF(AND(MONTH(A213)&gt;3,MONTH(A213)&lt;11),(T213+R213+G213)*(((1/(1-Summary!$T$14))/(1-Summary!$W$14))-1),(T213+R213+G213)*((1/(1-Summary!$U$14))/(1-Summary!$X$14)-1)))</f>
        <v/>
      </c>
      <c r="W213" s="202" t="str">
        <f aca="false">IF($A214="","",(T213+R213+G213+V213))</f>
        <v/>
      </c>
      <c r="X213" s="202" t="str">
        <f aca="false">IF($A214="","",(U213+S213+H213+V213))</f>
        <v/>
      </c>
      <c r="Y213" s="202"/>
      <c r="Z213" s="185" t="str">
        <f aca="false">IF($A214="","",VLOOKUP($A213,Table,MATCH(Z$4,Curves,0)))</f>
        <v/>
      </c>
      <c r="AA213" s="185" t="str">
        <f aca="false">IF($A214="","",VLOOKUP($A213,Table,MATCH(AA$4,Curves,0)))</f>
        <v/>
      </c>
      <c r="AB213" s="185" t="e">
        <f aca="false">SQRT((AA213^2*(A213-$D$3)+Z213^2*(DAY(EOMONTH(A213,0))/2))/AK213)</f>
        <v>#VALUE!</v>
      </c>
      <c r="AC213" s="185" t="str">
        <f aca="false">IF($A214="","",VLOOKUP($A213,Table,MATCH(AC$4,Curves,0)))</f>
        <v/>
      </c>
      <c r="AD213" s="185" t="str">
        <f aca="false">IF($A214="","",VLOOKUP($A213,Table,MATCH(AD$4,Curves,0)))</f>
        <v/>
      </c>
      <c r="AE213" s="185" t="e">
        <f aca="false">SQRT((AD213^2*(A213-$D$3)+AC213^2*(DAY(EOMONTH(A213,0))/2))/AK213)</f>
        <v>#VALUE!</v>
      </c>
      <c r="AF213" s="224" t="e">
        <f aca="false">((Summary!$N$14*(AA213*AD213)*(A213-$D$3))+(Summary!$M$14*Z213*AC213*(AJ213-EOMONTH(EDATE(A213,-1),0))))/(AK213*AB213*AE213)</f>
        <v>#VALUE!</v>
      </c>
      <c r="AG213" s="207" t="str">
        <f aca="false">IF($A214="","",Summary!$Q$14)</f>
        <v/>
      </c>
      <c r="AH213" s="207" t="str">
        <f aca="false">IF($A214="","",IF(Summary!$R$12="Y",(VLOOKUP($A213,Summary!$AD$6:$AF$9,3)+'Escalating commodity'!J226),'Escalating commodity'!J226))</f>
        <v/>
      </c>
      <c r="AI213" s="207" t="str">
        <f aca="false">IF($A214="","",AH213)</f>
        <v/>
      </c>
      <c r="AJ213" s="208" t="e">
        <f aca="false">A213+DAY(EOMONTH(A213,0))/2-1</f>
        <v>#VALUE!</v>
      </c>
      <c r="AK213" s="209" t="str">
        <f aca="false">IF($A214="","",$A213-$E$1)</f>
        <v/>
      </c>
      <c r="AL213" s="182" t="str">
        <f aca="false">IF($A214="","",SPRDOPT(P213,X213,AI213,0,AB213,AE213,AF213,AK213,$AJ$2,0))</f>
        <v/>
      </c>
      <c r="AM213" s="211" t="str">
        <f aca="false">IF($A214="","",MAX(0,O213-W213-AI213))</f>
        <v/>
      </c>
      <c r="AN213" s="211" t="str">
        <f aca="false">IF($A214="","",AL213-AM213)</f>
        <v/>
      </c>
      <c r="AO213" s="137" t="str">
        <f aca="false">IF(A214="","",A214-A213)</f>
        <v/>
      </c>
      <c r="AP213" s="212" t="str">
        <f aca="false">IF(A214="","",CHOOSE(F$3,A214+24,A213))</f>
        <v/>
      </c>
      <c r="AQ213" s="209" t="str">
        <f aca="false">IF(A214="","",AP213-$E$1)</f>
        <v/>
      </c>
      <c r="AR213" s="185" t="n">
        <f aca="false">'ANR OK vs ML7'!AR213</f>
        <v>0.1</v>
      </c>
      <c r="AS213" s="213" t="str">
        <f aca="false">IF(A214="","",1/(1+CHOOSE(F$3,(AR214+($I$3/10000))/2,(AR213+($I$3/10000))/2))^(2*AQ213/365.25))</f>
        <v/>
      </c>
      <c r="AT213" s="137" t="str">
        <f aca="false">IF(A214="","",IF(AND(mthbeg&lt;=A213,mthend&gt;=A213),1,0))</f>
        <v/>
      </c>
      <c r="AU213" s="137" t="str">
        <f aca="false">IF(A214="","",AO213*AT213)</f>
        <v/>
      </c>
      <c r="AW213" s="195" t="str">
        <f aca="false">IF($A214="","",AL213*$E213)</f>
        <v/>
      </c>
      <c r="AX213" s="195" t="str">
        <f aca="false">IF($A214="","",AM213*$E213)</f>
        <v/>
      </c>
      <c r="AY213" s="195" t="str">
        <f aca="false">IF($A214="","",AN213*$E213)</f>
        <v/>
      </c>
      <c r="BA213" s="195" t="str">
        <f aca="false">IF($A214="","",F213*Summary!$Q$14)</f>
        <v/>
      </c>
    </row>
    <row r="214" customFormat="false" ht="12" hidden="false" customHeight="true" outlineLevel="0" collapsed="false">
      <c r="A214" s="196" t="str">
        <f aca="false">IF(A213&lt;mthend,EDATE(A213,1),"")</f>
        <v/>
      </c>
      <c r="B214" s="197" t="str">
        <f aca="false">IF(A214&lt;mthend,B213,"")</f>
        <v/>
      </c>
      <c r="C214" s="215"/>
      <c r="D214" s="197" t="str">
        <f aca="false">IF(A215&lt;&gt;"",B214+C214,"")</f>
        <v/>
      </c>
      <c r="E214" s="199" t="str">
        <f aca="false">IF(A215="","",IF(AND(AT214=1,$H$3=1),D214*AO214,IF($H$3=2,D214,"N/A")))</f>
        <v/>
      </c>
      <c r="F214" s="199" t="str">
        <f aca="false">IF(A215="","",E214*AS214)</f>
        <v/>
      </c>
      <c r="G214" s="200" t="str">
        <f aca="false">IF($A215="","",VLOOKUP($A214,Table,MATCH(G$4,Curves,0)))</f>
        <v/>
      </c>
      <c r="H214" s="201" t="str">
        <f aca="false">IF(A215="","",G214)</f>
        <v/>
      </c>
      <c r="I214" s="202"/>
      <c r="J214" s="200" t="str">
        <f aca="false">IF($A215="","",VLOOKUP($A214,Table,MATCH(J$4,Curves,0)))</f>
        <v/>
      </c>
      <c r="K214" s="201" t="str">
        <f aca="false">IF(A215="","",J214)</f>
        <v/>
      </c>
      <c r="L214" s="185" t="n">
        <v>0</v>
      </c>
      <c r="M214" s="201" t="str">
        <f aca="false">IF(A215="","",L214)</f>
        <v/>
      </c>
      <c r="N214" s="203"/>
      <c r="O214" s="200" t="str">
        <f aca="false">IF(A215="","",L214+J214+G214)</f>
        <v/>
      </c>
      <c r="P214" s="200" t="str">
        <f aca="false">IF(A215="","",M214+K214+H214)</f>
        <v/>
      </c>
      <c r="Q214" s="204"/>
      <c r="R214" s="200" t="str">
        <f aca="false">IF($A215="","",VLOOKUP($A214,Table,MATCH(R$4,Curves,0)))</f>
        <v/>
      </c>
      <c r="S214" s="201" t="str">
        <f aca="false">IF(A215="","",R214)</f>
        <v/>
      </c>
      <c r="T214" s="200" t="str">
        <f aca="false">IF($A215="","",VLOOKUP($A214,Table,MATCH(T$4,Curves,0)))</f>
        <v/>
      </c>
      <c r="U214" s="201" t="str">
        <f aca="false">IF(A215="","",T214)</f>
        <v/>
      </c>
      <c r="V214" s="183" t="str">
        <f aca="false">IF($A215="","",IF(AND(MONTH(A214)&gt;3,MONTH(A214)&lt;11),(T214+R214+G214)*(((1/(1-Summary!$T$14))/(1-Summary!$W$14))-1),(T214+R214+G214)*((1/(1-Summary!$U$14))/(1-Summary!$X$14)-1)))</f>
        <v/>
      </c>
      <c r="W214" s="202" t="str">
        <f aca="false">IF($A215="","",(T214+R214+G214+V214))</f>
        <v/>
      </c>
      <c r="X214" s="202" t="str">
        <f aca="false">IF($A215="","",(U214+S214+H214+V214))</f>
        <v/>
      </c>
      <c r="Y214" s="202"/>
      <c r="Z214" s="185" t="str">
        <f aca="false">IF($A215="","",VLOOKUP($A214,Table,MATCH(Z$4,Curves,0)))</f>
        <v/>
      </c>
      <c r="AA214" s="185" t="str">
        <f aca="false">IF($A215="","",VLOOKUP($A214,Table,MATCH(AA$4,Curves,0)))</f>
        <v/>
      </c>
      <c r="AB214" s="185" t="e">
        <f aca="false">SQRT((AA214^2*(A214-$D$3)+Z214^2*(DAY(EOMONTH(A214,0))/2))/AK214)</f>
        <v>#VALUE!</v>
      </c>
      <c r="AC214" s="185" t="str">
        <f aca="false">IF($A215="","",VLOOKUP($A214,Table,MATCH(AC$4,Curves,0)))</f>
        <v/>
      </c>
      <c r="AD214" s="185" t="str">
        <f aca="false">IF($A215="","",VLOOKUP($A214,Table,MATCH(AD$4,Curves,0)))</f>
        <v/>
      </c>
      <c r="AE214" s="185" t="e">
        <f aca="false">SQRT((AD214^2*(A214-$D$3)+AC214^2*(DAY(EOMONTH(A214,0))/2))/AK214)</f>
        <v>#VALUE!</v>
      </c>
      <c r="AF214" s="224" t="e">
        <f aca="false">((Summary!$N$14*(AA214*AD214)*(A214-$D$3))+(Summary!$M$14*Z214*AC214*(AJ214-EOMONTH(EDATE(A214,-1),0))))/(AK214*AB214*AE214)</f>
        <v>#VALUE!</v>
      </c>
      <c r="AG214" s="207" t="str">
        <f aca="false">IF($A215="","",Summary!$Q$14)</f>
        <v/>
      </c>
      <c r="AH214" s="207" t="str">
        <f aca="false">IF($A215="","",IF(Summary!$R$12="Y",(VLOOKUP($A214,Summary!$AD$6:$AF$9,3)+'Escalating commodity'!J227),'Escalating commodity'!J227))</f>
        <v/>
      </c>
      <c r="AI214" s="207" t="str">
        <f aca="false">IF($A215="","",AH214)</f>
        <v/>
      </c>
      <c r="AJ214" s="208" t="e">
        <f aca="false">A214+DAY(EOMONTH(A214,0))/2-1</f>
        <v>#VALUE!</v>
      </c>
      <c r="AK214" s="209" t="str">
        <f aca="false">IF($A215="","",$A214-$E$1)</f>
        <v/>
      </c>
      <c r="AL214" s="182" t="str">
        <f aca="false">IF($A215="","",SPRDOPT(P214,X214,AI214,0,AB214,AE214,AF214,AK214,$AJ$2,0))</f>
        <v/>
      </c>
      <c r="AM214" s="211" t="str">
        <f aca="false">IF($A215="","",MAX(0,O214-W214-AI214))</f>
        <v/>
      </c>
      <c r="AN214" s="211" t="str">
        <f aca="false">IF($A215="","",AL214-AM214)</f>
        <v/>
      </c>
      <c r="AO214" s="137" t="str">
        <f aca="false">IF(A215="","",A215-A214)</f>
        <v/>
      </c>
      <c r="AP214" s="212" t="str">
        <f aca="false">IF(A215="","",CHOOSE(F$3,A215+24,A214))</f>
        <v/>
      </c>
      <c r="AQ214" s="209" t="str">
        <f aca="false">IF(A215="","",AP214-$E$1)</f>
        <v/>
      </c>
      <c r="AR214" s="185" t="n">
        <f aca="false">'ANR OK vs ML7'!AR214</f>
        <v>0.1</v>
      </c>
      <c r="AS214" s="213" t="str">
        <f aca="false">IF(A215="","",1/(1+CHOOSE(F$3,(AR215+($I$3/10000))/2,(AR214+($I$3/10000))/2))^(2*AQ214/365.25))</f>
        <v/>
      </c>
      <c r="AT214" s="137" t="str">
        <f aca="false">IF(A215="","",IF(AND(mthbeg&lt;=A214,mthend&gt;=A214),1,0))</f>
        <v/>
      </c>
      <c r="AU214" s="137" t="str">
        <f aca="false">IF(A215="","",AO214*AT214)</f>
        <v/>
      </c>
      <c r="AW214" s="195" t="str">
        <f aca="false">IF($A215="","",AL214*$E214)</f>
        <v/>
      </c>
      <c r="AX214" s="195" t="str">
        <f aca="false">IF($A215="","",AM214*$E214)</f>
        <v/>
      </c>
      <c r="AY214" s="195" t="str">
        <f aca="false">IF($A215="","",AN214*$E214)</f>
        <v/>
      </c>
      <c r="BA214" s="195" t="str">
        <f aca="false">IF($A215="","",F214*Summary!$Q$14)</f>
        <v/>
      </c>
    </row>
    <row r="215" customFormat="false" ht="12" hidden="false" customHeight="true" outlineLevel="0" collapsed="false">
      <c r="A215" s="196" t="str">
        <f aca="false">IF(A214&lt;mthend,EDATE(A214,1),"")</f>
        <v/>
      </c>
      <c r="B215" s="197" t="str">
        <f aca="false">IF(A215&lt;mthend,B214,"")</f>
        <v/>
      </c>
      <c r="C215" s="215"/>
      <c r="D215" s="197" t="str">
        <f aca="false">IF(A216&lt;&gt;"",B215+C215,"")</f>
        <v/>
      </c>
      <c r="E215" s="199" t="str">
        <f aca="false">IF(A216="","",IF(AND(AT215=1,$H$3=1),D215*AO215,IF($H$3=2,D215,"N/A")))</f>
        <v/>
      </c>
      <c r="F215" s="199" t="str">
        <f aca="false">IF(A216="","",E215*AS215)</f>
        <v/>
      </c>
      <c r="G215" s="200" t="str">
        <f aca="false">IF($A216="","",VLOOKUP($A215,Table,MATCH(G$4,Curves,0)))</f>
        <v/>
      </c>
      <c r="H215" s="201" t="str">
        <f aca="false">IF(A216="","",G215)</f>
        <v/>
      </c>
      <c r="I215" s="202"/>
      <c r="J215" s="200" t="str">
        <f aca="false">IF($A216="","",VLOOKUP($A215,Table,MATCH(J$4,Curves,0)))</f>
        <v/>
      </c>
      <c r="K215" s="201" t="str">
        <f aca="false">IF(A216="","",J215)</f>
        <v/>
      </c>
      <c r="L215" s="185" t="n">
        <v>0</v>
      </c>
      <c r="M215" s="201" t="str">
        <f aca="false">IF(A216="","",L215)</f>
        <v/>
      </c>
      <c r="N215" s="203"/>
      <c r="O215" s="200" t="str">
        <f aca="false">IF(A216="","",L215+J215+G215)</f>
        <v/>
      </c>
      <c r="P215" s="200" t="str">
        <f aca="false">IF(A216="","",M215+K215+H215)</f>
        <v/>
      </c>
      <c r="Q215" s="204"/>
      <c r="R215" s="200" t="str">
        <f aca="false">IF($A216="","",VLOOKUP($A215,Table,MATCH(R$4,Curves,0)))</f>
        <v/>
      </c>
      <c r="S215" s="201" t="str">
        <f aca="false">IF(A216="","",R215)</f>
        <v/>
      </c>
      <c r="T215" s="200" t="str">
        <f aca="false">IF($A216="","",VLOOKUP($A215,Table,MATCH(T$4,Curves,0)))</f>
        <v/>
      </c>
      <c r="U215" s="201" t="str">
        <f aca="false">IF(A216="","",T215)</f>
        <v/>
      </c>
      <c r="V215" s="183" t="str">
        <f aca="false">IF($A216="","",IF(AND(MONTH(A215)&gt;3,MONTH(A215)&lt;11),(T215+R215+G215)*(((1/(1-Summary!$T$14))/(1-Summary!$W$14))-1),(T215+R215+G215)*((1/(1-Summary!$U$14))/(1-Summary!$X$14)-1)))</f>
        <v/>
      </c>
      <c r="W215" s="202" t="str">
        <f aca="false">IF($A216="","",(T215+R215+G215+V215))</f>
        <v/>
      </c>
      <c r="X215" s="202" t="str">
        <f aca="false">IF($A216="","",(U215+S215+H215+V215))</f>
        <v/>
      </c>
      <c r="Y215" s="202"/>
      <c r="Z215" s="185" t="str">
        <f aca="false">IF($A216="","",VLOOKUP($A215,Table,MATCH(Z$4,Curves,0)))</f>
        <v/>
      </c>
      <c r="AA215" s="185" t="str">
        <f aca="false">IF($A216="","",VLOOKUP($A215,Table,MATCH(AA$4,Curves,0)))</f>
        <v/>
      </c>
      <c r="AB215" s="185" t="e">
        <f aca="false">SQRT((AA215^2*(A215-$D$3)+Z215^2*(DAY(EOMONTH(A215,0))/2))/AK215)</f>
        <v>#VALUE!</v>
      </c>
      <c r="AC215" s="185" t="str">
        <f aca="false">IF($A216="","",VLOOKUP($A215,Table,MATCH(AC$4,Curves,0)))</f>
        <v/>
      </c>
      <c r="AD215" s="185" t="str">
        <f aca="false">IF($A216="","",VLOOKUP($A215,Table,MATCH(AD$4,Curves,0)))</f>
        <v/>
      </c>
      <c r="AE215" s="185" t="e">
        <f aca="false">SQRT((AD215^2*(A215-$D$3)+AC215^2*(DAY(EOMONTH(A215,0))/2))/AK215)</f>
        <v>#VALUE!</v>
      </c>
      <c r="AF215" s="224" t="e">
        <f aca="false">((Summary!$N$14*(AA215*AD215)*(A215-$D$3))+(Summary!$M$14*Z215*AC215*(AJ215-EOMONTH(EDATE(A215,-1),0))))/(AK215*AB215*AE215)</f>
        <v>#VALUE!</v>
      </c>
      <c r="AG215" s="207" t="str">
        <f aca="false">IF($A216="","",Summary!$Q$14)</f>
        <v/>
      </c>
      <c r="AH215" s="207" t="str">
        <f aca="false">IF($A216="","",IF(Summary!$R$12="Y",(VLOOKUP($A215,Summary!$AD$6:$AF$9,3)+'Escalating commodity'!J228),'Escalating commodity'!J228))</f>
        <v/>
      </c>
      <c r="AI215" s="207" t="str">
        <f aca="false">IF($A216="","",AH215)</f>
        <v/>
      </c>
      <c r="AJ215" s="208" t="e">
        <f aca="false">A215+DAY(EOMONTH(A215,0))/2-1</f>
        <v>#VALUE!</v>
      </c>
      <c r="AK215" s="209" t="str">
        <f aca="false">IF($A216="","",$A215-$E$1)</f>
        <v/>
      </c>
      <c r="AL215" s="182" t="str">
        <f aca="false">IF($A216="","",SPRDOPT(P215,X215,AI215,0,AB215,AE215,AF215,AK215,$AJ$2,0))</f>
        <v/>
      </c>
      <c r="AM215" s="211" t="str">
        <f aca="false">IF($A216="","",MAX(0,O215-W215-AI215))</f>
        <v/>
      </c>
      <c r="AN215" s="211" t="str">
        <f aca="false">IF($A216="","",AL215-AM215)</f>
        <v/>
      </c>
      <c r="AO215" s="137" t="str">
        <f aca="false">IF(A216="","",A216-A215)</f>
        <v/>
      </c>
      <c r="AP215" s="212" t="str">
        <f aca="false">IF(A216="","",CHOOSE(F$3,A216+24,A215))</f>
        <v/>
      </c>
      <c r="AQ215" s="209" t="str">
        <f aca="false">IF(A216="","",AP215-$E$1)</f>
        <v/>
      </c>
      <c r="AR215" s="185" t="n">
        <f aca="false">'ANR OK vs ML7'!AR215</f>
        <v>0.1</v>
      </c>
      <c r="AS215" s="213" t="str">
        <f aca="false">IF(A216="","",1/(1+CHOOSE(F$3,(AR216+($I$3/10000))/2,(AR215+($I$3/10000))/2))^(2*AQ215/365.25))</f>
        <v/>
      </c>
      <c r="AT215" s="137" t="str">
        <f aca="false">IF(A216="","",IF(AND(mthbeg&lt;=A215,mthend&gt;=A215),1,0))</f>
        <v/>
      </c>
      <c r="AU215" s="137" t="str">
        <f aca="false">IF(A216="","",AO215*AT215)</f>
        <v/>
      </c>
      <c r="AW215" s="195" t="str">
        <f aca="false">IF($A216="","",AL215*$E215)</f>
        <v/>
      </c>
      <c r="AX215" s="195" t="str">
        <f aca="false">IF($A216="","",AM215*$E215)</f>
        <v/>
      </c>
      <c r="AY215" s="195" t="str">
        <f aca="false">IF($A216="","",AN215*$E215)</f>
        <v/>
      </c>
      <c r="BA215" s="195" t="str">
        <f aca="false">IF($A216="","",F215*Summary!$Q$14)</f>
        <v/>
      </c>
    </row>
    <row r="216" customFormat="false" ht="12" hidden="false" customHeight="true" outlineLevel="0" collapsed="false">
      <c r="A216" s="196" t="str">
        <f aca="false">IF(A215&lt;mthend,EDATE(A215,1),"")</f>
        <v/>
      </c>
      <c r="B216" s="197" t="str">
        <f aca="false">IF(A216&lt;mthend,B215,"")</f>
        <v/>
      </c>
      <c r="C216" s="215"/>
      <c r="D216" s="197" t="str">
        <f aca="false">IF(A217&lt;&gt;"",B216+C216,"")</f>
        <v/>
      </c>
      <c r="E216" s="199" t="str">
        <f aca="false">IF(A217="","",IF(AND(AT216=1,$H$3=1),D216*AO216,IF($H$3=2,D216,"N/A")))</f>
        <v/>
      </c>
      <c r="F216" s="199" t="str">
        <f aca="false">IF(A217="","",E216*AS216)</f>
        <v/>
      </c>
      <c r="G216" s="200" t="str">
        <f aca="false">IF($A217="","",VLOOKUP($A216,Table,MATCH(G$4,Curves,0)))</f>
        <v/>
      </c>
      <c r="H216" s="201" t="str">
        <f aca="false">IF(A217="","",G216)</f>
        <v/>
      </c>
      <c r="I216" s="202"/>
      <c r="J216" s="200" t="str">
        <f aca="false">IF($A217="","",VLOOKUP($A216,Table,MATCH(J$4,Curves,0)))</f>
        <v/>
      </c>
      <c r="K216" s="201" t="str">
        <f aca="false">IF(A217="","",J216)</f>
        <v/>
      </c>
      <c r="L216" s="185" t="n">
        <v>0</v>
      </c>
      <c r="M216" s="201" t="str">
        <f aca="false">IF(A217="","",L216)</f>
        <v/>
      </c>
      <c r="N216" s="203"/>
      <c r="O216" s="200" t="str">
        <f aca="false">IF(A217="","",L216+J216+G216)</f>
        <v/>
      </c>
      <c r="P216" s="200" t="str">
        <f aca="false">IF(A217="","",M216+K216+H216)</f>
        <v/>
      </c>
      <c r="Q216" s="204"/>
      <c r="R216" s="200" t="str">
        <f aca="false">IF($A217="","",VLOOKUP($A216,Table,MATCH(R$4,Curves,0)))</f>
        <v/>
      </c>
      <c r="S216" s="201" t="str">
        <f aca="false">IF(A217="","",R216)</f>
        <v/>
      </c>
      <c r="T216" s="200" t="str">
        <f aca="false">IF($A217="","",VLOOKUP($A216,Table,MATCH(T$4,Curves,0)))</f>
        <v/>
      </c>
      <c r="U216" s="201" t="str">
        <f aca="false">IF(A217="","",T216)</f>
        <v/>
      </c>
      <c r="V216" s="183" t="str">
        <f aca="false">IF($A217="","",IF(AND(MONTH(A216)&gt;3,MONTH(A216)&lt;11),(T216+R216+G216)*(((1/(1-Summary!$T$14))/(1-Summary!$W$14))-1),(T216+R216+G216)*((1/(1-Summary!$U$14))/(1-Summary!$X$14)-1)))</f>
        <v/>
      </c>
      <c r="W216" s="202" t="str">
        <f aca="false">IF($A217="","",(T216+R216+G216+V216))</f>
        <v/>
      </c>
      <c r="X216" s="202" t="str">
        <f aca="false">IF($A217="","",(U216+S216+H216+V216))</f>
        <v/>
      </c>
      <c r="Y216" s="202"/>
      <c r="Z216" s="185" t="str">
        <f aca="false">IF($A217="","",VLOOKUP($A216,Table,MATCH(Z$4,Curves,0)))</f>
        <v/>
      </c>
      <c r="AA216" s="185" t="str">
        <f aca="false">IF($A217="","",VLOOKUP($A216,Table,MATCH(AA$4,Curves,0)))</f>
        <v/>
      </c>
      <c r="AB216" s="185" t="e">
        <f aca="false">SQRT((AA216^2*(A216-$D$3)+Z216^2*(DAY(EOMONTH(A216,0))/2))/AK216)</f>
        <v>#VALUE!</v>
      </c>
      <c r="AC216" s="185" t="str">
        <f aca="false">IF($A217="","",VLOOKUP($A216,Table,MATCH(AC$4,Curves,0)))</f>
        <v/>
      </c>
      <c r="AD216" s="185" t="str">
        <f aca="false">IF($A217="","",VLOOKUP($A216,Table,MATCH(AD$4,Curves,0)))</f>
        <v/>
      </c>
      <c r="AE216" s="185" t="e">
        <f aca="false">SQRT((AD216^2*(A216-$D$3)+AC216^2*(DAY(EOMONTH(A216,0))/2))/AK216)</f>
        <v>#VALUE!</v>
      </c>
      <c r="AF216" s="224" t="e">
        <f aca="false">((Summary!$N$14*(AA216*AD216)*(A216-$D$3))+(Summary!$M$14*Z216*AC216*(AJ216-EOMONTH(EDATE(A216,-1),0))))/(AK216*AB216*AE216)</f>
        <v>#VALUE!</v>
      </c>
      <c r="AG216" s="207" t="str">
        <f aca="false">IF($A217="","",Summary!$Q$14)</f>
        <v/>
      </c>
      <c r="AH216" s="207" t="str">
        <f aca="false">IF($A217="","",IF(Summary!$R$12="Y",(VLOOKUP($A216,Summary!$AD$6:$AF$9,3)+'Escalating commodity'!J229),'Escalating commodity'!J229))</f>
        <v/>
      </c>
      <c r="AI216" s="207" t="str">
        <f aca="false">IF($A217="","",AH216)</f>
        <v/>
      </c>
      <c r="AJ216" s="208" t="e">
        <f aca="false">A216+DAY(EOMONTH(A216,0))/2-1</f>
        <v>#VALUE!</v>
      </c>
      <c r="AK216" s="209" t="str">
        <f aca="false">IF($A217="","",$A216-$E$1)</f>
        <v/>
      </c>
      <c r="AL216" s="182" t="str">
        <f aca="false">IF($A217="","",SPRDOPT(P216,X216,AI216,0,AB216,AE216,AF216,AK216,$AJ$2,0))</f>
        <v/>
      </c>
      <c r="AM216" s="211" t="str">
        <f aca="false">IF($A217="","",MAX(0,O216-W216-AI216))</f>
        <v/>
      </c>
      <c r="AN216" s="211" t="str">
        <f aca="false">IF($A217="","",AL216-AM216)</f>
        <v/>
      </c>
      <c r="AO216" s="137" t="str">
        <f aca="false">IF(A217="","",A217-A216)</f>
        <v/>
      </c>
      <c r="AP216" s="212" t="str">
        <f aca="false">IF(A217="","",CHOOSE(F$3,A217+24,A216))</f>
        <v/>
      </c>
      <c r="AQ216" s="209" t="str">
        <f aca="false">IF(A217="","",AP216-$E$1)</f>
        <v/>
      </c>
      <c r="AR216" s="185" t="n">
        <f aca="false">'ANR OK vs ML7'!AR216</f>
        <v>0.1</v>
      </c>
      <c r="AS216" s="213" t="str">
        <f aca="false">IF(A217="","",1/(1+CHOOSE(F$3,(AR217+($I$3/10000))/2,(AR216+($I$3/10000))/2))^(2*AQ216/365.25))</f>
        <v/>
      </c>
      <c r="AT216" s="137" t="str">
        <f aca="false">IF(A217="","",IF(AND(mthbeg&lt;=A216,mthend&gt;=A216),1,0))</f>
        <v/>
      </c>
      <c r="AU216" s="137" t="str">
        <f aca="false">IF(A217="","",AO216*AT216)</f>
        <v/>
      </c>
      <c r="AW216" s="195" t="str">
        <f aca="false">IF($A217="","",AL216*$E216)</f>
        <v/>
      </c>
      <c r="AX216" s="195" t="str">
        <f aca="false">IF($A217="","",AM216*$E216)</f>
        <v/>
      </c>
      <c r="AY216" s="195" t="str">
        <f aca="false">IF($A217="","",AN216*$E216)</f>
        <v/>
      </c>
      <c r="BA216" s="195" t="str">
        <f aca="false">IF($A217="","",F216*Summary!$Q$14)</f>
        <v/>
      </c>
    </row>
    <row r="217" customFormat="false" ht="12" hidden="false" customHeight="true" outlineLevel="0" collapsed="false">
      <c r="A217" s="196" t="str">
        <f aca="false">IF(A216&lt;mthend,EDATE(A216,1),"")</f>
        <v/>
      </c>
      <c r="B217" s="197" t="str">
        <f aca="false">IF(A217&lt;mthend,B216,"")</f>
        <v/>
      </c>
      <c r="C217" s="215"/>
      <c r="D217" s="197" t="str">
        <f aca="false">IF(A218&lt;&gt;"",B217+C217,"")</f>
        <v/>
      </c>
      <c r="E217" s="199" t="str">
        <f aca="false">IF(A218="","",IF(AND(AT217=1,$H$3=1),D217*AO217,IF($H$3=2,D217,"N/A")))</f>
        <v/>
      </c>
      <c r="F217" s="199" t="str">
        <f aca="false">IF(A218="","",E217*AS217)</f>
        <v/>
      </c>
      <c r="G217" s="200" t="str">
        <f aca="false">IF($A218="","",VLOOKUP($A217,Table,MATCH(G$4,Curves,0)))</f>
        <v/>
      </c>
      <c r="H217" s="201" t="str">
        <f aca="false">IF(A218="","",G217)</f>
        <v/>
      </c>
      <c r="I217" s="202"/>
      <c r="J217" s="200" t="str">
        <f aca="false">IF($A218="","",VLOOKUP($A217,Table,MATCH(J$4,Curves,0)))</f>
        <v/>
      </c>
      <c r="K217" s="201" t="str">
        <f aca="false">IF(A218="","",J217)</f>
        <v/>
      </c>
      <c r="L217" s="185" t="n">
        <v>0</v>
      </c>
      <c r="M217" s="201" t="str">
        <f aca="false">IF(A218="","",L217)</f>
        <v/>
      </c>
      <c r="N217" s="203"/>
      <c r="O217" s="200" t="str">
        <f aca="false">IF(A218="","",L217+J217+G217)</f>
        <v/>
      </c>
      <c r="P217" s="200" t="str">
        <f aca="false">IF(A218="","",M217+K217+H217)</f>
        <v/>
      </c>
      <c r="Q217" s="204"/>
      <c r="R217" s="200" t="str">
        <f aca="false">IF($A218="","",VLOOKUP($A217,Table,MATCH(R$4,Curves,0)))</f>
        <v/>
      </c>
      <c r="S217" s="201" t="str">
        <f aca="false">IF(A218="","",R217)</f>
        <v/>
      </c>
      <c r="T217" s="200" t="str">
        <f aca="false">IF($A218="","",VLOOKUP($A217,Table,MATCH(T$4,Curves,0)))</f>
        <v/>
      </c>
      <c r="U217" s="201" t="str">
        <f aca="false">IF(A218="","",T217)</f>
        <v/>
      </c>
      <c r="V217" s="183" t="str">
        <f aca="false">IF($A218="","",IF(AND(MONTH(A217)&gt;3,MONTH(A217)&lt;11),(T217+R217+G217)*(((1/(1-Summary!$T$14))/(1-Summary!$W$14))-1),(T217+R217+G217)*((1/(1-Summary!$U$14))/(1-Summary!$X$14)-1)))</f>
        <v/>
      </c>
      <c r="W217" s="202" t="str">
        <f aca="false">IF($A218="","",(T217+R217+G217+V217))</f>
        <v/>
      </c>
      <c r="X217" s="202" t="str">
        <f aca="false">IF($A218="","",(U217+S217+H217+V217))</f>
        <v/>
      </c>
      <c r="Y217" s="202"/>
      <c r="Z217" s="185" t="str">
        <f aca="false">IF($A218="","",VLOOKUP($A217,Table,MATCH(Z$4,Curves,0)))</f>
        <v/>
      </c>
      <c r="AA217" s="185" t="str">
        <f aca="false">IF($A218="","",VLOOKUP($A217,Table,MATCH(AA$4,Curves,0)))</f>
        <v/>
      </c>
      <c r="AB217" s="185" t="e">
        <f aca="false">SQRT((AA217^2*(A217-$D$3)+Z217^2*(DAY(EOMONTH(A217,0))/2))/AK217)</f>
        <v>#VALUE!</v>
      </c>
      <c r="AC217" s="185" t="str">
        <f aca="false">IF($A218="","",VLOOKUP($A217,Table,MATCH(AC$4,Curves,0)))</f>
        <v/>
      </c>
      <c r="AD217" s="185" t="str">
        <f aca="false">IF($A218="","",VLOOKUP($A217,Table,MATCH(AD$4,Curves,0)))</f>
        <v/>
      </c>
      <c r="AE217" s="185" t="e">
        <f aca="false">SQRT((AD217^2*(A217-$D$3)+AC217^2*(DAY(EOMONTH(A217,0))/2))/AK217)</f>
        <v>#VALUE!</v>
      </c>
      <c r="AF217" s="224" t="e">
        <f aca="false">((Summary!$N$14*(AA217*AD217)*(A217-$D$3))+(Summary!$M$14*Z217*AC217*(AJ217-EOMONTH(EDATE(A217,-1),0))))/(AK217*AB217*AE217)</f>
        <v>#VALUE!</v>
      </c>
      <c r="AG217" s="207" t="str">
        <f aca="false">IF($A218="","",Summary!$Q$14)</f>
        <v/>
      </c>
      <c r="AH217" s="207" t="str">
        <f aca="false">IF($A218="","",IF(Summary!$R$12="Y",(VLOOKUP($A217,Summary!$AD$6:$AF$9,3)+'Escalating commodity'!J230),'Escalating commodity'!J230))</f>
        <v/>
      </c>
      <c r="AI217" s="207" t="str">
        <f aca="false">IF($A218="","",AH217)</f>
        <v/>
      </c>
      <c r="AJ217" s="208" t="e">
        <f aca="false">A217+DAY(EOMONTH(A217,0))/2-1</f>
        <v>#VALUE!</v>
      </c>
      <c r="AK217" s="209" t="str">
        <f aca="false">IF($A218="","",$A217-$E$1)</f>
        <v/>
      </c>
      <c r="AL217" s="182" t="str">
        <f aca="false">IF($A218="","",SPRDOPT(P217,X217,AI217,0,AB217,AE217,AF217,AK217,$AJ$2,0))</f>
        <v/>
      </c>
      <c r="AM217" s="211" t="str">
        <f aca="false">IF($A218="","",MAX(0,O217-W217-AI217))</f>
        <v/>
      </c>
      <c r="AN217" s="211" t="str">
        <f aca="false">IF($A218="","",AL217-AM217)</f>
        <v/>
      </c>
      <c r="AO217" s="137" t="str">
        <f aca="false">IF(A218="","",A218-A217)</f>
        <v/>
      </c>
      <c r="AP217" s="212" t="str">
        <f aca="false">IF(A218="","",CHOOSE(F$3,A218+24,A217))</f>
        <v/>
      </c>
      <c r="AQ217" s="209" t="str">
        <f aca="false">IF(A218="","",AP217-$E$1)</f>
        <v/>
      </c>
      <c r="AR217" s="185" t="n">
        <f aca="false">'ANR OK vs ML7'!AR217</f>
        <v>0.1</v>
      </c>
      <c r="AS217" s="213" t="str">
        <f aca="false">IF(A218="","",1/(1+CHOOSE(F$3,(AR218+($I$3/10000))/2,(AR217+($I$3/10000))/2))^(2*AQ217/365.25))</f>
        <v/>
      </c>
      <c r="AT217" s="137" t="str">
        <f aca="false">IF(A218="","",IF(AND(mthbeg&lt;=A217,mthend&gt;=A217),1,0))</f>
        <v/>
      </c>
      <c r="AU217" s="137" t="str">
        <f aca="false">IF(A218="","",AO217*AT217)</f>
        <v/>
      </c>
      <c r="AW217" s="195" t="str">
        <f aca="false">IF($A218="","",AL217*$E217)</f>
        <v/>
      </c>
      <c r="AX217" s="195" t="str">
        <f aca="false">IF($A218="","",AM217*$E217)</f>
        <v/>
      </c>
      <c r="AY217" s="195" t="str">
        <f aca="false">IF($A218="","",AN217*$E217)</f>
        <v/>
      </c>
      <c r="BA217" s="195" t="str">
        <f aca="false">IF($A218="","",F217*Summary!$Q$14)</f>
        <v/>
      </c>
    </row>
    <row r="218" customFormat="false" ht="12" hidden="false" customHeight="true" outlineLevel="0" collapsed="false">
      <c r="A218" s="196" t="str">
        <f aca="false">IF(A217&lt;mthend,EDATE(A217,1),"")</f>
        <v/>
      </c>
      <c r="B218" s="197" t="str">
        <f aca="false">IF(A218&lt;mthend,B217,"")</f>
        <v/>
      </c>
      <c r="C218" s="215"/>
      <c r="D218" s="197" t="str">
        <f aca="false">IF(A219&lt;&gt;"",B218+C218,"")</f>
        <v/>
      </c>
      <c r="E218" s="199" t="str">
        <f aca="false">IF(A219="","",IF(AND(AT218=1,$H$3=1),D218*AO218,IF($H$3=2,D218,"N/A")))</f>
        <v/>
      </c>
      <c r="F218" s="199" t="str">
        <f aca="false">IF(A219="","",E218*AS218)</f>
        <v/>
      </c>
      <c r="G218" s="200" t="str">
        <f aca="false">IF($A219="","",VLOOKUP($A218,Table,MATCH(G$4,Curves,0)))</f>
        <v/>
      </c>
      <c r="H218" s="201" t="str">
        <f aca="false">IF(A219="","",G218)</f>
        <v/>
      </c>
      <c r="I218" s="202"/>
      <c r="J218" s="200" t="str">
        <f aca="false">IF($A219="","",VLOOKUP($A218,Table,MATCH(J$4,Curves,0)))</f>
        <v/>
      </c>
      <c r="K218" s="201" t="str">
        <f aca="false">IF(A219="","",J218)</f>
        <v/>
      </c>
      <c r="L218" s="185" t="n">
        <v>0</v>
      </c>
      <c r="M218" s="201" t="str">
        <f aca="false">IF(A219="","",L218)</f>
        <v/>
      </c>
      <c r="N218" s="203"/>
      <c r="O218" s="200" t="str">
        <f aca="false">IF(A219="","",L218+J218+G218)</f>
        <v/>
      </c>
      <c r="P218" s="200" t="str">
        <f aca="false">IF(A219="","",M218+K218+H218)</f>
        <v/>
      </c>
      <c r="Q218" s="204"/>
      <c r="R218" s="200" t="str">
        <f aca="false">IF($A219="","",VLOOKUP($A218,Table,MATCH(R$4,Curves,0)))</f>
        <v/>
      </c>
      <c r="S218" s="201" t="str">
        <f aca="false">IF(A219="","",R218)</f>
        <v/>
      </c>
      <c r="T218" s="200" t="str">
        <f aca="false">IF($A219="","",VLOOKUP($A218,Table,MATCH(T$4,Curves,0)))</f>
        <v/>
      </c>
      <c r="U218" s="201" t="str">
        <f aca="false">IF(A219="","",T218)</f>
        <v/>
      </c>
      <c r="V218" s="183" t="str">
        <f aca="false">IF($A219="","",IF(AND(MONTH(A218)&gt;3,MONTH(A218)&lt;11),(T218+R218+G218)*(((1/(1-Summary!$T$14))/(1-Summary!$W$14))-1),(T218+R218+G218)*((1/(1-Summary!$U$14))/(1-Summary!$X$14)-1)))</f>
        <v/>
      </c>
      <c r="W218" s="202" t="str">
        <f aca="false">IF($A219="","",(T218+R218+G218+V218))</f>
        <v/>
      </c>
      <c r="X218" s="202" t="str">
        <f aca="false">IF($A219="","",(U218+S218+H218+V218))</f>
        <v/>
      </c>
      <c r="Y218" s="202"/>
      <c r="Z218" s="185" t="str">
        <f aca="false">IF($A219="","",VLOOKUP($A218,Table,MATCH(Z$4,Curves,0)))</f>
        <v/>
      </c>
      <c r="AA218" s="185" t="str">
        <f aca="false">IF($A219="","",VLOOKUP($A218,Table,MATCH(AA$4,Curves,0)))</f>
        <v/>
      </c>
      <c r="AB218" s="185" t="e">
        <f aca="false">SQRT((AA218^2*(A218-$D$3)+Z218^2*(DAY(EOMONTH(A218,0))/2))/AK218)</f>
        <v>#VALUE!</v>
      </c>
      <c r="AC218" s="185" t="str">
        <f aca="false">IF($A219="","",VLOOKUP($A218,Table,MATCH(AC$4,Curves,0)))</f>
        <v/>
      </c>
      <c r="AD218" s="185" t="str">
        <f aca="false">IF($A219="","",VLOOKUP($A218,Table,MATCH(AD$4,Curves,0)))</f>
        <v/>
      </c>
      <c r="AE218" s="185" t="e">
        <f aca="false">SQRT((AD218^2*(A218-$D$3)+AC218^2*(DAY(EOMONTH(A218,0))/2))/AK218)</f>
        <v>#VALUE!</v>
      </c>
      <c r="AF218" s="224" t="e">
        <f aca="false">((Summary!$N$14*(AA218*AD218)*(A218-$D$3))+(Summary!$M$14*Z218*AC218*(AJ218-EOMONTH(EDATE(A218,-1),0))))/(AK218*AB218*AE218)</f>
        <v>#VALUE!</v>
      </c>
      <c r="AG218" s="207" t="str">
        <f aca="false">IF($A219="","",Summary!$Q$14)</f>
        <v/>
      </c>
      <c r="AH218" s="207" t="str">
        <f aca="false">IF($A219="","",IF(Summary!$R$12="Y",(VLOOKUP($A218,Summary!$AD$6:$AF$9,3)+'Escalating commodity'!J231),'Escalating commodity'!J231))</f>
        <v/>
      </c>
      <c r="AI218" s="207" t="str">
        <f aca="false">IF($A219="","",AH218)</f>
        <v/>
      </c>
      <c r="AJ218" s="208" t="e">
        <f aca="false">A218+DAY(EOMONTH(A218,0))/2-1</f>
        <v>#VALUE!</v>
      </c>
      <c r="AK218" s="209" t="str">
        <f aca="false">IF($A219="","",$A218-$E$1)</f>
        <v/>
      </c>
      <c r="AL218" s="182" t="str">
        <f aca="false">IF($A219="","",SPRDOPT(P218,X218,AI218,0,AB218,AE218,AF218,AK218,$AJ$2,0))</f>
        <v/>
      </c>
      <c r="AM218" s="211" t="str">
        <f aca="false">IF($A219="","",MAX(0,O218-W218-AI218))</f>
        <v/>
      </c>
      <c r="AN218" s="211" t="str">
        <f aca="false">IF($A219="","",AL218-AM218)</f>
        <v/>
      </c>
      <c r="AO218" s="137" t="str">
        <f aca="false">IF(A219="","",A219-A218)</f>
        <v/>
      </c>
      <c r="AP218" s="212" t="str">
        <f aca="false">IF(A219="","",CHOOSE(F$3,A219+24,A218))</f>
        <v/>
      </c>
      <c r="AQ218" s="209" t="str">
        <f aca="false">IF(A219="","",AP218-$E$1)</f>
        <v/>
      </c>
      <c r="AR218" s="185" t="n">
        <f aca="false">'ANR OK vs ML7'!AR218</f>
        <v>0.1</v>
      </c>
      <c r="AS218" s="213" t="str">
        <f aca="false">IF(A219="","",1/(1+CHOOSE(F$3,(AR219+($I$3/10000))/2,(AR218+($I$3/10000))/2))^(2*AQ218/365.25))</f>
        <v/>
      </c>
      <c r="AT218" s="137" t="str">
        <f aca="false">IF(A219="","",IF(AND(mthbeg&lt;=A218,mthend&gt;=A218),1,0))</f>
        <v/>
      </c>
      <c r="AU218" s="137" t="str">
        <f aca="false">IF(A219="","",AO218*AT218)</f>
        <v/>
      </c>
      <c r="AW218" s="195" t="str">
        <f aca="false">IF($A219="","",AL218*$E218)</f>
        <v/>
      </c>
      <c r="AX218" s="195" t="str">
        <f aca="false">IF($A219="","",AM218*$E218)</f>
        <v/>
      </c>
      <c r="AY218" s="195" t="str">
        <f aca="false">IF($A219="","",AN218*$E218)</f>
        <v/>
      </c>
      <c r="BA218" s="195" t="str">
        <f aca="false">IF($A219="","",F218*Summary!$Q$14)</f>
        <v/>
      </c>
    </row>
    <row r="219" customFormat="false" ht="12" hidden="false" customHeight="true" outlineLevel="0" collapsed="false">
      <c r="A219" s="196" t="str">
        <f aca="false">IF(A218&lt;mthend,EDATE(A218,1),"")</f>
        <v/>
      </c>
      <c r="B219" s="197" t="str">
        <f aca="false">IF(A219&lt;mthend,B218,"")</f>
        <v/>
      </c>
      <c r="C219" s="215"/>
      <c r="D219" s="197" t="str">
        <f aca="false">IF(A220&lt;&gt;"",B219+C219,"")</f>
        <v/>
      </c>
      <c r="E219" s="199" t="str">
        <f aca="false">IF(A220="","",IF(AND(AT219=1,$H$3=1),D219*AO219,IF($H$3=2,D219,"N/A")))</f>
        <v/>
      </c>
      <c r="F219" s="199" t="str">
        <f aca="false">IF(A220="","",E219*AS219)</f>
        <v/>
      </c>
      <c r="G219" s="200" t="str">
        <f aca="false">IF($A220="","",VLOOKUP($A219,Table,MATCH(G$4,Curves,0)))</f>
        <v/>
      </c>
      <c r="H219" s="201" t="str">
        <f aca="false">IF(A220="","",G219)</f>
        <v/>
      </c>
      <c r="I219" s="202"/>
      <c r="J219" s="200" t="str">
        <f aca="false">IF($A220="","",VLOOKUP($A219,Table,MATCH(J$4,Curves,0)))</f>
        <v/>
      </c>
      <c r="K219" s="201" t="str">
        <f aca="false">IF(A220="","",J219)</f>
        <v/>
      </c>
      <c r="L219" s="185" t="n">
        <v>0</v>
      </c>
      <c r="M219" s="201" t="str">
        <f aca="false">IF(A220="","",L219)</f>
        <v/>
      </c>
      <c r="N219" s="203"/>
      <c r="O219" s="200" t="str">
        <f aca="false">IF(A220="","",L219+J219+G219)</f>
        <v/>
      </c>
      <c r="P219" s="200" t="str">
        <f aca="false">IF(A220="","",M219+K219+H219)</f>
        <v/>
      </c>
      <c r="Q219" s="204"/>
      <c r="R219" s="200" t="str">
        <f aca="false">IF($A220="","",VLOOKUP($A219,Table,MATCH(R$4,Curves,0)))</f>
        <v/>
      </c>
      <c r="S219" s="201" t="str">
        <f aca="false">IF(A220="","",R219)</f>
        <v/>
      </c>
      <c r="T219" s="200" t="str">
        <f aca="false">IF($A220="","",VLOOKUP($A219,Table,MATCH(T$4,Curves,0)))</f>
        <v/>
      </c>
      <c r="U219" s="201" t="str">
        <f aca="false">IF(A220="","",T219)</f>
        <v/>
      </c>
      <c r="V219" s="183" t="str">
        <f aca="false">IF($A220="","",IF(AND(MONTH(A219)&gt;3,MONTH(A219)&lt;11),(T219+R219+G219)*(((1/(1-Summary!$T$14))/(1-Summary!$W$14))-1),(T219+R219+G219)*((1/(1-Summary!$U$14))/(1-Summary!$X$14)-1)))</f>
        <v/>
      </c>
      <c r="W219" s="202" t="str">
        <f aca="false">IF($A220="","",(T219+R219+G219+V219))</f>
        <v/>
      </c>
      <c r="X219" s="202" t="str">
        <f aca="false">IF($A220="","",(U219+S219+H219+V219))</f>
        <v/>
      </c>
      <c r="Y219" s="202"/>
      <c r="Z219" s="185" t="str">
        <f aca="false">IF($A220="","",VLOOKUP($A219,Table,MATCH(Z$4,Curves,0)))</f>
        <v/>
      </c>
      <c r="AA219" s="185" t="str">
        <f aca="false">IF($A220="","",VLOOKUP($A219,Table,MATCH(AA$4,Curves,0)))</f>
        <v/>
      </c>
      <c r="AB219" s="185" t="e">
        <f aca="false">SQRT((AA219^2*(A219-$D$3)+Z219^2*(DAY(EOMONTH(A219,0))/2))/AK219)</f>
        <v>#VALUE!</v>
      </c>
      <c r="AC219" s="185" t="str">
        <f aca="false">IF($A220="","",VLOOKUP($A219,Table,MATCH(AC$4,Curves,0)))</f>
        <v/>
      </c>
      <c r="AD219" s="185" t="str">
        <f aca="false">IF($A220="","",VLOOKUP($A219,Table,MATCH(AD$4,Curves,0)))</f>
        <v/>
      </c>
      <c r="AE219" s="185" t="e">
        <f aca="false">SQRT((AD219^2*(A219-$D$3)+AC219^2*(DAY(EOMONTH(A219,0))/2))/AK219)</f>
        <v>#VALUE!</v>
      </c>
      <c r="AF219" s="224" t="e">
        <f aca="false">((Summary!$N$14*(AA219*AD219)*(A219-$D$3))+(Summary!$M$14*Z219*AC219*(AJ219-EOMONTH(EDATE(A219,-1),0))))/(AK219*AB219*AE219)</f>
        <v>#VALUE!</v>
      </c>
      <c r="AG219" s="207" t="str">
        <f aca="false">IF($A220="","",Summary!$Q$14)</f>
        <v/>
      </c>
      <c r="AH219" s="207" t="str">
        <f aca="false">IF($A220="","",IF(Summary!$R$12="Y",(VLOOKUP($A219,Summary!$AD$6:$AF$9,3)+'Escalating commodity'!J232),'Escalating commodity'!J232))</f>
        <v/>
      </c>
      <c r="AI219" s="207" t="str">
        <f aca="false">IF($A220="","",AH219)</f>
        <v/>
      </c>
      <c r="AJ219" s="208" t="e">
        <f aca="false">A219+DAY(EOMONTH(A219,0))/2-1</f>
        <v>#VALUE!</v>
      </c>
      <c r="AK219" s="209" t="str">
        <f aca="false">IF($A220="","",$A219-$E$1)</f>
        <v/>
      </c>
      <c r="AL219" s="182" t="str">
        <f aca="false">IF($A220="","",SPRDOPT(P219,X219,AI219,0,AB219,AE219,AF219,AK219,$AJ$2,0))</f>
        <v/>
      </c>
      <c r="AM219" s="211" t="str">
        <f aca="false">IF($A220="","",MAX(0,O219-W219-AI219))</f>
        <v/>
      </c>
      <c r="AN219" s="211" t="str">
        <f aca="false">IF($A220="","",AL219-AM219)</f>
        <v/>
      </c>
      <c r="AO219" s="137" t="str">
        <f aca="false">IF(A220="","",A220-A219)</f>
        <v/>
      </c>
      <c r="AP219" s="212" t="str">
        <f aca="false">IF(A220="","",CHOOSE(F$3,A220+24,A219))</f>
        <v/>
      </c>
      <c r="AQ219" s="209" t="str">
        <f aca="false">IF(A220="","",AP219-$E$1)</f>
        <v/>
      </c>
      <c r="AR219" s="185" t="n">
        <f aca="false">'ANR OK vs ML7'!AR219</f>
        <v>0.1</v>
      </c>
      <c r="AS219" s="213" t="str">
        <f aca="false">IF(A220="","",1/(1+CHOOSE(F$3,(AR220+($I$3/10000))/2,(AR219+($I$3/10000))/2))^(2*AQ219/365.25))</f>
        <v/>
      </c>
      <c r="AT219" s="137" t="str">
        <f aca="false">IF(A220="","",IF(AND(mthbeg&lt;=A219,mthend&gt;=A219),1,0))</f>
        <v/>
      </c>
      <c r="AU219" s="137" t="str">
        <f aca="false">IF(A220="","",AO219*AT219)</f>
        <v/>
      </c>
      <c r="AW219" s="195" t="str">
        <f aca="false">IF($A220="","",AL219*$E219)</f>
        <v/>
      </c>
      <c r="AX219" s="195" t="str">
        <f aca="false">IF($A220="","",AM219*$E219)</f>
        <v/>
      </c>
      <c r="AY219" s="195" t="str">
        <f aca="false">IF($A220="","",AN219*$E219)</f>
        <v/>
      </c>
      <c r="BA219" s="195" t="str">
        <f aca="false">IF($A220="","",F219*Summary!$Q$14)</f>
        <v/>
      </c>
    </row>
    <row r="220" customFormat="false" ht="12" hidden="false" customHeight="true" outlineLevel="0" collapsed="false">
      <c r="A220" s="196" t="str">
        <f aca="false">IF(A219&lt;mthend,EDATE(A219,1),"")</f>
        <v/>
      </c>
      <c r="B220" s="197" t="str">
        <f aca="false">IF(A220&lt;mthend,B219,"")</f>
        <v/>
      </c>
      <c r="C220" s="215"/>
      <c r="D220" s="197" t="str">
        <f aca="false">IF(A221&lt;&gt;"",B220+C220,"")</f>
        <v/>
      </c>
      <c r="E220" s="199" t="str">
        <f aca="false">IF(A221="","",IF(AND(AT220=1,$H$3=1),D220*AO220,IF($H$3=2,D220,"N/A")))</f>
        <v/>
      </c>
      <c r="F220" s="199" t="str">
        <f aca="false">IF(A221="","",E220*AS220)</f>
        <v/>
      </c>
      <c r="G220" s="200" t="str">
        <f aca="false">IF($A221="","",VLOOKUP($A220,Table,MATCH(G$4,Curves,0)))</f>
        <v/>
      </c>
      <c r="H220" s="201" t="str">
        <f aca="false">IF(A221="","",G220)</f>
        <v/>
      </c>
      <c r="I220" s="202"/>
      <c r="J220" s="200" t="str">
        <f aca="false">IF($A221="","",VLOOKUP($A220,Table,MATCH(J$4,Curves,0)))</f>
        <v/>
      </c>
      <c r="K220" s="201" t="str">
        <f aca="false">IF(A221="","",J220)</f>
        <v/>
      </c>
      <c r="L220" s="185" t="n">
        <v>0</v>
      </c>
      <c r="M220" s="201" t="str">
        <f aca="false">IF(A221="","",L220)</f>
        <v/>
      </c>
      <c r="N220" s="203"/>
      <c r="O220" s="200" t="str">
        <f aca="false">IF(A221="","",L220+J220+G220)</f>
        <v/>
      </c>
      <c r="P220" s="200" t="str">
        <f aca="false">IF(A221="","",M220+K220+H220)</f>
        <v/>
      </c>
      <c r="Q220" s="204"/>
      <c r="R220" s="200" t="str">
        <f aca="false">IF($A221="","",VLOOKUP($A220,Table,MATCH(R$4,Curves,0)))</f>
        <v/>
      </c>
      <c r="S220" s="201" t="str">
        <f aca="false">IF(A221="","",R220)</f>
        <v/>
      </c>
      <c r="T220" s="200" t="str">
        <f aca="false">IF($A221="","",VLOOKUP($A220,Table,MATCH(T$4,Curves,0)))</f>
        <v/>
      </c>
      <c r="U220" s="201" t="str">
        <f aca="false">IF(A221="","",T220)</f>
        <v/>
      </c>
      <c r="V220" s="183" t="str">
        <f aca="false">IF($A221="","",IF(AND(MONTH(A220)&gt;3,MONTH(A220)&lt;11),(T220+R220+G220)*(((1/(1-Summary!$T$14))/(1-Summary!$W$14))-1),(T220+R220+G220)*((1/(1-Summary!$U$14))/(1-Summary!$X$14)-1)))</f>
        <v/>
      </c>
      <c r="W220" s="202" t="str">
        <f aca="false">IF($A221="","",(T220+R220+G220+V220))</f>
        <v/>
      </c>
      <c r="X220" s="202" t="str">
        <f aca="false">IF($A221="","",(U220+S220+H220+V220))</f>
        <v/>
      </c>
      <c r="Y220" s="202"/>
      <c r="Z220" s="185" t="str">
        <f aca="false">IF($A221="","",VLOOKUP($A220,Table,MATCH(Z$4,Curves,0)))</f>
        <v/>
      </c>
      <c r="AA220" s="185" t="str">
        <f aca="false">IF($A221="","",VLOOKUP($A220,Table,MATCH(AA$4,Curves,0)))</f>
        <v/>
      </c>
      <c r="AB220" s="185" t="e">
        <f aca="false">SQRT((AA220^2*(A220-$D$3)+Z220^2*(DAY(EOMONTH(A220,0))/2))/AK220)</f>
        <v>#VALUE!</v>
      </c>
      <c r="AC220" s="185" t="str">
        <f aca="false">IF($A221="","",VLOOKUP($A220,Table,MATCH(AC$4,Curves,0)))</f>
        <v/>
      </c>
      <c r="AD220" s="185" t="str">
        <f aca="false">IF($A221="","",VLOOKUP($A220,Table,MATCH(AD$4,Curves,0)))</f>
        <v/>
      </c>
      <c r="AE220" s="185" t="e">
        <f aca="false">SQRT((AD220^2*(A220-$D$3)+AC220^2*(DAY(EOMONTH(A220,0))/2))/AK220)</f>
        <v>#VALUE!</v>
      </c>
      <c r="AF220" s="224" t="e">
        <f aca="false">((Summary!$N$14*(AA220*AD220)*(A220-$D$3))+(Summary!$M$14*Z220*AC220*(AJ220-EOMONTH(EDATE(A220,-1),0))))/(AK220*AB220*AE220)</f>
        <v>#VALUE!</v>
      </c>
      <c r="AG220" s="207" t="str">
        <f aca="false">IF($A221="","",Summary!$Q$14)</f>
        <v/>
      </c>
      <c r="AH220" s="207" t="str">
        <f aca="false">IF($A221="","",IF(Summary!$R$12="Y",(VLOOKUP($A220,Summary!$AD$6:$AF$9,3)+'Escalating commodity'!J233),'Escalating commodity'!J233))</f>
        <v/>
      </c>
      <c r="AI220" s="207" t="str">
        <f aca="false">IF($A221="","",AH220)</f>
        <v/>
      </c>
      <c r="AJ220" s="208" t="e">
        <f aca="false">A220+DAY(EOMONTH(A220,0))/2-1</f>
        <v>#VALUE!</v>
      </c>
      <c r="AK220" s="209" t="str">
        <f aca="false">IF($A221="","",$A220-$E$1)</f>
        <v/>
      </c>
      <c r="AL220" s="182" t="str">
        <f aca="false">IF($A221="","",SPRDOPT(P220,X220,AI220,0,AB220,AE220,AF220,AK220,$AJ$2,0))</f>
        <v/>
      </c>
      <c r="AM220" s="211" t="str">
        <f aca="false">IF($A221="","",MAX(0,O220-W220-AI220))</f>
        <v/>
      </c>
      <c r="AN220" s="211" t="str">
        <f aca="false">IF($A221="","",AL220-AM220)</f>
        <v/>
      </c>
      <c r="AO220" s="137" t="str">
        <f aca="false">IF(A221="","",A221-A220)</f>
        <v/>
      </c>
      <c r="AP220" s="212" t="str">
        <f aca="false">IF(A221="","",CHOOSE(F$3,A221+24,A220))</f>
        <v/>
      </c>
      <c r="AQ220" s="209" t="str">
        <f aca="false">IF(A221="","",AP220-$E$1)</f>
        <v/>
      </c>
      <c r="AR220" s="185" t="n">
        <f aca="false">'ANR OK vs ML7'!AR220</f>
        <v>0.1</v>
      </c>
      <c r="AS220" s="213" t="str">
        <f aca="false">IF(A221="","",1/(1+CHOOSE(F$3,(AR221+($I$3/10000))/2,(AR220+($I$3/10000))/2))^(2*AQ220/365.25))</f>
        <v/>
      </c>
      <c r="AT220" s="137" t="str">
        <f aca="false">IF(A221="","",IF(AND(mthbeg&lt;=A220,mthend&gt;=A220),1,0))</f>
        <v/>
      </c>
      <c r="AU220" s="137" t="str">
        <f aca="false">IF(A221="","",AO220*AT220)</f>
        <v/>
      </c>
      <c r="AW220" s="195" t="str">
        <f aca="false">IF($A221="","",AL220*$E220)</f>
        <v/>
      </c>
      <c r="AX220" s="195" t="str">
        <f aca="false">IF($A221="","",AM220*$E220)</f>
        <v/>
      </c>
      <c r="AY220" s="195" t="str">
        <f aca="false">IF($A221="","",AN220*$E220)</f>
        <v/>
      </c>
      <c r="BA220" s="195" t="str">
        <f aca="false">IF($A221="","",F220*Summary!$Q$14)</f>
        <v/>
      </c>
    </row>
    <row r="221" customFormat="false" ht="12" hidden="false" customHeight="true" outlineLevel="0" collapsed="false">
      <c r="A221" s="196" t="str">
        <f aca="false">IF(A220&lt;mthend,EDATE(A220,1),"")</f>
        <v/>
      </c>
      <c r="B221" s="197" t="str">
        <f aca="false">IF(A221&lt;mthend,B220,"")</f>
        <v/>
      </c>
      <c r="C221" s="215"/>
      <c r="D221" s="197" t="str">
        <f aca="false">IF(A222&lt;&gt;"",B221+C221,"")</f>
        <v/>
      </c>
      <c r="E221" s="199" t="str">
        <f aca="false">IF(A222="","",IF(AND(AT221=1,$H$3=1),D221*AO221,IF($H$3=2,D221,"N/A")))</f>
        <v/>
      </c>
      <c r="F221" s="199" t="str">
        <f aca="false">IF(A222="","",E221*AS221)</f>
        <v/>
      </c>
      <c r="G221" s="200" t="str">
        <f aca="false">IF($A222="","",VLOOKUP($A221,Table,MATCH(G$4,Curves,0)))</f>
        <v/>
      </c>
      <c r="H221" s="201" t="str">
        <f aca="false">IF(A222="","",G221)</f>
        <v/>
      </c>
      <c r="I221" s="202"/>
      <c r="J221" s="200" t="str">
        <f aca="false">IF($A222="","",VLOOKUP($A221,Table,MATCH(J$4,Curves,0)))</f>
        <v/>
      </c>
      <c r="K221" s="201" t="str">
        <f aca="false">IF(A222="","",J221)</f>
        <v/>
      </c>
      <c r="L221" s="185" t="n">
        <v>0</v>
      </c>
      <c r="M221" s="201" t="str">
        <f aca="false">IF(A222="","",L221)</f>
        <v/>
      </c>
      <c r="N221" s="203"/>
      <c r="O221" s="200" t="str">
        <f aca="false">IF(A222="","",L221+J221+G221)</f>
        <v/>
      </c>
      <c r="P221" s="200" t="str">
        <f aca="false">IF(A222="","",M221+K221+H221)</f>
        <v/>
      </c>
      <c r="Q221" s="204"/>
      <c r="R221" s="200" t="str">
        <f aca="false">IF($A222="","",VLOOKUP($A221,Table,MATCH(R$4,Curves,0)))</f>
        <v/>
      </c>
      <c r="S221" s="201" t="str">
        <f aca="false">IF(A222="","",R221)</f>
        <v/>
      </c>
      <c r="T221" s="200" t="str">
        <f aca="false">IF($A222="","",VLOOKUP($A221,Table,MATCH(T$4,Curves,0)))</f>
        <v/>
      </c>
      <c r="U221" s="201" t="str">
        <f aca="false">IF(A222="","",T221)</f>
        <v/>
      </c>
      <c r="V221" s="183" t="str">
        <f aca="false">IF($A222="","",IF(AND(MONTH(A221)&gt;3,MONTH(A221)&lt;11),(T221+R221+G221)*(((1/(1-Summary!$T$14))/(1-Summary!$W$14))-1),(T221+R221+G221)*((1/(1-Summary!$U$14))/(1-Summary!$X$14)-1)))</f>
        <v/>
      </c>
      <c r="W221" s="202" t="str">
        <f aca="false">IF($A222="","",(T221+R221+G221+V221))</f>
        <v/>
      </c>
      <c r="X221" s="202" t="str">
        <f aca="false">IF($A222="","",(U221+S221+H221+V221))</f>
        <v/>
      </c>
      <c r="Y221" s="202"/>
      <c r="Z221" s="185" t="str">
        <f aca="false">IF($A222="","",VLOOKUP($A221,Table,MATCH(Z$4,Curves,0)))</f>
        <v/>
      </c>
      <c r="AA221" s="185" t="str">
        <f aca="false">IF($A222="","",VLOOKUP($A221,Table,MATCH(AA$4,Curves,0)))</f>
        <v/>
      </c>
      <c r="AB221" s="185" t="e">
        <f aca="false">SQRT((AA221^2*(A221-$D$3)+Z221^2*(DAY(EOMONTH(A221,0))/2))/AK221)</f>
        <v>#VALUE!</v>
      </c>
      <c r="AC221" s="185" t="str">
        <f aca="false">IF($A222="","",VLOOKUP($A221,Table,MATCH(AC$4,Curves,0)))</f>
        <v/>
      </c>
      <c r="AD221" s="185" t="str">
        <f aca="false">IF($A222="","",VLOOKUP($A221,Table,MATCH(AD$4,Curves,0)))</f>
        <v/>
      </c>
      <c r="AE221" s="185" t="e">
        <f aca="false">SQRT((AD221^2*(A221-$D$3)+AC221^2*(DAY(EOMONTH(A221,0))/2))/AK221)</f>
        <v>#VALUE!</v>
      </c>
      <c r="AF221" s="224" t="e">
        <f aca="false">((Summary!$N$14*(AA221*AD221)*(A221-$D$3))+(Summary!$M$14*Z221*AC221*(AJ221-EOMONTH(EDATE(A221,-1),0))))/(AK221*AB221*AE221)</f>
        <v>#VALUE!</v>
      </c>
      <c r="AG221" s="207" t="str">
        <f aca="false">IF($A222="","",Summary!$Q$14)</f>
        <v/>
      </c>
      <c r="AH221" s="207" t="str">
        <f aca="false">IF($A222="","",IF(Summary!$R$12="Y",(VLOOKUP($A221,Summary!$AD$6:$AF$9,3)+'Escalating commodity'!J234),'Escalating commodity'!J234))</f>
        <v/>
      </c>
      <c r="AI221" s="207" t="str">
        <f aca="false">IF($A222="","",AH221)</f>
        <v/>
      </c>
      <c r="AJ221" s="208" t="e">
        <f aca="false">A221+DAY(EOMONTH(A221,0))/2-1</f>
        <v>#VALUE!</v>
      </c>
      <c r="AK221" s="209" t="str">
        <f aca="false">IF($A222="","",$A221-$E$1)</f>
        <v/>
      </c>
      <c r="AL221" s="182" t="str">
        <f aca="false">IF($A222="","",SPRDOPT(P221,X221,AI221,0,AB221,AE221,AF221,AK221,$AJ$2,0))</f>
        <v/>
      </c>
      <c r="AM221" s="211" t="str">
        <f aca="false">IF($A222="","",MAX(0,O221-W221-AI221))</f>
        <v/>
      </c>
      <c r="AN221" s="211" t="str">
        <f aca="false">IF($A222="","",AL221-AM221)</f>
        <v/>
      </c>
      <c r="AO221" s="137" t="str">
        <f aca="false">IF(A222="","",A222-A221)</f>
        <v/>
      </c>
      <c r="AP221" s="212" t="str">
        <f aca="false">IF(A222="","",CHOOSE(F$3,A222+24,A221))</f>
        <v/>
      </c>
      <c r="AQ221" s="209" t="str">
        <f aca="false">IF(A222="","",AP221-$E$1)</f>
        <v/>
      </c>
      <c r="AR221" s="185" t="n">
        <f aca="false">'ANR OK vs ML7'!AR221</f>
        <v>0.1</v>
      </c>
      <c r="AS221" s="213" t="str">
        <f aca="false">IF(A222="","",1/(1+CHOOSE(F$3,(AR222+($I$3/10000))/2,(AR221+($I$3/10000))/2))^(2*AQ221/365.25))</f>
        <v/>
      </c>
      <c r="AT221" s="137" t="str">
        <f aca="false">IF(A222="","",IF(AND(mthbeg&lt;=A221,mthend&gt;=A221),1,0))</f>
        <v/>
      </c>
      <c r="AU221" s="137" t="str">
        <f aca="false">IF(A222="","",AO221*AT221)</f>
        <v/>
      </c>
      <c r="AW221" s="195" t="str">
        <f aca="false">IF($A222="","",AL221*$E221)</f>
        <v/>
      </c>
      <c r="AX221" s="195" t="str">
        <f aca="false">IF($A222="","",AM221*$E221)</f>
        <v/>
      </c>
      <c r="AY221" s="195" t="str">
        <f aca="false">IF($A222="","",AN221*$E221)</f>
        <v/>
      </c>
      <c r="BA221" s="195" t="str">
        <f aca="false">IF($A222="","",F221*Summary!$Q$14)</f>
        <v/>
      </c>
    </row>
    <row r="222" customFormat="false" ht="12" hidden="false" customHeight="true" outlineLevel="0" collapsed="false">
      <c r="A222" s="196" t="str">
        <f aca="false">IF(A221&lt;mthend,EDATE(A221,1),"")</f>
        <v/>
      </c>
      <c r="B222" s="197" t="str">
        <f aca="false">IF(A222&lt;mthend,B221,"")</f>
        <v/>
      </c>
      <c r="C222" s="215"/>
      <c r="D222" s="197" t="str">
        <f aca="false">IF(A223&lt;&gt;"",B222+C222,"")</f>
        <v/>
      </c>
      <c r="E222" s="199" t="str">
        <f aca="false">IF(A223="","",IF(AND(AT222=1,$H$3=1),D222*AO222,IF($H$3=2,D222,"N/A")))</f>
        <v/>
      </c>
      <c r="F222" s="199" t="str">
        <f aca="false">IF(A223="","",E222*AS222)</f>
        <v/>
      </c>
      <c r="G222" s="200" t="str">
        <f aca="false">IF($A223="","",VLOOKUP($A222,Table,MATCH(G$4,Curves,0)))</f>
        <v/>
      </c>
      <c r="H222" s="201" t="str">
        <f aca="false">IF(A223="","",G222)</f>
        <v/>
      </c>
      <c r="I222" s="202"/>
      <c r="J222" s="200" t="str">
        <f aca="false">IF($A223="","",VLOOKUP($A222,Table,MATCH(J$4,Curves,0)))</f>
        <v/>
      </c>
      <c r="K222" s="201" t="str">
        <f aca="false">IF(A223="","",J222)</f>
        <v/>
      </c>
      <c r="L222" s="185" t="n">
        <v>0</v>
      </c>
      <c r="M222" s="201" t="str">
        <f aca="false">IF(A223="","",L222)</f>
        <v/>
      </c>
      <c r="N222" s="203"/>
      <c r="O222" s="200" t="str">
        <f aca="false">IF(A223="","",L222+J222+G222)</f>
        <v/>
      </c>
      <c r="P222" s="200" t="str">
        <f aca="false">IF(A223="","",M222+K222+H222)</f>
        <v/>
      </c>
      <c r="Q222" s="204"/>
      <c r="R222" s="200" t="str">
        <f aca="false">IF($A223="","",VLOOKUP($A222,Table,MATCH(R$4,Curves,0)))</f>
        <v/>
      </c>
      <c r="S222" s="201" t="str">
        <f aca="false">IF(A223="","",R222)</f>
        <v/>
      </c>
      <c r="T222" s="200" t="str">
        <f aca="false">IF($A223="","",VLOOKUP($A222,Table,MATCH(T$4,Curves,0)))</f>
        <v/>
      </c>
      <c r="U222" s="201" t="str">
        <f aca="false">IF(A223="","",T222)</f>
        <v/>
      </c>
      <c r="V222" s="183" t="str">
        <f aca="false">IF($A223="","",IF(AND(MONTH(A222)&gt;3,MONTH(A222)&lt;11),(T222+R222+G222)*(((1/(1-Summary!$T$14))/(1-Summary!$W$14))-1),(T222+R222+G222)*((1/(1-Summary!$U$14))/(1-Summary!$X$14)-1)))</f>
        <v/>
      </c>
      <c r="W222" s="202" t="str">
        <f aca="false">IF($A223="","",(T222+R222+G222+V222))</f>
        <v/>
      </c>
      <c r="X222" s="202" t="str">
        <f aca="false">IF($A223="","",(U222+S222+H222+V222))</f>
        <v/>
      </c>
      <c r="Y222" s="202"/>
      <c r="Z222" s="185" t="str">
        <f aca="false">IF($A223="","",VLOOKUP($A222,Table,MATCH(Z$4,Curves,0)))</f>
        <v/>
      </c>
      <c r="AA222" s="185" t="str">
        <f aca="false">IF($A223="","",VLOOKUP($A222,Table,MATCH(AA$4,Curves,0)))</f>
        <v/>
      </c>
      <c r="AB222" s="185" t="e">
        <f aca="false">SQRT((AA222^2*(A222-$D$3)+Z222^2*(DAY(EOMONTH(A222,0))/2))/AK222)</f>
        <v>#VALUE!</v>
      </c>
      <c r="AC222" s="185" t="str">
        <f aca="false">IF($A223="","",VLOOKUP($A222,Table,MATCH(AC$4,Curves,0)))</f>
        <v/>
      </c>
      <c r="AD222" s="185" t="str">
        <f aca="false">IF($A223="","",VLOOKUP($A222,Table,MATCH(AD$4,Curves,0)))</f>
        <v/>
      </c>
      <c r="AE222" s="185" t="e">
        <f aca="false">SQRT((AD222^2*(A222-$D$3)+AC222^2*(DAY(EOMONTH(A222,0))/2))/AK222)</f>
        <v>#VALUE!</v>
      </c>
      <c r="AF222" s="224" t="e">
        <f aca="false">((Summary!$N$14*(AA222*AD222)*(A222-$D$3))+(Summary!$M$14*Z222*AC222*(AJ222-EOMONTH(EDATE(A222,-1),0))))/(AK222*AB222*AE222)</f>
        <v>#VALUE!</v>
      </c>
      <c r="AG222" s="207" t="str">
        <f aca="false">IF($A223="","",Summary!$Q$14)</f>
        <v/>
      </c>
      <c r="AH222" s="207" t="str">
        <f aca="false">IF($A223="","",IF(Summary!$R$12="Y",(VLOOKUP($A222,Summary!$AD$6:$AF$9,3)+'Escalating commodity'!J235),'Escalating commodity'!J235))</f>
        <v/>
      </c>
      <c r="AI222" s="207" t="str">
        <f aca="false">IF($A223="","",AH222)</f>
        <v/>
      </c>
      <c r="AJ222" s="208" t="e">
        <f aca="false">A222+DAY(EOMONTH(A222,0))/2-1</f>
        <v>#VALUE!</v>
      </c>
      <c r="AK222" s="209" t="str">
        <f aca="false">IF($A223="","",$A222-$E$1)</f>
        <v/>
      </c>
      <c r="AL222" s="182" t="str">
        <f aca="false">IF($A223="","",SPRDOPT(P222,X222,AI222,0,AB222,AE222,AF222,AK222,$AJ$2,0))</f>
        <v/>
      </c>
      <c r="AM222" s="211" t="str">
        <f aca="false">IF($A223="","",MAX(0,O222-W222-AI222))</f>
        <v/>
      </c>
      <c r="AN222" s="211" t="str">
        <f aca="false">IF($A223="","",AL222-AM222)</f>
        <v/>
      </c>
      <c r="AO222" s="137" t="str">
        <f aca="false">IF(A223="","",A223-A222)</f>
        <v/>
      </c>
      <c r="AP222" s="212" t="str">
        <f aca="false">IF(A223="","",CHOOSE(F$3,A223+24,A222))</f>
        <v/>
      </c>
      <c r="AQ222" s="209" t="str">
        <f aca="false">IF(A223="","",AP222-$E$1)</f>
        <v/>
      </c>
      <c r="AR222" s="185" t="n">
        <f aca="false">'ANR OK vs ML7'!AR222</f>
        <v>0.1</v>
      </c>
      <c r="AS222" s="213" t="str">
        <f aca="false">IF(A223="","",1/(1+CHOOSE(F$3,(AR223+($I$3/10000))/2,(AR222+($I$3/10000))/2))^(2*AQ222/365.25))</f>
        <v/>
      </c>
      <c r="AT222" s="137" t="str">
        <f aca="false">IF(A223="","",IF(AND(mthbeg&lt;=A222,mthend&gt;=A222),1,0))</f>
        <v/>
      </c>
      <c r="AU222" s="137" t="str">
        <f aca="false">IF(A223="","",AO222*AT222)</f>
        <v/>
      </c>
      <c r="AW222" s="195" t="str">
        <f aca="false">IF($A223="","",AL222*$E222)</f>
        <v/>
      </c>
      <c r="AX222" s="195" t="str">
        <f aca="false">IF($A223="","",AM222*$E222)</f>
        <v/>
      </c>
      <c r="AY222" s="195" t="str">
        <f aca="false">IF($A223="","",AN222*$E222)</f>
        <v/>
      </c>
      <c r="BA222" s="195" t="str">
        <f aca="false">IF($A223="","",F222*Summary!$Q$14)</f>
        <v/>
      </c>
    </row>
    <row r="223" customFormat="false" ht="12" hidden="false" customHeight="true" outlineLevel="0" collapsed="false">
      <c r="A223" s="196" t="str">
        <f aca="false">IF(A222&lt;mthend,EDATE(A222,1),"")</f>
        <v/>
      </c>
      <c r="B223" s="197" t="str">
        <f aca="false">IF(A223&lt;mthend,B222,"")</f>
        <v/>
      </c>
      <c r="C223" s="215"/>
      <c r="D223" s="197" t="str">
        <f aca="false">IF(A224&lt;&gt;"",B223+C223,"")</f>
        <v/>
      </c>
      <c r="E223" s="199" t="str">
        <f aca="false">IF(A224="","",IF(AND(AT223=1,$H$3=1),D223*AO223,IF($H$3=2,D223,"N/A")))</f>
        <v/>
      </c>
      <c r="F223" s="199" t="str">
        <f aca="false">IF(A224="","",E223*AS223)</f>
        <v/>
      </c>
      <c r="G223" s="200" t="str">
        <f aca="false">IF($A224="","",VLOOKUP($A223,Table,MATCH(G$4,Curves,0)))</f>
        <v/>
      </c>
      <c r="H223" s="201" t="str">
        <f aca="false">IF(A224="","",G223)</f>
        <v/>
      </c>
      <c r="I223" s="202"/>
      <c r="J223" s="200" t="str">
        <f aca="false">IF($A224="","",VLOOKUP($A223,Table,MATCH(J$4,Curves,0)))</f>
        <v/>
      </c>
      <c r="K223" s="201" t="str">
        <f aca="false">IF(A224="","",J223)</f>
        <v/>
      </c>
      <c r="L223" s="185" t="n">
        <v>0</v>
      </c>
      <c r="M223" s="201" t="str">
        <f aca="false">IF(A224="","",L223)</f>
        <v/>
      </c>
      <c r="N223" s="203"/>
      <c r="O223" s="200" t="str">
        <f aca="false">IF(A224="","",L223+J223+G223)</f>
        <v/>
      </c>
      <c r="P223" s="200" t="str">
        <f aca="false">IF(A224="","",M223+K223+H223)</f>
        <v/>
      </c>
      <c r="Q223" s="204"/>
      <c r="R223" s="200" t="str">
        <f aca="false">IF($A224="","",VLOOKUP($A223,Table,MATCH(R$4,Curves,0)))</f>
        <v/>
      </c>
      <c r="S223" s="201" t="str">
        <f aca="false">IF(A224="","",R223)</f>
        <v/>
      </c>
      <c r="T223" s="200" t="str">
        <f aca="false">IF($A224="","",VLOOKUP($A223,Table,MATCH(T$4,Curves,0)))</f>
        <v/>
      </c>
      <c r="U223" s="201" t="str">
        <f aca="false">IF(A224="","",T223)</f>
        <v/>
      </c>
      <c r="V223" s="183" t="str">
        <f aca="false">IF($A224="","",IF(AND(MONTH(A223)&gt;3,MONTH(A223)&lt;11),(T223+R223+G223)*(((1/(1-Summary!$T$14))/(1-Summary!$W$14))-1),(T223+R223+G223)*((1/(1-Summary!$U$14))/(1-Summary!$X$14)-1)))</f>
        <v/>
      </c>
      <c r="W223" s="202" t="str">
        <f aca="false">IF($A224="","",(T223+R223+G223+V223))</f>
        <v/>
      </c>
      <c r="X223" s="202" t="str">
        <f aca="false">IF($A224="","",(U223+S223+H223+V223))</f>
        <v/>
      </c>
      <c r="Y223" s="202"/>
      <c r="Z223" s="185" t="str">
        <f aca="false">IF($A224="","",VLOOKUP($A223,Table,MATCH(Z$4,Curves,0)))</f>
        <v/>
      </c>
      <c r="AA223" s="185" t="str">
        <f aca="false">IF($A224="","",VLOOKUP($A223,Table,MATCH(AA$4,Curves,0)))</f>
        <v/>
      </c>
      <c r="AB223" s="185" t="e">
        <f aca="false">SQRT((AA223^2*(A223-$D$3)+Z223^2*(DAY(EOMONTH(A223,0))/2))/AK223)</f>
        <v>#VALUE!</v>
      </c>
      <c r="AC223" s="185" t="str">
        <f aca="false">IF($A224="","",VLOOKUP($A223,Table,MATCH(AC$4,Curves,0)))</f>
        <v/>
      </c>
      <c r="AD223" s="185" t="str">
        <f aca="false">IF($A224="","",VLOOKUP($A223,Table,MATCH(AD$4,Curves,0)))</f>
        <v/>
      </c>
      <c r="AE223" s="185" t="e">
        <f aca="false">SQRT((AD223^2*(A223-$D$3)+AC223^2*(DAY(EOMONTH(A223,0))/2))/AK223)</f>
        <v>#VALUE!</v>
      </c>
      <c r="AF223" s="224" t="e">
        <f aca="false">((Summary!$N$14*(AA223*AD223)*(A223-$D$3))+(Summary!$M$14*Z223*AC223*(AJ223-EOMONTH(EDATE(A223,-1),0))))/(AK223*AB223*AE223)</f>
        <v>#VALUE!</v>
      </c>
      <c r="AG223" s="207" t="str">
        <f aca="false">IF($A224="","",Summary!$Q$14)</f>
        <v/>
      </c>
      <c r="AH223" s="207" t="str">
        <f aca="false">IF($A224="","",IF(Summary!$R$12="Y",(VLOOKUP($A223,Summary!$AD$6:$AF$9,3)+'Escalating commodity'!J236),'Escalating commodity'!J236))</f>
        <v/>
      </c>
      <c r="AI223" s="207" t="str">
        <f aca="false">IF($A224="","",AH223)</f>
        <v/>
      </c>
      <c r="AJ223" s="208" t="e">
        <f aca="false">A223+DAY(EOMONTH(A223,0))/2-1</f>
        <v>#VALUE!</v>
      </c>
      <c r="AK223" s="209" t="str">
        <f aca="false">IF($A224="","",$A223-$E$1)</f>
        <v/>
      </c>
      <c r="AL223" s="182" t="str">
        <f aca="false">IF($A224="","",SPRDOPT(P223,X223,AI223,0,AB223,AE223,AF223,AK223,$AJ$2,0))</f>
        <v/>
      </c>
      <c r="AM223" s="211" t="str">
        <f aca="false">IF($A224="","",MAX(0,O223-W223-AI223))</f>
        <v/>
      </c>
      <c r="AN223" s="211" t="str">
        <f aca="false">IF($A224="","",AL223-AM223)</f>
        <v/>
      </c>
      <c r="AO223" s="137" t="str">
        <f aca="false">IF(A224="","",A224-A223)</f>
        <v/>
      </c>
      <c r="AP223" s="212" t="str">
        <f aca="false">IF(A224="","",CHOOSE(F$3,A224+24,A223))</f>
        <v/>
      </c>
      <c r="AQ223" s="209" t="str">
        <f aca="false">IF(A224="","",AP223-$E$1)</f>
        <v/>
      </c>
      <c r="AR223" s="185" t="n">
        <f aca="false">'ANR OK vs ML7'!AR223</f>
        <v>0.1</v>
      </c>
      <c r="AS223" s="213" t="str">
        <f aca="false">IF(A224="","",1/(1+CHOOSE(F$3,(AR224+($I$3/10000))/2,(AR223+($I$3/10000))/2))^(2*AQ223/365.25))</f>
        <v/>
      </c>
      <c r="AT223" s="137" t="str">
        <f aca="false">IF(A224="","",IF(AND(mthbeg&lt;=A223,mthend&gt;=A223),1,0))</f>
        <v/>
      </c>
      <c r="AU223" s="137" t="str">
        <f aca="false">IF(A224="","",AO223*AT223)</f>
        <v/>
      </c>
      <c r="AW223" s="195" t="str">
        <f aca="false">IF($A224="","",AL223*$E223)</f>
        <v/>
      </c>
      <c r="AX223" s="195" t="str">
        <f aca="false">IF($A224="","",AM223*$E223)</f>
        <v/>
      </c>
      <c r="AY223" s="195" t="str">
        <f aca="false">IF($A224="","",AN223*$E223)</f>
        <v/>
      </c>
      <c r="BA223" s="195" t="str">
        <f aca="false">IF($A224="","",F223*Summary!$Q$14)</f>
        <v/>
      </c>
    </row>
    <row r="224" customFormat="false" ht="12" hidden="false" customHeight="true" outlineLevel="0" collapsed="false">
      <c r="A224" s="196" t="str">
        <f aca="false">IF(A223&lt;mthend,EDATE(A223,1),"")</f>
        <v/>
      </c>
      <c r="B224" s="197" t="str">
        <f aca="false">IF(A224&lt;mthend,B223,"")</f>
        <v/>
      </c>
      <c r="C224" s="215"/>
      <c r="D224" s="197" t="str">
        <f aca="false">IF(A225&lt;&gt;"",B224+C224,"")</f>
        <v/>
      </c>
      <c r="E224" s="199" t="str">
        <f aca="false">IF(A225="","",IF(AND(AT224=1,$H$3=1),D224*AO224,IF($H$3=2,D224,"N/A")))</f>
        <v/>
      </c>
      <c r="F224" s="199" t="str">
        <f aca="false">IF(A225="","",E224*AS224)</f>
        <v/>
      </c>
      <c r="G224" s="200" t="str">
        <f aca="false">IF($A225="","",VLOOKUP($A224,Table,MATCH(G$4,Curves,0)))</f>
        <v/>
      </c>
      <c r="H224" s="201" t="str">
        <f aca="false">IF(A225="","",G224)</f>
        <v/>
      </c>
      <c r="I224" s="202"/>
      <c r="J224" s="200" t="str">
        <f aca="false">IF($A225="","",VLOOKUP($A224,Table,MATCH(J$4,Curves,0)))</f>
        <v/>
      </c>
      <c r="K224" s="201" t="str">
        <f aca="false">IF(A225="","",J224)</f>
        <v/>
      </c>
      <c r="L224" s="185" t="n">
        <v>0</v>
      </c>
      <c r="M224" s="201" t="str">
        <f aca="false">IF(A225="","",L224)</f>
        <v/>
      </c>
      <c r="N224" s="203"/>
      <c r="O224" s="200" t="str">
        <f aca="false">IF(A225="","",L224+J224+G224)</f>
        <v/>
      </c>
      <c r="P224" s="200" t="str">
        <f aca="false">IF(A225="","",M224+K224+H224)</f>
        <v/>
      </c>
      <c r="Q224" s="204"/>
      <c r="R224" s="200" t="str">
        <f aca="false">IF($A225="","",VLOOKUP($A224,Table,MATCH(R$4,Curves,0)))</f>
        <v/>
      </c>
      <c r="S224" s="201" t="str">
        <f aca="false">IF(A225="","",R224)</f>
        <v/>
      </c>
      <c r="T224" s="200" t="str">
        <f aca="false">IF($A225="","",VLOOKUP($A224,Table,MATCH(T$4,Curves,0)))</f>
        <v/>
      </c>
      <c r="U224" s="201" t="str">
        <f aca="false">IF(A225="","",T224)</f>
        <v/>
      </c>
      <c r="V224" s="183" t="str">
        <f aca="false">IF($A225="","",IF(AND(MONTH(A224)&gt;3,MONTH(A224)&lt;11),(T224+R224+G224)*(((1/(1-Summary!$T$14))/(1-Summary!$W$14))-1),(T224+R224+G224)*((1/(1-Summary!$U$14))/(1-Summary!$X$14)-1)))</f>
        <v/>
      </c>
      <c r="W224" s="202" t="str">
        <f aca="false">IF($A225="","",(T224+R224+G224+V224))</f>
        <v/>
      </c>
      <c r="X224" s="202" t="str">
        <f aca="false">IF($A225="","",(U224+S224+H224+V224))</f>
        <v/>
      </c>
      <c r="Y224" s="202"/>
      <c r="Z224" s="185" t="str">
        <f aca="false">IF($A225="","",VLOOKUP($A224,Table,MATCH(Z$4,Curves,0)))</f>
        <v/>
      </c>
      <c r="AA224" s="185" t="str">
        <f aca="false">IF($A225="","",VLOOKUP($A224,Table,MATCH(AA$4,Curves,0)))</f>
        <v/>
      </c>
      <c r="AB224" s="185" t="e">
        <f aca="false">SQRT((AA224^2*(A224-$D$3)+Z224^2*(DAY(EOMONTH(A224,0))/2))/AK224)</f>
        <v>#VALUE!</v>
      </c>
      <c r="AC224" s="185" t="str">
        <f aca="false">IF($A225="","",VLOOKUP($A224,Table,MATCH(AC$4,Curves,0)))</f>
        <v/>
      </c>
      <c r="AD224" s="185" t="str">
        <f aca="false">IF($A225="","",VLOOKUP($A224,Table,MATCH(AD$4,Curves,0)))</f>
        <v/>
      </c>
      <c r="AE224" s="185" t="e">
        <f aca="false">SQRT((AD224^2*(A224-$D$3)+AC224^2*(DAY(EOMONTH(A224,0))/2))/AK224)</f>
        <v>#VALUE!</v>
      </c>
      <c r="AF224" s="224" t="e">
        <f aca="false">((Summary!$N$14*(AA224*AD224)*(A224-$D$3))+(Summary!$M$14*Z224*AC224*(AJ224-EOMONTH(EDATE(A224,-1),0))))/(AK224*AB224*AE224)</f>
        <v>#VALUE!</v>
      </c>
      <c r="AG224" s="207" t="str">
        <f aca="false">IF($A225="","",Summary!$Q$14)</f>
        <v/>
      </c>
      <c r="AH224" s="207" t="str">
        <f aca="false">IF($A225="","",IF(Summary!$R$12="Y",(VLOOKUP($A224,Summary!$AD$6:$AF$9,3)+'Escalating commodity'!J237),'Escalating commodity'!J237))</f>
        <v/>
      </c>
      <c r="AI224" s="207" t="str">
        <f aca="false">IF($A225="","",AH224)</f>
        <v/>
      </c>
      <c r="AJ224" s="208" t="e">
        <f aca="false">A224+DAY(EOMONTH(A224,0))/2-1</f>
        <v>#VALUE!</v>
      </c>
      <c r="AK224" s="209" t="str">
        <f aca="false">IF($A225="","",$A224-$E$1)</f>
        <v/>
      </c>
      <c r="AL224" s="182" t="str">
        <f aca="false">IF($A225="","",SPRDOPT(P224,X224,AI224,0,AB224,AE224,AF224,AK224,$AJ$2,0))</f>
        <v/>
      </c>
      <c r="AM224" s="211" t="str">
        <f aca="false">IF($A225="","",MAX(0,O224-W224-AI224))</f>
        <v/>
      </c>
      <c r="AN224" s="211" t="str">
        <f aca="false">IF($A225="","",AL224-AM224)</f>
        <v/>
      </c>
      <c r="AO224" s="137" t="str">
        <f aca="false">IF(A225="","",A225-A224)</f>
        <v/>
      </c>
      <c r="AP224" s="212" t="str">
        <f aca="false">IF(A225="","",CHOOSE(F$3,A225+24,A224))</f>
        <v/>
      </c>
      <c r="AQ224" s="209" t="str">
        <f aca="false">IF(A225="","",AP224-$E$1)</f>
        <v/>
      </c>
      <c r="AR224" s="185" t="n">
        <f aca="false">'ANR OK vs ML7'!AR224</f>
        <v>0.1</v>
      </c>
      <c r="AS224" s="213" t="str">
        <f aca="false">IF(A225="","",1/(1+CHOOSE(F$3,(AR225+($I$3/10000))/2,(AR224+($I$3/10000))/2))^(2*AQ224/365.25))</f>
        <v/>
      </c>
      <c r="AT224" s="137" t="str">
        <f aca="false">IF(A225="","",IF(AND(mthbeg&lt;=A224,mthend&gt;=A224),1,0))</f>
        <v/>
      </c>
      <c r="AU224" s="137" t="str">
        <f aca="false">IF(A225="","",AO224*AT224)</f>
        <v/>
      </c>
      <c r="AW224" s="195" t="str">
        <f aca="false">IF($A225="","",AL224*$E224)</f>
        <v/>
      </c>
      <c r="AX224" s="195" t="str">
        <f aca="false">IF($A225="","",AM224*$E224)</f>
        <v/>
      </c>
      <c r="AY224" s="195" t="str">
        <f aca="false">IF($A225="","",AN224*$E224)</f>
        <v/>
      </c>
      <c r="BA224" s="195" t="str">
        <f aca="false">IF($A225="","",F224*Summary!$Q$14)</f>
        <v/>
      </c>
    </row>
    <row r="225" customFormat="false" ht="12" hidden="false" customHeight="true" outlineLevel="0" collapsed="false">
      <c r="A225" s="196" t="str">
        <f aca="false">IF(A224&lt;mthend,EDATE(A224,1),"")</f>
        <v/>
      </c>
      <c r="B225" s="197" t="str">
        <f aca="false">IF(A225&lt;mthend,B224,"")</f>
        <v/>
      </c>
      <c r="C225" s="215"/>
      <c r="D225" s="197" t="str">
        <f aca="false">IF(A226&lt;&gt;"",B225+C225,"")</f>
        <v/>
      </c>
      <c r="E225" s="199" t="str">
        <f aca="false">IF(A226="","",IF(AND(AT225=1,$H$3=1),D225*AO225,IF($H$3=2,D225,"N/A")))</f>
        <v/>
      </c>
      <c r="F225" s="199" t="str">
        <f aca="false">IF(A226="","",E225*AS225)</f>
        <v/>
      </c>
      <c r="G225" s="200" t="str">
        <f aca="false">IF($A226="","",VLOOKUP($A225,Table,MATCH(G$4,Curves,0)))</f>
        <v/>
      </c>
      <c r="H225" s="201" t="str">
        <f aca="false">IF(A226="","",G225)</f>
        <v/>
      </c>
      <c r="I225" s="202"/>
      <c r="J225" s="200" t="str">
        <f aca="false">IF($A226="","",VLOOKUP($A225,Table,MATCH(J$4,Curves,0)))</f>
        <v/>
      </c>
      <c r="K225" s="201" t="str">
        <f aca="false">IF(A226="","",J225)</f>
        <v/>
      </c>
      <c r="L225" s="185" t="n">
        <v>0</v>
      </c>
      <c r="M225" s="201" t="str">
        <f aca="false">IF(A226="","",L225)</f>
        <v/>
      </c>
      <c r="N225" s="203"/>
      <c r="O225" s="200" t="str">
        <f aca="false">IF(A226="","",L225+J225+G225)</f>
        <v/>
      </c>
      <c r="P225" s="200" t="str">
        <f aca="false">IF(A226="","",M225+K225+H225)</f>
        <v/>
      </c>
      <c r="Q225" s="204"/>
      <c r="R225" s="200" t="str">
        <f aca="false">IF($A226="","",VLOOKUP($A225,Table,MATCH(R$4,Curves,0)))</f>
        <v/>
      </c>
      <c r="S225" s="201" t="str">
        <f aca="false">IF(A226="","",R225)</f>
        <v/>
      </c>
      <c r="T225" s="200" t="str">
        <f aca="false">IF($A226="","",VLOOKUP($A225,Table,MATCH(T$4,Curves,0)))</f>
        <v/>
      </c>
      <c r="U225" s="201" t="str">
        <f aca="false">IF(A226="","",T225)</f>
        <v/>
      </c>
      <c r="V225" s="183" t="str">
        <f aca="false">IF($A226="","",IF(AND(MONTH(A225)&gt;3,MONTH(A225)&lt;11),(T225+R225+G225)*(((1/(1-Summary!$T$14))/(1-Summary!$W$14))-1),(T225+R225+G225)*((1/(1-Summary!$U$14))/(1-Summary!$X$14)-1)))</f>
        <v/>
      </c>
      <c r="W225" s="202" t="str">
        <f aca="false">IF($A226="","",(T225+R225+G225+V225))</f>
        <v/>
      </c>
      <c r="X225" s="202" t="str">
        <f aca="false">IF($A226="","",(U225+S225+H225+V225))</f>
        <v/>
      </c>
      <c r="Y225" s="202"/>
      <c r="Z225" s="185" t="str">
        <f aca="false">IF($A226="","",VLOOKUP($A225,Table,MATCH(Z$4,Curves,0)))</f>
        <v/>
      </c>
      <c r="AA225" s="185" t="str">
        <f aca="false">IF($A226="","",VLOOKUP($A225,Table,MATCH(AA$4,Curves,0)))</f>
        <v/>
      </c>
      <c r="AB225" s="185" t="e">
        <f aca="false">SQRT((AA225^2*(A225-$D$3)+Z225^2*(DAY(EOMONTH(A225,0))/2))/AK225)</f>
        <v>#VALUE!</v>
      </c>
      <c r="AC225" s="185" t="str">
        <f aca="false">IF($A226="","",VLOOKUP($A225,Table,MATCH(AC$4,Curves,0)))</f>
        <v/>
      </c>
      <c r="AD225" s="185" t="str">
        <f aca="false">IF($A226="","",VLOOKUP($A225,Table,MATCH(AD$4,Curves,0)))</f>
        <v/>
      </c>
      <c r="AE225" s="185" t="e">
        <f aca="false">SQRT((AD225^2*(A225-$D$3)+AC225^2*(DAY(EOMONTH(A225,0))/2))/AK225)</f>
        <v>#VALUE!</v>
      </c>
      <c r="AF225" s="224" t="e">
        <f aca="false">((Summary!$N$14*(AA225*AD225)*(A225-$D$3))+(Summary!$M$14*Z225*AC225*(AJ225-EOMONTH(EDATE(A225,-1),0))))/(AK225*AB225*AE225)</f>
        <v>#VALUE!</v>
      </c>
      <c r="AG225" s="207" t="str">
        <f aca="false">IF($A226="","",Summary!$Q$14)</f>
        <v/>
      </c>
      <c r="AH225" s="207" t="str">
        <f aca="false">IF($A226="","",IF(Summary!$R$12="Y",(VLOOKUP($A225,Summary!$AD$6:$AF$9,3)+'Escalating commodity'!J238),'Escalating commodity'!J238))</f>
        <v/>
      </c>
      <c r="AI225" s="207" t="str">
        <f aca="false">IF($A226="","",AH225)</f>
        <v/>
      </c>
      <c r="AJ225" s="208" t="e">
        <f aca="false">A225+DAY(EOMONTH(A225,0))/2-1</f>
        <v>#VALUE!</v>
      </c>
      <c r="AK225" s="209" t="str">
        <f aca="false">IF($A226="","",$A225-$E$1)</f>
        <v/>
      </c>
      <c r="AL225" s="182" t="str">
        <f aca="false">IF($A226="","",SPRDOPT(P225,X225,AI225,0,AB225,AE225,AF225,AK225,$AJ$2,0))</f>
        <v/>
      </c>
      <c r="AM225" s="211" t="str">
        <f aca="false">IF($A226="","",MAX(0,O225-W225-AI225))</f>
        <v/>
      </c>
      <c r="AN225" s="211" t="str">
        <f aca="false">IF($A226="","",AL225-AM225)</f>
        <v/>
      </c>
      <c r="AO225" s="137" t="str">
        <f aca="false">IF(A226="","",A226-A225)</f>
        <v/>
      </c>
      <c r="AP225" s="212" t="str">
        <f aca="false">IF(A226="","",CHOOSE(F$3,A226+24,A225))</f>
        <v/>
      </c>
      <c r="AQ225" s="209" t="str">
        <f aca="false">IF(A226="","",AP225-$E$1)</f>
        <v/>
      </c>
      <c r="AR225" s="185" t="n">
        <f aca="false">'ANR OK vs ML7'!AR225</f>
        <v>0.1</v>
      </c>
      <c r="AS225" s="213" t="str">
        <f aca="false">IF(A226="","",1/(1+CHOOSE(F$3,(AR226+($I$3/10000))/2,(AR225+($I$3/10000))/2))^(2*AQ225/365.25))</f>
        <v/>
      </c>
      <c r="AT225" s="137" t="str">
        <f aca="false">IF(A226="","",IF(AND(mthbeg&lt;=A225,mthend&gt;=A225),1,0))</f>
        <v/>
      </c>
      <c r="AU225" s="137" t="str">
        <f aca="false">IF(A226="","",AO225*AT225)</f>
        <v/>
      </c>
      <c r="AW225" s="195" t="str">
        <f aca="false">IF($A226="","",AL225*$E225)</f>
        <v/>
      </c>
      <c r="AX225" s="195" t="str">
        <f aca="false">IF($A226="","",AM225*$E225)</f>
        <v/>
      </c>
      <c r="AY225" s="195" t="str">
        <f aca="false">IF($A226="","",AN225*$E225)</f>
        <v/>
      </c>
      <c r="BA225" s="195" t="str">
        <f aca="false">IF($A226="","",F225*Summary!$Q$14)</f>
        <v/>
      </c>
    </row>
    <row r="226" customFormat="false" ht="12" hidden="false" customHeight="true" outlineLevel="0" collapsed="false">
      <c r="A226" s="196" t="str">
        <f aca="false">IF(A225&lt;mthend,EDATE(A225,1),"")</f>
        <v/>
      </c>
      <c r="B226" s="197" t="str">
        <f aca="false">IF(A226&lt;mthend,B225,"")</f>
        <v/>
      </c>
      <c r="C226" s="215"/>
      <c r="D226" s="197" t="str">
        <f aca="false">IF(A227&lt;&gt;"",B226+C226,"")</f>
        <v/>
      </c>
      <c r="E226" s="199" t="str">
        <f aca="false">IF(A227="","",IF(AND(AT226=1,$H$3=1),D226*AO226,IF($H$3=2,D226,"N/A")))</f>
        <v/>
      </c>
      <c r="F226" s="199" t="str">
        <f aca="false">IF(A227="","",E226*AS226)</f>
        <v/>
      </c>
      <c r="G226" s="200" t="str">
        <f aca="false">IF($A227="","",VLOOKUP($A226,Table,MATCH(G$4,Curves,0)))</f>
        <v/>
      </c>
      <c r="H226" s="201" t="str">
        <f aca="false">IF(A227="","",G226)</f>
        <v/>
      </c>
      <c r="I226" s="202"/>
      <c r="J226" s="200" t="str">
        <f aca="false">IF($A227="","",VLOOKUP($A226,Table,MATCH(J$4,Curves,0)))</f>
        <v/>
      </c>
      <c r="K226" s="201" t="str">
        <f aca="false">IF(A227="","",J226)</f>
        <v/>
      </c>
      <c r="L226" s="185" t="n">
        <v>0</v>
      </c>
      <c r="M226" s="201" t="str">
        <f aca="false">IF(A227="","",L226)</f>
        <v/>
      </c>
      <c r="N226" s="203"/>
      <c r="O226" s="200" t="str">
        <f aca="false">IF(A227="","",L226+J226+G226)</f>
        <v/>
      </c>
      <c r="P226" s="200" t="str">
        <f aca="false">IF(A227="","",M226+K226+H226)</f>
        <v/>
      </c>
      <c r="Q226" s="204"/>
      <c r="R226" s="200" t="str">
        <f aca="false">IF($A227="","",VLOOKUP($A226,Table,MATCH(R$4,Curves,0)))</f>
        <v/>
      </c>
      <c r="S226" s="201" t="str">
        <f aca="false">IF(A227="","",R226)</f>
        <v/>
      </c>
      <c r="T226" s="200" t="str">
        <f aca="false">IF($A227="","",VLOOKUP($A226,Table,MATCH(T$4,Curves,0)))</f>
        <v/>
      </c>
      <c r="U226" s="201" t="str">
        <f aca="false">IF(A227="","",T226)</f>
        <v/>
      </c>
      <c r="V226" s="183" t="str">
        <f aca="false">IF($A227="","",IF(AND(MONTH(A226)&gt;3,MONTH(A226)&lt;11),(T226+R226+G226)*(((1/(1-Summary!$T$14))/(1-Summary!$W$14))-1),(T226+R226+G226)*((1/(1-Summary!$U$14))/(1-Summary!$X$14)-1)))</f>
        <v/>
      </c>
      <c r="W226" s="202" t="str">
        <f aca="false">IF($A227="","",(T226+R226+G226+V226))</f>
        <v/>
      </c>
      <c r="X226" s="202" t="str">
        <f aca="false">IF($A227="","",(U226+S226+H226+V226))</f>
        <v/>
      </c>
      <c r="Y226" s="202"/>
      <c r="Z226" s="185" t="str">
        <f aca="false">IF($A227="","",VLOOKUP($A226,Table,MATCH(Z$4,Curves,0)))</f>
        <v/>
      </c>
      <c r="AA226" s="185" t="str">
        <f aca="false">IF($A227="","",VLOOKUP($A226,Table,MATCH(AA$4,Curves,0)))</f>
        <v/>
      </c>
      <c r="AB226" s="185" t="e">
        <f aca="false">SQRT((AA226^2*(A226-$D$3)+Z226^2*(DAY(EOMONTH(A226,0))/2))/AK226)</f>
        <v>#VALUE!</v>
      </c>
      <c r="AC226" s="185" t="str">
        <f aca="false">IF($A227="","",VLOOKUP($A226,Table,MATCH(AC$4,Curves,0)))</f>
        <v/>
      </c>
      <c r="AD226" s="185" t="str">
        <f aca="false">IF($A227="","",VLOOKUP($A226,Table,MATCH(AD$4,Curves,0)))</f>
        <v/>
      </c>
      <c r="AE226" s="185" t="e">
        <f aca="false">SQRT((AD226^2*(A226-$D$3)+AC226^2*(DAY(EOMONTH(A226,0))/2))/AK226)</f>
        <v>#VALUE!</v>
      </c>
      <c r="AF226" s="224" t="e">
        <f aca="false">((Summary!$N$14*(AA226*AD226)*(A226-$D$3))+(Summary!$M$14*Z226*AC226*(AJ226-EOMONTH(EDATE(A226,-1),0))))/(AK226*AB226*AE226)</f>
        <v>#VALUE!</v>
      </c>
      <c r="AG226" s="207" t="str">
        <f aca="false">IF($A227="","",Summary!$Q$14)</f>
        <v/>
      </c>
      <c r="AH226" s="207" t="str">
        <f aca="false">IF($A227="","",IF(Summary!$R$12="Y",(VLOOKUP($A226,Summary!$AD$6:$AF$9,3)+'Escalating commodity'!J239),'Escalating commodity'!J239))</f>
        <v/>
      </c>
      <c r="AI226" s="207" t="str">
        <f aca="false">IF($A227="","",AH226)</f>
        <v/>
      </c>
      <c r="AJ226" s="208" t="e">
        <f aca="false">A226+DAY(EOMONTH(A226,0))/2-1</f>
        <v>#VALUE!</v>
      </c>
      <c r="AK226" s="209" t="str">
        <f aca="false">IF($A227="","",$A226-$E$1)</f>
        <v/>
      </c>
      <c r="AL226" s="182" t="str">
        <f aca="false">IF($A227="","",SPRDOPT(P226,X226,AI226,0,AB226,AE226,AF226,AK226,$AJ$2,0))</f>
        <v/>
      </c>
      <c r="AM226" s="211" t="str">
        <f aca="false">IF($A227="","",MAX(0,O226-W226-AI226))</f>
        <v/>
      </c>
      <c r="AN226" s="211" t="str">
        <f aca="false">IF($A227="","",AL226-AM226)</f>
        <v/>
      </c>
      <c r="AO226" s="137" t="str">
        <f aca="false">IF(A227="","",A227-A226)</f>
        <v/>
      </c>
      <c r="AP226" s="212" t="str">
        <f aca="false">IF(A227="","",CHOOSE(F$3,A227+24,A226))</f>
        <v/>
      </c>
      <c r="AQ226" s="209" t="str">
        <f aca="false">IF(A227="","",AP226-$E$1)</f>
        <v/>
      </c>
      <c r="AR226" s="185" t="n">
        <f aca="false">'ANR OK vs ML7'!AR226</f>
        <v>0.1</v>
      </c>
      <c r="AS226" s="213" t="str">
        <f aca="false">IF(A227="","",1/(1+CHOOSE(F$3,(AR227+($I$3/10000))/2,(AR226+($I$3/10000))/2))^(2*AQ226/365.25))</f>
        <v/>
      </c>
      <c r="AT226" s="137" t="str">
        <f aca="false">IF(A227="","",IF(AND(mthbeg&lt;=A226,mthend&gt;=A226),1,0))</f>
        <v/>
      </c>
      <c r="AU226" s="137" t="str">
        <f aca="false">IF(A227="","",AO226*AT226)</f>
        <v/>
      </c>
      <c r="AW226" s="195" t="str">
        <f aca="false">IF($A227="","",AL226*$E226)</f>
        <v/>
      </c>
      <c r="AX226" s="195" t="str">
        <f aca="false">IF($A227="","",AM226*$E226)</f>
        <v/>
      </c>
      <c r="AY226" s="195" t="str">
        <f aca="false">IF($A227="","",AN226*$E226)</f>
        <v/>
      </c>
      <c r="BA226" s="195" t="str">
        <f aca="false">IF($A227="","",F226*Summary!$Q$14)</f>
        <v/>
      </c>
    </row>
    <row r="227" customFormat="false" ht="12" hidden="false" customHeight="true" outlineLevel="0" collapsed="false">
      <c r="A227" s="196" t="str">
        <f aca="false">IF(A226&lt;mthend,EDATE(A226,1),"")</f>
        <v/>
      </c>
      <c r="B227" s="197" t="str">
        <f aca="false">IF(A227&lt;mthend,B226,"")</f>
        <v/>
      </c>
      <c r="C227" s="215"/>
      <c r="D227" s="197" t="str">
        <f aca="false">IF(A228&lt;&gt;"",B227+C227,"")</f>
        <v/>
      </c>
      <c r="E227" s="199" t="str">
        <f aca="false">IF(A228="","",IF(AND(AT227=1,$H$3=1),D227*AO227,IF($H$3=2,D227,"N/A")))</f>
        <v/>
      </c>
      <c r="F227" s="199" t="str">
        <f aca="false">IF(A228="","",E227*AS227)</f>
        <v/>
      </c>
      <c r="G227" s="200" t="str">
        <f aca="false">IF($A228="","",VLOOKUP($A227,Table,MATCH(G$4,Curves,0)))</f>
        <v/>
      </c>
      <c r="H227" s="201" t="str">
        <f aca="false">IF(A228="","",G227)</f>
        <v/>
      </c>
      <c r="I227" s="202"/>
      <c r="J227" s="200" t="str">
        <f aca="false">IF($A228="","",VLOOKUP($A227,Table,MATCH(J$4,Curves,0)))</f>
        <v/>
      </c>
      <c r="K227" s="201" t="str">
        <f aca="false">IF(A228="","",J227)</f>
        <v/>
      </c>
      <c r="L227" s="185" t="n">
        <v>0</v>
      </c>
      <c r="M227" s="201" t="str">
        <f aca="false">IF(A228="","",L227)</f>
        <v/>
      </c>
      <c r="N227" s="203"/>
      <c r="O227" s="200" t="str">
        <f aca="false">IF(A228="","",L227+J227+G227)</f>
        <v/>
      </c>
      <c r="P227" s="200" t="str">
        <f aca="false">IF(A228="","",M227+K227+H227)</f>
        <v/>
      </c>
      <c r="Q227" s="204"/>
      <c r="R227" s="200" t="str">
        <f aca="false">IF($A228="","",VLOOKUP($A227,Table,MATCH(R$4,Curves,0)))</f>
        <v/>
      </c>
      <c r="S227" s="201" t="str">
        <f aca="false">IF(A228="","",R227)</f>
        <v/>
      </c>
      <c r="T227" s="200" t="str">
        <f aca="false">IF($A228="","",VLOOKUP($A227,Table,MATCH(T$4,Curves,0)))</f>
        <v/>
      </c>
      <c r="U227" s="201" t="str">
        <f aca="false">IF(A228="","",T227)</f>
        <v/>
      </c>
      <c r="V227" s="183" t="str">
        <f aca="false">IF($A228="","",IF(AND(MONTH(A227)&gt;3,MONTH(A227)&lt;11),(T227+R227+G227)*(((1/(1-Summary!$T$14))/(1-Summary!$W$14))-1),(T227+R227+G227)*((1/(1-Summary!$U$14))/(1-Summary!$X$14)-1)))</f>
        <v/>
      </c>
      <c r="W227" s="202" t="str">
        <f aca="false">IF($A228="","",(T227+R227+G227+V227))</f>
        <v/>
      </c>
      <c r="X227" s="202" t="str">
        <f aca="false">IF($A228="","",(U227+S227+H227+V227))</f>
        <v/>
      </c>
      <c r="Y227" s="202"/>
      <c r="Z227" s="185" t="str">
        <f aca="false">IF($A228="","",VLOOKUP($A227,Table,MATCH(Z$4,Curves,0)))</f>
        <v/>
      </c>
      <c r="AA227" s="185" t="str">
        <f aca="false">IF($A228="","",VLOOKUP($A227,Table,MATCH(AA$4,Curves,0)))</f>
        <v/>
      </c>
      <c r="AB227" s="185" t="e">
        <f aca="false">SQRT((AA227^2*(A227-$D$3)+Z227^2*(DAY(EOMONTH(A227,0))/2))/AK227)</f>
        <v>#VALUE!</v>
      </c>
      <c r="AC227" s="185" t="str">
        <f aca="false">IF($A228="","",VLOOKUP($A227,Table,MATCH(AC$4,Curves,0)))</f>
        <v/>
      </c>
      <c r="AD227" s="185" t="str">
        <f aca="false">IF($A228="","",VLOOKUP($A227,Table,MATCH(AD$4,Curves,0)))</f>
        <v/>
      </c>
      <c r="AE227" s="185" t="e">
        <f aca="false">SQRT((AD227^2*(A227-$D$3)+AC227^2*(DAY(EOMONTH(A227,0))/2))/AK227)</f>
        <v>#VALUE!</v>
      </c>
      <c r="AF227" s="224" t="e">
        <f aca="false">((Summary!$N$14*(AA227*AD227)*(A227-$D$3))+(Summary!$M$14*Z227*AC227*(AJ227-EOMONTH(EDATE(A227,-1),0))))/(AK227*AB227*AE227)</f>
        <v>#VALUE!</v>
      </c>
      <c r="AG227" s="207" t="str">
        <f aca="false">IF($A228="","",Summary!$Q$14)</f>
        <v/>
      </c>
      <c r="AH227" s="207" t="str">
        <f aca="false">IF($A228="","",IF(Summary!$R$12="Y",(VLOOKUP($A227,Summary!$AD$6:$AF$9,3)+'Escalating commodity'!J240),'Escalating commodity'!J240))</f>
        <v/>
      </c>
      <c r="AI227" s="207" t="str">
        <f aca="false">IF($A228="","",AH227)</f>
        <v/>
      </c>
      <c r="AJ227" s="208" t="e">
        <f aca="false">A227+DAY(EOMONTH(A227,0))/2-1</f>
        <v>#VALUE!</v>
      </c>
      <c r="AK227" s="209" t="str">
        <f aca="false">IF($A228="","",$A227-$E$1)</f>
        <v/>
      </c>
      <c r="AL227" s="182" t="str">
        <f aca="false">IF($A228="","",SPRDOPT(P227,X227,AI227,0,AB227,AE227,AF227,AK227,$AJ$2,0))</f>
        <v/>
      </c>
      <c r="AM227" s="211" t="str">
        <f aca="false">IF($A228="","",MAX(0,O227-W227-AI227))</f>
        <v/>
      </c>
      <c r="AN227" s="211" t="str">
        <f aca="false">IF($A228="","",AL227-AM227)</f>
        <v/>
      </c>
      <c r="AO227" s="137" t="str">
        <f aca="false">IF(A228="","",A228-A227)</f>
        <v/>
      </c>
      <c r="AP227" s="212" t="str">
        <f aca="false">IF(A228="","",CHOOSE(F$3,A228+24,A227))</f>
        <v/>
      </c>
      <c r="AQ227" s="209" t="str">
        <f aca="false">IF(A228="","",AP227-$E$1)</f>
        <v/>
      </c>
      <c r="AR227" s="185" t="n">
        <f aca="false">'ANR OK vs ML7'!AR227</f>
        <v>0.1</v>
      </c>
      <c r="AS227" s="213" t="str">
        <f aca="false">IF(A228="","",1/(1+CHOOSE(F$3,(AR228+($I$3/10000))/2,(AR227+($I$3/10000))/2))^(2*AQ227/365.25))</f>
        <v/>
      </c>
      <c r="AT227" s="137" t="str">
        <f aca="false">IF(A228="","",IF(AND(mthbeg&lt;=A227,mthend&gt;=A227),1,0))</f>
        <v/>
      </c>
      <c r="AU227" s="137" t="str">
        <f aca="false">IF(A228="","",AO227*AT227)</f>
        <v/>
      </c>
      <c r="AW227" s="195" t="str">
        <f aca="false">IF($A228="","",AL227*$E227)</f>
        <v/>
      </c>
      <c r="AX227" s="195" t="str">
        <f aca="false">IF($A228="","",AM227*$E227)</f>
        <v/>
      </c>
      <c r="AY227" s="195" t="str">
        <f aca="false">IF($A228="","",AN227*$E227)</f>
        <v/>
      </c>
      <c r="BA227" s="195" t="str">
        <f aca="false">IF($A228="","",F227*Summary!$Q$14)</f>
        <v/>
      </c>
    </row>
    <row r="228" customFormat="false" ht="12" hidden="false" customHeight="true" outlineLevel="0" collapsed="false">
      <c r="A228" s="196" t="str">
        <f aca="false">IF(A227&lt;mthend,EDATE(A227,1),"")</f>
        <v/>
      </c>
      <c r="B228" s="197" t="str">
        <f aca="false">IF(A228&lt;mthend,B227,"")</f>
        <v/>
      </c>
      <c r="C228" s="215"/>
      <c r="D228" s="197" t="str">
        <f aca="false">IF(A229&lt;&gt;"",B228+C228,"")</f>
        <v/>
      </c>
      <c r="E228" s="199" t="str">
        <f aca="false">IF(A229="","",IF(AND(AT228=1,$H$3=1),D228*AO228,IF($H$3=2,D228,"N/A")))</f>
        <v/>
      </c>
      <c r="F228" s="199" t="str">
        <f aca="false">IF(A229="","",E228*AS228)</f>
        <v/>
      </c>
      <c r="G228" s="200" t="str">
        <f aca="false">IF($A229="","",VLOOKUP($A228,Table,MATCH(G$4,Curves,0)))</f>
        <v/>
      </c>
      <c r="H228" s="201" t="str">
        <f aca="false">IF(A229="","",G228)</f>
        <v/>
      </c>
      <c r="I228" s="202"/>
      <c r="J228" s="200" t="str">
        <f aca="false">IF($A229="","",VLOOKUP($A228,Table,MATCH(J$4,Curves,0)))</f>
        <v/>
      </c>
      <c r="K228" s="201" t="str">
        <f aca="false">IF(A229="","",J228)</f>
        <v/>
      </c>
      <c r="L228" s="185" t="n">
        <v>0</v>
      </c>
      <c r="M228" s="201" t="str">
        <f aca="false">IF(A229="","",L228)</f>
        <v/>
      </c>
      <c r="N228" s="203"/>
      <c r="O228" s="200" t="str">
        <f aca="false">IF(A229="","",L228+J228+G228)</f>
        <v/>
      </c>
      <c r="P228" s="200" t="str">
        <f aca="false">IF(A229="","",M228+K228+H228)</f>
        <v/>
      </c>
      <c r="Q228" s="204"/>
      <c r="R228" s="200" t="str">
        <f aca="false">IF($A229="","",VLOOKUP($A228,Table,MATCH(R$4,Curves,0)))</f>
        <v/>
      </c>
      <c r="S228" s="201" t="str">
        <f aca="false">IF(A229="","",R228)</f>
        <v/>
      </c>
      <c r="T228" s="200" t="str">
        <f aca="false">IF($A229="","",VLOOKUP($A228,Table,MATCH(T$4,Curves,0)))</f>
        <v/>
      </c>
      <c r="U228" s="201" t="str">
        <f aca="false">IF(A229="","",T228)</f>
        <v/>
      </c>
      <c r="V228" s="183" t="str">
        <f aca="false">IF($A229="","",IF(AND(MONTH(A228)&gt;3,MONTH(A228)&lt;11),(T228+R228+G228)*(((1/(1-Summary!$T$14))/(1-Summary!$W$14))-1),(T228+R228+G228)*((1/(1-Summary!$U$14))/(1-Summary!$X$14)-1)))</f>
        <v/>
      </c>
      <c r="W228" s="202" t="str">
        <f aca="false">IF($A229="","",(T228+R228+G228+V228))</f>
        <v/>
      </c>
      <c r="X228" s="202" t="str">
        <f aca="false">IF($A229="","",(U228+S228+H228+V228))</f>
        <v/>
      </c>
      <c r="Y228" s="202"/>
      <c r="Z228" s="185" t="str">
        <f aca="false">IF($A229="","",VLOOKUP($A228,Table,MATCH(Z$4,Curves,0)))</f>
        <v/>
      </c>
      <c r="AA228" s="185" t="str">
        <f aca="false">IF($A229="","",VLOOKUP($A228,Table,MATCH(AA$4,Curves,0)))</f>
        <v/>
      </c>
      <c r="AB228" s="185" t="e">
        <f aca="false">SQRT((AA228^2*(A228-$D$3)+Z228^2*(DAY(EOMONTH(A228,0))/2))/AK228)</f>
        <v>#VALUE!</v>
      </c>
      <c r="AC228" s="185" t="str">
        <f aca="false">IF($A229="","",VLOOKUP($A228,Table,MATCH(AC$4,Curves,0)))</f>
        <v/>
      </c>
      <c r="AD228" s="185" t="str">
        <f aca="false">IF($A229="","",VLOOKUP($A228,Table,MATCH(AD$4,Curves,0)))</f>
        <v/>
      </c>
      <c r="AE228" s="185" t="e">
        <f aca="false">SQRT((AD228^2*(A228-$D$3)+AC228^2*(DAY(EOMONTH(A228,0))/2))/AK228)</f>
        <v>#VALUE!</v>
      </c>
      <c r="AF228" s="224" t="e">
        <f aca="false">((Summary!$N$14*(AA228*AD228)*(A228-$D$3))+(Summary!$M$14*Z228*AC228*(AJ228-EOMONTH(EDATE(A228,-1),0))))/(AK228*AB228*AE228)</f>
        <v>#VALUE!</v>
      </c>
      <c r="AG228" s="207" t="str">
        <f aca="false">IF($A229="","",Summary!$Q$14)</f>
        <v/>
      </c>
      <c r="AH228" s="207" t="str">
        <f aca="false">IF($A229="","",IF(Summary!$R$12="Y",(VLOOKUP($A228,Summary!$AD$6:$AF$9,3)+'Escalating commodity'!J241),'Escalating commodity'!J241))</f>
        <v/>
      </c>
      <c r="AI228" s="207" t="str">
        <f aca="false">IF($A229="","",AH228)</f>
        <v/>
      </c>
      <c r="AJ228" s="208" t="e">
        <f aca="false">A228+DAY(EOMONTH(A228,0))/2-1</f>
        <v>#VALUE!</v>
      </c>
      <c r="AK228" s="209" t="str">
        <f aca="false">IF($A229="","",$A228-$E$1)</f>
        <v/>
      </c>
      <c r="AL228" s="182" t="str">
        <f aca="false">IF($A229="","",SPRDOPT(P228,X228,AI228,0,AB228,AE228,AF228,AK228,$AJ$2,0))</f>
        <v/>
      </c>
      <c r="AM228" s="211" t="str">
        <f aca="false">IF($A229="","",MAX(0,O228-W228-AI228))</f>
        <v/>
      </c>
      <c r="AN228" s="211" t="str">
        <f aca="false">IF($A229="","",AL228-AM228)</f>
        <v/>
      </c>
      <c r="AO228" s="137" t="str">
        <f aca="false">IF(A229="","",A229-A228)</f>
        <v/>
      </c>
      <c r="AP228" s="212" t="str">
        <f aca="false">IF(A229="","",CHOOSE(F$3,A229+24,A228))</f>
        <v/>
      </c>
      <c r="AQ228" s="209" t="str">
        <f aca="false">IF(A229="","",AP228-$E$1)</f>
        <v/>
      </c>
      <c r="AR228" s="185" t="n">
        <f aca="false">'ANR OK vs ML7'!AR228</f>
        <v>0.1</v>
      </c>
      <c r="AS228" s="213" t="str">
        <f aca="false">IF(A229="","",1/(1+CHOOSE(F$3,(AR229+($I$3/10000))/2,(AR228+($I$3/10000))/2))^(2*AQ228/365.25))</f>
        <v/>
      </c>
      <c r="AT228" s="137" t="str">
        <f aca="false">IF(A229="","",IF(AND(mthbeg&lt;=A228,mthend&gt;=A228),1,0))</f>
        <v/>
      </c>
      <c r="AU228" s="137" t="str">
        <f aca="false">IF(A229="","",AO228*AT228)</f>
        <v/>
      </c>
      <c r="AW228" s="195" t="str">
        <f aca="false">IF($A229="","",AL228*$E228)</f>
        <v/>
      </c>
      <c r="AX228" s="195" t="str">
        <f aca="false">IF($A229="","",AM228*$E228)</f>
        <v/>
      </c>
      <c r="AY228" s="195" t="str">
        <f aca="false">IF($A229="","",AN228*$E228)</f>
        <v/>
      </c>
      <c r="BA228" s="195" t="str">
        <f aca="false">IF($A229="","",F228*Summary!$Q$14)</f>
        <v/>
      </c>
    </row>
    <row r="229" customFormat="false" ht="12" hidden="false" customHeight="true" outlineLevel="0" collapsed="false">
      <c r="A229" s="196" t="str">
        <f aca="false">IF(A228&lt;mthend,EDATE(A228,1),"")</f>
        <v/>
      </c>
      <c r="B229" s="197" t="str">
        <f aca="false">IF(A229&lt;mthend,B228,"")</f>
        <v/>
      </c>
      <c r="C229" s="215"/>
      <c r="D229" s="197" t="str">
        <f aca="false">IF(A230&lt;&gt;"",B229+C229,"")</f>
        <v/>
      </c>
      <c r="E229" s="199" t="str">
        <f aca="false">IF(A230="","",IF(AND(AT229=1,$H$3=1),D229*AO229,IF($H$3=2,D229,"N/A")))</f>
        <v/>
      </c>
      <c r="F229" s="199" t="str">
        <f aca="false">IF(A230="","",E229*AS229)</f>
        <v/>
      </c>
      <c r="G229" s="200" t="str">
        <f aca="false">IF($A230="","",VLOOKUP($A229,Table,MATCH(G$4,Curves,0)))</f>
        <v/>
      </c>
      <c r="H229" s="201" t="str">
        <f aca="false">IF(A230="","",G229)</f>
        <v/>
      </c>
      <c r="I229" s="202"/>
      <c r="J229" s="200" t="str">
        <f aca="false">IF($A230="","",VLOOKUP($A229,Table,MATCH(J$4,Curves,0)))</f>
        <v/>
      </c>
      <c r="K229" s="201" t="str">
        <f aca="false">IF(A230="","",J229)</f>
        <v/>
      </c>
      <c r="L229" s="185" t="n">
        <v>0</v>
      </c>
      <c r="M229" s="201" t="str">
        <f aca="false">IF(A230="","",L229)</f>
        <v/>
      </c>
      <c r="N229" s="203"/>
      <c r="O229" s="200" t="str">
        <f aca="false">IF(A230="","",L229+J229+G229)</f>
        <v/>
      </c>
      <c r="P229" s="200" t="str">
        <f aca="false">IF(A230="","",M229+K229+H229)</f>
        <v/>
      </c>
      <c r="Q229" s="204"/>
      <c r="R229" s="200" t="str">
        <f aca="false">IF($A230="","",VLOOKUP($A229,Table,MATCH(R$4,Curves,0)))</f>
        <v/>
      </c>
      <c r="S229" s="201" t="str">
        <f aca="false">IF(A230="","",R229)</f>
        <v/>
      </c>
      <c r="T229" s="200" t="str">
        <f aca="false">IF($A230="","",VLOOKUP($A229,Table,MATCH(T$4,Curves,0)))</f>
        <v/>
      </c>
      <c r="U229" s="201" t="str">
        <f aca="false">IF(A230="","",T229)</f>
        <v/>
      </c>
      <c r="V229" s="183" t="str">
        <f aca="false">IF($A230="","",IF(AND(MONTH(A229)&gt;3,MONTH(A229)&lt;11),(T229+R229+G229)*(((1/(1-Summary!$T$14))/(1-Summary!$W$14))-1),(T229+R229+G229)*((1/(1-Summary!$U$14))/(1-Summary!$X$14)-1)))</f>
        <v/>
      </c>
      <c r="W229" s="202" t="str">
        <f aca="false">IF($A230="","",(T229+R229+G229+V229))</f>
        <v/>
      </c>
      <c r="X229" s="202" t="str">
        <f aca="false">IF($A230="","",(U229+S229+H229+V229))</f>
        <v/>
      </c>
      <c r="Y229" s="202"/>
      <c r="Z229" s="185" t="str">
        <f aca="false">IF($A230="","",VLOOKUP($A229,Table,MATCH(Z$4,Curves,0)))</f>
        <v/>
      </c>
      <c r="AA229" s="185" t="str">
        <f aca="false">IF($A230="","",VLOOKUP($A229,Table,MATCH(AA$4,Curves,0)))</f>
        <v/>
      </c>
      <c r="AB229" s="185" t="e">
        <f aca="false">SQRT((AA229^2*(A229-$D$3)+Z229^2*(DAY(EOMONTH(A229,0))/2))/AK229)</f>
        <v>#VALUE!</v>
      </c>
      <c r="AC229" s="185" t="str">
        <f aca="false">IF($A230="","",VLOOKUP($A229,Table,MATCH(AC$4,Curves,0)))</f>
        <v/>
      </c>
      <c r="AD229" s="185" t="str">
        <f aca="false">IF($A230="","",VLOOKUP($A229,Table,MATCH(AD$4,Curves,0)))</f>
        <v/>
      </c>
      <c r="AE229" s="185" t="e">
        <f aca="false">SQRT((AD229^2*(A229-$D$3)+AC229^2*(DAY(EOMONTH(A229,0))/2))/AK229)</f>
        <v>#VALUE!</v>
      </c>
      <c r="AF229" s="224" t="e">
        <f aca="false">((Summary!$N$14*(AA229*AD229)*(A229-$D$3))+(Summary!$M$14*Z229*AC229*(AJ229-EOMONTH(EDATE(A229,-1),0))))/(AK229*AB229*AE229)</f>
        <v>#VALUE!</v>
      </c>
      <c r="AG229" s="207" t="str">
        <f aca="false">IF($A230="","",Summary!$Q$14)</f>
        <v/>
      </c>
      <c r="AH229" s="207" t="str">
        <f aca="false">IF($A230="","",IF(Summary!$R$12="Y",(VLOOKUP($A229,Summary!$AD$6:$AF$9,3)+'Escalating commodity'!J242),'Escalating commodity'!J242))</f>
        <v/>
      </c>
      <c r="AI229" s="207" t="str">
        <f aca="false">IF($A230="","",AH229)</f>
        <v/>
      </c>
      <c r="AJ229" s="208" t="e">
        <f aca="false">A229+DAY(EOMONTH(A229,0))/2-1</f>
        <v>#VALUE!</v>
      </c>
      <c r="AK229" s="209" t="str">
        <f aca="false">IF($A230="","",$A229-$E$1)</f>
        <v/>
      </c>
      <c r="AL229" s="182" t="str">
        <f aca="false">IF($A230="","",SPRDOPT(P229,X229,AI229,0,AB229,AE229,AF229,AK229,$AJ$2,0))</f>
        <v/>
      </c>
      <c r="AM229" s="211" t="str">
        <f aca="false">IF($A230="","",MAX(0,O229-W229-AI229))</f>
        <v/>
      </c>
      <c r="AN229" s="211" t="str">
        <f aca="false">IF($A230="","",AL229-AM229)</f>
        <v/>
      </c>
      <c r="AO229" s="137" t="str">
        <f aca="false">IF(A230="","",A230-A229)</f>
        <v/>
      </c>
      <c r="AP229" s="212" t="str">
        <f aca="false">IF(A230="","",CHOOSE(F$3,A230+24,A229))</f>
        <v/>
      </c>
      <c r="AQ229" s="209" t="str">
        <f aca="false">IF(A230="","",AP229-$E$1)</f>
        <v/>
      </c>
      <c r="AR229" s="185" t="n">
        <f aca="false">'ANR OK vs ML7'!AR229</f>
        <v>0.1</v>
      </c>
      <c r="AS229" s="213" t="str">
        <f aca="false">IF(A230="","",1/(1+CHOOSE(F$3,(AR230+($I$3/10000))/2,(AR229+($I$3/10000))/2))^(2*AQ229/365.25))</f>
        <v/>
      </c>
      <c r="AT229" s="137" t="str">
        <f aca="false">IF(A230="","",IF(AND(mthbeg&lt;=A229,mthend&gt;=A229),1,0))</f>
        <v/>
      </c>
      <c r="AU229" s="137" t="str">
        <f aca="false">IF(A230="","",AO229*AT229)</f>
        <v/>
      </c>
      <c r="AW229" s="195" t="str">
        <f aca="false">IF($A230="","",AL229*$E229)</f>
        <v/>
      </c>
      <c r="AX229" s="195" t="str">
        <f aca="false">IF($A230="","",AM229*$E229)</f>
        <v/>
      </c>
      <c r="AY229" s="195" t="str">
        <f aca="false">IF($A230="","",AN229*$E229)</f>
        <v/>
      </c>
      <c r="BA229" s="195" t="str">
        <f aca="false">IF($A230="","",F229*Summary!$Q$14)</f>
        <v/>
      </c>
    </row>
    <row r="230" customFormat="false" ht="12" hidden="false" customHeight="true" outlineLevel="0" collapsed="false">
      <c r="A230" s="196" t="str">
        <f aca="false">IF(A229&lt;mthend,EDATE(A229,1),"")</f>
        <v/>
      </c>
      <c r="B230" s="197" t="str">
        <f aca="false">IF(A230&lt;mthend,B229,"")</f>
        <v/>
      </c>
      <c r="C230" s="215"/>
      <c r="D230" s="197" t="str">
        <f aca="false">IF(A231&lt;&gt;"",B230+C230,"")</f>
        <v/>
      </c>
      <c r="E230" s="199" t="str">
        <f aca="false">IF(A231="","",IF(AND(AT230=1,$H$3=1),D230*AO230,IF($H$3=2,D230,"N/A")))</f>
        <v/>
      </c>
      <c r="F230" s="199" t="str">
        <f aca="false">IF(A231="","",E230*AS230)</f>
        <v/>
      </c>
      <c r="G230" s="200" t="str">
        <f aca="false">IF($A231="","",VLOOKUP($A230,Table,MATCH(G$4,Curves,0)))</f>
        <v/>
      </c>
      <c r="H230" s="201" t="str">
        <f aca="false">IF(A231="","",G230)</f>
        <v/>
      </c>
      <c r="I230" s="202"/>
      <c r="J230" s="200" t="str">
        <f aca="false">IF($A231="","",VLOOKUP($A230,Table,MATCH(J$4,Curves,0)))</f>
        <v/>
      </c>
      <c r="K230" s="201" t="str">
        <f aca="false">IF(A231="","",J230)</f>
        <v/>
      </c>
      <c r="L230" s="185" t="n">
        <v>0</v>
      </c>
      <c r="M230" s="201" t="str">
        <f aca="false">IF(A231="","",L230)</f>
        <v/>
      </c>
      <c r="N230" s="203"/>
      <c r="O230" s="200" t="str">
        <f aca="false">IF(A231="","",L230+J230+G230)</f>
        <v/>
      </c>
      <c r="P230" s="200" t="str">
        <f aca="false">IF(A231="","",M230+K230+H230)</f>
        <v/>
      </c>
      <c r="Q230" s="204"/>
      <c r="R230" s="200" t="str">
        <f aca="false">IF($A231="","",VLOOKUP($A230,Table,MATCH(R$4,Curves,0)))</f>
        <v/>
      </c>
      <c r="S230" s="201" t="str">
        <f aca="false">IF(A231="","",R230)</f>
        <v/>
      </c>
      <c r="T230" s="200" t="str">
        <f aca="false">IF($A231="","",VLOOKUP($A230,Table,MATCH(T$4,Curves,0)))</f>
        <v/>
      </c>
      <c r="U230" s="201" t="str">
        <f aca="false">IF(A231="","",T230)</f>
        <v/>
      </c>
      <c r="V230" s="183" t="str">
        <f aca="false">IF($A231="","",IF(AND(MONTH(A230)&gt;3,MONTH(A230)&lt;11),(T230+R230+G230)*(((1/(1-Summary!$T$14))/(1-Summary!$W$14))-1),(T230+R230+G230)*((1/(1-Summary!$U$14))/(1-Summary!$X$14)-1)))</f>
        <v/>
      </c>
      <c r="W230" s="202" t="str">
        <f aca="false">IF($A231="","",(T230+R230+G230+V230))</f>
        <v/>
      </c>
      <c r="X230" s="202" t="str">
        <f aca="false">IF($A231="","",(U230+S230+H230+V230))</f>
        <v/>
      </c>
      <c r="Y230" s="202"/>
      <c r="Z230" s="185" t="str">
        <f aca="false">IF($A231="","",VLOOKUP($A230,Table,MATCH(Z$4,Curves,0)))</f>
        <v/>
      </c>
      <c r="AA230" s="185" t="str">
        <f aca="false">IF($A231="","",VLOOKUP($A230,Table,MATCH(AA$4,Curves,0)))</f>
        <v/>
      </c>
      <c r="AB230" s="185" t="e">
        <f aca="false">SQRT((AA230^2*(A230-$D$3)+Z230^2*(DAY(EOMONTH(A230,0))/2))/AK230)</f>
        <v>#VALUE!</v>
      </c>
      <c r="AC230" s="185" t="str">
        <f aca="false">IF($A231="","",VLOOKUP($A230,Table,MATCH(AC$4,Curves,0)))</f>
        <v/>
      </c>
      <c r="AD230" s="185" t="str">
        <f aca="false">IF($A231="","",VLOOKUP($A230,Table,MATCH(AD$4,Curves,0)))</f>
        <v/>
      </c>
      <c r="AE230" s="185" t="e">
        <f aca="false">SQRT((AD230^2*(A230-$D$3)+AC230^2*(DAY(EOMONTH(A230,0))/2))/AK230)</f>
        <v>#VALUE!</v>
      </c>
      <c r="AF230" s="224" t="e">
        <f aca="false">((Summary!$N$14*(AA230*AD230)*(A230-$D$3))+(Summary!$M$14*Z230*AC230*(AJ230-EOMONTH(EDATE(A230,-1),0))))/(AK230*AB230*AE230)</f>
        <v>#VALUE!</v>
      </c>
      <c r="AG230" s="207" t="str">
        <f aca="false">IF($A231="","",Summary!$Q$14)</f>
        <v/>
      </c>
      <c r="AH230" s="207" t="str">
        <f aca="false">IF($A231="","",IF(Summary!$R$12="Y",(VLOOKUP($A230,Summary!$AD$6:$AF$9,3)+'Escalating commodity'!J243),'Escalating commodity'!J243))</f>
        <v/>
      </c>
      <c r="AI230" s="207" t="str">
        <f aca="false">IF($A231="","",AH230)</f>
        <v/>
      </c>
      <c r="AJ230" s="208" t="e">
        <f aca="false">A230+DAY(EOMONTH(A230,0))/2-1</f>
        <v>#VALUE!</v>
      </c>
      <c r="AK230" s="209" t="str">
        <f aca="false">IF($A231="","",$A230-$E$1)</f>
        <v/>
      </c>
      <c r="AL230" s="182" t="str">
        <f aca="false">IF($A231="","",SPRDOPT(P230,X230,AI230,0,AB230,AE230,AF230,AK230,$AJ$2,0))</f>
        <v/>
      </c>
      <c r="AM230" s="211" t="str">
        <f aca="false">IF($A231="","",MAX(0,O230-W230-AI230))</f>
        <v/>
      </c>
      <c r="AN230" s="211" t="str">
        <f aca="false">IF($A231="","",AL230-AM230)</f>
        <v/>
      </c>
      <c r="AO230" s="137" t="str">
        <f aca="false">IF(A231="","",A231-A230)</f>
        <v/>
      </c>
      <c r="AP230" s="212" t="str">
        <f aca="false">IF(A231="","",CHOOSE(F$3,A231+24,A230))</f>
        <v/>
      </c>
      <c r="AQ230" s="209" t="str">
        <f aca="false">IF(A231="","",AP230-$E$1)</f>
        <v/>
      </c>
      <c r="AR230" s="185" t="n">
        <f aca="false">'ANR OK vs ML7'!AR230</f>
        <v>0.1</v>
      </c>
      <c r="AS230" s="213" t="str">
        <f aca="false">IF(A231="","",1/(1+CHOOSE(F$3,(AR231+($I$3/10000))/2,(AR230+($I$3/10000))/2))^(2*AQ230/365.25))</f>
        <v/>
      </c>
      <c r="AT230" s="137" t="str">
        <f aca="false">IF(A231="","",IF(AND(mthbeg&lt;=A230,mthend&gt;=A230),1,0))</f>
        <v/>
      </c>
      <c r="AU230" s="137" t="str">
        <f aca="false">IF(A231="","",AO230*AT230)</f>
        <v/>
      </c>
      <c r="AW230" s="195" t="str">
        <f aca="false">IF($A231="","",AL230*$E230)</f>
        <v/>
      </c>
      <c r="AX230" s="195" t="str">
        <f aca="false">IF($A231="","",AM230*$E230)</f>
        <v/>
      </c>
      <c r="AY230" s="195" t="str">
        <f aca="false">IF($A231="","",AN230*$E230)</f>
        <v/>
      </c>
      <c r="BA230" s="195" t="str">
        <f aca="false">IF($A231="","",F230*Summary!$Q$14)</f>
        <v/>
      </c>
    </row>
    <row r="231" customFormat="false" ht="12" hidden="false" customHeight="true" outlineLevel="0" collapsed="false">
      <c r="A231" s="196" t="str">
        <f aca="false">IF(A230&lt;mthend,EDATE(A230,1),"")</f>
        <v/>
      </c>
      <c r="B231" s="197" t="str">
        <f aca="false">IF(A231&lt;mthend,B230,"")</f>
        <v/>
      </c>
      <c r="C231" s="215"/>
      <c r="D231" s="197" t="str">
        <f aca="false">IF(A232&lt;&gt;"",B231+C231,"")</f>
        <v/>
      </c>
      <c r="E231" s="199" t="str">
        <f aca="false">IF(A232="","",IF(AND(AT231=1,$H$3=1),D231*AO231,IF($H$3=2,D231,"N/A")))</f>
        <v/>
      </c>
      <c r="F231" s="199" t="str">
        <f aca="false">IF(A232="","",E231*AS231)</f>
        <v/>
      </c>
      <c r="G231" s="200" t="str">
        <f aca="false">IF($A232="","",VLOOKUP($A231,Table,MATCH(G$4,Curves,0)))</f>
        <v/>
      </c>
      <c r="H231" s="201" t="str">
        <f aca="false">IF(A232="","",G231)</f>
        <v/>
      </c>
      <c r="I231" s="202"/>
      <c r="J231" s="200" t="str">
        <f aca="false">IF($A232="","",VLOOKUP($A231,Table,MATCH(J$4,Curves,0)))</f>
        <v/>
      </c>
      <c r="K231" s="201" t="str">
        <f aca="false">IF(A232="","",J231)</f>
        <v/>
      </c>
      <c r="L231" s="185" t="n">
        <v>0</v>
      </c>
      <c r="M231" s="201" t="str">
        <f aca="false">IF(A232="","",L231)</f>
        <v/>
      </c>
      <c r="N231" s="203"/>
      <c r="O231" s="200" t="str">
        <f aca="false">IF(A232="","",L231+J231+G231)</f>
        <v/>
      </c>
      <c r="P231" s="200" t="str">
        <f aca="false">IF(A232="","",M231+K231+H231)</f>
        <v/>
      </c>
      <c r="Q231" s="204"/>
      <c r="R231" s="200" t="str">
        <f aca="false">IF($A232="","",VLOOKUP($A231,Table,MATCH(R$4,Curves,0)))</f>
        <v/>
      </c>
      <c r="S231" s="201" t="str">
        <f aca="false">IF(A232="","",R231)</f>
        <v/>
      </c>
      <c r="T231" s="200" t="str">
        <f aca="false">IF($A232="","",VLOOKUP($A231,Table,MATCH(T$4,Curves,0)))</f>
        <v/>
      </c>
      <c r="U231" s="201" t="str">
        <f aca="false">IF(A232="","",T231)</f>
        <v/>
      </c>
      <c r="V231" s="183" t="str">
        <f aca="false">IF($A232="","",IF(AND(MONTH(A231)&gt;3,MONTH(A231)&lt;11),(T231+R231+G231)*(((1/(1-Summary!$T$14))/(1-Summary!$W$14))-1),(T231+R231+G231)*((1/(1-Summary!$U$14))/(1-Summary!$X$14)-1)))</f>
        <v/>
      </c>
      <c r="W231" s="202" t="str">
        <f aca="false">IF($A232="","",(T231+R231+G231+V231))</f>
        <v/>
      </c>
      <c r="X231" s="202" t="str">
        <f aca="false">IF($A232="","",(U231+S231+H231+V231))</f>
        <v/>
      </c>
      <c r="Y231" s="202"/>
      <c r="Z231" s="185" t="str">
        <f aca="false">IF($A232="","",VLOOKUP($A231,Table,MATCH(Z$4,Curves,0)))</f>
        <v/>
      </c>
      <c r="AA231" s="185" t="str">
        <f aca="false">IF($A232="","",VLOOKUP($A231,Table,MATCH(AA$4,Curves,0)))</f>
        <v/>
      </c>
      <c r="AB231" s="185" t="e">
        <f aca="false">SQRT((AA231^2*(A231-$D$3)+Z231^2*(DAY(EOMONTH(A231,0))/2))/AK231)</f>
        <v>#VALUE!</v>
      </c>
      <c r="AC231" s="185" t="str">
        <f aca="false">IF($A232="","",VLOOKUP($A231,Table,MATCH(AC$4,Curves,0)))</f>
        <v/>
      </c>
      <c r="AD231" s="185" t="str">
        <f aca="false">IF($A232="","",VLOOKUP($A231,Table,MATCH(AD$4,Curves,0)))</f>
        <v/>
      </c>
      <c r="AE231" s="185" t="e">
        <f aca="false">SQRT((AD231^2*(A231-$D$3)+AC231^2*(DAY(EOMONTH(A231,0))/2))/AK231)</f>
        <v>#VALUE!</v>
      </c>
      <c r="AF231" s="224" t="e">
        <f aca="false">((Summary!$N$14*(AA231*AD231)*(A231-$D$3))+(Summary!$M$14*Z231*AC231*(AJ231-EOMONTH(EDATE(A231,-1),0))))/(AK231*AB231*AE231)</f>
        <v>#VALUE!</v>
      </c>
      <c r="AG231" s="207" t="str">
        <f aca="false">IF($A232="","",Summary!$Q$14)</f>
        <v/>
      </c>
      <c r="AH231" s="207" t="str">
        <f aca="false">IF($A232="","",IF(Summary!$R$12="Y",(VLOOKUP($A231,Summary!$AD$6:$AF$9,3)+'Escalating commodity'!J244),'Escalating commodity'!J244))</f>
        <v/>
      </c>
      <c r="AI231" s="207" t="str">
        <f aca="false">IF($A232="","",AH231)</f>
        <v/>
      </c>
      <c r="AJ231" s="208" t="e">
        <f aca="false">A231+DAY(EOMONTH(A231,0))/2-1</f>
        <v>#VALUE!</v>
      </c>
      <c r="AK231" s="209" t="str">
        <f aca="false">IF($A232="","",$A231-$E$1)</f>
        <v/>
      </c>
      <c r="AL231" s="182" t="str">
        <f aca="false">IF($A232="","",SPRDOPT(P231,X231,AI231,0,AB231,AE231,AF231,AK231,$AJ$2,0))</f>
        <v/>
      </c>
      <c r="AM231" s="211" t="str">
        <f aca="false">IF($A232="","",MAX(0,O231-W231-AI231))</f>
        <v/>
      </c>
      <c r="AN231" s="211" t="str">
        <f aca="false">IF($A232="","",AL231-AM231)</f>
        <v/>
      </c>
      <c r="AO231" s="137" t="str">
        <f aca="false">IF(A232="","",A232-A231)</f>
        <v/>
      </c>
      <c r="AP231" s="212" t="str">
        <f aca="false">IF(A232="","",CHOOSE(F$3,A232+24,A231))</f>
        <v/>
      </c>
      <c r="AQ231" s="209" t="str">
        <f aca="false">IF(A232="","",AP231-$E$1)</f>
        <v/>
      </c>
      <c r="AR231" s="185" t="n">
        <f aca="false">'ANR OK vs ML7'!AR231</f>
        <v>0.1</v>
      </c>
      <c r="AS231" s="213" t="str">
        <f aca="false">IF(A232="","",1/(1+CHOOSE(F$3,(AR232+($I$3/10000))/2,(AR231+($I$3/10000))/2))^(2*AQ231/365.25))</f>
        <v/>
      </c>
      <c r="AT231" s="137" t="str">
        <f aca="false">IF(A232="","",IF(AND(mthbeg&lt;=A231,mthend&gt;=A231),1,0))</f>
        <v/>
      </c>
      <c r="AU231" s="137" t="str">
        <f aca="false">IF(A232="","",AO231*AT231)</f>
        <v/>
      </c>
      <c r="AW231" s="195" t="str">
        <f aca="false">IF($A232="","",AL231*$E231)</f>
        <v/>
      </c>
      <c r="AX231" s="195" t="str">
        <f aca="false">IF($A232="","",AM231*$E231)</f>
        <v/>
      </c>
      <c r="AY231" s="195" t="str">
        <f aca="false">IF($A232="","",AN231*$E231)</f>
        <v/>
      </c>
      <c r="BA231" s="195" t="str">
        <f aca="false">IF($A232="","",F231*Summary!$Q$14)</f>
        <v/>
      </c>
    </row>
    <row r="232" customFormat="false" ht="12" hidden="false" customHeight="true" outlineLevel="0" collapsed="false">
      <c r="A232" s="196" t="str">
        <f aca="false">IF(A231&lt;mthend,EDATE(A231,1),"")</f>
        <v/>
      </c>
      <c r="B232" s="197" t="str">
        <f aca="false">IF(A232&lt;mthend,B231,"")</f>
        <v/>
      </c>
      <c r="C232" s="215"/>
      <c r="D232" s="197" t="str">
        <f aca="false">IF(A233&lt;&gt;"",B232+C232,"")</f>
        <v/>
      </c>
      <c r="E232" s="199" t="str">
        <f aca="false">IF(A233="","",IF(AND(AT232=1,$H$3=1),D232*AO232,IF($H$3=2,D232,"N/A")))</f>
        <v/>
      </c>
      <c r="F232" s="199" t="str">
        <f aca="false">IF(A233="","",E232*AS232)</f>
        <v/>
      </c>
      <c r="G232" s="200" t="str">
        <f aca="false">IF($A233="","",VLOOKUP($A232,Table,MATCH(G$4,Curves,0)))</f>
        <v/>
      </c>
      <c r="H232" s="201" t="str">
        <f aca="false">IF(A233="","",G232)</f>
        <v/>
      </c>
      <c r="I232" s="202"/>
      <c r="J232" s="200" t="str">
        <f aca="false">IF($A233="","",VLOOKUP($A232,Table,MATCH(J$4,Curves,0)))</f>
        <v/>
      </c>
      <c r="K232" s="201" t="str">
        <f aca="false">IF(A233="","",J232)</f>
        <v/>
      </c>
      <c r="L232" s="185" t="n">
        <v>0</v>
      </c>
      <c r="M232" s="201" t="str">
        <f aca="false">IF(A233="","",L232)</f>
        <v/>
      </c>
      <c r="N232" s="203"/>
      <c r="O232" s="200" t="str">
        <f aca="false">IF(A233="","",L232+J232+G232)</f>
        <v/>
      </c>
      <c r="P232" s="200" t="str">
        <f aca="false">IF(A233="","",M232+K232+H232)</f>
        <v/>
      </c>
      <c r="Q232" s="204"/>
      <c r="R232" s="200" t="str">
        <f aca="false">IF($A233="","",VLOOKUP($A232,Table,MATCH(R$4,Curves,0)))</f>
        <v/>
      </c>
      <c r="S232" s="201" t="str">
        <f aca="false">IF(A233="","",R232)</f>
        <v/>
      </c>
      <c r="T232" s="200" t="str">
        <f aca="false">IF($A233="","",VLOOKUP($A232,Table,MATCH(T$4,Curves,0)))</f>
        <v/>
      </c>
      <c r="U232" s="201" t="str">
        <f aca="false">IF(A233="","",T232)</f>
        <v/>
      </c>
      <c r="V232" s="183" t="str">
        <f aca="false">IF($A233="","",IF(AND(MONTH(A232)&gt;3,MONTH(A232)&lt;11),(T232+R232+G232)*(((1/(1-Summary!$T$14))/(1-Summary!$W$14))-1),(T232+R232+G232)*((1/(1-Summary!$U$14))/(1-Summary!$X$14)-1)))</f>
        <v/>
      </c>
      <c r="W232" s="202" t="str">
        <f aca="false">IF($A233="","",(T232+R232+G232+V232))</f>
        <v/>
      </c>
      <c r="X232" s="202" t="str">
        <f aca="false">IF($A233="","",(U232+S232+H232+V232))</f>
        <v/>
      </c>
      <c r="Y232" s="202"/>
      <c r="Z232" s="185" t="str">
        <f aca="false">IF($A233="","",VLOOKUP($A232,Table,MATCH(Z$4,Curves,0)))</f>
        <v/>
      </c>
      <c r="AA232" s="185" t="str">
        <f aca="false">IF($A233="","",VLOOKUP($A232,Table,MATCH(AA$4,Curves,0)))</f>
        <v/>
      </c>
      <c r="AB232" s="185" t="e">
        <f aca="false">SQRT((AA232^2*(A232-$D$3)+Z232^2*(DAY(EOMONTH(A232,0))/2))/AK232)</f>
        <v>#VALUE!</v>
      </c>
      <c r="AC232" s="185" t="str">
        <f aca="false">IF($A233="","",VLOOKUP($A232,Table,MATCH(AC$4,Curves,0)))</f>
        <v/>
      </c>
      <c r="AD232" s="185" t="str">
        <f aca="false">IF($A233="","",VLOOKUP($A232,Table,MATCH(AD$4,Curves,0)))</f>
        <v/>
      </c>
      <c r="AE232" s="185" t="e">
        <f aca="false">SQRT((AD232^2*(A232-$D$3)+AC232^2*(DAY(EOMONTH(A232,0))/2))/AK232)</f>
        <v>#VALUE!</v>
      </c>
      <c r="AF232" s="224" t="e">
        <f aca="false">((Summary!$N$14*(AA232*AD232)*(A232-$D$3))+(Summary!$M$14*Z232*AC232*(AJ232-EOMONTH(EDATE(A232,-1),0))))/(AK232*AB232*AE232)</f>
        <v>#VALUE!</v>
      </c>
      <c r="AG232" s="207" t="str">
        <f aca="false">IF($A233="","",Summary!$Q$14)</f>
        <v/>
      </c>
      <c r="AH232" s="207" t="str">
        <f aca="false">IF($A233="","",IF(Summary!$R$12="Y",(VLOOKUP($A232,Summary!$AD$6:$AF$9,3)+'Escalating commodity'!J245),'Escalating commodity'!J245))</f>
        <v/>
      </c>
      <c r="AI232" s="207" t="str">
        <f aca="false">IF($A233="","",AH232)</f>
        <v/>
      </c>
      <c r="AJ232" s="208" t="e">
        <f aca="false">A232+DAY(EOMONTH(A232,0))/2-1</f>
        <v>#VALUE!</v>
      </c>
      <c r="AK232" s="209" t="str">
        <f aca="false">IF($A233="","",$A232-$E$1)</f>
        <v/>
      </c>
      <c r="AL232" s="182" t="str">
        <f aca="false">IF($A233="","",SPRDOPT(P232,X232,AI232,0,AB232,AE232,AF232,AK232,$AJ$2,0))</f>
        <v/>
      </c>
      <c r="AM232" s="211" t="str">
        <f aca="false">IF($A233="","",MAX(0,O232-W232-AI232))</f>
        <v/>
      </c>
      <c r="AN232" s="211" t="str">
        <f aca="false">IF($A233="","",AL232-AM232)</f>
        <v/>
      </c>
      <c r="AO232" s="137" t="str">
        <f aca="false">IF(A233="","",A233-A232)</f>
        <v/>
      </c>
      <c r="AP232" s="212" t="str">
        <f aca="false">IF(A233="","",CHOOSE(F$3,A233+24,A232))</f>
        <v/>
      </c>
      <c r="AQ232" s="209" t="str">
        <f aca="false">IF(A233="","",AP232-$E$1)</f>
        <v/>
      </c>
      <c r="AR232" s="185" t="n">
        <f aca="false">'ANR OK vs ML7'!AR232</f>
        <v>0.1</v>
      </c>
      <c r="AS232" s="213" t="str">
        <f aca="false">IF(A233="","",1/(1+CHOOSE(F$3,(AR233+($I$3/10000))/2,(AR232+($I$3/10000))/2))^(2*AQ232/365.25))</f>
        <v/>
      </c>
      <c r="AT232" s="137" t="str">
        <f aca="false">IF(A233="","",IF(AND(mthbeg&lt;=A232,mthend&gt;=A232),1,0))</f>
        <v/>
      </c>
      <c r="AU232" s="137" t="str">
        <f aca="false">IF(A233="","",AO232*AT232)</f>
        <v/>
      </c>
      <c r="AW232" s="195" t="str">
        <f aca="false">IF($A233="","",AL232*$E232)</f>
        <v/>
      </c>
      <c r="AX232" s="195" t="str">
        <f aca="false">IF($A233="","",AM232*$E232)</f>
        <v/>
      </c>
      <c r="AY232" s="195" t="str">
        <f aca="false">IF($A233="","",AN232*$E232)</f>
        <v/>
      </c>
      <c r="BA232" s="195" t="str">
        <f aca="false">IF($A233="","",F232*Summary!$Q$14)</f>
        <v/>
      </c>
    </row>
    <row r="233" customFormat="false" ht="12" hidden="false" customHeight="true" outlineLevel="0" collapsed="false">
      <c r="A233" s="196" t="str">
        <f aca="false">IF(A232&lt;mthend,EDATE(A232,1),"")</f>
        <v/>
      </c>
      <c r="B233" s="197" t="str">
        <f aca="false">IF(A233&lt;mthend,B232,"")</f>
        <v/>
      </c>
      <c r="C233" s="215"/>
      <c r="D233" s="197" t="str">
        <f aca="false">IF(A234&lt;&gt;"",B233+C233,"")</f>
        <v/>
      </c>
      <c r="E233" s="199" t="str">
        <f aca="false">IF(A234="","",IF(AND(AT233=1,$H$3=1),D233*AO233,IF($H$3=2,D233,"N/A")))</f>
        <v/>
      </c>
      <c r="F233" s="199" t="str">
        <f aca="false">IF(A234="","",E233*AS233)</f>
        <v/>
      </c>
      <c r="G233" s="200" t="str">
        <f aca="false">IF($A234="","",VLOOKUP($A233,Table,MATCH(G$4,Curves,0)))</f>
        <v/>
      </c>
      <c r="H233" s="201" t="str">
        <f aca="false">IF(A234="","",G233)</f>
        <v/>
      </c>
      <c r="I233" s="202"/>
      <c r="J233" s="200" t="str">
        <f aca="false">IF($A234="","",VLOOKUP($A233,Table,MATCH(J$4,Curves,0)))</f>
        <v/>
      </c>
      <c r="K233" s="201" t="str">
        <f aca="false">IF(A234="","",J233)</f>
        <v/>
      </c>
      <c r="L233" s="185" t="n">
        <v>0</v>
      </c>
      <c r="M233" s="201" t="str">
        <f aca="false">IF(A234="","",L233)</f>
        <v/>
      </c>
      <c r="N233" s="203"/>
      <c r="O233" s="200" t="str">
        <f aca="false">IF(A234="","",L233+J233+G233)</f>
        <v/>
      </c>
      <c r="P233" s="200" t="str">
        <f aca="false">IF(A234="","",M233+K233+H233)</f>
        <v/>
      </c>
      <c r="Q233" s="204"/>
      <c r="R233" s="200" t="str">
        <f aca="false">IF($A234="","",VLOOKUP($A233,Table,MATCH(R$4,Curves,0)))</f>
        <v/>
      </c>
      <c r="S233" s="201" t="str">
        <f aca="false">IF(A234="","",R233)</f>
        <v/>
      </c>
      <c r="T233" s="200" t="str">
        <f aca="false">IF($A234="","",VLOOKUP($A233,Table,MATCH(T$4,Curves,0)))</f>
        <v/>
      </c>
      <c r="U233" s="201" t="str">
        <f aca="false">IF(A234="","",T233)</f>
        <v/>
      </c>
      <c r="V233" s="183" t="str">
        <f aca="false">IF($A234="","",IF(AND(MONTH(A233)&gt;3,MONTH(A233)&lt;11),(T233+R233+G233)*(((1/(1-Summary!$T$14))/(1-Summary!$W$14))-1),(T233+R233+G233)*((1/(1-Summary!$U$14))/(1-Summary!$X$14)-1)))</f>
        <v/>
      </c>
      <c r="W233" s="202" t="str">
        <f aca="false">IF($A234="","",(T233+R233+G233+V233))</f>
        <v/>
      </c>
      <c r="X233" s="202" t="str">
        <f aca="false">IF($A234="","",(U233+S233+H233+V233))</f>
        <v/>
      </c>
      <c r="Y233" s="202"/>
      <c r="Z233" s="185" t="str">
        <f aca="false">IF($A234="","",VLOOKUP($A233,Table,MATCH(Z$4,Curves,0)))</f>
        <v/>
      </c>
      <c r="AA233" s="185" t="str">
        <f aca="false">IF($A234="","",VLOOKUP($A233,Table,MATCH(AA$4,Curves,0)))</f>
        <v/>
      </c>
      <c r="AB233" s="185" t="e">
        <f aca="false">SQRT((AA233^2*(A233-$D$3)+Z233^2*(DAY(EOMONTH(A233,0))/2))/AK233)</f>
        <v>#VALUE!</v>
      </c>
      <c r="AC233" s="185" t="str">
        <f aca="false">IF($A234="","",VLOOKUP($A233,Table,MATCH(AC$4,Curves,0)))</f>
        <v/>
      </c>
      <c r="AD233" s="185" t="str">
        <f aca="false">IF($A234="","",VLOOKUP($A233,Table,MATCH(AD$4,Curves,0)))</f>
        <v/>
      </c>
      <c r="AE233" s="185" t="e">
        <f aca="false">SQRT((AD233^2*(A233-$D$3)+AC233^2*(DAY(EOMONTH(A233,0))/2))/AK233)</f>
        <v>#VALUE!</v>
      </c>
      <c r="AF233" s="224" t="e">
        <f aca="false">((Summary!$N$14*(AA233*AD233)*(A233-$D$3))+(Summary!$M$14*Z233*AC233*(AJ233-EOMONTH(EDATE(A233,-1),0))))/(AK233*AB233*AE233)</f>
        <v>#VALUE!</v>
      </c>
      <c r="AG233" s="207" t="str">
        <f aca="false">IF($A234="","",Summary!$Q$14)</f>
        <v/>
      </c>
      <c r="AH233" s="207" t="str">
        <f aca="false">IF($A234="","",IF(Summary!$R$12="Y",(VLOOKUP($A233,Summary!$AD$6:$AF$9,3)+'Escalating commodity'!J246),'Escalating commodity'!J246))</f>
        <v/>
      </c>
      <c r="AI233" s="207" t="str">
        <f aca="false">IF($A234="","",AH233)</f>
        <v/>
      </c>
      <c r="AJ233" s="208" t="e">
        <f aca="false">A233+DAY(EOMONTH(A233,0))/2-1</f>
        <v>#VALUE!</v>
      </c>
      <c r="AK233" s="209" t="str">
        <f aca="false">IF($A234="","",$A233-$E$1)</f>
        <v/>
      </c>
      <c r="AL233" s="182" t="str">
        <f aca="false">IF($A234="","",SPRDOPT(P233,X233,AI233,0,AB233,AE233,AF233,AK233,$AJ$2,0))</f>
        <v/>
      </c>
      <c r="AM233" s="211" t="str">
        <f aca="false">IF($A234="","",MAX(0,O233-W233-AI233))</f>
        <v/>
      </c>
      <c r="AN233" s="211" t="str">
        <f aca="false">IF($A234="","",AL233-AM233)</f>
        <v/>
      </c>
      <c r="AO233" s="137" t="str">
        <f aca="false">IF(A234="","",A234-A233)</f>
        <v/>
      </c>
      <c r="AP233" s="212" t="str">
        <f aca="false">IF(A234="","",CHOOSE(F$3,A234+24,A233))</f>
        <v/>
      </c>
      <c r="AQ233" s="209" t="str">
        <f aca="false">IF(A234="","",AP233-$E$1)</f>
        <v/>
      </c>
      <c r="AR233" s="185" t="n">
        <f aca="false">'ANR OK vs ML7'!AR233</f>
        <v>0.1</v>
      </c>
      <c r="AS233" s="213" t="str">
        <f aca="false">IF(A234="","",1/(1+CHOOSE(F$3,(AR234+($I$3/10000))/2,(AR233+($I$3/10000))/2))^(2*AQ233/365.25))</f>
        <v/>
      </c>
      <c r="AT233" s="137" t="str">
        <f aca="false">IF(A234="","",IF(AND(mthbeg&lt;=A233,mthend&gt;=A233),1,0))</f>
        <v/>
      </c>
      <c r="AU233" s="137" t="str">
        <f aca="false">IF(A234="","",AO233*AT233)</f>
        <v/>
      </c>
      <c r="AW233" s="195" t="str">
        <f aca="false">IF($A234="","",AL233*$E233)</f>
        <v/>
      </c>
      <c r="AX233" s="195" t="str">
        <f aca="false">IF($A234="","",AM233*$E233)</f>
        <v/>
      </c>
      <c r="AY233" s="195" t="str">
        <f aca="false">IF($A234="","",AN233*$E233)</f>
        <v/>
      </c>
      <c r="BA233" s="195" t="str">
        <f aca="false">IF($A234="","",F233*Summary!$Q$14)</f>
        <v/>
      </c>
    </row>
    <row r="234" customFormat="false" ht="12" hidden="false" customHeight="true" outlineLevel="0" collapsed="false">
      <c r="A234" s="196" t="str">
        <f aca="false">IF(A233&lt;mthend,EDATE(A233,1),"")</f>
        <v/>
      </c>
      <c r="B234" s="197" t="str">
        <f aca="false">IF(A234&lt;mthend,B233,"")</f>
        <v/>
      </c>
      <c r="C234" s="215"/>
      <c r="D234" s="197" t="str">
        <f aca="false">IF(A235&lt;&gt;"",B234+C234,"")</f>
        <v/>
      </c>
      <c r="E234" s="199" t="str">
        <f aca="false">IF(A235="","",IF(AND(AT234=1,$H$3=1),D234*AO234,IF($H$3=2,D234,"N/A")))</f>
        <v/>
      </c>
      <c r="F234" s="199" t="str">
        <f aca="false">IF(A235="","",E234*AS234)</f>
        <v/>
      </c>
      <c r="G234" s="200" t="str">
        <f aca="false">IF($A235="","",VLOOKUP($A234,Table,MATCH(G$4,Curves,0)))</f>
        <v/>
      </c>
      <c r="H234" s="201" t="str">
        <f aca="false">IF(A235="","",G234)</f>
        <v/>
      </c>
      <c r="I234" s="202"/>
      <c r="J234" s="200" t="str">
        <f aca="false">IF($A235="","",VLOOKUP($A234,Table,MATCH(J$4,Curves,0)))</f>
        <v/>
      </c>
      <c r="K234" s="201" t="str">
        <f aca="false">IF(A235="","",J234)</f>
        <v/>
      </c>
      <c r="L234" s="185" t="n">
        <v>0</v>
      </c>
      <c r="M234" s="201" t="str">
        <f aca="false">IF(A235="","",L234)</f>
        <v/>
      </c>
      <c r="N234" s="203"/>
      <c r="O234" s="200" t="str">
        <f aca="false">IF(A235="","",L234+J234+G234)</f>
        <v/>
      </c>
      <c r="P234" s="200" t="str">
        <f aca="false">IF(A235="","",M234+K234+H234)</f>
        <v/>
      </c>
      <c r="Q234" s="204"/>
      <c r="R234" s="200" t="str">
        <f aca="false">IF($A235="","",VLOOKUP($A234,Table,MATCH(R$4,Curves,0)))</f>
        <v/>
      </c>
      <c r="S234" s="201" t="str">
        <f aca="false">IF(A235="","",R234)</f>
        <v/>
      </c>
      <c r="T234" s="200" t="str">
        <f aca="false">IF($A235="","",VLOOKUP($A234,Table,MATCH(T$4,Curves,0)))</f>
        <v/>
      </c>
      <c r="U234" s="201" t="str">
        <f aca="false">IF(A235="","",T234)</f>
        <v/>
      </c>
      <c r="V234" s="183" t="str">
        <f aca="false">IF($A235="","",IF(AND(MONTH(A234)&gt;3,MONTH(A234)&lt;11),(T234+R234+G234)*(((1/(1-Summary!$T$14))/(1-Summary!$W$14))-1),(T234+R234+G234)*((1/(1-Summary!$U$14))/(1-Summary!$X$14)-1)))</f>
        <v/>
      </c>
      <c r="W234" s="202" t="str">
        <f aca="false">IF($A235="","",(T234+R234+G234+V234))</f>
        <v/>
      </c>
      <c r="X234" s="202" t="str">
        <f aca="false">IF($A235="","",(U234+S234+H234+V234))</f>
        <v/>
      </c>
      <c r="Y234" s="202"/>
      <c r="Z234" s="185" t="str">
        <f aca="false">IF($A235="","",VLOOKUP($A234,Table,MATCH(Z$4,Curves,0)))</f>
        <v/>
      </c>
      <c r="AA234" s="185" t="str">
        <f aca="false">IF($A235="","",VLOOKUP($A234,Table,MATCH(AA$4,Curves,0)))</f>
        <v/>
      </c>
      <c r="AB234" s="185" t="e">
        <f aca="false">SQRT((AA234^2*(A234-$D$3)+Z234^2*(DAY(EOMONTH(A234,0))/2))/AK234)</f>
        <v>#VALUE!</v>
      </c>
      <c r="AC234" s="185" t="str">
        <f aca="false">IF($A235="","",VLOOKUP($A234,Table,MATCH(AC$4,Curves,0)))</f>
        <v/>
      </c>
      <c r="AD234" s="185" t="str">
        <f aca="false">IF($A235="","",VLOOKUP($A234,Table,MATCH(AD$4,Curves,0)))</f>
        <v/>
      </c>
      <c r="AE234" s="185" t="e">
        <f aca="false">SQRT((AD234^2*(A234-$D$3)+AC234^2*(DAY(EOMONTH(A234,0))/2))/AK234)</f>
        <v>#VALUE!</v>
      </c>
      <c r="AF234" s="224" t="e">
        <f aca="false">((Summary!$N$14*(AA234*AD234)*(A234-$D$3))+(Summary!$M$14*Z234*AC234*(AJ234-EOMONTH(EDATE(A234,-1),0))))/(AK234*AB234*AE234)</f>
        <v>#VALUE!</v>
      </c>
      <c r="AG234" s="207" t="str">
        <f aca="false">IF($A235="","",Summary!$Q$14)</f>
        <v/>
      </c>
      <c r="AH234" s="207" t="str">
        <f aca="false">IF($A235="","",IF(Summary!$R$12="Y",(VLOOKUP($A234,Summary!$AD$6:$AF$9,3)+'Escalating commodity'!J247),'Escalating commodity'!J247))</f>
        <v/>
      </c>
      <c r="AI234" s="207" t="str">
        <f aca="false">IF($A235="","",AH234)</f>
        <v/>
      </c>
      <c r="AJ234" s="208" t="e">
        <f aca="false">A234+DAY(EOMONTH(A234,0))/2-1</f>
        <v>#VALUE!</v>
      </c>
      <c r="AK234" s="209" t="str">
        <f aca="false">IF($A235="","",$A234-$E$1)</f>
        <v/>
      </c>
      <c r="AL234" s="182" t="str">
        <f aca="false">IF($A235="","",SPRDOPT(P234,X234,AI234,0,AB234,AE234,AF234,AK234,$AJ$2,0))</f>
        <v/>
      </c>
      <c r="AM234" s="211" t="str">
        <f aca="false">IF($A235="","",MAX(0,O234-W234-AI234))</f>
        <v/>
      </c>
      <c r="AN234" s="211" t="str">
        <f aca="false">IF($A235="","",AL234-AM234)</f>
        <v/>
      </c>
      <c r="AO234" s="137" t="str">
        <f aca="false">IF(A235="","",A235-A234)</f>
        <v/>
      </c>
      <c r="AP234" s="212" t="str">
        <f aca="false">IF(A235="","",CHOOSE(F$3,A235+24,A234))</f>
        <v/>
      </c>
      <c r="AQ234" s="209" t="str">
        <f aca="false">IF(A235="","",AP234-$E$1)</f>
        <v/>
      </c>
      <c r="AR234" s="185" t="n">
        <f aca="false">'ANR OK vs ML7'!AR234</f>
        <v>0.1</v>
      </c>
      <c r="AS234" s="213" t="str">
        <f aca="false">IF(A235="","",1/(1+CHOOSE(F$3,(AR235+($I$3/10000))/2,(AR234+($I$3/10000))/2))^(2*AQ234/365.25))</f>
        <v/>
      </c>
      <c r="AT234" s="137" t="str">
        <f aca="false">IF(A235="","",IF(AND(mthbeg&lt;=A234,mthend&gt;=A234),1,0))</f>
        <v/>
      </c>
      <c r="AU234" s="137" t="str">
        <f aca="false">IF(A235="","",AO234*AT234)</f>
        <v/>
      </c>
      <c r="AW234" s="195" t="str">
        <f aca="false">IF($A235="","",AL234*$E234)</f>
        <v/>
      </c>
      <c r="AX234" s="195" t="str">
        <f aca="false">IF($A235="","",AM234*$E234)</f>
        <v/>
      </c>
      <c r="AY234" s="195" t="str">
        <f aca="false">IF($A235="","",AN234*$E234)</f>
        <v/>
      </c>
      <c r="BA234" s="195" t="str">
        <f aca="false">IF($A235="","",F234*Summary!$Q$14)</f>
        <v/>
      </c>
    </row>
    <row r="235" customFormat="false" ht="12" hidden="false" customHeight="true" outlineLevel="0" collapsed="false">
      <c r="A235" s="196" t="str">
        <f aca="false">IF(A234&lt;mthend,EDATE(A234,1),"")</f>
        <v/>
      </c>
      <c r="B235" s="197" t="str">
        <f aca="false">IF(A235&lt;mthend,B234,"")</f>
        <v/>
      </c>
      <c r="C235" s="215"/>
      <c r="D235" s="197" t="str">
        <f aca="false">IF(A236&lt;&gt;"",B235+C235,"")</f>
        <v/>
      </c>
      <c r="E235" s="199" t="str">
        <f aca="false">IF(A236="","",IF(AND(AT235=1,$H$3=1),D235*AO235,IF($H$3=2,D235,"N/A")))</f>
        <v/>
      </c>
      <c r="F235" s="199" t="str">
        <f aca="false">IF(A236="","",E235*AS235)</f>
        <v/>
      </c>
      <c r="G235" s="200" t="str">
        <f aca="false">IF($A236="","",VLOOKUP($A235,Table,MATCH(G$4,Curves,0)))</f>
        <v/>
      </c>
      <c r="H235" s="201" t="str">
        <f aca="false">IF(A236="","",G235)</f>
        <v/>
      </c>
      <c r="I235" s="202"/>
      <c r="J235" s="200" t="str">
        <f aca="false">IF($A236="","",VLOOKUP($A235,Table,MATCH(J$4,Curves,0)))</f>
        <v/>
      </c>
      <c r="K235" s="201" t="str">
        <f aca="false">IF(A236="","",J235)</f>
        <v/>
      </c>
      <c r="L235" s="185" t="n">
        <v>0</v>
      </c>
      <c r="M235" s="201" t="str">
        <f aca="false">IF(A236="","",L235)</f>
        <v/>
      </c>
      <c r="N235" s="203"/>
      <c r="O235" s="200" t="str">
        <f aca="false">IF(A236="","",L235+J235+G235)</f>
        <v/>
      </c>
      <c r="P235" s="200" t="str">
        <f aca="false">IF(A236="","",M235+K235+H235)</f>
        <v/>
      </c>
      <c r="Q235" s="204"/>
      <c r="R235" s="200" t="str">
        <f aca="false">IF($A236="","",VLOOKUP($A235,Table,MATCH(R$4,Curves,0)))</f>
        <v/>
      </c>
      <c r="S235" s="201" t="str">
        <f aca="false">IF(A236="","",R235)</f>
        <v/>
      </c>
      <c r="T235" s="200" t="str">
        <f aca="false">IF($A236="","",VLOOKUP($A235,Table,MATCH(T$4,Curves,0)))</f>
        <v/>
      </c>
      <c r="U235" s="201" t="str">
        <f aca="false">IF(A236="","",T235)</f>
        <v/>
      </c>
      <c r="V235" s="183" t="str">
        <f aca="false">IF($A236="","",IF(AND(MONTH(A235)&gt;3,MONTH(A235)&lt;11),(T235+R235+G235)*(((1/(1-Summary!$T$14))/(1-Summary!$W$14))-1),(T235+R235+G235)*((1/(1-Summary!$U$14))/(1-Summary!$X$14)-1)))</f>
        <v/>
      </c>
      <c r="W235" s="202" t="str">
        <f aca="false">IF($A236="","",(T235+R235+G235+V235))</f>
        <v/>
      </c>
      <c r="X235" s="202" t="str">
        <f aca="false">IF($A236="","",(U235+S235+H235+V235))</f>
        <v/>
      </c>
      <c r="Y235" s="202"/>
      <c r="Z235" s="185" t="str">
        <f aca="false">IF($A236="","",VLOOKUP($A235,Table,MATCH(Z$4,Curves,0)))</f>
        <v/>
      </c>
      <c r="AA235" s="185" t="str">
        <f aca="false">IF($A236="","",VLOOKUP($A235,Table,MATCH(AA$4,Curves,0)))</f>
        <v/>
      </c>
      <c r="AB235" s="185" t="e">
        <f aca="false">SQRT((AA235^2*(A235-$D$3)+Z235^2*(DAY(EOMONTH(A235,0))/2))/AK235)</f>
        <v>#VALUE!</v>
      </c>
      <c r="AC235" s="185" t="str">
        <f aca="false">IF($A236="","",VLOOKUP($A235,Table,MATCH(AC$4,Curves,0)))</f>
        <v/>
      </c>
      <c r="AD235" s="185" t="str">
        <f aca="false">IF($A236="","",VLOOKUP($A235,Table,MATCH(AD$4,Curves,0)))</f>
        <v/>
      </c>
      <c r="AE235" s="185" t="e">
        <f aca="false">SQRT((AD235^2*(A235-$D$3)+AC235^2*(DAY(EOMONTH(A235,0))/2))/AK235)</f>
        <v>#VALUE!</v>
      </c>
      <c r="AF235" s="224" t="e">
        <f aca="false">((Summary!$N$14*(AA235*AD235)*(A235-$D$3))+(Summary!$M$14*Z235*AC235*(AJ235-EOMONTH(EDATE(A235,-1),0))))/(AK235*AB235*AE235)</f>
        <v>#VALUE!</v>
      </c>
      <c r="AG235" s="207" t="str">
        <f aca="false">IF($A236="","",Summary!$Q$14)</f>
        <v/>
      </c>
      <c r="AH235" s="207" t="str">
        <f aca="false">IF($A236="","",IF(Summary!$R$12="Y",(VLOOKUP($A235,Summary!$AD$6:$AF$9,3)+'Escalating commodity'!J248),'Escalating commodity'!J248))</f>
        <v/>
      </c>
      <c r="AI235" s="207" t="str">
        <f aca="false">IF($A236="","",AH235)</f>
        <v/>
      </c>
      <c r="AJ235" s="208" t="e">
        <f aca="false">A235+DAY(EOMONTH(A235,0))/2-1</f>
        <v>#VALUE!</v>
      </c>
      <c r="AK235" s="209" t="str">
        <f aca="false">IF($A236="","",$A235-$E$1)</f>
        <v/>
      </c>
      <c r="AL235" s="182" t="str">
        <f aca="false">IF($A236="","",SPRDOPT(P235,X235,AI235,0,AB235,AE235,AF235,AK235,$AJ$2,0))</f>
        <v/>
      </c>
      <c r="AM235" s="211" t="str">
        <f aca="false">IF($A236="","",MAX(0,O235-W235-AI235))</f>
        <v/>
      </c>
      <c r="AN235" s="211" t="str">
        <f aca="false">IF($A236="","",AL235-AM235)</f>
        <v/>
      </c>
      <c r="AO235" s="137" t="str">
        <f aca="false">IF(A236="","",A236-A235)</f>
        <v/>
      </c>
      <c r="AP235" s="212" t="str">
        <f aca="false">IF(A236="","",CHOOSE(F$3,A236+24,A235))</f>
        <v/>
      </c>
      <c r="AQ235" s="209" t="str">
        <f aca="false">IF(A236="","",AP235-$E$1)</f>
        <v/>
      </c>
      <c r="AR235" s="185" t="n">
        <f aca="false">'ANR OK vs ML7'!AR235</f>
        <v>0.1</v>
      </c>
      <c r="AS235" s="213" t="str">
        <f aca="false">IF(A236="","",1/(1+CHOOSE(F$3,(AR236+($I$3/10000))/2,(AR235+($I$3/10000))/2))^(2*AQ235/365.25))</f>
        <v/>
      </c>
      <c r="AT235" s="137" t="str">
        <f aca="false">IF(A236="","",IF(AND(mthbeg&lt;=A235,mthend&gt;=A235),1,0))</f>
        <v/>
      </c>
      <c r="AU235" s="137" t="str">
        <f aca="false">IF(A236="","",AO235*AT235)</f>
        <v/>
      </c>
      <c r="AW235" s="195" t="str">
        <f aca="false">IF($A236="","",AL235*$E235)</f>
        <v/>
      </c>
      <c r="AX235" s="195" t="str">
        <f aca="false">IF($A236="","",AM235*$E235)</f>
        <v/>
      </c>
      <c r="AY235" s="195" t="str">
        <f aca="false">IF($A236="","",AN235*$E235)</f>
        <v/>
      </c>
      <c r="BA235" s="195" t="str">
        <f aca="false">IF($A236="","",F235*Summary!$Q$14)</f>
        <v/>
      </c>
    </row>
    <row r="236" customFormat="false" ht="12" hidden="false" customHeight="true" outlineLevel="0" collapsed="false">
      <c r="A236" s="196" t="str">
        <f aca="false">IF(A235&lt;mthend,EDATE(A235,1),"")</f>
        <v/>
      </c>
      <c r="B236" s="197" t="str">
        <f aca="false">IF(A236&lt;mthend,B235,"")</f>
        <v/>
      </c>
      <c r="C236" s="215"/>
      <c r="D236" s="197" t="str">
        <f aca="false">IF(A237&lt;&gt;"",B236+C236,"")</f>
        <v/>
      </c>
      <c r="E236" s="199" t="str">
        <f aca="false">IF(A237="","",IF(AND(AT236=1,$H$3=1),D236*AO236,IF($H$3=2,D236,"N/A")))</f>
        <v/>
      </c>
      <c r="F236" s="199" t="str">
        <f aca="false">IF(A237="","",E236*AS236)</f>
        <v/>
      </c>
      <c r="G236" s="200" t="str">
        <f aca="false">IF($A237="","",VLOOKUP($A236,Table,MATCH(G$4,Curves,0)))</f>
        <v/>
      </c>
      <c r="H236" s="201" t="str">
        <f aca="false">IF(A237="","",G236)</f>
        <v/>
      </c>
      <c r="I236" s="202"/>
      <c r="J236" s="200" t="str">
        <f aca="false">IF($A237="","",VLOOKUP($A236,Table,MATCH(J$4,Curves,0)))</f>
        <v/>
      </c>
      <c r="K236" s="201" t="str">
        <f aca="false">IF(A237="","",J236)</f>
        <v/>
      </c>
      <c r="L236" s="185" t="n">
        <v>0</v>
      </c>
      <c r="M236" s="201" t="str">
        <f aca="false">IF(A237="","",L236)</f>
        <v/>
      </c>
      <c r="N236" s="203"/>
      <c r="O236" s="200" t="str">
        <f aca="false">IF(A237="","",L236+J236+G236)</f>
        <v/>
      </c>
      <c r="P236" s="200" t="str">
        <f aca="false">IF(A237="","",M236+K236+H236)</f>
        <v/>
      </c>
      <c r="Q236" s="204"/>
      <c r="R236" s="200" t="str">
        <f aca="false">IF($A237="","",VLOOKUP($A236,Table,MATCH(R$4,Curves,0)))</f>
        <v/>
      </c>
      <c r="S236" s="201" t="str">
        <f aca="false">IF(A237="","",R236)</f>
        <v/>
      </c>
      <c r="T236" s="200" t="str">
        <f aca="false">IF($A237="","",VLOOKUP($A236,Table,MATCH(T$4,Curves,0)))</f>
        <v/>
      </c>
      <c r="U236" s="201" t="str">
        <f aca="false">IF(A237="","",T236)</f>
        <v/>
      </c>
      <c r="V236" s="183" t="str">
        <f aca="false">IF($A237="","",IF(AND(MONTH(A236)&gt;3,MONTH(A236)&lt;11),(T236+R236+G236)*(((1/(1-Summary!$T$14))/(1-Summary!$W$14))-1),(T236+R236+G236)*((1/(1-Summary!$U$14))/(1-Summary!$X$14)-1)))</f>
        <v/>
      </c>
      <c r="W236" s="202" t="str">
        <f aca="false">IF($A237="","",(T236+R236+G236+V236))</f>
        <v/>
      </c>
      <c r="X236" s="202" t="str">
        <f aca="false">IF($A237="","",(U236+S236+H236+V236))</f>
        <v/>
      </c>
      <c r="Y236" s="202"/>
      <c r="Z236" s="185" t="str">
        <f aca="false">IF($A237="","",VLOOKUP($A236,Table,MATCH(Z$4,Curves,0)))</f>
        <v/>
      </c>
      <c r="AA236" s="185" t="str">
        <f aca="false">IF($A237="","",VLOOKUP($A236,Table,MATCH(AA$4,Curves,0)))</f>
        <v/>
      </c>
      <c r="AB236" s="185" t="e">
        <f aca="false">SQRT((AA236^2*(A236-$D$3)+Z236^2*(DAY(EOMONTH(A236,0))/2))/AK236)</f>
        <v>#VALUE!</v>
      </c>
      <c r="AC236" s="185" t="str">
        <f aca="false">IF($A237="","",VLOOKUP($A236,Table,MATCH(AC$4,Curves,0)))</f>
        <v/>
      </c>
      <c r="AD236" s="185" t="str">
        <f aca="false">IF($A237="","",VLOOKUP($A236,Table,MATCH(AD$4,Curves,0)))</f>
        <v/>
      </c>
      <c r="AE236" s="185" t="e">
        <f aca="false">SQRT((AD236^2*(A236-$D$3)+AC236^2*(DAY(EOMONTH(A236,0))/2))/AK236)</f>
        <v>#VALUE!</v>
      </c>
      <c r="AF236" s="224" t="e">
        <f aca="false">((Summary!$N$14*(AA236*AD236)*(A236-$D$3))+(Summary!$M$14*Z236*AC236*(AJ236-EOMONTH(EDATE(A236,-1),0))))/(AK236*AB236*AE236)</f>
        <v>#VALUE!</v>
      </c>
      <c r="AG236" s="207" t="str">
        <f aca="false">IF($A237="","",Summary!$Q$14)</f>
        <v/>
      </c>
      <c r="AH236" s="207" t="str">
        <f aca="false">IF($A237="","",IF(Summary!$R$12="Y",(VLOOKUP($A236,Summary!$AD$6:$AF$9,3)+'Escalating commodity'!J249),'Escalating commodity'!J249))</f>
        <v/>
      </c>
      <c r="AI236" s="207" t="str">
        <f aca="false">IF($A237="","",AH236)</f>
        <v/>
      </c>
      <c r="AJ236" s="208" t="e">
        <f aca="false">A236+DAY(EOMONTH(A236,0))/2-1</f>
        <v>#VALUE!</v>
      </c>
      <c r="AK236" s="209" t="str">
        <f aca="false">IF($A237="","",$A236-$E$1)</f>
        <v/>
      </c>
      <c r="AL236" s="182" t="str">
        <f aca="false">IF($A237="","",SPRDOPT(P236,X236,AI236,0,AB236,AE236,AF236,AK236,$AJ$2,0))</f>
        <v/>
      </c>
      <c r="AM236" s="211" t="str">
        <f aca="false">IF($A237="","",MAX(0,O236-W236-AI236))</f>
        <v/>
      </c>
      <c r="AN236" s="211" t="str">
        <f aca="false">IF($A237="","",AL236-AM236)</f>
        <v/>
      </c>
      <c r="AO236" s="137" t="str">
        <f aca="false">IF(A237="","",A237-A236)</f>
        <v/>
      </c>
      <c r="AP236" s="212" t="str">
        <f aca="false">IF(A237="","",CHOOSE(F$3,A237+24,A236))</f>
        <v/>
      </c>
      <c r="AQ236" s="209" t="str">
        <f aca="false">IF(A237="","",AP236-$E$1)</f>
        <v/>
      </c>
      <c r="AR236" s="185" t="n">
        <f aca="false">'ANR OK vs ML7'!AR236</f>
        <v>0.1</v>
      </c>
      <c r="AS236" s="213" t="str">
        <f aca="false">IF(A237="","",1/(1+CHOOSE(F$3,(AR237+($I$3/10000))/2,(AR236+($I$3/10000))/2))^(2*AQ236/365.25))</f>
        <v/>
      </c>
      <c r="AT236" s="137" t="str">
        <f aca="false">IF(A237="","",IF(AND(mthbeg&lt;=A236,mthend&gt;=A236),1,0))</f>
        <v/>
      </c>
      <c r="AU236" s="137" t="str">
        <f aca="false">IF(A237="","",AO236*AT236)</f>
        <v/>
      </c>
      <c r="AW236" s="195" t="str">
        <f aca="false">IF($A237="","",AL236*$E236)</f>
        <v/>
      </c>
      <c r="AX236" s="195" t="str">
        <f aca="false">IF($A237="","",AM236*$E236)</f>
        <v/>
      </c>
      <c r="AY236" s="195" t="str">
        <f aca="false">IF($A237="","",AN236*$E236)</f>
        <v/>
      </c>
      <c r="BA236" s="195" t="str">
        <f aca="false">IF($A237="","",F236*Summary!$Q$14)</f>
        <v/>
      </c>
    </row>
    <row r="237" customFormat="false" ht="12" hidden="false" customHeight="true" outlineLevel="0" collapsed="false">
      <c r="A237" s="196" t="str">
        <f aca="false">IF(A236&lt;mthend,EDATE(A236,1),"")</f>
        <v/>
      </c>
      <c r="B237" s="197" t="str">
        <f aca="false">IF(A237&lt;mthend,B236,"")</f>
        <v/>
      </c>
      <c r="C237" s="215"/>
      <c r="D237" s="197" t="str">
        <f aca="false">IF(A238&lt;&gt;"",B237+C237,"")</f>
        <v/>
      </c>
      <c r="E237" s="199" t="str">
        <f aca="false">IF(A238="","",IF(AND(AT237=1,$H$3=1),D237*AO237,IF($H$3=2,D237,"N/A")))</f>
        <v/>
      </c>
      <c r="F237" s="199" t="str">
        <f aca="false">IF(A238="","",E237*AS237)</f>
        <v/>
      </c>
      <c r="G237" s="200" t="str">
        <f aca="false">IF($A238="","",VLOOKUP($A237,Table,MATCH(G$4,Curves,0)))</f>
        <v/>
      </c>
      <c r="H237" s="201" t="str">
        <f aca="false">IF(A238="","",G237)</f>
        <v/>
      </c>
      <c r="I237" s="202"/>
      <c r="J237" s="200" t="str">
        <f aca="false">IF($A238="","",VLOOKUP($A237,Table,MATCH(J$4,Curves,0)))</f>
        <v/>
      </c>
      <c r="K237" s="201" t="str">
        <f aca="false">IF(A238="","",J237)</f>
        <v/>
      </c>
      <c r="L237" s="185" t="n">
        <v>0</v>
      </c>
      <c r="M237" s="201" t="str">
        <f aca="false">IF(A238="","",L237)</f>
        <v/>
      </c>
      <c r="N237" s="203"/>
      <c r="O237" s="200" t="str">
        <f aca="false">IF(A238="","",L237+J237+G237)</f>
        <v/>
      </c>
      <c r="P237" s="200" t="str">
        <f aca="false">IF(A238="","",M237+K237+H237)</f>
        <v/>
      </c>
      <c r="Q237" s="204"/>
      <c r="R237" s="200" t="str">
        <f aca="false">IF($A238="","",VLOOKUP($A237,Table,MATCH(R$4,Curves,0)))</f>
        <v/>
      </c>
      <c r="S237" s="201" t="str">
        <f aca="false">IF(A238="","",R237)</f>
        <v/>
      </c>
      <c r="T237" s="200" t="str">
        <f aca="false">IF($A238="","",VLOOKUP($A237,Table,MATCH(T$4,Curves,0)))</f>
        <v/>
      </c>
      <c r="U237" s="201" t="str">
        <f aca="false">IF(A238="","",T237)</f>
        <v/>
      </c>
      <c r="V237" s="183" t="str">
        <f aca="false">IF($A238="","",IF(AND(MONTH(A237)&gt;3,MONTH(A237)&lt;11),(T237+R237+G237)*(((1/(1-Summary!$T$14))/(1-Summary!$W$14))-1),(T237+R237+G237)*((1/(1-Summary!$U$14))/(1-Summary!$X$14)-1)))</f>
        <v/>
      </c>
      <c r="W237" s="202" t="str">
        <f aca="false">IF($A238="","",(T237+R237+G237+V237))</f>
        <v/>
      </c>
      <c r="X237" s="202" t="str">
        <f aca="false">IF($A238="","",(U237+S237+H237+V237))</f>
        <v/>
      </c>
      <c r="Y237" s="202"/>
      <c r="Z237" s="185" t="str">
        <f aca="false">IF($A238="","",VLOOKUP($A237,Table,MATCH(Z$4,Curves,0)))</f>
        <v/>
      </c>
      <c r="AA237" s="185" t="str">
        <f aca="false">IF($A238="","",VLOOKUP($A237,Table,MATCH(AA$4,Curves,0)))</f>
        <v/>
      </c>
      <c r="AB237" s="185" t="e">
        <f aca="false">SQRT((AA237^2*(A237-$D$3)+Z237^2*(DAY(EOMONTH(A237,0))/2))/AK237)</f>
        <v>#VALUE!</v>
      </c>
      <c r="AC237" s="185" t="str">
        <f aca="false">IF($A238="","",VLOOKUP($A237,Table,MATCH(AC$4,Curves,0)))</f>
        <v/>
      </c>
      <c r="AD237" s="185" t="str">
        <f aca="false">IF($A238="","",VLOOKUP($A237,Table,MATCH(AD$4,Curves,0)))</f>
        <v/>
      </c>
      <c r="AE237" s="185" t="e">
        <f aca="false">SQRT((AD237^2*(A237-$D$3)+AC237^2*(DAY(EOMONTH(A237,0))/2))/AK237)</f>
        <v>#VALUE!</v>
      </c>
      <c r="AF237" s="224" t="e">
        <f aca="false">((Summary!$N$14*(AA237*AD237)*(A237-$D$3))+(Summary!$M$14*Z237*AC237*(AJ237-EOMONTH(EDATE(A237,-1),0))))/(AK237*AB237*AE237)</f>
        <v>#VALUE!</v>
      </c>
      <c r="AG237" s="207" t="str">
        <f aca="false">IF($A238="","",Summary!$Q$14)</f>
        <v/>
      </c>
      <c r="AH237" s="207" t="str">
        <f aca="false">IF($A238="","",IF(Summary!$R$12="Y",(VLOOKUP($A237,Summary!$AD$6:$AF$9,3)+'Escalating commodity'!J250),'Escalating commodity'!J250))</f>
        <v/>
      </c>
      <c r="AI237" s="207" t="str">
        <f aca="false">IF($A238="","",AH237)</f>
        <v/>
      </c>
      <c r="AJ237" s="208" t="e">
        <f aca="false">A237+DAY(EOMONTH(A237,0))/2-1</f>
        <v>#VALUE!</v>
      </c>
      <c r="AK237" s="209" t="str">
        <f aca="false">IF($A238="","",$A237-$E$1)</f>
        <v/>
      </c>
      <c r="AL237" s="182" t="str">
        <f aca="false">IF($A238="","",SPRDOPT(P237,X237,AI237,0,AB237,AE237,AF237,AK237,$AJ$2,0))</f>
        <v/>
      </c>
      <c r="AM237" s="211" t="str">
        <f aca="false">IF($A238="","",MAX(0,O237-W237-AI237))</f>
        <v/>
      </c>
      <c r="AN237" s="211" t="str">
        <f aca="false">IF($A238="","",AL237-AM237)</f>
        <v/>
      </c>
      <c r="AO237" s="137" t="str">
        <f aca="false">IF(A238="","",A238-A237)</f>
        <v/>
      </c>
      <c r="AP237" s="212" t="str">
        <f aca="false">IF(A238="","",CHOOSE(F$3,A238+24,A237))</f>
        <v/>
      </c>
      <c r="AQ237" s="209" t="str">
        <f aca="false">IF(A238="","",AP237-$E$1)</f>
        <v/>
      </c>
      <c r="AR237" s="185" t="n">
        <f aca="false">'ANR OK vs ML7'!AR237</f>
        <v>0.1</v>
      </c>
      <c r="AS237" s="213" t="str">
        <f aca="false">IF(A238="","",1/(1+CHOOSE(F$3,(AR238+($I$3/10000))/2,(AR237+($I$3/10000))/2))^(2*AQ237/365.25))</f>
        <v/>
      </c>
      <c r="AT237" s="137" t="str">
        <f aca="false">IF(A238="","",IF(AND(mthbeg&lt;=A237,mthend&gt;=A237),1,0))</f>
        <v/>
      </c>
      <c r="AU237" s="137" t="str">
        <f aca="false">IF(A238="","",AO237*AT237)</f>
        <v/>
      </c>
      <c r="AW237" s="195" t="str">
        <f aca="false">IF($A238="","",AL237*$E237)</f>
        <v/>
      </c>
      <c r="AX237" s="195" t="str">
        <f aca="false">IF($A238="","",AM237*$E237)</f>
        <v/>
      </c>
      <c r="AY237" s="195" t="str">
        <f aca="false">IF($A238="","",AN237*$E237)</f>
        <v/>
      </c>
      <c r="BA237" s="195" t="str">
        <f aca="false">IF($A238="","",F237*Summary!$Q$14)</f>
        <v/>
      </c>
    </row>
    <row r="238" customFormat="false" ht="12" hidden="false" customHeight="true" outlineLevel="0" collapsed="false">
      <c r="A238" s="196" t="str">
        <f aca="false">IF(A237&lt;mthend,EDATE(A237,1),"")</f>
        <v/>
      </c>
      <c r="B238" s="197" t="str">
        <f aca="false">IF(A238&lt;mthend,B237,"")</f>
        <v/>
      </c>
      <c r="C238" s="215"/>
      <c r="D238" s="197" t="str">
        <f aca="false">IF(A239&lt;&gt;"",B238+C238,"")</f>
        <v/>
      </c>
      <c r="E238" s="199" t="str">
        <f aca="false">IF(A239="","",IF(AND(AT238=1,$H$3=1),D238*AO238,IF($H$3=2,D238,"N/A")))</f>
        <v/>
      </c>
      <c r="F238" s="199" t="str">
        <f aca="false">IF(A239="","",E238*AS238)</f>
        <v/>
      </c>
      <c r="G238" s="200" t="str">
        <f aca="false">IF($A239="","",VLOOKUP($A238,Table,MATCH(G$4,Curves,0)))</f>
        <v/>
      </c>
      <c r="H238" s="201" t="str">
        <f aca="false">IF(A239="","",G238)</f>
        <v/>
      </c>
      <c r="I238" s="202"/>
      <c r="J238" s="200" t="str">
        <f aca="false">IF($A239="","",VLOOKUP($A238,Table,MATCH(J$4,Curves,0)))</f>
        <v/>
      </c>
      <c r="K238" s="201" t="str">
        <f aca="false">IF(A239="","",J238)</f>
        <v/>
      </c>
      <c r="L238" s="185" t="n">
        <v>0</v>
      </c>
      <c r="M238" s="201" t="str">
        <f aca="false">IF(A239="","",L238)</f>
        <v/>
      </c>
      <c r="N238" s="203"/>
      <c r="O238" s="200" t="str">
        <f aca="false">IF(A239="","",L238+J238+G238)</f>
        <v/>
      </c>
      <c r="P238" s="200" t="str">
        <f aca="false">IF(A239="","",M238+K238+H238)</f>
        <v/>
      </c>
      <c r="Q238" s="204"/>
      <c r="R238" s="200" t="str">
        <f aca="false">IF($A239="","",VLOOKUP($A238,Table,MATCH(R$4,Curves,0)))</f>
        <v/>
      </c>
      <c r="S238" s="201" t="str">
        <f aca="false">IF(A239="","",R238)</f>
        <v/>
      </c>
      <c r="T238" s="200" t="str">
        <f aca="false">IF($A239="","",VLOOKUP($A238,Table,MATCH(T$4,Curves,0)))</f>
        <v/>
      </c>
      <c r="U238" s="201" t="str">
        <f aca="false">IF(A239="","",T238)</f>
        <v/>
      </c>
      <c r="V238" s="183" t="str">
        <f aca="false">IF($A239="","",IF(AND(MONTH(A238)&gt;3,MONTH(A238)&lt;11),(T238+R238+G238)*(((1/(1-Summary!$T$14))/(1-Summary!$W$14))-1),(T238+R238+G238)*((1/(1-Summary!$U$14))/(1-Summary!$X$14)-1)))</f>
        <v/>
      </c>
      <c r="W238" s="202" t="str">
        <f aca="false">IF($A239="","",(T238+R238+G238+V238))</f>
        <v/>
      </c>
      <c r="X238" s="202" t="str">
        <f aca="false">IF($A239="","",(U238+S238+H238+V238))</f>
        <v/>
      </c>
      <c r="Y238" s="202"/>
      <c r="Z238" s="185" t="str">
        <f aca="false">IF($A239="","",VLOOKUP($A238,Table,MATCH(Z$4,Curves,0)))</f>
        <v/>
      </c>
      <c r="AA238" s="185" t="str">
        <f aca="false">IF($A239="","",VLOOKUP($A238,Table,MATCH(AA$4,Curves,0)))</f>
        <v/>
      </c>
      <c r="AB238" s="185" t="e">
        <f aca="false">SQRT((AA238^2*(A238-$D$3)+Z238^2*(DAY(EOMONTH(A238,0))/2))/AK238)</f>
        <v>#VALUE!</v>
      </c>
      <c r="AC238" s="185" t="str">
        <f aca="false">IF($A239="","",VLOOKUP($A238,Table,MATCH(AC$4,Curves,0)))</f>
        <v/>
      </c>
      <c r="AD238" s="185" t="str">
        <f aca="false">IF($A239="","",VLOOKUP($A238,Table,MATCH(AD$4,Curves,0)))</f>
        <v/>
      </c>
      <c r="AE238" s="185" t="e">
        <f aca="false">SQRT((AD238^2*(A238-$D$3)+AC238^2*(DAY(EOMONTH(A238,0))/2))/AK238)</f>
        <v>#VALUE!</v>
      </c>
      <c r="AF238" s="224" t="e">
        <f aca="false">((Summary!$N$14*(AA238*AD238)*(A238-$D$3))+(Summary!$M$14*Z238*AC238*(AJ238-EOMONTH(EDATE(A238,-1),0))))/(AK238*AB238*AE238)</f>
        <v>#VALUE!</v>
      </c>
      <c r="AG238" s="207" t="str">
        <f aca="false">IF($A239="","",Summary!$Q$14)</f>
        <v/>
      </c>
      <c r="AH238" s="207" t="str">
        <f aca="false">IF($A239="","",IF(Summary!$R$12="Y",(VLOOKUP($A238,Summary!$AD$6:$AF$9,3)+'Escalating commodity'!J251),'Escalating commodity'!J251))</f>
        <v/>
      </c>
      <c r="AI238" s="207" t="str">
        <f aca="false">IF($A239="","",AH238)</f>
        <v/>
      </c>
      <c r="AJ238" s="208" t="e">
        <f aca="false">A238+DAY(EOMONTH(A238,0))/2-1</f>
        <v>#VALUE!</v>
      </c>
      <c r="AK238" s="209" t="str">
        <f aca="false">IF($A239="","",$A238-$E$1)</f>
        <v/>
      </c>
      <c r="AL238" s="182" t="str">
        <f aca="false">IF($A239="","",SPRDOPT(P238,X238,AI238,0,AB238,AE238,AF238,AK238,$AJ$2,0))</f>
        <v/>
      </c>
      <c r="AM238" s="211" t="str">
        <f aca="false">IF($A239="","",MAX(0,O238-W238-AI238))</f>
        <v/>
      </c>
      <c r="AN238" s="211" t="str">
        <f aca="false">IF($A239="","",AL238-AM238)</f>
        <v/>
      </c>
      <c r="AO238" s="137" t="str">
        <f aca="false">IF(A239="","",A239-A238)</f>
        <v/>
      </c>
      <c r="AP238" s="212" t="str">
        <f aca="false">IF(A239="","",CHOOSE(F$3,A239+24,A238))</f>
        <v/>
      </c>
      <c r="AQ238" s="209" t="str">
        <f aca="false">IF(A239="","",AP238-$E$1)</f>
        <v/>
      </c>
      <c r="AR238" s="185" t="n">
        <f aca="false">'ANR OK vs ML7'!AR238</f>
        <v>0.1</v>
      </c>
      <c r="AS238" s="213" t="str">
        <f aca="false">IF(A239="","",1/(1+CHOOSE(F$3,(AR239+($I$3/10000))/2,(AR238+($I$3/10000))/2))^(2*AQ238/365.25))</f>
        <v/>
      </c>
      <c r="AT238" s="137" t="str">
        <f aca="false">IF(A239="","",IF(AND(mthbeg&lt;=A238,mthend&gt;=A238),1,0))</f>
        <v/>
      </c>
      <c r="AU238" s="137" t="str">
        <f aca="false">IF(A239="","",AO238*AT238)</f>
        <v/>
      </c>
      <c r="AW238" s="195" t="str">
        <f aca="false">IF($A239="","",AL238*$E238)</f>
        <v/>
      </c>
      <c r="AX238" s="195" t="str">
        <f aca="false">IF($A239="","",AM238*$E238)</f>
        <v/>
      </c>
      <c r="AY238" s="195" t="str">
        <f aca="false">IF($A239="","",AN238*$E238)</f>
        <v/>
      </c>
      <c r="BA238" s="195" t="str">
        <f aca="false">IF($A239="","",F238*Summary!$Q$14)</f>
        <v/>
      </c>
    </row>
    <row r="239" customFormat="false" ht="12" hidden="false" customHeight="true" outlineLevel="0" collapsed="false">
      <c r="A239" s="196" t="str">
        <f aca="false">IF(A238&lt;mthend,EDATE(A238,1),"")</f>
        <v/>
      </c>
      <c r="B239" s="197" t="str">
        <f aca="false">IF(A239&lt;mthend,B238,"")</f>
        <v/>
      </c>
      <c r="C239" s="215"/>
      <c r="D239" s="197" t="str">
        <f aca="false">IF(A240&lt;&gt;"",B239+C239,"")</f>
        <v/>
      </c>
      <c r="E239" s="199" t="str">
        <f aca="false">IF(A240="","",IF(AND(AT239=1,$H$3=1),D239*AO239,IF($H$3=2,D239,"N/A")))</f>
        <v/>
      </c>
      <c r="F239" s="199" t="str">
        <f aca="false">IF(A240="","",E239*AS239)</f>
        <v/>
      </c>
      <c r="G239" s="200" t="str">
        <f aca="false">IF($A240="","",VLOOKUP($A239,Table,MATCH(G$4,Curves,0)))</f>
        <v/>
      </c>
      <c r="H239" s="201" t="str">
        <f aca="false">IF(A240="","",G239)</f>
        <v/>
      </c>
      <c r="I239" s="202"/>
      <c r="J239" s="200" t="str">
        <f aca="false">IF($A240="","",VLOOKUP($A239,Table,MATCH(J$4,Curves,0)))</f>
        <v/>
      </c>
      <c r="K239" s="201" t="str">
        <f aca="false">IF(A240="","",J239)</f>
        <v/>
      </c>
      <c r="L239" s="185" t="n">
        <v>0</v>
      </c>
      <c r="M239" s="201" t="str">
        <f aca="false">IF(A240="","",L239)</f>
        <v/>
      </c>
      <c r="N239" s="203"/>
      <c r="O239" s="200" t="str">
        <f aca="false">IF(A240="","",L239+J239+G239)</f>
        <v/>
      </c>
      <c r="P239" s="200" t="str">
        <f aca="false">IF(A240="","",M239+K239+H239)</f>
        <v/>
      </c>
      <c r="Q239" s="204"/>
      <c r="R239" s="200" t="str">
        <f aca="false">IF($A240="","",VLOOKUP($A239,Table,MATCH(R$4,Curves,0)))</f>
        <v/>
      </c>
      <c r="S239" s="201" t="str">
        <f aca="false">IF(A240="","",R239)</f>
        <v/>
      </c>
      <c r="T239" s="200" t="str">
        <f aca="false">IF($A240="","",VLOOKUP($A239,Table,MATCH(T$4,Curves,0)))</f>
        <v/>
      </c>
      <c r="U239" s="201" t="str">
        <f aca="false">IF(A240="","",T239)</f>
        <v/>
      </c>
      <c r="V239" s="183" t="str">
        <f aca="false">IF($A240="","",IF(AND(MONTH(A239)&gt;3,MONTH(A239)&lt;11),(T239+R239+G239)*(((1/(1-Summary!$T$14))/(1-Summary!$W$14))-1),(T239+R239+G239)*((1/(1-Summary!$U$14))/(1-Summary!$X$14)-1)))</f>
        <v/>
      </c>
      <c r="W239" s="202" t="str">
        <f aca="false">IF($A240="","",(T239+R239+G239+V239))</f>
        <v/>
      </c>
      <c r="X239" s="202" t="str">
        <f aca="false">IF($A240="","",(U239+S239+H239+V239))</f>
        <v/>
      </c>
      <c r="Y239" s="202"/>
      <c r="Z239" s="185" t="str">
        <f aca="false">IF($A240="","",VLOOKUP($A239,Table,MATCH(Z$4,Curves,0)))</f>
        <v/>
      </c>
      <c r="AA239" s="185" t="str">
        <f aca="false">IF($A240="","",VLOOKUP($A239,Table,MATCH(AA$4,Curves,0)))</f>
        <v/>
      </c>
      <c r="AB239" s="185" t="e">
        <f aca="false">SQRT((AA239^2*(A239-$D$3)+Z239^2*(DAY(EOMONTH(A239,0))/2))/AK239)</f>
        <v>#VALUE!</v>
      </c>
      <c r="AC239" s="185" t="str">
        <f aca="false">IF($A240="","",VLOOKUP($A239,Table,MATCH(AC$4,Curves,0)))</f>
        <v/>
      </c>
      <c r="AD239" s="185" t="str">
        <f aca="false">IF($A240="","",VLOOKUP($A239,Table,MATCH(AD$4,Curves,0)))</f>
        <v/>
      </c>
      <c r="AE239" s="185" t="e">
        <f aca="false">SQRT((AD239^2*(A239-$D$3)+AC239^2*(DAY(EOMONTH(A239,0))/2))/AK239)</f>
        <v>#VALUE!</v>
      </c>
      <c r="AF239" s="224" t="e">
        <f aca="false">((Summary!$N$14*(AA239*AD239)*(A239-$D$3))+(Summary!$M$14*Z239*AC239*(AJ239-EOMONTH(EDATE(A239,-1),0))))/(AK239*AB239*AE239)</f>
        <v>#VALUE!</v>
      </c>
      <c r="AG239" s="207" t="str">
        <f aca="false">IF($A240="","",Summary!$Q$14)</f>
        <v/>
      </c>
      <c r="AH239" s="207" t="str">
        <f aca="false">IF($A240="","",IF(Summary!$R$12="Y",(VLOOKUP($A239,Summary!$AD$6:$AF$9,3)+'Escalating commodity'!J252),'Escalating commodity'!J252))</f>
        <v/>
      </c>
      <c r="AI239" s="207" t="str">
        <f aca="false">IF($A240="","",AH239)</f>
        <v/>
      </c>
      <c r="AJ239" s="208" t="e">
        <f aca="false">A239+DAY(EOMONTH(A239,0))/2-1</f>
        <v>#VALUE!</v>
      </c>
      <c r="AK239" s="209" t="str">
        <f aca="false">IF($A240="","",$A239-$E$1)</f>
        <v/>
      </c>
      <c r="AL239" s="182" t="str">
        <f aca="false">IF($A240="","",SPRDOPT(P239,X239,AI239,0,AB239,AE239,AF239,AK239,$AJ$2,0))</f>
        <v/>
      </c>
      <c r="AM239" s="211" t="str">
        <f aca="false">IF($A240="","",MAX(0,O239-W239-AI239))</f>
        <v/>
      </c>
      <c r="AN239" s="211" t="str">
        <f aca="false">IF($A240="","",AL239-AM239)</f>
        <v/>
      </c>
      <c r="AO239" s="137" t="str">
        <f aca="false">IF(A240="","",A240-A239)</f>
        <v/>
      </c>
      <c r="AP239" s="212" t="str">
        <f aca="false">IF(A240="","",CHOOSE(F$3,A240+24,A239))</f>
        <v/>
      </c>
      <c r="AQ239" s="209" t="str">
        <f aca="false">IF(A240="","",AP239-$E$1)</f>
        <v/>
      </c>
      <c r="AR239" s="185" t="n">
        <f aca="false">'ANR OK vs ML7'!AR239</f>
        <v>0.1</v>
      </c>
      <c r="AS239" s="213" t="str">
        <f aca="false">IF(A240="","",1/(1+CHOOSE(F$3,(AR240+($I$3/10000))/2,(AR239+($I$3/10000))/2))^(2*AQ239/365.25))</f>
        <v/>
      </c>
      <c r="AT239" s="137" t="str">
        <f aca="false">IF(A240="","",IF(AND(mthbeg&lt;=A239,mthend&gt;=A239),1,0))</f>
        <v/>
      </c>
      <c r="AU239" s="137" t="str">
        <f aca="false">IF(A240="","",AO239*AT239)</f>
        <v/>
      </c>
      <c r="AW239" s="195" t="str">
        <f aca="false">IF($A240="","",AL239*$E239)</f>
        <v/>
      </c>
      <c r="AX239" s="195" t="str">
        <f aca="false">IF($A240="","",AM239*$E239)</f>
        <v/>
      </c>
      <c r="AY239" s="195" t="str">
        <f aca="false">IF($A240="","",AN239*$E239)</f>
        <v/>
      </c>
      <c r="BA239" s="195" t="str">
        <f aca="false">IF($A240="","",F239*Summary!$Q$14)</f>
        <v/>
      </c>
    </row>
    <row r="240" customFormat="false" ht="12" hidden="false" customHeight="true" outlineLevel="0" collapsed="false">
      <c r="A240" s="196" t="str">
        <f aca="false">IF(A239&lt;mthend,EDATE(A239,1),"")</f>
        <v/>
      </c>
      <c r="B240" s="197" t="str">
        <f aca="false">IF(A240&lt;mthend,B239,"")</f>
        <v/>
      </c>
      <c r="C240" s="215"/>
      <c r="D240" s="197" t="str">
        <f aca="false">IF(A241&lt;&gt;"",B240+C240,"")</f>
        <v/>
      </c>
      <c r="E240" s="199" t="str">
        <f aca="false">IF(A241="","",IF(AND(AT240=1,$H$3=1),D240*AO240,IF($H$3=2,D240,"N/A")))</f>
        <v/>
      </c>
      <c r="F240" s="199" t="str">
        <f aca="false">IF(A241="","",E240*AS240)</f>
        <v/>
      </c>
      <c r="G240" s="200" t="str">
        <f aca="false">IF($A241="","",VLOOKUP($A240,Table,MATCH(G$4,Curves,0)))</f>
        <v/>
      </c>
      <c r="H240" s="201" t="str">
        <f aca="false">IF(A241="","",G240)</f>
        <v/>
      </c>
      <c r="I240" s="202"/>
      <c r="J240" s="200" t="str">
        <f aca="false">IF($A241="","",VLOOKUP($A240,Table,MATCH(J$4,Curves,0)))</f>
        <v/>
      </c>
      <c r="K240" s="201" t="str">
        <f aca="false">IF(A241="","",J240)</f>
        <v/>
      </c>
      <c r="L240" s="185" t="n">
        <v>0</v>
      </c>
      <c r="M240" s="201" t="str">
        <f aca="false">IF(A241="","",L240)</f>
        <v/>
      </c>
      <c r="N240" s="203"/>
      <c r="O240" s="200" t="str">
        <f aca="false">IF(A241="","",L240+J240+G240)</f>
        <v/>
      </c>
      <c r="P240" s="200" t="str">
        <f aca="false">IF(A241="","",M240+K240+H240)</f>
        <v/>
      </c>
      <c r="Q240" s="204"/>
      <c r="R240" s="200" t="str">
        <f aca="false">IF($A241="","",VLOOKUP($A240,Table,MATCH(R$4,Curves,0)))</f>
        <v/>
      </c>
      <c r="S240" s="201" t="str">
        <f aca="false">IF(A241="","",R240)</f>
        <v/>
      </c>
      <c r="T240" s="200" t="str">
        <f aca="false">IF($A241="","",VLOOKUP($A240,Table,MATCH(T$4,Curves,0)))</f>
        <v/>
      </c>
      <c r="U240" s="201" t="str">
        <f aca="false">IF(A241="","",T240)</f>
        <v/>
      </c>
      <c r="V240" s="183" t="str">
        <f aca="false">IF($A241="","",IF(AND(MONTH(A240)&gt;3,MONTH(A240)&lt;11),(T240+R240+G240)*(((1/(1-Summary!$T$14))/(1-Summary!$W$14))-1),(T240+R240+G240)*((1/(1-Summary!$U$14))/(1-Summary!$X$14)-1)))</f>
        <v/>
      </c>
      <c r="W240" s="202" t="str">
        <f aca="false">IF($A241="","",(T240+R240+G240+V240))</f>
        <v/>
      </c>
      <c r="X240" s="202" t="str">
        <f aca="false">IF($A241="","",(U240+S240+H240+V240))</f>
        <v/>
      </c>
      <c r="Y240" s="202"/>
      <c r="Z240" s="185" t="str">
        <f aca="false">IF($A241="","",VLOOKUP($A240,Table,MATCH(Z$4,Curves,0)))</f>
        <v/>
      </c>
      <c r="AA240" s="185" t="str">
        <f aca="false">IF($A241="","",VLOOKUP($A240,Table,MATCH(AA$4,Curves,0)))</f>
        <v/>
      </c>
      <c r="AB240" s="185" t="e">
        <f aca="false">SQRT((AA240^2*(A240-$D$3)+Z240^2*(DAY(EOMONTH(A240,0))/2))/AK240)</f>
        <v>#VALUE!</v>
      </c>
      <c r="AC240" s="185" t="str">
        <f aca="false">IF($A241="","",VLOOKUP($A240,Table,MATCH(AC$4,Curves,0)))</f>
        <v/>
      </c>
      <c r="AD240" s="185" t="str">
        <f aca="false">IF($A241="","",VLOOKUP($A240,Table,MATCH(AD$4,Curves,0)))</f>
        <v/>
      </c>
      <c r="AE240" s="185" t="e">
        <f aca="false">SQRT((AD240^2*(A240-$D$3)+AC240^2*(DAY(EOMONTH(A240,0))/2))/AK240)</f>
        <v>#VALUE!</v>
      </c>
      <c r="AF240" s="224" t="e">
        <f aca="false">((Summary!$N$14*(AA240*AD240)*(A240-$D$3))+(Summary!$M$14*Z240*AC240*(AJ240-EOMONTH(EDATE(A240,-1),0))))/(AK240*AB240*AE240)</f>
        <v>#VALUE!</v>
      </c>
      <c r="AG240" s="207" t="str">
        <f aca="false">IF($A241="","",Summary!$Q$14)</f>
        <v/>
      </c>
      <c r="AH240" s="207" t="str">
        <f aca="false">IF($A241="","",IF(Summary!$R$12="Y",(VLOOKUP($A240,Summary!$AD$6:$AF$9,3)+'Escalating commodity'!J253),'Escalating commodity'!J253))</f>
        <v/>
      </c>
      <c r="AI240" s="207" t="str">
        <f aca="false">IF($A241="","",AH240)</f>
        <v/>
      </c>
      <c r="AJ240" s="208" t="e">
        <f aca="false">A240+DAY(EOMONTH(A240,0))/2-1</f>
        <v>#VALUE!</v>
      </c>
      <c r="AK240" s="209" t="str">
        <f aca="false">IF($A241="","",$A240-$E$1)</f>
        <v/>
      </c>
      <c r="AL240" s="182" t="str">
        <f aca="false">IF($A241="","",SPRDOPT(P240,X240,AI240,0,AB240,AE240,AF240,AK240,$AJ$2,0))</f>
        <v/>
      </c>
      <c r="AM240" s="211" t="str">
        <f aca="false">IF($A241="","",MAX(0,O240-W240-AI240))</f>
        <v/>
      </c>
      <c r="AN240" s="211" t="str">
        <f aca="false">IF($A241="","",AL240-AM240)</f>
        <v/>
      </c>
      <c r="AO240" s="137" t="str">
        <f aca="false">IF(A241="","",A241-A240)</f>
        <v/>
      </c>
      <c r="AP240" s="212" t="str">
        <f aca="false">IF(A241="","",CHOOSE(F$3,A241+24,A240))</f>
        <v/>
      </c>
      <c r="AQ240" s="209" t="str">
        <f aca="false">IF(A241="","",AP240-$E$1)</f>
        <v/>
      </c>
      <c r="AR240" s="185" t="n">
        <f aca="false">'ANR OK vs ML7'!AR240</f>
        <v>0.1</v>
      </c>
      <c r="AS240" s="213" t="str">
        <f aca="false">IF(A241="","",1/(1+CHOOSE(F$3,(AR241+($I$3/10000))/2,(AR240+($I$3/10000))/2))^(2*AQ240/365.25))</f>
        <v/>
      </c>
      <c r="AT240" s="137" t="str">
        <f aca="false">IF(A241="","",IF(AND(mthbeg&lt;=A240,mthend&gt;=A240),1,0))</f>
        <v/>
      </c>
      <c r="AU240" s="137" t="str">
        <f aca="false">IF(A241="","",AO240*AT240)</f>
        <v/>
      </c>
      <c r="AW240" s="195" t="str">
        <f aca="false">IF($A241="","",AL240*$E240)</f>
        <v/>
      </c>
      <c r="AX240" s="195" t="str">
        <f aca="false">IF($A241="","",AM240*$E240)</f>
        <v/>
      </c>
      <c r="AY240" s="195" t="str">
        <f aca="false">IF($A241="","",AN240*$E240)</f>
        <v/>
      </c>
      <c r="BA240" s="195" t="str">
        <f aca="false">IF($A241="","",F240*Summary!$Q$14)</f>
        <v/>
      </c>
    </row>
    <row r="241" customFormat="false" ht="12" hidden="false" customHeight="true" outlineLevel="0" collapsed="false">
      <c r="A241" s="196" t="str">
        <f aca="false">IF(A240&lt;mthend,EDATE(A240,1),"")</f>
        <v/>
      </c>
      <c r="B241" s="197" t="str">
        <f aca="false">IF(A241&lt;mthend,B240,"")</f>
        <v/>
      </c>
      <c r="C241" s="215"/>
      <c r="D241" s="197" t="str">
        <f aca="false">IF(A242&lt;&gt;"",B241+C241,"")</f>
        <v/>
      </c>
      <c r="E241" s="199" t="str">
        <f aca="false">IF(A242="","",IF(AND(AT241=1,$H$3=1),D241*AO241,IF($H$3=2,D241,"N/A")))</f>
        <v/>
      </c>
      <c r="F241" s="199" t="str">
        <f aca="false">IF(A242="","",E241*AS241)</f>
        <v/>
      </c>
      <c r="G241" s="200" t="str">
        <f aca="false">IF($A242="","",VLOOKUP($A241,Table,MATCH(G$4,Curves,0)))</f>
        <v/>
      </c>
      <c r="H241" s="201" t="str">
        <f aca="false">IF(A242="","",G241)</f>
        <v/>
      </c>
      <c r="I241" s="202"/>
      <c r="J241" s="200" t="str">
        <f aca="false">IF($A242="","",VLOOKUP($A241,Table,MATCH(J$4,Curves,0)))</f>
        <v/>
      </c>
      <c r="K241" s="201" t="str">
        <f aca="false">IF(A242="","",J241)</f>
        <v/>
      </c>
      <c r="L241" s="185" t="n">
        <v>0</v>
      </c>
      <c r="M241" s="201" t="str">
        <f aca="false">IF(A242="","",L241)</f>
        <v/>
      </c>
      <c r="N241" s="203"/>
      <c r="O241" s="200" t="str">
        <f aca="false">IF(A242="","",L241+J241+G241)</f>
        <v/>
      </c>
      <c r="P241" s="200" t="str">
        <f aca="false">IF(A242="","",M241+K241+H241)</f>
        <v/>
      </c>
      <c r="Q241" s="204"/>
      <c r="R241" s="200" t="str">
        <f aca="false">IF($A242="","",VLOOKUP($A241,Table,MATCH(R$4,Curves,0)))</f>
        <v/>
      </c>
      <c r="S241" s="201" t="str">
        <f aca="false">IF(A242="","",R241)</f>
        <v/>
      </c>
      <c r="T241" s="200" t="str">
        <f aca="false">IF($A242="","",VLOOKUP($A241,Table,MATCH(T$4,Curves,0)))</f>
        <v/>
      </c>
      <c r="U241" s="201" t="str">
        <f aca="false">IF(A242="","",T241)</f>
        <v/>
      </c>
      <c r="V241" s="183" t="str">
        <f aca="false">IF($A242="","",IF(AND(MONTH(A241)&gt;3,MONTH(A241)&lt;11),(T241+R241+G241)*(((1/(1-Summary!$T$14))/(1-Summary!$W$14))-1),(T241+R241+G241)*((1/(1-Summary!$U$14))/(1-Summary!$X$14)-1)))</f>
        <v/>
      </c>
      <c r="W241" s="202" t="str">
        <f aca="false">IF($A242="","",(T241+R241+G241+V241))</f>
        <v/>
      </c>
      <c r="X241" s="202" t="str">
        <f aca="false">IF($A242="","",(U241+S241+H241+V241))</f>
        <v/>
      </c>
      <c r="Y241" s="202"/>
      <c r="Z241" s="185" t="str">
        <f aca="false">IF($A242="","",VLOOKUP($A241,Table,MATCH(Z$4,Curves,0)))</f>
        <v/>
      </c>
      <c r="AA241" s="185" t="str">
        <f aca="false">IF($A242="","",VLOOKUP($A241,Table,MATCH(AA$4,Curves,0)))</f>
        <v/>
      </c>
      <c r="AB241" s="185" t="e">
        <f aca="false">SQRT((AA241^2*(A241-$D$3)+Z241^2*(DAY(EOMONTH(A241,0))/2))/AK241)</f>
        <v>#VALUE!</v>
      </c>
      <c r="AC241" s="185" t="str">
        <f aca="false">IF($A242="","",VLOOKUP($A241,Table,MATCH(AC$4,Curves,0)))</f>
        <v/>
      </c>
      <c r="AD241" s="185" t="str">
        <f aca="false">IF($A242="","",VLOOKUP($A241,Table,MATCH(AD$4,Curves,0)))</f>
        <v/>
      </c>
      <c r="AE241" s="185" t="e">
        <f aca="false">SQRT((AD241^2*(A241-$D$3)+AC241^2*(DAY(EOMONTH(A241,0))/2))/AK241)</f>
        <v>#VALUE!</v>
      </c>
      <c r="AF241" s="224" t="e">
        <f aca="false">((Summary!$N$14*(AA241*AD241)*(A241-$D$3))+(Summary!$M$14*Z241*AC241*(AJ241-EOMONTH(EDATE(A241,-1),0))))/(AK241*AB241*AE241)</f>
        <v>#VALUE!</v>
      </c>
      <c r="AG241" s="207" t="str">
        <f aca="false">IF($A242="","",Summary!$Q$14)</f>
        <v/>
      </c>
      <c r="AH241" s="207" t="str">
        <f aca="false">IF($A242="","",IF(Summary!$R$12="Y",(VLOOKUP($A241,Summary!$AD$6:$AF$9,3)+'Escalating commodity'!J254),'Escalating commodity'!J254))</f>
        <v/>
      </c>
      <c r="AI241" s="207" t="str">
        <f aca="false">IF($A242="","",AH241)</f>
        <v/>
      </c>
      <c r="AJ241" s="208" t="e">
        <f aca="false">A241+DAY(EOMONTH(A241,0))/2-1</f>
        <v>#VALUE!</v>
      </c>
      <c r="AK241" s="209" t="str">
        <f aca="false">IF($A242="","",$A241-$E$1)</f>
        <v/>
      </c>
      <c r="AL241" s="182" t="str">
        <f aca="false">IF($A242="","",SPRDOPT(P241,X241,AI241,0,AB241,AE241,AF241,AK241,$AJ$2,0))</f>
        <v/>
      </c>
      <c r="AM241" s="211" t="str">
        <f aca="false">IF($A242="","",MAX(0,O241-W241-AI241))</f>
        <v/>
      </c>
      <c r="AN241" s="211" t="str">
        <f aca="false">IF($A242="","",AL241-AM241)</f>
        <v/>
      </c>
      <c r="AO241" s="137" t="str">
        <f aca="false">IF(A242="","",A242-A241)</f>
        <v/>
      </c>
      <c r="AP241" s="212" t="str">
        <f aca="false">IF(A242="","",CHOOSE(F$3,A242+24,A241))</f>
        <v/>
      </c>
      <c r="AQ241" s="209" t="str">
        <f aca="false">IF(A242="","",AP241-$E$1)</f>
        <v/>
      </c>
      <c r="AR241" s="185" t="n">
        <f aca="false">'ANR OK vs ML7'!AR241</f>
        <v>0.1</v>
      </c>
      <c r="AS241" s="213" t="str">
        <f aca="false">IF(A242="","",1/(1+CHOOSE(F$3,(AR242+($I$3/10000))/2,(AR241+($I$3/10000))/2))^(2*AQ241/365.25))</f>
        <v/>
      </c>
      <c r="AT241" s="137" t="str">
        <f aca="false">IF(A242="","",IF(AND(mthbeg&lt;=A241,mthend&gt;=A241),1,0))</f>
        <v/>
      </c>
      <c r="AU241" s="137" t="str">
        <f aca="false">IF(A242="","",AO241*AT241)</f>
        <v/>
      </c>
      <c r="AW241" s="195" t="str">
        <f aca="false">IF($A242="","",AL241*$E241)</f>
        <v/>
      </c>
      <c r="AX241" s="195" t="str">
        <f aca="false">IF($A242="","",AM241*$E241)</f>
        <v/>
      </c>
      <c r="AY241" s="195" t="str">
        <f aca="false">IF($A242="","",AN241*$E241)</f>
        <v/>
      </c>
      <c r="BA241" s="195" t="str">
        <f aca="false">IF($A242="","",F241*Summary!$Q$14)</f>
        <v/>
      </c>
    </row>
    <row r="242" customFormat="false" ht="12" hidden="false" customHeight="true" outlineLevel="0" collapsed="false">
      <c r="A242" s="196" t="str">
        <f aca="false">IF(A241&lt;mthend,EDATE(A241,1),"")</f>
        <v/>
      </c>
      <c r="B242" s="197" t="str">
        <f aca="false">IF(A242&lt;mthend,B241,"")</f>
        <v/>
      </c>
      <c r="C242" s="215"/>
      <c r="D242" s="197" t="str">
        <f aca="false">IF(A243&lt;&gt;"",B242+C242,"")</f>
        <v/>
      </c>
      <c r="E242" s="199" t="str">
        <f aca="false">IF(A243="","",IF(AND(AT242=1,$H$3=1),D242*AO242,IF($H$3=2,D242,"N/A")))</f>
        <v/>
      </c>
      <c r="F242" s="199" t="str">
        <f aca="false">IF(A243="","",E242*AS242)</f>
        <v/>
      </c>
      <c r="G242" s="200" t="str">
        <f aca="false">IF($A243="","",VLOOKUP($A242,Table,MATCH(G$4,Curves,0)))</f>
        <v/>
      </c>
      <c r="H242" s="201" t="str">
        <f aca="false">IF(A243="","",G242)</f>
        <v/>
      </c>
      <c r="I242" s="202"/>
      <c r="J242" s="200" t="str">
        <f aca="false">IF($A243="","",VLOOKUP($A242,Table,MATCH(J$4,Curves,0)))</f>
        <v/>
      </c>
      <c r="K242" s="201" t="str">
        <f aca="false">IF(A243="","",J242)</f>
        <v/>
      </c>
      <c r="L242" s="185" t="n">
        <v>0</v>
      </c>
      <c r="M242" s="201" t="str">
        <f aca="false">IF(A243="","",L242)</f>
        <v/>
      </c>
      <c r="N242" s="203"/>
      <c r="O242" s="200" t="str">
        <f aca="false">IF(A243="","",L242+J242+G242)</f>
        <v/>
      </c>
      <c r="P242" s="200" t="str">
        <f aca="false">IF(A243="","",M242+K242+H242)</f>
        <v/>
      </c>
      <c r="Q242" s="204"/>
      <c r="R242" s="200" t="str">
        <f aca="false">IF($A243="","",VLOOKUP($A242,Table,MATCH(R$4,Curves,0)))</f>
        <v/>
      </c>
      <c r="S242" s="201" t="str">
        <f aca="false">IF(A243="","",R242)</f>
        <v/>
      </c>
      <c r="T242" s="200" t="str">
        <f aca="false">IF($A243="","",VLOOKUP($A242,Table,MATCH(T$4,Curves,0)))</f>
        <v/>
      </c>
      <c r="U242" s="201" t="str">
        <f aca="false">IF(A243="","",T242)</f>
        <v/>
      </c>
      <c r="V242" s="183" t="str">
        <f aca="false">IF($A243="","",IF(AND(MONTH(A242)&gt;3,MONTH(A242)&lt;11),(T242+R242+G242)*(((1/(1-Summary!$T$14))/(1-Summary!$W$14))-1),(T242+R242+G242)*((1/(1-Summary!$U$14))/(1-Summary!$X$14)-1)))</f>
        <v/>
      </c>
      <c r="W242" s="202" t="str">
        <f aca="false">IF($A243="","",(T242+R242+G242+V242))</f>
        <v/>
      </c>
      <c r="X242" s="202" t="str">
        <f aca="false">IF($A243="","",(U242+S242+H242+V242))</f>
        <v/>
      </c>
      <c r="Y242" s="202"/>
      <c r="Z242" s="185" t="str">
        <f aca="false">IF($A243="","",VLOOKUP($A242,Table,MATCH(Z$4,Curves,0)))</f>
        <v/>
      </c>
      <c r="AA242" s="185" t="str">
        <f aca="false">IF($A243="","",VLOOKUP($A242,Table,MATCH(AA$4,Curves,0)))</f>
        <v/>
      </c>
      <c r="AB242" s="185" t="e">
        <f aca="false">SQRT((AA242^2*(A242-$D$3)+Z242^2*(DAY(EOMONTH(A242,0))/2))/AK242)</f>
        <v>#VALUE!</v>
      </c>
      <c r="AC242" s="185" t="str">
        <f aca="false">IF($A243="","",VLOOKUP($A242,Table,MATCH(AC$4,Curves,0)))</f>
        <v/>
      </c>
      <c r="AD242" s="185" t="str">
        <f aca="false">IF($A243="","",VLOOKUP($A242,Table,MATCH(AD$4,Curves,0)))</f>
        <v/>
      </c>
      <c r="AE242" s="185" t="e">
        <f aca="false">SQRT((AD242^2*(A242-$D$3)+AC242^2*(DAY(EOMONTH(A242,0))/2))/AK242)</f>
        <v>#VALUE!</v>
      </c>
      <c r="AF242" s="224" t="e">
        <f aca="false">((Summary!$N$14*(AA242*AD242)*(A242-$D$3))+(Summary!$M$14*Z242*AC242*(AJ242-EOMONTH(EDATE(A242,-1),0))))/(AK242*AB242*AE242)</f>
        <v>#VALUE!</v>
      </c>
      <c r="AG242" s="207" t="str">
        <f aca="false">IF($A243="","",Summary!$Q$14)</f>
        <v/>
      </c>
      <c r="AH242" s="207" t="str">
        <f aca="false">IF($A243="","",IF(Summary!$R$12="Y",(VLOOKUP($A242,Summary!$AD$6:$AF$9,3)+'Escalating commodity'!J255),'Escalating commodity'!J255))</f>
        <v/>
      </c>
      <c r="AI242" s="207" t="str">
        <f aca="false">IF($A243="","",AH242)</f>
        <v/>
      </c>
      <c r="AJ242" s="208" t="e">
        <f aca="false">A242+DAY(EOMONTH(A242,0))/2-1</f>
        <v>#VALUE!</v>
      </c>
      <c r="AK242" s="209" t="str">
        <f aca="false">IF($A243="","",$A242-$E$1)</f>
        <v/>
      </c>
      <c r="AL242" s="182" t="str">
        <f aca="false">IF($A243="","",SPRDOPT(P242,X242,AI242,0,AB242,AE242,AF242,AK242,$AJ$2,0))</f>
        <v/>
      </c>
      <c r="AM242" s="211" t="str">
        <f aca="false">IF($A243="","",MAX(0,O242-W242-AI242))</f>
        <v/>
      </c>
      <c r="AN242" s="211" t="str">
        <f aca="false">IF($A243="","",AL242-AM242)</f>
        <v/>
      </c>
      <c r="AO242" s="137" t="str">
        <f aca="false">IF(A243="","",A243-A242)</f>
        <v/>
      </c>
      <c r="AP242" s="212" t="str">
        <f aca="false">IF(A243="","",CHOOSE(F$3,A243+24,A242))</f>
        <v/>
      </c>
      <c r="AQ242" s="209" t="str">
        <f aca="false">IF(A243="","",AP242-$E$1)</f>
        <v/>
      </c>
      <c r="AR242" s="185" t="n">
        <f aca="false">'ANR OK vs ML7'!AR242</f>
        <v>0.1</v>
      </c>
      <c r="AS242" s="213" t="str">
        <f aca="false">IF(A243="","",1/(1+CHOOSE(F$3,(AR243+($I$3/10000))/2,(AR242+($I$3/10000))/2))^(2*AQ242/365.25))</f>
        <v/>
      </c>
      <c r="AT242" s="137" t="str">
        <f aca="false">IF(A243="","",IF(AND(mthbeg&lt;=A242,mthend&gt;=A242),1,0))</f>
        <v/>
      </c>
      <c r="AU242" s="137" t="str">
        <f aca="false">IF(A243="","",AO242*AT242)</f>
        <v/>
      </c>
      <c r="AW242" s="195" t="str">
        <f aca="false">IF($A243="","",AL242*$E242)</f>
        <v/>
      </c>
      <c r="AX242" s="195" t="str">
        <f aca="false">IF($A243="","",AM242*$E242)</f>
        <v/>
      </c>
      <c r="AY242" s="195" t="str">
        <f aca="false">IF($A243="","",AN242*$E242)</f>
        <v/>
      </c>
      <c r="BA242" s="195" t="str">
        <f aca="false">IF($A243="","",F242*Summary!$Q$14)</f>
        <v/>
      </c>
    </row>
    <row r="243" customFormat="false" ht="12" hidden="false" customHeight="true" outlineLevel="0" collapsed="false">
      <c r="A243" s="196" t="str">
        <f aca="false">IF(A242&lt;mthend,EDATE(A242,1),"")</f>
        <v/>
      </c>
      <c r="B243" s="197" t="str">
        <f aca="false">IF(A243&lt;mthend,B242,"")</f>
        <v/>
      </c>
      <c r="C243" s="215"/>
      <c r="D243" s="197" t="str">
        <f aca="false">IF(A244&lt;&gt;"",B243+C243,"")</f>
        <v/>
      </c>
      <c r="E243" s="199" t="str">
        <f aca="false">IF(A244="","",IF(AND(AT243=1,$H$3=1),D243*AO243,IF($H$3=2,D243,"N/A")))</f>
        <v/>
      </c>
      <c r="F243" s="199" t="str">
        <f aca="false">IF(A244="","",E243*AS243)</f>
        <v/>
      </c>
      <c r="G243" s="200" t="str">
        <f aca="false">IF($A244="","",VLOOKUP($A243,Table,MATCH(G$4,Curves,0)))</f>
        <v/>
      </c>
      <c r="H243" s="201" t="str">
        <f aca="false">IF(A244="","",G243)</f>
        <v/>
      </c>
      <c r="I243" s="202"/>
      <c r="J243" s="200" t="str">
        <f aca="false">IF($A244="","",VLOOKUP($A243,Table,MATCH(J$4,Curves,0)))</f>
        <v/>
      </c>
      <c r="K243" s="201" t="str">
        <f aca="false">IF(A244="","",J243)</f>
        <v/>
      </c>
      <c r="L243" s="185" t="n">
        <v>0</v>
      </c>
      <c r="M243" s="201" t="str">
        <f aca="false">IF(A244="","",L243)</f>
        <v/>
      </c>
      <c r="N243" s="203"/>
      <c r="O243" s="200" t="str">
        <f aca="false">IF(A244="","",L243+J243+G243)</f>
        <v/>
      </c>
      <c r="P243" s="200" t="str">
        <f aca="false">IF(A244="","",M243+K243+H243)</f>
        <v/>
      </c>
      <c r="Q243" s="204"/>
      <c r="R243" s="200" t="str">
        <f aca="false">IF($A244="","",VLOOKUP($A243,Table,MATCH(R$4,Curves,0)))</f>
        <v/>
      </c>
      <c r="S243" s="201" t="str">
        <f aca="false">IF(A244="","",R243)</f>
        <v/>
      </c>
      <c r="T243" s="200" t="str">
        <f aca="false">IF($A244="","",VLOOKUP($A243,Table,MATCH(T$4,Curves,0)))</f>
        <v/>
      </c>
      <c r="U243" s="201" t="str">
        <f aca="false">IF(A244="","",T243)</f>
        <v/>
      </c>
      <c r="V243" s="183" t="str">
        <f aca="false">IF($A244="","",IF(AND(MONTH(A243)&gt;3,MONTH(A243)&lt;11),(T243+R243+G243)*(((1/(1-Summary!$T$14))/(1-Summary!$W$14))-1),(T243+R243+G243)*((1/(1-Summary!$U$14))/(1-Summary!$X$14)-1)))</f>
        <v/>
      </c>
      <c r="W243" s="202" t="str">
        <f aca="false">IF($A244="","",(T243+R243+G243+V243))</f>
        <v/>
      </c>
      <c r="X243" s="202" t="str">
        <f aca="false">IF($A244="","",(U243+S243+H243+V243))</f>
        <v/>
      </c>
      <c r="Y243" s="202"/>
      <c r="Z243" s="185" t="str">
        <f aca="false">IF($A244="","",VLOOKUP($A243,Table,MATCH(Z$4,Curves,0)))</f>
        <v/>
      </c>
      <c r="AA243" s="185" t="str">
        <f aca="false">IF($A244="","",VLOOKUP($A243,Table,MATCH(AA$4,Curves,0)))</f>
        <v/>
      </c>
      <c r="AB243" s="185" t="e">
        <f aca="false">SQRT((AA243^2*(A243-$D$3)+Z243^2*(DAY(EOMONTH(A243,0))/2))/AK243)</f>
        <v>#VALUE!</v>
      </c>
      <c r="AC243" s="185" t="str">
        <f aca="false">IF($A244="","",VLOOKUP($A243,Table,MATCH(AC$4,Curves,0)))</f>
        <v/>
      </c>
      <c r="AD243" s="185" t="str">
        <f aca="false">IF($A244="","",VLOOKUP($A243,Table,MATCH(AD$4,Curves,0)))</f>
        <v/>
      </c>
      <c r="AE243" s="185" t="e">
        <f aca="false">SQRT((AD243^2*(A243-$D$3)+AC243^2*(DAY(EOMONTH(A243,0))/2))/AK243)</f>
        <v>#VALUE!</v>
      </c>
      <c r="AF243" s="224" t="e">
        <f aca="false">((Summary!$N$14*(AA243*AD243)*(A243-$D$3))+(Summary!$M$14*Z243*AC243*(AJ243-EOMONTH(EDATE(A243,-1),0))))/(AK243*AB243*AE243)</f>
        <v>#VALUE!</v>
      </c>
      <c r="AG243" s="207" t="str">
        <f aca="false">IF($A244="","",Summary!$Q$14)</f>
        <v/>
      </c>
      <c r="AH243" s="207" t="str">
        <f aca="false">IF($A244="","",IF(Summary!$R$12="Y",(VLOOKUP($A243,Summary!$AD$6:$AF$9,3)+'Escalating commodity'!J256),'Escalating commodity'!J256))</f>
        <v/>
      </c>
      <c r="AI243" s="207" t="str">
        <f aca="false">IF($A244="","",AH243)</f>
        <v/>
      </c>
      <c r="AJ243" s="208" t="e">
        <f aca="false">A243+DAY(EOMONTH(A243,0))/2-1</f>
        <v>#VALUE!</v>
      </c>
      <c r="AK243" s="209" t="str">
        <f aca="false">IF($A244="","",$A243-$E$1)</f>
        <v/>
      </c>
      <c r="AL243" s="182" t="str">
        <f aca="false">IF($A244="","",SPRDOPT(P243,X243,AI243,0,AB243,AE243,AF243,AK243,$AJ$2,0))</f>
        <v/>
      </c>
      <c r="AM243" s="211" t="str">
        <f aca="false">IF($A244="","",MAX(0,O243-W243-AI243))</f>
        <v/>
      </c>
      <c r="AN243" s="211" t="str">
        <f aca="false">IF($A244="","",AL243-AM243)</f>
        <v/>
      </c>
      <c r="AO243" s="137" t="str">
        <f aca="false">IF(A244="","",A244-A243)</f>
        <v/>
      </c>
      <c r="AP243" s="212" t="str">
        <f aca="false">IF(A244="","",CHOOSE(F$3,A244+24,A243))</f>
        <v/>
      </c>
      <c r="AQ243" s="209" t="str">
        <f aca="false">IF(A244="","",AP243-$E$1)</f>
        <v/>
      </c>
      <c r="AR243" s="185" t="n">
        <f aca="false">'ANR OK vs ML7'!AR243</f>
        <v>0.1</v>
      </c>
      <c r="AS243" s="213" t="str">
        <f aca="false">IF(A244="","",1/(1+CHOOSE(F$3,(AR244+($I$3/10000))/2,(AR243+($I$3/10000))/2))^(2*AQ243/365.25))</f>
        <v/>
      </c>
      <c r="AT243" s="137" t="str">
        <f aca="false">IF(A244="","",IF(AND(mthbeg&lt;=A243,mthend&gt;=A243),1,0))</f>
        <v/>
      </c>
      <c r="AU243" s="137" t="str">
        <f aca="false">IF(A244="","",AO243*AT243)</f>
        <v/>
      </c>
      <c r="AW243" s="195" t="str">
        <f aca="false">IF($A244="","",AL243*$E243)</f>
        <v/>
      </c>
      <c r="AX243" s="195" t="str">
        <f aca="false">IF($A244="","",AM243*$E243)</f>
        <v/>
      </c>
      <c r="AY243" s="195" t="str">
        <f aca="false">IF($A244="","",AN243*$E243)</f>
        <v/>
      </c>
      <c r="BA243" s="195" t="str">
        <f aca="false">IF($A244="","",F243*Summary!$Q$14)</f>
        <v/>
      </c>
    </row>
    <row r="244" customFormat="false" ht="12" hidden="false" customHeight="true" outlineLevel="0" collapsed="false">
      <c r="A244" s="196" t="str">
        <f aca="false">IF(A243&lt;mthend,EDATE(A243,1),"")</f>
        <v/>
      </c>
      <c r="B244" s="197" t="str">
        <f aca="false">IF(A244&lt;mthend,B243,"")</f>
        <v/>
      </c>
      <c r="C244" s="215"/>
      <c r="D244" s="197" t="str">
        <f aca="false">IF(A245&lt;&gt;"",B244+C244,"")</f>
        <v/>
      </c>
      <c r="E244" s="199" t="str">
        <f aca="false">IF(A245="","",IF(AND(AT244=1,$H$3=1),D244*AO244,IF($H$3=2,D244,"N/A")))</f>
        <v/>
      </c>
      <c r="F244" s="199" t="str">
        <f aca="false">IF(A245="","",E244*AS244)</f>
        <v/>
      </c>
      <c r="G244" s="200" t="str">
        <f aca="false">IF($A245="","",VLOOKUP($A244,Table,MATCH(G$4,Curves,0)))</f>
        <v/>
      </c>
      <c r="H244" s="201" t="str">
        <f aca="false">IF(A245="","",G244)</f>
        <v/>
      </c>
      <c r="I244" s="202"/>
      <c r="J244" s="200" t="str">
        <f aca="false">IF($A245="","",VLOOKUP($A244,Table,MATCH(J$4,Curves,0)))</f>
        <v/>
      </c>
      <c r="K244" s="201" t="str">
        <f aca="false">IF(A245="","",J244)</f>
        <v/>
      </c>
      <c r="L244" s="185" t="n">
        <v>0</v>
      </c>
      <c r="M244" s="201" t="str">
        <f aca="false">IF(A245="","",L244)</f>
        <v/>
      </c>
      <c r="N244" s="203"/>
      <c r="O244" s="200" t="str">
        <f aca="false">IF(A245="","",L244+J244+G244)</f>
        <v/>
      </c>
      <c r="P244" s="200" t="str">
        <f aca="false">IF(A245="","",M244+K244+H244)</f>
        <v/>
      </c>
      <c r="Q244" s="204"/>
      <c r="R244" s="200" t="str">
        <f aca="false">IF($A245="","",VLOOKUP($A244,Table,MATCH(R$4,Curves,0)))</f>
        <v/>
      </c>
      <c r="S244" s="201" t="str">
        <f aca="false">IF(A245="","",R244)</f>
        <v/>
      </c>
      <c r="T244" s="200" t="str">
        <f aca="false">IF($A245="","",VLOOKUP($A244,Table,MATCH(T$4,Curves,0)))</f>
        <v/>
      </c>
      <c r="U244" s="201" t="str">
        <f aca="false">IF(A245="","",T244)</f>
        <v/>
      </c>
      <c r="V244" s="183" t="str">
        <f aca="false">IF($A245="","",IF(AND(MONTH(A244)&gt;3,MONTH(A244)&lt;11),(T244+R244+G244)*(((1/(1-Summary!$T$14))/(1-Summary!$W$14))-1),(T244+R244+G244)*((1/(1-Summary!$U$14))/(1-Summary!$X$14)-1)))</f>
        <v/>
      </c>
      <c r="W244" s="202" t="str">
        <f aca="false">IF($A245="","",(T244+R244+G244+V244))</f>
        <v/>
      </c>
      <c r="X244" s="202" t="str">
        <f aca="false">IF($A245="","",(U244+S244+H244+V244))</f>
        <v/>
      </c>
      <c r="Y244" s="202"/>
      <c r="Z244" s="185" t="str">
        <f aca="false">IF($A245="","",VLOOKUP($A244,Table,MATCH(Z$4,Curves,0)))</f>
        <v/>
      </c>
      <c r="AA244" s="185" t="str">
        <f aca="false">IF($A245="","",VLOOKUP($A244,Table,MATCH(AA$4,Curves,0)))</f>
        <v/>
      </c>
      <c r="AB244" s="185" t="e">
        <f aca="false">SQRT((AA244^2*(A244-$D$3)+Z244^2*(DAY(EOMONTH(A244,0))/2))/AK244)</f>
        <v>#VALUE!</v>
      </c>
      <c r="AC244" s="185" t="str">
        <f aca="false">IF($A245="","",VLOOKUP($A244,Table,MATCH(AC$4,Curves,0)))</f>
        <v/>
      </c>
      <c r="AD244" s="185" t="str">
        <f aca="false">IF($A245="","",VLOOKUP($A244,Table,MATCH(AD$4,Curves,0)))</f>
        <v/>
      </c>
      <c r="AE244" s="185" t="e">
        <f aca="false">SQRT((AD244^2*(A244-$D$3)+AC244^2*(DAY(EOMONTH(A244,0))/2))/AK244)</f>
        <v>#VALUE!</v>
      </c>
      <c r="AF244" s="224" t="e">
        <f aca="false">((Summary!$N$14*(AA244*AD244)*(A244-$D$3))+(Summary!$M$14*Z244*AC244*(AJ244-EOMONTH(EDATE(A244,-1),0))))/(AK244*AB244*AE244)</f>
        <v>#VALUE!</v>
      </c>
      <c r="AG244" s="207" t="str">
        <f aca="false">IF($A245="","",Summary!$Q$14)</f>
        <v/>
      </c>
      <c r="AH244" s="207" t="str">
        <f aca="false">IF($A245="","",IF(Summary!$R$12="Y",(VLOOKUP($A244,Summary!$AD$6:$AF$9,3)+'Escalating commodity'!J257),'Escalating commodity'!J257))</f>
        <v/>
      </c>
      <c r="AI244" s="207" t="str">
        <f aca="false">IF($A245="","",AH244)</f>
        <v/>
      </c>
      <c r="AJ244" s="208" t="e">
        <f aca="false">A244+DAY(EOMONTH(A244,0))/2-1</f>
        <v>#VALUE!</v>
      </c>
      <c r="AK244" s="209" t="str">
        <f aca="false">IF($A245="","",$A244-$E$1)</f>
        <v/>
      </c>
      <c r="AL244" s="182" t="str">
        <f aca="false">IF($A245="","",SPRDOPT(P244,X244,AI244,0,AB244,AE244,AF244,AK244,$AJ$2,0))</f>
        <v/>
      </c>
      <c r="AM244" s="211" t="str">
        <f aca="false">IF($A245="","",MAX(0,O244-W244-AI244))</f>
        <v/>
      </c>
      <c r="AN244" s="211" t="str">
        <f aca="false">IF($A245="","",AL244-AM244)</f>
        <v/>
      </c>
      <c r="AO244" s="137" t="str">
        <f aca="false">IF(A245="","",A245-A244)</f>
        <v/>
      </c>
      <c r="AP244" s="212" t="str">
        <f aca="false">IF(A245="","",CHOOSE(F$3,A245+24,A244))</f>
        <v/>
      </c>
      <c r="AQ244" s="209" t="str">
        <f aca="false">IF(A245="","",AP244-$E$1)</f>
        <v/>
      </c>
      <c r="AR244" s="185" t="n">
        <f aca="false">'ANR OK vs ML7'!AR244</f>
        <v>0.1</v>
      </c>
      <c r="AS244" s="213" t="str">
        <f aca="false">IF(A245="","",1/(1+CHOOSE(F$3,(AR245+($I$3/10000))/2,(AR244+($I$3/10000))/2))^(2*AQ244/365.25))</f>
        <v/>
      </c>
      <c r="AT244" s="137" t="str">
        <f aca="false">IF(A245="","",IF(AND(mthbeg&lt;=A244,mthend&gt;=A244),1,0))</f>
        <v/>
      </c>
      <c r="AU244" s="137" t="str">
        <f aca="false">IF(A245="","",AO244*AT244)</f>
        <v/>
      </c>
      <c r="AW244" s="195" t="str">
        <f aca="false">IF($A245="","",AL244*$E244)</f>
        <v/>
      </c>
      <c r="AX244" s="195" t="str">
        <f aca="false">IF($A245="","",AM244*$E244)</f>
        <v/>
      </c>
      <c r="AY244" s="195" t="str">
        <f aca="false">IF($A245="","",AN244*$E244)</f>
        <v/>
      </c>
      <c r="BA244" s="195" t="str">
        <f aca="false">IF($A245="","",F244*Summary!$Q$14)</f>
        <v/>
      </c>
    </row>
    <row r="245" customFormat="false" ht="12" hidden="false" customHeight="true" outlineLevel="0" collapsed="false">
      <c r="A245" s="196" t="str">
        <f aca="false">IF(A244&lt;mthend,EDATE(A244,1),"")</f>
        <v/>
      </c>
      <c r="B245" s="197" t="str">
        <f aca="false">IF(A245&lt;mthend,B244,"")</f>
        <v/>
      </c>
      <c r="C245" s="215"/>
      <c r="D245" s="197" t="str">
        <f aca="false">IF(A246&lt;&gt;"",B245+C245,"")</f>
        <v/>
      </c>
      <c r="E245" s="199" t="str">
        <f aca="false">IF(A246="","",IF(AND(AT245=1,$H$3=1),D245*AO245,IF($H$3=2,D245,"N/A")))</f>
        <v/>
      </c>
      <c r="F245" s="199" t="str">
        <f aca="false">IF(A246="","",E245*AS245)</f>
        <v/>
      </c>
      <c r="G245" s="200" t="str">
        <f aca="false">IF($A246="","",VLOOKUP($A245,Table,MATCH(G$4,Curves,0)))</f>
        <v/>
      </c>
      <c r="H245" s="201" t="str">
        <f aca="false">IF(A246="","",G245)</f>
        <v/>
      </c>
      <c r="I245" s="202"/>
      <c r="J245" s="200" t="str">
        <f aca="false">IF($A246="","",VLOOKUP($A245,Table,MATCH(J$4,Curves,0)))</f>
        <v/>
      </c>
      <c r="K245" s="201" t="str">
        <f aca="false">IF(A246="","",J245)</f>
        <v/>
      </c>
      <c r="L245" s="185" t="n">
        <v>0</v>
      </c>
      <c r="M245" s="201" t="str">
        <f aca="false">IF(A246="","",L245)</f>
        <v/>
      </c>
      <c r="N245" s="203"/>
      <c r="O245" s="200" t="str">
        <f aca="false">IF(A246="","",L245+J245+G245)</f>
        <v/>
      </c>
      <c r="P245" s="200" t="str">
        <f aca="false">IF(A246="","",M245+K245+H245)</f>
        <v/>
      </c>
      <c r="Q245" s="204"/>
      <c r="R245" s="200" t="str">
        <f aca="false">IF($A246="","",VLOOKUP($A245,Table,MATCH(R$4,Curves,0)))</f>
        <v/>
      </c>
      <c r="S245" s="201" t="str">
        <f aca="false">IF(A246="","",R245)</f>
        <v/>
      </c>
      <c r="T245" s="200" t="str">
        <f aca="false">IF($A246="","",VLOOKUP($A245,Table,MATCH(T$4,Curves,0)))</f>
        <v/>
      </c>
      <c r="U245" s="201" t="str">
        <f aca="false">IF(A246="","",T245)</f>
        <v/>
      </c>
      <c r="V245" s="183" t="str">
        <f aca="false">IF($A246="","",IF(AND(MONTH(A245)&gt;3,MONTH(A245)&lt;11),(T245+R245+G245)*(((1/(1-Summary!$T$14))/(1-Summary!$W$14))-1),(T245+R245+G245)*((1/(1-Summary!$U$14))/(1-Summary!$X$14)-1)))</f>
        <v/>
      </c>
      <c r="W245" s="202" t="str">
        <f aca="false">IF($A246="","",(T245+R245+G245+V245))</f>
        <v/>
      </c>
      <c r="X245" s="202" t="str">
        <f aca="false">IF($A246="","",(U245+S245+H245+V245))</f>
        <v/>
      </c>
      <c r="Y245" s="202"/>
      <c r="Z245" s="185" t="str">
        <f aca="false">IF($A246="","",VLOOKUP($A245,Table,MATCH(Z$4,Curves,0)))</f>
        <v/>
      </c>
      <c r="AA245" s="185" t="str">
        <f aca="false">IF($A246="","",VLOOKUP($A245,Table,MATCH(AA$4,Curves,0)))</f>
        <v/>
      </c>
      <c r="AB245" s="185" t="e">
        <f aca="false">SQRT((AA245^2*(A245-$D$3)+Z245^2*(DAY(EOMONTH(A245,0))/2))/AK245)</f>
        <v>#VALUE!</v>
      </c>
      <c r="AC245" s="185" t="str">
        <f aca="false">IF($A246="","",VLOOKUP($A245,Table,MATCH(AC$4,Curves,0)))</f>
        <v/>
      </c>
      <c r="AD245" s="185" t="str">
        <f aca="false">IF($A246="","",VLOOKUP($A245,Table,MATCH(AD$4,Curves,0)))</f>
        <v/>
      </c>
      <c r="AE245" s="185" t="e">
        <f aca="false">SQRT((AD245^2*(A245-$D$3)+AC245^2*(DAY(EOMONTH(A245,0))/2))/AK245)</f>
        <v>#VALUE!</v>
      </c>
      <c r="AF245" s="224" t="e">
        <f aca="false">((Summary!$N$14*(AA245*AD245)*(A245-$D$3))+(Summary!$M$14*Z245*AC245*(AJ245-EOMONTH(EDATE(A245,-1),0))))/(AK245*AB245*AE245)</f>
        <v>#VALUE!</v>
      </c>
      <c r="AG245" s="207" t="str">
        <f aca="false">IF($A246="","",Summary!$Q$14)</f>
        <v/>
      </c>
      <c r="AH245" s="207" t="str">
        <f aca="false">IF($A246="","",IF(Summary!$R$12="Y",(VLOOKUP($A245,Summary!$AD$6:$AF$9,3)+'Escalating commodity'!J258),'Escalating commodity'!J258))</f>
        <v/>
      </c>
      <c r="AI245" s="207" t="str">
        <f aca="false">IF($A246="","",AH245)</f>
        <v/>
      </c>
      <c r="AJ245" s="208" t="e">
        <f aca="false">A245+DAY(EOMONTH(A245,0))/2-1</f>
        <v>#VALUE!</v>
      </c>
      <c r="AK245" s="209" t="str">
        <f aca="false">IF($A246="","",$A245-$E$1)</f>
        <v/>
      </c>
      <c r="AL245" s="182" t="str">
        <f aca="false">IF($A246="","",SPRDOPT(P245,X245,AI245,0,AB245,AE245,AF245,AK245,$AJ$2,0))</f>
        <v/>
      </c>
      <c r="AM245" s="211" t="str">
        <f aca="false">IF($A246="","",MAX(0,O245-W245-AI245))</f>
        <v/>
      </c>
      <c r="AN245" s="211" t="str">
        <f aca="false">IF($A246="","",AL245-AM245)</f>
        <v/>
      </c>
      <c r="AO245" s="137" t="str">
        <f aca="false">IF(A246="","",A246-A245)</f>
        <v/>
      </c>
      <c r="AP245" s="212" t="str">
        <f aca="false">IF(A246="","",CHOOSE(F$3,A246+24,A245))</f>
        <v/>
      </c>
      <c r="AQ245" s="209" t="str">
        <f aca="false">IF(A246="","",AP245-$E$1)</f>
        <v/>
      </c>
      <c r="AR245" s="185" t="n">
        <f aca="false">'ANR OK vs ML7'!AR245</f>
        <v>0.1</v>
      </c>
      <c r="AS245" s="213" t="str">
        <f aca="false">IF(A246="","",1/(1+CHOOSE(F$3,(AR246+($I$3/10000))/2,(AR245+($I$3/10000))/2))^(2*AQ245/365.25))</f>
        <v/>
      </c>
      <c r="AT245" s="137" t="str">
        <f aca="false">IF(A246="","",IF(AND(mthbeg&lt;=A245,mthend&gt;=A245),1,0))</f>
        <v/>
      </c>
      <c r="AU245" s="137" t="str">
        <f aca="false">IF(A246="","",AO245*AT245)</f>
        <v/>
      </c>
      <c r="AW245" s="195" t="str">
        <f aca="false">IF($A246="","",AL245*$E245)</f>
        <v/>
      </c>
      <c r="AX245" s="195" t="str">
        <f aca="false">IF($A246="","",AM245*$E245)</f>
        <v/>
      </c>
      <c r="AY245" s="195" t="str">
        <f aca="false">IF($A246="","",AN245*$E245)</f>
        <v/>
      </c>
      <c r="BA245" s="195" t="str">
        <f aca="false">IF($A246="","",F245*Summary!$Q$14)</f>
        <v/>
      </c>
    </row>
    <row r="246" customFormat="false" ht="12" hidden="false" customHeight="true" outlineLevel="0" collapsed="false">
      <c r="A246" s="196" t="str">
        <f aca="false">IF(A245&lt;mthend,EDATE(A245,1),"")</f>
        <v/>
      </c>
      <c r="B246" s="197" t="str">
        <f aca="false">IF(A246&lt;mthend,B245,"")</f>
        <v/>
      </c>
      <c r="C246" s="215"/>
      <c r="D246" s="197" t="str">
        <f aca="false">IF(A247&lt;&gt;"",B246+C246,"")</f>
        <v/>
      </c>
      <c r="E246" s="199" t="str">
        <f aca="false">IF(A247="","",IF(AND(AT246=1,$H$3=1),D246*AO246,IF($H$3=2,D246,"N/A")))</f>
        <v/>
      </c>
      <c r="F246" s="199" t="str">
        <f aca="false">IF(A247="","",E246*AS246)</f>
        <v/>
      </c>
      <c r="G246" s="200" t="str">
        <f aca="false">IF($A247="","",VLOOKUP($A246,Table,MATCH(G$4,Curves,0)))</f>
        <v/>
      </c>
      <c r="H246" s="201" t="str">
        <f aca="false">IF(A247="","",G246)</f>
        <v/>
      </c>
      <c r="I246" s="202"/>
      <c r="J246" s="200" t="str">
        <f aca="false">IF($A247="","",VLOOKUP($A246,Table,MATCH(J$4,Curves,0)))</f>
        <v/>
      </c>
      <c r="K246" s="201" t="str">
        <f aca="false">IF(A247="","",J246)</f>
        <v/>
      </c>
      <c r="L246" s="185" t="n">
        <v>0</v>
      </c>
      <c r="M246" s="201" t="str">
        <f aca="false">IF(A247="","",L246)</f>
        <v/>
      </c>
      <c r="N246" s="203"/>
      <c r="O246" s="200" t="str">
        <f aca="false">IF(A247="","",L246+J246+G246)</f>
        <v/>
      </c>
      <c r="P246" s="200" t="str">
        <f aca="false">IF(A247="","",M246+K246+H246)</f>
        <v/>
      </c>
      <c r="Q246" s="204"/>
      <c r="R246" s="200" t="str">
        <f aca="false">IF($A247="","",VLOOKUP($A246,Table,MATCH(R$4,Curves,0)))</f>
        <v/>
      </c>
      <c r="S246" s="201" t="str">
        <f aca="false">IF(A247="","",R246)</f>
        <v/>
      </c>
      <c r="T246" s="200" t="str">
        <f aca="false">IF($A247="","",VLOOKUP($A246,Table,MATCH(T$4,Curves,0)))</f>
        <v/>
      </c>
      <c r="U246" s="201" t="str">
        <f aca="false">IF(A247="","",T246)</f>
        <v/>
      </c>
      <c r="V246" s="183" t="str">
        <f aca="false">IF($A247="","",IF(AND(MONTH(A246)&gt;3,MONTH(A246)&lt;11),(T246+R246+G246)*(((1/(1-Summary!$T$14))/(1-Summary!$W$14))-1),(T246+R246+G246)*((1/(1-Summary!$U$14))/(1-Summary!$X$14)-1)))</f>
        <v/>
      </c>
      <c r="W246" s="202" t="str">
        <f aca="false">IF($A247="","",(T246+R246+G246+V246))</f>
        <v/>
      </c>
      <c r="X246" s="202" t="str">
        <f aca="false">IF($A247="","",(U246+S246+H246+V246))</f>
        <v/>
      </c>
      <c r="Y246" s="202"/>
      <c r="Z246" s="185" t="str">
        <f aca="false">IF($A247="","",VLOOKUP($A246,Table,MATCH(Z$4,Curves,0)))</f>
        <v/>
      </c>
      <c r="AA246" s="185" t="str">
        <f aca="false">IF($A247="","",VLOOKUP($A246,Table,MATCH(AA$4,Curves,0)))</f>
        <v/>
      </c>
      <c r="AB246" s="185" t="e">
        <f aca="false">SQRT((AA246^2*(A246-$D$3)+Z246^2*(DAY(EOMONTH(A246,0))/2))/AK246)</f>
        <v>#VALUE!</v>
      </c>
      <c r="AC246" s="185" t="str">
        <f aca="false">IF($A247="","",VLOOKUP($A246,Table,MATCH(AC$4,Curves,0)))</f>
        <v/>
      </c>
      <c r="AD246" s="185" t="str">
        <f aca="false">IF($A247="","",VLOOKUP($A246,Table,MATCH(AD$4,Curves,0)))</f>
        <v/>
      </c>
      <c r="AE246" s="185" t="e">
        <f aca="false">SQRT((AD246^2*(A246-$D$3)+AC246^2*(DAY(EOMONTH(A246,0))/2))/AK246)</f>
        <v>#VALUE!</v>
      </c>
      <c r="AF246" s="224" t="e">
        <f aca="false">((Summary!$N$14*(AA246*AD246)*(A246-$D$3))+(Summary!$M$14*Z246*AC246*(AJ246-EOMONTH(EDATE(A246,-1),0))))/(AK246*AB246*AE246)</f>
        <v>#VALUE!</v>
      </c>
      <c r="AG246" s="207" t="str">
        <f aca="false">IF($A247="","",Summary!$Q$14)</f>
        <v/>
      </c>
      <c r="AH246" s="207" t="str">
        <f aca="false">IF($A247="","",IF(Summary!$R$12="Y",(VLOOKUP($A246,Summary!$AD$6:$AF$9,3)+'Escalating commodity'!J259),'Escalating commodity'!J259))</f>
        <v/>
      </c>
      <c r="AI246" s="207" t="str">
        <f aca="false">IF($A247="","",AH246)</f>
        <v/>
      </c>
      <c r="AJ246" s="208" t="e">
        <f aca="false">A246+DAY(EOMONTH(A246,0))/2-1</f>
        <v>#VALUE!</v>
      </c>
      <c r="AK246" s="209" t="str">
        <f aca="false">IF($A247="","",$A246-$E$1)</f>
        <v/>
      </c>
      <c r="AL246" s="182" t="str">
        <f aca="false">IF($A247="","",SPRDOPT(P246,X246,AI246,0,AB246,AE246,AF246,AK246,$AJ$2,0))</f>
        <v/>
      </c>
      <c r="AM246" s="211" t="str">
        <f aca="false">IF($A247="","",MAX(0,O246-W246-AI246))</f>
        <v/>
      </c>
      <c r="AN246" s="211" t="str">
        <f aca="false">IF($A247="","",AL246-AM246)</f>
        <v/>
      </c>
      <c r="AO246" s="137" t="str">
        <f aca="false">IF(A247="","",A247-A246)</f>
        <v/>
      </c>
      <c r="AP246" s="212" t="str">
        <f aca="false">IF(A247="","",CHOOSE(F$3,A247+24,A246))</f>
        <v/>
      </c>
      <c r="AQ246" s="209" t="str">
        <f aca="false">IF(A247="","",AP246-$E$1)</f>
        <v/>
      </c>
      <c r="AR246" s="185" t="n">
        <f aca="false">'ANR OK vs ML7'!AR246</f>
        <v>0.1</v>
      </c>
      <c r="AS246" s="213" t="str">
        <f aca="false">IF(A247="","",1/(1+CHOOSE(F$3,(AR247+($I$3/10000))/2,(AR246+($I$3/10000))/2))^(2*AQ246/365.25))</f>
        <v/>
      </c>
      <c r="AT246" s="137" t="str">
        <f aca="false">IF(A247="","",IF(AND(mthbeg&lt;=A246,mthend&gt;=A246),1,0))</f>
        <v/>
      </c>
      <c r="AU246" s="137" t="str">
        <f aca="false">IF(A247="","",AO246*AT246)</f>
        <v/>
      </c>
      <c r="AW246" s="195" t="str">
        <f aca="false">IF($A247="","",AL246*$E246)</f>
        <v/>
      </c>
      <c r="AX246" s="195" t="str">
        <f aca="false">IF($A247="","",AM246*$E246)</f>
        <v/>
      </c>
      <c r="AY246" s="195" t="str">
        <f aca="false">IF($A247="","",AN246*$E246)</f>
        <v/>
      </c>
      <c r="BA246" s="195" t="str">
        <f aca="false">IF($A247="","",F246*Summary!$Q$14)</f>
        <v/>
      </c>
    </row>
    <row r="247" customFormat="false" ht="12" hidden="false" customHeight="true" outlineLevel="0" collapsed="false">
      <c r="A247" s="196" t="str">
        <f aca="false">IF(A246&lt;mthend,EDATE(A246,1),"")</f>
        <v/>
      </c>
      <c r="B247" s="197" t="str">
        <f aca="false">IF(A247&lt;mthend,B246,"")</f>
        <v/>
      </c>
      <c r="C247" s="215"/>
      <c r="D247" s="197" t="str">
        <f aca="false">IF(A248&lt;&gt;"",B247+C247,"")</f>
        <v/>
      </c>
      <c r="E247" s="199" t="str">
        <f aca="false">IF(A248="","",IF(AND(AT247=1,$H$3=1),D247*AO247,IF($H$3=2,D247,"N/A")))</f>
        <v/>
      </c>
      <c r="F247" s="199" t="str">
        <f aca="false">IF(A248="","",E247*AS247)</f>
        <v/>
      </c>
      <c r="G247" s="200" t="str">
        <f aca="false">IF($A248="","",VLOOKUP($A247,Table,MATCH(G$4,Curves,0)))</f>
        <v/>
      </c>
      <c r="H247" s="201" t="str">
        <f aca="false">IF(A248="","",G247)</f>
        <v/>
      </c>
      <c r="I247" s="202"/>
      <c r="J247" s="200" t="str">
        <f aca="false">IF($A248="","",VLOOKUP($A247,Table,MATCH(J$4,Curves,0)))</f>
        <v/>
      </c>
      <c r="K247" s="201" t="str">
        <f aca="false">IF(A248="","",J247)</f>
        <v/>
      </c>
      <c r="L247" s="185" t="n">
        <v>0</v>
      </c>
      <c r="M247" s="201" t="str">
        <f aca="false">IF(A248="","",L247)</f>
        <v/>
      </c>
      <c r="N247" s="203"/>
      <c r="O247" s="200" t="str">
        <f aca="false">IF(A248="","",L247+J247+G247)</f>
        <v/>
      </c>
      <c r="P247" s="200" t="str">
        <f aca="false">IF(A248="","",M247+K247+H247)</f>
        <v/>
      </c>
      <c r="Q247" s="204"/>
      <c r="R247" s="200" t="str">
        <f aca="false">IF($A248="","",VLOOKUP($A247,Table,MATCH(R$4,Curves,0)))</f>
        <v/>
      </c>
      <c r="S247" s="201" t="str">
        <f aca="false">IF(A248="","",R247)</f>
        <v/>
      </c>
      <c r="T247" s="200" t="str">
        <f aca="false">IF($A248="","",VLOOKUP($A247,Table,MATCH(T$4,Curves,0)))</f>
        <v/>
      </c>
      <c r="U247" s="201" t="str">
        <f aca="false">IF(A248="","",T247)</f>
        <v/>
      </c>
      <c r="V247" s="183" t="str">
        <f aca="false">IF($A248="","",IF(AND(MONTH(A247)&gt;3,MONTH(A247)&lt;11),(T247+R247+G247)*(((1/(1-Summary!$T$14))/(1-Summary!$W$14))-1),(T247+R247+G247)*((1/(1-Summary!$U$14))/(1-Summary!$X$14)-1)))</f>
        <v/>
      </c>
      <c r="W247" s="202" t="str">
        <f aca="false">IF($A248="","",(T247+R247+G247+V247))</f>
        <v/>
      </c>
      <c r="X247" s="202" t="str">
        <f aca="false">IF($A248="","",(U247+S247+H247+V247))</f>
        <v/>
      </c>
      <c r="Y247" s="202"/>
      <c r="Z247" s="185" t="str">
        <f aca="false">IF($A248="","",VLOOKUP($A247,Table,MATCH(Z$4,Curves,0)))</f>
        <v/>
      </c>
      <c r="AA247" s="185" t="str">
        <f aca="false">IF($A248="","",VLOOKUP($A247,Table,MATCH(AA$4,Curves,0)))</f>
        <v/>
      </c>
      <c r="AB247" s="185" t="e">
        <f aca="false">SQRT((AA247^2*(A247-$D$3)+Z247^2*(DAY(EOMONTH(A247,0))/2))/AK247)</f>
        <v>#VALUE!</v>
      </c>
      <c r="AC247" s="185" t="str">
        <f aca="false">IF($A248="","",VLOOKUP($A247,Table,MATCH(AC$4,Curves,0)))</f>
        <v/>
      </c>
      <c r="AD247" s="185" t="str">
        <f aca="false">IF($A248="","",VLOOKUP($A247,Table,MATCH(AD$4,Curves,0)))</f>
        <v/>
      </c>
      <c r="AE247" s="185" t="e">
        <f aca="false">SQRT((AD247^2*(A247-$D$3)+AC247^2*(DAY(EOMONTH(A247,0))/2))/AK247)</f>
        <v>#VALUE!</v>
      </c>
      <c r="AF247" s="224" t="e">
        <f aca="false">((Summary!$N$14*(AA247*AD247)*(A247-$D$3))+(Summary!$M$14*Z247*AC247*(AJ247-EOMONTH(EDATE(A247,-1),0))))/(AK247*AB247*AE247)</f>
        <v>#VALUE!</v>
      </c>
      <c r="AG247" s="207" t="str">
        <f aca="false">IF($A248="","",Summary!$Q$14)</f>
        <v/>
      </c>
      <c r="AH247" s="207" t="str">
        <f aca="false">IF($A248="","",IF(Summary!$R$12="Y",(VLOOKUP($A247,Summary!$AD$6:$AF$9,3)+'Escalating commodity'!J260),'Escalating commodity'!J260))</f>
        <v/>
      </c>
      <c r="AI247" s="207" t="str">
        <f aca="false">IF($A248="","",AH247)</f>
        <v/>
      </c>
      <c r="AJ247" s="208" t="e">
        <f aca="false">A247+DAY(EOMONTH(A247,0))/2-1</f>
        <v>#VALUE!</v>
      </c>
      <c r="AK247" s="209" t="str">
        <f aca="false">IF($A248="","",$A247-$E$1)</f>
        <v/>
      </c>
      <c r="AL247" s="182" t="str">
        <f aca="false">IF($A248="","",SPRDOPT(P247,X247,AI247,0,AB247,AE247,AF247,AK247,$AJ$2,0))</f>
        <v/>
      </c>
      <c r="AM247" s="211" t="str">
        <f aca="false">IF($A248="","",MAX(0,O247-W247-AI247))</f>
        <v/>
      </c>
      <c r="AN247" s="211" t="str">
        <f aca="false">IF($A248="","",AL247-AM247)</f>
        <v/>
      </c>
      <c r="AO247" s="137" t="str">
        <f aca="false">IF(A248="","",A248-A247)</f>
        <v/>
      </c>
      <c r="AP247" s="212" t="str">
        <f aca="false">IF(A248="","",CHOOSE(F$3,A248+24,A247))</f>
        <v/>
      </c>
      <c r="AQ247" s="209" t="str">
        <f aca="false">IF(A248="","",AP247-$E$1)</f>
        <v/>
      </c>
      <c r="AR247" s="185" t="n">
        <f aca="false">'ANR OK vs ML7'!AR247</f>
        <v>0.1</v>
      </c>
      <c r="AS247" s="213" t="str">
        <f aca="false">IF(A248="","",1/(1+CHOOSE(F$3,(AR248+($I$3/10000))/2,(AR247+($I$3/10000))/2))^(2*AQ247/365.25))</f>
        <v/>
      </c>
      <c r="AT247" s="137" t="str">
        <f aca="false">IF(A248="","",IF(AND(mthbeg&lt;=A247,mthend&gt;=A247),1,0))</f>
        <v/>
      </c>
      <c r="AU247" s="137" t="str">
        <f aca="false">IF(A248="","",AO247*AT247)</f>
        <v/>
      </c>
      <c r="AW247" s="195" t="str">
        <f aca="false">IF($A248="","",AL247*$E247)</f>
        <v/>
      </c>
      <c r="AX247" s="195" t="str">
        <f aca="false">IF($A248="","",AM247*$E247)</f>
        <v/>
      </c>
      <c r="AY247" s="195" t="str">
        <f aca="false">IF($A248="","",AN247*$E247)</f>
        <v/>
      </c>
      <c r="BA247" s="195" t="str">
        <f aca="false">IF($A248="","",F247*Summary!$Q$14)</f>
        <v/>
      </c>
    </row>
    <row r="248" customFormat="false" ht="12" hidden="false" customHeight="true" outlineLevel="0" collapsed="false">
      <c r="A248" s="196" t="str">
        <f aca="false">IF(A247&lt;mthend,EDATE(A247,1),"")</f>
        <v/>
      </c>
      <c r="B248" s="197" t="str">
        <f aca="false">IF(A248&lt;mthend,B247,"")</f>
        <v/>
      </c>
      <c r="C248" s="215"/>
      <c r="D248" s="197" t="str">
        <f aca="false">IF(A249&lt;&gt;"",B248+C248,"")</f>
        <v/>
      </c>
      <c r="E248" s="199" t="str">
        <f aca="false">IF(A249="","",IF(AND(AT248=1,$H$3=1),D248*AO248,IF($H$3=2,D248,"N/A")))</f>
        <v/>
      </c>
      <c r="F248" s="199" t="str">
        <f aca="false">IF(A249="","",E248*AS248)</f>
        <v/>
      </c>
      <c r="G248" s="200" t="str">
        <f aca="false">IF($A249="","",VLOOKUP($A248,Table,MATCH(G$4,Curves,0)))</f>
        <v/>
      </c>
      <c r="H248" s="201" t="str">
        <f aca="false">IF(A249="","",G248)</f>
        <v/>
      </c>
      <c r="I248" s="202"/>
      <c r="J248" s="200" t="str">
        <f aca="false">IF($A249="","",VLOOKUP($A248,Table,MATCH(J$4,Curves,0)))</f>
        <v/>
      </c>
      <c r="K248" s="201" t="str">
        <f aca="false">IF(A249="","",J248)</f>
        <v/>
      </c>
      <c r="L248" s="185" t="n">
        <v>0</v>
      </c>
      <c r="M248" s="201" t="str">
        <f aca="false">IF(A249="","",L248)</f>
        <v/>
      </c>
      <c r="N248" s="203"/>
      <c r="O248" s="200" t="str">
        <f aca="false">IF(A249="","",L248+J248+G248)</f>
        <v/>
      </c>
      <c r="P248" s="200" t="str">
        <f aca="false">IF(A249="","",M248+K248+H248)</f>
        <v/>
      </c>
      <c r="Q248" s="204"/>
      <c r="R248" s="200" t="str">
        <f aca="false">IF($A249="","",VLOOKUP($A248,Table,MATCH(R$4,Curves,0)))</f>
        <v/>
      </c>
      <c r="S248" s="201" t="str">
        <f aca="false">IF(A249="","",R248)</f>
        <v/>
      </c>
      <c r="T248" s="200" t="str">
        <f aca="false">IF($A249="","",VLOOKUP($A248,Table,MATCH(T$4,Curves,0)))</f>
        <v/>
      </c>
      <c r="U248" s="201" t="str">
        <f aca="false">IF(A249="","",T248)</f>
        <v/>
      </c>
      <c r="V248" s="183" t="str">
        <f aca="false">IF($A249="","",IF(AND(MONTH(A248)&gt;3,MONTH(A248)&lt;11),(T248+R248+G248)*(((1/(1-Summary!$T$14))/(1-Summary!$W$14))-1),(T248+R248+G248)*((1/(1-Summary!$U$14))/(1-Summary!$X$14)-1)))</f>
        <v/>
      </c>
      <c r="W248" s="202" t="str">
        <f aca="false">IF($A249="","",(T248+R248+G248+V248))</f>
        <v/>
      </c>
      <c r="X248" s="202" t="str">
        <f aca="false">IF($A249="","",(U248+S248+H248+V248))</f>
        <v/>
      </c>
      <c r="Y248" s="202"/>
      <c r="Z248" s="185" t="str">
        <f aca="false">IF($A249="","",VLOOKUP($A248,Table,MATCH(Z$4,Curves,0)))</f>
        <v/>
      </c>
      <c r="AA248" s="185" t="str">
        <f aca="false">IF($A249="","",VLOOKUP($A248,Table,MATCH(AA$4,Curves,0)))</f>
        <v/>
      </c>
      <c r="AB248" s="185" t="e">
        <f aca="false">SQRT((AA248^2*(A248-$D$3)+Z248^2*(DAY(EOMONTH(A248,0))/2))/AK248)</f>
        <v>#VALUE!</v>
      </c>
      <c r="AC248" s="185" t="str">
        <f aca="false">IF($A249="","",VLOOKUP($A248,Table,MATCH(AC$4,Curves,0)))</f>
        <v/>
      </c>
      <c r="AD248" s="185" t="str">
        <f aca="false">IF($A249="","",VLOOKUP($A248,Table,MATCH(AD$4,Curves,0)))</f>
        <v/>
      </c>
      <c r="AE248" s="185" t="e">
        <f aca="false">SQRT((AD248^2*(A248-$D$3)+AC248^2*(DAY(EOMONTH(A248,0))/2))/AK248)</f>
        <v>#VALUE!</v>
      </c>
      <c r="AF248" s="224" t="e">
        <f aca="false">((Summary!$N$14*(AA248*AD248)*(A248-$D$3))+(Summary!$M$14*Z248*AC248*(AJ248-EOMONTH(EDATE(A248,-1),0))))/(AK248*AB248*AE248)</f>
        <v>#VALUE!</v>
      </c>
      <c r="AG248" s="207" t="str">
        <f aca="false">IF($A249="","",Summary!$Q$14)</f>
        <v/>
      </c>
      <c r="AH248" s="207" t="str">
        <f aca="false">IF($A249="","",IF(Summary!$R$12="Y",(VLOOKUP($A248,Summary!$AD$6:$AF$9,3)+'Escalating commodity'!J261),'Escalating commodity'!J261))</f>
        <v/>
      </c>
      <c r="AI248" s="207" t="str">
        <f aca="false">IF($A249="","",AH248)</f>
        <v/>
      </c>
      <c r="AJ248" s="208" t="e">
        <f aca="false">A248+DAY(EOMONTH(A248,0))/2-1</f>
        <v>#VALUE!</v>
      </c>
      <c r="AK248" s="209" t="str">
        <f aca="false">IF($A249="","",$A248-$E$1)</f>
        <v/>
      </c>
      <c r="AL248" s="182" t="str">
        <f aca="false">IF($A249="","",SPRDOPT(P248,X248,AI248,0,AB248,AE248,AF248,AK248,$AJ$2,0))</f>
        <v/>
      </c>
      <c r="AM248" s="211" t="str">
        <f aca="false">IF($A249="","",MAX(0,O248-W248-AI248))</f>
        <v/>
      </c>
      <c r="AN248" s="211" t="str">
        <f aca="false">IF($A249="","",AL248-AM248)</f>
        <v/>
      </c>
      <c r="AO248" s="137" t="str">
        <f aca="false">IF(A249="","",A249-A248)</f>
        <v/>
      </c>
      <c r="AP248" s="212" t="str">
        <f aca="false">IF(A249="","",CHOOSE(F$3,A249+24,A248))</f>
        <v/>
      </c>
      <c r="AQ248" s="209" t="str">
        <f aca="false">IF(A249="","",AP248-$E$1)</f>
        <v/>
      </c>
      <c r="AR248" s="185" t="n">
        <f aca="false">'ANR OK vs ML7'!AR248</f>
        <v>0.1</v>
      </c>
      <c r="AS248" s="213" t="str">
        <f aca="false">IF(A249="","",1/(1+CHOOSE(F$3,(AR249+($I$3/10000))/2,(AR248+($I$3/10000))/2))^(2*AQ248/365.25))</f>
        <v/>
      </c>
      <c r="AT248" s="137" t="str">
        <f aca="false">IF(A249="","",IF(AND(mthbeg&lt;=A248,mthend&gt;=A248),1,0))</f>
        <v/>
      </c>
      <c r="AU248" s="137" t="str">
        <f aca="false">IF(A249="","",AO248*AT248)</f>
        <v/>
      </c>
      <c r="AW248" s="195" t="str">
        <f aca="false">IF($A249="","",AL248*$E248)</f>
        <v/>
      </c>
      <c r="AX248" s="195" t="str">
        <f aca="false">IF($A249="","",AM248*$E248)</f>
        <v/>
      </c>
      <c r="AY248" s="195" t="str">
        <f aca="false">IF($A249="","",AN248*$E248)</f>
        <v/>
      </c>
      <c r="BA248" s="195" t="str">
        <f aca="false">IF($A249="","",F248*Summary!$Q$14)</f>
        <v/>
      </c>
    </row>
    <row r="249" customFormat="false" ht="12" hidden="false" customHeight="true" outlineLevel="0" collapsed="false">
      <c r="A249" s="196" t="str">
        <f aca="false">IF(A248&lt;mthend,EDATE(A248,1),"")</f>
        <v/>
      </c>
      <c r="B249" s="197" t="str">
        <f aca="false">IF(A249&lt;mthend,B248,"")</f>
        <v/>
      </c>
      <c r="C249" s="215"/>
      <c r="D249" s="197" t="str">
        <f aca="false">IF(A250&lt;&gt;"",B249+C249,"")</f>
        <v/>
      </c>
      <c r="E249" s="199" t="str">
        <f aca="false">IF(A250="","",IF(AND(AT249=1,$H$3=1),D249*AO249,IF($H$3=2,D249,"N/A")))</f>
        <v/>
      </c>
      <c r="F249" s="199" t="str">
        <f aca="false">IF(A250="","",E249*AS249)</f>
        <v/>
      </c>
      <c r="G249" s="200" t="str">
        <f aca="false">IF($A250="","",VLOOKUP($A249,Table,MATCH(G$4,Curves,0)))</f>
        <v/>
      </c>
      <c r="H249" s="201" t="str">
        <f aca="false">IF(A250="","",G249)</f>
        <v/>
      </c>
      <c r="I249" s="202"/>
      <c r="J249" s="200" t="str">
        <f aca="false">IF($A250="","",VLOOKUP($A249,Table,MATCH(J$4,Curves,0)))</f>
        <v/>
      </c>
      <c r="K249" s="201" t="str">
        <f aca="false">IF(A250="","",J249)</f>
        <v/>
      </c>
      <c r="L249" s="185" t="n">
        <v>0</v>
      </c>
      <c r="M249" s="201" t="str">
        <f aca="false">IF(A250="","",L249)</f>
        <v/>
      </c>
      <c r="N249" s="203"/>
      <c r="O249" s="200" t="str">
        <f aca="false">IF(A250="","",L249+J249+G249)</f>
        <v/>
      </c>
      <c r="P249" s="200" t="str">
        <f aca="false">IF(A250="","",M249+K249+H249)</f>
        <v/>
      </c>
      <c r="Q249" s="204"/>
      <c r="R249" s="200" t="str">
        <f aca="false">IF($A250="","",VLOOKUP($A249,Table,MATCH(R$4,Curves,0)))</f>
        <v/>
      </c>
      <c r="S249" s="201" t="str">
        <f aca="false">IF(A250="","",R249)</f>
        <v/>
      </c>
      <c r="T249" s="200" t="str">
        <f aca="false">IF($A250="","",VLOOKUP($A249,Table,MATCH(T$4,Curves,0)))</f>
        <v/>
      </c>
      <c r="U249" s="201" t="str">
        <f aca="false">IF(A250="","",T249)</f>
        <v/>
      </c>
      <c r="V249" s="183" t="str">
        <f aca="false">IF($A250="","",IF(AND(MONTH(A249)&gt;3,MONTH(A249)&lt;11),(T249+R249+G249)*(((1/(1-Summary!$T$14))/(1-Summary!$W$14))-1),(T249+R249+G249)*((1/(1-Summary!$U$14))/(1-Summary!$X$14)-1)))</f>
        <v/>
      </c>
      <c r="W249" s="202" t="str">
        <f aca="false">IF($A250="","",(T249+R249+G249+V249))</f>
        <v/>
      </c>
      <c r="X249" s="202" t="str">
        <f aca="false">IF($A250="","",(U249+S249+H249+V249))</f>
        <v/>
      </c>
      <c r="Y249" s="202"/>
      <c r="Z249" s="185" t="str">
        <f aca="false">IF($A250="","",VLOOKUP($A249,Table,MATCH(Z$4,Curves,0)))</f>
        <v/>
      </c>
      <c r="AA249" s="185" t="str">
        <f aca="false">IF($A250="","",VLOOKUP($A249,Table,MATCH(AA$4,Curves,0)))</f>
        <v/>
      </c>
      <c r="AB249" s="185" t="e">
        <f aca="false">SQRT((AA249^2*(A249-$D$3)+Z249^2*(DAY(EOMONTH(A249,0))/2))/AK249)</f>
        <v>#VALUE!</v>
      </c>
      <c r="AC249" s="185" t="str">
        <f aca="false">IF($A250="","",VLOOKUP($A249,Table,MATCH(AC$4,Curves,0)))</f>
        <v/>
      </c>
      <c r="AD249" s="185" t="str">
        <f aca="false">IF($A250="","",VLOOKUP($A249,Table,MATCH(AD$4,Curves,0)))</f>
        <v/>
      </c>
      <c r="AE249" s="185" t="e">
        <f aca="false">SQRT((AD249^2*(A249-$D$3)+AC249^2*(DAY(EOMONTH(A249,0))/2))/AK249)</f>
        <v>#VALUE!</v>
      </c>
      <c r="AF249" s="224" t="e">
        <f aca="false">((Summary!$N$14*(AA249*AD249)*(A249-$D$3))+(Summary!$M$14*Z249*AC249*(AJ249-EOMONTH(EDATE(A249,-1),0))))/(AK249*AB249*AE249)</f>
        <v>#VALUE!</v>
      </c>
      <c r="AG249" s="207" t="str">
        <f aca="false">IF($A250="","",Summary!$Q$14)</f>
        <v/>
      </c>
      <c r="AH249" s="207" t="str">
        <f aca="false">IF($A250="","",IF(Summary!$R$12="Y",(VLOOKUP($A249,Summary!$AD$6:$AF$9,3)+'Escalating commodity'!J262),'Escalating commodity'!J262))</f>
        <v/>
      </c>
      <c r="AI249" s="207" t="str">
        <f aca="false">IF($A250="","",AH249)</f>
        <v/>
      </c>
      <c r="AJ249" s="208" t="e">
        <f aca="false">A249+DAY(EOMONTH(A249,0))/2-1</f>
        <v>#VALUE!</v>
      </c>
      <c r="AK249" s="209" t="str">
        <f aca="false">IF($A250="","",$A249-$E$1)</f>
        <v/>
      </c>
      <c r="AL249" s="182" t="str">
        <f aca="false">IF($A250="","",SPRDOPT(P249,X249,AI249,0,AB249,AE249,AF249,AK249,$AJ$2,0))</f>
        <v/>
      </c>
      <c r="AM249" s="211" t="str">
        <f aca="false">IF($A250="","",MAX(0,O249-W249-AI249))</f>
        <v/>
      </c>
      <c r="AN249" s="211" t="str">
        <f aca="false">IF($A250="","",AL249-AM249)</f>
        <v/>
      </c>
      <c r="AO249" s="137" t="str">
        <f aca="false">IF(A250="","",A250-A249)</f>
        <v/>
      </c>
      <c r="AP249" s="212" t="str">
        <f aca="false">IF(A250="","",CHOOSE(F$3,A250+24,A249))</f>
        <v/>
      </c>
      <c r="AQ249" s="209" t="str">
        <f aca="false">IF(A250="","",AP249-$E$1)</f>
        <v/>
      </c>
      <c r="AR249" s="185" t="n">
        <f aca="false">'ANR OK vs ML7'!AR249</f>
        <v>0.1</v>
      </c>
      <c r="AS249" s="213" t="str">
        <f aca="false">IF(A250="","",1/(1+CHOOSE(F$3,(AR250+($I$3/10000))/2,(AR249+($I$3/10000))/2))^(2*AQ249/365.25))</f>
        <v/>
      </c>
      <c r="AT249" s="137" t="str">
        <f aca="false">IF(A250="","",IF(AND(mthbeg&lt;=A249,mthend&gt;=A249),1,0))</f>
        <v/>
      </c>
      <c r="AU249" s="137" t="str">
        <f aca="false">IF(A250="","",AO249*AT249)</f>
        <v/>
      </c>
      <c r="AW249" s="195" t="str">
        <f aca="false">IF($A250="","",AL249*$E249)</f>
        <v/>
      </c>
      <c r="AX249" s="195" t="str">
        <f aca="false">IF($A250="","",AM249*$E249)</f>
        <v/>
      </c>
      <c r="AY249" s="195" t="str">
        <f aca="false">IF($A250="","",AN249*$E249)</f>
        <v/>
      </c>
      <c r="BA249" s="195" t="str">
        <f aca="false">IF($A250="","",F249*Summary!$Q$14)</f>
        <v/>
      </c>
    </row>
    <row r="250" customFormat="false" ht="12" hidden="false" customHeight="true" outlineLevel="0" collapsed="false">
      <c r="A250" s="196" t="str">
        <f aca="false">IF(A249&lt;mthend,EDATE(A249,1),"")</f>
        <v/>
      </c>
      <c r="B250" s="197" t="str">
        <f aca="false">IF(A250&lt;mthend,B249,"")</f>
        <v/>
      </c>
      <c r="C250" s="215"/>
      <c r="D250" s="197" t="str">
        <f aca="false">IF(A251&lt;&gt;"",B250+C250,"")</f>
        <v/>
      </c>
      <c r="E250" s="199" t="str">
        <f aca="false">IF(A251="","",IF(AND(AT250=1,$H$3=1),D250*AO250,IF($H$3=2,D250,"N/A")))</f>
        <v/>
      </c>
      <c r="F250" s="199" t="str">
        <f aca="false">IF(A251="","",E250*AS250)</f>
        <v/>
      </c>
      <c r="G250" s="200" t="str">
        <f aca="false">IF($A251="","",VLOOKUP($A250,Table,MATCH(G$4,Curves,0)))</f>
        <v/>
      </c>
      <c r="H250" s="201" t="str">
        <f aca="false">IF(A251="","",G250)</f>
        <v/>
      </c>
      <c r="I250" s="202"/>
      <c r="J250" s="200" t="str">
        <f aca="false">IF($A251="","",VLOOKUP($A250,Table,MATCH(J$4,Curves,0)))</f>
        <v/>
      </c>
      <c r="K250" s="201" t="str">
        <f aca="false">IF(A251="","",J250)</f>
        <v/>
      </c>
      <c r="L250" s="185" t="n">
        <v>0</v>
      </c>
      <c r="M250" s="201" t="str">
        <f aca="false">IF(A251="","",L250)</f>
        <v/>
      </c>
      <c r="N250" s="203"/>
      <c r="O250" s="200" t="str">
        <f aca="false">IF(A251="","",L250+J250+G250)</f>
        <v/>
      </c>
      <c r="P250" s="200" t="str">
        <f aca="false">IF(A251="","",M250+K250+H250)</f>
        <v/>
      </c>
      <c r="Q250" s="204"/>
      <c r="R250" s="200" t="str">
        <f aca="false">IF($A251="","",VLOOKUP($A250,Table,MATCH(R$4,Curves,0)))</f>
        <v/>
      </c>
      <c r="S250" s="201" t="str">
        <f aca="false">IF(A251="","",R250)</f>
        <v/>
      </c>
      <c r="T250" s="200" t="str">
        <f aca="false">IF($A251="","",VLOOKUP($A250,Table,MATCH(T$4,Curves,0)))</f>
        <v/>
      </c>
      <c r="U250" s="201" t="str">
        <f aca="false">IF(A251="","",T250)</f>
        <v/>
      </c>
      <c r="V250" s="183" t="str">
        <f aca="false">IF($A251="","",IF(AND(MONTH(A250)&gt;3,MONTH(A250)&lt;11),(T250+R250+G250)*(((1/(1-Summary!$T$14))/(1-Summary!$W$14))-1),(T250+R250+G250)*((1/(1-Summary!$U$14))/(1-Summary!$X$14)-1)))</f>
        <v/>
      </c>
      <c r="W250" s="202" t="str">
        <f aca="false">IF($A251="","",(T250+R250+G250+V250))</f>
        <v/>
      </c>
      <c r="X250" s="202" t="str">
        <f aca="false">IF($A251="","",(U250+S250+H250+V250))</f>
        <v/>
      </c>
      <c r="Y250" s="202"/>
      <c r="Z250" s="185" t="str">
        <f aca="false">IF($A251="","",VLOOKUP($A250,Table,MATCH(Z$4,Curves,0)))</f>
        <v/>
      </c>
      <c r="AA250" s="185" t="str">
        <f aca="false">IF($A251="","",VLOOKUP($A250,Table,MATCH(AA$4,Curves,0)))</f>
        <v/>
      </c>
      <c r="AB250" s="185" t="e">
        <f aca="false">SQRT((AA250^2*(A250-$D$3)+Z250^2*(DAY(EOMONTH(A250,0))/2))/AK250)</f>
        <v>#VALUE!</v>
      </c>
      <c r="AC250" s="185" t="str">
        <f aca="false">IF($A251="","",VLOOKUP($A250,Table,MATCH(AC$4,Curves,0)))</f>
        <v/>
      </c>
      <c r="AD250" s="185" t="str">
        <f aca="false">IF($A251="","",VLOOKUP($A250,Table,MATCH(AD$4,Curves,0)))</f>
        <v/>
      </c>
      <c r="AE250" s="185" t="e">
        <f aca="false">SQRT((AD250^2*(A250-$D$3)+AC250^2*(DAY(EOMONTH(A250,0))/2))/AK250)</f>
        <v>#VALUE!</v>
      </c>
      <c r="AF250" s="224" t="e">
        <f aca="false">((Summary!$N$14*(AA250*AD250)*(A250-$D$3))+(Summary!$M$14*Z250*AC250*(AJ250-EOMONTH(EDATE(A250,-1),0))))/(AK250*AB250*AE250)</f>
        <v>#VALUE!</v>
      </c>
      <c r="AG250" s="207" t="str">
        <f aca="false">IF($A251="","",Summary!$Q$14)</f>
        <v/>
      </c>
      <c r="AH250" s="207" t="str">
        <f aca="false">IF($A251="","",IF(Summary!$R$12="Y",(VLOOKUP($A250,Summary!$AD$6:$AF$9,3)+'Escalating commodity'!J263),'Escalating commodity'!J263))</f>
        <v/>
      </c>
      <c r="AI250" s="207" t="str">
        <f aca="false">IF($A251="","",AH250)</f>
        <v/>
      </c>
      <c r="AJ250" s="208" t="e">
        <f aca="false">A250+DAY(EOMONTH(A250,0))/2-1</f>
        <v>#VALUE!</v>
      </c>
      <c r="AK250" s="209" t="str">
        <f aca="false">IF($A251="","",$A250-$E$1)</f>
        <v/>
      </c>
      <c r="AL250" s="182" t="str">
        <f aca="false">IF($A251="","",SPRDOPT(P250,X250,AI250,0,AB250,AE250,AF250,AK250,$AJ$2,0))</f>
        <v/>
      </c>
      <c r="AM250" s="211" t="str">
        <f aca="false">IF($A251="","",MAX(0,O250-W250-AI250))</f>
        <v/>
      </c>
      <c r="AN250" s="211" t="str">
        <f aca="false">IF($A251="","",AL250-AM250)</f>
        <v/>
      </c>
      <c r="AO250" s="137" t="str">
        <f aca="false">IF(A251="","",A251-A250)</f>
        <v/>
      </c>
      <c r="AP250" s="212" t="str">
        <f aca="false">IF(A251="","",CHOOSE(F$3,A251+24,A250))</f>
        <v/>
      </c>
      <c r="AQ250" s="209" t="str">
        <f aca="false">IF(A251="","",AP250-$E$1)</f>
        <v/>
      </c>
      <c r="AR250" s="185" t="n">
        <f aca="false">'ANR OK vs ML7'!AR250</f>
        <v>0.1</v>
      </c>
      <c r="AS250" s="213" t="str">
        <f aca="false">IF(A251="","",1/(1+CHOOSE(F$3,(AR251+($I$3/10000))/2,(AR250+($I$3/10000))/2))^(2*AQ250/365.25))</f>
        <v/>
      </c>
      <c r="AT250" s="137" t="str">
        <f aca="false">IF(A251="","",IF(AND(mthbeg&lt;=A250,mthend&gt;=A250),1,0))</f>
        <v/>
      </c>
      <c r="AU250" s="137" t="str">
        <f aca="false">IF(A251="","",AO250*AT250)</f>
        <v/>
      </c>
      <c r="AW250" s="195" t="str">
        <f aca="false">IF($A251="","",AL250*$E250)</f>
        <v/>
      </c>
      <c r="AX250" s="195" t="str">
        <f aca="false">IF($A251="","",AM250*$E250)</f>
        <v/>
      </c>
      <c r="AY250" s="195" t="str">
        <f aca="false">IF($A251="","",AN250*$E250)</f>
        <v/>
      </c>
      <c r="BA250" s="195" t="str">
        <f aca="false">IF($A251="","",F250*Summary!$Q$14)</f>
        <v/>
      </c>
    </row>
    <row r="251" customFormat="false" ht="12" hidden="false" customHeight="true" outlineLevel="0" collapsed="false">
      <c r="A251" s="196" t="str">
        <f aca="false">IF(A250&lt;mthend,EDATE(A250,1),"")</f>
        <v/>
      </c>
      <c r="B251" s="197" t="str">
        <f aca="false">IF(A251&lt;mthend,B250,"")</f>
        <v/>
      </c>
      <c r="C251" s="215"/>
      <c r="D251" s="197" t="str">
        <f aca="false">IF(A252&lt;&gt;"",B251+C251,"")</f>
        <v/>
      </c>
      <c r="E251" s="199" t="str">
        <f aca="false">IF(A252="","",IF(AND(AT251=1,$H$3=1),D251*AO251,IF($H$3=2,D251,"N/A")))</f>
        <v/>
      </c>
      <c r="F251" s="199" t="str">
        <f aca="false">IF(A252="","",E251*AS251)</f>
        <v/>
      </c>
      <c r="G251" s="200" t="str">
        <f aca="false">IF($A252="","",VLOOKUP($A251,Table,MATCH(G$4,Curves,0)))</f>
        <v/>
      </c>
      <c r="H251" s="201" t="str">
        <f aca="false">IF(A252="","",G251)</f>
        <v/>
      </c>
      <c r="I251" s="202"/>
      <c r="J251" s="200" t="str">
        <f aca="false">IF($A252="","",VLOOKUP($A251,Table,MATCH(J$4,Curves,0)))</f>
        <v/>
      </c>
      <c r="K251" s="201" t="str">
        <f aca="false">IF(A252="","",J251)</f>
        <v/>
      </c>
      <c r="L251" s="185" t="n">
        <v>0</v>
      </c>
      <c r="M251" s="201" t="str">
        <f aca="false">IF(A252="","",L251)</f>
        <v/>
      </c>
      <c r="N251" s="203"/>
      <c r="O251" s="200" t="str">
        <f aca="false">IF(A252="","",L251+J251+G251)</f>
        <v/>
      </c>
      <c r="P251" s="200" t="str">
        <f aca="false">IF(A252="","",M251+K251+H251)</f>
        <v/>
      </c>
      <c r="Q251" s="204"/>
      <c r="R251" s="200" t="str">
        <f aca="false">IF($A252="","",VLOOKUP($A251,Table,MATCH(R$4,Curves,0)))</f>
        <v/>
      </c>
      <c r="S251" s="201" t="str">
        <f aca="false">IF(A252="","",R251)</f>
        <v/>
      </c>
      <c r="T251" s="200" t="str">
        <f aca="false">IF($A252="","",VLOOKUP($A251,Table,MATCH(T$4,Curves,0)))</f>
        <v/>
      </c>
      <c r="U251" s="201" t="str">
        <f aca="false">IF(A252="","",T251)</f>
        <v/>
      </c>
      <c r="V251" s="183" t="str">
        <f aca="false">IF($A252="","",IF(AND(MONTH(A251)&gt;3,MONTH(A251)&lt;11),(T251+R251+G251)*(((1/(1-Summary!$T$14))/(1-Summary!$W$14))-1),(T251+R251+G251)*((1/(1-Summary!$U$14))/(1-Summary!$X$14)-1)))</f>
        <v/>
      </c>
      <c r="W251" s="202" t="str">
        <f aca="false">IF($A252="","",(T251+R251+G251+V251))</f>
        <v/>
      </c>
      <c r="X251" s="202" t="str">
        <f aca="false">IF($A252="","",(U251+S251+H251+V251))</f>
        <v/>
      </c>
      <c r="Y251" s="202"/>
      <c r="Z251" s="185" t="str">
        <f aca="false">IF($A252="","",VLOOKUP($A251,Table,MATCH(Z$4,Curves,0)))</f>
        <v/>
      </c>
      <c r="AA251" s="185" t="str">
        <f aca="false">IF($A252="","",VLOOKUP($A251,Table,MATCH(AA$4,Curves,0)))</f>
        <v/>
      </c>
      <c r="AB251" s="185" t="e">
        <f aca="false">SQRT((AA251^2*(A251-$D$3)+Z251^2*(DAY(EOMONTH(A251,0))/2))/AK251)</f>
        <v>#VALUE!</v>
      </c>
      <c r="AC251" s="185" t="str">
        <f aca="false">IF($A252="","",VLOOKUP($A251,Table,MATCH(AC$4,Curves,0)))</f>
        <v/>
      </c>
      <c r="AD251" s="185" t="str">
        <f aca="false">IF($A252="","",VLOOKUP($A251,Table,MATCH(AD$4,Curves,0)))</f>
        <v/>
      </c>
      <c r="AE251" s="185" t="e">
        <f aca="false">SQRT((AD251^2*(A251-$D$3)+AC251^2*(DAY(EOMONTH(A251,0))/2))/AK251)</f>
        <v>#VALUE!</v>
      </c>
      <c r="AF251" s="224" t="e">
        <f aca="false">((Summary!$N$14*(AA251*AD251)*(A251-$D$3))+(Summary!$M$14*Z251*AC251*(AJ251-EOMONTH(EDATE(A251,-1),0))))/(AK251*AB251*AE251)</f>
        <v>#VALUE!</v>
      </c>
      <c r="AG251" s="207" t="str">
        <f aca="false">IF($A252="","",Summary!$Q$14)</f>
        <v/>
      </c>
      <c r="AH251" s="207" t="str">
        <f aca="false">IF($A252="","",IF(Summary!$R$12="Y",(VLOOKUP($A251,Summary!$AD$6:$AF$9,3)+'Escalating commodity'!J264),'Escalating commodity'!J264))</f>
        <v/>
      </c>
      <c r="AI251" s="207" t="str">
        <f aca="false">IF($A252="","",AH251)</f>
        <v/>
      </c>
      <c r="AJ251" s="208" t="e">
        <f aca="false">A251+DAY(EOMONTH(A251,0))/2-1</f>
        <v>#VALUE!</v>
      </c>
      <c r="AK251" s="209" t="str">
        <f aca="false">IF($A252="","",$A251-$E$1)</f>
        <v/>
      </c>
      <c r="AL251" s="182" t="str">
        <f aca="false">IF($A252="","",SPRDOPT(P251,X251,AI251,0,AB251,AE251,AF251,AK251,$AJ$2,0))</f>
        <v/>
      </c>
      <c r="AM251" s="211" t="str">
        <f aca="false">IF($A252="","",MAX(0,O251-W251-AI251))</f>
        <v/>
      </c>
      <c r="AN251" s="211" t="str">
        <f aca="false">IF($A252="","",AL251-AM251)</f>
        <v/>
      </c>
      <c r="AO251" s="137" t="str">
        <f aca="false">IF(A252="","",A252-A251)</f>
        <v/>
      </c>
      <c r="AP251" s="212" t="str">
        <f aca="false">IF(A252="","",CHOOSE(F$3,A252+24,A251))</f>
        <v/>
      </c>
      <c r="AQ251" s="209" t="str">
        <f aca="false">IF(A252="","",AP251-$E$1)</f>
        <v/>
      </c>
      <c r="AR251" s="185" t="n">
        <f aca="false">'ANR OK vs ML7'!AR251</f>
        <v>0.1</v>
      </c>
      <c r="AS251" s="213" t="str">
        <f aca="false">IF(A252="","",1/(1+CHOOSE(F$3,(AR252+($I$3/10000))/2,(AR251+($I$3/10000))/2))^(2*AQ251/365.25))</f>
        <v/>
      </c>
      <c r="AT251" s="137" t="str">
        <f aca="false">IF(A252="","",IF(AND(mthbeg&lt;=A251,mthend&gt;=A251),1,0))</f>
        <v/>
      </c>
      <c r="AU251" s="137" t="str">
        <f aca="false">IF(A252="","",AO251*AT251)</f>
        <v/>
      </c>
      <c r="AW251" s="195" t="str">
        <f aca="false">IF($A252="","",AL251*$E251)</f>
        <v/>
      </c>
      <c r="AX251" s="195" t="str">
        <f aca="false">IF($A252="","",AM251*$E251)</f>
        <v/>
      </c>
      <c r="AY251" s="195" t="str">
        <f aca="false">IF($A252="","",AN251*$E251)</f>
        <v/>
      </c>
      <c r="BA251" s="195" t="str">
        <f aca="false">IF($A252="","",F251*Summary!$Q$14)</f>
        <v/>
      </c>
    </row>
    <row r="252" customFormat="false" ht="12" hidden="false" customHeight="true" outlineLevel="0" collapsed="false">
      <c r="A252" s="196" t="str">
        <f aca="false">IF(A251&lt;mthend,EDATE(A251,1),"")</f>
        <v/>
      </c>
      <c r="B252" s="197" t="str">
        <f aca="false">IF(A252&lt;mthend,B251,"")</f>
        <v/>
      </c>
      <c r="C252" s="215"/>
      <c r="D252" s="197" t="str">
        <f aca="false">IF(A253&lt;&gt;"",B252+C252,"")</f>
        <v/>
      </c>
      <c r="E252" s="199" t="str">
        <f aca="false">IF(A253="","",IF(AND(AT252=1,$H$3=1),D252*AO252,IF($H$3=2,D252,"N/A")))</f>
        <v/>
      </c>
      <c r="F252" s="199" t="str">
        <f aca="false">IF(A253="","",E252*AS252)</f>
        <v/>
      </c>
      <c r="G252" s="200" t="str">
        <f aca="false">IF($A253="","",VLOOKUP($A252,Table,MATCH(G$4,Curves,0)))</f>
        <v/>
      </c>
      <c r="H252" s="201" t="str">
        <f aca="false">IF(A253="","",G252)</f>
        <v/>
      </c>
      <c r="I252" s="202"/>
      <c r="J252" s="200" t="str">
        <f aca="false">IF($A253="","",VLOOKUP($A252,Table,MATCH(J$4,Curves,0)))</f>
        <v/>
      </c>
      <c r="K252" s="201" t="str">
        <f aca="false">IF(A253="","",J252)</f>
        <v/>
      </c>
      <c r="L252" s="185" t="n">
        <v>0</v>
      </c>
      <c r="M252" s="201" t="str">
        <f aca="false">IF(A253="","",L252)</f>
        <v/>
      </c>
      <c r="N252" s="203"/>
      <c r="O252" s="200" t="str">
        <f aca="false">IF(A253="","",L252+J252+G252)</f>
        <v/>
      </c>
      <c r="P252" s="200" t="str">
        <f aca="false">IF(A253="","",M252+K252+H252)</f>
        <v/>
      </c>
      <c r="Q252" s="204"/>
      <c r="R252" s="200" t="str">
        <f aca="false">IF($A253="","",VLOOKUP($A252,Table,MATCH(R$4,Curves,0)))</f>
        <v/>
      </c>
      <c r="S252" s="201" t="str">
        <f aca="false">IF(A253="","",R252)</f>
        <v/>
      </c>
      <c r="T252" s="200" t="str">
        <f aca="false">IF($A253="","",VLOOKUP($A252,Table,MATCH(T$4,Curves,0)))</f>
        <v/>
      </c>
      <c r="U252" s="201" t="str">
        <f aca="false">IF(A253="","",T252)</f>
        <v/>
      </c>
      <c r="V252" s="183" t="str">
        <f aca="false">IF($A253="","",IF(AND(MONTH(A252)&gt;3,MONTH(A252)&lt;11),(T252+R252+G252)*(((1/(1-Summary!$T$14))/(1-Summary!$W$14))-1),(T252+R252+G252)*((1/(1-Summary!$U$14))/(1-Summary!$X$14)-1)))</f>
        <v/>
      </c>
      <c r="W252" s="202" t="str">
        <f aca="false">IF($A253="","",(T252+R252+G252+V252))</f>
        <v/>
      </c>
      <c r="X252" s="202" t="str">
        <f aca="false">IF($A253="","",(U252+S252+H252+V252))</f>
        <v/>
      </c>
      <c r="Y252" s="202"/>
      <c r="Z252" s="185" t="str">
        <f aca="false">IF($A253="","",VLOOKUP($A252,Table,MATCH(Z$4,Curves,0)))</f>
        <v/>
      </c>
      <c r="AA252" s="185" t="str">
        <f aca="false">IF($A253="","",VLOOKUP($A252,Table,MATCH(AA$4,Curves,0)))</f>
        <v/>
      </c>
      <c r="AB252" s="185" t="e">
        <f aca="false">SQRT((AA252^2*(A252-$D$3)+Z252^2*(DAY(EOMONTH(A252,0))/2))/AK252)</f>
        <v>#VALUE!</v>
      </c>
      <c r="AC252" s="185" t="str">
        <f aca="false">IF($A253="","",VLOOKUP($A252,Table,MATCH(AC$4,Curves,0)))</f>
        <v/>
      </c>
      <c r="AD252" s="185" t="str">
        <f aca="false">IF($A253="","",VLOOKUP($A252,Table,MATCH(AD$4,Curves,0)))</f>
        <v/>
      </c>
      <c r="AE252" s="185" t="e">
        <f aca="false">SQRT((AD252^2*(A252-$D$3)+AC252^2*(DAY(EOMONTH(A252,0))/2))/AK252)</f>
        <v>#VALUE!</v>
      </c>
      <c r="AF252" s="224" t="e">
        <f aca="false">((Summary!$N$14*(AA252*AD252)*(A252-$D$3))+(Summary!$M$14*Z252*AC252*(AJ252-EOMONTH(EDATE(A252,-1),0))))/(AK252*AB252*AE252)</f>
        <v>#VALUE!</v>
      </c>
      <c r="AG252" s="207" t="str">
        <f aca="false">IF($A253="","",Summary!$Q$14)</f>
        <v/>
      </c>
      <c r="AH252" s="207" t="str">
        <f aca="false">IF($A253="","",IF(Summary!$R$12="Y",(VLOOKUP($A252,Summary!$AD$6:$AF$9,3)+'Escalating commodity'!J265),'Escalating commodity'!J265))</f>
        <v/>
      </c>
      <c r="AI252" s="207" t="str">
        <f aca="false">IF($A253="","",AH252)</f>
        <v/>
      </c>
      <c r="AJ252" s="208" t="e">
        <f aca="false">A252+DAY(EOMONTH(A252,0))/2-1</f>
        <v>#VALUE!</v>
      </c>
      <c r="AK252" s="209" t="str">
        <f aca="false">IF($A253="","",$A252-$E$1)</f>
        <v/>
      </c>
      <c r="AL252" s="182" t="str">
        <f aca="false">IF($A253="","",SPRDOPT(P252,X252,AI252,0,AB252,AE252,AF252,AK252,$AJ$2,0))</f>
        <v/>
      </c>
      <c r="AM252" s="211" t="str">
        <f aca="false">IF($A253="","",MAX(0,O252-W252-AI252))</f>
        <v/>
      </c>
      <c r="AN252" s="211" t="str">
        <f aca="false">IF($A253="","",AL252-AM252)</f>
        <v/>
      </c>
      <c r="AO252" s="137" t="str">
        <f aca="false">IF(A253="","",A253-A252)</f>
        <v/>
      </c>
      <c r="AP252" s="212" t="str">
        <f aca="false">IF(A253="","",CHOOSE(F$3,A253+24,A252))</f>
        <v/>
      </c>
      <c r="AQ252" s="209" t="str">
        <f aca="false">IF(A253="","",AP252-$E$1)</f>
        <v/>
      </c>
      <c r="AR252" s="185" t="n">
        <f aca="false">'ANR OK vs ML7'!AR252</f>
        <v>0.1</v>
      </c>
      <c r="AS252" s="213" t="str">
        <f aca="false">IF(A253="","",1/(1+CHOOSE(F$3,(AR253+($I$3/10000))/2,(AR252+($I$3/10000))/2))^(2*AQ252/365.25))</f>
        <v/>
      </c>
      <c r="AT252" s="137" t="str">
        <f aca="false">IF(A253="","",IF(AND(mthbeg&lt;=A252,mthend&gt;=A252),1,0))</f>
        <v/>
      </c>
      <c r="AU252" s="137" t="str">
        <f aca="false">IF(A253="","",AO252*AT252)</f>
        <v/>
      </c>
      <c r="AW252" s="195" t="str">
        <f aca="false">IF($A253="","",AL252*$E252)</f>
        <v/>
      </c>
      <c r="AX252" s="195" t="str">
        <f aca="false">IF($A253="","",AM252*$E252)</f>
        <v/>
      </c>
      <c r="AY252" s="195" t="str">
        <f aca="false">IF($A253="","",AN252*$E252)</f>
        <v/>
      </c>
      <c r="BA252" s="195" t="str">
        <f aca="false">IF($A253="","",F252*Summary!$Q$14)</f>
        <v/>
      </c>
    </row>
    <row r="253" customFormat="false" ht="12" hidden="false" customHeight="true" outlineLevel="0" collapsed="false">
      <c r="A253" s="196" t="str">
        <f aca="false">IF(A252&lt;mthend,EDATE(A252,1),"")</f>
        <v/>
      </c>
      <c r="B253" s="197" t="str">
        <f aca="false">IF(A253&lt;mthend,B252,"")</f>
        <v/>
      </c>
      <c r="C253" s="215"/>
      <c r="D253" s="197" t="str">
        <f aca="false">IF(A254&lt;&gt;"",B253+C253,"")</f>
        <v/>
      </c>
      <c r="E253" s="199" t="str">
        <f aca="false">IF(A254="","",IF(AND(AT253=1,$H$3=1),D253*AO253,IF($H$3=2,D253,"N/A")))</f>
        <v/>
      </c>
      <c r="F253" s="199" t="str">
        <f aca="false">IF(A254="","",E253*AS253)</f>
        <v/>
      </c>
      <c r="G253" s="200" t="str">
        <f aca="false">IF($A254="","",VLOOKUP($A253,Table,MATCH(G$4,Curves,0)))</f>
        <v/>
      </c>
      <c r="H253" s="201" t="str">
        <f aca="false">IF(A254="","",G253)</f>
        <v/>
      </c>
      <c r="I253" s="202"/>
      <c r="J253" s="200" t="str">
        <f aca="false">IF($A254="","",VLOOKUP($A253,Table,MATCH(J$4,Curves,0)))</f>
        <v/>
      </c>
      <c r="K253" s="201" t="str">
        <f aca="false">IF(A254="","",J253)</f>
        <v/>
      </c>
      <c r="L253" s="185" t="n">
        <v>0</v>
      </c>
      <c r="M253" s="201" t="str">
        <f aca="false">IF(A254="","",L253)</f>
        <v/>
      </c>
      <c r="N253" s="203"/>
      <c r="O253" s="200" t="str">
        <f aca="false">IF(A254="","",L253+J253+G253)</f>
        <v/>
      </c>
      <c r="P253" s="200" t="str">
        <f aca="false">IF(A254="","",M253+K253+H253)</f>
        <v/>
      </c>
      <c r="Q253" s="204"/>
      <c r="R253" s="200" t="str">
        <f aca="false">IF($A254="","",VLOOKUP($A253,Table,MATCH(R$4,Curves,0)))</f>
        <v/>
      </c>
      <c r="S253" s="201" t="str">
        <f aca="false">IF(A254="","",R253)</f>
        <v/>
      </c>
      <c r="T253" s="200" t="str">
        <f aca="false">IF($A254="","",VLOOKUP($A253,Table,MATCH(T$4,Curves,0)))</f>
        <v/>
      </c>
      <c r="U253" s="201" t="str">
        <f aca="false">IF(A254="","",T253)</f>
        <v/>
      </c>
      <c r="V253" s="183" t="str">
        <f aca="false">IF($A254="","",IF(AND(MONTH(A253)&gt;3,MONTH(A253)&lt;11),(T253+R253+G253)*(((1/(1-Summary!$T$14))/(1-Summary!$W$14))-1),(T253+R253+G253)*((1/(1-Summary!$U$14))/(1-Summary!$X$14)-1)))</f>
        <v/>
      </c>
      <c r="W253" s="202" t="str">
        <f aca="false">IF($A254="","",(T253+R253+G253+V253))</f>
        <v/>
      </c>
      <c r="X253" s="202" t="str">
        <f aca="false">IF($A254="","",(U253+S253+H253+V253))</f>
        <v/>
      </c>
      <c r="Y253" s="202"/>
      <c r="Z253" s="185" t="str">
        <f aca="false">IF($A254="","",VLOOKUP($A253,Table,MATCH(Z$4,Curves,0)))</f>
        <v/>
      </c>
      <c r="AA253" s="185" t="str">
        <f aca="false">IF($A254="","",VLOOKUP($A253,Table,MATCH(AA$4,Curves,0)))</f>
        <v/>
      </c>
      <c r="AB253" s="185" t="e">
        <f aca="false">SQRT((AA253^2*(A253-$D$3)+Z253^2*(DAY(EOMONTH(A253,0))/2))/AK253)</f>
        <v>#VALUE!</v>
      </c>
      <c r="AC253" s="185" t="str">
        <f aca="false">IF($A254="","",VLOOKUP($A253,Table,MATCH(AC$4,Curves,0)))</f>
        <v/>
      </c>
      <c r="AD253" s="185" t="str">
        <f aca="false">IF($A254="","",VLOOKUP($A253,Table,MATCH(AD$4,Curves,0)))</f>
        <v/>
      </c>
      <c r="AE253" s="185" t="e">
        <f aca="false">SQRT((AD253^2*(A253-$D$3)+AC253^2*(DAY(EOMONTH(A253,0))/2))/AK253)</f>
        <v>#VALUE!</v>
      </c>
      <c r="AF253" s="224" t="e">
        <f aca="false">((Summary!$N$14*(AA253*AD253)*(A253-$D$3))+(Summary!$M$14*Z253*AC253*(AJ253-EOMONTH(EDATE(A253,-1),0))))/(AK253*AB253*AE253)</f>
        <v>#VALUE!</v>
      </c>
      <c r="AG253" s="207" t="str">
        <f aca="false">IF($A254="","",Summary!$Q$14)</f>
        <v/>
      </c>
      <c r="AH253" s="207" t="str">
        <f aca="false">IF($A254="","",IF(Summary!$R$12="Y",(VLOOKUP($A253,Summary!$AD$6:$AF$9,3)+'Escalating commodity'!J266),'Escalating commodity'!J266))</f>
        <v/>
      </c>
      <c r="AI253" s="207" t="str">
        <f aca="false">IF($A254="","",AH253)</f>
        <v/>
      </c>
      <c r="AJ253" s="208" t="e">
        <f aca="false">A253+DAY(EOMONTH(A253,0))/2-1</f>
        <v>#VALUE!</v>
      </c>
      <c r="AK253" s="209" t="str">
        <f aca="false">IF($A254="","",$A253-$E$1)</f>
        <v/>
      </c>
      <c r="AL253" s="182" t="str">
        <f aca="false">IF($A254="","",SPRDOPT(P253,X253,AI253,0,AB253,AE253,AF253,AK253,$AJ$2,0))</f>
        <v/>
      </c>
      <c r="AM253" s="211" t="str">
        <f aca="false">IF($A254="","",MAX(0,O253-W253-AI253))</f>
        <v/>
      </c>
      <c r="AN253" s="211" t="str">
        <f aca="false">IF($A254="","",AL253-AM253)</f>
        <v/>
      </c>
      <c r="AO253" s="137" t="str">
        <f aca="false">IF(A254="","",A254-A253)</f>
        <v/>
      </c>
      <c r="AP253" s="212" t="str">
        <f aca="false">IF(A254="","",CHOOSE(F$3,A254+24,A253))</f>
        <v/>
      </c>
      <c r="AQ253" s="209" t="str">
        <f aca="false">IF(A254="","",AP253-$E$1)</f>
        <v/>
      </c>
      <c r="AR253" s="185" t="n">
        <f aca="false">'ANR OK vs ML7'!AR253</f>
        <v>0.1</v>
      </c>
      <c r="AS253" s="213" t="str">
        <f aca="false">IF(A254="","",1/(1+CHOOSE(F$3,(AR254+($I$3/10000))/2,(AR253+($I$3/10000))/2))^(2*AQ253/365.25))</f>
        <v/>
      </c>
      <c r="AT253" s="137" t="str">
        <f aca="false">IF(A254="","",IF(AND(mthbeg&lt;=A253,mthend&gt;=A253),1,0))</f>
        <v/>
      </c>
      <c r="AU253" s="137" t="str">
        <f aca="false">IF(A254="","",AO253*AT253)</f>
        <v/>
      </c>
      <c r="AW253" s="195" t="str">
        <f aca="false">IF($A254="","",AL253*$E253)</f>
        <v/>
      </c>
      <c r="AX253" s="195" t="str">
        <f aca="false">IF($A254="","",AM253*$E253)</f>
        <v/>
      </c>
      <c r="AY253" s="195" t="str">
        <f aca="false">IF($A254="","",AN253*$E253)</f>
        <v/>
      </c>
      <c r="BA253" s="195" t="str">
        <f aca="false">IF($A254="","",F253*Summary!$Q$14)</f>
        <v/>
      </c>
    </row>
    <row r="254" customFormat="false" ht="12" hidden="false" customHeight="true" outlineLevel="0" collapsed="false">
      <c r="A254" s="196" t="str">
        <f aca="false">IF(A253&lt;mthend,EDATE(A253,1),"")</f>
        <v/>
      </c>
      <c r="B254" s="197" t="str">
        <f aca="false">IF(A254&lt;mthend,B253,"")</f>
        <v/>
      </c>
      <c r="C254" s="215"/>
      <c r="D254" s="197" t="str">
        <f aca="false">IF(A255&lt;&gt;"",B254+C254,"")</f>
        <v/>
      </c>
      <c r="E254" s="199" t="str">
        <f aca="false">IF(A255="","",IF(AND(AT254=1,$H$3=1),D254*AO254,IF($H$3=2,D254,"N/A")))</f>
        <v/>
      </c>
      <c r="F254" s="199" t="str">
        <f aca="false">IF(A255="","",E254*AS254)</f>
        <v/>
      </c>
      <c r="G254" s="200" t="str">
        <f aca="false">IF($A255="","",VLOOKUP($A254,Table,MATCH(G$4,Curves,0)))</f>
        <v/>
      </c>
      <c r="H254" s="201" t="str">
        <f aca="false">IF(A255="","",G254)</f>
        <v/>
      </c>
      <c r="I254" s="202"/>
      <c r="J254" s="200" t="str">
        <f aca="false">IF($A255="","",VLOOKUP($A254,Table,MATCH(J$4,Curves,0)))</f>
        <v/>
      </c>
      <c r="K254" s="201" t="str">
        <f aca="false">IF(A255="","",J254)</f>
        <v/>
      </c>
      <c r="L254" s="185" t="n">
        <v>0</v>
      </c>
      <c r="M254" s="201" t="str">
        <f aca="false">IF(A255="","",L254)</f>
        <v/>
      </c>
      <c r="N254" s="203"/>
      <c r="O254" s="200" t="str">
        <f aca="false">IF(A255="","",L254+J254+G254)</f>
        <v/>
      </c>
      <c r="P254" s="200" t="str">
        <f aca="false">IF(A255="","",M254+K254+H254)</f>
        <v/>
      </c>
      <c r="Q254" s="204"/>
      <c r="R254" s="200" t="str">
        <f aca="false">IF($A255="","",VLOOKUP($A254,Table,MATCH(R$4,Curves,0)))</f>
        <v/>
      </c>
      <c r="S254" s="201" t="str">
        <f aca="false">IF(A255="","",R254)</f>
        <v/>
      </c>
      <c r="T254" s="200" t="str">
        <f aca="false">IF($A255="","",VLOOKUP($A254,Table,MATCH(T$4,Curves,0)))</f>
        <v/>
      </c>
      <c r="U254" s="201" t="str">
        <f aca="false">IF(A255="","",T254)</f>
        <v/>
      </c>
      <c r="V254" s="183" t="str">
        <f aca="false">IF($A255="","",IF(AND(MONTH(A254)&gt;3,MONTH(A254)&lt;11),(T254+R254+G254)*(((1/(1-Summary!$T$14))/(1-Summary!$W$14))-1),(T254+R254+G254)*((1/(1-Summary!$U$14))/(1-Summary!$X$14)-1)))</f>
        <v/>
      </c>
      <c r="W254" s="202" t="str">
        <f aca="false">IF($A255="","",(T254+R254+G254+V254))</f>
        <v/>
      </c>
      <c r="X254" s="202" t="str">
        <f aca="false">IF($A255="","",(U254+S254+H254+V254))</f>
        <v/>
      </c>
      <c r="Y254" s="202"/>
      <c r="Z254" s="185" t="str">
        <f aca="false">IF($A255="","",VLOOKUP($A254,Table,MATCH(Z$4,Curves,0)))</f>
        <v/>
      </c>
      <c r="AA254" s="185" t="str">
        <f aca="false">IF($A255="","",VLOOKUP($A254,Table,MATCH(AA$4,Curves,0)))</f>
        <v/>
      </c>
      <c r="AB254" s="185" t="e">
        <f aca="false">SQRT((AA254^2*(A254-$D$3)+Z254^2*(DAY(EOMONTH(A254,0))/2))/AK254)</f>
        <v>#VALUE!</v>
      </c>
      <c r="AC254" s="185" t="str">
        <f aca="false">IF($A255="","",VLOOKUP($A254,Table,MATCH(AC$4,Curves,0)))</f>
        <v/>
      </c>
      <c r="AD254" s="185" t="str">
        <f aca="false">IF($A255="","",VLOOKUP($A254,Table,MATCH(AD$4,Curves,0)))</f>
        <v/>
      </c>
      <c r="AE254" s="185" t="e">
        <f aca="false">SQRT((AD254^2*(A254-$D$3)+AC254^2*(DAY(EOMONTH(A254,0))/2))/AK254)</f>
        <v>#VALUE!</v>
      </c>
      <c r="AF254" s="224" t="e">
        <f aca="false">((Summary!$N$14*(AA254*AD254)*(A254-$D$3))+(Summary!$M$14*Z254*AC254*(AJ254-EOMONTH(EDATE(A254,-1),0))))/(AK254*AB254*AE254)</f>
        <v>#VALUE!</v>
      </c>
      <c r="AG254" s="207" t="str">
        <f aca="false">IF($A255="","",Summary!$Q$14)</f>
        <v/>
      </c>
      <c r="AH254" s="207" t="str">
        <f aca="false">IF($A255="","",IF(Summary!$R$12="Y",(VLOOKUP($A254,Summary!$AD$6:$AF$9,3)+'Escalating commodity'!J267),'Escalating commodity'!J267))</f>
        <v/>
      </c>
      <c r="AI254" s="207" t="str">
        <f aca="false">IF($A255="","",AH254)</f>
        <v/>
      </c>
      <c r="AJ254" s="208" t="e">
        <f aca="false">A254+DAY(EOMONTH(A254,0))/2-1</f>
        <v>#VALUE!</v>
      </c>
      <c r="AK254" s="209" t="str">
        <f aca="false">IF($A255="","",$A254-$E$1)</f>
        <v/>
      </c>
      <c r="AL254" s="182" t="str">
        <f aca="false">IF($A255="","",SPRDOPT(P254,X254,AI254,0,AB254,AE254,AF254,AK254,$AJ$2,0))</f>
        <v/>
      </c>
      <c r="AM254" s="211" t="str">
        <f aca="false">IF($A255="","",MAX(0,O254-W254-AI254))</f>
        <v/>
      </c>
      <c r="AN254" s="211" t="str">
        <f aca="false">IF($A255="","",AL254-AM254)</f>
        <v/>
      </c>
      <c r="AO254" s="137" t="str">
        <f aca="false">IF(A255="","",A255-A254)</f>
        <v/>
      </c>
      <c r="AP254" s="212" t="str">
        <f aca="false">IF(A255="","",CHOOSE(F$3,A255+24,A254))</f>
        <v/>
      </c>
      <c r="AQ254" s="209" t="str">
        <f aca="false">IF(A255="","",AP254-$E$1)</f>
        <v/>
      </c>
      <c r="AR254" s="185" t="n">
        <f aca="false">'ANR OK vs ML7'!AR254</f>
        <v>0.1</v>
      </c>
      <c r="AS254" s="213" t="str">
        <f aca="false">IF(A255="","",1/(1+CHOOSE(F$3,(AR255+($I$3/10000))/2,(AR254+($I$3/10000))/2))^(2*AQ254/365.25))</f>
        <v/>
      </c>
      <c r="AT254" s="137" t="str">
        <f aca="false">IF(A255="","",IF(AND(mthbeg&lt;=A254,mthend&gt;=A254),1,0))</f>
        <v/>
      </c>
      <c r="AU254" s="137" t="str">
        <f aca="false">IF(A255="","",AO254*AT254)</f>
        <v/>
      </c>
      <c r="AW254" s="195" t="str">
        <f aca="false">IF($A255="","",AL254*$E254)</f>
        <v/>
      </c>
      <c r="AX254" s="195" t="str">
        <f aca="false">IF($A255="","",AM254*$E254)</f>
        <v/>
      </c>
      <c r="AY254" s="195" t="str">
        <f aca="false">IF($A255="","",AN254*$E254)</f>
        <v/>
      </c>
      <c r="BA254" s="195" t="str">
        <f aca="false">IF($A255="","",F254*Summary!$Q$14)</f>
        <v/>
      </c>
    </row>
    <row r="255" customFormat="false" ht="12" hidden="false" customHeight="true" outlineLevel="0" collapsed="false">
      <c r="A255" s="196" t="str">
        <f aca="false">IF(A254&lt;mthend,EDATE(A254,1),"")</f>
        <v/>
      </c>
      <c r="B255" s="197" t="str">
        <f aca="false">IF(A255&lt;mthend,B254,"")</f>
        <v/>
      </c>
      <c r="C255" s="215"/>
      <c r="D255" s="197" t="str">
        <f aca="false">IF(A256&lt;&gt;"",B255+C255,"")</f>
        <v/>
      </c>
      <c r="E255" s="199" t="str">
        <f aca="false">IF(A256="","",IF(AND(AT255=1,$H$3=1),D255*AO255,IF($H$3=2,D255,"N/A")))</f>
        <v/>
      </c>
      <c r="F255" s="199" t="str">
        <f aca="false">IF(A256="","",E255*AS255)</f>
        <v/>
      </c>
      <c r="G255" s="200" t="str">
        <f aca="false">IF($A256="","",VLOOKUP($A255,Table,MATCH(G$4,Curves,0)))</f>
        <v/>
      </c>
      <c r="H255" s="201" t="str">
        <f aca="false">IF(A256="","",G255)</f>
        <v/>
      </c>
      <c r="I255" s="202"/>
      <c r="J255" s="200" t="str">
        <f aca="false">IF($A256="","",VLOOKUP($A255,Table,MATCH(J$4,Curves,0)))</f>
        <v/>
      </c>
      <c r="K255" s="201" t="str">
        <f aca="false">IF(A256="","",J255)</f>
        <v/>
      </c>
      <c r="L255" s="185" t="n">
        <v>0</v>
      </c>
      <c r="M255" s="201" t="str">
        <f aca="false">IF(A256="","",L255)</f>
        <v/>
      </c>
      <c r="N255" s="203"/>
      <c r="O255" s="200" t="str">
        <f aca="false">IF(A256="","",L255+J255+G255)</f>
        <v/>
      </c>
      <c r="P255" s="200" t="str">
        <f aca="false">IF(A256="","",M255+K255+H255)</f>
        <v/>
      </c>
      <c r="Q255" s="204"/>
      <c r="R255" s="200" t="str">
        <f aca="false">IF($A256="","",VLOOKUP($A255,Table,MATCH(R$4,Curves,0)))</f>
        <v/>
      </c>
      <c r="S255" s="201" t="str">
        <f aca="false">IF(A256="","",R255)</f>
        <v/>
      </c>
      <c r="T255" s="200" t="str">
        <f aca="false">IF($A256="","",VLOOKUP($A255,Table,MATCH(T$4,Curves,0)))</f>
        <v/>
      </c>
      <c r="U255" s="201" t="str">
        <f aca="false">IF(A256="","",T255)</f>
        <v/>
      </c>
      <c r="V255" s="183" t="str">
        <f aca="false">IF($A256="","",IF(AND(MONTH(A255)&gt;3,MONTH(A255)&lt;11),(T255+R255+G255)*(((1/(1-Summary!$T$14))/(1-Summary!$W$14))-1),(T255+R255+G255)*((1/(1-Summary!$U$14))/(1-Summary!$X$14)-1)))</f>
        <v/>
      </c>
      <c r="W255" s="202" t="str">
        <f aca="false">IF($A256="","",(T255+R255+G255+V255))</f>
        <v/>
      </c>
      <c r="X255" s="202" t="str">
        <f aca="false">IF($A256="","",(U255+S255+H255+V255))</f>
        <v/>
      </c>
      <c r="Y255" s="202"/>
      <c r="Z255" s="185" t="str">
        <f aca="false">IF($A256="","",VLOOKUP($A255,Table,MATCH(Z$4,Curves,0)))</f>
        <v/>
      </c>
      <c r="AA255" s="185" t="str">
        <f aca="false">IF($A256="","",VLOOKUP($A255,Table,MATCH(AA$4,Curves,0)))</f>
        <v/>
      </c>
      <c r="AB255" s="185" t="e">
        <f aca="false">SQRT((AA255^2*(A255-$D$3)+Z255^2*(DAY(EOMONTH(A255,0))/2))/AK255)</f>
        <v>#VALUE!</v>
      </c>
      <c r="AC255" s="185" t="str">
        <f aca="false">IF($A256="","",VLOOKUP($A255,Table,MATCH(AC$4,Curves,0)))</f>
        <v/>
      </c>
      <c r="AD255" s="185" t="str">
        <f aca="false">IF($A256="","",VLOOKUP($A255,Table,MATCH(AD$4,Curves,0)))</f>
        <v/>
      </c>
      <c r="AE255" s="185" t="e">
        <f aca="false">SQRT((AD255^2*(A255-$D$3)+AC255^2*(DAY(EOMONTH(A255,0))/2))/AK255)</f>
        <v>#VALUE!</v>
      </c>
      <c r="AF255" s="224" t="e">
        <f aca="false">((Summary!$N$14*(AA255*AD255)*(A255-$D$3))+(Summary!$M$14*Z255*AC255*(AJ255-EOMONTH(EDATE(A255,-1),0))))/(AK255*AB255*AE255)</f>
        <v>#VALUE!</v>
      </c>
      <c r="AG255" s="207" t="str">
        <f aca="false">IF($A256="","",Summary!$Q$14)</f>
        <v/>
      </c>
      <c r="AH255" s="207" t="str">
        <f aca="false">IF($A256="","",IF(Summary!$R$12="Y",(VLOOKUP($A255,Summary!$AD$6:$AF$9,3)+'Escalating commodity'!J268),'Escalating commodity'!J268))</f>
        <v/>
      </c>
      <c r="AI255" s="207" t="str">
        <f aca="false">IF($A256="","",AH255)</f>
        <v/>
      </c>
      <c r="AJ255" s="208" t="e">
        <f aca="false">A255+DAY(EOMONTH(A255,0))/2-1</f>
        <v>#VALUE!</v>
      </c>
      <c r="AK255" s="209" t="str">
        <f aca="false">IF($A256="","",$A255-$E$1)</f>
        <v/>
      </c>
      <c r="AL255" s="182" t="str">
        <f aca="false">IF($A256="","",SPRDOPT(P255,X255,AI255,0,AB255,AE255,AF255,AK255,$AJ$2,0))</f>
        <v/>
      </c>
      <c r="AM255" s="211" t="str">
        <f aca="false">IF($A256="","",MAX(0,O255-W255-AI255))</f>
        <v/>
      </c>
      <c r="AN255" s="211" t="str">
        <f aca="false">IF($A256="","",AL255-AM255)</f>
        <v/>
      </c>
      <c r="AO255" s="137" t="str">
        <f aca="false">IF(A256="","",A256-A255)</f>
        <v/>
      </c>
      <c r="AP255" s="212" t="str">
        <f aca="false">IF(A256="","",CHOOSE(F$3,A256+24,A255))</f>
        <v/>
      </c>
      <c r="AQ255" s="209" t="str">
        <f aca="false">IF(A256="","",AP255-$E$1)</f>
        <v/>
      </c>
      <c r="AR255" s="185" t="n">
        <f aca="false">'ANR OK vs ML7'!AR255</f>
        <v>0.1</v>
      </c>
      <c r="AS255" s="213" t="str">
        <f aca="false">IF(A256="","",1/(1+CHOOSE(F$3,(AR256+($I$3/10000))/2,(AR255+($I$3/10000))/2))^(2*AQ255/365.25))</f>
        <v/>
      </c>
      <c r="AT255" s="137" t="str">
        <f aca="false">IF(A256="","",IF(AND(mthbeg&lt;=A255,mthend&gt;=A255),1,0))</f>
        <v/>
      </c>
      <c r="AU255" s="137" t="str">
        <f aca="false">IF(A256="","",AO255*AT255)</f>
        <v/>
      </c>
      <c r="AW255" s="195" t="str">
        <f aca="false">IF($A256="","",AL255*$E255)</f>
        <v/>
      </c>
      <c r="AX255" s="195" t="str">
        <f aca="false">IF($A256="","",AM255*$E255)</f>
        <v/>
      </c>
      <c r="AY255" s="195" t="str">
        <f aca="false">IF($A256="","",AN255*$E255)</f>
        <v/>
      </c>
      <c r="BA255" s="195" t="str">
        <f aca="false">IF($A256="","",F255*Summary!$Q$14)</f>
        <v/>
      </c>
    </row>
    <row r="256" customFormat="false" ht="12" hidden="false" customHeight="true" outlineLevel="0" collapsed="false">
      <c r="A256" s="196" t="str">
        <f aca="false">IF(A255&lt;mthend,EDATE(A255,1),"")</f>
        <v/>
      </c>
      <c r="B256" s="197" t="str">
        <f aca="false">IF(A256&lt;mthend,B255,"")</f>
        <v/>
      </c>
      <c r="C256" s="215"/>
      <c r="D256" s="197" t="str">
        <f aca="false">IF(A257&lt;&gt;"",B256+C256,"")</f>
        <v/>
      </c>
      <c r="E256" s="199" t="str">
        <f aca="false">IF(A257="","",IF(AND(AT256=1,$H$3=1),D256*AO256,IF($H$3=2,D256,"N/A")))</f>
        <v/>
      </c>
      <c r="F256" s="199" t="str">
        <f aca="false">IF(A257="","",E256*AS256)</f>
        <v/>
      </c>
      <c r="G256" s="200" t="str">
        <f aca="false">IF($A257="","",VLOOKUP($A256,Table,MATCH(G$4,Curves,0)))</f>
        <v/>
      </c>
      <c r="H256" s="201" t="str">
        <f aca="false">IF(A257="","",G256)</f>
        <v/>
      </c>
      <c r="I256" s="202"/>
      <c r="J256" s="200" t="str">
        <f aca="false">IF($A257="","",VLOOKUP($A256,Table,MATCH(J$4,Curves,0)))</f>
        <v/>
      </c>
      <c r="K256" s="201" t="str">
        <f aca="false">IF(A257="","",J256)</f>
        <v/>
      </c>
      <c r="L256" s="185" t="n">
        <v>0</v>
      </c>
      <c r="M256" s="201" t="str">
        <f aca="false">IF(A257="","",L256)</f>
        <v/>
      </c>
      <c r="N256" s="203"/>
      <c r="O256" s="200" t="str">
        <f aca="false">IF(A257="","",L256+J256+G256)</f>
        <v/>
      </c>
      <c r="P256" s="200" t="str">
        <f aca="false">IF(A257="","",M256+K256+H256)</f>
        <v/>
      </c>
      <c r="Q256" s="204"/>
      <c r="R256" s="200" t="str">
        <f aca="false">IF($A257="","",VLOOKUP($A256,Table,MATCH(R$4,Curves,0)))</f>
        <v/>
      </c>
      <c r="S256" s="201" t="str">
        <f aca="false">IF(A257="","",R256)</f>
        <v/>
      </c>
      <c r="T256" s="200" t="str">
        <f aca="false">IF($A257="","",VLOOKUP($A256,Table,MATCH(T$4,Curves,0)))</f>
        <v/>
      </c>
      <c r="U256" s="201" t="str">
        <f aca="false">IF(A257="","",T256)</f>
        <v/>
      </c>
      <c r="V256" s="183" t="str">
        <f aca="false">IF($A257="","",IF(AND(MONTH(A256)&gt;3,MONTH(A256)&lt;11),(T256+R256+G256)*(((1/(1-Summary!$T$14))/(1-Summary!$W$14))-1),(T256+R256+G256)*((1/(1-Summary!$U$14))/(1-Summary!$X$14)-1)))</f>
        <v/>
      </c>
      <c r="W256" s="202" t="str">
        <f aca="false">IF($A257="","",(T256+R256+G256+V256))</f>
        <v/>
      </c>
      <c r="X256" s="202" t="str">
        <f aca="false">IF($A257="","",(U256+S256+H256+V256))</f>
        <v/>
      </c>
      <c r="Y256" s="202"/>
      <c r="Z256" s="185" t="str">
        <f aca="false">IF($A257="","",VLOOKUP($A256,Table,MATCH(Z$4,Curves,0)))</f>
        <v/>
      </c>
      <c r="AA256" s="185" t="str">
        <f aca="false">IF($A257="","",VLOOKUP($A256,Table,MATCH(AA$4,Curves,0)))</f>
        <v/>
      </c>
      <c r="AB256" s="185" t="e">
        <f aca="false">SQRT((AA256^2*(A256-$D$3)+Z256^2*(DAY(EOMONTH(A256,0))/2))/AK256)</f>
        <v>#VALUE!</v>
      </c>
      <c r="AC256" s="185" t="str">
        <f aca="false">IF($A257="","",VLOOKUP($A256,Table,MATCH(AC$4,Curves,0)))</f>
        <v/>
      </c>
      <c r="AD256" s="185" t="str">
        <f aca="false">IF($A257="","",VLOOKUP($A256,Table,MATCH(AD$4,Curves,0)))</f>
        <v/>
      </c>
      <c r="AE256" s="185" t="e">
        <f aca="false">SQRT((AD256^2*(A256-$D$3)+AC256^2*(DAY(EOMONTH(A256,0))/2))/AK256)</f>
        <v>#VALUE!</v>
      </c>
      <c r="AF256" s="224" t="e">
        <f aca="false">((Summary!$N$14*(AA256*AD256)*(A256-$D$3))+(Summary!$M$14*Z256*AC256*(AJ256-EOMONTH(EDATE(A256,-1),0))))/(AK256*AB256*AE256)</f>
        <v>#VALUE!</v>
      </c>
      <c r="AG256" s="207" t="str">
        <f aca="false">IF($A257="","",Summary!$Q$14)</f>
        <v/>
      </c>
      <c r="AH256" s="207" t="str">
        <f aca="false">IF($A257="","",IF(Summary!$R$12="Y",(VLOOKUP($A256,Summary!$AD$6:$AF$9,3)+'Escalating commodity'!J269),'Escalating commodity'!J269))</f>
        <v/>
      </c>
      <c r="AI256" s="207" t="str">
        <f aca="false">IF($A257="","",AH256)</f>
        <v/>
      </c>
      <c r="AJ256" s="208" t="e">
        <f aca="false">A256+DAY(EOMONTH(A256,0))/2-1</f>
        <v>#VALUE!</v>
      </c>
      <c r="AK256" s="209" t="str">
        <f aca="false">IF($A257="","",$A256-$E$1)</f>
        <v/>
      </c>
      <c r="AL256" s="182" t="str">
        <f aca="false">IF($A257="","",SPRDOPT(P256,X256,AI256,0,AB256,AE256,AF256,AK256,$AJ$2,0))</f>
        <v/>
      </c>
      <c r="AM256" s="211" t="str">
        <f aca="false">IF($A257="","",MAX(0,O256-W256-AI256))</f>
        <v/>
      </c>
      <c r="AN256" s="211" t="str">
        <f aca="false">IF($A257="","",AL256-AM256)</f>
        <v/>
      </c>
      <c r="AO256" s="137" t="str">
        <f aca="false">IF(A257="","",A257-A256)</f>
        <v/>
      </c>
      <c r="AP256" s="212" t="str">
        <f aca="false">IF(A257="","",CHOOSE(F$3,A257+24,A256))</f>
        <v/>
      </c>
      <c r="AQ256" s="209" t="str">
        <f aca="false">IF(A257="","",AP256-$E$1)</f>
        <v/>
      </c>
      <c r="AR256" s="185" t="n">
        <f aca="false">'ANR OK vs ML7'!AR256</f>
        <v>0.1</v>
      </c>
      <c r="AS256" s="213" t="str">
        <f aca="false">IF(A257="","",1/(1+CHOOSE(F$3,(AR257+($I$3/10000))/2,(AR256+($I$3/10000))/2))^(2*AQ256/365.25))</f>
        <v/>
      </c>
      <c r="AT256" s="137" t="str">
        <f aca="false">IF(A257="","",IF(AND(mthbeg&lt;=A256,mthend&gt;=A256),1,0))</f>
        <v/>
      </c>
      <c r="AU256" s="137" t="str">
        <f aca="false">IF(A257="","",AO256*AT256)</f>
        <v/>
      </c>
      <c r="AW256" s="195" t="str">
        <f aca="false">IF($A257="","",AL256*$E256)</f>
        <v/>
      </c>
      <c r="AX256" s="195" t="str">
        <f aca="false">IF($A257="","",AM256*$E256)</f>
        <v/>
      </c>
      <c r="AY256" s="195" t="str">
        <f aca="false">IF($A257="","",AN256*$E256)</f>
        <v/>
      </c>
      <c r="BA256" s="195" t="str">
        <f aca="false">IF($A257="","",F256*Summary!$Q$14)</f>
        <v/>
      </c>
    </row>
    <row r="257" customFormat="false" ht="12" hidden="false" customHeight="true" outlineLevel="0" collapsed="false">
      <c r="A257" s="196" t="str">
        <f aca="false">IF(A256&lt;mthend,EDATE(A256,1),"")</f>
        <v/>
      </c>
      <c r="B257" s="197" t="str">
        <f aca="false">IF(A257&lt;mthend,B256,"")</f>
        <v/>
      </c>
      <c r="C257" s="215"/>
      <c r="D257" s="197" t="str">
        <f aca="false">IF(A258&lt;&gt;"",B257+C257,"")</f>
        <v/>
      </c>
      <c r="E257" s="199" t="str">
        <f aca="false">IF(A258="","",IF(AND(AT257=1,$H$3=1),D257*AO257,IF($H$3=2,D257,"N/A")))</f>
        <v/>
      </c>
      <c r="F257" s="199" t="str">
        <f aca="false">IF(A258="","",E257*AS257)</f>
        <v/>
      </c>
      <c r="G257" s="200" t="str">
        <f aca="false">IF($A258="","",VLOOKUP($A257,Table,MATCH(G$4,Curves,0)))</f>
        <v/>
      </c>
      <c r="H257" s="201" t="str">
        <f aca="false">IF(A258="","",G257)</f>
        <v/>
      </c>
      <c r="I257" s="202"/>
      <c r="J257" s="200" t="str">
        <f aca="false">IF($A258="","",VLOOKUP($A257,Table,MATCH(J$4,Curves,0)))</f>
        <v/>
      </c>
      <c r="K257" s="201" t="str">
        <f aca="false">IF(A258="","",J257)</f>
        <v/>
      </c>
      <c r="L257" s="185" t="n">
        <v>0</v>
      </c>
      <c r="M257" s="201" t="str">
        <f aca="false">IF(A258="","",L257)</f>
        <v/>
      </c>
      <c r="N257" s="203"/>
      <c r="O257" s="200" t="str">
        <f aca="false">IF(A258="","",L257+J257+G257)</f>
        <v/>
      </c>
      <c r="P257" s="200" t="str">
        <f aca="false">IF(A258="","",M257+K257+H257)</f>
        <v/>
      </c>
      <c r="Q257" s="204"/>
      <c r="R257" s="200" t="str">
        <f aca="false">IF($A258="","",VLOOKUP($A257,Table,MATCH(R$4,Curves,0)))</f>
        <v/>
      </c>
      <c r="S257" s="201" t="str">
        <f aca="false">IF(A258="","",R257)</f>
        <v/>
      </c>
      <c r="T257" s="200" t="str">
        <f aca="false">IF($A258="","",VLOOKUP($A257,Table,MATCH(T$4,Curves,0)))</f>
        <v/>
      </c>
      <c r="U257" s="201" t="str">
        <f aca="false">IF(A258="","",T257)</f>
        <v/>
      </c>
      <c r="V257" s="183" t="str">
        <f aca="false">IF($A258="","",IF(AND(MONTH(A257)&gt;3,MONTH(A257)&lt;11),(T257+R257+G257)*(((1/(1-Summary!$T$14))/(1-Summary!$W$14))-1),(T257+R257+G257)*((1/(1-Summary!$U$14))/(1-Summary!$X$14)-1)))</f>
        <v/>
      </c>
      <c r="W257" s="202" t="str">
        <f aca="false">IF($A258="","",(T257+R257+G257+V257))</f>
        <v/>
      </c>
      <c r="X257" s="202" t="str">
        <f aca="false">IF($A258="","",(U257+S257+H257+V257))</f>
        <v/>
      </c>
      <c r="Y257" s="202"/>
      <c r="Z257" s="185" t="str">
        <f aca="false">IF($A258="","",VLOOKUP($A257,Table,MATCH(Z$4,Curves,0)))</f>
        <v/>
      </c>
      <c r="AA257" s="185" t="str">
        <f aca="false">IF($A258="","",VLOOKUP($A257,Table,MATCH(AA$4,Curves,0)))</f>
        <v/>
      </c>
      <c r="AB257" s="185" t="e">
        <f aca="false">SQRT((AA257^2*(A257-$D$3)+Z257^2*(DAY(EOMONTH(A257,0))/2))/AK257)</f>
        <v>#VALUE!</v>
      </c>
      <c r="AC257" s="185" t="str">
        <f aca="false">IF($A258="","",VLOOKUP($A257,Table,MATCH(AC$4,Curves,0)))</f>
        <v/>
      </c>
      <c r="AD257" s="185" t="str">
        <f aca="false">IF($A258="","",VLOOKUP($A257,Table,MATCH(AD$4,Curves,0)))</f>
        <v/>
      </c>
      <c r="AE257" s="185" t="e">
        <f aca="false">SQRT((AD257^2*(A257-$D$3)+AC257^2*(DAY(EOMONTH(A257,0))/2))/AK257)</f>
        <v>#VALUE!</v>
      </c>
      <c r="AF257" s="224" t="e">
        <f aca="false">((Summary!$N$14*(AA257*AD257)*(A257-$D$3))+(Summary!$M$14*Z257*AC257*(AJ257-EOMONTH(EDATE(A257,-1),0))))/(AK257*AB257*AE257)</f>
        <v>#VALUE!</v>
      </c>
      <c r="AG257" s="207" t="str">
        <f aca="false">IF($A258="","",Summary!$Q$14)</f>
        <v/>
      </c>
      <c r="AH257" s="207" t="str">
        <f aca="false">IF($A258="","",IF(Summary!$R$12="Y",(VLOOKUP($A257,Summary!$AD$6:$AF$9,3)+'Escalating commodity'!J270),'Escalating commodity'!J270))</f>
        <v/>
      </c>
      <c r="AI257" s="207" t="str">
        <f aca="false">IF($A258="","",AH257)</f>
        <v/>
      </c>
      <c r="AJ257" s="208" t="e">
        <f aca="false">A257+DAY(EOMONTH(A257,0))/2-1</f>
        <v>#VALUE!</v>
      </c>
      <c r="AK257" s="209" t="str">
        <f aca="false">IF($A258="","",$A257-$E$1)</f>
        <v/>
      </c>
      <c r="AL257" s="182" t="str">
        <f aca="false">IF($A258="","",SPRDOPT(P257,X257,AI257,0,AB257,AE257,AF257,AK257,$AJ$2,0))</f>
        <v/>
      </c>
      <c r="AM257" s="211" t="str">
        <f aca="false">IF($A258="","",MAX(0,O257-W257-AI257))</f>
        <v/>
      </c>
      <c r="AN257" s="211" t="str">
        <f aca="false">IF($A258="","",AL257-AM257)</f>
        <v/>
      </c>
      <c r="AO257" s="137" t="str">
        <f aca="false">IF(A258="","",A258-A257)</f>
        <v/>
      </c>
      <c r="AP257" s="212" t="str">
        <f aca="false">IF(A258="","",CHOOSE(F$3,A258+24,A257))</f>
        <v/>
      </c>
      <c r="AQ257" s="209" t="str">
        <f aca="false">IF(A258="","",AP257-$E$1)</f>
        <v/>
      </c>
      <c r="AR257" s="185" t="n">
        <f aca="false">'ANR OK vs ML7'!AR257</f>
        <v>0.1</v>
      </c>
      <c r="AS257" s="213" t="str">
        <f aca="false">IF(A258="","",1/(1+CHOOSE(F$3,(AR258+($I$3/10000))/2,(AR257+($I$3/10000))/2))^(2*AQ257/365.25))</f>
        <v/>
      </c>
      <c r="AT257" s="137" t="str">
        <f aca="false">IF(A258="","",IF(AND(mthbeg&lt;=A257,mthend&gt;=A257),1,0))</f>
        <v/>
      </c>
      <c r="AU257" s="137" t="str">
        <f aca="false">IF(A258="","",AO257*AT257)</f>
        <v/>
      </c>
      <c r="AW257" s="195" t="str">
        <f aca="false">IF($A258="","",AL257*$E257)</f>
        <v/>
      </c>
      <c r="AX257" s="195" t="str">
        <f aca="false">IF($A258="","",AM257*$E257)</f>
        <v/>
      </c>
      <c r="AY257" s="195" t="str">
        <f aca="false">IF($A258="","",AN257*$E257)</f>
        <v/>
      </c>
      <c r="BA257" s="195" t="str">
        <f aca="false">IF($A258="","",F257*Summary!$Q$14)</f>
        <v/>
      </c>
    </row>
    <row r="258" customFormat="false" ht="12" hidden="false" customHeight="true" outlineLevel="0" collapsed="false">
      <c r="A258" s="196" t="str">
        <f aca="false">IF(A257&lt;mthend,EDATE(A257,1),"")</f>
        <v/>
      </c>
      <c r="B258" s="197" t="str">
        <f aca="false">IF(A258&lt;mthend,B257,"")</f>
        <v/>
      </c>
      <c r="C258" s="215"/>
      <c r="D258" s="197" t="str">
        <f aca="false">IF(A259&lt;&gt;"",B258+C258,"")</f>
        <v/>
      </c>
      <c r="E258" s="199" t="str">
        <f aca="false">IF(A259="","",IF(AND(AT258=1,$H$3=1),D258*AO258,IF($H$3=2,D258,"N/A")))</f>
        <v/>
      </c>
      <c r="F258" s="199" t="str">
        <f aca="false">IF(A259="","",E258*AS258)</f>
        <v/>
      </c>
      <c r="G258" s="200" t="str">
        <f aca="false">IF($A259="","",VLOOKUP($A258,Table,MATCH(G$4,Curves,0)))</f>
        <v/>
      </c>
      <c r="H258" s="201" t="str">
        <f aca="false">IF(A259="","",G258)</f>
        <v/>
      </c>
      <c r="I258" s="202"/>
      <c r="J258" s="200" t="str">
        <f aca="false">IF($A259="","",VLOOKUP($A258,Table,MATCH(J$4,Curves,0)))</f>
        <v/>
      </c>
      <c r="K258" s="201" t="str">
        <f aca="false">IF(A259="","",J258)</f>
        <v/>
      </c>
      <c r="L258" s="185" t="n">
        <v>0</v>
      </c>
      <c r="M258" s="201" t="str">
        <f aca="false">IF(A259="","",L258)</f>
        <v/>
      </c>
      <c r="N258" s="203"/>
      <c r="O258" s="200" t="str">
        <f aca="false">IF(A259="","",L258+J258+G258)</f>
        <v/>
      </c>
      <c r="P258" s="200" t="str">
        <f aca="false">IF(A259="","",M258+K258+H258)</f>
        <v/>
      </c>
      <c r="Q258" s="204"/>
      <c r="R258" s="200" t="str">
        <f aca="false">IF($A259="","",VLOOKUP($A258,Table,MATCH(R$4,Curves,0)))</f>
        <v/>
      </c>
      <c r="S258" s="201" t="str">
        <f aca="false">IF(A259="","",R258)</f>
        <v/>
      </c>
      <c r="T258" s="200" t="str">
        <f aca="false">IF($A259="","",VLOOKUP($A258,Table,MATCH(T$4,Curves,0)))</f>
        <v/>
      </c>
      <c r="U258" s="201" t="str">
        <f aca="false">IF(A259="","",T258)</f>
        <v/>
      </c>
      <c r="V258" s="183" t="str">
        <f aca="false">IF($A259="","",IF(AND(MONTH(A258)&gt;3,MONTH(A258)&lt;11),(T258+R258+G258)*(((1/(1-Summary!$T$14))/(1-Summary!$W$14))-1),(T258+R258+G258)*((1/(1-Summary!$U$14))/(1-Summary!$X$14)-1)))</f>
        <v/>
      </c>
      <c r="W258" s="202" t="str">
        <f aca="false">IF($A259="","",(T258+R258+G258+V258))</f>
        <v/>
      </c>
      <c r="X258" s="202" t="str">
        <f aca="false">IF($A259="","",(U258+S258+H258+V258))</f>
        <v/>
      </c>
      <c r="Y258" s="202"/>
      <c r="Z258" s="185" t="str">
        <f aca="false">IF($A259="","",VLOOKUP($A258,Table,MATCH(Z$4,Curves,0)))</f>
        <v/>
      </c>
      <c r="AA258" s="185" t="str">
        <f aca="false">IF($A259="","",VLOOKUP($A258,Table,MATCH(AA$4,Curves,0)))</f>
        <v/>
      </c>
      <c r="AB258" s="185" t="e">
        <f aca="false">SQRT((AA258^2*(A258-$D$3)+Z258^2*(DAY(EOMONTH(A258,0))/2))/AK258)</f>
        <v>#VALUE!</v>
      </c>
      <c r="AC258" s="185" t="str">
        <f aca="false">IF($A259="","",VLOOKUP($A258,Table,MATCH(AC$4,Curves,0)))</f>
        <v/>
      </c>
      <c r="AD258" s="185" t="str">
        <f aca="false">IF($A259="","",VLOOKUP($A258,Table,MATCH(AD$4,Curves,0)))</f>
        <v/>
      </c>
      <c r="AE258" s="185" t="e">
        <f aca="false">SQRT((AD258^2*(A258-$D$3)+AC258^2*(DAY(EOMONTH(A258,0))/2))/AK258)</f>
        <v>#VALUE!</v>
      </c>
      <c r="AF258" s="224" t="e">
        <f aca="false">((Summary!$N$14*(AA258*AD258)*(A258-$D$3))+(Summary!$M$14*Z258*AC258*(AJ258-EOMONTH(EDATE(A258,-1),0))))/(AK258*AB258*AE258)</f>
        <v>#VALUE!</v>
      </c>
      <c r="AG258" s="207" t="str">
        <f aca="false">IF($A259="","",Summary!$Q$14)</f>
        <v/>
      </c>
      <c r="AH258" s="207" t="str">
        <f aca="false">IF($A259="","",IF(Summary!$R$12="Y",(VLOOKUP($A258,Summary!$AD$6:$AF$9,3)+'Escalating commodity'!J271),'Escalating commodity'!J271))</f>
        <v/>
      </c>
      <c r="AI258" s="207" t="str">
        <f aca="false">IF($A259="","",AH258)</f>
        <v/>
      </c>
      <c r="AJ258" s="208" t="e">
        <f aca="false">A258+DAY(EOMONTH(A258,0))/2-1</f>
        <v>#VALUE!</v>
      </c>
      <c r="AK258" s="209" t="str">
        <f aca="false">IF($A259="","",$A258-$E$1)</f>
        <v/>
      </c>
      <c r="AL258" s="182" t="str">
        <f aca="false">IF($A259="","",SPRDOPT(P258,X258,AI258,0,AB258,AE258,AF258,AK258,$AJ$2,0))</f>
        <v/>
      </c>
      <c r="AM258" s="211" t="str">
        <f aca="false">IF($A259="","",MAX(0,O258-W258-AI258))</f>
        <v/>
      </c>
      <c r="AN258" s="211" t="str">
        <f aca="false">IF($A259="","",AL258-AM258)</f>
        <v/>
      </c>
      <c r="AO258" s="137" t="str">
        <f aca="false">IF(A259="","",A259-A258)</f>
        <v/>
      </c>
      <c r="AP258" s="212" t="str">
        <f aca="false">IF(A259="","",CHOOSE(F$3,A259+24,A258))</f>
        <v/>
      </c>
      <c r="AQ258" s="209" t="str">
        <f aca="false">IF(A259="","",AP258-$E$1)</f>
        <v/>
      </c>
      <c r="AR258" s="185" t="n">
        <f aca="false">'ANR OK vs ML7'!AR258</f>
        <v>0.1</v>
      </c>
      <c r="AS258" s="213" t="str">
        <f aca="false">IF(A259="","",1/(1+CHOOSE(F$3,(AR259+($I$3/10000))/2,(AR258+($I$3/10000))/2))^(2*AQ258/365.25))</f>
        <v/>
      </c>
      <c r="AT258" s="137" t="str">
        <f aca="false">IF(A259="","",IF(AND(mthbeg&lt;=A258,mthend&gt;=A258),1,0))</f>
        <v/>
      </c>
      <c r="AU258" s="137" t="str">
        <f aca="false">IF(A259="","",AO258*AT258)</f>
        <v/>
      </c>
      <c r="AW258" s="195" t="str">
        <f aca="false">IF($A259="","",AL258*$E258)</f>
        <v/>
      </c>
      <c r="AX258" s="195" t="str">
        <f aca="false">IF($A259="","",AM258*$E258)</f>
        <v/>
      </c>
      <c r="AY258" s="195" t="str">
        <f aca="false">IF($A259="","",AN258*$E258)</f>
        <v/>
      </c>
      <c r="BA258" s="195" t="str">
        <f aca="false">IF($A259="","",F258*Summary!$Q$14)</f>
        <v/>
      </c>
    </row>
    <row r="259" customFormat="false" ht="12" hidden="false" customHeight="true" outlineLevel="0" collapsed="false">
      <c r="A259" s="196" t="str">
        <f aca="false">IF(A258&lt;mthend,EDATE(A258,1),"")</f>
        <v/>
      </c>
      <c r="B259" s="197" t="str">
        <f aca="false">IF(A259&lt;mthend,B258,"")</f>
        <v/>
      </c>
      <c r="C259" s="215"/>
      <c r="D259" s="197" t="str">
        <f aca="false">IF(A260&lt;&gt;"",B259+C259,"")</f>
        <v/>
      </c>
      <c r="E259" s="199" t="str">
        <f aca="false">IF(A260="","",IF(AND(AT259=1,$H$3=1),D259*AO259,IF($H$3=2,D259,"N/A")))</f>
        <v/>
      </c>
      <c r="F259" s="199" t="str">
        <f aca="false">IF(A260="","",E259*AS259)</f>
        <v/>
      </c>
      <c r="G259" s="200" t="str">
        <f aca="false">IF($A260="","",VLOOKUP($A259,Table,MATCH(G$4,Curves,0)))</f>
        <v/>
      </c>
      <c r="H259" s="201" t="str">
        <f aca="false">IF(A260="","",G259)</f>
        <v/>
      </c>
      <c r="I259" s="202"/>
      <c r="J259" s="200" t="str">
        <f aca="false">IF($A260="","",VLOOKUP($A259,Table,MATCH(J$4,Curves,0)))</f>
        <v/>
      </c>
      <c r="K259" s="201" t="str">
        <f aca="false">IF(A260="","",J259)</f>
        <v/>
      </c>
      <c r="L259" s="185" t="n">
        <v>0</v>
      </c>
      <c r="M259" s="201" t="str">
        <f aca="false">IF(A260="","",L259)</f>
        <v/>
      </c>
      <c r="N259" s="203"/>
      <c r="O259" s="200" t="str">
        <f aca="false">IF(A260="","",L259+J259+G259)</f>
        <v/>
      </c>
      <c r="P259" s="200" t="str">
        <f aca="false">IF(A260="","",M259+K259+H259)</f>
        <v/>
      </c>
      <c r="Q259" s="204"/>
      <c r="R259" s="200" t="str">
        <f aca="false">IF($A260="","",VLOOKUP($A259,Table,MATCH(R$4,Curves,0)))</f>
        <v/>
      </c>
      <c r="S259" s="201" t="str">
        <f aca="false">IF(A260="","",R259)</f>
        <v/>
      </c>
      <c r="T259" s="200" t="str">
        <f aca="false">IF($A260="","",VLOOKUP($A259,Table,MATCH(T$4,Curves,0)))</f>
        <v/>
      </c>
      <c r="U259" s="201" t="str">
        <f aca="false">IF(A260="","",T259)</f>
        <v/>
      </c>
      <c r="V259" s="183" t="str">
        <f aca="false">IF($A260="","",IF(AND(MONTH(A259)&gt;3,MONTH(A259)&lt;11),(T259+R259+G259)*(((1/(1-Summary!$T$14))/(1-Summary!$W$14))-1),(T259+R259+G259)*((1/(1-Summary!$U$14))/(1-Summary!$X$14)-1)))</f>
        <v/>
      </c>
      <c r="W259" s="202" t="str">
        <f aca="false">IF($A260="","",(T259+R259+G259+V259))</f>
        <v/>
      </c>
      <c r="X259" s="202" t="str">
        <f aca="false">IF($A260="","",(U259+S259+H259+V259))</f>
        <v/>
      </c>
      <c r="Y259" s="202"/>
      <c r="Z259" s="185" t="str">
        <f aca="false">IF($A260="","",VLOOKUP($A259,Table,MATCH(Z$4,Curves,0)))</f>
        <v/>
      </c>
      <c r="AA259" s="185" t="str">
        <f aca="false">IF($A260="","",VLOOKUP($A259,Table,MATCH(AA$4,Curves,0)))</f>
        <v/>
      </c>
      <c r="AB259" s="185" t="e">
        <f aca="false">SQRT((AA259^2*(A259-$D$3)+Z259^2*(DAY(EOMONTH(A259,0))/2))/AK259)</f>
        <v>#VALUE!</v>
      </c>
      <c r="AC259" s="185" t="str">
        <f aca="false">IF($A260="","",VLOOKUP($A259,Table,MATCH(AC$4,Curves,0)))</f>
        <v/>
      </c>
      <c r="AD259" s="185" t="str">
        <f aca="false">IF($A260="","",VLOOKUP($A259,Table,MATCH(AD$4,Curves,0)))</f>
        <v/>
      </c>
      <c r="AE259" s="185" t="e">
        <f aca="false">SQRT((AD259^2*(A259-$D$3)+AC259^2*(DAY(EOMONTH(A259,0))/2))/AK259)</f>
        <v>#VALUE!</v>
      </c>
      <c r="AF259" s="224" t="e">
        <f aca="false">((Summary!$N$14*(AA259*AD259)*(A259-$D$3))+(Summary!$M$14*Z259*AC259*(AJ259-EOMONTH(EDATE(A259,-1),0))))/(AK259*AB259*AE259)</f>
        <v>#VALUE!</v>
      </c>
      <c r="AG259" s="207" t="str">
        <f aca="false">IF($A260="","",Summary!$Q$14)</f>
        <v/>
      </c>
      <c r="AH259" s="207" t="str">
        <f aca="false">IF($A260="","",IF(Summary!$R$12="Y",(VLOOKUP($A259,Summary!$AD$6:$AF$9,3)+'Escalating commodity'!J272),'Escalating commodity'!J272))</f>
        <v/>
      </c>
      <c r="AI259" s="207" t="str">
        <f aca="false">IF($A260="","",AH259)</f>
        <v/>
      </c>
      <c r="AJ259" s="208" t="e">
        <f aca="false">A259+DAY(EOMONTH(A259,0))/2-1</f>
        <v>#VALUE!</v>
      </c>
      <c r="AK259" s="209" t="str">
        <f aca="false">IF($A260="","",$A259-$E$1)</f>
        <v/>
      </c>
      <c r="AL259" s="182" t="str">
        <f aca="false">IF($A260="","",SPRDOPT(P259,X259,AI259,0,AB259,AE259,AF259,AK259,$AJ$2,0))</f>
        <v/>
      </c>
      <c r="AM259" s="211" t="str">
        <f aca="false">IF($A260="","",MAX(0,O259-W259-AI259))</f>
        <v/>
      </c>
      <c r="AN259" s="211" t="str">
        <f aca="false">IF($A260="","",AL259-AM259)</f>
        <v/>
      </c>
      <c r="AO259" s="137" t="str">
        <f aca="false">IF(A260="","",A260-A259)</f>
        <v/>
      </c>
      <c r="AP259" s="212" t="str">
        <f aca="false">IF(A260="","",CHOOSE(F$3,A260+24,A259))</f>
        <v/>
      </c>
      <c r="AQ259" s="209" t="str">
        <f aca="false">IF(A260="","",AP259-$E$1)</f>
        <v/>
      </c>
      <c r="AR259" s="185" t="n">
        <f aca="false">'ANR OK vs ML7'!AR259</f>
        <v>0.1</v>
      </c>
      <c r="AS259" s="213" t="str">
        <f aca="false">IF(A260="","",1/(1+CHOOSE(F$3,(AR260+($I$3/10000))/2,(AR259+($I$3/10000))/2))^(2*AQ259/365.25))</f>
        <v/>
      </c>
      <c r="AT259" s="137" t="str">
        <f aca="false">IF(A260="","",IF(AND(mthbeg&lt;=A259,mthend&gt;=A259),1,0))</f>
        <v/>
      </c>
      <c r="AU259" s="137" t="str">
        <f aca="false">IF(A260="","",AO259*AT259)</f>
        <v/>
      </c>
      <c r="AW259" s="195" t="str">
        <f aca="false">IF($A260="","",AL259*$E259)</f>
        <v/>
      </c>
      <c r="AX259" s="195" t="str">
        <f aca="false">IF($A260="","",AM259*$E259)</f>
        <v/>
      </c>
      <c r="AY259" s="195" t="str">
        <f aca="false">IF($A260="","",AN259*$E259)</f>
        <v/>
      </c>
      <c r="BA259" s="195" t="str">
        <f aca="false">IF($A260="","",F259*Summary!$Q$14)</f>
        <v/>
      </c>
    </row>
    <row r="260" customFormat="false" ht="12" hidden="false" customHeight="true" outlineLevel="0" collapsed="false">
      <c r="A260" s="196" t="str">
        <f aca="false">IF(A259&lt;mthend,EDATE(A259,1),"")</f>
        <v/>
      </c>
      <c r="B260" s="197" t="str">
        <f aca="false">IF(A260&lt;mthend,B259,"")</f>
        <v/>
      </c>
      <c r="C260" s="215"/>
      <c r="D260" s="197" t="str">
        <f aca="false">IF(A261&lt;&gt;"",B260+C260,"")</f>
        <v/>
      </c>
      <c r="E260" s="199" t="str">
        <f aca="false">IF(A261="","",IF(AND(AT260=1,$H$3=1),D260*AO260,IF($H$3=2,D260,"N/A")))</f>
        <v/>
      </c>
      <c r="F260" s="199" t="str">
        <f aca="false">IF(A261="","",E260*AS260)</f>
        <v/>
      </c>
      <c r="G260" s="200" t="str">
        <f aca="false">IF($A261="","",VLOOKUP($A260,Table,MATCH(G$4,Curves,0)))</f>
        <v/>
      </c>
      <c r="H260" s="201" t="str">
        <f aca="false">IF(A261="","",G260)</f>
        <v/>
      </c>
      <c r="I260" s="202"/>
      <c r="J260" s="200" t="str">
        <f aca="false">IF($A261="","",VLOOKUP($A260,Table,MATCH(J$4,Curves,0)))</f>
        <v/>
      </c>
      <c r="K260" s="201" t="str">
        <f aca="false">IF(A261="","",J260)</f>
        <v/>
      </c>
      <c r="L260" s="185" t="n">
        <v>0</v>
      </c>
      <c r="M260" s="201" t="str">
        <f aca="false">IF(A261="","",L260)</f>
        <v/>
      </c>
      <c r="N260" s="203"/>
      <c r="O260" s="200" t="str">
        <f aca="false">IF(A261="","",L260+J260+G260)</f>
        <v/>
      </c>
      <c r="P260" s="200" t="str">
        <f aca="false">IF(A261="","",M260+K260+H260)</f>
        <v/>
      </c>
      <c r="Q260" s="204"/>
      <c r="R260" s="200" t="str">
        <f aca="false">IF($A261="","",VLOOKUP($A260,Table,MATCH(R$4,Curves,0)))</f>
        <v/>
      </c>
      <c r="S260" s="201" t="str">
        <f aca="false">IF(A261="","",R260)</f>
        <v/>
      </c>
      <c r="T260" s="200" t="str">
        <f aca="false">IF($A261="","",VLOOKUP($A260,Table,MATCH(T$4,Curves,0)))</f>
        <v/>
      </c>
      <c r="U260" s="201" t="str">
        <f aca="false">IF(A261="","",T260)</f>
        <v/>
      </c>
      <c r="V260" s="183" t="str">
        <f aca="false">IF($A261="","",IF(AND(MONTH(A260)&gt;3,MONTH(A260)&lt;11),(T260+R260+G260)*(((1/(1-Summary!$T$14))/(1-Summary!$W$14))-1),(T260+R260+G260)*((1/(1-Summary!$U$14))/(1-Summary!$X$14)-1)))</f>
        <v/>
      </c>
      <c r="W260" s="202" t="str">
        <f aca="false">IF($A261="","",(T260+R260+G260+V260))</f>
        <v/>
      </c>
      <c r="X260" s="202" t="str">
        <f aca="false">IF($A261="","",(U260+S260+H260+V260))</f>
        <v/>
      </c>
      <c r="Y260" s="202"/>
      <c r="Z260" s="185" t="str">
        <f aca="false">IF($A261="","",VLOOKUP($A260,Table,MATCH(Z$4,Curves,0)))</f>
        <v/>
      </c>
      <c r="AA260" s="185" t="str">
        <f aca="false">IF($A261="","",VLOOKUP($A260,Table,MATCH(AA$4,Curves,0)))</f>
        <v/>
      </c>
      <c r="AB260" s="185" t="e">
        <f aca="false">SQRT((AA260^2*(A260-$D$3)+Z260^2*(DAY(EOMONTH(A260,0))/2))/AK260)</f>
        <v>#VALUE!</v>
      </c>
      <c r="AC260" s="185" t="str">
        <f aca="false">IF($A261="","",VLOOKUP($A260,Table,MATCH(AC$4,Curves,0)))</f>
        <v/>
      </c>
      <c r="AD260" s="185" t="str">
        <f aca="false">IF($A261="","",VLOOKUP($A260,Table,MATCH(AD$4,Curves,0)))</f>
        <v/>
      </c>
      <c r="AE260" s="185" t="e">
        <f aca="false">SQRT((AD260^2*(A260-$D$3)+AC260^2*(DAY(EOMONTH(A260,0))/2))/AK260)</f>
        <v>#VALUE!</v>
      </c>
      <c r="AF260" s="224" t="e">
        <f aca="false">((Summary!$N$14*(AA260*AD260)*(A260-$D$3))+(Summary!$M$14*Z260*AC260*(AJ260-EOMONTH(EDATE(A260,-1),0))))/(AK260*AB260*AE260)</f>
        <v>#VALUE!</v>
      </c>
      <c r="AG260" s="207" t="str">
        <f aca="false">IF($A261="","",Summary!$Q$14)</f>
        <v/>
      </c>
      <c r="AH260" s="207" t="str">
        <f aca="false">IF($A261="","",IF(Summary!$R$12="Y",(VLOOKUP($A260,Summary!$AD$6:$AF$9,3)+'Escalating commodity'!J273),'Escalating commodity'!J273))</f>
        <v/>
      </c>
      <c r="AI260" s="207" t="str">
        <f aca="false">IF($A261="","",AH260)</f>
        <v/>
      </c>
      <c r="AJ260" s="208" t="e">
        <f aca="false">A260+DAY(EOMONTH(A260,0))/2-1</f>
        <v>#VALUE!</v>
      </c>
      <c r="AK260" s="209" t="str">
        <f aca="false">IF($A261="","",$A260-$E$1)</f>
        <v/>
      </c>
      <c r="AL260" s="182" t="str">
        <f aca="false">IF($A261="","",SPRDOPT(P260,X260,AI260,0,AB260,AE260,AF260,AK260,$AJ$2,0))</f>
        <v/>
      </c>
      <c r="AM260" s="211" t="str">
        <f aca="false">IF($A261="","",MAX(0,O260-W260-AI260))</f>
        <v/>
      </c>
      <c r="AN260" s="211" t="str">
        <f aca="false">IF($A261="","",AL260-AM260)</f>
        <v/>
      </c>
      <c r="AO260" s="137" t="str">
        <f aca="false">IF(A261="","",A261-A260)</f>
        <v/>
      </c>
      <c r="AP260" s="212" t="str">
        <f aca="false">IF(A261="","",CHOOSE(F$3,A261+24,A260))</f>
        <v/>
      </c>
      <c r="AQ260" s="209" t="str">
        <f aca="false">IF(A261="","",AP260-$E$1)</f>
        <v/>
      </c>
      <c r="AR260" s="185" t="n">
        <f aca="false">'ANR OK vs ML7'!AR260</f>
        <v>0.1</v>
      </c>
      <c r="AS260" s="213" t="str">
        <f aca="false">IF(A261="","",1/(1+CHOOSE(F$3,(AR261+($I$3/10000))/2,(AR260+($I$3/10000))/2))^(2*AQ260/365.25))</f>
        <v/>
      </c>
      <c r="AT260" s="137" t="str">
        <f aca="false">IF(A261="","",IF(AND(mthbeg&lt;=A260,mthend&gt;=A260),1,0))</f>
        <v/>
      </c>
      <c r="AU260" s="137" t="str">
        <f aca="false">IF(A261="","",AO260*AT260)</f>
        <v/>
      </c>
      <c r="AW260" s="195" t="str">
        <f aca="false">IF($A261="","",AL260*$E260)</f>
        <v/>
      </c>
      <c r="AX260" s="195" t="str">
        <f aca="false">IF($A261="","",AM260*$E260)</f>
        <v/>
      </c>
      <c r="AY260" s="195" t="str">
        <f aca="false">IF($A261="","",AN260*$E260)</f>
        <v/>
      </c>
      <c r="BA260" s="195" t="str">
        <f aca="false">IF($A261="","",F260*Summary!$Q$14)</f>
        <v/>
      </c>
    </row>
    <row r="261" customFormat="false" ht="12" hidden="false" customHeight="true" outlineLevel="0" collapsed="false">
      <c r="A261" s="196" t="str">
        <f aca="false">IF(A260&lt;mthend,EDATE(A260,1),"")</f>
        <v/>
      </c>
      <c r="B261" s="197" t="str">
        <f aca="false">IF(A261&lt;mthend,B260,"")</f>
        <v/>
      </c>
      <c r="C261" s="215"/>
      <c r="D261" s="197" t="str">
        <f aca="false">IF(A262&lt;&gt;"",B261+C261,"")</f>
        <v/>
      </c>
      <c r="E261" s="199" t="str">
        <f aca="false">IF(A262="","",IF(AND(AT261=1,$H$3=1),D261*AO261,IF($H$3=2,D261,"N/A")))</f>
        <v/>
      </c>
      <c r="F261" s="199" t="str">
        <f aca="false">IF(A262="","",E261*AS261)</f>
        <v/>
      </c>
      <c r="G261" s="200" t="str">
        <f aca="false">IF($A262="","",VLOOKUP($A261,Table,MATCH(G$4,Curves,0)))</f>
        <v/>
      </c>
      <c r="H261" s="201" t="str">
        <f aca="false">IF(A262="","",G261)</f>
        <v/>
      </c>
      <c r="I261" s="202"/>
      <c r="J261" s="200" t="str">
        <f aca="false">IF($A262="","",VLOOKUP($A261,Table,MATCH(J$4,Curves,0)))</f>
        <v/>
      </c>
      <c r="K261" s="201" t="str">
        <f aca="false">IF(A262="","",J261)</f>
        <v/>
      </c>
      <c r="L261" s="185" t="n">
        <v>0</v>
      </c>
      <c r="M261" s="201" t="str">
        <f aca="false">IF(A262="","",L261)</f>
        <v/>
      </c>
      <c r="N261" s="203"/>
      <c r="O261" s="200" t="str">
        <f aca="false">IF(A262="","",L261+J261+G261)</f>
        <v/>
      </c>
      <c r="P261" s="200" t="str">
        <f aca="false">IF(A262="","",M261+K261+H261)</f>
        <v/>
      </c>
      <c r="Q261" s="204"/>
      <c r="R261" s="200" t="str">
        <f aca="false">IF($A262="","",VLOOKUP($A261,Table,MATCH(R$4,Curves,0)))</f>
        <v/>
      </c>
      <c r="S261" s="201" t="str">
        <f aca="false">IF(A262="","",R261)</f>
        <v/>
      </c>
      <c r="T261" s="200" t="str">
        <f aca="false">IF($A262="","",VLOOKUP($A261,Table,MATCH(T$4,Curves,0)))</f>
        <v/>
      </c>
      <c r="U261" s="201" t="str">
        <f aca="false">IF(A262="","",T261)</f>
        <v/>
      </c>
      <c r="V261" s="183" t="str">
        <f aca="false">IF($A262="","",IF(AND(MONTH(A261)&gt;3,MONTH(A261)&lt;11),(T261+R261+G261)*(((1/(1-Summary!$T$14))/(1-Summary!$W$14))-1),(T261+R261+G261)*((1/(1-Summary!$U$14))/(1-Summary!$X$14)-1)))</f>
        <v/>
      </c>
      <c r="W261" s="202" t="str">
        <f aca="false">IF($A262="","",(T261+R261+G261+V261))</f>
        <v/>
      </c>
      <c r="X261" s="202" t="str">
        <f aca="false">IF($A262="","",(U261+S261+H261+V261))</f>
        <v/>
      </c>
      <c r="Y261" s="202"/>
      <c r="Z261" s="185" t="str">
        <f aca="false">IF($A262="","",VLOOKUP($A261,Table,MATCH(Z$4,Curves,0)))</f>
        <v/>
      </c>
      <c r="AA261" s="185" t="str">
        <f aca="false">IF($A262="","",VLOOKUP($A261,Table,MATCH(AA$4,Curves,0)))</f>
        <v/>
      </c>
      <c r="AB261" s="185" t="e">
        <f aca="false">SQRT((AA261^2*(A261-$D$3)+Z261^2*(DAY(EOMONTH(A261,0))/2))/AK261)</f>
        <v>#VALUE!</v>
      </c>
      <c r="AC261" s="185" t="str">
        <f aca="false">IF($A262="","",VLOOKUP($A261,Table,MATCH(AC$4,Curves,0)))</f>
        <v/>
      </c>
      <c r="AD261" s="185" t="str">
        <f aca="false">IF($A262="","",VLOOKUP($A261,Table,MATCH(AD$4,Curves,0)))</f>
        <v/>
      </c>
      <c r="AE261" s="185" t="e">
        <f aca="false">SQRT((AD261^2*(A261-$D$3)+AC261^2*(DAY(EOMONTH(A261,0))/2))/AK261)</f>
        <v>#VALUE!</v>
      </c>
      <c r="AF261" s="224" t="e">
        <f aca="false">((Summary!$N$14*(AA261*AD261)*(A261-$D$3))+(Summary!$M$14*Z261*AC261*(AJ261-EOMONTH(EDATE(A261,-1),0))))/(AK261*AB261*AE261)</f>
        <v>#VALUE!</v>
      </c>
      <c r="AG261" s="207" t="str">
        <f aca="false">IF($A262="","",Summary!$Q$14)</f>
        <v/>
      </c>
      <c r="AH261" s="207" t="str">
        <f aca="false">IF($A262="","",IF(Summary!$R$12="Y",(VLOOKUP($A261,Summary!$AD$6:$AF$9,3)+'Escalating commodity'!J274),'Escalating commodity'!J274))</f>
        <v/>
      </c>
      <c r="AI261" s="207" t="str">
        <f aca="false">IF($A262="","",AH261)</f>
        <v/>
      </c>
      <c r="AJ261" s="208" t="e">
        <f aca="false">A261+DAY(EOMONTH(A261,0))/2-1</f>
        <v>#VALUE!</v>
      </c>
      <c r="AK261" s="209" t="str">
        <f aca="false">IF($A262="","",$A261-$E$1)</f>
        <v/>
      </c>
      <c r="AL261" s="182" t="str">
        <f aca="false">IF($A262="","",SPRDOPT(P261,X261,AI261,0,AB261,AE261,AF261,AK261,$AJ$2,0))</f>
        <v/>
      </c>
      <c r="AM261" s="211" t="str">
        <f aca="false">IF($A262="","",MAX(0,O261-W261-AI261))</f>
        <v/>
      </c>
      <c r="AN261" s="211" t="str">
        <f aca="false">IF($A262="","",AL261-AM261)</f>
        <v/>
      </c>
      <c r="AO261" s="137" t="str">
        <f aca="false">IF(A262="","",A262-A261)</f>
        <v/>
      </c>
      <c r="AP261" s="212" t="str">
        <f aca="false">IF(A262="","",CHOOSE(F$3,A262+24,A261))</f>
        <v/>
      </c>
      <c r="AQ261" s="209" t="str">
        <f aca="false">IF(A262="","",AP261-$E$1)</f>
        <v/>
      </c>
      <c r="AR261" s="185" t="n">
        <f aca="false">'ANR OK vs ML7'!AR261</f>
        <v>0.1</v>
      </c>
      <c r="AS261" s="213" t="str">
        <f aca="false">IF(A262="","",1/(1+CHOOSE(F$3,(AR262+($I$3/10000))/2,(AR261+($I$3/10000))/2))^(2*AQ261/365.25))</f>
        <v/>
      </c>
      <c r="AT261" s="137" t="str">
        <f aca="false">IF(A262="","",IF(AND(mthbeg&lt;=A261,mthend&gt;=A261),1,0))</f>
        <v/>
      </c>
      <c r="AU261" s="137" t="str">
        <f aca="false">IF(A262="","",AO261*AT261)</f>
        <v/>
      </c>
      <c r="AW261" s="195" t="str">
        <f aca="false">IF($A262="","",AL261*$E261)</f>
        <v/>
      </c>
      <c r="AX261" s="195" t="str">
        <f aca="false">IF($A262="","",AM261*$E261)</f>
        <v/>
      </c>
      <c r="AY261" s="195" t="str">
        <f aca="false">IF($A262="","",AN261*$E261)</f>
        <v/>
      </c>
      <c r="BA261" s="195" t="str">
        <f aca="false">IF($A262="","",F261*Summary!$Q$14)</f>
        <v/>
      </c>
    </row>
    <row r="262" customFormat="false" ht="12" hidden="false" customHeight="true" outlineLevel="0" collapsed="false">
      <c r="A262" s="196" t="str">
        <f aca="false">IF(A261&lt;mthend,EDATE(A261,1),"")</f>
        <v/>
      </c>
      <c r="B262" s="197" t="str">
        <f aca="false">IF(A262&lt;mthend,B261,"")</f>
        <v/>
      </c>
      <c r="C262" s="215"/>
      <c r="D262" s="197" t="str">
        <f aca="false">IF(A263&lt;&gt;"",B262+C262,"")</f>
        <v/>
      </c>
      <c r="E262" s="199" t="str">
        <f aca="false">IF(A263="","",IF(AND(AT262=1,$H$3=1),D262*AO262,IF($H$3=2,D262,"N/A")))</f>
        <v/>
      </c>
      <c r="F262" s="199" t="str">
        <f aca="false">IF(A263="","",E262*AS262)</f>
        <v/>
      </c>
      <c r="G262" s="200" t="str">
        <f aca="false">IF($A263="","",VLOOKUP($A262,Table,MATCH(G$4,Curves,0)))</f>
        <v/>
      </c>
      <c r="H262" s="201" t="str">
        <f aca="false">IF(A263="","",G262)</f>
        <v/>
      </c>
      <c r="I262" s="202"/>
      <c r="J262" s="200" t="str">
        <f aca="false">IF($A263="","",VLOOKUP($A262,Table,MATCH(J$4,Curves,0)))</f>
        <v/>
      </c>
      <c r="K262" s="201" t="str">
        <f aca="false">IF(A263="","",J262)</f>
        <v/>
      </c>
      <c r="L262" s="185" t="n">
        <v>0</v>
      </c>
      <c r="M262" s="201" t="str">
        <f aca="false">IF(A263="","",L262)</f>
        <v/>
      </c>
      <c r="N262" s="203"/>
      <c r="O262" s="200" t="str">
        <f aca="false">IF(A263="","",L262+J262+G262)</f>
        <v/>
      </c>
      <c r="P262" s="200" t="str">
        <f aca="false">IF(A263="","",M262+K262+H262)</f>
        <v/>
      </c>
      <c r="Q262" s="204"/>
      <c r="R262" s="200" t="str">
        <f aca="false">IF($A263="","",VLOOKUP($A262,Table,MATCH(R$4,Curves,0)))</f>
        <v/>
      </c>
      <c r="S262" s="201" t="str">
        <f aca="false">IF(A263="","",R262)</f>
        <v/>
      </c>
      <c r="T262" s="200" t="str">
        <f aca="false">IF($A263="","",VLOOKUP($A262,Table,MATCH(T$4,Curves,0)))</f>
        <v/>
      </c>
      <c r="U262" s="201" t="str">
        <f aca="false">IF(A263="","",T262)</f>
        <v/>
      </c>
      <c r="V262" s="183" t="str">
        <f aca="false">IF($A263="","",IF(AND(MONTH(A262)&gt;3,MONTH(A262)&lt;11),(T262+R262+G262)*(((1/(1-Summary!$T$14))/(1-Summary!$W$14))-1),(T262+R262+G262)*((1/(1-Summary!$U$14))/(1-Summary!$X$14)-1)))</f>
        <v/>
      </c>
      <c r="W262" s="202" t="str">
        <f aca="false">IF($A263="","",(T262+R262+G262+V262))</f>
        <v/>
      </c>
      <c r="X262" s="202" t="str">
        <f aca="false">IF($A263="","",(U262+S262+H262+V262))</f>
        <v/>
      </c>
      <c r="Y262" s="202"/>
      <c r="Z262" s="185" t="str">
        <f aca="false">IF($A263="","",VLOOKUP($A262,Table,MATCH(Z$4,Curves,0)))</f>
        <v/>
      </c>
      <c r="AA262" s="185" t="str">
        <f aca="false">IF($A263="","",VLOOKUP($A262,Table,MATCH(AA$4,Curves,0)))</f>
        <v/>
      </c>
      <c r="AB262" s="185" t="e">
        <f aca="false">SQRT((AA262^2*(A262-$D$3)+Z262^2*(DAY(EOMONTH(A262,0))/2))/AK262)</f>
        <v>#VALUE!</v>
      </c>
      <c r="AC262" s="185" t="str">
        <f aca="false">IF($A263="","",VLOOKUP($A262,Table,MATCH(AC$4,Curves,0)))</f>
        <v/>
      </c>
      <c r="AD262" s="185" t="str">
        <f aca="false">IF($A263="","",VLOOKUP($A262,Table,MATCH(AD$4,Curves,0)))</f>
        <v/>
      </c>
      <c r="AE262" s="185" t="e">
        <f aca="false">SQRT((AD262^2*(A262-$D$3)+AC262^2*(DAY(EOMONTH(A262,0))/2))/AK262)</f>
        <v>#VALUE!</v>
      </c>
      <c r="AF262" s="224" t="e">
        <f aca="false">((Summary!$N$14*(AA262*AD262)*(A262-$D$3))+(Summary!$M$14*Z262*AC262*(AJ262-EOMONTH(EDATE(A262,-1),0))))/(AK262*AB262*AE262)</f>
        <v>#VALUE!</v>
      </c>
      <c r="AG262" s="207" t="str">
        <f aca="false">IF($A263="","",Summary!$Q$14)</f>
        <v/>
      </c>
      <c r="AH262" s="207" t="str">
        <f aca="false">IF($A263="","",IF(Summary!$R$12="Y",(VLOOKUP($A262,Summary!$AD$6:$AF$9,3)+'Escalating commodity'!J275),'Escalating commodity'!J275))</f>
        <v/>
      </c>
      <c r="AI262" s="207" t="str">
        <f aca="false">IF($A263="","",AH262)</f>
        <v/>
      </c>
      <c r="AJ262" s="208" t="e">
        <f aca="false">A262+DAY(EOMONTH(A262,0))/2-1</f>
        <v>#VALUE!</v>
      </c>
      <c r="AK262" s="209" t="str">
        <f aca="false">IF($A263="","",$A262-$E$1)</f>
        <v/>
      </c>
      <c r="AL262" s="182" t="str">
        <f aca="false">IF($A263="","",SPRDOPT(P262,X262,AI262,0,AB262,AE262,AF262,AK262,$AJ$2,0))</f>
        <v/>
      </c>
      <c r="AM262" s="211" t="str">
        <f aca="false">IF($A263="","",MAX(0,O262-W262-AI262))</f>
        <v/>
      </c>
      <c r="AN262" s="211" t="str">
        <f aca="false">IF($A263="","",AL262-AM262)</f>
        <v/>
      </c>
      <c r="AO262" s="137" t="str">
        <f aca="false">IF(A263="","",A263-A262)</f>
        <v/>
      </c>
      <c r="AP262" s="212" t="str">
        <f aca="false">IF(A263="","",CHOOSE(F$3,A263+24,A262))</f>
        <v/>
      </c>
      <c r="AQ262" s="209" t="str">
        <f aca="false">IF(A263="","",AP262-$E$1)</f>
        <v/>
      </c>
      <c r="AR262" s="185" t="n">
        <f aca="false">'ANR OK vs ML7'!AR262</f>
        <v>0.1</v>
      </c>
      <c r="AS262" s="213" t="str">
        <f aca="false">IF(A263="","",1/(1+CHOOSE(F$3,(AR263+($I$3/10000))/2,(AR262+($I$3/10000))/2))^(2*AQ262/365.25))</f>
        <v/>
      </c>
      <c r="AT262" s="137" t="str">
        <f aca="false">IF(A263="","",IF(AND(mthbeg&lt;=A262,mthend&gt;=A262),1,0))</f>
        <v/>
      </c>
      <c r="AU262" s="137" t="str">
        <f aca="false">IF(A263="","",AO262*AT262)</f>
        <v/>
      </c>
      <c r="AW262" s="195" t="str">
        <f aca="false">IF($A263="","",AL262*$E262)</f>
        <v/>
      </c>
      <c r="AX262" s="195" t="str">
        <f aca="false">IF($A263="","",AM262*$E262)</f>
        <v/>
      </c>
      <c r="AY262" s="195" t="str">
        <f aca="false">IF($A263="","",AN262*$E262)</f>
        <v/>
      </c>
      <c r="BA262" s="195" t="str">
        <f aca="false">IF($A263="","",F262*Summary!$Q$14)</f>
        <v/>
      </c>
    </row>
    <row r="263" customFormat="false" ht="12" hidden="false" customHeight="true" outlineLevel="0" collapsed="false">
      <c r="A263" s="196" t="str">
        <f aca="false">IF(A262&lt;mthend,EDATE(A262,1),"")</f>
        <v/>
      </c>
      <c r="B263" s="197" t="str">
        <f aca="false">IF(A263&lt;mthend,B262,"")</f>
        <v/>
      </c>
      <c r="C263" s="215"/>
      <c r="D263" s="197" t="str">
        <f aca="false">IF(A264&lt;&gt;"",B263+C263,"")</f>
        <v/>
      </c>
      <c r="E263" s="199" t="str">
        <f aca="false">IF(A264="","",IF(AND(AT263=1,$H$3=1),D263*AO263,IF($H$3=2,D263,"N/A")))</f>
        <v/>
      </c>
      <c r="F263" s="199" t="str">
        <f aca="false">IF(A264="","",E263*AS263)</f>
        <v/>
      </c>
      <c r="G263" s="200" t="str">
        <f aca="false">IF($A264="","",VLOOKUP($A263,Table,MATCH(G$4,Curves,0)))</f>
        <v/>
      </c>
      <c r="H263" s="201" t="str">
        <f aca="false">IF(A264="","",G263)</f>
        <v/>
      </c>
      <c r="I263" s="202"/>
      <c r="J263" s="200" t="str">
        <f aca="false">IF($A264="","",VLOOKUP($A263,Table,MATCH(J$4,Curves,0)))</f>
        <v/>
      </c>
      <c r="K263" s="201" t="str">
        <f aca="false">IF(A264="","",J263)</f>
        <v/>
      </c>
      <c r="L263" s="185" t="n">
        <v>0</v>
      </c>
      <c r="M263" s="201" t="str">
        <f aca="false">IF(A264="","",L263)</f>
        <v/>
      </c>
      <c r="N263" s="203"/>
      <c r="O263" s="200" t="str">
        <f aca="false">IF(A264="","",L263+J263+G263)</f>
        <v/>
      </c>
      <c r="P263" s="200" t="str">
        <f aca="false">IF(A264="","",M263+K263+H263)</f>
        <v/>
      </c>
      <c r="Q263" s="204"/>
      <c r="R263" s="200" t="str">
        <f aca="false">IF($A264="","",VLOOKUP($A263,Table,MATCH(R$4,Curves,0)))</f>
        <v/>
      </c>
      <c r="S263" s="201" t="str">
        <f aca="false">IF(A264="","",R263)</f>
        <v/>
      </c>
      <c r="T263" s="200" t="str">
        <f aca="false">IF($A264="","",VLOOKUP($A263,Table,MATCH(T$4,Curves,0)))</f>
        <v/>
      </c>
      <c r="U263" s="201" t="str">
        <f aca="false">IF(A264="","",T263)</f>
        <v/>
      </c>
      <c r="V263" s="183" t="str">
        <f aca="false">IF($A264="","",IF(AND(MONTH(A263)&gt;3,MONTH(A263)&lt;11),(T263+R263+G263)*(((1/(1-Summary!$T$14))/(1-Summary!$W$14))-1),(T263+R263+G263)*((1/(1-Summary!$U$14))/(1-Summary!$X$14)-1)))</f>
        <v/>
      </c>
      <c r="W263" s="202" t="str">
        <f aca="false">IF($A264="","",(T263+R263+G263+V263))</f>
        <v/>
      </c>
      <c r="X263" s="202" t="str">
        <f aca="false">IF($A264="","",(U263+S263+H263+V263))</f>
        <v/>
      </c>
      <c r="Y263" s="202"/>
      <c r="Z263" s="185" t="str">
        <f aca="false">IF($A264="","",VLOOKUP($A263,Table,MATCH(Z$4,Curves,0)))</f>
        <v/>
      </c>
      <c r="AA263" s="185" t="str">
        <f aca="false">IF($A264="","",VLOOKUP($A263,Table,MATCH(AA$4,Curves,0)))</f>
        <v/>
      </c>
      <c r="AB263" s="185" t="e">
        <f aca="false">SQRT((AA263^2*(A263-$D$3)+Z263^2*(DAY(EOMONTH(A263,0))/2))/AK263)</f>
        <v>#VALUE!</v>
      </c>
      <c r="AC263" s="185" t="str">
        <f aca="false">IF($A264="","",VLOOKUP($A263,Table,MATCH(AC$4,Curves,0)))</f>
        <v/>
      </c>
      <c r="AD263" s="185" t="str">
        <f aca="false">IF($A264="","",VLOOKUP($A263,Table,MATCH(AD$4,Curves,0)))</f>
        <v/>
      </c>
      <c r="AE263" s="185" t="e">
        <f aca="false">SQRT((AD263^2*(A263-$D$3)+AC263^2*(DAY(EOMONTH(A263,0))/2))/AK263)</f>
        <v>#VALUE!</v>
      </c>
      <c r="AF263" s="224" t="e">
        <f aca="false">((Summary!$N$14*(AA263*AD263)*(A263-$D$3))+(Summary!$M$14*Z263*AC263*(AJ263-EOMONTH(EDATE(A263,-1),0))))/(AK263*AB263*AE263)</f>
        <v>#VALUE!</v>
      </c>
      <c r="AG263" s="207" t="str">
        <f aca="false">IF($A264="","",Summary!$Q$14)</f>
        <v/>
      </c>
      <c r="AH263" s="207" t="str">
        <f aca="false">IF($A264="","",IF(Summary!$R$12="Y",(VLOOKUP($A263,Summary!$AD$6:$AF$9,3)+'Escalating commodity'!J276),'Escalating commodity'!J276))</f>
        <v/>
      </c>
      <c r="AI263" s="207" t="str">
        <f aca="false">IF($A264="","",AH263)</f>
        <v/>
      </c>
      <c r="AJ263" s="208" t="e">
        <f aca="false">A263+DAY(EOMONTH(A263,0))/2-1</f>
        <v>#VALUE!</v>
      </c>
      <c r="AK263" s="209" t="str">
        <f aca="false">IF($A264="","",$A263-$E$1)</f>
        <v/>
      </c>
      <c r="AL263" s="182" t="str">
        <f aca="false">IF($A264="","",SPRDOPT(P263,X263,AI263,0,AB263,AE263,AF263,AK263,$AJ$2,0))</f>
        <v/>
      </c>
      <c r="AM263" s="211" t="str">
        <f aca="false">IF($A264="","",MAX(0,O263-W263-AI263))</f>
        <v/>
      </c>
      <c r="AN263" s="211" t="str">
        <f aca="false">IF($A264="","",AL263-AM263)</f>
        <v/>
      </c>
      <c r="AO263" s="137" t="str">
        <f aca="false">IF(A264="","",A264-A263)</f>
        <v/>
      </c>
      <c r="AP263" s="212" t="str">
        <f aca="false">IF(A264="","",CHOOSE(F$3,A264+24,A263))</f>
        <v/>
      </c>
      <c r="AQ263" s="209" t="str">
        <f aca="false">IF(A264="","",AP263-$E$1)</f>
        <v/>
      </c>
      <c r="AR263" s="185" t="n">
        <f aca="false">'ANR OK vs ML7'!AR263</f>
        <v>0.1</v>
      </c>
      <c r="AS263" s="213" t="str">
        <f aca="false">IF(A264="","",1/(1+CHOOSE(F$3,(AR264+($I$3/10000))/2,(AR263+($I$3/10000))/2))^(2*AQ263/365.25))</f>
        <v/>
      </c>
      <c r="AT263" s="137" t="str">
        <f aca="false">IF(A264="","",IF(AND(mthbeg&lt;=A263,mthend&gt;=A263),1,0))</f>
        <v/>
      </c>
      <c r="AU263" s="137" t="str">
        <f aca="false">IF(A264="","",AO263*AT263)</f>
        <v/>
      </c>
      <c r="AW263" s="195" t="str">
        <f aca="false">IF($A264="","",AL263*$E263)</f>
        <v/>
      </c>
      <c r="AX263" s="195" t="str">
        <f aca="false">IF($A264="","",AM263*$E263)</f>
        <v/>
      </c>
      <c r="AY263" s="195" t="str">
        <f aca="false">IF($A264="","",AN263*$E263)</f>
        <v/>
      </c>
      <c r="BA263" s="195" t="str">
        <f aca="false">IF($A264="","",F263*Summary!$Q$14)</f>
        <v/>
      </c>
    </row>
    <row r="264" customFormat="false" ht="12" hidden="false" customHeight="true" outlineLevel="0" collapsed="false">
      <c r="A264" s="196" t="str">
        <f aca="false">IF(A263&lt;mthend,EDATE(A263,1),"")</f>
        <v/>
      </c>
      <c r="B264" s="197" t="str">
        <f aca="false">IF(A264&lt;mthend,B263,"")</f>
        <v/>
      </c>
      <c r="C264" s="215"/>
      <c r="D264" s="197" t="str">
        <f aca="false">IF(A265&lt;&gt;"",B264+C264,"")</f>
        <v/>
      </c>
      <c r="E264" s="199" t="str">
        <f aca="false">IF(A265="","",IF(AND(AT264=1,$H$3=1),D264*AO264,IF($H$3=2,D264,"N/A")))</f>
        <v/>
      </c>
      <c r="F264" s="199" t="str">
        <f aca="false">IF(A265="","",E264*AS264)</f>
        <v/>
      </c>
      <c r="G264" s="200" t="str">
        <f aca="false">IF($A265="","",VLOOKUP($A264,Table,MATCH(G$4,Curves,0)))</f>
        <v/>
      </c>
      <c r="H264" s="201" t="str">
        <f aca="false">IF(A265="","",G264)</f>
        <v/>
      </c>
      <c r="I264" s="202"/>
      <c r="J264" s="200" t="str">
        <f aca="false">IF($A265="","",VLOOKUP($A264,Table,MATCH(J$4,Curves,0)))</f>
        <v/>
      </c>
      <c r="K264" s="201" t="str">
        <f aca="false">IF(A265="","",J264)</f>
        <v/>
      </c>
      <c r="L264" s="185" t="n">
        <v>0</v>
      </c>
      <c r="M264" s="201" t="str">
        <f aca="false">IF(A265="","",L264)</f>
        <v/>
      </c>
      <c r="N264" s="203"/>
      <c r="O264" s="200" t="str">
        <f aca="false">IF(A265="","",L264+J264+G264)</f>
        <v/>
      </c>
      <c r="P264" s="200" t="str">
        <f aca="false">IF(A265="","",M264+K264+H264)</f>
        <v/>
      </c>
      <c r="Q264" s="204"/>
      <c r="R264" s="200" t="str">
        <f aca="false">IF($A265="","",VLOOKUP($A264,Table,MATCH(R$4,Curves,0)))</f>
        <v/>
      </c>
      <c r="S264" s="201" t="str">
        <f aca="false">IF(A265="","",R264)</f>
        <v/>
      </c>
      <c r="T264" s="200" t="str">
        <f aca="false">IF($A265="","",VLOOKUP($A264,Table,MATCH(T$4,Curves,0)))</f>
        <v/>
      </c>
      <c r="U264" s="201" t="str">
        <f aca="false">IF(A265="","",T264)</f>
        <v/>
      </c>
      <c r="V264" s="183" t="str">
        <f aca="false">IF($A265="","",IF(AND(MONTH(A264)&gt;3,MONTH(A264)&lt;11),(T264+R264+G264)*(((1/(1-Summary!$T$14))/(1-Summary!$W$14))-1),(T264+R264+G264)*((1/(1-Summary!$U$14))/(1-Summary!$X$14)-1)))</f>
        <v/>
      </c>
      <c r="W264" s="202" t="str">
        <f aca="false">IF($A265="","",(T264+R264+G264+V264))</f>
        <v/>
      </c>
      <c r="X264" s="202" t="str">
        <f aca="false">IF($A265="","",(U264+S264+H264+V264))</f>
        <v/>
      </c>
      <c r="Y264" s="202"/>
      <c r="Z264" s="185" t="str">
        <f aca="false">IF($A265="","",VLOOKUP($A264,Table,MATCH(Z$4,Curves,0)))</f>
        <v/>
      </c>
      <c r="AA264" s="185" t="str">
        <f aca="false">IF($A265="","",VLOOKUP($A264,Table,MATCH(AA$4,Curves,0)))</f>
        <v/>
      </c>
      <c r="AB264" s="185" t="e">
        <f aca="false">SQRT((AA264^2*(A264-$D$3)+Z264^2*(DAY(EOMONTH(A264,0))/2))/AK264)</f>
        <v>#VALUE!</v>
      </c>
      <c r="AC264" s="185" t="str">
        <f aca="false">IF($A265="","",VLOOKUP($A264,Table,MATCH(AC$4,Curves,0)))</f>
        <v/>
      </c>
      <c r="AD264" s="185" t="str">
        <f aca="false">IF($A265="","",VLOOKUP($A264,Table,MATCH(AD$4,Curves,0)))</f>
        <v/>
      </c>
      <c r="AE264" s="185" t="e">
        <f aca="false">SQRT((AD264^2*(A264-$D$3)+AC264^2*(DAY(EOMONTH(A264,0))/2))/AK264)</f>
        <v>#VALUE!</v>
      </c>
      <c r="AF264" s="224" t="e">
        <f aca="false">((Summary!$N$14*(AA264*AD264)*(A264-$D$3))+(Summary!$M$14*Z264*AC264*(AJ264-EOMONTH(EDATE(A264,-1),0))))/(AK264*AB264*AE264)</f>
        <v>#VALUE!</v>
      </c>
      <c r="AG264" s="207" t="str">
        <f aca="false">IF($A265="","",Summary!$Q$14)</f>
        <v/>
      </c>
      <c r="AH264" s="207" t="str">
        <f aca="false">IF($A265="","",IF(Summary!$R$12="Y",(VLOOKUP($A264,Summary!$AD$6:$AF$9,3)+'Escalating commodity'!J277),'Escalating commodity'!J277))</f>
        <v/>
      </c>
      <c r="AI264" s="207" t="str">
        <f aca="false">IF($A265="","",AH264)</f>
        <v/>
      </c>
      <c r="AJ264" s="208" t="e">
        <f aca="false">A264+DAY(EOMONTH(A264,0))/2-1</f>
        <v>#VALUE!</v>
      </c>
      <c r="AK264" s="209" t="str">
        <f aca="false">IF($A265="","",$A264-$E$1)</f>
        <v/>
      </c>
      <c r="AL264" s="182" t="str">
        <f aca="false">IF($A265="","",SPRDOPT(P264,X264,AI264,0,AB264,AE264,AF264,AK264,$AJ$2,0))</f>
        <v/>
      </c>
      <c r="AM264" s="211" t="str">
        <f aca="false">IF($A265="","",MAX(0,O264-W264-AI264))</f>
        <v/>
      </c>
      <c r="AN264" s="211" t="str">
        <f aca="false">IF($A265="","",AL264-AM264)</f>
        <v/>
      </c>
      <c r="AO264" s="137" t="str">
        <f aca="false">IF(A265="","",A265-A264)</f>
        <v/>
      </c>
      <c r="AP264" s="212" t="str">
        <f aca="false">IF(A265="","",CHOOSE(F$3,A265+24,A264))</f>
        <v/>
      </c>
      <c r="AQ264" s="209" t="str">
        <f aca="false">IF(A265="","",AP264-$E$1)</f>
        <v/>
      </c>
      <c r="AR264" s="185" t="n">
        <f aca="false">'ANR OK vs ML7'!AR264</f>
        <v>0.1</v>
      </c>
      <c r="AS264" s="213" t="str">
        <f aca="false">IF(A265="","",1/(1+CHOOSE(F$3,(AR265+($I$3/10000))/2,(AR264+($I$3/10000))/2))^(2*AQ264/365.25))</f>
        <v/>
      </c>
      <c r="AT264" s="137" t="str">
        <f aca="false">IF(A265="","",IF(AND(mthbeg&lt;=A264,mthend&gt;=A264),1,0))</f>
        <v/>
      </c>
      <c r="AU264" s="137" t="str">
        <f aca="false">IF(A265="","",AO264*AT264)</f>
        <v/>
      </c>
      <c r="AW264" s="195" t="str">
        <f aca="false">IF($A265="","",AL264*$E264)</f>
        <v/>
      </c>
      <c r="AX264" s="195" t="str">
        <f aca="false">IF($A265="","",AM264*$E264)</f>
        <v/>
      </c>
      <c r="AY264" s="195" t="str">
        <f aca="false">IF($A265="","",AN264*$E264)</f>
        <v/>
      </c>
      <c r="BA264" s="195" t="str">
        <f aca="false">IF($A265="","",F264*Summary!$Q$14)</f>
        <v/>
      </c>
    </row>
    <row r="265" customFormat="false" ht="12" hidden="false" customHeight="true" outlineLevel="0" collapsed="false">
      <c r="A265" s="196" t="str">
        <f aca="false">IF(A264&lt;mthend,EDATE(A264,1),"")</f>
        <v/>
      </c>
      <c r="B265" s="197" t="str">
        <f aca="false">IF(A265&lt;mthend,B264,"")</f>
        <v/>
      </c>
      <c r="C265" s="215"/>
      <c r="D265" s="197" t="str">
        <f aca="false">IF(A266&lt;&gt;"",B265+C265,"")</f>
        <v/>
      </c>
      <c r="E265" s="199" t="str">
        <f aca="false">IF(A266="","",IF(AND(AT265=1,$H$3=1),D265*AO265,IF($H$3=2,D265,"N/A")))</f>
        <v/>
      </c>
      <c r="F265" s="199" t="str">
        <f aca="false">IF(A266="","",E265*AS265)</f>
        <v/>
      </c>
      <c r="G265" s="200" t="str">
        <f aca="false">IF($A266="","",VLOOKUP($A265,Table,MATCH(G$4,Curves,0)))</f>
        <v/>
      </c>
      <c r="H265" s="201" t="str">
        <f aca="false">IF(A266="","",G265)</f>
        <v/>
      </c>
      <c r="I265" s="202"/>
      <c r="J265" s="200" t="str">
        <f aca="false">IF($A266="","",VLOOKUP($A265,Table,MATCH(J$4,Curves,0)))</f>
        <v/>
      </c>
      <c r="K265" s="201" t="str">
        <f aca="false">IF(A266="","",J265)</f>
        <v/>
      </c>
      <c r="L265" s="185" t="n">
        <v>0</v>
      </c>
      <c r="M265" s="201" t="str">
        <f aca="false">IF(A266="","",L265)</f>
        <v/>
      </c>
      <c r="N265" s="203"/>
      <c r="O265" s="200" t="str">
        <f aca="false">IF(A266="","",L265+J265+G265)</f>
        <v/>
      </c>
      <c r="P265" s="200" t="str">
        <f aca="false">IF(A266="","",M265+K265+H265)</f>
        <v/>
      </c>
      <c r="Q265" s="204"/>
      <c r="R265" s="200" t="str">
        <f aca="false">IF($A266="","",VLOOKUP($A265,Table,MATCH(R$4,Curves,0)))</f>
        <v/>
      </c>
      <c r="S265" s="201" t="str">
        <f aca="false">IF(A266="","",R265)</f>
        <v/>
      </c>
      <c r="T265" s="200" t="str">
        <f aca="false">IF($A266="","",VLOOKUP($A265,Table,MATCH(T$4,Curves,0)))</f>
        <v/>
      </c>
      <c r="U265" s="201" t="str">
        <f aca="false">IF(A266="","",T265)</f>
        <v/>
      </c>
      <c r="V265" s="183" t="str">
        <f aca="false">IF($A266="","",IF(AND(MONTH(A265)&gt;3,MONTH(A265)&lt;11),(T265+R265+G265)*(((1/(1-Summary!$T$14))/(1-Summary!$W$14))-1),(T265+R265+G265)*((1/(1-Summary!$U$14))/(1-Summary!$X$14)-1)))</f>
        <v/>
      </c>
      <c r="W265" s="202" t="str">
        <f aca="false">IF($A266="","",(T265+R265+G265+V265))</f>
        <v/>
      </c>
      <c r="X265" s="202" t="str">
        <f aca="false">IF($A266="","",(U265+S265+H265+V265))</f>
        <v/>
      </c>
      <c r="Y265" s="202"/>
      <c r="Z265" s="185" t="str">
        <f aca="false">IF($A266="","",VLOOKUP($A265,Table,MATCH(Z$4,Curves,0)))</f>
        <v/>
      </c>
      <c r="AA265" s="185" t="str">
        <f aca="false">IF($A266="","",VLOOKUP($A265,Table,MATCH(AA$4,Curves,0)))</f>
        <v/>
      </c>
      <c r="AB265" s="185" t="e">
        <f aca="false">SQRT((AA265^2*(A265-$D$3)+Z265^2*(DAY(EOMONTH(A265,0))/2))/AK265)</f>
        <v>#VALUE!</v>
      </c>
      <c r="AC265" s="185" t="str">
        <f aca="false">IF($A266="","",VLOOKUP($A265,Table,MATCH(AC$4,Curves,0)))</f>
        <v/>
      </c>
      <c r="AD265" s="185" t="str">
        <f aca="false">IF($A266="","",VLOOKUP($A265,Table,MATCH(AD$4,Curves,0)))</f>
        <v/>
      </c>
      <c r="AE265" s="185" t="e">
        <f aca="false">SQRT((AD265^2*(A265-$D$3)+AC265^2*(DAY(EOMONTH(A265,0))/2))/AK265)</f>
        <v>#VALUE!</v>
      </c>
      <c r="AF265" s="224" t="e">
        <f aca="false">((Summary!$N$14*(AA265*AD265)*(A265-$D$3))+(Summary!$M$14*Z265*AC265*(AJ265-EOMONTH(EDATE(A265,-1),0))))/(AK265*AB265*AE265)</f>
        <v>#VALUE!</v>
      </c>
      <c r="AG265" s="207" t="str">
        <f aca="false">IF($A266="","",Summary!$Q$14)</f>
        <v/>
      </c>
      <c r="AH265" s="207" t="str">
        <f aca="false">IF($A266="","",IF(Summary!$R$12="Y",(VLOOKUP($A265,Summary!$AD$6:$AF$9,3)+'Escalating commodity'!J278),'Escalating commodity'!J278))</f>
        <v/>
      </c>
      <c r="AI265" s="207" t="str">
        <f aca="false">IF($A266="","",AH265)</f>
        <v/>
      </c>
      <c r="AJ265" s="208" t="e">
        <f aca="false">A265+DAY(EOMONTH(A265,0))/2-1</f>
        <v>#VALUE!</v>
      </c>
      <c r="AK265" s="209" t="str">
        <f aca="false">IF($A266="","",$A265-$E$1)</f>
        <v/>
      </c>
      <c r="AL265" s="182" t="str">
        <f aca="false">IF($A266="","",SPRDOPT(P265,X265,AI265,0,AB265,AE265,AF265,AK265,$AJ$2,0))</f>
        <v/>
      </c>
      <c r="AM265" s="211" t="str">
        <f aca="false">IF($A266="","",MAX(0,O265-W265-AI265))</f>
        <v/>
      </c>
      <c r="AN265" s="211" t="str">
        <f aca="false">IF($A266="","",AL265-AM265)</f>
        <v/>
      </c>
      <c r="AO265" s="137" t="str">
        <f aca="false">IF(A266="","",A266-A265)</f>
        <v/>
      </c>
      <c r="AP265" s="212" t="str">
        <f aca="false">IF(A266="","",CHOOSE(F$3,A266+24,A265))</f>
        <v/>
      </c>
      <c r="AQ265" s="209" t="str">
        <f aca="false">IF(A266="","",AP265-$E$1)</f>
        <v/>
      </c>
      <c r="AR265" s="185" t="n">
        <f aca="false">'ANR OK vs ML7'!AR265</f>
        <v>0.1</v>
      </c>
      <c r="AS265" s="213" t="str">
        <f aca="false">IF(A266="","",1/(1+CHOOSE(F$3,(AR266+($I$3/10000))/2,(AR265+($I$3/10000))/2))^(2*AQ265/365.25))</f>
        <v/>
      </c>
      <c r="AT265" s="137" t="str">
        <f aca="false">IF(A266="","",IF(AND(mthbeg&lt;=A265,mthend&gt;=A265),1,0))</f>
        <v/>
      </c>
      <c r="AU265" s="137" t="str">
        <f aca="false">IF(A266="","",AO265*AT265)</f>
        <v/>
      </c>
      <c r="AW265" s="195" t="str">
        <f aca="false">IF($A266="","",AL265*$E265)</f>
        <v/>
      </c>
      <c r="AX265" s="195" t="str">
        <f aca="false">IF($A266="","",AM265*$E265)</f>
        <v/>
      </c>
      <c r="AY265" s="195" t="str">
        <f aca="false">IF($A266="","",AN265*$E265)</f>
        <v/>
      </c>
      <c r="BA265" s="195" t="str">
        <f aca="false">IF($A266="","",F265*Summary!$Q$14)</f>
        <v/>
      </c>
    </row>
    <row r="266" customFormat="false" ht="12" hidden="false" customHeight="true" outlineLevel="0" collapsed="false">
      <c r="A266" s="196" t="str">
        <f aca="false">IF(A265&lt;mthend,EDATE(A265,1),"")</f>
        <v/>
      </c>
      <c r="B266" s="197" t="str">
        <f aca="false">IF(A266&lt;mthend,B265,"")</f>
        <v/>
      </c>
      <c r="C266" s="215"/>
      <c r="D266" s="197" t="str">
        <f aca="false">IF(A267&lt;&gt;"",B266+C266,"")</f>
        <v/>
      </c>
      <c r="E266" s="199" t="str">
        <f aca="false">IF(A267="","",IF(AND(AT266=1,$H$3=1),D266*AO266,IF($H$3=2,D266,"N/A")))</f>
        <v/>
      </c>
      <c r="F266" s="199" t="str">
        <f aca="false">IF(A267="","",E266*AS266)</f>
        <v/>
      </c>
      <c r="G266" s="200" t="str">
        <f aca="false">IF($A267="","",VLOOKUP($A266,Table,MATCH(G$4,Curves,0)))</f>
        <v/>
      </c>
      <c r="H266" s="201" t="str">
        <f aca="false">IF(A267="","",G266)</f>
        <v/>
      </c>
      <c r="I266" s="202"/>
      <c r="J266" s="200" t="str">
        <f aca="false">IF($A267="","",VLOOKUP($A266,Table,MATCH(J$4,Curves,0)))</f>
        <v/>
      </c>
      <c r="K266" s="201" t="str">
        <f aca="false">IF(A267="","",J266)</f>
        <v/>
      </c>
      <c r="L266" s="185" t="n">
        <v>0</v>
      </c>
      <c r="M266" s="201" t="str">
        <f aca="false">IF(A267="","",L266)</f>
        <v/>
      </c>
      <c r="N266" s="203"/>
      <c r="O266" s="200" t="str">
        <f aca="false">IF(A267="","",L266+J266+G266)</f>
        <v/>
      </c>
      <c r="P266" s="200" t="str">
        <f aca="false">IF(A267="","",M266+K266+H266)</f>
        <v/>
      </c>
      <c r="Q266" s="204"/>
      <c r="R266" s="200" t="str">
        <f aca="false">IF($A267="","",VLOOKUP($A266,Table,MATCH(R$4,Curves,0)))</f>
        <v/>
      </c>
      <c r="S266" s="201" t="str">
        <f aca="false">IF(A267="","",R266)</f>
        <v/>
      </c>
      <c r="T266" s="200" t="str">
        <f aca="false">IF($A267="","",VLOOKUP($A266,Table,MATCH(T$4,Curves,0)))</f>
        <v/>
      </c>
      <c r="U266" s="201" t="str">
        <f aca="false">IF(A267="","",T266)</f>
        <v/>
      </c>
      <c r="V266" s="183" t="str">
        <f aca="false">IF($A267="","",IF(AND(MONTH(A266)&gt;3,MONTH(A266)&lt;11),(T266+R266+G266)*(((1/(1-Summary!$T$14))/(1-Summary!$W$14))-1),(T266+R266+G266)*((1/(1-Summary!$U$14))/(1-Summary!$X$14)-1)))</f>
        <v/>
      </c>
      <c r="W266" s="202" t="str">
        <f aca="false">IF($A267="","",(T266+R266+G266+V266))</f>
        <v/>
      </c>
      <c r="X266" s="202" t="str">
        <f aca="false">IF($A267="","",(U266+S266+H266+V266))</f>
        <v/>
      </c>
      <c r="Y266" s="202"/>
      <c r="Z266" s="185" t="str">
        <f aca="false">IF($A267="","",VLOOKUP($A266,Table,MATCH(Z$4,Curves,0)))</f>
        <v/>
      </c>
      <c r="AA266" s="185" t="str">
        <f aca="false">IF($A267="","",VLOOKUP($A266,Table,MATCH(AA$4,Curves,0)))</f>
        <v/>
      </c>
      <c r="AB266" s="185" t="e">
        <f aca="false">SQRT((AA266^2*(A266-$D$3)+Z266^2*(DAY(EOMONTH(A266,0))/2))/AK266)</f>
        <v>#VALUE!</v>
      </c>
      <c r="AC266" s="185" t="str">
        <f aca="false">IF($A267="","",VLOOKUP($A266,Table,MATCH(AC$4,Curves,0)))</f>
        <v/>
      </c>
      <c r="AD266" s="185" t="str">
        <f aca="false">IF($A267="","",VLOOKUP($A266,Table,MATCH(AD$4,Curves,0)))</f>
        <v/>
      </c>
      <c r="AE266" s="185" t="e">
        <f aca="false">SQRT((AD266^2*(A266-$D$3)+AC266^2*(DAY(EOMONTH(A266,0))/2))/AK266)</f>
        <v>#VALUE!</v>
      </c>
      <c r="AF266" s="224" t="e">
        <f aca="false">((Summary!$N$14*(AA266*AD266)*(A266-$D$3))+(Summary!$M$14*Z266*AC266*(AJ266-EOMONTH(EDATE(A266,-1),0))))/(AK266*AB266*AE266)</f>
        <v>#VALUE!</v>
      </c>
      <c r="AG266" s="207" t="str">
        <f aca="false">IF($A267="","",Summary!$Q$14)</f>
        <v/>
      </c>
      <c r="AH266" s="207" t="str">
        <f aca="false">IF($A267="","",IF(Summary!$R$12="Y",(VLOOKUP($A266,Summary!$AD$6:$AF$9,3)+'Escalating commodity'!J279),'Escalating commodity'!J279))</f>
        <v/>
      </c>
      <c r="AI266" s="207" t="str">
        <f aca="false">IF($A267="","",AH266)</f>
        <v/>
      </c>
      <c r="AJ266" s="208" t="e">
        <f aca="false">A266+DAY(EOMONTH(A266,0))/2-1</f>
        <v>#VALUE!</v>
      </c>
      <c r="AK266" s="209" t="str">
        <f aca="false">IF($A267="","",$A266-$E$1)</f>
        <v/>
      </c>
      <c r="AL266" s="182" t="str">
        <f aca="false">IF($A267="","",SPRDOPT(P266,X266,AI266,0,AB266,AE266,AF266,AK266,$AJ$2,0))</f>
        <v/>
      </c>
      <c r="AM266" s="211" t="str">
        <f aca="false">IF($A267="","",MAX(0,O266-W266-AI266))</f>
        <v/>
      </c>
      <c r="AN266" s="211" t="str">
        <f aca="false">IF($A267="","",AL266-AM266)</f>
        <v/>
      </c>
      <c r="AO266" s="137" t="str">
        <f aca="false">IF(A267="","",A267-A266)</f>
        <v/>
      </c>
      <c r="AP266" s="212" t="str">
        <f aca="false">IF(A267="","",CHOOSE(F$3,A267+24,A266))</f>
        <v/>
      </c>
      <c r="AQ266" s="209" t="str">
        <f aca="false">IF(A267="","",AP266-$E$1)</f>
        <v/>
      </c>
      <c r="AR266" s="185" t="n">
        <f aca="false">'ANR OK vs ML7'!AR266</f>
        <v>0.1</v>
      </c>
      <c r="AS266" s="213" t="str">
        <f aca="false">IF(A267="","",1/(1+CHOOSE(F$3,(AR267+($I$3/10000))/2,(AR266+($I$3/10000))/2))^(2*AQ266/365.25))</f>
        <v/>
      </c>
      <c r="AT266" s="137" t="str">
        <f aca="false">IF(A267="","",IF(AND(mthbeg&lt;=A266,mthend&gt;=A266),1,0))</f>
        <v/>
      </c>
      <c r="AU266" s="137" t="str">
        <f aca="false">IF(A267="","",AO266*AT266)</f>
        <v/>
      </c>
      <c r="AW266" s="195" t="str">
        <f aca="false">IF($A267="","",AL266*$E266)</f>
        <v/>
      </c>
      <c r="AX266" s="195" t="str">
        <f aca="false">IF($A267="","",AM266*$E266)</f>
        <v/>
      </c>
      <c r="AY266" s="195" t="str">
        <f aca="false">IF($A267="","",AN266*$E266)</f>
        <v/>
      </c>
      <c r="BA266" s="195" t="str">
        <f aca="false">IF($A267="","",F266*Summary!$Q$14)</f>
        <v/>
      </c>
    </row>
    <row r="267" customFormat="false" ht="12" hidden="false" customHeight="true" outlineLevel="0" collapsed="false">
      <c r="A267" s="196" t="str">
        <f aca="false">IF(A266&lt;mthend,EDATE(A266,1),"")</f>
        <v/>
      </c>
      <c r="B267" s="197" t="str">
        <f aca="false">IF(A267&lt;mthend,B266,"")</f>
        <v/>
      </c>
      <c r="C267" s="215"/>
      <c r="D267" s="197" t="str">
        <f aca="false">IF(A268&lt;&gt;"",B267+C267,"")</f>
        <v/>
      </c>
      <c r="E267" s="199" t="str">
        <f aca="false">IF(A268="","",IF(AND(AT267=1,$H$3=1),D267*AO267,IF($H$3=2,D267,"N/A")))</f>
        <v/>
      </c>
      <c r="F267" s="199" t="str">
        <f aca="false">IF(A268="","",E267*AS267)</f>
        <v/>
      </c>
      <c r="G267" s="200" t="str">
        <f aca="false">IF($A268="","",VLOOKUP($A267,Table,MATCH(G$4,Curves,0)))</f>
        <v/>
      </c>
      <c r="H267" s="201" t="str">
        <f aca="false">IF(A268="","",G267)</f>
        <v/>
      </c>
      <c r="I267" s="202"/>
      <c r="J267" s="200" t="str">
        <f aca="false">IF($A268="","",VLOOKUP($A267,Table,MATCH(J$4,Curves,0)))</f>
        <v/>
      </c>
      <c r="K267" s="201" t="str">
        <f aca="false">IF(A268="","",J267)</f>
        <v/>
      </c>
      <c r="L267" s="185" t="n">
        <v>0</v>
      </c>
      <c r="M267" s="201" t="str">
        <f aca="false">IF(A268="","",L267)</f>
        <v/>
      </c>
      <c r="N267" s="203"/>
      <c r="O267" s="200" t="str">
        <f aca="false">IF(A268="","",L267+J267+G267)</f>
        <v/>
      </c>
      <c r="P267" s="200" t="str">
        <f aca="false">IF(A268="","",M267+K267+H267)</f>
        <v/>
      </c>
      <c r="Q267" s="204"/>
      <c r="R267" s="200" t="str">
        <f aca="false">IF($A268="","",VLOOKUP($A267,Table,MATCH(R$4,Curves,0)))</f>
        <v/>
      </c>
      <c r="S267" s="201" t="str">
        <f aca="false">IF(A268="","",R267)</f>
        <v/>
      </c>
      <c r="T267" s="200" t="str">
        <f aca="false">IF($A268="","",VLOOKUP($A267,Table,MATCH(T$4,Curves,0)))</f>
        <v/>
      </c>
      <c r="U267" s="201" t="str">
        <f aca="false">IF(A268="","",T267)</f>
        <v/>
      </c>
      <c r="V267" s="183" t="str">
        <f aca="false">IF($A268="","",IF(AND(MONTH(A267)&gt;3,MONTH(A267)&lt;11),(T267+R267+G267)*(((1/(1-Summary!$T$14))/(1-Summary!$W$14))-1),(T267+R267+G267)*((1/(1-Summary!$U$14))/(1-Summary!$X$14)-1)))</f>
        <v/>
      </c>
      <c r="W267" s="202" t="str">
        <f aca="false">IF($A268="","",(T267+R267+G267+V267))</f>
        <v/>
      </c>
      <c r="X267" s="202" t="str">
        <f aca="false">IF($A268="","",(U267+S267+H267+V267))</f>
        <v/>
      </c>
      <c r="Y267" s="202"/>
      <c r="Z267" s="185" t="str">
        <f aca="false">IF($A268="","",VLOOKUP($A267,Table,MATCH(Z$4,Curves,0)))</f>
        <v/>
      </c>
      <c r="AA267" s="185" t="str">
        <f aca="false">IF($A268="","",VLOOKUP($A267,Table,MATCH(AA$4,Curves,0)))</f>
        <v/>
      </c>
      <c r="AB267" s="185" t="e">
        <f aca="false">SQRT((AA267^2*(A267-$D$3)+Z267^2*(DAY(EOMONTH(A267,0))/2))/AK267)</f>
        <v>#VALUE!</v>
      </c>
      <c r="AC267" s="185" t="str">
        <f aca="false">IF($A268="","",VLOOKUP($A267,Table,MATCH(AC$4,Curves,0)))</f>
        <v/>
      </c>
      <c r="AD267" s="185" t="str">
        <f aca="false">IF($A268="","",VLOOKUP($A267,Table,MATCH(AD$4,Curves,0)))</f>
        <v/>
      </c>
      <c r="AE267" s="185" t="e">
        <f aca="false">SQRT((AD267^2*(A267-$D$3)+AC267^2*(DAY(EOMONTH(A267,0))/2))/AK267)</f>
        <v>#VALUE!</v>
      </c>
      <c r="AF267" s="224" t="e">
        <f aca="false">((Summary!$N$14*(AA267*AD267)*(A267-$D$3))+(Summary!$M$14*Z267*AC267*(AJ267-EOMONTH(EDATE(A267,-1),0))))/(AK267*AB267*AE267)</f>
        <v>#VALUE!</v>
      </c>
      <c r="AG267" s="207" t="str">
        <f aca="false">IF($A268="","",Summary!$Q$14)</f>
        <v/>
      </c>
      <c r="AH267" s="207" t="str">
        <f aca="false">IF($A268="","",IF(Summary!$R$12="Y",(VLOOKUP($A267,Summary!$AD$6:$AF$9,3)+'Escalating commodity'!J280),'Escalating commodity'!J280))</f>
        <v/>
      </c>
      <c r="AI267" s="207" t="str">
        <f aca="false">IF($A268="","",AH267)</f>
        <v/>
      </c>
      <c r="AJ267" s="208" t="e">
        <f aca="false">A267+DAY(EOMONTH(A267,0))/2-1</f>
        <v>#VALUE!</v>
      </c>
      <c r="AK267" s="209" t="str">
        <f aca="false">IF($A268="","",$A267-$E$1)</f>
        <v/>
      </c>
      <c r="AL267" s="182" t="str">
        <f aca="false">IF($A268="","",SPRDOPT(P267,X267,AI267,0,AB267,AE267,AF267,AK267,$AJ$2,0))</f>
        <v/>
      </c>
      <c r="AM267" s="211" t="str">
        <f aca="false">IF($A268="","",MAX(0,O267-W267-AI267))</f>
        <v/>
      </c>
      <c r="AN267" s="211" t="str">
        <f aca="false">IF($A268="","",AL267-AM267)</f>
        <v/>
      </c>
      <c r="AO267" s="137" t="str">
        <f aca="false">IF(A268="","",A268-A267)</f>
        <v/>
      </c>
      <c r="AP267" s="212" t="str">
        <f aca="false">IF(A268="","",CHOOSE(F$3,A268+24,A267))</f>
        <v/>
      </c>
      <c r="AQ267" s="209" t="str">
        <f aca="false">IF(A268="","",AP267-$E$1)</f>
        <v/>
      </c>
      <c r="AR267" s="185" t="n">
        <f aca="false">'ANR OK vs ML7'!AR267</f>
        <v>0.1</v>
      </c>
      <c r="AS267" s="213" t="str">
        <f aca="false">IF(A268="","",1/(1+CHOOSE(F$3,(AR268+($I$3/10000))/2,(AR267+($I$3/10000))/2))^(2*AQ267/365.25))</f>
        <v/>
      </c>
      <c r="AT267" s="137" t="str">
        <f aca="false">IF(A268="","",IF(AND(mthbeg&lt;=A267,mthend&gt;=A267),1,0))</f>
        <v/>
      </c>
      <c r="AU267" s="137" t="str">
        <f aca="false">IF(A268="","",AO267*AT267)</f>
        <v/>
      </c>
      <c r="AW267" s="195" t="str">
        <f aca="false">IF($A268="","",AL267*$E267)</f>
        <v/>
      </c>
      <c r="AX267" s="195" t="str">
        <f aca="false">IF($A268="","",AM267*$E267)</f>
        <v/>
      </c>
      <c r="AY267" s="195" t="str">
        <f aca="false">IF($A268="","",AN267*$E267)</f>
        <v/>
      </c>
      <c r="BA267" s="195" t="str">
        <f aca="false">IF($A268="","",F267*Summary!$Q$14)</f>
        <v/>
      </c>
    </row>
    <row r="268" customFormat="false" ht="12" hidden="false" customHeight="true" outlineLevel="0" collapsed="false">
      <c r="A268" s="196" t="str">
        <f aca="false">IF(A267&lt;mthend,EDATE(A267,1),"")</f>
        <v/>
      </c>
      <c r="B268" s="197" t="str">
        <f aca="false">IF(A268&lt;mthend,B267,"")</f>
        <v/>
      </c>
      <c r="C268" s="215"/>
      <c r="D268" s="197" t="str">
        <f aca="false">IF(A269&lt;&gt;"",B268+C268,"")</f>
        <v/>
      </c>
      <c r="E268" s="199" t="str">
        <f aca="false">IF(A269="","",IF(AND(AT268=1,$H$3=1),D268*AO268,IF($H$3=2,D268,"N/A")))</f>
        <v/>
      </c>
      <c r="F268" s="199" t="str">
        <f aca="false">IF(A269="","",E268*AS268)</f>
        <v/>
      </c>
      <c r="G268" s="200" t="str">
        <f aca="false">IF($A269="","",VLOOKUP($A268,Table,MATCH(G$4,Curves,0)))</f>
        <v/>
      </c>
      <c r="H268" s="201" t="str">
        <f aca="false">IF(A269="","",G268)</f>
        <v/>
      </c>
      <c r="I268" s="202"/>
      <c r="J268" s="200" t="str">
        <f aca="false">IF($A269="","",VLOOKUP($A268,Table,MATCH(J$4,Curves,0)))</f>
        <v/>
      </c>
      <c r="K268" s="201" t="str">
        <f aca="false">IF(A269="","",J268)</f>
        <v/>
      </c>
      <c r="L268" s="185" t="n">
        <v>0</v>
      </c>
      <c r="M268" s="201" t="str">
        <f aca="false">IF(A269="","",L268)</f>
        <v/>
      </c>
      <c r="N268" s="203"/>
      <c r="O268" s="200" t="str">
        <f aca="false">IF(A269="","",L268+J268+G268)</f>
        <v/>
      </c>
      <c r="P268" s="200" t="str">
        <f aca="false">IF(A269="","",M268+K268+H268)</f>
        <v/>
      </c>
      <c r="Q268" s="204"/>
      <c r="R268" s="200" t="str">
        <f aca="false">IF($A269="","",VLOOKUP($A268,Table,MATCH(R$4,Curves,0)))</f>
        <v/>
      </c>
      <c r="S268" s="201" t="str">
        <f aca="false">IF(A269="","",R268)</f>
        <v/>
      </c>
      <c r="T268" s="200" t="str">
        <f aca="false">IF($A269="","",VLOOKUP($A268,Table,MATCH(T$4,Curves,0)))</f>
        <v/>
      </c>
      <c r="U268" s="201" t="str">
        <f aca="false">IF(A269="","",T268)</f>
        <v/>
      </c>
      <c r="V268" s="183" t="str">
        <f aca="false">IF($A269="","",IF(AND(MONTH(A268)&gt;3,MONTH(A268)&lt;11),(T268+R268+G268)*(((1/(1-Summary!$T$14))/(1-Summary!$W$14))-1),(T268+R268+G268)*((1/(1-Summary!$U$14))/(1-Summary!$X$14)-1)))</f>
        <v/>
      </c>
      <c r="W268" s="202" t="str">
        <f aca="false">IF($A269="","",(T268+R268+G268+V268))</f>
        <v/>
      </c>
      <c r="X268" s="202" t="str">
        <f aca="false">IF($A269="","",(U268+S268+H268+V268))</f>
        <v/>
      </c>
      <c r="Y268" s="202"/>
      <c r="Z268" s="185" t="str">
        <f aca="false">IF($A269="","",VLOOKUP($A268,Table,MATCH(Z$4,Curves,0)))</f>
        <v/>
      </c>
      <c r="AA268" s="185" t="str">
        <f aca="false">IF($A269="","",VLOOKUP($A268,Table,MATCH(AA$4,Curves,0)))</f>
        <v/>
      </c>
      <c r="AB268" s="185" t="e">
        <f aca="false">SQRT((AA268^2*(A268-$D$3)+Z268^2*(DAY(EOMONTH(A268,0))/2))/AK268)</f>
        <v>#VALUE!</v>
      </c>
      <c r="AC268" s="185" t="str">
        <f aca="false">IF($A269="","",VLOOKUP($A268,Table,MATCH(AC$4,Curves,0)))</f>
        <v/>
      </c>
      <c r="AD268" s="185" t="str">
        <f aca="false">IF($A269="","",VLOOKUP($A268,Table,MATCH(AD$4,Curves,0)))</f>
        <v/>
      </c>
      <c r="AE268" s="185" t="e">
        <f aca="false">SQRT((AD268^2*(A268-$D$3)+AC268^2*(DAY(EOMONTH(A268,0))/2))/AK268)</f>
        <v>#VALUE!</v>
      </c>
      <c r="AF268" s="224" t="e">
        <f aca="false">((Summary!$N$14*(AA268*AD268)*(A268-$D$3))+(Summary!$M$14*Z268*AC268*(AJ268-EOMONTH(EDATE(A268,-1),0))))/(AK268*AB268*AE268)</f>
        <v>#VALUE!</v>
      </c>
      <c r="AG268" s="207" t="str">
        <f aca="false">IF($A269="","",Summary!$Q$14)</f>
        <v/>
      </c>
      <c r="AH268" s="207" t="str">
        <f aca="false">IF($A269="","",IF(Summary!$R$12="Y",(VLOOKUP($A268,Summary!$AD$6:$AF$9,3)+'Escalating commodity'!J281),'Escalating commodity'!J281))</f>
        <v/>
      </c>
      <c r="AI268" s="207" t="str">
        <f aca="false">IF($A269="","",AH268)</f>
        <v/>
      </c>
      <c r="AJ268" s="208" t="e">
        <f aca="false">A268+DAY(EOMONTH(A268,0))/2-1</f>
        <v>#VALUE!</v>
      </c>
      <c r="AK268" s="209" t="str">
        <f aca="false">IF($A269="","",$A268-$E$1)</f>
        <v/>
      </c>
      <c r="AL268" s="182" t="str">
        <f aca="false">IF($A269="","",SPRDOPT(P268,X268,AI268,0,AB268,AE268,AF268,AK268,$AJ$2,0))</f>
        <v/>
      </c>
      <c r="AM268" s="211" t="str">
        <f aca="false">IF($A269="","",MAX(0,O268-W268-AI268))</f>
        <v/>
      </c>
      <c r="AN268" s="211" t="str">
        <f aca="false">IF($A269="","",AL268-AM268)</f>
        <v/>
      </c>
      <c r="AO268" s="137" t="str">
        <f aca="false">IF(A269="","",A269-A268)</f>
        <v/>
      </c>
      <c r="AP268" s="212" t="str">
        <f aca="false">IF(A269="","",CHOOSE(F$3,A269+24,A268))</f>
        <v/>
      </c>
      <c r="AQ268" s="209" t="str">
        <f aca="false">IF(A269="","",AP268-$E$1)</f>
        <v/>
      </c>
      <c r="AR268" s="185" t="n">
        <f aca="false">'ANR OK vs ML7'!AR268</f>
        <v>0.1</v>
      </c>
      <c r="AS268" s="213" t="str">
        <f aca="false">IF(A269="","",1/(1+CHOOSE(F$3,(AR269+($I$3/10000))/2,(AR268+($I$3/10000))/2))^(2*AQ268/365.25))</f>
        <v/>
      </c>
      <c r="AT268" s="137" t="str">
        <f aca="false">IF(A269="","",IF(AND(mthbeg&lt;=A268,mthend&gt;=A268),1,0))</f>
        <v/>
      </c>
      <c r="AU268" s="137" t="str">
        <f aca="false">IF(A269="","",AO268*AT268)</f>
        <v/>
      </c>
      <c r="AW268" s="195" t="str">
        <f aca="false">IF($A269="","",AL268*$E268)</f>
        <v/>
      </c>
      <c r="AX268" s="195" t="str">
        <f aca="false">IF($A269="","",AM268*$E268)</f>
        <v/>
      </c>
      <c r="AY268" s="195" t="str">
        <f aca="false">IF($A269="","",AN268*$E268)</f>
        <v/>
      </c>
      <c r="BA268" s="195" t="str">
        <f aca="false">IF($A269="","",F268*Summary!$Q$14)</f>
        <v/>
      </c>
    </row>
    <row r="269" customFormat="false" ht="12" hidden="false" customHeight="true" outlineLevel="0" collapsed="false">
      <c r="A269" s="196" t="str">
        <f aca="false">IF(A268&lt;mthend,EDATE(A268,1),"")</f>
        <v/>
      </c>
      <c r="B269" s="197" t="str">
        <f aca="false">IF(A269&lt;mthend,B268,"")</f>
        <v/>
      </c>
      <c r="C269" s="215"/>
      <c r="D269" s="197" t="str">
        <f aca="false">IF(A270&lt;&gt;"",B269+C269,"")</f>
        <v/>
      </c>
      <c r="E269" s="199" t="str">
        <f aca="false">IF(A270="","",IF(AND(AT269=1,$H$3=1),D269*AO269,IF($H$3=2,D269,"N/A")))</f>
        <v/>
      </c>
      <c r="F269" s="199" t="str">
        <f aca="false">IF(A270="","",E269*AS269)</f>
        <v/>
      </c>
      <c r="G269" s="200" t="str">
        <f aca="false">IF($A270="","",VLOOKUP($A269,Table,MATCH(G$4,Curves,0)))</f>
        <v/>
      </c>
      <c r="H269" s="201" t="str">
        <f aca="false">IF(A270="","",G269)</f>
        <v/>
      </c>
      <c r="I269" s="202"/>
      <c r="J269" s="200" t="str">
        <f aca="false">IF($A270="","",VLOOKUP($A269,Table,MATCH(J$4,Curves,0)))</f>
        <v/>
      </c>
      <c r="K269" s="201" t="str">
        <f aca="false">IF(A270="","",J269)</f>
        <v/>
      </c>
      <c r="L269" s="185" t="n">
        <v>0</v>
      </c>
      <c r="M269" s="201" t="str">
        <f aca="false">IF(A270="","",L269)</f>
        <v/>
      </c>
      <c r="N269" s="203"/>
      <c r="O269" s="200" t="str">
        <f aca="false">IF(A270="","",L269+J269+G269)</f>
        <v/>
      </c>
      <c r="P269" s="200" t="str">
        <f aca="false">IF(A270="","",M269+K269+H269)</f>
        <v/>
      </c>
      <c r="Q269" s="204"/>
      <c r="R269" s="200" t="str">
        <f aca="false">IF($A270="","",VLOOKUP($A269,Table,MATCH(R$4,Curves,0)))</f>
        <v/>
      </c>
      <c r="S269" s="201" t="str">
        <f aca="false">IF(A270="","",R269)</f>
        <v/>
      </c>
      <c r="T269" s="200" t="str">
        <f aca="false">IF($A270="","",VLOOKUP($A269,Table,MATCH(T$4,Curves,0)))</f>
        <v/>
      </c>
      <c r="U269" s="201" t="str">
        <f aca="false">IF(A270="","",T269)</f>
        <v/>
      </c>
      <c r="V269" s="183" t="str">
        <f aca="false">IF($A270="","",IF(AND(MONTH(A269)&gt;3,MONTH(A269)&lt;11),(T269+R269+G269)*(((1/(1-Summary!$T$14))/(1-Summary!$W$14))-1),(T269+R269+G269)*((1/(1-Summary!$U$14))/(1-Summary!$X$14)-1)))</f>
        <v/>
      </c>
      <c r="W269" s="202" t="str">
        <f aca="false">IF($A270="","",(T269+R269+G269+V269))</f>
        <v/>
      </c>
      <c r="X269" s="202" t="str">
        <f aca="false">IF($A270="","",(U269+S269+H269+V269))</f>
        <v/>
      </c>
      <c r="Y269" s="202"/>
      <c r="Z269" s="185" t="str">
        <f aca="false">IF($A270="","",VLOOKUP($A269,Table,MATCH(Z$4,Curves,0)))</f>
        <v/>
      </c>
      <c r="AA269" s="185" t="str">
        <f aca="false">IF($A270="","",VLOOKUP($A269,Table,MATCH(AA$4,Curves,0)))</f>
        <v/>
      </c>
      <c r="AB269" s="185" t="e">
        <f aca="false">SQRT((AA269^2*(A269-$D$3)+Z269^2*(DAY(EOMONTH(A269,0))/2))/AK269)</f>
        <v>#VALUE!</v>
      </c>
      <c r="AC269" s="185" t="str">
        <f aca="false">IF($A270="","",VLOOKUP($A269,Table,MATCH(AC$4,Curves,0)))</f>
        <v/>
      </c>
      <c r="AD269" s="185" t="str">
        <f aca="false">IF($A270="","",VLOOKUP($A269,Table,MATCH(AD$4,Curves,0)))</f>
        <v/>
      </c>
      <c r="AE269" s="185" t="e">
        <f aca="false">SQRT((AD269^2*(A269-$D$3)+AC269^2*(DAY(EOMONTH(A269,0))/2))/AK269)</f>
        <v>#VALUE!</v>
      </c>
      <c r="AF269" s="224" t="e">
        <f aca="false">((Summary!$N$14*(AA269*AD269)*(A269-$D$3))+(Summary!$M$14*Z269*AC269*(AJ269-EOMONTH(EDATE(A269,-1),0))))/(AK269*AB269*AE269)</f>
        <v>#VALUE!</v>
      </c>
      <c r="AG269" s="207" t="str">
        <f aca="false">IF($A270="","",Summary!$Q$14)</f>
        <v/>
      </c>
      <c r="AH269" s="207" t="str">
        <f aca="false">IF($A270="","",IF(Summary!$R$12="Y",(VLOOKUP($A269,Summary!$AD$6:$AF$9,3)+'Escalating commodity'!J282),'Escalating commodity'!J282))</f>
        <v/>
      </c>
      <c r="AI269" s="207" t="str">
        <f aca="false">IF($A270="","",AH269)</f>
        <v/>
      </c>
      <c r="AJ269" s="208" t="e">
        <f aca="false">A269+DAY(EOMONTH(A269,0))/2-1</f>
        <v>#VALUE!</v>
      </c>
      <c r="AK269" s="209" t="str">
        <f aca="false">IF($A270="","",$A269-$E$1)</f>
        <v/>
      </c>
      <c r="AL269" s="182" t="str">
        <f aca="false">IF($A270="","",SPRDOPT(P269,X269,AI269,0,AB269,AE269,AF269,AK269,$AJ$2,0))</f>
        <v/>
      </c>
      <c r="AM269" s="211" t="str">
        <f aca="false">IF($A270="","",MAX(0,O269-W269-AI269))</f>
        <v/>
      </c>
      <c r="AN269" s="211" t="str">
        <f aca="false">IF($A270="","",AL269-AM269)</f>
        <v/>
      </c>
      <c r="AO269" s="137" t="str">
        <f aca="false">IF(A270="","",A270-A269)</f>
        <v/>
      </c>
      <c r="AP269" s="212" t="str">
        <f aca="false">IF(A270="","",CHOOSE(F$3,A270+24,A269))</f>
        <v/>
      </c>
      <c r="AQ269" s="209" t="str">
        <f aca="false">IF(A270="","",AP269-$E$1)</f>
        <v/>
      </c>
      <c r="AR269" s="185" t="n">
        <f aca="false">'ANR OK vs ML7'!AR269</f>
        <v>0.1</v>
      </c>
      <c r="AS269" s="213" t="str">
        <f aca="false">IF(A270="","",1/(1+CHOOSE(F$3,(AR270+($I$3/10000))/2,(AR269+($I$3/10000))/2))^(2*AQ269/365.25))</f>
        <v/>
      </c>
      <c r="AT269" s="137" t="str">
        <f aca="false">IF(A270="","",IF(AND(mthbeg&lt;=A269,mthend&gt;=A269),1,0))</f>
        <v/>
      </c>
      <c r="AU269" s="137" t="str">
        <f aca="false">IF(A270="","",AO269*AT269)</f>
        <v/>
      </c>
      <c r="AW269" s="195" t="str">
        <f aca="false">IF($A270="","",AL269*$E269)</f>
        <v/>
      </c>
      <c r="AX269" s="195" t="str">
        <f aca="false">IF($A270="","",AM269*$E269)</f>
        <v/>
      </c>
      <c r="AY269" s="195" t="str">
        <f aca="false">IF($A270="","",AN269*$E269)</f>
        <v/>
      </c>
      <c r="BA269" s="195" t="str">
        <f aca="false">IF($A270="","",F269*Summary!$Q$14)</f>
        <v/>
      </c>
    </row>
    <row r="270" customFormat="false" ht="12" hidden="false" customHeight="true" outlineLevel="0" collapsed="false">
      <c r="A270" s="196" t="str">
        <f aca="false">IF(A269&lt;mthend,EDATE(A269,1),"")</f>
        <v/>
      </c>
      <c r="B270" s="197" t="str">
        <f aca="false">IF(A270&lt;mthend,B269,"")</f>
        <v/>
      </c>
      <c r="C270" s="215"/>
      <c r="D270" s="197" t="str">
        <f aca="false">IF(A271&lt;&gt;"",B270+C270,"")</f>
        <v/>
      </c>
      <c r="E270" s="199" t="str">
        <f aca="false">IF(A271="","",IF(AND(AT270=1,$H$3=1),D270*AO270,IF($H$3=2,D270,"N/A")))</f>
        <v/>
      </c>
      <c r="F270" s="199" t="str">
        <f aca="false">IF(A271="","",E270*AS270)</f>
        <v/>
      </c>
      <c r="G270" s="200" t="str">
        <f aca="false">IF($A271="","",VLOOKUP($A270,Table,MATCH(G$4,Curves,0)))</f>
        <v/>
      </c>
      <c r="H270" s="201" t="str">
        <f aca="false">IF(A271="","",G270)</f>
        <v/>
      </c>
      <c r="I270" s="202"/>
      <c r="J270" s="200" t="str">
        <f aca="false">IF($A271="","",VLOOKUP($A270,Table,MATCH(J$4,Curves,0)))</f>
        <v/>
      </c>
      <c r="K270" s="201" t="str">
        <f aca="false">IF(A271="","",J270)</f>
        <v/>
      </c>
      <c r="L270" s="185" t="n">
        <v>0</v>
      </c>
      <c r="M270" s="201" t="str">
        <f aca="false">IF(A271="","",L270)</f>
        <v/>
      </c>
      <c r="N270" s="203"/>
      <c r="O270" s="200" t="str">
        <f aca="false">IF(A271="","",L270+J270+G270)</f>
        <v/>
      </c>
      <c r="P270" s="200" t="str">
        <f aca="false">IF(A271="","",M270+K270+H270)</f>
        <v/>
      </c>
      <c r="Q270" s="204"/>
      <c r="R270" s="200" t="str">
        <f aca="false">IF($A271="","",VLOOKUP($A270,Table,MATCH(R$4,Curves,0)))</f>
        <v/>
      </c>
      <c r="S270" s="201" t="str">
        <f aca="false">IF(A271="","",R270)</f>
        <v/>
      </c>
      <c r="T270" s="200" t="str">
        <f aca="false">IF($A271="","",VLOOKUP($A270,Table,MATCH(T$4,Curves,0)))</f>
        <v/>
      </c>
      <c r="U270" s="201" t="str">
        <f aca="false">IF(A271="","",T270)</f>
        <v/>
      </c>
      <c r="V270" s="183" t="str">
        <f aca="false">IF($A271="","",IF(AND(MONTH(A270)&gt;3,MONTH(A270)&lt;11),(T270+R270+G270)*(((1/(1-Summary!$T$14))/(1-Summary!$W$14))-1),(T270+R270+G270)*((1/(1-Summary!$U$14))/(1-Summary!$X$14)-1)))</f>
        <v/>
      </c>
      <c r="W270" s="202" t="str">
        <f aca="false">IF($A271="","",(T270+R270+G270+V270))</f>
        <v/>
      </c>
      <c r="X270" s="202" t="str">
        <f aca="false">IF($A271="","",(U270+S270+H270+V270))</f>
        <v/>
      </c>
      <c r="Y270" s="202"/>
      <c r="Z270" s="185" t="str">
        <f aca="false">IF($A271="","",VLOOKUP($A270,Table,MATCH(Z$4,Curves,0)))</f>
        <v/>
      </c>
      <c r="AA270" s="185" t="str">
        <f aca="false">IF($A271="","",VLOOKUP($A270,Table,MATCH(AA$4,Curves,0)))</f>
        <v/>
      </c>
      <c r="AB270" s="185" t="e">
        <f aca="false">SQRT((AA270^2*(A270-$D$3)+Z270^2*(DAY(EOMONTH(A270,0))/2))/AK270)</f>
        <v>#VALUE!</v>
      </c>
      <c r="AC270" s="185" t="str">
        <f aca="false">IF($A271="","",VLOOKUP($A270,Table,MATCH(AC$4,Curves,0)))</f>
        <v/>
      </c>
      <c r="AD270" s="185" t="str">
        <f aca="false">IF($A271="","",VLOOKUP($A270,Table,MATCH(AD$4,Curves,0)))</f>
        <v/>
      </c>
      <c r="AE270" s="185" t="e">
        <f aca="false">SQRT((AD270^2*(A270-$D$3)+AC270^2*(DAY(EOMONTH(A270,0))/2))/AK270)</f>
        <v>#VALUE!</v>
      </c>
      <c r="AF270" s="224" t="e">
        <f aca="false">((Summary!$N$14*(AA270*AD270)*(A270-$D$3))+(Summary!$M$14*Z270*AC270*(AJ270-EOMONTH(EDATE(A270,-1),0))))/(AK270*AB270*AE270)</f>
        <v>#VALUE!</v>
      </c>
      <c r="AG270" s="207" t="str">
        <f aca="false">IF($A271="","",Summary!$Q$14)</f>
        <v/>
      </c>
      <c r="AH270" s="207" t="str">
        <f aca="false">IF($A271="","",IF(Summary!$R$12="Y",(VLOOKUP($A270,Summary!$AD$6:$AF$9,3)+'Escalating commodity'!J283),'Escalating commodity'!J283))</f>
        <v/>
      </c>
      <c r="AI270" s="207" t="str">
        <f aca="false">IF($A271="","",AH270)</f>
        <v/>
      </c>
      <c r="AJ270" s="208" t="e">
        <f aca="false">A270+DAY(EOMONTH(A270,0))/2-1</f>
        <v>#VALUE!</v>
      </c>
      <c r="AK270" s="209" t="str">
        <f aca="false">IF($A271="","",$A270-$E$1)</f>
        <v/>
      </c>
      <c r="AL270" s="182" t="str">
        <f aca="false">IF($A271="","",SPRDOPT(P270,X270,AI270,0,AB270,AE270,AF270,AK270,$AJ$2,0))</f>
        <v/>
      </c>
      <c r="AM270" s="211" t="str">
        <f aca="false">IF($A271="","",MAX(0,O270-W270-AI270))</f>
        <v/>
      </c>
      <c r="AN270" s="211" t="str">
        <f aca="false">IF($A271="","",AL270-AM270)</f>
        <v/>
      </c>
      <c r="AO270" s="137" t="str">
        <f aca="false">IF(A271="","",A271-A270)</f>
        <v/>
      </c>
      <c r="AP270" s="212" t="str">
        <f aca="false">IF(A271="","",CHOOSE(F$3,A271+24,A270))</f>
        <v/>
      </c>
      <c r="AQ270" s="209" t="str">
        <f aca="false">IF(A271="","",AP270-$E$1)</f>
        <v/>
      </c>
      <c r="AR270" s="185" t="n">
        <f aca="false">'ANR OK vs ML7'!AR270</f>
        <v>0.1</v>
      </c>
      <c r="AS270" s="213" t="str">
        <f aca="false">IF(A271="","",1/(1+CHOOSE(F$3,(AR271+($I$3/10000))/2,(AR270+($I$3/10000))/2))^(2*AQ270/365.25))</f>
        <v/>
      </c>
      <c r="AT270" s="137" t="str">
        <f aca="false">IF(A271="","",IF(AND(mthbeg&lt;=A270,mthend&gt;=A270),1,0))</f>
        <v/>
      </c>
      <c r="AU270" s="137" t="str">
        <f aca="false">IF(A271="","",AO270*AT270)</f>
        <v/>
      </c>
      <c r="AW270" s="195" t="str">
        <f aca="false">IF($A271="","",AL270*$E270)</f>
        <v/>
      </c>
      <c r="AX270" s="195" t="str">
        <f aca="false">IF($A271="","",AM270*$E270)</f>
        <v/>
      </c>
      <c r="AY270" s="195" t="str">
        <f aca="false">IF($A271="","",AN270*$E270)</f>
        <v/>
      </c>
      <c r="BA270" s="195" t="str">
        <f aca="false">IF($A271="","",F270*Summary!$Q$14)</f>
        <v/>
      </c>
    </row>
    <row r="271" customFormat="false" ht="12" hidden="false" customHeight="true" outlineLevel="0" collapsed="false">
      <c r="A271" s="196" t="str">
        <f aca="false">IF(A270&lt;mthend,EDATE(A270,1),"")</f>
        <v/>
      </c>
      <c r="B271" s="197" t="str">
        <f aca="false">IF(A271&lt;mthend,B270,"")</f>
        <v/>
      </c>
      <c r="C271" s="215"/>
      <c r="D271" s="197" t="str">
        <f aca="false">IF(A272&lt;&gt;"",B271+C271,"")</f>
        <v/>
      </c>
      <c r="E271" s="199" t="str">
        <f aca="false">IF(A272="","",IF(AND(AT271=1,$H$3=1),D271*AO271,IF($H$3=2,D271,"N/A")))</f>
        <v/>
      </c>
      <c r="F271" s="199" t="str">
        <f aca="false">IF(A272="","",E271*AS271)</f>
        <v/>
      </c>
      <c r="G271" s="200" t="str">
        <f aca="false">IF($A272="","",VLOOKUP($A271,Table,MATCH(G$4,Curves,0)))</f>
        <v/>
      </c>
      <c r="H271" s="201" t="str">
        <f aca="false">IF(A272="","",G271)</f>
        <v/>
      </c>
      <c r="I271" s="202"/>
      <c r="J271" s="200" t="str">
        <f aca="false">IF($A272="","",VLOOKUP($A271,Table,MATCH(J$4,Curves,0)))</f>
        <v/>
      </c>
      <c r="K271" s="201" t="str">
        <f aca="false">IF(A272="","",J271)</f>
        <v/>
      </c>
      <c r="L271" s="185" t="n">
        <v>0</v>
      </c>
      <c r="M271" s="201" t="str">
        <f aca="false">IF(A272="","",L271)</f>
        <v/>
      </c>
      <c r="N271" s="203"/>
      <c r="O271" s="200" t="str">
        <f aca="false">IF(A272="","",L271+J271+G271)</f>
        <v/>
      </c>
      <c r="P271" s="200" t="str">
        <f aca="false">IF(A272="","",M271+K271+H271)</f>
        <v/>
      </c>
      <c r="Q271" s="204"/>
      <c r="R271" s="200" t="str">
        <f aca="false">IF($A272="","",VLOOKUP($A271,Table,MATCH(R$4,Curves,0)))</f>
        <v/>
      </c>
      <c r="S271" s="201" t="str">
        <f aca="false">IF(A272="","",R271)</f>
        <v/>
      </c>
      <c r="T271" s="200" t="str">
        <f aca="false">IF($A272="","",VLOOKUP($A271,Table,MATCH(T$4,Curves,0)))</f>
        <v/>
      </c>
      <c r="U271" s="201" t="str">
        <f aca="false">IF(A272="","",T271)</f>
        <v/>
      </c>
      <c r="V271" s="183" t="str">
        <f aca="false">IF($A272="","",IF(AND(MONTH(A271)&gt;3,MONTH(A271)&lt;11),(T271+R271+G271)*(((1/(1-Summary!$T$14))/(1-Summary!$W$14))-1),(T271+R271+G271)*((1/(1-Summary!$U$14))/(1-Summary!$X$14)-1)))</f>
        <v/>
      </c>
      <c r="W271" s="202" t="str">
        <f aca="false">IF($A272="","",(T271+R271+G271+V271))</f>
        <v/>
      </c>
      <c r="X271" s="202" t="str">
        <f aca="false">IF($A272="","",(U271+S271+H271+V271))</f>
        <v/>
      </c>
      <c r="Y271" s="202"/>
      <c r="Z271" s="185" t="str">
        <f aca="false">IF($A272="","",VLOOKUP($A271,Table,MATCH(Z$4,Curves,0)))</f>
        <v/>
      </c>
      <c r="AA271" s="185" t="str">
        <f aca="false">IF($A272="","",VLOOKUP($A271,Table,MATCH(AA$4,Curves,0)))</f>
        <v/>
      </c>
      <c r="AB271" s="185" t="e">
        <f aca="false">SQRT((AA271^2*(A271-$D$3)+Z271^2*(DAY(EOMONTH(A271,0))/2))/AK271)</f>
        <v>#VALUE!</v>
      </c>
      <c r="AC271" s="185" t="str">
        <f aca="false">IF($A272="","",VLOOKUP($A271,Table,MATCH(AC$4,Curves,0)))</f>
        <v/>
      </c>
      <c r="AD271" s="185" t="str">
        <f aca="false">IF($A272="","",VLOOKUP($A271,Table,MATCH(AD$4,Curves,0)))</f>
        <v/>
      </c>
      <c r="AE271" s="185" t="e">
        <f aca="false">SQRT((AD271^2*(A271-$D$3)+AC271^2*(DAY(EOMONTH(A271,0))/2))/AK271)</f>
        <v>#VALUE!</v>
      </c>
      <c r="AF271" s="224" t="e">
        <f aca="false">((Summary!$N$14*(AA271*AD271)*(A271-$D$3))+(Summary!$M$14*Z271*AC271*(AJ271-EOMONTH(EDATE(A271,-1),0))))/(AK271*AB271*AE271)</f>
        <v>#VALUE!</v>
      </c>
      <c r="AG271" s="207" t="str">
        <f aca="false">IF($A272="","",Summary!$Q$14)</f>
        <v/>
      </c>
      <c r="AH271" s="207" t="str">
        <f aca="false">IF($A272="","",IF(Summary!$R$12="Y",(VLOOKUP($A271,Summary!$AD$6:$AF$9,3)+'Escalating commodity'!J284),'Escalating commodity'!J284))</f>
        <v/>
      </c>
      <c r="AI271" s="207" t="str">
        <f aca="false">IF($A272="","",AH271)</f>
        <v/>
      </c>
      <c r="AJ271" s="208" t="e">
        <f aca="false">A271+DAY(EOMONTH(A271,0))/2-1</f>
        <v>#VALUE!</v>
      </c>
      <c r="AK271" s="209" t="str">
        <f aca="false">IF($A272="","",$A271-$E$1)</f>
        <v/>
      </c>
      <c r="AL271" s="182" t="str">
        <f aca="false">IF($A272="","",SPRDOPT(P271,X271,AI271,0,AB271,AE271,AF271,AK271,$AJ$2,0))</f>
        <v/>
      </c>
      <c r="AM271" s="211" t="str">
        <f aca="false">IF($A272="","",MAX(0,O271-W271-AI271))</f>
        <v/>
      </c>
      <c r="AN271" s="211" t="str">
        <f aca="false">IF($A272="","",AL271-AM271)</f>
        <v/>
      </c>
      <c r="AO271" s="137" t="str">
        <f aca="false">IF(A272="","",A272-A271)</f>
        <v/>
      </c>
      <c r="AP271" s="212" t="str">
        <f aca="false">IF(A272="","",CHOOSE(F$3,A272+24,A271))</f>
        <v/>
      </c>
      <c r="AQ271" s="209" t="str">
        <f aca="false">IF(A272="","",AP271-$E$1)</f>
        <v/>
      </c>
      <c r="AR271" s="185" t="n">
        <f aca="false">'ANR OK vs ML7'!AR271</f>
        <v>0.1</v>
      </c>
      <c r="AS271" s="213" t="str">
        <f aca="false">IF(A272="","",1/(1+CHOOSE(F$3,(AR272+($I$3/10000))/2,(AR271+($I$3/10000))/2))^(2*AQ271/365.25))</f>
        <v/>
      </c>
      <c r="AT271" s="137" t="str">
        <f aca="false">IF(A272="","",IF(AND(mthbeg&lt;=A271,mthend&gt;=A271),1,0))</f>
        <v/>
      </c>
      <c r="AU271" s="137" t="str">
        <f aca="false">IF(A272="","",AO271*AT271)</f>
        <v/>
      </c>
      <c r="AW271" s="195" t="str">
        <f aca="false">IF($A272="","",AL271*$E271)</f>
        <v/>
      </c>
      <c r="AX271" s="195" t="str">
        <f aca="false">IF($A272="","",AM271*$E271)</f>
        <v/>
      </c>
      <c r="AY271" s="195" t="str">
        <f aca="false">IF($A272="","",AN271*$E271)</f>
        <v/>
      </c>
      <c r="BA271" s="195" t="str">
        <f aca="false">IF($A272="","",F271*Summary!$Q$14)</f>
        <v/>
      </c>
    </row>
    <row r="272" customFormat="false" ht="12" hidden="false" customHeight="true" outlineLevel="0" collapsed="false">
      <c r="A272" s="196" t="str">
        <f aca="false">IF(A271&lt;mthend,EDATE(A271,1),"")</f>
        <v/>
      </c>
      <c r="B272" s="197" t="str">
        <f aca="false">IF(A272&lt;mthend,B271,"")</f>
        <v/>
      </c>
      <c r="C272" s="215"/>
      <c r="D272" s="197" t="str">
        <f aca="false">IF(A273&lt;&gt;"",B272+C272,"")</f>
        <v/>
      </c>
      <c r="E272" s="199" t="str">
        <f aca="false">IF(A273="","",IF(AND(AT272=1,$H$3=1),D272*AO272,IF($H$3=2,D272,"N/A")))</f>
        <v/>
      </c>
      <c r="F272" s="199" t="str">
        <f aca="false">IF(A273="","",E272*AS272)</f>
        <v/>
      </c>
      <c r="G272" s="200" t="str">
        <f aca="false">IF($A273="","",VLOOKUP($A272,Table,MATCH(G$4,Curves,0)))</f>
        <v/>
      </c>
      <c r="H272" s="201" t="str">
        <f aca="false">IF(A273="","",G272)</f>
        <v/>
      </c>
      <c r="I272" s="202"/>
      <c r="J272" s="200" t="str">
        <f aca="false">IF($A273="","",VLOOKUP($A272,Table,MATCH(J$4,Curves,0)))</f>
        <v/>
      </c>
      <c r="K272" s="201" t="str">
        <f aca="false">IF(A273="","",J272)</f>
        <v/>
      </c>
      <c r="L272" s="185" t="n">
        <v>0</v>
      </c>
      <c r="M272" s="201" t="str">
        <f aca="false">IF(A273="","",L272)</f>
        <v/>
      </c>
      <c r="N272" s="203"/>
      <c r="O272" s="200" t="str">
        <f aca="false">IF(A273="","",L272+J272+G272)</f>
        <v/>
      </c>
      <c r="P272" s="200" t="str">
        <f aca="false">IF(A273="","",M272+K272+H272)</f>
        <v/>
      </c>
      <c r="Q272" s="204"/>
      <c r="R272" s="200" t="str">
        <f aca="false">IF($A273="","",VLOOKUP($A272,Table,MATCH(R$4,Curves,0)))</f>
        <v/>
      </c>
      <c r="S272" s="201" t="str">
        <f aca="false">IF(A273="","",R272)</f>
        <v/>
      </c>
      <c r="T272" s="200" t="str">
        <f aca="false">IF($A273="","",VLOOKUP($A272,Table,MATCH(T$4,Curves,0)))</f>
        <v/>
      </c>
      <c r="U272" s="201" t="str">
        <f aca="false">IF(A273="","",T272)</f>
        <v/>
      </c>
      <c r="V272" s="183" t="str">
        <f aca="false">IF($A273="","",IF(AND(MONTH(A272)&gt;3,MONTH(A272)&lt;11),(T272+R272+G272)*(((1/(1-Summary!$T$14))/(1-Summary!$W$14))-1),(T272+R272+G272)*((1/(1-Summary!$U$14))/(1-Summary!$X$14)-1)))</f>
        <v/>
      </c>
      <c r="W272" s="202" t="str">
        <f aca="false">IF($A273="","",(T272+R272+G272+V272))</f>
        <v/>
      </c>
      <c r="X272" s="202" t="str">
        <f aca="false">IF($A273="","",(U272+S272+H272+V272))</f>
        <v/>
      </c>
      <c r="Y272" s="202"/>
      <c r="Z272" s="185" t="str">
        <f aca="false">IF($A273="","",VLOOKUP($A272,Table,MATCH(Z$4,Curves,0)))</f>
        <v/>
      </c>
      <c r="AA272" s="185" t="str">
        <f aca="false">IF($A273="","",VLOOKUP($A272,Table,MATCH(AA$4,Curves,0)))</f>
        <v/>
      </c>
      <c r="AB272" s="185" t="e">
        <f aca="false">SQRT((AA272^2*(A272-$D$3)+Z272^2*(DAY(EOMONTH(A272,0))/2))/AK272)</f>
        <v>#VALUE!</v>
      </c>
      <c r="AC272" s="185" t="str">
        <f aca="false">IF($A273="","",VLOOKUP($A272,Table,MATCH(AC$4,Curves,0)))</f>
        <v/>
      </c>
      <c r="AD272" s="185" t="str">
        <f aca="false">IF($A273="","",VLOOKUP($A272,Table,MATCH(AD$4,Curves,0)))</f>
        <v/>
      </c>
      <c r="AE272" s="185" t="e">
        <f aca="false">SQRT((AD272^2*(A272-$D$3)+AC272^2*(DAY(EOMONTH(A272,0))/2))/AK272)</f>
        <v>#VALUE!</v>
      </c>
      <c r="AF272" s="224" t="e">
        <f aca="false">((Summary!$N$14*(AA272*AD272)*(A272-$D$3))+(Summary!$M$14*Z272*AC272*(AJ272-EOMONTH(EDATE(A272,-1),0))))/(AK272*AB272*AE272)</f>
        <v>#VALUE!</v>
      </c>
      <c r="AG272" s="207" t="str">
        <f aca="false">IF($A273="","",Summary!$Q$14)</f>
        <v/>
      </c>
      <c r="AH272" s="207" t="str">
        <f aca="false">IF($A273="","",IF(Summary!$R$12="Y",(VLOOKUP($A272,Summary!$AD$6:$AF$9,3)+'Escalating commodity'!J285),'Escalating commodity'!J285))</f>
        <v/>
      </c>
      <c r="AI272" s="207" t="str">
        <f aca="false">IF($A273="","",AH272)</f>
        <v/>
      </c>
      <c r="AJ272" s="208" t="e">
        <f aca="false">A272+DAY(EOMONTH(A272,0))/2-1</f>
        <v>#VALUE!</v>
      </c>
      <c r="AK272" s="209" t="str">
        <f aca="false">IF($A273="","",$A272-$E$1)</f>
        <v/>
      </c>
      <c r="AL272" s="182" t="str">
        <f aca="false">IF($A273="","",SPRDOPT(P272,X272,AI272,0,AB272,AE272,AF272,AK272,$AJ$2,0))</f>
        <v/>
      </c>
      <c r="AM272" s="211" t="str">
        <f aca="false">IF($A273="","",MAX(0,O272-W272-AI272))</f>
        <v/>
      </c>
      <c r="AN272" s="211" t="str">
        <f aca="false">IF($A273="","",AL272-AM272)</f>
        <v/>
      </c>
      <c r="AO272" s="137" t="str">
        <f aca="false">IF(A273="","",A273-A272)</f>
        <v/>
      </c>
      <c r="AP272" s="212" t="str">
        <f aca="false">IF(A273="","",CHOOSE(F$3,A273+24,A272))</f>
        <v/>
      </c>
      <c r="AQ272" s="209" t="str">
        <f aca="false">IF(A273="","",AP272-$E$1)</f>
        <v/>
      </c>
      <c r="AR272" s="185" t="n">
        <f aca="false">'ANR OK vs ML7'!AR272</f>
        <v>0.1</v>
      </c>
      <c r="AS272" s="213" t="str">
        <f aca="false">IF(A273="","",1/(1+CHOOSE(F$3,(AR273+($I$3/10000))/2,(AR272+($I$3/10000))/2))^(2*AQ272/365.25))</f>
        <v/>
      </c>
      <c r="AT272" s="137" t="str">
        <f aca="false">IF(A273="","",IF(AND(mthbeg&lt;=A272,mthend&gt;=A272),1,0))</f>
        <v/>
      </c>
      <c r="AU272" s="137" t="str">
        <f aca="false">IF(A273="","",AO272*AT272)</f>
        <v/>
      </c>
      <c r="AW272" s="195" t="str">
        <f aca="false">IF($A273="","",AL272*$E272)</f>
        <v/>
      </c>
      <c r="AX272" s="195" t="str">
        <f aca="false">IF($A273="","",AM272*$E272)</f>
        <v/>
      </c>
      <c r="AY272" s="195" t="str">
        <f aca="false">IF($A273="","",AN272*$E272)</f>
        <v/>
      </c>
      <c r="BA272" s="195" t="str">
        <f aca="false">IF($A273="","",F272*Summary!$Q$14)</f>
        <v/>
      </c>
    </row>
    <row r="273" customFormat="false" ht="12" hidden="false" customHeight="true" outlineLevel="0" collapsed="false">
      <c r="A273" s="196" t="str">
        <f aca="false">IF(A272&lt;mthend,EDATE(A272,1),"")</f>
        <v/>
      </c>
      <c r="B273" s="197" t="str">
        <f aca="false">IF(A273&lt;mthend,B272,"")</f>
        <v/>
      </c>
      <c r="C273" s="215"/>
      <c r="D273" s="197" t="str">
        <f aca="false">IF(A274&lt;&gt;"",B273+C273,"")</f>
        <v/>
      </c>
      <c r="E273" s="199" t="str">
        <f aca="false">IF(A274="","",IF(AND(AT273=1,$H$3=1),D273*AO273,IF($H$3=2,D273,"N/A")))</f>
        <v/>
      </c>
      <c r="F273" s="199" t="str">
        <f aca="false">IF(A274="","",E273*AS273)</f>
        <v/>
      </c>
      <c r="G273" s="200" t="str">
        <f aca="false">IF($A274="","",VLOOKUP($A273,Table,MATCH(G$4,Curves,0)))</f>
        <v/>
      </c>
      <c r="H273" s="201" t="str">
        <f aca="false">IF(A274="","",G273)</f>
        <v/>
      </c>
      <c r="I273" s="202"/>
      <c r="J273" s="200" t="str">
        <f aca="false">IF($A274="","",VLOOKUP($A273,Table,MATCH(J$4,Curves,0)))</f>
        <v/>
      </c>
      <c r="K273" s="201" t="str">
        <f aca="false">IF(A274="","",J273)</f>
        <v/>
      </c>
      <c r="L273" s="185" t="n">
        <v>0</v>
      </c>
      <c r="M273" s="201" t="str">
        <f aca="false">IF(A274="","",L273)</f>
        <v/>
      </c>
      <c r="N273" s="203"/>
      <c r="O273" s="200" t="str">
        <f aca="false">IF(A274="","",L273+J273+G273)</f>
        <v/>
      </c>
      <c r="P273" s="200" t="str">
        <f aca="false">IF(A274="","",M273+K273+H273)</f>
        <v/>
      </c>
      <c r="Q273" s="204"/>
      <c r="R273" s="200" t="str">
        <f aca="false">IF($A274="","",VLOOKUP($A273,Table,MATCH(R$4,Curves,0)))</f>
        <v/>
      </c>
      <c r="S273" s="201" t="str">
        <f aca="false">IF(A274="","",R273)</f>
        <v/>
      </c>
      <c r="T273" s="200" t="str">
        <f aca="false">IF($A274="","",VLOOKUP($A273,Table,MATCH(T$4,Curves,0)))</f>
        <v/>
      </c>
      <c r="U273" s="201" t="str">
        <f aca="false">IF(A274="","",T273)</f>
        <v/>
      </c>
      <c r="V273" s="183" t="str">
        <f aca="false">IF($A274="","",IF(AND(MONTH(A273)&gt;3,MONTH(A273)&lt;11),(T273+R273+G273)*(((1/(1-Summary!$T$14))/(1-Summary!$W$14))-1),(T273+R273+G273)*((1/(1-Summary!$U$14))/(1-Summary!$X$14)-1)))</f>
        <v/>
      </c>
      <c r="W273" s="202" t="str">
        <f aca="false">IF($A274="","",(T273+R273+G273+V273))</f>
        <v/>
      </c>
      <c r="X273" s="202" t="str">
        <f aca="false">IF($A274="","",(U273+S273+H273+V273))</f>
        <v/>
      </c>
      <c r="Y273" s="202"/>
      <c r="Z273" s="185" t="str">
        <f aca="false">IF($A274="","",VLOOKUP($A273,Table,MATCH(Z$4,Curves,0)))</f>
        <v/>
      </c>
      <c r="AA273" s="185" t="str">
        <f aca="false">IF($A274="","",VLOOKUP($A273,Table,MATCH(AA$4,Curves,0)))</f>
        <v/>
      </c>
      <c r="AB273" s="185" t="e">
        <f aca="false">SQRT((AA273^2*(A273-$D$3)+Z273^2*(DAY(EOMONTH(A273,0))/2))/AK273)</f>
        <v>#VALUE!</v>
      </c>
      <c r="AC273" s="185" t="str">
        <f aca="false">IF($A274="","",VLOOKUP($A273,Table,MATCH(AC$4,Curves,0)))</f>
        <v/>
      </c>
      <c r="AD273" s="185" t="str">
        <f aca="false">IF($A274="","",VLOOKUP($A273,Table,MATCH(AD$4,Curves,0)))</f>
        <v/>
      </c>
      <c r="AE273" s="185" t="e">
        <f aca="false">SQRT((AD273^2*(A273-$D$3)+AC273^2*(DAY(EOMONTH(A273,0))/2))/AK273)</f>
        <v>#VALUE!</v>
      </c>
      <c r="AF273" s="224" t="e">
        <f aca="false">((Summary!$N$14*(AA273*AD273)*(A273-$D$3))+(Summary!$M$14*Z273*AC273*(AJ273-EOMONTH(EDATE(A273,-1),0))))/(AK273*AB273*AE273)</f>
        <v>#VALUE!</v>
      </c>
      <c r="AG273" s="207" t="str">
        <f aca="false">IF($A274="","",Summary!$Q$14)</f>
        <v/>
      </c>
      <c r="AH273" s="207" t="str">
        <f aca="false">IF($A274="","",IF(Summary!$R$12="Y",(VLOOKUP($A273,Summary!$AD$6:$AF$9,3)+'Escalating commodity'!J286),'Escalating commodity'!J286))</f>
        <v/>
      </c>
      <c r="AI273" s="207" t="str">
        <f aca="false">IF($A274="","",AH273)</f>
        <v/>
      </c>
      <c r="AJ273" s="208" t="e">
        <f aca="false">A273+DAY(EOMONTH(A273,0))/2-1</f>
        <v>#VALUE!</v>
      </c>
      <c r="AK273" s="209" t="str">
        <f aca="false">IF($A274="","",$A273-$E$1)</f>
        <v/>
      </c>
      <c r="AL273" s="182" t="str">
        <f aca="false">IF($A274="","",SPRDOPT(P273,X273,AI273,0,AB273,AE273,AF273,AK273,$AJ$2,0))</f>
        <v/>
      </c>
      <c r="AM273" s="211" t="str">
        <f aca="false">IF($A274="","",MAX(0,O273-W273-AI273))</f>
        <v/>
      </c>
      <c r="AN273" s="211" t="str">
        <f aca="false">IF($A274="","",AL273-AM273)</f>
        <v/>
      </c>
      <c r="AO273" s="137" t="str">
        <f aca="false">IF(A274="","",A274-A273)</f>
        <v/>
      </c>
      <c r="AP273" s="212" t="str">
        <f aca="false">IF(A274="","",CHOOSE(F$3,A274+24,A273))</f>
        <v/>
      </c>
      <c r="AQ273" s="209" t="str">
        <f aca="false">IF(A274="","",AP273-$E$1)</f>
        <v/>
      </c>
      <c r="AR273" s="185" t="n">
        <f aca="false">'ANR OK vs ML7'!AR273</f>
        <v>0.1</v>
      </c>
      <c r="AS273" s="213" t="str">
        <f aca="false">IF(A274="","",1/(1+CHOOSE(F$3,(AR274+($I$3/10000))/2,(AR273+($I$3/10000))/2))^(2*AQ273/365.25))</f>
        <v/>
      </c>
      <c r="AT273" s="137" t="str">
        <f aca="false">IF(A274="","",IF(AND(mthbeg&lt;=A273,mthend&gt;=A273),1,0))</f>
        <v/>
      </c>
      <c r="AU273" s="137" t="str">
        <f aca="false">IF(A274="","",AO273*AT273)</f>
        <v/>
      </c>
      <c r="AW273" s="195" t="str">
        <f aca="false">IF($A274="","",AL273*$E273)</f>
        <v/>
      </c>
      <c r="AX273" s="195" t="str">
        <f aca="false">IF($A274="","",AM273*$E273)</f>
        <v/>
      </c>
      <c r="AY273" s="195" t="str">
        <f aca="false">IF($A274="","",AN273*$E273)</f>
        <v/>
      </c>
      <c r="BA273" s="195" t="str">
        <f aca="false">IF($A274="","",F273*Summary!$Q$14)</f>
        <v/>
      </c>
    </row>
    <row r="274" customFormat="false" ht="12" hidden="false" customHeight="true" outlineLevel="0" collapsed="false">
      <c r="A274" s="196" t="str">
        <f aca="false">IF(A273&lt;mthend,EDATE(A273,1),"")</f>
        <v/>
      </c>
      <c r="B274" s="197" t="str">
        <f aca="false">IF(A274&lt;mthend,B273,"")</f>
        <v/>
      </c>
      <c r="C274" s="215"/>
      <c r="D274" s="197" t="str">
        <f aca="false">IF(A275&lt;&gt;"",B274+C274,"")</f>
        <v/>
      </c>
      <c r="E274" s="199" t="str">
        <f aca="false">IF(A275="","",IF(AND(AT274=1,$H$3=1),D274*AO274,IF($H$3=2,D274,"N/A")))</f>
        <v/>
      </c>
      <c r="F274" s="199" t="str">
        <f aca="false">IF(A275="","",E274*AS274)</f>
        <v/>
      </c>
      <c r="G274" s="200" t="str">
        <f aca="false">IF($A275="","",VLOOKUP($A274,Table,MATCH(G$4,Curves,0)))</f>
        <v/>
      </c>
      <c r="H274" s="201" t="str">
        <f aca="false">IF(A275="","",G274)</f>
        <v/>
      </c>
      <c r="I274" s="202"/>
      <c r="J274" s="200" t="str">
        <f aca="false">IF($A275="","",VLOOKUP($A274,Table,MATCH(J$4,Curves,0)))</f>
        <v/>
      </c>
      <c r="K274" s="201" t="str">
        <f aca="false">IF(A275="","",J274)</f>
        <v/>
      </c>
      <c r="L274" s="185" t="n">
        <v>0</v>
      </c>
      <c r="M274" s="201" t="str">
        <f aca="false">IF(A275="","",L274)</f>
        <v/>
      </c>
      <c r="N274" s="203"/>
      <c r="O274" s="200" t="str">
        <f aca="false">IF(A275="","",L274+J274+G274)</f>
        <v/>
      </c>
      <c r="P274" s="200" t="str">
        <f aca="false">IF(A275="","",M274+K274+H274)</f>
        <v/>
      </c>
      <c r="Q274" s="204"/>
      <c r="R274" s="200" t="str">
        <f aca="false">IF($A275="","",VLOOKUP($A274,Table,MATCH(R$4,Curves,0)))</f>
        <v/>
      </c>
      <c r="S274" s="201" t="str">
        <f aca="false">IF(A275="","",R274)</f>
        <v/>
      </c>
      <c r="T274" s="200" t="str">
        <f aca="false">IF($A275="","",VLOOKUP($A274,Table,MATCH(T$4,Curves,0)))</f>
        <v/>
      </c>
      <c r="U274" s="201" t="str">
        <f aca="false">IF(A275="","",T274)</f>
        <v/>
      </c>
      <c r="V274" s="183" t="str">
        <f aca="false">IF($A275="","",IF(AND(MONTH(A274)&gt;3,MONTH(A274)&lt;11),(T274+R274+G274)*(((1/(1-Summary!$T$14))/(1-Summary!$W$14))-1),(T274+R274+G274)*((1/(1-Summary!$U$14))/(1-Summary!$X$14)-1)))</f>
        <v/>
      </c>
      <c r="W274" s="202" t="str">
        <f aca="false">IF($A275="","",(T274+R274+G274+V274))</f>
        <v/>
      </c>
      <c r="X274" s="202" t="str">
        <f aca="false">IF($A275="","",(U274+S274+H274+V274))</f>
        <v/>
      </c>
      <c r="Y274" s="202"/>
      <c r="Z274" s="185" t="str">
        <f aca="false">IF($A275="","",VLOOKUP($A274,Table,MATCH(Z$4,Curves,0)))</f>
        <v/>
      </c>
      <c r="AA274" s="185" t="str">
        <f aca="false">IF($A275="","",VLOOKUP($A274,Table,MATCH(AA$4,Curves,0)))</f>
        <v/>
      </c>
      <c r="AB274" s="185" t="e">
        <f aca="false">SQRT((AA274^2*(A274-$D$3)+Z274^2*(DAY(EOMONTH(A274,0))/2))/AK274)</f>
        <v>#VALUE!</v>
      </c>
      <c r="AC274" s="185" t="str">
        <f aca="false">IF($A275="","",VLOOKUP($A274,Table,MATCH(AC$4,Curves,0)))</f>
        <v/>
      </c>
      <c r="AD274" s="185" t="str">
        <f aca="false">IF($A275="","",VLOOKUP($A274,Table,MATCH(AD$4,Curves,0)))</f>
        <v/>
      </c>
      <c r="AE274" s="185" t="e">
        <f aca="false">SQRT((AD274^2*(A274-$D$3)+AC274^2*(DAY(EOMONTH(A274,0))/2))/AK274)</f>
        <v>#VALUE!</v>
      </c>
      <c r="AF274" s="224" t="e">
        <f aca="false">((Summary!$N$14*(AA274*AD274)*(A274-$D$3))+(Summary!$M$14*Z274*AC274*(AJ274-EOMONTH(EDATE(A274,-1),0))))/(AK274*AB274*AE274)</f>
        <v>#VALUE!</v>
      </c>
      <c r="AG274" s="207" t="str">
        <f aca="false">IF($A275="","",Summary!$Q$14)</f>
        <v/>
      </c>
      <c r="AH274" s="207" t="str">
        <f aca="false">IF($A275="","",IF(Summary!$R$12="Y",(VLOOKUP($A274,Summary!$AD$6:$AF$9,3)+'Escalating commodity'!J287),'Escalating commodity'!J287))</f>
        <v/>
      </c>
      <c r="AI274" s="207" t="str">
        <f aca="false">IF($A275="","",AH274)</f>
        <v/>
      </c>
      <c r="AJ274" s="208" t="e">
        <f aca="false">A274+DAY(EOMONTH(A274,0))/2-1</f>
        <v>#VALUE!</v>
      </c>
      <c r="AK274" s="209" t="str">
        <f aca="false">IF($A275="","",$A274-$E$1)</f>
        <v/>
      </c>
      <c r="AL274" s="182" t="str">
        <f aca="false">IF($A275="","",SPRDOPT(P274,X274,AI274,0,AB274,AE274,AF274,AK274,$AJ$2,0))</f>
        <v/>
      </c>
      <c r="AM274" s="211" t="str">
        <f aca="false">IF($A275="","",MAX(0,O274-W274-AI274))</f>
        <v/>
      </c>
      <c r="AN274" s="211" t="str">
        <f aca="false">IF($A275="","",AL274-AM274)</f>
        <v/>
      </c>
      <c r="AO274" s="137" t="str">
        <f aca="false">IF(A275="","",A275-A274)</f>
        <v/>
      </c>
      <c r="AP274" s="212" t="str">
        <f aca="false">IF(A275="","",CHOOSE(F$3,A275+24,A274))</f>
        <v/>
      </c>
      <c r="AQ274" s="209" t="str">
        <f aca="false">IF(A275="","",AP274-$E$1)</f>
        <v/>
      </c>
      <c r="AR274" s="185" t="n">
        <f aca="false">'ANR OK vs ML7'!AR274</f>
        <v>0.1</v>
      </c>
      <c r="AS274" s="213" t="str">
        <f aca="false">IF(A275="","",1/(1+CHOOSE(F$3,(AR275+($I$3/10000))/2,(AR274+($I$3/10000))/2))^(2*AQ274/365.25))</f>
        <v/>
      </c>
      <c r="AT274" s="137" t="str">
        <f aca="false">IF(A275="","",IF(AND(mthbeg&lt;=A274,mthend&gt;=A274),1,0))</f>
        <v/>
      </c>
      <c r="AU274" s="137" t="str">
        <f aca="false">IF(A275="","",AO274*AT274)</f>
        <v/>
      </c>
      <c r="AW274" s="195" t="str">
        <f aca="false">IF($A275="","",AL274*$E274)</f>
        <v/>
      </c>
      <c r="AX274" s="195" t="str">
        <f aca="false">IF($A275="","",AM274*$E274)</f>
        <v/>
      </c>
      <c r="AY274" s="195" t="str">
        <f aca="false">IF($A275="","",AN274*$E274)</f>
        <v/>
      </c>
      <c r="BA274" s="195" t="str">
        <f aca="false">IF($A275="","",F274*Summary!$Q$14)</f>
        <v/>
      </c>
    </row>
    <row r="275" customFormat="false" ht="12" hidden="false" customHeight="true" outlineLevel="0" collapsed="false">
      <c r="A275" s="196" t="str">
        <f aca="false">IF(A274&lt;mthend,EDATE(A274,1),"")</f>
        <v/>
      </c>
      <c r="B275" s="197" t="str">
        <f aca="false">IF(A275&lt;mthend,B274,"")</f>
        <v/>
      </c>
      <c r="C275" s="215"/>
      <c r="D275" s="197" t="str">
        <f aca="false">IF(A276&lt;&gt;"",B275+C275,"")</f>
        <v/>
      </c>
      <c r="E275" s="199" t="str">
        <f aca="false">IF(A276="","",IF(AND(AT275=1,$H$3=1),D275*AO275,IF($H$3=2,D275,"N/A")))</f>
        <v/>
      </c>
      <c r="F275" s="199" t="str">
        <f aca="false">IF(A276="","",E275*AS275)</f>
        <v/>
      </c>
      <c r="G275" s="200" t="str">
        <f aca="false">IF($A276="","",VLOOKUP($A275,Table,MATCH(G$4,Curves,0)))</f>
        <v/>
      </c>
      <c r="H275" s="201" t="str">
        <f aca="false">IF(A276="","",G275)</f>
        <v/>
      </c>
      <c r="I275" s="202"/>
      <c r="J275" s="200" t="str">
        <f aca="false">IF($A276="","",VLOOKUP($A275,Table,MATCH(J$4,Curves,0)))</f>
        <v/>
      </c>
      <c r="K275" s="201" t="str">
        <f aca="false">IF(A276="","",J275)</f>
        <v/>
      </c>
      <c r="L275" s="185" t="n">
        <v>0</v>
      </c>
      <c r="M275" s="201" t="str">
        <f aca="false">IF(A276="","",L275)</f>
        <v/>
      </c>
      <c r="N275" s="203"/>
      <c r="O275" s="200" t="str">
        <f aca="false">IF(A276="","",L275+J275+G275)</f>
        <v/>
      </c>
      <c r="P275" s="200" t="str">
        <f aca="false">IF(A276="","",M275+K275+H275)</f>
        <v/>
      </c>
      <c r="Q275" s="204"/>
      <c r="R275" s="200" t="str">
        <f aca="false">IF($A276="","",VLOOKUP($A275,Table,MATCH(R$4,Curves,0)))</f>
        <v/>
      </c>
      <c r="S275" s="201" t="str">
        <f aca="false">IF(A276="","",R275)</f>
        <v/>
      </c>
      <c r="T275" s="200" t="str">
        <f aca="false">IF($A276="","",VLOOKUP($A275,Table,MATCH(T$4,Curves,0)))</f>
        <v/>
      </c>
      <c r="U275" s="201" t="str">
        <f aca="false">IF(A276="","",T275)</f>
        <v/>
      </c>
      <c r="V275" s="183" t="str">
        <f aca="false">IF($A276="","",IF(AND(MONTH(A275)&gt;3,MONTH(A275)&lt;11),(T275+R275+G275)*(((1/(1-Summary!$T$14))/(1-Summary!$W$14))-1),(T275+R275+G275)*((1/(1-Summary!$U$14))/(1-Summary!$X$14)-1)))</f>
        <v/>
      </c>
      <c r="W275" s="202" t="str">
        <f aca="false">IF($A276="","",(T275+R275+G275+V275))</f>
        <v/>
      </c>
      <c r="X275" s="202" t="str">
        <f aca="false">IF($A276="","",(U275+S275+H275+V275))</f>
        <v/>
      </c>
      <c r="Y275" s="202"/>
      <c r="Z275" s="185" t="str">
        <f aca="false">IF($A276="","",VLOOKUP($A275,Table,MATCH(Z$4,Curves,0)))</f>
        <v/>
      </c>
      <c r="AA275" s="185" t="str">
        <f aca="false">IF($A276="","",VLOOKUP($A275,Table,MATCH(AA$4,Curves,0)))</f>
        <v/>
      </c>
      <c r="AB275" s="185" t="e">
        <f aca="false">SQRT((AA275^2*(A275-$D$3)+Z275^2*(DAY(EOMONTH(A275,0))/2))/AK275)</f>
        <v>#VALUE!</v>
      </c>
      <c r="AC275" s="185" t="str">
        <f aca="false">IF($A276="","",VLOOKUP($A275,Table,MATCH(AC$4,Curves,0)))</f>
        <v/>
      </c>
      <c r="AD275" s="185" t="str">
        <f aca="false">IF($A276="","",VLOOKUP($A275,Table,MATCH(AD$4,Curves,0)))</f>
        <v/>
      </c>
      <c r="AE275" s="185" t="e">
        <f aca="false">SQRT((AD275^2*(A275-$D$3)+AC275^2*(DAY(EOMONTH(A275,0))/2))/AK275)</f>
        <v>#VALUE!</v>
      </c>
      <c r="AF275" s="224" t="e">
        <f aca="false">((Summary!$N$14*(AA275*AD275)*(A275-$D$3))+(Summary!$M$14*Z275*AC275*(AJ275-EOMONTH(EDATE(A275,-1),0))))/(AK275*AB275*AE275)</f>
        <v>#VALUE!</v>
      </c>
      <c r="AG275" s="207" t="str">
        <f aca="false">IF($A276="","",Summary!$Q$14)</f>
        <v/>
      </c>
      <c r="AH275" s="207" t="str">
        <f aca="false">IF($A276="","",IF(Summary!$R$12="Y",(VLOOKUP($A275,Summary!$AD$6:$AF$9,3)+'Escalating commodity'!J288),'Escalating commodity'!J288))</f>
        <v/>
      </c>
      <c r="AI275" s="207" t="str">
        <f aca="false">IF($A276="","",AH275)</f>
        <v/>
      </c>
      <c r="AJ275" s="208" t="e">
        <f aca="false">A275+DAY(EOMONTH(A275,0))/2-1</f>
        <v>#VALUE!</v>
      </c>
      <c r="AK275" s="209" t="str">
        <f aca="false">IF($A276="","",$A275-$E$1)</f>
        <v/>
      </c>
      <c r="AL275" s="182" t="str">
        <f aca="false">IF($A276="","",SPRDOPT(P275,X275,AI275,0,AB275,AE275,AF275,AK275,$AJ$2,0))</f>
        <v/>
      </c>
      <c r="AM275" s="211" t="str">
        <f aca="false">IF($A276="","",MAX(0,O275-W275-AI275))</f>
        <v/>
      </c>
      <c r="AN275" s="211" t="str">
        <f aca="false">IF($A276="","",AL275-AM275)</f>
        <v/>
      </c>
      <c r="AO275" s="137" t="str">
        <f aca="false">IF(A276="","",A276-A275)</f>
        <v/>
      </c>
      <c r="AP275" s="212" t="str">
        <f aca="false">IF(A276="","",CHOOSE(F$3,A276+24,A275))</f>
        <v/>
      </c>
      <c r="AQ275" s="209" t="str">
        <f aca="false">IF(A276="","",AP275-$E$1)</f>
        <v/>
      </c>
      <c r="AR275" s="185" t="n">
        <f aca="false">'ANR OK vs ML7'!AR275</f>
        <v>0.1</v>
      </c>
      <c r="AS275" s="213" t="str">
        <f aca="false">IF(A276="","",1/(1+CHOOSE(F$3,(AR276+($I$3/10000))/2,(AR275+($I$3/10000))/2))^(2*AQ275/365.25))</f>
        <v/>
      </c>
      <c r="AT275" s="137" t="str">
        <f aca="false">IF(A276="","",IF(AND(mthbeg&lt;=A275,mthend&gt;=A275),1,0))</f>
        <v/>
      </c>
      <c r="AU275" s="137" t="str">
        <f aca="false">IF(A276="","",AO275*AT275)</f>
        <v/>
      </c>
      <c r="AW275" s="195" t="str">
        <f aca="false">IF($A276="","",AL275*$E275)</f>
        <v/>
      </c>
      <c r="AX275" s="195" t="str">
        <f aca="false">IF($A276="","",AM275*$E275)</f>
        <v/>
      </c>
      <c r="AY275" s="195" t="str">
        <f aca="false">IF($A276="","",AN275*$E275)</f>
        <v/>
      </c>
      <c r="BA275" s="195" t="str">
        <f aca="false">IF($A276="","",F275*Summary!$Q$14)</f>
        <v/>
      </c>
    </row>
    <row r="276" customFormat="false" ht="12" hidden="false" customHeight="true" outlineLevel="0" collapsed="false">
      <c r="A276" s="196" t="str">
        <f aca="false">IF(A275&lt;mthend,EDATE(A275,1),"")</f>
        <v/>
      </c>
      <c r="B276" s="197" t="str">
        <f aca="false">IF(A276&lt;mthend,B275,"")</f>
        <v/>
      </c>
      <c r="C276" s="215"/>
      <c r="D276" s="197" t="str">
        <f aca="false">IF(A277&lt;&gt;"",B276+C276,"")</f>
        <v/>
      </c>
      <c r="E276" s="199" t="str">
        <f aca="false">IF(A277="","",IF(AND(AT276=1,$H$3=1),D276*AO276,IF($H$3=2,D276,"N/A")))</f>
        <v/>
      </c>
      <c r="F276" s="199" t="str">
        <f aca="false">IF(A277="","",E276*AS276)</f>
        <v/>
      </c>
      <c r="G276" s="200" t="str">
        <f aca="false">IF($A277="","",VLOOKUP($A276,Table,MATCH(G$4,Curves,0)))</f>
        <v/>
      </c>
      <c r="H276" s="201" t="str">
        <f aca="false">IF(A277="","",G276)</f>
        <v/>
      </c>
      <c r="I276" s="202"/>
      <c r="J276" s="200" t="str">
        <f aca="false">IF($A277="","",VLOOKUP($A276,Table,MATCH(J$4,Curves,0)))</f>
        <v/>
      </c>
      <c r="K276" s="201" t="str">
        <f aca="false">IF(A277="","",J276)</f>
        <v/>
      </c>
      <c r="L276" s="185" t="n">
        <v>0</v>
      </c>
      <c r="M276" s="201" t="str">
        <f aca="false">IF(A277="","",L276)</f>
        <v/>
      </c>
      <c r="N276" s="203"/>
      <c r="O276" s="200" t="str">
        <f aca="false">IF(A277="","",L276+J276+G276)</f>
        <v/>
      </c>
      <c r="P276" s="200" t="str">
        <f aca="false">IF(A277="","",M276+K276+H276)</f>
        <v/>
      </c>
      <c r="Q276" s="204"/>
      <c r="R276" s="200" t="str">
        <f aca="false">IF($A277="","",VLOOKUP($A276,Table,MATCH(R$4,Curves,0)))</f>
        <v/>
      </c>
      <c r="S276" s="201" t="str">
        <f aca="false">IF(A277="","",R276)</f>
        <v/>
      </c>
      <c r="T276" s="200" t="str">
        <f aca="false">IF($A277="","",VLOOKUP($A276,Table,MATCH(T$4,Curves,0)))</f>
        <v/>
      </c>
      <c r="U276" s="201" t="str">
        <f aca="false">IF(A277="","",T276)</f>
        <v/>
      </c>
      <c r="V276" s="183" t="str">
        <f aca="false">IF($A277="","",IF(AND(MONTH(A276)&gt;3,MONTH(A276)&lt;11),(T276+R276+G276)*(((1/(1-Summary!$T$14))/(1-Summary!$W$14))-1),(T276+R276+G276)*((1/(1-Summary!$U$14))/(1-Summary!$X$14)-1)))</f>
        <v/>
      </c>
      <c r="W276" s="202" t="str">
        <f aca="false">IF($A277="","",(T276+R276+G276+V276))</f>
        <v/>
      </c>
      <c r="X276" s="202" t="str">
        <f aca="false">IF($A277="","",(U276+S276+H276+V276))</f>
        <v/>
      </c>
      <c r="Y276" s="202"/>
      <c r="Z276" s="185" t="str">
        <f aca="false">IF($A277="","",VLOOKUP($A276,Table,MATCH(Z$4,Curves,0)))</f>
        <v/>
      </c>
      <c r="AA276" s="185" t="str">
        <f aca="false">IF($A277="","",VLOOKUP($A276,Table,MATCH(AA$4,Curves,0)))</f>
        <v/>
      </c>
      <c r="AB276" s="185" t="e">
        <f aca="false">SQRT((AA276^2*(A276-$D$3)+Z276^2*(DAY(EOMONTH(A276,0))/2))/AK276)</f>
        <v>#VALUE!</v>
      </c>
      <c r="AC276" s="185" t="str">
        <f aca="false">IF($A277="","",VLOOKUP($A276,Table,MATCH(AC$4,Curves,0)))</f>
        <v/>
      </c>
      <c r="AD276" s="185" t="str">
        <f aca="false">IF($A277="","",VLOOKUP($A276,Table,MATCH(AD$4,Curves,0)))</f>
        <v/>
      </c>
      <c r="AE276" s="185" t="e">
        <f aca="false">SQRT((AD276^2*(A276-$D$3)+AC276^2*(DAY(EOMONTH(A276,0))/2))/AK276)</f>
        <v>#VALUE!</v>
      </c>
      <c r="AF276" s="224" t="e">
        <f aca="false">((Summary!$N$14*(AA276*AD276)*(A276-$D$3))+(Summary!$M$14*Z276*AC276*(AJ276-EOMONTH(EDATE(A276,-1),0))))/(AK276*AB276*AE276)</f>
        <v>#VALUE!</v>
      </c>
      <c r="AG276" s="207" t="str">
        <f aca="false">IF($A277="","",Summary!$Q$14)</f>
        <v/>
      </c>
      <c r="AH276" s="207" t="str">
        <f aca="false">IF($A277="","",IF(Summary!$R$12="Y",(VLOOKUP($A276,Summary!$AD$6:$AF$9,3)+'Escalating commodity'!J289),'Escalating commodity'!J289))</f>
        <v/>
      </c>
      <c r="AI276" s="207" t="str">
        <f aca="false">IF($A277="","",AH276)</f>
        <v/>
      </c>
      <c r="AJ276" s="208" t="e">
        <f aca="false">A276+DAY(EOMONTH(A276,0))/2-1</f>
        <v>#VALUE!</v>
      </c>
      <c r="AK276" s="209" t="str">
        <f aca="false">IF($A277="","",$A276-$E$1)</f>
        <v/>
      </c>
      <c r="AL276" s="182" t="str">
        <f aca="false">IF($A277="","",SPRDOPT(P276,X276,AI276,0,AB276,AE276,AF276,AK276,$AJ$2,0))</f>
        <v/>
      </c>
      <c r="AM276" s="211" t="str">
        <f aca="false">IF($A277="","",MAX(0,O276-W276-AI276))</f>
        <v/>
      </c>
      <c r="AN276" s="211" t="str">
        <f aca="false">IF($A277="","",AL276-AM276)</f>
        <v/>
      </c>
      <c r="AO276" s="137" t="str">
        <f aca="false">IF(A277="","",A277-A276)</f>
        <v/>
      </c>
      <c r="AP276" s="212" t="str">
        <f aca="false">IF(A277="","",CHOOSE(F$3,A277+24,A276))</f>
        <v/>
      </c>
      <c r="AQ276" s="209" t="str">
        <f aca="false">IF(A277="","",AP276-$E$1)</f>
        <v/>
      </c>
      <c r="AR276" s="185" t="n">
        <f aca="false">'ANR OK vs ML7'!AR276</f>
        <v>0.1</v>
      </c>
      <c r="AS276" s="213" t="str">
        <f aca="false">IF(A277="","",1/(1+CHOOSE(F$3,(AR277+($I$3/10000))/2,(AR276+($I$3/10000))/2))^(2*AQ276/365.25))</f>
        <v/>
      </c>
      <c r="AT276" s="137" t="str">
        <f aca="false">IF(A277="","",IF(AND(mthbeg&lt;=A276,mthend&gt;=A276),1,0))</f>
        <v/>
      </c>
      <c r="AU276" s="137" t="str">
        <f aca="false">IF(A277="","",AO276*AT276)</f>
        <v/>
      </c>
      <c r="AW276" s="195" t="str">
        <f aca="false">IF($A277="","",AL276*$E276)</f>
        <v/>
      </c>
      <c r="AX276" s="195" t="str">
        <f aca="false">IF($A277="","",AM276*$E276)</f>
        <v/>
      </c>
      <c r="AY276" s="195" t="str">
        <f aca="false">IF($A277="","",AN276*$E276)</f>
        <v/>
      </c>
      <c r="BA276" s="195" t="str">
        <f aca="false">IF($A277="","",F276*Summary!$Q$14)</f>
        <v/>
      </c>
    </row>
    <row r="277" customFormat="false" ht="12" hidden="false" customHeight="true" outlineLevel="0" collapsed="false">
      <c r="A277" s="196" t="str">
        <f aca="false">IF(A276&lt;mthend,EDATE(A276,1),"")</f>
        <v/>
      </c>
      <c r="B277" s="197" t="str">
        <f aca="false">IF(A277&lt;mthend,B276,"")</f>
        <v/>
      </c>
      <c r="C277" s="215"/>
      <c r="D277" s="197" t="str">
        <f aca="false">IF(A278&lt;&gt;"",B277+C277,"")</f>
        <v/>
      </c>
      <c r="E277" s="199" t="str">
        <f aca="false">IF(A278="","",IF(AND(AT277=1,$H$3=1),D277*AO277,IF($H$3=2,D277,"N/A")))</f>
        <v/>
      </c>
      <c r="F277" s="199" t="str">
        <f aca="false">IF(A278="","",E277*AS277)</f>
        <v/>
      </c>
      <c r="G277" s="200" t="str">
        <f aca="false">IF($A278="","",VLOOKUP($A277,Table,MATCH(G$4,Curves,0)))</f>
        <v/>
      </c>
      <c r="H277" s="201" t="str">
        <f aca="false">IF(A278="","",G277)</f>
        <v/>
      </c>
      <c r="I277" s="202"/>
      <c r="J277" s="200" t="str">
        <f aca="false">IF($A278="","",VLOOKUP($A277,Table,MATCH(J$4,Curves,0)))</f>
        <v/>
      </c>
      <c r="K277" s="201" t="str">
        <f aca="false">IF(A278="","",J277)</f>
        <v/>
      </c>
      <c r="L277" s="185" t="n">
        <v>0</v>
      </c>
      <c r="M277" s="201" t="str">
        <f aca="false">IF(A278="","",L277)</f>
        <v/>
      </c>
      <c r="N277" s="203"/>
      <c r="O277" s="200" t="str">
        <f aca="false">IF(A278="","",L277+J277+G277)</f>
        <v/>
      </c>
      <c r="P277" s="200" t="str">
        <f aca="false">IF(A278="","",M277+K277+H277)</f>
        <v/>
      </c>
      <c r="Q277" s="204"/>
      <c r="R277" s="200" t="str">
        <f aca="false">IF($A278="","",VLOOKUP($A277,Table,MATCH(R$4,Curves,0)))</f>
        <v/>
      </c>
      <c r="S277" s="201" t="str">
        <f aca="false">IF(A278="","",R277)</f>
        <v/>
      </c>
      <c r="T277" s="200" t="str">
        <f aca="false">IF($A278="","",VLOOKUP($A277,Table,MATCH(T$4,Curves,0)))</f>
        <v/>
      </c>
      <c r="U277" s="201" t="str">
        <f aca="false">IF(A278="","",T277)</f>
        <v/>
      </c>
      <c r="V277" s="183" t="str">
        <f aca="false">IF($A278="","",IF(AND(MONTH(A277)&gt;3,MONTH(A277)&lt;11),(T277+R277+G277)*(((1/(1-Summary!$T$14))/(1-Summary!$W$14))-1),(T277+R277+G277)*((1/(1-Summary!$U$14))/(1-Summary!$X$14)-1)))</f>
        <v/>
      </c>
      <c r="W277" s="202" t="str">
        <f aca="false">IF($A278="","",(T277+R277+G277+V277))</f>
        <v/>
      </c>
      <c r="X277" s="202" t="str">
        <f aca="false">IF($A278="","",(U277+S277+H277+V277))</f>
        <v/>
      </c>
      <c r="Y277" s="202"/>
      <c r="Z277" s="185" t="str">
        <f aca="false">IF($A278="","",VLOOKUP($A277,Table,MATCH(Z$4,Curves,0)))</f>
        <v/>
      </c>
      <c r="AA277" s="185" t="str">
        <f aca="false">IF($A278="","",VLOOKUP($A277,Table,MATCH(AA$4,Curves,0)))</f>
        <v/>
      </c>
      <c r="AB277" s="185" t="e">
        <f aca="false">SQRT((AA277^2*(A277-$D$3)+Z277^2*(DAY(EOMONTH(A277,0))/2))/AK277)</f>
        <v>#VALUE!</v>
      </c>
      <c r="AC277" s="185" t="str">
        <f aca="false">IF($A278="","",VLOOKUP($A277,Table,MATCH(AC$4,Curves,0)))</f>
        <v/>
      </c>
      <c r="AD277" s="185" t="str">
        <f aca="false">IF($A278="","",VLOOKUP($A277,Table,MATCH(AD$4,Curves,0)))</f>
        <v/>
      </c>
      <c r="AE277" s="185" t="e">
        <f aca="false">SQRT((AD277^2*(A277-$D$3)+AC277^2*(DAY(EOMONTH(A277,0))/2))/AK277)</f>
        <v>#VALUE!</v>
      </c>
      <c r="AF277" s="224" t="e">
        <f aca="false">((Summary!$N$14*(AA277*AD277)*(A277-$D$3))+(Summary!$M$14*Z277*AC277*(AJ277-EOMONTH(EDATE(A277,-1),0))))/(AK277*AB277*AE277)</f>
        <v>#VALUE!</v>
      </c>
      <c r="AG277" s="207" t="str">
        <f aca="false">IF($A278="","",Summary!$Q$14)</f>
        <v/>
      </c>
      <c r="AH277" s="207" t="str">
        <f aca="false">IF($A278="","",IF(Summary!$R$12="Y",(VLOOKUP($A277,Summary!$AD$6:$AF$9,3)+'Escalating commodity'!J290),'Escalating commodity'!J290))</f>
        <v/>
      </c>
      <c r="AI277" s="207" t="str">
        <f aca="false">IF($A278="","",AH277)</f>
        <v/>
      </c>
      <c r="AJ277" s="208" t="e">
        <f aca="false">A277+DAY(EOMONTH(A277,0))/2-1</f>
        <v>#VALUE!</v>
      </c>
      <c r="AK277" s="209" t="str">
        <f aca="false">IF($A278="","",$A277-$E$1)</f>
        <v/>
      </c>
      <c r="AL277" s="182" t="str">
        <f aca="false">IF($A278="","",SPRDOPT(P277,X277,AI277,0,AB277,AE277,AF277,AK277,$AJ$2,0))</f>
        <v/>
      </c>
      <c r="AM277" s="211" t="str">
        <f aca="false">IF($A278="","",MAX(0,O277-W277-AI277))</f>
        <v/>
      </c>
      <c r="AN277" s="211" t="str">
        <f aca="false">IF($A278="","",AL277-AM277)</f>
        <v/>
      </c>
      <c r="AO277" s="137" t="str">
        <f aca="false">IF(A278="","",A278-A277)</f>
        <v/>
      </c>
      <c r="AP277" s="212" t="str">
        <f aca="false">IF(A278="","",CHOOSE(F$3,A278+24,A277))</f>
        <v/>
      </c>
      <c r="AQ277" s="209" t="str">
        <f aca="false">IF(A278="","",AP277-$E$1)</f>
        <v/>
      </c>
      <c r="AR277" s="185" t="n">
        <f aca="false">'ANR OK vs ML7'!AR277</f>
        <v>0.1</v>
      </c>
      <c r="AS277" s="213" t="str">
        <f aca="false">IF(A278="","",1/(1+CHOOSE(F$3,(AR278+($I$3/10000))/2,(AR277+($I$3/10000))/2))^(2*AQ277/365.25))</f>
        <v/>
      </c>
      <c r="AT277" s="137" t="str">
        <f aca="false">IF(A278="","",IF(AND(mthbeg&lt;=A277,mthend&gt;=A277),1,0))</f>
        <v/>
      </c>
      <c r="AU277" s="137" t="str">
        <f aca="false">IF(A278="","",AO277*AT277)</f>
        <v/>
      </c>
      <c r="AW277" s="195" t="str">
        <f aca="false">IF($A278="","",AL277*$E277)</f>
        <v/>
      </c>
      <c r="AX277" s="195" t="str">
        <f aca="false">IF($A278="","",AM277*$E277)</f>
        <v/>
      </c>
      <c r="AY277" s="195" t="str">
        <f aca="false">IF($A278="","",AN277*$E277)</f>
        <v/>
      </c>
      <c r="BA277" s="195" t="str">
        <f aca="false">IF($A278="","",F277*Summary!$Q$14)</f>
        <v/>
      </c>
    </row>
    <row r="278" customFormat="false" ht="12" hidden="false" customHeight="true" outlineLevel="0" collapsed="false">
      <c r="A278" s="196" t="str">
        <f aca="false">IF(A277&lt;mthend,EDATE(A277,1),"")</f>
        <v/>
      </c>
      <c r="B278" s="197" t="str">
        <f aca="false">IF(A278&lt;mthend,B277,"")</f>
        <v/>
      </c>
      <c r="C278" s="215"/>
      <c r="D278" s="197" t="str">
        <f aca="false">IF(A279&lt;&gt;"",B278+C278,"")</f>
        <v/>
      </c>
      <c r="E278" s="199" t="str">
        <f aca="false">IF(A279="","",IF(AND(AT278=1,$H$3=1),D278*AO278,IF($H$3=2,D278,"N/A")))</f>
        <v/>
      </c>
      <c r="F278" s="199" t="str">
        <f aca="false">IF(A279="","",E278*AS278)</f>
        <v/>
      </c>
      <c r="G278" s="200" t="str">
        <f aca="false">IF($A279="","",VLOOKUP($A278,Table,MATCH(G$4,Curves,0)))</f>
        <v/>
      </c>
      <c r="H278" s="201" t="str">
        <f aca="false">IF(A279="","",G278)</f>
        <v/>
      </c>
      <c r="I278" s="202"/>
      <c r="J278" s="200" t="str">
        <f aca="false">IF($A279="","",VLOOKUP($A278,Table,MATCH(J$4,Curves,0)))</f>
        <v/>
      </c>
      <c r="K278" s="201" t="str">
        <f aca="false">IF(A279="","",J278)</f>
        <v/>
      </c>
      <c r="L278" s="185" t="n">
        <v>0</v>
      </c>
      <c r="M278" s="201" t="str">
        <f aca="false">IF(A279="","",L278)</f>
        <v/>
      </c>
      <c r="N278" s="203"/>
      <c r="O278" s="200" t="str">
        <f aca="false">IF(A279="","",L278+J278+G278)</f>
        <v/>
      </c>
      <c r="P278" s="200" t="str">
        <f aca="false">IF(A279="","",M278+K278+H278)</f>
        <v/>
      </c>
      <c r="Q278" s="204"/>
      <c r="R278" s="200" t="str">
        <f aca="false">IF($A279="","",VLOOKUP($A278,Table,MATCH(R$4,Curves,0)))</f>
        <v/>
      </c>
      <c r="S278" s="201" t="str">
        <f aca="false">IF(A279="","",R278)</f>
        <v/>
      </c>
      <c r="T278" s="200" t="str">
        <f aca="false">IF($A279="","",VLOOKUP($A278,Table,MATCH(T$4,Curves,0)))</f>
        <v/>
      </c>
      <c r="U278" s="201" t="str">
        <f aca="false">IF(A279="","",T278)</f>
        <v/>
      </c>
      <c r="V278" s="183" t="str">
        <f aca="false">IF($A279="","",IF(AND(MONTH(A278)&gt;3,MONTH(A278)&lt;11),(T278+R278+G278)*(((1/(1-Summary!$T$14))/(1-Summary!$W$14))-1),(T278+R278+G278)*((1/(1-Summary!$U$14))/(1-Summary!$X$14)-1)))</f>
        <v/>
      </c>
      <c r="W278" s="202" t="str">
        <f aca="false">IF($A279="","",(T278+R278+G278+V278))</f>
        <v/>
      </c>
      <c r="X278" s="202" t="str">
        <f aca="false">IF($A279="","",(U278+S278+H278+V278))</f>
        <v/>
      </c>
      <c r="Y278" s="202"/>
      <c r="Z278" s="185" t="str">
        <f aca="false">IF($A279="","",VLOOKUP($A278,Table,MATCH(Z$4,Curves,0)))</f>
        <v/>
      </c>
      <c r="AA278" s="185" t="str">
        <f aca="false">IF($A279="","",VLOOKUP($A278,Table,MATCH(AA$4,Curves,0)))</f>
        <v/>
      </c>
      <c r="AB278" s="185" t="e">
        <f aca="false">SQRT((AA278^2*(A278-$D$3)+Z278^2*(DAY(EOMONTH(A278,0))/2))/AK278)</f>
        <v>#VALUE!</v>
      </c>
      <c r="AC278" s="185" t="str">
        <f aca="false">IF($A279="","",VLOOKUP($A278,Table,MATCH(AC$4,Curves,0)))</f>
        <v/>
      </c>
      <c r="AD278" s="185" t="str">
        <f aca="false">IF($A279="","",VLOOKUP($A278,Table,MATCH(AD$4,Curves,0)))</f>
        <v/>
      </c>
      <c r="AE278" s="185" t="e">
        <f aca="false">SQRT((AD278^2*(A278-$D$3)+AC278^2*(DAY(EOMONTH(A278,0))/2))/AK278)</f>
        <v>#VALUE!</v>
      </c>
      <c r="AF278" s="224" t="e">
        <f aca="false">((Summary!$N$14*(AA278*AD278)*(A278-$D$3))+(Summary!$M$14*Z278*AC278*(AJ278-EOMONTH(EDATE(A278,-1),0))))/(AK278*AB278*AE278)</f>
        <v>#VALUE!</v>
      </c>
      <c r="AG278" s="207" t="str">
        <f aca="false">IF($A279="","",Summary!$Q$14)</f>
        <v/>
      </c>
      <c r="AH278" s="207" t="str">
        <f aca="false">IF($A279="","",IF(Summary!$R$12="Y",(VLOOKUP($A278,Summary!$AD$6:$AF$9,3)+'Escalating commodity'!J291),'Escalating commodity'!J291))</f>
        <v/>
      </c>
      <c r="AI278" s="207" t="str">
        <f aca="false">IF($A279="","",AH278)</f>
        <v/>
      </c>
      <c r="AJ278" s="208" t="e">
        <f aca="false">A278+DAY(EOMONTH(A278,0))/2-1</f>
        <v>#VALUE!</v>
      </c>
      <c r="AK278" s="209" t="str">
        <f aca="false">IF($A279="","",$A278-$E$1)</f>
        <v/>
      </c>
      <c r="AL278" s="182" t="str">
        <f aca="false">IF($A279="","",SPRDOPT(P278,X278,AI278,0,AB278,AE278,AF278,AK278,$AJ$2,0))</f>
        <v/>
      </c>
      <c r="AM278" s="211" t="str">
        <f aca="false">IF($A279="","",MAX(0,O278-W278-AI278))</f>
        <v/>
      </c>
      <c r="AN278" s="211" t="str">
        <f aca="false">IF($A279="","",AL278-AM278)</f>
        <v/>
      </c>
      <c r="AO278" s="137" t="str">
        <f aca="false">IF(A279="","",A279-A278)</f>
        <v/>
      </c>
      <c r="AP278" s="212" t="str">
        <f aca="false">IF(A279="","",CHOOSE(F$3,A279+24,A278))</f>
        <v/>
      </c>
      <c r="AQ278" s="209" t="str">
        <f aca="false">IF(A279="","",AP278-$E$1)</f>
        <v/>
      </c>
      <c r="AR278" s="185" t="n">
        <f aca="false">'ANR OK vs ML7'!AR278</f>
        <v>0.1</v>
      </c>
      <c r="AS278" s="213" t="str">
        <f aca="false">IF(A279="","",1/(1+CHOOSE(F$3,(AR279+($I$3/10000))/2,(AR278+($I$3/10000))/2))^(2*AQ278/365.25))</f>
        <v/>
      </c>
      <c r="AT278" s="137" t="str">
        <f aca="false">IF(A279="","",IF(AND(mthbeg&lt;=A278,mthend&gt;=A278),1,0))</f>
        <v/>
      </c>
      <c r="AU278" s="137" t="str">
        <f aca="false">IF(A279="","",AO278*AT278)</f>
        <v/>
      </c>
      <c r="AW278" s="195" t="str">
        <f aca="false">IF($A279="","",AL278*$E278)</f>
        <v/>
      </c>
      <c r="AX278" s="195" t="str">
        <f aca="false">IF($A279="","",AM278*$E278)</f>
        <v/>
      </c>
      <c r="AY278" s="195" t="str">
        <f aca="false">IF($A279="","",AN278*$E278)</f>
        <v/>
      </c>
      <c r="BA278" s="195" t="str">
        <f aca="false">IF($A279="","",F278*Summary!$Q$14)</f>
        <v/>
      </c>
    </row>
    <row r="279" customFormat="false" ht="12" hidden="false" customHeight="true" outlineLevel="0" collapsed="false">
      <c r="A279" s="196" t="str">
        <f aca="false">IF(A278&lt;mthend,EDATE(A278,1),"")</f>
        <v/>
      </c>
      <c r="B279" s="197" t="str">
        <f aca="false">IF(A279&lt;mthend,B278,"")</f>
        <v/>
      </c>
      <c r="C279" s="215"/>
      <c r="D279" s="197" t="str">
        <f aca="false">IF(A280&lt;&gt;"",B279+C279,"")</f>
        <v/>
      </c>
      <c r="E279" s="199" t="str">
        <f aca="false">IF(A280="","",IF(AND(AT279=1,$H$3=1),D279*AO279,IF($H$3=2,D279,"N/A")))</f>
        <v/>
      </c>
      <c r="F279" s="199" t="str">
        <f aca="false">IF(A280="","",E279*AS279)</f>
        <v/>
      </c>
      <c r="G279" s="200" t="str">
        <f aca="false">IF($A280="","",VLOOKUP($A279,Table,MATCH(G$4,Curves,0)))</f>
        <v/>
      </c>
      <c r="H279" s="201" t="str">
        <f aca="false">IF(A280="","",G279)</f>
        <v/>
      </c>
      <c r="I279" s="202"/>
      <c r="J279" s="200" t="str">
        <f aca="false">IF($A280="","",VLOOKUP($A279,Table,MATCH(J$4,Curves,0)))</f>
        <v/>
      </c>
      <c r="K279" s="201" t="str">
        <f aca="false">IF(A280="","",J279)</f>
        <v/>
      </c>
      <c r="L279" s="185" t="n">
        <v>0</v>
      </c>
      <c r="M279" s="201" t="str">
        <f aca="false">IF(A280="","",L279)</f>
        <v/>
      </c>
      <c r="N279" s="203"/>
      <c r="O279" s="200" t="str">
        <f aca="false">IF(A280="","",L279+J279+G279)</f>
        <v/>
      </c>
      <c r="P279" s="200" t="str">
        <f aca="false">IF(A280="","",M279+K279+H279)</f>
        <v/>
      </c>
      <c r="Q279" s="204"/>
      <c r="R279" s="200" t="str">
        <f aca="false">IF($A280="","",VLOOKUP($A279,Table,MATCH(R$4,Curves,0)))</f>
        <v/>
      </c>
      <c r="S279" s="201" t="str">
        <f aca="false">IF(A280="","",R279)</f>
        <v/>
      </c>
      <c r="T279" s="200" t="str">
        <f aca="false">IF($A280="","",VLOOKUP($A279,Table,MATCH(T$4,Curves,0)))</f>
        <v/>
      </c>
      <c r="U279" s="201" t="str">
        <f aca="false">IF(A280="","",T279)</f>
        <v/>
      </c>
      <c r="V279" s="183" t="str">
        <f aca="false">IF($A280="","",IF(AND(MONTH(A279)&gt;3,MONTH(A279)&lt;11),(T279+R279+G279)*(((1/(1-Summary!$T$14))/(1-Summary!$W$14))-1),(T279+R279+G279)*((1/(1-Summary!$U$14))/(1-Summary!$X$14)-1)))</f>
        <v/>
      </c>
      <c r="W279" s="202" t="str">
        <f aca="false">IF($A280="","",(T279+R279+G279+V279))</f>
        <v/>
      </c>
      <c r="X279" s="202" t="str">
        <f aca="false">IF($A280="","",(U279+S279+H279+V279))</f>
        <v/>
      </c>
      <c r="Y279" s="202"/>
      <c r="Z279" s="185" t="str">
        <f aca="false">IF($A280="","",VLOOKUP($A279,Table,MATCH(Z$4,Curves,0)))</f>
        <v/>
      </c>
      <c r="AA279" s="185" t="str">
        <f aca="false">IF($A280="","",VLOOKUP($A279,Table,MATCH(AA$4,Curves,0)))</f>
        <v/>
      </c>
      <c r="AB279" s="185" t="e">
        <f aca="false">SQRT((AA279^2*(A279-$D$3)+Z279^2*(DAY(EOMONTH(A279,0))/2))/AK279)</f>
        <v>#VALUE!</v>
      </c>
      <c r="AC279" s="185" t="str">
        <f aca="false">IF($A280="","",VLOOKUP($A279,Table,MATCH(AC$4,Curves,0)))</f>
        <v/>
      </c>
      <c r="AD279" s="185" t="str">
        <f aca="false">IF($A280="","",VLOOKUP($A279,Table,MATCH(AD$4,Curves,0)))</f>
        <v/>
      </c>
      <c r="AE279" s="185" t="e">
        <f aca="false">SQRT((AD279^2*(A279-$D$3)+AC279^2*(DAY(EOMONTH(A279,0))/2))/AK279)</f>
        <v>#VALUE!</v>
      </c>
      <c r="AF279" s="224" t="e">
        <f aca="false">((Summary!$N$14*(AA279*AD279)*(A279-$D$3))+(Summary!$M$14*Z279*AC279*(AJ279-EOMONTH(EDATE(A279,-1),0))))/(AK279*AB279*AE279)</f>
        <v>#VALUE!</v>
      </c>
      <c r="AG279" s="207" t="str">
        <f aca="false">IF($A280="","",Summary!$Q$14)</f>
        <v/>
      </c>
      <c r="AH279" s="207" t="str">
        <f aca="false">IF($A280="","",IF(Summary!$R$12="Y",(VLOOKUP($A279,Summary!$AD$6:$AF$9,3)+'Escalating commodity'!J292),'Escalating commodity'!J292))</f>
        <v/>
      </c>
      <c r="AI279" s="207" t="str">
        <f aca="false">IF($A280="","",AH279)</f>
        <v/>
      </c>
      <c r="AJ279" s="208" t="e">
        <f aca="false">A279+DAY(EOMONTH(A279,0))/2-1</f>
        <v>#VALUE!</v>
      </c>
      <c r="AK279" s="209" t="str">
        <f aca="false">IF($A280="","",$A279-$E$1)</f>
        <v/>
      </c>
      <c r="AL279" s="182" t="str">
        <f aca="false">IF($A280="","",SPRDOPT(P279,X279,AI279,0,AB279,AE279,AF279,AK279,$AJ$2,0))</f>
        <v/>
      </c>
      <c r="AM279" s="211" t="str">
        <f aca="false">IF($A280="","",MAX(0,O279-W279-AI279))</f>
        <v/>
      </c>
      <c r="AN279" s="211" t="str">
        <f aca="false">IF($A280="","",AL279-AM279)</f>
        <v/>
      </c>
      <c r="AO279" s="137" t="str">
        <f aca="false">IF(A280="","",A280-A279)</f>
        <v/>
      </c>
      <c r="AP279" s="212" t="str">
        <f aca="false">IF(A280="","",CHOOSE(F$3,A280+24,A279))</f>
        <v/>
      </c>
      <c r="AQ279" s="209" t="str">
        <f aca="false">IF(A280="","",AP279-$E$1)</f>
        <v/>
      </c>
      <c r="AR279" s="185" t="n">
        <f aca="false">'ANR OK vs ML7'!AR279</f>
        <v>0.1</v>
      </c>
      <c r="AS279" s="213" t="str">
        <f aca="false">IF(A280="","",1/(1+CHOOSE(F$3,(AR280+($I$3/10000))/2,(AR279+($I$3/10000))/2))^(2*AQ279/365.25))</f>
        <v/>
      </c>
      <c r="AT279" s="137" t="str">
        <f aca="false">IF(A280="","",IF(AND(mthbeg&lt;=A279,mthend&gt;=A279),1,0))</f>
        <v/>
      </c>
      <c r="AU279" s="137" t="str">
        <f aca="false">IF(A280="","",AO279*AT279)</f>
        <v/>
      </c>
      <c r="AW279" s="195" t="str">
        <f aca="false">IF($A280="","",AL279*$E279)</f>
        <v/>
      </c>
      <c r="AX279" s="195" t="str">
        <f aca="false">IF($A280="","",AM279*$E279)</f>
        <v/>
      </c>
      <c r="AY279" s="195" t="str">
        <f aca="false">IF($A280="","",AN279*$E279)</f>
        <v/>
      </c>
      <c r="BA279" s="195" t="str">
        <f aca="false">IF($A280="","",F279*Summary!$Q$14)</f>
        <v/>
      </c>
    </row>
    <row r="280" customFormat="false" ht="12" hidden="false" customHeight="true" outlineLevel="0" collapsed="false">
      <c r="A280" s="196" t="str">
        <f aca="false">IF(A279&lt;mthend,EDATE(A279,1),"")</f>
        <v/>
      </c>
      <c r="B280" s="197" t="str">
        <f aca="false">IF(A280&lt;mthend,B279,"")</f>
        <v/>
      </c>
      <c r="C280" s="215"/>
      <c r="D280" s="197" t="str">
        <f aca="false">IF(A281&lt;&gt;"",B280+C280,"")</f>
        <v/>
      </c>
      <c r="E280" s="199" t="str">
        <f aca="false">IF(A281="","",IF(AND(AT280=1,$H$3=1),D280*AO280,IF($H$3=2,D280,"N/A")))</f>
        <v/>
      </c>
      <c r="F280" s="199" t="str">
        <f aca="false">IF(A281="","",E280*AS280)</f>
        <v/>
      </c>
      <c r="G280" s="200" t="str">
        <f aca="false">IF($A281="","",VLOOKUP($A280,Table,MATCH(G$4,Curves,0)))</f>
        <v/>
      </c>
      <c r="H280" s="201" t="str">
        <f aca="false">IF(A281="","",G280)</f>
        <v/>
      </c>
      <c r="I280" s="202"/>
      <c r="J280" s="200" t="str">
        <f aca="false">IF($A281="","",VLOOKUP($A280,Table,MATCH(J$4,Curves,0)))</f>
        <v/>
      </c>
      <c r="K280" s="201" t="str">
        <f aca="false">IF(A281="","",J280)</f>
        <v/>
      </c>
      <c r="L280" s="185" t="n">
        <v>0</v>
      </c>
      <c r="M280" s="201" t="str">
        <f aca="false">IF(A281="","",L280)</f>
        <v/>
      </c>
      <c r="N280" s="203"/>
      <c r="O280" s="200" t="str">
        <f aca="false">IF(A281="","",L280+J280+G280)</f>
        <v/>
      </c>
      <c r="P280" s="200" t="str">
        <f aca="false">IF(A281="","",M280+K280+H280)</f>
        <v/>
      </c>
      <c r="Q280" s="204"/>
      <c r="R280" s="200" t="str">
        <f aca="false">IF($A281="","",VLOOKUP($A280,Table,MATCH(R$4,Curves,0)))</f>
        <v/>
      </c>
      <c r="S280" s="201" t="str">
        <f aca="false">IF(A281="","",R280)</f>
        <v/>
      </c>
      <c r="T280" s="200" t="str">
        <f aca="false">IF($A281="","",VLOOKUP($A280,Table,MATCH(T$4,Curves,0)))</f>
        <v/>
      </c>
      <c r="U280" s="201" t="str">
        <f aca="false">IF(A281="","",T280)</f>
        <v/>
      </c>
      <c r="V280" s="183" t="str">
        <f aca="false">IF($A281="","",IF(AND(MONTH(A280)&gt;3,MONTH(A280)&lt;11),(T280+R280+G280)*(((1/(1-Summary!$T$14))/(1-Summary!$W$14))-1),(T280+R280+G280)*((1/(1-Summary!$U$14))/(1-Summary!$X$14)-1)))</f>
        <v/>
      </c>
      <c r="W280" s="202" t="str">
        <f aca="false">IF($A281="","",(T280+R280+G280+V280))</f>
        <v/>
      </c>
      <c r="X280" s="202" t="str">
        <f aca="false">IF($A281="","",(U280+S280+H280+V280))</f>
        <v/>
      </c>
      <c r="Y280" s="202"/>
      <c r="Z280" s="185" t="str">
        <f aca="false">IF($A281="","",VLOOKUP($A280,Table,MATCH(Z$4,Curves,0)))</f>
        <v/>
      </c>
      <c r="AA280" s="185" t="str">
        <f aca="false">IF($A281="","",VLOOKUP($A280,Table,MATCH(AA$4,Curves,0)))</f>
        <v/>
      </c>
      <c r="AB280" s="185" t="e">
        <f aca="false">SQRT((AA280^2*(A280-$D$3)+Z280^2*(DAY(EOMONTH(A280,0))/2))/AK280)</f>
        <v>#VALUE!</v>
      </c>
      <c r="AC280" s="185" t="str">
        <f aca="false">IF($A281="","",VLOOKUP($A280,Table,MATCH(AC$4,Curves,0)))</f>
        <v/>
      </c>
      <c r="AD280" s="185" t="str">
        <f aca="false">IF($A281="","",VLOOKUP($A280,Table,MATCH(AD$4,Curves,0)))</f>
        <v/>
      </c>
      <c r="AE280" s="185" t="e">
        <f aca="false">SQRT((AD280^2*(A280-$D$3)+AC280^2*(DAY(EOMONTH(A280,0))/2))/AK280)</f>
        <v>#VALUE!</v>
      </c>
      <c r="AF280" s="224" t="e">
        <f aca="false">((Summary!$N$14*(AA280*AD280)*(A280-$D$3))+(Summary!$M$14*Z280*AC280*(AJ280-EOMONTH(EDATE(A280,-1),0))))/(AK280*AB280*AE280)</f>
        <v>#VALUE!</v>
      </c>
      <c r="AG280" s="207" t="str">
        <f aca="false">IF($A281="","",Summary!$Q$14)</f>
        <v/>
      </c>
      <c r="AH280" s="207" t="str">
        <f aca="false">IF($A281="","",IF(Summary!$R$12="Y",(VLOOKUP($A280,Summary!$AD$6:$AF$9,3)+'Escalating commodity'!J293),'Escalating commodity'!J293))</f>
        <v/>
      </c>
      <c r="AI280" s="207" t="str">
        <f aca="false">IF($A281="","",AH280)</f>
        <v/>
      </c>
      <c r="AJ280" s="208" t="e">
        <f aca="false">A280+DAY(EOMONTH(A280,0))/2-1</f>
        <v>#VALUE!</v>
      </c>
      <c r="AK280" s="209" t="str">
        <f aca="false">IF($A281="","",$A280-$E$1)</f>
        <v/>
      </c>
      <c r="AL280" s="182" t="str">
        <f aca="false">IF($A281="","",SPRDOPT(P280,X280,AI280,0,AB280,AE280,AF280,AK280,$AJ$2,0))</f>
        <v/>
      </c>
      <c r="AM280" s="211" t="str">
        <f aca="false">IF($A281="","",MAX(0,O280-W280-AI280))</f>
        <v/>
      </c>
      <c r="AN280" s="211" t="str">
        <f aca="false">IF($A281="","",AL280-AM280)</f>
        <v/>
      </c>
      <c r="AO280" s="137" t="str">
        <f aca="false">IF(A281="","",A281-A280)</f>
        <v/>
      </c>
      <c r="AP280" s="212" t="str">
        <f aca="false">IF(A281="","",CHOOSE(F$3,A281+24,A280))</f>
        <v/>
      </c>
      <c r="AQ280" s="209" t="str">
        <f aca="false">IF(A281="","",AP280-$E$1)</f>
        <v/>
      </c>
      <c r="AR280" s="185" t="n">
        <f aca="false">'ANR OK vs ML7'!AR280</f>
        <v>0.1</v>
      </c>
      <c r="AS280" s="213" t="str">
        <f aca="false">IF(A281="","",1/(1+CHOOSE(F$3,(AR281+($I$3/10000))/2,(AR280+($I$3/10000))/2))^(2*AQ280/365.25))</f>
        <v/>
      </c>
      <c r="AT280" s="137" t="str">
        <f aca="false">IF(A281="","",IF(AND(mthbeg&lt;=A280,mthend&gt;=A280),1,0))</f>
        <v/>
      </c>
      <c r="AU280" s="137" t="str">
        <f aca="false">IF(A281="","",AO280*AT280)</f>
        <v/>
      </c>
      <c r="AW280" s="195" t="str">
        <f aca="false">IF($A281="","",AL280*$E280)</f>
        <v/>
      </c>
      <c r="AX280" s="195" t="str">
        <f aca="false">IF($A281="","",AM280*$E280)</f>
        <v/>
      </c>
      <c r="AY280" s="195" t="str">
        <f aca="false">IF($A281="","",AN280*$E280)</f>
        <v/>
      </c>
      <c r="BA280" s="195" t="str">
        <f aca="false">IF($A281="","",F280*Summary!$Q$14)</f>
        <v/>
      </c>
    </row>
    <row r="281" customFormat="false" ht="12" hidden="false" customHeight="true" outlineLevel="0" collapsed="false">
      <c r="A281" s="196" t="str">
        <f aca="false">IF(A280&lt;mthend,EDATE(A280,1),"")</f>
        <v/>
      </c>
      <c r="B281" s="197" t="str">
        <f aca="false">IF(A281&lt;mthend,B280,"")</f>
        <v/>
      </c>
      <c r="C281" s="215"/>
      <c r="D281" s="197" t="str">
        <f aca="false">IF(A282&lt;&gt;"",B281+C281,"")</f>
        <v/>
      </c>
      <c r="E281" s="199" t="str">
        <f aca="false">IF(A282="","",IF(AND(AT281=1,$H$3=1),D281*AO281,IF($H$3=2,D281,"N/A")))</f>
        <v/>
      </c>
      <c r="F281" s="199" t="str">
        <f aca="false">IF(A282="","",E281*AS281)</f>
        <v/>
      </c>
      <c r="G281" s="200" t="str">
        <f aca="false">IF($A282="","",VLOOKUP($A281,Table,MATCH(G$4,Curves,0)))</f>
        <v/>
      </c>
      <c r="H281" s="201" t="str">
        <f aca="false">IF(A282="","",G281)</f>
        <v/>
      </c>
      <c r="I281" s="202"/>
      <c r="J281" s="200" t="str">
        <f aca="false">IF($A282="","",VLOOKUP($A281,Table,MATCH(J$4,Curves,0)))</f>
        <v/>
      </c>
      <c r="K281" s="201" t="str">
        <f aca="false">IF(A282="","",J281)</f>
        <v/>
      </c>
      <c r="L281" s="185" t="n">
        <v>0</v>
      </c>
      <c r="M281" s="201" t="str">
        <f aca="false">IF(A282="","",L281)</f>
        <v/>
      </c>
      <c r="N281" s="203"/>
      <c r="O281" s="200" t="str">
        <f aca="false">IF(A282="","",L281+J281+G281)</f>
        <v/>
      </c>
      <c r="P281" s="200" t="str">
        <f aca="false">IF(A282="","",M281+K281+H281)</f>
        <v/>
      </c>
      <c r="Q281" s="204"/>
      <c r="R281" s="200" t="str">
        <f aca="false">IF($A282="","",VLOOKUP($A281,Table,MATCH(R$4,Curves,0)))</f>
        <v/>
      </c>
      <c r="S281" s="201" t="str">
        <f aca="false">IF(A282="","",R281)</f>
        <v/>
      </c>
      <c r="T281" s="200" t="str">
        <f aca="false">IF($A282="","",VLOOKUP($A281,Table,MATCH(T$4,Curves,0)))</f>
        <v/>
      </c>
      <c r="U281" s="201" t="str">
        <f aca="false">IF(A282="","",T281)</f>
        <v/>
      </c>
      <c r="V281" s="183" t="str">
        <f aca="false">IF($A282="","",IF(AND(MONTH(A281)&gt;3,MONTH(A281)&lt;11),(T281+R281+G281)*(((1/(1-Summary!$T$14))/(1-Summary!$W$14))-1),(T281+R281+G281)*((1/(1-Summary!$U$14))/(1-Summary!$X$14)-1)))</f>
        <v/>
      </c>
      <c r="W281" s="202" t="str">
        <f aca="false">IF($A282="","",(T281+R281+G281+V281))</f>
        <v/>
      </c>
      <c r="X281" s="202" t="str">
        <f aca="false">IF($A282="","",(U281+S281+H281+V281))</f>
        <v/>
      </c>
      <c r="Y281" s="202"/>
      <c r="Z281" s="185" t="str">
        <f aca="false">IF($A282="","",VLOOKUP($A281,Table,MATCH(Z$4,Curves,0)))</f>
        <v/>
      </c>
      <c r="AA281" s="185" t="str">
        <f aca="false">IF($A282="","",VLOOKUP($A281,Table,MATCH(AA$4,Curves,0)))</f>
        <v/>
      </c>
      <c r="AB281" s="185" t="e">
        <f aca="false">SQRT((AA281^2*(A281-$D$3)+Z281^2*(DAY(EOMONTH(A281,0))/2))/AK281)</f>
        <v>#VALUE!</v>
      </c>
      <c r="AC281" s="185" t="str">
        <f aca="false">IF($A282="","",VLOOKUP($A281,Table,MATCH(AC$4,Curves,0)))</f>
        <v/>
      </c>
      <c r="AD281" s="185" t="str">
        <f aca="false">IF($A282="","",VLOOKUP($A281,Table,MATCH(AD$4,Curves,0)))</f>
        <v/>
      </c>
      <c r="AE281" s="185" t="e">
        <f aca="false">SQRT((AD281^2*(A281-$D$3)+AC281^2*(DAY(EOMONTH(A281,0))/2))/AK281)</f>
        <v>#VALUE!</v>
      </c>
      <c r="AF281" s="224" t="e">
        <f aca="false">((Summary!$N$14*(AA281*AD281)*(A281-$D$3))+(Summary!$M$14*Z281*AC281*(AJ281-EOMONTH(EDATE(A281,-1),0))))/(AK281*AB281*AE281)</f>
        <v>#VALUE!</v>
      </c>
      <c r="AG281" s="207" t="str">
        <f aca="false">IF($A282="","",Summary!$Q$14)</f>
        <v/>
      </c>
      <c r="AH281" s="207" t="str">
        <f aca="false">IF($A282="","",IF(Summary!$R$12="Y",(VLOOKUP($A281,Summary!$AD$6:$AF$9,3)+'Escalating commodity'!J294),'Escalating commodity'!J294))</f>
        <v/>
      </c>
      <c r="AI281" s="207" t="str">
        <f aca="false">IF($A282="","",AH281)</f>
        <v/>
      </c>
      <c r="AJ281" s="208" t="e">
        <f aca="false">A281+DAY(EOMONTH(A281,0))/2-1</f>
        <v>#VALUE!</v>
      </c>
      <c r="AK281" s="209" t="str">
        <f aca="false">IF($A282="","",$A281-$E$1)</f>
        <v/>
      </c>
      <c r="AL281" s="182" t="str">
        <f aca="false">IF($A282="","",SPRDOPT(P281,X281,AI281,0,AB281,AE281,AF281,AK281,$AJ$2,0))</f>
        <v/>
      </c>
      <c r="AM281" s="211" t="str">
        <f aca="false">IF($A282="","",MAX(0,O281-W281-AI281))</f>
        <v/>
      </c>
      <c r="AN281" s="211" t="str">
        <f aca="false">IF($A282="","",AL281-AM281)</f>
        <v/>
      </c>
      <c r="AO281" s="137" t="str">
        <f aca="false">IF(A282="","",A282-A281)</f>
        <v/>
      </c>
      <c r="AP281" s="212" t="str">
        <f aca="false">IF(A282="","",CHOOSE(F$3,A282+24,A281))</f>
        <v/>
      </c>
      <c r="AQ281" s="209" t="str">
        <f aca="false">IF(A282="","",AP281-$E$1)</f>
        <v/>
      </c>
      <c r="AR281" s="185" t="n">
        <f aca="false">'ANR OK vs ML7'!AR281</f>
        <v>0.1</v>
      </c>
      <c r="AS281" s="213" t="str">
        <f aca="false">IF(A282="","",1/(1+CHOOSE(F$3,(AR282+($I$3/10000))/2,(AR281+($I$3/10000))/2))^(2*AQ281/365.25))</f>
        <v/>
      </c>
      <c r="AT281" s="137" t="str">
        <f aca="false">IF(A282="","",IF(AND(mthbeg&lt;=A281,mthend&gt;=A281),1,0))</f>
        <v/>
      </c>
      <c r="AU281" s="137" t="str">
        <f aca="false">IF(A282="","",AO281*AT281)</f>
        <v/>
      </c>
      <c r="AW281" s="195" t="str">
        <f aca="false">IF($A282="","",AL281*$E281)</f>
        <v/>
      </c>
      <c r="AX281" s="195" t="str">
        <f aca="false">IF($A282="","",AM281*$E281)</f>
        <v/>
      </c>
      <c r="AY281" s="195" t="str">
        <f aca="false">IF($A282="","",AN281*$E281)</f>
        <v/>
      </c>
      <c r="BA281" s="195" t="str">
        <f aca="false">IF($A282="","",F281*Summary!$Q$14)</f>
        <v/>
      </c>
    </row>
    <row r="282" customFormat="false" ht="12" hidden="false" customHeight="true" outlineLevel="0" collapsed="false">
      <c r="A282" s="196" t="str">
        <f aca="false">IF(A281&lt;mthend,EDATE(A281,1),"")</f>
        <v/>
      </c>
      <c r="B282" s="197" t="str">
        <f aca="false">IF(A282&lt;mthend,B281,"")</f>
        <v/>
      </c>
      <c r="C282" s="215"/>
      <c r="D282" s="197" t="str">
        <f aca="false">IF(A283&lt;&gt;"",B282+C282,"")</f>
        <v/>
      </c>
      <c r="E282" s="199" t="str">
        <f aca="false">IF(A283="","",IF(AND(AT282=1,$H$3=1),D282*AO282,IF($H$3=2,D282,"N/A")))</f>
        <v/>
      </c>
      <c r="F282" s="199" t="str">
        <f aca="false">IF(A283="","",E282*AS282)</f>
        <v/>
      </c>
      <c r="G282" s="200" t="str">
        <f aca="false">IF($A283="","",VLOOKUP($A282,Table,MATCH(G$4,Curves,0)))</f>
        <v/>
      </c>
      <c r="H282" s="201" t="str">
        <f aca="false">IF(A283="","",G282)</f>
        <v/>
      </c>
      <c r="I282" s="202"/>
      <c r="J282" s="200" t="str">
        <f aca="false">IF($A283="","",VLOOKUP($A282,Table,MATCH(J$4,Curves,0)))</f>
        <v/>
      </c>
      <c r="K282" s="201" t="str">
        <f aca="false">IF(A283="","",J282)</f>
        <v/>
      </c>
      <c r="L282" s="185" t="n">
        <v>0</v>
      </c>
      <c r="M282" s="201" t="str">
        <f aca="false">IF(A283="","",L282)</f>
        <v/>
      </c>
      <c r="N282" s="203"/>
      <c r="O282" s="200" t="str">
        <f aca="false">IF(A283="","",L282+J282+G282)</f>
        <v/>
      </c>
      <c r="P282" s="200" t="str">
        <f aca="false">IF(A283="","",M282+K282+H282)</f>
        <v/>
      </c>
      <c r="Q282" s="204"/>
      <c r="R282" s="200" t="str">
        <f aca="false">IF($A283="","",VLOOKUP($A282,Table,MATCH(R$4,Curves,0)))</f>
        <v/>
      </c>
      <c r="S282" s="201" t="str">
        <f aca="false">IF(A283="","",R282)</f>
        <v/>
      </c>
      <c r="T282" s="200" t="str">
        <f aca="false">IF($A283="","",VLOOKUP($A282,Table,MATCH(T$4,Curves,0)))</f>
        <v/>
      </c>
      <c r="U282" s="201" t="str">
        <f aca="false">IF(A283="","",T282)</f>
        <v/>
      </c>
      <c r="V282" s="183" t="str">
        <f aca="false">IF($A283="","",IF(AND(MONTH(A282)&gt;3,MONTH(A282)&lt;11),(T282+R282+G282)*(((1/(1-Summary!$T$14))/(1-Summary!$W$14))-1),(T282+R282+G282)*((1/(1-Summary!$U$14))/(1-Summary!$X$14)-1)))</f>
        <v/>
      </c>
      <c r="W282" s="202" t="str">
        <f aca="false">IF($A283="","",(T282+R282+G282+V282))</f>
        <v/>
      </c>
      <c r="X282" s="202" t="str">
        <f aca="false">IF($A283="","",(U282+S282+H282+V282))</f>
        <v/>
      </c>
      <c r="Y282" s="202"/>
      <c r="Z282" s="185" t="str">
        <f aca="false">IF($A283="","",VLOOKUP($A282,Table,MATCH(Z$4,Curves,0)))</f>
        <v/>
      </c>
      <c r="AA282" s="185" t="str">
        <f aca="false">IF($A283="","",VLOOKUP($A282,Table,MATCH(AA$4,Curves,0)))</f>
        <v/>
      </c>
      <c r="AB282" s="185" t="e">
        <f aca="false">SQRT((AA282^2*(A282-$D$3)+Z282^2*(DAY(EOMONTH(A282,0))/2))/AK282)</f>
        <v>#VALUE!</v>
      </c>
      <c r="AC282" s="185" t="str">
        <f aca="false">IF($A283="","",VLOOKUP($A282,Table,MATCH(AC$4,Curves,0)))</f>
        <v/>
      </c>
      <c r="AD282" s="185" t="str">
        <f aca="false">IF($A283="","",VLOOKUP($A282,Table,MATCH(AD$4,Curves,0)))</f>
        <v/>
      </c>
      <c r="AE282" s="185" t="e">
        <f aca="false">SQRT((AD282^2*(A282-$D$3)+AC282^2*(DAY(EOMONTH(A282,0))/2))/AK282)</f>
        <v>#VALUE!</v>
      </c>
      <c r="AF282" s="224" t="e">
        <f aca="false">((Summary!$N$14*(AA282*AD282)*(A282-$D$3))+(Summary!$M$14*Z282*AC282*(AJ282-EOMONTH(EDATE(A282,-1),0))))/(AK282*AB282*AE282)</f>
        <v>#VALUE!</v>
      </c>
      <c r="AG282" s="207" t="str">
        <f aca="false">IF($A283="","",Summary!$Q$14)</f>
        <v/>
      </c>
      <c r="AH282" s="207" t="str">
        <f aca="false">IF($A283="","",IF(Summary!$R$12="Y",(VLOOKUP($A282,Summary!$AD$6:$AF$9,3)+'Escalating commodity'!J295),'Escalating commodity'!J295))</f>
        <v/>
      </c>
      <c r="AI282" s="207" t="str">
        <f aca="false">IF($A283="","",AH282)</f>
        <v/>
      </c>
      <c r="AJ282" s="208" t="e">
        <f aca="false">A282+DAY(EOMONTH(A282,0))/2-1</f>
        <v>#VALUE!</v>
      </c>
      <c r="AK282" s="209" t="str">
        <f aca="false">IF($A283="","",$A282-$E$1)</f>
        <v/>
      </c>
      <c r="AL282" s="182" t="str">
        <f aca="false">IF($A283="","",SPRDOPT(P282,X282,AI282,0,AB282,AE282,AF282,AK282,$AJ$2,0))</f>
        <v/>
      </c>
      <c r="AM282" s="211" t="str">
        <f aca="false">IF($A283="","",MAX(0,O282-W282-AI282))</f>
        <v/>
      </c>
      <c r="AN282" s="211" t="str">
        <f aca="false">IF($A283="","",AL282-AM282)</f>
        <v/>
      </c>
      <c r="AO282" s="137" t="str">
        <f aca="false">IF(A283="","",A283-A282)</f>
        <v/>
      </c>
      <c r="AP282" s="212" t="str">
        <f aca="false">IF(A283="","",CHOOSE(F$3,A283+24,A282))</f>
        <v/>
      </c>
      <c r="AQ282" s="209" t="str">
        <f aca="false">IF(A283="","",AP282-$E$1)</f>
        <v/>
      </c>
      <c r="AR282" s="185" t="n">
        <f aca="false">'ANR OK vs ML7'!AR282</f>
        <v>0.1</v>
      </c>
      <c r="AS282" s="213" t="str">
        <f aca="false">IF(A283="","",1/(1+CHOOSE(F$3,(AR283+($I$3/10000))/2,(AR282+($I$3/10000))/2))^(2*AQ282/365.25))</f>
        <v/>
      </c>
      <c r="AT282" s="137" t="str">
        <f aca="false">IF(A283="","",IF(AND(mthbeg&lt;=A282,mthend&gt;=A282),1,0))</f>
        <v/>
      </c>
      <c r="AU282" s="137" t="str">
        <f aca="false">IF(A283="","",AO282*AT282)</f>
        <v/>
      </c>
      <c r="AW282" s="195" t="str">
        <f aca="false">IF($A283="","",AL282*$E282)</f>
        <v/>
      </c>
      <c r="AX282" s="195" t="str">
        <f aca="false">IF($A283="","",AM282*$E282)</f>
        <v/>
      </c>
      <c r="AY282" s="195" t="str">
        <f aca="false">IF($A283="","",AN282*$E282)</f>
        <v/>
      </c>
      <c r="BA282" s="195" t="str">
        <f aca="false">IF($A283="","",F282*Summary!$Q$14)</f>
        <v/>
      </c>
    </row>
    <row r="283" customFormat="false" ht="12" hidden="false" customHeight="true" outlineLevel="0" collapsed="false">
      <c r="A283" s="196" t="str">
        <f aca="false">IF(A282&lt;mthend,EDATE(A282,1),"")</f>
        <v/>
      </c>
      <c r="B283" s="197" t="str">
        <f aca="false">IF(A283&lt;mthend,B282,"")</f>
        <v/>
      </c>
      <c r="C283" s="215"/>
      <c r="D283" s="197" t="str">
        <f aca="false">IF(A284&lt;&gt;"",B283+C283,"")</f>
        <v/>
      </c>
      <c r="E283" s="199" t="str">
        <f aca="false">IF(A284="","",IF(AND(AT283=1,$H$3=1),D283*AO283,IF($H$3=2,D283,"N/A")))</f>
        <v/>
      </c>
      <c r="F283" s="199" t="str">
        <f aca="false">IF(A284="","",E283*AS283)</f>
        <v/>
      </c>
      <c r="G283" s="200" t="str">
        <f aca="false">IF($A284="","",VLOOKUP($A283,Table,MATCH(G$4,Curves,0)))</f>
        <v/>
      </c>
      <c r="H283" s="201" t="str">
        <f aca="false">IF(A284="","",G283)</f>
        <v/>
      </c>
      <c r="I283" s="202"/>
      <c r="J283" s="200" t="str">
        <f aca="false">IF($A284="","",VLOOKUP($A283,Table,MATCH(J$4,Curves,0)))</f>
        <v/>
      </c>
      <c r="K283" s="201" t="str">
        <f aca="false">IF(A284="","",J283)</f>
        <v/>
      </c>
      <c r="L283" s="185" t="n">
        <v>0</v>
      </c>
      <c r="M283" s="201" t="str">
        <f aca="false">IF(A284="","",L283)</f>
        <v/>
      </c>
      <c r="N283" s="203"/>
      <c r="O283" s="200" t="str">
        <f aca="false">IF(A284="","",L283+J283+G283)</f>
        <v/>
      </c>
      <c r="P283" s="200" t="str">
        <f aca="false">IF(A284="","",M283+K283+H283)</f>
        <v/>
      </c>
      <c r="Q283" s="204"/>
      <c r="R283" s="200" t="str">
        <f aca="false">IF($A284="","",VLOOKUP($A283,Table,MATCH(R$4,Curves,0)))</f>
        <v/>
      </c>
      <c r="S283" s="201" t="str">
        <f aca="false">IF(A284="","",R283)</f>
        <v/>
      </c>
      <c r="T283" s="200" t="str">
        <f aca="false">IF($A284="","",VLOOKUP($A283,Table,MATCH(T$4,Curves,0)))</f>
        <v/>
      </c>
      <c r="U283" s="201" t="str">
        <f aca="false">IF(A284="","",T283)</f>
        <v/>
      </c>
      <c r="V283" s="183" t="str">
        <f aca="false">IF($A284="","",IF(AND(MONTH(A283)&gt;3,MONTH(A283)&lt;11),(T283+R283+G283)*(((1/(1-Summary!$T$14))/(1-Summary!$W$14))-1),(T283+R283+G283)*((1/(1-Summary!$U$14))/(1-Summary!$X$14)-1)))</f>
        <v/>
      </c>
      <c r="W283" s="202" t="str">
        <f aca="false">IF($A284="","",(T283+R283+G283+V283))</f>
        <v/>
      </c>
      <c r="X283" s="202" t="str">
        <f aca="false">IF($A284="","",(U283+S283+H283+V283))</f>
        <v/>
      </c>
      <c r="Y283" s="202"/>
      <c r="Z283" s="185" t="str">
        <f aca="false">IF($A284="","",VLOOKUP($A283,Table,MATCH(Z$4,Curves,0)))</f>
        <v/>
      </c>
      <c r="AA283" s="185" t="str">
        <f aca="false">IF($A284="","",VLOOKUP($A283,Table,MATCH(AA$4,Curves,0)))</f>
        <v/>
      </c>
      <c r="AB283" s="185" t="e">
        <f aca="false">SQRT((AA283^2*(A283-$D$3)+Z283^2*(DAY(EOMONTH(A283,0))/2))/AK283)</f>
        <v>#VALUE!</v>
      </c>
      <c r="AC283" s="185" t="str">
        <f aca="false">IF($A284="","",VLOOKUP($A283,Table,MATCH(AC$4,Curves,0)))</f>
        <v/>
      </c>
      <c r="AD283" s="185" t="str">
        <f aca="false">IF($A284="","",VLOOKUP($A283,Table,MATCH(AD$4,Curves,0)))</f>
        <v/>
      </c>
      <c r="AE283" s="185" t="e">
        <f aca="false">SQRT((AD283^2*(A283-$D$3)+AC283^2*(DAY(EOMONTH(A283,0))/2))/AK283)</f>
        <v>#VALUE!</v>
      </c>
      <c r="AF283" s="224" t="e">
        <f aca="false">((Summary!$N$14*(AA283*AD283)*(A283-$D$3))+(Summary!$M$14*Z283*AC283*(AJ283-EOMONTH(EDATE(A283,-1),0))))/(AK283*AB283*AE283)</f>
        <v>#VALUE!</v>
      </c>
      <c r="AG283" s="207" t="str">
        <f aca="false">IF($A284="","",Summary!$Q$14)</f>
        <v/>
      </c>
      <c r="AH283" s="207" t="str">
        <f aca="false">IF($A284="","",IF(Summary!$R$12="Y",(VLOOKUP($A283,Summary!$AD$6:$AF$9,3)+'Escalating commodity'!J296),'Escalating commodity'!J296))</f>
        <v/>
      </c>
      <c r="AI283" s="207" t="str">
        <f aca="false">IF($A284="","",AH283)</f>
        <v/>
      </c>
      <c r="AJ283" s="208" t="e">
        <f aca="false">A283+DAY(EOMONTH(A283,0))/2-1</f>
        <v>#VALUE!</v>
      </c>
      <c r="AK283" s="209" t="str">
        <f aca="false">IF($A284="","",$A283-$E$1)</f>
        <v/>
      </c>
      <c r="AL283" s="182" t="str">
        <f aca="false">IF($A284="","",SPRDOPT(P283,X283,AI283,0,AB283,AE283,AF283,AK283,$AJ$2,0))</f>
        <v/>
      </c>
      <c r="AM283" s="211" t="str">
        <f aca="false">IF($A284="","",MAX(0,O283-W283-AI283))</f>
        <v/>
      </c>
      <c r="AN283" s="211" t="str">
        <f aca="false">IF($A284="","",AL283-AM283)</f>
        <v/>
      </c>
      <c r="AO283" s="137" t="str">
        <f aca="false">IF(A284="","",A284-A283)</f>
        <v/>
      </c>
      <c r="AP283" s="212" t="str">
        <f aca="false">IF(A284="","",CHOOSE(F$3,A284+24,A283))</f>
        <v/>
      </c>
      <c r="AQ283" s="209" t="str">
        <f aca="false">IF(A284="","",AP283-$E$1)</f>
        <v/>
      </c>
      <c r="AR283" s="185" t="n">
        <f aca="false">'ANR OK vs ML7'!AR283</f>
        <v>0.1</v>
      </c>
      <c r="AS283" s="213" t="str">
        <f aca="false">IF(A284="","",1/(1+CHOOSE(F$3,(AR284+($I$3/10000))/2,(AR283+($I$3/10000))/2))^(2*AQ283/365.25))</f>
        <v/>
      </c>
      <c r="AT283" s="137" t="str">
        <f aca="false">IF(A284="","",IF(AND(mthbeg&lt;=A283,mthend&gt;=A283),1,0))</f>
        <v/>
      </c>
      <c r="AU283" s="137" t="str">
        <f aca="false">IF(A284="","",AO283*AT283)</f>
        <v/>
      </c>
      <c r="AW283" s="195" t="str">
        <f aca="false">IF($A284="","",AL283*$E283)</f>
        <v/>
      </c>
      <c r="AX283" s="195" t="str">
        <f aca="false">IF($A284="","",AM283*$E283)</f>
        <v/>
      </c>
      <c r="AY283" s="195" t="str">
        <f aca="false">IF($A284="","",AN283*$E283)</f>
        <v/>
      </c>
      <c r="BA283" s="195" t="str">
        <f aca="false">IF($A284="","",F283*Summary!$Q$14)</f>
        <v/>
      </c>
    </row>
    <row r="284" customFormat="false" ht="12" hidden="false" customHeight="true" outlineLevel="0" collapsed="false">
      <c r="A284" s="196" t="str">
        <f aca="false">IF(A283&lt;mthend,EDATE(A283,1),"")</f>
        <v/>
      </c>
      <c r="B284" s="197" t="str">
        <f aca="false">IF(A284&lt;mthend,B283,"")</f>
        <v/>
      </c>
      <c r="C284" s="215"/>
      <c r="D284" s="197" t="str">
        <f aca="false">IF(A285&lt;&gt;"",B284+C284,"")</f>
        <v/>
      </c>
      <c r="E284" s="199" t="str">
        <f aca="false">IF(A285="","",IF(AND(AT284=1,$H$3=1),D284*AO284,IF($H$3=2,D284,"N/A")))</f>
        <v/>
      </c>
      <c r="F284" s="199" t="str">
        <f aca="false">IF(A285="","",E284*AS284)</f>
        <v/>
      </c>
      <c r="G284" s="200" t="str">
        <f aca="false">IF($A285="","",VLOOKUP($A284,Table,MATCH(G$4,Curves,0)))</f>
        <v/>
      </c>
      <c r="H284" s="201" t="str">
        <f aca="false">IF(A285="","",G284)</f>
        <v/>
      </c>
      <c r="I284" s="202"/>
      <c r="J284" s="200" t="str">
        <f aca="false">IF($A285="","",VLOOKUP($A284,Table,MATCH(J$4,Curves,0)))</f>
        <v/>
      </c>
      <c r="K284" s="201" t="str">
        <f aca="false">IF(A285="","",J284)</f>
        <v/>
      </c>
      <c r="L284" s="185" t="n">
        <v>0</v>
      </c>
      <c r="M284" s="201" t="str">
        <f aca="false">IF(A285="","",L284)</f>
        <v/>
      </c>
      <c r="N284" s="203"/>
      <c r="O284" s="200" t="str">
        <f aca="false">IF(A285="","",L284+J284+G284)</f>
        <v/>
      </c>
      <c r="P284" s="200" t="str">
        <f aca="false">IF(A285="","",M284+K284+H284)</f>
        <v/>
      </c>
      <c r="Q284" s="204"/>
      <c r="R284" s="200" t="str">
        <f aca="false">IF($A285="","",VLOOKUP($A284,Table,MATCH(R$4,Curves,0)))</f>
        <v/>
      </c>
      <c r="S284" s="201" t="str">
        <f aca="false">IF(A285="","",R284)</f>
        <v/>
      </c>
      <c r="T284" s="200" t="str">
        <f aca="false">IF($A285="","",VLOOKUP($A284,Table,MATCH(T$4,Curves,0)))</f>
        <v/>
      </c>
      <c r="U284" s="201" t="str">
        <f aca="false">IF(A285="","",T284)</f>
        <v/>
      </c>
      <c r="V284" s="183" t="str">
        <f aca="false">IF($A285="","",IF(AND(MONTH(A284)&gt;3,MONTH(A284)&lt;11),(T284+R284+G284)*(((1/(1-Summary!$T$14))/(1-Summary!$W$14))-1),(T284+R284+G284)*((1/(1-Summary!$U$14))/(1-Summary!$X$14)-1)))</f>
        <v/>
      </c>
      <c r="W284" s="202" t="str">
        <f aca="false">IF($A285="","",(T284+R284+G284+V284))</f>
        <v/>
      </c>
      <c r="X284" s="202" t="str">
        <f aca="false">IF($A285="","",(U284+S284+H284+V284))</f>
        <v/>
      </c>
      <c r="Y284" s="202"/>
      <c r="Z284" s="185" t="str">
        <f aca="false">IF($A285="","",VLOOKUP($A284,Table,MATCH(Z$4,Curves,0)))</f>
        <v/>
      </c>
      <c r="AA284" s="185" t="str">
        <f aca="false">IF($A285="","",VLOOKUP($A284,Table,MATCH(AA$4,Curves,0)))</f>
        <v/>
      </c>
      <c r="AB284" s="185" t="e">
        <f aca="false">SQRT((AA284^2*(A284-$D$3)+Z284^2*(DAY(EOMONTH(A284,0))/2))/AK284)</f>
        <v>#VALUE!</v>
      </c>
      <c r="AC284" s="185" t="str">
        <f aca="false">IF($A285="","",VLOOKUP($A284,Table,MATCH(AC$4,Curves,0)))</f>
        <v/>
      </c>
      <c r="AD284" s="185" t="str">
        <f aca="false">IF($A285="","",VLOOKUP($A284,Table,MATCH(AD$4,Curves,0)))</f>
        <v/>
      </c>
      <c r="AE284" s="185" t="e">
        <f aca="false">SQRT((AD284^2*(A284-$D$3)+AC284^2*(DAY(EOMONTH(A284,0))/2))/AK284)</f>
        <v>#VALUE!</v>
      </c>
      <c r="AF284" s="224" t="e">
        <f aca="false">((Summary!$N$14*(AA284*AD284)*(A284-$D$3))+(Summary!$M$14*Z284*AC284*(AJ284-EOMONTH(EDATE(A284,-1),0))))/(AK284*AB284*AE284)</f>
        <v>#VALUE!</v>
      </c>
      <c r="AG284" s="207" t="str">
        <f aca="false">IF($A285="","",Summary!$Q$14)</f>
        <v/>
      </c>
      <c r="AH284" s="207" t="str">
        <f aca="false">IF($A285="","",IF(Summary!$R$12="Y",(VLOOKUP($A284,Summary!$AD$6:$AF$9,3)+'Escalating commodity'!J297),'Escalating commodity'!J297))</f>
        <v/>
      </c>
      <c r="AI284" s="207" t="str">
        <f aca="false">IF($A285="","",AH284)</f>
        <v/>
      </c>
      <c r="AJ284" s="208" t="e">
        <f aca="false">A284+DAY(EOMONTH(A284,0))/2-1</f>
        <v>#VALUE!</v>
      </c>
      <c r="AK284" s="209" t="str">
        <f aca="false">IF($A285="","",$A284-$E$1)</f>
        <v/>
      </c>
      <c r="AL284" s="182" t="str">
        <f aca="false">IF($A285="","",SPRDOPT(P284,X284,AI284,0,AB284,AE284,AF284,AK284,$AJ$2,0))</f>
        <v/>
      </c>
      <c r="AM284" s="211" t="str">
        <f aca="false">IF($A285="","",MAX(0,O284-W284-AI284))</f>
        <v/>
      </c>
      <c r="AN284" s="211" t="str">
        <f aca="false">IF($A285="","",AL284-AM284)</f>
        <v/>
      </c>
      <c r="AO284" s="137" t="str">
        <f aca="false">IF(A285="","",A285-A284)</f>
        <v/>
      </c>
      <c r="AP284" s="212" t="str">
        <f aca="false">IF(A285="","",CHOOSE(F$3,A285+24,A284))</f>
        <v/>
      </c>
      <c r="AQ284" s="209" t="str">
        <f aca="false">IF(A285="","",AP284-$E$1)</f>
        <v/>
      </c>
      <c r="AR284" s="185" t="n">
        <f aca="false">'ANR OK vs ML7'!AR284</f>
        <v>0.1</v>
      </c>
      <c r="AS284" s="213" t="str">
        <f aca="false">IF(A285="","",1/(1+CHOOSE(F$3,(AR285+($I$3/10000))/2,(AR284+($I$3/10000))/2))^(2*AQ284/365.25))</f>
        <v/>
      </c>
      <c r="AT284" s="137" t="str">
        <f aca="false">IF(A285="","",IF(AND(mthbeg&lt;=A284,mthend&gt;=A284),1,0))</f>
        <v/>
      </c>
      <c r="AU284" s="137" t="str">
        <f aca="false">IF(A285="","",AO284*AT284)</f>
        <v/>
      </c>
      <c r="AW284" s="195" t="str">
        <f aca="false">IF($A285="","",AL284*$E284)</f>
        <v/>
      </c>
      <c r="AX284" s="195" t="str">
        <f aca="false">IF($A285="","",AM284*$E284)</f>
        <v/>
      </c>
      <c r="AY284" s="195" t="str">
        <f aca="false">IF($A285="","",AN284*$E284)</f>
        <v/>
      </c>
      <c r="BA284" s="195" t="str">
        <f aca="false">IF($A285="","",F284*Summary!$Q$14)</f>
        <v/>
      </c>
    </row>
    <row r="285" customFormat="false" ht="12" hidden="false" customHeight="true" outlineLevel="0" collapsed="false">
      <c r="A285" s="196" t="str">
        <f aca="false">IF(A284&lt;mthend,EDATE(A284,1),"")</f>
        <v/>
      </c>
      <c r="B285" s="197" t="str">
        <f aca="false">IF(A285&lt;mthend,B284,"")</f>
        <v/>
      </c>
      <c r="C285" s="215"/>
      <c r="D285" s="197" t="str">
        <f aca="false">IF(A286&lt;&gt;"",B285+C285,"")</f>
        <v/>
      </c>
      <c r="E285" s="199" t="str">
        <f aca="false">IF(A286="","",IF(AND(AT285=1,$H$3=1),D285*AO285,IF($H$3=2,D285,"N/A")))</f>
        <v/>
      </c>
      <c r="F285" s="199" t="str">
        <f aca="false">IF(A286="","",E285*AS285)</f>
        <v/>
      </c>
      <c r="G285" s="200" t="str">
        <f aca="false">IF($A286="","",VLOOKUP($A285,Table,MATCH(G$4,Curves,0)))</f>
        <v/>
      </c>
      <c r="H285" s="201" t="str">
        <f aca="false">IF(A286="","",G285)</f>
        <v/>
      </c>
      <c r="I285" s="202"/>
      <c r="J285" s="200" t="str">
        <f aca="false">IF($A286="","",VLOOKUP($A285,Table,MATCH(J$4,Curves,0)))</f>
        <v/>
      </c>
      <c r="K285" s="201" t="str">
        <f aca="false">IF(A286="","",J285)</f>
        <v/>
      </c>
      <c r="L285" s="185" t="n">
        <v>0</v>
      </c>
      <c r="M285" s="201" t="str">
        <f aca="false">IF(A286="","",L285)</f>
        <v/>
      </c>
      <c r="N285" s="203"/>
      <c r="O285" s="200" t="str">
        <f aca="false">IF(A286="","",L285+J285+G285)</f>
        <v/>
      </c>
      <c r="P285" s="200" t="str">
        <f aca="false">IF(A286="","",M285+K285+H285)</f>
        <v/>
      </c>
      <c r="Q285" s="204"/>
      <c r="R285" s="200" t="str">
        <f aca="false">IF($A286="","",VLOOKUP($A285,Table,MATCH(R$4,Curves,0)))</f>
        <v/>
      </c>
      <c r="S285" s="201" t="str">
        <f aca="false">IF(A286="","",R285)</f>
        <v/>
      </c>
      <c r="T285" s="200" t="str">
        <f aca="false">IF($A286="","",VLOOKUP($A285,Table,MATCH(T$4,Curves,0)))</f>
        <v/>
      </c>
      <c r="U285" s="201" t="str">
        <f aca="false">IF(A286="","",T285)</f>
        <v/>
      </c>
      <c r="V285" s="183" t="str">
        <f aca="false">IF($A286="","",IF(AND(MONTH(A285)&gt;3,MONTH(A285)&lt;11),(T285+R285+G285)*(((1/(1-Summary!$T$14))/(1-Summary!$W$14))-1),(T285+R285+G285)*((1/(1-Summary!$U$14))/(1-Summary!$X$14)-1)))</f>
        <v/>
      </c>
      <c r="W285" s="202" t="str">
        <f aca="false">IF($A286="","",(T285+R285+G285+V285))</f>
        <v/>
      </c>
      <c r="X285" s="202" t="str">
        <f aca="false">IF($A286="","",(U285+S285+H285+V285))</f>
        <v/>
      </c>
      <c r="Y285" s="202"/>
      <c r="Z285" s="185" t="str">
        <f aca="false">IF($A286="","",VLOOKUP($A285,Table,MATCH(Z$4,Curves,0)))</f>
        <v/>
      </c>
      <c r="AA285" s="185" t="str">
        <f aca="false">IF($A286="","",VLOOKUP($A285,Table,MATCH(AA$4,Curves,0)))</f>
        <v/>
      </c>
      <c r="AB285" s="185" t="e">
        <f aca="false">SQRT((AA285^2*(A285-$D$3)+Z285^2*(DAY(EOMONTH(A285,0))/2))/AK285)</f>
        <v>#VALUE!</v>
      </c>
      <c r="AC285" s="185" t="str">
        <f aca="false">IF($A286="","",VLOOKUP($A285,Table,MATCH(AC$4,Curves,0)))</f>
        <v/>
      </c>
      <c r="AD285" s="185" t="str">
        <f aca="false">IF($A286="","",VLOOKUP($A285,Table,MATCH(AD$4,Curves,0)))</f>
        <v/>
      </c>
      <c r="AE285" s="185" t="e">
        <f aca="false">SQRT((AD285^2*(A285-$D$3)+AC285^2*(DAY(EOMONTH(A285,0))/2))/AK285)</f>
        <v>#VALUE!</v>
      </c>
      <c r="AF285" s="224" t="e">
        <f aca="false">((Summary!$N$14*(AA285*AD285)*(A285-$D$3))+(Summary!$M$14*Z285*AC285*(AJ285-EOMONTH(EDATE(A285,-1),0))))/(AK285*AB285*AE285)</f>
        <v>#VALUE!</v>
      </c>
      <c r="AG285" s="207" t="str">
        <f aca="false">IF($A286="","",Summary!$Q$14)</f>
        <v/>
      </c>
      <c r="AH285" s="207" t="str">
        <f aca="false">IF($A286="","",IF(Summary!$R$12="Y",(VLOOKUP($A285,Summary!$AD$6:$AF$9,3)+'Escalating commodity'!J298),'Escalating commodity'!J298))</f>
        <v/>
      </c>
      <c r="AI285" s="207" t="str">
        <f aca="false">IF($A286="","",AH285)</f>
        <v/>
      </c>
      <c r="AJ285" s="208" t="e">
        <f aca="false">A285+DAY(EOMONTH(A285,0))/2-1</f>
        <v>#VALUE!</v>
      </c>
      <c r="AK285" s="209" t="str">
        <f aca="false">IF($A286="","",$A285-$E$1)</f>
        <v/>
      </c>
      <c r="AL285" s="182" t="str">
        <f aca="false">IF($A286="","",SPRDOPT(P285,X285,AI285,0,AB285,AE285,AF285,AK285,$AJ$2,0))</f>
        <v/>
      </c>
      <c r="AM285" s="211" t="str">
        <f aca="false">IF($A286="","",MAX(0,O285-W285-AI285))</f>
        <v/>
      </c>
      <c r="AN285" s="211" t="str">
        <f aca="false">IF($A286="","",AL285-AM285)</f>
        <v/>
      </c>
      <c r="AO285" s="137" t="str">
        <f aca="false">IF(A286="","",A286-A285)</f>
        <v/>
      </c>
      <c r="AP285" s="212" t="str">
        <f aca="false">IF(A286="","",CHOOSE(F$3,A286+24,A285))</f>
        <v/>
      </c>
      <c r="AQ285" s="209" t="str">
        <f aca="false">IF(A286="","",AP285-$E$1)</f>
        <v/>
      </c>
      <c r="AR285" s="185" t="n">
        <f aca="false">'ANR OK vs ML7'!AR285</f>
        <v>0.1</v>
      </c>
      <c r="AS285" s="213" t="str">
        <f aca="false">IF(A286="","",1/(1+CHOOSE(F$3,(AR286+($I$3/10000))/2,(AR285+($I$3/10000))/2))^(2*AQ285/365.25))</f>
        <v/>
      </c>
      <c r="AT285" s="137" t="str">
        <f aca="false">IF(A286="","",IF(AND(mthbeg&lt;=A285,mthend&gt;=A285),1,0))</f>
        <v/>
      </c>
      <c r="AU285" s="137" t="str">
        <f aca="false">IF(A286="","",AO285*AT285)</f>
        <v/>
      </c>
      <c r="AW285" s="195" t="str">
        <f aca="false">IF($A286="","",AL285*$E285)</f>
        <v/>
      </c>
      <c r="AX285" s="195" t="str">
        <f aca="false">IF($A286="","",AM285*$E285)</f>
        <v/>
      </c>
      <c r="AY285" s="195" t="str">
        <f aca="false">IF($A286="","",AN285*$E285)</f>
        <v/>
      </c>
      <c r="BA285" s="195" t="str">
        <f aca="false">IF($A286="","",F285*Summary!$Q$14)</f>
        <v/>
      </c>
    </row>
    <row r="286" customFormat="false" ht="12" hidden="false" customHeight="true" outlineLevel="0" collapsed="false">
      <c r="A286" s="196" t="str">
        <f aca="false">IF(A285&lt;mthend,EDATE(A285,1),"")</f>
        <v/>
      </c>
      <c r="B286" s="197" t="str">
        <f aca="false">IF(A286&lt;mthend,B285,"")</f>
        <v/>
      </c>
      <c r="C286" s="215"/>
      <c r="D286" s="197" t="str">
        <f aca="false">IF(A287&lt;&gt;"",B286+C286,"")</f>
        <v/>
      </c>
      <c r="E286" s="199" t="str">
        <f aca="false">IF(A287="","",IF(AND(AT286=1,$H$3=1),D286*AO286,IF($H$3=2,D286,"N/A")))</f>
        <v/>
      </c>
      <c r="F286" s="199" t="str">
        <f aca="false">IF(A287="","",E286*AS286)</f>
        <v/>
      </c>
      <c r="G286" s="200" t="str">
        <f aca="false">IF($A287="","",VLOOKUP($A286,Table,MATCH(G$4,Curves,0)))</f>
        <v/>
      </c>
      <c r="H286" s="201" t="str">
        <f aca="false">IF(A287="","",G286)</f>
        <v/>
      </c>
      <c r="I286" s="202"/>
      <c r="J286" s="200" t="str">
        <f aca="false">IF($A287="","",VLOOKUP($A286,Table,MATCH(J$4,Curves,0)))</f>
        <v/>
      </c>
      <c r="K286" s="201" t="str">
        <f aca="false">IF(A287="","",J286)</f>
        <v/>
      </c>
      <c r="L286" s="185" t="n">
        <v>0</v>
      </c>
      <c r="M286" s="201" t="str">
        <f aca="false">IF(A287="","",L286)</f>
        <v/>
      </c>
      <c r="N286" s="203"/>
      <c r="O286" s="200" t="str">
        <f aca="false">IF(A287="","",L286+J286+G286)</f>
        <v/>
      </c>
      <c r="P286" s="200" t="str">
        <f aca="false">IF(A287="","",M286+K286+H286)</f>
        <v/>
      </c>
      <c r="Q286" s="204"/>
      <c r="R286" s="200" t="str">
        <f aca="false">IF($A287="","",VLOOKUP($A286,Table,MATCH(R$4,Curves,0)))</f>
        <v/>
      </c>
      <c r="S286" s="201" t="str">
        <f aca="false">IF(A287="","",R286)</f>
        <v/>
      </c>
      <c r="T286" s="200" t="str">
        <f aca="false">IF($A287="","",VLOOKUP($A286,Table,MATCH(T$4,Curves,0)))</f>
        <v/>
      </c>
      <c r="U286" s="201" t="str">
        <f aca="false">IF(A287="","",T286)</f>
        <v/>
      </c>
      <c r="V286" s="183" t="str">
        <f aca="false">IF($A287="","",IF(AND(MONTH(A286)&gt;3,MONTH(A286)&lt;11),(T286+R286+G286)*(((1/(1-Summary!$T$14))/(1-Summary!$W$14))-1),(T286+R286+G286)*((1/(1-Summary!$U$14))/(1-Summary!$X$14)-1)))</f>
        <v/>
      </c>
      <c r="W286" s="202" t="str">
        <f aca="false">IF($A287="","",(T286+R286+G286+V286))</f>
        <v/>
      </c>
      <c r="X286" s="202" t="str">
        <f aca="false">IF($A287="","",(U286+S286+H286+V286))</f>
        <v/>
      </c>
      <c r="Y286" s="202"/>
      <c r="Z286" s="185" t="str">
        <f aca="false">IF($A287="","",VLOOKUP($A286,Table,MATCH(Z$4,Curves,0)))</f>
        <v/>
      </c>
      <c r="AA286" s="185" t="str">
        <f aca="false">IF($A287="","",VLOOKUP($A286,Table,MATCH(AA$4,Curves,0)))</f>
        <v/>
      </c>
      <c r="AB286" s="185" t="e">
        <f aca="false">SQRT((AA286^2*(A286-$D$3)+Z286^2*(DAY(EOMONTH(A286,0))/2))/AK286)</f>
        <v>#VALUE!</v>
      </c>
      <c r="AC286" s="185" t="str">
        <f aca="false">IF($A287="","",VLOOKUP($A286,Table,MATCH(AC$4,Curves,0)))</f>
        <v/>
      </c>
      <c r="AD286" s="185" t="str">
        <f aca="false">IF($A287="","",VLOOKUP($A286,Table,MATCH(AD$4,Curves,0)))</f>
        <v/>
      </c>
      <c r="AE286" s="185" t="e">
        <f aca="false">SQRT((AD286^2*(A286-$D$3)+AC286^2*(DAY(EOMONTH(A286,0))/2))/AK286)</f>
        <v>#VALUE!</v>
      </c>
      <c r="AF286" s="224" t="e">
        <f aca="false">((Summary!$N$14*(AA286*AD286)*(A286-$D$3))+(Summary!$M$14*Z286*AC286*(AJ286-EOMONTH(EDATE(A286,-1),0))))/(AK286*AB286*AE286)</f>
        <v>#VALUE!</v>
      </c>
      <c r="AG286" s="207" t="str">
        <f aca="false">IF($A287="","",Summary!$Q$14)</f>
        <v/>
      </c>
      <c r="AH286" s="207" t="str">
        <f aca="false">IF($A287="","",IF(Summary!$R$12="Y",(VLOOKUP($A286,Summary!$AD$6:$AF$9,3)+'Escalating commodity'!J299),'Escalating commodity'!J299))</f>
        <v/>
      </c>
      <c r="AI286" s="207" t="str">
        <f aca="false">IF($A287="","",AH286)</f>
        <v/>
      </c>
      <c r="AJ286" s="208" t="e">
        <f aca="false">A286+DAY(EOMONTH(A286,0))/2-1</f>
        <v>#VALUE!</v>
      </c>
      <c r="AK286" s="209" t="str">
        <f aca="false">IF($A287="","",$A286-$E$1)</f>
        <v/>
      </c>
      <c r="AL286" s="182" t="str">
        <f aca="false">IF($A287="","",SPRDOPT(P286,X286,AI286,0,AB286,AE286,AF286,AK286,$AJ$2,0))</f>
        <v/>
      </c>
      <c r="AM286" s="211" t="str">
        <f aca="false">IF($A287="","",MAX(0,O286-W286-AI286))</f>
        <v/>
      </c>
      <c r="AN286" s="211" t="str">
        <f aca="false">IF($A287="","",AL286-AM286)</f>
        <v/>
      </c>
      <c r="AO286" s="137" t="str">
        <f aca="false">IF(A287="","",A287-A286)</f>
        <v/>
      </c>
      <c r="AP286" s="212" t="str">
        <f aca="false">IF(A287="","",CHOOSE(F$3,A287+24,A286))</f>
        <v/>
      </c>
      <c r="AQ286" s="209" t="str">
        <f aca="false">IF(A287="","",AP286-$E$1)</f>
        <v/>
      </c>
      <c r="AR286" s="185" t="n">
        <f aca="false">'ANR OK vs ML7'!AR286</f>
        <v>0.1</v>
      </c>
      <c r="AS286" s="213" t="str">
        <f aca="false">IF(A287="","",1/(1+CHOOSE(F$3,(AR287+($I$3/10000))/2,(AR286+($I$3/10000))/2))^(2*AQ286/365.25))</f>
        <v/>
      </c>
      <c r="AT286" s="137" t="str">
        <f aca="false">IF(A287="","",IF(AND(mthbeg&lt;=A286,mthend&gt;=A286),1,0))</f>
        <v/>
      </c>
      <c r="AU286" s="137" t="str">
        <f aca="false">IF(A287="","",AO286*AT286)</f>
        <v/>
      </c>
      <c r="AW286" s="195" t="str">
        <f aca="false">IF($A287="","",AL286*$E286)</f>
        <v/>
      </c>
      <c r="AX286" s="195" t="str">
        <f aca="false">IF($A287="","",AM286*$E286)</f>
        <v/>
      </c>
      <c r="AY286" s="195" t="str">
        <f aca="false">IF($A287="","",AN286*$E286)</f>
        <v/>
      </c>
      <c r="BA286" s="195" t="str">
        <f aca="false">IF($A287="","",F286*Summary!$Q$14)</f>
        <v/>
      </c>
    </row>
    <row r="287" customFormat="false" ht="12" hidden="false" customHeight="true" outlineLevel="0" collapsed="false">
      <c r="A287" s="196" t="str">
        <f aca="false">IF(A286&lt;mthend,EDATE(A286,1),"")</f>
        <v/>
      </c>
      <c r="B287" s="197" t="str">
        <f aca="false">IF(A287&lt;mthend,B286,"")</f>
        <v/>
      </c>
      <c r="C287" s="215"/>
      <c r="D287" s="197" t="str">
        <f aca="false">IF(A288&lt;&gt;"",B287+C287,"")</f>
        <v/>
      </c>
      <c r="E287" s="199" t="str">
        <f aca="false">IF(A288="","",IF(AND(AT287=1,$H$3=1),D287*AO287,IF($H$3=2,D287,"N/A")))</f>
        <v/>
      </c>
      <c r="F287" s="199" t="str">
        <f aca="false">IF(A288="","",E287*AS287)</f>
        <v/>
      </c>
      <c r="G287" s="200" t="str">
        <f aca="false">IF($A288="","",VLOOKUP($A287,Table,MATCH(G$4,Curves,0)))</f>
        <v/>
      </c>
      <c r="H287" s="201" t="str">
        <f aca="false">IF(A288="","",G287)</f>
        <v/>
      </c>
      <c r="I287" s="202"/>
      <c r="J287" s="200" t="str">
        <f aca="false">IF($A288="","",VLOOKUP($A287,Table,MATCH(J$4,Curves,0)))</f>
        <v/>
      </c>
      <c r="K287" s="201" t="str">
        <f aca="false">IF(A288="","",J287)</f>
        <v/>
      </c>
      <c r="L287" s="185" t="n">
        <v>0</v>
      </c>
      <c r="M287" s="201" t="str">
        <f aca="false">IF(A288="","",L287)</f>
        <v/>
      </c>
      <c r="N287" s="203"/>
      <c r="O287" s="200" t="str">
        <f aca="false">IF(A288="","",L287+J287+G287)</f>
        <v/>
      </c>
      <c r="P287" s="200" t="str">
        <f aca="false">IF(A288="","",M287+K287+H287)</f>
        <v/>
      </c>
      <c r="Q287" s="204"/>
      <c r="R287" s="200" t="str">
        <f aca="false">IF($A288="","",VLOOKUP($A287,Table,MATCH(R$4,Curves,0)))</f>
        <v/>
      </c>
      <c r="S287" s="201" t="str">
        <f aca="false">IF(A288="","",R287)</f>
        <v/>
      </c>
      <c r="T287" s="200" t="str">
        <f aca="false">IF($A288="","",VLOOKUP($A287,Table,MATCH(T$4,Curves,0)))</f>
        <v/>
      </c>
      <c r="U287" s="201" t="str">
        <f aca="false">IF(A288="","",T287)</f>
        <v/>
      </c>
      <c r="V287" s="183" t="str">
        <f aca="false">IF($A288="","",IF(AND(MONTH(A287)&gt;3,MONTH(A287)&lt;11),(T287+R287+G287)*(((1/(1-Summary!$T$14))/(1-Summary!$W$14))-1),(T287+R287+G287)*((1/(1-Summary!$U$14))/(1-Summary!$X$14)-1)))</f>
        <v/>
      </c>
      <c r="W287" s="202" t="str">
        <f aca="false">IF($A288="","",(T287+R287+G287+V287))</f>
        <v/>
      </c>
      <c r="X287" s="202" t="str">
        <f aca="false">IF($A288="","",(U287+S287+H287+V287))</f>
        <v/>
      </c>
      <c r="Y287" s="202"/>
      <c r="Z287" s="185" t="str">
        <f aca="false">IF($A288="","",VLOOKUP($A287,Table,MATCH(Z$4,Curves,0)))</f>
        <v/>
      </c>
      <c r="AA287" s="185" t="str">
        <f aca="false">IF($A288="","",VLOOKUP($A287,Table,MATCH(AA$4,Curves,0)))</f>
        <v/>
      </c>
      <c r="AB287" s="185" t="e">
        <f aca="false">SQRT((AA287^2*(A287-$D$3)+Z287^2*(DAY(EOMONTH(A287,0))/2))/AK287)</f>
        <v>#VALUE!</v>
      </c>
      <c r="AC287" s="185" t="str">
        <f aca="false">IF($A288="","",VLOOKUP($A287,Table,MATCH(AC$4,Curves,0)))</f>
        <v/>
      </c>
      <c r="AD287" s="185" t="str">
        <f aca="false">IF($A288="","",VLOOKUP($A287,Table,MATCH(AD$4,Curves,0)))</f>
        <v/>
      </c>
      <c r="AE287" s="185" t="e">
        <f aca="false">SQRT((AD287^2*(A287-$D$3)+AC287^2*(DAY(EOMONTH(A287,0))/2))/AK287)</f>
        <v>#VALUE!</v>
      </c>
      <c r="AF287" s="224" t="e">
        <f aca="false">((Summary!$N$14*(AA287*AD287)*(A287-$D$3))+(Summary!$M$14*Z287*AC287*(AJ287-EOMONTH(EDATE(A287,-1),0))))/(AK287*AB287*AE287)</f>
        <v>#VALUE!</v>
      </c>
      <c r="AG287" s="207" t="str">
        <f aca="false">IF($A288="","",Summary!$Q$14)</f>
        <v/>
      </c>
      <c r="AH287" s="207" t="str">
        <f aca="false">IF($A288="","",IF(Summary!$R$12="Y",(VLOOKUP($A287,Summary!$AD$6:$AF$9,3)+'Escalating commodity'!J300),'Escalating commodity'!J300))</f>
        <v/>
      </c>
      <c r="AI287" s="207" t="str">
        <f aca="false">IF($A288="","",AH287)</f>
        <v/>
      </c>
      <c r="AJ287" s="208" t="e">
        <f aca="false">A287+DAY(EOMONTH(A287,0))/2-1</f>
        <v>#VALUE!</v>
      </c>
      <c r="AK287" s="209" t="str">
        <f aca="false">IF($A288="","",$A287-$E$1)</f>
        <v/>
      </c>
      <c r="AL287" s="182" t="str">
        <f aca="false">IF($A288="","",SPRDOPT(P287,X287,AI287,0,AB287,AE287,AF287,AK287,$AJ$2,0))</f>
        <v/>
      </c>
      <c r="AM287" s="211" t="str">
        <f aca="false">IF($A288="","",MAX(0,O287-W287-AI287))</f>
        <v/>
      </c>
      <c r="AN287" s="211" t="str">
        <f aca="false">IF($A288="","",AL287-AM287)</f>
        <v/>
      </c>
      <c r="AO287" s="137" t="str">
        <f aca="false">IF(A288="","",A288-A287)</f>
        <v/>
      </c>
      <c r="AP287" s="212" t="str">
        <f aca="false">IF(A288="","",CHOOSE(F$3,A288+24,A287))</f>
        <v/>
      </c>
      <c r="AQ287" s="209" t="str">
        <f aca="false">IF(A288="","",AP287-$E$1)</f>
        <v/>
      </c>
      <c r="AR287" s="185" t="n">
        <f aca="false">'ANR OK vs ML7'!AR287</f>
        <v>0.1</v>
      </c>
      <c r="AS287" s="213" t="str">
        <f aca="false">IF(A288="","",1/(1+CHOOSE(F$3,(AR288+($I$3/10000))/2,(AR287+($I$3/10000))/2))^(2*AQ287/365.25))</f>
        <v/>
      </c>
      <c r="AT287" s="137" t="str">
        <f aca="false">IF(A288="","",IF(AND(mthbeg&lt;=A287,mthend&gt;=A287),1,0))</f>
        <v/>
      </c>
      <c r="AU287" s="137" t="str">
        <f aca="false">IF(A288="","",AO287*AT287)</f>
        <v/>
      </c>
      <c r="AW287" s="195" t="str">
        <f aca="false">IF($A288="","",AL287*$E287)</f>
        <v/>
      </c>
      <c r="AX287" s="195" t="str">
        <f aca="false">IF($A288="","",AM287*$E287)</f>
        <v/>
      </c>
      <c r="AY287" s="195" t="str">
        <f aca="false">IF($A288="","",AN287*$E287)</f>
        <v/>
      </c>
      <c r="BA287" s="195" t="str">
        <f aca="false">IF($A288="","",F287*Summary!$Q$14)</f>
        <v/>
      </c>
    </row>
    <row r="288" customFormat="false" ht="12" hidden="false" customHeight="true" outlineLevel="0" collapsed="false">
      <c r="A288" s="196" t="str">
        <f aca="false">IF(A287&lt;mthend,EDATE(A287,1),"")</f>
        <v/>
      </c>
      <c r="B288" s="197" t="str">
        <f aca="false">IF(A288&lt;mthend,B287,"")</f>
        <v/>
      </c>
      <c r="C288" s="215"/>
      <c r="D288" s="197" t="str">
        <f aca="false">IF(A289&lt;&gt;"",B288+C288,"")</f>
        <v/>
      </c>
      <c r="E288" s="199" t="str">
        <f aca="false">IF(A289="","",IF(AND(AT288=1,$H$3=1),D288*AO288,IF($H$3=2,D288,"N/A")))</f>
        <v/>
      </c>
      <c r="F288" s="199" t="str">
        <f aca="false">IF(A289="","",E288*AS288)</f>
        <v/>
      </c>
      <c r="G288" s="200" t="str">
        <f aca="false">IF($A289="","",VLOOKUP($A288,Table,MATCH(G$4,Curves,0)))</f>
        <v/>
      </c>
      <c r="H288" s="201" t="str">
        <f aca="false">IF(A289="","",G288)</f>
        <v/>
      </c>
      <c r="I288" s="202"/>
      <c r="J288" s="200" t="str">
        <f aca="false">IF($A289="","",VLOOKUP($A288,Table,MATCH(J$4,Curves,0)))</f>
        <v/>
      </c>
      <c r="K288" s="201" t="str">
        <f aca="false">IF(A289="","",J288)</f>
        <v/>
      </c>
      <c r="L288" s="185" t="n">
        <v>0</v>
      </c>
      <c r="M288" s="201" t="str">
        <f aca="false">IF(A289="","",L288)</f>
        <v/>
      </c>
      <c r="N288" s="203"/>
      <c r="O288" s="200" t="str">
        <f aca="false">IF(A289="","",L288+J288+G288)</f>
        <v/>
      </c>
      <c r="P288" s="200" t="str">
        <f aca="false">IF(A289="","",M288+K288+H288)</f>
        <v/>
      </c>
      <c r="Q288" s="204"/>
      <c r="R288" s="200" t="str">
        <f aca="false">IF($A289="","",VLOOKUP($A288,Table,MATCH(R$4,Curves,0)))</f>
        <v/>
      </c>
      <c r="S288" s="201" t="str">
        <f aca="false">IF(A289="","",R288)</f>
        <v/>
      </c>
      <c r="T288" s="200" t="str">
        <f aca="false">IF($A289="","",VLOOKUP($A288,Table,MATCH(T$4,Curves,0)))</f>
        <v/>
      </c>
      <c r="U288" s="201" t="str">
        <f aca="false">IF(A289="","",T288)</f>
        <v/>
      </c>
      <c r="V288" s="183" t="str">
        <f aca="false">IF($A289="","",IF(AND(MONTH(A288)&gt;3,MONTH(A288)&lt;11),(T288+R288+G288)*(((1/(1-Summary!$T$14))/(1-Summary!$W$14))-1),(T288+R288+G288)*((1/(1-Summary!$U$14))/(1-Summary!$X$14)-1)))</f>
        <v/>
      </c>
      <c r="W288" s="202" t="str">
        <f aca="false">IF($A289="","",(T288+R288+G288+V288))</f>
        <v/>
      </c>
      <c r="X288" s="202" t="str">
        <f aca="false">IF($A289="","",(U288+S288+H288+V288))</f>
        <v/>
      </c>
      <c r="Y288" s="202"/>
      <c r="Z288" s="185" t="str">
        <f aca="false">IF($A289="","",VLOOKUP($A288,Table,MATCH(Z$4,Curves,0)))</f>
        <v/>
      </c>
      <c r="AA288" s="185" t="str">
        <f aca="false">IF($A289="","",VLOOKUP($A288,Table,MATCH(AA$4,Curves,0)))</f>
        <v/>
      </c>
      <c r="AB288" s="185" t="e">
        <f aca="false">SQRT((AA288^2*(A288-$D$3)+Z288^2*(DAY(EOMONTH(A288,0))/2))/AK288)</f>
        <v>#VALUE!</v>
      </c>
      <c r="AC288" s="185" t="str">
        <f aca="false">IF($A289="","",VLOOKUP($A288,Table,MATCH(AC$4,Curves,0)))</f>
        <v/>
      </c>
      <c r="AD288" s="185" t="str">
        <f aca="false">IF($A289="","",VLOOKUP($A288,Table,MATCH(AD$4,Curves,0)))</f>
        <v/>
      </c>
      <c r="AE288" s="185" t="e">
        <f aca="false">SQRT((AD288^2*(A288-$D$3)+AC288^2*(DAY(EOMONTH(A288,0))/2))/AK288)</f>
        <v>#VALUE!</v>
      </c>
      <c r="AF288" s="224" t="e">
        <f aca="false">((Summary!$N$14*(AA288*AD288)*(A288-$D$3))+(Summary!$M$14*Z288*AC288*(AJ288-EOMONTH(EDATE(A288,-1),0))))/(AK288*AB288*AE288)</f>
        <v>#VALUE!</v>
      </c>
      <c r="AG288" s="207" t="str">
        <f aca="false">IF($A289="","",Summary!$Q$14)</f>
        <v/>
      </c>
      <c r="AH288" s="207" t="str">
        <f aca="false">IF($A289="","",IF(Summary!$R$12="Y",(VLOOKUP($A288,Summary!$AD$6:$AF$9,3)+'Escalating commodity'!J301),'Escalating commodity'!J301))</f>
        <v/>
      </c>
      <c r="AI288" s="207" t="str">
        <f aca="false">IF($A289="","",AH288)</f>
        <v/>
      </c>
      <c r="AJ288" s="208" t="e">
        <f aca="false">A288+DAY(EOMONTH(A288,0))/2-1</f>
        <v>#VALUE!</v>
      </c>
      <c r="AK288" s="209" t="str">
        <f aca="false">IF($A289="","",$A288-$E$1)</f>
        <v/>
      </c>
      <c r="AL288" s="182" t="str">
        <f aca="false">IF($A289="","",SPRDOPT(P288,X288,AI288,0,AB288,AE288,AF288,AK288,$AJ$2,0))</f>
        <v/>
      </c>
      <c r="AM288" s="211" t="str">
        <f aca="false">IF($A289="","",MAX(0,O288-W288-AI288))</f>
        <v/>
      </c>
      <c r="AN288" s="211" t="str">
        <f aca="false">IF($A289="","",AL288-AM288)</f>
        <v/>
      </c>
      <c r="AO288" s="137" t="str">
        <f aca="false">IF(A289="","",A289-A288)</f>
        <v/>
      </c>
      <c r="AP288" s="212" t="str">
        <f aca="false">IF(A289="","",CHOOSE(F$3,A289+24,A288))</f>
        <v/>
      </c>
      <c r="AQ288" s="209" t="str">
        <f aca="false">IF(A289="","",AP288-$E$1)</f>
        <v/>
      </c>
      <c r="AR288" s="185" t="n">
        <f aca="false">'ANR OK vs ML7'!AR288</f>
        <v>0.1</v>
      </c>
      <c r="AS288" s="213" t="str">
        <f aca="false">IF(A289="","",1/(1+CHOOSE(F$3,(AR289+($I$3/10000))/2,(AR288+($I$3/10000))/2))^(2*AQ288/365.25))</f>
        <v/>
      </c>
      <c r="AT288" s="137" t="str">
        <f aca="false">IF(A289="","",IF(AND(mthbeg&lt;=A288,mthend&gt;=A288),1,0))</f>
        <v/>
      </c>
      <c r="AU288" s="137" t="str">
        <f aca="false">IF(A289="","",AO288*AT288)</f>
        <v/>
      </c>
      <c r="AW288" s="195" t="str">
        <f aca="false">IF($A289="","",AL288*$E288)</f>
        <v/>
      </c>
      <c r="AX288" s="195" t="str">
        <f aca="false">IF($A289="","",AM288*$E288)</f>
        <v/>
      </c>
      <c r="AY288" s="195" t="str">
        <f aca="false">IF($A289="","",AN288*$E288)</f>
        <v/>
      </c>
      <c r="BA288" s="195" t="str">
        <f aca="false">IF($A289="","",F288*Summary!$Q$14)</f>
        <v/>
      </c>
    </row>
    <row r="289" customFormat="false" ht="12" hidden="false" customHeight="true" outlineLevel="0" collapsed="false">
      <c r="A289" s="196" t="str">
        <f aca="false">IF(A288&lt;mthend,EDATE(A288,1),"")</f>
        <v/>
      </c>
      <c r="B289" s="197" t="str">
        <f aca="false">IF(A289&lt;mthend,B288,"")</f>
        <v/>
      </c>
      <c r="C289" s="215"/>
      <c r="D289" s="197" t="str">
        <f aca="false">IF(A290&lt;&gt;"",B289+C289,"")</f>
        <v/>
      </c>
      <c r="E289" s="199" t="str">
        <f aca="false">IF(A290="","",IF(AND(AT289=1,$H$3=1),D289*AO289,IF($H$3=2,D289,"N/A")))</f>
        <v/>
      </c>
      <c r="F289" s="199" t="str">
        <f aca="false">IF(A290="","",E289*AS289)</f>
        <v/>
      </c>
      <c r="G289" s="200" t="str">
        <f aca="false">IF($A290="","",VLOOKUP($A289,Table,MATCH(G$4,Curves,0)))</f>
        <v/>
      </c>
      <c r="H289" s="201" t="str">
        <f aca="false">IF(A290="","",G289)</f>
        <v/>
      </c>
      <c r="I289" s="202"/>
      <c r="J289" s="200" t="str">
        <f aca="false">IF($A290="","",VLOOKUP($A289,Table,MATCH(J$4,Curves,0)))</f>
        <v/>
      </c>
      <c r="K289" s="201" t="str">
        <f aca="false">IF(A290="","",J289)</f>
        <v/>
      </c>
      <c r="L289" s="185" t="n">
        <v>0</v>
      </c>
      <c r="M289" s="201" t="str">
        <f aca="false">IF(A290="","",L289)</f>
        <v/>
      </c>
      <c r="N289" s="203"/>
      <c r="O289" s="200" t="str">
        <f aca="false">IF(A290="","",L289+J289+G289)</f>
        <v/>
      </c>
      <c r="P289" s="200" t="str">
        <f aca="false">IF(A290="","",M289+K289+H289)</f>
        <v/>
      </c>
      <c r="Q289" s="204"/>
      <c r="R289" s="200" t="str">
        <f aca="false">IF($A290="","",VLOOKUP($A289,Table,MATCH(R$4,Curves,0)))</f>
        <v/>
      </c>
      <c r="S289" s="201" t="str">
        <f aca="false">IF(A290="","",R289)</f>
        <v/>
      </c>
      <c r="T289" s="200" t="str">
        <f aca="false">IF($A290="","",VLOOKUP($A289,Table,MATCH(T$4,Curves,0)))</f>
        <v/>
      </c>
      <c r="U289" s="201" t="str">
        <f aca="false">IF(A290="","",T289)</f>
        <v/>
      </c>
      <c r="V289" s="183" t="str">
        <f aca="false">IF($A290="","",IF(AND(MONTH(A289)&gt;3,MONTH(A289)&lt;11),(T289+R289+G289)*(((1/(1-Summary!$T$14))/(1-Summary!$W$14))-1),(T289+R289+G289)*((1/(1-Summary!$U$14))/(1-Summary!$X$14)-1)))</f>
        <v/>
      </c>
      <c r="W289" s="202" t="str">
        <f aca="false">IF($A290="","",(T289+R289+G289+V289))</f>
        <v/>
      </c>
      <c r="X289" s="202" t="str">
        <f aca="false">IF($A290="","",(U289+S289+H289+V289))</f>
        <v/>
      </c>
      <c r="Y289" s="202"/>
      <c r="Z289" s="185" t="str">
        <f aca="false">IF($A290="","",VLOOKUP($A289,Table,MATCH(Z$4,Curves,0)))</f>
        <v/>
      </c>
      <c r="AA289" s="185" t="str">
        <f aca="false">IF($A290="","",VLOOKUP($A289,Table,MATCH(AA$4,Curves,0)))</f>
        <v/>
      </c>
      <c r="AB289" s="185" t="e">
        <f aca="false">SQRT((AA289^2*(A289-$D$3)+Z289^2*(DAY(EOMONTH(A289,0))/2))/AK289)</f>
        <v>#VALUE!</v>
      </c>
      <c r="AC289" s="185" t="str">
        <f aca="false">IF($A290="","",VLOOKUP($A289,Table,MATCH(AC$4,Curves,0)))</f>
        <v/>
      </c>
      <c r="AD289" s="185" t="str">
        <f aca="false">IF($A290="","",VLOOKUP($A289,Table,MATCH(AD$4,Curves,0)))</f>
        <v/>
      </c>
      <c r="AE289" s="185" t="e">
        <f aca="false">SQRT((AD289^2*(A289-$D$3)+AC289^2*(DAY(EOMONTH(A289,0))/2))/AK289)</f>
        <v>#VALUE!</v>
      </c>
      <c r="AF289" s="224" t="e">
        <f aca="false">((Summary!$N$14*(AA289*AD289)*(A289-$D$3))+(Summary!$M$14*Z289*AC289*(AJ289-EOMONTH(EDATE(A289,-1),0))))/(AK289*AB289*AE289)</f>
        <v>#VALUE!</v>
      </c>
      <c r="AG289" s="207" t="str">
        <f aca="false">IF($A290="","",Summary!$Q$14)</f>
        <v/>
      </c>
      <c r="AH289" s="207" t="str">
        <f aca="false">IF($A290="","",IF(Summary!$R$12="Y",(VLOOKUP($A289,Summary!$AD$6:$AF$9,3)+'Escalating commodity'!J302),'Escalating commodity'!J302))</f>
        <v/>
      </c>
      <c r="AI289" s="207" t="str">
        <f aca="false">IF($A290="","",AH289)</f>
        <v/>
      </c>
      <c r="AJ289" s="208" t="e">
        <f aca="false">A289+DAY(EOMONTH(A289,0))/2-1</f>
        <v>#VALUE!</v>
      </c>
      <c r="AK289" s="209" t="str">
        <f aca="false">IF($A290="","",$A289-$E$1)</f>
        <v/>
      </c>
      <c r="AL289" s="182" t="str">
        <f aca="false">IF($A290="","",SPRDOPT(P289,X289,AI289,0,AB289,AE289,AF289,AK289,$AJ$2,0))</f>
        <v/>
      </c>
      <c r="AM289" s="211" t="str">
        <f aca="false">IF($A290="","",MAX(0,O289-W289-AI289))</f>
        <v/>
      </c>
      <c r="AN289" s="211" t="str">
        <f aca="false">IF($A290="","",AL289-AM289)</f>
        <v/>
      </c>
      <c r="AO289" s="137" t="str">
        <f aca="false">IF(A290="","",A290-A289)</f>
        <v/>
      </c>
      <c r="AP289" s="212" t="str">
        <f aca="false">IF(A290="","",CHOOSE(F$3,A290+24,A289))</f>
        <v/>
      </c>
      <c r="AQ289" s="209" t="str">
        <f aca="false">IF(A290="","",AP289-$E$1)</f>
        <v/>
      </c>
      <c r="AR289" s="185" t="n">
        <f aca="false">'ANR OK vs ML7'!AR289</f>
        <v>0.1</v>
      </c>
      <c r="AS289" s="213" t="str">
        <f aca="false">IF(A290="","",1/(1+CHOOSE(F$3,(AR290+($I$3/10000))/2,(AR289+($I$3/10000))/2))^(2*AQ289/365.25))</f>
        <v/>
      </c>
      <c r="AT289" s="137" t="str">
        <f aca="false">IF(A290="","",IF(AND(mthbeg&lt;=A289,mthend&gt;=A289),1,0))</f>
        <v/>
      </c>
      <c r="AU289" s="137" t="str">
        <f aca="false">IF(A290="","",AO289*AT289)</f>
        <v/>
      </c>
      <c r="AW289" s="195" t="str">
        <f aca="false">IF($A290="","",AL289*$E289)</f>
        <v/>
      </c>
      <c r="AX289" s="195" t="str">
        <f aca="false">IF($A290="","",AM289*$E289)</f>
        <v/>
      </c>
      <c r="AY289" s="195" t="str">
        <f aca="false">IF($A290="","",AN289*$E289)</f>
        <v/>
      </c>
      <c r="BA289" s="195" t="str">
        <f aca="false">IF($A290="","",F289*Summary!$Q$14)</f>
        <v/>
      </c>
    </row>
    <row r="290" customFormat="false" ht="12" hidden="false" customHeight="true" outlineLevel="0" collapsed="false">
      <c r="A290" s="196" t="str">
        <f aca="false">IF(A289&lt;mthend,EDATE(A289,1),"")</f>
        <v/>
      </c>
      <c r="B290" s="197" t="str">
        <f aca="false">IF(A290&lt;mthend,B289,"")</f>
        <v/>
      </c>
      <c r="C290" s="215"/>
      <c r="D290" s="197" t="str">
        <f aca="false">IF(A291&lt;&gt;"",B290+C290,"")</f>
        <v/>
      </c>
      <c r="E290" s="199" t="str">
        <f aca="false">IF(A291="","",IF(AND(AT290=1,$H$3=1),D290*AO290,IF($H$3=2,D290,"N/A")))</f>
        <v/>
      </c>
      <c r="F290" s="199" t="str">
        <f aca="false">IF(A291="","",E290*AS290)</f>
        <v/>
      </c>
      <c r="G290" s="200" t="str">
        <f aca="false">IF($A291="","",VLOOKUP($A290,Table,MATCH(G$4,Curves,0)))</f>
        <v/>
      </c>
      <c r="H290" s="201" t="str">
        <f aca="false">IF(A291="","",G290)</f>
        <v/>
      </c>
      <c r="I290" s="202"/>
      <c r="J290" s="200" t="str">
        <f aca="false">IF($A291="","",VLOOKUP($A290,Table,MATCH(J$4,Curves,0)))</f>
        <v/>
      </c>
      <c r="K290" s="201" t="str">
        <f aca="false">IF(A291="","",J290)</f>
        <v/>
      </c>
      <c r="L290" s="185" t="n">
        <v>0</v>
      </c>
      <c r="M290" s="201" t="str">
        <f aca="false">IF(A291="","",L290)</f>
        <v/>
      </c>
      <c r="N290" s="203"/>
      <c r="O290" s="200" t="str">
        <f aca="false">IF(A291="","",L290+J290+G290)</f>
        <v/>
      </c>
      <c r="P290" s="200" t="str">
        <f aca="false">IF(A291="","",M290+K290+H290)</f>
        <v/>
      </c>
      <c r="Q290" s="204"/>
      <c r="R290" s="200" t="str">
        <f aca="false">IF($A291="","",VLOOKUP($A290,Table,MATCH(R$4,Curves,0)))</f>
        <v/>
      </c>
      <c r="S290" s="201" t="str">
        <f aca="false">IF(A291="","",R290)</f>
        <v/>
      </c>
      <c r="T290" s="200" t="str">
        <f aca="false">IF($A291="","",VLOOKUP($A290,Table,MATCH(T$4,Curves,0)))</f>
        <v/>
      </c>
      <c r="U290" s="201" t="str">
        <f aca="false">IF(A291="","",T290)</f>
        <v/>
      </c>
      <c r="V290" s="183" t="str">
        <f aca="false">IF($A291="","",IF(AND(MONTH(A290)&gt;3,MONTH(A290)&lt;11),(T290+R290+G290)*(((1/(1-Summary!$T$14))/(1-Summary!$W$14))-1),(T290+R290+G290)*((1/(1-Summary!$U$14))/(1-Summary!$X$14)-1)))</f>
        <v/>
      </c>
      <c r="W290" s="202" t="str">
        <f aca="false">IF($A291="","",(T290+R290+G290+V290))</f>
        <v/>
      </c>
      <c r="X290" s="202" t="str">
        <f aca="false">IF($A291="","",(U290+S290+H290+V290))</f>
        <v/>
      </c>
      <c r="Y290" s="202"/>
      <c r="Z290" s="185" t="str">
        <f aca="false">IF($A291="","",VLOOKUP($A290,Table,MATCH(Z$4,Curves,0)))</f>
        <v/>
      </c>
      <c r="AA290" s="185" t="str">
        <f aca="false">IF($A291="","",VLOOKUP($A290,Table,MATCH(AA$4,Curves,0)))</f>
        <v/>
      </c>
      <c r="AB290" s="185" t="e">
        <f aca="false">SQRT((AA290^2*(A290-$D$3)+Z290^2*(DAY(EOMONTH(A290,0))/2))/AK290)</f>
        <v>#VALUE!</v>
      </c>
      <c r="AC290" s="185" t="str">
        <f aca="false">IF($A291="","",VLOOKUP($A290,Table,MATCH(AC$4,Curves,0)))</f>
        <v/>
      </c>
      <c r="AD290" s="185" t="str">
        <f aca="false">IF($A291="","",VLOOKUP($A290,Table,MATCH(AD$4,Curves,0)))</f>
        <v/>
      </c>
      <c r="AE290" s="185" t="e">
        <f aca="false">SQRT((AD290^2*(A290-$D$3)+AC290^2*(DAY(EOMONTH(A290,0))/2))/AK290)</f>
        <v>#VALUE!</v>
      </c>
      <c r="AF290" s="224" t="e">
        <f aca="false">((Summary!$N$14*(AA290*AD290)*(A290-$D$3))+(Summary!$M$14*Z290*AC290*(AJ290-EOMONTH(EDATE(A290,-1),0))))/(AK290*AB290*AE290)</f>
        <v>#VALUE!</v>
      </c>
      <c r="AG290" s="207" t="str">
        <f aca="false">IF($A291="","",Summary!$Q$14)</f>
        <v/>
      </c>
      <c r="AH290" s="207" t="str">
        <f aca="false">IF($A291="","",IF(Summary!$R$12="Y",(VLOOKUP($A290,Summary!$AD$6:$AF$9,3)+'Escalating commodity'!J303),'Escalating commodity'!J303))</f>
        <v/>
      </c>
      <c r="AI290" s="207" t="str">
        <f aca="false">IF($A291="","",AH290)</f>
        <v/>
      </c>
      <c r="AJ290" s="208" t="e">
        <f aca="false">A290+DAY(EOMONTH(A290,0))/2-1</f>
        <v>#VALUE!</v>
      </c>
      <c r="AK290" s="209" t="str">
        <f aca="false">IF($A291="","",$A290-$E$1)</f>
        <v/>
      </c>
      <c r="AL290" s="182" t="str">
        <f aca="false">IF($A291="","",SPRDOPT(P290,X290,AI290,0,AB290,AE290,AF290,AK290,$AJ$2,0))</f>
        <v/>
      </c>
      <c r="AM290" s="211" t="str">
        <f aca="false">IF($A291="","",MAX(0,O290-W290-AI290))</f>
        <v/>
      </c>
      <c r="AN290" s="211" t="str">
        <f aca="false">IF($A291="","",AL290-AM290)</f>
        <v/>
      </c>
      <c r="AO290" s="137" t="str">
        <f aca="false">IF(A291="","",A291-A290)</f>
        <v/>
      </c>
      <c r="AP290" s="212" t="str">
        <f aca="false">IF(A291="","",CHOOSE(F$3,A291+24,A290))</f>
        <v/>
      </c>
      <c r="AQ290" s="209" t="str">
        <f aca="false">IF(A291="","",AP290-$E$1)</f>
        <v/>
      </c>
      <c r="AR290" s="185" t="n">
        <f aca="false">'ANR OK vs ML7'!AR290</f>
        <v>0.1</v>
      </c>
      <c r="AS290" s="213" t="str">
        <f aca="false">IF(A291="","",1/(1+CHOOSE(F$3,(AR291+($I$3/10000))/2,(AR290+($I$3/10000))/2))^(2*AQ290/365.25))</f>
        <v/>
      </c>
      <c r="AT290" s="137" t="str">
        <f aca="false">IF(A291="","",IF(AND(mthbeg&lt;=A290,mthend&gt;=A290),1,0))</f>
        <v/>
      </c>
      <c r="AU290" s="137" t="str">
        <f aca="false">IF(A291="","",AO290*AT290)</f>
        <v/>
      </c>
      <c r="AW290" s="195" t="str">
        <f aca="false">IF($A291="","",AL290*$E290)</f>
        <v/>
      </c>
      <c r="AX290" s="195" t="str">
        <f aca="false">IF($A291="","",AM290*$E290)</f>
        <v/>
      </c>
      <c r="AY290" s="195" t="str">
        <f aca="false">IF($A291="","",AN290*$E290)</f>
        <v/>
      </c>
      <c r="BA290" s="195" t="str">
        <f aca="false">IF($A291="","",F290*Summary!$Q$14)</f>
        <v/>
      </c>
    </row>
    <row r="291" customFormat="false" ht="12" hidden="false" customHeight="true" outlineLevel="0" collapsed="false">
      <c r="A291" s="196" t="str">
        <f aca="false">IF(A290&lt;mthend,EDATE(A290,1),"")</f>
        <v/>
      </c>
      <c r="B291" s="197" t="str">
        <f aca="false">IF(A291&lt;mthend,B290,"")</f>
        <v/>
      </c>
      <c r="C291" s="215"/>
      <c r="D291" s="197" t="str">
        <f aca="false">IF(A292&lt;&gt;"",B291+C291,"")</f>
        <v/>
      </c>
      <c r="E291" s="199" t="str">
        <f aca="false">IF(A292="","",IF(AND(AT291=1,$H$3=1),D291*AO291,IF($H$3=2,D291,"N/A")))</f>
        <v/>
      </c>
      <c r="F291" s="199" t="str">
        <f aca="false">IF(A292="","",E291*AS291)</f>
        <v/>
      </c>
      <c r="G291" s="200" t="str">
        <f aca="false">IF($A292="","",VLOOKUP($A291,Table,MATCH(G$4,Curves,0)))</f>
        <v/>
      </c>
      <c r="H291" s="201" t="str">
        <f aca="false">IF(A292="","",G291)</f>
        <v/>
      </c>
      <c r="I291" s="202"/>
      <c r="J291" s="200" t="str">
        <f aca="false">IF($A292="","",VLOOKUP($A291,Table,MATCH(J$4,Curves,0)))</f>
        <v/>
      </c>
      <c r="K291" s="201" t="str">
        <f aca="false">IF(A292="","",J291)</f>
        <v/>
      </c>
      <c r="L291" s="185" t="n">
        <v>0</v>
      </c>
      <c r="M291" s="201" t="str">
        <f aca="false">IF(A292="","",L291)</f>
        <v/>
      </c>
      <c r="N291" s="203"/>
      <c r="O291" s="200" t="str">
        <f aca="false">IF(A292="","",L291+J291+G291)</f>
        <v/>
      </c>
      <c r="P291" s="200" t="str">
        <f aca="false">IF(A292="","",M291+K291+H291)</f>
        <v/>
      </c>
      <c r="Q291" s="204"/>
      <c r="R291" s="200" t="str">
        <f aca="false">IF($A292="","",VLOOKUP($A291,Table,MATCH(R$4,Curves,0)))</f>
        <v/>
      </c>
      <c r="S291" s="201" t="str">
        <f aca="false">IF(A292="","",R291)</f>
        <v/>
      </c>
      <c r="T291" s="200" t="str">
        <f aca="false">IF($A292="","",VLOOKUP($A291,Table,MATCH(T$4,Curves,0)))</f>
        <v/>
      </c>
      <c r="U291" s="201" t="str">
        <f aca="false">IF(A292="","",T291)</f>
        <v/>
      </c>
      <c r="V291" s="183" t="str">
        <f aca="false">IF($A292="","",IF(AND(MONTH(A291)&gt;3,MONTH(A291)&lt;11),(T291+R291+G291)*(((1/(1-Summary!$T$14))/(1-Summary!$W$14))-1),(T291+R291+G291)*((1/(1-Summary!$U$14))/(1-Summary!$X$14)-1)))</f>
        <v/>
      </c>
      <c r="W291" s="202" t="str">
        <f aca="false">IF($A292="","",(T291+R291+G291+V291))</f>
        <v/>
      </c>
      <c r="X291" s="202" t="str">
        <f aca="false">IF($A292="","",(U291+S291+H291+V291))</f>
        <v/>
      </c>
      <c r="Y291" s="202"/>
      <c r="Z291" s="185" t="str">
        <f aca="false">IF($A292="","",VLOOKUP($A291,Table,MATCH(Z$4,Curves,0)))</f>
        <v/>
      </c>
      <c r="AA291" s="185" t="str">
        <f aca="false">IF($A292="","",VLOOKUP($A291,Table,MATCH(AA$4,Curves,0)))</f>
        <v/>
      </c>
      <c r="AB291" s="185" t="e">
        <f aca="false">SQRT((AA291^2*(A291-$D$3)+Z291^2*(DAY(EOMONTH(A291,0))/2))/AK291)</f>
        <v>#VALUE!</v>
      </c>
      <c r="AC291" s="185" t="str">
        <f aca="false">IF($A292="","",VLOOKUP($A291,Table,MATCH(AC$4,Curves,0)))</f>
        <v/>
      </c>
      <c r="AD291" s="185" t="str">
        <f aca="false">IF($A292="","",VLOOKUP($A291,Table,MATCH(AD$4,Curves,0)))</f>
        <v/>
      </c>
      <c r="AE291" s="185" t="e">
        <f aca="false">SQRT((AD291^2*(A291-$D$3)+AC291^2*(DAY(EOMONTH(A291,0))/2))/AK291)</f>
        <v>#VALUE!</v>
      </c>
      <c r="AF291" s="224" t="e">
        <f aca="false">((Summary!$N$14*(AA291*AD291)*(A291-$D$3))+(Summary!$M$14*Z291*AC291*(AJ291-EOMONTH(EDATE(A291,-1),0))))/(AK291*AB291*AE291)</f>
        <v>#VALUE!</v>
      </c>
      <c r="AG291" s="207" t="str">
        <f aca="false">IF($A292="","",Summary!$Q$14)</f>
        <v/>
      </c>
      <c r="AH291" s="207" t="str">
        <f aca="false">IF($A292="","",IF(Summary!$R$12="Y",(VLOOKUP($A291,Summary!$AD$6:$AF$9,3)+'Escalating commodity'!J304),'Escalating commodity'!J304))</f>
        <v/>
      </c>
      <c r="AI291" s="207" t="str">
        <f aca="false">IF($A292="","",AH291)</f>
        <v/>
      </c>
      <c r="AJ291" s="208" t="e">
        <f aca="false">A291+DAY(EOMONTH(A291,0))/2-1</f>
        <v>#VALUE!</v>
      </c>
      <c r="AK291" s="209" t="str">
        <f aca="false">IF($A292="","",$A291-$E$1)</f>
        <v/>
      </c>
      <c r="AL291" s="182" t="str">
        <f aca="false">IF($A292="","",SPRDOPT(P291,X291,AI291,0,AB291,AE291,AF291,AK291,$AJ$2,0))</f>
        <v/>
      </c>
      <c r="AM291" s="211" t="str">
        <f aca="false">IF($A292="","",MAX(0,O291-W291-AI291))</f>
        <v/>
      </c>
      <c r="AN291" s="211" t="str">
        <f aca="false">IF($A292="","",AL291-AM291)</f>
        <v/>
      </c>
      <c r="AO291" s="137" t="str">
        <f aca="false">IF(A292="","",A292-A291)</f>
        <v/>
      </c>
      <c r="AP291" s="212" t="str">
        <f aca="false">IF(A292="","",CHOOSE(F$3,A292+24,A291))</f>
        <v/>
      </c>
      <c r="AQ291" s="209" t="str">
        <f aca="false">IF(A292="","",AP291-$E$1)</f>
        <v/>
      </c>
      <c r="AR291" s="185" t="n">
        <f aca="false">'ANR OK vs ML7'!AR291</f>
        <v>0.1</v>
      </c>
      <c r="AS291" s="213" t="str">
        <f aca="false">IF(A292="","",1/(1+CHOOSE(F$3,(AR292+($I$3/10000))/2,(AR291+($I$3/10000))/2))^(2*AQ291/365.25))</f>
        <v/>
      </c>
      <c r="AT291" s="137" t="str">
        <f aca="false">IF(A292="","",IF(AND(mthbeg&lt;=A291,mthend&gt;=A291),1,0))</f>
        <v/>
      </c>
      <c r="AU291" s="137" t="str">
        <f aca="false">IF(A292="","",AO291*AT291)</f>
        <v/>
      </c>
      <c r="AW291" s="195" t="str">
        <f aca="false">IF($A292="","",AL291*$E291)</f>
        <v/>
      </c>
      <c r="AX291" s="195" t="str">
        <f aca="false">IF($A292="","",AM291*$E291)</f>
        <v/>
      </c>
      <c r="AY291" s="195" t="str">
        <f aca="false">IF($A292="","",AN291*$E291)</f>
        <v/>
      </c>
      <c r="BA291" s="195" t="str">
        <f aca="false">IF($A292="","",F291*Summary!$Q$14)</f>
        <v/>
      </c>
    </row>
    <row r="292" customFormat="false" ht="12" hidden="false" customHeight="true" outlineLevel="0" collapsed="false">
      <c r="A292" s="196" t="str">
        <f aca="false">IF(A291&lt;mthend,EDATE(A291,1),"")</f>
        <v/>
      </c>
      <c r="B292" s="197" t="str">
        <f aca="false">IF(A292&lt;mthend,B291,"")</f>
        <v/>
      </c>
      <c r="C292" s="215"/>
      <c r="D292" s="197" t="str">
        <f aca="false">IF(A293&lt;&gt;"",B292+C292,"")</f>
        <v/>
      </c>
      <c r="E292" s="199" t="str">
        <f aca="false">IF(A293="","",IF(AND(AT292=1,$H$3=1),D292*AO292,IF($H$3=2,D292,"N/A")))</f>
        <v/>
      </c>
      <c r="F292" s="199" t="str">
        <f aca="false">IF(A293="","",E292*AS292)</f>
        <v/>
      </c>
      <c r="G292" s="200" t="str">
        <f aca="false">IF($A293="","",VLOOKUP($A292,Table,MATCH(G$4,Curves,0)))</f>
        <v/>
      </c>
      <c r="H292" s="201" t="str">
        <f aca="false">IF(A293="","",G292)</f>
        <v/>
      </c>
      <c r="I292" s="202"/>
      <c r="J292" s="200" t="str">
        <f aca="false">IF($A293="","",VLOOKUP($A292,Table,MATCH(J$4,Curves,0)))</f>
        <v/>
      </c>
      <c r="K292" s="201" t="str">
        <f aca="false">IF(A293="","",J292)</f>
        <v/>
      </c>
      <c r="L292" s="185" t="n">
        <v>0</v>
      </c>
      <c r="M292" s="201" t="str">
        <f aca="false">IF(A293="","",L292)</f>
        <v/>
      </c>
      <c r="N292" s="203"/>
      <c r="O292" s="200" t="str">
        <f aca="false">IF(A293="","",L292+J292+G292)</f>
        <v/>
      </c>
      <c r="P292" s="200" t="str">
        <f aca="false">IF(A293="","",M292+K292+H292)</f>
        <v/>
      </c>
      <c r="Q292" s="204"/>
      <c r="R292" s="200" t="str">
        <f aca="false">IF($A293="","",VLOOKUP($A292,Table,MATCH(R$4,Curves,0)))</f>
        <v/>
      </c>
      <c r="S292" s="201" t="str">
        <f aca="false">IF(A293="","",R292)</f>
        <v/>
      </c>
      <c r="T292" s="200" t="str">
        <f aca="false">IF($A293="","",VLOOKUP($A292,Table,MATCH(T$4,Curves,0)))</f>
        <v/>
      </c>
      <c r="U292" s="201" t="str">
        <f aca="false">IF(A293="","",T292)</f>
        <v/>
      </c>
      <c r="V292" s="183" t="str">
        <f aca="false">IF($A293="","",IF(AND(MONTH(A292)&gt;3,MONTH(A292)&lt;11),(T292+R292+G292)*(((1/(1-Summary!$T$14))/(1-Summary!$W$14))-1),(T292+R292+G292)*((1/(1-Summary!$U$14))/(1-Summary!$X$14)-1)))</f>
        <v/>
      </c>
      <c r="W292" s="202" t="str">
        <f aca="false">IF($A293="","",(T292+R292+G292+V292))</f>
        <v/>
      </c>
      <c r="X292" s="202" t="str">
        <f aca="false">IF($A293="","",(U292+S292+H292+V292))</f>
        <v/>
      </c>
      <c r="Y292" s="202"/>
      <c r="Z292" s="185" t="str">
        <f aca="false">IF($A293="","",VLOOKUP($A292,Table,MATCH(Z$4,Curves,0)))</f>
        <v/>
      </c>
      <c r="AA292" s="185" t="str">
        <f aca="false">IF($A293="","",VLOOKUP($A292,Table,MATCH(AA$4,Curves,0)))</f>
        <v/>
      </c>
      <c r="AB292" s="185" t="e">
        <f aca="false">SQRT((AA292^2*(A292-$D$3)+Z292^2*(DAY(EOMONTH(A292,0))/2))/AK292)</f>
        <v>#VALUE!</v>
      </c>
      <c r="AC292" s="185" t="str">
        <f aca="false">IF($A293="","",VLOOKUP($A292,Table,MATCH(AC$4,Curves,0)))</f>
        <v/>
      </c>
      <c r="AD292" s="185" t="str">
        <f aca="false">IF($A293="","",VLOOKUP($A292,Table,MATCH(AD$4,Curves,0)))</f>
        <v/>
      </c>
      <c r="AE292" s="185" t="e">
        <f aca="false">SQRT((AD292^2*(A292-$D$3)+AC292^2*(DAY(EOMONTH(A292,0))/2))/AK292)</f>
        <v>#VALUE!</v>
      </c>
      <c r="AF292" s="224" t="e">
        <f aca="false">((Summary!$N$14*(AA292*AD292)*(A292-$D$3))+(Summary!$M$14*Z292*AC292*(AJ292-EOMONTH(EDATE(A292,-1),0))))/(AK292*AB292*AE292)</f>
        <v>#VALUE!</v>
      </c>
      <c r="AG292" s="207" t="str">
        <f aca="false">IF($A293="","",Summary!$Q$14)</f>
        <v/>
      </c>
      <c r="AH292" s="207" t="str">
        <f aca="false">IF($A293="","",IF(Summary!$R$12="Y",(VLOOKUP($A292,Summary!$AD$6:$AF$9,3)+'Escalating commodity'!J305),'Escalating commodity'!J305))</f>
        <v/>
      </c>
      <c r="AI292" s="207" t="str">
        <f aca="false">IF($A293="","",AH292)</f>
        <v/>
      </c>
      <c r="AJ292" s="208" t="e">
        <f aca="false">A292+DAY(EOMONTH(A292,0))/2-1</f>
        <v>#VALUE!</v>
      </c>
      <c r="AK292" s="209" t="str">
        <f aca="false">IF($A293="","",$A292-$E$1)</f>
        <v/>
      </c>
      <c r="AL292" s="182" t="str">
        <f aca="false">IF($A293="","",SPRDOPT(P292,X292,AI292,0,AB292,AE292,AF292,AK292,$AJ$2,0))</f>
        <v/>
      </c>
      <c r="AM292" s="211" t="str">
        <f aca="false">IF($A293="","",MAX(0,O292-W292-AI292))</f>
        <v/>
      </c>
      <c r="AN292" s="211" t="str">
        <f aca="false">IF($A293="","",AL292-AM292)</f>
        <v/>
      </c>
      <c r="AO292" s="137" t="str">
        <f aca="false">IF(A293="","",A293-A292)</f>
        <v/>
      </c>
      <c r="AP292" s="212" t="str">
        <f aca="false">IF(A293="","",CHOOSE(F$3,A293+24,A292))</f>
        <v/>
      </c>
      <c r="AQ292" s="209" t="str">
        <f aca="false">IF(A293="","",AP292-$E$1)</f>
        <v/>
      </c>
      <c r="AR292" s="185" t="n">
        <f aca="false">'ANR OK vs ML7'!AR292</f>
        <v>0.1</v>
      </c>
      <c r="AS292" s="213" t="str">
        <f aca="false">IF(A293="","",1/(1+CHOOSE(F$3,(AR293+($I$3/10000))/2,(AR292+($I$3/10000))/2))^(2*AQ292/365.25))</f>
        <v/>
      </c>
      <c r="AT292" s="137" t="str">
        <f aca="false">IF(A293="","",IF(AND(mthbeg&lt;=A292,mthend&gt;=A292),1,0))</f>
        <v/>
      </c>
      <c r="AU292" s="137" t="str">
        <f aca="false">IF(A293="","",AO292*AT292)</f>
        <v/>
      </c>
      <c r="AW292" s="195" t="str">
        <f aca="false">IF($A293="","",AL292*$E292)</f>
        <v/>
      </c>
      <c r="AX292" s="195" t="str">
        <f aca="false">IF($A293="","",AM292*$E292)</f>
        <v/>
      </c>
      <c r="AY292" s="195" t="str">
        <f aca="false">IF($A293="","",AN292*$E292)</f>
        <v/>
      </c>
      <c r="BA292" s="195" t="str">
        <f aca="false">IF($A293="","",F292*Summary!$Q$14)</f>
        <v/>
      </c>
    </row>
    <row r="293" customFormat="false" ht="12" hidden="false" customHeight="true" outlineLevel="0" collapsed="false">
      <c r="A293" s="196" t="str">
        <f aca="false">IF(A292&lt;mthend,EDATE(A292,1),"")</f>
        <v/>
      </c>
      <c r="B293" s="197" t="str">
        <f aca="false">IF(A293&lt;mthend,B292,"")</f>
        <v/>
      </c>
      <c r="C293" s="215"/>
      <c r="D293" s="197" t="str">
        <f aca="false">IF(A294&lt;&gt;"",B293+C293,"")</f>
        <v/>
      </c>
      <c r="E293" s="199" t="str">
        <f aca="false">IF(A294="","",IF(AND(AT293=1,$H$3=1),D293*AO293,IF($H$3=2,D293,"N/A")))</f>
        <v/>
      </c>
      <c r="F293" s="199" t="str">
        <f aca="false">IF(A294="","",E293*AS293)</f>
        <v/>
      </c>
      <c r="G293" s="200" t="str">
        <f aca="false">IF($A294="","",VLOOKUP($A293,Table,MATCH(G$4,Curves,0)))</f>
        <v/>
      </c>
      <c r="H293" s="201" t="str">
        <f aca="false">IF(A294="","",G293)</f>
        <v/>
      </c>
      <c r="I293" s="202"/>
      <c r="J293" s="200" t="str">
        <f aca="false">IF($A294="","",VLOOKUP($A293,Table,MATCH(J$4,Curves,0)))</f>
        <v/>
      </c>
      <c r="K293" s="201" t="str">
        <f aca="false">IF(A294="","",J293)</f>
        <v/>
      </c>
      <c r="L293" s="185" t="n">
        <v>0</v>
      </c>
      <c r="M293" s="201" t="str">
        <f aca="false">IF(A294="","",L293)</f>
        <v/>
      </c>
      <c r="N293" s="203"/>
      <c r="O293" s="200" t="str">
        <f aca="false">IF(A294="","",L293+J293+G293)</f>
        <v/>
      </c>
      <c r="P293" s="200" t="str">
        <f aca="false">IF(A294="","",M293+K293+H293)</f>
        <v/>
      </c>
      <c r="Q293" s="204"/>
      <c r="R293" s="200" t="str">
        <f aca="false">IF($A294="","",VLOOKUP($A293,Table,MATCH(R$4,Curves,0)))</f>
        <v/>
      </c>
      <c r="S293" s="201" t="str">
        <f aca="false">IF(A294="","",R293)</f>
        <v/>
      </c>
      <c r="T293" s="200" t="str">
        <f aca="false">IF($A294="","",VLOOKUP($A293,Table,MATCH(T$4,Curves,0)))</f>
        <v/>
      </c>
      <c r="U293" s="201" t="str">
        <f aca="false">IF(A294="","",T293)</f>
        <v/>
      </c>
      <c r="V293" s="183" t="str">
        <f aca="false">IF($A294="","",IF(AND(MONTH(A293)&gt;3,MONTH(A293)&lt;11),(T293+R293+G293)*(((1/(1-Summary!$T$14))/(1-Summary!$W$14))-1),(T293+R293+G293)*((1/(1-Summary!$U$14))/(1-Summary!$X$14)-1)))</f>
        <v/>
      </c>
      <c r="W293" s="202" t="str">
        <f aca="false">IF($A294="","",(T293+R293+G293+V293))</f>
        <v/>
      </c>
      <c r="X293" s="202" t="str">
        <f aca="false">IF($A294="","",(U293+S293+H293+V293))</f>
        <v/>
      </c>
      <c r="Y293" s="202"/>
      <c r="Z293" s="185" t="str">
        <f aca="false">IF($A294="","",VLOOKUP($A293,Table,MATCH(Z$4,Curves,0)))</f>
        <v/>
      </c>
      <c r="AA293" s="185" t="str">
        <f aca="false">IF($A294="","",VLOOKUP($A293,Table,MATCH(AA$4,Curves,0)))</f>
        <v/>
      </c>
      <c r="AB293" s="185" t="e">
        <f aca="false">SQRT((AA293^2*(A293-$D$3)+Z293^2*(DAY(EOMONTH(A293,0))/2))/AK293)</f>
        <v>#VALUE!</v>
      </c>
      <c r="AC293" s="185" t="str">
        <f aca="false">IF($A294="","",VLOOKUP($A293,Table,MATCH(AC$4,Curves,0)))</f>
        <v/>
      </c>
      <c r="AD293" s="185" t="str">
        <f aca="false">IF($A294="","",VLOOKUP($A293,Table,MATCH(AD$4,Curves,0)))</f>
        <v/>
      </c>
      <c r="AE293" s="185" t="e">
        <f aca="false">SQRT((AD293^2*(A293-$D$3)+AC293^2*(DAY(EOMONTH(A293,0))/2))/AK293)</f>
        <v>#VALUE!</v>
      </c>
      <c r="AF293" s="224" t="e">
        <f aca="false">((Summary!$N$14*(AA293*AD293)*(A293-$D$3))+(Summary!$M$14*Z293*AC293*(AJ293-EOMONTH(EDATE(A293,-1),0))))/(AK293*AB293*AE293)</f>
        <v>#VALUE!</v>
      </c>
      <c r="AG293" s="207" t="str">
        <f aca="false">IF($A294="","",Summary!$Q$14)</f>
        <v/>
      </c>
      <c r="AH293" s="207" t="str">
        <f aca="false">IF($A294="","",IF(Summary!$R$12="Y",(VLOOKUP($A293,Summary!$AD$6:$AF$9,3)+'Escalating commodity'!J306),'Escalating commodity'!J306))</f>
        <v/>
      </c>
      <c r="AI293" s="207" t="str">
        <f aca="false">IF($A294="","",AH293)</f>
        <v/>
      </c>
      <c r="AJ293" s="208" t="e">
        <f aca="false">A293+DAY(EOMONTH(A293,0))/2-1</f>
        <v>#VALUE!</v>
      </c>
      <c r="AK293" s="209" t="str">
        <f aca="false">IF($A294="","",$A293-$E$1)</f>
        <v/>
      </c>
      <c r="AL293" s="182" t="str">
        <f aca="false">IF($A294="","",SPRDOPT(P293,X293,AI293,0,AB293,AE293,AF293,AK293,$AJ$2,0))</f>
        <v/>
      </c>
      <c r="AM293" s="211" t="str">
        <f aca="false">IF($A294="","",MAX(0,O293-W293-AI293))</f>
        <v/>
      </c>
      <c r="AN293" s="211" t="str">
        <f aca="false">IF($A294="","",AL293-AM293)</f>
        <v/>
      </c>
      <c r="AO293" s="137" t="str">
        <f aca="false">IF(A294="","",A294-A293)</f>
        <v/>
      </c>
      <c r="AP293" s="212" t="str">
        <f aca="false">IF(A294="","",CHOOSE(F$3,A294+24,A293))</f>
        <v/>
      </c>
      <c r="AQ293" s="209" t="str">
        <f aca="false">IF(A294="","",AP293-$E$1)</f>
        <v/>
      </c>
      <c r="AR293" s="185" t="n">
        <f aca="false">'ANR OK vs ML7'!AR293</f>
        <v>0.1</v>
      </c>
      <c r="AS293" s="213" t="str">
        <f aca="false">IF(A294="","",1/(1+CHOOSE(F$3,(AR294+($I$3/10000))/2,(AR293+($I$3/10000))/2))^(2*AQ293/365.25))</f>
        <v/>
      </c>
      <c r="AT293" s="137" t="str">
        <f aca="false">IF(A294="","",IF(AND(mthbeg&lt;=A293,mthend&gt;=A293),1,0))</f>
        <v/>
      </c>
      <c r="AU293" s="137" t="str">
        <f aca="false">IF(A294="","",AO293*AT293)</f>
        <v/>
      </c>
      <c r="AW293" s="195" t="str">
        <f aca="false">IF($A294="","",AL293*$E293)</f>
        <v/>
      </c>
      <c r="AX293" s="195" t="str">
        <f aca="false">IF($A294="","",AM293*$E293)</f>
        <v/>
      </c>
      <c r="AY293" s="195" t="str">
        <f aca="false">IF($A294="","",AN293*$E293)</f>
        <v/>
      </c>
      <c r="BA293" s="195" t="str">
        <f aca="false">IF($A294="","",F293*Summary!$Q$14)</f>
        <v/>
      </c>
    </row>
    <row r="294" customFormat="false" ht="12" hidden="false" customHeight="true" outlineLevel="0" collapsed="false">
      <c r="A294" s="196" t="str">
        <f aca="false">IF(A293&lt;mthend,EDATE(A293,1),"")</f>
        <v/>
      </c>
      <c r="B294" s="197" t="str">
        <f aca="false">IF(A294&lt;mthend,B293,"")</f>
        <v/>
      </c>
      <c r="C294" s="215"/>
      <c r="D294" s="197" t="str">
        <f aca="false">IF(A295&lt;&gt;"",B294+C294,"")</f>
        <v/>
      </c>
      <c r="E294" s="199" t="str">
        <f aca="false">IF(A295="","",IF(AND(AT294=1,$H$3=1),D294*AO294,IF($H$3=2,D294,"N/A")))</f>
        <v/>
      </c>
      <c r="F294" s="199" t="str">
        <f aca="false">IF(A295="","",E294*AS294)</f>
        <v/>
      </c>
      <c r="G294" s="200" t="str">
        <f aca="false">IF($A295="","",VLOOKUP($A294,Table,MATCH(G$4,Curves,0)))</f>
        <v/>
      </c>
      <c r="H294" s="201" t="str">
        <f aca="false">IF(A295="","",G294)</f>
        <v/>
      </c>
      <c r="I294" s="202"/>
      <c r="J294" s="200" t="str">
        <f aca="false">IF($A295="","",VLOOKUP($A294,Table,MATCH(J$4,Curves,0)))</f>
        <v/>
      </c>
      <c r="K294" s="201" t="str">
        <f aca="false">IF(A295="","",J294)</f>
        <v/>
      </c>
      <c r="L294" s="185" t="n">
        <v>0</v>
      </c>
      <c r="M294" s="201" t="str">
        <f aca="false">IF(A295="","",L294)</f>
        <v/>
      </c>
      <c r="N294" s="203"/>
      <c r="O294" s="200" t="str">
        <f aca="false">IF(A295="","",L294+J294+G294)</f>
        <v/>
      </c>
      <c r="P294" s="200" t="str">
        <f aca="false">IF(A295="","",M294+K294+H294)</f>
        <v/>
      </c>
      <c r="Q294" s="204"/>
      <c r="R294" s="200" t="str">
        <f aca="false">IF($A295="","",VLOOKUP($A294,Table,MATCH(R$4,Curves,0)))</f>
        <v/>
      </c>
      <c r="S294" s="201" t="str">
        <f aca="false">IF(A295="","",R294)</f>
        <v/>
      </c>
      <c r="T294" s="200" t="str">
        <f aca="false">IF($A295="","",VLOOKUP($A294,Table,MATCH(T$4,Curves,0)))</f>
        <v/>
      </c>
      <c r="U294" s="201" t="str">
        <f aca="false">IF(A295="","",T294)</f>
        <v/>
      </c>
      <c r="V294" s="183" t="str">
        <f aca="false">IF($A295="","",IF(AND(MONTH(A294)&gt;3,MONTH(A294)&lt;11),(T294+R294+G294)*(((1/(1-Summary!$T$14))/(1-Summary!$W$14))-1),(T294+R294+G294)*((1/(1-Summary!$U$14))/(1-Summary!$X$14)-1)))</f>
        <v/>
      </c>
      <c r="W294" s="202" t="str">
        <f aca="false">IF($A295="","",(T294+R294+G294+V294))</f>
        <v/>
      </c>
      <c r="X294" s="202" t="str">
        <f aca="false">IF($A295="","",(U294+S294+H294+V294))</f>
        <v/>
      </c>
      <c r="Y294" s="202"/>
      <c r="Z294" s="185" t="str">
        <f aca="false">IF($A295="","",VLOOKUP($A294,Table,MATCH(Z$4,Curves,0)))</f>
        <v/>
      </c>
      <c r="AA294" s="185" t="str">
        <f aca="false">IF($A295="","",VLOOKUP($A294,Table,MATCH(AA$4,Curves,0)))</f>
        <v/>
      </c>
      <c r="AB294" s="185" t="e">
        <f aca="false">SQRT((AA294^2*(A294-$D$3)+Z294^2*(DAY(EOMONTH(A294,0))/2))/AK294)</f>
        <v>#VALUE!</v>
      </c>
      <c r="AC294" s="185" t="str">
        <f aca="false">IF($A295="","",VLOOKUP($A294,Table,MATCH(AC$4,Curves,0)))</f>
        <v/>
      </c>
      <c r="AD294" s="185" t="str">
        <f aca="false">IF($A295="","",VLOOKUP($A294,Table,MATCH(AD$4,Curves,0)))</f>
        <v/>
      </c>
      <c r="AE294" s="185" t="e">
        <f aca="false">SQRT((AD294^2*(A294-$D$3)+AC294^2*(DAY(EOMONTH(A294,0))/2))/AK294)</f>
        <v>#VALUE!</v>
      </c>
      <c r="AF294" s="224" t="e">
        <f aca="false">((Summary!$N$14*(AA294*AD294)*(A294-$D$3))+(Summary!$M$14*Z294*AC294*(AJ294-EOMONTH(EDATE(A294,-1),0))))/(AK294*AB294*AE294)</f>
        <v>#VALUE!</v>
      </c>
      <c r="AG294" s="207" t="str">
        <f aca="false">IF($A295="","",Summary!$Q$14)</f>
        <v/>
      </c>
      <c r="AH294" s="207" t="str">
        <f aca="false">IF($A295="","",IF(Summary!$R$12="Y",(VLOOKUP($A294,Summary!$AD$6:$AF$9,3)+'Escalating commodity'!J307),'Escalating commodity'!J307))</f>
        <v/>
      </c>
      <c r="AI294" s="207" t="str">
        <f aca="false">IF($A295="","",AH294)</f>
        <v/>
      </c>
      <c r="AJ294" s="208" t="e">
        <f aca="false">A294+DAY(EOMONTH(A294,0))/2-1</f>
        <v>#VALUE!</v>
      </c>
      <c r="AK294" s="209" t="str">
        <f aca="false">IF($A295="","",$A294-$E$1)</f>
        <v/>
      </c>
      <c r="AL294" s="182" t="str">
        <f aca="false">IF($A295="","",SPRDOPT(P294,X294,AI294,0,AB294,AE294,AF294,AK294,$AJ$2,0))</f>
        <v/>
      </c>
      <c r="AM294" s="211" t="str">
        <f aca="false">IF($A295="","",MAX(0,O294-W294-AI294))</f>
        <v/>
      </c>
      <c r="AN294" s="211" t="str">
        <f aca="false">IF($A295="","",AL294-AM294)</f>
        <v/>
      </c>
      <c r="AO294" s="137" t="str">
        <f aca="false">IF(A295="","",A295-A294)</f>
        <v/>
      </c>
      <c r="AP294" s="212" t="str">
        <f aca="false">IF(A295="","",CHOOSE(F$3,A295+24,A294))</f>
        <v/>
      </c>
      <c r="AQ294" s="209" t="str">
        <f aca="false">IF(A295="","",AP294-$E$1)</f>
        <v/>
      </c>
      <c r="AR294" s="185" t="n">
        <f aca="false">'ANR OK vs ML7'!AR294</f>
        <v>0.1</v>
      </c>
      <c r="AS294" s="213" t="str">
        <f aca="false">IF(A295="","",1/(1+CHOOSE(F$3,(AR295+($I$3/10000))/2,(AR294+($I$3/10000))/2))^(2*AQ294/365.25))</f>
        <v/>
      </c>
      <c r="AT294" s="137" t="str">
        <f aca="false">IF(A295="","",IF(AND(mthbeg&lt;=A294,mthend&gt;=A294),1,0))</f>
        <v/>
      </c>
      <c r="AU294" s="137" t="str">
        <f aca="false">IF(A295="","",AO294*AT294)</f>
        <v/>
      </c>
      <c r="AW294" s="195" t="str">
        <f aca="false">IF($A295="","",AL294*$E294)</f>
        <v/>
      </c>
      <c r="AX294" s="195" t="str">
        <f aca="false">IF($A295="","",AM294*$E294)</f>
        <v/>
      </c>
      <c r="AY294" s="195" t="str">
        <f aca="false">IF($A295="","",AN294*$E294)</f>
        <v/>
      </c>
      <c r="BA294" s="195" t="str">
        <f aca="false">IF($A295="","",F294*Summary!$Q$14)</f>
        <v/>
      </c>
    </row>
    <row r="295" customFormat="false" ht="12" hidden="false" customHeight="true" outlineLevel="0" collapsed="false">
      <c r="A295" s="196" t="str">
        <f aca="false">IF(A294&lt;mthend,EDATE(A294,1),"")</f>
        <v/>
      </c>
      <c r="B295" s="197" t="str">
        <f aca="false">IF(A295&lt;mthend,B294,"")</f>
        <v/>
      </c>
      <c r="C295" s="215"/>
      <c r="D295" s="197" t="str">
        <f aca="false">IF(A296&lt;&gt;"",B295+C295,"")</f>
        <v/>
      </c>
      <c r="E295" s="199" t="str">
        <f aca="false">IF(A296="","",IF(AND(AT295=1,$H$3=1),D295*AO295,IF($H$3=2,D295,"N/A")))</f>
        <v/>
      </c>
      <c r="F295" s="199" t="str">
        <f aca="false">IF(A296="","",E295*AS295)</f>
        <v/>
      </c>
      <c r="G295" s="200" t="str">
        <f aca="false">IF($A296="","",VLOOKUP($A295,Table,MATCH(G$4,Curves,0)))</f>
        <v/>
      </c>
      <c r="H295" s="201" t="str">
        <f aca="false">IF(A296="","",G295)</f>
        <v/>
      </c>
      <c r="I295" s="202"/>
      <c r="J295" s="200" t="str">
        <f aca="false">IF($A296="","",VLOOKUP($A295,Table,MATCH(J$4,Curves,0)))</f>
        <v/>
      </c>
      <c r="K295" s="201" t="str">
        <f aca="false">IF(A296="","",J295)</f>
        <v/>
      </c>
      <c r="L295" s="185" t="n">
        <v>0</v>
      </c>
      <c r="M295" s="201" t="str">
        <f aca="false">IF(A296="","",L295)</f>
        <v/>
      </c>
      <c r="N295" s="203"/>
      <c r="O295" s="200" t="str">
        <f aca="false">IF(A296="","",L295+J295+G295)</f>
        <v/>
      </c>
      <c r="P295" s="200" t="str">
        <f aca="false">IF(A296="","",M295+K295+H295)</f>
        <v/>
      </c>
      <c r="Q295" s="204"/>
      <c r="R295" s="200" t="str">
        <f aca="false">IF($A296="","",VLOOKUP($A295,Table,MATCH(R$4,Curves,0)))</f>
        <v/>
      </c>
      <c r="S295" s="201" t="str">
        <f aca="false">IF(A296="","",R295)</f>
        <v/>
      </c>
      <c r="T295" s="200" t="str">
        <f aca="false">IF($A296="","",VLOOKUP($A295,Table,MATCH(T$4,Curves,0)))</f>
        <v/>
      </c>
      <c r="U295" s="201" t="str">
        <f aca="false">IF(A296="","",T295)</f>
        <v/>
      </c>
      <c r="V295" s="183" t="str">
        <f aca="false">IF($A296="","",IF(AND(MONTH(A295)&gt;3,MONTH(A295)&lt;11),(T295+R295+G295)*(((1/(1-Summary!$T$14))/(1-Summary!$W$14))-1),(T295+R295+G295)*((1/(1-Summary!$U$14))/(1-Summary!$X$14)-1)))</f>
        <v/>
      </c>
      <c r="W295" s="202" t="str">
        <f aca="false">IF($A296="","",(T295+R295+G295+V295))</f>
        <v/>
      </c>
      <c r="X295" s="202" t="str">
        <f aca="false">IF($A296="","",(U295+S295+H295+V295))</f>
        <v/>
      </c>
      <c r="Y295" s="202"/>
      <c r="Z295" s="185" t="str">
        <f aca="false">IF($A296="","",VLOOKUP($A295,Table,MATCH(Z$4,Curves,0)))</f>
        <v/>
      </c>
      <c r="AA295" s="185" t="str">
        <f aca="false">IF($A296="","",VLOOKUP($A295,Table,MATCH(AA$4,Curves,0)))</f>
        <v/>
      </c>
      <c r="AB295" s="185" t="e">
        <f aca="false">SQRT((AA295^2*(A295-$D$3)+Z295^2*(DAY(EOMONTH(A295,0))/2))/AK295)</f>
        <v>#VALUE!</v>
      </c>
      <c r="AC295" s="185" t="str">
        <f aca="false">IF($A296="","",VLOOKUP($A295,Table,MATCH(AC$4,Curves,0)))</f>
        <v/>
      </c>
      <c r="AD295" s="185" t="str">
        <f aca="false">IF($A296="","",VLOOKUP($A295,Table,MATCH(AD$4,Curves,0)))</f>
        <v/>
      </c>
      <c r="AE295" s="185" t="e">
        <f aca="false">SQRT((AD295^2*(A295-$D$3)+AC295^2*(DAY(EOMONTH(A295,0))/2))/AK295)</f>
        <v>#VALUE!</v>
      </c>
      <c r="AF295" s="224" t="e">
        <f aca="false">((Summary!$N$14*(AA295*AD295)*(A295-$D$3))+(Summary!$M$14*Z295*AC295*(AJ295-EOMONTH(EDATE(A295,-1),0))))/(AK295*AB295*AE295)</f>
        <v>#VALUE!</v>
      </c>
      <c r="AG295" s="207" t="str">
        <f aca="false">IF($A296="","",Summary!$Q$14)</f>
        <v/>
      </c>
      <c r="AH295" s="207" t="str">
        <f aca="false">IF($A296="","",IF(Summary!$R$12="Y",(VLOOKUP($A295,Summary!$AD$6:$AF$9,3)+'Escalating commodity'!J308),'Escalating commodity'!J308))</f>
        <v/>
      </c>
      <c r="AI295" s="207" t="str">
        <f aca="false">IF($A296="","",AH295)</f>
        <v/>
      </c>
      <c r="AJ295" s="208" t="e">
        <f aca="false">A295+DAY(EOMONTH(A295,0))/2-1</f>
        <v>#VALUE!</v>
      </c>
      <c r="AK295" s="209" t="str">
        <f aca="false">IF($A296="","",$A295-$E$1)</f>
        <v/>
      </c>
      <c r="AL295" s="182" t="str">
        <f aca="false">IF($A296="","",SPRDOPT(P295,X295,AI295,0,AB295,AE295,AF295,AK295,$AJ$2,0))</f>
        <v/>
      </c>
      <c r="AM295" s="211" t="str">
        <f aca="false">IF($A296="","",MAX(0,O295-W295-AI295))</f>
        <v/>
      </c>
      <c r="AN295" s="211" t="str">
        <f aca="false">IF($A296="","",AL295-AM295)</f>
        <v/>
      </c>
      <c r="AO295" s="137" t="str">
        <f aca="false">IF(A296="","",A296-A295)</f>
        <v/>
      </c>
      <c r="AP295" s="212" t="str">
        <f aca="false">IF(A296="","",CHOOSE(F$3,A296+24,A295))</f>
        <v/>
      </c>
      <c r="AQ295" s="209" t="str">
        <f aca="false">IF(A296="","",AP295-$E$1)</f>
        <v/>
      </c>
      <c r="AR295" s="185" t="n">
        <f aca="false">'ANR OK vs ML7'!AR295</f>
        <v>0.1</v>
      </c>
      <c r="AS295" s="213" t="str">
        <f aca="false">IF(A296="","",1/(1+CHOOSE(F$3,(AR296+($I$3/10000))/2,(AR295+($I$3/10000))/2))^(2*AQ295/365.25))</f>
        <v/>
      </c>
      <c r="AT295" s="137" t="str">
        <f aca="false">IF(A296="","",IF(AND(mthbeg&lt;=A295,mthend&gt;=A295),1,0))</f>
        <v/>
      </c>
      <c r="AU295" s="137" t="str">
        <f aca="false">IF(A296="","",AO295*AT295)</f>
        <v/>
      </c>
      <c r="AW295" s="195" t="str">
        <f aca="false">IF($A296="","",AL295*$E295)</f>
        <v/>
      </c>
      <c r="AX295" s="195" t="str">
        <f aca="false">IF($A296="","",AM295*$E295)</f>
        <v/>
      </c>
      <c r="AY295" s="195" t="str">
        <f aca="false">IF($A296="","",AN295*$E295)</f>
        <v/>
      </c>
      <c r="BA295" s="195" t="str">
        <f aca="false">IF($A296="","",F295*Summary!$Q$14)</f>
        <v/>
      </c>
    </row>
    <row r="296" customFormat="false" ht="12" hidden="false" customHeight="true" outlineLevel="0" collapsed="false">
      <c r="A296" s="196" t="str">
        <f aca="false">IF(A295&lt;mthend,EDATE(A295,1),"")</f>
        <v/>
      </c>
      <c r="B296" s="197" t="str">
        <f aca="false">IF(A296&lt;mthend,B295,"")</f>
        <v/>
      </c>
      <c r="C296" s="215"/>
      <c r="D296" s="197" t="str">
        <f aca="false">IF(A297&lt;&gt;"",B296+C296,"")</f>
        <v/>
      </c>
      <c r="E296" s="199" t="str">
        <f aca="false">IF(A297="","",IF(AND(AT296=1,$H$3=1),D296*AO296,IF($H$3=2,D296,"N/A")))</f>
        <v/>
      </c>
      <c r="F296" s="199" t="str">
        <f aca="false">IF(A297="","",E296*AS296)</f>
        <v/>
      </c>
      <c r="G296" s="200" t="str">
        <f aca="false">IF($A297="","",VLOOKUP($A296,Table,MATCH(G$4,Curves,0)))</f>
        <v/>
      </c>
      <c r="H296" s="201" t="str">
        <f aca="false">IF(A297="","",G296)</f>
        <v/>
      </c>
      <c r="I296" s="202"/>
      <c r="J296" s="200" t="str">
        <f aca="false">IF($A297="","",VLOOKUP($A296,Table,MATCH(J$4,Curves,0)))</f>
        <v/>
      </c>
      <c r="K296" s="201" t="str">
        <f aca="false">IF(A297="","",J296)</f>
        <v/>
      </c>
      <c r="L296" s="185" t="n">
        <v>0</v>
      </c>
      <c r="M296" s="201" t="str">
        <f aca="false">IF(A297="","",L296)</f>
        <v/>
      </c>
      <c r="N296" s="203"/>
      <c r="O296" s="200" t="str">
        <f aca="false">IF(A297="","",L296+J296+G296)</f>
        <v/>
      </c>
      <c r="P296" s="200" t="str">
        <f aca="false">IF(A297="","",M296+K296+H296)</f>
        <v/>
      </c>
      <c r="Q296" s="204"/>
      <c r="R296" s="200" t="str">
        <f aca="false">IF($A297="","",VLOOKUP($A296,Table,MATCH(R$4,Curves,0)))</f>
        <v/>
      </c>
      <c r="S296" s="201" t="str">
        <f aca="false">IF(A297="","",R296)</f>
        <v/>
      </c>
      <c r="T296" s="200" t="str">
        <f aca="false">IF($A297="","",VLOOKUP($A296,Table,MATCH(T$4,Curves,0)))</f>
        <v/>
      </c>
      <c r="U296" s="201" t="str">
        <f aca="false">IF(A297="","",T296)</f>
        <v/>
      </c>
      <c r="V296" s="183" t="str">
        <f aca="false">IF($A297="","",IF(AND(MONTH(A296)&gt;3,MONTH(A296)&lt;11),(T296+R296+G296)*(((1/(1-Summary!$T$14))/(1-Summary!$W$14))-1),(T296+R296+G296)*((1/(1-Summary!$U$14))/(1-Summary!$X$14)-1)))</f>
        <v/>
      </c>
      <c r="W296" s="202" t="str">
        <f aca="false">IF($A297="","",(T296+R296+G296+V296))</f>
        <v/>
      </c>
      <c r="X296" s="202" t="str">
        <f aca="false">IF($A297="","",(U296+S296+H296+V296))</f>
        <v/>
      </c>
      <c r="Y296" s="202"/>
      <c r="Z296" s="185" t="str">
        <f aca="false">IF($A297="","",VLOOKUP($A296,Table,MATCH(Z$4,Curves,0)))</f>
        <v/>
      </c>
      <c r="AA296" s="185" t="str">
        <f aca="false">IF($A297="","",VLOOKUP($A296,Table,MATCH(AA$4,Curves,0)))</f>
        <v/>
      </c>
      <c r="AB296" s="185" t="e">
        <f aca="false">SQRT((AA296^2*(A296-$D$3)+Z296^2*(DAY(EOMONTH(A296,0))/2))/AK296)</f>
        <v>#VALUE!</v>
      </c>
      <c r="AC296" s="185" t="str">
        <f aca="false">IF($A297="","",VLOOKUP($A296,Table,MATCH(AC$4,Curves,0)))</f>
        <v/>
      </c>
      <c r="AD296" s="185" t="str">
        <f aca="false">IF($A297="","",VLOOKUP($A296,Table,MATCH(AD$4,Curves,0)))</f>
        <v/>
      </c>
      <c r="AE296" s="185" t="e">
        <f aca="false">SQRT((AD296^2*(A296-$D$3)+AC296^2*(DAY(EOMONTH(A296,0))/2))/AK296)</f>
        <v>#VALUE!</v>
      </c>
      <c r="AF296" s="224" t="e">
        <f aca="false">((Summary!$N$14*(AA296*AD296)*(A296-$D$3))+(Summary!$M$14*Z296*AC296*(AJ296-EOMONTH(EDATE(A296,-1),0))))/(AK296*AB296*AE296)</f>
        <v>#VALUE!</v>
      </c>
      <c r="AG296" s="207" t="str">
        <f aca="false">IF($A297="","",Summary!$Q$14)</f>
        <v/>
      </c>
      <c r="AH296" s="207" t="str">
        <f aca="false">IF($A297="","",IF(Summary!$R$12="Y",(VLOOKUP($A296,Summary!$AD$6:$AF$9,3)+'Escalating commodity'!J309),'Escalating commodity'!J309))</f>
        <v/>
      </c>
      <c r="AI296" s="207" t="str">
        <f aca="false">IF($A297="","",AH296)</f>
        <v/>
      </c>
      <c r="AJ296" s="208" t="e">
        <f aca="false">A296+DAY(EOMONTH(A296,0))/2-1</f>
        <v>#VALUE!</v>
      </c>
      <c r="AK296" s="209" t="str">
        <f aca="false">IF($A297="","",$A296-$E$1)</f>
        <v/>
      </c>
      <c r="AL296" s="182" t="str">
        <f aca="false">IF($A297="","",SPRDOPT(P296,X296,AI296,0,AB296,AE296,AF296,AK296,$AJ$2,0))</f>
        <v/>
      </c>
      <c r="AM296" s="211" t="str">
        <f aca="false">IF($A297="","",MAX(0,O296-W296-AI296))</f>
        <v/>
      </c>
      <c r="AN296" s="211" t="str">
        <f aca="false">IF($A297="","",AL296-AM296)</f>
        <v/>
      </c>
      <c r="AO296" s="137" t="str">
        <f aca="false">IF(A297="","",A297-A296)</f>
        <v/>
      </c>
      <c r="AP296" s="212" t="str">
        <f aca="false">IF(A297="","",CHOOSE(F$3,A297+24,A296))</f>
        <v/>
      </c>
      <c r="AQ296" s="209" t="str">
        <f aca="false">IF(A297="","",AP296-$E$1)</f>
        <v/>
      </c>
      <c r="AR296" s="185" t="n">
        <f aca="false">'ANR OK vs ML7'!AR296</f>
        <v>0.1</v>
      </c>
      <c r="AS296" s="213" t="str">
        <f aca="false">IF(A297="","",1/(1+CHOOSE(F$3,(AR297+($I$3/10000))/2,(AR296+($I$3/10000))/2))^(2*AQ296/365.25))</f>
        <v/>
      </c>
      <c r="AT296" s="137" t="str">
        <f aca="false">IF(A297="","",IF(AND(mthbeg&lt;=A296,mthend&gt;=A296),1,0))</f>
        <v/>
      </c>
      <c r="AU296" s="137" t="str">
        <f aca="false">IF(A297="","",AO296*AT296)</f>
        <v/>
      </c>
      <c r="AW296" s="195" t="str">
        <f aca="false">IF($A297="","",AL296*$E296)</f>
        <v/>
      </c>
      <c r="AX296" s="195" t="str">
        <f aca="false">IF($A297="","",AM296*$E296)</f>
        <v/>
      </c>
      <c r="AY296" s="195" t="str">
        <f aca="false">IF($A297="","",AN296*$E296)</f>
        <v/>
      </c>
      <c r="BA296" s="195" t="str">
        <f aca="false">IF($A297="","",F296*Summary!$Q$14)</f>
        <v/>
      </c>
    </row>
    <row r="297" customFormat="false" ht="12" hidden="false" customHeight="true" outlineLevel="0" collapsed="false">
      <c r="A297" s="196" t="str">
        <f aca="false">IF(A296&lt;mthend,EDATE(A296,1),"")</f>
        <v/>
      </c>
      <c r="B297" s="197" t="str">
        <f aca="false">IF(A297&lt;mthend,B296,"")</f>
        <v/>
      </c>
      <c r="C297" s="215"/>
      <c r="D297" s="197" t="str">
        <f aca="false">IF(A298&lt;&gt;"",B297+C297,"")</f>
        <v/>
      </c>
      <c r="E297" s="199" t="str">
        <f aca="false">IF(A298="","",IF(AND(AT297=1,$H$3=1),D297*AO297,IF($H$3=2,D297,"N/A")))</f>
        <v/>
      </c>
      <c r="F297" s="199" t="str">
        <f aca="false">IF(A298="","",E297*AS297)</f>
        <v/>
      </c>
      <c r="G297" s="200" t="str">
        <f aca="false">IF($A298="","",VLOOKUP($A297,Table,MATCH(G$4,Curves,0)))</f>
        <v/>
      </c>
      <c r="H297" s="201" t="str">
        <f aca="false">IF(A298="","",G297)</f>
        <v/>
      </c>
      <c r="I297" s="202"/>
      <c r="J297" s="200" t="str">
        <f aca="false">IF($A298="","",VLOOKUP($A297,Table,MATCH(J$4,Curves,0)))</f>
        <v/>
      </c>
      <c r="K297" s="201" t="str">
        <f aca="false">IF(A298="","",J297)</f>
        <v/>
      </c>
      <c r="L297" s="185" t="n">
        <v>0</v>
      </c>
      <c r="M297" s="201" t="str">
        <f aca="false">IF(A298="","",L297)</f>
        <v/>
      </c>
      <c r="N297" s="203"/>
      <c r="O297" s="200" t="str">
        <f aca="false">IF(A298="","",L297+J297+G297)</f>
        <v/>
      </c>
      <c r="P297" s="200" t="str">
        <f aca="false">IF(A298="","",M297+K297+H297)</f>
        <v/>
      </c>
      <c r="Q297" s="204"/>
      <c r="R297" s="200" t="str">
        <f aca="false">IF($A298="","",VLOOKUP($A297,Table,MATCH(R$4,Curves,0)))</f>
        <v/>
      </c>
      <c r="S297" s="201" t="str">
        <f aca="false">IF(A298="","",R297)</f>
        <v/>
      </c>
      <c r="T297" s="200" t="str">
        <f aca="false">IF($A298="","",VLOOKUP($A297,Table,MATCH(T$4,Curves,0)))</f>
        <v/>
      </c>
      <c r="U297" s="201" t="str">
        <f aca="false">IF(A298="","",T297)</f>
        <v/>
      </c>
      <c r="V297" s="183" t="str">
        <f aca="false">IF($A298="","",IF(AND(MONTH(A297)&gt;3,MONTH(A297)&lt;11),(T297+R297+G297)*(((1/(1-Summary!$T$14))/(1-Summary!$W$14))-1),(T297+R297+G297)*((1/(1-Summary!$U$14))/(1-Summary!$X$14)-1)))</f>
        <v/>
      </c>
      <c r="W297" s="202" t="str">
        <f aca="false">IF($A298="","",(T297+R297+G297+V297))</f>
        <v/>
      </c>
      <c r="X297" s="202" t="str">
        <f aca="false">IF($A298="","",(U297+S297+H297+V297))</f>
        <v/>
      </c>
      <c r="Y297" s="202"/>
      <c r="Z297" s="185" t="str">
        <f aca="false">IF($A298="","",VLOOKUP($A297,Table,MATCH(Z$4,Curves,0)))</f>
        <v/>
      </c>
      <c r="AA297" s="185" t="str">
        <f aca="false">IF($A298="","",VLOOKUP($A297,Table,MATCH(AA$4,Curves,0)))</f>
        <v/>
      </c>
      <c r="AB297" s="185" t="e">
        <f aca="false">SQRT((AA297^2*(A297-$D$3)+Z297^2*(DAY(EOMONTH(A297,0))/2))/AK297)</f>
        <v>#VALUE!</v>
      </c>
      <c r="AC297" s="185" t="str">
        <f aca="false">IF($A298="","",VLOOKUP($A297,Table,MATCH(AC$4,Curves,0)))</f>
        <v/>
      </c>
      <c r="AD297" s="185" t="str">
        <f aca="false">IF($A298="","",VLOOKUP($A297,Table,MATCH(AD$4,Curves,0)))</f>
        <v/>
      </c>
      <c r="AE297" s="185" t="e">
        <f aca="false">SQRT((AD297^2*(A297-$D$3)+AC297^2*(DAY(EOMONTH(A297,0))/2))/AK297)</f>
        <v>#VALUE!</v>
      </c>
      <c r="AF297" s="224" t="e">
        <f aca="false">((Summary!$N$14*(AA297*AD297)*(A297-$D$3))+(Summary!$M$14*Z297*AC297*(AJ297-EOMONTH(EDATE(A297,-1),0))))/(AK297*AB297*AE297)</f>
        <v>#VALUE!</v>
      </c>
      <c r="AG297" s="207" t="str">
        <f aca="false">IF($A298="","",Summary!$Q$14)</f>
        <v/>
      </c>
      <c r="AH297" s="207" t="str">
        <f aca="false">IF($A298="","",IF(Summary!$R$12="Y",(VLOOKUP($A297,Summary!$AD$6:$AF$9,3)+'Escalating commodity'!J310),'Escalating commodity'!J310))</f>
        <v/>
      </c>
      <c r="AI297" s="207" t="str">
        <f aca="false">IF($A298="","",AH297)</f>
        <v/>
      </c>
      <c r="AJ297" s="208" t="e">
        <f aca="false">A297+DAY(EOMONTH(A297,0))/2-1</f>
        <v>#VALUE!</v>
      </c>
      <c r="AK297" s="209" t="str">
        <f aca="false">IF($A298="","",$A297-$E$1)</f>
        <v/>
      </c>
      <c r="AL297" s="182" t="str">
        <f aca="false">IF($A298="","",SPRDOPT(P297,X297,AI297,0,AB297,AE297,AF297,AK297,$AJ$2,0))</f>
        <v/>
      </c>
      <c r="AM297" s="211" t="str">
        <f aca="false">IF($A298="","",MAX(0,O297-W297-AI297))</f>
        <v/>
      </c>
      <c r="AN297" s="211" t="str">
        <f aca="false">IF($A298="","",AL297-AM297)</f>
        <v/>
      </c>
      <c r="AO297" s="137" t="str">
        <f aca="false">IF(A298="","",A298-A297)</f>
        <v/>
      </c>
      <c r="AP297" s="212" t="str">
        <f aca="false">IF(A298="","",CHOOSE(F$3,A298+24,A297))</f>
        <v/>
      </c>
      <c r="AQ297" s="209" t="str">
        <f aca="false">IF(A298="","",AP297-$E$1)</f>
        <v/>
      </c>
      <c r="AR297" s="185" t="n">
        <f aca="false">'ANR OK vs ML7'!AR297</f>
        <v>0.1</v>
      </c>
      <c r="AS297" s="213" t="str">
        <f aca="false">IF(A298="","",1/(1+CHOOSE(F$3,(AR298+($I$3/10000))/2,(AR297+($I$3/10000))/2))^(2*AQ297/365.25))</f>
        <v/>
      </c>
      <c r="AT297" s="137" t="str">
        <f aca="false">IF(A298="","",IF(AND(mthbeg&lt;=A297,mthend&gt;=A297),1,0))</f>
        <v/>
      </c>
      <c r="AU297" s="137" t="str">
        <f aca="false">IF(A298="","",AO297*AT297)</f>
        <v/>
      </c>
      <c r="AW297" s="195" t="str">
        <f aca="false">IF($A298="","",AL297*$E297)</f>
        <v/>
      </c>
      <c r="AX297" s="195" t="str">
        <f aca="false">IF($A298="","",AM297*$E297)</f>
        <v/>
      </c>
      <c r="AY297" s="195" t="str">
        <f aca="false">IF($A298="","",AN297*$E297)</f>
        <v/>
      </c>
      <c r="BA297" s="195" t="str">
        <f aca="false">IF($A298="","",F297*Summary!$Q$14)</f>
        <v/>
      </c>
    </row>
    <row r="298" customFormat="false" ht="12" hidden="false" customHeight="true" outlineLevel="0" collapsed="false">
      <c r="A298" s="196" t="str">
        <f aca="false">IF(A297&lt;mthend,EDATE(A297,1),"")</f>
        <v/>
      </c>
      <c r="B298" s="197" t="str">
        <f aca="false">IF(A298&lt;mthend,B297,"")</f>
        <v/>
      </c>
      <c r="C298" s="215"/>
      <c r="D298" s="197" t="str">
        <f aca="false">IF(A299&lt;&gt;"",B298+C298,"")</f>
        <v/>
      </c>
      <c r="E298" s="199" t="str">
        <f aca="false">IF(A299="","",IF(AND(AT298=1,$H$3=1),D298*AO298,IF($H$3=2,D298,"N/A")))</f>
        <v/>
      </c>
      <c r="F298" s="199" t="str">
        <f aca="false">IF(A299="","",E298*AS298)</f>
        <v/>
      </c>
      <c r="G298" s="200" t="str">
        <f aca="false">IF($A299="","",VLOOKUP($A298,Table,MATCH(G$4,Curves,0)))</f>
        <v/>
      </c>
      <c r="H298" s="201" t="str">
        <f aca="false">IF(A299="","",G298)</f>
        <v/>
      </c>
      <c r="I298" s="202"/>
      <c r="J298" s="200" t="str">
        <f aca="false">IF($A299="","",VLOOKUP($A298,Table,MATCH(J$4,Curves,0)))</f>
        <v/>
      </c>
      <c r="K298" s="201" t="str">
        <f aca="false">IF(A299="","",J298)</f>
        <v/>
      </c>
      <c r="L298" s="185" t="n">
        <v>0</v>
      </c>
      <c r="M298" s="201" t="str">
        <f aca="false">IF(A299="","",L298)</f>
        <v/>
      </c>
      <c r="N298" s="203"/>
      <c r="O298" s="200" t="str">
        <f aca="false">IF(A299="","",L298+J298+G298)</f>
        <v/>
      </c>
      <c r="P298" s="200" t="str">
        <f aca="false">IF(A299="","",M298+K298+H298)</f>
        <v/>
      </c>
      <c r="Q298" s="204"/>
      <c r="R298" s="200" t="str">
        <f aca="false">IF($A299="","",VLOOKUP($A298,Table,MATCH(R$4,Curves,0)))</f>
        <v/>
      </c>
      <c r="S298" s="201" t="str">
        <f aca="false">IF(A299="","",R298)</f>
        <v/>
      </c>
      <c r="T298" s="200" t="str">
        <f aca="false">IF($A299="","",VLOOKUP($A298,Table,MATCH(T$4,Curves,0)))</f>
        <v/>
      </c>
      <c r="U298" s="201" t="str">
        <f aca="false">IF(A299="","",T298)</f>
        <v/>
      </c>
      <c r="V298" s="183" t="str">
        <f aca="false">IF($A299="","",IF(AND(MONTH(A298)&gt;3,MONTH(A298)&lt;11),(T298+R298+G298)*(((1/(1-Summary!$T$14))/(1-Summary!$W$14))-1),(T298+R298+G298)*((1/(1-Summary!$U$14))/(1-Summary!$X$14)-1)))</f>
        <v/>
      </c>
      <c r="W298" s="202" t="str">
        <f aca="false">IF($A299="","",(T298+R298+G298+V298))</f>
        <v/>
      </c>
      <c r="X298" s="202" t="str">
        <f aca="false">IF($A299="","",(U298+S298+H298+V298))</f>
        <v/>
      </c>
      <c r="Y298" s="202"/>
      <c r="Z298" s="185" t="str">
        <f aca="false">IF($A299="","",VLOOKUP($A298,Table,MATCH(Z$4,Curves,0)))</f>
        <v/>
      </c>
      <c r="AA298" s="185" t="str">
        <f aca="false">IF($A299="","",VLOOKUP($A298,Table,MATCH(AA$4,Curves,0)))</f>
        <v/>
      </c>
      <c r="AB298" s="185" t="e">
        <f aca="false">SQRT((AA298^2*(A298-$D$3)+Z298^2*(DAY(EOMONTH(A298,0))/2))/AK298)</f>
        <v>#VALUE!</v>
      </c>
      <c r="AC298" s="185" t="str">
        <f aca="false">IF($A299="","",VLOOKUP($A298,Table,MATCH(AC$4,Curves,0)))</f>
        <v/>
      </c>
      <c r="AD298" s="185" t="str">
        <f aca="false">IF($A299="","",VLOOKUP($A298,Table,MATCH(AD$4,Curves,0)))</f>
        <v/>
      </c>
      <c r="AE298" s="185" t="e">
        <f aca="false">SQRT((AD298^2*(A298-$D$3)+AC298^2*(DAY(EOMONTH(A298,0))/2))/AK298)</f>
        <v>#VALUE!</v>
      </c>
      <c r="AF298" s="224" t="e">
        <f aca="false">((Summary!$N$14*(AA298*AD298)*(A298-$D$3))+(Summary!$M$14*Z298*AC298*(AJ298-EOMONTH(EDATE(A298,-1),0))))/(AK298*AB298*AE298)</f>
        <v>#VALUE!</v>
      </c>
      <c r="AG298" s="207" t="str">
        <f aca="false">IF($A299="","",Summary!$Q$14)</f>
        <v/>
      </c>
      <c r="AH298" s="207" t="str">
        <f aca="false">IF($A299="","",IF(Summary!$R$12="Y",(VLOOKUP($A298,Summary!$AD$6:$AF$9,3)+'Escalating commodity'!J311),'Escalating commodity'!J311))</f>
        <v/>
      </c>
      <c r="AI298" s="207" t="str">
        <f aca="false">IF($A299="","",AH298)</f>
        <v/>
      </c>
      <c r="AJ298" s="208" t="e">
        <f aca="false">A298+DAY(EOMONTH(A298,0))/2-1</f>
        <v>#VALUE!</v>
      </c>
      <c r="AK298" s="209" t="str">
        <f aca="false">IF($A299="","",$A298-$E$1)</f>
        <v/>
      </c>
      <c r="AL298" s="182" t="str">
        <f aca="false">IF($A299="","",SPRDOPT(P298,X298,AI298,0,AB298,AE298,AF298,AK298,$AJ$2,0))</f>
        <v/>
      </c>
      <c r="AM298" s="211" t="str">
        <f aca="false">IF($A299="","",MAX(0,O298-W298-AI298))</f>
        <v/>
      </c>
      <c r="AN298" s="211" t="str">
        <f aca="false">IF($A299="","",AL298-AM298)</f>
        <v/>
      </c>
      <c r="AO298" s="137" t="str">
        <f aca="false">IF(A299="","",A299-A298)</f>
        <v/>
      </c>
      <c r="AP298" s="212" t="str">
        <f aca="false">IF(A299="","",CHOOSE(F$3,A299+24,A298))</f>
        <v/>
      </c>
      <c r="AQ298" s="209" t="str">
        <f aca="false">IF(A299="","",AP298-$E$1)</f>
        <v/>
      </c>
      <c r="AR298" s="185" t="n">
        <f aca="false">'ANR OK vs ML7'!AR298</f>
        <v>0.1</v>
      </c>
      <c r="AS298" s="213" t="str">
        <f aca="false">IF(A299="","",1/(1+CHOOSE(F$3,(AR299+($I$3/10000))/2,(AR298+($I$3/10000))/2))^(2*AQ298/365.25))</f>
        <v/>
      </c>
      <c r="AT298" s="137" t="str">
        <f aca="false">IF(A299="","",IF(AND(mthbeg&lt;=A298,mthend&gt;=A298),1,0))</f>
        <v/>
      </c>
      <c r="AU298" s="137" t="str">
        <f aca="false">IF(A299="","",AO298*AT298)</f>
        <v/>
      </c>
      <c r="AW298" s="195" t="str">
        <f aca="false">IF($A299="","",AL298*$E298)</f>
        <v/>
      </c>
      <c r="AX298" s="195" t="str">
        <f aca="false">IF($A299="","",AM298*$E298)</f>
        <v/>
      </c>
      <c r="AY298" s="195" t="str">
        <f aca="false">IF($A299="","",AN298*$E298)</f>
        <v/>
      </c>
      <c r="BA298" s="195" t="str">
        <f aca="false">IF($A299="","",F298*Summary!$Q$14)</f>
        <v/>
      </c>
    </row>
    <row r="299" customFormat="false" ht="12" hidden="false" customHeight="true" outlineLevel="0" collapsed="false">
      <c r="A299" s="196" t="str">
        <f aca="false">IF(A298&lt;mthend,EDATE(A298,1),"")</f>
        <v/>
      </c>
      <c r="B299" s="197" t="str">
        <f aca="false">IF(A299&lt;mthend,B298,"")</f>
        <v/>
      </c>
      <c r="C299" s="215"/>
      <c r="D299" s="197" t="str">
        <f aca="false">IF(A300&lt;&gt;"",B299+C299,"")</f>
        <v/>
      </c>
      <c r="E299" s="199" t="str">
        <f aca="false">IF(A300="","",IF(AND(AT299=1,$H$3=1),D299*AO299,IF($H$3=2,D299,"N/A")))</f>
        <v/>
      </c>
      <c r="F299" s="199" t="str">
        <f aca="false">IF(A300="","",E299*AS299)</f>
        <v/>
      </c>
      <c r="G299" s="200" t="str">
        <f aca="false">IF($A300="","",VLOOKUP($A299,Table,MATCH(G$4,Curves,0)))</f>
        <v/>
      </c>
      <c r="H299" s="201" t="str">
        <f aca="false">IF(A300="","",G299)</f>
        <v/>
      </c>
      <c r="I299" s="202"/>
      <c r="J299" s="200" t="str">
        <f aca="false">IF($A300="","",VLOOKUP($A299,Table,MATCH(J$4,Curves,0)))</f>
        <v/>
      </c>
      <c r="K299" s="201" t="str">
        <f aca="false">IF(A300="","",J299)</f>
        <v/>
      </c>
      <c r="L299" s="185" t="n">
        <v>0</v>
      </c>
      <c r="M299" s="201" t="str">
        <f aca="false">IF(A300="","",L299)</f>
        <v/>
      </c>
      <c r="N299" s="203"/>
      <c r="O299" s="200" t="str">
        <f aca="false">IF(A300="","",L299+J299+G299)</f>
        <v/>
      </c>
      <c r="P299" s="200" t="str">
        <f aca="false">IF(A300="","",M299+K299+H299)</f>
        <v/>
      </c>
      <c r="Q299" s="204"/>
      <c r="R299" s="200" t="str">
        <f aca="false">IF($A300="","",VLOOKUP($A299,Table,MATCH(R$4,Curves,0)))</f>
        <v/>
      </c>
      <c r="S299" s="201" t="str">
        <f aca="false">IF(A300="","",R299)</f>
        <v/>
      </c>
      <c r="T299" s="200" t="str">
        <f aca="false">IF($A300="","",VLOOKUP($A299,Table,MATCH(T$4,Curves,0)))</f>
        <v/>
      </c>
      <c r="U299" s="201" t="str">
        <f aca="false">IF(A300="","",T299)</f>
        <v/>
      </c>
      <c r="V299" s="183" t="str">
        <f aca="false">IF($A300="","",IF(AND(MONTH(A299)&gt;3,MONTH(A299)&lt;11),(T299+R299+G299)*(((1/(1-Summary!$T$14))/(1-Summary!$W$14))-1),(T299+R299+G299)*((1/(1-Summary!$U$14))/(1-Summary!$X$14)-1)))</f>
        <v/>
      </c>
      <c r="W299" s="202" t="str">
        <f aca="false">IF($A300="","",(T299+R299+G299+V299))</f>
        <v/>
      </c>
      <c r="X299" s="202" t="str">
        <f aca="false">IF($A300="","",(U299+S299+H299+V299))</f>
        <v/>
      </c>
      <c r="Y299" s="202"/>
      <c r="Z299" s="185" t="str">
        <f aca="false">IF($A300="","",VLOOKUP($A299,Table,MATCH(Z$4,Curves,0)))</f>
        <v/>
      </c>
      <c r="AA299" s="185" t="str">
        <f aca="false">IF($A300="","",VLOOKUP($A299,Table,MATCH(AA$4,Curves,0)))</f>
        <v/>
      </c>
      <c r="AB299" s="185" t="e">
        <f aca="false">SQRT((AA299^2*(A299-$D$3)+Z299^2*(DAY(EOMONTH(A299,0))/2))/AK299)</f>
        <v>#VALUE!</v>
      </c>
      <c r="AC299" s="185" t="str">
        <f aca="false">IF($A300="","",VLOOKUP($A299,Table,MATCH(AC$4,Curves,0)))</f>
        <v/>
      </c>
      <c r="AD299" s="185" t="str">
        <f aca="false">IF($A300="","",VLOOKUP($A299,Table,MATCH(AD$4,Curves,0)))</f>
        <v/>
      </c>
      <c r="AE299" s="185" t="e">
        <f aca="false">SQRT((AD299^2*(A299-$D$3)+AC299^2*(DAY(EOMONTH(A299,0))/2))/AK299)</f>
        <v>#VALUE!</v>
      </c>
      <c r="AF299" s="224" t="e">
        <f aca="false">((Summary!$N$14*(AA299*AD299)*(A299-$D$3))+(Summary!$M$14*Z299*AC299*(AJ299-EOMONTH(EDATE(A299,-1),0))))/(AK299*AB299*AE299)</f>
        <v>#VALUE!</v>
      </c>
      <c r="AG299" s="207" t="str">
        <f aca="false">IF($A300="","",Summary!$Q$14)</f>
        <v/>
      </c>
      <c r="AH299" s="207" t="str">
        <f aca="false">IF($A300="","",IF(Summary!$R$12="Y",(VLOOKUP($A299,Summary!$AD$6:$AF$9,3)+'Escalating commodity'!J312),'Escalating commodity'!J312))</f>
        <v/>
      </c>
      <c r="AI299" s="207" t="str">
        <f aca="false">IF($A300="","",AH299)</f>
        <v/>
      </c>
      <c r="AJ299" s="208" t="e">
        <f aca="false">A299+DAY(EOMONTH(A299,0))/2-1</f>
        <v>#VALUE!</v>
      </c>
      <c r="AK299" s="209" t="str">
        <f aca="false">IF($A300="","",$A299-$E$1)</f>
        <v/>
      </c>
      <c r="AL299" s="182" t="str">
        <f aca="false">IF($A300="","",SPRDOPT(P299,X299,AI299,0,AB299,AE299,AF299,AK299,$AJ$2,0))</f>
        <v/>
      </c>
      <c r="AM299" s="211" t="str">
        <f aca="false">IF($A300="","",MAX(0,O299-W299-AI299))</f>
        <v/>
      </c>
      <c r="AN299" s="211" t="str">
        <f aca="false">IF($A300="","",AL299-AM299)</f>
        <v/>
      </c>
      <c r="AO299" s="137" t="str">
        <f aca="false">IF(A300="","",A300-A299)</f>
        <v/>
      </c>
      <c r="AP299" s="212" t="str">
        <f aca="false">IF(A300="","",CHOOSE(F$3,A300+24,A299))</f>
        <v/>
      </c>
      <c r="AQ299" s="209" t="str">
        <f aca="false">IF(A300="","",AP299-$E$1)</f>
        <v/>
      </c>
      <c r="AR299" s="185" t="n">
        <f aca="false">'ANR OK vs ML7'!AR299</f>
        <v>0.1</v>
      </c>
      <c r="AS299" s="213" t="str">
        <f aca="false">IF(A300="","",1/(1+CHOOSE(F$3,(AR300+($I$3/10000))/2,(AR299+($I$3/10000))/2))^(2*AQ299/365.25))</f>
        <v/>
      </c>
      <c r="AT299" s="137" t="str">
        <f aca="false">IF(A300="","",IF(AND(mthbeg&lt;=A299,mthend&gt;=A299),1,0))</f>
        <v/>
      </c>
      <c r="AU299" s="137" t="str">
        <f aca="false">IF(A300="","",AO299*AT299)</f>
        <v/>
      </c>
      <c r="AW299" s="195" t="str">
        <f aca="false">IF($A300="","",AL299*$E299)</f>
        <v/>
      </c>
      <c r="AX299" s="195" t="str">
        <f aca="false">IF($A300="","",AM299*$E299)</f>
        <v/>
      </c>
      <c r="AY299" s="195" t="str">
        <f aca="false">IF($A300="","",AN299*$E299)</f>
        <v/>
      </c>
      <c r="BA299" s="195" t="str">
        <f aca="false">IF($A300="","",F299*Summary!$Q$14)</f>
        <v/>
      </c>
    </row>
    <row r="300" customFormat="false" ht="12" hidden="false" customHeight="true" outlineLevel="0" collapsed="false">
      <c r="A300" s="196" t="str">
        <f aca="false">IF(A299&lt;mthend,EDATE(A299,1),"")</f>
        <v/>
      </c>
      <c r="B300" s="197" t="str">
        <f aca="false">IF(A300&lt;mthend,B299,"")</f>
        <v/>
      </c>
      <c r="C300" s="215"/>
      <c r="D300" s="197" t="str">
        <f aca="false">IF(A301&lt;&gt;"",B300+C300,"")</f>
        <v/>
      </c>
      <c r="E300" s="199" t="str">
        <f aca="false">IF(A301="","",IF(AND(AT300=1,$H$3=1),D300*AO300,IF($H$3=2,D300,"N/A")))</f>
        <v/>
      </c>
      <c r="F300" s="199" t="str">
        <f aca="false">IF(A301="","",E300*AS300)</f>
        <v/>
      </c>
      <c r="G300" s="200" t="str">
        <f aca="false">IF($A301="","",VLOOKUP($A300,Table,MATCH(G$4,Curves,0)))</f>
        <v/>
      </c>
      <c r="H300" s="201" t="str">
        <f aca="false">IF(A301="","",G300)</f>
        <v/>
      </c>
      <c r="I300" s="202"/>
      <c r="J300" s="200" t="str">
        <f aca="false">IF($A301="","",VLOOKUP($A300,Table,MATCH(J$4,Curves,0)))</f>
        <v/>
      </c>
      <c r="K300" s="201" t="str">
        <f aca="false">IF(A301="","",J300)</f>
        <v/>
      </c>
      <c r="L300" s="185" t="n">
        <v>0</v>
      </c>
      <c r="M300" s="201" t="str">
        <f aca="false">IF(A301="","",L300)</f>
        <v/>
      </c>
      <c r="N300" s="203"/>
      <c r="O300" s="200" t="str">
        <f aca="false">IF(A301="","",L300+J300+G300)</f>
        <v/>
      </c>
      <c r="P300" s="200" t="str">
        <f aca="false">IF(A301="","",M300+K300+H300)</f>
        <v/>
      </c>
      <c r="Q300" s="204"/>
      <c r="R300" s="200" t="str">
        <f aca="false">IF($A301="","",VLOOKUP($A300,Table,MATCH(R$4,Curves,0)))</f>
        <v/>
      </c>
      <c r="S300" s="201" t="str">
        <f aca="false">IF(A301="","",R300)</f>
        <v/>
      </c>
      <c r="T300" s="200" t="str">
        <f aca="false">IF($A301="","",VLOOKUP($A300,Table,MATCH(T$4,Curves,0)))</f>
        <v/>
      </c>
      <c r="U300" s="201" t="str">
        <f aca="false">IF(A301="","",T300)</f>
        <v/>
      </c>
      <c r="V300" s="183" t="str">
        <f aca="false">IF($A301="","",IF(AND(MONTH(A300)&gt;3,MONTH(A300)&lt;11),(T300+R300+G300)*(((1/(1-Summary!$T$14))/(1-Summary!$W$14))-1),(T300+R300+G300)*((1/(1-Summary!$U$14))/(1-Summary!$X$14)-1)))</f>
        <v/>
      </c>
      <c r="W300" s="202" t="str">
        <f aca="false">IF($A301="","",(T300+R300+G300+V300))</f>
        <v/>
      </c>
      <c r="X300" s="202" t="str">
        <f aca="false">IF($A301="","",(U300+S300+H300+V300))</f>
        <v/>
      </c>
      <c r="Y300" s="202"/>
      <c r="Z300" s="185" t="str">
        <f aca="false">IF($A301="","",VLOOKUP($A300,Table,MATCH(Z$4,Curves,0)))</f>
        <v/>
      </c>
      <c r="AA300" s="185" t="str">
        <f aca="false">IF($A301="","",VLOOKUP($A300,Table,MATCH(AA$4,Curves,0)))</f>
        <v/>
      </c>
      <c r="AB300" s="185" t="e">
        <f aca="false">SQRT((AA300^2*(A300-$D$3)+Z300^2*(DAY(EOMONTH(A300,0))/2))/AK300)</f>
        <v>#VALUE!</v>
      </c>
      <c r="AC300" s="185" t="str">
        <f aca="false">IF($A301="","",VLOOKUP($A300,Table,MATCH(AC$4,Curves,0)))</f>
        <v/>
      </c>
      <c r="AD300" s="185" t="str">
        <f aca="false">IF($A301="","",VLOOKUP($A300,Table,MATCH(AD$4,Curves,0)))</f>
        <v/>
      </c>
      <c r="AE300" s="185" t="e">
        <f aca="false">SQRT((AD300^2*(A300-$D$3)+AC300^2*(DAY(EOMONTH(A300,0))/2))/AK300)</f>
        <v>#VALUE!</v>
      </c>
      <c r="AF300" s="224" t="e">
        <f aca="false">((Summary!$N$14*(AA300*AD300)*(A300-$D$3))+(Summary!$M$14*Z300*AC300*(AJ300-EOMONTH(EDATE(A300,-1),0))))/(AK300*AB300*AE300)</f>
        <v>#VALUE!</v>
      </c>
      <c r="AG300" s="207" t="str">
        <f aca="false">IF($A301="","",Summary!$Q$14)</f>
        <v/>
      </c>
      <c r="AH300" s="207" t="str">
        <f aca="false">IF($A301="","",IF(Summary!$R$12="Y",(VLOOKUP($A300,Summary!$AD$6:$AF$9,3)+'Escalating commodity'!J313),'Escalating commodity'!J313))</f>
        <v/>
      </c>
      <c r="AI300" s="207" t="str">
        <f aca="false">IF($A301="","",AH300)</f>
        <v/>
      </c>
      <c r="AJ300" s="208" t="e">
        <f aca="false">A300+DAY(EOMONTH(A300,0))/2-1</f>
        <v>#VALUE!</v>
      </c>
      <c r="AK300" s="209" t="str">
        <f aca="false">IF($A301="","",$A300-$E$1)</f>
        <v/>
      </c>
      <c r="AL300" s="182" t="str">
        <f aca="false">IF($A301="","",SPRDOPT(P300,X300,AI300,0,AB300,AE300,AF300,AK300,$AJ$2,0))</f>
        <v/>
      </c>
      <c r="AM300" s="211" t="str">
        <f aca="false">IF($A301="","",MAX(0,O300-W300-AI300))</f>
        <v/>
      </c>
      <c r="AN300" s="211" t="str">
        <f aca="false">IF($A301="","",AL300-AM300)</f>
        <v/>
      </c>
      <c r="AO300" s="137" t="str">
        <f aca="false">IF(A301="","",A301-A300)</f>
        <v/>
      </c>
      <c r="AP300" s="212" t="str">
        <f aca="false">IF(A301="","",CHOOSE(F$3,A301+24,A300))</f>
        <v/>
      </c>
      <c r="AQ300" s="209" t="str">
        <f aca="false">IF(A301="","",AP300-$E$1)</f>
        <v/>
      </c>
      <c r="AR300" s="185" t="n">
        <f aca="false">'ANR OK vs ML7'!AR300</f>
        <v>0.1</v>
      </c>
      <c r="AS300" s="213" t="str">
        <f aca="false">IF(A301="","",1/(1+CHOOSE(F$3,(AR301+($I$3/10000))/2,(AR300+($I$3/10000))/2))^(2*AQ300/365.25))</f>
        <v/>
      </c>
      <c r="AT300" s="137" t="str">
        <f aca="false">IF(A301="","",IF(AND(mthbeg&lt;=A300,mthend&gt;=A300),1,0))</f>
        <v/>
      </c>
      <c r="AU300" s="137" t="str">
        <f aca="false">IF(A301="","",AO300*AT300)</f>
        <v/>
      </c>
      <c r="AW300" s="195" t="str">
        <f aca="false">IF($A301="","",AL300*$E300)</f>
        <v/>
      </c>
      <c r="AX300" s="195" t="str">
        <f aca="false">IF($A301="","",AM300*$E300)</f>
        <v/>
      </c>
      <c r="AY300" s="195" t="str">
        <f aca="false">IF($A301="","",AN300*$E300)</f>
        <v/>
      </c>
      <c r="BA300" s="195" t="str">
        <f aca="false">IF($A301="","",F300*Summary!$Q$14)</f>
        <v/>
      </c>
    </row>
    <row r="301" customFormat="false" ht="12" hidden="false" customHeight="true" outlineLevel="0" collapsed="false">
      <c r="A301" s="196" t="str">
        <f aca="false">IF(A300&lt;mthend,EDATE(A300,1),"")</f>
        <v/>
      </c>
      <c r="B301" s="197" t="str">
        <f aca="false">IF(A301&lt;mthend,B300,"")</f>
        <v/>
      </c>
      <c r="C301" s="215"/>
      <c r="D301" s="197" t="str">
        <f aca="false">IF(A302&lt;&gt;"",B301+C301,"")</f>
        <v/>
      </c>
      <c r="E301" s="199" t="str">
        <f aca="false">IF(A302="","",IF(AND(AT301=1,$H$3=1),D301*AO301,IF($H$3=2,D301,"N/A")))</f>
        <v/>
      </c>
      <c r="F301" s="199" t="str">
        <f aca="false">IF(A302="","",E301*AS301)</f>
        <v/>
      </c>
      <c r="G301" s="200" t="str">
        <f aca="false">IF($A302="","",VLOOKUP($A301,Table,MATCH(G$4,Curves,0)))</f>
        <v/>
      </c>
      <c r="H301" s="201" t="str">
        <f aca="false">IF(A302="","",G301)</f>
        <v/>
      </c>
      <c r="I301" s="202"/>
      <c r="J301" s="200" t="str">
        <f aca="false">IF($A302="","",VLOOKUP($A301,Table,MATCH(J$4,Curves,0)))</f>
        <v/>
      </c>
      <c r="K301" s="201" t="str">
        <f aca="false">IF(A302="","",J301)</f>
        <v/>
      </c>
      <c r="L301" s="185" t="n">
        <v>0</v>
      </c>
      <c r="M301" s="201" t="str">
        <f aca="false">IF(A302="","",L301)</f>
        <v/>
      </c>
      <c r="N301" s="203"/>
      <c r="O301" s="200" t="str">
        <f aca="false">IF(A302="","",L301+J301+G301)</f>
        <v/>
      </c>
      <c r="P301" s="200" t="str">
        <f aca="false">IF(A302="","",M301+K301+H301)</f>
        <v/>
      </c>
      <c r="Q301" s="204"/>
      <c r="R301" s="200" t="str">
        <f aca="false">IF($A302="","",VLOOKUP($A301,Table,MATCH(R$4,Curves,0)))</f>
        <v/>
      </c>
      <c r="S301" s="201" t="str">
        <f aca="false">IF(A302="","",R301)</f>
        <v/>
      </c>
      <c r="T301" s="200" t="str">
        <f aca="false">IF($A302="","",VLOOKUP($A301,Table,MATCH(T$4,Curves,0)))</f>
        <v/>
      </c>
      <c r="U301" s="201" t="str">
        <f aca="false">IF(A302="","",T301)</f>
        <v/>
      </c>
      <c r="V301" s="183" t="str">
        <f aca="false">IF($A302="","",IF(AND(MONTH(A301)&gt;3,MONTH(A301)&lt;11),(T301+R301+G301)*(((1/(1-Summary!$T$14))/(1-Summary!$W$14))-1),(T301+R301+G301)*((1/(1-Summary!$U$14))/(1-Summary!$X$14)-1)))</f>
        <v/>
      </c>
      <c r="W301" s="202" t="str">
        <f aca="false">IF($A302="","",(T301+R301+G301+V301))</f>
        <v/>
      </c>
      <c r="X301" s="202" t="str">
        <f aca="false">IF($A302="","",(U301+S301+H301+V301))</f>
        <v/>
      </c>
      <c r="Y301" s="202"/>
      <c r="Z301" s="185" t="str">
        <f aca="false">IF($A302="","",VLOOKUP($A301,Table,MATCH(Z$4,Curves,0)))</f>
        <v/>
      </c>
      <c r="AA301" s="185" t="str">
        <f aca="false">IF($A302="","",VLOOKUP($A301,Table,MATCH(AA$4,Curves,0)))</f>
        <v/>
      </c>
      <c r="AB301" s="185" t="e">
        <f aca="false">SQRT((AA301^2*(A301-$D$3)+Z301^2*(DAY(EOMONTH(A301,0))/2))/AK301)</f>
        <v>#VALUE!</v>
      </c>
      <c r="AC301" s="185" t="str">
        <f aca="false">IF($A302="","",VLOOKUP($A301,Table,MATCH(AC$4,Curves,0)))</f>
        <v/>
      </c>
      <c r="AD301" s="185" t="str">
        <f aca="false">IF($A302="","",VLOOKUP($A301,Table,MATCH(AD$4,Curves,0)))</f>
        <v/>
      </c>
      <c r="AE301" s="185" t="e">
        <f aca="false">SQRT((AD301^2*(A301-$D$3)+AC301^2*(DAY(EOMONTH(A301,0))/2))/AK301)</f>
        <v>#VALUE!</v>
      </c>
      <c r="AF301" s="224" t="e">
        <f aca="false">((Summary!$N$14*(AA301*AD301)*(A301-$D$3))+(Summary!$M$14*Z301*AC301*(AJ301-EOMONTH(EDATE(A301,-1),0))))/(AK301*AB301*AE301)</f>
        <v>#VALUE!</v>
      </c>
      <c r="AG301" s="207" t="str">
        <f aca="false">IF($A302="","",Summary!$Q$14)</f>
        <v/>
      </c>
      <c r="AH301" s="207" t="str">
        <f aca="false">IF($A302="","",IF(Summary!$R$12="Y",(VLOOKUP($A301,Summary!$AD$6:$AF$9,3)+'Escalating commodity'!J314),'Escalating commodity'!J314))</f>
        <v/>
      </c>
      <c r="AI301" s="207" t="str">
        <f aca="false">IF($A302="","",AH301)</f>
        <v/>
      </c>
      <c r="AJ301" s="208" t="e">
        <f aca="false">A301+DAY(EOMONTH(A301,0))/2-1</f>
        <v>#VALUE!</v>
      </c>
      <c r="AK301" s="209" t="str">
        <f aca="false">IF($A302="","",$A301-$E$1)</f>
        <v/>
      </c>
      <c r="AL301" s="182" t="str">
        <f aca="false">IF($A302="","",SPRDOPT(P301,X301,AI301,0,AB301,AE301,AF301,AK301,$AJ$2,0))</f>
        <v/>
      </c>
      <c r="AM301" s="211" t="str">
        <f aca="false">IF($A302="","",MAX(0,O301-W301-AI301))</f>
        <v/>
      </c>
      <c r="AN301" s="211" t="str">
        <f aca="false">IF($A302="","",AL301-AM301)</f>
        <v/>
      </c>
      <c r="AO301" s="137" t="str">
        <f aca="false">IF(A302="","",A302-A301)</f>
        <v/>
      </c>
      <c r="AP301" s="212" t="str">
        <f aca="false">IF(A302="","",CHOOSE(F$3,A302+24,A301))</f>
        <v/>
      </c>
      <c r="AQ301" s="209" t="str">
        <f aca="false">IF(A302="","",AP301-$E$1)</f>
        <v/>
      </c>
      <c r="AR301" s="185" t="n">
        <f aca="false">'ANR OK vs ML7'!AR301</f>
        <v>0.1</v>
      </c>
      <c r="AS301" s="213" t="str">
        <f aca="false">IF(A302="","",1/(1+CHOOSE(F$3,(AR302+($I$3/10000))/2,(AR301+($I$3/10000))/2))^(2*AQ301/365.25))</f>
        <v/>
      </c>
      <c r="AT301" s="137" t="str">
        <f aca="false">IF(A302="","",IF(AND(mthbeg&lt;=A301,mthend&gt;=A301),1,0))</f>
        <v/>
      </c>
      <c r="AU301" s="137" t="str">
        <f aca="false">IF(A302="","",AO301*AT301)</f>
        <v/>
      </c>
      <c r="AW301" s="195" t="str">
        <f aca="false">IF($A302="","",AL301*$E301)</f>
        <v/>
      </c>
      <c r="AX301" s="195" t="str">
        <f aca="false">IF($A302="","",AM301*$E301)</f>
        <v/>
      </c>
      <c r="AY301" s="195" t="str">
        <f aca="false">IF($A302="","",AN301*$E301)</f>
        <v/>
      </c>
      <c r="BA301" s="195" t="str">
        <f aca="false">IF($A302="","",F301*Summary!$Q$14)</f>
        <v/>
      </c>
    </row>
    <row r="302" customFormat="false" ht="12" hidden="false" customHeight="true" outlineLevel="0" collapsed="false">
      <c r="A302" s="196" t="str">
        <f aca="false">IF(A301&lt;mthend,EDATE(A301,1),"")</f>
        <v/>
      </c>
      <c r="B302" s="197" t="str">
        <f aca="false">IF(A302&lt;mthend,B301,"")</f>
        <v/>
      </c>
      <c r="C302" s="215"/>
      <c r="D302" s="197" t="str">
        <f aca="false">IF(A303&lt;&gt;"",B302+C302,"")</f>
        <v/>
      </c>
      <c r="E302" s="199" t="str">
        <f aca="false">IF(A303="","",IF(AND(AT302=1,$H$3=1),D302*AO302,IF($H$3=2,D302,"N/A")))</f>
        <v/>
      </c>
      <c r="F302" s="199" t="str">
        <f aca="false">IF(A303="","",E302*AS302)</f>
        <v/>
      </c>
      <c r="G302" s="200" t="str">
        <f aca="false">IF($A303="","",VLOOKUP($A302,Table,MATCH(G$4,Curves,0)))</f>
        <v/>
      </c>
      <c r="H302" s="201" t="str">
        <f aca="false">IF(A303="","",G302)</f>
        <v/>
      </c>
      <c r="I302" s="202"/>
      <c r="J302" s="200" t="str">
        <f aca="false">IF($A303="","",VLOOKUP($A302,Table,MATCH(J$4,Curves,0)))</f>
        <v/>
      </c>
      <c r="K302" s="201" t="str">
        <f aca="false">IF(A303="","",J302)</f>
        <v/>
      </c>
      <c r="L302" s="185" t="n">
        <v>0</v>
      </c>
      <c r="M302" s="201" t="str">
        <f aca="false">IF(A303="","",L302)</f>
        <v/>
      </c>
      <c r="N302" s="203"/>
      <c r="O302" s="200" t="str">
        <f aca="false">IF(A303="","",L302+J302+G302)</f>
        <v/>
      </c>
      <c r="P302" s="200" t="str">
        <f aca="false">IF(A303="","",M302+K302+H302)</f>
        <v/>
      </c>
      <c r="Q302" s="204"/>
      <c r="R302" s="200" t="str">
        <f aca="false">IF($A303="","",VLOOKUP($A302,Table,MATCH(R$4,Curves,0)))</f>
        <v/>
      </c>
      <c r="S302" s="201" t="str">
        <f aca="false">IF(A303="","",R302)</f>
        <v/>
      </c>
      <c r="T302" s="200" t="str">
        <f aca="false">IF($A303="","",VLOOKUP($A302,Table,MATCH(T$4,Curves,0)))</f>
        <v/>
      </c>
      <c r="U302" s="201" t="str">
        <f aca="false">IF(A303="","",T302)</f>
        <v/>
      </c>
      <c r="V302" s="183" t="str">
        <f aca="false">IF($A303="","",IF(AND(MONTH(A302)&gt;3,MONTH(A302)&lt;11),(T302+R302+G302)*(((1/(1-Summary!$T$14))/(1-Summary!$W$14))-1),(T302+R302+G302)*((1/(1-Summary!$U$14))/(1-Summary!$X$14)-1)))</f>
        <v/>
      </c>
      <c r="W302" s="202" t="str">
        <f aca="false">IF($A303="","",(T302+R302+G302+V302))</f>
        <v/>
      </c>
      <c r="X302" s="202" t="str">
        <f aca="false">IF($A303="","",(U302+S302+H302+V302))</f>
        <v/>
      </c>
      <c r="Y302" s="202"/>
      <c r="Z302" s="185" t="str">
        <f aca="false">IF($A303="","",VLOOKUP($A302,Table,MATCH(Z$4,Curves,0)))</f>
        <v/>
      </c>
      <c r="AA302" s="185" t="str">
        <f aca="false">IF($A303="","",VLOOKUP($A302,Table,MATCH(AA$4,Curves,0)))</f>
        <v/>
      </c>
      <c r="AB302" s="185" t="e">
        <f aca="false">SQRT((AA302^2*(A302-$D$3)+Z302^2*(DAY(EOMONTH(A302,0))/2))/AK302)</f>
        <v>#VALUE!</v>
      </c>
      <c r="AC302" s="185" t="str">
        <f aca="false">IF($A303="","",VLOOKUP($A302,Table,MATCH(AC$4,Curves,0)))</f>
        <v/>
      </c>
      <c r="AD302" s="185" t="str">
        <f aca="false">IF($A303="","",VLOOKUP($A302,Table,MATCH(AD$4,Curves,0)))</f>
        <v/>
      </c>
      <c r="AE302" s="185" t="e">
        <f aca="false">SQRT((AD302^2*(A302-$D$3)+AC302^2*(DAY(EOMONTH(A302,0))/2))/AK302)</f>
        <v>#VALUE!</v>
      </c>
      <c r="AF302" s="224" t="e">
        <f aca="false">((Summary!$N$14*(AA302*AD302)*(A302-$D$3))+(Summary!$M$14*Z302*AC302*(AJ302-EOMONTH(EDATE(A302,-1),0))))/(AK302*AB302*AE302)</f>
        <v>#VALUE!</v>
      </c>
      <c r="AG302" s="207" t="str">
        <f aca="false">IF($A303="","",Summary!$Q$14)</f>
        <v/>
      </c>
      <c r="AH302" s="207" t="str">
        <f aca="false">IF($A303="","",IF(Summary!$R$12="Y",(VLOOKUP($A302,Summary!$AD$6:$AF$9,3)+'Escalating commodity'!J315),'Escalating commodity'!J315))</f>
        <v/>
      </c>
      <c r="AI302" s="207" t="str">
        <f aca="false">IF($A303="","",AH302)</f>
        <v/>
      </c>
      <c r="AJ302" s="208" t="e">
        <f aca="false">A302+DAY(EOMONTH(A302,0))/2-1</f>
        <v>#VALUE!</v>
      </c>
      <c r="AK302" s="209" t="str">
        <f aca="false">IF($A303="","",$A302-$E$1)</f>
        <v/>
      </c>
      <c r="AL302" s="182" t="str">
        <f aca="false">IF($A303="","",SPRDOPT(P302,X302,AI302,0,AB302,AE302,AF302,AK302,$AJ$2,0))</f>
        <v/>
      </c>
      <c r="AM302" s="211" t="str">
        <f aca="false">IF($A303="","",MAX(0,O302-W302-AI302))</f>
        <v/>
      </c>
      <c r="AN302" s="211" t="str">
        <f aca="false">IF($A303="","",AL302-AM302)</f>
        <v/>
      </c>
      <c r="AO302" s="137" t="str">
        <f aca="false">IF(A303="","",A303-A302)</f>
        <v/>
      </c>
      <c r="AP302" s="212" t="str">
        <f aca="false">IF(A303="","",CHOOSE(F$3,A303+24,A302))</f>
        <v/>
      </c>
      <c r="AQ302" s="209" t="str">
        <f aca="false">IF(A303="","",AP302-$E$1)</f>
        <v/>
      </c>
      <c r="AR302" s="185" t="n">
        <f aca="false">'ANR OK vs ML7'!AR302</f>
        <v>0.1</v>
      </c>
      <c r="AS302" s="213" t="str">
        <f aca="false">IF(A303="","",1/(1+CHOOSE(F$3,(AR303+($I$3/10000))/2,(AR302+($I$3/10000))/2))^(2*AQ302/365.25))</f>
        <v/>
      </c>
      <c r="AT302" s="137" t="str">
        <f aca="false">IF(A303="","",IF(AND(mthbeg&lt;=A302,mthend&gt;=A302),1,0))</f>
        <v/>
      </c>
      <c r="AU302" s="137" t="str">
        <f aca="false">IF(A303="","",AO302*AT302)</f>
        <v/>
      </c>
      <c r="AW302" s="195" t="str">
        <f aca="false">IF($A303="","",AL302*$E302)</f>
        <v/>
      </c>
      <c r="AX302" s="195" t="str">
        <f aca="false">IF($A303="","",AM302*$E302)</f>
        <v/>
      </c>
      <c r="AY302" s="195" t="str">
        <f aca="false">IF($A303="","",AN302*$E302)</f>
        <v/>
      </c>
      <c r="BA302" s="195" t="str">
        <f aca="false">IF($A303="","",F302*Summary!$Q$14)</f>
        <v/>
      </c>
    </row>
    <row r="303" customFormat="false" ht="12" hidden="false" customHeight="true" outlineLevel="0" collapsed="false">
      <c r="A303" s="196" t="str">
        <f aca="false">IF(A302&lt;mthend,EDATE(A302,1),"")</f>
        <v/>
      </c>
      <c r="B303" s="197" t="str">
        <f aca="false">IF(A303&lt;mthend,B302,"")</f>
        <v/>
      </c>
      <c r="C303" s="215"/>
      <c r="D303" s="197" t="str">
        <f aca="false">IF(A304&lt;&gt;"",B303+C303,"")</f>
        <v/>
      </c>
      <c r="E303" s="199" t="str">
        <f aca="false">IF(A304="","",IF(AND(AT303=1,$H$3=1),D303*AO303,IF($H$3=2,D303,"N/A")))</f>
        <v/>
      </c>
      <c r="F303" s="199" t="str">
        <f aca="false">IF(A304="","",E303*AS303)</f>
        <v/>
      </c>
      <c r="G303" s="200" t="str">
        <f aca="false">IF($A304="","",VLOOKUP($A303,Table,MATCH(G$4,Curves,0)))</f>
        <v/>
      </c>
      <c r="H303" s="201" t="str">
        <f aca="false">IF(A304="","",G303)</f>
        <v/>
      </c>
      <c r="I303" s="202"/>
      <c r="J303" s="200" t="str">
        <f aca="false">IF($A304="","",VLOOKUP($A303,Table,MATCH(J$4,Curves,0)))</f>
        <v/>
      </c>
      <c r="K303" s="201" t="str">
        <f aca="false">IF(A304="","",J303)</f>
        <v/>
      </c>
      <c r="L303" s="185" t="n">
        <v>0</v>
      </c>
      <c r="M303" s="201" t="str">
        <f aca="false">IF(A304="","",L303)</f>
        <v/>
      </c>
      <c r="N303" s="203"/>
      <c r="O303" s="200" t="str">
        <f aca="false">IF(A304="","",L303+J303+G303)</f>
        <v/>
      </c>
      <c r="P303" s="200" t="str">
        <f aca="false">IF(A304="","",M303+K303+H303)</f>
        <v/>
      </c>
      <c r="Q303" s="204"/>
      <c r="R303" s="200" t="str">
        <f aca="false">IF($A304="","",VLOOKUP($A303,Table,MATCH(R$4,Curves,0)))</f>
        <v/>
      </c>
      <c r="S303" s="201" t="str">
        <f aca="false">IF(A304="","",R303)</f>
        <v/>
      </c>
      <c r="T303" s="200" t="str">
        <f aca="false">IF($A304="","",VLOOKUP($A303,Table,MATCH(T$4,Curves,0)))</f>
        <v/>
      </c>
      <c r="U303" s="201" t="str">
        <f aca="false">IF(A304="","",T303)</f>
        <v/>
      </c>
      <c r="V303" s="183" t="str">
        <f aca="false">IF($A304="","",IF(AND(MONTH(A303)&gt;3,MONTH(A303)&lt;11),(T303+R303+G303)*(((1/(1-Summary!$T$14))/(1-Summary!$W$14))-1),(T303+R303+G303)*((1/(1-Summary!$U$14))/(1-Summary!$X$14)-1)))</f>
        <v/>
      </c>
      <c r="W303" s="202" t="str">
        <f aca="false">IF($A304="","",(T303+R303+G303+V303))</f>
        <v/>
      </c>
      <c r="X303" s="202" t="str">
        <f aca="false">IF($A304="","",(U303+S303+H303+V303))</f>
        <v/>
      </c>
      <c r="Y303" s="202"/>
      <c r="Z303" s="185" t="str">
        <f aca="false">IF($A304="","",VLOOKUP($A303,Table,MATCH(Z$4,Curves,0)))</f>
        <v/>
      </c>
      <c r="AA303" s="185" t="str">
        <f aca="false">IF($A304="","",VLOOKUP($A303,Table,MATCH(AA$4,Curves,0)))</f>
        <v/>
      </c>
      <c r="AB303" s="185" t="e">
        <f aca="false">SQRT((AA303^2*(A303-$D$3)+Z303^2*(DAY(EOMONTH(A303,0))/2))/AK303)</f>
        <v>#VALUE!</v>
      </c>
      <c r="AC303" s="185" t="str">
        <f aca="false">IF($A304="","",VLOOKUP($A303,Table,MATCH(AC$4,Curves,0)))</f>
        <v/>
      </c>
      <c r="AD303" s="185" t="str">
        <f aca="false">IF($A304="","",VLOOKUP($A303,Table,MATCH(AD$4,Curves,0)))</f>
        <v/>
      </c>
      <c r="AE303" s="185" t="e">
        <f aca="false">SQRT((AD303^2*(A303-$D$3)+AC303^2*(DAY(EOMONTH(A303,0))/2))/AK303)</f>
        <v>#VALUE!</v>
      </c>
      <c r="AF303" s="224" t="e">
        <f aca="false">((Summary!$N$14*(AA303*AD303)*(A303-$D$3))+(Summary!$M$14*Z303*AC303*(AJ303-EOMONTH(EDATE(A303,-1),0))))/(AK303*AB303*AE303)</f>
        <v>#VALUE!</v>
      </c>
      <c r="AG303" s="207" t="str">
        <f aca="false">IF($A304="","",Summary!$Q$14)</f>
        <v/>
      </c>
      <c r="AH303" s="207" t="str">
        <f aca="false">IF($A304="","",IF(Summary!$R$12="Y",(VLOOKUP($A303,Summary!$AD$6:$AF$9,3)+'Escalating commodity'!J316),'Escalating commodity'!J316))</f>
        <v/>
      </c>
      <c r="AI303" s="207" t="str">
        <f aca="false">IF($A304="","",AH303)</f>
        <v/>
      </c>
      <c r="AJ303" s="208" t="e">
        <f aca="false">A303+DAY(EOMONTH(A303,0))/2-1</f>
        <v>#VALUE!</v>
      </c>
      <c r="AK303" s="209" t="str">
        <f aca="false">IF($A304="","",$A303-$E$1)</f>
        <v/>
      </c>
      <c r="AL303" s="182" t="str">
        <f aca="false">IF($A304="","",SPRDOPT(P303,X303,AI303,0,AB303,AE303,AF303,AK303,$AJ$2,0))</f>
        <v/>
      </c>
      <c r="AM303" s="211" t="str">
        <f aca="false">IF($A304="","",MAX(0,O303-W303-AI303))</f>
        <v/>
      </c>
      <c r="AN303" s="211" t="str">
        <f aca="false">IF($A304="","",AL303-AM303)</f>
        <v/>
      </c>
      <c r="AO303" s="137" t="str">
        <f aca="false">IF(A304="","",A304-A303)</f>
        <v/>
      </c>
      <c r="AP303" s="212" t="str">
        <f aca="false">IF(A304="","",CHOOSE(F$3,A304+24,A303))</f>
        <v/>
      </c>
      <c r="AQ303" s="209" t="str">
        <f aca="false">IF(A304="","",AP303-$E$1)</f>
        <v/>
      </c>
      <c r="AR303" s="185" t="n">
        <f aca="false">'ANR OK vs ML7'!AR303</f>
        <v>0.1</v>
      </c>
      <c r="AS303" s="213" t="str">
        <f aca="false">IF(A304="","",1/(1+CHOOSE(F$3,(AR304+($I$3/10000))/2,(AR303+($I$3/10000))/2))^(2*AQ303/365.25))</f>
        <v/>
      </c>
      <c r="AT303" s="137" t="str">
        <f aca="false">IF(A304="","",IF(AND(mthbeg&lt;=A303,mthend&gt;=A303),1,0))</f>
        <v/>
      </c>
      <c r="AU303" s="137" t="str">
        <f aca="false">IF(A304="","",AO303*AT303)</f>
        <v/>
      </c>
      <c r="AW303" s="195" t="str">
        <f aca="false">IF($A304="","",AL303*$E303)</f>
        <v/>
      </c>
      <c r="AX303" s="195" t="str">
        <f aca="false">IF($A304="","",AM303*$E303)</f>
        <v/>
      </c>
      <c r="AY303" s="195" t="str">
        <f aca="false">IF($A304="","",AN303*$E303)</f>
        <v/>
      </c>
      <c r="BA303" s="195" t="str">
        <f aca="false">IF($A304="","",F303*Summary!$Q$14)</f>
        <v/>
      </c>
    </row>
    <row r="304" customFormat="false" ht="12" hidden="false" customHeight="true" outlineLevel="0" collapsed="false">
      <c r="A304" s="196" t="str">
        <f aca="false">IF(A303&lt;mthend,EDATE(A303,1),"")</f>
        <v/>
      </c>
      <c r="B304" s="197" t="str">
        <f aca="false">IF(A304&lt;mthend,B303,"")</f>
        <v/>
      </c>
      <c r="C304" s="215"/>
      <c r="D304" s="197" t="str">
        <f aca="false">IF(A305&lt;&gt;"",B304+C304,"")</f>
        <v/>
      </c>
      <c r="E304" s="199" t="str">
        <f aca="false">IF(A305="","",IF(AND(AT304=1,$H$3=1),D304*AO304,IF($H$3=2,D304,"N/A")))</f>
        <v/>
      </c>
      <c r="F304" s="199" t="str">
        <f aca="false">IF(A305="","",E304*AS304)</f>
        <v/>
      </c>
      <c r="G304" s="200" t="str">
        <f aca="false">IF($A305="","",VLOOKUP($A304,Table,MATCH(G$4,Curves,0)))</f>
        <v/>
      </c>
      <c r="H304" s="201" t="str">
        <f aca="false">IF(A305="","",G304)</f>
        <v/>
      </c>
      <c r="I304" s="202"/>
      <c r="J304" s="200" t="str">
        <f aca="false">IF($A305="","",VLOOKUP($A304,Table,MATCH(J$4,Curves,0)))</f>
        <v/>
      </c>
      <c r="K304" s="201" t="str">
        <f aca="false">IF(A305="","",J304)</f>
        <v/>
      </c>
      <c r="L304" s="185" t="n">
        <v>0</v>
      </c>
      <c r="M304" s="201" t="str">
        <f aca="false">IF(A305="","",L304)</f>
        <v/>
      </c>
      <c r="N304" s="203"/>
      <c r="O304" s="200" t="str">
        <f aca="false">IF(A305="","",L304+J304+G304)</f>
        <v/>
      </c>
      <c r="P304" s="200" t="str">
        <f aca="false">IF(A305="","",M304+K304+H304)</f>
        <v/>
      </c>
      <c r="Q304" s="204"/>
      <c r="R304" s="200" t="str">
        <f aca="false">IF($A305="","",VLOOKUP($A304,Table,MATCH(R$4,Curves,0)))</f>
        <v/>
      </c>
      <c r="S304" s="201" t="str">
        <f aca="false">IF(A305="","",R304)</f>
        <v/>
      </c>
      <c r="T304" s="200" t="str">
        <f aca="false">IF($A305="","",VLOOKUP($A304,Table,MATCH(T$4,Curves,0)))</f>
        <v/>
      </c>
      <c r="U304" s="201" t="str">
        <f aca="false">IF(A305="","",T304)</f>
        <v/>
      </c>
      <c r="V304" s="183" t="str">
        <f aca="false">IF($A305="","",IF(AND(MONTH(A304)&gt;3,MONTH(A304)&lt;11),(T304+R304+G304)*(((1/(1-Summary!$T$14))/(1-Summary!$W$14))-1),(T304+R304+G304)*((1/(1-Summary!$U$14))/(1-Summary!$X$14)-1)))</f>
        <v/>
      </c>
      <c r="W304" s="202" t="str">
        <f aca="false">IF($A305="","",(T304+R304+G304+V304))</f>
        <v/>
      </c>
      <c r="X304" s="202" t="str">
        <f aca="false">IF($A305="","",(U304+S304+H304+V304))</f>
        <v/>
      </c>
      <c r="Y304" s="202"/>
      <c r="Z304" s="185" t="str">
        <f aca="false">IF($A305="","",VLOOKUP($A304,Table,MATCH(Z$4,Curves,0)))</f>
        <v/>
      </c>
      <c r="AA304" s="185" t="str">
        <f aca="false">IF($A305="","",VLOOKUP($A304,Table,MATCH(AA$4,Curves,0)))</f>
        <v/>
      </c>
      <c r="AB304" s="185" t="e">
        <f aca="false">SQRT((AA304^2*(A304-$D$3)+Z304^2*(DAY(EOMONTH(A304,0))/2))/AK304)</f>
        <v>#VALUE!</v>
      </c>
      <c r="AC304" s="185" t="str">
        <f aca="false">IF($A305="","",VLOOKUP($A304,Table,MATCH(AC$4,Curves,0)))</f>
        <v/>
      </c>
      <c r="AD304" s="185" t="str">
        <f aca="false">IF($A305="","",VLOOKUP($A304,Table,MATCH(AD$4,Curves,0)))</f>
        <v/>
      </c>
      <c r="AE304" s="185" t="e">
        <f aca="false">SQRT((AD304^2*(A304-$D$3)+AC304^2*(DAY(EOMONTH(A304,0))/2))/AK304)</f>
        <v>#VALUE!</v>
      </c>
      <c r="AF304" s="224" t="e">
        <f aca="false">((Summary!$N$14*(AA304*AD304)*(A304-$D$3))+(Summary!$M$14*Z304*AC304*(AJ304-EOMONTH(EDATE(A304,-1),0))))/(AK304*AB304*AE304)</f>
        <v>#VALUE!</v>
      </c>
      <c r="AG304" s="207" t="str">
        <f aca="false">IF($A305="","",Summary!$Q$14)</f>
        <v/>
      </c>
      <c r="AH304" s="207" t="str">
        <f aca="false">IF($A305="","",IF(Summary!$R$12="Y",(VLOOKUP($A304,Summary!$AD$6:$AF$9,3)+'Escalating commodity'!J317),'Escalating commodity'!J317))</f>
        <v/>
      </c>
      <c r="AI304" s="207" t="str">
        <f aca="false">IF($A305="","",AH304)</f>
        <v/>
      </c>
      <c r="AJ304" s="208" t="e">
        <f aca="false">A304+DAY(EOMONTH(A304,0))/2-1</f>
        <v>#VALUE!</v>
      </c>
      <c r="AK304" s="209" t="str">
        <f aca="false">IF($A305="","",$A304-$E$1)</f>
        <v/>
      </c>
      <c r="AL304" s="182" t="str">
        <f aca="false">IF($A305="","",SPRDOPT(P304,X304,AI304,0,AB304,AE304,AF304,AK304,$AJ$2,0))</f>
        <v/>
      </c>
      <c r="AM304" s="211" t="str">
        <f aca="false">IF($A305="","",MAX(0,O304-W304-AI304))</f>
        <v/>
      </c>
      <c r="AN304" s="211" t="str">
        <f aca="false">IF($A305="","",AL304-AM304)</f>
        <v/>
      </c>
      <c r="AO304" s="137" t="str">
        <f aca="false">IF(A305="","",A305-A304)</f>
        <v/>
      </c>
      <c r="AP304" s="212" t="str">
        <f aca="false">IF(A305="","",CHOOSE(F$3,A305+24,A304))</f>
        <v/>
      </c>
      <c r="AQ304" s="209" t="str">
        <f aca="false">IF(A305="","",AP304-$E$1)</f>
        <v/>
      </c>
      <c r="AR304" s="185" t="n">
        <f aca="false">'ANR OK vs ML7'!AR304</f>
        <v>0.1</v>
      </c>
      <c r="AS304" s="213" t="str">
        <f aca="false">IF(A305="","",1/(1+CHOOSE(F$3,(AR305+($I$3/10000))/2,(AR304+($I$3/10000))/2))^(2*AQ304/365.25))</f>
        <v/>
      </c>
      <c r="AT304" s="137" t="str">
        <f aca="false">IF(A305="","",IF(AND(mthbeg&lt;=A304,mthend&gt;=A304),1,0))</f>
        <v/>
      </c>
      <c r="AU304" s="137" t="str">
        <f aca="false">IF(A305="","",AO304*AT304)</f>
        <v/>
      </c>
      <c r="AW304" s="195" t="str">
        <f aca="false">IF($A305="","",AL304*$E304)</f>
        <v/>
      </c>
      <c r="AX304" s="195" t="str">
        <f aca="false">IF($A305="","",AM304*$E304)</f>
        <v/>
      </c>
      <c r="AY304" s="195" t="str">
        <f aca="false">IF($A305="","",AN304*$E304)</f>
        <v/>
      </c>
      <c r="BA304" s="195" t="str">
        <f aca="false">IF($A305="","",F304*Summary!$Q$14)</f>
        <v/>
      </c>
    </row>
    <row r="305" customFormat="false" ht="12" hidden="false" customHeight="true" outlineLevel="0" collapsed="false">
      <c r="A305" s="196" t="str">
        <f aca="false">IF(A304&lt;mthend,EDATE(A304,1),"")</f>
        <v/>
      </c>
      <c r="B305" s="197" t="str">
        <f aca="false">IF(A305&lt;mthend,B304,"")</f>
        <v/>
      </c>
      <c r="C305" s="215"/>
      <c r="D305" s="197" t="str">
        <f aca="false">IF(A306&lt;&gt;"",B305+C305,"")</f>
        <v/>
      </c>
      <c r="E305" s="199" t="str">
        <f aca="false">IF(A306="","",IF(AND(AT305=1,$H$3=1),D305*AO305,IF($H$3=2,D305,"N/A")))</f>
        <v/>
      </c>
      <c r="F305" s="199" t="str">
        <f aca="false">IF(A306="","",E305*AS305)</f>
        <v/>
      </c>
      <c r="G305" s="200" t="str">
        <f aca="false">IF($A306="","",VLOOKUP($A305,Table,MATCH(G$4,Curves,0)))</f>
        <v/>
      </c>
      <c r="H305" s="201" t="str">
        <f aca="false">IF(A306="","",G305)</f>
        <v/>
      </c>
      <c r="I305" s="202"/>
      <c r="J305" s="200" t="str">
        <f aca="false">IF($A306="","",VLOOKUP($A305,Table,MATCH(J$4,Curves,0)))</f>
        <v/>
      </c>
      <c r="K305" s="201" t="str">
        <f aca="false">IF(A306="","",J305)</f>
        <v/>
      </c>
      <c r="L305" s="185" t="n">
        <v>0</v>
      </c>
      <c r="M305" s="201" t="str">
        <f aca="false">IF(A306="","",L305)</f>
        <v/>
      </c>
      <c r="N305" s="203"/>
      <c r="O305" s="200" t="str">
        <f aca="false">IF(A306="","",L305+J305+G305)</f>
        <v/>
      </c>
      <c r="P305" s="200" t="str">
        <f aca="false">IF(A306="","",M305+K305+H305)</f>
        <v/>
      </c>
      <c r="Q305" s="204"/>
      <c r="R305" s="200" t="str">
        <f aca="false">IF($A306="","",VLOOKUP($A305,Table,MATCH(R$4,Curves,0)))</f>
        <v/>
      </c>
      <c r="S305" s="201" t="str">
        <f aca="false">IF(A306="","",R305)</f>
        <v/>
      </c>
      <c r="T305" s="200" t="str">
        <f aca="false">IF($A306="","",VLOOKUP($A305,Table,MATCH(T$4,Curves,0)))</f>
        <v/>
      </c>
      <c r="U305" s="201" t="str">
        <f aca="false">IF(A306="","",T305)</f>
        <v/>
      </c>
      <c r="V305" s="183" t="str">
        <f aca="false">IF($A306="","",IF(AND(MONTH(A305)&gt;3,MONTH(A305)&lt;11),(T305+R305+G305)*(((1/(1-Summary!$T$14))/(1-Summary!$W$14))-1),(T305+R305+G305)*((1/(1-Summary!$U$14))/(1-Summary!$X$14)-1)))</f>
        <v/>
      </c>
      <c r="W305" s="202" t="str">
        <f aca="false">IF($A306="","",(T305+R305+G305+V305))</f>
        <v/>
      </c>
      <c r="X305" s="202" t="str">
        <f aca="false">IF($A306="","",(U305+S305+H305+V305))</f>
        <v/>
      </c>
      <c r="Y305" s="202"/>
      <c r="Z305" s="185" t="str">
        <f aca="false">IF($A306="","",VLOOKUP($A305,Table,MATCH(Z$4,Curves,0)))</f>
        <v/>
      </c>
      <c r="AA305" s="185" t="str">
        <f aca="false">IF($A306="","",VLOOKUP($A305,Table,MATCH(AA$4,Curves,0)))</f>
        <v/>
      </c>
      <c r="AB305" s="185" t="e">
        <f aca="false">SQRT((AA305^2*(A305-$D$3)+Z305^2*(DAY(EOMONTH(A305,0))/2))/AK305)</f>
        <v>#VALUE!</v>
      </c>
      <c r="AC305" s="185" t="str">
        <f aca="false">IF($A306="","",VLOOKUP($A305,Table,MATCH(AC$4,Curves,0)))</f>
        <v/>
      </c>
      <c r="AD305" s="185" t="str">
        <f aca="false">IF($A306="","",VLOOKUP($A305,Table,MATCH(AD$4,Curves,0)))</f>
        <v/>
      </c>
      <c r="AE305" s="185" t="e">
        <f aca="false">SQRT((AD305^2*(A305-$D$3)+AC305^2*(DAY(EOMONTH(A305,0))/2))/AK305)</f>
        <v>#VALUE!</v>
      </c>
      <c r="AF305" s="224" t="e">
        <f aca="false">((Summary!$N$14*(AA305*AD305)*(A305-$D$3))+(Summary!$M$14*Z305*AC305*(AJ305-EOMONTH(EDATE(A305,-1),0))))/(AK305*AB305*AE305)</f>
        <v>#VALUE!</v>
      </c>
      <c r="AG305" s="207" t="str">
        <f aca="false">IF($A306="","",Summary!$Q$14)</f>
        <v/>
      </c>
      <c r="AH305" s="207" t="str">
        <f aca="false">IF($A306="","",IF(Summary!$R$12="Y",(VLOOKUP($A305,Summary!$AD$6:$AF$9,3)+'Escalating commodity'!J318),'Escalating commodity'!J318))</f>
        <v/>
      </c>
      <c r="AI305" s="207" t="str">
        <f aca="false">IF($A306="","",AH305)</f>
        <v/>
      </c>
      <c r="AJ305" s="208" t="e">
        <f aca="false">A305+DAY(EOMONTH(A305,0))/2-1</f>
        <v>#VALUE!</v>
      </c>
      <c r="AK305" s="209" t="str">
        <f aca="false">IF($A306="","",$A305-$E$1)</f>
        <v/>
      </c>
      <c r="AL305" s="182" t="str">
        <f aca="false">IF($A306="","",SPRDOPT(P305,X305,AI305,0,AB305,AE305,AF305,AK305,$AJ$2,0))</f>
        <v/>
      </c>
      <c r="AM305" s="211" t="str">
        <f aca="false">IF($A306="","",MAX(0,O305-W305-AI305))</f>
        <v/>
      </c>
      <c r="AN305" s="211" t="str">
        <f aca="false">IF($A306="","",AL305-AM305)</f>
        <v/>
      </c>
      <c r="AO305" s="137" t="str">
        <f aca="false">IF(A306="","",A306-A305)</f>
        <v/>
      </c>
      <c r="AP305" s="212" t="str">
        <f aca="false">IF(A306="","",CHOOSE(F$3,A306+24,A305))</f>
        <v/>
      </c>
      <c r="AQ305" s="209" t="str">
        <f aca="false">IF(A306="","",AP305-$E$1)</f>
        <v/>
      </c>
      <c r="AR305" s="185" t="n">
        <f aca="false">'ANR OK vs ML7'!AR305</f>
        <v>0.1</v>
      </c>
      <c r="AS305" s="213" t="str">
        <f aca="false">IF(A306="","",1/(1+CHOOSE(F$3,(AR306+($I$3/10000))/2,(AR305+($I$3/10000))/2))^(2*AQ305/365.25))</f>
        <v/>
      </c>
      <c r="AT305" s="137" t="str">
        <f aca="false">IF(A306="","",IF(AND(mthbeg&lt;=A305,mthend&gt;=A305),1,0))</f>
        <v/>
      </c>
      <c r="AU305" s="137" t="str">
        <f aca="false">IF(A306="","",AO305*AT305)</f>
        <v/>
      </c>
      <c r="AW305" s="195" t="str">
        <f aca="false">IF($A306="","",AL305*$E305)</f>
        <v/>
      </c>
      <c r="AX305" s="195" t="str">
        <f aca="false">IF($A306="","",AM305*$E305)</f>
        <v/>
      </c>
      <c r="AY305" s="195" t="str">
        <f aca="false">IF($A306="","",AN305*$E305)</f>
        <v/>
      </c>
      <c r="BA305" s="195" t="str">
        <f aca="false">IF($A306="","",F305*Summary!$Q$14)</f>
        <v/>
      </c>
    </row>
    <row r="306" customFormat="false" ht="12" hidden="false" customHeight="true" outlineLevel="0" collapsed="false">
      <c r="A306" s="196" t="str">
        <f aca="false">IF(A305&lt;mthend,EDATE(A305,1),"")</f>
        <v/>
      </c>
      <c r="B306" s="197" t="str">
        <f aca="false">IF(A306&lt;mthend,B305,"")</f>
        <v/>
      </c>
      <c r="C306" s="215"/>
      <c r="D306" s="197" t="str">
        <f aca="false">IF(A307&lt;&gt;"",B306+C306,"")</f>
        <v/>
      </c>
      <c r="E306" s="199" t="str">
        <f aca="false">IF(A307="","",IF(AND(AT306=1,$H$3=1),D306*AO306,IF($H$3=2,D306,"N/A")))</f>
        <v/>
      </c>
      <c r="F306" s="199" t="str">
        <f aca="false">IF(A307="","",E306*AS306)</f>
        <v/>
      </c>
      <c r="G306" s="200" t="str">
        <f aca="false">IF($A307="","",VLOOKUP($A306,Table,MATCH(G$4,Curves,0)))</f>
        <v/>
      </c>
      <c r="H306" s="201" t="str">
        <f aca="false">IF(A307="","",G306)</f>
        <v/>
      </c>
      <c r="I306" s="202"/>
      <c r="J306" s="200" t="str">
        <f aca="false">IF($A307="","",VLOOKUP($A306,Table,MATCH(J$4,Curves,0)))</f>
        <v/>
      </c>
      <c r="K306" s="201" t="str">
        <f aca="false">IF(A307="","",J306)</f>
        <v/>
      </c>
      <c r="L306" s="185" t="n">
        <v>0</v>
      </c>
      <c r="M306" s="201" t="str">
        <f aca="false">IF(A307="","",L306)</f>
        <v/>
      </c>
      <c r="N306" s="203"/>
      <c r="O306" s="200" t="str">
        <f aca="false">IF(A307="","",L306+J306+G306)</f>
        <v/>
      </c>
      <c r="P306" s="200" t="str">
        <f aca="false">IF(A307="","",M306+K306+H306)</f>
        <v/>
      </c>
      <c r="Q306" s="204"/>
      <c r="R306" s="200" t="str">
        <f aca="false">IF($A307="","",VLOOKUP($A306,Table,MATCH(R$4,Curves,0)))</f>
        <v/>
      </c>
      <c r="S306" s="201" t="str">
        <f aca="false">IF(A307="","",R306)</f>
        <v/>
      </c>
      <c r="T306" s="200" t="str">
        <f aca="false">IF($A307="","",VLOOKUP($A306,Table,MATCH(T$4,Curves,0)))</f>
        <v/>
      </c>
      <c r="U306" s="201" t="str">
        <f aca="false">IF(A307="","",T306)</f>
        <v/>
      </c>
      <c r="V306" s="183" t="str">
        <f aca="false">IF($A307="","",IF(AND(MONTH(A306)&gt;3,MONTH(A306)&lt;11),(T306+R306+G306)*(((1/(1-Summary!$T$14))/(1-Summary!$W$14))-1),(T306+R306+G306)*((1/(1-Summary!$U$14))/(1-Summary!$X$14)-1)))</f>
        <v/>
      </c>
      <c r="W306" s="202" t="str">
        <f aca="false">IF($A307="","",(T306+R306+G306+V306))</f>
        <v/>
      </c>
      <c r="X306" s="202" t="str">
        <f aca="false">IF($A307="","",(U306+S306+H306+V306))</f>
        <v/>
      </c>
      <c r="Y306" s="202"/>
      <c r="Z306" s="185" t="str">
        <f aca="false">IF($A307="","",VLOOKUP($A306,Table,MATCH(Z$4,Curves,0)))</f>
        <v/>
      </c>
      <c r="AA306" s="185" t="str">
        <f aca="false">IF($A307="","",VLOOKUP($A306,Table,MATCH(AA$4,Curves,0)))</f>
        <v/>
      </c>
      <c r="AB306" s="185" t="e">
        <f aca="false">SQRT((AA306^2*(A306-$D$3)+Z306^2*(DAY(EOMONTH(A306,0))/2))/AK306)</f>
        <v>#VALUE!</v>
      </c>
      <c r="AC306" s="185" t="str">
        <f aca="false">IF($A307="","",VLOOKUP($A306,Table,MATCH(AC$4,Curves,0)))</f>
        <v/>
      </c>
      <c r="AD306" s="185" t="str">
        <f aca="false">IF($A307="","",VLOOKUP($A306,Table,MATCH(AD$4,Curves,0)))</f>
        <v/>
      </c>
      <c r="AE306" s="185" t="e">
        <f aca="false">SQRT((AD306^2*(A306-$D$3)+AC306^2*(DAY(EOMONTH(A306,0))/2))/AK306)</f>
        <v>#VALUE!</v>
      </c>
      <c r="AF306" s="224" t="e">
        <f aca="false">((Summary!$N$14*(AA306*AD306)*(A306-$D$3))+(Summary!$M$14*Z306*AC306*(AJ306-EOMONTH(EDATE(A306,-1),0))))/(AK306*AB306*AE306)</f>
        <v>#VALUE!</v>
      </c>
      <c r="AG306" s="207" t="str">
        <f aca="false">IF($A307="","",Summary!$Q$14)</f>
        <v/>
      </c>
      <c r="AH306" s="207" t="str">
        <f aca="false">IF($A307="","",IF(Summary!$R$12="Y",(VLOOKUP($A306,Summary!$AD$6:$AF$9,3)+'Escalating commodity'!J319),'Escalating commodity'!J319))</f>
        <v/>
      </c>
      <c r="AI306" s="207" t="str">
        <f aca="false">IF($A307="","",AH306)</f>
        <v/>
      </c>
      <c r="AJ306" s="208" t="e">
        <f aca="false">A306+DAY(EOMONTH(A306,0))/2-1</f>
        <v>#VALUE!</v>
      </c>
      <c r="AK306" s="209" t="str">
        <f aca="false">IF($A307="","",$A306-$E$1)</f>
        <v/>
      </c>
      <c r="AL306" s="182" t="str">
        <f aca="false">IF($A307="","",SPRDOPT(P306,X306,AI306,0,AB306,AE306,AF306,AK306,$AJ$2,0))</f>
        <v/>
      </c>
      <c r="AM306" s="211" t="str">
        <f aca="false">IF($A307="","",MAX(0,O306-W306-AI306))</f>
        <v/>
      </c>
      <c r="AN306" s="211" t="str">
        <f aca="false">IF($A307="","",AL306-AM306)</f>
        <v/>
      </c>
      <c r="AO306" s="137" t="str">
        <f aca="false">IF(A307="","",A307-A306)</f>
        <v/>
      </c>
      <c r="AP306" s="212" t="str">
        <f aca="false">IF(A307="","",CHOOSE(F$3,A307+24,A306))</f>
        <v/>
      </c>
      <c r="AQ306" s="209" t="str">
        <f aca="false">IF(A307="","",AP306-$E$1)</f>
        <v/>
      </c>
      <c r="AR306" s="185" t="n">
        <f aca="false">'ANR OK vs ML7'!AR306</f>
        <v>0.1</v>
      </c>
      <c r="AS306" s="213" t="str">
        <f aca="false">IF(A307="","",1/(1+CHOOSE(F$3,(AR307+($I$3/10000))/2,(AR306+($I$3/10000))/2))^(2*AQ306/365.25))</f>
        <v/>
      </c>
      <c r="AT306" s="137" t="str">
        <f aca="false">IF(A307="","",IF(AND(mthbeg&lt;=A306,mthend&gt;=A306),1,0))</f>
        <v/>
      </c>
      <c r="AU306" s="137" t="str">
        <f aca="false">IF(A307="","",AO306*AT306)</f>
        <v/>
      </c>
      <c r="AW306" s="195" t="str">
        <f aca="false">IF($A307="","",AL306*$E306)</f>
        <v/>
      </c>
      <c r="AX306" s="195" t="str">
        <f aca="false">IF($A307="","",AM306*$E306)</f>
        <v/>
      </c>
      <c r="AY306" s="195" t="str">
        <f aca="false">IF($A307="","",AN306*$E306)</f>
        <v/>
      </c>
      <c r="BA306" s="195" t="str">
        <f aca="false">IF($A307="","",F306*Summary!$Q$14)</f>
        <v/>
      </c>
    </row>
    <row r="307" customFormat="false" ht="12" hidden="false" customHeight="true" outlineLevel="0" collapsed="false">
      <c r="A307" s="196" t="str">
        <f aca="false">IF(A306&lt;mthend,EDATE(A306,1),"")</f>
        <v/>
      </c>
      <c r="B307" s="197" t="str">
        <f aca="false">IF(A307&lt;mthend,B306,"")</f>
        <v/>
      </c>
      <c r="C307" s="215"/>
      <c r="D307" s="197" t="str">
        <f aca="false">IF(A308&lt;&gt;"",B307+C307,"")</f>
        <v/>
      </c>
      <c r="E307" s="199" t="str">
        <f aca="false">IF(A308="","",IF(AND(AT307=1,$H$3=1),D307*AO307,IF($H$3=2,D307,"N/A")))</f>
        <v/>
      </c>
      <c r="F307" s="199" t="str">
        <f aca="false">IF(A308="","",E307*AS307)</f>
        <v/>
      </c>
      <c r="G307" s="200" t="str">
        <f aca="false">IF($A308="","",VLOOKUP($A307,Table,MATCH(G$4,Curves,0)))</f>
        <v/>
      </c>
      <c r="H307" s="201" t="str">
        <f aca="false">IF(A308="","",G307)</f>
        <v/>
      </c>
      <c r="I307" s="202"/>
      <c r="J307" s="200" t="str">
        <f aca="false">IF($A308="","",VLOOKUP($A307,Table,MATCH(J$4,Curves,0)))</f>
        <v/>
      </c>
      <c r="K307" s="201" t="str">
        <f aca="false">IF(A308="","",J307)</f>
        <v/>
      </c>
      <c r="L307" s="185" t="n">
        <v>0</v>
      </c>
      <c r="M307" s="201" t="str">
        <f aca="false">IF(A308="","",L307)</f>
        <v/>
      </c>
      <c r="N307" s="203"/>
      <c r="O307" s="200" t="str">
        <f aca="false">IF(A308="","",L307+J307+G307)</f>
        <v/>
      </c>
      <c r="P307" s="200" t="str">
        <f aca="false">IF(A308="","",M307+K307+H307)</f>
        <v/>
      </c>
      <c r="Q307" s="204"/>
      <c r="R307" s="200" t="str">
        <f aca="false">IF($A308="","",VLOOKUP($A307,Table,MATCH(R$4,Curves,0)))</f>
        <v/>
      </c>
      <c r="S307" s="201" t="str">
        <f aca="false">IF(A308="","",R307)</f>
        <v/>
      </c>
      <c r="T307" s="200" t="str">
        <f aca="false">IF($A308="","",VLOOKUP($A307,Table,MATCH(T$4,Curves,0)))</f>
        <v/>
      </c>
      <c r="U307" s="201" t="str">
        <f aca="false">IF(A308="","",T307)</f>
        <v/>
      </c>
      <c r="V307" s="183" t="str">
        <f aca="false">IF($A308="","",IF(AND(MONTH(A307)&gt;3,MONTH(A307)&lt;11),(T307+R307+G307)*(((1/(1-Summary!$T$14))/(1-Summary!$W$14))-1),(T307+R307+G307)*((1/(1-Summary!$U$14))/(1-Summary!$X$14)-1)))</f>
        <v/>
      </c>
      <c r="W307" s="202" t="str">
        <f aca="false">IF($A308="","",(T307+R307+G307+V307))</f>
        <v/>
      </c>
      <c r="X307" s="202" t="str">
        <f aca="false">IF($A308="","",(U307+S307+H307+V307))</f>
        <v/>
      </c>
      <c r="Y307" s="202"/>
      <c r="Z307" s="185" t="str">
        <f aca="false">IF($A308="","",VLOOKUP($A307,Table,MATCH(Z$4,Curves,0)))</f>
        <v/>
      </c>
      <c r="AA307" s="185" t="str">
        <f aca="false">IF($A308="","",VLOOKUP($A307,Table,MATCH(AA$4,Curves,0)))</f>
        <v/>
      </c>
      <c r="AB307" s="185" t="e">
        <f aca="false">SQRT((AA307^2*(A307-$D$3)+Z307^2*(DAY(EOMONTH(A307,0))/2))/AK307)</f>
        <v>#VALUE!</v>
      </c>
      <c r="AC307" s="185" t="str">
        <f aca="false">IF($A308="","",VLOOKUP($A307,Table,MATCH(AC$4,Curves,0)))</f>
        <v/>
      </c>
      <c r="AD307" s="185" t="str">
        <f aca="false">IF($A308="","",VLOOKUP($A307,Table,MATCH(AD$4,Curves,0)))</f>
        <v/>
      </c>
      <c r="AE307" s="185" t="e">
        <f aca="false">SQRT((AD307^2*(A307-$D$3)+AC307^2*(DAY(EOMONTH(A307,0))/2))/AK307)</f>
        <v>#VALUE!</v>
      </c>
      <c r="AF307" s="224" t="e">
        <f aca="false">((Summary!$N$14*(AA307*AD307)*(A307-$D$3))+(Summary!$M$14*Z307*AC307*(AJ307-EOMONTH(EDATE(A307,-1),0))))/(AK307*AB307*AE307)</f>
        <v>#VALUE!</v>
      </c>
      <c r="AG307" s="207" t="str">
        <f aca="false">IF($A308="","",Summary!$Q$14)</f>
        <v/>
      </c>
      <c r="AH307" s="207" t="str">
        <f aca="false">IF($A308="","",IF(Summary!$R$12="Y",(VLOOKUP($A307,Summary!$AD$6:$AF$9,3)+'Escalating commodity'!J320),'Escalating commodity'!J320))</f>
        <v/>
      </c>
      <c r="AI307" s="207" t="str">
        <f aca="false">IF($A308="","",AH307)</f>
        <v/>
      </c>
      <c r="AJ307" s="208" t="e">
        <f aca="false">A307+DAY(EOMONTH(A307,0))/2-1</f>
        <v>#VALUE!</v>
      </c>
      <c r="AK307" s="209" t="str">
        <f aca="false">IF($A308="","",$A307-$E$1)</f>
        <v/>
      </c>
      <c r="AL307" s="182" t="str">
        <f aca="false">IF($A308="","",SPRDOPT(P307,X307,AI307,0,AB307,AE307,AF307,AK307,$AJ$2,0))</f>
        <v/>
      </c>
      <c r="AM307" s="211" t="str">
        <f aca="false">IF($A308="","",MAX(0,O307-W307-AI307))</f>
        <v/>
      </c>
      <c r="AN307" s="211" t="str">
        <f aca="false">IF($A308="","",AL307-AM307)</f>
        <v/>
      </c>
      <c r="AO307" s="137" t="str">
        <f aca="false">IF(A308="","",A308-A307)</f>
        <v/>
      </c>
      <c r="AP307" s="212" t="str">
        <f aca="false">IF(A308="","",CHOOSE(F$3,A308+24,A307))</f>
        <v/>
      </c>
      <c r="AQ307" s="209" t="str">
        <f aca="false">IF(A308="","",AP307-$E$1)</f>
        <v/>
      </c>
      <c r="AR307" s="185" t="n">
        <f aca="false">'ANR OK vs ML7'!AR307</f>
        <v>0.1</v>
      </c>
      <c r="AS307" s="213" t="str">
        <f aca="false">IF(A308="","",1/(1+CHOOSE(F$3,(AR308+($I$3/10000))/2,(AR307+($I$3/10000))/2))^(2*AQ307/365.25))</f>
        <v/>
      </c>
      <c r="AT307" s="137" t="str">
        <f aca="false">IF(A308="","",IF(AND(mthbeg&lt;=A307,mthend&gt;=A307),1,0))</f>
        <v/>
      </c>
      <c r="AU307" s="137" t="str">
        <f aca="false">IF(A308="","",AO307*AT307)</f>
        <v/>
      </c>
      <c r="AW307" s="195" t="str">
        <f aca="false">IF($A308="","",AL307*$E307)</f>
        <v/>
      </c>
      <c r="AX307" s="195" t="str">
        <f aca="false">IF($A308="","",AM307*$E307)</f>
        <v/>
      </c>
      <c r="AY307" s="195" t="str">
        <f aca="false">IF($A308="","",AN307*$E307)</f>
        <v/>
      </c>
      <c r="BA307" s="195" t="str">
        <f aca="false">IF($A308="","",F307*Summary!$Q$14)</f>
        <v/>
      </c>
    </row>
    <row r="308" customFormat="false" ht="12" hidden="false" customHeight="true" outlineLevel="0" collapsed="false">
      <c r="A308" s="196" t="str">
        <f aca="false">IF(A307&lt;mthend,EDATE(A307,1),"")</f>
        <v/>
      </c>
      <c r="B308" s="197" t="str">
        <f aca="false">IF(A308&lt;mthend,B307,"")</f>
        <v/>
      </c>
      <c r="C308" s="215"/>
      <c r="D308" s="197" t="str">
        <f aca="false">IF(A309&lt;&gt;"",B308+C308,"")</f>
        <v/>
      </c>
      <c r="E308" s="199" t="str">
        <f aca="false">IF(A309="","",IF(AND(AT308=1,$H$3=1),D308*AO308,IF($H$3=2,D308,"N/A")))</f>
        <v/>
      </c>
      <c r="F308" s="199" t="str">
        <f aca="false">IF(A309="","",E308*AS308)</f>
        <v/>
      </c>
      <c r="G308" s="200" t="str">
        <f aca="false">IF($A309="","",VLOOKUP($A308,Table,MATCH(G$4,Curves,0)))</f>
        <v/>
      </c>
      <c r="H308" s="201" t="str">
        <f aca="false">IF(A309="","",G308)</f>
        <v/>
      </c>
      <c r="I308" s="202"/>
      <c r="J308" s="200" t="str">
        <f aca="false">IF($A309="","",VLOOKUP($A308,Table,MATCH(J$4,Curves,0)))</f>
        <v/>
      </c>
      <c r="K308" s="201" t="str">
        <f aca="false">IF(A309="","",J308)</f>
        <v/>
      </c>
      <c r="L308" s="185" t="n">
        <v>0</v>
      </c>
      <c r="M308" s="201" t="str">
        <f aca="false">IF(A309="","",L308)</f>
        <v/>
      </c>
      <c r="N308" s="203"/>
      <c r="O308" s="200" t="str">
        <f aca="false">IF(A309="","",L308+J308+G308)</f>
        <v/>
      </c>
      <c r="P308" s="200" t="str">
        <f aca="false">IF(A309="","",M308+K308+H308)</f>
        <v/>
      </c>
      <c r="Q308" s="204"/>
      <c r="R308" s="200" t="str">
        <f aca="false">IF($A309="","",VLOOKUP($A308,Table,MATCH(R$4,Curves,0)))</f>
        <v/>
      </c>
      <c r="S308" s="201" t="str">
        <f aca="false">IF(A309="","",R308)</f>
        <v/>
      </c>
      <c r="T308" s="200" t="str">
        <f aca="false">IF($A309="","",VLOOKUP($A308,Table,MATCH(T$4,Curves,0)))</f>
        <v/>
      </c>
      <c r="U308" s="201" t="str">
        <f aca="false">IF(A309="","",T308)</f>
        <v/>
      </c>
      <c r="V308" s="183" t="str">
        <f aca="false">IF($A309="","",IF(AND(MONTH(A308)&gt;3,MONTH(A308)&lt;11),(T308+R308+G308)*(((1/(1-Summary!$T$14))/(1-Summary!$W$14))-1),(T308+R308+G308)*((1/(1-Summary!$U$14))/(1-Summary!$X$14)-1)))</f>
        <v/>
      </c>
      <c r="W308" s="202" t="str">
        <f aca="false">IF($A309="","",(T308+R308+G308+V308))</f>
        <v/>
      </c>
      <c r="X308" s="202" t="str">
        <f aca="false">IF($A309="","",(U308+S308+H308+V308))</f>
        <v/>
      </c>
      <c r="Y308" s="202"/>
      <c r="Z308" s="185" t="str">
        <f aca="false">IF($A309="","",VLOOKUP($A308,Table,MATCH(Z$4,Curves,0)))</f>
        <v/>
      </c>
      <c r="AA308" s="185" t="str">
        <f aca="false">IF($A309="","",VLOOKUP($A308,Table,MATCH(AA$4,Curves,0)))</f>
        <v/>
      </c>
      <c r="AB308" s="185" t="e">
        <f aca="false">SQRT((AA308^2*(A308-$D$3)+Z308^2*(DAY(EOMONTH(A308,0))/2))/AK308)</f>
        <v>#VALUE!</v>
      </c>
      <c r="AC308" s="185" t="str">
        <f aca="false">IF($A309="","",VLOOKUP($A308,Table,MATCH(AC$4,Curves,0)))</f>
        <v/>
      </c>
      <c r="AD308" s="185" t="str">
        <f aca="false">IF($A309="","",VLOOKUP($A308,Table,MATCH(AD$4,Curves,0)))</f>
        <v/>
      </c>
      <c r="AE308" s="185" t="e">
        <f aca="false">SQRT((AD308^2*(A308-$D$3)+AC308^2*(DAY(EOMONTH(A308,0))/2))/AK308)</f>
        <v>#VALUE!</v>
      </c>
      <c r="AF308" s="224" t="e">
        <f aca="false">((Summary!$N$14*(AA308*AD308)*(A308-$D$3))+(Summary!$M$14*Z308*AC308*(AJ308-EOMONTH(EDATE(A308,-1),0))))/(AK308*AB308*AE308)</f>
        <v>#VALUE!</v>
      </c>
      <c r="AG308" s="207" t="str">
        <f aca="false">IF($A309="","",Summary!$Q$14)</f>
        <v/>
      </c>
      <c r="AH308" s="207" t="str">
        <f aca="false">IF($A309="","",IF(Summary!$R$12="Y",(VLOOKUP($A308,Summary!$AD$6:$AF$9,3)+'Escalating commodity'!J321),'Escalating commodity'!J321))</f>
        <v/>
      </c>
      <c r="AI308" s="207" t="str">
        <f aca="false">IF($A309="","",AH308)</f>
        <v/>
      </c>
      <c r="AJ308" s="208" t="e">
        <f aca="false">A308+DAY(EOMONTH(A308,0))/2-1</f>
        <v>#VALUE!</v>
      </c>
      <c r="AK308" s="209" t="str">
        <f aca="false">IF($A309="","",$A308-$E$1)</f>
        <v/>
      </c>
      <c r="AL308" s="182" t="str">
        <f aca="false">IF($A309="","",SPRDOPT(P308,X308,AI308,0,AB308,AE308,AF308,AK308,$AJ$2,0))</f>
        <v/>
      </c>
      <c r="AM308" s="211" t="str">
        <f aca="false">IF($A309="","",MAX(0,O308-W308-AI308))</f>
        <v/>
      </c>
      <c r="AN308" s="211" t="str">
        <f aca="false">IF($A309="","",AL308-AM308)</f>
        <v/>
      </c>
      <c r="AO308" s="137" t="str">
        <f aca="false">IF(A309="","",A309-A308)</f>
        <v/>
      </c>
      <c r="AP308" s="212" t="str">
        <f aca="false">IF(A309="","",CHOOSE(F$3,A309+24,A308))</f>
        <v/>
      </c>
      <c r="AQ308" s="209" t="str">
        <f aca="false">IF(A309="","",AP308-$E$1)</f>
        <v/>
      </c>
      <c r="AR308" s="185" t="n">
        <f aca="false">'ANR OK vs ML7'!AR308</f>
        <v>0.1</v>
      </c>
      <c r="AS308" s="213" t="str">
        <f aca="false">IF(A309="","",1/(1+CHOOSE(F$3,(AR309+($I$3/10000))/2,(AR308+($I$3/10000))/2))^(2*AQ308/365.25))</f>
        <v/>
      </c>
      <c r="AT308" s="137" t="str">
        <f aca="false">IF(A309="","",IF(AND(mthbeg&lt;=A308,mthend&gt;=A308),1,0))</f>
        <v/>
      </c>
      <c r="AU308" s="137" t="str">
        <f aca="false">IF(A309="","",AO308*AT308)</f>
        <v/>
      </c>
      <c r="AW308" s="195" t="str">
        <f aca="false">IF($A309="","",AL308*$E308)</f>
        <v/>
      </c>
      <c r="AX308" s="195" t="str">
        <f aca="false">IF($A309="","",AM308*$E308)</f>
        <v/>
      </c>
      <c r="AY308" s="195" t="str">
        <f aca="false">IF($A309="","",AN308*$E308)</f>
        <v/>
      </c>
      <c r="BA308" s="195" t="str">
        <f aca="false">IF($A309="","",F308*Summary!$Q$14)</f>
        <v/>
      </c>
    </row>
    <row r="309" customFormat="false" ht="12" hidden="false" customHeight="true" outlineLevel="0" collapsed="false">
      <c r="A309" s="196" t="str">
        <f aca="false">IF(A308&lt;mthend,EDATE(A308,1),"")</f>
        <v/>
      </c>
      <c r="B309" s="197" t="str">
        <f aca="false">IF(A309&lt;mthend,B308,"")</f>
        <v/>
      </c>
      <c r="C309" s="215"/>
      <c r="D309" s="197" t="str">
        <f aca="false">IF(A310&lt;&gt;"",B309+C309,"")</f>
        <v/>
      </c>
      <c r="E309" s="199" t="str">
        <f aca="false">IF(A310="","",IF(AND(AT309=1,$H$3=1),D309*AO309,IF($H$3=2,D309,"N/A")))</f>
        <v/>
      </c>
      <c r="F309" s="199" t="str">
        <f aca="false">IF(A310="","",E309*AS309)</f>
        <v/>
      </c>
      <c r="G309" s="200" t="str">
        <f aca="false">IF($A310="","",VLOOKUP($A309,Table,MATCH(G$4,Curves,0)))</f>
        <v/>
      </c>
      <c r="H309" s="201" t="str">
        <f aca="false">IF(A310="","",G309)</f>
        <v/>
      </c>
      <c r="I309" s="202"/>
      <c r="J309" s="200" t="str">
        <f aca="false">IF($A310="","",VLOOKUP($A309,Table,MATCH(J$4,Curves,0)))</f>
        <v/>
      </c>
      <c r="K309" s="201" t="str">
        <f aca="false">IF(A310="","",J309)</f>
        <v/>
      </c>
      <c r="L309" s="185" t="n">
        <v>0</v>
      </c>
      <c r="M309" s="201" t="str">
        <f aca="false">IF(A310="","",L309)</f>
        <v/>
      </c>
      <c r="N309" s="203"/>
      <c r="O309" s="200" t="str">
        <f aca="false">IF(A310="","",L309+J309+G309)</f>
        <v/>
      </c>
      <c r="P309" s="200" t="str">
        <f aca="false">IF(A310="","",M309+K309+H309)</f>
        <v/>
      </c>
      <c r="Q309" s="204"/>
      <c r="R309" s="200" t="str">
        <f aca="false">IF($A310="","",VLOOKUP($A309,Table,MATCH(R$4,Curves,0)))</f>
        <v/>
      </c>
      <c r="S309" s="201" t="str">
        <f aca="false">IF(A310="","",R309)</f>
        <v/>
      </c>
      <c r="T309" s="200" t="str">
        <f aca="false">IF($A310="","",VLOOKUP($A309,Table,MATCH(T$4,Curves,0)))</f>
        <v/>
      </c>
      <c r="U309" s="201" t="str">
        <f aca="false">IF(A310="","",T309)</f>
        <v/>
      </c>
      <c r="V309" s="183" t="str">
        <f aca="false">IF($A310="","",IF(AND(MONTH(A309)&gt;3,MONTH(A309)&lt;11),(T309+R309+G309)*(((1/(1-Summary!$T$14))/(1-Summary!$W$14))-1),(T309+R309+G309)*((1/(1-Summary!$U$14))/(1-Summary!$X$14)-1)))</f>
        <v/>
      </c>
      <c r="W309" s="202" t="str">
        <f aca="false">IF($A310="","",(T309+R309+G309+V309))</f>
        <v/>
      </c>
      <c r="X309" s="202" t="str">
        <f aca="false">IF($A310="","",(U309+S309+H309+V309))</f>
        <v/>
      </c>
      <c r="Y309" s="202"/>
      <c r="Z309" s="185" t="str">
        <f aca="false">IF($A310="","",VLOOKUP($A309,Table,MATCH(Z$4,Curves,0)))</f>
        <v/>
      </c>
      <c r="AA309" s="185" t="str">
        <f aca="false">IF($A310="","",VLOOKUP($A309,Table,MATCH(AA$4,Curves,0)))</f>
        <v/>
      </c>
      <c r="AB309" s="185" t="e">
        <f aca="false">SQRT((AA309^2*(A309-$D$3)+Z309^2*(DAY(EOMONTH(A309,0))/2))/AK309)</f>
        <v>#VALUE!</v>
      </c>
      <c r="AC309" s="185" t="str">
        <f aca="false">IF($A310="","",VLOOKUP($A309,Table,MATCH(AC$4,Curves,0)))</f>
        <v/>
      </c>
      <c r="AD309" s="185" t="str">
        <f aca="false">IF($A310="","",VLOOKUP($A309,Table,MATCH(AD$4,Curves,0)))</f>
        <v/>
      </c>
      <c r="AE309" s="185" t="e">
        <f aca="false">SQRT((AD309^2*(A309-$D$3)+AC309^2*(DAY(EOMONTH(A309,0))/2))/AK309)</f>
        <v>#VALUE!</v>
      </c>
      <c r="AF309" s="224" t="e">
        <f aca="false">((Summary!$N$14*(AA309*AD309)*(A309-$D$3))+(Summary!$M$14*Z309*AC309*(AJ309-EOMONTH(EDATE(A309,-1),0))))/(AK309*AB309*AE309)</f>
        <v>#VALUE!</v>
      </c>
      <c r="AG309" s="207" t="str">
        <f aca="false">IF($A310="","",Summary!$Q$14)</f>
        <v/>
      </c>
      <c r="AH309" s="207" t="str">
        <f aca="false">IF($A310="","",IF(Summary!$R$12="Y",(VLOOKUP($A309,Summary!$AD$6:$AF$9,3)+'Escalating commodity'!J322),'Escalating commodity'!J322))</f>
        <v/>
      </c>
      <c r="AI309" s="207" t="str">
        <f aca="false">IF($A310="","",AH309)</f>
        <v/>
      </c>
      <c r="AJ309" s="208" t="e">
        <f aca="false">A309+DAY(EOMONTH(A309,0))/2-1</f>
        <v>#VALUE!</v>
      </c>
      <c r="AK309" s="209" t="str">
        <f aca="false">IF($A310="","",$A309-$E$1)</f>
        <v/>
      </c>
      <c r="AL309" s="182" t="str">
        <f aca="false">IF($A310="","",SPRDOPT(P309,X309,AI309,0,AB309,AE309,AF309,AK309,$AJ$2,0))</f>
        <v/>
      </c>
      <c r="AM309" s="211" t="str">
        <f aca="false">IF($A310="","",MAX(0,O309-W309-AI309))</f>
        <v/>
      </c>
      <c r="AN309" s="211" t="str">
        <f aca="false">IF($A310="","",AL309-AM309)</f>
        <v/>
      </c>
      <c r="AO309" s="137" t="str">
        <f aca="false">IF(A310="","",A310-A309)</f>
        <v/>
      </c>
      <c r="AP309" s="212" t="str">
        <f aca="false">IF(A310="","",CHOOSE(F$3,A310+24,A309))</f>
        <v/>
      </c>
      <c r="AQ309" s="209" t="str">
        <f aca="false">IF(A310="","",AP309-$E$1)</f>
        <v/>
      </c>
      <c r="AR309" s="185" t="n">
        <f aca="false">'ANR OK vs ML7'!AR309</f>
        <v>0.1</v>
      </c>
      <c r="AS309" s="213" t="str">
        <f aca="false">IF(A310="","",1/(1+CHOOSE(F$3,(AR310+($I$3/10000))/2,(AR309+($I$3/10000))/2))^(2*AQ309/365.25))</f>
        <v/>
      </c>
      <c r="AT309" s="137" t="str">
        <f aca="false">IF(A310="","",IF(AND(mthbeg&lt;=A309,mthend&gt;=A309),1,0))</f>
        <v/>
      </c>
      <c r="AU309" s="137" t="str">
        <f aca="false">IF(A310="","",AO309*AT309)</f>
        <v/>
      </c>
      <c r="AW309" s="195" t="str">
        <f aca="false">IF($A310="","",AL309*$E309)</f>
        <v/>
      </c>
      <c r="AX309" s="195" t="str">
        <f aca="false">IF($A310="","",AM309*$E309)</f>
        <v/>
      </c>
      <c r="AY309" s="195" t="str">
        <f aca="false">IF($A310="","",AN309*$E309)</f>
        <v/>
      </c>
      <c r="BA309" s="195" t="str">
        <f aca="false">IF($A310="","",F309*Summary!$Q$14)</f>
        <v/>
      </c>
    </row>
    <row r="310" customFormat="false" ht="12" hidden="false" customHeight="true" outlineLevel="0" collapsed="false">
      <c r="A310" s="196" t="str">
        <f aca="false">IF(A309&lt;mthend,EDATE(A309,1),"")</f>
        <v/>
      </c>
      <c r="B310" s="197" t="str">
        <f aca="false">IF(A310&lt;mthend,B309,"")</f>
        <v/>
      </c>
      <c r="C310" s="215"/>
      <c r="D310" s="197" t="str">
        <f aca="false">IF(A311&lt;&gt;"",B310+C310,"")</f>
        <v/>
      </c>
      <c r="E310" s="199" t="str">
        <f aca="false">IF(A311="","",IF(AND(AT310=1,$H$3=1),D310*AO310,IF($H$3=2,D310,"N/A")))</f>
        <v/>
      </c>
      <c r="F310" s="199" t="str">
        <f aca="false">IF(A311="","",E310*AS310)</f>
        <v/>
      </c>
      <c r="G310" s="200" t="str">
        <f aca="false">IF($A311="","",VLOOKUP($A310,Table,MATCH(G$4,Curves,0)))</f>
        <v/>
      </c>
      <c r="H310" s="201" t="str">
        <f aca="false">IF(A311="","",G310)</f>
        <v/>
      </c>
      <c r="I310" s="202"/>
      <c r="J310" s="200" t="str">
        <f aca="false">IF($A311="","",VLOOKUP($A310,Table,MATCH(J$4,Curves,0)))</f>
        <v/>
      </c>
      <c r="K310" s="201" t="str">
        <f aca="false">IF(A311="","",J310)</f>
        <v/>
      </c>
      <c r="L310" s="185" t="n">
        <v>0</v>
      </c>
      <c r="M310" s="201" t="str">
        <f aca="false">IF(A311="","",L310)</f>
        <v/>
      </c>
      <c r="N310" s="203"/>
      <c r="O310" s="200" t="str">
        <f aca="false">IF(A311="","",L310+J310+G310)</f>
        <v/>
      </c>
      <c r="P310" s="200" t="str">
        <f aca="false">IF(A311="","",M310+K310+H310)</f>
        <v/>
      </c>
      <c r="Q310" s="204"/>
      <c r="R310" s="200" t="str">
        <f aca="false">IF($A311="","",VLOOKUP($A310,Table,MATCH(R$4,Curves,0)))</f>
        <v/>
      </c>
      <c r="S310" s="201" t="str">
        <f aca="false">IF(A311="","",R310)</f>
        <v/>
      </c>
      <c r="T310" s="200" t="str">
        <f aca="false">IF($A311="","",VLOOKUP($A310,Table,MATCH(T$4,Curves,0)))</f>
        <v/>
      </c>
      <c r="U310" s="201" t="str">
        <f aca="false">IF(A311="","",T310)</f>
        <v/>
      </c>
      <c r="V310" s="183" t="str">
        <f aca="false">IF($A311="","",IF(AND(MONTH(A310)&gt;3,MONTH(A310)&lt;11),(T310+R310+G310)*(((1/(1-Summary!$T$14))/(1-Summary!$W$14))-1),(T310+R310+G310)*((1/(1-Summary!$U$14))/(1-Summary!$X$14)-1)))</f>
        <v/>
      </c>
      <c r="W310" s="202" t="str">
        <f aca="false">IF($A311="","",(T310+R310+G310+V310))</f>
        <v/>
      </c>
      <c r="X310" s="202" t="str">
        <f aca="false">IF($A311="","",(U310+S310+H310+V310))</f>
        <v/>
      </c>
      <c r="Y310" s="202"/>
      <c r="Z310" s="185" t="str">
        <f aca="false">IF($A311="","",VLOOKUP($A310,Table,MATCH(Z$4,Curves,0)))</f>
        <v/>
      </c>
      <c r="AA310" s="185" t="str">
        <f aca="false">IF($A311="","",VLOOKUP($A310,Table,MATCH(AA$4,Curves,0)))</f>
        <v/>
      </c>
      <c r="AB310" s="185" t="e">
        <f aca="false">SQRT((AA310^2*(A310-$D$3)+Z310^2*(DAY(EOMONTH(A310,0))/2))/AK310)</f>
        <v>#VALUE!</v>
      </c>
      <c r="AC310" s="185" t="str">
        <f aca="false">IF($A311="","",VLOOKUP($A310,Table,MATCH(AC$4,Curves,0)))</f>
        <v/>
      </c>
      <c r="AD310" s="185" t="str">
        <f aca="false">IF($A311="","",VLOOKUP($A310,Table,MATCH(AD$4,Curves,0)))</f>
        <v/>
      </c>
      <c r="AE310" s="185" t="e">
        <f aca="false">SQRT((AD310^2*(A310-$D$3)+AC310^2*(DAY(EOMONTH(A310,0))/2))/AK310)</f>
        <v>#VALUE!</v>
      </c>
      <c r="AF310" s="224" t="e">
        <f aca="false">((Summary!$N$14*(AA310*AD310)*(A310-$D$3))+(Summary!$M$14*Z310*AC310*(AJ310-EOMONTH(EDATE(A310,-1),0))))/(AK310*AB310*AE310)</f>
        <v>#VALUE!</v>
      </c>
      <c r="AG310" s="207" t="str">
        <f aca="false">IF($A311="","",Summary!$Q$14)</f>
        <v/>
      </c>
      <c r="AH310" s="207" t="str">
        <f aca="false">IF($A311="","",IF(Summary!$R$12="Y",(VLOOKUP($A310,Summary!$AD$6:$AF$9,3)+'Escalating commodity'!J323),'Escalating commodity'!J323))</f>
        <v/>
      </c>
      <c r="AI310" s="207" t="str">
        <f aca="false">IF($A311="","",AH310)</f>
        <v/>
      </c>
      <c r="AJ310" s="208" t="e">
        <f aca="false">A310+DAY(EOMONTH(A310,0))/2-1</f>
        <v>#VALUE!</v>
      </c>
      <c r="AK310" s="209" t="str">
        <f aca="false">IF($A311="","",$A310-$E$1)</f>
        <v/>
      </c>
      <c r="AL310" s="182" t="str">
        <f aca="false">IF($A311="","",SPRDOPT(P310,X310,AI310,0,AB310,AE310,AF310,AK310,$AJ$2,0))</f>
        <v/>
      </c>
      <c r="AM310" s="211" t="str">
        <f aca="false">IF($A311="","",MAX(0,O310-W310-AI310))</f>
        <v/>
      </c>
      <c r="AN310" s="211" t="str">
        <f aca="false">IF($A311="","",AL310-AM310)</f>
        <v/>
      </c>
      <c r="AO310" s="137" t="str">
        <f aca="false">IF(A311="","",A311-A310)</f>
        <v/>
      </c>
      <c r="AP310" s="212" t="str">
        <f aca="false">IF(A311="","",CHOOSE(F$3,A311+24,A310))</f>
        <v/>
      </c>
      <c r="AQ310" s="209" t="str">
        <f aca="false">IF(A311="","",AP310-$E$1)</f>
        <v/>
      </c>
      <c r="AR310" s="185" t="n">
        <f aca="false">'ANR OK vs ML7'!AR310</f>
        <v>0.1</v>
      </c>
      <c r="AS310" s="213" t="str">
        <f aca="false">IF(A311="","",1/(1+CHOOSE(F$3,(AR311+($I$3/10000))/2,(AR310+($I$3/10000))/2))^(2*AQ310/365.25))</f>
        <v/>
      </c>
      <c r="AT310" s="137" t="str">
        <f aca="false">IF(A311="","",IF(AND(mthbeg&lt;=A310,mthend&gt;=A310),1,0))</f>
        <v/>
      </c>
      <c r="AU310" s="137" t="str">
        <f aca="false">IF(A311="","",AO310*AT310)</f>
        <v/>
      </c>
      <c r="AW310" s="195" t="str">
        <f aca="false">IF($A311="","",AL310*$E310)</f>
        <v/>
      </c>
      <c r="AX310" s="195" t="str">
        <f aca="false">IF($A311="","",AM310*$E310)</f>
        <v/>
      </c>
      <c r="AY310" s="195" t="str">
        <f aca="false">IF($A311="","",AN310*$E310)</f>
        <v/>
      </c>
      <c r="BA310" s="195" t="str">
        <f aca="false">IF($A311="","",F310*Summary!$Q$14)</f>
        <v/>
      </c>
    </row>
    <row r="311" customFormat="false" ht="12" hidden="false" customHeight="true" outlineLevel="0" collapsed="false">
      <c r="A311" s="196" t="str">
        <f aca="false">IF(A310&lt;mthend,EDATE(A310,1),"")</f>
        <v/>
      </c>
      <c r="B311" s="197" t="str">
        <f aca="false">IF(A311&lt;mthend,B310,"")</f>
        <v/>
      </c>
      <c r="C311" s="215"/>
      <c r="D311" s="197" t="str">
        <f aca="false">IF(A312&lt;&gt;"",B311+C311,"")</f>
        <v/>
      </c>
      <c r="E311" s="199" t="str">
        <f aca="false">IF(A312="","",IF(AND(AT311=1,$H$3=1),D311*AO311,IF($H$3=2,D311,"N/A")))</f>
        <v/>
      </c>
      <c r="F311" s="199" t="str">
        <f aca="false">IF(A312="","",E311*AS311)</f>
        <v/>
      </c>
      <c r="G311" s="200" t="str">
        <f aca="false">IF($A312="","",VLOOKUP($A311,Table,MATCH(G$4,Curves,0)))</f>
        <v/>
      </c>
      <c r="H311" s="201" t="str">
        <f aca="false">IF(A312="","",G311)</f>
        <v/>
      </c>
      <c r="I311" s="202"/>
      <c r="J311" s="200" t="str">
        <f aca="false">IF($A312="","",VLOOKUP($A311,Table,MATCH(J$4,Curves,0)))</f>
        <v/>
      </c>
      <c r="K311" s="201" t="str">
        <f aca="false">IF(A312="","",J311)</f>
        <v/>
      </c>
      <c r="L311" s="185" t="n">
        <v>0</v>
      </c>
      <c r="M311" s="201" t="str">
        <f aca="false">IF(A312="","",L311)</f>
        <v/>
      </c>
      <c r="N311" s="203"/>
      <c r="O311" s="200" t="str">
        <f aca="false">IF(A312="","",L311+J311+G311)</f>
        <v/>
      </c>
      <c r="P311" s="200" t="str">
        <f aca="false">IF(A312="","",M311+K311+H311)</f>
        <v/>
      </c>
      <c r="Q311" s="204"/>
      <c r="R311" s="200" t="str">
        <f aca="false">IF($A312="","",VLOOKUP($A311,Table,MATCH(R$4,Curves,0)))</f>
        <v/>
      </c>
      <c r="S311" s="201" t="str">
        <f aca="false">IF(A312="","",R311)</f>
        <v/>
      </c>
      <c r="T311" s="200" t="str">
        <f aca="false">IF($A312="","",VLOOKUP($A311,Table,MATCH(T$4,Curves,0)))</f>
        <v/>
      </c>
      <c r="U311" s="201" t="str">
        <f aca="false">IF(A312="","",T311)</f>
        <v/>
      </c>
      <c r="V311" s="183" t="str">
        <f aca="false">IF($A312="","",IF(AND(MONTH(A311)&gt;3,MONTH(A311)&lt;11),(T311+R311+G311)*(((1/(1-Summary!$T$14))/(1-Summary!$W$14))-1),(T311+R311+G311)*((1/(1-Summary!$U$14))/(1-Summary!$X$14)-1)))</f>
        <v/>
      </c>
      <c r="W311" s="202" t="str">
        <f aca="false">IF($A312="","",(T311+R311+G311+V311))</f>
        <v/>
      </c>
      <c r="X311" s="202" t="str">
        <f aca="false">IF($A312="","",(U311+S311+H311+V311))</f>
        <v/>
      </c>
      <c r="Y311" s="202"/>
      <c r="Z311" s="185" t="str">
        <f aca="false">IF($A312="","",VLOOKUP($A311,Table,MATCH(Z$4,Curves,0)))</f>
        <v/>
      </c>
      <c r="AA311" s="185" t="str">
        <f aca="false">IF($A312="","",VLOOKUP($A311,Table,MATCH(AA$4,Curves,0)))</f>
        <v/>
      </c>
      <c r="AB311" s="185" t="e">
        <f aca="false">SQRT((AA311^2*(A311-$D$3)+Z311^2*(DAY(EOMONTH(A311,0))/2))/AK311)</f>
        <v>#VALUE!</v>
      </c>
      <c r="AC311" s="185" t="str">
        <f aca="false">IF($A312="","",VLOOKUP($A311,Table,MATCH(AC$4,Curves,0)))</f>
        <v/>
      </c>
      <c r="AD311" s="185" t="str">
        <f aca="false">IF($A312="","",VLOOKUP($A311,Table,MATCH(AD$4,Curves,0)))</f>
        <v/>
      </c>
      <c r="AE311" s="185" t="e">
        <f aca="false">SQRT((AD311^2*(A311-$D$3)+AC311^2*(DAY(EOMONTH(A311,0))/2))/AK311)</f>
        <v>#VALUE!</v>
      </c>
      <c r="AF311" s="224" t="e">
        <f aca="false">((Summary!$N$14*(AA311*AD311)*(A311-$D$3))+(Summary!$M$14*Z311*AC311*(AJ311-EOMONTH(EDATE(A311,-1),0))))/(AK311*AB311*AE311)</f>
        <v>#VALUE!</v>
      </c>
      <c r="AG311" s="207" t="str">
        <f aca="false">IF($A312="","",Summary!$Q$14)</f>
        <v/>
      </c>
      <c r="AH311" s="207" t="str">
        <f aca="false">IF($A312="","",IF(Summary!$R$12="Y",(VLOOKUP($A311,Summary!$AD$6:$AF$9,3)+'Escalating commodity'!J324),'Escalating commodity'!J324))</f>
        <v/>
      </c>
      <c r="AI311" s="207" t="str">
        <f aca="false">IF($A312="","",AH311)</f>
        <v/>
      </c>
      <c r="AJ311" s="208" t="e">
        <f aca="false">A311+DAY(EOMONTH(A311,0))/2-1</f>
        <v>#VALUE!</v>
      </c>
      <c r="AK311" s="209" t="str">
        <f aca="false">IF($A312="","",$A311-$E$1)</f>
        <v/>
      </c>
      <c r="AL311" s="182" t="str">
        <f aca="false">IF($A312="","",SPRDOPT(P311,X311,AI311,0,AB311,AE311,AF311,AK311,$AJ$2,0))</f>
        <v/>
      </c>
      <c r="AM311" s="211" t="str">
        <f aca="false">IF($A312="","",MAX(0,O311-W311-AI311))</f>
        <v/>
      </c>
      <c r="AN311" s="211" t="str">
        <f aca="false">IF($A312="","",AL311-AM311)</f>
        <v/>
      </c>
      <c r="AO311" s="137" t="str">
        <f aca="false">IF(A312="","",A312-A311)</f>
        <v/>
      </c>
      <c r="AP311" s="212" t="str">
        <f aca="false">IF(A312="","",CHOOSE(F$3,A312+24,A311))</f>
        <v/>
      </c>
      <c r="AQ311" s="209" t="str">
        <f aca="false">IF(A312="","",AP311-$E$1)</f>
        <v/>
      </c>
      <c r="AR311" s="185" t="n">
        <f aca="false">'ANR OK vs ML7'!AR311</f>
        <v>0.1</v>
      </c>
      <c r="AS311" s="213" t="str">
        <f aca="false">IF(A312="","",1/(1+CHOOSE(F$3,(AR312+($I$3/10000))/2,(AR311+($I$3/10000))/2))^(2*AQ311/365.25))</f>
        <v/>
      </c>
      <c r="AT311" s="137" t="str">
        <f aca="false">IF(A312="","",IF(AND(mthbeg&lt;=A311,mthend&gt;=A311),1,0))</f>
        <v/>
      </c>
      <c r="AU311" s="137" t="str">
        <f aca="false">IF(A312="","",AO311*AT311)</f>
        <v/>
      </c>
      <c r="AW311" s="195" t="str">
        <f aca="false">IF($A312="","",AL311*$E311)</f>
        <v/>
      </c>
      <c r="AX311" s="195" t="str">
        <f aca="false">IF($A312="","",AM311*$E311)</f>
        <v/>
      </c>
      <c r="AY311" s="195" t="str">
        <f aca="false">IF($A312="","",AN311*$E311)</f>
        <v/>
      </c>
      <c r="BA311" s="195" t="str">
        <f aca="false">IF($A312="","",F311*Summary!$Q$14)</f>
        <v/>
      </c>
    </row>
    <row r="312" customFormat="false" ht="12" hidden="false" customHeight="true" outlineLevel="0" collapsed="false">
      <c r="A312" s="196" t="str">
        <f aca="false">IF(A311&lt;mthend,EDATE(A311,1),"")</f>
        <v/>
      </c>
      <c r="B312" s="197" t="str">
        <f aca="false">IF(A312&lt;mthend,B311,"")</f>
        <v/>
      </c>
      <c r="C312" s="215"/>
      <c r="D312" s="197" t="str">
        <f aca="false">IF(A313&lt;&gt;"",B312+C312,"")</f>
        <v/>
      </c>
      <c r="E312" s="199" t="str">
        <f aca="false">IF(A313="","",IF(AND(AT312=1,$H$3=1),D312*AO312,IF($H$3=2,D312,"N/A")))</f>
        <v/>
      </c>
      <c r="F312" s="199" t="str">
        <f aca="false">IF(A313="","",E312*AS312)</f>
        <v/>
      </c>
      <c r="G312" s="200" t="str">
        <f aca="false">IF($A313="","",VLOOKUP($A312,Table,MATCH(G$4,Curves,0)))</f>
        <v/>
      </c>
      <c r="H312" s="201" t="str">
        <f aca="false">IF(A313="","",G312)</f>
        <v/>
      </c>
      <c r="I312" s="202"/>
      <c r="J312" s="200" t="str">
        <f aca="false">IF($A313="","",VLOOKUP($A312,Table,MATCH(J$4,Curves,0)))</f>
        <v/>
      </c>
      <c r="K312" s="201" t="str">
        <f aca="false">IF(A313="","",J312)</f>
        <v/>
      </c>
      <c r="L312" s="185" t="n">
        <v>0</v>
      </c>
      <c r="M312" s="201" t="str">
        <f aca="false">IF(A313="","",L312)</f>
        <v/>
      </c>
      <c r="N312" s="203"/>
      <c r="O312" s="200" t="str">
        <f aca="false">IF(A313="","",L312+J312+G312)</f>
        <v/>
      </c>
      <c r="P312" s="200" t="str">
        <f aca="false">IF(A313="","",M312+K312+H312)</f>
        <v/>
      </c>
      <c r="Q312" s="204"/>
      <c r="R312" s="200" t="str">
        <f aca="false">IF($A313="","",VLOOKUP($A312,Table,MATCH(R$4,Curves,0)))</f>
        <v/>
      </c>
      <c r="S312" s="201" t="str">
        <f aca="false">IF(A313="","",R312)</f>
        <v/>
      </c>
      <c r="T312" s="200" t="str">
        <f aca="false">IF($A313="","",VLOOKUP($A312,Table,MATCH(T$4,Curves,0)))</f>
        <v/>
      </c>
      <c r="U312" s="201" t="str">
        <f aca="false">IF(A313="","",T312)</f>
        <v/>
      </c>
      <c r="V312" s="183" t="str">
        <f aca="false">IF($A313="","",IF(AND(MONTH(A312)&gt;3,MONTH(A312)&lt;11),(T312+R312+G312)*(((1/(1-Summary!$T$14))/(1-Summary!$W$14))-1),(T312+R312+G312)*((1/(1-Summary!$U$14))/(1-Summary!$X$14)-1)))</f>
        <v/>
      </c>
      <c r="W312" s="202" t="str">
        <f aca="false">IF($A313="","",(T312+R312+G312+V312))</f>
        <v/>
      </c>
      <c r="X312" s="202" t="str">
        <f aca="false">IF($A313="","",(U312+S312+H312+V312))</f>
        <v/>
      </c>
      <c r="Y312" s="202"/>
      <c r="Z312" s="185" t="str">
        <f aca="false">IF($A313="","",VLOOKUP($A312,Table,MATCH(Z$4,Curves,0)))</f>
        <v/>
      </c>
      <c r="AA312" s="185" t="str">
        <f aca="false">IF($A313="","",VLOOKUP($A312,Table,MATCH(AA$4,Curves,0)))</f>
        <v/>
      </c>
      <c r="AB312" s="185" t="e">
        <f aca="false">SQRT((AA312^2*(A312-$D$3)+Z312^2*(DAY(EOMONTH(A312,0))/2))/AK312)</f>
        <v>#VALUE!</v>
      </c>
      <c r="AC312" s="185" t="str">
        <f aca="false">IF($A313="","",VLOOKUP($A312,Table,MATCH(AC$4,Curves,0)))</f>
        <v/>
      </c>
      <c r="AD312" s="185" t="str">
        <f aca="false">IF($A313="","",VLOOKUP($A312,Table,MATCH(AD$4,Curves,0)))</f>
        <v/>
      </c>
      <c r="AE312" s="185" t="e">
        <f aca="false">SQRT((AD312^2*(A312-$D$3)+AC312^2*(DAY(EOMONTH(A312,0))/2))/AK312)</f>
        <v>#VALUE!</v>
      </c>
      <c r="AF312" s="224" t="e">
        <f aca="false">((Summary!$N$14*(AA312*AD312)*(A312-$D$3))+(Summary!$M$14*Z312*AC312*(AJ312-EOMONTH(EDATE(A312,-1),0))))/(AK312*AB312*AE312)</f>
        <v>#VALUE!</v>
      </c>
      <c r="AG312" s="207" t="str">
        <f aca="false">IF($A313="","",Summary!$Q$14)</f>
        <v/>
      </c>
      <c r="AH312" s="207" t="str">
        <f aca="false">IF($A313="","",IF(Summary!$R$12="Y",(VLOOKUP($A312,Summary!$AD$6:$AF$9,3)+'Escalating commodity'!J325),'Escalating commodity'!J325))</f>
        <v/>
      </c>
      <c r="AI312" s="207" t="str">
        <f aca="false">IF($A313="","",AH312)</f>
        <v/>
      </c>
      <c r="AJ312" s="208" t="e">
        <f aca="false">A312+DAY(EOMONTH(A312,0))/2-1</f>
        <v>#VALUE!</v>
      </c>
      <c r="AK312" s="209" t="str">
        <f aca="false">IF($A313="","",$A312-$E$1)</f>
        <v/>
      </c>
      <c r="AL312" s="182" t="str">
        <f aca="false">IF($A313="","",SPRDOPT(P312,X312,AI312,0,AB312,AE312,AF312,AK312,$AJ$2,0))</f>
        <v/>
      </c>
      <c r="AM312" s="211" t="str">
        <f aca="false">IF($A313="","",MAX(0,O312-W312-AI312))</f>
        <v/>
      </c>
      <c r="AN312" s="211" t="str">
        <f aca="false">IF($A313="","",AL312-AM312)</f>
        <v/>
      </c>
      <c r="AO312" s="137" t="str">
        <f aca="false">IF(A313="","",A313-A312)</f>
        <v/>
      </c>
      <c r="AP312" s="212" t="str">
        <f aca="false">IF(A313="","",CHOOSE(F$3,A313+24,A312))</f>
        <v/>
      </c>
      <c r="AQ312" s="209" t="str">
        <f aca="false">IF(A313="","",AP312-$E$1)</f>
        <v/>
      </c>
      <c r="AR312" s="185" t="n">
        <f aca="false">'ANR OK vs ML7'!AR312</f>
        <v>0.1</v>
      </c>
      <c r="AS312" s="213" t="str">
        <f aca="false">IF(A313="","",1/(1+CHOOSE(F$3,(AR313+($I$3/10000))/2,(AR312+($I$3/10000))/2))^(2*AQ312/365.25))</f>
        <v/>
      </c>
      <c r="AT312" s="137" t="str">
        <f aca="false">IF(A313="","",IF(AND(mthbeg&lt;=A312,mthend&gt;=A312),1,0))</f>
        <v/>
      </c>
      <c r="AU312" s="137" t="str">
        <f aca="false">IF(A313="","",AO312*AT312)</f>
        <v/>
      </c>
      <c r="AW312" s="195" t="str">
        <f aca="false">IF($A313="","",AL312*$E312)</f>
        <v/>
      </c>
      <c r="AX312" s="195" t="str">
        <f aca="false">IF($A313="","",AM312*$E312)</f>
        <v/>
      </c>
      <c r="AY312" s="195" t="str">
        <f aca="false">IF($A313="","",AN312*$E312)</f>
        <v/>
      </c>
      <c r="BA312" s="195" t="str">
        <f aca="false">IF($A313="","",F312*Summary!$Q$14)</f>
        <v/>
      </c>
    </row>
    <row r="313" customFormat="false" ht="12" hidden="false" customHeight="true" outlineLevel="0" collapsed="false">
      <c r="A313" s="196" t="str">
        <f aca="false">IF(A312&lt;mthend,EDATE(A312,1),"")</f>
        <v/>
      </c>
      <c r="B313" s="197" t="str">
        <f aca="false">IF(A313&lt;mthend,B312,"")</f>
        <v/>
      </c>
      <c r="C313" s="215"/>
      <c r="D313" s="197" t="str">
        <f aca="false">IF(A314&lt;&gt;"",B313+C313,"")</f>
        <v/>
      </c>
      <c r="E313" s="199" t="str">
        <f aca="false">IF(A314="","",IF(AND(AT313=1,$H$3=1),D313*AO313,IF($H$3=2,D313,"N/A")))</f>
        <v/>
      </c>
      <c r="F313" s="199" t="str">
        <f aca="false">IF(A314="","",E313*AS313)</f>
        <v/>
      </c>
      <c r="G313" s="200" t="str">
        <f aca="false">IF($A314="","",VLOOKUP($A313,Table,MATCH(G$4,Curves,0)))</f>
        <v/>
      </c>
      <c r="H313" s="201" t="str">
        <f aca="false">IF(A314="","",G313)</f>
        <v/>
      </c>
      <c r="I313" s="202"/>
      <c r="J313" s="200" t="str">
        <f aca="false">IF($A314="","",VLOOKUP($A313,Table,MATCH(J$4,Curves,0)))</f>
        <v/>
      </c>
      <c r="K313" s="201" t="str">
        <f aca="false">IF(A314="","",J313)</f>
        <v/>
      </c>
      <c r="L313" s="185" t="n">
        <v>0</v>
      </c>
      <c r="M313" s="201" t="str">
        <f aca="false">IF(A314="","",L313)</f>
        <v/>
      </c>
      <c r="N313" s="203"/>
      <c r="O313" s="200" t="str">
        <f aca="false">IF(A314="","",L313+J313+G313)</f>
        <v/>
      </c>
      <c r="P313" s="200" t="str">
        <f aca="false">IF(A314="","",M313+K313+H313)</f>
        <v/>
      </c>
      <c r="Q313" s="204"/>
      <c r="R313" s="200" t="str">
        <f aca="false">IF($A314="","",VLOOKUP($A313,Table,MATCH(R$4,Curves,0)))</f>
        <v/>
      </c>
      <c r="S313" s="201" t="str">
        <f aca="false">IF(A314="","",R313)</f>
        <v/>
      </c>
      <c r="T313" s="200" t="str">
        <f aca="false">IF($A314="","",VLOOKUP($A313,Table,MATCH(T$4,Curves,0)))</f>
        <v/>
      </c>
      <c r="U313" s="201" t="str">
        <f aca="false">IF(A314="","",T313)</f>
        <v/>
      </c>
      <c r="V313" s="183" t="str">
        <f aca="false">IF($A314="","",IF(AND(MONTH(A313)&gt;3,MONTH(A313)&lt;11),(T313+R313+G313)*(((1/(1-Summary!$T$14))/(1-Summary!$W$14))-1),(T313+R313+G313)*((1/(1-Summary!$U$14))/(1-Summary!$X$14)-1)))</f>
        <v/>
      </c>
      <c r="W313" s="202" t="str">
        <f aca="false">IF($A314="","",(T313+R313+G313+V313))</f>
        <v/>
      </c>
      <c r="X313" s="202" t="str">
        <f aca="false">IF($A314="","",(U313+S313+H313+V313))</f>
        <v/>
      </c>
      <c r="Y313" s="202"/>
      <c r="Z313" s="185" t="str">
        <f aca="false">IF($A314="","",VLOOKUP($A313,Table,MATCH(Z$4,Curves,0)))</f>
        <v/>
      </c>
      <c r="AA313" s="185" t="str">
        <f aca="false">IF($A314="","",VLOOKUP($A313,Table,MATCH(AA$4,Curves,0)))</f>
        <v/>
      </c>
      <c r="AB313" s="185" t="e">
        <f aca="false">SQRT((AA313^2*(A313-$D$3)+Z313^2*(DAY(EOMONTH(A313,0))/2))/AK313)</f>
        <v>#VALUE!</v>
      </c>
      <c r="AC313" s="185" t="str">
        <f aca="false">IF($A314="","",VLOOKUP($A313,Table,MATCH(AC$4,Curves,0)))</f>
        <v/>
      </c>
      <c r="AD313" s="185" t="str">
        <f aca="false">IF($A314="","",VLOOKUP($A313,Table,MATCH(AD$4,Curves,0)))</f>
        <v/>
      </c>
      <c r="AE313" s="185" t="e">
        <f aca="false">SQRT((AD313^2*(A313-$D$3)+AC313^2*(DAY(EOMONTH(A313,0))/2))/AK313)</f>
        <v>#VALUE!</v>
      </c>
      <c r="AF313" s="224" t="e">
        <f aca="false">((Summary!$N$14*(AA313*AD313)*(A313-$D$3))+(Summary!$M$14*Z313*AC313*(AJ313-EOMONTH(EDATE(A313,-1),0))))/(AK313*AB313*AE313)</f>
        <v>#VALUE!</v>
      </c>
      <c r="AG313" s="207" t="str">
        <f aca="false">IF($A314="","",Summary!$Q$14)</f>
        <v/>
      </c>
      <c r="AH313" s="207" t="str">
        <f aca="false">IF($A314="","",IF(Summary!$R$12="Y",(VLOOKUP($A313,Summary!$AD$6:$AF$9,3)+'Escalating commodity'!J326),'Escalating commodity'!J326))</f>
        <v/>
      </c>
      <c r="AI313" s="207" t="str">
        <f aca="false">IF($A314="","",AH313)</f>
        <v/>
      </c>
      <c r="AJ313" s="208" t="e">
        <f aca="false">A313+DAY(EOMONTH(A313,0))/2-1</f>
        <v>#VALUE!</v>
      </c>
      <c r="AK313" s="209" t="str">
        <f aca="false">IF($A314="","",$A313-$E$1)</f>
        <v/>
      </c>
      <c r="AL313" s="182" t="str">
        <f aca="false">IF($A314="","",SPRDOPT(P313,X313,AI313,0,AB313,AE313,AF313,AK313,$AJ$2,0))</f>
        <v/>
      </c>
      <c r="AM313" s="211" t="str">
        <f aca="false">IF($A314="","",MAX(0,O313-W313-AI313))</f>
        <v/>
      </c>
      <c r="AN313" s="211" t="str">
        <f aca="false">IF($A314="","",AL313-AM313)</f>
        <v/>
      </c>
      <c r="AO313" s="137" t="str">
        <f aca="false">IF(A314="","",A314-A313)</f>
        <v/>
      </c>
      <c r="AP313" s="212" t="str">
        <f aca="false">IF(A314="","",CHOOSE(F$3,A314+24,A313))</f>
        <v/>
      </c>
      <c r="AQ313" s="209" t="str">
        <f aca="false">IF(A314="","",AP313-$E$1)</f>
        <v/>
      </c>
      <c r="AR313" s="185" t="n">
        <f aca="false">'ANR OK vs ML7'!AR313</f>
        <v>0.1</v>
      </c>
      <c r="AS313" s="213" t="str">
        <f aca="false">IF(A314="","",1/(1+CHOOSE(F$3,(AR314+($I$3/10000))/2,(AR313+($I$3/10000))/2))^(2*AQ313/365.25))</f>
        <v/>
      </c>
      <c r="AT313" s="137" t="str">
        <f aca="false">IF(A314="","",IF(AND(mthbeg&lt;=A313,mthend&gt;=A313),1,0))</f>
        <v/>
      </c>
      <c r="AU313" s="137" t="str">
        <f aca="false">IF(A314="","",AO313*AT313)</f>
        <v/>
      </c>
      <c r="AW313" s="195" t="str">
        <f aca="false">IF($A314="","",AL313*$E313)</f>
        <v/>
      </c>
      <c r="AX313" s="195" t="str">
        <f aca="false">IF($A314="","",AM313*$E313)</f>
        <v/>
      </c>
      <c r="AY313" s="195" t="str">
        <f aca="false">IF($A314="","",AN313*$E313)</f>
        <v/>
      </c>
      <c r="BA313" s="195" t="str">
        <f aca="false">IF($A314="","",F313*Summary!$Q$14)</f>
        <v/>
      </c>
    </row>
    <row r="314" customFormat="false" ht="12" hidden="false" customHeight="true" outlineLevel="0" collapsed="false">
      <c r="A314" s="196" t="str">
        <f aca="false">IF(A313&lt;mthend,EDATE(A313,1),"")</f>
        <v/>
      </c>
      <c r="B314" s="197" t="str">
        <f aca="false">IF(A314&lt;mthend,B313,"")</f>
        <v/>
      </c>
      <c r="C314" s="215"/>
      <c r="D314" s="197" t="str">
        <f aca="false">IF(A315&lt;&gt;"",B314+C314,"")</f>
        <v/>
      </c>
      <c r="E314" s="199" t="str">
        <f aca="false">IF(A315="","",IF(AND(AT314=1,$H$3=1),D314*AO314,IF($H$3=2,D314,"N/A")))</f>
        <v/>
      </c>
      <c r="F314" s="199" t="str">
        <f aca="false">IF(A315="","",E314*AS314)</f>
        <v/>
      </c>
      <c r="G314" s="200" t="str">
        <f aca="false">IF($A315="","",VLOOKUP($A314,Table,MATCH(G$4,Curves,0)))</f>
        <v/>
      </c>
      <c r="H314" s="201" t="str">
        <f aca="false">IF(A315="","",G314)</f>
        <v/>
      </c>
      <c r="I314" s="202"/>
      <c r="J314" s="200" t="str">
        <f aca="false">IF($A315="","",VLOOKUP($A314,Table,MATCH(J$4,Curves,0)))</f>
        <v/>
      </c>
      <c r="K314" s="201" t="str">
        <f aca="false">IF(A315="","",J314)</f>
        <v/>
      </c>
      <c r="L314" s="185" t="n">
        <v>0</v>
      </c>
      <c r="M314" s="201" t="str">
        <f aca="false">IF(A315="","",L314)</f>
        <v/>
      </c>
      <c r="N314" s="203"/>
      <c r="O314" s="200" t="str">
        <f aca="false">IF(A315="","",L314+J314+G314)</f>
        <v/>
      </c>
      <c r="P314" s="200" t="str">
        <f aca="false">IF(A315="","",M314+K314+H314)</f>
        <v/>
      </c>
      <c r="Q314" s="204"/>
      <c r="R314" s="200" t="str">
        <f aca="false">IF($A315="","",VLOOKUP($A314,Table,MATCH(R$4,Curves,0)))</f>
        <v/>
      </c>
      <c r="S314" s="201" t="str">
        <f aca="false">IF(A315="","",R314)</f>
        <v/>
      </c>
      <c r="T314" s="200" t="str">
        <f aca="false">IF($A315="","",VLOOKUP($A314,Table,MATCH(T$4,Curves,0)))</f>
        <v/>
      </c>
      <c r="U314" s="201" t="str">
        <f aca="false">IF(A315="","",T314)</f>
        <v/>
      </c>
      <c r="V314" s="183" t="str">
        <f aca="false">IF($A315="","",IF(AND(MONTH(A314)&gt;3,MONTH(A314)&lt;11),(T314+R314+G314)*(((1/(1-Summary!$T$14))/(1-Summary!$W$14))-1),(T314+R314+G314)*((1/(1-Summary!$U$14))/(1-Summary!$X$14)-1)))</f>
        <v/>
      </c>
      <c r="W314" s="202" t="str">
        <f aca="false">IF($A315="","",(T314+R314+G314+V314))</f>
        <v/>
      </c>
      <c r="X314" s="202" t="str">
        <f aca="false">IF($A315="","",(U314+S314+H314+V314))</f>
        <v/>
      </c>
      <c r="Y314" s="202"/>
      <c r="Z314" s="185" t="str">
        <f aca="false">IF($A315="","",VLOOKUP($A314,Table,MATCH(Z$4,Curves,0)))</f>
        <v/>
      </c>
      <c r="AA314" s="185" t="str">
        <f aca="false">IF($A315="","",VLOOKUP($A314,Table,MATCH(AA$4,Curves,0)))</f>
        <v/>
      </c>
      <c r="AB314" s="185" t="e">
        <f aca="false">SQRT((AA314^2*(A314-$D$3)+Z314^2*(DAY(EOMONTH(A314,0))/2))/AK314)</f>
        <v>#VALUE!</v>
      </c>
      <c r="AC314" s="185" t="str">
        <f aca="false">IF($A315="","",VLOOKUP($A314,Table,MATCH(AC$4,Curves,0)))</f>
        <v/>
      </c>
      <c r="AD314" s="185" t="str">
        <f aca="false">IF($A315="","",VLOOKUP($A314,Table,MATCH(AD$4,Curves,0)))</f>
        <v/>
      </c>
      <c r="AE314" s="185" t="e">
        <f aca="false">SQRT((AD314^2*(A314-$D$3)+AC314^2*(DAY(EOMONTH(A314,0))/2))/AK314)</f>
        <v>#VALUE!</v>
      </c>
      <c r="AF314" s="224" t="e">
        <f aca="false">((Summary!$N$14*(AA314*AD314)*(A314-$D$3))+(Summary!$M$14*Z314*AC314*(AJ314-EOMONTH(EDATE(A314,-1),0))))/(AK314*AB314*AE314)</f>
        <v>#VALUE!</v>
      </c>
      <c r="AG314" s="207" t="str">
        <f aca="false">IF($A315="","",Summary!$Q$14)</f>
        <v/>
      </c>
      <c r="AH314" s="207" t="str">
        <f aca="false">IF($A315="","",IF(Summary!$R$12="Y",(VLOOKUP($A314,Summary!$AD$6:$AF$9,3)+'Escalating commodity'!J327),'Escalating commodity'!J327))</f>
        <v/>
      </c>
      <c r="AI314" s="207" t="str">
        <f aca="false">IF($A315="","",AH314)</f>
        <v/>
      </c>
      <c r="AJ314" s="208" t="e">
        <f aca="false">A314+DAY(EOMONTH(A314,0))/2-1</f>
        <v>#VALUE!</v>
      </c>
      <c r="AK314" s="209" t="str">
        <f aca="false">IF($A315="","",$A314-$E$1)</f>
        <v/>
      </c>
      <c r="AL314" s="182" t="str">
        <f aca="false">IF($A315="","",SPRDOPT(P314,X314,AI314,0,AB314,AE314,AF314,AK314,$AJ$2,0))</f>
        <v/>
      </c>
      <c r="AM314" s="211" t="str">
        <f aca="false">IF($A315="","",MAX(0,O314-W314-AI314))</f>
        <v/>
      </c>
      <c r="AN314" s="211" t="str">
        <f aca="false">IF($A315="","",AL314-AM314)</f>
        <v/>
      </c>
      <c r="AO314" s="137" t="str">
        <f aca="false">IF(A315="","",A315-A314)</f>
        <v/>
      </c>
      <c r="AP314" s="212" t="str">
        <f aca="false">IF(A315="","",CHOOSE(F$3,A315+24,A314))</f>
        <v/>
      </c>
      <c r="AQ314" s="209" t="str">
        <f aca="false">IF(A315="","",AP314-$E$1)</f>
        <v/>
      </c>
      <c r="AR314" s="185" t="n">
        <f aca="false">'ANR OK vs ML7'!AR314</f>
        <v>0.1</v>
      </c>
      <c r="AS314" s="213" t="str">
        <f aca="false">IF(A315="","",1/(1+CHOOSE(F$3,(AR315+($I$3/10000))/2,(AR314+($I$3/10000))/2))^(2*AQ314/365.25))</f>
        <v/>
      </c>
      <c r="AT314" s="137" t="str">
        <f aca="false">IF(A315="","",IF(AND(mthbeg&lt;=A314,mthend&gt;=A314),1,0))</f>
        <v/>
      </c>
      <c r="AU314" s="137" t="str">
        <f aca="false">IF(A315="","",AO314*AT314)</f>
        <v/>
      </c>
      <c r="AW314" s="195" t="str">
        <f aca="false">IF($A315="","",AL314*$E314)</f>
        <v/>
      </c>
      <c r="AX314" s="195" t="str">
        <f aca="false">IF($A315="","",AM314*$E314)</f>
        <v/>
      </c>
      <c r="AY314" s="195" t="str">
        <f aca="false">IF($A315="","",AN314*$E314)</f>
        <v/>
      </c>
      <c r="BA314" s="195" t="str">
        <f aca="false">IF($A315="","",F314*Summary!$Q$14)</f>
        <v/>
      </c>
    </row>
    <row r="315" customFormat="false" ht="12" hidden="false" customHeight="true" outlineLevel="0" collapsed="false">
      <c r="A315" s="196" t="str">
        <f aca="false">IF(A314&lt;mthend,EDATE(A314,1),"")</f>
        <v/>
      </c>
      <c r="B315" s="197" t="str">
        <f aca="false">IF(A315&lt;mthend,B314,"")</f>
        <v/>
      </c>
      <c r="C315" s="215"/>
      <c r="D315" s="197" t="str">
        <f aca="false">IF(A316&lt;&gt;"",B315+C315,"")</f>
        <v/>
      </c>
      <c r="E315" s="199" t="str">
        <f aca="false">IF(A316="","",IF(AND(AT315=1,$H$3=1),D315*AO315,IF($H$3=2,D315,"N/A")))</f>
        <v/>
      </c>
      <c r="F315" s="199" t="str">
        <f aca="false">IF(A316="","",E315*AS315)</f>
        <v/>
      </c>
      <c r="G315" s="200" t="str">
        <f aca="false">IF($A316="","",VLOOKUP($A315,Table,MATCH(G$4,Curves,0)))</f>
        <v/>
      </c>
      <c r="H315" s="201" t="str">
        <f aca="false">IF(A316="","",G315)</f>
        <v/>
      </c>
      <c r="I315" s="202"/>
      <c r="J315" s="200" t="str">
        <f aca="false">IF($A316="","",VLOOKUP($A315,Table,MATCH(J$4,Curves,0)))</f>
        <v/>
      </c>
      <c r="K315" s="201" t="str">
        <f aca="false">IF(A316="","",J315)</f>
        <v/>
      </c>
      <c r="L315" s="185" t="n">
        <v>0</v>
      </c>
      <c r="M315" s="201" t="str">
        <f aca="false">IF(A316="","",L315)</f>
        <v/>
      </c>
      <c r="N315" s="203"/>
      <c r="O315" s="200" t="str">
        <f aca="false">IF(A316="","",L315+J315+G315)</f>
        <v/>
      </c>
      <c r="P315" s="200" t="str">
        <f aca="false">IF(A316="","",M315+K315+H315)</f>
        <v/>
      </c>
      <c r="Q315" s="204"/>
      <c r="R315" s="200" t="str">
        <f aca="false">IF($A316="","",VLOOKUP($A315,Table,MATCH(R$4,Curves,0)))</f>
        <v/>
      </c>
      <c r="S315" s="201" t="str">
        <f aca="false">IF(A316="","",R315)</f>
        <v/>
      </c>
      <c r="T315" s="200" t="str">
        <f aca="false">IF($A316="","",VLOOKUP($A315,Table,MATCH(T$4,Curves,0)))</f>
        <v/>
      </c>
      <c r="U315" s="201" t="str">
        <f aca="false">IF(A316="","",T315)</f>
        <v/>
      </c>
      <c r="V315" s="183" t="str">
        <f aca="false">IF($A316="","",IF(AND(MONTH(A315)&gt;3,MONTH(A315)&lt;11),(T315+R315+G315)*(((1/(1-Summary!$T$14))/(1-Summary!$W$14))-1),(T315+R315+G315)*((1/(1-Summary!$U$14))/(1-Summary!$X$14)-1)))</f>
        <v/>
      </c>
      <c r="W315" s="202" t="str">
        <f aca="false">IF($A316="","",(T315+R315+G315+V315))</f>
        <v/>
      </c>
      <c r="X315" s="202" t="str">
        <f aca="false">IF($A316="","",(U315+S315+H315+V315))</f>
        <v/>
      </c>
      <c r="Y315" s="202"/>
      <c r="Z315" s="185" t="str">
        <f aca="false">IF($A316="","",VLOOKUP($A315,Table,MATCH(Z$4,Curves,0)))</f>
        <v/>
      </c>
      <c r="AA315" s="185" t="str">
        <f aca="false">IF($A316="","",VLOOKUP($A315,Table,MATCH(AA$4,Curves,0)))</f>
        <v/>
      </c>
      <c r="AB315" s="185" t="e">
        <f aca="false">SQRT((AA315^2*(A315-$D$3)+Z315^2*(DAY(EOMONTH(A315,0))/2))/AK315)</f>
        <v>#VALUE!</v>
      </c>
      <c r="AC315" s="185" t="str">
        <f aca="false">IF($A316="","",VLOOKUP($A315,Table,MATCH(AC$4,Curves,0)))</f>
        <v/>
      </c>
      <c r="AD315" s="185" t="str">
        <f aca="false">IF($A316="","",VLOOKUP($A315,Table,MATCH(AD$4,Curves,0)))</f>
        <v/>
      </c>
      <c r="AE315" s="185" t="e">
        <f aca="false">SQRT((AD315^2*(A315-$D$3)+AC315^2*(DAY(EOMONTH(A315,0))/2))/AK315)</f>
        <v>#VALUE!</v>
      </c>
      <c r="AF315" s="224" t="e">
        <f aca="false">((Summary!$N$14*(AA315*AD315)*(A315-$D$3))+(Summary!$M$14*Z315*AC315*(AJ315-EOMONTH(EDATE(A315,-1),0))))/(AK315*AB315*AE315)</f>
        <v>#VALUE!</v>
      </c>
      <c r="AG315" s="207" t="str">
        <f aca="false">IF($A316="","",Summary!$Q$14)</f>
        <v/>
      </c>
      <c r="AH315" s="207" t="str">
        <f aca="false">IF($A316="","",IF(Summary!$R$12="Y",(VLOOKUP($A315,Summary!$AD$6:$AF$9,3)+'Escalating commodity'!J328),'Escalating commodity'!J328))</f>
        <v/>
      </c>
      <c r="AI315" s="207" t="str">
        <f aca="false">IF($A316="","",AH315)</f>
        <v/>
      </c>
      <c r="AJ315" s="208" t="e">
        <f aca="false">A315+DAY(EOMONTH(A315,0))/2-1</f>
        <v>#VALUE!</v>
      </c>
      <c r="AK315" s="209" t="str">
        <f aca="false">IF($A316="","",$A315-$E$1)</f>
        <v/>
      </c>
      <c r="AL315" s="182" t="str">
        <f aca="false">IF($A316="","",SPRDOPT(P315,X315,AI315,0,AB315,AE315,AF315,AK315,$AJ$2,0))</f>
        <v/>
      </c>
      <c r="AM315" s="211" t="str">
        <f aca="false">IF($A316="","",MAX(0,O315-W315-AI315))</f>
        <v/>
      </c>
      <c r="AN315" s="211" t="str">
        <f aca="false">IF($A316="","",AL315-AM315)</f>
        <v/>
      </c>
      <c r="AO315" s="137" t="str">
        <f aca="false">IF(A316="","",A316-A315)</f>
        <v/>
      </c>
      <c r="AP315" s="212" t="str">
        <f aca="false">IF(A316="","",CHOOSE(F$3,A316+24,A315))</f>
        <v/>
      </c>
      <c r="AQ315" s="209" t="str">
        <f aca="false">IF(A316="","",AP315-$E$1)</f>
        <v/>
      </c>
      <c r="AR315" s="185" t="n">
        <f aca="false">'ANR OK vs ML7'!AR315</f>
        <v>0.1</v>
      </c>
      <c r="AS315" s="213" t="str">
        <f aca="false">IF(A316="","",1/(1+CHOOSE(F$3,(AR316+($I$3/10000))/2,(AR315+($I$3/10000))/2))^(2*AQ315/365.25))</f>
        <v/>
      </c>
      <c r="AT315" s="137" t="str">
        <f aca="false">IF(A316="","",IF(AND(mthbeg&lt;=A315,mthend&gt;=A315),1,0))</f>
        <v/>
      </c>
      <c r="AU315" s="137" t="str">
        <f aca="false">IF(A316="","",AO315*AT315)</f>
        <v/>
      </c>
      <c r="AW315" s="195" t="str">
        <f aca="false">IF($A316="","",AL315*$E315)</f>
        <v/>
      </c>
      <c r="AX315" s="195" t="str">
        <f aca="false">IF($A316="","",AM315*$E315)</f>
        <v/>
      </c>
      <c r="AY315" s="195" t="str">
        <f aca="false">IF($A316="","",AN315*$E315)</f>
        <v/>
      </c>
      <c r="BA315" s="195" t="str">
        <f aca="false">IF($A316="","",F315*Summary!$Q$14)</f>
        <v/>
      </c>
    </row>
    <row r="316" customFormat="false" ht="12" hidden="false" customHeight="true" outlineLevel="0" collapsed="false">
      <c r="A316" s="196" t="str">
        <f aca="false">IF(A315&lt;mthend,EDATE(A315,1),"")</f>
        <v/>
      </c>
      <c r="B316" s="197" t="str">
        <f aca="false">IF(A316&lt;mthend,B315,"")</f>
        <v/>
      </c>
      <c r="C316" s="215"/>
      <c r="D316" s="197" t="str">
        <f aca="false">IF(A317&lt;&gt;"",B316+C316,"")</f>
        <v/>
      </c>
      <c r="E316" s="199" t="str">
        <f aca="false">IF(A317="","",IF(AND(AT316=1,$H$3=1),D316*AO316,IF($H$3=2,D316,"N/A")))</f>
        <v/>
      </c>
      <c r="F316" s="199" t="str">
        <f aca="false">IF(A317="","",E316*AS316)</f>
        <v/>
      </c>
      <c r="G316" s="200" t="str">
        <f aca="false">IF($A317="","",VLOOKUP($A316,Table,MATCH(G$4,Curves,0)))</f>
        <v/>
      </c>
      <c r="H316" s="201" t="str">
        <f aca="false">IF(A317="","",G316)</f>
        <v/>
      </c>
      <c r="I316" s="202"/>
      <c r="J316" s="200" t="str">
        <f aca="false">IF($A317="","",VLOOKUP($A316,Table,MATCH(J$4,Curves,0)))</f>
        <v/>
      </c>
      <c r="K316" s="201" t="str">
        <f aca="false">IF(A317="","",J316)</f>
        <v/>
      </c>
      <c r="L316" s="185" t="n">
        <v>0</v>
      </c>
      <c r="M316" s="201" t="str">
        <f aca="false">IF(A317="","",L316)</f>
        <v/>
      </c>
      <c r="N316" s="203"/>
      <c r="O316" s="200" t="str">
        <f aca="false">IF(A317="","",L316+J316+G316)</f>
        <v/>
      </c>
      <c r="P316" s="200" t="str">
        <f aca="false">IF(A317="","",M316+K316+H316)</f>
        <v/>
      </c>
      <c r="Q316" s="204"/>
      <c r="R316" s="200" t="str">
        <f aca="false">IF($A317="","",VLOOKUP($A316,Table,MATCH(R$4,Curves,0)))</f>
        <v/>
      </c>
      <c r="S316" s="201" t="str">
        <f aca="false">IF(A317="","",R316)</f>
        <v/>
      </c>
      <c r="T316" s="200" t="str">
        <f aca="false">IF($A317="","",VLOOKUP($A316,Table,MATCH(T$4,Curves,0)))</f>
        <v/>
      </c>
      <c r="U316" s="201" t="str">
        <f aca="false">IF(A317="","",T316)</f>
        <v/>
      </c>
      <c r="V316" s="183" t="str">
        <f aca="false">IF($A317="","",IF(AND(MONTH(A316)&gt;3,MONTH(A316)&lt;11),(T316+R316+G316)*(((1/(1-Summary!$T$14))/(1-Summary!$W$14))-1),(T316+R316+G316)*((1/(1-Summary!$U$14))/(1-Summary!$X$14)-1)))</f>
        <v/>
      </c>
      <c r="W316" s="202" t="str">
        <f aca="false">IF($A317="","",(T316+R316+G316+V316))</f>
        <v/>
      </c>
      <c r="X316" s="202" t="str">
        <f aca="false">IF($A317="","",(U316+S316+H316+V316))</f>
        <v/>
      </c>
      <c r="Y316" s="202"/>
      <c r="Z316" s="185" t="str">
        <f aca="false">IF($A317="","",VLOOKUP($A316,Table,MATCH(Z$4,Curves,0)))</f>
        <v/>
      </c>
      <c r="AA316" s="185" t="str">
        <f aca="false">IF($A317="","",VLOOKUP($A316,Table,MATCH(AA$4,Curves,0)))</f>
        <v/>
      </c>
      <c r="AB316" s="185" t="e">
        <f aca="false">SQRT((AA316^2*(A316-$D$3)+Z316^2*(DAY(EOMONTH(A316,0))/2))/AK316)</f>
        <v>#VALUE!</v>
      </c>
      <c r="AC316" s="185" t="str">
        <f aca="false">IF($A317="","",VLOOKUP($A316,Table,MATCH(AC$4,Curves,0)))</f>
        <v/>
      </c>
      <c r="AD316" s="185" t="str">
        <f aca="false">IF($A317="","",VLOOKUP($A316,Table,MATCH(AD$4,Curves,0)))</f>
        <v/>
      </c>
      <c r="AE316" s="185" t="e">
        <f aca="false">SQRT((AD316^2*(A316-$D$3)+AC316^2*(DAY(EOMONTH(A316,0))/2))/AK316)</f>
        <v>#VALUE!</v>
      </c>
      <c r="AF316" s="224" t="e">
        <f aca="false">((Summary!$N$14*(AA316*AD316)*(A316-$D$3))+(Summary!$M$14*Z316*AC316*(AJ316-EOMONTH(EDATE(A316,-1),0))))/(AK316*AB316*AE316)</f>
        <v>#VALUE!</v>
      </c>
      <c r="AG316" s="207" t="str">
        <f aca="false">IF($A317="","",Summary!$Q$14)</f>
        <v/>
      </c>
      <c r="AH316" s="207" t="str">
        <f aca="false">IF($A317="","",IF(Summary!$R$12="Y",(VLOOKUP($A316,Summary!$AD$6:$AF$9,3)+'Escalating commodity'!J329),'Escalating commodity'!J329))</f>
        <v/>
      </c>
      <c r="AI316" s="207" t="str">
        <f aca="false">IF($A317="","",AH316)</f>
        <v/>
      </c>
      <c r="AJ316" s="208" t="e">
        <f aca="false">A316+DAY(EOMONTH(A316,0))/2-1</f>
        <v>#VALUE!</v>
      </c>
      <c r="AK316" s="209" t="str">
        <f aca="false">IF($A317="","",$A316-$E$1)</f>
        <v/>
      </c>
      <c r="AL316" s="182" t="str">
        <f aca="false">IF($A317="","",SPRDOPT(P316,X316,AI316,0,AB316,AE316,AF316,AK316,$AJ$2,0))</f>
        <v/>
      </c>
      <c r="AM316" s="211" t="str">
        <f aca="false">IF($A317="","",MAX(0,O316-W316-AI316))</f>
        <v/>
      </c>
      <c r="AN316" s="211" t="str">
        <f aca="false">IF($A317="","",AL316-AM316)</f>
        <v/>
      </c>
      <c r="AO316" s="137" t="str">
        <f aca="false">IF(A317="","",A317-A316)</f>
        <v/>
      </c>
      <c r="AP316" s="212" t="str">
        <f aca="false">IF(A317="","",CHOOSE(F$3,A317+24,A316))</f>
        <v/>
      </c>
      <c r="AQ316" s="209" t="str">
        <f aca="false">IF(A317="","",AP316-$E$1)</f>
        <v/>
      </c>
      <c r="AR316" s="185" t="n">
        <f aca="false">'ANR OK vs ML7'!AR316</f>
        <v>0.1</v>
      </c>
      <c r="AS316" s="213" t="str">
        <f aca="false">IF(A317="","",1/(1+CHOOSE(F$3,(AR317+($I$3/10000))/2,(AR316+($I$3/10000))/2))^(2*AQ316/365.25))</f>
        <v/>
      </c>
      <c r="AT316" s="137" t="str">
        <f aca="false">IF(A317="","",IF(AND(mthbeg&lt;=A316,mthend&gt;=A316),1,0))</f>
        <v/>
      </c>
      <c r="AU316" s="137" t="str">
        <f aca="false">IF(A317="","",AO316*AT316)</f>
        <v/>
      </c>
      <c r="AW316" s="195" t="str">
        <f aca="false">IF($A317="","",AL316*$E316)</f>
        <v/>
      </c>
      <c r="AX316" s="195" t="str">
        <f aca="false">IF($A317="","",AM316*$E316)</f>
        <v/>
      </c>
      <c r="AY316" s="195" t="str">
        <f aca="false">IF($A317="","",AN316*$E316)</f>
        <v/>
      </c>
      <c r="BA316" s="195" t="str">
        <f aca="false">IF($A317="","",F316*Summary!$Q$14)</f>
        <v/>
      </c>
    </row>
    <row r="317" customFormat="false" ht="12" hidden="false" customHeight="true" outlineLevel="0" collapsed="false">
      <c r="A317" s="196" t="str">
        <f aca="false">IF(A316&lt;mthend,EDATE(A316,1),"")</f>
        <v/>
      </c>
      <c r="B317" s="197" t="str">
        <f aca="false">IF(A317&lt;mthend,B316,"")</f>
        <v/>
      </c>
      <c r="C317" s="215"/>
      <c r="D317" s="197" t="str">
        <f aca="false">IF(A318&lt;&gt;"",B317+C317,"")</f>
        <v/>
      </c>
      <c r="E317" s="199" t="str">
        <f aca="false">IF(A318="","",IF(AND(AT317=1,$H$3=1),D317*AO317,IF($H$3=2,D317,"N/A")))</f>
        <v/>
      </c>
      <c r="F317" s="199" t="str">
        <f aca="false">IF(A318="","",E317*AS317)</f>
        <v/>
      </c>
      <c r="G317" s="200" t="str">
        <f aca="false">IF($A318="","",VLOOKUP($A317,Table,MATCH(G$4,Curves,0)))</f>
        <v/>
      </c>
      <c r="H317" s="201" t="str">
        <f aca="false">IF(A318="","",G317)</f>
        <v/>
      </c>
      <c r="I317" s="202"/>
      <c r="J317" s="200" t="str">
        <f aca="false">IF($A318="","",VLOOKUP($A317,Table,MATCH(J$4,Curves,0)))</f>
        <v/>
      </c>
      <c r="K317" s="201" t="str">
        <f aca="false">IF(A318="","",J317)</f>
        <v/>
      </c>
      <c r="L317" s="185" t="n">
        <v>0</v>
      </c>
      <c r="M317" s="201" t="str">
        <f aca="false">IF(A318="","",L317)</f>
        <v/>
      </c>
      <c r="N317" s="203"/>
      <c r="O317" s="200" t="str">
        <f aca="false">IF(A318="","",L317+J317+G317)</f>
        <v/>
      </c>
      <c r="P317" s="200" t="str">
        <f aca="false">IF(A318="","",M317+K317+H317)</f>
        <v/>
      </c>
      <c r="Q317" s="204"/>
      <c r="R317" s="200" t="str">
        <f aca="false">IF($A318="","",VLOOKUP($A317,Table,MATCH(R$4,Curves,0)))</f>
        <v/>
      </c>
      <c r="S317" s="201" t="str">
        <f aca="false">IF(A318="","",R317)</f>
        <v/>
      </c>
      <c r="T317" s="200" t="str">
        <f aca="false">IF($A318="","",VLOOKUP($A317,Table,MATCH(T$4,Curves,0)))</f>
        <v/>
      </c>
      <c r="U317" s="201" t="str">
        <f aca="false">IF(A318="","",T317)</f>
        <v/>
      </c>
      <c r="V317" s="183" t="str">
        <f aca="false">IF($A318="","",IF(AND(MONTH(A317)&gt;3,MONTH(A317)&lt;11),(T317+R317+G317)*(((1/(1-Summary!$T$14))/(1-Summary!$W$14))-1),(T317+R317+G317)*((1/(1-Summary!$U$14))/(1-Summary!$X$14)-1)))</f>
        <v/>
      </c>
      <c r="W317" s="202" t="str">
        <f aca="false">IF($A318="","",(T317+R317+G317+V317))</f>
        <v/>
      </c>
      <c r="X317" s="202" t="str">
        <f aca="false">IF($A318="","",(U317+S317+H317+V317))</f>
        <v/>
      </c>
      <c r="Y317" s="202"/>
      <c r="Z317" s="185" t="str">
        <f aca="false">IF($A318="","",VLOOKUP($A317,Table,MATCH(Z$4,Curves,0)))</f>
        <v/>
      </c>
      <c r="AA317" s="185" t="str">
        <f aca="false">IF($A318="","",VLOOKUP($A317,Table,MATCH(AA$4,Curves,0)))</f>
        <v/>
      </c>
      <c r="AB317" s="185" t="e">
        <f aca="false">SQRT((AA317^2*(A317-$D$3)+Z317^2*(DAY(EOMONTH(A317,0))/2))/AK317)</f>
        <v>#VALUE!</v>
      </c>
      <c r="AC317" s="185" t="str">
        <f aca="false">IF($A318="","",VLOOKUP($A317,Table,MATCH(AC$4,Curves,0)))</f>
        <v/>
      </c>
      <c r="AD317" s="185" t="str">
        <f aca="false">IF($A318="","",VLOOKUP($A317,Table,MATCH(AD$4,Curves,0)))</f>
        <v/>
      </c>
      <c r="AE317" s="185" t="e">
        <f aca="false">SQRT((AD317^2*(A317-$D$3)+AC317^2*(DAY(EOMONTH(A317,0))/2))/AK317)</f>
        <v>#VALUE!</v>
      </c>
      <c r="AF317" s="224" t="e">
        <f aca="false">((Summary!$N$14*(AA317*AD317)*(A317-$D$3))+(Summary!$M$14*Z317*AC317*(AJ317-EOMONTH(EDATE(A317,-1),0))))/(AK317*AB317*AE317)</f>
        <v>#VALUE!</v>
      </c>
      <c r="AG317" s="207" t="str">
        <f aca="false">IF($A318="","",Summary!$Q$14)</f>
        <v/>
      </c>
      <c r="AH317" s="207" t="str">
        <f aca="false">IF($A318="","",IF(Summary!$R$12="Y",(VLOOKUP($A317,Summary!$AD$6:$AF$9,3)+'Escalating commodity'!J330),'Escalating commodity'!J330))</f>
        <v/>
      </c>
      <c r="AI317" s="207" t="str">
        <f aca="false">IF($A318="","",AH317)</f>
        <v/>
      </c>
      <c r="AJ317" s="208" t="e">
        <f aca="false">A317+DAY(EOMONTH(A317,0))/2-1</f>
        <v>#VALUE!</v>
      </c>
      <c r="AK317" s="209" t="str">
        <f aca="false">IF($A318="","",$A317-$E$1)</f>
        <v/>
      </c>
      <c r="AL317" s="182" t="str">
        <f aca="false">IF($A318="","",SPRDOPT(P317,X317,AI317,0,AB317,AE317,AF317,AK317,$AJ$2,0))</f>
        <v/>
      </c>
      <c r="AM317" s="211" t="str">
        <f aca="false">IF($A318="","",MAX(0,O317-W317-AI317))</f>
        <v/>
      </c>
      <c r="AN317" s="211" t="str">
        <f aca="false">IF($A318="","",AL317-AM317)</f>
        <v/>
      </c>
      <c r="AO317" s="137" t="str">
        <f aca="false">IF(A318="","",A318-A317)</f>
        <v/>
      </c>
      <c r="AP317" s="212" t="str">
        <f aca="false">IF(A318="","",CHOOSE(F$3,A318+24,A317))</f>
        <v/>
      </c>
      <c r="AQ317" s="209" t="str">
        <f aca="false">IF(A318="","",AP317-$E$1)</f>
        <v/>
      </c>
      <c r="AR317" s="185" t="n">
        <f aca="false">'ANR OK vs ML7'!AR317</f>
        <v>0.1</v>
      </c>
      <c r="AS317" s="213" t="str">
        <f aca="false">IF(A318="","",1/(1+CHOOSE(F$3,(AR318+($I$3/10000))/2,(AR317+($I$3/10000))/2))^(2*AQ317/365.25))</f>
        <v/>
      </c>
      <c r="AT317" s="137" t="str">
        <f aca="false">IF(A318="","",IF(AND(mthbeg&lt;=A317,mthend&gt;=A317),1,0))</f>
        <v/>
      </c>
      <c r="AU317" s="137" t="str">
        <f aca="false">IF(A318="","",AO317*AT317)</f>
        <v/>
      </c>
      <c r="AW317" s="195" t="str">
        <f aca="false">IF($A318="","",AL317*$E317)</f>
        <v/>
      </c>
      <c r="AX317" s="195" t="str">
        <f aca="false">IF($A318="","",AM317*$E317)</f>
        <v/>
      </c>
      <c r="AY317" s="195" t="str">
        <f aca="false">IF($A318="","",AN317*$E317)</f>
        <v/>
      </c>
      <c r="BA317" s="195" t="str">
        <f aca="false">IF($A318="","",F317*Summary!$Q$14)</f>
        <v/>
      </c>
    </row>
    <row r="318" customFormat="false" ht="12" hidden="false" customHeight="true" outlineLevel="0" collapsed="false">
      <c r="A318" s="196" t="str">
        <f aca="false">IF(A317&lt;mthend,EDATE(A317,1),"")</f>
        <v/>
      </c>
      <c r="B318" s="197" t="str">
        <f aca="false">IF(A318&lt;mthend,B317,"")</f>
        <v/>
      </c>
      <c r="C318" s="215"/>
      <c r="D318" s="197" t="str">
        <f aca="false">IF(A319&lt;&gt;"",B318+C318,"")</f>
        <v/>
      </c>
      <c r="E318" s="199" t="str">
        <f aca="false">IF(A319="","",IF(AND(AT318=1,$H$3=1),D318*AO318,IF($H$3=2,D318,"N/A")))</f>
        <v/>
      </c>
      <c r="F318" s="199" t="str">
        <f aca="false">IF(A319="","",E318*AS318)</f>
        <v/>
      </c>
      <c r="G318" s="200" t="str">
        <f aca="false">IF($A319="","",VLOOKUP($A318,Table,MATCH(G$4,Curves,0)))</f>
        <v/>
      </c>
      <c r="H318" s="201" t="str">
        <f aca="false">IF(A319="","",G318)</f>
        <v/>
      </c>
      <c r="I318" s="202"/>
      <c r="J318" s="200" t="str">
        <f aca="false">IF($A319="","",VLOOKUP($A318,Table,MATCH(J$4,Curves,0)))</f>
        <v/>
      </c>
      <c r="K318" s="201" t="str">
        <f aca="false">IF(A319="","",J318)</f>
        <v/>
      </c>
      <c r="L318" s="185" t="n">
        <v>0</v>
      </c>
      <c r="M318" s="201" t="str">
        <f aca="false">IF(A319="","",L318)</f>
        <v/>
      </c>
      <c r="N318" s="203"/>
      <c r="O318" s="200" t="str">
        <f aca="false">IF(A319="","",L318+J318+G318)</f>
        <v/>
      </c>
      <c r="P318" s="200" t="str">
        <f aca="false">IF(A319="","",M318+K318+H318)</f>
        <v/>
      </c>
      <c r="Q318" s="204"/>
      <c r="R318" s="200" t="str">
        <f aca="false">IF($A319="","",VLOOKUP($A318,Table,MATCH(R$4,Curves,0)))</f>
        <v/>
      </c>
      <c r="S318" s="201" t="str">
        <f aca="false">IF(A319="","",R318)</f>
        <v/>
      </c>
      <c r="T318" s="200" t="str">
        <f aca="false">IF($A319="","",VLOOKUP($A318,Table,MATCH(T$4,Curves,0)))</f>
        <v/>
      </c>
      <c r="U318" s="201" t="str">
        <f aca="false">IF(A319="","",T318)</f>
        <v/>
      </c>
      <c r="V318" s="183" t="str">
        <f aca="false">IF($A319="","",IF(AND(MONTH(A318)&gt;3,MONTH(A318)&lt;11),(T318+R318+G318)*(((1/(1-Summary!$T$14))/(1-Summary!$W$14))-1),(T318+R318+G318)*((1/(1-Summary!$U$14))/(1-Summary!$X$14)-1)))</f>
        <v/>
      </c>
      <c r="W318" s="202" t="str">
        <f aca="false">IF($A319="","",(T318+R318+G318+V318))</f>
        <v/>
      </c>
      <c r="X318" s="202" t="str">
        <f aca="false">IF($A319="","",(U318+S318+H318+V318))</f>
        <v/>
      </c>
      <c r="Y318" s="202"/>
      <c r="Z318" s="185" t="str">
        <f aca="false">IF($A319="","",VLOOKUP($A318,Table,MATCH(Z$4,Curves,0)))</f>
        <v/>
      </c>
      <c r="AA318" s="185" t="str">
        <f aca="false">IF($A319="","",VLOOKUP($A318,Table,MATCH(AA$4,Curves,0)))</f>
        <v/>
      </c>
      <c r="AB318" s="185" t="e">
        <f aca="false">SQRT((AA318^2*(A318-$D$3)+Z318^2*(DAY(EOMONTH(A318,0))/2))/AK318)</f>
        <v>#VALUE!</v>
      </c>
      <c r="AC318" s="185" t="str">
        <f aca="false">IF($A319="","",VLOOKUP($A318,Table,MATCH(AC$4,Curves,0)))</f>
        <v/>
      </c>
      <c r="AD318" s="185" t="str">
        <f aca="false">IF($A319="","",VLOOKUP($A318,Table,MATCH(AD$4,Curves,0)))</f>
        <v/>
      </c>
      <c r="AE318" s="185" t="e">
        <f aca="false">SQRT((AD318^2*(A318-$D$3)+AC318^2*(DAY(EOMONTH(A318,0))/2))/AK318)</f>
        <v>#VALUE!</v>
      </c>
      <c r="AF318" s="224" t="e">
        <f aca="false">((Summary!$N$14*(AA318*AD318)*(A318-$D$3))+(Summary!$M$14*Z318*AC318*(AJ318-EOMONTH(EDATE(A318,-1),0))))/(AK318*AB318*AE318)</f>
        <v>#VALUE!</v>
      </c>
      <c r="AG318" s="207" t="str">
        <f aca="false">IF($A319="","",Summary!$Q$14)</f>
        <v/>
      </c>
      <c r="AH318" s="207" t="str">
        <f aca="false">IF($A319="","",IF(Summary!$R$12="Y",(VLOOKUP($A318,Summary!$AD$6:$AF$9,3)+'Escalating commodity'!J331),'Escalating commodity'!J331))</f>
        <v/>
      </c>
      <c r="AI318" s="207" t="str">
        <f aca="false">IF($A319="","",AH318)</f>
        <v/>
      </c>
      <c r="AJ318" s="208" t="e">
        <f aca="false">A318+DAY(EOMONTH(A318,0))/2-1</f>
        <v>#VALUE!</v>
      </c>
      <c r="AK318" s="209" t="str">
        <f aca="false">IF($A319="","",$A318-$E$1)</f>
        <v/>
      </c>
      <c r="AL318" s="182" t="str">
        <f aca="false">IF($A319="","",SPRDOPT(P318,X318,AI318,0,AB318,AE318,AF318,AK318,$AJ$2,0))</f>
        <v/>
      </c>
      <c r="AM318" s="211" t="str">
        <f aca="false">IF($A319="","",MAX(0,O318-W318-AI318))</f>
        <v/>
      </c>
      <c r="AN318" s="211" t="str">
        <f aca="false">IF($A319="","",AL318-AM318)</f>
        <v/>
      </c>
      <c r="AO318" s="137" t="str">
        <f aca="false">IF(A319="","",A319-A318)</f>
        <v/>
      </c>
      <c r="AP318" s="212" t="str">
        <f aca="false">IF(A319="","",CHOOSE(F$3,A319+24,A318))</f>
        <v/>
      </c>
      <c r="AQ318" s="209" t="str">
        <f aca="false">IF(A319="","",AP318-$E$1)</f>
        <v/>
      </c>
      <c r="AR318" s="185" t="n">
        <f aca="false">'ANR OK vs ML7'!AR318</f>
        <v>0.1</v>
      </c>
      <c r="AS318" s="213" t="str">
        <f aca="false">IF(A319="","",1/(1+CHOOSE(F$3,(AR319+($I$3/10000))/2,(AR318+($I$3/10000))/2))^(2*AQ318/365.25))</f>
        <v/>
      </c>
      <c r="AT318" s="137" t="str">
        <f aca="false">IF(A319="","",IF(AND(mthbeg&lt;=A318,mthend&gt;=A318),1,0))</f>
        <v/>
      </c>
      <c r="AU318" s="137" t="str">
        <f aca="false">IF(A319="","",AO318*AT318)</f>
        <v/>
      </c>
      <c r="AW318" s="195" t="str">
        <f aca="false">IF($A319="","",AL318*$E318)</f>
        <v/>
      </c>
      <c r="AX318" s="195" t="str">
        <f aca="false">IF($A319="","",AM318*$E318)</f>
        <v/>
      </c>
      <c r="AY318" s="195" t="str">
        <f aca="false">IF($A319="","",AN318*$E318)</f>
        <v/>
      </c>
      <c r="BA318" s="195" t="str">
        <f aca="false">IF($A319="","",F318*Summary!$Q$14)</f>
        <v/>
      </c>
    </row>
    <row r="319" customFormat="false" ht="12" hidden="false" customHeight="true" outlineLevel="0" collapsed="false">
      <c r="A319" s="196" t="str">
        <f aca="false">IF(A318&lt;mthend,EDATE(A318,1),"")</f>
        <v/>
      </c>
      <c r="B319" s="197" t="str">
        <f aca="false">IF(A319&lt;mthend,B318,"")</f>
        <v/>
      </c>
      <c r="C319" s="215"/>
      <c r="D319" s="197" t="str">
        <f aca="false">IF(A320&lt;&gt;"",B319+C319,"")</f>
        <v/>
      </c>
      <c r="E319" s="199" t="str">
        <f aca="false">IF(A320="","",IF(AND(AT319=1,$H$3=1),D319*AO319,IF($H$3=2,D319,"N/A")))</f>
        <v/>
      </c>
      <c r="F319" s="199" t="str">
        <f aca="false">IF(A320="","",E319*AS319)</f>
        <v/>
      </c>
      <c r="G319" s="200" t="str">
        <f aca="false">IF($A320="","",VLOOKUP($A319,Table,MATCH(G$4,Curves,0)))</f>
        <v/>
      </c>
      <c r="H319" s="201" t="str">
        <f aca="false">IF(A320="","",G319)</f>
        <v/>
      </c>
      <c r="I319" s="202"/>
      <c r="J319" s="200" t="str">
        <f aca="false">IF($A320="","",VLOOKUP($A319,Table,MATCH(J$4,Curves,0)))</f>
        <v/>
      </c>
      <c r="K319" s="201" t="str">
        <f aca="false">IF(A320="","",J319)</f>
        <v/>
      </c>
      <c r="L319" s="185" t="n">
        <v>0</v>
      </c>
      <c r="M319" s="201" t="str">
        <f aca="false">IF(A320="","",L319)</f>
        <v/>
      </c>
      <c r="N319" s="203"/>
      <c r="O319" s="200" t="str">
        <f aca="false">IF(A320="","",L319+J319+G319)</f>
        <v/>
      </c>
      <c r="P319" s="200" t="str">
        <f aca="false">IF(A320="","",M319+K319+H319)</f>
        <v/>
      </c>
      <c r="Q319" s="204"/>
      <c r="R319" s="200" t="str">
        <f aca="false">IF($A320="","",VLOOKUP($A319,Table,MATCH(R$4,Curves,0)))</f>
        <v/>
      </c>
      <c r="S319" s="201" t="str">
        <f aca="false">IF(A320="","",R319)</f>
        <v/>
      </c>
      <c r="T319" s="200" t="str">
        <f aca="false">IF($A320="","",VLOOKUP($A319,Table,MATCH(T$4,Curves,0)))</f>
        <v/>
      </c>
      <c r="U319" s="201" t="str">
        <f aca="false">IF(A320="","",T319)</f>
        <v/>
      </c>
      <c r="V319" s="183" t="str">
        <f aca="false">IF($A320="","",IF(AND(MONTH(A319)&gt;3,MONTH(A319)&lt;11),(T319+R319+G319)*(((1/(1-Summary!$T$14))/(1-Summary!$W$14))-1),(T319+R319+G319)*((1/(1-Summary!$U$14))/(1-Summary!$X$14)-1)))</f>
        <v/>
      </c>
      <c r="W319" s="202" t="str">
        <f aca="false">IF($A320="","",(T319+R319+G319+V319))</f>
        <v/>
      </c>
      <c r="X319" s="202" t="str">
        <f aca="false">IF($A320="","",(U319+S319+H319+V319))</f>
        <v/>
      </c>
      <c r="Y319" s="202"/>
      <c r="Z319" s="185" t="str">
        <f aca="false">IF($A320="","",VLOOKUP($A319,Table,MATCH(Z$4,Curves,0)))</f>
        <v/>
      </c>
      <c r="AA319" s="185" t="str">
        <f aca="false">IF($A320="","",VLOOKUP($A319,Table,MATCH(AA$4,Curves,0)))</f>
        <v/>
      </c>
      <c r="AB319" s="185" t="e">
        <f aca="false">SQRT((AA319^2*(A319-$D$3)+Z319^2*(DAY(EOMONTH(A319,0))/2))/AK319)</f>
        <v>#VALUE!</v>
      </c>
      <c r="AC319" s="185" t="str">
        <f aca="false">IF($A320="","",VLOOKUP($A319,Table,MATCH(AC$4,Curves,0)))</f>
        <v/>
      </c>
      <c r="AD319" s="185" t="str">
        <f aca="false">IF($A320="","",VLOOKUP($A319,Table,MATCH(AD$4,Curves,0)))</f>
        <v/>
      </c>
      <c r="AE319" s="185" t="e">
        <f aca="false">SQRT((AD319^2*(A319-$D$3)+AC319^2*(DAY(EOMONTH(A319,0))/2))/AK319)</f>
        <v>#VALUE!</v>
      </c>
      <c r="AF319" s="224" t="e">
        <f aca="false">((Summary!$N$14*(AA319*AD319)*(A319-$D$3))+(Summary!$M$14*Z319*AC319*(AJ319-EOMONTH(EDATE(A319,-1),0))))/(AK319*AB319*AE319)</f>
        <v>#VALUE!</v>
      </c>
      <c r="AG319" s="207" t="str">
        <f aca="false">IF($A320="","",Summary!$Q$14)</f>
        <v/>
      </c>
      <c r="AH319" s="207" t="str">
        <f aca="false">IF($A320="","",IF(Summary!$R$12="Y",(VLOOKUP($A319,Summary!$AD$6:$AF$9,3)+'Escalating commodity'!J332),'Escalating commodity'!J332))</f>
        <v/>
      </c>
      <c r="AI319" s="207" t="str">
        <f aca="false">IF($A320="","",AH319)</f>
        <v/>
      </c>
      <c r="AJ319" s="208" t="e">
        <f aca="false">A319+DAY(EOMONTH(A319,0))/2-1</f>
        <v>#VALUE!</v>
      </c>
      <c r="AK319" s="209" t="str">
        <f aca="false">IF($A320="","",$A319-$E$1)</f>
        <v/>
      </c>
      <c r="AL319" s="182" t="str">
        <f aca="false">IF($A320="","",SPRDOPT(P319,X319,AI319,0,AB319,AE319,AF319,AK319,$AJ$2,0))</f>
        <v/>
      </c>
      <c r="AM319" s="211" t="str">
        <f aca="false">IF($A320="","",MAX(0,O319-W319-AI319))</f>
        <v/>
      </c>
      <c r="AN319" s="211" t="str">
        <f aca="false">IF($A320="","",AL319-AM319)</f>
        <v/>
      </c>
      <c r="AO319" s="137" t="str">
        <f aca="false">IF(A320="","",A320-A319)</f>
        <v/>
      </c>
      <c r="AP319" s="212" t="str">
        <f aca="false">IF(A320="","",CHOOSE(F$3,A320+24,A319))</f>
        <v/>
      </c>
      <c r="AQ319" s="209" t="str">
        <f aca="false">IF(A320="","",AP319-$E$1)</f>
        <v/>
      </c>
      <c r="AR319" s="185" t="n">
        <f aca="false">'ANR OK vs ML7'!AR319</f>
        <v>0.1</v>
      </c>
      <c r="AS319" s="213" t="str">
        <f aca="false">IF(A320="","",1/(1+CHOOSE(F$3,(AR320+($I$3/10000))/2,(AR319+($I$3/10000))/2))^(2*AQ319/365.25))</f>
        <v/>
      </c>
      <c r="AT319" s="137" t="str">
        <f aca="false">IF(A320="","",IF(AND(mthbeg&lt;=A319,mthend&gt;=A319),1,0))</f>
        <v/>
      </c>
      <c r="AU319" s="137" t="str">
        <f aca="false">IF(A320="","",AO319*AT319)</f>
        <v/>
      </c>
      <c r="AW319" s="195" t="str">
        <f aca="false">IF($A320="","",AL319*$E319)</f>
        <v/>
      </c>
      <c r="AX319" s="195" t="str">
        <f aca="false">IF($A320="","",AM319*$E319)</f>
        <v/>
      </c>
      <c r="AY319" s="195" t="str">
        <f aca="false">IF($A320="","",AN319*$E319)</f>
        <v/>
      </c>
      <c r="BA319" s="195" t="str">
        <f aca="false">IF($A320="","",F319*Summary!$Q$14)</f>
        <v/>
      </c>
    </row>
    <row r="320" customFormat="false" ht="12" hidden="false" customHeight="true" outlineLevel="0" collapsed="false">
      <c r="A320" s="196" t="str">
        <f aca="false">IF(A319&lt;mthend,EDATE(A319,1),"")</f>
        <v/>
      </c>
      <c r="B320" s="197" t="str">
        <f aca="false">IF(A320&lt;mthend,B319,"")</f>
        <v/>
      </c>
      <c r="C320" s="215"/>
      <c r="D320" s="197" t="str">
        <f aca="false">IF(A321&lt;&gt;"",B320+C320,"")</f>
        <v/>
      </c>
      <c r="E320" s="199" t="str">
        <f aca="false">IF(A321="","",IF(AND(AT320=1,$H$3=1),D320*AO320,IF($H$3=2,D320,"N/A")))</f>
        <v/>
      </c>
      <c r="F320" s="199" t="str">
        <f aca="false">IF(A321="","",E320*AS320)</f>
        <v/>
      </c>
      <c r="G320" s="200" t="str">
        <f aca="false">IF($A321="","",VLOOKUP($A320,Table,MATCH(G$4,Curves,0)))</f>
        <v/>
      </c>
      <c r="H320" s="201" t="str">
        <f aca="false">IF(A321="","",G320)</f>
        <v/>
      </c>
      <c r="I320" s="202"/>
      <c r="J320" s="200" t="str">
        <f aca="false">IF($A321="","",VLOOKUP($A320,Table,MATCH(J$4,Curves,0)))</f>
        <v/>
      </c>
      <c r="K320" s="201" t="str">
        <f aca="false">IF(A321="","",J320)</f>
        <v/>
      </c>
      <c r="L320" s="185" t="n">
        <v>0</v>
      </c>
      <c r="M320" s="201" t="str">
        <f aca="false">IF(A321="","",L320)</f>
        <v/>
      </c>
      <c r="N320" s="203"/>
      <c r="O320" s="200" t="str">
        <f aca="false">IF(A321="","",L320+J320+G320)</f>
        <v/>
      </c>
      <c r="P320" s="200" t="str">
        <f aca="false">IF(A321="","",M320+K320+H320)</f>
        <v/>
      </c>
      <c r="Q320" s="204"/>
      <c r="R320" s="200" t="str">
        <f aca="false">IF($A321="","",VLOOKUP($A320,Table,MATCH(R$4,Curves,0)))</f>
        <v/>
      </c>
      <c r="S320" s="201" t="str">
        <f aca="false">IF(A321="","",R320)</f>
        <v/>
      </c>
      <c r="T320" s="200" t="str">
        <f aca="false">IF($A321="","",VLOOKUP($A320,Table,MATCH(T$4,Curves,0)))</f>
        <v/>
      </c>
      <c r="U320" s="201" t="str">
        <f aca="false">IF(A321="","",T320)</f>
        <v/>
      </c>
      <c r="V320" s="183" t="str">
        <f aca="false">IF($A321="","",IF(AND(MONTH(A320)&gt;3,MONTH(A320)&lt;11),(T320+R320+G320)*(((1/(1-Summary!$T$14))/(1-Summary!$W$14))-1),(T320+R320+G320)*((1/(1-Summary!$U$14))/(1-Summary!$X$14)-1)))</f>
        <v/>
      </c>
      <c r="W320" s="202" t="str">
        <f aca="false">IF($A321="","",(T320+R320+G320+V320))</f>
        <v/>
      </c>
      <c r="X320" s="202" t="str">
        <f aca="false">IF($A321="","",(U320+S320+H320+V320))</f>
        <v/>
      </c>
      <c r="Y320" s="202"/>
      <c r="Z320" s="185" t="str">
        <f aca="false">IF($A321="","",VLOOKUP($A320,Table,MATCH(Z$4,Curves,0)))</f>
        <v/>
      </c>
      <c r="AA320" s="185" t="str">
        <f aca="false">IF($A321="","",VLOOKUP($A320,Table,MATCH(AA$4,Curves,0)))</f>
        <v/>
      </c>
      <c r="AB320" s="185" t="e">
        <f aca="false">SQRT((AA320^2*(A320-$D$3)+Z320^2*(DAY(EOMONTH(A320,0))/2))/AK320)</f>
        <v>#VALUE!</v>
      </c>
      <c r="AC320" s="185" t="str">
        <f aca="false">IF($A321="","",VLOOKUP($A320,Table,MATCH(AC$4,Curves,0)))</f>
        <v/>
      </c>
      <c r="AD320" s="185" t="str">
        <f aca="false">IF($A321="","",VLOOKUP($A320,Table,MATCH(AD$4,Curves,0)))</f>
        <v/>
      </c>
      <c r="AE320" s="185" t="e">
        <f aca="false">SQRT((AD320^2*(A320-$D$3)+AC320^2*(DAY(EOMONTH(A320,0))/2))/AK320)</f>
        <v>#VALUE!</v>
      </c>
      <c r="AF320" s="224" t="e">
        <f aca="false">((Summary!$N$14*(AA320*AD320)*(A320-$D$3))+(Summary!$M$14*Z320*AC320*(AJ320-EOMONTH(EDATE(A320,-1),0))))/(AK320*AB320*AE320)</f>
        <v>#VALUE!</v>
      </c>
      <c r="AG320" s="207" t="str">
        <f aca="false">IF($A321="","",Summary!$Q$14)</f>
        <v/>
      </c>
      <c r="AH320" s="207" t="str">
        <f aca="false">IF($A321="","",IF(Summary!$R$12="Y",(VLOOKUP($A320,Summary!$AD$6:$AF$9,3)+'Escalating commodity'!J333),'Escalating commodity'!J333))</f>
        <v/>
      </c>
      <c r="AI320" s="207" t="str">
        <f aca="false">IF($A321="","",AH320)</f>
        <v/>
      </c>
      <c r="AJ320" s="208" t="e">
        <f aca="false">A320+DAY(EOMONTH(A320,0))/2-1</f>
        <v>#VALUE!</v>
      </c>
      <c r="AK320" s="209" t="str">
        <f aca="false">IF($A321="","",$A320-$E$1)</f>
        <v/>
      </c>
      <c r="AL320" s="182" t="str">
        <f aca="false">IF($A321="","",SPRDOPT(P320,X320,AI320,0,AB320,AE320,AF320,AK320,$AJ$2,0))</f>
        <v/>
      </c>
      <c r="AM320" s="211" t="str">
        <f aca="false">IF($A321="","",MAX(0,O320-W320-AI320))</f>
        <v/>
      </c>
      <c r="AN320" s="211" t="str">
        <f aca="false">IF($A321="","",AL320-AM320)</f>
        <v/>
      </c>
      <c r="AO320" s="137" t="str">
        <f aca="false">IF(A321="","",A321-A320)</f>
        <v/>
      </c>
      <c r="AP320" s="212" t="str">
        <f aca="false">IF(A321="","",CHOOSE(F$3,A321+24,A320))</f>
        <v/>
      </c>
      <c r="AQ320" s="209" t="str">
        <f aca="false">IF(A321="","",AP320-$E$1)</f>
        <v/>
      </c>
      <c r="AR320" s="185" t="n">
        <f aca="false">'ANR OK vs ML7'!AR320</f>
        <v>0.1</v>
      </c>
      <c r="AS320" s="213" t="str">
        <f aca="false">IF(A321="","",1/(1+CHOOSE(F$3,(AR321+($I$3/10000))/2,(AR320+($I$3/10000))/2))^(2*AQ320/365.25))</f>
        <v/>
      </c>
      <c r="AT320" s="137" t="str">
        <f aca="false">IF(A321="","",IF(AND(mthbeg&lt;=A320,mthend&gt;=A320),1,0))</f>
        <v/>
      </c>
      <c r="AU320" s="137" t="str">
        <f aca="false">IF(A321="","",AO320*AT320)</f>
        <v/>
      </c>
      <c r="AW320" s="195" t="str">
        <f aca="false">IF($A321="","",AL320*$E320)</f>
        <v/>
      </c>
      <c r="AX320" s="195" t="str">
        <f aca="false">IF($A321="","",AM320*$E320)</f>
        <v/>
      </c>
      <c r="AY320" s="195" t="str">
        <f aca="false">IF($A321="","",AN320*$E320)</f>
        <v/>
      </c>
      <c r="BA320" s="195" t="str">
        <f aca="false">IF($A321="","",F320*Summary!$Q$14)</f>
        <v/>
      </c>
    </row>
    <row r="321" customFormat="false" ht="12" hidden="false" customHeight="true" outlineLevel="0" collapsed="false">
      <c r="A321" s="196" t="str">
        <f aca="false">IF(A320&lt;mthend,EDATE(A320,1),"")</f>
        <v/>
      </c>
      <c r="B321" s="197" t="str">
        <f aca="false">IF(A321&lt;mthend,B320,"")</f>
        <v/>
      </c>
      <c r="C321" s="215"/>
      <c r="D321" s="197" t="str">
        <f aca="false">IF(A322&lt;&gt;"",B321+C321,"")</f>
        <v/>
      </c>
      <c r="E321" s="199" t="str">
        <f aca="false">IF(A322="","",IF(AND(AT321=1,$H$3=1),D321*AO321,IF($H$3=2,D321,"N/A")))</f>
        <v/>
      </c>
      <c r="F321" s="199" t="str">
        <f aca="false">IF(A322="","",E321*AS321)</f>
        <v/>
      </c>
      <c r="G321" s="200" t="str">
        <f aca="false">IF($A322="","",VLOOKUP($A321,Table,MATCH(G$4,Curves,0)))</f>
        <v/>
      </c>
      <c r="H321" s="201" t="str">
        <f aca="false">IF(A322="","",G321)</f>
        <v/>
      </c>
      <c r="I321" s="202"/>
      <c r="J321" s="200" t="str">
        <f aca="false">IF($A322="","",VLOOKUP($A321,Table,MATCH(J$4,Curves,0)))</f>
        <v/>
      </c>
      <c r="K321" s="201" t="str">
        <f aca="false">IF(A322="","",J321)</f>
        <v/>
      </c>
      <c r="L321" s="185" t="n">
        <v>0</v>
      </c>
      <c r="M321" s="201" t="str">
        <f aca="false">IF(A322="","",L321)</f>
        <v/>
      </c>
      <c r="N321" s="203"/>
      <c r="O321" s="200" t="str">
        <f aca="false">IF(A322="","",L321+J321+G321)</f>
        <v/>
      </c>
      <c r="P321" s="200" t="str">
        <f aca="false">IF(A322="","",M321+K321+H321)</f>
        <v/>
      </c>
      <c r="Q321" s="204"/>
      <c r="R321" s="200" t="str">
        <f aca="false">IF($A322="","",VLOOKUP($A321,Table,MATCH(R$4,Curves,0)))</f>
        <v/>
      </c>
      <c r="S321" s="201" t="str">
        <f aca="false">IF(A322="","",R321)</f>
        <v/>
      </c>
      <c r="T321" s="200" t="str">
        <f aca="false">IF($A322="","",VLOOKUP($A321,Table,MATCH(T$4,Curves,0)))</f>
        <v/>
      </c>
      <c r="U321" s="201" t="str">
        <f aca="false">IF(A322="","",T321)</f>
        <v/>
      </c>
      <c r="V321" s="183" t="str">
        <f aca="false">IF($A322="","",IF(AND(MONTH(A321)&gt;3,MONTH(A321)&lt;11),(T321+R321+G321)*(((1/(1-Summary!$T$14))/(1-Summary!$W$14))-1),(T321+R321+G321)*((1/(1-Summary!$U$14))/(1-Summary!$X$14)-1)))</f>
        <v/>
      </c>
      <c r="W321" s="202" t="str">
        <f aca="false">IF($A322="","",(T321+R321+G321+V321))</f>
        <v/>
      </c>
      <c r="X321" s="202" t="str">
        <f aca="false">IF($A322="","",(U321+S321+H321+V321))</f>
        <v/>
      </c>
      <c r="Y321" s="202"/>
      <c r="Z321" s="185" t="str">
        <f aca="false">IF($A322="","",VLOOKUP($A321,Table,MATCH(Z$4,Curves,0)))</f>
        <v/>
      </c>
      <c r="AA321" s="185" t="str">
        <f aca="false">IF($A322="","",VLOOKUP($A321,Table,MATCH(AA$4,Curves,0)))</f>
        <v/>
      </c>
      <c r="AB321" s="185" t="e">
        <f aca="false">SQRT((AA321^2*(A321-$D$3)+Z321^2*(DAY(EOMONTH(A321,0))/2))/AK321)</f>
        <v>#VALUE!</v>
      </c>
      <c r="AC321" s="185" t="str">
        <f aca="false">IF($A322="","",VLOOKUP($A321,Table,MATCH(AC$4,Curves,0)))</f>
        <v/>
      </c>
      <c r="AD321" s="185" t="str">
        <f aca="false">IF($A322="","",VLOOKUP($A321,Table,MATCH(AD$4,Curves,0)))</f>
        <v/>
      </c>
      <c r="AE321" s="185" t="e">
        <f aca="false">SQRT((AD321^2*(A321-$D$3)+AC321^2*(DAY(EOMONTH(A321,0))/2))/AK321)</f>
        <v>#VALUE!</v>
      </c>
      <c r="AF321" s="224" t="e">
        <f aca="false">((Summary!$N$14*(AA321*AD321)*(A321-$D$3))+(Summary!$M$14*Z321*AC321*(AJ321-EOMONTH(EDATE(A321,-1),0))))/(AK321*AB321*AE321)</f>
        <v>#VALUE!</v>
      </c>
      <c r="AG321" s="207" t="str">
        <f aca="false">IF($A322="","",Summary!$Q$14)</f>
        <v/>
      </c>
      <c r="AH321" s="207" t="str">
        <f aca="false">IF($A322="","",IF(Summary!$R$12="Y",(VLOOKUP($A321,Summary!$AD$6:$AF$9,3)+'Escalating commodity'!J334),'Escalating commodity'!J334))</f>
        <v/>
      </c>
      <c r="AI321" s="207" t="str">
        <f aca="false">IF($A322="","",AH321)</f>
        <v/>
      </c>
      <c r="AJ321" s="208" t="e">
        <f aca="false">A321+DAY(EOMONTH(A321,0))/2-1</f>
        <v>#VALUE!</v>
      </c>
      <c r="AK321" s="209" t="str">
        <f aca="false">IF($A322="","",$A321-$E$1)</f>
        <v/>
      </c>
      <c r="AL321" s="182" t="str">
        <f aca="false">IF($A322="","",SPRDOPT(P321,X321,AI321,0,AB321,AE321,AF321,AK321,$AJ$2,0))</f>
        <v/>
      </c>
      <c r="AM321" s="211" t="str">
        <f aca="false">IF($A322="","",MAX(0,O321-W321-AI321))</f>
        <v/>
      </c>
      <c r="AN321" s="211" t="str">
        <f aca="false">IF($A322="","",AL321-AM321)</f>
        <v/>
      </c>
      <c r="AO321" s="137" t="str">
        <f aca="false">IF(A322="","",A322-A321)</f>
        <v/>
      </c>
      <c r="AP321" s="212" t="str">
        <f aca="false">IF(A322="","",CHOOSE(F$3,A322+24,A321))</f>
        <v/>
      </c>
      <c r="AQ321" s="209" t="str">
        <f aca="false">IF(A322="","",AP321-$E$1)</f>
        <v/>
      </c>
      <c r="AR321" s="185" t="n">
        <f aca="false">'ANR OK vs ML7'!AR321</f>
        <v>0.1</v>
      </c>
      <c r="AS321" s="213" t="str">
        <f aca="false">IF(A322="","",1/(1+CHOOSE(F$3,(AR322+($I$3/10000))/2,(AR321+($I$3/10000))/2))^(2*AQ321/365.25))</f>
        <v/>
      </c>
      <c r="AT321" s="137" t="str">
        <f aca="false">IF(A322="","",IF(AND(mthbeg&lt;=A321,mthend&gt;=A321),1,0))</f>
        <v/>
      </c>
      <c r="AU321" s="137" t="str">
        <f aca="false">IF(A322="","",AO321*AT321)</f>
        <v/>
      </c>
      <c r="AW321" s="195" t="str">
        <f aca="false">IF($A322="","",AL321*$E321)</f>
        <v/>
      </c>
      <c r="AX321" s="195" t="str">
        <f aca="false">IF($A322="","",AM321*$E321)</f>
        <v/>
      </c>
      <c r="AY321" s="195" t="str">
        <f aca="false">IF($A322="","",AN321*$E321)</f>
        <v/>
      </c>
      <c r="BA321" s="195" t="str">
        <f aca="false">IF($A322="","",F321*Summary!$Q$14)</f>
        <v/>
      </c>
    </row>
    <row r="322" customFormat="false" ht="12" hidden="false" customHeight="true" outlineLevel="0" collapsed="false">
      <c r="A322" s="196" t="str">
        <f aca="false">IF(A321&lt;mthend,EDATE(A321,1),"")</f>
        <v/>
      </c>
      <c r="B322" s="197" t="str">
        <f aca="false">IF(A322&lt;mthend,B321,"")</f>
        <v/>
      </c>
      <c r="C322" s="215"/>
      <c r="D322" s="197" t="str">
        <f aca="false">IF(A323&lt;&gt;"",B322+C322,"")</f>
        <v/>
      </c>
      <c r="E322" s="199" t="str">
        <f aca="false">IF(A323="","",IF(AND(AT322=1,$H$3=1),D322*AO322,IF($H$3=2,D322,"N/A")))</f>
        <v/>
      </c>
      <c r="F322" s="199" t="str">
        <f aca="false">IF(A323="","",E322*AS322)</f>
        <v/>
      </c>
      <c r="G322" s="200" t="str">
        <f aca="false">IF($A323="","",VLOOKUP($A322,Table,MATCH(G$4,Curves,0)))</f>
        <v/>
      </c>
      <c r="H322" s="201" t="str">
        <f aca="false">IF(A323="","",G322)</f>
        <v/>
      </c>
      <c r="I322" s="202"/>
      <c r="J322" s="200" t="str">
        <f aca="false">IF($A323="","",VLOOKUP($A322,Table,MATCH(J$4,Curves,0)))</f>
        <v/>
      </c>
      <c r="K322" s="201" t="str">
        <f aca="false">IF(A323="","",J322)</f>
        <v/>
      </c>
      <c r="L322" s="185" t="n">
        <v>0</v>
      </c>
      <c r="M322" s="201" t="str">
        <f aca="false">IF(A323="","",L322)</f>
        <v/>
      </c>
      <c r="N322" s="203"/>
      <c r="O322" s="200" t="str">
        <f aca="false">IF(A323="","",L322+J322+G322)</f>
        <v/>
      </c>
      <c r="P322" s="200" t="str">
        <f aca="false">IF(A323="","",M322+K322+H322)</f>
        <v/>
      </c>
      <c r="Q322" s="204"/>
      <c r="R322" s="200" t="str">
        <f aca="false">IF($A323="","",VLOOKUP($A322,Table,MATCH(R$4,Curves,0)))</f>
        <v/>
      </c>
      <c r="S322" s="201" t="str">
        <f aca="false">IF(A323="","",R322)</f>
        <v/>
      </c>
      <c r="T322" s="200" t="str">
        <f aca="false">IF($A323="","",VLOOKUP($A322,Table,MATCH(T$4,Curves,0)))</f>
        <v/>
      </c>
      <c r="U322" s="201" t="str">
        <f aca="false">IF(A323="","",T322)</f>
        <v/>
      </c>
      <c r="V322" s="183" t="str">
        <f aca="false">IF($A323="","",IF(AND(MONTH(A322)&gt;3,MONTH(A322)&lt;11),(T322+R322+G322)*(((1/(1-Summary!$T$14))/(1-Summary!$W$14))-1),(T322+R322+G322)*((1/(1-Summary!$U$14))/(1-Summary!$X$14)-1)))</f>
        <v/>
      </c>
      <c r="W322" s="202" t="str">
        <f aca="false">IF($A323="","",(T322+R322+G322+V322))</f>
        <v/>
      </c>
      <c r="X322" s="202" t="str">
        <f aca="false">IF($A323="","",(U322+S322+H322+V322))</f>
        <v/>
      </c>
      <c r="Y322" s="202"/>
      <c r="Z322" s="185" t="str">
        <f aca="false">IF($A323="","",VLOOKUP($A322,Table,MATCH(Z$4,Curves,0)))</f>
        <v/>
      </c>
      <c r="AA322" s="185" t="str">
        <f aca="false">IF($A323="","",VLOOKUP($A322,Table,MATCH(AA$4,Curves,0)))</f>
        <v/>
      </c>
      <c r="AB322" s="185" t="e">
        <f aca="false">SQRT((AA322^2*(A322-$D$3)+Z322^2*(DAY(EOMONTH(A322,0))/2))/AK322)</f>
        <v>#VALUE!</v>
      </c>
      <c r="AC322" s="185" t="str">
        <f aca="false">IF($A323="","",VLOOKUP($A322,Table,MATCH(AC$4,Curves,0)))</f>
        <v/>
      </c>
      <c r="AD322" s="185" t="str">
        <f aca="false">IF($A323="","",VLOOKUP($A322,Table,MATCH(AD$4,Curves,0)))</f>
        <v/>
      </c>
      <c r="AE322" s="185" t="e">
        <f aca="false">SQRT((AD322^2*(A322-$D$3)+AC322^2*(DAY(EOMONTH(A322,0))/2))/AK322)</f>
        <v>#VALUE!</v>
      </c>
      <c r="AF322" s="224" t="e">
        <f aca="false">((Summary!$N$14*(AA322*AD322)*(A322-$D$3))+(Summary!$M$14*Z322*AC322*(AJ322-EOMONTH(EDATE(A322,-1),0))))/(AK322*AB322*AE322)</f>
        <v>#VALUE!</v>
      </c>
      <c r="AG322" s="207" t="str">
        <f aca="false">IF($A323="","",Summary!$Q$14)</f>
        <v/>
      </c>
      <c r="AH322" s="207" t="str">
        <f aca="false">IF($A323="","",IF(Summary!$R$12="Y",(VLOOKUP($A322,Summary!$AD$6:$AF$9,3)+'Escalating commodity'!J335),'Escalating commodity'!J335))</f>
        <v/>
      </c>
      <c r="AI322" s="207" t="str">
        <f aca="false">IF($A323="","",AH322)</f>
        <v/>
      </c>
      <c r="AJ322" s="208" t="e">
        <f aca="false">A322+DAY(EOMONTH(A322,0))/2-1</f>
        <v>#VALUE!</v>
      </c>
      <c r="AK322" s="209" t="str">
        <f aca="false">IF($A323="","",$A322-$E$1)</f>
        <v/>
      </c>
      <c r="AL322" s="182" t="str">
        <f aca="false">IF($A323="","",SPRDOPT(P322,X322,AI322,0,AB322,AE322,AF322,AK322,$AJ$2,0))</f>
        <v/>
      </c>
      <c r="AM322" s="211" t="str">
        <f aca="false">IF($A323="","",MAX(0,O322-W322-AI322))</f>
        <v/>
      </c>
      <c r="AN322" s="211" t="str">
        <f aca="false">IF($A323="","",AL322-AM322)</f>
        <v/>
      </c>
      <c r="AO322" s="137" t="str">
        <f aca="false">IF(A323="","",A323-A322)</f>
        <v/>
      </c>
      <c r="AP322" s="212" t="str">
        <f aca="false">IF(A323="","",CHOOSE(F$3,A323+24,A322))</f>
        <v/>
      </c>
      <c r="AQ322" s="209" t="str">
        <f aca="false">IF(A323="","",AP322-$E$1)</f>
        <v/>
      </c>
      <c r="AR322" s="185" t="n">
        <f aca="false">'ANR OK vs ML7'!AR322</f>
        <v>0.1</v>
      </c>
      <c r="AS322" s="213" t="str">
        <f aca="false">IF(A323="","",1/(1+CHOOSE(F$3,(AR323+($I$3/10000))/2,(AR322+($I$3/10000))/2))^(2*AQ322/365.25))</f>
        <v/>
      </c>
      <c r="AT322" s="137" t="str">
        <f aca="false">IF(A323="","",IF(AND(mthbeg&lt;=A322,mthend&gt;=A322),1,0))</f>
        <v/>
      </c>
      <c r="AU322" s="137" t="str">
        <f aca="false">IF(A323="","",AO322*AT322)</f>
        <v/>
      </c>
      <c r="AW322" s="195" t="str">
        <f aca="false">IF($A323="","",AL322*$E322)</f>
        <v/>
      </c>
      <c r="AX322" s="195" t="str">
        <f aca="false">IF($A323="","",AM322*$E322)</f>
        <v/>
      </c>
      <c r="AY322" s="195" t="str">
        <f aca="false">IF($A323="","",AN322*$E322)</f>
        <v/>
      </c>
      <c r="BA322" s="195" t="str">
        <f aca="false">IF($A323="","",F322*Summary!$Q$14)</f>
        <v/>
      </c>
    </row>
    <row r="323" customFormat="false" ht="12" hidden="false" customHeight="true" outlineLevel="0" collapsed="false">
      <c r="A323" s="196" t="str">
        <f aca="false">IF(A322&lt;mthend,EDATE(A322,1),"")</f>
        <v/>
      </c>
      <c r="B323" s="197" t="str">
        <f aca="false">IF(A323&lt;mthend,B322,"")</f>
        <v/>
      </c>
      <c r="C323" s="215"/>
      <c r="D323" s="197" t="str">
        <f aca="false">IF(A324&lt;&gt;"",B323+C323,"")</f>
        <v/>
      </c>
      <c r="E323" s="199" t="str">
        <f aca="false">IF(A324="","",IF(AND(AT323=1,$H$3=1),D323*AO323,IF($H$3=2,D323,"N/A")))</f>
        <v/>
      </c>
      <c r="F323" s="199" t="str">
        <f aca="false">IF(A324="","",E323*AS323)</f>
        <v/>
      </c>
      <c r="G323" s="200" t="str">
        <f aca="false">IF($A324="","",VLOOKUP($A323,Table,MATCH(G$4,Curves,0)))</f>
        <v/>
      </c>
      <c r="H323" s="201" t="str">
        <f aca="false">IF(A324="","",G323)</f>
        <v/>
      </c>
      <c r="I323" s="202"/>
      <c r="J323" s="200" t="str">
        <f aca="false">IF($A324="","",VLOOKUP($A323,Table,MATCH(J$4,Curves,0)))</f>
        <v/>
      </c>
      <c r="K323" s="201" t="str">
        <f aca="false">IF(A324="","",J323)</f>
        <v/>
      </c>
      <c r="L323" s="185" t="n">
        <v>0</v>
      </c>
      <c r="M323" s="201" t="str">
        <f aca="false">IF(A324="","",L323)</f>
        <v/>
      </c>
      <c r="N323" s="203"/>
      <c r="O323" s="200" t="str">
        <f aca="false">IF(A324="","",L323+J323+G323)</f>
        <v/>
      </c>
      <c r="P323" s="200" t="str">
        <f aca="false">IF(A324="","",M323+K323+H323)</f>
        <v/>
      </c>
      <c r="Q323" s="204"/>
      <c r="R323" s="200" t="str">
        <f aca="false">IF($A324="","",VLOOKUP($A323,Table,MATCH(R$4,Curves,0)))</f>
        <v/>
      </c>
      <c r="S323" s="201" t="str">
        <f aca="false">IF(A324="","",R323)</f>
        <v/>
      </c>
      <c r="T323" s="200" t="str">
        <f aca="false">IF($A324="","",VLOOKUP($A323,Table,MATCH(T$4,Curves,0)))</f>
        <v/>
      </c>
      <c r="U323" s="201" t="str">
        <f aca="false">IF(A324="","",T323)</f>
        <v/>
      </c>
      <c r="V323" s="183" t="str">
        <f aca="false">IF($A324="","",IF(AND(MONTH(A323)&gt;3,MONTH(A323)&lt;11),(T323+R323+G323)*(((1/(1-Summary!$T$14))/(1-Summary!$W$14))-1),(T323+R323+G323)*((1/(1-Summary!$U$14))/(1-Summary!$X$14)-1)))</f>
        <v/>
      </c>
      <c r="W323" s="202" t="str">
        <f aca="false">IF($A324="","",(T323+R323+G323+V323))</f>
        <v/>
      </c>
      <c r="X323" s="202" t="str">
        <f aca="false">IF($A324="","",(U323+S323+H323+V323))</f>
        <v/>
      </c>
      <c r="Y323" s="202"/>
      <c r="Z323" s="185" t="str">
        <f aca="false">IF($A324="","",VLOOKUP($A323,Table,MATCH(Z$4,Curves,0)))</f>
        <v/>
      </c>
      <c r="AA323" s="185" t="str">
        <f aca="false">IF($A324="","",VLOOKUP($A323,Table,MATCH(AA$4,Curves,0)))</f>
        <v/>
      </c>
      <c r="AB323" s="185" t="e">
        <f aca="false">SQRT((AA323^2*(A323-$D$3)+Z323^2*(DAY(EOMONTH(A323,0))/2))/AK323)</f>
        <v>#VALUE!</v>
      </c>
      <c r="AC323" s="185" t="str">
        <f aca="false">IF($A324="","",VLOOKUP($A323,Table,MATCH(AC$4,Curves,0)))</f>
        <v/>
      </c>
      <c r="AD323" s="185" t="str">
        <f aca="false">IF($A324="","",VLOOKUP($A323,Table,MATCH(AD$4,Curves,0)))</f>
        <v/>
      </c>
      <c r="AE323" s="185" t="e">
        <f aca="false">SQRT((AD323^2*(A323-$D$3)+AC323^2*(DAY(EOMONTH(A323,0))/2))/AK323)</f>
        <v>#VALUE!</v>
      </c>
      <c r="AF323" s="224" t="e">
        <f aca="false">((Summary!$N$14*(AA323*AD323)*(A323-$D$3))+(Summary!$M$14*Z323*AC323*(AJ323-EOMONTH(EDATE(A323,-1),0))))/(AK323*AB323*AE323)</f>
        <v>#VALUE!</v>
      </c>
      <c r="AG323" s="207" t="str">
        <f aca="false">IF($A324="","",Summary!$Q$14)</f>
        <v/>
      </c>
      <c r="AH323" s="207" t="str">
        <f aca="false">IF($A324="","",IF(Summary!$R$12="Y",(VLOOKUP($A323,Summary!$AD$6:$AF$9,3)+'Escalating commodity'!J336),'Escalating commodity'!J336))</f>
        <v/>
      </c>
      <c r="AI323" s="207" t="str">
        <f aca="false">IF($A324="","",AH323)</f>
        <v/>
      </c>
      <c r="AJ323" s="208" t="e">
        <f aca="false">A323+DAY(EOMONTH(A323,0))/2-1</f>
        <v>#VALUE!</v>
      </c>
      <c r="AK323" s="209" t="str">
        <f aca="false">IF($A324="","",$A323-$E$1)</f>
        <v/>
      </c>
      <c r="AL323" s="182" t="str">
        <f aca="false">IF($A324="","",SPRDOPT(P323,X323,AI323,0,AB323,AE323,AF323,AK323,$AJ$2,0))</f>
        <v/>
      </c>
      <c r="AM323" s="211" t="str">
        <f aca="false">IF($A324="","",MAX(0,O323-W323-AI323))</f>
        <v/>
      </c>
      <c r="AN323" s="211" t="str">
        <f aca="false">IF($A324="","",AL323-AM323)</f>
        <v/>
      </c>
      <c r="AO323" s="137" t="str">
        <f aca="false">IF(A324="","",A324-A323)</f>
        <v/>
      </c>
      <c r="AP323" s="212" t="str">
        <f aca="false">IF(A324="","",CHOOSE(F$3,A324+24,A323))</f>
        <v/>
      </c>
      <c r="AQ323" s="209" t="str">
        <f aca="false">IF(A324="","",AP323-$E$1)</f>
        <v/>
      </c>
      <c r="AR323" s="185" t="n">
        <f aca="false">'ANR OK vs ML7'!AR323</f>
        <v>0.1</v>
      </c>
      <c r="AS323" s="213" t="str">
        <f aca="false">IF(A324="","",1/(1+CHOOSE(F$3,(AR324+($I$3/10000))/2,(AR323+($I$3/10000))/2))^(2*AQ323/365.25))</f>
        <v/>
      </c>
      <c r="AT323" s="137" t="str">
        <f aca="false">IF(A324="","",IF(AND(mthbeg&lt;=A323,mthend&gt;=A323),1,0))</f>
        <v/>
      </c>
      <c r="AU323" s="137" t="str">
        <f aca="false">IF(A324="","",AO323*AT323)</f>
        <v/>
      </c>
      <c r="AW323" s="195" t="str">
        <f aca="false">IF($A324="","",AL323*$E323)</f>
        <v/>
      </c>
      <c r="AX323" s="195" t="str">
        <f aca="false">IF($A324="","",AM323*$E323)</f>
        <v/>
      </c>
      <c r="AY323" s="195" t="str">
        <f aca="false">IF($A324="","",AN323*$E323)</f>
        <v/>
      </c>
      <c r="BA323" s="195" t="str">
        <f aca="false">IF($A324="","",F323*Summary!$Q$14)</f>
        <v/>
      </c>
    </row>
    <row r="324" customFormat="false" ht="12" hidden="false" customHeight="true" outlineLevel="0" collapsed="false">
      <c r="A324" s="196" t="str">
        <f aca="false">IF(A323&lt;mthend,EDATE(A323,1),"")</f>
        <v/>
      </c>
      <c r="B324" s="197" t="str">
        <f aca="false">IF(A324&lt;mthend,B323,"")</f>
        <v/>
      </c>
      <c r="C324" s="215"/>
      <c r="D324" s="197" t="str">
        <f aca="false">IF(A325&lt;&gt;"",B324+C324,"")</f>
        <v/>
      </c>
      <c r="E324" s="199" t="str">
        <f aca="false">IF(A325="","",IF(AND(AT324=1,$H$3=1),D324*AO324,IF($H$3=2,D324,"N/A")))</f>
        <v/>
      </c>
      <c r="F324" s="199" t="str">
        <f aca="false">IF(A325="","",E324*AS324)</f>
        <v/>
      </c>
      <c r="G324" s="200" t="str">
        <f aca="false">IF($A325="","",VLOOKUP($A324,Table,MATCH(G$4,Curves,0)))</f>
        <v/>
      </c>
      <c r="H324" s="201" t="str">
        <f aca="false">IF(A325="","",G324)</f>
        <v/>
      </c>
      <c r="I324" s="202"/>
      <c r="J324" s="200" t="str">
        <f aca="false">IF($A325="","",VLOOKUP($A324,Table,MATCH(J$4,Curves,0)))</f>
        <v/>
      </c>
      <c r="K324" s="201" t="str">
        <f aca="false">IF(A325="","",J324)</f>
        <v/>
      </c>
      <c r="L324" s="185" t="n">
        <v>0</v>
      </c>
      <c r="M324" s="201" t="str">
        <f aca="false">IF(A325="","",L324)</f>
        <v/>
      </c>
      <c r="N324" s="203"/>
      <c r="O324" s="200" t="str">
        <f aca="false">IF(A325="","",L324+J324+G324)</f>
        <v/>
      </c>
      <c r="P324" s="200" t="str">
        <f aca="false">IF(A325="","",M324+K324+H324)</f>
        <v/>
      </c>
      <c r="Q324" s="204"/>
      <c r="R324" s="200" t="str">
        <f aca="false">IF($A325="","",VLOOKUP($A324,Table,MATCH(R$4,Curves,0)))</f>
        <v/>
      </c>
      <c r="S324" s="201" t="str">
        <f aca="false">IF(A325="","",R324)</f>
        <v/>
      </c>
      <c r="T324" s="200" t="str">
        <f aca="false">IF($A325="","",VLOOKUP($A324,Table,MATCH(T$4,Curves,0)))</f>
        <v/>
      </c>
      <c r="U324" s="201" t="str">
        <f aca="false">IF(A325="","",T324)</f>
        <v/>
      </c>
      <c r="V324" s="183" t="str">
        <f aca="false">IF($A325="","",IF(AND(MONTH(A324)&gt;3,MONTH(A324)&lt;11),(T324+R324+G324)*(((1/(1-Summary!$T$14))/(1-Summary!$W$14))-1),(T324+R324+G324)*((1/(1-Summary!$U$14))/(1-Summary!$X$14)-1)))</f>
        <v/>
      </c>
      <c r="W324" s="202" t="str">
        <f aca="false">IF($A325="","",(T324+R324+G324+V324))</f>
        <v/>
      </c>
      <c r="X324" s="202" t="str">
        <f aca="false">IF($A325="","",(U324+S324+H324+V324))</f>
        <v/>
      </c>
      <c r="Y324" s="202"/>
      <c r="Z324" s="185" t="str">
        <f aca="false">IF($A325="","",VLOOKUP($A324,Table,MATCH(Z$4,Curves,0)))</f>
        <v/>
      </c>
      <c r="AA324" s="185" t="str">
        <f aca="false">IF($A325="","",VLOOKUP($A324,Table,MATCH(AA$4,Curves,0)))</f>
        <v/>
      </c>
      <c r="AB324" s="185" t="e">
        <f aca="false">SQRT((AA324^2*(A324-$D$3)+Z324^2*(DAY(EOMONTH(A324,0))/2))/AK324)</f>
        <v>#VALUE!</v>
      </c>
      <c r="AC324" s="185" t="str">
        <f aca="false">IF($A325="","",VLOOKUP($A324,Table,MATCH(AC$4,Curves,0)))</f>
        <v/>
      </c>
      <c r="AD324" s="185" t="str">
        <f aca="false">IF($A325="","",VLOOKUP($A324,Table,MATCH(AD$4,Curves,0)))</f>
        <v/>
      </c>
      <c r="AE324" s="185" t="e">
        <f aca="false">SQRT((AD324^2*(A324-$D$3)+AC324^2*(DAY(EOMONTH(A324,0))/2))/AK324)</f>
        <v>#VALUE!</v>
      </c>
      <c r="AF324" s="224" t="e">
        <f aca="false">((Summary!$N$14*(AA324*AD324)*(A324-$D$3))+(Summary!$M$14*Z324*AC324*(AJ324-EOMONTH(EDATE(A324,-1),0))))/(AK324*AB324*AE324)</f>
        <v>#VALUE!</v>
      </c>
      <c r="AG324" s="207" t="str">
        <f aca="false">IF($A325="","",Summary!$Q$14)</f>
        <v/>
      </c>
      <c r="AH324" s="207" t="str">
        <f aca="false">IF($A325="","",IF(Summary!$R$12="Y",(VLOOKUP($A324,Summary!$AD$6:$AF$9,3)+'Escalating commodity'!J337),'Escalating commodity'!J337))</f>
        <v/>
      </c>
      <c r="AI324" s="207" t="str">
        <f aca="false">IF($A325="","",AH324)</f>
        <v/>
      </c>
      <c r="AJ324" s="208" t="e">
        <f aca="false">A324+DAY(EOMONTH(A324,0))/2-1</f>
        <v>#VALUE!</v>
      </c>
      <c r="AK324" s="209" t="str">
        <f aca="false">IF($A325="","",$A324-$E$1)</f>
        <v/>
      </c>
      <c r="AL324" s="182" t="str">
        <f aca="false">IF($A325="","",SPRDOPT(P324,X324,AI324,0,AB324,AE324,AF324,AK324,$AJ$2,0))</f>
        <v/>
      </c>
      <c r="AM324" s="211" t="str">
        <f aca="false">IF($A325="","",MAX(0,O324-W324-AI324))</f>
        <v/>
      </c>
      <c r="AN324" s="211" t="str">
        <f aca="false">IF($A325="","",AL324-AM324)</f>
        <v/>
      </c>
      <c r="AO324" s="137" t="str">
        <f aca="false">IF(A325="","",A325-A324)</f>
        <v/>
      </c>
      <c r="AP324" s="212" t="str">
        <f aca="false">IF(A325="","",CHOOSE(F$3,A325+24,A324))</f>
        <v/>
      </c>
      <c r="AQ324" s="209" t="str">
        <f aca="false">IF(A325="","",AP324-$E$1)</f>
        <v/>
      </c>
      <c r="AR324" s="185" t="n">
        <f aca="false">'ANR OK vs ML7'!AR324</f>
        <v>0.1</v>
      </c>
      <c r="AS324" s="213" t="str">
        <f aca="false">IF(A325="","",1/(1+CHOOSE(F$3,(AR325+($I$3/10000))/2,(AR324+($I$3/10000))/2))^(2*AQ324/365.25))</f>
        <v/>
      </c>
      <c r="AT324" s="137" t="str">
        <f aca="false">IF(A325="","",IF(AND(mthbeg&lt;=A324,mthend&gt;=A324),1,0))</f>
        <v/>
      </c>
      <c r="AU324" s="137" t="str">
        <f aca="false">IF(A325="","",AO324*AT324)</f>
        <v/>
      </c>
      <c r="AW324" s="195" t="str">
        <f aca="false">IF($A325="","",AL324*$E324)</f>
        <v/>
      </c>
      <c r="AX324" s="195" t="str">
        <f aca="false">IF($A325="","",AM324*$E324)</f>
        <v/>
      </c>
      <c r="AY324" s="195" t="str">
        <f aca="false">IF($A325="","",AN324*$E324)</f>
        <v/>
      </c>
      <c r="BA324" s="195" t="str">
        <f aca="false">IF($A325="","",F324*Summary!$Q$14)</f>
        <v/>
      </c>
    </row>
    <row r="325" customFormat="false" ht="12" hidden="false" customHeight="true" outlineLevel="0" collapsed="false">
      <c r="A325" s="196" t="str">
        <f aca="false">IF(A324&lt;mthend,EDATE(A324,1),"")</f>
        <v/>
      </c>
      <c r="B325" s="197" t="str">
        <f aca="false">IF(A325&lt;mthend,B324,"")</f>
        <v/>
      </c>
      <c r="C325" s="215"/>
      <c r="D325" s="197" t="str">
        <f aca="false">IF(A326&lt;&gt;"",B325+C325,"")</f>
        <v/>
      </c>
      <c r="E325" s="199" t="str">
        <f aca="false">IF(A326="","",IF(AND(AT325=1,$H$3=1),D325*AO325,IF($H$3=2,D325,"N/A")))</f>
        <v/>
      </c>
      <c r="F325" s="199" t="str">
        <f aca="false">IF(A326="","",E325*AS325)</f>
        <v/>
      </c>
      <c r="G325" s="200" t="str">
        <f aca="false">IF($A326="","",VLOOKUP($A325,Table,MATCH(G$4,Curves,0)))</f>
        <v/>
      </c>
      <c r="H325" s="201" t="str">
        <f aca="false">IF(A326="","",G325)</f>
        <v/>
      </c>
      <c r="I325" s="202"/>
      <c r="J325" s="200" t="str">
        <f aca="false">IF($A326="","",VLOOKUP($A325,Table,MATCH(J$4,Curves,0)))</f>
        <v/>
      </c>
      <c r="K325" s="201" t="str">
        <f aca="false">IF(A326="","",J325)</f>
        <v/>
      </c>
      <c r="L325" s="185" t="n">
        <v>0</v>
      </c>
      <c r="M325" s="201" t="str">
        <f aca="false">IF(A326="","",L325)</f>
        <v/>
      </c>
      <c r="N325" s="203"/>
      <c r="O325" s="200" t="str">
        <f aca="false">IF(A326="","",L325+J325+G325)</f>
        <v/>
      </c>
      <c r="P325" s="200" t="str">
        <f aca="false">IF(A326="","",M325+K325+H325)</f>
        <v/>
      </c>
      <c r="Q325" s="204"/>
      <c r="R325" s="200" t="str">
        <f aca="false">IF($A326="","",VLOOKUP($A325,Table,MATCH(R$4,Curves,0)))</f>
        <v/>
      </c>
      <c r="S325" s="201" t="str">
        <f aca="false">IF(A326="","",R325)</f>
        <v/>
      </c>
      <c r="T325" s="200" t="str">
        <f aca="false">IF($A326="","",VLOOKUP($A325,Table,MATCH(T$4,Curves,0)))</f>
        <v/>
      </c>
      <c r="U325" s="201" t="str">
        <f aca="false">IF(A326="","",T325)</f>
        <v/>
      </c>
      <c r="V325" s="183" t="str">
        <f aca="false">IF($A326="","",IF(AND(MONTH(A325)&gt;3,MONTH(A325)&lt;11),(T325+R325+G325)*(((1/(1-Summary!$T$14))/(1-Summary!$W$14))-1),(T325+R325+G325)*((1/(1-Summary!$U$14))/(1-Summary!$X$14)-1)))</f>
        <v/>
      </c>
      <c r="W325" s="202" t="str">
        <f aca="false">IF($A326="","",(T325+R325+G325+V325))</f>
        <v/>
      </c>
      <c r="X325" s="202" t="str">
        <f aca="false">IF($A326="","",(U325+S325+H325+V325))</f>
        <v/>
      </c>
      <c r="Y325" s="202"/>
      <c r="Z325" s="185" t="str">
        <f aca="false">IF($A326="","",VLOOKUP($A325,Table,MATCH(Z$4,Curves,0)))</f>
        <v/>
      </c>
      <c r="AA325" s="185" t="str">
        <f aca="false">IF($A326="","",VLOOKUP($A325,Table,MATCH(AA$4,Curves,0)))</f>
        <v/>
      </c>
      <c r="AB325" s="185" t="e">
        <f aca="false">SQRT((AA325^2*(A325-$D$3)+Z325^2*(DAY(EOMONTH(A325,0))/2))/AK325)</f>
        <v>#VALUE!</v>
      </c>
      <c r="AC325" s="185" t="str">
        <f aca="false">IF($A326="","",VLOOKUP($A325,Table,MATCH(AC$4,Curves,0)))</f>
        <v/>
      </c>
      <c r="AD325" s="185" t="str">
        <f aca="false">IF($A326="","",VLOOKUP($A325,Table,MATCH(AD$4,Curves,0)))</f>
        <v/>
      </c>
      <c r="AE325" s="185" t="e">
        <f aca="false">SQRT((AD325^2*(A325-$D$3)+AC325^2*(DAY(EOMONTH(A325,0))/2))/AK325)</f>
        <v>#VALUE!</v>
      </c>
      <c r="AF325" s="224" t="e">
        <f aca="false">((Summary!$N$14*(AA325*AD325)*(A325-$D$3))+(Summary!$M$14*Z325*AC325*(AJ325-EOMONTH(EDATE(A325,-1),0))))/(AK325*AB325*AE325)</f>
        <v>#VALUE!</v>
      </c>
      <c r="AG325" s="207" t="str">
        <f aca="false">IF($A326="","",Summary!$Q$14)</f>
        <v/>
      </c>
      <c r="AH325" s="207" t="str">
        <f aca="false">IF($A326="","",IF(Summary!$R$12="Y",(VLOOKUP($A325,Summary!$AD$6:$AF$9,3)+'Escalating commodity'!J338),'Escalating commodity'!J338))</f>
        <v/>
      </c>
      <c r="AI325" s="207" t="str">
        <f aca="false">IF($A326="","",AH325)</f>
        <v/>
      </c>
      <c r="AJ325" s="208" t="e">
        <f aca="false">A325+DAY(EOMONTH(A325,0))/2-1</f>
        <v>#VALUE!</v>
      </c>
      <c r="AK325" s="209" t="str">
        <f aca="false">IF($A326="","",$A325-$E$1)</f>
        <v/>
      </c>
      <c r="AL325" s="182" t="str">
        <f aca="false">IF($A326="","",SPRDOPT(P325,X325,AI325,0,AB325,AE325,AF325,AK325,$AJ$2,0))</f>
        <v/>
      </c>
      <c r="AM325" s="211" t="str">
        <f aca="false">IF($A326="","",MAX(0,O325-W325-AI325))</f>
        <v/>
      </c>
      <c r="AN325" s="211" t="str">
        <f aca="false">IF($A326="","",AL325-AM325)</f>
        <v/>
      </c>
      <c r="AO325" s="137" t="str">
        <f aca="false">IF(A326="","",A326-A325)</f>
        <v/>
      </c>
      <c r="AP325" s="212" t="str">
        <f aca="false">IF(A326="","",CHOOSE(F$3,A326+24,A325))</f>
        <v/>
      </c>
      <c r="AQ325" s="209" t="str">
        <f aca="false">IF(A326="","",AP325-$E$1)</f>
        <v/>
      </c>
      <c r="AR325" s="185" t="n">
        <f aca="false">'ANR OK vs ML7'!AR325</f>
        <v>0.1</v>
      </c>
      <c r="AS325" s="213" t="str">
        <f aca="false">IF(A326="","",1/(1+CHOOSE(F$3,(AR326+($I$3/10000))/2,(AR325+($I$3/10000))/2))^(2*AQ325/365.25))</f>
        <v/>
      </c>
      <c r="AT325" s="137" t="str">
        <f aca="false">IF(A326="","",IF(AND(mthbeg&lt;=A325,mthend&gt;=A325),1,0))</f>
        <v/>
      </c>
      <c r="AU325" s="137" t="str">
        <f aca="false">IF(A326="","",AO325*AT325)</f>
        <v/>
      </c>
      <c r="AW325" s="195" t="str">
        <f aca="false">IF($A326="","",AL325*$E325)</f>
        <v/>
      </c>
      <c r="AX325" s="195" t="str">
        <f aca="false">IF($A326="","",AM325*$E325)</f>
        <v/>
      </c>
      <c r="AY325" s="195" t="str">
        <f aca="false">IF($A326="","",AN325*$E325)</f>
        <v/>
      </c>
      <c r="BA325" s="195" t="str">
        <f aca="false">IF($A326="","",F325*Summary!$Q$14)</f>
        <v/>
      </c>
    </row>
    <row r="326" customFormat="false" ht="12" hidden="false" customHeight="true" outlineLevel="0" collapsed="false">
      <c r="A326" s="196" t="str">
        <f aca="false">IF(A325&lt;mthend,EDATE(A325,1),"")</f>
        <v/>
      </c>
      <c r="B326" s="197" t="str">
        <f aca="false">IF(A326&lt;mthend,B325,"")</f>
        <v/>
      </c>
      <c r="C326" s="215"/>
      <c r="D326" s="197" t="str">
        <f aca="false">IF(A327&lt;&gt;"",B326+C326,"")</f>
        <v/>
      </c>
      <c r="E326" s="199" t="str">
        <f aca="false">IF(A327="","",IF(AND(AT326=1,$H$3=1),D326*AO326,IF($H$3=2,D326,"N/A")))</f>
        <v/>
      </c>
      <c r="F326" s="199" t="str">
        <f aca="false">IF(A327="","",E326*AS326)</f>
        <v/>
      </c>
      <c r="G326" s="200" t="str">
        <f aca="false">IF($A327="","",VLOOKUP($A326,Table,MATCH(G$4,Curves,0)))</f>
        <v/>
      </c>
      <c r="H326" s="201" t="str">
        <f aca="false">IF(A327="","",G326)</f>
        <v/>
      </c>
      <c r="I326" s="202"/>
      <c r="J326" s="200" t="str">
        <f aca="false">IF($A327="","",VLOOKUP($A326,Table,MATCH(J$4,Curves,0)))</f>
        <v/>
      </c>
      <c r="K326" s="201" t="str">
        <f aca="false">IF(A327="","",J326)</f>
        <v/>
      </c>
      <c r="L326" s="185" t="n">
        <v>0</v>
      </c>
      <c r="M326" s="201" t="str">
        <f aca="false">IF(A327="","",L326)</f>
        <v/>
      </c>
      <c r="N326" s="203"/>
      <c r="O326" s="200" t="str">
        <f aca="false">IF(A327="","",L326+J326+G326)</f>
        <v/>
      </c>
      <c r="P326" s="200" t="str">
        <f aca="false">IF(A327="","",M326+K326+H326)</f>
        <v/>
      </c>
      <c r="Q326" s="204"/>
      <c r="R326" s="200" t="str">
        <f aca="false">IF($A327="","",VLOOKUP($A326,Table,MATCH(R$4,Curves,0)))</f>
        <v/>
      </c>
      <c r="S326" s="201" t="str">
        <f aca="false">IF(A327="","",R326)</f>
        <v/>
      </c>
      <c r="T326" s="200" t="str">
        <f aca="false">IF($A327="","",VLOOKUP($A326,Table,MATCH(T$4,Curves,0)))</f>
        <v/>
      </c>
      <c r="U326" s="201" t="str">
        <f aca="false">IF(A327="","",T326)</f>
        <v/>
      </c>
      <c r="V326" s="183" t="str">
        <f aca="false">IF($A327="","",IF(AND(MONTH(A326)&gt;3,MONTH(A326)&lt;11),(T326+R326+G326)*(((1/(1-Summary!$T$14))/(1-Summary!$W$14))-1),(T326+R326+G326)*((1/(1-Summary!$U$14))/(1-Summary!$X$14)-1)))</f>
        <v/>
      </c>
      <c r="W326" s="202" t="str">
        <f aca="false">IF($A327="","",(T326+R326+G326+V326))</f>
        <v/>
      </c>
      <c r="X326" s="202" t="str">
        <f aca="false">IF($A327="","",(U326+S326+H326+V326))</f>
        <v/>
      </c>
      <c r="Y326" s="202"/>
      <c r="Z326" s="185" t="str">
        <f aca="false">IF($A327="","",VLOOKUP($A326,Table,MATCH(Z$4,Curves,0)))</f>
        <v/>
      </c>
      <c r="AA326" s="185" t="str">
        <f aca="false">IF($A327="","",VLOOKUP($A326,Table,MATCH(AA$4,Curves,0)))</f>
        <v/>
      </c>
      <c r="AB326" s="185" t="e">
        <f aca="false">SQRT((AA326^2*(A326-$D$3)+Z326^2*(DAY(EOMONTH(A326,0))/2))/AK326)</f>
        <v>#VALUE!</v>
      </c>
      <c r="AC326" s="185" t="str">
        <f aca="false">IF($A327="","",VLOOKUP($A326,Table,MATCH(AC$4,Curves,0)))</f>
        <v/>
      </c>
      <c r="AD326" s="185" t="str">
        <f aca="false">IF($A327="","",VLOOKUP($A326,Table,MATCH(AD$4,Curves,0)))</f>
        <v/>
      </c>
      <c r="AE326" s="185" t="e">
        <f aca="false">SQRT((AD326^2*(A326-$D$3)+AC326^2*(DAY(EOMONTH(A326,0))/2))/AK326)</f>
        <v>#VALUE!</v>
      </c>
      <c r="AF326" s="224" t="e">
        <f aca="false">((Summary!$N$14*(AA326*AD326)*(A326-$D$3))+(Summary!$M$14*Z326*AC326*(AJ326-EOMONTH(EDATE(A326,-1),0))))/(AK326*AB326*AE326)</f>
        <v>#VALUE!</v>
      </c>
      <c r="AG326" s="207" t="str">
        <f aca="false">IF($A327="","",Summary!$Q$14)</f>
        <v/>
      </c>
      <c r="AH326" s="207" t="str">
        <f aca="false">IF($A327="","",IF(Summary!$R$12="Y",(VLOOKUP($A326,Summary!$AD$6:$AF$9,3)+'Escalating commodity'!J339),'Escalating commodity'!J339))</f>
        <v/>
      </c>
      <c r="AI326" s="207" t="str">
        <f aca="false">IF($A327="","",AH326)</f>
        <v/>
      </c>
      <c r="AJ326" s="208" t="e">
        <f aca="false">A326+DAY(EOMONTH(A326,0))/2-1</f>
        <v>#VALUE!</v>
      </c>
      <c r="AK326" s="209" t="str">
        <f aca="false">IF($A327="","",$A326-$E$1)</f>
        <v/>
      </c>
      <c r="AL326" s="182" t="str">
        <f aca="false">IF($A327="","",SPRDOPT(P326,X326,AI326,0,AB326,AE326,AF326,AK326,$AJ$2,0))</f>
        <v/>
      </c>
      <c r="AM326" s="211" t="str">
        <f aca="false">IF($A327="","",MAX(0,O326-W326-AI326))</f>
        <v/>
      </c>
      <c r="AN326" s="211" t="str">
        <f aca="false">IF($A327="","",AL326-AM326)</f>
        <v/>
      </c>
      <c r="AO326" s="137" t="str">
        <f aca="false">IF(A327="","",A327-A326)</f>
        <v/>
      </c>
      <c r="AP326" s="212" t="str">
        <f aca="false">IF(A327="","",CHOOSE(F$3,A327+24,A326))</f>
        <v/>
      </c>
      <c r="AQ326" s="209" t="str">
        <f aca="false">IF(A327="","",AP326-$E$1)</f>
        <v/>
      </c>
      <c r="AR326" s="185" t="n">
        <f aca="false">'ANR OK vs ML7'!AR326</f>
        <v>0.1</v>
      </c>
      <c r="AS326" s="213" t="str">
        <f aca="false">IF(A327="","",1/(1+CHOOSE(F$3,(AR327+($I$3/10000))/2,(AR326+($I$3/10000))/2))^(2*AQ326/365.25))</f>
        <v/>
      </c>
      <c r="AT326" s="137" t="str">
        <f aca="false">IF(A327="","",IF(AND(mthbeg&lt;=A326,mthend&gt;=A326),1,0))</f>
        <v/>
      </c>
      <c r="AU326" s="137" t="str">
        <f aca="false">IF(A327="","",AO326*AT326)</f>
        <v/>
      </c>
      <c r="AW326" s="195" t="str">
        <f aca="false">IF($A327="","",AL326*$E326)</f>
        <v/>
      </c>
      <c r="AX326" s="195" t="str">
        <f aca="false">IF($A327="","",AM326*$E326)</f>
        <v/>
      </c>
      <c r="AY326" s="195" t="str">
        <f aca="false">IF($A327="","",AN326*$E326)</f>
        <v/>
      </c>
      <c r="BA326" s="195" t="str">
        <f aca="false">IF($A327="","",F326*Summary!$Q$14)</f>
        <v/>
      </c>
    </row>
    <row r="327" customFormat="false" ht="12" hidden="false" customHeight="true" outlineLevel="0" collapsed="false">
      <c r="A327" s="196" t="str">
        <f aca="false">IF(A326&lt;mthend,EDATE(A326,1),"")</f>
        <v/>
      </c>
      <c r="B327" s="197" t="str">
        <f aca="false">IF(A327&lt;mthend,B326,"")</f>
        <v/>
      </c>
      <c r="C327" s="215"/>
      <c r="D327" s="197" t="str">
        <f aca="false">IF(A328&lt;&gt;"",B327+C327,"")</f>
        <v/>
      </c>
      <c r="E327" s="199" t="str">
        <f aca="false">IF(A328="","",IF(AND(AT327=1,$H$3=1),D327*AO327,IF($H$3=2,D327,"N/A")))</f>
        <v/>
      </c>
      <c r="F327" s="199" t="str">
        <f aca="false">IF(A328="","",E327*AS327)</f>
        <v/>
      </c>
      <c r="G327" s="200" t="str">
        <f aca="false">IF($A328="","",VLOOKUP($A327,Table,MATCH(G$4,Curves,0)))</f>
        <v/>
      </c>
      <c r="H327" s="201" t="str">
        <f aca="false">IF(A328="","",G327)</f>
        <v/>
      </c>
      <c r="I327" s="202"/>
      <c r="J327" s="200" t="str">
        <f aca="false">IF($A328="","",VLOOKUP($A327,Table,MATCH(J$4,Curves,0)))</f>
        <v/>
      </c>
      <c r="K327" s="201" t="str">
        <f aca="false">IF(A328="","",J327)</f>
        <v/>
      </c>
      <c r="L327" s="185" t="n">
        <v>0</v>
      </c>
      <c r="M327" s="201" t="str">
        <f aca="false">IF(A328="","",L327)</f>
        <v/>
      </c>
      <c r="N327" s="203"/>
      <c r="O327" s="200" t="str">
        <f aca="false">IF(A328="","",L327+J327+G327)</f>
        <v/>
      </c>
      <c r="P327" s="200" t="str">
        <f aca="false">IF(A328="","",M327+K327+H327)</f>
        <v/>
      </c>
      <c r="Q327" s="204"/>
      <c r="R327" s="200" t="str">
        <f aca="false">IF($A328="","",VLOOKUP($A327,Table,MATCH(R$4,Curves,0)))</f>
        <v/>
      </c>
      <c r="S327" s="201" t="str">
        <f aca="false">IF(A328="","",R327)</f>
        <v/>
      </c>
      <c r="T327" s="200" t="str">
        <f aca="false">IF($A328="","",VLOOKUP($A327,Table,MATCH(T$4,Curves,0)))</f>
        <v/>
      </c>
      <c r="U327" s="201" t="str">
        <f aca="false">IF(A328="","",T327)</f>
        <v/>
      </c>
      <c r="V327" s="183" t="str">
        <f aca="false">IF($A328="","",IF(AND(MONTH(A327)&gt;3,MONTH(A327)&lt;11),(T327+R327+G327)*(((1/(1-Summary!$T$14))/(1-Summary!$W$14))-1),(T327+R327+G327)*((1/(1-Summary!$U$14))/(1-Summary!$X$14)-1)))</f>
        <v/>
      </c>
      <c r="W327" s="202" t="str">
        <f aca="false">IF($A328="","",(T327+R327+G327+V327))</f>
        <v/>
      </c>
      <c r="X327" s="202" t="str">
        <f aca="false">IF($A328="","",(U327+S327+H327+V327))</f>
        <v/>
      </c>
      <c r="Y327" s="202"/>
      <c r="Z327" s="185" t="str">
        <f aca="false">IF($A328="","",VLOOKUP($A327,Table,MATCH(Z$4,Curves,0)))</f>
        <v/>
      </c>
      <c r="AA327" s="185" t="str">
        <f aca="false">IF($A328="","",VLOOKUP($A327,Table,MATCH(AA$4,Curves,0)))</f>
        <v/>
      </c>
      <c r="AB327" s="185" t="e">
        <f aca="false">SQRT((AA327^2*(A327-$D$3)+Z327^2*(DAY(EOMONTH(A327,0))/2))/AK327)</f>
        <v>#VALUE!</v>
      </c>
      <c r="AC327" s="185" t="str">
        <f aca="false">IF($A328="","",VLOOKUP($A327,Table,MATCH(AC$4,Curves,0)))</f>
        <v/>
      </c>
      <c r="AD327" s="185" t="str">
        <f aca="false">IF($A328="","",VLOOKUP($A327,Table,MATCH(AD$4,Curves,0)))</f>
        <v/>
      </c>
      <c r="AE327" s="185" t="e">
        <f aca="false">SQRT((AD327^2*(A327-$D$3)+AC327^2*(DAY(EOMONTH(A327,0))/2))/AK327)</f>
        <v>#VALUE!</v>
      </c>
      <c r="AF327" s="224" t="e">
        <f aca="false">((Summary!$N$14*(AA327*AD327)*(A327-$D$3))+(Summary!$M$14*Z327*AC327*(AJ327-EOMONTH(EDATE(A327,-1),0))))/(AK327*AB327*AE327)</f>
        <v>#VALUE!</v>
      </c>
      <c r="AG327" s="207" t="str">
        <f aca="false">IF($A328="","",Summary!$Q$14)</f>
        <v/>
      </c>
      <c r="AH327" s="207" t="str">
        <f aca="false">IF($A328="","",IF(Summary!$R$12="Y",(VLOOKUP($A327,Summary!$AD$6:$AF$9,3)+'Escalating commodity'!J340),'Escalating commodity'!J340))</f>
        <v/>
      </c>
      <c r="AI327" s="207" t="str">
        <f aca="false">IF($A328="","",AH327)</f>
        <v/>
      </c>
      <c r="AJ327" s="208" t="e">
        <f aca="false">A327+DAY(EOMONTH(A327,0))/2-1</f>
        <v>#VALUE!</v>
      </c>
      <c r="AK327" s="209" t="str">
        <f aca="false">IF($A328="","",$A327-$E$1)</f>
        <v/>
      </c>
      <c r="AL327" s="182" t="str">
        <f aca="false">IF($A328="","",SPRDOPT(P327,X327,AI327,0,AB327,AE327,AF327,AK327,$AJ$2,0))</f>
        <v/>
      </c>
      <c r="AM327" s="211" t="str">
        <f aca="false">IF($A328="","",MAX(0,O327-W327-AI327))</f>
        <v/>
      </c>
      <c r="AN327" s="211" t="str">
        <f aca="false">IF($A328="","",AL327-AM327)</f>
        <v/>
      </c>
      <c r="AO327" s="137" t="str">
        <f aca="false">IF(A328="","",A328-A327)</f>
        <v/>
      </c>
      <c r="AP327" s="212" t="str">
        <f aca="false">IF(A328="","",CHOOSE(F$3,A328+24,A327))</f>
        <v/>
      </c>
      <c r="AQ327" s="209" t="str">
        <f aca="false">IF(A328="","",AP327-$E$1)</f>
        <v/>
      </c>
      <c r="AR327" s="185" t="n">
        <f aca="false">'ANR OK vs ML7'!AR327</f>
        <v>0.1</v>
      </c>
      <c r="AS327" s="213" t="str">
        <f aca="false">IF(A328="","",1/(1+CHOOSE(F$3,(AR328+($I$3/10000))/2,(AR327+($I$3/10000))/2))^(2*AQ327/365.25))</f>
        <v/>
      </c>
      <c r="AT327" s="137" t="str">
        <f aca="false">IF(A328="","",IF(AND(mthbeg&lt;=A327,mthend&gt;=A327),1,0))</f>
        <v/>
      </c>
      <c r="AU327" s="137" t="str">
        <f aca="false">IF(A328="","",AO327*AT327)</f>
        <v/>
      </c>
      <c r="AW327" s="195" t="str">
        <f aca="false">IF($A328="","",AL327*$E327)</f>
        <v/>
      </c>
      <c r="AX327" s="195" t="str">
        <f aca="false">IF($A328="","",AM327*$E327)</f>
        <v/>
      </c>
      <c r="AY327" s="195" t="str">
        <f aca="false">IF($A328="","",AN327*$E327)</f>
        <v/>
      </c>
      <c r="BA327" s="195" t="str">
        <f aca="false">IF($A328="","",F327*Summary!$Q$14)</f>
        <v/>
      </c>
    </row>
    <row r="328" customFormat="false" ht="12" hidden="false" customHeight="true" outlineLevel="0" collapsed="false">
      <c r="A328" s="196" t="str">
        <f aca="false">IF(A327&lt;mthend,EDATE(A327,1),"")</f>
        <v/>
      </c>
      <c r="B328" s="197" t="str">
        <f aca="false">IF(A328&lt;mthend,B327,"")</f>
        <v/>
      </c>
      <c r="C328" s="215"/>
      <c r="D328" s="197" t="str">
        <f aca="false">IF(A329&lt;&gt;"",B328+C328,"")</f>
        <v/>
      </c>
      <c r="E328" s="199" t="str">
        <f aca="false">IF(A329="","",IF(AND(AT328=1,$H$3=1),D328*AO328,IF($H$3=2,D328,"N/A")))</f>
        <v/>
      </c>
      <c r="F328" s="199" t="str">
        <f aca="false">IF(A329="","",E328*AS328)</f>
        <v/>
      </c>
      <c r="G328" s="200" t="str">
        <f aca="false">IF($A329="","",VLOOKUP($A328,Table,MATCH(G$4,Curves,0)))</f>
        <v/>
      </c>
      <c r="H328" s="201" t="str">
        <f aca="false">IF(A329="","",G328)</f>
        <v/>
      </c>
      <c r="I328" s="202"/>
      <c r="J328" s="200" t="str">
        <f aca="false">IF($A329="","",VLOOKUP($A328,Table,MATCH(J$4,Curves,0)))</f>
        <v/>
      </c>
      <c r="K328" s="201" t="str">
        <f aca="false">IF(A329="","",J328)</f>
        <v/>
      </c>
      <c r="L328" s="185" t="n">
        <v>0</v>
      </c>
      <c r="M328" s="201" t="str">
        <f aca="false">IF(A329="","",L328)</f>
        <v/>
      </c>
      <c r="N328" s="203"/>
      <c r="O328" s="200" t="str">
        <f aca="false">IF(A329="","",L328+J328+G328)</f>
        <v/>
      </c>
      <c r="P328" s="200" t="str">
        <f aca="false">IF(A329="","",M328+K328+H328)</f>
        <v/>
      </c>
      <c r="Q328" s="204"/>
      <c r="R328" s="200" t="str">
        <f aca="false">IF($A329="","",VLOOKUP($A328,Table,MATCH(R$4,Curves,0)))</f>
        <v/>
      </c>
      <c r="S328" s="201" t="str">
        <f aca="false">IF(A329="","",R328)</f>
        <v/>
      </c>
      <c r="T328" s="200" t="str">
        <f aca="false">IF($A329="","",VLOOKUP($A328,Table,MATCH(T$4,Curves,0)))</f>
        <v/>
      </c>
      <c r="U328" s="201" t="str">
        <f aca="false">IF(A329="","",T328)</f>
        <v/>
      </c>
      <c r="V328" s="183" t="str">
        <f aca="false">IF($A329="","",IF(AND(MONTH(A328)&gt;3,MONTH(A328)&lt;11),(T328+R328+G328)*(((1/(1-Summary!$T$14))/(1-Summary!$W$14))-1),(T328+R328+G328)*((1/(1-Summary!$U$14))/(1-Summary!$X$14)-1)))</f>
        <v/>
      </c>
      <c r="W328" s="202" t="str">
        <f aca="false">IF($A329="","",(T328+R328+G328+V328))</f>
        <v/>
      </c>
      <c r="X328" s="202" t="str">
        <f aca="false">IF($A329="","",(U328+S328+H328+V328))</f>
        <v/>
      </c>
      <c r="Y328" s="202"/>
      <c r="Z328" s="185" t="str">
        <f aca="false">IF($A329="","",VLOOKUP($A328,Table,MATCH(Z$4,Curves,0)))</f>
        <v/>
      </c>
      <c r="AA328" s="185" t="str">
        <f aca="false">IF($A329="","",VLOOKUP($A328,Table,MATCH(AA$4,Curves,0)))</f>
        <v/>
      </c>
      <c r="AB328" s="185" t="e">
        <f aca="false">SQRT((AA328^2*(A328-$D$3)+Z328^2*(DAY(EOMONTH(A328,0))/2))/AK328)</f>
        <v>#VALUE!</v>
      </c>
      <c r="AC328" s="185" t="str">
        <f aca="false">IF($A329="","",VLOOKUP($A328,Table,MATCH(AC$4,Curves,0)))</f>
        <v/>
      </c>
      <c r="AD328" s="185" t="str">
        <f aca="false">IF($A329="","",VLOOKUP($A328,Table,MATCH(AD$4,Curves,0)))</f>
        <v/>
      </c>
      <c r="AE328" s="185" t="e">
        <f aca="false">SQRT((AD328^2*(A328-$D$3)+AC328^2*(DAY(EOMONTH(A328,0))/2))/AK328)</f>
        <v>#VALUE!</v>
      </c>
      <c r="AF328" s="224" t="e">
        <f aca="false">((Summary!$N$14*(AA328*AD328)*(A328-$D$3))+(Summary!$M$14*Z328*AC328*(AJ328-EOMONTH(EDATE(A328,-1),0))))/(AK328*AB328*AE328)</f>
        <v>#VALUE!</v>
      </c>
      <c r="AG328" s="207" t="str">
        <f aca="false">IF($A329="","",Summary!$Q$14)</f>
        <v/>
      </c>
      <c r="AH328" s="207" t="str">
        <f aca="false">IF($A329="","",IF(Summary!$R$12="Y",(VLOOKUP($A328,Summary!$AD$6:$AF$9,3)+'Escalating commodity'!J341),'Escalating commodity'!J341))</f>
        <v/>
      </c>
      <c r="AI328" s="207" t="str">
        <f aca="false">IF($A329="","",AH328)</f>
        <v/>
      </c>
      <c r="AJ328" s="208" t="e">
        <f aca="false">A328+DAY(EOMONTH(A328,0))/2-1</f>
        <v>#VALUE!</v>
      </c>
      <c r="AK328" s="209" t="str">
        <f aca="false">IF($A329="","",$A328-$E$1)</f>
        <v/>
      </c>
      <c r="AL328" s="182" t="str">
        <f aca="false">IF($A329="","",SPRDOPT(P328,X328,AI328,0,AB328,AE328,AF328,AK328,$AJ$2,0))</f>
        <v/>
      </c>
      <c r="AM328" s="211" t="str">
        <f aca="false">IF($A329="","",MAX(0,O328-W328-AI328))</f>
        <v/>
      </c>
      <c r="AN328" s="211" t="str">
        <f aca="false">IF($A329="","",AL328-AM328)</f>
        <v/>
      </c>
      <c r="AO328" s="137" t="str">
        <f aca="false">IF(A329="","",A329-A328)</f>
        <v/>
      </c>
      <c r="AP328" s="212" t="str">
        <f aca="false">IF(A329="","",CHOOSE(F$3,A329+24,A328))</f>
        <v/>
      </c>
      <c r="AQ328" s="209" t="str">
        <f aca="false">IF(A329="","",AP328-$E$1)</f>
        <v/>
      </c>
      <c r="AR328" s="185" t="n">
        <f aca="false">'ANR OK vs ML7'!AR328</f>
        <v>0.1</v>
      </c>
      <c r="AS328" s="213" t="str">
        <f aca="false">IF(A329="","",1/(1+CHOOSE(F$3,(AR329+($I$3/10000))/2,(AR328+($I$3/10000))/2))^(2*AQ328/365.25))</f>
        <v/>
      </c>
      <c r="AT328" s="137" t="str">
        <f aca="false">IF(A329="","",IF(AND(mthbeg&lt;=A328,mthend&gt;=A328),1,0))</f>
        <v/>
      </c>
      <c r="AU328" s="137" t="str">
        <f aca="false">IF(A329="","",AO328*AT328)</f>
        <v/>
      </c>
      <c r="AW328" s="195" t="str">
        <f aca="false">IF($A329="","",AL328*$E328)</f>
        <v/>
      </c>
      <c r="AX328" s="195" t="str">
        <f aca="false">IF($A329="","",AM328*$E328)</f>
        <v/>
      </c>
      <c r="AY328" s="195" t="str">
        <f aca="false">IF($A329="","",AN328*$E328)</f>
        <v/>
      </c>
      <c r="BA328" s="195" t="str">
        <f aca="false">IF($A329="","",F328*Summary!$Q$14)</f>
        <v/>
      </c>
    </row>
    <row r="329" customFormat="false" ht="12" hidden="false" customHeight="true" outlineLevel="0" collapsed="false">
      <c r="A329" s="196" t="str">
        <f aca="false">IF(A328&lt;mthend,EDATE(A328,1),"")</f>
        <v/>
      </c>
      <c r="B329" s="197" t="str">
        <f aca="false">IF(A329&lt;mthend,B328,"")</f>
        <v/>
      </c>
      <c r="C329" s="215"/>
      <c r="D329" s="197" t="str">
        <f aca="false">IF(A330&lt;&gt;"",B329+C329,"")</f>
        <v/>
      </c>
      <c r="E329" s="199" t="str">
        <f aca="false">IF(A330="","",IF(AND(AT329=1,$H$3=1),D329*AO329,IF($H$3=2,D329,"N/A")))</f>
        <v/>
      </c>
      <c r="F329" s="199" t="str">
        <f aca="false">IF(A330="","",E329*AS329)</f>
        <v/>
      </c>
      <c r="G329" s="200" t="str">
        <f aca="false">IF($A330="","",VLOOKUP($A329,Table,MATCH(G$4,Curves,0)))</f>
        <v/>
      </c>
      <c r="H329" s="201" t="str">
        <f aca="false">IF(A330="","",G329)</f>
        <v/>
      </c>
      <c r="I329" s="202"/>
      <c r="J329" s="200" t="str">
        <f aca="false">IF($A330="","",VLOOKUP($A329,Table,MATCH(J$4,Curves,0)))</f>
        <v/>
      </c>
      <c r="K329" s="201" t="str">
        <f aca="false">IF(A330="","",J329)</f>
        <v/>
      </c>
      <c r="L329" s="185" t="n">
        <v>0</v>
      </c>
      <c r="M329" s="201" t="str">
        <f aca="false">IF(A330="","",L329)</f>
        <v/>
      </c>
      <c r="N329" s="203"/>
      <c r="O329" s="200" t="str">
        <f aca="false">IF(A330="","",L329+J329+G329)</f>
        <v/>
      </c>
      <c r="P329" s="200" t="str">
        <f aca="false">IF(A330="","",M329+K329+H329)</f>
        <v/>
      </c>
      <c r="Q329" s="204"/>
      <c r="R329" s="200" t="str">
        <f aca="false">IF($A330="","",VLOOKUP($A329,Table,MATCH(R$4,Curves,0)))</f>
        <v/>
      </c>
      <c r="S329" s="201" t="str">
        <f aca="false">IF(A330="","",R329)</f>
        <v/>
      </c>
      <c r="T329" s="200" t="str">
        <f aca="false">IF($A330="","",VLOOKUP($A329,Table,MATCH(T$4,Curves,0)))</f>
        <v/>
      </c>
      <c r="U329" s="201" t="str">
        <f aca="false">IF(A330="","",T329)</f>
        <v/>
      </c>
      <c r="V329" s="183" t="str">
        <f aca="false">IF($A330="","",IF(AND(MONTH(A329)&gt;3,MONTH(A329)&lt;11),(T329+R329+G329)*(((1/(1-Summary!$T$14))/(1-Summary!$W$14))-1),(T329+R329+G329)*((1/(1-Summary!$U$14))/(1-Summary!$X$14)-1)))</f>
        <v/>
      </c>
      <c r="W329" s="202" t="str">
        <f aca="false">IF($A330="","",(T329+R329+G329+V329))</f>
        <v/>
      </c>
      <c r="X329" s="202" t="str">
        <f aca="false">IF($A330="","",(U329+S329+H329+V329))</f>
        <v/>
      </c>
      <c r="Y329" s="202"/>
      <c r="Z329" s="185" t="str">
        <f aca="false">IF($A330="","",VLOOKUP($A329,Table,MATCH(Z$4,Curves,0)))</f>
        <v/>
      </c>
      <c r="AA329" s="185" t="str">
        <f aca="false">IF($A330="","",VLOOKUP($A329,Table,MATCH(AA$4,Curves,0)))</f>
        <v/>
      </c>
      <c r="AB329" s="185" t="e">
        <f aca="false">SQRT((AA329^2*(A329-$D$3)+Z329^2*(DAY(EOMONTH(A329,0))/2))/AK329)</f>
        <v>#VALUE!</v>
      </c>
      <c r="AC329" s="185" t="str">
        <f aca="false">IF($A330="","",VLOOKUP($A329,Table,MATCH(AC$4,Curves,0)))</f>
        <v/>
      </c>
      <c r="AD329" s="185" t="str">
        <f aca="false">IF($A330="","",VLOOKUP($A329,Table,MATCH(AD$4,Curves,0)))</f>
        <v/>
      </c>
      <c r="AE329" s="185" t="e">
        <f aca="false">SQRT((AD329^2*(A329-$D$3)+AC329^2*(DAY(EOMONTH(A329,0))/2))/AK329)</f>
        <v>#VALUE!</v>
      </c>
      <c r="AF329" s="224" t="e">
        <f aca="false">((Summary!$N$14*(AA329*AD329)*(A329-$D$3))+(Summary!$M$14*Z329*AC329*(AJ329-EOMONTH(EDATE(A329,-1),0))))/(AK329*AB329*AE329)</f>
        <v>#VALUE!</v>
      </c>
      <c r="AG329" s="207" t="str">
        <f aca="false">IF($A330="","",Summary!$Q$14)</f>
        <v/>
      </c>
      <c r="AH329" s="207" t="str">
        <f aca="false">IF($A330="","",IF(Summary!$R$12="Y",(VLOOKUP($A329,Summary!$AD$6:$AF$9,3)+'Escalating commodity'!J342),'Escalating commodity'!J342))</f>
        <v/>
      </c>
      <c r="AI329" s="207" t="str">
        <f aca="false">IF($A330="","",AH329)</f>
        <v/>
      </c>
      <c r="AJ329" s="208" t="e">
        <f aca="false">A329+DAY(EOMONTH(A329,0))/2-1</f>
        <v>#VALUE!</v>
      </c>
      <c r="AK329" s="209" t="str">
        <f aca="false">IF($A330="","",$A329-$E$1)</f>
        <v/>
      </c>
      <c r="AL329" s="182" t="str">
        <f aca="false">IF($A330="","",SPRDOPT(P329,X329,AI329,0,AB329,AE329,AF329,AK329,$AJ$2,0))</f>
        <v/>
      </c>
      <c r="AM329" s="211" t="str">
        <f aca="false">IF($A330="","",MAX(0,O329-W329-AI329))</f>
        <v/>
      </c>
      <c r="AN329" s="211" t="str">
        <f aca="false">IF($A330="","",AL329-AM329)</f>
        <v/>
      </c>
      <c r="AO329" s="137" t="str">
        <f aca="false">IF(A330="","",A330-A329)</f>
        <v/>
      </c>
      <c r="AP329" s="212" t="str">
        <f aca="false">IF(A330="","",CHOOSE(F$3,A330+24,A329))</f>
        <v/>
      </c>
      <c r="AQ329" s="209" t="str">
        <f aca="false">IF(A330="","",AP329-$E$1)</f>
        <v/>
      </c>
      <c r="AR329" s="185" t="n">
        <f aca="false">'ANR OK vs ML7'!AR329</f>
        <v>0.1</v>
      </c>
      <c r="AS329" s="213" t="str">
        <f aca="false">IF(A330="","",1/(1+CHOOSE(F$3,(AR330+($I$3/10000))/2,(AR329+($I$3/10000))/2))^(2*AQ329/365.25))</f>
        <v/>
      </c>
      <c r="AT329" s="137" t="str">
        <f aca="false">IF(A330="","",IF(AND(mthbeg&lt;=A329,mthend&gt;=A329),1,0))</f>
        <v/>
      </c>
      <c r="AU329" s="137" t="str">
        <f aca="false">IF(A330="","",AO329*AT329)</f>
        <v/>
      </c>
      <c r="AW329" s="195" t="str">
        <f aca="false">IF($A330="","",AL329*$E329)</f>
        <v/>
      </c>
      <c r="AX329" s="195" t="str">
        <f aca="false">IF($A330="","",AM329*$E329)</f>
        <v/>
      </c>
      <c r="AY329" s="195" t="str">
        <f aca="false">IF($A330="","",AN329*$E329)</f>
        <v/>
      </c>
      <c r="BA329" s="195" t="str">
        <f aca="false">IF($A330="","",F329*Summary!$Q$14)</f>
        <v/>
      </c>
    </row>
    <row r="330" customFormat="false" ht="12" hidden="false" customHeight="true" outlineLevel="0" collapsed="false">
      <c r="A330" s="196" t="str">
        <f aca="false">IF(A329&lt;mthend,EDATE(A329,1),"")</f>
        <v/>
      </c>
      <c r="B330" s="197" t="str">
        <f aca="false">IF(A330&lt;mthend,B329,"")</f>
        <v/>
      </c>
      <c r="C330" s="215"/>
      <c r="D330" s="197" t="str">
        <f aca="false">IF(A331&lt;&gt;"",B330+C330,"")</f>
        <v/>
      </c>
      <c r="E330" s="199" t="str">
        <f aca="false">IF(A331="","",IF(AND(AT330=1,$H$3=1),D330*AO330,IF($H$3=2,D330,"N/A")))</f>
        <v/>
      </c>
      <c r="F330" s="199" t="str">
        <f aca="false">IF(A331="","",E330*AS330)</f>
        <v/>
      </c>
      <c r="G330" s="200" t="str">
        <f aca="false">IF($A331="","",VLOOKUP($A330,Table,MATCH(G$4,Curves,0)))</f>
        <v/>
      </c>
      <c r="H330" s="201" t="str">
        <f aca="false">IF(A331="","",G330)</f>
        <v/>
      </c>
      <c r="I330" s="202"/>
      <c r="J330" s="200" t="str">
        <f aca="false">IF($A331="","",VLOOKUP($A330,Table,MATCH(J$4,Curves,0)))</f>
        <v/>
      </c>
      <c r="K330" s="201" t="str">
        <f aca="false">IF(A331="","",J330)</f>
        <v/>
      </c>
      <c r="L330" s="185" t="n">
        <v>0</v>
      </c>
      <c r="M330" s="201" t="str">
        <f aca="false">IF(A331="","",L330)</f>
        <v/>
      </c>
      <c r="N330" s="203"/>
      <c r="O330" s="200" t="str">
        <f aca="false">IF(A331="","",L330+J330+G330)</f>
        <v/>
      </c>
      <c r="P330" s="200" t="str">
        <f aca="false">IF(A331="","",M330+K330+H330)</f>
        <v/>
      </c>
      <c r="Q330" s="204"/>
      <c r="R330" s="200" t="str">
        <f aca="false">IF($A331="","",VLOOKUP($A330,Table,MATCH(R$4,Curves,0)))</f>
        <v/>
      </c>
      <c r="S330" s="201" t="str">
        <f aca="false">IF(A331="","",R330)</f>
        <v/>
      </c>
      <c r="T330" s="200" t="str">
        <f aca="false">IF($A331="","",VLOOKUP($A330,Table,MATCH(T$4,Curves,0)))</f>
        <v/>
      </c>
      <c r="U330" s="201" t="str">
        <f aca="false">IF(A331="","",T330)</f>
        <v/>
      </c>
      <c r="V330" s="183" t="str">
        <f aca="false">IF($A331="","",IF(AND(MONTH(A330)&gt;3,MONTH(A330)&lt;11),(T330+R330+G330)*(((1/(1-Summary!$T$14))/(1-Summary!$W$14))-1),(T330+R330+G330)*((1/(1-Summary!$U$14))/(1-Summary!$X$14)-1)))</f>
        <v/>
      </c>
      <c r="W330" s="202" t="str">
        <f aca="false">IF($A331="","",(T330+R330+G330+V330))</f>
        <v/>
      </c>
      <c r="X330" s="202" t="str">
        <f aca="false">IF($A331="","",(U330+S330+H330+V330))</f>
        <v/>
      </c>
      <c r="Y330" s="202"/>
      <c r="Z330" s="185" t="str">
        <f aca="false">IF($A331="","",VLOOKUP($A330,Table,MATCH(Z$4,Curves,0)))</f>
        <v/>
      </c>
      <c r="AA330" s="185" t="str">
        <f aca="false">IF($A331="","",VLOOKUP($A330,Table,MATCH(AA$4,Curves,0)))</f>
        <v/>
      </c>
      <c r="AB330" s="185" t="e">
        <f aca="false">SQRT((AA330^2*(A330-$D$3)+Z330^2*(DAY(EOMONTH(A330,0))/2))/AK330)</f>
        <v>#VALUE!</v>
      </c>
      <c r="AC330" s="185" t="str">
        <f aca="false">IF($A331="","",VLOOKUP($A330,Table,MATCH(AC$4,Curves,0)))</f>
        <v/>
      </c>
      <c r="AD330" s="185" t="str">
        <f aca="false">IF($A331="","",VLOOKUP($A330,Table,MATCH(AD$4,Curves,0)))</f>
        <v/>
      </c>
      <c r="AE330" s="185" t="e">
        <f aca="false">SQRT((AD330^2*(A330-$D$3)+AC330^2*(DAY(EOMONTH(A330,0))/2))/AK330)</f>
        <v>#VALUE!</v>
      </c>
      <c r="AF330" s="224" t="e">
        <f aca="false">((Summary!$N$14*(AA330*AD330)*(A330-$D$3))+(Summary!$M$14*Z330*AC330*(AJ330-EOMONTH(EDATE(A330,-1),0))))/(AK330*AB330*AE330)</f>
        <v>#VALUE!</v>
      </c>
      <c r="AG330" s="207" t="str">
        <f aca="false">IF($A331="","",Summary!$Q$14)</f>
        <v/>
      </c>
      <c r="AH330" s="207" t="str">
        <f aca="false">IF($A331="","",IF(Summary!$R$12="Y",(VLOOKUP($A330,Summary!$AD$6:$AF$9,3)+'Escalating commodity'!J343),'Escalating commodity'!J343))</f>
        <v/>
      </c>
      <c r="AI330" s="207" t="str">
        <f aca="false">IF($A331="","",AH330)</f>
        <v/>
      </c>
      <c r="AJ330" s="208" t="e">
        <f aca="false">A330+DAY(EOMONTH(A330,0))/2-1</f>
        <v>#VALUE!</v>
      </c>
      <c r="AK330" s="209" t="str">
        <f aca="false">IF($A331="","",$A330-$E$1)</f>
        <v/>
      </c>
      <c r="AL330" s="182" t="str">
        <f aca="false">IF($A331="","",SPRDOPT(P330,X330,AI330,0,AB330,AE330,AF330,AK330,$AJ$2,0))</f>
        <v/>
      </c>
      <c r="AM330" s="211" t="str">
        <f aca="false">IF($A331="","",MAX(0,O330-W330-AI330))</f>
        <v/>
      </c>
      <c r="AN330" s="211" t="str">
        <f aca="false">IF($A331="","",AL330-AM330)</f>
        <v/>
      </c>
      <c r="AO330" s="137" t="str">
        <f aca="false">IF(A331="","",A331-A330)</f>
        <v/>
      </c>
      <c r="AP330" s="212" t="str">
        <f aca="false">IF(A331="","",CHOOSE(F$3,A331+24,A330))</f>
        <v/>
      </c>
      <c r="AQ330" s="209" t="str">
        <f aca="false">IF(A331="","",AP330-$E$1)</f>
        <v/>
      </c>
      <c r="AR330" s="185" t="n">
        <f aca="false">'ANR OK vs ML7'!AR330</f>
        <v>0.1</v>
      </c>
      <c r="AS330" s="213" t="str">
        <f aca="false">IF(A331="","",1/(1+CHOOSE(F$3,(AR331+($I$3/10000))/2,(AR330+($I$3/10000))/2))^(2*AQ330/365.25))</f>
        <v/>
      </c>
      <c r="AT330" s="137" t="str">
        <f aca="false">IF(A331="","",IF(AND(mthbeg&lt;=A330,mthend&gt;=A330),1,0))</f>
        <v/>
      </c>
      <c r="AU330" s="137" t="str">
        <f aca="false">IF(A331="","",AO330*AT330)</f>
        <v/>
      </c>
      <c r="AW330" s="195" t="str">
        <f aca="false">IF($A331="","",AL330*$E330)</f>
        <v/>
      </c>
      <c r="AX330" s="195" t="str">
        <f aca="false">IF($A331="","",AM330*$E330)</f>
        <v/>
      </c>
      <c r="AY330" s="195" t="str">
        <f aca="false">IF($A331="","",AN330*$E330)</f>
        <v/>
      </c>
      <c r="BA330" s="195" t="str">
        <f aca="false">IF($A331="","",F330*Summary!$Q$14)</f>
        <v/>
      </c>
    </row>
    <row r="331" customFormat="false" ht="12" hidden="false" customHeight="true" outlineLevel="0" collapsed="false">
      <c r="A331" s="196" t="str">
        <f aca="false">IF(A330&lt;mthend,EDATE(A330,1),"")</f>
        <v/>
      </c>
      <c r="B331" s="197" t="str">
        <f aca="false">IF(A331&lt;mthend,B330,"")</f>
        <v/>
      </c>
      <c r="C331" s="215"/>
      <c r="D331" s="197" t="str">
        <f aca="false">IF(A332&lt;&gt;"",B331+C331,"")</f>
        <v/>
      </c>
      <c r="E331" s="199" t="str">
        <f aca="false">IF(A332="","",IF(AND(AT331=1,$H$3=1),D331*AO331,IF($H$3=2,D331,"N/A")))</f>
        <v/>
      </c>
      <c r="F331" s="199" t="str">
        <f aca="false">IF(A332="","",E331*AS331)</f>
        <v/>
      </c>
      <c r="G331" s="200" t="str">
        <f aca="false">IF($A332="","",VLOOKUP($A331,Table,MATCH(G$4,Curves,0)))</f>
        <v/>
      </c>
      <c r="H331" s="201" t="str">
        <f aca="false">IF(A332="","",G331)</f>
        <v/>
      </c>
      <c r="I331" s="202"/>
      <c r="J331" s="200" t="str">
        <f aca="false">IF($A332="","",VLOOKUP($A331,Table,MATCH(J$4,Curves,0)))</f>
        <v/>
      </c>
      <c r="K331" s="201" t="str">
        <f aca="false">IF(A332="","",J331)</f>
        <v/>
      </c>
      <c r="L331" s="185" t="n">
        <v>0</v>
      </c>
      <c r="M331" s="201" t="str">
        <f aca="false">IF(A332="","",L331)</f>
        <v/>
      </c>
      <c r="N331" s="203"/>
      <c r="O331" s="200" t="str">
        <f aca="false">IF(A332="","",L331+J331+G331)</f>
        <v/>
      </c>
      <c r="P331" s="200" t="str">
        <f aca="false">IF(A332="","",M331+K331+H331)</f>
        <v/>
      </c>
      <c r="Q331" s="204"/>
      <c r="R331" s="200" t="str">
        <f aca="false">IF($A332="","",VLOOKUP($A331,Table,MATCH(R$4,Curves,0)))</f>
        <v/>
      </c>
      <c r="S331" s="201" t="str">
        <f aca="false">IF(A332="","",R331)</f>
        <v/>
      </c>
      <c r="T331" s="200" t="str">
        <f aca="false">IF($A332="","",VLOOKUP($A331,Table,MATCH(T$4,Curves,0)))</f>
        <v/>
      </c>
      <c r="U331" s="201" t="str">
        <f aca="false">IF(A332="","",T331)</f>
        <v/>
      </c>
      <c r="V331" s="183" t="str">
        <f aca="false">IF($A332="","",IF(AND(MONTH(A331)&gt;3,MONTH(A331)&lt;11),(T331+R331+G331)*(((1/(1-Summary!$T$14))/(1-Summary!$W$14))-1),(T331+R331+G331)*((1/(1-Summary!$U$14))/(1-Summary!$X$14)-1)))</f>
        <v/>
      </c>
      <c r="W331" s="202" t="str">
        <f aca="false">IF($A332="","",(T331+R331+G331+V331))</f>
        <v/>
      </c>
      <c r="X331" s="202" t="str">
        <f aca="false">IF($A332="","",(U331+S331+H331+V331))</f>
        <v/>
      </c>
      <c r="Y331" s="202"/>
      <c r="Z331" s="185" t="str">
        <f aca="false">IF($A332="","",VLOOKUP($A331,Table,MATCH(Z$4,Curves,0)))</f>
        <v/>
      </c>
      <c r="AA331" s="185" t="str">
        <f aca="false">IF($A332="","",VLOOKUP($A331,Table,MATCH(AA$4,Curves,0)))</f>
        <v/>
      </c>
      <c r="AB331" s="185" t="e">
        <f aca="false">SQRT((AA331^2*(A331-$D$3)+Z331^2*(DAY(EOMONTH(A331,0))/2))/AK331)</f>
        <v>#VALUE!</v>
      </c>
      <c r="AC331" s="185" t="str">
        <f aca="false">IF($A332="","",VLOOKUP($A331,Table,MATCH(AC$4,Curves,0)))</f>
        <v/>
      </c>
      <c r="AD331" s="185" t="str">
        <f aca="false">IF($A332="","",VLOOKUP($A331,Table,MATCH(AD$4,Curves,0)))</f>
        <v/>
      </c>
      <c r="AE331" s="185" t="e">
        <f aca="false">SQRT((AD331^2*(A331-$D$3)+AC331^2*(DAY(EOMONTH(A331,0))/2))/AK331)</f>
        <v>#VALUE!</v>
      </c>
      <c r="AF331" s="224" t="e">
        <f aca="false">((Summary!$N$14*(AA331*AD331)*(A331-$D$3))+(Summary!$M$14*Z331*AC331*(AJ331-EOMONTH(EDATE(A331,-1),0))))/(AK331*AB331*AE331)</f>
        <v>#VALUE!</v>
      </c>
      <c r="AG331" s="207" t="str">
        <f aca="false">IF($A332="","",Summary!$Q$14)</f>
        <v/>
      </c>
      <c r="AH331" s="207" t="str">
        <f aca="false">IF($A332="","",IF(Summary!$R$12="Y",(VLOOKUP($A331,Summary!$AD$6:$AF$9,3)+'Escalating commodity'!J344),'Escalating commodity'!J344))</f>
        <v/>
      </c>
      <c r="AI331" s="207" t="str">
        <f aca="false">IF($A332="","",AH331)</f>
        <v/>
      </c>
      <c r="AJ331" s="208" t="e">
        <f aca="false">A331+DAY(EOMONTH(A331,0))/2-1</f>
        <v>#VALUE!</v>
      </c>
      <c r="AK331" s="209" t="str">
        <f aca="false">IF($A332="","",$A331-$E$1)</f>
        <v/>
      </c>
      <c r="AL331" s="182" t="str">
        <f aca="false">IF($A332="","",SPRDOPT(P331,X331,AI331,0,AB331,AE331,AF331,AK331,$AJ$2,0))</f>
        <v/>
      </c>
      <c r="AM331" s="211" t="str">
        <f aca="false">IF($A332="","",MAX(0,O331-W331-AI331))</f>
        <v/>
      </c>
      <c r="AN331" s="211" t="str">
        <f aca="false">IF($A332="","",AL331-AM331)</f>
        <v/>
      </c>
      <c r="AO331" s="137" t="str">
        <f aca="false">IF(A332="","",A332-A331)</f>
        <v/>
      </c>
      <c r="AP331" s="212" t="str">
        <f aca="false">IF(A332="","",CHOOSE(F$3,A332+24,A331))</f>
        <v/>
      </c>
      <c r="AQ331" s="209" t="str">
        <f aca="false">IF(A332="","",AP331-$E$1)</f>
        <v/>
      </c>
      <c r="AR331" s="185" t="n">
        <f aca="false">'ANR OK vs ML7'!AR331</f>
        <v>0.1</v>
      </c>
      <c r="AS331" s="213" t="str">
        <f aca="false">IF(A332="","",1/(1+CHOOSE(F$3,(AR332+($I$3/10000))/2,(AR331+($I$3/10000))/2))^(2*AQ331/365.25))</f>
        <v/>
      </c>
      <c r="AT331" s="137" t="str">
        <f aca="false">IF(A332="","",IF(AND(mthbeg&lt;=A331,mthend&gt;=A331),1,0))</f>
        <v/>
      </c>
      <c r="AU331" s="137" t="str">
        <f aca="false">IF(A332="","",AO331*AT331)</f>
        <v/>
      </c>
      <c r="AW331" s="195" t="str">
        <f aca="false">IF($A332="","",AL331*$E331)</f>
        <v/>
      </c>
      <c r="AX331" s="195" t="str">
        <f aca="false">IF($A332="","",AM331*$E331)</f>
        <v/>
      </c>
      <c r="AY331" s="195" t="str">
        <f aca="false">IF($A332="","",AN331*$E331)</f>
        <v/>
      </c>
      <c r="BA331" s="195" t="str">
        <f aca="false">IF($A332="","",F331*Summary!$Q$14)</f>
        <v/>
      </c>
    </row>
    <row r="332" customFormat="false" ht="12" hidden="false" customHeight="true" outlineLevel="0" collapsed="false">
      <c r="A332" s="196" t="str">
        <f aca="false">IF(A331&lt;mthend,EDATE(A331,1),"")</f>
        <v/>
      </c>
      <c r="B332" s="197" t="str">
        <f aca="false">IF(A332&lt;mthend,B331,"")</f>
        <v/>
      </c>
      <c r="C332" s="215"/>
      <c r="D332" s="197" t="str">
        <f aca="false">IF(A333&lt;&gt;"",B332+C332,"")</f>
        <v/>
      </c>
      <c r="E332" s="199" t="str">
        <f aca="false">IF(A333="","",IF(AND(AT332=1,$H$3=1),D332*AO332,IF($H$3=2,D332,"N/A")))</f>
        <v/>
      </c>
      <c r="F332" s="199" t="str">
        <f aca="false">IF(A333="","",E332*AS332)</f>
        <v/>
      </c>
      <c r="G332" s="200" t="str">
        <f aca="false">IF($A333="","",VLOOKUP($A332,Table,MATCH(G$4,Curves,0)))</f>
        <v/>
      </c>
      <c r="H332" s="201" t="str">
        <f aca="false">IF(A333="","",G332)</f>
        <v/>
      </c>
      <c r="I332" s="202"/>
      <c r="J332" s="200" t="str">
        <f aca="false">IF($A333="","",VLOOKUP($A332,Table,MATCH(J$4,Curves,0)))</f>
        <v/>
      </c>
      <c r="K332" s="201" t="str">
        <f aca="false">IF(A333="","",J332)</f>
        <v/>
      </c>
      <c r="L332" s="185" t="n">
        <v>0</v>
      </c>
      <c r="M332" s="201" t="str">
        <f aca="false">IF(A333="","",L332)</f>
        <v/>
      </c>
      <c r="N332" s="203"/>
      <c r="O332" s="200" t="str">
        <f aca="false">IF(A333="","",L332+J332+G332)</f>
        <v/>
      </c>
      <c r="P332" s="200" t="str">
        <f aca="false">IF(A333="","",M332+K332+H332)</f>
        <v/>
      </c>
      <c r="Q332" s="204"/>
      <c r="R332" s="200" t="str">
        <f aca="false">IF($A333="","",VLOOKUP($A332,Table,MATCH(R$4,Curves,0)))</f>
        <v/>
      </c>
      <c r="S332" s="201" t="str">
        <f aca="false">IF(A333="","",R332)</f>
        <v/>
      </c>
      <c r="T332" s="200" t="str">
        <f aca="false">IF($A333="","",VLOOKUP($A332,Table,MATCH(T$4,Curves,0)))</f>
        <v/>
      </c>
      <c r="U332" s="201" t="str">
        <f aca="false">IF(A333="","",T332)</f>
        <v/>
      </c>
      <c r="V332" s="183" t="str">
        <f aca="false">IF($A333="","",IF(AND(MONTH(A332)&gt;3,MONTH(A332)&lt;11),(T332+R332+G332)*(((1/(1-Summary!$T$14))/(1-Summary!$W$14))-1),(T332+R332+G332)*((1/(1-Summary!$U$14))/(1-Summary!$X$14)-1)))</f>
        <v/>
      </c>
      <c r="W332" s="202" t="str">
        <f aca="false">IF($A333="","",(T332+R332+G332+V332))</f>
        <v/>
      </c>
      <c r="X332" s="202" t="str">
        <f aca="false">IF($A333="","",(U332+S332+H332+V332))</f>
        <v/>
      </c>
      <c r="Y332" s="202"/>
      <c r="Z332" s="185" t="str">
        <f aca="false">IF($A333="","",VLOOKUP($A332,Table,MATCH(Z$4,Curves,0)))</f>
        <v/>
      </c>
      <c r="AA332" s="185" t="str">
        <f aca="false">IF($A333="","",VLOOKUP($A332,Table,MATCH(AA$4,Curves,0)))</f>
        <v/>
      </c>
      <c r="AB332" s="185" t="e">
        <f aca="false">SQRT((AA332^2*(A332-$D$3)+Z332^2*(DAY(EOMONTH(A332,0))/2))/AK332)</f>
        <v>#VALUE!</v>
      </c>
      <c r="AC332" s="185" t="str">
        <f aca="false">IF($A333="","",VLOOKUP($A332,Table,MATCH(AC$4,Curves,0)))</f>
        <v/>
      </c>
      <c r="AD332" s="185" t="str">
        <f aca="false">IF($A333="","",VLOOKUP($A332,Table,MATCH(AD$4,Curves,0)))</f>
        <v/>
      </c>
      <c r="AE332" s="185" t="e">
        <f aca="false">SQRT((AD332^2*(A332-$D$3)+AC332^2*(DAY(EOMONTH(A332,0))/2))/AK332)</f>
        <v>#VALUE!</v>
      </c>
      <c r="AF332" s="224" t="e">
        <f aca="false">((Summary!$N$14*(AA332*AD332)*(A332-$D$3))+(Summary!$M$14*Z332*AC332*(AJ332-EOMONTH(EDATE(A332,-1),0))))/(AK332*AB332*AE332)</f>
        <v>#VALUE!</v>
      </c>
      <c r="AG332" s="207" t="str">
        <f aca="false">IF($A333="","",Summary!$Q$14)</f>
        <v/>
      </c>
      <c r="AH332" s="207" t="str">
        <f aca="false">IF($A333="","",IF(Summary!$R$12="Y",(VLOOKUP($A332,Summary!$AD$6:$AF$9,3)+'Escalating commodity'!J345),'Escalating commodity'!J345))</f>
        <v/>
      </c>
      <c r="AI332" s="207" t="str">
        <f aca="false">IF($A333="","",AH332)</f>
        <v/>
      </c>
      <c r="AJ332" s="208" t="e">
        <f aca="false">A332+DAY(EOMONTH(A332,0))/2-1</f>
        <v>#VALUE!</v>
      </c>
      <c r="AK332" s="209" t="str">
        <f aca="false">IF($A333="","",$A332-$E$1)</f>
        <v/>
      </c>
      <c r="AL332" s="182" t="str">
        <f aca="false">IF($A333="","",SPRDOPT(P332,X332,AI332,0,AB332,AE332,AF332,AK332,$AJ$2,0))</f>
        <v/>
      </c>
      <c r="AM332" s="211" t="str">
        <f aca="false">IF($A333="","",MAX(0,O332-W332-AI332))</f>
        <v/>
      </c>
      <c r="AN332" s="211" t="str">
        <f aca="false">IF($A333="","",AL332-AM332)</f>
        <v/>
      </c>
      <c r="AO332" s="137" t="str">
        <f aca="false">IF(A333="","",A333-A332)</f>
        <v/>
      </c>
      <c r="AP332" s="212" t="str">
        <f aca="false">IF(A333="","",CHOOSE(F$3,A333+24,A332))</f>
        <v/>
      </c>
      <c r="AQ332" s="209" t="str">
        <f aca="false">IF(A333="","",AP332-$E$1)</f>
        <v/>
      </c>
      <c r="AR332" s="185" t="n">
        <f aca="false">'ANR OK vs ML7'!AR332</f>
        <v>0.1</v>
      </c>
      <c r="AS332" s="213" t="str">
        <f aca="false">IF(A333="","",1/(1+CHOOSE(F$3,(AR333+($I$3/10000))/2,(AR332+($I$3/10000))/2))^(2*AQ332/365.25))</f>
        <v/>
      </c>
      <c r="AT332" s="137" t="str">
        <f aca="false">IF(A333="","",IF(AND(mthbeg&lt;=A332,mthend&gt;=A332),1,0))</f>
        <v/>
      </c>
      <c r="AU332" s="137" t="str">
        <f aca="false">IF(A333="","",AO332*AT332)</f>
        <v/>
      </c>
      <c r="AW332" s="195" t="str">
        <f aca="false">IF($A333="","",AL332*$E332)</f>
        <v/>
      </c>
      <c r="AX332" s="195" t="str">
        <f aca="false">IF($A333="","",AM332*$E332)</f>
        <v/>
      </c>
      <c r="AY332" s="195" t="str">
        <f aca="false">IF($A333="","",AN332*$E332)</f>
        <v/>
      </c>
      <c r="BA332" s="195" t="str">
        <f aca="false">IF($A333="","",F332*Summary!$Q$14)</f>
        <v/>
      </c>
    </row>
    <row r="333" customFormat="false" ht="12" hidden="false" customHeight="true" outlineLevel="0" collapsed="false">
      <c r="A333" s="196" t="str">
        <f aca="false">IF(A332&lt;mthend,EDATE(A332,1),"")</f>
        <v/>
      </c>
      <c r="B333" s="197" t="str">
        <f aca="false">IF(A333&lt;mthend,B332,"")</f>
        <v/>
      </c>
      <c r="C333" s="215"/>
      <c r="D333" s="197" t="str">
        <f aca="false">IF(A334&lt;&gt;"",B333+C333,"")</f>
        <v/>
      </c>
      <c r="E333" s="199" t="str">
        <f aca="false">IF(A334="","",IF(AND(AT333=1,$H$3=1),D333*AO333,IF($H$3=2,D333,"N/A")))</f>
        <v/>
      </c>
      <c r="F333" s="199" t="str">
        <f aca="false">IF(A334="","",E333*AS333)</f>
        <v/>
      </c>
      <c r="G333" s="200" t="str">
        <f aca="false">IF($A334="","",VLOOKUP($A333,Table,MATCH(G$4,Curves,0)))</f>
        <v/>
      </c>
      <c r="H333" s="201" t="str">
        <f aca="false">IF(A334="","",G333)</f>
        <v/>
      </c>
      <c r="I333" s="202"/>
      <c r="J333" s="200" t="str">
        <f aca="false">IF($A334="","",VLOOKUP($A333,Table,MATCH(J$4,Curves,0)))</f>
        <v/>
      </c>
      <c r="K333" s="201" t="str">
        <f aca="false">IF(A334="","",J333)</f>
        <v/>
      </c>
      <c r="L333" s="185" t="n">
        <v>0</v>
      </c>
      <c r="M333" s="201" t="str">
        <f aca="false">IF(A334="","",L333)</f>
        <v/>
      </c>
      <c r="N333" s="203"/>
      <c r="O333" s="200" t="str">
        <f aca="false">IF(A334="","",L333+J333+G333)</f>
        <v/>
      </c>
      <c r="P333" s="200" t="str">
        <f aca="false">IF(A334="","",M333+K333+H333)</f>
        <v/>
      </c>
      <c r="Q333" s="204"/>
      <c r="R333" s="200" t="str">
        <f aca="false">IF($A334="","",VLOOKUP($A333,Table,MATCH(R$4,Curves,0)))</f>
        <v/>
      </c>
      <c r="S333" s="201" t="str">
        <f aca="false">IF(A334="","",R333)</f>
        <v/>
      </c>
      <c r="T333" s="200" t="str">
        <f aca="false">IF($A334="","",VLOOKUP($A333,Table,MATCH(T$4,Curves,0)))</f>
        <v/>
      </c>
      <c r="U333" s="201" t="str">
        <f aca="false">IF(A334="","",T333)</f>
        <v/>
      </c>
      <c r="V333" s="183" t="str">
        <f aca="false">IF($A334="","",IF(AND(MONTH(A333)&gt;3,MONTH(A333)&lt;11),(T333+R333+G333)*(((1/(1-Summary!$T$14))/(1-Summary!$W$14))-1),(T333+R333+G333)*((1/(1-Summary!$U$14))/(1-Summary!$X$14)-1)))</f>
        <v/>
      </c>
      <c r="W333" s="202" t="str">
        <f aca="false">IF($A334="","",(T333+R333+G333+V333))</f>
        <v/>
      </c>
      <c r="X333" s="202" t="str">
        <f aca="false">IF($A334="","",(U333+S333+H333+V333))</f>
        <v/>
      </c>
      <c r="Y333" s="202"/>
      <c r="Z333" s="185" t="str">
        <f aca="false">IF($A334="","",VLOOKUP($A333,Table,MATCH(Z$4,Curves,0)))</f>
        <v/>
      </c>
      <c r="AA333" s="185" t="str">
        <f aca="false">IF($A334="","",VLOOKUP($A333,Table,MATCH(AA$4,Curves,0)))</f>
        <v/>
      </c>
      <c r="AB333" s="185" t="e">
        <f aca="false">SQRT((AA333^2*(A333-$D$3)+Z333^2*(DAY(EOMONTH(A333,0))/2))/AK333)</f>
        <v>#VALUE!</v>
      </c>
      <c r="AC333" s="185" t="str">
        <f aca="false">IF($A334="","",VLOOKUP($A333,Table,MATCH(AC$4,Curves,0)))</f>
        <v/>
      </c>
      <c r="AD333" s="185" t="str">
        <f aca="false">IF($A334="","",VLOOKUP($A333,Table,MATCH(AD$4,Curves,0)))</f>
        <v/>
      </c>
      <c r="AE333" s="185" t="e">
        <f aca="false">SQRT((AD333^2*(A333-$D$3)+AC333^2*(DAY(EOMONTH(A333,0))/2))/AK333)</f>
        <v>#VALUE!</v>
      </c>
      <c r="AF333" s="224" t="e">
        <f aca="false">((Summary!$N$14*(AA333*AD333)*(A333-$D$3))+(Summary!$M$14*Z333*AC333*(AJ333-EOMONTH(EDATE(A333,-1),0))))/(AK333*AB333*AE333)</f>
        <v>#VALUE!</v>
      </c>
      <c r="AG333" s="207" t="str">
        <f aca="false">IF($A334="","",Summary!$Q$14)</f>
        <v/>
      </c>
      <c r="AH333" s="207" t="str">
        <f aca="false">IF($A334="","",IF(Summary!$R$12="Y",(VLOOKUP($A333,Summary!$AD$6:$AF$9,3)+'Escalating commodity'!J346),'Escalating commodity'!J346))</f>
        <v/>
      </c>
      <c r="AI333" s="207" t="str">
        <f aca="false">IF($A334="","",AH333)</f>
        <v/>
      </c>
      <c r="AJ333" s="208" t="e">
        <f aca="false">A333+DAY(EOMONTH(A333,0))/2-1</f>
        <v>#VALUE!</v>
      </c>
      <c r="AK333" s="209" t="str">
        <f aca="false">IF($A334="","",$A333-$E$1)</f>
        <v/>
      </c>
      <c r="AL333" s="182" t="str">
        <f aca="false">IF($A334="","",SPRDOPT(P333,X333,AI333,0,AB333,AE333,AF333,AK333,$AJ$2,0))</f>
        <v/>
      </c>
      <c r="AM333" s="211" t="str">
        <f aca="false">IF($A334="","",MAX(0,O333-W333-AI333))</f>
        <v/>
      </c>
      <c r="AN333" s="211" t="str">
        <f aca="false">IF($A334="","",AL333-AM333)</f>
        <v/>
      </c>
      <c r="AO333" s="137" t="str">
        <f aca="false">IF(A334="","",A334-A333)</f>
        <v/>
      </c>
      <c r="AP333" s="212" t="str">
        <f aca="false">IF(A334="","",CHOOSE(F$3,A334+24,A333))</f>
        <v/>
      </c>
      <c r="AQ333" s="209" t="str">
        <f aca="false">IF(A334="","",AP333-$E$1)</f>
        <v/>
      </c>
      <c r="AR333" s="185" t="n">
        <f aca="false">'ANR OK vs ML7'!AR333</f>
        <v>0.1</v>
      </c>
      <c r="AS333" s="213" t="str">
        <f aca="false">IF(A334="","",1/(1+CHOOSE(F$3,(AR334+($I$3/10000))/2,(AR333+($I$3/10000))/2))^(2*AQ333/365.25))</f>
        <v/>
      </c>
      <c r="AT333" s="137" t="str">
        <f aca="false">IF(A334="","",IF(AND(mthbeg&lt;=A333,mthend&gt;=A333),1,0))</f>
        <v/>
      </c>
      <c r="AU333" s="137" t="str">
        <f aca="false">IF(A334="","",AO333*AT333)</f>
        <v/>
      </c>
      <c r="AW333" s="195" t="str">
        <f aca="false">IF($A334="","",AL333*$E333)</f>
        <v/>
      </c>
      <c r="AX333" s="195" t="str">
        <f aca="false">IF($A334="","",AM333*$E333)</f>
        <v/>
      </c>
      <c r="AY333" s="195" t="str">
        <f aca="false">IF($A334="","",AN333*$E333)</f>
        <v/>
      </c>
      <c r="BA333" s="195" t="str">
        <f aca="false">IF($A334="","",F333*Summary!$Q$14)</f>
        <v/>
      </c>
    </row>
    <row r="334" customFormat="false" ht="12" hidden="false" customHeight="true" outlineLevel="0" collapsed="false">
      <c r="A334" s="196" t="str">
        <f aca="false">IF(A333&lt;mthend,EDATE(A333,1),"")</f>
        <v/>
      </c>
      <c r="B334" s="197" t="str">
        <f aca="false">IF(A334&lt;mthend,B333,"")</f>
        <v/>
      </c>
      <c r="C334" s="215"/>
      <c r="D334" s="197" t="str">
        <f aca="false">IF(A335&lt;&gt;"",B334+C334,"")</f>
        <v/>
      </c>
      <c r="E334" s="199" t="str">
        <f aca="false">IF(A335="","",IF(AND(AT334=1,$H$3=1),D334*AO334,IF($H$3=2,D334,"N/A")))</f>
        <v/>
      </c>
      <c r="F334" s="199" t="str">
        <f aca="false">IF(A335="","",E334*AS334)</f>
        <v/>
      </c>
      <c r="G334" s="200" t="str">
        <f aca="false">IF($A335="","",VLOOKUP($A334,Table,MATCH(G$4,Curves,0)))</f>
        <v/>
      </c>
      <c r="H334" s="201" t="str">
        <f aca="false">IF(A335="","",G334)</f>
        <v/>
      </c>
      <c r="I334" s="202"/>
      <c r="J334" s="200" t="str">
        <f aca="false">IF($A335="","",VLOOKUP($A334,Table,MATCH(J$4,Curves,0)))</f>
        <v/>
      </c>
      <c r="K334" s="201" t="str">
        <f aca="false">IF(A335="","",J334)</f>
        <v/>
      </c>
      <c r="L334" s="185" t="n">
        <v>0</v>
      </c>
      <c r="M334" s="201" t="str">
        <f aca="false">IF(A335="","",L334)</f>
        <v/>
      </c>
      <c r="N334" s="203"/>
      <c r="O334" s="200" t="str">
        <f aca="false">IF(A335="","",L334+J334+G334)</f>
        <v/>
      </c>
      <c r="P334" s="200" t="str">
        <f aca="false">IF(A335="","",M334+K334+H334)</f>
        <v/>
      </c>
      <c r="Q334" s="204"/>
      <c r="R334" s="200" t="str">
        <f aca="false">IF($A335="","",VLOOKUP($A334,Table,MATCH(R$4,Curves,0)))</f>
        <v/>
      </c>
      <c r="S334" s="201" t="str">
        <f aca="false">IF(A335="","",R334)</f>
        <v/>
      </c>
      <c r="T334" s="200" t="str">
        <f aca="false">IF($A335="","",VLOOKUP($A334,Table,MATCH(T$4,Curves,0)))</f>
        <v/>
      </c>
      <c r="U334" s="201" t="str">
        <f aca="false">IF(A335="","",T334)</f>
        <v/>
      </c>
      <c r="V334" s="183" t="str">
        <f aca="false">IF($A335="","",IF(AND(MONTH(A334)&gt;3,MONTH(A334)&lt;11),(T334+R334+G334)*(((1/(1-Summary!$T$14))/(1-Summary!$W$14))-1),(T334+R334+G334)*((1/(1-Summary!$U$14))/(1-Summary!$X$14)-1)))</f>
        <v/>
      </c>
      <c r="W334" s="202" t="str">
        <f aca="false">IF($A335="","",(T334+R334+G334+V334))</f>
        <v/>
      </c>
      <c r="X334" s="202" t="str">
        <f aca="false">IF($A335="","",(U334+S334+H334+V334))</f>
        <v/>
      </c>
      <c r="Y334" s="202"/>
      <c r="Z334" s="185" t="str">
        <f aca="false">IF($A335="","",VLOOKUP($A334,Table,MATCH(Z$4,Curves,0)))</f>
        <v/>
      </c>
      <c r="AA334" s="185" t="str">
        <f aca="false">IF($A335="","",VLOOKUP($A334,Table,MATCH(AA$4,Curves,0)))</f>
        <v/>
      </c>
      <c r="AB334" s="185" t="e">
        <f aca="false">SQRT((AA334^2*(A334-$D$3)+Z334^2*(DAY(EOMONTH(A334,0))/2))/AK334)</f>
        <v>#VALUE!</v>
      </c>
      <c r="AC334" s="185" t="str">
        <f aca="false">IF($A335="","",VLOOKUP($A334,Table,MATCH(AC$4,Curves,0)))</f>
        <v/>
      </c>
      <c r="AD334" s="185" t="str">
        <f aca="false">IF($A335="","",VLOOKUP($A334,Table,MATCH(AD$4,Curves,0)))</f>
        <v/>
      </c>
      <c r="AE334" s="185" t="e">
        <f aca="false">SQRT((AD334^2*(A334-$D$3)+AC334^2*(DAY(EOMONTH(A334,0))/2))/AK334)</f>
        <v>#VALUE!</v>
      </c>
      <c r="AF334" s="224" t="e">
        <f aca="false">((Summary!$N$14*(AA334*AD334)*(A334-$D$3))+(Summary!$M$14*Z334*AC334*(AJ334-EOMONTH(EDATE(A334,-1),0))))/(AK334*AB334*AE334)</f>
        <v>#VALUE!</v>
      </c>
      <c r="AG334" s="207" t="str">
        <f aca="false">IF($A335="","",Summary!$Q$14)</f>
        <v/>
      </c>
      <c r="AH334" s="207" t="str">
        <f aca="false">IF($A335="","",IF(Summary!$R$12="Y",(VLOOKUP($A334,Summary!$AD$6:$AF$9,3)+'Escalating commodity'!J347),'Escalating commodity'!J347))</f>
        <v/>
      </c>
      <c r="AI334" s="207" t="str">
        <f aca="false">IF($A335="","",AH334)</f>
        <v/>
      </c>
      <c r="AJ334" s="208" t="e">
        <f aca="false">A334+DAY(EOMONTH(A334,0))/2-1</f>
        <v>#VALUE!</v>
      </c>
      <c r="AK334" s="209" t="str">
        <f aca="false">IF($A335="","",$A334-$E$1)</f>
        <v/>
      </c>
      <c r="AL334" s="182" t="str">
        <f aca="false">IF($A335="","",SPRDOPT(P334,X334,AI334,0,AB334,AE334,AF334,AK334,$AJ$2,0))</f>
        <v/>
      </c>
      <c r="AM334" s="211" t="str">
        <f aca="false">IF($A335="","",MAX(0,O334-W334-AI334))</f>
        <v/>
      </c>
      <c r="AN334" s="211" t="str">
        <f aca="false">IF($A335="","",AL334-AM334)</f>
        <v/>
      </c>
      <c r="AO334" s="137" t="str">
        <f aca="false">IF(A335="","",A335-A334)</f>
        <v/>
      </c>
      <c r="AP334" s="212" t="str">
        <f aca="false">IF(A335="","",CHOOSE(F$3,A335+24,A334))</f>
        <v/>
      </c>
      <c r="AQ334" s="209" t="str">
        <f aca="false">IF(A335="","",AP334-$E$1)</f>
        <v/>
      </c>
      <c r="AR334" s="185" t="n">
        <f aca="false">'ANR OK vs ML7'!AR334</f>
        <v>0.1</v>
      </c>
      <c r="AS334" s="213" t="str">
        <f aca="false">IF(A335="","",1/(1+CHOOSE(F$3,(AR335+($I$3/10000))/2,(AR334+($I$3/10000))/2))^(2*AQ334/365.25))</f>
        <v/>
      </c>
      <c r="AT334" s="137" t="str">
        <f aca="false">IF(A335="","",IF(AND(mthbeg&lt;=A334,mthend&gt;=A334),1,0))</f>
        <v/>
      </c>
      <c r="AU334" s="137" t="str">
        <f aca="false">IF(A335="","",AO334*AT334)</f>
        <v/>
      </c>
      <c r="AW334" s="195" t="str">
        <f aca="false">IF($A335="","",AL334*$E334)</f>
        <v/>
      </c>
      <c r="AX334" s="195" t="str">
        <f aca="false">IF($A335="","",AM334*$E334)</f>
        <v/>
      </c>
      <c r="AY334" s="195" t="str">
        <f aca="false">IF($A335="","",AN334*$E334)</f>
        <v/>
      </c>
      <c r="BA334" s="195" t="str">
        <f aca="false">IF($A335="","",F334*Summary!$Q$14)</f>
        <v/>
      </c>
    </row>
    <row r="335" customFormat="false" ht="12" hidden="false" customHeight="true" outlineLevel="0" collapsed="false">
      <c r="A335" s="196" t="str">
        <f aca="false">IF(A334&lt;mthend,EDATE(A334,1),"")</f>
        <v/>
      </c>
      <c r="B335" s="197" t="str">
        <f aca="false">IF(A335&lt;mthend,B334,"")</f>
        <v/>
      </c>
      <c r="C335" s="215"/>
      <c r="D335" s="197" t="str">
        <f aca="false">IF(A336&lt;&gt;"",B335+C335,"")</f>
        <v/>
      </c>
      <c r="E335" s="199" t="str">
        <f aca="false">IF(A336="","",IF(AND(AT335=1,$H$3=1),D335*AO335,IF($H$3=2,D335,"N/A")))</f>
        <v/>
      </c>
      <c r="F335" s="199" t="str">
        <f aca="false">IF(A336="","",E335*AS335)</f>
        <v/>
      </c>
      <c r="G335" s="200" t="str">
        <f aca="false">IF($A336="","",VLOOKUP($A335,Table,MATCH(G$4,Curves,0)))</f>
        <v/>
      </c>
      <c r="H335" s="201" t="str">
        <f aca="false">IF(A336="","",G335)</f>
        <v/>
      </c>
      <c r="I335" s="202"/>
      <c r="J335" s="200" t="str">
        <f aca="false">IF($A336="","",VLOOKUP($A335,Table,MATCH(J$4,Curves,0)))</f>
        <v/>
      </c>
      <c r="K335" s="201" t="str">
        <f aca="false">IF(A336="","",J335)</f>
        <v/>
      </c>
      <c r="L335" s="185" t="n">
        <v>0</v>
      </c>
      <c r="M335" s="201" t="str">
        <f aca="false">IF(A336="","",L335)</f>
        <v/>
      </c>
      <c r="N335" s="203"/>
      <c r="O335" s="200" t="str">
        <f aca="false">IF(A336="","",L335+J335+G335)</f>
        <v/>
      </c>
      <c r="P335" s="200" t="str">
        <f aca="false">IF(A336="","",M335+K335+H335)</f>
        <v/>
      </c>
      <c r="Q335" s="204"/>
      <c r="R335" s="200" t="str">
        <f aca="false">IF($A336="","",VLOOKUP($A335,Table,MATCH(R$4,Curves,0)))</f>
        <v/>
      </c>
      <c r="S335" s="201" t="str">
        <f aca="false">IF(A336="","",R335)</f>
        <v/>
      </c>
      <c r="T335" s="200" t="str">
        <f aca="false">IF($A336="","",VLOOKUP($A335,Table,MATCH(T$4,Curves,0)))</f>
        <v/>
      </c>
      <c r="U335" s="201" t="str">
        <f aca="false">IF(A336="","",T335)</f>
        <v/>
      </c>
      <c r="V335" s="183" t="str">
        <f aca="false">IF($A336="","",IF(AND(MONTH(A335)&gt;3,MONTH(A335)&lt;11),(T335+R335+G335)*(((1/(1-Summary!$T$14))/(1-Summary!$W$14))-1),(T335+R335+G335)*((1/(1-Summary!$U$14))/(1-Summary!$X$14)-1)))</f>
        <v/>
      </c>
      <c r="W335" s="202" t="str">
        <f aca="false">IF($A336="","",(T335+R335+G335+V335))</f>
        <v/>
      </c>
      <c r="X335" s="202" t="str">
        <f aca="false">IF($A336="","",(U335+S335+H335+V335))</f>
        <v/>
      </c>
      <c r="Y335" s="202"/>
      <c r="Z335" s="185" t="str">
        <f aca="false">IF($A336="","",VLOOKUP($A335,Table,MATCH(Z$4,Curves,0)))</f>
        <v/>
      </c>
      <c r="AA335" s="185" t="str">
        <f aca="false">IF($A336="","",VLOOKUP($A335,Table,MATCH(AA$4,Curves,0)))</f>
        <v/>
      </c>
      <c r="AB335" s="185" t="e">
        <f aca="false">SQRT((AA335^2*(A335-$D$3)+Z335^2*(DAY(EOMONTH(A335,0))/2))/AK335)</f>
        <v>#VALUE!</v>
      </c>
      <c r="AC335" s="185" t="str">
        <f aca="false">IF($A336="","",VLOOKUP($A335,Table,MATCH(AC$4,Curves,0)))</f>
        <v/>
      </c>
      <c r="AD335" s="185" t="str">
        <f aca="false">IF($A336="","",VLOOKUP($A335,Table,MATCH(AD$4,Curves,0)))</f>
        <v/>
      </c>
      <c r="AE335" s="185" t="e">
        <f aca="false">SQRT((AD335^2*(A335-$D$3)+AC335^2*(DAY(EOMONTH(A335,0))/2))/AK335)</f>
        <v>#VALUE!</v>
      </c>
      <c r="AF335" s="224" t="e">
        <f aca="false">((Summary!$N$14*(AA335*AD335)*(A335-$D$3))+(Summary!$M$14*Z335*AC335*(AJ335-EOMONTH(EDATE(A335,-1),0))))/(AK335*AB335*AE335)</f>
        <v>#VALUE!</v>
      </c>
      <c r="AG335" s="207" t="str">
        <f aca="false">IF($A336="","",Summary!$Q$14)</f>
        <v/>
      </c>
      <c r="AH335" s="207" t="str">
        <f aca="false">IF($A336="","",IF(Summary!$R$12="Y",(VLOOKUP($A335,Summary!$AD$6:$AF$9,3)+'Escalating commodity'!J348),'Escalating commodity'!J348))</f>
        <v/>
      </c>
      <c r="AI335" s="207" t="str">
        <f aca="false">IF($A336="","",AH335)</f>
        <v/>
      </c>
      <c r="AJ335" s="208" t="e">
        <f aca="false">A335+DAY(EOMONTH(A335,0))/2-1</f>
        <v>#VALUE!</v>
      </c>
      <c r="AK335" s="209" t="str">
        <f aca="false">IF($A336="","",$A335-$E$1)</f>
        <v/>
      </c>
      <c r="AL335" s="182" t="str">
        <f aca="false">IF($A336="","",SPRDOPT(P335,X335,AI335,0,AB335,AE335,AF335,AK335,$AJ$2,0))</f>
        <v/>
      </c>
      <c r="AM335" s="211" t="str">
        <f aca="false">IF($A336="","",MAX(0,O335-W335-AI335))</f>
        <v/>
      </c>
      <c r="AN335" s="211" t="str">
        <f aca="false">IF($A336="","",AL335-AM335)</f>
        <v/>
      </c>
      <c r="AO335" s="137" t="str">
        <f aca="false">IF(A336="","",A336-A335)</f>
        <v/>
      </c>
      <c r="AP335" s="212" t="str">
        <f aca="false">IF(A336="","",CHOOSE(F$3,A336+24,A335))</f>
        <v/>
      </c>
      <c r="AQ335" s="209" t="str">
        <f aca="false">IF(A336="","",AP335-$E$1)</f>
        <v/>
      </c>
      <c r="AR335" s="185" t="n">
        <f aca="false">'ANR OK vs ML7'!AR335</f>
        <v>0.1</v>
      </c>
      <c r="AS335" s="213" t="str">
        <f aca="false">IF(A336="","",1/(1+CHOOSE(F$3,(AR336+($I$3/10000))/2,(AR335+($I$3/10000))/2))^(2*AQ335/365.25))</f>
        <v/>
      </c>
      <c r="AT335" s="137" t="str">
        <f aca="false">IF(A336="","",IF(AND(mthbeg&lt;=A335,mthend&gt;=A335),1,0))</f>
        <v/>
      </c>
      <c r="AU335" s="137" t="str">
        <f aca="false">IF(A336="","",AO335*AT335)</f>
        <v/>
      </c>
      <c r="AW335" s="195" t="str">
        <f aca="false">IF($A336="","",AL335*$E335)</f>
        <v/>
      </c>
      <c r="AX335" s="195" t="str">
        <f aca="false">IF($A336="","",AM335*$E335)</f>
        <v/>
      </c>
      <c r="AY335" s="195" t="str">
        <f aca="false">IF($A336="","",AN335*$E335)</f>
        <v/>
      </c>
      <c r="BA335" s="195" t="str">
        <f aca="false">IF($A336="","",F335*Summary!$Q$14)</f>
        <v/>
      </c>
    </row>
    <row r="336" customFormat="false" ht="12" hidden="false" customHeight="true" outlineLevel="0" collapsed="false">
      <c r="A336" s="196" t="str">
        <f aca="false">IF(A335&lt;mthend,EDATE(A335,1),"")</f>
        <v/>
      </c>
      <c r="B336" s="197" t="str">
        <f aca="false">IF(A336&lt;mthend,B335,"")</f>
        <v/>
      </c>
      <c r="C336" s="215"/>
      <c r="D336" s="197" t="str">
        <f aca="false">IF(A337&lt;&gt;"",B336+C336,"")</f>
        <v/>
      </c>
      <c r="E336" s="199" t="str">
        <f aca="false">IF(A337="","",IF(AND(AT336=1,$H$3=1),D336*AO336,IF($H$3=2,D336,"N/A")))</f>
        <v/>
      </c>
      <c r="F336" s="199" t="str">
        <f aca="false">IF(A337="","",E336*AS336)</f>
        <v/>
      </c>
      <c r="G336" s="200" t="str">
        <f aca="false">IF($A337="","",VLOOKUP($A336,Table,MATCH(G$4,Curves,0)))</f>
        <v/>
      </c>
      <c r="H336" s="201" t="str">
        <f aca="false">IF(A337="","",G336)</f>
        <v/>
      </c>
      <c r="I336" s="202"/>
      <c r="J336" s="200" t="str">
        <f aca="false">IF($A337="","",VLOOKUP($A336,Table,MATCH(J$4,Curves,0)))</f>
        <v/>
      </c>
      <c r="K336" s="201" t="str">
        <f aca="false">IF(A337="","",J336)</f>
        <v/>
      </c>
      <c r="L336" s="185" t="n">
        <v>0</v>
      </c>
      <c r="M336" s="201" t="str">
        <f aca="false">IF(A337="","",L336)</f>
        <v/>
      </c>
      <c r="N336" s="203"/>
      <c r="O336" s="200" t="str">
        <f aca="false">IF(A337="","",L336+J336+G336)</f>
        <v/>
      </c>
      <c r="P336" s="200" t="str">
        <f aca="false">IF(A337="","",M336+K336+H336)</f>
        <v/>
      </c>
      <c r="Q336" s="204"/>
      <c r="R336" s="200" t="str">
        <f aca="false">IF($A337="","",VLOOKUP($A336,Table,MATCH(R$4,Curves,0)))</f>
        <v/>
      </c>
      <c r="S336" s="201" t="str">
        <f aca="false">IF(A337="","",R336)</f>
        <v/>
      </c>
      <c r="T336" s="200" t="str">
        <f aca="false">IF($A337="","",VLOOKUP($A336,Table,MATCH(T$4,Curves,0)))</f>
        <v/>
      </c>
      <c r="U336" s="201" t="str">
        <f aca="false">IF(A337="","",T336)</f>
        <v/>
      </c>
      <c r="V336" s="183" t="str">
        <f aca="false">IF($A337="","",IF(AND(MONTH(A336)&gt;3,MONTH(A336)&lt;11),(T336+R336+G336)*(((1/(1-Summary!$T$14))/(1-Summary!$W$14))-1),(T336+R336+G336)*((1/(1-Summary!$U$14))/(1-Summary!$X$14)-1)))</f>
        <v/>
      </c>
      <c r="W336" s="202" t="str">
        <f aca="false">IF($A337="","",(T336+R336+G336+V336))</f>
        <v/>
      </c>
      <c r="X336" s="202" t="str">
        <f aca="false">IF($A337="","",(U336+S336+H336+V336))</f>
        <v/>
      </c>
      <c r="Y336" s="202"/>
      <c r="Z336" s="185" t="str">
        <f aca="false">IF($A337="","",VLOOKUP($A336,Table,MATCH(Z$4,Curves,0)))</f>
        <v/>
      </c>
      <c r="AA336" s="185" t="str">
        <f aca="false">IF($A337="","",VLOOKUP($A336,Table,MATCH(AA$4,Curves,0)))</f>
        <v/>
      </c>
      <c r="AB336" s="185" t="e">
        <f aca="false">SQRT((AA336^2*(A336-$D$3)+Z336^2*(DAY(EOMONTH(A336,0))/2))/AK336)</f>
        <v>#VALUE!</v>
      </c>
      <c r="AC336" s="185" t="str">
        <f aca="false">IF($A337="","",VLOOKUP($A336,Table,MATCH(AC$4,Curves,0)))</f>
        <v/>
      </c>
      <c r="AD336" s="185" t="str">
        <f aca="false">IF($A337="","",VLOOKUP($A336,Table,MATCH(AD$4,Curves,0)))</f>
        <v/>
      </c>
      <c r="AE336" s="185" t="e">
        <f aca="false">SQRT((AD336^2*(A336-$D$3)+AC336^2*(DAY(EOMONTH(A336,0))/2))/AK336)</f>
        <v>#VALUE!</v>
      </c>
      <c r="AF336" s="224" t="e">
        <f aca="false">((Summary!$N$14*(AA336*AD336)*(A336-$D$3))+(Summary!$M$14*Z336*AC336*(AJ336-EOMONTH(EDATE(A336,-1),0))))/(AK336*AB336*AE336)</f>
        <v>#VALUE!</v>
      </c>
      <c r="AG336" s="207" t="str">
        <f aca="false">IF($A337="","",Summary!$Q$14)</f>
        <v/>
      </c>
      <c r="AH336" s="207" t="str">
        <f aca="false">IF($A337="","",IF(Summary!$R$12="Y",(VLOOKUP($A336,Summary!$AD$6:$AF$9,3)+'Escalating commodity'!J349),'Escalating commodity'!J349))</f>
        <v/>
      </c>
      <c r="AI336" s="207" t="str">
        <f aca="false">IF($A337="","",AH336)</f>
        <v/>
      </c>
      <c r="AJ336" s="208" t="e">
        <f aca="false">A336+DAY(EOMONTH(A336,0))/2-1</f>
        <v>#VALUE!</v>
      </c>
      <c r="AK336" s="209" t="str">
        <f aca="false">IF($A337="","",$A336-$E$1)</f>
        <v/>
      </c>
      <c r="AL336" s="182" t="str">
        <f aca="false">IF($A337="","",SPRDOPT(P336,X336,AI336,0,AB336,AE336,AF336,AK336,$AJ$2,0))</f>
        <v/>
      </c>
      <c r="AM336" s="211" t="str">
        <f aca="false">IF($A337="","",MAX(0,O336-W336-AI336))</f>
        <v/>
      </c>
      <c r="AN336" s="211" t="str">
        <f aca="false">IF($A337="","",AL336-AM336)</f>
        <v/>
      </c>
      <c r="AO336" s="137" t="str">
        <f aca="false">IF(A337="","",A337-A336)</f>
        <v/>
      </c>
      <c r="AP336" s="212" t="str">
        <f aca="false">IF(A337="","",CHOOSE(F$3,A337+24,A336))</f>
        <v/>
      </c>
      <c r="AQ336" s="209" t="str">
        <f aca="false">IF(A337="","",AP336-$E$1)</f>
        <v/>
      </c>
      <c r="AR336" s="185" t="n">
        <f aca="false">'ANR OK vs ML7'!AR336</f>
        <v>0.1</v>
      </c>
      <c r="AS336" s="213" t="str">
        <f aca="false">IF(A337="","",1/(1+CHOOSE(F$3,(AR337+($I$3/10000))/2,(AR336+($I$3/10000))/2))^(2*AQ336/365.25))</f>
        <v/>
      </c>
      <c r="AT336" s="137" t="str">
        <f aca="false">IF(A337="","",IF(AND(mthbeg&lt;=A336,mthend&gt;=A336),1,0))</f>
        <v/>
      </c>
      <c r="AU336" s="137" t="str">
        <f aca="false">IF(A337="","",AO336*AT336)</f>
        <v/>
      </c>
      <c r="AW336" s="195" t="str">
        <f aca="false">IF($A337="","",AL336*$E336)</f>
        <v/>
      </c>
      <c r="AX336" s="195" t="str">
        <f aca="false">IF($A337="","",AM336*$E336)</f>
        <v/>
      </c>
      <c r="AY336" s="195" t="str">
        <f aca="false">IF($A337="","",AN336*$E336)</f>
        <v/>
      </c>
      <c r="BA336" s="195" t="str">
        <f aca="false">IF($A337="","",F336*Summary!$Q$14)</f>
        <v/>
      </c>
    </row>
    <row r="337" customFormat="false" ht="12" hidden="false" customHeight="true" outlineLevel="0" collapsed="false">
      <c r="A337" s="196" t="str">
        <f aca="false">IF(A336&lt;mthend,EDATE(A336,1),"")</f>
        <v/>
      </c>
      <c r="B337" s="197" t="str">
        <f aca="false">IF(A337&lt;mthend,B336,"")</f>
        <v/>
      </c>
      <c r="C337" s="215"/>
      <c r="D337" s="197" t="str">
        <f aca="false">IF(A338&lt;&gt;"",B337+C337,"")</f>
        <v/>
      </c>
      <c r="E337" s="199" t="str">
        <f aca="false">IF(A338="","",IF(AND(AT337=1,$H$3=1),D337*AO337,IF($H$3=2,D337,"N/A")))</f>
        <v/>
      </c>
      <c r="F337" s="199" t="str">
        <f aca="false">IF(A338="","",E337*AS337)</f>
        <v/>
      </c>
      <c r="G337" s="200" t="str">
        <f aca="false">IF($A338="","",VLOOKUP($A337,Table,MATCH(G$4,Curves,0)))</f>
        <v/>
      </c>
      <c r="H337" s="201" t="str">
        <f aca="false">IF(A338="","",G337)</f>
        <v/>
      </c>
      <c r="I337" s="202"/>
      <c r="J337" s="200" t="str">
        <f aca="false">IF($A338="","",VLOOKUP($A337,Table,MATCH(J$4,Curves,0)))</f>
        <v/>
      </c>
      <c r="K337" s="201" t="str">
        <f aca="false">IF(A338="","",J337)</f>
        <v/>
      </c>
      <c r="L337" s="185" t="n">
        <v>0</v>
      </c>
      <c r="M337" s="201" t="str">
        <f aca="false">IF(A338="","",L337)</f>
        <v/>
      </c>
      <c r="N337" s="203"/>
      <c r="O337" s="200" t="str">
        <f aca="false">IF(A338="","",L337+J337+G337)</f>
        <v/>
      </c>
      <c r="P337" s="200" t="str">
        <f aca="false">IF(A338="","",M337+K337+H337)</f>
        <v/>
      </c>
      <c r="Q337" s="204"/>
      <c r="R337" s="200" t="str">
        <f aca="false">IF($A338="","",VLOOKUP($A337,Table,MATCH(R$4,Curves,0)))</f>
        <v/>
      </c>
      <c r="S337" s="201" t="str">
        <f aca="false">IF(A338="","",R337)</f>
        <v/>
      </c>
      <c r="T337" s="200" t="str">
        <f aca="false">IF($A338="","",VLOOKUP($A337,Table,MATCH(T$4,Curves,0)))</f>
        <v/>
      </c>
      <c r="U337" s="201" t="str">
        <f aca="false">IF(A338="","",T337)</f>
        <v/>
      </c>
      <c r="V337" s="183" t="str">
        <f aca="false">IF($A338="","",IF(AND(MONTH(A337)&gt;3,MONTH(A337)&lt;11),(T337+R337+G337)*(((1/(1-Summary!$T$14))/(1-Summary!$W$14))-1),(T337+R337+G337)*((1/(1-Summary!$U$14))/(1-Summary!$X$14)-1)))</f>
        <v/>
      </c>
      <c r="W337" s="202" t="str">
        <f aca="false">IF($A338="","",(T337+R337+G337+V337))</f>
        <v/>
      </c>
      <c r="X337" s="202" t="str">
        <f aca="false">IF($A338="","",(U337+S337+H337+V337))</f>
        <v/>
      </c>
      <c r="Y337" s="202"/>
      <c r="Z337" s="185" t="str">
        <f aca="false">IF($A338="","",VLOOKUP($A337,Table,MATCH(Z$4,Curves,0)))</f>
        <v/>
      </c>
      <c r="AA337" s="185" t="str">
        <f aca="false">IF($A338="","",VLOOKUP($A337,Table,MATCH(AA$4,Curves,0)))</f>
        <v/>
      </c>
      <c r="AB337" s="185" t="e">
        <f aca="false">SQRT((AA337^2*(A337-$D$3)+Z337^2*(DAY(EOMONTH(A337,0))/2))/AK337)</f>
        <v>#VALUE!</v>
      </c>
      <c r="AC337" s="185" t="str">
        <f aca="false">IF($A338="","",VLOOKUP($A337,Table,MATCH(AC$4,Curves,0)))</f>
        <v/>
      </c>
      <c r="AD337" s="185" t="str">
        <f aca="false">IF($A338="","",VLOOKUP($A337,Table,MATCH(AD$4,Curves,0)))</f>
        <v/>
      </c>
      <c r="AE337" s="185" t="e">
        <f aca="false">SQRT((AD337^2*(A337-$D$3)+AC337^2*(DAY(EOMONTH(A337,0))/2))/AK337)</f>
        <v>#VALUE!</v>
      </c>
      <c r="AF337" s="224" t="e">
        <f aca="false">((Summary!$N$14*(AA337*AD337)*(A337-$D$3))+(Summary!$M$14*Z337*AC337*(AJ337-EOMONTH(EDATE(A337,-1),0))))/(AK337*AB337*AE337)</f>
        <v>#VALUE!</v>
      </c>
      <c r="AG337" s="207" t="str">
        <f aca="false">IF($A338="","",Summary!$Q$14)</f>
        <v/>
      </c>
      <c r="AH337" s="207" t="str">
        <f aca="false">IF($A338="","",IF(Summary!$R$12="Y",(VLOOKUP($A337,Summary!$AD$6:$AF$9,3)+'Escalating commodity'!J350),'Escalating commodity'!J350))</f>
        <v/>
      </c>
      <c r="AI337" s="207" t="str">
        <f aca="false">IF($A338="","",AH337)</f>
        <v/>
      </c>
      <c r="AJ337" s="208" t="e">
        <f aca="false">A337+DAY(EOMONTH(A337,0))/2-1</f>
        <v>#VALUE!</v>
      </c>
      <c r="AK337" s="209" t="str">
        <f aca="false">IF($A338="","",$A337-$E$1)</f>
        <v/>
      </c>
      <c r="AL337" s="182" t="str">
        <f aca="false">IF($A338="","",SPRDOPT(P337,X337,AI337,0,AB337,AE337,AF337,AK337,$AJ$2,0))</f>
        <v/>
      </c>
      <c r="AM337" s="211" t="str">
        <f aca="false">IF($A338="","",MAX(0,O337-W337-AI337))</f>
        <v/>
      </c>
      <c r="AN337" s="211" t="str">
        <f aca="false">IF($A338="","",AL337-AM337)</f>
        <v/>
      </c>
      <c r="AO337" s="137" t="str">
        <f aca="false">IF(A338="","",A338-A337)</f>
        <v/>
      </c>
      <c r="AP337" s="212" t="str">
        <f aca="false">IF(A338="","",CHOOSE(F$3,A338+24,A337))</f>
        <v/>
      </c>
      <c r="AQ337" s="209" t="str">
        <f aca="false">IF(A338="","",AP337-$E$1)</f>
        <v/>
      </c>
      <c r="AR337" s="185" t="n">
        <f aca="false">'ANR OK vs ML7'!AR337</f>
        <v>0.1</v>
      </c>
      <c r="AS337" s="213" t="str">
        <f aca="false">IF(A338="","",1/(1+CHOOSE(F$3,(AR338+($I$3/10000))/2,(AR337+($I$3/10000))/2))^(2*AQ337/365.25))</f>
        <v/>
      </c>
      <c r="AT337" s="137" t="str">
        <f aca="false">IF(A338="","",IF(AND(mthbeg&lt;=A337,mthend&gt;=A337),1,0))</f>
        <v/>
      </c>
      <c r="AU337" s="137" t="str">
        <f aca="false">IF(A338="","",AO337*AT337)</f>
        <v/>
      </c>
      <c r="AW337" s="195" t="str">
        <f aca="false">IF($A338="","",AL337*$E337)</f>
        <v/>
      </c>
      <c r="AX337" s="195" t="str">
        <f aca="false">IF($A338="","",AM337*$E337)</f>
        <v/>
      </c>
      <c r="AY337" s="195" t="str">
        <f aca="false">IF($A338="","",AN337*$E337)</f>
        <v/>
      </c>
      <c r="BA337" s="195" t="str">
        <f aca="false">IF($A338="","",F337*Summary!$Q$14)</f>
        <v/>
      </c>
    </row>
    <row r="338" customFormat="false" ht="12" hidden="false" customHeight="true" outlineLevel="0" collapsed="false">
      <c r="A338" s="196" t="str">
        <f aca="false">IF(A337&lt;mthend,EDATE(A337,1),"")</f>
        <v/>
      </c>
      <c r="B338" s="197" t="str">
        <f aca="false">IF(A338&lt;mthend,B337,"")</f>
        <v/>
      </c>
      <c r="C338" s="215"/>
      <c r="D338" s="197" t="str">
        <f aca="false">IF(A339&lt;&gt;"",B338+C338,"")</f>
        <v/>
      </c>
      <c r="E338" s="199" t="str">
        <f aca="false">IF(A339="","",IF(AND(AT338=1,$H$3=1),D338*AO338,IF($H$3=2,D338,"N/A")))</f>
        <v/>
      </c>
      <c r="F338" s="199" t="str">
        <f aca="false">IF(A339="","",E338*AS338)</f>
        <v/>
      </c>
      <c r="G338" s="200" t="str">
        <f aca="false">IF($A339="","",VLOOKUP($A338,Table,MATCH(G$4,Curves,0)))</f>
        <v/>
      </c>
      <c r="H338" s="201" t="str">
        <f aca="false">IF(A339="","",G338)</f>
        <v/>
      </c>
      <c r="I338" s="202"/>
      <c r="J338" s="200" t="str">
        <f aca="false">IF($A339="","",VLOOKUP($A338,Table,MATCH(J$4,Curves,0)))</f>
        <v/>
      </c>
      <c r="K338" s="201" t="str">
        <f aca="false">IF(A339="","",J338)</f>
        <v/>
      </c>
      <c r="L338" s="185" t="n">
        <v>0</v>
      </c>
      <c r="M338" s="201" t="str">
        <f aca="false">IF(A339="","",L338)</f>
        <v/>
      </c>
      <c r="N338" s="203"/>
      <c r="O338" s="200" t="str">
        <f aca="false">IF(A339="","",L338+J338+G338)</f>
        <v/>
      </c>
      <c r="P338" s="200" t="str">
        <f aca="false">IF(A339="","",M338+K338+H338)</f>
        <v/>
      </c>
      <c r="Q338" s="204"/>
      <c r="R338" s="200" t="str">
        <f aca="false">IF($A339="","",VLOOKUP($A338,Table,MATCH(R$4,Curves,0)))</f>
        <v/>
      </c>
      <c r="S338" s="201" t="str">
        <f aca="false">IF(A339="","",R338)</f>
        <v/>
      </c>
      <c r="T338" s="200" t="str">
        <f aca="false">IF($A339="","",VLOOKUP($A338,Table,MATCH(T$4,Curves,0)))</f>
        <v/>
      </c>
      <c r="U338" s="201" t="str">
        <f aca="false">IF(A339="","",T338)</f>
        <v/>
      </c>
      <c r="V338" s="183" t="str">
        <f aca="false">IF($A339="","",IF(AND(MONTH(A338)&gt;3,MONTH(A338)&lt;11),(T338+R338+G338)*(((1/(1-Summary!$T$14))/(1-Summary!$W$14))-1),(T338+R338+G338)*((1/(1-Summary!$U$14))/(1-Summary!$X$14)-1)))</f>
        <v/>
      </c>
      <c r="W338" s="202" t="str">
        <f aca="false">IF($A339="","",(T338+R338+G338+V338))</f>
        <v/>
      </c>
      <c r="X338" s="202" t="str">
        <f aca="false">IF($A339="","",(U338+S338+H338+V338))</f>
        <v/>
      </c>
      <c r="Y338" s="202"/>
      <c r="Z338" s="185" t="str">
        <f aca="false">IF($A339="","",VLOOKUP($A338,Table,MATCH(Z$4,Curves,0)))</f>
        <v/>
      </c>
      <c r="AA338" s="185" t="str">
        <f aca="false">IF($A339="","",VLOOKUP($A338,Table,MATCH(AA$4,Curves,0)))</f>
        <v/>
      </c>
      <c r="AB338" s="185" t="e">
        <f aca="false">SQRT((AA338^2*(A338-$D$3)+Z338^2*(DAY(EOMONTH(A338,0))/2))/AK338)</f>
        <v>#VALUE!</v>
      </c>
      <c r="AC338" s="185" t="str">
        <f aca="false">IF($A339="","",VLOOKUP($A338,Table,MATCH(AC$4,Curves,0)))</f>
        <v/>
      </c>
      <c r="AD338" s="185" t="str">
        <f aca="false">IF($A339="","",VLOOKUP($A338,Table,MATCH(AD$4,Curves,0)))</f>
        <v/>
      </c>
      <c r="AE338" s="185" t="e">
        <f aca="false">SQRT((AD338^2*(A338-$D$3)+AC338^2*(DAY(EOMONTH(A338,0))/2))/AK338)</f>
        <v>#VALUE!</v>
      </c>
      <c r="AF338" s="224" t="e">
        <f aca="false">((Summary!$N$14*(AA338*AD338)*(A338-$D$3))+(Summary!$M$14*Z338*AC338*(AJ338-EOMONTH(EDATE(A338,-1),0))))/(AK338*AB338*AE338)</f>
        <v>#VALUE!</v>
      </c>
      <c r="AG338" s="207" t="str">
        <f aca="false">IF($A339="","",Summary!$Q$14)</f>
        <v/>
      </c>
      <c r="AH338" s="207" t="str">
        <f aca="false">IF($A339="","",IF(Summary!$R$12="Y",(VLOOKUP($A338,Summary!$AD$6:$AF$9,3)+'Escalating commodity'!J351),'Escalating commodity'!J351))</f>
        <v/>
      </c>
      <c r="AI338" s="207" t="str">
        <f aca="false">IF($A339="","",AH338)</f>
        <v/>
      </c>
      <c r="AJ338" s="208" t="e">
        <f aca="false">A338+DAY(EOMONTH(A338,0))/2-1</f>
        <v>#VALUE!</v>
      </c>
      <c r="AK338" s="209" t="str">
        <f aca="false">IF($A339="","",$A338-$E$1)</f>
        <v/>
      </c>
      <c r="AL338" s="182" t="str">
        <f aca="false">IF($A339="","",SPRDOPT(P338,X338,AI338,0,AB338,AE338,AF338,AK338,$AJ$2,0))</f>
        <v/>
      </c>
      <c r="AM338" s="211" t="str">
        <f aca="false">IF($A339="","",MAX(0,O338-W338-AI338))</f>
        <v/>
      </c>
      <c r="AN338" s="211" t="str">
        <f aca="false">IF($A339="","",AL338-AM338)</f>
        <v/>
      </c>
      <c r="AO338" s="137" t="str">
        <f aca="false">IF(A339="","",A339-A338)</f>
        <v/>
      </c>
      <c r="AP338" s="212" t="str">
        <f aca="false">IF(A339="","",CHOOSE(F$3,A339+24,A338))</f>
        <v/>
      </c>
      <c r="AQ338" s="209" t="str">
        <f aca="false">IF(A339="","",AP338-$E$1)</f>
        <v/>
      </c>
      <c r="AR338" s="185" t="n">
        <f aca="false">'ANR OK vs ML7'!AR338</f>
        <v>0.1</v>
      </c>
      <c r="AS338" s="213" t="str">
        <f aca="false">IF(A339="","",1/(1+CHOOSE(F$3,(AR339+($I$3/10000))/2,(AR338+($I$3/10000))/2))^(2*AQ338/365.25))</f>
        <v/>
      </c>
      <c r="AT338" s="137" t="str">
        <f aca="false">IF(A339="","",IF(AND(mthbeg&lt;=A338,mthend&gt;=A338),1,0))</f>
        <v/>
      </c>
      <c r="AU338" s="137" t="str">
        <f aca="false">IF(A339="","",AO338*AT338)</f>
        <v/>
      </c>
      <c r="AW338" s="195" t="str">
        <f aca="false">IF($A339="","",AL338*$E338)</f>
        <v/>
      </c>
      <c r="AX338" s="195" t="str">
        <f aca="false">IF($A339="","",AM338*$E338)</f>
        <v/>
      </c>
      <c r="AY338" s="195" t="str">
        <f aca="false">IF($A339="","",AN338*$E338)</f>
        <v/>
      </c>
      <c r="BA338" s="195" t="str">
        <f aca="false">IF($A339="","",F338*Summary!$Q$14)</f>
        <v/>
      </c>
    </row>
    <row r="339" customFormat="false" ht="12" hidden="false" customHeight="true" outlineLevel="0" collapsed="false">
      <c r="A339" s="196" t="str">
        <f aca="false">IF(A338&lt;mthend,EDATE(A338,1),"")</f>
        <v/>
      </c>
      <c r="B339" s="197" t="str">
        <f aca="false">IF(A339&lt;mthend,B338,"")</f>
        <v/>
      </c>
      <c r="C339" s="215"/>
      <c r="D339" s="197" t="str">
        <f aca="false">IF(A340&lt;&gt;"",B339+C339,"")</f>
        <v/>
      </c>
      <c r="E339" s="199" t="str">
        <f aca="false">IF(A340="","",IF(AND(AT339=1,$H$3=1),D339*AO339,IF($H$3=2,D339,"N/A")))</f>
        <v/>
      </c>
      <c r="F339" s="199" t="str">
        <f aca="false">IF(A340="","",E339*AS339)</f>
        <v/>
      </c>
      <c r="G339" s="200" t="str">
        <f aca="false">IF($A340="","",VLOOKUP($A339,Table,MATCH(G$4,Curves,0)))</f>
        <v/>
      </c>
      <c r="H339" s="201" t="str">
        <f aca="false">IF(A340="","",G339)</f>
        <v/>
      </c>
      <c r="I339" s="202"/>
      <c r="J339" s="200" t="str">
        <f aca="false">IF($A340="","",VLOOKUP($A339,Table,MATCH(J$4,Curves,0)))</f>
        <v/>
      </c>
      <c r="K339" s="201" t="str">
        <f aca="false">IF(A340="","",J339)</f>
        <v/>
      </c>
      <c r="L339" s="185" t="n">
        <v>0</v>
      </c>
      <c r="M339" s="201" t="str">
        <f aca="false">IF(A340="","",L339)</f>
        <v/>
      </c>
      <c r="N339" s="203"/>
      <c r="O339" s="200" t="str">
        <f aca="false">IF(A340="","",L339+J339+G339)</f>
        <v/>
      </c>
      <c r="P339" s="200" t="str">
        <f aca="false">IF(A340="","",M339+K339+H339)</f>
        <v/>
      </c>
      <c r="Q339" s="204"/>
      <c r="R339" s="200" t="str">
        <f aca="false">IF($A340="","",VLOOKUP($A339,Table,MATCH(R$4,Curves,0)))</f>
        <v/>
      </c>
      <c r="S339" s="201" t="str">
        <f aca="false">IF(A340="","",R339)</f>
        <v/>
      </c>
      <c r="T339" s="200" t="str">
        <f aca="false">IF($A340="","",VLOOKUP($A339,Table,MATCH(T$4,Curves,0)))</f>
        <v/>
      </c>
      <c r="U339" s="201" t="str">
        <f aca="false">IF(A340="","",T339)</f>
        <v/>
      </c>
      <c r="V339" s="183" t="str">
        <f aca="false">IF($A340="","",IF(AND(MONTH(A339)&gt;3,MONTH(A339)&lt;11),(T339+R339+G339)*(((1/(1-Summary!$T$14))/(1-Summary!$W$14))-1),(T339+R339+G339)*((1/(1-Summary!$U$14))/(1-Summary!$X$14)-1)))</f>
        <v/>
      </c>
      <c r="W339" s="202" t="str">
        <f aca="false">IF($A340="","",(T339+R339+G339+V339))</f>
        <v/>
      </c>
      <c r="X339" s="202" t="str">
        <f aca="false">IF($A340="","",(U339+S339+H339+V339))</f>
        <v/>
      </c>
      <c r="Y339" s="202"/>
      <c r="Z339" s="185" t="str">
        <f aca="false">IF($A340="","",VLOOKUP($A339,Table,MATCH(Z$4,Curves,0)))</f>
        <v/>
      </c>
      <c r="AA339" s="185" t="str">
        <f aca="false">IF($A340="","",VLOOKUP($A339,Table,MATCH(AA$4,Curves,0)))</f>
        <v/>
      </c>
      <c r="AB339" s="185" t="e">
        <f aca="false">SQRT((AA339^2*(A339-$D$3)+Z339^2*(DAY(EOMONTH(A339,0))/2))/AK339)</f>
        <v>#VALUE!</v>
      </c>
      <c r="AC339" s="185" t="str">
        <f aca="false">IF($A340="","",VLOOKUP($A339,Table,MATCH(AC$4,Curves,0)))</f>
        <v/>
      </c>
      <c r="AD339" s="185" t="str">
        <f aca="false">IF($A340="","",VLOOKUP($A339,Table,MATCH(AD$4,Curves,0)))</f>
        <v/>
      </c>
      <c r="AE339" s="185" t="e">
        <f aca="false">SQRT((AD339^2*(A339-$D$3)+AC339^2*(DAY(EOMONTH(A339,0))/2))/AK339)</f>
        <v>#VALUE!</v>
      </c>
      <c r="AF339" s="224" t="e">
        <f aca="false">((Summary!$N$14*(AA339*AD339)*(A339-$D$3))+(Summary!$M$14*Z339*AC339*(AJ339-EOMONTH(EDATE(A339,-1),0))))/(AK339*AB339*AE339)</f>
        <v>#VALUE!</v>
      </c>
      <c r="AG339" s="207" t="str">
        <f aca="false">IF($A340="","",Summary!$Q$14)</f>
        <v/>
      </c>
      <c r="AH339" s="207" t="str">
        <f aca="false">IF($A340="","",IF(Summary!$R$12="Y",(VLOOKUP($A339,Summary!$AD$6:$AF$9,3)+'Escalating commodity'!J352),'Escalating commodity'!J352))</f>
        <v/>
      </c>
      <c r="AI339" s="207" t="str">
        <f aca="false">IF($A340="","",AH339)</f>
        <v/>
      </c>
      <c r="AJ339" s="208" t="e">
        <f aca="false">A339+DAY(EOMONTH(A339,0))/2-1</f>
        <v>#VALUE!</v>
      </c>
      <c r="AK339" s="209" t="str">
        <f aca="false">IF($A340="","",$A339-$E$1)</f>
        <v/>
      </c>
      <c r="AL339" s="182" t="str">
        <f aca="false">IF($A340="","",SPRDOPT(P339,X339,AI339,0,AB339,AE339,AF339,AK339,$AJ$2,0))</f>
        <v/>
      </c>
      <c r="AM339" s="211" t="str">
        <f aca="false">IF($A340="","",MAX(0,O339-W339-AI339))</f>
        <v/>
      </c>
      <c r="AN339" s="211" t="str">
        <f aca="false">IF($A340="","",AL339-AM339)</f>
        <v/>
      </c>
      <c r="AO339" s="137" t="str">
        <f aca="false">IF(A340="","",A340-A339)</f>
        <v/>
      </c>
      <c r="AP339" s="212" t="str">
        <f aca="false">IF(A340="","",CHOOSE(F$3,A340+24,A339))</f>
        <v/>
      </c>
      <c r="AQ339" s="209" t="str">
        <f aca="false">IF(A340="","",AP339-$E$1)</f>
        <v/>
      </c>
      <c r="AR339" s="185" t="n">
        <f aca="false">'ANR OK vs ML7'!AR339</f>
        <v>0.1</v>
      </c>
      <c r="AS339" s="213" t="str">
        <f aca="false">IF(A340="","",1/(1+CHOOSE(F$3,(AR340+($I$3/10000))/2,(AR339+($I$3/10000))/2))^(2*AQ339/365.25))</f>
        <v/>
      </c>
      <c r="AT339" s="137" t="str">
        <f aca="false">IF(A340="","",IF(AND(mthbeg&lt;=A339,mthend&gt;=A339),1,0))</f>
        <v/>
      </c>
      <c r="AU339" s="137" t="str">
        <f aca="false">IF(A340="","",AO339*AT339)</f>
        <v/>
      </c>
      <c r="AW339" s="195" t="str">
        <f aca="false">IF($A340="","",AL339*$E339)</f>
        <v/>
      </c>
      <c r="AX339" s="195" t="str">
        <f aca="false">IF($A340="","",AM339*$E339)</f>
        <v/>
      </c>
      <c r="AY339" s="195" t="str">
        <f aca="false">IF($A340="","",AN339*$E339)</f>
        <v/>
      </c>
      <c r="BA339" s="195" t="str">
        <f aca="false">IF($A340="","",F339*Summary!$Q$14)</f>
        <v/>
      </c>
    </row>
    <row r="340" customFormat="false" ht="12" hidden="false" customHeight="true" outlineLevel="0" collapsed="false">
      <c r="A340" s="196" t="str">
        <f aca="false">IF(A339&lt;mthend,EDATE(A339,1),"")</f>
        <v/>
      </c>
      <c r="B340" s="197" t="str">
        <f aca="false">IF(A340&lt;mthend,B339,"")</f>
        <v/>
      </c>
      <c r="C340" s="215"/>
      <c r="D340" s="197" t="str">
        <f aca="false">IF(A341&lt;&gt;"",B340+C340,"")</f>
        <v/>
      </c>
      <c r="E340" s="199" t="str">
        <f aca="false">IF(A341="","",IF(AND(AT340=1,$H$3=1),D340*AO340,IF($H$3=2,D340,"N/A")))</f>
        <v/>
      </c>
      <c r="F340" s="199" t="str">
        <f aca="false">IF(A341="","",E340*AS340)</f>
        <v/>
      </c>
      <c r="G340" s="200" t="str">
        <f aca="false">IF($A341="","",VLOOKUP($A340,Table,MATCH(G$4,Curves,0)))</f>
        <v/>
      </c>
      <c r="H340" s="201" t="str">
        <f aca="false">IF(A341="","",G340)</f>
        <v/>
      </c>
      <c r="I340" s="202"/>
      <c r="J340" s="200" t="str">
        <f aca="false">IF($A341="","",VLOOKUP($A340,Table,MATCH(J$4,Curves,0)))</f>
        <v/>
      </c>
      <c r="K340" s="201" t="str">
        <f aca="false">IF(A341="","",J340)</f>
        <v/>
      </c>
      <c r="L340" s="185" t="n">
        <v>0</v>
      </c>
      <c r="M340" s="201" t="str">
        <f aca="false">IF(A341="","",L340)</f>
        <v/>
      </c>
      <c r="N340" s="203"/>
      <c r="O340" s="200" t="str">
        <f aca="false">IF(A341="","",L340+J340+G340)</f>
        <v/>
      </c>
      <c r="P340" s="200" t="str">
        <f aca="false">IF(A341="","",M340+K340+H340)</f>
        <v/>
      </c>
      <c r="Q340" s="204"/>
      <c r="R340" s="200" t="str">
        <f aca="false">IF($A341="","",VLOOKUP($A340,Table,MATCH(R$4,Curves,0)))</f>
        <v/>
      </c>
      <c r="S340" s="201" t="str">
        <f aca="false">IF(A341="","",R340)</f>
        <v/>
      </c>
      <c r="T340" s="200" t="str">
        <f aca="false">IF($A341="","",VLOOKUP($A340,Table,MATCH(T$4,Curves,0)))</f>
        <v/>
      </c>
      <c r="U340" s="201" t="str">
        <f aca="false">IF(A341="","",T340)</f>
        <v/>
      </c>
      <c r="V340" s="183" t="str">
        <f aca="false">IF($A341="","",IF(AND(MONTH(A340)&gt;3,MONTH(A340)&lt;11),(T340+R340+G340)*(((1/(1-Summary!$T$14))/(1-Summary!$W$14))-1),(T340+R340+G340)*((1/(1-Summary!$U$14))/(1-Summary!$X$14)-1)))</f>
        <v/>
      </c>
      <c r="W340" s="202" t="str">
        <f aca="false">IF($A341="","",(T340+R340+G340+V340))</f>
        <v/>
      </c>
      <c r="X340" s="202" t="str">
        <f aca="false">IF($A341="","",(U340+S340+H340+V340))</f>
        <v/>
      </c>
      <c r="Y340" s="202"/>
      <c r="Z340" s="185" t="str">
        <f aca="false">IF($A341="","",VLOOKUP($A340,Table,MATCH(Z$4,Curves,0)))</f>
        <v/>
      </c>
      <c r="AA340" s="185" t="str">
        <f aca="false">IF($A341="","",VLOOKUP($A340,Table,MATCH(AA$4,Curves,0)))</f>
        <v/>
      </c>
      <c r="AB340" s="185" t="e">
        <f aca="false">SQRT((AA340^2*(A340-$D$3)+Z340^2*(DAY(EOMONTH(A340,0))/2))/AK340)</f>
        <v>#VALUE!</v>
      </c>
      <c r="AC340" s="185" t="str">
        <f aca="false">IF($A341="","",VLOOKUP($A340,Table,MATCH(AC$4,Curves,0)))</f>
        <v/>
      </c>
      <c r="AD340" s="185" t="str">
        <f aca="false">IF($A341="","",VLOOKUP($A340,Table,MATCH(AD$4,Curves,0)))</f>
        <v/>
      </c>
      <c r="AE340" s="185" t="e">
        <f aca="false">SQRT((AD340^2*(A340-$D$3)+AC340^2*(DAY(EOMONTH(A340,0))/2))/AK340)</f>
        <v>#VALUE!</v>
      </c>
      <c r="AF340" s="224" t="e">
        <f aca="false">((Summary!$N$14*(AA340*AD340)*(A340-$D$3))+(Summary!$M$14*Z340*AC340*(AJ340-EOMONTH(EDATE(A340,-1),0))))/(AK340*AB340*AE340)</f>
        <v>#VALUE!</v>
      </c>
      <c r="AG340" s="207" t="str">
        <f aca="false">IF($A341="","",Summary!$Q$14)</f>
        <v/>
      </c>
      <c r="AH340" s="207" t="str">
        <f aca="false">IF($A341="","",IF(Summary!$R$12="Y",(VLOOKUP($A340,Summary!$AD$6:$AF$9,3)+'Escalating commodity'!J353),'Escalating commodity'!J353))</f>
        <v/>
      </c>
      <c r="AI340" s="207" t="str">
        <f aca="false">IF($A341="","",AH340)</f>
        <v/>
      </c>
      <c r="AJ340" s="208" t="e">
        <f aca="false">A340+DAY(EOMONTH(A340,0))/2-1</f>
        <v>#VALUE!</v>
      </c>
      <c r="AK340" s="209" t="str">
        <f aca="false">IF($A341="","",$A340-$E$1)</f>
        <v/>
      </c>
      <c r="AL340" s="182" t="str">
        <f aca="false">IF($A341="","",SPRDOPT(P340,X340,AI340,0,AB340,AE340,AF340,AK340,$AJ$2,0))</f>
        <v/>
      </c>
      <c r="AM340" s="211" t="str">
        <f aca="false">IF($A341="","",MAX(0,O340-W340-AI340))</f>
        <v/>
      </c>
      <c r="AN340" s="211" t="str">
        <f aca="false">IF($A341="","",AL340-AM340)</f>
        <v/>
      </c>
      <c r="AO340" s="137" t="str">
        <f aca="false">IF(A341="","",A341-A340)</f>
        <v/>
      </c>
      <c r="AP340" s="212" t="str">
        <f aca="false">IF(A341="","",CHOOSE(F$3,A341+24,A340))</f>
        <v/>
      </c>
      <c r="AQ340" s="209" t="str">
        <f aca="false">IF(A341="","",AP340-$E$1)</f>
        <v/>
      </c>
      <c r="AR340" s="185" t="n">
        <f aca="false">'ANR OK vs ML7'!AR340</f>
        <v>0.1</v>
      </c>
      <c r="AS340" s="213" t="str">
        <f aca="false">IF(A341="","",1/(1+CHOOSE(F$3,(AR341+($I$3/10000))/2,(AR340+($I$3/10000))/2))^(2*AQ340/365.25))</f>
        <v/>
      </c>
      <c r="AT340" s="137" t="str">
        <f aca="false">IF(A341="","",IF(AND(mthbeg&lt;=A340,mthend&gt;=A340),1,0))</f>
        <v/>
      </c>
      <c r="AU340" s="137" t="str">
        <f aca="false">IF(A341="","",AO340*AT340)</f>
        <v/>
      </c>
      <c r="AW340" s="195" t="str">
        <f aca="false">IF($A341="","",AL340*$E340)</f>
        <v/>
      </c>
      <c r="AX340" s="195" t="str">
        <f aca="false">IF($A341="","",AM340*$E340)</f>
        <v/>
      </c>
      <c r="AY340" s="195" t="str">
        <f aca="false">IF($A341="","",AN340*$E340)</f>
        <v/>
      </c>
      <c r="BA340" s="195" t="str">
        <f aca="false">IF($A341="","",F340*Summary!$Q$14)</f>
        <v/>
      </c>
    </row>
    <row r="341" customFormat="false" ht="12" hidden="false" customHeight="true" outlineLevel="0" collapsed="false">
      <c r="A341" s="196" t="str">
        <f aca="false">IF(A340&lt;mthend,EDATE(A340,1),"")</f>
        <v/>
      </c>
      <c r="B341" s="197" t="str">
        <f aca="false">IF(A341&lt;mthend,B340,"")</f>
        <v/>
      </c>
      <c r="C341" s="215"/>
      <c r="D341" s="197" t="str">
        <f aca="false">IF(A342&lt;&gt;"",B341+C341,"")</f>
        <v/>
      </c>
      <c r="E341" s="199" t="str">
        <f aca="false">IF(A342="","",IF(AND(AT341=1,$H$3=1),D341*AO341,IF($H$3=2,D341,"N/A")))</f>
        <v/>
      </c>
      <c r="F341" s="199" t="str">
        <f aca="false">IF(A342="","",E341*AS341)</f>
        <v/>
      </c>
      <c r="G341" s="200" t="str">
        <f aca="false">IF($A342="","",VLOOKUP($A341,Table,MATCH(G$4,Curves,0)))</f>
        <v/>
      </c>
      <c r="H341" s="201" t="str">
        <f aca="false">IF(A342="","",G341)</f>
        <v/>
      </c>
      <c r="I341" s="202"/>
      <c r="J341" s="200" t="str">
        <f aca="false">IF($A342="","",VLOOKUP($A341,Table,MATCH(J$4,Curves,0)))</f>
        <v/>
      </c>
      <c r="K341" s="201" t="str">
        <f aca="false">IF(A342="","",J341)</f>
        <v/>
      </c>
      <c r="L341" s="185" t="n">
        <v>0</v>
      </c>
      <c r="M341" s="201" t="str">
        <f aca="false">IF(A342="","",L341)</f>
        <v/>
      </c>
      <c r="N341" s="203"/>
      <c r="O341" s="200" t="str">
        <f aca="false">IF(A342="","",L341+J341+G341)</f>
        <v/>
      </c>
      <c r="P341" s="200" t="str">
        <f aca="false">IF(A342="","",M341+K341+H341)</f>
        <v/>
      </c>
      <c r="Q341" s="204"/>
      <c r="R341" s="200" t="str">
        <f aca="false">IF($A342="","",VLOOKUP($A341,Table,MATCH(R$4,Curves,0)))</f>
        <v/>
      </c>
      <c r="S341" s="201" t="str">
        <f aca="false">IF(A342="","",R341)</f>
        <v/>
      </c>
      <c r="T341" s="200" t="str">
        <f aca="false">IF($A342="","",VLOOKUP($A341,Table,MATCH(T$4,Curves,0)))</f>
        <v/>
      </c>
      <c r="U341" s="201" t="str">
        <f aca="false">IF(A342="","",T341)</f>
        <v/>
      </c>
      <c r="V341" s="183" t="str">
        <f aca="false">IF($A342="","",IF(AND(MONTH(A341)&gt;3,MONTH(A341)&lt;11),(T341+R341+G341)*(((1/(1-Summary!$T$14))/(1-Summary!$W$14))-1),(T341+R341+G341)*((1/(1-Summary!$U$14))/(1-Summary!$X$14)-1)))</f>
        <v/>
      </c>
      <c r="W341" s="202" t="str">
        <f aca="false">IF($A342="","",(T341+R341+G341+V341))</f>
        <v/>
      </c>
      <c r="X341" s="202" t="str">
        <f aca="false">IF($A342="","",(U341+S341+H341+V341))</f>
        <v/>
      </c>
      <c r="Y341" s="202"/>
      <c r="Z341" s="185" t="str">
        <f aca="false">IF($A342="","",VLOOKUP($A341,Table,MATCH(Z$4,Curves,0)))</f>
        <v/>
      </c>
      <c r="AA341" s="185" t="str">
        <f aca="false">IF($A342="","",VLOOKUP($A341,Table,MATCH(AA$4,Curves,0)))</f>
        <v/>
      </c>
      <c r="AB341" s="185" t="e">
        <f aca="false">SQRT((AA341^2*(A341-$D$3)+Z341^2*(DAY(EOMONTH(A341,0))/2))/AK341)</f>
        <v>#VALUE!</v>
      </c>
      <c r="AC341" s="185" t="str">
        <f aca="false">IF($A342="","",VLOOKUP($A341,Table,MATCH(AC$4,Curves,0)))</f>
        <v/>
      </c>
      <c r="AD341" s="185" t="str">
        <f aca="false">IF($A342="","",VLOOKUP($A341,Table,MATCH(AD$4,Curves,0)))</f>
        <v/>
      </c>
      <c r="AE341" s="185" t="e">
        <f aca="false">SQRT((AD341^2*(A341-$D$3)+AC341^2*(DAY(EOMONTH(A341,0))/2))/AK341)</f>
        <v>#VALUE!</v>
      </c>
      <c r="AF341" s="224" t="e">
        <f aca="false">((Summary!$N$14*(AA341*AD341)*(A341-$D$3))+(Summary!$M$14*Z341*AC341*(AJ341-EOMONTH(EDATE(A341,-1),0))))/(AK341*AB341*AE341)</f>
        <v>#VALUE!</v>
      </c>
      <c r="AG341" s="207" t="str">
        <f aca="false">IF($A342="","",Summary!$Q$14)</f>
        <v/>
      </c>
      <c r="AH341" s="207" t="str">
        <f aca="false">IF($A342="","",IF(Summary!$R$12="Y",(VLOOKUP($A341,Summary!$AD$6:$AF$9,3)+'Escalating commodity'!J354),'Escalating commodity'!J354))</f>
        <v/>
      </c>
      <c r="AI341" s="207" t="str">
        <f aca="false">IF($A342="","",AH341)</f>
        <v/>
      </c>
      <c r="AJ341" s="208" t="e">
        <f aca="false">A341+DAY(EOMONTH(A341,0))/2-1</f>
        <v>#VALUE!</v>
      </c>
      <c r="AK341" s="209" t="str">
        <f aca="false">IF($A342="","",$A341-$E$1)</f>
        <v/>
      </c>
      <c r="AL341" s="182" t="str">
        <f aca="false">IF($A342="","",SPRDOPT(P341,X341,AI341,0,AB341,AE341,AF341,AK341,$AJ$2,0))</f>
        <v/>
      </c>
      <c r="AM341" s="211" t="str">
        <f aca="false">IF($A342="","",MAX(0,O341-W341-AI341))</f>
        <v/>
      </c>
      <c r="AN341" s="211" t="str">
        <f aca="false">IF($A342="","",AL341-AM341)</f>
        <v/>
      </c>
      <c r="AO341" s="137" t="str">
        <f aca="false">IF(A342="","",A342-A341)</f>
        <v/>
      </c>
      <c r="AP341" s="212" t="str">
        <f aca="false">IF(A342="","",CHOOSE(F$3,A342+24,A341))</f>
        <v/>
      </c>
      <c r="AQ341" s="209" t="str">
        <f aca="false">IF(A342="","",AP341-$E$1)</f>
        <v/>
      </c>
      <c r="AR341" s="185" t="n">
        <f aca="false">'ANR OK vs ML7'!AR341</f>
        <v>0.1</v>
      </c>
      <c r="AS341" s="213" t="str">
        <f aca="false">IF(A342="","",1/(1+CHOOSE(F$3,(AR342+($I$3/10000))/2,(AR341+($I$3/10000))/2))^(2*AQ341/365.25))</f>
        <v/>
      </c>
      <c r="AT341" s="137" t="str">
        <f aca="false">IF(A342="","",IF(AND(mthbeg&lt;=A341,mthend&gt;=A341),1,0))</f>
        <v/>
      </c>
      <c r="AU341" s="137" t="str">
        <f aca="false">IF(A342="","",AO341*AT341)</f>
        <v/>
      </c>
      <c r="AW341" s="195" t="str">
        <f aca="false">IF($A342="","",AL341*$E341)</f>
        <v/>
      </c>
      <c r="AX341" s="195" t="str">
        <f aca="false">IF($A342="","",AM341*$E341)</f>
        <v/>
      </c>
      <c r="AY341" s="195" t="str">
        <f aca="false">IF($A342="","",AN341*$E341)</f>
        <v/>
      </c>
      <c r="BA341" s="195" t="str">
        <f aca="false">IF($A342="","",F341*Summary!$Q$14)</f>
        <v/>
      </c>
    </row>
    <row r="342" customFormat="false" ht="12" hidden="false" customHeight="true" outlineLevel="0" collapsed="false">
      <c r="A342" s="196" t="str">
        <f aca="false">IF(A341&lt;mthend,EDATE(A341,1),"")</f>
        <v/>
      </c>
      <c r="B342" s="197" t="str">
        <f aca="false">IF(A342&lt;mthend,B341,"")</f>
        <v/>
      </c>
      <c r="C342" s="215"/>
      <c r="D342" s="197" t="str">
        <f aca="false">IF(A343&lt;&gt;"",B342+C342,"")</f>
        <v/>
      </c>
      <c r="E342" s="199" t="str">
        <f aca="false">IF(A343="","",IF(AND(AT342=1,$H$3=1),D342*AO342,IF($H$3=2,D342,"N/A")))</f>
        <v/>
      </c>
      <c r="F342" s="199" t="str">
        <f aca="false">IF(A343="","",E342*AS342)</f>
        <v/>
      </c>
      <c r="G342" s="200" t="str">
        <f aca="false">IF($A343="","",VLOOKUP($A342,Table,MATCH(G$4,Curves,0)))</f>
        <v/>
      </c>
      <c r="H342" s="201" t="str">
        <f aca="false">IF(A343="","",G342)</f>
        <v/>
      </c>
      <c r="I342" s="202"/>
      <c r="J342" s="200" t="str">
        <f aca="false">IF($A343="","",VLOOKUP($A342,Table,MATCH(J$4,Curves,0)))</f>
        <v/>
      </c>
      <c r="K342" s="201" t="str">
        <f aca="false">IF(A343="","",J342)</f>
        <v/>
      </c>
      <c r="L342" s="185" t="n">
        <v>0</v>
      </c>
      <c r="M342" s="201" t="str">
        <f aca="false">IF(A343="","",L342)</f>
        <v/>
      </c>
      <c r="N342" s="203"/>
      <c r="O342" s="200" t="str">
        <f aca="false">IF(A343="","",L342+J342+G342)</f>
        <v/>
      </c>
      <c r="P342" s="200" t="str">
        <f aca="false">IF(A343="","",M342+K342+H342)</f>
        <v/>
      </c>
      <c r="Q342" s="204"/>
      <c r="R342" s="200" t="str">
        <f aca="false">IF($A343="","",VLOOKUP($A342,Table,MATCH(R$4,Curves,0)))</f>
        <v/>
      </c>
      <c r="S342" s="201" t="str">
        <f aca="false">IF(A343="","",R342)</f>
        <v/>
      </c>
      <c r="T342" s="200" t="str">
        <f aca="false">IF($A343="","",VLOOKUP($A342,Table,MATCH(T$4,Curves,0)))</f>
        <v/>
      </c>
      <c r="U342" s="201" t="str">
        <f aca="false">IF(A343="","",T342)</f>
        <v/>
      </c>
      <c r="V342" s="183" t="str">
        <f aca="false">IF($A343="","",IF(AND(MONTH(A342)&gt;3,MONTH(A342)&lt;11),(T342+R342+G342)*(((1/(1-Summary!$T$14))/(1-Summary!$W$14))-1),(T342+R342+G342)*((1/(1-Summary!$U$14))/(1-Summary!$X$14)-1)))</f>
        <v/>
      </c>
      <c r="W342" s="202" t="str">
        <f aca="false">IF($A343="","",(T342+R342+G342+V342))</f>
        <v/>
      </c>
      <c r="X342" s="202" t="str">
        <f aca="false">IF($A343="","",(U342+S342+H342+V342))</f>
        <v/>
      </c>
      <c r="Y342" s="202"/>
      <c r="Z342" s="185" t="str">
        <f aca="false">IF($A343="","",VLOOKUP($A342,Table,MATCH(Z$4,Curves,0)))</f>
        <v/>
      </c>
      <c r="AA342" s="185" t="str">
        <f aca="false">IF($A343="","",VLOOKUP($A342,Table,MATCH(AA$4,Curves,0)))</f>
        <v/>
      </c>
      <c r="AB342" s="185" t="e">
        <f aca="false">SQRT((AA342^2*(A342-$D$3)+Z342^2*(DAY(EOMONTH(A342,0))/2))/AK342)</f>
        <v>#VALUE!</v>
      </c>
      <c r="AC342" s="185" t="str">
        <f aca="false">IF($A343="","",VLOOKUP($A342,Table,MATCH(AC$4,Curves,0)))</f>
        <v/>
      </c>
      <c r="AD342" s="185" t="str">
        <f aca="false">IF($A343="","",VLOOKUP($A342,Table,MATCH(AD$4,Curves,0)))</f>
        <v/>
      </c>
      <c r="AE342" s="185" t="e">
        <f aca="false">SQRT((AD342^2*(A342-$D$3)+AC342^2*(DAY(EOMONTH(A342,0))/2))/AK342)</f>
        <v>#VALUE!</v>
      </c>
      <c r="AF342" s="224" t="e">
        <f aca="false">((Summary!$N$14*(AA342*AD342)*(A342-$D$3))+(Summary!$M$14*Z342*AC342*(AJ342-EOMONTH(EDATE(A342,-1),0))))/(AK342*AB342*AE342)</f>
        <v>#VALUE!</v>
      </c>
      <c r="AG342" s="207" t="str">
        <f aca="false">IF($A343="","",Summary!$Q$14)</f>
        <v/>
      </c>
      <c r="AH342" s="207" t="str">
        <f aca="false">IF($A343="","",IF(Summary!$R$12="Y",(VLOOKUP($A342,Summary!$AD$6:$AF$9,3)+'Escalating commodity'!J355),'Escalating commodity'!J355))</f>
        <v/>
      </c>
      <c r="AI342" s="207" t="str">
        <f aca="false">IF($A343="","",AH342)</f>
        <v/>
      </c>
      <c r="AJ342" s="208" t="e">
        <f aca="false">A342+DAY(EOMONTH(A342,0))/2-1</f>
        <v>#VALUE!</v>
      </c>
      <c r="AK342" s="209" t="str">
        <f aca="false">IF($A343="","",$A342-$E$1)</f>
        <v/>
      </c>
      <c r="AL342" s="182" t="str">
        <f aca="false">IF($A343="","",SPRDOPT(P342,X342,AI342,0,AB342,AE342,AF342,AK342,$AJ$2,0))</f>
        <v/>
      </c>
      <c r="AM342" s="211" t="str">
        <f aca="false">IF($A343="","",MAX(0,O342-W342-AI342))</f>
        <v/>
      </c>
      <c r="AN342" s="211" t="str">
        <f aca="false">IF($A343="","",AL342-AM342)</f>
        <v/>
      </c>
      <c r="AO342" s="137" t="str">
        <f aca="false">IF(A343="","",A343-A342)</f>
        <v/>
      </c>
      <c r="AP342" s="212" t="str">
        <f aca="false">IF(A343="","",CHOOSE(F$3,A343+24,A342))</f>
        <v/>
      </c>
      <c r="AQ342" s="209" t="str">
        <f aca="false">IF(A343="","",AP342-$E$1)</f>
        <v/>
      </c>
      <c r="AR342" s="185" t="n">
        <f aca="false">'ANR OK vs ML7'!AR342</f>
        <v>0.1</v>
      </c>
      <c r="AS342" s="213" t="str">
        <f aca="false">IF(A343="","",1/(1+CHOOSE(F$3,(AR343+($I$3/10000))/2,(AR342+($I$3/10000))/2))^(2*AQ342/365.25))</f>
        <v/>
      </c>
      <c r="AT342" s="137" t="str">
        <f aca="false">IF(A343="","",IF(AND(mthbeg&lt;=A342,mthend&gt;=A342),1,0))</f>
        <v/>
      </c>
      <c r="AU342" s="137" t="str">
        <f aca="false">IF(A343="","",AO342*AT342)</f>
        <v/>
      </c>
      <c r="AW342" s="195" t="str">
        <f aca="false">IF($A343="","",AL342*$E342)</f>
        <v/>
      </c>
      <c r="AX342" s="195" t="str">
        <f aca="false">IF($A343="","",AM342*$E342)</f>
        <v/>
      </c>
      <c r="AY342" s="195" t="str">
        <f aca="false">IF($A343="","",AN342*$E342)</f>
        <v/>
      </c>
      <c r="BA342" s="195" t="str">
        <f aca="false">IF($A343="","",F342*Summary!$Q$14)</f>
        <v/>
      </c>
    </row>
    <row r="343" customFormat="false" ht="12" hidden="false" customHeight="true" outlineLevel="0" collapsed="false">
      <c r="A343" s="196" t="str">
        <f aca="false">IF(A342&lt;mthend,EDATE(A342,1),"")</f>
        <v/>
      </c>
      <c r="B343" s="197" t="str">
        <f aca="false">IF(A343&lt;mthend,B342,"")</f>
        <v/>
      </c>
      <c r="C343" s="215"/>
      <c r="D343" s="197" t="str">
        <f aca="false">IF(A344&lt;&gt;"",B343+C343,"")</f>
        <v/>
      </c>
      <c r="E343" s="199" t="str">
        <f aca="false">IF(A344="","",IF(AND(AT343=1,$H$3=1),D343*AO343,IF($H$3=2,D343,"N/A")))</f>
        <v/>
      </c>
      <c r="F343" s="199" t="str">
        <f aca="false">IF(A344="","",E343*AS343)</f>
        <v/>
      </c>
      <c r="G343" s="200" t="str">
        <f aca="false">IF($A344="","",VLOOKUP($A343,Table,MATCH(G$4,Curves,0)))</f>
        <v/>
      </c>
      <c r="H343" s="201" t="str">
        <f aca="false">IF(A344="","",G343)</f>
        <v/>
      </c>
      <c r="I343" s="202"/>
      <c r="J343" s="200" t="str">
        <f aca="false">IF($A344="","",VLOOKUP($A343,Table,MATCH(J$4,Curves,0)))</f>
        <v/>
      </c>
      <c r="K343" s="201" t="str">
        <f aca="false">IF(A344="","",J343)</f>
        <v/>
      </c>
      <c r="L343" s="185" t="n">
        <v>0</v>
      </c>
      <c r="M343" s="201" t="str">
        <f aca="false">IF(A344="","",L343)</f>
        <v/>
      </c>
      <c r="N343" s="203"/>
      <c r="O343" s="200" t="str">
        <f aca="false">IF(A344="","",L343+J343+G343)</f>
        <v/>
      </c>
      <c r="P343" s="200" t="str">
        <f aca="false">IF(A344="","",M343+K343+H343)</f>
        <v/>
      </c>
      <c r="Q343" s="204"/>
      <c r="R343" s="200" t="str">
        <f aca="false">IF($A344="","",VLOOKUP($A343,Table,MATCH(R$4,Curves,0)))</f>
        <v/>
      </c>
      <c r="S343" s="201" t="str">
        <f aca="false">IF(A344="","",R343)</f>
        <v/>
      </c>
      <c r="T343" s="200" t="str">
        <f aca="false">IF($A344="","",VLOOKUP($A343,Table,MATCH(T$4,Curves,0)))</f>
        <v/>
      </c>
      <c r="U343" s="201" t="str">
        <f aca="false">IF(A344="","",T343)</f>
        <v/>
      </c>
      <c r="V343" s="183" t="str">
        <f aca="false">IF($A344="","",IF(AND(MONTH(A343)&gt;3,MONTH(A343)&lt;11),(T343+R343+G343)*(((1/(1-Summary!$T$14))/(1-Summary!$W$14))-1),(T343+R343+G343)*((1/(1-Summary!$U$14))/(1-Summary!$X$14)-1)))</f>
        <v/>
      </c>
      <c r="W343" s="202" t="str">
        <f aca="false">IF($A344="","",(T343+R343+G343+V343))</f>
        <v/>
      </c>
      <c r="X343" s="202" t="str">
        <f aca="false">IF($A344="","",(U343+S343+H343+V343))</f>
        <v/>
      </c>
      <c r="Y343" s="202"/>
      <c r="Z343" s="185" t="str">
        <f aca="false">IF($A344="","",VLOOKUP($A343,Table,MATCH(Z$4,Curves,0)))</f>
        <v/>
      </c>
      <c r="AA343" s="185" t="str">
        <f aca="false">IF($A344="","",VLOOKUP($A343,Table,MATCH(AA$4,Curves,0)))</f>
        <v/>
      </c>
      <c r="AB343" s="185" t="e">
        <f aca="false">SQRT((AA343^2*(A343-$D$3)+Z343^2*(DAY(EOMONTH(A343,0))/2))/AK343)</f>
        <v>#VALUE!</v>
      </c>
      <c r="AC343" s="185" t="str">
        <f aca="false">IF($A344="","",VLOOKUP($A343,Table,MATCH(AC$4,Curves,0)))</f>
        <v/>
      </c>
      <c r="AD343" s="185" t="str">
        <f aca="false">IF($A344="","",VLOOKUP($A343,Table,MATCH(AD$4,Curves,0)))</f>
        <v/>
      </c>
      <c r="AE343" s="185" t="e">
        <f aca="false">SQRT((AD343^2*(A343-$D$3)+AC343^2*(DAY(EOMONTH(A343,0))/2))/AK343)</f>
        <v>#VALUE!</v>
      </c>
      <c r="AF343" s="224" t="e">
        <f aca="false">((Summary!$N$14*(AA343*AD343)*(A343-$D$3))+(Summary!$M$14*Z343*AC343*(AJ343-EOMONTH(EDATE(A343,-1),0))))/(AK343*AB343*AE343)</f>
        <v>#VALUE!</v>
      </c>
      <c r="AG343" s="207" t="str">
        <f aca="false">IF($A344="","",Summary!$Q$14)</f>
        <v/>
      </c>
      <c r="AH343" s="207" t="str">
        <f aca="false">IF($A344="","",IF(Summary!$R$12="Y",(VLOOKUP($A343,Summary!$AD$6:$AF$9,3)+'Escalating commodity'!J356),'Escalating commodity'!J356))</f>
        <v/>
      </c>
      <c r="AI343" s="207" t="str">
        <f aca="false">IF($A344="","",AH343)</f>
        <v/>
      </c>
      <c r="AJ343" s="208" t="e">
        <f aca="false">A343+DAY(EOMONTH(A343,0))/2-1</f>
        <v>#VALUE!</v>
      </c>
      <c r="AK343" s="209" t="str">
        <f aca="false">IF($A344="","",$A343-$E$1)</f>
        <v/>
      </c>
      <c r="AL343" s="182" t="str">
        <f aca="false">IF($A344="","",SPRDOPT(P343,X343,AI343,0,AB343,AE343,AF343,AK343,$AJ$2,0))</f>
        <v/>
      </c>
      <c r="AM343" s="211" t="str">
        <f aca="false">IF($A344="","",MAX(0,O343-W343-AI343))</f>
        <v/>
      </c>
      <c r="AN343" s="211" t="str">
        <f aca="false">IF($A344="","",AL343-AM343)</f>
        <v/>
      </c>
      <c r="AO343" s="137" t="str">
        <f aca="false">IF(A344="","",A344-A343)</f>
        <v/>
      </c>
      <c r="AP343" s="212" t="str">
        <f aca="false">IF(A344="","",CHOOSE(F$3,A344+24,A343))</f>
        <v/>
      </c>
      <c r="AQ343" s="209" t="str">
        <f aca="false">IF(A344="","",AP343-$E$1)</f>
        <v/>
      </c>
      <c r="AR343" s="185" t="n">
        <f aca="false">'ANR OK vs ML7'!AR343</f>
        <v>0.1</v>
      </c>
      <c r="AS343" s="213" t="str">
        <f aca="false">IF(A344="","",1/(1+CHOOSE(F$3,(AR344+($I$3/10000))/2,(AR343+($I$3/10000))/2))^(2*AQ343/365.25))</f>
        <v/>
      </c>
      <c r="AT343" s="137" t="str">
        <f aca="false">IF(A344="","",IF(AND(mthbeg&lt;=A343,mthend&gt;=A343),1,0))</f>
        <v/>
      </c>
      <c r="AU343" s="137" t="str">
        <f aca="false">IF(A344="","",AO343*AT343)</f>
        <v/>
      </c>
      <c r="AW343" s="195" t="str">
        <f aca="false">IF($A344="","",AL343*$E343)</f>
        <v/>
      </c>
      <c r="AX343" s="195" t="str">
        <f aca="false">IF($A344="","",AM343*$E343)</f>
        <v/>
      </c>
      <c r="AY343" s="195" t="str">
        <f aca="false">IF($A344="","",AN343*$E343)</f>
        <v/>
      </c>
      <c r="BA343" s="195" t="str">
        <f aca="false">IF($A344="","",F343*Summary!$Q$14)</f>
        <v/>
      </c>
    </row>
    <row r="344" customFormat="false" ht="12" hidden="false" customHeight="true" outlineLevel="0" collapsed="false">
      <c r="A344" s="196" t="str">
        <f aca="false">IF(A343&lt;mthend,EDATE(A343,1),"")</f>
        <v/>
      </c>
      <c r="B344" s="197" t="str">
        <f aca="false">IF(A344&lt;mthend,B343,"")</f>
        <v/>
      </c>
      <c r="C344" s="215"/>
      <c r="D344" s="197" t="str">
        <f aca="false">IF(A345&lt;&gt;"",B344+C344,"")</f>
        <v/>
      </c>
      <c r="E344" s="199" t="str">
        <f aca="false">IF(A345="","",IF(AND(AT344=1,$H$3=1),D344*AO344,IF($H$3=2,D344,"N/A")))</f>
        <v/>
      </c>
      <c r="F344" s="199" t="str">
        <f aca="false">IF(A345="","",E344*AS344)</f>
        <v/>
      </c>
      <c r="G344" s="200" t="str">
        <f aca="false">IF($A345="","",VLOOKUP($A344,Table,MATCH(G$4,Curves,0)))</f>
        <v/>
      </c>
      <c r="H344" s="201" t="str">
        <f aca="false">IF(A345="","",G344)</f>
        <v/>
      </c>
      <c r="I344" s="202"/>
      <c r="J344" s="200" t="str">
        <f aca="false">IF($A345="","",VLOOKUP($A344,Table,MATCH(J$4,Curves,0)))</f>
        <v/>
      </c>
      <c r="K344" s="201" t="str">
        <f aca="false">IF(A345="","",J344)</f>
        <v/>
      </c>
      <c r="L344" s="185" t="n">
        <v>0</v>
      </c>
      <c r="M344" s="201" t="str">
        <f aca="false">IF(A345="","",L344)</f>
        <v/>
      </c>
      <c r="N344" s="203"/>
      <c r="O344" s="200" t="str">
        <f aca="false">IF(A345="","",L344+J344+G344)</f>
        <v/>
      </c>
      <c r="P344" s="200" t="str">
        <f aca="false">IF(A345="","",M344+K344+H344)</f>
        <v/>
      </c>
      <c r="Q344" s="204"/>
      <c r="R344" s="200" t="str">
        <f aca="false">IF($A345="","",VLOOKUP($A344,Table,MATCH(R$4,Curves,0)))</f>
        <v/>
      </c>
      <c r="S344" s="201" t="str">
        <f aca="false">IF(A345="","",R344)</f>
        <v/>
      </c>
      <c r="T344" s="200" t="str">
        <f aca="false">IF($A345="","",VLOOKUP($A344,Table,MATCH(T$4,Curves,0)))</f>
        <v/>
      </c>
      <c r="U344" s="201" t="str">
        <f aca="false">IF(A345="","",T344)</f>
        <v/>
      </c>
      <c r="V344" s="183" t="str">
        <f aca="false">IF($A345="","",IF(AND(MONTH(A344)&gt;3,MONTH(A344)&lt;11),(T344+R344+G344)*(((1/(1-Summary!$T$14))/(1-Summary!$W$14))-1),(T344+R344+G344)*((1/(1-Summary!$U$14))/(1-Summary!$X$14)-1)))</f>
        <v/>
      </c>
      <c r="W344" s="202" t="str">
        <f aca="false">IF($A345="","",(T344+R344+G344+V344))</f>
        <v/>
      </c>
      <c r="X344" s="202" t="str">
        <f aca="false">IF($A345="","",(U344+S344+H344+V344))</f>
        <v/>
      </c>
      <c r="Y344" s="202"/>
      <c r="Z344" s="185" t="str">
        <f aca="false">IF($A345="","",VLOOKUP($A344,Table,MATCH(Z$4,Curves,0)))</f>
        <v/>
      </c>
      <c r="AA344" s="185" t="str">
        <f aca="false">IF($A345="","",VLOOKUP($A344,Table,MATCH(AA$4,Curves,0)))</f>
        <v/>
      </c>
      <c r="AB344" s="185" t="e">
        <f aca="false">SQRT((AA344^2*(A344-$D$3)+Z344^2*(DAY(EOMONTH(A344,0))/2))/AK344)</f>
        <v>#VALUE!</v>
      </c>
      <c r="AC344" s="185" t="str">
        <f aca="false">IF($A345="","",VLOOKUP($A344,Table,MATCH(AC$4,Curves,0)))</f>
        <v/>
      </c>
      <c r="AD344" s="185" t="str">
        <f aca="false">IF($A345="","",VLOOKUP($A344,Table,MATCH(AD$4,Curves,0)))</f>
        <v/>
      </c>
      <c r="AE344" s="185" t="e">
        <f aca="false">SQRT((AD344^2*(A344-$D$3)+AC344^2*(DAY(EOMONTH(A344,0))/2))/AK344)</f>
        <v>#VALUE!</v>
      </c>
      <c r="AF344" s="224" t="e">
        <f aca="false">((Summary!$N$14*(AA344*AD344)*(A344-$D$3))+(Summary!$M$14*Z344*AC344*(AJ344-EOMONTH(EDATE(A344,-1),0))))/(AK344*AB344*AE344)</f>
        <v>#VALUE!</v>
      </c>
      <c r="AG344" s="207" t="str">
        <f aca="false">IF($A345="","",Summary!$Q$14)</f>
        <v/>
      </c>
      <c r="AH344" s="207" t="str">
        <f aca="false">IF($A345="","",IF(Summary!$R$12="Y",(VLOOKUP($A344,Summary!$AD$6:$AF$9,3)+'Escalating commodity'!J357),'Escalating commodity'!J357))</f>
        <v/>
      </c>
      <c r="AI344" s="207" t="str">
        <f aca="false">IF($A345="","",AH344)</f>
        <v/>
      </c>
      <c r="AJ344" s="208" t="e">
        <f aca="false">A344+DAY(EOMONTH(A344,0))/2-1</f>
        <v>#VALUE!</v>
      </c>
      <c r="AK344" s="209" t="str">
        <f aca="false">IF($A345="","",$A344-$E$1)</f>
        <v/>
      </c>
      <c r="AL344" s="182" t="str">
        <f aca="false">IF($A345="","",SPRDOPT(P344,X344,AI344,0,AB344,AE344,AF344,AK344,$AJ$2,0))</f>
        <v/>
      </c>
      <c r="AM344" s="211" t="str">
        <f aca="false">IF($A345="","",MAX(0,O344-W344-AI344))</f>
        <v/>
      </c>
      <c r="AN344" s="211" t="str">
        <f aca="false">IF($A345="","",AL344-AM344)</f>
        <v/>
      </c>
      <c r="AO344" s="137" t="str">
        <f aca="false">IF(A345="","",A345-A344)</f>
        <v/>
      </c>
      <c r="AP344" s="212" t="str">
        <f aca="false">IF(A345="","",CHOOSE(F$3,A345+24,A344))</f>
        <v/>
      </c>
      <c r="AQ344" s="209" t="str">
        <f aca="false">IF(A345="","",AP344-$E$1)</f>
        <v/>
      </c>
      <c r="AR344" s="185" t="n">
        <f aca="false">'ANR OK vs ML7'!AR344</f>
        <v>0.1</v>
      </c>
      <c r="AS344" s="213" t="str">
        <f aca="false">IF(A345="","",1/(1+CHOOSE(F$3,(AR345+($I$3/10000))/2,(AR344+($I$3/10000))/2))^(2*AQ344/365.25))</f>
        <v/>
      </c>
      <c r="AT344" s="137" t="str">
        <f aca="false">IF(A345="","",IF(AND(mthbeg&lt;=A344,mthend&gt;=A344),1,0))</f>
        <v/>
      </c>
      <c r="AU344" s="137" t="str">
        <f aca="false">IF(A345="","",AO344*AT344)</f>
        <v/>
      </c>
      <c r="AW344" s="195" t="str">
        <f aca="false">IF($A345="","",AL344*$E344)</f>
        <v/>
      </c>
      <c r="AX344" s="195" t="str">
        <f aca="false">IF($A345="","",AM344*$E344)</f>
        <v/>
      </c>
      <c r="AY344" s="195" t="str">
        <f aca="false">IF($A345="","",AN344*$E344)</f>
        <v/>
      </c>
      <c r="BA344" s="195" t="str">
        <f aca="false">IF($A345="","",F344*Summary!$Q$14)</f>
        <v/>
      </c>
    </row>
    <row r="345" customFormat="false" ht="12" hidden="false" customHeight="true" outlineLevel="0" collapsed="false">
      <c r="A345" s="196" t="str">
        <f aca="false">IF(A344&lt;mthend,EDATE(A344,1),"")</f>
        <v/>
      </c>
      <c r="B345" s="197" t="str">
        <f aca="false">IF(A345&lt;mthend,B344,"")</f>
        <v/>
      </c>
      <c r="C345" s="215"/>
      <c r="D345" s="197" t="str">
        <f aca="false">IF(A346&lt;&gt;"",B345+C345,"")</f>
        <v/>
      </c>
      <c r="E345" s="199" t="str">
        <f aca="false">IF(A346="","",IF(AND(AT345=1,$H$3=1),D345*AO345,IF($H$3=2,D345,"N/A")))</f>
        <v/>
      </c>
      <c r="F345" s="199" t="str">
        <f aca="false">IF(A346="","",E345*AS345)</f>
        <v/>
      </c>
      <c r="G345" s="200" t="str">
        <f aca="false">IF($A346="","",VLOOKUP($A345,Table,MATCH(G$4,Curves,0)))</f>
        <v/>
      </c>
      <c r="H345" s="201" t="str">
        <f aca="false">IF(A346="","",G345)</f>
        <v/>
      </c>
      <c r="I345" s="202"/>
      <c r="J345" s="200" t="str">
        <f aca="false">IF($A346="","",VLOOKUP($A345,Table,MATCH(J$4,Curves,0)))</f>
        <v/>
      </c>
      <c r="K345" s="201" t="str">
        <f aca="false">IF(A346="","",J345)</f>
        <v/>
      </c>
      <c r="L345" s="185" t="n">
        <v>0</v>
      </c>
      <c r="M345" s="201" t="str">
        <f aca="false">IF(A346="","",L345)</f>
        <v/>
      </c>
      <c r="N345" s="203"/>
      <c r="O345" s="200" t="str">
        <f aca="false">IF(A346="","",L345+J345+G345)</f>
        <v/>
      </c>
      <c r="P345" s="200" t="str">
        <f aca="false">IF(A346="","",M345+K345+H345)</f>
        <v/>
      </c>
      <c r="Q345" s="204"/>
      <c r="R345" s="200" t="str">
        <f aca="false">IF($A346="","",VLOOKUP($A345,Table,MATCH(R$4,Curves,0)))</f>
        <v/>
      </c>
      <c r="S345" s="201" t="str">
        <f aca="false">IF(A346="","",R345)</f>
        <v/>
      </c>
      <c r="T345" s="200" t="str">
        <f aca="false">IF($A346="","",VLOOKUP($A345,Table,MATCH(T$4,Curves,0)))</f>
        <v/>
      </c>
      <c r="U345" s="201" t="str">
        <f aca="false">IF(A346="","",T345)</f>
        <v/>
      </c>
      <c r="V345" s="183" t="str">
        <f aca="false">IF($A346="","",IF(AND(MONTH(A345)&gt;3,MONTH(A345)&lt;11),(T345+R345+G345)*(((1/(1-Summary!$T$14))/(1-Summary!$W$14))-1),(T345+R345+G345)*((1/(1-Summary!$U$14))/(1-Summary!$X$14)-1)))</f>
        <v/>
      </c>
      <c r="W345" s="202" t="str">
        <f aca="false">IF($A346="","",(T345+R345+G345+V345))</f>
        <v/>
      </c>
      <c r="X345" s="202" t="str">
        <f aca="false">IF($A346="","",(U345+S345+H345+V345))</f>
        <v/>
      </c>
      <c r="Y345" s="202"/>
      <c r="Z345" s="185" t="str">
        <f aca="false">IF($A346="","",VLOOKUP($A345,Table,MATCH(Z$4,Curves,0)))</f>
        <v/>
      </c>
      <c r="AA345" s="185" t="str">
        <f aca="false">IF($A346="","",VLOOKUP($A345,Table,MATCH(AA$4,Curves,0)))</f>
        <v/>
      </c>
      <c r="AB345" s="185" t="e">
        <f aca="false">SQRT((AA345^2*(A345-$D$3)+Z345^2*(DAY(EOMONTH(A345,0))/2))/AK345)</f>
        <v>#VALUE!</v>
      </c>
      <c r="AC345" s="185" t="str">
        <f aca="false">IF($A346="","",VLOOKUP($A345,Table,MATCH(AC$4,Curves,0)))</f>
        <v/>
      </c>
      <c r="AD345" s="185" t="str">
        <f aca="false">IF($A346="","",VLOOKUP($A345,Table,MATCH(AD$4,Curves,0)))</f>
        <v/>
      </c>
      <c r="AE345" s="185" t="e">
        <f aca="false">SQRT((AD345^2*(A345-$D$3)+AC345^2*(DAY(EOMONTH(A345,0))/2))/AK345)</f>
        <v>#VALUE!</v>
      </c>
      <c r="AF345" s="224" t="e">
        <f aca="false">((Summary!$N$14*(AA345*AD345)*(A345-$D$3))+(Summary!$M$14*Z345*AC345*(AJ345-EOMONTH(EDATE(A345,-1),0))))/(AK345*AB345*AE345)</f>
        <v>#VALUE!</v>
      </c>
      <c r="AG345" s="207" t="str">
        <f aca="false">IF($A346="","",Summary!$Q$14)</f>
        <v/>
      </c>
      <c r="AH345" s="207" t="str">
        <f aca="false">IF($A346="","",IF(Summary!$R$12="Y",(VLOOKUP($A345,Summary!$AD$6:$AF$9,3)+'Escalating commodity'!J358),'Escalating commodity'!J358))</f>
        <v/>
      </c>
      <c r="AI345" s="207" t="str">
        <f aca="false">IF($A346="","",AH345)</f>
        <v/>
      </c>
      <c r="AJ345" s="208" t="e">
        <f aca="false">A345+DAY(EOMONTH(A345,0))/2-1</f>
        <v>#VALUE!</v>
      </c>
      <c r="AK345" s="209" t="str">
        <f aca="false">IF($A346="","",$A345-$E$1)</f>
        <v/>
      </c>
      <c r="AL345" s="182" t="str">
        <f aca="false">IF($A346="","",SPRDOPT(P345,X345,AI345,0,AB345,AE345,AF345,AK345,$AJ$2,0))</f>
        <v/>
      </c>
      <c r="AM345" s="211" t="str">
        <f aca="false">IF($A346="","",MAX(0,O345-W345-AI345))</f>
        <v/>
      </c>
      <c r="AN345" s="211" t="str">
        <f aca="false">IF($A346="","",AL345-AM345)</f>
        <v/>
      </c>
      <c r="AO345" s="137" t="str">
        <f aca="false">IF(A346="","",A346-A345)</f>
        <v/>
      </c>
      <c r="AP345" s="212" t="str">
        <f aca="false">IF(A346="","",CHOOSE(F$3,A346+24,A345))</f>
        <v/>
      </c>
      <c r="AQ345" s="209" t="str">
        <f aca="false">IF(A346="","",AP345-$E$1)</f>
        <v/>
      </c>
      <c r="AR345" s="185" t="n">
        <f aca="false">'ANR OK vs ML7'!AR345</f>
        <v>0.1</v>
      </c>
      <c r="AS345" s="213" t="str">
        <f aca="false">IF(A346="","",1/(1+CHOOSE(F$3,(AR346+($I$3/10000))/2,(AR345+($I$3/10000))/2))^(2*AQ345/365.25))</f>
        <v/>
      </c>
      <c r="AT345" s="137" t="str">
        <f aca="false">IF(A346="","",IF(AND(mthbeg&lt;=A345,mthend&gt;=A345),1,0))</f>
        <v/>
      </c>
      <c r="AU345" s="137" t="str">
        <f aca="false">IF(A346="","",AO345*AT345)</f>
        <v/>
      </c>
      <c r="AW345" s="195" t="str">
        <f aca="false">IF($A346="","",AL345*$E345)</f>
        <v/>
      </c>
      <c r="AX345" s="195" t="str">
        <f aca="false">IF($A346="","",AM345*$E345)</f>
        <v/>
      </c>
      <c r="AY345" s="195" t="str">
        <f aca="false">IF($A346="","",AN345*$E345)</f>
        <v/>
      </c>
      <c r="BA345" s="195" t="str">
        <f aca="false">IF($A346="","",F345*Summary!$Q$14)</f>
        <v/>
      </c>
    </row>
    <row r="346" customFormat="false" ht="12" hidden="false" customHeight="true" outlineLevel="0" collapsed="false">
      <c r="A346" s="196" t="str">
        <f aca="false">IF(A345&lt;mthend,EDATE(A345,1),"")</f>
        <v/>
      </c>
      <c r="B346" s="197" t="str">
        <f aca="false">IF(A346&lt;mthend,B345,"")</f>
        <v/>
      </c>
      <c r="C346" s="215"/>
      <c r="D346" s="197" t="str">
        <f aca="false">IF(A347&lt;&gt;"",B346+C346,"")</f>
        <v/>
      </c>
      <c r="E346" s="199" t="str">
        <f aca="false">IF(A347="","",IF(AND(AT346=1,$H$3=1),D346*AO346,IF($H$3=2,D346,"N/A")))</f>
        <v/>
      </c>
      <c r="F346" s="199" t="str">
        <f aca="false">IF(A347="","",E346*AS346)</f>
        <v/>
      </c>
      <c r="G346" s="200" t="str">
        <f aca="false">IF($A347="","",VLOOKUP($A346,Table,MATCH(G$4,Curves,0)))</f>
        <v/>
      </c>
      <c r="H346" s="201" t="str">
        <f aca="false">IF(A347="","",G346)</f>
        <v/>
      </c>
      <c r="I346" s="202"/>
      <c r="J346" s="200" t="str">
        <f aca="false">IF($A347="","",VLOOKUP($A346,Table,MATCH(J$4,Curves,0)))</f>
        <v/>
      </c>
      <c r="K346" s="201" t="str">
        <f aca="false">IF(A347="","",J346)</f>
        <v/>
      </c>
      <c r="L346" s="185" t="n">
        <v>0</v>
      </c>
      <c r="M346" s="201" t="str">
        <f aca="false">IF(A347="","",L346)</f>
        <v/>
      </c>
      <c r="N346" s="203"/>
      <c r="O346" s="200" t="str">
        <f aca="false">IF(A347="","",L346+J346+G346)</f>
        <v/>
      </c>
      <c r="P346" s="200" t="str">
        <f aca="false">IF(A347="","",M346+K346+H346)</f>
        <v/>
      </c>
      <c r="Q346" s="204"/>
      <c r="R346" s="200" t="str">
        <f aca="false">IF($A347="","",VLOOKUP($A346,Table,MATCH(R$4,Curves,0)))</f>
        <v/>
      </c>
      <c r="S346" s="201" t="str">
        <f aca="false">IF(A347="","",R346)</f>
        <v/>
      </c>
      <c r="T346" s="200" t="str">
        <f aca="false">IF($A347="","",VLOOKUP($A346,Table,MATCH(T$4,Curves,0)))</f>
        <v/>
      </c>
      <c r="U346" s="201" t="str">
        <f aca="false">IF(A347="","",T346)</f>
        <v/>
      </c>
      <c r="V346" s="183" t="str">
        <f aca="false">IF($A347="","",IF(AND(MONTH(A346)&gt;3,MONTH(A346)&lt;11),(T346+R346+G346)*(((1/(1-Summary!$T$14))/(1-Summary!$W$14))-1),(T346+R346+G346)*((1/(1-Summary!$U$14))/(1-Summary!$X$14)-1)))</f>
        <v/>
      </c>
      <c r="W346" s="202" t="str">
        <f aca="false">IF($A347="","",(T346+R346+G346+V346))</f>
        <v/>
      </c>
      <c r="X346" s="202" t="str">
        <f aca="false">IF($A347="","",(U346+S346+H346+V346))</f>
        <v/>
      </c>
      <c r="Y346" s="202"/>
      <c r="Z346" s="185" t="str">
        <f aca="false">IF($A347="","",VLOOKUP($A346,Table,MATCH(Z$4,Curves,0)))</f>
        <v/>
      </c>
      <c r="AA346" s="185" t="str">
        <f aca="false">IF($A347="","",VLOOKUP($A346,Table,MATCH(AA$4,Curves,0)))</f>
        <v/>
      </c>
      <c r="AB346" s="185" t="e">
        <f aca="false">SQRT((AA346^2*(A346-$D$3)+Z346^2*(DAY(EOMONTH(A346,0))/2))/AK346)</f>
        <v>#VALUE!</v>
      </c>
      <c r="AC346" s="185" t="str">
        <f aca="false">IF($A347="","",VLOOKUP($A346,Table,MATCH(AC$4,Curves,0)))</f>
        <v/>
      </c>
      <c r="AD346" s="185" t="str">
        <f aca="false">IF($A347="","",VLOOKUP($A346,Table,MATCH(AD$4,Curves,0)))</f>
        <v/>
      </c>
      <c r="AE346" s="185" t="e">
        <f aca="false">SQRT((AD346^2*(A346-$D$3)+AC346^2*(DAY(EOMONTH(A346,0))/2))/AK346)</f>
        <v>#VALUE!</v>
      </c>
      <c r="AF346" s="224" t="e">
        <f aca="false">((Summary!$N$14*(AA346*AD346)*(A346-$D$3))+(Summary!$M$14*Z346*AC346*(AJ346-EOMONTH(EDATE(A346,-1),0))))/(AK346*AB346*AE346)</f>
        <v>#VALUE!</v>
      </c>
      <c r="AG346" s="207" t="str">
        <f aca="false">IF($A347="","",Summary!$Q$14)</f>
        <v/>
      </c>
      <c r="AH346" s="207" t="str">
        <f aca="false">IF($A347="","",IF(Summary!$R$12="Y",(VLOOKUP($A346,Summary!$AD$6:$AF$9,3)+'Escalating commodity'!J359),'Escalating commodity'!J359))</f>
        <v/>
      </c>
      <c r="AI346" s="207" t="str">
        <f aca="false">IF($A347="","",AH346)</f>
        <v/>
      </c>
      <c r="AJ346" s="208" t="e">
        <f aca="false">A346+DAY(EOMONTH(A346,0))/2-1</f>
        <v>#VALUE!</v>
      </c>
      <c r="AK346" s="209" t="str">
        <f aca="false">IF($A347="","",$A346-$E$1)</f>
        <v/>
      </c>
      <c r="AL346" s="182" t="str">
        <f aca="false">IF($A347="","",SPRDOPT(P346,X346,AI346,0,AB346,AE346,AF346,AK346,$AJ$2,0))</f>
        <v/>
      </c>
      <c r="AM346" s="211" t="str">
        <f aca="false">IF($A347="","",MAX(0,O346-W346-AI346))</f>
        <v/>
      </c>
      <c r="AN346" s="211" t="str">
        <f aca="false">IF($A347="","",AL346-AM346)</f>
        <v/>
      </c>
      <c r="AO346" s="137" t="str">
        <f aca="false">IF(A347="","",A347-A346)</f>
        <v/>
      </c>
      <c r="AP346" s="212" t="str">
        <f aca="false">IF(A347="","",CHOOSE(F$3,A347+24,A346))</f>
        <v/>
      </c>
      <c r="AQ346" s="209" t="str">
        <f aca="false">IF(A347="","",AP346-$E$1)</f>
        <v/>
      </c>
      <c r="AR346" s="185" t="n">
        <f aca="false">'ANR OK vs ML7'!AR346</f>
        <v>0.1</v>
      </c>
      <c r="AS346" s="213" t="str">
        <f aca="false">IF(A347="","",1/(1+CHOOSE(F$3,(AR347+($I$3/10000))/2,(AR346+($I$3/10000))/2))^(2*AQ346/365.25))</f>
        <v/>
      </c>
      <c r="AT346" s="137" t="str">
        <f aca="false">IF(A347="","",IF(AND(mthbeg&lt;=A346,mthend&gt;=A346),1,0))</f>
        <v/>
      </c>
      <c r="AU346" s="137" t="str">
        <f aca="false">IF(A347="","",AO346*AT346)</f>
        <v/>
      </c>
      <c r="AW346" s="195" t="str">
        <f aca="false">IF($A347="","",AL346*$E346)</f>
        <v/>
      </c>
      <c r="AX346" s="195" t="str">
        <f aca="false">IF($A347="","",AM346*$E346)</f>
        <v/>
      </c>
      <c r="AY346" s="195" t="str">
        <f aca="false">IF($A347="","",AN346*$E346)</f>
        <v/>
      </c>
      <c r="BA346" s="195" t="str">
        <f aca="false">IF($A347="","",F346*Summary!$Q$14)</f>
        <v/>
      </c>
    </row>
    <row r="347" customFormat="false" ht="12" hidden="false" customHeight="true" outlineLevel="0" collapsed="false">
      <c r="A347" s="196" t="str">
        <f aca="false">IF(A346&lt;mthend,EDATE(A346,1),"")</f>
        <v/>
      </c>
      <c r="B347" s="197" t="str">
        <f aca="false">IF(A347&lt;mthend,B346,"")</f>
        <v/>
      </c>
      <c r="C347" s="215"/>
      <c r="D347" s="197" t="str">
        <f aca="false">IF(A348&lt;&gt;"",B347+C347,"")</f>
        <v/>
      </c>
      <c r="E347" s="199" t="str">
        <f aca="false">IF(A348="","",IF(AND(AT347=1,$H$3=1),D347*AO347,IF($H$3=2,D347,"N/A")))</f>
        <v/>
      </c>
      <c r="F347" s="199" t="str">
        <f aca="false">IF(A348="","",E347*AS347)</f>
        <v/>
      </c>
      <c r="G347" s="200" t="str">
        <f aca="false">IF($A348="","",VLOOKUP($A347,Table,MATCH(G$4,Curves,0)))</f>
        <v/>
      </c>
      <c r="H347" s="201" t="str">
        <f aca="false">IF(A348="","",G347)</f>
        <v/>
      </c>
      <c r="I347" s="202"/>
      <c r="J347" s="200" t="str">
        <f aca="false">IF($A348="","",VLOOKUP($A347,Table,MATCH(J$4,Curves,0)))</f>
        <v/>
      </c>
      <c r="K347" s="201" t="str">
        <f aca="false">IF(A348="","",J347)</f>
        <v/>
      </c>
      <c r="L347" s="185" t="n">
        <v>0</v>
      </c>
      <c r="M347" s="201" t="str">
        <f aca="false">IF(A348="","",L347)</f>
        <v/>
      </c>
      <c r="N347" s="203"/>
      <c r="O347" s="200" t="str">
        <f aca="false">IF(A348="","",L347+J347+G347)</f>
        <v/>
      </c>
      <c r="P347" s="200" t="str">
        <f aca="false">IF(A348="","",M347+K347+H347)</f>
        <v/>
      </c>
      <c r="Q347" s="204"/>
      <c r="R347" s="200" t="str">
        <f aca="false">IF($A348="","",VLOOKUP($A347,Table,MATCH(R$4,Curves,0)))</f>
        <v/>
      </c>
      <c r="S347" s="201" t="str">
        <f aca="false">IF(A348="","",R347)</f>
        <v/>
      </c>
      <c r="T347" s="200" t="str">
        <f aca="false">IF($A348="","",VLOOKUP($A347,Table,MATCH(T$4,Curves,0)))</f>
        <v/>
      </c>
      <c r="U347" s="201" t="str">
        <f aca="false">IF(A348="","",T347)</f>
        <v/>
      </c>
      <c r="V347" s="183" t="str">
        <f aca="false">IF($A348="","",IF(AND(MONTH(A347)&gt;3,MONTH(A347)&lt;11),(T347+R347+G347)*(((1/(1-Summary!$T$14))/(1-Summary!$W$14))-1),(T347+R347+G347)*((1/(1-Summary!$U$14))/(1-Summary!$X$14)-1)))</f>
        <v/>
      </c>
      <c r="W347" s="202" t="str">
        <f aca="false">IF($A348="","",(T347+R347+G347+V347))</f>
        <v/>
      </c>
      <c r="X347" s="202" t="str">
        <f aca="false">IF($A348="","",(U347+S347+H347+V347))</f>
        <v/>
      </c>
      <c r="Y347" s="202"/>
      <c r="Z347" s="185" t="str">
        <f aca="false">IF($A348="","",VLOOKUP($A347,Table,MATCH(Z$4,Curves,0)))</f>
        <v/>
      </c>
      <c r="AA347" s="185" t="str">
        <f aca="false">IF($A348="","",VLOOKUP($A347,Table,MATCH(AA$4,Curves,0)))</f>
        <v/>
      </c>
      <c r="AB347" s="185" t="e">
        <f aca="false">SQRT((AA347^2*(A347-$D$3)+Z347^2*(DAY(EOMONTH(A347,0))/2))/AK347)</f>
        <v>#VALUE!</v>
      </c>
      <c r="AC347" s="185" t="str">
        <f aca="false">IF($A348="","",VLOOKUP($A347,Table,MATCH(AC$4,Curves,0)))</f>
        <v/>
      </c>
      <c r="AD347" s="185" t="str">
        <f aca="false">IF($A348="","",VLOOKUP($A347,Table,MATCH(AD$4,Curves,0)))</f>
        <v/>
      </c>
      <c r="AE347" s="185" t="e">
        <f aca="false">SQRT((AD347^2*(A347-$D$3)+AC347^2*(DAY(EOMONTH(A347,0))/2))/AK347)</f>
        <v>#VALUE!</v>
      </c>
      <c r="AF347" s="224" t="e">
        <f aca="false">((Summary!$N$14*(AA347*AD347)*(A347-$D$3))+(Summary!$M$14*Z347*AC347*(AJ347-EOMONTH(EDATE(A347,-1),0))))/(AK347*AB347*AE347)</f>
        <v>#VALUE!</v>
      </c>
      <c r="AG347" s="207" t="str">
        <f aca="false">IF($A348="","",Summary!$Q$14)</f>
        <v/>
      </c>
      <c r="AH347" s="207" t="str">
        <f aca="false">IF($A348="","",IF(Summary!$R$12="Y",(VLOOKUP($A347,Summary!$AD$6:$AF$9,3)+'Escalating commodity'!J360),'Escalating commodity'!J360))</f>
        <v/>
      </c>
      <c r="AI347" s="207" t="str">
        <f aca="false">IF($A348="","",AH347)</f>
        <v/>
      </c>
      <c r="AJ347" s="208" t="e">
        <f aca="false">A347+DAY(EOMONTH(A347,0))/2-1</f>
        <v>#VALUE!</v>
      </c>
      <c r="AK347" s="209" t="str">
        <f aca="false">IF($A348="","",$A347-$E$1)</f>
        <v/>
      </c>
      <c r="AL347" s="182" t="str">
        <f aca="false">IF($A348="","",SPRDOPT(P347,X347,AI347,0,AB347,AE347,AF347,AK347,$AJ$2,0))</f>
        <v/>
      </c>
      <c r="AM347" s="211" t="str">
        <f aca="false">IF($A348="","",MAX(0,O347-W347-AI347))</f>
        <v/>
      </c>
      <c r="AN347" s="211" t="str">
        <f aca="false">IF($A348="","",AL347-AM347)</f>
        <v/>
      </c>
      <c r="AO347" s="137" t="str">
        <f aca="false">IF(A348="","",A348-A347)</f>
        <v/>
      </c>
      <c r="AP347" s="212" t="str">
        <f aca="false">IF(A348="","",CHOOSE(F$3,A348+24,A347))</f>
        <v/>
      </c>
      <c r="AQ347" s="209" t="str">
        <f aca="false">IF(A348="","",AP347-$E$1)</f>
        <v/>
      </c>
      <c r="AR347" s="185" t="n">
        <f aca="false">'ANR OK vs ML7'!AR347</f>
        <v>0.1</v>
      </c>
      <c r="AS347" s="213" t="str">
        <f aca="false">IF(A348="","",1/(1+CHOOSE(F$3,(AR348+($I$3/10000))/2,(AR347+($I$3/10000))/2))^(2*AQ347/365.25))</f>
        <v/>
      </c>
      <c r="AT347" s="137" t="str">
        <f aca="false">IF(A348="","",IF(AND(mthbeg&lt;=A347,mthend&gt;=A347),1,0))</f>
        <v/>
      </c>
      <c r="AU347" s="137" t="str">
        <f aca="false">IF(A348="","",AO347*AT347)</f>
        <v/>
      </c>
      <c r="AW347" s="195" t="str">
        <f aca="false">IF($A348="","",AL347*$E347)</f>
        <v/>
      </c>
      <c r="AX347" s="195" t="str">
        <f aca="false">IF($A348="","",AM347*$E347)</f>
        <v/>
      </c>
      <c r="AY347" s="195" t="str">
        <f aca="false">IF($A348="","",AN347*$E347)</f>
        <v/>
      </c>
      <c r="BA347" s="195" t="str">
        <f aca="false">IF($A348="","",F347*Summary!$Q$14)</f>
        <v/>
      </c>
    </row>
    <row r="348" customFormat="false" ht="12" hidden="false" customHeight="true" outlineLevel="0" collapsed="false">
      <c r="A348" s="196" t="str">
        <f aca="false">IF(A347&lt;mthend,EDATE(A347,1),"")</f>
        <v/>
      </c>
      <c r="B348" s="197" t="str">
        <f aca="false">IF(A348&lt;mthend,B347,"")</f>
        <v/>
      </c>
      <c r="C348" s="215"/>
      <c r="D348" s="197" t="str">
        <f aca="false">IF(A349&lt;&gt;"",B348+C348,"")</f>
        <v/>
      </c>
      <c r="E348" s="199" t="str">
        <f aca="false">IF(A349="","",IF(AND(AT348=1,$H$3=1),D348*AO348,IF($H$3=2,D348,"N/A")))</f>
        <v/>
      </c>
      <c r="F348" s="199" t="str">
        <f aca="false">IF(A349="","",E348*AS348)</f>
        <v/>
      </c>
      <c r="G348" s="200" t="str">
        <f aca="false">IF($A349="","",VLOOKUP($A348,Table,MATCH(G$4,Curves,0)))</f>
        <v/>
      </c>
      <c r="H348" s="201" t="str">
        <f aca="false">IF(A349="","",G348)</f>
        <v/>
      </c>
      <c r="I348" s="202"/>
      <c r="J348" s="200" t="str">
        <f aca="false">IF($A349="","",VLOOKUP($A348,Table,MATCH(J$4,Curves,0)))</f>
        <v/>
      </c>
      <c r="K348" s="201" t="str">
        <f aca="false">IF(A349="","",J348)</f>
        <v/>
      </c>
      <c r="L348" s="185" t="n">
        <v>0</v>
      </c>
      <c r="M348" s="201" t="str">
        <f aca="false">IF(A349="","",L348)</f>
        <v/>
      </c>
      <c r="N348" s="203"/>
      <c r="O348" s="200" t="str">
        <f aca="false">IF(A349="","",L348+J348+G348)</f>
        <v/>
      </c>
      <c r="P348" s="200" t="str">
        <f aca="false">IF(A349="","",M348+K348+H348)</f>
        <v/>
      </c>
      <c r="Q348" s="204"/>
      <c r="R348" s="200" t="str">
        <f aca="false">IF($A349="","",VLOOKUP($A348,Table,MATCH(R$4,Curves,0)))</f>
        <v/>
      </c>
      <c r="S348" s="201" t="str">
        <f aca="false">IF(A349="","",R348)</f>
        <v/>
      </c>
      <c r="T348" s="200" t="str">
        <f aca="false">IF($A349="","",VLOOKUP($A348,Table,MATCH(T$4,Curves,0)))</f>
        <v/>
      </c>
      <c r="U348" s="201" t="str">
        <f aca="false">IF(A349="","",T348)</f>
        <v/>
      </c>
      <c r="V348" s="183" t="str">
        <f aca="false">IF($A349="","",IF(AND(MONTH(A348)&gt;3,MONTH(A348)&lt;11),(T348+R348+G348)*(((1/(1-Summary!$T$14))/(1-Summary!$W$14))-1),(T348+R348+G348)*((1/(1-Summary!$U$14))/(1-Summary!$X$14)-1)))</f>
        <v/>
      </c>
      <c r="W348" s="202" t="str">
        <f aca="false">IF($A349="","",(T348+R348+G348+V348))</f>
        <v/>
      </c>
      <c r="X348" s="202" t="str">
        <f aca="false">IF($A349="","",(U348+S348+H348+V348))</f>
        <v/>
      </c>
      <c r="Y348" s="202"/>
      <c r="Z348" s="185" t="str">
        <f aca="false">IF($A349="","",VLOOKUP($A348,Table,MATCH(Z$4,Curves,0)))</f>
        <v/>
      </c>
      <c r="AA348" s="185" t="str">
        <f aca="false">IF($A349="","",VLOOKUP($A348,Table,MATCH(AA$4,Curves,0)))</f>
        <v/>
      </c>
      <c r="AB348" s="185" t="e">
        <f aca="false">SQRT((AA348^2*(A348-$D$3)+Z348^2*(DAY(EOMONTH(A348,0))/2))/AK348)</f>
        <v>#VALUE!</v>
      </c>
      <c r="AC348" s="185" t="str">
        <f aca="false">IF($A349="","",VLOOKUP($A348,Table,MATCH(AC$4,Curves,0)))</f>
        <v/>
      </c>
      <c r="AD348" s="185" t="str">
        <f aca="false">IF($A349="","",VLOOKUP($A348,Table,MATCH(AD$4,Curves,0)))</f>
        <v/>
      </c>
      <c r="AE348" s="185" t="e">
        <f aca="false">SQRT((AD348^2*(A348-$D$3)+AC348^2*(DAY(EOMONTH(A348,0))/2))/AK348)</f>
        <v>#VALUE!</v>
      </c>
      <c r="AF348" s="224" t="e">
        <f aca="false">((Summary!$N$14*(AA348*AD348)*(A348-$D$3))+(Summary!$M$14*Z348*AC348*(AJ348-EOMONTH(EDATE(A348,-1),0))))/(AK348*AB348*AE348)</f>
        <v>#VALUE!</v>
      </c>
      <c r="AG348" s="207" t="str">
        <f aca="false">IF($A349="","",Summary!$Q$14)</f>
        <v/>
      </c>
      <c r="AH348" s="207" t="str">
        <f aca="false">IF($A349="","",IF(Summary!$R$12="Y",(VLOOKUP($A348,Summary!$AD$6:$AF$9,3)+'Escalating commodity'!J361),'Escalating commodity'!J361))</f>
        <v/>
      </c>
      <c r="AI348" s="207" t="str">
        <f aca="false">IF($A349="","",AH348)</f>
        <v/>
      </c>
      <c r="AJ348" s="208" t="e">
        <f aca="false">A348+DAY(EOMONTH(A348,0))/2-1</f>
        <v>#VALUE!</v>
      </c>
      <c r="AK348" s="209" t="str">
        <f aca="false">IF($A349="","",$A348-$E$1)</f>
        <v/>
      </c>
      <c r="AL348" s="182" t="str">
        <f aca="false">IF($A349="","",SPRDOPT(P348,X348,AI348,0,AB348,AE348,AF348,AK348,$AJ$2,0))</f>
        <v/>
      </c>
      <c r="AM348" s="211" t="str">
        <f aca="false">IF($A349="","",MAX(0,O348-W348-AI348))</f>
        <v/>
      </c>
      <c r="AN348" s="211" t="str">
        <f aca="false">IF($A349="","",AL348-AM348)</f>
        <v/>
      </c>
      <c r="AO348" s="137" t="str">
        <f aca="false">IF(A349="","",A349-A348)</f>
        <v/>
      </c>
      <c r="AP348" s="212" t="str">
        <f aca="false">IF(A349="","",CHOOSE(F$3,A349+24,A348))</f>
        <v/>
      </c>
      <c r="AQ348" s="209" t="str">
        <f aca="false">IF(A349="","",AP348-$E$1)</f>
        <v/>
      </c>
      <c r="AR348" s="185" t="n">
        <f aca="false">'ANR OK vs ML7'!AR348</f>
        <v>0.1</v>
      </c>
      <c r="AS348" s="213" t="str">
        <f aca="false">IF(A349="","",1/(1+CHOOSE(F$3,(AR349+($I$3/10000))/2,(AR348+($I$3/10000))/2))^(2*AQ348/365.25))</f>
        <v/>
      </c>
      <c r="AT348" s="137" t="str">
        <f aca="false">IF(A349="","",IF(AND(mthbeg&lt;=A348,mthend&gt;=A348),1,0))</f>
        <v/>
      </c>
      <c r="AU348" s="137" t="str">
        <f aca="false">IF(A349="","",AO348*AT348)</f>
        <v/>
      </c>
      <c r="AW348" s="195" t="str">
        <f aca="false">IF($A349="","",AL348*$E348)</f>
        <v/>
      </c>
      <c r="AX348" s="195" t="str">
        <f aca="false">IF($A349="","",AM348*$E348)</f>
        <v/>
      </c>
      <c r="AY348" s="195" t="str">
        <f aca="false">IF($A349="","",AN348*$E348)</f>
        <v/>
      </c>
      <c r="BA348" s="195" t="str">
        <f aca="false">IF($A349="","",F348*Summary!$Q$14)</f>
        <v/>
      </c>
    </row>
    <row r="349" customFormat="false" ht="12" hidden="false" customHeight="true" outlineLevel="0" collapsed="false">
      <c r="A349" s="196" t="str">
        <f aca="false">IF(A348&lt;mthend,EDATE(A348,1),"")</f>
        <v/>
      </c>
      <c r="B349" s="197" t="str">
        <f aca="false">IF(A349&lt;mthend,B348,"")</f>
        <v/>
      </c>
      <c r="C349" s="215"/>
      <c r="D349" s="197" t="str">
        <f aca="false">IF(A350&lt;&gt;"",B349+C349,"")</f>
        <v/>
      </c>
      <c r="E349" s="199" t="str">
        <f aca="false">IF(A350="","",IF(AND(AT349=1,$H$3=1),D349*AO349,IF($H$3=2,D349,"N/A")))</f>
        <v/>
      </c>
      <c r="F349" s="199" t="str">
        <f aca="false">IF(A350="","",E349*AS349)</f>
        <v/>
      </c>
      <c r="G349" s="200" t="str">
        <f aca="false">IF($A350="","",VLOOKUP($A349,Table,MATCH(G$4,Curves,0)))</f>
        <v/>
      </c>
      <c r="H349" s="201" t="str">
        <f aca="false">IF(A350="","",G349)</f>
        <v/>
      </c>
      <c r="I349" s="202"/>
      <c r="J349" s="200" t="str">
        <f aca="false">IF($A350="","",VLOOKUP($A349,Table,MATCH(J$4,Curves,0)))</f>
        <v/>
      </c>
      <c r="K349" s="201" t="str">
        <f aca="false">IF(A350="","",J349)</f>
        <v/>
      </c>
      <c r="L349" s="185" t="n">
        <v>0</v>
      </c>
      <c r="M349" s="201" t="str">
        <f aca="false">IF(A350="","",L349)</f>
        <v/>
      </c>
      <c r="N349" s="203"/>
      <c r="O349" s="200" t="str">
        <f aca="false">IF(A350="","",L349+J349+G349)</f>
        <v/>
      </c>
      <c r="P349" s="200" t="str">
        <f aca="false">IF(A350="","",M349+K349+H349)</f>
        <v/>
      </c>
      <c r="Q349" s="204"/>
      <c r="R349" s="200" t="str">
        <f aca="false">IF($A350="","",VLOOKUP($A349,Table,MATCH(R$4,Curves,0)))</f>
        <v/>
      </c>
      <c r="S349" s="201" t="str">
        <f aca="false">IF(A350="","",R349)</f>
        <v/>
      </c>
      <c r="T349" s="200" t="str">
        <f aca="false">IF($A350="","",VLOOKUP($A349,Table,MATCH(T$4,Curves,0)))</f>
        <v/>
      </c>
      <c r="U349" s="201" t="str">
        <f aca="false">IF(A350="","",T349)</f>
        <v/>
      </c>
      <c r="V349" s="183" t="str">
        <f aca="false">IF($A350="","",IF(AND(MONTH(A349)&gt;3,MONTH(A349)&lt;11),(T349+R349+G349)*(((1/(1-Summary!$T$14))/(1-Summary!$W$14))-1),(T349+R349+G349)*((1/(1-Summary!$U$14))/(1-Summary!$X$14)-1)))</f>
        <v/>
      </c>
      <c r="W349" s="202" t="str">
        <f aca="false">IF($A350="","",(T349+R349+G349+V349))</f>
        <v/>
      </c>
      <c r="X349" s="202" t="str">
        <f aca="false">IF($A350="","",(U349+S349+H349+V349))</f>
        <v/>
      </c>
      <c r="Y349" s="202"/>
      <c r="Z349" s="185" t="str">
        <f aca="false">IF($A350="","",VLOOKUP($A349,Table,MATCH(Z$4,Curves,0)))</f>
        <v/>
      </c>
      <c r="AA349" s="185" t="str">
        <f aca="false">IF($A350="","",VLOOKUP($A349,Table,MATCH(AA$4,Curves,0)))</f>
        <v/>
      </c>
      <c r="AB349" s="185" t="e">
        <f aca="false">SQRT((AA349^2*(A349-$D$3)+Z349^2*(DAY(EOMONTH(A349,0))/2))/AK349)</f>
        <v>#VALUE!</v>
      </c>
      <c r="AC349" s="185" t="str">
        <f aca="false">IF($A350="","",VLOOKUP($A349,Table,MATCH(AC$4,Curves,0)))</f>
        <v/>
      </c>
      <c r="AD349" s="185" t="str">
        <f aca="false">IF($A350="","",VLOOKUP($A349,Table,MATCH(AD$4,Curves,0)))</f>
        <v/>
      </c>
      <c r="AE349" s="185" t="e">
        <f aca="false">SQRT((AD349^2*(A349-$D$3)+AC349^2*(DAY(EOMONTH(A349,0))/2))/AK349)</f>
        <v>#VALUE!</v>
      </c>
      <c r="AF349" s="224" t="e">
        <f aca="false">((Summary!$N$14*(AA349*AD349)*(A349-$D$3))+(Summary!$M$14*Z349*AC349*(AJ349-EOMONTH(EDATE(A349,-1),0))))/(AK349*AB349*AE349)</f>
        <v>#VALUE!</v>
      </c>
      <c r="AG349" s="207" t="str">
        <f aca="false">IF($A350="","",Summary!$Q$14)</f>
        <v/>
      </c>
      <c r="AH349" s="207" t="str">
        <f aca="false">IF($A350="","",IF(Summary!$R$12="Y",(VLOOKUP($A349,Summary!$AD$6:$AF$9,3)+'Escalating commodity'!J362),'Escalating commodity'!J362))</f>
        <v/>
      </c>
      <c r="AI349" s="207" t="str">
        <f aca="false">IF($A350="","",AH349)</f>
        <v/>
      </c>
      <c r="AJ349" s="208" t="e">
        <f aca="false">A349+DAY(EOMONTH(A349,0))/2-1</f>
        <v>#VALUE!</v>
      </c>
      <c r="AK349" s="209" t="str">
        <f aca="false">IF($A350="","",$A349-$E$1)</f>
        <v/>
      </c>
      <c r="AL349" s="182" t="str">
        <f aca="false">IF($A350="","",SPRDOPT(P349,X349,AI349,0,AB349,AE349,AF349,AK349,$AJ$2,0))</f>
        <v/>
      </c>
      <c r="AM349" s="211" t="str">
        <f aca="false">IF($A350="","",MAX(0,O349-W349-AI349))</f>
        <v/>
      </c>
      <c r="AN349" s="211" t="str">
        <f aca="false">IF($A350="","",AL349-AM349)</f>
        <v/>
      </c>
      <c r="AO349" s="137" t="str">
        <f aca="false">IF(A350="","",A350-A349)</f>
        <v/>
      </c>
      <c r="AP349" s="212" t="str">
        <f aca="false">IF(A350="","",CHOOSE(F$3,A350+24,A349))</f>
        <v/>
      </c>
      <c r="AQ349" s="209" t="str">
        <f aca="false">IF(A350="","",AP349-$E$1)</f>
        <v/>
      </c>
      <c r="AR349" s="185" t="n">
        <f aca="false">'ANR OK vs ML7'!AR349</f>
        <v>0.1</v>
      </c>
      <c r="AS349" s="213" t="str">
        <f aca="false">IF(A350="","",1/(1+CHOOSE(F$3,(AR350+($I$3/10000))/2,(AR349+($I$3/10000))/2))^(2*AQ349/365.25))</f>
        <v/>
      </c>
      <c r="AT349" s="137" t="str">
        <f aca="false">IF(A350="","",IF(AND(mthbeg&lt;=A349,mthend&gt;=A349),1,0))</f>
        <v/>
      </c>
      <c r="AU349" s="137" t="str">
        <f aca="false">IF(A350="","",AO349*AT349)</f>
        <v/>
      </c>
      <c r="AW349" s="195" t="str">
        <f aca="false">IF($A350="","",AL349*$E349)</f>
        <v/>
      </c>
      <c r="AX349" s="195" t="str">
        <f aca="false">IF($A350="","",AM349*$E349)</f>
        <v/>
      </c>
      <c r="AY349" s="195" t="str">
        <f aca="false">IF($A350="","",AN349*$E349)</f>
        <v/>
      </c>
      <c r="BA349" s="195" t="str">
        <f aca="false">IF($A350="","",F349*Summary!$Q$14)</f>
        <v/>
      </c>
    </row>
    <row r="350" customFormat="false" ht="12" hidden="false" customHeight="true" outlineLevel="0" collapsed="false">
      <c r="A350" s="196" t="str">
        <f aca="false">IF(A349&lt;mthend,EDATE(A349,1),"")</f>
        <v/>
      </c>
      <c r="B350" s="197" t="str">
        <f aca="false">IF(A350&lt;mthend,B349,"")</f>
        <v/>
      </c>
      <c r="C350" s="215"/>
      <c r="D350" s="197" t="str">
        <f aca="false">IF(A351&lt;&gt;"",B350+C350,"")</f>
        <v/>
      </c>
      <c r="E350" s="199" t="str">
        <f aca="false">IF(A351="","",IF(AND(AT350=1,$H$3=1),D350*AO350,IF($H$3=2,D350,"N/A")))</f>
        <v/>
      </c>
      <c r="F350" s="199" t="str">
        <f aca="false">IF(A351="","",E350*AS350)</f>
        <v/>
      </c>
      <c r="G350" s="200" t="str">
        <f aca="false">IF($A351="","",VLOOKUP($A350,Table,MATCH(G$4,Curves,0)))</f>
        <v/>
      </c>
      <c r="H350" s="201" t="str">
        <f aca="false">IF(A351="","",G350)</f>
        <v/>
      </c>
      <c r="I350" s="202"/>
      <c r="J350" s="200" t="str">
        <f aca="false">IF($A351="","",VLOOKUP($A350,Table,MATCH(J$4,Curves,0)))</f>
        <v/>
      </c>
      <c r="K350" s="201" t="str">
        <f aca="false">IF(A351="","",J350)</f>
        <v/>
      </c>
      <c r="L350" s="185" t="n">
        <v>0</v>
      </c>
      <c r="M350" s="201" t="str">
        <f aca="false">IF(A351="","",L350)</f>
        <v/>
      </c>
      <c r="N350" s="203"/>
      <c r="O350" s="200" t="str">
        <f aca="false">IF(A351="","",L350+J350+G350)</f>
        <v/>
      </c>
      <c r="P350" s="200" t="str">
        <f aca="false">IF(A351="","",M350+K350+H350)</f>
        <v/>
      </c>
      <c r="Q350" s="204"/>
      <c r="R350" s="200" t="str">
        <f aca="false">IF($A351="","",VLOOKUP($A350,Table,MATCH(R$4,Curves,0)))</f>
        <v/>
      </c>
      <c r="S350" s="201" t="str">
        <f aca="false">IF(A351="","",R350)</f>
        <v/>
      </c>
      <c r="T350" s="200" t="str">
        <f aca="false">IF($A351="","",VLOOKUP($A350,Table,MATCH(T$4,Curves,0)))</f>
        <v/>
      </c>
      <c r="U350" s="201" t="str">
        <f aca="false">IF(A351="","",T350)</f>
        <v/>
      </c>
      <c r="V350" s="183" t="str">
        <f aca="false">IF($A351="","",IF(AND(MONTH(A350)&gt;3,MONTH(A350)&lt;11),(T350+R350+G350)*(((1/(1-Summary!$T$14))/(1-Summary!$W$14))-1),(T350+R350+G350)*((1/(1-Summary!$U$14))/(1-Summary!$X$14)-1)))</f>
        <v/>
      </c>
      <c r="W350" s="202" t="str">
        <f aca="false">IF($A351="","",(T350+R350+G350+V350))</f>
        <v/>
      </c>
      <c r="X350" s="202" t="str">
        <f aca="false">IF($A351="","",(U350+S350+H350+V350))</f>
        <v/>
      </c>
      <c r="Y350" s="202"/>
      <c r="Z350" s="185" t="str">
        <f aca="false">IF($A351="","",VLOOKUP($A350,Table,MATCH(Z$4,Curves,0)))</f>
        <v/>
      </c>
      <c r="AA350" s="185" t="str">
        <f aca="false">IF($A351="","",VLOOKUP($A350,Table,MATCH(AA$4,Curves,0)))</f>
        <v/>
      </c>
      <c r="AB350" s="185" t="e">
        <f aca="false">SQRT((AA350^2*(A350-$D$3)+Z350^2*(DAY(EOMONTH(A350,0))/2))/AK350)</f>
        <v>#VALUE!</v>
      </c>
      <c r="AC350" s="185" t="str">
        <f aca="false">IF($A351="","",VLOOKUP($A350,Table,MATCH(AC$4,Curves,0)))</f>
        <v/>
      </c>
      <c r="AD350" s="185" t="str">
        <f aca="false">IF($A351="","",VLOOKUP($A350,Table,MATCH(AD$4,Curves,0)))</f>
        <v/>
      </c>
      <c r="AE350" s="185" t="e">
        <f aca="false">SQRT((AD350^2*(A350-$D$3)+AC350^2*(DAY(EOMONTH(A350,0))/2))/AK350)</f>
        <v>#VALUE!</v>
      </c>
      <c r="AF350" s="224" t="e">
        <f aca="false">((Summary!$N$14*(AA350*AD350)*(A350-$D$3))+(Summary!$M$14*Z350*AC350*(AJ350-EOMONTH(EDATE(A350,-1),0))))/(AK350*AB350*AE350)</f>
        <v>#VALUE!</v>
      </c>
      <c r="AG350" s="207" t="str">
        <f aca="false">IF($A351="","",Summary!$Q$14)</f>
        <v/>
      </c>
      <c r="AH350" s="207" t="str">
        <f aca="false">IF($A351="","",IF(Summary!$R$12="Y",(VLOOKUP($A350,Summary!$AD$6:$AF$9,3)+'Escalating commodity'!J363),'Escalating commodity'!J363))</f>
        <v/>
      </c>
      <c r="AI350" s="207" t="str">
        <f aca="false">IF($A351="","",AH350)</f>
        <v/>
      </c>
      <c r="AJ350" s="208" t="e">
        <f aca="false">A350+DAY(EOMONTH(A350,0))/2-1</f>
        <v>#VALUE!</v>
      </c>
      <c r="AK350" s="209" t="str">
        <f aca="false">IF($A351="","",$A350-$E$1)</f>
        <v/>
      </c>
      <c r="AL350" s="182" t="str">
        <f aca="false">IF($A351="","",SPRDOPT(P350,X350,AI350,0,AB350,AE350,AF350,AK350,$AJ$2,0))</f>
        <v/>
      </c>
      <c r="AM350" s="211" t="str">
        <f aca="false">IF($A351="","",MAX(0,O350-W350-AI350))</f>
        <v/>
      </c>
      <c r="AN350" s="211" t="str">
        <f aca="false">IF($A351="","",AL350-AM350)</f>
        <v/>
      </c>
      <c r="AO350" s="137" t="str">
        <f aca="false">IF(A351="","",A351-A350)</f>
        <v/>
      </c>
      <c r="AP350" s="212" t="str">
        <f aca="false">IF(A351="","",CHOOSE(F$3,A351+24,A350))</f>
        <v/>
      </c>
      <c r="AQ350" s="209" t="str">
        <f aca="false">IF(A351="","",AP350-$E$1)</f>
        <v/>
      </c>
      <c r="AR350" s="185" t="n">
        <f aca="false">'ANR OK vs ML7'!AR350</f>
        <v>0.1</v>
      </c>
      <c r="AS350" s="213" t="str">
        <f aca="false">IF(A351="","",1/(1+CHOOSE(F$3,(AR351+($I$3/10000))/2,(AR350+($I$3/10000))/2))^(2*AQ350/365.25))</f>
        <v/>
      </c>
      <c r="AT350" s="137" t="str">
        <f aca="false">IF(A351="","",IF(AND(mthbeg&lt;=A350,mthend&gt;=A350),1,0))</f>
        <v/>
      </c>
      <c r="AU350" s="137" t="str">
        <f aca="false">IF(A351="","",AO350*AT350)</f>
        <v/>
      </c>
      <c r="AW350" s="195" t="str">
        <f aca="false">IF($A351="","",AL350*$E350)</f>
        <v/>
      </c>
      <c r="AX350" s="195" t="str">
        <f aca="false">IF($A351="","",AM350*$E350)</f>
        <v/>
      </c>
      <c r="AY350" s="195" t="str">
        <f aca="false">IF($A351="","",AN350*$E350)</f>
        <v/>
      </c>
      <c r="BA350" s="195" t="str">
        <f aca="false">IF($A351="","",F350*Summary!$Q$14)</f>
        <v/>
      </c>
    </row>
    <row r="351" customFormat="false" ht="12" hidden="false" customHeight="true" outlineLevel="0" collapsed="false">
      <c r="A351" s="196" t="str">
        <f aca="false">IF(A350&lt;mthend,EDATE(A350,1),"")</f>
        <v/>
      </c>
      <c r="B351" s="197" t="str">
        <f aca="false">IF(A351&lt;mthend,B350,"")</f>
        <v/>
      </c>
      <c r="C351" s="215"/>
      <c r="D351" s="197" t="str">
        <f aca="false">IF(A352&lt;&gt;"",B351+C351,"")</f>
        <v/>
      </c>
      <c r="E351" s="199" t="str">
        <f aca="false">IF(A352="","",IF(AND(AT351=1,$H$3=1),D351*AO351,IF($H$3=2,D351,"N/A")))</f>
        <v/>
      </c>
      <c r="F351" s="199" t="str">
        <f aca="false">IF(A352="","",E351*AS351)</f>
        <v/>
      </c>
      <c r="G351" s="200" t="str">
        <f aca="false">IF($A352="","",VLOOKUP($A351,Table,MATCH(G$4,Curves,0)))</f>
        <v/>
      </c>
      <c r="H351" s="201" t="str">
        <f aca="false">IF(A352="","",G351)</f>
        <v/>
      </c>
      <c r="I351" s="202"/>
      <c r="J351" s="200" t="str">
        <f aca="false">IF($A352="","",VLOOKUP($A351,Table,MATCH(J$4,Curves,0)))</f>
        <v/>
      </c>
      <c r="K351" s="201" t="str">
        <f aca="false">IF(A352="","",J351)</f>
        <v/>
      </c>
      <c r="L351" s="185" t="n">
        <v>0</v>
      </c>
      <c r="M351" s="201" t="str">
        <f aca="false">IF(A352="","",L351)</f>
        <v/>
      </c>
      <c r="N351" s="203"/>
      <c r="O351" s="200" t="str">
        <f aca="false">IF(A352="","",L351+J351+G351)</f>
        <v/>
      </c>
      <c r="P351" s="200" t="str">
        <f aca="false">IF(A352="","",M351+K351+H351)</f>
        <v/>
      </c>
      <c r="Q351" s="204"/>
      <c r="R351" s="200" t="str">
        <f aca="false">IF($A352="","",VLOOKUP($A351,Table,MATCH(R$4,Curves,0)))</f>
        <v/>
      </c>
      <c r="S351" s="201" t="str">
        <f aca="false">IF(A352="","",R351)</f>
        <v/>
      </c>
      <c r="T351" s="200" t="str">
        <f aca="false">IF($A352="","",VLOOKUP($A351,Table,MATCH(T$4,Curves,0)))</f>
        <v/>
      </c>
      <c r="U351" s="201" t="str">
        <f aca="false">IF(A352="","",T351)</f>
        <v/>
      </c>
      <c r="V351" s="183" t="str">
        <f aca="false">IF($A352="","",IF(AND(MONTH(A351)&gt;3,MONTH(A351)&lt;11),(T351+R351+G351)*(((1/(1-Summary!$T$14))/(1-Summary!$W$14))-1),(T351+R351+G351)*((1/(1-Summary!$U$14))/(1-Summary!$X$14)-1)))</f>
        <v/>
      </c>
      <c r="W351" s="202" t="str">
        <f aca="false">IF($A352="","",(T351+R351+G351+V351))</f>
        <v/>
      </c>
      <c r="X351" s="202" t="str">
        <f aca="false">IF($A352="","",(U351+S351+H351+V351))</f>
        <v/>
      </c>
      <c r="Y351" s="202"/>
      <c r="Z351" s="185" t="str">
        <f aca="false">IF($A352="","",VLOOKUP($A351,Table,MATCH(Z$4,Curves,0)))</f>
        <v/>
      </c>
      <c r="AA351" s="185" t="str">
        <f aca="false">IF($A352="","",VLOOKUP($A351,Table,MATCH(AA$4,Curves,0)))</f>
        <v/>
      </c>
      <c r="AB351" s="185" t="e">
        <f aca="false">SQRT((AA351^2*(A351-$D$3)+Z351^2*(DAY(EOMONTH(A351,0))/2))/AK351)</f>
        <v>#VALUE!</v>
      </c>
      <c r="AC351" s="185" t="str">
        <f aca="false">IF($A352="","",VLOOKUP($A351,Table,MATCH(AC$4,Curves,0)))</f>
        <v/>
      </c>
      <c r="AD351" s="185" t="str">
        <f aca="false">IF($A352="","",VLOOKUP($A351,Table,MATCH(AD$4,Curves,0)))</f>
        <v/>
      </c>
      <c r="AE351" s="185" t="e">
        <f aca="false">SQRT((AD351^2*(A351-$D$3)+AC351^2*(DAY(EOMONTH(A351,0))/2))/AK351)</f>
        <v>#VALUE!</v>
      </c>
      <c r="AF351" s="224" t="e">
        <f aca="false">((Summary!$N$14*(AA351*AD351)*(A351-$D$3))+(Summary!$M$14*Z351*AC351*(AJ351-EOMONTH(EDATE(A351,-1),0))))/(AK351*AB351*AE351)</f>
        <v>#VALUE!</v>
      </c>
      <c r="AG351" s="207" t="str">
        <f aca="false">IF($A352="","",Summary!$Q$14)</f>
        <v/>
      </c>
      <c r="AH351" s="207" t="str">
        <f aca="false">IF($A352="","",IF(Summary!$R$12="Y",(VLOOKUP($A351,Summary!$AD$6:$AF$9,3)+'Escalating commodity'!J364),'Escalating commodity'!J364))</f>
        <v/>
      </c>
      <c r="AI351" s="207" t="str">
        <f aca="false">IF($A352="","",AH351)</f>
        <v/>
      </c>
      <c r="AJ351" s="208" t="e">
        <f aca="false">A351+DAY(EOMONTH(A351,0))/2-1</f>
        <v>#VALUE!</v>
      </c>
      <c r="AK351" s="209" t="str">
        <f aca="false">IF($A352="","",$A351-$E$1)</f>
        <v/>
      </c>
      <c r="AL351" s="182" t="str">
        <f aca="false">IF($A352="","",SPRDOPT(P351,X351,AI351,0,AB351,AE351,AF351,AK351,$AJ$2,0))</f>
        <v/>
      </c>
      <c r="AM351" s="211" t="str">
        <f aca="false">IF($A352="","",MAX(0,O351-W351-AI351))</f>
        <v/>
      </c>
      <c r="AN351" s="211" t="str">
        <f aca="false">IF($A352="","",AL351-AM351)</f>
        <v/>
      </c>
      <c r="AO351" s="137" t="str">
        <f aca="false">IF(A352="","",A352-A351)</f>
        <v/>
      </c>
      <c r="AP351" s="212" t="str">
        <f aca="false">IF(A352="","",CHOOSE(F$3,A352+24,A351))</f>
        <v/>
      </c>
      <c r="AQ351" s="209" t="str">
        <f aca="false">IF(A352="","",AP351-$E$1)</f>
        <v/>
      </c>
      <c r="AR351" s="185" t="n">
        <f aca="false">'ANR OK vs ML7'!AR351</f>
        <v>0.1</v>
      </c>
      <c r="AS351" s="213" t="str">
        <f aca="false">IF(A352="","",1/(1+CHOOSE(F$3,(AR352+($I$3/10000))/2,(AR351+($I$3/10000))/2))^(2*AQ351/365.25))</f>
        <v/>
      </c>
      <c r="AT351" s="137" t="str">
        <f aca="false">IF(A352="","",IF(AND(mthbeg&lt;=A351,mthend&gt;=A351),1,0))</f>
        <v/>
      </c>
      <c r="AU351" s="137" t="str">
        <f aca="false">IF(A352="","",AO351*AT351)</f>
        <v/>
      </c>
      <c r="AW351" s="195" t="str">
        <f aca="false">IF($A352="","",AL351*$E351)</f>
        <v/>
      </c>
      <c r="AX351" s="195" t="str">
        <f aca="false">IF($A352="","",AM351*$E351)</f>
        <v/>
      </c>
      <c r="AY351" s="195" t="str">
        <f aca="false">IF($A352="","",AN351*$E351)</f>
        <v/>
      </c>
      <c r="BA351" s="195" t="str">
        <f aca="false">IF($A352="","",F351*Summary!$Q$14)</f>
        <v/>
      </c>
    </row>
    <row r="352" customFormat="false" ht="12" hidden="false" customHeight="true" outlineLevel="0" collapsed="false">
      <c r="A352" s="196" t="str">
        <f aca="false">IF(A351&lt;mthend,EDATE(A351,1),"")</f>
        <v/>
      </c>
      <c r="B352" s="197" t="str">
        <f aca="false">IF(A352&lt;mthend,B351,"")</f>
        <v/>
      </c>
      <c r="C352" s="215"/>
      <c r="D352" s="197" t="str">
        <f aca="false">IF(A353&lt;&gt;"",B352+C352,"")</f>
        <v/>
      </c>
      <c r="E352" s="199" t="str">
        <f aca="false">IF(A353="","",IF(AND(AT352=1,$H$3=1),D352*AO352,IF($H$3=2,D352,"N/A")))</f>
        <v/>
      </c>
      <c r="F352" s="199" t="str">
        <f aca="false">IF(A353="","",E352*AS352)</f>
        <v/>
      </c>
      <c r="G352" s="200" t="str">
        <f aca="false">IF($A353="","",VLOOKUP($A352,Table,MATCH(G$4,Curves,0)))</f>
        <v/>
      </c>
      <c r="H352" s="201" t="str">
        <f aca="false">IF(A353="","",G352)</f>
        <v/>
      </c>
      <c r="I352" s="202"/>
      <c r="J352" s="200" t="str">
        <f aca="false">IF($A353="","",VLOOKUP($A352,Table,MATCH(J$4,Curves,0)))</f>
        <v/>
      </c>
      <c r="K352" s="201" t="str">
        <f aca="false">IF(A353="","",J352)</f>
        <v/>
      </c>
      <c r="L352" s="185" t="n">
        <v>0</v>
      </c>
      <c r="M352" s="201" t="str">
        <f aca="false">IF(A353="","",L352)</f>
        <v/>
      </c>
      <c r="N352" s="203"/>
      <c r="O352" s="200" t="str">
        <f aca="false">IF(A353="","",L352+J352+G352)</f>
        <v/>
      </c>
      <c r="P352" s="200" t="str">
        <f aca="false">IF(A353="","",M352+K352+H352)</f>
        <v/>
      </c>
      <c r="Q352" s="204"/>
      <c r="R352" s="200" t="str">
        <f aca="false">IF($A353="","",VLOOKUP($A352,Table,MATCH(R$4,Curves,0)))</f>
        <v/>
      </c>
      <c r="S352" s="201" t="str">
        <f aca="false">IF(A353="","",R352)</f>
        <v/>
      </c>
      <c r="T352" s="200" t="str">
        <f aca="false">IF($A353="","",VLOOKUP($A352,Table,MATCH(T$4,Curves,0)))</f>
        <v/>
      </c>
      <c r="U352" s="201" t="str">
        <f aca="false">IF(A353="","",T352)</f>
        <v/>
      </c>
      <c r="V352" s="183" t="str">
        <f aca="false">IF($A353="","",IF(AND(MONTH(A352)&gt;3,MONTH(A352)&lt;11),(T352+R352+G352)*(((1/(1-Summary!$T$14))/(1-Summary!$W$14))-1),(T352+R352+G352)*((1/(1-Summary!$U$14))/(1-Summary!$X$14)-1)))</f>
        <v/>
      </c>
      <c r="W352" s="202" t="str">
        <f aca="false">IF($A353="","",(T352+R352+G352+V352))</f>
        <v/>
      </c>
      <c r="X352" s="202" t="str">
        <f aca="false">IF($A353="","",(U352+S352+H352+V352))</f>
        <v/>
      </c>
      <c r="Y352" s="202"/>
      <c r="Z352" s="185" t="str">
        <f aca="false">IF($A353="","",VLOOKUP($A352,Table,MATCH(Z$4,Curves,0)))</f>
        <v/>
      </c>
      <c r="AA352" s="185" t="str">
        <f aca="false">IF($A353="","",VLOOKUP($A352,Table,MATCH(AA$4,Curves,0)))</f>
        <v/>
      </c>
      <c r="AB352" s="185" t="e">
        <f aca="false">SQRT((AA352^2*(A352-$D$3)+Z352^2*(DAY(EOMONTH(A352,0))/2))/AK352)</f>
        <v>#VALUE!</v>
      </c>
      <c r="AC352" s="185" t="str">
        <f aca="false">IF($A353="","",VLOOKUP($A352,Table,MATCH(AC$4,Curves,0)))</f>
        <v/>
      </c>
      <c r="AD352" s="185" t="str">
        <f aca="false">IF($A353="","",VLOOKUP($A352,Table,MATCH(AD$4,Curves,0)))</f>
        <v/>
      </c>
      <c r="AE352" s="185" t="e">
        <f aca="false">SQRT((AD352^2*(A352-$D$3)+AC352^2*(DAY(EOMONTH(A352,0))/2))/AK352)</f>
        <v>#VALUE!</v>
      </c>
      <c r="AF352" s="224" t="e">
        <f aca="false">((Summary!$N$14*(AA352*AD352)*(A352-$D$3))+(Summary!$M$14*Z352*AC352*(AJ352-EOMONTH(EDATE(A352,-1),0))))/(AK352*AB352*AE352)</f>
        <v>#VALUE!</v>
      </c>
      <c r="AG352" s="207" t="str">
        <f aca="false">IF($A353="","",Summary!$Q$14)</f>
        <v/>
      </c>
      <c r="AH352" s="207" t="str">
        <f aca="false">IF($A353="","",IF(Summary!$R$12="Y",(VLOOKUP($A352,Summary!$AD$6:$AF$9,3)+'Escalating commodity'!J365),'Escalating commodity'!J365))</f>
        <v/>
      </c>
      <c r="AI352" s="207" t="str">
        <f aca="false">IF($A353="","",AH352)</f>
        <v/>
      </c>
      <c r="AJ352" s="208" t="e">
        <f aca="false">A352+DAY(EOMONTH(A352,0))/2-1</f>
        <v>#VALUE!</v>
      </c>
      <c r="AK352" s="209" t="str">
        <f aca="false">IF($A353="","",$A352-$E$1)</f>
        <v/>
      </c>
      <c r="AL352" s="182" t="str">
        <f aca="false">IF($A353="","",SPRDOPT(P352,X352,AI352,0,AB352,AE352,AF352,AK352,$AJ$2,0))</f>
        <v/>
      </c>
      <c r="AM352" s="211" t="str">
        <f aca="false">IF($A353="","",MAX(0,O352-W352-AI352))</f>
        <v/>
      </c>
      <c r="AN352" s="211" t="str">
        <f aca="false">IF($A353="","",AL352-AM352)</f>
        <v/>
      </c>
      <c r="AO352" s="137" t="str">
        <f aca="false">IF(A353="","",A353-A352)</f>
        <v/>
      </c>
      <c r="AP352" s="212" t="str">
        <f aca="false">IF(A353="","",CHOOSE(F$3,A353+24,A352))</f>
        <v/>
      </c>
      <c r="AQ352" s="209" t="str">
        <f aca="false">IF(A353="","",AP352-$E$1)</f>
        <v/>
      </c>
      <c r="AR352" s="185" t="n">
        <f aca="false">'ANR OK vs ML7'!AR352</f>
        <v>0.1</v>
      </c>
      <c r="AS352" s="213" t="str">
        <f aca="false">IF(A353="","",1/(1+CHOOSE(F$3,(AR353+($I$3/10000))/2,(AR352+($I$3/10000))/2))^(2*AQ352/365.25))</f>
        <v/>
      </c>
      <c r="AT352" s="137" t="str">
        <f aca="false">IF(A353="","",IF(AND(mthbeg&lt;=A352,mthend&gt;=A352),1,0))</f>
        <v/>
      </c>
      <c r="AU352" s="137" t="str">
        <f aca="false">IF(A353="","",AO352*AT352)</f>
        <v/>
      </c>
      <c r="AW352" s="195" t="str">
        <f aca="false">IF($A353="","",AL352*$E352)</f>
        <v/>
      </c>
      <c r="AX352" s="195" t="str">
        <f aca="false">IF($A353="","",AM352*$E352)</f>
        <v/>
      </c>
      <c r="AY352" s="195" t="str">
        <f aca="false">IF($A353="","",AN352*$E352)</f>
        <v/>
      </c>
      <c r="BA352" s="195" t="str">
        <f aca="false">IF($A353="","",F352*Summary!$Q$14)</f>
        <v/>
      </c>
    </row>
    <row r="353" customFormat="false" ht="12" hidden="false" customHeight="true" outlineLevel="0" collapsed="false">
      <c r="A353" s="196" t="str">
        <f aca="false">IF(A352&lt;mthend,EDATE(A352,1),"")</f>
        <v/>
      </c>
      <c r="B353" s="197" t="str">
        <f aca="false">IF(A353&lt;mthend,B352,"")</f>
        <v/>
      </c>
      <c r="C353" s="215"/>
      <c r="D353" s="197" t="str">
        <f aca="false">IF(A354&lt;&gt;"",B353+C353,"")</f>
        <v/>
      </c>
      <c r="E353" s="199" t="str">
        <f aca="false">IF(A354="","",IF(AND(AT353=1,$H$3=1),D353*AO353,IF($H$3=2,D353,"N/A")))</f>
        <v/>
      </c>
      <c r="F353" s="199" t="str">
        <f aca="false">IF(A354="","",E353*AS353)</f>
        <v/>
      </c>
      <c r="G353" s="200" t="str">
        <f aca="false">IF($A354="","",VLOOKUP($A353,Table,MATCH(G$4,Curves,0)))</f>
        <v/>
      </c>
      <c r="H353" s="201" t="str">
        <f aca="false">IF(A354="","",G353)</f>
        <v/>
      </c>
      <c r="I353" s="202"/>
      <c r="J353" s="200" t="str">
        <f aca="false">IF($A354="","",VLOOKUP($A353,Table,MATCH(J$4,Curves,0)))</f>
        <v/>
      </c>
      <c r="K353" s="201" t="str">
        <f aca="false">IF(A354="","",J353)</f>
        <v/>
      </c>
      <c r="L353" s="185" t="n">
        <v>0</v>
      </c>
      <c r="M353" s="201" t="str">
        <f aca="false">IF(A354="","",L353)</f>
        <v/>
      </c>
      <c r="N353" s="203"/>
      <c r="O353" s="200" t="str">
        <f aca="false">IF(A354="","",L353+J353+G353)</f>
        <v/>
      </c>
      <c r="P353" s="200" t="str">
        <f aca="false">IF(A354="","",M353+K353+H353)</f>
        <v/>
      </c>
      <c r="Q353" s="204"/>
      <c r="R353" s="200" t="str">
        <f aca="false">IF($A354="","",VLOOKUP($A353,Table,MATCH(R$4,Curves,0)))</f>
        <v/>
      </c>
      <c r="S353" s="201" t="str">
        <f aca="false">IF(A354="","",R353)</f>
        <v/>
      </c>
      <c r="T353" s="200" t="str">
        <f aca="false">IF($A354="","",VLOOKUP($A353,Table,MATCH(T$4,Curves,0)))</f>
        <v/>
      </c>
      <c r="U353" s="201" t="str">
        <f aca="false">IF(A354="","",T353)</f>
        <v/>
      </c>
      <c r="V353" s="183" t="str">
        <f aca="false">IF($A354="","",IF(AND(MONTH(A353)&gt;3,MONTH(A353)&lt;11),(T353+R353+G353)*(((1/(1-Summary!$T$14))/(1-Summary!$W$14))-1),(T353+R353+G353)*((1/(1-Summary!$U$14))/(1-Summary!$X$14)-1)))</f>
        <v/>
      </c>
      <c r="W353" s="202" t="str">
        <f aca="false">IF($A354="","",(T353+R353+G353+V353))</f>
        <v/>
      </c>
      <c r="X353" s="202" t="str">
        <f aca="false">IF($A354="","",(U353+S353+H353+V353))</f>
        <v/>
      </c>
      <c r="Y353" s="202"/>
      <c r="Z353" s="185" t="str">
        <f aca="false">IF($A354="","",VLOOKUP($A353,Table,MATCH(Z$4,Curves,0)))</f>
        <v/>
      </c>
      <c r="AA353" s="185" t="str">
        <f aca="false">IF($A354="","",VLOOKUP($A353,Table,MATCH(AA$4,Curves,0)))</f>
        <v/>
      </c>
      <c r="AB353" s="185" t="e">
        <f aca="false">SQRT((AA353^2*(A353-$D$3)+Z353^2*(DAY(EOMONTH(A353,0))/2))/AK353)</f>
        <v>#VALUE!</v>
      </c>
      <c r="AC353" s="185" t="str">
        <f aca="false">IF($A354="","",VLOOKUP($A353,Table,MATCH(AC$4,Curves,0)))</f>
        <v/>
      </c>
      <c r="AD353" s="185" t="str">
        <f aca="false">IF($A354="","",VLOOKUP($A353,Table,MATCH(AD$4,Curves,0)))</f>
        <v/>
      </c>
      <c r="AE353" s="185" t="e">
        <f aca="false">SQRT((AD353^2*(A353-$D$3)+AC353^2*(DAY(EOMONTH(A353,0))/2))/AK353)</f>
        <v>#VALUE!</v>
      </c>
      <c r="AF353" s="224" t="e">
        <f aca="false">((Summary!$N$14*(AA353*AD353)*(A353-$D$3))+(Summary!$M$14*Z353*AC353*(AJ353-EOMONTH(EDATE(A353,-1),0))))/(AK353*AB353*AE353)</f>
        <v>#VALUE!</v>
      </c>
      <c r="AG353" s="207" t="str">
        <f aca="false">IF($A354="","",Summary!$Q$14)</f>
        <v/>
      </c>
      <c r="AH353" s="207" t="str">
        <f aca="false">IF($A354="","",IF(Summary!$R$12="Y",(VLOOKUP($A353,Summary!$AD$6:$AF$9,3)+'Escalating commodity'!J366),'Escalating commodity'!J366))</f>
        <v/>
      </c>
      <c r="AI353" s="207" t="str">
        <f aca="false">IF($A354="","",AH353)</f>
        <v/>
      </c>
      <c r="AJ353" s="208" t="e">
        <f aca="false">A353+DAY(EOMONTH(A353,0))/2-1</f>
        <v>#VALUE!</v>
      </c>
      <c r="AK353" s="209" t="str">
        <f aca="false">IF($A354="","",$A353-$E$1)</f>
        <v/>
      </c>
      <c r="AL353" s="182" t="str">
        <f aca="false">IF($A354="","",SPRDOPT(P353,X353,AI353,0,AB353,AE353,AF353,AK353,$AJ$2,0))</f>
        <v/>
      </c>
      <c r="AM353" s="211" t="str">
        <f aca="false">IF($A354="","",MAX(0,O353-W353-AI353))</f>
        <v/>
      </c>
      <c r="AN353" s="211" t="str">
        <f aca="false">IF($A354="","",AL353-AM353)</f>
        <v/>
      </c>
      <c r="AO353" s="137" t="str">
        <f aca="false">IF(A354="","",A354-A353)</f>
        <v/>
      </c>
      <c r="AP353" s="212" t="str">
        <f aca="false">IF(A354="","",CHOOSE(F$3,A354+24,A353))</f>
        <v/>
      </c>
      <c r="AQ353" s="209" t="str">
        <f aca="false">IF(A354="","",AP353-$E$1)</f>
        <v/>
      </c>
      <c r="AR353" s="185" t="n">
        <f aca="false">'ANR OK vs ML7'!AR353</f>
        <v>0.1</v>
      </c>
      <c r="AS353" s="213" t="str">
        <f aca="false">IF(A354="","",1/(1+CHOOSE(F$3,(AR354+($I$3/10000))/2,(AR353+($I$3/10000))/2))^(2*AQ353/365.25))</f>
        <v/>
      </c>
      <c r="AT353" s="137" t="str">
        <f aca="false">IF(A354="","",IF(AND(mthbeg&lt;=A353,mthend&gt;=A353),1,0))</f>
        <v/>
      </c>
      <c r="AU353" s="137" t="str">
        <f aca="false">IF(A354="","",AO353*AT353)</f>
        <v/>
      </c>
      <c r="AW353" s="195" t="str">
        <f aca="false">IF($A354="","",AL353*$E353)</f>
        <v/>
      </c>
      <c r="AX353" s="195" t="str">
        <f aca="false">IF($A354="","",AM353*$E353)</f>
        <v/>
      </c>
      <c r="AY353" s="195" t="str">
        <f aca="false">IF($A354="","",AN353*$E353)</f>
        <v/>
      </c>
      <c r="BA353" s="195" t="str">
        <f aca="false">IF($A354="","",F353*Summary!$Q$14)</f>
        <v/>
      </c>
    </row>
    <row r="354" customFormat="false" ht="12" hidden="false" customHeight="true" outlineLevel="0" collapsed="false">
      <c r="A354" s="196" t="str">
        <f aca="false">IF(A353&lt;mthend,EDATE(A353,1),"")</f>
        <v/>
      </c>
      <c r="B354" s="197" t="str">
        <f aca="false">IF(A354&lt;mthend,B353,"")</f>
        <v/>
      </c>
      <c r="C354" s="215"/>
      <c r="D354" s="197" t="str">
        <f aca="false">IF(A355&lt;&gt;"",B354+C354,"")</f>
        <v/>
      </c>
      <c r="E354" s="199" t="str">
        <f aca="false">IF(A355="","",IF(AND(AT354=1,$H$3=1),D354*AO354,IF($H$3=2,D354,"N/A")))</f>
        <v/>
      </c>
      <c r="F354" s="199" t="str">
        <f aca="false">IF(A355="","",E354*AS354)</f>
        <v/>
      </c>
      <c r="G354" s="200" t="str">
        <f aca="false">IF($A355="","",VLOOKUP($A354,Table,MATCH(G$4,Curves,0)))</f>
        <v/>
      </c>
      <c r="H354" s="201" t="str">
        <f aca="false">IF(A355="","",G354)</f>
        <v/>
      </c>
      <c r="I354" s="202"/>
      <c r="J354" s="200" t="str">
        <f aca="false">IF($A355="","",VLOOKUP($A354,Table,MATCH(J$4,Curves,0)))</f>
        <v/>
      </c>
      <c r="K354" s="201" t="str">
        <f aca="false">IF(A355="","",J354)</f>
        <v/>
      </c>
      <c r="L354" s="185" t="n">
        <v>0</v>
      </c>
      <c r="M354" s="201" t="str">
        <f aca="false">IF(A355="","",L354)</f>
        <v/>
      </c>
      <c r="N354" s="203"/>
      <c r="O354" s="200" t="str">
        <f aca="false">IF(A355="","",L354+J354+G354)</f>
        <v/>
      </c>
      <c r="P354" s="200" t="str">
        <f aca="false">IF(A355="","",M354+K354+H354)</f>
        <v/>
      </c>
      <c r="Q354" s="204"/>
      <c r="R354" s="200" t="str">
        <f aca="false">IF($A355="","",VLOOKUP($A354,Table,MATCH(R$4,Curves,0)))</f>
        <v/>
      </c>
      <c r="S354" s="201" t="str">
        <f aca="false">IF(A355="","",R354)</f>
        <v/>
      </c>
      <c r="T354" s="200" t="str">
        <f aca="false">IF($A355="","",VLOOKUP($A354,Table,MATCH(T$4,Curves,0)))</f>
        <v/>
      </c>
      <c r="U354" s="201" t="str">
        <f aca="false">IF(A355="","",T354)</f>
        <v/>
      </c>
      <c r="V354" s="183" t="str">
        <f aca="false">IF($A355="","",IF(AND(MONTH(A354)&gt;3,MONTH(A354)&lt;11),(T354+R354+G354)*(((1/(1-Summary!$T$14))/(1-Summary!$W$14))-1),(T354+R354+G354)*((1/(1-Summary!$U$14))/(1-Summary!$X$14)-1)))</f>
        <v/>
      </c>
      <c r="W354" s="202" t="str">
        <f aca="false">IF($A355="","",(T354+R354+G354+V354))</f>
        <v/>
      </c>
      <c r="X354" s="202" t="str">
        <f aca="false">IF($A355="","",(U354+S354+H354+V354))</f>
        <v/>
      </c>
      <c r="Y354" s="202"/>
      <c r="Z354" s="185" t="str">
        <f aca="false">IF($A355="","",VLOOKUP($A354,Table,MATCH(Z$4,Curves,0)))</f>
        <v/>
      </c>
      <c r="AA354" s="185" t="str">
        <f aca="false">IF($A355="","",VLOOKUP($A354,Table,MATCH(AA$4,Curves,0)))</f>
        <v/>
      </c>
      <c r="AB354" s="185" t="e">
        <f aca="false">SQRT((AA354^2*(A354-$D$3)+Z354^2*(DAY(EOMONTH(A354,0))/2))/AK354)</f>
        <v>#VALUE!</v>
      </c>
      <c r="AC354" s="185" t="str">
        <f aca="false">IF($A355="","",VLOOKUP($A354,Table,MATCH(AC$4,Curves,0)))</f>
        <v/>
      </c>
      <c r="AD354" s="185" t="str">
        <f aca="false">IF($A355="","",VLOOKUP($A354,Table,MATCH(AD$4,Curves,0)))</f>
        <v/>
      </c>
      <c r="AE354" s="185" t="e">
        <f aca="false">SQRT((AD354^2*(A354-$D$3)+AC354^2*(DAY(EOMONTH(A354,0))/2))/AK354)</f>
        <v>#VALUE!</v>
      </c>
      <c r="AF354" s="224" t="e">
        <f aca="false">((Summary!$N$14*(AA354*AD354)*(A354-$D$3))+(Summary!$M$14*Z354*AC354*(AJ354-EOMONTH(EDATE(A354,-1),0))))/(AK354*AB354*AE354)</f>
        <v>#VALUE!</v>
      </c>
      <c r="AG354" s="207" t="str">
        <f aca="false">IF($A355="","",Summary!$Q$14)</f>
        <v/>
      </c>
      <c r="AH354" s="207" t="str">
        <f aca="false">IF($A355="","",IF(Summary!$R$12="Y",(VLOOKUP($A354,Summary!$AD$6:$AF$9,3)+'Escalating commodity'!J367),'Escalating commodity'!J367))</f>
        <v/>
      </c>
      <c r="AI354" s="207" t="str">
        <f aca="false">IF($A355="","",AH354)</f>
        <v/>
      </c>
      <c r="AJ354" s="208" t="e">
        <f aca="false">A354+DAY(EOMONTH(A354,0))/2-1</f>
        <v>#VALUE!</v>
      </c>
      <c r="AK354" s="209" t="str">
        <f aca="false">IF($A355="","",$A354-$E$1)</f>
        <v/>
      </c>
      <c r="AL354" s="182" t="str">
        <f aca="false">IF($A355="","",SPRDOPT(P354,X354,AI354,0,AB354,AE354,AF354,AK354,$AJ$2,0))</f>
        <v/>
      </c>
      <c r="AM354" s="211" t="str">
        <f aca="false">IF($A355="","",MAX(0,O354-W354-AI354))</f>
        <v/>
      </c>
      <c r="AN354" s="211" t="str">
        <f aca="false">IF($A355="","",AL354-AM354)</f>
        <v/>
      </c>
      <c r="AO354" s="137" t="str">
        <f aca="false">IF(A355="","",A355-A354)</f>
        <v/>
      </c>
      <c r="AP354" s="212" t="str">
        <f aca="false">IF(A355="","",CHOOSE(F$3,A355+24,A354))</f>
        <v/>
      </c>
      <c r="AQ354" s="209" t="str">
        <f aca="false">IF(A355="","",AP354-$E$1)</f>
        <v/>
      </c>
      <c r="AR354" s="185" t="n">
        <f aca="false">'ANR OK vs ML7'!AR354</f>
        <v>0.1</v>
      </c>
      <c r="AS354" s="213" t="str">
        <f aca="false">IF(A355="","",1/(1+CHOOSE(F$3,(AR355+($I$3/10000))/2,(AR354+($I$3/10000))/2))^(2*AQ354/365.25))</f>
        <v/>
      </c>
      <c r="AT354" s="137" t="str">
        <f aca="false">IF(A355="","",IF(AND(mthbeg&lt;=A354,mthend&gt;=A354),1,0))</f>
        <v/>
      </c>
      <c r="AU354" s="137" t="str">
        <f aca="false">IF(A355="","",AO354*AT354)</f>
        <v/>
      </c>
      <c r="AW354" s="195" t="str">
        <f aca="false">IF($A355="","",AL354*$E354)</f>
        <v/>
      </c>
      <c r="AX354" s="195" t="str">
        <f aca="false">IF($A355="","",AM354*$E354)</f>
        <v/>
      </c>
      <c r="AY354" s="195" t="str">
        <f aca="false">IF($A355="","",AN354*$E354)</f>
        <v/>
      </c>
      <c r="BA354" s="195" t="str">
        <f aca="false">IF($A355="","",F354*Summary!$Q$14)</f>
        <v/>
      </c>
    </row>
    <row r="355" customFormat="false" ht="12" hidden="false" customHeight="true" outlineLevel="0" collapsed="false">
      <c r="A355" s="196" t="str">
        <f aca="false">IF(A354&lt;mthend,EDATE(A354,1),"")</f>
        <v/>
      </c>
      <c r="B355" s="197" t="str">
        <f aca="false">IF(A355&lt;mthend,B354,"")</f>
        <v/>
      </c>
      <c r="C355" s="215"/>
      <c r="D355" s="197" t="str">
        <f aca="false">IF(A356&lt;&gt;"",B355+C355,"")</f>
        <v/>
      </c>
      <c r="E355" s="199" t="str">
        <f aca="false">IF(A356="","",IF(AND(AT355=1,$H$3=1),D355*AO355,IF($H$3=2,D355,"N/A")))</f>
        <v/>
      </c>
      <c r="F355" s="199" t="str">
        <f aca="false">IF(A356="","",E355*AS355)</f>
        <v/>
      </c>
      <c r="G355" s="200" t="str">
        <f aca="false">IF($A356="","",VLOOKUP($A355,Table,MATCH(G$4,Curves,0)))</f>
        <v/>
      </c>
      <c r="H355" s="201" t="str">
        <f aca="false">IF(A356="","",G355)</f>
        <v/>
      </c>
      <c r="I355" s="202"/>
      <c r="J355" s="200" t="str">
        <f aca="false">IF($A356="","",VLOOKUP($A355,Table,MATCH(J$4,Curves,0)))</f>
        <v/>
      </c>
      <c r="K355" s="201" t="str">
        <f aca="false">IF(A356="","",J355)</f>
        <v/>
      </c>
      <c r="L355" s="185" t="n">
        <v>0</v>
      </c>
      <c r="M355" s="201" t="str">
        <f aca="false">IF(A356="","",L355)</f>
        <v/>
      </c>
      <c r="N355" s="203"/>
      <c r="O355" s="200" t="str">
        <f aca="false">IF(A356="","",L355+J355+G355)</f>
        <v/>
      </c>
      <c r="P355" s="200" t="str">
        <f aca="false">IF(A356="","",M355+K355+H355)</f>
        <v/>
      </c>
      <c r="Q355" s="204"/>
      <c r="R355" s="200" t="str">
        <f aca="false">IF($A356="","",VLOOKUP($A355,Table,MATCH(R$4,Curves,0)))</f>
        <v/>
      </c>
      <c r="S355" s="201" t="str">
        <f aca="false">IF(A356="","",R355)</f>
        <v/>
      </c>
      <c r="T355" s="200" t="str">
        <f aca="false">IF($A356="","",VLOOKUP($A355,Table,MATCH(T$4,Curves,0)))</f>
        <v/>
      </c>
      <c r="U355" s="201" t="str">
        <f aca="false">IF(A356="","",T355)</f>
        <v/>
      </c>
      <c r="V355" s="183" t="str">
        <f aca="false">IF($A356="","",IF(AND(MONTH(A355)&gt;3,MONTH(A355)&lt;11),(T355+R355+G355)*(((1/(1-Summary!$T$14))/(1-Summary!$W$14))-1),(T355+R355+G355)*((1/(1-Summary!$U$14))/(1-Summary!$X$14)-1)))</f>
        <v/>
      </c>
      <c r="W355" s="202" t="str">
        <f aca="false">IF($A356="","",(T355+R355+G355+V355))</f>
        <v/>
      </c>
      <c r="X355" s="202" t="str">
        <f aca="false">IF($A356="","",(U355+S355+H355+V355))</f>
        <v/>
      </c>
      <c r="Y355" s="202"/>
      <c r="Z355" s="185" t="str">
        <f aca="false">IF($A356="","",VLOOKUP($A355,Table,MATCH(Z$4,Curves,0)))</f>
        <v/>
      </c>
      <c r="AA355" s="185" t="str">
        <f aca="false">IF($A356="","",VLOOKUP($A355,Table,MATCH(AA$4,Curves,0)))</f>
        <v/>
      </c>
      <c r="AB355" s="185" t="e">
        <f aca="false">SQRT((AA355^2*(A355-$D$3)+Z355^2*(DAY(EOMONTH(A355,0))/2))/AK355)</f>
        <v>#VALUE!</v>
      </c>
      <c r="AC355" s="185" t="str">
        <f aca="false">IF($A356="","",VLOOKUP($A355,Table,MATCH(AC$4,Curves,0)))</f>
        <v/>
      </c>
      <c r="AD355" s="185" t="str">
        <f aca="false">IF($A356="","",VLOOKUP($A355,Table,MATCH(AD$4,Curves,0)))</f>
        <v/>
      </c>
      <c r="AE355" s="185" t="e">
        <f aca="false">SQRT((AD355^2*(A355-$D$3)+AC355^2*(DAY(EOMONTH(A355,0))/2))/AK355)</f>
        <v>#VALUE!</v>
      </c>
      <c r="AF355" s="224" t="e">
        <f aca="false">((Summary!$N$14*(AA355*AD355)*(A355-$D$3))+(Summary!$M$14*Z355*AC355*(AJ355-EOMONTH(EDATE(A355,-1),0))))/(AK355*AB355*AE355)</f>
        <v>#VALUE!</v>
      </c>
      <c r="AG355" s="207" t="str">
        <f aca="false">IF($A356="","",Summary!$Q$14)</f>
        <v/>
      </c>
      <c r="AH355" s="207" t="str">
        <f aca="false">IF($A356="","",IF(Summary!$R$12="Y",(VLOOKUP($A355,Summary!$AD$6:$AF$9,3)+'Escalating commodity'!J368),'Escalating commodity'!J368))</f>
        <v/>
      </c>
      <c r="AI355" s="207" t="str">
        <f aca="false">IF($A356="","",AH355)</f>
        <v/>
      </c>
      <c r="AJ355" s="208" t="e">
        <f aca="false">A355+DAY(EOMONTH(A355,0))/2-1</f>
        <v>#VALUE!</v>
      </c>
      <c r="AK355" s="209" t="str">
        <f aca="false">IF($A356="","",$A355-$E$1)</f>
        <v/>
      </c>
      <c r="AL355" s="182" t="str">
        <f aca="false">IF($A356="","",SPRDOPT(P355,X355,AI355,0,AB355,AE355,AF355,AK355,$AJ$2,0))</f>
        <v/>
      </c>
      <c r="AM355" s="211" t="str">
        <f aca="false">IF($A356="","",MAX(0,O355-W355-AI355))</f>
        <v/>
      </c>
      <c r="AN355" s="211" t="str">
        <f aca="false">IF($A356="","",AL355-AM355)</f>
        <v/>
      </c>
      <c r="AO355" s="137" t="str">
        <f aca="false">IF(A356="","",A356-A355)</f>
        <v/>
      </c>
      <c r="AP355" s="212" t="str">
        <f aca="false">IF(A356="","",CHOOSE(F$3,A356+24,A355))</f>
        <v/>
      </c>
      <c r="AQ355" s="209" t="str">
        <f aca="false">IF(A356="","",AP355-$E$1)</f>
        <v/>
      </c>
      <c r="AR355" s="185" t="n">
        <f aca="false">'ANR OK vs ML7'!AR355</f>
        <v>0.1</v>
      </c>
      <c r="AS355" s="213" t="str">
        <f aca="false">IF(A356="","",1/(1+CHOOSE(F$3,(AR356+($I$3/10000))/2,(AR355+($I$3/10000))/2))^(2*AQ355/365.25))</f>
        <v/>
      </c>
      <c r="AT355" s="137" t="str">
        <f aca="false">IF(A356="","",IF(AND(mthbeg&lt;=A355,mthend&gt;=A355),1,0))</f>
        <v/>
      </c>
      <c r="AU355" s="137" t="str">
        <f aca="false">IF(A356="","",AO355*AT355)</f>
        <v/>
      </c>
      <c r="AW355" s="195" t="str">
        <f aca="false">IF($A356="","",AL355*$E355)</f>
        <v/>
      </c>
      <c r="AX355" s="195" t="str">
        <f aca="false">IF($A356="","",AM355*$E355)</f>
        <v/>
      </c>
      <c r="AY355" s="195" t="str">
        <f aca="false">IF($A356="","",AN355*$E355)</f>
        <v/>
      </c>
      <c r="BA355" s="195" t="str">
        <f aca="false">IF($A356="","",F355*Summary!$Q$14)</f>
        <v/>
      </c>
    </row>
    <row r="356" customFormat="false" ht="12" hidden="false" customHeight="true" outlineLevel="0" collapsed="false">
      <c r="A356" s="196" t="str">
        <f aca="false">IF(A355&lt;mthend,EDATE(A355,1),"")</f>
        <v/>
      </c>
      <c r="B356" s="197" t="str">
        <f aca="false">IF(A356&lt;mthend,B355,"")</f>
        <v/>
      </c>
      <c r="C356" s="215"/>
      <c r="D356" s="197" t="str">
        <f aca="false">IF(A357&lt;&gt;"",B356+C356,"")</f>
        <v/>
      </c>
      <c r="E356" s="199" t="str">
        <f aca="false">IF(A357="","",IF(AND(AT356=1,$H$3=1),D356*AO356,IF($H$3=2,D356,"N/A")))</f>
        <v/>
      </c>
      <c r="F356" s="199" t="str">
        <f aca="false">IF(A357="","",E356*AS356)</f>
        <v/>
      </c>
      <c r="G356" s="200" t="str">
        <f aca="false">IF($A357="","",VLOOKUP($A356,Table,MATCH(G$4,Curves,0)))</f>
        <v/>
      </c>
      <c r="H356" s="201" t="str">
        <f aca="false">IF(A357="","",G356)</f>
        <v/>
      </c>
      <c r="I356" s="202"/>
      <c r="J356" s="200" t="str">
        <f aca="false">IF($A357="","",VLOOKUP($A356,Table,MATCH(J$4,Curves,0)))</f>
        <v/>
      </c>
      <c r="K356" s="201" t="str">
        <f aca="false">IF(A357="","",J356)</f>
        <v/>
      </c>
      <c r="L356" s="185" t="n">
        <v>0</v>
      </c>
      <c r="M356" s="201" t="str">
        <f aca="false">IF(A357="","",L356)</f>
        <v/>
      </c>
      <c r="N356" s="203"/>
      <c r="O356" s="200" t="str">
        <f aca="false">IF(A357="","",L356+J356+G356)</f>
        <v/>
      </c>
      <c r="P356" s="200" t="str">
        <f aca="false">IF(A357="","",M356+K356+H356)</f>
        <v/>
      </c>
      <c r="Q356" s="204"/>
      <c r="R356" s="200" t="str">
        <f aca="false">IF($A357="","",VLOOKUP($A356,Table,MATCH(R$4,Curves,0)))</f>
        <v/>
      </c>
      <c r="S356" s="201" t="str">
        <f aca="false">IF(A357="","",R356)</f>
        <v/>
      </c>
      <c r="T356" s="200" t="str">
        <f aca="false">IF($A357="","",VLOOKUP($A356,Table,MATCH(T$4,Curves,0)))</f>
        <v/>
      </c>
      <c r="U356" s="201" t="str">
        <f aca="false">IF(A357="","",T356)</f>
        <v/>
      </c>
      <c r="V356" s="183" t="str">
        <f aca="false">IF($A357="","",IF(AND(MONTH(A356)&gt;3,MONTH(A356)&lt;11),(T356+R356+G356)*(((1/(1-Summary!$T$14))/(1-Summary!$W$14))-1),(T356+R356+G356)*((1/(1-Summary!$U$14))/(1-Summary!$X$14)-1)))</f>
        <v/>
      </c>
      <c r="W356" s="202" t="str">
        <f aca="false">IF($A357="","",(T356+R356+G356+V356))</f>
        <v/>
      </c>
      <c r="X356" s="202" t="str">
        <f aca="false">IF($A357="","",(U356+S356+H356+V356))</f>
        <v/>
      </c>
      <c r="Y356" s="202"/>
      <c r="Z356" s="185" t="str">
        <f aca="false">IF($A357="","",VLOOKUP($A356,Table,MATCH(Z$4,Curves,0)))</f>
        <v/>
      </c>
      <c r="AA356" s="185" t="str">
        <f aca="false">IF($A357="","",VLOOKUP($A356,Table,MATCH(AA$4,Curves,0)))</f>
        <v/>
      </c>
      <c r="AB356" s="185" t="e">
        <f aca="false">SQRT((AA356^2*(A356-$D$3)+Z356^2*(DAY(EOMONTH(A356,0))/2))/AK356)</f>
        <v>#VALUE!</v>
      </c>
      <c r="AC356" s="185" t="str">
        <f aca="false">IF($A357="","",VLOOKUP($A356,Table,MATCH(AC$4,Curves,0)))</f>
        <v/>
      </c>
      <c r="AD356" s="185" t="str">
        <f aca="false">IF($A357="","",VLOOKUP($A356,Table,MATCH(AD$4,Curves,0)))</f>
        <v/>
      </c>
      <c r="AE356" s="185" t="e">
        <f aca="false">SQRT((AD356^2*(A356-$D$3)+AC356^2*(DAY(EOMONTH(A356,0))/2))/AK356)</f>
        <v>#VALUE!</v>
      </c>
      <c r="AF356" s="224" t="e">
        <f aca="false">((Summary!$N$14*(AA356*AD356)*(A356-$D$3))+(Summary!$M$14*Z356*AC356*(AJ356-EOMONTH(EDATE(A356,-1),0))))/(AK356*AB356*AE356)</f>
        <v>#VALUE!</v>
      </c>
      <c r="AG356" s="207" t="str">
        <f aca="false">IF($A357="","",Summary!$Q$14)</f>
        <v/>
      </c>
      <c r="AH356" s="207" t="str">
        <f aca="false">IF($A357="","",IF(Summary!$R$12="Y",(VLOOKUP($A356,Summary!$AD$6:$AF$9,3)+'Escalating commodity'!J369),'Escalating commodity'!J369))</f>
        <v/>
      </c>
      <c r="AI356" s="207" t="str">
        <f aca="false">IF($A357="","",AH356)</f>
        <v/>
      </c>
      <c r="AJ356" s="208" t="e">
        <f aca="false">A356+DAY(EOMONTH(A356,0))/2-1</f>
        <v>#VALUE!</v>
      </c>
      <c r="AK356" s="209" t="str">
        <f aca="false">IF($A357="","",$A356-$E$1)</f>
        <v/>
      </c>
      <c r="AL356" s="182" t="str">
        <f aca="false">IF($A357="","",SPRDOPT(P356,X356,AI356,0,AB356,AE356,AF356,AK356,$AJ$2,0))</f>
        <v/>
      </c>
      <c r="AM356" s="211" t="str">
        <f aca="false">IF($A357="","",MAX(0,O356-W356-AI356))</f>
        <v/>
      </c>
      <c r="AN356" s="211" t="str">
        <f aca="false">IF($A357="","",AL356-AM356)</f>
        <v/>
      </c>
      <c r="AO356" s="137" t="str">
        <f aca="false">IF(A357="","",A357-A356)</f>
        <v/>
      </c>
      <c r="AP356" s="212" t="str">
        <f aca="false">IF(A357="","",CHOOSE(F$3,A357+24,A356))</f>
        <v/>
      </c>
      <c r="AQ356" s="209" t="str">
        <f aca="false">IF(A357="","",AP356-$E$1)</f>
        <v/>
      </c>
      <c r="AR356" s="185" t="n">
        <f aca="false">'ANR OK vs ML7'!AR356</f>
        <v>0.1</v>
      </c>
      <c r="AS356" s="213" t="str">
        <f aca="false">IF(A357="","",1/(1+CHOOSE(F$3,(AR357+($I$3/10000))/2,(AR356+($I$3/10000))/2))^(2*AQ356/365.25))</f>
        <v/>
      </c>
      <c r="AT356" s="137" t="str">
        <f aca="false">IF(A357="","",IF(AND(mthbeg&lt;=A356,mthend&gt;=A356),1,0))</f>
        <v/>
      </c>
      <c r="AU356" s="137" t="str">
        <f aca="false">IF(A357="","",AO356*AT356)</f>
        <v/>
      </c>
      <c r="AW356" s="195" t="str">
        <f aca="false">IF($A357="","",AL356*$E356)</f>
        <v/>
      </c>
      <c r="AX356" s="195" t="str">
        <f aca="false">IF($A357="","",AM356*$E356)</f>
        <v/>
      </c>
      <c r="AY356" s="195" t="str">
        <f aca="false">IF($A357="","",AN356*$E356)</f>
        <v/>
      </c>
      <c r="BA356" s="195" t="str">
        <f aca="false">IF($A357="","",F356*Summary!$Q$14)</f>
        <v/>
      </c>
    </row>
    <row r="357" customFormat="false" ht="12" hidden="false" customHeight="true" outlineLevel="0" collapsed="false">
      <c r="A357" s="196" t="str">
        <f aca="false">IF(A356&lt;mthend,EDATE(A356,1),"")</f>
        <v/>
      </c>
      <c r="B357" s="197" t="str">
        <f aca="false">IF(A357&lt;mthend,B356,"")</f>
        <v/>
      </c>
      <c r="C357" s="215"/>
      <c r="D357" s="197" t="str">
        <f aca="false">IF(A358&lt;&gt;"",B357+C357,"")</f>
        <v/>
      </c>
      <c r="E357" s="199" t="str">
        <f aca="false">IF(A358="","",IF(AND(AT357=1,$H$3=1),D357*AO357,IF($H$3=2,D357,"N/A")))</f>
        <v/>
      </c>
      <c r="F357" s="199" t="str">
        <f aca="false">IF(A358="","",E357*AS357)</f>
        <v/>
      </c>
      <c r="G357" s="200" t="str">
        <f aca="false">IF($A358="","",VLOOKUP($A357,Table,MATCH(G$4,Curves,0)))</f>
        <v/>
      </c>
      <c r="H357" s="201" t="str">
        <f aca="false">IF(A358="","",G357)</f>
        <v/>
      </c>
      <c r="I357" s="202"/>
      <c r="J357" s="200" t="str">
        <f aca="false">IF($A358="","",VLOOKUP($A357,Table,MATCH(J$4,Curves,0)))</f>
        <v/>
      </c>
      <c r="K357" s="201" t="str">
        <f aca="false">IF(A358="","",J357)</f>
        <v/>
      </c>
      <c r="L357" s="185" t="n">
        <v>0</v>
      </c>
      <c r="M357" s="201" t="str">
        <f aca="false">IF(A358="","",L357)</f>
        <v/>
      </c>
      <c r="N357" s="203"/>
      <c r="O357" s="200" t="str">
        <f aca="false">IF(A358="","",L357+J357+G357)</f>
        <v/>
      </c>
      <c r="P357" s="200" t="str">
        <f aca="false">IF(A358="","",M357+K357+H357)</f>
        <v/>
      </c>
      <c r="Q357" s="204"/>
      <c r="R357" s="200" t="str">
        <f aca="false">IF($A358="","",VLOOKUP($A357,Table,MATCH(R$4,Curves,0)))</f>
        <v/>
      </c>
      <c r="S357" s="201" t="str">
        <f aca="false">IF(A358="","",R357)</f>
        <v/>
      </c>
      <c r="T357" s="200" t="str">
        <f aca="false">IF($A358="","",VLOOKUP($A357,Table,MATCH(T$4,Curves,0)))</f>
        <v/>
      </c>
      <c r="U357" s="201" t="str">
        <f aca="false">IF(A358="","",T357)</f>
        <v/>
      </c>
      <c r="V357" s="183" t="str">
        <f aca="false">IF($A358="","",IF(AND(MONTH(A357)&gt;3,MONTH(A357)&lt;11),(T357+R357+G357)*(((1/(1-Summary!$T$14))/(1-Summary!$W$14))-1),(T357+R357+G357)*((1/(1-Summary!$U$14))/(1-Summary!$X$14)-1)))</f>
        <v/>
      </c>
      <c r="W357" s="202" t="str">
        <f aca="false">IF($A358="","",(T357+R357+G357+V357))</f>
        <v/>
      </c>
      <c r="X357" s="202" t="str">
        <f aca="false">IF($A358="","",(U357+S357+H357+V357))</f>
        <v/>
      </c>
      <c r="Y357" s="202"/>
      <c r="Z357" s="185" t="str">
        <f aca="false">IF($A358="","",VLOOKUP($A357,Table,MATCH(Z$4,Curves,0)))</f>
        <v/>
      </c>
      <c r="AA357" s="185" t="str">
        <f aca="false">IF($A358="","",VLOOKUP($A357,Table,MATCH(AA$4,Curves,0)))</f>
        <v/>
      </c>
      <c r="AB357" s="185" t="e">
        <f aca="false">SQRT((AA357^2*(A357-$D$3)+Z357^2*(DAY(EOMONTH(A357,0))/2))/AK357)</f>
        <v>#VALUE!</v>
      </c>
      <c r="AC357" s="185" t="str">
        <f aca="false">IF($A358="","",VLOOKUP($A357,Table,MATCH(AC$4,Curves,0)))</f>
        <v/>
      </c>
      <c r="AD357" s="185" t="str">
        <f aca="false">IF($A358="","",VLOOKUP($A357,Table,MATCH(AD$4,Curves,0)))</f>
        <v/>
      </c>
      <c r="AE357" s="185" t="e">
        <f aca="false">SQRT((AD357^2*(A357-$D$3)+AC357^2*(DAY(EOMONTH(A357,0))/2))/AK357)</f>
        <v>#VALUE!</v>
      </c>
      <c r="AF357" s="224" t="e">
        <f aca="false">((Summary!$N$14*(AA357*AD357)*(A357-$D$3))+(Summary!$M$14*Z357*AC357*(AJ357-EOMONTH(EDATE(A357,-1),0))))/(AK357*AB357*AE357)</f>
        <v>#VALUE!</v>
      </c>
      <c r="AG357" s="207" t="str">
        <f aca="false">IF($A358="","",Summary!$Q$14)</f>
        <v/>
      </c>
      <c r="AH357" s="207" t="str">
        <f aca="false">IF($A358="","",IF(Summary!$R$12="Y",(VLOOKUP($A357,Summary!$AD$6:$AF$9,3)+'Escalating commodity'!J370),'Escalating commodity'!J370))</f>
        <v/>
      </c>
      <c r="AI357" s="207" t="str">
        <f aca="false">IF($A358="","",AH357)</f>
        <v/>
      </c>
      <c r="AJ357" s="208" t="e">
        <f aca="false">A357+DAY(EOMONTH(A357,0))/2-1</f>
        <v>#VALUE!</v>
      </c>
      <c r="AK357" s="209" t="str">
        <f aca="false">IF($A358="","",$A357-$E$1)</f>
        <v/>
      </c>
      <c r="AL357" s="182" t="str">
        <f aca="false">IF($A358="","",SPRDOPT(P357,X357,AI357,0,AB357,AE357,AF357,AK357,$AJ$2,0))</f>
        <v/>
      </c>
      <c r="AM357" s="211" t="str">
        <f aca="false">IF($A358="","",MAX(0,O357-W357-AI357))</f>
        <v/>
      </c>
      <c r="AN357" s="211" t="str">
        <f aca="false">IF($A358="","",AL357-AM357)</f>
        <v/>
      </c>
      <c r="AO357" s="137" t="str">
        <f aca="false">IF(A358="","",A358-A357)</f>
        <v/>
      </c>
      <c r="AP357" s="212" t="str">
        <f aca="false">IF(A358="","",CHOOSE(F$3,A358+24,A357))</f>
        <v/>
      </c>
      <c r="AQ357" s="209" t="str">
        <f aca="false">IF(A358="","",AP357-$E$1)</f>
        <v/>
      </c>
      <c r="AR357" s="185" t="n">
        <f aca="false">'ANR OK vs ML7'!AR357</f>
        <v>0.1</v>
      </c>
      <c r="AS357" s="213" t="str">
        <f aca="false">IF(A358="","",1/(1+CHOOSE(F$3,(AR358+($I$3/10000))/2,(AR357+($I$3/10000))/2))^(2*AQ357/365.25))</f>
        <v/>
      </c>
      <c r="AT357" s="137" t="str">
        <f aca="false">IF(A358="","",IF(AND(mthbeg&lt;=A357,mthend&gt;=A357),1,0))</f>
        <v/>
      </c>
      <c r="AU357" s="137" t="str">
        <f aca="false">IF(A358="","",AO357*AT357)</f>
        <v/>
      </c>
      <c r="AW357" s="195" t="str">
        <f aca="false">IF($A358="","",AL357*$E357)</f>
        <v/>
      </c>
      <c r="AX357" s="195" t="str">
        <f aca="false">IF($A358="","",AM357*$E357)</f>
        <v/>
      </c>
      <c r="AY357" s="195" t="str">
        <f aca="false">IF($A358="","",AN357*$E357)</f>
        <v/>
      </c>
      <c r="BA357" s="195" t="str">
        <f aca="false">IF($A358="","",F357*Summary!$Q$14)</f>
        <v/>
      </c>
    </row>
    <row r="358" customFormat="false" ht="12" hidden="false" customHeight="true" outlineLevel="0" collapsed="false">
      <c r="A358" s="196" t="str">
        <f aca="false">IF(A357&lt;mthend,EDATE(A357,1),"")</f>
        <v/>
      </c>
      <c r="B358" s="197" t="str">
        <f aca="false">IF(A358&lt;mthend,B357,"")</f>
        <v/>
      </c>
      <c r="C358" s="215"/>
      <c r="D358" s="197" t="str">
        <f aca="false">IF(A359&lt;&gt;"",B358+C358,"")</f>
        <v/>
      </c>
      <c r="E358" s="199" t="str">
        <f aca="false">IF(A359="","",IF(AND(AT358=1,$H$3=1),D358*AO358,IF($H$3=2,D358,"N/A")))</f>
        <v/>
      </c>
      <c r="F358" s="199" t="str">
        <f aca="false">IF(A359="","",E358*AS358)</f>
        <v/>
      </c>
      <c r="G358" s="200" t="str">
        <f aca="false">IF($A359="","",VLOOKUP($A358,Table,MATCH(G$4,Curves,0)))</f>
        <v/>
      </c>
      <c r="H358" s="201" t="str">
        <f aca="false">IF(A359="","",G358)</f>
        <v/>
      </c>
      <c r="I358" s="202"/>
      <c r="J358" s="200" t="str">
        <f aca="false">IF($A359="","",VLOOKUP($A358,Table,MATCH(J$4,Curves,0)))</f>
        <v/>
      </c>
      <c r="K358" s="201" t="str">
        <f aca="false">IF(A359="","",J358)</f>
        <v/>
      </c>
      <c r="L358" s="185" t="n">
        <v>0</v>
      </c>
      <c r="M358" s="201" t="str">
        <f aca="false">IF(A359="","",L358)</f>
        <v/>
      </c>
      <c r="N358" s="203"/>
      <c r="O358" s="200" t="str">
        <f aca="false">IF(A359="","",L358+J358+G358)</f>
        <v/>
      </c>
      <c r="P358" s="200" t="str">
        <f aca="false">IF(A359="","",M358+K358+H358)</f>
        <v/>
      </c>
      <c r="Q358" s="204"/>
      <c r="R358" s="200" t="str">
        <f aca="false">IF($A359="","",VLOOKUP($A358,Table,MATCH(R$4,Curves,0)))</f>
        <v/>
      </c>
      <c r="S358" s="201" t="str">
        <f aca="false">IF(A359="","",R358)</f>
        <v/>
      </c>
      <c r="T358" s="200" t="str">
        <f aca="false">IF($A359="","",VLOOKUP($A358,Table,MATCH(T$4,Curves,0)))</f>
        <v/>
      </c>
      <c r="U358" s="201" t="str">
        <f aca="false">IF(A359="","",T358)</f>
        <v/>
      </c>
      <c r="V358" s="183" t="str">
        <f aca="false">IF($A359="","",IF(AND(MONTH(A358)&gt;3,MONTH(A358)&lt;11),(T358+R358+G358)*(((1/(1-Summary!$T$14))/(1-Summary!$W$14))-1),(T358+R358+G358)*((1/(1-Summary!$U$14))/(1-Summary!$X$14)-1)))</f>
        <v/>
      </c>
      <c r="W358" s="202" t="str">
        <f aca="false">IF($A359="","",(T358+R358+G358+V358))</f>
        <v/>
      </c>
      <c r="X358" s="202" t="str">
        <f aca="false">IF($A359="","",(U358+S358+H358+V358))</f>
        <v/>
      </c>
      <c r="Y358" s="202"/>
      <c r="Z358" s="185" t="str">
        <f aca="false">IF($A359="","",VLOOKUP($A358,Table,MATCH(Z$4,Curves,0)))</f>
        <v/>
      </c>
      <c r="AA358" s="185" t="str">
        <f aca="false">IF($A359="","",VLOOKUP($A358,Table,MATCH(AA$4,Curves,0)))</f>
        <v/>
      </c>
      <c r="AB358" s="185" t="e">
        <f aca="false">SQRT((AA358^2*(A358-$D$3)+Z358^2*(DAY(EOMONTH(A358,0))/2))/AK358)</f>
        <v>#VALUE!</v>
      </c>
      <c r="AC358" s="185" t="str">
        <f aca="false">IF($A359="","",VLOOKUP($A358,Table,MATCH(AC$4,Curves,0)))</f>
        <v/>
      </c>
      <c r="AD358" s="185" t="str">
        <f aca="false">IF($A359="","",VLOOKUP($A358,Table,MATCH(AD$4,Curves,0)))</f>
        <v/>
      </c>
      <c r="AE358" s="185" t="e">
        <f aca="false">SQRT((AD358^2*(A358-$D$3)+AC358^2*(DAY(EOMONTH(A358,0))/2))/AK358)</f>
        <v>#VALUE!</v>
      </c>
      <c r="AF358" s="224" t="e">
        <f aca="false">((Summary!$N$14*(AA358*AD358)*(A358-$D$3))+(Summary!$M$14*Z358*AC358*(AJ358-EOMONTH(EDATE(A358,-1),0))))/(AK358*AB358*AE358)</f>
        <v>#VALUE!</v>
      </c>
      <c r="AG358" s="207" t="str">
        <f aca="false">IF($A359="","",Summary!$Q$14)</f>
        <v/>
      </c>
      <c r="AH358" s="207" t="str">
        <f aca="false">IF($A359="","",IF(Summary!$R$12="Y",(VLOOKUP($A358,Summary!$AD$6:$AF$9,3)+'Escalating commodity'!J371),'Escalating commodity'!J371))</f>
        <v/>
      </c>
      <c r="AI358" s="207" t="str">
        <f aca="false">IF($A359="","",AH358)</f>
        <v/>
      </c>
      <c r="AJ358" s="208" t="e">
        <f aca="false">A358+DAY(EOMONTH(A358,0))/2-1</f>
        <v>#VALUE!</v>
      </c>
      <c r="AK358" s="209" t="str">
        <f aca="false">IF($A359="","",$A358-$E$1)</f>
        <v/>
      </c>
      <c r="AL358" s="182" t="str">
        <f aca="false">IF($A359="","",SPRDOPT(P358,X358,AI358,0,AB358,AE358,AF358,AK358,$AJ$2,0))</f>
        <v/>
      </c>
      <c r="AM358" s="211" t="str">
        <f aca="false">IF($A359="","",MAX(0,O358-W358-AI358))</f>
        <v/>
      </c>
      <c r="AN358" s="211" t="str">
        <f aca="false">IF($A359="","",AL358-AM358)</f>
        <v/>
      </c>
      <c r="AO358" s="137" t="str">
        <f aca="false">IF(A359="","",A359-A358)</f>
        <v/>
      </c>
      <c r="AP358" s="212" t="str">
        <f aca="false">IF(A359="","",CHOOSE(F$3,A359+24,A358))</f>
        <v/>
      </c>
      <c r="AQ358" s="209" t="str">
        <f aca="false">IF(A359="","",AP358-$E$1)</f>
        <v/>
      </c>
      <c r="AR358" s="185" t="n">
        <f aca="false">'ANR OK vs ML7'!AR358</f>
        <v>0.1</v>
      </c>
      <c r="AS358" s="213" t="str">
        <f aca="false">IF(A359="","",1/(1+CHOOSE(F$3,(AR359+($I$3/10000))/2,(AR358+($I$3/10000))/2))^(2*AQ358/365.25))</f>
        <v/>
      </c>
      <c r="AT358" s="137" t="str">
        <f aca="false">IF(A359="","",IF(AND(mthbeg&lt;=A358,mthend&gt;=A358),1,0))</f>
        <v/>
      </c>
      <c r="AU358" s="137" t="str">
        <f aca="false">IF(A359="","",AO358*AT358)</f>
        <v/>
      </c>
      <c r="AW358" s="195" t="str">
        <f aca="false">IF($A359="","",AL358*$E358)</f>
        <v/>
      </c>
      <c r="AX358" s="195" t="str">
        <f aca="false">IF($A359="","",AM358*$E358)</f>
        <v/>
      </c>
      <c r="AY358" s="195" t="str">
        <f aca="false">IF($A359="","",AN358*$E358)</f>
        <v/>
      </c>
      <c r="BA358" s="195" t="str">
        <f aca="false">IF($A359="","",F358*Summary!$Q$14)</f>
        <v/>
      </c>
    </row>
    <row r="359" customFormat="false" ht="12" hidden="false" customHeight="true" outlineLevel="0" collapsed="false">
      <c r="A359" s="196" t="str">
        <f aca="false">IF(A358&lt;mthend,EDATE(A358,1),"")</f>
        <v/>
      </c>
      <c r="B359" s="197" t="str">
        <f aca="false">IF(A359&lt;mthend,B358,"")</f>
        <v/>
      </c>
      <c r="C359" s="215"/>
      <c r="D359" s="197" t="str">
        <f aca="false">IF(A360&lt;&gt;"",B359+C359,"")</f>
        <v/>
      </c>
      <c r="E359" s="199" t="str">
        <f aca="false">IF(A360="","",IF(AND(AT359=1,$H$3=1),D359*AO359,IF($H$3=2,D359,"N/A")))</f>
        <v/>
      </c>
      <c r="F359" s="199" t="str">
        <f aca="false">IF(A360="","",E359*AS359)</f>
        <v/>
      </c>
      <c r="G359" s="200" t="str">
        <f aca="false">IF($A360="","",VLOOKUP($A359,Table,MATCH(G$4,Curves,0)))</f>
        <v/>
      </c>
      <c r="H359" s="201" t="str">
        <f aca="false">IF(A360="","",G359)</f>
        <v/>
      </c>
      <c r="I359" s="202"/>
      <c r="J359" s="200" t="str">
        <f aca="false">IF($A360="","",VLOOKUP($A359,Table,MATCH(J$4,Curves,0)))</f>
        <v/>
      </c>
      <c r="K359" s="201" t="str">
        <f aca="false">IF(A360="","",J359)</f>
        <v/>
      </c>
      <c r="L359" s="185" t="n">
        <v>0</v>
      </c>
      <c r="M359" s="201" t="str">
        <f aca="false">IF(A360="","",L359)</f>
        <v/>
      </c>
      <c r="N359" s="203"/>
      <c r="O359" s="200" t="str">
        <f aca="false">IF(A360="","",L359+J359+G359)</f>
        <v/>
      </c>
      <c r="P359" s="200" t="str">
        <f aca="false">IF(A360="","",M359+K359+H359)</f>
        <v/>
      </c>
      <c r="Q359" s="204"/>
      <c r="R359" s="200" t="str">
        <f aca="false">IF($A360="","",VLOOKUP($A359,Table,MATCH(R$4,Curves,0)))</f>
        <v/>
      </c>
      <c r="S359" s="201" t="str">
        <f aca="false">IF(A360="","",R359)</f>
        <v/>
      </c>
      <c r="T359" s="200" t="str">
        <f aca="false">IF($A360="","",VLOOKUP($A359,Table,MATCH(T$4,Curves,0)))</f>
        <v/>
      </c>
      <c r="U359" s="201" t="str">
        <f aca="false">IF(A360="","",T359)</f>
        <v/>
      </c>
      <c r="V359" s="183" t="str">
        <f aca="false">IF($A360="","",IF(AND(MONTH(A359)&gt;3,MONTH(A359)&lt;11),(T359+R359+G359)*(((1/(1-Summary!$T$14))/(1-Summary!$W$14))-1),(T359+R359+G359)*((1/(1-Summary!$U$14))/(1-Summary!$X$14)-1)))</f>
        <v/>
      </c>
      <c r="W359" s="202" t="str">
        <f aca="false">IF($A360="","",(T359+R359+G359+V359))</f>
        <v/>
      </c>
      <c r="X359" s="202" t="str">
        <f aca="false">IF($A360="","",(U359+S359+H359+V359))</f>
        <v/>
      </c>
      <c r="Y359" s="202"/>
      <c r="Z359" s="185" t="str">
        <f aca="false">IF($A360="","",VLOOKUP($A359,Table,MATCH(Z$4,Curves,0)))</f>
        <v/>
      </c>
      <c r="AA359" s="185" t="str">
        <f aca="false">IF($A360="","",VLOOKUP($A359,Table,MATCH(AA$4,Curves,0)))</f>
        <v/>
      </c>
      <c r="AB359" s="185" t="e">
        <f aca="false">SQRT((AA359^2*(A359-$D$3)+Z359^2*(DAY(EOMONTH(A359,0))/2))/AK359)</f>
        <v>#VALUE!</v>
      </c>
      <c r="AC359" s="185" t="str">
        <f aca="false">IF($A360="","",VLOOKUP($A359,Table,MATCH(AC$4,Curves,0)))</f>
        <v/>
      </c>
      <c r="AD359" s="185" t="str">
        <f aca="false">IF($A360="","",VLOOKUP($A359,Table,MATCH(AD$4,Curves,0)))</f>
        <v/>
      </c>
      <c r="AE359" s="185" t="e">
        <f aca="false">SQRT((AD359^2*(A359-$D$3)+AC359^2*(DAY(EOMONTH(A359,0))/2))/AK359)</f>
        <v>#VALUE!</v>
      </c>
      <c r="AF359" s="224" t="e">
        <f aca="false">((Summary!$N$14*(AA359*AD359)*(A359-$D$3))+(Summary!$M$14*Z359*AC359*(AJ359-EOMONTH(EDATE(A359,-1),0))))/(AK359*AB359*AE359)</f>
        <v>#VALUE!</v>
      </c>
      <c r="AG359" s="207" t="str">
        <f aca="false">IF($A360="","",Summary!$Q$14)</f>
        <v/>
      </c>
      <c r="AH359" s="207" t="str">
        <f aca="false">IF($A360="","",IF(Summary!$R$12="Y",(VLOOKUP($A359,Summary!$AD$6:$AF$9,3)+'Escalating commodity'!J372),'Escalating commodity'!J372))</f>
        <v/>
      </c>
      <c r="AI359" s="207" t="str">
        <f aca="false">IF($A360="","",AH359)</f>
        <v/>
      </c>
      <c r="AJ359" s="208" t="e">
        <f aca="false">A359+DAY(EOMONTH(A359,0))/2-1</f>
        <v>#VALUE!</v>
      </c>
      <c r="AK359" s="209" t="str">
        <f aca="false">IF($A360="","",$A359-$E$1)</f>
        <v/>
      </c>
      <c r="AL359" s="182" t="str">
        <f aca="false">IF($A360="","",SPRDOPT(P359,X359,AI359,0,AB359,AE359,AF359,AK359,$AJ$2,0))</f>
        <v/>
      </c>
      <c r="AM359" s="211" t="str">
        <f aca="false">IF($A360="","",MAX(0,O359-W359-AI359))</f>
        <v/>
      </c>
      <c r="AN359" s="211" t="str">
        <f aca="false">IF($A360="","",AL359-AM359)</f>
        <v/>
      </c>
      <c r="AO359" s="137" t="str">
        <f aca="false">IF(A360="","",A360-A359)</f>
        <v/>
      </c>
      <c r="AP359" s="212" t="str">
        <f aca="false">IF(A360="","",CHOOSE(F$3,A360+24,A359))</f>
        <v/>
      </c>
      <c r="AQ359" s="209" t="str">
        <f aca="false">IF(A360="","",AP359-$E$1)</f>
        <v/>
      </c>
      <c r="AR359" s="185" t="n">
        <f aca="false">'ANR OK vs ML7'!AR359</f>
        <v>0.1</v>
      </c>
      <c r="AS359" s="213" t="str">
        <f aca="false">IF(A360="","",1/(1+CHOOSE(F$3,(AR360+($I$3/10000))/2,(AR359+($I$3/10000))/2))^(2*AQ359/365.25))</f>
        <v/>
      </c>
      <c r="AT359" s="137" t="str">
        <f aca="false">IF(A360="","",IF(AND(mthbeg&lt;=A359,mthend&gt;=A359),1,0))</f>
        <v/>
      </c>
      <c r="AU359" s="137" t="str">
        <f aca="false">IF(A360="","",AO359*AT359)</f>
        <v/>
      </c>
      <c r="AW359" s="195" t="str">
        <f aca="false">IF($A360="","",AL359*$E359)</f>
        <v/>
      </c>
      <c r="AX359" s="195" t="str">
        <f aca="false">IF($A360="","",AM359*$E359)</f>
        <v/>
      </c>
      <c r="AY359" s="195" t="str">
        <f aca="false">IF($A360="","",AN359*$E359)</f>
        <v/>
      </c>
      <c r="BA359" s="195" t="str">
        <f aca="false">IF($A360="","",F359*Summary!$Q$14)</f>
        <v/>
      </c>
    </row>
    <row r="360" customFormat="false" ht="12" hidden="false" customHeight="true" outlineLevel="0" collapsed="false">
      <c r="A360" s="196" t="str">
        <f aca="false">IF(A359&lt;mthend,EDATE(A359,1),"")</f>
        <v/>
      </c>
      <c r="B360" s="197" t="str">
        <f aca="false">IF(A360&lt;mthend,B359,"")</f>
        <v/>
      </c>
      <c r="C360" s="215"/>
      <c r="D360" s="197" t="str">
        <f aca="false">IF(A361&lt;&gt;"",B360+C360,"")</f>
        <v/>
      </c>
      <c r="E360" s="199" t="str">
        <f aca="false">IF(A361="","",IF(AND(AT360=1,$H$3=1),D360*AO360,IF($H$3=2,D360,"N/A")))</f>
        <v/>
      </c>
      <c r="F360" s="199" t="str">
        <f aca="false">IF(A361="","",E360*AS360)</f>
        <v/>
      </c>
      <c r="G360" s="200" t="str">
        <f aca="false">IF($A361="","",VLOOKUP($A360,Table,MATCH(G$4,Curves,0)))</f>
        <v/>
      </c>
      <c r="H360" s="201" t="str">
        <f aca="false">IF(A361="","",G360)</f>
        <v/>
      </c>
      <c r="I360" s="202"/>
      <c r="J360" s="200" t="str">
        <f aca="false">IF($A361="","",VLOOKUP($A360,Table,MATCH(J$4,Curves,0)))</f>
        <v/>
      </c>
      <c r="K360" s="201" t="str">
        <f aca="false">IF(A361="","",J360)</f>
        <v/>
      </c>
      <c r="L360" s="185" t="n">
        <v>0</v>
      </c>
      <c r="M360" s="201" t="str">
        <f aca="false">IF(A361="","",L360)</f>
        <v/>
      </c>
      <c r="N360" s="203"/>
      <c r="O360" s="200" t="str">
        <f aca="false">IF(A361="","",L360+J360+G360)</f>
        <v/>
      </c>
      <c r="P360" s="200" t="str">
        <f aca="false">IF(A361="","",M360+K360+H360)</f>
        <v/>
      </c>
      <c r="Q360" s="204"/>
      <c r="R360" s="200" t="str">
        <f aca="false">IF($A361="","",VLOOKUP($A360,Table,MATCH(R$4,Curves,0)))</f>
        <v/>
      </c>
      <c r="S360" s="201" t="str">
        <f aca="false">IF(A361="","",R360)</f>
        <v/>
      </c>
      <c r="T360" s="200" t="str">
        <f aca="false">IF($A361="","",VLOOKUP($A360,Table,MATCH(T$4,Curves,0)))</f>
        <v/>
      </c>
      <c r="U360" s="201" t="str">
        <f aca="false">IF(A361="","",T360)</f>
        <v/>
      </c>
      <c r="V360" s="183" t="str">
        <f aca="false">IF($A361="","",IF(AND(MONTH(A360)&gt;3,MONTH(A360)&lt;11),(T360+R360+G360)*(((1/(1-Summary!$T$14))/(1-Summary!$W$14))-1),(T360+R360+G360)*((1/(1-Summary!$U$14))/(1-Summary!$X$14)-1)))</f>
        <v/>
      </c>
      <c r="W360" s="202" t="str">
        <f aca="false">IF($A361="","",(T360+R360+G360+V360))</f>
        <v/>
      </c>
      <c r="X360" s="202" t="str">
        <f aca="false">IF($A361="","",(U360+S360+H360+V360))</f>
        <v/>
      </c>
      <c r="Y360" s="202"/>
      <c r="Z360" s="185" t="str">
        <f aca="false">IF($A361="","",VLOOKUP($A360,Table,MATCH(Z$4,Curves,0)))</f>
        <v/>
      </c>
      <c r="AA360" s="185" t="str">
        <f aca="false">IF($A361="","",VLOOKUP($A360,Table,MATCH(AA$4,Curves,0)))</f>
        <v/>
      </c>
      <c r="AB360" s="185" t="e">
        <f aca="false">SQRT((AA360^2*(A360-$D$3)+Z360^2*(DAY(EOMONTH(A360,0))/2))/AK360)</f>
        <v>#VALUE!</v>
      </c>
      <c r="AC360" s="185" t="str">
        <f aca="false">IF($A361="","",VLOOKUP($A360,Table,MATCH(AC$4,Curves,0)))</f>
        <v/>
      </c>
      <c r="AD360" s="185" t="str">
        <f aca="false">IF($A361="","",VLOOKUP($A360,Table,MATCH(AD$4,Curves,0)))</f>
        <v/>
      </c>
      <c r="AE360" s="185" t="e">
        <f aca="false">SQRT((AD360^2*(A360-$D$3)+AC360^2*(DAY(EOMONTH(A360,0))/2))/AK360)</f>
        <v>#VALUE!</v>
      </c>
      <c r="AF360" s="224" t="e">
        <f aca="false">((Summary!$N$14*(AA360*AD360)*(A360-$D$3))+(Summary!$M$14*Z360*AC360*(AJ360-EOMONTH(EDATE(A360,-1),0))))/(AK360*AB360*AE360)</f>
        <v>#VALUE!</v>
      </c>
      <c r="AG360" s="207" t="str">
        <f aca="false">IF($A361="","",Summary!$Q$14)</f>
        <v/>
      </c>
      <c r="AH360" s="207" t="str">
        <f aca="false">IF($A361="","",IF(Summary!$R$12="Y",(VLOOKUP($A360,Summary!$AD$6:$AF$9,3)+'Escalating commodity'!J373),'Escalating commodity'!J373))</f>
        <v/>
      </c>
      <c r="AI360" s="207" t="str">
        <f aca="false">IF($A361="","",AH360)</f>
        <v/>
      </c>
      <c r="AJ360" s="208" t="e">
        <f aca="false">A360+DAY(EOMONTH(A360,0))/2-1</f>
        <v>#VALUE!</v>
      </c>
      <c r="AK360" s="209" t="str">
        <f aca="false">IF($A361="","",$A360-$E$1)</f>
        <v/>
      </c>
      <c r="AL360" s="182" t="str">
        <f aca="false">IF($A361="","",SPRDOPT(P360,X360,AI360,0,AB360,AE360,AF360,AK360,$AJ$2,0))</f>
        <v/>
      </c>
      <c r="AM360" s="211" t="str">
        <f aca="false">IF($A361="","",MAX(0,O360-W360-AI360))</f>
        <v/>
      </c>
      <c r="AN360" s="211" t="str">
        <f aca="false">IF($A361="","",AL360-AM360)</f>
        <v/>
      </c>
      <c r="AO360" s="137" t="str">
        <f aca="false">IF(A361="","",A361-A360)</f>
        <v/>
      </c>
      <c r="AP360" s="212" t="str">
        <f aca="false">IF(A361="","",CHOOSE(F$3,A361+24,A360))</f>
        <v/>
      </c>
      <c r="AQ360" s="209" t="str">
        <f aca="false">IF(A361="","",AP360-$E$1)</f>
        <v/>
      </c>
      <c r="AR360" s="185" t="n">
        <f aca="false">'ANR OK vs ML7'!AR360</f>
        <v>0.1</v>
      </c>
      <c r="AS360" s="213" t="str">
        <f aca="false">IF(A361="","",1/(1+CHOOSE(F$3,(AR361+($I$3/10000))/2,(AR360+($I$3/10000))/2))^(2*AQ360/365.25))</f>
        <v/>
      </c>
      <c r="AT360" s="137" t="str">
        <f aca="false">IF(A361="","",IF(AND(mthbeg&lt;=A360,mthend&gt;=A360),1,0))</f>
        <v/>
      </c>
      <c r="AU360" s="137" t="str">
        <f aca="false">IF(A361="","",AO360*AT360)</f>
        <v/>
      </c>
      <c r="AW360" s="195" t="str">
        <f aca="false">IF($A361="","",AL360*$E360)</f>
        <v/>
      </c>
      <c r="AX360" s="195" t="str">
        <f aca="false">IF($A361="","",AM360*$E360)</f>
        <v/>
      </c>
      <c r="AY360" s="195" t="str">
        <f aca="false">IF($A361="","",AN360*$E360)</f>
        <v/>
      </c>
      <c r="BA360" s="195" t="str">
        <f aca="false">IF($A361="","",F360*Summary!$Q$14)</f>
        <v/>
      </c>
    </row>
    <row r="361" customFormat="false" ht="12" hidden="false" customHeight="true" outlineLevel="0" collapsed="false">
      <c r="A361" s="196" t="str">
        <f aca="false">IF(A360&lt;mthend,EDATE(A360,1),"")</f>
        <v/>
      </c>
      <c r="B361" s="197" t="str">
        <f aca="false">IF(A361&lt;mthend,B360,"")</f>
        <v/>
      </c>
      <c r="C361" s="215"/>
      <c r="D361" s="197" t="str">
        <f aca="false">IF(A362&lt;&gt;"",B361+C361,"")</f>
        <v/>
      </c>
      <c r="E361" s="199" t="str">
        <f aca="false">IF(A362="","",IF(AND(AT361=1,$H$3=1),D361*AO361,IF($H$3=2,D361,"N/A")))</f>
        <v/>
      </c>
      <c r="F361" s="199" t="str">
        <f aca="false">IF(A362="","",E361*AS361)</f>
        <v/>
      </c>
      <c r="G361" s="200" t="str">
        <f aca="false">IF($A362="","",VLOOKUP($A361,Table,MATCH(G$4,Curves,0)))</f>
        <v/>
      </c>
      <c r="H361" s="201" t="str">
        <f aca="false">IF(A362="","",G361)</f>
        <v/>
      </c>
      <c r="I361" s="202"/>
      <c r="J361" s="200" t="str">
        <f aca="false">IF($A362="","",VLOOKUP($A361,Table,MATCH(J$4,Curves,0)))</f>
        <v/>
      </c>
      <c r="K361" s="201" t="str">
        <f aca="false">IF(A362="","",J361)</f>
        <v/>
      </c>
      <c r="L361" s="185" t="n">
        <v>0</v>
      </c>
      <c r="M361" s="201" t="str">
        <f aca="false">IF(A362="","",L361)</f>
        <v/>
      </c>
      <c r="N361" s="203"/>
      <c r="O361" s="200" t="str">
        <f aca="false">IF(A362="","",L361+J361+G361)</f>
        <v/>
      </c>
      <c r="P361" s="200" t="str">
        <f aca="false">IF(A362="","",M361+K361+H361)</f>
        <v/>
      </c>
      <c r="Q361" s="204"/>
      <c r="R361" s="200" t="str">
        <f aca="false">IF($A362="","",VLOOKUP($A361,Table,MATCH(R$4,Curves,0)))</f>
        <v/>
      </c>
      <c r="S361" s="201" t="str">
        <f aca="false">IF(A362="","",R361)</f>
        <v/>
      </c>
      <c r="T361" s="200" t="str">
        <f aca="false">IF($A362="","",VLOOKUP($A361,Table,MATCH(T$4,Curves,0)))</f>
        <v/>
      </c>
      <c r="U361" s="201" t="str">
        <f aca="false">IF(A362="","",T361)</f>
        <v/>
      </c>
      <c r="V361" s="183" t="str">
        <f aca="false">IF($A362="","",IF(AND(MONTH(A361)&gt;3,MONTH(A361)&lt;11),(T361+R361+G361)*(((1/(1-Summary!$T$14))/(1-Summary!$W$14))-1),(T361+R361+G361)*((1/(1-Summary!$U$14))/(1-Summary!$X$14)-1)))</f>
        <v/>
      </c>
      <c r="W361" s="202" t="str">
        <f aca="false">IF($A362="","",(T361+R361+G361+V361))</f>
        <v/>
      </c>
      <c r="X361" s="202" t="str">
        <f aca="false">IF($A362="","",(U361+S361+H361+V361))</f>
        <v/>
      </c>
      <c r="Y361" s="202"/>
      <c r="Z361" s="185" t="str">
        <f aca="false">IF($A362="","",VLOOKUP($A361,Table,MATCH(Z$4,Curves,0)))</f>
        <v/>
      </c>
      <c r="AA361" s="185" t="str">
        <f aca="false">IF($A362="","",VLOOKUP($A361,Table,MATCH(AA$4,Curves,0)))</f>
        <v/>
      </c>
      <c r="AB361" s="185" t="e">
        <f aca="false">SQRT((AA361^2*(A361-$D$3)+Z361^2*(DAY(EOMONTH(A361,0))/2))/AK361)</f>
        <v>#VALUE!</v>
      </c>
      <c r="AC361" s="185" t="str">
        <f aca="false">IF($A362="","",VLOOKUP($A361,Table,MATCH(AC$4,Curves,0)))</f>
        <v/>
      </c>
      <c r="AD361" s="185" t="str">
        <f aca="false">IF($A362="","",VLOOKUP($A361,Table,MATCH(AD$4,Curves,0)))</f>
        <v/>
      </c>
      <c r="AE361" s="185" t="e">
        <f aca="false">SQRT((AD361^2*(A361-$D$3)+AC361^2*(DAY(EOMONTH(A361,0))/2))/AK361)</f>
        <v>#VALUE!</v>
      </c>
      <c r="AF361" s="224" t="e">
        <f aca="false">((Summary!$N$14*(AA361*AD361)*(A361-$D$3))+(Summary!$M$14*Z361*AC361*(AJ361-EOMONTH(EDATE(A361,-1),0))))/(AK361*AB361*AE361)</f>
        <v>#VALUE!</v>
      </c>
      <c r="AG361" s="207" t="str">
        <f aca="false">IF($A362="","",Summary!$Q$14)</f>
        <v/>
      </c>
      <c r="AH361" s="207" t="str">
        <f aca="false">IF($A362="","",IF(Summary!$R$12="Y",(VLOOKUP($A361,Summary!$AD$6:$AF$9,3)+'Escalating commodity'!J374),'Escalating commodity'!J374))</f>
        <v/>
      </c>
      <c r="AI361" s="207" t="str">
        <f aca="false">IF($A362="","",AH361)</f>
        <v/>
      </c>
      <c r="AJ361" s="208" t="e">
        <f aca="false">A361+DAY(EOMONTH(A361,0))/2-1</f>
        <v>#VALUE!</v>
      </c>
      <c r="AK361" s="209" t="str">
        <f aca="false">IF($A362="","",$A361-$E$1)</f>
        <v/>
      </c>
      <c r="AL361" s="182" t="str">
        <f aca="false">IF($A362="","",SPRDOPT(P361,X361,AI361,0,AB361,AE361,AF361,AK361,$AJ$2,0))</f>
        <v/>
      </c>
      <c r="AM361" s="211" t="str">
        <f aca="false">IF($A362="","",MAX(0,O361-W361-AI361))</f>
        <v/>
      </c>
      <c r="AN361" s="211" t="str">
        <f aca="false">IF($A362="","",AL361-AM361)</f>
        <v/>
      </c>
      <c r="AO361" s="137" t="str">
        <f aca="false">IF(A362="","",A362-A361)</f>
        <v/>
      </c>
      <c r="AP361" s="212" t="str">
        <f aca="false">IF(A362="","",CHOOSE(F$3,A362+24,A361))</f>
        <v/>
      </c>
      <c r="AQ361" s="209" t="str">
        <f aca="false">IF(A362="","",AP361-$E$1)</f>
        <v/>
      </c>
      <c r="AR361" s="185" t="n">
        <f aca="false">'ANR OK vs ML7'!AR361</f>
        <v>0.1</v>
      </c>
      <c r="AS361" s="213" t="str">
        <f aca="false">IF(A362="","",1/(1+CHOOSE(F$3,(AR362+($I$3/10000))/2,(AR361+($I$3/10000))/2))^(2*AQ361/365.25))</f>
        <v/>
      </c>
      <c r="AT361" s="137" t="str">
        <f aca="false">IF(A362="","",IF(AND(mthbeg&lt;=A361,mthend&gt;=A361),1,0))</f>
        <v/>
      </c>
      <c r="AU361" s="137" t="str">
        <f aca="false">IF(A362="","",AO361*AT361)</f>
        <v/>
      </c>
      <c r="AW361" s="195" t="str">
        <f aca="false">IF($A362="","",AL361*$E361)</f>
        <v/>
      </c>
      <c r="AX361" s="195" t="str">
        <f aca="false">IF($A362="","",AM361*$E361)</f>
        <v/>
      </c>
      <c r="AY361" s="195" t="str">
        <f aca="false">IF($A362="","",AN361*$E361)</f>
        <v/>
      </c>
      <c r="BA361" s="195" t="str">
        <f aca="false">IF($A362="","",F361*Summary!$Q$14)</f>
        <v/>
      </c>
    </row>
    <row r="362" customFormat="false" ht="12" hidden="false" customHeight="true" outlineLevel="0" collapsed="false">
      <c r="A362" s="196" t="str">
        <f aca="false">IF(A361&lt;mthend,EDATE(A361,1),"")</f>
        <v/>
      </c>
      <c r="B362" s="197" t="str">
        <f aca="false">IF(A362&lt;mthend,B361,"")</f>
        <v/>
      </c>
      <c r="C362" s="215"/>
      <c r="D362" s="197" t="str">
        <f aca="false">IF(A363&lt;&gt;"",B362+C362,"")</f>
        <v/>
      </c>
      <c r="E362" s="199" t="str">
        <f aca="false">IF(A363="","",IF(AND(AT362=1,$H$3=1),D362*AO362,IF($H$3=2,D362,"N/A")))</f>
        <v/>
      </c>
      <c r="F362" s="199" t="str">
        <f aca="false">IF(A363="","",E362*AS362)</f>
        <v/>
      </c>
      <c r="G362" s="200" t="str">
        <f aca="false">IF($A363="","",VLOOKUP($A362,Table,MATCH(G$4,Curves,0)))</f>
        <v/>
      </c>
      <c r="H362" s="201" t="str">
        <f aca="false">IF(A363="","",G362)</f>
        <v/>
      </c>
      <c r="I362" s="202"/>
      <c r="J362" s="200" t="str">
        <f aca="false">IF($A363="","",VLOOKUP($A362,Table,MATCH(J$4,Curves,0)))</f>
        <v/>
      </c>
      <c r="K362" s="201" t="str">
        <f aca="false">IF(A363="","",J362)</f>
        <v/>
      </c>
      <c r="L362" s="185" t="n">
        <v>0</v>
      </c>
      <c r="M362" s="201" t="str">
        <f aca="false">IF(A363="","",L362)</f>
        <v/>
      </c>
      <c r="N362" s="203"/>
      <c r="O362" s="200" t="str">
        <f aca="false">IF(A363="","",L362+J362+G362)</f>
        <v/>
      </c>
      <c r="P362" s="200" t="str">
        <f aca="false">IF(A363="","",M362+K362+H362)</f>
        <v/>
      </c>
      <c r="Q362" s="204"/>
      <c r="R362" s="200" t="str">
        <f aca="false">IF($A363="","",VLOOKUP($A362,Table,MATCH(R$4,Curves,0)))</f>
        <v/>
      </c>
      <c r="S362" s="201" t="str">
        <f aca="false">IF(A363="","",R362)</f>
        <v/>
      </c>
      <c r="T362" s="200" t="str">
        <f aca="false">IF($A363="","",VLOOKUP($A362,Table,MATCH(T$4,Curves,0)))</f>
        <v/>
      </c>
      <c r="U362" s="201" t="str">
        <f aca="false">IF(A363="","",T362)</f>
        <v/>
      </c>
      <c r="V362" s="183" t="str">
        <f aca="false">IF($A363="","",IF(AND(MONTH(A362)&gt;3,MONTH(A362)&lt;11),(T362+R362+G362)*(((1/(1-Summary!$T$14))/(1-Summary!$W$14))-1),(T362+R362+G362)*((1/(1-Summary!$U$14))/(1-Summary!$X$14)-1)))</f>
        <v/>
      </c>
      <c r="W362" s="202" t="str">
        <f aca="false">IF($A363="","",(T362+R362+G362+V362))</f>
        <v/>
      </c>
      <c r="X362" s="202" t="str">
        <f aca="false">IF($A363="","",(U362+S362+H362+V362))</f>
        <v/>
      </c>
      <c r="Y362" s="202"/>
      <c r="Z362" s="185" t="str">
        <f aca="false">IF($A363="","",VLOOKUP($A362,Table,MATCH(Z$4,Curves,0)))</f>
        <v/>
      </c>
      <c r="AA362" s="185" t="str">
        <f aca="false">IF($A363="","",VLOOKUP($A362,Table,MATCH(AA$4,Curves,0)))</f>
        <v/>
      </c>
      <c r="AB362" s="185" t="e">
        <f aca="false">SQRT((AA362^2*(A362-$D$3)+Z362^2*(DAY(EOMONTH(A362,0))/2))/AK362)</f>
        <v>#VALUE!</v>
      </c>
      <c r="AC362" s="185" t="str">
        <f aca="false">IF($A363="","",VLOOKUP($A362,Table,MATCH(AC$4,Curves,0)))</f>
        <v/>
      </c>
      <c r="AD362" s="185" t="str">
        <f aca="false">IF($A363="","",VLOOKUP($A362,Table,MATCH(AD$4,Curves,0)))</f>
        <v/>
      </c>
      <c r="AE362" s="185" t="e">
        <f aca="false">SQRT((AD362^2*(A362-$D$3)+AC362^2*(DAY(EOMONTH(A362,0))/2))/AK362)</f>
        <v>#VALUE!</v>
      </c>
      <c r="AF362" s="224" t="e">
        <f aca="false">((Summary!$N$14*(AA362*AD362)*(A362-$D$3))+(Summary!$M$14*Z362*AC362*(AJ362-EOMONTH(EDATE(A362,-1),0))))/(AK362*AB362*AE362)</f>
        <v>#VALUE!</v>
      </c>
      <c r="AG362" s="207" t="str">
        <f aca="false">IF($A363="","",Summary!$Q$14)</f>
        <v/>
      </c>
      <c r="AH362" s="207" t="str">
        <f aca="false">IF($A363="","",IF(Summary!$R$12="Y",(VLOOKUP($A362,Summary!$AD$6:$AF$9,3)+'Escalating commodity'!J375),'Escalating commodity'!J375))</f>
        <v/>
      </c>
      <c r="AI362" s="207" t="str">
        <f aca="false">IF($A363="","",AH362)</f>
        <v/>
      </c>
      <c r="AJ362" s="208" t="e">
        <f aca="false">A362+DAY(EOMONTH(A362,0))/2-1</f>
        <v>#VALUE!</v>
      </c>
      <c r="AK362" s="209" t="str">
        <f aca="false">IF($A363="","",$A362-$E$1)</f>
        <v/>
      </c>
      <c r="AL362" s="182" t="str">
        <f aca="false">IF($A363="","",SPRDOPT(P362,X362,AI362,0,AB362,AE362,AF362,AK362,$AJ$2,0))</f>
        <v/>
      </c>
      <c r="AM362" s="211" t="str">
        <f aca="false">IF($A363="","",MAX(0,O362-W362-AI362))</f>
        <v/>
      </c>
      <c r="AN362" s="211" t="str">
        <f aca="false">IF($A363="","",AL362-AM362)</f>
        <v/>
      </c>
      <c r="AO362" s="137" t="str">
        <f aca="false">IF(A363="","",A363-A362)</f>
        <v/>
      </c>
      <c r="AP362" s="212" t="str">
        <f aca="false">IF(A363="","",CHOOSE(F$3,A363+24,A362))</f>
        <v/>
      </c>
      <c r="AQ362" s="209" t="str">
        <f aca="false">IF(A363="","",AP362-$E$1)</f>
        <v/>
      </c>
      <c r="AR362" s="185" t="n">
        <f aca="false">'ANR OK vs ML7'!AR362</f>
        <v>0.1</v>
      </c>
      <c r="AS362" s="213" t="str">
        <f aca="false">IF(A363="","",1/(1+CHOOSE(F$3,(AR363+($I$3/10000))/2,(AR362+($I$3/10000))/2))^(2*AQ362/365.25))</f>
        <v/>
      </c>
      <c r="AT362" s="137" t="str">
        <f aca="false">IF(A363="","",IF(AND(mthbeg&lt;=A362,mthend&gt;=A362),1,0))</f>
        <v/>
      </c>
      <c r="AU362" s="137" t="str">
        <f aca="false">IF(A363="","",AO362*AT362)</f>
        <v/>
      </c>
      <c r="AW362" s="195" t="str">
        <f aca="false">IF($A363="","",AL362*$E362)</f>
        <v/>
      </c>
      <c r="AX362" s="195" t="str">
        <f aca="false">IF($A363="","",AM362*$E362)</f>
        <v/>
      </c>
      <c r="AY362" s="195" t="str">
        <f aca="false">IF($A363="","",AN362*$E362)</f>
        <v/>
      </c>
      <c r="BA362" s="195" t="str">
        <f aca="false">IF($A363="","",F362*Summary!$Q$14)</f>
        <v/>
      </c>
    </row>
    <row r="363" customFormat="false" ht="12" hidden="false" customHeight="true" outlineLevel="0" collapsed="false">
      <c r="A363" s="196" t="str">
        <f aca="false">IF(A362&lt;mthend,EDATE(A362,1),"")</f>
        <v/>
      </c>
      <c r="B363" s="197" t="str">
        <f aca="false">IF(A363&lt;mthend,B362,"")</f>
        <v/>
      </c>
      <c r="C363" s="215"/>
      <c r="D363" s="197" t="str">
        <f aca="false">IF(A364&lt;&gt;"",B363+C363,"")</f>
        <v/>
      </c>
      <c r="E363" s="199" t="str">
        <f aca="false">IF(A364="","",IF(AND(AT363=1,$H$3=1),D363*AO363,IF($H$3=2,D363,"N/A")))</f>
        <v/>
      </c>
      <c r="F363" s="199" t="str">
        <f aca="false">IF(A364="","",E363*AS363)</f>
        <v/>
      </c>
      <c r="G363" s="200" t="str">
        <f aca="false">IF($A364="","",VLOOKUP($A363,Table,MATCH(G$4,Curves,0)))</f>
        <v/>
      </c>
      <c r="H363" s="201" t="str">
        <f aca="false">IF(A364="","",G363)</f>
        <v/>
      </c>
      <c r="I363" s="202"/>
      <c r="J363" s="200" t="str">
        <f aca="false">IF($A364="","",VLOOKUP($A363,Table,MATCH(J$4,Curves,0)))</f>
        <v/>
      </c>
      <c r="K363" s="201" t="str">
        <f aca="false">IF(A364="","",J363)</f>
        <v/>
      </c>
      <c r="L363" s="185" t="n">
        <v>0</v>
      </c>
      <c r="M363" s="201" t="str">
        <f aca="false">IF(A364="","",L363)</f>
        <v/>
      </c>
      <c r="N363" s="203"/>
      <c r="O363" s="200" t="str">
        <f aca="false">IF(A364="","",L363+J363+G363)</f>
        <v/>
      </c>
      <c r="P363" s="200" t="str">
        <f aca="false">IF(A364="","",M363+K363+H363)</f>
        <v/>
      </c>
      <c r="Q363" s="204"/>
      <c r="R363" s="200" t="str">
        <f aca="false">IF($A364="","",VLOOKUP($A363,Table,MATCH(R$4,Curves,0)))</f>
        <v/>
      </c>
      <c r="S363" s="201" t="str">
        <f aca="false">IF(A364="","",R363)</f>
        <v/>
      </c>
      <c r="T363" s="200" t="str">
        <f aca="false">IF($A364="","",VLOOKUP($A363,Table,MATCH(T$4,Curves,0)))</f>
        <v/>
      </c>
      <c r="U363" s="201" t="str">
        <f aca="false">IF(A364="","",T363)</f>
        <v/>
      </c>
      <c r="V363" s="183" t="str">
        <f aca="false">IF($A364="","",IF(AND(MONTH(A363)&gt;3,MONTH(A363)&lt;11),(T363+R363+G363)*(((1/(1-Summary!$T$14))/(1-Summary!$W$14))-1),(T363+R363+G363)*((1/(1-Summary!$U$14))/(1-Summary!$X$14)-1)))</f>
        <v/>
      </c>
      <c r="W363" s="202" t="str">
        <f aca="false">IF($A364="","",(T363+R363+G363+V363))</f>
        <v/>
      </c>
      <c r="X363" s="202" t="str">
        <f aca="false">IF($A364="","",(U363+S363+H363+V363))</f>
        <v/>
      </c>
      <c r="Y363" s="202"/>
      <c r="Z363" s="185" t="str">
        <f aca="false">IF($A364="","",VLOOKUP($A363,Table,MATCH(Z$4,Curves,0)))</f>
        <v/>
      </c>
      <c r="AA363" s="185" t="str">
        <f aca="false">IF($A364="","",VLOOKUP($A363,Table,MATCH(AA$4,Curves,0)))</f>
        <v/>
      </c>
      <c r="AB363" s="185" t="e">
        <f aca="false">SQRT((AA363^2*(A363-$D$3)+Z363^2*(DAY(EOMONTH(A363,0))/2))/AK363)</f>
        <v>#VALUE!</v>
      </c>
      <c r="AC363" s="185" t="str">
        <f aca="false">IF($A364="","",VLOOKUP($A363,Table,MATCH(AC$4,Curves,0)))</f>
        <v/>
      </c>
      <c r="AD363" s="185" t="str">
        <f aca="false">IF($A364="","",VLOOKUP($A363,Table,MATCH(AD$4,Curves,0)))</f>
        <v/>
      </c>
      <c r="AE363" s="185" t="e">
        <f aca="false">SQRT((AD363^2*(A363-$D$3)+AC363^2*(DAY(EOMONTH(A363,0))/2))/AK363)</f>
        <v>#VALUE!</v>
      </c>
      <c r="AF363" s="224" t="e">
        <f aca="false">((Summary!$N$14*(AA363*AD363)*(A363-$D$3))+(Summary!$M$14*Z363*AC363*(AJ363-EOMONTH(EDATE(A363,-1),0))))/(AK363*AB363*AE363)</f>
        <v>#VALUE!</v>
      </c>
      <c r="AG363" s="207" t="str">
        <f aca="false">IF($A364="","",Summary!$Q$14)</f>
        <v/>
      </c>
      <c r="AH363" s="207" t="str">
        <f aca="false">IF($A364="","",IF(Summary!$R$12="Y",(VLOOKUP($A363,Summary!$AD$6:$AF$9,3)+'Escalating commodity'!J376),'Escalating commodity'!J376))</f>
        <v/>
      </c>
      <c r="AI363" s="207" t="str">
        <f aca="false">IF($A364="","",AH363)</f>
        <v/>
      </c>
      <c r="AJ363" s="208" t="e">
        <f aca="false">A363+DAY(EOMONTH(A363,0))/2-1</f>
        <v>#VALUE!</v>
      </c>
      <c r="AK363" s="209" t="str">
        <f aca="false">IF($A364="","",$A363-$E$1)</f>
        <v/>
      </c>
      <c r="AL363" s="182" t="str">
        <f aca="false">IF($A364="","",SPRDOPT(P363,X363,AI363,0,AB363,AE363,AF363,AK363,$AJ$2,0))</f>
        <v/>
      </c>
      <c r="AM363" s="211" t="str">
        <f aca="false">IF($A364="","",MAX(0,O363-W363-AI363))</f>
        <v/>
      </c>
      <c r="AN363" s="211" t="str">
        <f aca="false">IF($A364="","",AL363-AM363)</f>
        <v/>
      </c>
      <c r="AO363" s="137" t="str">
        <f aca="false">IF(A364="","",A364-A363)</f>
        <v/>
      </c>
      <c r="AP363" s="212" t="str">
        <f aca="false">IF(A364="","",CHOOSE(F$3,A364+24,A363))</f>
        <v/>
      </c>
      <c r="AQ363" s="209" t="str">
        <f aca="false">IF(A364="","",AP363-$E$1)</f>
        <v/>
      </c>
      <c r="AR363" s="185" t="n">
        <f aca="false">'ANR OK vs ML7'!AR363</f>
        <v>0.1</v>
      </c>
      <c r="AS363" s="213" t="str">
        <f aca="false">IF(A364="","",1/(1+CHOOSE(F$3,(AR364+($I$3/10000))/2,(AR363+($I$3/10000))/2))^(2*AQ363/365.25))</f>
        <v/>
      </c>
      <c r="AT363" s="137" t="str">
        <f aca="false">IF(A364="","",IF(AND(mthbeg&lt;=A363,mthend&gt;=A363),1,0))</f>
        <v/>
      </c>
      <c r="AU363" s="137" t="str">
        <f aca="false">IF(A364="","",AO363*AT363)</f>
        <v/>
      </c>
      <c r="AW363" s="195" t="str">
        <f aca="false">IF($A364="","",AL363*$E363)</f>
        <v/>
      </c>
      <c r="AX363" s="195" t="str">
        <f aca="false">IF($A364="","",AM363*$E363)</f>
        <v/>
      </c>
      <c r="AY363" s="195" t="str">
        <f aca="false">IF($A364="","",AN363*$E363)</f>
        <v/>
      </c>
      <c r="BA363" s="195" t="str">
        <f aca="false">IF($A364="","",F363*Summary!$Q$14)</f>
        <v/>
      </c>
    </row>
    <row r="364" customFormat="false" ht="12" hidden="false" customHeight="true" outlineLevel="0" collapsed="false">
      <c r="A364" s="196" t="str">
        <f aca="false">IF(A363&lt;mthend,EDATE(A363,1),"")</f>
        <v/>
      </c>
      <c r="B364" s="197" t="str">
        <f aca="false">IF(A364&lt;mthend,B363,"")</f>
        <v/>
      </c>
      <c r="C364" s="215"/>
      <c r="D364" s="197" t="str">
        <f aca="false">IF(A365&lt;&gt;"",B364+C364,"")</f>
        <v/>
      </c>
      <c r="E364" s="199" t="str">
        <f aca="false">IF(A365="","",IF(AND(AT364=1,$H$3=1),D364*AO364,IF($H$3=2,D364,"N/A")))</f>
        <v/>
      </c>
      <c r="F364" s="199" t="str">
        <f aca="false">IF(A365="","",E364*AS364)</f>
        <v/>
      </c>
      <c r="G364" s="200" t="str">
        <f aca="false">IF($A365="","",VLOOKUP($A364,Table,MATCH(G$4,Curves,0)))</f>
        <v/>
      </c>
      <c r="H364" s="201" t="str">
        <f aca="false">IF(A365="","",G364)</f>
        <v/>
      </c>
      <c r="I364" s="202"/>
      <c r="J364" s="200" t="str">
        <f aca="false">IF($A365="","",VLOOKUP($A364,Table,MATCH(J$4,Curves,0)))</f>
        <v/>
      </c>
      <c r="K364" s="201" t="str">
        <f aca="false">IF(A365="","",J364)</f>
        <v/>
      </c>
      <c r="L364" s="185" t="n">
        <v>0</v>
      </c>
      <c r="M364" s="201" t="str">
        <f aca="false">IF(A365="","",L364)</f>
        <v/>
      </c>
      <c r="N364" s="203"/>
      <c r="O364" s="200" t="str">
        <f aca="false">IF(A365="","",L364+J364+G364)</f>
        <v/>
      </c>
      <c r="P364" s="200" t="str">
        <f aca="false">IF(A365="","",M364+K364+H364)</f>
        <v/>
      </c>
      <c r="Q364" s="204"/>
      <c r="R364" s="200" t="str">
        <f aca="false">IF($A365="","",VLOOKUP($A364,Table,MATCH(R$4,Curves,0)))</f>
        <v/>
      </c>
      <c r="S364" s="201" t="str">
        <f aca="false">IF(A365="","",R364)</f>
        <v/>
      </c>
      <c r="T364" s="200" t="str">
        <f aca="false">IF($A365="","",VLOOKUP($A364,Table,MATCH(T$4,Curves,0)))</f>
        <v/>
      </c>
      <c r="U364" s="201" t="str">
        <f aca="false">IF(A365="","",T364)</f>
        <v/>
      </c>
      <c r="V364" s="183" t="str">
        <f aca="false">IF($A365="","",IF(AND(MONTH(A364)&gt;3,MONTH(A364)&lt;11),(T364+R364+G364)*(((1/(1-Summary!$T$14))/(1-Summary!$W$14))-1),(T364+R364+G364)*((1/(1-Summary!$U$14))/(1-Summary!$X$14)-1)))</f>
        <v/>
      </c>
      <c r="W364" s="202" t="str">
        <f aca="false">IF($A365="","",(T364+R364+G364+V364))</f>
        <v/>
      </c>
      <c r="X364" s="202" t="str">
        <f aca="false">IF($A365="","",(U364+S364+H364+V364))</f>
        <v/>
      </c>
      <c r="Y364" s="202"/>
      <c r="Z364" s="185" t="str">
        <f aca="false">IF($A365="","",VLOOKUP($A364,Table,MATCH(Z$4,Curves,0)))</f>
        <v/>
      </c>
      <c r="AA364" s="185" t="str">
        <f aca="false">IF($A365="","",VLOOKUP($A364,Table,MATCH(AA$4,Curves,0)))</f>
        <v/>
      </c>
      <c r="AB364" s="185" t="e">
        <f aca="false">SQRT((AA364^2*(A364-$D$3)+Z364^2*(DAY(EOMONTH(A364,0))/2))/AK364)</f>
        <v>#VALUE!</v>
      </c>
      <c r="AC364" s="185" t="str">
        <f aca="false">IF($A365="","",VLOOKUP($A364,Table,MATCH(AC$4,Curves,0)))</f>
        <v/>
      </c>
      <c r="AD364" s="185" t="str">
        <f aca="false">IF($A365="","",VLOOKUP($A364,Table,MATCH(AD$4,Curves,0)))</f>
        <v/>
      </c>
      <c r="AE364" s="185" t="e">
        <f aca="false">SQRT((AD364^2*(A364-$D$3)+AC364^2*(DAY(EOMONTH(A364,0))/2))/AK364)</f>
        <v>#VALUE!</v>
      </c>
      <c r="AF364" s="224" t="e">
        <f aca="false">((Summary!$N$14*(AA364*AD364)*(A364-$D$3))+(Summary!$M$14*Z364*AC364*(AJ364-EOMONTH(EDATE(A364,-1),0))))/(AK364*AB364*AE364)</f>
        <v>#VALUE!</v>
      </c>
      <c r="AG364" s="207" t="str">
        <f aca="false">IF($A365="","",Summary!$Q$14)</f>
        <v/>
      </c>
      <c r="AH364" s="207" t="str">
        <f aca="false">IF($A365="","",IF(Summary!$R$12="Y",(VLOOKUP($A364,Summary!$AD$6:$AF$9,3)+'Escalating commodity'!J377),'Escalating commodity'!J377))</f>
        <v/>
      </c>
      <c r="AI364" s="207" t="str">
        <f aca="false">IF($A365="","",AH364)</f>
        <v/>
      </c>
      <c r="AJ364" s="208" t="e">
        <f aca="false">A364+DAY(EOMONTH(A364,0))/2-1</f>
        <v>#VALUE!</v>
      </c>
      <c r="AK364" s="209" t="str">
        <f aca="false">IF($A365="","",$A364-$E$1)</f>
        <v/>
      </c>
      <c r="AL364" s="182" t="str">
        <f aca="false">IF($A365="","",SPRDOPT(P364,X364,AI364,0,AB364,AE364,AF364,AK364,$AJ$2,0))</f>
        <v/>
      </c>
      <c r="AM364" s="211" t="str">
        <f aca="false">IF($A365="","",MAX(0,O364-W364-AI364))</f>
        <v/>
      </c>
      <c r="AN364" s="211" t="str">
        <f aca="false">IF($A365="","",AL364-AM364)</f>
        <v/>
      </c>
      <c r="AO364" s="137" t="str">
        <f aca="false">IF(A365="","",A365-A364)</f>
        <v/>
      </c>
      <c r="AP364" s="212" t="str">
        <f aca="false">IF(A365="","",CHOOSE(F$3,A365+24,A364))</f>
        <v/>
      </c>
      <c r="AQ364" s="209" t="str">
        <f aca="false">IF(A365="","",AP364-$E$1)</f>
        <v/>
      </c>
      <c r="AR364" s="185" t="n">
        <f aca="false">'ANR OK vs ML7'!AR364</f>
        <v>0.1</v>
      </c>
      <c r="AS364" s="213" t="str">
        <f aca="false">IF(A365="","",1/(1+CHOOSE(F$3,(AR365+($I$3/10000))/2,(AR364+($I$3/10000))/2))^(2*AQ364/365.25))</f>
        <v/>
      </c>
      <c r="AT364" s="137" t="str">
        <f aca="false">IF(A365="","",IF(AND(mthbeg&lt;=A364,mthend&gt;=A364),1,0))</f>
        <v/>
      </c>
      <c r="AU364" s="137" t="str">
        <f aca="false">IF(A365="","",AO364*AT364)</f>
        <v/>
      </c>
      <c r="AW364" s="195" t="str">
        <f aca="false">IF($A365="","",AL364*$E364)</f>
        <v/>
      </c>
      <c r="AX364" s="195" t="str">
        <f aca="false">IF($A365="","",AM364*$E364)</f>
        <v/>
      </c>
      <c r="AY364" s="195" t="str">
        <f aca="false">IF($A365="","",AN364*$E364)</f>
        <v/>
      </c>
      <c r="BA364" s="195" t="str">
        <f aca="false">IF($A365="","",F364*Summary!$Q$14)</f>
        <v/>
      </c>
    </row>
    <row r="365" customFormat="false" ht="12" hidden="false" customHeight="true" outlineLevel="0" collapsed="false">
      <c r="A365" s="196" t="str">
        <f aca="false">IF(A364&lt;mthend,EDATE(A364,1),"")</f>
        <v/>
      </c>
      <c r="B365" s="197" t="str">
        <f aca="false">IF(A365&lt;mthend,B364,"")</f>
        <v/>
      </c>
      <c r="C365" s="215"/>
      <c r="D365" s="197" t="str">
        <f aca="false">IF(A366&lt;&gt;"",B365+C365,"")</f>
        <v/>
      </c>
      <c r="E365" s="199" t="str">
        <f aca="false">IF(A366="","",IF(AND(AT365=1,$H$3=1),D365*AO365,IF($H$3=2,D365,"N/A")))</f>
        <v/>
      </c>
      <c r="F365" s="199" t="str">
        <f aca="false">IF(A366="","",E365*AS365)</f>
        <v/>
      </c>
      <c r="G365" s="200" t="str">
        <f aca="false">IF($A366="","",VLOOKUP($A365,Table,MATCH(G$4,Curves,0)))</f>
        <v/>
      </c>
      <c r="H365" s="201" t="str">
        <f aca="false">IF(A366="","",G365)</f>
        <v/>
      </c>
      <c r="I365" s="202"/>
      <c r="J365" s="200" t="str">
        <f aca="false">IF($A366="","",VLOOKUP($A365,Table,MATCH(J$4,Curves,0)))</f>
        <v/>
      </c>
      <c r="K365" s="201" t="str">
        <f aca="false">IF(A366="","",J365)</f>
        <v/>
      </c>
      <c r="L365" s="185" t="n">
        <v>0</v>
      </c>
      <c r="M365" s="201" t="str">
        <f aca="false">IF(A366="","",L365)</f>
        <v/>
      </c>
      <c r="N365" s="203"/>
      <c r="O365" s="200" t="str">
        <f aca="false">IF(A366="","",L365+J365+G365)</f>
        <v/>
      </c>
      <c r="P365" s="200" t="str">
        <f aca="false">IF(A366="","",M365+K365+H365)</f>
        <v/>
      </c>
      <c r="Q365" s="204"/>
      <c r="R365" s="200" t="str">
        <f aca="false">IF($A366="","",VLOOKUP($A365,Table,MATCH(R$4,Curves,0)))</f>
        <v/>
      </c>
      <c r="S365" s="201" t="str">
        <f aca="false">IF(A366="","",R365)</f>
        <v/>
      </c>
      <c r="T365" s="200" t="str">
        <f aca="false">IF($A366="","",VLOOKUP($A365,Table,MATCH(T$4,Curves,0)))</f>
        <v/>
      </c>
      <c r="U365" s="201" t="str">
        <f aca="false">IF(A366="","",T365)</f>
        <v/>
      </c>
      <c r="V365" s="183" t="str">
        <f aca="false">IF($A366="","",IF(AND(MONTH(A365)&gt;3,MONTH(A365)&lt;11),(T365+R365+G365)*(((1/(1-Summary!$T$14))/(1-Summary!$W$14))-1),(T365+R365+G365)*((1/(1-Summary!$U$14))/(1-Summary!$X$14)-1)))</f>
        <v/>
      </c>
      <c r="W365" s="202" t="str">
        <f aca="false">IF($A366="","",(T365+R365+G365+V365))</f>
        <v/>
      </c>
      <c r="X365" s="202" t="str">
        <f aca="false">IF($A366="","",(U365+S365+H365+V365))</f>
        <v/>
      </c>
      <c r="Y365" s="202"/>
      <c r="Z365" s="185" t="str">
        <f aca="false">IF($A366="","",VLOOKUP($A365,Table,MATCH(Z$4,Curves,0)))</f>
        <v/>
      </c>
      <c r="AA365" s="185" t="str">
        <f aca="false">IF($A366="","",VLOOKUP($A365,Table,MATCH(AA$4,Curves,0)))</f>
        <v/>
      </c>
      <c r="AB365" s="185" t="e">
        <f aca="false">SQRT((AA365^2*(A365-$D$3)+Z365^2*(DAY(EOMONTH(A365,0))/2))/AK365)</f>
        <v>#VALUE!</v>
      </c>
      <c r="AC365" s="185" t="str">
        <f aca="false">IF($A366="","",VLOOKUP($A365,Table,MATCH(AC$4,Curves,0)))</f>
        <v/>
      </c>
      <c r="AD365" s="185" t="str">
        <f aca="false">IF($A366="","",VLOOKUP($A365,Table,MATCH(AD$4,Curves,0)))</f>
        <v/>
      </c>
      <c r="AE365" s="185" t="e">
        <f aca="false">SQRT((AD365^2*(A365-$D$3)+AC365^2*(DAY(EOMONTH(A365,0))/2))/AK365)</f>
        <v>#VALUE!</v>
      </c>
      <c r="AF365" s="224" t="e">
        <f aca="false">((Summary!$N$14*(AA365*AD365)*(A365-$D$3))+(Summary!$M$14*Z365*AC365*(AJ365-EOMONTH(EDATE(A365,-1),0))))/(AK365*AB365*AE365)</f>
        <v>#VALUE!</v>
      </c>
      <c r="AG365" s="207" t="str">
        <f aca="false">IF($A366="","",Summary!$Q$14)</f>
        <v/>
      </c>
      <c r="AH365" s="207" t="str">
        <f aca="false">IF($A366="","",IF(Summary!$R$12="Y",(VLOOKUP($A365,Summary!$AD$6:$AF$9,3)+'Escalating commodity'!J378),'Escalating commodity'!J378))</f>
        <v/>
      </c>
      <c r="AI365" s="207" t="str">
        <f aca="false">IF($A366="","",AH365)</f>
        <v/>
      </c>
      <c r="AJ365" s="208" t="e">
        <f aca="false">A365+DAY(EOMONTH(A365,0))/2-1</f>
        <v>#VALUE!</v>
      </c>
      <c r="AK365" s="209" t="str">
        <f aca="false">IF($A366="","",$A365-$E$1)</f>
        <v/>
      </c>
      <c r="AL365" s="182" t="str">
        <f aca="false">IF($A366="","",SPRDOPT(P365,X365,AI365,0,AB365,AE365,AF365,AK365,$AJ$2,0))</f>
        <v/>
      </c>
      <c r="AM365" s="211" t="str">
        <f aca="false">IF($A366="","",MAX(0,O365-W365-AI365))</f>
        <v/>
      </c>
      <c r="AN365" s="211" t="str">
        <f aca="false">IF($A366="","",AL365-AM365)</f>
        <v/>
      </c>
      <c r="AO365" s="137" t="str">
        <f aca="false">IF(A366="","",A366-A365)</f>
        <v/>
      </c>
      <c r="AP365" s="212" t="str">
        <f aca="false">IF(A366="","",CHOOSE(F$3,A366+24,A365))</f>
        <v/>
      </c>
      <c r="AQ365" s="209" t="str">
        <f aca="false">IF(A366="","",AP365-$E$1)</f>
        <v/>
      </c>
      <c r="AR365" s="185" t="n">
        <f aca="false">'ANR OK vs ML7'!AR365</f>
        <v>0.1</v>
      </c>
      <c r="AS365" s="213" t="str">
        <f aca="false">IF(A366="","",1/(1+CHOOSE(F$3,(AR366+($I$3/10000))/2,(AR365+($I$3/10000))/2))^(2*AQ365/365.25))</f>
        <v/>
      </c>
      <c r="AT365" s="137" t="str">
        <f aca="false">IF(A366="","",IF(AND(mthbeg&lt;=A365,mthend&gt;=A365),1,0))</f>
        <v/>
      </c>
      <c r="AU365" s="137" t="str">
        <f aca="false">IF(A366="","",AO365*AT365)</f>
        <v/>
      </c>
      <c r="AW365" s="195" t="str">
        <f aca="false">IF($A366="","",AL365*$E365)</f>
        <v/>
      </c>
      <c r="AX365" s="195" t="str">
        <f aca="false">IF($A366="","",AM365*$E365)</f>
        <v/>
      </c>
      <c r="AY365" s="195" t="str">
        <f aca="false">IF($A366="","",AN365*$E365)</f>
        <v/>
      </c>
      <c r="BA365" s="195" t="str">
        <f aca="false">IF($A366="","",F365*Summary!$Q$14)</f>
        <v/>
      </c>
    </row>
    <row r="366" customFormat="false" ht="12" hidden="false" customHeight="true" outlineLevel="0" collapsed="false">
      <c r="A366" s="196" t="str">
        <f aca="false">IF(A365&lt;mthend,EDATE(A365,1),"")</f>
        <v/>
      </c>
      <c r="B366" s="197" t="str">
        <f aca="false">IF(A366&lt;mthend,B365,"")</f>
        <v/>
      </c>
      <c r="C366" s="215"/>
      <c r="D366" s="197" t="str">
        <f aca="false">IF(A367&lt;&gt;"",B366+C366,"")</f>
        <v/>
      </c>
      <c r="E366" s="199" t="str">
        <f aca="false">IF(A367="","",IF(AND(AT366=1,$H$3=1),D366*AO366,IF($H$3=2,D366,"N/A")))</f>
        <v/>
      </c>
      <c r="F366" s="199" t="str">
        <f aca="false">IF(A367="","",E366*AS366)</f>
        <v/>
      </c>
      <c r="G366" s="200" t="str">
        <f aca="false">IF($A367="","",VLOOKUP($A366,Table,MATCH(G$4,Curves,0)))</f>
        <v/>
      </c>
      <c r="H366" s="201" t="str">
        <f aca="false">IF(A367="","",G366)</f>
        <v/>
      </c>
      <c r="I366" s="202"/>
      <c r="J366" s="200" t="str">
        <f aca="false">IF($A367="","",VLOOKUP($A366,Table,MATCH(J$4,Curves,0)))</f>
        <v/>
      </c>
      <c r="K366" s="201" t="str">
        <f aca="false">IF(A367="","",J366)</f>
        <v/>
      </c>
      <c r="L366" s="185" t="n">
        <v>0</v>
      </c>
      <c r="M366" s="201" t="str">
        <f aca="false">IF(A367="","",L366)</f>
        <v/>
      </c>
      <c r="N366" s="203"/>
      <c r="O366" s="200" t="str">
        <f aca="false">IF(A367="","",L366+J366+G366)</f>
        <v/>
      </c>
      <c r="P366" s="200" t="str">
        <f aca="false">IF(A367="","",M366+K366+H366)</f>
        <v/>
      </c>
      <c r="Q366" s="204"/>
      <c r="R366" s="200" t="str">
        <f aca="false">IF($A367="","",VLOOKUP($A366,Table,MATCH(R$4,Curves,0)))</f>
        <v/>
      </c>
      <c r="S366" s="201" t="str">
        <f aca="false">IF(A367="","",R366)</f>
        <v/>
      </c>
      <c r="T366" s="200" t="str">
        <f aca="false">IF($A367="","",VLOOKUP($A366,Table,MATCH(T$4,Curves,0)))</f>
        <v/>
      </c>
      <c r="U366" s="201" t="str">
        <f aca="false">IF(A367="","",T366)</f>
        <v/>
      </c>
      <c r="V366" s="183" t="str">
        <f aca="false">IF($A367="","",IF(AND(MONTH(A366)&gt;3,MONTH(A366)&lt;11),(T366+R366+G366)*(((1/(1-Summary!$T$14))/(1-Summary!$W$14))-1),(T366+R366+G366)*((1/(1-Summary!$U$14))/(1-Summary!$X$14)-1)))</f>
        <v/>
      </c>
      <c r="W366" s="202" t="str">
        <f aca="false">IF($A367="","",(T366+R366+G366+V366))</f>
        <v/>
      </c>
      <c r="X366" s="202" t="str">
        <f aca="false">IF($A367="","",(U366+S366+H366+V366))</f>
        <v/>
      </c>
      <c r="Y366" s="202"/>
      <c r="Z366" s="185" t="str">
        <f aca="false">IF($A367="","",VLOOKUP($A366,Table,MATCH(Z$4,Curves,0)))</f>
        <v/>
      </c>
      <c r="AA366" s="185" t="str">
        <f aca="false">IF($A367="","",VLOOKUP($A366,Table,MATCH(AA$4,Curves,0)))</f>
        <v/>
      </c>
      <c r="AB366" s="185" t="e">
        <f aca="false">SQRT((AA366^2*(A366-$D$3)+Z366^2*(DAY(EOMONTH(A366,0))/2))/AK366)</f>
        <v>#VALUE!</v>
      </c>
      <c r="AC366" s="185" t="str">
        <f aca="false">IF($A367="","",VLOOKUP($A366,Table,MATCH(AC$4,Curves,0)))</f>
        <v/>
      </c>
      <c r="AD366" s="185" t="str">
        <f aca="false">IF($A367="","",VLOOKUP($A366,Table,MATCH(AD$4,Curves,0)))</f>
        <v/>
      </c>
      <c r="AE366" s="185" t="e">
        <f aca="false">SQRT((AD366^2*(A366-$D$3)+AC366^2*(DAY(EOMONTH(A366,0))/2))/AK366)</f>
        <v>#VALUE!</v>
      </c>
      <c r="AF366" s="224" t="e">
        <f aca="false">((Summary!$N$14*(AA366*AD366)*(A366-$D$3))+(Summary!$M$14*Z366*AC366*(AJ366-EOMONTH(EDATE(A366,-1),0))))/(AK366*AB366*AE366)</f>
        <v>#VALUE!</v>
      </c>
      <c r="AG366" s="207" t="str">
        <f aca="false">IF($A367="","",Summary!$Q$14)</f>
        <v/>
      </c>
      <c r="AH366" s="207" t="str">
        <f aca="false">IF($A367="","",IF(Summary!$R$12="Y",(VLOOKUP($A366,Summary!$AD$6:$AF$9,3)+'Escalating commodity'!J379),'Escalating commodity'!J379))</f>
        <v/>
      </c>
      <c r="AI366" s="207" t="str">
        <f aca="false">IF($A367="","",AH366)</f>
        <v/>
      </c>
      <c r="AJ366" s="208" t="e">
        <f aca="false">A366+DAY(EOMONTH(A366,0))/2-1</f>
        <v>#VALUE!</v>
      </c>
      <c r="AK366" s="209" t="str">
        <f aca="false">IF($A367="","",$A366-$E$1)</f>
        <v/>
      </c>
      <c r="AL366" s="182" t="str">
        <f aca="false">IF($A367="","",SPRDOPT(P366,X366,AI366,0,AB366,AE366,AF366,AK366,$AJ$2,0))</f>
        <v/>
      </c>
      <c r="AM366" s="211" t="str">
        <f aca="false">IF($A367="","",MAX(0,O366-W366-AI366))</f>
        <v/>
      </c>
      <c r="AN366" s="211" t="str">
        <f aca="false">IF($A367="","",AL366-AM366)</f>
        <v/>
      </c>
      <c r="AO366" s="137" t="str">
        <f aca="false">IF(A367="","",A367-A366)</f>
        <v/>
      </c>
      <c r="AP366" s="212" t="str">
        <f aca="false">IF(A367="","",CHOOSE(F$3,A367+24,A366))</f>
        <v/>
      </c>
      <c r="AQ366" s="209" t="str">
        <f aca="false">IF(A367="","",AP366-$E$1)</f>
        <v/>
      </c>
      <c r="AR366" s="185" t="n">
        <f aca="false">'ANR OK vs ML7'!AR366</f>
        <v>0.1</v>
      </c>
      <c r="AS366" s="213" t="str">
        <f aca="false">IF(A367="","",1/(1+CHOOSE(F$3,(AR367+($I$3/10000))/2,(AR366+($I$3/10000))/2))^(2*AQ366/365.25))</f>
        <v/>
      </c>
      <c r="AT366" s="137" t="str">
        <f aca="false">IF(A367="","",IF(AND(mthbeg&lt;=A366,mthend&gt;=A366),1,0))</f>
        <v/>
      </c>
      <c r="AU366" s="137" t="str">
        <f aca="false">IF(A367="","",AO366*AT366)</f>
        <v/>
      </c>
      <c r="AW366" s="195" t="str">
        <f aca="false">IF($A367="","",AL366*$E366)</f>
        <v/>
      </c>
      <c r="AX366" s="195" t="str">
        <f aca="false">IF($A367="","",AM366*$E366)</f>
        <v/>
      </c>
      <c r="AY366" s="195" t="str">
        <f aca="false">IF($A367="","",AN366*$E366)</f>
        <v/>
      </c>
      <c r="BA366" s="195" t="str">
        <f aca="false">IF($A367="","",F366*Summary!$Q$14)</f>
        <v/>
      </c>
    </row>
    <row r="367" customFormat="false" ht="12" hidden="false" customHeight="true" outlineLevel="0" collapsed="false">
      <c r="A367" s="196" t="str">
        <f aca="false">IF(A366&lt;mthend,EDATE(A366,1),"")</f>
        <v/>
      </c>
      <c r="B367" s="197" t="str">
        <f aca="false">IF(A367&lt;mthend,B366,"")</f>
        <v/>
      </c>
      <c r="C367" s="215"/>
      <c r="D367" s="197" t="str">
        <f aca="false">IF(A368&lt;&gt;"",B367+C367,"")</f>
        <v/>
      </c>
      <c r="E367" s="199" t="str">
        <f aca="false">IF(A368="","",IF(AND(AT367=1,$H$3=1),D367*AO367,IF($H$3=2,D367,"N/A")))</f>
        <v/>
      </c>
      <c r="F367" s="199" t="str">
        <f aca="false">IF(A368="","",E367*AS367)</f>
        <v/>
      </c>
      <c r="G367" s="200" t="str">
        <f aca="false">IF($A368="","",VLOOKUP($A367,Table,MATCH(G$4,Curves,0)))</f>
        <v/>
      </c>
      <c r="H367" s="201" t="str">
        <f aca="false">IF(A368="","",G367)</f>
        <v/>
      </c>
      <c r="I367" s="202"/>
      <c r="J367" s="200" t="str">
        <f aca="false">IF($A368="","",VLOOKUP($A367,Table,MATCH(J$4,Curves,0)))</f>
        <v/>
      </c>
      <c r="K367" s="201" t="str">
        <f aca="false">IF(A368="","",J367)</f>
        <v/>
      </c>
      <c r="L367" s="185" t="n">
        <v>0</v>
      </c>
      <c r="M367" s="201" t="str">
        <f aca="false">IF(A368="","",L367)</f>
        <v/>
      </c>
      <c r="N367" s="203"/>
      <c r="O367" s="200" t="str">
        <f aca="false">IF(A368="","",L367+J367+G367)</f>
        <v/>
      </c>
      <c r="P367" s="200" t="str">
        <f aca="false">IF(A368="","",M367+K367+H367)</f>
        <v/>
      </c>
      <c r="Q367" s="204"/>
      <c r="R367" s="200" t="str">
        <f aca="false">IF($A368="","",VLOOKUP($A367,Table,MATCH(R$4,Curves,0)))</f>
        <v/>
      </c>
      <c r="S367" s="201" t="str">
        <f aca="false">IF(A368="","",R367)</f>
        <v/>
      </c>
      <c r="T367" s="200" t="str">
        <f aca="false">IF($A368="","",VLOOKUP($A367,Table,MATCH(T$4,Curves,0)))</f>
        <v/>
      </c>
      <c r="U367" s="201" t="str">
        <f aca="false">IF(A368="","",T367)</f>
        <v/>
      </c>
      <c r="V367" s="183" t="str">
        <f aca="false">IF($A368="","",IF(AND(MONTH(A367)&gt;3,MONTH(A367)&lt;11),(T367+R367+G367)*(((1/(1-Summary!$T$14))/(1-Summary!$W$14))-1),(T367+R367+G367)*((1/(1-Summary!$U$14))/(1-Summary!$X$14)-1)))</f>
        <v/>
      </c>
      <c r="W367" s="202" t="str">
        <f aca="false">IF($A368="","",(T367+R367+G367+V367))</f>
        <v/>
      </c>
      <c r="X367" s="202" t="str">
        <f aca="false">IF($A368="","",(U367+S367+H367+V367))</f>
        <v/>
      </c>
      <c r="Y367" s="202"/>
      <c r="Z367" s="185" t="str">
        <f aca="false">IF($A368="","",VLOOKUP($A367,Table,MATCH(Z$4,Curves,0)))</f>
        <v/>
      </c>
      <c r="AA367" s="185" t="str">
        <f aca="false">IF($A368="","",VLOOKUP($A367,Table,MATCH(AA$4,Curves,0)))</f>
        <v/>
      </c>
      <c r="AB367" s="185" t="e">
        <f aca="false">SQRT((AA367^2*(A367-$D$3)+Z367^2*(DAY(EOMONTH(A367,0))/2))/AK367)</f>
        <v>#VALUE!</v>
      </c>
      <c r="AC367" s="185" t="str">
        <f aca="false">IF($A368="","",VLOOKUP($A367,Table,MATCH(AC$4,Curves,0)))</f>
        <v/>
      </c>
      <c r="AD367" s="185" t="str">
        <f aca="false">IF($A368="","",VLOOKUP($A367,Table,MATCH(AD$4,Curves,0)))</f>
        <v/>
      </c>
      <c r="AE367" s="185" t="e">
        <f aca="false">SQRT((AD367^2*(A367-$D$3)+AC367^2*(DAY(EOMONTH(A367,0))/2))/AK367)</f>
        <v>#VALUE!</v>
      </c>
      <c r="AF367" s="224" t="e">
        <f aca="false">((Summary!$N$14*(AA367*AD367)*(A367-$D$3))+(Summary!$M$14*Z367*AC367*(AJ367-EOMONTH(EDATE(A367,-1),0))))/(AK367*AB367*AE367)</f>
        <v>#VALUE!</v>
      </c>
      <c r="AG367" s="207" t="str">
        <f aca="false">IF($A368="","",Summary!$Q$14)</f>
        <v/>
      </c>
      <c r="AH367" s="207" t="str">
        <f aca="false">IF($A368="","",IF(Summary!$R$12="Y",(VLOOKUP($A367,Summary!$AD$6:$AF$9,3)+'Escalating commodity'!J380),'Escalating commodity'!J380))</f>
        <v/>
      </c>
      <c r="AI367" s="207" t="str">
        <f aca="false">IF($A368="","",AH367)</f>
        <v/>
      </c>
      <c r="AJ367" s="208" t="e">
        <f aca="false">A367+DAY(EOMONTH(A367,0))/2-1</f>
        <v>#VALUE!</v>
      </c>
      <c r="AK367" s="209" t="str">
        <f aca="false">IF($A368="","",$A367-$E$1)</f>
        <v/>
      </c>
      <c r="AL367" s="182" t="str">
        <f aca="false">IF($A368="","",SPRDOPT(P367,X367,AI367,0,AB367,AE367,AF367,AK367,$AJ$2,0))</f>
        <v/>
      </c>
      <c r="AM367" s="211" t="str">
        <f aca="false">IF($A368="","",MAX(0,O367-W367-AI367))</f>
        <v/>
      </c>
      <c r="AN367" s="211" t="str">
        <f aca="false">IF($A368="","",AL367-AM367)</f>
        <v/>
      </c>
      <c r="AO367" s="137" t="str">
        <f aca="false">IF(A368="","",A368-A367)</f>
        <v/>
      </c>
      <c r="AP367" s="212" t="str">
        <f aca="false">IF(A368="","",CHOOSE(F$3,A368+24,A367))</f>
        <v/>
      </c>
      <c r="AQ367" s="209" t="str">
        <f aca="false">IF(A368="","",AP367-$E$1)</f>
        <v/>
      </c>
      <c r="AR367" s="185" t="n">
        <f aca="false">'ANR OK vs ML7'!AR367</f>
        <v>0.1</v>
      </c>
      <c r="AS367" s="213" t="str">
        <f aca="false">IF(A368="","",1/(1+CHOOSE(F$3,(AR368+($I$3/10000))/2,(AR367+($I$3/10000))/2))^(2*AQ367/365.25))</f>
        <v/>
      </c>
      <c r="AT367" s="137" t="str">
        <f aca="false">IF(A368="","",IF(AND(mthbeg&lt;=A367,mthend&gt;=A367),1,0))</f>
        <v/>
      </c>
      <c r="AU367" s="137" t="str">
        <f aca="false">IF(A368="","",AO367*AT367)</f>
        <v/>
      </c>
      <c r="AW367" s="195" t="str">
        <f aca="false">IF($A368="","",AL367*$E367)</f>
        <v/>
      </c>
      <c r="AX367" s="195" t="str">
        <f aca="false">IF($A368="","",AM367*$E367)</f>
        <v/>
      </c>
      <c r="AY367" s="195" t="str">
        <f aca="false">IF($A368="","",AN367*$E367)</f>
        <v/>
      </c>
      <c r="BA367" s="195" t="str">
        <f aca="false">IF($A368="","",F367*Summary!$Q$14)</f>
        <v/>
      </c>
    </row>
    <row r="368" customFormat="false" ht="12" hidden="false" customHeight="true" outlineLevel="0" collapsed="false">
      <c r="A368" s="196" t="str">
        <f aca="false">IF(A367&lt;mthend,EDATE(A367,1),"")</f>
        <v/>
      </c>
      <c r="B368" s="197" t="str">
        <f aca="false">IF(A368&lt;mthend,B367,"")</f>
        <v/>
      </c>
      <c r="C368" s="215"/>
      <c r="D368" s="197" t="str">
        <f aca="false">IF(A369&lt;&gt;"",B368+C368,"")</f>
        <v/>
      </c>
      <c r="E368" s="199" t="str">
        <f aca="false">IF(A369="","",IF(AND(AT368=1,$H$3=1),D368*AO368,IF($H$3=2,D368,"N/A")))</f>
        <v/>
      </c>
      <c r="F368" s="199" t="str">
        <f aca="false">IF(A369="","",E368*AS368)</f>
        <v/>
      </c>
      <c r="G368" s="200" t="str">
        <f aca="false">IF($A369="","",VLOOKUP($A368,Table,MATCH(G$4,Curves,0)))</f>
        <v/>
      </c>
      <c r="H368" s="201" t="str">
        <f aca="false">IF(A369="","",G368)</f>
        <v/>
      </c>
      <c r="I368" s="202"/>
      <c r="J368" s="200" t="str">
        <f aca="false">IF($A369="","",VLOOKUP($A368,Table,MATCH(J$4,Curves,0)))</f>
        <v/>
      </c>
      <c r="K368" s="201" t="str">
        <f aca="false">IF(A369="","",J368)</f>
        <v/>
      </c>
      <c r="L368" s="185" t="n">
        <v>0</v>
      </c>
      <c r="M368" s="201" t="str">
        <f aca="false">IF(A369="","",L368)</f>
        <v/>
      </c>
      <c r="N368" s="203"/>
      <c r="O368" s="200" t="str">
        <f aca="false">IF(A369="","",L368+J368+G368)</f>
        <v/>
      </c>
      <c r="P368" s="200" t="str">
        <f aca="false">IF(A369="","",M368+K368+H368)</f>
        <v/>
      </c>
      <c r="Q368" s="204"/>
      <c r="R368" s="200" t="str">
        <f aca="false">IF($A369="","",VLOOKUP($A368,Table,MATCH(R$4,Curves,0)))</f>
        <v/>
      </c>
      <c r="S368" s="201" t="str">
        <f aca="false">IF(A369="","",R368)</f>
        <v/>
      </c>
      <c r="T368" s="200" t="str">
        <f aca="false">IF($A369="","",VLOOKUP($A368,Table,MATCH(T$4,Curves,0)))</f>
        <v/>
      </c>
      <c r="U368" s="201" t="str">
        <f aca="false">IF(A369="","",T368)</f>
        <v/>
      </c>
      <c r="V368" s="183" t="str">
        <f aca="false">IF($A369="","",IF(AND(MONTH(A368)&gt;3,MONTH(A368)&lt;11),(T368+R368+G368)*(((1/(1-Summary!$T$14))/(1-Summary!$W$14))-1),(T368+R368+G368)*((1/(1-Summary!$U$14))/(1-Summary!$X$14)-1)))</f>
        <v/>
      </c>
      <c r="W368" s="202" t="str">
        <f aca="false">IF($A369="","",(T368+R368+G368+V368))</f>
        <v/>
      </c>
      <c r="X368" s="202" t="str">
        <f aca="false">IF($A369="","",(U368+S368+H368+V368))</f>
        <v/>
      </c>
      <c r="Y368" s="202"/>
      <c r="Z368" s="185" t="str">
        <f aca="false">IF($A369="","",VLOOKUP($A368,Table,MATCH(Z$4,Curves,0)))</f>
        <v/>
      </c>
      <c r="AA368" s="185" t="str">
        <f aca="false">IF($A369="","",VLOOKUP($A368,Table,MATCH(AA$4,Curves,0)))</f>
        <v/>
      </c>
      <c r="AB368" s="185" t="e">
        <f aca="false">SQRT((AA368^2*(A368-$D$3)+Z368^2*(DAY(EOMONTH(A368,0))/2))/AK368)</f>
        <v>#VALUE!</v>
      </c>
      <c r="AC368" s="185" t="str">
        <f aca="false">IF($A369="","",VLOOKUP($A368,Table,MATCH(AC$4,Curves,0)))</f>
        <v/>
      </c>
      <c r="AD368" s="185" t="str">
        <f aca="false">IF($A369="","",VLOOKUP($A368,Table,MATCH(AD$4,Curves,0)))</f>
        <v/>
      </c>
      <c r="AE368" s="185" t="e">
        <f aca="false">SQRT((AD368^2*(A368-$D$3)+AC368^2*(DAY(EOMONTH(A368,0))/2))/AK368)</f>
        <v>#VALUE!</v>
      </c>
      <c r="AF368" s="224" t="e">
        <f aca="false">((Summary!$N$14*(AA368*AD368)*(A368-$D$3))+(Summary!$M$14*Z368*AC368*(AJ368-EOMONTH(EDATE(A368,-1),0))))/(AK368*AB368*AE368)</f>
        <v>#VALUE!</v>
      </c>
      <c r="AG368" s="207" t="str">
        <f aca="false">IF($A369="","",Summary!$Q$14)</f>
        <v/>
      </c>
      <c r="AH368" s="207" t="str">
        <f aca="false">IF($A369="","",IF(Summary!$R$12="Y",(VLOOKUP($A368,Summary!$AD$6:$AF$9,3)+'Escalating commodity'!J381),'Escalating commodity'!J381))</f>
        <v/>
      </c>
      <c r="AI368" s="207" t="str">
        <f aca="false">IF($A369="","",AH368)</f>
        <v/>
      </c>
      <c r="AJ368" s="208" t="e">
        <f aca="false">A368+DAY(EOMONTH(A368,0))/2-1</f>
        <v>#VALUE!</v>
      </c>
      <c r="AK368" s="209" t="str">
        <f aca="false">IF($A369="","",$A368-$E$1)</f>
        <v/>
      </c>
      <c r="AL368" s="182" t="str">
        <f aca="false">IF($A369="","",SPRDOPT(P368,X368,AI368,0,AB368,AE368,AF368,AK368,$AJ$2,0))</f>
        <v/>
      </c>
      <c r="AM368" s="211" t="str">
        <f aca="false">IF($A369="","",MAX(0,O368-W368-AI368))</f>
        <v/>
      </c>
      <c r="AN368" s="211" t="str">
        <f aca="false">IF($A369="","",AL368-AM368)</f>
        <v/>
      </c>
      <c r="AO368" s="137" t="str">
        <f aca="false">IF(A369="","",A369-A368)</f>
        <v/>
      </c>
      <c r="AP368" s="212" t="str">
        <f aca="false">IF(A369="","",CHOOSE(F$3,A369+24,A368))</f>
        <v/>
      </c>
      <c r="AQ368" s="209" t="str">
        <f aca="false">IF(A369="","",AP368-$E$1)</f>
        <v/>
      </c>
      <c r="AR368" s="185" t="n">
        <f aca="false">'ANR OK vs ML7'!AR368</f>
        <v>0.1</v>
      </c>
      <c r="AS368" s="213" t="str">
        <f aca="false">IF(A369="","",1/(1+CHOOSE(F$3,(AR369+($I$3/10000))/2,(AR368+($I$3/10000))/2))^(2*AQ368/365.25))</f>
        <v/>
      </c>
      <c r="AT368" s="137" t="str">
        <f aca="false">IF(A369="","",IF(AND(mthbeg&lt;=A368,mthend&gt;=A368),1,0))</f>
        <v/>
      </c>
      <c r="AU368" s="137" t="str">
        <f aca="false">IF(A369="","",AO368*AT368)</f>
        <v/>
      </c>
      <c r="AW368" s="195" t="str">
        <f aca="false">IF($A369="","",AL368*$E368)</f>
        <v/>
      </c>
      <c r="AX368" s="195" t="str">
        <f aca="false">IF($A369="","",AM368*$E368)</f>
        <v/>
      </c>
      <c r="AY368" s="195" t="str">
        <f aca="false">IF($A369="","",AN368*$E368)</f>
        <v/>
      </c>
      <c r="BA368" s="195" t="str">
        <f aca="false">IF($A369="","",F368*Summary!$Q$14)</f>
        <v/>
      </c>
    </row>
    <row r="369" customFormat="false" ht="12" hidden="false" customHeight="true" outlineLevel="0" collapsed="false">
      <c r="A369" s="196" t="str">
        <f aca="false">IF(A368&lt;mthend,EDATE(A368,1),"")</f>
        <v/>
      </c>
      <c r="B369" s="197" t="str">
        <f aca="false">IF(A369&lt;mthend,B368,"")</f>
        <v/>
      </c>
      <c r="C369" s="215"/>
      <c r="D369" s="197" t="str">
        <f aca="false">IF(A370&lt;&gt;"",B369+C369,"")</f>
        <v/>
      </c>
      <c r="E369" s="199" t="str">
        <f aca="false">IF(A370="","",IF(AND(AT369=1,$H$3=1),D369*AO369,IF($H$3=2,D369,"N/A")))</f>
        <v/>
      </c>
      <c r="F369" s="199" t="str">
        <f aca="false">IF(A370="","",E369*AS369)</f>
        <v/>
      </c>
      <c r="G369" s="200" t="str">
        <f aca="false">IF($A370="","",VLOOKUP($A369,Table,MATCH(G$4,Curves,0)))</f>
        <v/>
      </c>
      <c r="H369" s="201" t="str">
        <f aca="false">IF(A370="","",G369)</f>
        <v/>
      </c>
      <c r="I369" s="202"/>
      <c r="J369" s="200" t="str">
        <f aca="false">IF($A370="","",VLOOKUP($A369,Table,MATCH(J$4,Curves,0)))</f>
        <v/>
      </c>
      <c r="K369" s="201" t="str">
        <f aca="false">IF(A370="","",J369)</f>
        <v/>
      </c>
      <c r="L369" s="185" t="n">
        <v>0</v>
      </c>
      <c r="M369" s="201" t="str">
        <f aca="false">IF(A370="","",L369)</f>
        <v/>
      </c>
      <c r="N369" s="203"/>
      <c r="O369" s="200" t="str">
        <f aca="false">IF(A370="","",L369+J369+G369)</f>
        <v/>
      </c>
      <c r="P369" s="200" t="str">
        <f aca="false">IF(A370="","",M369+K369+H369)</f>
        <v/>
      </c>
      <c r="Q369" s="204"/>
      <c r="R369" s="200" t="str">
        <f aca="false">IF($A370="","",VLOOKUP($A369,Table,MATCH(R$4,Curves,0)))</f>
        <v/>
      </c>
      <c r="S369" s="201" t="str">
        <f aca="false">IF(A370="","",R369)</f>
        <v/>
      </c>
      <c r="T369" s="200" t="str">
        <f aca="false">IF($A370="","",VLOOKUP($A369,Table,MATCH(T$4,Curves,0)))</f>
        <v/>
      </c>
      <c r="U369" s="201" t="str">
        <f aca="false">IF(A370="","",T369)</f>
        <v/>
      </c>
      <c r="V369" s="183" t="str">
        <f aca="false">IF($A370="","",IF(AND(MONTH(A369)&gt;3,MONTH(A369)&lt;11),(T369+R369+G369)*(((1/(1-Summary!$T$14))/(1-Summary!$W$14))-1),(T369+R369+G369)*((1/(1-Summary!$U$14))/(1-Summary!$X$14)-1)))</f>
        <v/>
      </c>
      <c r="W369" s="202" t="str">
        <f aca="false">IF($A370="","",(T369+R369+G369+V369))</f>
        <v/>
      </c>
      <c r="X369" s="202" t="str">
        <f aca="false">IF($A370="","",(U369+S369+H369+V369))</f>
        <v/>
      </c>
      <c r="Y369" s="202"/>
      <c r="Z369" s="185" t="str">
        <f aca="false">IF($A370="","",VLOOKUP($A369,Table,MATCH(Z$4,Curves,0)))</f>
        <v/>
      </c>
      <c r="AA369" s="185" t="str">
        <f aca="false">IF($A370="","",VLOOKUP($A369,Table,MATCH(AA$4,Curves,0)))</f>
        <v/>
      </c>
      <c r="AB369" s="185" t="e">
        <f aca="false">SQRT((AA369^2*(A369-$D$3)+Z369^2*(DAY(EOMONTH(A369,0))/2))/AK369)</f>
        <v>#VALUE!</v>
      </c>
      <c r="AC369" s="185" t="str">
        <f aca="false">IF($A370="","",VLOOKUP($A369,Table,MATCH(AC$4,Curves,0)))</f>
        <v/>
      </c>
      <c r="AD369" s="185" t="str">
        <f aca="false">IF($A370="","",VLOOKUP($A369,Table,MATCH(AD$4,Curves,0)))</f>
        <v/>
      </c>
      <c r="AE369" s="185" t="e">
        <f aca="false">SQRT((AD369^2*(A369-$D$3)+AC369^2*(DAY(EOMONTH(A369,0))/2))/AK369)</f>
        <v>#VALUE!</v>
      </c>
      <c r="AF369" s="224" t="e">
        <f aca="false">((Summary!$N$14*(AA369*AD369)*(A369-$D$3))+(Summary!$M$14*Z369*AC369*(AJ369-EOMONTH(EDATE(A369,-1),0))))/(AK369*AB369*AE369)</f>
        <v>#VALUE!</v>
      </c>
      <c r="AG369" s="207" t="str">
        <f aca="false">IF($A370="","",Summary!$Q$14)</f>
        <v/>
      </c>
      <c r="AH369" s="207" t="str">
        <f aca="false">IF($A370="","",IF(Summary!$R$12="Y",(VLOOKUP($A369,Summary!$AD$6:$AF$9,3)+'Escalating commodity'!J382),'Escalating commodity'!J382))</f>
        <v/>
      </c>
      <c r="AI369" s="207" t="str">
        <f aca="false">IF($A370="","",AH369)</f>
        <v/>
      </c>
      <c r="AJ369" s="208" t="e">
        <f aca="false">A369+DAY(EOMONTH(A369,0))/2-1</f>
        <v>#VALUE!</v>
      </c>
      <c r="AK369" s="209" t="str">
        <f aca="false">IF($A370="","",$A369-$E$1)</f>
        <v/>
      </c>
      <c r="AL369" s="182" t="str">
        <f aca="false">IF($A370="","",SPRDOPT(P369,X369,AI369,0,AB369,AE369,AF369,AK369,$AJ$2,0))</f>
        <v/>
      </c>
      <c r="AM369" s="211" t="str">
        <f aca="false">IF($A370="","",MAX(0,O369-W369-AI369))</f>
        <v/>
      </c>
      <c r="AN369" s="211" t="str">
        <f aca="false">IF($A370="","",AL369-AM369)</f>
        <v/>
      </c>
      <c r="AO369" s="137" t="str">
        <f aca="false">IF(A370="","",A370-A369)</f>
        <v/>
      </c>
      <c r="AP369" s="212" t="str">
        <f aca="false">IF(A370="","",CHOOSE(F$3,A370+24,A369))</f>
        <v/>
      </c>
      <c r="AQ369" s="209" t="str">
        <f aca="false">IF(A370="","",AP369-$E$1)</f>
        <v/>
      </c>
      <c r="AR369" s="185" t="n">
        <f aca="false">'ANR OK vs ML7'!AR369</f>
        <v>0.1</v>
      </c>
      <c r="AS369" s="213" t="str">
        <f aca="false">IF(A370="","",1/(1+CHOOSE(F$3,(AR370+($I$3/10000))/2,(AR369+($I$3/10000))/2))^(2*AQ369/365.25))</f>
        <v/>
      </c>
      <c r="AT369" s="137" t="str">
        <f aca="false">IF(A370="","",IF(AND(mthbeg&lt;=A369,mthend&gt;=A369),1,0))</f>
        <v/>
      </c>
      <c r="AU369" s="137" t="str">
        <f aca="false">IF(A370="","",AO369*AT369)</f>
        <v/>
      </c>
      <c r="AW369" s="195" t="str">
        <f aca="false">IF($A370="","",AL369*$E369)</f>
        <v/>
      </c>
      <c r="AX369" s="195" t="str">
        <f aca="false">IF($A370="","",AM369*$E369)</f>
        <v/>
      </c>
      <c r="AY369" s="195" t="str">
        <f aca="false">IF($A370="","",AN369*$E369)</f>
        <v/>
      </c>
      <c r="BA369" s="195" t="str">
        <f aca="false">IF($A370="","",F369*Summary!$Q$14)</f>
        <v/>
      </c>
    </row>
    <row r="370" customFormat="false" ht="12.75" hidden="false" customHeight="false" outlineLevel="0" collapsed="false">
      <c r="A370" s="196" t="str">
        <f aca="false">IF(A369&lt;mthend,EDATE(A369,1),"")</f>
        <v/>
      </c>
      <c r="B370" s="197" t="str">
        <f aca="false">IF(A370&lt;mthend,B369,"")</f>
        <v/>
      </c>
      <c r="C370" s="216"/>
      <c r="D370" s="197" t="str">
        <f aca="false">IF(A371&lt;&gt;"",B370+C370,"")</f>
        <v/>
      </c>
      <c r="E370" s="199" t="str">
        <f aca="false">IF(A371="","",IF(AND(AT370=1,$H$3=1),D370*AO370,IF($H$3=2,D370,"N/A")))</f>
        <v/>
      </c>
      <c r="F370" s="199" t="str">
        <f aca="false">IF(A371="","",E370*AS370)</f>
        <v/>
      </c>
      <c r="G370" s="200" t="str">
        <f aca="false">IF($A371="","",VLOOKUP($A370,Table,MATCH(G$4,Curves,0)))</f>
        <v/>
      </c>
      <c r="H370" s="201" t="str">
        <f aca="false">IF(A371="","",G370)</f>
        <v/>
      </c>
      <c r="J370" s="200" t="str">
        <f aca="false">IF($A371="","",VLOOKUP($A370,Table,MATCH(J$4,Curves,0)))</f>
        <v/>
      </c>
      <c r="K370" s="201" t="str">
        <f aca="false">IF(A371="","",J370)</f>
        <v/>
      </c>
      <c r="L370" s="185" t="n">
        <v>0</v>
      </c>
      <c r="M370" s="201" t="str">
        <f aca="false">IF(A371="","",L370)</f>
        <v/>
      </c>
      <c r="O370" s="200" t="str">
        <f aca="false">IF(A371="","",L370+J370+G370)</f>
        <v/>
      </c>
      <c r="P370" s="200" t="str">
        <f aca="false">IF(A371="","",M370+K370+H370)</f>
        <v/>
      </c>
      <c r="R370" s="200" t="str">
        <f aca="false">IF($A371="","",VLOOKUP($A370,Table,MATCH(R$4,Curves,0)))</f>
        <v/>
      </c>
      <c r="S370" s="201" t="str">
        <f aca="false">IF(A371="","",R370)</f>
        <v/>
      </c>
      <c r="T370" s="200" t="str">
        <f aca="false">IF($A371="","",VLOOKUP($A370,Table,MATCH(T$4,Curves,0)))</f>
        <v/>
      </c>
      <c r="U370" s="201" t="str">
        <f aca="false">IF(A371="","",T370)</f>
        <v/>
      </c>
      <c r="V370" s="183" t="str">
        <f aca="false">IF($A371="","",IF(AND(MONTH(A370)&gt;3,MONTH(A370)&lt;11),(T370+R370+G370)*(((1/(1-Summary!$T$14))/(1-Summary!$W$14))-1),(T370+R370+G370)*((1/(1-Summary!$U$14))/(1-Summary!$X$14)-1)))</f>
        <v/>
      </c>
      <c r="W370" s="202" t="str">
        <f aca="false">IF($A371="","",(T370+R370+G370+V370))</f>
        <v/>
      </c>
      <c r="X370" s="202" t="str">
        <f aca="false">IF($A371="","",(U370+S370+H370+V370))</f>
        <v/>
      </c>
      <c r="Y370" s="202"/>
      <c r="Z370" s="185"/>
      <c r="AA370" s="21"/>
      <c r="AB370" s="21"/>
      <c r="AC370" s="21"/>
      <c r="AD370" s="21"/>
      <c r="AE370" s="21"/>
      <c r="AF370" s="21"/>
      <c r="AG370" s="182"/>
      <c r="AH370" s="182"/>
      <c r="AI370" s="182"/>
      <c r="AO370" s="137" t="str">
        <f aca="false">IF(A371="","",A371-A370)</f>
        <v/>
      </c>
      <c r="AP370" s="212" t="str">
        <f aca="false">IF(A371="","",CHOOSE(F$3,A371+24,A370))</f>
        <v/>
      </c>
      <c r="AQ370" s="209" t="str">
        <f aca="false">IF(A371="","",AP370-$E$1)</f>
        <v/>
      </c>
      <c r="AR370" s="185" t="n">
        <f aca="false">'ANR OK vs ML7'!AR370</f>
        <v>0.1</v>
      </c>
      <c r="AS370" s="213" t="str">
        <f aca="false">IF(A371="","",1/(1+CHOOSE(F$3,(AR371+($I$3/10000))/2,(AR370+($I$3/10000))/2))^(2*AQ370/365.25))</f>
        <v/>
      </c>
      <c r="AT370" s="137" t="str">
        <f aca="false">IF(A371="","",IF(AND(mthbeg&lt;=A370,mthend&gt;=A370),1,0))</f>
        <v/>
      </c>
      <c r="AU370" s="137" t="str">
        <f aca="false">IF(A371="","",AO370*AT370)</f>
        <v/>
      </c>
      <c r="AW370" s="195" t="str">
        <f aca="false">IF($A371="","",AL370*$E370)</f>
        <v/>
      </c>
      <c r="AX370" s="195" t="str">
        <f aca="false">IF($A371="","",AM370*$E370)</f>
        <v/>
      </c>
      <c r="AY370" s="195" t="str">
        <f aca="false">IF($A371="","",AN370*$E370)</f>
        <v/>
      </c>
      <c r="BA370" s="195" t="str">
        <f aca="false">IF($A371="","",F370*Summary!$Q$14)</f>
        <v/>
      </c>
    </row>
    <row r="371" customFormat="false" ht="12.75" hidden="false" customHeight="false" outlineLevel="0" collapsed="false">
      <c r="A371" s="196" t="str">
        <f aca="false">IF(A370&lt;mthend,EDATE(A370,1),"")</f>
        <v/>
      </c>
      <c r="B371" s="197" t="str">
        <f aca="false">IF(A371&lt;mthend,B370,"")</f>
        <v/>
      </c>
      <c r="D371" s="197" t="str">
        <f aca="false">IF(A372&lt;&gt;"",B371+C371,"")</f>
        <v/>
      </c>
      <c r="E371" s="199" t="str">
        <f aca="false">IF(A372="","",IF(AND(AT371=1,$H$3=1),D371*AO371,IF($H$3=2,D371,"N/A")))</f>
        <v/>
      </c>
      <c r="F371" s="199" t="str">
        <f aca="false">IF(A372="","",E371*AS371)</f>
        <v/>
      </c>
      <c r="G371" s="200" t="str">
        <f aca="false">IF($A372="","",VLOOKUP($A371,Table,MATCH(G$4,Curves,0)))</f>
        <v/>
      </c>
      <c r="H371" s="201" t="str">
        <f aca="false">IF(A372="","",G371)</f>
        <v/>
      </c>
      <c r="J371" s="200" t="str">
        <f aca="false">IF($A372="","",VLOOKUP($A371,Table,MATCH(J$4,Curves,0)))</f>
        <v/>
      </c>
      <c r="K371" s="201" t="str">
        <f aca="false">IF(A372="","",J371)</f>
        <v/>
      </c>
      <c r="L371" s="185" t="n">
        <v>0</v>
      </c>
      <c r="M371" s="201" t="str">
        <f aca="false">IF(A372="","",L371)</f>
        <v/>
      </c>
      <c r="O371" s="200" t="str">
        <f aca="false">IF(A372="","",L371+J371+G371)</f>
        <v/>
      </c>
      <c r="P371" s="200" t="str">
        <f aca="false">IF(A372="","",M371+K371+H371)</f>
        <v/>
      </c>
      <c r="R371" s="200" t="str">
        <f aca="false">IF($A372="","",VLOOKUP($A371,Table,MATCH(R$4,Curves,0)))</f>
        <v/>
      </c>
      <c r="S371" s="201" t="str">
        <f aca="false">IF(A372="","",R371)</f>
        <v/>
      </c>
      <c r="T371" s="200" t="str">
        <f aca="false">IF($A372="","",VLOOKUP($A371,Table,MATCH(T$4,Curves,0)))</f>
        <v/>
      </c>
      <c r="U371" s="201" t="str">
        <f aca="false">IF(A372="","",T371)</f>
        <v/>
      </c>
      <c r="V371" s="183" t="str">
        <f aca="false">IF($A372="","",IF(AND(MONTH(A371)&gt;3,MONTH(A371)&lt;11),(T371+R371+G371)*(((1/(1-Summary!$T$14))/(1-Summary!$W$14))-1),(T371+R371+G371)*((1/(1-Summary!$U$14))/(1-Summary!$X$14)-1)))</f>
        <v/>
      </c>
      <c r="W371" s="202" t="str">
        <f aca="false">IF($A372="","",(T371+R371+G371+V371))</f>
        <v/>
      </c>
      <c r="X371" s="202" t="str">
        <f aca="false">IF($A372="","",(U371+S371+H371+V371))</f>
        <v/>
      </c>
      <c r="Y371" s="202"/>
      <c r="Z371" s="185"/>
      <c r="AG371" s="182"/>
      <c r="AH371" s="182"/>
      <c r="AI371" s="182"/>
      <c r="AJ371" s="217"/>
      <c r="AK371" s="217"/>
      <c r="AL371" s="217"/>
      <c r="AM371" s="217"/>
      <c r="AN371" s="217"/>
      <c r="AO371" s="137" t="str">
        <f aca="false">IF(A372="","",A372-A371)</f>
        <v/>
      </c>
      <c r="AP371" s="212" t="str">
        <f aca="false">IF(A372="","",CHOOSE(F$3,A372+24,A371))</f>
        <v/>
      </c>
      <c r="AQ371" s="209" t="str">
        <f aca="false">IF(A372="","",AP371-$E$1)</f>
        <v/>
      </c>
      <c r="AR371" s="185" t="n">
        <f aca="false">'ANR OK vs ML7'!AR371</f>
        <v>0.1</v>
      </c>
      <c r="AS371" s="213" t="str">
        <f aca="false">IF(A372="","",1/(1+CHOOSE(F$3,(AR372+($I$3/10000))/2,(AR371+($I$3/10000))/2))^(2*AQ371/365.25))</f>
        <v/>
      </c>
      <c r="AT371" s="137" t="str">
        <f aca="false">IF(A372="","",IF(AND(mthbeg&lt;=A371,mthend&gt;=A371),1,0))</f>
        <v/>
      </c>
      <c r="AU371" s="137" t="str">
        <f aca="false">IF(A372="","",AO371*AT371)</f>
        <v/>
      </c>
      <c r="AW371" s="195" t="str">
        <f aca="false">IF($A372="","",AL371*$E371)</f>
        <v/>
      </c>
      <c r="AX371" s="195" t="str">
        <f aca="false">IF($A372="","",AM371*$E371)</f>
        <v/>
      </c>
      <c r="AY371" s="195" t="str">
        <f aca="false">IF($A372="","",AN371*$E371)</f>
        <v/>
      </c>
      <c r="BA371" s="195" t="str">
        <f aca="false">IF($A372="","",F371*Summary!$Q$14)</f>
        <v/>
      </c>
    </row>
    <row r="372" customFormat="false" ht="12.75" hidden="false" customHeight="false" outlineLevel="0" collapsed="false">
      <c r="A372" s="196" t="str">
        <f aca="false">IF(A371&lt;mthend,EDATE(A371,1),"")</f>
        <v/>
      </c>
      <c r="B372" s="197" t="str">
        <f aca="false">IF(A372&lt;mthend,B371,"")</f>
        <v/>
      </c>
      <c r="D372" s="197" t="str">
        <f aca="false">IF(A373&lt;&gt;"",B372+C372,"")</f>
        <v/>
      </c>
      <c r="E372" s="199" t="str">
        <f aca="false">IF(A373="","",IF(AND(AT372=1,$H$3=1),D372*AO372,IF($H$3=2,D372,"N/A")))</f>
        <v/>
      </c>
      <c r="F372" s="199" t="str">
        <f aca="false">IF(A373="","",E372*AS372)</f>
        <v/>
      </c>
      <c r="G372" s="200" t="str">
        <f aca="false">IF($A373="","",VLOOKUP($A372,Table,MATCH(G$4,Curves,0)))</f>
        <v/>
      </c>
      <c r="H372" s="201" t="str">
        <f aca="false">IF(A373="","",G372)</f>
        <v/>
      </c>
      <c r="J372" s="200" t="str">
        <f aca="false">IF($A373="","",VLOOKUP($A372,Table,MATCH(J$4,Curves,0)))</f>
        <v/>
      </c>
      <c r="K372" s="201" t="str">
        <f aca="false">IF(A373="","",J372)</f>
        <v/>
      </c>
      <c r="L372" s="185" t="n">
        <v>0</v>
      </c>
      <c r="M372" s="201" t="str">
        <f aca="false">IF(A373="","",L372)</f>
        <v/>
      </c>
      <c r="O372" s="200" t="str">
        <f aca="false">IF(A373="","",L372+J372+G372)</f>
        <v/>
      </c>
      <c r="P372" s="200" t="str">
        <f aca="false">IF(A373="","",M372+K372+H372)</f>
        <v/>
      </c>
      <c r="R372" s="200" t="str">
        <f aca="false">IF($A373="","",VLOOKUP($A372,Table,MATCH(R$4,Curves,0)))</f>
        <v/>
      </c>
      <c r="S372" s="201" t="str">
        <f aca="false">IF(A373="","",R372)</f>
        <v/>
      </c>
      <c r="T372" s="200" t="str">
        <f aca="false">IF($A373="","",VLOOKUP($A372,Table,MATCH(T$4,Curves,0)))</f>
        <v/>
      </c>
      <c r="U372" s="201" t="str">
        <f aca="false">IF(A373="","",T372)</f>
        <v/>
      </c>
      <c r="V372" s="183" t="str">
        <f aca="false">IF($A373="","",IF(AND(MONTH(A372)&gt;3,MONTH(A372)&lt;11),(T372+R372+G372)*(((1/(1-Summary!$T$14))/(1-Summary!$W$14))-1),(T372+R372+G372)*((1/(1-Summary!$U$14))/(1-Summary!$X$14)-1)))</f>
        <v/>
      </c>
      <c r="W372" s="202" t="str">
        <f aca="false">IF($A373="","",(T372+R372+G372+V372))</f>
        <v/>
      </c>
      <c r="X372" s="202" t="str">
        <f aca="false">IF($A373="","",(U372+S372+H372+V372))</f>
        <v/>
      </c>
      <c r="Y372" s="202"/>
      <c r="Z372" s="185"/>
      <c r="AG372" s="182"/>
      <c r="AH372" s="182"/>
      <c r="AI372" s="182"/>
      <c r="AJ372" s="218"/>
      <c r="AK372" s="218"/>
      <c r="AL372" s="218"/>
      <c r="AM372" s="218"/>
      <c r="AN372" s="218"/>
      <c r="AO372" s="137" t="str">
        <f aca="false">IF(A373="","",A373-A372)</f>
        <v/>
      </c>
      <c r="AP372" s="212" t="str">
        <f aca="false">IF(A373="","",CHOOSE(F$3,A373+24,A372))</f>
        <v/>
      </c>
      <c r="AQ372" s="209" t="str">
        <f aca="false">IF(A373="","",AP372-$E$1)</f>
        <v/>
      </c>
      <c r="AR372" s="185" t="n">
        <f aca="false">'ANR OK vs ML7'!AR372</f>
        <v>0.1</v>
      </c>
      <c r="AS372" s="213" t="str">
        <f aca="false">IF(A373="","",1/(1+CHOOSE(F$3,(AR373+($I$3/10000))/2,(AR372+($I$3/10000))/2))^(2*AQ372/365.25))</f>
        <v/>
      </c>
      <c r="AT372" s="137" t="str">
        <f aca="false">IF(A373="","",IF(AND(mthbeg&lt;=A372,mthend&gt;=A372),1,0))</f>
        <v/>
      </c>
      <c r="AU372" s="137" t="str">
        <f aca="false">IF(A373="","",AO372*AT372)</f>
        <v/>
      </c>
      <c r="AW372" s="195" t="str">
        <f aca="false">IF($A373="","",AL372*$E372)</f>
        <v/>
      </c>
      <c r="AX372" s="195" t="str">
        <f aca="false">IF($A373="","",AM372*$E372)</f>
        <v/>
      </c>
      <c r="AY372" s="195" t="str">
        <f aca="false">IF($A373="","",AN372*$E372)</f>
        <v/>
      </c>
      <c r="BA372" s="195" t="str">
        <f aca="false">IF($A373="","",F372*Summary!$Q$14)</f>
        <v/>
      </c>
    </row>
    <row r="373" customFormat="false" ht="12.75" hidden="false" customHeight="false" outlineLevel="0" collapsed="false">
      <c r="A373" s="196" t="str">
        <f aca="false">IF(A372&lt;mthend,EDATE(A372,1),"")</f>
        <v/>
      </c>
      <c r="B373" s="197" t="str">
        <f aca="false">IF(A373&lt;mthend,B372,"")</f>
        <v/>
      </c>
      <c r="D373" s="197" t="str">
        <f aca="false">IF(A374&lt;&gt;"",B373+C373,"")</f>
        <v/>
      </c>
      <c r="E373" s="199" t="str">
        <f aca="false">IF(A374="","",IF(AND(AT373=1,$H$3=1),D373*AO373,IF($H$3=2,D373,"N/A")))</f>
        <v/>
      </c>
      <c r="F373" s="199" t="str">
        <f aca="false">IF(A374="","",E373*AS373)</f>
        <v/>
      </c>
      <c r="G373" s="200" t="str">
        <f aca="false">IF($A374="","",VLOOKUP($A373,Table,MATCH(G$4,Curves,0)))</f>
        <v/>
      </c>
      <c r="H373" s="201" t="str">
        <f aca="false">IF(A374="","",G373)</f>
        <v/>
      </c>
      <c r="J373" s="200" t="str">
        <f aca="false">IF($A374="","",VLOOKUP($A373,Table,MATCH(J$4,Curves,0)))</f>
        <v/>
      </c>
      <c r="K373" s="201" t="str">
        <f aca="false">IF(A374="","",J373)</f>
        <v/>
      </c>
      <c r="L373" s="185" t="n">
        <v>0</v>
      </c>
      <c r="M373" s="201" t="str">
        <f aca="false">IF(A374="","",L373)</f>
        <v/>
      </c>
      <c r="O373" s="200" t="str">
        <f aca="false">IF(A374="","",L373+J373+G373)</f>
        <v/>
      </c>
      <c r="P373" s="200" t="str">
        <f aca="false">IF(A374="","",M373+K373+H373)</f>
        <v/>
      </c>
      <c r="R373" s="200" t="str">
        <f aca="false">IF($A374="","",VLOOKUP($A373,Table,MATCH(R$4,Curves,0)))</f>
        <v/>
      </c>
      <c r="S373" s="201" t="str">
        <f aca="false">IF(A374="","",R373)</f>
        <v/>
      </c>
      <c r="T373" s="200" t="str">
        <f aca="false">IF($A374="","",VLOOKUP($A373,Table,MATCH(T$4,Curves,0)))</f>
        <v/>
      </c>
      <c r="U373" s="201" t="str">
        <f aca="false">IF(A374="","",T373)</f>
        <v/>
      </c>
      <c r="V373" s="183" t="str">
        <f aca="false">IF($A374="","",IF(AND(MONTH(A373)&gt;3,MONTH(A373)&lt;11),(T373+R373+G373)*(((1/(1-Summary!$T$14))/(1-Summary!$W$14))-1),(T373+R373+G373)*((1/(1-Summary!$U$14))/(1-Summary!$X$14)-1)))</f>
        <v/>
      </c>
      <c r="W373" s="202" t="str">
        <f aca="false">IF($A374="","",(T373+R373+G373+V373))</f>
        <v/>
      </c>
      <c r="X373" s="202" t="str">
        <f aca="false">IF($A374="","",(U373+S373+H373+V373))</f>
        <v/>
      </c>
      <c r="Y373" s="202"/>
      <c r="Z373" s="185"/>
      <c r="AG373" s="182"/>
      <c r="AH373" s="182"/>
      <c r="AI373" s="182"/>
      <c r="AJ373" s="218"/>
      <c r="AK373" s="218"/>
      <c r="AL373" s="218"/>
      <c r="AM373" s="218"/>
      <c r="AN373" s="218"/>
      <c r="AO373" s="137" t="str">
        <f aca="false">IF(A374="","",A374-A373)</f>
        <v/>
      </c>
      <c r="AP373" s="212" t="str">
        <f aca="false">IF(A374="","",CHOOSE(F$3,A374+24,A373))</f>
        <v/>
      </c>
      <c r="AQ373" s="209" t="str">
        <f aca="false">IF(A374="","",AP373-$E$1)</f>
        <v/>
      </c>
      <c r="AR373" s="185" t="n">
        <f aca="false">'ANR OK vs ML7'!AR373</f>
        <v>0.1</v>
      </c>
      <c r="AS373" s="213" t="str">
        <f aca="false">IF(A374="","",1/(1+CHOOSE(F$3,(AR374+($I$3/10000))/2,(AR373+($I$3/10000))/2))^(2*AQ373/365.25))</f>
        <v/>
      </c>
      <c r="AT373" s="137" t="str">
        <f aca="false">IF(A374="","",IF(AND(mthbeg&lt;=A373,mthend&gt;=A373),1,0))</f>
        <v/>
      </c>
      <c r="AU373" s="137" t="str">
        <f aca="false">IF(A374="","",AO373*AT373)</f>
        <v/>
      </c>
      <c r="AW373" s="195" t="str">
        <f aca="false">IF($A374="","",AL373*$E373)</f>
        <v/>
      </c>
      <c r="AX373" s="195" t="str">
        <f aca="false">IF($A374="","",AM373*$E373)</f>
        <v/>
      </c>
      <c r="AY373" s="195" t="str">
        <f aca="false">IF($A374="","",AN373*$E373)</f>
        <v/>
      </c>
      <c r="BA373" s="195" t="str">
        <f aca="false">IF($A374="","",F373*Summary!$Q$14)</f>
        <v/>
      </c>
    </row>
    <row r="374" customFormat="false" ht="12.75" hidden="false" customHeight="false" outlineLevel="0" collapsed="false">
      <c r="A374" s="196" t="str">
        <f aca="false">IF(A373&lt;mthend,EDATE(A373,1),"")</f>
        <v/>
      </c>
      <c r="B374" s="197" t="str">
        <f aca="false">IF(A374&lt;mthend,B373,"")</f>
        <v/>
      </c>
      <c r="D374" s="197" t="str">
        <f aca="false">IF(A375&lt;&gt;"",B374+C374,"")</f>
        <v/>
      </c>
      <c r="E374" s="199" t="str">
        <f aca="false">IF(A375="","",IF(AND(AT374=1,$H$3=1),D374*AO374,IF($H$3=2,D374,"N/A")))</f>
        <v/>
      </c>
      <c r="F374" s="199" t="str">
        <f aca="false">IF(A375="","",E374*AS374)</f>
        <v/>
      </c>
      <c r="G374" s="200" t="str">
        <f aca="false">IF($A375="","",VLOOKUP($A374,Table,MATCH(G$4,Curves,0)))</f>
        <v/>
      </c>
      <c r="H374" s="201" t="str">
        <f aca="false">IF(A375="","",G374)</f>
        <v/>
      </c>
      <c r="J374" s="200" t="str">
        <f aca="false">IF($A375="","",VLOOKUP($A374,Table,MATCH(J$4,Curves,0)))</f>
        <v/>
      </c>
      <c r="K374" s="201" t="str">
        <f aca="false">IF(A375="","",J374)</f>
        <v/>
      </c>
      <c r="L374" s="185" t="n">
        <v>0</v>
      </c>
      <c r="M374" s="201" t="str">
        <f aca="false">IF(A375="","",L374)</f>
        <v/>
      </c>
      <c r="O374" s="200" t="str">
        <f aca="false">IF(A375="","",L374+J374+G374)</f>
        <v/>
      </c>
      <c r="P374" s="200" t="str">
        <f aca="false">IF(A375="","",M374+K374+H374)</f>
        <v/>
      </c>
      <c r="R374" s="200" t="str">
        <f aca="false">IF($A375="","",VLOOKUP($A374,Table,MATCH(R$4,Curves,0)))</f>
        <v/>
      </c>
      <c r="S374" s="201" t="str">
        <f aca="false">IF(A375="","",R374)</f>
        <v/>
      </c>
      <c r="T374" s="200" t="str">
        <f aca="false">IF($A375="","",VLOOKUP($A374,Table,MATCH(T$4,Curves,0)))</f>
        <v/>
      </c>
      <c r="U374" s="201" t="str">
        <f aca="false">IF(A375="","",T374)</f>
        <v/>
      </c>
      <c r="V374" s="183" t="str">
        <f aca="false">IF($A375="","",IF(AND(MONTH(A374)&gt;3,MONTH(A374)&lt;11),(T374+R374+G374)*(((1/(1-Summary!$T$14))/(1-Summary!$W$14))-1),(T374+R374+G374)*((1/(1-Summary!$U$14))/(1-Summary!$X$14)-1)))</f>
        <v/>
      </c>
      <c r="W374" s="202" t="str">
        <f aca="false">IF($A375="","",(T374+R374+G374+V374))</f>
        <v/>
      </c>
      <c r="X374" s="202" t="str">
        <f aca="false">IF($A375="","",(U374+S374+H374+V374))</f>
        <v/>
      </c>
      <c r="Y374" s="202"/>
      <c r="Z374" s="185"/>
      <c r="AG374" s="182"/>
      <c r="AH374" s="182"/>
      <c r="AI374" s="182"/>
      <c r="AJ374" s="218"/>
      <c r="AK374" s="218"/>
      <c r="AL374" s="218"/>
      <c r="AM374" s="218"/>
      <c r="AN374" s="218"/>
      <c r="AO374" s="137" t="str">
        <f aca="false">IF(A375="","",A375-A374)</f>
        <v/>
      </c>
      <c r="AP374" s="212" t="str">
        <f aca="false">IF(A375="","",CHOOSE(F$3,A375+24,A374))</f>
        <v/>
      </c>
      <c r="AQ374" s="209" t="str">
        <f aca="false">IF(A375="","",AP374-$E$1)</f>
        <v/>
      </c>
      <c r="AR374" s="185" t="n">
        <f aca="false">'ANR OK vs ML7'!AR374</f>
        <v>0.1</v>
      </c>
      <c r="AS374" s="213" t="str">
        <f aca="false">IF(A375="","",1/(1+CHOOSE(F$3,(AR375+($I$3/10000))/2,(AR374+($I$3/10000))/2))^(2*AQ374/365.25))</f>
        <v/>
      </c>
      <c r="AT374" s="137" t="str">
        <f aca="false">IF(A375="","",IF(AND(mthbeg&lt;=A374,mthend&gt;=A374),1,0))</f>
        <v/>
      </c>
      <c r="AU374" s="137" t="str">
        <f aca="false">IF(A375="","",AO374*AT374)</f>
        <v/>
      </c>
      <c r="AW374" s="195" t="str">
        <f aca="false">IF($A375="","",AL374*$E374)</f>
        <v/>
      </c>
      <c r="AX374" s="195" t="str">
        <f aca="false">IF($A375="","",AM374*$E374)</f>
        <v/>
      </c>
      <c r="AY374" s="195" t="str">
        <f aca="false">IF($A375="","",AN374*$E374)</f>
        <v/>
      </c>
      <c r="BA374" s="195" t="str">
        <f aca="false">IF($A375="","",F374*Summary!$Q$14)</f>
        <v/>
      </c>
    </row>
    <row r="375" customFormat="false" ht="12.75" hidden="false" customHeight="false" outlineLevel="0" collapsed="false">
      <c r="A375" s="196" t="str">
        <f aca="false">IF(A374&lt;mthend,EDATE(A374,1),"")</f>
        <v/>
      </c>
      <c r="B375" s="197" t="str">
        <f aca="false">IF(A375&lt;mthend,B374,"")</f>
        <v/>
      </c>
      <c r="D375" s="197" t="str">
        <f aca="false">IF(A376&lt;&gt;"",B375+C375,"")</f>
        <v/>
      </c>
      <c r="E375" s="199" t="str">
        <f aca="false">IF(A376="","",IF(AND(AT375=1,$H$3=1),D375*AO375,IF($H$3=2,D375,"N/A")))</f>
        <v/>
      </c>
      <c r="F375" s="199" t="str">
        <f aca="false">IF(A376="","",E375*AS375)</f>
        <v/>
      </c>
      <c r="G375" s="200" t="str">
        <f aca="false">IF($A376="","",VLOOKUP($A375,Table,MATCH(G$4,Curves,0)))</f>
        <v/>
      </c>
      <c r="H375" s="201" t="str">
        <f aca="false">IF(A376="","",G375)</f>
        <v/>
      </c>
      <c r="J375" s="200" t="str">
        <f aca="false">IF($A376="","",VLOOKUP($A375,Table,MATCH(J$4,Curves,0)))</f>
        <v/>
      </c>
      <c r="K375" s="201" t="str">
        <f aca="false">IF(A376="","",J375)</f>
        <v/>
      </c>
      <c r="L375" s="185" t="n">
        <v>0</v>
      </c>
      <c r="M375" s="201" t="str">
        <f aca="false">IF(A376="","",L375)</f>
        <v/>
      </c>
      <c r="O375" s="200" t="str">
        <f aca="false">IF(A376="","",L375+J375+G375)</f>
        <v/>
      </c>
      <c r="P375" s="200" t="str">
        <f aca="false">IF(A376="","",M375+K375+H375)</f>
        <v/>
      </c>
      <c r="R375" s="200" t="str">
        <f aca="false">IF($A376="","",VLOOKUP($A375,Table,MATCH(R$4,Curves,0)))</f>
        <v/>
      </c>
      <c r="S375" s="201" t="str">
        <f aca="false">IF(A376="","",R375)</f>
        <v/>
      </c>
      <c r="T375" s="200" t="str">
        <f aca="false">IF($A376="","",VLOOKUP($A375,Table,MATCH(T$4,Curves,0)))</f>
        <v/>
      </c>
      <c r="U375" s="201" t="str">
        <f aca="false">IF(A376="","",T375)</f>
        <v/>
      </c>
      <c r="V375" s="183" t="str">
        <f aca="false">IF($A376="","",IF(AND(MONTH(A375)&gt;3,MONTH(A375)&lt;11),(T375+R375+G375)*(((1/(1-Summary!$T$14))/(1-Summary!$W$14))-1),(T375+R375+G375)*((1/(1-Summary!$U$14))/(1-Summary!$X$14)-1)))</f>
        <v/>
      </c>
      <c r="W375" s="202" t="str">
        <f aca="false">IF($A376="","",(T375+R375+G375+V375))</f>
        <v/>
      </c>
      <c r="X375" s="202" t="str">
        <f aca="false">IF($A376="","",(U375+S375+H375+V375))</f>
        <v/>
      </c>
      <c r="Y375" s="202"/>
      <c r="Z375" s="185"/>
      <c r="AG375" s="182"/>
      <c r="AH375" s="182"/>
      <c r="AI375" s="182"/>
      <c r="AJ375" s="218"/>
      <c r="AK375" s="218"/>
      <c r="AL375" s="218"/>
      <c r="AM375" s="218"/>
      <c r="AN375" s="218"/>
      <c r="AO375" s="137" t="str">
        <f aca="false">IF(A376="","",A376-A375)</f>
        <v/>
      </c>
      <c r="AP375" s="212" t="str">
        <f aca="false">IF(A376="","",CHOOSE(F$3,A376+24,A375))</f>
        <v/>
      </c>
      <c r="AQ375" s="209" t="str">
        <f aca="false">IF(A376="","",AP375-$E$1)</f>
        <v/>
      </c>
      <c r="AR375" s="185" t="n">
        <f aca="false">'ANR OK vs ML7'!AR375</f>
        <v>0.1</v>
      </c>
      <c r="AS375" s="213" t="str">
        <f aca="false">IF(A376="","",1/(1+CHOOSE(F$3,(AR376+($I$3/10000))/2,(AR375+($I$3/10000))/2))^(2*AQ375/365.25))</f>
        <v/>
      </c>
      <c r="AT375" s="137" t="str">
        <f aca="false">IF(A376="","",IF(AND(mthbeg&lt;=A375,mthend&gt;=A375),1,0))</f>
        <v/>
      </c>
      <c r="AU375" s="137" t="str">
        <f aca="false">IF(A376="","",AO375*AT375)</f>
        <v/>
      </c>
      <c r="AW375" s="195" t="str">
        <f aca="false">IF($A376="","",AL375*$E375)</f>
        <v/>
      </c>
      <c r="AX375" s="195" t="str">
        <f aca="false">IF($A376="","",AM375*$E375)</f>
        <v/>
      </c>
      <c r="AY375" s="195" t="str">
        <f aca="false">IF($A376="","",AN375*$E375)</f>
        <v/>
      </c>
      <c r="BA375" s="195" t="str">
        <f aca="false">IF($A376="","",F375*Summary!$Q$14)</f>
        <v/>
      </c>
    </row>
    <row r="376" customFormat="false" ht="12.75" hidden="false" customHeight="false" outlineLevel="0" collapsed="false">
      <c r="A376" s="196" t="str">
        <f aca="false">IF(A375&lt;mthend,EDATE(A375,1),"")</f>
        <v/>
      </c>
      <c r="B376" s="197" t="str">
        <f aca="false">IF(A376&lt;mthend,B375,"")</f>
        <v/>
      </c>
      <c r="D376" s="197" t="str">
        <f aca="false">IF(A377&lt;&gt;"",B376+C376,"")</f>
        <v/>
      </c>
      <c r="E376" s="199" t="str">
        <f aca="false">IF(A377="","",IF(AND(AT376=1,$H$3=1),D376*AO376,IF($H$3=2,D376,"N/A")))</f>
        <v/>
      </c>
      <c r="F376" s="199" t="str">
        <f aca="false">IF(A377="","",E376*AS376)</f>
        <v/>
      </c>
      <c r="G376" s="200" t="str">
        <f aca="false">IF($A377="","",VLOOKUP($A376,Table,MATCH(G$4,Curves,0)))</f>
        <v/>
      </c>
      <c r="H376" s="201" t="str">
        <f aca="false">IF(A377="","",G376)</f>
        <v/>
      </c>
      <c r="J376" s="200" t="str">
        <f aca="false">IF($A377="","",VLOOKUP($A376,Table,MATCH(J$4,Curves,0)))</f>
        <v/>
      </c>
      <c r="K376" s="201" t="str">
        <f aca="false">IF(A377="","",J376)</f>
        <v/>
      </c>
      <c r="L376" s="185" t="n">
        <v>0</v>
      </c>
      <c r="M376" s="201" t="str">
        <f aca="false">IF(A377="","",L376)</f>
        <v/>
      </c>
      <c r="O376" s="200" t="str">
        <f aca="false">IF(A377="","",L376+J376+G376)</f>
        <v/>
      </c>
      <c r="P376" s="200" t="str">
        <f aca="false">IF(A377="","",M376+K376+H376)</f>
        <v/>
      </c>
      <c r="R376" s="200" t="str">
        <f aca="false">IF($A377="","",VLOOKUP($A376,Table,MATCH(R$4,Curves,0)))</f>
        <v/>
      </c>
      <c r="S376" s="201" t="str">
        <f aca="false">IF(A377="","",R376)</f>
        <v/>
      </c>
      <c r="T376" s="200" t="str">
        <f aca="false">IF($A377="","",VLOOKUP($A376,Table,MATCH(T$4,Curves,0)))</f>
        <v/>
      </c>
      <c r="U376" s="201" t="str">
        <f aca="false">IF(A377="","",T376)</f>
        <v/>
      </c>
      <c r="V376" s="183" t="str">
        <f aca="false">IF($A377="","",IF(AND(MONTH(A376)&gt;3,MONTH(A376)&lt;11),(T376+R376+G376)*(((1/(1-Summary!$T$14))/(1-Summary!$W$14))-1),(T376+R376+G376)*((1/(1-Summary!$U$14))/(1-Summary!$X$14)-1)))</f>
        <v/>
      </c>
      <c r="W376" s="202" t="str">
        <f aca="false">IF($A377="","",(T376+R376+G376+V376))</f>
        <v/>
      </c>
      <c r="X376" s="202" t="str">
        <f aca="false">IF($A377="","",(U376+S376+H376+V376))</f>
        <v/>
      </c>
      <c r="Y376" s="202"/>
      <c r="Z376" s="185"/>
      <c r="AG376" s="182"/>
      <c r="AH376" s="182"/>
      <c r="AI376" s="182"/>
      <c r="AJ376" s="218"/>
      <c r="AK376" s="218"/>
      <c r="AL376" s="218"/>
      <c r="AM376" s="218"/>
      <c r="AN376" s="218"/>
      <c r="AO376" s="137" t="str">
        <f aca="false">IF(A377="","",A377-A376)</f>
        <v/>
      </c>
      <c r="AP376" s="212" t="str">
        <f aca="false">IF(A377="","",CHOOSE(F$3,A377+24,A376))</f>
        <v/>
      </c>
      <c r="AQ376" s="209" t="str">
        <f aca="false">IF(A377="","",AP376-$E$1)</f>
        <v/>
      </c>
      <c r="AR376" s="185" t="n">
        <f aca="false">'ANR OK vs ML7'!AR376</f>
        <v>0.1</v>
      </c>
      <c r="AS376" s="213" t="str">
        <f aca="false">IF(A377="","",1/(1+CHOOSE(F$3,(AR377+($I$3/10000))/2,(AR376+($I$3/10000))/2))^(2*AQ376/365.25))</f>
        <v/>
      </c>
      <c r="AT376" s="137" t="str">
        <f aca="false">IF(A377="","",IF(AND(mthbeg&lt;=A376,mthend&gt;=A376),1,0))</f>
        <v/>
      </c>
      <c r="AU376" s="137" t="str">
        <f aca="false">IF(A377="","",AO376*AT376)</f>
        <v/>
      </c>
      <c r="AW376" s="195" t="str">
        <f aca="false">IF($A377="","",AL376*$E376)</f>
        <v/>
      </c>
      <c r="AX376" s="195" t="str">
        <f aca="false">IF($A377="","",AM376*$E376)</f>
        <v/>
      </c>
      <c r="AY376" s="195" t="str">
        <f aca="false">IF($A377="","",AN376*$E376)</f>
        <v/>
      </c>
      <c r="BA376" s="195" t="str">
        <f aca="false">IF($A377="","",F376*Summary!$Q$14)</f>
        <v/>
      </c>
    </row>
    <row r="377" customFormat="false" ht="12.75" hidden="false" customHeight="false" outlineLevel="0" collapsed="false">
      <c r="A377" s="196" t="str">
        <f aca="false">IF(A376&lt;mthend,EDATE(A376,1),"")</f>
        <v/>
      </c>
      <c r="B377" s="197" t="str">
        <f aca="false">IF(A377&lt;mthend,B376,"")</f>
        <v/>
      </c>
      <c r="D377" s="197" t="str">
        <f aca="false">IF(A378&lt;&gt;"",B377+C377,"")</f>
        <v/>
      </c>
      <c r="E377" s="199" t="str">
        <f aca="false">IF(A378="","",IF(AND(AT377=1,$H$3=1),D377*AO377,IF($H$3=2,D377,"N/A")))</f>
        <v/>
      </c>
      <c r="F377" s="199" t="str">
        <f aca="false">IF(A378="","",E377*AS377)</f>
        <v/>
      </c>
      <c r="G377" s="200" t="str">
        <f aca="false">IF($A378="","",VLOOKUP($A377,Table,MATCH(G$4,Curves,0)))</f>
        <v/>
      </c>
      <c r="H377" s="201" t="str">
        <f aca="false">IF(A378="","",G377)</f>
        <v/>
      </c>
      <c r="J377" s="200" t="str">
        <f aca="false">IF($A378="","",VLOOKUP($A377,Table,MATCH(J$4,Curves,0)))</f>
        <v/>
      </c>
      <c r="K377" s="201" t="str">
        <f aca="false">IF(A378="","",J377)</f>
        <v/>
      </c>
      <c r="L377" s="185" t="n">
        <v>0</v>
      </c>
      <c r="M377" s="201" t="str">
        <f aca="false">IF(A378="","",L377)</f>
        <v/>
      </c>
      <c r="O377" s="200" t="str">
        <f aca="false">IF(A378="","",L377+J377+G377)</f>
        <v/>
      </c>
      <c r="P377" s="200" t="str">
        <f aca="false">IF(A378="","",M377+K377+H377)</f>
        <v/>
      </c>
      <c r="R377" s="200" t="str">
        <f aca="false">IF($A378="","",VLOOKUP($A377,Table,MATCH(R$4,Curves,0)))</f>
        <v/>
      </c>
      <c r="S377" s="201" t="str">
        <f aca="false">IF(A378="","",R377)</f>
        <v/>
      </c>
      <c r="T377" s="200" t="str">
        <f aca="false">IF($A378="","",VLOOKUP($A377,Table,MATCH(T$4,Curves,0)))</f>
        <v/>
      </c>
      <c r="U377" s="201" t="str">
        <f aca="false">IF(A378="","",T377)</f>
        <v/>
      </c>
      <c r="V377" s="183" t="str">
        <f aca="false">IF($A378="","",IF(AND(MONTH(A377)&gt;3,MONTH(A377)&lt;11),(T377+R377+G377)*(((1/(1-Summary!$T$14))/(1-Summary!$W$14))-1),(T377+R377+G377)*((1/(1-Summary!$U$14))/(1-Summary!$X$14)-1)))</f>
        <v/>
      </c>
      <c r="W377" s="202" t="str">
        <f aca="false">IF($A378="","",(T377+R377+G377+V377))</f>
        <v/>
      </c>
      <c r="X377" s="202" t="str">
        <f aca="false">IF($A378="","",(U377+S377+H377+V377))</f>
        <v/>
      </c>
      <c r="Y377" s="202"/>
      <c r="Z377" s="185"/>
      <c r="AG377" s="182"/>
      <c r="AH377" s="182"/>
      <c r="AI377" s="182"/>
      <c r="AJ377" s="218"/>
      <c r="AK377" s="218"/>
      <c r="AL377" s="218"/>
      <c r="AM377" s="218"/>
      <c r="AN377" s="218"/>
      <c r="AO377" s="137" t="str">
        <f aca="false">IF(A378="","",A378-A377)</f>
        <v/>
      </c>
      <c r="AP377" s="212" t="str">
        <f aca="false">IF(A378="","",CHOOSE(F$3,A378+24,A377))</f>
        <v/>
      </c>
      <c r="AQ377" s="209" t="str">
        <f aca="false">IF(A378="","",AP377-$E$1)</f>
        <v/>
      </c>
      <c r="AR377" s="185" t="n">
        <f aca="false">'ANR OK vs ML7'!AR377</f>
        <v>0.1</v>
      </c>
      <c r="AS377" s="213" t="str">
        <f aca="false">IF(A378="","",1/(1+CHOOSE(F$3,(AR378+($I$3/10000))/2,(AR377+($I$3/10000))/2))^(2*AQ377/365.25))</f>
        <v/>
      </c>
      <c r="AT377" s="137" t="str">
        <f aca="false">IF(A378="","",IF(AND(mthbeg&lt;=A377,mthend&gt;=A377),1,0))</f>
        <v/>
      </c>
      <c r="AU377" s="137" t="str">
        <f aca="false">IF(A378="","",AO377*AT377)</f>
        <v/>
      </c>
      <c r="AW377" s="195" t="str">
        <f aca="false">IF($A378="","",AL377*$E377)</f>
        <v/>
      </c>
      <c r="AX377" s="195" t="str">
        <f aca="false">IF($A378="","",AM377*$E377)</f>
        <v/>
      </c>
      <c r="AY377" s="195" t="str">
        <f aca="false">IF($A378="","",AN377*$E377)</f>
        <v/>
      </c>
      <c r="BA377" s="195" t="str">
        <f aca="false">IF($A378="","",F377*Summary!$Q$14)</f>
        <v/>
      </c>
    </row>
    <row r="378" customFormat="false" ht="12.75" hidden="false" customHeight="false" outlineLevel="0" collapsed="false">
      <c r="A378" s="196" t="str">
        <f aca="false">IF(A377&lt;mthend,EDATE(A377,1),"")</f>
        <v/>
      </c>
      <c r="B378" s="197" t="str">
        <f aca="false">IF(A378&lt;mthend,B377,"")</f>
        <v/>
      </c>
      <c r="D378" s="197" t="str">
        <f aca="false">IF(A379&lt;&gt;"",B378+C378,"")</f>
        <v/>
      </c>
      <c r="E378" s="199" t="str">
        <f aca="false">IF(A379="","",IF(AND(AT378=1,$H$3=1),D378*AO378,IF($H$3=2,D378,"N/A")))</f>
        <v/>
      </c>
      <c r="F378" s="199" t="str">
        <f aca="false">IF(A379="","",E378*AS378)</f>
        <v/>
      </c>
      <c r="G378" s="200" t="str">
        <f aca="false">IF($A379="","",VLOOKUP($A378,Table,MATCH(G$4,Curves,0)))</f>
        <v/>
      </c>
      <c r="H378" s="201" t="str">
        <f aca="false">IF(A379="","",G378)</f>
        <v/>
      </c>
      <c r="J378" s="200" t="str">
        <f aca="false">IF($A379="","",VLOOKUP($A378,Table,MATCH(J$4,Curves,0)))</f>
        <v/>
      </c>
      <c r="K378" s="201" t="str">
        <f aca="false">IF(A379="","",J378)</f>
        <v/>
      </c>
      <c r="L378" s="185" t="n">
        <v>0</v>
      </c>
      <c r="M378" s="201" t="str">
        <f aca="false">IF(A379="","",L378)</f>
        <v/>
      </c>
      <c r="O378" s="200" t="str">
        <f aca="false">IF(A379="","",L378+J378+G378)</f>
        <v/>
      </c>
      <c r="P378" s="200" t="str">
        <f aca="false">IF(A379="","",M378+K378+H378)</f>
        <v/>
      </c>
      <c r="R378" s="200" t="str">
        <f aca="false">IF($A379="","",VLOOKUP($A378,Table,MATCH(R$4,Curves,0)))</f>
        <v/>
      </c>
      <c r="S378" s="201" t="str">
        <f aca="false">IF(A379="","",R378)</f>
        <v/>
      </c>
      <c r="T378" s="200" t="str">
        <f aca="false">IF($A379="","",VLOOKUP($A378,Table,MATCH(T$4,Curves,0)))</f>
        <v/>
      </c>
      <c r="U378" s="201" t="str">
        <f aca="false">IF(A379="","",T378)</f>
        <v/>
      </c>
      <c r="V378" s="183" t="str">
        <f aca="false">IF($A379="","",IF(AND(MONTH(A378)&gt;3,MONTH(A378)&lt;11),(T378+R378+G378)*(((1/(1-Summary!$T$14))/(1-Summary!$W$14))-1),(T378+R378+G378)*((1/(1-Summary!$U$14))/(1-Summary!$X$14)-1)))</f>
        <v/>
      </c>
      <c r="W378" s="202" t="str">
        <f aca="false">IF($A379="","",(T378+R378+G378+V378))</f>
        <v/>
      </c>
      <c r="X378" s="202" t="str">
        <f aca="false">IF($A379="","",(U378+S378+H378+V378))</f>
        <v/>
      </c>
      <c r="Y378" s="202"/>
      <c r="Z378" s="185"/>
      <c r="AG378" s="182"/>
      <c r="AH378" s="182"/>
      <c r="AI378" s="182"/>
      <c r="AJ378" s="218"/>
      <c r="AK378" s="218"/>
      <c r="AL378" s="218"/>
      <c r="AM378" s="218"/>
      <c r="AN378" s="218"/>
      <c r="AO378" s="137" t="str">
        <f aca="false">IF(A379="","",A379-A378)</f>
        <v/>
      </c>
      <c r="AP378" s="212" t="str">
        <f aca="false">IF(A379="","",CHOOSE(F$3,A379+24,A378))</f>
        <v/>
      </c>
      <c r="AQ378" s="209" t="str">
        <f aca="false">IF(A379="","",AP378-$E$1)</f>
        <v/>
      </c>
      <c r="AR378" s="185" t="n">
        <f aca="false">'ANR OK vs ML7'!AR378</f>
        <v>0.1</v>
      </c>
      <c r="AS378" s="213" t="str">
        <f aca="false">IF(A379="","",1/(1+CHOOSE(F$3,(AR379+($I$3/10000))/2,(AR378+($I$3/10000))/2))^(2*AQ378/365.25))</f>
        <v/>
      </c>
      <c r="AT378" s="137" t="str">
        <f aca="false">IF(A379="","",IF(AND(mthbeg&lt;=A378,mthend&gt;=A378),1,0))</f>
        <v/>
      </c>
      <c r="AU378" s="137" t="str">
        <f aca="false">IF(A379="","",AO378*AT378)</f>
        <v/>
      </c>
      <c r="AW378" s="195" t="str">
        <f aca="false">IF($A379="","",AL378*$E378)</f>
        <v/>
      </c>
      <c r="AX378" s="195" t="str">
        <f aca="false">IF($A379="","",AM378*$E378)</f>
        <v/>
      </c>
      <c r="AY378" s="195" t="str">
        <f aca="false">IF($A379="","",AN378*$E378)</f>
        <v/>
      </c>
      <c r="BA378" s="195" t="str">
        <f aca="false">IF($A379="","",F378*Summary!$Q$14)</f>
        <v/>
      </c>
    </row>
    <row r="379" customFormat="false" ht="12.75" hidden="false" customHeight="false" outlineLevel="0" collapsed="false">
      <c r="A379" s="196" t="str">
        <f aca="false">IF(A378&lt;mthend,EDATE(A378,1),"")</f>
        <v/>
      </c>
      <c r="B379" s="197" t="str">
        <f aca="false">IF(A379&lt;mthend,B378,"")</f>
        <v/>
      </c>
      <c r="D379" s="197" t="str">
        <f aca="false">IF(A380&lt;&gt;"",B379+C379,"")</f>
        <v/>
      </c>
      <c r="E379" s="199" t="str">
        <f aca="false">IF(A380="","",IF(AND(AT379=1,$H$3=1),D379*AO379,IF($H$3=2,D379,"N/A")))</f>
        <v/>
      </c>
      <c r="F379" s="199" t="str">
        <f aca="false">IF(A380="","",E379*AS379)</f>
        <v/>
      </c>
      <c r="G379" s="200" t="str">
        <f aca="false">IF($A380="","",VLOOKUP($A379,Table,MATCH(G$4,Curves,0)))</f>
        <v/>
      </c>
      <c r="H379" s="201" t="str">
        <f aca="false">IF(A380="","",G379)</f>
        <v/>
      </c>
      <c r="J379" s="200" t="str">
        <f aca="false">IF($A380="","",VLOOKUP($A379,Table,MATCH(J$4,Curves,0)))</f>
        <v/>
      </c>
      <c r="K379" s="201" t="str">
        <f aca="false">IF(A380="","",J379)</f>
        <v/>
      </c>
      <c r="L379" s="185" t="n">
        <v>0</v>
      </c>
      <c r="M379" s="201" t="str">
        <f aca="false">IF(A380="","",L379)</f>
        <v/>
      </c>
      <c r="O379" s="200" t="str">
        <f aca="false">IF(A380="","",L379+J379+G379)</f>
        <v/>
      </c>
      <c r="P379" s="200" t="str">
        <f aca="false">IF(A380="","",M379+K379+H379)</f>
        <v/>
      </c>
      <c r="R379" s="200" t="str">
        <f aca="false">IF($A380="","",VLOOKUP($A379,Table,MATCH(R$4,Curves,0)))</f>
        <v/>
      </c>
      <c r="S379" s="201" t="str">
        <f aca="false">IF(A380="","",R379)</f>
        <v/>
      </c>
      <c r="T379" s="200" t="str">
        <f aca="false">IF($A380="","",VLOOKUP($A379,Table,MATCH(T$4,Curves,0)))</f>
        <v/>
      </c>
      <c r="U379" s="201" t="str">
        <f aca="false">IF(A380="","",T379)</f>
        <v/>
      </c>
      <c r="V379" s="183" t="str">
        <f aca="false">IF($A380="","",IF(AND(MONTH(A379)&gt;3,MONTH(A379)&lt;11),(T379+R379+G379)*(((1/(1-Summary!$T$14))/(1-Summary!$W$14))-1),(T379+R379+G379)*((1/(1-Summary!$U$14))/(1-Summary!$X$14)-1)))</f>
        <v/>
      </c>
      <c r="W379" s="202" t="str">
        <f aca="false">IF($A380="","",(T379+R379+G379+V379))</f>
        <v/>
      </c>
      <c r="X379" s="202" t="str">
        <f aca="false">IF($A380="","",(U379+S379+H379+V379))</f>
        <v/>
      </c>
      <c r="Y379" s="202"/>
      <c r="Z379" s="185"/>
      <c r="AG379" s="182"/>
      <c r="AH379" s="182"/>
      <c r="AI379" s="182"/>
      <c r="AJ379" s="218"/>
      <c r="AK379" s="218"/>
      <c r="AL379" s="218"/>
      <c r="AM379" s="218"/>
      <c r="AN379" s="218"/>
      <c r="AO379" s="137" t="str">
        <f aca="false">IF(A380="","",A380-A379)</f>
        <v/>
      </c>
      <c r="AP379" s="212" t="str">
        <f aca="false">IF(A380="","",CHOOSE(F$3,A380+24,A379))</f>
        <v/>
      </c>
      <c r="AQ379" s="209" t="str">
        <f aca="false">IF(A380="","",AP379-$E$1)</f>
        <v/>
      </c>
      <c r="AR379" s="185" t="n">
        <f aca="false">'ANR OK vs ML7'!AR379</f>
        <v>0.1</v>
      </c>
      <c r="AS379" s="213" t="str">
        <f aca="false">IF(A380="","",1/(1+CHOOSE(F$3,(AR380+($I$3/10000))/2,(AR379+($I$3/10000))/2))^(2*AQ379/365.25))</f>
        <v/>
      </c>
      <c r="AT379" s="137" t="str">
        <f aca="false">IF(A380="","",IF(AND(mthbeg&lt;=A379,mthend&gt;=A379),1,0))</f>
        <v/>
      </c>
      <c r="AU379" s="137" t="str">
        <f aca="false">IF(A380="","",AO379*AT379)</f>
        <v/>
      </c>
      <c r="AW379" s="195" t="str">
        <f aca="false">IF($A380="","",AL379*$E379)</f>
        <v/>
      </c>
      <c r="AX379" s="195" t="str">
        <f aca="false">IF($A380="","",AM379*$E379)</f>
        <v/>
      </c>
      <c r="AY379" s="195" t="str">
        <f aca="false">IF($A380="","",AN379*$E379)</f>
        <v/>
      </c>
      <c r="BA379" s="195" t="str">
        <f aca="false">IF($A380="","",F379*Summary!$Q$14)</f>
        <v/>
      </c>
    </row>
    <row r="380" customFormat="false" ht="12.75" hidden="false" customHeight="false" outlineLevel="0" collapsed="false">
      <c r="A380" s="196" t="str">
        <f aca="false">IF(A379&lt;mthend,EDATE(A379,1),"")</f>
        <v/>
      </c>
      <c r="B380" s="197" t="str">
        <f aca="false">IF(A380&lt;mthend,B379,"")</f>
        <v/>
      </c>
      <c r="D380" s="197" t="str">
        <f aca="false">IF(A381&lt;&gt;"",B380+C380,"")</f>
        <v/>
      </c>
      <c r="E380" s="199" t="str">
        <f aca="false">IF(A381="","",IF(AND(AT380=1,$H$3=1),D380*AO380,IF($H$3=2,D380,"N/A")))</f>
        <v/>
      </c>
      <c r="F380" s="199" t="str">
        <f aca="false">IF(A381="","",E380*AS380)</f>
        <v/>
      </c>
      <c r="G380" s="200" t="str">
        <f aca="false">IF($A381="","",VLOOKUP($A380,Table,MATCH(G$4,Curves,0)))</f>
        <v/>
      </c>
      <c r="H380" s="201" t="str">
        <f aca="false">IF(A381="","",G380)</f>
        <v/>
      </c>
      <c r="J380" s="200" t="str">
        <f aca="false">IF($A381="","",VLOOKUP($A380,Table,MATCH(J$4,Curves,0)))</f>
        <v/>
      </c>
      <c r="K380" s="201" t="str">
        <f aca="false">IF(A381="","",J380)</f>
        <v/>
      </c>
      <c r="L380" s="185" t="n">
        <v>0</v>
      </c>
      <c r="M380" s="201" t="str">
        <f aca="false">IF(A381="","",L380)</f>
        <v/>
      </c>
      <c r="O380" s="200" t="str">
        <f aca="false">IF(A381="","",L380+J380+G380)</f>
        <v/>
      </c>
      <c r="P380" s="200" t="str">
        <f aca="false">IF(A381="","",M380+K380+H380)</f>
        <v/>
      </c>
      <c r="R380" s="200" t="str">
        <f aca="false">IF($A381="","",VLOOKUP($A380,Table,MATCH(R$4,Curves,0)))</f>
        <v/>
      </c>
      <c r="S380" s="201" t="str">
        <f aca="false">IF(A381="","",R380)</f>
        <v/>
      </c>
      <c r="T380" s="200" t="str">
        <f aca="false">IF($A381="","",VLOOKUP($A380,Table,MATCH(T$4,Curves,0)))</f>
        <v/>
      </c>
      <c r="U380" s="201" t="str">
        <f aca="false">IF(A381="","",T380)</f>
        <v/>
      </c>
      <c r="V380" s="183" t="str">
        <f aca="false">IF($A381="","",IF(AND(MONTH(A380)&gt;3,MONTH(A380)&lt;11),(T380+R380+G380)*(((1/(1-Summary!$T$14))/(1-Summary!$W$14))-1),(T380+R380+G380)*((1/(1-Summary!$U$14))/(1-Summary!$X$14)-1)))</f>
        <v/>
      </c>
      <c r="W380" s="202" t="str">
        <f aca="false">IF($A381="","",(T380+R380+G380+V380))</f>
        <v/>
      </c>
      <c r="X380" s="202" t="str">
        <f aca="false">IF($A381="","",(U380+S380+H380+V380))</f>
        <v/>
      </c>
      <c r="Y380" s="202"/>
      <c r="Z380" s="185"/>
      <c r="AG380" s="182"/>
      <c r="AH380" s="182"/>
      <c r="AI380" s="182"/>
      <c r="AJ380" s="218"/>
      <c r="AK380" s="218"/>
      <c r="AL380" s="218"/>
      <c r="AM380" s="218"/>
      <c r="AN380" s="218"/>
      <c r="AO380" s="137" t="str">
        <f aca="false">IF(A381="","",A381-A380)</f>
        <v/>
      </c>
      <c r="AP380" s="212" t="str">
        <f aca="false">IF(A381="","",CHOOSE(F$3,A381+24,A380))</f>
        <v/>
      </c>
      <c r="AQ380" s="209" t="str">
        <f aca="false">IF(A381="","",AP380-$E$1)</f>
        <v/>
      </c>
      <c r="AR380" s="185" t="n">
        <f aca="false">'ANR OK vs ML7'!AR380</f>
        <v>0.1</v>
      </c>
      <c r="AS380" s="213" t="str">
        <f aca="false">IF(A381="","",1/(1+CHOOSE(F$3,(AR381+($I$3/10000))/2,(AR380+($I$3/10000))/2))^(2*AQ380/365.25))</f>
        <v/>
      </c>
      <c r="AT380" s="137" t="str">
        <f aca="false">IF(A381="","",IF(AND(mthbeg&lt;=A380,mthend&gt;=A380),1,0))</f>
        <v/>
      </c>
      <c r="AU380" s="137" t="str">
        <f aca="false">IF(A381="","",AO380*AT380)</f>
        <v/>
      </c>
      <c r="AW380" s="195" t="str">
        <f aca="false">IF($A381="","",AL380*$E380)</f>
        <v/>
      </c>
      <c r="AX380" s="195" t="str">
        <f aca="false">IF($A381="","",AM380*$E380)</f>
        <v/>
      </c>
      <c r="AY380" s="195" t="str">
        <f aca="false">IF($A381="","",AN380*$E380)</f>
        <v/>
      </c>
      <c r="BA380" s="195" t="str">
        <f aca="false">IF($A381="","",F380*Summary!$Q$14)</f>
        <v/>
      </c>
    </row>
    <row r="381" customFormat="false" ht="12.75" hidden="false" customHeight="false" outlineLevel="0" collapsed="false">
      <c r="A381" s="196" t="str">
        <f aca="false">IF(A380&lt;mthend,EDATE(A380,1),"")</f>
        <v/>
      </c>
      <c r="B381" s="197" t="str">
        <f aca="false">IF(A381&lt;mthend,B380,"")</f>
        <v/>
      </c>
      <c r="D381" s="197" t="str">
        <f aca="false">IF(A382&lt;&gt;"",B381+C381,"")</f>
        <v/>
      </c>
      <c r="E381" s="199" t="str">
        <f aca="false">IF(A382="","",IF(AND(AT381=1,$H$3=1),D381*AO381,IF($H$3=2,D381,"N/A")))</f>
        <v/>
      </c>
      <c r="F381" s="199" t="str">
        <f aca="false">IF(A382="","",E381*AS381)</f>
        <v/>
      </c>
      <c r="G381" s="200" t="str">
        <f aca="false">IF($A382="","",VLOOKUP($A381,Table,MATCH(G$4,Curves,0)))</f>
        <v/>
      </c>
      <c r="H381" s="201" t="str">
        <f aca="false">IF(A382="","",G381)</f>
        <v/>
      </c>
      <c r="J381" s="200" t="str">
        <f aca="false">IF($A382="","",VLOOKUP($A381,Table,MATCH(J$4,Curves,0)))</f>
        <v/>
      </c>
      <c r="K381" s="201" t="str">
        <f aca="false">IF(A382="","",J381)</f>
        <v/>
      </c>
      <c r="L381" s="185" t="n">
        <v>0</v>
      </c>
      <c r="M381" s="201" t="str">
        <f aca="false">IF(A382="","",L381)</f>
        <v/>
      </c>
      <c r="O381" s="200" t="str">
        <f aca="false">IF(A382="","",L381+J381+G381)</f>
        <v/>
      </c>
      <c r="P381" s="200" t="str">
        <f aca="false">IF(A382="","",M381+K381+H381)</f>
        <v/>
      </c>
      <c r="R381" s="200" t="str">
        <f aca="false">IF($A382="","",VLOOKUP($A381,Table,MATCH(R$4,Curves,0)))</f>
        <v/>
      </c>
      <c r="S381" s="201" t="str">
        <f aca="false">IF(A382="","",R381)</f>
        <v/>
      </c>
      <c r="T381" s="200" t="str">
        <f aca="false">IF($A382="","",VLOOKUP($A381,Table,MATCH(T$4,Curves,0)))</f>
        <v/>
      </c>
      <c r="U381" s="201" t="str">
        <f aca="false">IF(A382="","",T381)</f>
        <v/>
      </c>
      <c r="V381" s="183" t="str">
        <f aca="false">IF($A382="","",IF(AND(MONTH(A381)&gt;3,MONTH(A381)&lt;11),(T381+R381+G381)*(((1/(1-Summary!$T$14))/(1-Summary!$W$14))-1),(T381+R381+G381)*((1/(1-Summary!$U$14))/(1-Summary!$X$14)-1)))</f>
        <v/>
      </c>
      <c r="W381" s="202" t="str">
        <f aca="false">IF($A382="","",(T381+R381+G381+V381))</f>
        <v/>
      </c>
      <c r="X381" s="202" t="str">
        <f aca="false">IF($A382="","",(U381+S381+H381+V381))</f>
        <v/>
      </c>
      <c r="Y381" s="202"/>
      <c r="Z381" s="185"/>
      <c r="AG381" s="182"/>
      <c r="AH381" s="182"/>
      <c r="AI381" s="182"/>
      <c r="AJ381" s="218"/>
      <c r="AK381" s="218"/>
      <c r="AL381" s="218"/>
      <c r="AM381" s="218"/>
      <c r="AN381" s="218"/>
      <c r="AO381" s="137" t="str">
        <f aca="false">IF(A382="","",A382-A381)</f>
        <v/>
      </c>
      <c r="AP381" s="212" t="str">
        <f aca="false">IF(A382="","",CHOOSE(F$3,A382+24,A381))</f>
        <v/>
      </c>
      <c r="AQ381" s="209" t="str">
        <f aca="false">IF(A382="","",AP381-$E$1)</f>
        <v/>
      </c>
      <c r="AR381" s="185" t="n">
        <f aca="false">'ANR OK vs ML7'!AR381</f>
        <v>0.1</v>
      </c>
      <c r="AS381" s="213" t="str">
        <f aca="false">IF(A382="","",1/(1+CHOOSE(F$3,(AR382+($I$3/10000))/2,(AR381+($I$3/10000))/2))^(2*AQ381/365.25))</f>
        <v/>
      </c>
      <c r="AT381" s="137" t="str">
        <f aca="false">IF(A382="","",IF(AND(mthbeg&lt;=A381,mthend&gt;=A381),1,0))</f>
        <v/>
      </c>
      <c r="AU381" s="137" t="str">
        <f aca="false">IF(A382="","",AO381*AT381)</f>
        <v/>
      </c>
      <c r="AW381" s="195" t="str">
        <f aca="false">IF($A382="","",AL381*$E381)</f>
        <v/>
      </c>
      <c r="AX381" s="195" t="str">
        <f aca="false">IF($A382="","",AM381*$E381)</f>
        <v/>
      </c>
      <c r="AY381" s="195" t="str">
        <f aca="false">IF($A382="","",AN381*$E381)</f>
        <v/>
      </c>
      <c r="BA381" s="195" t="str">
        <f aca="false">IF($A382="","",F381*Summary!$Q$14)</f>
        <v/>
      </c>
    </row>
    <row r="382" customFormat="false" ht="12.75" hidden="false" customHeight="false" outlineLevel="0" collapsed="false">
      <c r="A382" s="196" t="str">
        <f aca="false">IF(A381&lt;mthend,EDATE(A381,1),"")</f>
        <v/>
      </c>
      <c r="B382" s="197" t="str">
        <f aca="false">IF(A382&lt;mthend,B381,"")</f>
        <v/>
      </c>
      <c r="D382" s="197" t="str">
        <f aca="false">IF(A383&lt;&gt;"",B382+C382,"")</f>
        <v/>
      </c>
      <c r="E382" s="199" t="str">
        <f aca="false">IF(A383="","",IF(AND(AT382=1,$H$3=1),D382*AO382,IF($H$3=2,D382,"N/A")))</f>
        <v/>
      </c>
      <c r="F382" s="199" t="str">
        <f aca="false">IF(A383="","",E382*AS382)</f>
        <v/>
      </c>
      <c r="G382" s="200" t="str">
        <f aca="false">IF($A383="","",VLOOKUP($A382,Table,MATCH(G$4,Curves,0)))</f>
        <v/>
      </c>
      <c r="H382" s="201" t="str">
        <f aca="false">IF(A383="","",G382)</f>
        <v/>
      </c>
      <c r="J382" s="200" t="str">
        <f aca="false">IF($A383="","",VLOOKUP($A382,Table,MATCH(J$4,Curves,0)))</f>
        <v/>
      </c>
      <c r="K382" s="201" t="str">
        <f aca="false">IF(A383="","",J382)</f>
        <v/>
      </c>
      <c r="L382" s="185" t="n">
        <v>0</v>
      </c>
      <c r="M382" s="201" t="str">
        <f aca="false">IF(A383="","",L382)</f>
        <v/>
      </c>
      <c r="O382" s="200" t="str">
        <f aca="false">IF(A383="","",L382+J382+G382)</f>
        <v/>
      </c>
      <c r="P382" s="200" t="str">
        <f aca="false">IF(A383="","",M382+K382+H382)</f>
        <v/>
      </c>
      <c r="R382" s="200" t="str">
        <f aca="false">IF($A383="","",VLOOKUP($A382,Table,MATCH(R$4,Curves,0)))</f>
        <v/>
      </c>
      <c r="S382" s="201" t="str">
        <f aca="false">IF(A383="","",R382)</f>
        <v/>
      </c>
      <c r="T382" s="200" t="str">
        <f aca="false">IF($A383="","",VLOOKUP($A382,Table,MATCH(T$4,Curves,0)))</f>
        <v/>
      </c>
      <c r="U382" s="201" t="str">
        <f aca="false">IF(A383="","",T382)</f>
        <v/>
      </c>
      <c r="V382" s="183" t="str">
        <f aca="false">IF($A383="","",IF(AND(MONTH(A382)&gt;3,MONTH(A382)&lt;11),(T382+R382+G382)*(((1/(1-Summary!$T$14))/(1-Summary!$W$14))-1),(T382+R382+G382)*((1/(1-Summary!$U$14))/(1-Summary!$X$14)-1)))</f>
        <v/>
      </c>
      <c r="W382" s="202" t="str">
        <f aca="false">IF($A383="","",(T382+R382+G382+V382))</f>
        <v/>
      </c>
      <c r="X382" s="202" t="str">
        <f aca="false">IF($A383="","",(U382+S382+H382+V382))</f>
        <v/>
      </c>
      <c r="Y382" s="202"/>
      <c r="Z382" s="185"/>
      <c r="AG382" s="182"/>
      <c r="AH382" s="182"/>
      <c r="AI382" s="182"/>
      <c r="AJ382" s="218"/>
      <c r="AK382" s="218"/>
      <c r="AL382" s="218"/>
      <c r="AM382" s="218"/>
      <c r="AN382" s="218"/>
      <c r="AO382" s="137" t="str">
        <f aca="false">IF(A383="","",A383-A382)</f>
        <v/>
      </c>
      <c r="AP382" s="212" t="str">
        <f aca="false">IF(A383="","",CHOOSE(F$3,A383+24,A382))</f>
        <v/>
      </c>
      <c r="AQ382" s="209" t="str">
        <f aca="false">IF(A383="","",AP382-$E$1)</f>
        <v/>
      </c>
      <c r="AR382" s="185" t="n">
        <f aca="false">'ANR OK vs ML7'!AR382</f>
        <v>0.1</v>
      </c>
      <c r="AS382" s="213" t="str">
        <f aca="false">IF(A383="","",1/(1+CHOOSE(F$3,(AR383+($I$3/10000))/2,(AR382+($I$3/10000))/2))^(2*AQ382/365.25))</f>
        <v/>
      </c>
      <c r="AT382" s="137" t="str">
        <f aca="false">IF(A383="","",IF(AND(mthbeg&lt;=A382,mthend&gt;=A382),1,0))</f>
        <v/>
      </c>
      <c r="AU382" s="137" t="str">
        <f aca="false">IF(A383="","",AO382*AT382)</f>
        <v/>
      </c>
      <c r="AW382" s="195" t="str">
        <f aca="false">IF($A383="","",AL382*$E382)</f>
        <v/>
      </c>
      <c r="AX382" s="195" t="str">
        <f aca="false">IF($A383="","",AM382*$E382)</f>
        <v/>
      </c>
      <c r="AY382" s="195" t="str">
        <f aca="false">IF($A383="","",AN382*$E382)</f>
        <v/>
      </c>
      <c r="BA382" s="195" t="str">
        <f aca="false">IF($A383="","",F382*Summary!$Q$14)</f>
        <v/>
      </c>
    </row>
    <row r="383" customFormat="false" ht="12.75" hidden="false" customHeight="false" outlineLevel="0" collapsed="false">
      <c r="A383" s="196" t="str">
        <f aca="false">IF(A382&lt;mthend,EDATE(A382,1),"")</f>
        <v/>
      </c>
      <c r="B383" s="197" t="str">
        <f aca="false">IF(A383&lt;mthend,B382,"")</f>
        <v/>
      </c>
      <c r="D383" s="197" t="str">
        <f aca="false">IF(A384&lt;&gt;"",B383+C383,"")</f>
        <v/>
      </c>
      <c r="E383" s="199" t="str">
        <f aca="false">IF(A384="","",IF(AND(AT383=1,$H$3=1),D383*AO383,IF($H$3=2,D383,"N/A")))</f>
        <v/>
      </c>
      <c r="F383" s="199" t="str">
        <f aca="false">IF(A384="","",E383*AS383)</f>
        <v/>
      </c>
      <c r="G383" s="200" t="str">
        <f aca="false">IF($A384="","",VLOOKUP($A383,Table,MATCH(G$4,Curves,0)))</f>
        <v/>
      </c>
      <c r="H383" s="201" t="str">
        <f aca="false">IF(A384="","",G383)</f>
        <v/>
      </c>
      <c r="J383" s="200" t="str">
        <f aca="false">IF($A384="","",VLOOKUP($A383,Table,MATCH(J$4,Curves,0)))</f>
        <v/>
      </c>
      <c r="K383" s="201" t="str">
        <f aca="false">IF(A384="","",J383)</f>
        <v/>
      </c>
      <c r="L383" s="185" t="n">
        <v>0</v>
      </c>
      <c r="M383" s="201" t="str">
        <f aca="false">IF(A384="","",L383)</f>
        <v/>
      </c>
      <c r="O383" s="200" t="str">
        <f aca="false">IF(A384="","",L383+J383+G383)</f>
        <v/>
      </c>
      <c r="P383" s="200" t="str">
        <f aca="false">IF(A384="","",M383+K383+H383)</f>
        <v/>
      </c>
      <c r="R383" s="200" t="str">
        <f aca="false">IF($A384="","",VLOOKUP($A383,Table,MATCH(R$4,Curves,0)))</f>
        <v/>
      </c>
      <c r="S383" s="201" t="str">
        <f aca="false">IF(A384="","",R383)</f>
        <v/>
      </c>
      <c r="T383" s="200" t="str">
        <f aca="false">IF($A384="","",VLOOKUP($A383,Table,MATCH(T$4,Curves,0)))</f>
        <v/>
      </c>
      <c r="U383" s="201" t="str">
        <f aca="false">IF(A384="","",T383)</f>
        <v/>
      </c>
      <c r="V383" s="183" t="str">
        <f aca="false">IF($A384="","",IF(AND(MONTH(A383)&gt;3,MONTH(A383)&lt;11),(T383+R383+G383)*(((1/(1-Summary!$T$14))/(1-Summary!$W$14))-1),(T383+R383+G383)*((1/(1-Summary!$U$14))/(1-Summary!$X$14)-1)))</f>
        <v/>
      </c>
      <c r="W383" s="202" t="str">
        <f aca="false">IF($A384="","",(T383+R383+G383+V383))</f>
        <v/>
      </c>
      <c r="X383" s="202" t="str">
        <f aca="false">IF($A384="","",(U383+S383+H383+V383))</f>
        <v/>
      </c>
      <c r="Y383" s="202"/>
      <c r="Z383" s="185"/>
      <c r="AG383" s="182"/>
      <c r="AH383" s="182"/>
      <c r="AI383" s="182"/>
      <c r="AJ383" s="218"/>
      <c r="AK383" s="218"/>
      <c r="AL383" s="218"/>
      <c r="AM383" s="218"/>
      <c r="AN383" s="218"/>
      <c r="AO383" s="137" t="str">
        <f aca="false">IF(A384="","",A384-A383)</f>
        <v/>
      </c>
      <c r="AP383" s="212" t="str">
        <f aca="false">IF(A384="","",CHOOSE(F$3,A384+24,A383))</f>
        <v/>
      </c>
      <c r="AQ383" s="209" t="str">
        <f aca="false">IF(A384="","",AP383-$E$1)</f>
        <v/>
      </c>
      <c r="AR383" s="185" t="n">
        <f aca="false">'ANR OK vs ML7'!AR383</f>
        <v>0.1</v>
      </c>
      <c r="AS383" s="213" t="str">
        <f aca="false">IF(A384="","",1/(1+CHOOSE(F$3,(AR384+($I$3/10000))/2,(AR383+($I$3/10000))/2))^(2*AQ383/365.25))</f>
        <v/>
      </c>
      <c r="AT383" s="137" t="str">
        <f aca="false">IF(A384="","",IF(AND(mthbeg&lt;=A383,mthend&gt;=A383),1,0))</f>
        <v/>
      </c>
      <c r="AU383" s="137" t="str">
        <f aca="false">IF(A384="","",AO383*AT383)</f>
        <v/>
      </c>
      <c r="AW383" s="195" t="str">
        <f aca="false">IF($A384="","",AL383*$E383)</f>
        <v/>
      </c>
      <c r="AX383" s="195" t="str">
        <f aca="false">IF($A384="","",AM383*$E383)</f>
        <v/>
      </c>
      <c r="AY383" s="195" t="str">
        <f aca="false">IF($A384="","",AN383*$E383)</f>
        <v/>
      </c>
      <c r="BA383" s="195" t="str">
        <f aca="false">IF($A384="","",F383*Summary!$Q$14)</f>
        <v/>
      </c>
    </row>
    <row r="384" customFormat="false" ht="12.75" hidden="false" customHeight="false" outlineLevel="0" collapsed="false">
      <c r="A384" s="196" t="str">
        <f aca="false">IF(A383&lt;mthend,EDATE(A383,1),"")</f>
        <v/>
      </c>
      <c r="B384" s="197" t="str">
        <f aca="false">IF(A384&lt;mthend,B383,"")</f>
        <v/>
      </c>
      <c r="D384" s="197" t="str">
        <f aca="false">IF(A385&lt;&gt;"",B384+C384,"")</f>
        <v/>
      </c>
      <c r="E384" s="199" t="str">
        <f aca="false">IF(A385="","",IF(AND(AT384=1,$H$3=1),D384*AO384,IF($H$3=2,D384,"N/A")))</f>
        <v/>
      </c>
      <c r="F384" s="199" t="str">
        <f aca="false">IF(A385="","",E384*AS384)</f>
        <v/>
      </c>
      <c r="G384" s="200" t="str">
        <f aca="false">IF($A385="","",VLOOKUP($A384,Table,MATCH(G$4,Curves,0)))</f>
        <v/>
      </c>
      <c r="H384" s="201" t="str">
        <f aca="false">IF(A385="","",G384)</f>
        <v/>
      </c>
      <c r="J384" s="200" t="str">
        <f aca="false">IF($A385="","",VLOOKUP($A384,Table,MATCH(J$4,Curves,0)))</f>
        <v/>
      </c>
      <c r="K384" s="201" t="str">
        <f aca="false">IF(A385="","",J384)</f>
        <v/>
      </c>
      <c r="L384" s="185" t="n">
        <v>0</v>
      </c>
      <c r="M384" s="201" t="str">
        <f aca="false">IF(A385="","",L384)</f>
        <v/>
      </c>
      <c r="O384" s="200" t="str">
        <f aca="false">IF(A385="","",L384+J384+G384)</f>
        <v/>
      </c>
      <c r="P384" s="200" t="str">
        <f aca="false">IF(A385="","",M384+K384+H384)</f>
        <v/>
      </c>
      <c r="R384" s="200" t="str">
        <f aca="false">IF($A385="","",VLOOKUP($A384,Table,MATCH(R$4,Curves,0)))</f>
        <v/>
      </c>
      <c r="S384" s="201" t="str">
        <f aca="false">IF(A385="","",R384)</f>
        <v/>
      </c>
      <c r="T384" s="200" t="str">
        <f aca="false">IF($A385="","",VLOOKUP($A384,Table,MATCH(T$4,Curves,0)))</f>
        <v/>
      </c>
      <c r="U384" s="201" t="str">
        <f aca="false">IF(A385="","",T384)</f>
        <v/>
      </c>
      <c r="V384" s="183" t="str">
        <f aca="false">IF($A385="","",IF(AND(MONTH(A384)&gt;3,MONTH(A384)&lt;11),(T384+R384+G384)*(((1/(1-Summary!$T$14))/(1-Summary!$W$14))-1),(T384+R384+G384)*((1/(1-Summary!$U$14))/(1-Summary!$X$14)-1)))</f>
        <v/>
      </c>
      <c r="W384" s="202" t="str">
        <f aca="false">IF($A385="","",(T384+R384+G384+V384))</f>
        <v/>
      </c>
      <c r="X384" s="202" t="str">
        <f aca="false">IF($A385="","",(U384+S384+H384+V384))</f>
        <v/>
      </c>
      <c r="Y384" s="202"/>
      <c r="Z384" s="185"/>
      <c r="AG384" s="182"/>
      <c r="AH384" s="182"/>
      <c r="AI384" s="182"/>
      <c r="AJ384" s="218"/>
      <c r="AK384" s="218"/>
      <c r="AL384" s="218"/>
      <c r="AM384" s="218"/>
      <c r="AN384" s="218"/>
      <c r="AO384" s="137" t="str">
        <f aca="false">IF(A385="","",A385-A384)</f>
        <v/>
      </c>
      <c r="AP384" s="212" t="str">
        <f aca="false">IF(A385="","",CHOOSE(F$3,A385+24,A384))</f>
        <v/>
      </c>
      <c r="AQ384" s="209" t="str">
        <f aca="false">IF(A385="","",AP384-$E$1)</f>
        <v/>
      </c>
      <c r="AR384" s="185" t="n">
        <f aca="false">'ANR OK vs ML7'!AR384</f>
        <v>0.1</v>
      </c>
      <c r="AS384" s="213" t="str">
        <f aca="false">IF(A385="","",1/(1+CHOOSE(F$3,(AR385+($I$3/10000))/2,(AR384+($I$3/10000))/2))^(2*AQ384/365.25))</f>
        <v/>
      </c>
      <c r="AT384" s="137" t="str">
        <f aca="false">IF(A385="","",IF(AND(mthbeg&lt;=A384,mthend&gt;=A384),1,0))</f>
        <v/>
      </c>
      <c r="AU384" s="137" t="str">
        <f aca="false">IF(A385="","",AO384*AT384)</f>
        <v/>
      </c>
      <c r="AW384" s="195" t="str">
        <f aca="false">IF($A385="","",AL384*$E384)</f>
        <v/>
      </c>
      <c r="AX384" s="195" t="str">
        <f aca="false">IF($A385="","",AM384*$E384)</f>
        <v/>
      </c>
      <c r="AY384" s="195" t="str">
        <f aca="false">IF($A385="","",AN384*$E384)</f>
        <v/>
      </c>
      <c r="BA384" s="195" t="str">
        <f aca="false">IF($A385="","",F384*Summary!$Q$14)</f>
        <v/>
      </c>
    </row>
    <row r="385" customFormat="false" ht="12.75" hidden="false" customHeight="false" outlineLevel="0" collapsed="false">
      <c r="A385" s="196" t="str">
        <f aca="false">IF(A384&lt;mthend,EDATE(A384,1),"")</f>
        <v/>
      </c>
      <c r="B385" s="197" t="str">
        <f aca="false">IF(A385&lt;mthend,B384,"")</f>
        <v/>
      </c>
      <c r="D385" s="197" t="str">
        <f aca="false">IF(A386&lt;&gt;"",B385+C385,"")</f>
        <v/>
      </c>
      <c r="E385" s="199" t="str">
        <f aca="false">IF(A386="","",IF(AND(AT385=1,$H$3=1),D385*AO385,IF($H$3=2,D385,"N/A")))</f>
        <v/>
      </c>
      <c r="F385" s="199" t="str">
        <f aca="false">IF(A386="","",E385*AS385)</f>
        <v/>
      </c>
      <c r="G385" s="200" t="str">
        <f aca="false">IF($A386="","",VLOOKUP($A385,Table,MATCH(G$4,Curves,0)))</f>
        <v/>
      </c>
      <c r="H385" s="201" t="str">
        <f aca="false">IF(A386="","",G385)</f>
        <v/>
      </c>
      <c r="J385" s="200" t="str">
        <f aca="false">IF($A386="","",VLOOKUP($A385,Table,MATCH(J$4,Curves,0)))</f>
        <v/>
      </c>
      <c r="K385" s="201" t="str">
        <f aca="false">IF(A386="","",J385)</f>
        <v/>
      </c>
      <c r="L385" s="185" t="n">
        <v>0</v>
      </c>
      <c r="M385" s="201" t="str">
        <f aca="false">IF(A386="","",L385)</f>
        <v/>
      </c>
      <c r="O385" s="200" t="str">
        <f aca="false">IF(A386="","",L385+J385+G385)</f>
        <v/>
      </c>
      <c r="P385" s="200" t="str">
        <f aca="false">IF(A386="","",M385+K385+H385)</f>
        <v/>
      </c>
      <c r="R385" s="200" t="str">
        <f aca="false">IF($A386="","",VLOOKUP($A385,Table,MATCH(R$4,Curves,0)))</f>
        <v/>
      </c>
      <c r="S385" s="201" t="str">
        <f aca="false">IF(A386="","",R385)</f>
        <v/>
      </c>
      <c r="T385" s="200" t="str">
        <f aca="false">IF($A386="","",VLOOKUP($A385,Table,MATCH(T$4,Curves,0)))</f>
        <v/>
      </c>
      <c r="U385" s="201" t="str">
        <f aca="false">IF(A386="","",T385)</f>
        <v/>
      </c>
      <c r="V385" s="183" t="str">
        <f aca="false">IF($A386="","",IF(AND(MONTH(A385)&gt;3,MONTH(A385)&lt;11),(T385+R385+G385)*(((1/(1-Summary!$T$14))/(1-Summary!$W$14))-1),(T385+R385+G385)*((1/(1-Summary!$U$14))/(1-Summary!$X$14)-1)))</f>
        <v/>
      </c>
      <c r="W385" s="202" t="str">
        <f aca="false">IF($A386="","",(T385+R385+G385+V385))</f>
        <v/>
      </c>
      <c r="X385" s="202" t="str">
        <f aca="false">IF($A386="","",(U385+S385+H385+V385))</f>
        <v/>
      </c>
      <c r="Y385" s="202"/>
      <c r="Z385" s="185"/>
      <c r="AG385" s="182"/>
      <c r="AH385" s="182"/>
      <c r="AI385" s="182"/>
      <c r="AJ385" s="218"/>
      <c r="AK385" s="218"/>
      <c r="AL385" s="218"/>
      <c r="AM385" s="218"/>
      <c r="AN385" s="218"/>
      <c r="AO385" s="137" t="str">
        <f aca="false">IF(A386="","",A386-A385)</f>
        <v/>
      </c>
      <c r="AP385" s="212" t="str">
        <f aca="false">IF(A386="","",CHOOSE(F$3,A386+24,A385))</f>
        <v/>
      </c>
      <c r="AQ385" s="209" t="str">
        <f aca="false">IF(A386="","",AP385-$E$1)</f>
        <v/>
      </c>
      <c r="AR385" s="185" t="n">
        <f aca="false">'ANR OK vs ML7'!AR385</f>
        <v>0.1</v>
      </c>
      <c r="AS385" s="213" t="str">
        <f aca="false">IF(A386="","",1/(1+CHOOSE(F$3,(AR386+($I$3/10000))/2,(AR385+($I$3/10000))/2))^(2*AQ385/365.25))</f>
        <v/>
      </c>
      <c r="AT385" s="137" t="str">
        <f aca="false">IF(A386="","",IF(AND(mthbeg&lt;=A385,mthend&gt;=A385),1,0))</f>
        <v/>
      </c>
      <c r="AU385" s="137" t="str">
        <f aca="false">IF(A386="","",AO385*AT385)</f>
        <v/>
      </c>
      <c r="AW385" s="195" t="str">
        <f aca="false">IF($A386="","",AL385*$E385)</f>
        <v/>
      </c>
      <c r="AX385" s="195" t="str">
        <f aca="false">IF($A386="","",AM385*$E385)</f>
        <v/>
      </c>
      <c r="AY385" s="195" t="str">
        <f aca="false">IF($A386="","",AN385*$E385)</f>
        <v/>
      </c>
      <c r="BA385" s="195" t="str">
        <f aca="false">IF($A386="","",F385*Summary!$Q$14)</f>
        <v/>
      </c>
    </row>
    <row r="386" customFormat="false" ht="12.75" hidden="false" customHeight="false" outlineLevel="0" collapsed="false">
      <c r="A386" s="196" t="str">
        <f aca="false">IF(A385&lt;mthend,EDATE(A385,1),"")</f>
        <v/>
      </c>
      <c r="B386" s="197" t="str">
        <f aca="false">IF(A386&lt;mthend,B385,"")</f>
        <v/>
      </c>
      <c r="D386" s="197" t="str">
        <f aca="false">IF(A387&lt;&gt;"",B386+C386,"")</f>
        <v/>
      </c>
      <c r="E386" s="199" t="str">
        <f aca="false">IF(A387="","",IF(AND(AT386=1,$H$3=1),D386*AO386,IF($H$3=2,D386,"N/A")))</f>
        <v/>
      </c>
      <c r="F386" s="199" t="str">
        <f aca="false">IF(A387="","",E386*AS386)</f>
        <v/>
      </c>
      <c r="G386" s="200" t="str">
        <f aca="false">IF($A387="","",VLOOKUP($A386,Table,MATCH(G$4,Curves,0)))</f>
        <v/>
      </c>
      <c r="H386" s="201" t="str">
        <f aca="false">IF(A387="","",G386)</f>
        <v/>
      </c>
      <c r="J386" s="200" t="str">
        <f aca="false">IF($A387="","",VLOOKUP($A386,Table,MATCH(J$4,Curves,0)))</f>
        <v/>
      </c>
      <c r="K386" s="201" t="str">
        <f aca="false">IF(A387="","",J386)</f>
        <v/>
      </c>
      <c r="L386" s="185" t="n">
        <v>0</v>
      </c>
      <c r="M386" s="201" t="str">
        <f aca="false">IF(A387="","",L386)</f>
        <v/>
      </c>
      <c r="O386" s="200" t="str">
        <f aca="false">IF(A387="","",L386+J386+G386)</f>
        <v/>
      </c>
      <c r="P386" s="200" t="str">
        <f aca="false">IF(A387="","",M386+K386+H386)</f>
        <v/>
      </c>
      <c r="R386" s="200" t="str">
        <f aca="false">IF($A387="","",VLOOKUP($A386,Table,MATCH(R$4,Curves,0)))</f>
        <v/>
      </c>
      <c r="S386" s="201" t="str">
        <f aca="false">IF(A387="","",R386)</f>
        <v/>
      </c>
      <c r="T386" s="200" t="str">
        <f aca="false">IF($A387="","",VLOOKUP($A386,Table,MATCH(T$4,Curves,0)))</f>
        <v/>
      </c>
      <c r="U386" s="201" t="str">
        <f aca="false">IF(A387="","",T386)</f>
        <v/>
      </c>
      <c r="V386" s="183" t="str">
        <f aca="false">IF($A387="","",IF(AND(MONTH(A386)&gt;3,MONTH(A386)&lt;11),(T386+R386+G386)*(((1/(1-Summary!$T$14))/(1-Summary!$W$14))-1),(T386+R386+G386)*((1/(1-Summary!$U$14))/(1-Summary!$X$14)-1)))</f>
        <v/>
      </c>
      <c r="W386" s="202" t="str">
        <f aca="false">IF($A387="","",(T386+R386+G386+V386))</f>
        <v/>
      </c>
      <c r="X386" s="202" t="str">
        <f aca="false">IF($A387="","",(U386+S386+H386+V386))</f>
        <v/>
      </c>
      <c r="Y386" s="202"/>
      <c r="Z386" s="185"/>
      <c r="AG386" s="182"/>
      <c r="AH386" s="182"/>
      <c r="AI386" s="182"/>
      <c r="AJ386" s="218"/>
      <c r="AK386" s="218"/>
      <c r="AL386" s="218"/>
      <c r="AM386" s="218"/>
      <c r="AN386" s="218"/>
      <c r="AO386" s="137" t="str">
        <f aca="false">IF(A387="","",A387-A386)</f>
        <v/>
      </c>
      <c r="AP386" s="212" t="str">
        <f aca="false">IF(A387="","",CHOOSE(F$3,A387+24,A386))</f>
        <v/>
      </c>
      <c r="AQ386" s="209" t="str">
        <f aca="false">IF(A387="","",AP386-$E$1)</f>
        <v/>
      </c>
      <c r="AR386" s="185" t="n">
        <f aca="false">'ANR OK vs ML7'!AR386</f>
        <v>0.1</v>
      </c>
      <c r="AS386" s="213" t="str">
        <f aca="false">IF(A387="","",1/(1+CHOOSE(F$3,(AR387+($I$3/10000))/2,(AR386+($I$3/10000))/2))^(2*AQ386/365.25))</f>
        <v/>
      </c>
      <c r="AT386" s="137" t="str">
        <f aca="false">IF(A387="","",IF(AND(mthbeg&lt;=A386,mthend&gt;=A386),1,0))</f>
        <v/>
      </c>
      <c r="AU386" s="137" t="str">
        <f aca="false">IF(A387="","",AO386*AT386)</f>
        <v/>
      </c>
      <c r="AW386" s="195" t="str">
        <f aca="false">IF($A387="","",AL386*$E386)</f>
        <v/>
      </c>
      <c r="AX386" s="195" t="str">
        <f aca="false">IF($A387="","",AM386*$E386)</f>
        <v/>
      </c>
      <c r="AY386" s="195" t="str">
        <f aca="false">IF($A387="","",AN386*$E386)</f>
        <v/>
      </c>
      <c r="BA386" s="195" t="str">
        <f aca="false">IF($A387="","",F386*Summary!$Q$14)</f>
        <v/>
      </c>
    </row>
    <row r="387" customFormat="false" ht="12.75" hidden="false" customHeight="false" outlineLevel="0" collapsed="false">
      <c r="A387" s="196" t="str">
        <f aca="false">IF(A386&lt;mthend,EDATE(A386,1),"")</f>
        <v/>
      </c>
      <c r="B387" s="197" t="str">
        <f aca="false">IF(A387&lt;mthend,B386,"")</f>
        <v/>
      </c>
      <c r="D387" s="197" t="str">
        <f aca="false">IF(A388&lt;&gt;"",B387+C387,"")</f>
        <v/>
      </c>
      <c r="E387" s="199" t="str">
        <f aca="false">IF(A388="","",IF(AND(AT387=1,$H$3=1),D387*AO387,IF($H$3=2,D387,"N/A")))</f>
        <v/>
      </c>
      <c r="F387" s="199" t="str">
        <f aca="false">IF(A388="","",E387*AS387)</f>
        <v/>
      </c>
      <c r="G387" s="200" t="str">
        <f aca="false">IF($A388="","",VLOOKUP($A387,Table,MATCH(G$4,Curves,0)))</f>
        <v/>
      </c>
      <c r="H387" s="201" t="str">
        <f aca="false">IF(A388="","",G387)</f>
        <v/>
      </c>
      <c r="J387" s="200" t="str">
        <f aca="false">IF($A388="","",VLOOKUP($A387,Table,MATCH(J$4,Curves,0)))</f>
        <v/>
      </c>
      <c r="K387" s="201" t="str">
        <f aca="false">IF(A388="","",J387)</f>
        <v/>
      </c>
      <c r="L387" s="185" t="n">
        <v>0</v>
      </c>
      <c r="M387" s="201" t="str">
        <f aca="false">IF(A388="","",L387)</f>
        <v/>
      </c>
      <c r="O387" s="200" t="str">
        <f aca="false">IF(A388="","",L387+J387+G387)</f>
        <v/>
      </c>
      <c r="P387" s="200" t="str">
        <f aca="false">IF(A388="","",M387+K387+H387)</f>
        <v/>
      </c>
      <c r="R387" s="200" t="str">
        <f aca="false">IF($A388="","",VLOOKUP($A387,Table,MATCH(R$4,Curves,0)))</f>
        <v/>
      </c>
      <c r="S387" s="201" t="str">
        <f aca="false">IF(A388="","",R387)</f>
        <v/>
      </c>
      <c r="T387" s="200" t="str">
        <f aca="false">IF($A388="","",VLOOKUP($A387,Table,MATCH(T$4,Curves,0)))</f>
        <v/>
      </c>
      <c r="U387" s="201" t="str">
        <f aca="false">IF(A388="","",T387)</f>
        <v/>
      </c>
      <c r="V387" s="183" t="str">
        <f aca="false">IF($A388="","",IF(AND(MONTH(A387)&gt;3,MONTH(A387)&lt;11),(T387+R387+G387)*(((1/(1-Summary!$T$14))/(1-Summary!$W$14))-1),(T387+R387+G387)*((1/(1-Summary!$U$14))/(1-Summary!$X$14)-1)))</f>
        <v/>
      </c>
      <c r="W387" s="202" t="str">
        <f aca="false">IF($A388="","",(T387+R387+G387+V387))</f>
        <v/>
      </c>
      <c r="X387" s="202" t="str">
        <f aca="false">IF($A388="","",(U387+S387+H387+V387))</f>
        <v/>
      </c>
      <c r="Y387" s="202"/>
      <c r="Z387" s="185"/>
      <c r="AG387" s="182"/>
      <c r="AH387" s="182"/>
      <c r="AI387" s="182"/>
      <c r="AJ387" s="218"/>
      <c r="AK387" s="218"/>
      <c r="AL387" s="218"/>
      <c r="AM387" s="218"/>
      <c r="AN387" s="218"/>
      <c r="AO387" s="137" t="str">
        <f aca="false">IF(A388="","",A388-A387)</f>
        <v/>
      </c>
      <c r="AP387" s="212" t="str">
        <f aca="false">IF(A388="","",CHOOSE(F$3,A388+24,A387))</f>
        <v/>
      </c>
      <c r="AQ387" s="209" t="str">
        <f aca="false">IF(A388="","",AP387-$E$1)</f>
        <v/>
      </c>
      <c r="AR387" s="185" t="n">
        <f aca="false">'ANR OK vs ML7'!AR387</f>
        <v>0.1</v>
      </c>
      <c r="AS387" s="213" t="str">
        <f aca="false">IF(A388="","",1/(1+CHOOSE(F$3,(AR388+($I$3/10000))/2,(AR387+($I$3/10000))/2))^(2*AQ387/365.25))</f>
        <v/>
      </c>
      <c r="AT387" s="137" t="str">
        <f aca="false">IF(A388="","",IF(AND(mthbeg&lt;=A387,mthend&gt;=A387),1,0))</f>
        <v/>
      </c>
      <c r="AU387" s="137" t="str">
        <f aca="false">IF(A388="","",AO387*AT387)</f>
        <v/>
      </c>
      <c r="AW387" s="195" t="str">
        <f aca="false">IF($A388="","",AL387*$E387)</f>
        <v/>
      </c>
      <c r="AX387" s="195" t="str">
        <f aca="false">IF($A388="","",AM387*$E387)</f>
        <v/>
      </c>
      <c r="AY387" s="195" t="str">
        <f aca="false">IF($A388="","",AN387*$E387)</f>
        <v/>
      </c>
      <c r="BA387" s="195" t="str">
        <f aca="false">IF($A388="","",F387*Summary!$Q$14)</f>
        <v/>
      </c>
    </row>
    <row r="388" customFormat="false" ht="12.75" hidden="false" customHeight="false" outlineLevel="0" collapsed="false">
      <c r="A388" s="196" t="str">
        <f aca="false">IF(A387&lt;mthend,EDATE(A387,1),"")</f>
        <v/>
      </c>
      <c r="B388" s="197" t="str">
        <f aca="false">IF(A388&lt;mthend,B387,"")</f>
        <v/>
      </c>
      <c r="D388" s="197" t="str">
        <f aca="false">IF(A389&lt;&gt;"",B388+C388,"")</f>
        <v/>
      </c>
      <c r="E388" s="199" t="str">
        <f aca="false">IF(A389="","",IF(AND(AT388=1,$H$3=1),D388*AO388,IF($H$3=2,D388,"N/A")))</f>
        <v/>
      </c>
      <c r="F388" s="199" t="str">
        <f aca="false">IF(A389="","",E388*AS388)</f>
        <v/>
      </c>
      <c r="G388" s="200" t="str">
        <f aca="false">IF($A389="","",VLOOKUP($A388,Table,MATCH(G$4,Curves,0)))</f>
        <v/>
      </c>
      <c r="H388" s="201" t="str">
        <f aca="false">IF(A389="","",G388)</f>
        <v/>
      </c>
      <c r="J388" s="200" t="str">
        <f aca="false">IF($A389="","",VLOOKUP($A388,Table,MATCH(J$4,Curves,0)))</f>
        <v/>
      </c>
      <c r="K388" s="201" t="str">
        <f aca="false">IF(A389="","",J388)</f>
        <v/>
      </c>
      <c r="L388" s="185" t="n">
        <v>0</v>
      </c>
      <c r="M388" s="201" t="str">
        <f aca="false">IF(A389="","",L388)</f>
        <v/>
      </c>
      <c r="O388" s="200" t="str">
        <f aca="false">IF(A389="","",L388+J388+G388)</f>
        <v/>
      </c>
      <c r="P388" s="200" t="str">
        <f aca="false">IF(A389="","",M388+K388+H388)</f>
        <v/>
      </c>
      <c r="R388" s="200" t="str">
        <f aca="false">IF($A389="","",VLOOKUP($A388,Table,MATCH(R$4,Curves,0)))</f>
        <v/>
      </c>
      <c r="S388" s="201" t="str">
        <f aca="false">IF(A389="","",R388)</f>
        <v/>
      </c>
      <c r="T388" s="200" t="str">
        <f aca="false">IF($A389="","",VLOOKUP($A388,Table,MATCH(T$4,Curves,0)))</f>
        <v/>
      </c>
      <c r="U388" s="201" t="str">
        <f aca="false">IF(A389="","",T388)</f>
        <v/>
      </c>
      <c r="V388" s="183" t="str">
        <f aca="false">IF($A389="","",IF(AND(MONTH(A388)&gt;3,MONTH(A388)&lt;11),(T388+R388+G388)*(((1/(1-Summary!$T$14))/(1-Summary!$W$14))-1),(T388+R388+G388)*((1/(1-Summary!$U$14))/(1-Summary!$X$14)-1)))</f>
        <v/>
      </c>
      <c r="W388" s="202" t="str">
        <f aca="false">IF($A389="","",(T388+R388+G388+V388))</f>
        <v/>
      </c>
      <c r="X388" s="202" t="str">
        <f aca="false">IF($A389="","",(U388+S388+H388+V388))</f>
        <v/>
      </c>
      <c r="Y388" s="202"/>
      <c r="Z388" s="185"/>
      <c r="AG388" s="182"/>
      <c r="AH388" s="182"/>
      <c r="AI388" s="182"/>
      <c r="AJ388" s="218"/>
      <c r="AK388" s="218"/>
      <c r="AL388" s="218"/>
      <c r="AM388" s="218"/>
      <c r="AN388" s="218"/>
      <c r="AO388" s="137" t="str">
        <f aca="false">IF(A389="","",A389-A388)</f>
        <v/>
      </c>
      <c r="AP388" s="212" t="str">
        <f aca="false">IF(A389="","",CHOOSE(F$3,A389+24,A388))</f>
        <v/>
      </c>
      <c r="AQ388" s="209" t="str">
        <f aca="false">IF(A389="","",AP388-$E$1)</f>
        <v/>
      </c>
      <c r="AR388" s="185" t="n">
        <f aca="false">'ANR OK vs ML7'!AR388</f>
        <v>0.1</v>
      </c>
      <c r="AS388" s="213" t="str">
        <f aca="false">IF(A389="","",1/(1+CHOOSE(F$3,(AR389+($I$3/10000))/2,(AR388+($I$3/10000))/2))^(2*AQ388/365.25))</f>
        <v/>
      </c>
      <c r="AT388" s="137" t="str">
        <f aca="false">IF(A389="","",IF(AND(mthbeg&lt;=A388,mthend&gt;=A388),1,0))</f>
        <v/>
      </c>
      <c r="AU388" s="137" t="str">
        <f aca="false">IF(A389="","",AO388*AT388)</f>
        <v/>
      </c>
      <c r="AW388" s="195" t="str">
        <f aca="false">IF($A389="","",AL388*$E388)</f>
        <v/>
      </c>
      <c r="AX388" s="195" t="str">
        <f aca="false">IF($A389="","",AM388*$E388)</f>
        <v/>
      </c>
      <c r="AY388" s="195" t="str">
        <f aca="false">IF($A389="","",AN388*$E388)</f>
        <v/>
      </c>
      <c r="BA388" s="195" t="str">
        <f aca="false">IF($A389="","",F388*Summary!$Q$14)</f>
        <v/>
      </c>
    </row>
    <row r="389" customFormat="false" ht="12.75" hidden="false" customHeight="false" outlineLevel="0" collapsed="false">
      <c r="A389" s="196" t="str">
        <f aca="false">IF(A388&lt;mthend,EDATE(A388,1),"")</f>
        <v/>
      </c>
      <c r="B389" s="197" t="str">
        <f aca="false">IF(A389&lt;mthend,B388,"")</f>
        <v/>
      </c>
      <c r="D389" s="197" t="str">
        <f aca="false">IF(A390&lt;&gt;"",B389+C389,"")</f>
        <v/>
      </c>
      <c r="E389" s="199" t="str">
        <f aca="false">IF(A390="","",IF(AND(AT389=1,$H$3=1),D389*AO389,IF($H$3=2,D389,"N/A")))</f>
        <v/>
      </c>
      <c r="F389" s="199" t="str">
        <f aca="false">IF(A390="","",E389*AS389)</f>
        <v/>
      </c>
      <c r="G389" s="200" t="str">
        <f aca="false">IF($A390="","",VLOOKUP($A389,Table,MATCH(G$4,Curves,0)))</f>
        <v/>
      </c>
      <c r="H389" s="201" t="str">
        <f aca="false">IF(A390="","",G389)</f>
        <v/>
      </c>
      <c r="J389" s="200" t="str">
        <f aca="false">IF($A390="","",VLOOKUP($A389,Table,MATCH(J$4,Curves,0)))</f>
        <v/>
      </c>
      <c r="K389" s="201" t="str">
        <f aca="false">IF(A390="","",J389)</f>
        <v/>
      </c>
      <c r="L389" s="185" t="n">
        <v>0</v>
      </c>
      <c r="M389" s="201" t="str">
        <f aca="false">IF(A390="","",L389)</f>
        <v/>
      </c>
      <c r="O389" s="200" t="str">
        <f aca="false">IF(A390="","",L389+J389+G389)</f>
        <v/>
      </c>
      <c r="P389" s="200" t="str">
        <f aca="false">IF(A390="","",M389+K389+H389)</f>
        <v/>
      </c>
      <c r="R389" s="200" t="str">
        <f aca="false">IF($A390="","",VLOOKUP($A389,Table,MATCH(R$4,Curves,0)))</f>
        <v/>
      </c>
      <c r="S389" s="201" t="str">
        <f aca="false">IF(A390="","",R389)</f>
        <v/>
      </c>
      <c r="T389" s="200" t="str">
        <f aca="false">IF($A390="","",VLOOKUP($A389,Table,MATCH(T$4,Curves,0)))</f>
        <v/>
      </c>
      <c r="U389" s="201" t="str">
        <f aca="false">IF(A390="","",T389)</f>
        <v/>
      </c>
      <c r="V389" s="183" t="str">
        <f aca="false">IF($A390="","",IF(AND(MONTH(A389)&gt;3,MONTH(A389)&lt;11),(T389+R389+G389)*(((1/(1-Summary!$T$14))/(1-Summary!$W$14))-1),(T389+R389+G389)*((1/(1-Summary!$U$14))/(1-Summary!$X$14)-1)))</f>
        <v/>
      </c>
      <c r="W389" s="202" t="str">
        <f aca="false">IF($A390="","",(T389+R389+G389+V389))</f>
        <v/>
      </c>
      <c r="X389" s="202" t="str">
        <f aca="false">IF($A390="","",(U389+S389+H389+V389))</f>
        <v/>
      </c>
      <c r="Y389" s="202"/>
      <c r="Z389" s="185"/>
      <c r="AG389" s="182"/>
      <c r="AH389" s="182"/>
      <c r="AI389" s="182"/>
      <c r="AJ389" s="218"/>
      <c r="AK389" s="218"/>
      <c r="AL389" s="218"/>
      <c r="AM389" s="218"/>
      <c r="AN389" s="218"/>
      <c r="AO389" s="137" t="str">
        <f aca="false">IF(A390="","",A390-A389)</f>
        <v/>
      </c>
      <c r="AP389" s="212" t="str">
        <f aca="false">IF(A390="","",CHOOSE(F$3,A390+24,A389))</f>
        <v/>
      </c>
      <c r="AQ389" s="209" t="str">
        <f aca="false">IF(A390="","",AP389-$E$1)</f>
        <v/>
      </c>
      <c r="AR389" s="185" t="n">
        <f aca="false">'ANR OK vs ML7'!AR389</f>
        <v>0.1</v>
      </c>
      <c r="AS389" s="213" t="str">
        <f aca="false">IF(A390="","",1/(1+CHOOSE(F$3,(AR390+($I$3/10000))/2,(AR389+($I$3/10000))/2))^(2*AQ389/365.25))</f>
        <v/>
      </c>
      <c r="AT389" s="137" t="str">
        <f aca="false">IF(A390="","",IF(AND(mthbeg&lt;=A389,mthend&gt;=A389),1,0))</f>
        <v/>
      </c>
      <c r="AU389" s="137" t="str">
        <f aca="false">IF(A390="","",AO389*AT389)</f>
        <v/>
      </c>
      <c r="AW389" s="195" t="str">
        <f aca="false">IF($A390="","",AL389*$E389)</f>
        <v/>
      </c>
      <c r="AX389" s="195" t="str">
        <f aca="false">IF($A390="","",AM389*$E389)</f>
        <v/>
      </c>
      <c r="AY389" s="195" t="str">
        <f aca="false">IF($A390="","",AN389*$E389)</f>
        <v/>
      </c>
      <c r="BA389" s="195" t="str">
        <f aca="false">IF($A390="","",F389*Summary!$Q$14)</f>
        <v/>
      </c>
    </row>
    <row r="390" customFormat="false" ht="12.75" hidden="false" customHeight="false" outlineLevel="0" collapsed="false">
      <c r="A390" s="196" t="str">
        <f aca="false">IF(A389&lt;mthend,EDATE(A389,1),"")</f>
        <v/>
      </c>
      <c r="B390" s="197" t="str">
        <f aca="false">IF(A390&lt;mthend,B389,"")</f>
        <v/>
      </c>
      <c r="D390" s="197" t="str">
        <f aca="false">IF(A391&lt;&gt;"",B390+C390,"")</f>
        <v/>
      </c>
      <c r="E390" s="199" t="str">
        <f aca="false">IF(A391="","",IF(AND(AT390=1,$H$3=1),D390*AO390,IF($H$3=2,D390,"N/A")))</f>
        <v/>
      </c>
      <c r="F390" s="199" t="str">
        <f aca="false">IF(A391="","",E390*AS390)</f>
        <v/>
      </c>
      <c r="G390" s="200" t="str">
        <f aca="false">IF($A391="","",VLOOKUP($A390,Table,MATCH(G$4,Curves,0)))</f>
        <v/>
      </c>
      <c r="H390" s="201" t="str">
        <f aca="false">IF(A391="","",G390)</f>
        <v/>
      </c>
      <c r="J390" s="200" t="str">
        <f aca="false">IF($A391="","",VLOOKUP($A390,Table,MATCH(J$4,Curves,0)))</f>
        <v/>
      </c>
      <c r="K390" s="201" t="str">
        <f aca="false">IF(A391="","",J390)</f>
        <v/>
      </c>
      <c r="L390" s="185" t="n">
        <v>0</v>
      </c>
      <c r="M390" s="201" t="str">
        <f aca="false">IF(A391="","",L390)</f>
        <v/>
      </c>
      <c r="O390" s="200" t="str">
        <f aca="false">IF(A391="","",L390+J390+G390)</f>
        <v/>
      </c>
      <c r="P390" s="200" t="str">
        <f aca="false">IF(A391="","",M390+K390+H390)</f>
        <v/>
      </c>
      <c r="R390" s="200" t="str">
        <f aca="false">IF($A391="","",VLOOKUP($A390,Table,MATCH(R$4,Curves,0)))</f>
        <v/>
      </c>
      <c r="S390" s="201" t="str">
        <f aca="false">IF(A391="","",R390)</f>
        <v/>
      </c>
      <c r="T390" s="200" t="str">
        <f aca="false">IF($A391="","",VLOOKUP($A390,Table,MATCH(T$4,Curves,0)))</f>
        <v/>
      </c>
      <c r="U390" s="201" t="str">
        <f aca="false">IF(A391="","",T390)</f>
        <v/>
      </c>
      <c r="V390" s="183" t="str">
        <f aca="false">IF($A391="","",IF(AND(MONTH(A390)&gt;3,MONTH(A390)&lt;11),(T390+R390+G390)*(((1/(1-Summary!$T$14))/(1-Summary!$W$14))-1),(T390+R390+G390)*((1/(1-Summary!$U$14))/(1-Summary!$X$14)-1)))</f>
        <v/>
      </c>
      <c r="W390" s="202" t="str">
        <f aca="false">IF($A391="","",(T390+R390+G390+V390))</f>
        <v/>
      </c>
      <c r="X390" s="202" t="str">
        <f aca="false">IF($A391="","",(U390+S390+H390+V390))</f>
        <v/>
      </c>
      <c r="Y390" s="202"/>
      <c r="Z390" s="185"/>
      <c r="AG390" s="182"/>
      <c r="AH390" s="182"/>
      <c r="AI390" s="182"/>
      <c r="AJ390" s="218"/>
      <c r="AK390" s="218"/>
      <c r="AL390" s="218"/>
      <c r="AM390" s="218"/>
      <c r="AN390" s="218"/>
      <c r="AO390" s="137" t="str">
        <f aca="false">IF(A391="","",A391-A390)</f>
        <v/>
      </c>
      <c r="AP390" s="212" t="str">
        <f aca="false">IF(A391="","",CHOOSE(F$3,A391+24,A390))</f>
        <v/>
      </c>
      <c r="AQ390" s="209" t="str">
        <f aca="false">IF(A391="","",AP390-$E$1)</f>
        <v/>
      </c>
      <c r="AR390" s="185" t="n">
        <f aca="false">'ANR OK vs ML7'!AR390</f>
        <v>0.1</v>
      </c>
      <c r="AS390" s="213" t="str">
        <f aca="false">IF(A391="","",1/(1+CHOOSE(F$3,(AR391+($I$3/10000))/2,(AR390+($I$3/10000))/2))^(2*AQ390/365.25))</f>
        <v/>
      </c>
      <c r="AT390" s="137" t="str">
        <f aca="false">IF(A391="","",IF(AND(mthbeg&lt;=A390,mthend&gt;=A390),1,0))</f>
        <v/>
      </c>
      <c r="AU390" s="137" t="str">
        <f aca="false">IF(A391="","",AO390*AT390)</f>
        <v/>
      </c>
      <c r="AW390" s="195" t="str">
        <f aca="false">IF($A391="","",AL390*$E390)</f>
        <v/>
      </c>
      <c r="AX390" s="195" t="str">
        <f aca="false">IF($A391="","",AM390*$E390)</f>
        <v/>
      </c>
      <c r="AY390" s="195" t="str">
        <f aca="false">IF($A391="","",AN390*$E390)</f>
        <v/>
      </c>
      <c r="BA390" s="195" t="str">
        <f aca="false">IF($A391="","",F390*Summary!$Q$14)</f>
        <v/>
      </c>
    </row>
    <row r="391" customFormat="false" ht="12.75" hidden="false" customHeight="false" outlineLevel="0" collapsed="false">
      <c r="A391" s="196" t="str">
        <f aca="false">IF(A390&lt;mthend,EDATE(A390,1),"")</f>
        <v/>
      </c>
      <c r="B391" s="197" t="str">
        <f aca="false">IF(A391&lt;mthend,B390,"")</f>
        <v/>
      </c>
      <c r="D391" s="197" t="str">
        <f aca="false">IF(A392&lt;&gt;"",B391+C391,"")</f>
        <v/>
      </c>
      <c r="E391" s="199" t="str">
        <f aca="false">IF(A392="","",IF(AND(AT391=1,$H$3=1),D391*AO391,IF($H$3=2,D391,"N/A")))</f>
        <v/>
      </c>
      <c r="F391" s="199" t="str">
        <f aca="false">IF(A392="","",E391*AS391)</f>
        <v/>
      </c>
      <c r="G391" s="200" t="str">
        <f aca="false">IF($A392="","",VLOOKUP($A391,Table,MATCH(G$4,Curves,0)))</f>
        <v/>
      </c>
      <c r="H391" s="201" t="str">
        <f aca="false">IF(A392="","",G391)</f>
        <v/>
      </c>
      <c r="J391" s="200" t="str">
        <f aca="false">IF($A392="","",VLOOKUP($A391,Table,MATCH(J$4,Curves,0)))</f>
        <v/>
      </c>
      <c r="K391" s="201" t="str">
        <f aca="false">IF(A392="","",J391)</f>
        <v/>
      </c>
      <c r="L391" s="185" t="n">
        <v>0</v>
      </c>
      <c r="M391" s="201" t="str">
        <f aca="false">IF(A392="","",L391)</f>
        <v/>
      </c>
      <c r="O391" s="200" t="str">
        <f aca="false">IF(A392="","",L391+J391+G391)</f>
        <v/>
      </c>
      <c r="P391" s="200" t="str">
        <f aca="false">IF(A392="","",M391+K391+H391)</f>
        <v/>
      </c>
      <c r="R391" s="200" t="str">
        <f aca="false">IF($A392="","",VLOOKUP($A391,Table,MATCH(R$4,Curves,0)))</f>
        <v/>
      </c>
      <c r="S391" s="201" t="str">
        <f aca="false">IF(A392="","",R391)</f>
        <v/>
      </c>
      <c r="T391" s="200" t="str">
        <f aca="false">IF($A392="","",VLOOKUP($A391,Table,MATCH(T$4,Curves,0)))</f>
        <v/>
      </c>
      <c r="U391" s="201" t="str">
        <f aca="false">IF(A392="","",T391)</f>
        <v/>
      </c>
      <c r="V391" s="183" t="str">
        <f aca="false">IF($A392="","",IF(AND(MONTH(A391)&gt;3,MONTH(A391)&lt;11),(T391+R391+G391)*(((1/(1-Summary!$T$14))/(1-Summary!$W$14))-1),(T391+R391+G391)*((1/(1-Summary!$U$14))/(1-Summary!$X$14)-1)))</f>
        <v/>
      </c>
      <c r="W391" s="202" t="str">
        <f aca="false">IF($A392="","",(T391+R391+G391+V391))</f>
        <v/>
      </c>
      <c r="X391" s="202" t="str">
        <f aca="false">IF($A392="","",(U391+S391+H391+V391))</f>
        <v/>
      </c>
      <c r="Y391" s="202"/>
      <c r="Z391" s="185"/>
      <c r="AG391" s="182"/>
      <c r="AH391" s="182"/>
      <c r="AI391" s="182"/>
      <c r="AJ391" s="218"/>
      <c r="AK391" s="218"/>
      <c r="AL391" s="218"/>
      <c r="AM391" s="218"/>
      <c r="AN391" s="218"/>
      <c r="AO391" s="137" t="str">
        <f aca="false">IF(A392="","",A392-A391)</f>
        <v/>
      </c>
      <c r="AP391" s="212" t="str">
        <f aca="false">IF(A392="","",CHOOSE(F$3,A392+24,A391))</f>
        <v/>
      </c>
      <c r="AQ391" s="209" t="str">
        <f aca="false">IF(A392="","",AP391-$E$1)</f>
        <v/>
      </c>
      <c r="AR391" s="185" t="n">
        <f aca="false">'ANR OK vs ML7'!AR391</f>
        <v>0.1</v>
      </c>
      <c r="AS391" s="213" t="str">
        <f aca="false">IF(A392="","",1/(1+CHOOSE(F$3,(AR392+($I$3/10000))/2,(AR391+($I$3/10000))/2))^(2*AQ391/365.25))</f>
        <v/>
      </c>
      <c r="AT391" s="137" t="str">
        <f aca="false">IF(A392="","",IF(AND(mthbeg&lt;=A391,mthend&gt;=A391),1,0))</f>
        <v/>
      </c>
      <c r="AU391" s="137" t="str">
        <f aca="false">IF(A392="","",AO391*AT391)</f>
        <v/>
      </c>
      <c r="AW391" s="195" t="str">
        <f aca="false">IF($A392="","",AL391*$E391)</f>
        <v/>
      </c>
      <c r="AX391" s="195" t="str">
        <f aca="false">IF($A392="","",AM391*$E391)</f>
        <v/>
      </c>
      <c r="AY391" s="195" t="str">
        <f aca="false">IF($A392="","",AN391*$E391)</f>
        <v/>
      </c>
      <c r="BA391" s="195" t="str">
        <f aca="false">IF($A392="","",F391*Summary!$Q$14)</f>
        <v/>
      </c>
    </row>
    <row r="392" customFormat="false" ht="12.75" hidden="false" customHeight="false" outlineLevel="0" collapsed="false">
      <c r="A392" s="196" t="str">
        <f aca="false">IF(A391&lt;mthend,EDATE(A391,1),"")</f>
        <v/>
      </c>
      <c r="B392" s="197" t="str">
        <f aca="false">IF(A392&lt;mthend,B391,"")</f>
        <v/>
      </c>
      <c r="D392" s="197" t="str">
        <f aca="false">IF(A393&lt;&gt;"",B392+C392,"")</f>
        <v/>
      </c>
      <c r="E392" s="199" t="str">
        <f aca="false">IF(A393="","",IF(AND(AT392=1,$H$3=1),D392*AO392,IF($H$3=2,D392,"N/A")))</f>
        <v/>
      </c>
      <c r="F392" s="199" t="str">
        <f aca="false">IF(A393="","",E392*AS392)</f>
        <v/>
      </c>
      <c r="G392" s="200" t="str">
        <f aca="false">IF($A393="","",VLOOKUP($A392,Table,MATCH(G$4,Curves,0)))</f>
        <v/>
      </c>
      <c r="H392" s="201" t="str">
        <f aca="false">IF(A393="","",G392)</f>
        <v/>
      </c>
      <c r="J392" s="200" t="str">
        <f aca="false">IF($A393="","",VLOOKUP($A392,Table,MATCH(J$4,Curves,0)))</f>
        <v/>
      </c>
      <c r="K392" s="201" t="str">
        <f aca="false">IF(A393="","",J392)</f>
        <v/>
      </c>
      <c r="L392" s="185" t="n">
        <v>0</v>
      </c>
      <c r="M392" s="201" t="str">
        <f aca="false">IF(A393="","",L392)</f>
        <v/>
      </c>
      <c r="O392" s="200" t="str">
        <f aca="false">IF(A393="","",L392+J392+G392)</f>
        <v/>
      </c>
      <c r="P392" s="200" t="str">
        <f aca="false">IF(A393="","",M392+K392+H392)</f>
        <v/>
      </c>
      <c r="R392" s="200" t="str">
        <f aca="false">IF($A393="","",VLOOKUP($A392,Table,MATCH(R$4,Curves,0)))</f>
        <v/>
      </c>
      <c r="S392" s="201" t="str">
        <f aca="false">IF(A393="","",R392)</f>
        <v/>
      </c>
      <c r="T392" s="200" t="str">
        <f aca="false">IF($A393="","",VLOOKUP($A392,Table,MATCH(T$4,Curves,0)))</f>
        <v/>
      </c>
      <c r="U392" s="201" t="str">
        <f aca="false">IF(A393="","",T392)</f>
        <v/>
      </c>
      <c r="V392" s="183" t="str">
        <f aca="false">IF($A393="","",IF(AND(MONTH(A392)&gt;3,MONTH(A392)&lt;11),(T392+R392+G392)*(((1/(1-Summary!$T$14))/(1-Summary!$W$14))-1),(T392+R392+G392)*((1/(1-Summary!$U$14))/(1-Summary!$X$14)-1)))</f>
        <v/>
      </c>
      <c r="W392" s="202" t="str">
        <f aca="false">IF($A393="","",(T392+R392+G392+V392))</f>
        <v/>
      </c>
      <c r="X392" s="202" t="str">
        <f aca="false">IF($A393="","",(U392+S392+H392+V392))</f>
        <v/>
      </c>
      <c r="Y392" s="202"/>
      <c r="Z392" s="185"/>
      <c r="AG392" s="182"/>
      <c r="AH392" s="182"/>
      <c r="AI392" s="182"/>
      <c r="AJ392" s="218"/>
      <c r="AK392" s="218"/>
      <c r="AL392" s="218"/>
      <c r="AM392" s="218"/>
      <c r="AN392" s="218"/>
      <c r="AO392" s="137" t="str">
        <f aca="false">IF(A393="","",A393-A392)</f>
        <v/>
      </c>
      <c r="AP392" s="212" t="str">
        <f aca="false">IF(A393="","",CHOOSE(F$3,A393+24,A392))</f>
        <v/>
      </c>
      <c r="AQ392" s="209" t="str">
        <f aca="false">IF(A393="","",AP392-$E$1)</f>
        <v/>
      </c>
      <c r="AR392" s="185" t="n">
        <f aca="false">'ANR OK vs ML7'!AR392</f>
        <v>0.1</v>
      </c>
      <c r="AS392" s="213" t="str">
        <f aca="false">IF(A393="","",1/(1+CHOOSE(F$3,(AR393+($I$3/10000))/2,(AR392+($I$3/10000))/2))^(2*AQ392/365.25))</f>
        <v/>
      </c>
      <c r="AT392" s="137" t="str">
        <f aca="false">IF(A393="","",IF(AND(mthbeg&lt;=A392,mthend&gt;=A392),1,0))</f>
        <v/>
      </c>
      <c r="AU392" s="137" t="str">
        <f aca="false">IF(A393="","",AO392*AT392)</f>
        <v/>
      </c>
      <c r="AW392" s="195" t="str">
        <f aca="false">IF($A393="","",AL392*$E392)</f>
        <v/>
      </c>
      <c r="AX392" s="195" t="str">
        <f aca="false">IF($A393="","",AM392*$E392)</f>
        <v/>
      </c>
      <c r="AY392" s="195" t="str">
        <f aca="false">IF($A393="","",AN392*$E392)</f>
        <v/>
      </c>
      <c r="BA392" s="195" t="str">
        <f aca="false">IF($A393="","",F392*Summary!$Q$14)</f>
        <v/>
      </c>
    </row>
    <row r="393" customFormat="false" ht="12.75" hidden="false" customHeight="false" outlineLevel="0" collapsed="false">
      <c r="A393" s="196" t="str">
        <f aca="false">IF(A392&lt;mthend,EDATE(A392,1),"")</f>
        <v/>
      </c>
      <c r="B393" s="197" t="str">
        <f aca="false">IF(A393&lt;mthend,B392,"")</f>
        <v/>
      </c>
      <c r="D393" s="197" t="str">
        <f aca="false">IF(A394&lt;&gt;"",B393+C393,"")</f>
        <v/>
      </c>
      <c r="E393" s="199" t="str">
        <f aca="false">IF(A394="","",IF(AND(AT393=1,$H$3=1),D393*AO393,IF($H$3=2,D393,"N/A")))</f>
        <v/>
      </c>
      <c r="F393" s="199" t="str">
        <f aca="false">IF(A394="","",E393*AS393)</f>
        <v/>
      </c>
      <c r="G393" s="200" t="str">
        <f aca="false">IF($A394="","",VLOOKUP($A393,Table,MATCH(G$4,Curves,0)))</f>
        <v/>
      </c>
      <c r="H393" s="201" t="str">
        <f aca="false">IF(A394="","",G393)</f>
        <v/>
      </c>
      <c r="J393" s="200" t="str">
        <f aca="false">IF($A394="","",VLOOKUP($A393,Table,MATCH(J$4,Curves,0)))</f>
        <v/>
      </c>
      <c r="K393" s="201" t="str">
        <f aca="false">IF(A394="","",J393)</f>
        <v/>
      </c>
      <c r="L393" s="185" t="n">
        <v>0</v>
      </c>
      <c r="M393" s="201" t="str">
        <f aca="false">IF(A394="","",L393)</f>
        <v/>
      </c>
      <c r="O393" s="200" t="str">
        <f aca="false">IF(A394="","",L393+J393+G393)</f>
        <v/>
      </c>
      <c r="P393" s="200" t="str">
        <f aca="false">IF(A394="","",M393+K393+H393)</f>
        <v/>
      </c>
      <c r="R393" s="200" t="str">
        <f aca="false">IF($A394="","",VLOOKUP($A393,Table,MATCH(R$4,Curves,0)))</f>
        <v/>
      </c>
      <c r="S393" s="201" t="str">
        <f aca="false">IF(A394="","",R393)</f>
        <v/>
      </c>
      <c r="T393" s="200" t="str">
        <f aca="false">IF($A394="","",VLOOKUP($A393,Table,MATCH(T$4,Curves,0)))</f>
        <v/>
      </c>
      <c r="U393" s="201" t="str">
        <f aca="false">IF(A394="","",T393)</f>
        <v/>
      </c>
      <c r="V393" s="183" t="str">
        <f aca="false">IF($A394="","",IF(AND(MONTH(A393)&gt;3,MONTH(A393)&lt;11),(T393+R393+G393)*(((1/(1-Summary!$T$14))/(1-Summary!$W$14))-1),(T393+R393+G393)*((1/(1-Summary!$U$14))/(1-Summary!$X$14)-1)))</f>
        <v/>
      </c>
      <c r="W393" s="202" t="str">
        <f aca="false">IF($A394="","",(T393+R393+G393+V393))</f>
        <v/>
      </c>
      <c r="X393" s="202" t="str">
        <f aca="false">IF($A394="","",(U393+S393+H393+V393))</f>
        <v/>
      </c>
      <c r="Y393" s="202"/>
      <c r="Z393" s="185"/>
      <c r="AG393" s="182"/>
      <c r="AH393" s="182"/>
      <c r="AI393" s="182"/>
      <c r="AJ393" s="218"/>
      <c r="AK393" s="218"/>
      <c r="AL393" s="218"/>
      <c r="AM393" s="218"/>
      <c r="AN393" s="218"/>
      <c r="AO393" s="137" t="str">
        <f aca="false">IF(A394="","",A394-A393)</f>
        <v/>
      </c>
      <c r="AP393" s="212" t="str">
        <f aca="false">IF(A394="","",CHOOSE(F$3,A394+24,A393))</f>
        <v/>
      </c>
      <c r="AQ393" s="209" t="str">
        <f aca="false">IF(A394="","",AP393-$E$1)</f>
        <v/>
      </c>
      <c r="AR393" s="185" t="n">
        <f aca="false">'ANR OK vs ML7'!AR393</f>
        <v>0.1</v>
      </c>
      <c r="AS393" s="213" t="str">
        <f aca="false">IF(A394="","",1/(1+CHOOSE(F$3,(AR394+($I$3/10000))/2,(AR393+($I$3/10000))/2))^(2*AQ393/365.25))</f>
        <v/>
      </c>
      <c r="AT393" s="137" t="str">
        <f aca="false">IF(A394="","",IF(AND(mthbeg&lt;=A393,mthend&gt;=A393),1,0))</f>
        <v/>
      </c>
      <c r="AU393" s="137" t="str">
        <f aca="false">IF(A394="","",AO393*AT393)</f>
        <v/>
      </c>
      <c r="AW393" s="195" t="str">
        <f aca="false">IF($A394="","",AL393*$E393)</f>
        <v/>
      </c>
      <c r="AX393" s="195" t="str">
        <f aca="false">IF($A394="","",AM393*$E393)</f>
        <v/>
      </c>
      <c r="AY393" s="195" t="str">
        <f aca="false">IF($A394="","",AN393*$E393)</f>
        <v/>
      </c>
      <c r="BA393" s="195" t="str">
        <f aca="false">IF($A394="","",F393*Summary!$Q$14)</f>
        <v/>
      </c>
    </row>
    <row r="394" customFormat="false" ht="12.75" hidden="false" customHeight="false" outlineLevel="0" collapsed="false">
      <c r="A394" s="196" t="str">
        <f aca="false">IF(A393&lt;mthend,EDATE(A393,1),"")</f>
        <v/>
      </c>
      <c r="B394" s="197" t="str">
        <f aca="false">IF(A394&lt;mthend,B393,"")</f>
        <v/>
      </c>
      <c r="D394" s="197" t="str">
        <f aca="false">IF(A395&lt;&gt;"",B394+C394,"")</f>
        <v/>
      </c>
      <c r="E394" s="199" t="str">
        <f aca="false">IF(A395="","",IF(AND(AT394=1,$H$3=1),D394*AO394,IF($H$3=2,D394,"N/A")))</f>
        <v/>
      </c>
      <c r="F394" s="199" t="str">
        <f aca="false">IF(A395="","",E394*AS394)</f>
        <v/>
      </c>
      <c r="G394" s="200" t="str">
        <f aca="false">IF($A395="","",VLOOKUP($A394,Table,MATCH(G$4,Curves,0)))</f>
        <v/>
      </c>
      <c r="H394" s="201" t="str">
        <f aca="false">IF(A395="","",G394)</f>
        <v/>
      </c>
      <c r="J394" s="200" t="str">
        <f aca="false">IF($A395="","",VLOOKUP($A394,Table,MATCH(J$4,Curves,0)))</f>
        <v/>
      </c>
      <c r="K394" s="201" t="str">
        <f aca="false">IF(A395="","",J394)</f>
        <v/>
      </c>
      <c r="L394" s="185" t="n">
        <v>0</v>
      </c>
      <c r="M394" s="201" t="str">
        <f aca="false">IF(A395="","",L394)</f>
        <v/>
      </c>
      <c r="O394" s="200" t="str">
        <f aca="false">IF(A395="","",L394+J394+G394)</f>
        <v/>
      </c>
      <c r="P394" s="200" t="str">
        <f aca="false">IF(A395="","",M394+K394+H394)</f>
        <v/>
      </c>
      <c r="R394" s="200" t="str">
        <f aca="false">IF($A395="","",VLOOKUP($A394,Table,MATCH(R$4,Curves,0)))</f>
        <v/>
      </c>
      <c r="S394" s="201" t="str">
        <f aca="false">IF(A395="","",R394)</f>
        <v/>
      </c>
      <c r="T394" s="200" t="str">
        <f aca="false">IF($A395="","",VLOOKUP($A394,Table,MATCH(T$4,Curves,0)))</f>
        <v/>
      </c>
      <c r="U394" s="201" t="str">
        <f aca="false">IF(A395="","",T394)</f>
        <v/>
      </c>
      <c r="V394" s="183" t="str">
        <f aca="false">IF($A395="","",IF(AND(MONTH(A394)&gt;3,MONTH(A394)&lt;11),(T394+R394+G394)*(((1/(1-Summary!$T$14))/(1-Summary!$W$14))-1),(T394+R394+G394)*((1/(1-Summary!$U$14))/(1-Summary!$X$14)-1)))</f>
        <v/>
      </c>
      <c r="W394" s="202" t="str">
        <f aca="false">IF($A395="","",(T394+R394+G394+V394))</f>
        <v/>
      </c>
      <c r="X394" s="202" t="str">
        <f aca="false">IF($A395="","",(U394+S394+H394+V394))</f>
        <v/>
      </c>
      <c r="Y394" s="202"/>
      <c r="Z394" s="185"/>
      <c r="AG394" s="182"/>
      <c r="AH394" s="182"/>
      <c r="AI394" s="182"/>
      <c r="AJ394" s="218"/>
      <c r="AK394" s="218"/>
      <c r="AL394" s="218"/>
      <c r="AM394" s="218"/>
      <c r="AN394" s="218"/>
      <c r="AO394" s="137" t="str">
        <f aca="false">IF(A395="","",A395-A394)</f>
        <v/>
      </c>
      <c r="AP394" s="212" t="str">
        <f aca="false">IF(A395="","",CHOOSE(F$3,A395+24,A394))</f>
        <v/>
      </c>
      <c r="AQ394" s="209" t="str">
        <f aca="false">IF(A395="","",AP394-$E$1)</f>
        <v/>
      </c>
      <c r="AR394" s="185" t="n">
        <f aca="false">'ANR OK vs ML7'!AR394</f>
        <v>0.1</v>
      </c>
      <c r="AS394" s="213" t="str">
        <f aca="false">IF(A395="","",1/(1+CHOOSE(F$3,(AR395+($I$3/10000))/2,(AR394+($I$3/10000))/2))^(2*AQ394/365.25))</f>
        <v/>
      </c>
      <c r="AT394" s="137" t="str">
        <f aca="false">IF(A395="","",IF(AND(mthbeg&lt;=A394,mthend&gt;=A394),1,0))</f>
        <v/>
      </c>
      <c r="AU394" s="137" t="str">
        <f aca="false">IF(A395="","",AO394*AT394)</f>
        <v/>
      </c>
      <c r="AW394" s="195" t="str">
        <f aca="false">IF($A395="","",AL394*$E394)</f>
        <v/>
      </c>
      <c r="AX394" s="195" t="str">
        <f aca="false">IF($A395="","",AM394*$E394)</f>
        <v/>
      </c>
      <c r="AY394" s="195" t="str">
        <f aca="false">IF($A395="","",AN394*$E394)</f>
        <v/>
      </c>
      <c r="BA394" s="195" t="str">
        <f aca="false">IF($A395="","",F394*Summary!$Q$14)</f>
        <v/>
      </c>
    </row>
    <row r="395" customFormat="false" ht="12.75" hidden="false" customHeight="false" outlineLevel="0" collapsed="false">
      <c r="A395" s="196" t="str">
        <f aca="false">IF(A394&lt;mthend,EDATE(A394,1),"")</f>
        <v/>
      </c>
      <c r="B395" s="197" t="str">
        <f aca="false">IF(A395&lt;mthend,B394,"")</f>
        <v/>
      </c>
      <c r="D395" s="197" t="str">
        <f aca="false">IF(A396&lt;&gt;"",B395+C395,"")</f>
        <v/>
      </c>
      <c r="E395" s="199" t="str">
        <f aca="false">IF(A396="","",IF(AND(AT395=1,$H$3=1),D395*AO395,IF($H$3=2,D395,"N/A")))</f>
        <v/>
      </c>
      <c r="F395" s="199" t="str">
        <f aca="false">IF(A396="","",E395*AS395)</f>
        <v/>
      </c>
      <c r="G395" s="200" t="str">
        <f aca="false">IF($A396="","",VLOOKUP($A395,Table,MATCH(G$4,Curves,0)))</f>
        <v/>
      </c>
      <c r="H395" s="201" t="str">
        <f aca="false">IF(A396="","",G395)</f>
        <v/>
      </c>
      <c r="J395" s="200" t="str">
        <f aca="false">IF($A396="","",VLOOKUP($A395,Table,MATCH(J$4,Curves,0)))</f>
        <v/>
      </c>
      <c r="K395" s="201" t="str">
        <f aca="false">IF(A396="","",J395)</f>
        <v/>
      </c>
      <c r="L395" s="185" t="n">
        <v>0</v>
      </c>
      <c r="M395" s="201" t="str">
        <f aca="false">IF(A396="","",L395)</f>
        <v/>
      </c>
      <c r="O395" s="200" t="str">
        <f aca="false">IF(A396="","",L395+J395+G395)</f>
        <v/>
      </c>
      <c r="P395" s="200" t="str">
        <f aca="false">IF(A396="","",M395+K395+H395)</f>
        <v/>
      </c>
      <c r="R395" s="200" t="str">
        <f aca="false">IF($A396="","",VLOOKUP($A395,Table,MATCH(R$4,Curves,0)))</f>
        <v/>
      </c>
      <c r="S395" s="201" t="str">
        <f aca="false">IF(A396="","",R395)</f>
        <v/>
      </c>
      <c r="T395" s="200" t="str">
        <f aca="false">IF($A396="","",VLOOKUP($A395,Table,MATCH(T$4,Curves,0)))</f>
        <v/>
      </c>
      <c r="U395" s="201" t="str">
        <f aca="false">IF(A396="","",T395)</f>
        <v/>
      </c>
      <c r="V395" s="183" t="str">
        <f aca="false">IF($A396="","",IF(AND(MONTH(A395)&gt;3,MONTH(A395)&lt;11),(T395+R395+G395)*(((1/(1-Summary!$T$14))/(1-Summary!$W$14))-1),(T395+R395+G395)*((1/(1-Summary!$U$14))/(1-Summary!$X$14)-1)))</f>
        <v/>
      </c>
      <c r="W395" s="202" t="str">
        <f aca="false">IF($A396="","",(T395+R395+G395+V395))</f>
        <v/>
      </c>
      <c r="X395" s="202" t="str">
        <f aca="false">IF($A396="","",(U395+S395+H395+V395))</f>
        <v/>
      </c>
      <c r="Y395" s="202"/>
      <c r="Z395" s="185"/>
      <c r="AG395" s="182"/>
      <c r="AH395" s="182"/>
      <c r="AI395" s="182"/>
      <c r="AJ395" s="218"/>
      <c r="AK395" s="218"/>
      <c r="AL395" s="218"/>
      <c r="AM395" s="218"/>
      <c r="AN395" s="218"/>
      <c r="AO395" s="137" t="str">
        <f aca="false">IF(A396="","",A396-A395)</f>
        <v/>
      </c>
      <c r="AP395" s="212" t="str">
        <f aca="false">IF(A396="","",CHOOSE(F$3,A396+24,A395))</f>
        <v/>
      </c>
      <c r="AQ395" s="209" t="str">
        <f aca="false">IF(A396="","",AP395-$E$1)</f>
        <v/>
      </c>
      <c r="AR395" s="185" t="n">
        <f aca="false">'ANR OK vs ML7'!AR395</f>
        <v>0.1</v>
      </c>
      <c r="AS395" s="213" t="str">
        <f aca="false">IF(A396="","",1/(1+CHOOSE(F$3,(AR396+($I$3/10000))/2,(AR395+($I$3/10000))/2))^(2*AQ395/365.25))</f>
        <v/>
      </c>
      <c r="AT395" s="137" t="str">
        <f aca="false">IF(A396="","",IF(AND(mthbeg&lt;=A395,mthend&gt;=A395),1,0))</f>
        <v/>
      </c>
      <c r="AU395" s="137" t="str">
        <f aca="false">IF(A396="","",AO395*AT395)</f>
        <v/>
      </c>
      <c r="AW395" s="195" t="str">
        <f aca="false">IF($A396="","",AL395*$E395)</f>
        <v/>
      </c>
      <c r="AX395" s="195" t="str">
        <f aca="false">IF($A396="","",AM395*$E395)</f>
        <v/>
      </c>
      <c r="AY395" s="195" t="str">
        <f aca="false">IF($A396="","",AN395*$E395)</f>
        <v/>
      </c>
      <c r="BA395" s="195" t="str">
        <f aca="false">IF($A396="","",F395*Summary!$Q$14)</f>
        <v/>
      </c>
    </row>
    <row r="396" customFormat="false" ht="12.75" hidden="false" customHeight="false" outlineLevel="0" collapsed="false">
      <c r="A396" s="196" t="str">
        <f aca="false">IF(A395&lt;mthend,EDATE(A395,1),"")</f>
        <v/>
      </c>
      <c r="B396" s="197" t="str">
        <f aca="false">IF(A396&lt;mthend,B395,"")</f>
        <v/>
      </c>
      <c r="D396" s="197" t="str">
        <f aca="false">IF(A397&lt;&gt;"",B396+C396,"")</f>
        <v/>
      </c>
      <c r="E396" s="199" t="str">
        <f aca="false">IF(A397="","",IF(AND(AT396=1,$H$3=1),D396*AO396,IF($H$3=2,D396,"N/A")))</f>
        <v/>
      </c>
      <c r="F396" s="199" t="str">
        <f aca="false">IF(A397="","",E396*AS396)</f>
        <v/>
      </c>
      <c r="G396" s="200" t="str">
        <f aca="false">IF($A397="","",VLOOKUP($A396,Table,MATCH(G$4,Curves,0)))</f>
        <v/>
      </c>
      <c r="H396" s="201" t="str">
        <f aca="false">IF(A397="","",G396)</f>
        <v/>
      </c>
      <c r="J396" s="200" t="str">
        <f aca="false">IF($A397="","",VLOOKUP($A396,Table,MATCH(J$4,Curves,0)))</f>
        <v/>
      </c>
      <c r="K396" s="201" t="str">
        <f aca="false">IF(A397="","",J396)</f>
        <v/>
      </c>
      <c r="L396" s="185" t="n">
        <v>0</v>
      </c>
      <c r="M396" s="201" t="str">
        <f aca="false">IF(A397="","",L396)</f>
        <v/>
      </c>
      <c r="O396" s="200" t="str">
        <f aca="false">IF(A397="","",L396+J396+G396)</f>
        <v/>
      </c>
      <c r="P396" s="200" t="str">
        <f aca="false">IF(A397="","",M396+K396+H396)</f>
        <v/>
      </c>
      <c r="R396" s="200" t="str">
        <f aca="false">IF($A397="","",VLOOKUP($A396,Table,MATCH(R$4,Curves,0)))</f>
        <v/>
      </c>
      <c r="S396" s="201" t="str">
        <f aca="false">IF(A397="","",R396)</f>
        <v/>
      </c>
      <c r="T396" s="200" t="str">
        <f aca="false">IF($A397="","",VLOOKUP($A396,Table,MATCH(T$4,Curves,0)))</f>
        <v/>
      </c>
      <c r="U396" s="201" t="str">
        <f aca="false">IF(A397="","",T396)</f>
        <v/>
      </c>
      <c r="V396" s="183" t="str">
        <f aca="false">IF($A397="","",IF(AND(MONTH(A396)&gt;3,MONTH(A396)&lt;11),(T396+R396+G396)*(((1/(1-Summary!$T$14))/(1-Summary!$W$14))-1),(T396+R396+G396)*((1/(1-Summary!$U$14))/(1-Summary!$X$14)-1)))</f>
        <v/>
      </c>
      <c r="W396" s="202" t="str">
        <f aca="false">IF($A397="","",(T396+R396+G396+V396))</f>
        <v/>
      </c>
      <c r="X396" s="202" t="str">
        <f aca="false">IF($A397="","",(U396+S396+H396+V396))</f>
        <v/>
      </c>
      <c r="Y396" s="202"/>
      <c r="Z396" s="185"/>
      <c r="AG396" s="182"/>
      <c r="AH396" s="182"/>
      <c r="AI396" s="182"/>
      <c r="AJ396" s="218"/>
      <c r="AK396" s="218"/>
      <c r="AL396" s="218"/>
      <c r="AM396" s="218"/>
      <c r="AN396" s="218"/>
      <c r="AO396" s="137" t="str">
        <f aca="false">IF(A397="","",A397-A396)</f>
        <v/>
      </c>
      <c r="AP396" s="212" t="str">
        <f aca="false">IF(A397="","",CHOOSE(F$3,A397+24,A396))</f>
        <v/>
      </c>
      <c r="AQ396" s="209" t="str">
        <f aca="false">IF(A397="","",AP396-$E$1)</f>
        <v/>
      </c>
      <c r="AR396" s="185" t="n">
        <f aca="false">'ANR OK vs ML7'!AR396</f>
        <v>0.1</v>
      </c>
      <c r="AS396" s="213" t="str">
        <f aca="false">IF(A397="","",1/(1+CHOOSE(F$3,(AR397+($I$3/10000))/2,(AR396+($I$3/10000))/2))^(2*AQ396/365.25))</f>
        <v/>
      </c>
      <c r="AT396" s="137" t="str">
        <f aca="false">IF(A397="","",IF(AND(mthbeg&lt;=A396,mthend&gt;=A396),1,0))</f>
        <v/>
      </c>
      <c r="AU396" s="137" t="str">
        <f aca="false">IF(A397="","",AO396*AT396)</f>
        <v/>
      </c>
      <c r="AW396" s="195" t="str">
        <f aca="false">IF($A397="","",AL396*$E396)</f>
        <v/>
      </c>
      <c r="AX396" s="195" t="str">
        <f aca="false">IF($A397="","",AM396*$E396)</f>
        <v/>
      </c>
      <c r="AY396" s="195" t="str">
        <f aca="false">IF($A397="","",AN396*$E396)</f>
        <v/>
      </c>
      <c r="BA396" s="195" t="str">
        <f aca="false">IF($A397="","",F396*Summary!$Q$14)</f>
        <v/>
      </c>
    </row>
    <row r="397" customFormat="false" ht="12.75" hidden="false" customHeight="false" outlineLevel="0" collapsed="false">
      <c r="A397" s="196" t="str">
        <f aca="false">IF(A396&lt;mthend,EDATE(A396,1),"")</f>
        <v/>
      </c>
      <c r="B397" s="197" t="str">
        <f aca="false">IF(A397&lt;mthend,B396,"")</f>
        <v/>
      </c>
      <c r="D397" s="197" t="str">
        <f aca="false">IF(A398&lt;&gt;"",B397+C397,"")</f>
        <v/>
      </c>
      <c r="E397" s="199" t="str">
        <f aca="false">IF(A398="","",IF(AND(AT397=1,$H$3=1),D397*AO397,IF($H$3=2,D397,"N/A")))</f>
        <v/>
      </c>
      <c r="F397" s="199" t="str">
        <f aca="false">IF(A398="","",E397*AS397)</f>
        <v/>
      </c>
      <c r="G397" s="200" t="str">
        <f aca="false">IF($A398="","",VLOOKUP($A397,Table,MATCH(G$4,Curves,0)))</f>
        <v/>
      </c>
      <c r="H397" s="201" t="str">
        <f aca="false">IF(A398="","",G397)</f>
        <v/>
      </c>
      <c r="J397" s="200" t="str">
        <f aca="false">IF($A398="","",VLOOKUP($A397,Table,MATCH(J$4,Curves,0)))</f>
        <v/>
      </c>
      <c r="K397" s="201" t="str">
        <f aca="false">IF(A398="","",J397)</f>
        <v/>
      </c>
      <c r="L397" s="185" t="n">
        <v>0</v>
      </c>
      <c r="M397" s="201" t="str">
        <f aca="false">IF(A398="","",L397)</f>
        <v/>
      </c>
      <c r="O397" s="200" t="str">
        <f aca="false">IF(A398="","",L397+J397+G397)</f>
        <v/>
      </c>
      <c r="P397" s="200" t="str">
        <f aca="false">IF(A398="","",M397+K397+H397)</f>
        <v/>
      </c>
      <c r="R397" s="200" t="str">
        <f aca="false">IF($A398="","",VLOOKUP($A397,Table,MATCH(R$4,Curves,0)))</f>
        <v/>
      </c>
      <c r="S397" s="201" t="str">
        <f aca="false">IF(A398="","",R397)</f>
        <v/>
      </c>
      <c r="T397" s="200" t="str">
        <f aca="false">IF($A398="","",VLOOKUP($A397,Table,MATCH(T$4,Curves,0)))</f>
        <v/>
      </c>
      <c r="U397" s="201" t="str">
        <f aca="false">IF(A398="","",T397)</f>
        <v/>
      </c>
      <c r="V397" s="183" t="str">
        <f aca="false">IF($A398="","",IF(AND(MONTH(A397)&gt;3,MONTH(A397)&lt;11),(T397+R397+G397)*(((1/(1-Summary!$T$14))/(1-Summary!$W$14))-1),(T397+R397+G397)*((1/(1-Summary!$U$14))/(1-Summary!$X$14)-1)))</f>
        <v/>
      </c>
      <c r="W397" s="202" t="str">
        <f aca="false">IF($A398="","",(T397+R397+G397+V397))</f>
        <v/>
      </c>
      <c r="X397" s="202" t="str">
        <f aca="false">IF($A398="","",(U397+S397+H397+V397))</f>
        <v/>
      </c>
      <c r="Y397" s="202"/>
      <c r="Z397" s="185"/>
      <c r="AJ397" s="218"/>
      <c r="AK397" s="218"/>
      <c r="AL397" s="218"/>
      <c r="AM397" s="218"/>
      <c r="AN397" s="218"/>
      <c r="AO397" s="137" t="str">
        <f aca="false">IF(A398="","",A398-A397)</f>
        <v/>
      </c>
      <c r="AP397" s="212" t="str">
        <f aca="false">IF(A398="","",CHOOSE(F$3,A398+24,A397))</f>
        <v/>
      </c>
      <c r="AQ397" s="209" t="str">
        <f aca="false">IF(A398="","",AP397-$E$1)</f>
        <v/>
      </c>
      <c r="AR397" s="185" t="n">
        <f aca="false">'ANR OK vs ML7'!AR397</f>
        <v>0.1</v>
      </c>
      <c r="AS397" s="213" t="str">
        <f aca="false">IF(A398="","",1/(1+CHOOSE(F$3,(AR398+($I$3/10000))/2,(AR397+($I$3/10000))/2))^(2*AQ397/365.25))</f>
        <v/>
      </c>
      <c r="AT397" s="137" t="str">
        <f aca="false">IF(A398="","",IF(AND(mthbeg&lt;=A397,mthend&gt;=A397),1,0))</f>
        <v/>
      </c>
      <c r="AU397" s="137" t="str">
        <f aca="false">IF(A398="","",AO397*AT397)</f>
        <v/>
      </c>
      <c r="AW397" s="195" t="str">
        <f aca="false">IF($A398="","",AL397*$E397)</f>
        <v/>
      </c>
      <c r="AX397" s="195" t="str">
        <f aca="false">IF($A398="","",AM397*$E397)</f>
        <v/>
      </c>
      <c r="AY397" s="195" t="str">
        <f aca="false">IF($A398="","",AN397*$E397)</f>
        <v/>
      </c>
      <c r="BA397" s="195" t="str">
        <f aca="false">IF($A398="","",F397*Summary!$Q$14)</f>
        <v/>
      </c>
    </row>
    <row r="398" customFormat="false" ht="12.75" hidden="false" customHeight="false" outlineLevel="0" collapsed="false">
      <c r="A398" s="196" t="str">
        <f aca="false">IF(A397&lt;mthend,EDATE(A397,1),"")</f>
        <v/>
      </c>
      <c r="B398" s="197" t="str">
        <f aca="false">IF(A398&lt;mthend,B397,"")</f>
        <v/>
      </c>
      <c r="D398" s="197" t="str">
        <f aca="false">IF(A399&lt;&gt;"",B398+C398,"")</f>
        <v/>
      </c>
      <c r="E398" s="199" t="str">
        <f aca="false">IF(A399="","",IF(AND(AT398=1,$H$3=1),D398*AO398,IF($H$3=2,D398,"N/A")))</f>
        <v/>
      </c>
      <c r="F398" s="199" t="str">
        <f aca="false">IF(A399="","",E398*AS398)</f>
        <v/>
      </c>
      <c r="G398" s="200" t="str">
        <f aca="false">IF($A399="","",VLOOKUP($A398,Table,MATCH(G$4,Curves,0)))</f>
        <v/>
      </c>
      <c r="H398" s="201" t="str">
        <f aca="false">IF(A399="","",G398)</f>
        <v/>
      </c>
      <c r="J398" s="200" t="str">
        <f aca="false">IF($A399="","",VLOOKUP($A398,Table,MATCH(J$4,Curves,0)))</f>
        <v/>
      </c>
      <c r="K398" s="201" t="str">
        <f aca="false">IF(A399="","",J398)</f>
        <v/>
      </c>
      <c r="L398" s="185" t="n">
        <v>0</v>
      </c>
      <c r="M398" s="201" t="str">
        <f aca="false">IF(A399="","",L398)</f>
        <v/>
      </c>
      <c r="O398" s="200" t="str">
        <f aca="false">IF(A399="","",L398+J398+G398)</f>
        <v/>
      </c>
      <c r="P398" s="200" t="str">
        <f aca="false">IF(A399="","",M398+K398+H398)</f>
        <v/>
      </c>
      <c r="R398" s="200" t="str">
        <f aca="false">IF($A399="","",VLOOKUP($A398,Table,MATCH(R$4,Curves,0)))</f>
        <v/>
      </c>
      <c r="S398" s="201" t="str">
        <f aca="false">IF(A399="","",R398)</f>
        <v/>
      </c>
      <c r="T398" s="200" t="str">
        <f aca="false">IF($A399="","",VLOOKUP($A398,Table,MATCH(T$4,Curves,0)))</f>
        <v/>
      </c>
      <c r="U398" s="201" t="str">
        <f aca="false">IF(A399="","",T398)</f>
        <v/>
      </c>
      <c r="V398" s="183" t="str">
        <f aca="false">IF($A399="","",IF(AND(MONTH(A398)&gt;3,MONTH(A398)&lt;11),(T398+R398+G398)*(((1/(1-Summary!$T$14))/(1-Summary!$W$14))-1),(T398+R398+G398)*((1/(1-Summary!$U$14))/(1-Summary!$X$14)-1)))</f>
        <v/>
      </c>
      <c r="W398" s="202" t="str">
        <f aca="false">IF($A399="","",(T398+R398+G398+V398))</f>
        <v/>
      </c>
      <c r="X398" s="202" t="str">
        <f aca="false">IF($A399="","",(U398+S398+H398+V398))</f>
        <v/>
      </c>
      <c r="Y398" s="202"/>
      <c r="Z398" s="185"/>
      <c r="AJ398" s="218"/>
      <c r="AK398" s="218"/>
      <c r="AL398" s="218"/>
      <c r="AM398" s="218"/>
      <c r="AN398" s="218"/>
      <c r="AO398" s="137" t="str">
        <f aca="false">IF(A399="","",A399-A398)</f>
        <v/>
      </c>
      <c r="AP398" s="212" t="str">
        <f aca="false">IF(A399="","",CHOOSE(F$3,A399+24,A398))</f>
        <v/>
      </c>
      <c r="AQ398" s="209" t="str">
        <f aca="false">IF(A399="","",AP398-$E$1)</f>
        <v/>
      </c>
      <c r="AR398" s="185" t="n">
        <f aca="false">'ANR OK vs ML7'!AR398</f>
        <v>0.1</v>
      </c>
      <c r="AS398" s="213" t="str">
        <f aca="false">IF(A399="","",1/(1+CHOOSE(F$3,(AR399+($I$3/10000))/2,(AR398+($I$3/10000))/2))^(2*AQ398/365.25))</f>
        <v/>
      </c>
      <c r="AT398" s="137" t="str">
        <f aca="false">IF(A399="","",IF(AND(mthbeg&lt;=A398,mthend&gt;=A398),1,0))</f>
        <v/>
      </c>
      <c r="AU398" s="137" t="str">
        <f aca="false">IF(A399="","",AO398*AT398)</f>
        <v/>
      </c>
      <c r="AW398" s="195" t="str">
        <f aca="false">IF($A399="","",AL398*$E398)</f>
        <v/>
      </c>
      <c r="AX398" s="195" t="str">
        <f aca="false">IF($A399="","",AM398*$E398)</f>
        <v/>
      </c>
      <c r="AY398" s="195" t="str">
        <f aca="false">IF($A399="","",AN398*$E398)</f>
        <v/>
      </c>
      <c r="BA398" s="195" t="str">
        <f aca="false">IF($A399="","",F398*Summary!$Q$14)</f>
        <v/>
      </c>
    </row>
    <row r="399" customFormat="false" ht="12.75" hidden="false" customHeight="false" outlineLevel="0" collapsed="false">
      <c r="A399" s="196" t="str">
        <f aca="false">IF(A398&lt;mthend,EDATE(A398,1),"")</f>
        <v/>
      </c>
      <c r="B399" s="197" t="str">
        <f aca="false">IF(A399&lt;mthend,B398,"")</f>
        <v/>
      </c>
      <c r="D399" s="197" t="str">
        <f aca="false">IF(A400&lt;&gt;"",B399+C399,"")</f>
        <v/>
      </c>
      <c r="E399" s="199" t="str">
        <f aca="false">IF(A400="","",IF(AND(AT399=1,$H$3=1),D399*AO399,IF($H$3=2,D399,"N/A")))</f>
        <v/>
      </c>
      <c r="F399" s="199" t="str">
        <f aca="false">IF(A400="","",E399*AS399)</f>
        <v/>
      </c>
      <c r="G399" s="200" t="str">
        <f aca="false">IF($A400="","",VLOOKUP($A399,Table,MATCH(G$4,Curves,0)))</f>
        <v/>
      </c>
      <c r="H399" s="201" t="str">
        <f aca="false">IF(A400="","",G399)</f>
        <v/>
      </c>
      <c r="J399" s="200" t="str">
        <f aca="false">IF($A400="","",VLOOKUP($A399,Table,MATCH(J$4,Curves,0)))</f>
        <v/>
      </c>
      <c r="K399" s="201" t="str">
        <f aca="false">IF(A400="","",J399)</f>
        <v/>
      </c>
      <c r="L399" s="185" t="n">
        <v>0</v>
      </c>
      <c r="M399" s="201" t="str">
        <f aca="false">IF(A400="","",L399)</f>
        <v/>
      </c>
      <c r="O399" s="200" t="str">
        <f aca="false">IF(A400="","",L399+J399+G399)</f>
        <v/>
      </c>
      <c r="P399" s="200" t="str">
        <f aca="false">IF(A400="","",M399+K399+H399)</f>
        <v/>
      </c>
      <c r="R399" s="200" t="str">
        <f aca="false">IF($A400="","",VLOOKUP($A399,Table,MATCH(R$4,Curves,0)))</f>
        <v/>
      </c>
      <c r="S399" s="201" t="str">
        <f aca="false">IF(A400="","",R399)</f>
        <v/>
      </c>
      <c r="T399" s="200" t="str">
        <f aca="false">IF($A400="","",VLOOKUP($A399,Table,MATCH(T$4,Curves,0)))</f>
        <v/>
      </c>
      <c r="U399" s="201" t="str">
        <f aca="false">IF(A400="","",T399)</f>
        <v/>
      </c>
      <c r="V399" s="183" t="str">
        <f aca="false">IF($A400="","",IF(AND(MONTH(A399)&gt;3,MONTH(A399)&lt;11),(T399+R399+G399)*(((1/(1-Summary!$T$14))/(1-Summary!$W$14))-1),(T399+R399+G399)*((1/(1-Summary!$U$14))/(1-Summary!$X$14)-1)))</f>
        <v/>
      </c>
      <c r="W399" s="202" t="str">
        <f aca="false">IF($A400="","",(T399+R399+G399+V399))</f>
        <v/>
      </c>
      <c r="X399" s="202" t="str">
        <f aca="false">IF($A400="","",(U399+S399+H399+V399))</f>
        <v/>
      </c>
      <c r="Y399" s="202"/>
      <c r="Z399" s="185"/>
      <c r="AJ399" s="218"/>
      <c r="AK399" s="218"/>
      <c r="AL399" s="218"/>
      <c r="AM399" s="218"/>
      <c r="AN399" s="218"/>
      <c r="AO399" s="137" t="str">
        <f aca="false">IF(A400="","",A400-A399)</f>
        <v/>
      </c>
      <c r="AP399" s="212" t="str">
        <f aca="false">IF(A400="","",CHOOSE(F$3,A400+24,A399))</f>
        <v/>
      </c>
      <c r="AQ399" s="209" t="str">
        <f aca="false">IF(A400="","",AP399-$E$1)</f>
        <v/>
      </c>
      <c r="AR399" s="185" t="n">
        <f aca="false">'ANR OK vs ML7'!AR399</f>
        <v>0.1</v>
      </c>
      <c r="AS399" s="213" t="str">
        <f aca="false">IF(A400="","",1/(1+CHOOSE(F$3,(AR400+($I$3/10000))/2,(AR399+($I$3/10000))/2))^(2*AQ399/365.25))</f>
        <v/>
      </c>
      <c r="AT399" s="137" t="str">
        <f aca="false">IF(A400="","",IF(AND(mthbeg&lt;=A399,mthend&gt;=A399),1,0))</f>
        <v/>
      </c>
      <c r="AU399" s="137" t="str">
        <f aca="false">IF(A400="","",AO399*AT399)</f>
        <v/>
      </c>
      <c r="AW399" s="195" t="str">
        <f aca="false">IF($A400="","",AL399*$E399)</f>
        <v/>
      </c>
      <c r="AX399" s="195" t="str">
        <f aca="false">IF($A400="","",AM399*$E399)</f>
        <v/>
      </c>
      <c r="AY399" s="195" t="str">
        <f aca="false">IF($A400="","",AN399*$E399)</f>
        <v/>
      </c>
      <c r="BA399" s="195" t="str">
        <f aca="false">IF($A400="","",F399*Summary!$Q$14)</f>
        <v/>
      </c>
    </row>
    <row r="400" customFormat="false" ht="12.75" hidden="false" customHeight="false" outlineLevel="0" collapsed="false">
      <c r="A400" s="196" t="str">
        <f aca="false">IF(A399&lt;mthend,EDATE(A399,1),"")</f>
        <v/>
      </c>
      <c r="B400" s="197" t="str">
        <f aca="false">IF(A400&lt;mthend,B399,"")</f>
        <v/>
      </c>
      <c r="D400" s="197" t="str">
        <f aca="false">IF(A401&lt;&gt;"",B400+C400,"")</f>
        <v/>
      </c>
      <c r="E400" s="199" t="str">
        <f aca="false">IF(A401="","",IF(AND(AT400=1,$H$3=1),D400*AO400,IF($H$3=2,D400,"N/A")))</f>
        <v/>
      </c>
      <c r="F400" s="199" t="str">
        <f aca="false">IF(A401="","",E400*AS400)</f>
        <v/>
      </c>
      <c r="G400" s="200" t="str">
        <f aca="false">IF($A401="","",VLOOKUP($A400,Table,MATCH(G$4,Curves,0)))</f>
        <v/>
      </c>
      <c r="H400" s="201" t="str">
        <f aca="false">IF(A401="","",G400)</f>
        <v/>
      </c>
      <c r="J400" s="200" t="str">
        <f aca="false">IF($A401="","",VLOOKUP($A400,Table,MATCH(J$4,Curves,0)))</f>
        <v/>
      </c>
      <c r="K400" s="201" t="str">
        <f aca="false">IF(A401="","",J400)</f>
        <v/>
      </c>
      <c r="L400" s="185" t="n">
        <v>0</v>
      </c>
      <c r="M400" s="201" t="str">
        <f aca="false">IF(A401="","",L400)</f>
        <v/>
      </c>
      <c r="O400" s="200" t="str">
        <f aca="false">IF(A401="","",L400+J400+G400)</f>
        <v/>
      </c>
      <c r="P400" s="200" t="str">
        <f aca="false">IF(A401="","",M400+K400+H400)</f>
        <v/>
      </c>
      <c r="R400" s="200" t="str">
        <f aca="false">IF($A401="","",VLOOKUP($A400,Table,MATCH(R$4,Curves,0)))</f>
        <v/>
      </c>
      <c r="S400" s="201" t="str">
        <f aca="false">IF(A401="","",R400)</f>
        <v/>
      </c>
      <c r="T400" s="200" t="str">
        <f aca="false">IF($A401="","",VLOOKUP($A400,Table,MATCH(T$4,Curves,0)))</f>
        <v/>
      </c>
      <c r="U400" s="201" t="str">
        <f aca="false">IF(A401="","",T400)</f>
        <v/>
      </c>
      <c r="V400" s="183" t="str">
        <f aca="false">IF($A401="","",IF(AND(MONTH(A400)&gt;3,MONTH(A400)&lt;11),(T400+R400+G400)*(((1/(1-Summary!$T$14))/(1-Summary!$W$14))-1),(T400+R400+G400)*((1/(1-Summary!$U$14))/(1-Summary!$X$14)-1)))</f>
        <v/>
      </c>
      <c r="W400" s="202" t="str">
        <f aca="false">IF($A401="","",(T400+R400+G400+V400))</f>
        <v/>
      </c>
      <c r="X400" s="202" t="str">
        <f aca="false">IF($A401="","",(U400+S400+H400+V400))</f>
        <v/>
      </c>
      <c r="Y400" s="202"/>
      <c r="Z400" s="185"/>
      <c r="AJ400" s="218"/>
      <c r="AK400" s="218"/>
      <c r="AL400" s="218"/>
      <c r="AM400" s="218"/>
      <c r="AN400" s="218"/>
      <c r="AO400" s="137" t="str">
        <f aca="false">IF(A401="","",A401-A400)</f>
        <v/>
      </c>
      <c r="AP400" s="212" t="str">
        <f aca="false">IF(A401="","",CHOOSE(F$3,A401+24,A400))</f>
        <v/>
      </c>
      <c r="AQ400" s="209" t="str">
        <f aca="false">IF(A401="","",AP400-$E$1)</f>
        <v/>
      </c>
      <c r="AR400" s="185" t="n">
        <f aca="false">'ANR OK vs ML7'!AR400</f>
        <v>0.1</v>
      </c>
      <c r="AS400" s="213" t="str">
        <f aca="false">IF(A401="","",1/(1+CHOOSE(F$3,(AR401+($I$3/10000))/2,(AR400+($I$3/10000))/2))^(2*AQ400/365.25))</f>
        <v/>
      </c>
      <c r="AT400" s="137" t="str">
        <f aca="false">IF(A401="","",IF(AND(mthbeg&lt;=A400,mthend&gt;=A400),1,0))</f>
        <v/>
      </c>
      <c r="AU400" s="137" t="str">
        <f aca="false">IF(A401="","",AO400*AT400)</f>
        <v/>
      </c>
      <c r="AW400" s="195" t="str">
        <f aca="false">IF($A401="","",AL400*$E400)</f>
        <v/>
      </c>
      <c r="AX400" s="195" t="str">
        <f aca="false">IF($A401="","",AM400*$E400)</f>
        <v/>
      </c>
      <c r="AY400" s="195" t="str">
        <f aca="false">IF($A401="","",AN400*$E400)</f>
        <v/>
      </c>
      <c r="BA400" s="195" t="str">
        <f aca="false">IF($A401="","",F400*Summary!$Q$14)</f>
        <v/>
      </c>
    </row>
    <row r="401" customFormat="false" ht="12.75" hidden="false" customHeight="false" outlineLevel="0" collapsed="false">
      <c r="A401" s="196" t="str">
        <f aca="false">IF(A400&lt;mthend,EDATE(A400,1),"")</f>
        <v/>
      </c>
      <c r="B401" s="197" t="str">
        <f aca="false">IF(A401&lt;mthend,B400,"")</f>
        <v/>
      </c>
      <c r="D401" s="197" t="str">
        <f aca="false">IF(A402&lt;&gt;"",B401+C401,"")</f>
        <v/>
      </c>
      <c r="E401" s="199" t="str">
        <f aca="false">IF(A402="","",IF(AND(AT401=1,$H$3=1),D401*AO401,IF($H$3=2,D401,"N/A")))</f>
        <v/>
      </c>
      <c r="F401" s="199" t="str">
        <f aca="false">IF(A402="","",E401*AS401)</f>
        <v/>
      </c>
      <c r="G401" s="200" t="str">
        <f aca="false">IF($A402="","",VLOOKUP($A401,Table,MATCH(G$4,Curves,0)))</f>
        <v/>
      </c>
      <c r="H401" s="201" t="str">
        <f aca="false">IF(A402="","",G401)</f>
        <v/>
      </c>
      <c r="J401" s="200" t="str">
        <f aca="false">IF($A402="","",VLOOKUP($A401,Table,MATCH(J$4,Curves,0)))</f>
        <v/>
      </c>
      <c r="K401" s="201" t="str">
        <f aca="false">IF(A402="","",J401)</f>
        <v/>
      </c>
      <c r="L401" s="185" t="n">
        <v>0</v>
      </c>
      <c r="M401" s="201" t="str">
        <f aca="false">IF(A402="","",L401)</f>
        <v/>
      </c>
      <c r="O401" s="200" t="str">
        <f aca="false">IF(A402="","",L401+J401+G401)</f>
        <v/>
      </c>
      <c r="P401" s="200" t="str">
        <f aca="false">IF(A402="","",M401+K401+H401)</f>
        <v/>
      </c>
      <c r="R401" s="200" t="str">
        <f aca="false">IF($A402="","",VLOOKUP($A401,Table,MATCH(R$4,Curves,0)))</f>
        <v/>
      </c>
      <c r="S401" s="201" t="str">
        <f aca="false">IF(A402="","",R401)</f>
        <v/>
      </c>
      <c r="T401" s="200" t="str">
        <f aca="false">IF($A402="","",VLOOKUP($A401,Table,MATCH(T$4,Curves,0)))</f>
        <v/>
      </c>
      <c r="U401" s="201" t="str">
        <f aca="false">IF(A402="","",T401)</f>
        <v/>
      </c>
      <c r="V401" s="183" t="str">
        <f aca="false">IF($A402="","",IF(AND(MONTH(A401)&gt;3,MONTH(A401)&lt;11),(T401+R401+G401)*(((1/(1-Summary!$T$14))/(1-Summary!$W$14))-1),(T401+R401+G401)*((1/(1-Summary!$U$14))/(1-Summary!$X$14)-1)))</f>
        <v/>
      </c>
      <c r="W401" s="202" t="str">
        <f aca="false">IF($A402="","",(T401+R401+G401+V401))</f>
        <v/>
      </c>
      <c r="X401" s="202" t="str">
        <f aca="false">IF($A402="","",(U401+S401+H401+V401))</f>
        <v/>
      </c>
      <c r="Y401" s="202"/>
      <c r="Z401" s="185"/>
      <c r="AJ401" s="218"/>
      <c r="AK401" s="218"/>
      <c r="AL401" s="218"/>
      <c r="AM401" s="218"/>
      <c r="AN401" s="218"/>
      <c r="AO401" s="137" t="str">
        <f aca="false">IF(A402="","",A402-A401)</f>
        <v/>
      </c>
      <c r="AP401" s="212" t="str">
        <f aca="false">IF(A402="","",CHOOSE(F$3,A402+24,A401))</f>
        <v/>
      </c>
      <c r="AQ401" s="209" t="str">
        <f aca="false">IF(A402="","",AP401-$E$1)</f>
        <v/>
      </c>
      <c r="AR401" s="185" t="n">
        <f aca="false">'ANR OK vs ML7'!AR401</f>
        <v>0.1</v>
      </c>
      <c r="AS401" s="213" t="str">
        <f aca="false">IF(A402="","",1/(1+CHOOSE(F$3,(AR402+($I$3/10000))/2,(AR401+($I$3/10000))/2))^(2*AQ401/365.25))</f>
        <v/>
      </c>
      <c r="AT401" s="137" t="str">
        <f aca="false">IF(A402="","",IF(AND(mthbeg&lt;=A401,mthend&gt;=A401),1,0))</f>
        <v/>
      </c>
      <c r="AU401" s="137" t="str">
        <f aca="false">IF(A402="","",AO401*AT401)</f>
        <v/>
      </c>
      <c r="AW401" s="195" t="str">
        <f aca="false">IF($A402="","",AL401*$E401)</f>
        <v/>
      </c>
      <c r="AX401" s="195" t="str">
        <f aca="false">IF($A402="","",AM401*$E401)</f>
        <v/>
      </c>
      <c r="AY401" s="195" t="str">
        <f aca="false">IF($A402="","",AN401*$E401)</f>
        <v/>
      </c>
      <c r="BA401" s="195" t="str">
        <f aca="false">IF($A402="","",F401*Summary!$Q$14)</f>
        <v/>
      </c>
    </row>
    <row r="402" customFormat="false" ht="12.75" hidden="false" customHeight="false" outlineLevel="0" collapsed="false">
      <c r="A402" s="196" t="str">
        <f aca="false">IF(A401&lt;mthend,EDATE(A401,1),"")</f>
        <v/>
      </c>
      <c r="B402" s="197" t="str">
        <f aca="false">IF(A402&lt;mthend,B401,"")</f>
        <v/>
      </c>
      <c r="D402" s="197" t="str">
        <f aca="false">IF(A403&lt;&gt;"",B402+C402,"")</f>
        <v/>
      </c>
      <c r="E402" s="199" t="str">
        <f aca="false">IF(A403="","",IF(AND(AT402=1,$H$3=1),D402*AO402,IF($H$3=2,D402,"N/A")))</f>
        <v/>
      </c>
      <c r="F402" s="199" t="str">
        <f aca="false">IF(A403="","",E402*AS402)</f>
        <v/>
      </c>
      <c r="G402" s="200" t="str">
        <f aca="false">IF($A403="","",VLOOKUP($A402,Table,MATCH(G$4,Curves,0)))</f>
        <v/>
      </c>
      <c r="H402" s="201" t="str">
        <f aca="false">IF(A403="","",G402)</f>
        <v/>
      </c>
      <c r="J402" s="200" t="str">
        <f aca="false">IF($A403="","",VLOOKUP($A402,Table,MATCH(J$4,Curves,0)))</f>
        <v/>
      </c>
      <c r="K402" s="201" t="str">
        <f aca="false">IF(A403="","",J402)</f>
        <v/>
      </c>
      <c r="L402" s="185" t="n">
        <v>0</v>
      </c>
      <c r="M402" s="201" t="str">
        <f aca="false">IF(A403="","",L402)</f>
        <v/>
      </c>
      <c r="O402" s="200" t="str">
        <f aca="false">IF(A403="","",L402+J402+G402)</f>
        <v/>
      </c>
      <c r="P402" s="200" t="str">
        <f aca="false">IF(A403="","",M402+K402+H402)</f>
        <v/>
      </c>
      <c r="R402" s="200" t="str">
        <f aca="false">IF($A403="","",VLOOKUP($A402,Table,MATCH(R$4,Curves,0)))</f>
        <v/>
      </c>
      <c r="S402" s="201" t="str">
        <f aca="false">IF(A403="","",R402)</f>
        <v/>
      </c>
      <c r="T402" s="200" t="str">
        <f aca="false">IF($A403="","",VLOOKUP($A402,Table,MATCH(T$4,Curves,0)))</f>
        <v/>
      </c>
      <c r="U402" s="201" t="str">
        <f aca="false">IF(A403="","",T402)</f>
        <v/>
      </c>
      <c r="V402" s="183" t="str">
        <f aca="false">IF($A403="","",IF(AND(MONTH(A402)&gt;3,MONTH(A402)&lt;11),(T402+R402+G402)*(((1/(1-Summary!$T$14))/(1-Summary!$W$14))-1),(T402+R402+G402)*((1/(1-Summary!$U$14))/(1-Summary!$X$14)-1)))</f>
        <v/>
      </c>
      <c r="W402" s="202" t="str">
        <f aca="false">IF($A403="","",(T402+R402+G402+V402))</f>
        <v/>
      </c>
      <c r="X402" s="202" t="str">
        <f aca="false">IF($A403="","",(U402+S402+H402+V402))</f>
        <v/>
      </c>
      <c r="Y402" s="202"/>
      <c r="Z402" s="185"/>
      <c r="AJ402" s="218"/>
      <c r="AK402" s="218"/>
      <c r="AL402" s="218"/>
      <c r="AM402" s="218"/>
      <c r="AN402" s="218"/>
      <c r="AO402" s="137" t="str">
        <f aca="false">IF(A403="","",A403-A402)</f>
        <v/>
      </c>
      <c r="AP402" s="212" t="str">
        <f aca="false">IF(A403="","",CHOOSE(F$3,A403+24,A402))</f>
        <v/>
      </c>
      <c r="AQ402" s="209" t="str">
        <f aca="false">IF(A403="","",AP402-$E$1)</f>
        <v/>
      </c>
      <c r="AR402" s="185" t="n">
        <f aca="false">'ANR OK vs ML7'!AR402</f>
        <v>0.1</v>
      </c>
      <c r="AS402" s="213" t="str">
        <f aca="false">IF(A403="","",1/(1+CHOOSE(F$3,(AR403+($I$3/10000))/2,(AR402+($I$3/10000))/2))^(2*AQ402/365.25))</f>
        <v/>
      </c>
      <c r="AT402" s="137" t="str">
        <f aca="false">IF(A403="","",IF(AND(mthbeg&lt;=A402,mthend&gt;=A402),1,0))</f>
        <v/>
      </c>
      <c r="AU402" s="137" t="str">
        <f aca="false">IF(A403="","",AO402*AT402)</f>
        <v/>
      </c>
      <c r="AW402" s="195" t="str">
        <f aca="false">IF($A403="","",AL402*$E402)</f>
        <v/>
      </c>
      <c r="AX402" s="195" t="str">
        <f aca="false">IF($A403="","",AM402*$E402)</f>
        <v/>
      </c>
      <c r="AY402" s="195" t="str">
        <f aca="false">IF($A403="","",AN402*$E402)</f>
        <v/>
      </c>
      <c r="BA402" s="195" t="str">
        <f aca="false">IF($A403="","",F402*Summary!$Q$14)</f>
        <v/>
      </c>
    </row>
    <row r="403" customFormat="false" ht="12.75" hidden="false" customHeight="false" outlineLevel="0" collapsed="false">
      <c r="A403" s="196" t="str">
        <f aca="false">IF(A402&lt;mthend,EDATE(A402,1),"")</f>
        <v/>
      </c>
      <c r="B403" s="197" t="str">
        <f aca="false">IF(A403&lt;mthend,B402,"")</f>
        <v/>
      </c>
      <c r="D403" s="197" t="str">
        <f aca="false">IF(A404&lt;&gt;"",B403+C403,"")</f>
        <v/>
      </c>
      <c r="E403" s="199" t="str">
        <f aca="false">IF(A404="","",IF(AND(AT403=1,$H$3=1),D403*AO403,IF($H$3=2,D403,"N/A")))</f>
        <v/>
      </c>
      <c r="F403" s="199" t="str">
        <f aca="false">IF(A404="","",E403*AS403)</f>
        <v/>
      </c>
      <c r="G403" s="200" t="str">
        <f aca="false">IF($A404="","",VLOOKUP($A403,Table,MATCH(G$4,Curves,0)))</f>
        <v/>
      </c>
      <c r="H403" s="201" t="str">
        <f aca="false">IF(A404="","",G403)</f>
        <v/>
      </c>
      <c r="J403" s="200" t="str">
        <f aca="false">IF($A404="","",VLOOKUP($A403,Table,MATCH(J$4,Curves,0)))</f>
        <v/>
      </c>
      <c r="K403" s="201" t="str">
        <f aca="false">IF(A404="","",J403)</f>
        <v/>
      </c>
      <c r="L403" s="185" t="n">
        <v>0</v>
      </c>
      <c r="M403" s="201" t="str">
        <f aca="false">IF(A404="","",L403)</f>
        <v/>
      </c>
      <c r="O403" s="200" t="str">
        <f aca="false">IF(A404="","",L403+J403+G403)</f>
        <v/>
      </c>
      <c r="P403" s="200" t="str">
        <f aca="false">IF(A404="","",M403+K403+H403)</f>
        <v/>
      </c>
      <c r="R403" s="200" t="str">
        <f aca="false">IF($A404="","",VLOOKUP($A403,Table,MATCH(R$4,Curves,0)))</f>
        <v/>
      </c>
      <c r="S403" s="201" t="str">
        <f aca="false">IF(A404="","",R403)</f>
        <v/>
      </c>
      <c r="T403" s="200" t="str">
        <f aca="false">IF($A404="","",VLOOKUP($A403,Table,MATCH(T$4,Curves,0)))</f>
        <v/>
      </c>
      <c r="U403" s="201" t="str">
        <f aca="false">IF(A404="","",T403)</f>
        <v/>
      </c>
      <c r="V403" s="183" t="str">
        <f aca="false">IF($A404="","",IF(AND(MONTH(A403)&gt;3,MONTH(A403)&lt;11),(T403+R403+G403)*(((1/(1-Summary!$T$14))/(1-Summary!$W$14))-1),(T403+R403+G403)*((1/(1-Summary!$U$14))/(1-Summary!$X$14)-1)))</f>
        <v/>
      </c>
      <c r="W403" s="202" t="str">
        <f aca="false">IF($A404="","",(T403+R403+G403+V403))</f>
        <v/>
      </c>
      <c r="X403" s="202" t="str">
        <f aca="false">IF($A404="","",(U403+S403+H403+V403))</f>
        <v/>
      </c>
      <c r="Y403" s="202"/>
      <c r="Z403" s="185"/>
      <c r="AJ403" s="77"/>
      <c r="AK403" s="77"/>
      <c r="AL403" s="77"/>
      <c r="AM403" s="77"/>
      <c r="AN403" s="77"/>
      <c r="AO403" s="137" t="str">
        <f aca="false">IF(A404="","",A404-A403)</f>
        <v/>
      </c>
      <c r="AP403" s="212" t="str">
        <f aca="false">IF(A404="","",CHOOSE(F$3,A404+24,A403))</f>
        <v/>
      </c>
      <c r="AQ403" s="209" t="str">
        <f aca="false">IF(A404="","",AP403-$E$1)</f>
        <v/>
      </c>
      <c r="AR403" s="185" t="n">
        <f aca="false">'ANR OK vs ML7'!AR403</f>
        <v>0.1</v>
      </c>
      <c r="AS403" s="213" t="str">
        <f aca="false">IF(A404="","",1/(1+CHOOSE(F$3,(AR404+($I$3/10000))/2,(AR403+($I$3/10000))/2))^(2*AQ403/365.25))</f>
        <v/>
      </c>
      <c r="AT403" s="137" t="str">
        <f aca="false">IF(A404="","",IF(AND(mthbeg&lt;=A403,mthend&gt;=A403),1,0))</f>
        <v/>
      </c>
      <c r="AU403" s="137" t="str">
        <f aca="false">IF(A404="","",AO403*AT403)</f>
        <v/>
      </c>
      <c r="AW403" s="195" t="str">
        <f aca="false">IF($A404="","",AL403*$E403)</f>
        <v/>
      </c>
      <c r="AX403" s="195" t="str">
        <f aca="false">IF($A404="","",AM403*$E403)</f>
        <v/>
      </c>
      <c r="AY403" s="195" t="str">
        <f aca="false">IF($A404="","",AN403*$E403)</f>
        <v/>
      </c>
      <c r="BA403" s="195" t="str">
        <f aca="false">IF($A404="","",F403*Summary!$Q$14)</f>
        <v/>
      </c>
    </row>
    <row r="404" customFormat="false" ht="12.75" hidden="false" customHeight="false" outlineLevel="0" collapsed="false">
      <c r="A404" s="196" t="str">
        <f aca="false">IF(A403&lt;mthend,EDATE(A403,1),"")</f>
        <v/>
      </c>
      <c r="B404" s="197" t="str">
        <f aca="false">IF(A404&lt;mthend,B403,"")</f>
        <v/>
      </c>
      <c r="D404" s="197" t="str">
        <f aca="false">IF(A405&lt;&gt;"",B404+C404,"")</f>
        <v/>
      </c>
      <c r="E404" s="199" t="str">
        <f aca="false">IF(A405="","",IF(AND(AT404=1,$H$3=1),D404*AO404,IF($H$3=2,D404,"N/A")))</f>
        <v/>
      </c>
      <c r="F404" s="199" t="str">
        <f aca="false">IF(A405="","",E404*AS404)</f>
        <v/>
      </c>
      <c r="G404" s="200" t="str">
        <f aca="false">IF($A405="","",VLOOKUP($A404,Table,MATCH(G$4,Curves,0)))</f>
        <v/>
      </c>
      <c r="H404" s="201" t="str">
        <f aca="false">IF(A405="","",G404)</f>
        <v/>
      </c>
      <c r="J404" s="200" t="str">
        <f aca="false">IF($A405="","",VLOOKUP($A404,Table,MATCH(J$4,Curves,0)))</f>
        <v/>
      </c>
      <c r="K404" s="201" t="str">
        <f aca="false">IF(A405="","",J404)</f>
        <v/>
      </c>
      <c r="L404" s="185" t="n">
        <v>0</v>
      </c>
      <c r="M404" s="201" t="str">
        <f aca="false">IF(A405="","",L404)</f>
        <v/>
      </c>
      <c r="O404" s="200" t="str">
        <f aca="false">IF(A405="","",L404+J404+G404)</f>
        <v/>
      </c>
      <c r="P404" s="200" t="str">
        <f aca="false">IF(A405="","",M404+K404+H404)</f>
        <v/>
      </c>
      <c r="R404" s="200" t="str">
        <f aca="false">IF($A405="","",VLOOKUP($A404,Table,MATCH(R$4,Curves,0)))</f>
        <v/>
      </c>
      <c r="S404" s="201" t="str">
        <f aca="false">IF(A405="","",R404)</f>
        <v/>
      </c>
      <c r="T404" s="200" t="str">
        <f aca="false">IF($A405="","",VLOOKUP($A404,Table,MATCH(T$4,Curves,0)))</f>
        <v/>
      </c>
      <c r="U404" s="201" t="str">
        <f aca="false">IF(A405="","",T404)</f>
        <v/>
      </c>
      <c r="V404" s="183" t="str">
        <f aca="false">IF($A405="","",IF(AND(MONTH(A404)&gt;3,MONTH(A404)&lt;11),(T404+R404+G404)*(((1/(1-Summary!$T$14))/(1-Summary!$W$14))-1),(T404+R404+G404)*((1/(1-Summary!$U$14))/(1-Summary!$X$14)-1)))</f>
        <v/>
      </c>
      <c r="W404" s="202" t="str">
        <f aca="false">IF($A405="","",(T404+R404+G404+V404))</f>
        <v/>
      </c>
      <c r="X404" s="202" t="str">
        <f aca="false">IF($A405="","",(U404+S404+H404+V404))</f>
        <v/>
      </c>
      <c r="Y404" s="202"/>
      <c r="Z404" s="185"/>
      <c r="AJ404" s="77"/>
      <c r="AK404" s="77"/>
      <c r="AL404" s="77"/>
      <c r="AM404" s="77"/>
      <c r="AN404" s="77"/>
      <c r="AO404" s="137" t="str">
        <f aca="false">IF(A405="","",A405-A404)</f>
        <v/>
      </c>
      <c r="AP404" s="212" t="str">
        <f aca="false">IF(A405="","",CHOOSE(F$3,A405+24,A404))</f>
        <v/>
      </c>
      <c r="AQ404" s="209" t="str">
        <f aca="false">IF(A405="","",AP404-$E$1)</f>
        <v/>
      </c>
      <c r="AR404" s="185" t="n">
        <f aca="false">'ANR OK vs ML7'!AR404</f>
        <v>0.1</v>
      </c>
      <c r="AS404" s="213" t="str">
        <f aca="false">IF(A405="","",1/(1+CHOOSE(F$3,(AR405+($I$3/10000))/2,(AR404+($I$3/10000))/2))^(2*AQ404/365.25))</f>
        <v/>
      </c>
      <c r="AT404" s="137" t="str">
        <f aca="false">IF(A405="","",IF(AND(mthbeg&lt;=A404,mthend&gt;=A404),1,0))</f>
        <v/>
      </c>
      <c r="AU404" s="137" t="str">
        <f aca="false">IF(A405="","",AO404*AT404)</f>
        <v/>
      </c>
      <c r="AW404" s="195" t="str">
        <f aca="false">IF($A405="","",AL404*$E404)</f>
        <v/>
      </c>
      <c r="AX404" s="195" t="str">
        <f aca="false">IF($A405="","",AM404*$E404)</f>
        <v/>
      </c>
      <c r="AY404" s="195" t="str">
        <f aca="false">IF($A405="","",AN404*$E404)</f>
        <v/>
      </c>
      <c r="BA404" s="195" t="str">
        <f aca="false">IF($A405="","",F404*Summary!$Q$14)</f>
        <v/>
      </c>
    </row>
    <row r="405" customFormat="false" ht="12.75" hidden="false" customHeight="false" outlineLevel="0" collapsed="false">
      <c r="A405" s="196" t="str">
        <f aca="false">IF(A404&lt;mthend,EDATE(A404,1),"")</f>
        <v/>
      </c>
      <c r="B405" s="197" t="str">
        <f aca="false">IF(A405&lt;mthend,B404,"")</f>
        <v/>
      </c>
      <c r="D405" s="197" t="str">
        <f aca="false">IF(A406&lt;&gt;"",B405+C405,"")</f>
        <v/>
      </c>
      <c r="E405" s="199" t="str">
        <f aca="false">IF(A406="","",IF(AND(AT405=1,$H$3=1),D405*AO405,IF($H$3=2,D405,"N/A")))</f>
        <v/>
      </c>
      <c r="F405" s="199" t="str">
        <f aca="false">IF(A406="","",E405*AS405)</f>
        <v/>
      </c>
      <c r="G405" s="200" t="str">
        <f aca="false">IF($A406="","",VLOOKUP($A405,Table,MATCH(G$4,Curves,0)))</f>
        <v/>
      </c>
      <c r="H405" s="201" t="str">
        <f aca="false">IF(A406="","",G405)</f>
        <v/>
      </c>
      <c r="J405" s="200" t="str">
        <f aca="false">IF($A406="","",VLOOKUP($A405,Table,MATCH(J$4,Curves,0)))</f>
        <v/>
      </c>
      <c r="K405" s="201" t="str">
        <f aca="false">IF(A406="","",J405)</f>
        <v/>
      </c>
      <c r="L405" s="185" t="n">
        <v>0</v>
      </c>
      <c r="M405" s="201" t="str">
        <f aca="false">IF(A406="","",L405)</f>
        <v/>
      </c>
      <c r="O405" s="200" t="str">
        <f aca="false">IF(A406="","",L405+J405+G405)</f>
        <v/>
      </c>
      <c r="P405" s="200" t="str">
        <f aca="false">IF(A406="","",M405+K405+H405)</f>
        <v/>
      </c>
      <c r="R405" s="200" t="str">
        <f aca="false">IF($A406="","",VLOOKUP($A405,Table,MATCH(R$4,Curves,0)))</f>
        <v/>
      </c>
      <c r="S405" s="201" t="str">
        <f aca="false">IF(A406="","",R405)</f>
        <v/>
      </c>
      <c r="T405" s="200" t="str">
        <f aca="false">IF($A406="","",VLOOKUP($A405,Table,MATCH(T$4,Curves,0)))</f>
        <v/>
      </c>
      <c r="U405" s="201" t="str">
        <f aca="false">IF(A406="","",T405)</f>
        <v/>
      </c>
      <c r="V405" s="183" t="str">
        <f aca="false">IF($A406="","",IF(AND(MONTH(A405)&gt;3,MONTH(A405)&lt;11),(T405+R405+G405)*(((1/(1-Summary!$T$14))/(1-Summary!$W$14))-1),(T405+R405+G405)*((1/(1-Summary!$U$14))/(1-Summary!$X$14)-1)))</f>
        <v/>
      </c>
      <c r="W405" s="202" t="str">
        <f aca="false">IF($A406="","",(T405+R405+G405+V405))</f>
        <v/>
      </c>
      <c r="X405" s="202" t="str">
        <f aca="false">IF($A406="","",(U405+S405+H405+V405))</f>
        <v/>
      </c>
      <c r="Y405" s="202"/>
      <c r="Z405" s="185"/>
      <c r="AJ405" s="77"/>
      <c r="AK405" s="77"/>
      <c r="AL405" s="77"/>
      <c r="AM405" s="77"/>
      <c r="AN405" s="77"/>
      <c r="AO405" s="137" t="str">
        <f aca="false">IF(A406="","",A406-A405)</f>
        <v/>
      </c>
      <c r="AP405" s="212" t="str">
        <f aca="false">IF(A406="","",CHOOSE(F$3,A406+24,A405))</f>
        <v/>
      </c>
      <c r="AQ405" s="209" t="str">
        <f aca="false">IF(A406="","",AP405-$E$1)</f>
        <v/>
      </c>
      <c r="AR405" s="185" t="n">
        <f aca="false">'ANR OK vs ML7'!AR405</f>
        <v>0.1</v>
      </c>
      <c r="AS405" s="213" t="str">
        <f aca="false">IF(A406="","",1/(1+CHOOSE(F$3,(AR406+($I$3/10000))/2,(AR405+($I$3/10000))/2))^(2*AQ405/365.25))</f>
        <v/>
      </c>
      <c r="AT405" s="137" t="str">
        <f aca="false">IF(A406="","",IF(AND(mthbeg&lt;=A405,mthend&gt;=A405),1,0))</f>
        <v/>
      </c>
      <c r="AU405" s="137" t="str">
        <f aca="false">IF(A406="","",AO405*AT405)</f>
        <v/>
      </c>
      <c r="AW405" s="195" t="str">
        <f aca="false">IF($A406="","",AL405*$E405)</f>
        <v/>
      </c>
      <c r="AX405" s="195" t="str">
        <f aca="false">IF($A406="","",AM405*$E405)</f>
        <v/>
      </c>
      <c r="AY405" s="195" t="str">
        <f aca="false">IF($A406="","",AN405*$E405)</f>
        <v/>
      </c>
      <c r="BA405" s="195" t="str">
        <f aca="false">IF($A406="","",F405*Summary!$Q$14)</f>
        <v/>
      </c>
    </row>
    <row r="406" customFormat="false" ht="12.75" hidden="false" customHeight="false" outlineLevel="0" collapsed="false">
      <c r="A406" s="196" t="str">
        <f aca="false">IF(A405&lt;mthend,EDATE(A405,1),"")</f>
        <v/>
      </c>
      <c r="B406" s="197" t="str">
        <f aca="false">IF(A406&lt;mthend,B405,"")</f>
        <v/>
      </c>
      <c r="D406" s="197" t="str">
        <f aca="false">IF(A407&lt;&gt;"",B406+C406,"")</f>
        <v/>
      </c>
      <c r="E406" s="199" t="str">
        <f aca="false">IF(A407="","",IF(AND(AT406=1,$H$3=1),D406*AO406,IF($H$3=2,D406,"N/A")))</f>
        <v/>
      </c>
      <c r="F406" s="199" t="str">
        <f aca="false">IF(A407="","",E406*AS406)</f>
        <v/>
      </c>
      <c r="G406" s="200" t="str">
        <f aca="false">IF($A407="","",VLOOKUP($A406,Table,MATCH(G$4,Curves,0)))</f>
        <v/>
      </c>
      <c r="H406" s="201" t="str">
        <f aca="false">IF(A407="","",G406)</f>
        <v/>
      </c>
      <c r="J406" s="200" t="str">
        <f aca="false">IF($A407="","",VLOOKUP($A406,Table,MATCH(J$4,Curves,0)))</f>
        <v/>
      </c>
      <c r="K406" s="201" t="str">
        <f aca="false">IF(A407="","",J406)</f>
        <v/>
      </c>
      <c r="L406" s="185" t="n">
        <v>0</v>
      </c>
      <c r="M406" s="201" t="str">
        <f aca="false">IF(A407="","",L406)</f>
        <v/>
      </c>
      <c r="O406" s="200" t="str">
        <f aca="false">IF(A407="","",L406+J406+G406)</f>
        <v/>
      </c>
      <c r="P406" s="200" t="str">
        <f aca="false">IF(A407="","",M406+K406+H406)</f>
        <v/>
      </c>
      <c r="R406" s="200" t="str">
        <f aca="false">IF($A407="","",VLOOKUP($A406,Table,MATCH(R$4,Curves,0)))</f>
        <v/>
      </c>
      <c r="S406" s="201" t="str">
        <f aca="false">IF(A407="","",R406)</f>
        <v/>
      </c>
      <c r="T406" s="200" t="str">
        <f aca="false">IF($A407="","",VLOOKUP($A406,Table,MATCH(T$4,Curves,0)))</f>
        <v/>
      </c>
      <c r="U406" s="201" t="str">
        <f aca="false">IF(A407="","",T406)</f>
        <v/>
      </c>
      <c r="V406" s="183" t="str">
        <f aca="false">IF($A407="","",IF(AND(MONTH(A406)&gt;3,MONTH(A406)&lt;11),(T406+R406+G406)*(((1/(1-Summary!$T$14))/(1-Summary!$W$14))-1),(T406+R406+G406)*((1/(1-Summary!$U$14))/(1-Summary!$X$14)-1)))</f>
        <v/>
      </c>
      <c r="W406" s="202" t="str">
        <f aca="false">IF($A407="","",(T406+R406+G406+V406))</f>
        <v/>
      </c>
      <c r="X406" s="202" t="str">
        <f aca="false">IF($A407="","",(U406+S406+H406+V406))</f>
        <v/>
      </c>
      <c r="Y406" s="202"/>
      <c r="Z406" s="185"/>
      <c r="AJ406" s="77"/>
      <c r="AK406" s="77"/>
      <c r="AL406" s="77"/>
      <c r="AM406" s="77"/>
      <c r="AN406" s="77"/>
      <c r="AO406" s="137" t="str">
        <f aca="false">IF(A407="","",A407-A406)</f>
        <v/>
      </c>
      <c r="AP406" s="212" t="str">
        <f aca="false">IF(A407="","",CHOOSE(F$3,A407+24,A406))</f>
        <v/>
      </c>
      <c r="AQ406" s="209" t="str">
        <f aca="false">IF(A407="","",AP406-$E$1)</f>
        <v/>
      </c>
      <c r="AR406" s="185" t="n">
        <f aca="false">'ANR OK vs ML7'!AR406</f>
        <v>0.1</v>
      </c>
      <c r="AS406" s="213" t="str">
        <f aca="false">IF(A407="","",1/(1+CHOOSE(F$3,(AR407+($I$3/10000))/2,(AR406+($I$3/10000))/2))^(2*AQ406/365.25))</f>
        <v/>
      </c>
      <c r="AT406" s="137" t="str">
        <f aca="false">IF(A407="","",IF(AND(mthbeg&lt;=A406,mthend&gt;=A406),1,0))</f>
        <v/>
      </c>
      <c r="AU406" s="137" t="str">
        <f aca="false">IF(A407="","",AO406*AT406)</f>
        <v/>
      </c>
      <c r="AW406" s="195" t="str">
        <f aca="false">IF($A407="","",AL406*$E406)</f>
        <v/>
      </c>
      <c r="AX406" s="195" t="str">
        <f aca="false">IF($A407="","",AM406*$E406)</f>
        <v/>
      </c>
      <c r="AY406" s="195" t="str">
        <f aca="false">IF($A407="","",AN406*$E406)</f>
        <v/>
      </c>
      <c r="BA406" s="195" t="str">
        <f aca="false">IF($A407="","",F406*Summary!$Q$14)</f>
        <v/>
      </c>
    </row>
    <row r="407" customFormat="false" ht="12.75" hidden="false" customHeight="false" outlineLevel="0" collapsed="false">
      <c r="A407" s="196" t="str">
        <f aca="false">IF(A406&lt;mthend,EDATE(A406,1),"")</f>
        <v/>
      </c>
      <c r="B407" s="197" t="str">
        <f aca="false">IF(A407&lt;mthend,B406,"")</f>
        <v/>
      </c>
      <c r="D407" s="197" t="str">
        <f aca="false">IF(A408&lt;&gt;"",B407+C407,"")</f>
        <v/>
      </c>
      <c r="E407" s="199" t="str">
        <f aca="false">IF(A408="","",IF(AND(AT407=1,$H$3=1),D407*AO407,IF($H$3=2,D407,"N/A")))</f>
        <v/>
      </c>
      <c r="F407" s="199" t="str">
        <f aca="false">IF(A408="","",E407*AS407)</f>
        <v/>
      </c>
      <c r="G407" s="200" t="str">
        <f aca="false">IF($A408="","",VLOOKUP($A407,Table,MATCH(G$4,Curves,0)))</f>
        <v/>
      </c>
      <c r="H407" s="201" t="str">
        <f aca="false">IF(A408="","",G407)</f>
        <v/>
      </c>
      <c r="J407" s="200" t="str">
        <f aca="false">IF($A408="","",VLOOKUP($A407,Table,MATCH(J$4,Curves,0)))</f>
        <v/>
      </c>
      <c r="K407" s="201" t="str">
        <f aca="false">IF(A408="","",J407)</f>
        <v/>
      </c>
      <c r="L407" s="185" t="n">
        <v>0</v>
      </c>
      <c r="M407" s="201" t="str">
        <f aca="false">IF(A408="","",L407)</f>
        <v/>
      </c>
      <c r="O407" s="200" t="str">
        <f aca="false">IF(A408="","",L407+J407+G407)</f>
        <v/>
      </c>
      <c r="P407" s="200" t="str">
        <f aca="false">IF(A408="","",M407+K407+H407)</f>
        <v/>
      </c>
      <c r="R407" s="200" t="str">
        <f aca="false">IF($A408="","",VLOOKUP($A407,Table,MATCH(R$4,Curves,0)))</f>
        <v/>
      </c>
      <c r="S407" s="201" t="str">
        <f aca="false">IF(A408="","",R407)</f>
        <v/>
      </c>
      <c r="T407" s="200" t="str">
        <f aca="false">IF($A408="","",VLOOKUP($A407,Table,MATCH(T$4,Curves,0)))</f>
        <v/>
      </c>
      <c r="U407" s="201" t="str">
        <f aca="false">IF(A408="","",T407)</f>
        <v/>
      </c>
      <c r="V407" s="183" t="str">
        <f aca="false">IF($A408="","",IF(AND(MONTH(A407)&gt;3,MONTH(A407)&lt;11),(T407+R407+G407)*(((1/(1-Summary!$T$14))/(1-Summary!$W$14))-1),(T407+R407+G407)*((1/(1-Summary!$U$14))/(1-Summary!$X$14)-1)))</f>
        <v/>
      </c>
      <c r="W407" s="202" t="str">
        <f aca="false">IF($A408="","",(T407+R407+G407+V407))</f>
        <v/>
      </c>
      <c r="X407" s="202" t="str">
        <f aca="false">IF($A408="","",(U407+S407+H407+V407))</f>
        <v/>
      </c>
      <c r="Y407" s="202"/>
      <c r="Z407" s="185"/>
      <c r="AJ407" s="77"/>
      <c r="AK407" s="77"/>
      <c r="AL407" s="77"/>
      <c r="AM407" s="77"/>
      <c r="AN407" s="77"/>
      <c r="AO407" s="137" t="str">
        <f aca="false">IF(A408="","",A408-A407)</f>
        <v/>
      </c>
      <c r="AP407" s="212" t="str">
        <f aca="false">IF(A408="","",CHOOSE(F$3,A408+24,A407))</f>
        <v/>
      </c>
      <c r="AQ407" s="209" t="str">
        <f aca="false">IF(A408="","",AP407-$E$1)</f>
        <v/>
      </c>
      <c r="AR407" s="185" t="n">
        <f aca="false">'ANR OK vs ML7'!AR407</f>
        <v>0.1</v>
      </c>
      <c r="AS407" s="213" t="str">
        <f aca="false">IF(A408="","",1/(1+CHOOSE(F$3,(AR408+($I$3/10000))/2,(AR407+($I$3/10000))/2))^(2*AQ407/365.25))</f>
        <v/>
      </c>
      <c r="AT407" s="137" t="str">
        <f aca="false">IF(A408="","",IF(AND(mthbeg&lt;=A407,mthend&gt;=A407),1,0))</f>
        <v/>
      </c>
      <c r="AU407" s="137" t="str">
        <f aca="false">IF(A408="","",AO407*AT407)</f>
        <v/>
      </c>
      <c r="AW407" s="195" t="str">
        <f aca="false">IF($A408="","",AL407*$E407)</f>
        <v/>
      </c>
      <c r="AX407" s="195" t="str">
        <f aca="false">IF($A408="","",AM407*$E407)</f>
        <v/>
      </c>
      <c r="AY407" s="195" t="str">
        <f aca="false">IF($A408="","",AN407*$E407)</f>
        <v/>
      </c>
      <c r="BA407" s="195" t="str">
        <f aca="false">IF($A408="","",F407*Summary!$Q$14)</f>
        <v/>
      </c>
    </row>
    <row r="408" customFormat="false" ht="12.75" hidden="false" customHeight="false" outlineLevel="0" collapsed="false">
      <c r="A408" s="196" t="str">
        <f aca="false">IF(A407&lt;mthend,EDATE(A407,1),"")</f>
        <v/>
      </c>
      <c r="B408" s="197" t="str">
        <f aca="false">IF(A408&lt;mthend,B407,"")</f>
        <v/>
      </c>
      <c r="D408" s="197" t="str">
        <f aca="false">IF(A409&lt;&gt;"",B408+C408,"")</f>
        <v/>
      </c>
      <c r="E408" s="199" t="str">
        <f aca="false">IF(A409="","",IF(AND(AT408=1,$H$3=1),D408*AO408,IF($H$3=2,D408,"N/A")))</f>
        <v/>
      </c>
      <c r="F408" s="199" t="str">
        <f aca="false">IF(A409="","",E408*AS408)</f>
        <v/>
      </c>
      <c r="G408" s="200" t="str">
        <f aca="false">IF($A409="","",VLOOKUP($A408,Table,MATCH(G$4,Curves,0)))</f>
        <v/>
      </c>
      <c r="H408" s="201" t="str">
        <f aca="false">IF(A409="","",G408)</f>
        <v/>
      </c>
      <c r="J408" s="200" t="str">
        <f aca="false">IF($A409="","",VLOOKUP($A408,Table,MATCH(J$4,Curves,0)))</f>
        <v/>
      </c>
      <c r="K408" s="201" t="str">
        <f aca="false">IF(A409="","",J408)</f>
        <v/>
      </c>
      <c r="L408" s="185" t="n">
        <v>0</v>
      </c>
      <c r="M408" s="201" t="str">
        <f aca="false">IF(A409="","",L408)</f>
        <v/>
      </c>
      <c r="O408" s="200" t="str">
        <f aca="false">IF(A409="","",L408+J408+G408)</f>
        <v/>
      </c>
      <c r="P408" s="200" t="str">
        <f aca="false">IF(A409="","",M408+K408+H408)</f>
        <v/>
      </c>
      <c r="R408" s="200" t="str">
        <f aca="false">IF($A409="","",VLOOKUP($A408,Table,MATCH(R$4,Curves,0)))</f>
        <v/>
      </c>
      <c r="S408" s="201" t="str">
        <f aca="false">IF(A409="","",R408)</f>
        <v/>
      </c>
      <c r="T408" s="200" t="str">
        <f aca="false">IF($A409="","",VLOOKUP($A408,Table,MATCH(T$4,Curves,0)))</f>
        <v/>
      </c>
      <c r="U408" s="201" t="str">
        <f aca="false">IF(A409="","",T408)</f>
        <v/>
      </c>
      <c r="V408" s="183" t="str">
        <f aca="false">IF($A409="","",IF(AND(MONTH(A408)&gt;3,MONTH(A408)&lt;11),(T408+R408+G408)*(((1/(1-Summary!$T$14))/(1-Summary!$W$14))-1),(T408+R408+G408)*((1/(1-Summary!$U$14))/(1-Summary!$X$14)-1)))</f>
        <v/>
      </c>
      <c r="W408" s="202" t="str">
        <f aca="false">IF($A409="","",(T408+R408+G408+V408))</f>
        <v/>
      </c>
      <c r="X408" s="202" t="str">
        <f aca="false">IF($A409="","",(U408+S408+H408+V408))</f>
        <v/>
      </c>
      <c r="Y408" s="202"/>
      <c r="Z408" s="185"/>
      <c r="AJ408" s="77"/>
      <c r="AK408" s="77"/>
      <c r="AL408" s="77"/>
      <c r="AM408" s="77"/>
      <c r="AN408" s="77"/>
      <c r="AO408" s="137" t="str">
        <f aca="false">IF(A409="","",A409-A408)</f>
        <v/>
      </c>
      <c r="AP408" s="212" t="str">
        <f aca="false">IF(A409="","",CHOOSE(F$3,A409+24,A408))</f>
        <v/>
      </c>
      <c r="AQ408" s="209" t="str">
        <f aca="false">IF(A409="","",AP408-$E$1)</f>
        <v/>
      </c>
      <c r="AR408" s="185" t="n">
        <f aca="false">'ANR OK vs ML7'!AR408</f>
        <v>0.1</v>
      </c>
      <c r="AS408" s="213" t="str">
        <f aca="false">IF(A409="","",1/(1+CHOOSE(F$3,(AR409+($I$3/10000))/2,(AR408+($I$3/10000))/2))^(2*AQ408/365.25))</f>
        <v/>
      </c>
      <c r="AT408" s="137" t="str">
        <f aca="false">IF(A409="","",IF(AND(mthbeg&lt;=A408,mthend&gt;=A408),1,0))</f>
        <v/>
      </c>
      <c r="AU408" s="137" t="str">
        <f aca="false">IF(A409="","",AO408*AT408)</f>
        <v/>
      </c>
      <c r="AW408" s="195" t="str">
        <f aca="false">IF($A409="","",AL408*$E408)</f>
        <v/>
      </c>
      <c r="AX408" s="195" t="str">
        <f aca="false">IF($A409="","",AM408*$E408)</f>
        <v/>
      </c>
      <c r="AY408" s="195" t="str">
        <f aca="false">IF($A409="","",AN408*$E408)</f>
        <v/>
      </c>
      <c r="BA408" s="195" t="str">
        <f aca="false">IF($A409="","",F408*Summary!$Q$14)</f>
        <v/>
      </c>
    </row>
    <row r="409" customFormat="false" ht="12.75" hidden="false" customHeight="false" outlineLevel="0" collapsed="false">
      <c r="A409" s="196" t="str">
        <f aca="false">IF(A408&lt;mthend,EDATE(A408,1),"")</f>
        <v/>
      </c>
      <c r="B409" s="197" t="str">
        <f aca="false">IF(A409&lt;mthend,B408,"")</f>
        <v/>
      </c>
      <c r="D409" s="197" t="str">
        <f aca="false">IF(A410&lt;&gt;"",B409+C409,"")</f>
        <v/>
      </c>
      <c r="E409" s="199" t="str">
        <f aca="false">IF(A410="","",IF(AND(AT409=1,$H$3=1),D409*AO409,IF($H$3=2,D409,"N/A")))</f>
        <v/>
      </c>
      <c r="F409" s="199" t="str">
        <f aca="false">IF(A410="","",E409*AS409)</f>
        <v/>
      </c>
      <c r="G409" s="200" t="str">
        <f aca="false">IF($A410="","",VLOOKUP($A409,Table,MATCH(G$4,Curves,0)))</f>
        <v/>
      </c>
      <c r="H409" s="201" t="str">
        <f aca="false">IF(A410="","",G409)</f>
        <v/>
      </c>
      <c r="J409" s="200" t="str">
        <f aca="false">IF($A410="","",VLOOKUP($A409,Table,MATCH(J$4,Curves,0)))</f>
        <v/>
      </c>
      <c r="K409" s="201" t="str">
        <f aca="false">IF(A410="","",J409)</f>
        <v/>
      </c>
      <c r="L409" s="185" t="n">
        <v>0</v>
      </c>
      <c r="M409" s="201" t="str">
        <f aca="false">IF(A410="","",L409)</f>
        <v/>
      </c>
      <c r="O409" s="200" t="str">
        <f aca="false">IF(A410="","",L409+J409+G409)</f>
        <v/>
      </c>
      <c r="P409" s="200" t="str">
        <f aca="false">IF(A410="","",M409+K409+H409)</f>
        <v/>
      </c>
      <c r="R409" s="200" t="str">
        <f aca="false">IF($A410="","",VLOOKUP($A409,Table,MATCH(R$4,Curves,0)))</f>
        <v/>
      </c>
      <c r="S409" s="201" t="str">
        <f aca="false">IF(A410="","",R409)</f>
        <v/>
      </c>
      <c r="T409" s="200" t="str">
        <f aca="false">IF($A410="","",VLOOKUP($A409,Table,MATCH(T$4,Curves,0)))</f>
        <v/>
      </c>
      <c r="U409" s="201" t="str">
        <f aca="false">IF(A410="","",T409)</f>
        <v/>
      </c>
      <c r="V409" s="183" t="str">
        <f aca="false">IF($A410="","",IF(AND(MONTH(A409)&gt;3,MONTH(A409)&lt;11),(T409+R409+G409)*(((1/(1-Summary!$T$14))/(1-Summary!$W$14))-1),(T409+R409+G409)*((1/(1-Summary!$U$14))/(1-Summary!$X$14)-1)))</f>
        <v/>
      </c>
      <c r="W409" s="202" t="str">
        <f aca="false">IF($A410="","",(T409+R409+G409+V409))</f>
        <v/>
      </c>
      <c r="X409" s="202" t="str">
        <f aca="false">IF($A410="","",(U409+S409+H409+V409))</f>
        <v/>
      </c>
      <c r="Y409" s="202"/>
      <c r="Z409" s="185"/>
      <c r="AJ409" s="77"/>
      <c r="AK409" s="77"/>
      <c r="AL409" s="77"/>
      <c r="AM409" s="77"/>
      <c r="AN409" s="77"/>
      <c r="AO409" s="137" t="str">
        <f aca="false">IF(A410="","",A410-A409)</f>
        <v/>
      </c>
      <c r="AP409" s="212" t="str">
        <f aca="false">IF(A410="","",CHOOSE(F$3,A410+24,A409))</f>
        <v/>
      </c>
      <c r="AQ409" s="209" t="str">
        <f aca="false">IF(A410="","",AP409-$E$1)</f>
        <v/>
      </c>
      <c r="AR409" s="185" t="n">
        <f aca="false">'ANR OK vs ML7'!AR409</f>
        <v>0.1</v>
      </c>
      <c r="AS409" s="213" t="str">
        <f aca="false">IF(A410="","",1/(1+CHOOSE(F$3,(AR410+($I$3/10000))/2,(AR409+($I$3/10000))/2))^(2*AQ409/365.25))</f>
        <v/>
      </c>
      <c r="AT409" s="137" t="str">
        <f aca="false">IF(A410="","",IF(AND(mthbeg&lt;=A409,mthend&gt;=A409),1,0))</f>
        <v/>
      </c>
      <c r="AU409" s="137" t="str">
        <f aca="false">IF(A410="","",AO409*AT409)</f>
        <v/>
      </c>
      <c r="AW409" s="195" t="str">
        <f aca="false">IF($A410="","",AL409*$E409)</f>
        <v/>
      </c>
      <c r="AX409" s="195" t="str">
        <f aca="false">IF($A410="","",AM409*$E409)</f>
        <v/>
      </c>
      <c r="AY409" s="195" t="str">
        <f aca="false">IF($A410="","",AN409*$E409)</f>
        <v/>
      </c>
      <c r="BA409" s="195" t="str">
        <f aca="false">IF($A410="","",F409*Summary!$Q$14)</f>
        <v/>
      </c>
    </row>
    <row r="410" customFormat="false" ht="12.75" hidden="false" customHeight="false" outlineLevel="0" collapsed="false">
      <c r="A410" s="196" t="str">
        <f aca="false">IF(A409&lt;mthend,EDATE(A409,1),"")</f>
        <v/>
      </c>
      <c r="B410" s="197" t="str">
        <f aca="false">IF(A410&lt;mthend,B409,"")</f>
        <v/>
      </c>
      <c r="D410" s="197" t="str">
        <f aca="false">IF(A411&lt;&gt;"",B410+C410,"")</f>
        <v/>
      </c>
      <c r="E410" s="199" t="str">
        <f aca="false">IF(A411="","",IF(AND(AT410=1,$H$3=1),D410*AO410,IF($H$3=2,D410,"N/A")))</f>
        <v/>
      </c>
      <c r="F410" s="199" t="str">
        <f aca="false">IF(A411="","",E410*AS410)</f>
        <v/>
      </c>
      <c r="G410" s="200" t="str">
        <f aca="false">IF($A411="","",VLOOKUP($A410,Table,MATCH(G$4,Curves,0)))</f>
        <v/>
      </c>
      <c r="H410" s="201" t="str">
        <f aca="false">IF(A411="","",G410)</f>
        <v/>
      </c>
      <c r="J410" s="200" t="str">
        <f aca="false">IF($A411="","",VLOOKUP($A410,Table,MATCH(J$4,Curves,0)))</f>
        <v/>
      </c>
      <c r="K410" s="201" t="str">
        <f aca="false">IF(A411="","",J410)</f>
        <v/>
      </c>
      <c r="L410" s="185" t="n">
        <v>0</v>
      </c>
      <c r="M410" s="201" t="str">
        <f aca="false">IF(A411="","",L410)</f>
        <v/>
      </c>
      <c r="O410" s="200" t="str">
        <f aca="false">IF(A411="","",L410+J410+G410)</f>
        <v/>
      </c>
      <c r="P410" s="200" t="str">
        <f aca="false">IF(A411="","",M410+K410+H410)</f>
        <v/>
      </c>
      <c r="R410" s="200" t="str">
        <f aca="false">IF($A411="","",VLOOKUP($A410,Table,MATCH(R$4,Curves,0)))</f>
        <v/>
      </c>
      <c r="S410" s="201" t="str">
        <f aca="false">IF(A411="","",R410)</f>
        <v/>
      </c>
      <c r="T410" s="200" t="str">
        <f aca="false">IF($A411="","",VLOOKUP($A410,Table,MATCH(T$4,Curves,0)))</f>
        <v/>
      </c>
      <c r="U410" s="201" t="str">
        <f aca="false">IF(A411="","",T410)</f>
        <v/>
      </c>
      <c r="V410" s="183" t="str">
        <f aca="false">IF($A411="","",IF(AND(MONTH(A410)&gt;3,MONTH(A410)&lt;11),(T410+R410+G410)*(((1/(1-Summary!$T$14))/(1-Summary!$W$14))-1),(T410+R410+G410)*((1/(1-Summary!$U$14))/(1-Summary!$X$14)-1)))</f>
        <v/>
      </c>
      <c r="W410" s="202" t="str">
        <f aca="false">IF($A411="","",(T410+R410+G410+V410))</f>
        <v/>
      </c>
      <c r="X410" s="202" t="str">
        <f aca="false">IF($A411="","",(U410+S410+H410+V410))</f>
        <v/>
      </c>
      <c r="Y410" s="202"/>
      <c r="Z410" s="185"/>
      <c r="AJ410" s="77"/>
      <c r="AK410" s="77"/>
      <c r="AL410" s="77"/>
      <c r="AM410" s="77"/>
      <c r="AN410" s="77"/>
      <c r="AO410" s="137" t="str">
        <f aca="false">IF(A411="","",A411-A410)</f>
        <v/>
      </c>
      <c r="AP410" s="212" t="str">
        <f aca="false">IF(A411="","",CHOOSE(F$3,A411+24,A410))</f>
        <v/>
      </c>
      <c r="AQ410" s="209" t="str">
        <f aca="false">IF(A411="","",AP410-$E$1)</f>
        <v/>
      </c>
      <c r="AR410" s="185" t="n">
        <f aca="false">'ANR OK vs ML7'!AR410</f>
        <v>0.1</v>
      </c>
      <c r="AS410" s="213" t="str">
        <f aca="false">IF(A411="","",1/(1+CHOOSE(F$3,(AR411+($I$3/10000))/2,(AR410+($I$3/10000))/2))^(2*AQ410/365.25))</f>
        <v/>
      </c>
      <c r="AT410" s="137" t="str">
        <f aca="false">IF(A411="","",IF(AND(mthbeg&lt;=A410,mthend&gt;=A410),1,0))</f>
        <v/>
      </c>
      <c r="AU410" s="137" t="str">
        <f aca="false">IF(A411="","",AO410*AT410)</f>
        <v/>
      </c>
      <c r="AW410" s="195" t="str">
        <f aca="false">IF($A411="","",AL410*$E410)</f>
        <v/>
      </c>
      <c r="AX410" s="195" t="str">
        <f aca="false">IF($A411="","",AM410*$E410)</f>
        <v/>
      </c>
      <c r="AY410" s="195" t="str">
        <f aca="false">IF($A411="","",AN410*$E410)</f>
        <v/>
      </c>
      <c r="BA410" s="195" t="str">
        <f aca="false">IF($A411="","",F410*Summary!$Q$14)</f>
        <v/>
      </c>
    </row>
    <row r="411" customFormat="false" ht="12.75" hidden="false" customHeight="false" outlineLevel="0" collapsed="false">
      <c r="A411" s="196" t="str">
        <f aca="false">IF(A410&lt;mthend,EDATE(A410,1),"")</f>
        <v/>
      </c>
      <c r="B411" s="197" t="str">
        <f aca="false">IF(A411&lt;mthend,B410,"")</f>
        <v/>
      </c>
      <c r="D411" s="197" t="str">
        <f aca="false">IF(A412&lt;&gt;"",B411+C411,"")</f>
        <v/>
      </c>
      <c r="E411" s="199" t="str">
        <f aca="false">IF(A412="","",IF(AND(AT411=1,$H$3=1),D411*AO411,IF($H$3=2,D411,"N/A")))</f>
        <v/>
      </c>
      <c r="F411" s="199" t="str">
        <f aca="false">IF(A412="","",E411*AS411)</f>
        <v/>
      </c>
      <c r="G411" s="200" t="str">
        <f aca="false">IF($A412="","",VLOOKUP($A411,Table,MATCH(G$4,Curves,0)))</f>
        <v/>
      </c>
      <c r="H411" s="201" t="str">
        <f aca="false">IF(A412="","",G411)</f>
        <v/>
      </c>
      <c r="J411" s="200" t="str">
        <f aca="false">IF($A412="","",VLOOKUP($A411,Table,MATCH(J$4,Curves,0)))</f>
        <v/>
      </c>
      <c r="K411" s="201" t="str">
        <f aca="false">IF(A412="","",J411)</f>
        <v/>
      </c>
      <c r="L411" s="185" t="n">
        <v>0</v>
      </c>
      <c r="M411" s="201" t="str">
        <f aca="false">IF(A412="","",L411)</f>
        <v/>
      </c>
      <c r="O411" s="200" t="str">
        <f aca="false">IF(A412="","",L411+J411+G411)</f>
        <v/>
      </c>
      <c r="P411" s="200" t="str">
        <f aca="false">IF(A412="","",M411+K411+H411)</f>
        <v/>
      </c>
      <c r="R411" s="200" t="str">
        <f aca="false">IF($A412="","",VLOOKUP($A411,Table,MATCH(R$4,Curves,0)))</f>
        <v/>
      </c>
      <c r="S411" s="201" t="str">
        <f aca="false">IF(A412="","",R411)</f>
        <v/>
      </c>
      <c r="T411" s="200" t="str">
        <f aca="false">IF($A412="","",VLOOKUP($A411,Table,MATCH(T$4,Curves,0)))</f>
        <v/>
      </c>
      <c r="U411" s="201" t="str">
        <f aca="false">IF(A412="","",T411)</f>
        <v/>
      </c>
      <c r="V411" s="183" t="str">
        <f aca="false">IF($A412="","",IF(AND(MONTH(A411)&gt;3,MONTH(A411)&lt;11),(T411+R411+G411)*(((1/(1-Summary!$T$14))/(1-Summary!$W$14))-1),(T411+R411+G411)*((1/(1-Summary!$U$14))/(1-Summary!$X$14)-1)))</f>
        <v/>
      </c>
      <c r="W411" s="202" t="str">
        <f aca="false">IF($A412="","",(T411+R411+G411+V411))</f>
        <v/>
      </c>
      <c r="X411" s="202" t="str">
        <f aca="false">IF($A412="","",(U411+S411+H411+V411))</f>
        <v/>
      </c>
      <c r="Y411" s="202"/>
      <c r="Z411" s="185"/>
      <c r="AJ411" s="77"/>
      <c r="AK411" s="77"/>
      <c r="AL411" s="77"/>
      <c r="AM411" s="77"/>
      <c r="AN411" s="77"/>
      <c r="AO411" s="137" t="str">
        <f aca="false">IF(A412="","",A412-A411)</f>
        <v/>
      </c>
      <c r="AP411" s="212" t="str">
        <f aca="false">IF(A412="","",CHOOSE(F$3,A412+24,A411))</f>
        <v/>
      </c>
      <c r="AQ411" s="209" t="str">
        <f aca="false">IF(A412="","",AP411-$E$1)</f>
        <v/>
      </c>
      <c r="AR411" s="185" t="n">
        <f aca="false">'ANR OK vs ML7'!AR411</f>
        <v>0.1</v>
      </c>
      <c r="AS411" s="213" t="str">
        <f aca="false">IF(A412="","",1/(1+CHOOSE(F$3,(AR412+($I$3/10000))/2,(AR411+($I$3/10000))/2))^(2*AQ411/365.25))</f>
        <v/>
      </c>
      <c r="AT411" s="137" t="str">
        <f aca="false">IF(A412="","",IF(AND(mthbeg&lt;=A411,mthend&gt;=A411),1,0))</f>
        <v/>
      </c>
      <c r="AU411" s="137" t="str">
        <f aca="false">IF(A412="","",AO411*AT411)</f>
        <v/>
      </c>
      <c r="AW411" s="195" t="str">
        <f aca="false">IF($A412="","",AL411*$E411)</f>
        <v/>
      </c>
      <c r="AX411" s="195" t="str">
        <f aca="false">IF($A412="","",AM411*$E411)</f>
        <v/>
      </c>
      <c r="AY411" s="195" t="str">
        <f aca="false">IF($A412="","",AN411*$E411)</f>
        <v/>
      </c>
      <c r="BA411" s="195" t="str">
        <f aca="false">IF($A412="","",F411*Summary!$Q$14)</f>
        <v/>
      </c>
    </row>
    <row r="412" customFormat="false" ht="12.75" hidden="false" customHeight="false" outlineLevel="0" collapsed="false">
      <c r="A412" s="196" t="str">
        <f aca="false">IF(A411&lt;mthend,EDATE(A411,1),"")</f>
        <v/>
      </c>
      <c r="B412" s="197" t="str">
        <f aca="false">IF(A412&lt;mthend,B411,"")</f>
        <v/>
      </c>
      <c r="D412" s="197" t="str">
        <f aca="false">IF(A413&lt;&gt;"",B412+C412,"")</f>
        <v/>
      </c>
      <c r="E412" s="199" t="str">
        <f aca="false">IF(A413="","",IF(AND(AT412=1,$H$3=1),D412*AO412,IF($H$3=2,D412,"N/A")))</f>
        <v/>
      </c>
      <c r="F412" s="199" t="str">
        <f aca="false">IF(A413="","",E412*AS412)</f>
        <v/>
      </c>
      <c r="G412" s="200" t="str">
        <f aca="false">IF($A413="","",VLOOKUP($A412,Table,MATCH(G$4,Curves,0)))</f>
        <v/>
      </c>
      <c r="H412" s="201" t="str">
        <f aca="false">IF(A413="","",G412)</f>
        <v/>
      </c>
      <c r="J412" s="200" t="str">
        <f aca="false">IF($A413="","",VLOOKUP($A412,Table,MATCH(J$4,Curves,0)))</f>
        <v/>
      </c>
      <c r="K412" s="201" t="str">
        <f aca="false">IF(A413="","",J412)</f>
        <v/>
      </c>
      <c r="L412" s="185" t="n">
        <v>0</v>
      </c>
      <c r="M412" s="201" t="str">
        <f aca="false">IF(A413="","",L412)</f>
        <v/>
      </c>
      <c r="O412" s="200" t="str">
        <f aca="false">IF(A413="","",L412+J412+G412)</f>
        <v/>
      </c>
      <c r="P412" s="200" t="str">
        <f aca="false">IF(A413="","",M412+K412+H412)</f>
        <v/>
      </c>
      <c r="R412" s="200" t="str">
        <f aca="false">IF($A413="","",VLOOKUP($A412,Table,MATCH(R$4,Curves,0)))</f>
        <v/>
      </c>
      <c r="S412" s="201" t="str">
        <f aca="false">IF(A413="","",R412)</f>
        <v/>
      </c>
      <c r="T412" s="200" t="str">
        <f aca="false">IF($A413="","",VLOOKUP($A412,Table,MATCH(T$4,Curves,0)))</f>
        <v/>
      </c>
      <c r="U412" s="201" t="str">
        <f aca="false">IF(A413="","",T412)</f>
        <v/>
      </c>
      <c r="V412" s="183" t="str">
        <f aca="false">IF($A413="","",IF(AND(MONTH(A412)&gt;3,MONTH(A412)&lt;11),(T412+R412+G412)*(((1/(1-Summary!$T$14))/(1-Summary!$W$14))-1),(T412+R412+G412)*((1/(1-Summary!$U$14))/(1-Summary!$X$14)-1)))</f>
        <v/>
      </c>
      <c r="W412" s="202" t="str">
        <f aca="false">IF($A413="","",(T412+R412+G412+V412))</f>
        <v/>
      </c>
      <c r="X412" s="202" t="str">
        <f aca="false">IF($A413="","",(U412+S412+H412+V412))</f>
        <v/>
      </c>
      <c r="Y412" s="202"/>
      <c r="Z412" s="185"/>
      <c r="AJ412" s="77"/>
      <c r="AK412" s="77"/>
      <c r="AL412" s="77"/>
      <c r="AM412" s="77"/>
      <c r="AN412" s="77"/>
      <c r="AO412" s="137" t="str">
        <f aca="false">IF(A413="","",A413-A412)</f>
        <v/>
      </c>
      <c r="AP412" s="212" t="str">
        <f aca="false">IF(A413="","",CHOOSE(F$3,A413+24,A412))</f>
        <v/>
      </c>
      <c r="AQ412" s="209" t="str">
        <f aca="false">IF(A413="","",AP412-$E$1)</f>
        <v/>
      </c>
      <c r="AR412" s="185" t="n">
        <f aca="false">'ANR OK vs ML7'!AR412</f>
        <v>0.1</v>
      </c>
      <c r="AS412" s="213" t="str">
        <f aca="false">IF(A413="","",1/(1+CHOOSE(F$3,(AR413+($I$3/10000))/2,(AR412+($I$3/10000))/2))^(2*AQ412/365.25))</f>
        <v/>
      </c>
      <c r="AT412" s="137" t="str">
        <f aca="false">IF(A413="","",IF(AND(mthbeg&lt;=A412,mthend&gt;=A412),1,0))</f>
        <v/>
      </c>
      <c r="AU412" s="137" t="str">
        <f aca="false">IF(A413="","",AO412*AT412)</f>
        <v/>
      </c>
      <c r="AW412" s="195" t="str">
        <f aca="false">IF($A413="","",AL412*$E412)</f>
        <v/>
      </c>
      <c r="AX412" s="195" t="str">
        <f aca="false">IF($A413="","",AM412*$E412)</f>
        <v/>
      </c>
      <c r="AY412" s="195" t="str">
        <f aca="false">IF($A413="","",AN412*$E412)</f>
        <v/>
      </c>
      <c r="BA412" s="195" t="str">
        <f aca="false">IF($A413="","",F412*Summary!$Q$14)</f>
        <v/>
      </c>
    </row>
    <row r="413" customFormat="false" ht="12.75" hidden="false" customHeight="false" outlineLevel="0" collapsed="false">
      <c r="A413" s="196" t="str">
        <f aca="false">IF(A412&lt;mthend,EDATE(A412,1),"")</f>
        <v/>
      </c>
      <c r="B413" s="197" t="str">
        <f aca="false">IF(A413&lt;mthend,B412,"")</f>
        <v/>
      </c>
      <c r="D413" s="197" t="str">
        <f aca="false">IF(A414&lt;&gt;"",B413+C413,"")</f>
        <v/>
      </c>
      <c r="E413" s="199" t="str">
        <f aca="false">IF(A414="","",IF(AND(AT413=1,$H$3=1),D413*AO413,IF($H$3=2,D413,"N/A")))</f>
        <v/>
      </c>
      <c r="F413" s="199" t="str">
        <f aca="false">IF(A414="","",E413*AS413)</f>
        <v/>
      </c>
      <c r="G413" s="200" t="str">
        <f aca="false">IF($A414="","",VLOOKUP($A413,Table,MATCH(G$4,Curves,0)))</f>
        <v/>
      </c>
      <c r="H413" s="201" t="str">
        <f aca="false">IF(A414="","",G413)</f>
        <v/>
      </c>
      <c r="J413" s="200" t="str">
        <f aca="false">IF($A414="","",VLOOKUP($A413,Table,MATCH(J$4,Curves,0)))</f>
        <v/>
      </c>
      <c r="K413" s="201" t="str">
        <f aca="false">IF(A414="","",J413)</f>
        <v/>
      </c>
      <c r="L413" s="185" t="n">
        <v>0</v>
      </c>
      <c r="M413" s="201" t="str">
        <f aca="false">IF(A414="","",L413)</f>
        <v/>
      </c>
      <c r="O413" s="200" t="str">
        <f aca="false">IF(A414="","",L413+J413+G413)</f>
        <v/>
      </c>
      <c r="P413" s="200" t="str">
        <f aca="false">IF(A414="","",M413+K413+H413)</f>
        <v/>
      </c>
      <c r="R413" s="200" t="str">
        <f aca="false">IF($A414="","",VLOOKUP($A413,Table,MATCH(R$4,Curves,0)))</f>
        <v/>
      </c>
      <c r="S413" s="201" t="str">
        <f aca="false">IF(A414="","",R413)</f>
        <v/>
      </c>
      <c r="T413" s="200" t="str">
        <f aca="false">IF($A414="","",VLOOKUP($A413,Table,MATCH(T$4,Curves,0)))</f>
        <v/>
      </c>
      <c r="U413" s="201" t="str">
        <f aca="false">IF(A414="","",T413)</f>
        <v/>
      </c>
      <c r="V413" s="183" t="str">
        <f aca="false">IF($A414="","",IF(AND(MONTH(A413)&gt;3,MONTH(A413)&lt;11),(T413+R413+G413)*(((1/(1-Summary!$T$14))/(1-Summary!$W$14))-1),(T413+R413+G413)*((1/(1-Summary!$U$14))/(1-Summary!$X$14)-1)))</f>
        <v/>
      </c>
      <c r="W413" s="202" t="str">
        <f aca="false">IF($A414="","",(T413+R413+G413+V413))</f>
        <v/>
      </c>
      <c r="X413" s="202" t="str">
        <f aca="false">IF($A414="","",(U413+S413+H413+V413))</f>
        <v/>
      </c>
      <c r="Y413" s="202"/>
      <c r="Z413" s="185"/>
      <c r="AJ413" s="77"/>
      <c r="AK413" s="77"/>
      <c r="AL413" s="77"/>
      <c r="AM413" s="77"/>
      <c r="AN413" s="77"/>
      <c r="AO413" s="137" t="str">
        <f aca="false">IF(A414="","",A414-A413)</f>
        <v/>
      </c>
      <c r="AP413" s="212" t="str">
        <f aca="false">IF(A414="","",CHOOSE(F$3,A414+24,A413))</f>
        <v/>
      </c>
      <c r="AQ413" s="209" t="str">
        <f aca="false">IF(A414="","",AP413-$E$1)</f>
        <v/>
      </c>
      <c r="AR413" s="185" t="n">
        <f aca="false">'ANR OK vs ML7'!AR413</f>
        <v>0.1</v>
      </c>
      <c r="AS413" s="213" t="str">
        <f aca="false">IF(A414="","",1/(1+CHOOSE(F$3,(AR414+($I$3/10000))/2,(AR413+($I$3/10000))/2))^(2*AQ413/365.25))</f>
        <v/>
      </c>
      <c r="AT413" s="137" t="str">
        <f aca="false">IF(A414="","",IF(AND(mthbeg&lt;=A413,mthend&gt;=A413),1,0))</f>
        <v/>
      </c>
      <c r="AU413" s="137" t="str">
        <f aca="false">IF(A414="","",AO413*AT413)</f>
        <v/>
      </c>
      <c r="AW413" s="195" t="str">
        <f aca="false">IF($A414="","",AL413*$E413)</f>
        <v/>
      </c>
      <c r="AX413" s="195" t="str">
        <f aca="false">IF($A414="","",AM413*$E413)</f>
        <v/>
      </c>
      <c r="AY413" s="195" t="str">
        <f aca="false">IF($A414="","",AN413*$E413)</f>
        <v/>
      </c>
      <c r="BA413" s="195" t="str">
        <f aca="false">IF($A414="","",F413*Summary!$Q$14)</f>
        <v/>
      </c>
    </row>
    <row r="414" customFormat="false" ht="12.75" hidden="false" customHeight="false" outlineLevel="0" collapsed="false">
      <c r="A414" s="196" t="str">
        <f aca="false">IF(A413&lt;mthend,EDATE(A413,1),"")</f>
        <v/>
      </c>
      <c r="B414" s="197" t="str">
        <f aca="false">IF(A414&lt;mthend,B413,"")</f>
        <v/>
      </c>
      <c r="D414" s="197" t="str">
        <f aca="false">IF(A415&lt;&gt;"",B414+C414,"")</f>
        <v/>
      </c>
      <c r="E414" s="199" t="str">
        <f aca="false">IF(A415="","",IF(AND(AT414=1,$H$3=1),D414*AO414,IF($H$3=2,D414,"N/A")))</f>
        <v/>
      </c>
      <c r="F414" s="199" t="str">
        <f aca="false">IF(A415="","",E414*AS414)</f>
        <v/>
      </c>
      <c r="G414" s="200" t="str">
        <f aca="false">IF($A415="","",VLOOKUP($A414,Table,MATCH(G$4,Curves,0)))</f>
        <v/>
      </c>
      <c r="H414" s="201" t="str">
        <f aca="false">IF(A415="","",G414)</f>
        <v/>
      </c>
      <c r="J414" s="200" t="str">
        <f aca="false">IF($A415="","",VLOOKUP($A414,Table,MATCH(J$4,Curves,0)))</f>
        <v/>
      </c>
      <c r="K414" s="201" t="str">
        <f aca="false">IF(A415="","",J414)</f>
        <v/>
      </c>
      <c r="L414" s="185" t="n">
        <v>0</v>
      </c>
      <c r="M414" s="201" t="str">
        <f aca="false">IF(A415="","",L414)</f>
        <v/>
      </c>
      <c r="O414" s="200" t="str">
        <f aca="false">IF(A415="","",L414+J414+G414)</f>
        <v/>
      </c>
      <c r="P414" s="200" t="str">
        <f aca="false">IF(A415="","",M414+K414+H414)</f>
        <v/>
      </c>
      <c r="R414" s="200" t="str">
        <f aca="false">IF($A415="","",VLOOKUP($A414,Table,MATCH(R$4,Curves,0)))</f>
        <v/>
      </c>
      <c r="S414" s="201" t="str">
        <f aca="false">IF(A415="","",R414)</f>
        <v/>
      </c>
      <c r="T414" s="200" t="str">
        <f aca="false">IF($A415="","",VLOOKUP($A414,Table,MATCH(T$4,Curves,0)))</f>
        <v/>
      </c>
      <c r="U414" s="201" t="str">
        <f aca="false">IF(A415="","",T414)</f>
        <v/>
      </c>
      <c r="V414" s="183" t="str">
        <f aca="false">IF($A415="","",IF(AND(MONTH(A414)&gt;3,MONTH(A414)&lt;11),(T414+R414+G414)*(((1/(1-Summary!$T$14))/(1-Summary!$W$14))-1),(T414+R414+G414)*((1/(1-Summary!$U$14))/(1-Summary!$X$14)-1)))</f>
        <v/>
      </c>
      <c r="W414" s="202" t="str">
        <f aca="false">IF($A415="","",(T414+R414+G414+V414))</f>
        <v/>
      </c>
      <c r="X414" s="202" t="str">
        <f aca="false">IF($A415="","",(U414+S414+H414+V414))</f>
        <v/>
      </c>
      <c r="Y414" s="202"/>
      <c r="Z414" s="185"/>
      <c r="AJ414" s="77"/>
      <c r="AK414" s="77"/>
      <c r="AL414" s="77"/>
      <c r="AM414" s="77"/>
      <c r="AN414" s="77"/>
      <c r="AO414" s="137" t="str">
        <f aca="false">IF(A415="","",A415-A414)</f>
        <v/>
      </c>
      <c r="AP414" s="212" t="str">
        <f aca="false">IF(A415="","",CHOOSE(F$3,A415+24,A414))</f>
        <v/>
      </c>
      <c r="AQ414" s="209" t="str">
        <f aca="false">IF(A415="","",AP414-$E$1)</f>
        <v/>
      </c>
      <c r="AR414" s="185" t="n">
        <f aca="false">'ANR OK vs ML7'!AR414</f>
        <v>0.1</v>
      </c>
      <c r="AS414" s="213" t="str">
        <f aca="false">IF(A415="","",1/(1+CHOOSE(F$3,(AR415+($I$3/10000))/2,(AR414+($I$3/10000))/2))^(2*AQ414/365.25))</f>
        <v/>
      </c>
      <c r="AT414" s="137" t="str">
        <f aca="false">IF(A415="","",IF(AND(mthbeg&lt;=A414,mthend&gt;=A414),1,0))</f>
        <v/>
      </c>
      <c r="AU414" s="137" t="str">
        <f aca="false">IF(A415="","",AO414*AT414)</f>
        <v/>
      </c>
      <c r="AW414" s="195" t="str">
        <f aca="false">IF($A415="","",AL414*$E414)</f>
        <v/>
      </c>
      <c r="AX414" s="195" t="str">
        <f aca="false">IF($A415="","",AM414*$E414)</f>
        <v/>
      </c>
      <c r="AY414" s="195" t="str">
        <f aca="false">IF($A415="","",AN414*$E414)</f>
        <v/>
      </c>
      <c r="BA414" s="195" t="str">
        <f aca="false">IF($A415="","",F414*Summary!$Q$14)</f>
        <v/>
      </c>
    </row>
    <row r="415" customFormat="false" ht="12.75" hidden="false" customHeight="false" outlineLevel="0" collapsed="false">
      <c r="A415" s="196" t="str">
        <f aca="false">IF(A414&lt;mthend,EDATE(A414,1),"")</f>
        <v/>
      </c>
      <c r="B415" s="197" t="str">
        <f aca="false">IF(A415&lt;mthend,B414,"")</f>
        <v/>
      </c>
      <c r="D415" s="197" t="str">
        <f aca="false">IF(A416&lt;&gt;"",B415+C415,"")</f>
        <v/>
      </c>
      <c r="E415" s="199" t="str">
        <f aca="false">IF(A416="","",IF(AND(AT415=1,$H$3=1),D415*AO415,IF($H$3=2,D415,"N/A")))</f>
        <v/>
      </c>
      <c r="F415" s="199" t="str">
        <f aca="false">IF(A416="","",E415*AS415)</f>
        <v/>
      </c>
      <c r="G415" s="200" t="str">
        <f aca="false">IF($A416="","",VLOOKUP($A415,Table,MATCH(G$4,Curves,0)))</f>
        <v/>
      </c>
      <c r="H415" s="201" t="str">
        <f aca="false">IF(A416="","",G415)</f>
        <v/>
      </c>
      <c r="J415" s="200" t="str">
        <f aca="false">IF($A416="","",VLOOKUP($A415,Table,MATCH(J$4,Curves,0)))</f>
        <v/>
      </c>
      <c r="K415" s="201" t="str">
        <f aca="false">IF(A416="","",J415)</f>
        <v/>
      </c>
      <c r="L415" s="185" t="n">
        <v>0</v>
      </c>
      <c r="M415" s="201" t="str">
        <f aca="false">IF(A416="","",L415)</f>
        <v/>
      </c>
      <c r="O415" s="200" t="str">
        <f aca="false">IF(A416="","",L415+J415+G415)</f>
        <v/>
      </c>
      <c r="P415" s="200" t="str">
        <f aca="false">IF(A416="","",M415+K415+H415)</f>
        <v/>
      </c>
      <c r="R415" s="200" t="str">
        <f aca="false">IF($A416="","",VLOOKUP($A415,Table,MATCH(R$4,Curves,0)))</f>
        <v/>
      </c>
      <c r="S415" s="201" t="str">
        <f aca="false">IF(A416="","",R415)</f>
        <v/>
      </c>
      <c r="T415" s="200" t="str">
        <f aca="false">IF($A416="","",VLOOKUP($A415,Table,MATCH(T$4,Curves,0)))</f>
        <v/>
      </c>
      <c r="U415" s="201" t="str">
        <f aca="false">IF(A416="","",T415)</f>
        <v/>
      </c>
      <c r="V415" s="183" t="str">
        <f aca="false">IF($A416="","",IF(AND(MONTH(A415)&gt;3,MONTH(A415)&lt;11),(T415+R415+G415)*(((1/(1-Summary!$T$14))/(1-Summary!$W$14))-1),(T415+R415+G415)*((1/(1-Summary!$U$14))/(1-Summary!$X$14)-1)))</f>
        <v/>
      </c>
      <c r="W415" s="202" t="str">
        <f aca="false">IF($A416="","",(T415+R415+G415+V415))</f>
        <v/>
      </c>
      <c r="X415" s="202" t="str">
        <f aca="false">IF($A416="","",(U415+S415+H415+V415))</f>
        <v/>
      </c>
      <c r="Y415" s="202"/>
      <c r="Z415" s="185"/>
      <c r="AJ415" s="77"/>
      <c r="AK415" s="77"/>
      <c r="AL415" s="77"/>
      <c r="AM415" s="77"/>
      <c r="AN415" s="77"/>
      <c r="AO415" s="137" t="str">
        <f aca="false">IF(A416="","",A416-A415)</f>
        <v/>
      </c>
      <c r="AP415" s="212" t="str">
        <f aca="false">IF(A416="","",CHOOSE(F$3,A416+24,A415))</f>
        <v/>
      </c>
      <c r="AQ415" s="209" t="str">
        <f aca="false">IF(A416="","",AP415-$E$1)</f>
        <v/>
      </c>
      <c r="AR415" s="185" t="n">
        <f aca="false">'ANR OK vs ML7'!AR415</f>
        <v>0.1</v>
      </c>
      <c r="AS415" s="213" t="str">
        <f aca="false">IF(A416="","",1/(1+CHOOSE(F$3,(AR416+($I$3/10000))/2,(AR415+($I$3/10000))/2))^(2*AQ415/365.25))</f>
        <v/>
      </c>
      <c r="AT415" s="137" t="str">
        <f aca="false">IF(A416="","",IF(AND(mthbeg&lt;=A415,mthend&gt;=A415),1,0))</f>
        <v/>
      </c>
      <c r="AU415" s="137" t="str">
        <f aca="false">IF(A416="","",AO415*AT415)</f>
        <v/>
      </c>
      <c r="AW415" s="195" t="str">
        <f aca="false">IF($A416="","",AL415*$E415)</f>
        <v/>
      </c>
      <c r="AX415" s="195" t="str">
        <f aca="false">IF($A416="","",AM415*$E415)</f>
        <v/>
      </c>
      <c r="AY415" s="195" t="str">
        <f aca="false">IF($A416="","",AN415*$E415)</f>
        <v/>
      </c>
      <c r="BA415" s="195" t="str">
        <f aca="false">IF($A416="","",F415*Summary!$Q$14)</f>
        <v/>
      </c>
    </row>
    <row r="416" customFormat="false" ht="12.75" hidden="false" customHeight="false" outlineLevel="0" collapsed="false">
      <c r="A416" s="196" t="str">
        <f aca="false">IF(A415&lt;mthend,EDATE(A415,1),"")</f>
        <v/>
      </c>
      <c r="B416" s="197" t="str">
        <f aca="false">IF(A416&lt;mthend,B415,"")</f>
        <v/>
      </c>
      <c r="D416" s="197" t="str">
        <f aca="false">IF(A417&lt;&gt;"",B416+C416,"")</f>
        <v/>
      </c>
      <c r="E416" s="199" t="str">
        <f aca="false">IF(A417="","",IF(AND(AT416=1,$H$3=1),D416*AO416,IF($H$3=2,D416,"N/A")))</f>
        <v/>
      </c>
      <c r="F416" s="199" t="str">
        <f aca="false">IF(A417="","",E416*AS416)</f>
        <v/>
      </c>
      <c r="G416" s="200" t="str">
        <f aca="false">IF($A417="","",VLOOKUP($A416,Table,MATCH(G$4,Curves,0)))</f>
        <v/>
      </c>
      <c r="H416" s="201" t="str">
        <f aca="false">IF(A417="","",G416)</f>
        <v/>
      </c>
      <c r="J416" s="200" t="str">
        <f aca="false">IF($A417="","",VLOOKUP($A416,Table,MATCH(J$4,Curves,0)))</f>
        <v/>
      </c>
      <c r="K416" s="201" t="str">
        <f aca="false">IF(A417="","",J416)</f>
        <v/>
      </c>
      <c r="L416" s="185" t="n">
        <v>0</v>
      </c>
      <c r="M416" s="201" t="str">
        <f aca="false">IF(A417="","",L416)</f>
        <v/>
      </c>
      <c r="O416" s="200" t="str">
        <f aca="false">IF(A417="","",L416+J416+G416)</f>
        <v/>
      </c>
      <c r="P416" s="200" t="str">
        <f aca="false">IF(A417="","",M416+K416+H416)</f>
        <v/>
      </c>
      <c r="R416" s="200" t="str">
        <f aca="false">IF($A417="","",VLOOKUP($A416,Table,MATCH(R$4,Curves,0)))</f>
        <v/>
      </c>
      <c r="S416" s="201" t="str">
        <f aca="false">IF(A417="","",R416)</f>
        <v/>
      </c>
      <c r="T416" s="200" t="str">
        <f aca="false">IF($A417="","",VLOOKUP($A416,Table,MATCH(T$4,Curves,0)))</f>
        <v/>
      </c>
      <c r="U416" s="201" t="str">
        <f aca="false">IF(A417="","",T416)</f>
        <v/>
      </c>
      <c r="V416" s="183" t="str">
        <f aca="false">IF($A417="","",IF(AND(MONTH(A416)&gt;3,MONTH(A416)&lt;11),(T416+R416+G416)*(((1/(1-Summary!$T$14))/(1-Summary!$W$14))-1),(T416+R416+G416)*((1/(1-Summary!$U$14))/(1-Summary!$X$14)-1)))</f>
        <v/>
      </c>
      <c r="W416" s="202" t="str">
        <f aca="false">IF($A417="","",(T416+R416+G416+V416))</f>
        <v/>
      </c>
      <c r="X416" s="202" t="str">
        <f aca="false">IF($A417="","",(U416+S416+H416+V416))</f>
        <v/>
      </c>
      <c r="Y416" s="202"/>
      <c r="Z416" s="185"/>
      <c r="AJ416" s="77"/>
      <c r="AK416" s="77"/>
      <c r="AL416" s="77"/>
      <c r="AM416" s="77"/>
      <c r="AN416" s="77"/>
      <c r="AO416" s="137" t="str">
        <f aca="false">IF(A417="","",A417-A416)</f>
        <v/>
      </c>
      <c r="AP416" s="212" t="str">
        <f aca="false">IF(A417="","",CHOOSE(F$3,A417+24,A416))</f>
        <v/>
      </c>
      <c r="AQ416" s="209" t="str">
        <f aca="false">IF(A417="","",AP416-$E$1)</f>
        <v/>
      </c>
      <c r="AR416" s="185" t="n">
        <f aca="false">'ANR OK vs ML7'!AR416</f>
        <v>0.1</v>
      </c>
      <c r="AS416" s="213" t="str">
        <f aca="false">IF(A417="","",1/(1+CHOOSE(F$3,(AR417+($I$3/10000))/2,(AR416+($I$3/10000))/2))^(2*AQ416/365.25))</f>
        <v/>
      </c>
      <c r="AT416" s="137" t="str">
        <f aca="false">IF(A417="","",IF(AND(mthbeg&lt;=A416,mthend&gt;=A416),1,0))</f>
        <v/>
      </c>
      <c r="AU416" s="137" t="str">
        <f aca="false">IF(A417="","",AO416*AT416)</f>
        <v/>
      </c>
      <c r="AW416" s="195" t="str">
        <f aca="false">IF($A417="","",AL416*$E416)</f>
        <v/>
      </c>
      <c r="AX416" s="195" t="str">
        <f aca="false">IF($A417="","",AM416*$E416)</f>
        <v/>
      </c>
      <c r="AY416" s="195" t="str">
        <f aca="false">IF($A417="","",AN416*$E416)</f>
        <v/>
      </c>
      <c r="BA416" s="195" t="str">
        <f aca="false">IF($A417="","",F416*Summary!$Q$14)</f>
        <v/>
      </c>
    </row>
    <row r="417" customFormat="false" ht="12.75" hidden="false" customHeight="false" outlineLevel="0" collapsed="false">
      <c r="A417" s="196" t="str">
        <f aca="false">IF(A416&lt;mthend,EDATE(A416,1),"")</f>
        <v/>
      </c>
      <c r="B417" s="197" t="str">
        <f aca="false">IF(A417&lt;mthend,B416,"")</f>
        <v/>
      </c>
      <c r="D417" s="197" t="str">
        <f aca="false">IF(A418&lt;&gt;"",B417+C417,"")</f>
        <v/>
      </c>
      <c r="E417" s="199" t="str">
        <f aca="false">IF(A418="","",IF(AND(AT417=1,$H$3=1),D417*AO417,IF($H$3=2,D417,"N/A")))</f>
        <v/>
      </c>
      <c r="F417" s="199" t="str">
        <f aca="false">IF(A418="","",E417*AS417)</f>
        <v/>
      </c>
      <c r="G417" s="200" t="str">
        <f aca="false">IF($A418="","",VLOOKUP($A417,Table,MATCH(G$4,Curves,0)))</f>
        <v/>
      </c>
      <c r="H417" s="201" t="str">
        <f aca="false">IF(A418="","",G417)</f>
        <v/>
      </c>
      <c r="J417" s="200" t="str">
        <f aca="false">IF($A418="","",VLOOKUP($A417,Table,MATCH(J$4,Curves,0)))</f>
        <v/>
      </c>
      <c r="K417" s="201" t="str">
        <f aca="false">IF(A418="","",J417)</f>
        <v/>
      </c>
      <c r="L417" s="185" t="n">
        <v>0</v>
      </c>
      <c r="M417" s="201" t="str">
        <f aca="false">IF(A418="","",L417)</f>
        <v/>
      </c>
      <c r="O417" s="200" t="str">
        <f aca="false">IF(A418="","",L417+J417+G417)</f>
        <v/>
      </c>
      <c r="P417" s="200" t="str">
        <f aca="false">IF(A418="","",M417+K417+H417)</f>
        <v/>
      </c>
      <c r="R417" s="200" t="str">
        <f aca="false">IF($A418="","",VLOOKUP($A417,Table,MATCH(R$4,Curves,0)))</f>
        <v/>
      </c>
      <c r="S417" s="201" t="str">
        <f aca="false">IF(A418="","",R417)</f>
        <v/>
      </c>
      <c r="T417" s="200" t="str">
        <f aca="false">IF($A418="","",VLOOKUP($A417,Table,MATCH(T$4,Curves,0)))</f>
        <v/>
      </c>
      <c r="U417" s="201" t="str">
        <f aca="false">IF(A418="","",T417)</f>
        <v/>
      </c>
      <c r="V417" s="183" t="str">
        <f aca="false">IF($A418="","",IF(AND(MONTH(A417)&gt;3,MONTH(A417)&lt;11),(T417+R417+G417)*(((1/(1-Summary!$T$14))/(1-Summary!$W$14))-1),(T417+R417+G417)*((1/(1-Summary!$U$14))/(1-Summary!$X$14)-1)))</f>
        <v/>
      </c>
      <c r="W417" s="202" t="str">
        <f aca="false">IF($A418="","",(T417+R417+G417+V417))</f>
        <v/>
      </c>
      <c r="X417" s="202" t="str">
        <f aca="false">IF($A418="","",(U417+S417+H417+V417))</f>
        <v/>
      </c>
      <c r="Y417" s="202"/>
      <c r="Z417" s="185"/>
      <c r="AJ417" s="77"/>
      <c r="AK417" s="77"/>
      <c r="AL417" s="77"/>
      <c r="AM417" s="77"/>
      <c r="AN417" s="77"/>
      <c r="AO417" s="137" t="str">
        <f aca="false">IF(A418="","",A418-A417)</f>
        <v/>
      </c>
      <c r="AP417" s="212" t="str">
        <f aca="false">IF(A418="","",CHOOSE(F$3,A418+24,A417))</f>
        <v/>
      </c>
      <c r="AQ417" s="209" t="str">
        <f aca="false">IF(A418="","",AP417-$E$1)</f>
        <v/>
      </c>
      <c r="AR417" s="185" t="n">
        <f aca="false">'ANR OK vs ML7'!AR417</f>
        <v>0.1</v>
      </c>
      <c r="AS417" s="213" t="str">
        <f aca="false">IF(A418="","",1/(1+CHOOSE(F$3,(AR418+($I$3/10000))/2,(AR417+($I$3/10000))/2))^(2*AQ417/365.25))</f>
        <v/>
      </c>
      <c r="AT417" s="137" t="str">
        <f aca="false">IF(A418="","",IF(AND(mthbeg&lt;=A417,mthend&gt;=A417),1,0))</f>
        <v/>
      </c>
      <c r="AU417" s="137" t="str">
        <f aca="false">IF(A418="","",AO417*AT417)</f>
        <v/>
      </c>
      <c r="AW417" s="195" t="str">
        <f aca="false">IF($A418="","",AL417*$E417)</f>
        <v/>
      </c>
      <c r="AX417" s="195" t="str">
        <f aca="false">IF($A418="","",AM417*$E417)</f>
        <v/>
      </c>
      <c r="AY417" s="195" t="str">
        <f aca="false">IF($A418="","",AN417*$E417)</f>
        <v/>
      </c>
      <c r="BA417" s="195" t="str">
        <f aca="false">IF($A418="","",F417*Summary!$Q$14)</f>
        <v/>
      </c>
    </row>
    <row r="418" customFormat="false" ht="12.75" hidden="false" customHeight="false" outlineLevel="0" collapsed="false">
      <c r="A418" s="196" t="str">
        <f aca="false">IF(A417&lt;mthend,EDATE(A417,1),"")</f>
        <v/>
      </c>
      <c r="B418" s="197" t="str">
        <f aca="false">IF(A418&lt;mthend,B417,"")</f>
        <v/>
      </c>
      <c r="D418" s="197" t="str">
        <f aca="false">IF(A419&lt;&gt;"",B418+C418,"")</f>
        <v/>
      </c>
      <c r="E418" s="199" t="str">
        <f aca="false">IF(A419="","",IF(AND(AT418=1,$H$3=1),D418*AO418,IF($H$3=2,D418,"N/A")))</f>
        <v/>
      </c>
      <c r="F418" s="199" t="str">
        <f aca="false">IF(A419="","",E418*AS418)</f>
        <v/>
      </c>
      <c r="G418" s="200" t="str">
        <f aca="false">IF($A419="","",VLOOKUP($A418,Table,MATCH(G$4,Curves,0)))</f>
        <v/>
      </c>
      <c r="H418" s="201" t="str">
        <f aca="false">IF(A419="","",G418)</f>
        <v/>
      </c>
      <c r="J418" s="200" t="str">
        <f aca="false">IF($A419="","",VLOOKUP($A418,Table,MATCH(J$4,Curves,0)))</f>
        <v/>
      </c>
      <c r="K418" s="201" t="str">
        <f aca="false">IF(A419="","",J418)</f>
        <v/>
      </c>
      <c r="L418" s="185" t="n">
        <v>0</v>
      </c>
      <c r="M418" s="201" t="str">
        <f aca="false">IF(A419="","",L418)</f>
        <v/>
      </c>
      <c r="O418" s="200" t="str">
        <f aca="false">IF(A419="","",L418+J418+G418)</f>
        <v/>
      </c>
      <c r="P418" s="200" t="str">
        <f aca="false">IF(A419="","",M418+K418+H418)</f>
        <v/>
      </c>
      <c r="R418" s="200" t="str">
        <f aca="false">IF($A419="","",VLOOKUP($A418,Table,MATCH(R$4,Curves,0)))</f>
        <v/>
      </c>
      <c r="S418" s="201" t="str">
        <f aca="false">IF(A419="","",R418)</f>
        <v/>
      </c>
      <c r="T418" s="200" t="str">
        <f aca="false">IF($A419="","",VLOOKUP($A418,Table,MATCH(T$4,Curves,0)))</f>
        <v/>
      </c>
      <c r="U418" s="201" t="str">
        <f aca="false">IF(A419="","",T418)</f>
        <v/>
      </c>
      <c r="V418" s="183" t="str">
        <f aca="false">IF($A419="","",IF(AND(MONTH(A418)&gt;3,MONTH(A418)&lt;11),(T418+R418+G418)*(((1/(1-Summary!$T$14))/(1-Summary!$W$14))-1),(T418+R418+G418)*((1/(1-Summary!$U$14))/(1-Summary!$X$14)-1)))</f>
        <v/>
      </c>
      <c r="W418" s="202" t="str">
        <f aca="false">IF($A419="","",(T418+R418+G418+V418))</f>
        <v/>
      </c>
      <c r="X418" s="202" t="str">
        <f aca="false">IF($A419="","",(U418+S418+H418+V418))</f>
        <v/>
      </c>
      <c r="Y418" s="202"/>
      <c r="Z418" s="185"/>
      <c r="AJ418" s="77"/>
      <c r="AK418" s="77"/>
      <c r="AL418" s="77"/>
      <c r="AM418" s="77"/>
      <c r="AN418" s="77"/>
      <c r="AO418" s="137" t="str">
        <f aca="false">IF(A419="","",A419-A418)</f>
        <v/>
      </c>
      <c r="AP418" s="212" t="str">
        <f aca="false">IF(A419="","",CHOOSE(F$3,A419+24,A418))</f>
        <v/>
      </c>
      <c r="AQ418" s="209" t="str">
        <f aca="false">IF(A419="","",AP418-$E$1)</f>
        <v/>
      </c>
      <c r="AR418" s="185" t="n">
        <f aca="false">'ANR OK vs ML7'!AR418</f>
        <v>0.1</v>
      </c>
      <c r="AS418" s="213" t="str">
        <f aca="false">IF(A419="","",1/(1+CHOOSE(F$3,(AR419+($I$3/10000))/2,(AR418+($I$3/10000))/2))^(2*AQ418/365.25))</f>
        <v/>
      </c>
      <c r="AT418" s="137" t="str">
        <f aca="false">IF(A419="","",IF(AND(mthbeg&lt;=A418,mthend&gt;=A418),1,0))</f>
        <v/>
      </c>
      <c r="AU418" s="137" t="str">
        <f aca="false">IF(A419="","",AO418*AT418)</f>
        <v/>
      </c>
      <c r="AW418" s="195" t="str">
        <f aca="false">IF($A419="","",AL418*$E418)</f>
        <v/>
      </c>
      <c r="AX418" s="195" t="str">
        <f aca="false">IF($A419="","",AM418*$E418)</f>
        <v/>
      </c>
      <c r="AY418" s="195" t="str">
        <f aca="false">IF($A419="","",AN418*$E418)</f>
        <v/>
      </c>
      <c r="BA418" s="195" t="str">
        <f aca="false">IF($A419="","",F418*Summary!$Q$14)</f>
        <v/>
      </c>
    </row>
    <row r="419" customFormat="false" ht="12.75" hidden="false" customHeight="false" outlineLevel="0" collapsed="false">
      <c r="A419" s="196" t="str">
        <f aca="false">IF(A418&lt;mthend,EDATE(A418,1),"")</f>
        <v/>
      </c>
      <c r="B419" s="197" t="str">
        <f aca="false">IF(A419&lt;mthend,B418,"")</f>
        <v/>
      </c>
      <c r="D419" s="197" t="str">
        <f aca="false">IF(A420&lt;&gt;"",B419+C419,"")</f>
        <v/>
      </c>
      <c r="E419" s="199" t="str">
        <f aca="false">IF(A420="","",IF(AND(AT419=1,$H$3=1),D419*AO419,IF($H$3=2,D419,"N/A")))</f>
        <v/>
      </c>
      <c r="F419" s="199" t="str">
        <f aca="false">IF(A420="","",E419*AS419)</f>
        <v/>
      </c>
      <c r="G419" s="200" t="str">
        <f aca="false">IF($A420="","",VLOOKUP($A419,Table,MATCH(G$4,Curves,0)))</f>
        <v/>
      </c>
      <c r="H419" s="201" t="str">
        <f aca="false">IF(A420="","",G419)</f>
        <v/>
      </c>
      <c r="J419" s="200" t="str">
        <f aca="false">IF($A420="","",VLOOKUP($A419,Table,MATCH(J$4,Curves,0)))</f>
        <v/>
      </c>
      <c r="K419" s="201" t="str">
        <f aca="false">IF(A420="","",J419)</f>
        <v/>
      </c>
      <c r="L419" s="185" t="n">
        <v>0</v>
      </c>
      <c r="M419" s="201" t="str">
        <f aca="false">IF(A420="","",L419)</f>
        <v/>
      </c>
      <c r="O419" s="200" t="str">
        <f aca="false">IF(A420="","",L419+J419+G419)</f>
        <v/>
      </c>
      <c r="P419" s="200" t="str">
        <f aca="false">IF(A420="","",M419+K419+H419)</f>
        <v/>
      </c>
      <c r="R419" s="200" t="str">
        <f aca="false">IF($A420="","",VLOOKUP($A419,Table,MATCH(R$4,Curves,0)))</f>
        <v/>
      </c>
      <c r="S419" s="201" t="str">
        <f aca="false">IF(A420="","",R419)</f>
        <v/>
      </c>
      <c r="T419" s="200" t="str">
        <f aca="false">IF($A420="","",VLOOKUP($A419,Table,MATCH(T$4,Curves,0)))</f>
        <v/>
      </c>
      <c r="U419" s="201" t="str">
        <f aca="false">IF(A420="","",T419)</f>
        <v/>
      </c>
      <c r="V419" s="183" t="str">
        <f aca="false">IF($A420="","",IF(AND(MONTH(A419)&gt;3,MONTH(A419)&lt;11),(T419+R419+G419)*(((1/(1-Summary!$T$14))/(1-Summary!$W$14))-1),(T419+R419+G419)*((1/(1-Summary!$U$14))/(1-Summary!$X$14)-1)))</f>
        <v/>
      </c>
      <c r="W419" s="202" t="str">
        <f aca="false">IF($A420="","",(T419+R419+G419+V419))</f>
        <v/>
      </c>
      <c r="X419" s="202" t="str">
        <f aca="false">IF($A420="","",(U419+S419+H419+V419))</f>
        <v/>
      </c>
      <c r="Y419" s="202"/>
      <c r="Z419" s="185"/>
      <c r="AJ419" s="77"/>
      <c r="AK419" s="77"/>
      <c r="AL419" s="77"/>
      <c r="AM419" s="77"/>
      <c r="AN419" s="77"/>
      <c r="AO419" s="137" t="str">
        <f aca="false">IF(A420="","",A420-A419)</f>
        <v/>
      </c>
      <c r="AP419" s="212" t="str">
        <f aca="false">IF(A420="","",CHOOSE(F$3,A420+24,A419))</f>
        <v/>
      </c>
      <c r="AQ419" s="209" t="str">
        <f aca="false">IF(A420="","",AP419-$E$1)</f>
        <v/>
      </c>
      <c r="AR419" s="185" t="n">
        <f aca="false">'ANR OK vs ML7'!AR419</f>
        <v>0.1</v>
      </c>
      <c r="AS419" s="213" t="str">
        <f aca="false">IF(A420="","",1/(1+CHOOSE(F$3,(AR420+($I$3/10000))/2,(AR419+($I$3/10000))/2))^(2*AQ419/365.25))</f>
        <v/>
      </c>
      <c r="AT419" s="137" t="str">
        <f aca="false">IF(A420="","",IF(AND(mthbeg&lt;=A419,mthend&gt;=A419),1,0))</f>
        <v/>
      </c>
      <c r="AU419" s="137" t="str">
        <f aca="false">IF(A420="","",AO419*AT419)</f>
        <v/>
      </c>
      <c r="AW419" s="195" t="str">
        <f aca="false">IF($A420="","",AL419*$E419)</f>
        <v/>
      </c>
      <c r="AX419" s="195" t="str">
        <f aca="false">IF($A420="","",AM419*$E419)</f>
        <v/>
      </c>
      <c r="AY419" s="195" t="str">
        <f aca="false">IF($A420="","",AN419*$E419)</f>
        <v/>
      </c>
      <c r="BA419" s="195" t="str">
        <f aca="false">IF($A420="","",F419*Summary!$Q$14)</f>
        <v/>
      </c>
    </row>
    <row r="420" customFormat="false" ht="12.75" hidden="false" customHeight="false" outlineLevel="0" collapsed="false">
      <c r="A420" s="196" t="str">
        <f aca="false">IF(A419&lt;mthend,EDATE(A419,1),"")</f>
        <v/>
      </c>
      <c r="B420" s="197" t="str">
        <f aca="false">IF(A420&lt;mthend,B419,"")</f>
        <v/>
      </c>
      <c r="D420" s="197" t="str">
        <f aca="false">IF(A421&lt;&gt;"",B420+C420,"")</f>
        <v/>
      </c>
      <c r="E420" s="199" t="str">
        <f aca="false">IF(A421="","",IF(AND(AT420=1,$H$3=1),D420*AO420,IF($H$3=2,D420,"N/A")))</f>
        <v/>
      </c>
      <c r="F420" s="199" t="str">
        <f aca="false">IF(A421="","",E420*AS420)</f>
        <v/>
      </c>
      <c r="G420" s="200" t="str">
        <f aca="false">IF($A421="","",VLOOKUP($A420,Table,MATCH(G$4,Curves,0)))</f>
        <v/>
      </c>
      <c r="H420" s="201" t="str">
        <f aca="false">IF(A421="","",G420)</f>
        <v/>
      </c>
      <c r="J420" s="200" t="str">
        <f aca="false">IF($A421="","",VLOOKUP($A420,Table,MATCH(J$4,Curves,0)))</f>
        <v/>
      </c>
      <c r="K420" s="201" t="str">
        <f aca="false">IF(A421="","",J420)</f>
        <v/>
      </c>
      <c r="L420" s="185" t="n">
        <v>0</v>
      </c>
      <c r="M420" s="201" t="str">
        <f aca="false">IF(A421="","",L420)</f>
        <v/>
      </c>
      <c r="O420" s="200" t="str">
        <f aca="false">IF(A421="","",L420+J420+G420)</f>
        <v/>
      </c>
      <c r="P420" s="200" t="str">
        <f aca="false">IF(A421="","",M420+K420+H420)</f>
        <v/>
      </c>
      <c r="R420" s="200" t="str">
        <f aca="false">IF($A421="","",VLOOKUP($A420,Table,MATCH(R$4,Curves,0)))</f>
        <v/>
      </c>
      <c r="S420" s="201" t="str">
        <f aca="false">IF(A421="","",R420)</f>
        <v/>
      </c>
      <c r="T420" s="200" t="str">
        <f aca="false">IF($A421="","",VLOOKUP($A420,Table,MATCH(T$4,Curves,0)))</f>
        <v/>
      </c>
      <c r="U420" s="201" t="str">
        <f aca="false">IF(A421="","",T420)</f>
        <v/>
      </c>
      <c r="V420" s="183" t="str">
        <f aca="false">IF($A421="","",IF(AND(MONTH(A420)&gt;3,MONTH(A420)&lt;11),(T420+R420+G420)*(((1/(1-Summary!$T$14))/(1-Summary!$W$14))-1),(T420+R420+G420)*((1/(1-Summary!$U$14))/(1-Summary!$X$14)-1)))</f>
        <v/>
      </c>
      <c r="W420" s="202" t="str">
        <f aca="false">IF($A421="","",(T420+R420+G420+V420))</f>
        <v/>
      </c>
      <c r="X420" s="202" t="str">
        <f aca="false">IF($A421="","",(U420+S420+H420+V420))</f>
        <v/>
      </c>
      <c r="Y420" s="202"/>
      <c r="Z420" s="185"/>
      <c r="AJ420" s="77"/>
      <c r="AK420" s="77"/>
      <c r="AL420" s="77"/>
      <c r="AM420" s="77"/>
      <c r="AN420" s="77"/>
      <c r="AO420" s="137" t="str">
        <f aca="false">IF(A421="","",A421-A420)</f>
        <v/>
      </c>
      <c r="AP420" s="212" t="str">
        <f aca="false">IF(A421="","",CHOOSE(F$3,A421+24,A420))</f>
        <v/>
      </c>
      <c r="AQ420" s="209" t="str">
        <f aca="false">IF(A421="","",AP420-$E$1)</f>
        <v/>
      </c>
      <c r="AR420" s="185" t="n">
        <f aca="false">'ANR OK vs ML7'!AR420</f>
        <v>0.1</v>
      </c>
      <c r="AS420" s="213" t="str">
        <f aca="false">IF(A421="","",1/(1+CHOOSE(F$3,(AR421+($I$3/10000))/2,(AR420+($I$3/10000))/2))^(2*AQ420/365.25))</f>
        <v/>
      </c>
      <c r="AT420" s="137" t="str">
        <f aca="false">IF(A421="","",IF(AND(mthbeg&lt;=A420,mthend&gt;=A420),1,0))</f>
        <v/>
      </c>
      <c r="AU420" s="137" t="str">
        <f aca="false">IF(A421="","",AO420*AT420)</f>
        <v/>
      </c>
      <c r="AW420" s="195" t="str">
        <f aca="false">IF($A421="","",AL420*$E420)</f>
        <v/>
      </c>
      <c r="AX420" s="195" t="str">
        <f aca="false">IF($A421="","",AM420*$E420)</f>
        <v/>
      </c>
      <c r="AY420" s="195" t="str">
        <f aca="false">IF($A421="","",AN420*$E420)</f>
        <v/>
      </c>
      <c r="BA420" s="195" t="str">
        <f aca="false">IF($A421="","",F420*Summary!$Q$14)</f>
        <v/>
      </c>
    </row>
    <row r="421" customFormat="false" ht="12.75" hidden="false" customHeight="false" outlineLevel="0" collapsed="false">
      <c r="A421" s="196" t="str">
        <f aca="false">IF(A420&lt;mthend,EDATE(A420,1),"")</f>
        <v/>
      </c>
      <c r="B421" s="197" t="str">
        <f aca="false">IF(A421&lt;mthend,B420,"")</f>
        <v/>
      </c>
      <c r="D421" s="197" t="str">
        <f aca="false">IF(A422&lt;&gt;"",B421+C421,"")</f>
        <v/>
      </c>
      <c r="E421" s="199" t="str">
        <f aca="false">IF(A422="","",IF(AND(AT421=1,$H$3=1),D421*AO421,IF($H$3=2,D421,"N/A")))</f>
        <v/>
      </c>
      <c r="F421" s="199" t="str">
        <f aca="false">IF(A422="","",E421*AS421)</f>
        <v/>
      </c>
      <c r="G421" s="200" t="str">
        <f aca="false">IF($A422="","",VLOOKUP($A421,Table,MATCH(G$4,Curves,0)))</f>
        <v/>
      </c>
      <c r="H421" s="201" t="str">
        <f aca="false">IF(A422="","",G421)</f>
        <v/>
      </c>
      <c r="J421" s="200" t="str">
        <f aca="false">IF($A422="","",VLOOKUP($A421,Table,MATCH(J$4,Curves,0)))</f>
        <v/>
      </c>
      <c r="K421" s="201" t="str">
        <f aca="false">IF(A422="","",J421)</f>
        <v/>
      </c>
      <c r="L421" s="185" t="n">
        <v>0</v>
      </c>
      <c r="M421" s="201" t="str">
        <f aca="false">IF(A422="","",L421)</f>
        <v/>
      </c>
      <c r="O421" s="200" t="str">
        <f aca="false">IF(A422="","",L421+J421+G421)</f>
        <v/>
      </c>
      <c r="P421" s="200" t="str">
        <f aca="false">IF(A422="","",M421+K421+H421)</f>
        <v/>
      </c>
      <c r="R421" s="200" t="str">
        <f aca="false">IF($A422="","",VLOOKUP($A421,Table,MATCH(R$4,Curves,0)))</f>
        <v/>
      </c>
      <c r="S421" s="201" t="str">
        <f aca="false">IF(A422="","",R421)</f>
        <v/>
      </c>
      <c r="T421" s="200" t="str">
        <f aca="false">IF($A422="","",VLOOKUP($A421,Table,MATCH(T$4,Curves,0)))</f>
        <v/>
      </c>
      <c r="U421" s="201" t="str">
        <f aca="false">IF(A422="","",T421)</f>
        <v/>
      </c>
      <c r="V421" s="183" t="str">
        <f aca="false">IF($A422="","",IF(AND(MONTH(A421)&gt;3,MONTH(A421)&lt;11),(T421+R421+G421)*(((1/(1-Summary!$T$14))/(1-Summary!$W$14))-1),(T421+R421+G421)*((1/(1-Summary!$U$14))/(1-Summary!$X$14)-1)))</f>
        <v/>
      </c>
      <c r="W421" s="202" t="str">
        <f aca="false">IF($A422="","",(T421+R421+G421+V421))</f>
        <v/>
      </c>
      <c r="X421" s="202" t="str">
        <f aca="false">IF($A422="","",(U421+S421+H421+V421))</f>
        <v/>
      </c>
      <c r="Y421" s="202"/>
      <c r="Z421" s="185"/>
      <c r="AJ421" s="77"/>
      <c r="AK421" s="77"/>
      <c r="AL421" s="77"/>
      <c r="AM421" s="77"/>
      <c r="AN421" s="77"/>
      <c r="AO421" s="137" t="str">
        <f aca="false">IF(A422="","",A422-A421)</f>
        <v/>
      </c>
      <c r="AP421" s="212" t="str">
        <f aca="false">IF(A422="","",CHOOSE(F$3,A422+24,A421))</f>
        <v/>
      </c>
      <c r="AQ421" s="209" t="str">
        <f aca="false">IF(A422="","",AP421-$E$1)</f>
        <v/>
      </c>
      <c r="AR421" s="185" t="n">
        <f aca="false">'ANR OK vs ML7'!AR421</f>
        <v>0.1</v>
      </c>
      <c r="AS421" s="213" t="str">
        <f aca="false">IF(A422="","",1/(1+CHOOSE(F$3,(AR422+($I$3/10000))/2,(AR421+($I$3/10000))/2))^(2*AQ421/365.25))</f>
        <v/>
      </c>
      <c r="AT421" s="137" t="str">
        <f aca="false">IF(A422="","",IF(AND(mthbeg&lt;=A421,mthend&gt;=A421),1,0))</f>
        <v/>
      </c>
      <c r="AU421" s="137" t="str">
        <f aca="false">IF(A422="","",AO421*AT421)</f>
        <v/>
      </c>
      <c r="AW421" s="195" t="str">
        <f aca="false">IF($A422="","",AL421*$E421)</f>
        <v/>
      </c>
      <c r="AX421" s="195" t="str">
        <f aca="false">IF($A422="","",AM421*$E421)</f>
        <v/>
      </c>
      <c r="AY421" s="195" t="str">
        <f aca="false">IF($A422="","",AN421*$E421)</f>
        <v/>
      </c>
      <c r="BA421" s="195" t="str">
        <f aca="false">IF($A422="","",F421*Summary!$Q$14)</f>
        <v/>
      </c>
    </row>
    <row r="422" customFormat="false" ht="12.75" hidden="false" customHeight="false" outlineLevel="0" collapsed="false">
      <c r="A422" s="196" t="str">
        <f aca="false">IF(A421&lt;mthend,EDATE(A421,1),"")</f>
        <v/>
      </c>
      <c r="B422" s="197" t="str">
        <f aca="false">IF(A422&lt;mthend,B421,"")</f>
        <v/>
      </c>
      <c r="D422" s="197" t="str">
        <f aca="false">IF(A423&lt;&gt;"",B422+C422,"")</f>
        <v/>
      </c>
      <c r="E422" s="199" t="str">
        <f aca="false">IF(A423="","",IF(AND(AT422=1,$H$3=1),D422*AO422,IF($H$3=2,D422,"N/A")))</f>
        <v/>
      </c>
      <c r="F422" s="199" t="str">
        <f aca="false">IF(A423="","",E422*AS422)</f>
        <v/>
      </c>
      <c r="G422" s="200" t="str">
        <f aca="false">IF($A423="","",VLOOKUP($A422,Table,MATCH(G$4,Curves,0)))</f>
        <v/>
      </c>
      <c r="H422" s="201" t="str">
        <f aca="false">IF(A423="","",G422)</f>
        <v/>
      </c>
      <c r="J422" s="200" t="str">
        <f aca="false">IF($A423="","",VLOOKUP($A422,Table,MATCH(J$4,Curves,0)))</f>
        <v/>
      </c>
      <c r="K422" s="201" t="str">
        <f aca="false">IF(A423="","",J422)</f>
        <v/>
      </c>
      <c r="L422" s="185" t="n">
        <v>0</v>
      </c>
      <c r="M422" s="201" t="str">
        <f aca="false">IF(A423="","",L422)</f>
        <v/>
      </c>
      <c r="O422" s="200" t="str">
        <f aca="false">IF(A423="","",L422+J422+G422)</f>
        <v/>
      </c>
      <c r="P422" s="200" t="str">
        <f aca="false">IF(A423="","",M422+K422+H422)</f>
        <v/>
      </c>
      <c r="R422" s="200" t="str">
        <f aca="false">IF($A423="","",VLOOKUP($A422,Table,MATCH(R$4,Curves,0)))</f>
        <v/>
      </c>
      <c r="S422" s="201" t="str">
        <f aca="false">IF(A423="","",R422)</f>
        <v/>
      </c>
      <c r="T422" s="200" t="str">
        <f aca="false">IF($A423="","",VLOOKUP($A422,Table,MATCH(T$4,Curves,0)))</f>
        <v/>
      </c>
      <c r="U422" s="201" t="str">
        <f aca="false">IF(A423="","",T422)</f>
        <v/>
      </c>
      <c r="V422" s="183" t="str">
        <f aca="false">IF($A423="","",IF(AND(MONTH(A422)&gt;3,MONTH(A422)&lt;11),(T422+R422+G422)*(((1/(1-Summary!$T$14))/(1-Summary!$W$14))-1),(T422+R422+G422)*((1/(1-Summary!$U$14))/(1-Summary!$X$14)-1)))</f>
        <v/>
      </c>
      <c r="W422" s="202" t="str">
        <f aca="false">IF($A423="","",(T422+R422+G422+V422))</f>
        <v/>
      </c>
      <c r="X422" s="202" t="str">
        <f aca="false">IF($A423="","",(U422+S422+H422+V422))</f>
        <v/>
      </c>
      <c r="Y422" s="202"/>
      <c r="Z422" s="185"/>
      <c r="AJ422" s="77"/>
      <c r="AK422" s="77"/>
      <c r="AL422" s="77"/>
      <c r="AM422" s="77"/>
      <c r="AN422" s="77"/>
      <c r="AO422" s="137" t="str">
        <f aca="false">IF(A423="","",A423-A422)</f>
        <v/>
      </c>
      <c r="AP422" s="212" t="str">
        <f aca="false">IF(A423="","",CHOOSE(F$3,A423+24,A422))</f>
        <v/>
      </c>
      <c r="AQ422" s="209" t="str">
        <f aca="false">IF(A423="","",AP422-$E$1)</f>
        <v/>
      </c>
      <c r="AR422" s="185" t="n">
        <f aca="false">'ANR OK vs ML7'!AR422</f>
        <v>0.1</v>
      </c>
      <c r="AS422" s="213" t="str">
        <f aca="false">IF(A423="","",1/(1+CHOOSE(F$3,(AR423+($I$3/10000))/2,(AR422+($I$3/10000))/2))^(2*AQ422/365.25))</f>
        <v/>
      </c>
      <c r="AT422" s="137" t="str">
        <f aca="false">IF(A423="","",IF(AND(mthbeg&lt;=A422,mthend&gt;=A422),1,0))</f>
        <v/>
      </c>
      <c r="AU422" s="137" t="str">
        <f aca="false">IF(A423="","",AO422*AT422)</f>
        <v/>
      </c>
      <c r="AW422" s="195" t="str">
        <f aca="false">IF($A423="","",AL422*$E422)</f>
        <v/>
      </c>
      <c r="AX422" s="195" t="str">
        <f aca="false">IF($A423="","",AM422*$E422)</f>
        <v/>
      </c>
      <c r="AY422" s="195" t="str">
        <f aca="false">IF($A423="","",AN422*$E422)</f>
        <v/>
      </c>
      <c r="BA422" s="195" t="str">
        <f aca="false">IF($A423="","",F422*Summary!$Q$14)</f>
        <v/>
      </c>
    </row>
    <row r="423" customFormat="false" ht="12.75" hidden="false" customHeight="false" outlineLevel="0" collapsed="false">
      <c r="A423" s="196" t="str">
        <f aca="false">IF(A422&lt;mthend,EDATE(A422,1),"")</f>
        <v/>
      </c>
      <c r="B423" s="197" t="str">
        <f aca="false">IF(A423&lt;mthend,B422,"")</f>
        <v/>
      </c>
      <c r="D423" s="197" t="str">
        <f aca="false">IF(A424&lt;&gt;"",B423+C423,"")</f>
        <v/>
      </c>
      <c r="E423" s="199" t="str">
        <f aca="false">IF(A424="","",IF(AND(AT423=1,$H$3=1),D423*AO423,IF($H$3=2,D423,"N/A")))</f>
        <v/>
      </c>
      <c r="F423" s="199" t="str">
        <f aca="false">IF(A424="","",E423*AS423)</f>
        <v/>
      </c>
      <c r="G423" s="200" t="str">
        <f aca="false">IF($A424="","",VLOOKUP($A423,Table,MATCH(G$4,Curves,0)))</f>
        <v/>
      </c>
      <c r="H423" s="201" t="str">
        <f aca="false">IF(A424="","",G423)</f>
        <v/>
      </c>
      <c r="J423" s="200" t="str">
        <f aca="false">IF($A424="","",VLOOKUP($A423,Table,MATCH(J$4,Curves,0)))</f>
        <v/>
      </c>
      <c r="K423" s="201" t="str">
        <f aca="false">IF(A424="","",J423)</f>
        <v/>
      </c>
      <c r="L423" s="185" t="n">
        <v>0</v>
      </c>
      <c r="M423" s="201" t="str">
        <f aca="false">IF(A424="","",L423)</f>
        <v/>
      </c>
      <c r="O423" s="200" t="str">
        <f aca="false">IF(A424="","",L423+J423+G423)</f>
        <v/>
      </c>
      <c r="P423" s="200" t="str">
        <f aca="false">IF(A424="","",M423+K423+H423)</f>
        <v/>
      </c>
      <c r="R423" s="200" t="str">
        <f aca="false">IF($A424="","",VLOOKUP($A423,Table,MATCH(R$4,Curves,0)))</f>
        <v/>
      </c>
      <c r="S423" s="201" t="str">
        <f aca="false">IF(A424="","",R423)</f>
        <v/>
      </c>
      <c r="T423" s="200" t="str">
        <f aca="false">IF($A424="","",VLOOKUP($A423,Table,MATCH(T$4,Curves,0)))</f>
        <v/>
      </c>
      <c r="U423" s="201" t="str">
        <f aca="false">IF(A424="","",T423)</f>
        <v/>
      </c>
      <c r="V423" s="183" t="str">
        <f aca="false">IF($A424="","",IF(AND(MONTH(A423)&gt;3,MONTH(A423)&lt;11),(T423+R423+G423)*(((1/(1-Summary!$T$14))/(1-Summary!$W$14))-1),(T423+R423+G423)*((1/(1-Summary!$U$14))/(1-Summary!$X$14)-1)))</f>
        <v/>
      </c>
      <c r="W423" s="202" t="str">
        <f aca="false">IF($A424="","",(T423+R423+G423+V423))</f>
        <v/>
      </c>
      <c r="X423" s="202" t="str">
        <f aca="false">IF($A424="","",(U423+S423+H423+V423))</f>
        <v/>
      </c>
      <c r="Y423" s="202"/>
      <c r="Z423" s="185"/>
      <c r="AJ423" s="77"/>
      <c r="AK423" s="77"/>
      <c r="AL423" s="77"/>
      <c r="AM423" s="77"/>
      <c r="AN423" s="77"/>
      <c r="AO423" s="137" t="str">
        <f aca="false">IF(A424="","",A424-A423)</f>
        <v/>
      </c>
      <c r="AP423" s="212" t="str">
        <f aca="false">IF(A424="","",CHOOSE(F$3,A424+24,A423))</f>
        <v/>
      </c>
      <c r="AQ423" s="209" t="str">
        <f aca="false">IF(A424="","",AP423-$E$1)</f>
        <v/>
      </c>
      <c r="AR423" s="185" t="n">
        <f aca="false">'ANR OK vs ML7'!AR423</f>
        <v>0.1</v>
      </c>
      <c r="AS423" s="213" t="str">
        <f aca="false">IF(A424="","",1/(1+CHOOSE(F$3,(AR424+($I$3/10000))/2,(AR423+($I$3/10000))/2))^(2*AQ423/365.25))</f>
        <v/>
      </c>
      <c r="AT423" s="137" t="str">
        <f aca="false">IF(A424="","",IF(AND(mthbeg&lt;=A423,mthend&gt;=A423),1,0))</f>
        <v/>
      </c>
      <c r="AU423" s="137" t="str">
        <f aca="false">IF(A424="","",AO423*AT423)</f>
        <v/>
      </c>
      <c r="AW423" s="195" t="str">
        <f aca="false">IF($A424="","",AL423*$E423)</f>
        <v/>
      </c>
      <c r="AX423" s="195" t="str">
        <f aca="false">IF($A424="","",AM423*$E423)</f>
        <v/>
      </c>
      <c r="AY423" s="195" t="str">
        <f aca="false">IF($A424="","",AN423*$E423)</f>
        <v/>
      </c>
      <c r="BA423" s="195" t="str">
        <f aca="false">IF($A424="","",F423*Summary!$Q$14)</f>
        <v/>
      </c>
    </row>
    <row r="424" customFormat="false" ht="12.75" hidden="false" customHeight="false" outlineLevel="0" collapsed="false">
      <c r="A424" s="196" t="str">
        <f aca="false">IF(A423&lt;mthend,EDATE(A423,1),"")</f>
        <v/>
      </c>
      <c r="B424" s="197" t="str">
        <f aca="false">IF(A424&lt;mthend,B423,"")</f>
        <v/>
      </c>
      <c r="D424" s="197" t="str">
        <f aca="false">IF(A425&lt;&gt;"",B424+C424,"")</f>
        <v/>
      </c>
      <c r="E424" s="199" t="str">
        <f aca="false">IF(A425="","",IF(AND(AT424=1,$H$3=1),D424*AO424,IF($H$3=2,D424,"N/A")))</f>
        <v/>
      </c>
      <c r="F424" s="199" t="str">
        <f aca="false">IF(A425="","",E424*AS424)</f>
        <v/>
      </c>
      <c r="G424" s="200" t="str">
        <f aca="false">IF($A425="","",VLOOKUP($A424,Table,MATCH(G$4,Curves,0)))</f>
        <v/>
      </c>
      <c r="H424" s="201" t="str">
        <f aca="false">IF(A425="","",G424)</f>
        <v/>
      </c>
      <c r="J424" s="200" t="str">
        <f aca="false">IF($A425="","",VLOOKUP($A424,Table,MATCH(J$4,Curves,0)))</f>
        <v/>
      </c>
      <c r="K424" s="201" t="str">
        <f aca="false">IF(A425="","",J424)</f>
        <v/>
      </c>
      <c r="L424" s="185" t="n">
        <v>0</v>
      </c>
      <c r="M424" s="201" t="str">
        <f aca="false">IF(A425="","",L424)</f>
        <v/>
      </c>
      <c r="O424" s="200" t="str">
        <f aca="false">IF(A425="","",L424+J424+G424)</f>
        <v/>
      </c>
      <c r="P424" s="200" t="str">
        <f aca="false">IF(A425="","",M424+K424+H424)</f>
        <v/>
      </c>
      <c r="R424" s="200" t="str">
        <f aca="false">IF($A425="","",VLOOKUP($A424,Table,MATCH(R$4,Curves,0)))</f>
        <v/>
      </c>
      <c r="S424" s="201" t="str">
        <f aca="false">IF(A425="","",R424)</f>
        <v/>
      </c>
      <c r="T424" s="200" t="str">
        <f aca="false">IF($A425="","",VLOOKUP($A424,Table,MATCH(T$4,Curves,0)))</f>
        <v/>
      </c>
      <c r="U424" s="201" t="str">
        <f aca="false">IF(A425="","",T424)</f>
        <v/>
      </c>
      <c r="V424" s="183" t="str">
        <f aca="false">IF($A425="","",IF(AND(MONTH(A424)&gt;3,MONTH(A424)&lt;11),(T424+R424+G424)*(((1/(1-Summary!$T$14))/(1-Summary!$W$14))-1),(T424+R424+G424)*((1/(1-Summary!$U$14))/(1-Summary!$X$14)-1)))</f>
        <v/>
      </c>
      <c r="W424" s="202" t="str">
        <f aca="false">IF($A425="","",(T424+R424+G424+V424))</f>
        <v/>
      </c>
      <c r="X424" s="202" t="str">
        <f aca="false">IF($A425="","",(U424+S424+H424+V424))</f>
        <v/>
      </c>
      <c r="Y424" s="202"/>
      <c r="Z424" s="185"/>
      <c r="AJ424" s="77"/>
      <c r="AK424" s="77"/>
      <c r="AL424" s="77"/>
      <c r="AM424" s="77"/>
      <c r="AN424" s="77"/>
      <c r="AO424" s="137" t="str">
        <f aca="false">IF(A425="","",A425-A424)</f>
        <v/>
      </c>
      <c r="AP424" s="212" t="str">
        <f aca="false">IF(A425="","",CHOOSE(F$3,A425+24,A424))</f>
        <v/>
      </c>
      <c r="AQ424" s="209" t="str">
        <f aca="false">IF(A425="","",AP424-$E$1)</f>
        <v/>
      </c>
      <c r="AR424" s="185" t="n">
        <f aca="false">'ANR OK vs ML7'!AR424</f>
        <v>0.1</v>
      </c>
      <c r="AS424" s="213" t="str">
        <f aca="false">IF(A425="","",1/(1+CHOOSE(F$3,(AR425+($I$3/10000))/2,(AR424+($I$3/10000))/2))^(2*AQ424/365.25))</f>
        <v/>
      </c>
      <c r="AT424" s="137" t="str">
        <f aca="false">IF(A425="","",IF(AND(mthbeg&lt;=A424,mthend&gt;=A424),1,0))</f>
        <v/>
      </c>
      <c r="AU424" s="137" t="str">
        <f aca="false">IF(A425="","",AO424*AT424)</f>
        <v/>
      </c>
      <c r="AW424" s="195" t="str">
        <f aca="false">IF($A425="","",AL424*$E424)</f>
        <v/>
      </c>
      <c r="AX424" s="195" t="str">
        <f aca="false">IF($A425="","",AM424*$E424)</f>
        <v/>
      </c>
      <c r="AY424" s="195" t="str">
        <f aca="false">IF($A425="","",AN424*$E424)</f>
        <v/>
      </c>
      <c r="BA424" s="195" t="str">
        <f aca="false">IF($A425="","",F424*Summary!$Q$14)</f>
        <v/>
      </c>
    </row>
    <row r="425" customFormat="false" ht="12.75" hidden="false" customHeight="false" outlineLevel="0" collapsed="false">
      <c r="A425" s="196" t="str">
        <f aca="false">IF(A424&lt;mthend,EDATE(A424,1),"")</f>
        <v/>
      </c>
      <c r="B425" s="197" t="str">
        <f aca="false">IF(A425&lt;mthend,B424,"")</f>
        <v/>
      </c>
      <c r="D425" s="197" t="str">
        <f aca="false">IF(A426&lt;&gt;"",B425+C425,"")</f>
        <v/>
      </c>
      <c r="E425" s="199" t="str">
        <f aca="false">IF(A426="","",IF(AND(AT425=1,$H$3=1),D425*AO425,IF($H$3=2,D425,"N/A")))</f>
        <v/>
      </c>
      <c r="F425" s="199" t="str">
        <f aca="false">IF(A426="","",E425*AS425)</f>
        <v/>
      </c>
      <c r="G425" s="200" t="str">
        <f aca="false">IF($A426="","",VLOOKUP($A425,Table,MATCH(G$4,Curves,0)))</f>
        <v/>
      </c>
      <c r="H425" s="201" t="str">
        <f aca="false">IF(A426="","",G425)</f>
        <v/>
      </c>
      <c r="J425" s="200" t="str">
        <f aca="false">IF($A426="","",VLOOKUP($A425,Table,MATCH(J$4,Curves,0)))</f>
        <v/>
      </c>
      <c r="K425" s="201" t="str">
        <f aca="false">IF(A426="","",J425)</f>
        <v/>
      </c>
      <c r="L425" s="185" t="n">
        <v>0</v>
      </c>
      <c r="M425" s="201" t="str">
        <f aca="false">IF(A426="","",L425)</f>
        <v/>
      </c>
      <c r="O425" s="200" t="str">
        <f aca="false">IF(A426="","",L425+J425+G425)</f>
        <v/>
      </c>
      <c r="P425" s="200" t="str">
        <f aca="false">IF(A426="","",M425+K425+H425)</f>
        <v/>
      </c>
      <c r="R425" s="200" t="str">
        <f aca="false">IF($A426="","",VLOOKUP($A425,Table,MATCH(R$4,Curves,0)))</f>
        <v/>
      </c>
      <c r="S425" s="201" t="str">
        <f aca="false">IF(A426="","",R425)</f>
        <v/>
      </c>
      <c r="T425" s="200" t="str">
        <f aca="false">IF($A426="","",VLOOKUP($A425,Table,MATCH(T$4,Curves,0)))</f>
        <v/>
      </c>
      <c r="U425" s="201" t="str">
        <f aca="false">IF(A426="","",T425)</f>
        <v/>
      </c>
      <c r="V425" s="183" t="str">
        <f aca="false">IF($A426="","",IF(AND(MONTH(A425)&gt;3,MONTH(A425)&lt;11),(T425+R425+G425)*(((1/(1-Summary!$T$14))/(1-Summary!$W$14))-1),(T425+R425+G425)*((1/(1-Summary!$U$14))/(1-Summary!$X$14)-1)))</f>
        <v/>
      </c>
      <c r="W425" s="202" t="str">
        <f aca="false">IF($A426="","",(T425+R425+G425+V425))</f>
        <v/>
      </c>
      <c r="X425" s="202" t="str">
        <f aca="false">IF($A426="","",(U425+S425+H425+V425))</f>
        <v/>
      </c>
      <c r="Y425" s="202"/>
      <c r="Z425" s="185"/>
      <c r="AJ425" s="77"/>
      <c r="AK425" s="77"/>
      <c r="AL425" s="77"/>
      <c r="AM425" s="77"/>
      <c r="AN425" s="77"/>
      <c r="AO425" s="137" t="str">
        <f aca="false">IF(A426="","",A426-A425)</f>
        <v/>
      </c>
      <c r="AP425" s="212" t="str">
        <f aca="false">IF(A426="","",CHOOSE(F$3,A426+24,A425))</f>
        <v/>
      </c>
      <c r="AQ425" s="209" t="str">
        <f aca="false">IF(A426="","",AP425-$E$1)</f>
        <v/>
      </c>
      <c r="AR425" s="185" t="n">
        <f aca="false">'ANR OK vs ML7'!AR425</f>
        <v>0.1</v>
      </c>
      <c r="AS425" s="213" t="str">
        <f aca="false">IF(A426="","",1/(1+CHOOSE(F$3,(AR426+($I$3/10000))/2,(AR425+($I$3/10000))/2))^(2*AQ425/365.25))</f>
        <v/>
      </c>
      <c r="AT425" s="137" t="str">
        <f aca="false">IF(A426="","",IF(AND(mthbeg&lt;=A425,mthend&gt;=A425),1,0))</f>
        <v/>
      </c>
      <c r="AU425" s="137" t="str">
        <f aca="false">IF(A426="","",AO425*AT425)</f>
        <v/>
      </c>
      <c r="AW425" s="195" t="str">
        <f aca="false">IF($A426="","",AL425*$E425)</f>
        <v/>
      </c>
      <c r="AX425" s="195" t="str">
        <f aca="false">IF($A426="","",AM425*$E425)</f>
        <v/>
      </c>
      <c r="AY425" s="195" t="str">
        <f aca="false">IF($A426="","",AN425*$E425)</f>
        <v/>
      </c>
      <c r="BA425" s="195" t="str">
        <f aca="false">IF($A426="","",F425*Summary!$Q$14)</f>
        <v/>
      </c>
    </row>
    <row r="426" customFormat="false" ht="12.75" hidden="false" customHeight="false" outlineLevel="0" collapsed="false">
      <c r="A426" s="196" t="str">
        <f aca="false">IF(A425&lt;mthend,EDATE(A425,1),"")</f>
        <v/>
      </c>
      <c r="B426" s="197" t="str">
        <f aca="false">IF(A426&lt;mthend,B425,"")</f>
        <v/>
      </c>
      <c r="D426" s="197" t="str">
        <f aca="false">IF(A427&lt;&gt;"",B426+C426,"")</f>
        <v/>
      </c>
      <c r="E426" s="199" t="str">
        <f aca="false">IF(A427="","",IF(AND(AT426=1,$H$3=1),D426*AO426,IF($H$3=2,D426,"N/A")))</f>
        <v/>
      </c>
      <c r="F426" s="199" t="str">
        <f aca="false">IF(A427="","",E426*AS426)</f>
        <v/>
      </c>
      <c r="G426" s="200" t="str">
        <f aca="false">IF($A427="","",VLOOKUP($A426,Table,MATCH(G$4,Curves,0)))</f>
        <v/>
      </c>
      <c r="H426" s="201" t="str">
        <f aca="false">IF(A427="","",G426)</f>
        <v/>
      </c>
      <c r="J426" s="200" t="str">
        <f aca="false">IF($A427="","",VLOOKUP($A426,Table,MATCH(J$4,Curves,0)))</f>
        <v/>
      </c>
      <c r="K426" s="201" t="str">
        <f aca="false">IF(A427="","",J426)</f>
        <v/>
      </c>
      <c r="L426" s="185" t="n">
        <v>0</v>
      </c>
      <c r="M426" s="201" t="str">
        <f aca="false">IF(A427="","",L426)</f>
        <v/>
      </c>
      <c r="O426" s="200" t="str">
        <f aca="false">IF(A427="","",L426+J426+G426)</f>
        <v/>
      </c>
      <c r="P426" s="200" t="str">
        <f aca="false">IF(A427="","",M426+K426+H426)</f>
        <v/>
      </c>
      <c r="R426" s="200" t="str">
        <f aca="false">IF($A427="","",VLOOKUP($A426,Table,MATCH(R$4,Curves,0)))</f>
        <v/>
      </c>
      <c r="S426" s="201" t="str">
        <f aca="false">IF(A427="","",R426)</f>
        <v/>
      </c>
      <c r="T426" s="200" t="str">
        <f aca="false">IF($A427="","",VLOOKUP($A426,Table,MATCH(T$4,Curves,0)))</f>
        <v/>
      </c>
      <c r="U426" s="201" t="str">
        <f aca="false">IF(A427="","",T426)</f>
        <v/>
      </c>
      <c r="V426" s="183" t="str">
        <f aca="false">IF($A427="","",IF(AND(MONTH(A426)&gt;3,MONTH(A426)&lt;11),(T426+R426+G426)*(((1/(1-Summary!$T$14))/(1-Summary!$W$14))-1),(T426+R426+G426)*((1/(1-Summary!$U$14))/(1-Summary!$X$14)-1)))</f>
        <v/>
      </c>
      <c r="W426" s="202" t="str">
        <f aca="false">IF($A427="","",(T426+R426+G426+V426))</f>
        <v/>
      </c>
      <c r="X426" s="202" t="str">
        <f aca="false">IF($A427="","",(U426+S426+H426+V426))</f>
        <v/>
      </c>
      <c r="Y426" s="202"/>
      <c r="Z426" s="185"/>
      <c r="AJ426" s="77"/>
      <c r="AK426" s="77"/>
      <c r="AL426" s="77"/>
      <c r="AM426" s="77"/>
      <c r="AN426" s="77"/>
      <c r="AO426" s="137" t="str">
        <f aca="false">IF(A427="","",A427-A426)</f>
        <v/>
      </c>
      <c r="AP426" s="212" t="str">
        <f aca="false">IF(A427="","",CHOOSE(F$3,A427+24,A426))</f>
        <v/>
      </c>
      <c r="AQ426" s="209" t="str">
        <f aca="false">IF(A427="","",AP426-$E$1)</f>
        <v/>
      </c>
      <c r="AR426" s="185" t="n">
        <f aca="false">'ANR OK vs ML7'!AR426</f>
        <v>0.1</v>
      </c>
      <c r="AS426" s="213" t="str">
        <f aca="false">IF(A427="","",1/(1+CHOOSE(F$3,(AR427+($I$3/10000))/2,(AR426+($I$3/10000))/2))^(2*AQ426/365.25))</f>
        <v/>
      </c>
      <c r="AT426" s="137" t="str">
        <f aca="false">IF(A427="","",IF(AND(mthbeg&lt;=A426,mthend&gt;=A426),1,0))</f>
        <v/>
      </c>
      <c r="AU426" s="137" t="str">
        <f aca="false">IF(A427="","",AO426*AT426)</f>
        <v/>
      </c>
      <c r="AW426" s="195" t="str">
        <f aca="false">IF($A427="","",AL426*$E426)</f>
        <v/>
      </c>
      <c r="AX426" s="195" t="str">
        <f aca="false">IF($A427="","",AM426*$E426)</f>
        <v/>
      </c>
      <c r="AY426" s="195" t="str">
        <f aca="false">IF($A427="","",AN426*$E426)</f>
        <v/>
      </c>
      <c r="BA426" s="195" t="str">
        <f aca="false">IF($A427="","",F426*Summary!$Q$14)</f>
        <v/>
      </c>
    </row>
    <row r="427" customFormat="false" ht="12.75" hidden="false" customHeight="false" outlineLevel="0" collapsed="false">
      <c r="A427" s="196" t="str">
        <f aca="false">IF(A426&lt;mthend,EDATE(A426,1),"")</f>
        <v/>
      </c>
      <c r="B427" s="197" t="str">
        <f aca="false">IF(A427&lt;mthend,B426,"")</f>
        <v/>
      </c>
      <c r="D427" s="197" t="str">
        <f aca="false">IF(A428&lt;&gt;"",B427+C427,"")</f>
        <v/>
      </c>
      <c r="E427" s="199" t="str">
        <f aca="false">IF(A428="","",IF(AND(AT427=1,$H$3=1),D427*AO427,IF($H$3=2,D427,"N/A")))</f>
        <v/>
      </c>
      <c r="F427" s="199" t="str">
        <f aca="false">IF(A428="","",E427*AS427)</f>
        <v/>
      </c>
      <c r="G427" s="200" t="str">
        <f aca="false">IF($A428="","",VLOOKUP($A427,Table,MATCH(G$4,Curves,0)))</f>
        <v/>
      </c>
      <c r="H427" s="201" t="str">
        <f aca="false">IF(A428="","",G427)</f>
        <v/>
      </c>
      <c r="J427" s="200" t="str">
        <f aca="false">IF($A428="","",VLOOKUP($A427,Table,MATCH(J$4,Curves,0)))</f>
        <v/>
      </c>
      <c r="K427" s="201" t="str">
        <f aca="false">IF(A428="","",J427)</f>
        <v/>
      </c>
      <c r="L427" s="185" t="n">
        <v>0</v>
      </c>
      <c r="M427" s="201" t="str">
        <f aca="false">IF(A428="","",L427)</f>
        <v/>
      </c>
      <c r="O427" s="200" t="str">
        <f aca="false">IF(A428="","",L427+J427+G427)</f>
        <v/>
      </c>
      <c r="P427" s="200" t="str">
        <f aca="false">IF(A428="","",M427+K427+H427)</f>
        <v/>
      </c>
      <c r="R427" s="200" t="str">
        <f aca="false">IF($A428="","",VLOOKUP($A427,Table,MATCH(R$4,Curves,0)))</f>
        <v/>
      </c>
      <c r="S427" s="201" t="str">
        <f aca="false">IF(A428="","",R427)</f>
        <v/>
      </c>
      <c r="T427" s="200" t="str">
        <f aca="false">IF($A428="","",VLOOKUP($A427,Table,MATCH(T$4,Curves,0)))</f>
        <v/>
      </c>
      <c r="U427" s="201" t="str">
        <f aca="false">IF(A428="","",T427)</f>
        <v/>
      </c>
      <c r="V427" s="183" t="str">
        <f aca="false">IF($A428="","",IF(AND(MONTH(A427)&gt;3,MONTH(A427)&lt;11),(T427+R427+G427)*(((1/(1-Summary!$T$14))/(1-Summary!$W$14))-1),(T427+R427+G427)*((1/(1-Summary!$U$14))/(1-Summary!$X$14)-1)))</f>
        <v/>
      </c>
      <c r="W427" s="202" t="str">
        <f aca="false">IF($A428="","",(T427+R427+G427+V427))</f>
        <v/>
      </c>
      <c r="X427" s="202" t="str">
        <f aca="false">IF($A428="","",(U427+S427+H427+V427))</f>
        <v/>
      </c>
      <c r="Y427" s="202"/>
      <c r="Z427" s="185"/>
      <c r="AJ427" s="77"/>
      <c r="AK427" s="77"/>
      <c r="AL427" s="77"/>
      <c r="AM427" s="77"/>
      <c r="AN427" s="77"/>
      <c r="AO427" s="137" t="str">
        <f aca="false">IF(A428="","",A428-A427)</f>
        <v/>
      </c>
      <c r="AP427" s="212" t="str">
        <f aca="false">IF(A428="","",CHOOSE(F$3,A428+24,A427))</f>
        <v/>
      </c>
      <c r="AQ427" s="209" t="str">
        <f aca="false">IF(A428="","",AP427-$E$1)</f>
        <v/>
      </c>
      <c r="AR427" s="185" t="n">
        <f aca="false">'ANR OK vs ML7'!AR427</f>
        <v>0.1</v>
      </c>
      <c r="AS427" s="213" t="str">
        <f aca="false">IF(A428="","",1/(1+CHOOSE(F$3,(AR428+($I$3/10000))/2,(AR427+($I$3/10000))/2))^(2*AQ427/365.25))</f>
        <v/>
      </c>
      <c r="AT427" s="137" t="str">
        <f aca="false">IF(A428="","",IF(AND(mthbeg&lt;=A427,mthend&gt;=A427),1,0))</f>
        <v/>
      </c>
      <c r="AU427" s="137" t="str">
        <f aca="false">IF(A428="","",AO427*AT427)</f>
        <v/>
      </c>
      <c r="AW427" s="195" t="str">
        <f aca="false">IF($A428="","",AL427*$E427)</f>
        <v/>
      </c>
      <c r="AX427" s="195" t="str">
        <f aca="false">IF($A428="","",AM427*$E427)</f>
        <v/>
      </c>
      <c r="AY427" s="195" t="str">
        <f aca="false">IF($A428="","",AN427*$E427)</f>
        <v/>
      </c>
      <c r="BA427" s="195" t="str">
        <f aca="false">IF($A428="","",F427*Summary!$Q$14)</f>
        <v/>
      </c>
    </row>
    <row r="428" customFormat="false" ht="12.75" hidden="false" customHeight="false" outlineLevel="0" collapsed="false">
      <c r="A428" s="196" t="str">
        <f aca="false">IF(A427&lt;mthend,EDATE(A427,1),"")</f>
        <v/>
      </c>
      <c r="B428" s="197" t="str">
        <f aca="false">IF(A428&lt;mthend,B427,"")</f>
        <v/>
      </c>
      <c r="D428" s="197" t="str">
        <f aca="false">IF(A429&lt;&gt;"",B428+C428,"")</f>
        <v/>
      </c>
      <c r="E428" s="199" t="str">
        <f aca="false">IF(A429="","",IF(AND(AT428=1,$H$3=1),D428*AO428,IF($H$3=2,D428,"N/A")))</f>
        <v/>
      </c>
      <c r="F428" s="199" t="str">
        <f aca="false">IF(A429="","",E428*AS428)</f>
        <v/>
      </c>
      <c r="G428" s="200" t="str">
        <f aca="false">IF($A429="","",VLOOKUP($A428,Table,MATCH(G$4,Curves,0)))</f>
        <v/>
      </c>
      <c r="H428" s="201" t="str">
        <f aca="false">IF(A429="","",G428)</f>
        <v/>
      </c>
      <c r="J428" s="200" t="str">
        <f aca="false">IF($A429="","",VLOOKUP($A428,Table,MATCH(J$4,Curves,0)))</f>
        <v/>
      </c>
      <c r="K428" s="201" t="str">
        <f aca="false">IF(A429="","",J428)</f>
        <v/>
      </c>
      <c r="L428" s="185" t="n">
        <v>0</v>
      </c>
      <c r="M428" s="201" t="str">
        <f aca="false">IF(A429="","",L428)</f>
        <v/>
      </c>
      <c r="O428" s="200" t="str">
        <f aca="false">IF(A429="","",L428+J428+G428)</f>
        <v/>
      </c>
      <c r="P428" s="200" t="str">
        <f aca="false">IF(A429="","",M428+K428+H428)</f>
        <v/>
      </c>
      <c r="R428" s="200" t="str">
        <f aca="false">IF($A429="","",VLOOKUP($A428,Table,MATCH(R$4,Curves,0)))</f>
        <v/>
      </c>
      <c r="S428" s="201" t="str">
        <f aca="false">IF(A429="","",R428)</f>
        <v/>
      </c>
      <c r="T428" s="200" t="str">
        <f aca="false">IF($A429="","",VLOOKUP($A428,Table,MATCH(T$4,Curves,0)))</f>
        <v/>
      </c>
      <c r="U428" s="201" t="str">
        <f aca="false">IF(A429="","",T428)</f>
        <v/>
      </c>
      <c r="V428" s="183" t="str">
        <f aca="false">IF($A429="","",IF(AND(MONTH(A428)&gt;3,MONTH(A428)&lt;11),(T428+R428+G428)*(((1/(1-Summary!$T$14))/(1-Summary!$W$14))-1),(T428+R428+G428)*((1/(1-Summary!$U$14))/(1-Summary!$X$14)-1)))</f>
        <v/>
      </c>
      <c r="W428" s="202" t="str">
        <f aca="false">IF($A429="","",(T428+R428+G428+V428))</f>
        <v/>
      </c>
      <c r="X428" s="202" t="str">
        <f aca="false">IF($A429="","",(U428+S428+H428+V428))</f>
        <v/>
      </c>
      <c r="Y428" s="202"/>
      <c r="Z428" s="185"/>
      <c r="AJ428" s="77"/>
      <c r="AK428" s="77"/>
      <c r="AL428" s="77"/>
      <c r="AM428" s="77"/>
      <c r="AN428" s="77"/>
      <c r="AO428" s="137" t="str">
        <f aca="false">IF(A429="","",A429-A428)</f>
        <v/>
      </c>
      <c r="AP428" s="212" t="str">
        <f aca="false">IF(A429="","",CHOOSE(F$3,A429+24,A428))</f>
        <v/>
      </c>
      <c r="AQ428" s="209" t="str">
        <f aca="false">IF(A429="","",AP428-$E$1)</f>
        <v/>
      </c>
      <c r="AR428" s="185" t="n">
        <f aca="false">'ANR OK vs ML7'!AR428</f>
        <v>0.1</v>
      </c>
      <c r="AS428" s="213" t="str">
        <f aca="false">IF(A429="","",1/(1+CHOOSE(F$3,(AR429+($I$3/10000))/2,(AR428+($I$3/10000))/2))^(2*AQ428/365.25))</f>
        <v/>
      </c>
      <c r="AT428" s="137" t="str">
        <f aca="false">IF(A429="","",IF(AND(mthbeg&lt;=A428,mthend&gt;=A428),1,0))</f>
        <v/>
      </c>
      <c r="AU428" s="137" t="str">
        <f aca="false">IF(A429="","",AO428*AT428)</f>
        <v/>
      </c>
      <c r="AW428" s="195" t="str">
        <f aca="false">IF($A429="","",AL428*$E428)</f>
        <v/>
      </c>
      <c r="AX428" s="195" t="str">
        <f aca="false">IF($A429="","",AM428*$E428)</f>
        <v/>
      </c>
      <c r="AY428" s="195" t="str">
        <f aca="false">IF($A429="","",AN428*$E428)</f>
        <v/>
      </c>
      <c r="BA428" s="195" t="str">
        <f aca="false">IF($A429="","",F428*Summary!$Q$14)</f>
        <v/>
      </c>
    </row>
    <row r="429" customFormat="false" ht="12.75" hidden="false" customHeight="false" outlineLevel="0" collapsed="false">
      <c r="A429" s="196" t="str">
        <f aca="false">IF(A428&lt;mthend,EDATE(A428,1),"")</f>
        <v/>
      </c>
      <c r="B429" s="197" t="str">
        <f aca="false">IF(A429&lt;mthend,B428,"")</f>
        <v/>
      </c>
      <c r="D429" s="197" t="str">
        <f aca="false">IF(A430&lt;&gt;"",B429+C429,"")</f>
        <v/>
      </c>
      <c r="E429" s="199" t="str">
        <f aca="false">IF(A430="","",IF(AND(AT429=1,$H$3=1),D429*AO429,IF($H$3=2,D429,"N/A")))</f>
        <v/>
      </c>
      <c r="F429" s="199" t="str">
        <f aca="false">IF(A430="","",E429*AS429)</f>
        <v/>
      </c>
      <c r="G429" s="200" t="str">
        <f aca="false">IF($A430="","",VLOOKUP($A429,Table,MATCH(G$4,Curves,0)))</f>
        <v/>
      </c>
      <c r="H429" s="201" t="str">
        <f aca="false">IF(A430="","",G429)</f>
        <v/>
      </c>
      <c r="J429" s="200" t="str">
        <f aca="false">IF($A430="","",VLOOKUP($A429,Table,MATCH(J$4,Curves,0)))</f>
        <v/>
      </c>
      <c r="K429" s="201" t="str">
        <f aca="false">IF(A430="","",J429)</f>
        <v/>
      </c>
      <c r="L429" s="185" t="n">
        <v>0</v>
      </c>
      <c r="M429" s="201" t="str">
        <f aca="false">IF(A430="","",L429)</f>
        <v/>
      </c>
      <c r="O429" s="200" t="str">
        <f aca="false">IF(A430="","",L429+J429+G429)</f>
        <v/>
      </c>
      <c r="P429" s="200" t="str">
        <f aca="false">IF(A430="","",M429+K429+H429)</f>
        <v/>
      </c>
      <c r="R429" s="200" t="str">
        <f aca="false">IF($A430="","",VLOOKUP($A429,Table,MATCH(R$4,Curves,0)))</f>
        <v/>
      </c>
      <c r="S429" s="201" t="str">
        <f aca="false">IF(A430="","",R429)</f>
        <v/>
      </c>
      <c r="T429" s="200" t="str">
        <f aca="false">IF($A430="","",VLOOKUP($A429,Table,MATCH(T$4,Curves,0)))</f>
        <v/>
      </c>
      <c r="U429" s="201" t="str">
        <f aca="false">IF(A430="","",T429)</f>
        <v/>
      </c>
      <c r="V429" s="183" t="str">
        <f aca="false">IF($A430="","",IF(AND(MONTH(A429)&gt;3,MONTH(A429)&lt;11),(T429+R429+G429)*(((1/(1-Summary!$T$14))/(1-Summary!$W$14))-1),(T429+R429+G429)*((1/(1-Summary!$U$14))/(1-Summary!$X$14)-1)))</f>
        <v/>
      </c>
      <c r="W429" s="202" t="str">
        <f aca="false">IF($A430="","",(T429+R429+G429+V429))</f>
        <v/>
      </c>
      <c r="X429" s="202" t="str">
        <f aca="false">IF($A430="","",(U429+S429+H429+V429))</f>
        <v/>
      </c>
      <c r="Y429" s="202"/>
      <c r="Z429" s="185"/>
      <c r="AJ429" s="77"/>
      <c r="AK429" s="77"/>
      <c r="AL429" s="77"/>
      <c r="AM429" s="77"/>
      <c r="AN429" s="77"/>
      <c r="AO429" s="137" t="str">
        <f aca="false">IF(A430="","",A430-A429)</f>
        <v/>
      </c>
      <c r="AP429" s="212" t="str">
        <f aca="false">IF(A430="","",CHOOSE(F$3,A430+24,A429))</f>
        <v/>
      </c>
      <c r="AQ429" s="209" t="str">
        <f aca="false">IF(A430="","",AP429-$E$1)</f>
        <v/>
      </c>
      <c r="AR429" s="185" t="n">
        <f aca="false">'ANR OK vs ML7'!AR429</f>
        <v>0.1</v>
      </c>
      <c r="AS429" s="213" t="str">
        <f aca="false">IF(A430="","",1/(1+CHOOSE(F$3,(AR430+($I$3/10000))/2,(AR429+($I$3/10000))/2))^(2*AQ429/365.25))</f>
        <v/>
      </c>
      <c r="AT429" s="137" t="str">
        <f aca="false">IF(A430="","",IF(AND(mthbeg&lt;=A429,mthend&gt;=A429),1,0))</f>
        <v/>
      </c>
      <c r="AU429" s="137" t="str">
        <f aca="false">IF(A430="","",AO429*AT429)</f>
        <v/>
      </c>
      <c r="AW429" s="195" t="str">
        <f aca="false">IF($A430="","",AL429*$E429)</f>
        <v/>
      </c>
      <c r="AX429" s="195" t="str">
        <f aca="false">IF($A430="","",AM429*$E429)</f>
        <v/>
      </c>
      <c r="AY429" s="195" t="str">
        <f aca="false">IF($A430="","",AN429*$E429)</f>
        <v/>
      </c>
      <c r="BA429" s="195" t="str">
        <f aca="false">IF($A430="","",F429*Summary!$Q$14)</f>
        <v/>
      </c>
    </row>
    <row r="430" customFormat="false" ht="12.75" hidden="false" customHeight="false" outlineLevel="0" collapsed="false">
      <c r="A430" s="196" t="str">
        <f aca="false">IF(A429&lt;mthend,EDATE(A429,1),"")</f>
        <v/>
      </c>
      <c r="B430" s="197" t="str">
        <f aca="false">IF(A430&lt;mthend,B429,"")</f>
        <v/>
      </c>
      <c r="D430" s="197" t="str">
        <f aca="false">IF(A431&lt;&gt;"",B430+C430,"")</f>
        <v/>
      </c>
      <c r="E430" s="199" t="str">
        <f aca="false">IF(A431="","",IF(AND(AT430=1,$H$3=1),D430*AO430,IF($H$3=2,D430,"N/A")))</f>
        <v/>
      </c>
      <c r="F430" s="199" t="str">
        <f aca="false">IF(A431="","",E430*AS430)</f>
        <v/>
      </c>
      <c r="G430" s="200" t="str">
        <f aca="false">IF($A431="","",VLOOKUP($A430,Table,MATCH(G$4,Curves,0)))</f>
        <v/>
      </c>
      <c r="H430" s="201" t="str">
        <f aca="false">IF(A431="","",G430)</f>
        <v/>
      </c>
      <c r="J430" s="200" t="str">
        <f aca="false">IF($A431="","",VLOOKUP($A430,Table,MATCH(J$4,Curves,0)))</f>
        <v/>
      </c>
      <c r="K430" s="201" t="str">
        <f aca="false">IF(A431="","",J430)</f>
        <v/>
      </c>
      <c r="L430" s="185" t="n">
        <v>0</v>
      </c>
      <c r="M430" s="201" t="str">
        <f aca="false">IF(A431="","",L430)</f>
        <v/>
      </c>
      <c r="O430" s="200" t="str">
        <f aca="false">IF(A431="","",L430+J430+G430)</f>
        <v/>
      </c>
      <c r="P430" s="200" t="str">
        <f aca="false">IF(A431="","",M430+K430+H430)</f>
        <v/>
      </c>
      <c r="R430" s="200" t="str">
        <f aca="false">IF($A431="","",VLOOKUP($A430,Table,MATCH(R$4,Curves,0)))</f>
        <v/>
      </c>
      <c r="S430" s="201" t="str">
        <f aca="false">IF(A431="","",R430)</f>
        <v/>
      </c>
      <c r="T430" s="200" t="str">
        <f aca="false">IF($A431="","",VLOOKUP($A430,Table,MATCH(T$4,Curves,0)))</f>
        <v/>
      </c>
      <c r="U430" s="201" t="str">
        <f aca="false">IF(A431="","",T430)</f>
        <v/>
      </c>
      <c r="V430" s="183" t="str">
        <f aca="false">IF($A431="","",IF(AND(MONTH(A430)&gt;3,MONTH(A430)&lt;11),(T430+R430+G430)*(((1/(1-Summary!$T$14))/(1-Summary!$W$14))-1),(T430+R430+G430)*((1/(1-Summary!$U$14))/(1-Summary!$X$14)-1)))</f>
        <v/>
      </c>
      <c r="W430" s="202" t="str">
        <f aca="false">IF($A431="","",(T430+R430+G430+V430))</f>
        <v/>
      </c>
      <c r="X430" s="202" t="str">
        <f aca="false">IF($A431="","",(U430+S430+H430+V430))</f>
        <v/>
      </c>
      <c r="Y430" s="202"/>
      <c r="Z430" s="185"/>
      <c r="AJ430" s="77"/>
      <c r="AK430" s="77"/>
      <c r="AL430" s="77"/>
      <c r="AM430" s="77"/>
      <c r="AN430" s="77"/>
      <c r="AO430" s="137" t="str">
        <f aca="false">IF(A431="","",A431-A430)</f>
        <v/>
      </c>
      <c r="AP430" s="212" t="str">
        <f aca="false">IF(A431="","",CHOOSE(F$3,A431+24,A430))</f>
        <v/>
      </c>
      <c r="AQ430" s="209" t="str">
        <f aca="false">IF(A431="","",AP430-$E$1)</f>
        <v/>
      </c>
      <c r="AR430" s="185" t="n">
        <f aca="false">'ANR OK vs ML7'!AR430</f>
        <v>0.1</v>
      </c>
      <c r="AS430" s="213" t="str">
        <f aca="false">IF(A431="","",1/(1+CHOOSE(F$3,(AR431+($I$3/10000))/2,(AR430+($I$3/10000))/2))^(2*AQ430/365.25))</f>
        <v/>
      </c>
      <c r="AT430" s="137" t="str">
        <f aca="false">IF(A431="","",IF(AND(mthbeg&lt;=A430,mthend&gt;=A430),1,0))</f>
        <v/>
      </c>
      <c r="AU430" s="137" t="str">
        <f aca="false">IF(A431="","",AO430*AT430)</f>
        <v/>
      </c>
      <c r="AW430" s="195" t="str">
        <f aca="false">IF($A431="","",AL430*$E430)</f>
        <v/>
      </c>
      <c r="AX430" s="195" t="str">
        <f aca="false">IF($A431="","",AM430*$E430)</f>
        <v/>
      </c>
      <c r="AY430" s="195" t="str">
        <f aca="false">IF($A431="","",AN430*$E430)</f>
        <v/>
      </c>
      <c r="BA430" s="195" t="str">
        <f aca="false">IF($A431="","",F430*Summary!$Q$14)</f>
        <v/>
      </c>
    </row>
    <row r="431" customFormat="false" ht="12.75" hidden="false" customHeight="false" outlineLevel="0" collapsed="false">
      <c r="A431" s="196" t="str">
        <f aca="false">IF(A430&lt;mthend,EDATE(A430,1),"")</f>
        <v/>
      </c>
      <c r="B431" s="197" t="str">
        <f aca="false">IF(A431&lt;mthend,B430,"")</f>
        <v/>
      </c>
      <c r="D431" s="197" t="str">
        <f aca="false">IF(A432&lt;&gt;"",B431+C431,"")</f>
        <v/>
      </c>
      <c r="E431" s="199" t="str">
        <f aca="false">IF(A432="","",IF(AND(AT431=1,$H$3=1),D431*AO431,IF($H$3=2,D431,"N/A")))</f>
        <v/>
      </c>
      <c r="F431" s="199" t="str">
        <f aca="false">IF(A432="","",E431*AS431)</f>
        <v/>
      </c>
      <c r="G431" s="200" t="str">
        <f aca="false">IF($A432="","",VLOOKUP($A431,Table,MATCH(G$4,Curves,0)))</f>
        <v/>
      </c>
      <c r="H431" s="201" t="str">
        <f aca="false">IF(A432="","",G431)</f>
        <v/>
      </c>
      <c r="J431" s="200" t="str">
        <f aca="false">IF($A432="","",VLOOKUP($A431,Table,MATCH(J$4,Curves,0)))</f>
        <v/>
      </c>
      <c r="K431" s="201" t="str">
        <f aca="false">IF(A432="","",J431)</f>
        <v/>
      </c>
      <c r="L431" s="185" t="n">
        <v>0</v>
      </c>
      <c r="M431" s="201" t="str">
        <f aca="false">IF(A432="","",L431)</f>
        <v/>
      </c>
      <c r="O431" s="200" t="str">
        <f aca="false">IF(A432="","",L431+J431+G431)</f>
        <v/>
      </c>
      <c r="P431" s="200" t="str">
        <f aca="false">IF(A432="","",M431+K431+H431)</f>
        <v/>
      </c>
      <c r="R431" s="200" t="str">
        <f aca="false">IF($A432="","",VLOOKUP($A431,Table,MATCH(R$4,Curves,0)))</f>
        <v/>
      </c>
      <c r="S431" s="201" t="str">
        <f aca="false">IF(A432="","",R431)</f>
        <v/>
      </c>
      <c r="T431" s="200" t="str">
        <f aca="false">IF($A432="","",VLOOKUP($A431,Table,MATCH(T$4,Curves,0)))</f>
        <v/>
      </c>
      <c r="U431" s="201" t="str">
        <f aca="false">IF(A432="","",T431)</f>
        <v/>
      </c>
      <c r="V431" s="183" t="str">
        <f aca="false">IF($A432="","",IF(AND(MONTH(A431)&gt;3,MONTH(A431)&lt;11),(T431+R431+G431)*(((1/(1-Summary!$T$14))/(1-Summary!$W$14))-1),(T431+R431+G431)*((1/(1-Summary!$U$14))/(1-Summary!$X$14)-1)))</f>
        <v/>
      </c>
      <c r="W431" s="202" t="str">
        <f aca="false">IF($A432="","",(T431+R431+G431+V431))</f>
        <v/>
      </c>
      <c r="X431" s="202" t="str">
        <f aca="false">IF($A432="","",(U431+S431+H431+V431))</f>
        <v/>
      </c>
      <c r="Y431" s="202"/>
      <c r="Z431" s="185"/>
      <c r="AJ431" s="77"/>
      <c r="AK431" s="77"/>
      <c r="AL431" s="77"/>
      <c r="AM431" s="77"/>
      <c r="AN431" s="77"/>
      <c r="AO431" s="137" t="str">
        <f aca="false">IF(A432="","",A432-A431)</f>
        <v/>
      </c>
      <c r="AP431" s="212" t="str">
        <f aca="false">IF(A432="","",CHOOSE(F$3,A432+24,A431))</f>
        <v/>
      </c>
      <c r="AQ431" s="209" t="str">
        <f aca="false">IF(A432="","",AP431-$E$1)</f>
        <v/>
      </c>
      <c r="AR431" s="185" t="n">
        <f aca="false">'ANR OK vs ML7'!AR431</f>
        <v>0.1</v>
      </c>
      <c r="AS431" s="213" t="str">
        <f aca="false">IF(A432="","",1/(1+CHOOSE(F$3,(AR432+($I$3/10000))/2,(AR431+($I$3/10000))/2))^(2*AQ431/365.25))</f>
        <v/>
      </c>
      <c r="AT431" s="137" t="str">
        <f aca="false">IF(A432="","",IF(AND(mthbeg&lt;=A431,mthend&gt;=A431),1,0))</f>
        <v/>
      </c>
      <c r="AU431" s="137" t="str">
        <f aca="false">IF(A432="","",AO431*AT431)</f>
        <v/>
      </c>
      <c r="AW431" s="195" t="str">
        <f aca="false">IF($A432="","",AL431*$E431)</f>
        <v/>
      </c>
      <c r="AX431" s="195" t="str">
        <f aca="false">IF($A432="","",AM431*$E431)</f>
        <v/>
      </c>
      <c r="AY431" s="195" t="str">
        <f aca="false">IF($A432="","",AN431*$E431)</f>
        <v/>
      </c>
      <c r="BA431" s="195" t="str">
        <f aca="false">IF($A432="","",F431*Summary!$Q$14)</f>
        <v/>
      </c>
    </row>
    <row r="432" customFormat="false" ht="12.75" hidden="false" customHeight="false" outlineLevel="0" collapsed="false">
      <c r="A432" s="196" t="str">
        <f aca="false">IF(A431&lt;mthend,EDATE(A431,1),"")</f>
        <v/>
      </c>
      <c r="B432" s="197" t="str">
        <f aca="false">IF(A432&lt;mthend,B431,"")</f>
        <v/>
      </c>
      <c r="D432" s="197" t="str">
        <f aca="false">IF(A433&lt;&gt;"",B432+C432,"")</f>
        <v/>
      </c>
      <c r="E432" s="199" t="str">
        <f aca="false">IF(A433="","",IF(AND(AT432=1,$H$3=1),D432*AO432,IF($H$3=2,D432,"N/A")))</f>
        <v/>
      </c>
      <c r="F432" s="199" t="str">
        <f aca="false">IF(A433="","",E432*AS432)</f>
        <v/>
      </c>
      <c r="G432" s="200" t="str">
        <f aca="false">IF($A433="","",VLOOKUP($A432,Table,MATCH(G$4,Curves,0)))</f>
        <v/>
      </c>
      <c r="H432" s="201" t="str">
        <f aca="false">IF(A433="","",G432)</f>
        <v/>
      </c>
      <c r="J432" s="200" t="str">
        <f aca="false">IF($A433="","",VLOOKUP($A432,Table,MATCH(J$4,Curves,0)))</f>
        <v/>
      </c>
      <c r="K432" s="201" t="str">
        <f aca="false">IF(A433="","",J432)</f>
        <v/>
      </c>
      <c r="L432" s="185" t="n">
        <v>0</v>
      </c>
      <c r="M432" s="201" t="str">
        <f aca="false">IF(A433="","",L432)</f>
        <v/>
      </c>
      <c r="O432" s="200" t="str">
        <f aca="false">IF(A433="","",L432+J432+G432)</f>
        <v/>
      </c>
      <c r="P432" s="200" t="str">
        <f aca="false">IF(A433="","",M432+K432+H432)</f>
        <v/>
      </c>
      <c r="R432" s="200" t="str">
        <f aca="false">IF($A433="","",VLOOKUP($A432,Table,MATCH(R$4,Curves,0)))</f>
        <v/>
      </c>
      <c r="S432" s="201" t="str">
        <f aca="false">IF(A433="","",R432)</f>
        <v/>
      </c>
      <c r="T432" s="200" t="str">
        <f aca="false">IF($A433="","",VLOOKUP($A432,Table,MATCH(T$4,Curves,0)))</f>
        <v/>
      </c>
      <c r="U432" s="201" t="str">
        <f aca="false">IF(A433="","",T432)</f>
        <v/>
      </c>
      <c r="V432" s="183" t="str">
        <f aca="false">IF($A433="","",IF(AND(MONTH(A432)&gt;3,MONTH(A432)&lt;11),(T432+R432+G432)*(((1/(1-Summary!$T$14))/(1-Summary!$W$14))-1),(T432+R432+G432)*((1/(1-Summary!$U$14))/(1-Summary!$X$14)-1)))</f>
        <v/>
      </c>
      <c r="W432" s="202" t="str">
        <f aca="false">IF($A433="","",(T432+R432+G432+V432))</f>
        <v/>
      </c>
      <c r="X432" s="202" t="str">
        <f aca="false">IF($A433="","",(U432+S432+H432+V432))</f>
        <v/>
      </c>
      <c r="Y432" s="202"/>
      <c r="Z432" s="185"/>
      <c r="AJ432" s="77"/>
      <c r="AK432" s="77"/>
      <c r="AL432" s="77"/>
      <c r="AM432" s="77"/>
      <c r="AN432" s="77"/>
      <c r="AO432" s="137" t="str">
        <f aca="false">IF(A433="","",A433-A432)</f>
        <v/>
      </c>
      <c r="AP432" s="212" t="str">
        <f aca="false">IF(A433="","",CHOOSE(F$3,A433+24,A432))</f>
        <v/>
      </c>
      <c r="AQ432" s="209" t="str">
        <f aca="false">IF(A433="","",AP432-$E$1)</f>
        <v/>
      </c>
      <c r="AR432" s="185" t="n">
        <f aca="false">'ANR OK vs ML7'!AR432</f>
        <v>0.1</v>
      </c>
      <c r="AS432" s="213" t="str">
        <f aca="false">IF(A433="","",1/(1+CHOOSE(F$3,(AR433+($I$3/10000))/2,(AR432+($I$3/10000))/2))^(2*AQ432/365.25))</f>
        <v/>
      </c>
      <c r="AT432" s="137" t="str">
        <f aca="false">IF(A433="","",IF(AND(mthbeg&lt;=A432,mthend&gt;=A432),1,0))</f>
        <v/>
      </c>
      <c r="AU432" s="137" t="str">
        <f aca="false">IF(A433="","",AO432*AT432)</f>
        <v/>
      </c>
      <c r="AW432" s="195" t="str">
        <f aca="false">IF($A433="","",AL432*$E432)</f>
        <v/>
      </c>
      <c r="AX432" s="195" t="str">
        <f aca="false">IF($A433="","",AM432*$E432)</f>
        <v/>
      </c>
      <c r="AY432" s="195" t="str">
        <f aca="false">IF($A433="","",AN432*$E432)</f>
        <v/>
      </c>
      <c r="BA432" s="195" t="str">
        <f aca="false">IF($A433="","",F432*Summary!$Q$14)</f>
        <v/>
      </c>
    </row>
    <row r="433" customFormat="false" ht="12.75" hidden="false" customHeight="false" outlineLevel="0" collapsed="false">
      <c r="A433" s="196" t="str">
        <f aca="false">IF(A432&lt;mthend,EDATE(A432,1),"")</f>
        <v/>
      </c>
      <c r="B433" s="197" t="str">
        <f aca="false">IF(A433&lt;mthend,B432,"")</f>
        <v/>
      </c>
      <c r="D433" s="197" t="str">
        <f aca="false">IF(A434&lt;&gt;"",B433+C433,"")</f>
        <v/>
      </c>
      <c r="E433" s="199" t="str">
        <f aca="false">IF(A434="","",IF(AND(AT433=1,$H$3=1),D433*AO433,IF($H$3=2,D433,"N/A")))</f>
        <v/>
      </c>
      <c r="F433" s="199" t="str">
        <f aca="false">IF(A434="","",E433*AS433)</f>
        <v/>
      </c>
      <c r="G433" s="200" t="str">
        <f aca="false">IF($A434="","",VLOOKUP($A433,Table,MATCH(G$4,Curves,0)))</f>
        <v/>
      </c>
      <c r="H433" s="201" t="str">
        <f aca="false">IF(A434="","",G433)</f>
        <v/>
      </c>
      <c r="J433" s="200" t="str">
        <f aca="false">IF($A434="","",VLOOKUP($A433,Table,MATCH(J$4,Curves,0)))</f>
        <v/>
      </c>
      <c r="K433" s="201" t="str">
        <f aca="false">IF(A434="","",J433)</f>
        <v/>
      </c>
      <c r="L433" s="185" t="n">
        <v>0</v>
      </c>
      <c r="M433" s="201" t="str">
        <f aca="false">IF(A434="","",L433)</f>
        <v/>
      </c>
      <c r="O433" s="200" t="str">
        <f aca="false">IF(A434="","",L433+J433+G433)</f>
        <v/>
      </c>
      <c r="P433" s="200" t="str">
        <f aca="false">IF(A434="","",M433+K433+H433)</f>
        <v/>
      </c>
      <c r="R433" s="200" t="str">
        <f aca="false">IF($A434="","",VLOOKUP($A433,Table,MATCH(R$4,Curves,0)))</f>
        <v/>
      </c>
      <c r="S433" s="201" t="str">
        <f aca="false">IF(A434="","",R433)</f>
        <v/>
      </c>
      <c r="T433" s="200" t="str">
        <f aca="false">IF($A434="","",VLOOKUP($A433,Table,MATCH(T$4,Curves,0)))</f>
        <v/>
      </c>
      <c r="U433" s="201" t="str">
        <f aca="false">IF(A434="","",T433)</f>
        <v/>
      </c>
      <c r="V433" s="183" t="str">
        <f aca="false">IF($A434="","",IF(AND(MONTH(A433)&gt;3,MONTH(A433)&lt;11),(T433+R433+G433)*(((1/(1-Summary!$T$14))/(1-Summary!$W$14))-1),(T433+R433+G433)*((1/(1-Summary!$U$14))/(1-Summary!$X$14)-1)))</f>
        <v/>
      </c>
      <c r="W433" s="202" t="str">
        <f aca="false">IF($A434="","",(T433+R433+G433+V433))</f>
        <v/>
      </c>
      <c r="X433" s="202" t="str">
        <f aca="false">IF($A434="","",(U433+S433+H433+V433))</f>
        <v/>
      </c>
      <c r="Y433" s="202"/>
      <c r="Z433" s="185"/>
      <c r="AJ433" s="77"/>
      <c r="AK433" s="77"/>
      <c r="AL433" s="77"/>
      <c r="AM433" s="77"/>
      <c r="AN433" s="77"/>
      <c r="AO433" s="137" t="str">
        <f aca="false">IF(A434="","",A434-A433)</f>
        <v/>
      </c>
      <c r="AP433" s="212" t="str">
        <f aca="false">IF(A434="","",CHOOSE(F$3,A434+24,A433))</f>
        <v/>
      </c>
      <c r="AQ433" s="209" t="str">
        <f aca="false">IF(A434="","",AP433-$E$1)</f>
        <v/>
      </c>
      <c r="AR433" s="185" t="n">
        <f aca="false">'ANR OK vs ML7'!AR433</f>
        <v>0.1</v>
      </c>
      <c r="AS433" s="213" t="str">
        <f aca="false">IF(A434="","",1/(1+CHOOSE(F$3,(AR434+($I$3/10000))/2,(AR433+($I$3/10000))/2))^(2*AQ433/365.25))</f>
        <v/>
      </c>
      <c r="AT433" s="137" t="str">
        <f aca="false">IF(A434="","",IF(AND(mthbeg&lt;=A433,mthend&gt;=A433),1,0))</f>
        <v/>
      </c>
      <c r="AU433" s="137" t="str">
        <f aca="false">IF(A434="","",AO433*AT433)</f>
        <v/>
      </c>
      <c r="AW433" s="195" t="str">
        <f aca="false">IF($A434="","",AL433*$E433)</f>
        <v/>
      </c>
      <c r="AX433" s="195" t="str">
        <f aca="false">IF($A434="","",AM433*$E433)</f>
        <v/>
      </c>
      <c r="AY433" s="195" t="str">
        <f aca="false">IF($A434="","",AN433*$E433)</f>
        <v/>
      </c>
      <c r="BA433" s="195" t="str">
        <f aca="false">IF($A434="","",F433*Summary!$Q$14)</f>
        <v/>
      </c>
    </row>
    <row r="434" customFormat="false" ht="12.75" hidden="false" customHeight="false" outlineLevel="0" collapsed="false">
      <c r="A434" s="196" t="str">
        <f aca="false">IF(A433&lt;mthend,EDATE(A433,1),"")</f>
        <v/>
      </c>
      <c r="B434" s="197" t="str">
        <f aca="false">IF(A434&lt;mthend,B433,"")</f>
        <v/>
      </c>
      <c r="D434" s="197" t="str">
        <f aca="false">IF(A435&lt;&gt;"",B434+C434,"")</f>
        <v/>
      </c>
      <c r="E434" s="199" t="str">
        <f aca="false">IF(A435="","",IF(AND(AT434=1,$H$3=1),D434*AO434,IF($H$3=2,D434,"N/A")))</f>
        <v/>
      </c>
      <c r="F434" s="199" t="str">
        <f aca="false">IF(A435="","",E434*AS434)</f>
        <v/>
      </c>
      <c r="G434" s="200" t="str">
        <f aca="false">IF($A435="","",VLOOKUP($A434,Table,MATCH(G$4,Curves,0)))</f>
        <v/>
      </c>
      <c r="H434" s="201" t="str">
        <f aca="false">IF(A435="","",G434)</f>
        <v/>
      </c>
      <c r="J434" s="200" t="str">
        <f aca="false">IF($A435="","",VLOOKUP($A434,Table,MATCH(J$4,Curves,0)))</f>
        <v/>
      </c>
      <c r="K434" s="201" t="str">
        <f aca="false">IF(A435="","",J434)</f>
        <v/>
      </c>
      <c r="L434" s="185" t="n">
        <v>0</v>
      </c>
      <c r="M434" s="201" t="str">
        <f aca="false">IF(A435="","",L434)</f>
        <v/>
      </c>
      <c r="O434" s="200" t="str">
        <f aca="false">IF(A435="","",L434+J434+G434)</f>
        <v/>
      </c>
      <c r="P434" s="200" t="str">
        <f aca="false">IF(A435="","",M434+K434+H434)</f>
        <v/>
      </c>
      <c r="R434" s="200" t="str">
        <f aca="false">IF($A435="","",VLOOKUP($A434,Table,MATCH(R$4,Curves,0)))</f>
        <v/>
      </c>
      <c r="S434" s="201" t="str">
        <f aca="false">IF(A435="","",R434)</f>
        <v/>
      </c>
      <c r="T434" s="200" t="str">
        <f aca="false">IF($A435="","",VLOOKUP($A434,Table,MATCH(T$4,Curves,0)))</f>
        <v/>
      </c>
      <c r="U434" s="201" t="str">
        <f aca="false">IF(A435="","",T434)</f>
        <v/>
      </c>
      <c r="V434" s="183" t="str">
        <f aca="false">IF($A435="","",IF(AND(MONTH(A434)&gt;3,MONTH(A434)&lt;11),(T434+R434+G434)*(((1/(1-Summary!$T$14))/(1-Summary!$W$14))-1),(T434+R434+G434)*((1/(1-Summary!$U$14))/(1-Summary!$X$14)-1)))</f>
        <v/>
      </c>
      <c r="W434" s="202" t="str">
        <f aca="false">IF($A435="","",(T434+R434+G434+V434))</f>
        <v/>
      </c>
      <c r="X434" s="202" t="str">
        <f aca="false">IF($A435="","",(U434+S434+H434+V434))</f>
        <v/>
      </c>
      <c r="Y434" s="202"/>
      <c r="Z434" s="185"/>
      <c r="AJ434" s="77"/>
      <c r="AK434" s="77"/>
      <c r="AL434" s="77"/>
      <c r="AM434" s="77"/>
      <c r="AN434" s="77"/>
      <c r="AO434" s="137" t="str">
        <f aca="false">IF(A435="","",A435-A434)</f>
        <v/>
      </c>
      <c r="AP434" s="212" t="str">
        <f aca="false">IF(A435="","",CHOOSE(F$3,A435+24,A434))</f>
        <v/>
      </c>
      <c r="AQ434" s="209" t="str">
        <f aca="false">IF(A435="","",AP434-$E$1)</f>
        <v/>
      </c>
      <c r="AR434" s="185" t="n">
        <f aca="false">'ANR OK vs ML7'!AR434</f>
        <v>0.1</v>
      </c>
      <c r="AS434" s="213" t="str">
        <f aca="false">IF(A435="","",1/(1+CHOOSE(F$3,(AR435+($I$3/10000))/2,(AR434+($I$3/10000))/2))^(2*AQ434/365.25))</f>
        <v/>
      </c>
      <c r="AT434" s="137" t="str">
        <f aca="false">IF(A435="","",IF(AND(mthbeg&lt;=A434,mthend&gt;=A434),1,0))</f>
        <v/>
      </c>
      <c r="AU434" s="137" t="str">
        <f aca="false">IF(A435="","",AO434*AT434)</f>
        <v/>
      </c>
      <c r="AW434" s="195" t="str">
        <f aca="false">IF($A435="","",AL434*$E434)</f>
        <v/>
      </c>
      <c r="AX434" s="195" t="str">
        <f aca="false">IF($A435="","",AM434*$E434)</f>
        <v/>
      </c>
      <c r="AY434" s="195" t="str">
        <f aca="false">IF($A435="","",AN434*$E434)</f>
        <v/>
      </c>
      <c r="BA434" s="195" t="str">
        <f aca="false">IF($A435="","",F434*Summary!$Q$14)</f>
        <v/>
      </c>
    </row>
    <row r="435" customFormat="false" ht="12.75" hidden="false" customHeight="false" outlineLevel="0" collapsed="false">
      <c r="A435" s="196" t="str">
        <f aca="false">IF(A434&lt;mthend,EDATE(A434,1),"")</f>
        <v/>
      </c>
      <c r="B435" s="197" t="str">
        <f aca="false">IF(A435&lt;mthend,B434,"")</f>
        <v/>
      </c>
      <c r="D435" s="197" t="str">
        <f aca="false">IF(A436&lt;&gt;"",B435+C435,"")</f>
        <v/>
      </c>
      <c r="E435" s="199" t="str">
        <f aca="false">IF(A436="","",IF(AND(AT435=1,$H$3=1),D435*AO435,IF($H$3=2,D435,"N/A")))</f>
        <v/>
      </c>
      <c r="F435" s="199" t="str">
        <f aca="false">IF(A436="","",E435*AS435)</f>
        <v/>
      </c>
      <c r="G435" s="200" t="str">
        <f aca="false">IF($A436="","",VLOOKUP($A435,Table,MATCH(G$4,Curves,0)))</f>
        <v/>
      </c>
      <c r="H435" s="201" t="str">
        <f aca="false">IF(A436="","",G435)</f>
        <v/>
      </c>
      <c r="J435" s="200" t="str">
        <f aca="false">IF($A436="","",VLOOKUP($A435,Table,MATCH(J$4,Curves,0)))</f>
        <v/>
      </c>
      <c r="K435" s="201" t="str">
        <f aca="false">IF(A436="","",J435)</f>
        <v/>
      </c>
      <c r="L435" s="185" t="n">
        <v>0</v>
      </c>
      <c r="M435" s="201" t="str">
        <f aca="false">IF(A436="","",L435)</f>
        <v/>
      </c>
      <c r="O435" s="200" t="str">
        <f aca="false">IF(A436="","",L435+J435+G435)</f>
        <v/>
      </c>
      <c r="P435" s="200" t="str">
        <f aca="false">IF(A436="","",M435+K435+H435)</f>
        <v/>
      </c>
      <c r="R435" s="200" t="str">
        <f aca="false">IF($A436="","",VLOOKUP($A435,Table,MATCH(R$4,Curves,0)))</f>
        <v/>
      </c>
      <c r="S435" s="201" t="str">
        <f aca="false">IF(A436="","",R435)</f>
        <v/>
      </c>
      <c r="T435" s="200" t="str">
        <f aca="false">IF($A436="","",VLOOKUP($A435,Table,MATCH(T$4,Curves,0)))</f>
        <v/>
      </c>
      <c r="U435" s="201" t="str">
        <f aca="false">IF(A436="","",T435)</f>
        <v/>
      </c>
      <c r="V435" s="183" t="str">
        <f aca="false">IF($A436="","",IF(AND(MONTH(A435)&gt;3,MONTH(A435)&lt;11),(T435+R435+G435)*(((1/(1-Summary!$T$14))/(1-Summary!$W$14))-1),(T435+R435+G435)*((1/(1-Summary!$U$14))/(1-Summary!$X$14)-1)))</f>
        <v/>
      </c>
      <c r="W435" s="202" t="str">
        <f aca="false">IF($A436="","",(T435+R435+G435+V435))</f>
        <v/>
      </c>
      <c r="X435" s="202" t="str">
        <f aca="false">IF($A436="","",(U435+S435+H435+V435))</f>
        <v/>
      </c>
      <c r="Y435" s="202"/>
      <c r="Z435" s="185"/>
      <c r="AJ435" s="77"/>
      <c r="AK435" s="77"/>
      <c r="AL435" s="77"/>
      <c r="AM435" s="77"/>
      <c r="AN435" s="77"/>
      <c r="AO435" s="137" t="str">
        <f aca="false">IF(A436="","",A436-A435)</f>
        <v/>
      </c>
      <c r="AP435" s="212" t="str">
        <f aca="false">IF(A436="","",CHOOSE(F$3,A436+24,A435))</f>
        <v/>
      </c>
      <c r="AQ435" s="209" t="str">
        <f aca="false">IF(A436="","",AP435-$E$1)</f>
        <v/>
      </c>
      <c r="AR435" s="185" t="n">
        <f aca="false">'ANR OK vs ML7'!AR435</f>
        <v>0.1</v>
      </c>
      <c r="AS435" s="213" t="str">
        <f aca="false">IF(A436="","",1/(1+CHOOSE(F$3,(AR436+($I$3/10000))/2,(AR435+($I$3/10000))/2))^(2*AQ435/365.25))</f>
        <v/>
      </c>
      <c r="AT435" s="137" t="str">
        <f aca="false">IF(A436="","",IF(AND(mthbeg&lt;=A435,mthend&gt;=A435),1,0))</f>
        <v/>
      </c>
      <c r="AU435" s="137" t="str">
        <f aca="false">IF(A436="","",AO435*AT435)</f>
        <v/>
      </c>
      <c r="AW435" s="195" t="str">
        <f aca="false">IF($A436="","",AL435*$E435)</f>
        <v/>
      </c>
      <c r="AX435" s="195" t="str">
        <f aca="false">IF($A436="","",AM435*$E435)</f>
        <v/>
      </c>
      <c r="AY435" s="195" t="str">
        <f aca="false">IF($A436="","",AN435*$E435)</f>
        <v/>
      </c>
      <c r="BA435" s="195" t="str">
        <f aca="false">IF($A436="","",F435*Summary!$Q$14)</f>
        <v/>
      </c>
    </row>
    <row r="436" customFormat="false" ht="12.75" hidden="false" customHeight="false" outlineLevel="0" collapsed="false">
      <c r="A436" s="196" t="str">
        <f aca="false">IF(A435&lt;mthend,EDATE(A435,1),"")</f>
        <v/>
      </c>
      <c r="B436" s="197" t="str">
        <f aca="false">IF(A436&lt;mthend,B435,"")</f>
        <v/>
      </c>
      <c r="D436" s="197" t="str">
        <f aca="false">IF(A437&lt;&gt;"",B436+C436,"")</f>
        <v/>
      </c>
      <c r="E436" s="199" t="str">
        <f aca="false">IF(A437="","",IF(AND(AT436=1,$H$3=1),D436*AO436,IF($H$3=2,D436,"N/A")))</f>
        <v/>
      </c>
      <c r="F436" s="199" t="str">
        <f aca="false">IF(A437="","",E436*AS436)</f>
        <v/>
      </c>
      <c r="G436" s="200" t="str">
        <f aca="false">IF($A437="","",VLOOKUP($A436,Table,MATCH(G$4,Curves,0)))</f>
        <v/>
      </c>
      <c r="H436" s="201" t="str">
        <f aca="false">IF(A437="","",G436)</f>
        <v/>
      </c>
      <c r="J436" s="200" t="str">
        <f aca="false">IF($A437="","",VLOOKUP($A436,Table,MATCH(J$4,Curves,0)))</f>
        <v/>
      </c>
      <c r="K436" s="201" t="str">
        <f aca="false">IF(A437="","",J436)</f>
        <v/>
      </c>
      <c r="L436" s="185" t="n">
        <v>0</v>
      </c>
      <c r="M436" s="201" t="str">
        <f aca="false">IF(A437="","",L436)</f>
        <v/>
      </c>
      <c r="O436" s="200" t="str">
        <f aca="false">IF(A437="","",L436+J436+G436)</f>
        <v/>
      </c>
      <c r="P436" s="200" t="str">
        <f aca="false">IF(A437="","",M436+K436+H436)</f>
        <v/>
      </c>
      <c r="R436" s="200" t="str">
        <f aca="false">IF($A437="","",VLOOKUP($A436,Table,MATCH(R$4,Curves,0)))</f>
        <v/>
      </c>
      <c r="S436" s="201" t="str">
        <f aca="false">IF(A437="","",R436)</f>
        <v/>
      </c>
      <c r="T436" s="200" t="str">
        <f aca="false">IF($A437="","",VLOOKUP($A436,Table,MATCH(T$4,Curves,0)))</f>
        <v/>
      </c>
      <c r="U436" s="201" t="str">
        <f aca="false">IF(A437="","",T436)</f>
        <v/>
      </c>
      <c r="V436" s="183" t="str">
        <f aca="false">IF($A437="","",IF(AND(MONTH(A436)&gt;3,MONTH(A436)&lt;11),(T436+R436+G436)*(((1/(1-Summary!$T$14))/(1-Summary!$W$14))-1),(T436+R436+G436)*((1/(1-Summary!$U$14))/(1-Summary!$X$14)-1)))</f>
        <v/>
      </c>
      <c r="W436" s="202" t="str">
        <f aca="false">IF($A437="","",(T436+R436+G436+V436))</f>
        <v/>
      </c>
      <c r="X436" s="202" t="str">
        <f aca="false">IF($A437="","",(U436+S436+H436+V436))</f>
        <v/>
      </c>
      <c r="Y436" s="202"/>
      <c r="Z436" s="185"/>
      <c r="AJ436" s="77"/>
      <c r="AK436" s="77"/>
      <c r="AL436" s="77"/>
      <c r="AM436" s="77"/>
      <c r="AN436" s="77"/>
      <c r="AO436" s="137" t="str">
        <f aca="false">IF(A437="","",A437-A436)</f>
        <v/>
      </c>
      <c r="AP436" s="212" t="str">
        <f aca="false">IF(A437="","",CHOOSE(F$3,A437+24,A436))</f>
        <v/>
      </c>
      <c r="AQ436" s="209" t="str">
        <f aca="false">IF(A437="","",AP436-$E$1)</f>
        <v/>
      </c>
      <c r="AR436" s="185" t="n">
        <f aca="false">'ANR OK vs ML7'!AR436</f>
        <v>0.1</v>
      </c>
      <c r="AS436" s="213" t="str">
        <f aca="false">IF(A437="","",1/(1+CHOOSE(F$3,(AR437+($I$3/10000))/2,(AR436+($I$3/10000))/2))^(2*AQ436/365.25))</f>
        <v/>
      </c>
      <c r="AT436" s="137" t="str">
        <f aca="false">IF(A437="","",IF(AND(mthbeg&lt;=A436,mthend&gt;=A436),1,0))</f>
        <v/>
      </c>
      <c r="AU436" s="137" t="str">
        <f aca="false">IF(A437="","",AO436*AT436)</f>
        <v/>
      </c>
      <c r="AW436" s="195" t="str">
        <f aca="false">IF($A437="","",AL436*$E436)</f>
        <v/>
      </c>
      <c r="AX436" s="195" t="str">
        <f aca="false">IF($A437="","",AM436*$E436)</f>
        <v/>
      </c>
      <c r="AY436" s="195" t="str">
        <f aca="false">IF($A437="","",AN436*$E436)</f>
        <v/>
      </c>
      <c r="BA436" s="195" t="str">
        <f aca="false">IF($A437="","",F436*Summary!$Q$14)</f>
        <v/>
      </c>
    </row>
    <row r="437" customFormat="false" ht="12.75" hidden="false" customHeight="false" outlineLevel="0" collapsed="false">
      <c r="A437" s="196" t="str">
        <f aca="false">IF(A436&lt;mthend,EDATE(A436,1),"")</f>
        <v/>
      </c>
      <c r="B437" s="197" t="str">
        <f aca="false">IF(A437&lt;mthend,B436,"")</f>
        <v/>
      </c>
      <c r="D437" s="197" t="str">
        <f aca="false">IF(A438&lt;&gt;"",B437+C437,"")</f>
        <v/>
      </c>
      <c r="E437" s="199" t="str">
        <f aca="false">IF(A438="","",IF(AND(AT437=1,$H$3=1),D437*AO437,IF($H$3=2,D437,"N/A")))</f>
        <v/>
      </c>
      <c r="F437" s="199" t="str">
        <f aca="false">IF(A438="","",E437*AS437)</f>
        <v/>
      </c>
      <c r="G437" s="200" t="str">
        <f aca="false">IF($A438="","",VLOOKUP($A437,Table,MATCH(G$4,Curves,0)))</f>
        <v/>
      </c>
      <c r="H437" s="201" t="str">
        <f aca="false">IF(A438="","",G437)</f>
        <v/>
      </c>
      <c r="J437" s="200" t="str">
        <f aca="false">IF($A438="","",VLOOKUP($A437,Table,MATCH(J$4,Curves,0)))</f>
        <v/>
      </c>
      <c r="K437" s="201" t="str">
        <f aca="false">IF(A438="","",J437)</f>
        <v/>
      </c>
      <c r="L437" s="185" t="n">
        <v>0</v>
      </c>
      <c r="M437" s="201" t="str">
        <f aca="false">IF(A438="","",L437)</f>
        <v/>
      </c>
      <c r="O437" s="200" t="str">
        <f aca="false">IF(A438="","",L437+J437+G437)</f>
        <v/>
      </c>
      <c r="P437" s="200" t="str">
        <f aca="false">IF(A438="","",M437+K437+H437)</f>
        <v/>
      </c>
      <c r="R437" s="200" t="str">
        <f aca="false">IF($A438="","",VLOOKUP($A437,Table,MATCH(R$4,Curves,0)))</f>
        <v/>
      </c>
      <c r="S437" s="201" t="str">
        <f aca="false">IF(A438="","",R437)</f>
        <v/>
      </c>
      <c r="T437" s="200" t="str">
        <f aca="false">IF($A438="","",VLOOKUP($A437,Table,MATCH(T$4,Curves,0)))</f>
        <v/>
      </c>
      <c r="U437" s="201" t="str">
        <f aca="false">IF(A438="","",T437)</f>
        <v/>
      </c>
      <c r="V437" s="183" t="str">
        <f aca="false">IF($A438="","",IF(AND(MONTH(A437)&gt;3,MONTH(A437)&lt;11),(T437+R437+G437)*(((1/(1-Summary!$T$14))/(1-Summary!$W$14))-1),(T437+R437+G437)*((1/(1-Summary!$U$14))/(1-Summary!$X$14)-1)))</f>
        <v/>
      </c>
      <c r="W437" s="202" t="str">
        <f aca="false">IF($A438="","",(T437+R437+G437+V437))</f>
        <v/>
      </c>
      <c r="X437" s="202" t="str">
        <f aca="false">IF($A438="","",(U437+S437+H437+V437))</f>
        <v/>
      </c>
      <c r="Y437" s="202"/>
      <c r="Z437" s="185"/>
      <c r="AJ437" s="77"/>
      <c r="AK437" s="77"/>
      <c r="AL437" s="77"/>
      <c r="AM437" s="77"/>
      <c r="AN437" s="77"/>
      <c r="AO437" s="137" t="str">
        <f aca="false">IF(A438="","",A438-A437)</f>
        <v/>
      </c>
      <c r="AP437" s="212" t="str">
        <f aca="false">IF(A438="","",CHOOSE(F$3,A438+24,A437))</f>
        <v/>
      </c>
      <c r="AQ437" s="209" t="str">
        <f aca="false">IF(A438="","",AP437-$E$1)</f>
        <v/>
      </c>
      <c r="AR437" s="185" t="n">
        <f aca="false">'ANR OK vs ML7'!AR437</f>
        <v>0.1</v>
      </c>
      <c r="AS437" s="213" t="str">
        <f aca="false">IF(A438="","",1/(1+CHOOSE(F$3,(AR438+($I$3/10000))/2,(AR437+($I$3/10000))/2))^(2*AQ437/365.25))</f>
        <v/>
      </c>
      <c r="AT437" s="137" t="str">
        <f aca="false">IF(A438="","",IF(AND(mthbeg&lt;=A437,mthend&gt;=A437),1,0))</f>
        <v/>
      </c>
      <c r="AU437" s="137" t="str">
        <f aca="false">IF(A438="","",AO437*AT437)</f>
        <v/>
      </c>
      <c r="AW437" s="195" t="str">
        <f aca="false">IF($A438="","",AL437*$E437)</f>
        <v/>
      </c>
      <c r="AX437" s="195" t="str">
        <f aca="false">IF($A438="","",AM437*$E437)</f>
        <v/>
      </c>
      <c r="AY437" s="195" t="str">
        <f aca="false">IF($A438="","",AN437*$E437)</f>
        <v/>
      </c>
      <c r="BA437" s="195" t="str">
        <f aca="false">IF($A438="","",F437*Summary!$Q$14)</f>
        <v/>
      </c>
    </row>
    <row r="438" customFormat="false" ht="12.75" hidden="false" customHeight="false" outlineLevel="0" collapsed="false">
      <c r="A438" s="196" t="str">
        <f aca="false">IF(A437&lt;mthend,EDATE(A437,1),"")</f>
        <v/>
      </c>
      <c r="B438" s="197" t="str">
        <f aca="false">IF(A438&lt;mthend,B437,"")</f>
        <v/>
      </c>
      <c r="D438" s="197" t="str">
        <f aca="false">IF(A439&lt;&gt;"",B438+C438,"")</f>
        <v/>
      </c>
      <c r="E438" s="199" t="str">
        <f aca="false">IF(A439="","",IF(AND(AT438=1,$H$3=1),D438*AO438,IF($H$3=2,D438,"N/A")))</f>
        <v/>
      </c>
      <c r="F438" s="199" t="str">
        <f aca="false">IF(A439="","",E438*AS438)</f>
        <v/>
      </c>
      <c r="G438" s="200" t="str">
        <f aca="false">IF($A439="","",VLOOKUP($A438,Table,MATCH(G$4,Curves,0)))</f>
        <v/>
      </c>
      <c r="H438" s="201" t="str">
        <f aca="false">IF(A439="","",G438)</f>
        <v/>
      </c>
      <c r="J438" s="200" t="str">
        <f aca="false">IF($A439="","",VLOOKUP($A438,Table,MATCH(J$4,Curves,0)))</f>
        <v/>
      </c>
      <c r="K438" s="201" t="str">
        <f aca="false">IF(A439="","",J438)</f>
        <v/>
      </c>
      <c r="L438" s="185" t="n">
        <v>0</v>
      </c>
      <c r="M438" s="201" t="str">
        <f aca="false">IF(A439="","",L438)</f>
        <v/>
      </c>
      <c r="O438" s="200" t="str">
        <f aca="false">IF(A439="","",L438+J438+G438)</f>
        <v/>
      </c>
      <c r="P438" s="200" t="str">
        <f aca="false">IF(A439="","",M438+K438+H438)</f>
        <v/>
      </c>
      <c r="R438" s="200" t="str">
        <f aca="false">IF($A439="","",VLOOKUP($A438,Table,MATCH(R$4,Curves,0)))</f>
        <v/>
      </c>
      <c r="S438" s="201" t="str">
        <f aca="false">IF(A439="","",R438)</f>
        <v/>
      </c>
      <c r="T438" s="200" t="str">
        <f aca="false">IF($A439="","",VLOOKUP($A438,Table,MATCH(T$4,Curves,0)))</f>
        <v/>
      </c>
      <c r="U438" s="201" t="str">
        <f aca="false">IF(A439="","",T438)</f>
        <v/>
      </c>
      <c r="V438" s="183" t="str">
        <f aca="false">IF($A439="","",IF(AND(MONTH(A438)&gt;3,MONTH(A438)&lt;11),(T438+R438+G438)*(((1/(1-Summary!$T$14))/(1-Summary!$W$14))-1),(T438+R438+G438)*((1/(1-Summary!$U$14))/(1-Summary!$X$14)-1)))</f>
        <v/>
      </c>
      <c r="W438" s="202" t="str">
        <f aca="false">IF($A439="","",(T438+R438+G438+V438))</f>
        <v/>
      </c>
      <c r="X438" s="202" t="str">
        <f aca="false">IF($A439="","",(U438+S438+H438+V438))</f>
        <v/>
      </c>
      <c r="Y438" s="202"/>
      <c r="Z438" s="185"/>
      <c r="AJ438" s="77"/>
      <c r="AK438" s="77"/>
      <c r="AL438" s="77"/>
      <c r="AM438" s="77"/>
      <c r="AN438" s="77"/>
      <c r="AO438" s="137" t="str">
        <f aca="false">IF(A439="","",A439-A438)</f>
        <v/>
      </c>
      <c r="AP438" s="212" t="str">
        <f aca="false">IF(A439="","",CHOOSE(F$3,A439+24,A438))</f>
        <v/>
      </c>
      <c r="AQ438" s="209" t="str">
        <f aca="false">IF(A439="","",AP438-$E$1)</f>
        <v/>
      </c>
      <c r="AR438" s="185" t="n">
        <f aca="false">'ANR OK vs ML7'!AR438</f>
        <v>0.1</v>
      </c>
      <c r="AS438" s="213" t="str">
        <f aca="false">IF(A439="","",1/(1+CHOOSE(F$3,(AR439+($I$3/10000))/2,(AR438+($I$3/10000))/2))^(2*AQ438/365.25))</f>
        <v/>
      </c>
      <c r="AT438" s="137" t="str">
        <f aca="false">IF(A439="","",IF(AND(mthbeg&lt;=A438,mthend&gt;=A438),1,0))</f>
        <v/>
      </c>
      <c r="AU438" s="137" t="str">
        <f aca="false">IF(A439="","",AO438*AT438)</f>
        <v/>
      </c>
      <c r="AW438" s="195" t="str">
        <f aca="false">IF($A439="","",AL438*$E438)</f>
        <v/>
      </c>
      <c r="AX438" s="195" t="str">
        <f aca="false">IF($A439="","",AM438*$E438)</f>
        <v/>
      </c>
      <c r="AY438" s="195" t="str">
        <f aca="false">IF($A439="","",AN438*$E438)</f>
        <v/>
      </c>
      <c r="BA438" s="195" t="str">
        <f aca="false">IF($A439="","",F438*Summary!$Q$14)</f>
        <v/>
      </c>
    </row>
    <row r="439" customFormat="false" ht="12.75" hidden="false" customHeight="false" outlineLevel="0" collapsed="false">
      <c r="A439" s="196" t="str">
        <f aca="false">IF(A438&lt;mthend,EDATE(A438,1),"")</f>
        <v/>
      </c>
      <c r="B439" s="197" t="str">
        <f aca="false">IF(A439&lt;mthend,B438,"")</f>
        <v/>
      </c>
      <c r="D439" s="197" t="str">
        <f aca="false">IF(A440&lt;&gt;"",B439+C439,"")</f>
        <v/>
      </c>
      <c r="E439" s="199" t="str">
        <f aca="false">IF(A440="","",IF(AND(AT439=1,$H$3=1),D439*AO439,IF($H$3=2,D439,"N/A")))</f>
        <v/>
      </c>
      <c r="F439" s="199" t="str">
        <f aca="false">IF(A440="","",E439*AS439)</f>
        <v/>
      </c>
      <c r="G439" s="200" t="str">
        <f aca="false">IF($A440="","",VLOOKUP($A439,Table,MATCH(G$4,Curves,0)))</f>
        <v/>
      </c>
      <c r="H439" s="201" t="str">
        <f aca="false">IF(A440="","",G439)</f>
        <v/>
      </c>
      <c r="J439" s="200" t="str">
        <f aca="false">IF($A440="","",VLOOKUP($A439,Table,MATCH(J$4,Curves,0)))</f>
        <v/>
      </c>
      <c r="K439" s="201" t="str">
        <f aca="false">IF(A440="","",J439)</f>
        <v/>
      </c>
      <c r="L439" s="185" t="n">
        <v>0</v>
      </c>
      <c r="M439" s="201" t="str">
        <f aca="false">IF(A440="","",L439)</f>
        <v/>
      </c>
      <c r="O439" s="200" t="str">
        <f aca="false">IF(A440="","",L439+J439+G439)</f>
        <v/>
      </c>
      <c r="P439" s="200" t="str">
        <f aca="false">IF(A440="","",M439+K439+H439)</f>
        <v/>
      </c>
      <c r="R439" s="200" t="str">
        <f aca="false">IF($A440="","",VLOOKUP($A439,Table,MATCH(R$4,Curves,0)))</f>
        <v/>
      </c>
      <c r="S439" s="201" t="str">
        <f aca="false">IF(A440="","",R439)</f>
        <v/>
      </c>
      <c r="T439" s="200" t="str">
        <f aca="false">IF($A440="","",VLOOKUP($A439,Table,MATCH(T$4,Curves,0)))</f>
        <v/>
      </c>
      <c r="U439" s="201" t="str">
        <f aca="false">IF(A440="","",T439)</f>
        <v/>
      </c>
      <c r="V439" s="183" t="str">
        <f aca="false">IF($A440="","",IF(AND(MONTH(A439)&gt;3,MONTH(A439)&lt;11),(T439+R439+G439)*(((1/(1-Summary!$T$14))/(1-Summary!$W$14))-1),(T439+R439+G439)*((1/(1-Summary!$U$14))/(1-Summary!$X$14)-1)))</f>
        <v/>
      </c>
      <c r="W439" s="202" t="str">
        <f aca="false">IF($A440="","",(T439+R439+G439+V439))</f>
        <v/>
      </c>
      <c r="X439" s="202" t="str">
        <f aca="false">IF($A440="","",(U439+S439+H439+V439))</f>
        <v/>
      </c>
      <c r="Y439" s="202"/>
      <c r="Z439" s="185"/>
      <c r="AJ439" s="77"/>
      <c r="AK439" s="77"/>
      <c r="AL439" s="77"/>
      <c r="AM439" s="77"/>
      <c r="AN439" s="77"/>
      <c r="AO439" s="137" t="str">
        <f aca="false">IF(A440="","",A440-A439)</f>
        <v/>
      </c>
      <c r="AP439" s="212" t="str">
        <f aca="false">IF(A440="","",CHOOSE(F$3,A440+24,A439))</f>
        <v/>
      </c>
      <c r="AQ439" s="209" t="str">
        <f aca="false">IF(A440="","",AP439-$E$1)</f>
        <v/>
      </c>
      <c r="AR439" s="185" t="n">
        <f aca="false">'ANR OK vs ML7'!AR439</f>
        <v>0.1</v>
      </c>
      <c r="AS439" s="213" t="str">
        <f aca="false">IF(A440="","",1/(1+CHOOSE(F$3,(AR440+($I$3/10000))/2,(AR439+($I$3/10000))/2))^(2*AQ439/365.25))</f>
        <v/>
      </c>
      <c r="AT439" s="137" t="str">
        <f aca="false">IF(A440="","",IF(AND(mthbeg&lt;=A439,mthend&gt;=A439),1,0))</f>
        <v/>
      </c>
      <c r="AU439" s="137" t="str">
        <f aca="false">IF(A440="","",AO439*AT439)</f>
        <v/>
      </c>
      <c r="AW439" s="195" t="str">
        <f aca="false">IF($A440="","",AL439*$E439)</f>
        <v/>
      </c>
      <c r="AX439" s="195" t="str">
        <f aca="false">IF($A440="","",AM439*$E439)</f>
        <v/>
      </c>
      <c r="AY439" s="195" t="str">
        <f aca="false">IF($A440="","",AN439*$E439)</f>
        <v/>
      </c>
      <c r="BA439" s="195" t="str">
        <f aca="false">IF($A440="","",F439*Summary!$Q$14)</f>
        <v/>
      </c>
    </row>
    <row r="440" customFormat="false" ht="12.75" hidden="false" customHeight="false" outlineLevel="0" collapsed="false">
      <c r="A440" s="196" t="str">
        <f aca="false">IF(A439&lt;mthend,EDATE(A439,1),"")</f>
        <v/>
      </c>
      <c r="B440" s="197" t="str">
        <f aca="false">IF(A440&lt;mthend,B439,"")</f>
        <v/>
      </c>
      <c r="D440" s="197" t="str">
        <f aca="false">IF(A441&lt;&gt;"",B440+C440,"")</f>
        <v/>
      </c>
      <c r="E440" s="199" t="str">
        <f aca="false">IF(A441="","",IF(AND(AT440=1,$H$3=1),D440*AO440,IF($H$3=2,D440,"N/A")))</f>
        <v/>
      </c>
      <c r="F440" s="199" t="str">
        <f aca="false">IF(A441="","",E440*AS440)</f>
        <v/>
      </c>
      <c r="G440" s="200" t="str">
        <f aca="false">IF($A441="","",VLOOKUP($A440,Table,MATCH(G$4,Curves,0)))</f>
        <v/>
      </c>
      <c r="H440" s="201" t="str">
        <f aca="false">IF(A441="","",G440)</f>
        <v/>
      </c>
      <c r="J440" s="200" t="str">
        <f aca="false">IF($A441="","",VLOOKUP($A440,Table,MATCH(J$4,Curves,0)))</f>
        <v/>
      </c>
      <c r="K440" s="201" t="str">
        <f aca="false">IF(A441="","",J440)</f>
        <v/>
      </c>
      <c r="L440" s="185" t="n">
        <v>0</v>
      </c>
      <c r="M440" s="201" t="str">
        <f aca="false">IF(A441="","",L440)</f>
        <v/>
      </c>
      <c r="O440" s="200" t="str">
        <f aca="false">IF(A441="","",L440+J440+G440)</f>
        <v/>
      </c>
      <c r="P440" s="200" t="str">
        <f aca="false">IF(A441="","",M440+K440+H440)</f>
        <v/>
      </c>
      <c r="R440" s="200" t="str">
        <f aca="false">IF($A441="","",VLOOKUP($A440,Table,MATCH(R$4,Curves,0)))</f>
        <v/>
      </c>
      <c r="S440" s="201" t="str">
        <f aca="false">IF(A441="","",R440)</f>
        <v/>
      </c>
      <c r="T440" s="200" t="str">
        <f aca="false">IF($A441="","",VLOOKUP($A440,Table,MATCH(T$4,Curves,0)))</f>
        <v/>
      </c>
      <c r="U440" s="201" t="str">
        <f aca="false">IF(A441="","",T440)</f>
        <v/>
      </c>
      <c r="V440" s="183" t="str">
        <f aca="false">IF($A441="","",IF(AND(MONTH(A440)&gt;3,MONTH(A440)&lt;11),(T440+R440+G440)*(((1/(1-Summary!$T$14))/(1-Summary!$W$14))-1),(T440+R440+G440)*((1/(1-Summary!$U$14))/(1-Summary!$X$14)-1)))</f>
        <v/>
      </c>
      <c r="W440" s="202" t="str">
        <f aca="false">IF($A441="","",(T440+R440+G440+V440))</f>
        <v/>
      </c>
      <c r="X440" s="202" t="str">
        <f aca="false">IF($A441="","",(U440+S440+H440+V440))</f>
        <v/>
      </c>
      <c r="Y440" s="202"/>
      <c r="Z440" s="185"/>
      <c r="AJ440" s="77"/>
      <c r="AK440" s="77"/>
      <c r="AL440" s="77"/>
      <c r="AM440" s="77"/>
      <c r="AN440" s="77"/>
      <c r="AO440" s="137" t="str">
        <f aca="false">IF(A441="","",A441-A440)</f>
        <v/>
      </c>
      <c r="AP440" s="212" t="str">
        <f aca="false">IF(A441="","",CHOOSE(F$3,A441+24,A440))</f>
        <v/>
      </c>
      <c r="AQ440" s="209" t="str">
        <f aca="false">IF(A441="","",AP440-$E$1)</f>
        <v/>
      </c>
      <c r="AR440" s="185" t="n">
        <f aca="false">'ANR OK vs ML7'!AR440</f>
        <v>0.1</v>
      </c>
      <c r="AS440" s="213" t="str">
        <f aca="false">IF(A441="","",1/(1+CHOOSE(F$3,(AR441+($I$3/10000))/2,(AR440+($I$3/10000))/2))^(2*AQ440/365.25))</f>
        <v/>
      </c>
      <c r="AT440" s="137" t="str">
        <f aca="false">IF(A441="","",IF(AND(mthbeg&lt;=A440,mthend&gt;=A440),1,0))</f>
        <v/>
      </c>
      <c r="AU440" s="137" t="str">
        <f aca="false">IF(A441="","",AO440*AT440)</f>
        <v/>
      </c>
      <c r="AW440" s="195" t="str">
        <f aca="false">IF($A441="","",AL440*$E440)</f>
        <v/>
      </c>
      <c r="AX440" s="195" t="str">
        <f aca="false">IF($A441="","",AM440*$E440)</f>
        <v/>
      </c>
      <c r="AY440" s="195" t="str">
        <f aca="false">IF($A441="","",AN440*$E440)</f>
        <v/>
      </c>
      <c r="BA440" s="195" t="str">
        <f aca="false">IF($A441="","",F440*Summary!$Q$14)</f>
        <v/>
      </c>
    </row>
    <row r="441" customFormat="false" ht="12.75" hidden="false" customHeight="false" outlineLevel="0" collapsed="false">
      <c r="A441" s="196" t="str">
        <f aca="false">IF(A440&lt;mthend,EDATE(A440,1),"")</f>
        <v/>
      </c>
      <c r="B441" s="197" t="str">
        <f aca="false">IF(A441&lt;mthend,B440,"")</f>
        <v/>
      </c>
      <c r="D441" s="197" t="str">
        <f aca="false">IF(A442&lt;&gt;"",B441+C441,"")</f>
        <v/>
      </c>
      <c r="E441" s="199" t="str">
        <f aca="false">IF(A442="","",IF(AND(AT441=1,$H$3=1),D441*AO441,IF($H$3=2,D441,"N/A")))</f>
        <v/>
      </c>
      <c r="F441" s="199" t="str">
        <f aca="false">IF(A442="","",E441*AS441)</f>
        <v/>
      </c>
      <c r="G441" s="200" t="str">
        <f aca="false">IF($A442="","",VLOOKUP($A441,Table,MATCH(G$4,Curves,0)))</f>
        <v/>
      </c>
      <c r="H441" s="201" t="str">
        <f aca="false">IF(A442="","",G441)</f>
        <v/>
      </c>
      <c r="J441" s="200" t="str">
        <f aca="false">IF($A442="","",VLOOKUP($A441,Table,MATCH(J$4,Curves,0)))</f>
        <v/>
      </c>
      <c r="K441" s="201" t="str">
        <f aca="false">IF(A442="","",J441)</f>
        <v/>
      </c>
      <c r="L441" s="185" t="n">
        <v>0</v>
      </c>
      <c r="M441" s="201" t="str">
        <f aca="false">IF(A442="","",L441)</f>
        <v/>
      </c>
      <c r="O441" s="200" t="str">
        <f aca="false">IF(A442="","",L441+J441+G441)</f>
        <v/>
      </c>
      <c r="P441" s="200" t="str">
        <f aca="false">IF(A442="","",M441+K441+H441)</f>
        <v/>
      </c>
      <c r="R441" s="200" t="str">
        <f aca="false">IF($A442="","",VLOOKUP($A441,Table,MATCH(R$4,Curves,0)))</f>
        <v/>
      </c>
      <c r="S441" s="201" t="str">
        <f aca="false">IF(A442="","",R441)</f>
        <v/>
      </c>
      <c r="T441" s="200" t="str">
        <f aca="false">IF($A442="","",VLOOKUP($A441,Table,MATCH(T$4,Curves,0)))</f>
        <v/>
      </c>
      <c r="U441" s="201" t="str">
        <f aca="false">IF(A442="","",T441)</f>
        <v/>
      </c>
      <c r="V441" s="183" t="str">
        <f aca="false">IF($A442="","",IF(AND(MONTH(A441)&gt;3,MONTH(A441)&lt;11),(T441+R441+G441)*(((1/(1-Summary!$T$14))/(1-Summary!$W$14))-1),(T441+R441+G441)*((1/(1-Summary!$U$14))/(1-Summary!$X$14)-1)))</f>
        <v/>
      </c>
      <c r="W441" s="202" t="str">
        <f aca="false">IF($A442="","",(T441+R441+G441+V441))</f>
        <v/>
      </c>
      <c r="X441" s="202" t="str">
        <f aca="false">IF($A442="","",(U441+S441+H441+V441))</f>
        <v/>
      </c>
      <c r="Y441" s="202"/>
      <c r="Z441" s="185"/>
      <c r="AJ441" s="77"/>
      <c r="AK441" s="77"/>
      <c r="AL441" s="77"/>
      <c r="AM441" s="77"/>
      <c r="AN441" s="77"/>
      <c r="AO441" s="137" t="str">
        <f aca="false">IF(A442="","",A442-A441)</f>
        <v/>
      </c>
      <c r="AP441" s="212" t="str">
        <f aca="false">IF(A442="","",CHOOSE(F$3,A442+24,A441))</f>
        <v/>
      </c>
      <c r="AQ441" s="209" t="str">
        <f aca="false">IF(A442="","",AP441-$E$1)</f>
        <v/>
      </c>
      <c r="AR441" s="185" t="n">
        <f aca="false">'ANR OK vs ML7'!AR441</f>
        <v>0.1</v>
      </c>
      <c r="AS441" s="213" t="str">
        <f aca="false">IF(A442="","",1/(1+CHOOSE(F$3,(AR442+($I$3/10000))/2,(AR441+($I$3/10000))/2))^(2*AQ441/365.25))</f>
        <v/>
      </c>
      <c r="AT441" s="137" t="str">
        <f aca="false">IF(A442="","",IF(AND(mthbeg&lt;=A441,mthend&gt;=A441),1,0))</f>
        <v/>
      </c>
      <c r="AU441" s="137" t="str">
        <f aca="false">IF(A442="","",AO441*AT441)</f>
        <v/>
      </c>
      <c r="AW441" s="195" t="str">
        <f aca="false">IF($A442="","",AL441*$E441)</f>
        <v/>
      </c>
      <c r="AX441" s="195" t="str">
        <f aca="false">IF($A442="","",AM441*$E441)</f>
        <v/>
      </c>
      <c r="AY441" s="195" t="str">
        <f aca="false">IF($A442="","",AN441*$E441)</f>
        <v/>
      </c>
      <c r="BA441" s="195" t="str">
        <f aca="false">IF($A442="","",F441*Summary!$Q$14)</f>
        <v/>
      </c>
    </row>
    <row r="442" customFormat="false" ht="12.75" hidden="false" customHeight="false" outlineLevel="0" collapsed="false">
      <c r="A442" s="196" t="str">
        <f aca="false">IF(A441&lt;mthend,EDATE(A441,1),"")</f>
        <v/>
      </c>
      <c r="B442" s="197" t="str">
        <f aca="false">IF(A442&lt;mthend,B441,"")</f>
        <v/>
      </c>
      <c r="D442" s="197" t="str">
        <f aca="false">IF(A443&lt;&gt;"",B442+C442,"")</f>
        <v/>
      </c>
      <c r="E442" s="199" t="str">
        <f aca="false">IF(A443="","",IF(AND(AT442=1,$H$3=1),D442*AO442,IF($H$3=2,D442,"N/A")))</f>
        <v/>
      </c>
      <c r="F442" s="199" t="str">
        <f aca="false">IF(A443="","",E442*AS442)</f>
        <v/>
      </c>
      <c r="G442" s="200" t="str">
        <f aca="false">IF($A443="","",VLOOKUP($A442,Table,MATCH(G$4,Curves,0)))</f>
        <v/>
      </c>
      <c r="H442" s="201" t="str">
        <f aca="false">IF(A443="","",G442)</f>
        <v/>
      </c>
      <c r="J442" s="200" t="str">
        <f aca="false">IF($A443="","",VLOOKUP($A442,Table,MATCH(J$4,Curves,0)))</f>
        <v/>
      </c>
      <c r="K442" s="201" t="str">
        <f aca="false">IF(A443="","",J442)</f>
        <v/>
      </c>
      <c r="L442" s="185" t="n">
        <v>0</v>
      </c>
      <c r="M442" s="201" t="str">
        <f aca="false">IF(A443="","",L442)</f>
        <v/>
      </c>
      <c r="O442" s="200" t="str">
        <f aca="false">IF(A443="","",L442+J442+G442)</f>
        <v/>
      </c>
      <c r="P442" s="200" t="str">
        <f aca="false">IF(A443="","",M442+K442+H442)</f>
        <v/>
      </c>
      <c r="R442" s="200" t="str">
        <f aca="false">IF($A443="","",VLOOKUP($A442,Table,MATCH(R$4,Curves,0)))</f>
        <v/>
      </c>
      <c r="S442" s="201" t="str">
        <f aca="false">IF(A443="","",R442)</f>
        <v/>
      </c>
      <c r="T442" s="200" t="str">
        <f aca="false">IF($A443="","",VLOOKUP($A442,Table,MATCH(T$4,Curves,0)))</f>
        <v/>
      </c>
      <c r="U442" s="201" t="str">
        <f aca="false">IF(A443="","",T442)</f>
        <v/>
      </c>
      <c r="V442" s="183" t="str">
        <f aca="false">IF($A443="","",IF(AND(MONTH(A442)&gt;3,MONTH(A442)&lt;11),(T442+R442+G442)*(((1/(1-Summary!$T$14))/(1-Summary!$W$14))-1),(T442+R442+G442)*((1/(1-Summary!$U$14))/(1-Summary!$X$14)-1)))</f>
        <v/>
      </c>
      <c r="W442" s="202" t="str">
        <f aca="false">IF($A443="","",(T442+R442+G442+V442))</f>
        <v/>
      </c>
      <c r="X442" s="202" t="str">
        <f aca="false">IF($A443="","",(U442+S442+H442+V442))</f>
        <v/>
      </c>
      <c r="Y442" s="202"/>
      <c r="Z442" s="185"/>
      <c r="AJ442" s="77"/>
      <c r="AK442" s="77"/>
      <c r="AL442" s="77"/>
      <c r="AM442" s="77"/>
      <c r="AN442" s="77"/>
      <c r="AO442" s="137" t="str">
        <f aca="false">IF(A443="","",A443-A442)</f>
        <v/>
      </c>
      <c r="AP442" s="212" t="str">
        <f aca="false">IF(A443="","",CHOOSE(F$3,A443+24,A442))</f>
        <v/>
      </c>
      <c r="AQ442" s="209" t="str">
        <f aca="false">IF(A443="","",AP442-$E$1)</f>
        <v/>
      </c>
      <c r="AR442" s="185" t="n">
        <f aca="false">'ANR OK vs ML7'!AR442</f>
        <v>0.1</v>
      </c>
      <c r="AS442" s="213" t="str">
        <f aca="false">IF(A443="","",1/(1+CHOOSE(F$3,(AR443+($I$3/10000))/2,(AR442+($I$3/10000))/2))^(2*AQ442/365.25))</f>
        <v/>
      </c>
      <c r="AT442" s="137" t="str">
        <f aca="false">IF(A443="","",IF(AND(mthbeg&lt;=A442,mthend&gt;=A442),1,0))</f>
        <v/>
      </c>
      <c r="AU442" s="137" t="str">
        <f aca="false">IF(A443="","",AO442*AT442)</f>
        <v/>
      </c>
      <c r="AW442" s="195" t="str">
        <f aca="false">IF($A443="","",AL442*$E442)</f>
        <v/>
      </c>
      <c r="AX442" s="195" t="str">
        <f aca="false">IF($A443="","",AM442*$E442)</f>
        <v/>
      </c>
      <c r="AY442" s="195" t="str">
        <f aca="false">IF($A443="","",AN442*$E442)</f>
        <v/>
      </c>
      <c r="BA442" s="195" t="str">
        <f aca="false">IF($A443="","",F442*Summary!$Q$14)</f>
        <v/>
      </c>
    </row>
    <row r="443" customFormat="false" ht="12.75" hidden="false" customHeight="false" outlineLevel="0" collapsed="false">
      <c r="A443" s="196" t="str">
        <f aca="false">IF(A442&lt;mthend,EDATE(A442,1),"")</f>
        <v/>
      </c>
      <c r="B443" s="197" t="str">
        <f aca="false">IF(A443&lt;mthend,B442,"")</f>
        <v/>
      </c>
      <c r="D443" s="197" t="str">
        <f aca="false">IF(A444&lt;&gt;"",B443+C443,"")</f>
        <v/>
      </c>
      <c r="E443" s="199" t="str">
        <f aca="false">IF(A444="","",IF(AND(AT443=1,$H$3=1),D443*AO443,IF($H$3=2,D443,"N/A")))</f>
        <v/>
      </c>
      <c r="F443" s="199" t="str">
        <f aca="false">IF(A444="","",E443*AS443)</f>
        <v/>
      </c>
      <c r="G443" s="200" t="str">
        <f aca="false">IF($A444="","",VLOOKUP($A443,Table,MATCH(G$4,Curves,0)))</f>
        <v/>
      </c>
      <c r="H443" s="201" t="str">
        <f aca="false">IF(A444="","",G443)</f>
        <v/>
      </c>
      <c r="J443" s="200" t="str">
        <f aca="false">IF($A444="","",VLOOKUP($A443,Table,MATCH(J$4,Curves,0)))</f>
        <v/>
      </c>
      <c r="K443" s="201" t="str">
        <f aca="false">IF(A444="","",J443)</f>
        <v/>
      </c>
      <c r="L443" s="185" t="n">
        <v>0</v>
      </c>
      <c r="M443" s="201" t="str">
        <f aca="false">IF(A444="","",L443)</f>
        <v/>
      </c>
      <c r="O443" s="200" t="str">
        <f aca="false">IF(A444="","",L443+J443+G443)</f>
        <v/>
      </c>
      <c r="P443" s="200" t="str">
        <f aca="false">IF(A444="","",M443+K443+H443)</f>
        <v/>
      </c>
      <c r="R443" s="200" t="str">
        <f aca="false">IF($A444="","",VLOOKUP($A443,Table,MATCH(R$4,Curves,0)))</f>
        <v/>
      </c>
      <c r="S443" s="201" t="str">
        <f aca="false">IF(A444="","",R443)</f>
        <v/>
      </c>
      <c r="T443" s="200" t="str">
        <f aca="false">IF($A444="","",VLOOKUP($A443,Table,MATCH(T$4,Curves,0)))</f>
        <v/>
      </c>
      <c r="U443" s="201" t="str">
        <f aca="false">IF(A444="","",T443)</f>
        <v/>
      </c>
      <c r="V443" s="183" t="str">
        <f aca="false">IF($A444="","",IF(AND(MONTH(A443)&gt;3,MONTH(A443)&lt;11),(T443+R443+G443)*(((1/(1-Summary!$T$14))/(1-Summary!$W$14))-1),(T443+R443+G443)*((1/(1-Summary!$U$14))/(1-Summary!$X$14)-1)))</f>
        <v/>
      </c>
      <c r="W443" s="202" t="str">
        <f aca="false">IF($A444="","",(T443+R443+G443+V443))</f>
        <v/>
      </c>
      <c r="X443" s="202" t="str">
        <f aca="false">IF($A444="","",(U443+S443+H443+V443))</f>
        <v/>
      </c>
      <c r="Y443" s="202"/>
      <c r="Z443" s="185"/>
      <c r="AJ443" s="77"/>
      <c r="AK443" s="77"/>
      <c r="AL443" s="77"/>
      <c r="AM443" s="77"/>
      <c r="AN443" s="77"/>
      <c r="AO443" s="137" t="str">
        <f aca="false">IF(A444="","",A444-A443)</f>
        <v/>
      </c>
      <c r="AP443" s="212" t="str">
        <f aca="false">IF(A444="","",CHOOSE(F$3,A444+24,A443))</f>
        <v/>
      </c>
      <c r="AQ443" s="209" t="str">
        <f aca="false">IF(A444="","",AP443-$E$1)</f>
        <v/>
      </c>
      <c r="AR443" s="185" t="n">
        <f aca="false">'ANR OK vs ML7'!AR443</f>
        <v>0.1</v>
      </c>
      <c r="AS443" s="213" t="str">
        <f aca="false">IF(A444="","",1/(1+CHOOSE(F$3,(AR444+($I$3/10000))/2,(AR443+($I$3/10000))/2))^(2*AQ443/365.25))</f>
        <v/>
      </c>
      <c r="AT443" s="137" t="str">
        <f aca="false">IF(A444="","",IF(AND(mthbeg&lt;=A443,mthend&gt;=A443),1,0))</f>
        <v/>
      </c>
      <c r="AU443" s="137" t="str">
        <f aca="false">IF(A444="","",AO443*AT443)</f>
        <v/>
      </c>
      <c r="AW443" s="195" t="str">
        <f aca="false">IF($A444="","",AL443*$E443)</f>
        <v/>
      </c>
      <c r="AX443" s="195" t="str">
        <f aca="false">IF($A444="","",AM443*$E443)</f>
        <v/>
      </c>
      <c r="AY443" s="195" t="str">
        <f aca="false">IF($A444="","",AN443*$E443)</f>
        <v/>
      </c>
      <c r="BA443" s="195" t="str">
        <f aca="false">IF($A444="","",F443*Summary!$Q$14)</f>
        <v/>
      </c>
    </row>
    <row r="444" customFormat="false" ht="12.75" hidden="false" customHeight="false" outlineLevel="0" collapsed="false">
      <c r="A444" s="196" t="str">
        <f aca="false">IF(A443&lt;mthend,EDATE(A443,1),"")</f>
        <v/>
      </c>
      <c r="B444" s="197" t="str">
        <f aca="false">IF(A444&lt;mthend,B443,"")</f>
        <v/>
      </c>
      <c r="D444" s="197" t="str">
        <f aca="false">IF(A445&lt;&gt;"",B444+C444,"")</f>
        <v/>
      </c>
      <c r="E444" s="199" t="str">
        <f aca="false">IF(A445="","",IF(AND(AT444=1,$H$3=1),D444*AO444,IF($H$3=2,D444,"N/A")))</f>
        <v/>
      </c>
      <c r="F444" s="199" t="str">
        <f aca="false">IF(A445="","",E444*AS444)</f>
        <v/>
      </c>
      <c r="G444" s="200" t="str">
        <f aca="false">IF($A445="","",VLOOKUP($A444,Table,MATCH(G$4,Curves,0)))</f>
        <v/>
      </c>
      <c r="H444" s="201" t="str">
        <f aca="false">IF(A445="","",G444)</f>
        <v/>
      </c>
      <c r="J444" s="200" t="str">
        <f aca="false">IF($A445="","",VLOOKUP($A444,Table,MATCH(J$4,Curves,0)))</f>
        <v/>
      </c>
      <c r="K444" s="201" t="str">
        <f aca="false">IF(A445="","",J444)</f>
        <v/>
      </c>
      <c r="L444" s="185" t="n">
        <v>0</v>
      </c>
      <c r="M444" s="201" t="str">
        <f aca="false">IF(A445="","",L444)</f>
        <v/>
      </c>
      <c r="O444" s="200" t="str">
        <f aca="false">IF(A445="","",L444+J444+G444)</f>
        <v/>
      </c>
      <c r="P444" s="200" t="str">
        <f aca="false">IF(A445="","",M444+K444+H444)</f>
        <v/>
      </c>
      <c r="R444" s="200" t="str">
        <f aca="false">IF($A445="","",VLOOKUP($A444,Table,MATCH(R$4,Curves,0)))</f>
        <v/>
      </c>
      <c r="S444" s="201" t="str">
        <f aca="false">IF(A445="","",R444)</f>
        <v/>
      </c>
      <c r="T444" s="200" t="str">
        <f aca="false">IF($A445="","",VLOOKUP($A444,Table,MATCH(T$4,Curves,0)))</f>
        <v/>
      </c>
      <c r="U444" s="201" t="str">
        <f aca="false">IF(A445="","",T444)</f>
        <v/>
      </c>
      <c r="V444" s="183" t="str">
        <f aca="false">IF($A445="","",IF(AND(MONTH(A444)&gt;3,MONTH(A444)&lt;11),(T444+R444+G444)*(((1/(1-Summary!$T$14))/(1-Summary!$W$14))-1),(T444+R444+G444)*((1/(1-Summary!$U$14))/(1-Summary!$X$14)-1)))</f>
        <v/>
      </c>
      <c r="W444" s="202" t="str">
        <f aca="false">IF($A445="","",(T444+R444+G444+V444))</f>
        <v/>
      </c>
      <c r="X444" s="202" t="str">
        <f aca="false">IF($A445="","",(U444+S444+H444+V444))</f>
        <v/>
      </c>
      <c r="Y444" s="202"/>
      <c r="Z444" s="185"/>
      <c r="AJ444" s="77"/>
      <c r="AK444" s="77"/>
      <c r="AL444" s="77"/>
      <c r="AM444" s="77"/>
      <c r="AN444" s="77"/>
      <c r="AO444" s="137" t="str">
        <f aca="false">IF(A445="","",A445-A444)</f>
        <v/>
      </c>
      <c r="AP444" s="212" t="str">
        <f aca="false">IF(A445="","",CHOOSE(F$3,A445+24,A444))</f>
        <v/>
      </c>
      <c r="AQ444" s="209" t="str">
        <f aca="false">IF(A445="","",AP444-$E$1)</f>
        <v/>
      </c>
      <c r="AR444" s="185" t="n">
        <f aca="false">'ANR OK vs ML7'!AR444</f>
        <v>0.1</v>
      </c>
      <c r="AS444" s="213" t="str">
        <f aca="false">IF(A445="","",1/(1+CHOOSE(F$3,(AR445+($I$3/10000))/2,(AR444+($I$3/10000))/2))^(2*AQ444/365.25))</f>
        <v/>
      </c>
      <c r="AT444" s="137" t="str">
        <f aca="false">IF(A445="","",IF(AND(mthbeg&lt;=A444,mthend&gt;=A444),1,0))</f>
        <v/>
      </c>
      <c r="AU444" s="137" t="str">
        <f aca="false">IF(A445="","",AO444*AT444)</f>
        <v/>
      </c>
      <c r="AW444" s="195" t="str">
        <f aca="false">IF($A445="","",AL444*$E444)</f>
        <v/>
      </c>
      <c r="AX444" s="195" t="str">
        <f aca="false">IF($A445="","",AM444*$E444)</f>
        <v/>
      </c>
      <c r="AY444" s="195" t="str">
        <f aca="false">IF($A445="","",AN444*$E444)</f>
        <v/>
      </c>
      <c r="BA444" s="195" t="str">
        <f aca="false">IF($A445="","",F444*Summary!$Q$14)</f>
        <v/>
      </c>
    </row>
    <row r="445" customFormat="false" ht="12.75" hidden="false" customHeight="false" outlineLevel="0" collapsed="false">
      <c r="A445" s="196" t="str">
        <f aca="false">IF(A444&lt;mthend,EDATE(A444,1),"")</f>
        <v/>
      </c>
      <c r="B445" s="197" t="str">
        <f aca="false">IF(A445&lt;mthend,B444,"")</f>
        <v/>
      </c>
      <c r="D445" s="197" t="str">
        <f aca="false">IF(A446&lt;&gt;"",B445+C445,"")</f>
        <v/>
      </c>
      <c r="E445" s="199" t="str">
        <f aca="false">IF(A446="","",IF(AND(AT445=1,$H$3=1),D445*AO445,IF($H$3=2,D445,"N/A")))</f>
        <v/>
      </c>
      <c r="F445" s="199" t="str">
        <f aca="false">IF(A446="","",E445*AS445)</f>
        <v/>
      </c>
      <c r="G445" s="200" t="str">
        <f aca="false">IF($A446="","",VLOOKUP($A445,Table,MATCH(G$4,Curves,0)))</f>
        <v/>
      </c>
      <c r="H445" s="201" t="str">
        <f aca="false">IF(A446="","",G445)</f>
        <v/>
      </c>
      <c r="J445" s="200" t="str">
        <f aca="false">IF($A446="","",VLOOKUP($A445,Table,MATCH(J$4,Curves,0)))</f>
        <v/>
      </c>
      <c r="K445" s="201" t="str">
        <f aca="false">IF(A446="","",J445)</f>
        <v/>
      </c>
      <c r="L445" s="185" t="n">
        <v>0</v>
      </c>
      <c r="M445" s="201" t="str">
        <f aca="false">IF(A446="","",L445)</f>
        <v/>
      </c>
      <c r="O445" s="200" t="str">
        <f aca="false">IF(A446="","",L445+J445+G445)</f>
        <v/>
      </c>
      <c r="P445" s="200" t="str">
        <f aca="false">IF(A446="","",M445+K445+H445)</f>
        <v/>
      </c>
      <c r="R445" s="200" t="str">
        <f aca="false">IF($A446="","",VLOOKUP($A445,Table,MATCH(R$4,Curves,0)))</f>
        <v/>
      </c>
      <c r="S445" s="201" t="str">
        <f aca="false">IF(A446="","",R445)</f>
        <v/>
      </c>
      <c r="T445" s="200" t="str">
        <f aca="false">IF($A446="","",VLOOKUP($A445,Table,MATCH(T$4,Curves,0)))</f>
        <v/>
      </c>
      <c r="U445" s="201" t="str">
        <f aca="false">IF(A446="","",T445)</f>
        <v/>
      </c>
      <c r="V445" s="183" t="str">
        <f aca="false">IF($A446="","",IF(AND(MONTH(A445)&gt;3,MONTH(A445)&lt;11),(T445+R445+G445)*(((1/(1-Summary!$T$14))/(1-Summary!$W$14))-1),(T445+R445+G445)*((1/(1-Summary!$U$14))/(1-Summary!$X$14)-1)))</f>
        <v/>
      </c>
      <c r="W445" s="202" t="str">
        <f aca="false">IF($A446="","",(T445+R445+G445+V445))</f>
        <v/>
      </c>
      <c r="X445" s="202" t="str">
        <f aca="false">IF($A446="","",(U445+S445+H445+V445))</f>
        <v/>
      </c>
      <c r="Y445" s="202"/>
      <c r="Z445" s="185"/>
      <c r="AJ445" s="77"/>
      <c r="AK445" s="77"/>
      <c r="AL445" s="77"/>
      <c r="AM445" s="77"/>
      <c r="AN445" s="77"/>
      <c r="AO445" s="137" t="str">
        <f aca="false">IF(A446="","",A446-A445)</f>
        <v/>
      </c>
      <c r="AP445" s="212" t="str">
        <f aca="false">IF(A446="","",CHOOSE(F$3,A446+24,A445))</f>
        <v/>
      </c>
      <c r="AQ445" s="209" t="str">
        <f aca="false">IF(A446="","",AP445-$E$1)</f>
        <v/>
      </c>
      <c r="AR445" s="185" t="n">
        <f aca="false">'ANR OK vs ML7'!AR445</f>
        <v>0.1</v>
      </c>
      <c r="AS445" s="213" t="str">
        <f aca="false">IF(A446="","",1/(1+CHOOSE(F$3,(AR446+($I$3/10000))/2,(AR445+($I$3/10000))/2))^(2*AQ445/365.25))</f>
        <v/>
      </c>
      <c r="AT445" s="137" t="str">
        <f aca="false">IF(A446="","",IF(AND(mthbeg&lt;=A445,mthend&gt;=A445),1,0))</f>
        <v/>
      </c>
      <c r="AU445" s="137" t="str">
        <f aca="false">IF(A446="","",AO445*AT445)</f>
        <v/>
      </c>
      <c r="AW445" s="195" t="str">
        <f aca="false">IF($A446="","",AL445*$E445)</f>
        <v/>
      </c>
      <c r="AX445" s="195" t="str">
        <f aca="false">IF($A446="","",AM445*$E445)</f>
        <v/>
      </c>
      <c r="AY445" s="195" t="str">
        <f aca="false">IF($A446="","",AN445*$E445)</f>
        <v/>
      </c>
      <c r="BA445" s="195" t="str">
        <f aca="false">IF($A446="","",F445*Summary!$Q$14)</f>
        <v/>
      </c>
    </row>
    <row r="446" customFormat="false" ht="12.75" hidden="false" customHeight="false" outlineLevel="0" collapsed="false">
      <c r="A446" s="196" t="str">
        <f aca="false">IF(A445&lt;mthend,EDATE(A445,1),"")</f>
        <v/>
      </c>
      <c r="B446" s="197" t="str">
        <f aca="false">IF(A446&lt;mthend,B445,"")</f>
        <v/>
      </c>
      <c r="D446" s="197" t="str">
        <f aca="false">IF(A447&lt;&gt;"",B446+C446,"")</f>
        <v/>
      </c>
      <c r="E446" s="199" t="str">
        <f aca="false">IF(A447="","",IF(AND(AT446=1,$H$3=1),D446*AO446,IF($H$3=2,D446,"N/A")))</f>
        <v/>
      </c>
      <c r="F446" s="199" t="str">
        <f aca="false">IF(A447="","",E446*AS446)</f>
        <v/>
      </c>
      <c r="G446" s="200" t="str">
        <f aca="false">IF($A447="","",VLOOKUP($A446,Table,MATCH(G$4,Curves,0)))</f>
        <v/>
      </c>
      <c r="H446" s="201" t="str">
        <f aca="false">IF(A447="","",G446)</f>
        <v/>
      </c>
      <c r="J446" s="200" t="str">
        <f aca="false">IF($A447="","",VLOOKUP($A446,Table,MATCH(J$4,Curves,0)))</f>
        <v/>
      </c>
      <c r="K446" s="201" t="str">
        <f aca="false">IF(A447="","",J446)</f>
        <v/>
      </c>
      <c r="L446" s="185" t="n">
        <v>0</v>
      </c>
      <c r="M446" s="201" t="str">
        <f aca="false">IF(A447="","",L446)</f>
        <v/>
      </c>
      <c r="O446" s="200" t="str">
        <f aca="false">IF(A447="","",L446+J446+G446)</f>
        <v/>
      </c>
      <c r="P446" s="200" t="str">
        <f aca="false">IF(A447="","",M446+K446+H446)</f>
        <v/>
      </c>
      <c r="R446" s="200" t="str">
        <f aca="false">IF($A447="","",VLOOKUP($A446,Table,MATCH(R$4,Curves,0)))</f>
        <v/>
      </c>
      <c r="S446" s="201" t="str">
        <f aca="false">IF(A447="","",R446)</f>
        <v/>
      </c>
      <c r="T446" s="200" t="str">
        <f aca="false">IF($A447="","",VLOOKUP($A446,Table,MATCH(T$4,Curves,0)))</f>
        <v/>
      </c>
      <c r="U446" s="201" t="str">
        <f aca="false">IF(A447="","",T446)</f>
        <v/>
      </c>
      <c r="V446" s="183" t="str">
        <f aca="false">IF($A447="","",IF(AND(MONTH(A446)&gt;3,MONTH(A446)&lt;11),(T446+R446+G446)*(((1/(1-Summary!$T$14))/(1-Summary!$W$14))-1),(T446+R446+G446)*((1/(1-Summary!$U$14))/(1-Summary!$X$14)-1)))</f>
        <v/>
      </c>
      <c r="W446" s="202" t="str">
        <f aca="false">IF($A447="","",(T446+R446+G446+V446))</f>
        <v/>
      </c>
      <c r="X446" s="202" t="str">
        <f aca="false">IF($A447="","",(U446+S446+H446+V446))</f>
        <v/>
      </c>
      <c r="Y446" s="202"/>
      <c r="Z446" s="185"/>
      <c r="AJ446" s="77"/>
      <c r="AK446" s="77"/>
      <c r="AL446" s="77"/>
      <c r="AM446" s="77"/>
      <c r="AN446" s="77"/>
      <c r="AO446" s="137" t="str">
        <f aca="false">IF(A447="","",A447-A446)</f>
        <v/>
      </c>
      <c r="AP446" s="212" t="str">
        <f aca="false">IF(A447="","",CHOOSE(F$3,A447+24,A446))</f>
        <v/>
      </c>
      <c r="AQ446" s="209" t="str">
        <f aca="false">IF(A447="","",AP446-$E$1)</f>
        <v/>
      </c>
      <c r="AR446" s="185" t="n">
        <f aca="false">'ANR OK vs ML7'!AR446</f>
        <v>0.1</v>
      </c>
      <c r="AS446" s="213" t="str">
        <f aca="false">IF(A447="","",1/(1+CHOOSE(F$3,(AR447+($I$3/10000))/2,(AR446+($I$3/10000))/2))^(2*AQ446/365.25))</f>
        <v/>
      </c>
      <c r="AT446" s="137" t="str">
        <f aca="false">IF(A447="","",IF(AND(mthbeg&lt;=A446,mthend&gt;=A446),1,0))</f>
        <v/>
      </c>
      <c r="AU446" s="137" t="str">
        <f aca="false">IF(A447="","",AO446*AT446)</f>
        <v/>
      </c>
      <c r="AW446" s="195" t="str">
        <f aca="false">IF($A447="","",AL446*$E446)</f>
        <v/>
      </c>
      <c r="AX446" s="195" t="str">
        <f aca="false">IF($A447="","",AM446*$E446)</f>
        <v/>
      </c>
      <c r="AY446" s="195" t="str">
        <f aca="false">IF($A447="","",AN446*$E446)</f>
        <v/>
      </c>
      <c r="BA446" s="195" t="str">
        <f aca="false">IF($A447="","",F446*Summary!$Q$14)</f>
        <v/>
      </c>
    </row>
    <row r="447" customFormat="false" ht="12.75" hidden="false" customHeight="false" outlineLevel="0" collapsed="false">
      <c r="A447" s="196" t="str">
        <f aca="false">IF(A446&lt;mthend,EDATE(A446,1),"")</f>
        <v/>
      </c>
      <c r="B447" s="197" t="str">
        <f aca="false">IF(A447&lt;mthend,B446,"")</f>
        <v/>
      </c>
      <c r="D447" s="197" t="str">
        <f aca="false">IF(A448&lt;&gt;"",B447+C447,"")</f>
        <v/>
      </c>
      <c r="E447" s="199" t="str">
        <f aca="false">IF(A448="","",IF(AND(AT447=1,$H$3=1),D447*AO447,IF($H$3=2,D447,"N/A")))</f>
        <v/>
      </c>
      <c r="F447" s="199" t="str">
        <f aca="false">IF(A448="","",E447*AS447)</f>
        <v/>
      </c>
      <c r="G447" s="200" t="str">
        <f aca="false">IF($A448="","",VLOOKUP($A447,Table,MATCH(G$4,Curves,0)))</f>
        <v/>
      </c>
      <c r="H447" s="201" t="str">
        <f aca="false">IF(A448="","",G447)</f>
        <v/>
      </c>
      <c r="J447" s="200" t="str">
        <f aca="false">IF($A448="","",VLOOKUP($A447,Table,MATCH(J$4,Curves,0)))</f>
        <v/>
      </c>
      <c r="K447" s="201" t="str">
        <f aca="false">IF(A448="","",J447)</f>
        <v/>
      </c>
      <c r="L447" s="185" t="n">
        <v>0</v>
      </c>
      <c r="M447" s="201" t="str">
        <f aca="false">IF(A448="","",L447)</f>
        <v/>
      </c>
      <c r="O447" s="200" t="str">
        <f aca="false">IF(A448="","",L447+J447+G447)</f>
        <v/>
      </c>
      <c r="P447" s="200" t="str">
        <f aca="false">IF(A448="","",M447+K447+H447)</f>
        <v/>
      </c>
      <c r="R447" s="200" t="str">
        <f aca="false">IF($A448="","",VLOOKUP($A447,Table,MATCH(R$4,Curves,0)))</f>
        <v/>
      </c>
      <c r="S447" s="201" t="str">
        <f aca="false">IF(A448="","",R447)</f>
        <v/>
      </c>
      <c r="T447" s="200" t="str">
        <f aca="false">IF($A448="","",VLOOKUP($A447,Table,MATCH(T$4,Curves,0)))</f>
        <v/>
      </c>
      <c r="U447" s="201" t="str">
        <f aca="false">IF(A448="","",T447)</f>
        <v/>
      </c>
      <c r="V447" s="183" t="str">
        <f aca="false">IF($A448="","",IF(AND(MONTH(A447)&gt;3,MONTH(A447)&lt;11),(T447+R447+G447)*(((1/(1-Summary!$T$14))/(1-Summary!$W$14))-1),(T447+R447+G447)*((1/(1-Summary!$U$14))/(1-Summary!$X$14)-1)))</f>
        <v/>
      </c>
      <c r="W447" s="202" t="str">
        <f aca="false">IF($A448="","",(T447+R447+G447+V447))</f>
        <v/>
      </c>
      <c r="X447" s="202" t="str">
        <f aca="false">IF($A448="","",(U447+S447+H447+V447))</f>
        <v/>
      </c>
      <c r="Y447" s="202"/>
      <c r="Z447" s="185"/>
      <c r="AJ447" s="77"/>
      <c r="AK447" s="77"/>
      <c r="AL447" s="77"/>
      <c r="AM447" s="77"/>
      <c r="AN447" s="77"/>
      <c r="AO447" s="137" t="str">
        <f aca="false">IF(A448="","",A448-A447)</f>
        <v/>
      </c>
      <c r="AP447" s="212" t="str">
        <f aca="false">IF(A448="","",CHOOSE(F$3,A448+24,A447))</f>
        <v/>
      </c>
      <c r="AQ447" s="209" t="str">
        <f aca="false">IF(A448="","",AP447-$E$1)</f>
        <v/>
      </c>
      <c r="AR447" s="185" t="n">
        <f aca="false">'ANR OK vs ML7'!AR447</f>
        <v>0.1</v>
      </c>
      <c r="AS447" s="213" t="str">
        <f aca="false">IF(A448="","",1/(1+CHOOSE(F$3,(AR448+($I$3/10000))/2,(AR447+($I$3/10000))/2))^(2*AQ447/365.25))</f>
        <v/>
      </c>
      <c r="AT447" s="137" t="str">
        <f aca="false">IF(A448="","",IF(AND(mthbeg&lt;=A447,mthend&gt;=A447),1,0))</f>
        <v/>
      </c>
      <c r="AU447" s="137" t="str">
        <f aca="false">IF(A448="","",AO447*AT447)</f>
        <v/>
      </c>
      <c r="AW447" s="195" t="str">
        <f aca="false">IF($A448="","",AL447*$E447)</f>
        <v/>
      </c>
      <c r="AX447" s="195" t="str">
        <f aca="false">IF($A448="","",AM447*$E447)</f>
        <v/>
      </c>
      <c r="AY447" s="195" t="str">
        <f aca="false">IF($A448="","",AN447*$E447)</f>
        <v/>
      </c>
      <c r="BA447" s="195" t="str">
        <f aca="false">IF($A448="","",F447*Summary!$Q$14)</f>
        <v/>
      </c>
    </row>
    <row r="448" customFormat="false" ht="12.75" hidden="false" customHeight="false" outlineLevel="0" collapsed="false">
      <c r="A448" s="196" t="str">
        <f aca="false">IF(A447&lt;mthend,EDATE(A447,1),"")</f>
        <v/>
      </c>
      <c r="B448" s="197" t="str">
        <f aca="false">IF(A448&lt;mthend,B447,"")</f>
        <v/>
      </c>
      <c r="D448" s="197" t="str">
        <f aca="false">IF(A449&lt;&gt;"",B448+C448,"")</f>
        <v/>
      </c>
      <c r="E448" s="199" t="str">
        <f aca="false">IF(A449="","",IF(AND(AT448=1,$H$3=1),D448*AO448,IF($H$3=2,D448,"N/A")))</f>
        <v/>
      </c>
      <c r="F448" s="199" t="str">
        <f aca="false">IF(A449="","",E448*AS448)</f>
        <v/>
      </c>
      <c r="G448" s="200" t="str">
        <f aca="false">IF($A449="","",VLOOKUP($A448,Table,MATCH(G$4,Curves,0)))</f>
        <v/>
      </c>
      <c r="H448" s="201" t="str">
        <f aca="false">IF(A449="","",G448)</f>
        <v/>
      </c>
      <c r="J448" s="200" t="str">
        <f aca="false">IF($A449="","",VLOOKUP($A448,Table,MATCH(J$4,Curves,0)))</f>
        <v/>
      </c>
      <c r="K448" s="201" t="str">
        <f aca="false">IF(A449="","",J448)</f>
        <v/>
      </c>
      <c r="L448" s="185" t="n">
        <v>0</v>
      </c>
      <c r="M448" s="201" t="str">
        <f aca="false">IF(A449="","",L448)</f>
        <v/>
      </c>
      <c r="O448" s="200" t="str">
        <f aca="false">IF(A449="","",L448+J448+G448)</f>
        <v/>
      </c>
      <c r="P448" s="200" t="str">
        <f aca="false">IF(A449="","",M448+K448+H448)</f>
        <v/>
      </c>
      <c r="R448" s="200" t="str">
        <f aca="false">IF($A449="","",VLOOKUP($A448,Table,MATCH(R$4,Curves,0)))</f>
        <v/>
      </c>
      <c r="S448" s="201" t="str">
        <f aca="false">IF(A449="","",R448)</f>
        <v/>
      </c>
      <c r="T448" s="200" t="str">
        <f aca="false">IF($A449="","",VLOOKUP($A448,Table,MATCH(T$4,Curves,0)))</f>
        <v/>
      </c>
      <c r="U448" s="201" t="str">
        <f aca="false">IF(A449="","",T448)</f>
        <v/>
      </c>
      <c r="V448" s="183" t="str">
        <f aca="false">IF($A449="","",IF(AND(MONTH(A448)&gt;3,MONTH(A448)&lt;11),(T448+R448+G448)*(((1/(1-Summary!$T$14))/(1-Summary!$W$14))-1),(T448+R448+G448)*((1/(1-Summary!$U$14))/(1-Summary!$X$14)-1)))</f>
        <v/>
      </c>
      <c r="W448" s="202" t="str">
        <f aca="false">IF($A449="","",(T448+R448+G448+V448))</f>
        <v/>
      </c>
      <c r="X448" s="202" t="str">
        <f aca="false">IF($A449="","",(U448+S448+H448+V448))</f>
        <v/>
      </c>
      <c r="Y448" s="202"/>
      <c r="Z448" s="185"/>
      <c r="AJ448" s="77"/>
      <c r="AK448" s="77"/>
      <c r="AL448" s="77"/>
      <c r="AM448" s="77"/>
      <c r="AN448" s="77"/>
      <c r="AO448" s="137" t="str">
        <f aca="false">IF(A449="","",A449-A448)</f>
        <v/>
      </c>
      <c r="AP448" s="212" t="str">
        <f aca="false">IF(A449="","",CHOOSE(F$3,A449+24,A448))</f>
        <v/>
      </c>
      <c r="AQ448" s="209" t="str">
        <f aca="false">IF(A449="","",AP448-$E$1)</f>
        <v/>
      </c>
      <c r="AR448" s="185" t="n">
        <f aca="false">'ANR OK vs ML7'!AR448</f>
        <v>0.1</v>
      </c>
      <c r="AS448" s="213" t="str">
        <f aca="false">IF(A449="","",1/(1+CHOOSE(F$3,(AR449+($I$3/10000))/2,(AR448+($I$3/10000))/2))^(2*AQ448/365.25))</f>
        <v/>
      </c>
      <c r="AT448" s="137" t="str">
        <f aca="false">IF(A449="","",IF(AND(mthbeg&lt;=A448,mthend&gt;=A448),1,0))</f>
        <v/>
      </c>
      <c r="AU448" s="137" t="str">
        <f aca="false">IF(A449="","",AO448*AT448)</f>
        <v/>
      </c>
      <c r="AW448" s="195" t="str">
        <f aca="false">IF($A449="","",AL448*$E448)</f>
        <v/>
      </c>
      <c r="AX448" s="195" t="str">
        <f aca="false">IF($A449="","",AM448*$E448)</f>
        <v/>
      </c>
      <c r="AY448" s="195" t="str">
        <f aca="false">IF($A449="","",AN448*$E448)</f>
        <v/>
      </c>
      <c r="BA448" s="195" t="str">
        <f aca="false">IF($A449="","",F448*Summary!$Q$14)</f>
        <v/>
      </c>
    </row>
    <row r="449" customFormat="false" ht="12.75" hidden="false" customHeight="false" outlineLevel="0" collapsed="false">
      <c r="A449" s="196" t="str">
        <f aca="false">IF(A448&lt;mthend,EDATE(A448,1),"")</f>
        <v/>
      </c>
      <c r="B449" s="197" t="str">
        <f aca="false">IF(A449&lt;mthend,B448,"")</f>
        <v/>
      </c>
      <c r="D449" s="197" t="str">
        <f aca="false">IF(A450&lt;&gt;"",B449+C449,"")</f>
        <v/>
      </c>
      <c r="E449" s="199" t="str">
        <f aca="false">IF(A450="","",IF(AND(AT449=1,$H$3=1),D449*AO449,IF($H$3=2,D449,"N/A")))</f>
        <v/>
      </c>
      <c r="F449" s="199" t="str">
        <f aca="false">IF(A450="","",E449*AS449)</f>
        <v/>
      </c>
      <c r="G449" s="200" t="str">
        <f aca="false">IF($A450="","",VLOOKUP($A449,Table,MATCH(G$4,Curves,0)))</f>
        <v/>
      </c>
      <c r="H449" s="201" t="str">
        <f aca="false">IF(A450="","",G449)</f>
        <v/>
      </c>
      <c r="J449" s="200" t="str">
        <f aca="false">IF($A450="","",VLOOKUP($A449,Table,MATCH(J$4,Curves,0)))</f>
        <v/>
      </c>
      <c r="K449" s="201" t="str">
        <f aca="false">IF(A450="","",J449)</f>
        <v/>
      </c>
      <c r="L449" s="185" t="n">
        <v>0</v>
      </c>
      <c r="M449" s="201" t="str">
        <f aca="false">IF(A450="","",L449)</f>
        <v/>
      </c>
      <c r="O449" s="200" t="str">
        <f aca="false">IF(A450="","",L449+J449+G449)</f>
        <v/>
      </c>
      <c r="P449" s="200" t="str">
        <f aca="false">IF(A450="","",M449+K449+H449)</f>
        <v/>
      </c>
      <c r="R449" s="200" t="str">
        <f aca="false">IF($A450="","",VLOOKUP($A449,Table,MATCH(R$4,Curves,0)))</f>
        <v/>
      </c>
      <c r="S449" s="201" t="str">
        <f aca="false">IF(A450="","",R449)</f>
        <v/>
      </c>
      <c r="T449" s="200" t="str">
        <f aca="false">IF($A450="","",VLOOKUP($A449,Table,MATCH(T$4,Curves,0)))</f>
        <v/>
      </c>
      <c r="U449" s="201" t="str">
        <f aca="false">IF(A450="","",T449)</f>
        <v/>
      </c>
      <c r="V449" s="183" t="str">
        <f aca="false">IF($A450="","",IF(AND(MONTH(A449)&gt;3,MONTH(A449)&lt;11),(T449+R449+G449)*(((1/(1-Summary!$T$14))/(1-Summary!$W$14))-1),(T449+R449+G449)*((1/(1-Summary!$U$14))/(1-Summary!$X$14)-1)))</f>
        <v/>
      </c>
      <c r="W449" s="202" t="str">
        <f aca="false">IF($A450="","",(T449+R449+G449+V449))</f>
        <v/>
      </c>
      <c r="X449" s="202" t="str">
        <f aca="false">IF($A450="","",(U449+S449+H449+V449))</f>
        <v/>
      </c>
      <c r="Y449" s="202"/>
      <c r="Z449" s="185"/>
      <c r="AJ449" s="77"/>
      <c r="AK449" s="77"/>
      <c r="AL449" s="77"/>
      <c r="AM449" s="77"/>
      <c r="AN449" s="77"/>
      <c r="AO449" s="137" t="str">
        <f aca="false">IF(A450="","",A450-A449)</f>
        <v/>
      </c>
      <c r="AP449" s="212" t="str">
        <f aca="false">IF(A450="","",CHOOSE(F$3,A450+24,A449))</f>
        <v/>
      </c>
      <c r="AQ449" s="209" t="str">
        <f aca="false">IF(A450="","",AP449-$E$1)</f>
        <v/>
      </c>
      <c r="AR449" s="185" t="n">
        <f aca="false">'ANR OK vs ML7'!AR449</f>
        <v>0.1</v>
      </c>
      <c r="AS449" s="213" t="str">
        <f aca="false">IF(A450="","",1/(1+CHOOSE(F$3,(AR450+($I$3/10000))/2,(AR449+($I$3/10000))/2))^(2*AQ449/365.25))</f>
        <v/>
      </c>
      <c r="AT449" s="137" t="str">
        <f aca="false">IF(A450="","",IF(AND(mthbeg&lt;=A449,mthend&gt;=A449),1,0))</f>
        <v/>
      </c>
      <c r="AU449" s="137" t="str">
        <f aca="false">IF(A450="","",AO449*AT449)</f>
        <v/>
      </c>
      <c r="AW449" s="195" t="str">
        <f aca="false">IF($A450="","",AL449*$E449)</f>
        <v/>
      </c>
      <c r="AX449" s="195" t="str">
        <f aca="false">IF($A450="","",AM449*$E449)</f>
        <v/>
      </c>
      <c r="AY449" s="195" t="str">
        <f aca="false">IF($A450="","",AN449*$E449)</f>
        <v/>
      </c>
      <c r="BA449" s="195" t="str">
        <f aca="false">IF($A450="","",F449*Summary!$Q$14)</f>
        <v/>
      </c>
    </row>
    <row r="450" customFormat="false" ht="12.75" hidden="false" customHeight="false" outlineLevel="0" collapsed="false">
      <c r="A450" s="196" t="str">
        <f aca="false">IF(A449&lt;mthend,EDATE(A449,1),"")</f>
        <v/>
      </c>
      <c r="B450" s="197" t="str">
        <f aca="false">IF(A450&lt;mthend,B449,"")</f>
        <v/>
      </c>
      <c r="D450" s="197" t="str">
        <f aca="false">IF(A451&lt;&gt;"",B450+C450,"")</f>
        <v/>
      </c>
      <c r="E450" s="199" t="str">
        <f aca="false">IF(A451="","",IF(AND(AT450=1,$H$3=1),D450*AO450,IF($H$3=2,D450,"N/A")))</f>
        <v/>
      </c>
      <c r="F450" s="199" t="str">
        <f aca="false">IF(A451="","",E450*AS450)</f>
        <v/>
      </c>
      <c r="G450" s="200" t="str">
        <f aca="false">IF($A451="","",VLOOKUP($A450,Table,MATCH(G$4,Curves,0)))</f>
        <v/>
      </c>
      <c r="H450" s="201" t="str">
        <f aca="false">IF(A451="","",G450)</f>
        <v/>
      </c>
      <c r="J450" s="200" t="str">
        <f aca="false">IF($A451="","",VLOOKUP($A450,Table,MATCH(J$4,Curves,0)))</f>
        <v/>
      </c>
      <c r="K450" s="201" t="str">
        <f aca="false">IF(A451="","",J450)</f>
        <v/>
      </c>
      <c r="L450" s="185" t="n">
        <v>0</v>
      </c>
      <c r="M450" s="201" t="str">
        <f aca="false">IF(A451="","",L450)</f>
        <v/>
      </c>
      <c r="O450" s="200" t="str">
        <f aca="false">IF(A451="","",L450+J450+G450)</f>
        <v/>
      </c>
      <c r="P450" s="200" t="str">
        <f aca="false">IF(A451="","",M450+K450+H450)</f>
        <v/>
      </c>
      <c r="R450" s="200" t="str">
        <f aca="false">IF($A451="","",VLOOKUP($A450,Table,MATCH(R$4,Curves,0)))</f>
        <v/>
      </c>
      <c r="S450" s="201" t="str">
        <f aca="false">IF(A451="","",R450)</f>
        <v/>
      </c>
      <c r="T450" s="200" t="str">
        <f aca="false">IF($A451="","",VLOOKUP($A450,Table,MATCH(T$4,Curves,0)))</f>
        <v/>
      </c>
      <c r="U450" s="201" t="str">
        <f aca="false">IF(A451="","",T450)</f>
        <v/>
      </c>
      <c r="V450" s="183" t="str">
        <f aca="false">IF($A451="","",IF(AND(MONTH(A450)&gt;3,MONTH(A450)&lt;11),(T450+R450+G450)*(((1/(1-Summary!$T$14))/(1-Summary!$W$14))-1),(T450+R450+G450)*((1/(1-Summary!$U$14))/(1-Summary!$X$14)-1)))</f>
        <v/>
      </c>
      <c r="W450" s="202" t="str">
        <f aca="false">IF($A451="","",(T450+R450+G450+V450))</f>
        <v/>
      </c>
      <c r="X450" s="202" t="str">
        <f aca="false">IF($A451="","",(U450+S450+H450+V450))</f>
        <v/>
      </c>
      <c r="Y450" s="202"/>
      <c r="Z450" s="185"/>
      <c r="AJ450" s="77"/>
      <c r="AK450" s="77"/>
      <c r="AL450" s="77"/>
      <c r="AM450" s="77"/>
      <c r="AN450" s="77"/>
      <c r="AO450" s="137" t="str">
        <f aca="false">IF(A451="","",A451-A450)</f>
        <v/>
      </c>
      <c r="AP450" s="212" t="str">
        <f aca="false">IF(A451="","",CHOOSE(F$3,A451+24,A450))</f>
        <v/>
      </c>
      <c r="AQ450" s="209" t="str">
        <f aca="false">IF(A451="","",AP450-$E$1)</f>
        <v/>
      </c>
      <c r="AR450" s="185" t="n">
        <f aca="false">'ANR OK vs ML7'!AR450</f>
        <v>0.1</v>
      </c>
      <c r="AS450" s="213" t="str">
        <f aca="false">IF(A451="","",1/(1+CHOOSE(F$3,(AR451+($I$3/10000))/2,(AR450+($I$3/10000))/2))^(2*AQ450/365.25))</f>
        <v/>
      </c>
      <c r="AT450" s="137" t="str">
        <f aca="false">IF(A451="","",IF(AND(mthbeg&lt;=A450,mthend&gt;=A450),1,0))</f>
        <v/>
      </c>
      <c r="AU450" s="137" t="str">
        <f aca="false">IF(A451="","",AO450*AT450)</f>
        <v/>
      </c>
      <c r="AW450" s="195" t="str">
        <f aca="false">IF($A451="","",AL450*$E450)</f>
        <v/>
      </c>
      <c r="AX450" s="195" t="str">
        <f aca="false">IF($A451="","",AM450*$E450)</f>
        <v/>
      </c>
      <c r="AY450" s="195" t="str">
        <f aca="false">IF($A451="","",AN450*$E450)</f>
        <v/>
      </c>
      <c r="BA450" s="195" t="str">
        <f aca="false">IF($A451="","",F450*Summary!$Q$14)</f>
        <v/>
      </c>
    </row>
    <row r="451" customFormat="false" ht="12.75" hidden="false" customHeight="false" outlineLevel="0" collapsed="false">
      <c r="A451" s="196" t="str">
        <f aca="false">IF(A450&lt;mthend,EDATE(A450,1),"")</f>
        <v/>
      </c>
      <c r="B451" s="197" t="str">
        <f aca="false">IF(A451&lt;mthend,B450,"")</f>
        <v/>
      </c>
      <c r="D451" s="197" t="str">
        <f aca="false">IF(A452&lt;&gt;"",B451+C451,"")</f>
        <v/>
      </c>
      <c r="E451" s="199" t="str">
        <f aca="false">IF(A452="","",IF(AND(AT451=1,$H$3=1),D451*AO451,IF($H$3=2,D451,"N/A")))</f>
        <v/>
      </c>
      <c r="F451" s="199" t="str">
        <f aca="false">IF(A452="","",E451*AS451)</f>
        <v/>
      </c>
      <c r="G451" s="200" t="str">
        <f aca="false">IF($A452="","",VLOOKUP($A451,Table,MATCH(G$4,Curves,0)))</f>
        <v/>
      </c>
      <c r="H451" s="201" t="str">
        <f aca="false">IF(A452="","",G451)</f>
        <v/>
      </c>
      <c r="J451" s="200" t="str">
        <f aca="false">IF($A452="","",VLOOKUP($A451,Table,MATCH(J$4,Curves,0)))</f>
        <v/>
      </c>
      <c r="K451" s="201" t="str">
        <f aca="false">IF(A452="","",J451)</f>
        <v/>
      </c>
      <c r="L451" s="185" t="n">
        <v>0</v>
      </c>
      <c r="M451" s="201" t="str">
        <f aca="false">IF(A452="","",L451)</f>
        <v/>
      </c>
      <c r="O451" s="200" t="str">
        <f aca="false">IF(A452="","",L451+J451+G451)</f>
        <v/>
      </c>
      <c r="P451" s="200" t="str">
        <f aca="false">IF(A452="","",M451+K451+H451)</f>
        <v/>
      </c>
      <c r="R451" s="200" t="str">
        <f aca="false">IF($A452="","",VLOOKUP($A451,Table,MATCH(R$4,Curves,0)))</f>
        <v/>
      </c>
      <c r="S451" s="201" t="str">
        <f aca="false">IF(A452="","",R451)</f>
        <v/>
      </c>
      <c r="T451" s="200" t="str">
        <f aca="false">IF($A452="","",VLOOKUP($A451,Table,MATCH(T$4,Curves,0)))</f>
        <v/>
      </c>
      <c r="U451" s="201" t="str">
        <f aca="false">IF(A452="","",T451)</f>
        <v/>
      </c>
      <c r="V451" s="183" t="str">
        <f aca="false">IF($A452="","",IF(AND(MONTH(A451)&gt;3,MONTH(A451)&lt;11),(T451+R451+G451)*(((1/(1-Summary!$T$14))/(1-Summary!$W$14))-1),(T451+R451+G451)*((1/(1-Summary!$U$14))/(1-Summary!$X$14)-1)))</f>
        <v/>
      </c>
      <c r="W451" s="202" t="str">
        <f aca="false">IF($A452="","",(T451+R451+G451+V451))</f>
        <v/>
      </c>
      <c r="X451" s="202" t="str">
        <f aca="false">IF($A452="","",(U451+S451+H451+V451))</f>
        <v/>
      </c>
      <c r="Y451" s="202"/>
      <c r="Z451" s="185"/>
      <c r="AJ451" s="77"/>
      <c r="AK451" s="77"/>
      <c r="AL451" s="77"/>
      <c r="AM451" s="77"/>
      <c r="AN451" s="77"/>
      <c r="AO451" s="137" t="str">
        <f aca="false">IF(A452="","",A452-A451)</f>
        <v/>
      </c>
      <c r="AP451" s="212" t="str">
        <f aca="false">IF(A452="","",CHOOSE(F$3,A452+24,A451))</f>
        <v/>
      </c>
      <c r="AQ451" s="209" t="str">
        <f aca="false">IF(A452="","",AP451-$E$1)</f>
        <v/>
      </c>
      <c r="AR451" s="185" t="n">
        <f aca="false">'ANR OK vs ML7'!AR451</f>
        <v>0.1</v>
      </c>
      <c r="AS451" s="213" t="str">
        <f aca="false">IF(A452="","",1/(1+CHOOSE(F$3,(AR452+($I$3/10000))/2,(AR451+($I$3/10000))/2))^(2*AQ451/365.25))</f>
        <v/>
      </c>
      <c r="AT451" s="137" t="str">
        <f aca="false">IF(A452="","",IF(AND(mthbeg&lt;=A451,mthend&gt;=A451),1,0))</f>
        <v/>
      </c>
      <c r="AU451" s="137" t="str">
        <f aca="false">IF(A452="","",AO451*AT451)</f>
        <v/>
      </c>
      <c r="AW451" s="195" t="str">
        <f aca="false">IF($A452="","",AL451*$E451)</f>
        <v/>
      </c>
      <c r="AX451" s="195" t="str">
        <f aca="false">IF($A452="","",AM451*$E451)</f>
        <v/>
      </c>
      <c r="AY451" s="195" t="str">
        <f aca="false">IF($A452="","",AN451*$E451)</f>
        <v/>
      </c>
      <c r="BA451" s="195" t="str">
        <f aca="false">IF($A452="","",F451*Summary!$Q$14)</f>
        <v/>
      </c>
    </row>
    <row r="452" customFormat="false" ht="12.75" hidden="false" customHeight="false" outlineLevel="0" collapsed="false">
      <c r="A452" s="196" t="str">
        <f aca="false">IF(A451&lt;mthend,EDATE(A451,1),"")</f>
        <v/>
      </c>
      <c r="B452" s="197" t="str">
        <f aca="false">IF(A452&lt;mthend,B451,"")</f>
        <v/>
      </c>
      <c r="D452" s="197" t="str">
        <f aca="false">IF(A453&lt;&gt;"",B452+C452,"")</f>
        <v/>
      </c>
      <c r="E452" s="199" t="str">
        <f aca="false">IF(A453="","",IF(AND(AT452=1,$H$3=1),D452*AO452,IF($H$3=2,D452,"N/A")))</f>
        <v/>
      </c>
      <c r="F452" s="199" t="str">
        <f aca="false">IF(A453="","",E452*AS452)</f>
        <v/>
      </c>
      <c r="G452" s="200" t="str">
        <f aca="false">IF($A453="","",VLOOKUP($A452,Table,MATCH(G$4,Curves,0)))</f>
        <v/>
      </c>
      <c r="H452" s="201" t="str">
        <f aca="false">IF(A453="","",G452)</f>
        <v/>
      </c>
      <c r="J452" s="200" t="str">
        <f aca="false">IF($A453="","",VLOOKUP($A452,Table,MATCH(J$4,Curves,0)))</f>
        <v/>
      </c>
      <c r="K452" s="201" t="str">
        <f aca="false">IF(A453="","",J452)</f>
        <v/>
      </c>
      <c r="L452" s="185" t="n">
        <v>0</v>
      </c>
      <c r="M452" s="201" t="str">
        <f aca="false">IF(A453="","",L452)</f>
        <v/>
      </c>
      <c r="O452" s="200" t="str">
        <f aca="false">IF(A453="","",L452+J452+G452)</f>
        <v/>
      </c>
      <c r="P452" s="200" t="str">
        <f aca="false">IF(A453="","",M452+K452+H452)</f>
        <v/>
      </c>
      <c r="R452" s="200" t="str">
        <f aca="false">IF($A453="","",VLOOKUP($A452,Table,MATCH(R$4,Curves,0)))</f>
        <v/>
      </c>
      <c r="S452" s="201" t="str">
        <f aca="false">IF(A453="","",R452)</f>
        <v/>
      </c>
      <c r="T452" s="200" t="str">
        <f aca="false">IF($A453="","",VLOOKUP($A452,Table,MATCH(T$4,Curves,0)))</f>
        <v/>
      </c>
      <c r="U452" s="201" t="str">
        <f aca="false">IF(A453="","",T452)</f>
        <v/>
      </c>
      <c r="V452" s="183" t="str">
        <f aca="false">IF($A453="","",IF(AND(MONTH(A452)&gt;3,MONTH(A452)&lt;11),(T452+R452+G452)*(((1/(1-Summary!$T$14))/(1-Summary!$W$14))-1),(T452+R452+G452)*((1/(1-Summary!$U$14))/(1-Summary!$X$14)-1)))</f>
        <v/>
      </c>
      <c r="W452" s="202" t="str">
        <f aca="false">IF($A453="","",(T452+R452+G452+V452))</f>
        <v/>
      </c>
      <c r="X452" s="202" t="str">
        <f aca="false">IF($A453="","",(U452+S452+H452+V452))</f>
        <v/>
      </c>
      <c r="Y452" s="202"/>
      <c r="Z452" s="185"/>
      <c r="AJ452" s="77"/>
      <c r="AK452" s="77"/>
      <c r="AL452" s="77"/>
      <c r="AM452" s="77"/>
      <c r="AN452" s="77"/>
      <c r="AO452" s="137" t="str">
        <f aca="false">IF(A453="","",A453-A452)</f>
        <v/>
      </c>
      <c r="AP452" s="212" t="str">
        <f aca="false">IF(A453="","",CHOOSE(F$3,A453+24,A452))</f>
        <v/>
      </c>
      <c r="AQ452" s="209" t="str">
        <f aca="false">IF(A453="","",AP452-$E$1)</f>
        <v/>
      </c>
      <c r="AR452" s="185" t="n">
        <f aca="false">'ANR OK vs ML7'!AR452</f>
        <v>0.1</v>
      </c>
      <c r="AS452" s="213" t="str">
        <f aca="false">IF(A453="","",1/(1+CHOOSE(F$3,(AR453+($I$3/10000))/2,(AR452+($I$3/10000))/2))^(2*AQ452/365.25))</f>
        <v/>
      </c>
      <c r="AT452" s="137" t="str">
        <f aca="false">IF(A453="","",IF(AND(mthbeg&lt;=A452,mthend&gt;=A452),1,0))</f>
        <v/>
      </c>
      <c r="AU452" s="137" t="str">
        <f aca="false">IF(A453="","",AO452*AT452)</f>
        <v/>
      </c>
      <c r="AW452" s="195" t="str">
        <f aca="false">IF($A453="","",AL452*$E452)</f>
        <v/>
      </c>
      <c r="AX452" s="195" t="str">
        <f aca="false">IF($A453="","",AM452*$E452)</f>
        <v/>
      </c>
      <c r="AY452" s="195" t="str">
        <f aca="false">IF($A453="","",AN452*$E452)</f>
        <v/>
      </c>
      <c r="BA452" s="195" t="str">
        <f aca="false">IF($A453="","",F452*Summary!$Q$14)</f>
        <v/>
      </c>
    </row>
    <row r="453" customFormat="false" ht="12.75" hidden="false" customHeight="false" outlineLevel="0" collapsed="false">
      <c r="A453" s="196" t="str">
        <f aca="false">IF(A452&lt;mthend,EDATE(A452,1),"")</f>
        <v/>
      </c>
      <c r="B453" s="197" t="str">
        <f aca="false">IF(A453&lt;mthend,B452,"")</f>
        <v/>
      </c>
      <c r="D453" s="197" t="str">
        <f aca="false">IF(A454&lt;&gt;"",B453+C453,"")</f>
        <v/>
      </c>
      <c r="E453" s="199" t="str">
        <f aca="false">IF(A454="","",IF(AND(AT453=1,$H$3=1),D453*AO453,IF($H$3=2,D453,"N/A")))</f>
        <v/>
      </c>
      <c r="F453" s="199" t="str">
        <f aca="false">IF(A454="","",E453*AS453)</f>
        <v/>
      </c>
      <c r="G453" s="200" t="str">
        <f aca="false">IF($A454="","",VLOOKUP($A453,Table,MATCH(G$4,Curves,0)))</f>
        <v/>
      </c>
      <c r="H453" s="201" t="str">
        <f aca="false">IF(A454="","",G453)</f>
        <v/>
      </c>
      <c r="J453" s="200" t="str">
        <f aca="false">IF($A454="","",VLOOKUP($A453,Table,MATCH(J$4,Curves,0)))</f>
        <v/>
      </c>
      <c r="K453" s="201" t="str">
        <f aca="false">IF(A454="","",J453)</f>
        <v/>
      </c>
      <c r="L453" s="185" t="n">
        <v>0</v>
      </c>
      <c r="M453" s="201" t="str">
        <f aca="false">IF(A454="","",L453)</f>
        <v/>
      </c>
      <c r="O453" s="200" t="str">
        <f aca="false">IF(A454="","",L453+J453+G453)</f>
        <v/>
      </c>
      <c r="P453" s="200" t="str">
        <f aca="false">IF(A454="","",M453+K453+H453)</f>
        <v/>
      </c>
      <c r="R453" s="200" t="str">
        <f aca="false">IF($A454="","",VLOOKUP($A453,Table,MATCH(R$4,Curves,0)))</f>
        <v/>
      </c>
      <c r="S453" s="201" t="str">
        <f aca="false">IF(A454="","",R453)</f>
        <v/>
      </c>
      <c r="T453" s="200" t="str">
        <f aca="false">IF($A454="","",VLOOKUP($A453,Table,MATCH(T$4,Curves,0)))</f>
        <v/>
      </c>
      <c r="U453" s="201" t="str">
        <f aca="false">IF(A454="","",T453)</f>
        <v/>
      </c>
      <c r="V453" s="183" t="str">
        <f aca="false">IF($A454="","",IF(AND(MONTH(A453)&gt;3,MONTH(A453)&lt;11),(T453+R453+G453)*(((1/(1-Summary!$T$14))/(1-Summary!$W$14))-1),(T453+R453+G453)*((1/(1-Summary!$U$14))/(1-Summary!$X$14)-1)))</f>
        <v/>
      </c>
      <c r="W453" s="202" t="str">
        <f aca="false">IF($A454="","",(T453+R453+G453+V453))</f>
        <v/>
      </c>
      <c r="X453" s="202" t="str">
        <f aca="false">IF($A454="","",(U453+S453+H453+V453))</f>
        <v/>
      </c>
      <c r="Y453" s="202"/>
      <c r="Z453" s="185"/>
      <c r="AJ453" s="77"/>
      <c r="AK453" s="77"/>
      <c r="AL453" s="77"/>
      <c r="AM453" s="77"/>
      <c r="AN453" s="77"/>
      <c r="AO453" s="137" t="str">
        <f aca="false">IF(A454="","",A454-A453)</f>
        <v/>
      </c>
      <c r="AP453" s="212" t="str">
        <f aca="false">IF(A454="","",CHOOSE(F$3,A454+24,A453))</f>
        <v/>
      </c>
      <c r="AQ453" s="209" t="str">
        <f aca="false">IF(A454="","",AP453-$E$1)</f>
        <v/>
      </c>
      <c r="AR453" s="185" t="n">
        <f aca="false">'ANR OK vs ML7'!AR453</f>
        <v>0.1</v>
      </c>
      <c r="AS453" s="213" t="str">
        <f aca="false">IF(A454="","",1/(1+CHOOSE(F$3,(AR454+($I$3/10000))/2,(AR453+($I$3/10000))/2))^(2*AQ453/365.25))</f>
        <v/>
      </c>
      <c r="AT453" s="137" t="str">
        <f aca="false">IF(A454="","",IF(AND(mthbeg&lt;=A453,mthend&gt;=A453),1,0))</f>
        <v/>
      </c>
      <c r="AU453" s="137" t="str">
        <f aca="false">IF(A454="","",AO453*AT453)</f>
        <v/>
      </c>
      <c r="AW453" s="195" t="str">
        <f aca="false">IF($A454="","",AL453*$E453)</f>
        <v/>
      </c>
      <c r="AX453" s="195" t="str">
        <f aca="false">IF($A454="","",AM453*$E453)</f>
        <v/>
      </c>
      <c r="AY453" s="195" t="str">
        <f aca="false">IF($A454="","",AN453*$E453)</f>
        <v/>
      </c>
      <c r="BA453" s="195" t="str">
        <f aca="false">IF($A454="","",F453*Summary!$Q$14)</f>
        <v/>
      </c>
    </row>
    <row r="454" customFormat="false" ht="12.75" hidden="false" customHeight="false" outlineLevel="0" collapsed="false">
      <c r="A454" s="196" t="str">
        <f aca="false">IF(A453&lt;mthend,EDATE(A453,1),"")</f>
        <v/>
      </c>
      <c r="B454" s="197" t="str">
        <f aca="false">IF(A454&lt;mthend,B453,"")</f>
        <v/>
      </c>
      <c r="D454" s="197" t="str">
        <f aca="false">IF(A455&lt;&gt;"",B454+C454,"")</f>
        <v/>
      </c>
      <c r="E454" s="199" t="str">
        <f aca="false">IF(A455="","",IF(AND(AT454=1,$H$3=1),D454*AO454,IF($H$3=2,D454,"N/A")))</f>
        <v/>
      </c>
      <c r="F454" s="199" t="str">
        <f aca="false">IF(A455="","",E454*AS454)</f>
        <v/>
      </c>
      <c r="G454" s="200" t="str">
        <f aca="false">IF($A455="","",VLOOKUP($A454,Table,MATCH(G$4,Curves,0)))</f>
        <v/>
      </c>
      <c r="H454" s="201" t="str">
        <f aca="false">IF(A455="","",G454)</f>
        <v/>
      </c>
      <c r="J454" s="200" t="str">
        <f aca="false">IF($A455="","",VLOOKUP($A454,Table,MATCH(J$4,Curves,0)))</f>
        <v/>
      </c>
      <c r="K454" s="201" t="str">
        <f aca="false">IF(A455="","",J454)</f>
        <v/>
      </c>
      <c r="L454" s="185" t="n">
        <v>0</v>
      </c>
      <c r="M454" s="201" t="str">
        <f aca="false">IF(A455="","",L454)</f>
        <v/>
      </c>
      <c r="O454" s="200" t="str">
        <f aca="false">IF(A455="","",L454+J454+G454)</f>
        <v/>
      </c>
      <c r="P454" s="200" t="str">
        <f aca="false">IF(A455="","",M454+K454+H454)</f>
        <v/>
      </c>
      <c r="R454" s="200" t="str">
        <f aca="false">IF($A455="","",VLOOKUP($A454,Table,MATCH(R$4,Curves,0)))</f>
        <v/>
      </c>
      <c r="S454" s="201" t="str">
        <f aca="false">IF(A455="","",R454)</f>
        <v/>
      </c>
      <c r="T454" s="200" t="str">
        <f aca="false">IF($A455="","",VLOOKUP($A454,Table,MATCH(T$4,Curves,0)))</f>
        <v/>
      </c>
      <c r="U454" s="201" t="str">
        <f aca="false">IF(A455="","",T454)</f>
        <v/>
      </c>
      <c r="V454" s="183" t="str">
        <f aca="false">IF($A455="","",IF(AND(MONTH(A454)&gt;3,MONTH(A454)&lt;11),(T454+R454+G454)*(((1/(1-Summary!$T$14))/(1-Summary!$W$14))-1),(T454+R454+G454)*((1/(1-Summary!$U$14))/(1-Summary!$X$14)-1)))</f>
        <v/>
      </c>
      <c r="W454" s="202" t="str">
        <f aca="false">IF($A455="","",(T454+R454+G454+V454))</f>
        <v/>
      </c>
      <c r="X454" s="202" t="str">
        <f aca="false">IF($A455="","",(U454+S454+H454+V454))</f>
        <v/>
      </c>
      <c r="Y454" s="202"/>
      <c r="Z454" s="185"/>
      <c r="AJ454" s="77"/>
      <c r="AK454" s="77"/>
      <c r="AL454" s="77"/>
      <c r="AM454" s="77"/>
      <c r="AN454" s="77"/>
      <c r="AO454" s="137" t="str">
        <f aca="false">IF(A455="","",A455-A454)</f>
        <v/>
      </c>
      <c r="AP454" s="212" t="str">
        <f aca="false">IF(A455="","",CHOOSE(F$3,A455+24,A454))</f>
        <v/>
      </c>
      <c r="AQ454" s="209" t="str">
        <f aca="false">IF(A455="","",AP454-$E$1)</f>
        <v/>
      </c>
      <c r="AR454" s="185" t="n">
        <f aca="false">'ANR OK vs ML7'!AR454</f>
        <v>0.1</v>
      </c>
      <c r="AS454" s="213" t="str">
        <f aca="false">IF(A455="","",1/(1+CHOOSE(F$3,(AR455+($I$3/10000))/2,(AR454+($I$3/10000))/2))^(2*AQ454/365.25))</f>
        <v/>
      </c>
      <c r="AT454" s="137" t="str">
        <f aca="false">IF(A455="","",IF(AND(mthbeg&lt;=A454,mthend&gt;=A454),1,0))</f>
        <v/>
      </c>
      <c r="AU454" s="137" t="str">
        <f aca="false">IF(A455="","",AO454*AT454)</f>
        <v/>
      </c>
      <c r="AW454" s="195" t="str">
        <f aca="false">IF($A455="","",AL454*$E454)</f>
        <v/>
      </c>
      <c r="AX454" s="195" t="str">
        <f aca="false">IF($A455="","",AM454*$E454)</f>
        <v/>
      </c>
      <c r="AY454" s="195" t="str">
        <f aca="false">IF($A455="","",AN454*$E454)</f>
        <v/>
      </c>
      <c r="BA454" s="195" t="str">
        <f aca="false">IF($A455="","",F454*Summary!$Q$14)</f>
        <v/>
      </c>
    </row>
    <row r="455" customFormat="false" ht="12.75" hidden="false" customHeight="false" outlineLevel="0" collapsed="false">
      <c r="A455" s="196" t="str">
        <f aca="false">IF(A454&lt;mthend,EDATE(A454,1),"")</f>
        <v/>
      </c>
      <c r="B455" s="197" t="str">
        <f aca="false">IF(A455&lt;mthend,B454,"")</f>
        <v/>
      </c>
      <c r="D455" s="197" t="str">
        <f aca="false">IF(A456&lt;&gt;"",B455+C455,"")</f>
        <v/>
      </c>
      <c r="E455" s="199" t="str">
        <f aca="false">IF(A456="","",IF(AND(AT455=1,$H$3=1),D455*AO455,IF($H$3=2,D455,"N/A")))</f>
        <v/>
      </c>
      <c r="F455" s="199" t="str">
        <f aca="false">IF(A456="","",E455*AS455)</f>
        <v/>
      </c>
      <c r="G455" s="200" t="str">
        <f aca="false">IF($A456="","",VLOOKUP($A455,Table,MATCH(G$4,Curves,0)))</f>
        <v/>
      </c>
      <c r="H455" s="201" t="str">
        <f aca="false">IF(A456="","",G455)</f>
        <v/>
      </c>
      <c r="J455" s="200" t="str">
        <f aca="false">IF($A456="","",VLOOKUP($A455,Table,MATCH(J$4,Curves,0)))</f>
        <v/>
      </c>
      <c r="K455" s="201" t="str">
        <f aca="false">IF(A456="","",J455)</f>
        <v/>
      </c>
      <c r="L455" s="185" t="n">
        <v>0</v>
      </c>
      <c r="M455" s="201" t="str">
        <f aca="false">IF(A456="","",L455)</f>
        <v/>
      </c>
      <c r="O455" s="200" t="str">
        <f aca="false">IF(A456="","",L455+J455+G455)</f>
        <v/>
      </c>
      <c r="P455" s="200" t="str">
        <f aca="false">IF(A456="","",M455+K455+H455)</f>
        <v/>
      </c>
      <c r="R455" s="200" t="str">
        <f aca="false">IF($A456="","",VLOOKUP($A455,Table,MATCH(R$4,Curves,0)))</f>
        <v/>
      </c>
      <c r="S455" s="201" t="str">
        <f aca="false">IF(A456="","",R455)</f>
        <v/>
      </c>
      <c r="T455" s="200" t="str">
        <f aca="false">IF($A456="","",VLOOKUP($A455,Table,MATCH(T$4,Curves,0)))</f>
        <v/>
      </c>
      <c r="U455" s="201" t="str">
        <f aca="false">IF(A456="","",T455)</f>
        <v/>
      </c>
      <c r="V455" s="183" t="str">
        <f aca="false">IF($A456="","",IF(AND(MONTH(A455)&gt;3,MONTH(A455)&lt;11),(T455+R455+G455)*(((1/(1-Summary!$T$14))/(1-Summary!$W$14))-1),(T455+R455+G455)*((1/(1-Summary!$U$14))/(1-Summary!$X$14)-1)))</f>
        <v/>
      </c>
      <c r="W455" s="202" t="str">
        <f aca="false">IF($A456="","",(T455+R455+G455+V455))</f>
        <v/>
      </c>
      <c r="X455" s="202" t="str">
        <f aca="false">IF($A456="","",(U455+S455+H455+V455))</f>
        <v/>
      </c>
      <c r="Y455" s="202"/>
      <c r="Z455" s="185"/>
      <c r="AJ455" s="77"/>
      <c r="AK455" s="77"/>
      <c r="AL455" s="77"/>
      <c r="AM455" s="77"/>
      <c r="AN455" s="77"/>
      <c r="AO455" s="137" t="str">
        <f aca="false">IF(A456="","",A456-A455)</f>
        <v/>
      </c>
      <c r="AP455" s="212" t="str">
        <f aca="false">IF(A456="","",CHOOSE(F$3,A456+24,A455))</f>
        <v/>
      </c>
      <c r="AQ455" s="209" t="str">
        <f aca="false">IF(A456="","",AP455-$E$1)</f>
        <v/>
      </c>
      <c r="AR455" s="185" t="n">
        <f aca="false">'ANR OK vs ML7'!AR455</f>
        <v>0.1</v>
      </c>
      <c r="AS455" s="213" t="str">
        <f aca="false">IF(A456="","",1/(1+CHOOSE(F$3,(AR456+($I$3/10000))/2,(AR455+($I$3/10000))/2))^(2*AQ455/365.25))</f>
        <v/>
      </c>
      <c r="AT455" s="137" t="str">
        <f aca="false">IF(A456="","",IF(AND(mthbeg&lt;=A455,mthend&gt;=A455),1,0))</f>
        <v/>
      </c>
      <c r="AU455" s="137" t="str">
        <f aca="false">IF(A456="","",AO455*AT455)</f>
        <v/>
      </c>
      <c r="AW455" s="195" t="str">
        <f aca="false">IF($A456="","",AL455*$E455)</f>
        <v/>
      </c>
      <c r="AX455" s="195" t="str">
        <f aca="false">IF($A456="","",AM455*$E455)</f>
        <v/>
      </c>
      <c r="AY455" s="195" t="str">
        <f aca="false">IF($A456="","",AN455*$E455)</f>
        <v/>
      </c>
      <c r="BA455" s="195" t="str">
        <f aca="false">IF($A456="","",F455*Summary!$Q$14)</f>
        <v/>
      </c>
    </row>
    <row r="456" customFormat="false" ht="12.75" hidden="false" customHeight="false" outlineLevel="0" collapsed="false">
      <c r="A456" s="196" t="str">
        <f aca="false">IF(A455&lt;mthend,EDATE(A455,1),"")</f>
        <v/>
      </c>
      <c r="B456" s="197" t="str">
        <f aca="false">IF(A456&lt;mthend,B455,"")</f>
        <v/>
      </c>
      <c r="D456" s="197" t="str">
        <f aca="false">IF(A457&lt;&gt;"",B456+C456,"")</f>
        <v/>
      </c>
      <c r="E456" s="199" t="str">
        <f aca="false">IF(A457="","",IF(AND(AT456=1,$H$3=1),D456*AO456,IF($H$3=2,D456,"N/A")))</f>
        <v/>
      </c>
      <c r="F456" s="199" t="str">
        <f aca="false">IF(A457="","",E456*AS456)</f>
        <v/>
      </c>
      <c r="G456" s="200" t="str">
        <f aca="false">IF($A457="","",VLOOKUP($A456,Table,MATCH(G$4,Curves,0)))</f>
        <v/>
      </c>
      <c r="H456" s="201" t="str">
        <f aca="false">IF(A457="","",G456)</f>
        <v/>
      </c>
      <c r="J456" s="200" t="str">
        <f aca="false">IF($A457="","",VLOOKUP($A456,Table,MATCH(J$4,Curves,0)))</f>
        <v/>
      </c>
      <c r="K456" s="201" t="str">
        <f aca="false">IF(A457="","",J456)</f>
        <v/>
      </c>
      <c r="L456" s="185" t="n">
        <v>0</v>
      </c>
      <c r="M456" s="201" t="str">
        <f aca="false">IF(A457="","",L456)</f>
        <v/>
      </c>
      <c r="O456" s="200" t="str">
        <f aca="false">IF(A457="","",L456+J456+G456)</f>
        <v/>
      </c>
      <c r="P456" s="200" t="str">
        <f aca="false">IF(A457="","",M456+K456+H456)</f>
        <v/>
      </c>
      <c r="R456" s="200" t="str">
        <f aca="false">IF($A457="","",VLOOKUP($A456,Table,MATCH(R$4,Curves,0)))</f>
        <v/>
      </c>
      <c r="S456" s="201" t="str">
        <f aca="false">IF(A457="","",R456)</f>
        <v/>
      </c>
      <c r="T456" s="200" t="str">
        <f aca="false">IF($A457="","",VLOOKUP($A456,Table,MATCH(T$4,Curves,0)))</f>
        <v/>
      </c>
      <c r="U456" s="201" t="str">
        <f aca="false">IF(A457="","",T456)</f>
        <v/>
      </c>
      <c r="V456" s="183" t="str">
        <f aca="false">IF($A457="","",IF(AND(MONTH(A456)&gt;3,MONTH(A456)&lt;11),(T456+R456+G456)*(((1/(1-Summary!$T$14))/(1-Summary!$W$14))-1),(T456+R456+G456)*((1/(1-Summary!$U$14))/(1-Summary!$X$14)-1)))</f>
        <v/>
      </c>
      <c r="W456" s="202" t="str">
        <f aca="false">IF($A457="","",(T456+R456+G456+V456))</f>
        <v/>
      </c>
      <c r="X456" s="202" t="str">
        <f aca="false">IF($A457="","",(U456+S456+H456+V456))</f>
        <v/>
      </c>
      <c r="Y456" s="202"/>
      <c r="Z456" s="185"/>
      <c r="AJ456" s="77"/>
      <c r="AK456" s="77"/>
      <c r="AL456" s="77"/>
      <c r="AM456" s="77"/>
      <c r="AN456" s="77"/>
      <c r="AO456" s="137" t="str">
        <f aca="false">IF(A457="","",A457-A456)</f>
        <v/>
      </c>
      <c r="AP456" s="212" t="str">
        <f aca="false">IF(A457="","",CHOOSE(F$3,A457+24,A456))</f>
        <v/>
      </c>
      <c r="AQ456" s="209" t="str">
        <f aca="false">IF(A457="","",AP456-$E$1)</f>
        <v/>
      </c>
      <c r="AR456" s="185" t="n">
        <f aca="false">'ANR OK vs ML7'!AR456</f>
        <v>0.1</v>
      </c>
      <c r="AS456" s="213" t="str">
        <f aca="false">IF(A457="","",1/(1+CHOOSE(F$3,(AR457+($I$3/10000))/2,(AR456+($I$3/10000))/2))^(2*AQ456/365.25))</f>
        <v/>
      </c>
      <c r="AT456" s="137" t="str">
        <f aca="false">IF(A457="","",IF(AND(mthbeg&lt;=A456,mthend&gt;=A456),1,0))</f>
        <v/>
      </c>
      <c r="AU456" s="137" t="str">
        <f aca="false">IF(A457="","",AO456*AT456)</f>
        <v/>
      </c>
      <c r="AW456" s="195" t="str">
        <f aca="false">IF($A457="","",AL456*$E456)</f>
        <v/>
      </c>
      <c r="AX456" s="195" t="str">
        <f aca="false">IF($A457="","",AM456*$E456)</f>
        <v/>
      </c>
      <c r="AY456" s="195" t="str">
        <f aca="false">IF($A457="","",AN456*$E456)</f>
        <v/>
      </c>
      <c r="BA456" s="195" t="str">
        <f aca="false">IF($A457="","",F456*Summary!$Q$14)</f>
        <v/>
      </c>
    </row>
    <row r="457" customFormat="false" ht="12.75" hidden="false" customHeight="false" outlineLevel="0" collapsed="false">
      <c r="A457" s="196" t="str">
        <f aca="false">IF(A456&lt;mthend,EDATE(A456,1),"")</f>
        <v/>
      </c>
      <c r="B457" s="197" t="str">
        <f aca="false">IF(A457&lt;mthend,B456,"")</f>
        <v/>
      </c>
      <c r="D457" s="197" t="str">
        <f aca="false">IF(A458&lt;&gt;"",B457+C457,"")</f>
        <v/>
      </c>
      <c r="E457" s="199" t="str">
        <f aca="false">IF(A458="","",IF(AND(AT457=1,$H$3=1),D457*AO457,IF($H$3=2,D457,"N/A")))</f>
        <v/>
      </c>
      <c r="F457" s="199" t="str">
        <f aca="false">IF(A458="","",E457*AS457)</f>
        <v/>
      </c>
      <c r="G457" s="200" t="str">
        <f aca="false">IF($A458="","",VLOOKUP($A457,Table,MATCH(G$4,Curves,0)))</f>
        <v/>
      </c>
      <c r="H457" s="201" t="str">
        <f aca="false">IF(A458="","",G457)</f>
        <v/>
      </c>
      <c r="J457" s="200" t="str">
        <f aca="false">IF($A458="","",VLOOKUP($A457,Table,MATCH(J$4,Curves,0)))</f>
        <v/>
      </c>
      <c r="K457" s="201" t="str">
        <f aca="false">IF(A458="","",J457)</f>
        <v/>
      </c>
      <c r="L457" s="185" t="n">
        <v>0</v>
      </c>
      <c r="M457" s="201" t="str">
        <f aca="false">IF(A458="","",L457)</f>
        <v/>
      </c>
      <c r="O457" s="200" t="str">
        <f aca="false">IF(A458="","",L457+J457+G457)</f>
        <v/>
      </c>
      <c r="P457" s="200" t="str">
        <f aca="false">IF(A458="","",M457+K457+H457)</f>
        <v/>
      </c>
      <c r="R457" s="200" t="str">
        <f aca="false">IF($A458="","",VLOOKUP($A457,Table,MATCH(R$4,Curves,0)))</f>
        <v/>
      </c>
      <c r="S457" s="201" t="str">
        <f aca="false">IF(A458="","",R457)</f>
        <v/>
      </c>
      <c r="T457" s="200" t="str">
        <f aca="false">IF($A458="","",VLOOKUP($A457,Table,MATCH(T$4,Curves,0)))</f>
        <v/>
      </c>
      <c r="U457" s="201" t="str">
        <f aca="false">IF(A458="","",T457)</f>
        <v/>
      </c>
      <c r="V457" s="183" t="str">
        <f aca="false">IF($A458="","",IF(AND(MONTH(A457)&gt;3,MONTH(A457)&lt;11),(T457+R457+G457)*(((1/(1-Summary!$T$14))/(1-Summary!$W$14))-1),(T457+R457+G457)*((1/(1-Summary!$U$14))/(1-Summary!$X$14)-1)))</f>
        <v/>
      </c>
      <c r="W457" s="202" t="str">
        <f aca="false">IF($A458="","",(T457+R457+G457+V457))</f>
        <v/>
      </c>
      <c r="X457" s="202" t="str">
        <f aca="false">IF($A458="","",(U457+S457+H457+V457))</f>
        <v/>
      </c>
      <c r="Y457" s="202"/>
      <c r="Z457" s="185"/>
      <c r="AJ457" s="77"/>
      <c r="AK457" s="77"/>
      <c r="AL457" s="77"/>
      <c r="AM457" s="77"/>
      <c r="AN457" s="77"/>
      <c r="AO457" s="137" t="str">
        <f aca="false">IF(A458="","",A458-A457)</f>
        <v/>
      </c>
      <c r="AP457" s="212" t="str">
        <f aca="false">IF(A458="","",CHOOSE(F$3,A458+24,A457))</f>
        <v/>
      </c>
      <c r="AQ457" s="209" t="str">
        <f aca="false">IF(A458="","",AP457-$E$1)</f>
        <v/>
      </c>
      <c r="AR457" s="185" t="n">
        <f aca="false">'ANR OK vs ML7'!AR457</f>
        <v>0.1</v>
      </c>
      <c r="AS457" s="213" t="str">
        <f aca="false">IF(A458="","",1/(1+CHOOSE(F$3,(AR458+($I$3/10000))/2,(AR457+($I$3/10000))/2))^(2*AQ457/365.25))</f>
        <v/>
      </c>
      <c r="AT457" s="137" t="str">
        <f aca="false">IF(A458="","",IF(AND(mthbeg&lt;=A457,mthend&gt;=A457),1,0))</f>
        <v/>
      </c>
      <c r="AU457" s="137" t="str">
        <f aca="false">IF(A458="","",AO457*AT457)</f>
        <v/>
      </c>
      <c r="AW457" s="195" t="str">
        <f aca="false">IF($A458="","",AL457*$E457)</f>
        <v/>
      </c>
      <c r="AX457" s="195" t="str">
        <f aca="false">IF($A458="","",AM457*$E457)</f>
        <v/>
      </c>
      <c r="AY457" s="195" t="str">
        <f aca="false">IF($A458="","",AN457*$E457)</f>
        <v/>
      </c>
      <c r="BA457" s="195" t="str">
        <f aca="false">IF($A458="","",F457*Summary!$Q$14)</f>
        <v/>
      </c>
    </row>
    <row r="458" customFormat="false" ht="12.75" hidden="false" customHeight="false" outlineLevel="0" collapsed="false">
      <c r="A458" s="196" t="str">
        <f aca="false">IF(A457&lt;mthend,EDATE(A457,1),"")</f>
        <v/>
      </c>
      <c r="B458" s="197" t="str">
        <f aca="false">IF(A458&lt;mthend,B457,"")</f>
        <v/>
      </c>
      <c r="D458" s="197" t="str">
        <f aca="false">IF(A459&lt;&gt;"",B458+C458,"")</f>
        <v/>
      </c>
      <c r="E458" s="199" t="str">
        <f aca="false">IF(A459="","",IF(AND(AT458=1,$H$3=1),D458*AO458,IF($H$3=2,D458,"N/A")))</f>
        <v/>
      </c>
      <c r="F458" s="199" t="str">
        <f aca="false">IF(A459="","",E458*AS458)</f>
        <v/>
      </c>
      <c r="G458" s="200" t="str">
        <f aca="false">IF($A459="","",VLOOKUP($A458,Table,MATCH(G$4,Curves,0)))</f>
        <v/>
      </c>
      <c r="H458" s="201" t="str">
        <f aca="false">IF(A459="","",G458)</f>
        <v/>
      </c>
      <c r="J458" s="200" t="str">
        <f aca="false">IF($A459="","",VLOOKUP($A458,Table,MATCH(J$4,Curves,0)))</f>
        <v/>
      </c>
      <c r="K458" s="201" t="str">
        <f aca="false">IF(A459="","",J458)</f>
        <v/>
      </c>
      <c r="L458" s="185" t="n">
        <v>0</v>
      </c>
      <c r="M458" s="201" t="str">
        <f aca="false">IF(A459="","",L458)</f>
        <v/>
      </c>
      <c r="O458" s="200" t="str">
        <f aca="false">IF(A459="","",L458+J458+G458)</f>
        <v/>
      </c>
      <c r="P458" s="200" t="str">
        <f aca="false">IF(A459="","",M458+K458+H458)</f>
        <v/>
      </c>
      <c r="R458" s="200" t="str">
        <f aca="false">IF($A459="","",VLOOKUP($A458,Table,MATCH(R$4,Curves,0)))</f>
        <v/>
      </c>
      <c r="S458" s="201" t="str">
        <f aca="false">IF(A459="","",R458)</f>
        <v/>
      </c>
      <c r="T458" s="200" t="str">
        <f aca="false">IF($A459="","",VLOOKUP($A458,Table,MATCH(T$4,Curves,0)))</f>
        <v/>
      </c>
      <c r="U458" s="201" t="str">
        <f aca="false">IF(A459="","",T458)</f>
        <v/>
      </c>
      <c r="V458" s="183" t="str">
        <f aca="false">IF($A459="","",IF(AND(MONTH(A458)&gt;3,MONTH(A458)&lt;11),(T458+R458+G458)*(((1/(1-Summary!$T$14))/(1-Summary!$W$14))-1),(T458+R458+G458)*((1/(1-Summary!$U$14))/(1-Summary!$X$14)-1)))</f>
        <v/>
      </c>
      <c r="W458" s="202" t="str">
        <f aca="false">IF($A459="","",(T458+R458+G458+V458))</f>
        <v/>
      </c>
      <c r="X458" s="202" t="str">
        <f aca="false">IF($A459="","",(U458+S458+H458+V458))</f>
        <v/>
      </c>
      <c r="Y458" s="202"/>
      <c r="Z458" s="185"/>
      <c r="AJ458" s="77"/>
      <c r="AK458" s="77"/>
      <c r="AL458" s="77"/>
      <c r="AM458" s="77"/>
      <c r="AN458" s="77"/>
      <c r="AO458" s="137" t="str">
        <f aca="false">IF(A459="","",A459-A458)</f>
        <v/>
      </c>
      <c r="AP458" s="212" t="str">
        <f aca="false">IF(A459="","",CHOOSE(F$3,A459+24,A458))</f>
        <v/>
      </c>
      <c r="AQ458" s="209" t="str">
        <f aca="false">IF(A459="","",AP458-$E$1)</f>
        <v/>
      </c>
      <c r="AR458" s="185" t="n">
        <f aca="false">'ANR OK vs ML7'!AR458</f>
        <v>0.1</v>
      </c>
      <c r="AS458" s="213" t="str">
        <f aca="false">IF(A459="","",1/(1+CHOOSE(F$3,(AR459+($I$3/10000))/2,(AR458+($I$3/10000))/2))^(2*AQ458/365.25))</f>
        <v/>
      </c>
      <c r="AT458" s="137" t="str">
        <f aca="false">IF(A459="","",IF(AND(mthbeg&lt;=A458,mthend&gt;=A458),1,0))</f>
        <v/>
      </c>
      <c r="AU458" s="137" t="str">
        <f aca="false">IF(A459="","",AO458*AT458)</f>
        <v/>
      </c>
      <c r="AW458" s="195" t="str">
        <f aca="false">IF($A459="","",AL458*$E458)</f>
        <v/>
      </c>
      <c r="AX458" s="195" t="str">
        <f aca="false">IF($A459="","",AM458*$E458)</f>
        <v/>
      </c>
      <c r="AY458" s="195" t="str">
        <f aca="false">IF($A459="","",AN458*$E458)</f>
        <v/>
      </c>
      <c r="BA458" s="195" t="str">
        <f aca="false">IF($A459="","",F458*Summary!$Q$14)</f>
        <v/>
      </c>
    </row>
    <row r="459" customFormat="false" ht="12.75" hidden="false" customHeight="false" outlineLevel="0" collapsed="false">
      <c r="A459" s="196" t="str">
        <f aca="false">IF(A458&lt;mthend,EDATE(A458,1),"")</f>
        <v/>
      </c>
      <c r="B459" s="197" t="str">
        <f aca="false">IF(A459&lt;mthend,B458,"")</f>
        <v/>
      </c>
      <c r="D459" s="197" t="str">
        <f aca="false">IF(A460&lt;&gt;"",B459+C459,"")</f>
        <v/>
      </c>
      <c r="E459" s="199" t="str">
        <f aca="false">IF(A460="","",IF(AND(AT459=1,$H$3=1),D459*AO459,IF($H$3=2,D459,"N/A")))</f>
        <v/>
      </c>
      <c r="F459" s="199" t="str">
        <f aca="false">IF(A460="","",E459*AS459)</f>
        <v/>
      </c>
      <c r="G459" s="200" t="str">
        <f aca="false">IF($A460="","",VLOOKUP($A459,Table,MATCH(G$4,Curves,0)))</f>
        <v/>
      </c>
      <c r="H459" s="201" t="str">
        <f aca="false">IF(A460="","",G459)</f>
        <v/>
      </c>
      <c r="J459" s="200" t="str">
        <f aca="false">IF($A460="","",VLOOKUP($A459,Table,MATCH(J$4,Curves,0)))</f>
        <v/>
      </c>
      <c r="K459" s="201" t="str">
        <f aca="false">IF(A460="","",J459)</f>
        <v/>
      </c>
      <c r="L459" s="185" t="n">
        <v>0</v>
      </c>
      <c r="M459" s="201" t="str">
        <f aca="false">IF(A460="","",L459)</f>
        <v/>
      </c>
      <c r="O459" s="200" t="str">
        <f aca="false">IF(A460="","",L459+J459+G459)</f>
        <v/>
      </c>
      <c r="P459" s="200" t="str">
        <f aca="false">IF(A460="","",M459+K459+H459)</f>
        <v/>
      </c>
      <c r="R459" s="200" t="str">
        <f aca="false">IF($A460="","",VLOOKUP($A459,Table,MATCH(R$4,Curves,0)))</f>
        <v/>
      </c>
      <c r="S459" s="201" t="str">
        <f aca="false">IF(A460="","",R459)</f>
        <v/>
      </c>
      <c r="T459" s="200" t="str">
        <f aca="false">IF($A460="","",VLOOKUP($A459,Table,MATCH(T$4,Curves,0)))</f>
        <v/>
      </c>
      <c r="U459" s="201" t="str">
        <f aca="false">IF(A460="","",T459)</f>
        <v/>
      </c>
      <c r="V459" s="183" t="str">
        <f aca="false">IF($A460="","",IF(AND(MONTH(A459)&gt;3,MONTH(A459)&lt;11),(T459+R459+G459)*(((1/(1-Summary!$T$14))/(1-Summary!$W$14))-1),(T459+R459+G459)*((1/(1-Summary!$U$14))/(1-Summary!$X$14)-1)))</f>
        <v/>
      </c>
      <c r="W459" s="202" t="str">
        <f aca="false">IF($A460="","",(T459+R459+G459+V459))</f>
        <v/>
      </c>
      <c r="X459" s="202" t="str">
        <f aca="false">IF($A460="","",(U459+S459+H459+V459))</f>
        <v/>
      </c>
      <c r="Y459" s="202"/>
      <c r="Z459" s="185"/>
      <c r="AJ459" s="77"/>
      <c r="AK459" s="77"/>
      <c r="AL459" s="77"/>
      <c r="AM459" s="77"/>
      <c r="AN459" s="77"/>
      <c r="AO459" s="137" t="str">
        <f aca="false">IF(A460="","",A460-A459)</f>
        <v/>
      </c>
      <c r="AP459" s="212" t="str">
        <f aca="false">IF(A460="","",CHOOSE(F$3,A460+24,A459))</f>
        <v/>
      </c>
      <c r="AQ459" s="209" t="str">
        <f aca="false">IF(A460="","",AP459-$E$1)</f>
        <v/>
      </c>
      <c r="AR459" s="185" t="n">
        <f aca="false">'ANR OK vs ML7'!AR459</f>
        <v>0.1</v>
      </c>
      <c r="AS459" s="213" t="str">
        <f aca="false">IF(A460="","",1/(1+CHOOSE(F$3,(AR460+($I$3/10000))/2,(AR459+($I$3/10000))/2))^(2*AQ459/365.25))</f>
        <v/>
      </c>
      <c r="AT459" s="137" t="str">
        <f aca="false">IF(A460="","",IF(AND(mthbeg&lt;=A459,mthend&gt;=A459),1,0))</f>
        <v/>
      </c>
      <c r="AU459" s="137" t="str">
        <f aca="false">IF(A460="","",AO459*AT459)</f>
        <v/>
      </c>
      <c r="AW459" s="195" t="str">
        <f aca="false">IF($A460="","",AL459*$E459)</f>
        <v/>
      </c>
      <c r="AX459" s="195" t="str">
        <f aca="false">IF($A460="","",AM459*$E459)</f>
        <v/>
      </c>
      <c r="AY459" s="195" t="str">
        <f aca="false">IF($A460="","",AN459*$E459)</f>
        <v/>
      </c>
      <c r="BA459" s="195" t="str">
        <f aca="false">IF($A460="","",F459*Summary!$Q$14)</f>
        <v/>
      </c>
    </row>
    <row r="460" customFormat="false" ht="12.75" hidden="false" customHeight="false" outlineLevel="0" collapsed="false">
      <c r="A460" s="196" t="str">
        <f aca="false">IF(A459&lt;mthend,EDATE(A459,1),"")</f>
        <v/>
      </c>
      <c r="B460" s="197" t="str">
        <f aca="false">IF(A460&lt;mthend,B459,"")</f>
        <v/>
      </c>
      <c r="D460" s="197" t="str">
        <f aca="false">IF(A461&lt;&gt;"",B460+C460,"")</f>
        <v/>
      </c>
      <c r="E460" s="199" t="str">
        <f aca="false">IF(A461="","",IF(AND(AT460=1,$H$3=1),D460*AO460,IF($H$3=2,D460,"N/A")))</f>
        <v/>
      </c>
      <c r="F460" s="199" t="str">
        <f aca="false">IF(A461="","",E460*AS460)</f>
        <v/>
      </c>
      <c r="G460" s="200" t="str">
        <f aca="false">IF($A461="","",VLOOKUP($A460,Table,MATCH(G$4,Curves,0)))</f>
        <v/>
      </c>
      <c r="H460" s="201" t="str">
        <f aca="false">IF(A461="","",G460)</f>
        <v/>
      </c>
      <c r="J460" s="200" t="str">
        <f aca="false">IF($A461="","",VLOOKUP($A460,Table,MATCH(J$4,Curves,0)))</f>
        <v/>
      </c>
      <c r="K460" s="201" t="str">
        <f aca="false">IF(A461="","",J460)</f>
        <v/>
      </c>
      <c r="L460" s="185" t="n">
        <v>0</v>
      </c>
      <c r="M460" s="201" t="str">
        <f aca="false">IF(A461="","",L460)</f>
        <v/>
      </c>
      <c r="O460" s="200" t="str">
        <f aca="false">IF(A461="","",L460+J460+G460)</f>
        <v/>
      </c>
      <c r="P460" s="200" t="str">
        <f aca="false">IF(A461="","",M460+K460+H460)</f>
        <v/>
      </c>
      <c r="R460" s="200" t="str">
        <f aca="false">IF($A461="","",VLOOKUP($A460,Table,MATCH(R$4,Curves,0)))</f>
        <v/>
      </c>
      <c r="S460" s="201" t="str">
        <f aca="false">IF(A461="","",R460)</f>
        <v/>
      </c>
      <c r="T460" s="200" t="str">
        <f aca="false">IF($A461="","",VLOOKUP($A460,Table,MATCH(T$4,Curves,0)))</f>
        <v/>
      </c>
      <c r="U460" s="201" t="str">
        <f aca="false">IF(A461="","",T460)</f>
        <v/>
      </c>
      <c r="V460" s="183" t="str">
        <f aca="false">IF($A461="","",IF(AND(MONTH(A460)&gt;3,MONTH(A460)&lt;11),(T460+R460+G460)*(((1/(1-Summary!$T$14))/(1-Summary!$W$14))-1),(T460+R460+G460)*((1/(1-Summary!$U$14))/(1-Summary!$X$14)-1)))</f>
        <v/>
      </c>
      <c r="W460" s="202" t="str">
        <f aca="false">IF($A461="","",(T460+R460+G460+V460))</f>
        <v/>
      </c>
      <c r="X460" s="202" t="str">
        <f aca="false">IF($A461="","",(U460+S460+H460+V460))</f>
        <v/>
      </c>
      <c r="Y460" s="202"/>
      <c r="Z460" s="185"/>
      <c r="AJ460" s="77"/>
      <c r="AK460" s="77"/>
      <c r="AL460" s="77"/>
      <c r="AM460" s="77"/>
      <c r="AN460" s="77"/>
      <c r="AO460" s="137" t="str">
        <f aca="false">IF(A461="","",A461-A460)</f>
        <v/>
      </c>
      <c r="AP460" s="212" t="str">
        <f aca="false">IF(A461="","",CHOOSE(F$3,A461+24,A460))</f>
        <v/>
      </c>
      <c r="AQ460" s="209" t="str">
        <f aca="false">IF(A461="","",AP460-$E$1)</f>
        <v/>
      </c>
      <c r="AR460" s="185" t="n">
        <f aca="false">'ANR OK vs ML7'!AR460</f>
        <v>0.1</v>
      </c>
      <c r="AS460" s="213" t="str">
        <f aca="false">IF(A461="","",1/(1+CHOOSE(F$3,(AR461+($I$3/10000))/2,(AR460+($I$3/10000))/2))^(2*AQ460/365.25))</f>
        <v/>
      </c>
      <c r="AT460" s="137" t="str">
        <f aca="false">IF(A461="","",IF(AND(mthbeg&lt;=A460,mthend&gt;=A460),1,0))</f>
        <v/>
      </c>
      <c r="AU460" s="137" t="str">
        <f aca="false">IF(A461="","",AO460*AT460)</f>
        <v/>
      </c>
      <c r="AW460" s="195" t="str">
        <f aca="false">IF($A461="","",AL460*$E460)</f>
        <v/>
      </c>
      <c r="AX460" s="195" t="str">
        <f aca="false">IF($A461="","",AM460*$E460)</f>
        <v/>
      </c>
      <c r="AY460" s="195" t="str">
        <f aca="false">IF($A461="","",AN460*$E460)</f>
        <v/>
      </c>
      <c r="BA460" s="195" t="str">
        <f aca="false">IF($A461="","",F460*Summary!$Q$14)</f>
        <v/>
      </c>
    </row>
    <row r="461" customFormat="false" ht="12.75" hidden="false" customHeight="false" outlineLevel="0" collapsed="false">
      <c r="A461" s="196" t="str">
        <f aca="false">IF(A460&lt;mthend,EDATE(A460,1),"")</f>
        <v/>
      </c>
      <c r="B461" s="197" t="str">
        <f aca="false">IF(A461&lt;mthend,B460,"")</f>
        <v/>
      </c>
      <c r="D461" s="197" t="str">
        <f aca="false">IF(A462&lt;&gt;"",B461+C461,"")</f>
        <v/>
      </c>
      <c r="E461" s="199" t="str">
        <f aca="false">IF(A462="","",IF(AND(AT461=1,$H$3=1),D461*AO461,IF($H$3=2,D461,"N/A")))</f>
        <v/>
      </c>
      <c r="F461" s="199" t="str">
        <f aca="false">IF(A462="","",E461*AS461)</f>
        <v/>
      </c>
      <c r="G461" s="200" t="str">
        <f aca="false">IF($A462="","",VLOOKUP($A461,Table,MATCH(G$4,Curves,0)))</f>
        <v/>
      </c>
      <c r="H461" s="201" t="str">
        <f aca="false">IF(A462="","",G461)</f>
        <v/>
      </c>
      <c r="J461" s="200" t="str">
        <f aca="false">IF($A462="","",VLOOKUP($A461,Table,MATCH(J$4,Curves,0)))</f>
        <v/>
      </c>
      <c r="K461" s="201" t="str">
        <f aca="false">IF(A462="","",J461)</f>
        <v/>
      </c>
      <c r="L461" s="185" t="n">
        <v>0</v>
      </c>
      <c r="M461" s="201" t="str">
        <f aca="false">IF(A462="","",L461)</f>
        <v/>
      </c>
      <c r="O461" s="200" t="str">
        <f aca="false">IF(A462="","",L461+J461+G461)</f>
        <v/>
      </c>
      <c r="P461" s="200" t="str">
        <f aca="false">IF(A462="","",M461+K461+H461)</f>
        <v/>
      </c>
      <c r="R461" s="200" t="str">
        <f aca="false">IF($A462="","",VLOOKUP($A461,Table,MATCH(R$4,Curves,0)))</f>
        <v/>
      </c>
      <c r="S461" s="201" t="str">
        <f aca="false">IF(A462="","",R461)</f>
        <v/>
      </c>
      <c r="T461" s="200" t="str">
        <f aca="false">IF($A462="","",VLOOKUP($A461,Table,MATCH(T$4,Curves,0)))</f>
        <v/>
      </c>
      <c r="U461" s="201" t="str">
        <f aca="false">IF(A462="","",T461)</f>
        <v/>
      </c>
      <c r="V461" s="183" t="str">
        <f aca="false">IF($A462="","",IF(AND(MONTH(A461)&gt;3,MONTH(A461)&lt;11),(T461+R461+G461)*(((1/(1-Summary!$T$14))/(1-Summary!$W$14))-1),(T461+R461+G461)*((1/(1-Summary!$U$14))/(1-Summary!$X$14)-1)))</f>
        <v/>
      </c>
      <c r="W461" s="202" t="str">
        <f aca="false">IF($A462="","",(T461+R461+G461+V461))</f>
        <v/>
      </c>
      <c r="X461" s="202" t="str">
        <f aca="false">IF($A462="","",(U461+S461+H461+V461))</f>
        <v/>
      </c>
      <c r="Y461" s="202"/>
      <c r="Z461" s="185"/>
      <c r="AJ461" s="77"/>
      <c r="AK461" s="77"/>
      <c r="AL461" s="77"/>
      <c r="AM461" s="77"/>
      <c r="AN461" s="77"/>
      <c r="AO461" s="137" t="str">
        <f aca="false">IF(A462="","",A462-A461)</f>
        <v/>
      </c>
      <c r="AP461" s="212" t="str">
        <f aca="false">IF(A462="","",CHOOSE(F$3,A462+24,A461))</f>
        <v/>
      </c>
      <c r="AQ461" s="209" t="str">
        <f aca="false">IF(A462="","",AP461-$E$1)</f>
        <v/>
      </c>
      <c r="AR461" s="185" t="n">
        <f aca="false">'ANR OK vs ML7'!AR461</f>
        <v>0.1</v>
      </c>
      <c r="AS461" s="213" t="str">
        <f aca="false">IF(A462="","",1/(1+CHOOSE(F$3,(AR462+($I$3/10000))/2,(AR461+($I$3/10000))/2))^(2*AQ461/365.25))</f>
        <v/>
      </c>
      <c r="AT461" s="137" t="str">
        <f aca="false">IF(A462="","",IF(AND(mthbeg&lt;=A461,mthend&gt;=A461),1,0))</f>
        <v/>
      </c>
      <c r="AU461" s="137" t="str">
        <f aca="false">IF(A462="","",AO461*AT461)</f>
        <v/>
      </c>
      <c r="AW461" s="195" t="str">
        <f aca="false">IF($A462="","",AL461*$E461)</f>
        <v/>
      </c>
      <c r="AX461" s="195" t="str">
        <f aca="false">IF($A462="","",AM461*$E461)</f>
        <v/>
      </c>
      <c r="AY461" s="195" t="str">
        <f aca="false">IF($A462="","",AN461*$E461)</f>
        <v/>
      </c>
      <c r="BA461" s="195" t="str">
        <f aca="false">IF($A462="","",F461*Summary!$Q$14)</f>
        <v/>
      </c>
    </row>
    <row r="462" customFormat="false" ht="12.75" hidden="false" customHeight="false" outlineLevel="0" collapsed="false">
      <c r="A462" s="196" t="str">
        <f aca="false">IF(A461&lt;mthend,EDATE(A461,1),"")</f>
        <v/>
      </c>
      <c r="B462" s="197" t="str">
        <f aca="false">IF(A462&lt;mthend,B461,"")</f>
        <v/>
      </c>
      <c r="D462" s="197" t="str">
        <f aca="false">IF(A463&lt;&gt;"",B462+C462,"")</f>
        <v/>
      </c>
      <c r="E462" s="199" t="str">
        <f aca="false">IF(A463="","",IF(AND(AT462=1,$H$3=1),D462*AO462,IF($H$3=2,D462,"N/A")))</f>
        <v/>
      </c>
      <c r="F462" s="199" t="str">
        <f aca="false">IF(A463="","",E462*AS462)</f>
        <v/>
      </c>
      <c r="G462" s="200" t="str">
        <f aca="false">IF($A463="","",VLOOKUP($A462,Table,MATCH(G$4,Curves,0)))</f>
        <v/>
      </c>
      <c r="H462" s="201" t="str">
        <f aca="false">IF(A463="","",G462)</f>
        <v/>
      </c>
      <c r="J462" s="200" t="str">
        <f aca="false">IF($A463="","",VLOOKUP($A462,Table,MATCH(J$4,Curves,0)))</f>
        <v/>
      </c>
      <c r="K462" s="201" t="str">
        <f aca="false">IF(A463="","",J462)</f>
        <v/>
      </c>
      <c r="L462" s="185" t="n">
        <v>0</v>
      </c>
      <c r="M462" s="201" t="str">
        <f aca="false">IF(A463="","",L462)</f>
        <v/>
      </c>
      <c r="O462" s="200" t="str">
        <f aca="false">IF(A463="","",L462+J462+G462)</f>
        <v/>
      </c>
      <c r="P462" s="200" t="str">
        <f aca="false">IF(A463="","",M462+K462+H462)</f>
        <v/>
      </c>
      <c r="R462" s="200" t="str">
        <f aca="false">IF($A463="","",VLOOKUP($A462,Table,MATCH(R$4,Curves,0)))</f>
        <v/>
      </c>
      <c r="S462" s="201" t="str">
        <f aca="false">IF(A463="","",R462)</f>
        <v/>
      </c>
      <c r="T462" s="200" t="str">
        <f aca="false">IF($A463="","",VLOOKUP($A462,Table,MATCH(T$4,Curves,0)))</f>
        <v/>
      </c>
      <c r="U462" s="201" t="str">
        <f aca="false">IF(A463="","",T462)</f>
        <v/>
      </c>
      <c r="V462" s="183" t="str">
        <f aca="false">IF($A463="","",IF(AND(MONTH(A462)&gt;3,MONTH(A462)&lt;11),(T462+R462+G462)*(((1/(1-Summary!$T$14))/(1-Summary!$W$14))-1),(T462+R462+G462)*((1/(1-Summary!$U$14))/(1-Summary!$X$14)-1)))</f>
        <v/>
      </c>
      <c r="W462" s="202" t="str">
        <f aca="false">IF($A463="","",(T462+R462+G462+V462))</f>
        <v/>
      </c>
      <c r="X462" s="202" t="str">
        <f aca="false">IF($A463="","",(U462+S462+H462+V462))</f>
        <v/>
      </c>
      <c r="Y462" s="202"/>
      <c r="Z462" s="185"/>
      <c r="AJ462" s="77"/>
      <c r="AK462" s="77"/>
      <c r="AL462" s="77"/>
      <c r="AM462" s="77"/>
      <c r="AN462" s="77"/>
      <c r="AO462" s="137" t="str">
        <f aca="false">IF(A463="","",A463-A462)</f>
        <v/>
      </c>
      <c r="AP462" s="212" t="str">
        <f aca="false">IF(A463="","",CHOOSE(F$3,A463+24,A462))</f>
        <v/>
      </c>
      <c r="AQ462" s="209" t="str">
        <f aca="false">IF(A463="","",AP462-$E$1)</f>
        <v/>
      </c>
      <c r="AR462" s="185" t="n">
        <f aca="false">'ANR OK vs ML7'!AR462</f>
        <v>0.1</v>
      </c>
      <c r="AS462" s="213" t="str">
        <f aca="false">IF(A463="","",1/(1+CHOOSE(F$3,(AR463+($I$3/10000))/2,(AR462+($I$3/10000))/2))^(2*AQ462/365.25))</f>
        <v/>
      </c>
      <c r="AT462" s="137" t="str">
        <f aca="false">IF(A463="","",IF(AND(mthbeg&lt;=A462,mthend&gt;=A462),1,0))</f>
        <v/>
      </c>
      <c r="AU462" s="137" t="str">
        <f aca="false">IF(A463="","",AO462*AT462)</f>
        <v/>
      </c>
      <c r="AW462" s="195" t="str">
        <f aca="false">IF($A463="","",AL462*$E462)</f>
        <v/>
      </c>
      <c r="AX462" s="195" t="str">
        <f aca="false">IF($A463="","",AM462*$E462)</f>
        <v/>
      </c>
      <c r="AY462" s="195" t="str">
        <f aca="false">IF($A463="","",AN462*$E462)</f>
        <v/>
      </c>
      <c r="BA462" s="195" t="str">
        <f aca="false">IF($A463="","",F462*Summary!$Q$14)</f>
        <v/>
      </c>
    </row>
    <row r="463" customFormat="false" ht="12.75" hidden="false" customHeight="false" outlineLevel="0" collapsed="false">
      <c r="A463" s="196" t="str">
        <f aca="false">IF(A462&lt;mthend,EDATE(A462,1),"")</f>
        <v/>
      </c>
      <c r="B463" s="197" t="str">
        <f aca="false">IF(A463&lt;mthend,B462,"")</f>
        <v/>
      </c>
      <c r="D463" s="197" t="str">
        <f aca="false">IF(A464&lt;&gt;"",B463+C463,"")</f>
        <v/>
      </c>
      <c r="E463" s="199" t="str">
        <f aca="false">IF(A464="","",IF(AND(AT463=1,$H$3=1),D463*AO463,IF($H$3=2,D463,"N/A")))</f>
        <v/>
      </c>
      <c r="F463" s="199" t="str">
        <f aca="false">IF(A464="","",E463*AS463)</f>
        <v/>
      </c>
      <c r="G463" s="200" t="str">
        <f aca="false">IF($A464="","",VLOOKUP($A463,Table,MATCH(G$4,Curves,0)))</f>
        <v/>
      </c>
      <c r="H463" s="201" t="str">
        <f aca="false">IF(A464="","",G463)</f>
        <v/>
      </c>
      <c r="J463" s="200" t="str">
        <f aca="false">IF($A464="","",VLOOKUP($A463,Table,MATCH(J$4,Curves,0)))</f>
        <v/>
      </c>
      <c r="K463" s="201" t="str">
        <f aca="false">IF(A464="","",J463)</f>
        <v/>
      </c>
      <c r="L463" s="185" t="n">
        <v>0</v>
      </c>
      <c r="M463" s="201" t="str">
        <f aca="false">IF(A464="","",L463)</f>
        <v/>
      </c>
      <c r="O463" s="200" t="str">
        <f aca="false">IF(A464="","",L463+J463+G463)</f>
        <v/>
      </c>
      <c r="P463" s="200" t="str">
        <f aca="false">IF(A464="","",M463+K463+H463)</f>
        <v/>
      </c>
      <c r="R463" s="200" t="str">
        <f aca="false">IF($A464="","",VLOOKUP($A463,Table,MATCH(R$4,Curves,0)))</f>
        <v/>
      </c>
      <c r="S463" s="201" t="str">
        <f aca="false">IF(A464="","",R463)</f>
        <v/>
      </c>
      <c r="T463" s="200" t="str">
        <f aca="false">IF($A464="","",VLOOKUP($A463,Table,MATCH(T$4,Curves,0)))</f>
        <v/>
      </c>
      <c r="U463" s="201" t="str">
        <f aca="false">IF(A464="","",T463)</f>
        <v/>
      </c>
      <c r="V463" s="183" t="str">
        <f aca="false">IF($A464="","",IF(AND(MONTH(A463)&gt;3,MONTH(A463)&lt;11),(T463+R463+G463)*(((1/(1-Summary!$T$14))/(1-Summary!$W$14))-1),(T463+R463+G463)*((1/(1-Summary!$U$14))/(1-Summary!$X$14)-1)))</f>
        <v/>
      </c>
      <c r="W463" s="202" t="str">
        <f aca="false">IF($A464="","",(T463+R463+G463+V463))</f>
        <v/>
      </c>
      <c r="X463" s="202" t="str">
        <f aca="false">IF($A464="","",(U463+S463+H463+V463))</f>
        <v/>
      </c>
      <c r="Y463" s="202"/>
      <c r="Z463" s="185"/>
      <c r="AJ463" s="77"/>
      <c r="AK463" s="77"/>
      <c r="AL463" s="77"/>
      <c r="AM463" s="77"/>
      <c r="AN463" s="77"/>
      <c r="AO463" s="137" t="str">
        <f aca="false">IF(A464="","",A464-A463)</f>
        <v/>
      </c>
      <c r="AP463" s="212" t="str">
        <f aca="false">IF(A464="","",CHOOSE(F$3,A464+24,A463))</f>
        <v/>
      </c>
      <c r="AQ463" s="209" t="str">
        <f aca="false">IF(A464="","",AP463-$E$1)</f>
        <v/>
      </c>
      <c r="AR463" s="185" t="n">
        <f aca="false">'ANR OK vs ML7'!AR463</f>
        <v>0.1</v>
      </c>
      <c r="AS463" s="213" t="str">
        <f aca="false">IF(A464="","",1/(1+CHOOSE(F$3,(AR464+($I$3/10000))/2,(AR463+($I$3/10000))/2))^(2*AQ463/365.25))</f>
        <v/>
      </c>
      <c r="AT463" s="137" t="str">
        <f aca="false">IF(A464="","",IF(AND(mthbeg&lt;=A463,mthend&gt;=A463),1,0))</f>
        <v/>
      </c>
      <c r="AU463" s="137" t="str">
        <f aca="false">IF(A464="","",AO463*AT463)</f>
        <v/>
      </c>
      <c r="AW463" s="195" t="str">
        <f aca="false">IF($A464="","",AL463*$E463)</f>
        <v/>
      </c>
      <c r="AX463" s="195" t="str">
        <f aca="false">IF($A464="","",AM463*$E463)</f>
        <v/>
      </c>
      <c r="AY463" s="195" t="str">
        <f aca="false">IF($A464="","",AN463*$E463)</f>
        <v/>
      </c>
      <c r="BA463" s="195" t="str">
        <f aca="false">IF($A464="","",F463*Summary!$Q$14)</f>
        <v/>
      </c>
    </row>
    <row r="464" customFormat="false" ht="12.75" hidden="false" customHeight="false" outlineLevel="0" collapsed="false">
      <c r="A464" s="196" t="str">
        <f aca="false">IF(A463&lt;mthend,EDATE(A463,1),"")</f>
        <v/>
      </c>
      <c r="B464" s="197" t="str">
        <f aca="false">IF(A464&lt;mthend,B463,"")</f>
        <v/>
      </c>
      <c r="D464" s="197" t="str">
        <f aca="false">IF(A465&lt;&gt;"",B464+C464,"")</f>
        <v/>
      </c>
      <c r="E464" s="199" t="str">
        <f aca="false">IF(A465="","",IF(AND(AT464=1,$H$3=1),D464*AO464,IF($H$3=2,D464,"N/A")))</f>
        <v/>
      </c>
      <c r="F464" s="199" t="str">
        <f aca="false">IF(A465="","",E464*AS464)</f>
        <v/>
      </c>
      <c r="G464" s="200" t="str">
        <f aca="false">IF($A465="","",VLOOKUP($A464,Table,MATCH(G$4,Curves,0)))</f>
        <v/>
      </c>
      <c r="H464" s="201" t="str">
        <f aca="false">IF(A465="","",G464)</f>
        <v/>
      </c>
      <c r="J464" s="200" t="str">
        <f aca="false">IF($A465="","",VLOOKUP($A464,Table,MATCH(J$4,Curves,0)))</f>
        <v/>
      </c>
      <c r="K464" s="201" t="str">
        <f aca="false">IF(A465="","",J464)</f>
        <v/>
      </c>
      <c r="L464" s="185" t="n">
        <v>0</v>
      </c>
      <c r="M464" s="201" t="str">
        <f aca="false">IF(A465="","",L464)</f>
        <v/>
      </c>
      <c r="O464" s="200" t="str">
        <f aca="false">IF(A465="","",L464+J464+G464)</f>
        <v/>
      </c>
      <c r="P464" s="200" t="str">
        <f aca="false">IF(A465="","",M464+K464+H464)</f>
        <v/>
      </c>
      <c r="R464" s="200" t="str">
        <f aca="false">IF($A465="","",VLOOKUP($A464,Table,MATCH(R$4,Curves,0)))</f>
        <v/>
      </c>
      <c r="S464" s="201" t="str">
        <f aca="false">IF(A465="","",R464)</f>
        <v/>
      </c>
      <c r="T464" s="200" t="str">
        <f aca="false">IF($A465="","",VLOOKUP($A464,Table,MATCH(T$4,Curves,0)))</f>
        <v/>
      </c>
      <c r="U464" s="201" t="str">
        <f aca="false">IF(A465="","",T464)</f>
        <v/>
      </c>
      <c r="V464" s="183" t="str">
        <f aca="false">IF($A465="","",IF(AND(MONTH(A464)&gt;3,MONTH(A464)&lt;11),(T464+R464+G464)*(((1/(1-Summary!$T$14))/(1-Summary!$W$14))-1),(T464+R464+G464)*((1/(1-Summary!$U$14))/(1-Summary!$X$14)-1)))</f>
        <v/>
      </c>
      <c r="W464" s="202" t="str">
        <f aca="false">IF($A465="","",(T464+R464+G464+V464))</f>
        <v/>
      </c>
      <c r="X464" s="202" t="str">
        <f aca="false">IF($A465="","",(U464+S464+H464+V464))</f>
        <v/>
      </c>
      <c r="Y464" s="202"/>
      <c r="Z464" s="185"/>
      <c r="AJ464" s="77"/>
      <c r="AK464" s="77"/>
      <c r="AL464" s="77"/>
      <c r="AM464" s="77"/>
      <c r="AN464" s="77"/>
      <c r="AO464" s="137" t="str">
        <f aca="false">IF(A465="","",A465-A464)</f>
        <v/>
      </c>
      <c r="AP464" s="212" t="str">
        <f aca="false">IF(A465="","",CHOOSE(F$3,A465+24,A464))</f>
        <v/>
      </c>
      <c r="AQ464" s="209" t="str">
        <f aca="false">IF(A465="","",AP464-$E$1)</f>
        <v/>
      </c>
      <c r="AR464" s="185" t="n">
        <f aca="false">'ANR OK vs ML7'!AR464</f>
        <v>0.1</v>
      </c>
      <c r="AS464" s="213" t="str">
        <f aca="false">IF(A465="","",1/(1+CHOOSE(F$3,(AR465+($I$3/10000))/2,(AR464+($I$3/10000))/2))^(2*AQ464/365.25))</f>
        <v/>
      </c>
      <c r="AT464" s="137" t="str">
        <f aca="false">IF(A465="","",IF(AND(mthbeg&lt;=A464,mthend&gt;=A464),1,0))</f>
        <v/>
      </c>
      <c r="AU464" s="137" t="str">
        <f aca="false">IF(A465="","",AO464*AT464)</f>
        <v/>
      </c>
      <c r="AW464" s="195" t="str">
        <f aca="false">IF($A465="","",AL464*$E464)</f>
        <v/>
      </c>
      <c r="AX464" s="195" t="str">
        <f aca="false">IF($A465="","",AM464*$E464)</f>
        <v/>
      </c>
      <c r="AY464" s="195" t="str">
        <f aca="false">IF($A465="","",AN464*$E464)</f>
        <v/>
      </c>
      <c r="BA464" s="195" t="str">
        <f aca="false">IF($A465="","",F464*Summary!$Q$14)</f>
        <v/>
      </c>
    </row>
    <row r="465" customFormat="false" ht="12.75" hidden="false" customHeight="false" outlineLevel="0" collapsed="false">
      <c r="A465" s="196" t="str">
        <f aca="false">IF(A464&lt;mthend,EDATE(A464,1),"")</f>
        <v/>
      </c>
      <c r="B465" s="197" t="str">
        <f aca="false">IF(A465&lt;mthend,B464,"")</f>
        <v/>
      </c>
      <c r="D465" s="197" t="str">
        <f aca="false">IF(A466&lt;&gt;"",B465+C465,"")</f>
        <v/>
      </c>
      <c r="E465" s="199" t="str">
        <f aca="false">IF(A466="","",IF(AND(AT465=1,$H$3=1),D465*AO465,IF($H$3=2,D465,"N/A")))</f>
        <v/>
      </c>
      <c r="F465" s="199" t="str">
        <f aca="false">IF(A466="","",E465*AS465)</f>
        <v/>
      </c>
      <c r="G465" s="200" t="str">
        <f aca="false">IF($A466="","",VLOOKUP($A465,Table,MATCH(G$4,Curves,0)))</f>
        <v/>
      </c>
      <c r="H465" s="201" t="str">
        <f aca="false">IF(A466="","",G465)</f>
        <v/>
      </c>
      <c r="J465" s="200" t="str">
        <f aca="false">IF($A466="","",VLOOKUP($A465,Table,MATCH(J$4,Curves,0)))</f>
        <v/>
      </c>
      <c r="K465" s="201" t="str">
        <f aca="false">IF(A466="","",J465)</f>
        <v/>
      </c>
      <c r="L465" s="185" t="n">
        <v>0</v>
      </c>
      <c r="M465" s="201" t="str">
        <f aca="false">IF(A466="","",L465)</f>
        <v/>
      </c>
      <c r="O465" s="200" t="str">
        <f aca="false">IF(A466="","",L465+J465+G465)</f>
        <v/>
      </c>
      <c r="P465" s="200" t="str">
        <f aca="false">IF(A466="","",M465+K465+H465)</f>
        <v/>
      </c>
      <c r="R465" s="200" t="str">
        <f aca="false">IF($A466="","",VLOOKUP($A465,Table,MATCH(R$4,Curves,0)))</f>
        <v/>
      </c>
      <c r="S465" s="201" t="str">
        <f aca="false">IF(A466="","",R465)</f>
        <v/>
      </c>
      <c r="T465" s="200" t="str">
        <f aca="false">IF($A466="","",VLOOKUP($A465,Table,MATCH(T$4,Curves,0)))</f>
        <v/>
      </c>
      <c r="U465" s="201" t="str">
        <f aca="false">IF(A466="","",T465)</f>
        <v/>
      </c>
      <c r="V465" s="183" t="str">
        <f aca="false">IF($A466="","",IF(AND(MONTH(A465)&gt;3,MONTH(A465)&lt;11),(T465+R465+G465)*(((1/(1-Summary!$T$14))/(1-Summary!$W$14))-1),(T465+R465+G465)*((1/(1-Summary!$U$14))/(1-Summary!$X$14)-1)))</f>
        <v/>
      </c>
      <c r="W465" s="202" t="str">
        <f aca="false">IF($A466="","",(T465+R465+G465+V465))</f>
        <v/>
      </c>
      <c r="X465" s="202" t="str">
        <f aca="false">IF($A466="","",(U465+S465+H465+V465))</f>
        <v/>
      </c>
      <c r="Y465" s="202"/>
      <c r="Z465" s="185"/>
      <c r="AJ465" s="77"/>
      <c r="AK465" s="77"/>
      <c r="AL465" s="77"/>
      <c r="AM465" s="77"/>
      <c r="AN465" s="77"/>
      <c r="AO465" s="137" t="str">
        <f aca="false">IF(A466="","",A466-A465)</f>
        <v/>
      </c>
      <c r="AP465" s="212" t="str">
        <f aca="false">IF(A466="","",CHOOSE(F$3,A466+24,A465))</f>
        <v/>
      </c>
      <c r="AQ465" s="209" t="str">
        <f aca="false">IF(A466="","",AP465-$E$1)</f>
        <v/>
      </c>
      <c r="AR465" s="185" t="n">
        <f aca="false">'ANR OK vs ML7'!AR465</f>
        <v>0.1</v>
      </c>
      <c r="AS465" s="213" t="str">
        <f aca="false">IF(A466="","",1/(1+CHOOSE(F$3,(AR466+($I$3/10000))/2,(AR465+($I$3/10000))/2))^(2*AQ465/365.25))</f>
        <v/>
      </c>
      <c r="AT465" s="137" t="str">
        <f aca="false">IF(A466="","",IF(AND(mthbeg&lt;=A465,mthend&gt;=A465),1,0))</f>
        <v/>
      </c>
      <c r="AU465" s="137" t="str">
        <f aca="false">IF(A466="","",AO465*AT465)</f>
        <v/>
      </c>
      <c r="AW465" s="195" t="str">
        <f aca="false">IF($A466="","",AL465*$E465)</f>
        <v/>
      </c>
      <c r="AX465" s="195" t="str">
        <f aca="false">IF($A466="","",AM465*$E465)</f>
        <v/>
      </c>
      <c r="AY465" s="195" t="str">
        <f aca="false">IF($A466="","",AN465*$E465)</f>
        <v/>
      </c>
      <c r="BA465" s="195" t="str">
        <f aca="false">IF($A466="","",F465*Summary!$Q$14)</f>
        <v/>
      </c>
    </row>
    <row r="466" customFormat="false" ht="12.75" hidden="false" customHeight="false" outlineLevel="0" collapsed="false">
      <c r="A466" s="196" t="str">
        <f aca="false">IF(A465&lt;mthend,EDATE(A465,1),"")</f>
        <v/>
      </c>
      <c r="B466" s="197" t="str">
        <f aca="false">IF(A466&lt;mthend,B465,"")</f>
        <v/>
      </c>
      <c r="D466" s="197" t="str">
        <f aca="false">IF(A467&lt;&gt;"",B466+C466,"")</f>
        <v/>
      </c>
      <c r="E466" s="199" t="str">
        <f aca="false">IF(A467="","",IF(AND(AT466=1,$H$3=1),D466*AO466,IF($H$3=2,D466,"N/A")))</f>
        <v/>
      </c>
      <c r="F466" s="199" t="str">
        <f aca="false">IF(A467="","",E466*AS466)</f>
        <v/>
      </c>
      <c r="G466" s="200" t="str">
        <f aca="false">IF($A467="","",VLOOKUP($A466,Table,MATCH(G$4,Curves,0)))</f>
        <v/>
      </c>
      <c r="H466" s="201" t="str">
        <f aca="false">IF(A467="","",G466)</f>
        <v/>
      </c>
      <c r="J466" s="200" t="str">
        <f aca="false">IF($A467="","",VLOOKUP($A466,Table,MATCH(J$4,Curves,0)))</f>
        <v/>
      </c>
      <c r="K466" s="201" t="str">
        <f aca="false">IF(A467="","",J466)</f>
        <v/>
      </c>
      <c r="L466" s="185" t="n">
        <v>0</v>
      </c>
      <c r="M466" s="201" t="str">
        <f aca="false">IF(A467="","",L466)</f>
        <v/>
      </c>
      <c r="O466" s="200" t="str">
        <f aca="false">IF(A467="","",L466+J466+G466)</f>
        <v/>
      </c>
      <c r="P466" s="200" t="str">
        <f aca="false">IF(A467="","",M466+K466+H466)</f>
        <v/>
      </c>
      <c r="R466" s="200" t="str">
        <f aca="false">IF($A467="","",VLOOKUP($A466,Table,MATCH(R$4,Curves,0)))</f>
        <v/>
      </c>
      <c r="S466" s="201" t="str">
        <f aca="false">IF(A467="","",R466)</f>
        <v/>
      </c>
      <c r="T466" s="200" t="str">
        <f aca="false">IF($A467="","",VLOOKUP($A466,Table,MATCH(T$4,Curves,0)))</f>
        <v/>
      </c>
      <c r="U466" s="201" t="str">
        <f aca="false">IF(A467="","",T466)</f>
        <v/>
      </c>
      <c r="V466" s="183" t="str">
        <f aca="false">IF($A467="","",IF(AND(MONTH(A466)&gt;3,MONTH(A466)&lt;11),(T466+R466+G466)*(((1/(1-Summary!$T$14))/(1-Summary!$W$14))-1),(T466+R466+G466)*((1/(1-Summary!$U$14))/(1-Summary!$X$14)-1)))</f>
        <v/>
      </c>
      <c r="W466" s="202" t="str">
        <f aca="false">IF($A467="","",(T466+R466+G466+V466))</f>
        <v/>
      </c>
      <c r="X466" s="202" t="str">
        <f aca="false">IF($A467="","",(U466+S466+H466+V466))</f>
        <v/>
      </c>
      <c r="Y466" s="202"/>
      <c r="Z466" s="185"/>
      <c r="AJ466" s="77"/>
      <c r="AK466" s="77"/>
      <c r="AL466" s="77"/>
      <c r="AM466" s="77"/>
      <c r="AN466" s="77"/>
      <c r="AO466" s="137" t="str">
        <f aca="false">IF(A467="","",A467-A466)</f>
        <v/>
      </c>
      <c r="AP466" s="212" t="str">
        <f aca="false">IF(A467="","",CHOOSE(F$3,A467+24,A466))</f>
        <v/>
      </c>
      <c r="AQ466" s="209" t="str">
        <f aca="false">IF(A467="","",AP466-$E$1)</f>
        <v/>
      </c>
      <c r="AR466" s="185" t="n">
        <f aca="false">'ANR OK vs ML7'!AR466</f>
        <v>0.1</v>
      </c>
      <c r="AS466" s="213" t="str">
        <f aca="false">IF(A467="","",1/(1+CHOOSE(F$3,(AR467+($I$3/10000))/2,(AR466+($I$3/10000))/2))^(2*AQ466/365.25))</f>
        <v/>
      </c>
      <c r="AT466" s="137" t="str">
        <f aca="false">IF(A467="","",IF(AND(mthbeg&lt;=A466,mthend&gt;=A466),1,0))</f>
        <v/>
      </c>
      <c r="AU466" s="137" t="str">
        <f aca="false">IF(A467="","",AO466*AT466)</f>
        <v/>
      </c>
      <c r="AW466" s="195" t="str">
        <f aca="false">IF($A467="","",AL466*$E466)</f>
        <v/>
      </c>
      <c r="AX466" s="195" t="str">
        <f aca="false">IF($A467="","",AM466*$E466)</f>
        <v/>
      </c>
      <c r="AY466" s="195" t="str">
        <f aca="false">IF($A467="","",AN466*$E466)</f>
        <v/>
      </c>
      <c r="BA466" s="195" t="str">
        <f aca="false">IF($A467="","",F466*Summary!$Q$14)</f>
        <v/>
      </c>
    </row>
    <row r="467" customFormat="false" ht="12.75" hidden="false" customHeight="false" outlineLevel="0" collapsed="false">
      <c r="A467" s="196" t="str">
        <f aca="false">IF(A466&lt;mthend,EDATE(A466,1),"")</f>
        <v/>
      </c>
      <c r="B467" s="197" t="str">
        <f aca="false">IF(A467&lt;mthend,B466,"")</f>
        <v/>
      </c>
      <c r="D467" s="197" t="str">
        <f aca="false">IF(A468&lt;&gt;"",B467+C467,"")</f>
        <v/>
      </c>
      <c r="E467" s="199" t="str">
        <f aca="false">IF(A468="","",IF(AND(AT467=1,$H$3=1),D467*AO467,IF($H$3=2,D467,"N/A")))</f>
        <v/>
      </c>
      <c r="F467" s="199" t="str">
        <f aca="false">IF(A468="","",E467*AS467)</f>
        <v/>
      </c>
      <c r="G467" s="200" t="str">
        <f aca="false">IF($A468="","",VLOOKUP($A467,Table,MATCH(G$4,Curves,0)))</f>
        <v/>
      </c>
      <c r="H467" s="201" t="str">
        <f aca="false">IF(A468="","",G467)</f>
        <v/>
      </c>
      <c r="J467" s="200" t="str">
        <f aca="false">IF($A468="","",VLOOKUP($A467,Table,MATCH(J$4,Curves,0)))</f>
        <v/>
      </c>
      <c r="K467" s="201" t="str">
        <f aca="false">IF(A468="","",J467)</f>
        <v/>
      </c>
      <c r="L467" s="185" t="n">
        <v>0</v>
      </c>
      <c r="M467" s="201" t="str">
        <f aca="false">IF(A468="","",L467)</f>
        <v/>
      </c>
      <c r="O467" s="200" t="str">
        <f aca="false">IF(A468="","",L467+J467+G467)</f>
        <v/>
      </c>
      <c r="P467" s="200" t="str">
        <f aca="false">IF(A468="","",M467+K467+H467)</f>
        <v/>
      </c>
      <c r="R467" s="200" t="str">
        <f aca="false">IF($A468="","",VLOOKUP($A467,Table,MATCH(R$4,Curves,0)))</f>
        <v/>
      </c>
      <c r="S467" s="201" t="str">
        <f aca="false">IF(A468="","",R467)</f>
        <v/>
      </c>
      <c r="T467" s="200" t="str">
        <f aca="false">IF($A468="","",VLOOKUP($A467,Table,MATCH(T$4,Curves,0)))</f>
        <v/>
      </c>
      <c r="U467" s="201" t="str">
        <f aca="false">IF(A468="","",T467)</f>
        <v/>
      </c>
      <c r="V467" s="183" t="str">
        <f aca="false">IF($A468="","",IF(AND(MONTH(A467)&gt;3,MONTH(A467)&lt;11),(T467+R467+G467)*(((1/(1-Summary!$T$14))/(1-Summary!$W$14))-1),(T467+R467+G467)*((1/(1-Summary!$U$14))/(1-Summary!$X$14)-1)))</f>
        <v/>
      </c>
      <c r="W467" s="202" t="str">
        <f aca="false">IF($A468="","",(T467+R467+G467+V467))</f>
        <v/>
      </c>
      <c r="X467" s="202" t="str">
        <f aca="false">IF($A468="","",(U467+S467+H467+V467))</f>
        <v/>
      </c>
      <c r="Y467" s="202"/>
      <c r="Z467" s="185"/>
      <c r="AJ467" s="77"/>
      <c r="AK467" s="77"/>
      <c r="AL467" s="77"/>
      <c r="AM467" s="77"/>
      <c r="AN467" s="77"/>
      <c r="AO467" s="137" t="str">
        <f aca="false">IF(A468="","",A468-A467)</f>
        <v/>
      </c>
      <c r="AP467" s="212" t="str">
        <f aca="false">IF(A468="","",CHOOSE(F$3,A468+24,A467))</f>
        <v/>
      </c>
      <c r="AQ467" s="209" t="str">
        <f aca="false">IF(A468="","",AP467-$E$1)</f>
        <v/>
      </c>
      <c r="AR467" s="185" t="n">
        <f aca="false">'ANR OK vs ML7'!AR467</f>
        <v>0.1</v>
      </c>
      <c r="AS467" s="213" t="str">
        <f aca="false">IF(A468="","",1/(1+CHOOSE(F$3,(AR468+($I$3/10000))/2,(AR467+($I$3/10000))/2))^(2*AQ467/365.25))</f>
        <v/>
      </c>
      <c r="AT467" s="137" t="str">
        <f aca="false">IF(A468="","",IF(AND(mthbeg&lt;=A467,mthend&gt;=A467),1,0))</f>
        <v/>
      </c>
      <c r="AU467" s="137" t="str">
        <f aca="false">IF(A468="","",AO467*AT467)</f>
        <v/>
      </c>
      <c r="AW467" s="195" t="str">
        <f aca="false">IF($A468="","",AL467*$E467)</f>
        <v/>
      </c>
      <c r="AX467" s="195" t="str">
        <f aca="false">IF($A468="","",AM467*$E467)</f>
        <v/>
      </c>
      <c r="AY467" s="195" t="str">
        <f aca="false">IF($A468="","",AN467*$E467)</f>
        <v/>
      </c>
      <c r="BA467" s="195" t="str">
        <f aca="false">IF($A468="","",F467*Summary!$Q$14)</f>
        <v/>
      </c>
    </row>
    <row r="468" customFormat="false" ht="12.75" hidden="false" customHeight="false" outlineLevel="0" collapsed="false">
      <c r="A468" s="196" t="str">
        <f aca="false">IF(A467&lt;mthend,EDATE(A467,1),"")</f>
        <v/>
      </c>
      <c r="B468" s="197" t="str">
        <f aca="false">IF(A468&lt;mthend,B467,"")</f>
        <v/>
      </c>
      <c r="D468" s="197" t="str">
        <f aca="false">IF(A469&lt;&gt;"",B468+C468,"")</f>
        <v/>
      </c>
      <c r="E468" s="199" t="str">
        <f aca="false">IF(A469="","",IF(AND(AT468=1,$H$3=1),D468*AO468,IF($H$3=2,D468,"N/A")))</f>
        <v/>
      </c>
      <c r="F468" s="199" t="str">
        <f aca="false">IF(A469="","",E468*AS468)</f>
        <v/>
      </c>
      <c r="G468" s="200" t="str">
        <f aca="false">IF($A469="","",VLOOKUP($A468,Table,MATCH(G$4,Curves,0)))</f>
        <v/>
      </c>
      <c r="H468" s="201" t="str">
        <f aca="false">IF(A469="","",G468)</f>
        <v/>
      </c>
      <c r="J468" s="200" t="str">
        <f aca="false">IF($A469="","",VLOOKUP($A468,Table,MATCH(J$4,Curves,0)))</f>
        <v/>
      </c>
      <c r="K468" s="201" t="str">
        <f aca="false">IF(A469="","",J468)</f>
        <v/>
      </c>
      <c r="L468" s="185" t="n">
        <v>0</v>
      </c>
      <c r="M468" s="201" t="str">
        <f aca="false">IF(A469="","",L468)</f>
        <v/>
      </c>
      <c r="O468" s="200" t="str">
        <f aca="false">IF(A469="","",L468+J468+G468)</f>
        <v/>
      </c>
      <c r="P468" s="200" t="str">
        <f aca="false">IF(A469="","",M468+K468+H468)</f>
        <v/>
      </c>
      <c r="R468" s="200" t="str">
        <f aca="false">IF($A469="","",VLOOKUP($A468,Table,MATCH(R$4,Curves,0)))</f>
        <v/>
      </c>
      <c r="S468" s="201" t="str">
        <f aca="false">IF(A469="","",R468)</f>
        <v/>
      </c>
      <c r="T468" s="200" t="str">
        <f aca="false">IF($A469="","",VLOOKUP($A468,Table,MATCH(T$4,Curves,0)))</f>
        <v/>
      </c>
      <c r="U468" s="201" t="str">
        <f aca="false">IF(A469="","",T468)</f>
        <v/>
      </c>
      <c r="V468" s="183" t="str">
        <f aca="false">IF($A469="","",IF(AND(MONTH(A468)&gt;3,MONTH(A468)&lt;11),(T468+R468+G468)*(((1/(1-Summary!$T$14))/(1-Summary!$W$14))-1),(T468+R468+G468)*((1/(1-Summary!$U$14))/(1-Summary!$X$14)-1)))</f>
        <v/>
      </c>
      <c r="W468" s="202" t="str">
        <f aca="false">IF($A469="","",(T468+R468+G468+V468))</f>
        <v/>
      </c>
      <c r="X468" s="202" t="str">
        <f aca="false">IF($A469="","",(U468+S468+H468+V468))</f>
        <v/>
      </c>
      <c r="Y468" s="202"/>
      <c r="Z468" s="185"/>
      <c r="AJ468" s="77"/>
      <c r="AK468" s="77"/>
      <c r="AL468" s="77"/>
      <c r="AM468" s="77"/>
      <c r="AN468" s="77"/>
      <c r="AO468" s="137" t="str">
        <f aca="false">IF(A469="","",A469-A468)</f>
        <v/>
      </c>
      <c r="AP468" s="212" t="str">
        <f aca="false">IF(A469="","",CHOOSE(F$3,A469+24,A468))</f>
        <v/>
      </c>
      <c r="AQ468" s="209" t="str">
        <f aca="false">IF(A469="","",AP468-$E$1)</f>
        <v/>
      </c>
      <c r="AR468" s="185" t="n">
        <f aca="false">'ANR OK vs ML7'!AR468</f>
        <v>0.1</v>
      </c>
      <c r="AS468" s="213" t="str">
        <f aca="false">IF(A469="","",1/(1+CHOOSE(F$3,(AR469+($I$3/10000))/2,(AR468+($I$3/10000))/2))^(2*AQ468/365.25))</f>
        <v/>
      </c>
      <c r="AT468" s="137" t="str">
        <f aca="false">IF(A469="","",IF(AND(mthbeg&lt;=A468,mthend&gt;=A468),1,0))</f>
        <v/>
      </c>
      <c r="AU468" s="137" t="str">
        <f aca="false">IF(A469="","",AO468*AT468)</f>
        <v/>
      </c>
      <c r="AW468" s="195" t="str">
        <f aca="false">IF($A469="","",AL468*$E468)</f>
        <v/>
      </c>
      <c r="AX468" s="195" t="str">
        <f aca="false">IF($A469="","",AM468*$E468)</f>
        <v/>
      </c>
      <c r="AY468" s="195" t="str">
        <f aca="false">IF($A469="","",AN468*$E468)</f>
        <v/>
      </c>
      <c r="BA468" s="195" t="str">
        <f aca="false">IF($A469="","",F468*Summary!$Q$14)</f>
        <v/>
      </c>
    </row>
    <row r="469" customFormat="false" ht="12.75" hidden="false" customHeight="false" outlineLevel="0" collapsed="false">
      <c r="A469" s="196" t="str">
        <f aca="false">IF(A468&lt;mthend,EDATE(A468,1),"")</f>
        <v/>
      </c>
      <c r="B469" s="197" t="str">
        <f aca="false">IF(A469&lt;mthend,B468,"")</f>
        <v/>
      </c>
      <c r="D469" s="197" t="str">
        <f aca="false">IF(A470&lt;&gt;"",B469+C469,"")</f>
        <v/>
      </c>
      <c r="E469" s="199" t="str">
        <f aca="false">IF(A470="","",IF(AND(AT469=1,$H$3=1),D469*AO469,IF($H$3=2,D469,"N/A")))</f>
        <v/>
      </c>
      <c r="F469" s="199" t="str">
        <f aca="false">IF(A470="","",E469*AS469)</f>
        <v/>
      </c>
      <c r="G469" s="200" t="str">
        <f aca="false">IF($A470="","",VLOOKUP($A469,Table,MATCH(G$4,Curves,0)))</f>
        <v/>
      </c>
      <c r="H469" s="201" t="str">
        <f aca="false">IF(A470="","",G469)</f>
        <v/>
      </c>
      <c r="J469" s="200" t="str">
        <f aca="false">IF($A470="","",VLOOKUP($A469,Table,MATCH(J$4,Curves,0)))</f>
        <v/>
      </c>
      <c r="K469" s="201" t="str">
        <f aca="false">IF(A470="","",J469)</f>
        <v/>
      </c>
      <c r="L469" s="185" t="n">
        <v>0</v>
      </c>
      <c r="M469" s="201" t="str">
        <f aca="false">IF(A470="","",L469)</f>
        <v/>
      </c>
      <c r="O469" s="200" t="str">
        <f aca="false">IF(A470="","",L469+J469+G469)</f>
        <v/>
      </c>
      <c r="P469" s="200" t="str">
        <f aca="false">IF(A470="","",M469+K469+H469)</f>
        <v/>
      </c>
      <c r="R469" s="200" t="str">
        <f aca="false">IF($A470="","",VLOOKUP($A469,Table,MATCH(R$4,Curves,0)))</f>
        <v/>
      </c>
      <c r="S469" s="201" t="str">
        <f aca="false">IF(A470="","",R469)</f>
        <v/>
      </c>
      <c r="T469" s="200" t="str">
        <f aca="false">IF($A470="","",VLOOKUP($A469,Table,MATCH(T$4,Curves,0)))</f>
        <v/>
      </c>
      <c r="U469" s="201" t="str">
        <f aca="false">IF(A470="","",T469)</f>
        <v/>
      </c>
      <c r="V469" s="183" t="str">
        <f aca="false">IF($A470="","",IF(AND(MONTH(A469)&gt;3,MONTH(A469)&lt;11),(T469+R469+G469)*(((1/(1-Summary!$T$14))/(1-Summary!$W$14))-1),(T469+R469+G469)*((1/(1-Summary!$U$14))/(1-Summary!$X$14)-1)))</f>
        <v/>
      </c>
      <c r="W469" s="202" t="str">
        <f aca="false">IF($A470="","",(T469+R469+G469+V469))</f>
        <v/>
      </c>
      <c r="X469" s="202" t="str">
        <f aca="false">IF($A470="","",(U469+S469+H469+V469))</f>
        <v/>
      </c>
      <c r="Y469" s="202"/>
      <c r="Z469" s="185"/>
      <c r="AJ469" s="77"/>
      <c r="AK469" s="77"/>
      <c r="AL469" s="77"/>
      <c r="AM469" s="77"/>
      <c r="AN469" s="77"/>
      <c r="AO469" s="137" t="str">
        <f aca="false">IF(A470="","",A470-A469)</f>
        <v/>
      </c>
      <c r="AP469" s="212" t="str">
        <f aca="false">IF(A470="","",CHOOSE(F$3,A470+24,A469))</f>
        <v/>
      </c>
      <c r="AQ469" s="209" t="str">
        <f aca="false">IF(A470="","",AP469-$E$1)</f>
        <v/>
      </c>
      <c r="AR469" s="185" t="n">
        <f aca="false">'ANR OK vs ML7'!AR469</f>
        <v>0.1</v>
      </c>
      <c r="AS469" s="213" t="str">
        <f aca="false">IF(A470="","",1/(1+CHOOSE(F$3,(AR470+($I$3/10000))/2,(AR469+($I$3/10000))/2))^(2*AQ469/365.25))</f>
        <v/>
      </c>
      <c r="AT469" s="137" t="str">
        <f aca="false">IF(A470="","",IF(AND(mthbeg&lt;=A469,mthend&gt;=A469),1,0))</f>
        <v/>
      </c>
      <c r="AU469" s="137" t="str">
        <f aca="false">IF(A470="","",AO469*AT469)</f>
        <v/>
      </c>
      <c r="AW469" s="195" t="str">
        <f aca="false">IF($A470="","",AL469*$E469)</f>
        <v/>
      </c>
      <c r="AX469" s="195" t="str">
        <f aca="false">IF($A470="","",AM469*$E469)</f>
        <v/>
      </c>
      <c r="AY469" s="195" t="str">
        <f aca="false">IF($A470="","",AN469*$E469)</f>
        <v/>
      </c>
      <c r="BA469" s="195" t="str">
        <f aca="false">IF($A470="","",F469*Summary!$Q$14)</f>
        <v/>
      </c>
    </row>
    <row r="470" customFormat="false" ht="12.75" hidden="false" customHeight="false" outlineLevel="0" collapsed="false">
      <c r="A470" s="196" t="str">
        <f aca="false">IF(A469&lt;mthend,EDATE(A469,1),"")</f>
        <v/>
      </c>
      <c r="B470" s="197" t="str">
        <f aca="false">IF(A470&lt;mthend,B469,"")</f>
        <v/>
      </c>
      <c r="D470" s="197" t="str">
        <f aca="false">IF(A471&lt;&gt;"",B470+C470,"")</f>
        <v/>
      </c>
      <c r="E470" s="199" t="str">
        <f aca="false">IF(A471="","",IF(AND(AT470=1,$H$3=1),D470*AO470,IF($H$3=2,D470,"N/A")))</f>
        <v/>
      </c>
      <c r="F470" s="199" t="str">
        <f aca="false">IF(A471="","",E470*AS470)</f>
        <v/>
      </c>
      <c r="G470" s="200" t="str">
        <f aca="false">IF($A471="","",VLOOKUP($A470,Table,MATCH(G$4,Curves,0)))</f>
        <v/>
      </c>
      <c r="H470" s="201" t="str">
        <f aca="false">IF(A471="","",G470)</f>
        <v/>
      </c>
      <c r="J470" s="200" t="str">
        <f aca="false">IF($A471="","",VLOOKUP($A470,Table,MATCH(J$4,Curves,0)))</f>
        <v/>
      </c>
      <c r="K470" s="201" t="str">
        <f aca="false">IF(A471="","",J470)</f>
        <v/>
      </c>
      <c r="L470" s="185" t="n">
        <v>0</v>
      </c>
      <c r="M470" s="201" t="str">
        <f aca="false">IF(A471="","",L470)</f>
        <v/>
      </c>
      <c r="O470" s="200" t="str">
        <f aca="false">IF(A471="","",L470+J470+G470)</f>
        <v/>
      </c>
      <c r="P470" s="200" t="str">
        <f aca="false">IF(A471="","",M470+K470+H470)</f>
        <v/>
      </c>
      <c r="R470" s="200" t="str">
        <f aca="false">IF($A471="","",VLOOKUP($A470,Table,MATCH(R$4,Curves,0)))</f>
        <v/>
      </c>
      <c r="S470" s="201" t="str">
        <f aca="false">IF(A471="","",R470)</f>
        <v/>
      </c>
      <c r="T470" s="200" t="str">
        <f aca="false">IF($A471="","",VLOOKUP($A470,Table,MATCH(T$4,Curves,0)))</f>
        <v/>
      </c>
      <c r="U470" s="201" t="str">
        <f aca="false">IF(A471="","",T470)</f>
        <v/>
      </c>
      <c r="V470" s="183" t="str">
        <f aca="false">IF($A471="","",IF(AND(MONTH(A470)&gt;3,MONTH(A470)&lt;11),(T470+R470+G470)*(((1/(1-Summary!$T$14))/(1-Summary!$W$14))-1),(T470+R470+G470)*((1/(1-Summary!$U$14))/(1-Summary!$X$14)-1)))</f>
        <v/>
      </c>
      <c r="W470" s="202" t="str">
        <f aca="false">IF($A471="","",(T470+R470+G470+V470))</f>
        <v/>
      </c>
      <c r="X470" s="202" t="str">
        <f aca="false">IF($A471="","",(U470+S470+H470+V470))</f>
        <v/>
      </c>
      <c r="Y470" s="202"/>
      <c r="Z470" s="185"/>
      <c r="AJ470" s="77"/>
      <c r="AK470" s="77"/>
      <c r="AL470" s="77"/>
      <c r="AM470" s="77"/>
      <c r="AN470" s="77"/>
      <c r="AO470" s="137" t="str">
        <f aca="false">IF(A471="","",A471-A470)</f>
        <v/>
      </c>
      <c r="AP470" s="212" t="str">
        <f aca="false">IF(A471="","",CHOOSE(F$3,A471+24,A470))</f>
        <v/>
      </c>
      <c r="AQ470" s="209" t="str">
        <f aca="false">IF(A471="","",AP470-$E$1)</f>
        <v/>
      </c>
      <c r="AR470" s="185" t="n">
        <f aca="false">'ANR OK vs ML7'!AR470</f>
        <v>0.1</v>
      </c>
      <c r="AS470" s="213" t="str">
        <f aca="false">IF(A471="","",1/(1+CHOOSE(F$3,(AR471+($I$3/10000))/2,(AR470+($I$3/10000))/2))^(2*AQ470/365.25))</f>
        <v/>
      </c>
      <c r="AT470" s="137" t="str">
        <f aca="false">IF(A471="","",IF(AND(mthbeg&lt;=A470,mthend&gt;=A470),1,0))</f>
        <v/>
      </c>
      <c r="AU470" s="137" t="str">
        <f aca="false">IF(A471="","",AO470*AT470)</f>
        <v/>
      </c>
      <c r="AW470" s="195" t="str">
        <f aca="false">IF($A471="","",AL470*$E470)</f>
        <v/>
      </c>
      <c r="AX470" s="195" t="str">
        <f aca="false">IF($A471="","",AM470*$E470)</f>
        <v/>
      </c>
      <c r="AY470" s="195" t="str">
        <f aca="false">IF($A471="","",AN470*$E470)</f>
        <v/>
      </c>
      <c r="BA470" s="195" t="str">
        <f aca="false">IF($A471="","",F470*Summary!$Q$14)</f>
        <v/>
      </c>
    </row>
    <row r="471" customFormat="false" ht="12.75" hidden="false" customHeight="false" outlineLevel="0" collapsed="false">
      <c r="A471" s="196" t="str">
        <f aca="false">IF(A470&lt;mthend,EDATE(A470,1),"")</f>
        <v/>
      </c>
      <c r="B471" s="197" t="str">
        <f aca="false">IF(A471&lt;mthend,B470,"")</f>
        <v/>
      </c>
      <c r="D471" s="197" t="str">
        <f aca="false">IF(A472&lt;&gt;"",B471+C471,"")</f>
        <v/>
      </c>
      <c r="E471" s="199" t="str">
        <f aca="false">IF(A472="","",IF(AND(AT471=1,$H$3=1),D471*AO471,IF($H$3=2,D471,"N/A")))</f>
        <v/>
      </c>
      <c r="F471" s="199" t="str">
        <f aca="false">IF(A472="","",E471*AS471)</f>
        <v/>
      </c>
      <c r="G471" s="200" t="str">
        <f aca="false">IF($A472="","",VLOOKUP($A471,Table,MATCH(G$4,Curves,0)))</f>
        <v/>
      </c>
      <c r="H471" s="201" t="str">
        <f aca="false">IF(A472="","",G471)</f>
        <v/>
      </c>
      <c r="J471" s="200" t="str">
        <f aca="false">IF($A472="","",VLOOKUP($A471,Table,MATCH(J$4,Curves,0)))</f>
        <v/>
      </c>
      <c r="K471" s="201" t="str">
        <f aca="false">IF(A472="","",J471)</f>
        <v/>
      </c>
      <c r="L471" s="185" t="n">
        <v>0</v>
      </c>
      <c r="M471" s="201" t="str">
        <f aca="false">IF(A472="","",L471)</f>
        <v/>
      </c>
      <c r="O471" s="200" t="str">
        <f aca="false">IF(A472="","",L471+J471+G471)</f>
        <v/>
      </c>
      <c r="P471" s="200" t="str">
        <f aca="false">IF(A472="","",M471+K471+H471)</f>
        <v/>
      </c>
      <c r="R471" s="200" t="str">
        <f aca="false">IF($A472="","",VLOOKUP($A471,Table,MATCH(R$4,Curves,0)))</f>
        <v/>
      </c>
      <c r="S471" s="201" t="str">
        <f aca="false">IF(A472="","",R471)</f>
        <v/>
      </c>
      <c r="T471" s="200" t="str">
        <f aca="false">IF($A472="","",VLOOKUP($A471,Table,MATCH(T$4,Curves,0)))</f>
        <v/>
      </c>
      <c r="U471" s="201" t="str">
        <f aca="false">IF(A472="","",T471)</f>
        <v/>
      </c>
      <c r="V471" s="183" t="str">
        <f aca="false">IF($A472="","",IF(AND(MONTH(A471)&gt;3,MONTH(A471)&lt;11),(T471+R471+G471)*(((1/(1-Summary!$T$14))/(1-Summary!$W$14))-1),(T471+R471+G471)*((1/(1-Summary!$U$14))/(1-Summary!$X$14)-1)))</f>
        <v/>
      </c>
      <c r="W471" s="202" t="str">
        <f aca="false">IF($A472="","",(T471+R471+G471+V471))</f>
        <v/>
      </c>
      <c r="X471" s="202" t="str">
        <f aca="false">IF($A472="","",(U471+S471+H471+V471))</f>
        <v/>
      </c>
      <c r="Y471" s="202"/>
      <c r="Z471" s="21"/>
      <c r="AJ471" s="77"/>
      <c r="AK471" s="77"/>
      <c r="AL471" s="77"/>
      <c r="AM471" s="77"/>
      <c r="AN471" s="77"/>
      <c r="AO471" s="137" t="str">
        <f aca="false">IF(A472="","",A472-A471)</f>
        <v/>
      </c>
      <c r="AP471" s="212" t="str">
        <f aca="false">IF(A472="","",CHOOSE(F$3,A472+24,A471))</f>
        <v/>
      </c>
      <c r="AQ471" s="209" t="str">
        <f aca="false">IF(A472="","",AP471-$E$1)</f>
        <v/>
      </c>
      <c r="AR471" s="185" t="n">
        <f aca="false">'ANR OK vs ML7'!AR471</f>
        <v>0.1</v>
      </c>
      <c r="AS471" s="213" t="str">
        <f aca="false">IF(A472="","",1/(1+CHOOSE(F$3,(AR472+($I$3/10000))/2,(AR471+($I$3/10000))/2))^(2*AQ471/365.25))</f>
        <v/>
      </c>
      <c r="AT471" s="137" t="str">
        <f aca="false">IF(A472="","",IF(AND(mthbeg&lt;=A471,mthend&gt;=A471),1,0))</f>
        <v/>
      </c>
      <c r="AU471" s="137" t="str">
        <f aca="false">IF(A472="","",AO471*AT471)</f>
        <v/>
      </c>
      <c r="AW471" s="195" t="str">
        <f aca="false">IF($A472="","",AL471*$E471)</f>
        <v/>
      </c>
      <c r="AX471" s="195" t="str">
        <f aca="false">IF($A472="","",AM471*$E471)</f>
        <v/>
      </c>
      <c r="AY471" s="195" t="str">
        <f aca="false">IF($A472="","",AN471*$E471)</f>
        <v/>
      </c>
      <c r="BA471" s="195" t="str">
        <f aca="false">IF($A472="","",F471*Summary!$Q$14)</f>
        <v/>
      </c>
    </row>
    <row r="472" customFormat="false" ht="12.75" hidden="false" customHeight="false" outlineLevel="0" collapsed="false">
      <c r="A472" s="196" t="str">
        <f aca="false">IF(A471&lt;mthend,EDATE(A471,1),"")</f>
        <v/>
      </c>
      <c r="B472" s="197" t="str">
        <f aca="false">IF(A472&lt;mthend,B471,"")</f>
        <v/>
      </c>
      <c r="D472" s="197" t="str">
        <f aca="false">IF(A473&lt;&gt;"",B472+C472,"")</f>
        <v/>
      </c>
      <c r="E472" s="199" t="str">
        <f aca="false">IF(A473="","",IF(AND(AT472=1,$H$3=1),D472*AO472,IF($H$3=2,D472,"N/A")))</f>
        <v/>
      </c>
      <c r="F472" s="199" t="str">
        <f aca="false">IF(A473="","",E472*AS472)</f>
        <v/>
      </c>
      <c r="G472" s="200" t="str">
        <f aca="false">IF($A473="","",VLOOKUP($A472,Table,MATCH(G$4,Curves,0)))</f>
        <v/>
      </c>
      <c r="H472" s="201" t="str">
        <f aca="false">IF(A473="","",G472)</f>
        <v/>
      </c>
      <c r="J472" s="200" t="str">
        <f aca="false">IF($A473="","",VLOOKUP($A472,Table,MATCH(J$4,Curves,0)))</f>
        <v/>
      </c>
      <c r="K472" s="201" t="str">
        <f aca="false">IF(A473="","",J472)</f>
        <v/>
      </c>
      <c r="L472" s="185" t="n">
        <v>0</v>
      </c>
      <c r="M472" s="201" t="str">
        <f aca="false">IF(A473="","",L472)</f>
        <v/>
      </c>
      <c r="O472" s="200" t="str">
        <f aca="false">IF(A473="","",L472+J472+G472)</f>
        <v/>
      </c>
      <c r="P472" s="200" t="str">
        <f aca="false">IF(A473="","",M472+K472+H472)</f>
        <v/>
      </c>
      <c r="R472" s="200" t="str">
        <f aca="false">IF($A473="","",VLOOKUP($A472,Table,MATCH(R$4,Curves,0)))</f>
        <v/>
      </c>
      <c r="S472" s="201" t="str">
        <f aca="false">IF(A473="","",R472)</f>
        <v/>
      </c>
      <c r="T472" s="200" t="str">
        <f aca="false">IF($A473="","",VLOOKUP($A472,Table,MATCH(T$4,Curves,0)))</f>
        <v/>
      </c>
      <c r="U472" s="201" t="str">
        <f aca="false">IF(A473="","",T472)</f>
        <v/>
      </c>
      <c r="V472" s="183" t="str">
        <f aca="false">IF($A473="","",IF(AND(MONTH(A472)&gt;3,MONTH(A472)&lt;11),(T472+R472+G472)*(((1/(1-Summary!$T$14))/(1-Summary!$W$14))-1),(T472+R472+G472)*((1/(1-Summary!$U$14))/(1-Summary!$X$14)-1)))</f>
        <v/>
      </c>
      <c r="W472" s="202" t="str">
        <f aca="false">IF($A473="","",(T472+R472+G472+V472))</f>
        <v/>
      </c>
      <c r="X472" s="202" t="str">
        <f aca="false">IF($A473="","",(U472+S472+H472+V472))</f>
        <v/>
      </c>
      <c r="Y472" s="202"/>
      <c r="AJ472" s="77"/>
      <c r="AK472" s="77"/>
      <c r="AL472" s="77"/>
      <c r="AM472" s="77"/>
      <c r="AN472" s="77"/>
      <c r="AO472" s="137" t="str">
        <f aca="false">IF(A473="","",A473-A472)</f>
        <v/>
      </c>
      <c r="AP472" s="212" t="str">
        <f aca="false">IF(A473="","",CHOOSE(F$3,A473+24,A472))</f>
        <v/>
      </c>
      <c r="AQ472" s="209" t="str">
        <f aca="false">IF(A473="","",AP472-$E$1)</f>
        <v/>
      </c>
      <c r="AR472" s="185" t="n">
        <f aca="false">'ANR OK vs ML7'!AR472</f>
        <v>0.1</v>
      </c>
      <c r="AS472" s="213" t="str">
        <f aca="false">IF(A473="","",1/(1+CHOOSE(F$3,(AR473+($I$3/10000))/2,(AR472+($I$3/10000))/2))^(2*AQ472/365.25))</f>
        <v/>
      </c>
      <c r="AT472" s="137" t="str">
        <f aca="false">IF(A473="","",IF(AND(mthbeg&lt;=A472,mthend&gt;=A472),1,0))</f>
        <v/>
      </c>
      <c r="AU472" s="137" t="str">
        <f aca="false">IF(A473="","",AO472*AT472)</f>
        <v/>
      </c>
      <c r="AW472" s="195" t="str">
        <f aca="false">IF($A473="","",AL472*$E472)</f>
        <v/>
      </c>
      <c r="AX472" s="195" t="str">
        <f aca="false">IF($A473="","",AM472*$E472)</f>
        <v/>
      </c>
      <c r="AY472" s="195" t="str">
        <f aca="false">IF($A473="","",AN472*$E472)</f>
        <v/>
      </c>
      <c r="BA472" s="195" t="str">
        <f aca="false">IF($A473="","",F472*Summary!$Q$14)</f>
        <v/>
      </c>
    </row>
    <row r="473" customFormat="false" ht="12.75" hidden="false" customHeight="false" outlineLevel="0" collapsed="false">
      <c r="A473" s="196" t="str">
        <f aca="false">IF(A472&lt;mthend,EDATE(A472,1),"")</f>
        <v/>
      </c>
      <c r="B473" s="197" t="str">
        <f aca="false">IF(A473&lt;mthend,B472,"")</f>
        <v/>
      </c>
      <c r="D473" s="197" t="str">
        <f aca="false">IF(A474&lt;&gt;"",B473+C473,"")</f>
        <v/>
      </c>
      <c r="E473" s="199" t="str">
        <f aca="false">IF(A474="","",IF(AND(AT473=1,$H$3=1),D473*AO473,IF($H$3=2,D473,"N/A")))</f>
        <v/>
      </c>
      <c r="F473" s="199" t="str">
        <f aca="false">IF(A474="","",E473*AS473)</f>
        <v/>
      </c>
      <c r="G473" s="200" t="str">
        <f aca="false">IF($A474="","",VLOOKUP($A473,Table,MATCH(G$4,Curves,0)))</f>
        <v/>
      </c>
      <c r="H473" s="201" t="str">
        <f aca="false">IF(A474="","",G473)</f>
        <v/>
      </c>
      <c r="J473" s="200" t="str">
        <f aca="false">IF($A474="","",VLOOKUP($A473,Table,MATCH(J$4,Curves,0)))</f>
        <v/>
      </c>
      <c r="K473" s="201" t="str">
        <f aca="false">IF(A474="","",J473)</f>
        <v/>
      </c>
      <c r="L473" s="185" t="n">
        <v>0</v>
      </c>
      <c r="M473" s="201" t="str">
        <f aca="false">IF(A474="","",L473)</f>
        <v/>
      </c>
      <c r="O473" s="200" t="str">
        <f aca="false">IF(A474="","",L473+J473+G473)</f>
        <v/>
      </c>
      <c r="P473" s="200" t="str">
        <f aca="false">IF(A474="","",M473+K473+H473)</f>
        <v/>
      </c>
      <c r="R473" s="200" t="str">
        <f aca="false">IF($A474="","",VLOOKUP($A473,Table,MATCH(R$4,Curves,0)))</f>
        <v/>
      </c>
      <c r="S473" s="201" t="str">
        <f aca="false">IF(A474="","",R473)</f>
        <v/>
      </c>
      <c r="T473" s="200" t="str">
        <f aca="false">IF($A474="","",VLOOKUP($A473,Table,MATCH(T$4,Curves,0)))</f>
        <v/>
      </c>
      <c r="U473" s="201" t="str">
        <f aca="false">IF(A474="","",T473)</f>
        <v/>
      </c>
      <c r="V473" s="183" t="str">
        <f aca="false">IF($A474="","",IF(AND(MONTH(A473)&gt;3,MONTH(A473)&lt;11),(T473+R473+G473)*(((1/(1-Summary!$T$14))/(1-Summary!$W$14))-1),(T473+R473+G473)*((1/(1-Summary!$U$14))/(1-Summary!$X$14)-1)))</f>
        <v/>
      </c>
      <c r="W473" s="202" t="str">
        <f aca="false">IF($A474="","",(T473+R473+G473+V473))</f>
        <v/>
      </c>
      <c r="X473" s="202" t="str">
        <f aca="false">IF($A474="","",(U473+S473+H473+V473))</f>
        <v/>
      </c>
      <c r="Y473" s="202"/>
      <c r="AJ473" s="77"/>
      <c r="AK473" s="77"/>
      <c r="AL473" s="77"/>
      <c r="AM473" s="77"/>
      <c r="AN473" s="77"/>
      <c r="AO473" s="137" t="str">
        <f aca="false">IF(A474="","",A474-A473)</f>
        <v/>
      </c>
      <c r="AP473" s="212" t="str">
        <f aca="false">IF(A474="","",CHOOSE(F$3,A474+24,A473))</f>
        <v/>
      </c>
      <c r="AQ473" s="209" t="str">
        <f aca="false">IF(A474="","",AP473-$E$1)</f>
        <v/>
      </c>
      <c r="AR473" s="185" t="n">
        <f aca="false">'ANR OK vs ML7'!AR473</f>
        <v>0.1</v>
      </c>
      <c r="AS473" s="213" t="str">
        <f aca="false">IF(A474="","",1/(1+CHOOSE(F$3,(AR474+($I$3/10000))/2,(AR473+($I$3/10000))/2))^(2*AQ473/365.25))</f>
        <v/>
      </c>
      <c r="AT473" s="137" t="str">
        <f aca="false">IF(A474="","",IF(AND(mthbeg&lt;=A473,mthend&gt;=A473),1,0))</f>
        <v/>
      </c>
      <c r="AU473" s="137" t="str">
        <f aca="false">IF(A474="","",AO473*AT473)</f>
        <v/>
      </c>
      <c r="AW473" s="195" t="str">
        <f aca="false">IF($A474="","",AL473*$E473)</f>
        <v/>
      </c>
      <c r="AX473" s="195" t="str">
        <f aca="false">IF($A474="","",AM473*$E473)</f>
        <v/>
      </c>
      <c r="AY473" s="195" t="str">
        <f aca="false">IF($A474="","",AN473*$E473)</f>
        <v/>
      </c>
      <c r="BA473" s="195" t="str">
        <f aca="false">IF($A474="","",F473*Summary!$Q$14)</f>
        <v/>
      </c>
    </row>
    <row r="474" customFormat="false" ht="12.75" hidden="false" customHeight="false" outlineLevel="0" collapsed="false">
      <c r="A474" s="196" t="str">
        <f aca="false">IF(A473&lt;mthend,EDATE(A473,1),"")</f>
        <v/>
      </c>
      <c r="B474" s="197" t="str">
        <f aca="false">IF(A474&lt;mthend,B473,"")</f>
        <v/>
      </c>
      <c r="D474" s="197" t="str">
        <f aca="false">IF(A475&lt;&gt;"",B474+C474,"")</f>
        <v/>
      </c>
      <c r="E474" s="199" t="str">
        <f aca="false">IF(A475="","",IF(AND(AT474=1,$H$3=1),D474*AO474,IF($H$3=2,D474,"N/A")))</f>
        <v/>
      </c>
      <c r="F474" s="199" t="str">
        <f aca="false">IF(A475="","",E474*AS474)</f>
        <v/>
      </c>
      <c r="G474" s="200" t="str">
        <f aca="false">IF($A475="","",VLOOKUP($A474,Table,MATCH(G$4,Curves,0)))</f>
        <v/>
      </c>
      <c r="H474" s="201" t="str">
        <f aca="false">IF(A475="","",G474)</f>
        <v/>
      </c>
      <c r="J474" s="200" t="str">
        <f aca="false">IF($A475="","",VLOOKUP($A474,Table,MATCH(J$4,Curves,0)))</f>
        <v/>
      </c>
      <c r="K474" s="201" t="str">
        <f aca="false">IF(A475="","",J474)</f>
        <v/>
      </c>
      <c r="L474" s="185" t="n">
        <v>0</v>
      </c>
      <c r="M474" s="201" t="str">
        <f aca="false">IF(A475="","",L474)</f>
        <v/>
      </c>
      <c r="O474" s="200" t="str">
        <f aca="false">IF(A475="","",L474+J474+G474)</f>
        <v/>
      </c>
      <c r="P474" s="200" t="str">
        <f aca="false">IF(A475="","",M474+K474+H474)</f>
        <v/>
      </c>
      <c r="R474" s="200" t="str">
        <f aca="false">IF($A475="","",VLOOKUP($A474,Table,MATCH(R$4,Curves,0)))</f>
        <v/>
      </c>
      <c r="S474" s="201" t="str">
        <f aca="false">IF(A475="","",R474)</f>
        <v/>
      </c>
      <c r="T474" s="200" t="str">
        <f aca="false">IF($A475="","",VLOOKUP($A474,Table,MATCH(T$4,Curves,0)))</f>
        <v/>
      </c>
      <c r="U474" s="201" t="str">
        <f aca="false">IF(A475="","",T474)</f>
        <v/>
      </c>
      <c r="V474" s="183" t="str">
        <f aca="false">IF($A475="","",IF(AND(MONTH(A474)&gt;3,MONTH(A474)&lt;11),(T474+R474+G474)*(((1/(1-Summary!$T$14))/(1-Summary!$W$14))-1),(T474+R474+G474)*((1/(1-Summary!$U$14))/(1-Summary!$X$14)-1)))</f>
        <v/>
      </c>
      <c r="W474" s="202" t="str">
        <f aca="false">IF($A475="","",(T474+R474+G474+V474))</f>
        <v/>
      </c>
      <c r="X474" s="202" t="str">
        <f aca="false">IF($A475="","",(U474+S474+H474+V474))</f>
        <v/>
      </c>
      <c r="Y474" s="202"/>
      <c r="AJ474" s="77"/>
      <c r="AK474" s="77"/>
      <c r="AL474" s="77"/>
      <c r="AM474" s="77"/>
      <c r="AN474" s="77"/>
      <c r="AO474" s="137" t="str">
        <f aca="false">IF(A475="","",A475-A474)</f>
        <v/>
      </c>
      <c r="AP474" s="212" t="str">
        <f aca="false">IF(A475="","",CHOOSE(F$3,A475+24,A474))</f>
        <v/>
      </c>
      <c r="AQ474" s="209" t="str">
        <f aca="false">IF(A475="","",AP474-$E$1)</f>
        <v/>
      </c>
      <c r="AR474" s="185" t="n">
        <f aca="false">'ANR OK vs ML7'!AR474</f>
        <v>0.1</v>
      </c>
      <c r="AS474" s="213" t="str">
        <f aca="false">IF(A475="","",1/(1+CHOOSE(F$3,(AR475+($I$3/10000))/2,(AR474+($I$3/10000))/2))^(2*AQ474/365.25))</f>
        <v/>
      </c>
      <c r="AT474" s="137" t="str">
        <f aca="false">IF(A475="","",IF(AND(mthbeg&lt;=A474,mthend&gt;=A474),1,0))</f>
        <v/>
      </c>
      <c r="AU474" s="137" t="str">
        <f aca="false">IF(A475="","",AO474*AT474)</f>
        <v/>
      </c>
      <c r="AW474" s="195" t="str">
        <f aca="false">IF($A475="","",AL474*$E474)</f>
        <v/>
      </c>
      <c r="AX474" s="195" t="str">
        <f aca="false">IF($A475="","",AM474*$E474)</f>
        <v/>
      </c>
      <c r="AY474" s="195" t="str">
        <f aca="false">IF($A475="","",AN474*$E474)</f>
        <v/>
      </c>
      <c r="BA474" s="195" t="str">
        <f aca="false">IF($A475="","",F474*Summary!$Q$14)</f>
        <v/>
      </c>
    </row>
    <row r="475" customFormat="false" ht="12.75" hidden="false" customHeight="false" outlineLevel="0" collapsed="false">
      <c r="A475" s="196" t="str">
        <f aca="false">IF(A474&lt;mthend,EDATE(A474,1),"")</f>
        <v/>
      </c>
      <c r="B475" s="197" t="str">
        <f aca="false">IF(A475&lt;mthend,B474,"")</f>
        <v/>
      </c>
      <c r="D475" s="197" t="str">
        <f aca="false">IF(A476&lt;&gt;"",B475+C475,"")</f>
        <v/>
      </c>
      <c r="E475" s="199" t="str">
        <f aca="false">IF(A476="","",IF(AND(AT475=1,$H$3=1),D475*AO475,IF($H$3=2,D475,"N/A")))</f>
        <v/>
      </c>
      <c r="F475" s="199" t="str">
        <f aca="false">IF(A476="","",E475*AS475)</f>
        <v/>
      </c>
      <c r="G475" s="200" t="str">
        <f aca="false">IF($A476="","",VLOOKUP($A475,Table,MATCH(G$4,Curves,0)))</f>
        <v/>
      </c>
      <c r="H475" s="201" t="str">
        <f aca="false">IF(A476="","",G475)</f>
        <v/>
      </c>
      <c r="J475" s="200" t="str">
        <f aca="false">IF($A476="","",VLOOKUP($A475,Table,MATCH(J$4,Curves,0)))</f>
        <v/>
      </c>
      <c r="K475" s="201" t="str">
        <f aca="false">IF(A476="","",J475)</f>
        <v/>
      </c>
      <c r="L475" s="185" t="n">
        <v>0</v>
      </c>
      <c r="M475" s="201" t="str">
        <f aca="false">IF(A476="","",L475)</f>
        <v/>
      </c>
      <c r="O475" s="200" t="str">
        <f aca="false">IF(A476="","",L475+J475+G475)</f>
        <v/>
      </c>
      <c r="P475" s="200" t="str">
        <f aca="false">IF(A476="","",M475+K475+H475)</f>
        <v/>
      </c>
      <c r="R475" s="200" t="str">
        <f aca="false">IF($A476="","",VLOOKUP($A475,Table,MATCH(R$4,Curves,0)))</f>
        <v/>
      </c>
      <c r="S475" s="201" t="str">
        <f aca="false">IF(A476="","",R475)</f>
        <v/>
      </c>
      <c r="T475" s="200" t="str">
        <f aca="false">IF($A476="","",VLOOKUP($A475,Table,MATCH(T$4,Curves,0)))</f>
        <v/>
      </c>
      <c r="U475" s="201" t="str">
        <f aca="false">IF(A476="","",T475)</f>
        <v/>
      </c>
      <c r="V475" s="183" t="str">
        <f aca="false">IF($A476="","",IF(AND(MONTH(A475)&gt;3,MONTH(A475)&lt;11),(T475+R475+G475)*(((1/(1-Summary!$T$14))/(1-Summary!$W$14))-1),(T475+R475+G475)*((1/(1-Summary!$U$14))/(1-Summary!$X$14)-1)))</f>
        <v/>
      </c>
      <c r="W475" s="202" t="str">
        <f aca="false">IF($A476="","",(T475+R475+G475+V475))</f>
        <v/>
      </c>
      <c r="X475" s="202" t="str">
        <f aca="false">IF($A476="","",(U475+S475+H475+V475))</f>
        <v/>
      </c>
      <c r="Y475" s="202"/>
      <c r="AJ475" s="77"/>
      <c r="AK475" s="77"/>
      <c r="AL475" s="77"/>
      <c r="AM475" s="77"/>
      <c r="AN475" s="77"/>
      <c r="AO475" s="137" t="str">
        <f aca="false">IF(A476="","",A476-A475)</f>
        <v/>
      </c>
      <c r="AP475" s="212" t="str">
        <f aca="false">IF(A476="","",CHOOSE(F$3,A476+24,A475))</f>
        <v/>
      </c>
      <c r="AQ475" s="209" t="str">
        <f aca="false">IF(A476="","",AP475-$E$1)</f>
        <v/>
      </c>
      <c r="AR475" s="185" t="n">
        <f aca="false">'ANR OK vs ML7'!AR475</f>
        <v>0.1</v>
      </c>
      <c r="AS475" s="213" t="str">
        <f aca="false">IF(A476="","",1/(1+CHOOSE(F$3,(AR476+($I$3/10000))/2,(AR475+($I$3/10000))/2))^(2*AQ475/365.25))</f>
        <v/>
      </c>
      <c r="AT475" s="137" t="str">
        <f aca="false">IF(A476="","",IF(AND(mthbeg&lt;=A475,mthend&gt;=A475),1,0))</f>
        <v/>
      </c>
      <c r="AU475" s="137" t="str">
        <f aca="false">IF(A476="","",AO475*AT475)</f>
        <v/>
      </c>
      <c r="AW475" s="195" t="str">
        <f aca="false">IF($A476="","",AL475*$E475)</f>
        <v/>
      </c>
      <c r="AX475" s="195" t="str">
        <f aca="false">IF($A476="","",AM475*$E475)</f>
        <v/>
      </c>
      <c r="AY475" s="195" t="str">
        <f aca="false">IF($A476="","",AN475*$E475)</f>
        <v/>
      </c>
      <c r="BA475" s="195" t="str">
        <f aca="false">IF($A476="","",F475*Summary!$Q$14)</f>
        <v/>
      </c>
    </row>
    <row r="476" customFormat="false" ht="12.75" hidden="false" customHeight="false" outlineLevel="0" collapsed="false">
      <c r="A476" s="196" t="str">
        <f aca="false">IF(A475&lt;mthend,EDATE(A475,1),"")</f>
        <v/>
      </c>
      <c r="B476" s="197" t="str">
        <f aca="false">IF(A476&lt;mthend,B475,"")</f>
        <v/>
      </c>
      <c r="D476" s="197" t="str">
        <f aca="false">IF(A477&lt;&gt;"",B476+C476,"")</f>
        <v/>
      </c>
      <c r="E476" s="199" t="str">
        <f aca="false">IF(A477="","",IF(AND(AT476=1,$H$3=1),D476*AO476,IF($H$3=2,D476,"N/A")))</f>
        <v/>
      </c>
      <c r="F476" s="199" t="str">
        <f aca="false">IF(A477="","",E476*AS476)</f>
        <v/>
      </c>
      <c r="G476" s="200" t="str">
        <f aca="false">IF($A477="","",VLOOKUP($A476,Table,MATCH(G$4,Curves,0)))</f>
        <v/>
      </c>
      <c r="H476" s="201" t="str">
        <f aca="false">IF(A477="","",G476)</f>
        <v/>
      </c>
      <c r="J476" s="200" t="str">
        <f aca="false">IF($A477="","",VLOOKUP($A476,Table,MATCH(J$4,Curves,0)))</f>
        <v/>
      </c>
      <c r="K476" s="201" t="str">
        <f aca="false">IF(A477="","",J476)</f>
        <v/>
      </c>
      <c r="L476" s="185" t="n">
        <v>0</v>
      </c>
      <c r="M476" s="201" t="str">
        <f aca="false">IF(A477="","",L476)</f>
        <v/>
      </c>
      <c r="O476" s="200" t="str">
        <f aca="false">IF(A477="","",L476+J476+G476)</f>
        <v/>
      </c>
      <c r="P476" s="200" t="str">
        <f aca="false">IF(A477="","",M476+K476+H476)</f>
        <v/>
      </c>
      <c r="R476" s="200" t="str">
        <f aca="false">IF($A477="","",VLOOKUP($A476,Table,MATCH(R$4,Curves,0)))</f>
        <v/>
      </c>
      <c r="S476" s="201" t="str">
        <f aca="false">IF(A477="","",R476)</f>
        <v/>
      </c>
      <c r="T476" s="200" t="str">
        <f aca="false">IF($A477="","",VLOOKUP($A476,Table,MATCH(T$4,Curves,0)))</f>
        <v/>
      </c>
      <c r="U476" s="201" t="str">
        <f aca="false">IF(A477="","",T476)</f>
        <v/>
      </c>
      <c r="V476" s="183" t="str">
        <f aca="false">IF($A477="","",IF(AND(MONTH(A476)&gt;3,MONTH(A476)&lt;11),(T476+R476+G476)*(((1/(1-Summary!$T$14))/(1-Summary!$W$14))-1),(T476+R476+G476)*((1/(1-Summary!$U$14))/(1-Summary!$X$14)-1)))</f>
        <v/>
      </c>
      <c r="W476" s="202" t="str">
        <f aca="false">IF($A477="","",(T476+R476+G476+V476))</f>
        <v/>
      </c>
      <c r="X476" s="202" t="str">
        <f aca="false">IF($A477="","",(U476+S476+H476+V476))</f>
        <v/>
      </c>
      <c r="Y476" s="202"/>
      <c r="AJ476" s="77"/>
      <c r="AK476" s="77"/>
      <c r="AL476" s="77"/>
      <c r="AM476" s="77"/>
      <c r="AN476" s="77"/>
      <c r="AO476" s="137" t="str">
        <f aca="false">IF(A477="","",A477-A476)</f>
        <v/>
      </c>
      <c r="AP476" s="212" t="str">
        <f aca="false">IF(A477="","",CHOOSE(F$3,A477+24,A476))</f>
        <v/>
      </c>
      <c r="AQ476" s="209" t="str">
        <f aca="false">IF(A477="","",AP476-$E$1)</f>
        <v/>
      </c>
      <c r="AR476" s="185" t="n">
        <f aca="false">'ANR OK vs ML7'!AR476</f>
        <v>0.1</v>
      </c>
      <c r="AS476" s="213" t="str">
        <f aca="false">IF(A477="","",1/(1+CHOOSE(F$3,(AR477+($I$3/10000))/2,(AR476+($I$3/10000))/2))^(2*AQ476/365.25))</f>
        <v/>
      </c>
      <c r="AT476" s="137" t="str">
        <f aca="false">IF(A477="","",IF(AND(mthbeg&lt;=A476,mthend&gt;=A476),1,0))</f>
        <v/>
      </c>
      <c r="AU476" s="137" t="str">
        <f aca="false">IF(A477="","",AO476*AT476)</f>
        <v/>
      </c>
      <c r="AW476" s="195" t="str">
        <f aca="false">IF($A477="","",AL476*$E476)</f>
        <v/>
      </c>
      <c r="AX476" s="195" t="str">
        <f aca="false">IF($A477="","",AM476*$E476)</f>
        <v/>
      </c>
      <c r="AY476" s="195" t="str">
        <f aca="false">IF($A477="","",AN476*$E476)</f>
        <v/>
      </c>
      <c r="BA476" s="195" t="str">
        <f aca="false">IF($A477="","",F476*Summary!$Q$14)</f>
        <v/>
      </c>
    </row>
    <row r="477" customFormat="false" ht="12.75" hidden="false" customHeight="false" outlineLevel="0" collapsed="false">
      <c r="A477" s="196" t="str">
        <f aca="false">IF(A476&lt;mthend,EDATE(A476,1),"")</f>
        <v/>
      </c>
      <c r="B477" s="197" t="str">
        <f aca="false">IF(A477&lt;mthend,B476,"")</f>
        <v/>
      </c>
      <c r="D477" s="197" t="str">
        <f aca="false">IF(A478&lt;&gt;"",B477+C477,"")</f>
        <v/>
      </c>
      <c r="E477" s="199" t="str">
        <f aca="false">IF(A478="","",IF(AND(AT477=1,$H$3=1),D477*AO477,IF($H$3=2,D477,"N/A")))</f>
        <v/>
      </c>
      <c r="F477" s="199" t="str">
        <f aca="false">IF(A478="","",E477*AS477)</f>
        <v/>
      </c>
      <c r="G477" s="200" t="str">
        <f aca="false">IF($A478="","",VLOOKUP($A477,Table,MATCH(G$4,Curves,0)))</f>
        <v/>
      </c>
      <c r="H477" s="201" t="str">
        <f aca="false">IF(A478="","",G477)</f>
        <v/>
      </c>
      <c r="J477" s="200" t="str">
        <f aca="false">IF($A478="","",VLOOKUP($A477,Table,MATCH(J$4,Curves,0)))</f>
        <v/>
      </c>
      <c r="K477" s="201" t="str">
        <f aca="false">IF(A478="","",J477)</f>
        <v/>
      </c>
      <c r="L477" s="185" t="n">
        <v>0</v>
      </c>
      <c r="M477" s="201" t="str">
        <f aca="false">IF(A478="","",L477)</f>
        <v/>
      </c>
      <c r="O477" s="200" t="str">
        <f aca="false">IF(A478="","",L477+J477+G477)</f>
        <v/>
      </c>
      <c r="P477" s="200" t="str">
        <f aca="false">IF(A478="","",M477+K477+H477)</f>
        <v/>
      </c>
      <c r="R477" s="200" t="str">
        <f aca="false">IF($A478="","",VLOOKUP($A477,Table,MATCH(R$4,Curves,0)))</f>
        <v/>
      </c>
      <c r="S477" s="201" t="str">
        <f aca="false">IF(A478="","",R477)</f>
        <v/>
      </c>
      <c r="T477" s="200" t="str">
        <f aca="false">IF($A478="","",VLOOKUP($A477,Table,MATCH(T$4,Curves,0)))</f>
        <v/>
      </c>
      <c r="U477" s="201" t="str">
        <f aca="false">IF(A478="","",T477)</f>
        <v/>
      </c>
      <c r="V477" s="183" t="str">
        <f aca="false">IF($A478="","",IF(AND(MONTH(A477)&gt;3,MONTH(A477)&lt;11),(T477+R477+G477)*(((1/(1-Summary!$T$14))/(1-Summary!$W$14))-1),(T477+R477+G477)*((1/(1-Summary!$U$14))/(1-Summary!$X$14)-1)))</f>
        <v/>
      </c>
      <c r="W477" s="202" t="str">
        <f aca="false">IF($A478="","",(T477+R477+G477+V477))</f>
        <v/>
      </c>
      <c r="X477" s="202" t="str">
        <f aca="false">IF($A478="","",(U477+S477+H477+V477))</f>
        <v/>
      </c>
      <c r="Y477" s="202"/>
      <c r="AJ477" s="77"/>
      <c r="AK477" s="77"/>
      <c r="AL477" s="77"/>
      <c r="AM477" s="77"/>
      <c r="AN477" s="77"/>
      <c r="AO477" s="137" t="str">
        <f aca="false">IF(A478="","",A478-A477)</f>
        <v/>
      </c>
      <c r="AP477" s="212" t="str">
        <f aca="false">IF(A478="","",CHOOSE(F$3,A478+24,A477))</f>
        <v/>
      </c>
      <c r="AQ477" s="209" t="str">
        <f aca="false">IF(A478="","",AP477-$E$1)</f>
        <v/>
      </c>
      <c r="AR477" s="185" t="n">
        <f aca="false">'ANR OK vs ML7'!AR477</f>
        <v>0.1</v>
      </c>
      <c r="AS477" s="213" t="str">
        <f aca="false">IF(A478="","",1/(1+CHOOSE(F$3,(AR478+($I$3/10000))/2,(AR477+($I$3/10000))/2))^(2*AQ477/365.25))</f>
        <v/>
      </c>
      <c r="AT477" s="137" t="str">
        <f aca="false">IF(A478="","",IF(AND(mthbeg&lt;=A477,mthend&gt;=A477),1,0))</f>
        <v/>
      </c>
      <c r="AU477" s="137" t="str">
        <f aca="false">IF(A478="","",AO477*AT477)</f>
        <v/>
      </c>
      <c r="AW477" s="195" t="str">
        <f aca="false">IF($A478="","",AL477*$E477)</f>
        <v/>
      </c>
      <c r="AX477" s="195" t="str">
        <f aca="false">IF($A478="","",AM477*$E477)</f>
        <v/>
      </c>
      <c r="AY477" s="195" t="str">
        <f aca="false">IF($A478="","",AN477*$E477)</f>
        <v/>
      </c>
      <c r="BA477" s="195" t="str">
        <f aca="false">IF($A478="","",F477*Summary!$Q$14)</f>
        <v/>
      </c>
    </row>
    <row r="478" customFormat="false" ht="12.75" hidden="false" customHeight="false" outlineLevel="0" collapsed="false">
      <c r="A478" s="196" t="str">
        <f aca="false">IF(A477&lt;mthend,EDATE(A477,1),"")</f>
        <v/>
      </c>
      <c r="B478" s="197" t="str">
        <f aca="false">IF(A478&lt;mthend,B477,"")</f>
        <v/>
      </c>
      <c r="D478" s="197" t="str">
        <f aca="false">IF(A479&lt;&gt;"",B478+C478,"")</f>
        <v/>
      </c>
      <c r="E478" s="199" t="str">
        <f aca="false">IF(A479="","",IF(AND(AT478=1,$H$3=1),D478*AO478,IF($H$3=2,D478,"N/A")))</f>
        <v/>
      </c>
      <c r="F478" s="199" t="str">
        <f aca="false">IF(A479="","",E478*AS478)</f>
        <v/>
      </c>
      <c r="G478" s="200" t="str">
        <f aca="false">IF($A479="","",VLOOKUP($A478,Table,MATCH(G$4,Curves,0)))</f>
        <v/>
      </c>
      <c r="H478" s="201" t="str">
        <f aca="false">IF(A479="","",G478)</f>
        <v/>
      </c>
      <c r="J478" s="200" t="str">
        <f aca="false">IF($A479="","",VLOOKUP($A478,Table,MATCH(J$4,Curves,0)))</f>
        <v/>
      </c>
      <c r="K478" s="201" t="str">
        <f aca="false">IF(A479="","",J478)</f>
        <v/>
      </c>
      <c r="L478" s="185" t="n">
        <v>0</v>
      </c>
      <c r="M478" s="201" t="str">
        <f aca="false">IF(A479="","",L478)</f>
        <v/>
      </c>
      <c r="O478" s="200" t="str">
        <f aca="false">IF(A479="","",L478+J478+G478)</f>
        <v/>
      </c>
      <c r="P478" s="200" t="str">
        <f aca="false">IF(A479="","",M478+K478+H478)</f>
        <v/>
      </c>
      <c r="R478" s="200" t="str">
        <f aca="false">IF($A479="","",VLOOKUP($A478,Table,MATCH(R$4,Curves,0)))</f>
        <v/>
      </c>
      <c r="S478" s="201" t="str">
        <f aca="false">IF(A479="","",R478)</f>
        <v/>
      </c>
      <c r="T478" s="200" t="str">
        <f aca="false">IF($A479="","",VLOOKUP($A478,Table,MATCH(T$4,Curves,0)))</f>
        <v/>
      </c>
      <c r="U478" s="201" t="str">
        <f aca="false">IF(A479="","",T478)</f>
        <v/>
      </c>
      <c r="V478" s="183" t="str">
        <f aca="false">IF($A479="","",IF(AND(MONTH(A478)&gt;3,MONTH(A478)&lt;11),(T478+R478+G478)*(((1/(1-Summary!$T$14))/(1-Summary!$W$14))-1),(T478+R478+G478)*((1/(1-Summary!$U$14))/(1-Summary!$X$14)-1)))</f>
        <v/>
      </c>
      <c r="W478" s="202" t="str">
        <f aca="false">IF($A479="","",(T478+R478+G478+V478))</f>
        <v/>
      </c>
      <c r="X478" s="202" t="str">
        <f aca="false">IF($A479="","",(U478+S478+H478+V478))</f>
        <v/>
      </c>
      <c r="Y478" s="202"/>
      <c r="AJ478" s="77"/>
      <c r="AK478" s="77"/>
      <c r="AL478" s="77"/>
      <c r="AM478" s="77"/>
      <c r="AN478" s="77"/>
      <c r="AO478" s="137" t="str">
        <f aca="false">IF(A479="","",A479-A478)</f>
        <v/>
      </c>
      <c r="AP478" s="212" t="str">
        <f aca="false">IF(A479="","",CHOOSE(F$3,A479+24,A478))</f>
        <v/>
      </c>
      <c r="AQ478" s="209" t="str">
        <f aca="false">IF(A479="","",AP478-$E$1)</f>
        <v/>
      </c>
      <c r="AR478" s="185" t="n">
        <f aca="false">'ANR OK vs ML7'!AR478</f>
        <v>0.1</v>
      </c>
      <c r="AS478" s="213" t="str">
        <f aca="false">IF(A479="","",1/(1+CHOOSE(F$3,(AR479+($I$3/10000))/2,(AR478+($I$3/10000))/2))^(2*AQ478/365.25))</f>
        <v/>
      </c>
      <c r="AT478" s="137" t="str">
        <f aca="false">IF(A479="","",IF(AND(mthbeg&lt;=A478,mthend&gt;=A478),1,0))</f>
        <v/>
      </c>
      <c r="AU478" s="137" t="str">
        <f aca="false">IF(A479="","",AO478*AT478)</f>
        <v/>
      </c>
      <c r="AW478" s="195" t="str">
        <f aca="false">IF($A479="","",AL478*$E478)</f>
        <v/>
      </c>
      <c r="AX478" s="195" t="str">
        <f aca="false">IF($A479="","",AM478*$E478)</f>
        <v/>
      </c>
      <c r="AY478" s="195" t="str">
        <f aca="false">IF($A479="","",AN478*$E478)</f>
        <v/>
      </c>
      <c r="BA478" s="195" t="str">
        <f aca="false">IF($A479="","",F478*Summary!$Q$14)</f>
        <v/>
      </c>
    </row>
    <row r="479" customFormat="false" ht="12.75" hidden="false" customHeight="false" outlineLevel="0" collapsed="false">
      <c r="A479" s="196" t="str">
        <f aca="false">IF(A478&lt;mthend,EDATE(A478,1),"")</f>
        <v/>
      </c>
      <c r="B479" s="197" t="str">
        <f aca="false">IF(A479&lt;mthend,B478,"")</f>
        <v/>
      </c>
      <c r="D479" s="197" t="str">
        <f aca="false">IF(A480&lt;&gt;"",B479+C479,"")</f>
        <v/>
      </c>
      <c r="E479" s="199" t="str">
        <f aca="false">IF(A480="","",IF(AND(AT479=1,$H$3=1),D479*AO479,IF($H$3=2,D479,"N/A")))</f>
        <v/>
      </c>
      <c r="F479" s="199" t="str">
        <f aca="false">IF(A480="","",E479*AS479)</f>
        <v/>
      </c>
      <c r="G479" s="200" t="str">
        <f aca="false">IF($A480="","",VLOOKUP($A479,Table,MATCH(G$4,Curves,0)))</f>
        <v/>
      </c>
      <c r="H479" s="201" t="str">
        <f aca="false">IF(A480="","",G479)</f>
        <v/>
      </c>
      <c r="J479" s="200" t="str">
        <f aca="false">IF($A480="","",VLOOKUP($A479,Table,MATCH(J$4,Curves,0)))</f>
        <v/>
      </c>
      <c r="K479" s="201" t="str">
        <f aca="false">IF(A480="","",J479)</f>
        <v/>
      </c>
      <c r="L479" s="185" t="n">
        <v>0</v>
      </c>
      <c r="M479" s="201" t="str">
        <f aca="false">IF(A480="","",L479)</f>
        <v/>
      </c>
      <c r="O479" s="200" t="str">
        <f aca="false">IF(A480="","",L479+J479+G479)</f>
        <v/>
      </c>
      <c r="P479" s="200" t="str">
        <f aca="false">IF(A480="","",M479+K479+H479)</f>
        <v/>
      </c>
      <c r="R479" s="200" t="str">
        <f aca="false">IF($A480="","",VLOOKUP($A479,Table,MATCH(R$4,Curves,0)))</f>
        <v/>
      </c>
      <c r="S479" s="201" t="str">
        <f aca="false">IF(A480="","",R479)</f>
        <v/>
      </c>
      <c r="T479" s="200" t="str">
        <f aca="false">IF($A480="","",VLOOKUP($A479,Table,MATCH(T$4,Curves,0)))</f>
        <v/>
      </c>
      <c r="U479" s="201" t="str">
        <f aca="false">IF(A480="","",T479)</f>
        <v/>
      </c>
      <c r="V479" s="183" t="str">
        <f aca="false">IF($A480="","",IF(AND(MONTH(A479)&gt;3,MONTH(A479)&lt;11),(T479+R479+G479)*(((1/(1-Summary!$T$14))/(1-Summary!$W$14))-1),(T479+R479+G479)*((1/(1-Summary!$U$14))/(1-Summary!$X$14)-1)))</f>
        <v/>
      </c>
      <c r="W479" s="202" t="str">
        <f aca="false">IF($A480="","",(T479+R479+G479+V479))</f>
        <v/>
      </c>
      <c r="X479" s="202" t="str">
        <f aca="false">IF($A480="","",(U479+S479+H479+V479))</f>
        <v/>
      </c>
      <c r="Y479" s="202"/>
      <c r="AJ479" s="77"/>
      <c r="AK479" s="77"/>
      <c r="AL479" s="77"/>
      <c r="AM479" s="77"/>
      <c r="AN479" s="77"/>
      <c r="AO479" s="137" t="str">
        <f aca="false">IF(A480="","",A480-A479)</f>
        <v/>
      </c>
      <c r="AP479" s="212" t="str">
        <f aca="false">IF(A480="","",CHOOSE(F$3,A480+24,A479))</f>
        <v/>
      </c>
      <c r="AQ479" s="209" t="str">
        <f aca="false">IF(A480="","",AP479-$E$1)</f>
        <v/>
      </c>
      <c r="AR479" s="185" t="n">
        <f aca="false">'ANR OK vs ML7'!AR479</f>
        <v>0.1</v>
      </c>
      <c r="AS479" s="213" t="str">
        <f aca="false">IF(A480="","",1/(1+CHOOSE(F$3,(AR480+($I$3/10000))/2,(AR479+($I$3/10000))/2))^(2*AQ479/365.25))</f>
        <v/>
      </c>
      <c r="AT479" s="137" t="str">
        <f aca="false">IF(A480="","",IF(AND(mthbeg&lt;=A479,mthend&gt;=A479),1,0))</f>
        <v/>
      </c>
      <c r="AU479" s="137" t="str">
        <f aca="false">IF(A480="","",AO479*AT479)</f>
        <v/>
      </c>
      <c r="AW479" s="195" t="str">
        <f aca="false">IF($A480="","",AL479*$E479)</f>
        <v/>
      </c>
      <c r="AX479" s="195" t="str">
        <f aca="false">IF($A480="","",AM479*$E479)</f>
        <v/>
      </c>
      <c r="AY479" s="195" t="str">
        <f aca="false">IF($A480="","",AN479*$E479)</f>
        <v/>
      </c>
      <c r="BA479" s="195" t="str">
        <f aca="false">IF($A480="","",F479*Summary!$Q$14)</f>
        <v/>
      </c>
    </row>
    <row r="480" customFormat="false" ht="12.75" hidden="false" customHeight="false" outlineLevel="0" collapsed="false">
      <c r="A480" s="196" t="str">
        <f aca="false">IF(A479&lt;mthend,EDATE(A479,1),"")</f>
        <v/>
      </c>
      <c r="B480" s="197" t="str">
        <f aca="false">IF(A480&lt;mthend,B479,"")</f>
        <v/>
      </c>
      <c r="D480" s="197" t="str">
        <f aca="false">IF(A481&lt;&gt;"",B480+C480,"")</f>
        <v/>
      </c>
      <c r="E480" s="199" t="str">
        <f aca="false">IF(A481="","",IF(AND(AT480=1,$H$3=1),D480*AO480,IF($H$3=2,D480,"N/A")))</f>
        <v/>
      </c>
      <c r="F480" s="199" t="str">
        <f aca="false">IF(A481="","",E480*AS480)</f>
        <v/>
      </c>
      <c r="G480" s="200" t="str">
        <f aca="false">IF($A481="","",VLOOKUP($A480,Table,MATCH(G$4,Curves,0)))</f>
        <v/>
      </c>
      <c r="H480" s="201" t="str">
        <f aca="false">IF(A481="","",G480)</f>
        <v/>
      </c>
      <c r="J480" s="200" t="str">
        <f aca="false">IF($A481="","",VLOOKUP($A480,Table,MATCH(J$4,Curves,0)))</f>
        <v/>
      </c>
      <c r="K480" s="201" t="str">
        <f aca="false">IF(A481="","",J480)</f>
        <v/>
      </c>
      <c r="L480" s="185" t="n">
        <v>0</v>
      </c>
      <c r="M480" s="201" t="str">
        <f aca="false">IF(A481="","",L480)</f>
        <v/>
      </c>
      <c r="O480" s="200" t="str">
        <f aca="false">IF(A481="","",L480+J480+G480)</f>
        <v/>
      </c>
      <c r="P480" s="200" t="str">
        <f aca="false">IF(A481="","",M480+K480+H480)</f>
        <v/>
      </c>
      <c r="R480" s="200" t="str">
        <f aca="false">IF($A481="","",VLOOKUP($A480,Table,MATCH(R$4,Curves,0)))</f>
        <v/>
      </c>
      <c r="S480" s="201" t="str">
        <f aca="false">IF(A481="","",R480)</f>
        <v/>
      </c>
      <c r="T480" s="200" t="str">
        <f aca="false">IF($A481="","",VLOOKUP($A480,Table,MATCH(T$4,Curves,0)))</f>
        <v/>
      </c>
      <c r="U480" s="201" t="str">
        <f aca="false">IF(A481="","",T480)</f>
        <v/>
      </c>
      <c r="V480" s="183" t="str">
        <f aca="false">IF($A481="","",IF(AND(MONTH(A480)&gt;3,MONTH(A480)&lt;11),(T480+R480+G480)*(((1/(1-Summary!$T$14))/(1-Summary!$W$14))-1),(T480+R480+G480)*((1/(1-Summary!$U$14))/(1-Summary!$X$14)-1)))</f>
        <v/>
      </c>
      <c r="W480" s="202" t="str">
        <f aca="false">IF($A481="","",(T480+R480+G480+V480))</f>
        <v/>
      </c>
      <c r="X480" s="202" t="str">
        <f aca="false">IF($A481="","",(U480+S480+H480+V480))</f>
        <v/>
      </c>
      <c r="Y480" s="202"/>
      <c r="AJ480" s="77"/>
      <c r="AK480" s="77"/>
      <c r="AL480" s="77"/>
      <c r="AM480" s="77"/>
      <c r="AN480" s="77"/>
      <c r="AO480" s="137" t="str">
        <f aca="false">IF(A481="","",A481-A480)</f>
        <v/>
      </c>
      <c r="AP480" s="212" t="str">
        <f aca="false">IF(A481="","",CHOOSE(F$3,A481+24,A480))</f>
        <v/>
      </c>
      <c r="AQ480" s="209" t="str">
        <f aca="false">IF(A481="","",AP480-$E$1)</f>
        <v/>
      </c>
      <c r="AR480" s="185" t="n">
        <f aca="false">'ANR OK vs ML7'!AR480</f>
        <v>0.1</v>
      </c>
      <c r="AS480" s="213" t="str">
        <f aca="false">IF(A481="","",1/(1+CHOOSE(F$3,(AR481+($I$3/10000))/2,(AR480+($I$3/10000))/2))^(2*AQ480/365.25))</f>
        <v/>
      </c>
      <c r="AT480" s="137" t="str">
        <f aca="false">IF(A481="","",IF(AND(mthbeg&lt;=A480,mthend&gt;=A480),1,0))</f>
        <v/>
      </c>
      <c r="AU480" s="137" t="str">
        <f aca="false">IF(A481="","",AO480*AT480)</f>
        <v/>
      </c>
      <c r="AW480" s="195" t="str">
        <f aca="false">IF($A481="","",AL480*$E480)</f>
        <v/>
      </c>
      <c r="AX480" s="195" t="str">
        <f aca="false">IF($A481="","",AM480*$E480)</f>
        <v/>
      </c>
      <c r="AY480" s="195" t="str">
        <f aca="false">IF($A481="","",AN480*$E480)</f>
        <v/>
      </c>
      <c r="BA480" s="195" t="str">
        <f aca="false">IF($A481="","",F480*Summary!$Q$14)</f>
        <v/>
      </c>
    </row>
    <row r="481" customFormat="false" ht="12.75" hidden="false" customHeight="false" outlineLevel="0" collapsed="false">
      <c r="A481" s="196" t="str">
        <f aca="false">IF(A480&lt;mthend,EDATE(A480,1),"")</f>
        <v/>
      </c>
      <c r="B481" s="197" t="str">
        <f aca="false">IF(A481&lt;mthend,B480,"")</f>
        <v/>
      </c>
      <c r="D481" s="197" t="str">
        <f aca="false">IF(A482&lt;&gt;"",B481+C481,"")</f>
        <v/>
      </c>
      <c r="E481" s="199" t="str">
        <f aca="false">IF(A482="","",IF(AND(AT481=1,$H$3=1),D481*AO481,IF($H$3=2,D481,"N/A")))</f>
        <v/>
      </c>
      <c r="F481" s="199" t="str">
        <f aca="false">IF(A482="","",E481*AS481)</f>
        <v/>
      </c>
      <c r="G481" s="200" t="str">
        <f aca="false">IF($A482="","",VLOOKUP($A481,Table,MATCH(G$4,Curves,0)))</f>
        <v/>
      </c>
      <c r="H481" s="201" t="str">
        <f aca="false">IF(A482="","",G481)</f>
        <v/>
      </c>
      <c r="J481" s="200" t="str">
        <f aca="false">IF($A482="","",VLOOKUP($A481,Table,MATCH(J$4,Curves,0)))</f>
        <v/>
      </c>
      <c r="K481" s="201" t="str">
        <f aca="false">IF(A482="","",J481)</f>
        <v/>
      </c>
      <c r="L481" s="185" t="n">
        <v>0</v>
      </c>
      <c r="M481" s="201" t="str">
        <f aca="false">IF(A482="","",L481)</f>
        <v/>
      </c>
      <c r="O481" s="200" t="str">
        <f aca="false">IF(A482="","",L481+J481+G481)</f>
        <v/>
      </c>
      <c r="P481" s="200" t="str">
        <f aca="false">IF(A482="","",M481+K481+H481)</f>
        <v/>
      </c>
      <c r="R481" s="200" t="str">
        <f aca="false">IF($A482="","",VLOOKUP($A481,Table,MATCH(R$4,Curves,0)))</f>
        <v/>
      </c>
      <c r="S481" s="201" t="str">
        <f aca="false">IF(A482="","",R481)</f>
        <v/>
      </c>
      <c r="T481" s="200" t="str">
        <f aca="false">IF($A482="","",VLOOKUP($A481,Table,MATCH(T$4,Curves,0)))</f>
        <v/>
      </c>
      <c r="U481" s="201" t="str">
        <f aca="false">IF(A482="","",T481)</f>
        <v/>
      </c>
      <c r="V481" s="183" t="str">
        <f aca="false">IF($A482="","",IF(AND(MONTH(A481)&gt;3,MONTH(A481)&lt;11),(T481+R481+G481)*(((1/(1-Summary!$T$14))/(1-Summary!$W$14))-1),(T481+R481+G481)*((1/(1-Summary!$U$14))/(1-Summary!$X$14)-1)))</f>
        <v/>
      </c>
      <c r="W481" s="202" t="str">
        <f aca="false">IF($A482="","",(T481+R481+G481+V481))</f>
        <v/>
      </c>
      <c r="X481" s="202" t="str">
        <f aca="false">IF($A482="","",(U481+S481+H481+V481))</f>
        <v/>
      </c>
      <c r="Y481" s="202"/>
      <c r="AJ481" s="77"/>
      <c r="AK481" s="77"/>
      <c r="AL481" s="77"/>
      <c r="AM481" s="77"/>
      <c r="AN481" s="77"/>
      <c r="AO481" s="137" t="str">
        <f aca="false">IF(A482="","",A482-A481)</f>
        <v/>
      </c>
      <c r="AP481" s="212" t="str">
        <f aca="false">IF(A482="","",CHOOSE(F$3,A482+24,A481))</f>
        <v/>
      </c>
      <c r="AQ481" s="209" t="str">
        <f aca="false">IF(A482="","",AP481-$E$1)</f>
        <v/>
      </c>
      <c r="AR481" s="185" t="n">
        <f aca="false">'ANR OK vs ML7'!AR481</f>
        <v>0.1</v>
      </c>
      <c r="AS481" s="213" t="str">
        <f aca="false">IF(A482="","",1/(1+CHOOSE(F$3,(AR482+($I$3/10000))/2,(AR481+($I$3/10000))/2))^(2*AQ481/365.25))</f>
        <v/>
      </c>
      <c r="AT481" s="137" t="str">
        <f aca="false">IF(A482="","",IF(AND(mthbeg&lt;=A481,mthend&gt;=A481),1,0))</f>
        <v/>
      </c>
      <c r="AU481" s="137" t="str">
        <f aca="false">IF(A482="","",AO481*AT481)</f>
        <v/>
      </c>
      <c r="AW481" s="195" t="str">
        <f aca="false">IF($A482="","",AL481*$E481)</f>
        <v/>
      </c>
      <c r="AX481" s="195" t="str">
        <f aca="false">IF($A482="","",AM481*$E481)</f>
        <v/>
      </c>
      <c r="AY481" s="195" t="str">
        <f aca="false">IF($A482="","",AN481*$E481)</f>
        <v/>
      </c>
      <c r="BA481" s="195" t="str">
        <f aca="false">IF($A482="","",F481*Summary!$Q$14)</f>
        <v/>
      </c>
    </row>
    <row r="482" customFormat="false" ht="12.75" hidden="false" customHeight="false" outlineLevel="0" collapsed="false">
      <c r="A482" s="196" t="str">
        <f aca="false">IF(A481&lt;mthend,EDATE(A481,1),"")</f>
        <v/>
      </c>
      <c r="B482" s="197" t="str">
        <f aca="false">IF(A482&lt;mthend,B481,"")</f>
        <v/>
      </c>
      <c r="D482" s="197" t="str">
        <f aca="false">IF(A483&lt;&gt;"",B482+C482,"")</f>
        <v/>
      </c>
      <c r="E482" s="199" t="str">
        <f aca="false">IF(A483="","",IF(AND(AT482=1,$H$3=1),D482*AO482,IF($H$3=2,D482,"N/A")))</f>
        <v/>
      </c>
      <c r="F482" s="199" t="str">
        <f aca="false">IF(A483="","",E482*AS482)</f>
        <v/>
      </c>
      <c r="G482" s="200" t="str">
        <f aca="false">IF($A483="","",VLOOKUP($A482,Table,MATCH(G$4,Curves,0)))</f>
        <v/>
      </c>
      <c r="H482" s="201" t="str">
        <f aca="false">IF(A483="","",G482)</f>
        <v/>
      </c>
      <c r="J482" s="200" t="str">
        <f aca="false">IF($A483="","",VLOOKUP($A482,Table,MATCH(J$4,Curves,0)))</f>
        <v/>
      </c>
      <c r="K482" s="201" t="str">
        <f aca="false">IF(A483="","",J482)</f>
        <v/>
      </c>
      <c r="L482" s="185" t="n">
        <v>0</v>
      </c>
      <c r="M482" s="201" t="str">
        <f aca="false">IF(A483="","",L482)</f>
        <v/>
      </c>
      <c r="O482" s="200" t="str">
        <f aca="false">IF(A483="","",L482+J482+G482)</f>
        <v/>
      </c>
      <c r="P482" s="200" t="str">
        <f aca="false">IF(A483="","",M482+K482+H482)</f>
        <v/>
      </c>
      <c r="R482" s="200" t="str">
        <f aca="false">IF($A483="","",VLOOKUP($A482,Table,MATCH(R$4,Curves,0)))</f>
        <v/>
      </c>
      <c r="S482" s="201" t="str">
        <f aca="false">IF(A483="","",R482)</f>
        <v/>
      </c>
      <c r="T482" s="200" t="str">
        <f aca="false">IF($A483="","",VLOOKUP($A482,Table,MATCH(T$4,Curves,0)))</f>
        <v/>
      </c>
      <c r="U482" s="201" t="str">
        <f aca="false">IF(A483="","",T482)</f>
        <v/>
      </c>
      <c r="V482" s="183" t="str">
        <f aca="false">IF($A483="","",IF(AND(MONTH(A482)&gt;3,MONTH(A482)&lt;11),(T482+R482+G482)*(((1/(1-Summary!$T$14))/(1-Summary!$W$14))-1),(T482+R482+G482)*((1/(1-Summary!$U$14))/(1-Summary!$X$14)-1)))</f>
        <v/>
      </c>
      <c r="W482" s="202" t="str">
        <f aca="false">IF($A483="","",(T482+R482+G482+V482))</f>
        <v/>
      </c>
      <c r="X482" s="202" t="str">
        <f aca="false">IF($A483="","",(U482+S482+H482+V482))</f>
        <v/>
      </c>
      <c r="Y482" s="202"/>
      <c r="AJ482" s="77"/>
      <c r="AK482" s="77"/>
      <c r="AL482" s="77"/>
      <c r="AM482" s="77"/>
      <c r="AN482" s="77"/>
      <c r="AO482" s="137" t="str">
        <f aca="false">IF(A483="","",A483-A482)</f>
        <v/>
      </c>
      <c r="AP482" s="212" t="str">
        <f aca="false">IF(A483="","",CHOOSE(F$3,A483+24,A482))</f>
        <v/>
      </c>
      <c r="AQ482" s="209" t="str">
        <f aca="false">IF(A483="","",AP482-$E$1)</f>
        <v/>
      </c>
      <c r="AR482" s="185" t="n">
        <f aca="false">'ANR OK vs ML7'!AR482</f>
        <v>0.1</v>
      </c>
      <c r="AS482" s="213" t="str">
        <f aca="false">IF(A483="","",1/(1+CHOOSE(F$3,(AR483+($I$3/10000))/2,(AR482+($I$3/10000))/2))^(2*AQ482/365.25))</f>
        <v/>
      </c>
      <c r="AT482" s="137" t="str">
        <f aca="false">IF(A483="","",IF(AND(mthbeg&lt;=A482,mthend&gt;=A482),1,0))</f>
        <v/>
      </c>
      <c r="AU482" s="137" t="str">
        <f aca="false">IF(A483="","",AO482*AT482)</f>
        <v/>
      </c>
      <c r="AW482" s="195" t="str">
        <f aca="false">IF($A483="","",AL482*$E482)</f>
        <v/>
      </c>
      <c r="AX482" s="195" t="str">
        <f aca="false">IF($A483="","",AM482*$E482)</f>
        <v/>
      </c>
      <c r="AY482" s="195" t="str">
        <f aca="false">IF($A483="","",AN482*$E482)</f>
        <v/>
      </c>
      <c r="BA482" s="195" t="str">
        <f aca="false">IF($A483="","",F482*Summary!$Q$14)</f>
        <v/>
      </c>
    </row>
    <row r="483" customFormat="false" ht="12.75" hidden="false" customHeight="false" outlineLevel="0" collapsed="false">
      <c r="A483" s="196" t="str">
        <f aca="false">IF(A482&lt;mthend,EDATE(A482,1),"")</f>
        <v/>
      </c>
      <c r="B483" s="197" t="str">
        <f aca="false">IF(A483&lt;mthend,B482,"")</f>
        <v/>
      </c>
      <c r="D483" s="197" t="str">
        <f aca="false">IF(A484&lt;&gt;"",B483+C483,"")</f>
        <v/>
      </c>
      <c r="E483" s="199" t="str">
        <f aca="false">IF(A484="","",IF(AND(AT483=1,$H$3=1),D483*AO483,IF($H$3=2,D483,"N/A")))</f>
        <v/>
      </c>
      <c r="F483" s="199" t="str">
        <f aca="false">IF(A484="","",E483*AS483)</f>
        <v/>
      </c>
      <c r="G483" s="200" t="str">
        <f aca="false">IF($A484="","",VLOOKUP($A483,Table,MATCH(G$4,Curves,0)))</f>
        <v/>
      </c>
      <c r="H483" s="201" t="str">
        <f aca="false">IF(A484="","",G483)</f>
        <v/>
      </c>
      <c r="J483" s="200" t="str">
        <f aca="false">IF($A484="","",VLOOKUP($A483,Table,MATCH(J$4,Curves,0)))</f>
        <v/>
      </c>
      <c r="K483" s="201" t="str">
        <f aca="false">IF(A484="","",J483)</f>
        <v/>
      </c>
      <c r="L483" s="185" t="n">
        <v>0</v>
      </c>
      <c r="M483" s="201" t="str">
        <f aca="false">IF(A484="","",L483)</f>
        <v/>
      </c>
      <c r="O483" s="200" t="str">
        <f aca="false">IF(A484="","",L483+J483+G483)</f>
        <v/>
      </c>
      <c r="P483" s="200" t="str">
        <f aca="false">IF(A484="","",M483+K483+H483)</f>
        <v/>
      </c>
      <c r="R483" s="200" t="str">
        <f aca="false">IF($A484="","",VLOOKUP($A483,Table,MATCH(R$4,Curves,0)))</f>
        <v/>
      </c>
      <c r="S483" s="201" t="str">
        <f aca="false">IF(A484="","",R483)</f>
        <v/>
      </c>
      <c r="T483" s="200" t="str">
        <f aca="false">IF($A484="","",VLOOKUP($A483,Table,MATCH(T$4,Curves,0)))</f>
        <v/>
      </c>
      <c r="U483" s="201" t="str">
        <f aca="false">IF(A484="","",T483)</f>
        <v/>
      </c>
      <c r="V483" s="183" t="str">
        <f aca="false">IF($A484="","",IF(AND(MONTH(A483)&gt;3,MONTH(A483)&lt;11),(T483+R483+G483)*(((1/(1-Summary!$T$14))/(1-Summary!$W$14))-1),(T483+R483+G483)*((1/(1-Summary!$U$14))/(1-Summary!$X$14)-1)))</f>
        <v/>
      </c>
      <c r="W483" s="202" t="str">
        <f aca="false">IF($A484="","",(T483+R483+G483+V483))</f>
        <v/>
      </c>
      <c r="X483" s="202" t="str">
        <f aca="false">IF($A484="","",(U483+S483+H483+V483))</f>
        <v/>
      </c>
      <c r="Y483" s="202"/>
      <c r="AJ483" s="77"/>
      <c r="AK483" s="77"/>
      <c r="AL483" s="77"/>
      <c r="AM483" s="77"/>
      <c r="AN483" s="77"/>
      <c r="AO483" s="137" t="str">
        <f aca="false">IF(A484="","",A484-A483)</f>
        <v/>
      </c>
      <c r="AP483" s="212" t="str">
        <f aca="false">IF(A484="","",CHOOSE(F$3,A484+24,A483))</f>
        <v/>
      </c>
      <c r="AQ483" s="209" t="str">
        <f aca="false">IF(A484="","",AP483-$E$1)</f>
        <v/>
      </c>
      <c r="AR483" s="185" t="n">
        <f aca="false">'ANR OK vs ML7'!AR483</f>
        <v>0.1</v>
      </c>
      <c r="AS483" s="213" t="str">
        <f aca="false">IF(A484="","",1/(1+CHOOSE(F$3,(AR484+($I$3/10000))/2,(AR483+($I$3/10000))/2))^(2*AQ483/365.25))</f>
        <v/>
      </c>
      <c r="AT483" s="137" t="str">
        <f aca="false">IF(A484="","",IF(AND(mthbeg&lt;=A483,mthend&gt;=A483),1,0))</f>
        <v/>
      </c>
      <c r="AU483" s="137" t="str">
        <f aca="false">IF(A484="","",AO483*AT483)</f>
        <v/>
      </c>
      <c r="AW483" s="195" t="str">
        <f aca="false">IF($A484="","",AL483*$E483)</f>
        <v/>
      </c>
      <c r="AX483" s="195" t="str">
        <f aca="false">IF($A484="","",AM483*$E483)</f>
        <v/>
      </c>
      <c r="AY483" s="195" t="str">
        <f aca="false">IF($A484="","",AN483*$E483)</f>
        <v/>
      </c>
      <c r="BA483" s="195" t="str">
        <f aca="false">IF($A484="","",F483*Summary!$Q$14)</f>
        <v/>
      </c>
    </row>
    <row r="484" customFormat="false" ht="12.75" hidden="false" customHeight="false" outlineLevel="0" collapsed="false">
      <c r="A484" s="196" t="str">
        <f aca="false">IF(A483&lt;mthend,EDATE(A483,1),"")</f>
        <v/>
      </c>
      <c r="B484" s="197" t="str">
        <f aca="false">IF(A484&lt;mthend,B483,"")</f>
        <v/>
      </c>
      <c r="D484" s="197" t="str">
        <f aca="false">IF(A485&lt;&gt;"",B484+C484,"")</f>
        <v/>
      </c>
      <c r="E484" s="199" t="str">
        <f aca="false">IF(A485="","",IF(AND(AT484=1,$H$3=1),D484*AO484,IF($H$3=2,D484,"N/A")))</f>
        <v/>
      </c>
      <c r="F484" s="199" t="str">
        <f aca="false">IF(A485="","",E484*AS484)</f>
        <v/>
      </c>
      <c r="G484" s="200" t="str">
        <f aca="false">IF($A485="","",VLOOKUP($A484,Table,MATCH(G$4,Curves,0)))</f>
        <v/>
      </c>
      <c r="H484" s="201" t="str">
        <f aca="false">IF(A485="","",G484)</f>
        <v/>
      </c>
      <c r="J484" s="200" t="str">
        <f aca="false">IF($A485="","",VLOOKUP($A484,Table,MATCH(J$4,Curves,0)))</f>
        <v/>
      </c>
      <c r="K484" s="201" t="str">
        <f aca="false">IF(A485="","",J484)</f>
        <v/>
      </c>
      <c r="L484" s="185" t="n">
        <v>0</v>
      </c>
      <c r="M484" s="201" t="str">
        <f aca="false">IF(A485="","",L484)</f>
        <v/>
      </c>
      <c r="O484" s="200" t="str">
        <f aca="false">IF(A485="","",L484+J484+G484)</f>
        <v/>
      </c>
      <c r="P484" s="200" t="str">
        <f aca="false">IF(A485="","",M484+K484+H484)</f>
        <v/>
      </c>
      <c r="R484" s="200" t="str">
        <f aca="false">IF($A485="","",VLOOKUP($A484,Table,MATCH(R$4,Curves,0)))</f>
        <v/>
      </c>
      <c r="S484" s="201" t="str">
        <f aca="false">IF(A485="","",R484)</f>
        <v/>
      </c>
      <c r="T484" s="200" t="str">
        <f aca="false">IF($A485="","",VLOOKUP($A484,Table,MATCH(T$4,Curves,0)))</f>
        <v/>
      </c>
      <c r="U484" s="201" t="str">
        <f aca="false">IF(A485="","",T484)</f>
        <v/>
      </c>
      <c r="V484" s="183" t="str">
        <f aca="false">IF($A485="","",IF(AND(MONTH(A484)&gt;3,MONTH(A484)&lt;11),(T484+R484+G484)*(((1/(1-Summary!$T$14))/(1-Summary!$W$14))-1),(T484+R484+G484)*((1/(1-Summary!$U$14))/(1-Summary!$X$14)-1)))</f>
        <v/>
      </c>
      <c r="W484" s="202" t="str">
        <f aca="false">IF($A485="","",(T484+R484+G484+V484))</f>
        <v/>
      </c>
      <c r="X484" s="202" t="str">
        <f aca="false">IF($A485="","",(U484+S484+H484+V484))</f>
        <v/>
      </c>
      <c r="Y484" s="202"/>
      <c r="AJ484" s="77"/>
      <c r="AK484" s="77"/>
      <c r="AL484" s="77"/>
      <c r="AM484" s="77"/>
      <c r="AN484" s="77"/>
      <c r="AO484" s="137" t="str">
        <f aca="false">IF(A485="","",A485-A484)</f>
        <v/>
      </c>
      <c r="AP484" s="212" t="str">
        <f aca="false">IF(A485="","",CHOOSE(F$3,A485+24,A484))</f>
        <v/>
      </c>
      <c r="AQ484" s="209" t="str">
        <f aca="false">IF(A485="","",AP484-$E$1)</f>
        <v/>
      </c>
      <c r="AR484" s="185" t="n">
        <f aca="false">'ANR OK vs ML7'!AR484</f>
        <v>0.1</v>
      </c>
      <c r="AS484" s="213" t="str">
        <f aca="false">IF(A485="","",1/(1+CHOOSE(F$3,(AR485+($I$3/10000))/2,(AR484+($I$3/10000))/2))^(2*AQ484/365.25))</f>
        <v/>
      </c>
      <c r="AT484" s="137" t="str">
        <f aca="false">IF(A485="","",IF(AND(mthbeg&lt;=A484,mthend&gt;=A484),1,0))</f>
        <v/>
      </c>
      <c r="AU484" s="137" t="str">
        <f aca="false">IF(A485="","",AO484*AT484)</f>
        <v/>
      </c>
      <c r="AW484" s="195" t="str">
        <f aca="false">IF($A485="","",AL484*$E484)</f>
        <v/>
      </c>
      <c r="AX484" s="195" t="str">
        <f aca="false">IF($A485="","",AM484*$E484)</f>
        <v/>
      </c>
      <c r="AY484" s="195" t="str">
        <f aca="false">IF($A485="","",AN484*$E484)</f>
        <v/>
      </c>
      <c r="BA484" s="195" t="str">
        <f aca="false">IF($A485="","",F484*Summary!$Q$14)</f>
        <v/>
      </c>
    </row>
    <row r="485" customFormat="false" ht="12.75" hidden="false" customHeight="false" outlineLevel="0" collapsed="false">
      <c r="A485" s="196" t="str">
        <f aca="false">IF(A484&lt;mthend,EDATE(A484,1),"")</f>
        <v/>
      </c>
      <c r="B485" s="197" t="str">
        <f aca="false">IF(A485&lt;mthend,B484,"")</f>
        <v/>
      </c>
      <c r="D485" s="197" t="str">
        <f aca="false">IF(A486&lt;&gt;"",B485+C485,"")</f>
        <v/>
      </c>
      <c r="E485" s="199" t="str">
        <f aca="false">IF(A486="","",IF(AND(AT485=1,$H$3=1),D485*AO485,IF($H$3=2,D485,"N/A")))</f>
        <v/>
      </c>
      <c r="F485" s="199" t="str">
        <f aca="false">IF(A486="","",E485*AS485)</f>
        <v/>
      </c>
      <c r="G485" s="200" t="str">
        <f aca="false">IF($A486="","",VLOOKUP($A485,Table,MATCH(G$4,Curves,0)))</f>
        <v/>
      </c>
      <c r="H485" s="201" t="str">
        <f aca="false">IF(A486="","",G485)</f>
        <v/>
      </c>
      <c r="J485" s="200" t="str">
        <f aca="false">IF($A486="","",VLOOKUP($A485,Table,MATCH(J$4,Curves,0)))</f>
        <v/>
      </c>
      <c r="K485" s="201" t="str">
        <f aca="false">IF(A486="","",J485)</f>
        <v/>
      </c>
      <c r="L485" s="185" t="n">
        <v>0</v>
      </c>
      <c r="M485" s="201" t="str">
        <f aca="false">IF(A486="","",L485)</f>
        <v/>
      </c>
      <c r="O485" s="200" t="str">
        <f aca="false">IF(A486="","",L485+J485+G485)</f>
        <v/>
      </c>
      <c r="P485" s="200" t="str">
        <f aca="false">IF(A486="","",M485+K485+H485)</f>
        <v/>
      </c>
      <c r="R485" s="200" t="str">
        <f aca="false">IF($A486="","",VLOOKUP($A485,Table,MATCH(R$4,Curves,0)))</f>
        <v/>
      </c>
      <c r="S485" s="201" t="str">
        <f aca="false">IF(A486="","",R485)</f>
        <v/>
      </c>
      <c r="T485" s="200" t="str">
        <f aca="false">IF($A486="","",VLOOKUP($A485,Table,MATCH(T$4,Curves,0)))</f>
        <v/>
      </c>
      <c r="U485" s="201" t="str">
        <f aca="false">IF(A486="","",T485)</f>
        <v/>
      </c>
      <c r="V485" s="183" t="str">
        <f aca="false">IF($A486="","",IF(AND(MONTH(A485)&gt;3,MONTH(A485)&lt;11),(T485+R485+G485)*(((1/(1-Summary!$T$14))/(1-Summary!$W$14))-1),(T485+R485+G485)*((1/(1-Summary!$U$14))/(1-Summary!$X$14)-1)))</f>
        <v/>
      </c>
      <c r="W485" s="202" t="str">
        <f aca="false">IF($A486="","",(T485+R485+G485+V485))</f>
        <v/>
      </c>
      <c r="X485" s="202" t="str">
        <f aca="false">IF($A486="","",(U485+S485+H485+V485))</f>
        <v/>
      </c>
      <c r="Y485" s="202"/>
      <c r="AJ485" s="77"/>
      <c r="AK485" s="77"/>
      <c r="AL485" s="77"/>
      <c r="AM485" s="77"/>
      <c r="AN485" s="77"/>
      <c r="AO485" s="137" t="str">
        <f aca="false">IF(A486="","",A486-A485)</f>
        <v/>
      </c>
      <c r="AP485" s="212" t="str">
        <f aca="false">IF(A486="","",CHOOSE(F$3,A486+24,A485))</f>
        <v/>
      </c>
      <c r="AQ485" s="209" t="str">
        <f aca="false">IF(A486="","",AP485-$E$1)</f>
        <v/>
      </c>
      <c r="AR485" s="185" t="n">
        <f aca="false">'ANR OK vs ML7'!AR485</f>
        <v>0.1</v>
      </c>
      <c r="AS485" s="213" t="str">
        <f aca="false">IF(A486="","",1/(1+CHOOSE(F$3,(AR486+($I$3/10000))/2,(AR485+($I$3/10000))/2))^(2*AQ485/365.25))</f>
        <v/>
      </c>
      <c r="AT485" s="137" t="str">
        <f aca="false">IF(A486="","",IF(AND(mthbeg&lt;=A485,mthend&gt;=A485),1,0))</f>
        <v/>
      </c>
      <c r="AU485" s="137" t="str">
        <f aca="false">IF(A486="","",AO485*AT485)</f>
        <v/>
      </c>
      <c r="AW485" s="195" t="str">
        <f aca="false">IF($A486="","",AL485*$E485)</f>
        <v/>
      </c>
      <c r="AX485" s="195" t="str">
        <f aca="false">IF($A486="","",AM485*$E485)</f>
        <v/>
      </c>
      <c r="AY485" s="195" t="str">
        <f aca="false">IF($A486="","",AN485*$E485)</f>
        <v/>
      </c>
      <c r="BA485" s="195" t="str">
        <f aca="false">IF($A486="","",F485*Summary!$Q$14)</f>
        <v/>
      </c>
    </row>
    <row r="486" customFormat="false" ht="12.75" hidden="false" customHeight="false" outlineLevel="0" collapsed="false">
      <c r="A486" s="196" t="str">
        <f aca="false">IF(A485&lt;mthend,EDATE(A485,1),"")</f>
        <v/>
      </c>
      <c r="B486" s="197" t="str">
        <f aca="false">IF(A486&lt;mthend,B485,"")</f>
        <v/>
      </c>
      <c r="D486" s="197" t="str">
        <f aca="false">IF(A487&lt;&gt;"",B486+C486,"")</f>
        <v/>
      </c>
      <c r="E486" s="199" t="str">
        <f aca="false">IF(A487="","",IF(AND(AT486=1,$H$3=1),D486*AO486,IF($H$3=2,D486,"N/A")))</f>
        <v/>
      </c>
      <c r="F486" s="199" t="str">
        <f aca="false">IF(A487="","",E486*AS486)</f>
        <v/>
      </c>
      <c r="G486" s="200" t="str">
        <f aca="false">IF($A487="","",VLOOKUP($A486,Table,MATCH(G$4,Curves,0)))</f>
        <v/>
      </c>
      <c r="H486" s="201" t="str">
        <f aca="false">IF(A487="","",G486)</f>
        <v/>
      </c>
      <c r="J486" s="200" t="str">
        <f aca="false">IF($A487="","",VLOOKUP($A486,Table,MATCH(J$4,Curves,0)))</f>
        <v/>
      </c>
      <c r="K486" s="201" t="str">
        <f aca="false">IF(A487="","",J486)</f>
        <v/>
      </c>
      <c r="L486" s="185" t="n">
        <v>0</v>
      </c>
      <c r="M486" s="201" t="str">
        <f aca="false">IF(A487="","",L486)</f>
        <v/>
      </c>
      <c r="O486" s="200" t="str">
        <f aca="false">IF(A487="","",L486+J486+G486)</f>
        <v/>
      </c>
      <c r="P486" s="200" t="str">
        <f aca="false">IF(A487="","",M486+K486+H486)</f>
        <v/>
      </c>
      <c r="R486" s="200" t="str">
        <f aca="false">IF($A487="","",VLOOKUP($A486,Table,MATCH(R$4,Curves,0)))</f>
        <v/>
      </c>
      <c r="S486" s="201" t="str">
        <f aca="false">IF(A487="","",R486)</f>
        <v/>
      </c>
      <c r="T486" s="200" t="str">
        <f aca="false">IF($A487="","",VLOOKUP($A486,Table,MATCH(T$4,Curves,0)))</f>
        <v/>
      </c>
      <c r="U486" s="201" t="str">
        <f aca="false">IF(A487="","",T486)</f>
        <v/>
      </c>
      <c r="V486" s="183" t="str">
        <f aca="false">IF($A487="","",IF(AND(MONTH(A486)&gt;3,MONTH(A486)&lt;11),(T486+R486+G486)*(((1/(1-Summary!$T$14))/(1-Summary!$W$14))-1),(T486+R486+G486)*((1/(1-Summary!$U$14))/(1-Summary!$X$14)-1)))</f>
        <v/>
      </c>
      <c r="W486" s="202" t="str">
        <f aca="false">IF($A487="","",(T486+R486+G486+V486))</f>
        <v/>
      </c>
      <c r="X486" s="202" t="str">
        <f aca="false">IF($A487="","",(U486+S486+H486+V486))</f>
        <v/>
      </c>
      <c r="Y486" s="202"/>
      <c r="AJ486" s="77"/>
      <c r="AK486" s="77"/>
      <c r="AL486" s="77"/>
      <c r="AM486" s="77"/>
      <c r="AN486" s="77"/>
      <c r="AO486" s="137" t="str">
        <f aca="false">IF(A487="","",A487-A486)</f>
        <v/>
      </c>
      <c r="AP486" s="212" t="str">
        <f aca="false">IF(A487="","",CHOOSE(F$3,A487+24,A486))</f>
        <v/>
      </c>
      <c r="AQ486" s="209" t="str">
        <f aca="false">IF(A487="","",AP486-$E$1)</f>
        <v/>
      </c>
      <c r="AR486" s="185" t="n">
        <f aca="false">'ANR OK vs ML7'!AR486</f>
        <v>0.1</v>
      </c>
      <c r="AS486" s="213" t="str">
        <f aca="false">IF(A487="","",1/(1+CHOOSE(F$3,(AR487+($I$3/10000))/2,(AR486+($I$3/10000))/2))^(2*AQ486/365.25))</f>
        <v/>
      </c>
      <c r="AT486" s="137" t="str">
        <f aca="false">IF(A487="","",IF(AND(mthbeg&lt;=A486,mthend&gt;=A486),1,0))</f>
        <v/>
      </c>
      <c r="AU486" s="137" t="str">
        <f aca="false">IF(A487="","",AO486*AT486)</f>
        <v/>
      </c>
      <c r="AW486" s="195" t="str">
        <f aca="false">IF($A487="","",AL486*$E486)</f>
        <v/>
      </c>
      <c r="AX486" s="195" t="str">
        <f aca="false">IF($A487="","",AM486*$E486)</f>
        <v/>
      </c>
      <c r="AY486" s="195" t="str">
        <f aca="false">IF($A487="","",AN486*$E486)</f>
        <v/>
      </c>
      <c r="BA486" s="195" t="str">
        <f aca="false">IF($A487="","",F486*Summary!$Q$14)</f>
        <v/>
      </c>
    </row>
    <row r="487" customFormat="false" ht="12.75" hidden="false" customHeight="false" outlineLevel="0" collapsed="false">
      <c r="A487" s="196" t="str">
        <f aca="false">IF(A486&lt;mthend,EDATE(A486,1),"")</f>
        <v/>
      </c>
      <c r="B487" s="197" t="str">
        <f aca="false">IF(A487&lt;mthend,B486,"")</f>
        <v/>
      </c>
      <c r="D487" s="197" t="str">
        <f aca="false">IF(A488&lt;&gt;"",B487+C487,"")</f>
        <v/>
      </c>
      <c r="E487" s="199" t="str">
        <f aca="false">IF(A488="","",IF(AND(AT487=1,$H$3=1),D487*AO487,IF($H$3=2,D487,"N/A")))</f>
        <v/>
      </c>
      <c r="F487" s="199" t="str">
        <f aca="false">IF(A488="","",E487*AS487)</f>
        <v/>
      </c>
      <c r="G487" s="200" t="str">
        <f aca="false">IF($A488="","",VLOOKUP($A487,Table,MATCH(G$4,Curves,0)))</f>
        <v/>
      </c>
      <c r="H487" s="201" t="str">
        <f aca="false">IF(A488="","",G487)</f>
        <v/>
      </c>
      <c r="J487" s="200" t="str">
        <f aca="false">IF($A488="","",VLOOKUP($A487,Table,MATCH(J$4,Curves,0)))</f>
        <v/>
      </c>
      <c r="K487" s="201" t="str">
        <f aca="false">IF(A488="","",J487)</f>
        <v/>
      </c>
      <c r="L487" s="185" t="n">
        <v>0</v>
      </c>
      <c r="M487" s="201" t="str">
        <f aca="false">IF(A488="","",L487)</f>
        <v/>
      </c>
      <c r="O487" s="200" t="str">
        <f aca="false">IF(A488="","",L487+J487+G487)</f>
        <v/>
      </c>
      <c r="P487" s="200" t="str">
        <f aca="false">IF(A488="","",M487+K487+H487)</f>
        <v/>
      </c>
      <c r="R487" s="200" t="str">
        <f aca="false">IF($A488="","",VLOOKUP($A487,Table,MATCH(R$4,Curves,0)))</f>
        <v/>
      </c>
      <c r="S487" s="201" t="str">
        <f aca="false">IF(A488="","",R487)</f>
        <v/>
      </c>
      <c r="T487" s="200" t="str">
        <f aca="false">IF($A488="","",VLOOKUP($A487,Table,MATCH(T$4,Curves,0)))</f>
        <v/>
      </c>
      <c r="U487" s="201" t="str">
        <f aca="false">IF(A488="","",T487)</f>
        <v/>
      </c>
      <c r="V487" s="183" t="str">
        <f aca="false">IF($A488="","",IF(AND(MONTH(A487)&gt;3,MONTH(A487)&lt;11),(T487+R487+G487)*(((1/(1-Summary!$T$14))/(1-Summary!$W$14))-1),(T487+R487+G487)*((1/(1-Summary!$U$14))/(1-Summary!$X$14)-1)))</f>
        <v/>
      </c>
      <c r="W487" s="202" t="str">
        <f aca="false">IF($A488="","",(T487+R487+G487+V487))</f>
        <v/>
      </c>
      <c r="X487" s="202" t="str">
        <f aca="false">IF($A488="","",(U487+S487+H487+V487))</f>
        <v/>
      </c>
      <c r="Y487" s="202"/>
      <c r="AJ487" s="77"/>
      <c r="AK487" s="77"/>
      <c r="AL487" s="77"/>
      <c r="AM487" s="77"/>
      <c r="AN487" s="77"/>
      <c r="AO487" s="137" t="str">
        <f aca="false">IF(A488="","",A488-A487)</f>
        <v/>
      </c>
      <c r="AP487" s="212" t="str">
        <f aca="false">IF(A488="","",CHOOSE(F$3,A488+24,A487))</f>
        <v/>
      </c>
      <c r="AQ487" s="209" t="str">
        <f aca="false">IF(A488="","",AP487-$E$1)</f>
        <v/>
      </c>
      <c r="AR487" s="185" t="n">
        <f aca="false">'ANR OK vs ML7'!AR487</f>
        <v>0.1</v>
      </c>
      <c r="AS487" s="213" t="str">
        <f aca="false">IF(A488="","",1/(1+CHOOSE(F$3,(AR488+($I$3/10000))/2,(AR487+($I$3/10000))/2))^(2*AQ487/365.25))</f>
        <v/>
      </c>
      <c r="AT487" s="137" t="str">
        <f aca="false">IF(A488="","",IF(AND(mthbeg&lt;=A487,mthend&gt;=A487),1,0))</f>
        <v/>
      </c>
      <c r="AU487" s="137" t="str">
        <f aca="false">IF(A488="","",AO487*AT487)</f>
        <v/>
      </c>
      <c r="AW487" s="195" t="str">
        <f aca="false">IF($A488="","",AL487*$E487)</f>
        <v/>
      </c>
      <c r="AX487" s="195" t="str">
        <f aca="false">IF($A488="","",AM487*$E487)</f>
        <v/>
      </c>
      <c r="AY487" s="195" t="str">
        <f aca="false">IF($A488="","",AN487*$E487)</f>
        <v/>
      </c>
      <c r="BA487" s="195" t="str">
        <f aca="false">IF($A488="","",F487*Summary!$Q$14)</f>
        <v/>
      </c>
    </row>
    <row r="488" customFormat="false" ht="12.75" hidden="false" customHeight="false" outlineLevel="0" collapsed="false">
      <c r="A488" s="196" t="str">
        <f aca="false">IF(A487&lt;mthend,EDATE(A487,1),"")</f>
        <v/>
      </c>
      <c r="B488" s="197" t="str">
        <f aca="false">IF(A488&lt;mthend,B487,"")</f>
        <v/>
      </c>
      <c r="D488" s="197" t="str">
        <f aca="false">IF(A489&lt;&gt;"",B488+C488,"")</f>
        <v/>
      </c>
      <c r="E488" s="199" t="str">
        <f aca="false">IF(A489="","",IF(AND(AT488=1,$H$3=1),D488*AO488,IF($H$3=2,D488,"N/A")))</f>
        <v/>
      </c>
      <c r="F488" s="199" t="str">
        <f aca="false">IF(A489="","",E488*AS488)</f>
        <v/>
      </c>
      <c r="G488" s="200" t="str">
        <f aca="false">IF($A489="","",VLOOKUP($A488,Table,MATCH(G$4,Curves,0)))</f>
        <v/>
      </c>
      <c r="H488" s="201" t="str">
        <f aca="false">IF(A489="","",G488)</f>
        <v/>
      </c>
      <c r="J488" s="200" t="str">
        <f aca="false">IF($A489="","",VLOOKUP($A488,Table,MATCH(J$4,Curves,0)))</f>
        <v/>
      </c>
      <c r="K488" s="201" t="str">
        <f aca="false">IF(A489="","",J488)</f>
        <v/>
      </c>
      <c r="L488" s="185" t="n">
        <v>0</v>
      </c>
      <c r="M488" s="201" t="str">
        <f aca="false">IF(A489="","",L488)</f>
        <v/>
      </c>
      <c r="O488" s="200" t="str">
        <f aca="false">IF(A489="","",L488+J488+G488)</f>
        <v/>
      </c>
      <c r="P488" s="200" t="str">
        <f aca="false">IF(A489="","",M488+K488+H488)</f>
        <v/>
      </c>
      <c r="R488" s="200" t="str">
        <f aca="false">IF($A489="","",VLOOKUP($A488,Table,MATCH(R$4,Curves,0)))</f>
        <v/>
      </c>
      <c r="S488" s="201" t="str">
        <f aca="false">IF(A489="","",R488)</f>
        <v/>
      </c>
      <c r="T488" s="200" t="str">
        <f aca="false">IF($A489="","",VLOOKUP($A488,Table,MATCH(T$4,Curves,0)))</f>
        <v/>
      </c>
      <c r="U488" s="201" t="str">
        <f aca="false">IF(A489="","",T488)</f>
        <v/>
      </c>
      <c r="V488" s="183" t="str">
        <f aca="false">IF($A489="","",IF(AND(MONTH(A488)&gt;3,MONTH(A488)&lt;11),(T488+R488+G488)*(((1/(1-Summary!$T$14))/(1-Summary!$W$14))-1),(T488+R488+G488)*((1/(1-Summary!$U$14))/(1-Summary!$X$14)-1)))</f>
        <v/>
      </c>
      <c r="W488" s="202" t="str">
        <f aca="false">IF($A489="","",(T488+R488+G488+V488))</f>
        <v/>
      </c>
      <c r="X488" s="202" t="str">
        <f aca="false">IF($A489="","",(U488+S488+H488+V488))</f>
        <v/>
      </c>
      <c r="Y488" s="202"/>
      <c r="AJ488" s="77"/>
      <c r="AK488" s="77"/>
      <c r="AL488" s="77"/>
      <c r="AM488" s="77"/>
      <c r="AN488" s="77"/>
      <c r="AO488" s="137" t="str">
        <f aca="false">IF(A489="","",A489-A488)</f>
        <v/>
      </c>
      <c r="AP488" s="212" t="str">
        <f aca="false">IF(A489="","",CHOOSE(F$3,A489+24,A488))</f>
        <v/>
      </c>
      <c r="AQ488" s="209" t="str">
        <f aca="false">IF(A489="","",AP488-$E$1)</f>
        <v/>
      </c>
      <c r="AR488" s="185" t="n">
        <f aca="false">'ANR OK vs ML7'!AR488</f>
        <v>0.1</v>
      </c>
      <c r="AS488" s="213" t="str">
        <f aca="false">IF(A489="","",1/(1+CHOOSE(F$3,(AR489+($I$3/10000))/2,(AR488+($I$3/10000))/2))^(2*AQ488/365.25))</f>
        <v/>
      </c>
      <c r="AT488" s="137" t="str">
        <f aca="false">IF(A489="","",IF(AND(mthbeg&lt;=A488,mthend&gt;=A488),1,0))</f>
        <v/>
      </c>
      <c r="AU488" s="137" t="str">
        <f aca="false">IF(A489="","",AO488*AT488)</f>
        <v/>
      </c>
      <c r="AW488" s="195" t="str">
        <f aca="false">IF($A489="","",AL488*$E488)</f>
        <v/>
      </c>
      <c r="AX488" s="195" t="str">
        <f aca="false">IF($A489="","",AM488*$E488)</f>
        <v/>
      </c>
      <c r="AY488" s="195" t="str">
        <f aca="false">IF($A489="","",AN488*$E488)</f>
        <v/>
      </c>
      <c r="BA488" s="195" t="str">
        <f aca="false">IF($A489="","",F488*Summary!$Q$14)</f>
        <v/>
      </c>
    </row>
    <row r="489" customFormat="false" ht="12.75" hidden="false" customHeight="false" outlineLevel="0" collapsed="false">
      <c r="A489" s="196" t="str">
        <f aca="false">IF(A488&lt;mthend,EDATE(A488,1),"")</f>
        <v/>
      </c>
      <c r="B489" s="197" t="str">
        <f aca="false">IF(A489&lt;mthend,B488,"")</f>
        <v/>
      </c>
      <c r="D489" s="197" t="str">
        <f aca="false">IF(A490&lt;&gt;"",B489+C489,"")</f>
        <v/>
      </c>
      <c r="E489" s="199" t="str">
        <f aca="false">IF(A490="","",IF(AND(AT489=1,$H$3=1),D489*AO489,IF($H$3=2,D489,"N/A")))</f>
        <v/>
      </c>
      <c r="F489" s="199" t="str">
        <f aca="false">IF(A490="","",E489*AS489)</f>
        <v/>
      </c>
      <c r="G489" s="200" t="str">
        <f aca="false">IF($A490="","",VLOOKUP($A489,Table,MATCH(G$4,Curves,0)))</f>
        <v/>
      </c>
      <c r="H489" s="201" t="str">
        <f aca="false">IF(A490="","",G489)</f>
        <v/>
      </c>
      <c r="J489" s="200" t="str">
        <f aca="false">IF($A490="","",VLOOKUP($A489,Table,MATCH(J$4,Curves,0)))</f>
        <v/>
      </c>
      <c r="K489" s="201" t="str">
        <f aca="false">IF(A490="","",J489)</f>
        <v/>
      </c>
      <c r="L489" s="185" t="n">
        <v>0</v>
      </c>
      <c r="M489" s="201" t="str">
        <f aca="false">IF(A490="","",L489)</f>
        <v/>
      </c>
      <c r="O489" s="200" t="str">
        <f aca="false">IF(A490="","",L489+J489+G489)</f>
        <v/>
      </c>
      <c r="P489" s="200" t="str">
        <f aca="false">IF(A490="","",M489+K489+H489)</f>
        <v/>
      </c>
      <c r="R489" s="200" t="str">
        <f aca="false">IF($A490="","",VLOOKUP($A489,Table,MATCH(R$4,Curves,0)))</f>
        <v/>
      </c>
      <c r="S489" s="201" t="str">
        <f aca="false">IF(A490="","",R489)</f>
        <v/>
      </c>
      <c r="T489" s="200" t="str">
        <f aca="false">IF($A490="","",VLOOKUP($A489,Table,MATCH(T$4,Curves,0)))</f>
        <v/>
      </c>
      <c r="U489" s="201" t="str">
        <f aca="false">IF(A490="","",T489)</f>
        <v/>
      </c>
      <c r="V489" s="183" t="str">
        <f aca="false">IF($A490="","",IF(AND(MONTH(A489)&gt;3,MONTH(A489)&lt;11),(T489+R489+G489)*(((1/(1-Summary!$T$14))/(1-Summary!$W$14))-1),(T489+R489+G489)*((1/(1-Summary!$U$14))/(1-Summary!$X$14)-1)))</f>
        <v/>
      </c>
      <c r="W489" s="202" t="str">
        <f aca="false">IF($A490="","",(T489+R489+G489+V489))</f>
        <v/>
      </c>
      <c r="X489" s="202" t="str">
        <f aca="false">IF($A490="","",(U489+S489+H489+V489))</f>
        <v/>
      </c>
      <c r="Y489" s="202"/>
      <c r="AJ489" s="77"/>
      <c r="AK489" s="77"/>
      <c r="AL489" s="77"/>
      <c r="AM489" s="77"/>
      <c r="AN489" s="77"/>
      <c r="AO489" s="137" t="str">
        <f aca="false">IF(A490="","",A490-A489)</f>
        <v/>
      </c>
      <c r="AP489" s="212" t="str">
        <f aca="false">IF(A490="","",CHOOSE(F$3,A490+24,A489))</f>
        <v/>
      </c>
      <c r="AQ489" s="209" t="str">
        <f aca="false">IF(A490="","",AP489-$E$1)</f>
        <v/>
      </c>
      <c r="AR489" s="185" t="n">
        <f aca="false">'ANR OK vs ML7'!AR489</f>
        <v>0.1</v>
      </c>
      <c r="AS489" s="213" t="str">
        <f aca="false">IF(A490="","",1/(1+CHOOSE(F$3,(AR490+($I$3/10000))/2,(AR489+($I$3/10000))/2))^(2*AQ489/365.25))</f>
        <v/>
      </c>
      <c r="AT489" s="137" t="str">
        <f aca="false">IF(A490="","",IF(AND(mthbeg&lt;=A489,mthend&gt;=A489),1,0))</f>
        <v/>
      </c>
      <c r="AU489" s="137" t="str">
        <f aca="false">IF(A490="","",AO489*AT489)</f>
        <v/>
      </c>
      <c r="AW489" s="195" t="str">
        <f aca="false">IF($A490="","",AL489*$E489)</f>
        <v/>
      </c>
      <c r="AX489" s="195" t="str">
        <f aca="false">IF($A490="","",AM489*$E489)</f>
        <v/>
      </c>
      <c r="AY489" s="195" t="str">
        <f aca="false">IF($A490="","",AN489*$E489)</f>
        <v/>
      </c>
      <c r="BA489" s="195" t="str">
        <f aca="false">IF($A490="","",F489*Summary!$Q$14)</f>
        <v/>
      </c>
    </row>
    <row r="490" customFormat="false" ht="12.75" hidden="false" customHeight="false" outlineLevel="0" collapsed="false">
      <c r="A490" s="196" t="str">
        <f aca="false">IF(A489&lt;mthend,EDATE(A489,1),"")</f>
        <v/>
      </c>
      <c r="B490" s="197" t="str">
        <f aca="false">IF(A490&lt;mthend,B489,"")</f>
        <v/>
      </c>
      <c r="D490" s="197" t="str">
        <f aca="false">IF(A491&lt;&gt;"",B490+C490,"")</f>
        <v/>
      </c>
      <c r="E490" s="199" t="str">
        <f aca="false">IF(A491="","",IF(AND(AT490=1,$H$3=1),D490*AO490,IF($H$3=2,D490,"N/A")))</f>
        <v/>
      </c>
      <c r="F490" s="199" t="str">
        <f aca="false">IF(A491="","",E490*AS490)</f>
        <v/>
      </c>
      <c r="G490" s="200" t="str">
        <f aca="false">IF($A491="","",VLOOKUP($A490,Table,MATCH(G$4,Curves,0)))</f>
        <v/>
      </c>
      <c r="H490" s="201" t="str">
        <f aca="false">IF(A491="","",G490)</f>
        <v/>
      </c>
      <c r="J490" s="200" t="str">
        <f aca="false">IF($A491="","",VLOOKUP($A490,Table,MATCH(J$4,Curves,0)))</f>
        <v/>
      </c>
      <c r="K490" s="201" t="str">
        <f aca="false">IF(A491="","",J490)</f>
        <v/>
      </c>
      <c r="L490" s="185" t="n">
        <v>0</v>
      </c>
      <c r="M490" s="201" t="str">
        <f aca="false">IF(A491="","",L490)</f>
        <v/>
      </c>
      <c r="O490" s="200" t="str">
        <f aca="false">IF(A491="","",L490+J490+G490)</f>
        <v/>
      </c>
      <c r="P490" s="200" t="str">
        <f aca="false">IF(A491="","",M490+K490+H490)</f>
        <v/>
      </c>
      <c r="R490" s="200" t="str">
        <f aca="false">IF($A491="","",VLOOKUP($A490,Table,MATCH(R$4,Curves,0)))</f>
        <v/>
      </c>
      <c r="S490" s="201" t="str">
        <f aca="false">IF(A491="","",R490)</f>
        <v/>
      </c>
      <c r="T490" s="200" t="str">
        <f aca="false">IF($A491="","",VLOOKUP($A490,Table,MATCH(T$4,Curves,0)))</f>
        <v/>
      </c>
      <c r="U490" s="201" t="str">
        <f aca="false">IF(A491="","",T490)</f>
        <v/>
      </c>
      <c r="V490" s="183" t="str">
        <f aca="false">IF($A491="","",IF(AND(MONTH(A490)&gt;3,MONTH(A490)&lt;11),(T490+R490+G490)*(((1/(1-Summary!$T$14))/(1-Summary!$W$14))-1),(T490+R490+G490)*((1/(1-Summary!$U$14))/(1-Summary!$X$14)-1)))</f>
        <v/>
      </c>
      <c r="W490" s="202" t="str">
        <f aca="false">IF($A491="","",(T490+R490+G490+V490))</f>
        <v/>
      </c>
      <c r="X490" s="202" t="str">
        <f aca="false">IF($A491="","",(U490+S490+H490+V490))</f>
        <v/>
      </c>
      <c r="Y490" s="202"/>
      <c r="AJ490" s="77"/>
      <c r="AK490" s="77"/>
      <c r="AL490" s="77"/>
      <c r="AM490" s="77"/>
      <c r="AN490" s="77"/>
      <c r="AO490" s="137" t="str">
        <f aca="false">IF(A491="","",A491-A490)</f>
        <v/>
      </c>
      <c r="AP490" s="212" t="str">
        <f aca="false">IF(A491="","",CHOOSE(F$3,A491+24,A490))</f>
        <v/>
      </c>
      <c r="AQ490" s="209" t="str">
        <f aca="false">IF(A491="","",AP490-$E$1)</f>
        <v/>
      </c>
      <c r="AR490" s="185" t="n">
        <f aca="false">'ANR OK vs ML7'!AR490</f>
        <v>0.1</v>
      </c>
      <c r="AS490" s="213" t="str">
        <f aca="false">IF(A491="","",1/(1+CHOOSE(F$3,(AR491+($I$3/10000))/2,(AR490+($I$3/10000))/2))^(2*AQ490/365.25))</f>
        <v/>
      </c>
      <c r="AT490" s="137" t="str">
        <f aca="false">IF(A491="","",IF(AND(mthbeg&lt;=A490,mthend&gt;=A490),1,0))</f>
        <v/>
      </c>
      <c r="AU490" s="137" t="str">
        <f aca="false">IF(A491="","",AO490*AT490)</f>
        <v/>
      </c>
      <c r="AW490" s="195" t="str">
        <f aca="false">IF($A491="","",AL490*$E490)</f>
        <v/>
      </c>
      <c r="AX490" s="195" t="str">
        <f aca="false">IF($A491="","",AM490*$E490)</f>
        <v/>
      </c>
      <c r="AY490" s="195" t="str">
        <f aca="false">IF($A491="","",AN490*$E490)</f>
        <v/>
      </c>
      <c r="BA490" s="195" t="str">
        <f aca="false">IF($A491="","",F490*Summary!$Q$14)</f>
        <v/>
      </c>
    </row>
    <row r="491" customFormat="false" ht="12.75" hidden="false" customHeight="false" outlineLevel="0" collapsed="false">
      <c r="A491" s="196" t="str">
        <f aca="false">IF(A490&lt;mthend,EDATE(A490,1),"")</f>
        <v/>
      </c>
      <c r="B491" s="197" t="str">
        <f aca="false">IF(A491&lt;mthend,B490,"")</f>
        <v/>
      </c>
      <c r="D491" s="197" t="str">
        <f aca="false">IF(A492&lt;&gt;"",B491+C491,"")</f>
        <v/>
      </c>
      <c r="E491" s="199" t="str">
        <f aca="false">IF(A492="","",IF(AND(AT491=1,$H$3=1),D491*AO491,IF($H$3=2,D491,"N/A")))</f>
        <v/>
      </c>
      <c r="F491" s="199" t="str">
        <f aca="false">IF(A492="","",E491*AS491)</f>
        <v/>
      </c>
      <c r="G491" s="200" t="str">
        <f aca="false">IF($A492="","",VLOOKUP($A491,Table,MATCH(G$4,Curves,0)))</f>
        <v/>
      </c>
      <c r="H491" s="201" t="str">
        <f aca="false">IF(A492="","",G491)</f>
        <v/>
      </c>
      <c r="J491" s="200" t="str">
        <f aca="false">IF($A492="","",VLOOKUP($A491,Table,MATCH(J$4,Curves,0)))</f>
        <v/>
      </c>
      <c r="K491" s="201" t="str">
        <f aca="false">IF(A492="","",J491)</f>
        <v/>
      </c>
      <c r="L491" s="185" t="n">
        <v>0</v>
      </c>
      <c r="M491" s="201" t="str">
        <f aca="false">IF(A492="","",L491)</f>
        <v/>
      </c>
      <c r="O491" s="200" t="str">
        <f aca="false">IF(A492="","",L491+J491+G491)</f>
        <v/>
      </c>
      <c r="P491" s="200" t="str">
        <f aca="false">IF(A492="","",M491+K491+H491)</f>
        <v/>
      </c>
      <c r="R491" s="200" t="str">
        <f aca="false">IF($A492="","",VLOOKUP($A491,Table,MATCH(R$4,Curves,0)))</f>
        <v/>
      </c>
      <c r="S491" s="201" t="str">
        <f aca="false">IF(A492="","",R491)</f>
        <v/>
      </c>
      <c r="T491" s="200" t="str">
        <f aca="false">IF($A492="","",VLOOKUP($A491,Table,MATCH(T$4,Curves,0)))</f>
        <v/>
      </c>
      <c r="U491" s="201" t="str">
        <f aca="false">IF(A492="","",T491)</f>
        <v/>
      </c>
      <c r="V491" s="183" t="str">
        <f aca="false">IF($A492="","",IF(AND(MONTH(A491)&gt;3,MONTH(A491)&lt;11),(T491+R491+G491)*(((1/(1-Summary!$T$14))/(1-Summary!$W$14))-1),(T491+R491+G491)*((1/(1-Summary!$U$14))/(1-Summary!$X$14)-1)))</f>
        <v/>
      </c>
      <c r="W491" s="202" t="str">
        <f aca="false">IF($A492="","",(T491+R491+G491+V491))</f>
        <v/>
      </c>
      <c r="X491" s="202" t="str">
        <f aca="false">IF($A492="","",(U491+S491+H491+V491))</f>
        <v/>
      </c>
      <c r="Y491" s="202"/>
      <c r="AJ491" s="77"/>
      <c r="AK491" s="77"/>
      <c r="AL491" s="77"/>
      <c r="AM491" s="77"/>
      <c r="AN491" s="77"/>
      <c r="AO491" s="137" t="str">
        <f aca="false">IF(A492="","",A492-A491)</f>
        <v/>
      </c>
      <c r="AP491" s="212" t="str">
        <f aca="false">IF(A492="","",CHOOSE(F$3,A492+24,A491))</f>
        <v/>
      </c>
      <c r="AQ491" s="209" t="str">
        <f aca="false">IF(A492="","",AP491-$E$1)</f>
        <v/>
      </c>
      <c r="AR491" s="185" t="n">
        <f aca="false">'ANR OK vs ML7'!AR491</f>
        <v>0.1</v>
      </c>
      <c r="AS491" s="213" t="str">
        <f aca="false">IF(A492="","",1/(1+CHOOSE(F$3,(AR492+($I$3/10000))/2,(AR491+($I$3/10000))/2))^(2*AQ491/365.25))</f>
        <v/>
      </c>
      <c r="AT491" s="137" t="str">
        <f aca="false">IF(A492="","",IF(AND(mthbeg&lt;=A491,mthend&gt;=A491),1,0))</f>
        <v/>
      </c>
      <c r="AU491" s="137" t="str">
        <f aca="false">IF(A492="","",AO491*AT491)</f>
        <v/>
      </c>
      <c r="AW491" s="195" t="str">
        <f aca="false">IF($A492="","",AL491*$E491)</f>
        <v/>
      </c>
      <c r="AX491" s="195" t="str">
        <f aca="false">IF($A492="","",AM491*$E491)</f>
        <v/>
      </c>
      <c r="AY491" s="195" t="str">
        <f aca="false">IF($A492="","",AN491*$E491)</f>
        <v/>
      </c>
      <c r="BA491" s="195" t="str">
        <f aca="false">IF($A492="","",F491*Summary!$Q$14)</f>
        <v/>
      </c>
    </row>
    <row r="492" customFormat="false" ht="12.75" hidden="false" customHeight="false" outlineLevel="0" collapsed="false">
      <c r="A492" s="196" t="str">
        <f aca="false">IF(A491&lt;mthend,EDATE(A491,1),"")</f>
        <v/>
      </c>
      <c r="B492" s="197" t="str">
        <f aca="false">IF(A492&lt;mthend,B491,"")</f>
        <v/>
      </c>
      <c r="D492" s="197" t="str">
        <f aca="false">IF(A493&lt;&gt;"",B492+C492,"")</f>
        <v/>
      </c>
      <c r="E492" s="199" t="str">
        <f aca="false">IF(A493="","",IF(AND(AT492=1,$H$3=1),D492*AO492,IF($H$3=2,D492,"N/A")))</f>
        <v/>
      </c>
      <c r="F492" s="199" t="str">
        <f aca="false">IF(A493="","",E492*AS492)</f>
        <v/>
      </c>
      <c r="G492" s="200" t="str">
        <f aca="false">IF($A493="","",VLOOKUP($A492,Table,MATCH(G$4,Curves,0)))</f>
        <v/>
      </c>
      <c r="H492" s="201" t="str">
        <f aca="false">IF(A493="","",G492)</f>
        <v/>
      </c>
      <c r="J492" s="200" t="str">
        <f aca="false">IF($A493="","",VLOOKUP($A492,Table,MATCH(J$4,Curves,0)))</f>
        <v/>
      </c>
      <c r="K492" s="201" t="str">
        <f aca="false">IF(A493="","",J492)</f>
        <v/>
      </c>
      <c r="L492" s="185" t="n">
        <v>0</v>
      </c>
      <c r="M492" s="201" t="str">
        <f aca="false">IF(A493="","",L492)</f>
        <v/>
      </c>
      <c r="O492" s="200" t="str">
        <f aca="false">IF(A493="","",L492+J492+G492)</f>
        <v/>
      </c>
      <c r="P492" s="200" t="str">
        <f aca="false">IF(A493="","",M492+K492+H492)</f>
        <v/>
      </c>
      <c r="R492" s="200" t="str">
        <f aca="false">IF($A493="","",VLOOKUP($A492,Table,MATCH(R$4,Curves,0)))</f>
        <v/>
      </c>
      <c r="S492" s="201" t="str">
        <f aca="false">IF(A493="","",R492)</f>
        <v/>
      </c>
      <c r="T492" s="200" t="str">
        <f aca="false">IF($A493="","",VLOOKUP($A492,Table,MATCH(T$4,Curves,0)))</f>
        <v/>
      </c>
      <c r="U492" s="201" t="str">
        <f aca="false">IF(A493="","",T492)</f>
        <v/>
      </c>
      <c r="V492" s="183" t="str">
        <f aca="false">IF($A493="","",IF(AND(MONTH(A492)&gt;3,MONTH(A492)&lt;11),(T492+R492+G492)*(((1/(1-Summary!$T$14))/(1-Summary!$W$14))-1),(T492+R492+G492)*((1/(1-Summary!$U$14))/(1-Summary!$X$14)-1)))</f>
        <v/>
      </c>
      <c r="W492" s="202" t="str">
        <f aca="false">IF($A493="","",(T492+R492+G492+V492))</f>
        <v/>
      </c>
      <c r="X492" s="202" t="str">
        <f aca="false">IF($A493="","",(U492+S492+H492+V492))</f>
        <v/>
      </c>
      <c r="Y492" s="202"/>
      <c r="AJ492" s="77"/>
      <c r="AK492" s="77"/>
      <c r="AL492" s="77"/>
      <c r="AM492" s="77"/>
      <c r="AN492" s="77"/>
      <c r="AO492" s="137" t="str">
        <f aca="false">IF(A493="","",A493-A492)</f>
        <v/>
      </c>
      <c r="AP492" s="212" t="str">
        <f aca="false">IF(A493="","",CHOOSE(F$3,A493+24,A492))</f>
        <v/>
      </c>
      <c r="AQ492" s="209" t="str">
        <f aca="false">IF(A493="","",AP492-$E$1)</f>
        <v/>
      </c>
      <c r="AR492" s="185" t="n">
        <f aca="false">'ANR OK vs ML7'!AR492</f>
        <v>0.1</v>
      </c>
      <c r="AS492" s="213" t="str">
        <f aca="false">IF(A493="","",1/(1+CHOOSE(F$3,(AR493+($I$3/10000))/2,(AR492+($I$3/10000))/2))^(2*AQ492/365.25))</f>
        <v/>
      </c>
      <c r="AT492" s="137" t="str">
        <f aca="false">IF(A493="","",IF(AND(mthbeg&lt;=A492,mthend&gt;=A492),1,0))</f>
        <v/>
      </c>
      <c r="AU492" s="137" t="str">
        <f aca="false">IF(A493="","",AO492*AT492)</f>
        <v/>
      </c>
      <c r="AW492" s="195" t="str">
        <f aca="false">IF($A493="","",AL492*$E492)</f>
        <v/>
      </c>
      <c r="AX492" s="195" t="str">
        <f aca="false">IF($A493="","",AM492*$E492)</f>
        <v/>
      </c>
      <c r="AY492" s="195" t="str">
        <f aca="false">IF($A493="","",AN492*$E492)</f>
        <v/>
      </c>
      <c r="BA492" s="195" t="str">
        <f aca="false">IF($A493="","",F492*Summary!$Q$14)</f>
        <v/>
      </c>
    </row>
    <row r="493" customFormat="false" ht="12.75" hidden="false" customHeight="false" outlineLevel="0" collapsed="false">
      <c r="A493" s="196" t="str">
        <f aca="false">IF(A492&lt;mthend,EDATE(A492,1),"")</f>
        <v/>
      </c>
      <c r="B493" s="197" t="str">
        <f aca="false">IF(A493&lt;mthend,B492,"")</f>
        <v/>
      </c>
      <c r="D493" s="197" t="str">
        <f aca="false">IF(A494&lt;&gt;"",B493+C493,"")</f>
        <v/>
      </c>
      <c r="E493" s="199" t="str">
        <f aca="false">IF(A494="","",IF(AND(AT493=1,$H$3=1),D493*AO493,IF($H$3=2,D493,"N/A")))</f>
        <v/>
      </c>
      <c r="F493" s="199" t="str">
        <f aca="false">IF(A494="","",E493*AS493)</f>
        <v/>
      </c>
      <c r="G493" s="200" t="str">
        <f aca="false">IF($A494="","",VLOOKUP($A493,Table,MATCH(G$4,Curves,0)))</f>
        <v/>
      </c>
      <c r="H493" s="201" t="str">
        <f aca="false">IF(A494="","",G493)</f>
        <v/>
      </c>
      <c r="J493" s="200" t="str">
        <f aca="false">IF($A494="","",VLOOKUP($A493,Table,MATCH(J$4,Curves,0)))</f>
        <v/>
      </c>
      <c r="K493" s="201" t="str">
        <f aca="false">IF(A494="","",J493)</f>
        <v/>
      </c>
      <c r="L493" s="185" t="n">
        <v>0</v>
      </c>
      <c r="M493" s="201" t="str">
        <f aca="false">IF(A494="","",L493)</f>
        <v/>
      </c>
      <c r="O493" s="200" t="str">
        <f aca="false">IF(A494="","",L493+J493+G493)</f>
        <v/>
      </c>
      <c r="P493" s="200" t="str">
        <f aca="false">IF(A494="","",M493+K493+H493)</f>
        <v/>
      </c>
      <c r="R493" s="200" t="str">
        <f aca="false">IF($A494="","",VLOOKUP($A493,Table,MATCH(R$4,Curves,0)))</f>
        <v/>
      </c>
      <c r="S493" s="201" t="str">
        <f aca="false">IF(A494="","",R493)</f>
        <v/>
      </c>
      <c r="T493" s="200" t="str">
        <f aca="false">IF($A494="","",VLOOKUP($A493,Table,MATCH(T$4,Curves,0)))</f>
        <v/>
      </c>
      <c r="U493" s="201" t="str">
        <f aca="false">IF(A494="","",T493)</f>
        <v/>
      </c>
      <c r="V493" s="183" t="str">
        <f aca="false">IF($A494="","",IF(AND(MONTH(A493)&gt;3,MONTH(A493)&lt;11),(T493+R493+G493)*(((1/(1-Summary!$T$14))/(1-Summary!$W$14))-1),(T493+R493+G493)*((1/(1-Summary!$U$14))/(1-Summary!$X$14)-1)))</f>
        <v/>
      </c>
      <c r="W493" s="202" t="str">
        <f aca="false">IF($A494="","",(T493+R493+G493+V493))</f>
        <v/>
      </c>
      <c r="X493" s="202" t="str">
        <f aca="false">IF($A494="","",(U493+S493+H493+V493))</f>
        <v/>
      </c>
      <c r="Y493" s="202"/>
      <c r="AJ493" s="77"/>
      <c r="AK493" s="77"/>
      <c r="AL493" s="77"/>
      <c r="AM493" s="77"/>
      <c r="AN493" s="77"/>
      <c r="AO493" s="137" t="str">
        <f aca="false">IF(A494="","",A494-A493)</f>
        <v/>
      </c>
      <c r="AP493" s="212" t="str">
        <f aca="false">IF(A494="","",CHOOSE(F$3,A494+24,A493))</f>
        <v/>
      </c>
      <c r="AQ493" s="209" t="str">
        <f aca="false">IF(A494="","",AP493-$E$1)</f>
        <v/>
      </c>
      <c r="AR493" s="185" t="n">
        <f aca="false">'ANR OK vs ML7'!AR493</f>
        <v>0.1</v>
      </c>
      <c r="AS493" s="213" t="str">
        <f aca="false">IF(A494="","",1/(1+CHOOSE(F$3,(AR494+($I$3/10000))/2,(AR493+($I$3/10000))/2))^(2*AQ493/365.25))</f>
        <v/>
      </c>
      <c r="AT493" s="137" t="str">
        <f aca="false">IF(A494="","",IF(AND(mthbeg&lt;=A493,mthend&gt;=A493),1,0))</f>
        <v/>
      </c>
      <c r="AU493" s="137" t="str">
        <f aca="false">IF(A494="","",AO493*AT493)</f>
        <v/>
      </c>
      <c r="AW493" s="195" t="str">
        <f aca="false">IF($A494="","",AL493*$E493)</f>
        <v/>
      </c>
      <c r="AX493" s="195" t="str">
        <f aca="false">IF($A494="","",AM493*$E493)</f>
        <v/>
      </c>
      <c r="AY493" s="195" t="str">
        <f aca="false">IF($A494="","",AN493*$E493)</f>
        <v/>
      </c>
      <c r="BA493" s="195" t="str">
        <f aca="false">IF($A494="","",F493*Summary!$Q$14)</f>
        <v/>
      </c>
    </row>
    <row r="494" customFormat="false" ht="12.75" hidden="false" customHeight="false" outlineLevel="0" collapsed="false">
      <c r="A494" s="196" t="str">
        <f aca="false">IF(A493&lt;mthend,EDATE(A493,1),"")</f>
        <v/>
      </c>
      <c r="B494" s="197" t="str">
        <f aca="false">IF(A494&lt;mthend,B493,"")</f>
        <v/>
      </c>
      <c r="D494" s="197" t="str">
        <f aca="false">IF(A495&lt;&gt;"",B494+C494,"")</f>
        <v/>
      </c>
      <c r="E494" s="199" t="str">
        <f aca="false">IF(A495="","",IF(AND(AT494=1,$H$3=1),D494*AO494,IF($H$3=2,D494,"N/A")))</f>
        <v/>
      </c>
      <c r="F494" s="199" t="str">
        <f aca="false">IF(A495="","",E494*AS494)</f>
        <v/>
      </c>
      <c r="G494" s="200" t="str">
        <f aca="false">IF($A495="","",VLOOKUP($A494,Table,MATCH(G$4,Curves,0)))</f>
        <v/>
      </c>
      <c r="H494" s="201" t="str">
        <f aca="false">IF(A495="","",G494)</f>
        <v/>
      </c>
      <c r="J494" s="200" t="str">
        <f aca="false">IF($A495="","",VLOOKUP($A494,Table,MATCH(J$4,Curves,0)))</f>
        <v/>
      </c>
      <c r="K494" s="201" t="str">
        <f aca="false">IF(A495="","",J494)</f>
        <v/>
      </c>
      <c r="L494" s="185" t="n">
        <v>0</v>
      </c>
      <c r="M494" s="201" t="str">
        <f aca="false">IF(A495="","",L494)</f>
        <v/>
      </c>
      <c r="O494" s="200" t="str">
        <f aca="false">IF(A495="","",L494+J494+G494)</f>
        <v/>
      </c>
      <c r="P494" s="200" t="str">
        <f aca="false">IF(A495="","",M494+K494+H494)</f>
        <v/>
      </c>
      <c r="R494" s="200" t="str">
        <f aca="false">IF($A495="","",VLOOKUP($A494,Table,MATCH(R$4,Curves,0)))</f>
        <v/>
      </c>
      <c r="S494" s="201" t="str">
        <f aca="false">IF(A495="","",R494)</f>
        <v/>
      </c>
      <c r="T494" s="200" t="str">
        <f aca="false">IF($A495="","",VLOOKUP($A494,Table,MATCH(T$4,Curves,0)))</f>
        <v/>
      </c>
      <c r="U494" s="201" t="str">
        <f aca="false">IF(A495="","",T494)</f>
        <v/>
      </c>
      <c r="V494" s="183" t="str">
        <f aca="false">IF($A495="","",IF(AND(MONTH(A494)&gt;3,MONTH(A494)&lt;11),(T494+R494+G494)*(((1/(1-Summary!$T$14))/(1-Summary!$W$14))-1),(T494+R494+G494)*((1/(1-Summary!$U$14))/(1-Summary!$X$14)-1)))</f>
        <v/>
      </c>
      <c r="W494" s="202" t="str">
        <f aca="false">IF($A495="","",(T494+R494+G494+V494))</f>
        <v/>
      </c>
      <c r="X494" s="202" t="str">
        <f aca="false">IF($A495="","",(U494+S494+H494+V494))</f>
        <v/>
      </c>
      <c r="Y494" s="202"/>
      <c r="AJ494" s="77"/>
      <c r="AK494" s="77"/>
      <c r="AL494" s="77"/>
      <c r="AM494" s="77"/>
      <c r="AN494" s="77"/>
      <c r="AO494" s="137" t="str">
        <f aca="false">IF(A495="","",A495-A494)</f>
        <v/>
      </c>
      <c r="AP494" s="212" t="str">
        <f aca="false">IF(A495="","",CHOOSE(F$3,A495+24,A494))</f>
        <v/>
      </c>
      <c r="AQ494" s="209" t="str">
        <f aca="false">IF(A495="","",AP494-$E$1)</f>
        <v/>
      </c>
      <c r="AR494" s="185" t="n">
        <f aca="false">'ANR OK vs ML7'!AR494</f>
        <v>0.1</v>
      </c>
      <c r="AS494" s="213" t="str">
        <f aca="false">IF(A495="","",1/(1+CHOOSE(F$3,(AR495+($I$3/10000))/2,(AR494+($I$3/10000))/2))^(2*AQ494/365.25))</f>
        <v/>
      </c>
      <c r="AT494" s="137" t="str">
        <f aca="false">IF(A495="","",IF(AND(mthbeg&lt;=A494,mthend&gt;=A494),1,0))</f>
        <v/>
      </c>
      <c r="AU494" s="137" t="str">
        <f aca="false">IF(A495="","",AO494*AT494)</f>
        <v/>
      </c>
      <c r="AW494" s="195" t="str">
        <f aca="false">IF($A495="","",AL494*$E494)</f>
        <v/>
      </c>
      <c r="AX494" s="195" t="str">
        <f aca="false">IF($A495="","",AM494*$E494)</f>
        <v/>
      </c>
      <c r="AY494" s="195" t="str">
        <f aca="false">IF($A495="","",AN494*$E494)</f>
        <v/>
      </c>
      <c r="BA494" s="195" t="str">
        <f aca="false">IF($A495="","",F494*Summary!$Q$14)</f>
        <v/>
      </c>
    </row>
    <row r="495" customFormat="false" ht="12.75" hidden="false" customHeight="false" outlineLevel="0" collapsed="false">
      <c r="A495" s="196" t="str">
        <f aca="false">IF(A494&lt;mthend,EDATE(A494,1),"")</f>
        <v/>
      </c>
      <c r="B495" s="197" t="str">
        <f aca="false">IF(A495&lt;mthend,B494,"")</f>
        <v/>
      </c>
      <c r="D495" s="197" t="str">
        <f aca="false">IF(A496&lt;&gt;"",B495+C495,"")</f>
        <v/>
      </c>
      <c r="E495" s="199" t="str">
        <f aca="false">IF(A496="","",IF(AND(AT495=1,$H$3=1),D495*AO495,IF($H$3=2,D495,"N/A")))</f>
        <v/>
      </c>
      <c r="F495" s="199" t="str">
        <f aca="false">IF(A496="","",E495*AS495)</f>
        <v/>
      </c>
      <c r="G495" s="200" t="str">
        <f aca="false">IF($A496="","",VLOOKUP($A495,Table,MATCH(G$4,Curves,0)))</f>
        <v/>
      </c>
      <c r="H495" s="201" t="str">
        <f aca="false">IF(A496="","",G495)</f>
        <v/>
      </c>
      <c r="J495" s="200" t="str">
        <f aca="false">IF($A496="","",VLOOKUP($A495,Table,MATCH(J$4,Curves,0)))</f>
        <v/>
      </c>
      <c r="K495" s="201" t="str">
        <f aca="false">IF(A496="","",J495)</f>
        <v/>
      </c>
      <c r="L495" s="185" t="n">
        <v>0</v>
      </c>
      <c r="M495" s="201" t="str">
        <f aca="false">IF(A496="","",L495)</f>
        <v/>
      </c>
      <c r="O495" s="200" t="str">
        <f aca="false">IF(A496="","",L495+J495+G495)</f>
        <v/>
      </c>
      <c r="P495" s="200" t="str">
        <f aca="false">IF(A496="","",M495+K495+H495)</f>
        <v/>
      </c>
      <c r="R495" s="200" t="str">
        <f aca="false">IF($A496="","",VLOOKUP($A495,Table,MATCH(R$4,Curves,0)))</f>
        <v/>
      </c>
      <c r="S495" s="201" t="str">
        <f aca="false">IF(A496="","",R495)</f>
        <v/>
      </c>
      <c r="T495" s="200" t="str">
        <f aca="false">IF($A496="","",VLOOKUP($A495,Table,MATCH(T$4,Curves,0)))</f>
        <v/>
      </c>
      <c r="U495" s="201" t="str">
        <f aca="false">IF(A496="","",T495)</f>
        <v/>
      </c>
      <c r="V495" s="183" t="str">
        <f aca="false">IF($A496="","",IF(AND(MONTH(A495)&gt;3,MONTH(A495)&lt;11),(T495+R495+G495)*(((1/(1-Summary!$T$14))/(1-Summary!$W$14))-1),(T495+R495+G495)*((1/(1-Summary!$U$14))/(1-Summary!$X$14)-1)))</f>
        <v/>
      </c>
      <c r="W495" s="202" t="str">
        <f aca="false">IF($A496="","",(T495+R495+G495+V495))</f>
        <v/>
      </c>
      <c r="X495" s="202" t="str">
        <f aca="false">IF($A496="","",(U495+S495+H495+V495))</f>
        <v/>
      </c>
      <c r="Y495" s="202"/>
      <c r="AJ495" s="77"/>
      <c r="AK495" s="77"/>
      <c r="AL495" s="77"/>
      <c r="AM495" s="77"/>
      <c r="AN495" s="77"/>
      <c r="AO495" s="137" t="str">
        <f aca="false">IF(A496="","",A496-A495)</f>
        <v/>
      </c>
      <c r="AP495" s="212" t="str">
        <f aca="false">IF(A496="","",CHOOSE(F$3,A496+24,A495))</f>
        <v/>
      </c>
      <c r="AQ495" s="209" t="str">
        <f aca="false">IF(A496="","",AP495-$E$1)</f>
        <v/>
      </c>
      <c r="AR495" s="185" t="n">
        <f aca="false">'ANR OK vs ML7'!AR495</f>
        <v>0.1</v>
      </c>
      <c r="AS495" s="213" t="str">
        <f aca="false">IF(A496="","",1/(1+CHOOSE(F$3,(AR496+($I$3/10000))/2,(AR495+($I$3/10000))/2))^(2*AQ495/365.25))</f>
        <v/>
      </c>
      <c r="AT495" s="137" t="str">
        <f aca="false">IF(A496="","",IF(AND(mthbeg&lt;=A495,mthend&gt;=A495),1,0))</f>
        <v/>
      </c>
      <c r="AU495" s="137" t="str">
        <f aca="false">IF(A496="","",AO495*AT495)</f>
        <v/>
      </c>
      <c r="AW495" s="195" t="str">
        <f aca="false">IF($A496="","",AL495*$E495)</f>
        <v/>
      </c>
      <c r="AX495" s="195" t="str">
        <f aca="false">IF($A496="","",AM495*$E495)</f>
        <v/>
      </c>
      <c r="AY495" s="195" t="str">
        <f aca="false">IF($A496="","",AN495*$E495)</f>
        <v/>
      </c>
      <c r="BA495" s="195" t="str">
        <f aca="false">IF($A496="","",F495*Summary!$Q$14)</f>
        <v/>
      </c>
    </row>
    <row r="496" customFormat="false" ht="12.75" hidden="false" customHeight="false" outlineLevel="0" collapsed="false">
      <c r="A496" s="196" t="str">
        <f aca="false">IF(A495&lt;mthend,EDATE(A495,1),"")</f>
        <v/>
      </c>
      <c r="B496" s="197" t="str">
        <f aca="false">IF(A496&lt;mthend,B495,"")</f>
        <v/>
      </c>
      <c r="D496" s="197" t="str">
        <f aca="false">IF(A497&lt;&gt;"",B496+C496,"")</f>
        <v/>
      </c>
      <c r="E496" s="199" t="str">
        <f aca="false">IF(A497="","",IF(AND(AT496=1,$H$3=1),D496*AO496,IF($H$3=2,D496,"N/A")))</f>
        <v/>
      </c>
      <c r="F496" s="199" t="str">
        <f aca="false">IF(A497="","",E496*AS496)</f>
        <v/>
      </c>
      <c r="G496" s="200" t="str">
        <f aca="false">IF($A497="","",VLOOKUP($A496,Table,MATCH(G$4,Curves,0)))</f>
        <v/>
      </c>
      <c r="H496" s="201" t="str">
        <f aca="false">IF(A497="","",G496)</f>
        <v/>
      </c>
      <c r="J496" s="200" t="str">
        <f aca="false">IF($A497="","",VLOOKUP($A496,Table,MATCH(J$4,Curves,0)))</f>
        <v/>
      </c>
      <c r="K496" s="201" t="str">
        <f aca="false">IF(A497="","",J496)</f>
        <v/>
      </c>
      <c r="L496" s="185" t="n">
        <v>0</v>
      </c>
      <c r="M496" s="201" t="str">
        <f aca="false">IF(A497="","",L496)</f>
        <v/>
      </c>
      <c r="O496" s="200" t="str">
        <f aca="false">IF(A497="","",L496+J496+G496)</f>
        <v/>
      </c>
      <c r="P496" s="200" t="str">
        <f aca="false">IF(A497="","",M496+K496+H496)</f>
        <v/>
      </c>
      <c r="R496" s="200" t="str">
        <f aca="false">IF($A497="","",VLOOKUP($A496,Table,MATCH(R$4,Curves,0)))</f>
        <v/>
      </c>
      <c r="S496" s="201" t="str">
        <f aca="false">IF(A497="","",R496)</f>
        <v/>
      </c>
      <c r="T496" s="200" t="str">
        <f aca="false">IF($A497="","",VLOOKUP($A496,Table,MATCH(T$4,Curves,0)))</f>
        <v/>
      </c>
      <c r="U496" s="201" t="str">
        <f aca="false">IF(A497="","",T496)</f>
        <v/>
      </c>
      <c r="V496" s="183" t="str">
        <f aca="false">IF($A497="","",IF(AND(MONTH(A496)&gt;3,MONTH(A496)&lt;11),(T496+R496+G496)*(((1/(1-Summary!$T$14))/(1-Summary!$W$14))-1),(T496+R496+G496)*((1/(1-Summary!$U$14))/(1-Summary!$X$14)-1)))</f>
        <v/>
      </c>
      <c r="W496" s="202" t="str">
        <f aca="false">IF($A497="","",(T496+R496+G496+V496))</f>
        <v/>
      </c>
      <c r="X496" s="202" t="str">
        <f aca="false">IF($A497="","",(U496+S496+H496+V496))</f>
        <v/>
      </c>
      <c r="Y496" s="202"/>
      <c r="AJ496" s="77"/>
      <c r="AK496" s="77"/>
      <c r="AL496" s="77"/>
      <c r="AM496" s="77"/>
      <c r="AN496" s="77"/>
      <c r="AO496" s="137" t="str">
        <f aca="false">IF(A497="","",A497-A496)</f>
        <v/>
      </c>
      <c r="AP496" s="212" t="str">
        <f aca="false">IF(A497="","",CHOOSE(F$3,A497+24,A496))</f>
        <v/>
      </c>
      <c r="AQ496" s="209" t="str">
        <f aca="false">IF(A497="","",AP496-$E$1)</f>
        <v/>
      </c>
      <c r="AR496" s="185" t="n">
        <f aca="false">'ANR OK vs ML7'!AR496</f>
        <v>0.1</v>
      </c>
      <c r="AS496" s="213" t="str">
        <f aca="false">IF(A497="","",1/(1+CHOOSE(F$3,(AR497+($I$3/10000))/2,(AR496+($I$3/10000))/2))^(2*AQ496/365.25))</f>
        <v/>
      </c>
      <c r="AT496" s="137" t="str">
        <f aca="false">IF(A497="","",IF(AND(mthbeg&lt;=A496,mthend&gt;=A496),1,0))</f>
        <v/>
      </c>
      <c r="AU496" s="137" t="str">
        <f aca="false">IF(A497="","",AO496*AT496)</f>
        <v/>
      </c>
      <c r="AW496" s="195" t="str">
        <f aca="false">IF($A497="","",AL496*$E496)</f>
        <v/>
      </c>
      <c r="AX496" s="195" t="str">
        <f aca="false">IF($A497="","",AM496*$E496)</f>
        <v/>
      </c>
      <c r="AY496" s="195" t="str">
        <f aca="false">IF($A497="","",AN496*$E496)</f>
        <v/>
      </c>
      <c r="BA496" s="195" t="str">
        <f aca="false">IF($A497="","",F496*Summary!$Q$14)</f>
        <v/>
      </c>
    </row>
    <row r="497" customFormat="false" ht="12.75" hidden="false" customHeight="false" outlineLevel="0" collapsed="false">
      <c r="A497" s="196" t="str">
        <f aca="false">IF(A496&lt;mthend,EDATE(A496,1),"")</f>
        <v/>
      </c>
      <c r="B497" s="197" t="str">
        <f aca="false">IF(A497&lt;mthend,B496,"")</f>
        <v/>
      </c>
      <c r="D497" s="197" t="str">
        <f aca="false">IF(A498&lt;&gt;"",B497+C497,"")</f>
        <v/>
      </c>
      <c r="E497" s="199" t="str">
        <f aca="false">IF(A498="","",IF(AND(AT497=1,$H$3=1),D497*AO497,IF($H$3=2,D497,"N/A")))</f>
        <v/>
      </c>
      <c r="F497" s="199" t="str">
        <f aca="false">IF(A498="","",E497*AS497)</f>
        <v/>
      </c>
      <c r="G497" s="200" t="str">
        <f aca="false">IF($A498="","",VLOOKUP($A497,Table,MATCH(G$4,Curves,0)))</f>
        <v/>
      </c>
      <c r="H497" s="201" t="str">
        <f aca="false">IF(A498="","",G497)</f>
        <v/>
      </c>
      <c r="J497" s="200" t="str">
        <f aca="false">IF($A498="","",VLOOKUP($A497,Table,MATCH(J$4,Curves,0)))</f>
        <v/>
      </c>
      <c r="K497" s="201" t="str">
        <f aca="false">IF(A498="","",J497)</f>
        <v/>
      </c>
      <c r="L497" s="185" t="n">
        <v>0</v>
      </c>
      <c r="M497" s="201" t="str">
        <f aca="false">IF(A498="","",L497)</f>
        <v/>
      </c>
      <c r="O497" s="200" t="str">
        <f aca="false">IF(A498="","",L497+J497+G497)</f>
        <v/>
      </c>
      <c r="P497" s="200" t="str">
        <f aca="false">IF(A498="","",M497+K497+H497)</f>
        <v/>
      </c>
      <c r="R497" s="200" t="str">
        <f aca="false">IF($A498="","",VLOOKUP($A497,Table,MATCH(R$4,Curves,0)))</f>
        <v/>
      </c>
      <c r="S497" s="201" t="str">
        <f aca="false">IF(A498="","",R497)</f>
        <v/>
      </c>
      <c r="T497" s="200" t="str">
        <f aca="false">IF($A498="","",VLOOKUP($A497,Table,MATCH(T$4,Curves,0)))</f>
        <v/>
      </c>
      <c r="U497" s="201" t="str">
        <f aca="false">IF(A498="","",T497)</f>
        <v/>
      </c>
      <c r="V497" s="183" t="str">
        <f aca="false">IF($A498="","",IF(AND(MONTH(A497)&gt;3,MONTH(A497)&lt;11),(T497+R497+G497)*(((1/(1-Summary!$T$14))/(1-Summary!$W$14))-1),(T497+R497+G497)*((1/(1-Summary!$U$14))/(1-Summary!$X$14)-1)))</f>
        <v/>
      </c>
      <c r="W497" s="202" t="str">
        <f aca="false">IF($A498="","",(T497+R497+G497+V497))</f>
        <v/>
      </c>
      <c r="X497" s="202" t="str">
        <f aca="false">IF($A498="","",(U497+S497+H497+V497))</f>
        <v/>
      </c>
      <c r="Y497" s="202"/>
      <c r="AJ497" s="77"/>
      <c r="AK497" s="77"/>
      <c r="AL497" s="77"/>
      <c r="AM497" s="77"/>
      <c r="AN497" s="77"/>
      <c r="AO497" s="137" t="str">
        <f aca="false">IF(A498="","",A498-A497)</f>
        <v/>
      </c>
      <c r="AP497" s="212" t="str">
        <f aca="false">IF(A498="","",CHOOSE(F$3,A498+24,A497))</f>
        <v/>
      </c>
      <c r="AQ497" s="209" t="str">
        <f aca="false">IF(A498="","",AP497-$E$1)</f>
        <v/>
      </c>
      <c r="AR497" s="185" t="n">
        <f aca="false">'ANR OK vs ML7'!AR497</f>
        <v>0.1</v>
      </c>
      <c r="AS497" s="213" t="str">
        <f aca="false">IF(A498="","",1/(1+CHOOSE(F$3,(AR498+($I$3/10000))/2,(AR497+($I$3/10000))/2))^(2*AQ497/365.25))</f>
        <v/>
      </c>
      <c r="AT497" s="137" t="str">
        <f aca="false">IF(A498="","",IF(AND(mthbeg&lt;=A497,mthend&gt;=A497),1,0))</f>
        <v/>
      </c>
      <c r="AU497" s="137" t="str">
        <f aca="false">IF(A498="","",AO497*AT497)</f>
        <v/>
      </c>
      <c r="AW497" s="195" t="str">
        <f aca="false">IF($A498="","",AL497*$E497)</f>
        <v/>
      </c>
      <c r="AX497" s="195" t="str">
        <f aca="false">IF($A498="","",AM497*$E497)</f>
        <v/>
      </c>
      <c r="AY497" s="195" t="str">
        <f aca="false">IF($A498="","",AN497*$E497)</f>
        <v/>
      </c>
      <c r="BA497" s="195" t="str">
        <f aca="false">IF($A498="","",F497*Summary!$Q$14)</f>
        <v/>
      </c>
    </row>
    <row r="498" customFormat="false" ht="12.75" hidden="false" customHeight="false" outlineLevel="0" collapsed="false">
      <c r="A498" s="196" t="str">
        <f aca="false">IF(A497&lt;mthend,EDATE(A497,1),"")</f>
        <v/>
      </c>
      <c r="B498" s="197" t="str">
        <f aca="false">IF(A498&lt;mthend,B497,"")</f>
        <v/>
      </c>
      <c r="D498" s="197" t="str">
        <f aca="false">IF(A499&lt;&gt;"",B498+C498,"")</f>
        <v/>
      </c>
      <c r="E498" s="199" t="str">
        <f aca="false">IF(A499="","",IF(AND(AT498=1,$H$3=1),D498*AO498,IF($H$3=2,D498,"N/A")))</f>
        <v/>
      </c>
      <c r="F498" s="199" t="str">
        <f aca="false">IF(A499="","",E498*AS498)</f>
        <v/>
      </c>
      <c r="G498" s="200" t="str">
        <f aca="false">IF($A499="","",VLOOKUP($A498,Table,MATCH(G$4,Curves,0)))</f>
        <v/>
      </c>
      <c r="H498" s="201" t="str">
        <f aca="false">IF(A499="","",G498)</f>
        <v/>
      </c>
      <c r="J498" s="200" t="str">
        <f aca="false">IF($A499="","",VLOOKUP($A498,Table,MATCH(J$4,Curves,0)))</f>
        <v/>
      </c>
      <c r="K498" s="201" t="str">
        <f aca="false">IF(A499="","",J498)</f>
        <v/>
      </c>
      <c r="L498" s="185" t="n">
        <v>0</v>
      </c>
      <c r="M498" s="201" t="str">
        <f aca="false">IF(A499="","",L498)</f>
        <v/>
      </c>
      <c r="O498" s="200" t="str">
        <f aca="false">IF(A499="","",L498+J498+G498)</f>
        <v/>
      </c>
      <c r="P498" s="200" t="str">
        <f aca="false">IF(A499="","",M498+K498+H498)</f>
        <v/>
      </c>
      <c r="R498" s="200" t="str">
        <f aca="false">IF($A499="","",VLOOKUP($A498,Table,MATCH(R$4,Curves,0)))</f>
        <v/>
      </c>
      <c r="S498" s="201" t="str">
        <f aca="false">IF(A499="","",R498)</f>
        <v/>
      </c>
      <c r="T498" s="200" t="str">
        <f aca="false">IF($A499="","",VLOOKUP($A498,Table,MATCH(T$4,Curves,0)))</f>
        <v/>
      </c>
      <c r="U498" s="201" t="str">
        <f aca="false">IF(A499="","",T498)</f>
        <v/>
      </c>
      <c r="V498" s="183" t="str">
        <f aca="false">IF($A499="","",IF(AND(MONTH(A498)&gt;3,MONTH(A498)&lt;11),(T498+R498+G498)*(((1/(1-Summary!$T$14))/(1-Summary!$W$14))-1),(T498+R498+G498)*((1/(1-Summary!$U$14))/(1-Summary!$X$14)-1)))</f>
        <v/>
      </c>
      <c r="W498" s="202" t="str">
        <f aca="false">IF($A499="","",(T498+R498+G498+V498))</f>
        <v/>
      </c>
      <c r="X498" s="202" t="str">
        <f aca="false">IF($A499="","",(U498+S498+H498+V498))</f>
        <v/>
      </c>
      <c r="Y498" s="202"/>
      <c r="AJ498" s="77"/>
      <c r="AK498" s="77"/>
      <c r="AL498" s="77"/>
      <c r="AM498" s="77"/>
      <c r="AN498" s="77"/>
      <c r="AO498" s="137" t="str">
        <f aca="false">IF(A499="","",A499-A498)</f>
        <v/>
      </c>
      <c r="AP498" s="212" t="str">
        <f aca="false">IF(A499="","",CHOOSE(F$3,A499+24,A498))</f>
        <v/>
      </c>
      <c r="AQ498" s="209" t="str">
        <f aca="false">IF(A499="","",AP498-$E$1)</f>
        <v/>
      </c>
      <c r="AR498" s="185" t="n">
        <f aca="false">'ANR OK vs ML7'!AR498</f>
        <v>0.1</v>
      </c>
      <c r="AS498" s="213" t="str">
        <f aca="false">IF(A499="","",1/(1+CHOOSE(F$3,(AR499+($I$3/10000))/2,(AR498+($I$3/10000))/2))^(2*AQ498/365.25))</f>
        <v/>
      </c>
      <c r="AT498" s="137" t="str">
        <f aca="false">IF(A499="","",IF(AND(mthbeg&lt;=A498,mthend&gt;=A498),1,0))</f>
        <v/>
      </c>
      <c r="AU498" s="137" t="str">
        <f aca="false">IF(A499="","",AO498*AT498)</f>
        <v/>
      </c>
      <c r="AW498" s="195" t="str">
        <f aca="false">IF($A499="","",AL498*$E498)</f>
        <v/>
      </c>
      <c r="AX498" s="195" t="str">
        <f aca="false">IF($A499="","",AM498*$E498)</f>
        <v/>
      </c>
      <c r="AY498" s="195" t="str">
        <f aca="false">IF($A499="","",AN498*$E498)</f>
        <v/>
      </c>
      <c r="BA498" s="195" t="str">
        <f aca="false">IF($A499="","",F498*Summary!$Q$14)</f>
        <v/>
      </c>
    </row>
    <row r="499" customFormat="false" ht="12.75" hidden="false" customHeight="false" outlineLevel="0" collapsed="false">
      <c r="A499" s="196" t="str">
        <f aca="false">IF(A498&lt;mthend,EDATE(A498,1),"")</f>
        <v/>
      </c>
      <c r="B499" s="197" t="str">
        <f aca="false">IF(A499&lt;mthend,B498,"")</f>
        <v/>
      </c>
      <c r="D499" s="197" t="str">
        <f aca="false">IF(A500&lt;&gt;"",B499+C499,"")</f>
        <v/>
      </c>
      <c r="E499" s="199" t="str">
        <f aca="false">IF(A500="","",IF(AND(AT499=1,$H$3=1),D499*AO499,IF($H$3=2,D499,"N/A")))</f>
        <v/>
      </c>
      <c r="F499" s="199" t="str">
        <f aca="false">IF(A500="","",E499*AS499)</f>
        <v/>
      </c>
      <c r="G499" s="200" t="str">
        <f aca="false">IF($A500="","",VLOOKUP($A499,Table,MATCH(G$4,Curves,0)))</f>
        <v/>
      </c>
      <c r="H499" s="201" t="str">
        <f aca="false">IF(A500="","",G499)</f>
        <v/>
      </c>
      <c r="J499" s="200" t="str">
        <f aca="false">IF($A500="","",VLOOKUP($A499,Table,MATCH(J$4,Curves,0)))</f>
        <v/>
      </c>
      <c r="K499" s="201" t="str">
        <f aca="false">IF(A500="","",J499)</f>
        <v/>
      </c>
      <c r="L499" s="185" t="n">
        <v>0</v>
      </c>
      <c r="M499" s="201" t="str">
        <f aca="false">IF(A500="","",L499)</f>
        <v/>
      </c>
      <c r="O499" s="200" t="str">
        <f aca="false">IF(A500="","",L499+J499+G499)</f>
        <v/>
      </c>
      <c r="P499" s="200" t="str">
        <f aca="false">IF(A500="","",M499+K499+H499)</f>
        <v/>
      </c>
      <c r="R499" s="200" t="str">
        <f aca="false">IF($A500="","",VLOOKUP($A499,Table,MATCH(R$4,Curves,0)))</f>
        <v/>
      </c>
      <c r="S499" s="201" t="str">
        <f aca="false">IF(A500="","",R499)</f>
        <v/>
      </c>
      <c r="T499" s="200" t="str">
        <f aca="false">IF($A500="","",VLOOKUP($A499,Table,MATCH(T$4,Curves,0)))</f>
        <v/>
      </c>
      <c r="U499" s="201" t="str">
        <f aca="false">IF(A500="","",T499)</f>
        <v/>
      </c>
      <c r="V499" s="183" t="str">
        <f aca="false">IF($A500="","",IF(AND(MONTH(A499)&gt;3,MONTH(A499)&lt;11),(T499+R499+G499)*(((1/(1-Summary!$T$14))/(1-Summary!$W$14))-1),(T499+R499+G499)*((1/(1-Summary!$U$14))/(1-Summary!$X$14)-1)))</f>
        <v/>
      </c>
      <c r="W499" s="202" t="str">
        <f aca="false">IF($A500="","",(T499+R499+G499+V499))</f>
        <v/>
      </c>
      <c r="X499" s="202" t="str">
        <f aca="false">IF($A500="","",(U499+S499+H499+V499))</f>
        <v/>
      </c>
      <c r="Y499" s="202"/>
      <c r="AJ499" s="77"/>
      <c r="AK499" s="77"/>
      <c r="AL499" s="77"/>
      <c r="AM499" s="77"/>
      <c r="AN499" s="77"/>
      <c r="AO499" s="137" t="str">
        <f aca="false">IF(A500="","",A500-A499)</f>
        <v/>
      </c>
      <c r="AP499" s="212" t="str">
        <f aca="false">IF(A500="","",CHOOSE(F$3,A500+24,A499))</f>
        <v/>
      </c>
      <c r="AQ499" s="209" t="str">
        <f aca="false">IF(A500="","",AP499-$E$1)</f>
        <v/>
      </c>
      <c r="AR499" s="185" t="n">
        <f aca="false">'ANR OK vs ML7'!AR499</f>
        <v>0.1</v>
      </c>
      <c r="AS499" s="213" t="str">
        <f aca="false">IF(A500="","",1/(1+CHOOSE(F$3,(AR500+($I$3/10000))/2,(AR499+($I$3/10000))/2))^(2*AQ499/365.25))</f>
        <v/>
      </c>
      <c r="AT499" s="137" t="str">
        <f aca="false">IF(A500="","",IF(AND(mthbeg&lt;=A499,mthend&gt;=A499),1,0))</f>
        <v/>
      </c>
      <c r="AU499" s="137" t="str">
        <f aca="false">IF(A500="","",AO499*AT499)</f>
        <v/>
      </c>
      <c r="AW499" s="195" t="str">
        <f aca="false">IF($A500="","",AL499*$E499)</f>
        <v/>
      </c>
      <c r="AX499" s="195" t="str">
        <f aca="false">IF($A500="","",AM499*$E499)</f>
        <v/>
      </c>
      <c r="AY499" s="195" t="str">
        <f aca="false">IF($A500="","",AN499*$E499)</f>
        <v/>
      </c>
      <c r="BA499" s="195" t="str">
        <f aca="false">IF($A500="","",F499*Summary!$Q$14)</f>
        <v/>
      </c>
    </row>
    <row r="500" customFormat="false" ht="12.75" hidden="false" customHeight="false" outlineLevel="0" collapsed="false">
      <c r="A500" s="196" t="str">
        <f aca="false">IF(A499&lt;mthend,EDATE(A499,1),"")</f>
        <v/>
      </c>
      <c r="B500" s="197" t="str">
        <f aca="false">IF(A500&lt;mthend,B499,"")</f>
        <v/>
      </c>
      <c r="D500" s="197"/>
      <c r="E500" s="199"/>
      <c r="F500" s="199"/>
      <c r="G500" s="200"/>
      <c r="H500" s="201"/>
      <c r="J500" s="200"/>
      <c r="K500" s="201"/>
      <c r="L500" s="200"/>
      <c r="M500" s="201"/>
      <c r="O500" s="204"/>
      <c r="P500" s="204"/>
      <c r="R500" s="200"/>
      <c r="S500" s="201"/>
      <c r="T500" s="200"/>
      <c r="U500" s="201"/>
      <c r="W500" s="202"/>
      <c r="X500" s="202"/>
      <c r="Y500" s="202"/>
      <c r="AJ500" s="77"/>
      <c r="AK500" s="77"/>
      <c r="AL500" s="77"/>
      <c r="AM500" s="77"/>
      <c r="AN500" s="77"/>
      <c r="AP500" s="212"/>
      <c r="AQ500" s="209"/>
      <c r="AR500" s="185"/>
      <c r="AS500" s="213"/>
      <c r="AW500" s="195" t="str">
        <f aca="false">IF($A501="","",AL500*$E500)</f>
        <v/>
      </c>
      <c r="AX500" s="195" t="str">
        <f aca="false">IF($A501="","",AM500*$E500)</f>
        <v/>
      </c>
      <c r="AY500" s="195" t="str">
        <f aca="false">IF($A501="","",AN500*$E500)</f>
        <v/>
      </c>
      <c r="BA500" s="195" t="str">
        <f aca="false">IF($A501="","",F500*Summary!$Q$14)</f>
        <v/>
      </c>
    </row>
    <row r="501" customFormat="false" ht="12.75" hidden="false" customHeight="false" outlineLevel="0" collapsed="false">
      <c r="A501" s="196" t="str">
        <f aca="false">IF(A500&lt;mthend,EDATE(A500,1),"")</f>
        <v/>
      </c>
      <c r="B501" s="197" t="str">
        <f aca="false">IF(A501&lt;mthend,B500,"")</f>
        <v/>
      </c>
      <c r="C501" s="21" t="n">
        <v>0</v>
      </c>
      <c r="D501" s="21" t="n">
        <v>0</v>
      </c>
      <c r="E501" s="21" t="n">
        <v>0</v>
      </c>
      <c r="F501" s="21" t="n">
        <v>0</v>
      </c>
      <c r="G501" s="21" t="n">
        <v>0</v>
      </c>
      <c r="H501" s="21" t="n">
        <v>0</v>
      </c>
      <c r="I501" s="21" t="n">
        <v>0</v>
      </c>
      <c r="J501" s="21" t="n">
        <v>0</v>
      </c>
      <c r="K501" s="21" t="n">
        <v>0</v>
      </c>
      <c r="L501" s="21" t="n">
        <v>0</v>
      </c>
      <c r="M501" s="21" t="n">
        <v>0</v>
      </c>
      <c r="N501" s="21" t="n">
        <v>0</v>
      </c>
      <c r="O501" s="21" t="n">
        <v>0</v>
      </c>
      <c r="P501" s="21" t="n">
        <v>0</v>
      </c>
      <c r="Q501" s="21" t="n">
        <v>0</v>
      </c>
      <c r="R501" s="21" t="n">
        <v>0</v>
      </c>
      <c r="S501" s="21" t="n">
        <v>0</v>
      </c>
      <c r="T501" s="21" t="n">
        <v>0</v>
      </c>
      <c r="U501" s="21" t="n">
        <v>0</v>
      </c>
      <c r="V501" s="21" t="n">
        <v>0</v>
      </c>
      <c r="W501" s="21" t="n">
        <v>0</v>
      </c>
      <c r="X501" s="21" t="n">
        <v>0</v>
      </c>
      <c r="Y501" s="21" t="n">
        <v>0</v>
      </c>
      <c r="Z501" s="21" t="n">
        <v>0</v>
      </c>
      <c r="AA501" s="21" t="n">
        <v>0</v>
      </c>
      <c r="AB501" s="21"/>
      <c r="AC501" s="21" t="n">
        <v>0</v>
      </c>
      <c r="AD501" s="21"/>
      <c r="AE501" s="21"/>
      <c r="AF501" s="21" t="n">
        <v>0</v>
      </c>
      <c r="AG501" s="21" t="n">
        <v>0</v>
      </c>
      <c r="AH501" s="21" t="n">
        <v>0</v>
      </c>
      <c r="AI501" s="21" t="n">
        <v>0</v>
      </c>
      <c r="AJ501" s="77"/>
      <c r="AK501" s="77"/>
      <c r="AL501" s="77"/>
      <c r="AM501" s="77"/>
      <c r="AN501" s="77"/>
      <c r="AO501" s="21" t="n">
        <v>0</v>
      </c>
      <c r="AP501" s="21" t="n">
        <v>0</v>
      </c>
      <c r="AQ501" s="21" t="n">
        <v>0</v>
      </c>
      <c r="AR501" s="21" t="n">
        <v>0</v>
      </c>
      <c r="AS501" s="21" t="n">
        <v>0</v>
      </c>
      <c r="AT501" s="21" t="n">
        <v>0</v>
      </c>
      <c r="AU501" s="21" t="n">
        <v>0</v>
      </c>
      <c r="AV501" s="21" t="n">
        <v>0</v>
      </c>
      <c r="AW501" s="195" t="str">
        <f aca="false">IF($A502="","",AL501*$E501)</f>
        <v/>
      </c>
      <c r="AX501" s="195" t="str">
        <f aca="false">IF($A502="","",AM501*$E501)</f>
        <v/>
      </c>
      <c r="AY501" s="195" t="str">
        <f aca="false">IF($A502="","",AN501*$E501)</f>
        <v/>
      </c>
      <c r="AZ501" s="21" t="n">
        <v>0</v>
      </c>
      <c r="BA501" s="195" t="str">
        <f aca="false">IF($A502="","",F501*Summary!$Q$14)</f>
        <v/>
      </c>
      <c r="BB501" s="21" t="n">
        <v>0</v>
      </c>
      <c r="BC501" s="21" t="n">
        <v>0</v>
      </c>
      <c r="BD501" s="21" t="n">
        <v>0</v>
      </c>
      <c r="BE501" s="21" t="n">
        <v>0</v>
      </c>
      <c r="BF501" s="21" t="n">
        <v>0</v>
      </c>
      <c r="BG501" s="21" t="n">
        <v>0</v>
      </c>
      <c r="BH501" s="21" t="n">
        <v>0</v>
      </c>
      <c r="BI501" s="21" t="n">
        <v>0</v>
      </c>
      <c r="BJ501" s="21" t="n">
        <v>0</v>
      </c>
      <c r="BK501" s="21" t="n">
        <v>0</v>
      </c>
      <c r="BL501" s="21" t="n">
        <v>0</v>
      </c>
      <c r="BM501" s="21" t="n">
        <v>0</v>
      </c>
      <c r="BN501" s="21" t="n">
        <v>0</v>
      </c>
      <c r="BO501" s="21" t="n">
        <v>0</v>
      </c>
      <c r="BP501" s="21" t="n">
        <v>0</v>
      </c>
      <c r="BQ501" s="21" t="n">
        <v>0</v>
      </c>
      <c r="BR501" s="21" t="n">
        <v>0</v>
      </c>
      <c r="BS501" s="21" t="n">
        <v>0</v>
      </c>
      <c r="BT501" s="21" t="n">
        <v>0</v>
      </c>
      <c r="BU501" s="21" t="n">
        <v>0</v>
      </c>
      <c r="BV501" s="21" t="n">
        <v>0</v>
      </c>
      <c r="BW501" s="21" t="n">
        <v>0</v>
      </c>
      <c r="BX501" s="21" t="n">
        <v>0</v>
      </c>
      <c r="BY501" s="21" t="n">
        <v>0</v>
      </c>
      <c r="BZ501" s="21" t="n">
        <v>0</v>
      </c>
      <c r="CA501" s="21" t="n">
        <v>0</v>
      </c>
      <c r="CB501" s="21" t="n">
        <v>0</v>
      </c>
      <c r="CC501" s="21" t="n">
        <v>0</v>
      </c>
      <c r="CD501" s="21" t="n">
        <v>0</v>
      </c>
      <c r="CE501" s="21" t="n">
        <v>0</v>
      </c>
      <c r="CF501" s="21" t="n">
        <v>0</v>
      </c>
      <c r="CG501" s="21" t="n">
        <v>0</v>
      </c>
      <c r="CH501" s="21" t="n">
        <v>0</v>
      </c>
      <c r="CI501" s="21" t="n">
        <v>0</v>
      </c>
      <c r="CJ501" s="21" t="n">
        <v>0</v>
      </c>
      <c r="CK501" s="21" t="n">
        <v>0</v>
      </c>
      <c r="CL501" s="21" t="n">
        <v>0</v>
      </c>
      <c r="CM501" s="21" t="n">
        <v>0</v>
      </c>
      <c r="CN501" s="21" t="n">
        <v>0</v>
      </c>
      <c r="CO501" s="21" t="n">
        <v>0</v>
      </c>
      <c r="CP501" s="21" t="n">
        <v>0</v>
      </c>
      <c r="CQ501" s="21" t="n">
        <v>0</v>
      </c>
      <c r="CR501" s="21" t="n">
        <v>0</v>
      </c>
      <c r="CS501" s="21" t="n">
        <v>0</v>
      </c>
      <c r="CT501" s="21" t="n">
        <v>0</v>
      </c>
      <c r="CU501" s="21" t="n">
        <v>0</v>
      </c>
      <c r="CV501" s="21" t="n">
        <v>0</v>
      </c>
      <c r="CW501" s="21" t="n">
        <v>0</v>
      </c>
      <c r="CX501" s="21" t="n">
        <v>0</v>
      </c>
      <c r="CY501" s="21" t="n">
        <v>0</v>
      </c>
      <c r="CZ501" s="21" t="n">
        <v>0</v>
      </c>
      <c r="DA501" s="21" t="n">
        <v>0</v>
      </c>
      <c r="DB501" s="21" t="n">
        <v>0</v>
      </c>
      <c r="DC501" s="21" t="n">
        <v>0</v>
      </c>
      <c r="DD501" s="21" t="n">
        <v>0</v>
      </c>
      <c r="DE501" s="21" t="n">
        <v>0</v>
      </c>
      <c r="DF501" s="21" t="n">
        <v>0</v>
      </c>
      <c r="DG501" s="21" t="n">
        <v>0</v>
      </c>
      <c r="DH501" s="21" t="n">
        <v>0</v>
      </c>
      <c r="DI501" s="21" t="n">
        <v>0</v>
      </c>
      <c r="DJ501" s="21" t="n">
        <v>0</v>
      </c>
      <c r="DK501" s="21" t="n">
        <v>0</v>
      </c>
      <c r="DL501" s="21" t="n">
        <v>0</v>
      </c>
      <c r="DM501" s="21" t="n">
        <v>0</v>
      </c>
      <c r="DN501" s="21" t="n">
        <v>0</v>
      </c>
      <c r="DO501" s="21" t="n">
        <v>0</v>
      </c>
      <c r="DP501" s="21" t="n">
        <v>0</v>
      </c>
      <c r="DQ501" s="21" t="n">
        <v>0</v>
      </c>
      <c r="DR501" s="21" t="n">
        <v>0</v>
      </c>
      <c r="DS501" s="21" t="n">
        <v>0</v>
      </c>
      <c r="DT501" s="21" t="n">
        <v>0</v>
      </c>
      <c r="DU501" s="21" t="n">
        <v>0</v>
      </c>
      <c r="DV501" s="21" t="n">
        <v>0</v>
      </c>
      <c r="DW501" s="21" t="n">
        <v>0</v>
      </c>
      <c r="DX501" s="21" t="n">
        <v>0</v>
      </c>
      <c r="DY501" s="21" t="n">
        <v>0</v>
      </c>
      <c r="DZ501" s="21" t="n">
        <v>0</v>
      </c>
      <c r="EA501" s="21" t="n">
        <v>0</v>
      </c>
      <c r="EB501" s="21" t="n">
        <v>0</v>
      </c>
      <c r="EC501" s="21" t="n">
        <v>0</v>
      </c>
      <c r="ED501" s="21" t="n">
        <v>0</v>
      </c>
      <c r="EE501" s="21" t="n">
        <v>0</v>
      </c>
      <c r="EF501" s="21" t="n">
        <v>0</v>
      </c>
      <c r="EG501" s="21" t="n">
        <v>0</v>
      </c>
      <c r="EH501" s="21" t="n">
        <v>0</v>
      </c>
      <c r="EI501" s="21" t="n">
        <v>0</v>
      </c>
      <c r="EJ501" s="21" t="n">
        <v>0</v>
      </c>
      <c r="EK501" s="21" t="n">
        <v>0</v>
      </c>
      <c r="EL501" s="21" t="n">
        <v>0</v>
      </c>
      <c r="EM501" s="21" t="n">
        <v>0</v>
      </c>
      <c r="EN501" s="21" t="n">
        <v>0</v>
      </c>
      <c r="EO501" s="21" t="n">
        <v>0</v>
      </c>
      <c r="EP501" s="21" t="n">
        <v>0</v>
      </c>
      <c r="EQ501" s="21" t="n">
        <v>0</v>
      </c>
      <c r="ER501" s="21" t="n">
        <v>0</v>
      </c>
      <c r="ES501" s="21" t="n">
        <v>0</v>
      </c>
      <c r="ET501" s="21" t="n">
        <v>0</v>
      </c>
      <c r="EU501" s="21" t="n">
        <v>0</v>
      </c>
      <c r="EV501" s="21" t="n">
        <v>0</v>
      </c>
      <c r="EW501" s="21" t="n">
        <v>0</v>
      </c>
      <c r="EX501" s="21" t="n">
        <v>0</v>
      </c>
      <c r="EY501" s="21" t="n">
        <v>0</v>
      </c>
      <c r="EZ501" s="21" t="n">
        <v>0</v>
      </c>
      <c r="FA501" s="21" t="n">
        <v>0</v>
      </c>
      <c r="FB501" s="21" t="n">
        <v>0</v>
      </c>
      <c r="FC501" s="21" t="n">
        <v>0</v>
      </c>
      <c r="FD501" s="21" t="n">
        <v>0</v>
      </c>
      <c r="FE501" s="21" t="n">
        <v>0</v>
      </c>
      <c r="FF501" s="21" t="n">
        <v>0</v>
      </c>
      <c r="FG501" s="21" t="n">
        <v>0</v>
      </c>
      <c r="FH501" s="21" t="n">
        <v>0</v>
      </c>
      <c r="FI501" s="21" t="n">
        <v>0</v>
      </c>
      <c r="FJ501" s="21" t="n">
        <v>0</v>
      </c>
      <c r="FK501" s="21" t="n">
        <v>0</v>
      </c>
      <c r="FL501" s="21" t="n">
        <v>0</v>
      </c>
      <c r="FM501" s="21" t="n">
        <v>0</v>
      </c>
      <c r="FN501" s="21" t="n">
        <v>0</v>
      </c>
      <c r="FO501" s="21" t="n">
        <v>0</v>
      </c>
      <c r="FP501" s="21" t="n">
        <v>0</v>
      </c>
      <c r="FQ501" s="21" t="n">
        <v>0</v>
      </c>
      <c r="FR501" s="21" t="n">
        <v>0</v>
      </c>
      <c r="FS501" s="21" t="n">
        <v>0</v>
      </c>
      <c r="FT501" s="21" t="n">
        <v>0</v>
      </c>
      <c r="FU501" s="21" t="n">
        <v>0</v>
      </c>
      <c r="FV501" s="21" t="n">
        <v>0</v>
      </c>
      <c r="FW501" s="21" t="n">
        <v>0</v>
      </c>
      <c r="FX501" s="21" t="n">
        <v>0</v>
      </c>
      <c r="FY501" s="21" t="n">
        <v>0</v>
      </c>
      <c r="FZ501" s="21" t="n">
        <v>0</v>
      </c>
      <c r="GA501" s="21" t="n">
        <v>0</v>
      </c>
      <c r="GB501" s="21" t="n">
        <v>0</v>
      </c>
      <c r="GC501" s="21" t="n">
        <v>0</v>
      </c>
      <c r="GD501" s="21" t="n">
        <v>0</v>
      </c>
      <c r="GE501" s="21" t="n">
        <v>0</v>
      </c>
      <c r="GF501" s="21" t="n">
        <v>0</v>
      </c>
      <c r="GG501" s="21" t="n">
        <v>0</v>
      </c>
      <c r="GH501" s="21" t="n">
        <v>0</v>
      </c>
      <c r="GI501" s="21" t="n">
        <v>0</v>
      </c>
      <c r="GJ501" s="21" t="n">
        <v>0</v>
      </c>
      <c r="GK501" s="21" t="n">
        <v>0</v>
      </c>
      <c r="GL501" s="21" t="n">
        <v>0</v>
      </c>
      <c r="GM501" s="21" t="n">
        <v>0</v>
      </c>
      <c r="GN501" s="21" t="n">
        <v>0</v>
      </c>
      <c r="GO501" s="21" t="n">
        <v>0</v>
      </c>
      <c r="GP501" s="21" t="n">
        <v>0</v>
      </c>
      <c r="GQ501" s="21" t="n">
        <v>0</v>
      </c>
      <c r="GR501" s="21" t="n">
        <v>0</v>
      </c>
      <c r="GS501" s="21" t="n">
        <v>0</v>
      </c>
      <c r="GT501" s="21" t="n">
        <v>0</v>
      </c>
      <c r="GU501" s="21" t="n">
        <v>0</v>
      </c>
      <c r="GV501" s="21" t="n">
        <v>0</v>
      </c>
      <c r="GW501" s="21" t="n">
        <v>0</v>
      </c>
      <c r="GX501" s="21" t="n">
        <v>0</v>
      </c>
      <c r="GY501" s="21" t="n">
        <v>0</v>
      </c>
      <c r="GZ501" s="21" t="n">
        <v>0</v>
      </c>
      <c r="HA501" s="21" t="n">
        <v>0</v>
      </c>
      <c r="HB501" s="21" t="n">
        <v>0</v>
      </c>
      <c r="HC501" s="21" t="n">
        <v>0</v>
      </c>
      <c r="HD501" s="21" t="n">
        <v>0</v>
      </c>
      <c r="HE501" s="21" t="n">
        <v>0</v>
      </c>
      <c r="HF501" s="21" t="n">
        <v>0</v>
      </c>
      <c r="HG501" s="21" t="n">
        <v>0</v>
      </c>
      <c r="HH501" s="21" t="n">
        <v>0</v>
      </c>
      <c r="HI501" s="21" t="n">
        <v>0</v>
      </c>
      <c r="HJ501" s="21" t="n">
        <v>0</v>
      </c>
      <c r="HK501" s="21" t="n">
        <v>0</v>
      </c>
      <c r="HL501" s="21" t="n">
        <v>0</v>
      </c>
      <c r="HM501" s="21" t="n">
        <v>0</v>
      </c>
      <c r="HN501" s="21" t="n">
        <v>0</v>
      </c>
      <c r="HO501" s="21" t="n">
        <v>0</v>
      </c>
      <c r="HP501" s="21" t="n">
        <v>0</v>
      </c>
      <c r="HQ501" s="21" t="n">
        <v>0</v>
      </c>
      <c r="HR501" s="21" t="n">
        <v>0</v>
      </c>
      <c r="HS501" s="21" t="n">
        <v>0</v>
      </c>
      <c r="HT501" s="21" t="n">
        <v>0</v>
      </c>
      <c r="HU501" s="21" t="n">
        <v>0</v>
      </c>
      <c r="HV501" s="21" t="n">
        <v>0</v>
      </c>
      <c r="HW501" s="21" t="n">
        <v>0</v>
      </c>
      <c r="HX501" s="21" t="n">
        <v>0</v>
      </c>
      <c r="HY501" s="21" t="n">
        <v>0</v>
      </c>
      <c r="HZ501" s="21" t="n">
        <v>0</v>
      </c>
      <c r="IA501" s="21" t="n">
        <v>0</v>
      </c>
      <c r="IB501" s="21" t="n">
        <v>0</v>
      </c>
      <c r="IC501" s="21" t="n">
        <v>0</v>
      </c>
      <c r="ID501" s="21" t="n">
        <v>0</v>
      </c>
      <c r="IE501" s="21" t="n">
        <v>0</v>
      </c>
      <c r="IF501" s="21" t="n">
        <v>0</v>
      </c>
      <c r="IG501" s="21" t="n">
        <v>0</v>
      </c>
      <c r="IH501" s="21" t="n">
        <v>0</v>
      </c>
    </row>
    <row r="502" customFormat="false" ht="12.75" hidden="false" customHeight="false" outlineLevel="0" collapsed="false">
      <c r="AJ502" s="77"/>
      <c r="AK502" s="77"/>
      <c r="AL502" s="77"/>
      <c r="AM502" s="77"/>
      <c r="AN502" s="77"/>
    </row>
    <row r="503" customFormat="false" ht="12.75" hidden="false" customHeight="false" outlineLevel="0" collapsed="false">
      <c r="AJ503" s="77"/>
      <c r="AK503" s="77"/>
      <c r="AL503" s="77"/>
      <c r="AM503" s="77"/>
      <c r="AN503" s="77"/>
    </row>
    <row r="504" customFormat="false" ht="12.75" hidden="false" customHeight="false" outlineLevel="0" collapsed="false">
      <c r="AJ504" s="77"/>
      <c r="AK504" s="77"/>
      <c r="AL504" s="77"/>
      <c r="AM504" s="77"/>
      <c r="AN504" s="77"/>
    </row>
    <row r="505" customFormat="false" ht="12.75" hidden="false" customHeight="false" outlineLevel="0" collapsed="false">
      <c r="AJ505" s="77"/>
      <c r="AK505" s="77"/>
      <c r="AL505" s="77"/>
      <c r="AM505" s="77"/>
      <c r="AN505" s="77"/>
    </row>
    <row r="506" customFormat="false" ht="12.75" hidden="false" customHeight="false" outlineLevel="0" collapsed="false">
      <c r="AJ506" s="77"/>
      <c r="AK506" s="77"/>
      <c r="AL506" s="77"/>
      <c r="AM506" s="77"/>
      <c r="AN506" s="77"/>
    </row>
    <row r="507" customFormat="false" ht="12.75" hidden="false" customHeight="false" outlineLevel="0" collapsed="false">
      <c r="AJ507" s="77"/>
      <c r="AK507" s="77"/>
      <c r="AL507" s="77"/>
      <c r="AM507" s="77"/>
      <c r="AN507" s="77"/>
    </row>
    <row r="508" customFormat="false" ht="12.75" hidden="false" customHeight="false" outlineLevel="0" collapsed="false">
      <c r="AJ508" s="77"/>
      <c r="AK508" s="77"/>
      <c r="AL508" s="77"/>
      <c r="AM508" s="77"/>
      <c r="AN508" s="77"/>
    </row>
    <row r="509" customFormat="false" ht="12.75" hidden="false" customHeight="false" outlineLevel="0" collapsed="false">
      <c r="AJ509" s="77"/>
      <c r="AK509" s="77"/>
      <c r="AL509" s="77"/>
      <c r="AM509" s="77"/>
      <c r="AN509" s="77"/>
    </row>
    <row r="510" customFormat="false" ht="12.75" hidden="false" customHeight="false" outlineLevel="0" collapsed="false">
      <c r="AJ510" s="77"/>
      <c r="AK510" s="77"/>
      <c r="AL510" s="77"/>
      <c r="AM510" s="77"/>
      <c r="AN510" s="77"/>
    </row>
    <row r="511" customFormat="false" ht="12.75" hidden="false" customHeight="false" outlineLevel="0" collapsed="false">
      <c r="AJ511" s="77"/>
      <c r="AK511" s="77"/>
      <c r="AL511" s="77"/>
      <c r="AM511" s="77"/>
      <c r="AN511" s="77"/>
    </row>
    <row r="512" customFormat="false" ht="12.75" hidden="false" customHeight="false" outlineLevel="0" collapsed="false">
      <c r="AJ512" s="77"/>
      <c r="AK512" s="77"/>
      <c r="AL512" s="77"/>
      <c r="AM512" s="77"/>
      <c r="AN512" s="77"/>
    </row>
    <row r="513" customFormat="false" ht="12.75" hidden="false" customHeight="false" outlineLevel="0" collapsed="false">
      <c r="AJ513" s="77"/>
      <c r="AK513" s="77"/>
      <c r="AL513" s="77"/>
      <c r="AM513" s="77"/>
      <c r="AN513" s="77"/>
    </row>
    <row r="514" customFormat="false" ht="12.75" hidden="false" customHeight="false" outlineLevel="0" collapsed="false">
      <c r="AJ514" s="77"/>
      <c r="AK514" s="77"/>
      <c r="AL514" s="77"/>
      <c r="AM514" s="77"/>
      <c r="AN514" s="77"/>
    </row>
    <row r="515" customFormat="false" ht="12.75" hidden="false" customHeight="false" outlineLevel="0" collapsed="false">
      <c r="AJ515" s="77"/>
      <c r="AK515" s="77"/>
      <c r="AL515" s="77"/>
      <c r="AM515" s="77"/>
      <c r="AN515" s="77"/>
    </row>
    <row r="516" customFormat="false" ht="12.75" hidden="false" customHeight="false" outlineLevel="0" collapsed="false">
      <c r="AJ516" s="77"/>
      <c r="AK516" s="77"/>
      <c r="AL516" s="77"/>
      <c r="AM516" s="77"/>
      <c r="AN516" s="77"/>
    </row>
    <row r="517" customFormat="false" ht="12.75" hidden="false" customHeight="false" outlineLevel="0" collapsed="false">
      <c r="AJ517" s="77"/>
      <c r="AK517" s="77"/>
      <c r="AL517" s="77"/>
      <c r="AM517" s="77"/>
      <c r="AN517" s="77"/>
    </row>
    <row r="518" customFormat="false" ht="12.75" hidden="false" customHeight="false" outlineLevel="0" collapsed="false">
      <c r="AJ518" s="77"/>
      <c r="AK518" s="77"/>
      <c r="AL518" s="77"/>
      <c r="AM518" s="77"/>
      <c r="AN518" s="77"/>
    </row>
    <row r="519" customFormat="false" ht="12.75" hidden="false" customHeight="false" outlineLevel="0" collapsed="false">
      <c r="AJ519" s="77"/>
      <c r="AK519" s="77"/>
      <c r="AL519" s="77"/>
      <c r="AM519" s="77"/>
      <c r="AN519" s="77"/>
    </row>
    <row r="520" customFormat="false" ht="12.75" hidden="false" customHeight="false" outlineLevel="0" collapsed="false">
      <c r="AJ520" s="77"/>
      <c r="AK520" s="77"/>
      <c r="AL520" s="77"/>
      <c r="AM520" s="77"/>
      <c r="AN520" s="77"/>
    </row>
    <row r="521" customFormat="false" ht="12.75" hidden="false" customHeight="false" outlineLevel="0" collapsed="false">
      <c r="AJ521" s="77"/>
      <c r="AK521" s="77"/>
      <c r="AL521" s="77"/>
      <c r="AM521" s="77"/>
      <c r="AN521" s="77"/>
    </row>
    <row r="522" customFormat="false" ht="12.75" hidden="false" customHeight="false" outlineLevel="0" collapsed="false">
      <c r="AJ522" s="77"/>
      <c r="AK522" s="77"/>
      <c r="AL522" s="77"/>
      <c r="AM522" s="77"/>
      <c r="AN522" s="77"/>
    </row>
    <row r="523" customFormat="false" ht="12.75" hidden="false" customHeight="false" outlineLevel="0" collapsed="false">
      <c r="AJ523" s="77"/>
      <c r="AK523" s="77"/>
      <c r="AL523" s="77"/>
      <c r="AM523" s="77"/>
      <c r="AN523" s="77"/>
    </row>
    <row r="524" customFormat="false" ht="12.75" hidden="false" customHeight="false" outlineLevel="0" collapsed="false">
      <c r="AJ524" s="77"/>
      <c r="AK524" s="77"/>
      <c r="AL524" s="77"/>
      <c r="AM524" s="77"/>
      <c r="AN524" s="77"/>
    </row>
    <row r="525" customFormat="false" ht="12.75" hidden="false" customHeight="false" outlineLevel="0" collapsed="false">
      <c r="AJ525" s="77"/>
      <c r="AK525" s="77"/>
      <c r="AL525" s="77"/>
      <c r="AM525" s="77"/>
      <c r="AN525" s="77"/>
    </row>
    <row r="526" customFormat="false" ht="12.75" hidden="false" customHeight="false" outlineLevel="0" collapsed="false">
      <c r="AJ526" s="77"/>
      <c r="AK526" s="77"/>
      <c r="AL526" s="77"/>
      <c r="AM526" s="77"/>
      <c r="AN526" s="77"/>
    </row>
    <row r="527" customFormat="false" ht="12.75" hidden="false" customHeight="false" outlineLevel="0" collapsed="false">
      <c r="AJ527" s="77"/>
      <c r="AK527" s="77"/>
      <c r="AL527" s="77"/>
      <c r="AM527" s="77"/>
      <c r="AN527" s="77"/>
    </row>
    <row r="528" customFormat="false" ht="12.75" hidden="false" customHeight="false" outlineLevel="0" collapsed="false">
      <c r="AJ528" s="77"/>
      <c r="AK528" s="77"/>
      <c r="AL528" s="77"/>
      <c r="AM528" s="77"/>
      <c r="AN528" s="77"/>
    </row>
    <row r="529" customFormat="false" ht="12.75" hidden="false" customHeight="false" outlineLevel="0" collapsed="false">
      <c r="AJ529" s="77"/>
      <c r="AK529" s="77"/>
      <c r="AL529" s="77"/>
      <c r="AM529" s="77"/>
      <c r="AN529" s="77"/>
    </row>
    <row r="530" customFormat="false" ht="12.75" hidden="false" customHeight="false" outlineLevel="0" collapsed="false">
      <c r="AJ530" s="77"/>
      <c r="AK530" s="77"/>
      <c r="AL530" s="77"/>
      <c r="AM530" s="77"/>
      <c r="AN530" s="77"/>
    </row>
    <row r="531" customFormat="false" ht="12.75" hidden="false" customHeight="false" outlineLevel="0" collapsed="false">
      <c r="AJ531" s="77"/>
      <c r="AK531" s="77"/>
      <c r="AL531" s="77"/>
      <c r="AM531" s="77"/>
      <c r="AN531" s="77"/>
    </row>
    <row r="532" customFormat="false" ht="12.75" hidden="false" customHeight="false" outlineLevel="0" collapsed="false">
      <c r="AJ532" s="77"/>
      <c r="AK532" s="77"/>
      <c r="AL532" s="77"/>
      <c r="AM532" s="77"/>
      <c r="AN532" s="77"/>
    </row>
    <row r="533" customFormat="false" ht="12.75" hidden="false" customHeight="false" outlineLevel="0" collapsed="false">
      <c r="AJ533" s="77"/>
      <c r="AK533" s="77"/>
      <c r="AL533" s="77"/>
      <c r="AM533" s="77"/>
      <c r="AN533" s="77"/>
    </row>
    <row r="534" customFormat="false" ht="12.75" hidden="false" customHeight="false" outlineLevel="0" collapsed="false">
      <c r="AJ534" s="77"/>
      <c r="AK534" s="77"/>
      <c r="AL534" s="77"/>
      <c r="AM534" s="77"/>
      <c r="AN534" s="77"/>
    </row>
    <row r="535" customFormat="false" ht="12.75" hidden="false" customHeight="false" outlineLevel="0" collapsed="false">
      <c r="AJ535" s="77"/>
      <c r="AK535" s="77"/>
      <c r="AL535" s="77"/>
      <c r="AM535" s="77"/>
      <c r="AN535" s="77"/>
    </row>
    <row r="536" customFormat="false" ht="12.75" hidden="false" customHeight="false" outlineLevel="0" collapsed="false">
      <c r="AJ536" s="77"/>
      <c r="AK536" s="77"/>
      <c r="AL536" s="77"/>
      <c r="AM536" s="77"/>
      <c r="AN536" s="77"/>
    </row>
    <row r="537" customFormat="false" ht="12.75" hidden="false" customHeight="false" outlineLevel="0" collapsed="false">
      <c r="AJ537" s="77"/>
      <c r="AK537" s="77"/>
      <c r="AL537" s="77"/>
      <c r="AM537" s="77"/>
      <c r="AN537" s="77"/>
    </row>
    <row r="538" customFormat="false" ht="12.75" hidden="false" customHeight="false" outlineLevel="0" collapsed="false">
      <c r="AJ538" s="77"/>
      <c r="AK538" s="77"/>
      <c r="AL538" s="77"/>
      <c r="AM538" s="77"/>
      <c r="AN538" s="77"/>
    </row>
    <row r="539" customFormat="false" ht="12.75" hidden="false" customHeight="false" outlineLevel="0" collapsed="false">
      <c r="AJ539" s="77"/>
      <c r="AK539" s="77"/>
      <c r="AL539" s="77"/>
      <c r="AM539" s="77"/>
      <c r="AN539" s="77"/>
    </row>
    <row r="540" customFormat="false" ht="12.75" hidden="false" customHeight="false" outlineLevel="0" collapsed="false">
      <c r="AJ540" s="77"/>
      <c r="AK540" s="77"/>
      <c r="AL540" s="77"/>
      <c r="AM540" s="77"/>
      <c r="AN540" s="77"/>
    </row>
    <row r="541" customFormat="false" ht="12.75" hidden="false" customHeight="false" outlineLevel="0" collapsed="false">
      <c r="AJ541" s="77"/>
      <c r="AK541" s="77"/>
      <c r="AL541" s="77"/>
      <c r="AM541" s="77"/>
      <c r="AN541" s="77"/>
    </row>
    <row r="542" customFormat="false" ht="12.75" hidden="false" customHeight="false" outlineLevel="0" collapsed="false">
      <c r="AJ542" s="77"/>
      <c r="AK542" s="77"/>
      <c r="AL542" s="77"/>
      <c r="AM542" s="77"/>
      <c r="AN542" s="77"/>
    </row>
    <row r="543" customFormat="false" ht="12.75" hidden="false" customHeight="false" outlineLevel="0" collapsed="false">
      <c r="AJ543" s="77"/>
      <c r="AK543" s="77"/>
      <c r="AL543" s="77"/>
      <c r="AM543" s="77"/>
      <c r="AN543" s="77"/>
    </row>
    <row r="544" customFormat="false" ht="12.75" hidden="false" customHeight="false" outlineLevel="0" collapsed="false">
      <c r="AJ544" s="77"/>
      <c r="AK544" s="77"/>
      <c r="AL544" s="77"/>
      <c r="AM544" s="77"/>
      <c r="AN544" s="77"/>
    </row>
    <row r="545" customFormat="false" ht="12.75" hidden="false" customHeight="false" outlineLevel="0" collapsed="false">
      <c r="AJ545" s="77"/>
      <c r="AK545" s="77"/>
      <c r="AL545" s="77"/>
      <c r="AM545" s="77"/>
      <c r="AN545" s="77"/>
    </row>
    <row r="546" customFormat="false" ht="12.75" hidden="false" customHeight="false" outlineLevel="0" collapsed="false">
      <c r="AJ546" s="77"/>
      <c r="AK546" s="77"/>
      <c r="AL546" s="77"/>
      <c r="AM546" s="77"/>
      <c r="AN546" s="77"/>
    </row>
    <row r="547" customFormat="false" ht="12.75" hidden="false" customHeight="false" outlineLevel="0" collapsed="false">
      <c r="AJ547" s="77"/>
      <c r="AK547" s="77"/>
      <c r="AL547" s="77"/>
      <c r="AM547" s="77"/>
      <c r="AN547" s="77"/>
    </row>
    <row r="548" customFormat="false" ht="12.75" hidden="false" customHeight="false" outlineLevel="0" collapsed="false">
      <c r="AJ548" s="77"/>
      <c r="AK548" s="77"/>
      <c r="AL548" s="77"/>
      <c r="AM548" s="77"/>
      <c r="AN548" s="77"/>
    </row>
    <row r="549" customFormat="false" ht="12.75" hidden="false" customHeight="false" outlineLevel="0" collapsed="false">
      <c r="AJ549" s="77"/>
      <c r="AK549" s="77"/>
      <c r="AL549" s="77"/>
      <c r="AM549" s="77"/>
      <c r="AN549" s="77"/>
    </row>
    <row r="550" customFormat="false" ht="12.75" hidden="false" customHeight="false" outlineLevel="0" collapsed="false">
      <c r="AJ550" s="77"/>
      <c r="AK550" s="77"/>
      <c r="AL550" s="77"/>
      <c r="AM550" s="77"/>
      <c r="AN550" s="77"/>
    </row>
    <row r="551" customFormat="false" ht="12.75" hidden="false" customHeight="false" outlineLevel="0" collapsed="false">
      <c r="AJ551" s="77"/>
      <c r="AK551" s="77"/>
      <c r="AL551" s="77"/>
      <c r="AM551" s="77"/>
      <c r="AN551" s="77"/>
    </row>
    <row r="552" customFormat="false" ht="12.75" hidden="false" customHeight="false" outlineLevel="0" collapsed="false">
      <c r="AJ552" s="77"/>
      <c r="AK552" s="77"/>
      <c r="AL552" s="77"/>
      <c r="AM552" s="77"/>
      <c r="AN552" s="77"/>
    </row>
    <row r="553" customFormat="false" ht="12.75" hidden="false" customHeight="false" outlineLevel="0" collapsed="false">
      <c r="AJ553" s="77"/>
      <c r="AK553" s="77"/>
      <c r="AL553" s="77"/>
      <c r="AM553" s="77"/>
      <c r="AN553" s="77"/>
    </row>
    <row r="554" customFormat="false" ht="12.75" hidden="false" customHeight="false" outlineLevel="0" collapsed="false">
      <c r="AJ554" s="77"/>
      <c r="AK554" s="77"/>
      <c r="AL554" s="77"/>
      <c r="AM554" s="77"/>
      <c r="AN554" s="77"/>
    </row>
    <row r="555" customFormat="false" ht="12.75" hidden="false" customHeight="false" outlineLevel="0" collapsed="false">
      <c r="AJ555" s="77"/>
      <c r="AK555" s="77"/>
      <c r="AL555" s="77"/>
      <c r="AM555" s="77"/>
      <c r="AN555" s="77"/>
    </row>
    <row r="556" customFormat="false" ht="12.75" hidden="false" customHeight="false" outlineLevel="0" collapsed="false">
      <c r="AJ556" s="77"/>
      <c r="AK556" s="77"/>
      <c r="AL556" s="77"/>
      <c r="AM556" s="77"/>
      <c r="AN556" s="77"/>
    </row>
    <row r="557" customFormat="false" ht="12.75" hidden="false" customHeight="false" outlineLevel="0" collapsed="false">
      <c r="AJ557" s="77"/>
      <c r="AK557" s="77"/>
      <c r="AL557" s="77"/>
      <c r="AM557" s="77"/>
      <c r="AN557" s="77"/>
    </row>
    <row r="558" customFormat="false" ht="12.75" hidden="false" customHeight="false" outlineLevel="0" collapsed="false">
      <c r="AJ558" s="77"/>
      <c r="AK558" s="77"/>
      <c r="AL558" s="77"/>
      <c r="AM558" s="77"/>
      <c r="AN558" s="77"/>
    </row>
    <row r="559" customFormat="false" ht="12.75" hidden="false" customHeight="false" outlineLevel="0" collapsed="false">
      <c r="AJ559" s="77"/>
      <c r="AK559" s="77"/>
      <c r="AL559" s="77"/>
      <c r="AM559" s="77"/>
      <c r="AN559" s="77"/>
    </row>
    <row r="560" customFormat="false" ht="12.75" hidden="false" customHeight="false" outlineLevel="0" collapsed="false">
      <c r="AJ560" s="77"/>
      <c r="AK560" s="77"/>
      <c r="AL560" s="77"/>
      <c r="AM560" s="77"/>
      <c r="AN560" s="77"/>
    </row>
    <row r="561" customFormat="false" ht="12.75" hidden="false" customHeight="false" outlineLevel="0" collapsed="false">
      <c r="AJ561" s="77"/>
      <c r="AK561" s="77"/>
      <c r="AL561" s="77"/>
      <c r="AM561" s="77"/>
      <c r="AN561" s="77"/>
    </row>
    <row r="562" customFormat="false" ht="12.75" hidden="false" customHeight="false" outlineLevel="0" collapsed="false">
      <c r="AJ562" s="77"/>
      <c r="AK562" s="77"/>
      <c r="AL562" s="77"/>
      <c r="AM562" s="77"/>
      <c r="AN562" s="77"/>
    </row>
    <row r="563" customFormat="false" ht="12.75" hidden="false" customHeight="false" outlineLevel="0" collapsed="false">
      <c r="AJ563" s="77"/>
      <c r="AK563" s="77"/>
      <c r="AL563" s="77"/>
      <c r="AM563" s="77"/>
      <c r="AN563" s="77"/>
    </row>
    <row r="564" customFormat="false" ht="12.75" hidden="false" customHeight="false" outlineLevel="0" collapsed="false">
      <c r="AJ564" s="77"/>
      <c r="AK564" s="77"/>
      <c r="AL564" s="77"/>
      <c r="AM564" s="77"/>
      <c r="AN564" s="77"/>
    </row>
    <row r="565" customFormat="false" ht="12.75" hidden="false" customHeight="false" outlineLevel="0" collapsed="false">
      <c r="AJ565" s="77"/>
      <c r="AK565" s="77"/>
      <c r="AL565" s="77"/>
      <c r="AM565" s="77"/>
      <c r="AN565" s="77"/>
    </row>
    <row r="566" customFormat="false" ht="12.75" hidden="false" customHeight="false" outlineLevel="0" collapsed="false">
      <c r="AJ566" s="77"/>
      <c r="AK566" s="77"/>
      <c r="AL566" s="77"/>
      <c r="AM566" s="77"/>
      <c r="AN566" s="77"/>
    </row>
    <row r="567" customFormat="false" ht="12.75" hidden="false" customHeight="false" outlineLevel="0" collapsed="false">
      <c r="AJ567" s="77"/>
      <c r="AK567" s="77"/>
      <c r="AL567" s="77"/>
      <c r="AM567" s="77"/>
      <c r="AN567" s="77"/>
    </row>
    <row r="568" customFormat="false" ht="12.75" hidden="false" customHeight="false" outlineLevel="0" collapsed="false">
      <c r="AJ568" s="77"/>
      <c r="AK568" s="77"/>
      <c r="AL568" s="77"/>
      <c r="AM568" s="77"/>
      <c r="AN568" s="77"/>
    </row>
    <row r="569" customFormat="false" ht="12.75" hidden="false" customHeight="false" outlineLevel="0" collapsed="false">
      <c r="AJ569" s="77"/>
      <c r="AK569" s="77"/>
      <c r="AL569" s="77"/>
      <c r="AM569" s="77"/>
      <c r="AN569" s="77"/>
    </row>
    <row r="570" customFormat="false" ht="12.75" hidden="false" customHeight="false" outlineLevel="0" collapsed="false">
      <c r="AJ570" s="77"/>
      <c r="AK570" s="77"/>
      <c r="AL570" s="77"/>
      <c r="AM570" s="77"/>
      <c r="AN570" s="77"/>
    </row>
    <row r="571" customFormat="false" ht="12.75" hidden="false" customHeight="false" outlineLevel="0" collapsed="false">
      <c r="AJ571" s="77"/>
      <c r="AK571" s="77"/>
      <c r="AL571" s="77"/>
      <c r="AM571" s="77"/>
      <c r="AN571" s="77"/>
    </row>
    <row r="572" customFormat="false" ht="12.75" hidden="false" customHeight="false" outlineLevel="0" collapsed="false">
      <c r="AJ572" s="77"/>
      <c r="AK572" s="77"/>
      <c r="AL572" s="77"/>
      <c r="AM572" s="77"/>
      <c r="AN572" s="77"/>
    </row>
    <row r="573" customFormat="false" ht="12.75" hidden="false" customHeight="false" outlineLevel="0" collapsed="false">
      <c r="AJ573" s="77"/>
      <c r="AK573" s="77"/>
      <c r="AL573" s="77"/>
      <c r="AM573" s="77"/>
      <c r="AN573" s="77"/>
    </row>
    <row r="574" customFormat="false" ht="12.75" hidden="false" customHeight="false" outlineLevel="0" collapsed="false">
      <c r="AJ574" s="77"/>
      <c r="AK574" s="77"/>
      <c r="AL574" s="77"/>
      <c r="AM574" s="77"/>
      <c r="AN574" s="77"/>
    </row>
    <row r="575" customFormat="false" ht="12.75" hidden="false" customHeight="false" outlineLevel="0" collapsed="false">
      <c r="AJ575" s="77"/>
      <c r="AK575" s="77"/>
      <c r="AL575" s="77"/>
      <c r="AM575" s="77"/>
      <c r="AN575" s="77"/>
    </row>
    <row r="576" customFormat="false" ht="12.75" hidden="false" customHeight="false" outlineLevel="0" collapsed="false">
      <c r="AJ576" s="77"/>
      <c r="AK576" s="77"/>
      <c r="AL576" s="77"/>
      <c r="AM576" s="77"/>
      <c r="AN576" s="77"/>
    </row>
    <row r="577" customFormat="false" ht="12.75" hidden="false" customHeight="false" outlineLevel="0" collapsed="false">
      <c r="AJ577" s="77"/>
      <c r="AK577" s="77"/>
      <c r="AL577" s="77"/>
      <c r="AM577" s="77"/>
      <c r="AN577" s="77"/>
    </row>
    <row r="578" customFormat="false" ht="12.75" hidden="false" customHeight="false" outlineLevel="0" collapsed="false">
      <c r="AJ578" s="77"/>
      <c r="AK578" s="77"/>
      <c r="AL578" s="77"/>
      <c r="AM578" s="77"/>
      <c r="AN578" s="77"/>
    </row>
    <row r="579" customFormat="false" ht="12.75" hidden="false" customHeight="false" outlineLevel="0" collapsed="false">
      <c r="AJ579" s="77"/>
      <c r="AK579" s="77"/>
      <c r="AL579" s="77"/>
      <c r="AM579" s="77"/>
      <c r="AN579" s="77"/>
    </row>
    <row r="580" customFormat="false" ht="12.75" hidden="false" customHeight="false" outlineLevel="0" collapsed="false">
      <c r="AJ580" s="77"/>
      <c r="AK580" s="77"/>
      <c r="AL580" s="77"/>
      <c r="AM580" s="77"/>
      <c r="AN580" s="77"/>
    </row>
    <row r="581" customFormat="false" ht="12.75" hidden="false" customHeight="false" outlineLevel="0" collapsed="false">
      <c r="AJ581" s="77"/>
      <c r="AK581" s="77"/>
      <c r="AL581" s="77"/>
      <c r="AM581" s="77"/>
      <c r="AN581" s="77"/>
    </row>
    <row r="582" customFormat="false" ht="12.75" hidden="false" customHeight="false" outlineLevel="0" collapsed="false">
      <c r="AJ582" s="77"/>
      <c r="AK582" s="77"/>
      <c r="AL582" s="77"/>
      <c r="AM582" s="77"/>
      <c r="AN582" s="77"/>
    </row>
    <row r="583" customFormat="false" ht="12.75" hidden="false" customHeight="false" outlineLevel="0" collapsed="false">
      <c r="AJ583" s="77"/>
      <c r="AK583" s="77"/>
      <c r="AL583" s="77"/>
      <c r="AM583" s="77"/>
      <c r="AN583" s="77"/>
    </row>
    <row r="584" customFormat="false" ht="12.75" hidden="false" customHeight="false" outlineLevel="0" collapsed="false">
      <c r="AJ584" s="77"/>
      <c r="AK584" s="77"/>
      <c r="AL584" s="77"/>
      <c r="AM584" s="77"/>
      <c r="AN584" s="77"/>
    </row>
    <row r="585" customFormat="false" ht="12.75" hidden="false" customHeight="false" outlineLevel="0" collapsed="false">
      <c r="AJ585" s="77"/>
      <c r="AK585" s="77"/>
      <c r="AL585" s="77"/>
      <c r="AM585" s="77"/>
      <c r="AN585" s="77"/>
    </row>
    <row r="586" customFormat="false" ht="12.75" hidden="false" customHeight="false" outlineLevel="0" collapsed="false">
      <c r="AJ586" s="77"/>
      <c r="AK586" s="77"/>
      <c r="AL586" s="77"/>
      <c r="AM586" s="77"/>
      <c r="AN586" s="77"/>
    </row>
    <row r="587" customFormat="false" ht="12.75" hidden="false" customHeight="false" outlineLevel="0" collapsed="false">
      <c r="AJ587" s="77"/>
      <c r="AK587" s="77"/>
      <c r="AL587" s="77"/>
      <c r="AM587" s="77"/>
      <c r="AN587" s="77"/>
    </row>
    <row r="588" customFormat="false" ht="12.75" hidden="false" customHeight="false" outlineLevel="0" collapsed="false">
      <c r="AJ588" s="77"/>
      <c r="AK588" s="77"/>
      <c r="AL588" s="77"/>
      <c r="AM588" s="77"/>
      <c r="AN588" s="77"/>
    </row>
    <row r="589" customFormat="false" ht="12.75" hidden="false" customHeight="false" outlineLevel="0" collapsed="false">
      <c r="AJ589" s="77"/>
      <c r="AK589" s="77"/>
      <c r="AL589" s="77"/>
      <c r="AM589" s="77"/>
      <c r="AN589" s="77"/>
    </row>
    <row r="590" customFormat="false" ht="12.75" hidden="false" customHeight="false" outlineLevel="0" collapsed="false">
      <c r="AJ590" s="77"/>
      <c r="AK590" s="77"/>
      <c r="AL590" s="77"/>
      <c r="AM590" s="77"/>
      <c r="AN590" s="77"/>
    </row>
    <row r="591" customFormat="false" ht="12.75" hidden="false" customHeight="false" outlineLevel="0" collapsed="false">
      <c r="AJ591" s="77"/>
      <c r="AK591" s="77"/>
      <c r="AL591" s="77"/>
      <c r="AM591" s="77"/>
      <c r="AN591" s="77"/>
    </row>
    <row r="592" customFormat="false" ht="12.75" hidden="false" customHeight="false" outlineLevel="0" collapsed="false">
      <c r="AJ592" s="77"/>
      <c r="AK592" s="77"/>
      <c r="AL592" s="77"/>
      <c r="AM592" s="77"/>
      <c r="AN592" s="77"/>
    </row>
    <row r="593" customFormat="false" ht="12.75" hidden="false" customHeight="false" outlineLevel="0" collapsed="false">
      <c r="AJ593" s="77"/>
      <c r="AK593" s="77"/>
      <c r="AL593" s="77"/>
      <c r="AM593" s="77"/>
      <c r="AN593" s="77"/>
    </row>
    <row r="594" customFormat="false" ht="12.75" hidden="false" customHeight="false" outlineLevel="0" collapsed="false">
      <c r="AJ594" s="77"/>
      <c r="AK594" s="77"/>
      <c r="AL594" s="77"/>
      <c r="AM594" s="77"/>
      <c r="AN594" s="77"/>
    </row>
    <row r="595" customFormat="false" ht="12.75" hidden="false" customHeight="false" outlineLevel="0" collapsed="false">
      <c r="AJ595" s="77"/>
      <c r="AK595" s="77"/>
      <c r="AL595" s="77"/>
      <c r="AM595" s="77"/>
      <c r="AN595" s="77"/>
    </row>
    <row r="596" customFormat="false" ht="12.75" hidden="false" customHeight="false" outlineLevel="0" collapsed="false">
      <c r="AJ596" s="77"/>
      <c r="AK596" s="77"/>
      <c r="AL596" s="77"/>
      <c r="AM596" s="77"/>
      <c r="AN596" s="77"/>
    </row>
    <row r="597" customFormat="false" ht="12.75" hidden="false" customHeight="false" outlineLevel="0" collapsed="false">
      <c r="AJ597" s="77"/>
      <c r="AK597" s="77"/>
      <c r="AL597" s="77"/>
      <c r="AM597" s="77"/>
      <c r="AN597" s="77"/>
    </row>
    <row r="598" customFormat="false" ht="12.75" hidden="false" customHeight="false" outlineLevel="0" collapsed="false">
      <c r="AJ598" s="77"/>
      <c r="AK598" s="77"/>
      <c r="AL598" s="77"/>
      <c r="AM598" s="77"/>
      <c r="AN598" s="77"/>
    </row>
    <row r="599" customFormat="false" ht="12.75" hidden="false" customHeight="false" outlineLevel="0" collapsed="false">
      <c r="AJ599" s="77"/>
      <c r="AK599" s="77"/>
      <c r="AL599" s="77"/>
      <c r="AM599" s="77"/>
      <c r="AN599" s="77"/>
    </row>
    <row r="600" customFormat="false" ht="12.75" hidden="false" customHeight="false" outlineLevel="0" collapsed="false">
      <c r="AJ600" s="77"/>
      <c r="AK600" s="77"/>
      <c r="AL600" s="77"/>
      <c r="AM600" s="77"/>
      <c r="AN600" s="77"/>
    </row>
    <row r="601" customFormat="false" ht="12.75" hidden="false" customHeight="false" outlineLevel="0" collapsed="false">
      <c r="AJ601" s="77"/>
      <c r="AK601" s="77"/>
      <c r="AL601" s="77"/>
      <c r="AM601" s="77"/>
      <c r="AN601" s="77"/>
    </row>
    <row r="602" customFormat="false" ht="12.75" hidden="false" customHeight="false" outlineLevel="0" collapsed="false">
      <c r="AJ602" s="77"/>
      <c r="AK602" s="77"/>
      <c r="AL602" s="77"/>
      <c r="AM602" s="77"/>
      <c r="AN602" s="77"/>
    </row>
    <row r="603" customFormat="false" ht="12.75" hidden="false" customHeight="false" outlineLevel="0" collapsed="false">
      <c r="AJ603" s="77"/>
      <c r="AK603" s="77"/>
      <c r="AL603" s="77"/>
      <c r="AM603" s="77"/>
      <c r="AN603" s="77"/>
    </row>
    <row r="604" customFormat="false" ht="12.75" hidden="false" customHeight="false" outlineLevel="0" collapsed="false">
      <c r="AJ604" s="77"/>
      <c r="AK604" s="77"/>
      <c r="AL604" s="77"/>
      <c r="AM604" s="77"/>
      <c r="AN604" s="77"/>
    </row>
    <row r="605" customFormat="false" ht="12.75" hidden="false" customHeight="false" outlineLevel="0" collapsed="false">
      <c r="AJ605" s="77"/>
      <c r="AK605" s="77"/>
      <c r="AL605" s="77"/>
      <c r="AM605" s="77"/>
      <c r="AN605" s="77"/>
    </row>
    <row r="606" customFormat="false" ht="12.75" hidden="false" customHeight="false" outlineLevel="0" collapsed="false">
      <c r="AJ606" s="77"/>
      <c r="AK606" s="77"/>
      <c r="AL606" s="77"/>
      <c r="AM606" s="77"/>
      <c r="AN606" s="77"/>
    </row>
    <row r="607" customFormat="false" ht="12.75" hidden="false" customHeight="false" outlineLevel="0" collapsed="false">
      <c r="AJ607" s="77"/>
      <c r="AK607" s="77"/>
      <c r="AL607" s="77"/>
      <c r="AM607" s="77"/>
      <c r="AN607" s="77"/>
    </row>
    <row r="608" customFormat="false" ht="12.75" hidden="false" customHeight="false" outlineLevel="0" collapsed="false">
      <c r="AJ608" s="77"/>
      <c r="AK608" s="77"/>
      <c r="AL608" s="77"/>
      <c r="AM608" s="77"/>
      <c r="AN608" s="77"/>
    </row>
    <row r="609" customFormat="false" ht="12.75" hidden="false" customHeight="false" outlineLevel="0" collapsed="false">
      <c r="AJ609" s="77"/>
      <c r="AK609" s="77"/>
      <c r="AL609" s="77"/>
      <c r="AM609" s="77"/>
      <c r="AN609" s="77"/>
    </row>
    <row r="610" customFormat="false" ht="12.75" hidden="false" customHeight="false" outlineLevel="0" collapsed="false">
      <c r="AJ610" s="77"/>
      <c r="AK610" s="77"/>
      <c r="AL610" s="77"/>
      <c r="AM610" s="77"/>
      <c r="AN610" s="77"/>
    </row>
    <row r="611" customFormat="false" ht="12.75" hidden="false" customHeight="false" outlineLevel="0" collapsed="false">
      <c r="AJ611" s="77"/>
      <c r="AK611" s="77"/>
      <c r="AL611" s="77"/>
      <c r="AM611" s="77"/>
      <c r="AN611" s="77"/>
    </row>
    <row r="612" customFormat="false" ht="12.75" hidden="false" customHeight="false" outlineLevel="0" collapsed="false">
      <c r="AJ612" s="77"/>
      <c r="AK612" s="77"/>
      <c r="AL612" s="77"/>
      <c r="AM612" s="77"/>
      <c r="AN612" s="77"/>
    </row>
    <row r="613" customFormat="false" ht="12.75" hidden="false" customHeight="false" outlineLevel="0" collapsed="false">
      <c r="AJ613" s="77"/>
      <c r="AK613" s="77"/>
      <c r="AL613" s="77"/>
      <c r="AM613" s="77"/>
      <c r="AN613" s="77"/>
    </row>
    <row r="614" customFormat="false" ht="12.75" hidden="false" customHeight="false" outlineLevel="0" collapsed="false">
      <c r="AJ614" s="77"/>
      <c r="AK614" s="77"/>
      <c r="AL614" s="77"/>
      <c r="AM614" s="77"/>
      <c r="AN614" s="77"/>
    </row>
    <row r="615" customFormat="false" ht="12.75" hidden="false" customHeight="false" outlineLevel="0" collapsed="false">
      <c r="AJ615" s="77"/>
      <c r="AK615" s="77"/>
      <c r="AL615" s="77"/>
      <c r="AM615" s="77"/>
      <c r="AN615" s="77"/>
    </row>
    <row r="616" customFormat="false" ht="12.75" hidden="false" customHeight="false" outlineLevel="0" collapsed="false">
      <c r="AJ616" s="77"/>
      <c r="AK616" s="77"/>
      <c r="AL616" s="77"/>
      <c r="AM616" s="77"/>
      <c r="AN616" s="77"/>
    </row>
    <row r="617" customFormat="false" ht="12.75" hidden="false" customHeight="false" outlineLevel="0" collapsed="false">
      <c r="AJ617" s="77"/>
      <c r="AK617" s="77"/>
      <c r="AL617" s="77"/>
      <c r="AM617" s="77"/>
      <c r="AN617" s="77"/>
    </row>
    <row r="618" customFormat="false" ht="12.75" hidden="false" customHeight="false" outlineLevel="0" collapsed="false">
      <c r="AJ618" s="77"/>
      <c r="AK618" s="77"/>
      <c r="AL618" s="77"/>
      <c r="AM618" s="77"/>
      <c r="AN618" s="77"/>
    </row>
    <row r="619" customFormat="false" ht="12.75" hidden="false" customHeight="false" outlineLevel="0" collapsed="false">
      <c r="AJ619" s="77"/>
      <c r="AK619" s="77"/>
      <c r="AL619" s="77"/>
      <c r="AM619" s="77"/>
      <c r="AN619" s="77"/>
    </row>
    <row r="620" customFormat="false" ht="12.75" hidden="false" customHeight="false" outlineLevel="0" collapsed="false">
      <c r="AJ620" s="77"/>
      <c r="AK620" s="77"/>
      <c r="AL620" s="77"/>
      <c r="AM620" s="77"/>
      <c r="AN620" s="77"/>
    </row>
    <row r="621" customFormat="false" ht="12.75" hidden="false" customHeight="false" outlineLevel="0" collapsed="false">
      <c r="AJ621" s="77"/>
      <c r="AK621" s="77"/>
      <c r="AL621" s="77"/>
      <c r="AM621" s="77"/>
      <c r="AN621" s="77"/>
    </row>
    <row r="622" customFormat="false" ht="12.75" hidden="false" customHeight="false" outlineLevel="0" collapsed="false">
      <c r="AJ622" s="77"/>
      <c r="AK622" s="77"/>
      <c r="AL622" s="77"/>
      <c r="AM622" s="77"/>
      <c r="AN622" s="77"/>
    </row>
    <row r="623" customFormat="false" ht="12.75" hidden="false" customHeight="false" outlineLevel="0" collapsed="false">
      <c r="AJ623" s="77"/>
      <c r="AK623" s="77"/>
      <c r="AL623" s="77"/>
      <c r="AM623" s="77"/>
      <c r="AN623" s="77"/>
    </row>
    <row r="624" customFormat="false" ht="12.75" hidden="false" customHeight="false" outlineLevel="0" collapsed="false">
      <c r="AJ624" s="77"/>
      <c r="AK624" s="77"/>
      <c r="AL624" s="77"/>
      <c r="AM624" s="77"/>
      <c r="AN624" s="77"/>
    </row>
    <row r="625" customFormat="false" ht="12.75" hidden="false" customHeight="false" outlineLevel="0" collapsed="false">
      <c r="AJ625" s="77"/>
      <c r="AK625" s="77"/>
      <c r="AL625" s="77"/>
      <c r="AM625" s="77"/>
      <c r="AN625" s="77"/>
    </row>
    <row r="626" customFormat="false" ht="12.75" hidden="false" customHeight="false" outlineLevel="0" collapsed="false">
      <c r="AJ626" s="77"/>
      <c r="AK626" s="77"/>
      <c r="AL626" s="77"/>
      <c r="AM626" s="77"/>
      <c r="AN626" s="77"/>
    </row>
    <row r="627" customFormat="false" ht="12.75" hidden="false" customHeight="false" outlineLevel="0" collapsed="false">
      <c r="AJ627" s="77"/>
      <c r="AK627" s="77"/>
      <c r="AL627" s="77"/>
      <c r="AM627" s="77"/>
      <c r="AN627" s="77"/>
    </row>
    <row r="628" customFormat="false" ht="12.75" hidden="false" customHeight="false" outlineLevel="0" collapsed="false">
      <c r="AJ628" s="77"/>
      <c r="AK628" s="77"/>
      <c r="AL628" s="77"/>
      <c r="AM628" s="77"/>
      <c r="AN628" s="77"/>
    </row>
    <row r="629" customFormat="false" ht="12.75" hidden="false" customHeight="false" outlineLevel="0" collapsed="false">
      <c r="AJ629" s="77"/>
      <c r="AK629" s="77"/>
      <c r="AL629" s="77"/>
      <c r="AM629" s="77"/>
      <c r="AN629" s="77"/>
    </row>
    <row r="630" customFormat="false" ht="12.75" hidden="false" customHeight="false" outlineLevel="0" collapsed="false">
      <c r="AJ630" s="77"/>
      <c r="AK630" s="77"/>
      <c r="AL630" s="77"/>
      <c r="AM630" s="77"/>
      <c r="AN630" s="77"/>
    </row>
    <row r="631" customFormat="false" ht="12.75" hidden="false" customHeight="false" outlineLevel="0" collapsed="false">
      <c r="AJ631" s="77"/>
      <c r="AK631" s="77"/>
      <c r="AL631" s="77"/>
      <c r="AM631" s="77"/>
      <c r="AN631" s="77"/>
    </row>
    <row r="632" customFormat="false" ht="12.75" hidden="false" customHeight="false" outlineLevel="0" collapsed="false">
      <c r="AJ632" s="77"/>
      <c r="AK632" s="77"/>
      <c r="AL632" s="77"/>
      <c r="AM632" s="77"/>
      <c r="AN632" s="77"/>
    </row>
    <row r="633" customFormat="false" ht="12.75" hidden="false" customHeight="false" outlineLevel="0" collapsed="false">
      <c r="AJ633" s="77"/>
      <c r="AK633" s="77"/>
      <c r="AL633" s="77"/>
      <c r="AM633" s="77"/>
      <c r="AN633" s="77"/>
    </row>
    <row r="634" customFormat="false" ht="12.75" hidden="false" customHeight="false" outlineLevel="0" collapsed="false">
      <c r="AJ634" s="77"/>
      <c r="AK634" s="77"/>
      <c r="AL634" s="77"/>
      <c r="AM634" s="77"/>
      <c r="AN634" s="77"/>
    </row>
    <row r="635" customFormat="false" ht="12.75" hidden="false" customHeight="false" outlineLevel="0" collapsed="false">
      <c r="AJ635" s="77"/>
      <c r="AK635" s="77"/>
      <c r="AL635" s="77"/>
      <c r="AM635" s="77"/>
      <c r="AN635" s="77"/>
    </row>
    <row r="636" customFormat="false" ht="12.75" hidden="false" customHeight="false" outlineLevel="0" collapsed="false">
      <c r="AJ636" s="77"/>
      <c r="AK636" s="77"/>
      <c r="AL636" s="77"/>
      <c r="AM636" s="77"/>
      <c r="AN636" s="77"/>
    </row>
    <row r="637" customFormat="false" ht="12.75" hidden="false" customHeight="false" outlineLevel="0" collapsed="false">
      <c r="AJ637" s="77"/>
      <c r="AK637" s="77"/>
      <c r="AL637" s="77"/>
      <c r="AM637" s="77"/>
      <c r="AN637" s="77"/>
    </row>
    <row r="638" customFormat="false" ht="12.75" hidden="false" customHeight="false" outlineLevel="0" collapsed="false">
      <c r="AJ638" s="77"/>
      <c r="AK638" s="77"/>
      <c r="AL638" s="77"/>
      <c r="AM638" s="77"/>
      <c r="AN638" s="77"/>
    </row>
    <row r="639" customFormat="false" ht="12.75" hidden="false" customHeight="false" outlineLevel="0" collapsed="false">
      <c r="AJ639" s="77"/>
      <c r="AK639" s="77"/>
      <c r="AL639" s="77"/>
      <c r="AM639" s="77"/>
      <c r="AN639" s="77"/>
    </row>
    <row r="640" customFormat="false" ht="12.75" hidden="false" customHeight="false" outlineLevel="0" collapsed="false">
      <c r="AJ640" s="77"/>
      <c r="AK640" s="77"/>
      <c r="AL640" s="77"/>
      <c r="AM640" s="77"/>
      <c r="AN640" s="77"/>
    </row>
    <row r="641" customFormat="false" ht="12.75" hidden="false" customHeight="false" outlineLevel="0" collapsed="false">
      <c r="AJ641" s="77"/>
      <c r="AK641" s="77"/>
      <c r="AL641" s="77"/>
      <c r="AM641" s="77"/>
      <c r="AN641" s="77"/>
    </row>
    <row r="642" customFormat="false" ht="12.75" hidden="false" customHeight="false" outlineLevel="0" collapsed="false">
      <c r="AJ642" s="77"/>
      <c r="AK642" s="77"/>
      <c r="AL642" s="77"/>
      <c r="AM642" s="77"/>
      <c r="AN642" s="77"/>
    </row>
    <row r="643" customFormat="false" ht="12.75" hidden="false" customHeight="false" outlineLevel="0" collapsed="false">
      <c r="AJ643" s="77"/>
      <c r="AK643" s="77"/>
      <c r="AL643" s="77"/>
      <c r="AM643" s="77"/>
      <c r="AN643" s="77"/>
    </row>
    <row r="644" customFormat="false" ht="12.75" hidden="false" customHeight="false" outlineLevel="0" collapsed="false">
      <c r="AJ644" s="77"/>
      <c r="AK644" s="77"/>
      <c r="AL644" s="77"/>
      <c r="AM644" s="77"/>
      <c r="AN644" s="77"/>
    </row>
    <row r="645" customFormat="false" ht="12.75" hidden="false" customHeight="false" outlineLevel="0" collapsed="false">
      <c r="AJ645" s="77"/>
      <c r="AK645" s="77"/>
      <c r="AL645" s="77"/>
      <c r="AM645" s="77"/>
      <c r="AN645" s="77"/>
    </row>
    <row r="646" customFormat="false" ht="12.75" hidden="false" customHeight="false" outlineLevel="0" collapsed="false">
      <c r="AJ646" s="77"/>
      <c r="AK646" s="77"/>
      <c r="AL646" s="77"/>
      <c r="AM646" s="77"/>
      <c r="AN646" s="77"/>
    </row>
    <row r="647" customFormat="false" ht="12.75" hidden="false" customHeight="false" outlineLevel="0" collapsed="false">
      <c r="AJ647" s="77"/>
      <c r="AK647" s="77"/>
      <c r="AL647" s="77"/>
      <c r="AM647" s="77"/>
      <c r="AN647" s="77"/>
    </row>
    <row r="648" customFormat="false" ht="12.75" hidden="false" customHeight="false" outlineLevel="0" collapsed="false">
      <c r="AJ648" s="77"/>
      <c r="AK648" s="77"/>
      <c r="AL648" s="77"/>
      <c r="AM648" s="77"/>
      <c r="AN648" s="77"/>
    </row>
    <row r="649" customFormat="false" ht="12.75" hidden="false" customHeight="false" outlineLevel="0" collapsed="false">
      <c r="AJ649" s="77"/>
      <c r="AK649" s="77"/>
      <c r="AL649" s="77"/>
      <c r="AM649" s="77"/>
      <c r="AN649" s="77"/>
    </row>
    <row r="650" customFormat="false" ht="12.75" hidden="false" customHeight="false" outlineLevel="0" collapsed="false">
      <c r="AJ650" s="77"/>
      <c r="AK650" s="77"/>
      <c r="AL650" s="77"/>
      <c r="AM650" s="77"/>
      <c r="AN650" s="77"/>
    </row>
    <row r="651" customFormat="false" ht="12.75" hidden="false" customHeight="false" outlineLevel="0" collapsed="false">
      <c r="AJ651" s="77"/>
      <c r="AK651" s="77"/>
      <c r="AL651" s="77"/>
      <c r="AM651" s="77"/>
      <c r="AN651" s="77"/>
    </row>
    <row r="652" customFormat="false" ht="12.75" hidden="false" customHeight="false" outlineLevel="0" collapsed="false">
      <c r="AJ652" s="77"/>
      <c r="AK652" s="77"/>
      <c r="AL652" s="77"/>
      <c r="AM652" s="77"/>
      <c r="AN652" s="77"/>
    </row>
    <row r="653" customFormat="false" ht="12.75" hidden="false" customHeight="false" outlineLevel="0" collapsed="false">
      <c r="AJ653" s="77"/>
      <c r="AK653" s="77"/>
      <c r="AL653" s="77"/>
      <c r="AM653" s="77"/>
      <c r="AN653" s="77"/>
    </row>
    <row r="654" customFormat="false" ht="12.75" hidden="false" customHeight="false" outlineLevel="0" collapsed="false">
      <c r="AJ654" s="77"/>
      <c r="AK654" s="77"/>
      <c r="AL654" s="77"/>
      <c r="AM654" s="77"/>
      <c r="AN654" s="77"/>
    </row>
    <row r="655" customFormat="false" ht="12.75" hidden="false" customHeight="false" outlineLevel="0" collapsed="false">
      <c r="AJ655" s="77"/>
      <c r="AK655" s="77"/>
      <c r="AL655" s="77"/>
      <c r="AM655" s="77"/>
      <c r="AN655" s="77"/>
    </row>
    <row r="656" customFormat="false" ht="12.75" hidden="false" customHeight="false" outlineLevel="0" collapsed="false">
      <c r="AJ656" s="77"/>
      <c r="AK656" s="77"/>
      <c r="AL656" s="77"/>
      <c r="AM656" s="77"/>
      <c r="AN656" s="77"/>
    </row>
    <row r="657" customFormat="false" ht="12.75" hidden="false" customHeight="false" outlineLevel="0" collapsed="false">
      <c r="AJ657" s="77"/>
      <c r="AK657" s="77"/>
      <c r="AL657" s="77"/>
      <c r="AM657" s="77"/>
      <c r="AN657" s="77"/>
    </row>
    <row r="658" customFormat="false" ht="12.75" hidden="false" customHeight="false" outlineLevel="0" collapsed="false">
      <c r="AJ658" s="77"/>
      <c r="AK658" s="77"/>
      <c r="AL658" s="77"/>
      <c r="AM658" s="77"/>
      <c r="AN658" s="77"/>
    </row>
    <row r="659" customFormat="false" ht="12.75" hidden="false" customHeight="false" outlineLevel="0" collapsed="false">
      <c r="AJ659" s="77"/>
      <c r="AK659" s="77"/>
      <c r="AL659" s="77"/>
      <c r="AM659" s="77"/>
      <c r="AN659" s="77"/>
    </row>
    <row r="660" customFormat="false" ht="12.75" hidden="false" customHeight="false" outlineLevel="0" collapsed="false">
      <c r="AJ660" s="77"/>
      <c r="AK660" s="77"/>
      <c r="AL660" s="77"/>
      <c r="AM660" s="77"/>
      <c r="AN660" s="77"/>
    </row>
    <row r="661" customFormat="false" ht="12.75" hidden="false" customHeight="false" outlineLevel="0" collapsed="false">
      <c r="AJ661" s="77"/>
      <c r="AK661" s="77"/>
      <c r="AL661" s="77"/>
      <c r="AM661" s="77"/>
      <c r="AN661" s="77"/>
    </row>
    <row r="662" customFormat="false" ht="12.75" hidden="false" customHeight="false" outlineLevel="0" collapsed="false">
      <c r="AJ662" s="77"/>
      <c r="AK662" s="77"/>
      <c r="AL662" s="77"/>
      <c r="AM662" s="77"/>
      <c r="AN662" s="77"/>
    </row>
    <row r="663" customFormat="false" ht="12.75" hidden="false" customHeight="false" outlineLevel="0" collapsed="false">
      <c r="AJ663" s="77"/>
      <c r="AK663" s="77"/>
      <c r="AL663" s="77"/>
      <c r="AM663" s="77"/>
      <c r="AN663" s="77"/>
    </row>
    <row r="664" customFormat="false" ht="12.75" hidden="false" customHeight="false" outlineLevel="0" collapsed="false">
      <c r="AJ664" s="77"/>
      <c r="AK664" s="77"/>
      <c r="AL664" s="77"/>
      <c r="AM664" s="77"/>
      <c r="AN664" s="77"/>
    </row>
    <row r="665" customFormat="false" ht="12.75" hidden="false" customHeight="false" outlineLevel="0" collapsed="false">
      <c r="AJ665" s="77"/>
      <c r="AK665" s="77"/>
      <c r="AL665" s="77"/>
      <c r="AM665" s="77"/>
      <c r="AN665" s="77"/>
    </row>
    <row r="666" customFormat="false" ht="12.75" hidden="false" customHeight="false" outlineLevel="0" collapsed="false">
      <c r="AJ666" s="77"/>
      <c r="AK666" s="77"/>
      <c r="AL666" s="77"/>
      <c r="AM666" s="77"/>
      <c r="AN666" s="77"/>
    </row>
    <row r="667" customFormat="false" ht="12.75" hidden="false" customHeight="false" outlineLevel="0" collapsed="false">
      <c r="AJ667" s="77"/>
      <c r="AK667" s="77"/>
      <c r="AL667" s="77"/>
      <c r="AM667" s="77"/>
      <c r="AN667" s="77"/>
    </row>
    <row r="668" customFormat="false" ht="12.75" hidden="false" customHeight="false" outlineLevel="0" collapsed="false">
      <c r="AJ668" s="77"/>
      <c r="AK668" s="77"/>
      <c r="AL668" s="77"/>
      <c r="AM668" s="77"/>
      <c r="AN668" s="77"/>
    </row>
    <row r="669" customFormat="false" ht="12.75" hidden="false" customHeight="false" outlineLevel="0" collapsed="false">
      <c r="AJ669" s="77"/>
      <c r="AK669" s="77"/>
      <c r="AL669" s="77"/>
      <c r="AM669" s="77"/>
      <c r="AN669" s="77"/>
    </row>
    <row r="670" customFormat="false" ht="12.75" hidden="false" customHeight="false" outlineLevel="0" collapsed="false">
      <c r="AJ670" s="77"/>
      <c r="AK670" s="77"/>
      <c r="AL670" s="77"/>
      <c r="AM670" s="77"/>
      <c r="AN670" s="77"/>
    </row>
    <row r="671" customFormat="false" ht="12.75" hidden="false" customHeight="false" outlineLevel="0" collapsed="false">
      <c r="AJ671" s="77"/>
      <c r="AK671" s="77"/>
      <c r="AL671" s="77"/>
      <c r="AM671" s="77"/>
      <c r="AN671" s="77"/>
    </row>
    <row r="672" customFormat="false" ht="12.75" hidden="false" customHeight="false" outlineLevel="0" collapsed="false">
      <c r="AJ672" s="77"/>
      <c r="AK672" s="77"/>
      <c r="AL672" s="77"/>
      <c r="AM672" s="77"/>
      <c r="AN672" s="77"/>
    </row>
    <row r="673" customFormat="false" ht="12.75" hidden="false" customHeight="false" outlineLevel="0" collapsed="false">
      <c r="AJ673" s="77"/>
      <c r="AK673" s="77"/>
      <c r="AL673" s="77"/>
      <c r="AM673" s="77"/>
      <c r="AN673" s="77"/>
    </row>
    <row r="674" customFormat="false" ht="12.75" hidden="false" customHeight="false" outlineLevel="0" collapsed="false">
      <c r="AJ674" s="77"/>
      <c r="AK674" s="77"/>
      <c r="AL674" s="77"/>
      <c r="AM674" s="77"/>
      <c r="AN674" s="77"/>
    </row>
    <row r="675" customFormat="false" ht="12.75" hidden="false" customHeight="false" outlineLevel="0" collapsed="false">
      <c r="AJ675" s="77"/>
      <c r="AK675" s="77"/>
      <c r="AL675" s="77"/>
      <c r="AM675" s="77"/>
      <c r="AN675" s="77"/>
    </row>
    <row r="676" customFormat="false" ht="12.75" hidden="false" customHeight="false" outlineLevel="0" collapsed="false">
      <c r="AJ676" s="77"/>
      <c r="AK676" s="77"/>
      <c r="AL676" s="77"/>
      <c r="AM676" s="77"/>
      <c r="AN676" s="77"/>
    </row>
    <row r="677" customFormat="false" ht="12.75" hidden="false" customHeight="false" outlineLevel="0" collapsed="false">
      <c r="AJ677" s="77"/>
      <c r="AK677" s="77"/>
      <c r="AL677" s="77"/>
      <c r="AM677" s="77"/>
      <c r="AN677" s="77"/>
    </row>
    <row r="678" customFormat="false" ht="12.75" hidden="false" customHeight="false" outlineLevel="0" collapsed="false">
      <c r="AJ678" s="77"/>
      <c r="AK678" s="77"/>
      <c r="AL678" s="77"/>
      <c r="AM678" s="77"/>
      <c r="AN678" s="77"/>
    </row>
    <row r="679" customFormat="false" ht="12.75" hidden="false" customHeight="false" outlineLevel="0" collapsed="false">
      <c r="AJ679" s="77"/>
      <c r="AK679" s="77"/>
      <c r="AL679" s="77"/>
      <c r="AM679" s="77"/>
      <c r="AN679" s="77"/>
    </row>
    <row r="680" customFormat="false" ht="12.75" hidden="false" customHeight="false" outlineLevel="0" collapsed="false">
      <c r="AJ680" s="77"/>
      <c r="AK680" s="77"/>
      <c r="AL680" s="77"/>
      <c r="AM680" s="77"/>
      <c r="AN680" s="77"/>
    </row>
    <row r="681" customFormat="false" ht="12.75" hidden="false" customHeight="false" outlineLevel="0" collapsed="false">
      <c r="AJ681" s="77"/>
      <c r="AK681" s="77"/>
      <c r="AL681" s="77"/>
      <c r="AM681" s="77"/>
      <c r="AN681" s="77"/>
    </row>
    <row r="682" customFormat="false" ht="12.75" hidden="false" customHeight="false" outlineLevel="0" collapsed="false">
      <c r="AJ682" s="77"/>
      <c r="AK682" s="77"/>
      <c r="AL682" s="77"/>
      <c r="AM682" s="77"/>
      <c r="AN682" s="77"/>
    </row>
    <row r="683" customFormat="false" ht="12.75" hidden="false" customHeight="false" outlineLevel="0" collapsed="false">
      <c r="AJ683" s="77"/>
      <c r="AK683" s="77"/>
      <c r="AL683" s="77"/>
      <c r="AM683" s="77"/>
      <c r="AN683" s="77"/>
    </row>
    <row r="684" customFormat="false" ht="12.75" hidden="false" customHeight="false" outlineLevel="0" collapsed="false">
      <c r="AJ684" s="77"/>
      <c r="AK684" s="77"/>
      <c r="AL684" s="77"/>
      <c r="AM684" s="77"/>
      <c r="AN684" s="77"/>
    </row>
    <row r="685" customFormat="false" ht="12.75" hidden="false" customHeight="false" outlineLevel="0" collapsed="false">
      <c r="AJ685" s="77"/>
      <c r="AK685" s="77"/>
      <c r="AL685" s="77"/>
      <c r="AM685" s="77"/>
      <c r="AN685" s="77"/>
    </row>
    <row r="686" customFormat="false" ht="12.75" hidden="false" customHeight="false" outlineLevel="0" collapsed="false">
      <c r="AJ686" s="77"/>
      <c r="AK686" s="77"/>
      <c r="AL686" s="77"/>
      <c r="AM686" s="77"/>
      <c r="AN686" s="77"/>
    </row>
    <row r="687" customFormat="false" ht="12.75" hidden="false" customHeight="false" outlineLevel="0" collapsed="false">
      <c r="AJ687" s="77"/>
      <c r="AK687" s="77"/>
      <c r="AL687" s="77"/>
      <c r="AM687" s="77"/>
      <c r="AN687" s="77"/>
    </row>
    <row r="688" customFormat="false" ht="12.75" hidden="false" customHeight="false" outlineLevel="0" collapsed="false">
      <c r="AJ688" s="77"/>
      <c r="AK688" s="77"/>
      <c r="AL688" s="77"/>
      <c r="AM688" s="77"/>
      <c r="AN688" s="77"/>
    </row>
    <row r="689" customFormat="false" ht="12.75" hidden="false" customHeight="false" outlineLevel="0" collapsed="false">
      <c r="AJ689" s="77"/>
      <c r="AK689" s="77"/>
      <c r="AL689" s="77"/>
      <c r="AM689" s="77"/>
      <c r="AN689" s="77"/>
    </row>
    <row r="690" customFormat="false" ht="12.75" hidden="false" customHeight="false" outlineLevel="0" collapsed="false">
      <c r="AJ690" s="77"/>
      <c r="AK690" s="77"/>
      <c r="AL690" s="77"/>
      <c r="AM690" s="77"/>
      <c r="AN690" s="77"/>
    </row>
    <row r="691" customFormat="false" ht="12.75" hidden="false" customHeight="false" outlineLevel="0" collapsed="false">
      <c r="AJ691" s="77"/>
      <c r="AK691" s="77"/>
      <c r="AL691" s="77"/>
      <c r="AM691" s="77"/>
      <c r="AN691" s="77"/>
    </row>
    <row r="692" customFormat="false" ht="12.75" hidden="false" customHeight="false" outlineLevel="0" collapsed="false">
      <c r="AJ692" s="77"/>
      <c r="AK692" s="77"/>
      <c r="AL692" s="77"/>
      <c r="AM692" s="77"/>
      <c r="AN692" s="77"/>
    </row>
    <row r="693" customFormat="false" ht="12.75" hidden="false" customHeight="false" outlineLevel="0" collapsed="false">
      <c r="AJ693" s="77"/>
      <c r="AK693" s="77"/>
      <c r="AL693" s="77"/>
      <c r="AM693" s="77"/>
      <c r="AN693" s="77"/>
    </row>
    <row r="694" customFormat="false" ht="12.75" hidden="false" customHeight="false" outlineLevel="0" collapsed="false">
      <c r="AJ694" s="77"/>
      <c r="AK694" s="77"/>
      <c r="AL694" s="77"/>
      <c r="AM694" s="77"/>
      <c r="AN694" s="77"/>
    </row>
    <row r="695" customFormat="false" ht="12.75" hidden="false" customHeight="false" outlineLevel="0" collapsed="false">
      <c r="AJ695" s="77"/>
      <c r="AK695" s="77"/>
      <c r="AL695" s="77"/>
      <c r="AM695" s="77"/>
      <c r="AN695" s="77"/>
    </row>
    <row r="696" customFormat="false" ht="12.75" hidden="false" customHeight="false" outlineLevel="0" collapsed="false">
      <c r="AJ696" s="77"/>
      <c r="AK696" s="77"/>
      <c r="AL696" s="77"/>
      <c r="AM696" s="77"/>
      <c r="AN696" s="77"/>
    </row>
    <row r="697" customFormat="false" ht="12.75" hidden="false" customHeight="false" outlineLevel="0" collapsed="false">
      <c r="AJ697" s="77"/>
      <c r="AK697" s="77"/>
      <c r="AL697" s="77"/>
      <c r="AM697" s="77"/>
      <c r="AN697" s="77"/>
    </row>
    <row r="698" customFormat="false" ht="12.75" hidden="false" customHeight="false" outlineLevel="0" collapsed="false">
      <c r="AJ698" s="77"/>
      <c r="AK698" s="77"/>
      <c r="AL698" s="77"/>
      <c r="AM698" s="77"/>
      <c r="AN698" s="77"/>
    </row>
    <row r="699" customFormat="false" ht="12.75" hidden="false" customHeight="false" outlineLevel="0" collapsed="false">
      <c r="AJ699" s="77"/>
      <c r="AK699" s="77"/>
      <c r="AL699" s="77"/>
      <c r="AM699" s="77"/>
      <c r="AN699" s="77"/>
    </row>
    <row r="700" customFormat="false" ht="12.75" hidden="false" customHeight="false" outlineLevel="0" collapsed="false">
      <c r="AJ700" s="77"/>
      <c r="AK700" s="77"/>
      <c r="AL700" s="77"/>
      <c r="AM700" s="77"/>
      <c r="AN700" s="77"/>
    </row>
    <row r="701" customFormat="false" ht="12.75" hidden="false" customHeight="false" outlineLevel="0" collapsed="false">
      <c r="AJ701" s="77"/>
      <c r="AK701" s="77"/>
      <c r="AL701" s="77"/>
      <c r="AM701" s="77"/>
      <c r="AN701" s="77"/>
    </row>
    <row r="702" customFormat="false" ht="12.75" hidden="false" customHeight="false" outlineLevel="0" collapsed="false">
      <c r="AJ702" s="77"/>
      <c r="AK702" s="77"/>
      <c r="AL702" s="77"/>
      <c r="AM702" s="77"/>
      <c r="AN702" s="77"/>
    </row>
    <row r="703" customFormat="false" ht="12.75" hidden="false" customHeight="false" outlineLevel="0" collapsed="false">
      <c r="AJ703" s="77"/>
      <c r="AK703" s="77"/>
      <c r="AL703" s="77"/>
      <c r="AM703" s="77"/>
      <c r="AN703" s="77"/>
    </row>
    <row r="704" customFormat="false" ht="12.75" hidden="false" customHeight="false" outlineLevel="0" collapsed="false">
      <c r="AJ704" s="77"/>
      <c r="AK704" s="77"/>
      <c r="AL704" s="77"/>
      <c r="AM704" s="77"/>
      <c r="AN704" s="77"/>
    </row>
    <row r="705" customFormat="false" ht="12.75" hidden="false" customHeight="false" outlineLevel="0" collapsed="false">
      <c r="AJ705" s="77"/>
      <c r="AK705" s="77"/>
      <c r="AL705" s="77"/>
      <c r="AM705" s="77"/>
      <c r="AN705" s="77"/>
    </row>
    <row r="706" customFormat="false" ht="12.75" hidden="false" customHeight="false" outlineLevel="0" collapsed="false">
      <c r="AJ706" s="77"/>
      <c r="AK706" s="77"/>
      <c r="AL706" s="77"/>
      <c r="AM706" s="77"/>
      <c r="AN706" s="77"/>
    </row>
    <row r="707" customFormat="false" ht="12.75" hidden="false" customHeight="false" outlineLevel="0" collapsed="false">
      <c r="AJ707" s="77"/>
      <c r="AK707" s="77"/>
      <c r="AL707" s="77"/>
      <c r="AM707" s="77"/>
      <c r="AN707" s="77"/>
    </row>
    <row r="708" customFormat="false" ht="12.75" hidden="false" customHeight="false" outlineLevel="0" collapsed="false">
      <c r="AJ708" s="77"/>
      <c r="AK708" s="77"/>
      <c r="AL708" s="77"/>
      <c r="AM708" s="77"/>
      <c r="AN708" s="77"/>
    </row>
    <row r="709" customFormat="false" ht="12.75" hidden="false" customHeight="false" outlineLevel="0" collapsed="false">
      <c r="AJ709" s="77"/>
      <c r="AK709" s="77"/>
      <c r="AL709" s="77"/>
      <c r="AM709" s="77"/>
      <c r="AN709" s="77"/>
    </row>
    <row r="710" customFormat="false" ht="12.75" hidden="false" customHeight="false" outlineLevel="0" collapsed="false">
      <c r="AJ710" s="77"/>
      <c r="AK710" s="77"/>
      <c r="AL710" s="77"/>
      <c r="AM710" s="77"/>
      <c r="AN710" s="77"/>
    </row>
    <row r="711" customFormat="false" ht="12.75" hidden="false" customHeight="false" outlineLevel="0" collapsed="false">
      <c r="AJ711" s="77"/>
      <c r="AK711" s="77"/>
      <c r="AL711" s="77"/>
      <c r="AM711" s="77"/>
      <c r="AN711" s="77"/>
    </row>
    <row r="712" customFormat="false" ht="12.75" hidden="false" customHeight="false" outlineLevel="0" collapsed="false">
      <c r="AJ712" s="77"/>
      <c r="AK712" s="77"/>
      <c r="AL712" s="77"/>
      <c r="AM712" s="77"/>
      <c r="AN712" s="77"/>
    </row>
    <row r="713" customFormat="false" ht="12.75" hidden="false" customHeight="false" outlineLevel="0" collapsed="false">
      <c r="AJ713" s="77"/>
      <c r="AK713" s="77"/>
      <c r="AL713" s="77"/>
      <c r="AM713" s="77"/>
      <c r="AN713" s="77"/>
    </row>
    <row r="714" customFormat="false" ht="12.75" hidden="false" customHeight="false" outlineLevel="0" collapsed="false">
      <c r="AJ714" s="77"/>
      <c r="AK714" s="77"/>
      <c r="AL714" s="77"/>
      <c r="AM714" s="77"/>
      <c r="AN714" s="77"/>
    </row>
    <row r="715" customFormat="false" ht="12.75" hidden="false" customHeight="false" outlineLevel="0" collapsed="false">
      <c r="AJ715" s="77"/>
      <c r="AK715" s="77"/>
      <c r="AL715" s="77"/>
      <c r="AM715" s="77"/>
      <c r="AN715" s="77"/>
    </row>
    <row r="716" customFormat="false" ht="12.75" hidden="false" customHeight="false" outlineLevel="0" collapsed="false">
      <c r="AJ716" s="77"/>
      <c r="AK716" s="77"/>
      <c r="AL716" s="77"/>
      <c r="AM716" s="77"/>
      <c r="AN716" s="77"/>
    </row>
    <row r="717" customFormat="false" ht="12.75" hidden="false" customHeight="false" outlineLevel="0" collapsed="false">
      <c r="AJ717" s="77"/>
      <c r="AK717" s="77"/>
      <c r="AL717" s="77"/>
      <c r="AM717" s="77"/>
      <c r="AN717" s="77"/>
    </row>
    <row r="718" customFormat="false" ht="12.75" hidden="false" customHeight="false" outlineLevel="0" collapsed="false">
      <c r="AJ718" s="77"/>
      <c r="AK718" s="77"/>
      <c r="AL718" s="77"/>
      <c r="AM718" s="77"/>
      <c r="AN718" s="77"/>
    </row>
    <row r="719" customFormat="false" ht="12.75" hidden="false" customHeight="false" outlineLevel="0" collapsed="false">
      <c r="AJ719" s="77"/>
      <c r="AK719" s="77"/>
      <c r="AL719" s="77"/>
      <c r="AM719" s="77"/>
      <c r="AN719" s="77"/>
    </row>
    <row r="720" customFormat="false" ht="12.75" hidden="false" customHeight="false" outlineLevel="0" collapsed="false">
      <c r="AJ720" s="77"/>
      <c r="AK720" s="77"/>
      <c r="AL720" s="77"/>
      <c r="AM720" s="77"/>
      <c r="AN720" s="77"/>
    </row>
    <row r="721" customFormat="false" ht="12.75" hidden="false" customHeight="false" outlineLevel="0" collapsed="false">
      <c r="AJ721" s="77"/>
      <c r="AK721" s="77"/>
      <c r="AL721" s="77"/>
      <c r="AM721" s="77"/>
      <c r="AN721" s="77"/>
    </row>
    <row r="722" customFormat="false" ht="12.75" hidden="false" customHeight="false" outlineLevel="0" collapsed="false">
      <c r="AJ722" s="77"/>
      <c r="AK722" s="77"/>
      <c r="AL722" s="77"/>
      <c r="AM722" s="77"/>
      <c r="AN722" s="77"/>
    </row>
  </sheetData>
  <printOptions headings="false" gridLines="false" gridLinesSet="true" horizontalCentered="false" verticalCentered="false"/>
  <pageMargins left="0.270138888888889" right="0.329861111111111" top="0.984027777777778" bottom="0.984027777777778" header="0.511811023622047" footer="0.511811023622047"/>
  <pageSetup paperSize="5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7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3" ySplit="16" topLeftCell="D17" activePane="bottomRight" state="frozen"/>
      <selection pane="topLeft" activeCell="A1" activeCellId="0" sqref="A1"/>
      <selection pane="topRight" activeCell="D1" activeCellId="0" sqref="D1"/>
      <selection pane="bottomLeft" activeCell="A17" activeCellId="0" sqref="A17"/>
      <selection pane="bottomRight" activeCell="D17" activeCellId="0" sqref="D17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231" width="10.71"/>
    <col collapsed="false" customWidth="true" hidden="false" outlineLevel="0" max="2" min="2" style="231" width="16.99"/>
    <col collapsed="false" customWidth="true" hidden="false" outlineLevel="0" max="3" min="3" style="232" width="9.7"/>
    <col collapsed="false" customWidth="true" hidden="false" outlineLevel="0" max="10" min="4" style="232" width="14.14"/>
    <col collapsed="false" customWidth="true" hidden="false" outlineLevel="0" max="11" min="11" style="233" width="14.14"/>
    <col collapsed="false" customWidth="true" hidden="false" outlineLevel="0" max="18" min="12" style="232" width="14.14"/>
    <col collapsed="false" customWidth="true" hidden="false" outlineLevel="0" max="50" min="19" style="233" width="14.14"/>
    <col collapsed="false" customWidth="false" hidden="false" outlineLevel="0" max="257" min="51" style="233" width="9.14"/>
  </cols>
  <sheetData>
    <row r="1" customFormat="false" ht="11.25" hidden="false" customHeight="false" outlineLevel="0" collapsed="false">
      <c r="A1" s="233" t="s">
        <v>169</v>
      </c>
      <c r="B1" s="233"/>
      <c r="C1" s="234" t="s">
        <v>170</v>
      </c>
      <c r="D1" s="235" t="s">
        <v>171</v>
      </c>
    </row>
    <row r="2" customFormat="false" ht="11.25" hidden="false" customHeight="false" outlineLevel="0" collapsed="false">
      <c r="A2" s="233" t="s">
        <v>172</v>
      </c>
      <c r="B2" s="233"/>
      <c r="C2" s="234" t="s">
        <v>170</v>
      </c>
      <c r="D2" s="235" t="s">
        <v>173</v>
      </c>
    </row>
    <row r="3" customFormat="false" ht="11.25" hidden="false" customHeight="false" outlineLevel="0" collapsed="false">
      <c r="A3" s="233" t="s">
        <v>174</v>
      </c>
      <c r="B3" s="233"/>
      <c r="C3" s="234" t="s">
        <v>175</v>
      </c>
      <c r="D3" s="235" t="s">
        <v>176</v>
      </c>
      <c r="BU3" s="232"/>
    </row>
    <row r="4" customFormat="false" ht="11.25" hidden="false" customHeight="false" outlineLevel="0" collapsed="false">
      <c r="A4" s="233"/>
      <c r="B4" s="233"/>
      <c r="C4" s="234"/>
      <c r="D4" s="235"/>
      <c r="K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  <c r="BF4" s="232"/>
      <c r="BG4" s="232"/>
      <c r="BH4" s="232"/>
      <c r="BI4" s="232"/>
      <c r="BJ4" s="232"/>
      <c r="BK4" s="232"/>
      <c r="BL4" s="232"/>
      <c r="BM4" s="232"/>
      <c r="BN4" s="232"/>
      <c r="BO4" s="232"/>
      <c r="BP4" s="232"/>
      <c r="BQ4" s="232"/>
      <c r="BR4" s="232"/>
      <c r="BS4" s="232"/>
      <c r="BT4" s="232"/>
      <c r="BU4" s="232"/>
    </row>
    <row r="5" customFormat="false" ht="11.25" hidden="false" customHeight="false" outlineLevel="0" collapsed="false">
      <c r="A5" s="235"/>
      <c r="B5" s="235"/>
    </row>
    <row r="6" customFormat="false" ht="12" hidden="false" customHeight="false" outlineLevel="0" collapsed="false">
      <c r="A6" s="236" t="n">
        <v>37025</v>
      </c>
      <c r="B6" s="237"/>
      <c r="D6" s="235" t="str">
        <f aca="false">IF(D18="",1," ")</f>
        <v> </v>
      </c>
      <c r="E6" s="235" t="str">
        <f aca="false">IF(E18="",1," ")</f>
        <v> </v>
      </c>
      <c r="F6" s="235" t="str">
        <f aca="false">IF(F18="",1," ")</f>
        <v> </v>
      </c>
      <c r="G6" s="235" t="str">
        <f aca="false">IF(G18="",1," ")</f>
        <v> </v>
      </c>
      <c r="H6" s="235" t="str">
        <f aca="false">IF(H18="",1," ")</f>
        <v> </v>
      </c>
      <c r="I6" s="235" t="str">
        <f aca="false">IF(I18="",1," ")</f>
        <v> </v>
      </c>
      <c r="J6" s="235"/>
      <c r="L6" s="235" t="str">
        <f aca="false">IF(L18="",1," ")</f>
        <v> </v>
      </c>
      <c r="M6" s="235" t="str">
        <f aca="false">IF(M18="",1," ")</f>
        <v> </v>
      </c>
      <c r="N6" s="235"/>
      <c r="O6" s="235"/>
      <c r="P6" s="235"/>
      <c r="Q6" s="235" t="str">
        <f aca="false">IF(Q18="",1," ")</f>
        <v> </v>
      </c>
      <c r="R6" s="235"/>
      <c r="S6" s="235" t="str">
        <f aca="false">IF(S18="",1," ")</f>
        <v> </v>
      </c>
      <c r="T6" s="235"/>
      <c r="U6" s="235"/>
      <c r="V6" s="235"/>
      <c r="W6" s="235" t="str">
        <f aca="false">IF(W18="",1," ")</f>
        <v> </v>
      </c>
      <c r="X6" s="235"/>
      <c r="Y6" s="233" t="n">
        <f aca="false">SUM(D6:W6)</f>
        <v>0</v>
      </c>
      <c r="AT6" s="238" t="n">
        <f aca="false">[10]Sheet1!$Y$194</f>
        <v>1.055056</v>
      </c>
    </row>
    <row r="7" customFormat="false" ht="11.25" hidden="false" customHeight="false" outlineLevel="0" collapsed="false">
      <c r="A7" s="233"/>
      <c r="B7" s="233"/>
      <c r="C7" s="234"/>
      <c r="D7" s="239"/>
    </row>
    <row r="8" customFormat="false" ht="11.25" hidden="false" customHeight="false" outlineLevel="0" collapsed="false">
      <c r="A8" s="233"/>
      <c r="B8" s="233"/>
      <c r="C8" s="231"/>
      <c r="D8" s="240" t="s">
        <v>138</v>
      </c>
      <c r="E8" s="240" t="str">
        <f aca="false">CONCATENATE(E13,"-",E15)</f>
        <v>NG-P</v>
      </c>
      <c r="F8" s="240" t="str">
        <f aca="false">CONCATENATE(F13,"-",F14)</f>
        <v>NG-VO</v>
      </c>
      <c r="G8" s="240" t="str">
        <f aca="false">CONCATENATE(G13,"-",G15)</f>
        <v>IF-ANR/OK-P</v>
      </c>
      <c r="H8" s="240" t="str">
        <f aca="false">CONCATENATE(H13,"-",H15)</f>
        <v>IF-CGT/APPALAC-P</v>
      </c>
      <c r="I8" s="240" t="str">
        <f aca="false">CONCATENATE(I13,"-",I15)</f>
        <v>MICH/CONS-P</v>
      </c>
      <c r="J8" s="240" t="str">
        <f aca="false">CONCATENATE(J13,"-",J15)</f>
        <v>IF-PAN/TX/OK-P</v>
      </c>
      <c r="K8" s="240" t="str">
        <f aca="false">CONCATENATE(K13,"-",K15)</f>
        <v>CGPR-DAWN-P</v>
      </c>
      <c r="L8" s="240" t="str">
        <f aca="false">CONCATENATE(L13,"-",L15)</f>
        <v>NG_OMICRON_1-P</v>
      </c>
      <c r="M8" s="240" t="str">
        <f aca="false">CONCATENATE(M13,"-",M15)</f>
        <v>NG_OMICRON_3-P</v>
      </c>
      <c r="N8" s="240" t="str">
        <f aca="false">CONCATENATE(N13,"-",N15)</f>
        <v>NG_OMICRON_11-P</v>
      </c>
      <c r="O8" s="240" t="str">
        <f aca="false">CONCATENATE(O13,"-",O15)</f>
        <v>NG_OMICRON_9-P</v>
      </c>
      <c r="P8" s="240" t="str">
        <f aca="false">CONCATENATE(P13,"-",P15)</f>
        <v>NG_OMICRON_7-P</v>
      </c>
      <c r="Q8" s="240" t="str">
        <f aca="false">CONCATENATE(Q13,"-",Q15)</f>
        <v>ML7/CG-D</v>
      </c>
      <c r="R8" s="240" t="str">
        <f aca="false">CONCATENATE(R13,"-",R15)</f>
        <v>ML7/CG-I</v>
      </c>
      <c r="S8" s="240" t="str">
        <f aca="false">CONCATENATE(S13,"-",S15)</f>
        <v>IF-ANR/LA-D</v>
      </c>
      <c r="T8" s="240" t="str">
        <f aca="false">CONCATENATE(T13,"-",T15)</f>
        <v>IF-ANR/LA-I</v>
      </c>
      <c r="U8" s="240" t="str">
        <f aca="false">CONCATENATE(U13,"-",U15)</f>
        <v>IF-ANR/OK-D</v>
      </c>
      <c r="V8" s="240" t="str">
        <f aca="false">CONCATENATE(V13,"-",V15)</f>
        <v>IF-ANR/OK-I</v>
      </c>
      <c r="W8" s="240" t="str">
        <f aca="false">CONCATENATE(W13,"-",W15)</f>
        <v>IF-PAN/TX/OK-D</v>
      </c>
      <c r="X8" s="240" t="str">
        <f aca="false">CONCATENATE(X13,"-",X15)</f>
        <v>IF-PAN/TX/OK-I</v>
      </c>
      <c r="Y8" s="240" t="str">
        <f aca="false">CONCATENATE(Y13,"-",Y15)</f>
        <v>NGI-MICH_CG-D</v>
      </c>
      <c r="Z8" s="240" t="str">
        <f aca="false">CONCATENATE(Z13,"-",Z15)</f>
        <v>NGI-MICH_CG-I</v>
      </c>
      <c r="AA8" s="240" t="str">
        <f aca="false">CONCATENATE(AA13,"-",AA15)</f>
        <v>NGI-MICH_CG-D</v>
      </c>
      <c r="AB8" s="240" t="str">
        <f aca="false">CONCATENATE(AB13,"-",AB15)</f>
        <v>NGI-MICH_CG-I</v>
      </c>
      <c r="AC8" s="240" t="str">
        <f aca="false">CONCATENATE(AC13,"-",AC15)</f>
        <v>IF-CGT/APPALAC-D</v>
      </c>
      <c r="AD8" s="240" t="str">
        <f aca="false">CONCATENATE(AD13,"-",AD15)</f>
        <v>IF-CGT/APPALAC-I</v>
      </c>
      <c r="AE8" s="240" t="str">
        <f aca="false">CONCATENATE(AE13,"-",AE15)</f>
        <v>NGI/CHI. GATE-D</v>
      </c>
      <c r="AF8" s="240" t="str">
        <f aca="false">CONCATENATE(AF13,"-",AF15)</f>
        <v>NGI/CHI. GATE-I</v>
      </c>
      <c r="AG8" s="240" t="str">
        <f aca="false">CONCATENATE(AG13,"-",AG15)</f>
        <v>CGPR-CHIPPAWA-D</v>
      </c>
      <c r="AH8" s="240" t="str">
        <f aca="false">CONCATENATE(AH13,"-",AH15)</f>
        <v>CGPR-CHIPPAWA-I</v>
      </c>
      <c r="AI8" s="240" t="str">
        <f aca="false">CONCATENATE(AI13,"-",AI15)</f>
        <v>CGPR-DAWN-D</v>
      </c>
      <c r="AJ8" s="240" t="str">
        <f aca="false">CONCATENATE(AJ13,"-",AJ15)</f>
        <v>CGPR-DAWN-I</v>
      </c>
      <c r="AK8" s="240" t="str">
        <f aca="false">CONCATENATE(AK13,"-",AK15)</f>
        <v>CGPR-AECO/BASIS-D</v>
      </c>
      <c r="AL8" s="240" t="str">
        <f aca="false">CONCATENATE(AL13,"-",AL15)</f>
        <v>CGPR-AECO/BASIS-I</v>
      </c>
      <c r="AM8" s="240" t="str">
        <f aca="false">CONCATENATE(AM13,"-",AM15)</f>
        <v>TRANS:AECO/EMP-D</v>
      </c>
      <c r="AN8" s="240" t="str">
        <f aca="false">CONCATENATE(AN13,"-",AN15)</f>
        <v>CAD/USD-F</v>
      </c>
      <c r="AO8" s="240" t="str">
        <f aca="false">CONCATENATE(AO13,"-",AO15)</f>
        <v>CGPR-DAWN-P</v>
      </c>
      <c r="AP8" s="240" t="str">
        <f aca="false">CONCATENATE(AP13,"-",AP15)</f>
        <v>CGPR-ST.CLAIR-D</v>
      </c>
      <c r="AQ8" s="240" t="str">
        <f aca="false">CONCATENATE(AQ13,"-",AQ15)</f>
        <v>CGPR-OJIBWAY-D</v>
      </c>
      <c r="AU8" s="240" t="s">
        <v>77</v>
      </c>
      <c r="AV8" s="241" t="s">
        <v>177</v>
      </c>
      <c r="AW8" s="233" t="s">
        <v>178</v>
      </c>
    </row>
    <row r="9" customFormat="false" ht="11.25" hidden="false" customHeight="false" outlineLevel="0" collapsed="false">
      <c r="A9" s="233"/>
      <c r="B9" s="233"/>
      <c r="C9" s="231"/>
      <c r="S9" s="232"/>
      <c r="T9" s="232"/>
      <c r="U9" s="232"/>
      <c r="V9" s="232"/>
      <c r="W9" s="232"/>
      <c r="X9" s="232"/>
      <c r="Y9" s="232"/>
      <c r="Z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</row>
    <row r="10" customFormat="false" ht="11.25" hidden="false" customHeight="false" outlineLevel="0" collapsed="false">
      <c r="A10" s="232"/>
      <c r="B10" s="232"/>
      <c r="C10" s="232" t="n">
        <v>1</v>
      </c>
      <c r="D10" s="232" t="n">
        <v>2</v>
      </c>
      <c r="E10" s="232" t="n">
        <v>3</v>
      </c>
      <c r="F10" s="232" t="n">
        <v>4</v>
      </c>
      <c r="G10" s="232" t="n">
        <v>5</v>
      </c>
      <c r="H10" s="232" t="n">
        <v>6</v>
      </c>
      <c r="I10" s="232" t="n">
        <v>7</v>
      </c>
      <c r="J10" s="232" t="n">
        <v>8</v>
      </c>
      <c r="K10" s="232" t="n">
        <v>9</v>
      </c>
      <c r="L10" s="232" t="n">
        <v>10</v>
      </c>
      <c r="M10" s="232" t="n">
        <v>11</v>
      </c>
      <c r="N10" s="232" t="n">
        <v>12</v>
      </c>
      <c r="O10" s="232" t="n">
        <v>13</v>
      </c>
      <c r="P10" s="232" t="n">
        <v>14</v>
      </c>
      <c r="Q10" s="232" t="n">
        <v>15</v>
      </c>
      <c r="R10" s="232" t="n">
        <v>16</v>
      </c>
      <c r="S10" s="232" t="n">
        <v>17</v>
      </c>
      <c r="T10" s="232" t="n">
        <v>18</v>
      </c>
      <c r="U10" s="232" t="n">
        <v>19</v>
      </c>
      <c r="V10" s="232" t="n">
        <v>20</v>
      </c>
      <c r="W10" s="232" t="n">
        <v>21</v>
      </c>
      <c r="X10" s="232" t="n">
        <v>22</v>
      </c>
      <c r="Y10" s="232" t="n">
        <v>23</v>
      </c>
      <c r="Z10" s="232" t="n">
        <v>24</v>
      </c>
      <c r="AA10" s="232" t="n">
        <v>25</v>
      </c>
      <c r="AB10" s="232" t="n">
        <v>26</v>
      </c>
      <c r="AC10" s="232" t="n">
        <v>27</v>
      </c>
      <c r="AD10" s="232" t="n">
        <v>28</v>
      </c>
      <c r="AE10" s="232" t="n">
        <v>29</v>
      </c>
      <c r="AF10" s="232" t="n">
        <v>30</v>
      </c>
      <c r="AG10" s="232" t="n">
        <v>31</v>
      </c>
      <c r="AH10" s="232" t="n">
        <v>32</v>
      </c>
      <c r="AI10" s="232" t="n">
        <v>33</v>
      </c>
      <c r="AJ10" s="232" t="n">
        <v>34</v>
      </c>
      <c r="AK10" s="232" t="n">
        <v>35</v>
      </c>
      <c r="AL10" s="232" t="n">
        <v>36</v>
      </c>
      <c r="AM10" s="232" t="n">
        <v>37</v>
      </c>
      <c r="AN10" s="232" t="n">
        <v>38</v>
      </c>
      <c r="AO10" s="232" t="n">
        <v>39</v>
      </c>
      <c r="AP10" s="232" t="n">
        <v>40</v>
      </c>
      <c r="AQ10" s="232" t="n">
        <v>41</v>
      </c>
      <c r="AR10" s="232"/>
      <c r="AS10" s="232"/>
      <c r="AT10" s="232"/>
      <c r="AU10" s="232"/>
      <c r="AV10" s="232" t="n">
        <v>42</v>
      </c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2"/>
      <c r="BN10" s="232"/>
      <c r="BO10" s="232"/>
      <c r="BP10" s="232"/>
      <c r="BQ10" s="232"/>
      <c r="BR10" s="232"/>
      <c r="BS10" s="232"/>
      <c r="BT10" s="232"/>
      <c r="BU10" s="232"/>
      <c r="BV10" s="232"/>
      <c r="BW10" s="232"/>
      <c r="BX10" s="232"/>
      <c r="BY10" s="232"/>
      <c r="BZ10" s="232"/>
      <c r="CA10" s="232"/>
      <c r="CB10" s="232"/>
      <c r="CC10" s="232"/>
      <c r="CD10" s="232"/>
      <c r="CE10" s="232"/>
      <c r="CF10" s="232"/>
      <c r="CG10" s="232"/>
      <c r="CH10" s="232"/>
      <c r="CI10" s="232"/>
      <c r="CJ10" s="232"/>
      <c r="CK10" s="232"/>
      <c r="CL10" s="232"/>
      <c r="CM10" s="232"/>
      <c r="CN10" s="232"/>
      <c r="CO10" s="232"/>
      <c r="CP10" s="232"/>
      <c r="CQ10" s="232"/>
      <c r="CR10" s="232"/>
      <c r="CS10" s="232"/>
      <c r="CT10" s="232"/>
      <c r="CU10" s="232"/>
      <c r="CV10" s="232"/>
      <c r="CW10" s="232"/>
      <c r="CX10" s="232"/>
      <c r="CY10" s="232"/>
      <c r="CZ10" s="232"/>
      <c r="DA10" s="232"/>
      <c r="DB10" s="232"/>
      <c r="DC10" s="232"/>
      <c r="DD10" s="232"/>
      <c r="DE10" s="232"/>
      <c r="DF10" s="232"/>
      <c r="DG10" s="232"/>
      <c r="DH10" s="232"/>
      <c r="DI10" s="232"/>
      <c r="DJ10" s="232"/>
      <c r="DK10" s="232"/>
      <c r="DL10" s="232"/>
      <c r="DM10" s="232"/>
      <c r="DN10" s="232"/>
      <c r="DO10" s="232"/>
      <c r="DP10" s="232"/>
      <c r="DQ10" s="232"/>
      <c r="DR10" s="232"/>
      <c r="DS10" s="232"/>
      <c r="DT10" s="232"/>
      <c r="DU10" s="232"/>
      <c r="DV10" s="232"/>
      <c r="DW10" s="232"/>
      <c r="DX10" s="232"/>
      <c r="DY10" s="232"/>
      <c r="DZ10" s="232"/>
      <c r="EA10" s="232"/>
      <c r="EB10" s="232"/>
      <c r="EC10" s="232"/>
      <c r="ED10" s="232"/>
      <c r="EE10" s="232"/>
      <c r="EF10" s="232"/>
      <c r="EG10" s="232"/>
      <c r="EH10" s="232"/>
      <c r="EI10" s="232"/>
      <c r="EJ10" s="232"/>
      <c r="EK10" s="232"/>
      <c r="EL10" s="232"/>
      <c r="EM10" s="232"/>
      <c r="EN10" s="232"/>
      <c r="EO10" s="232"/>
      <c r="EP10" s="232"/>
      <c r="EQ10" s="232"/>
      <c r="ER10" s="232"/>
      <c r="ES10" s="232"/>
      <c r="ET10" s="232"/>
      <c r="EU10" s="232"/>
      <c r="EV10" s="232"/>
      <c r="EW10" s="232"/>
      <c r="EX10" s="232"/>
      <c r="EY10" s="232"/>
      <c r="EZ10" s="232"/>
      <c r="FA10" s="232"/>
      <c r="FB10" s="232"/>
      <c r="FC10" s="232"/>
      <c r="FD10" s="232"/>
      <c r="FE10" s="232"/>
      <c r="FF10" s="232"/>
      <c r="FG10" s="232"/>
      <c r="FH10" s="232"/>
      <c r="FI10" s="232"/>
      <c r="FJ10" s="232"/>
      <c r="FK10" s="232"/>
      <c r="FL10" s="232"/>
      <c r="FM10" s="232"/>
      <c r="FN10" s="232"/>
      <c r="FO10" s="232"/>
      <c r="FP10" s="232"/>
      <c r="FQ10" s="232"/>
      <c r="FR10" s="232"/>
      <c r="FS10" s="232"/>
      <c r="FT10" s="232"/>
      <c r="FU10" s="232"/>
      <c r="FV10" s="232"/>
      <c r="FW10" s="232"/>
      <c r="FX10" s="232"/>
      <c r="FY10" s="232"/>
      <c r="FZ10" s="232"/>
      <c r="GA10" s="232"/>
      <c r="GB10" s="232"/>
      <c r="GC10" s="232"/>
      <c r="GD10" s="232"/>
      <c r="GE10" s="232"/>
      <c r="GF10" s="232"/>
      <c r="GG10" s="232"/>
      <c r="GH10" s="232"/>
      <c r="GI10" s="232"/>
      <c r="GJ10" s="232"/>
      <c r="GK10" s="232"/>
      <c r="GL10" s="232"/>
      <c r="GM10" s="232"/>
      <c r="GN10" s="232"/>
      <c r="GO10" s="232"/>
      <c r="GP10" s="232"/>
      <c r="GQ10" s="232"/>
      <c r="GR10" s="232"/>
      <c r="GS10" s="232"/>
      <c r="GT10" s="232"/>
      <c r="GU10" s="232"/>
      <c r="GV10" s="232"/>
      <c r="GW10" s="232"/>
      <c r="GX10" s="232"/>
      <c r="GY10" s="232"/>
      <c r="GZ10" s="232"/>
      <c r="HA10" s="232"/>
      <c r="HB10" s="232"/>
      <c r="HC10" s="232"/>
      <c r="HD10" s="232"/>
      <c r="HE10" s="232"/>
      <c r="HF10" s="232"/>
      <c r="HG10" s="232"/>
      <c r="HH10" s="232"/>
      <c r="HI10" s="232"/>
      <c r="HJ10" s="232"/>
      <c r="HK10" s="232"/>
      <c r="HL10" s="232"/>
      <c r="HM10" s="232"/>
      <c r="HN10" s="232"/>
      <c r="HO10" s="232"/>
      <c r="HP10" s="232"/>
      <c r="HQ10" s="232"/>
      <c r="HR10" s="232"/>
      <c r="HS10" s="232"/>
      <c r="HT10" s="232"/>
      <c r="HU10" s="232"/>
      <c r="HV10" s="232"/>
      <c r="HW10" s="232"/>
      <c r="HX10" s="232"/>
      <c r="HY10" s="232"/>
      <c r="HZ10" s="232"/>
      <c r="IA10" s="232"/>
      <c r="IB10" s="232"/>
      <c r="IC10" s="232"/>
      <c r="ID10" s="232"/>
      <c r="IE10" s="232"/>
      <c r="IF10" s="232"/>
      <c r="IG10" s="232"/>
      <c r="IH10" s="232"/>
      <c r="II10" s="232"/>
      <c r="IJ10" s="232"/>
      <c r="IK10" s="232"/>
      <c r="IL10" s="232"/>
      <c r="IM10" s="232"/>
      <c r="IN10" s="232"/>
      <c r="IO10" s="232"/>
      <c r="IP10" s="232"/>
      <c r="IQ10" s="232"/>
      <c r="IR10" s="232"/>
      <c r="IS10" s="232"/>
      <c r="IT10" s="232"/>
      <c r="IU10" s="232"/>
      <c r="IV10" s="232"/>
      <c r="IW10" s="232"/>
    </row>
    <row r="11" customFormat="false" ht="11.25" hidden="false" customHeight="false" outlineLevel="0" collapsed="false">
      <c r="A11" s="232"/>
      <c r="B11" s="232"/>
      <c r="C11" s="234" t="s">
        <v>179</v>
      </c>
      <c r="D11" s="242" t="n">
        <f aca="false">today</f>
        <v>37025</v>
      </c>
      <c r="E11" s="242" t="n">
        <f aca="false">today</f>
        <v>37025</v>
      </c>
      <c r="F11" s="242" t="n">
        <f aca="false">today</f>
        <v>37025</v>
      </c>
      <c r="G11" s="242" t="n">
        <f aca="false">today</f>
        <v>37025</v>
      </c>
      <c r="H11" s="242" t="n">
        <f aca="false">today</f>
        <v>37025</v>
      </c>
      <c r="I11" s="242" t="n">
        <f aca="false">today</f>
        <v>37025</v>
      </c>
      <c r="J11" s="242" t="n">
        <f aca="false">today</f>
        <v>37025</v>
      </c>
      <c r="K11" s="242" t="n">
        <f aca="false">today</f>
        <v>37025</v>
      </c>
      <c r="L11" s="242" t="n">
        <f aca="false">today</f>
        <v>37025</v>
      </c>
      <c r="M11" s="242" t="n">
        <f aca="false">today</f>
        <v>37025</v>
      </c>
      <c r="N11" s="242" t="n">
        <f aca="false">today</f>
        <v>37025</v>
      </c>
      <c r="O11" s="242" t="n">
        <f aca="false">today</f>
        <v>37025</v>
      </c>
      <c r="P11" s="242" t="n">
        <f aca="false">today</f>
        <v>37025</v>
      </c>
      <c r="Q11" s="242" t="n">
        <f aca="false">today</f>
        <v>37025</v>
      </c>
      <c r="R11" s="242" t="n">
        <f aca="false">today</f>
        <v>37025</v>
      </c>
      <c r="S11" s="242" t="n">
        <f aca="false">today</f>
        <v>37025</v>
      </c>
      <c r="T11" s="242" t="n">
        <f aca="false">today</f>
        <v>37025</v>
      </c>
      <c r="U11" s="242" t="n">
        <f aca="false">today</f>
        <v>37025</v>
      </c>
      <c r="V11" s="242" t="n">
        <f aca="false">today</f>
        <v>37025</v>
      </c>
      <c r="W11" s="242" t="n">
        <f aca="false">today</f>
        <v>37025</v>
      </c>
      <c r="X11" s="242" t="n">
        <f aca="false">today</f>
        <v>37025</v>
      </c>
      <c r="Y11" s="242" t="n">
        <f aca="false">today</f>
        <v>37025</v>
      </c>
      <c r="Z11" s="242" t="n">
        <f aca="false">today</f>
        <v>37025</v>
      </c>
      <c r="AA11" s="242" t="n">
        <f aca="false">today</f>
        <v>37025</v>
      </c>
      <c r="AB11" s="242" t="n">
        <f aca="false">today</f>
        <v>37025</v>
      </c>
      <c r="AC11" s="242" t="n">
        <f aca="false">today</f>
        <v>37025</v>
      </c>
      <c r="AD11" s="242" t="n">
        <f aca="false">today</f>
        <v>37025</v>
      </c>
      <c r="AE11" s="242" t="n">
        <f aca="false">today</f>
        <v>37025</v>
      </c>
      <c r="AF11" s="242" t="n">
        <f aca="false">today</f>
        <v>37025</v>
      </c>
      <c r="AG11" s="242" t="n">
        <f aca="false">today</f>
        <v>37025</v>
      </c>
      <c r="AH11" s="242" t="n">
        <f aca="false">today</f>
        <v>37025</v>
      </c>
      <c r="AI11" s="242" t="n">
        <f aca="false">today</f>
        <v>37025</v>
      </c>
      <c r="AJ11" s="242" t="n">
        <f aca="false">today</f>
        <v>37025</v>
      </c>
      <c r="AK11" s="242" t="n">
        <f aca="false">today</f>
        <v>37025</v>
      </c>
      <c r="AL11" s="242" t="n">
        <f aca="false">today</f>
        <v>37025</v>
      </c>
      <c r="AM11" s="242" t="n">
        <f aca="false">today</f>
        <v>37025</v>
      </c>
      <c r="AN11" s="242" t="n">
        <f aca="false">today</f>
        <v>37025</v>
      </c>
      <c r="AO11" s="242" t="n">
        <f aca="false">today</f>
        <v>37025</v>
      </c>
      <c r="AP11" s="242" t="n">
        <f aca="false">today</f>
        <v>37025</v>
      </c>
      <c r="AQ11" s="242" t="n">
        <f aca="false">today</f>
        <v>37025</v>
      </c>
      <c r="AR11" s="232"/>
      <c r="AS11" s="232"/>
      <c r="AT11" s="232"/>
      <c r="AU11" s="232"/>
      <c r="AV11" s="242" t="n">
        <f aca="false">today</f>
        <v>37025</v>
      </c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232"/>
      <c r="BN11" s="232"/>
      <c r="BO11" s="232"/>
      <c r="BP11" s="232"/>
      <c r="BQ11" s="232"/>
      <c r="BR11" s="232"/>
      <c r="BS11" s="232"/>
      <c r="BT11" s="232"/>
      <c r="BU11" s="232"/>
      <c r="BV11" s="232"/>
      <c r="BW11" s="232"/>
      <c r="BX11" s="232"/>
      <c r="BY11" s="232"/>
      <c r="BZ11" s="232"/>
      <c r="CA11" s="232"/>
      <c r="CB11" s="232"/>
      <c r="CC11" s="232"/>
      <c r="CD11" s="232"/>
      <c r="CE11" s="232"/>
      <c r="CF11" s="232"/>
      <c r="CG11" s="232"/>
      <c r="CH11" s="232"/>
      <c r="CI11" s="232"/>
      <c r="CJ11" s="232"/>
      <c r="CK11" s="232"/>
      <c r="CL11" s="232"/>
      <c r="CM11" s="232"/>
      <c r="CN11" s="232"/>
      <c r="CO11" s="232"/>
      <c r="CP11" s="232"/>
      <c r="CQ11" s="232"/>
      <c r="CR11" s="232"/>
      <c r="CS11" s="232"/>
      <c r="CT11" s="232"/>
      <c r="CU11" s="232"/>
      <c r="CV11" s="232"/>
      <c r="CW11" s="232"/>
      <c r="CX11" s="232"/>
      <c r="CY11" s="232"/>
      <c r="CZ11" s="232"/>
      <c r="DA11" s="232"/>
      <c r="DB11" s="232"/>
      <c r="DC11" s="232"/>
      <c r="DD11" s="232"/>
      <c r="DE11" s="232"/>
      <c r="DF11" s="232"/>
      <c r="DG11" s="232"/>
      <c r="DH11" s="232"/>
      <c r="DI11" s="232"/>
      <c r="DJ11" s="232"/>
      <c r="DK11" s="232"/>
      <c r="DL11" s="232"/>
      <c r="DM11" s="232"/>
      <c r="DN11" s="232"/>
      <c r="DO11" s="232"/>
      <c r="DP11" s="232"/>
      <c r="DQ11" s="232"/>
      <c r="DR11" s="232"/>
      <c r="DS11" s="232"/>
      <c r="DT11" s="232"/>
      <c r="DU11" s="232"/>
      <c r="DV11" s="232"/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2"/>
      <c r="EL11" s="232"/>
      <c r="EM11" s="232"/>
      <c r="EN11" s="232"/>
      <c r="EO11" s="232"/>
      <c r="EP11" s="232"/>
      <c r="EQ11" s="232"/>
      <c r="ER11" s="232"/>
      <c r="ES11" s="232"/>
      <c r="ET11" s="232"/>
      <c r="EU11" s="232"/>
      <c r="EV11" s="232"/>
      <c r="EW11" s="232"/>
      <c r="EX11" s="232"/>
      <c r="EY11" s="232"/>
      <c r="EZ11" s="232"/>
      <c r="FA11" s="232"/>
      <c r="FB11" s="232"/>
      <c r="FC11" s="232"/>
      <c r="FD11" s="232"/>
      <c r="FE11" s="232"/>
      <c r="FF11" s="232"/>
      <c r="FG11" s="232"/>
      <c r="FH11" s="232"/>
      <c r="FI11" s="232"/>
      <c r="FJ11" s="232"/>
      <c r="FK11" s="232"/>
      <c r="FL11" s="232"/>
      <c r="FM11" s="232"/>
      <c r="FN11" s="232"/>
      <c r="FO11" s="232"/>
      <c r="FP11" s="232"/>
      <c r="FQ11" s="232"/>
      <c r="FR11" s="232"/>
      <c r="FS11" s="232"/>
      <c r="FT11" s="232"/>
      <c r="FU11" s="232"/>
      <c r="FV11" s="232"/>
      <c r="FW11" s="232"/>
      <c r="FX11" s="232"/>
      <c r="FY11" s="232"/>
      <c r="FZ11" s="232"/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2"/>
      <c r="GP11" s="232"/>
      <c r="GQ11" s="232"/>
      <c r="GR11" s="232"/>
      <c r="GS11" s="232"/>
      <c r="GT11" s="232"/>
      <c r="GU11" s="232"/>
      <c r="GV11" s="232"/>
      <c r="GW11" s="232"/>
      <c r="GX11" s="232"/>
      <c r="GY11" s="232"/>
      <c r="GZ11" s="232"/>
      <c r="HA11" s="232"/>
      <c r="HB11" s="232"/>
      <c r="HC11" s="232"/>
      <c r="HD11" s="232"/>
      <c r="HE11" s="232"/>
      <c r="HF11" s="232"/>
      <c r="HG11" s="232"/>
      <c r="HH11" s="232"/>
      <c r="HI11" s="232"/>
      <c r="HJ11" s="232"/>
      <c r="HK11" s="232"/>
      <c r="HL11" s="232"/>
      <c r="HM11" s="232"/>
      <c r="HN11" s="232"/>
      <c r="HO11" s="232"/>
      <c r="HP11" s="232"/>
      <c r="HQ11" s="232"/>
      <c r="HR11" s="232"/>
      <c r="HS11" s="232"/>
      <c r="HT11" s="232"/>
      <c r="HU11" s="232"/>
      <c r="HV11" s="232"/>
      <c r="HW11" s="232"/>
      <c r="HX11" s="232"/>
      <c r="HY11" s="232"/>
      <c r="HZ11" s="232"/>
      <c r="IA11" s="232"/>
      <c r="IB11" s="232"/>
      <c r="IC11" s="232"/>
      <c r="ID11" s="232"/>
      <c r="IE11" s="232"/>
      <c r="IF11" s="232"/>
      <c r="IG11" s="232"/>
      <c r="IH11" s="232"/>
      <c r="II11" s="232"/>
      <c r="IJ11" s="232"/>
      <c r="IK11" s="232"/>
      <c r="IL11" s="232"/>
      <c r="IM11" s="232"/>
      <c r="IN11" s="232"/>
      <c r="IO11" s="232"/>
      <c r="IP11" s="232"/>
      <c r="IQ11" s="232"/>
      <c r="IR11" s="232"/>
      <c r="IS11" s="232"/>
      <c r="IT11" s="232"/>
      <c r="IU11" s="232"/>
      <c r="IV11" s="232"/>
      <c r="IW11" s="232"/>
    </row>
    <row r="12" customFormat="false" ht="11.25" hidden="false" customHeight="false" outlineLevel="0" collapsed="false">
      <c r="A12" s="232"/>
      <c r="B12" s="232"/>
      <c r="C12" s="234" t="s">
        <v>180</v>
      </c>
      <c r="D12" s="234" t="e">
        <f aca="false">BeginningOfNextMonth(D11)</f>
        <v>#VALUE!</v>
      </c>
      <c r="E12" s="234" t="e">
        <f aca="false">BeginningOfNextMonth(E11)</f>
        <v>#VALUE!</v>
      </c>
      <c r="F12" s="234" t="e">
        <f aca="false">BeginningOfNextMonth(F11)</f>
        <v>#VALUE!</v>
      </c>
      <c r="G12" s="234" t="e">
        <f aca="false">BeginningOfNextMonth(G11)</f>
        <v>#VALUE!</v>
      </c>
      <c r="H12" s="234" t="e">
        <f aca="false">BeginningOfNextMonth(H11)</f>
        <v>#VALUE!</v>
      </c>
      <c r="I12" s="234" t="e">
        <f aca="false">BeginningOfNextMonth(I11)</f>
        <v>#VALUE!</v>
      </c>
      <c r="J12" s="234" t="e">
        <f aca="false">BeginningOfNextMonth(J11)</f>
        <v>#VALUE!</v>
      </c>
      <c r="K12" s="234" t="e">
        <f aca="false">BeginningOfNextMonth(K11)</f>
        <v>#VALUE!</v>
      </c>
      <c r="L12" s="234" t="e">
        <f aca="false">BeginningOfNextMonth(L11)</f>
        <v>#VALUE!</v>
      </c>
      <c r="M12" s="234" t="e">
        <f aca="false">BeginningOfNextMonth(M11)</f>
        <v>#VALUE!</v>
      </c>
      <c r="N12" s="234" t="e">
        <f aca="false">BeginningOfNextMonth(N11)</f>
        <v>#VALUE!</v>
      </c>
      <c r="O12" s="234" t="e">
        <f aca="false">BeginningOfNextMonth(O11)</f>
        <v>#VALUE!</v>
      </c>
      <c r="P12" s="234" t="e">
        <f aca="false">BeginningOfNextMonth(P11)</f>
        <v>#VALUE!</v>
      </c>
      <c r="Q12" s="234" t="e">
        <f aca="false">BeginningOfNextMonth(Q11)</f>
        <v>#VALUE!</v>
      </c>
      <c r="R12" s="234" t="e">
        <f aca="false">BeginningOfNextMonth(R11)</f>
        <v>#VALUE!</v>
      </c>
      <c r="S12" s="234" t="e">
        <f aca="false">BeginningOfNextMonth(S11)</f>
        <v>#VALUE!</v>
      </c>
      <c r="T12" s="234" t="e">
        <f aca="false">BeginningOfNextMonth(T11)</f>
        <v>#VALUE!</v>
      </c>
      <c r="U12" s="234" t="e">
        <f aca="false">BeginningOfNextMonth(U11)</f>
        <v>#VALUE!</v>
      </c>
      <c r="V12" s="234" t="e">
        <f aca="false">BeginningOfNextMonth(V11)</f>
        <v>#VALUE!</v>
      </c>
      <c r="W12" s="234" t="e">
        <f aca="false">BeginningOfNextMonth(W11)</f>
        <v>#VALUE!</v>
      </c>
      <c r="X12" s="234" t="e">
        <f aca="false">BeginningOfNextMonth(X11)</f>
        <v>#VALUE!</v>
      </c>
      <c r="Y12" s="234" t="e">
        <f aca="false">BeginningOfNextMonth(Y11)</f>
        <v>#VALUE!</v>
      </c>
      <c r="Z12" s="234" t="e">
        <f aca="false">BeginningOfNextMonth(Z11)</f>
        <v>#VALUE!</v>
      </c>
      <c r="AA12" s="234" t="e">
        <f aca="false">BeginningOfNextMonth(AA11)</f>
        <v>#VALUE!</v>
      </c>
      <c r="AB12" s="234" t="e">
        <f aca="false">BeginningOfNextMonth(AB11)</f>
        <v>#VALUE!</v>
      </c>
      <c r="AC12" s="234" t="e">
        <f aca="false">BeginningOfNextMonth(AC11)</f>
        <v>#VALUE!</v>
      </c>
      <c r="AD12" s="234" t="e">
        <f aca="false">BeginningOfNextMonth(AD11)</f>
        <v>#VALUE!</v>
      </c>
      <c r="AE12" s="234" t="e">
        <f aca="false">BeginningOfNextMonth(AE11)</f>
        <v>#VALUE!</v>
      </c>
      <c r="AF12" s="234" t="e">
        <f aca="false">BeginningOfNextMonth(AF11)</f>
        <v>#VALUE!</v>
      </c>
      <c r="AG12" s="234" t="e">
        <f aca="false">BeginningOfNextMonth(AG11)</f>
        <v>#VALUE!</v>
      </c>
      <c r="AH12" s="234" t="e">
        <f aca="false">BeginningOfNextMonth(AH11)</f>
        <v>#VALUE!</v>
      </c>
      <c r="AI12" s="234" t="e">
        <f aca="false">BeginningOfNextMonth(AI11)</f>
        <v>#VALUE!</v>
      </c>
      <c r="AJ12" s="234" t="e">
        <f aca="false">BeginningOfNextMonth(AJ11)</f>
        <v>#VALUE!</v>
      </c>
      <c r="AK12" s="234" t="e">
        <f aca="false">BeginningOfNextMonth(AK11)</f>
        <v>#VALUE!</v>
      </c>
      <c r="AL12" s="234" t="e">
        <f aca="false">BeginningOfNextMonth(AL11)</f>
        <v>#VALUE!</v>
      </c>
      <c r="AM12" s="234" t="e">
        <f aca="false">BeginningOfNextMonth(AM11)</f>
        <v>#VALUE!</v>
      </c>
      <c r="AN12" s="234" t="e">
        <f aca="false">BeginningOfNextMonth(AN11)</f>
        <v>#VALUE!</v>
      </c>
      <c r="AO12" s="234" t="e">
        <f aca="false">BeginningOfNextMonth(AO11)</f>
        <v>#VALUE!</v>
      </c>
      <c r="AP12" s="234" t="e">
        <f aca="false">BeginningOfNextMonth(AP11)</f>
        <v>#VALUE!</v>
      </c>
      <c r="AQ12" s="234" t="e">
        <f aca="false">BeginningOfNextMonth(AQ11)</f>
        <v>#VALUE!</v>
      </c>
      <c r="AR12" s="232"/>
      <c r="AS12" s="232"/>
      <c r="AT12" s="232"/>
      <c r="AU12" s="232"/>
      <c r="AV12" s="234" t="e">
        <f aca="false">BeginningOfNextMonth(AV11)</f>
        <v>#VALUE!</v>
      </c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  <c r="BM12" s="232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2"/>
      <c r="CB12" s="232"/>
      <c r="CC12" s="232"/>
      <c r="CD12" s="232"/>
      <c r="CE12" s="232"/>
      <c r="CF12" s="232"/>
      <c r="CG12" s="232"/>
      <c r="CH12" s="232"/>
      <c r="CI12" s="232"/>
      <c r="CJ12" s="232"/>
      <c r="CK12" s="232"/>
      <c r="CL12" s="232"/>
      <c r="CM12" s="232"/>
      <c r="CN12" s="232"/>
      <c r="CO12" s="232"/>
      <c r="CP12" s="232"/>
      <c r="CQ12" s="232"/>
      <c r="CR12" s="232"/>
      <c r="CS12" s="232"/>
      <c r="CT12" s="232"/>
      <c r="CU12" s="232"/>
      <c r="CV12" s="232"/>
      <c r="CW12" s="232"/>
      <c r="CX12" s="232"/>
      <c r="CY12" s="232"/>
      <c r="CZ12" s="232"/>
      <c r="DA12" s="232"/>
      <c r="DB12" s="232"/>
      <c r="DC12" s="232"/>
      <c r="DD12" s="232"/>
      <c r="DE12" s="232"/>
      <c r="DF12" s="232"/>
      <c r="DG12" s="232"/>
      <c r="DH12" s="232"/>
      <c r="DI12" s="232"/>
      <c r="DJ12" s="232"/>
      <c r="DK12" s="232"/>
      <c r="DL12" s="232"/>
      <c r="DM12" s="232"/>
      <c r="DN12" s="232"/>
      <c r="DO12" s="232"/>
      <c r="DP12" s="232"/>
      <c r="DQ12" s="232"/>
      <c r="DR12" s="232"/>
      <c r="DS12" s="232"/>
      <c r="DT12" s="232"/>
      <c r="DU12" s="232"/>
      <c r="DV12" s="232"/>
      <c r="DW12" s="232"/>
      <c r="DX12" s="232"/>
      <c r="DY12" s="232"/>
      <c r="DZ12" s="232"/>
      <c r="EA12" s="232"/>
      <c r="EB12" s="232"/>
      <c r="EC12" s="232"/>
      <c r="ED12" s="232"/>
      <c r="EE12" s="232"/>
      <c r="EF12" s="232"/>
      <c r="EG12" s="232"/>
      <c r="EH12" s="232"/>
      <c r="EI12" s="232"/>
      <c r="EJ12" s="232"/>
      <c r="EK12" s="232"/>
      <c r="EL12" s="232"/>
      <c r="EM12" s="232"/>
      <c r="EN12" s="232"/>
      <c r="EO12" s="232"/>
      <c r="EP12" s="232"/>
      <c r="EQ12" s="232"/>
      <c r="ER12" s="232"/>
      <c r="ES12" s="232"/>
      <c r="ET12" s="232"/>
      <c r="EU12" s="232"/>
      <c r="EV12" s="232"/>
      <c r="EW12" s="232"/>
      <c r="EX12" s="232"/>
      <c r="EY12" s="232"/>
      <c r="EZ12" s="232"/>
      <c r="FA12" s="232"/>
      <c r="FB12" s="232"/>
      <c r="FC12" s="232"/>
      <c r="FD12" s="232"/>
      <c r="FE12" s="232"/>
      <c r="FF12" s="232"/>
      <c r="FG12" s="232"/>
      <c r="FH12" s="232"/>
      <c r="FI12" s="232"/>
      <c r="FJ12" s="232"/>
      <c r="FK12" s="232"/>
      <c r="FL12" s="232"/>
      <c r="FM12" s="232"/>
      <c r="FN12" s="232"/>
      <c r="FO12" s="232"/>
      <c r="FP12" s="232"/>
      <c r="FQ12" s="232"/>
      <c r="FR12" s="232"/>
      <c r="FS12" s="232"/>
      <c r="FT12" s="232"/>
      <c r="FU12" s="232"/>
      <c r="FV12" s="232"/>
      <c r="FW12" s="232"/>
      <c r="FX12" s="232"/>
      <c r="FY12" s="232"/>
      <c r="FZ12" s="232"/>
      <c r="GA12" s="232"/>
      <c r="GB12" s="232"/>
      <c r="GC12" s="232"/>
      <c r="GD12" s="232"/>
      <c r="GE12" s="232"/>
      <c r="GF12" s="232"/>
      <c r="GG12" s="232"/>
      <c r="GH12" s="232"/>
      <c r="GI12" s="232"/>
      <c r="GJ12" s="232"/>
      <c r="GK12" s="232"/>
      <c r="GL12" s="232"/>
      <c r="GM12" s="232"/>
      <c r="GN12" s="232"/>
      <c r="GO12" s="232"/>
      <c r="GP12" s="232"/>
      <c r="GQ12" s="232"/>
      <c r="GR12" s="232"/>
      <c r="GS12" s="232"/>
      <c r="GT12" s="232"/>
      <c r="GU12" s="232"/>
      <c r="GV12" s="232"/>
      <c r="GW12" s="232"/>
      <c r="GX12" s="232"/>
      <c r="GY12" s="232"/>
      <c r="GZ12" s="232"/>
      <c r="HA12" s="232"/>
      <c r="HB12" s="232"/>
      <c r="HC12" s="232"/>
      <c r="HD12" s="232"/>
      <c r="HE12" s="232"/>
      <c r="HF12" s="232"/>
      <c r="HG12" s="232"/>
      <c r="HH12" s="232"/>
      <c r="HI12" s="232"/>
      <c r="HJ12" s="232"/>
      <c r="HK12" s="232"/>
      <c r="HL12" s="232"/>
      <c r="HM12" s="232"/>
      <c r="HN12" s="232"/>
      <c r="HO12" s="232"/>
      <c r="HP12" s="232"/>
      <c r="HQ12" s="232"/>
      <c r="HR12" s="232"/>
      <c r="HS12" s="232"/>
      <c r="HT12" s="232"/>
      <c r="HU12" s="232"/>
      <c r="HV12" s="232"/>
      <c r="HW12" s="232"/>
      <c r="HX12" s="232"/>
      <c r="HY12" s="232"/>
      <c r="HZ12" s="232"/>
      <c r="IA12" s="232"/>
      <c r="IB12" s="232"/>
      <c r="IC12" s="232"/>
      <c r="ID12" s="232"/>
      <c r="IE12" s="232"/>
      <c r="IF12" s="232"/>
      <c r="IG12" s="232"/>
      <c r="IH12" s="232"/>
      <c r="II12" s="232"/>
      <c r="IJ12" s="232"/>
      <c r="IK12" s="232"/>
      <c r="IL12" s="232"/>
      <c r="IM12" s="232"/>
      <c r="IN12" s="232"/>
      <c r="IO12" s="232"/>
      <c r="IP12" s="232"/>
      <c r="IQ12" s="232"/>
      <c r="IR12" s="232"/>
      <c r="IS12" s="232"/>
      <c r="IT12" s="232"/>
      <c r="IU12" s="232"/>
      <c r="IV12" s="232"/>
      <c r="IW12" s="232"/>
    </row>
    <row r="13" customFormat="false" ht="22.5" hidden="false" customHeight="false" outlineLevel="0" collapsed="false">
      <c r="A13" s="232"/>
      <c r="B13" s="232"/>
      <c r="C13" s="234" t="s">
        <v>181</v>
      </c>
      <c r="D13" s="243" t="s">
        <v>182</v>
      </c>
      <c r="E13" s="232" t="s">
        <v>68</v>
      </c>
      <c r="F13" s="232" t="s">
        <v>68</v>
      </c>
      <c r="G13" s="244" t="s">
        <v>60</v>
      </c>
      <c r="H13" s="244" t="s">
        <v>183</v>
      </c>
      <c r="I13" s="244" t="s">
        <v>64</v>
      </c>
      <c r="J13" s="244" t="s">
        <v>70</v>
      </c>
      <c r="K13" s="245" t="s">
        <v>71</v>
      </c>
      <c r="L13" s="232" t="s">
        <v>67</v>
      </c>
      <c r="M13" s="232" t="s">
        <v>62</v>
      </c>
      <c r="N13" s="232" t="s">
        <v>63</v>
      </c>
      <c r="O13" s="232" t="s">
        <v>78</v>
      </c>
      <c r="P13" s="232" t="s">
        <v>184</v>
      </c>
      <c r="Q13" s="246" t="s">
        <v>61</v>
      </c>
      <c r="R13" s="246" t="s">
        <v>61</v>
      </c>
      <c r="S13" s="247" t="s">
        <v>66</v>
      </c>
      <c r="T13" s="247" t="s">
        <v>66</v>
      </c>
      <c r="U13" s="246" t="s">
        <v>60</v>
      </c>
      <c r="V13" s="246" t="s">
        <v>60</v>
      </c>
      <c r="W13" s="246" t="s">
        <v>70</v>
      </c>
      <c r="X13" s="246" t="s">
        <v>70</v>
      </c>
      <c r="Y13" s="244" t="s">
        <v>185</v>
      </c>
      <c r="Z13" s="244" t="s">
        <v>185</v>
      </c>
      <c r="AA13" s="232" t="s">
        <v>185</v>
      </c>
      <c r="AB13" s="232" t="s">
        <v>185</v>
      </c>
      <c r="AC13" s="248" t="s">
        <v>183</v>
      </c>
      <c r="AD13" s="248" t="s">
        <v>183</v>
      </c>
      <c r="AE13" s="247" t="s">
        <v>186</v>
      </c>
      <c r="AF13" s="247" t="s">
        <v>186</v>
      </c>
      <c r="AG13" s="245" t="s">
        <v>75</v>
      </c>
      <c r="AH13" s="245" t="s">
        <v>75</v>
      </c>
      <c r="AI13" s="245" t="s">
        <v>71</v>
      </c>
      <c r="AJ13" s="245" t="s">
        <v>71</v>
      </c>
      <c r="AK13" s="247" t="s">
        <v>187</v>
      </c>
      <c r="AL13" s="247" t="s">
        <v>187</v>
      </c>
      <c r="AM13" s="247" t="s">
        <v>188</v>
      </c>
      <c r="AN13" s="232" t="s">
        <v>189</v>
      </c>
      <c r="AO13" s="245" t="s">
        <v>71</v>
      </c>
      <c r="AP13" s="245" t="s">
        <v>73</v>
      </c>
      <c r="AQ13" s="249" t="s">
        <v>190</v>
      </c>
      <c r="AR13" s="245" t="s">
        <v>191</v>
      </c>
      <c r="AS13" s="232"/>
      <c r="AT13" s="232" t="s">
        <v>192</v>
      </c>
      <c r="AU13" s="232" t="s">
        <v>77</v>
      </c>
      <c r="AV13" s="245" t="s">
        <v>73</v>
      </c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232"/>
      <c r="BN13" s="232"/>
      <c r="BO13" s="232"/>
      <c r="BP13" s="232"/>
      <c r="BQ13" s="232"/>
      <c r="BR13" s="232"/>
      <c r="BS13" s="232"/>
      <c r="BT13" s="232"/>
      <c r="BU13" s="232"/>
      <c r="BV13" s="232"/>
      <c r="BW13" s="232"/>
      <c r="BX13" s="232"/>
      <c r="BY13" s="232"/>
      <c r="BZ13" s="232"/>
      <c r="CA13" s="232"/>
      <c r="CB13" s="232"/>
      <c r="CC13" s="232"/>
      <c r="CD13" s="232"/>
      <c r="CE13" s="232"/>
      <c r="CF13" s="232"/>
      <c r="CG13" s="232"/>
      <c r="CH13" s="232"/>
      <c r="CI13" s="232"/>
      <c r="CJ13" s="232"/>
      <c r="CK13" s="232"/>
      <c r="CL13" s="232"/>
      <c r="CM13" s="232"/>
      <c r="CN13" s="232"/>
      <c r="CO13" s="232"/>
      <c r="CP13" s="232"/>
      <c r="CQ13" s="232"/>
      <c r="CR13" s="232"/>
      <c r="CS13" s="232"/>
      <c r="CT13" s="232"/>
      <c r="CU13" s="232"/>
      <c r="CV13" s="232"/>
      <c r="CW13" s="232"/>
      <c r="CX13" s="232"/>
      <c r="CY13" s="232"/>
      <c r="CZ13" s="232"/>
      <c r="DA13" s="232"/>
      <c r="DB13" s="232"/>
      <c r="DC13" s="232"/>
      <c r="DD13" s="232"/>
      <c r="DE13" s="232"/>
      <c r="DF13" s="232"/>
      <c r="DG13" s="232"/>
      <c r="DH13" s="232"/>
      <c r="DI13" s="232"/>
      <c r="DJ13" s="232"/>
      <c r="DK13" s="232"/>
      <c r="DL13" s="232"/>
      <c r="DM13" s="232"/>
      <c r="DN13" s="232"/>
      <c r="DO13" s="232"/>
      <c r="DP13" s="232"/>
      <c r="DQ13" s="232"/>
      <c r="DR13" s="232"/>
      <c r="DS13" s="232"/>
      <c r="DT13" s="232"/>
      <c r="DU13" s="232"/>
      <c r="DV13" s="232"/>
      <c r="DW13" s="232"/>
      <c r="DX13" s="232"/>
      <c r="DY13" s="232"/>
      <c r="DZ13" s="232"/>
      <c r="EA13" s="232"/>
      <c r="EB13" s="232"/>
      <c r="EC13" s="232"/>
      <c r="ED13" s="232"/>
      <c r="EE13" s="232"/>
      <c r="EF13" s="232"/>
      <c r="EG13" s="232"/>
      <c r="EH13" s="232"/>
      <c r="EI13" s="232"/>
      <c r="EJ13" s="232"/>
      <c r="EK13" s="232"/>
      <c r="EL13" s="232"/>
      <c r="EM13" s="232"/>
      <c r="EN13" s="232"/>
      <c r="EO13" s="232"/>
      <c r="EP13" s="232"/>
      <c r="EQ13" s="232"/>
      <c r="ER13" s="232"/>
      <c r="ES13" s="232"/>
      <c r="ET13" s="232"/>
      <c r="EU13" s="232"/>
      <c r="EV13" s="232"/>
      <c r="EW13" s="232"/>
      <c r="EX13" s="232"/>
      <c r="EY13" s="232"/>
      <c r="EZ13" s="232"/>
      <c r="FA13" s="232"/>
      <c r="FB13" s="232"/>
      <c r="FC13" s="232"/>
      <c r="FD13" s="232"/>
      <c r="FE13" s="232"/>
      <c r="FF13" s="232"/>
      <c r="FG13" s="232"/>
      <c r="FH13" s="232"/>
      <c r="FI13" s="232"/>
      <c r="FJ13" s="232"/>
      <c r="FK13" s="232"/>
      <c r="FL13" s="232"/>
      <c r="FM13" s="232"/>
      <c r="FN13" s="232"/>
      <c r="FO13" s="232"/>
      <c r="FP13" s="232"/>
      <c r="FQ13" s="232"/>
      <c r="FR13" s="232"/>
      <c r="FS13" s="232"/>
      <c r="FT13" s="232"/>
      <c r="FU13" s="232"/>
      <c r="FV13" s="232"/>
      <c r="FW13" s="232"/>
      <c r="FX13" s="232"/>
      <c r="FY13" s="232"/>
      <c r="FZ13" s="232"/>
      <c r="GA13" s="232"/>
      <c r="GB13" s="232"/>
      <c r="GC13" s="232"/>
      <c r="GD13" s="232"/>
      <c r="GE13" s="232"/>
      <c r="GF13" s="232"/>
      <c r="GG13" s="232"/>
      <c r="GH13" s="232"/>
      <c r="GI13" s="232"/>
      <c r="GJ13" s="232"/>
      <c r="GK13" s="232"/>
      <c r="GL13" s="232"/>
      <c r="GM13" s="232"/>
      <c r="GN13" s="232"/>
      <c r="GO13" s="232"/>
      <c r="GP13" s="232"/>
      <c r="GQ13" s="232"/>
      <c r="GR13" s="232"/>
      <c r="GS13" s="232"/>
      <c r="GT13" s="232"/>
      <c r="GU13" s="232"/>
      <c r="GV13" s="232"/>
      <c r="GW13" s="232"/>
      <c r="GX13" s="232"/>
      <c r="GY13" s="232"/>
      <c r="GZ13" s="232"/>
      <c r="HA13" s="232"/>
      <c r="HB13" s="232"/>
      <c r="HC13" s="232"/>
      <c r="HD13" s="232"/>
      <c r="HE13" s="232"/>
      <c r="HF13" s="232"/>
      <c r="HG13" s="232"/>
      <c r="HH13" s="232"/>
      <c r="HI13" s="232"/>
      <c r="HJ13" s="232"/>
      <c r="HK13" s="232"/>
      <c r="HL13" s="232"/>
      <c r="HM13" s="232"/>
      <c r="HN13" s="232"/>
      <c r="HO13" s="232"/>
      <c r="HP13" s="232"/>
      <c r="HQ13" s="232"/>
      <c r="HR13" s="232"/>
      <c r="HS13" s="232"/>
      <c r="HT13" s="232"/>
      <c r="HU13" s="232"/>
      <c r="HV13" s="232"/>
      <c r="HW13" s="232"/>
      <c r="HX13" s="232"/>
      <c r="HY13" s="232"/>
      <c r="HZ13" s="232"/>
      <c r="IA13" s="232"/>
      <c r="IB13" s="232"/>
      <c r="IC13" s="232"/>
      <c r="ID13" s="232"/>
      <c r="IE13" s="232"/>
      <c r="IF13" s="232"/>
      <c r="IG13" s="232"/>
      <c r="IH13" s="232"/>
      <c r="II13" s="232"/>
      <c r="IJ13" s="232"/>
      <c r="IK13" s="232"/>
      <c r="IL13" s="232"/>
      <c r="IM13" s="232"/>
      <c r="IN13" s="232"/>
      <c r="IO13" s="232"/>
      <c r="IP13" s="232"/>
      <c r="IQ13" s="232"/>
      <c r="IR13" s="232"/>
      <c r="IS13" s="232"/>
      <c r="IT13" s="232"/>
      <c r="IU13" s="232"/>
      <c r="IV13" s="232"/>
      <c r="IW13" s="232"/>
    </row>
    <row r="14" customFormat="false" ht="11.25" hidden="false" customHeight="false" outlineLevel="0" collapsed="false">
      <c r="A14" s="232"/>
      <c r="B14" s="232"/>
      <c r="C14" s="234" t="s">
        <v>193</v>
      </c>
      <c r="D14" s="250" t="s">
        <v>162</v>
      </c>
      <c r="E14" s="232" t="s">
        <v>194</v>
      </c>
      <c r="F14" s="232" t="s">
        <v>195</v>
      </c>
      <c r="G14" s="232" t="s">
        <v>195</v>
      </c>
      <c r="H14" s="232" t="s">
        <v>195</v>
      </c>
      <c r="I14" s="232" t="s">
        <v>195</v>
      </c>
      <c r="J14" s="232" t="s">
        <v>195</v>
      </c>
      <c r="K14" s="232" t="s">
        <v>195</v>
      </c>
      <c r="L14" s="232" t="s">
        <v>195</v>
      </c>
      <c r="M14" s="232" t="s">
        <v>195</v>
      </c>
      <c r="N14" s="232" t="s">
        <v>195</v>
      </c>
      <c r="O14" s="232" t="s">
        <v>195</v>
      </c>
      <c r="P14" s="232" t="s">
        <v>195</v>
      </c>
      <c r="Q14" s="232" t="s">
        <v>194</v>
      </c>
      <c r="R14" s="232" t="s">
        <v>194</v>
      </c>
      <c r="S14" s="232" t="s">
        <v>194</v>
      </c>
      <c r="T14" s="232" t="s">
        <v>194</v>
      </c>
      <c r="U14" s="232" t="s">
        <v>194</v>
      </c>
      <c r="V14" s="232" t="s">
        <v>194</v>
      </c>
      <c r="W14" s="232" t="s">
        <v>194</v>
      </c>
      <c r="X14" s="232" t="s">
        <v>194</v>
      </c>
      <c r="Y14" s="232" t="s">
        <v>194</v>
      </c>
      <c r="Z14" s="232" t="s">
        <v>194</v>
      </c>
      <c r="AA14" s="232" t="s">
        <v>194</v>
      </c>
      <c r="AB14" s="232" t="s">
        <v>194</v>
      </c>
      <c r="AC14" s="232" t="s">
        <v>194</v>
      </c>
      <c r="AD14" s="232" t="s">
        <v>194</v>
      </c>
      <c r="AE14" s="232" t="s">
        <v>194</v>
      </c>
      <c r="AF14" s="232" t="s">
        <v>194</v>
      </c>
      <c r="AG14" s="232" t="s">
        <v>194</v>
      </c>
      <c r="AH14" s="232" t="s">
        <v>194</v>
      </c>
      <c r="AI14" s="232" t="s">
        <v>194</v>
      </c>
      <c r="AJ14" s="232" t="s">
        <v>194</v>
      </c>
      <c r="AK14" s="232" t="s">
        <v>194</v>
      </c>
      <c r="AL14" s="232" t="s">
        <v>194</v>
      </c>
      <c r="AM14" s="232" t="s">
        <v>194</v>
      </c>
      <c r="AN14" s="232" t="s">
        <v>196</v>
      </c>
      <c r="AO14" s="232" t="s">
        <v>195</v>
      </c>
      <c r="AP14" s="232" t="s">
        <v>194</v>
      </c>
      <c r="AQ14" s="232" t="s">
        <v>194</v>
      </c>
      <c r="AR14" s="232"/>
      <c r="AS14" s="232"/>
      <c r="AT14" s="232"/>
      <c r="AU14" s="232"/>
      <c r="AV14" s="232" t="s">
        <v>194</v>
      </c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232"/>
      <c r="BN14" s="232"/>
      <c r="BO14" s="232"/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2"/>
      <c r="CB14" s="232"/>
      <c r="CC14" s="232"/>
      <c r="CD14" s="232"/>
      <c r="CE14" s="232"/>
      <c r="CF14" s="232"/>
      <c r="CG14" s="232"/>
      <c r="CH14" s="232"/>
      <c r="CI14" s="232"/>
      <c r="CJ14" s="232"/>
      <c r="CK14" s="232"/>
      <c r="CL14" s="232"/>
      <c r="CM14" s="232"/>
      <c r="CN14" s="232"/>
      <c r="CO14" s="232"/>
      <c r="CP14" s="232"/>
      <c r="CQ14" s="232"/>
      <c r="CR14" s="232"/>
      <c r="CS14" s="232"/>
      <c r="CT14" s="232"/>
      <c r="CU14" s="232"/>
      <c r="CV14" s="232"/>
      <c r="CW14" s="232"/>
      <c r="CX14" s="232"/>
      <c r="CY14" s="232"/>
      <c r="CZ14" s="232"/>
      <c r="DA14" s="232"/>
      <c r="DB14" s="232"/>
      <c r="DC14" s="232"/>
      <c r="DD14" s="232"/>
      <c r="DE14" s="232"/>
      <c r="DF14" s="232"/>
      <c r="DG14" s="232"/>
      <c r="DH14" s="232"/>
      <c r="DI14" s="232"/>
      <c r="DJ14" s="232"/>
      <c r="DK14" s="232"/>
      <c r="DL14" s="232"/>
      <c r="DM14" s="232"/>
      <c r="DN14" s="232"/>
      <c r="DO14" s="232"/>
      <c r="DP14" s="232"/>
      <c r="DQ14" s="232"/>
      <c r="DR14" s="232"/>
      <c r="DS14" s="232"/>
      <c r="DT14" s="232"/>
      <c r="DU14" s="232"/>
      <c r="DV14" s="232"/>
      <c r="DW14" s="232"/>
      <c r="DX14" s="232"/>
      <c r="DY14" s="232"/>
      <c r="DZ14" s="232"/>
      <c r="EA14" s="232"/>
      <c r="EB14" s="232"/>
      <c r="EC14" s="232"/>
      <c r="ED14" s="232"/>
      <c r="EE14" s="232"/>
      <c r="EF14" s="232"/>
      <c r="EG14" s="232"/>
      <c r="EH14" s="232"/>
      <c r="EI14" s="232"/>
      <c r="EJ14" s="232"/>
      <c r="EK14" s="232"/>
      <c r="EL14" s="232"/>
      <c r="EM14" s="232"/>
      <c r="EN14" s="232"/>
      <c r="EO14" s="232"/>
      <c r="EP14" s="232"/>
      <c r="EQ14" s="232"/>
      <c r="ER14" s="232"/>
      <c r="ES14" s="232"/>
      <c r="ET14" s="232"/>
      <c r="EU14" s="232"/>
      <c r="EV14" s="232"/>
      <c r="EW14" s="232"/>
      <c r="EX14" s="232"/>
      <c r="EY14" s="232"/>
      <c r="EZ14" s="232"/>
      <c r="FA14" s="232"/>
      <c r="FB14" s="232"/>
      <c r="FC14" s="232"/>
      <c r="FD14" s="232"/>
      <c r="FE14" s="232"/>
      <c r="FF14" s="232"/>
      <c r="FG14" s="232"/>
      <c r="FH14" s="232"/>
      <c r="FI14" s="232"/>
      <c r="FJ14" s="232"/>
      <c r="FK14" s="232"/>
      <c r="FL14" s="232"/>
      <c r="FM14" s="232"/>
      <c r="FN14" s="232"/>
      <c r="FO14" s="232"/>
      <c r="FP14" s="232"/>
      <c r="FQ14" s="232"/>
      <c r="FR14" s="232"/>
      <c r="FS14" s="232"/>
      <c r="FT14" s="232"/>
      <c r="FU14" s="232"/>
      <c r="FV14" s="232"/>
      <c r="FW14" s="232"/>
      <c r="FX14" s="232"/>
      <c r="FY14" s="232"/>
      <c r="FZ14" s="232"/>
      <c r="GA14" s="232"/>
      <c r="GB14" s="232"/>
      <c r="GC14" s="232"/>
      <c r="GD14" s="232"/>
      <c r="GE14" s="232"/>
      <c r="GF14" s="232"/>
      <c r="GG14" s="232"/>
      <c r="GH14" s="232"/>
      <c r="GI14" s="232"/>
      <c r="GJ14" s="232"/>
      <c r="GK14" s="232"/>
      <c r="GL14" s="232"/>
      <c r="GM14" s="232"/>
      <c r="GN14" s="232"/>
      <c r="GO14" s="232"/>
      <c r="GP14" s="232"/>
      <c r="GQ14" s="232"/>
      <c r="GR14" s="232"/>
      <c r="GS14" s="232"/>
      <c r="GT14" s="232"/>
      <c r="GU14" s="232"/>
      <c r="GV14" s="232"/>
      <c r="GW14" s="232"/>
      <c r="GX14" s="232"/>
      <c r="GY14" s="232"/>
      <c r="GZ14" s="232"/>
      <c r="HA14" s="232"/>
      <c r="HB14" s="232"/>
      <c r="HC14" s="232"/>
      <c r="HD14" s="232"/>
      <c r="HE14" s="232"/>
      <c r="HF14" s="232"/>
      <c r="HG14" s="232"/>
      <c r="HH14" s="232"/>
      <c r="HI14" s="232"/>
      <c r="HJ14" s="232"/>
      <c r="HK14" s="232"/>
      <c r="HL14" s="232"/>
      <c r="HM14" s="232"/>
      <c r="HN14" s="232"/>
      <c r="HO14" s="232"/>
      <c r="HP14" s="232"/>
      <c r="HQ14" s="232"/>
      <c r="HR14" s="232"/>
      <c r="HS14" s="232"/>
      <c r="HT14" s="232"/>
      <c r="HU14" s="232"/>
      <c r="HV14" s="232"/>
      <c r="HW14" s="232"/>
      <c r="HX14" s="232"/>
      <c r="HY14" s="232"/>
      <c r="HZ14" s="232"/>
      <c r="IA14" s="232"/>
      <c r="IB14" s="232"/>
      <c r="IC14" s="232"/>
      <c r="ID14" s="232"/>
      <c r="IE14" s="232"/>
      <c r="IF14" s="232"/>
      <c r="IG14" s="232"/>
      <c r="IH14" s="232"/>
      <c r="II14" s="232"/>
      <c r="IJ14" s="232"/>
      <c r="IK14" s="232"/>
      <c r="IL14" s="232"/>
      <c r="IM14" s="232"/>
      <c r="IN14" s="232"/>
      <c r="IO14" s="232"/>
      <c r="IP14" s="232"/>
      <c r="IQ14" s="232"/>
      <c r="IR14" s="232"/>
      <c r="IS14" s="232"/>
      <c r="IT14" s="232"/>
      <c r="IU14" s="232"/>
      <c r="IV14" s="232"/>
      <c r="IW14" s="232"/>
    </row>
    <row r="15" customFormat="false" ht="11.25" hidden="false" customHeight="false" outlineLevel="0" collapsed="false">
      <c r="A15" s="233"/>
      <c r="B15" s="233"/>
      <c r="C15" s="251" t="s">
        <v>197</v>
      </c>
      <c r="D15" s="250" t="s">
        <v>198</v>
      </c>
      <c r="E15" s="232" t="s">
        <v>199</v>
      </c>
      <c r="F15" s="232" t="s">
        <v>199</v>
      </c>
      <c r="G15" s="232" t="s">
        <v>199</v>
      </c>
      <c r="H15" s="232" t="s">
        <v>199</v>
      </c>
      <c r="I15" s="232" t="s">
        <v>199</v>
      </c>
      <c r="J15" s="232" t="s">
        <v>199</v>
      </c>
      <c r="K15" s="232" t="s">
        <v>199</v>
      </c>
      <c r="L15" s="232" t="s">
        <v>199</v>
      </c>
      <c r="M15" s="232" t="s">
        <v>199</v>
      </c>
      <c r="N15" s="232" t="s">
        <v>199</v>
      </c>
      <c r="O15" s="232" t="s">
        <v>199</v>
      </c>
      <c r="P15" s="232" t="s">
        <v>199</v>
      </c>
      <c r="Q15" s="232" t="s">
        <v>200</v>
      </c>
      <c r="R15" s="232" t="s">
        <v>201</v>
      </c>
      <c r="S15" s="232" t="s">
        <v>200</v>
      </c>
      <c r="T15" s="232" t="s">
        <v>201</v>
      </c>
      <c r="U15" s="232" t="s">
        <v>200</v>
      </c>
      <c r="V15" s="232" t="s">
        <v>201</v>
      </c>
      <c r="W15" s="232" t="s">
        <v>200</v>
      </c>
      <c r="X15" s="232" t="s">
        <v>201</v>
      </c>
      <c r="Y15" s="232" t="s">
        <v>200</v>
      </c>
      <c r="Z15" s="232" t="s">
        <v>201</v>
      </c>
      <c r="AA15" s="232" t="s">
        <v>200</v>
      </c>
      <c r="AB15" s="232" t="s">
        <v>201</v>
      </c>
      <c r="AC15" s="232" t="s">
        <v>200</v>
      </c>
      <c r="AD15" s="232" t="s">
        <v>201</v>
      </c>
      <c r="AE15" s="232" t="s">
        <v>200</v>
      </c>
      <c r="AF15" s="232" t="s">
        <v>201</v>
      </c>
      <c r="AG15" s="232" t="s">
        <v>200</v>
      </c>
      <c r="AH15" s="232" t="s">
        <v>201</v>
      </c>
      <c r="AI15" s="232" t="s">
        <v>200</v>
      </c>
      <c r="AJ15" s="232" t="s">
        <v>201</v>
      </c>
      <c r="AK15" s="232" t="s">
        <v>200</v>
      </c>
      <c r="AL15" s="232" t="s">
        <v>201</v>
      </c>
      <c r="AM15" s="232" t="s">
        <v>200</v>
      </c>
      <c r="AN15" s="232" t="s">
        <v>202</v>
      </c>
      <c r="AO15" s="232" t="s">
        <v>199</v>
      </c>
      <c r="AP15" s="232" t="s">
        <v>200</v>
      </c>
      <c r="AQ15" s="232" t="s">
        <v>200</v>
      </c>
      <c r="AU15" s="232"/>
      <c r="AV15" s="232" t="s">
        <v>200</v>
      </c>
    </row>
    <row r="16" customFormat="false" ht="11.25" hidden="false" customHeight="false" outlineLevel="0" collapsed="false">
      <c r="A16" s="233"/>
      <c r="B16" s="233"/>
      <c r="C16" s="251" t="s">
        <v>203</v>
      </c>
      <c r="D16" s="250" t="s">
        <v>204</v>
      </c>
      <c r="E16" s="232" t="s">
        <v>205</v>
      </c>
      <c r="F16" s="232" t="s">
        <v>205</v>
      </c>
      <c r="G16" s="232" t="s">
        <v>206</v>
      </c>
      <c r="H16" s="232" t="s">
        <v>206</v>
      </c>
      <c r="I16" s="232" t="s">
        <v>206</v>
      </c>
      <c r="J16" s="232" t="s">
        <v>206</v>
      </c>
      <c r="K16" s="233" t="s">
        <v>206</v>
      </c>
      <c r="L16" s="232" t="s">
        <v>206</v>
      </c>
      <c r="M16" s="232" t="s">
        <v>206</v>
      </c>
      <c r="N16" s="232" t="s">
        <v>206</v>
      </c>
      <c r="O16" s="232" t="s">
        <v>206</v>
      </c>
      <c r="P16" s="232" t="s">
        <v>206</v>
      </c>
      <c r="Q16" s="232" t="s">
        <v>207</v>
      </c>
      <c r="R16" s="232" t="s">
        <v>207</v>
      </c>
      <c r="S16" s="232" t="s">
        <v>207</v>
      </c>
      <c r="T16" s="232" t="s">
        <v>207</v>
      </c>
      <c r="U16" s="232" t="s">
        <v>207</v>
      </c>
      <c r="V16" s="232" t="s">
        <v>207</v>
      </c>
      <c r="W16" s="232" t="s">
        <v>207</v>
      </c>
      <c r="X16" s="232" t="s">
        <v>207</v>
      </c>
      <c r="Y16" s="232" t="s">
        <v>207</v>
      </c>
      <c r="Z16" s="232" t="s">
        <v>207</v>
      </c>
      <c r="AA16" s="233" t="s">
        <v>207</v>
      </c>
      <c r="AB16" s="233" t="s">
        <v>207</v>
      </c>
      <c r="AC16" s="232" t="s">
        <v>208</v>
      </c>
      <c r="AD16" s="232" t="s">
        <v>208</v>
      </c>
      <c r="AE16" s="232" t="s">
        <v>207</v>
      </c>
      <c r="AF16" s="232" t="s">
        <v>207</v>
      </c>
      <c r="AG16" s="232" t="s">
        <v>207</v>
      </c>
      <c r="AH16" s="232" t="s">
        <v>207</v>
      </c>
      <c r="AI16" s="232" t="s">
        <v>207</v>
      </c>
      <c r="AJ16" s="232" t="s">
        <v>207</v>
      </c>
      <c r="AK16" s="232" t="s">
        <v>209</v>
      </c>
      <c r="AL16" s="232" t="s">
        <v>209</v>
      </c>
      <c r="AM16" s="232" t="s">
        <v>209</v>
      </c>
      <c r="AN16" s="233" t="s">
        <v>204</v>
      </c>
      <c r="AO16" s="233" t="s">
        <v>206</v>
      </c>
      <c r="AP16" s="233" t="s">
        <v>207</v>
      </c>
      <c r="AQ16" s="233" t="s">
        <v>207</v>
      </c>
      <c r="AV16" s="233" t="s">
        <v>210</v>
      </c>
    </row>
    <row r="17" customFormat="false" ht="11.25" hidden="false" customHeight="false" outlineLevel="0" collapsed="false">
      <c r="A17" s="233"/>
      <c r="B17" s="233"/>
      <c r="C17" s="237" t="e">
        <f aca="false">BeginningOfNextMonth(today)</f>
        <v>#VALUE!</v>
      </c>
      <c r="D17" s="252" t="n">
        <v>0.0432042041519791</v>
      </c>
      <c r="E17" s="252" t="n">
        <v>4.394</v>
      </c>
      <c r="F17" s="252" t="n">
        <v>0.54</v>
      </c>
      <c r="G17" s="252" t="n">
        <v>0.54</v>
      </c>
      <c r="H17" s="252" t="n">
        <v>0.54</v>
      </c>
      <c r="I17" s="252" t="n">
        <v>0.556</v>
      </c>
      <c r="J17" s="252" t="n">
        <v>0.54</v>
      </c>
      <c r="K17" s="233" t="n">
        <v>0.54</v>
      </c>
      <c r="L17" s="252" t="n">
        <v>0.43</v>
      </c>
      <c r="M17" s="252" t="n">
        <v>0.38</v>
      </c>
      <c r="N17" s="252" t="n">
        <v>0.53</v>
      </c>
      <c r="O17" s="252" t="n">
        <v>0.48</v>
      </c>
      <c r="P17" s="252" t="n">
        <v>0.48</v>
      </c>
      <c r="Q17" s="252" t="n">
        <v>0.225</v>
      </c>
      <c r="R17" s="252" t="n">
        <v>0</v>
      </c>
      <c r="S17" s="233" t="n">
        <v>-0.085</v>
      </c>
      <c r="T17" s="233" t="n">
        <v>-0.005</v>
      </c>
      <c r="U17" s="233" t="n">
        <v>-0.1</v>
      </c>
      <c r="V17" s="233" t="n">
        <v>-0.01</v>
      </c>
      <c r="W17" s="233" t="n">
        <v>-0.1</v>
      </c>
      <c r="X17" s="233" t="n">
        <v>-0.01</v>
      </c>
      <c r="Y17" s="233" t="n">
        <v>0.175</v>
      </c>
      <c r="Z17" s="233" t="n">
        <v>0</v>
      </c>
      <c r="AA17" s="233" t="n">
        <v>0.175</v>
      </c>
      <c r="AB17" s="233" t="n">
        <v>0</v>
      </c>
      <c r="AC17" s="233" t="n">
        <v>0.22</v>
      </c>
      <c r="AD17" s="233" t="n">
        <v>0.0125</v>
      </c>
      <c r="AE17" s="233" t="n">
        <v>0.1</v>
      </c>
      <c r="AF17" s="233" t="n">
        <v>0</v>
      </c>
      <c r="AG17" s="233" t="n">
        <v>0.27</v>
      </c>
      <c r="AH17" s="233" t="n">
        <v>0</v>
      </c>
      <c r="AI17" s="233" t="n">
        <v>0.22</v>
      </c>
      <c r="AJ17" s="233" t="n">
        <v>0</v>
      </c>
      <c r="AK17" s="233" t="n">
        <v>-0.31365058625695</v>
      </c>
      <c r="AL17" s="233" t="n">
        <v>0.0033988698996187</v>
      </c>
      <c r="AM17" s="233" t="n">
        <v>0</v>
      </c>
      <c r="AN17" s="233" t="n">
        <v>1.55142007659412</v>
      </c>
      <c r="AO17" s="233" t="n">
        <v>0.54</v>
      </c>
      <c r="AP17" s="233" t="n">
        <v>0.21</v>
      </c>
      <c r="AQ17" s="233" t="n">
        <v>0.21</v>
      </c>
      <c r="AR17" s="233" t="n">
        <f aca="false">1/AN17</f>
        <v>0.644570748494715</v>
      </c>
      <c r="AT17" s="253" t="n">
        <f aca="false">AR17*AM17*$AT$6</f>
        <v>0</v>
      </c>
      <c r="AU17" s="253" t="n">
        <f aca="false">AK17+AL17+AT17</f>
        <v>-0.310251716357331</v>
      </c>
      <c r="AV17" s="233" t="n">
        <f aca="false">[10]Sheet1!AA8</f>
        <v>0.122</v>
      </c>
      <c r="AW17" s="233" t="n">
        <v>0</v>
      </c>
    </row>
    <row r="18" customFormat="false" ht="11.25" hidden="false" customHeight="false" outlineLevel="0" collapsed="false">
      <c r="A18" s="233"/>
      <c r="B18" s="233"/>
      <c r="C18" s="237" t="e">
        <f aca="false">NextMonth(C17)</f>
        <v>#VALUE!</v>
      </c>
      <c r="D18" s="252" t="n">
        <v>0.0425400720126836</v>
      </c>
      <c r="E18" s="252" t="n">
        <v>4.465</v>
      </c>
      <c r="F18" s="252" t="n">
        <v>0.525</v>
      </c>
      <c r="G18" s="252" t="n">
        <v>0.525</v>
      </c>
      <c r="H18" s="252" t="n">
        <v>0.525</v>
      </c>
      <c r="I18" s="252" t="n">
        <v>0.541</v>
      </c>
      <c r="J18" s="252" t="n">
        <v>0.525</v>
      </c>
      <c r="K18" s="233" t="n">
        <v>0.525</v>
      </c>
      <c r="L18" s="252" t="n">
        <v>0.48</v>
      </c>
      <c r="M18" s="252" t="n">
        <v>0.38</v>
      </c>
      <c r="N18" s="252" t="n">
        <v>0.58</v>
      </c>
      <c r="O18" s="252" t="n">
        <v>0.48</v>
      </c>
      <c r="P18" s="252" t="n">
        <v>0.48</v>
      </c>
      <c r="Q18" s="252" t="n">
        <v>0.225</v>
      </c>
      <c r="R18" s="252" t="n">
        <v>0</v>
      </c>
      <c r="S18" s="233" t="n">
        <v>-0.085</v>
      </c>
      <c r="T18" s="233" t="n">
        <v>-0.005</v>
      </c>
      <c r="U18" s="233" t="n">
        <v>-0.1</v>
      </c>
      <c r="V18" s="233" t="n">
        <v>-0.01</v>
      </c>
      <c r="W18" s="233" t="n">
        <v>-0.1</v>
      </c>
      <c r="X18" s="233" t="n">
        <v>-0.01</v>
      </c>
      <c r="Y18" s="233" t="n">
        <v>0.175</v>
      </c>
      <c r="Z18" s="233" t="n">
        <v>0</v>
      </c>
      <c r="AA18" s="233" t="n">
        <v>0.175</v>
      </c>
      <c r="AB18" s="233" t="n">
        <v>0</v>
      </c>
      <c r="AC18" s="233" t="n">
        <v>0.2275</v>
      </c>
      <c r="AD18" s="233" t="n">
        <v>0.0125</v>
      </c>
      <c r="AE18" s="233" t="n">
        <v>0.1</v>
      </c>
      <c r="AF18" s="233" t="n">
        <v>0.005</v>
      </c>
      <c r="AG18" s="233" t="n">
        <v>0.24</v>
      </c>
      <c r="AH18" s="233" t="n">
        <v>0</v>
      </c>
      <c r="AI18" s="233" t="n">
        <v>0.19</v>
      </c>
      <c r="AJ18" s="233" t="n">
        <v>0</v>
      </c>
      <c r="AK18" s="233" t="n">
        <v>-0.33</v>
      </c>
      <c r="AL18" s="233" t="n">
        <v>0.0033979568422877</v>
      </c>
      <c r="AM18" s="233" t="n">
        <v>0</v>
      </c>
      <c r="AN18" s="233" t="n">
        <v>1.55183695518915</v>
      </c>
      <c r="AO18" s="233" t="n">
        <v>0.525</v>
      </c>
      <c r="AP18" s="233" t="n">
        <v>0.18</v>
      </c>
      <c r="AQ18" s="233" t="n">
        <v>0.18</v>
      </c>
      <c r="AR18" s="233" t="n">
        <f aca="false">1/AN18</f>
        <v>0.644397593868431</v>
      </c>
      <c r="AT18" s="253" t="n">
        <f aca="false">AR18*AM18*$AT$6</f>
        <v>0</v>
      </c>
      <c r="AU18" s="253" t="n">
        <f aca="false">AK18+AL18+AT18</f>
        <v>-0.326602043157712</v>
      </c>
      <c r="AV18" s="233" t="n">
        <f aca="false">[10]Sheet1!AA9</f>
        <v>0.122</v>
      </c>
      <c r="AW18" s="233" t="n">
        <v>0</v>
      </c>
    </row>
    <row r="19" customFormat="false" ht="11.25" hidden="false" customHeight="false" outlineLevel="0" collapsed="false">
      <c r="A19" s="233"/>
      <c r="B19" s="233"/>
      <c r="C19" s="237" t="e">
        <f aca="false">NextMonth(C18)</f>
        <v>#VALUE!</v>
      </c>
      <c r="D19" s="252" t="n">
        <v>0.0422288785147398</v>
      </c>
      <c r="E19" s="252" t="n">
        <v>4.528</v>
      </c>
      <c r="F19" s="252" t="n">
        <v>0.53</v>
      </c>
      <c r="G19" s="252" t="n">
        <v>0.53</v>
      </c>
      <c r="H19" s="252" t="n">
        <v>0.53</v>
      </c>
      <c r="I19" s="252" t="n">
        <v>0.546</v>
      </c>
      <c r="J19" s="252" t="n">
        <v>0.53</v>
      </c>
      <c r="K19" s="233" t="n">
        <v>0.53</v>
      </c>
      <c r="L19" s="252" t="n">
        <v>0.53</v>
      </c>
      <c r="M19" s="252" t="n">
        <v>0.48</v>
      </c>
      <c r="N19" s="252" t="n">
        <v>0.63</v>
      </c>
      <c r="O19" s="252" t="n">
        <v>0.43</v>
      </c>
      <c r="P19" s="252" t="n">
        <v>0.53</v>
      </c>
      <c r="Q19" s="252" t="n">
        <v>0.225</v>
      </c>
      <c r="R19" s="252" t="n">
        <v>0</v>
      </c>
      <c r="S19" s="233" t="n">
        <v>-0.085</v>
      </c>
      <c r="T19" s="233" t="n">
        <v>-0.005</v>
      </c>
      <c r="U19" s="233" t="n">
        <v>-0.1</v>
      </c>
      <c r="V19" s="233" t="n">
        <v>-0.01</v>
      </c>
      <c r="W19" s="233" t="n">
        <v>-0.1</v>
      </c>
      <c r="X19" s="233" t="n">
        <v>-0.01</v>
      </c>
      <c r="Y19" s="233" t="n">
        <v>0.175</v>
      </c>
      <c r="Z19" s="233" t="n">
        <v>0</v>
      </c>
      <c r="AA19" s="233" t="n">
        <v>0.175</v>
      </c>
      <c r="AB19" s="233" t="n">
        <v>0</v>
      </c>
      <c r="AC19" s="233" t="n">
        <v>0.255</v>
      </c>
      <c r="AD19" s="233" t="n">
        <v>0.0125</v>
      </c>
      <c r="AE19" s="233" t="n">
        <v>0.1</v>
      </c>
      <c r="AF19" s="233" t="n">
        <v>0.005</v>
      </c>
      <c r="AG19" s="233" t="n">
        <v>0.215</v>
      </c>
      <c r="AH19" s="233" t="n">
        <v>0</v>
      </c>
      <c r="AI19" s="233" t="n">
        <v>0.165</v>
      </c>
      <c r="AJ19" s="233" t="n">
        <v>0</v>
      </c>
      <c r="AK19" s="233" t="n">
        <v>-0.35</v>
      </c>
      <c r="AL19" s="233" t="n">
        <v>0.0050961123135118</v>
      </c>
      <c r="AM19" s="233" t="n">
        <v>0</v>
      </c>
      <c r="AN19" s="233" t="n">
        <v>1.55208755486578</v>
      </c>
      <c r="AO19" s="233" t="n">
        <v>0.53</v>
      </c>
      <c r="AP19" s="233" t="n">
        <v>0.155</v>
      </c>
      <c r="AQ19" s="233" t="n">
        <v>0.155</v>
      </c>
      <c r="AR19" s="233" t="n">
        <f aca="false">1/AN19</f>
        <v>0.644293549590685</v>
      </c>
      <c r="AT19" s="253" t="n">
        <f aca="false">AR19*AM19*$AT$6</f>
        <v>0</v>
      </c>
      <c r="AU19" s="253" t="n">
        <f aca="false">AK19+AL19+AT19</f>
        <v>-0.344903887686488</v>
      </c>
      <c r="AV19" s="233" t="n">
        <f aca="false">[10]Sheet1!AA10</f>
        <v>0.122</v>
      </c>
      <c r="AW19" s="233" t="n">
        <v>0</v>
      </c>
    </row>
    <row r="20" customFormat="false" ht="11.25" hidden="false" customHeight="false" outlineLevel="0" collapsed="false">
      <c r="A20" s="233"/>
      <c r="B20" s="233"/>
      <c r="C20" s="237" t="e">
        <f aca="false">NextMonth(C19)</f>
        <v>#VALUE!</v>
      </c>
      <c r="D20" s="252" t="n">
        <v>0.0419943687965341</v>
      </c>
      <c r="E20" s="252" t="n">
        <v>4.543</v>
      </c>
      <c r="F20" s="252" t="n">
        <v>0.54</v>
      </c>
      <c r="G20" s="252" t="n">
        <v>0.54</v>
      </c>
      <c r="H20" s="252" t="n">
        <v>0.54</v>
      </c>
      <c r="I20" s="252" t="n">
        <v>0.556</v>
      </c>
      <c r="J20" s="252" t="n">
        <v>0.54</v>
      </c>
      <c r="K20" s="233" t="n">
        <v>0.54</v>
      </c>
      <c r="L20" s="252" t="n">
        <v>0.53</v>
      </c>
      <c r="M20" s="252" t="n">
        <v>0.53</v>
      </c>
      <c r="N20" s="252" t="n">
        <v>0.63</v>
      </c>
      <c r="O20" s="252" t="n">
        <v>0.48</v>
      </c>
      <c r="P20" s="252" t="n">
        <v>0.58</v>
      </c>
      <c r="Q20" s="252" t="n">
        <v>0.225</v>
      </c>
      <c r="R20" s="252" t="n">
        <v>0</v>
      </c>
      <c r="S20" s="254" t="n">
        <v>-0.085</v>
      </c>
      <c r="T20" s="233" t="n">
        <v>-0.005</v>
      </c>
      <c r="U20" s="233" t="n">
        <v>-0.1</v>
      </c>
      <c r="V20" s="233" t="n">
        <v>-0.01</v>
      </c>
      <c r="W20" s="233" t="n">
        <v>-0.1</v>
      </c>
      <c r="X20" s="233" t="n">
        <v>-0.01</v>
      </c>
      <c r="Y20" s="233" t="n">
        <v>0.175</v>
      </c>
      <c r="Z20" s="233" t="n">
        <v>0</v>
      </c>
      <c r="AA20" s="233" t="n">
        <v>0.175</v>
      </c>
      <c r="AB20" s="233" t="n">
        <v>0</v>
      </c>
      <c r="AC20" s="233" t="n">
        <v>0.21</v>
      </c>
      <c r="AD20" s="233" t="n">
        <v>0.0125</v>
      </c>
      <c r="AE20" s="233" t="n">
        <v>0.1</v>
      </c>
      <c r="AF20" s="233" t="n">
        <v>0.005</v>
      </c>
      <c r="AG20" s="233" t="n">
        <v>0.225</v>
      </c>
      <c r="AH20" s="233" t="n">
        <v>0</v>
      </c>
      <c r="AI20" s="233" t="n">
        <v>0.175</v>
      </c>
      <c r="AJ20" s="233" t="n">
        <v>0</v>
      </c>
      <c r="AK20" s="233" t="n">
        <v>-0.35</v>
      </c>
      <c r="AL20" s="233" t="n">
        <v>0.0050953205251694</v>
      </c>
      <c r="AM20" s="233" t="n">
        <v>0</v>
      </c>
      <c r="AN20" s="233" t="n">
        <v>1.55232874181884</v>
      </c>
      <c r="AO20" s="233" t="n">
        <v>0.54</v>
      </c>
      <c r="AP20" s="233" t="n">
        <v>0.165</v>
      </c>
      <c r="AQ20" s="233" t="n">
        <v>0.165</v>
      </c>
      <c r="AR20" s="233" t="n">
        <f aca="false">1/AN20</f>
        <v>0.64419344502268</v>
      </c>
      <c r="AT20" s="253" t="n">
        <f aca="false">AR20*AM20*$AT$6</f>
        <v>0</v>
      </c>
      <c r="AU20" s="253" t="n">
        <f aca="false">AK20+AL20+AT20</f>
        <v>-0.344904679474831</v>
      </c>
      <c r="AV20" s="233" t="n">
        <f aca="false">[10]Sheet1!AA11</f>
        <v>0.122</v>
      </c>
      <c r="AW20" s="233" t="n">
        <v>0</v>
      </c>
    </row>
    <row r="21" customFormat="false" ht="11.25" hidden="false" customHeight="false" outlineLevel="0" collapsed="false">
      <c r="A21" s="233"/>
      <c r="B21" s="233"/>
      <c r="C21" s="237" t="e">
        <f aca="false">NextMonth(C20)</f>
        <v>#VALUE!</v>
      </c>
      <c r="D21" s="252" t="n">
        <v>0.0418250172989123</v>
      </c>
      <c r="E21" s="252" t="n">
        <v>4.563</v>
      </c>
      <c r="F21" s="252" t="n">
        <v>0.55</v>
      </c>
      <c r="G21" s="252" t="n">
        <v>0.55</v>
      </c>
      <c r="H21" s="252" t="n">
        <v>0.55</v>
      </c>
      <c r="I21" s="252" t="n">
        <v>0.567</v>
      </c>
      <c r="J21" s="252" t="n">
        <v>0.55</v>
      </c>
      <c r="K21" s="233" t="n">
        <v>0.55</v>
      </c>
      <c r="L21" s="252" t="n">
        <v>0.58</v>
      </c>
      <c r="M21" s="252" t="n">
        <v>0.53</v>
      </c>
      <c r="N21" s="252" t="n">
        <v>0.68</v>
      </c>
      <c r="O21" s="252" t="n">
        <v>0.48</v>
      </c>
      <c r="P21" s="252" t="n">
        <v>0.63</v>
      </c>
      <c r="Q21" s="252" t="n">
        <v>0.225</v>
      </c>
      <c r="R21" s="252" t="n">
        <v>0</v>
      </c>
      <c r="S21" s="233" t="n">
        <v>-0.085</v>
      </c>
      <c r="T21" s="233" t="n">
        <v>-0.005</v>
      </c>
      <c r="U21" s="233" t="n">
        <v>-0.1</v>
      </c>
      <c r="V21" s="233" t="n">
        <v>-0.01</v>
      </c>
      <c r="W21" s="233" t="n">
        <v>-0.1</v>
      </c>
      <c r="X21" s="233" t="n">
        <v>-0.01</v>
      </c>
      <c r="Y21" s="233" t="n">
        <v>0.175</v>
      </c>
      <c r="Z21" s="233" t="n">
        <v>0</v>
      </c>
      <c r="AA21" s="233" t="n">
        <v>0.175</v>
      </c>
      <c r="AB21" s="233" t="n">
        <v>0</v>
      </c>
      <c r="AC21" s="233" t="n">
        <v>0.2325</v>
      </c>
      <c r="AD21" s="233" t="n">
        <v>0.0125</v>
      </c>
      <c r="AE21" s="233" t="n">
        <v>0.1</v>
      </c>
      <c r="AF21" s="233" t="n">
        <v>0.005</v>
      </c>
      <c r="AG21" s="233" t="n">
        <v>0.23</v>
      </c>
      <c r="AH21" s="233" t="n">
        <v>0</v>
      </c>
      <c r="AI21" s="233" t="n">
        <v>0.18</v>
      </c>
      <c r="AJ21" s="233" t="n">
        <v>0</v>
      </c>
      <c r="AK21" s="233" t="n">
        <v>-0.29</v>
      </c>
      <c r="AL21" s="233" t="n">
        <v>0.0050943268567908</v>
      </c>
      <c r="AM21" s="233" t="n">
        <v>0</v>
      </c>
      <c r="AN21" s="233" t="n">
        <v>1.55263152961147</v>
      </c>
      <c r="AO21" s="233" t="n">
        <v>0.55</v>
      </c>
      <c r="AP21" s="233" t="n">
        <v>0.17</v>
      </c>
      <c r="AQ21" s="233" t="n">
        <v>0.17</v>
      </c>
      <c r="AR21" s="233" t="n">
        <f aca="false">1/AN21</f>
        <v>0.644067817075852</v>
      </c>
      <c r="AT21" s="253" t="n">
        <f aca="false">AR21*AM21*$AT$6</f>
        <v>0</v>
      </c>
      <c r="AU21" s="253" t="n">
        <f aca="false">AK21+AL21+AT21</f>
        <v>-0.284905673143209</v>
      </c>
      <c r="AV21" s="233" t="n">
        <f aca="false">[10]Sheet1!AA12</f>
        <v>0.122</v>
      </c>
      <c r="AW21" s="233" t="n">
        <v>0</v>
      </c>
    </row>
    <row r="22" customFormat="false" ht="11.25" hidden="false" customHeight="false" outlineLevel="0" collapsed="false">
      <c r="A22" s="233"/>
      <c r="B22" s="233"/>
      <c r="C22" s="237" t="e">
        <f aca="false">NextMonth(C21)</f>
        <v>#VALUE!</v>
      </c>
      <c r="D22" s="252" t="n">
        <v>0.0417549482375708</v>
      </c>
      <c r="E22" s="252" t="n">
        <v>4.728</v>
      </c>
      <c r="F22" s="252" t="n">
        <v>0.56</v>
      </c>
      <c r="G22" s="252" t="n">
        <v>0.56</v>
      </c>
      <c r="H22" s="252" t="n">
        <v>0.56</v>
      </c>
      <c r="I22" s="252" t="n">
        <v>0.577</v>
      </c>
      <c r="J22" s="252" t="n">
        <v>0.56</v>
      </c>
      <c r="K22" s="233" t="n">
        <v>0.56</v>
      </c>
      <c r="L22" s="252" t="n">
        <v>1.05</v>
      </c>
      <c r="M22" s="252" t="n">
        <v>1.05</v>
      </c>
      <c r="N22" s="252" t="n">
        <v>1.05</v>
      </c>
      <c r="O22" s="252" t="n">
        <v>1.2</v>
      </c>
      <c r="P22" s="252" t="n">
        <v>1.1</v>
      </c>
      <c r="Q22" s="252" t="n">
        <v>0.25</v>
      </c>
      <c r="R22" s="252" t="n">
        <v>0</v>
      </c>
      <c r="S22" s="233" t="n">
        <v>-0.08</v>
      </c>
      <c r="T22" s="233" t="n">
        <v>0.005</v>
      </c>
      <c r="U22" s="233" t="n">
        <v>-0.1</v>
      </c>
      <c r="V22" s="233" t="n">
        <v>0.01</v>
      </c>
      <c r="W22" s="233" t="n">
        <v>-0.1</v>
      </c>
      <c r="X22" s="233" t="n">
        <v>0.01</v>
      </c>
      <c r="Y22" s="233" t="n">
        <v>0.165</v>
      </c>
      <c r="Z22" s="233" t="n">
        <v>0</v>
      </c>
      <c r="AA22" s="233" t="n">
        <v>0.165</v>
      </c>
      <c r="AB22" s="233" t="n">
        <v>0</v>
      </c>
      <c r="AC22" s="233" t="n">
        <v>0.27</v>
      </c>
      <c r="AD22" s="233" t="n">
        <v>0.03</v>
      </c>
      <c r="AE22" s="233" t="n">
        <v>0.12</v>
      </c>
      <c r="AF22" s="233" t="n">
        <v>0.025</v>
      </c>
      <c r="AG22" s="233" t="n">
        <v>0.435</v>
      </c>
      <c r="AH22" s="233" t="n">
        <v>0</v>
      </c>
      <c r="AI22" s="233" t="n">
        <v>0.25</v>
      </c>
      <c r="AJ22" s="233" t="n">
        <v>0</v>
      </c>
      <c r="AK22" s="233" t="n">
        <v>-0.28</v>
      </c>
      <c r="AL22" s="233" t="n">
        <v>0.0033955850043292</v>
      </c>
      <c r="AM22" s="233" t="n">
        <v>0.15</v>
      </c>
      <c r="AN22" s="233" t="n">
        <v>1.55292092328038</v>
      </c>
      <c r="AO22" s="233" t="n">
        <v>0.56</v>
      </c>
      <c r="AP22" s="233" t="n">
        <v>0.24</v>
      </c>
      <c r="AQ22" s="233" t="n">
        <v>0.24</v>
      </c>
      <c r="AR22" s="233" t="n">
        <f aca="false">1/AN22</f>
        <v>0.643947792195115</v>
      </c>
      <c r="AT22" s="253" t="n">
        <f aca="false">AR22*AM22*$AT$6</f>
        <v>0.101910147276331</v>
      </c>
      <c r="AU22" s="253" t="n">
        <f aca="false">AK22+AL22+AT22</f>
        <v>-0.17469426771934</v>
      </c>
      <c r="AV22" s="233" t="n">
        <f aca="false">[10]Sheet1!AA13</f>
        <v>0.171071428571429</v>
      </c>
      <c r="AW22" s="233" t="n">
        <v>0</v>
      </c>
    </row>
    <row r="23" customFormat="false" ht="11.25" hidden="false" customHeight="false" outlineLevel="0" collapsed="false">
      <c r="A23" s="233"/>
      <c r="B23" s="233"/>
      <c r="C23" s="237" t="e">
        <f aca="false">NextMonth(C22)</f>
        <v>#VALUE!</v>
      </c>
      <c r="D23" s="252" t="n">
        <v>0.0416871394700977</v>
      </c>
      <c r="E23" s="252" t="n">
        <v>4.885</v>
      </c>
      <c r="F23" s="252" t="n">
        <v>0.5675</v>
      </c>
      <c r="G23" s="252" t="n">
        <v>0.568</v>
      </c>
      <c r="H23" s="252" t="n">
        <v>0.568</v>
      </c>
      <c r="I23" s="252" t="n">
        <v>0.585</v>
      </c>
      <c r="J23" s="252" t="n">
        <v>0.568</v>
      </c>
      <c r="K23" s="233" t="n">
        <v>0.568</v>
      </c>
      <c r="L23" s="252" t="n">
        <v>1.25</v>
      </c>
      <c r="M23" s="252" t="n">
        <v>1.25</v>
      </c>
      <c r="N23" s="252" t="n">
        <v>1.35</v>
      </c>
      <c r="O23" s="252" t="n">
        <v>1.6</v>
      </c>
      <c r="P23" s="252" t="n">
        <v>1.3</v>
      </c>
      <c r="Q23" s="252" t="n">
        <v>0.26</v>
      </c>
      <c r="R23" s="252" t="n">
        <v>0</v>
      </c>
      <c r="S23" s="233" t="n">
        <v>-0.08</v>
      </c>
      <c r="T23" s="233" t="n">
        <v>0.005</v>
      </c>
      <c r="U23" s="233" t="n">
        <v>-0.1025</v>
      </c>
      <c r="V23" s="233" t="n">
        <v>0.01</v>
      </c>
      <c r="W23" s="233" t="n">
        <v>-0.1025</v>
      </c>
      <c r="X23" s="233" t="n">
        <v>0.01</v>
      </c>
      <c r="Y23" s="233" t="n">
        <v>0.175</v>
      </c>
      <c r="Z23" s="233" t="n">
        <v>0</v>
      </c>
      <c r="AA23" s="233" t="n">
        <v>0.175</v>
      </c>
      <c r="AB23" s="233" t="n">
        <v>0</v>
      </c>
      <c r="AC23" s="233" t="n">
        <v>0.3</v>
      </c>
      <c r="AD23" s="233" t="n">
        <v>0.03</v>
      </c>
      <c r="AE23" s="233" t="n">
        <v>0.16</v>
      </c>
      <c r="AF23" s="233" t="n">
        <v>0.025</v>
      </c>
      <c r="AG23" s="233" t="n">
        <v>0.435</v>
      </c>
      <c r="AH23" s="233" t="n">
        <v>0</v>
      </c>
      <c r="AI23" s="233" t="n">
        <v>0.25</v>
      </c>
      <c r="AJ23" s="233" t="n">
        <v>0</v>
      </c>
      <c r="AK23" s="233" t="n">
        <v>-0.28</v>
      </c>
      <c r="AL23" s="233" t="n">
        <v>0.0033949935940565</v>
      </c>
      <c r="AM23" s="233" t="n">
        <v>0.15</v>
      </c>
      <c r="AN23" s="233" t="n">
        <v>1.55319144319782</v>
      </c>
      <c r="AO23" s="233" t="n">
        <v>0.568</v>
      </c>
      <c r="AP23" s="233" t="n">
        <v>0.24</v>
      </c>
      <c r="AQ23" s="233" t="n">
        <v>0.24</v>
      </c>
      <c r="AR23" s="233" t="n">
        <f aca="false">1/AN23</f>
        <v>0.643835635574408</v>
      </c>
      <c r="AT23" s="253" t="n">
        <f aca="false">AR23*AM23*$AT$6</f>
        <v>0.101892397548989</v>
      </c>
      <c r="AU23" s="253" t="n">
        <f aca="false">AK23+AL23+AT23</f>
        <v>-0.174712608856955</v>
      </c>
      <c r="AV23" s="233" t="n">
        <f aca="false">[10]Sheet1!AA14</f>
        <v>0.176071428571429</v>
      </c>
      <c r="AW23" s="233" t="n">
        <v>0</v>
      </c>
    </row>
    <row r="24" customFormat="false" ht="11.25" hidden="false" customHeight="false" outlineLevel="0" collapsed="false">
      <c r="A24" s="233"/>
      <c r="B24" s="233"/>
      <c r="C24" s="237" t="e">
        <f aca="false">NextMonth(C23)</f>
        <v>#VALUE!</v>
      </c>
      <c r="D24" s="252" t="n">
        <v>0.0417687918796337</v>
      </c>
      <c r="E24" s="232" t="n">
        <v>4.947</v>
      </c>
      <c r="F24" s="232" t="n">
        <v>0.575</v>
      </c>
      <c r="G24" s="232" t="n">
        <v>0.575</v>
      </c>
      <c r="H24" s="232" t="n">
        <v>0.575</v>
      </c>
      <c r="I24" s="232" t="n">
        <v>0.592</v>
      </c>
      <c r="J24" s="232" t="n">
        <v>0.575</v>
      </c>
      <c r="K24" s="233" t="n">
        <v>0.575</v>
      </c>
      <c r="L24" s="232" t="n">
        <v>1.25</v>
      </c>
      <c r="M24" s="232" t="n">
        <v>1.25</v>
      </c>
      <c r="N24" s="232" t="n">
        <v>1.35</v>
      </c>
      <c r="O24" s="232" t="n">
        <v>1.6</v>
      </c>
      <c r="P24" s="232" t="n">
        <v>1.3</v>
      </c>
      <c r="Q24" s="252" t="n">
        <v>0.26</v>
      </c>
      <c r="R24" s="252" t="n">
        <v>0</v>
      </c>
      <c r="S24" s="233" t="n">
        <v>-0.08</v>
      </c>
      <c r="T24" s="233" t="n">
        <v>0.005</v>
      </c>
      <c r="U24" s="233" t="n">
        <v>-0.105</v>
      </c>
      <c r="V24" s="233" t="n">
        <v>0.01</v>
      </c>
      <c r="W24" s="233" t="n">
        <v>-0.105</v>
      </c>
      <c r="X24" s="233" t="n">
        <v>0.01</v>
      </c>
      <c r="Y24" s="233" t="n">
        <v>0.175</v>
      </c>
      <c r="Z24" s="233" t="n">
        <v>0</v>
      </c>
      <c r="AA24" s="233" t="n">
        <v>0.175</v>
      </c>
      <c r="AB24" s="233" t="n">
        <v>0</v>
      </c>
      <c r="AC24" s="233" t="n">
        <v>0.3</v>
      </c>
      <c r="AD24" s="233" t="n">
        <v>0.03</v>
      </c>
      <c r="AE24" s="233" t="n">
        <v>0.215</v>
      </c>
      <c r="AF24" s="233" t="n">
        <v>0.025</v>
      </c>
      <c r="AG24" s="233" t="n">
        <v>0.435</v>
      </c>
      <c r="AH24" s="233" t="n">
        <v>0</v>
      </c>
      <c r="AI24" s="233" t="n">
        <v>0.25</v>
      </c>
      <c r="AJ24" s="233" t="n">
        <v>0</v>
      </c>
      <c r="AK24" s="233" t="n">
        <v>-0.28</v>
      </c>
      <c r="AL24" s="233" t="n">
        <v>0.0033944201048771</v>
      </c>
      <c r="AM24" s="233" t="n">
        <v>0.15</v>
      </c>
      <c r="AN24" s="233" t="n">
        <v>1.55345385576276</v>
      </c>
      <c r="AO24" s="233" t="n">
        <v>0.575</v>
      </c>
      <c r="AP24" s="233" t="n">
        <v>0.24</v>
      </c>
      <c r="AQ24" s="233" t="n">
        <v>0.24</v>
      </c>
      <c r="AR24" s="233" t="n">
        <f aca="false">1/AN24</f>
        <v>0.643726877557616</v>
      </c>
      <c r="AT24" s="253" t="n">
        <f aca="false">AR24*AM24*$AT$6</f>
        <v>0.101875185679264</v>
      </c>
      <c r="AU24" s="253" t="n">
        <f aca="false">AK24+AL24+AT24</f>
        <v>-0.174730394215859</v>
      </c>
      <c r="AV24" s="233" t="n">
        <f aca="false">[10]Sheet1!AA15</f>
        <v>0.176071428571429</v>
      </c>
      <c r="AW24" s="233" t="n">
        <v>0</v>
      </c>
    </row>
    <row r="25" customFormat="false" ht="11.25" hidden="false" customHeight="false" outlineLevel="0" collapsed="false">
      <c r="A25" s="233"/>
      <c r="B25" s="233"/>
      <c r="C25" s="237" t="e">
        <f aca="false">NextMonth(C24)</f>
        <v>#VALUE!</v>
      </c>
      <c r="D25" s="252" t="n">
        <v>0.042060520188163</v>
      </c>
      <c r="E25" s="232" t="n">
        <v>4.817</v>
      </c>
      <c r="F25" s="232" t="n">
        <v>0.57</v>
      </c>
      <c r="G25" s="232" t="n">
        <v>0.57</v>
      </c>
      <c r="H25" s="232" t="n">
        <v>0.57</v>
      </c>
      <c r="I25" s="232" t="n">
        <v>0.587</v>
      </c>
      <c r="J25" s="232" t="n">
        <v>0.57</v>
      </c>
      <c r="K25" s="233" t="n">
        <v>0.57</v>
      </c>
      <c r="L25" s="232" t="n">
        <v>1.25</v>
      </c>
      <c r="M25" s="232" t="n">
        <v>1.25</v>
      </c>
      <c r="N25" s="232" t="n">
        <v>1.35</v>
      </c>
      <c r="O25" s="232" t="n">
        <v>1.6</v>
      </c>
      <c r="P25" s="232" t="n">
        <v>1.3</v>
      </c>
      <c r="Q25" s="252" t="n">
        <v>0.34</v>
      </c>
      <c r="R25" s="252" t="n">
        <v>0</v>
      </c>
      <c r="S25" s="233" t="n">
        <v>-0.08</v>
      </c>
      <c r="T25" s="233" t="n">
        <v>0.005</v>
      </c>
      <c r="U25" s="233" t="n">
        <v>-0.0975</v>
      </c>
      <c r="V25" s="233" t="n">
        <v>0.01</v>
      </c>
      <c r="W25" s="233" t="n">
        <v>-0.0975</v>
      </c>
      <c r="X25" s="233" t="n">
        <v>0.01</v>
      </c>
      <c r="Y25" s="233" t="n">
        <v>0.255</v>
      </c>
      <c r="Z25" s="233" t="n">
        <v>0</v>
      </c>
      <c r="AA25" s="233" t="n">
        <v>0.255</v>
      </c>
      <c r="AB25" s="233" t="n">
        <v>0</v>
      </c>
      <c r="AC25" s="233" t="n">
        <v>0.3</v>
      </c>
      <c r="AD25" s="233" t="n">
        <v>0.03</v>
      </c>
      <c r="AE25" s="233" t="n">
        <v>0.205</v>
      </c>
      <c r="AF25" s="233" t="n">
        <v>0.025</v>
      </c>
      <c r="AG25" s="233" t="n">
        <v>0.545</v>
      </c>
      <c r="AH25" s="233" t="n">
        <v>0</v>
      </c>
      <c r="AI25" s="233" t="n">
        <v>0.36</v>
      </c>
      <c r="AJ25" s="233" t="n">
        <v>0</v>
      </c>
      <c r="AK25" s="233" t="n">
        <v>-0.28</v>
      </c>
      <c r="AL25" s="233" t="n">
        <v>0.0033940075857904</v>
      </c>
      <c r="AM25" s="233" t="n">
        <v>0.15</v>
      </c>
      <c r="AN25" s="233" t="n">
        <v>1.55364266776437</v>
      </c>
      <c r="AO25" s="233" t="n">
        <v>0.57</v>
      </c>
      <c r="AP25" s="233" t="n">
        <v>0.35</v>
      </c>
      <c r="AQ25" s="233" t="n">
        <v>0.35</v>
      </c>
      <c r="AR25" s="233" t="n">
        <f aca="false">1/AN25</f>
        <v>0.643648646338325</v>
      </c>
      <c r="AT25" s="253" t="n">
        <f aca="false">AR25*AM25*$AT$6</f>
        <v>0.101862804931669</v>
      </c>
      <c r="AU25" s="253" t="n">
        <f aca="false">AK25+AL25+AT25</f>
        <v>-0.174743187482541</v>
      </c>
      <c r="AV25" s="233" t="n">
        <f aca="false">[10]Sheet1!AA16</f>
        <v>0.176071428571429</v>
      </c>
      <c r="AW25" s="233" t="n">
        <v>0</v>
      </c>
    </row>
    <row r="26" customFormat="false" ht="11.25" hidden="false" customHeight="false" outlineLevel="0" collapsed="false">
      <c r="A26" s="233"/>
      <c r="B26" s="233"/>
      <c r="C26" s="237" t="e">
        <f aca="false">NextMonth(C25)</f>
        <v>#VALUE!</v>
      </c>
      <c r="D26" s="252" t="n">
        <v>0.0423240167494177</v>
      </c>
      <c r="E26" s="232" t="n">
        <v>4.63</v>
      </c>
      <c r="F26" s="232" t="n">
        <v>0.5225</v>
      </c>
      <c r="G26" s="232" t="n">
        <v>0.523</v>
      </c>
      <c r="H26" s="232" t="n">
        <v>0.523</v>
      </c>
      <c r="I26" s="232" t="n">
        <v>0.538</v>
      </c>
      <c r="J26" s="232" t="n">
        <v>0.523</v>
      </c>
      <c r="K26" s="233" t="n">
        <v>0.523</v>
      </c>
      <c r="L26" s="232" t="n">
        <v>1</v>
      </c>
      <c r="M26" s="232" t="n">
        <v>1</v>
      </c>
      <c r="N26" s="232" t="n">
        <v>1</v>
      </c>
      <c r="O26" s="232" t="n">
        <v>1.2</v>
      </c>
      <c r="P26" s="232" t="n">
        <v>1</v>
      </c>
      <c r="Q26" s="252" t="n">
        <v>0.34</v>
      </c>
      <c r="R26" s="252" t="n">
        <v>0</v>
      </c>
      <c r="S26" s="233" t="n">
        <v>-0.08</v>
      </c>
      <c r="T26" s="233" t="n">
        <v>0.005</v>
      </c>
      <c r="U26" s="233" t="n">
        <v>-0.095</v>
      </c>
      <c r="V26" s="233" t="n">
        <v>0.01</v>
      </c>
      <c r="W26" s="233" t="n">
        <v>-0.095</v>
      </c>
      <c r="X26" s="233" t="n">
        <v>0.01</v>
      </c>
      <c r="Y26" s="233" t="n">
        <v>0.255</v>
      </c>
      <c r="Z26" s="233" t="n">
        <v>0</v>
      </c>
      <c r="AA26" s="233" t="n">
        <v>0.255</v>
      </c>
      <c r="AB26" s="233" t="n">
        <v>0</v>
      </c>
      <c r="AC26" s="233" t="n">
        <v>0.27</v>
      </c>
      <c r="AD26" s="233" t="n">
        <v>0.03</v>
      </c>
      <c r="AE26" s="233" t="n">
        <v>0.2</v>
      </c>
      <c r="AF26" s="233" t="n">
        <v>0.025</v>
      </c>
      <c r="AG26" s="233" t="n">
        <v>0.545</v>
      </c>
      <c r="AH26" s="233" t="n">
        <v>0</v>
      </c>
      <c r="AI26" s="233" t="n">
        <v>0.36</v>
      </c>
      <c r="AJ26" s="233" t="n">
        <v>0</v>
      </c>
      <c r="AK26" s="233" t="n">
        <v>-0.28</v>
      </c>
      <c r="AL26" s="233" t="n">
        <v>0.0033936848097206</v>
      </c>
      <c r="AM26" s="233" t="n">
        <v>0.15</v>
      </c>
      <c r="AN26" s="233" t="n">
        <v>1.55379043595804</v>
      </c>
      <c r="AO26" s="233" t="n">
        <v>0.523</v>
      </c>
      <c r="AP26" s="233" t="n">
        <v>0.35</v>
      </c>
      <c r="AQ26" s="233" t="n">
        <v>0.35</v>
      </c>
      <c r="AR26" s="233" t="n">
        <f aca="false">1/AN26</f>
        <v>0.643587434223984</v>
      </c>
      <c r="AT26" s="253" t="n">
        <f aca="false">AR26*AM26*$AT$6</f>
        <v>0.101853117600393</v>
      </c>
      <c r="AU26" s="253" t="n">
        <f aca="false">AK26+AL26+AT26</f>
        <v>-0.174753197589887</v>
      </c>
      <c r="AV26" s="233" t="n">
        <f aca="false">[10]Sheet1!AA17</f>
        <v>0.176071428571429</v>
      </c>
      <c r="AW26" s="233" t="n">
        <v>0</v>
      </c>
    </row>
    <row r="27" customFormat="false" ht="11.25" hidden="false" customHeight="false" outlineLevel="0" collapsed="false">
      <c r="A27" s="233"/>
      <c r="B27" s="233"/>
      <c r="C27" s="237" t="e">
        <f aca="false">NextMonth(C26)</f>
        <v>#VALUE!</v>
      </c>
      <c r="D27" s="252" t="n">
        <v>0.0426279777012195</v>
      </c>
      <c r="E27" s="232" t="n">
        <v>4.292</v>
      </c>
      <c r="F27" s="232" t="n">
        <v>0.4</v>
      </c>
      <c r="G27" s="232" t="n">
        <v>0.4</v>
      </c>
      <c r="H27" s="232" t="n">
        <v>0.4</v>
      </c>
      <c r="I27" s="232" t="n">
        <v>0.412</v>
      </c>
      <c r="J27" s="232" t="n">
        <v>0.4</v>
      </c>
      <c r="K27" s="233" t="n">
        <v>0.4</v>
      </c>
      <c r="L27" s="232" t="n">
        <v>0.4</v>
      </c>
      <c r="M27" s="232" t="n">
        <v>0.4</v>
      </c>
      <c r="N27" s="232" t="n">
        <v>0.45</v>
      </c>
      <c r="O27" s="232" t="n">
        <v>0.5</v>
      </c>
      <c r="P27" s="232" t="n">
        <v>0.45</v>
      </c>
      <c r="Q27" s="252" t="n">
        <v>0.225</v>
      </c>
      <c r="R27" s="252" t="n">
        <v>0</v>
      </c>
      <c r="S27" s="233" t="n">
        <v>-0.075</v>
      </c>
      <c r="T27" s="233" t="n">
        <v>0</v>
      </c>
      <c r="U27" s="233" t="n">
        <v>-0.09</v>
      </c>
      <c r="V27" s="233" t="n">
        <v>-0.01</v>
      </c>
      <c r="W27" s="233" t="n">
        <v>-0.09</v>
      </c>
      <c r="X27" s="233" t="n">
        <v>-0.01</v>
      </c>
      <c r="Y27" s="233" t="n">
        <v>0.165</v>
      </c>
      <c r="Z27" s="233" t="n">
        <v>0</v>
      </c>
      <c r="AA27" s="233" t="n">
        <v>0.165</v>
      </c>
      <c r="AB27" s="233" t="n">
        <v>0</v>
      </c>
      <c r="AC27" s="233" t="n">
        <v>0.205</v>
      </c>
      <c r="AD27" s="233" t="n">
        <v>0.0175</v>
      </c>
      <c r="AE27" s="233" t="n">
        <v>0.09</v>
      </c>
      <c r="AF27" s="233" t="n">
        <v>0.005</v>
      </c>
      <c r="AG27" s="233" t="n">
        <v>0.245</v>
      </c>
      <c r="AH27" s="233" t="n">
        <v>0</v>
      </c>
      <c r="AI27" s="233" t="n">
        <v>0.18</v>
      </c>
      <c r="AJ27" s="233" t="n">
        <v>0</v>
      </c>
      <c r="AK27" s="233" t="n">
        <v>-0.37</v>
      </c>
      <c r="AL27" s="233" t="n">
        <v>0.0016966422310489</v>
      </c>
      <c r="AM27" s="233" t="n">
        <v>0.15</v>
      </c>
      <c r="AN27" s="233" t="n">
        <v>1.55397375578111</v>
      </c>
      <c r="AO27" s="233" t="n">
        <v>0.4</v>
      </c>
      <c r="AP27" s="233" t="n">
        <v>0.175</v>
      </c>
      <c r="AQ27" s="233" t="n">
        <v>0.175</v>
      </c>
      <c r="AR27" s="233" t="n">
        <f aca="false">1/AN27</f>
        <v>0.643511511233565</v>
      </c>
      <c r="AT27" s="253" t="n">
        <f aca="false">AR27*AM27*$AT$6</f>
        <v>0.101841102149406</v>
      </c>
      <c r="AU27" s="253" t="n">
        <f aca="false">AK27+AL27+AT27</f>
        <v>-0.266462255619545</v>
      </c>
      <c r="AV27" s="233" t="n">
        <f aca="false">[10]Sheet1!AA18</f>
        <v>0.132</v>
      </c>
      <c r="AW27" s="233" t="n">
        <v>0</v>
      </c>
    </row>
    <row r="28" customFormat="false" ht="11.25" hidden="false" customHeight="false" outlineLevel="0" collapsed="false">
      <c r="A28" s="233"/>
      <c r="B28" s="233"/>
      <c r="C28" s="237" t="e">
        <f aca="false">NextMonth(C27)</f>
        <v>#VALUE!</v>
      </c>
      <c r="D28" s="252" t="n">
        <v>0.0429296262600438</v>
      </c>
      <c r="E28" s="232" t="n">
        <v>4.212</v>
      </c>
      <c r="F28" s="232" t="n">
        <v>0.35</v>
      </c>
      <c r="G28" s="232" t="n">
        <v>0.35</v>
      </c>
      <c r="H28" s="232" t="n">
        <v>0.35</v>
      </c>
      <c r="I28" s="232" t="n">
        <v>0.361</v>
      </c>
      <c r="J28" s="232" t="n">
        <v>0.35</v>
      </c>
      <c r="K28" s="233" t="n">
        <v>0.35</v>
      </c>
      <c r="L28" s="232" t="n">
        <v>0.45</v>
      </c>
      <c r="M28" s="232" t="n">
        <v>0.4</v>
      </c>
      <c r="N28" s="232" t="n">
        <v>0.5</v>
      </c>
      <c r="O28" s="232" t="n">
        <v>0.45</v>
      </c>
      <c r="P28" s="232" t="n">
        <v>0.45</v>
      </c>
      <c r="Q28" s="252" t="n">
        <v>0.225</v>
      </c>
      <c r="R28" s="252" t="n">
        <v>0</v>
      </c>
      <c r="S28" s="233" t="n">
        <v>-0.075</v>
      </c>
      <c r="T28" s="233" t="n">
        <v>0</v>
      </c>
      <c r="U28" s="233" t="n">
        <v>-0.09</v>
      </c>
      <c r="V28" s="233" t="n">
        <v>-0.01</v>
      </c>
      <c r="W28" s="233" t="n">
        <v>-0.09</v>
      </c>
      <c r="X28" s="233" t="n">
        <v>-0.01</v>
      </c>
      <c r="Y28" s="233" t="n">
        <v>0.165</v>
      </c>
      <c r="Z28" s="233" t="n">
        <v>0</v>
      </c>
      <c r="AA28" s="233" t="n">
        <v>0.165</v>
      </c>
      <c r="AB28" s="233" t="n">
        <v>0</v>
      </c>
      <c r="AC28" s="233" t="n">
        <v>0.195</v>
      </c>
      <c r="AD28" s="233" t="n">
        <v>0.01</v>
      </c>
      <c r="AE28" s="233" t="n">
        <v>0.09</v>
      </c>
      <c r="AF28" s="233" t="n">
        <v>0.005</v>
      </c>
      <c r="AG28" s="233" t="n">
        <v>0.245</v>
      </c>
      <c r="AH28" s="233" t="n">
        <v>0</v>
      </c>
      <c r="AI28" s="233" t="n">
        <v>0.18</v>
      </c>
      <c r="AJ28" s="233" t="n">
        <v>0</v>
      </c>
      <c r="AK28" s="233" t="n">
        <v>-0.37</v>
      </c>
      <c r="AL28" s="233" t="n">
        <v>0.0016963930845596</v>
      </c>
      <c r="AM28" s="233" t="n">
        <v>0.15</v>
      </c>
      <c r="AN28" s="233" t="n">
        <v>1.55420198537559</v>
      </c>
      <c r="AO28" s="233" t="n">
        <v>0.35</v>
      </c>
      <c r="AP28" s="233" t="n">
        <v>0.175</v>
      </c>
      <c r="AQ28" s="233" t="n">
        <v>0.175</v>
      </c>
      <c r="AR28" s="233" t="n">
        <f aca="false">1/AN28</f>
        <v>0.643417013624738</v>
      </c>
      <c r="AT28" s="253" t="n">
        <f aca="false">AR28*AM28*$AT$6</f>
        <v>0.101826147109029</v>
      </c>
      <c r="AU28" s="253" t="n">
        <f aca="false">AK28+AL28+AT28</f>
        <v>-0.266477459806411</v>
      </c>
      <c r="AV28" s="233" t="n">
        <f aca="false">[10]Sheet1!AA19</f>
        <v>0.132</v>
      </c>
      <c r="AW28" s="233" t="n">
        <v>0</v>
      </c>
    </row>
    <row r="29" customFormat="false" ht="11.25" hidden="false" customHeight="false" outlineLevel="0" collapsed="false">
      <c r="A29" s="233"/>
      <c r="B29" s="233"/>
      <c r="C29" s="237" t="e">
        <f aca="false">NextMonth(C28)</f>
        <v>#VALUE!</v>
      </c>
      <c r="D29" s="252" t="n">
        <v>0.0432413298028562</v>
      </c>
      <c r="E29" s="232" t="n">
        <v>4.252</v>
      </c>
      <c r="F29" s="232" t="n">
        <v>0.35</v>
      </c>
      <c r="G29" s="232" t="n">
        <v>0.35</v>
      </c>
      <c r="H29" s="232" t="n">
        <v>0.35</v>
      </c>
      <c r="I29" s="232" t="n">
        <v>0.361</v>
      </c>
      <c r="J29" s="232" t="n">
        <v>0.35</v>
      </c>
      <c r="K29" s="233" t="n">
        <v>0.35</v>
      </c>
      <c r="L29" s="232" t="n">
        <v>0.45</v>
      </c>
      <c r="M29" s="232" t="n">
        <v>0.4</v>
      </c>
      <c r="N29" s="232" t="n">
        <v>0.5</v>
      </c>
      <c r="O29" s="232" t="n">
        <v>0.5</v>
      </c>
      <c r="P29" s="232" t="n">
        <v>0.5</v>
      </c>
      <c r="Q29" s="252" t="n">
        <v>0.225</v>
      </c>
      <c r="R29" s="252" t="n">
        <v>0</v>
      </c>
      <c r="S29" s="233" t="n">
        <v>-0.075</v>
      </c>
      <c r="T29" s="233" t="n">
        <v>0</v>
      </c>
      <c r="U29" s="233" t="n">
        <v>-0.09</v>
      </c>
      <c r="V29" s="233" t="n">
        <v>-0.01</v>
      </c>
      <c r="W29" s="233" t="n">
        <v>-0.09</v>
      </c>
      <c r="X29" s="233" t="n">
        <v>-0.01</v>
      </c>
      <c r="Y29" s="233" t="n">
        <v>0.165</v>
      </c>
      <c r="Z29" s="233" t="n">
        <v>0</v>
      </c>
      <c r="AA29" s="233" t="n">
        <v>0.165</v>
      </c>
      <c r="AB29" s="233" t="n">
        <v>0</v>
      </c>
      <c r="AC29" s="233" t="n">
        <v>0.205</v>
      </c>
      <c r="AD29" s="233" t="n">
        <v>0.0125</v>
      </c>
      <c r="AE29" s="233" t="n">
        <v>0.09</v>
      </c>
      <c r="AF29" s="233" t="n">
        <v>0.005</v>
      </c>
      <c r="AG29" s="233" t="n">
        <v>0.245</v>
      </c>
      <c r="AH29" s="233" t="n">
        <v>0</v>
      </c>
      <c r="AI29" s="233" t="n">
        <v>0.18</v>
      </c>
      <c r="AJ29" s="233" t="n">
        <v>0</v>
      </c>
      <c r="AK29" s="233" t="n">
        <v>-0.37</v>
      </c>
      <c r="AL29" s="233" t="n">
        <v>0.0016961416109253</v>
      </c>
      <c r="AM29" s="233" t="n">
        <v>0.15</v>
      </c>
      <c r="AN29" s="233" t="n">
        <v>1.55443241473312</v>
      </c>
      <c r="AO29" s="233" t="n">
        <v>0.35</v>
      </c>
      <c r="AP29" s="233" t="n">
        <v>0.175</v>
      </c>
      <c r="AQ29" s="233" t="n">
        <v>0.175</v>
      </c>
      <c r="AR29" s="233" t="n">
        <f aca="false">1/AN29</f>
        <v>0.643321633363963</v>
      </c>
      <c r="AT29" s="253" t="n">
        <f aca="false">AR29*AM29*$AT$6</f>
        <v>0.101811052381567</v>
      </c>
      <c r="AU29" s="253" t="n">
        <f aca="false">AK29+AL29+AT29</f>
        <v>-0.266492806007507</v>
      </c>
      <c r="AV29" s="233" t="n">
        <f aca="false">[10]Sheet1!AA20</f>
        <v>0.132</v>
      </c>
      <c r="AW29" s="233" t="n">
        <v>0</v>
      </c>
    </row>
    <row r="30" customFormat="false" ht="11.25" hidden="false" customHeight="false" outlineLevel="0" collapsed="false">
      <c r="A30" s="233"/>
      <c r="B30" s="233"/>
      <c r="C30" s="237" t="e">
        <f aca="false">NextMonth(C29)</f>
        <v>#VALUE!</v>
      </c>
      <c r="D30" s="252" t="n">
        <v>0.0435810298850354</v>
      </c>
      <c r="E30" s="232" t="n">
        <v>4.297</v>
      </c>
      <c r="F30" s="232" t="n">
        <v>0.35</v>
      </c>
      <c r="G30" s="232" t="n">
        <v>0.35</v>
      </c>
      <c r="H30" s="232" t="n">
        <v>0.35</v>
      </c>
      <c r="I30" s="232" t="n">
        <v>0.361</v>
      </c>
      <c r="J30" s="232" t="n">
        <v>0.35</v>
      </c>
      <c r="K30" s="233" t="n">
        <v>0.35</v>
      </c>
      <c r="L30" s="232" t="n">
        <v>0.5</v>
      </c>
      <c r="M30" s="232" t="n">
        <v>0.4</v>
      </c>
      <c r="N30" s="232" t="n">
        <v>0.55</v>
      </c>
      <c r="O30" s="232" t="n">
        <v>0.5</v>
      </c>
      <c r="P30" s="232" t="n">
        <v>0.5</v>
      </c>
      <c r="Q30" s="252" t="n">
        <v>0.225</v>
      </c>
      <c r="R30" s="252" t="n">
        <v>0</v>
      </c>
      <c r="S30" s="233" t="n">
        <v>-0.075</v>
      </c>
      <c r="T30" s="233" t="n">
        <v>0</v>
      </c>
      <c r="U30" s="233" t="n">
        <v>-0.09</v>
      </c>
      <c r="V30" s="233" t="n">
        <v>-0.01</v>
      </c>
      <c r="W30" s="233" t="n">
        <v>-0.09</v>
      </c>
      <c r="X30" s="233" t="n">
        <v>-0.01</v>
      </c>
      <c r="Y30" s="233" t="n">
        <v>0.165</v>
      </c>
      <c r="Z30" s="233" t="n">
        <v>0</v>
      </c>
      <c r="AA30" s="233" t="n">
        <v>0.165</v>
      </c>
      <c r="AB30" s="233" t="n">
        <v>0</v>
      </c>
      <c r="AC30" s="233" t="n">
        <v>0.24</v>
      </c>
      <c r="AD30" s="233" t="n">
        <v>0.0125</v>
      </c>
      <c r="AE30" s="233" t="n">
        <v>0.09</v>
      </c>
      <c r="AF30" s="233" t="n">
        <v>0.005</v>
      </c>
      <c r="AG30" s="233" t="n">
        <v>0.245</v>
      </c>
      <c r="AH30" s="233" t="n">
        <v>0</v>
      </c>
      <c r="AI30" s="233" t="n">
        <v>0.18</v>
      </c>
      <c r="AJ30" s="233" t="n">
        <v>0</v>
      </c>
      <c r="AK30" s="233" t="n">
        <v>-0.37</v>
      </c>
      <c r="AL30" s="233" t="n">
        <v>0.0016958848026332</v>
      </c>
      <c r="AM30" s="233" t="n">
        <v>0.15</v>
      </c>
      <c r="AN30" s="233" t="n">
        <v>1.55466780285204</v>
      </c>
      <c r="AO30" s="233" t="n">
        <v>0.35</v>
      </c>
      <c r="AP30" s="233" t="n">
        <v>0.175</v>
      </c>
      <c r="AQ30" s="233" t="n">
        <v>0.175</v>
      </c>
      <c r="AR30" s="233" t="n">
        <f aca="false">1/AN30</f>
        <v>0.643224229745737</v>
      </c>
      <c r="AT30" s="253" t="n">
        <f aca="false">AR30*AM30*$AT$6</f>
        <v>0.101795637440793</v>
      </c>
      <c r="AU30" s="253" t="n">
        <f aca="false">AK30+AL30+AT30</f>
        <v>-0.266508477756574</v>
      </c>
      <c r="AV30" s="233" t="n">
        <f aca="false">[10]Sheet1!AA21</f>
        <v>0.132</v>
      </c>
      <c r="AW30" s="233" t="n">
        <v>0</v>
      </c>
    </row>
    <row r="31" customFormat="false" ht="11.25" hidden="false" customHeight="false" outlineLevel="0" collapsed="false">
      <c r="A31" s="233"/>
      <c r="B31" s="233"/>
      <c r="C31" s="237" t="e">
        <f aca="false">NextMonth(C30)</f>
        <v>#VALUE!</v>
      </c>
      <c r="D31" s="252" t="n">
        <v>0.0439942903696462</v>
      </c>
      <c r="E31" s="232" t="n">
        <v>4.322</v>
      </c>
      <c r="F31" s="232" t="n">
        <v>0.35</v>
      </c>
      <c r="G31" s="232" t="n">
        <v>0.35</v>
      </c>
      <c r="H31" s="232" t="n">
        <v>0.35</v>
      </c>
      <c r="I31" s="232" t="n">
        <v>0.361</v>
      </c>
      <c r="J31" s="232" t="n">
        <v>0.35</v>
      </c>
      <c r="K31" s="233" t="n">
        <v>0.35</v>
      </c>
      <c r="L31" s="232" t="n">
        <v>0.55</v>
      </c>
      <c r="M31" s="232" t="n">
        <v>0.5</v>
      </c>
      <c r="N31" s="232" t="n">
        <v>0.6</v>
      </c>
      <c r="O31" s="232" t="n">
        <v>0.45</v>
      </c>
      <c r="P31" s="232" t="n">
        <v>0.55</v>
      </c>
      <c r="Q31" s="252" t="n">
        <v>0.225</v>
      </c>
      <c r="R31" s="252" t="n">
        <v>0</v>
      </c>
      <c r="S31" s="233" t="n">
        <v>-0.075</v>
      </c>
      <c r="T31" s="233" t="n">
        <v>0</v>
      </c>
      <c r="U31" s="233" t="n">
        <v>-0.09</v>
      </c>
      <c r="V31" s="233" t="n">
        <v>-0.01</v>
      </c>
      <c r="W31" s="233" t="n">
        <v>-0.09</v>
      </c>
      <c r="X31" s="233" t="n">
        <v>-0.01</v>
      </c>
      <c r="Y31" s="233" t="n">
        <v>0.165</v>
      </c>
      <c r="Z31" s="233" t="n">
        <v>0</v>
      </c>
      <c r="AA31" s="233" t="n">
        <v>0.165</v>
      </c>
      <c r="AB31" s="233" t="n">
        <v>0</v>
      </c>
      <c r="AC31" s="233" t="n">
        <v>0.24</v>
      </c>
      <c r="AD31" s="233" t="n">
        <v>0.0125</v>
      </c>
      <c r="AE31" s="233" t="n">
        <v>0.09</v>
      </c>
      <c r="AF31" s="233" t="n">
        <v>0.005</v>
      </c>
      <c r="AG31" s="233" t="n">
        <v>0.245</v>
      </c>
      <c r="AH31" s="233" t="n">
        <v>0</v>
      </c>
      <c r="AI31" s="233" t="n">
        <v>0.18</v>
      </c>
      <c r="AJ31" s="233" t="n">
        <v>0</v>
      </c>
      <c r="AK31" s="233" t="n">
        <v>-0.37</v>
      </c>
      <c r="AL31" s="233" t="n">
        <v>0.0016956163775974</v>
      </c>
      <c r="AM31" s="233" t="n">
        <v>0.15</v>
      </c>
      <c r="AN31" s="233" t="n">
        <v>1.55491391498338</v>
      </c>
      <c r="AO31" s="233" t="n">
        <v>0.35</v>
      </c>
      <c r="AP31" s="233" t="n">
        <v>0.175</v>
      </c>
      <c r="AQ31" s="233" t="n">
        <v>0.175</v>
      </c>
      <c r="AR31" s="233" t="n">
        <f aca="false">1/AN31</f>
        <v>0.643122420067023</v>
      </c>
      <c r="AT31" s="253" t="n">
        <f aca="false">AR31*AM31*$AT$6</f>
        <v>0.101779525203935</v>
      </c>
      <c r="AU31" s="253" t="n">
        <f aca="false">AK31+AL31+AT31</f>
        <v>-0.266524858418468</v>
      </c>
      <c r="AV31" s="233" t="n">
        <f aca="false">[10]Sheet1!AA22</f>
        <v>0.132</v>
      </c>
      <c r="AW31" s="233" t="n">
        <v>0</v>
      </c>
    </row>
    <row r="32" customFormat="false" ht="11.25" hidden="false" customHeight="false" outlineLevel="0" collapsed="false">
      <c r="A32" s="233"/>
      <c r="B32" s="233"/>
      <c r="C32" s="237" t="e">
        <f aca="false">NextMonth(C31)</f>
        <v>#VALUE!</v>
      </c>
      <c r="D32" s="252" t="n">
        <v>0.0444075509114477</v>
      </c>
      <c r="E32" s="232" t="n">
        <v>4.327</v>
      </c>
      <c r="F32" s="232" t="n">
        <v>0.35</v>
      </c>
      <c r="G32" s="232" t="n">
        <v>0.35</v>
      </c>
      <c r="H32" s="232" t="n">
        <v>0.35</v>
      </c>
      <c r="I32" s="232" t="n">
        <v>0.361</v>
      </c>
      <c r="J32" s="232" t="n">
        <v>0.35</v>
      </c>
      <c r="K32" s="233" t="n">
        <v>0.35</v>
      </c>
      <c r="L32" s="232" t="n">
        <v>0.55</v>
      </c>
      <c r="M32" s="232" t="n">
        <v>0.55</v>
      </c>
      <c r="N32" s="232" t="n">
        <v>0.6</v>
      </c>
      <c r="O32" s="232" t="n">
        <v>0.5</v>
      </c>
      <c r="P32" s="232" t="n">
        <v>0.6</v>
      </c>
      <c r="Q32" s="252" t="n">
        <v>0.225</v>
      </c>
      <c r="R32" s="252" t="n">
        <v>0</v>
      </c>
      <c r="S32" s="233" t="n">
        <v>-0.075</v>
      </c>
      <c r="T32" s="233" t="n">
        <v>0</v>
      </c>
      <c r="U32" s="233" t="n">
        <v>-0.09</v>
      </c>
      <c r="V32" s="233" t="n">
        <v>-0.01</v>
      </c>
      <c r="W32" s="233" t="n">
        <v>-0.09</v>
      </c>
      <c r="X32" s="233" t="n">
        <v>-0.01</v>
      </c>
      <c r="Y32" s="233" t="n">
        <v>0.165</v>
      </c>
      <c r="Z32" s="233" t="n">
        <v>0</v>
      </c>
      <c r="AA32" s="233" t="n">
        <v>0.165</v>
      </c>
      <c r="AB32" s="233" t="n">
        <v>0</v>
      </c>
      <c r="AC32" s="233" t="n">
        <v>0.21</v>
      </c>
      <c r="AD32" s="233" t="n">
        <v>0.0125</v>
      </c>
      <c r="AE32" s="233" t="n">
        <v>0.09</v>
      </c>
      <c r="AF32" s="233" t="n">
        <v>0.005</v>
      </c>
      <c r="AG32" s="233" t="n">
        <v>0.245</v>
      </c>
      <c r="AH32" s="233" t="n">
        <v>0</v>
      </c>
      <c r="AI32" s="233" t="n">
        <v>0.18</v>
      </c>
      <c r="AJ32" s="233" t="n">
        <v>0</v>
      </c>
      <c r="AK32" s="233" t="n">
        <v>-0.37</v>
      </c>
      <c r="AL32" s="233" t="n">
        <v>0.001695350195244</v>
      </c>
      <c r="AM32" s="233" t="n">
        <v>0.15</v>
      </c>
      <c r="AN32" s="233" t="n">
        <v>1.55515804781585</v>
      </c>
      <c r="AO32" s="233" t="n">
        <v>0.35</v>
      </c>
      <c r="AP32" s="233" t="n">
        <v>0.175</v>
      </c>
      <c r="AQ32" s="233" t="n">
        <v>0.175</v>
      </c>
      <c r="AR32" s="233" t="n">
        <f aca="false">1/AN32</f>
        <v>0.643021461004851</v>
      </c>
      <c r="AT32" s="253" t="n">
        <f aca="false">AR32*AM32*$AT$6</f>
        <v>0.10176354758429</v>
      </c>
      <c r="AU32" s="253" t="n">
        <f aca="false">AK32+AL32+AT32</f>
        <v>-0.266541102220466</v>
      </c>
      <c r="AV32" s="233" t="n">
        <f aca="false">[10]Sheet1!AA23</f>
        <v>0.132</v>
      </c>
      <c r="AW32" s="233" t="n">
        <v>0</v>
      </c>
    </row>
    <row r="33" customFormat="false" ht="11.25" hidden="false" customHeight="false" outlineLevel="0" collapsed="false">
      <c r="A33" s="233"/>
      <c r="B33" s="233"/>
      <c r="C33" s="237" t="e">
        <f aca="false">NextMonth(C32)</f>
        <v>#VALUE!</v>
      </c>
      <c r="D33" s="252" t="n">
        <v>0.0448245970161731</v>
      </c>
      <c r="E33" s="232" t="n">
        <v>4.337</v>
      </c>
      <c r="F33" s="232" t="n">
        <v>0.3525</v>
      </c>
      <c r="G33" s="232" t="n">
        <v>0.353</v>
      </c>
      <c r="H33" s="232" t="n">
        <v>0.353</v>
      </c>
      <c r="I33" s="232" t="n">
        <v>0.363</v>
      </c>
      <c r="J33" s="232" t="n">
        <v>0.353</v>
      </c>
      <c r="K33" s="233" t="n">
        <v>0.353</v>
      </c>
      <c r="L33" s="232" t="n">
        <v>0.6</v>
      </c>
      <c r="M33" s="232" t="n">
        <v>0.55</v>
      </c>
      <c r="N33" s="232" t="n">
        <v>0.65</v>
      </c>
      <c r="O33" s="232" t="n">
        <v>0.5</v>
      </c>
      <c r="P33" s="232" t="n">
        <v>0.65</v>
      </c>
      <c r="Q33" s="252" t="n">
        <v>0.225</v>
      </c>
      <c r="R33" s="252" t="n">
        <v>0</v>
      </c>
      <c r="S33" s="233" t="n">
        <v>-0.075</v>
      </c>
      <c r="T33" s="233" t="n">
        <v>0</v>
      </c>
      <c r="U33" s="233" t="n">
        <v>-0.09</v>
      </c>
      <c r="V33" s="233" t="n">
        <v>-0.01</v>
      </c>
      <c r="W33" s="233" t="n">
        <v>-0.09</v>
      </c>
      <c r="X33" s="233" t="n">
        <v>-0.01</v>
      </c>
      <c r="Y33" s="233" t="n">
        <v>0.165</v>
      </c>
      <c r="Z33" s="233" t="n">
        <v>0</v>
      </c>
      <c r="AA33" s="233" t="n">
        <v>0.165</v>
      </c>
      <c r="AB33" s="233" t="n">
        <v>0</v>
      </c>
      <c r="AC33" s="233" t="n">
        <v>0.205</v>
      </c>
      <c r="AD33" s="233" t="n">
        <v>0.0125</v>
      </c>
      <c r="AE33" s="233" t="n">
        <v>0.09</v>
      </c>
      <c r="AF33" s="233" t="n">
        <v>0.005</v>
      </c>
      <c r="AG33" s="233" t="n">
        <v>0.245</v>
      </c>
      <c r="AH33" s="233" t="n">
        <v>0</v>
      </c>
      <c r="AI33" s="233" t="n">
        <v>0.18</v>
      </c>
      <c r="AJ33" s="233" t="n">
        <v>0</v>
      </c>
      <c r="AK33" s="233" t="n">
        <v>-0.37</v>
      </c>
      <c r="AL33" s="233" t="n">
        <v>0.0016951339690654</v>
      </c>
      <c r="AM33" s="233" t="n">
        <v>0.15</v>
      </c>
      <c r="AN33" s="233" t="n">
        <v>1.55535641908795</v>
      </c>
      <c r="AO33" s="233" t="n">
        <v>0.353</v>
      </c>
      <c r="AP33" s="233" t="n">
        <v>0.175</v>
      </c>
      <c r="AQ33" s="233" t="n">
        <v>0.175</v>
      </c>
      <c r="AR33" s="233" t="n">
        <f aca="false">1/AN33</f>
        <v>0.642939449586991</v>
      </c>
      <c r="AT33" s="253" t="n">
        <f aca="false">AR33*AM33*$AT$6</f>
        <v>0.101750568588518</v>
      </c>
      <c r="AU33" s="253" t="n">
        <f aca="false">AK33+AL33+AT33</f>
        <v>-0.266554297442417</v>
      </c>
      <c r="AV33" s="233" t="n">
        <f aca="false">[10]Sheet1!AA24</f>
        <v>0.132</v>
      </c>
      <c r="AW33" s="233" t="n">
        <v>0</v>
      </c>
    </row>
    <row r="34" customFormat="false" ht="11.25" hidden="false" customHeight="false" outlineLevel="0" collapsed="false">
      <c r="A34" s="233"/>
      <c r="B34" s="233"/>
      <c r="C34" s="237" t="e">
        <f aca="false">NextMonth(C33)</f>
        <v>#VALUE!</v>
      </c>
      <c r="D34" s="252" t="n">
        <v>0.0452799998619802</v>
      </c>
      <c r="E34" s="232" t="n">
        <v>4.477</v>
      </c>
      <c r="F34" s="232" t="n">
        <v>0.3575</v>
      </c>
      <c r="G34" s="232" t="n">
        <v>0.358</v>
      </c>
      <c r="H34" s="232" t="n">
        <v>0.358</v>
      </c>
      <c r="I34" s="232" t="n">
        <v>0.368</v>
      </c>
      <c r="J34" s="232" t="n">
        <v>0.358</v>
      </c>
      <c r="K34" s="233" t="n">
        <v>0.358</v>
      </c>
      <c r="L34" s="232" t="n">
        <v>0.8</v>
      </c>
      <c r="M34" s="232" t="n">
        <v>0.8</v>
      </c>
      <c r="N34" s="232" t="n">
        <v>0.8</v>
      </c>
      <c r="O34" s="232" t="n">
        <v>0.95</v>
      </c>
      <c r="P34" s="232" t="n">
        <v>0.85</v>
      </c>
      <c r="Q34" s="252" t="n">
        <v>0.26</v>
      </c>
      <c r="R34" s="252" t="n">
        <v>0</v>
      </c>
      <c r="S34" s="233" t="n">
        <v>-0.07</v>
      </c>
      <c r="T34" s="233" t="n">
        <v>0.005</v>
      </c>
      <c r="U34" s="233" t="n">
        <v>-0.09</v>
      </c>
      <c r="V34" s="233" t="n">
        <v>0.01</v>
      </c>
      <c r="W34" s="233" t="n">
        <v>-0.09</v>
      </c>
      <c r="X34" s="233" t="n">
        <v>0.01</v>
      </c>
      <c r="Y34" s="233" t="n">
        <v>0.16</v>
      </c>
      <c r="Z34" s="233" t="n">
        <v>0</v>
      </c>
      <c r="AA34" s="233" t="n">
        <v>0.16</v>
      </c>
      <c r="AB34" s="233" t="n">
        <v>0</v>
      </c>
      <c r="AC34" s="233" t="n">
        <v>0.28</v>
      </c>
      <c r="AD34" s="233" t="n">
        <v>0.03</v>
      </c>
      <c r="AE34" s="233" t="n">
        <v>0.12</v>
      </c>
      <c r="AF34" s="233" t="n">
        <v>0.03</v>
      </c>
      <c r="AG34" s="233" t="n">
        <v>0.455</v>
      </c>
      <c r="AH34" s="233" t="n">
        <v>0</v>
      </c>
      <c r="AI34" s="233" t="n">
        <v>0.265</v>
      </c>
      <c r="AJ34" s="233" t="n">
        <v>0</v>
      </c>
      <c r="AK34" s="233" t="n">
        <v>-0.335</v>
      </c>
      <c r="AL34" s="233" t="n">
        <v>0.0054239266773032</v>
      </c>
      <c r="AM34" s="233" t="n">
        <v>0.145</v>
      </c>
      <c r="AN34" s="233" t="n">
        <v>1.55550037859191</v>
      </c>
      <c r="AO34" s="233" t="n">
        <v>0.358</v>
      </c>
      <c r="AP34" s="233" t="n">
        <v>0.255</v>
      </c>
      <c r="AQ34" s="233" t="n">
        <v>0.255</v>
      </c>
      <c r="AR34" s="233" t="n">
        <f aca="false">1/AN34</f>
        <v>0.642879946390777</v>
      </c>
      <c r="AT34" s="253" t="n">
        <f aca="false">AR34*AM34*$AT$6</f>
        <v>0.0983497799842938</v>
      </c>
      <c r="AU34" s="253" t="n">
        <f aca="false">AK34+AL34+AT34</f>
        <v>-0.231226293338403</v>
      </c>
      <c r="AV34" s="233" t="n">
        <f aca="false">[10]Sheet1!AA25</f>
        <v>0.183571428571429</v>
      </c>
      <c r="AW34" s="233" t="n">
        <v>0</v>
      </c>
    </row>
    <row r="35" customFormat="false" ht="11.25" hidden="false" customHeight="false" outlineLevel="0" collapsed="false">
      <c r="A35" s="233"/>
      <c r="B35" s="233"/>
      <c r="C35" s="237" t="e">
        <f aca="false">NextMonth(C34)</f>
        <v>#VALUE!</v>
      </c>
      <c r="D35" s="252" t="n">
        <v>0.0457207123594889</v>
      </c>
      <c r="E35" s="232" t="n">
        <v>4.607</v>
      </c>
      <c r="F35" s="232" t="n">
        <v>0.3625</v>
      </c>
      <c r="G35" s="232" t="n">
        <v>0.363</v>
      </c>
      <c r="H35" s="232" t="n">
        <v>0.363</v>
      </c>
      <c r="I35" s="232" t="n">
        <v>0.373</v>
      </c>
      <c r="J35" s="232" t="n">
        <v>0.363</v>
      </c>
      <c r="K35" s="233" t="n">
        <v>0.363</v>
      </c>
      <c r="L35" s="232" t="n">
        <v>1</v>
      </c>
      <c r="M35" s="232" t="n">
        <v>1</v>
      </c>
      <c r="N35" s="232" t="n">
        <v>1.1</v>
      </c>
      <c r="O35" s="232" t="n">
        <v>1.35</v>
      </c>
      <c r="P35" s="232" t="n">
        <v>1.05</v>
      </c>
      <c r="Q35" s="252" t="n">
        <v>0.25</v>
      </c>
      <c r="R35" s="252" t="n">
        <v>0</v>
      </c>
      <c r="S35" s="233" t="n">
        <v>-0.07</v>
      </c>
      <c r="T35" s="233" t="n">
        <v>0.005</v>
      </c>
      <c r="U35" s="233" t="n">
        <v>-0.0925</v>
      </c>
      <c r="V35" s="233" t="n">
        <v>0.01</v>
      </c>
      <c r="W35" s="233" t="n">
        <v>-0.0925</v>
      </c>
      <c r="X35" s="233" t="n">
        <v>0.01</v>
      </c>
      <c r="Y35" s="233" t="n">
        <v>0.15</v>
      </c>
      <c r="Z35" s="233" t="n">
        <v>0</v>
      </c>
      <c r="AA35" s="233" t="n">
        <v>0.15</v>
      </c>
      <c r="AB35" s="233" t="n">
        <v>0</v>
      </c>
      <c r="AC35" s="233" t="n">
        <v>0.32</v>
      </c>
      <c r="AD35" s="233" t="n">
        <v>0.03</v>
      </c>
      <c r="AE35" s="233" t="n">
        <v>0.15</v>
      </c>
      <c r="AF35" s="233" t="n">
        <v>0.03</v>
      </c>
      <c r="AG35" s="233" t="n">
        <v>0.445</v>
      </c>
      <c r="AH35" s="233" t="n">
        <v>0</v>
      </c>
      <c r="AI35" s="233" t="n">
        <v>0.255</v>
      </c>
      <c r="AJ35" s="233" t="n">
        <v>0</v>
      </c>
      <c r="AK35" s="233" t="n">
        <v>-0.335</v>
      </c>
      <c r="AL35" s="233" t="n">
        <v>0.005423483561183</v>
      </c>
      <c r="AM35" s="233" t="n">
        <v>0.145</v>
      </c>
      <c r="AN35" s="233" t="n">
        <v>1.5556274679958</v>
      </c>
      <c r="AO35" s="233" t="n">
        <v>0.363</v>
      </c>
      <c r="AP35" s="233" t="n">
        <v>0.245</v>
      </c>
      <c r="AQ35" s="233" t="n">
        <v>0.245</v>
      </c>
      <c r="AR35" s="233" t="n">
        <f aca="false">1/AN35</f>
        <v>0.642827425314336</v>
      </c>
      <c r="AT35" s="253" t="n">
        <f aca="false">AR35*AM35*$AT$6</f>
        <v>0.0983417451461541</v>
      </c>
      <c r="AU35" s="253" t="n">
        <f aca="false">AK35+AL35+AT35</f>
        <v>-0.231234771292663</v>
      </c>
      <c r="AV35" s="233" t="n">
        <f aca="false">[10]Sheet1!AA26</f>
        <v>0.188571428571429</v>
      </c>
      <c r="AW35" s="233" t="n">
        <v>0</v>
      </c>
    </row>
    <row r="36" customFormat="false" ht="11.25" hidden="false" customHeight="false" outlineLevel="0" collapsed="false">
      <c r="A36" s="233"/>
      <c r="B36" s="233"/>
      <c r="C36" s="237" t="e">
        <f aca="false">NextMonth(C35)</f>
        <v>#VALUE!</v>
      </c>
      <c r="D36" s="252" t="n">
        <v>0.0461927424381878</v>
      </c>
      <c r="E36" s="232" t="n">
        <v>4.651</v>
      </c>
      <c r="F36" s="232" t="n">
        <v>0.3675</v>
      </c>
      <c r="G36" s="232" t="n">
        <v>0.368</v>
      </c>
      <c r="H36" s="232" t="n">
        <v>0.368</v>
      </c>
      <c r="I36" s="232" t="n">
        <v>0.379</v>
      </c>
      <c r="J36" s="232" t="n">
        <v>0.368</v>
      </c>
      <c r="K36" s="233" t="n">
        <v>0.368</v>
      </c>
      <c r="L36" s="232" t="n">
        <v>1</v>
      </c>
      <c r="M36" s="232" t="n">
        <v>1</v>
      </c>
      <c r="N36" s="232" t="n">
        <v>1.1</v>
      </c>
      <c r="O36" s="232" t="n">
        <v>1.35</v>
      </c>
      <c r="P36" s="232" t="n">
        <v>1.05</v>
      </c>
      <c r="Q36" s="252" t="n">
        <v>0.27</v>
      </c>
      <c r="R36" s="252" t="n">
        <v>0</v>
      </c>
      <c r="S36" s="233" t="n">
        <v>-0.07</v>
      </c>
      <c r="T36" s="233" t="n">
        <v>0.005</v>
      </c>
      <c r="U36" s="233" t="n">
        <v>-0.095</v>
      </c>
      <c r="V36" s="233" t="n">
        <v>0.01</v>
      </c>
      <c r="W36" s="233" t="n">
        <v>-0.095</v>
      </c>
      <c r="X36" s="233" t="n">
        <v>0.01</v>
      </c>
      <c r="Y36" s="233" t="n">
        <v>0.17</v>
      </c>
      <c r="Z36" s="233" t="n">
        <v>0</v>
      </c>
      <c r="AA36" s="233" t="n">
        <v>0.17</v>
      </c>
      <c r="AB36" s="233" t="n">
        <v>0</v>
      </c>
      <c r="AC36" s="233" t="n">
        <v>0.32</v>
      </c>
      <c r="AD36" s="233" t="n">
        <v>0.03</v>
      </c>
      <c r="AE36" s="233" t="n">
        <v>0.17</v>
      </c>
      <c r="AF36" s="233" t="n">
        <v>0.03</v>
      </c>
      <c r="AG36" s="233" t="n">
        <v>0.465</v>
      </c>
      <c r="AH36" s="233" t="n">
        <v>0</v>
      </c>
      <c r="AI36" s="233" t="n">
        <v>0.275</v>
      </c>
      <c r="AJ36" s="233" t="n">
        <v>0</v>
      </c>
      <c r="AK36" s="233" t="n">
        <v>-0.335</v>
      </c>
      <c r="AL36" s="233" t="n">
        <v>0.0054232138307925</v>
      </c>
      <c r="AM36" s="233" t="n">
        <v>0.145</v>
      </c>
      <c r="AN36" s="233" t="n">
        <v>1.55570483909298</v>
      </c>
      <c r="AO36" s="233" t="n">
        <v>0.368</v>
      </c>
      <c r="AP36" s="233" t="n">
        <v>0.265</v>
      </c>
      <c r="AQ36" s="233" t="n">
        <v>0.265</v>
      </c>
      <c r="AR36" s="233" t="n">
        <f aca="false">1/AN36</f>
        <v>0.642795455070403</v>
      </c>
      <c r="AT36" s="253" t="n">
        <f aca="false">AR36*AM36*$AT$6</f>
        <v>0.0983368542384901</v>
      </c>
      <c r="AU36" s="253" t="n">
        <f aca="false">AK36+AL36+AT36</f>
        <v>-0.231239931930717</v>
      </c>
      <c r="AV36" s="233" t="n">
        <f aca="false">[10]Sheet1!AA27</f>
        <v>0.188571428571429</v>
      </c>
      <c r="AW36" s="233" t="n">
        <v>0</v>
      </c>
    </row>
    <row r="37" customFormat="false" ht="11.25" hidden="false" customHeight="false" outlineLevel="0" collapsed="false">
      <c r="A37" s="233"/>
      <c r="B37" s="233"/>
      <c r="C37" s="237" t="e">
        <f aca="false">NextMonth(C36)</f>
        <v>#VALUE!</v>
      </c>
      <c r="D37" s="252" t="n">
        <v>0.0466849626402821</v>
      </c>
      <c r="E37" s="232" t="n">
        <v>4.496</v>
      </c>
      <c r="F37" s="232" t="n">
        <v>0.36</v>
      </c>
      <c r="G37" s="232" t="n">
        <v>0.36</v>
      </c>
      <c r="H37" s="232" t="n">
        <v>0.36</v>
      </c>
      <c r="I37" s="232" t="n">
        <v>0.371</v>
      </c>
      <c r="J37" s="232" t="n">
        <v>0.36</v>
      </c>
      <c r="K37" s="233" t="n">
        <v>0.36</v>
      </c>
      <c r="L37" s="232" t="n">
        <v>1</v>
      </c>
      <c r="M37" s="232" t="n">
        <v>1</v>
      </c>
      <c r="N37" s="232" t="n">
        <v>1.1</v>
      </c>
      <c r="O37" s="232" t="n">
        <v>1.35</v>
      </c>
      <c r="P37" s="232" t="n">
        <v>1.05</v>
      </c>
      <c r="Q37" s="252" t="n">
        <v>0.33</v>
      </c>
      <c r="R37" s="252" t="n">
        <v>0</v>
      </c>
      <c r="S37" s="233" t="n">
        <v>-0.07</v>
      </c>
      <c r="T37" s="233" t="n">
        <v>0.005</v>
      </c>
      <c r="U37" s="233" t="n">
        <v>-0.0875</v>
      </c>
      <c r="V37" s="233" t="n">
        <v>0.01</v>
      </c>
      <c r="W37" s="233" t="n">
        <v>-0.0875</v>
      </c>
      <c r="X37" s="233" t="n">
        <v>0.01</v>
      </c>
      <c r="Y37" s="233" t="n">
        <v>0.23</v>
      </c>
      <c r="Z37" s="233" t="n">
        <v>0</v>
      </c>
      <c r="AA37" s="233" t="n">
        <v>0.23</v>
      </c>
      <c r="AB37" s="233" t="n">
        <v>0</v>
      </c>
      <c r="AC37" s="233" t="n">
        <v>0.3</v>
      </c>
      <c r="AD37" s="233" t="n">
        <v>0.03</v>
      </c>
      <c r="AE37" s="233" t="n">
        <v>0.17</v>
      </c>
      <c r="AF37" s="233" t="n">
        <v>0.03</v>
      </c>
      <c r="AG37" s="233" t="n">
        <v>0.525</v>
      </c>
      <c r="AH37" s="233" t="n">
        <v>0</v>
      </c>
      <c r="AI37" s="233" t="n">
        <v>0.335</v>
      </c>
      <c r="AJ37" s="233" t="n">
        <v>0</v>
      </c>
      <c r="AK37" s="233" t="n">
        <v>-0.335</v>
      </c>
      <c r="AL37" s="233" t="n">
        <v>0.0054231877247285</v>
      </c>
      <c r="AM37" s="233" t="n">
        <v>0.145</v>
      </c>
      <c r="AN37" s="233" t="n">
        <v>1.55571232792284</v>
      </c>
      <c r="AO37" s="233" t="n">
        <v>0.36</v>
      </c>
      <c r="AP37" s="233" t="n">
        <v>0.325</v>
      </c>
      <c r="AQ37" s="233" t="n">
        <v>0.325</v>
      </c>
      <c r="AR37" s="233" t="n">
        <f aca="false">1/AN37</f>
        <v>0.642792360805666</v>
      </c>
      <c r="AT37" s="253" t="n">
        <f aca="false">AR37*AM37*$AT$6</f>
        <v>0.0983363808682164</v>
      </c>
      <c r="AU37" s="253" t="n">
        <f aca="false">AK37+AL37+AT37</f>
        <v>-0.231240431407055</v>
      </c>
      <c r="AV37" s="233" t="n">
        <f aca="false">[10]Sheet1!AA28</f>
        <v>0.188571428571429</v>
      </c>
      <c r="AW37" s="233" t="n">
        <v>0</v>
      </c>
    </row>
    <row r="38" customFormat="false" ht="11.25" hidden="false" customHeight="false" outlineLevel="0" collapsed="false">
      <c r="A38" s="233"/>
      <c r="B38" s="233"/>
      <c r="C38" s="237" t="e">
        <f aca="false">NextMonth(C37)</f>
        <v>#VALUE!</v>
      </c>
      <c r="D38" s="252" t="n">
        <v>0.0471295486989134</v>
      </c>
      <c r="E38" s="232" t="n">
        <v>4.308</v>
      </c>
      <c r="F38" s="232" t="n">
        <v>0.3375</v>
      </c>
      <c r="G38" s="232" t="n">
        <v>0.338</v>
      </c>
      <c r="H38" s="232" t="n">
        <v>0.338</v>
      </c>
      <c r="I38" s="232" t="n">
        <v>0.348</v>
      </c>
      <c r="J38" s="232" t="n">
        <v>0.338</v>
      </c>
      <c r="K38" s="233" t="n">
        <v>0.338</v>
      </c>
      <c r="L38" s="232" t="n">
        <v>0.75</v>
      </c>
      <c r="M38" s="232" t="n">
        <v>0.75</v>
      </c>
      <c r="N38" s="232" t="n">
        <v>0.75</v>
      </c>
      <c r="O38" s="232" t="n">
        <v>0.95</v>
      </c>
      <c r="P38" s="232" t="n">
        <v>0.75</v>
      </c>
      <c r="Q38" s="252" t="n">
        <v>0.33</v>
      </c>
      <c r="R38" s="252" t="n">
        <v>0</v>
      </c>
      <c r="S38" s="233" t="n">
        <v>-0.07</v>
      </c>
      <c r="T38" s="233" t="n">
        <v>0.005</v>
      </c>
      <c r="U38" s="233" t="n">
        <v>-0.085</v>
      </c>
      <c r="V38" s="233" t="n">
        <v>0.01</v>
      </c>
      <c r="W38" s="233" t="n">
        <v>-0.085</v>
      </c>
      <c r="X38" s="233" t="n">
        <v>0.01</v>
      </c>
      <c r="Y38" s="233" t="n">
        <v>0.23</v>
      </c>
      <c r="Z38" s="233" t="n">
        <v>0</v>
      </c>
      <c r="AA38" s="233" t="n">
        <v>0.23</v>
      </c>
      <c r="AB38" s="233" t="n">
        <v>0</v>
      </c>
      <c r="AC38" s="233" t="n">
        <v>0.28</v>
      </c>
      <c r="AD38" s="233" t="n">
        <v>0.03</v>
      </c>
      <c r="AE38" s="233" t="n">
        <v>0.16</v>
      </c>
      <c r="AF38" s="233" t="n">
        <v>0.03</v>
      </c>
      <c r="AG38" s="233" t="n">
        <v>0.525</v>
      </c>
      <c r="AH38" s="233" t="n">
        <v>0</v>
      </c>
      <c r="AI38" s="233" t="n">
        <v>0.335</v>
      </c>
      <c r="AJ38" s="233" t="n">
        <v>0</v>
      </c>
      <c r="AK38" s="233" t="n">
        <v>-0.335</v>
      </c>
      <c r="AL38" s="233" t="n">
        <v>0.0054232309156331</v>
      </c>
      <c r="AM38" s="233" t="n">
        <v>0.145</v>
      </c>
      <c r="AN38" s="233" t="n">
        <v>1.55569993814564</v>
      </c>
      <c r="AO38" s="233" t="n">
        <v>0.338</v>
      </c>
      <c r="AP38" s="233" t="n">
        <v>0.325</v>
      </c>
      <c r="AQ38" s="233" t="n">
        <v>0.325</v>
      </c>
      <c r="AR38" s="233" t="n">
        <f aca="false">1/AN38</f>
        <v>0.642797480079596</v>
      </c>
      <c r="AT38" s="253" t="n">
        <f aca="false">AR38*AM38*$AT$6</f>
        <v>0.0983371640307144</v>
      </c>
      <c r="AU38" s="253" t="n">
        <f aca="false">AK38+AL38+AT38</f>
        <v>-0.231239605053653</v>
      </c>
      <c r="AV38" s="233" t="n">
        <f aca="false">[10]Sheet1!AA29</f>
        <v>0.188571428571429</v>
      </c>
      <c r="AW38" s="233" t="n">
        <v>0</v>
      </c>
    </row>
    <row r="39" customFormat="false" ht="11.25" hidden="false" customHeight="false" outlineLevel="0" collapsed="false">
      <c r="A39" s="233"/>
      <c r="B39" s="233"/>
      <c r="C39" s="237" t="e">
        <f aca="false">NextMonth(C38)</f>
        <v>#VALUE!</v>
      </c>
      <c r="D39" s="252" t="n">
        <v>0.0475976919070971</v>
      </c>
      <c r="E39" s="232" t="n">
        <v>3.98</v>
      </c>
      <c r="F39" s="232" t="n">
        <v>0.32</v>
      </c>
      <c r="G39" s="232" t="n">
        <v>0.32</v>
      </c>
      <c r="H39" s="232" t="n">
        <v>0.32</v>
      </c>
      <c r="I39" s="232" t="n">
        <v>0.33</v>
      </c>
      <c r="J39" s="232" t="n">
        <v>0.32</v>
      </c>
      <c r="K39" s="233" t="n">
        <v>0.32</v>
      </c>
      <c r="L39" s="232" t="n">
        <v>0.4</v>
      </c>
      <c r="M39" s="232" t="n">
        <v>0.4</v>
      </c>
      <c r="N39" s="232" t="n">
        <v>0.45</v>
      </c>
      <c r="O39" s="232" t="n">
        <v>0.5</v>
      </c>
      <c r="P39" s="232" t="n">
        <v>0.45</v>
      </c>
      <c r="Q39" s="252" t="n">
        <v>0.225</v>
      </c>
      <c r="R39" s="252" t="n">
        <v>0</v>
      </c>
      <c r="S39" s="233" t="n">
        <v>-0.0575</v>
      </c>
      <c r="T39" s="233" t="n">
        <v>0</v>
      </c>
      <c r="U39" s="233" t="n">
        <v>-0.09</v>
      </c>
      <c r="V39" s="233" t="n">
        <v>-0.01</v>
      </c>
      <c r="W39" s="233" t="n">
        <v>-0.09</v>
      </c>
      <c r="X39" s="233" t="n">
        <v>-0.01</v>
      </c>
      <c r="Y39" s="233" t="n">
        <v>0.165</v>
      </c>
      <c r="Z39" s="233" t="n">
        <v>0</v>
      </c>
      <c r="AA39" s="233" t="n">
        <v>0.165</v>
      </c>
      <c r="AB39" s="233" t="n">
        <v>0</v>
      </c>
      <c r="AC39" s="233" t="n">
        <v>0.195</v>
      </c>
      <c r="AD39" s="233" t="n">
        <v>0.0175</v>
      </c>
      <c r="AE39" s="233" t="n">
        <v>0.09</v>
      </c>
      <c r="AF39" s="233" t="n">
        <v>0.005</v>
      </c>
      <c r="AG39" s="233" t="n">
        <v>0.26</v>
      </c>
      <c r="AH39" s="233" t="n">
        <v>0</v>
      </c>
      <c r="AI39" s="233" t="n">
        <v>0.205</v>
      </c>
      <c r="AJ39" s="233" t="n">
        <v>0</v>
      </c>
      <c r="AK39" s="233" t="n">
        <v>-0.41</v>
      </c>
      <c r="AL39" s="233" t="n">
        <v>0.0016947227260382</v>
      </c>
      <c r="AM39" s="233" t="n">
        <v>0.145</v>
      </c>
      <c r="AN39" s="233" t="n">
        <v>1.55573384335472</v>
      </c>
      <c r="AO39" s="233" t="n">
        <v>0.32</v>
      </c>
      <c r="AP39" s="233" t="n">
        <v>0.195</v>
      </c>
      <c r="AQ39" s="233" t="n">
        <v>0.195</v>
      </c>
      <c r="AR39" s="233" t="n">
        <f aca="false">1/AN39</f>
        <v>0.642783471139023</v>
      </c>
      <c r="AT39" s="253" t="n">
        <f aca="false">AR39*AM39*$AT$6</f>
        <v>0.0983350208992777</v>
      </c>
      <c r="AU39" s="253" t="n">
        <f aca="false">AK39+AL39+AT39</f>
        <v>-0.309970256374684</v>
      </c>
      <c r="AV39" s="233" t="n">
        <f aca="false">[10]Sheet1!AA30</f>
        <v>0.1495</v>
      </c>
      <c r="AW39" s="233" t="n">
        <v>0</v>
      </c>
    </row>
    <row r="40" customFormat="false" ht="11.25" hidden="false" customHeight="false" outlineLevel="0" collapsed="false">
      <c r="A40" s="233"/>
      <c r="B40" s="233"/>
      <c r="C40" s="237" t="e">
        <f aca="false">NextMonth(C39)</f>
        <v>#VALUE!</v>
      </c>
      <c r="D40" s="252" t="n">
        <v>0.0480170315760717</v>
      </c>
      <c r="E40" s="232" t="n">
        <v>3.94</v>
      </c>
      <c r="F40" s="232" t="n">
        <v>0.3175</v>
      </c>
      <c r="G40" s="232" t="n">
        <v>0.318</v>
      </c>
      <c r="H40" s="232" t="n">
        <v>0.318</v>
      </c>
      <c r="I40" s="232" t="n">
        <v>0.327</v>
      </c>
      <c r="J40" s="232" t="n">
        <v>0.318</v>
      </c>
      <c r="K40" s="233" t="n">
        <v>0.318</v>
      </c>
      <c r="L40" s="232" t="n">
        <v>0.45</v>
      </c>
      <c r="M40" s="232" t="n">
        <v>0.4</v>
      </c>
      <c r="N40" s="232" t="n">
        <v>0.5</v>
      </c>
      <c r="O40" s="232" t="n">
        <v>0.45</v>
      </c>
      <c r="P40" s="232" t="n">
        <v>0.45</v>
      </c>
      <c r="Q40" s="252" t="n">
        <v>0.225</v>
      </c>
      <c r="R40" s="252" t="n">
        <v>0</v>
      </c>
      <c r="S40" s="233" t="n">
        <v>-0.0575</v>
      </c>
      <c r="T40" s="233" t="n">
        <v>0</v>
      </c>
      <c r="U40" s="233" t="n">
        <v>-0.09</v>
      </c>
      <c r="V40" s="233" t="n">
        <v>-0.01</v>
      </c>
      <c r="W40" s="233" t="n">
        <v>-0.09</v>
      </c>
      <c r="X40" s="233" t="n">
        <v>-0.01</v>
      </c>
      <c r="Y40" s="233" t="n">
        <v>0.165</v>
      </c>
      <c r="Z40" s="233" t="n">
        <v>0</v>
      </c>
      <c r="AA40" s="233" t="n">
        <v>0.165</v>
      </c>
      <c r="AB40" s="233" t="n">
        <v>0</v>
      </c>
      <c r="AC40" s="233" t="n">
        <v>0.185</v>
      </c>
      <c r="AD40" s="233" t="n">
        <v>0.01</v>
      </c>
      <c r="AE40" s="233" t="n">
        <v>0.09</v>
      </c>
      <c r="AF40" s="233" t="n">
        <v>0.005</v>
      </c>
      <c r="AG40" s="233" t="n">
        <v>0.26</v>
      </c>
      <c r="AH40" s="233" t="n">
        <v>0</v>
      </c>
      <c r="AI40" s="233" t="n">
        <v>0.205</v>
      </c>
      <c r="AJ40" s="233" t="n">
        <v>0</v>
      </c>
      <c r="AK40" s="233" t="n">
        <v>-0.41</v>
      </c>
      <c r="AL40" s="233" t="n">
        <v>0.0016945941744038</v>
      </c>
      <c r="AM40" s="233" t="n">
        <v>0.145</v>
      </c>
      <c r="AN40" s="233" t="n">
        <v>1.55585186106724</v>
      </c>
      <c r="AO40" s="233" t="n">
        <v>0.318</v>
      </c>
      <c r="AP40" s="233" t="n">
        <v>0.195</v>
      </c>
      <c r="AQ40" s="233" t="n">
        <v>0.195</v>
      </c>
      <c r="AR40" s="233" t="n">
        <f aca="false">1/AN40</f>
        <v>0.642734713389775</v>
      </c>
      <c r="AT40" s="253" t="n">
        <f aca="false">AR40*AM40*$AT$6</f>
        <v>0.0983275617866735</v>
      </c>
      <c r="AU40" s="253" t="n">
        <f aca="false">AK40+AL40+AT40</f>
        <v>-0.309977844038923</v>
      </c>
      <c r="AV40" s="233" t="n">
        <f aca="false">[10]Sheet1!AA31</f>
        <v>0.1495</v>
      </c>
      <c r="AW40" s="233" t="n">
        <v>0</v>
      </c>
    </row>
    <row r="41" customFormat="false" ht="11.25" hidden="false" customHeight="false" outlineLevel="0" collapsed="false">
      <c r="A41" s="233"/>
      <c r="B41" s="233"/>
      <c r="C41" s="237" t="e">
        <f aca="false">NextMonth(C40)</f>
        <v>#VALUE!</v>
      </c>
      <c r="D41" s="252" t="n">
        <v>0.0484503492957522</v>
      </c>
      <c r="E41" s="232" t="n">
        <v>3.97</v>
      </c>
      <c r="F41" s="232" t="n">
        <v>0.3175</v>
      </c>
      <c r="G41" s="232" t="n">
        <v>0.318</v>
      </c>
      <c r="H41" s="232" t="n">
        <v>0.318</v>
      </c>
      <c r="I41" s="232" t="n">
        <v>0.327</v>
      </c>
      <c r="J41" s="232" t="n">
        <v>0.318</v>
      </c>
      <c r="K41" s="233" t="n">
        <v>0.318</v>
      </c>
      <c r="L41" s="232" t="n">
        <v>0.45</v>
      </c>
      <c r="M41" s="232" t="n">
        <v>0.4</v>
      </c>
      <c r="N41" s="232" t="n">
        <v>0.5</v>
      </c>
      <c r="O41" s="232" t="n">
        <v>0.5</v>
      </c>
      <c r="P41" s="232" t="n">
        <v>0.5</v>
      </c>
      <c r="Q41" s="252" t="n">
        <v>0.225</v>
      </c>
      <c r="R41" s="252" t="n">
        <v>0</v>
      </c>
      <c r="S41" s="233" t="n">
        <v>-0.0575</v>
      </c>
      <c r="T41" s="233" t="n">
        <v>0</v>
      </c>
      <c r="U41" s="233" t="n">
        <v>-0.09</v>
      </c>
      <c r="V41" s="233" t="n">
        <v>-0.01</v>
      </c>
      <c r="W41" s="233" t="n">
        <v>-0.09</v>
      </c>
      <c r="X41" s="233" t="n">
        <v>-0.01</v>
      </c>
      <c r="Y41" s="233" t="n">
        <v>0.165</v>
      </c>
      <c r="Z41" s="233" t="n">
        <v>0</v>
      </c>
      <c r="AA41" s="233" t="n">
        <v>0.165</v>
      </c>
      <c r="AB41" s="233" t="n">
        <v>0</v>
      </c>
      <c r="AC41" s="233" t="n">
        <v>0.195</v>
      </c>
      <c r="AD41" s="233" t="n">
        <v>0.0125</v>
      </c>
      <c r="AE41" s="233" t="n">
        <v>0.09</v>
      </c>
      <c r="AF41" s="233" t="n">
        <v>0.005</v>
      </c>
      <c r="AG41" s="233" t="n">
        <v>0.26</v>
      </c>
      <c r="AH41" s="233" t="n">
        <v>0</v>
      </c>
      <c r="AI41" s="233" t="n">
        <v>0.205</v>
      </c>
      <c r="AJ41" s="233" t="n">
        <v>0</v>
      </c>
      <c r="AK41" s="233" t="n">
        <v>-0.41</v>
      </c>
      <c r="AL41" s="233" t="n">
        <v>0.0016946619692313</v>
      </c>
      <c r="AM41" s="233" t="n">
        <v>0.145</v>
      </c>
      <c r="AN41" s="233" t="n">
        <v>1.55578961932794</v>
      </c>
      <c r="AO41" s="233" t="n">
        <v>0.318</v>
      </c>
      <c r="AP41" s="233" t="n">
        <v>0.195</v>
      </c>
      <c r="AQ41" s="233" t="n">
        <v>0.195</v>
      </c>
      <c r="AR41" s="233" t="n">
        <f aca="false">1/AN41</f>
        <v>0.642760426973394</v>
      </c>
      <c r="AT41" s="253" t="n">
        <f aca="false">AR41*AM41*$AT$6</f>
        <v>0.0983314955309219</v>
      </c>
      <c r="AU41" s="253" t="n">
        <f aca="false">AK41+AL41+AT41</f>
        <v>-0.309973842499847</v>
      </c>
      <c r="AV41" s="233" t="n">
        <f aca="false">[10]Sheet1!AA32</f>
        <v>0.1495</v>
      </c>
      <c r="AW41" s="233" t="n">
        <v>0</v>
      </c>
    </row>
    <row r="42" customFormat="false" ht="11.25" hidden="false" customHeight="false" outlineLevel="0" collapsed="false">
      <c r="A42" s="233"/>
      <c r="B42" s="233"/>
      <c r="C42" s="237" t="e">
        <f aca="false">NextMonth(C41)</f>
        <v>#VALUE!</v>
      </c>
      <c r="D42" s="252" t="n">
        <v>0.0488575300383634</v>
      </c>
      <c r="E42" s="232" t="n">
        <v>4.01</v>
      </c>
      <c r="F42" s="232" t="n">
        <v>0.3175</v>
      </c>
      <c r="G42" s="232" t="n">
        <v>0.318</v>
      </c>
      <c r="H42" s="232" t="n">
        <v>0.318</v>
      </c>
      <c r="I42" s="232" t="n">
        <v>0.327</v>
      </c>
      <c r="J42" s="232" t="n">
        <v>0.318</v>
      </c>
      <c r="K42" s="233" t="n">
        <v>0.318</v>
      </c>
      <c r="L42" s="232" t="n">
        <v>0.5</v>
      </c>
      <c r="M42" s="232" t="n">
        <v>0.4</v>
      </c>
      <c r="N42" s="232" t="n">
        <v>0.55</v>
      </c>
      <c r="O42" s="232" t="n">
        <v>0.5</v>
      </c>
      <c r="P42" s="232" t="n">
        <v>0.5</v>
      </c>
      <c r="Q42" s="252" t="n">
        <v>0.225</v>
      </c>
      <c r="R42" s="252" t="n">
        <v>0</v>
      </c>
      <c r="S42" s="233" t="n">
        <v>-0.0575</v>
      </c>
      <c r="T42" s="233" t="n">
        <v>0</v>
      </c>
      <c r="U42" s="233" t="n">
        <v>-0.09</v>
      </c>
      <c r="V42" s="233" t="n">
        <v>-0.01</v>
      </c>
      <c r="W42" s="233" t="n">
        <v>-0.09</v>
      </c>
      <c r="X42" s="233" t="n">
        <v>-0.01</v>
      </c>
      <c r="Y42" s="233" t="n">
        <v>0.165</v>
      </c>
      <c r="Z42" s="233" t="n">
        <v>0</v>
      </c>
      <c r="AA42" s="233" t="n">
        <v>0.165</v>
      </c>
      <c r="AB42" s="233" t="n">
        <v>0</v>
      </c>
      <c r="AC42" s="233" t="n">
        <v>0.2</v>
      </c>
      <c r="AD42" s="233" t="n">
        <v>0.0125</v>
      </c>
      <c r="AE42" s="233" t="n">
        <v>0.09</v>
      </c>
      <c r="AF42" s="233" t="n">
        <v>0.005</v>
      </c>
      <c r="AG42" s="233" t="n">
        <v>0.26</v>
      </c>
      <c r="AH42" s="233" t="n">
        <v>0</v>
      </c>
      <c r="AI42" s="233" t="n">
        <v>0.205</v>
      </c>
      <c r="AJ42" s="233" t="n">
        <v>0</v>
      </c>
      <c r="AK42" s="233" t="n">
        <v>-0.41</v>
      </c>
      <c r="AL42" s="233" t="n">
        <v>0.0016948475737134</v>
      </c>
      <c r="AM42" s="233" t="n">
        <v>0.145</v>
      </c>
      <c r="AN42" s="233" t="n">
        <v>1.55561924322389</v>
      </c>
      <c r="AO42" s="233" t="n">
        <v>0.318</v>
      </c>
      <c r="AP42" s="233" t="n">
        <v>0.195</v>
      </c>
      <c r="AQ42" s="233" t="n">
        <v>0.195</v>
      </c>
      <c r="AR42" s="233" t="n">
        <f aca="false">1/AN42</f>
        <v>0.64283082403094</v>
      </c>
      <c r="AT42" s="253" t="n">
        <f aca="false">AR42*AM42*$AT$6</f>
        <v>0.0983422650924242</v>
      </c>
      <c r="AU42" s="253" t="n">
        <f aca="false">AK42+AL42+AT42</f>
        <v>-0.309962887333862</v>
      </c>
      <c r="AV42" s="233" t="n">
        <f aca="false">[10]Sheet1!AA33</f>
        <v>0.1495</v>
      </c>
      <c r="AW42" s="233" t="n">
        <v>0</v>
      </c>
    </row>
    <row r="43" customFormat="false" ht="11.25" hidden="false" customHeight="false" outlineLevel="0" collapsed="false">
      <c r="A43" s="233"/>
      <c r="B43" s="233"/>
      <c r="C43" s="231" t="e">
        <f aca="false">NextMonth(C42)</f>
        <v>#VALUE!</v>
      </c>
      <c r="D43" s="252" t="n">
        <v>0.0492608481855918</v>
      </c>
      <c r="E43" s="232" t="n">
        <v>4.056</v>
      </c>
      <c r="F43" s="232" t="n">
        <v>0.3175</v>
      </c>
      <c r="G43" s="232" t="n">
        <v>0.318</v>
      </c>
      <c r="H43" s="232" t="n">
        <v>0.318</v>
      </c>
      <c r="I43" s="232" t="n">
        <v>0.327</v>
      </c>
      <c r="J43" s="232" t="n">
        <v>0.318</v>
      </c>
      <c r="K43" s="233" t="n">
        <v>0.318</v>
      </c>
      <c r="L43" s="232" t="n">
        <v>0.55</v>
      </c>
      <c r="M43" s="232" t="n">
        <v>0.5</v>
      </c>
      <c r="N43" s="232" t="n">
        <v>0.6</v>
      </c>
      <c r="O43" s="232" t="n">
        <v>0.45</v>
      </c>
      <c r="P43" s="232" t="n">
        <v>0.55</v>
      </c>
      <c r="Q43" s="252" t="n">
        <v>0.225</v>
      </c>
      <c r="R43" s="252" t="n">
        <v>0</v>
      </c>
      <c r="S43" s="233" t="n">
        <v>-0.0575</v>
      </c>
      <c r="T43" s="233" t="n">
        <v>0</v>
      </c>
      <c r="U43" s="233" t="n">
        <v>-0.09</v>
      </c>
      <c r="V43" s="233" t="n">
        <v>-0.01</v>
      </c>
      <c r="W43" s="233" t="n">
        <v>-0.09</v>
      </c>
      <c r="X43" s="233" t="n">
        <v>-0.01</v>
      </c>
      <c r="Y43" s="233" t="n">
        <v>0.165</v>
      </c>
      <c r="Z43" s="233" t="n">
        <v>0</v>
      </c>
      <c r="AA43" s="233" t="n">
        <v>0.165</v>
      </c>
      <c r="AB43" s="233" t="n">
        <v>0</v>
      </c>
      <c r="AC43" s="233" t="n">
        <v>0.21</v>
      </c>
      <c r="AD43" s="233" t="n">
        <v>0.0125</v>
      </c>
      <c r="AE43" s="233" t="n">
        <v>0.09</v>
      </c>
      <c r="AF43" s="233" t="n">
        <v>0.005</v>
      </c>
      <c r="AG43" s="233" t="n">
        <v>0.26</v>
      </c>
      <c r="AH43" s="233" t="n">
        <v>0</v>
      </c>
      <c r="AI43" s="233" t="n">
        <v>0.205</v>
      </c>
      <c r="AJ43" s="233" t="n">
        <v>0</v>
      </c>
      <c r="AK43" s="233" t="n">
        <v>-0.41</v>
      </c>
      <c r="AL43" s="233" t="n">
        <v>0.0016950066692541</v>
      </c>
      <c r="AM43" s="233" t="n">
        <v>0.145</v>
      </c>
      <c r="AN43" s="233" t="n">
        <v>1.55547323076912</v>
      </c>
      <c r="AO43" s="233" t="n">
        <v>0.318</v>
      </c>
      <c r="AP43" s="233" t="n">
        <v>0.195</v>
      </c>
      <c r="AQ43" s="233" t="n">
        <v>0.195</v>
      </c>
      <c r="AR43" s="233" t="n">
        <f aca="false">1/AN43</f>
        <v>0.642891166635854</v>
      </c>
      <c r="AT43" s="253" t="n">
        <f aca="false">AR43*AM43*$AT$6</f>
        <v>0.0983514964923928</v>
      </c>
      <c r="AU43" s="253" t="n">
        <f aca="false">AK43+AL43+AT43</f>
        <v>-0.309953496838353</v>
      </c>
      <c r="AV43" s="233" t="n">
        <f aca="false">[10]Sheet1!AA34</f>
        <v>0.1495</v>
      </c>
      <c r="AW43" s="233" t="n">
        <v>0</v>
      </c>
    </row>
    <row r="44" customFormat="false" ht="11.25" hidden="false" customHeight="false" outlineLevel="0" collapsed="false">
      <c r="A44" s="233"/>
      <c r="B44" s="233"/>
      <c r="C44" s="231" t="e">
        <f aca="false">NextMonth(C43)</f>
        <v>#VALUE!</v>
      </c>
      <c r="D44" s="252" t="n">
        <v>0.0496641663871515</v>
      </c>
      <c r="E44" s="232" t="n">
        <v>4.065</v>
      </c>
      <c r="F44" s="232" t="n">
        <v>0.3175</v>
      </c>
      <c r="G44" s="232" t="n">
        <v>0.318</v>
      </c>
      <c r="H44" s="232" t="n">
        <v>0.318</v>
      </c>
      <c r="I44" s="232" t="n">
        <v>0.327</v>
      </c>
      <c r="J44" s="232" t="n">
        <v>0.318</v>
      </c>
      <c r="K44" s="233" t="n">
        <v>0.318</v>
      </c>
      <c r="L44" s="232" t="n">
        <v>0.55</v>
      </c>
      <c r="M44" s="232" t="n">
        <v>0.55</v>
      </c>
      <c r="N44" s="232" t="n">
        <v>0.6</v>
      </c>
      <c r="O44" s="232" t="n">
        <v>0.5</v>
      </c>
      <c r="P44" s="232" t="n">
        <v>0.6</v>
      </c>
      <c r="Q44" s="252" t="n">
        <v>0.225</v>
      </c>
      <c r="R44" s="252" t="n">
        <v>0</v>
      </c>
      <c r="S44" s="233" t="n">
        <v>-0.0575</v>
      </c>
      <c r="T44" s="233" t="n">
        <v>0</v>
      </c>
      <c r="U44" s="233" t="n">
        <v>-0.09</v>
      </c>
      <c r="V44" s="233" t="n">
        <v>-0.01</v>
      </c>
      <c r="W44" s="233" t="n">
        <v>-0.09</v>
      </c>
      <c r="X44" s="233" t="n">
        <v>-0.01</v>
      </c>
      <c r="Y44" s="233" t="n">
        <v>0.165</v>
      </c>
      <c r="Z44" s="233" t="n">
        <v>0</v>
      </c>
      <c r="AA44" s="233" t="n">
        <v>0.165</v>
      </c>
      <c r="AB44" s="233" t="n">
        <v>0</v>
      </c>
      <c r="AC44" s="233" t="n">
        <v>0.185</v>
      </c>
      <c r="AD44" s="233" t="n">
        <v>0.0125</v>
      </c>
      <c r="AE44" s="233" t="n">
        <v>0.09</v>
      </c>
      <c r="AF44" s="233" t="n">
        <v>0.005</v>
      </c>
      <c r="AG44" s="233" t="n">
        <v>0.26</v>
      </c>
      <c r="AH44" s="233" t="n">
        <v>0</v>
      </c>
      <c r="AI44" s="233" t="n">
        <v>0.205</v>
      </c>
      <c r="AJ44" s="233" t="n">
        <v>0</v>
      </c>
      <c r="AK44" s="233" t="n">
        <v>-0.41</v>
      </c>
      <c r="AL44" s="233" t="n">
        <v>0.0016951925744965</v>
      </c>
      <c r="AM44" s="233" t="n">
        <v>0.145</v>
      </c>
      <c r="AN44" s="233" t="n">
        <v>1.5553026480092</v>
      </c>
      <c r="AO44" s="233" t="n">
        <v>0.318</v>
      </c>
      <c r="AP44" s="233" t="n">
        <v>0.195</v>
      </c>
      <c r="AQ44" s="233" t="n">
        <v>0.195</v>
      </c>
      <c r="AR44" s="233" t="n">
        <f aca="false">1/AN44</f>
        <v>0.642961677767352</v>
      </c>
      <c r="AT44" s="253" t="n">
        <f aca="false">AR44*AM44*$AT$6</f>
        <v>0.0983622835052841</v>
      </c>
      <c r="AU44" s="253" t="n">
        <f aca="false">AK44+AL44+AT44</f>
        <v>-0.309942523920219</v>
      </c>
      <c r="AV44" s="233" t="n">
        <f aca="false">[10]Sheet1!AA35</f>
        <v>0.1495</v>
      </c>
      <c r="AW44" s="233" t="n">
        <v>0</v>
      </c>
    </row>
    <row r="45" customFormat="false" ht="11.25" hidden="false" customHeight="false" outlineLevel="0" collapsed="false">
      <c r="A45" s="233"/>
      <c r="B45" s="233"/>
      <c r="C45" s="231" t="e">
        <f aca="false">NextMonth(C44)</f>
        <v>#VALUE!</v>
      </c>
      <c r="D45" s="252" t="n">
        <v>0.0500370706847377</v>
      </c>
      <c r="E45" s="232" t="n">
        <v>4.086</v>
      </c>
      <c r="F45" s="232" t="n">
        <v>0.32</v>
      </c>
      <c r="G45" s="232" t="n">
        <v>0.32</v>
      </c>
      <c r="H45" s="232" t="n">
        <v>0.32</v>
      </c>
      <c r="I45" s="232" t="n">
        <v>0.33</v>
      </c>
      <c r="J45" s="232" t="n">
        <v>0.32</v>
      </c>
      <c r="K45" s="233" t="n">
        <v>0.32</v>
      </c>
      <c r="L45" s="232" t="n">
        <v>0.6</v>
      </c>
      <c r="M45" s="232" t="n">
        <v>0.55</v>
      </c>
      <c r="N45" s="232" t="n">
        <v>0.65</v>
      </c>
      <c r="O45" s="232" t="n">
        <v>0.5</v>
      </c>
      <c r="P45" s="232" t="n">
        <v>0.65</v>
      </c>
      <c r="Q45" s="252" t="n">
        <v>0.225</v>
      </c>
      <c r="R45" s="252" t="n">
        <v>0</v>
      </c>
      <c r="S45" s="233" t="n">
        <v>-0.0575</v>
      </c>
      <c r="T45" s="233" t="n">
        <v>0</v>
      </c>
      <c r="U45" s="233" t="n">
        <v>-0.09</v>
      </c>
      <c r="V45" s="233" t="n">
        <v>-0.01</v>
      </c>
      <c r="W45" s="233" t="n">
        <v>-0.09</v>
      </c>
      <c r="X45" s="233" t="n">
        <v>-0.01</v>
      </c>
      <c r="Y45" s="233" t="n">
        <v>0.165</v>
      </c>
      <c r="Z45" s="233" t="n">
        <v>0</v>
      </c>
      <c r="AA45" s="233" t="n">
        <v>0.165</v>
      </c>
      <c r="AB45" s="233" t="n">
        <v>0</v>
      </c>
      <c r="AC45" s="233" t="n">
        <v>0.195</v>
      </c>
      <c r="AD45" s="233" t="n">
        <v>0.0125</v>
      </c>
      <c r="AE45" s="233" t="n">
        <v>0.09</v>
      </c>
      <c r="AF45" s="233" t="n">
        <v>0.005</v>
      </c>
      <c r="AG45" s="233" t="n">
        <v>0.26</v>
      </c>
      <c r="AH45" s="233" t="n">
        <v>0</v>
      </c>
      <c r="AI45" s="233" t="n">
        <v>0.205</v>
      </c>
      <c r="AJ45" s="233" t="n">
        <v>0</v>
      </c>
      <c r="AK45" s="233" t="n">
        <v>-0.41</v>
      </c>
      <c r="AL45" s="233" t="n">
        <v>0.0016953294398157</v>
      </c>
      <c r="AM45" s="233" t="n">
        <v>0.145</v>
      </c>
      <c r="AN45" s="233" t="n">
        <v>1.55517708716634</v>
      </c>
      <c r="AO45" s="233" t="n">
        <v>0.32</v>
      </c>
      <c r="AP45" s="233" t="n">
        <v>0.195</v>
      </c>
      <c r="AQ45" s="233" t="n">
        <v>0.195</v>
      </c>
      <c r="AR45" s="233" t="n">
        <f aca="false">1/AN45</f>
        <v>0.643013588775335</v>
      </c>
      <c r="AT45" s="253" t="n">
        <f aca="false">AR45*AM45*$AT$6</f>
        <v>0.0983702250132477</v>
      </c>
      <c r="AU45" s="253" t="n">
        <f aca="false">AK45+AL45+AT45</f>
        <v>-0.309934445546937</v>
      </c>
      <c r="AV45" s="233" t="n">
        <f aca="false">[10]Sheet1!AA36</f>
        <v>0.1495</v>
      </c>
      <c r="AW45" s="233" t="n">
        <v>0</v>
      </c>
    </row>
    <row r="46" customFormat="false" ht="11.25" hidden="false" customHeight="false" outlineLevel="0" collapsed="false">
      <c r="A46" s="233"/>
      <c r="B46" s="233"/>
      <c r="C46" s="231" t="e">
        <f aca="false">NextMonth(C45)</f>
        <v>#VALUE!</v>
      </c>
      <c r="D46" s="252" t="n">
        <v>0.0504005807591552</v>
      </c>
      <c r="E46" s="232" t="n">
        <v>4.199</v>
      </c>
      <c r="F46" s="232" t="n">
        <v>0.32</v>
      </c>
      <c r="G46" s="232" t="n">
        <v>0.32</v>
      </c>
      <c r="H46" s="232" t="n">
        <v>0.32</v>
      </c>
      <c r="I46" s="232" t="n">
        <v>0.33</v>
      </c>
      <c r="J46" s="232" t="n">
        <v>0.32</v>
      </c>
      <c r="K46" s="233" t="n">
        <v>0.32</v>
      </c>
      <c r="L46" s="232" t="n">
        <v>0.8</v>
      </c>
      <c r="M46" s="232" t="n">
        <v>0.8</v>
      </c>
      <c r="N46" s="232" t="n">
        <v>0.8</v>
      </c>
      <c r="O46" s="232" t="n">
        <v>0.95</v>
      </c>
      <c r="P46" s="232" t="n">
        <v>0.85</v>
      </c>
      <c r="Q46" s="252" t="n">
        <v>0.32</v>
      </c>
      <c r="R46" s="252" t="n">
        <v>0</v>
      </c>
      <c r="S46" s="233" t="n">
        <v>-0.06</v>
      </c>
      <c r="T46" s="233" t="n">
        <v>0.005</v>
      </c>
      <c r="U46" s="233" t="n">
        <v>-0.1</v>
      </c>
      <c r="V46" s="233" t="n">
        <v>0.01</v>
      </c>
      <c r="W46" s="233" t="n">
        <v>-0.1</v>
      </c>
      <c r="X46" s="233" t="n">
        <v>0.01</v>
      </c>
      <c r="Y46" s="233" t="n">
        <v>0.22</v>
      </c>
      <c r="Z46" s="233" t="n">
        <v>0</v>
      </c>
      <c r="AA46" s="233" t="n">
        <v>0.22</v>
      </c>
      <c r="AB46" s="233" t="n">
        <v>0</v>
      </c>
      <c r="AC46" s="233" t="n">
        <v>0.28</v>
      </c>
      <c r="AD46" s="233" t="n">
        <v>0.03</v>
      </c>
      <c r="AE46" s="233" t="n">
        <v>0.17</v>
      </c>
      <c r="AF46" s="233" t="n">
        <v>0.02</v>
      </c>
      <c r="AG46" s="233" t="n">
        <v>0.52</v>
      </c>
      <c r="AH46" s="233" t="n">
        <v>0</v>
      </c>
      <c r="AI46" s="233" t="n">
        <v>0.32</v>
      </c>
      <c r="AJ46" s="233" t="n">
        <v>0</v>
      </c>
      <c r="AK46" s="233" t="n">
        <v>-0.36</v>
      </c>
      <c r="AL46" s="233" t="n">
        <v>0.0054252903870782</v>
      </c>
      <c r="AM46" s="233" t="n">
        <v>0.14</v>
      </c>
      <c r="AN46" s="233" t="n">
        <v>1.55510938549846</v>
      </c>
      <c r="AO46" s="233" t="n">
        <v>0.32</v>
      </c>
      <c r="AP46" s="233" t="n">
        <v>0.31</v>
      </c>
      <c r="AQ46" s="233" t="n">
        <v>0.31</v>
      </c>
      <c r="AR46" s="233" t="n">
        <f aca="false">1/AN46</f>
        <v>0.643041582363976</v>
      </c>
      <c r="AT46" s="253" t="n">
        <f aca="false">AR46*AM46*$AT$6</f>
        <v>0.094982283161165</v>
      </c>
      <c r="AU46" s="253" t="n">
        <f aca="false">AK46+AL46+AT46</f>
        <v>-0.259592426451757</v>
      </c>
      <c r="AV46" s="233" t="n">
        <f aca="false">[10]Sheet1!AA37</f>
        <v>0.193571428571429</v>
      </c>
      <c r="AW46" s="233" t="n">
        <v>0</v>
      </c>
    </row>
    <row r="47" customFormat="false" ht="11.25" hidden="false" customHeight="false" outlineLevel="0" collapsed="false">
      <c r="A47" s="233"/>
      <c r="B47" s="233"/>
      <c r="C47" s="231" t="e">
        <f aca="false">NextMonth(C46)</f>
        <v>#VALUE!</v>
      </c>
      <c r="D47" s="252" t="n">
        <v>0.0507523647441395</v>
      </c>
      <c r="E47" s="232" t="n">
        <v>4.337</v>
      </c>
      <c r="F47" s="232" t="n">
        <v>0.32</v>
      </c>
      <c r="G47" s="232" t="n">
        <v>0.32</v>
      </c>
      <c r="H47" s="232" t="n">
        <v>0.32</v>
      </c>
      <c r="I47" s="232" t="n">
        <v>0.33</v>
      </c>
      <c r="J47" s="232" t="n">
        <v>0.32</v>
      </c>
      <c r="K47" s="233" t="n">
        <v>0.32</v>
      </c>
      <c r="L47" s="232" t="n">
        <v>1</v>
      </c>
      <c r="M47" s="232" t="n">
        <v>1</v>
      </c>
      <c r="N47" s="232" t="n">
        <v>1.1</v>
      </c>
      <c r="O47" s="232" t="n">
        <v>1.35</v>
      </c>
      <c r="P47" s="232" t="n">
        <v>1.05</v>
      </c>
      <c r="Q47" s="252" t="n">
        <v>0.32</v>
      </c>
      <c r="R47" s="252" t="n">
        <v>0</v>
      </c>
      <c r="S47" s="233" t="n">
        <v>-0.06</v>
      </c>
      <c r="T47" s="233" t="n">
        <v>0.005</v>
      </c>
      <c r="U47" s="233" t="n">
        <v>-0.1025</v>
      </c>
      <c r="V47" s="233" t="n">
        <v>0.01</v>
      </c>
      <c r="W47" s="233" t="n">
        <v>-0.1025</v>
      </c>
      <c r="X47" s="233" t="n">
        <v>0.01</v>
      </c>
      <c r="Y47" s="233" t="n">
        <v>0.22</v>
      </c>
      <c r="Z47" s="233" t="n">
        <v>0</v>
      </c>
      <c r="AA47" s="233" t="n">
        <v>0.22</v>
      </c>
      <c r="AB47" s="233" t="n">
        <v>0</v>
      </c>
      <c r="AC47" s="233" t="n">
        <v>0.32</v>
      </c>
      <c r="AD47" s="233" t="n">
        <v>0.03</v>
      </c>
      <c r="AE47" s="233" t="n">
        <v>0.17</v>
      </c>
      <c r="AF47" s="233" t="n">
        <v>0.02</v>
      </c>
      <c r="AG47" s="233" t="n">
        <v>0.52</v>
      </c>
      <c r="AH47" s="233" t="n">
        <v>0</v>
      </c>
      <c r="AI47" s="233" t="n">
        <v>0.32</v>
      </c>
      <c r="AJ47" s="233" t="n">
        <v>0</v>
      </c>
      <c r="AK47" s="233" t="n">
        <v>-0.36</v>
      </c>
      <c r="AL47" s="233" t="n">
        <v>0.0054255666311409</v>
      </c>
      <c r="AM47" s="233" t="n">
        <v>0.14</v>
      </c>
      <c r="AN47" s="233" t="n">
        <v>1.55503020672068</v>
      </c>
      <c r="AO47" s="233" t="n">
        <v>0.32</v>
      </c>
      <c r="AP47" s="233" t="n">
        <v>0.31</v>
      </c>
      <c r="AQ47" s="233" t="n">
        <v>0.31</v>
      </c>
      <c r="AR47" s="233" t="n">
        <f aca="false">1/AN47</f>
        <v>0.643074324651768</v>
      </c>
      <c r="AT47" s="253" t="n">
        <f aca="false">AR47*AM47*$AT$6</f>
        <v>0.0949871194537714</v>
      </c>
      <c r="AU47" s="253" t="n">
        <f aca="false">AK47+AL47+AT47</f>
        <v>-0.259587313915088</v>
      </c>
      <c r="AV47" s="233" t="n">
        <f aca="false">[10]Sheet1!AA38</f>
        <v>0.198571428571429</v>
      </c>
      <c r="AW47" s="233" t="n">
        <v>0</v>
      </c>
    </row>
    <row r="48" customFormat="false" ht="11.25" hidden="false" customHeight="false" outlineLevel="0" collapsed="false">
      <c r="A48" s="233"/>
      <c r="B48" s="233"/>
      <c r="C48" s="231" t="e">
        <f aca="false">NextMonth(C47)</f>
        <v>#VALUE!</v>
      </c>
      <c r="D48" s="252" t="n">
        <v>0.0511068124325922</v>
      </c>
      <c r="E48" s="232" t="n">
        <v>4.394</v>
      </c>
      <c r="F48" s="232" t="n">
        <v>0.3225</v>
      </c>
      <c r="G48" s="232" t="n">
        <v>0.323</v>
      </c>
      <c r="H48" s="232" t="n">
        <v>0.323</v>
      </c>
      <c r="I48" s="232" t="n">
        <v>0.332</v>
      </c>
      <c r="J48" s="232" t="n">
        <v>0.323</v>
      </c>
      <c r="K48" s="233" t="n">
        <v>0.323</v>
      </c>
      <c r="L48" s="232" t="n">
        <v>1</v>
      </c>
      <c r="M48" s="232" t="n">
        <v>1</v>
      </c>
      <c r="N48" s="232" t="n">
        <v>1.1</v>
      </c>
      <c r="O48" s="232" t="n">
        <v>1.35</v>
      </c>
      <c r="P48" s="232" t="n">
        <v>1.05</v>
      </c>
      <c r="Q48" s="252" t="n">
        <v>0.32</v>
      </c>
      <c r="R48" s="252" t="n">
        <v>0</v>
      </c>
      <c r="S48" s="233" t="n">
        <v>-0.06</v>
      </c>
      <c r="T48" s="233" t="n">
        <v>0.005</v>
      </c>
      <c r="U48" s="233" t="n">
        <v>-0.105</v>
      </c>
      <c r="V48" s="233" t="n">
        <v>0.01</v>
      </c>
      <c r="W48" s="233" t="n">
        <v>-0.105</v>
      </c>
      <c r="X48" s="233" t="n">
        <v>0.01</v>
      </c>
      <c r="Y48" s="233" t="n">
        <v>0.22</v>
      </c>
      <c r="Z48" s="233" t="n">
        <v>0</v>
      </c>
      <c r="AA48" s="233" t="n">
        <v>0.22</v>
      </c>
      <c r="AB48" s="233" t="n">
        <v>0</v>
      </c>
      <c r="AC48" s="233" t="n">
        <v>0.32</v>
      </c>
      <c r="AD48" s="233" t="n">
        <v>0.03</v>
      </c>
      <c r="AE48" s="233" t="n">
        <v>0.17</v>
      </c>
      <c r="AF48" s="233" t="n">
        <v>0.02</v>
      </c>
      <c r="AG48" s="233" t="n">
        <v>0.52</v>
      </c>
      <c r="AH48" s="233" t="n">
        <v>0</v>
      </c>
      <c r="AI48" s="233" t="n">
        <v>0.32</v>
      </c>
      <c r="AJ48" s="233" t="n">
        <v>0</v>
      </c>
      <c r="AK48" s="233" t="n">
        <v>-0.36</v>
      </c>
      <c r="AL48" s="233" t="n">
        <v>0.0054257750583288</v>
      </c>
      <c r="AM48" s="233" t="n">
        <v>0.14</v>
      </c>
      <c r="AN48" s="233" t="n">
        <v>1.55497047137052</v>
      </c>
      <c r="AO48" s="233" t="n">
        <v>0.323</v>
      </c>
      <c r="AP48" s="233" t="n">
        <v>0.31</v>
      </c>
      <c r="AQ48" s="233" t="n">
        <v>0.31</v>
      </c>
      <c r="AR48" s="233" t="n">
        <f aca="false">1/AN48</f>
        <v>0.643099028831474</v>
      </c>
      <c r="AT48" s="253" t="n">
        <f aca="false">AR48*AM48*$AT$6</f>
        <v>0.0949907684547947</v>
      </c>
      <c r="AU48" s="253" t="n">
        <f aca="false">AK48+AL48+AT48</f>
        <v>-0.259583456486877</v>
      </c>
      <c r="AV48" s="233" t="n">
        <f aca="false">[10]Sheet1!AA39</f>
        <v>0.198571428571429</v>
      </c>
      <c r="AW48" s="233" t="n">
        <v>0</v>
      </c>
    </row>
    <row r="49" customFormat="false" ht="11.25" hidden="false" customHeight="false" outlineLevel="0" collapsed="false">
      <c r="A49" s="233"/>
      <c r="B49" s="233"/>
      <c r="C49" s="231" t="e">
        <f aca="false">NextMonth(C48)</f>
        <v>#VALUE!</v>
      </c>
      <c r="D49" s="252" t="n">
        <v>0.051451593524249</v>
      </c>
      <c r="E49" s="232" t="n">
        <v>4.274</v>
      </c>
      <c r="F49" s="232" t="n">
        <v>0.31</v>
      </c>
      <c r="G49" s="232" t="n">
        <v>0.31</v>
      </c>
      <c r="H49" s="232" t="n">
        <v>0.31</v>
      </c>
      <c r="I49" s="232" t="n">
        <v>0.319</v>
      </c>
      <c r="J49" s="232" t="n">
        <v>0.31</v>
      </c>
      <c r="K49" s="233" t="n">
        <v>0.31</v>
      </c>
      <c r="L49" s="232" t="n">
        <v>1</v>
      </c>
      <c r="M49" s="232" t="n">
        <v>1</v>
      </c>
      <c r="N49" s="232" t="n">
        <v>1.1</v>
      </c>
      <c r="O49" s="232" t="n">
        <v>1.35</v>
      </c>
      <c r="P49" s="232" t="n">
        <v>1.05</v>
      </c>
      <c r="Q49" s="252" t="n">
        <v>0.32</v>
      </c>
      <c r="R49" s="252" t="n">
        <v>0</v>
      </c>
      <c r="S49" s="233" t="n">
        <v>-0.06</v>
      </c>
      <c r="T49" s="233" t="n">
        <v>0.005</v>
      </c>
      <c r="U49" s="233" t="n">
        <v>-0.0975</v>
      </c>
      <c r="V49" s="233" t="n">
        <v>0.01</v>
      </c>
      <c r="W49" s="233" t="n">
        <v>-0.0975</v>
      </c>
      <c r="X49" s="233" t="n">
        <v>0.01</v>
      </c>
      <c r="Y49" s="233" t="n">
        <v>0.22</v>
      </c>
      <c r="Z49" s="233" t="n">
        <v>0</v>
      </c>
      <c r="AA49" s="233" t="n">
        <v>0.22</v>
      </c>
      <c r="AB49" s="233" t="n">
        <v>0</v>
      </c>
      <c r="AC49" s="233" t="n">
        <v>0.3</v>
      </c>
      <c r="AD49" s="233" t="n">
        <v>0.03</v>
      </c>
      <c r="AE49" s="233" t="n">
        <v>0.17</v>
      </c>
      <c r="AF49" s="233" t="n">
        <v>0.02</v>
      </c>
      <c r="AG49" s="233" t="n">
        <v>0.52</v>
      </c>
      <c r="AH49" s="233" t="n">
        <v>0</v>
      </c>
      <c r="AI49" s="233" t="n">
        <v>0.32</v>
      </c>
      <c r="AJ49" s="233" t="n">
        <v>0</v>
      </c>
      <c r="AK49" s="233" t="n">
        <v>-0.36</v>
      </c>
      <c r="AL49" s="233" t="n">
        <v>0.0054258864054566</v>
      </c>
      <c r="AM49" s="233" t="n">
        <v>0.14</v>
      </c>
      <c r="AN49" s="233" t="n">
        <v>1.55493856110134</v>
      </c>
      <c r="AO49" s="233" t="n">
        <v>0.31</v>
      </c>
      <c r="AP49" s="233" t="n">
        <v>0.31</v>
      </c>
      <c r="AQ49" s="233" t="n">
        <v>0.31</v>
      </c>
      <c r="AR49" s="233" t="n">
        <f aca="false">1/AN49</f>
        <v>0.64311222643531</v>
      </c>
      <c r="AT49" s="253" t="n">
        <f aca="false">AR49*AM49*$AT$6</f>
        <v>0.0949927178443505</v>
      </c>
      <c r="AU49" s="253" t="n">
        <f aca="false">AK49+AL49+AT49</f>
        <v>-0.259581395750193</v>
      </c>
      <c r="AV49" s="233" t="n">
        <f aca="false">[10]Sheet1!AA40</f>
        <v>0.198571428571429</v>
      </c>
      <c r="AW49" s="233" t="n">
        <v>0</v>
      </c>
    </row>
    <row r="50" customFormat="false" ht="11.25" hidden="false" customHeight="false" outlineLevel="0" collapsed="false">
      <c r="A50" s="233"/>
      <c r="B50" s="233"/>
      <c r="C50" s="231" t="e">
        <f aca="false">NextMonth(C49)</f>
        <v>#VALUE!</v>
      </c>
      <c r="D50" s="252" t="n">
        <v>0.0517741307104154</v>
      </c>
      <c r="E50" s="232" t="n">
        <v>4.135</v>
      </c>
      <c r="F50" s="232" t="n">
        <v>0.3025</v>
      </c>
      <c r="G50" s="232" t="n">
        <v>0.303</v>
      </c>
      <c r="H50" s="232" t="n">
        <v>0.303</v>
      </c>
      <c r="I50" s="232" t="n">
        <v>0.312</v>
      </c>
      <c r="J50" s="232" t="n">
        <v>0.303</v>
      </c>
      <c r="K50" s="233" t="n">
        <v>0.303</v>
      </c>
      <c r="L50" s="232" t="n">
        <v>0.75</v>
      </c>
      <c r="M50" s="232" t="n">
        <v>0.75</v>
      </c>
      <c r="N50" s="232" t="n">
        <v>0.75</v>
      </c>
      <c r="O50" s="232" t="n">
        <v>0.95</v>
      </c>
      <c r="P50" s="232" t="n">
        <v>0.75</v>
      </c>
      <c r="Q50" s="252" t="n">
        <v>0.32</v>
      </c>
      <c r="R50" s="252" t="n">
        <v>0</v>
      </c>
      <c r="S50" s="233" t="n">
        <v>-0.06</v>
      </c>
      <c r="T50" s="233" t="n">
        <v>0.005</v>
      </c>
      <c r="U50" s="233" t="n">
        <v>-0.095</v>
      </c>
      <c r="V50" s="233" t="n">
        <v>0.01</v>
      </c>
      <c r="W50" s="233" t="n">
        <v>-0.095</v>
      </c>
      <c r="X50" s="233" t="n">
        <v>0.01</v>
      </c>
      <c r="Y50" s="233" t="n">
        <v>0.22</v>
      </c>
      <c r="Z50" s="233" t="n">
        <v>0</v>
      </c>
      <c r="AA50" s="233" t="n">
        <v>0.22</v>
      </c>
      <c r="AB50" s="233" t="n">
        <v>0</v>
      </c>
      <c r="AC50" s="233" t="n">
        <v>0.28</v>
      </c>
      <c r="AD50" s="233" t="n">
        <v>0.03</v>
      </c>
      <c r="AE50" s="233" t="n">
        <v>0.17</v>
      </c>
      <c r="AF50" s="233" t="n">
        <v>0.02</v>
      </c>
      <c r="AG50" s="233" t="n">
        <v>0.52</v>
      </c>
      <c r="AH50" s="233" t="n">
        <v>0</v>
      </c>
      <c r="AI50" s="233" t="n">
        <v>0.32</v>
      </c>
      <c r="AJ50" s="233" t="n">
        <v>0</v>
      </c>
      <c r="AK50" s="233" t="n">
        <v>-0.36</v>
      </c>
      <c r="AL50" s="233" t="n">
        <v>0.0054260207005821</v>
      </c>
      <c r="AM50" s="233" t="n">
        <v>0.14</v>
      </c>
      <c r="AN50" s="233" t="n">
        <v>1.55490007605295</v>
      </c>
      <c r="AO50" s="233" t="n">
        <v>0.303</v>
      </c>
      <c r="AP50" s="233" t="n">
        <v>0.31</v>
      </c>
      <c r="AQ50" s="233" t="n">
        <v>0.31</v>
      </c>
      <c r="AR50" s="233" t="n">
        <f aca="false">1/AN50</f>
        <v>0.643128143988814</v>
      </c>
      <c r="AT50" s="253" t="n">
        <f aca="false">AR50*AM50*$AT$6</f>
        <v>0.0949950689917968</v>
      </c>
      <c r="AU50" s="253" t="n">
        <f aca="false">AK50+AL50+AT50</f>
        <v>-0.259578910307621</v>
      </c>
      <c r="AV50" s="233" t="n">
        <f aca="false">[10]Sheet1!AA41</f>
        <v>0.198571428571429</v>
      </c>
      <c r="AW50" s="233" t="n">
        <v>0</v>
      </c>
    </row>
    <row r="51" customFormat="false" ht="11.25" hidden="false" customHeight="false" outlineLevel="0" collapsed="false">
      <c r="A51" s="233"/>
      <c r="B51" s="233"/>
      <c r="C51" s="231" t="e">
        <f aca="false">NextMonth(C50)</f>
        <v>#VALUE!</v>
      </c>
      <c r="D51" s="252" t="n">
        <v>0.0520912747206244</v>
      </c>
      <c r="E51" s="232" t="n">
        <v>3.96</v>
      </c>
      <c r="F51" s="232" t="n">
        <v>0.29</v>
      </c>
      <c r="G51" s="232" t="n">
        <v>0.29</v>
      </c>
      <c r="H51" s="232" t="n">
        <v>0.29</v>
      </c>
      <c r="I51" s="232" t="n">
        <v>0.299</v>
      </c>
      <c r="J51" s="232" t="n">
        <v>0.29</v>
      </c>
      <c r="K51" s="233" t="n">
        <v>0.29</v>
      </c>
      <c r="L51" s="232" t="n">
        <v>0.4</v>
      </c>
      <c r="M51" s="232" t="n">
        <v>0.4</v>
      </c>
      <c r="N51" s="232" t="n">
        <v>0.45</v>
      </c>
      <c r="O51" s="232" t="n">
        <v>0.5</v>
      </c>
      <c r="P51" s="232" t="n">
        <v>0.45</v>
      </c>
      <c r="Q51" s="252" t="n">
        <v>0.215</v>
      </c>
      <c r="R51" s="252" t="n">
        <v>0</v>
      </c>
      <c r="S51" s="233" t="n">
        <v>-0.0575</v>
      </c>
      <c r="T51" s="233" t="n">
        <v>0</v>
      </c>
      <c r="U51" s="233" t="n">
        <v>-0.1</v>
      </c>
      <c r="V51" s="233" t="n">
        <v>-0.01</v>
      </c>
      <c r="W51" s="233" t="n">
        <v>-0.1</v>
      </c>
      <c r="X51" s="233" t="n">
        <v>-0.01</v>
      </c>
      <c r="Y51" s="233" t="n">
        <v>0.155</v>
      </c>
      <c r="Z51" s="233" t="n">
        <v>0</v>
      </c>
      <c r="AA51" s="233" t="n">
        <v>0.155</v>
      </c>
      <c r="AB51" s="233" t="n">
        <v>0</v>
      </c>
      <c r="AC51" s="233" t="n">
        <v>0.195</v>
      </c>
      <c r="AD51" s="233" t="n">
        <v>0.0175</v>
      </c>
      <c r="AE51" s="233" t="n">
        <v>0.095</v>
      </c>
      <c r="AF51" s="233" t="n">
        <v>0.005</v>
      </c>
      <c r="AG51" s="233" t="n">
        <v>0.25</v>
      </c>
      <c r="AH51" s="233" t="n">
        <v>0</v>
      </c>
      <c r="AI51" s="233" t="n">
        <v>0.195</v>
      </c>
      <c r="AJ51" s="233" t="n">
        <v>0</v>
      </c>
      <c r="AK51" s="233" t="n">
        <v>-0.445</v>
      </c>
      <c r="AL51" s="233" t="n">
        <v>0.001695554720938</v>
      </c>
      <c r="AM51" s="233" t="n">
        <v>0.14</v>
      </c>
      <c r="AN51" s="233" t="n">
        <v>1.55497045742133</v>
      </c>
      <c r="AO51" s="233" t="n">
        <v>0.29</v>
      </c>
      <c r="AP51" s="233" t="n">
        <v>0.185</v>
      </c>
      <c r="AQ51" s="233" t="n">
        <v>0.185</v>
      </c>
      <c r="AR51" s="233" t="n">
        <f aca="false">1/AN51</f>
        <v>0.643099034600529</v>
      </c>
      <c r="AT51" s="253" t="n">
        <f aca="false">AR51*AM51*$AT$6</f>
        <v>0.0949907693069294</v>
      </c>
      <c r="AU51" s="253" t="n">
        <f aca="false">AK51+AL51+AT51</f>
        <v>-0.348313675972133</v>
      </c>
      <c r="AV51" s="233" t="n">
        <f aca="false">[10]Sheet1!AA42</f>
        <v>0.1495</v>
      </c>
      <c r="AW51" s="233" t="n">
        <v>0</v>
      </c>
    </row>
    <row r="52" customFormat="false" ht="11.25" hidden="false" customHeight="false" outlineLevel="0" collapsed="false">
      <c r="A52" s="233"/>
      <c r="B52" s="233"/>
      <c r="C52" s="231" t="e">
        <f aca="false">NextMonth(C51)</f>
        <v>#VALUE!</v>
      </c>
      <c r="D52" s="252" t="n">
        <v>0.0523696596287393</v>
      </c>
      <c r="E52" s="232" t="n">
        <v>3.93</v>
      </c>
      <c r="F52" s="232" t="n">
        <v>0.2875</v>
      </c>
      <c r="G52" s="232" t="n">
        <v>0.288</v>
      </c>
      <c r="H52" s="232" t="n">
        <v>0.288</v>
      </c>
      <c r="I52" s="232" t="n">
        <v>0.296</v>
      </c>
      <c r="J52" s="232" t="n">
        <v>0.288</v>
      </c>
      <c r="K52" s="233" t="n">
        <v>0.288</v>
      </c>
      <c r="L52" s="232" t="n">
        <v>0.45</v>
      </c>
      <c r="M52" s="232" t="n">
        <v>0.4</v>
      </c>
      <c r="N52" s="232" t="n">
        <v>0.5</v>
      </c>
      <c r="O52" s="232" t="n">
        <v>0.45</v>
      </c>
      <c r="P52" s="232" t="n">
        <v>0.45</v>
      </c>
      <c r="Q52" s="252" t="n">
        <v>0.215</v>
      </c>
      <c r="R52" s="252" t="n">
        <v>0</v>
      </c>
      <c r="S52" s="233" t="n">
        <v>-0.0575</v>
      </c>
      <c r="T52" s="233" t="n">
        <v>0</v>
      </c>
      <c r="U52" s="233" t="n">
        <v>-0.1</v>
      </c>
      <c r="V52" s="233" t="n">
        <v>-0.01</v>
      </c>
      <c r="W52" s="233" t="n">
        <v>-0.1</v>
      </c>
      <c r="X52" s="233" t="n">
        <v>-0.01</v>
      </c>
      <c r="Y52" s="233" t="n">
        <v>0.155</v>
      </c>
      <c r="Z52" s="233" t="n">
        <v>0</v>
      </c>
      <c r="AA52" s="233" t="n">
        <v>0.155</v>
      </c>
      <c r="AB52" s="233" t="n">
        <v>0</v>
      </c>
      <c r="AC52" s="233" t="n">
        <v>0.185</v>
      </c>
      <c r="AD52" s="233" t="n">
        <v>0.01</v>
      </c>
      <c r="AE52" s="233" t="n">
        <v>0.095</v>
      </c>
      <c r="AF52" s="233" t="n">
        <v>0.005</v>
      </c>
      <c r="AG52" s="233" t="n">
        <v>0.25</v>
      </c>
      <c r="AH52" s="233" t="n">
        <v>0</v>
      </c>
      <c r="AI52" s="233" t="n">
        <v>0.195</v>
      </c>
      <c r="AJ52" s="233" t="n">
        <v>0</v>
      </c>
      <c r="AK52" s="233" t="n">
        <v>-0.445</v>
      </c>
      <c r="AL52" s="233" t="n">
        <v>0.0016953432501728</v>
      </c>
      <c r="AM52" s="233" t="n">
        <v>0.14</v>
      </c>
      <c r="AN52" s="233" t="n">
        <v>1.55516441861034</v>
      </c>
      <c r="AO52" s="233" t="n">
        <v>0.288</v>
      </c>
      <c r="AP52" s="233" t="n">
        <v>0.185</v>
      </c>
      <c r="AQ52" s="233" t="n">
        <v>0.185</v>
      </c>
      <c r="AR52" s="233" t="n">
        <f aca="false">1/AN52</f>
        <v>0.643018826841202</v>
      </c>
      <c r="AT52" s="253" t="n">
        <f aca="false">AR52*AM52*$AT$6</f>
        <v>0.0949789219920479</v>
      </c>
      <c r="AU52" s="253" t="n">
        <f aca="false">AK52+AL52+AT52</f>
        <v>-0.348325734757779</v>
      </c>
      <c r="AV52" s="233" t="n">
        <f aca="false">[10]Sheet1!AA43</f>
        <v>0.1495</v>
      </c>
      <c r="AW52" s="233" t="n">
        <v>0</v>
      </c>
    </row>
    <row r="53" customFormat="false" ht="11.25" hidden="false" customHeight="false" outlineLevel="0" collapsed="false">
      <c r="A53" s="233"/>
      <c r="B53" s="233"/>
      <c r="C53" s="231" t="e">
        <f aca="false">NextMonth(C52)</f>
        <v>#VALUE!</v>
      </c>
      <c r="D53" s="252" t="n">
        <v>0.0526573240609438</v>
      </c>
      <c r="E53" s="232" t="n">
        <v>4</v>
      </c>
      <c r="F53" s="232" t="n">
        <v>0.2875</v>
      </c>
      <c r="G53" s="232" t="n">
        <v>0.288</v>
      </c>
      <c r="H53" s="232" t="n">
        <v>0.288</v>
      </c>
      <c r="I53" s="232" t="n">
        <v>0.296</v>
      </c>
      <c r="J53" s="232" t="n">
        <v>0.288</v>
      </c>
      <c r="K53" s="233" t="n">
        <v>0.288</v>
      </c>
      <c r="L53" s="232" t="n">
        <v>0.45</v>
      </c>
      <c r="M53" s="232" t="n">
        <v>0.4</v>
      </c>
      <c r="N53" s="232" t="n">
        <v>0.5</v>
      </c>
      <c r="O53" s="232" t="n">
        <v>0.5</v>
      </c>
      <c r="P53" s="232" t="n">
        <v>0.5</v>
      </c>
      <c r="Q53" s="252" t="n">
        <v>0.215</v>
      </c>
      <c r="R53" s="252" t="n">
        <v>0</v>
      </c>
      <c r="S53" s="233" t="n">
        <v>-0.0575</v>
      </c>
      <c r="T53" s="233" t="n">
        <v>0</v>
      </c>
      <c r="U53" s="233" t="n">
        <v>-0.1</v>
      </c>
      <c r="V53" s="233" t="n">
        <v>-0.01</v>
      </c>
      <c r="W53" s="233" t="n">
        <v>-0.1</v>
      </c>
      <c r="X53" s="233" t="n">
        <v>-0.01</v>
      </c>
      <c r="Y53" s="233" t="n">
        <v>0.155</v>
      </c>
      <c r="Z53" s="233" t="n">
        <v>0</v>
      </c>
      <c r="AA53" s="233" t="n">
        <v>0.155</v>
      </c>
      <c r="AB53" s="233" t="n">
        <v>0</v>
      </c>
      <c r="AC53" s="233" t="n">
        <v>0.195</v>
      </c>
      <c r="AD53" s="233" t="n">
        <v>0.0125</v>
      </c>
      <c r="AE53" s="233" t="n">
        <v>0.095</v>
      </c>
      <c r="AF53" s="233" t="n">
        <v>0.005</v>
      </c>
      <c r="AG53" s="233" t="n">
        <v>0.25</v>
      </c>
      <c r="AH53" s="233" t="n">
        <v>0</v>
      </c>
      <c r="AI53" s="233" t="n">
        <v>0.195</v>
      </c>
      <c r="AJ53" s="233" t="n">
        <v>0</v>
      </c>
      <c r="AK53" s="233" t="n">
        <v>-0.445</v>
      </c>
      <c r="AL53" s="233" t="n">
        <v>0.0016954651968583</v>
      </c>
      <c r="AM53" s="233" t="n">
        <v>0.14</v>
      </c>
      <c r="AN53" s="233" t="n">
        <v>1.55505256308741</v>
      </c>
      <c r="AO53" s="233" t="n">
        <v>0.288</v>
      </c>
      <c r="AP53" s="233" t="n">
        <v>0.185</v>
      </c>
      <c r="AQ53" s="233" t="n">
        <v>0.185</v>
      </c>
      <c r="AR53" s="233" t="n">
        <f aca="false">1/AN53</f>
        <v>0.643065079430238</v>
      </c>
      <c r="AT53" s="253" t="n">
        <f aca="false">AR53*AM53*$AT$6</f>
        <v>0.0949857538620689</v>
      </c>
      <c r="AU53" s="253" t="n">
        <f aca="false">AK53+AL53+AT53</f>
        <v>-0.348318780941073</v>
      </c>
      <c r="AV53" s="233" t="n">
        <f aca="false">[10]Sheet1!AA44</f>
        <v>0.1495</v>
      </c>
      <c r="AW53" s="233" t="n">
        <v>0</v>
      </c>
    </row>
    <row r="54" customFormat="false" ht="11.25" hidden="false" customHeight="false" outlineLevel="0" collapsed="false">
      <c r="A54" s="233"/>
      <c r="B54" s="233"/>
      <c r="C54" s="231" t="e">
        <f aca="false">NextMonth(C53)</f>
        <v>#VALUE!</v>
      </c>
      <c r="D54" s="252" t="n">
        <v>0.0529246141502093</v>
      </c>
      <c r="E54" s="232" t="n">
        <v>4.055</v>
      </c>
      <c r="F54" s="232" t="n">
        <v>0.2875</v>
      </c>
      <c r="G54" s="232" t="n">
        <v>0.288</v>
      </c>
      <c r="H54" s="232" t="n">
        <v>0.288</v>
      </c>
      <c r="I54" s="232" t="n">
        <v>0.296</v>
      </c>
      <c r="J54" s="232" t="n">
        <v>0.288</v>
      </c>
      <c r="K54" s="233" t="n">
        <v>0.288</v>
      </c>
      <c r="L54" s="232" t="n">
        <v>0.5</v>
      </c>
      <c r="M54" s="232" t="n">
        <v>0.4</v>
      </c>
      <c r="N54" s="232" t="n">
        <v>0.55</v>
      </c>
      <c r="O54" s="232" t="n">
        <v>0.5</v>
      </c>
      <c r="P54" s="232" t="n">
        <v>0.5</v>
      </c>
      <c r="Q54" s="252" t="n">
        <v>0.215</v>
      </c>
      <c r="R54" s="252" t="n">
        <v>0</v>
      </c>
      <c r="S54" s="233" t="n">
        <v>-0.0575</v>
      </c>
      <c r="T54" s="233" t="n">
        <v>0</v>
      </c>
      <c r="U54" s="233" t="n">
        <v>-0.1</v>
      </c>
      <c r="V54" s="233" t="n">
        <v>-0.01</v>
      </c>
      <c r="W54" s="233" t="n">
        <v>-0.1</v>
      </c>
      <c r="X54" s="233" t="n">
        <v>-0.01</v>
      </c>
      <c r="Y54" s="233" t="n">
        <v>0.155</v>
      </c>
      <c r="Z54" s="233" t="n">
        <v>0</v>
      </c>
      <c r="AA54" s="233" t="n">
        <v>0.155</v>
      </c>
      <c r="AB54" s="233" t="n">
        <v>0</v>
      </c>
      <c r="AC54" s="233" t="n">
        <v>0.2</v>
      </c>
      <c r="AD54" s="233" t="n">
        <v>0.0125</v>
      </c>
      <c r="AE54" s="233" t="n">
        <v>0.095</v>
      </c>
      <c r="AF54" s="233" t="n">
        <v>0.005</v>
      </c>
      <c r="AG54" s="233" t="n">
        <v>0.25</v>
      </c>
      <c r="AH54" s="233" t="n">
        <v>0</v>
      </c>
      <c r="AI54" s="233" t="n">
        <v>0.195</v>
      </c>
      <c r="AJ54" s="233" t="n">
        <v>0</v>
      </c>
      <c r="AK54" s="233" t="n">
        <v>-0.445</v>
      </c>
      <c r="AL54" s="233" t="n">
        <v>0.0016957870780789</v>
      </c>
      <c r="AM54" s="233" t="n">
        <v>0.14</v>
      </c>
      <c r="AN54" s="233" t="n">
        <v>1.55475739500662</v>
      </c>
      <c r="AO54" s="233" t="n">
        <v>0.288</v>
      </c>
      <c r="AP54" s="233" t="n">
        <v>0.185</v>
      </c>
      <c r="AQ54" s="233" t="n">
        <v>0.185</v>
      </c>
      <c r="AR54" s="233" t="n">
        <f aca="false">1/AN54</f>
        <v>0.643187164255773</v>
      </c>
      <c r="AT54" s="253" t="n">
        <f aca="false">AR54*AM54*$AT$6</f>
        <v>0.0950037867479454</v>
      </c>
      <c r="AU54" s="253" t="n">
        <f aca="false">AK54+AL54+AT54</f>
        <v>-0.348300426173976</v>
      </c>
      <c r="AV54" s="233" t="n">
        <f aca="false">[10]Sheet1!AA45</f>
        <v>0.1495</v>
      </c>
      <c r="AW54" s="233" t="n">
        <v>0</v>
      </c>
    </row>
    <row r="55" customFormat="false" ht="11.25" hidden="false" customHeight="false" outlineLevel="0" collapsed="false">
      <c r="A55" s="233"/>
      <c r="B55" s="233"/>
      <c r="C55" s="231" t="e">
        <f aca="false">NextMonth(C54)</f>
        <v>#VALUE!</v>
      </c>
      <c r="D55" s="252" t="n">
        <v>0.0531886288691266</v>
      </c>
      <c r="E55" s="232" t="n">
        <v>4.111</v>
      </c>
      <c r="F55" s="232" t="n">
        <v>0.2875</v>
      </c>
      <c r="G55" s="232" t="n">
        <v>0.288</v>
      </c>
      <c r="H55" s="232" t="n">
        <v>0.288</v>
      </c>
      <c r="I55" s="232" t="n">
        <v>0.296</v>
      </c>
      <c r="J55" s="232" t="n">
        <v>0.288</v>
      </c>
      <c r="K55" s="233" t="n">
        <v>0.288</v>
      </c>
      <c r="L55" s="232" t="n">
        <v>0.55</v>
      </c>
      <c r="M55" s="232" t="n">
        <v>0.5</v>
      </c>
      <c r="N55" s="232" t="n">
        <v>0.6</v>
      </c>
      <c r="O55" s="232" t="n">
        <v>0.45</v>
      </c>
      <c r="P55" s="232" t="n">
        <v>0.55</v>
      </c>
      <c r="Q55" s="252" t="n">
        <v>0.215</v>
      </c>
      <c r="R55" s="252" t="n">
        <v>0</v>
      </c>
      <c r="S55" s="233" t="n">
        <v>-0.0575</v>
      </c>
      <c r="T55" s="233" t="n">
        <v>0</v>
      </c>
      <c r="U55" s="233" t="n">
        <v>-0.1</v>
      </c>
      <c r="V55" s="233" t="n">
        <v>-0.01</v>
      </c>
      <c r="W55" s="233" t="n">
        <v>-0.1</v>
      </c>
      <c r="X55" s="233" t="n">
        <v>-0.01</v>
      </c>
      <c r="Y55" s="233" t="n">
        <v>0.155</v>
      </c>
      <c r="Z55" s="233" t="n">
        <v>0</v>
      </c>
      <c r="AA55" s="233" t="n">
        <v>0.155</v>
      </c>
      <c r="AB55" s="233" t="n">
        <v>0</v>
      </c>
      <c r="AC55" s="233" t="n">
        <v>0.21</v>
      </c>
      <c r="AD55" s="233" t="n">
        <v>0.0125</v>
      </c>
      <c r="AE55" s="233" t="n">
        <v>0.095</v>
      </c>
      <c r="AF55" s="233" t="n">
        <v>0.005</v>
      </c>
      <c r="AG55" s="233" t="n">
        <v>0.25</v>
      </c>
      <c r="AH55" s="233" t="n">
        <v>0</v>
      </c>
      <c r="AI55" s="233" t="n">
        <v>0.195</v>
      </c>
      <c r="AJ55" s="233" t="n">
        <v>0</v>
      </c>
      <c r="AK55" s="233" t="n">
        <v>-0.445</v>
      </c>
      <c r="AL55" s="233" t="n">
        <v>0.0016960788699794</v>
      </c>
      <c r="AM55" s="233" t="n">
        <v>0.14</v>
      </c>
      <c r="AN55" s="233" t="n">
        <v>1.5544899159271</v>
      </c>
      <c r="AO55" s="233" t="n">
        <v>0.288</v>
      </c>
      <c r="AP55" s="233" t="n">
        <v>0.185</v>
      </c>
      <c r="AQ55" s="233" t="n">
        <v>0.185</v>
      </c>
      <c r="AR55" s="233" t="n">
        <f aca="false">1/AN55</f>
        <v>0.643297836643475</v>
      </c>
      <c r="AT55" s="253" t="n">
        <f aca="false">AR55*AM55*$AT$6</f>
        <v>0.0950201339272805</v>
      </c>
      <c r="AU55" s="253" t="n">
        <f aca="false">AK55+AL55+AT55</f>
        <v>-0.34828378720274</v>
      </c>
      <c r="AV55" s="233" t="n">
        <f aca="false">[10]Sheet1!AA46</f>
        <v>0.1495</v>
      </c>
      <c r="AW55" s="233" t="n">
        <v>0</v>
      </c>
    </row>
    <row r="56" customFormat="false" ht="11.25" hidden="false" customHeight="false" outlineLevel="0" collapsed="false">
      <c r="A56" s="233"/>
      <c r="B56" s="233"/>
      <c r="C56" s="231" t="e">
        <f aca="false">NextMonth(C55)</f>
        <v>#VALUE!</v>
      </c>
      <c r="D56" s="252" t="n">
        <v>0.0534526436112808</v>
      </c>
      <c r="E56" s="232" t="n">
        <v>4.125</v>
      </c>
      <c r="F56" s="232" t="n">
        <v>0.2875</v>
      </c>
      <c r="G56" s="232" t="n">
        <v>0.288</v>
      </c>
      <c r="H56" s="232" t="n">
        <v>0.288</v>
      </c>
      <c r="I56" s="232" t="n">
        <v>0.296</v>
      </c>
      <c r="J56" s="232" t="n">
        <v>0.288</v>
      </c>
      <c r="K56" s="233" t="n">
        <v>0.288</v>
      </c>
      <c r="L56" s="232" t="n">
        <v>0.55</v>
      </c>
      <c r="M56" s="232" t="n">
        <v>0.55</v>
      </c>
      <c r="N56" s="232" t="n">
        <v>0.6</v>
      </c>
      <c r="O56" s="232" t="n">
        <v>0.5</v>
      </c>
      <c r="P56" s="232" t="n">
        <v>0.6</v>
      </c>
      <c r="Q56" s="252" t="n">
        <v>0.215</v>
      </c>
      <c r="R56" s="252" t="n">
        <v>0</v>
      </c>
      <c r="S56" s="233" t="n">
        <v>-0.0575</v>
      </c>
      <c r="T56" s="233" t="n">
        <v>0</v>
      </c>
      <c r="U56" s="233" t="n">
        <v>-0.1</v>
      </c>
      <c r="V56" s="233" t="n">
        <v>-0.01</v>
      </c>
      <c r="W56" s="233" t="n">
        <v>-0.1</v>
      </c>
      <c r="X56" s="233" t="n">
        <v>-0.01</v>
      </c>
      <c r="Y56" s="233" t="n">
        <v>0.155</v>
      </c>
      <c r="Z56" s="233" t="n">
        <v>0</v>
      </c>
      <c r="AA56" s="233" t="n">
        <v>0.155</v>
      </c>
      <c r="AB56" s="233" t="n">
        <v>0</v>
      </c>
      <c r="AC56" s="233" t="n">
        <v>0.185</v>
      </c>
      <c r="AD56" s="233" t="n">
        <v>0.0125</v>
      </c>
      <c r="AE56" s="233" t="n">
        <v>0.095</v>
      </c>
      <c r="AF56" s="233" t="n">
        <v>0.005</v>
      </c>
      <c r="AG56" s="233" t="n">
        <v>0.25</v>
      </c>
      <c r="AH56" s="233" t="n">
        <v>0</v>
      </c>
      <c r="AI56" s="233" t="n">
        <v>0.195</v>
      </c>
      <c r="AJ56" s="233" t="n">
        <v>0</v>
      </c>
      <c r="AK56" s="233" t="n">
        <v>-0.445</v>
      </c>
      <c r="AL56" s="233" t="n">
        <v>0.0016963915791265</v>
      </c>
      <c r="AM56" s="233" t="n">
        <v>0.14</v>
      </c>
      <c r="AN56" s="233" t="n">
        <v>1.55420336462501</v>
      </c>
      <c r="AO56" s="233" t="n">
        <v>0.288</v>
      </c>
      <c r="AP56" s="233" t="n">
        <v>0.185</v>
      </c>
      <c r="AQ56" s="233" t="n">
        <v>0.185</v>
      </c>
      <c r="AR56" s="233" t="n">
        <f aca="false">1/AN56</f>
        <v>0.643416442636048</v>
      </c>
      <c r="AT56" s="253" t="n">
        <f aca="false">AR56*AM56*$AT$6</f>
        <v>0.0950376529622545</v>
      </c>
      <c r="AU56" s="253" t="n">
        <f aca="false">AK56+AL56+AT56</f>
        <v>-0.348265955458619</v>
      </c>
      <c r="AV56" s="233" t="n">
        <f aca="false">[10]Sheet1!AA47</f>
        <v>0.1495</v>
      </c>
      <c r="AW56" s="233" t="n">
        <v>0</v>
      </c>
    </row>
    <row r="57" customFormat="false" ht="11.25" hidden="false" customHeight="false" outlineLevel="0" collapsed="false">
      <c r="A57" s="233"/>
      <c r="B57" s="233"/>
      <c r="C57" s="231" t="e">
        <f aca="false">NextMonth(C56)</f>
        <v>#VALUE!</v>
      </c>
      <c r="D57" s="252" t="n">
        <v>0.0536984370048006</v>
      </c>
      <c r="E57" s="232" t="n">
        <v>4.156</v>
      </c>
      <c r="F57" s="232" t="n">
        <v>0.2875</v>
      </c>
      <c r="G57" s="232" t="n">
        <v>0.288</v>
      </c>
      <c r="H57" s="232" t="n">
        <v>0.288</v>
      </c>
      <c r="I57" s="232" t="n">
        <v>0.296</v>
      </c>
      <c r="J57" s="232" t="n">
        <v>0.288</v>
      </c>
      <c r="K57" s="233" t="n">
        <v>0.288</v>
      </c>
      <c r="L57" s="232" t="n">
        <v>0.6</v>
      </c>
      <c r="M57" s="232" t="n">
        <v>0.55</v>
      </c>
      <c r="N57" s="232" t="n">
        <v>0.65</v>
      </c>
      <c r="O57" s="232" t="n">
        <v>0.5</v>
      </c>
      <c r="P57" s="232" t="n">
        <v>0.65</v>
      </c>
      <c r="Q57" s="252" t="n">
        <v>0.215</v>
      </c>
      <c r="R57" s="252" t="n">
        <v>0</v>
      </c>
      <c r="S57" s="233" t="n">
        <v>-0.0575</v>
      </c>
      <c r="T57" s="233" t="n">
        <v>0</v>
      </c>
      <c r="U57" s="233" t="n">
        <v>-0.1</v>
      </c>
      <c r="V57" s="233" t="n">
        <v>-0.01</v>
      </c>
      <c r="W57" s="233" t="n">
        <v>-0.1</v>
      </c>
      <c r="X57" s="233" t="n">
        <v>-0.01</v>
      </c>
      <c r="Y57" s="233" t="n">
        <v>0.155</v>
      </c>
      <c r="Z57" s="233" t="n">
        <v>0</v>
      </c>
      <c r="AA57" s="233" t="n">
        <v>0.155</v>
      </c>
      <c r="AB57" s="233" t="n">
        <v>0</v>
      </c>
      <c r="AC57" s="233" t="n">
        <v>0.195</v>
      </c>
      <c r="AD57" s="233" t="n">
        <v>0.0125</v>
      </c>
      <c r="AE57" s="233" t="n">
        <v>0.095</v>
      </c>
      <c r="AF57" s="233" t="n">
        <v>0.005</v>
      </c>
      <c r="AG57" s="233" t="n">
        <v>0.25</v>
      </c>
      <c r="AH57" s="233" t="n">
        <v>0</v>
      </c>
      <c r="AI57" s="233" t="n">
        <v>0.195</v>
      </c>
      <c r="AJ57" s="233" t="n">
        <v>0</v>
      </c>
      <c r="AK57" s="233" t="n">
        <v>-0.445</v>
      </c>
      <c r="AL57" s="233" t="n">
        <v>0.0016966598578125</v>
      </c>
      <c r="AM57" s="233" t="n">
        <v>0.14</v>
      </c>
      <c r="AN57" s="233" t="n">
        <v>1.55395761139722</v>
      </c>
      <c r="AO57" s="233" t="n">
        <v>0.288</v>
      </c>
      <c r="AP57" s="233" t="n">
        <v>0.185</v>
      </c>
      <c r="AQ57" s="233" t="n">
        <v>0.185</v>
      </c>
      <c r="AR57" s="233" t="n">
        <f aca="false">1/AN57</f>
        <v>0.643518196806452</v>
      </c>
      <c r="AT57" s="253" t="n">
        <f aca="false">AR57*AM57*$AT$6</f>
        <v>0.0950526828509759</v>
      </c>
      <c r="AU57" s="253" t="n">
        <f aca="false">AK57+AL57+AT57</f>
        <v>-0.348250657291212</v>
      </c>
      <c r="AV57" s="233" t="n">
        <f aca="false">[10]Sheet1!AA48</f>
        <v>0.1495</v>
      </c>
      <c r="AW57" s="233" t="n">
        <v>0</v>
      </c>
    </row>
    <row r="58" customFormat="false" ht="11.25" hidden="false" customHeight="false" outlineLevel="0" collapsed="false">
      <c r="A58" s="233"/>
      <c r="B58" s="233"/>
      <c r="C58" s="231" t="e">
        <f aca="false">NextMonth(C57)</f>
        <v>#VALUE!</v>
      </c>
      <c r="D58" s="252" t="n">
        <v>0.0539430885683378</v>
      </c>
      <c r="E58" s="232" t="n">
        <v>4.289</v>
      </c>
      <c r="F58" s="232" t="n">
        <v>0.2875</v>
      </c>
      <c r="G58" s="232" t="n">
        <v>0.288</v>
      </c>
      <c r="H58" s="232" t="n">
        <v>0.288</v>
      </c>
      <c r="I58" s="232" t="n">
        <v>0.296</v>
      </c>
      <c r="J58" s="232" t="n">
        <v>0.288</v>
      </c>
      <c r="K58" s="233" t="n">
        <v>0.288</v>
      </c>
      <c r="L58" s="232" t="n">
        <v>0.8</v>
      </c>
      <c r="M58" s="232" t="n">
        <v>0.8</v>
      </c>
      <c r="N58" s="232" t="n">
        <v>0.8</v>
      </c>
      <c r="O58" s="232" t="n">
        <v>0.95</v>
      </c>
      <c r="P58" s="232" t="n">
        <v>0.85</v>
      </c>
      <c r="Q58" s="252" t="n">
        <v>0.31</v>
      </c>
      <c r="R58" s="252" t="n">
        <v>0</v>
      </c>
      <c r="S58" s="233" t="n">
        <v>-0.0525</v>
      </c>
      <c r="T58" s="233" t="n">
        <v>0.005</v>
      </c>
      <c r="U58" s="233" t="n">
        <v>-0.1</v>
      </c>
      <c r="V58" s="233" t="n">
        <v>0.01</v>
      </c>
      <c r="W58" s="233" t="n">
        <v>-0.1</v>
      </c>
      <c r="X58" s="233" t="n">
        <v>0.01</v>
      </c>
      <c r="Y58" s="233" t="n">
        <v>0.21</v>
      </c>
      <c r="Z58" s="233" t="n">
        <v>0</v>
      </c>
      <c r="AA58" s="233" t="n">
        <v>0.21</v>
      </c>
      <c r="AB58" s="233" t="n">
        <v>0</v>
      </c>
      <c r="AC58" s="233" t="n">
        <v>0.28</v>
      </c>
      <c r="AD58" s="233" t="n">
        <v>0.03</v>
      </c>
      <c r="AE58" s="233" t="n">
        <v>0.17</v>
      </c>
      <c r="AF58" s="233" t="n">
        <v>0.02</v>
      </c>
      <c r="AG58" s="233" t="n">
        <v>0.51</v>
      </c>
      <c r="AH58" s="233" t="n">
        <v>0</v>
      </c>
      <c r="AI58" s="233" t="n">
        <v>0.31</v>
      </c>
      <c r="AJ58" s="233" t="n">
        <v>0</v>
      </c>
      <c r="AK58" s="233" t="n">
        <v>-0.37</v>
      </c>
      <c r="AL58" s="233" t="n">
        <v>0.005430084441598</v>
      </c>
      <c r="AM58" s="233" t="n">
        <v>0.14</v>
      </c>
      <c r="AN58" s="233" t="n">
        <v>1.55373642725842</v>
      </c>
      <c r="AO58" s="233" t="n">
        <v>0.288</v>
      </c>
      <c r="AP58" s="233" t="n">
        <v>0.3</v>
      </c>
      <c r="AQ58" s="233" t="n">
        <v>0.3</v>
      </c>
      <c r="AR58" s="233" t="n">
        <f aca="false">1/AN58</f>
        <v>0.643609805663441</v>
      </c>
      <c r="AT58" s="253" t="n">
        <f aca="false">AR58*AM58*$AT$6</f>
        <v>0.0950662141973666</v>
      </c>
      <c r="AU58" s="253" t="n">
        <f aca="false">AK58+AL58+AT58</f>
        <v>-0.269503701361035</v>
      </c>
      <c r="AV58" s="233" t="n">
        <f aca="false">[10]Sheet1!AA49</f>
        <v>0.201071428571429</v>
      </c>
      <c r="AW58" s="233" t="n">
        <v>0</v>
      </c>
    </row>
    <row r="59" customFormat="false" ht="11.25" hidden="false" customHeight="false" outlineLevel="0" collapsed="false">
      <c r="A59" s="233"/>
      <c r="B59" s="233"/>
      <c r="C59" s="231" t="e">
        <f aca="false">NextMonth(C58)</f>
        <v>#VALUE!</v>
      </c>
      <c r="D59" s="252" t="n">
        <v>0.0541798481649463</v>
      </c>
      <c r="E59" s="232" t="n">
        <v>4.427</v>
      </c>
      <c r="F59" s="232" t="n">
        <v>0.29</v>
      </c>
      <c r="G59" s="232" t="n">
        <v>0.29</v>
      </c>
      <c r="H59" s="232" t="n">
        <v>0.29</v>
      </c>
      <c r="I59" s="232" t="n">
        <v>0.299</v>
      </c>
      <c r="J59" s="232" t="n">
        <v>0.29</v>
      </c>
      <c r="K59" s="233" t="n">
        <v>0.29</v>
      </c>
      <c r="L59" s="232" t="n">
        <v>1</v>
      </c>
      <c r="M59" s="232" t="n">
        <v>1</v>
      </c>
      <c r="N59" s="232" t="n">
        <v>1.1</v>
      </c>
      <c r="O59" s="232" t="n">
        <v>1.35</v>
      </c>
      <c r="P59" s="232" t="n">
        <v>1.05</v>
      </c>
      <c r="Q59" s="252" t="n">
        <v>0.31</v>
      </c>
      <c r="R59" s="252" t="n">
        <v>0</v>
      </c>
      <c r="S59" s="233" t="n">
        <v>-0.0525</v>
      </c>
      <c r="T59" s="233" t="n">
        <v>0.005</v>
      </c>
      <c r="U59" s="233" t="n">
        <v>-0.1025</v>
      </c>
      <c r="V59" s="233" t="n">
        <v>0.01</v>
      </c>
      <c r="W59" s="233" t="n">
        <v>-0.1025</v>
      </c>
      <c r="X59" s="233" t="n">
        <v>0.01</v>
      </c>
      <c r="Y59" s="233" t="n">
        <v>0.21</v>
      </c>
      <c r="Z59" s="233" t="n">
        <v>0</v>
      </c>
      <c r="AA59" s="233" t="n">
        <v>0.21</v>
      </c>
      <c r="AB59" s="233" t="n">
        <v>0</v>
      </c>
      <c r="AC59" s="233" t="n">
        <v>0.32</v>
      </c>
      <c r="AD59" s="233" t="n">
        <v>0.03</v>
      </c>
      <c r="AE59" s="233" t="n">
        <v>0.17</v>
      </c>
      <c r="AF59" s="233" t="n">
        <v>0.02</v>
      </c>
      <c r="AG59" s="233" t="n">
        <v>0.51</v>
      </c>
      <c r="AH59" s="233" t="n">
        <v>0</v>
      </c>
      <c r="AI59" s="233" t="n">
        <v>0.31</v>
      </c>
      <c r="AJ59" s="233" t="n">
        <v>0</v>
      </c>
      <c r="AK59" s="233" t="n">
        <v>-0.37</v>
      </c>
      <c r="AL59" s="233" t="n">
        <v>0.0054308795926152</v>
      </c>
      <c r="AM59" s="233" t="n">
        <v>0.14</v>
      </c>
      <c r="AN59" s="233" t="n">
        <v>1.55350894014891</v>
      </c>
      <c r="AO59" s="233" t="n">
        <v>0.29</v>
      </c>
      <c r="AP59" s="233" t="n">
        <v>0.3</v>
      </c>
      <c r="AQ59" s="233" t="n">
        <v>0.3</v>
      </c>
      <c r="AR59" s="233" t="n">
        <f aca="false">1/AN59</f>
        <v>0.643704052262581</v>
      </c>
      <c r="AT59" s="253" t="n">
        <f aca="false">AR59*AM59*$AT$6</f>
        <v>0.0950801351589529</v>
      </c>
      <c r="AU59" s="253" t="n">
        <f aca="false">AK59+AL59+AT59</f>
        <v>-0.269488985248432</v>
      </c>
      <c r="AV59" s="233" t="n">
        <f aca="false">[10]Sheet1!AA50</f>
        <v>0.206071428571429</v>
      </c>
      <c r="AW59" s="233" t="n">
        <v>0</v>
      </c>
    </row>
    <row r="60" customFormat="false" ht="11.25" hidden="false" customHeight="false" outlineLevel="0" collapsed="false">
      <c r="A60" s="233"/>
      <c r="B60" s="233"/>
      <c r="C60" s="231" t="e">
        <f aca="false">NextMonth(C59)</f>
        <v>#VALUE!</v>
      </c>
      <c r="D60" s="252" t="n">
        <v>0.054421390858332</v>
      </c>
      <c r="E60" s="232" t="n">
        <v>4.414</v>
      </c>
      <c r="F60" s="232" t="n">
        <v>0.2925</v>
      </c>
      <c r="G60" s="232" t="n">
        <v>0.293</v>
      </c>
      <c r="H60" s="232" t="n">
        <v>0.293</v>
      </c>
      <c r="I60" s="232" t="n">
        <v>0.301</v>
      </c>
      <c r="J60" s="232" t="n">
        <v>0.293</v>
      </c>
      <c r="K60" s="233" t="n">
        <v>0.293</v>
      </c>
      <c r="L60" s="232" t="n">
        <v>1</v>
      </c>
      <c r="M60" s="232" t="n">
        <v>1</v>
      </c>
      <c r="N60" s="232" t="n">
        <v>1.1</v>
      </c>
      <c r="O60" s="232" t="n">
        <v>1.35</v>
      </c>
      <c r="P60" s="232" t="n">
        <v>1.05</v>
      </c>
      <c r="Q60" s="252" t="n">
        <v>0.31</v>
      </c>
      <c r="R60" s="252" t="n">
        <v>0</v>
      </c>
      <c r="S60" s="233" t="n">
        <v>-0.0525</v>
      </c>
      <c r="T60" s="233" t="n">
        <v>0.005</v>
      </c>
      <c r="U60" s="233" t="n">
        <v>-0.105</v>
      </c>
      <c r="V60" s="233" t="n">
        <v>0.01</v>
      </c>
      <c r="W60" s="233" t="n">
        <v>-0.105</v>
      </c>
      <c r="X60" s="233" t="n">
        <v>0.01</v>
      </c>
      <c r="Y60" s="233" t="n">
        <v>0.21</v>
      </c>
      <c r="Z60" s="233" t="n">
        <v>0</v>
      </c>
      <c r="AA60" s="233" t="n">
        <v>0.21</v>
      </c>
      <c r="AB60" s="233" t="n">
        <v>0</v>
      </c>
      <c r="AC60" s="233" t="n">
        <v>0.32</v>
      </c>
      <c r="AD60" s="233" t="n">
        <v>0.03</v>
      </c>
      <c r="AE60" s="233" t="n">
        <v>0.17</v>
      </c>
      <c r="AF60" s="233" t="n">
        <v>0.02</v>
      </c>
      <c r="AG60" s="233" t="n">
        <v>0.51</v>
      </c>
      <c r="AH60" s="233" t="n">
        <v>0</v>
      </c>
      <c r="AI60" s="233" t="n">
        <v>0.31</v>
      </c>
      <c r="AJ60" s="233" t="n">
        <v>0</v>
      </c>
      <c r="AK60" s="233" t="n">
        <v>-0.37</v>
      </c>
      <c r="AL60" s="233" t="n">
        <v>0.005431690243339</v>
      </c>
      <c r="AM60" s="233" t="n">
        <v>0.14</v>
      </c>
      <c r="AN60" s="233" t="n">
        <v>1.5532770872467</v>
      </c>
      <c r="AO60" s="233" t="n">
        <v>0.293</v>
      </c>
      <c r="AP60" s="233" t="n">
        <v>0.3</v>
      </c>
      <c r="AQ60" s="233" t="n">
        <v>0.3</v>
      </c>
      <c r="AR60" s="233" t="n">
        <f aca="false">1/AN60</f>
        <v>0.643800135990273</v>
      </c>
      <c r="AT60" s="253" t="n">
        <f aca="false">AR60*AM60*$AT$6</f>
        <v>0.0950943274788294</v>
      </c>
      <c r="AU60" s="253" t="n">
        <f aca="false">AK60+AL60+AT60</f>
        <v>-0.269473982277832</v>
      </c>
      <c r="AV60" s="233" t="n">
        <f aca="false">[10]Sheet1!AA51</f>
        <v>0.206071428571429</v>
      </c>
      <c r="AW60" s="233" t="n">
        <v>0</v>
      </c>
    </row>
    <row r="61" customFormat="false" ht="11.25" hidden="false" customHeight="false" outlineLevel="0" collapsed="false">
      <c r="A61" s="233"/>
      <c r="B61" s="233"/>
      <c r="C61" s="231" t="e">
        <f aca="false">NextMonth(C60)</f>
        <v>#VALUE!</v>
      </c>
      <c r="D61" s="252" t="n">
        <v>0.0546603732926241</v>
      </c>
      <c r="E61" s="232" t="n">
        <v>4.294</v>
      </c>
      <c r="F61" s="232" t="n">
        <v>0.285</v>
      </c>
      <c r="G61" s="232" t="n">
        <v>0.285</v>
      </c>
      <c r="H61" s="232" t="n">
        <v>0.285</v>
      </c>
      <c r="I61" s="232" t="n">
        <v>0.294</v>
      </c>
      <c r="J61" s="232" t="n">
        <v>0.285</v>
      </c>
      <c r="K61" s="233" t="n">
        <v>0.285</v>
      </c>
      <c r="L61" s="232" t="n">
        <v>1</v>
      </c>
      <c r="M61" s="232" t="n">
        <v>1</v>
      </c>
      <c r="N61" s="232" t="n">
        <v>1.1</v>
      </c>
      <c r="O61" s="232" t="n">
        <v>1.35</v>
      </c>
      <c r="P61" s="232" t="n">
        <v>1.05</v>
      </c>
      <c r="Q61" s="252" t="n">
        <v>0.31</v>
      </c>
      <c r="R61" s="252" t="n">
        <v>0</v>
      </c>
      <c r="S61" s="233" t="n">
        <v>-0.0525</v>
      </c>
      <c r="T61" s="233" t="n">
        <v>0.005</v>
      </c>
      <c r="U61" s="233" t="n">
        <v>-0.0975</v>
      </c>
      <c r="V61" s="233" t="n">
        <v>0.01</v>
      </c>
      <c r="W61" s="233" t="n">
        <v>-0.0975</v>
      </c>
      <c r="X61" s="233" t="n">
        <v>0.01</v>
      </c>
      <c r="Y61" s="233" t="n">
        <v>0.21</v>
      </c>
      <c r="Z61" s="233" t="n">
        <v>0</v>
      </c>
      <c r="AA61" s="233" t="n">
        <v>0.21</v>
      </c>
      <c r="AB61" s="233" t="n">
        <v>0</v>
      </c>
      <c r="AC61" s="233" t="n">
        <v>0.3</v>
      </c>
      <c r="AD61" s="233" t="n">
        <v>0.03</v>
      </c>
      <c r="AE61" s="233" t="n">
        <v>0.17</v>
      </c>
      <c r="AF61" s="233" t="n">
        <v>0.02</v>
      </c>
      <c r="AG61" s="233" t="n">
        <v>0.51</v>
      </c>
      <c r="AH61" s="233" t="n">
        <v>0</v>
      </c>
      <c r="AI61" s="233" t="n">
        <v>0.31</v>
      </c>
      <c r="AJ61" s="233" t="n">
        <v>0</v>
      </c>
      <c r="AK61" s="233" t="n">
        <v>-0.37</v>
      </c>
      <c r="AL61" s="233" t="n">
        <v>0.0054324972974157</v>
      </c>
      <c r="AM61" s="233" t="n">
        <v>0.14</v>
      </c>
      <c r="AN61" s="233" t="n">
        <v>1.55304633175123</v>
      </c>
      <c r="AO61" s="233" t="n">
        <v>0.285</v>
      </c>
      <c r="AP61" s="233" t="n">
        <v>0.3</v>
      </c>
      <c r="AQ61" s="233" t="n">
        <v>0.3</v>
      </c>
      <c r="AR61" s="233" t="n">
        <f aca="false">1/AN61</f>
        <v>0.64389579341937</v>
      </c>
      <c r="AT61" s="253" t="n">
        <f aca="false">AR61*AM61*$AT$6</f>
        <v>0.0951084568310613</v>
      </c>
      <c r="AU61" s="253" t="n">
        <f aca="false">AK61+AL61+AT61</f>
        <v>-0.269459045871523</v>
      </c>
      <c r="AV61" s="233" t="n">
        <f aca="false">[10]Sheet1!AA52</f>
        <v>0.206071428571429</v>
      </c>
      <c r="AW61" s="233" t="n">
        <v>0</v>
      </c>
    </row>
    <row r="62" customFormat="false" ht="11.25" hidden="false" customHeight="false" outlineLevel="0" collapsed="false">
      <c r="A62" s="233"/>
      <c r="B62" s="233"/>
      <c r="C62" s="231" t="e">
        <f aca="false">NextMonth(C61)</f>
        <v>#VALUE!</v>
      </c>
      <c r="D62" s="252" t="n">
        <v>0.0548762284109188</v>
      </c>
      <c r="E62" s="232" t="n">
        <v>4.155</v>
      </c>
      <c r="F62" s="232" t="n">
        <v>0.28</v>
      </c>
      <c r="G62" s="232" t="n">
        <v>0.28</v>
      </c>
      <c r="H62" s="232" t="n">
        <v>0.28</v>
      </c>
      <c r="I62" s="232" t="n">
        <v>0.288</v>
      </c>
      <c r="J62" s="232" t="n">
        <v>0.28</v>
      </c>
      <c r="K62" s="233" t="n">
        <v>0.28</v>
      </c>
      <c r="L62" s="232" t="n">
        <v>0.75</v>
      </c>
      <c r="M62" s="232" t="n">
        <v>0.75</v>
      </c>
      <c r="N62" s="232" t="n">
        <v>0.75</v>
      </c>
      <c r="O62" s="232" t="n">
        <v>0.95</v>
      </c>
      <c r="P62" s="232" t="n">
        <v>0.75</v>
      </c>
      <c r="Q62" s="252" t="n">
        <v>0.31</v>
      </c>
      <c r="R62" s="252" t="n">
        <v>0</v>
      </c>
      <c r="S62" s="233" t="n">
        <v>-0.0525</v>
      </c>
      <c r="T62" s="233" t="n">
        <v>0.005</v>
      </c>
      <c r="U62" s="233" t="n">
        <v>-0.095</v>
      </c>
      <c r="V62" s="233" t="n">
        <v>0.01</v>
      </c>
      <c r="W62" s="233" t="n">
        <v>-0.095</v>
      </c>
      <c r="X62" s="233" t="n">
        <v>0.01</v>
      </c>
      <c r="Y62" s="233" t="n">
        <v>0.21</v>
      </c>
      <c r="Z62" s="233" t="n">
        <v>0</v>
      </c>
      <c r="AA62" s="233" t="n">
        <v>0.21</v>
      </c>
      <c r="AB62" s="233" t="n">
        <v>0</v>
      </c>
      <c r="AC62" s="233" t="n">
        <v>0.28</v>
      </c>
      <c r="AD62" s="233" t="n">
        <v>0.03</v>
      </c>
      <c r="AE62" s="233" t="n">
        <v>0.17</v>
      </c>
      <c r="AF62" s="233" t="n">
        <v>0.02</v>
      </c>
      <c r="AG62" s="233" t="n">
        <v>0.51</v>
      </c>
      <c r="AH62" s="233" t="n">
        <v>0</v>
      </c>
      <c r="AI62" s="233" t="n">
        <v>0.31</v>
      </c>
      <c r="AJ62" s="233" t="n">
        <v>0</v>
      </c>
      <c r="AK62" s="233" t="n">
        <v>-0.37</v>
      </c>
      <c r="AL62" s="233" t="n">
        <v>0.005433264482675</v>
      </c>
      <c r="AM62" s="233" t="n">
        <v>0.14</v>
      </c>
      <c r="AN62" s="233" t="n">
        <v>1.5528270392326</v>
      </c>
      <c r="AO62" s="233" t="n">
        <v>0.28</v>
      </c>
      <c r="AP62" s="233" t="n">
        <v>0.3</v>
      </c>
      <c r="AQ62" s="233" t="n">
        <v>0.3</v>
      </c>
      <c r="AR62" s="233" t="n">
        <f aca="false">1/AN62</f>
        <v>0.643986725330463</v>
      </c>
      <c r="AT62" s="253" t="n">
        <f aca="false">AR62*AM62*$AT$6</f>
        <v>0.0951218881872359</v>
      </c>
      <c r="AU62" s="253" t="n">
        <f aca="false">AK62+AL62+AT62</f>
        <v>-0.269444847330089</v>
      </c>
      <c r="AV62" s="233" t="n">
        <f aca="false">[10]Sheet1!AA53</f>
        <v>0.206071428571429</v>
      </c>
      <c r="AW62" s="233" t="n">
        <v>0</v>
      </c>
    </row>
    <row r="63" customFormat="false" ht="11.25" hidden="false" customHeight="false" outlineLevel="0" collapsed="false">
      <c r="A63" s="233"/>
      <c r="B63" s="233"/>
      <c r="C63" s="231" t="e">
        <f aca="false">NextMonth(C62)</f>
        <v>#VALUE!</v>
      </c>
      <c r="D63" s="252" t="n">
        <v>0.0550972229815443</v>
      </c>
      <c r="E63" s="232" t="n">
        <v>3.98</v>
      </c>
      <c r="F63" s="232" t="n">
        <v>0.27</v>
      </c>
      <c r="G63" s="232" t="n">
        <v>0.27</v>
      </c>
      <c r="H63" s="232" t="n">
        <v>0.27</v>
      </c>
      <c r="I63" s="232" t="n">
        <v>0.278</v>
      </c>
      <c r="J63" s="232" t="n">
        <v>0.27</v>
      </c>
      <c r="K63" s="233" t="n">
        <v>0.27</v>
      </c>
      <c r="L63" s="232" t="n">
        <v>0.4</v>
      </c>
      <c r="M63" s="232" t="n">
        <v>0.4</v>
      </c>
      <c r="N63" s="232" t="n">
        <v>0.45</v>
      </c>
      <c r="O63" s="232" t="n">
        <v>0.5</v>
      </c>
      <c r="P63" s="232" t="n">
        <v>0.45</v>
      </c>
      <c r="Q63" s="252" t="n">
        <v>0.215</v>
      </c>
      <c r="R63" s="252" t="n">
        <v>0</v>
      </c>
      <c r="S63" s="233" t="n">
        <v>-0.055</v>
      </c>
      <c r="T63" s="233" t="n">
        <v>0</v>
      </c>
      <c r="U63" s="233" t="n">
        <v>-0.1</v>
      </c>
      <c r="V63" s="233" t="n">
        <v>-0.01</v>
      </c>
      <c r="W63" s="233" t="n">
        <v>-0.1</v>
      </c>
      <c r="X63" s="233" t="n">
        <v>-0.01</v>
      </c>
      <c r="Y63" s="233" t="n">
        <v>0.155</v>
      </c>
      <c r="Z63" s="233" t="n">
        <v>0</v>
      </c>
      <c r="AA63" s="233" t="n">
        <v>0.155</v>
      </c>
      <c r="AB63" s="233" t="n">
        <v>0</v>
      </c>
      <c r="AC63" s="233" t="n">
        <v>0.195</v>
      </c>
      <c r="AD63" s="233" t="n">
        <v>0.0175</v>
      </c>
      <c r="AE63" s="233" t="n">
        <v>0.095</v>
      </c>
      <c r="AF63" s="233" t="n">
        <v>0.005</v>
      </c>
      <c r="AG63" s="233" t="n">
        <v>0.235</v>
      </c>
      <c r="AH63" s="233" t="n">
        <v>0</v>
      </c>
      <c r="AI63" s="233" t="n">
        <v>0.18</v>
      </c>
      <c r="AJ63" s="233" t="n">
        <v>0</v>
      </c>
      <c r="AK63" s="233" t="n">
        <v>-0.455</v>
      </c>
      <c r="AL63" s="233" t="n">
        <v>0.0016980584069267</v>
      </c>
      <c r="AM63" s="233" t="n">
        <v>0.14</v>
      </c>
      <c r="AN63" s="233" t="n">
        <v>1.55267774609227</v>
      </c>
      <c r="AO63" s="233" t="n">
        <v>0.27</v>
      </c>
      <c r="AP63" s="233" t="n">
        <v>0.17</v>
      </c>
      <c r="AQ63" s="233" t="n">
        <v>0.17</v>
      </c>
      <c r="AR63" s="233" t="n">
        <f aca="false">1/AN63</f>
        <v>0.64404864597098</v>
      </c>
      <c r="AT63" s="253" t="n">
        <f aca="false">AR63*AM63*$AT$6</f>
        <v>0.0951310343512982</v>
      </c>
      <c r="AU63" s="253" t="n">
        <f aca="false">AK63+AL63+AT63</f>
        <v>-0.358170907241775</v>
      </c>
      <c r="AV63" s="233" t="n">
        <f aca="false">[10]Sheet1!AA54</f>
        <v>0.152</v>
      </c>
      <c r="AW63" s="233" t="n">
        <v>0</v>
      </c>
    </row>
    <row r="64" customFormat="false" ht="11.25" hidden="false" customHeight="false" outlineLevel="0" collapsed="false">
      <c r="A64" s="233"/>
      <c r="B64" s="233"/>
      <c r="C64" s="231" t="e">
        <f aca="false">NextMonth(C63)</f>
        <v>#VALUE!</v>
      </c>
      <c r="D64" s="252" t="n">
        <v>0.0552953206046243</v>
      </c>
      <c r="E64" s="232" t="n">
        <v>3.95</v>
      </c>
      <c r="F64" s="232" t="n">
        <v>0.2625</v>
      </c>
      <c r="G64" s="232" t="n">
        <v>0.263</v>
      </c>
      <c r="H64" s="232" t="n">
        <v>0.263</v>
      </c>
      <c r="I64" s="232" t="n">
        <v>0.27</v>
      </c>
      <c r="J64" s="232" t="n">
        <v>0.263</v>
      </c>
      <c r="K64" s="233" t="n">
        <v>0.263</v>
      </c>
      <c r="L64" s="232" t="n">
        <v>0.45</v>
      </c>
      <c r="M64" s="232" t="n">
        <v>0.4</v>
      </c>
      <c r="N64" s="232" t="n">
        <v>0.5</v>
      </c>
      <c r="O64" s="232" t="n">
        <v>0.45</v>
      </c>
      <c r="P64" s="232" t="n">
        <v>0.45</v>
      </c>
      <c r="Q64" s="252" t="n">
        <v>0.215</v>
      </c>
      <c r="R64" s="252" t="n">
        <v>0</v>
      </c>
      <c r="S64" s="233" t="n">
        <v>-0.055</v>
      </c>
      <c r="T64" s="233" t="n">
        <v>0</v>
      </c>
      <c r="U64" s="233" t="n">
        <v>-0.1</v>
      </c>
      <c r="V64" s="233" t="n">
        <v>-0.01</v>
      </c>
      <c r="W64" s="233" t="n">
        <v>-0.1</v>
      </c>
      <c r="X64" s="233" t="n">
        <v>-0.01</v>
      </c>
      <c r="Y64" s="233" t="n">
        <v>0.155</v>
      </c>
      <c r="Z64" s="233" t="n">
        <v>0</v>
      </c>
      <c r="AA64" s="233" t="n">
        <v>0.155</v>
      </c>
      <c r="AB64" s="233" t="n">
        <v>0</v>
      </c>
      <c r="AC64" s="233" t="n">
        <v>0.185</v>
      </c>
      <c r="AD64" s="233" t="n">
        <v>0.01</v>
      </c>
      <c r="AE64" s="233" t="n">
        <v>0.095</v>
      </c>
      <c r="AF64" s="233" t="n">
        <v>0.005</v>
      </c>
      <c r="AG64" s="233" t="n">
        <v>0.235</v>
      </c>
      <c r="AH64" s="233" t="n">
        <v>0</v>
      </c>
      <c r="AI64" s="233" t="n">
        <v>0.18</v>
      </c>
      <c r="AJ64" s="233" t="n">
        <v>0</v>
      </c>
      <c r="AK64" s="233" t="n">
        <v>-0.455</v>
      </c>
      <c r="AL64" s="233" t="n">
        <v>0.0016981215277104</v>
      </c>
      <c r="AM64" s="233" t="n">
        <v>0.14</v>
      </c>
      <c r="AN64" s="233" t="n">
        <v>1.55262003159147</v>
      </c>
      <c r="AO64" s="233" t="n">
        <v>0.263</v>
      </c>
      <c r="AP64" s="233" t="n">
        <v>0.17</v>
      </c>
      <c r="AQ64" s="233" t="n">
        <v>0.17</v>
      </c>
      <c r="AR64" s="233" t="n">
        <f aca="false">1/AN64</f>
        <v>0.644072586758383</v>
      </c>
      <c r="AT64" s="253" t="n">
        <f aca="false">AR64*AM64*$AT$6</f>
        <v>0.0951345705932933</v>
      </c>
      <c r="AU64" s="253" t="n">
        <f aca="false">AK64+AL64+AT64</f>
        <v>-0.358167307878996</v>
      </c>
      <c r="AV64" s="233" t="n">
        <f aca="false">[10]Sheet1!AA55</f>
        <v>0.152</v>
      </c>
      <c r="AW64" s="233" t="n">
        <v>0</v>
      </c>
    </row>
    <row r="65" customFormat="false" ht="11.25" hidden="false" customHeight="false" outlineLevel="0" collapsed="false">
      <c r="A65" s="233"/>
      <c r="B65" s="233"/>
      <c r="C65" s="231" t="e">
        <f aca="false">NextMonth(C64)</f>
        <v>#VALUE!</v>
      </c>
      <c r="D65" s="252" t="n">
        <v>0.0555000214955368</v>
      </c>
      <c r="E65" s="232" t="n">
        <v>4.02</v>
      </c>
      <c r="F65" s="232" t="n">
        <v>0.2575</v>
      </c>
      <c r="G65" s="232" t="n">
        <v>0.258</v>
      </c>
      <c r="H65" s="232" t="n">
        <v>0.258</v>
      </c>
      <c r="I65" s="232" t="n">
        <v>0.265</v>
      </c>
      <c r="J65" s="232" t="n">
        <v>0.258</v>
      </c>
      <c r="K65" s="233" t="n">
        <v>0.258</v>
      </c>
      <c r="L65" s="232" t="n">
        <v>0.45</v>
      </c>
      <c r="M65" s="232" t="n">
        <v>0.4</v>
      </c>
      <c r="N65" s="232" t="n">
        <v>0.5</v>
      </c>
      <c r="O65" s="232" t="n">
        <v>0.5</v>
      </c>
      <c r="P65" s="232" t="n">
        <v>0.5</v>
      </c>
      <c r="Q65" s="252" t="n">
        <v>0.215</v>
      </c>
      <c r="R65" s="252" t="n">
        <v>0</v>
      </c>
      <c r="S65" s="233" t="n">
        <v>-0.055</v>
      </c>
      <c r="T65" s="233" t="n">
        <v>0</v>
      </c>
      <c r="U65" s="233" t="n">
        <v>-0.1</v>
      </c>
      <c r="V65" s="233" t="n">
        <v>-0.01</v>
      </c>
      <c r="W65" s="233" t="n">
        <v>-0.1</v>
      </c>
      <c r="X65" s="233" t="n">
        <v>-0.01</v>
      </c>
      <c r="Y65" s="233" t="n">
        <v>0.155</v>
      </c>
      <c r="Z65" s="233" t="n">
        <v>0</v>
      </c>
      <c r="AA65" s="233" t="n">
        <v>0.155</v>
      </c>
      <c r="AB65" s="233" t="n">
        <v>0</v>
      </c>
      <c r="AC65" s="233" t="n">
        <v>0.195</v>
      </c>
      <c r="AD65" s="233" t="n">
        <v>0.0125</v>
      </c>
      <c r="AE65" s="233" t="n">
        <v>0.095</v>
      </c>
      <c r="AF65" s="233" t="n">
        <v>0.005</v>
      </c>
      <c r="AG65" s="233" t="n">
        <v>0.235</v>
      </c>
      <c r="AH65" s="233" t="n">
        <v>0</v>
      </c>
      <c r="AI65" s="233" t="n">
        <v>0.18</v>
      </c>
      <c r="AJ65" s="233" t="n">
        <v>0</v>
      </c>
      <c r="AK65" s="233" t="n">
        <v>-0.455</v>
      </c>
      <c r="AL65" s="233" t="n">
        <v>0.001698190972729</v>
      </c>
      <c r="AM65" s="233" t="n">
        <v>0.14</v>
      </c>
      <c r="AN65" s="233" t="n">
        <v>1.55255653948216</v>
      </c>
      <c r="AO65" s="233" t="n">
        <v>0.258</v>
      </c>
      <c r="AP65" s="233" t="n">
        <v>0.17</v>
      </c>
      <c r="AQ65" s="233" t="n">
        <v>0.17</v>
      </c>
      <c r="AR65" s="233" t="n">
        <f aca="false">1/AN65</f>
        <v>0.644098926235266</v>
      </c>
      <c r="AT65" s="253" t="n">
        <f aca="false">AR65*AM65*$AT$6</f>
        <v>0.0951384611405305</v>
      </c>
      <c r="AU65" s="253" t="n">
        <f aca="false">AK65+AL65+AT65</f>
        <v>-0.358163347886741</v>
      </c>
      <c r="AV65" s="233" t="n">
        <f aca="false">[10]Sheet1!AA56</f>
        <v>0.152</v>
      </c>
      <c r="AW65" s="233" t="n">
        <v>0</v>
      </c>
    </row>
    <row r="66" customFormat="false" ht="11.25" hidden="false" customHeight="false" outlineLevel="0" collapsed="false">
      <c r="A66" s="233"/>
      <c r="B66" s="233"/>
      <c r="C66" s="231" t="e">
        <f aca="false">NextMonth(C65)</f>
        <v>#VALUE!</v>
      </c>
      <c r="D66" s="252" t="n">
        <v>0.0557031132164876</v>
      </c>
      <c r="E66" s="232" t="n">
        <v>4.075</v>
      </c>
      <c r="F66" s="232" t="n">
        <v>0.2575</v>
      </c>
      <c r="G66" s="232" t="n">
        <v>0.258</v>
      </c>
      <c r="H66" s="232" t="n">
        <v>0.258</v>
      </c>
      <c r="I66" s="232" t="n">
        <v>0.265</v>
      </c>
      <c r="J66" s="232" t="n">
        <v>0.258</v>
      </c>
      <c r="K66" s="233" t="n">
        <v>0.258</v>
      </c>
      <c r="L66" s="232" t="n">
        <v>0.5</v>
      </c>
      <c r="M66" s="232" t="n">
        <v>0.4</v>
      </c>
      <c r="N66" s="232" t="n">
        <v>0.55</v>
      </c>
      <c r="O66" s="232" t="n">
        <v>0.5</v>
      </c>
      <c r="P66" s="232" t="n">
        <v>0.5</v>
      </c>
      <c r="Q66" s="252" t="n">
        <v>0.215</v>
      </c>
      <c r="R66" s="252" t="n">
        <v>0</v>
      </c>
      <c r="S66" s="233" t="n">
        <v>-0.055</v>
      </c>
      <c r="T66" s="233" t="n">
        <v>0</v>
      </c>
      <c r="U66" s="233" t="n">
        <v>-0.1</v>
      </c>
      <c r="V66" s="233" t="n">
        <v>-0.01</v>
      </c>
      <c r="W66" s="233" t="n">
        <v>-0.1</v>
      </c>
      <c r="X66" s="233" t="n">
        <v>-0.01</v>
      </c>
      <c r="Y66" s="233" t="n">
        <v>0.155</v>
      </c>
      <c r="Z66" s="233" t="n">
        <v>0</v>
      </c>
      <c r="AA66" s="233" t="n">
        <v>0.155</v>
      </c>
      <c r="AB66" s="233" t="n">
        <v>0</v>
      </c>
      <c r="AC66" s="233" t="n">
        <v>0.2</v>
      </c>
      <c r="AD66" s="233" t="n">
        <v>0.0125</v>
      </c>
      <c r="AE66" s="233" t="n">
        <v>0.095</v>
      </c>
      <c r="AF66" s="233" t="n">
        <v>0.005</v>
      </c>
      <c r="AG66" s="233" t="n">
        <v>0.235</v>
      </c>
      <c r="AH66" s="233" t="n">
        <v>0</v>
      </c>
      <c r="AI66" s="233" t="n">
        <v>0.18</v>
      </c>
      <c r="AJ66" s="233" t="n">
        <v>0</v>
      </c>
      <c r="AK66" s="233" t="n">
        <v>-0.455</v>
      </c>
      <c r="AL66" s="233" t="n">
        <v>0.0016982963514719</v>
      </c>
      <c r="AM66" s="233" t="n">
        <v>0.14</v>
      </c>
      <c r="AN66" s="233" t="n">
        <v>1.55246020384774</v>
      </c>
      <c r="AO66" s="233" t="n">
        <v>0.258</v>
      </c>
      <c r="AP66" s="233" t="n">
        <v>0.17</v>
      </c>
      <c r="AQ66" s="233" t="n">
        <v>0.17</v>
      </c>
      <c r="AR66" s="233" t="n">
        <f aca="false">1/AN66</f>
        <v>0.644138894846722</v>
      </c>
      <c r="AT66" s="253" t="n">
        <f aca="false">AR66*AM66*$AT$6</f>
        <v>0.0951443648177965</v>
      </c>
      <c r="AU66" s="253" t="n">
        <f aca="false">AK66+AL66+AT66</f>
        <v>-0.358157338830732</v>
      </c>
      <c r="AV66" s="233" t="n">
        <f aca="false">[10]Sheet1!AA57</f>
        <v>0.152</v>
      </c>
      <c r="AW66" s="233" t="n">
        <v>0</v>
      </c>
    </row>
    <row r="67" customFormat="false" ht="11.25" hidden="false" customHeight="false" outlineLevel="0" collapsed="false">
      <c r="A67" s="233"/>
      <c r="B67" s="233"/>
      <c r="C67" s="231" t="e">
        <f aca="false">NextMonth(C66)</f>
        <v>#VALUE!</v>
      </c>
      <c r="D67" s="252" t="n">
        <v>0.0559181352166083</v>
      </c>
      <c r="E67" s="232" t="n">
        <v>4.131</v>
      </c>
      <c r="F67" s="232" t="n">
        <v>0.2575</v>
      </c>
      <c r="G67" s="232" t="n">
        <v>0.258</v>
      </c>
      <c r="H67" s="232" t="n">
        <v>0.258</v>
      </c>
      <c r="I67" s="232" t="n">
        <v>0.265</v>
      </c>
      <c r="J67" s="232" t="n">
        <v>0.258</v>
      </c>
      <c r="K67" s="233" t="n">
        <v>0.258</v>
      </c>
      <c r="L67" s="232" t="n">
        <v>0.55</v>
      </c>
      <c r="M67" s="232" t="n">
        <v>0.5</v>
      </c>
      <c r="N67" s="232" t="n">
        <v>0.6</v>
      </c>
      <c r="O67" s="232" t="n">
        <v>0.45</v>
      </c>
      <c r="P67" s="232" t="n">
        <v>0.55</v>
      </c>
      <c r="Q67" s="252" t="n">
        <v>0.215</v>
      </c>
      <c r="R67" s="252" t="n">
        <v>0</v>
      </c>
      <c r="S67" s="233" t="n">
        <v>-0.055</v>
      </c>
      <c r="T67" s="233" t="n">
        <v>0</v>
      </c>
      <c r="U67" s="233" t="n">
        <v>-0.1</v>
      </c>
      <c r="V67" s="233" t="n">
        <v>-0.01</v>
      </c>
      <c r="W67" s="233" t="n">
        <v>-0.1</v>
      </c>
      <c r="X67" s="233" t="n">
        <v>-0.01</v>
      </c>
      <c r="Y67" s="233" t="n">
        <v>0.155</v>
      </c>
      <c r="Z67" s="233" t="n">
        <v>0</v>
      </c>
      <c r="AA67" s="233" t="n">
        <v>0.155</v>
      </c>
      <c r="AB67" s="233" t="n">
        <v>0</v>
      </c>
      <c r="AC67" s="233" t="n">
        <v>0.21</v>
      </c>
      <c r="AD67" s="233" t="n">
        <v>0.0125</v>
      </c>
      <c r="AE67" s="233" t="n">
        <v>0.095</v>
      </c>
      <c r="AF67" s="233" t="n">
        <v>0.005</v>
      </c>
      <c r="AG67" s="233" t="n">
        <v>0.235</v>
      </c>
      <c r="AH67" s="233" t="n">
        <v>0</v>
      </c>
      <c r="AI67" s="233" t="n">
        <v>0.18</v>
      </c>
      <c r="AJ67" s="233" t="n">
        <v>0</v>
      </c>
      <c r="AK67" s="233" t="n">
        <v>-0.455</v>
      </c>
      <c r="AL67" s="233" t="n">
        <v>0.0016984468325145</v>
      </c>
      <c r="AM67" s="233" t="n">
        <v>0.14</v>
      </c>
      <c r="AN67" s="233" t="n">
        <v>1.55232265710465</v>
      </c>
      <c r="AO67" s="233" t="n">
        <v>0.258</v>
      </c>
      <c r="AP67" s="233" t="n">
        <v>0.17</v>
      </c>
      <c r="AQ67" s="233" t="n">
        <v>0.17</v>
      </c>
      <c r="AR67" s="233" t="n">
        <f aca="false">1/AN67</f>
        <v>0.644195970098879</v>
      </c>
      <c r="AT67" s="253" t="n">
        <f aca="false">AR67*AM67*$AT$6</f>
        <v>0.0951527952800101</v>
      </c>
      <c r="AU67" s="253" t="n">
        <f aca="false">AK67+AL67+AT67</f>
        <v>-0.358148757887475</v>
      </c>
      <c r="AV67" s="233" t="n">
        <f aca="false">[10]Sheet1!AA58</f>
        <v>0.152</v>
      </c>
      <c r="AW67" s="233" t="n">
        <v>0</v>
      </c>
    </row>
    <row r="68" customFormat="false" ht="11.25" hidden="false" customHeight="false" outlineLevel="0" collapsed="false">
      <c r="A68" s="233"/>
      <c r="B68" s="233"/>
      <c r="C68" s="231" t="e">
        <f aca="false">NextMonth(C67)</f>
        <v>#VALUE!</v>
      </c>
      <c r="D68" s="252" t="n">
        <v>0.0561331572321215</v>
      </c>
      <c r="E68" s="232" t="n">
        <v>4.145</v>
      </c>
      <c r="F68" s="232" t="n">
        <v>0.2575</v>
      </c>
      <c r="G68" s="232" t="n">
        <v>0.258</v>
      </c>
      <c r="H68" s="232" t="n">
        <v>0.258</v>
      </c>
      <c r="I68" s="232" t="n">
        <v>0.265</v>
      </c>
      <c r="J68" s="232" t="n">
        <v>0.258</v>
      </c>
      <c r="K68" s="233" t="n">
        <v>0.258</v>
      </c>
      <c r="L68" s="232" t="n">
        <v>0.55</v>
      </c>
      <c r="M68" s="232" t="n">
        <v>0.55</v>
      </c>
      <c r="N68" s="232" t="n">
        <v>0.6</v>
      </c>
      <c r="O68" s="232" t="n">
        <v>0.5</v>
      </c>
      <c r="P68" s="232" t="n">
        <v>0.6</v>
      </c>
      <c r="Q68" s="252" t="n">
        <v>0.215</v>
      </c>
      <c r="R68" s="252" t="n">
        <v>0</v>
      </c>
      <c r="S68" s="233" t="n">
        <v>-0.055</v>
      </c>
      <c r="T68" s="233" t="n">
        <v>0</v>
      </c>
      <c r="U68" s="233" t="n">
        <v>-0.1</v>
      </c>
      <c r="V68" s="233" t="n">
        <v>-0.01</v>
      </c>
      <c r="W68" s="233" t="n">
        <v>-0.1</v>
      </c>
      <c r="X68" s="233" t="n">
        <v>-0.01</v>
      </c>
      <c r="Y68" s="233" t="n">
        <v>0.155</v>
      </c>
      <c r="Z68" s="233" t="n">
        <v>0</v>
      </c>
      <c r="AA68" s="233" t="n">
        <v>0.155</v>
      </c>
      <c r="AB68" s="233" t="n">
        <v>0</v>
      </c>
      <c r="AC68" s="233" t="n">
        <v>0.185</v>
      </c>
      <c r="AD68" s="233" t="n">
        <v>0.0125</v>
      </c>
      <c r="AE68" s="233" t="n">
        <v>0.095</v>
      </c>
      <c r="AF68" s="233" t="n">
        <v>0.005</v>
      </c>
      <c r="AG68" s="233" t="n">
        <v>0.235</v>
      </c>
      <c r="AH68" s="233" t="n">
        <v>0</v>
      </c>
      <c r="AI68" s="233" t="n">
        <v>0.18</v>
      </c>
      <c r="AJ68" s="233" t="n">
        <v>0</v>
      </c>
      <c r="AK68" s="233" t="n">
        <v>-0.455</v>
      </c>
      <c r="AL68" s="233" t="n">
        <v>0.0016986044910384</v>
      </c>
      <c r="AM68" s="233" t="n">
        <v>0.14</v>
      </c>
      <c r="AN68" s="233" t="n">
        <v>1.55217857594861</v>
      </c>
      <c r="AO68" s="233" t="n">
        <v>0.258</v>
      </c>
      <c r="AP68" s="233" t="n">
        <v>0.17</v>
      </c>
      <c r="AQ68" s="233" t="n">
        <v>0.17</v>
      </c>
      <c r="AR68" s="233" t="n">
        <f aca="false">1/AN68</f>
        <v>0.644255767664396</v>
      </c>
      <c r="AT68" s="253" t="n">
        <f aca="false">AR68*AM68*$AT$6</f>
        <v>0.0951616278492497</v>
      </c>
      <c r="AU68" s="253" t="n">
        <f aca="false">AK68+AL68+AT68</f>
        <v>-0.358139767659712</v>
      </c>
      <c r="AV68" s="233" t="n">
        <f aca="false">[10]Sheet1!AA59</f>
        <v>0.152</v>
      </c>
      <c r="AW68" s="233" t="n">
        <v>0</v>
      </c>
    </row>
    <row r="69" customFormat="false" ht="11.25" hidden="false" customHeight="false" outlineLevel="0" collapsed="false">
      <c r="A69" s="233"/>
      <c r="B69" s="233"/>
      <c r="C69" s="231" t="e">
        <f aca="false">NextMonth(C68)</f>
        <v>#VALUE!</v>
      </c>
      <c r="D69" s="252" t="n">
        <v>0.0563412430682404</v>
      </c>
      <c r="E69" s="232" t="n">
        <v>4.176</v>
      </c>
      <c r="F69" s="232" t="n">
        <v>0.2575</v>
      </c>
      <c r="G69" s="232" t="n">
        <v>0.258</v>
      </c>
      <c r="H69" s="232" t="n">
        <v>0.258</v>
      </c>
      <c r="I69" s="232" t="n">
        <v>0.265</v>
      </c>
      <c r="J69" s="232" t="n">
        <v>0.258</v>
      </c>
      <c r="K69" s="233" t="n">
        <v>0.258</v>
      </c>
      <c r="L69" s="232" t="n">
        <v>0.6</v>
      </c>
      <c r="M69" s="232" t="n">
        <v>0.55</v>
      </c>
      <c r="N69" s="232" t="n">
        <v>0.65</v>
      </c>
      <c r="O69" s="232" t="n">
        <v>0.5</v>
      </c>
      <c r="P69" s="232" t="n">
        <v>0.65</v>
      </c>
      <c r="Q69" s="252" t="n">
        <v>0.215</v>
      </c>
      <c r="R69" s="252" t="n">
        <v>0</v>
      </c>
      <c r="S69" s="233" t="n">
        <v>-0.055</v>
      </c>
      <c r="T69" s="233" t="n">
        <v>0</v>
      </c>
      <c r="U69" s="233" t="n">
        <v>-0.1</v>
      </c>
      <c r="V69" s="233" t="n">
        <v>-0.01</v>
      </c>
      <c r="W69" s="233" t="n">
        <v>-0.1</v>
      </c>
      <c r="X69" s="233" t="n">
        <v>-0.01</v>
      </c>
      <c r="Y69" s="233" t="n">
        <v>0.155</v>
      </c>
      <c r="Z69" s="233" t="n">
        <v>0</v>
      </c>
      <c r="AA69" s="233" t="n">
        <v>0.155</v>
      </c>
      <c r="AB69" s="233" t="n">
        <v>0</v>
      </c>
      <c r="AC69" s="233" t="n">
        <v>0.195</v>
      </c>
      <c r="AD69" s="233" t="n">
        <v>0.0125</v>
      </c>
      <c r="AE69" s="233" t="n">
        <v>0.095</v>
      </c>
      <c r="AF69" s="233" t="n">
        <v>0.005</v>
      </c>
      <c r="AG69" s="233" t="n">
        <v>0.235</v>
      </c>
      <c r="AH69" s="233" t="n">
        <v>0</v>
      </c>
      <c r="AI69" s="233" t="n">
        <v>0.18</v>
      </c>
      <c r="AJ69" s="233" t="n">
        <v>0</v>
      </c>
      <c r="AK69" s="233" t="n">
        <v>-0.455</v>
      </c>
      <c r="AL69" s="233" t="n">
        <v>0.0016987638976119</v>
      </c>
      <c r="AM69" s="233" t="n">
        <v>0.14</v>
      </c>
      <c r="AN69" s="233" t="n">
        <v>1.55203292447309</v>
      </c>
      <c r="AO69" s="233" t="n">
        <v>0.258</v>
      </c>
      <c r="AP69" s="233" t="n">
        <v>0.17</v>
      </c>
      <c r="AQ69" s="233" t="n">
        <v>0.17</v>
      </c>
      <c r="AR69" s="233" t="n">
        <f aca="false">1/AN69</f>
        <v>0.644316228239486</v>
      </c>
      <c r="AT69" s="253" t="n">
        <f aca="false">AR69*AM69*$AT$6</f>
        <v>0.0951705583502015</v>
      </c>
      <c r="AU69" s="253" t="n">
        <f aca="false">AK69+AL69+AT69</f>
        <v>-0.358130677752187</v>
      </c>
      <c r="AV69" s="233" t="n">
        <f aca="false">[10]Sheet1!AA60</f>
        <v>0.152</v>
      </c>
      <c r="AW69" s="233" t="n">
        <v>0</v>
      </c>
    </row>
    <row r="70" customFormat="false" ht="11.25" hidden="false" customHeight="false" outlineLevel="0" collapsed="false">
      <c r="A70" s="233"/>
      <c r="B70" s="233"/>
      <c r="C70" s="231" t="e">
        <f aca="false">NextMonth(C69)</f>
        <v>#VALUE!</v>
      </c>
      <c r="D70" s="252" t="n">
        <v>0.0565562651140379</v>
      </c>
      <c r="E70" s="232" t="n">
        <v>4.309</v>
      </c>
      <c r="F70" s="232" t="n">
        <v>0.2575</v>
      </c>
      <c r="G70" s="232" t="n">
        <v>0.258</v>
      </c>
      <c r="H70" s="232" t="n">
        <v>0.258</v>
      </c>
      <c r="I70" s="232" t="n">
        <v>0.265</v>
      </c>
      <c r="J70" s="232" t="n">
        <v>0.258</v>
      </c>
      <c r="K70" s="233" t="n">
        <v>0.258</v>
      </c>
      <c r="L70" s="232" t="n">
        <v>0.8</v>
      </c>
      <c r="M70" s="232" t="n">
        <v>0.8</v>
      </c>
      <c r="N70" s="232" t="n">
        <v>0.8</v>
      </c>
      <c r="O70" s="232" t="n">
        <v>0.95</v>
      </c>
      <c r="P70" s="232" t="n">
        <v>0.85</v>
      </c>
      <c r="Q70" s="252" t="n">
        <v>0.335</v>
      </c>
      <c r="R70" s="252" t="n">
        <v>0</v>
      </c>
      <c r="S70" s="233" t="n">
        <v>-0.06</v>
      </c>
      <c r="T70" s="233" t="n">
        <v>0.005</v>
      </c>
      <c r="U70" s="233" t="n">
        <v>-0.1</v>
      </c>
      <c r="V70" s="233" t="n">
        <v>0.01</v>
      </c>
      <c r="W70" s="233" t="n">
        <v>-0.1</v>
      </c>
      <c r="X70" s="233" t="n">
        <v>0.01</v>
      </c>
      <c r="Y70" s="233" t="n">
        <v>0.235</v>
      </c>
      <c r="Z70" s="233" t="n">
        <v>0</v>
      </c>
      <c r="AA70" s="233" t="n">
        <v>0.235</v>
      </c>
      <c r="AB70" s="233" t="n">
        <v>0</v>
      </c>
      <c r="AC70" s="233" t="n">
        <v>0.28</v>
      </c>
      <c r="AD70" s="233" t="n">
        <v>0.03</v>
      </c>
      <c r="AE70" s="233" t="n">
        <v>0.175</v>
      </c>
      <c r="AF70" s="233" t="n">
        <v>0.02</v>
      </c>
      <c r="AG70" s="233" t="n">
        <v>0.535</v>
      </c>
      <c r="AH70" s="233" t="n">
        <v>0</v>
      </c>
      <c r="AI70" s="233" t="n">
        <v>0.335</v>
      </c>
      <c r="AJ70" s="233" t="n">
        <v>0</v>
      </c>
      <c r="AK70" s="233" t="n">
        <v>-0.37</v>
      </c>
      <c r="AL70" s="233" t="n">
        <v>0.0054365941738061</v>
      </c>
      <c r="AM70" s="233" t="n">
        <v>0.14</v>
      </c>
      <c r="AN70" s="233" t="n">
        <v>1.55187599630843</v>
      </c>
      <c r="AO70" s="233" t="n">
        <v>0.258</v>
      </c>
      <c r="AP70" s="233" t="n">
        <v>0.325</v>
      </c>
      <c r="AQ70" s="233" t="n">
        <v>0.325</v>
      </c>
      <c r="AR70" s="233" t="n">
        <f aca="false">1/AN70</f>
        <v>0.644381382519466</v>
      </c>
      <c r="AT70" s="253" t="n">
        <f aca="false">AR70*AM70*$AT$6</f>
        <v>0.0951801821481641</v>
      </c>
      <c r="AU70" s="253" t="n">
        <f aca="false">AK70+AL70+AT70</f>
        <v>-0.26938322367803</v>
      </c>
      <c r="AV70" s="233" t="n">
        <f aca="false">[10]Sheet1!AA61</f>
        <v>0.193571428571429</v>
      </c>
      <c r="AW70" s="233" t="n">
        <v>0</v>
      </c>
    </row>
    <row r="71" customFormat="false" ht="11.25" hidden="false" customHeight="false" outlineLevel="0" collapsed="false">
      <c r="A71" s="233"/>
      <c r="B71" s="233"/>
      <c r="C71" s="231" t="e">
        <f aca="false">NextMonth(C70)</f>
        <v>#VALUE!</v>
      </c>
      <c r="D71" s="252" t="n">
        <v>0.0567643509794604</v>
      </c>
      <c r="E71" s="232" t="n">
        <v>4.447</v>
      </c>
      <c r="F71" s="232" t="n">
        <v>0.26</v>
      </c>
      <c r="G71" s="232" t="n">
        <v>0.26</v>
      </c>
      <c r="H71" s="232" t="n">
        <v>0.26</v>
      </c>
      <c r="I71" s="232" t="n">
        <v>0.268</v>
      </c>
      <c r="J71" s="232" t="n">
        <v>0.26</v>
      </c>
      <c r="K71" s="233" t="n">
        <v>0.26</v>
      </c>
      <c r="L71" s="232" t="n">
        <v>1</v>
      </c>
      <c r="M71" s="232" t="n">
        <v>1</v>
      </c>
      <c r="N71" s="232" t="n">
        <v>1.1</v>
      </c>
      <c r="O71" s="232" t="n">
        <v>1.35</v>
      </c>
      <c r="P71" s="232" t="n">
        <v>1.05</v>
      </c>
      <c r="Q71" s="252" t="n">
        <v>0.335</v>
      </c>
      <c r="R71" s="252" t="n">
        <v>0</v>
      </c>
      <c r="S71" s="233" t="n">
        <v>-0.06</v>
      </c>
      <c r="T71" s="233" t="n">
        <v>0.005</v>
      </c>
      <c r="U71" s="233" t="n">
        <v>-0.1</v>
      </c>
      <c r="V71" s="233" t="n">
        <v>0.01</v>
      </c>
      <c r="W71" s="233" t="n">
        <v>-0.1</v>
      </c>
      <c r="X71" s="233" t="n">
        <v>0.01</v>
      </c>
      <c r="Y71" s="233" t="n">
        <v>0.235</v>
      </c>
      <c r="Z71" s="233" t="n">
        <v>0</v>
      </c>
      <c r="AA71" s="233" t="n">
        <v>0.235</v>
      </c>
      <c r="AB71" s="233" t="n">
        <v>0</v>
      </c>
      <c r="AC71" s="233" t="n">
        <v>0.32</v>
      </c>
      <c r="AD71" s="233" t="n">
        <v>0.03</v>
      </c>
      <c r="AE71" s="233" t="n">
        <v>0.175</v>
      </c>
      <c r="AF71" s="233" t="n">
        <v>0.02</v>
      </c>
      <c r="AG71" s="233" t="n">
        <v>0.535</v>
      </c>
      <c r="AH71" s="233" t="n">
        <v>0</v>
      </c>
      <c r="AI71" s="233" t="n">
        <v>0.335</v>
      </c>
      <c r="AJ71" s="233" t="n">
        <v>0</v>
      </c>
      <c r="AK71" s="233" t="n">
        <v>-0.37</v>
      </c>
      <c r="AL71" s="233" t="n">
        <v>0.0054371480112457</v>
      </c>
      <c r="AM71" s="233" t="n">
        <v>0.14</v>
      </c>
      <c r="AN71" s="233" t="n">
        <v>1.55171791949562</v>
      </c>
      <c r="AO71" s="233" t="n">
        <v>0.26</v>
      </c>
      <c r="AP71" s="233" t="n">
        <v>0.325</v>
      </c>
      <c r="AQ71" s="233" t="n">
        <v>0.325</v>
      </c>
      <c r="AR71" s="233" t="n">
        <f aca="false">1/AN71</f>
        <v>0.644447027024761</v>
      </c>
      <c r="AT71" s="253" t="n">
        <f aca="false">AR71*AM71*$AT$6</f>
        <v>0.0951898783562491</v>
      </c>
      <c r="AU71" s="253" t="n">
        <f aca="false">AK71+AL71+AT71</f>
        <v>-0.269372973632505</v>
      </c>
      <c r="AV71" s="233" t="n">
        <f aca="false">[10]Sheet1!AA62</f>
        <v>0.198571428571429</v>
      </c>
      <c r="AW71" s="233" t="n">
        <v>0</v>
      </c>
    </row>
    <row r="72" customFormat="false" ht="11.25" hidden="false" customHeight="false" outlineLevel="0" collapsed="false">
      <c r="A72" s="233"/>
      <c r="B72" s="233"/>
      <c r="C72" s="231" t="e">
        <f aca="false">NextMonth(C71)</f>
        <v>#VALUE!</v>
      </c>
      <c r="D72" s="252" t="n">
        <v>0.056979373055535</v>
      </c>
      <c r="E72" s="232" t="n">
        <v>4.444</v>
      </c>
      <c r="F72" s="232" t="n">
        <v>0.2625</v>
      </c>
      <c r="G72" s="232" t="n">
        <v>0.263</v>
      </c>
      <c r="H72" s="232" t="n">
        <v>0.263</v>
      </c>
      <c r="I72" s="232" t="n">
        <v>0.27</v>
      </c>
      <c r="J72" s="232" t="n">
        <v>0.263</v>
      </c>
      <c r="K72" s="233" t="n">
        <v>0.263</v>
      </c>
      <c r="L72" s="232" t="n">
        <v>1</v>
      </c>
      <c r="M72" s="232" t="n">
        <v>1</v>
      </c>
      <c r="N72" s="232" t="n">
        <v>1.1</v>
      </c>
      <c r="O72" s="232" t="n">
        <v>1.35</v>
      </c>
      <c r="P72" s="232" t="n">
        <v>1.05</v>
      </c>
      <c r="Q72" s="252" t="n">
        <v>0.335</v>
      </c>
      <c r="R72" s="252" t="n">
        <v>0</v>
      </c>
      <c r="S72" s="233" t="n">
        <v>-0.06</v>
      </c>
      <c r="T72" s="233" t="n">
        <v>0.005</v>
      </c>
      <c r="U72" s="233" t="n">
        <v>-0.1</v>
      </c>
      <c r="V72" s="233" t="n">
        <v>0.01</v>
      </c>
      <c r="W72" s="233" t="n">
        <v>-0.1</v>
      </c>
      <c r="X72" s="233" t="n">
        <v>0.01</v>
      </c>
      <c r="Y72" s="233" t="n">
        <v>0.235</v>
      </c>
      <c r="Z72" s="233" t="n">
        <v>0</v>
      </c>
      <c r="AA72" s="233" t="n">
        <v>0.235</v>
      </c>
      <c r="AB72" s="233" t="n">
        <v>0</v>
      </c>
      <c r="AC72" s="233" t="n">
        <v>0.32</v>
      </c>
      <c r="AD72" s="233" t="n">
        <v>0.03</v>
      </c>
      <c r="AE72" s="233" t="n">
        <v>0.175</v>
      </c>
      <c r="AF72" s="233" t="n">
        <v>0.02</v>
      </c>
      <c r="AG72" s="233" t="n">
        <v>0.535</v>
      </c>
      <c r="AH72" s="233" t="n">
        <v>0</v>
      </c>
      <c r="AI72" s="233" t="n">
        <v>0.335</v>
      </c>
      <c r="AJ72" s="233" t="n">
        <v>0</v>
      </c>
      <c r="AK72" s="233" t="n">
        <v>-0.37</v>
      </c>
      <c r="AL72" s="233" t="n">
        <v>0.0054377429076487</v>
      </c>
      <c r="AM72" s="233" t="n">
        <v>0.14</v>
      </c>
      <c r="AN72" s="233" t="n">
        <v>1.55154815946385</v>
      </c>
      <c r="AO72" s="233" t="n">
        <v>0.263</v>
      </c>
      <c r="AP72" s="233" t="n">
        <v>0.325</v>
      </c>
      <c r="AQ72" s="233" t="n">
        <v>0.325</v>
      </c>
      <c r="AR72" s="233" t="n">
        <f aca="false">1/AN72</f>
        <v>0.6445175381121</v>
      </c>
      <c r="AT72" s="253" t="n">
        <f aca="false">AR72*AM72*$AT$6</f>
        <v>0.0952002933966559</v>
      </c>
      <c r="AU72" s="253" t="n">
        <f aca="false">AK72+AL72+AT72</f>
        <v>-0.269361963695695</v>
      </c>
      <c r="AV72" s="233" t="n">
        <f aca="false">[10]Sheet1!AA63</f>
        <v>0.198571428571429</v>
      </c>
      <c r="AW72" s="233" t="n">
        <v>0</v>
      </c>
    </row>
    <row r="73" customFormat="false" ht="11.25" hidden="false" customHeight="false" outlineLevel="0" collapsed="false">
      <c r="A73" s="233"/>
      <c r="B73" s="233"/>
      <c r="C73" s="231" t="e">
        <f aca="false">NextMonth(C72)</f>
        <v>#VALUE!</v>
      </c>
      <c r="D73" s="252" t="n">
        <v>0.0571943951469951</v>
      </c>
      <c r="E73" s="232" t="n">
        <v>4.324</v>
      </c>
      <c r="F73" s="232" t="n">
        <v>0.255</v>
      </c>
      <c r="G73" s="232" t="n">
        <v>0.255</v>
      </c>
      <c r="H73" s="232" t="n">
        <v>0.255</v>
      </c>
      <c r="I73" s="232" t="n">
        <v>0.263</v>
      </c>
      <c r="J73" s="232" t="n">
        <v>0.255</v>
      </c>
      <c r="K73" s="233" t="n">
        <v>0.255</v>
      </c>
      <c r="L73" s="232" t="n">
        <v>1</v>
      </c>
      <c r="M73" s="232" t="n">
        <v>1</v>
      </c>
      <c r="N73" s="232" t="n">
        <v>1.1</v>
      </c>
      <c r="O73" s="232" t="n">
        <v>1.35</v>
      </c>
      <c r="P73" s="232" t="n">
        <v>1.05</v>
      </c>
      <c r="Q73" s="252" t="n">
        <v>0.335</v>
      </c>
      <c r="R73" s="252" t="n">
        <v>0</v>
      </c>
      <c r="S73" s="233" t="n">
        <v>-0.06</v>
      </c>
      <c r="T73" s="233" t="n">
        <v>0.005</v>
      </c>
      <c r="U73" s="233" t="n">
        <v>-0.1</v>
      </c>
      <c r="V73" s="233" t="n">
        <v>0.01</v>
      </c>
      <c r="W73" s="233" t="n">
        <v>-0.1</v>
      </c>
      <c r="X73" s="233" t="n">
        <v>0.01</v>
      </c>
      <c r="Y73" s="233" t="n">
        <v>0.235</v>
      </c>
      <c r="Z73" s="233" t="n">
        <v>0</v>
      </c>
      <c r="AA73" s="233" t="n">
        <v>0.235</v>
      </c>
      <c r="AB73" s="233" t="n">
        <v>0</v>
      </c>
      <c r="AC73" s="233" t="n">
        <v>0.3</v>
      </c>
      <c r="AD73" s="233" t="n">
        <v>0.03</v>
      </c>
      <c r="AE73" s="233" t="n">
        <v>0.175</v>
      </c>
      <c r="AF73" s="233" t="n">
        <v>0.02</v>
      </c>
      <c r="AG73" s="233" t="n">
        <v>0.535</v>
      </c>
      <c r="AH73" s="233" t="n">
        <v>0</v>
      </c>
      <c r="AI73" s="233" t="n">
        <v>0.335</v>
      </c>
      <c r="AJ73" s="233" t="n">
        <v>0</v>
      </c>
      <c r="AK73" s="233" t="n">
        <v>-0.37</v>
      </c>
      <c r="AL73" s="233" t="n">
        <v>0.0054383607729903</v>
      </c>
      <c r="AM73" s="233" t="n">
        <v>0.14</v>
      </c>
      <c r="AN73" s="233" t="n">
        <v>1.5513718843189</v>
      </c>
      <c r="AO73" s="233" t="n">
        <v>0.255</v>
      </c>
      <c r="AP73" s="233" t="n">
        <v>0.325</v>
      </c>
      <c r="AQ73" s="233" t="n">
        <v>0.325</v>
      </c>
      <c r="AR73" s="233" t="n">
        <f aca="false">1/AN73</f>
        <v>0.644590771631156</v>
      </c>
      <c r="AT73" s="253" t="n">
        <f aca="false">AR73*AM73*$AT$6</f>
        <v>0.0952111105615713</v>
      </c>
      <c r="AU73" s="253" t="n">
        <f aca="false">AK73+AL73+AT73</f>
        <v>-0.269350528665438</v>
      </c>
      <c r="AV73" s="233" t="n">
        <f aca="false">[10]Sheet1!AA64</f>
        <v>0.198571428571429</v>
      </c>
      <c r="AW73" s="233" t="n">
        <v>0</v>
      </c>
    </row>
    <row r="74" customFormat="false" ht="11.25" hidden="false" customHeight="false" outlineLevel="0" collapsed="false">
      <c r="A74" s="233"/>
      <c r="B74" s="233"/>
      <c r="C74" s="231" t="e">
        <f aca="false">NextMonth(C73)</f>
        <v>#VALUE!</v>
      </c>
      <c r="D74" s="252" t="n">
        <v>0.0573886086621802</v>
      </c>
      <c r="E74" s="232" t="n">
        <v>4.185</v>
      </c>
      <c r="F74" s="232" t="n">
        <v>0.25</v>
      </c>
      <c r="G74" s="232" t="n">
        <v>0.25</v>
      </c>
      <c r="H74" s="232" t="n">
        <v>0.25</v>
      </c>
      <c r="I74" s="232" t="n">
        <v>0.258</v>
      </c>
      <c r="J74" s="232" t="n">
        <v>0.25</v>
      </c>
      <c r="K74" s="233" t="n">
        <v>0.25</v>
      </c>
      <c r="L74" s="232" t="n">
        <v>0.75</v>
      </c>
      <c r="M74" s="232" t="n">
        <v>0.75</v>
      </c>
      <c r="N74" s="232" t="n">
        <v>0.75</v>
      </c>
      <c r="O74" s="232" t="n">
        <v>0.95</v>
      </c>
      <c r="P74" s="232" t="n">
        <v>0.75</v>
      </c>
      <c r="Q74" s="252" t="n">
        <v>0.335</v>
      </c>
      <c r="R74" s="252" t="n">
        <v>0</v>
      </c>
      <c r="S74" s="233" t="n">
        <v>-0.06</v>
      </c>
      <c r="T74" s="233" t="n">
        <v>0.005</v>
      </c>
      <c r="U74" s="233" t="n">
        <v>-0.1</v>
      </c>
      <c r="V74" s="233" t="n">
        <v>0.01</v>
      </c>
      <c r="W74" s="233" t="n">
        <v>-0.1</v>
      </c>
      <c r="X74" s="233" t="n">
        <v>0.01</v>
      </c>
      <c r="Y74" s="233" t="n">
        <v>0.235</v>
      </c>
      <c r="Z74" s="233" t="n">
        <v>0</v>
      </c>
      <c r="AA74" s="233" t="n">
        <v>0.235</v>
      </c>
      <c r="AB74" s="233" t="n">
        <v>0</v>
      </c>
      <c r="AC74" s="233" t="n">
        <v>0.28</v>
      </c>
      <c r="AD74" s="233" t="n">
        <v>0.03</v>
      </c>
      <c r="AE74" s="233" t="n">
        <v>0.175</v>
      </c>
      <c r="AF74" s="233" t="n">
        <v>0.02</v>
      </c>
      <c r="AG74" s="233" t="n">
        <v>0.535</v>
      </c>
      <c r="AH74" s="233" t="n">
        <v>0</v>
      </c>
      <c r="AI74" s="233" t="n">
        <v>0.335</v>
      </c>
      <c r="AJ74" s="233" t="n">
        <v>0</v>
      </c>
      <c r="AK74" s="233" t="n">
        <v>-0.37</v>
      </c>
      <c r="AL74" s="233" t="n">
        <v>0.0054389385880848</v>
      </c>
      <c r="AM74" s="233" t="n">
        <v>0.14</v>
      </c>
      <c r="AN74" s="233" t="n">
        <v>1.55120707163026</v>
      </c>
      <c r="AO74" s="233" t="n">
        <v>0.25</v>
      </c>
      <c r="AP74" s="233" t="n">
        <v>0.325</v>
      </c>
      <c r="AQ74" s="233" t="n">
        <v>0.325</v>
      </c>
      <c r="AR74" s="233" t="n">
        <f aca="false">1/AN74</f>
        <v>0.644659258127954</v>
      </c>
      <c r="AT74" s="253" t="n">
        <f aca="false">AR74*AM74*$AT$6</f>
        <v>0.0952212265540826</v>
      </c>
      <c r="AU74" s="253" t="n">
        <f aca="false">AK74+AL74+AT74</f>
        <v>-0.269339834857833</v>
      </c>
      <c r="AV74" s="233" t="n">
        <f aca="false">[10]Sheet1!AA65</f>
        <v>0.198571428571429</v>
      </c>
      <c r="AW74" s="233" t="n">
        <v>0</v>
      </c>
    </row>
    <row r="75" customFormat="false" ht="11.25" hidden="false" customHeight="false" outlineLevel="0" collapsed="false">
      <c r="A75" s="233"/>
      <c r="B75" s="233"/>
      <c r="C75" s="231" t="e">
        <f aca="false">NextMonth(C74)</f>
        <v>#VALUE!</v>
      </c>
      <c r="D75" s="252" t="n">
        <v>0.0576036307829155</v>
      </c>
      <c r="E75" s="232" t="n">
        <v>4.01</v>
      </c>
      <c r="F75" s="232" t="n">
        <v>0.245</v>
      </c>
      <c r="G75" s="232" t="n">
        <v>0.245</v>
      </c>
      <c r="H75" s="232" t="n">
        <v>0.245</v>
      </c>
      <c r="I75" s="232" t="n">
        <v>0.252</v>
      </c>
      <c r="J75" s="232" t="n">
        <v>0.245</v>
      </c>
      <c r="K75" s="233" t="n">
        <v>0.245</v>
      </c>
      <c r="L75" s="232" t="n">
        <v>0.4</v>
      </c>
      <c r="M75" s="232" t="n">
        <v>0.4</v>
      </c>
      <c r="N75" s="232" t="n">
        <v>0.45</v>
      </c>
      <c r="O75" s="232" t="n">
        <v>0.5</v>
      </c>
      <c r="P75" s="232" t="n">
        <v>0.45</v>
      </c>
      <c r="Q75" s="252" t="n">
        <v>0.21</v>
      </c>
      <c r="R75" s="252" t="n">
        <v>0</v>
      </c>
      <c r="S75" s="233" t="n">
        <v>-0.0575</v>
      </c>
      <c r="T75" s="233" t="n">
        <v>0</v>
      </c>
      <c r="U75" s="233" t="n">
        <v>-0.1</v>
      </c>
      <c r="V75" s="233" t="n">
        <v>-0.01</v>
      </c>
      <c r="W75" s="233" t="n">
        <v>-0.1</v>
      </c>
      <c r="X75" s="233" t="n">
        <v>-0.01</v>
      </c>
      <c r="Y75" s="233" t="n">
        <v>0.15</v>
      </c>
      <c r="Z75" s="233" t="n">
        <v>0</v>
      </c>
      <c r="AA75" s="233" t="n">
        <v>0.15</v>
      </c>
      <c r="AB75" s="233" t="n">
        <v>0</v>
      </c>
      <c r="AC75" s="233" t="n">
        <v>0.195</v>
      </c>
      <c r="AD75" s="233" t="n">
        <v>0.0175</v>
      </c>
      <c r="AE75" s="233" t="n">
        <v>0.09</v>
      </c>
      <c r="AF75" s="233" t="n">
        <v>0.005</v>
      </c>
      <c r="AG75" s="233" t="n">
        <v>0.235</v>
      </c>
      <c r="AH75" s="233" t="n">
        <v>0</v>
      </c>
      <c r="AI75" s="233" t="n">
        <v>0.18</v>
      </c>
      <c r="AJ75" s="233" t="n">
        <v>0</v>
      </c>
      <c r="AK75" s="233" t="n">
        <v>-0.475</v>
      </c>
      <c r="AL75" s="233" t="n">
        <v>0.0016998750536527</v>
      </c>
      <c r="AM75" s="233" t="n">
        <v>0.14</v>
      </c>
      <c r="AN75" s="233" t="n">
        <v>1.5510184082851</v>
      </c>
      <c r="AO75" s="233" t="n">
        <v>0.245</v>
      </c>
      <c r="AP75" s="233" t="n">
        <v>0.17</v>
      </c>
      <c r="AQ75" s="233" t="n">
        <v>0.17</v>
      </c>
      <c r="AR75" s="233" t="n">
        <f aca="false">1/AN75</f>
        <v>0.644737673426881</v>
      </c>
      <c r="AT75" s="253" t="n">
        <f aca="false">AR75*AM75*$AT$6</f>
        <v>0.09523280910851</v>
      </c>
      <c r="AU75" s="253" t="n">
        <f aca="false">AK75+AL75+AT75</f>
        <v>-0.378067315837837</v>
      </c>
      <c r="AV75" s="233" t="n">
        <f aca="false">[10]Sheet1!AA66</f>
        <v>0.1495</v>
      </c>
      <c r="AW75" s="233" t="n">
        <v>0</v>
      </c>
    </row>
    <row r="76" customFormat="false" ht="11.25" hidden="false" customHeight="false" outlineLevel="0" collapsed="false">
      <c r="A76" s="233"/>
      <c r="B76" s="233"/>
      <c r="C76" s="231" t="e">
        <f aca="false">NextMonth(C75)</f>
        <v>#VALUE!</v>
      </c>
      <c r="D76" s="252" t="n">
        <v>0.0578117167208516</v>
      </c>
      <c r="E76" s="232" t="n">
        <v>3.98</v>
      </c>
      <c r="F76" s="232" t="n">
        <v>0.2375</v>
      </c>
      <c r="G76" s="232" t="n">
        <v>0.238</v>
      </c>
      <c r="H76" s="232" t="n">
        <v>0.238</v>
      </c>
      <c r="I76" s="232" t="n">
        <v>0.245</v>
      </c>
      <c r="J76" s="232" t="n">
        <v>0.238</v>
      </c>
      <c r="K76" s="233" t="n">
        <v>0.238</v>
      </c>
      <c r="L76" s="232" t="n">
        <v>0.45</v>
      </c>
      <c r="M76" s="232" t="n">
        <v>0.4</v>
      </c>
      <c r="N76" s="232" t="n">
        <v>0.5</v>
      </c>
      <c r="O76" s="232" t="n">
        <v>0.45</v>
      </c>
      <c r="P76" s="232" t="n">
        <v>0.45</v>
      </c>
      <c r="Q76" s="252" t="n">
        <v>0.21</v>
      </c>
      <c r="R76" s="252" t="n">
        <v>0</v>
      </c>
      <c r="S76" s="233" t="n">
        <v>-0.0575</v>
      </c>
      <c r="T76" s="233" t="n">
        <v>0</v>
      </c>
      <c r="U76" s="233" t="n">
        <v>-0.1</v>
      </c>
      <c r="V76" s="233" t="n">
        <v>-0.01</v>
      </c>
      <c r="W76" s="233" t="n">
        <v>-0.1</v>
      </c>
      <c r="X76" s="233" t="n">
        <v>-0.01</v>
      </c>
      <c r="Y76" s="233" t="n">
        <v>0.15</v>
      </c>
      <c r="Z76" s="233" t="n">
        <v>0</v>
      </c>
      <c r="AA76" s="233" t="n">
        <v>0.15</v>
      </c>
      <c r="AB76" s="233" t="n">
        <v>0</v>
      </c>
      <c r="AC76" s="233" t="n">
        <v>0.185</v>
      </c>
      <c r="AD76" s="233" t="n">
        <v>0.01</v>
      </c>
      <c r="AE76" s="233" t="n">
        <v>0.09</v>
      </c>
      <c r="AF76" s="233" t="n">
        <v>0.005</v>
      </c>
      <c r="AG76" s="233" t="n">
        <v>0.235</v>
      </c>
      <c r="AH76" s="233" t="n">
        <v>0</v>
      </c>
      <c r="AI76" s="233" t="n">
        <v>0.18</v>
      </c>
      <c r="AJ76" s="233" t="n">
        <v>0</v>
      </c>
      <c r="AK76" s="233" t="n">
        <v>-0.475</v>
      </c>
      <c r="AL76" s="233" t="n">
        <v>0.001700081964708</v>
      </c>
      <c r="AM76" s="233" t="n">
        <v>0.14</v>
      </c>
      <c r="AN76" s="233" t="n">
        <v>1.55082963923608</v>
      </c>
      <c r="AO76" s="233" t="n">
        <v>0.238</v>
      </c>
      <c r="AP76" s="233" t="n">
        <v>0.17</v>
      </c>
      <c r="AQ76" s="233" t="n">
        <v>0.17</v>
      </c>
      <c r="AR76" s="233" t="n">
        <f aca="false">1/AN76</f>
        <v>0.644816151755126</v>
      </c>
      <c r="AT76" s="253" t="n">
        <f aca="false">AR76*AM76*$AT$6</f>
        <v>0.0952444009728619</v>
      </c>
      <c r="AU76" s="253" t="n">
        <f aca="false">AK76+AL76+AT76</f>
        <v>-0.37805551706243</v>
      </c>
      <c r="AV76" s="233" t="n">
        <f aca="false">[10]Sheet1!AA67</f>
        <v>0.1495</v>
      </c>
      <c r="AW76" s="233" t="n">
        <v>0</v>
      </c>
    </row>
    <row r="77" customFormat="false" ht="11.25" hidden="false" customHeight="false" outlineLevel="0" collapsed="false">
      <c r="A77" s="233"/>
      <c r="B77" s="233"/>
      <c r="C77" s="231" t="e">
        <f aca="false">NextMonth(C76)</f>
        <v>#VALUE!</v>
      </c>
      <c r="D77" s="252" t="n">
        <v>0.0579818792510305</v>
      </c>
      <c r="E77" s="232" t="n">
        <v>4.05</v>
      </c>
      <c r="F77" s="232" t="n">
        <v>0.2375</v>
      </c>
      <c r="G77" s="232" t="n">
        <v>0.238</v>
      </c>
      <c r="H77" s="232" t="n">
        <v>0.238</v>
      </c>
      <c r="I77" s="232" t="n">
        <v>0.245</v>
      </c>
      <c r="J77" s="232" t="n">
        <v>0.238</v>
      </c>
      <c r="K77" s="233" t="n">
        <v>0.238</v>
      </c>
      <c r="L77" s="232" t="n">
        <v>0.45</v>
      </c>
      <c r="M77" s="232" t="n">
        <v>0.4</v>
      </c>
      <c r="N77" s="232" t="n">
        <v>0.5</v>
      </c>
      <c r="O77" s="232" t="n">
        <v>0.5</v>
      </c>
      <c r="P77" s="232" t="n">
        <v>0.5</v>
      </c>
      <c r="Q77" s="252" t="n">
        <v>0.21</v>
      </c>
      <c r="R77" s="252" t="n">
        <v>0</v>
      </c>
      <c r="S77" s="233" t="n">
        <v>-0.0575</v>
      </c>
      <c r="T77" s="233" t="n">
        <v>0</v>
      </c>
      <c r="U77" s="233" t="n">
        <v>-0.1</v>
      </c>
      <c r="V77" s="233" t="n">
        <v>-0.01</v>
      </c>
      <c r="W77" s="233" t="n">
        <v>-0.1</v>
      </c>
      <c r="X77" s="233" t="n">
        <v>-0.01</v>
      </c>
      <c r="Y77" s="233" t="n">
        <v>0.15</v>
      </c>
      <c r="Z77" s="233" t="n">
        <v>0</v>
      </c>
      <c r="AA77" s="233" t="n">
        <v>0.15</v>
      </c>
      <c r="AB77" s="233" t="n">
        <v>0</v>
      </c>
      <c r="AC77" s="233" t="n">
        <v>0.195</v>
      </c>
      <c r="AD77" s="233" t="n">
        <v>0.0125</v>
      </c>
      <c r="AE77" s="233" t="n">
        <v>0.09</v>
      </c>
      <c r="AF77" s="233" t="n">
        <v>0.005</v>
      </c>
      <c r="AG77" s="233" t="n">
        <v>0.235</v>
      </c>
      <c r="AH77" s="233" t="n">
        <v>0</v>
      </c>
      <c r="AI77" s="233" t="n">
        <v>0.18</v>
      </c>
      <c r="AJ77" s="233" t="n">
        <v>0</v>
      </c>
      <c r="AK77" s="233" t="n">
        <v>-0.475</v>
      </c>
      <c r="AL77" s="233" t="n">
        <v>0.0017003727824453</v>
      </c>
      <c r="AM77" s="233" t="n">
        <v>0.14</v>
      </c>
      <c r="AN77" s="233" t="n">
        <v>1.55056439812468</v>
      </c>
      <c r="AO77" s="233" t="n">
        <v>0.238</v>
      </c>
      <c r="AP77" s="233" t="n">
        <v>0.17</v>
      </c>
      <c r="AQ77" s="233" t="n">
        <v>0.17</v>
      </c>
      <c r="AR77" s="233" t="n">
        <f aca="false">1/AN77</f>
        <v>0.644926454657055</v>
      </c>
      <c r="AT77" s="253" t="n">
        <f aca="false">AR77*AM77*$AT$6</f>
        <v>0.0952606935762516</v>
      </c>
      <c r="AU77" s="253" t="n">
        <f aca="false">AK77+AL77+AT77</f>
        <v>-0.378038933641303</v>
      </c>
      <c r="AV77" s="233" t="n">
        <f aca="false">[10]Sheet1!AA68</f>
        <v>0.1495</v>
      </c>
      <c r="AW77" s="233" t="n">
        <v>0</v>
      </c>
    </row>
    <row r="78" customFormat="false" ht="11.25" hidden="false" customHeight="false" outlineLevel="0" collapsed="false">
      <c r="A78" s="233"/>
      <c r="B78" s="233"/>
      <c r="C78" s="231" t="e">
        <f aca="false">NextMonth(C77)</f>
        <v>#VALUE!</v>
      </c>
      <c r="D78" s="252" t="n">
        <v>0.0581058534220928</v>
      </c>
      <c r="E78" s="232" t="n">
        <v>4.105</v>
      </c>
      <c r="F78" s="232" t="n">
        <v>0.2375</v>
      </c>
      <c r="G78" s="232" t="n">
        <v>0.238</v>
      </c>
      <c r="H78" s="232" t="n">
        <v>0.238</v>
      </c>
      <c r="I78" s="232" t="n">
        <v>0.245</v>
      </c>
      <c r="J78" s="232" t="n">
        <v>0.238</v>
      </c>
      <c r="K78" s="233" t="n">
        <v>0.238</v>
      </c>
      <c r="L78" s="232" t="n">
        <v>0.5</v>
      </c>
      <c r="M78" s="232" t="n">
        <v>0.4</v>
      </c>
      <c r="N78" s="232" t="n">
        <v>0.55</v>
      </c>
      <c r="O78" s="232" t="n">
        <v>0.5</v>
      </c>
      <c r="P78" s="232" t="n">
        <v>0.5</v>
      </c>
      <c r="Q78" s="252" t="n">
        <v>0.21</v>
      </c>
      <c r="R78" s="252" t="n">
        <v>0</v>
      </c>
      <c r="S78" s="233" t="n">
        <v>-0.0575</v>
      </c>
      <c r="T78" s="233" t="n">
        <v>0</v>
      </c>
      <c r="U78" s="233" t="n">
        <v>-0.1</v>
      </c>
      <c r="V78" s="233" t="n">
        <v>-0.01</v>
      </c>
      <c r="W78" s="233" t="n">
        <v>-0.1</v>
      </c>
      <c r="X78" s="233" t="n">
        <v>-0.01</v>
      </c>
      <c r="Y78" s="233" t="n">
        <v>0.15</v>
      </c>
      <c r="Z78" s="233" t="n">
        <v>0</v>
      </c>
      <c r="AA78" s="233" t="n">
        <v>0.15</v>
      </c>
      <c r="AB78" s="233" t="n">
        <v>0</v>
      </c>
      <c r="AC78" s="233" t="n">
        <v>0.2</v>
      </c>
      <c r="AD78" s="233" t="n">
        <v>0.0125</v>
      </c>
      <c r="AE78" s="233" t="n">
        <v>0.09</v>
      </c>
      <c r="AF78" s="233" t="n">
        <v>0.005</v>
      </c>
      <c r="AG78" s="233" t="n">
        <v>0.235</v>
      </c>
      <c r="AH78" s="233" t="n">
        <v>0</v>
      </c>
      <c r="AI78" s="233" t="n">
        <v>0.18</v>
      </c>
      <c r="AJ78" s="233" t="n">
        <v>0</v>
      </c>
      <c r="AK78" s="233" t="n">
        <v>-0.475</v>
      </c>
      <c r="AL78" s="233" t="n">
        <v>0.0017006780278925</v>
      </c>
      <c r="AM78" s="233" t="n">
        <v>0.14</v>
      </c>
      <c r="AN78" s="233" t="n">
        <v>1.55028609575627</v>
      </c>
      <c r="AO78" s="233" t="n">
        <v>0.238</v>
      </c>
      <c r="AP78" s="233" t="n">
        <v>0.17</v>
      </c>
      <c r="AQ78" s="233" t="n">
        <v>0.17</v>
      </c>
      <c r="AR78" s="233" t="n">
        <f aca="false">1/AN78</f>
        <v>0.645042229777707</v>
      </c>
      <c r="AT78" s="253" t="n">
        <f aca="false">AR78*AM78*$AT$6</f>
        <v>0.0952777944692488</v>
      </c>
      <c r="AU78" s="253" t="n">
        <f aca="false">AK78+AL78+AT78</f>
        <v>-0.378021527502859</v>
      </c>
      <c r="AV78" s="233" t="n">
        <f aca="false">[10]Sheet1!AA69</f>
        <v>0.1495</v>
      </c>
      <c r="AW78" s="233" t="n">
        <v>0</v>
      </c>
    </row>
    <row r="79" customFormat="false" ht="11.25" hidden="false" customHeight="false" outlineLevel="0" collapsed="false">
      <c r="A79" s="233"/>
      <c r="B79" s="233"/>
      <c r="C79" s="231" t="e">
        <f aca="false">NextMonth(C78)</f>
        <v>#VALUE!</v>
      </c>
      <c r="D79" s="252" t="n">
        <v>0.0582339600708943</v>
      </c>
      <c r="E79" s="232" t="n">
        <v>4.161</v>
      </c>
      <c r="F79" s="232" t="n">
        <v>0.2375</v>
      </c>
      <c r="G79" s="232" t="n">
        <v>0.238</v>
      </c>
      <c r="H79" s="232" t="n">
        <v>0.238</v>
      </c>
      <c r="I79" s="232" t="n">
        <v>0.245</v>
      </c>
      <c r="J79" s="232" t="n">
        <v>0.238</v>
      </c>
      <c r="K79" s="233" t="n">
        <v>0.238</v>
      </c>
      <c r="L79" s="232" t="n">
        <v>0.55</v>
      </c>
      <c r="M79" s="232" t="n">
        <v>0.5</v>
      </c>
      <c r="N79" s="232" t="n">
        <v>0.6</v>
      </c>
      <c r="O79" s="232" t="n">
        <v>0.45</v>
      </c>
      <c r="P79" s="232" t="n">
        <v>0.55</v>
      </c>
      <c r="Q79" s="252" t="n">
        <v>0.21</v>
      </c>
      <c r="R79" s="252" t="n">
        <v>0</v>
      </c>
      <c r="S79" s="233" t="n">
        <v>-0.0575</v>
      </c>
      <c r="T79" s="233" t="n">
        <v>0</v>
      </c>
      <c r="U79" s="233" t="n">
        <v>-0.1</v>
      </c>
      <c r="V79" s="233" t="n">
        <v>-0.01</v>
      </c>
      <c r="W79" s="233" t="n">
        <v>-0.1</v>
      </c>
      <c r="X79" s="233" t="n">
        <v>-0.01</v>
      </c>
      <c r="Y79" s="233" t="n">
        <v>0.15</v>
      </c>
      <c r="Z79" s="233" t="n">
        <v>0</v>
      </c>
      <c r="AA79" s="233" t="n">
        <v>0.15</v>
      </c>
      <c r="AB79" s="233" t="n">
        <v>0</v>
      </c>
      <c r="AC79" s="233" t="n">
        <v>0.21</v>
      </c>
      <c r="AD79" s="233" t="n">
        <v>0.0125</v>
      </c>
      <c r="AE79" s="233" t="n">
        <v>0.09</v>
      </c>
      <c r="AF79" s="233" t="n">
        <v>0.005</v>
      </c>
      <c r="AG79" s="233" t="n">
        <v>0.235</v>
      </c>
      <c r="AH79" s="233" t="n">
        <v>0</v>
      </c>
      <c r="AI79" s="233" t="n">
        <v>0.18</v>
      </c>
      <c r="AJ79" s="233" t="n">
        <v>0</v>
      </c>
      <c r="AK79" s="233" t="n">
        <v>-0.475</v>
      </c>
      <c r="AL79" s="233" t="n">
        <v>0.0017010033617684</v>
      </c>
      <c r="AM79" s="233" t="n">
        <v>0.14</v>
      </c>
      <c r="AN79" s="233" t="n">
        <v>1.54998958806222</v>
      </c>
      <c r="AO79" s="233" t="n">
        <v>0.238</v>
      </c>
      <c r="AP79" s="233" t="n">
        <v>0.17</v>
      </c>
      <c r="AQ79" s="233" t="n">
        <v>0.17</v>
      </c>
      <c r="AR79" s="233" t="n">
        <f aca="false">1/AN79</f>
        <v>0.645165624144733</v>
      </c>
      <c r="AT79" s="253" t="n">
        <f aca="false">AR79*AM79*$AT$6</f>
        <v>0.0952960207846704</v>
      </c>
      <c r="AU79" s="253" t="n">
        <f aca="false">AK79+AL79+AT79</f>
        <v>-0.378002975853561</v>
      </c>
      <c r="AV79" s="233" t="n">
        <f aca="false">[10]Sheet1!AA70</f>
        <v>0.1495</v>
      </c>
      <c r="AW79" s="233" t="n">
        <v>0</v>
      </c>
    </row>
    <row r="80" customFormat="false" ht="11.25" hidden="false" customHeight="false" outlineLevel="0" collapsed="false">
      <c r="A80" s="233"/>
      <c r="B80" s="233"/>
      <c r="C80" s="231" t="e">
        <f aca="false">NextMonth(C79)</f>
        <v>#VALUE!</v>
      </c>
      <c r="D80" s="252" t="n">
        <v>0.0583620667251532</v>
      </c>
      <c r="E80" s="232" t="n">
        <v>4.175</v>
      </c>
      <c r="F80" s="232" t="n">
        <v>0.2375</v>
      </c>
      <c r="G80" s="232" t="n">
        <v>0.238</v>
      </c>
      <c r="H80" s="232" t="n">
        <v>0.238</v>
      </c>
      <c r="I80" s="232" t="n">
        <v>0.245</v>
      </c>
      <c r="J80" s="232" t="n">
        <v>0.238</v>
      </c>
      <c r="K80" s="233" t="n">
        <v>0.238</v>
      </c>
      <c r="L80" s="232" t="n">
        <v>0.55</v>
      </c>
      <c r="M80" s="232" t="n">
        <v>0.55</v>
      </c>
      <c r="N80" s="232" t="n">
        <v>0.6</v>
      </c>
      <c r="O80" s="232" t="n">
        <v>0.5</v>
      </c>
      <c r="P80" s="232" t="n">
        <v>0.6</v>
      </c>
      <c r="Q80" s="252" t="n">
        <v>0.21</v>
      </c>
      <c r="R80" s="252" t="n">
        <v>0</v>
      </c>
      <c r="S80" s="233" t="n">
        <v>-0.0575</v>
      </c>
      <c r="T80" s="233" t="n">
        <v>0</v>
      </c>
      <c r="U80" s="233" t="n">
        <v>-0.1</v>
      </c>
      <c r="V80" s="233" t="n">
        <v>-0.01</v>
      </c>
      <c r="W80" s="233" t="n">
        <v>-0.1</v>
      </c>
      <c r="X80" s="233" t="n">
        <v>-0.01</v>
      </c>
      <c r="Y80" s="233" t="n">
        <v>0.15</v>
      </c>
      <c r="Z80" s="233" t="n">
        <v>0</v>
      </c>
      <c r="AA80" s="233" t="n">
        <v>0.15</v>
      </c>
      <c r="AB80" s="233" t="n">
        <v>0</v>
      </c>
      <c r="AC80" s="233" t="n">
        <v>0.185</v>
      </c>
      <c r="AD80" s="233" t="n">
        <v>0.0125</v>
      </c>
      <c r="AE80" s="233" t="n">
        <v>0.09</v>
      </c>
      <c r="AF80" s="233" t="n">
        <v>0.005</v>
      </c>
      <c r="AG80" s="233" t="n">
        <v>0.235</v>
      </c>
      <c r="AH80" s="233" t="n">
        <v>0</v>
      </c>
      <c r="AI80" s="233" t="n">
        <v>0.18</v>
      </c>
      <c r="AJ80" s="233" t="n">
        <v>0</v>
      </c>
      <c r="AK80" s="233" t="n">
        <v>-0.475</v>
      </c>
      <c r="AL80" s="233" t="n">
        <v>0.0017013387758511</v>
      </c>
      <c r="AM80" s="233" t="n">
        <v>0.14</v>
      </c>
      <c r="AN80" s="233" t="n">
        <v>1.54968401203982</v>
      </c>
      <c r="AO80" s="233" t="n">
        <v>0.238</v>
      </c>
      <c r="AP80" s="233" t="n">
        <v>0.17</v>
      </c>
      <c r="AQ80" s="233" t="n">
        <v>0.17</v>
      </c>
      <c r="AR80" s="233" t="n">
        <f aca="false">1/AN80</f>
        <v>0.645292841786319</v>
      </c>
      <c r="AT80" s="253" t="n">
        <f aca="false">AR80*AM80*$AT$6</f>
        <v>0.095314811827719</v>
      </c>
      <c r="AU80" s="253" t="n">
        <f aca="false">AK80+AL80+AT80</f>
        <v>-0.37798384939643</v>
      </c>
      <c r="AV80" s="233" t="n">
        <f aca="false">[10]Sheet1!AA71</f>
        <v>0.1495</v>
      </c>
      <c r="AW80" s="233" t="n">
        <v>0</v>
      </c>
    </row>
    <row r="81" customFormat="false" ht="11.25" hidden="false" customHeight="false" outlineLevel="0" collapsed="false">
      <c r="A81" s="233"/>
      <c r="B81" s="233"/>
      <c r="C81" s="231" t="e">
        <f aca="false">NextMonth(C80)</f>
        <v>#VALUE!</v>
      </c>
      <c r="D81" s="252" t="n">
        <v>0.0584860409118897</v>
      </c>
      <c r="E81" s="232" t="n">
        <v>4.206</v>
      </c>
      <c r="F81" s="232" t="n">
        <v>0.2375</v>
      </c>
      <c r="G81" s="232" t="n">
        <v>0.238</v>
      </c>
      <c r="H81" s="232" t="n">
        <v>0.238</v>
      </c>
      <c r="I81" s="232" t="n">
        <v>0.245</v>
      </c>
      <c r="J81" s="232" t="n">
        <v>0.238</v>
      </c>
      <c r="K81" s="233" t="n">
        <v>0.238</v>
      </c>
      <c r="L81" s="232" t="n">
        <v>0.6</v>
      </c>
      <c r="M81" s="232" t="n">
        <v>0.55</v>
      </c>
      <c r="N81" s="232" t="n">
        <v>0.65</v>
      </c>
      <c r="O81" s="232" t="n">
        <v>0.5</v>
      </c>
      <c r="P81" s="232" t="n">
        <v>0.65</v>
      </c>
      <c r="Q81" s="252" t="n">
        <v>0.21</v>
      </c>
      <c r="R81" s="252" t="n">
        <v>0</v>
      </c>
      <c r="S81" s="233" t="n">
        <v>-0.0575</v>
      </c>
      <c r="T81" s="233" t="n">
        <v>0</v>
      </c>
      <c r="U81" s="233" t="n">
        <v>-0.1</v>
      </c>
      <c r="V81" s="233" t="n">
        <v>-0.01</v>
      </c>
      <c r="W81" s="233" t="n">
        <v>-0.1</v>
      </c>
      <c r="X81" s="233" t="n">
        <v>-0.01</v>
      </c>
      <c r="Y81" s="233" t="n">
        <v>0.15</v>
      </c>
      <c r="Z81" s="233" t="n">
        <v>0</v>
      </c>
      <c r="AA81" s="233" t="n">
        <v>0.15</v>
      </c>
      <c r="AB81" s="233" t="n">
        <v>0</v>
      </c>
      <c r="AC81" s="233" t="n">
        <v>0.195</v>
      </c>
      <c r="AD81" s="233" t="n">
        <v>0.0125</v>
      </c>
      <c r="AE81" s="233" t="n">
        <v>0.09</v>
      </c>
      <c r="AF81" s="233" t="n">
        <v>0.005</v>
      </c>
      <c r="AG81" s="233" t="n">
        <v>0.235</v>
      </c>
      <c r="AH81" s="233" t="n">
        <v>0</v>
      </c>
      <c r="AI81" s="233" t="n">
        <v>0.18</v>
      </c>
      <c r="AJ81" s="233" t="n">
        <v>0</v>
      </c>
      <c r="AK81" s="233" t="n">
        <v>-0.475</v>
      </c>
      <c r="AL81" s="233" t="n">
        <v>0.0017016729719013</v>
      </c>
      <c r="AM81" s="233" t="n">
        <v>0.14</v>
      </c>
      <c r="AN81" s="233" t="n">
        <v>1.54937966550304</v>
      </c>
      <c r="AO81" s="233" t="n">
        <v>0.238</v>
      </c>
      <c r="AP81" s="233" t="n">
        <v>0.17</v>
      </c>
      <c r="AQ81" s="233" t="n">
        <v>0.17</v>
      </c>
      <c r="AR81" s="233" t="n">
        <f aca="false">1/AN81</f>
        <v>0.645419597446006</v>
      </c>
      <c r="AT81" s="253" t="n">
        <f aca="false">AR81*AM81*$AT$6</f>
        <v>0.0953335346324191</v>
      </c>
      <c r="AU81" s="253" t="n">
        <f aca="false">AK81+AL81+AT81</f>
        <v>-0.37796479239568</v>
      </c>
      <c r="AV81" s="233" t="n">
        <f aca="false">[10]Sheet1!AA72</f>
        <v>0.1495</v>
      </c>
      <c r="AW81" s="233" t="n">
        <v>0</v>
      </c>
    </row>
    <row r="82" customFormat="false" ht="11.25" hidden="false" customHeight="false" outlineLevel="0" collapsed="false">
      <c r="A82" s="233"/>
      <c r="B82" s="233"/>
      <c r="C82" s="231" t="e">
        <f aca="false">NextMonth(C81)</f>
        <v>#VALUE!</v>
      </c>
      <c r="D82" s="252" t="n">
        <v>0.0586141475768862</v>
      </c>
      <c r="E82" s="232" t="n">
        <v>4.339</v>
      </c>
      <c r="F82" s="232" t="n">
        <v>0.24</v>
      </c>
      <c r="G82" s="232" t="n">
        <v>0.24</v>
      </c>
      <c r="H82" s="232" t="n">
        <v>0.24</v>
      </c>
      <c r="I82" s="232" t="n">
        <v>0.247</v>
      </c>
      <c r="J82" s="232" t="n">
        <v>0.24</v>
      </c>
      <c r="K82" s="233" t="n">
        <v>0.24</v>
      </c>
      <c r="L82" s="232" t="n">
        <v>0.8</v>
      </c>
      <c r="M82" s="232" t="n">
        <v>0.8</v>
      </c>
      <c r="N82" s="232" t="n">
        <v>0.8</v>
      </c>
      <c r="O82" s="232" t="n">
        <v>0.95</v>
      </c>
      <c r="P82" s="232" t="n">
        <v>0.85</v>
      </c>
      <c r="Q82" s="252" t="n">
        <v>0.325</v>
      </c>
      <c r="R82" s="252" t="n">
        <v>0</v>
      </c>
      <c r="S82" s="233" t="n">
        <v>-0.0575</v>
      </c>
      <c r="T82" s="233" t="n">
        <v>0.005</v>
      </c>
      <c r="U82" s="233" t="n">
        <v>-0.1225</v>
      </c>
      <c r="V82" s="233" t="n">
        <v>0.01</v>
      </c>
      <c r="W82" s="233" t="n">
        <v>-0.1225</v>
      </c>
      <c r="X82" s="233" t="n">
        <v>0.01</v>
      </c>
      <c r="Y82" s="233" t="n">
        <v>0.225</v>
      </c>
      <c r="Z82" s="233" t="n">
        <v>0</v>
      </c>
      <c r="AA82" s="233" t="n">
        <v>0.225</v>
      </c>
      <c r="AB82" s="233" t="n">
        <v>0</v>
      </c>
      <c r="AC82" s="233" t="n">
        <v>0.24</v>
      </c>
      <c r="AD82" s="233" t="n">
        <v>0.03</v>
      </c>
      <c r="AE82" s="233" t="n">
        <v>0.175</v>
      </c>
      <c r="AF82" s="233" t="n">
        <v>0.02</v>
      </c>
      <c r="AG82" s="233" t="n">
        <v>0.475</v>
      </c>
      <c r="AH82" s="233" t="n">
        <v>0</v>
      </c>
      <c r="AI82" s="233" t="n">
        <v>0.275</v>
      </c>
      <c r="AJ82" s="233" t="n">
        <v>0</v>
      </c>
      <c r="AK82" s="233" t="n">
        <v>-0.395</v>
      </c>
      <c r="AL82" s="233" t="n">
        <v>0.0054464903489301</v>
      </c>
      <c r="AM82" s="233" t="n">
        <v>0.14</v>
      </c>
      <c r="AN82" s="233" t="n">
        <v>1.54905626550082</v>
      </c>
      <c r="AO82" s="233" t="n">
        <v>0.24</v>
      </c>
      <c r="AP82" s="233" t="n">
        <v>0.265</v>
      </c>
      <c r="AQ82" s="233" t="n">
        <v>0.265</v>
      </c>
      <c r="AR82" s="233" t="n">
        <f aca="false">1/AN82</f>
        <v>0.645554343164348</v>
      </c>
      <c r="AT82" s="253" t="n">
        <f aca="false">AR82*AM82*$AT$6</f>
        <v>0.0953534376314247</v>
      </c>
      <c r="AU82" s="253" t="n">
        <f aca="false">AK82+AL82+AT82</f>
        <v>-0.294200072019645</v>
      </c>
      <c r="AV82" s="233" t="n">
        <f aca="false">[10]Sheet1!AA73</f>
        <v>0.196071428571429</v>
      </c>
      <c r="AW82" s="233" t="n">
        <v>0</v>
      </c>
    </row>
    <row r="83" customFormat="false" ht="11.25" hidden="false" customHeight="false" outlineLevel="0" collapsed="false">
      <c r="A83" s="233"/>
      <c r="B83" s="233"/>
      <c r="C83" s="231" t="e">
        <f aca="false">NextMonth(C82)</f>
        <v>#VALUE!</v>
      </c>
      <c r="D83" s="252" t="n">
        <v>0.0587381217740144</v>
      </c>
      <c r="E83" s="232" t="n">
        <v>4.477</v>
      </c>
      <c r="F83" s="232" t="n">
        <v>0.245</v>
      </c>
      <c r="G83" s="232" t="n">
        <v>0.245</v>
      </c>
      <c r="H83" s="232" t="n">
        <v>0.245</v>
      </c>
      <c r="I83" s="232" t="n">
        <v>0.252</v>
      </c>
      <c r="J83" s="232" t="n">
        <v>0.245</v>
      </c>
      <c r="K83" s="233" t="n">
        <v>0.245</v>
      </c>
      <c r="L83" s="232" t="n">
        <v>1</v>
      </c>
      <c r="M83" s="232" t="n">
        <v>1</v>
      </c>
      <c r="N83" s="232" t="n">
        <v>1.1</v>
      </c>
      <c r="O83" s="232" t="n">
        <v>1.35</v>
      </c>
      <c r="P83" s="232" t="n">
        <v>1.05</v>
      </c>
      <c r="Q83" s="252" t="n">
        <v>0.325</v>
      </c>
      <c r="R83" s="252" t="n">
        <v>0</v>
      </c>
      <c r="S83" s="233" t="n">
        <v>-0.0575</v>
      </c>
      <c r="T83" s="233" t="n">
        <v>0.005</v>
      </c>
      <c r="U83" s="233" t="n">
        <v>-0.1175</v>
      </c>
      <c r="V83" s="233" t="n">
        <v>0.01</v>
      </c>
      <c r="W83" s="233" t="n">
        <v>-0.1175</v>
      </c>
      <c r="X83" s="233" t="n">
        <v>0.01</v>
      </c>
      <c r="Y83" s="233" t="n">
        <v>0.225</v>
      </c>
      <c r="Z83" s="233" t="n">
        <v>0</v>
      </c>
      <c r="AA83" s="233" t="n">
        <v>0.225</v>
      </c>
      <c r="AB83" s="233" t="n">
        <v>0</v>
      </c>
      <c r="AC83" s="233" t="n">
        <v>0.26</v>
      </c>
      <c r="AD83" s="233" t="n">
        <v>0.03</v>
      </c>
      <c r="AE83" s="233" t="n">
        <v>0.175</v>
      </c>
      <c r="AF83" s="233" t="n">
        <v>0.02</v>
      </c>
      <c r="AG83" s="233" t="n">
        <v>0.475</v>
      </c>
      <c r="AH83" s="233" t="n">
        <v>0</v>
      </c>
      <c r="AI83" s="233" t="n">
        <v>0.275</v>
      </c>
      <c r="AJ83" s="233" t="n">
        <v>0</v>
      </c>
      <c r="AK83" s="233" t="n">
        <v>-0.395</v>
      </c>
      <c r="AL83" s="233" t="n">
        <v>0.0054476212687758</v>
      </c>
      <c r="AM83" s="233" t="n">
        <v>0.14</v>
      </c>
      <c r="AN83" s="233" t="n">
        <v>1.54873468321998</v>
      </c>
      <c r="AO83" s="233" t="n">
        <v>0.245</v>
      </c>
      <c r="AP83" s="233" t="n">
        <v>0.265</v>
      </c>
      <c r="AQ83" s="233" t="n">
        <v>0.265</v>
      </c>
      <c r="AR83" s="233" t="n">
        <f aca="false">1/AN83</f>
        <v>0.645688387323319</v>
      </c>
      <c r="AT83" s="253" t="n">
        <f aca="false">AR83*AM83*$AT$6</f>
        <v>0.0953732370046108</v>
      </c>
      <c r="AU83" s="253" t="n">
        <f aca="false">AK83+AL83+AT83</f>
        <v>-0.294179141726613</v>
      </c>
      <c r="AV83" s="233" t="n">
        <f aca="false">[10]Sheet1!AA74</f>
        <v>0.201071428571429</v>
      </c>
      <c r="AW83" s="233" t="n">
        <v>0</v>
      </c>
    </row>
    <row r="84" customFormat="false" ht="11.25" hidden="false" customHeight="false" outlineLevel="0" collapsed="false">
      <c r="A84" s="233"/>
      <c r="B84" s="233"/>
      <c r="C84" s="231" t="e">
        <f aca="false">NextMonth(C83)</f>
        <v>#VALUE!</v>
      </c>
      <c r="D84" s="252" t="n">
        <v>0.0588662284497481</v>
      </c>
      <c r="E84" s="232" t="n">
        <v>4.484</v>
      </c>
      <c r="F84" s="232" t="n">
        <v>0.2475</v>
      </c>
      <c r="G84" s="232" t="n">
        <v>0.248</v>
      </c>
      <c r="H84" s="232" t="n">
        <v>0.248</v>
      </c>
      <c r="I84" s="232" t="n">
        <v>0.255</v>
      </c>
      <c r="J84" s="232" t="n">
        <v>0.248</v>
      </c>
      <c r="K84" s="233" t="n">
        <v>0.248</v>
      </c>
      <c r="L84" s="232" t="n">
        <v>1</v>
      </c>
      <c r="M84" s="232" t="n">
        <v>1</v>
      </c>
      <c r="N84" s="232" t="n">
        <v>1.1</v>
      </c>
      <c r="O84" s="232" t="n">
        <v>1.35</v>
      </c>
      <c r="P84" s="232" t="n">
        <v>1.05</v>
      </c>
      <c r="Q84" s="252" t="n">
        <v>0.325</v>
      </c>
      <c r="R84" s="252" t="n">
        <v>0</v>
      </c>
      <c r="S84" s="233" t="n">
        <v>-0.0575</v>
      </c>
      <c r="T84" s="233" t="n">
        <v>0.005</v>
      </c>
      <c r="U84" s="233" t="n">
        <v>-0.1175</v>
      </c>
      <c r="V84" s="233" t="n">
        <v>0.01</v>
      </c>
      <c r="W84" s="233" t="n">
        <v>-0.1175</v>
      </c>
      <c r="X84" s="233" t="n">
        <v>0.01</v>
      </c>
      <c r="Y84" s="233" t="n">
        <v>0.225</v>
      </c>
      <c r="Z84" s="233" t="n">
        <v>0</v>
      </c>
      <c r="AA84" s="233" t="n">
        <v>0.225</v>
      </c>
      <c r="AB84" s="233" t="n">
        <v>0</v>
      </c>
      <c r="AC84" s="233" t="n">
        <v>0.27</v>
      </c>
      <c r="AD84" s="233" t="n">
        <v>0.03</v>
      </c>
      <c r="AE84" s="233" t="n">
        <v>0.175</v>
      </c>
      <c r="AF84" s="233" t="n">
        <v>0.02</v>
      </c>
      <c r="AG84" s="233" t="n">
        <v>0.475</v>
      </c>
      <c r="AH84" s="233" t="n">
        <v>0</v>
      </c>
      <c r="AI84" s="233" t="n">
        <v>0.275</v>
      </c>
      <c r="AJ84" s="233" t="n">
        <v>0</v>
      </c>
      <c r="AK84" s="233" t="n">
        <v>-0.395</v>
      </c>
      <c r="AL84" s="233" t="n">
        <v>0.0054488216794042</v>
      </c>
      <c r="AM84" s="233" t="n">
        <v>0.14</v>
      </c>
      <c r="AN84" s="233" t="n">
        <v>1.54839348696073</v>
      </c>
      <c r="AO84" s="233" t="n">
        <v>0.248</v>
      </c>
      <c r="AP84" s="233" t="n">
        <v>0.265</v>
      </c>
      <c r="AQ84" s="233" t="n">
        <v>0.265</v>
      </c>
      <c r="AR84" s="233" t="n">
        <f aca="false">1/AN84</f>
        <v>0.645830667993091</v>
      </c>
      <c r="AT84" s="253" t="n">
        <f aca="false">AR84*AM84*$AT$6</f>
        <v>0.0953942529750167</v>
      </c>
      <c r="AU84" s="253" t="n">
        <f aca="false">AK84+AL84+AT84</f>
        <v>-0.294156925345579</v>
      </c>
      <c r="AV84" s="233" t="n">
        <f aca="false">[10]Sheet1!AA75</f>
        <v>0.201071428571429</v>
      </c>
      <c r="AW84" s="233" t="n">
        <v>0</v>
      </c>
    </row>
    <row r="85" customFormat="false" ht="11.25" hidden="false" customHeight="false" outlineLevel="0" collapsed="false">
      <c r="A85" s="233"/>
      <c r="B85" s="233"/>
      <c r="C85" s="231" t="e">
        <f aca="false">NextMonth(C84)</f>
        <v>#VALUE!</v>
      </c>
      <c r="D85" s="252" t="n">
        <v>0.0589943351309374</v>
      </c>
      <c r="E85" s="232" t="n">
        <v>4.364</v>
      </c>
      <c r="F85" s="232" t="n">
        <v>0.235</v>
      </c>
      <c r="G85" s="232" t="n">
        <v>0.235</v>
      </c>
      <c r="H85" s="232" t="n">
        <v>0.235</v>
      </c>
      <c r="I85" s="232" t="n">
        <v>0.242</v>
      </c>
      <c r="J85" s="232" t="n">
        <v>0.235</v>
      </c>
      <c r="K85" s="233" t="n">
        <v>0.235</v>
      </c>
      <c r="L85" s="232" t="n">
        <v>1</v>
      </c>
      <c r="M85" s="232" t="n">
        <v>1</v>
      </c>
      <c r="N85" s="232" t="n">
        <v>1.1</v>
      </c>
      <c r="O85" s="232" t="n">
        <v>1.35</v>
      </c>
      <c r="P85" s="232" t="n">
        <v>1.05</v>
      </c>
      <c r="Q85" s="252" t="n">
        <v>0.325</v>
      </c>
      <c r="R85" s="252" t="n">
        <v>0</v>
      </c>
      <c r="S85" s="233" t="n">
        <v>-0.0575</v>
      </c>
      <c r="T85" s="233" t="n">
        <v>0.005</v>
      </c>
      <c r="U85" s="233" t="n">
        <v>-0.12</v>
      </c>
      <c r="V85" s="233" t="n">
        <v>0.01</v>
      </c>
      <c r="W85" s="233" t="n">
        <v>-0.12</v>
      </c>
      <c r="X85" s="233" t="n">
        <v>0.01</v>
      </c>
      <c r="Y85" s="233" t="n">
        <v>0.225</v>
      </c>
      <c r="Z85" s="233" t="n">
        <v>0</v>
      </c>
      <c r="AA85" s="233" t="n">
        <v>0.225</v>
      </c>
      <c r="AB85" s="233" t="n">
        <v>0</v>
      </c>
      <c r="AC85" s="233" t="n">
        <v>0.27</v>
      </c>
      <c r="AD85" s="233" t="n">
        <v>0.03</v>
      </c>
      <c r="AE85" s="233" t="n">
        <v>0.175</v>
      </c>
      <c r="AF85" s="233" t="n">
        <v>0.02</v>
      </c>
      <c r="AG85" s="233" t="n">
        <v>0.475</v>
      </c>
      <c r="AH85" s="233" t="n">
        <v>0</v>
      </c>
      <c r="AI85" s="233" t="n">
        <v>0.275</v>
      </c>
      <c r="AJ85" s="233" t="n">
        <v>0</v>
      </c>
      <c r="AK85" s="233" t="n">
        <v>-0.395</v>
      </c>
      <c r="AL85" s="233" t="n">
        <v>0.0054500544206268</v>
      </c>
      <c r="AM85" s="233" t="n">
        <v>0.14</v>
      </c>
      <c r="AN85" s="233" t="n">
        <v>1.54804325770927</v>
      </c>
      <c r="AO85" s="233" t="n">
        <v>0.235</v>
      </c>
      <c r="AP85" s="233" t="n">
        <v>0.265</v>
      </c>
      <c r="AQ85" s="233" t="n">
        <v>0.265</v>
      </c>
      <c r="AR85" s="233" t="n">
        <f aca="false">1/AN85</f>
        <v>0.645976780700404</v>
      </c>
      <c r="AT85" s="253" t="n">
        <f aca="false">AR85*AM85*$AT$6</f>
        <v>0.0954158349674104</v>
      </c>
      <c r="AU85" s="253" t="n">
        <f aca="false">AK85+AL85+AT85</f>
        <v>-0.294134110611963</v>
      </c>
      <c r="AV85" s="233" t="n">
        <f aca="false">[10]Sheet1!AA76</f>
        <v>0.201071428571429</v>
      </c>
      <c r="AW85" s="233" t="n">
        <v>0</v>
      </c>
    </row>
    <row r="86" customFormat="false" ht="11.25" hidden="false" customHeight="false" outlineLevel="0" collapsed="false">
      <c r="A86" s="233"/>
      <c r="B86" s="233"/>
      <c r="C86" s="231" t="e">
        <f aca="false">NextMonth(C85)</f>
        <v>#VALUE!</v>
      </c>
      <c r="D86" s="252" t="n">
        <v>0.0591100443960557</v>
      </c>
      <c r="E86" s="232" t="n">
        <v>4.225</v>
      </c>
      <c r="F86" s="232" t="n">
        <v>0.2275</v>
      </c>
      <c r="G86" s="232" t="n">
        <v>0.228</v>
      </c>
      <c r="H86" s="232" t="n">
        <v>0.228</v>
      </c>
      <c r="I86" s="232" t="n">
        <v>0.234</v>
      </c>
      <c r="J86" s="232" t="n">
        <v>0.228</v>
      </c>
      <c r="K86" s="233" t="n">
        <v>0.228</v>
      </c>
      <c r="L86" s="232" t="n">
        <v>0.75</v>
      </c>
      <c r="M86" s="232" t="n">
        <v>0.75</v>
      </c>
      <c r="N86" s="232" t="n">
        <v>0.75</v>
      </c>
      <c r="O86" s="232" t="n">
        <v>0.95</v>
      </c>
      <c r="P86" s="232" t="n">
        <v>0.75</v>
      </c>
      <c r="Q86" s="252" t="n">
        <v>0.325</v>
      </c>
      <c r="R86" s="252" t="n">
        <v>0</v>
      </c>
      <c r="S86" s="233" t="n">
        <v>-0.0575</v>
      </c>
      <c r="T86" s="233" t="n">
        <v>0.005</v>
      </c>
      <c r="U86" s="233" t="n">
        <v>-0.1225</v>
      </c>
      <c r="V86" s="233" t="n">
        <v>0.01</v>
      </c>
      <c r="W86" s="233" t="n">
        <v>-0.1225</v>
      </c>
      <c r="X86" s="233" t="n">
        <v>0.01</v>
      </c>
      <c r="Y86" s="233" t="n">
        <v>0.225</v>
      </c>
      <c r="Z86" s="233" t="n">
        <v>0</v>
      </c>
      <c r="AA86" s="233" t="n">
        <v>0.225</v>
      </c>
      <c r="AB86" s="233" t="n">
        <v>0</v>
      </c>
      <c r="AC86" s="233" t="n">
        <v>0.24</v>
      </c>
      <c r="AD86" s="233" t="n">
        <v>0.03</v>
      </c>
      <c r="AE86" s="233" t="n">
        <v>0.175</v>
      </c>
      <c r="AF86" s="233" t="n">
        <v>0.02</v>
      </c>
      <c r="AG86" s="233" t="n">
        <v>0.475</v>
      </c>
      <c r="AH86" s="233" t="n">
        <v>0</v>
      </c>
      <c r="AI86" s="233" t="n">
        <v>0.275</v>
      </c>
      <c r="AJ86" s="233" t="n">
        <v>0</v>
      </c>
      <c r="AK86" s="233" t="n">
        <v>-0.395</v>
      </c>
      <c r="AL86" s="233" t="n">
        <v>0.0054511956670067</v>
      </c>
      <c r="AM86" s="233" t="n">
        <v>0.14</v>
      </c>
      <c r="AN86" s="233" t="n">
        <v>1.54771916390091</v>
      </c>
      <c r="AO86" s="233" t="n">
        <v>0.228</v>
      </c>
      <c r="AP86" s="233" t="n">
        <v>0.265</v>
      </c>
      <c r="AQ86" s="233" t="n">
        <v>0.265</v>
      </c>
      <c r="AR86" s="233" t="n">
        <f aca="false">1/AN86</f>
        <v>0.646112048829049</v>
      </c>
      <c r="AT86" s="253" t="n">
        <f aca="false">AR86*AM86*$AT$6</f>
        <v>0.0954358151305134</v>
      </c>
      <c r="AU86" s="253" t="n">
        <f aca="false">AK86+AL86+AT86</f>
        <v>-0.29411298920248</v>
      </c>
      <c r="AV86" s="233" t="n">
        <f aca="false">[10]Sheet1!AA77</f>
        <v>0.201071428571429</v>
      </c>
      <c r="AW86" s="233" t="n">
        <v>0</v>
      </c>
    </row>
    <row r="87" customFormat="false" ht="11.25" hidden="false" customHeight="false" outlineLevel="0" collapsed="false">
      <c r="A87" s="233"/>
      <c r="B87" s="233"/>
      <c r="C87" s="231" t="e">
        <f aca="false">NextMonth(C86)</f>
        <v>#VALUE!</v>
      </c>
      <c r="D87" s="252" t="n">
        <v>0.0592381510876279</v>
      </c>
      <c r="E87" s="232" t="n">
        <v>4.05</v>
      </c>
      <c r="F87" s="232" t="n">
        <v>0.2275</v>
      </c>
      <c r="G87" s="232" t="n">
        <v>0.228</v>
      </c>
      <c r="H87" s="232" t="n">
        <v>0.228</v>
      </c>
      <c r="I87" s="232" t="n">
        <v>0.234</v>
      </c>
      <c r="J87" s="232" t="n">
        <v>0.228</v>
      </c>
      <c r="K87" s="233" t="n">
        <v>0.228</v>
      </c>
      <c r="L87" s="232" t="n">
        <v>0.4</v>
      </c>
      <c r="M87" s="232" t="n">
        <v>0.4</v>
      </c>
      <c r="N87" s="232" t="n">
        <v>0.45</v>
      </c>
      <c r="O87" s="232" t="n">
        <v>0.5</v>
      </c>
      <c r="P87" s="232" t="n">
        <v>0.45</v>
      </c>
      <c r="Q87" s="252" t="n">
        <v>0.21</v>
      </c>
      <c r="R87" s="252" t="n">
        <v>0</v>
      </c>
      <c r="S87" s="233" t="n">
        <v>-0.055</v>
      </c>
      <c r="T87" s="233" t="n">
        <v>0</v>
      </c>
      <c r="U87" s="233" t="n">
        <v>-0.12</v>
      </c>
      <c r="V87" s="233" t="n">
        <v>-0.01</v>
      </c>
      <c r="W87" s="233" t="n">
        <v>-0.12</v>
      </c>
      <c r="X87" s="233" t="n">
        <v>-0.01</v>
      </c>
      <c r="Y87" s="233" t="n">
        <v>0.15</v>
      </c>
      <c r="Z87" s="233" t="n">
        <v>0</v>
      </c>
      <c r="AA87" s="233" t="n">
        <v>0.15</v>
      </c>
      <c r="AB87" s="233" t="n">
        <v>0</v>
      </c>
      <c r="AC87" s="233" t="n">
        <v>0.17</v>
      </c>
      <c r="AD87" s="233" t="n">
        <v>0.0175</v>
      </c>
      <c r="AE87" s="233" t="n">
        <v>0.09</v>
      </c>
      <c r="AF87" s="233" t="n">
        <v>0.005</v>
      </c>
      <c r="AG87" s="233" t="n">
        <v>0.235</v>
      </c>
      <c r="AH87" s="233" t="n">
        <v>0</v>
      </c>
      <c r="AI87" s="233" t="n">
        <v>0.18</v>
      </c>
      <c r="AJ87" s="233" t="n">
        <v>0</v>
      </c>
      <c r="AK87" s="233" t="n">
        <v>-0.5</v>
      </c>
      <c r="AL87" s="233" t="n">
        <v>0.0017039031209995</v>
      </c>
      <c r="AM87" s="233" t="n">
        <v>0.14</v>
      </c>
      <c r="AN87" s="233" t="n">
        <v>1.54735176402125</v>
      </c>
      <c r="AO87" s="233" t="n">
        <v>0.228</v>
      </c>
      <c r="AP87" s="233" t="n">
        <v>0.17</v>
      </c>
      <c r="AQ87" s="233" t="n">
        <v>0.17</v>
      </c>
      <c r="AR87" s="233" t="n">
        <f aca="false">1/AN87</f>
        <v>0.646265460286293</v>
      </c>
      <c r="AT87" s="253" t="n">
        <f aca="false">AR87*AM87*$AT$6</f>
        <v>0.0954584752054941</v>
      </c>
      <c r="AU87" s="253" t="n">
        <f aca="false">AK87+AL87+AT87</f>
        <v>-0.402837621673506</v>
      </c>
      <c r="AV87" s="233" t="n">
        <f aca="false">[10]Sheet1!AA78</f>
        <v>0.152</v>
      </c>
      <c r="AW87" s="233" t="n">
        <v>0</v>
      </c>
    </row>
    <row r="88" customFormat="false" ht="11.25" hidden="false" customHeight="false" outlineLevel="0" collapsed="false">
      <c r="A88" s="233"/>
      <c r="B88" s="233"/>
      <c r="C88" s="231" t="e">
        <f aca="false">NextMonth(C87)</f>
        <v>#VALUE!</v>
      </c>
      <c r="D88" s="252" t="n">
        <v>0.0593621253104724</v>
      </c>
      <c r="E88" s="232" t="n">
        <v>4.02</v>
      </c>
      <c r="F88" s="232" t="n">
        <v>0.2275</v>
      </c>
      <c r="G88" s="232" t="n">
        <v>0.228</v>
      </c>
      <c r="H88" s="232" t="n">
        <v>0.228</v>
      </c>
      <c r="I88" s="232" t="n">
        <v>0.234</v>
      </c>
      <c r="J88" s="232" t="n">
        <v>0.228</v>
      </c>
      <c r="K88" s="233" t="n">
        <v>0.228</v>
      </c>
      <c r="L88" s="232" t="n">
        <v>0.45</v>
      </c>
      <c r="M88" s="232" t="n">
        <v>0.4</v>
      </c>
      <c r="N88" s="232" t="n">
        <v>0.5</v>
      </c>
      <c r="O88" s="232" t="n">
        <v>0.45</v>
      </c>
      <c r="P88" s="232" t="n">
        <v>0.45</v>
      </c>
      <c r="Q88" s="252" t="n">
        <v>0.21</v>
      </c>
      <c r="R88" s="252" t="n">
        <v>0</v>
      </c>
      <c r="S88" s="233" t="n">
        <v>-0.055</v>
      </c>
      <c r="T88" s="233" t="n">
        <v>0</v>
      </c>
      <c r="U88" s="233" t="n">
        <v>-0.12</v>
      </c>
      <c r="V88" s="233" t="n">
        <v>-0.01</v>
      </c>
      <c r="W88" s="233" t="n">
        <v>-0.12</v>
      </c>
      <c r="X88" s="233" t="n">
        <v>-0.01</v>
      </c>
      <c r="Y88" s="233" t="n">
        <v>0.15</v>
      </c>
      <c r="Z88" s="233" t="n">
        <v>0</v>
      </c>
      <c r="AA88" s="233" t="n">
        <v>0.15</v>
      </c>
      <c r="AB88" s="233" t="n">
        <v>0</v>
      </c>
      <c r="AC88" s="233" t="n">
        <v>0.165</v>
      </c>
      <c r="AD88" s="233" t="n">
        <v>0.01</v>
      </c>
      <c r="AE88" s="233" t="n">
        <v>0.09</v>
      </c>
      <c r="AF88" s="233" t="n">
        <v>0.005</v>
      </c>
      <c r="AG88" s="233" t="n">
        <v>0.235</v>
      </c>
      <c r="AH88" s="233" t="n">
        <v>0</v>
      </c>
      <c r="AI88" s="233" t="n">
        <v>0.18</v>
      </c>
      <c r="AJ88" s="233" t="n">
        <v>0</v>
      </c>
      <c r="AK88" s="233" t="n">
        <v>-0.5</v>
      </c>
      <c r="AL88" s="233" t="n">
        <v>0.0017043041829921</v>
      </c>
      <c r="AM88" s="233" t="n">
        <v>0.14</v>
      </c>
      <c r="AN88" s="233" t="n">
        <v>1.54698763654457</v>
      </c>
      <c r="AO88" s="233" t="n">
        <v>0.228</v>
      </c>
      <c r="AP88" s="233" t="n">
        <v>0.17</v>
      </c>
      <c r="AQ88" s="233" t="n">
        <v>0.17</v>
      </c>
      <c r="AR88" s="233" t="n">
        <f aca="false">1/AN88</f>
        <v>0.646417577217133</v>
      </c>
      <c r="AT88" s="253" t="n">
        <f aca="false">AR88*AM88*$AT$6</f>
        <v>0.095480944068776</v>
      </c>
      <c r="AU88" s="253" t="n">
        <f aca="false">AK88+AL88+AT88</f>
        <v>-0.402814751748232</v>
      </c>
      <c r="AV88" s="233" t="n">
        <f aca="false">[10]Sheet1!AA79</f>
        <v>0.152</v>
      </c>
      <c r="AW88" s="233" t="n">
        <v>0</v>
      </c>
    </row>
    <row r="89" customFormat="false" ht="11.25" hidden="false" customHeight="false" outlineLevel="0" collapsed="false">
      <c r="A89" s="233"/>
      <c r="B89" s="233"/>
      <c r="C89" s="231" t="e">
        <f aca="false">NextMonth(C88)</f>
        <v>#VALUE!</v>
      </c>
      <c r="D89" s="252" t="n">
        <v>0.0594902320127781</v>
      </c>
      <c r="E89" s="232" t="n">
        <v>4.09</v>
      </c>
      <c r="F89" s="232" t="n">
        <v>0.2175</v>
      </c>
      <c r="G89" s="232" t="n">
        <v>0.218</v>
      </c>
      <c r="H89" s="232" t="n">
        <v>0.218</v>
      </c>
      <c r="I89" s="232" t="n">
        <v>0.224</v>
      </c>
      <c r="J89" s="232" t="n">
        <v>0.218</v>
      </c>
      <c r="K89" s="233" t="n">
        <v>0.218</v>
      </c>
      <c r="L89" s="232" t="n">
        <v>0.45</v>
      </c>
      <c r="M89" s="232" t="n">
        <v>0.4</v>
      </c>
      <c r="N89" s="232" t="n">
        <v>0.5</v>
      </c>
      <c r="O89" s="232" t="n">
        <v>0.5</v>
      </c>
      <c r="P89" s="232" t="n">
        <v>0.5</v>
      </c>
      <c r="Q89" s="252" t="n">
        <v>0.21</v>
      </c>
      <c r="R89" s="252" t="n">
        <v>0</v>
      </c>
      <c r="S89" s="233" t="n">
        <v>-0.055</v>
      </c>
      <c r="T89" s="233" t="n">
        <v>0</v>
      </c>
      <c r="U89" s="233" t="n">
        <v>-0.12</v>
      </c>
      <c r="V89" s="233" t="n">
        <v>-0.01</v>
      </c>
      <c r="W89" s="233" t="n">
        <v>-0.12</v>
      </c>
      <c r="X89" s="233" t="n">
        <v>-0.01</v>
      </c>
      <c r="Y89" s="233" t="n">
        <v>0.15</v>
      </c>
      <c r="Z89" s="233" t="n">
        <v>0</v>
      </c>
      <c r="AA89" s="233" t="n">
        <v>0.15</v>
      </c>
      <c r="AB89" s="233" t="n">
        <v>0</v>
      </c>
      <c r="AC89" s="233" t="n">
        <v>0.17</v>
      </c>
      <c r="AD89" s="233" t="n">
        <v>0.0125</v>
      </c>
      <c r="AE89" s="233" t="n">
        <v>0.09</v>
      </c>
      <c r="AF89" s="233" t="n">
        <v>0.005</v>
      </c>
      <c r="AG89" s="233" t="n">
        <v>0.235</v>
      </c>
      <c r="AH89" s="233" t="n">
        <v>0</v>
      </c>
      <c r="AI89" s="233" t="n">
        <v>0.18</v>
      </c>
      <c r="AJ89" s="233" t="n">
        <v>0</v>
      </c>
      <c r="AK89" s="233" t="n">
        <v>-0.5</v>
      </c>
      <c r="AL89" s="233" t="n">
        <v>0.0017047285749584</v>
      </c>
      <c r="AM89" s="233" t="n">
        <v>0.14</v>
      </c>
      <c r="AN89" s="233" t="n">
        <v>1.54660251416522</v>
      </c>
      <c r="AO89" s="233" t="n">
        <v>0.218</v>
      </c>
      <c r="AP89" s="233" t="n">
        <v>0.17</v>
      </c>
      <c r="AQ89" s="233" t="n">
        <v>0.17</v>
      </c>
      <c r="AR89" s="233" t="n">
        <f aca="false">1/AN89</f>
        <v>0.64657854286481</v>
      </c>
      <c r="AT89" s="253" t="n">
        <f aca="false">AR89*AM89*$AT$6</f>
        <v>0.0955047199569085</v>
      </c>
      <c r="AU89" s="253" t="n">
        <f aca="false">AK89+AL89+AT89</f>
        <v>-0.402790551468133</v>
      </c>
      <c r="AV89" s="233" t="n">
        <f aca="false">[10]Sheet1!AA80</f>
        <v>0.152</v>
      </c>
      <c r="AW89" s="233" t="n">
        <v>0</v>
      </c>
    </row>
    <row r="90" customFormat="false" ht="11.25" hidden="false" customHeight="false" outlineLevel="0" collapsed="false">
      <c r="A90" s="233"/>
      <c r="B90" s="233"/>
      <c r="C90" s="231" t="e">
        <f aca="false">NextMonth(C89)</f>
        <v>#VALUE!</v>
      </c>
      <c r="D90" s="252" t="n">
        <v>0.059614206246009</v>
      </c>
      <c r="E90" s="232" t="n">
        <v>4.145</v>
      </c>
      <c r="F90" s="232" t="n">
        <v>0.2175</v>
      </c>
      <c r="G90" s="232" t="n">
        <v>0.218</v>
      </c>
      <c r="H90" s="232" t="n">
        <v>0.218</v>
      </c>
      <c r="I90" s="232" t="n">
        <v>0.224</v>
      </c>
      <c r="J90" s="232" t="n">
        <v>0.218</v>
      </c>
      <c r="K90" s="233" t="n">
        <v>0.218</v>
      </c>
      <c r="L90" s="232" t="n">
        <v>0.5</v>
      </c>
      <c r="M90" s="232" t="n">
        <v>0.4</v>
      </c>
      <c r="N90" s="232" t="n">
        <v>0.55</v>
      </c>
      <c r="O90" s="232" t="n">
        <v>0.5</v>
      </c>
      <c r="P90" s="232" t="n">
        <v>0.5</v>
      </c>
      <c r="Q90" s="252" t="n">
        <v>0.21</v>
      </c>
      <c r="R90" s="252" t="n">
        <v>0</v>
      </c>
      <c r="S90" s="233" t="n">
        <v>-0.055</v>
      </c>
      <c r="T90" s="233" t="n">
        <v>0</v>
      </c>
      <c r="U90" s="233" t="n">
        <v>-0.12</v>
      </c>
      <c r="V90" s="233" t="n">
        <v>-0.01</v>
      </c>
      <c r="W90" s="233" t="n">
        <v>-0.12</v>
      </c>
      <c r="X90" s="233" t="n">
        <v>-0.01</v>
      </c>
      <c r="Y90" s="233" t="n">
        <v>0.15</v>
      </c>
      <c r="Z90" s="233" t="n">
        <v>0</v>
      </c>
      <c r="AA90" s="233" t="n">
        <v>0.15</v>
      </c>
      <c r="AB90" s="233" t="n">
        <v>0</v>
      </c>
      <c r="AC90" s="233" t="n">
        <v>0.175</v>
      </c>
      <c r="AD90" s="233" t="n">
        <v>0.0125</v>
      </c>
      <c r="AE90" s="233" t="n">
        <v>0.09</v>
      </c>
      <c r="AF90" s="233" t="n">
        <v>0.005</v>
      </c>
      <c r="AG90" s="233" t="n">
        <v>0.235</v>
      </c>
      <c r="AH90" s="233" t="n">
        <v>0</v>
      </c>
      <c r="AI90" s="233" t="n">
        <v>0.18</v>
      </c>
      <c r="AJ90" s="233" t="n">
        <v>0</v>
      </c>
      <c r="AK90" s="233" t="n">
        <v>-0.5</v>
      </c>
      <c r="AL90" s="233" t="n">
        <v>0.0017051489222723</v>
      </c>
      <c r="AM90" s="233" t="n">
        <v>0.14</v>
      </c>
      <c r="AN90" s="233" t="n">
        <v>1.54622125115405</v>
      </c>
      <c r="AO90" s="233" t="n">
        <v>0.218</v>
      </c>
      <c r="AP90" s="233" t="n">
        <v>0.17</v>
      </c>
      <c r="AQ90" s="233" t="n">
        <v>0.17</v>
      </c>
      <c r="AR90" s="233" t="n">
        <f aca="false">1/AN90</f>
        <v>0.64673797443518</v>
      </c>
      <c r="AT90" s="253" t="n">
        <f aca="false">AR90*AM90*$AT$6</f>
        <v>0.0955282692497957</v>
      </c>
      <c r="AU90" s="253" t="n">
        <f aca="false">AK90+AL90+AT90</f>
        <v>-0.402766581827932</v>
      </c>
      <c r="AV90" s="233" t="n">
        <f aca="false">[10]Sheet1!AA81</f>
        <v>0.152</v>
      </c>
      <c r="AW90" s="233" t="n">
        <v>0</v>
      </c>
    </row>
    <row r="91" customFormat="false" ht="11.25" hidden="false" customHeight="false" outlineLevel="0" collapsed="false">
      <c r="A91" s="233"/>
      <c r="B91" s="233"/>
      <c r="C91" s="231" t="e">
        <f aca="false">NextMonth(C90)</f>
        <v>#VALUE!</v>
      </c>
      <c r="D91" s="252" t="n">
        <v>0.0597423129590471</v>
      </c>
      <c r="E91" s="232" t="n">
        <v>4.201</v>
      </c>
      <c r="F91" s="232" t="n">
        <v>0.2175</v>
      </c>
      <c r="G91" s="232" t="n">
        <v>0.218</v>
      </c>
      <c r="H91" s="232" t="n">
        <v>0.218</v>
      </c>
      <c r="I91" s="232" t="n">
        <v>0.224</v>
      </c>
      <c r="J91" s="232" t="n">
        <v>0.218</v>
      </c>
      <c r="K91" s="233" t="n">
        <v>0.218</v>
      </c>
      <c r="L91" s="232" t="n">
        <v>0.55</v>
      </c>
      <c r="M91" s="232" t="n">
        <v>0.5</v>
      </c>
      <c r="N91" s="232" t="n">
        <v>0.6</v>
      </c>
      <c r="O91" s="232" t="n">
        <v>0.45</v>
      </c>
      <c r="P91" s="232" t="n">
        <v>0.55</v>
      </c>
      <c r="Q91" s="252" t="n">
        <v>0.21</v>
      </c>
      <c r="R91" s="252" t="n">
        <v>0</v>
      </c>
      <c r="S91" s="233" t="n">
        <v>-0.055</v>
      </c>
      <c r="T91" s="233" t="n">
        <v>0</v>
      </c>
      <c r="U91" s="233" t="n">
        <v>-0.12</v>
      </c>
      <c r="V91" s="233" t="n">
        <v>-0.01</v>
      </c>
      <c r="W91" s="233" t="n">
        <v>-0.12</v>
      </c>
      <c r="X91" s="233" t="n">
        <v>-0.01</v>
      </c>
      <c r="Y91" s="233" t="n">
        <v>0.15</v>
      </c>
      <c r="Z91" s="233" t="n">
        <v>0</v>
      </c>
      <c r="AA91" s="233" t="n">
        <v>0.15</v>
      </c>
      <c r="AB91" s="233" t="n">
        <v>0</v>
      </c>
      <c r="AC91" s="233" t="n">
        <v>0.175</v>
      </c>
      <c r="AD91" s="233" t="n">
        <v>0.0125</v>
      </c>
      <c r="AE91" s="233" t="n">
        <v>0.09</v>
      </c>
      <c r="AF91" s="233" t="n">
        <v>0.005</v>
      </c>
      <c r="AG91" s="233" t="n">
        <v>0.235</v>
      </c>
      <c r="AH91" s="233" t="n">
        <v>0</v>
      </c>
      <c r="AI91" s="233" t="n">
        <v>0.18</v>
      </c>
      <c r="AJ91" s="233" t="n">
        <v>0</v>
      </c>
      <c r="AK91" s="233" t="n">
        <v>-0.5</v>
      </c>
      <c r="AL91" s="233" t="n">
        <v>0.0017055932540065</v>
      </c>
      <c r="AM91" s="233" t="n">
        <v>0.14</v>
      </c>
      <c r="AN91" s="233" t="n">
        <v>1.54581843813383</v>
      </c>
      <c r="AO91" s="233" t="n">
        <v>0.218</v>
      </c>
      <c r="AP91" s="233" t="n">
        <v>0.17</v>
      </c>
      <c r="AQ91" s="233" t="n">
        <v>0.17</v>
      </c>
      <c r="AR91" s="233" t="n">
        <f aca="false">1/AN91</f>
        <v>0.646906502944316</v>
      </c>
      <c r="AT91" s="253" t="n">
        <f aca="false">AR91*AM91*$AT$6</f>
        <v>0.0955531622318585</v>
      </c>
      <c r="AU91" s="253" t="n">
        <f aca="false">AK91+AL91+AT91</f>
        <v>-0.402741244514135</v>
      </c>
      <c r="AV91" s="233" t="n">
        <f aca="false">[10]Sheet1!AA82</f>
        <v>0.152</v>
      </c>
      <c r="AW91" s="233" t="n">
        <v>0</v>
      </c>
    </row>
    <row r="92" customFormat="false" ht="11.25" hidden="false" customHeight="false" outlineLevel="0" collapsed="false">
      <c r="A92" s="233"/>
      <c r="B92" s="233"/>
      <c r="C92" s="231" t="e">
        <f aca="false">NextMonth(C91)</f>
        <v>#VALUE!</v>
      </c>
      <c r="D92" s="252" t="n">
        <v>0.0598704196775386</v>
      </c>
      <c r="E92" s="232" t="n">
        <v>4.215</v>
      </c>
      <c r="F92" s="232" t="n">
        <v>0.2175</v>
      </c>
      <c r="G92" s="232" t="n">
        <v>0.218</v>
      </c>
      <c r="H92" s="232" t="n">
        <v>0.218</v>
      </c>
      <c r="I92" s="232" t="n">
        <v>0.224</v>
      </c>
      <c r="J92" s="232" t="n">
        <v>0.218</v>
      </c>
      <c r="K92" s="233" t="n">
        <v>0.218</v>
      </c>
      <c r="L92" s="232" t="n">
        <v>0.55</v>
      </c>
      <c r="M92" s="232" t="n">
        <v>0.55</v>
      </c>
      <c r="N92" s="232" t="n">
        <v>0.6</v>
      </c>
      <c r="O92" s="232" t="n">
        <v>0.5</v>
      </c>
      <c r="P92" s="232" t="n">
        <v>0.6</v>
      </c>
      <c r="Q92" s="252" t="n">
        <v>0.21</v>
      </c>
      <c r="R92" s="252" t="n">
        <v>0</v>
      </c>
      <c r="S92" s="233" t="n">
        <v>-0.055</v>
      </c>
      <c r="T92" s="233" t="n">
        <v>0</v>
      </c>
      <c r="U92" s="233" t="n">
        <v>-0.12</v>
      </c>
      <c r="V92" s="233" t="n">
        <v>-0.01</v>
      </c>
      <c r="W92" s="233" t="n">
        <v>-0.12</v>
      </c>
      <c r="X92" s="233" t="n">
        <v>-0.01</v>
      </c>
      <c r="Y92" s="233" t="n">
        <v>0.15</v>
      </c>
      <c r="Z92" s="233" t="n">
        <v>0</v>
      </c>
      <c r="AA92" s="233" t="n">
        <v>0.15</v>
      </c>
      <c r="AB92" s="233" t="n">
        <v>0</v>
      </c>
      <c r="AC92" s="233" t="n">
        <v>0.165</v>
      </c>
      <c r="AD92" s="233" t="n">
        <v>0.0125</v>
      </c>
      <c r="AE92" s="233" t="n">
        <v>0.09</v>
      </c>
      <c r="AF92" s="233" t="n">
        <v>0.005</v>
      </c>
      <c r="AG92" s="233" t="n">
        <v>0.235</v>
      </c>
      <c r="AH92" s="233" t="n">
        <v>0</v>
      </c>
      <c r="AI92" s="233" t="n">
        <v>0.18</v>
      </c>
      <c r="AJ92" s="233" t="n">
        <v>0</v>
      </c>
      <c r="AK92" s="233" t="n">
        <v>-0.5</v>
      </c>
      <c r="AL92" s="233" t="n">
        <v>0.0017060477282643</v>
      </c>
      <c r="AM92" s="233" t="n">
        <v>0.14</v>
      </c>
      <c r="AN92" s="233" t="n">
        <v>1.54540664737572</v>
      </c>
      <c r="AO92" s="233" t="n">
        <v>0.218</v>
      </c>
      <c r="AP92" s="233" t="n">
        <v>0.17</v>
      </c>
      <c r="AQ92" s="233" t="n">
        <v>0.17</v>
      </c>
      <c r="AR92" s="233" t="n">
        <f aca="false">1/AN92</f>
        <v>0.647078878363903</v>
      </c>
      <c r="AT92" s="253" t="n">
        <f aca="false">AR92*AM92*$AT$6</f>
        <v>0.0955786234327548</v>
      </c>
      <c r="AU92" s="253" t="n">
        <f aca="false">AK92+AL92+AT92</f>
        <v>-0.402715328838981</v>
      </c>
      <c r="AV92" s="233" t="n">
        <f aca="false">[10]Sheet1!AA83</f>
        <v>0.152</v>
      </c>
      <c r="AW92" s="233" t="n">
        <v>0</v>
      </c>
    </row>
    <row r="93" customFormat="false" ht="11.25" hidden="false" customHeight="false" outlineLevel="0" collapsed="false">
      <c r="A93" s="233"/>
      <c r="B93" s="233"/>
      <c r="C93" s="231" t="e">
        <f aca="false">NextMonth(C92)</f>
        <v>#VALUE!</v>
      </c>
      <c r="D93" s="252" t="n">
        <v>0.0599943939264325</v>
      </c>
      <c r="E93" s="232" t="n">
        <v>4.246</v>
      </c>
      <c r="F93" s="232" t="n">
        <v>0.2175</v>
      </c>
      <c r="G93" s="232" t="n">
        <v>0.218</v>
      </c>
      <c r="H93" s="232" t="n">
        <v>0.218</v>
      </c>
      <c r="I93" s="232" t="n">
        <v>0.224</v>
      </c>
      <c r="J93" s="232" t="n">
        <v>0.218</v>
      </c>
      <c r="K93" s="233" t="n">
        <v>0.218</v>
      </c>
      <c r="L93" s="232" t="n">
        <v>0.6</v>
      </c>
      <c r="M93" s="232" t="n">
        <v>0.55</v>
      </c>
      <c r="N93" s="232" t="n">
        <v>0.65</v>
      </c>
      <c r="O93" s="232" t="n">
        <v>0.5</v>
      </c>
      <c r="P93" s="232" t="n">
        <v>0.65</v>
      </c>
      <c r="Q93" s="252" t="n">
        <v>0.21</v>
      </c>
      <c r="R93" s="252" t="n">
        <v>0</v>
      </c>
      <c r="S93" s="233" t="n">
        <v>-0.055</v>
      </c>
      <c r="T93" s="233" t="n">
        <v>0</v>
      </c>
      <c r="U93" s="233" t="n">
        <v>-0.12</v>
      </c>
      <c r="V93" s="233" t="n">
        <v>-0.01</v>
      </c>
      <c r="W93" s="233" t="n">
        <v>-0.12</v>
      </c>
      <c r="X93" s="233" t="n">
        <v>-0.01</v>
      </c>
      <c r="Y93" s="233" t="n">
        <v>0.15</v>
      </c>
      <c r="Z93" s="233" t="n">
        <v>0</v>
      </c>
      <c r="AA93" s="233" t="n">
        <v>0.15</v>
      </c>
      <c r="AB93" s="233" t="n">
        <v>0</v>
      </c>
      <c r="AC93" s="233" t="n">
        <v>0.1725</v>
      </c>
      <c r="AD93" s="233" t="n">
        <v>0.0125</v>
      </c>
      <c r="AE93" s="233" t="n">
        <v>0.09</v>
      </c>
      <c r="AF93" s="233" t="n">
        <v>0.005</v>
      </c>
      <c r="AG93" s="233" t="n">
        <v>0.235</v>
      </c>
      <c r="AH93" s="233" t="n">
        <v>0</v>
      </c>
      <c r="AI93" s="233" t="n">
        <v>0.18</v>
      </c>
      <c r="AJ93" s="233" t="n">
        <v>0</v>
      </c>
      <c r="AK93" s="233" t="n">
        <v>-0.5</v>
      </c>
      <c r="AL93" s="233" t="n">
        <v>0.0017064972051571</v>
      </c>
      <c r="AM93" s="233" t="n">
        <v>0.14</v>
      </c>
      <c r="AN93" s="233" t="n">
        <v>1.54499960036983</v>
      </c>
      <c r="AO93" s="233" t="n">
        <v>0.218</v>
      </c>
      <c r="AP93" s="233" t="n">
        <v>0.17</v>
      </c>
      <c r="AQ93" s="233" t="n">
        <v>0.17</v>
      </c>
      <c r="AR93" s="233" t="n">
        <f aca="false">1/AN93</f>
        <v>0.647249358356227</v>
      </c>
      <c r="AT93" s="253" t="n">
        <f aca="false">AR93*AM93*$AT$6</f>
        <v>0.0956038046641843</v>
      </c>
      <c r="AU93" s="253" t="n">
        <f aca="false">AK93+AL93+AT93</f>
        <v>-0.402689698130659</v>
      </c>
      <c r="AV93" s="233" t="n">
        <f aca="false">[10]Sheet1!AA84</f>
        <v>0.152</v>
      </c>
      <c r="AW93" s="233" t="n">
        <v>0</v>
      </c>
    </row>
    <row r="94" customFormat="false" ht="11.25" hidden="false" customHeight="false" outlineLevel="0" collapsed="false">
      <c r="A94" s="233"/>
      <c r="B94" s="233"/>
      <c r="C94" s="231" t="e">
        <f aca="false">NextMonth(C93)</f>
        <v>#VALUE!</v>
      </c>
      <c r="D94" s="252" t="n">
        <v>0.0601225006556545</v>
      </c>
      <c r="E94" s="232" t="n">
        <v>4.379</v>
      </c>
      <c r="F94" s="232" t="n">
        <v>0.2175</v>
      </c>
      <c r="G94" s="232" t="n">
        <v>0.218</v>
      </c>
      <c r="H94" s="232" t="n">
        <v>0.218</v>
      </c>
      <c r="I94" s="232" t="n">
        <v>0.224</v>
      </c>
      <c r="J94" s="232" t="n">
        <v>0.218</v>
      </c>
      <c r="K94" s="233" t="n">
        <v>0.218</v>
      </c>
      <c r="L94" s="232" t="n">
        <v>0.8</v>
      </c>
      <c r="M94" s="232" t="n">
        <v>0.8</v>
      </c>
      <c r="N94" s="232" t="n">
        <v>0.8</v>
      </c>
      <c r="O94" s="232" t="n">
        <v>0.95</v>
      </c>
      <c r="P94" s="232" t="n">
        <v>0.85</v>
      </c>
      <c r="Q94" s="252" t="n">
        <v>0.325</v>
      </c>
      <c r="R94" s="252" t="n">
        <v>0</v>
      </c>
      <c r="S94" s="233" t="n">
        <v>-0.055</v>
      </c>
      <c r="T94" s="233" t="n">
        <v>0.005</v>
      </c>
      <c r="U94" s="233" t="n">
        <v>-0.1225</v>
      </c>
      <c r="V94" s="233" t="n">
        <v>0.01</v>
      </c>
      <c r="W94" s="233" t="n">
        <v>-0.1225</v>
      </c>
      <c r="X94" s="233" t="n">
        <v>0.01</v>
      </c>
      <c r="Y94" s="233" t="n">
        <v>0.225</v>
      </c>
      <c r="Z94" s="233" t="n">
        <v>0</v>
      </c>
      <c r="AA94" s="233" t="n">
        <v>0.225</v>
      </c>
      <c r="AB94" s="233" t="n">
        <v>0</v>
      </c>
      <c r="AC94" s="233" t="n">
        <v>0.24</v>
      </c>
      <c r="AD94" s="233" t="n">
        <v>0.03</v>
      </c>
      <c r="AE94" s="233" t="n">
        <v>0.175</v>
      </c>
      <c r="AF94" s="233" t="n">
        <v>0.02</v>
      </c>
      <c r="AG94" s="233" t="n">
        <v>0.455</v>
      </c>
      <c r="AH94" s="233" t="n">
        <v>0</v>
      </c>
      <c r="AI94" s="233" t="n">
        <v>0.275</v>
      </c>
      <c r="AJ94" s="233" t="n">
        <v>0</v>
      </c>
      <c r="AK94" s="233" t="n">
        <v>-0.435</v>
      </c>
      <c r="AL94" s="233" t="n">
        <v>0.0054623092999937</v>
      </c>
      <c r="AM94" s="233" t="n">
        <v>0.13</v>
      </c>
      <c r="AN94" s="233" t="n">
        <v>1.54457016925235</v>
      </c>
      <c r="AO94" s="233" t="n">
        <v>0.218</v>
      </c>
      <c r="AP94" s="233" t="n">
        <v>0.265</v>
      </c>
      <c r="AQ94" s="233" t="n">
        <v>0.265</v>
      </c>
      <c r="AR94" s="233" t="n">
        <f aca="false">1/AN94</f>
        <v>0.647429310695577</v>
      </c>
      <c r="AT94" s="253" t="n">
        <f aca="false">AR94*AM94*$AT$6</f>
        <v>0.0887996432472803</v>
      </c>
      <c r="AU94" s="253" t="n">
        <f aca="false">AK94+AL94+AT94</f>
        <v>-0.340738047452726</v>
      </c>
      <c r="AV94" s="233" t="n">
        <f aca="false">[10]Sheet1!AA85</f>
        <v>0.198571428571429</v>
      </c>
      <c r="AW94" s="233" t="n">
        <v>0</v>
      </c>
    </row>
    <row r="95" customFormat="false" ht="11.25" hidden="false" customHeight="false" outlineLevel="0" collapsed="false">
      <c r="A95" s="233"/>
      <c r="B95" s="233"/>
      <c r="C95" s="231" t="e">
        <f aca="false">NextMonth(C94)</f>
        <v>#VALUE!</v>
      </c>
      <c r="D95" s="252" t="n">
        <v>0.0602464749149316</v>
      </c>
      <c r="E95" s="232" t="n">
        <v>4.517</v>
      </c>
      <c r="F95" s="232" t="n">
        <v>0.2175</v>
      </c>
      <c r="G95" s="232" t="n">
        <v>0.218</v>
      </c>
      <c r="H95" s="232" t="n">
        <v>0.218</v>
      </c>
      <c r="I95" s="232" t="n">
        <v>0.224</v>
      </c>
      <c r="J95" s="232" t="n">
        <v>0.218</v>
      </c>
      <c r="K95" s="233" t="n">
        <v>0.218</v>
      </c>
      <c r="L95" s="232" t="n">
        <v>1</v>
      </c>
      <c r="M95" s="232" t="n">
        <v>1</v>
      </c>
      <c r="N95" s="232" t="n">
        <v>1.1</v>
      </c>
      <c r="O95" s="232" t="n">
        <v>1.35</v>
      </c>
      <c r="P95" s="232" t="n">
        <v>1.05</v>
      </c>
      <c r="Q95" s="252" t="n">
        <v>0.325</v>
      </c>
      <c r="R95" s="252" t="n">
        <v>0</v>
      </c>
      <c r="S95" s="233" t="n">
        <v>-0.055</v>
      </c>
      <c r="T95" s="233" t="n">
        <v>0.005</v>
      </c>
      <c r="U95" s="233" t="n">
        <v>-0.1175</v>
      </c>
      <c r="V95" s="233" t="n">
        <v>0.01</v>
      </c>
      <c r="W95" s="233" t="n">
        <v>-0.1175</v>
      </c>
      <c r="X95" s="233" t="n">
        <v>0.01</v>
      </c>
      <c r="Y95" s="233" t="n">
        <v>0.225</v>
      </c>
      <c r="Z95" s="233" t="n">
        <v>0</v>
      </c>
      <c r="AA95" s="233" t="n">
        <v>0.225</v>
      </c>
      <c r="AB95" s="233" t="n">
        <v>0</v>
      </c>
      <c r="AC95" s="233" t="n">
        <v>0.26</v>
      </c>
      <c r="AD95" s="233" t="n">
        <v>0.03</v>
      </c>
      <c r="AE95" s="233" t="n">
        <v>0.175</v>
      </c>
      <c r="AF95" s="233" t="n">
        <v>0.02</v>
      </c>
      <c r="AG95" s="233" t="n">
        <v>0.455</v>
      </c>
      <c r="AH95" s="233" t="n">
        <v>0</v>
      </c>
      <c r="AI95" s="233" t="n">
        <v>0.275</v>
      </c>
      <c r="AJ95" s="233" t="n">
        <v>0</v>
      </c>
      <c r="AK95" s="233" t="n">
        <v>-0.435</v>
      </c>
      <c r="AL95" s="233" t="n">
        <v>0.0054638095299704</v>
      </c>
      <c r="AM95" s="233" t="n">
        <v>0.13</v>
      </c>
      <c r="AN95" s="233" t="n">
        <v>1.54414606763307</v>
      </c>
      <c r="AO95" s="233" t="n">
        <v>0.218</v>
      </c>
      <c r="AP95" s="233" t="n">
        <v>0.265</v>
      </c>
      <c r="AQ95" s="233" t="n">
        <v>0.265</v>
      </c>
      <c r="AR95" s="233" t="n">
        <f aca="false">1/AN95</f>
        <v>0.647607127953148</v>
      </c>
      <c r="AT95" s="253" t="n">
        <f aca="false">AR95*AM95*$AT$6</f>
        <v>0.0888240321786658</v>
      </c>
      <c r="AU95" s="253" t="n">
        <f aca="false">AK95+AL95+AT95</f>
        <v>-0.340712158291364</v>
      </c>
      <c r="AV95" s="233" t="n">
        <f aca="false">[10]Sheet1!AA86</f>
        <v>0.203571428571429</v>
      </c>
      <c r="AW95" s="233" t="n">
        <v>0</v>
      </c>
    </row>
    <row r="96" customFormat="false" ht="11.25" hidden="false" customHeight="false" outlineLevel="0" collapsed="false">
      <c r="A96" s="233"/>
      <c r="B96" s="233"/>
      <c r="C96" s="231" t="e">
        <f aca="false">NextMonth(C95)</f>
        <v>#VALUE!</v>
      </c>
      <c r="D96" s="252" t="n">
        <v>0.060374581654882</v>
      </c>
      <c r="E96" s="232" t="n">
        <v>4.534</v>
      </c>
      <c r="F96" s="232" t="n">
        <v>0.2175</v>
      </c>
      <c r="G96" s="232" t="n">
        <v>0.218</v>
      </c>
      <c r="H96" s="232" t="n">
        <v>0.218</v>
      </c>
      <c r="I96" s="232" t="n">
        <v>0.224</v>
      </c>
      <c r="J96" s="232" t="n">
        <v>0.218</v>
      </c>
      <c r="K96" s="233" t="n">
        <v>0.218</v>
      </c>
      <c r="L96" s="232" t="n">
        <v>1</v>
      </c>
      <c r="M96" s="232" t="n">
        <v>1</v>
      </c>
      <c r="N96" s="232" t="n">
        <v>1.1</v>
      </c>
      <c r="O96" s="232" t="n">
        <v>1.35</v>
      </c>
      <c r="P96" s="232" t="n">
        <v>1.05</v>
      </c>
      <c r="Q96" s="252" t="n">
        <v>0.325</v>
      </c>
      <c r="R96" s="252" t="n">
        <v>0</v>
      </c>
      <c r="S96" s="233" t="n">
        <v>-0.055</v>
      </c>
      <c r="T96" s="233" t="n">
        <v>0.005</v>
      </c>
      <c r="U96" s="233" t="n">
        <v>-0.1175</v>
      </c>
      <c r="V96" s="233" t="n">
        <v>0.01</v>
      </c>
      <c r="W96" s="233" t="n">
        <v>-0.1175</v>
      </c>
      <c r="X96" s="233" t="n">
        <v>0.01</v>
      </c>
      <c r="Y96" s="233" t="n">
        <v>0.225</v>
      </c>
      <c r="Z96" s="233" t="n">
        <v>0</v>
      </c>
      <c r="AA96" s="233" t="n">
        <v>0.225</v>
      </c>
      <c r="AB96" s="233" t="n">
        <v>0</v>
      </c>
      <c r="AC96" s="233" t="n">
        <v>0.27</v>
      </c>
      <c r="AD96" s="233" t="n">
        <v>0.03</v>
      </c>
      <c r="AE96" s="233" t="n">
        <v>0.175</v>
      </c>
      <c r="AF96" s="233" t="n">
        <v>0.02</v>
      </c>
      <c r="AG96" s="233" t="n">
        <v>0.455</v>
      </c>
      <c r="AH96" s="233" t="n">
        <v>0</v>
      </c>
      <c r="AI96" s="233" t="n">
        <v>0.275</v>
      </c>
      <c r="AJ96" s="233" t="n">
        <v>0</v>
      </c>
      <c r="AK96" s="233" t="n">
        <v>-0.435</v>
      </c>
      <c r="AL96" s="233" t="n">
        <v>0.0054653917834659</v>
      </c>
      <c r="AM96" s="233" t="n">
        <v>0.13</v>
      </c>
      <c r="AN96" s="233" t="n">
        <v>1.54369903096857</v>
      </c>
      <c r="AO96" s="233" t="n">
        <v>0.218</v>
      </c>
      <c r="AP96" s="233" t="n">
        <v>0.265</v>
      </c>
      <c r="AQ96" s="233" t="n">
        <v>0.265</v>
      </c>
      <c r="AR96" s="233" t="n">
        <f aca="false">1/AN96</f>
        <v>0.647794667184941</v>
      </c>
      <c r="AT96" s="253" t="n">
        <f aca="false">AR96*AM96*$AT$6</f>
        <v>0.0888497545495917</v>
      </c>
      <c r="AU96" s="253" t="n">
        <f aca="false">AK96+AL96+AT96</f>
        <v>-0.340684853666942</v>
      </c>
      <c r="AV96" s="233" t="n">
        <f aca="false">[10]Sheet1!AA87</f>
        <v>0.203571428571429</v>
      </c>
      <c r="AW96" s="233" t="n">
        <v>0</v>
      </c>
    </row>
    <row r="97" customFormat="false" ht="11.25" hidden="false" customHeight="false" outlineLevel="0" collapsed="false">
      <c r="A97" s="233"/>
      <c r="B97" s="233"/>
      <c r="C97" s="231" t="e">
        <f aca="false">NextMonth(C96)</f>
        <v>#VALUE!</v>
      </c>
      <c r="D97" s="252" t="n">
        <v>0.0605026884002848</v>
      </c>
      <c r="E97" s="232" t="n">
        <v>4.414</v>
      </c>
      <c r="F97" s="232" t="n">
        <v>0.2175</v>
      </c>
      <c r="G97" s="232" t="n">
        <v>0.218</v>
      </c>
      <c r="H97" s="232" t="n">
        <v>0.218</v>
      </c>
      <c r="I97" s="232" t="n">
        <v>0.224</v>
      </c>
      <c r="J97" s="232" t="n">
        <v>0.218</v>
      </c>
      <c r="K97" s="233" t="n">
        <v>0.218</v>
      </c>
      <c r="L97" s="232" t="n">
        <v>1</v>
      </c>
      <c r="M97" s="232" t="n">
        <v>1</v>
      </c>
      <c r="N97" s="232" t="n">
        <v>1.1</v>
      </c>
      <c r="O97" s="232" t="n">
        <v>1.35</v>
      </c>
      <c r="P97" s="232" t="n">
        <v>1.05</v>
      </c>
      <c r="Q97" s="252" t="n">
        <v>0.325</v>
      </c>
      <c r="R97" s="252" t="n">
        <v>0</v>
      </c>
      <c r="S97" s="233" t="n">
        <v>-0.055</v>
      </c>
      <c r="T97" s="233" t="n">
        <v>0.005</v>
      </c>
      <c r="U97" s="233" t="n">
        <v>-0.12</v>
      </c>
      <c r="V97" s="233" t="n">
        <v>0.01</v>
      </c>
      <c r="W97" s="233" t="n">
        <v>-0.12</v>
      </c>
      <c r="X97" s="233" t="n">
        <v>0.01</v>
      </c>
      <c r="Y97" s="233" t="n">
        <v>0.225</v>
      </c>
      <c r="Z97" s="233" t="n">
        <v>0</v>
      </c>
      <c r="AA97" s="233" t="n">
        <v>0.225</v>
      </c>
      <c r="AB97" s="233" t="n">
        <v>0</v>
      </c>
      <c r="AC97" s="233" t="n">
        <v>0.27</v>
      </c>
      <c r="AD97" s="233" t="n">
        <v>0.03</v>
      </c>
      <c r="AE97" s="233" t="n">
        <v>0.175</v>
      </c>
      <c r="AF97" s="233" t="n">
        <v>0.02</v>
      </c>
      <c r="AG97" s="233" t="n">
        <v>0.455</v>
      </c>
      <c r="AH97" s="233" t="n">
        <v>0</v>
      </c>
      <c r="AI97" s="233" t="n">
        <v>0.275</v>
      </c>
      <c r="AJ97" s="233" t="n">
        <v>0</v>
      </c>
      <c r="AK97" s="233" t="n">
        <v>-0.435</v>
      </c>
      <c r="AL97" s="233" t="n">
        <v>0.0054670066002869</v>
      </c>
      <c r="AM97" s="233" t="n">
        <v>0.13</v>
      </c>
      <c r="AN97" s="233" t="n">
        <v>1.54324306093889</v>
      </c>
      <c r="AO97" s="233" t="n">
        <v>0.218</v>
      </c>
      <c r="AP97" s="233" t="n">
        <v>0.265</v>
      </c>
      <c r="AQ97" s="233" t="n">
        <v>0.265</v>
      </c>
      <c r="AR97" s="233" t="n">
        <f aca="false">1/AN97</f>
        <v>0.647986066039145</v>
      </c>
      <c r="AT97" s="253" t="n">
        <f aca="false">AR97*AM97*$AT$6</f>
        <v>0.0888760062958295</v>
      </c>
      <c r="AU97" s="253" t="n">
        <f aca="false">AK97+AL97+AT97</f>
        <v>-0.340656987103884</v>
      </c>
      <c r="AV97" s="233" t="n">
        <f aca="false">[10]Sheet1!AA88</f>
        <v>0.203571428571429</v>
      </c>
      <c r="AW97" s="233" t="n">
        <v>0</v>
      </c>
    </row>
    <row r="98" customFormat="false" ht="11.25" hidden="false" customHeight="false" outlineLevel="0" collapsed="false">
      <c r="A98" s="233"/>
      <c r="B98" s="233"/>
      <c r="C98" s="231" t="e">
        <f aca="false">NextMonth(C97)</f>
        <v>#VALUE!</v>
      </c>
      <c r="D98" s="252" t="n">
        <v>0.0606225301993066</v>
      </c>
      <c r="E98" s="232" t="n">
        <v>4.275</v>
      </c>
      <c r="F98" s="232" t="n">
        <v>0.205</v>
      </c>
      <c r="G98" s="232" t="n">
        <v>0.205</v>
      </c>
      <c r="H98" s="232" t="n">
        <v>0.205</v>
      </c>
      <c r="I98" s="232" t="n">
        <v>0.211</v>
      </c>
      <c r="J98" s="232" t="n">
        <v>0.205</v>
      </c>
      <c r="K98" s="233" t="n">
        <v>0.205</v>
      </c>
      <c r="L98" s="232" t="n">
        <v>0.75</v>
      </c>
      <c r="M98" s="232" t="n">
        <v>0.75</v>
      </c>
      <c r="N98" s="232" t="n">
        <v>0.75</v>
      </c>
      <c r="O98" s="232" t="n">
        <v>0.95</v>
      </c>
      <c r="P98" s="232" t="n">
        <v>0.75</v>
      </c>
      <c r="Q98" s="252" t="n">
        <v>0.325</v>
      </c>
      <c r="R98" s="252" t="n">
        <v>0</v>
      </c>
      <c r="S98" s="233" t="n">
        <v>-0.055</v>
      </c>
      <c r="T98" s="233" t="n">
        <v>0.005</v>
      </c>
      <c r="U98" s="233" t="n">
        <v>-0.1225</v>
      </c>
      <c r="V98" s="233" t="n">
        <v>0.01</v>
      </c>
      <c r="W98" s="233" t="n">
        <v>-0.1225</v>
      </c>
      <c r="X98" s="233" t="n">
        <v>0.01</v>
      </c>
      <c r="Y98" s="233" t="n">
        <v>0.225</v>
      </c>
      <c r="Z98" s="233" t="n">
        <v>0</v>
      </c>
      <c r="AA98" s="233" t="n">
        <v>0.225</v>
      </c>
      <c r="AB98" s="233" t="n">
        <v>0</v>
      </c>
      <c r="AC98" s="233" t="n">
        <v>0.24</v>
      </c>
      <c r="AD98" s="233" t="n">
        <v>0.03</v>
      </c>
      <c r="AE98" s="233" t="n">
        <v>0.175</v>
      </c>
      <c r="AF98" s="233" t="n">
        <v>0.02</v>
      </c>
      <c r="AG98" s="233" t="n">
        <v>0.455</v>
      </c>
      <c r="AH98" s="233" t="n">
        <v>0</v>
      </c>
      <c r="AI98" s="233" t="n">
        <v>0.275</v>
      </c>
      <c r="AJ98" s="233" t="n">
        <v>0</v>
      </c>
      <c r="AK98" s="233" t="n">
        <v>-0.435</v>
      </c>
      <c r="AL98" s="233" t="n">
        <v>0.0054685467359398</v>
      </c>
      <c r="AM98" s="233" t="n">
        <v>0.13</v>
      </c>
      <c r="AN98" s="233" t="n">
        <v>1.54280842925811</v>
      </c>
      <c r="AO98" s="233" t="n">
        <v>0.205</v>
      </c>
      <c r="AP98" s="233" t="n">
        <v>0.265</v>
      </c>
      <c r="AQ98" s="233" t="n">
        <v>0.265</v>
      </c>
      <c r="AR98" s="233" t="n">
        <f aca="false">1/AN98</f>
        <v>0.648168613183472</v>
      </c>
      <c r="AT98" s="253" t="n">
        <f aca="false">AR98*AM98*$AT$6</f>
        <v>0.0889010439656172</v>
      </c>
      <c r="AU98" s="253" t="n">
        <f aca="false">AK98+AL98+AT98</f>
        <v>-0.340630409298443</v>
      </c>
      <c r="AV98" s="233" t="n">
        <f aca="false">[10]Sheet1!AA89</f>
        <v>0.203571428571429</v>
      </c>
      <c r="AW98" s="233" t="n">
        <v>0</v>
      </c>
    </row>
    <row r="99" customFormat="false" ht="11.25" hidden="false" customHeight="false" outlineLevel="0" collapsed="false">
      <c r="A99" s="233"/>
      <c r="B99" s="233"/>
      <c r="C99" s="231" t="e">
        <f aca="false">NextMonth(C98)</f>
        <v>#VALUE!</v>
      </c>
      <c r="D99" s="252" t="n">
        <v>0.0607506369552597</v>
      </c>
      <c r="E99" s="232" t="n">
        <v>4.1</v>
      </c>
      <c r="F99" s="232" t="n">
        <v>0.205</v>
      </c>
      <c r="G99" s="232" t="n">
        <v>0.205</v>
      </c>
      <c r="H99" s="232" t="n">
        <v>0.205</v>
      </c>
      <c r="I99" s="232" t="n">
        <v>0.211</v>
      </c>
      <c r="J99" s="232" t="n">
        <v>0.205</v>
      </c>
      <c r="K99" s="233" t="n">
        <v>0.205</v>
      </c>
      <c r="L99" s="232" t="n">
        <v>0.4</v>
      </c>
      <c r="M99" s="232" t="n">
        <v>0.4</v>
      </c>
      <c r="N99" s="232" t="n">
        <v>0.45</v>
      </c>
      <c r="O99" s="232" t="n">
        <v>0.5</v>
      </c>
      <c r="P99" s="232" t="n">
        <v>0.45</v>
      </c>
      <c r="Q99" s="252" t="n">
        <v>0.21</v>
      </c>
      <c r="R99" s="252" t="n">
        <v>0</v>
      </c>
      <c r="S99" s="233" t="n">
        <v>-0.0525</v>
      </c>
      <c r="T99" s="233" t="n">
        <v>0</v>
      </c>
      <c r="U99" s="233" t="n">
        <v>-0.12</v>
      </c>
      <c r="V99" s="233" t="n">
        <v>-0.01</v>
      </c>
      <c r="W99" s="233" t="n">
        <v>-0.12</v>
      </c>
      <c r="X99" s="233" t="n">
        <v>-0.01</v>
      </c>
      <c r="Y99" s="233" t="n">
        <v>0.15</v>
      </c>
      <c r="Z99" s="233" t="n">
        <v>0</v>
      </c>
      <c r="AA99" s="233" t="n">
        <v>0.15</v>
      </c>
      <c r="AB99" s="233" t="n">
        <v>0</v>
      </c>
      <c r="AC99" s="233" t="n">
        <v>0.17</v>
      </c>
      <c r="AD99" s="233" t="n">
        <v>0.0175</v>
      </c>
      <c r="AE99" s="233" t="n">
        <v>0.09</v>
      </c>
      <c r="AF99" s="233" t="n">
        <v>0.005</v>
      </c>
      <c r="AG99" s="233" t="n">
        <v>0.235</v>
      </c>
      <c r="AH99" s="233" t="n">
        <v>0</v>
      </c>
      <c r="AI99" s="233" t="n">
        <v>0.18</v>
      </c>
      <c r="AJ99" s="233" t="n">
        <v>0</v>
      </c>
      <c r="AK99" s="233" t="n">
        <v>-0.61</v>
      </c>
      <c r="AL99" s="233" t="n">
        <v>0.001709445201767</v>
      </c>
      <c r="AM99" s="233" t="n">
        <v>0.13</v>
      </c>
      <c r="AN99" s="233" t="n">
        <v>1.54233519581356</v>
      </c>
      <c r="AO99" s="233" t="n">
        <v>0.205</v>
      </c>
      <c r="AP99" s="233" t="n">
        <v>0.17</v>
      </c>
      <c r="AQ99" s="233" t="n">
        <v>0.17</v>
      </c>
      <c r="AR99" s="233" t="n">
        <f aca="false">1/AN99</f>
        <v>0.648367490228033</v>
      </c>
      <c r="AT99" s="253" t="n">
        <f aca="false">AR99*AM99*$AT$6</f>
        <v>0.0889283214001036</v>
      </c>
      <c r="AU99" s="253" t="n">
        <f aca="false">AK99+AL99+AT99</f>
        <v>-0.519362233398129</v>
      </c>
      <c r="AV99" s="233" t="n">
        <f aca="false">[10]Sheet1!AA90</f>
        <v>0.1545</v>
      </c>
      <c r="AW99" s="233" t="n">
        <v>0</v>
      </c>
    </row>
    <row r="100" customFormat="false" ht="11.25" hidden="false" customHeight="false" outlineLevel="0" collapsed="false">
      <c r="A100" s="233"/>
      <c r="B100" s="233"/>
      <c r="C100" s="231" t="e">
        <f aca="false">NextMonth(C99)</f>
        <v>#VALUE!</v>
      </c>
      <c r="D100" s="252" t="n">
        <v>0.0608746112404055</v>
      </c>
      <c r="E100" s="232" t="n">
        <v>4.07</v>
      </c>
      <c r="F100" s="232" t="n">
        <v>0.205</v>
      </c>
      <c r="G100" s="232" t="n">
        <v>0.205</v>
      </c>
      <c r="H100" s="232" t="n">
        <v>0.205</v>
      </c>
      <c r="I100" s="232" t="n">
        <v>0.211</v>
      </c>
      <c r="J100" s="232" t="n">
        <v>0.205</v>
      </c>
      <c r="K100" s="233" t="n">
        <v>0.205</v>
      </c>
      <c r="L100" s="232" t="n">
        <v>0.45</v>
      </c>
      <c r="M100" s="232" t="n">
        <v>0.4</v>
      </c>
      <c r="N100" s="232" t="n">
        <v>0.5</v>
      </c>
      <c r="O100" s="232" t="n">
        <v>0.45</v>
      </c>
      <c r="P100" s="232" t="n">
        <v>0.45</v>
      </c>
      <c r="Q100" s="252" t="n">
        <v>0.21</v>
      </c>
      <c r="R100" s="252" t="n">
        <v>0</v>
      </c>
      <c r="S100" s="233" t="n">
        <v>-0.0525</v>
      </c>
      <c r="T100" s="233" t="n">
        <v>0</v>
      </c>
      <c r="U100" s="233" t="n">
        <v>-0.12</v>
      </c>
      <c r="V100" s="233" t="n">
        <v>-0.01</v>
      </c>
      <c r="W100" s="233" t="n">
        <v>-0.12</v>
      </c>
      <c r="X100" s="233" t="n">
        <v>-0.01</v>
      </c>
      <c r="Y100" s="233" t="n">
        <v>0.15</v>
      </c>
      <c r="Z100" s="233" t="n">
        <v>0</v>
      </c>
      <c r="AA100" s="233" t="n">
        <v>0.15</v>
      </c>
      <c r="AB100" s="233" t="n">
        <v>0</v>
      </c>
      <c r="AC100" s="233" t="n">
        <v>0.165</v>
      </c>
      <c r="AD100" s="233" t="n">
        <v>0.01</v>
      </c>
      <c r="AE100" s="233" t="n">
        <v>0.09</v>
      </c>
      <c r="AF100" s="233" t="n">
        <v>0.005</v>
      </c>
      <c r="AG100" s="233" t="n">
        <v>0.235</v>
      </c>
      <c r="AH100" s="233" t="n">
        <v>0</v>
      </c>
      <c r="AI100" s="233" t="n">
        <v>0.18</v>
      </c>
      <c r="AJ100" s="233" t="n">
        <v>0</v>
      </c>
      <c r="AK100" s="233" t="n">
        <v>-0.61</v>
      </c>
      <c r="AL100" s="233" t="n">
        <v>0.0017099623439676</v>
      </c>
      <c r="AM100" s="233" t="n">
        <v>0.13</v>
      </c>
      <c r="AN100" s="233" t="n">
        <v>1.54186874892366</v>
      </c>
      <c r="AO100" s="233" t="n">
        <v>0.205</v>
      </c>
      <c r="AP100" s="233" t="n">
        <v>0.17</v>
      </c>
      <c r="AQ100" s="233" t="n">
        <v>0.17</v>
      </c>
      <c r="AR100" s="233" t="n">
        <f aca="false">1/AN100</f>
        <v>0.64856363467907</v>
      </c>
      <c r="AT100" s="253" t="n">
        <f aca="false">AR100*AM100*$AT$6</f>
        <v>0.088955224039495</v>
      </c>
      <c r="AU100" s="253" t="n">
        <f aca="false">AK100+AL100+AT100</f>
        <v>-0.519334813616537</v>
      </c>
      <c r="AV100" s="233" t="n">
        <f aca="false">[10]Sheet1!AA91</f>
        <v>0.1545</v>
      </c>
      <c r="AW100" s="233" t="n">
        <v>0</v>
      </c>
    </row>
    <row r="101" customFormat="false" ht="11.25" hidden="false" customHeight="false" outlineLevel="0" collapsed="false">
      <c r="A101" s="233"/>
      <c r="B101" s="233"/>
      <c r="C101" s="231" t="e">
        <f aca="false">NextMonth(C100)</f>
        <v>#VALUE!</v>
      </c>
      <c r="D101" s="252" t="n">
        <v>0.0609820233548368</v>
      </c>
      <c r="E101" s="232" t="n">
        <v>4.14</v>
      </c>
      <c r="F101" s="232" t="n">
        <v>0.205</v>
      </c>
      <c r="G101" s="232" t="n">
        <v>0.205</v>
      </c>
      <c r="H101" s="232" t="n">
        <v>0.205</v>
      </c>
      <c r="I101" s="232" t="n">
        <v>0.211</v>
      </c>
      <c r="J101" s="232" t="n">
        <v>0.205</v>
      </c>
      <c r="K101" s="233" t="n">
        <v>0.205</v>
      </c>
      <c r="L101" s="232" t="n">
        <v>0.45</v>
      </c>
      <c r="M101" s="232" t="n">
        <v>0.4</v>
      </c>
      <c r="N101" s="232" t="n">
        <v>0.5</v>
      </c>
      <c r="O101" s="232" t="n">
        <v>0.5</v>
      </c>
      <c r="P101" s="232" t="n">
        <v>0.5</v>
      </c>
      <c r="Q101" s="252" t="n">
        <v>0.21</v>
      </c>
      <c r="R101" s="252" t="n">
        <v>0</v>
      </c>
      <c r="S101" s="233" t="n">
        <v>-0.0525</v>
      </c>
      <c r="T101" s="233" t="n">
        <v>0</v>
      </c>
      <c r="U101" s="233" t="n">
        <v>-0.12</v>
      </c>
      <c r="V101" s="233" t="n">
        <v>-0.01</v>
      </c>
      <c r="W101" s="233" t="n">
        <v>-0.12</v>
      </c>
      <c r="X101" s="233" t="n">
        <v>-0.01</v>
      </c>
      <c r="Y101" s="233" t="n">
        <v>0.15</v>
      </c>
      <c r="Z101" s="233" t="n">
        <v>0</v>
      </c>
      <c r="AA101" s="233" t="n">
        <v>0.15</v>
      </c>
      <c r="AB101" s="233" t="n">
        <v>0</v>
      </c>
      <c r="AC101" s="233" t="n">
        <v>0.17</v>
      </c>
      <c r="AD101" s="233" t="n">
        <v>0.0125</v>
      </c>
      <c r="AE101" s="233" t="n">
        <v>0.09</v>
      </c>
      <c r="AF101" s="233" t="n">
        <v>0.005</v>
      </c>
      <c r="AG101" s="233" t="n">
        <v>0.235</v>
      </c>
      <c r="AH101" s="233" t="n">
        <v>0</v>
      </c>
      <c r="AI101" s="233" t="n">
        <v>0.18</v>
      </c>
      <c r="AJ101" s="233" t="n">
        <v>0</v>
      </c>
      <c r="AK101" s="233" t="n">
        <v>-0.61</v>
      </c>
      <c r="AL101" s="233" t="n">
        <v>0.0017102646107263</v>
      </c>
      <c r="AM101" s="233" t="n">
        <v>0.13</v>
      </c>
      <c r="AN101" s="233" t="n">
        <v>1.54159624391707</v>
      </c>
      <c r="AO101" s="233" t="n">
        <v>0.205</v>
      </c>
      <c r="AP101" s="233" t="n">
        <v>0.17</v>
      </c>
      <c r="AQ101" s="233" t="n">
        <v>0.17</v>
      </c>
      <c r="AR101" s="233" t="n">
        <f aca="false">1/AN101</f>
        <v>0.648678280026865</v>
      </c>
      <c r="AT101" s="253" t="n">
        <f aca="false">AR101*AM101*$AT$6</f>
        <v>0.0889709484835631</v>
      </c>
      <c r="AU101" s="253" t="n">
        <f aca="false">AK101+AL101+AT101</f>
        <v>-0.519318786905711</v>
      </c>
      <c r="AV101" s="233" t="n">
        <f aca="false">[10]Sheet1!AA92</f>
        <v>0.1545</v>
      </c>
      <c r="AW101" s="233" t="n">
        <v>0</v>
      </c>
    </row>
    <row r="102" customFormat="false" ht="11.25" hidden="false" customHeight="false" outlineLevel="0" collapsed="false">
      <c r="A102" s="233"/>
      <c r="B102" s="233"/>
      <c r="C102" s="231" t="e">
        <f aca="false">NextMonth(C101)</f>
        <v>#VALUE!</v>
      </c>
      <c r="D102" s="252" t="n">
        <v>0.0610671951753305</v>
      </c>
      <c r="E102" s="232" t="n">
        <v>4.195</v>
      </c>
      <c r="F102" s="232" t="n">
        <v>0.2025</v>
      </c>
      <c r="G102" s="232" t="n">
        <v>0.203</v>
      </c>
      <c r="H102" s="232" t="n">
        <v>0.203</v>
      </c>
      <c r="I102" s="232" t="n">
        <v>0.209</v>
      </c>
      <c r="J102" s="232" t="n">
        <v>0.203</v>
      </c>
      <c r="K102" s="233" t="n">
        <v>0.203</v>
      </c>
      <c r="L102" s="232" t="n">
        <v>0.5</v>
      </c>
      <c r="M102" s="232" t="n">
        <v>0.4</v>
      </c>
      <c r="N102" s="232" t="n">
        <v>0.55</v>
      </c>
      <c r="O102" s="232" t="n">
        <v>0.5</v>
      </c>
      <c r="P102" s="232" t="n">
        <v>0.5</v>
      </c>
      <c r="Q102" s="252" t="n">
        <v>0.21</v>
      </c>
      <c r="R102" s="252" t="n">
        <v>0</v>
      </c>
      <c r="S102" s="233" t="n">
        <v>-0.0525</v>
      </c>
      <c r="T102" s="233" t="n">
        <v>0</v>
      </c>
      <c r="U102" s="233" t="n">
        <v>-0.12</v>
      </c>
      <c r="V102" s="233" t="n">
        <v>-0.01</v>
      </c>
      <c r="W102" s="233" t="n">
        <v>-0.12</v>
      </c>
      <c r="X102" s="233" t="n">
        <v>-0.01</v>
      </c>
      <c r="Y102" s="233" t="n">
        <v>0.15</v>
      </c>
      <c r="Z102" s="233" t="n">
        <v>0</v>
      </c>
      <c r="AA102" s="233" t="n">
        <v>0.15</v>
      </c>
      <c r="AB102" s="233" t="n">
        <v>0</v>
      </c>
      <c r="AC102" s="233" t="n">
        <v>0.175</v>
      </c>
      <c r="AD102" s="233" t="n">
        <v>0.0125</v>
      </c>
      <c r="AE102" s="233" t="n">
        <v>0.09</v>
      </c>
      <c r="AF102" s="233" t="n">
        <v>0.005</v>
      </c>
      <c r="AG102" s="233" t="n">
        <v>0.235</v>
      </c>
      <c r="AH102" s="233" t="n">
        <v>0</v>
      </c>
      <c r="AI102" s="233" t="n">
        <v>0.18</v>
      </c>
      <c r="AJ102" s="233" t="n">
        <v>0</v>
      </c>
      <c r="AK102" s="233" t="n">
        <v>-0.61</v>
      </c>
      <c r="AL102" s="233" t="n">
        <v>0.0017103389538294</v>
      </c>
      <c r="AM102" s="233" t="n">
        <v>0.13</v>
      </c>
      <c r="AN102" s="233" t="n">
        <v>1.54152923553354</v>
      </c>
      <c r="AO102" s="233" t="n">
        <v>0.203</v>
      </c>
      <c r="AP102" s="233" t="n">
        <v>0.17</v>
      </c>
      <c r="AQ102" s="233" t="n">
        <v>0.17</v>
      </c>
      <c r="AR102" s="233" t="n">
        <f aca="false">1/AN102</f>
        <v>0.648706477275398</v>
      </c>
      <c r="AT102" s="253" t="n">
        <f aca="false">AR102*AM102*$AT$6</f>
        <v>0.0889748159414754</v>
      </c>
      <c r="AU102" s="253" t="n">
        <f aca="false">AK102+AL102+AT102</f>
        <v>-0.519314845104695</v>
      </c>
      <c r="AV102" s="233" t="n">
        <f aca="false">[10]Sheet1!AA93</f>
        <v>0.1545</v>
      </c>
      <c r="AW102" s="233" t="n">
        <v>0</v>
      </c>
    </row>
    <row r="103" customFormat="false" ht="11.25" hidden="false" customHeight="false" outlineLevel="0" collapsed="false">
      <c r="A103" s="233"/>
      <c r="B103" s="233"/>
      <c r="C103" s="231" t="e">
        <f aca="false">NextMonth(C102)</f>
        <v>#VALUE!</v>
      </c>
      <c r="D103" s="252" t="n">
        <v>0.0611552060590381</v>
      </c>
      <c r="E103" s="232" t="n">
        <v>4.251</v>
      </c>
      <c r="F103" s="232" t="n">
        <v>0.2025</v>
      </c>
      <c r="G103" s="232" t="n">
        <v>0.203</v>
      </c>
      <c r="H103" s="232" t="n">
        <v>0.203</v>
      </c>
      <c r="I103" s="232" t="n">
        <v>0.209</v>
      </c>
      <c r="J103" s="232" t="n">
        <v>0.203</v>
      </c>
      <c r="K103" s="233" t="n">
        <v>0.203</v>
      </c>
      <c r="L103" s="232" t="n">
        <v>0.55</v>
      </c>
      <c r="M103" s="232" t="n">
        <v>0.5</v>
      </c>
      <c r="N103" s="232" t="n">
        <v>0.6</v>
      </c>
      <c r="O103" s="232" t="n">
        <v>0.45</v>
      </c>
      <c r="P103" s="232" t="n">
        <v>0.55</v>
      </c>
      <c r="Q103" s="252" t="n">
        <v>0.21</v>
      </c>
      <c r="R103" s="252" t="n">
        <v>0</v>
      </c>
      <c r="S103" s="233" t="n">
        <v>-0.0525</v>
      </c>
      <c r="T103" s="233" t="n">
        <v>0</v>
      </c>
      <c r="U103" s="233" t="n">
        <v>-0.12</v>
      </c>
      <c r="V103" s="233" t="n">
        <v>-0.01</v>
      </c>
      <c r="W103" s="233" t="n">
        <v>-0.12</v>
      </c>
      <c r="X103" s="233" t="n">
        <v>-0.01</v>
      </c>
      <c r="Y103" s="233" t="n">
        <v>0.15</v>
      </c>
      <c r="Z103" s="233" t="n">
        <v>0</v>
      </c>
      <c r="AA103" s="233" t="n">
        <v>0.15</v>
      </c>
      <c r="AB103" s="233" t="n">
        <v>0</v>
      </c>
      <c r="AC103" s="233" t="n">
        <v>0.175</v>
      </c>
      <c r="AD103" s="233" t="n">
        <v>0.0125</v>
      </c>
      <c r="AE103" s="233" t="n">
        <v>0.09</v>
      </c>
      <c r="AF103" s="233" t="n">
        <v>0.005</v>
      </c>
      <c r="AG103" s="233" t="n">
        <v>0.235</v>
      </c>
      <c r="AH103" s="233" t="n">
        <v>0</v>
      </c>
      <c r="AI103" s="233" t="n">
        <v>0.18</v>
      </c>
      <c r="AJ103" s="233" t="n">
        <v>0</v>
      </c>
      <c r="AK103" s="233" t="n">
        <v>-0.61</v>
      </c>
      <c r="AL103" s="233" t="n">
        <v>0.0017104145873442</v>
      </c>
      <c r="AM103" s="233" t="n">
        <v>0.13</v>
      </c>
      <c r="AN103" s="233" t="n">
        <v>1.54146107002845</v>
      </c>
      <c r="AO103" s="233" t="n">
        <v>0.203</v>
      </c>
      <c r="AP103" s="233" t="n">
        <v>0.17</v>
      </c>
      <c r="AQ103" s="233" t="n">
        <v>0.17</v>
      </c>
      <c r="AR103" s="233" t="n">
        <f aca="false">1/AN103</f>
        <v>0.648735163958142</v>
      </c>
      <c r="AT103" s="253" t="n">
        <f aca="false">AR103*AM103*$AT$6</f>
        <v>0.0889787505288528</v>
      </c>
      <c r="AU103" s="253" t="n">
        <f aca="false">AK103+AL103+AT103</f>
        <v>-0.519310834883803</v>
      </c>
      <c r="AV103" s="233" t="n">
        <f aca="false">[10]Sheet1!AA94</f>
        <v>0.1545</v>
      </c>
      <c r="AW103" s="233" t="n">
        <v>0</v>
      </c>
    </row>
    <row r="104" customFormat="false" ht="11.25" hidden="false" customHeight="false" outlineLevel="0" collapsed="false">
      <c r="A104" s="233"/>
      <c r="B104" s="233"/>
      <c r="C104" s="231" t="e">
        <f aca="false">NextMonth(C103)</f>
        <v>#VALUE!</v>
      </c>
      <c r="D104" s="252" t="n">
        <v>0.0612432169453179</v>
      </c>
      <c r="E104" s="232" t="n">
        <v>4.265</v>
      </c>
      <c r="F104" s="232" t="n">
        <v>0.2025</v>
      </c>
      <c r="G104" s="232" t="n">
        <v>0.203</v>
      </c>
      <c r="H104" s="232" t="n">
        <v>0.203</v>
      </c>
      <c r="I104" s="232" t="n">
        <v>0.209</v>
      </c>
      <c r="J104" s="232" t="n">
        <v>0.203</v>
      </c>
      <c r="K104" s="233" t="n">
        <v>0.203</v>
      </c>
      <c r="L104" s="232" t="n">
        <v>0.55</v>
      </c>
      <c r="M104" s="232" t="n">
        <v>0.55</v>
      </c>
      <c r="N104" s="232" t="n">
        <v>0.6</v>
      </c>
      <c r="O104" s="232" t="n">
        <v>0.5</v>
      </c>
      <c r="P104" s="232" t="n">
        <v>0.6</v>
      </c>
      <c r="Q104" s="252" t="n">
        <v>0.21</v>
      </c>
      <c r="R104" s="252" t="n">
        <v>0</v>
      </c>
      <c r="S104" s="233" t="n">
        <v>-0.0525</v>
      </c>
      <c r="T104" s="233" t="n">
        <v>0</v>
      </c>
      <c r="U104" s="233" t="n">
        <v>-0.12</v>
      </c>
      <c r="V104" s="233" t="n">
        <v>-0.01</v>
      </c>
      <c r="W104" s="233" t="n">
        <v>-0.12</v>
      </c>
      <c r="X104" s="233" t="n">
        <v>-0.01</v>
      </c>
      <c r="Y104" s="233" t="n">
        <v>0.15</v>
      </c>
      <c r="Z104" s="233" t="n">
        <v>0</v>
      </c>
      <c r="AA104" s="233" t="n">
        <v>0.15</v>
      </c>
      <c r="AB104" s="233" t="n">
        <v>0</v>
      </c>
      <c r="AC104" s="233" t="n">
        <v>0.165</v>
      </c>
      <c r="AD104" s="233" t="n">
        <v>0.0125</v>
      </c>
      <c r="AE104" s="233" t="n">
        <v>0.09</v>
      </c>
      <c r="AF104" s="233" t="n">
        <v>0.005</v>
      </c>
      <c r="AG104" s="233" t="n">
        <v>0.235</v>
      </c>
      <c r="AH104" s="233" t="n">
        <v>0</v>
      </c>
      <c r="AI104" s="233" t="n">
        <v>0.18</v>
      </c>
      <c r="AJ104" s="233" t="n">
        <v>0</v>
      </c>
      <c r="AK104" s="233" t="n">
        <v>-0.61</v>
      </c>
      <c r="AL104" s="233" t="n">
        <v>0.0017104890136953</v>
      </c>
      <c r="AM104" s="233" t="n">
        <v>0.13</v>
      </c>
      <c r="AN104" s="233" t="n">
        <v>1.54139399837715</v>
      </c>
      <c r="AO104" s="233" t="n">
        <v>0.203</v>
      </c>
      <c r="AP104" s="233" t="n">
        <v>0.17</v>
      </c>
      <c r="AQ104" s="233" t="n">
        <v>0.17</v>
      </c>
      <c r="AR104" s="233" t="n">
        <f aca="false">1/AN104</f>
        <v>0.648763392781369</v>
      </c>
      <c r="AT104" s="253" t="n">
        <f aca="false">AR104*AM104*$AT$6</f>
        <v>0.0889826223174642</v>
      </c>
      <c r="AU104" s="253" t="n">
        <f aca="false">AK104+AL104+AT104</f>
        <v>-0.51930688866884</v>
      </c>
      <c r="AV104" s="233" t="n">
        <f aca="false">[10]Sheet1!AA95</f>
        <v>0.1545</v>
      </c>
      <c r="AW104" s="233" t="n">
        <v>0</v>
      </c>
    </row>
    <row r="105" customFormat="false" ht="11.25" hidden="false" customHeight="false" outlineLevel="0" collapsed="false">
      <c r="A105" s="233"/>
      <c r="B105" s="233"/>
      <c r="C105" s="231" t="e">
        <f aca="false">NextMonth(C104)</f>
        <v>#VALUE!</v>
      </c>
      <c r="D105" s="252" t="n">
        <v>0.0613283887731986</v>
      </c>
      <c r="E105" s="232" t="n">
        <v>4.296</v>
      </c>
      <c r="F105" s="232" t="n">
        <v>0.2025</v>
      </c>
      <c r="G105" s="232" t="n">
        <v>0.203</v>
      </c>
      <c r="H105" s="232" t="n">
        <v>0.203</v>
      </c>
      <c r="I105" s="232" t="n">
        <v>0.209</v>
      </c>
      <c r="J105" s="232" t="n">
        <v>0.203</v>
      </c>
      <c r="K105" s="233" t="n">
        <v>0.203</v>
      </c>
      <c r="L105" s="232" t="n">
        <v>0.6</v>
      </c>
      <c r="M105" s="232" t="n">
        <v>0.55</v>
      </c>
      <c r="N105" s="232" t="n">
        <v>0.65</v>
      </c>
      <c r="O105" s="232" t="n">
        <v>0.5</v>
      </c>
      <c r="P105" s="232" t="n">
        <v>0.65</v>
      </c>
      <c r="Q105" s="252" t="n">
        <v>0.21</v>
      </c>
      <c r="R105" s="252" t="n">
        <v>0</v>
      </c>
      <c r="S105" s="233" t="n">
        <v>-0.0525</v>
      </c>
      <c r="T105" s="233" t="n">
        <v>0</v>
      </c>
      <c r="U105" s="233" t="n">
        <v>-0.12</v>
      </c>
      <c r="V105" s="233" t="n">
        <v>-0.01</v>
      </c>
      <c r="W105" s="233" t="n">
        <v>-0.12</v>
      </c>
      <c r="X105" s="233" t="n">
        <v>-0.01</v>
      </c>
      <c r="Y105" s="233" t="n">
        <v>0.15</v>
      </c>
      <c r="Z105" s="233" t="n">
        <v>0</v>
      </c>
      <c r="AA105" s="233" t="n">
        <v>0.15</v>
      </c>
      <c r="AB105" s="233" t="n">
        <v>0</v>
      </c>
      <c r="AC105" s="233" t="n">
        <v>0.1725</v>
      </c>
      <c r="AD105" s="233" t="n">
        <v>0.0125</v>
      </c>
      <c r="AE105" s="233" t="n">
        <v>0.09</v>
      </c>
      <c r="AF105" s="233" t="n">
        <v>0.005</v>
      </c>
      <c r="AG105" s="233" t="n">
        <v>0.235</v>
      </c>
      <c r="AH105" s="233" t="n">
        <v>0</v>
      </c>
      <c r="AI105" s="233" t="n">
        <v>0.18</v>
      </c>
      <c r="AJ105" s="233" t="n">
        <v>0</v>
      </c>
      <c r="AK105" s="233" t="n">
        <v>-0.61</v>
      </c>
      <c r="AL105" s="233" t="n">
        <v>0.0017105598898163</v>
      </c>
      <c r="AM105" s="233" t="n">
        <v>0.13</v>
      </c>
      <c r="AN105" s="233" t="n">
        <v>1.54133013155301</v>
      </c>
      <c r="AO105" s="233" t="n">
        <v>0.203</v>
      </c>
      <c r="AP105" s="233" t="n">
        <v>0.17</v>
      </c>
      <c r="AQ105" s="233" t="n">
        <v>0.17</v>
      </c>
      <c r="AR105" s="233" t="n">
        <f aca="false">1/AN105</f>
        <v>0.648790275054457</v>
      </c>
      <c r="AT105" s="253" t="n">
        <f aca="false">AR105*AM105*$AT$6</f>
        <v>0.0889863094169212</v>
      </c>
      <c r="AU105" s="253" t="n">
        <f aca="false">AK105+AL105+AT105</f>
        <v>-0.519303130693263</v>
      </c>
      <c r="AV105" s="233" t="n">
        <f aca="false">[10]Sheet1!AA96</f>
        <v>0.1545</v>
      </c>
      <c r="AW105" s="233" t="n">
        <v>0</v>
      </c>
    </row>
    <row r="106" customFormat="false" ht="11.25" hidden="false" customHeight="false" outlineLevel="0" collapsed="false">
      <c r="A106" s="233"/>
      <c r="B106" s="233"/>
      <c r="C106" s="231" t="e">
        <f aca="false">NextMonth(C105)</f>
        <v>#VALUE!</v>
      </c>
      <c r="D106" s="252" t="n">
        <v>0.06141639966454</v>
      </c>
      <c r="E106" s="232" t="n">
        <v>4.429</v>
      </c>
      <c r="F106" s="232" t="n">
        <v>0.2025</v>
      </c>
      <c r="G106" s="232" t="n">
        <v>0.203</v>
      </c>
      <c r="H106" s="232" t="n">
        <v>0.203</v>
      </c>
      <c r="I106" s="232" t="n">
        <v>0.209</v>
      </c>
      <c r="J106" s="232" t="n">
        <v>0.203</v>
      </c>
      <c r="K106" s="233" t="n">
        <v>0.203</v>
      </c>
      <c r="L106" s="232" t="n">
        <v>0.8</v>
      </c>
      <c r="M106" s="232" t="n">
        <v>0.8</v>
      </c>
      <c r="N106" s="232" t="n">
        <v>0.8</v>
      </c>
      <c r="O106" s="232" t="n">
        <v>0.95</v>
      </c>
      <c r="P106" s="232" t="n">
        <v>0.85</v>
      </c>
      <c r="Q106" s="252" t="n">
        <v>0.325</v>
      </c>
      <c r="R106" s="252" t="n">
        <v>0</v>
      </c>
      <c r="S106" s="233" t="n">
        <v>-0.0525</v>
      </c>
      <c r="T106" s="233" t="n">
        <v>0.005</v>
      </c>
      <c r="U106" s="233" t="n">
        <v>-0.1425</v>
      </c>
      <c r="V106" s="233" t="n">
        <v>0.01</v>
      </c>
      <c r="W106" s="233" t="n">
        <v>-0.1425</v>
      </c>
      <c r="X106" s="233" t="n">
        <v>0.01</v>
      </c>
      <c r="Y106" s="233" t="n">
        <v>0.225</v>
      </c>
      <c r="Z106" s="233" t="n">
        <v>0</v>
      </c>
      <c r="AA106" s="233" t="n">
        <v>0.225</v>
      </c>
      <c r="AB106" s="233" t="n">
        <v>0</v>
      </c>
      <c r="AC106" s="233" t="n">
        <v>0.24</v>
      </c>
      <c r="AD106" s="233" t="n">
        <v>0.03</v>
      </c>
      <c r="AE106" s="233" t="n">
        <v>0.175</v>
      </c>
      <c r="AF106" s="233" t="n">
        <v>0.02</v>
      </c>
      <c r="AG106" s="233" t="n">
        <v>0.415</v>
      </c>
      <c r="AH106" s="233" t="n">
        <v>0</v>
      </c>
      <c r="AI106" s="233" t="n">
        <v>0.275</v>
      </c>
      <c r="AJ106" s="233" t="n">
        <v>0</v>
      </c>
      <c r="AK106" s="233" t="n">
        <v>-0.455</v>
      </c>
      <c r="AL106" s="233" t="n">
        <v>0.0054740222105138</v>
      </c>
      <c r="AM106" s="233" t="n">
        <v>0.13</v>
      </c>
      <c r="AN106" s="233" t="n">
        <v>1.5412652114921</v>
      </c>
      <c r="AO106" s="233" t="n">
        <v>0.203</v>
      </c>
      <c r="AP106" s="233" t="n">
        <v>0.275</v>
      </c>
      <c r="AQ106" s="233" t="n">
        <v>0.275</v>
      </c>
      <c r="AR106" s="233" t="n">
        <f aca="false">1/AN106</f>
        <v>0.648817602930192</v>
      </c>
      <c r="AT106" s="253" t="n">
        <f aca="false">AR106*AM106*$AT$6</f>
        <v>0.0889900576340252</v>
      </c>
      <c r="AU106" s="253" t="n">
        <f aca="false">AK106+AL106+AT106</f>
        <v>-0.360535920155461</v>
      </c>
      <c r="AV106" s="233" t="n">
        <f aca="false">[10]Sheet1!AA97</f>
        <v>0.201071428571429</v>
      </c>
      <c r="AW106" s="233" t="n">
        <v>0</v>
      </c>
    </row>
    <row r="107" customFormat="false" ht="11.25" hidden="false" customHeight="false" outlineLevel="0" collapsed="false">
      <c r="A107" s="233"/>
      <c r="B107" s="233"/>
      <c r="C107" s="231" t="e">
        <f aca="false">NextMonth(C106)</f>
        <v>#VALUE!</v>
      </c>
      <c r="D107" s="252" t="n">
        <v>0.0615015714973186</v>
      </c>
      <c r="E107" s="232" t="n">
        <v>4.567</v>
      </c>
      <c r="F107" s="232" t="n">
        <v>0.205</v>
      </c>
      <c r="G107" s="232" t="n">
        <v>0.205</v>
      </c>
      <c r="H107" s="232" t="n">
        <v>0.205</v>
      </c>
      <c r="I107" s="232" t="n">
        <v>0.211</v>
      </c>
      <c r="J107" s="232" t="n">
        <v>0.205</v>
      </c>
      <c r="K107" s="233" t="n">
        <v>0.205</v>
      </c>
      <c r="L107" s="232" t="n">
        <v>1</v>
      </c>
      <c r="M107" s="232" t="n">
        <v>1</v>
      </c>
      <c r="N107" s="232" t="n">
        <v>1.1</v>
      </c>
      <c r="O107" s="232" t="n">
        <v>1.35</v>
      </c>
      <c r="P107" s="232" t="n">
        <v>1.05</v>
      </c>
      <c r="Q107" s="252" t="n">
        <v>0.325</v>
      </c>
      <c r="R107" s="252" t="n">
        <v>0</v>
      </c>
      <c r="S107" s="233" t="n">
        <v>-0.0525</v>
      </c>
      <c r="T107" s="233" t="n">
        <v>0.005</v>
      </c>
      <c r="U107" s="233" t="n">
        <v>-0.1375</v>
      </c>
      <c r="V107" s="233" t="n">
        <v>0.01</v>
      </c>
      <c r="W107" s="233" t="n">
        <v>-0.1375</v>
      </c>
      <c r="X107" s="233" t="n">
        <v>0.01</v>
      </c>
      <c r="Y107" s="233" t="n">
        <v>0.225</v>
      </c>
      <c r="Z107" s="233" t="n">
        <v>0</v>
      </c>
      <c r="AA107" s="233" t="n">
        <v>0.225</v>
      </c>
      <c r="AB107" s="233" t="n">
        <v>0</v>
      </c>
      <c r="AC107" s="233" t="n">
        <v>0.26</v>
      </c>
      <c r="AD107" s="233" t="n">
        <v>0.03</v>
      </c>
      <c r="AE107" s="233" t="n">
        <v>0.175</v>
      </c>
      <c r="AF107" s="233" t="n">
        <v>0.02</v>
      </c>
      <c r="AG107" s="233" t="n">
        <v>0.415</v>
      </c>
      <c r="AH107" s="233" t="n">
        <v>0</v>
      </c>
      <c r="AI107" s="233" t="n">
        <v>0.275</v>
      </c>
      <c r="AJ107" s="233" t="n">
        <v>0</v>
      </c>
      <c r="AK107" s="233" t="n">
        <v>-0.455</v>
      </c>
      <c r="AL107" s="233" t="n">
        <v>0.0054742416581079</v>
      </c>
      <c r="AM107" s="233" t="n">
        <v>0.13</v>
      </c>
      <c r="AN107" s="233" t="n">
        <v>1.54120342632373</v>
      </c>
      <c r="AO107" s="233" t="n">
        <v>0.205</v>
      </c>
      <c r="AP107" s="233" t="n">
        <v>0.275</v>
      </c>
      <c r="AQ107" s="233" t="n">
        <v>0.275</v>
      </c>
      <c r="AR107" s="233" t="n">
        <f aca="false">1/AN107</f>
        <v>0.648843613321912</v>
      </c>
      <c r="AT107" s="253" t="n">
        <f aca="false">AR107*AM107*$AT$6</f>
        <v>0.0889936251486052</v>
      </c>
      <c r="AU107" s="253" t="n">
        <f aca="false">AK107+AL107+AT107</f>
        <v>-0.360532133193287</v>
      </c>
      <c r="AV107" s="233" t="n">
        <f aca="false">[10]Sheet1!AA98</f>
        <v>0.206071428571429</v>
      </c>
      <c r="AW107" s="233" t="n">
        <v>0</v>
      </c>
    </row>
    <row r="108" customFormat="false" ht="11.25" hidden="false" customHeight="false" outlineLevel="0" collapsed="false">
      <c r="A108" s="233"/>
      <c r="B108" s="233"/>
      <c r="C108" s="231" t="e">
        <f aca="false">NextMonth(C107)</f>
        <v>#VALUE!</v>
      </c>
      <c r="D108" s="252" t="n">
        <v>0.0615895823937205</v>
      </c>
      <c r="E108" s="232" t="n">
        <v>4.589</v>
      </c>
      <c r="F108" s="232" t="n">
        <v>0.205</v>
      </c>
      <c r="G108" s="232" t="n">
        <v>0.205</v>
      </c>
      <c r="H108" s="232" t="n">
        <v>0.205</v>
      </c>
      <c r="I108" s="232" t="n">
        <v>0.211</v>
      </c>
      <c r="J108" s="232" t="n">
        <v>0.205</v>
      </c>
      <c r="K108" s="233" t="n">
        <v>0.205</v>
      </c>
      <c r="L108" s="232" t="n">
        <v>1</v>
      </c>
      <c r="M108" s="232" t="n">
        <v>1</v>
      </c>
      <c r="N108" s="232" t="n">
        <v>1.1</v>
      </c>
      <c r="O108" s="232" t="n">
        <v>1.35</v>
      </c>
      <c r="P108" s="232" t="n">
        <v>1.05</v>
      </c>
      <c r="Q108" s="252" t="n">
        <v>0.325</v>
      </c>
      <c r="R108" s="252" t="n">
        <v>0</v>
      </c>
      <c r="S108" s="233" t="n">
        <v>-0.0525</v>
      </c>
      <c r="T108" s="233" t="n">
        <v>0.005</v>
      </c>
      <c r="U108" s="233" t="n">
        <v>-0.1375</v>
      </c>
      <c r="V108" s="233" t="n">
        <v>0.01</v>
      </c>
      <c r="W108" s="233" t="n">
        <v>-0.1375</v>
      </c>
      <c r="X108" s="233" t="n">
        <v>0.01</v>
      </c>
      <c r="Y108" s="233" t="n">
        <v>0.225</v>
      </c>
      <c r="Z108" s="233" t="n">
        <v>0</v>
      </c>
      <c r="AA108" s="233" t="n">
        <v>0.225</v>
      </c>
      <c r="AB108" s="233" t="n">
        <v>0</v>
      </c>
      <c r="AC108" s="233" t="n">
        <v>0.27</v>
      </c>
      <c r="AD108" s="233" t="n">
        <v>0.03</v>
      </c>
      <c r="AE108" s="233" t="n">
        <v>0.175</v>
      </c>
      <c r="AF108" s="233" t="n">
        <v>0.02</v>
      </c>
      <c r="AG108" s="233" t="n">
        <v>0.415</v>
      </c>
      <c r="AH108" s="233" t="n">
        <v>0</v>
      </c>
      <c r="AI108" s="233" t="n">
        <v>0.275</v>
      </c>
      <c r="AJ108" s="233" t="n">
        <v>0</v>
      </c>
      <c r="AK108" s="233" t="n">
        <v>-0.455</v>
      </c>
      <c r="AL108" s="233" t="n">
        <v>0.0054744646200605</v>
      </c>
      <c r="AM108" s="233" t="n">
        <v>0.13</v>
      </c>
      <c r="AN108" s="233" t="n">
        <v>1.54114065676558</v>
      </c>
      <c r="AO108" s="233" t="n">
        <v>0.205</v>
      </c>
      <c r="AP108" s="233" t="n">
        <v>0.275</v>
      </c>
      <c r="AQ108" s="233" t="n">
        <v>0.275</v>
      </c>
      <c r="AR108" s="233" t="n">
        <f aca="false">1/AN108</f>
        <v>0.648870040258829</v>
      </c>
      <c r="AT108" s="253" t="n">
        <f aca="false">AR108*AM108*$AT$6</f>
        <v>0.0889972497953915</v>
      </c>
      <c r="AU108" s="253" t="n">
        <f aca="false">AK108+AL108+AT108</f>
        <v>-0.360528285584548</v>
      </c>
      <c r="AV108" s="233" t="n">
        <f aca="false">[10]Sheet1!AA99</f>
        <v>0.206071428571429</v>
      </c>
      <c r="AW108" s="233" t="n">
        <v>0</v>
      </c>
    </row>
    <row r="109" customFormat="false" ht="11.25" hidden="false" customHeight="false" outlineLevel="0" collapsed="false">
      <c r="A109" s="233"/>
      <c r="B109" s="233"/>
      <c r="C109" s="231" t="e">
        <f aca="false">NextMonth(C108)</f>
        <v>#VALUE!</v>
      </c>
      <c r="D109" s="252" t="n">
        <v>0.0616775932926936</v>
      </c>
      <c r="E109" s="232" t="n">
        <v>4.469</v>
      </c>
      <c r="F109" s="232" t="n">
        <v>0.2025</v>
      </c>
      <c r="G109" s="232" t="n">
        <v>0.203</v>
      </c>
      <c r="H109" s="232" t="n">
        <v>0.203</v>
      </c>
      <c r="I109" s="232" t="n">
        <v>0.209</v>
      </c>
      <c r="J109" s="232" t="n">
        <v>0.203</v>
      </c>
      <c r="K109" s="233" t="n">
        <v>0.203</v>
      </c>
      <c r="L109" s="232" t="n">
        <v>1</v>
      </c>
      <c r="M109" s="232" t="n">
        <v>1</v>
      </c>
      <c r="N109" s="232" t="n">
        <v>1.1</v>
      </c>
      <c r="O109" s="232" t="n">
        <v>1.35</v>
      </c>
      <c r="P109" s="232" t="n">
        <v>1.05</v>
      </c>
      <c r="Q109" s="252" t="n">
        <v>0.325</v>
      </c>
      <c r="R109" s="252" t="n">
        <v>0</v>
      </c>
      <c r="S109" s="233" t="n">
        <v>-0.0525</v>
      </c>
      <c r="T109" s="233" t="n">
        <v>0.005</v>
      </c>
      <c r="U109" s="233" t="n">
        <v>-0.14</v>
      </c>
      <c r="V109" s="233" t="n">
        <v>0.01</v>
      </c>
      <c r="W109" s="233" t="n">
        <v>-0.14</v>
      </c>
      <c r="X109" s="233" t="n">
        <v>0.01</v>
      </c>
      <c r="Y109" s="233" t="n">
        <v>0.225</v>
      </c>
      <c r="Z109" s="233" t="n">
        <v>0</v>
      </c>
      <c r="AA109" s="233" t="n">
        <v>0.225</v>
      </c>
      <c r="AB109" s="233" t="n">
        <v>0</v>
      </c>
      <c r="AC109" s="233" t="n">
        <v>0.27</v>
      </c>
      <c r="AD109" s="233" t="n">
        <v>0.03</v>
      </c>
      <c r="AE109" s="233" t="n">
        <v>0.175</v>
      </c>
      <c r="AF109" s="233" t="n">
        <v>0.02</v>
      </c>
      <c r="AG109" s="233" t="n">
        <v>0.415</v>
      </c>
      <c r="AH109" s="233" t="n">
        <v>0</v>
      </c>
      <c r="AI109" s="233" t="n">
        <v>0.275</v>
      </c>
      <c r="AJ109" s="233" t="n">
        <v>0</v>
      </c>
      <c r="AK109" s="233" t="n">
        <v>-0.455</v>
      </c>
      <c r="AL109" s="233" t="n">
        <v>0.0054746837191822</v>
      </c>
      <c r="AM109" s="233" t="n">
        <v>0.13</v>
      </c>
      <c r="AN109" s="233" t="n">
        <v>1.54107897967487</v>
      </c>
      <c r="AO109" s="233" t="n">
        <v>0.203</v>
      </c>
      <c r="AP109" s="233" t="n">
        <v>0.275</v>
      </c>
      <c r="AQ109" s="233" t="n">
        <v>0.275</v>
      </c>
      <c r="AR109" s="233" t="n">
        <f aca="false">1/AN109</f>
        <v>0.648896009347279</v>
      </c>
      <c r="AT109" s="253" t="n">
        <f aca="false">AR109*AM109*$AT$6</f>
        <v>0.0890008116449274</v>
      </c>
      <c r="AU109" s="253" t="n">
        <f aca="false">AK109+AL109+AT109</f>
        <v>-0.36052450463589</v>
      </c>
      <c r="AV109" s="233" t="n">
        <f aca="false">[10]Sheet1!AA100</f>
        <v>0.206071428571429</v>
      </c>
      <c r="AW109" s="233" t="n">
        <v>0</v>
      </c>
    </row>
    <row r="110" customFormat="false" ht="11.25" hidden="false" customHeight="false" outlineLevel="0" collapsed="false">
      <c r="A110" s="233"/>
      <c r="B110" s="233"/>
      <c r="C110" s="231" t="e">
        <f aca="false">NextMonth(C109)</f>
        <v>#VALUE!</v>
      </c>
      <c r="D110" s="252" t="n">
        <v>0.0617570870101058</v>
      </c>
      <c r="E110" s="232" t="n">
        <v>4.33</v>
      </c>
      <c r="F110" s="232" t="n">
        <v>0.1925</v>
      </c>
      <c r="G110" s="232" t="n">
        <v>0.193</v>
      </c>
      <c r="H110" s="232" t="n">
        <v>0.193</v>
      </c>
      <c r="I110" s="232" t="n">
        <v>0.198</v>
      </c>
      <c r="J110" s="232" t="n">
        <v>0.193</v>
      </c>
      <c r="K110" s="233" t="n">
        <v>0.193</v>
      </c>
      <c r="L110" s="232" t="n">
        <v>0.75</v>
      </c>
      <c r="M110" s="232" t="n">
        <v>0.75</v>
      </c>
      <c r="N110" s="232" t="n">
        <v>0.75</v>
      </c>
      <c r="O110" s="232" t="n">
        <v>0.95</v>
      </c>
      <c r="P110" s="232" t="n">
        <v>0.75</v>
      </c>
      <c r="Q110" s="252" t="n">
        <v>0.325</v>
      </c>
      <c r="R110" s="252" t="n">
        <v>0</v>
      </c>
      <c r="S110" s="233" t="n">
        <v>-0.0525</v>
      </c>
      <c r="T110" s="233" t="n">
        <v>0.005</v>
      </c>
      <c r="U110" s="233" t="n">
        <v>-0.1425</v>
      </c>
      <c r="V110" s="233" t="n">
        <v>0.01</v>
      </c>
      <c r="W110" s="233" t="n">
        <v>-0.1425</v>
      </c>
      <c r="X110" s="233" t="n">
        <v>0.01</v>
      </c>
      <c r="Y110" s="233" t="n">
        <v>0.225</v>
      </c>
      <c r="Z110" s="233" t="n">
        <v>0</v>
      </c>
      <c r="AA110" s="233" t="n">
        <v>0.225</v>
      </c>
      <c r="AB110" s="233" t="n">
        <v>0</v>
      </c>
      <c r="AC110" s="233" t="n">
        <v>0.24</v>
      </c>
      <c r="AD110" s="233" t="n">
        <v>0.03</v>
      </c>
      <c r="AE110" s="233" t="n">
        <v>0.175</v>
      </c>
      <c r="AF110" s="233" t="n">
        <v>0.02</v>
      </c>
      <c r="AG110" s="233" t="n">
        <v>0.415</v>
      </c>
      <c r="AH110" s="233" t="n">
        <v>0</v>
      </c>
      <c r="AI110" s="233" t="n">
        <v>0.275</v>
      </c>
      <c r="AJ110" s="233" t="n">
        <v>0</v>
      </c>
      <c r="AK110" s="233" t="n">
        <v>-0.455</v>
      </c>
      <c r="AL110" s="233" t="n">
        <v>0.0054748782950133</v>
      </c>
      <c r="AM110" s="233" t="n">
        <v>0.13</v>
      </c>
      <c r="AN110" s="233" t="n">
        <v>1.54102421010611</v>
      </c>
      <c r="AO110" s="233" t="n">
        <v>0.193</v>
      </c>
      <c r="AP110" s="233" t="n">
        <v>0.275</v>
      </c>
      <c r="AQ110" s="233" t="n">
        <v>0.275</v>
      </c>
      <c r="AR110" s="233" t="n">
        <f aca="false">1/AN110</f>
        <v>0.648919071771847</v>
      </c>
      <c r="AT110" s="253" t="n">
        <f aca="false">AR110*AM110*$AT$6</f>
        <v>0.0890039748243513</v>
      </c>
      <c r="AU110" s="253" t="n">
        <f aca="false">AK110+AL110+AT110</f>
        <v>-0.360521146880635</v>
      </c>
      <c r="AV110" s="233" t="n">
        <f aca="false">[10]Sheet1!AA101</f>
        <v>0.206071428571429</v>
      </c>
      <c r="AW110" s="233" t="n">
        <v>0</v>
      </c>
    </row>
    <row r="111" customFormat="false" ht="11.25" hidden="false" customHeight="false" outlineLevel="0" collapsed="false">
      <c r="A111" s="233"/>
      <c r="B111" s="233"/>
      <c r="C111" s="231" t="e">
        <f aca="false">NextMonth(C110)</f>
        <v>#VALUE!</v>
      </c>
      <c r="D111" s="252" t="n">
        <v>0.0618450979139737</v>
      </c>
      <c r="E111" s="232" t="n">
        <v>4.155</v>
      </c>
      <c r="F111" s="232" t="n">
        <v>0.19</v>
      </c>
      <c r="G111" s="232" t="n">
        <v>0.19</v>
      </c>
      <c r="H111" s="232" t="n">
        <v>0.19</v>
      </c>
      <c r="I111" s="232" t="n">
        <v>0.196</v>
      </c>
      <c r="J111" s="232" t="n">
        <v>0.19</v>
      </c>
      <c r="K111" s="233" t="n">
        <v>0.19</v>
      </c>
      <c r="L111" s="232" t="n">
        <v>0.4</v>
      </c>
      <c r="M111" s="232" t="n">
        <v>0.4</v>
      </c>
      <c r="N111" s="232" t="n">
        <v>0.45</v>
      </c>
      <c r="O111" s="232" t="n">
        <v>0.5</v>
      </c>
      <c r="P111" s="232" t="n">
        <v>0.45</v>
      </c>
      <c r="Q111" s="252" t="n">
        <v>0.21</v>
      </c>
      <c r="R111" s="252" t="n">
        <v>0</v>
      </c>
      <c r="S111" s="233" t="n">
        <v>-0.05</v>
      </c>
      <c r="T111" s="233" t="n">
        <v>0</v>
      </c>
      <c r="U111" s="233" t="n">
        <v>-0.14</v>
      </c>
      <c r="V111" s="233" t="n">
        <v>-0.01</v>
      </c>
      <c r="W111" s="233" t="n">
        <v>-0.14</v>
      </c>
      <c r="X111" s="233" t="n">
        <v>-0.01</v>
      </c>
      <c r="Y111" s="233" t="n">
        <v>0.15</v>
      </c>
      <c r="Z111" s="233" t="n">
        <v>0</v>
      </c>
      <c r="AA111" s="233" t="n">
        <v>0.15</v>
      </c>
      <c r="AB111" s="233" t="n">
        <v>0</v>
      </c>
      <c r="AC111" s="233" t="n">
        <v>0.17</v>
      </c>
      <c r="AD111" s="233" t="n">
        <v>0.0175</v>
      </c>
      <c r="AE111" s="233" t="n">
        <v>0.09</v>
      </c>
      <c r="AF111" s="233" t="n">
        <v>0.005</v>
      </c>
      <c r="AG111" s="233" t="n">
        <v>0.235</v>
      </c>
      <c r="AH111" s="233" t="n">
        <v>0</v>
      </c>
      <c r="AI111" s="233" t="n">
        <v>0.18</v>
      </c>
      <c r="AJ111" s="233" t="n">
        <v>0</v>
      </c>
      <c r="AK111" s="233" t="n">
        <v>-0.61</v>
      </c>
      <c r="AL111" s="233" t="n">
        <v>0.0017109656382567</v>
      </c>
      <c r="AM111" s="233" t="n">
        <v>0.13</v>
      </c>
      <c r="AN111" s="233" t="n">
        <v>1.540964611473</v>
      </c>
      <c r="AO111" s="233" t="n">
        <v>0.19</v>
      </c>
      <c r="AP111" s="233" t="n">
        <v>0.18</v>
      </c>
      <c r="AQ111" s="233" t="n">
        <v>0.18</v>
      </c>
      <c r="AR111" s="233" t="n">
        <f aca="false">1/AN111</f>
        <v>0.648944169486219</v>
      </c>
      <c r="AT111" s="253" t="n">
        <f aca="false">AR111*AM111*$AT$6</f>
        <v>0.0890074171585888</v>
      </c>
      <c r="AU111" s="253" t="n">
        <f aca="false">AK111+AL111+AT111</f>
        <v>-0.519281617203155</v>
      </c>
      <c r="AV111" s="233" t="n">
        <f aca="false">[10]Sheet1!AA102</f>
        <v>0.157</v>
      </c>
      <c r="AW111" s="233" t="n">
        <v>0</v>
      </c>
    </row>
    <row r="112" customFormat="false" ht="11.25" hidden="false" customHeight="false" outlineLevel="0" collapsed="false">
      <c r="A112" s="233"/>
      <c r="B112" s="233"/>
      <c r="C112" s="231" t="e">
        <f aca="false">NextMonth(C111)</f>
        <v>#VALUE!</v>
      </c>
      <c r="D112" s="252" t="n">
        <v>0.0619302697588742</v>
      </c>
      <c r="E112" s="232" t="n">
        <v>4.125</v>
      </c>
      <c r="F112" s="232" t="n">
        <v>0.19</v>
      </c>
      <c r="G112" s="232" t="n">
        <v>0.19</v>
      </c>
      <c r="H112" s="232" t="n">
        <v>0.19</v>
      </c>
      <c r="I112" s="232" t="n">
        <v>0.196</v>
      </c>
      <c r="J112" s="232" t="n">
        <v>0.19</v>
      </c>
      <c r="K112" s="233" t="n">
        <v>0.19</v>
      </c>
      <c r="L112" s="232" t="n">
        <v>0.45</v>
      </c>
      <c r="M112" s="232" t="n">
        <v>0.4</v>
      </c>
      <c r="N112" s="232" t="n">
        <v>0.5</v>
      </c>
      <c r="O112" s="232" t="n">
        <v>0.45</v>
      </c>
      <c r="P112" s="232" t="n">
        <v>0.45</v>
      </c>
      <c r="Q112" s="252" t="n">
        <v>0.21</v>
      </c>
      <c r="R112" s="252" t="n">
        <v>0</v>
      </c>
      <c r="S112" s="233" t="n">
        <v>-0.05</v>
      </c>
      <c r="T112" s="233" t="n">
        <v>0</v>
      </c>
      <c r="U112" s="233" t="n">
        <v>-0.14</v>
      </c>
      <c r="V112" s="233" t="n">
        <v>-0.01</v>
      </c>
      <c r="W112" s="233" t="n">
        <v>-0.14</v>
      </c>
      <c r="X112" s="233" t="n">
        <v>-0.01</v>
      </c>
      <c r="Y112" s="233" t="n">
        <v>0.15</v>
      </c>
      <c r="Z112" s="233" t="n">
        <v>0</v>
      </c>
      <c r="AA112" s="233" t="n">
        <v>0.15</v>
      </c>
      <c r="AB112" s="233" t="n">
        <v>0</v>
      </c>
      <c r="AC112" s="233" t="n">
        <v>0.165</v>
      </c>
      <c r="AD112" s="233" t="n">
        <v>0.01</v>
      </c>
      <c r="AE112" s="233" t="n">
        <v>0.09</v>
      </c>
      <c r="AF112" s="233" t="n">
        <v>0.005</v>
      </c>
      <c r="AG112" s="233" t="n">
        <v>0.235</v>
      </c>
      <c r="AH112" s="233" t="n">
        <v>0</v>
      </c>
      <c r="AI112" s="233" t="n">
        <v>0.18</v>
      </c>
      <c r="AJ112" s="233" t="n">
        <v>0</v>
      </c>
      <c r="AK112" s="233" t="n">
        <v>-0.61</v>
      </c>
      <c r="AL112" s="233" t="n">
        <v>0.0017110285254621</v>
      </c>
      <c r="AM112" s="233" t="n">
        <v>0.13</v>
      </c>
      <c r="AN112" s="233" t="n">
        <v>1.54090797480295</v>
      </c>
      <c r="AO112" s="233" t="n">
        <v>0.19</v>
      </c>
      <c r="AP112" s="233" t="n">
        <v>0.18</v>
      </c>
      <c r="AQ112" s="233" t="n">
        <v>0.18</v>
      </c>
      <c r="AR112" s="233" t="n">
        <f aca="false">1/AN112</f>
        <v>0.648968021680775</v>
      </c>
      <c r="AT112" s="253" t="n">
        <f aca="false">AR112*AM112*$AT$6</f>
        <v>0.0890106886607161</v>
      </c>
      <c r="AU112" s="253" t="n">
        <f aca="false">AK112+AL112+AT112</f>
        <v>-0.519278282813822</v>
      </c>
      <c r="AV112" s="233" t="n">
        <f aca="false">[10]Sheet1!AA103</f>
        <v>0.157</v>
      </c>
      <c r="AW112" s="233" t="n">
        <v>0</v>
      </c>
    </row>
    <row r="113" customFormat="false" ht="11.25" hidden="false" customHeight="false" outlineLevel="0" collapsed="false">
      <c r="A113" s="233"/>
      <c r="B113" s="233"/>
      <c r="C113" s="231" t="e">
        <f aca="false">NextMonth(C112)</f>
        <v>#VALUE!</v>
      </c>
      <c r="D113" s="252" t="n">
        <v>0.062018280667802</v>
      </c>
      <c r="E113" s="232" t="n">
        <v>4.195</v>
      </c>
      <c r="F113" s="232" t="n">
        <v>0.19</v>
      </c>
      <c r="G113" s="232" t="n">
        <v>0.19</v>
      </c>
      <c r="H113" s="232" t="n">
        <v>0.19</v>
      </c>
      <c r="I113" s="232" t="n">
        <v>0.196</v>
      </c>
      <c r="J113" s="232" t="n">
        <v>0.19</v>
      </c>
      <c r="K113" s="233" t="n">
        <v>0.19</v>
      </c>
      <c r="L113" s="232" t="n">
        <v>0.45</v>
      </c>
      <c r="M113" s="232" t="n">
        <v>0.4</v>
      </c>
      <c r="N113" s="232" t="n">
        <v>0.5</v>
      </c>
      <c r="O113" s="232" t="n">
        <v>0.5</v>
      </c>
      <c r="P113" s="232" t="n">
        <v>0.5</v>
      </c>
      <c r="Q113" s="252" t="n">
        <v>0.21</v>
      </c>
      <c r="R113" s="252" t="n">
        <v>0</v>
      </c>
      <c r="S113" s="233" t="n">
        <v>-0.05</v>
      </c>
      <c r="T113" s="233" t="n">
        <v>0</v>
      </c>
      <c r="U113" s="233" t="n">
        <v>-0.14</v>
      </c>
      <c r="V113" s="233" t="n">
        <v>-0.01</v>
      </c>
      <c r="W113" s="233" t="n">
        <v>-0.14</v>
      </c>
      <c r="X113" s="233" t="n">
        <v>-0.01</v>
      </c>
      <c r="Y113" s="233" t="n">
        <v>0.15</v>
      </c>
      <c r="Z113" s="233" t="n">
        <v>0</v>
      </c>
      <c r="AA113" s="233" t="n">
        <v>0.15</v>
      </c>
      <c r="AB113" s="233" t="n">
        <v>0</v>
      </c>
      <c r="AC113" s="233" t="n">
        <v>0.17</v>
      </c>
      <c r="AD113" s="233" t="n">
        <v>0.0125</v>
      </c>
      <c r="AE113" s="233" t="n">
        <v>0.09</v>
      </c>
      <c r="AF113" s="233" t="n">
        <v>0.005</v>
      </c>
      <c r="AG113" s="233" t="n">
        <v>0.235</v>
      </c>
      <c r="AH113" s="233" t="n">
        <v>0</v>
      </c>
      <c r="AI113" s="233" t="n">
        <v>0.18</v>
      </c>
      <c r="AJ113" s="233" t="n">
        <v>0</v>
      </c>
      <c r="AK113" s="233" t="n">
        <v>-0.61</v>
      </c>
      <c r="AL113" s="233" t="n">
        <v>0.0017110923213085</v>
      </c>
      <c r="AM113" s="233" t="n">
        <v>0.13</v>
      </c>
      <c r="AN113" s="233" t="n">
        <v>1.54085052405804</v>
      </c>
      <c r="AO113" s="233" t="n">
        <v>0.19</v>
      </c>
      <c r="AP113" s="233" t="n">
        <v>0.18</v>
      </c>
      <c r="AQ113" s="233" t="n">
        <v>0.18</v>
      </c>
      <c r="AR113" s="233" t="n">
        <f aca="false">1/AN113</f>
        <v>0.648992218509531</v>
      </c>
      <c r="AT113" s="253" t="n">
        <f aca="false">AR113*AM113*$AT$6</f>
        <v>0.0890140074319329</v>
      </c>
      <c r="AU113" s="253" t="n">
        <f aca="false">AK113+AL113+AT113</f>
        <v>-0.519274900246759</v>
      </c>
      <c r="AV113" s="233" t="n">
        <f aca="false">[10]Sheet1!AA104</f>
        <v>0.157</v>
      </c>
      <c r="AW113" s="233" t="n">
        <v>0</v>
      </c>
    </row>
    <row r="114" customFormat="false" ht="11.25" hidden="false" customHeight="false" outlineLevel="0" collapsed="false">
      <c r="A114" s="233"/>
      <c r="B114" s="233"/>
      <c r="C114" s="231" t="e">
        <f aca="false">NextMonth(C113)</f>
        <v>#VALUE!</v>
      </c>
      <c r="D114" s="252" t="n">
        <v>0.062103452517599</v>
      </c>
      <c r="E114" s="232" t="n">
        <v>4.25</v>
      </c>
      <c r="F114" s="232" t="n">
        <v>0.19</v>
      </c>
      <c r="G114" s="232" t="n">
        <v>0.19</v>
      </c>
      <c r="H114" s="232" t="n">
        <v>0.19</v>
      </c>
      <c r="I114" s="232" t="n">
        <v>0.196</v>
      </c>
      <c r="J114" s="232" t="n">
        <v>0.19</v>
      </c>
      <c r="K114" s="233" t="n">
        <v>0.19</v>
      </c>
      <c r="L114" s="232" t="n">
        <v>0.5</v>
      </c>
      <c r="M114" s="232" t="n">
        <v>0.4</v>
      </c>
      <c r="N114" s="232" t="n">
        <v>0.55</v>
      </c>
      <c r="O114" s="232" t="n">
        <v>0.5</v>
      </c>
      <c r="P114" s="232" t="n">
        <v>0.5</v>
      </c>
      <c r="Q114" s="252" t="n">
        <v>0.21</v>
      </c>
      <c r="R114" s="252" t="n">
        <v>0</v>
      </c>
      <c r="S114" s="233" t="n">
        <v>-0.05</v>
      </c>
      <c r="T114" s="233" t="n">
        <v>0</v>
      </c>
      <c r="U114" s="233" t="n">
        <v>-0.14</v>
      </c>
      <c r="V114" s="233" t="n">
        <v>-0.01</v>
      </c>
      <c r="W114" s="233" t="n">
        <v>-0.14</v>
      </c>
      <c r="X114" s="233" t="n">
        <v>-0.01</v>
      </c>
      <c r="Y114" s="233" t="n">
        <v>0.15</v>
      </c>
      <c r="Z114" s="233" t="n">
        <v>0</v>
      </c>
      <c r="AA114" s="233" t="n">
        <v>0.15</v>
      </c>
      <c r="AB114" s="233" t="n">
        <v>0</v>
      </c>
      <c r="AC114" s="233" t="n">
        <v>0.175</v>
      </c>
      <c r="AD114" s="233" t="n">
        <v>0.0125</v>
      </c>
      <c r="AE114" s="233" t="n">
        <v>0.09</v>
      </c>
      <c r="AF114" s="233" t="n">
        <v>0.005</v>
      </c>
      <c r="AG114" s="233" t="n">
        <v>0.235</v>
      </c>
      <c r="AH114" s="233" t="n">
        <v>0</v>
      </c>
      <c r="AI114" s="233" t="n">
        <v>0.18</v>
      </c>
      <c r="AJ114" s="233" t="n">
        <v>0</v>
      </c>
      <c r="AK114" s="233" t="n">
        <v>-0.61</v>
      </c>
      <c r="AL114" s="233" t="n">
        <v>0.0017111529099566</v>
      </c>
      <c r="AM114" s="233" t="n">
        <v>0.13</v>
      </c>
      <c r="AN114" s="233" t="n">
        <v>1.54079596549138</v>
      </c>
      <c r="AO114" s="233" t="n">
        <v>0.19</v>
      </c>
      <c r="AP114" s="233" t="n">
        <v>0.18</v>
      </c>
      <c r="AQ114" s="233" t="n">
        <v>0.18</v>
      </c>
      <c r="AR114" s="233" t="n">
        <f aca="false">1/AN114</f>
        <v>0.649015198894999</v>
      </c>
      <c r="AT114" s="253" t="n">
        <f aca="false">AR114*AM114*$AT$6</f>
        <v>0.0890171593590971</v>
      </c>
      <c r="AU114" s="253" t="n">
        <f aca="false">AK114+AL114+AT114</f>
        <v>-0.519271687730946</v>
      </c>
      <c r="AV114" s="233" t="n">
        <f aca="false">[10]Sheet1!AA105</f>
        <v>0.157</v>
      </c>
      <c r="AW114" s="233" t="n">
        <v>0</v>
      </c>
    </row>
    <row r="115" customFormat="false" ht="11.25" hidden="false" customHeight="false" outlineLevel="0" collapsed="false">
      <c r="A115" s="233"/>
      <c r="B115" s="233"/>
      <c r="C115" s="231" t="e">
        <f aca="false">NextMonth(C114)</f>
        <v>#VALUE!</v>
      </c>
      <c r="D115" s="252" t="n">
        <v>0.0621914634315854</v>
      </c>
      <c r="E115" s="232" t="n">
        <v>4.306</v>
      </c>
      <c r="F115" s="232" t="n">
        <v>0.19</v>
      </c>
      <c r="G115" s="232" t="n">
        <v>0.19</v>
      </c>
      <c r="H115" s="232" t="n">
        <v>0.19</v>
      </c>
      <c r="I115" s="232" t="n">
        <v>0.196</v>
      </c>
      <c r="J115" s="232" t="n">
        <v>0.19</v>
      </c>
      <c r="K115" s="233" t="n">
        <v>0.19</v>
      </c>
      <c r="L115" s="232" t="n">
        <v>0.55</v>
      </c>
      <c r="M115" s="232" t="n">
        <v>0.5</v>
      </c>
      <c r="N115" s="232" t="n">
        <v>0.6</v>
      </c>
      <c r="O115" s="232" t="n">
        <v>0.45</v>
      </c>
      <c r="P115" s="232" t="n">
        <v>0.55</v>
      </c>
      <c r="Q115" s="252" t="n">
        <v>0.21</v>
      </c>
      <c r="R115" s="252" t="n">
        <v>0</v>
      </c>
      <c r="S115" s="233" t="n">
        <v>-0.05</v>
      </c>
      <c r="T115" s="233" t="n">
        <v>0</v>
      </c>
      <c r="U115" s="233" t="n">
        <v>-0.14</v>
      </c>
      <c r="V115" s="233" t="n">
        <v>-0.01</v>
      </c>
      <c r="W115" s="233" t="n">
        <v>-0.14</v>
      </c>
      <c r="X115" s="233" t="n">
        <v>-0.01</v>
      </c>
      <c r="Y115" s="233" t="n">
        <v>0.15</v>
      </c>
      <c r="Z115" s="233" t="n">
        <v>0</v>
      </c>
      <c r="AA115" s="233" t="n">
        <v>0.15</v>
      </c>
      <c r="AB115" s="233" t="n">
        <v>0</v>
      </c>
      <c r="AC115" s="233" t="n">
        <v>0.175</v>
      </c>
      <c r="AD115" s="233" t="n">
        <v>0.0125</v>
      </c>
      <c r="AE115" s="233" t="n">
        <v>0.09</v>
      </c>
      <c r="AF115" s="233" t="n">
        <v>0.005</v>
      </c>
      <c r="AG115" s="233" t="n">
        <v>0.235</v>
      </c>
      <c r="AH115" s="233" t="n">
        <v>0</v>
      </c>
      <c r="AI115" s="233" t="n">
        <v>0.18</v>
      </c>
      <c r="AJ115" s="233" t="n">
        <v>0</v>
      </c>
      <c r="AK115" s="233" t="n">
        <v>-0.61</v>
      </c>
      <c r="AL115" s="233" t="n">
        <v>0.0017112143306747</v>
      </c>
      <c r="AM115" s="233" t="n">
        <v>0.13</v>
      </c>
      <c r="AN115" s="233" t="n">
        <v>1.54074066160982</v>
      </c>
      <c r="AO115" s="233" t="n">
        <v>0.19</v>
      </c>
      <c r="AP115" s="233" t="n">
        <v>0.18</v>
      </c>
      <c r="AQ115" s="233" t="n">
        <v>0.18</v>
      </c>
      <c r="AR115" s="233" t="n">
        <f aca="false">1/AN115</f>
        <v>0.649038494872437</v>
      </c>
      <c r="AT115" s="253" t="n">
        <f aca="false">AR115*AM115*$AT$6</f>
        <v>0.0890203545719974</v>
      </c>
      <c r="AU115" s="253" t="n">
        <f aca="false">AK115+AL115+AT115</f>
        <v>-0.519268431097328</v>
      </c>
      <c r="AV115" s="233" t="n">
        <f aca="false">[10]Sheet1!AA106</f>
        <v>0.157</v>
      </c>
      <c r="AW115" s="233" t="n">
        <v>0</v>
      </c>
    </row>
    <row r="116" customFormat="false" ht="11.25" hidden="false" customHeight="false" outlineLevel="0" collapsed="false">
      <c r="A116" s="233"/>
      <c r="B116" s="233"/>
      <c r="C116" s="231" t="e">
        <f aca="false">NextMonth(C115)</f>
        <v>#VALUE!</v>
      </c>
      <c r="D116" s="252" t="n">
        <v>0.0622794743481432</v>
      </c>
      <c r="E116" s="232" t="n">
        <v>4.32</v>
      </c>
      <c r="F116" s="232" t="n">
        <v>0.19</v>
      </c>
      <c r="G116" s="232" t="n">
        <v>0.19</v>
      </c>
      <c r="H116" s="232" t="n">
        <v>0.19</v>
      </c>
      <c r="I116" s="232" t="n">
        <v>0.196</v>
      </c>
      <c r="J116" s="232" t="n">
        <v>0.19</v>
      </c>
      <c r="K116" s="233" t="n">
        <v>0.19</v>
      </c>
      <c r="L116" s="232" t="n">
        <v>0.55</v>
      </c>
      <c r="M116" s="232" t="n">
        <v>0.55</v>
      </c>
      <c r="N116" s="232" t="n">
        <v>0.6</v>
      </c>
      <c r="O116" s="232" t="n">
        <v>0.5</v>
      </c>
      <c r="P116" s="232" t="n">
        <v>0.6</v>
      </c>
      <c r="Q116" s="252" t="n">
        <v>0.21</v>
      </c>
      <c r="R116" s="252" t="n">
        <v>0</v>
      </c>
      <c r="S116" s="233" t="n">
        <v>-0.05</v>
      </c>
      <c r="T116" s="233" t="n">
        <v>0</v>
      </c>
      <c r="U116" s="233" t="n">
        <v>-0.14</v>
      </c>
      <c r="V116" s="233" t="n">
        <v>-0.01</v>
      </c>
      <c r="W116" s="233" t="n">
        <v>-0.14</v>
      </c>
      <c r="X116" s="233" t="n">
        <v>-0.01</v>
      </c>
      <c r="Y116" s="233" t="n">
        <v>0.15</v>
      </c>
      <c r="Z116" s="233" t="n">
        <v>0</v>
      </c>
      <c r="AA116" s="233" t="n">
        <v>0.15</v>
      </c>
      <c r="AB116" s="233" t="n">
        <v>0</v>
      </c>
      <c r="AC116" s="233" t="n">
        <v>0.165</v>
      </c>
      <c r="AD116" s="233" t="n">
        <v>0.0125</v>
      </c>
      <c r="AE116" s="233" t="n">
        <v>0.09</v>
      </c>
      <c r="AF116" s="233" t="n">
        <v>0.005</v>
      </c>
      <c r="AG116" s="233" t="n">
        <v>0.235</v>
      </c>
      <c r="AH116" s="233" t="n">
        <v>0</v>
      </c>
      <c r="AI116" s="233" t="n">
        <v>0.18</v>
      </c>
      <c r="AJ116" s="233" t="n">
        <v>0</v>
      </c>
      <c r="AK116" s="233" t="n">
        <v>-0.61</v>
      </c>
      <c r="AL116" s="233" t="n">
        <v>0.0017112745444013</v>
      </c>
      <c r="AM116" s="233" t="n">
        <v>0.13</v>
      </c>
      <c r="AN116" s="233" t="n">
        <v>1.54068644837017</v>
      </c>
      <c r="AO116" s="233" t="n">
        <v>0.19</v>
      </c>
      <c r="AP116" s="233" t="n">
        <v>0.18</v>
      </c>
      <c r="AQ116" s="233" t="n">
        <v>0.18</v>
      </c>
      <c r="AR116" s="233" t="n">
        <f aca="false">1/AN116</f>
        <v>0.649061333055704</v>
      </c>
      <c r="AT116" s="253" t="n">
        <f aca="false">AR116*AM116*$AT$6</f>
        <v>0.0890234869950944</v>
      </c>
      <c r="AU116" s="253" t="n">
        <f aca="false">AK116+AL116+AT116</f>
        <v>-0.519265238460504</v>
      </c>
      <c r="AV116" s="233" t="n">
        <f aca="false">[10]Sheet1!AA107</f>
        <v>0.157</v>
      </c>
      <c r="AW116" s="233" t="n">
        <v>0</v>
      </c>
    </row>
    <row r="117" customFormat="false" ht="11.25" hidden="false" customHeight="false" outlineLevel="0" collapsed="false">
      <c r="A117" s="233"/>
      <c r="B117" s="233"/>
      <c r="C117" s="231" t="e">
        <f aca="false">NextMonth(C116)</f>
        <v>#VALUE!</v>
      </c>
      <c r="D117" s="252" t="n">
        <v>0.062364646205324</v>
      </c>
      <c r="E117" s="232" t="n">
        <v>4.351</v>
      </c>
      <c r="F117" s="232" t="n">
        <v>0.19</v>
      </c>
      <c r="G117" s="232" t="n">
        <v>0.19</v>
      </c>
      <c r="H117" s="232" t="n">
        <v>0.19</v>
      </c>
      <c r="I117" s="232" t="n">
        <v>0.196</v>
      </c>
      <c r="J117" s="232" t="n">
        <v>0.19</v>
      </c>
      <c r="K117" s="233" t="n">
        <v>0.19</v>
      </c>
      <c r="L117" s="232" t="n">
        <v>0.6</v>
      </c>
      <c r="M117" s="232" t="n">
        <v>0.55</v>
      </c>
      <c r="N117" s="232" t="n">
        <v>0.65</v>
      </c>
      <c r="O117" s="232" t="n">
        <v>0.5</v>
      </c>
      <c r="P117" s="232" t="n">
        <v>0.65</v>
      </c>
      <c r="Q117" s="252" t="n">
        <v>0.21</v>
      </c>
      <c r="R117" s="252" t="n">
        <v>0</v>
      </c>
      <c r="S117" s="233" t="n">
        <v>-0.05</v>
      </c>
      <c r="T117" s="233" t="n">
        <v>0</v>
      </c>
      <c r="U117" s="233" t="n">
        <v>-0.14</v>
      </c>
      <c r="V117" s="233" t="n">
        <v>-0.01</v>
      </c>
      <c r="W117" s="233" t="n">
        <v>-0.14</v>
      </c>
      <c r="X117" s="233" t="n">
        <v>-0.01</v>
      </c>
      <c r="Y117" s="233" t="n">
        <v>0.15</v>
      </c>
      <c r="Z117" s="233" t="n">
        <v>0</v>
      </c>
      <c r="AA117" s="233" t="n">
        <v>0.15</v>
      </c>
      <c r="AB117" s="233" t="n">
        <v>0</v>
      </c>
      <c r="AC117" s="233" t="n">
        <v>0.1725</v>
      </c>
      <c r="AD117" s="233" t="n">
        <v>0.0125</v>
      </c>
      <c r="AE117" s="233" t="n">
        <v>0.09</v>
      </c>
      <c r="AF117" s="233" t="n">
        <v>0.005</v>
      </c>
      <c r="AG117" s="233" t="n">
        <v>0.235</v>
      </c>
      <c r="AH117" s="233" t="n">
        <v>0</v>
      </c>
      <c r="AI117" s="233" t="n">
        <v>0.18</v>
      </c>
      <c r="AJ117" s="233" t="n">
        <v>0</v>
      </c>
      <c r="AK117" s="233" t="n">
        <v>-0.61</v>
      </c>
      <c r="AL117" s="233" t="n">
        <v>0.0017113316665621</v>
      </c>
      <c r="AM117" s="233" t="n">
        <v>0.13</v>
      </c>
      <c r="AN117" s="233" t="n">
        <v>1.54063502213836</v>
      </c>
      <c r="AO117" s="233" t="n">
        <v>0.19</v>
      </c>
      <c r="AP117" s="233" t="n">
        <v>0.18</v>
      </c>
      <c r="AQ117" s="233" t="n">
        <v>0.18</v>
      </c>
      <c r="AR117" s="233" t="n">
        <f aca="false">1/AN117</f>
        <v>0.649082998653391</v>
      </c>
      <c r="AT117" s="253" t="n">
        <f aca="false">AR117*AM117*$AT$6</f>
        <v>0.0890264585895428</v>
      </c>
      <c r="AU117" s="253" t="n">
        <f aca="false">AK117+AL117+AT117</f>
        <v>-0.519262209743895</v>
      </c>
      <c r="AV117" s="233" t="n">
        <f aca="false">[10]Sheet1!AA108</f>
        <v>0.157</v>
      </c>
      <c r="AW117" s="233" t="n">
        <v>0</v>
      </c>
    </row>
    <row r="118" customFormat="false" ht="11.25" hidden="false" customHeight="false" outlineLevel="0" collapsed="false">
      <c r="A118" s="233"/>
      <c r="B118" s="233"/>
      <c r="C118" s="231" t="e">
        <f aca="false">NextMonth(C117)</f>
        <v>#VALUE!</v>
      </c>
      <c r="D118" s="252" t="n">
        <v>0.0624526571269404</v>
      </c>
      <c r="E118" s="232" t="n">
        <v>4.484</v>
      </c>
      <c r="F118" s="232" t="n">
        <v>0.19</v>
      </c>
      <c r="G118" s="232" t="n">
        <v>0.19</v>
      </c>
      <c r="H118" s="232" t="n">
        <v>0.19</v>
      </c>
      <c r="I118" s="232" t="n">
        <v>0.196</v>
      </c>
      <c r="J118" s="232" t="n">
        <v>0.19</v>
      </c>
      <c r="K118" s="233" t="n">
        <v>0.19</v>
      </c>
      <c r="L118" s="232" t="n">
        <v>0.8</v>
      </c>
      <c r="M118" s="232" t="n">
        <v>0.8</v>
      </c>
      <c r="N118" s="232" t="n">
        <v>0.8</v>
      </c>
      <c r="O118" s="232" t="n">
        <v>0.95</v>
      </c>
      <c r="P118" s="232" t="n">
        <v>0.85</v>
      </c>
      <c r="Q118" s="252" t="n">
        <v>0.325</v>
      </c>
      <c r="R118" s="252" t="n">
        <v>0</v>
      </c>
      <c r="S118" s="233" t="n">
        <v>-0.0495</v>
      </c>
      <c r="T118" s="233" t="n">
        <v>0.005</v>
      </c>
      <c r="U118" s="233" t="n">
        <v>-0.1425</v>
      </c>
      <c r="V118" s="233" t="n">
        <v>0.01</v>
      </c>
      <c r="W118" s="233" t="n">
        <v>-0.1425</v>
      </c>
      <c r="X118" s="233" t="n">
        <v>0.01</v>
      </c>
      <c r="Y118" s="233" t="n">
        <v>0.225</v>
      </c>
      <c r="Z118" s="233" t="n">
        <v>0</v>
      </c>
      <c r="AA118" s="233" t="n">
        <v>0.225</v>
      </c>
      <c r="AB118" s="233" t="n">
        <v>0</v>
      </c>
      <c r="AC118" s="233" t="n">
        <v>0.24</v>
      </c>
      <c r="AD118" s="233" t="n">
        <v>0.03</v>
      </c>
      <c r="AE118" s="233" t="n">
        <v>0.175</v>
      </c>
      <c r="AF118" s="233" t="n">
        <v>0.02</v>
      </c>
      <c r="AG118" s="233" t="n">
        <v>0.425</v>
      </c>
      <c r="AH118" s="233" t="n">
        <v>0</v>
      </c>
      <c r="AI118" s="233" t="n">
        <v>0.275</v>
      </c>
      <c r="AJ118" s="233" t="n">
        <v>0</v>
      </c>
      <c r="AK118" s="233" t="n">
        <v>-0.57</v>
      </c>
      <c r="AL118" s="233" t="n">
        <v>0.0054764464170675</v>
      </c>
      <c r="AM118" s="233" t="n">
        <v>0.13</v>
      </c>
      <c r="AN118" s="233" t="n">
        <v>1.5405829542504</v>
      </c>
      <c r="AO118" s="233" t="n">
        <v>0.19</v>
      </c>
      <c r="AP118" s="233" t="n">
        <v>0.275</v>
      </c>
      <c r="AQ118" s="233" t="n">
        <v>0.275</v>
      </c>
      <c r="AR118" s="233" t="n">
        <f aca="false">1/AN118</f>
        <v>0.649104936051022</v>
      </c>
      <c r="AT118" s="253" t="n">
        <f aca="false">AR118*AM118*$AT$6</f>
        <v>0.0890294674633321</v>
      </c>
      <c r="AU118" s="253" t="n">
        <f aca="false">AK118+AL118+AT118</f>
        <v>-0.4754940861196</v>
      </c>
      <c r="AV118" s="233" t="n">
        <f aca="false">[10]Sheet1!AA109</f>
        <v>0.204071428571429</v>
      </c>
      <c r="AW118" s="233" t="n">
        <v>0</v>
      </c>
    </row>
    <row r="119" customFormat="false" ht="11.25" hidden="false" customHeight="false" outlineLevel="0" collapsed="false">
      <c r="A119" s="233"/>
      <c r="B119" s="233"/>
      <c r="C119" s="231" t="e">
        <f aca="false">NextMonth(C118)</f>
        <v>#VALUE!</v>
      </c>
      <c r="D119" s="252" t="n">
        <v>0.0625378289890168</v>
      </c>
      <c r="E119" s="232" t="n">
        <v>4.622</v>
      </c>
      <c r="F119" s="232" t="n">
        <v>0.19</v>
      </c>
      <c r="G119" s="232" t="n">
        <v>0.19</v>
      </c>
      <c r="H119" s="232" t="n">
        <v>0.19</v>
      </c>
      <c r="I119" s="232" t="n">
        <v>0.196</v>
      </c>
      <c r="J119" s="232" t="n">
        <v>0.19</v>
      </c>
      <c r="K119" s="233" t="n">
        <v>0.19</v>
      </c>
      <c r="L119" s="232" t="n">
        <v>1</v>
      </c>
      <c r="M119" s="232" t="n">
        <v>1</v>
      </c>
      <c r="N119" s="232" t="n">
        <v>1.1</v>
      </c>
      <c r="O119" s="232" t="n">
        <v>1.35</v>
      </c>
      <c r="P119" s="232" t="n">
        <v>1.05</v>
      </c>
      <c r="Q119" s="252" t="n">
        <v>0.325</v>
      </c>
      <c r="R119" s="252" t="n">
        <v>0</v>
      </c>
      <c r="S119" s="233" t="n">
        <v>-0.0495</v>
      </c>
      <c r="T119" s="233" t="n">
        <v>0.005</v>
      </c>
      <c r="U119" s="233" t="n">
        <v>-0.1375</v>
      </c>
      <c r="V119" s="233" t="n">
        <v>0.01</v>
      </c>
      <c r="W119" s="233" t="n">
        <v>-0.1375</v>
      </c>
      <c r="X119" s="233" t="n">
        <v>0.01</v>
      </c>
      <c r="Y119" s="233" t="n">
        <v>0.225</v>
      </c>
      <c r="Z119" s="233" t="n">
        <v>0</v>
      </c>
      <c r="AA119" s="233" t="n">
        <v>0.225</v>
      </c>
      <c r="AB119" s="233" t="n">
        <v>0</v>
      </c>
      <c r="AC119" s="233" t="n">
        <v>0.26</v>
      </c>
      <c r="AD119" s="233" t="n">
        <v>0.03</v>
      </c>
      <c r="AE119" s="233" t="n">
        <v>0.175</v>
      </c>
      <c r="AF119" s="233" t="n">
        <v>0.02</v>
      </c>
      <c r="AG119" s="233" t="n">
        <v>0.425</v>
      </c>
      <c r="AH119" s="233" t="n">
        <v>0</v>
      </c>
      <c r="AI119" s="233" t="n">
        <v>0.275</v>
      </c>
      <c r="AJ119" s="233" t="n">
        <v>0</v>
      </c>
      <c r="AK119" s="233" t="n">
        <v>-0.57</v>
      </c>
      <c r="AL119" s="233" t="n">
        <v>0.0054766218534902</v>
      </c>
      <c r="AM119" s="233" t="n">
        <v>0.13</v>
      </c>
      <c r="AN119" s="233" t="n">
        <v>1.54053360368914</v>
      </c>
      <c r="AO119" s="233" t="n">
        <v>0.19</v>
      </c>
      <c r="AP119" s="233" t="n">
        <v>0.275</v>
      </c>
      <c r="AQ119" s="233" t="n">
        <v>0.275</v>
      </c>
      <c r="AR119" s="233" t="n">
        <f aca="false">1/AN119</f>
        <v>0.649125729945315</v>
      </c>
      <c r="AT119" s="253" t="n">
        <f aca="false">AR119*AM119*$AT$6</f>
        <v>0.089032319497314</v>
      </c>
      <c r="AU119" s="253" t="n">
        <f aca="false">AK119+AL119+AT119</f>
        <v>-0.475491058649196</v>
      </c>
      <c r="AV119" s="233" t="n">
        <f aca="false">[10]Sheet1!AA110</f>
        <v>0.209071428571429</v>
      </c>
      <c r="AW119" s="233" t="n">
        <v>0</v>
      </c>
    </row>
    <row r="120" customFormat="false" ht="11.25" hidden="false" customHeight="false" outlineLevel="0" collapsed="false">
      <c r="A120" s="233"/>
      <c r="B120" s="233"/>
      <c r="C120" s="231" t="e">
        <f aca="false">NextMonth(C119)</f>
        <v>#VALUE!</v>
      </c>
      <c r="D120" s="252" t="n">
        <v>0.0626258399156909</v>
      </c>
      <c r="E120" s="232" t="n">
        <v>4.649</v>
      </c>
      <c r="F120" s="232" t="n">
        <v>0.19</v>
      </c>
      <c r="G120" s="232" t="n">
        <v>0.19</v>
      </c>
      <c r="H120" s="232" t="n">
        <v>0.19</v>
      </c>
      <c r="I120" s="232" t="n">
        <v>0.196</v>
      </c>
      <c r="J120" s="232" t="n">
        <v>0.19</v>
      </c>
      <c r="K120" s="233" t="n">
        <v>0.19</v>
      </c>
      <c r="L120" s="232" t="n">
        <v>1</v>
      </c>
      <c r="M120" s="232" t="n">
        <v>1</v>
      </c>
      <c r="N120" s="232" t="n">
        <v>1.1</v>
      </c>
      <c r="O120" s="232" t="n">
        <v>1.35</v>
      </c>
      <c r="P120" s="232" t="n">
        <v>1.05</v>
      </c>
      <c r="Q120" s="252" t="n">
        <v>0.325</v>
      </c>
      <c r="R120" s="252" t="n">
        <v>0</v>
      </c>
      <c r="S120" s="233" t="n">
        <v>-0.0495</v>
      </c>
      <c r="T120" s="233" t="n">
        <v>0.005</v>
      </c>
      <c r="U120" s="233" t="n">
        <v>-0.1375</v>
      </c>
      <c r="V120" s="233" t="n">
        <v>0.01</v>
      </c>
      <c r="W120" s="233" t="n">
        <v>-0.1375</v>
      </c>
      <c r="X120" s="233" t="n">
        <v>0.01</v>
      </c>
      <c r="Y120" s="233" t="n">
        <v>0.225</v>
      </c>
      <c r="Z120" s="233" t="n">
        <v>0</v>
      </c>
      <c r="AA120" s="233" t="n">
        <v>0.225</v>
      </c>
      <c r="AB120" s="233" t="n">
        <v>0</v>
      </c>
      <c r="AC120" s="233" t="n">
        <v>0.27</v>
      </c>
      <c r="AD120" s="233" t="n">
        <v>0.03</v>
      </c>
      <c r="AE120" s="233" t="n">
        <v>0.175</v>
      </c>
      <c r="AF120" s="233" t="n">
        <v>0.02</v>
      </c>
      <c r="AG120" s="233" t="n">
        <v>0.425</v>
      </c>
      <c r="AH120" s="233" t="n">
        <v>0</v>
      </c>
      <c r="AI120" s="233" t="n">
        <v>0.275</v>
      </c>
      <c r="AJ120" s="233" t="n">
        <v>0</v>
      </c>
      <c r="AK120" s="233" t="n">
        <v>-0.57</v>
      </c>
      <c r="AL120" s="233" t="n">
        <v>0.005476799338148</v>
      </c>
      <c r="AM120" s="233" t="n">
        <v>0.13</v>
      </c>
      <c r="AN120" s="233" t="n">
        <v>1.54048368017312</v>
      </c>
      <c r="AO120" s="233" t="n">
        <v>0.19</v>
      </c>
      <c r="AP120" s="233" t="n">
        <v>0.275</v>
      </c>
      <c r="AQ120" s="233" t="n">
        <v>0.275</v>
      </c>
      <c r="AR120" s="233" t="n">
        <f aca="false">1/AN120</f>
        <v>0.649146766610095</v>
      </c>
      <c r="AT120" s="253" t="n">
        <f aca="false">AR120*AM120*$AT$6</f>
        <v>0.0890352048290354</v>
      </c>
      <c r="AU120" s="253" t="n">
        <f aca="false">AK120+AL120+AT120</f>
        <v>-0.475487995832817</v>
      </c>
      <c r="AV120" s="233" t="n">
        <f aca="false">[10]Sheet1!AA111</f>
        <v>0.209071428571429</v>
      </c>
      <c r="AW120" s="233" t="n">
        <v>0</v>
      </c>
    </row>
    <row r="121" customFormat="false" ht="11.25" hidden="false" customHeight="false" outlineLevel="0" collapsed="false">
      <c r="A121" s="233"/>
      <c r="B121" s="233"/>
      <c r="C121" s="231" t="e">
        <f aca="false">NextMonth(C120)</f>
        <v>#VALUE!</v>
      </c>
      <c r="D121" s="252" t="n">
        <v>0.0627138508449359</v>
      </c>
      <c r="E121" s="232" t="n">
        <v>4.529</v>
      </c>
      <c r="F121" s="232" t="n">
        <v>0.185</v>
      </c>
      <c r="G121" s="232" t="n">
        <v>0.185</v>
      </c>
      <c r="H121" s="232" t="n">
        <v>0.185</v>
      </c>
      <c r="I121" s="232" t="n">
        <v>0.191</v>
      </c>
      <c r="J121" s="232" t="n">
        <v>0.185</v>
      </c>
      <c r="K121" s="233" t="n">
        <v>0.185</v>
      </c>
      <c r="L121" s="232" t="n">
        <v>1</v>
      </c>
      <c r="M121" s="232" t="n">
        <v>1</v>
      </c>
      <c r="N121" s="232" t="n">
        <v>1.1</v>
      </c>
      <c r="O121" s="232" t="n">
        <v>1.35</v>
      </c>
      <c r="P121" s="232" t="n">
        <v>1.05</v>
      </c>
      <c r="Q121" s="252" t="n">
        <v>0.325</v>
      </c>
      <c r="R121" s="252" t="n">
        <v>0</v>
      </c>
      <c r="S121" s="233" t="n">
        <v>-0.0495</v>
      </c>
      <c r="T121" s="233" t="n">
        <v>0.005</v>
      </c>
      <c r="U121" s="233" t="n">
        <v>-0.14</v>
      </c>
      <c r="V121" s="233" t="n">
        <v>0.01</v>
      </c>
      <c r="W121" s="233" t="n">
        <v>-0.14</v>
      </c>
      <c r="X121" s="233" t="n">
        <v>0.01</v>
      </c>
      <c r="Y121" s="233" t="n">
        <v>0.225</v>
      </c>
      <c r="Z121" s="233" t="n">
        <v>0</v>
      </c>
      <c r="AA121" s="233" t="n">
        <v>0.225</v>
      </c>
      <c r="AB121" s="233" t="n">
        <v>0</v>
      </c>
      <c r="AC121" s="233" t="n">
        <v>0.27</v>
      </c>
      <c r="AD121" s="233" t="n">
        <v>0.03</v>
      </c>
      <c r="AE121" s="233" t="n">
        <v>0.175</v>
      </c>
      <c r="AF121" s="233" t="n">
        <v>0.02</v>
      </c>
      <c r="AG121" s="233" t="n">
        <v>0.425</v>
      </c>
      <c r="AH121" s="233" t="n">
        <v>0</v>
      </c>
      <c r="AI121" s="233" t="n">
        <v>0.275</v>
      </c>
      <c r="AJ121" s="233" t="n">
        <v>0</v>
      </c>
      <c r="AK121" s="233" t="n">
        <v>-0.57</v>
      </c>
      <c r="AL121" s="233" t="n">
        <v>0.0054769729610005</v>
      </c>
      <c r="AM121" s="233" t="n">
        <v>0.13</v>
      </c>
      <c r="AN121" s="233" t="n">
        <v>1.54043484605019</v>
      </c>
      <c r="AO121" s="233" t="n">
        <v>0.185</v>
      </c>
      <c r="AP121" s="233" t="n">
        <v>0.275</v>
      </c>
      <c r="AQ121" s="233" t="n">
        <v>0.275</v>
      </c>
      <c r="AR121" s="233" t="n">
        <f aca="false">1/AN121</f>
        <v>0.649167345547972</v>
      </c>
      <c r="AT121" s="253" t="n">
        <f aca="false">AR121*AM121*$AT$6</f>
        <v>0.0890380273801799</v>
      </c>
      <c r="AU121" s="253" t="n">
        <f aca="false">AK121+AL121+AT121</f>
        <v>-0.47548499965882</v>
      </c>
      <c r="AV121" s="233" t="n">
        <f aca="false">[10]Sheet1!AA112</f>
        <v>0.209071428571429</v>
      </c>
      <c r="AW121" s="233" t="n">
        <v>0</v>
      </c>
    </row>
    <row r="122" customFormat="false" ht="11.25" hidden="false" customHeight="false" outlineLevel="0" collapsed="false">
      <c r="A122" s="233"/>
      <c r="B122" s="233"/>
      <c r="C122" s="231" t="e">
        <f aca="false">NextMonth(C121)</f>
        <v>#VALUE!</v>
      </c>
      <c r="D122" s="252" t="n">
        <v>0.0627933445896889</v>
      </c>
      <c r="E122" s="232" t="n">
        <v>4.39</v>
      </c>
      <c r="F122" s="232" t="n">
        <v>0.1825</v>
      </c>
      <c r="G122" s="232" t="n">
        <v>0.183</v>
      </c>
      <c r="H122" s="232" t="n">
        <v>0.183</v>
      </c>
      <c r="I122" s="232" t="n">
        <v>0.188</v>
      </c>
      <c r="J122" s="232" t="n">
        <v>0.183</v>
      </c>
      <c r="K122" s="233" t="n">
        <v>0.183</v>
      </c>
      <c r="L122" s="232" t="n">
        <v>0.75</v>
      </c>
      <c r="M122" s="232" t="n">
        <v>0.75</v>
      </c>
      <c r="N122" s="232" t="n">
        <v>0.75</v>
      </c>
      <c r="O122" s="232" t="n">
        <v>0.95</v>
      </c>
      <c r="P122" s="232" t="n">
        <v>0.75</v>
      </c>
      <c r="Q122" s="252" t="n">
        <v>0.325</v>
      </c>
      <c r="R122" s="252" t="n">
        <v>0</v>
      </c>
      <c r="S122" s="233" t="n">
        <v>-0.0495</v>
      </c>
      <c r="T122" s="233" t="n">
        <v>0.005</v>
      </c>
      <c r="U122" s="233" t="n">
        <v>-0.1425</v>
      </c>
      <c r="V122" s="233" t="n">
        <v>0.01</v>
      </c>
      <c r="W122" s="233" t="n">
        <v>-0.1425</v>
      </c>
      <c r="X122" s="233" t="n">
        <v>0.01</v>
      </c>
      <c r="Y122" s="233" t="n">
        <v>0.225</v>
      </c>
      <c r="Z122" s="233" t="n">
        <v>0</v>
      </c>
      <c r="AA122" s="233" t="n">
        <v>0.225</v>
      </c>
      <c r="AB122" s="233" t="n">
        <v>0</v>
      </c>
      <c r="AC122" s="233" t="n">
        <v>0.24</v>
      </c>
      <c r="AD122" s="233" t="n">
        <v>0.03</v>
      </c>
      <c r="AE122" s="233" t="n">
        <v>0.175</v>
      </c>
      <c r="AF122" s="233" t="n">
        <v>0.02</v>
      </c>
      <c r="AG122" s="233" t="n">
        <v>0.425</v>
      </c>
      <c r="AH122" s="233" t="n">
        <v>0</v>
      </c>
      <c r="AI122" s="233" t="n">
        <v>0.275</v>
      </c>
      <c r="AJ122" s="233" t="n">
        <v>0</v>
      </c>
      <c r="AK122" s="233" t="n">
        <v>-0.57</v>
      </c>
      <c r="AL122" s="233" t="n">
        <v>0.0054771264624532</v>
      </c>
      <c r="AM122" s="233" t="n">
        <v>0.13</v>
      </c>
      <c r="AN122" s="233" t="n">
        <v>1.54039167396202</v>
      </c>
      <c r="AO122" s="233" t="n">
        <v>0.183</v>
      </c>
      <c r="AP122" s="233" t="n">
        <v>0.275</v>
      </c>
      <c r="AQ122" s="233" t="n">
        <v>0.275</v>
      </c>
      <c r="AR122" s="233" t="n">
        <f aca="false">1/AN122</f>
        <v>0.649185539563398</v>
      </c>
      <c r="AT122" s="253" t="n">
        <f aca="false">AR122*AM122*$AT$6</f>
        <v>0.0890405228218481</v>
      </c>
      <c r="AU122" s="253" t="n">
        <f aca="false">AK122+AL122+AT122</f>
        <v>-0.475482350715699</v>
      </c>
      <c r="AV122" s="233" t="n">
        <f aca="false">[10]Sheet1!AA113</f>
        <v>0.209071428571429</v>
      </c>
      <c r="AW122" s="233" t="n">
        <v>0</v>
      </c>
    </row>
    <row r="123" customFormat="false" ht="11.25" hidden="false" customHeight="false" outlineLevel="0" collapsed="false">
      <c r="A123" s="233"/>
      <c r="B123" s="233"/>
      <c r="C123" s="231" t="e">
        <f aca="false">NextMonth(C122)</f>
        <v>#VALUE!</v>
      </c>
      <c r="D123" s="252" t="n">
        <v>0.0628813555238255</v>
      </c>
      <c r="E123" s="232" t="n">
        <v>4.215</v>
      </c>
      <c r="F123" s="232" t="n">
        <v>0.1825</v>
      </c>
      <c r="G123" s="232" t="n">
        <v>0.183</v>
      </c>
      <c r="H123" s="232" t="n">
        <v>0.183</v>
      </c>
      <c r="I123" s="232" t="n">
        <v>0.188</v>
      </c>
      <c r="J123" s="232" t="n">
        <v>0.183</v>
      </c>
      <c r="K123" s="233" t="n">
        <v>0.183</v>
      </c>
      <c r="L123" s="232" t="n">
        <v>0.4</v>
      </c>
      <c r="M123" s="232" t="n">
        <v>0.4</v>
      </c>
      <c r="N123" s="232" t="n">
        <v>0.45</v>
      </c>
      <c r="O123" s="232" t="n">
        <v>0.5</v>
      </c>
      <c r="P123" s="232" t="n">
        <v>0.45</v>
      </c>
      <c r="Q123" s="252" t="n">
        <v>0.21</v>
      </c>
      <c r="R123" s="252" t="n">
        <v>0</v>
      </c>
      <c r="S123" s="233" t="n">
        <v>-0.047</v>
      </c>
      <c r="T123" s="233" t="n">
        <v>0</v>
      </c>
      <c r="U123" s="233" t="n">
        <v>-0.14</v>
      </c>
      <c r="V123" s="233" t="n">
        <v>-0.01</v>
      </c>
      <c r="W123" s="233" t="n">
        <v>-0.14</v>
      </c>
      <c r="X123" s="233" t="n">
        <v>-0.01</v>
      </c>
      <c r="Y123" s="233" t="n">
        <v>0.15</v>
      </c>
      <c r="Z123" s="233" t="n">
        <v>0</v>
      </c>
      <c r="AA123" s="233" t="n">
        <v>0.15</v>
      </c>
      <c r="AB123" s="233" t="n">
        <v>0</v>
      </c>
      <c r="AC123" s="233" t="n">
        <v>0.17</v>
      </c>
      <c r="AD123" s="233" t="n">
        <v>0.0175</v>
      </c>
      <c r="AE123" s="233" t="n">
        <v>0.09</v>
      </c>
      <c r="AF123" s="233" t="n">
        <v>0.005</v>
      </c>
      <c r="AG123" s="233" t="n">
        <v>0.235</v>
      </c>
      <c r="AH123" s="233" t="n">
        <v>0</v>
      </c>
      <c r="AI123" s="233" t="n">
        <v>0.18</v>
      </c>
      <c r="AJ123" s="233" t="n">
        <v>0</v>
      </c>
      <c r="AK123" s="233" t="n">
        <v>-0.64</v>
      </c>
      <c r="AL123" s="233" t="n">
        <v>0.0017116539799405</v>
      </c>
      <c r="AM123" s="233" t="n">
        <v>0.13</v>
      </c>
      <c r="AN123" s="233" t="n">
        <v>1.54034491252232</v>
      </c>
      <c r="AO123" s="233" t="n">
        <v>0.183</v>
      </c>
      <c r="AP123" s="233" t="n">
        <v>0.18</v>
      </c>
      <c r="AQ123" s="233" t="n">
        <v>0.18</v>
      </c>
      <c r="AR123" s="233" t="n">
        <f aca="false">1/AN123</f>
        <v>0.649205247390013</v>
      </c>
      <c r="AT123" s="253" t="n">
        <f aca="false">AR123*AM123*$AT$6</f>
        <v>0.0890432258937412</v>
      </c>
      <c r="AU123" s="253" t="n">
        <f aca="false">AK123+AL123+AT123</f>
        <v>-0.549245120126318</v>
      </c>
      <c r="AV123" s="233" t="n">
        <f aca="false">[10]Sheet1!AA114</f>
        <v>0.16</v>
      </c>
      <c r="AW123" s="233" t="n">
        <v>0</v>
      </c>
    </row>
    <row r="124" customFormat="false" ht="11.25" hidden="false" customHeight="false" outlineLevel="0" collapsed="false">
      <c r="A124" s="233"/>
      <c r="B124" s="233"/>
      <c r="C124" s="231" t="e">
        <f aca="false">NextMonth(C123)</f>
        <v>#VALUE!</v>
      </c>
      <c r="D124" s="252" t="n">
        <v>0.062966527398018</v>
      </c>
      <c r="E124" s="232" t="n">
        <v>4.185</v>
      </c>
      <c r="F124" s="232" t="n">
        <v>0.1825</v>
      </c>
      <c r="G124" s="232" t="n">
        <v>0.183</v>
      </c>
      <c r="H124" s="232" t="n">
        <v>0.183</v>
      </c>
      <c r="I124" s="232" t="n">
        <v>0.188</v>
      </c>
      <c r="J124" s="232" t="n">
        <v>0.183</v>
      </c>
      <c r="K124" s="233" t="n">
        <v>0.183</v>
      </c>
      <c r="L124" s="232" t="n">
        <v>0.45</v>
      </c>
      <c r="M124" s="232" t="n">
        <v>0.4</v>
      </c>
      <c r="N124" s="232" t="n">
        <v>0.5</v>
      </c>
      <c r="O124" s="232" t="n">
        <v>0.45</v>
      </c>
      <c r="P124" s="232" t="n">
        <v>0.45</v>
      </c>
      <c r="Q124" s="252" t="n">
        <v>0.21</v>
      </c>
      <c r="R124" s="252" t="n">
        <v>0</v>
      </c>
      <c r="S124" s="233" t="n">
        <v>-0.047</v>
      </c>
      <c r="T124" s="233" t="n">
        <v>0</v>
      </c>
      <c r="U124" s="233" t="n">
        <v>-0.14</v>
      </c>
      <c r="V124" s="233" t="n">
        <v>-0.01</v>
      </c>
      <c r="W124" s="233" t="n">
        <v>-0.14</v>
      </c>
      <c r="X124" s="233" t="n">
        <v>-0.01</v>
      </c>
      <c r="Y124" s="233" t="n">
        <v>0.15</v>
      </c>
      <c r="Z124" s="233" t="n">
        <v>0</v>
      </c>
      <c r="AA124" s="233" t="n">
        <v>0.15</v>
      </c>
      <c r="AB124" s="233" t="n">
        <v>0</v>
      </c>
      <c r="AC124" s="233" t="n">
        <v>0.165</v>
      </c>
      <c r="AD124" s="233" t="n">
        <v>0.01</v>
      </c>
      <c r="AE124" s="233" t="n">
        <v>0.09</v>
      </c>
      <c r="AF124" s="233" t="n">
        <v>0.005</v>
      </c>
      <c r="AG124" s="233" t="n">
        <v>0.235</v>
      </c>
      <c r="AH124" s="233" t="n">
        <v>0</v>
      </c>
      <c r="AI124" s="233" t="n">
        <v>0.18</v>
      </c>
      <c r="AJ124" s="233" t="n">
        <v>0</v>
      </c>
      <c r="AK124" s="233" t="n">
        <v>-0.64</v>
      </c>
      <c r="AL124" s="233" t="n">
        <v>0.0017117031153003</v>
      </c>
      <c r="AM124" s="233" t="n">
        <v>0.13</v>
      </c>
      <c r="AN124" s="233" t="n">
        <v>1.540300696092</v>
      </c>
      <c r="AO124" s="233" t="n">
        <v>0.183</v>
      </c>
      <c r="AP124" s="233" t="n">
        <v>0.18</v>
      </c>
      <c r="AQ124" s="233" t="n">
        <v>0.18</v>
      </c>
      <c r="AR124" s="233" t="n">
        <f aca="false">1/AN124</f>
        <v>0.649223883711257</v>
      </c>
      <c r="AT124" s="253" t="n">
        <f aca="false">AR124*AM124*$AT$6</f>
        <v>0.0890457820008722</v>
      </c>
      <c r="AU124" s="253" t="n">
        <f aca="false">AK124+AL124+AT124</f>
        <v>-0.549242514883828</v>
      </c>
      <c r="AV124" s="233" t="n">
        <f aca="false">[10]Sheet1!AA115</f>
        <v>0.16</v>
      </c>
      <c r="AW124" s="233" t="n">
        <v>0</v>
      </c>
    </row>
    <row r="125" customFormat="false" ht="11.25" hidden="false" customHeight="false" outlineLevel="0" collapsed="false">
      <c r="A125" s="233"/>
      <c r="B125" s="233"/>
      <c r="C125" s="231" t="e">
        <f aca="false">NextMonth(C124)</f>
        <v>#VALUE!</v>
      </c>
      <c r="D125" s="252" t="n">
        <v>0.0630545383372114</v>
      </c>
      <c r="E125" s="232" t="n">
        <v>4.255</v>
      </c>
      <c r="F125" s="232" t="n">
        <v>0.1825</v>
      </c>
      <c r="G125" s="232" t="n">
        <v>0.183</v>
      </c>
      <c r="H125" s="232" t="n">
        <v>0.183</v>
      </c>
      <c r="I125" s="232" t="n">
        <v>0.188</v>
      </c>
      <c r="J125" s="232" t="n">
        <v>0.183</v>
      </c>
      <c r="K125" s="233" t="n">
        <v>0.183</v>
      </c>
      <c r="L125" s="232" t="n">
        <v>0.45</v>
      </c>
      <c r="M125" s="232" t="n">
        <v>0.4</v>
      </c>
      <c r="N125" s="232" t="n">
        <v>0.5</v>
      </c>
      <c r="O125" s="232" t="n">
        <v>0.5</v>
      </c>
      <c r="P125" s="232" t="n">
        <v>0.5</v>
      </c>
      <c r="Q125" s="252" t="n">
        <v>0.21</v>
      </c>
      <c r="R125" s="252" t="n">
        <v>0</v>
      </c>
      <c r="S125" s="233" t="n">
        <v>-0.047</v>
      </c>
      <c r="T125" s="233" t="n">
        <v>0</v>
      </c>
      <c r="U125" s="233" t="n">
        <v>-0.14</v>
      </c>
      <c r="V125" s="233" t="n">
        <v>-0.01</v>
      </c>
      <c r="W125" s="233" t="n">
        <v>-0.14</v>
      </c>
      <c r="X125" s="233" t="n">
        <v>-0.01</v>
      </c>
      <c r="Y125" s="233" t="n">
        <v>0.15</v>
      </c>
      <c r="Z125" s="233" t="n">
        <v>0</v>
      </c>
      <c r="AA125" s="233" t="n">
        <v>0.15</v>
      </c>
      <c r="AB125" s="233" t="n">
        <v>0</v>
      </c>
      <c r="AC125" s="233" t="n">
        <v>0.17</v>
      </c>
      <c r="AD125" s="233" t="n">
        <v>0.0125</v>
      </c>
      <c r="AE125" s="233" t="n">
        <v>0.09</v>
      </c>
      <c r="AF125" s="233" t="n">
        <v>0.005</v>
      </c>
      <c r="AG125" s="233" t="n">
        <v>0.235</v>
      </c>
      <c r="AH125" s="233" t="n">
        <v>0</v>
      </c>
      <c r="AI125" s="233" t="n">
        <v>0.18</v>
      </c>
      <c r="AJ125" s="233" t="n">
        <v>0</v>
      </c>
      <c r="AK125" s="233" t="n">
        <v>-0.64</v>
      </c>
      <c r="AL125" s="233" t="n">
        <v>0.0017117527013362</v>
      </c>
      <c r="AM125" s="233" t="n">
        <v>0.13</v>
      </c>
      <c r="AN125" s="233" t="n">
        <v>1.54025607667618</v>
      </c>
      <c r="AO125" s="233" t="n">
        <v>0.183</v>
      </c>
      <c r="AP125" s="233" t="n">
        <v>0.18</v>
      </c>
      <c r="AQ125" s="233" t="n">
        <v>0.18</v>
      </c>
      <c r="AR125" s="233" t="n">
        <f aca="false">1/AN125</f>
        <v>0.649242690967314</v>
      </c>
      <c r="AT125" s="253" t="n">
        <f aca="false">AR125*AM125*$AT$6</f>
        <v>0.0890483615529573</v>
      </c>
      <c r="AU125" s="253" t="n">
        <f aca="false">AK125+AL125+AT125</f>
        <v>-0.549239885745707</v>
      </c>
      <c r="AV125" s="233" t="n">
        <f aca="false">[10]Sheet1!AA116</f>
        <v>0.16</v>
      </c>
      <c r="AW125" s="233" t="n">
        <v>0</v>
      </c>
    </row>
    <row r="126" customFormat="false" ht="11.25" hidden="false" customHeight="false" outlineLevel="0" collapsed="false">
      <c r="A126" s="233"/>
      <c r="B126" s="233"/>
      <c r="C126" s="231" t="e">
        <f aca="false">NextMonth(C125)</f>
        <v>#VALUE!</v>
      </c>
      <c r="D126" s="252" t="n">
        <v>0.0631397102162978</v>
      </c>
      <c r="E126" s="232" t="n">
        <v>4.31</v>
      </c>
      <c r="F126" s="232" t="n">
        <v>0.1825</v>
      </c>
      <c r="G126" s="232" t="n">
        <v>0.183</v>
      </c>
      <c r="H126" s="232" t="n">
        <v>0.183</v>
      </c>
      <c r="I126" s="232" t="n">
        <v>0.188</v>
      </c>
      <c r="J126" s="232" t="n">
        <v>0.183</v>
      </c>
      <c r="K126" s="233" t="n">
        <v>0.183</v>
      </c>
      <c r="L126" s="232" t="n">
        <v>0.5</v>
      </c>
      <c r="M126" s="232" t="n">
        <v>0.4</v>
      </c>
      <c r="N126" s="232" t="n">
        <v>0.55</v>
      </c>
      <c r="O126" s="232" t="n">
        <v>0.5</v>
      </c>
      <c r="P126" s="232" t="n">
        <v>0.5</v>
      </c>
      <c r="Q126" s="252" t="n">
        <v>0.21</v>
      </c>
      <c r="R126" s="252" t="n">
        <v>0</v>
      </c>
      <c r="S126" s="233" t="n">
        <v>-0.047</v>
      </c>
      <c r="T126" s="233" t="n">
        <v>0</v>
      </c>
      <c r="U126" s="233" t="n">
        <v>-0.14</v>
      </c>
      <c r="V126" s="233" t="n">
        <v>-0.01</v>
      </c>
      <c r="W126" s="233" t="n">
        <v>-0.14</v>
      </c>
      <c r="X126" s="233" t="n">
        <v>-0.01</v>
      </c>
      <c r="Y126" s="233" t="n">
        <v>0.15</v>
      </c>
      <c r="Z126" s="233" t="n">
        <v>0</v>
      </c>
      <c r="AA126" s="233" t="n">
        <v>0.15</v>
      </c>
      <c r="AB126" s="233" t="n">
        <v>0</v>
      </c>
      <c r="AC126" s="233" t="n">
        <v>0.175</v>
      </c>
      <c r="AD126" s="233" t="n">
        <v>0.0125</v>
      </c>
      <c r="AE126" s="233" t="n">
        <v>0.09</v>
      </c>
      <c r="AF126" s="233" t="n">
        <v>0.005</v>
      </c>
      <c r="AG126" s="233" t="n">
        <v>0.235</v>
      </c>
      <c r="AH126" s="233" t="n">
        <v>0</v>
      </c>
      <c r="AI126" s="233" t="n">
        <v>0.18</v>
      </c>
      <c r="AJ126" s="233" t="n">
        <v>0</v>
      </c>
      <c r="AK126" s="233" t="n">
        <v>-0.64</v>
      </c>
      <c r="AL126" s="233" t="n">
        <v>0.0017117995389987</v>
      </c>
      <c r="AM126" s="233" t="n">
        <v>0.13</v>
      </c>
      <c r="AN126" s="233" t="n">
        <v>1.5402139327261</v>
      </c>
      <c r="AO126" s="233" t="n">
        <v>0.183</v>
      </c>
      <c r="AP126" s="233" t="n">
        <v>0.18</v>
      </c>
      <c r="AQ126" s="233" t="n">
        <v>0.18</v>
      </c>
      <c r="AR126" s="233" t="n">
        <f aca="false">1/AN126</f>
        <v>0.649260455805676</v>
      </c>
      <c r="AT126" s="253" t="n">
        <f aca="false">AR126*AM126*$AT$6</f>
        <v>0.0890507981298667</v>
      </c>
      <c r="AU126" s="253" t="n">
        <f aca="false">AK126+AL126+AT126</f>
        <v>-0.549237402331135</v>
      </c>
      <c r="AV126" s="233" t="n">
        <f aca="false">[10]Sheet1!AA117</f>
        <v>0.16</v>
      </c>
      <c r="AW126" s="233" t="n">
        <v>0</v>
      </c>
    </row>
    <row r="127" customFormat="false" ht="11.25" hidden="false" customHeight="false" outlineLevel="0" collapsed="false">
      <c r="A127" s="233"/>
      <c r="B127" s="233"/>
      <c r="C127" s="231" t="e">
        <f aca="false">NextMonth(C126)</f>
        <v>#VALUE!</v>
      </c>
      <c r="D127" s="252" t="n">
        <v>0.0632277211605485</v>
      </c>
      <c r="E127" s="232" t="n">
        <v>4.366</v>
      </c>
      <c r="F127" s="232" t="n">
        <v>0.1825</v>
      </c>
      <c r="G127" s="232" t="n">
        <v>0.183</v>
      </c>
      <c r="H127" s="232" t="n">
        <v>0.183</v>
      </c>
      <c r="I127" s="232" t="n">
        <v>0.188</v>
      </c>
      <c r="J127" s="232" t="n">
        <v>0.183</v>
      </c>
      <c r="K127" s="233" t="n">
        <v>0.183</v>
      </c>
      <c r="L127" s="232" t="n">
        <v>0.55</v>
      </c>
      <c r="M127" s="232" t="n">
        <v>0.5</v>
      </c>
      <c r="N127" s="232" t="n">
        <v>0.6</v>
      </c>
      <c r="O127" s="232" t="n">
        <v>0.45</v>
      </c>
      <c r="P127" s="232" t="n">
        <v>0.55</v>
      </c>
      <c r="Q127" s="252" t="n">
        <v>0.21</v>
      </c>
      <c r="R127" s="252" t="n">
        <v>0</v>
      </c>
      <c r="S127" s="233" t="n">
        <v>-0.047</v>
      </c>
      <c r="T127" s="233" t="n">
        <v>0</v>
      </c>
      <c r="U127" s="233" t="n">
        <v>-0.14</v>
      </c>
      <c r="V127" s="233" t="n">
        <v>-0.01</v>
      </c>
      <c r="W127" s="233" t="n">
        <v>-0.14</v>
      </c>
      <c r="X127" s="233" t="n">
        <v>-0.01</v>
      </c>
      <c r="Y127" s="233" t="n">
        <v>0.15</v>
      </c>
      <c r="Z127" s="233" t="n">
        <v>0</v>
      </c>
      <c r="AA127" s="233" t="n">
        <v>0.15</v>
      </c>
      <c r="AB127" s="233" t="n">
        <v>0</v>
      </c>
      <c r="AC127" s="233" t="n">
        <v>0.175</v>
      </c>
      <c r="AD127" s="233" t="n">
        <v>0.0125</v>
      </c>
      <c r="AE127" s="233" t="n">
        <v>0.09</v>
      </c>
      <c r="AF127" s="233" t="n">
        <v>0.005</v>
      </c>
      <c r="AG127" s="233" t="n">
        <v>0.235</v>
      </c>
      <c r="AH127" s="233" t="n">
        <v>0</v>
      </c>
      <c r="AI127" s="233" t="n">
        <v>0.18</v>
      </c>
      <c r="AJ127" s="233" t="n">
        <v>0</v>
      </c>
      <c r="AK127" s="233" t="n">
        <v>-0.64</v>
      </c>
      <c r="AL127" s="233" t="n">
        <v>0.0017118467508531</v>
      </c>
      <c r="AM127" s="233" t="n">
        <v>0.13</v>
      </c>
      <c r="AN127" s="233" t="n">
        <v>1.54017145441672</v>
      </c>
      <c r="AO127" s="233" t="n">
        <v>0.183</v>
      </c>
      <c r="AP127" s="233" t="n">
        <v>0.18</v>
      </c>
      <c r="AQ127" s="233" t="n">
        <v>0.18</v>
      </c>
      <c r="AR127" s="233" t="n">
        <f aca="false">1/AN127</f>
        <v>0.649278362569517</v>
      </c>
      <c r="AT127" s="253" t="n">
        <f aca="false">AR127*AM127*$AT$6</f>
        <v>0.0890532541728888</v>
      </c>
      <c r="AU127" s="253" t="n">
        <f aca="false">AK127+AL127+AT127</f>
        <v>-0.549234899076258</v>
      </c>
      <c r="AV127" s="233" t="n">
        <f aca="false">[10]Sheet1!AA118</f>
        <v>0.16</v>
      </c>
      <c r="AW127" s="233" t="n">
        <v>0</v>
      </c>
    </row>
    <row r="128" customFormat="false" ht="11.25" hidden="false" customHeight="false" outlineLevel="0" collapsed="false">
      <c r="A128" s="233"/>
      <c r="B128" s="233"/>
      <c r="C128" s="231" t="e">
        <f aca="false">NextMonth(C127)</f>
        <v>#VALUE!</v>
      </c>
      <c r="D128" s="252" t="n">
        <v>0.0633157321073687</v>
      </c>
      <c r="E128" s="232" t="n">
        <v>4.38</v>
      </c>
      <c r="F128" s="232" t="n">
        <v>0.1825</v>
      </c>
      <c r="G128" s="232" t="n">
        <v>0.183</v>
      </c>
      <c r="H128" s="232" t="n">
        <v>0.183</v>
      </c>
      <c r="I128" s="232" t="n">
        <v>0.188</v>
      </c>
      <c r="J128" s="232" t="n">
        <v>0.183</v>
      </c>
      <c r="K128" s="233" t="n">
        <v>0.183</v>
      </c>
      <c r="L128" s="232" t="n">
        <v>0.55</v>
      </c>
      <c r="M128" s="232" t="n">
        <v>0.55</v>
      </c>
      <c r="N128" s="232" t="n">
        <v>0.6</v>
      </c>
      <c r="O128" s="232" t="n">
        <v>0.5</v>
      </c>
      <c r="P128" s="232" t="n">
        <v>0.6</v>
      </c>
      <c r="Q128" s="252" t="n">
        <v>0.21</v>
      </c>
      <c r="R128" s="252" t="n">
        <v>0</v>
      </c>
      <c r="S128" s="233" t="n">
        <v>-0.047</v>
      </c>
      <c r="T128" s="233" t="n">
        <v>0</v>
      </c>
      <c r="U128" s="233" t="n">
        <v>-0.14</v>
      </c>
      <c r="V128" s="233" t="n">
        <v>-0.01</v>
      </c>
      <c r="W128" s="233" t="n">
        <v>-0.14</v>
      </c>
      <c r="X128" s="233" t="n">
        <v>-0.01</v>
      </c>
      <c r="Y128" s="233" t="n">
        <v>0.15</v>
      </c>
      <c r="Z128" s="233" t="n">
        <v>0</v>
      </c>
      <c r="AA128" s="233" t="n">
        <v>0.15</v>
      </c>
      <c r="AB128" s="233" t="n">
        <v>0</v>
      </c>
      <c r="AC128" s="233" t="n">
        <v>0.165</v>
      </c>
      <c r="AD128" s="233" t="n">
        <v>0.0125</v>
      </c>
      <c r="AE128" s="233" t="n">
        <v>0.09</v>
      </c>
      <c r="AF128" s="233" t="n">
        <v>0.005</v>
      </c>
      <c r="AG128" s="233" t="n">
        <v>0.235</v>
      </c>
      <c r="AH128" s="233" t="n">
        <v>0</v>
      </c>
      <c r="AI128" s="233" t="n">
        <v>0.18</v>
      </c>
      <c r="AJ128" s="233" t="n">
        <v>0</v>
      </c>
      <c r="AK128" s="233" t="n">
        <v>-0.64</v>
      </c>
      <c r="AL128" s="233" t="n">
        <v>0.0017118927562416</v>
      </c>
      <c r="AM128" s="233" t="n">
        <v>0.13</v>
      </c>
      <c r="AN128" s="233" t="n">
        <v>1.54013006386476</v>
      </c>
      <c r="AO128" s="233" t="n">
        <v>0.183</v>
      </c>
      <c r="AP128" s="233" t="n">
        <v>0.18</v>
      </c>
      <c r="AQ128" s="233" t="n">
        <v>0.18</v>
      </c>
      <c r="AR128" s="233" t="n">
        <f aca="false">1/AN128</f>
        <v>0.649295811738541</v>
      </c>
      <c r="AT128" s="253" t="n">
        <f aca="false">AR128*AM128*$AT$6</f>
        <v>0.0890556474534503</v>
      </c>
      <c r="AU128" s="253" t="n">
        <f aca="false">AK128+AL128+AT128</f>
        <v>-0.549232459790308</v>
      </c>
      <c r="AV128" s="233" t="n">
        <f aca="false">[10]Sheet1!AA119</f>
        <v>0.16</v>
      </c>
      <c r="AW128" s="233" t="n">
        <v>0</v>
      </c>
    </row>
    <row r="129" customFormat="false" ht="11.25" hidden="false" customHeight="false" outlineLevel="0" collapsed="false">
      <c r="A129" s="233"/>
      <c r="B129" s="233"/>
      <c r="C129" s="231" t="e">
        <f aca="false">NextMonth(C128)</f>
        <v>#VALUE!</v>
      </c>
      <c r="D129" s="252" t="n">
        <v>0.063400903993835</v>
      </c>
      <c r="E129" s="232" t="n">
        <v>4.411</v>
      </c>
      <c r="F129" s="232" t="n">
        <v>0.1825</v>
      </c>
      <c r="G129" s="232" t="n">
        <v>0.183</v>
      </c>
      <c r="H129" s="232" t="n">
        <v>0.183</v>
      </c>
      <c r="I129" s="232" t="n">
        <v>0.188</v>
      </c>
      <c r="J129" s="232" t="n">
        <v>0.183</v>
      </c>
      <c r="K129" s="233" t="n">
        <v>0.183</v>
      </c>
      <c r="L129" s="232" t="n">
        <v>0.6</v>
      </c>
      <c r="M129" s="232" t="n">
        <v>0.55</v>
      </c>
      <c r="N129" s="232" t="n">
        <v>0.65</v>
      </c>
      <c r="O129" s="232" t="n">
        <v>0.5</v>
      </c>
      <c r="P129" s="232" t="n">
        <v>0.65</v>
      </c>
      <c r="Q129" s="252" t="n">
        <v>0.21</v>
      </c>
      <c r="R129" s="252" t="n">
        <v>0</v>
      </c>
      <c r="S129" s="233" t="n">
        <v>-0.047</v>
      </c>
      <c r="T129" s="233" t="n">
        <v>0</v>
      </c>
      <c r="U129" s="233" t="n">
        <v>-0.14</v>
      </c>
      <c r="V129" s="233" t="n">
        <v>-0.01</v>
      </c>
      <c r="W129" s="233" t="n">
        <v>-0.14</v>
      </c>
      <c r="X129" s="233" t="n">
        <v>-0.01</v>
      </c>
      <c r="Y129" s="233" t="n">
        <v>0.15</v>
      </c>
      <c r="Z129" s="233" t="n">
        <v>0</v>
      </c>
      <c r="AA129" s="233" t="n">
        <v>0.15</v>
      </c>
      <c r="AB129" s="233" t="n">
        <v>0</v>
      </c>
      <c r="AC129" s="233" t="n">
        <v>0.1725</v>
      </c>
      <c r="AD129" s="233" t="n">
        <v>0.0125</v>
      </c>
      <c r="AE129" s="233" t="n">
        <v>0.09</v>
      </c>
      <c r="AF129" s="233" t="n">
        <v>0.005</v>
      </c>
      <c r="AG129" s="233" t="n">
        <v>0.235</v>
      </c>
      <c r="AH129" s="233" t="n">
        <v>0</v>
      </c>
      <c r="AI129" s="233" t="n">
        <v>0.18</v>
      </c>
      <c r="AJ129" s="233" t="n">
        <v>0</v>
      </c>
      <c r="AK129" s="233" t="n">
        <v>-0.64</v>
      </c>
      <c r="AL129" s="233" t="n">
        <v>0.0017119361289263</v>
      </c>
      <c r="AM129" s="233" t="n">
        <v>0.13</v>
      </c>
      <c r="AN129" s="233" t="n">
        <v>1.5400910439652</v>
      </c>
      <c r="AO129" s="233" t="n">
        <v>0.183</v>
      </c>
      <c r="AP129" s="233" t="n">
        <v>0.18</v>
      </c>
      <c r="AQ129" s="233" t="n">
        <v>0.18</v>
      </c>
      <c r="AR129" s="233" t="n">
        <f aca="false">1/AN129</f>
        <v>0.649312262361676</v>
      </c>
      <c r="AT129" s="253" t="n">
        <f aca="false">AR129*AM129*$AT$6</f>
        <v>0.0890579037761739</v>
      </c>
      <c r="AU129" s="253" t="n">
        <f aca="false">AK129+AL129+AT129</f>
        <v>-0.5492301600949</v>
      </c>
      <c r="AV129" s="233" t="n">
        <f aca="false">[10]Sheet1!AA120</f>
        <v>0.16</v>
      </c>
      <c r="AW129" s="233" t="n">
        <v>0</v>
      </c>
    </row>
    <row r="130" customFormat="false" ht="11.25" hidden="false" customHeight="false" outlineLevel="0" collapsed="false">
      <c r="A130" s="233"/>
      <c r="B130" s="233"/>
      <c r="C130" s="231" t="e">
        <f aca="false">NextMonth(C129)</f>
        <v>#VALUE!</v>
      </c>
      <c r="D130" s="252" t="n">
        <v>0.0634889149457112</v>
      </c>
      <c r="E130" s="232" t="n">
        <v>4.544</v>
      </c>
      <c r="F130" s="232" t="n">
        <v>0.1825</v>
      </c>
      <c r="G130" s="232" t="n">
        <v>0.183</v>
      </c>
      <c r="H130" s="232" t="n">
        <v>0.183</v>
      </c>
      <c r="I130" s="232" t="n">
        <v>0.188</v>
      </c>
      <c r="J130" s="232" t="n">
        <v>0.183</v>
      </c>
      <c r="K130" s="233" t="n">
        <v>0.183</v>
      </c>
      <c r="L130" s="232" t="n">
        <v>0.8</v>
      </c>
      <c r="M130" s="232" t="n">
        <v>0.8</v>
      </c>
      <c r="N130" s="232" t="n">
        <v>0.8</v>
      </c>
      <c r="O130" s="232" t="n">
        <v>0.95</v>
      </c>
      <c r="P130" s="232" t="n">
        <v>0.85</v>
      </c>
      <c r="Q130" s="252" t="n">
        <v>0.325</v>
      </c>
      <c r="R130" s="252" t="n">
        <v>0</v>
      </c>
      <c r="S130" s="233" t="n">
        <v>-0.0465</v>
      </c>
      <c r="T130" s="233" t="n">
        <v>0.005</v>
      </c>
      <c r="U130" s="233" t="n">
        <v>-0.1425</v>
      </c>
      <c r="V130" s="233" t="n">
        <v>0.01</v>
      </c>
      <c r="W130" s="233" t="n">
        <v>-0.1425</v>
      </c>
      <c r="X130" s="233" t="n">
        <v>0.01</v>
      </c>
      <c r="Y130" s="233" t="n">
        <v>0.225</v>
      </c>
      <c r="Z130" s="233" t="n">
        <v>0</v>
      </c>
      <c r="AA130" s="233" t="n">
        <v>0.225</v>
      </c>
      <c r="AB130" s="233" t="n">
        <v>0</v>
      </c>
      <c r="AC130" s="233" t="n">
        <v>0.24</v>
      </c>
      <c r="AD130" s="233" t="n">
        <v>0.03</v>
      </c>
      <c r="AE130" s="233" t="n">
        <v>0.175</v>
      </c>
      <c r="AF130" s="233" t="n">
        <v>0.02</v>
      </c>
      <c r="AG130" s="233" t="n">
        <v>0.425</v>
      </c>
      <c r="AH130" s="233" t="n">
        <v>0</v>
      </c>
      <c r="AI130" s="233" t="n">
        <v>0.275</v>
      </c>
      <c r="AJ130" s="233" t="n">
        <v>0</v>
      </c>
      <c r="AK130" s="233" t="n">
        <v>-0.6</v>
      </c>
      <c r="AL130" s="233" t="n">
        <v>0.0054783352335408</v>
      </c>
      <c r="AM130" s="233" t="n">
        <v>0.13</v>
      </c>
      <c r="AN130" s="233" t="n">
        <v>1.54005179316983</v>
      </c>
      <c r="AO130" s="233" t="n">
        <v>0.183</v>
      </c>
      <c r="AP130" s="233" t="n">
        <v>0.275</v>
      </c>
      <c r="AQ130" s="233" t="n">
        <v>0.275</v>
      </c>
      <c r="AR130" s="233" t="n">
        <f aca="false">1/AN130</f>
        <v>0.649328811170524</v>
      </c>
      <c r="AT130" s="253" t="n">
        <f aca="false">AR130*AM130*$AT$6</f>
        <v>0.0890601735657828</v>
      </c>
      <c r="AU130" s="253" t="n">
        <f aca="false">AK130+AL130+AT130</f>
        <v>-0.505461491200676</v>
      </c>
      <c r="AV130" s="233" t="n">
        <f aca="false">[10]Sheet1!AA121</f>
        <v>0.207071428571429</v>
      </c>
      <c r="AW130" s="233" t="n">
        <v>0</v>
      </c>
    </row>
    <row r="131" customFormat="false" ht="11.25" hidden="false" customHeight="false" outlineLevel="0" collapsed="false">
      <c r="A131" s="233"/>
      <c r="B131" s="233"/>
      <c r="C131" s="231" t="e">
        <f aca="false">NextMonth(C130)</f>
        <v>#VALUE!</v>
      </c>
      <c r="D131" s="252" t="n">
        <v>0.0635740868370704</v>
      </c>
      <c r="E131" s="232" t="n">
        <v>4.682</v>
      </c>
      <c r="F131" s="232" t="n">
        <v>0.1825</v>
      </c>
      <c r="G131" s="232" t="n">
        <v>0.183</v>
      </c>
      <c r="H131" s="232" t="n">
        <v>0.183</v>
      </c>
      <c r="I131" s="232" t="n">
        <v>0.188</v>
      </c>
      <c r="J131" s="232" t="n">
        <v>0.183</v>
      </c>
      <c r="K131" s="233" t="n">
        <v>0.183</v>
      </c>
      <c r="L131" s="232" t="n">
        <v>1</v>
      </c>
      <c r="M131" s="232" t="n">
        <v>1</v>
      </c>
      <c r="N131" s="232" t="n">
        <v>1.1</v>
      </c>
      <c r="O131" s="232" t="n">
        <v>1.35</v>
      </c>
      <c r="P131" s="232" t="n">
        <v>1.05</v>
      </c>
      <c r="Q131" s="252" t="n">
        <v>0.325</v>
      </c>
      <c r="R131" s="252" t="n">
        <v>0</v>
      </c>
      <c r="S131" s="233" t="n">
        <v>-0.0465</v>
      </c>
      <c r="T131" s="233" t="n">
        <v>0.005</v>
      </c>
      <c r="U131" s="233" t="n">
        <v>-0.1375</v>
      </c>
      <c r="V131" s="233" t="n">
        <v>0.01</v>
      </c>
      <c r="W131" s="233" t="n">
        <v>-0.1375</v>
      </c>
      <c r="X131" s="233" t="n">
        <v>0.01</v>
      </c>
      <c r="Y131" s="233" t="n">
        <v>0.225</v>
      </c>
      <c r="Z131" s="233" t="n">
        <v>0</v>
      </c>
      <c r="AA131" s="233" t="n">
        <v>0.225</v>
      </c>
      <c r="AB131" s="233" t="n">
        <v>0</v>
      </c>
      <c r="AC131" s="233" t="n">
        <v>0.26</v>
      </c>
      <c r="AD131" s="233" t="n">
        <v>0.03</v>
      </c>
      <c r="AE131" s="233" t="n">
        <v>0.175</v>
      </c>
      <c r="AF131" s="233" t="n">
        <v>0.02</v>
      </c>
      <c r="AG131" s="233" t="n">
        <v>0.425</v>
      </c>
      <c r="AH131" s="233" t="n">
        <v>0</v>
      </c>
      <c r="AI131" s="233" t="n">
        <v>0.275</v>
      </c>
      <c r="AJ131" s="233" t="n">
        <v>0</v>
      </c>
      <c r="AK131" s="233" t="n">
        <v>-0.6</v>
      </c>
      <c r="AL131" s="233" t="n">
        <v>0.0054784666752937</v>
      </c>
      <c r="AM131" s="233" t="n">
        <v>0.13</v>
      </c>
      <c r="AN131" s="233" t="n">
        <v>1.54001484357805</v>
      </c>
      <c r="AO131" s="233" t="n">
        <v>0.183</v>
      </c>
      <c r="AP131" s="233" t="n">
        <v>0.275</v>
      </c>
      <c r="AQ131" s="233" t="n">
        <v>0.275</v>
      </c>
      <c r="AR131" s="233" t="n">
        <f aca="false">1/AN131</f>
        <v>0.649344390523284</v>
      </c>
      <c r="AT131" s="253" t="n">
        <f aca="false">AR131*AM131*$AT$6</f>
        <v>0.0890623103874315</v>
      </c>
      <c r="AU131" s="253" t="n">
        <f aca="false">AK131+AL131+AT131</f>
        <v>-0.505459222937275</v>
      </c>
      <c r="AV131" s="233" t="n">
        <f aca="false">[10]Sheet1!AA122</f>
        <v>0.212071428571429</v>
      </c>
      <c r="AW131" s="233" t="n">
        <v>0</v>
      </c>
    </row>
    <row r="132" customFormat="false" ht="11.25" hidden="false" customHeight="false" outlineLevel="0" collapsed="false">
      <c r="A132" s="233"/>
      <c r="B132" s="233"/>
      <c r="C132" s="231" t="e">
        <f aca="false">NextMonth(C131)</f>
        <v>#VALUE!</v>
      </c>
      <c r="D132" s="252" t="n">
        <v>0.0636620977940021</v>
      </c>
      <c r="E132" s="232" t="n">
        <v>4.714</v>
      </c>
      <c r="F132" s="232" t="n">
        <v>0.1825</v>
      </c>
      <c r="G132" s="232" t="n">
        <v>0.183</v>
      </c>
      <c r="H132" s="232" t="n">
        <v>0.183</v>
      </c>
      <c r="I132" s="232" t="n">
        <v>0.188</v>
      </c>
      <c r="J132" s="232" t="n">
        <v>0.183</v>
      </c>
      <c r="K132" s="233" t="n">
        <v>0.183</v>
      </c>
      <c r="L132" s="232" t="n">
        <v>1</v>
      </c>
      <c r="M132" s="232" t="n">
        <v>1</v>
      </c>
      <c r="N132" s="232" t="n">
        <v>1.1</v>
      </c>
      <c r="O132" s="232" t="n">
        <v>1.35</v>
      </c>
      <c r="P132" s="232" t="n">
        <v>1.05</v>
      </c>
      <c r="Q132" s="252" t="n">
        <v>0.325</v>
      </c>
      <c r="R132" s="252" t="n">
        <v>0</v>
      </c>
      <c r="S132" s="233" t="n">
        <v>-0.0465</v>
      </c>
      <c r="T132" s="233" t="n">
        <v>0.005</v>
      </c>
      <c r="U132" s="233" t="n">
        <v>-0.1375</v>
      </c>
      <c r="V132" s="233" t="n">
        <v>0.01</v>
      </c>
      <c r="W132" s="233" t="n">
        <v>-0.1375</v>
      </c>
      <c r="X132" s="233" t="n">
        <v>0.01</v>
      </c>
      <c r="Y132" s="233" t="n">
        <v>0.225</v>
      </c>
      <c r="Z132" s="233" t="n">
        <v>0</v>
      </c>
      <c r="AA132" s="233" t="n">
        <v>0.225</v>
      </c>
      <c r="AB132" s="233" t="n">
        <v>0</v>
      </c>
      <c r="AC132" s="233" t="n">
        <v>0.27</v>
      </c>
      <c r="AD132" s="233" t="n">
        <v>0.03</v>
      </c>
      <c r="AE132" s="233" t="n">
        <v>0.175</v>
      </c>
      <c r="AF132" s="233" t="n">
        <v>0.02</v>
      </c>
      <c r="AG132" s="233" t="n">
        <v>0.425</v>
      </c>
      <c r="AH132" s="233" t="n">
        <v>0</v>
      </c>
      <c r="AI132" s="233" t="n">
        <v>0.275</v>
      </c>
      <c r="AJ132" s="233" t="n">
        <v>0</v>
      </c>
      <c r="AK132" s="233" t="n">
        <v>-0.6</v>
      </c>
      <c r="AL132" s="233" t="n">
        <v>0.0054785987008195</v>
      </c>
      <c r="AM132" s="233" t="n">
        <v>0.13</v>
      </c>
      <c r="AN132" s="233" t="n">
        <v>1.53997773166666</v>
      </c>
      <c r="AO132" s="233" t="n">
        <v>0.183</v>
      </c>
      <c r="AP132" s="233" t="n">
        <v>0.275</v>
      </c>
      <c r="AQ132" s="233" t="n">
        <v>0.275</v>
      </c>
      <c r="AR132" s="233" t="n">
        <f aca="false">1/AN132</f>
        <v>0.649360039068706</v>
      </c>
      <c r="AT132" s="253" t="n">
        <f aca="false">AR132*AM132*$AT$6</f>
        <v>0.0890644566993575</v>
      </c>
      <c r="AU132" s="253" t="n">
        <f aca="false">AK132+AL132+AT132</f>
        <v>-0.505456944599823</v>
      </c>
      <c r="AV132" s="233" t="n">
        <f aca="false">[10]Sheet1!AA123</f>
        <v>0.212071428571429</v>
      </c>
      <c r="AW132" s="233" t="n">
        <v>0</v>
      </c>
    </row>
    <row r="133" customFormat="false" ht="11.25" hidden="false" customHeight="false" outlineLevel="0" collapsed="false">
      <c r="A133" s="233"/>
      <c r="B133" s="233"/>
      <c r="C133" s="231" t="e">
        <f aca="false">NextMonth(C132)</f>
        <v>#VALUE!</v>
      </c>
      <c r="D133" s="252" t="n">
        <v>0.0637501087535037</v>
      </c>
      <c r="E133" s="232" t="n">
        <v>4.594</v>
      </c>
      <c r="F133" s="232" t="n">
        <v>0.1825</v>
      </c>
      <c r="G133" s="232" t="n">
        <v>0.183</v>
      </c>
      <c r="H133" s="232" t="n">
        <v>0.183</v>
      </c>
      <c r="I133" s="232" t="n">
        <v>0.188</v>
      </c>
      <c r="J133" s="232" t="n">
        <v>0.183</v>
      </c>
      <c r="K133" s="233" t="n">
        <v>0.183</v>
      </c>
      <c r="L133" s="232" t="n">
        <v>1</v>
      </c>
      <c r="M133" s="232" t="n">
        <v>1</v>
      </c>
      <c r="N133" s="232" t="n">
        <v>1.1</v>
      </c>
      <c r="O133" s="232" t="n">
        <v>1.35</v>
      </c>
      <c r="P133" s="232" t="n">
        <v>1.05</v>
      </c>
      <c r="Q133" s="252" t="n">
        <v>0.325</v>
      </c>
      <c r="R133" s="252" t="n">
        <v>0</v>
      </c>
      <c r="S133" s="233" t="n">
        <v>-0.0465</v>
      </c>
      <c r="T133" s="233" t="n">
        <v>0.005</v>
      </c>
      <c r="U133" s="233" t="n">
        <v>-0.14</v>
      </c>
      <c r="V133" s="233" t="n">
        <v>0.01</v>
      </c>
      <c r="W133" s="233" t="n">
        <v>-0.14</v>
      </c>
      <c r="X133" s="233" t="n">
        <v>0.01</v>
      </c>
      <c r="Y133" s="233" t="n">
        <v>0.225</v>
      </c>
      <c r="Z133" s="233" t="n">
        <v>0</v>
      </c>
      <c r="AA133" s="233" t="n">
        <v>0.225</v>
      </c>
      <c r="AB133" s="233" t="n">
        <v>0</v>
      </c>
      <c r="AC133" s="233" t="n">
        <v>0.27</v>
      </c>
      <c r="AD133" s="233" t="n">
        <v>0.03</v>
      </c>
      <c r="AE133" s="233" t="n">
        <v>0.175</v>
      </c>
      <c r="AF133" s="233" t="n">
        <v>0.02</v>
      </c>
      <c r="AG133" s="233" t="n">
        <v>0.425</v>
      </c>
      <c r="AH133" s="233" t="n">
        <v>0</v>
      </c>
      <c r="AI133" s="233" t="n">
        <v>0.275</v>
      </c>
      <c r="AJ133" s="233" t="n">
        <v>0</v>
      </c>
      <c r="AK133" s="233" t="n">
        <v>-0.6</v>
      </c>
      <c r="AL133" s="233" t="n">
        <v>0.005478726866695</v>
      </c>
      <c r="AM133" s="233" t="n">
        <v>0.13</v>
      </c>
      <c r="AN133" s="233" t="n">
        <v>1.53994170640038</v>
      </c>
      <c r="AO133" s="233" t="n">
        <v>0.183</v>
      </c>
      <c r="AP133" s="233" t="n">
        <v>0.275</v>
      </c>
      <c r="AQ133" s="233" t="n">
        <v>0.275</v>
      </c>
      <c r="AR133" s="233" t="n">
        <f aca="false">1/AN133</f>
        <v>0.649375230142642</v>
      </c>
      <c r="AT133" s="253" t="n">
        <f aca="false">AR133*AM133*$AT$6</f>
        <v>0.0890665402657388</v>
      </c>
      <c r="AU133" s="253" t="n">
        <f aca="false">AK133+AL133+AT133</f>
        <v>-0.505454732867566</v>
      </c>
      <c r="AV133" s="233" t="n">
        <f aca="false">[10]Sheet1!AA124</f>
        <v>0.212071428571429</v>
      </c>
      <c r="AW133" s="233" t="n">
        <v>0</v>
      </c>
    </row>
    <row r="134" customFormat="false" ht="11.25" hidden="false" customHeight="false" outlineLevel="0" collapsed="false">
      <c r="A134" s="233"/>
      <c r="B134" s="233"/>
      <c r="C134" s="231" t="e">
        <f aca="false">NextMonth(C133)</f>
        <v>#VALUE!</v>
      </c>
      <c r="D134" s="252" t="n">
        <v>0.0638296025255838</v>
      </c>
      <c r="E134" s="232" t="n">
        <v>4.455</v>
      </c>
      <c r="F134" s="232" t="n">
        <v>0.18</v>
      </c>
      <c r="G134" s="232" t="n">
        <v>0.18</v>
      </c>
      <c r="H134" s="232" t="n">
        <v>0.18</v>
      </c>
      <c r="I134" s="232" t="n">
        <v>0.185</v>
      </c>
      <c r="J134" s="232" t="n">
        <v>0.18</v>
      </c>
      <c r="K134" s="233" t="n">
        <v>0.18</v>
      </c>
      <c r="L134" s="232" t="n">
        <v>0.75</v>
      </c>
      <c r="M134" s="232" t="n">
        <v>0.75</v>
      </c>
      <c r="N134" s="232" t="n">
        <v>0.75</v>
      </c>
      <c r="O134" s="232" t="n">
        <v>0.95</v>
      </c>
      <c r="P134" s="232" t="n">
        <v>0.75</v>
      </c>
      <c r="Q134" s="252" t="n">
        <v>0.325</v>
      </c>
      <c r="R134" s="252" t="n">
        <v>0</v>
      </c>
      <c r="S134" s="233" t="n">
        <v>-0.0465</v>
      </c>
      <c r="T134" s="233" t="n">
        <v>0.005</v>
      </c>
      <c r="U134" s="233" t="n">
        <v>-0.1425</v>
      </c>
      <c r="V134" s="233" t="n">
        <v>0.01</v>
      </c>
      <c r="W134" s="233" t="n">
        <v>-0.1425</v>
      </c>
      <c r="X134" s="233" t="n">
        <v>0.01</v>
      </c>
      <c r="Y134" s="233" t="n">
        <v>0.225</v>
      </c>
      <c r="Z134" s="233" t="n">
        <v>0</v>
      </c>
      <c r="AA134" s="233" t="n">
        <v>0.225</v>
      </c>
      <c r="AB134" s="233" t="n">
        <v>0</v>
      </c>
      <c r="AC134" s="233" t="n">
        <v>0.24</v>
      </c>
      <c r="AD134" s="233" t="n">
        <v>0.03</v>
      </c>
      <c r="AE134" s="233" t="n">
        <v>0.175</v>
      </c>
      <c r="AF134" s="233" t="n">
        <v>0.02</v>
      </c>
      <c r="AG134" s="233" t="n">
        <v>0.425</v>
      </c>
      <c r="AH134" s="233" t="n">
        <v>0</v>
      </c>
      <c r="AI134" s="233" t="n">
        <v>0.275</v>
      </c>
      <c r="AJ134" s="233" t="n">
        <v>0</v>
      </c>
      <c r="AK134" s="233" t="n">
        <v>-0.6</v>
      </c>
      <c r="AL134" s="233" t="n">
        <v>0.0054788393121646</v>
      </c>
      <c r="AM134" s="233" t="n">
        <v>0.13</v>
      </c>
      <c r="AN134" s="233" t="n">
        <v>1.53991010126314</v>
      </c>
      <c r="AO134" s="233" t="n">
        <v>0.18</v>
      </c>
      <c r="AP134" s="233" t="n">
        <v>0.275</v>
      </c>
      <c r="AQ134" s="233" t="n">
        <v>0.275</v>
      </c>
      <c r="AR134" s="233" t="n">
        <f aca="false">1/AN134</f>
        <v>0.649388557929279</v>
      </c>
      <c r="AT134" s="253" t="n">
        <f aca="false">AR134*AM134*$AT$6</f>
        <v>0.0890683682687023</v>
      </c>
      <c r="AU134" s="253" t="n">
        <f aca="false">AK134+AL134+AT134</f>
        <v>-0.505452792419133</v>
      </c>
      <c r="AV134" s="233" t="n">
        <f aca="false">[10]Sheet1!AA125</f>
        <v>0.212071428571429</v>
      </c>
      <c r="AW134" s="233" t="n">
        <v>0</v>
      </c>
    </row>
    <row r="135" customFormat="false" ht="11.25" hidden="false" customHeight="false" outlineLevel="0" collapsed="false">
      <c r="A135" s="233"/>
      <c r="B135" s="233"/>
      <c r="C135" s="231" t="e">
        <f aca="false">NextMonth(C134)</f>
        <v>#VALUE!</v>
      </c>
      <c r="D135" s="252" t="n">
        <v>0.0639176134899739</v>
      </c>
      <c r="E135" s="232" t="n">
        <v>4.28</v>
      </c>
      <c r="F135" s="232" t="n">
        <v>0.18</v>
      </c>
      <c r="G135" s="232" t="n">
        <v>0.18</v>
      </c>
      <c r="H135" s="232" t="n">
        <v>0.18</v>
      </c>
      <c r="I135" s="232" t="n">
        <v>0.185</v>
      </c>
      <c r="J135" s="232" t="n">
        <v>0.18</v>
      </c>
      <c r="K135" s="233" t="n">
        <v>0.18</v>
      </c>
      <c r="L135" s="232" t="n">
        <v>0.4</v>
      </c>
      <c r="M135" s="232" t="n">
        <v>0.4</v>
      </c>
      <c r="N135" s="232" t="n">
        <v>0.45</v>
      </c>
      <c r="O135" s="232" t="n">
        <v>0.5</v>
      </c>
      <c r="P135" s="232" t="n">
        <v>0.45</v>
      </c>
      <c r="Q135" s="252" t="n">
        <v>0.21</v>
      </c>
      <c r="R135" s="252" t="n">
        <v>0</v>
      </c>
      <c r="S135" s="233" t="n">
        <v>-0.044</v>
      </c>
      <c r="T135" s="233" t="n">
        <v>0</v>
      </c>
      <c r="U135" s="233" t="n">
        <v>-0.14</v>
      </c>
      <c r="V135" s="233" t="n">
        <v>-0.01</v>
      </c>
      <c r="W135" s="233" t="n">
        <v>-0.14</v>
      </c>
      <c r="X135" s="233" t="n">
        <v>-0.01</v>
      </c>
      <c r="Y135" s="233" t="n">
        <v>0.15</v>
      </c>
      <c r="Z135" s="233" t="n">
        <v>0</v>
      </c>
      <c r="AA135" s="233" t="n">
        <v>0.15</v>
      </c>
      <c r="AB135" s="233" t="n">
        <v>0</v>
      </c>
      <c r="AC135" s="233" t="n">
        <v>0.17</v>
      </c>
      <c r="AD135" s="233" t="n">
        <v>0.0175</v>
      </c>
      <c r="AE135" s="233" t="n">
        <v>0.09</v>
      </c>
      <c r="AF135" s="233" t="n">
        <v>0.005</v>
      </c>
      <c r="AG135" s="233" t="n">
        <v>0.235</v>
      </c>
      <c r="AH135" s="233" t="n">
        <v>0</v>
      </c>
      <c r="AI135" s="233" t="n">
        <v>0.18</v>
      </c>
      <c r="AJ135" s="233" t="n">
        <v>0</v>
      </c>
      <c r="AK135" s="233" t="n">
        <v>-0.678</v>
      </c>
      <c r="AL135" s="233" t="n">
        <v>0.0017121750415342</v>
      </c>
      <c r="AM135" s="233" t="n">
        <v>0.13</v>
      </c>
      <c r="AN135" s="233" t="n">
        <v>1.53987614352642</v>
      </c>
      <c r="AO135" s="233" t="n">
        <v>0.18</v>
      </c>
      <c r="AP135" s="233" t="n">
        <v>0.18</v>
      </c>
      <c r="AQ135" s="233" t="n">
        <v>0.18</v>
      </c>
      <c r="AR135" s="233" t="n">
        <f aca="false">1/AN135</f>
        <v>0.649402878409385</v>
      </c>
      <c r="AT135" s="253" t="n">
        <f aca="false">AR135*AM135*$AT$6</f>
        <v>0.089070332426802</v>
      </c>
      <c r="AU135" s="253" t="n">
        <f aca="false">AK135+AL135+AT135</f>
        <v>-0.587217492531664</v>
      </c>
      <c r="AV135" s="233" t="n">
        <f aca="false">[10]Sheet1!AA126</f>
        <v>0.163</v>
      </c>
      <c r="AW135" s="233" t="n">
        <v>0</v>
      </c>
    </row>
    <row r="136" customFormat="false" ht="11.25" hidden="false" customHeight="false" outlineLevel="0" collapsed="false">
      <c r="A136" s="233"/>
      <c r="B136" s="233"/>
      <c r="C136" s="231" t="e">
        <f aca="false">NextMonth(C135)</f>
        <v>#VALUE!</v>
      </c>
      <c r="D136" s="252" t="n">
        <v>0.0640027853934431</v>
      </c>
      <c r="E136" s="232" t="n">
        <v>4.25</v>
      </c>
      <c r="F136" s="232" t="n">
        <v>0.18</v>
      </c>
      <c r="G136" s="232" t="n">
        <v>0.18</v>
      </c>
      <c r="H136" s="232" t="n">
        <v>0.18</v>
      </c>
      <c r="I136" s="232" t="n">
        <v>0.185</v>
      </c>
      <c r="J136" s="232" t="n">
        <v>0.18</v>
      </c>
      <c r="K136" s="233" t="n">
        <v>0.18</v>
      </c>
      <c r="L136" s="232" t="n">
        <v>0.45</v>
      </c>
      <c r="M136" s="232" t="n">
        <v>0.4</v>
      </c>
      <c r="N136" s="232" t="n">
        <v>0.5</v>
      </c>
      <c r="O136" s="232" t="n">
        <v>0.45</v>
      </c>
      <c r="P136" s="232" t="n">
        <v>0.45</v>
      </c>
      <c r="Q136" s="252" t="n">
        <v>0.21</v>
      </c>
      <c r="R136" s="252" t="n">
        <v>0</v>
      </c>
      <c r="S136" s="233" t="n">
        <v>-0.044</v>
      </c>
      <c r="T136" s="233" t="n">
        <v>0</v>
      </c>
      <c r="U136" s="233" t="n">
        <v>-0.14</v>
      </c>
      <c r="V136" s="233" t="n">
        <v>-0.01</v>
      </c>
      <c r="W136" s="233" t="n">
        <v>-0.14</v>
      </c>
      <c r="X136" s="233" t="n">
        <v>-0.01</v>
      </c>
      <c r="Y136" s="233" t="n">
        <v>0.15</v>
      </c>
      <c r="Z136" s="233" t="n">
        <v>0</v>
      </c>
      <c r="AA136" s="233" t="n">
        <v>0.15</v>
      </c>
      <c r="AB136" s="233" t="n">
        <v>0</v>
      </c>
      <c r="AC136" s="233" t="n">
        <v>0.165</v>
      </c>
      <c r="AD136" s="233" t="n">
        <v>0.01</v>
      </c>
      <c r="AE136" s="233" t="n">
        <v>0.09</v>
      </c>
      <c r="AF136" s="233" t="n">
        <v>0.005</v>
      </c>
      <c r="AG136" s="233" t="n">
        <v>0.235</v>
      </c>
      <c r="AH136" s="233" t="n">
        <v>0</v>
      </c>
      <c r="AI136" s="233" t="n">
        <v>0.18</v>
      </c>
      <c r="AJ136" s="233" t="n">
        <v>0</v>
      </c>
      <c r="AK136" s="233" t="n">
        <v>-0.678</v>
      </c>
      <c r="AL136" s="233" t="n">
        <v>0.0017122104318682</v>
      </c>
      <c r="AM136" s="233" t="n">
        <v>0.13</v>
      </c>
      <c r="AN136" s="233" t="n">
        <v>1.53984431523599</v>
      </c>
      <c r="AO136" s="233" t="n">
        <v>0.18</v>
      </c>
      <c r="AP136" s="233" t="n">
        <v>0.18</v>
      </c>
      <c r="AQ136" s="233" t="n">
        <v>0.18</v>
      </c>
      <c r="AR136" s="233" t="n">
        <f aca="false">1/AN136</f>
        <v>0.649416301443919</v>
      </c>
      <c r="AT136" s="253" t="n">
        <f aca="false">AR136*AM136*$AT$6</f>
        <v>0.089072173493708</v>
      </c>
      <c r="AU136" s="253" t="n">
        <f aca="false">AK136+AL136+AT136</f>
        <v>-0.587215616074424</v>
      </c>
      <c r="AV136" s="233" t="n">
        <f aca="false">[10]Sheet1!AA127</f>
        <v>0.163</v>
      </c>
      <c r="AW136" s="233" t="n">
        <v>0</v>
      </c>
    </row>
    <row r="137" customFormat="false" ht="11.25" hidden="false" customHeight="false" outlineLevel="0" collapsed="false">
      <c r="A137" s="233"/>
      <c r="B137" s="233"/>
      <c r="C137" s="231" t="e">
        <f aca="false">NextMonth(C136)</f>
        <v>#VALUE!</v>
      </c>
      <c r="D137" s="252" t="n">
        <v>0.0640642662932196</v>
      </c>
      <c r="E137" s="232" t="n">
        <v>4.32</v>
      </c>
      <c r="F137" s="232" t="n">
        <v>0.18</v>
      </c>
      <c r="G137" s="232" t="n">
        <v>0.18</v>
      </c>
      <c r="H137" s="232" t="n">
        <v>0.18</v>
      </c>
      <c r="I137" s="232" t="n">
        <v>0.185</v>
      </c>
      <c r="J137" s="232" t="n">
        <v>0.18</v>
      </c>
      <c r="K137" s="233" t="n">
        <v>0.18</v>
      </c>
      <c r="L137" s="232" t="n">
        <v>0.45</v>
      </c>
      <c r="M137" s="232" t="n">
        <v>0.4</v>
      </c>
      <c r="N137" s="232" t="n">
        <v>0.5</v>
      </c>
      <c r="O137" s="232" t="n">
        <v>0.5</v>
      </c>
      <c r="P137" s="232" t="n">
        <v>0.5</v>
      </c>
      <c r="Q137" s="252" t="n">
        <v>0.21</v>
      </c>
      <c r="R137" s="252" t="n">
        <v>0</v>
      </c>
      <c r="S137" s="233" t="n">
        <v>-0.044</v>
      </c>
      <c r="T137" s="233" t="n">
        <v>0</v>
      </c>
      <c r="U137" s="233" t="n">
        <v>-0.14</v>
      </c>
      <c r="V137" s="233" t="n">
        <v>-0.01</v>
      </c>
      <c r="W137" s="233" t="n">
        <v>-0.14</v>
      </c>
      <c r="X137" s="233" t="n">
        <v>-0.01</v>
      </c>
      <c r="Y137" s="233" t="n">
        <v>0.15</v>
      </c>
      <c r="Z137" s="233" t="n">
        <v>0</v>
      </c>
      <c r="AA137" s="233" t="n">
        <v>0.15</v>
      </c>
      <c r="AB137" s="233" t="n">
        <v>0</v>
      </c>
      <c r="AC137" s="233" t="n">
        <v>0.17</v>
      </c>
      <c r="AD137" s="233" t="n">
        <v>0.0125</v>
      </c>
      <c r="AE137" s="233" t="n">
        <v>0.09</v>
      </c>
      <c r="AF137" s="233" t="n">
        <v>0.005</v>
      </c>
      <c r="AG137" s="233" t="n">
        <v>0.235</v>
      </c>
      <c r="AH137" s="233" t="n">
        <v>0</v>
      </c>
      <c r="AI137" s="233" t="n">
        <v>0.18</v>
      </c>
      <c r="AJ137" s="233" t="n">
        <v>0</v>
      </c>
      <c r="AK137" s="233" t="n">
        <v>-0.678</v>
      </c>
      <c r="AL137" s="233" t="n">
        <v>0.0017121899751411</v>
      </c>
      <c r="AM137" s="233" t="n">
        <v>0.13</v>
      </c>
      <c r="AN137" s="233" t="n">
        <v>1.53986271282928</v>
      </c>
      <c r="AO137" s="233" t="n">
        <v>0.18</v>
      </c>
      <c r="AP137" s="233" t="n">
        <v>0.18</v>
      </c>
      <c r="AQ137" s="233" t="n">
        <v>0.18</v>
      </c>
      <c r="AR137" s="233" t="n">
        <f aca="false">1/AN137</f>
        <v>0.64940854250743</v>
      </c>
      <c r="AT137" s="253" t="n">
        <f aca="false">AR137*AM137*$AT$6</f>
        <v>0.0890711092990835</v>
      </c>
      <c r="AU137" s="253" t="n">
        <f aca="false">AK137+AL137+AT137</f>
        <v>-0.587216700725776</v>
      </c>
      <c r="AV137" s="233" t="n">
        <f aca="false">[10]Sheet1!AA128</f>
        <v>0.163</v>
      </c>
      <c r="AW137" s="233" t="n">
        <v>0</v>
      </c>
    </row>
    <row r="138" customFormat="false" ht="11.25" hidden="false" customHeight="false" outlineLevel="0" collapsed="false">
      <c r="A138" s="233"/>
      <c r="B138" s="233"/>
      <c r="C138" s="231" t="e">
        <f aca="false">NextMonth(C137)</f>
        <v>#VALUE!</v>
      </c>
      <c r="D138" s="252" t="n">
        <v>0.0640996943194261</v>
      </c>
      <c r="E138" s="232" t="n">
        <v>4.375</v>
      </c>
      <c r="F138" s="232" t="n">
        <v>0.18</v>
      </c>
      <c r="G138" s="232" t="n">
        <v>0.18</v>
      </c>
      <c r="H138" s="232" t="n">
        <v>0.18</v>
      </c>
      <c r="I138" s="232" t="n">
        <v>0.185</v>
      </c>
      <c r="J138" s="232" t="n">
        <v>0.18</v>
      </c>
      <c r="K138" s="233" t="n">
        <v>0.18</v>
      </c>
      <c r="L138" s="232" t="n">
        <v>0.5</v>
      </c>
      <c r="M138" s="232" t="n">
        <v>0.4</v>
      </c>
      <c r="N138" s="232" t="n">
        <v>0.55</v>
      </c>
      <c r="O138" s="232" t="n">
        <v>0.5</v>
      </c>
      <c r="P138" s="232" t="n">
        <v>0.5</v>
      </c>
      <c r="Q138" s="252" t="n">
        <v>0.21</v>
      </c>
      <c r="R138" s="252" t="n">
        <v>0</v>
      </c>
      <c r="S138" s="233" t="n">
        <v>-0.044</v>
      </c>
      <c r="T138" s="233" t="n">
        <v>0</v>
      </c>
      <c r="U138" s="233" t="n">
        <v>-0.14</v>
      </c>
      <c r="V138" s="233" t="n">
        <v>-0.01</v>
      </c>
      <c r="W138" s="233" t="n">
        <v>-0.14</v>
      </c>
      <c r="X138" s="233" t="n">
        <v>-0.01</v>
      </c>
      <c r="Y138" s="233" t="n">
        <v>0.15</v>
      </c>
      <c r="Z138" s="233" t="n">
        <v>0</v>
      </c>
      <c r="AA138" s="233" t="n">
        <v>0.15</v>
      </c>
      <c r="AB138" s="233" t="n">
        <v>0</v>
      </c>
      <c r="AC138" s="233" t="n">
        <v>0.175</v>
      </c>
      <c r="AD138" s="233" t="n">
        <v>0.0125</v>
      </c>
      <c r="AE138" s="233" t="n">
        <v>0.09</v>
      </c>
      <c r="AF138" s="233" t="n">
        <v>0.005</v>
      </c>
      <c r="AG138" s="233" t="n">
        <v>0.235</v>
      </c>
      <c r="AH138" s="233" t="n">
        <v>0</v>
      </c>
      <c r="AI138" s="233" t="n">
        <v>0.18</v>
      </c>
      <c r="AJ138" s="233" t="n">
        <v>0</v>
      </c>
      <c r="AK138" s="233" t="n">
        <v>-0.678</v>
      </c>
      <c r="AL138" s="233" t="n">
        <v>0.0017121170589805</v>
      </c>
      <c r="AM138" s="233" t="n">
        <v>0.13</v>
      </c>
      <c r="AN138" s="233" t="n">
        <v>1.53992829296955</v>
      </c>
      <c r="AO138" s="233" t="n">
        <v>0.18</v>
      </c>
      <c r="AP138" s="233" t="n">
        <v>0.18</v>
      </c>
      <c r="AQ138" s="233" t="n">
        <v>0.18</v>
      </c>
      <c r="AR138" s="233" t="n">
        <f aca="false">1/AN138</f>
        <v>0.649380886477273</v>
      </c>
      <c r="AT138" s="253" t="n">
        <f aca="false">AR138*AM138*$AT$6</f>
        <v>0.0890673160732116</v>
      </c>
      <c r="AU138" s="253" t="n">
        <f aca="false">AK138+AL138+AT138</f>
        <v>-0.587220566867808</v>
      </c>
      <c r="AV138" s="233" t="n">
        <f aca="false">[10]Sheet1!AA129</f>
        <v>0.163</v>
      </c>
      <c r="AW138" s="233" t="n">
        <v>0</v>
      </c>
    </row>
    <row r="139" customFormat="false" ht="11.25" hidden="false" customHeight="false" outlineLevel="0" collapsed="false">
      <c r="A139" s="233"/>
      <c r="B139" s="233"/>
      <c r="C139" s="231" t="e">
        <f aca="false">NextMonth(C138)</f>
        <v>#VALUE!</v>
      </c>
      <c r="D139" s="252" t="n">
        <v>0.0641363032802769</v>
      </c>
      <c r="E139" s="232" t="n">
        <v>4.431</v>
      </c>
      <c r="F139" s="232" t="n">
        <v>0.18</v>
      </c>
      <c r="G139" s="232" t="n">
        <v>0.18</v>
      </c>
      <c r="H139" s="232" t="n">
        <v>0.18</v>
      </c>
      <c r="I139" s="232" t="n">
        <v>0.185</v>
      </c>
      <c r="J139" s="232" t="n">
        <v>0.18</v>
      </c>
      <c r="K139" s="233" t="n">
        <v>0.18</v>
      </c>
      <c r="L139" s="232" t="n">
        <v>0.55</v>
      </c>
      <c r="M139" s="232" t="n">
        <v>0.5</v>
      </c>
      <c r="N139" s="232" t="n">
        <v>0.6</v>
      </c>
      <c r="O139" s="232" t="n">
        <v>0.45</v>
      </c>
      <c r="P139" s="232" t="n">
        <v>0.55</v>
      </c>
      <c r="Q139" s="252" t="n">
        <v>0.21</v>
      </c>
      <c r="R139" s="252" t="n">
        <v>0</v>
      </c>
      <c r="S139" s="233" t="n">
        <v>-0.044</v>
      </c>
      <c r="T139" s="233" t="n">
        <v>0</v>
      </c>
      <c r="U139" s="233" t="n">
        <v>-0.14</v>
      </c>
      <c r="V139" s="233" t="n">
        <v>-0.01</v>
      </c>
      <c r="W139" s="233" t="n">
        <v>-0.14</v>
      </c>
      <c r="X139" s="233" t="n">
        <v>-0.01</v>
      </c>
      <c r="Y139" s="233" t="n">
        <v>0.15</v>
      </c>
      <c r="Z139" s="233" t="n">
        <v>0</v>
      </c>
      <c r="AA139" s="233" t="n">
        <v>0.15</v>
      </c>
      <c r="AB139" s="233" t="n">
        <v>0</v>
      </c>
      <c r="AC139" s="233" t="n">
        <v>0.175</v>
      </c>
      <c r="AD139" s="233" t="n">
        <v>0.0125</v>
      </c>
      <c r="AE139" s="233" t="n">
        <v>0.09</v>
      </c>
      <c r="AF139" s="233" t="n">
        <v>0.005</v>
      </c>
      <c r="AG139" s="233" t="n">
        <v>0.235</v>
      </c>
      <c r="AH139" s="233" t="n">
        <v>0</v>
      </c>
      <c r="AI139" s="233" t="n">
        <v>0.18</v>
      </c>
      <c r="AJ139" s="233" t="n">
        <v>0</v>
      </c>
      <c r="AK139" s="233" t="n">
        <v>-0.678</v>
      </c>
      <c r="AL139" s="233" t="n">
        <v>0.0017120387318201</v>
      </c>
      <c r="AM139" s="233" t="n">
        <v>0.13</v>
      </c>
      <c r="AN139" s="233" t="n">
        <v>1.53999874593778</v>
      </c>
      <c r="AO139" s="233" t="n">
        <v>0.18</v>
      </c>
      <c r="AP139" s="233" t="n">
        <v>0.18</v>
      </c>
      <c r="AQ139" s="233" t="n">
        <v>0.18</v>
      </c>
      <c r="AR139" s="233" t="n">
        <f aca="false">1/AN139</f>
        <v>0.649351178134273</v>
      </c>
      <c r="AT139" s="253" t="n">
        <f aca="false">AR139*AM139*$AT$6</f>
        <v>0.0890632413576923</v>
      </c>
      <c r="AU139" s="253" t="n">
        <f aca="false">AK139+AL139+AT139</f>
        <v>-0.587224719910488</v>
      </c>
      <c r="AV139" s="233" t="n">
        <f aca="false">[10]Sheet1!AA130</f>
        <v>0.163</v>
      </c>
      <c r="AW139" s="233" t="n">
        <v>0</v>
      </c>
    </row>
    <row r="140" customFormat="false" ht="11.25" hidden="false" customHeight="false" outlineLevel="0" collapsed="false">
      <c r="A140" s="233"/>
      <c r="B140" s="233"/>
      <c r="C140" s="231" t="e">
        <f aca="false">NextMonth(C139)</f>
        <v>#VALUE!</v>
      </c>
      <c r="D140" s="252" t="n">
        <v>0.0641729122415717</v>
      </c>
      <c r="E140" s="232" t="n">
        <v>4.445</v>
      </c>
      <c r="F140" s="232" t="n">
        <v>0.18</v>
      </c>
      <c r="G140" s="232" t="n">
        <v>0.18</v>
      </c>
      <c r="H140" s="232" t="n">
        <v>0.18</v>
      </c>
      <c r="I140" s="232" t="n">
        <v>0.185</v>
      </c>
      <c r="J140" s="232" t="n">
        <v>0.18</v>
      </c>
      <c r="K140" s="233" t="n">
        <v>0.18</v>
      </c>
      <c r="L140" s="232" t="n">
        <v>0.55</v>
      </c>
      <c r="M140" s="232" t="n">
        <v>0.55</v>
      </c>
      <c r="N140" s="232" t="n">
        <v>0.6</v>
      </c>
      <c r="O140" s="232" t="n">
        <v>0.5</v>
      </c>
      <c r="P140" s="232" t="n">
        <v>0.6</v>
      </c>
      <c r="Q140" s="252" t="n">
        <v>0.21</v>
      </c>
      <c r="R140" s="252" t="n">
        <v>0</v>
      </c>
      <c r="S140" s="233" t="n">
        <v>-0.044</v>
      </c>
      <c r="T140" s="233" t="n">
        <v>0</v>
      </c>
      <c r="U140" s="233" t="n">
        <v>-0.14</v>
      </c>
      <c r="V140" s="233" t="n">
        <v>-0.01</v>
      </c>
      <c r="W140" s="233" t="n">
        <v>-0.14</v>
      </c>
      <c r="X140" s="233" t="n">
        <v>-0.01</v>
      </c>
      <c r="Y140" s="233" t="n">
        <v>0.15</v>
      </c>
      <c r="Z140" s="233" t="n">
        <v>0</v>
      </c>
      <c r="AA140" s="233" t="n">
        <v>0.15</v>
      </c>
      <c r="AB140" s="233" t="n">
        <v>0</v>
      </c>
      <c r="AC140" s="233" t="n">
        <v>0.165</v>
      </c>
      <c r="AD140" s="233" t="n">
        <v>0.0125</v>
      </c>
      <c r="AE140" s="233" t="n">
        <v>0.09</v>
      </c>
      <c r="AF140" s="233" t="n">
        <v>0.005</v>
      </c>
      <c r="AG140" s="233" t="n">
        <v>0.235</v>
      </c>
      <c r="AH140" s="233" t="n">
        <v>0</v>
      </c>
      <c r="AI140" s="233" t="n">
        <v>0.18</v>
      </c>
      <c r="AJ140" s="233" t="n">
        <v>0</v>
      </c>
      <c r="AK140" s="233" t="n">
        <v>-0.678</v>
      </c>
      <c r="AL140" s="233" t="n">
        <v>0.0017119573759334</v>
      </c>
      <c r="AM140" s="233" t="n">
        <v>0.13</v>
      </c>
      <c r="AN140" s="233" t="n">
        <v>1.54007192998155</v>
      </c>
      <c r="AO140" s="233" t="n">
        <v>0.18</v>
      </c>
      <c r="AP140" s="233" t="n">
        <v>0.18</v>
      </c>
      <c r="AQ140" s="233" t="n">
        <v>0.18</v>
      </c>
      <c r="AR140" s="233" t="n">
        <f aca="false">1/AN140</f>
        <v>0.649320321039797</v>
      </c>
      <c r="AT140" s="253" t="n">
        <f aca="false">AR140*AM140*$AT$6</f>
        <v>0.0890590090825453</v>
      </c>
      <c r="AU140" s="253" t="n">
        <f aca="false">AK140+AL140+AT140</f>
        <v>-0.587229033541521</v>
      </c>
      <c r="AV140" s="233" t="n">
        <f aca="false">[10]Sheet1!AA131</f>
        <v>0.163</v>
      </c>
      <c r="AW140" s="233" t="n">
        <v>0</v>
      </c>
    </row>
    <row r="141" customFormat="false" ht="11.25" hidden="false" customHeight="false" outlineLevel="0" collapsed="false">
      <c r="A141" s="233"/>
      <c r="B141" s="233"/>
      <c r="C141" s="231" t="e">
        <f aca="false">NextMonth(C140)</f>
        <v>#VALUE!</v>
      </c>
      <c r="D141" s="252" t="n">
        <v>0.0642083402690545</v>
      </c>
      <c r="E141" s="232" t="n">
        <v>4.476</v>
      </c>
      <c r="F141" s="232" t="n">
        <v>0.18</v>
      </c>
      <c r="G141" s="232" t="n">
        <v>0.18</v>
      </c>
      <c r="H141" s="232" t="n">
        <v>0.18</v>
      </c>
      <c r="I141" s="232" t="n">
        <v>0.185</v>
      </c>
      <c r="J141" s="232" t="n">
        <v>0.18</v>
      </c>
      <c r="K141" s="233" t="n">
        <v>0.18</v>
      </c>
      <c r="L141" s="232" t="n">
        <v>0.6</v>
      </c>
      <c r="M141" s="232" t="n">
        <v>0.55</v>
      </c>
      <c r="N141" s="232" t="n">
        <v>0.65</v>
      </c>
      <c r="O141" s="232" t="n">
        <v>0.5</v>
      </c>
      <c r="P141" s="232" t="n">
        <v>0.65</v>
      </c>
      <c r="Q141" s="252" t="n">
        <v>0.21</v>
      </c>
      <c r="R141" s="252" t="n">
        <v>0</v>
      </c>
      <c r="S141" s="233" t="n">
        <v>-0.044</v>
      </c>
      <c r="T141" s="233" t="n">
        <v>0</v>
      </c>
      <c r="U141" s="233" t="n">
        <v>-0.14</v>
      </c>
      <c r="V141" s="233" t="n">
        <v>-0.01</v>
      </c>
      <c r="W141" s="233" t="n">
        <v>-0.14</v>
      </c>
      <c r="X141" s="233" t="n">
        <v>-0.01</v>
      </c>
      <c r="Y141" s="233" t="n">
        <v>0.15</v>
      </c>
      <c r="Z141" s="233" t="n">
        <v>0</v>
      </c>
      <c r="AA141" s="233" t="n">
        <v>0.15</v>
      </c>
      <c r="AB141" s="233" t="n">
        <v>0</v>
      </c>
      <c r="AC141" s="233" t="n">
        <v>0.1725</v>
      </c>
      <c r="AD141" s="233" t="n">
        <v>0.0125</v>
      </c>
      <c r="AE141" s="233" t="n">
        <v>0.09</v>
      </c>
      <c r="AF141" s="233" t="n">
        <v>0.005</v>
      </c>
      <c r="AG141" s="233" t="n">
        <v>0.235</v>
      </c>
      <c r="AH141" s="233" t="n">
        <v>0</v>
      </c>
      <c r="AI141" s="233" t="n">
        <v>0.18</v>
      </c>
      <c r="AJ141" s="233" t="n">
        <v>0</v>
      </c>
      <c r="AK141" s="233" t="n">
        <v>-0.678</v>
      </c>
      <c r="AL141" s="233" t="n">
        <v>0.0017118757612604</v>
      </c>
      <c r="AM141" s="233" t="n">
        <v>0.13</v>
      </c>
      <c r="AN141" s="233" t="n">
        <v>1.54014535380698</v>
      </c>
      <c r="AO141" s="233" t="n">
        <v>0.18</v>
      </c>
      <c r="AP141" s="233" t="n">
        <v>0.18</v>
      </c>
      <c r="AQ141" s="233" t="n">
        <v>0.18</v>
      </c>
      <c r="AR141" s="233" t="n">
        <f aca="false">1/AN141</f>
        <v>0.649289365791461</v>
      </c>
      <c r="AT141" s="253" t="n">
        <f aca="false">AR141*AM141*$AT$6</f>
        <v>0.0890547633448819</v>
      </c>
      <c r="AU141" s="253" t="n">
        <f aca="false">AK141+AL141+AT141</f>
        <v>-0.587233360893858</v>
      </c>
      <c r="AV141" s="233" t="n">
        <f aca="false">[10]Sheet1!AA132</f>
        <v>0.163</v>
      </c>
      <c r="AW141" s="233" t="n">
        <v>0</v>
      </c>
    </row>
    <row r="142" customFormat="false" ht="11.25" hidden="false" customHeight="false" outlineLevel="0" collapsed="false">
      <c r="A142" s="233"/>
      <c r="B142" s="233"/>
      <c r="C142" s="231" t="e">
        <f aca="false">NextMonth(C141)</f>
        <v>#VALUE!</v>
      </c>
      <c r="D142" s="252" t="n">
        <v>0.0642449492312243</v>
      </c>
      <c r="E142" s="232" t="n">
        <v>4.609</v>
      </c>
      <c r="F142" s="232" t="n">
        <v>0.18</v>
      </c>
      <c r="G142" s="232" t="n">
        <v>0.18</v>
      </c>
      <c r="H142" s="232" t="n">
        <v>0.18</v>
      </c>
      <c r="I142" s="232" t="n">
        <v>0.185</v>
      </c>
      <c r="J142" s="232" t="n">
        <v>0.18</v>
      </c>
      <c r="K142" s="233" t="n">
        <v>0.18</v>
      </c>
      <c r="L142" s="232" t="n">
        <v>0.8</v>
      </c>
      <c r="M142" s="232" t="n">
        <v>0.8</v>
      </c>
      <c r="N142" s="232" t="n">
        <v>0.8</v>
      </c>
      <c r="O142" s="232" t="n">
        <v>0.95</v>
      </c>
      <c r="P142" s="232" t="n">
        <v>0.85</v>
      </c>
      <c r="Q142" s="252" t="n">
        <v>0.325</v>
      </c>
      <c r="R142" s="252" t="n">
        <v>0</v>
      </c>
      <c r="S142" s="233" t="n">
        <v>-0.0435</v>
      </c>
      <c r="T142" s="233" t="n">
        <v>0.005</v>
      </c>
      <c r="U142" s="233" t="n">
        <v>-0.1425</v>
      </c>
      <c r="V142" s="233" t="n">
        <v>0.01</v>
      </c>
      <c r="W142" s="233" t="n">
        <v>-0.1425</v>
      </c>
      <c r="X142" s="233" t="n">
        <v>0.01</v>
      </c>
      <c r="Y142" s="233" t="n">
        <v>0.225</v>
      </c>
      <c r="Z142" s="233" t="n">
        <v>0</v>
      </c>
      <c r="AA142" s="233" t="n">
        <v>0.225</v>
      </c>
      <c r="AB142" s="233" t="n">
        <v>0</v>
      </c>
      <c r="AC142" s="233" t="n">
        <v>0.24</v>
      </c>
      <c r="AD142" s="233" t="n">
        <v>0.03</v>
      </c>
      <c r="AE142" s="233" t="n">
        <v>0.175</v>
      </c>
      <c r="AF142" s="233" t="n">
        <v>0.02</v>
      </c>
      <c r="AG142" s="233" t="n">
        <v>0.425</v>
      </c>
      <c r="AH142" s="233" t="n">
        <v>0</v>
      </c>
      <c r="AI142" s="233" t="n">
        <v>0.275</v>
      </c>
      <c r="AJ142" s="233" t="n">
        <v>0</v>
      </c>
      <c r="AK142" s="233" t="n">
        <v>-0.618</v>
      </c>
      <c r="AL142" s="233" t="n">
        <v>0.0054777230318041</v>
      </c>
      <c r="AM142" s="233" t="n">
        <v>0.13</v>
      </c>
      <c r="AN142" s="233" t="n">
        <v>1.54022391256632</v>
      </c>
      <c r="AO142" s="233" t="n">
        <v>0.18</v>
      </c>
      <c r="AP142" s="233" t="n">
        <v>0.275</v>
      </c>
      <c r="AQ142" s="233" t="n">
        <v>0.275</v>
      </c>
      <c r="AR142" s="233" t="n">
        <f aca="false">1/AN142</f>
        <v>0.649256248939676</v>
      </c>
      <c r="AT142" s="253" t="n">
        <f aca="false">AR142*AM142*$AT$6</f>
        <v>0.0890502211275688</v>
      </c>
      <c r="AU142" s="253" t="n">
        <f aca="false">AK142+AL142+AT142</f>
        <v>-0.523472055840627</v>
      </c>
      <c r="AV142" s="233" t="n">
        <f aca="false">[10]Sheet1!AA133</f>
        <v>0.210071428571429</v>
      </c>
      <c r="AW142" s="233" t="n">
        <v>0</v>
      </c>
    </row>
    <row r="143" customFormat="false" ht="11.25" hidden="false" customHeight="false" outlineLevel="0" collapsed="false">
      <c r="A143" s="233"/>
      <c r="B143" s="233"/>
      <c r="C143" s="231" t="e">
        <f aca="false">NextMonth(C142)</f>
        <v>#VALUE!</v>
      </c>
      <c r="D143" s="252" t="n">
        <v>0.0642803772595535</v>
      </c>
      <c r="E143" s="232" t="n">
        <v>4.747</v>
      </c>
      <c r="F143" s="232" t="n">
        <v>0.18</v>
      </c>
      <c r="G143" s="232" t="n">
        <v>0.18</v>
      </c>
      <c r="H143" s="232" t="n">
        <v>0.18</v>
      </c>
      <c r="I143" s="232" t="n">
        <v>0.185</v>
      </c>
      <c r="J143" s="232" t="n">
        <v>0.18</v>
      </c>
      <c r="K143" s="233" t="n">
        <v>0.18</v>
      </c>
      <c r="L143" s="232" t="n">
        <v>1</v>
      </c>
      <c r="M143" s="232" t="n">
        <v>1</v>
      </c>
      <c r="N143" s="232" t="n">
        <v>1.1</v>
      </c>
      <c r="O143" s="232" t="n">
        <v>1.35</v>
      </c>
      <c r="P143" s="232" t="n">
        <v>1.05</v>
      </c>
      <c r="Q143" s="252" t="n">
        <v>0.325</v>
      </c>
      <c r="R143" s="252" t="n">
        <v>0</v>
      </c>
      <c r="S143" s="233" t="n">
        <v>-0.0435</v>
      </c>
      <c r="T143" s="233" t="n">
        <v>0.005</v>
      </c>
      <c r="U143" s="233" t="n">
        <v>-0.1375</v>
      </c>
      <c r="V143" s="233" t="n">
        <v>0.01</v>
      </c>
      <c r="W143" s="233" t="n">
        <v>-0.1375</v>
      </c>
      <c r="X143" s="233" t="n">
        <v>0.01</v>
      </c>
      <c r="Y143" s="233" t="n">
        <v>0.225</v>
      </c>
      <c r="Z143" s="233" t="n">
        <v>0</v>
      </c>
      <c r="AA143" s="233" t="n">
        <v>0.225</v>
      </c>
      <c r="AB143" s="233" t="n">
        <v>0</v>
      </c>
      <c r="AC143" s="233" t="n">
        <v>0.26</v>
      </c>
      <c r="AD143" s="233" t="n">
        <v>0.03</v>
      </c>
      <c r="AE143" s="233" t="n">
        <v>0.175</v>
      </c>
      <c r="AF143" s="233" t="n">
        <v>0.02</v>
      </c>
      <c r="AG143" s="233" t="n">
        <v>0.425</v>
      </c>
      <c r="AH143" s="233" t="n">
        <v>0</v>
      </c>
      <c r="AI143" s="233" t="n">
        <v>0.275</v>
      </c>
      <c r="AJ143" s="233" t="n">
        <v>0</v>
      </c>
      <c r="AK143" s="233" t="n">
        <v>-0.618</v>
      </c>
      <c r="AL143" s="233" t="n">
        <v>0.0054774434183125</v>
      </c>
      <c r="AM143" s="233" t="n">
        <v>0.13</v>
      </c>
      <c r="AN143" s="233" t="n">
        <v>1.54030253818655</v>
      </c>
      <c r="AO143" s="233" t="n">
        <v>0.18</v>
      </c>
      <c r="AP143" s="233" t="n">
        <v>0.275</v>
      </c>
      <c r="AQ143" s="233" t="n">
        <v>0.275</v>
      </c>
      <c r="AR143" s="233" t="n">
        <f aca="false">1/AN143</f>
        <v>0.649223107284712</v>
      </c>
      <c r="AT143" s="253" t="n">
        <f aca="false">AR143*AM143*$AT$6</f>
        <v>0.0890456755083192</v>
      </c>
      <c r="AU143" s="253" t="n">
        <f aca="false">AK143+AL143+AT143</f>
        <v>-0.523476881073368</v>
      </c>
      <c r="AV143" s="233" t="n">
        <f aca="false">[10]Sheet1!AA134</f>
        <v>0.215071428571429</v>
      </c>
      <c r="AW143" s="233" t="n">
        <v>0</v>
      </c>
    </row>
    <row r="144" customFormat="false" ht="11.25" hidden="false" customHeight="false" outlineLevel="0" collapsed="false">
      <c r="A144" s="233"/>
      <c r="B144" s="233"/>
      <c r="C144" s="231" t="e">
        <f aca="false">NextMonth(C143)</f>
        <v>#VALUE!</v>
      </c>
      <c r="D144" s="252" t="n">
        <v>0.0643169862225972</v>
      </c>
      <c r="E144" s="232" t="n">
        <v>4.789</v>
      </c>
      <c r="F144" s="232" t="n">
        <v>0.18</v>
      </c>
      <c r="G144" s="232" t="n">
        <v>0.18</v>
      </c>
      <c r="H144" s="232" t="n">
        <v>0.18</v>
      </c>
      <c r="I144" s="232" t="n">
        <v>0.185</v>
      </c>
      <c r="J144" s="232" t="n">
        <v>0.18</v>
      </c>
      <c r="K144" s="233" t="n">
        <v>0.18</v>
      </c>
      <c r="L144" s="232" t="n">
        <v>1</v>
      </c>
      <c r="M144" s="232" t="n">
        <v>1</v>
      </c>
      <c r="N144" s="232" t="n">
        <v>1.1</v>
      </c>
      <c r="O144" s="232" t="n">
        <v>1.35</v>
      </c>
      <c r="P144" s="232" t="n">
        <v>1.05</v>
      </c>
      <c r="Q144" s="252" t="n">
        <v>0.325</v>
      </c>
      <c r="R144" s="252" t="n">
        <v>0</v>
      </c>
      <c r="S144" s="233" t="n">
        <v>-0.0435</v>
      </c>
      <c r="T144" s="233" t="n">
        <v>0.005</v>
      </c>
      <c r="U144" s="233" t="n">
        <v>-0.1375</v>
      </c>
      <c r="V144" s="233" t="n">
        <v>0.01</v>
      </c>
      <c r="W144" s="233" t="n">
        <v>-0.1375</v>
      </c>
      <c r="X144" s="233" t="n">
        <v>0.01</v>
      </c>
      <c r="Y144" s="233" t="n">
        <v>0.225</v>
      </c>
      <c r="Z144" s="233" t="n">
        <v>0</v>
      </c>
      <c r="AA144" s="233" t="n">
        <v>0.225</v>
      </c>
      <c r="AB144" s="233" t="n">
        <v>0</v>
      </c>
      <c r="AC144" s="233" t="n">
        <v>0.27</v>
      </c>
      <c r="AD144" s="233" t="n">
        <v>0.03</v>
      </c>
      <c r="AE144" s="233" t="n">
        <v>0.175</v>
      </c>
      <c r="AF144" s="233" t="n">
        <v>0.02</v>
      </c>
      <c r="AG144" s="233" t="n">
        <v>0.425</v>
      </c>
      <c r="AH144" s="233" t="n">
        <v>0</v>
      </c>
      <c r="AI144" s="233" t="n">
        <v>0.275</v>
      </c>
      <c r="AJ144" s="233" t="n">
        <v>0</v>
      </c>
      <c r="AK144" s="233" t="n">
        <v>-0.618</v>
      </c>
      <c r="AL144" s="233" t="n">
        <v>0.0054771449567282</v>
      </c>
      <c r="AM144" s="233" t="n">
        <v>0.13</v>
      </c>
      <c r="AN144" s="233" t="n">
        <v>1.54038647263404</v>
      </c>
      <c r="AO144" s="233" t="n">
        <v>0.18</v>
      </c>
      <c r="AP144" s="233" t="n">
        <v>0.275</v>
      </c>
      <c r="AQ144" s="233" t="n">
        <v>0.275</v>
      </c>
      <c r="AR144" s="233" t="n">
        <f aca="false">1/AN144</f>
        <v>0.649187731628163</v>
      </c>
      <c r="AT144" s="253" t="n">
        <f aca="false">AR144*AM144*$AT$6</f>
        <v>0.0890408234794888</v>
      </c>
      <c r="AU144" s="253" t="n">
        <f aca="false">AK144+AL144+AT144</f>
        <v>-0.523482031563783</v>
      </c>
      <c r="AV144" s="233" t="n">
        <f aca="false">[10]Sheet1!AA135</f>
        <v>0.215071428571429</v>
      </c>
      <c r="AW144" s="233" t="n">
        <v>0</v>
      </c>
    </row>
    <row r="145" customFormat="false" ht="11.25" hidden="false" customHeight="false" outlineLevel="0" collapsed="false">
      <c r="A145" s="233"/>
      <c r="B145" s="233"/>
      <c r="C145" s="231" t="e">
        <f aca="false">NextMonth(C144)</f>
        <v>#VALUE!</v>
      </c>
      <c r="D145" s="252" t="n">
        <v>0.0643535951860858</v>
      </c>
      <c r="E145" s="232" t="n">
        <v>4.669</v>
      </c>
      <c r="F145" s="232" t="n">
        <v>0.175</v>
      </c>
      <c r="G145" s="232" t="n">
        <v>0.175</v>
      </c>
      <c r="H145" s="232" t="n">
        <v>0.175</v>
      </c>
      <c r="I145" s="232" t="n">
        <v>0.18</v>
      </c>
      <c r="J145" s="232" t="n">
        <v>0.175</v>
      </c>
      <c r="K145" s="233" t="n">
        <v>0.175</v>
      </c>
      <c r="L145" s="232" t="n">
        <v>1</v>
      </c>
      <c r="M145" s="232" t="n">
        <v>1</v>
      </c>
      <c r="N145" s="232" t="n">
        <v>1.1</v>
      </c>
      <c r="O145" s="232" t="n">
        <v>1.35</v>
      </c>
      <c r="P145" s="232" t="n">
        <v>1.05</v>
      </c>
      <c r="Q145" s="252" t="n">
        <v>0.325</v>
      </c>
      <c r="R145" s="252" t="n">
        <v>0</v>
      </c>
      <c r="S145" s="233" t="n">
        <v>-0.0435</v>
      </c>
      <c r="T145" s="233" t="n">
        <v>0.005</v>
      </c>
      <c r="U145" s="233" t="n">
        <v>-0.14</v>
      </c>
      <c r="V145" s="233" t="n">
        <v>0.01</v>
      </c>
      <c r="W145" s="233" t="n">
        <v>-0.14</v>
      </c>
      <c r="X145" s="233" t="n">
        <v>0.01</v>
      </c>
      <c r="Y145" s="233" t="n">
        <v>0.225</v>
      </c>
      <c r="Z145" s="233" t="n">
        <v>0</v>
      </c>
      <c r="AA145" s="233" t="n">
        <v>0.225</v>
      </c>
      <c r="AB145" s="233" t="n">
        <v>0</v>
      </c>
      <c r="AC145" s="233" t="n">
        <v>0.27</v>
      </c>
      <c r="AD145" s="233" t="n">
        <v>0.03</v>
      </c>
      <c r="AE145" s="233" t="n">
        <v>0.175</v>
      </c>
      <c r="AF145" s="233" t="n">
        <v>0.02</v>
      </c>
      <c r="AG145" s="233" t="n">
        <v>0.425</v>
      </c>
      <c r="AH145" s="233" t="n">
        <v>0</v>
      </c>
      <c r="AI145" s="233" t="n">
        <v>0.275</v>
      </c>
      <c r="AJ145" s="233" t="n">
        <v>0</v>
      </c>
      <c r="AK145" s="233" t="n">
        <v>-0.618</v>
      </c>
      <c r="AL145" s="233" t="n">
        <v>0.0054768368134635</v>
      </c>
      <c r="AM145" s="233" t="n">
        <v>0.13</v>
      </c>
      <c r="AN145" s="233" t="n">
        <v>1.54047313939677</v>
      </c>
      <c r="AO145" s="233" t="n">
        <v>0.175</v>
      </c>
      <c r="AP145" s="233" t="n">
        <v>0.275</v>
      </c>
      <c r="AQ145" s="233" t="n">
        <v>0.275</v>
      </c>
      <c r="AR145" s="233" t="n">
        <f aca="false">1/AN145</f>
        <v>0.649151208434305</v>
      </c>
      <c r="AT145" s="253" t="n">
        <f aca="false">AR145*AM145*$AT$6</f>
        <v>0.0890358140575623</v>
      </c>
      <c r="AU145" s="253" t="n">
        <f aca="false">AK145+AL145+AT145</f>
        <v>-0.523487349128974</v>
      </c>
      <c r="AV145" s="233" t="n">
        <f aca="false">[10]Sheet1!AA136</f>
        <v>0.215071428571429</v>
      </c>
      <c r="AW145" s="233" t="n">
        <v>0</v>
      </c>
    </row>
    <row r="146" customFormat="false" ht="11.25" hidden="false" customHeight="false" outlineLevel="0" collapsed="false">
      <c r="A146" s="233"/>
      <c r="B146" s="233"/>
      <c r="C146" s="231" t="e">
        <f aca="false">NextMonth(C145)</f>
        <v>#VALUE!</v>
      </c>
      <c r="D146" s="252" t="n">
        <v>0.0643878422813642</v>
      </c>
      <c r="E146" s="232" t="n">
        <v>4.53</v>
      </c>
      <c r="F146" s="232" t="n">
        <v>0.17</v>
      </c>
      <c r="G146" s="232" t="n">
        <v>0.17</v>
      </c>
      <c r="H146" s="232" t="n">
        <v>0.17</v>
      </c>
      <c r="I146" s="232" t="n">
        <v>0.175</v>
      </c>
      <c r="J146" s="232" t="n">
        <v>0.17</v>
      </c>
      <c r="K146" s="233" t="n">
        <v>0.17</v>
      </c>
      <c r="L146" s="232" t="n">
        <v>0.75</v>
      </c>
      <c r="M146" s="232" t="n">
        <v>0.75</v>
      </c>
      <c r="N146" s="232" t="n">
        <v>0.75</v>
      </c>
      <c r="O146" s="232" t="n">
        <v>0.95</v>
      </c>
      <c r="P146" s="232" t="n">
        <v>0.75</v>
      </c>
      <c r="Q146" s="252" t="n">
        <v>0.325</v>
      </c>
      <c r="R146" s="252" t="n">
        <v>0</v>
      </c>
      <c r="S146" s="233" t="n">
        <v>-0.0435</v>
      </c>
      <c r="T146" s="233" t="n">
        <v>0.005</v>
      </c>
      <c r="U146" s="233" t="n">
        <v>-0.1425</v>
      </c>
      <c r="V146" s="233" t="n">
        <v>0.01</v>
      </c>
      <c r="W146" s="233" t="n">
        <v>-0.1425</v>
      </c>
      <c r="X146" s="233" t="n">
        <v>0.01</v>
      </c>
      <c r="Y146" s="233" t="n">
        <v>0.225</v>
      </c>
      <c r="Z146" s="233" t="n">
        <v>0</v>
      </c>
      <c r="AA146" s="233" t="n">
        <v>0.225</v>
      </c>
      <c r="AB146" s="233" t="n">
        <v>0</v>
      </c>
      <c r="AC146" s="233" t="n">
        <v>0.24</v>
      </c>
      <c r="AD146" s="233" t="n">
        <v>0.03</v>
      </c>
      <c r="AE146" s="233" t="n">
        <v>0.175</v>
      </c>
      <c r="AF146" s="233" t="n">
        <v>0.02</v>
      </c>
      <c r="AG146" s="233" t="n">
        <v>0.425</v>
      </c>
      <c r="AH146" s="233" t="n">
        <v>0</v>
      </c>
      <c r="AI146" s="233" t="n">
        <v>0.275</v>
      </c>
      <c r="AJ146" s="233" t="n">
        <v>0</v>
      </c>
      <c r="AK146" s="233" t="n">
        <v>-0.618</v>
      </c>
      <c r="AL146" s="233" t="n">
        <v>0.005476539787489</v>
      </c>
      <c r="AM146" s="233" t="n">
        <v>0.13</v>
      </c>
      <c r="AN146" s="233" t="n">
        <v>1.54055668859994</v>
      </c>
      <c r="AO146" s="233" t="n">
        <v>0.17</v>
      </c>
      <c r="AP146" s="233" t="n">
        <v>0.275</v>
      </c>
      <c r="AQ146" s="233" t="n">
        <v>0.275</v>
      </c>
      <c r="AR146" s="233" t="n">
        <f aca="false">1/AN146</f>
        <v>0.649116002935797</v>
      </c>
      <c r="AT146" s="253" t="n">
        <f aca="false">AR146*AM146*$AT$6</f>
        <v>0.0890309853671459</v>
      </c>
      <c r="AU146" s="253" t="n">
        <f aca="false">AK146+AL146+AT146</f>
        <v>-0.523492474845365</v>
      </c>
      <c r="AV146" s="233" t="n">
        <f aca="false">[10]Sheet1!AA137</f>
        <v>0.215071428571429</v>
      </c>
      <c r="AW146" s="233" t="n">
        <v>0</v>
      </c>
    </row>
    <row r="147" customFormat="false" ht="11.25" hidden="false" customHeight="false" outlineLevel="0" collapsed="false">
      <c r="A147" s="233"/>
      <c r="B147" s="233"/>
      <c r="C147" s="231" t="e">
        <f aca="false">NextMonth(C146)</f>
        <v>#VALUE!</v>
      </c>
      <c r="D147" s="252" t="n">
        <v>0.0644244512457126</v>
      </c>
      <c r="E147" s="232" t="n">
        <v>4.355</v>
      </c>
      <c r="F147" s="232" t="n">
        <v>0.17</v>
      </c>
      <c r="G147" s="232" t="n">
        <v>0.17</v>
      </c>
      <c r="H147" s="232" t="n">
        <v>0.17</v>
      </c>
      <c r="I147" s="232" t="n">
        <v>0.175</v>
      </c>
      <c r="J147" s="232" t="n">
        <v>0.17</v>
      </c>
      <c r="K147" s="233" t="n">
        <v>0.17</v>
      </c>
      <c r="L147" s="232" t="n">
        <v>0.4</v>
      </c>
      <c r="M147" s="232" t="n">
        <v>0.4</v>
      </c>
      <c r="N147" s="232" t="n">
        <v>0.45</v>
      </c>
      <c r="O147" s="232" t="n">
        <v>0.5</v>
      </c>
      <c r="P147" s="232" t="n">
        <v>0.45</v>
      </c>
      <c r="Q147" s="252" t="n">
        <v>0.21</v>
      </c>
      <c r="R147" s="252" t="n">
        <v>0</v>
      </c>
      <c r="S147" s="233" t="n">
        <v>-0.041</v>
      </c>
      <c r="T147" s="233" t="n">
        <v>0</v>
      </c>
      <c r="U147" s="233" t="n">
        <v>-0.14</v>
      </c>
      <c r="V147" s="233" t="n">
        <v>-0.01</v>
      </c>
      <c r="W147" s="233" t="n">
        <v>-0.14</v>
      </c>
      <c r="X147" s="233" t="n">
        <v>-0.01</v>
      </c>
      <c r="Y147" s="233" t="n">
        <v>0.15</v>
      </c>
      <c r="Z147" s="233" t="n">
        <v>0</v>
      </c>
      <c r="AA147" s="233" t="n">
        <v>0.15</v>
      </c>
      <c r="AB147" s="233" t="n">
        <v>0</v>
      </c>
      <c r="AC147" s="233" t="n">
        <v>0.17</v>
      </c>
      <c r="AD147" s="233" t="n">
        <v>0.0175</v>
      </c>
      <c r="AE147" s="233" t="n">
        <v>0.09</v>
      </c>
      <c r="AF147" s="233" t="n">
        <v>0.005</v>
      </c>
      <c r="AG147" s="233" t="n">
        <v>0.235</v>
      </c>
      <c r="AH147" s="233" t="n">
        <v>0</v>
      </c>
      <c r="AI147" s="233" t="n">
        <v>0.18</v>
      </c>
      <c r="AJ147" s="233" t="n">
        <v>0</v>
      </c>
      <c r="AK147" s="233" t="n">
        <v>-0.718</v>
      </c>
      <c r="AL147" s="233" t="n">
        <v>0.0017113165349565</v>
      </c>
      <c r="AM147" s="233" t="n">
        <v>0.13</v>
      </c>
      <c r="AN147" s="233" t="n">
        <v>1.54064864456353</v>
      </c>
      <c r="AO147" s="233" t="n">
        <v>0.17</v>
      </c>
      <c r="AP147" s="233" t="n">
        <v>0.18</v>
      </c>
      <c r="AQ147" s="233" t="n">
        <v>0.18</v>
      </c>
      <c r="AR147" s="233" t="n">
        <f aca="false">1/AN147</f>
        <v>0.649077259457365</v>
      </c>
      <c r="AT147" s="253" t="n">
        <f aca="false">AR147*AM147*$AT$6</f>
        <v>0.0890256714170265</v>
      </c>
      <c r="AU147" s="253" t="n">
        <f aca="false">AK147+AL147+AT147</f>
        <v>-0.627263012048017</v>
      </c>
      <c r="AV147" s="233" t="n">
        <f aca="false">[10]Sheet1!AA138</f>
        <v>0.166</v>
      </c>
      <c r="AW147" s="233" t="n">
        <v>0</v>
      </c>
    </row>
    <row r="148" customFormat="false" ht="11.25" hidden="false" customHeight="false" outlineLevel="0" collapsed="false">
      <c r="A148" s="233"/>
      <c r="B148" s="233"/>
      <c r="C148" s="231" t="e">
        <f aca="false">NextMonth(C147)</f>
        <v>#VALUE!</v>
      </c>
      <c r="D148" s="252" t="n">
        <v>0.0644598792761499</v>
      </c>
      <c r="E148" s="232" t="n">
        <v>4.325</v>
      </c>
      <c r="F148" s="232" t="n">
        <v>0.17</v>
      </c>
      <c r="G148" s="232" t="n">
        <v>0.17</v>
      </c>
      <c r="H148" s="232" t="n">
        <v>0.17</v>
      </c>
      <c r="I148" s="232" t="n">
        <v>0.175</v>
      </c>
      <c r="J148" s="232" t="n">
        <v>0.17</v>
      </c>
      <c r="K148" s="233" t="n">
        <v>0.17</v>
      </c>
      <c r="L148" s="232" t="n">
        <v>0.45</v>
      </c>
      <c r="M148" s="232" t="n">
        <v>0.4</v>
      </c>
      <c r="N148" s="232" t="n">
        <v>0.5</v>
      </c>
      <c r="O148" s="232" t="n">
        <v>0.45</v>
      </c>
      <c r="P148" s="232" t="n">
        <v>0.45</v>
      </c>
      <c r="Q148" s="252" t="n">
        <v>0.21</v>
      </c>
      <c r="R148" s="252" t="n">
        <v>0</v>
      </c>
      <c r="S148" s="233" t="n">
        <v>-0.041</v>
      </c>
      <c r="T148" s="233" t="n">
        <v>0</v>
      </c>
      <c r="U148" s="233" t="n">
        <v>-0.14</v>
      </c>
      <c r="V148" s="233" t="n">
        <v>-0.01</v>
      </c>
      <c r="W148" s="233" t="n">
        <v>-0.14</v>
      </c>
      <c r="X148" s="233" t="n">
        <v>-0.01</v>
      </c>
      <c r="Y148" s="233" t="n">
        <v>0.15</v>
      </c>
      <c r="Z148" s="233" t="n">
        <v>0</v>
      </c>
      <c r="AA148" s="233" t="n">
        <v>0.15</v>
      </c>
      <c r="AB148" s="233" t="n">
        <v>0</v>
      </c>
      <c r="AC148" s="233" t="n">
        <v>0.165</v>
      </c>
      <c r="AD148" s="233" t="n">
        <v>0.01</v>
      </c>
      <c r="AE148" s="233" t="n">
        <v>0.09</v>
      </c>
      <c r="AF148" s="233" t="n">
        <v>0.005</v>
      </c>
      <c r="AG148" s="233" t="n">
        <v>0.235</v>
      </c>
      <c r="AH148" s="233" t="n">
        <v>0</v>
      </c>
      <c r="AI148" s="233" t="n">
        <v>0.18</v>
      </c>
      <c r="AJ148" s="233" t="n">
        <v>0</v>
      </c>
      <c r="AK148" s="233" t="n">
        <v>-0.718</v>
      </c>
      <c r="AL148" s="233" t="n">
        <v>0.0017112148027182</v>
      </c>
      <c r="AM148" s="233" t="n">
        <v>0.13</v>
      </c>
      <c r="AN148" s="233" t="n">
        <v>1.54074023659206</v>
      </c>
      <c r="AO148" s="233" t="n">
        <v>0.17</v>
      </c>
      <c r="AP148" s="233" t="n">
        <v>0.18</v>
      </c>
      <c r="AQ148" s="233" t="n">
        <v>0.18</v>
      </c>
      <c r="AR148" s="233" t="n">
        <f aca="false">1/AN148</f>
        <v>0.649038673911629</v>
      </c>
      <c r="AT148" s="253" t="n">
        <f aca="false">AR148*AM148*$AT$6</f>
        <v>0.089020379128526</v>
      </c>
      <c r="AU148" s="253" t="n">
        <f aca="false">AK148+AL148+AT148</f>
        <v>-0.627268406068756</v>
      </c>
      <c r="AV148" s="233" t="n">
        <f aca="false">[10]Sheet1!AA139</f>
        <v>0.166</v>
      </c>
      <c r="AW148" s="233" t="n">
        <v>0</v>
      </c>
    </row>
    <row r="149" customFormat="false" ht="11.25" hidden="false" customHeight="false" outlineLevel="0" collapsed="false">
      <c r="A149" s="233"/>
      <c r="B149" s="233"/>
      <c r="C149" s="231" t="e">
        <f aca="false">NextMonth(C148)</f>
        <v>#VALUE!</v>
      </c>
      <c r="D149" s="252" t="n">
        <v>0.0644964882413728</v>
      </c>
      <c r="E149" s="232" t="n">
        <v>4.395</v>
      </c>
      <c r="F149" s="232" t="n">
        <v>0.17</v>
      </c>
      <c r="G149" s="232" t="n">
        <v>0.17</v>
      </c>
      <c r="H149" s="232" t="n">
        <v>0.17</v>
      </c>
      <c r="I149" s="232" t="n">
        <v>0.175</v>
      </c>
      <c r="J149" s="232" t="n">
        <v>0.17</v>
      </c>
      <c r="K149" s="233" t="n">
        <v>0.17</v>
      </c>
      <c r="L149" s="232" t="n">
        <v>0.45</v>
      </c>
      <c r="M149" s="232" t="n">
        <v>0.4</v>
      </c>
      <c r="N149" s="232" t="n">
        <v>0.5</v>
      </c>
      <c r="O149" s="232" t="n">
        <v>0.5</v>
      </c>
      <c r="P149" s="232" t="n">
        <v>0.5</v>
      </c>
      <c r="Q149" s="252" t="n">
        <v>0.21</v>
      </c>
      <c r="R149" s="252" t="n">
        <v>0</v>
      </c>
      <c r="S149" s="233" t="n">
        <v>-0.041</v>
      </c>
      <c r="T149" s="233" t="n">
        <v>0</v>
      </c>
      <c r="U149" s="233" t="n">
        <v>-0.14</v>
      </c>
      <c r="V149" s="233" t="n">
        <v>-0.01</v>
      </c>
      <c r="W149" s="233" t="n">
        <v>-0.14</v>
      </c>
      <c r="X149" s="233" t="n">
        <v>-0.01</v>
      </c>
      <c r="Y149" s="233" t="n">
        <v>0.15</v>
      </c>
      <c r="Z149" s="233" t="n">
        <v>0</v>
      </c>
      <c r="AA149" s="233" t="n">
        <v>0.15</v>
      </c>
      <c r="AB149" s="233" t="n">
        <v>0</v>
      </c>
      <c r="AC149" s="233" t="n">
        <v>0.17</v>
      </c>
      <c r="AD149" s="233" t="n">
        <v>0.0125</v>
      </c>
      <c r="AE149" s="233" t="n">
        <v>0.09</v>
      </c>
      <c r="AF149" s="233" t="n">
        <v>0.005</v>
      </c>
      <c r="AG149" s="233" t="n">
        <v>0.235</v>
      </c>
      <c r="AH149" s="233" t="n">
        <v>0</v>
      </c>
      <c r="AI149" s="233" t="n">
        <v>0.18</v>
      </c>
      <c r="AJ149" s="233" t="n">
        <v>0</v>
      </c>
      <c r="AK149" s="233" t="n">
        <v>-0.718</v>
      </c>
      <c r="AL149" s="233" t="n">
        <v>0.0017111067054491</v>
      </c>
      <c r="AM149" s="233" t="n">
        <v>0.13</v>
      </c>
      <c r="AN149" s="233" t="n">
        <v>1.54083757114839</v>
      </c>
      <c r="AO149" s="233" t="n">
        <v>0.17</v>
      </c>
      <c r="AP149" s="233" t="n">
        <v>0.18</v>
      </c>
      <c r="AQ149" s="233" t="n">
        <v>0.18</v>
      </c>
      <c r="AR149" s="233" t="n">
        <f aca="false">1/AN149</f>
        <v>0.648997674203062</v>
      </c>
      <c r="AT149" s="253" t="n">
        <f aca="false">AR149*AM149*$AT$6</f>
        <v>0.0890147557200181</v>
      </c>
      <c r="AU149" s="253" t="n">
        <f aca="false">AK149+AL149+AT149</f>
        <v>-0.627274137574533</v>
      </c>
      <c r="AV149" s="233" t="n">
        <f aca="false">[10]Sheet1!AA140</f>
        <v>0.166</v>
      </c>
      <c r="AW149" s="233" t="n">
        <v>0</v>
      </c>
    </row>
    <row r="150" customFormat="false" ht="11.25" hidden="false" customHeight="false" outlineLevel="0" collapsed="false">
      <c r="A150" s="233"/>
      <c r="B150" s="233"/>
      <c r="C150" s="231" t="e">
        <f aca="false">NextMonth(C149)</f>
        <v>#VALUE!</v>
      </c>
      <c r="D150" s="252" t="n">
        <v>0.0645319162726565</v>
      </c>
      <c r="E150" s="232" t="n">
        <v>4.45</v>
      </c>
      <c r="F150" s="232" t="n">
        <v>0.17</v>
      </c>
      <c r="G150" s="232" t="n">
        <v>0.17</v>
      </c>
      <c r="H150" s="232" t="n">
        <v>0.17</v>
      </c>
      <c r="I150" s="232" t="n">
        <v>0.175</v>
      </c>
      <c r="J150" s="232" t="n">
        <v>0.17</v>
      </c>
      <c r="K150" s="233" t="n">
        <v>0.17</v>
      </c>
      <c r="L150" s="232" t="n">
        <v>0.5</v>
      </c>
      <c r="M150" s="232" t="n">
        <v>0.4</v>
      </c>
      <c r="N150" s="232" t="n">
        <v>0.55</v>
      </c>
      <c r="O150" s="232" t="n">
        <v>0.5</v>
      </c>
      <c r="P150" s="232" t="n">
        <v>0.5</v>
      </c>
      <c r="Q150" s="252" t="n">
        <v>0.21</v>
      </c>
      <c r="R150" s="252" t="n">
        <v>0</v>
      </c>
      <c r="S150" s="233" t="n">
        <v>-0.041</v>
      </c>
      <c r="T150" s="233" t="n">
        <v>0</v>
      </c>
      <c r="U150" s="233" t="n">
        <v>-0.14</v>
      </c>
      <c r="V150" s="233" t="n">
        <v>-0.01</v>
      </c>
      <c r="W150" s="233" t="n">
        <v>-0.14</v>
      </c>
      <c r="X150" s="233" t="n">
        <v>-0.01</v>
      </c>
      <c r="Y150" s="233" t="n">
        <v>0.15</v>
      </c>
      <c r="Z150" s="233" t="n">
        <v>0</v>
      </c>
      <c r="AA150" s="233" t="n">
        <v>0.15</v>
      </c>
      <c r="AB150" s="233" t="n">
        <v>0</v>
      </c>
      <c r="AC150" s="233" t="n">
        <v>0.175</v>
      </c>
      <c r="AD150" s="233" t="n">
        <v>0.0125</v>
      </c>
      <c r="AE150" s="233" t="n">
        <v>0.09</v>
      </c>
      <c r="AF150" s="233" t="n">
        <v>0.005</v>
      </c>
      <c r="AG150" s="233" t="n">
        <v>0.235</v>
      </c>
      <c r="AH150" s="233" t="n">
        <v>0</v>
      </c>
      <c r="AI150" s="233" t="n">
        <v>0.18</v>
      </c>
      <c r="AJ150" s="233" t="n">
        <v>0</v>
      </c>
      <c r="AK150" s="233" t="n">
        <v>-0.718</v>
      </c>
      <c r="AL150" s="233" t="n">
        <v>0.0017109992178731</v>
      </c>
      <c r="AM150" s="233" t="n">
        <v>0.13</v>
      </c>
      <c r="AN150" s="233" t="n">
        <v>1.54093436891069</v>
      </c>
      <c r="AO150" s="233" t="n">
        <v>0.17</v>
      </c>
      <c r="AP150" s="233" t="n">
        <v>0.18</v>
      </c>
      <c r="AQ150" s="233" t="n">
        <v>0.18</v>
      </c>
      <c r="AR150" s="233" t="n">
        <f aca="false">1/AN150</f>
        <v>0.648956905742141</v>
      </c>
      <c r="AT150" s="253" t="n">
        <f aca="false">AR150*AM150*$AT$6</f>
        <v>0.0890091640288084</v>
      </c>
      <c r="AU150" s="253" t="n">
        <f aca="false">AK150+AL150+AT150</f>
        <v>-0.627279836753319</v>
      </c>
      <c r="AV150" s="233" t="n">
        <f aca="false">[10]Sheet1!AA141</f>
        <v>0.166</v>
      </c>
      <c r="AW150" s="233" t="n">
        <v>0</v>
      </c>
    </row>
    <row r="151" customFormat="false" ht="11.25" hidden="false" customHeight="false" outlineLevel="0" collapsed="false">
      <c r="A151" s="233"/>
      <c r="B151" s="233"/>
      <c r="C151" s="231" t="e">
        <f aca="false">NextMonth(C150)</f>
        <v>#VALUE!</v>
      </c>
      <c r="D151" s="252" t="n">
        <v>0.0645685252387538</v>
      </c>
      <c r="E151" s="232" t="n">
        <v>4.506</v>
      </c>
      <c r="F151" s="232" t="n">
        <v>0.17</v>
      </c>
      <c r="G151" s="232" t="n">
        <v>0.17</v>
      </c>
      <c r="H151" s="232" t="n">
        <v>0.17</v>
      </c>
      <c r="I151" s="232" t="n">
        <v>0.175</v>
      </c>
      <c r="J151" s="232" t="n">
        <v>0.17</v>
      </c>
      <c r="K151" s="233" t="n">
        <v>0.17</v>
      </c>
      <c r="L151" s="232" t="n">
        <v>0.55</v>
      </c>
      <c r="M151" s="232" t="n">
        <v>0.5</v>
      </c>
      <c r="N151" s="232" t="n">
        <v>0.6</v>
      </c>
      <c r="O151" s="232" t="n">
        <v>0.45</v>
      </c>
      <c r="P151" s="232" t="n">
        <v>0.55</v>
      </c>
      <c r="Q151" s="252" t="n">
        <v>0.21</v>
      </c>
      <c r="R151" s="252" t="n">
        <v>0</v>
      </c>
      <c r="S151" s="233" t="n">
        <v>-0.041</v>
      </c>
      <c r="T151" s="233" t="n">
        <v>0</v>
      </c>
      <c r="U151" s="233" t="n">
        <v>-0.14</v>
      </c>
      <c r="V151" s="233" t="n">
        <v>-0.01</v>
      </c>
      <c r="W151" s="233" t="n">
        <v>-0.14</v>
      </c>
      <c r="X151" s="233" t="n">
        <v>-0.01</v>
      </c>
      <c r="Y151" s="233" t="n">
        <v>0.15</v>
      </c>
      <c r="Z151" s="233" t="n">
        <v>0</v>
      </c>
      <c r="AA151" s="233" t="n">
        <v>0.15</v>
      </c>
      <c r="AB151" s="233" t="n">
        <v>0</v>
      </c>
      <c r="AC151" s="233" t="n">
        <v>0.175</v>
      </c>
      <c r="AD151" s="233" t="n">
        <v>0.0125</v>
      </c>
      <c r="AE151" s="233" t="n">
        <v>0.09</v>
      </c>
      <c r="AF151" s="233" t="n">
        <v>0.005</v>
      </c>
      <c r="AG151" s="233" t="n">
        <v>0.235</v>
      </c>
      <c r="AH151" s="233" t="n">
        <v>0</v>
      </c>
      <c r="AI151" s="233" t="n">
        <v>0.18</v>
      </c>
      <c r="AJ151" s="233" t="n">
        <v>0</v>
      </c>
      <c r="AK151" s="233" t="n">
        <v>-0.718</v>
      </c>
      <c r="AL151" s="233" t="n">
        <v>0.0017108851749052</v>
      </c>
      <c r="AM151" s="233" t="n">
        <v>0.13</v>
      </c>
      <c r="AN151" s="233" t="n">
        <v>1.54103708341858</v>
      </c>
      <c r="AO151" s="233" t="n">
        <v>0.17</v>
      </c>
      <c r="AP151" s="233" t="n">
        <v>0.18</v>
      </c>
      <c r="AQ151" s="233" t="n">
        <v>0.18</v>
      </c>
      <c r="AR151" s="233" t="n">
        <f aca="false">1/AN151</f>
        <v>0.648913650917236</v>
      </c>
      <c r="AT151" s="253" t="n">
        <f aca="false">AR151*AM151*$AT$6</f>
        <v>0.0890032313146776</v>
      </c>
      <c r="AU151" s="253" t="n">
        <f aca="false">AK151+AL151+AT151</f>
        <v>-0.627285883510417</v>
      </c>
      <c r="AV151" s="233" t="n">
        <f aca="false">[10]Sheet1!AA142</f>
        <v>0.166</v>
      </c>
      <c r="AW151" s="233" t="n">
        <v>0</v>
      </c>
    </row>
    <row r="152" customFormat="false" ht="11.25" hidden="false" customHeight="false" outlineLevel="0" collapsed="false">
      <c r="A152" s="233"/>
      <c r="B152" s="233"/>
      <c r="C152" s="231" t="e">
        <f aca="false">NextMonth(C151)</f>
        <v>#VALUE!</v>
      </c>
      <c r="D152" s="252" t="n">
        <v>0.0646051342052951</v>
      </c>
      <c r="E152" s="232" t="n">
        <v>4.52</v>
      </c>
      <c r="F152" s="232" t="n">
        <v>0.17</v>
      </c>
      <c r="G152" s="232" t="n">
        <v>0.17</v>
      </c>
      <c r="H152" s="232" t="n">
        <v>0.17</v>
      </c>
      <c r="I152" s="232" t="n">
        <v>0.175</v>
      </c>
      <c r="J152" s="232" t="n">
        <v>0.17</v>
      </c>
      <c r="K152" s="233" t="n">
        <v>0.17</v>
      </c>
      <c r="L152" s="232" t="n">
        <v>0.55</v>
      </c>
      <c r="M152" s="232" t="n">
        <v>0.55</v>
      </c>
      <c r="N152" s="232" t="n">
        <v>0.6</v>
      </c>
      <c r="O152" s="232" t="n">
        <v>0.5</v>
      </c>
      <c r="P152" s="232" t="n">
        <v>0.6</v>
      </c>
      <c r="Q152" s="252" t="n">
        <v>0.21</v>
      </c>
      <c r="R152" s="252" t="n">
        <v>0</v>
      </c>
      <c r="S152" s="233" t="n">
        <v>-0.041</v>
      </c>
      <c r="T152" s="233" t="n">
        <v>0</v>
      </c>
      <c r="U152" s="233" t="n">
        <v>-0.14</v>
      </c>
      <c r="V152" s="233" t="n">
        <v>-0.01</v>
      </c>
      <c r="W152" s="233" t="n">
        <v>-0.14</v>
      </c>
      <c r="X152" s="233" t="n">
        <v>-0.01</v>
      </c>
      <c r="Y152" s="233" t="n">
        <v>0.15</v>
      </c>
      <c r="Z152" s="233" t="n">
        <v>0</v>
      </c>
      <c r="AA152" s="233" t="n">
        <v>0.15</v>
      </c>
      <c r="AB152" s="233" t="n">
        <v>0</v>
      </c>
      <c r="AC152" s="233" t="n">
        <v>0.165</v>
      </c>
      <c r="AD152" s="233" t="n">
        <v>0.0125</v>
      </c>
      <c r="AE152" s="233" t="n">
        <v>0.09</v>
      </c>
      <c r="AF152" s="233" t="n">
        <v>0.005</v>
      </c>
      <c r="AG152" s="233" t="n">
        <v>0.235</v>
      </c>
      <c r="AH152" s="233" t="n">
        <v>0</v>
      </c>
      <c r="AI152" s="233" t="n">
        <v>0.18</v>
      </c>
      <c r="AJ152" s="233" t="n">
        <v>0</v>
      </c>
      <c r="AK152" s="233" t="n">
        <v>-0.718</v>
      </c>
      <c r="AL152" s="233" t="n">
        <v>0.0017107681115169</v>
      </c>
      <c r="AM152" s="233" t="n">
        <v>0.13</v>
      </c>
      <c r="AN152" s="233" t="n">
        <v>1.5411425325564</v>
      </c>
      <c r="AO152" s="233" t="n">
        <v>0.17</v>
      </c>
      <c r="AP152" s="233" t="n">
        <v>0.18</v>
      </c>
      <c r="AQ152" s="233" t="n">
        <v>0.18</v>
      </c>
      <c r="AR152" s="233" t="n">
        <f aca="false">1/AN152</f>
        <v>0.648869250491212</v>
      </c>
      <c r="AT152" s="253" t="n">
        <f aca="false">AR152*AM152*$AT$6</f>
        <v>0.0889971414730134</v>
      </c>
      <c r="AU152" s="253" t="n">
        <f aca="false">AK152+AL152+AT152</f>
        <v>-0.62729209041547</v>
      </c>
      <c r="AV152" s="233" t="n">
        <f aca="false">[10]Sheet1!AA143</f>
        <v>0.166</v>
      </c>
      <c r="AW152" s="233" t="n">
        <v>0</v>
      </c>
    </row>
    <row r="153" customFormat="false" ht="11.25" hidden="false" customHeight="false" outlineLevel="0" collapsed="false">
      <c r="A153" s="233"/>
      <c r="B153" s="233"/>
      <c r="C153" s="231" t="e">
        <f aca="false">NextMonth(C152)</f>
        <v>#VALUE!</v>
      </c>
      <c r="D153" s="252" t="n">
        <v>0.0646405622378552</v>
      </c>
      <c r="E153" s="232" t="n">
        <v>4.551</v>
      </c>
      <c r="F153" s="232" t="n">
        <v>0.17</v>
      </c>
      <c r="G153" s="232" t="n">
        <v>0.17</v>
      </c>
      <c r="H153" s="232" t="n">
        <v>0.17</v>
      </c>
      <c r="I153" s="232" t="n">
        <v>0.175</v>
      </c>
      <c r="J153" s="232" t="n">
        <v>0.17</v>
      </c>
      <c r="K153" s="233" t="n">
        <v>0.17</v>
      </c>
      <c r="L153" s="232" t="n">
        <v>0.6</v>
      </c>
      <c r="M153" s="232" t="n">
        <v>0.55</v>
      </c>
      <c r="N153" s="232" t="n">
        <v>0.65</v>
      </c>
      <c r="O153" s="232" t="n">
        <v>0.5</v>
      </c>
      <c r="P153" s="232" t="n">
        <v>0.65</v>
      </c>
      <c r="Q153" s="252" t="n">
        <v>0.21</v>
      </c>
      <c r="R153" s="252" t="n">
        <v>0</v>
      </c>
      <c r="S153" s="233" t="n">
        <v>-0.041</v>
      </c>
      <c r="T153" s="233" t="n">
        <v>0</v>
      </c>
      <c r="U153" s="233" t="n">
        <v>-0.14</v>
      </c>
      <c r="V153" s="233" t="n">
        <v>-0.01</v>
      </c>
      <c r="W153" s="233" t="n">
        <v>-0.14</v>
      </c>
      <c r="X153" s="233" t="n">
        <v>-0.01</v>
      </c>
      <c r="Y153" s="233" t="n">
        <v>0.15</v>
      </c>
      <c r="Z153" s="233" t="n">
        <v>0</v>
      </c>
      <c r="AA153" s="233" t="n">
        <v>0.15</v>
      </c>
      <c r="AB153" s="233" t="n">
        <v>0</v>
      </c>
      <c r="AC153" s="233" t="n">
        <v>0.1725</v>
      </c>
      <c r="AD153" s="233" t="n">
        <v>0.0125</v>
      </c>
      <c r="AE153" s="233" t="n">
        <v>0.09</v>
      </c>
      <c r="AF153" s="233" t="n">
        <v>0.005</v>
      </c>
      <c r="AG153" s="233" t="n">
        <v>0.235</v>
      </c>
      <c r="AH153" s="233" t="n">
        <v>0</v>
      </c>
      <c r="AI153" s="233" t="n">
        <v>0.18</v>
      </c>
      <c r="AJ153" s="233" t="n">
        <v>0</v>
      </c>
      <c r="AK153" s="233" t="n">
        <v>-0.718</v>
      </c>
      <c r="AL153" s="233" t="n">
        <v>0.0017106519492834</v>
      </c>
      <c r="AM153" s="233" t="n">
        <v>0.13</v>
      </c>
      <c r="AN153" s="233" t="n">
        <v>1.54124718421208</v>
      </c>
      <c r="AO153" s="233" t="n">
        <v>0.17</v>
      </c>
      <c r="AP153" s="233" t="n">
        <v>0.18</v>
      </c>
      <c r="AQ153" s="233" t="n">
        <v>0.18</v>
      </c>
      <c r="AR153" s="233" t="n">
        <f aca="false">1/AN153</f>
        <v>0.648825191859943</v>
      </c>
      <c r="AT153" s="253" t="n">
        <f aca="false">AR153*AM153*$AT$6</f>
        <v>0.088991098510988</v>
      </c>
      <c r="AU153" s="253" t="n">
        <f aca="false">AK153+AL153+AT153</f>
        <v>-0.627298249539729</v>
      </c>
      <c r="AV153" s="233" t="n">
        <f aca="false">[10]Sheet1!AA144</f>
        <v>0.166</v>
      </c>
      <c r="AW153" s="233" t="n">
        <v>0</v>
      </c>
    </row>
    <row r="154" customFormat="false" ht="11.25" hidden="false" customHeight="false" outlineLevel="0" collapsed="false">
      <c r="A154" s="233"/>
      <c r="B154" s="233"/>
      <c r="C154" s="231" t="e">
        <f aca="false">NextMonth(C153)</f>
        <v>#VALUE!</v>
      </c>
      <c r="D154" s="252" t="n">
        <v>0.0646771712052709</v>
      </c>
      <c r="E154" s="232" t="n">
        <v>4.684</v>
      </c>
      <c r="F154" s="232" t="n">
        <v>0.17</v>
      </c>
      <c r="G154" s="232" t="n">
        <v>0.17</v>
      </c>
      <c r="H154" s="232" t="n">
        <v>0.17</v>
      </c>
      <c r="I154" s="232" t="n">
        <v>0.175</v>
      </c>
      <c r="J154" s="232" t="n">
        <v>0.17</v>
      </c>
      <c r="K154" s="233" t="n">
        <v>0.17</v>
      </c>
      <c r="L154" s="232" t="n">
        <v>0.8</v>
      </c>
      <c r="M154" s="232" t="n">
        <v>0.8</v>
      </c>
      <c r="N154" s="232" t="n">
        <v>0.8</v>
      </c>
      <c r="O154" s="232" t="n">
        <v>0.95</v>
      </c>
      <c r="P154" s="232" t="n">
        <v>0.85</v>
      </c>
      <c r="Q154" s="252" t="n">
        <v>0.325</v>
      </c>
      <c r="R154" s="252" t="n">
        <v>0</v>
      </c>
      <c r="S154" s="233" t="n">
        <v>-0.0405</v>
      </c>
      <c r="T154" s="233" t="n">
        <v>0.005</v>
      </c>
      <c r="U154" s="233" t="n">
        <v>-0.1425</v>
      </c>
      <c r="V154" s="233" t="n">
        <v>0.01</v>
      </c>
      <c r="W154" s="233" t="n">
        <v>-0.1425</v>
      </c>
      <c r="X154" s="233" t="n">
        <v>0.01</v>
      </c>
      <c r="Y154" s="233" t="n">
        <v>0.225</v>
      </c>
      <c r="Z154" s="233" t="n">
        <v>0</v>
      </c>
      <c r="AA154" s="233" t="n">
        <v>0.225</v>
      </c>
      <c r="AB154" s="233" t="n">
        <v>0</v>
      </c>
      <c r="AC154" s="233" t="n">
        <v>0.24</v>
      </c>
      <c r="AD154" s="233" t="n">
        <v>0.03</v>
      </c>
      <c r="AE154" s="233" t="n">
        <v>0.175</v>
      </c>
      <c r="AF154" s="233" t="n">
        <v>0.02</v>
      </c>
      <c r="AG154" s="233" t="n">
        <v>0.425</v>
      </c>
      <c r="AH154" s="233" t="n">
        <v>0</v>
      </c>
      <c r="AI154" s="233" t="n">
        <v>0.275</v>
      </c>
      <c r="AJ154" s="233" t="n">
        <v>0</v>
      </c>
      <c r="AK154" s="233" t="n">
        <v>-0.658</v>
      </c>
      <c r="AL154" s="233" t="n">
        <v>0.0054736926235363</v>
      </c>
      <c r="AM154" s="233" t="n">
        <v>0.13</v>
      </c>
      <c r="AN154" s="233" t="n">
        <v>1.54135801556011</v>
      </c>
      <c r="AO154" s="233" t="n">
        <v>0.17</v>
      </c>
      <c r="AP154" s="233" t="n">
        <v>0.275</v>
      </c>
      <c r="AQ154" s="233" t="n">
        <v>0.275</v>
      </c>
      <c r="AR154" s="233" t="n">
        <f aca="false">1/AN154</f>
        <v>0.648778538084556</v>
      </c>
      <c r="AT154" s="253" t="n">
        <f aca="false">AR154*AM154*$AT$6</f>
        <v>0.0889846996060541</v>
      </c>
      <c r="AU154" s="253" t="n">
        <f aca="false">AK154+AL154+AT154</f>
        <v>-0.56354160777041</v>
      </c>
      <c r="AV154" s="233" t="n">
        <f aca="false">[10]Sheet1!AA145</f>
        <v>0.213071428571429</v>
      </c>
      <c r="AW154" s="233" t="n">
        <v>0</v>
      </c>
    </row>
    <row r="155" customFormat="false" ht="11.25" hidden="false" customHeight="false" outlineLevel="0" collapsed="false">
      <c r="A155" s="233"/>
      <c r="B155" s="233"/>
      <c r="C155" s="231" t="e">
        <f aca="false">NextMonth(C154)</f>
        <v>#VALUE!</v>
      </c>
      <c r="D155" s="252" t="n">
        <v>0.064712599238677</v>
      </c>
      <c r="E155" s="232" t="n">
        <v>4.822</v>
      </c>
      <c r="F155" s="232" t="n">
        <v>0.17</v>
      </c>
      <c r="G155" s="232" t="n">
        <v>0.17</v>
      </c>
      <c r="H155" s="232" t="n">
        <v>0.17</v>
      </c>
      <c r="I155" s="232" t="n">
        <v>0.175</v>
      </c>
      <c r="J155" s="232" t="n">
        <v>0.17</v>
      </c>
      <c r="K155" s="233" t="n">
        <v>0.17</v>
      </c>
      <c r="L155" s="232" t="n">
        <v>1</v>
      </c>
      <c r="M155" s="232" t="n">
        <v>1</v>
      </c>
      <c r="N155" s="232" t="n">
        <v>1.1</v>
      </c>
      <c r="O155" s="232" t="n">
        <v>1.35</v>
      </c>
      <c r="P155" s="232" t="n">
        <v>1.05</v>
      </c>
      <c r="Q155" s="252" t="n">
        <v>0.325</v>
      </c>
      <c r="R155" s="252" t="n">
        <v>0</v>
      </c>
      <c r="S155" s="233" t="n">
        <v>-0.0405</v>
      </c>
      <c r="T155" s="233" t="n">
        <v>0.005</v>
      </c>
      <c r="U155" s="233" t="n">
        <v>-0.1375</v>
      </c>
      <c r="V155" s="233" t="n">
        <v>0.01</v>
      </c>
      <c r="W155" s="233" t="n">
        <v>-0.1375</v>
      </c>
      <c r="X155" s="233" t="n">
        <v>0.01</v>
      </c>
      <c r="Y155" s="233" t="n">
        <v>0.225</v>
      </c>
      <c r="Z155" s="233" t="n">
        <v>0</v>
      </c>
      <c r="AA155" s="233" t="n">
        <v>0.225</v>
      </c>
      <c r="AB155" s="233" t="n">
        <v>0</v>
      </c>
      <c r="AC155" s="233" t="n">
        <v>0.26</v>
      </c>
      <c r="AD155" s="233" t="n">
        <v>0.03</v>
      </c>
      <c r="AE155" s="233" t="n">
        <v>0.175</v>
      </c>
      <c r="AF155" s="233" t="n">
        <v>0.02</v>
      </c>
      <c r="AG155" s="233" t="n">
        <v>0.425</v>
      </c>
      <c r="AH155" s="233" t="n">
        <v>0</v>
      </c>
      <c r="AI155" s="233" t="n">
        <v>0.275</v>
      </c>
      <c r="AJ155" s="233" t="n">
        <v>0</v>
      </c>
      <c r="AK155" s="233" t="n">
        <v>-0.658</v>
      </c>
      <c r="AL155" s="233" t="n">
        <v>0.0054733025113005</v>
      </c>
      <c r="AM155" s="233" t="n">
        <v>0.13</v>
      </c>
      <c r="AN155" s="233" t="n">
        <v>1.54146787658467</v>
      </c>
      <c r="AO155" s="233" t="n">
        <v>0.17</v>
      </c>
      <c r="AP155" s="233" t="n">
        <v>0.275</v>
      </c>
      <c r="AQ155" s="233" t="n">
        <v>0.275</v>
      </c>
      <c r="AR155" s="233" t="n">
        <f aca="false">1/AN155</f>
        <v>0.64873229938183</v>
      </c>
      <c r="AT155" s="253" t="n">
        <f aca="false">AR155*AM155*$AT$6</f>
        <v>0.0889783576313575</v>
      </c>
      <c r="AU155" s="253" t="n">
        <f aca="false">AK155+AL155+AT155</f>
        <v>-0.563548339857342</v>
      </c>
      <c r="AV155" s="233" t="n">
        <f aca="false">[10]Sheet1!AA146</f>
        <v>0.218071428571429</v>
      </c>
      <c r="AW155" s="233" t="n">
        <v>0</v>
      </c>
    </row>
    <row r="156" customFormat="false" ht="11.25" hidden="false" customHeight="false" outlineLevel="0" collapsed="false">
      <c r="A156" s="233"/>
      <c r="B156" s="233"/>
      <c r="C156" s="231" t="e">
        <f aca="false">NextMonth(C155)</f>
        <v>#VALUE!</v>
      </c>
      <c r="D156" s="252" t="n">
        <v>0.0647492082069667</v>
      </c>
      <c r="E156" s="232" t="n">
        <v>4.869</v>
      </c>
      <c r="F156" s="232" t="n">
        <v>0.17</v>
      </c>
      <c r="G156" s="232" t="n">
        <v>0.17</v>
      </c>
      <c r="H156" s="232" t="n">
        <v>0.17</v>
      </c>
      <c r="I156" s="232" t="n">
        <v>0.175</v>
      </c>
      <c r="J156" s="232" t="n">
        <v>0.17</v>
      </c>
      <c r="K156" s="233" t="n">
        <v>0.17</v>
      </c>
      <c r="L156" s="232" t="n">
        <v>1</v>
      </c>
      <c r="M156" s="232" t="n">
        <v>1</v>
      </c>
      <c r="N156" s="232" t="n">
        <v>1.1</v>
      </c>
      <c r="O156" s="232" t="n">
        <v>1.35</v>
      </c>
      <c r="P156" s="232" t="n">
        <v>1.05</v>
      </c>
      <c r="Q156" s="252" t="n">
        <v>0.325</v>
      </c>
      <c r="R156" s="252" t="n">
        <v>0</v>
      </c>
      <c r="S156" s="233" t="n">
        <v>-0.0405</v>
      </c>
      <c r="T156" s="233" t="n">
        <v>0.005</v>
      </c>
      <c r="U156" s="233" t="n">
        <v>-0.1375</v>
      </c>
      <c r="V156" s="233" t="n">
        <v>0.01</v>
      </c>
      <c r="W156" s="233" t="n">
        <v>-0.1375</v>
      </c>
      <c r="X156" s="233" t="n">
        <v>0.01</v>
      </c>
      <c r="Y156" s="233" t="n">
        <v>0.225</v>
      </c>
      <c r="Z156" s="233" t="n">
        <v>0</v>
      </c>
      <c r="AA156" s="233" t="n">
        <v>0.225</v>
      </c>
      <c r="AB156" s="233" t="n">
        <v>0</v>
      </c>
      <c r="AC156" s="233" t="n">
        <v>0.27</v>
      </c>
      <c r="AD156" s="233" t="n">
        <v>0.03</v>
      </c>
      <c r="AE156" s="233" t="n">
        <v>0.175</v>
      </c>
      <c r="AF156" s="233" t="n">
        <v>0.02</v>
      </c>
      <c r="AG156" s="233" t="n">
        <v>0.425</v>
      </c>
      <c r="AH156" s="233" t="n">
        <v>0</v>
      </c>
      <c r="AI156" s="233" t="n">
        <v>0.275</v>
      </c>
      <c r="AJ156" s="233" t="n">
        <v>0</v>
      </c>
      <c r="AK156" s="233" t="n">
        <v>-0.658</v>
      </c>
      <c r="AL156" s="233" t="n">
        <v>0.0054728898961729</v>
      </c>
      <c r="AM156" s="233" t="n">
        <v>0.13</v>
      </c>
      <c r="AN156" s="233" t="n">
        <v>1.54158409177932</v>
      </c>
      <c r="AO156" s="233" t="n">
        <v>0.17</v>
      </c>
      <c r="AP156" s="233" t="n">
        <v>0.275</v>
      </c>
      <c r="AQ156" s="233" t="n">
        <v>0.275</v>
      </c>
      <c r="AR156" s="233" t="n">
        <f aca="false">1/AN156</f>
        <v>0.648683393486362</v>
      </c>
      <c r="AT156" s="253" t="n">
        <f aca="false">AR156*AM156*$AT$6</f>
        <v>0.0889716498317591</v>
      </c>
      <c r="AU156" s="253" t="n">
        <f aca="false">AK156+AL156+AT156</f>
        <v>-0.563555460272068</v>
      </c>
      <c r="AV156" s="233" t="n">
        <f aca="false">[10]Sheet1!AA147</f>
        <v>0.218071428571429</v>
      </c>
      <c r="AW156" s="233" t="n">
        <v>0</v>
      </c>
    </row>
    <row r="157" customFormat="false" ht="11.25" hidden="false" customHeight="false" outlineLevel="0" collapsed="false">
      <c r="A157" s="233"/>
      <c r="B157" s="233"/>
      <c r="C157" s="231" t="e">
        <f aca="false">NextMonth(C156)</f>
        <v>#VALUE!</v>
      </c>
      <c r="D157" s="252" t="n">
        <v>0.064785817175701</v>
      </c>
      <c r="E157" s="232" t="n">
        <v>4.749</v>
      </c>
      <c r="F157" s="232" t="n">
        <v>0.17</v>
      </c>
      <c r="G157" s="232" t="n">
        <v>0.17</v>
      </c>
      <c r="H157" s="232" t="n">
        <v>0.17</v>
      </c>
      <c r="I157" s="232" t="n">
        <v>0.175</v>
      </c>
      <c r="J157" s="232" t="n">
        <v>0.17</v>
      </c>
      <c r="K157" s="233" t="n">
        <v>0.17</v>
      </c>
      <c r="L157" s="232" t="n">
        <v>1</v>
      </c>
      <c r="M157" s="232" t="n">
        <v>1</v>
      </c>
      <c r="N157" s="232" t="n">
        <v>1.1</v>
      </c>
      <c r="O157" s="232" t="n">
        <v>1.35</v>
      </c>
      <c r="P157" s="232" t="n">
        <v>1.05</v>
      </c>
      <c r="Q157" s="252" t="n">
        <v>0.325</v>
      </c>
      <c r="R157" s="252" t="n">
        <v>0</v>
      </c>
      <c r="S157" s="233" t="n">
        <v>-0.0405</v>
      </c>
      <c r="T157" s="233" t="n">
        <v>0.005</v>
      </c>
      <c r="U157" s="233" t="n">
        <v>-0.14</v>
      </c>
      <c r="V157" s="233" t="n">
        <v>0.01</v>
      </c>
      <c r="W157" s="233" t="n">
        <v>-0.14</v>
      </c>
      <c r="X157" s="233" t="n">
        <v>0.01</v>
      </c>
      <c r="Y157" s="233" t="n">
        <v>0.225</v>
      </c>
      <c r="Z157" s="233" t="n">
        <v>0</v>
      </c>
      <c r="AA157" s="233" t="n">
        <v>0.225</v>
      </c>
      <c r="AB157" s="233" t="n">
        <v>0</v>
      </c>
      <c r="AC157" s="233" t="n">
        <v>0.27</v>
      </c>
      <c r="AD157" s="233" t="n">
        <v>0.03</v>
      </c>
      <c r="AE157" s="233" t="n">
        <v>0.175</v>
      </c>
      <c r="AF157" s="233" t="n">
        <v>0.02</v>
      </c>
      <c r="AG157" s="233" t="n">
        <v>0.425</v>
      </c>
      <c r="AH157" s="233" t="n">
        <v>0</v>
      </c>
      <c r="AI157" s="233" t="n">
        <v>0.275</v>
      </c>
      <c r="AJ157" s="233" t="n">
        <v>0</v>
      </c>
      <c r="AK157" s="233" t="n">
        <v>-0.658</v>
      </c>
      <c r="AL157" s="233" t="n">
        <v>0.0054724676289201</v>
      </c>
      <c r="AM157" s="233" t="n">
        <v>0.13</v>
      </c>
      <c r="AN157" s="233" t="n">
        <v>1.54170304368978</v>
      </c>
      <c r="AO157" s="233" t="n">
        <v>0.17</v>
      </c>
      <c r="AP157" s="233" t="n">
        <v>0.275</v>
      </c>
      <c r="AQ157" s="233" t="n">
        <v>0.275</v>
      </c>
      <c r="AR157" s="233" t="n">
        <f aca="false">1/AN157</f>
        <v>0.648633343556672</v>
      </c>
      <c r="AT157" s="253" t="n">
        <f aca="false">AR157*AM157*$AT$6</f>
        <v>0.0889647851195387</v>
      </c>
      <c r="AU157" s="253" t="n">
        <f aca="false">AK157+AL157+AT157</f>
        <v>-0.563562747251541</v>
      </c>
      <c r="AV157" s="233" t="n">
        <f aca="false">[10]Sheet1!AA148</f>
        <v>0.218071428571429</v>
      </c>
      <c r="AW157" s="233" t="n">
        <v>0</v>
      </c>
    </row>
    <row r="158" customFormat="false" ht="11.25" hidden="false" customHeight="false" outlineLevel="0" collapsed="false">
      <c r="A158" s="233"/>
      <c r="B158" s="233"/>
      <c r="C158" s="231" t="e">
        <f aca="false">NextMonth(C157)</f>
        <v>#VALUE!</v>
      </c>
      <c r="D158" s="252" t="n">
        <v>0.064818883341391</v>
      </c>
      <c r="E158" s="232" t="n">
        <v>4.61</v>
      </c>
      <c r="F158" s="232" t="n">
        <v>0.17</v>
      </c>
      <c r="G158" s="232" t="n">
        <v>0.17</v>
      </c>
      <c r="H158" s="232" t="n">
        <v>0.17</v>
      </c>
      <c r="I158" s="232" t="n">
        <v>0.175</v>
      </c>
      <c r="J158" s="232" t="n">
        <v>0.17</v>
      </c>
      <c r="K158" s="233" t="n">
        <v>0.17</v>
      </c>
      <c r="L158" s="232" t="n">
        <v>0.75</v>
      </c>
      <c r="M158" s="232" t="n">
        <v>0.75</v>
      </c>
      <c r="N158" s="232" t="n">
        <v>0.75</v>
      </c>
      <c r="O158" s="232" t="n">
        <v>0.95</v>
      </c>
      <c r="P158" s="232" t="n">
        <v>0.75</v>
      </c>
      <c r="Q158" s="252" t="n">
        <v>0.325</v>
      </c>
      <c r="R158" s="252" t="n">
        <v>0</v>
      </c>
      <c r="S158" s="233" t="n">
        <v>-0.0405</v>
      </c>
      <c r="T158" s="233" t="n">
        <v>0.005</v>
      </c>
      <c r="U158" s="233" t="n">
        <v>-0.1425</v>
      </c>
      <c r="V158" s="233" t="n">
        <v>0.01</v>
      </c>
      <c r="W158" s="233" t="n">
        <v>-0.1425</v>
      </c>
      <c r="X158" s="233" t="n">
        <v>0.01</v>
      </c>
      <c r="Y158" s="233" t="n">
        <v>0.225</v>
      </c>
      <c r="Z158" s="233" t="n">
        <v>0</v>
      </c>
      <c r="AA158" s="233" t="n">
        <v>0.225</v>
      </c>
      <c r="AB158" s="233" t="n">
        <v>0</v>
      </c>
      <c r="AC158" s="233" t="n">
        <v>0.24</v>
      </c>
      <c r="AD158" s="233" t="n">
        <v>0.03</v>
      </c>
      <c r="AE158" s="233" t="n">
        <v>0.175</v>
      </c>
      <c r="AF158" s="233" t="n">
        <v>0.02</v>
      </c>
      <c r="AG158" s="233" t="n">
        <v>0.425</v>
      </c>
      <c r="AH158" s="233" t="n">
        <v>0</v>
      </c>
      <c r="AI158" s="233" t="n">
        <v>0.275</v>
      </c>
      <c r="AJ158" s="233" t="n">
        <v>0</v>
      </c>
      <c r="AK158" s="233" t="n">
        <v>-0.658</v>
      </c>
      <c r="AL158" s="233" t="n">
        <v>0.0054720779323852</v>
      </c>
      <c r="AM158" s="233" t="n">
        <v>0.13</v>
      </c>
      <c r="AN158" s="233" t="n">
        <v>1.54181283677778</v>
      </c>
      <c r="AO158" s="233" t="n">
        <v>0.17</v>
      </c>
      <c r="AP158" s="233" t="n">
        <v>0.275</v>
      </c>
      <c r="AQ158" s="233" t="n">
        <v>0.275</v>
      </c>
      <c r="AR158" s="233" t="n">
        <f aca="false">1/AN158</f>
        <v>0.648587154125588</v>
      </c>
      <c r="AT158" s="253" t="n">
        <f aca="false">AR158*AM158*$AT$6</f>
        <v>0.0889584499028064</v>
      </c>
      <c r="AU158" s="253" t="n">
        <f aca="false">AK158+AL158+AT158</f>
        <v>-0.563569472164808</v>
      </c>
      <c r="AV158" s="233" t="n">
        <f aca="false">[10]Sheet1!AA149</f>
        <v>0.218071428571429</v>
      </c>
      <c r="AW158" s="233" t="n">
        <v>0</v>
      </c>
    </row>
    <row r="159" customFormat="false" ht="11.25" hidden="false" customHeight="false" outlineLevel="0" collapsed="false">
      <c r="A159" s="233"/>
      <c r="B159" s="233"/>
      <c r="C159" s="231" t="e">
        <f aca="false">NextMonth(C158)</f>
        <v>#VALUE!</v>
      </c>
      <c r="D159" s="252" t="n">
        <v>0.0648554923109708</v>
      </c>
      <c r="E159" s="232" t="n">
        <v>4.435</v>
      </c>
      <c r="F159" s="232" t="n">
        <v>0.17</v>
      </c>
      <c r="G159" s="232" t="n">
        <v>0.17</v>
      </c>
      <c r="H159" s="232" t="n">
        <v>0.17</v>
      </c>
      <c r="I159" s="232" t="n">
        <v>0.175</v>
      </c>
      <c r="J159" s="232" t="n">
        <v>0.17</v>
      </c>
      <c r="K159" s="233" t="n">
        <v>0.17</v>
      </c>
      <c r="L159" s="232" t="n">
        <v>0.4</v>
      </c>
      <c r="M159" s="232" t="n">
        <v>0.4</v>
      </c>
      <c r="N159" s="232" t="n">
        <v>0.45</v>
      </c>
      <c r="O159" s="232" t="n">
        <v>0.5</v>
      </c>
      <c r="P159" s="232" t="n">
        <v>0.45</v>
      </c>
      <c r="Q159" s="252" t="n">
        <v>0.21</v>
      </c>
      <c r="R159" s="252" t="n">
        <v>0</v>
      </c>
      <c r="S159" s="233" t="n">
        <v>-0.038</v>
      </c>
      <c r="T159" s="233" t="n">
        <v>0</v>
      </c>
      <c r="U159" s="233" t="n">
        <v>-0.14</v>
      </c>
      <c r="V159" s="233" t="n">
        <v>-0.01</v>
      </c>
      <c r="W159" s="233" t="n">
        <v>-0.14</v>
      </c>
      <c r="X159" s="233" t="n">
        <v>-0.01</v>
      </c>
      <c r="Y159" s="233" t="n">
        <v>0.15</v>
      </c>
      <c r="Z159" s="233" t="n">
        <v>0</v>
      </c>
      <c r="AA159" s="233" t="n">
        <v>0.15</v>
      </c>
      <c r="AB159" s="233" t="n">
        <v>0</v>
      </c>
      <c r="AC159" s="233" t="n">
        <v>0.17</v>
      </c>
      <c r="AD159" s="233" t="n">
        <v>0.0175</v>
      </c>
      <c r="AE159" s="233" t="n">
        <v>0.09</v>
      </c>
      <c r="AF159" s="233" t="n">
        <v>0.005</v>
      </c>
      <c r="AG159" s="233" t="n">
        <v>0.235</v>
      </c>
      <c r="AH159" s="233" t="n">
        <v>0</v>
      </c>
      <c r="AI159" s="233" t="n">
        <v>0.18</v>
      </c>
      <c r="AJ159" s="233" t="n">
        <v>0</v>
      </c>
      <c r="AK159" s="233" t="n">
        <v>-0.758</v>
      </c>
      <c r="AL159" s="233" t="n">
        <v>0.0017098866571306</v>
      </c>
      <c r="AM159" s="233" t="n">
        <v>0.13</v>
      </c>
      <c r="AN159" s="233" t="n">
        <v>1.54193699857527</v>
      </c>
      <c r="AO159" s="233" t="n">
        <v>0.17</v>
      </c>
      <c r="AP159" s="233" t="n">
        <v>0.18</v>
      </c>
      <c r="AQ159" s="233" t="n">
        <v>0.18</v>
      </c>
      <c r="AR159" s="233" t="n">
        <f aca="false">1/AN159</f>
        <v>0.648534927772008</v>
      </c>
      <c r="AT159" s="253" t="n">
        <f aca="false">AR159*AM159*$AT$6</f>
        <v>0.0889512866782051</v>
      </c>
      <c r="AU159" s="253" t="n">
        <f aca="false">AK159+AL159+AT159</f>
        <v>-0.667338826664664</v>
      </c>
      <c r="AV159" s="233" t="n">
        <f aca="false">[10]Sheet1!AA150</f>
        <v>0.169</v>
      </c>
      <c r="AW159" s="233" t="n">
        <v>0</v>
      </c>
    </row>
    <row r="160" customFormat="false" ht="11.25" hidden="false" customHeight="false" outlineLevel="0" collapsed="false">
      <c r="A160" s="233"/>
      <c r="B160" s="233"/>
      <c r="C160" s="231" t="e">
        <f aca="false">NextMonth(C159)</f>
        <v>#VALUE!</v>
      </c>
      <c r="D160" s="252" t="n">
        <v>0.0648909203464712</v>
      </c>
      <c r="E160" s="232" t="n">
        <v>4.405</v>
      </c>
      <c r="F160" s="232" t="n">
        <v>0.17</v>
      </c>
      <c r="G160" s="232" t="n">
        <v>0.17</v>
      </c>
      <c r="H160" s="232" t="n">
        <v>0.17</v>
      </c>
      <c r="I160" s="232" t="n">
        <v>0.175</v>
      </c>
      <c r="J160" s="232" t="n">
        <v>0.17</v>
      </c>
      <c r="K160" s="233" t="n">
        <v>0.17</v>
      </c>
      <c r="L160" s="232" t="n">
        <v>0.45</v>
      </c>
      <c r="M160" s="232" t="n">
        <v>0.4</v>
      </c>
      <c r="N160" s="232" t="n">
        <v>0.5</v>
      </c>
      <c r="O160" s="232" t="n">
        <v>0.45</v>
      </c>
      <c r="P160" s="232" t="n">
        <v>0.45</v>
      </c>
      <c r="Q160" s="252" t="n">
        <v>0.21</v>
      </c>
      <c r="R160" s="252" t="n">
        <v>0</v>
      </c>
      <c r="S160" s="233" t="n">
        <v>-0.038</v>
      </c>
      <c r="T160" s="233" t="n">
        <v>0</v>
      </c>
      <c r="U160" s="233" t="n">
        <v>-0.14</v>
      </c>
      <c r="V160" s="233" t="n">
        <v>-0.01</v>
      </c>
      <c r="W160" s="233" t="n">
        <v>-0.14</v>
      </c>
      <c r="X160" s="233" t="n">
        <v>-0.01</v>
      </c>
      <c r="Y160" s="233" t="n">
        <v>0.15</v>
      </c>
      <c r="Z160" s="233" t="n">
        <v>0</v>
      </c>
      <c r="AA160" s="233" t="n">
        <v>0.15</v>
      </c>
      <c r="AB160" s="233" t="n">
        <v>0</v>
      </c>
      <c r="AC160" s="233" t="n">
        <v>0.165</v>
      </c>
      <c r="AD160" s="233" t="n">
        <v>0.01</v>
      </c>
      <c r="AE160" s="233" t="n">
        <v>0.09</v>
      </c>
      <c r="AF160" s="233" t="n">
        <v>0.005</v>
      </c>
      <c r="AG160" s="233" t="n">
        <v>0.235</v>
      </c>
      <c r="AH160" s="233" t="n">
        <v>0</v>
      </c>
      <c r="AI160" s="233" t="n">
        <v>0.18</v>
      </c>
      <c r="AJ160" s="233" t="n">
        <v>0</v>
      </c>
      <c r="AK160" s="233" t="n">
        <v>-0.758</v>
      </c>
      <c r="AL160" s="233" t="n">
        <v>0.0017097505327888</v>
      </c>
      <c r="AM160" s="233" t="n">
        <v>0.13</v>
      </c>
      <c r="AN160" s="233" t="n">
        <v>1.54205976219203</v>
      </c>
      <c r="AO160" s="233" t="n">
        <v>0.17</v>
      </c>
      <c r="AP160" s="233" t="n">
        <v>0.18</v>
      </c>
      <c r="AQ160" s="233" t="n">
        <v>0.18</v>
      </c>
      <c r="AR160" s="233" t="n">
        <f aca="false">1/AN160</f>
        <v>0.648483297805855</v>
      </c>
      <c r="AT160" s="253" t="n">
        <f aca="false">AR160*AM160*$AT$6</f>
        <v>0.088944205252481</v>
      </c>
      <c r="AU160" s="253" t="n">
        <f aca="false">AK160+AL160+AT160</f>
        <v>-0.66734604421473</v>
      </c>
      <c r="AV160" s="233" t="n">
        <f aca="false">[10]Sheet1!AA151</f>
        <v>0.169</v>
      </c>
      <c r="AW160" s="233" t="n">
        <v>0</v>
      </c>
    </row>
    <row r="161" customFormat="false" ht="11.25" hidden="false" customHeight="false" outlineLevel="0" collapsed="false">
      <c r="A161" s="233"/>
      <c r="B161" s="233"/>
      <c r="C161" s="231" t="e">
        <f aca="false">NextMonth(C160)</f>
        <v>#VALUE!</v>
      </c>
      <c r="D161" s="252" t="n">
        <v>0.0649275293169249</v>
      </c>
      <c r="E161" s="232" t="n">
        <v>4.475</v>
      </c>
      <c r="F161" s="232" t="n">
        <v>0.17</v>
      </c>
      <c r="G161" s="232" t="n">
        <v>0.17</v>
      </c>
      <c r="H161" s="232" t="n">
        <v>0.17</v>
      </c>
      <c r="I161" s="232" t="n">
        <v>0.175</v>
      </c>
      <c r="J161" s="232" t="n">
        <v>0.17</v>
      </c>
      <c r="K161" s="233" t="n">
        <v>0.17</v>
      </c>
      <c r="L161" s="232" t="n">
        <v>0.45</v>
      </c>
      <c r="M161" s="232" t="n">
        <v>0.4</v>
      </c>
      <c r="N161" s="232" t="n">
        <v>0.5</v>
      </c>
      <c r="O161" s="232" t="n">
        <v>0.5</v>
      </c>
      <c r="P161" s="232" t="n">
        <v>0.5</v>
      </c>
      <c r="Q161" s="252" t="n">
        <v>0.21</v>
      </c>
      <c r="R161" s="252" t="n">
        <v>0</v>
      </c>
      <c r="S161" s="233" t="n">
        <v>-0.038</v>
      </c>
      <c r="T161" s="233" t="n">
        <v>0</v>
      </c>
      <c r="U161" s="233" t="n">
        <v>-0.14</v>
      </c>
      <c r="V161" s="233" t="n">
        <v>-0.01</v>
      </c>
      <c r="W161" s="233" t="n">
        <v>-0.14</v>
      </c>
      <c r="X161" s="233" t="n">
        <v>-0.01</v>
      </c>
      <c r="Y161" s="233" t="n">
        <v>0.15</v>
      </c>
      <c r="Z161" s="233" t="n">
        <v>0</v>
      </c>
      <c r="AA161" s="233" t="n">
        <v>0.15</v>
      </c>
      <c r="AB161" s="233" t="n">
        <v>0</v>
      </c>
      <c r="AC161" s="233" t="n">
        <v>0.17</v>
      </c>
      <c r="AD161" s="233" t="n">
        <v>0.0125</v>
      </c>
      <c r="AE161" s="233" t="n">
        <v>0.09</v>
      </c>
      <c r="AF161" s="233" t="n">
        <v>0.005</v>
      </c>
      <c r="AG161" s="233" t="n">
        <v>0.235</v>
      </c>
      <c r="AH161" s="233" t="n">
        <v>0</v>
      </c>
      <c r="AI161" s="233" t="n">
        <v>0.18</v>
      </c>
      <c r="AJ161" s="233" t="n">
        <v>0</v>
      </c>
      <c r="AK161" s="233" t="n">
        <v>-0.758</v>
      </c>
      <c r="AL161" s="233" t="n">
        <v>0.0017096069067937</v>
      </c>
      <c r="AM161" s="233" t="n">
        <v>0.13</v>
      </c>
      <c r="AN161" s="233" t="n">
        <v>1.54218931236339</v>
      </c>
      <c r="AO161" s="233" t="n">
        <v>0.17</v>
      </c>
      <c r="AP161" s="233" t="n">
        <v>0.18</v>
      </c>
      <c r="AQ161" s="233" t="n">
        <v>0.18</v>
      </c>
      <c r="AR161" s="233" t="n">
        <f aca="false">1/AN161</f>
        <v>0.648428822572703</v>
      </c>
      <c r="AT161" s="253" t="n">
        <f aca="false">AR161*AM161*$AT$6</f>
        <v>0.0889367335776746</v>
      </c>
      <c r="AU161" s="253" t="n">
        <f aca="false">AK161+AL161+AT161</f>
        <v>-0.667353659515532</v>
      </c>
      <c r="AV161" s="233" t="n">
        <f aca="false">[10]Sheet1!AA152</f>
        <v>0.169</v>
      </c>
      <c r="AW161" s="233" t="n">
        <v>0</v>
      </c>
    </row>
    <row r="162" customFormat="false" ht="11.25" hidden="false" customHeight="false" outlineLevel="0" collapsed="false">
      <c r="A162" s="233"/>
      <c r="B162" s="233"/>
      <c r="C162" s="231" t="e">
        <f aca="false">NextMonth(C161)</f>
        <v>#VALUE!</v>
      </c>
      <c r="D162" s="252" t="n">
        <v>0.0649629573532708</v>
      </c>
      <c r="E162" s="232" t="n">
        <v>4.53</v>
      </c>
      <c r="F162" s="232" t="n">
        <v>0.17</v>
      </c>
      <c r="G162" s="232" t="n">
        <v>0.17</v>
      </c>
      <c r="H162" s="232" t="n">
        <v>0.17</v>
      </c>
      <c r="I162" s="232" t="n">
        <v>0.175</v>
      </c>
      <c r="J162" s="232" t="n">
        <v>0.17</v>
      </c>
      <c r="K162" s="233" t="n">
        <v>0.17</v>
      </c>
      <c r="L162" s="232" t="n">
        <v>0.5</v>
      </c>
      <c r="M162" s="232" t="n">
        <v>0.4</v>
      </c>
      <c r="N162" s="232" t="n">
        <v>0.55</v>
      </c>
      <c r="O162" s="232" t="n">
        <v>0.5</v>
      </c>
      <c r="P162" s="232" t="n">
        <v>0.5</v>
      </c>
      <c r="Q162" s="252" t="n">
        <v>0.21</v>
      </c>
      <c r="R162" s="252" t="n">
        <v>0</v>
      </c>
      <c r="S162" s="233" t="n">
        <v>-0.038</v>
      </c>
      <c r="T162" s="233" t="n">
        <v>0</v>
      </c>
      <c r="U162" s="233" t="n">
        <v>-0.14</v>
      </c>
      <c r="V162" s="233" t="n">
        <v>-0.01</v>
      </c>
      <c r="W162" s="233" t="n">
        <v>-0.14</v>
      </c>
      <c r="X162" s="233" t="n">
        <v>-0.01</v>
      </c>
      <c r="Y162" s="233" t="n">
        <v>0.15</v>
      </c>
      <c r="Z162" s="233" t="n">
        <v>0</v>
      </c>
      <c r="AA162" s="233" t="n">
        <v>0.15</v>
      </c>
      <c r="AB162" s="233" t="n">
        <v>0</v>
      </c>
      <c r="AC162" s="233" t="n">
        <v>0.175</v>
      </c>
      <c r="AD162" s="233" t="n">
        <v>0.0125</v>
      </c>
      <c r="AE162" s="233" t="n">
        <v>0.09</v>
      </c>
      <c r="AF162" s="233" t="n">
        <v>0.005</v>
      </c>
      <c r="AG162" s="233" t="n">
        <v>0.235</v>
      </c>
      <c r="AH162" s="233" t="n">
        <v>0</v>
      </c>
      <c r="AI162" s="233" t="n">
        <v>0.18</v>
      </c>
      <c r="AJ162" s="233" t="n">
        <v>0</v>
      </c>
      <c r="AK162" s="233" t="n">
        <v>-0.758</v>
      </c>
      <c r="AL162" s="233" t="n">
        <v>0.0017094650462198</v>
      </c>
      <c r="AM162" s="233" t="n">
        <v>0.13</v>
      </c>
      <c r="AN162" s="233" t="n">
        <v>1.54231729150013</v>
      </c>
      <c r="AO162" s="233" t="n">
        <v>0.17</v>
      </c>
      <c r="AP162" s="233" t="n">
        <v>0.18</v>
      </c>
      <c r="AQ162" s="233" t="n">
        <v>0.18</v>
      </c>
      <c r="AR162" s="233" t="n">
        <f aca="false">1/AN162</f>
        <v>0.648375016937892</v>
      </c>
      <c r="AT162" s="253" t="n">
        <f aca="false">AR162*AM162*$AT$6</f>
        <v>0.0889293537431552</v>
      </c>
      <c r="AU162" s="253" t="n">
        <f aca="false">AK162+AL162+AT162</f>
        <v>-0.667361181210625</v>
      </c>
      <c r="AV162" s="233" t="n">
        <f aca="false">[10]Sheet1!AA153</f>
        <v>0.169</v>
      </c>
      <c r="AW162" s="233" t="n">
        <v>0</v>
      </c>
    </row>
    <row r="163" customFormat="false" ht="11.25" hidden="false" customHeight="false" outlineLevel="0" collapsed="false">
      <c r="A163" s="233"/>
      <c r="B163" s="233"/>
      <c r="C163" s="231" t="e">
        <f aca="false">NextMonth(C162)</f>
        <v>#VALUE!</v>
      </c>
      <c r="D163" s="252" t="n">
        <v>0.064999566324599</v>
      </c>
      <c r="E163" s="232" t="n">
        <v>4.586</v>
      </c>
      <c r="F163" s="232" t="n">
        <v>0.17</v>
      </c>
      <c r="G163" s="232" t="n">
        <v>0.17</v>
      </c>
      <c r="H163" s="232" t="n">
        <v>0.17</v>
      </c>
      <c r="I163" s="232" t="n">
        <v>0.175</v>
      </c>
      <c r="J163" s="232" t="n">
        <v>0.17</v>
      </c>
      <c r="K163" s="233" t="n">
        <v>0.17</v>
      </c>
      <c r="L163" s="232" t="n">
        <v>0.55</v>
      </c>
      <c r="M163" s="232" t="n">
        <v>0.5</v>
      </c>
      <c r="N163" s="232" t="n">
        <v>0.6</v>
      </c>
      <c r="O163" s="232" t="n">
        <v>0.45</v>
      </c>
      <c r="P163" s="232" t="n">
        <v>0.55</v>
      </c>
      <c r="Q163" s="252" t="n">
        <v>0.21</v>
      </c>
      <c r="R163" s="252" t="n">
        <v>0</v>
      </c>
      <c r="S163" s="233" t="n">
        <v>-0.038</v>
      </c>
      <c r="T163" s="233" t="n">
        <v>0</v>
      </c>
      <c r="U163" s="233" t="n">
        <v>-0.14</v>
      </c>
      <c r="V163" s="233" t="n">
        <v>-0.01</v>
      </c>
      <c r="W163" s="233" t="n">
        <v>-0.14</v>
      </c>
      <c r="X163" s="233" t="n">
        <v>-0.01</v>
      </c>
      <c r="Y163" s="233" t="n">
        <v>0.15</v>
      </c>
      <c r="Z163" s="233" t="n">
        <v>0</v>
      </c>
      <c r="AA163" s="233" t="n">
        <v>0.15</v>
      </c>
      <c r="AB163" s="233" t="n">
        <v>0</v>
      </c>
      <c r="AC163" s="233" t="n">
        <v>0.175</v>
      </c>
      <c r="AD163" s="233" t="n">
        <v>0.0125</v>
      </c>
      <c r="AE163" s="233" t="n">
        <v>0.09</v>
      </c>
      <c r="AF163" s="233" t="n">
        <v>0.005</v>
      </c>
      <c r="AG163" s="233" t="n">
        <v>0.235</v>
      </c>
      <c r="AH163" s="233" t="n">
        <v>0</v>
      </c>
      <c r="AI163" s="233" t="n">
        <v>0.18</v>
      </c>
      <c r="AJ163" s="233" t="n">
        <v>0</v>
      </c>
      <c r="AK163" s="233" t="n">
        <v>-0.758</v>
      </c>
      <c r="AL163" s="233" t="n">
        <v>0.001709315494631</v>
      </c>
      <c r="AM163" s="233" t="n">
        <v>0.13</v>
      </c>
      <c r="AN163" s="233" t="n">
        <v>1.54245223206678</v>
      </c>
      <c r="AO163" s="233" t="n">
        <v>0.17</v>
      </c>
      <c r="AP163" s="233" t="n">
        <v>0.18</v>
      </c>
      <c r="AQ163" s="233" t="n">
        <v>0.18</v>
      </c>
      <c r="AR163" s="233" t="n">
        <f aca="false">1/AN163</f>
        <v>0.648318294213928</v>
      </c>
      <c r="AT163" s="253" t="n">
        <f aca="false">AR163*AM163*$AT$6</f>
        <v>0.0889215738086221</v>
      </c>
      <c r="AU163" s="253" t="n">
        <f aca="false">AK163+AL163+AT163</f>
        <v>-0.667369110696747</v>
      </c>
      <c r="AV163" s="233" t="n">
        <f aca="false">[10]Sheet1!AA154</f>
        <v>0.169</v>
      </c>
      <c r="AW163" s="233" t="n">
        <v>0</v>
      </c>
    </row>
    <row r="164" customFormat="false" ht="11.25" hidden="false" customHeight="false" outlineLevel="0" collapsed="false">
      <c r="A164" s="233"/>
      <c r="B164" s="233"/>
      <c r="C164" s="231" t="e">
        <f aca="false">NextMonth(C163)</f>
        <v>#VALUE!</v>
      </c>
      <c r="D164" s="252" t="n">
        <v>0.0650361752963713</v>
      </c>
      <c r="E164" s="232" t="n">
        <v>4.6</v>
      </c>
      <c r="F164" s="232" t="n">
        <v>0.17</v>
      </c>
      <c r="G164" s="232" t="n">
        <v>0.17</v>
      </c>
      <c r="H164" s="232" t="n">
        <v>0.17</v>
      </c>
      <c r="I164" s="232" t="n">
        <v>0.175</v>
      </c>
      <c r="J164" s="232" t="n">
        <v>0.17</v>
      </c>
      <c r="K164" s="233" t="n">
        <v>0.17</v>
      </c>
      <c r="L164" s="232" t="n">
        <v>0.55</v>
      </c>
      <c r="M164" s="232" t="n">
        <v>0.55</v>
      </c>
      <c r="N164" s="232" t="n">
        <v>0.6</v>
      </c>
      <c r="O164" s="232" t="n">
        <v>0.5</v>
      </c>
      <c r="P164" s="232" t="n">
        <v>0.6</v>
      </c>
      <c r="Q164" s="252" t="n">
        <v>0.21</v>
      </c>
      <c r="R164" s="252" t="n">
        <v>0</v>
      </c>
      <c r="S164" s="233" t="n">
        <v>-0.038</v>
      </c>
      <c r="T164" s="233" t="n">
        <v>0</v>
      </c>
      <c r="U164" s="233" t="n">
        <v>-0.14</v>
      </c>
      <c r="V164" s="233" t="n">
        <v>-0.01</v>
      </c>
      <c r="W164" s="233" t="n">
        <v>-0.14</v>
      </c>
      <c r="X164" s="233" t="n">
        <v>-0.01</v>
      </c>
      <c r="Y164" s="233" t="n">
        <v>0.15</v>
      </c>
      <c r="Z164" s="233" t="n">
        <v>0</v>
      </c>
      <c r="AA164" s="233" t="n">
        <v>0.15</v>
      </c>
      <c r="AB164" s="233" t="n">
        <v>0</v>
      </c>
      <c r="AC164" s="233" t="n">
        <v>0.165</v>
      </c>
      <c r="AD164" s="233" t="n">
        <v>0.0125</v>
      </c>
      <c r="AE164" s="233" t="n">
        <v>0.09</v>
      </c>
      <c r="AF164" s="233" t="n">
        <v>0.005</v>
      </c>
      <c r="AG164" s="233" t="n">
        <v>0.235</v>
      </c>
      <c r="AH164" s="233" t="n">
        <v>0</v>
      </c>
      <c r="AI164" s="233" t="n">
        <v>0.18</v>
      </c>
      <c r="AJ164" s="233" t="n">
        <v>0</v>
      </c>
      <c r="AK164" s="233" t="n">
        <v>-0.758</v>
      </c>
      <c r="AL164" s="233" t="n">
        <v>0.0017091629331167</v>
      </c>
      <c r="AM164" s="233" t="n">
        <v>0.13</v>
      </c>
      <c r="AN164" s="233" t="n">
        <v>1.54258991282485</v>
      </c>
      <c r="AO164" s="233" t="n">
        <v>0.17</v>
      </c>
      <c r="AP164" s="233" t="n">
        <v>0.18</v>
      </c>
      <c r="AQ164" s="233" t="n">
        <v>0.18</v>
      </c>
      <c r="AR164" s="233" t="n">
        <f aca="false">1/AN164</f>
        <v>0.648260429869376</v>
      </c>
      <c r="AT164" s="253" t="n">
        <f aca="false">AR164*AM164*$AT$6</f>
        <v>0.0889136372925143</v>
      </c>
      <c r="AU164" s="253" t="n">
        <f aca="false">AK164+AL164+AT164</f>
        <v>-0.667377199774369</v>
      </c>
      <c r="AV164" s="233" t="n">
        <f aca="false">[10]Sheet1!AA155</f>
        <v>0.169</v>
      </c>
      <c r="AW164" s="233" t="n">
        <v>0</v>
      </c>
    </row>
    <row r="165" customFormat="false" ht="11.25" hidden="false" customHeight="false" outlineLevel="0" collapsed="false">
      <c r="A165" s="233"/>
      <c r="B165" s="233"/>
      <c r="C165" s="231" t="e">
        <f aca="false">NextMonth(C164)</f>
        <v>#VALUE!</v>
      </c>
      <c r="D165" s="252" t="n">
        <v>0.0650716033339935</v>
      </c>
      <c r="E165" s="232" t="n">
        <v>4.631</v>
      </c>
      <c r="F165" s="232" t="n">
        <v>0.17</v>
      </c>
      <c r="G165" s="232" t="n">
        <v>0.17</v>
      </c>
      <c r="H165" s="232" t="n">
        <v>0.17</v>
      </c>
      <c r="I165" s="232" t="n">
        <v>0.175</v>
      </c>
      <c r="J165" s="232" t="n">
        <v>0.17</v>
      </c>
      <c r="K165" s="233" t="n">
        <v>0.17</v>
      </c>
      <c r="L165" s="232" t="n">
        <v>0.6</v>
      </c>
      <c r="M165" s="232" t="n">
        <v>0.55</v>
      </c>
      <c r="N165" s="232" t="n">
        <v>0.65</v>
      </c>
      <c r="O165" s="232" t="n">
        <v>0.5</v>
      </c>
      <c r="P165" s="232" t="n">
        <v>0.65</v>
      </c>
      <c r="Q165" s="252" t="n">
        <v>0.21</v>
      </c>
      <c r="R165" s="252" t="n">
        <v>0</v>
      </c>
      <c r="S165" s="233" t="n">
        <v>-0.038</v>
      </c>
      <c r="T165" s="233" t="n">
        <v>0</v>
      </c>
      <c r="U165" s="233" t="n">
        <v>-0.14</v>
      </c>
      <c r="V165" s="233" t="n">
        <v>-0.01</v>
      </c>
      <c r="W165" s="233" t="n">
        <v>-0.14</v>
      </c>
      <c r="X165" s="233" t="n">
        <v>-0.01</v>
      </c>
      <c r="Y165" s="233" t="n">
        <v>0.15</v>
      </c>
      <c r="Z165" s="233" t="n">
        <v>0</v>
      </c>
      <c r="AA165" s="233" t="n">
        <v>0.15</v>
      </c>
      <c r="AB165" s="233" t="n">
        <v>0</v>
      </c>
      <c r="AC165" s="233" t="n">
        <v>0.1725</v>
      </c>
      <c r="AD165" s="233" t="n">
        <v>0.0125</v>
      </c>
      <c r="AE165" s="233" t="n">
        <v>0.09</v>
      </c>
      <c r="AF165" s="233" t="n">
        <v>0.005</v>
      </c>
      <c r="AG165" s="233" t="n">
        <v>0.235</v>
      </c>
      <c r="AH165" s="233" t="n">
        <v>0</v>
      </c>
      <c r="AI165" s="233" t="n">
        <v>0.18</v>
      </c>
      <c r="AJ165" s="233" t="n">
        <v>0</v>
      </c>
      <c r="AK165" s="233" t="n">
        <v>-0.758</v>
      </c>
      <c r="AL165" s="233" t="n">
        <v>0.0017090124280264</v>
      </c>
      <c r="AM165" s="233" t="n">
        <v>0.13</v>
      </c>
      <c r="AN165" s="233" t="n">
        <v>1.54272576182767</v>
      </c>
      <c r="AO165" s="233" t="n">
        <v>0.17</v>
      </c>
      <c r="AP165" s="233" t="n">
        <v>0.18</v>
      </c>
      <c r="AQ165" s="233" t="n">
        <v>0.18</v>
      </c>
      <c r="AR165" s="233" t="n">
        <f aca="false">1/AN165</f>
        <v>0.648203345496285</v>
      </c>
      <c r="AT165" s="253" t="n">
        <f aca="false">AR165*AM165*$AT$6</f>
        <v>0.0889058077551706</v>
      </c>
      <c r="AU165" s="253" t="n">
        <f aca="false">AK165+AL165+AT165</f>
        <v>-0.667385179816803</v>
      </c>
      <c r="AV165" s="233" t="n">
        <f aca="false">[10]Sheet1!AA156</f>
        <v>0.169</v>
      </c>
      <c r="AW165" s="233" t="n">
        <v>0</v>
      </c>
    </row>
    <row r="166" customFormat="false" ht="11.25" hidden="false" customHeight="false" outlineLevel="0" collapsed="false">
      <c r="A166" s="233"/>
      <c r="B166" s="233"/>
      <c r="C166" s="231" t="e">
        <f aca="false">NextMonth(C165)</f>
        <v>#VALUE!</v>
      </c>
      <c r="D166" s="252" t="n">
        <v>0.0651082123066398</v>
      </c>
      <c r="E166" s="232" t="n">
        <v>4.764</v>
      </c>
      <c r="F166" s="232" t="n">
        <v>0.17</v>
      </c>
      <c r="G166" s="232" t="n">
        <v>0.17</v>
      </c>
      <c r="H166" s="232" t="n">
        <v>0.17</v>
      </c>
      <c r="I166" s="232" t="n">
        <v>0.175</v>
      </c>
      <c r="J166" s="232" t="n">
        <v>0.17</v>
      </c>
      <c r="K166" s="233" t="n">
        <v>0.17</v>
      </c>
      <c r="L166" s="232" t="n">
        <v>0.8</v>
      </c>
      <c r="M166" s="232" t="n">
        <v>0.8</v>
      </c>
      <c r="N166" s="232" t="n">
        <v>0.8</v>
      </c>
      <c r="O166" s="232" t="n">
        <v>0.95</v>
      </c>
      <c r="P166" s="232" t="n">
        <v>0.85</v>
      </c>
      <c r="Q166" s="252" t="n">
        <v>0.325</v>
      </c>
      <c r="R166" s="252" t="n">
        <v>0</v>
      </c>
      <c r="S166" s="233" t="n">
        <v>-0.0375</v>
      </c>
      <c r="T166" s="233" t="n">
        <v>0.005</v>
      </c>
      <c r="U166" s="233" t="n">
        <v>-0.1425</v>
      </c>
      <c r="V166" s="233" t="n">
        <v>0.01</v>
      </c>
      <c r="W166" s="233" t="n">
        <v>-0.1425</v>
      </c>
      <c r="X166" s="233" t="n">
        <v>0.01</v>
      </c>
      <c r="Y166" s="233" t="n">
        <v>0.225</v>
      </c>
      <c r="Z166" s="233" t="n">
        <v>0</v>
      </c>
      <c r="AA166" s="233" t="n">
        <v>0.225</v>
      </c>
      <c r="AB166" s="233" t="n">
        <v>0</v>
      </c>
      <c r="AC166" s="233" t="n">
        <v>0.24</v>
      </c>
      <c r="AD166" s="233" t="n">
        <v>0.03</v>
      </c>
      <c r="AE166" s="233" t="n">
        <v>0.175</v>
      </c>
      <c r="AF166" s="233" t="n">
        <v>0.02</v>
      </c>
      <c r="AG166" s="233" t="n">
        <v>0.425</v>
      </c>
      <c r="AH166" s="233" t="n">
        <v>0</v>
      </c>
      <c r="AI166" s="233" t="n">
        <v>0.275</v>
      </c>
      <c r="AJ166" s="233" t="n">
        <v>0</v>
      </c>
      <c r="AK166" s="233" t="n">
        <v>-0.698</v>
      </c>
      <c r="AL166" s="233" t="n">
        <v>0.0054683326293397</v>
      </c>
      <c r="AM166" s="233" t="n">
        <v>0.13</v>
      </c>
      <c r="AN166" s="233" t="n">
        <v>1.54286883623953</v>
      </c>
      <c r="AO166" s="233" t="n">
        <v>0.17</v>
      </c>
      <c r="AP166" s="233" t="n">
        <v>0.275</v>
      </c>
      <c r="AQ166" s="233" t="n">
        <v>0.275</v>
      </c>
      <c r="AR166" s="233" t="n">
        <f aca="false">1/AN166</f>
        <v>0.648143235841955</v>
      </c>
      <c r="AT166" s="253" t="n">
        <f aca="false">AR166*AM166*$AT$6</f>
        <v>0.088897563278481</v>
      </c>
      <c r="AU166" s="253" t="n">
        <f aca="false">AK166+AL166+AT166</f>
        <v>-0.603634104092179</v>
      </c>
      <c r="AV166" s="233" t="n">
        <f aca="false">[10]Sheet1!AA157</f>
        <v>0.216071428571429</v>
      </c>
      <c r="AW166" s="233" t="n">
        <v>0</v>
      </c>
    </row>
    <row r="167" customFormat="false" ht="11.25" hidden="false" customHeight="false" outlineLevel="0" collapsed="false">
      <c r="A167" s="233"/>
      <c r="B167" s="233"/>
      <c r="C167" s="231" t="e">
        <f aca="false">NextMonth(C166)</f>
        <v>#VALUE!</v>
      </c>
      <c r="D167" s="252" t="n">
        <v>0.065143640345108</v>
      </c>
      <c r="E167" s="232" t="n">
        <v>4.902</v>
      </c>
      <c r="F167" s="232" t="n">
        <v>0.17</v>
      </c>
      <c r="G167" s="232" t="n">
        <v>0.17</v>
      </c>
      <c r="H167" s="232" t="n">
        <v>0.17</v>
      </c>
      <c r="I167" s="232" t="n">
        <v>0.175</v>
      </c>
      <c r="J167" s="232" t="n">
        <v>0.17</v>
      </c>
      <c r="K167" s="233" t="n">
        <v>0.17</v>
      </c>
      <c r="L167" s="232" t="n">
        <v>1</v>
      </c>
      <c r="M167" s="232" t="n">
        <v>1</v>
      </c>
      <c r="N167" s="232" t="n">
        <v>1.1</v>
      </c>
      <c r="O167" s="232" t="n">
        <v>1.35</v>
      </c>
      <c r="P167" s="232" t="n">
        <v>1.05</v>
      </c>
      <c r="Q167" s="252" t="n">
        <v>0.325</v>
      </c>
      <c r="R167" s="252" t="n">
        <v>0</v>
      </c>
      <c r="S167" s="233" t="n">
        <v>-0.0375</v>
      </c>
      <c r="T167" s="233" t="n">
        <v>0.005</v>
      </c>
      <c r="U167" s="233" t="n">
        <v>-0.1375</v>
      </c>
      <c r="V167" s="233" t="n">
        <v>0.01</v>
      </c>
      <c r="W167" s="233" t="n">
        <v>-0.1375</v>
      </c>
      <c r="X167" s="233" t="n">
        <v>0.01</v>
      </c>
      <c r="Y167" s="233" t="n">
        <v>0.225</v>
      </c>
      <c r="Z167" s="233" t="n">
        <v>0</v>
      </c>
      <c r="AA167" s="233" t="n">
        <v>0.225</v>
      </c>
      <c r="AB167" s="233" t="n">
        <v>0</v>
      </c>
      <c r="AC167" s="233" t="n">
        <v>0.26</v>
      </c>
      <c r="AD167" s="233" t="n">
        <v>0.03</v>
      </c>
      <c r="AE167" s="233" t="n">
        <v>0.175</v>
      </c>
      <c r="AF167" s="233" t="n">
        <v>0.02</v>
      </c>
      <c r="AG167" s="233" t="n">
        <v>0.425</v>
      </c>
      <c r="AH167" s="233" t="n">
        <v>0</v>
      </c>
      <c r="AI167" s="233" t="n">
        <v>0.275</v>
      </c>
      <c r="AJ167" s="233" t="n">
        <v>0</v>
      </c>
      <c r="AK167" s="233" t="n">
        <v>-0.698</v>
      </c>
      <c r="AL167" s="233" t="n">
        <v>0.005467832686723</v>
      </c>
      <c r="AM167" s="233" t="n">
        <v>0.13</v>
      </c>
      <c r="AN167" s="233" t="n">
        <v>1.54300990600655</v>
      </c>
      <c r="AO167" s="233" t="n">
        <v>0.17</v>
      </c>
      <c r="AP167" s="233" t="n">
        <v>0.275</v>
      </c>
      <c r="AQ167" s="233" t="n">
        <v>0.275</v>
      </c>
      <c r="AR167" s="233" t="n">
        <f aca="false">1/AN167</f>
        <v>0.648083979310341</v>
      </c>
      <c r="AT167" s="253" t="n">
        <f aca="false">AR167*AM167*$AT$6</f>
        <v>0.0888894358137826</v>
      </c>
      <c r="AU167" s="253" t="n">
        <f aca="false">AK167+AL167+AT167</f>
        <v>-0.603642731499494</v>
      </c>
      <c r="AV167" s="233" t="n">
        <f aca="false">[10]Sheet1!AA158</f>
        <v>0.221071428571429</v>
      </c>
      <c r="AW167" s="233" t="n">
        <v>0</v>
      </c>
    </row>
    <row r="168" customFormat="false" ht="11.25" hidden="false" customHeight="false" outlineLevel="0" collapsed="false">
      <c r="A168" s="233"/>
      <c r="B168" s="233"/>
      <c r="C168" s="231" t="e">
        <f aca="false">NextMonth(C167)</f>
        <v>#VALUE!</v>
      </c>
      <c r="D168" s="252" t="n">
        <v>0.0651802493186282</v>
      </c>
      <c r="E168" s="232" t="n">
        <v>4.954</v>
      </c>
      <c r="F168" s="232" t="n">
        <v>0.17</v>
      </c>
      <c r="G168" s="232" t="n">
        <v>0.17</v>
      </c>
      <c r="H168" s="232" t="n">
        <v>0.17</v>
      </c>
      <c r="I168" s="232" t="n">
        <v>0.175</v>
      </c>
      <c r="J168" s="232" t="n">
        <v>0.17</v>
      </c>
      <c r="K168" s="233" t="n">
        <v>0.17</v>
      </c>
      <c r="L168" s="232" t="n">
        <v>1</v>
      </c>
      <c r="M168" s="232" t="n">
        <v>1</v>
      </c>
      <c r="N168" s="232" t="n">
        <v>1.1</v>
      </c>
      <c r="O168" s="232" t="n">
        <v>1.35</v>
      </c>
      <c r="P168" s="232" t="n">
        <v>1.05</v>
      </c>
      <c r="Q168" s="252" t="n">
        <v>0.325</v>
      </c>
      <c r="R168" s="252" t="n">
        <v>0</v>
      </c>
      <c r="S168" s="233" t="n">
        <v>-0.0375</v>
      </c>
      <c r="T168" s="233" t="n">
        <v>0.005</v>
      </c>
      <c r="U168" s="233" t="n">
        <v>-0.1375</v>
      </c>
      <c r="V168" s="233" t="n">
        <v>0.01</v>
      </c>
      <c r="W168" s="233" t="n">
        <v>-0.1375</v>
      </c>
      <c r="X168" s="233" t="n">
        <v>0.01</v>
      </c>
      <c r="Y168" s="233" t="n">
        <v>0.225</v>
      </c>
      <c r="Z168" s="233" t="n">
        <v>0</v>
      </c>
      <c r="AA168" s="233" t="n">
        <v>0.225</v>
      </c>
      <c r="AB168" s="233" t="n">
        <v>0</v>
      </c>
      <c r="AC168" s="233" t="n">
        <v>0.27</v>
      </c>
      <c r="AD168" s="233" t="n">
        <v>0.03</v>
      </c>
      <c r="AE168" s="233" t="n">
        <v>0.175</v>
      </c>
      <c r="AF168" s="233" t="n">
        <v>0.02</v>
      </c>
      <c r="AG168" s="233" t="n">
        <v>0.425</v>
      </c>
      <c r="AH168" s="233" t="n">
        <v>0</v>
      </c>
      <c r="AI168" s="233" t="n">
        <v>0.275</v>
      </c>
      <c r="AJ168" s="233" t="n">
        <v>0</v>
      </c>
      <c r="AK168" s="233" t="n">
        <v>-0.698</v>
      </c>
      <c r="AL168" s="233" t="n">
        <v>0.0054673066155633</v>
      </c>
      <c r="AM168" s="233" t="n">
        <v>0.13</v>
      </c>
      <c r="AN168" s="233" t="n">
        <v>1.54315837637187</v>
      </c>
      <c r="AO168" s="233" t="n">
        <v>0.17</v>
      </c>
      <c r="AP168" s="233" t="n">
        <v>0.275</v>
      </c>
      <c r="AQ168" s="233" t="n">
        <v>0.275</v>
      </c>
      <c r="AR168" s="233" t="n">
        <f aca="false">1/AN168</f>
        <v>0.648021625849647</v>
      </c>
      <c r="AT168" s="253" t="n">
        <f aca="false">AR168*AM168*$AT$6</f>
        <v>0.0888808835827152</v>
      </c>
      <c r="AU168" s="253" t="n">
        <f aca="false">AK168+AL168+AT168</f>
        <v>-0.603651809801722</v>
      </c>
      <c r="AV168" s="233" t="n">
        <f aca="false">[10]Sheet1!AA159</f>
        <v>0.221071428571429</v>
      </c>
      <c r="AW168" s="233" t="n">
        <v>0</v>
      </c>
    </row>
    <row r="169" customFormat="false" ht="11.25" hidden="false" customHeight="false" outlineLevel="0" collapsed="false">
      <c r="A169" s="233"/>
      <c r="B169" s="233"/>
      <c r="C169" s="231" t="e">
        <f aca="false">NextMonth(C168)</f>
        <v>#VALUE!</v>
      </c>
      <c r="D169" s="252" t="n">
        <v>0.0652168582925929</v>
      </c>
      <c r="E169" s="232" t="n">
        <v>4.834</v>
      </c>
      <c r="F169" s="232" t="n">
        <v>0.17</v>
      </c>
      <c r="G169" s="232" t="n">
        <v>0.17</v>
      </c>
      <c r="H169" s="232" t="n">
        <v>0.17</v>
      </c>
      <c r="I169" s="232" t="n">
        <v>0.175</v>
      </c>
      <c r="J169" s="232" t="n">
        <v>0.17</v>
      </c>
      <c r="K169" s="233" t="n">
        <v>0.17</v>
      </c>
      <c r="L169" s="232" t="n">
        <v>1</v>
      </c>
      <c r="M169" s="232" t="n">
        <v>1</v>
      </c>
      <c r="N169" s="232" t="n">
        <v>1.1</v>
      </c>
      <c r="O169" s="232" t="n">
        <v>1.35</v>
      </c>
      <c r="P169" s="232" t="n">
        <v>1.05</v>
      </c>
      <c r="Q169" s="252" t="n">
        <v>0.325</v>
      </c>
      <c r="R169" s="252" t="n">
        <v>0</v>
      </c>
      <c r="S169" s="233" t="n">
        <v>-0.0375</v>
      </c>
      <c r="T169" s="233" t="n">
        <v>0.005</v>
      </c>
      <c r="U169" s="233" t="n">
        <v>-0.14</v>
      </c>
      <c r="V169" s="233" t="n">
        <v>0.01</v>
      </c>
      <c r="W169" s="233" t="n">
        <v>-0.14</v>
      </c>
      <c r="X169" s="233" t="n">
        <v>0.01</v>
      </c>
      <c r="Y169" s="233" t="n">
        <v>0.225</v>
      </c>
      <c r="Z169" s="233" t="n">
        <v>0</v>
      </c>
      <c r="AA169" s="233" t="n">
        <v>0.225</v>
      </c>
      <c r="AB169" s="233" t="n">
        <v>0</v>
      </c>
      <c r="AC169" s="233" t="n">
        <v>0.27</v>
      </c>
      <c r="AD169" s="233" t="n">
        <v>0.03</v>
      </c>
      <c r="AE169" s="233" t="n">
        <v>0.175</v>
      </c>
      <c r="AF169" s="233" t="n">
        <v>0.02</v>
      </c>
      <c r="AG169" s="233" t="n">
        <v>0.425</v>
      </c>
      <c r="AH169" s="233" t="n">
        <v>0</v>
      </c>
      <c r="AI169" s="233" t="n">
        <v>0.275</v>
      </c>
      <c r="AJ169" s="233" t="n">
        <v>0</v>
      </c>
      <c r="AK169" s="233" t="n">
        <v>-0.698</v>
      </c>
      <c r="AL169" s="233" t="n">
        <v>0.00546677092881</v>
      </c>
      <c r="AM169" s="233" t="n">
        <v>0.13</v>
      </c>
      <c r="AN169" s="233" t="n">
        <v>1.54330958985993</v>
      </c>
      <c r="AO169" s="233" t="n">
        <v>0.17</v>
      </c>
      <c r="AP169" s="233" t="n">
        <v>0.275</v>
      </c>
      <c r="AQ169" s="233" t="n">
        <v>0.275</v>
      </c>
      <c r="AR169" s="233" t="n">
        <f aca="false">1/AN169</f>
        <v>0.64795813268468</v>
      </c>
      <c r="AT169" s="253" t="n">
        <f aca="false">AR169*AM169*$AT$6</f>
        <v>0.0888721750329099</v>
      </c>
      <c r="AU169" s="253" t="n">
        <f aca="false">AK169+AL169+AT169</f>
        <v>-0.60366105403828</v>
      </c>
      <c r="AV169" s="233" t="n">
        <f aca="false">[10]Sheet1!AA160</f>
        <v>0.221071428571429</v>
      </c>
      <c r="AW169" s="233" t="n">
        <v>0</v>
      </c>
    </row>
    <row r="170" customFormat="false" ht="11.25" hidden="false" customHeight="false" outlineLevel="0" collapsed="false">
      <c r="A170" s="233"/>
      <c r="B170" s="233"/>
      <c r="C170" s="231" t="e">
        <f aca="false">NextMonth(C169)</f>
        <v>#VALUE!</v>
      </c>
      <c r="D170" s="252" t="n">
        <v>0.0652499244630076</v>
      </c>
      <c r="E170" s="232" t="n">
        <v>4.695</v>
      </c>
      <c r="F170" s="232" t="n">
        <v>0.17</v>
      </c>
      <c r="G170" s="232" t="n">
        <v>0.17</v>
      </c>
      <c r="H170" s="232" t="n">
        <v>0.17</v>
      </c>
      <c r="I170" s="232" t="n">
        <v>0.175</v>
      </c>
      <c r="J170" s="232" t="n">
        <v>0.17</v>
      </c>
      <c r="K170" s="233" t="n">
        <v>0.17</v>
      </c>
      <c r="L170" s="232" t="n">
        <v>0.75</v>
      </c>
      <c r="M170" s="232" t="n">
        <v>0.75</v>
      </c>
      <c r="N170" s="232" t="n">
        <v>0.75</v>
      </c>
      <c r="O170" s="232" t="n">
        <v>0.95</v>
      </c>
      <c r="P170" s="232" t="n">
        <v>0.75</v>
      </c>
      <c r="Q170" s="252" t="n">
        <v>0.325</v>
      </c>
      <c r="R170" s="252" t="n">
        <v>0</v>
      </c>
      <c r="S170" s="233" t="n">
        <v>-0.0375</v>
      </c>
      <c r="T170" s="233" t="n">
        <v>0.005</v>
      </c>
      <c r="U170" s="233" t="n">
        <v>-0.1425</v>
      </c>
      <c r="V170" s="233" t="n">
        <v>0.01</v>
      </c>
      <c r="W170" s="233" t="n">
        <v>-0.1425</v>
      </c>
      <c r="X170" s="233" t="n">
        <v>0.01</v>
      </c>
      <c r="Y170" s="233" t="n">
        <v>0.225</v>
      </c>
      <c r="Z170" s="233" t="n">
        <v>0</v>
      </c>
      <c r="AA170" s="233" t="n">
        <v>0.225</v>
      </c>
      <c r="AB170" s="233" t="n">
        <v>0</v>
      </c>
      <c r="AC170" s="233" t="n">
        <v>0.24</v>
      </c>
      <c r="AD170" s="233" t="n">
        <v>0.03</v>
      </c>
      <c r="AE170" s="233" t="n">
        <v>0.175</v>
      </c>
      <c r="AF170" s="233" t="n">
        <v>0.02</v>
      </c>
      <c r="AG170" s="233" t="n">
        <v>0.425</v>
      </c>
      <c r="AH170" s="233" t="n">
        <v>0</v>
      </c>
      <c r="AI170" s="233" t="n">
        <v>0.275</v>
      </c>
      <c r="AJ170" s="233" t="n">
        <v>0</v>
      </c>
      <c r="AK170" s="233" t="n">
        <v>-0.698</v>
      </c>
      <c r="AL170" s="233" t="n">
        <v>0.0054662788207508</v>
      </c>
      <c r="AM170" s="233" t="n">
        <v>0.13</v>
      </c>
      <c r="AN170" s="233" t="n">
        <v>1.54344852808682</v>
      </c>
      <c r="AO170" s="233" t="n">
        <v>0.17</v>
      </c>
      <c r="AP170" s="233" t="n">
        <v>0.275</v>
      </c>
      <c r="AQ170" s="233" t="n">
        <v>0.275</v>
      </c>
      <c r="AR170" s="233" t="n">
        <f aca="false">1/AN170</f>
        <v>0.647899804757046</v>
      </c>
      <c r="AT170" s="253" t="n">
        <f aca="false">AR170*AM170*$AT$6</f>
        <v>0.0888641749330074</v>
      </c>
      <c r="AU170" s="253" t="n">
        <f aca="false">AK170+AL170+AT170</f>
        <v>-0.603669546246242</v>
      </c>
      <c r="AV170" s="233" t="n">
        <f aca="false">[10]Sheet1!AA161</f>
        <v>0.221071428571429</v>
      </c>
      <c r="AW170" s="233" t="n">
        <v>0</v>
      </c>
    </row>
    <row r="171" customFormat="false" ht="11.25" hidden="false" customHeight="false" outlineLevel="0" collapsed="false">
      <c r="A171" s="233"/>
      <c r="B171" s="233"/>
      <c r="C171" s="231" t="e">
        <f aca="false">NextMonth(C170)</f>
        <v>#VALUE!</v>
      </c>
      <c r="D171" s="252" t="n">
        <v>0.0652865334378174</v>
      </c>
      <c r="E171" s="232" t="n">
        <v>4.52</v>
      </c>
      <c r="F171" s="232" t="n">
        <v>0.17</v>
      </c>
      <c r="G171" s="232" t="n">
        <v>0.17</v>
      </c>
      <c r="H171" s="232" t="n">
        <v>0.17</v>
      </c>
      <c r="I171" s="232" t="n">
        <v>0.175</v>
      </c>
      <c r="J171" s="232" t="n">
        <v>0.17</v>
      </c>
      <c r="K171" s="233" t="n">
        <v>0.17</v>
      </c>
      <c r="L171" s="232" t="n">
        <v>0.4</v>
      </c>
      <c r="M171" s="232" t="n">
        <v>0.4</v>
      </c>
      <c r="N171" s="232" t="n">
        <v>0.45</v>
      </c>
      <c r="O171" s="232" t="n">
        <v>0.5</v>
      </c>
      <c r="P171" s="232" t="n">
        <v>0.45</v>
      </c>
      <c r="Q171" s="252" t="n">
        <v>0.21</v>
      </c>
      <c r="R171" s="252" t="n">
        <v>0</v>
      </c>
      <c r="S171" s="233" t="n">
        <v>-0.035</v>
      </c>
      <c r="T171" s="233" t="n">
        <v>0</v>
      </c>
      <c r="U171" s="233" t="n">
        <v>-0.14</v>
      </c>
      <c r="V171" s="233" t="n">
        <v>-0.01</v>
      </c>
      <c r="W171" s="233" t="n">
        <v>-0.14</v>
      </c>
      <c r="X171" s="233" t="n">
        <v>-0.01</v>
      </c>
      <c r="Y171" s="233" t="n">
        <v>0.15</v>
      </c>
      <c r="Z171" s="233" t="n">
        <v>0</v>
      </c>
      <c r="AA171" s="233" t="n">
        <v>0.15</v>
      </c>
      <c r="AB171" s="233" t="n">
        <v>0</v>
      </c>
      <c r="AC171" s="233" t="n">
        <v>0.17</v>
      </c>
      <c r="AD171" s="233" t="n">
        <v>0.0175</v>
      </c>
      <c r="AE171" s="233" t="n">
        <v>0.09</v>
      </c>
      <c r="AF171" s="233" t="n">
        <v>0.005</v>
      </c>
      <c r="AG171" s="233" t="n">
        <v>0.235</v>
      </c>
      <c r="AH171" s="233" t="n">
        <v>0</v>
      </c>
      <c r="AI171" s="233" t="n">
        <v>0.18</v>
      </c>
      <c r="AJ171" s="233" t="n">
        <v>0</v>
      </c>
      <c r="AK171" s="233" t="n">
        <v>-0.798</v>
      </c>
      <c r="AL171" s="233" t="n">
        <v>0.001708039013393</v>
      </c>
      <c r="AM171" s="233" t="n">
        <v>0.13</v>
      </c>
      <c r="AN171" s="233" t="n">
        <v>1.54360496412932</v>
      </c>
      <c r="AO171" s="233" t="n">
        <v>0.17</v>
      </c>
      <c r="AP171" s="233" t="n">
        <v>0.18</v>
      </c>
      <c r="AQ171" s="233" t="n">
        <v>0.18</v>
      </c>
      <c r="AR171" s="233" t="n">
        <f aca="false">1/AN171</f>
        <v>0.647834143604258</v>
      </c>
      <c r="AT171" s="253" t="n">
        <f aca="false">AR171*AM171*$AT$6</f>
        <v>0.0888551690278895</v>
      </c>
      <c r="AU171" s="253" t="n">
        <f aca="false">AK171+AL171+AT171</f>
        <v>-0.707436791958718</v>
      </c>
      <c r="AV171" s="233" t="n">
        <f aca="false">[10]Sheet1!AA162</f>
        <v>0.172</v>
      </c>
      <c r="AW171" s="233" t="n">
        <v>0</v>
      </c>
    </row>
    <row r="172" customFormat="false" ht="11.25" hidden="false" customHeight="false" outlineLevel="0" collapsed="false">
      <c r="A172" s="233"/>
      <c r="B172" s="233"/>
      <c r="C172" s="231" t="e">
        <f aca="false">NextMonth(C171)</f>
        <v>#VALUE!</v>
      </c>
      <c r="D172" s="252" t="n">
        <v>0.0653219614783791</v>
      </c>
      <c r="E172" s="232" t="n">
        <v>4.49</v>
      </c>
      <c r="F172" s="232" t="n">
        <v>0.17</v>
      </c>
      <c r="G172" s="232" t="n">
        <v>0.17</v>
      </c>
      <c r="H172" s="232" t="n">
        <v>0.17</v>
      </c>
      <c r="I172" s="232" t="n">
        <v>0.175</v>
      </c>
      <c r="J172" s="232" t="n">
        <v>0.17</v>
      </c>
      <c r="K172" s="233" t="n">
        <v>0.17</v>
      </c>
      <c r="L172" s="232" t="n">
        <v>0.45</v>
      </c>
      <c r="M172" s="232" t="n">
        <v>0.4</v>
      </c>
      <c r="N172" s="232" t="n">
        <v>0.5</v>
      </c>
      <c r="O172" s="232" t="n">
        <v>0.45</v>
      </c>
      <c r="P172" s="232" t="n">
        <v>0.45</v>
      </c>
      <c r="Q172" s="252" t="n">
        <v>0.21</v>
      </c>
      <c r="R172" s="252" t="n">
        <v>0</v>
      </c>
      <c r="S172" s="233" t="n">
        <v>-0.035</v>
      </c>
      <c r="T172" s="233" t="n">
        <v>0</v>
      </c>
      <c r="U172" s="233" t="n">
        <v>-0.14</v>
      </c>
      <c r="V172" s="233" t="n">
        <v>-0.01</v>
      </c>
      <c r="W172" s="233" t="n">
        <v>-0.14</v>
      </c>
      <c r="X172" s="233" t="n">
        <v>-0.01</v>
      </c>
      <c r="Y172" s="233" t="n">
        <v>0.15</v>
      </c>
      <c r="Z172" s="233" t="n">
        <v>0</v>
      </c>
      <c r="AA172" s="233" t="n">
        <v>0.15</v>
      </c>
      <c r="AB172" s="233" t="n">
        <v>0</v>
      </c>
      <c r="AC172" s="233" t="n">
        <v>0.165</v>
      </c>
      <c r="AD172" s="233" t="n">
        <v>0.01</v>
      </c>
      <c r="AE172" s="233" t="n">
        <v>0.09</v>
      </c>
      <c r="AF172" s="233" t="n">
        <v>0.005</v>
      </c>
      <c r="AG172" s="233" t="n">
        <v>0.235</v>
      </c>
      <c r="AH172" s="233" t="n">
        <v>0</v>
      </c>
      <c r="AI172" s="233" t="n">
        <v>0.18</v>
      </c>
      <c r="AJ172" s="233" t="n">
        <v>0</v>
      </c>
      <c r="AK172" s="233" t="n">
        <v>-0.798</v>
      </c>
      <c r="AL172" s="233" t="n">
        <v>0.0017078686217059</v>
      </c>
      <c r="AM172" s="233" t="n">
        <v>0.13</v>
      </c>
      <c r="AN172" s="233" t="n">
        <v>1.5437589674588</v>
      </c>
      <c r="AO172" s="233" t="n">
        <v>0.17</v>
      </c>
      <c r="AP172" s="233" t="n">
        <v>0.18</v>
      </c>
      <c r="AQ172" s="233" t="n">
        <v>0.18</v>
      </c>
      <c r="AR172" s="233" t="n">
        <f aca="false">1/AN172</f>
        <v>0.647769516536712</v>
      </c>
      <c r="AT172" s="253" t="n">
        <f aca="false">AR172*AM172*$AT$6</f>
        <v>0.0888463049550904</v>
      </c>
      <c r="AU172" s="253" t="n">
        <f aca="false">AK172+AL172+AT172</f>
        <v>-0.707445826423204</v>
      </c>
      <c r="AV172" s="233" t="n">
        <f aca="false">[10]Sheet1!AA163</f>
        <v>0.172</v>
      </c>
      <c r="AW172" s="233" t="n">
        <v>0</v>
      </c>
    </row>
    <row r="173" customFormat="false" ht="11.25" hidden="false" customHeight="false" outlineLevel="0" collapsed="false">
      <c r="A173" s="233"/>
      <c r="B173" s="233"/>
      <c r="C173" s="231" t="e">
        <f aca="false">NextMonth(C172)</f>
        <v>#VALUE!</v>
      </c>
      <c r="D173" s="252" t="n">
        <v>0.0653585704540634</v>
      </c>
      <c r="E173" s="232" t="n">
        <v>4.56</v>
      </c>
      <c r="F173" s="232" t="n">
        <v>0.17</v>
      </c>
      <c r="G173" s="232" t="n">
        <v>0.17</v>
      </c>
      <c r="H173" s="232" t="n">
        <v>0.17</v>
      </c>
      <c r="I173" s="232" t="n">
        <v>0.175</v>
      </c>
      <c r="J173" s="232" t="n">
        <v>0.17</v>
      </c>
      <c r="K173" s="233" t="n">
        <v>0.17</v>
      </c>
      <c r="L173" s="232" t="n">
        <v>0.45</v>
      </c>
      <c r="M173" s="232" t="n">
        <v>0.4</v>
      </c>
      <c r="N173" s="232" t="n">
        <v>0.5</v>
      </c>
      <c r="O173" s="232" t="n">
        <v>0.5</v>
      </c>
      <c r="P173" s="232" t="n">
        <v>0.5</v>
      </c>
      <c r="Q173" s="252" t="n">
        <v>0.21</v>
      </c>
      <c r="R173" s="252" t="n">
        <v>0</v>
      </c>
      <c r="S173" s="233" t="n">
        <v>-0.035</v>
      </c>
      <c r="T173" s="233" t="n">
        <v>0</v>
      </c>
      <c r="U173" s="233" t="n">
        <v>-0.14</v>
      </c>
      <c r="V173" s="233" t="n">
        <v>-0.01</v>
      </c>
      <c r="W173" s="233" t="n">
        <v>-0.14</v>
      </c>
      <c r="X173" s="233" t="n">
        <v>-0.01</v>
      </c>
      <c r="Y173" s="233" t="n">
        <v>0.15</v>
      </c>
      <c r="Z173" s="233" t="n">
        <v>0</v>
      </c>
      <c r="AA173" s="233" t="n">
        <v>0.15</v>
      </c>
      <c r="AB173" s="233" t="n">
        <v>0</v>
      </c>
      <c r="AC173" s="233" t="n">
        <v>0.17</v>
      </c>
      <c r="AD173" s="233" t="n">
        <v>0.0125</v>
      </c>
      <c r="AE173" s="233" t="n">
        <v>0.09</v>
      </c>
      <c r="AF173" s="233" t="n">
        <v>0.005</v>
      </c>
      <c r="AG173" s="233" t="n">
        <v>0.235</v>
      </c>
      <c r="AH173" s="233" t="n">
        <v>0</v>
      </c>
      <c r="AI173" s="233" t="n">
        <v>0.18</v>
      </c>
      <c r="AJ173" s="233" t="n">
        <v>0</v>
      </c>
      <c r="AK173" s="233" t="n">
        <v>-0.798</v>
      </c>
      <c r="AL173" s="233" t="n">
        <v>0.0017076895980636</v>
      </c>
      <c r="AM173" s="233" t="n">
        <v>0.13</v>
      </c>
      <c r="AN173" s="233" t="n">
        <v>1.54392080562506</v>
      </c>
      <c r="AO173" s="233" t="n">
        <v>0.17</v>
      </c>
      <c r="AP173" s="233" t="n">
        <v>0.18</v>
      </c>
      <c r="AQ173" s="233" t="n">
        <v>0.18</v>
      </c>
      <c r="AR173" s="233" t="n">
        <f aca="false">1/AN173</f>
        <v>0.647701615495199</v>
      </c>
      <c r="AT173" s="253" t="n">
        <f aca="false">AR173*AM173*$AT$6</f>
        <v>0.0888369918329273</v>
      </c>
      <c r="AU173" s="253" t="n">
        <f aca="false">AK173+AL173+AT173</f>
        <v>-0.707455318569009</v>
      </c>
      <c r="AV173" s="233" t="n">
        <f aca="false">[10]Sheet1!AA164</f>
        <v>0.172</v>
      </c>
      <c r="AW173" s="233" t="n">
        <v>0</v>
      </c>
    </row>
    <row r="174" customFormat="false" ht="11.25" hidden="false" customHeight="false" outlineLevel="0" collapsed="false">
      <c r="A174" s="233"/>
      <c r="B174" s="233"/>
      <c r="C174" s="231" t="e">
        <f aca="false">NextMonth(C173)</f>
        <v>#VALUE!</v>
      </c>
      <c r="D174" s="252" t="n">
        <v>0.0653939984954706</v>
      </c>
      <c r="E174" s="232" t="n">
        <v>4.615</v>
      </c>
      <c r="F174" s="232" t="n">
        <v>0.17</v>
      </c>
      <c r="G174" s="232" t="n">
        <v>0.17</v>
      </c>
      <c r="H174" s="232" t="n">
        <v>0.17</v>
      </c>
      <c r="I174" s="232" t="n">
        <v>0.175</v>
      </c>
      <c r="J174" s="232" t="n">
        <v>0.17</v>
      </c>
      <c r="K174" s="233" t="n">
        <v>0.17</v>
      </c>
      <c r="L174" s="232" t="n">
        <v>0.5</v>
      </c>
      <c r="M174" s="232" t="n">
        <v>0.4</v>
      </c>
      <c r="N174" s="232" t="n">
        <v>0.55</v>
      </c>
      <c r="O174" s="232" t="n">
        <v>0.5</v>
      </c>
      <c r="P174" s="232" t="n">
        <v>0.5</v>
      </c>
      <c r="Q174" s="252" t="n">
        <v>0.21</v>
      </c>
      <c r="R174" s="252" t="n">
        <v>0</v>
      </c>
      <c r="S174" s="233" t="n">
        <v>-0.035</v>
      </c>
      <c r="T174" s="233" t="n">
        <v>0</v>
      </c>
      <c r="U174" s="233" t="n">
        <v>-0.14</v>
      </c>
      <c r="V174" s="233" t="n">
        <v>-0.01</v>
      </c>
      <c r="W174" s="233" t="n">
        <v>-0.14</v>
      </c>
      <c r="X174" s="233" t="n">
        <v>-0.01</v>
      </c>
      <c r="Y174" s="233" t="n">
        <v>0.15</v>
      </c>
      <c r="Z174" s="233" t="n">
        <v>0</v>
      </c>
      <c r="AA174" s="233" t="n">
        <v>0.15</v>
      </c>
      <c r="AB174" s="233" t="n">
        <v>0</v>
      </c>
      <c r="AC174" s="233" t="n">
        <v>0.175</v>
      </c>
      <c r="AD174" s="233" t="n">
        <v>0.0125</v>
      </c>
      <c r="AE174" s="233" t="n">
        <v>0.09</v>
      </c>
      <c r="AF174" s="233" t="n">
        <v>0.005</v>
      </c>
      <c r="AG174" s="233" t="n">
        <v>0.235</v>
      </c>
      <c r="AH174" s="233" t="n">
        <v>0</v>
      </c>
      <c r="AI174" s="233" t="n">
        <v>0.18</v>
      </c>
      <c r="AJ174" s="233" t="n">
        <v>0</v>
      </c>
      <c r="AK174" s="233" t="n">
        <v>-0.798</v>
      </c>
      <c r="AL174" s="233" t="n">
        <v>0.0017075134934328</v>
      </c>
      <c r="AM174" s="233" t="n">
        <v>0.13</v>
      </c>
      <c r="AN174" s="233" t="n">
        <v>1.54408003810231</v>
      </c>
      <c r="AO174" s="233" t="n">
        <v>0.17</v>
      </c>
      <c r="AP174" s="233" t="n">
        <v>0.18</v>
      </c>
      <c r="AQ174" s="233" t="n">
        <v>0.18</v>
      </c>
      <c r="AR174" s="233" t="n">
        <f aca="false">1/AN174</f>
        <v>0.647634821591898</v>
      </c>
      <c r="AT174" s="253" t="n">
        <f aca="false">AR174*AM174*$AT$6</f>
        <v>0.08882783056283</v>
      </c>
      <c r="AU174" s="253" t="n">
        <f aca="false">AK174+AL174+AT174</f>
        <v>-0.707464655943737</v>
      </c>
      <c r="AV174" s="233" t="n">
        <f aca="false">[10]Sheet1!AA165</f>
        <v>0.172</v>
      </c>
      <c r="AW174" s="233" t="n">
        <v>0</v>
      </c>
    </row>
    <row r="175" customFormat="false" ht="11.25" hidden="false" customHeight="false" outlineLevel="0" collapsed="false">
      <c r="A175" s="233"/>
      <c r="B175" s="233"/>
      <c r="C175" s="231" t="e">
        <f aca="false">NextMonth(C174)</f>
        <v>#VALUE!</v>
      </c>
      <c r="D175" s="252" t="n">
        <v>0.0654306074720283</v>
      </c>
      <c r="E175" s="232" t="n">
        <v>4.671</v>
      </c>
      <c r="F175" s="232" t="n">
        <v>0.17</v>
      </c>
      <c r="G175" s="232" t="n">
        <v>0.17</v>
      </c>
      <c r="H175" s="232" t="n">
        <v>0.17</v>
      </c>
      <c r="I175" s="232" t="n">
        <v>0.175</v>
      </c>
      <c r="J175" s="232" t="n">
        <v>0.17</v>
      </c>
      <c r="K175" s="233" t="n">
        <v>0.17</v>
      </c>
      <c r="L175" s="232" t="n">
        <v>0.55</v>
      </c>
      <c r="M175" s="232" t="n">
        <v>0.5</v>
      </c>
      <c r="N175" s="232" t="n">
        <v>0.6</v>
      </c>
      <c r="O175" s="232" t="n">
        <v>0.45</v>
      </c>
      <c r="P175" s="232" t="n">
        <v>0.55</v>
      </c>
      <c r="Q175" s="252" t="n">
        <v>0.21</v>
      </c>
      <c r="R175" s="252" t="n">
        <v>0</v>
      </c>
      <c r="S175" s="233" t="n">
        <v>-0.035</v>
      </c>
      <c r="T175" s="233" t="n">
        <v>0</v>
      </c>
      <c r="U175" s="233" t="n">
        <v>-0.14</v>
      </c>
      <c r="V175" s="233" t="n">
        <v>-0.01</v>
      </c>
      <c r="W175" s="233" t="n">
        <v>-0.14</v>
      </c>
      <c r="X175" s="233" t="n">
        <v>-0.01</v>
      </c>
      <c r="Y175" s="233" t="n">
        <v>0.15</v>
      </c>
      <c r="Z175" s="233" t="n">
        <v>0</v>
      </c>
      <c r="AA175" s="233" t="n">
        <v>0.15</v>
      </c>
      <c r="AB175" s="233" t="n">
        <v>0</v>
      </c>
      <c r="AC175" s="233" t="n">
        <v>0.175</v>
      </c>
      <c r="AD175" s="233" t="n">
        <v>0.0125</v>
      </c>
      <c r="AE175" s="233" t="n">
        <v>0.09</v>
      </c>
      <c r="AF175" s="233" t="n">
        <v>0.005</v>
      </c>
      <c r="AG175" s="233" t="n">
        <v>0.235</v>
      </c>
      <c r="AH175" s="233" t="n">
        <v>0</v>
      </c>
      <c r="AI175" s="233" t="n">
        <v>0.18</v>
      </c>
      <c r="AJ175" s="233" t="n">
        <v>0</v>
      </c>
      <c r="AK175" s="233" t="n">
        <v>-0.798</v>
      </c>
      <c r="AL175" s="233" t="n">
        <v>0.0017073285686209</v>
      </c>
      <c r="AM175" s="233" t="n">
        <v>0.13</v>
      </c>
      <c r="AN175" s="233" t="n">
        <v>1.54424728107813</v>
      </c>
      <c r="AO175" s="233" t="n">
        <v>0.17</v>
      </c>
      <c r="AP175" s="233" t="n">
        <v>0.18</v>
      </c>
      <c r="AQ175" s="233" t="n">
        <v>0.18</v>
      </c>
      <c r="AR175" s="233" t="n">
        <f aca="false">1/AN175</f>
        <v>0.647564682323314</v>
      </c>
      <c r="AT175" s="253" t="n">
        <f aca="false">AR175*AM175*$AT$6</f>
        <v>0.0888182104515298</v>
      </c>
      <c r="AU175" s="253" t="n">
        <f aca="false">AK175+AL175+AT175</f>
        <v>-0.707474460979849</v>
      </c>
      <c r="AV175" s="233" t="n">
        <f aca="false">[10]Sheet1!AA166</f>
        <v>0.172</v>
      </c>
      <c r="AW175" s="233" t="n">
        <v>0</v>
      </c>
    </row>
    <row r="176" customFormat="false" ht="11.25" hidden="false" customHeight="false" outlineLevel="0" collapsed="false">
      <c r="A176" s="233"/>
      <c r="B176" s="233"/>
      <c r="C176" s="231" t="e">
        <f aca="false">NextMonth(C175)</f>
        <v>#VALUE!</v>
      </c>
      <c r="D176" s="252" t="n">
        <v>0.0654672164490306</v>
      </c>
      <c r="E176" s="232" t="n">
        <v>4.685</v>
      </c>
      <c r="F176" s="232" t="n">
        <v>0.17</v>
      </c>
      <c r="G176" s="232" t="n">
        <v>0.17</v>
      </c>
      <c r="H176" s="232" t="n">
        <v>0.17</v>
      </c>
      <c r="I176" s="232" t="n">
        <v>0.175</v>
      </c>
      <c r="J176" s="232" t="n">
        <v>0.17</v>
      </c>
      <c r="K176" s="233" t="n">
        <v>0.17</v>
      </c>
      <c r="L176" s="232" t="n">
        <v>0.55</v>
      </c>
      <c r="M176" s="232" t="n">
        <v>0.55</v>
      </c>
      <c r="N176" s="232" t="n">
        <v>0.6</v>
      </c>
      <c r="O176" s="232" t="n">
        <v>0.5</v>
      </c>
      <c r="P176" s="232" t="n">
        <v>0.6</v>
      </c>
      <c r="Q176" s="252" t="n">
        <v>0.21</v>
      </c>
      <c r="R176" s="252" t="n">
        <v>0</v>
      </c>
      <c r="S176" s="233" t="n">
        <v>-0.035</v>
      </c>
      <c r="T176" s="233" t="n">
        <v>0</v>
      </c>
      <c r="U176" s="233" t="n">
        <v>-0.14</v>
      </c>
      <c r="V176" s="233" t="n">
        <v>-0.01</v>
      </c>
      <c r="W176" s="233" t="n">
        <v>-0.14</v>
      </c>
      <c r="X176" s="233" t="n">
        <v>-0.01</v>
      </c>
      <c r="Y176" s="233" t="n">
        <v>0.15</v>
      </c>
      <c r="Z176" s="233" t="n">
        <v>0</v>
      </c>
      <c r="AA176" s="233" t="n">
        <v>0.15</v>
      </c>
      <c r="AB176" s="233" t="n">
        <v>0</v>
      </c>
      <c r="AC176" s="233" t="n">
        <v>0.165</v>
      </c>
      <c r="AD176" s="233" t="n">
        <v>0.0125</v>
      </c>
      <c r="AE176" s="233" t="n">
        <v>0.09</v>
      </c>
      <c r="AF176" s="233" t="n">
        <v>0.005</v>
      </c>
      <c r="AG176" s="233" t="n">
        <v>0.235</v>
      </c>
      <c r="AH176" s="233" t="n">
        <v>0</v>
      </c>
      <c r="AI176" s="233" t="n">
        <v>0.18</v>
      </c>
      <c r="AJ176" s="233" t="n">
        <v>0</v>
      </c>
      <c r="AK176" s="233" t="n">
        <v>-0.798</v>
      </c>
      <c r="AL176" s="233" t="n">
        <v>0.0017071406465714</v>
      </c>
      <c r="AM176" s="233" t="n">
        <v>0.13</v>
      </c>
      <c r="AN176" s="233" t="n">
        <v>1.54441727182534</v>
      </c>
      <c r="AO176" s="233" t="n">
        <v>0.17</v>
      </c>
      <c r="AP176" s="233" t="n">
        <v>0.18</v>
      </c>
      <c r="AQ176" s="233" t="n">
        <v>0.18</v>
      </c>
      <c r="AR176" s="233" t="n">
        <f aca="false">1/AN176</f>
        <v>0.647493406246425</v>
      </c>
      <c r="AT176" s="253" t="n">
        <f aca="false">AR176*AM176*$AT$6</f>
        <v>0.0888084344186946</v>
      </c>
      <c r="AU176" s="253" t="n">
        <f aca="false">AK176+AL176+AT176</f>
        <v>-0.707484424934734</v>
      </c>
      <c r="AV176" s="233" t="n">
        <f aca="false">[10]Sheet1!AA167</f>
        <v>0.172</v>
      </c>
      <c r="AW176" s="233" t="n">
        <v>0</v>
      </c>
    </row>
    <row r="177" customFormat="false" ht="11.25" hidden="false" customHeight="false" outlineLevel="0" collapsed="false">
      <c r="A177" s="233"/>
      <c r="B177" s="233"/>
      <c r="C177" s="231" t="e">
        <f aca="false">NextMonth(C176)</f>
        <v>#VALUE!</v>
      </c>
      <c r="D177" s="252" t="n">
        <v>0.0655026444917137</v>
      </c>
      <c r="E177" s="232" t="n">
        <v>4.716</v>
      </c>
      <c r="F177" s="232" t="n">
        <v>0.17</v>
      </c>
      <c r="G177" s="232" t="n">
        <v>0.17</v>
      </c>
      <c r="H177" s="232" t="n">
        <v>0.17</v>
      </c>
      <c r="I177" s="232" t="n">
        <v>0.175</v>
      </c>
      <c r="J177" s="232" t="n">
        <v>0.17</v>
      </c>
      <c r="K177" s="233" t="n">
        <v>0.17</v>
      </c>
      <c r="L177" s="232" t="n">
        <v>0.6</v>
      </c>
      <c r="M177" s="232" t="n">
        <v>0.55</v>
      </c>
      <c r="N177" s="232" t="n">
        <v>0.65</v>
      </c>
      <c r="O177" s="232" t="n">
        <v>0.5</v>
      </c>
      <c r="P177" s="232" t="n">
        <v>0.65</v>
      </c>
      <c r="Q177" s="252" t="n">
        <v>0.21</v>
      </c>
      <c r="R177" s="252" t="n">
        <v>0</v>
      </c>
      <c r="S177" s="233" t="n">
        <v>-0.035</v>
      </c>
      <c r="T177" s="233" t="n">
        <v>0</v>
      </c>
      <c r="U177" s="233" t="n">
        <v>-0.14</v>
      </c>
      <c r="V177" s="233" t="n">
        <v>-0.01</v>
      </c>
      <c r="W177" s="233" t="n">
        <v>-0.14</v>
      </c>
      <c r="X177" s="233" t="n">
        <v>-0.01</v>
      </c>
      <c r="Y177" s="233" t="n">
        <v>0.15</v>
      </c>
      <c r="Z177" s="233" t="n">
        <v>0</v>
      </c>
      <c r="AA177" s="233" t="n">
        <v>0.15</v>
      </c>
      <c r="AB177" s="233" t="n">
        <v>0</v>
      </c>
      <c r="AC177" s="233" t="n">
        <v>0.1725</v>
      </c>
      <c r="AD177" s="233" t="n">
        <v>0.0125</v>
      </c>
      <c r="AE177" s="233" t="n">
        <v>0.09</v>
      </c>
      <c r="AF177" s="233" t="n">
        <v>0.005</v>
      </c>
      <c r="AG177" s="233" t="n">
        <v>0.235</v>
      </c>
      <c r="AH177" s="233" t="n">
        <v>0</v>
      </c>
      <c r="AI177" s="233" t="n">
        <v>0.18</v>
      </c>
      <c r="AJ177" s="233" t="n">
        <v>0</v>
      </c>
      <c r="AK177" s="233" t="n">
        <v>-0.798</v>
      </c>
      <c r="AL177" s="233" t="n">
        <v>0.0017069559338633</v>
      </c>
      <c r="AM177" s="233" t="n">
        <v>0.13</v>
      </c>
      <c r="AN177" s="233" t="n">
        <v>1.54458439593849</v>
      </c>
      <c r="AO177" s="233" t="n">
        <v>0.17</v>
      </c>
      <c r="AP177" s="233" t="n">
        <v>0.18</v>
      </c>
      <c r="AQ177" s="233" t="n">
        <v>0.18</v>
      </c>
      <c r="AR177" s="233" t="n">
        <f aca="false">1/AN177</f>
        <v>0.6474233474257</v>
      </c>
      <c r="AT177" s="253" t="n">
        <f aca="false">AR177*AM177*$AT$6</f>
        <v>0.088798825341404</v>
      </c>
      <c r="AU177" s="253" t="n">
        <f aca="false">AK177+AL177+AT177</f>
        <v>-0.707494218724733</v>
      </c>
      <c r="AV177" s="233" t="n">
        <f aca="false">[10]Sheet1!AA168</f>
        <v>0.172</v>
      </c>
      <c r="AW177" s="233" t="n">
        <v>0</v>
      </c>
    </row>
    <row r="178" customFormat="false" ht="11.25" hidden="false" customHeight="false" outlineLevel="0" collapsed="false">
      <c r="A178" s="233"/>
      <c r="B178" s="233"/>
      <c r="C178" s="231" t="e">
        <f aca="false">NextMonth(C177)</f>
        <v>#VALUE!</v>
      </c>
      <c r="D178" s="252" t="n">
        <v>0.0655392534695896</v>
      </c>
      <c r="E178" s="232" t="n">
        <v>4.849</v>
      </c>
      <c r="F178" s="232" t="n">
        <v>0.17</v>
      </c>
      <c r="G178" s="232" t="n">
        <v>0.17</v>
      </c>
      <c r="H178" s="232" t="n">
        <v>0.17</v>
      </c>
      <c r="I178" s="232" t="n">
        <v>0.175</v>
      </c>
      <c r="J178" s="232" t="n">
        <v>0.17</v>
      </c>
      <c r="K178" s="233" t="n">
        <v>0.17</v>
      </c>
      <c r="L178" s="232" t="n">
        <v>0.8</v>
      </c>
      <c r="M178" s="232" t="n">
        <v>0.8</v>
      </c>
      <c r="N178" s="232" t="n">
        <v>0.8</v>
      </c>
      <c r="O178" s="232" t="n">
        <v>0.95</v>
      </c>
      <c r="P178" s="232" t="n">
        <v>0.85</v>
      </c>
      <c r="Q178" s="252" t="n">
        <v>0.1</v>
      </c>
      <c r="R178" s="252" t="n">
        <v>0</v>
      </c>
      <c r="S178" s="233" t="n">
        <v>-0.0345</v>
      </c>
      <c r="T178" s="233" t="n">
        <v>0.005</v>
      </c>
      <c r="U178" s="233" t="n">
        <v>-0.1425</v>
      </c>
      <c r="V178" s="233" t="n">
        <v>0.01</v>
      </c>
      <c r="W178" s="233" t="n">
        <v>-0.1425</v>
      </c>
      <c r="X178" s="233" t="n">
        <v>0.01</v>
      </c>
      <c r="Y178" s="233" t="n">
        <v>0</v>
      </c>
      <c r="Z178" s="233" t="n">
        <v>0</v>
      </c>
      <c r="AA178" s="233" t="n">
        <v>0</v>
      </c>
      <c r="AB178" s="233" t="n">
        <v>0</v>
      </c>
      <c r="AC178" s="233" t="n">
        <v>0.24</v>
      </c>
      <c r="AD178" s="233" t="n">
        <v>0.03</v>
      </c>
      <c r="AE178" s="233" t="n">
        <v>0</v>
      </c>
      <c r="AF178" s="233" t="n">
        <v>0.02</v>
      </c>
      <c r="AG178" s="233" t="n">
        <v>0</v>
      </c>
      <c r="AH178" s="233" t="n">
        <v>0</v>
      </c>
      <c r="AI178" s="233" t="n">
        <v>0</v>
      </c>
      <c r="AJ178" s="233" t="n">
        <v>0</v>
      </c>
      <c r="AK178" s="233" t="n">
        <v>-0.738</v>
      </c>
      <c r="AL178" s="233" t="n">
        <v>0.0054616387759294</v>
      </c>
      <c r="AM178" s="233" t="n">
        <v>0.13</v>
      </c>
      <c r="AN178" s="233" t="n">
        <v>1.54475979575639</v>
      </c>
      <c r="AO178" s="233" t="n">
        <v>0.17</v>
      </c>
      <c r="AP178" s="233" t="n">
        <v>0</v>
      </c>
      <c r="AQ178" s="233" t="n">
        <v>0</v>
      </c>
      <c r="AR178" s="233" t="n">
        <f aca="false">1/AN178</f>
        <v>0.647349835713682</v>
      </c>
      <c r="AT178" s="253" t="n">
        <f aca="false">AR178*AM178*$AT$6</f>
        <v>0.0887887426749355</v>
      </c>
      <c r="AU178" s="253" t="n">
        <f aca="false">AK178+AL178+AT178</f>
        <v>-0.643749618549135</v>
      </c>
      <c r="AV178" s="233" t="n">
        <f aca="false">[10]Sheet1!AA169</f>
        <v>0.219071428571429</v>
      </c>
      <c r="AW178" s="233" t="n">
        <v>0</v>
      </c>
    </row>
    <row r="179" customFormat="false" ht="11.25" hidden="false" customHeight="false" outlineLevel="0" collapsed="false">
      <c r="A179" s="233"/>
      <c r="B179" s="233"/>
      <c r="C179" s="231" t="e">
        <f aca="false">NextMonth(C178)</f>
        <v>#VALUE!</v>
      </c>
      <c r="D179" s="252" t="n">
        <v>0.0655746815131182</v>
      </c>
      <c r="E179" s="232" t="n">
        <v>4.987</v>
      </c>
      <c r="F179" s="232" t="n">
        <v>0.17</v>
      </c>
      <c r="G179" s="232" t="n">
        <v>0.17</v>
      </c>
      <c r="H179" s="232" t="n">
        <v>0.17</v>
      </c>
      <c r="I179" s="232" t="n">
        <v>0.175</v>
      </c>
      <c r="J179" s="232" t="n">
        <v>0.17</v>
      </c>
      <c r="K179" s="233" t="n">
        <v>0.17</v>
      </c>
      <c r="L179" s="232" t="n">
        <v>1</v>
      </c>
      <c r="M179" s="232" t="n">
        <v>1</v>
      </c>
      <c r="N179" s="232" t="n">
        <v>1.1</v>
      </c>
      <c r="O179" s="232" t="n">
        <v>1.35</v>
      </c>
      <c r="P179" s="232" t="n">
        <v>1.05</v>
      </c>
      <c r="Q179" s="252" t="n">
        <v>0.1</v>
      </c>
      <c r="R179" s="252" t="n">
        <v>0</v>
      </c>
      <c r="S179" s="233" t="n">
        <v>-0.0345</v>
      </c>
      <c r="T179" s="233" t="n">
        <v>0.005</v>
      </c>
      <c r="U179" s="233" t="n">
        <v>-0.1375</v>
      </c>
      <c r="V179" s="233" t="n">
        <v>0.01</v>
      </c>
      <c r="W179" s="233" t="n">
        <v>-0.1375</v>
      </c>
      <c r="X179" s="233" t="n">
        <v>0.01</v>
      </c>
      <c r="Y179" s="233" t="n">
        <v>0</v>
      </c>
      <c r="Z179" s="233" t="n">
        <v>0</v>
      </c>
      <c r="AA179" s="233" t="n">
        <v>0</v>
      </c>
      <c r="AB179" s="233" t="n">
        <v>0</v>
      </c>
      <c r="AC179" s="233" t="n">
        <v>0.26</v>
      </c>
      <c r="AD179" s="233" t="n">
        <v>0.03</v>
      </c>
      <c r="AE179" s="233" t="n">
        <v>0</v>
      </c>
      <c r="AF179" s="233" t="n">
        <v>0.02</v>
      </c>
      <c r="AG179" s="233" t="n">
        <v>0</v>
      </c>
      <c r="AH179" s="233" t="n">
        <v>0</v>
      </c>
      <c r="AI179" s="233" t="n">
        <v>0</v>
      </c>
      <c r="AJ179" s="233" t="n">
        <v>0</v>
      </c>
      <c r="AK179" s="233" t="n">
        <v>-0.738</v>
      </c>
      <c r="AL179" s="233" t="n">
        <v>0.0054610294490379</v>
      </c>
      <c r="AM179" s="233" t="n">
        <v>0.13</v>
      </c>
      <c r="AN179" s="233" t="n">
        <v>1.54493215587517</v>
      </c>
      <c r="AO179" s="233" t="n">
        <v>0.17</v>
      </c>
      <c r="AP179" s="233" t="n">
        <v>0</v>
      </c>
      <c r="AQ179" s="233" t="n">
        <v>0</v>
      </c>
      <c r="AR179" s="233" t="n">
        <f aca="false">1/AN179</f>
        <v>0.647277614228647</v>
      </c>
      <c r="AT179" s="253" t="n">
        <f aca="false">AR179*AM179*$AT$6</f>
        <v>0.0887788369724905</v>
      </c>
      <c r="AU179" s="253" t="n">
        <f aca="false">AK179+AL179+AT179</f>
        <v>-0.643760133578472</v>
      </c>
      <c r="AV179" s="233" t="n">
        <f aca="false">[10]Sheet1!AA170</f>
        <v>0.224071428571429</v>
      </c>
      <c r="AW179" s="233" t="n">
        <v>0</v>
      </c>
    </row>
    <row r="180" customFormat="false" ht="11.25" hidden="false" customHeight="false" outlineLevel="0" collapsed="false">
      <c r="A180" s="233"/>
      <c r="B180" s="233"/>
      <c r="C180" s="231" t="e">
        <f aca="false">NextMonth(C179)</f>
        <v>#VALUE!</v>
      </c>
      <c r="D180" s="252" t="n">
        <v>0.0656112904918684</v>
      </c>
      <c r="E180" s="232" t="n">
        <v>5.044</v>
      </c>
      <c r="F180" s="232" t="n">
        <v>0.17</v>
      </c>
      <c r="G180" s="232" t="n">
        <v>0.17</v>
      </c>
      <c r="H180" s="232" t="n">
        <v>0.17</v>
      </c>
      <c r="I180" s="232" t="n">
        <v>0.175</v>
      </c>
      <c r="J180" s="232" t="n">
        <v>0.17</v>
      </c>
      <c r="K180" s="233" t="n">
        <v>0.17</v>
      </c>
      <c r="L180" s="232" t="n">
        <v>1</v>
      </c>
      <c r="M180" s="232" t="n">
        <v>1</v>
      </c>
      <c r="N180" s="232" t="n">
        <v>1.1</v>
      </c>
      <c r="O180" s="232" t="n">
        <v>1.35</v>
      </c>
      <c r="P180" s="232" t="n">
        <v>1.05</v>
      </c>
      <c r="Q180" s="252" t="n">
        <v>0.1</v>
      </c>
      <c r="R180" s="252" t="n">
        <v>0</v>
      </c>
      <c r="S180" s="233" t="n">
        <v>-0.0325</v>
      </c>
      <c r="T180" s="233" t="n">
        <v>0.005</v>
      </c>
      <c r="U180" s="233" t="n">
        <v>-0.1375</v>
      </c>
      <c r="V180" s="233" t="n">
        <v>0.01</v>
      </c>
      <c r="W180" s="233" t="n">
        <v>-0.1375</v>
      </c>
      <c r="X180" s="233" t="n">
        <v>0.01</v>
      </c>
      <c r="Y180" s="233" t="n">
        <v>0</v>
      </c>
      <c r="Z180" s="233" t="n">
        <v>0</v>
      </c>
      <c r="AA180" s="233" t="n">
        <v>0</v>
      </c>
      <c r="AB180" s="233" t="n">
        <v>0</v>
      </c>
      <c r="AC180" s="233" t="n">
        <v>0.27</v>
      </c>
      <c r="AD180" s="233" t="n">
        <v>0.03</v>
      </c>
      <c r="AE180" s="233" t="n">
        <v>0</v>
      </c>
      <c r="AF180" s="233" t="n">
        <v>0.02</v>
      </c>
      <c r="AG180" s="233" t="n">
        <v>0</v>
      </c>
      <c r="AH180" s="233" t="n">
        <v>0</v>
      </c>
      <c r="AI180" s="233" t="n">
        <v>0</v>
      </c>
      <c r="AJ180" s="233" t="n">
        <v>0</v>
      </c>
      <c r="AN180" s="233" t="n">
        <v>1.5451129677287</v>
      </c>
      <c r="AO180" s="233" t="n">
        <v>0.17</v>
      </c>
      <c r="AP180" s="233" t="n">
        <v>0</v>
      </c>
      <c r="AQ180" s="233" t="n">
        <v>0</v>
      </c>
      <c r="AR180" s="233" t="n">
        <f aca="false">1/AN180</f>
        <v>0.647201868656885</v>
      </c>
      <c r="AT180" s="253" t="n">
        <f aca="false">AR180*AM180*$AT$6</f>
        <v>0</v>
      </c>
      <c r="AU180" s="253" t="n">
        <f aca="false">AK180+AL180+AT180</f>
        <v>0</v>
      </c>
      <c r="AV180" s="233" t="n">
        <f aca="false">[10]Sheet1!AA171</f>
        <v>0.226071428571429</v>
      </c>
      <c r="AW180" s="233" t="n">
        <v>0</v>
      </c>
    </row>
    <row r="181" customFormat="false" ht="11.25" hidden="false" customHeight="false" outlineLevel="0" collapsed="false">
      <c r="A181" s="233"/>
      <c r="B181" s="233"/>
      <c r="C181" s="231" t="e">
        <f aca="false">NextMonth(C180)</f>
        <v>#VALUE!</v>
      </c>
      <c r="D181" s="252" t="n">
        <v>0.0656478994710623</v>
      </c>
      <c r="E181" s="232" t="n">
        <v>4.924</v>
      </c>
      <c r="F181" s="232" t="n">
        <v>0.17</v>
      </c>
      <c r="G181" s="232" t="n">
        <v>0.17</v>
      </c>
      <c r="H181" s="232" t="n">
        <v>0.17</v>
      </c>
      <c r="I181" s="232" t="n">
        <v>0.175</v>
      </c>
      <c r="J181" s="232" t="n">
        <v>0.17</v>
      </c>
      <c r="K181" s="233" t="n">
        <v>0.17</v>
      </c>
      <c r="L181" s="232" t="n">
        <v>1</v>
      </c>
      <c r="M181" s="232" t="n">
        <v>1</v>
      </c>
      <c r="N181" s="232" t="n">
        <v>1.1</v>
      </c>
      <c r="O181" s="232" t="n">
        <v>1.35</v>
      </c>
      <c r="P181" s="232" t="n">
        <v>1.05</v>
      </c>
      <c r="Q181" s="252" t="n">
        <v>0.1</v>
      </c>
      <c r="R181" s="252" t="n">
        <v>0</v>
      </c>
      <c r="S181" s="233" t="n">
        <v>-0.0325</v>
      </c>
      <c r="T181" s="233" t="n">
        <v>0.005</v>
      </c>
      <c r="U181" s="233" t="n">
        <v>-0.14</v>
      </c>
      <c r="V181" s="233" t="n">
        <v>0.01</v>
      </c>
      <c r="W181" s="233" t="n">
        <v>-0.14</v>
      </c>
      <c r="X181" s="233" t="n">
        <v>0.01</v>
      </c>
      <c r="Y181" s="233" t="n">
        <v>0</v>
      </c>
      <c r="Z181" s="233" t="n">
        <v>0</v>
      </c>
      <c r="AA181" s="233" t="n">
        <v>0</v>
      </c>
      <c r="AB181" s="233" t="n">
        <v>0</v>
      </c>
      <c r="AC181" s="233" t="n">
        <v>0.27</v>
      </c>
      <c r="AD181" s="233" t="n">
        <v>0.03</v>
      </c>
      <c r="AE181" s="233" t="n">
        <v>0</v>
      </c>
      <c r="AF181" s="233" t="n">
        <v>0.02</v>
      </c>
      <c r="AG181" s="233" t="n">
        <v>0</v>
      </c>
      <c r="AH181" s="233" t="n">
        <v>0</v>
      </c>
      <c r="AI181" s="233" t="n">
        <v>0</v>
      </c>
      <c r="AJ181" s="233" t="n">
        <v>0</v>
      </c>
      <c r="AN181" s="233" t="n">
        <v>1.54529653113296</v>
      </c>
      <c r="AO181" s="233" t="n">
        <v>0.17</v>
      </c>
      <c r="AP181" s="233" t="n">
        <v>0</v>
      </c>
      <c r="AQ181" s="233" t="n">
        <v>0</v>
      </c>
      <c r="AR181" s="233" t="n">
        <f aca="false">1/AN181</f>
        <v>0.647124988539794</v>
      </c>
      <c r="AT181" s="253" t="n">
        <f aca="false">AR181*AM181*$AT$6</f>
        <v>0</v>
      </c>
      <c r="AU181" s="253" t="n">
        <f aca="false">AK181+AL181+AT181</f>
        <v>0</v>
      </c>
      <c r="AV181" s="233" t="n">
        <f aca="false">[10]Sheet1!AA172</f>
        <v>0.226071428571429</v>
      </c>
      <c r="AW181" s="233" t="n">
        <v>0</v>
      </c>
    </row>
    <row r="182" customFormat="false" ht="11.25" hidden="false" customHeight="false" outlineLevel="0" collapsed="false">
      <c r="A182" s="233"/>
      <c r="B182" s="233"/>
      <c r="C182" s="231" t="e">
        <f aca="false">NextMonth(C181)</f>
        <v>#VALUE!</v>
      </c>
      <c r="D182" s="252" t="n">
        <v>0.0656809656462003</v>
      </c>
      <c r="E182" s="232" t="n">
        <v>4.785</v>
      </c>
      <c r="F182" s="232" t="n">
        <v>0.17</v>
      </c>
      <c r="G182" s="232" t="n">
        <v>0.17</v>
      </c>
      <c r="H182" s="232" t="n">
        <v>0.17</v>
      </c>
      <c r="I182" s="232" t="n">
        <v>0.175</v>
      </c>
      <c r="J182" s="232" t="n">
        <v>0.17</v>
      </c>
      <c r="K182" s="233" t="n">
        <v>0.17</v>
      </c>
      <c r="L182" s="232" t="n">
        <v>0.75</v>
      </c>
      <c r="M182" s="232" t="n">
        <v>0.75</v>
      </c>
      <c r="N182" s="232" t="n">
        <v>0.75</v>
      </c>
      <c r="O182" s="232" t="n">
        <v>0.95</v>
      </c>
      <c r="P182" s="232" t="n">
        <v>0.75</v>
      </c>
      <c r="Q182" s="252" t="n">
        <v>0.1</v>
      </c>
      <c r="R182" s="252" t="n">
        <v>0</v>
      </c>
      <c r="S182" s="233" t="n">
        <v>-0.0325</v>
      </c>
      <c r="T182" s="233" t="n">
        <v>0.005</v>
      </c>
      <c r="U182" s="233" t="n">
        <v>-0.1425</v>
      </c>
      <c r="V182" s="233" t="n">
        <v>0.01</v>
      </c>
      <c r="W182" s="233" t="n">
        <v>-0.1425</v>
      </c>
      <c r="X182" s="233" t="n">
        <v>0.01</v>
      </c>
      <c r="Y182" s="233" t="n">
        <v>0</v>
      </c>
      <c r="Z182" s="233" t="n">
        <v>0</v>
      </c>
      <c r="AA182" s="233" t="n">
        <v>0</v>
      </c>
      <c r="AB182" s="233" t="n">
        <v>0</v>
      </c>
      <c r="AC182" s="233" t="n">
        <v>0.24</v>
      </c>
      <c r="AD182" s="233" t="n">
        <v>0.03</v>
      </c>
      <c r="AE182" s="233" t="n">
        <v>0</v>
      </c>
      <c r="AF182" s="233" t="n">
        <v>0.02</v>
      </c>
      <c r="AG182" s="233" t="n">
        <v>0</v>
      </c>
      <c r="AH182" s="233" t="n">
        <v>0</v>
      </c>
      <c r="AI182" s="233" t="n">
        <v>0</v>
      </c>
      <c r="AJ182" s="233" t="n">
        <v>0</v>
      </c>
      <c r="AN182" s="233" t="n">
        <v>1.5454646960261</v>
      </c>
      <c r="AO182" s="233" t="n">
        <v>0.17</v>
      </c>
      <c r="AP182" s="233" t="n">
        <v>0</v>
      </c>
      <c r="AQ182" s="233" t="n">
        <v>0</v>
      </c>
      <c r="AR182" s="233" t="n">
        <f aca="false">1/AN182</f>
        <v>0.647054573664044</v>
      </c>
      <c r="AT182" s="253" t="n">
        <f aca="false">AR182*AM182*$AT$6</f>
        <v>0</v>
      </c>
      <c r="AU182" s="253" t="n">
        <f aca="false">AK182+AL182+AT182</f>
        <v>0</v>
      </c>
      <c r="AV182" s="233" t="n">
        <f aca="false">[10]Sheet1!AA173</f>
        <v>0.226071428571429</v>
      </c>
      <c r="AW182" s="233" t="n">
        <v>0</v>
      </c>
    </row>
    <row r="183" customFormat="false" ht="11.25" hidden="false" customHeight="false" outlineLevel="0" collapsed="false">
      <c r="A183" s="233"/>
      <c r="B183" s="233"/>
      <c r="C183" s="231" t="e">
        <f aca="false">NextMonth(C182)</f>
        <v>#VALUE!</v>
      </c>
      <c r="D183" s="252" t="n">
        <v>0.0657175746262397</v>
      </c>
      <c r="E183" s="232" t="n">
        <v>4.61</v>
      </c>
      <c r="F183" s="232" t="n">
        <v>0.17</v>
      </c>
      <c r="G183" s="232" t="n">
        <v>0.17</v>
      </c>
      <c r="H183" s="232" t="n">
        <v>0.17</v>
      </c>
      <c r="I183" s="232" t="n">
        <v>0.175</v>
      </c>
      <c r="J183" s="232" t="n">
        <v>0.17</v>
      </c>
      <c r="K183" s="233" t="n">
        <v>0.17</v>
      </c>
      <c r="L183" s="232" t="n">
        <v>0.4</v>
      </c>
      <c r="M183" s="232" t="n">
        <v>0.4</v>
      </c>
      <c r="N183" s="232" t="n">
        <v>0.45</v>
      </c>
      <c r="O183" s="232" t="n">
        <v>0.5</v>
      </c>
      <c r="P183" s="232" t="n">
        <v>0.45</v>
      </c>
      <c r="Q183" s="252" t="n">
        <v>0.06</v>
      </c>
      <c r="R183" s="252" t="n">
        <v>0</v>
      </c>
      <c r="S183" s="233" t="n">
        <v>-0.03</v>
      </c>
      <c r="T183" s="233" t="n">
        <v>0</v>
      </c>
      <c r="U183" s="233" t="n">
        <v>-0.14</v>
      </c>
      <c r="V183" s="233" t="n">
        <v>-0.01</v>
      </c>
      <c r="W183" s="233" t="n">
        <v>-0.14</v>
      </c>
      <c r="X183" s="233" t="n">
        <v>-0.01</v>
      </c>
      <c r="Y183" s="233" t="n">
        <v>0</v>
      </c>
      <c r="Z183" s="233" t="n">
        <v>0</v>
      </c>
      <c r="AA183" s="233" t="n">
        <v>0</v>
      </c>
      <c r="AB183" s="233" t="n">
        <v>0</v>
      </c>
      <c r="AC183" s="233" t="n">
        <v>0.17</v>
      </c>
      <c r="AD183" s="233" t="n">
        <v>0.0175</v>
      </c>
      <c r="AE183" s="233" t="n">
        <v>0</v>
      </c>
      <c r="AF183" s="233" t="n">
        <v>0.005</v>
      </c>
      <c r="AG183" s="233" t="n">
        <v>0</v>
      </c>
      <c r="AH183" s="233" t="n">
        <v>0</v>
      </c>
      <c r="AI183" s="233" t="n">
        <v>0</v>
      </c>
      <c r="AJ183" s="233" t="n">
        <v>0</v>
      </c>
      <c r="AN183" s="233" t="n">
        <v>1.54565349850036</v>
      </c>
      <c r="AO183" s="233" t="n">
        <v>0.17</v>
      </c>
      <c r="AP183" s="233" t="n">
        <v>0</v>
      </c>
      <c r="AQ183" s="233" t="n">
        <v>0</v>
      </c>
      <c r="AR183" s="233" t="n">
        <f aca="false">1/AN183</f>
        <v>0.646975535571349</v>
      </c>
      <c r="AT183" s="253" t="n">
        <f aca="false">AR183*AM183*$AT$6</f>
        <v>0</v>
      </c>
      <c r="AU183" s="253" t="n">
        <f aca="false">AK183+AL183+AT183</f>
        <v>0</v>
      </c>
      <c r="AV183" s="233" t="n">
        <f aca="false">[10]Sheet1!AA174</f>
        <v>0.177</v>
      </c>
      <c r="AW183" s="233" t="n">
        <v>0</v>
      </c>
    </row>
    <row r="184" customFormat="false" ht="11.25" hidden="false" customHeight="false" outlineLevel="0" collapsed="false">
      <c r="A184" s="233"/>
      <c r="B184" s="233"/>
      <c r="C184" s="231" t="e">
        <f aca="false">NextMonth(C183)</f>
        <v>#VALUE!</v>
      </c>
      <c r="D184" s="252" t="n">
        <v>0.0657530026718618</v>
      </c>
      <c r="E184" s="232" t="n">
        <v>4.58</v>
      </c>
      <c r="F184" s="232" t="n">
        <v>0.17</v>
      </c>
      <c r="G184" s="232" t="n">
        <v>0.17</v>
      </c>
      <c r="H184" s="232" t="n">
        <v>0.17</v>
      </c>
      <c r="I184" s="232" t="n">
        <v>0.175</v>
      </c>
      <c r="J184" s="232" t="n">
        <v>0.17</v>
      </c>
      <c r="K184" s="233" t="n">
        <v>0.17</v>
      </c>
      <c r="L184" s="232" t="n">
        <v>0.45</v>
      </c>
      <c r="M184" s="232" t="n">
        <v>0.4</v>
      </c>
      <c r="N184" s="232" t="n">
        <v>0.5</v>
      </c>
      <c r="O184" s="232" t="n">
        <v>0.45</v>
      </c>
      <c r="P184" s="232" t="n">
        <v>0.45</v>
      </c>
      <c r="Q184" s="252" t="n">
        <v>0.06</v>
      </c>
      <c r="R184" s="252" t="n">
        <v>0</v>
      </c>
      <c r="S184" s="233" t="n">
        <v>-0.03</v>
      </c>
      <c r="T184" s="233" t="n">
        <v>0</v>
      </c>
      <c r="U184" s="233" t="n">
        <v>-0.14</v>
      </c>
      <c r="V184" s="233" t="n">
        <v>-0.01</v>
      </c>
      <c r="W184" s="233" t="n">
        <v>-0.14</v>
      </c>
      <c r="X184" s="233" t="n">
        <v>-0.01</v>
      </c>
      <c r="Y184" s="233" t="n">
        <v>0</v>
      </c>
      <c r="Z184" s="233" t="n">
        <v>0</v>
      </c>
      <c r="AA184" s="233" t="n">
        <v>0</v>
      </c>
      <c r="AB184" s="233" t="n">
        <v>0</v>
      </c>
      <c r="AC184" s="233" t="n">
        <v>0.165</v>
      </c>
      <c r="AD184" s="233" t="n">
        <v>0.01</v>
      </c>
      <c r="AE184" s="233" t="n">
        <v>0</v>
      </c>
      <c r="AF184" s="233" t="n">
        <v>0.005</v>
      </c>
      <c r="AG184" s="233" t="n">
        <v>0</v>
      </c>
      <c r="AH184" s="233" t="n">
        <v>0</v>
      </c>
      <c r="AI184" s="233" t="n">
        <v>0</v>
      </c>
      <c r="AJ184" s="233" t="n">
        <v>0</v>
      </c>
      <c r="AN184" s="233" t="n">
        <v>1.54583883268156</v>
      </c>
      <c r="AO184" s="233" t="n">
        <v>0.17</v>
      </c>
      <c r="AP184" s="233" t="n">
        <v>0</v>
      </c>
      <c r="AQ184" s="233" t="n">
        <v>0</v>
      </c>
      <c r="AR184" s="233" t="n">
        <f aca="false">1/AN184</f>
        <v>0.646897968182947</v>
      </c>
      <c r="AT184" s="253" t="n">
        <f aca="false">AR184*AM184*$AT$6</f>
        <v>0</v>
      </c>
      <c r="AU184" s="253" t="n">
        <f aca="false">AK184+AL184+AT184</f>
        <v>0</v>
      </c>
      <c r="AV184" s="233" t="n">
        <f aca="false">[10]Sheet1!AA175</f>
        <v>0.177</v>
      </c>
      <c r="AW184" s="233" t="n">
        <v>0</v>
      </c>
    </row>
    <row r="185" customFormat="false" ht="11.25" hidden="false" customHeight="false" outlineLevel="0" collapsed="false">
      <c r="A185" s="233"/>
      <c r="B185" s="233"/>
      <c r="C185" s="231" t="e">
        <f aca="false">NextMonth(C184)</f>
        <v>#VALUE!</v>
      </c>
      <c r="D185" s="252" t="n">
        <v>0.0657896116527743</v>
      </c>
      <c r="E185" s="232" t="n">
        <v>4.65</v>
      </c>
      <c r="F185" s="232" t="n">
        <v>0.17</v>
      </c>
      <c r="G185" s="232" t="n">
        <v>0.17</v>
      </c>
      <c r="H185" s="232" t="n">
        <v>0.17</v>
      </c>
      <c r="I185" s="232" t="n">
        <v>0.175</v>
      </c>
      <c r="J185" s="232" t="n">
        <v>0.17</v>
      </c>
      <c r="K185" s="233" t="n">
        <v>0.17</v>
      </c>
      <c r="L185" s="232" t="n">
        <v>0.45</v>
      </c>
      <c r="M185" s="232" t="n">
        <v>0.4</v>
      </c>
      <c r="N185" s="232" t="n">
        <v>0.5</v>
      </c>
      <c r="O185" s="232" t="n">
        <v>0.5</v>
      </c>
      <c r="P185" s="232" t="n">
        <v>0.5</v>
      </c>
      <c r="Q185" s="252" t="n">
        <v>0.06</v>
      </c>
      <c r="R185" s="252" t="n">
        <v>0</v>
      </c>
      <c r="S185" s="233" t="n">
        <v>-0.03</v>
      </c>
      <c r="T185" s="233" t="n">
        <v>0</v>
      </c>
      <c r="U185" s="233" t="n">
        <v>-0.14</v>
      </c>
      <c r="V185" s="233" t="n">
        <v>-0.01</v>
      </c>
      <c r="W185" s="233" t="n">
        <v>-0.14</v>
      </c>
      <c r="X185" s="233" t="n">
        <v>-0.01</v>
      </c>
      <c r="Y185" s="233" t="n">
        <v>0</v>
      </c>
      <c r="Z185" s="233" t="n">
        <v>0</v>
      </c>
      <c r="AA185" s="233" t="n">
        <v>0</v>
      </c>
      <c r="AB185" s="233" t="n">
        <v>0</v>
      </c>
      <c r="AC185" s="233" t="n">
        <v>0.17</v>
      </c>
      <c r="AD185" s="233" t="n">
        <v>0.0125</v>
      </c>
      <c r="AE185" s="233" t="n">
        <v>0</v>
      </c>
      <c r="AF185" s="233" t="n">
        <v>0.005</v>
      </c>
      <c r="AG185" s="233" t="n">
        <v>0</v>
      </c>
      <c r="AH185" s="233" t="n">
        <v>0</v>
      </c>
      <c r="AI185" s="233" t="n">
        <v>0</v>
      </c>
      <c r="AJ185" s="233" t="n">
        <v>0</v>
      </c>
      <c r="AN185" s="233" t="n">
        <v>1.54603305501047</v>
      </c>
      <c r="AO185" s="233" t="n">
        <v>0.17</v>
      </c>
      <c r="AP185" s="233" t="n">
        <v>0</v>
      </c>
      <c r="AQ185" s="233" t="n">
        <v>0</v>
      </c>
      <c r="AR185" s="233" t="n">
        <f aca="false">1/AN185</f>
        <v>0.646816700819652</v>
      </c>
      <c r="AT185" s="253" t="n">
        <f aca="false">AR185*AM185*$AT$6</f>
        <v>0</v>
      </c>
      <c r="AU185" s="253" t="n">
        <f aca="false">AK185+AL185+AT185</f>
        <v>0</v>
      </c>
      <c r="AV185" s="233" t="n">
        <f aca="false">[10]Sheet1!AA176</f>
        <v>0.177</v>
      </c>
      <c r="AW185" s="233" t="n">
        <v>0</v>
      </c>
    </row>
    <row r="186" customFormat="false" ht="11.25" hidden="false" customHeight="false" outlineLevel="0" collapsed="false">
      <c r="A186" s="233"/>
      <c r="B186" s="233"/>
      <c r="C186" s="231" t="e">
        <f aca="false">NextMonth(C185)</f>
        <v>#VALUE!</v>
      </c>
      <c r="D186" s="252" t="n">
        <v>0.0658250396992424</v>
      </c>
      <c r="E186" s="232" t="n">
        <v>4.705</v>
      </c>
      <c r="F186" s="232" t="n">
        <v>0.17</v>
      </c>
      <c r="G186" s="232" t="n">
        <v>0.17</v>
      </c>
      <c r="H186" s="232" t="n">
        <v>0.17</v>
      </c>
      <c r="I186" s="232" t="n">
        <v>0.175</v>
      </c>
      <c r="J186" s="232" t="n">
        <v>0.17</v>
      </c>
      <c r="K186" s="233" t="n">
        <v>0.17</v>
      </c>
      <c r="L186" s="232" t="n">
        <v>0.5</v>
      </c>
      <c r="M186" s="232" t="n">
        <v>0.4</v>
      </c>
      <c r="N186" s="232" t="n">
        <v>0.55</v>
      </c>
      <c r="O186" s="232" t="n">
        <v>0.5</v>
      </c>
      <c r="P186" s="232" t="n">
        <v>0.5</v>
      </c>
      <c r="Q186" s="252" t="n">
        <v>0.06</v>
      </c>
      <c r="R186" s="252" t="n">
        <v>0</v>
      </c>
      <c r="S186" s="233" t="n">
        <v>-0.03</v>
      </c>
      <c r="T186" s="233" t="n">
        <v>0</v>
      </c>
      <c r="U186" s="233" t="n">
        <v>-0.14</v>
      </c>
      <c r="V186" s="233" t="n">
        <v>-0.01</v>
      </c>
      <c r="W186" s="233" t="n">
        <v>-0.14</v>
      </c>
      <c r="X186" s="233" t="n">
        <v>-0.01</v>
      </c>
      <c r="Y186" s="233" t="n">
        <v>0</v>
      </c>
      <c r="Z186" s="233" t="n">
        <v>0</v>
      </c>
      <c r="AA186" s="233" t="n">
        <v>0</v>
      </c>
      <c r="AB186" s="233" t="n">
        <v>0</v>
      </c>
      <c r="AC186" s="233" t="n">
        <v>0.175</v>
      </c>
      <c r="AD186" s="233" t="n">
        <v>0.0125</v>
      </c>
      <c r="AE186" s="233" t="n">
        <v>0</v>
      </c>
      <c r="AF186" s="233" t="n">
        <v>0.005</v>
      </c>
      <c r="AG186" s="233" t="n">
        <v>0</v>
      </c>
      <c r="AH186" s="233" t="n">
        <v>0</v>
      </c>
      <c r="AI186" s="233" t="n">
        <v>0</v>
      </c>
      <c r="AJ186" s="233" t="n">
        <v>0</v>
      </c>
      <c r="AN186" s="233" t="n">
        <v>1.54622363582093</v>
      </c>
      <c r="AO186" s="233" t="n">
        <v>0.17</v>
      </c>
      <c r="AP186" s="233" t="n">
        <v>0</v>
      </c>
      <c r="AQ186" s="233" t="n">
        <v>0</v>
      </c>
      <c r="AR186" s="233" t="n">
        <f aca="false">1/AN186</f>
        <v>0.646736977002084</v>
      </c>
      <c r="AT186" s="253" t="n">
        <f aca="false">AR186*AM186*$AT$6</f>
        <v>0</v>
      </c>
      <c r="AU186" s="253" t="n">
        <f aca="false">AK186+AL186+AT186</f>
        <v>0</v>
      </c>
      <c r="AV186" s="233" t="n">
        <f aca="false">[10]Sheet1!AA177</f>
        <v>0.177</v>
      </c>
      <c r="AW186" s="233" t="n">
        <v>0</v>
      </c>
    </row>
    <row r="187" customFormat="false" ht="11.25" hidden="false" customHeight="false" outlineLevel="0" collapsed="false">
      <c r="A187" s="233"/>
      <c r="B187" s="233"/>
      <c r="C187" s="231" t="e">
        <f aca="false">NextMonth(C186)</f>
        <v>#VALUE!</v>
      </c>
      <c r="D187" s="252" t="n">
        <v>0.0658616486810293</v>
      </c>
      <c r="E187" s="232" t="n">
        <v>4.761</v>
      </c>
      <c r="F187" s="232" t="n">
        <v>0.17</v>
      </c>
      <c r="G187" s="232" t="n">
        <v>0.17</v>
      </c>
      <c r="H187" s="232" t="n">
        <v>0.17</v>
      </c>
      <c r="I187" s="232" t="n">
        <v>0.175</v>
      </c>
      <c r="J187" s="232" t="n">
        <v>0.17</v>
      </c>
      <c r="K187" s="233" t="n">
        <v>0.17</v>
      </c>
      <c r="L187" s="232" t="n">
        <v>0.55</v>
      </c>
      <c r="M187" s="232" t="n">
        <v>0.5</v>
      </c>
      <c r="N187" s="232" t="n">
        <v>0.6</v>
      </c>
      <c r="O187" s="232" t="n">
        <v>0.45</v>
      </c>
      <c r="P187" s="232" t="n">
        <v>0.55</v>
      </c>
      <c r="Q187" s="252" t="n">
        <v>0.06</v>
      </c>
      <c r="R187" s="252" t="n">
        <v>0</v>
      </c>
      <c r="S187" s="233" t="n">
        <v>-0.03</v>
      </c>
      <c r="T187" s="233" t="n">
        <v>0</v>
      </c>
      <c r="U187" s="233" t="n">
        <v>-0.14</v>
      </c>
      <c r="V187" s="233" t="n">
        <v>-0.01</v>
      </c>
      <c r="W187" s="233" t="n">
        <v>-0.14</v>
      </c>
      <c r="X187" s="233" t="n">
        <v>-0.01</v>
      </c>
      <c r="Y187" s="233" t="n">
        <v>0</v>
      </c>
      <c r="Z187" s="233" t="n">
        <v>0</v>
      </c>
      <c r="AA187" s="233" t="n">
        <v>0</v>
      </c>
      <c r="AB187" s="233" t="n">
        <v>0</v>
      </c>
      <c r="AC187" s="233" t="n">
        <v>0.175</v>
      </c>
      <c r="AD187" s="233" t="n">
        <v>0.0125</v>
      </c>
      <c r="AE187" s="233" t="n">
        <v>0</v>
      </c>
      <c r="AF187" s="233" t="n">
        <v>0.005</v>
      </c>
      <c r="AG187" s="233" t="n">
        <v>0</v>
      </c>
      <c r="AH187" s="233" t="n">
        <v>0</v>
      </c>
      <c r="AI187" s="233" t="n">
        <v>0</v>
      </c>
      <c r="AJ187" s="233" t="n">
        <v>0</v>
      </c>
      <c r="AN187" s="233" t="n">
        <v>1.54642328135709</v>
      </c>
      <c r="AO187" s="233" t="n">
        <v>0.17</v>
      </c>
      <c r="AP187" s="233" t="n">
        <v>0</v>
      </c>
      <c r="AQ187" s="233" t="n">
        <v>0</v>
      </c>
      <c r="AR187" s="233" t="n">
        <f aca="false">1/AN187</f>
        <v>0.646653482300417</v>
      </c>
      <c r="AT187" s="253" t="n">
        <f aca="false">AR187*AM187*$AT$6</f>
        <v>0</v>
      </c>
      <c r="AU187" s="253" t="n">
        <f aca="false">AK187+AL187+AT187</f>
        <v>0</v>
      </c>
      <c r="AV187" s="233" t="n">
        <f aca="false">[10]Sheet1!AA178</f>
        <v>0.177</v>
      </c>
      <c r="AW187" s="233" t="n">
        <v>0</v>
      </c>
    </row>
    <row r="188" customFormat="false" ht="11.25" hidden="false" customHeight="false" outlineLevel="0" collapsed="false">
      <c r="A188" s="233"/>
      <c r="B188" s="233"/>
      <c r="C188" s="231" t="e">
        <f aca="false">NextMonth(C187)</f>
        <v>#VALUE!</v>
      </c>
      <c r="D188" s="252" t="n">
        <v>0.0658982576632598</v>
      </c>
      <c r="E188" s="232" t="n">
        <v>4.775</v>
      </c>
      <c r="F188" s="232" t="n">
        <v>0.17</v>
      </c>
      <c r="G188" s="232" t="n">
        <v>0.17</v>
      </c>
      <c r="H188" s="232" t="n">
        <v>0.17</v>
      </c>
      <c r="I188" s="232" t="n">
        <v>0.175</v>
      </c>
      <c r="J188" s="232" t="n">
        <v>0.17</v>
      </c>
      <c r="K188" s="233" t="n">
        <v>0.17</v>
      </c>
      <c r="L188" s="232" t="n">
        <v>0.55</v>
      </c>
      <c r="M188" s="232" t="n">
        <v>0.55</v>
      </c>
      <c r="N188" s="232" t="n">
        <v>0.6</v>
      </c>
      <c r="O188" s="232" t="n">
        <v>0.5</v>
      </c>
      <c r="P188" s="232" t="n">
        <v>0.6</v>
      </c>
      <c r="Q188" s="252" t="n">
        <v>0.06</v>
      </c>
      <c r="R188" s="252" t="n">
        <v>0</v>
      </c>
      <c r="S188" s="233" t="n">
        <v>0</v>
      </c>
      <c r="T188" s="233" t="n">
        <v>0</v>
      </c>
      <c r="U188" s="233" t="n">
        <v>-0.14</v>
      </c>
      <c r="V188" s="233" t="n">
        <v>-0.01</v>
      </c>
      <c r="W188" s="233" t="n">
        <v>-0.14</v>
      </c>
      <c r="X188" s="233" t="n">
        <v>-0.01</v>
      </c>
      <c r="Y188" s="233" t="n">
        <v>0</v>
      </c>
      <c r="Z188" s="233" t="n">
        <v>0</v>
      </c>
      <c r="AA188" s="233" t="n">
        <v>0</v>
      </c>
      <c r="AB188" s="233" t="n">
        <v>0</v>
      </c>
      <c r="AC188" s="233" t="n">
        <v>0.165</v>
      </c>
      <c r="AD188" s="233" t="n">
        <v>0.0125</v>
      </c>
      <c r="AE188" s="233" t="n">
        <v>0</v>
      </c>
      <c r="AF188" s="233" t="n">
        <v>0.005</v>
      </c>
      <c r="AG188" s="233" t="n">
        <v>0</v>
      </c>
      <c r="AH188" s="233" t="n">
        <v>0</v>
      </c>
      <c r="AI188" s="233" t="n">
        <v>0</v>
      </c>
      <c r="AJ188" s="233" t="n">
        <v>0</v>
      </c>
      <c r="AN188" s="233" t="n">
        <v>1.54662568427003</v>
      </c>
      <c r="AO188" s="233" t="n">
        <v>0.17</v>
      </c>
      <c r="AP188" s="233" t="n">
        <v>0</v>
      </c>
      <c r="AQ188" s="233" t="n">
        <v>0</v>
      </c>
      <c r="AR188" s="233" t="n">
        <f aca="false">1/AN188</f>
        <v>0.646568856427582</v>
      </c>
      <c r="AT188" s="253" t="n">
        <f aca="false">AR188*AM188*$AT$6</f>
        <v>0</v>
      </c>
      <c r="AU188" s="253" t="n">
        <f aca="false">AK188+AL188+AT188</f>
        <v>0</v>
      </c>
      <c r="AV188" s="233" t="n">
        <f aca="false">[10]Sheet1!AA179</f>
        <v>0.207</v>
      </c>
      <c r="AW188" s="233" t="n">
        <v>0</v>
      </c>
    </row>
    <row r="189" customFormat="false" ht="11.25" hidden="false" customHeight="false" outlineLevel="0" collapsed="false">
      <c r="A189" s="233"/>
      <c r="B189" s="233"/>
      <c r="C189" s="231" t="e">
        <f aca="false">NextMonth(C188)</f>
        <v>#VALUE!</v>
      </c>
      <c r="D189" s="252" t="n">
        <v>0.0659336857110029</v>
      </c>
      <c r="E189" s="232" t="n">
        <v>4.806</v>
      </c>
      <c r="F189" s="232" t="n">
        <v>0.17</v>
      </c>
      <c r="G189" s="232" t="n">
        <v>0.17</v>
      </c>
      <c r="H189" s="232" t="n">
        <v>0.17</v>
      </c>
      <c r="I189" s="232" t="n">
        <v>0.175</v>
      </c>
      <c r="J189" s="232" t="n">
        <v>0.17</v>
      </c>
      <c r="K189" s="233" t="n">
        <v>0.17</v>
      </c>
      <c r="L189" s="232" t="n">
        <v>0.6</v>
      </c>
      <c r="M189" s="232" t="n">
        <v>0.55</v>
      </c>
      <c r="N189" s="232" t="n">
        <v>0.65</v>
      </c>
      <c r="O189" s="232" t="n">
        <v>0.5</v>
      </c>
      <c r="P189" s="232" t="n">
        <v>0.65</v>
      </c>
      <c r="Q189" s="252" t="n">
        <v>0.06</v>
      </c>
      <c r="R189" s="252" t="n">
        <v>0</v>
      </c>
      <c r="S189" s="233" t="n">
        <v>0</v>
      </c>
      <c r="T189" s="233" t="n">
        <v>0</v>
      </c>
      <c r="U189" s="233" t="n">
        <v>-0.14</v>
      </c>
      <c r="V189" s="233" t="n">
        <v>-0.01</v>
      </c>
      <c r="W189" s="233" t="n">
        <v>-0.14</v>
      </c>
      <c r="X189" s="233" t="n">
        <v>-0.01</v>
      </c>
      <c r="Y189" s="233" t="n">
        <v>0</v>
      </c>
      <c r="Z189" s="233" t="n">
        <v>0</v>
      </c>
      <c r="AA189" s="233" t="n">
        <v>0</v>
      </c>
      <c r="AB189" s="233" t="n">
        <v>0</v>
      </c>
      <c r="AC189" s="233" t="n">
        <v>0.1725</v>
      </c>
      <c r="AD189" s="233" t="n">
        <v>0.0125</v>
      </c>
      <c r="AE189" s="233" t="n">
        <v>0</v>
      </c>
      <c r="AF189" s="233" t="n">
        <v>0.005</v>
      </c>
      <c r="AG189" s="233" t="n">
        <v>0</v>
      </c>
      <c r="AH189" s="233" t="n">
        <v>0</v>
      </c>
      <c r="AI189" s="233" t="n">
        <v>0</v>
      </c>
      <c r="AJ189" s="233" t="n">
        <v>0</v>
      </c>
      <c r="AN189" s="233" t="n">
        <v>1.54682418430314</v>
      </c>
      <c r="AO189" s="233" t="n">
        <v>0.17</v>
      </c>
      <c r="AP189" s="233" t="n">
        <v>0</v>
      </c>
      <c r="AQ189" s="233" t="n">
        <v>0</v>
      </c>
      <c r="AR189" s="233" t="n">
        <f aca="false">1/AN189</f>
        <v>0.646485883882473</v>
      </c>
      <c r="AT189" s="253" t="n">
        <f aca="false">AR189*AM189*$AT$6</f>
        <v>0</v>
      </c>
      <c r="AU189" s="253" t="n">
        <f aca="false">AK189+AL189+AT189</f>
        <v>0</v>
      </c>
      <c r="AV189" s="233" t="n">
        <f aca="false">[10]Sheet1!AA180</f>
        <v>0.207</v>
      </c>
      <c r="AW189" s="233" t="n">
        <v>0</v>
      </c>
    </row>
    <row r="190" customFormat="false" ht="11.25" hidden="false" customHeight="false" outlineLevel="0" collapsed="false">
      <c r="A190" s="233"/>
      <c r="B190" s="233"/>
      <c r="C190" s="231" t="e">
        <f aca="false">NextMonth(C189)</f>
        <v>#VALUE!</v>
      </c>
      <c r="D190" s="252" t="n">
        <v>0.0659702946941074</v>
      </c>
      <c r="E190" s="232" t="n">
        <v>4.939</v>
      </c>
      <c r="F190" s="232" t="n">
        <v>0.17</v>
      </c>
      <c r="G190" s="232" t="n">
        <v>0.17</v>
      </c>
      <c r="H190" s="232" t="n">
        <v>0.17</v>
      </c>
      <c r="I190" s="232" t="n">
        <v>0.175</v>
      </c>
      <c r="J190" s="232" t="n">
        <v>0.17</v>
      </c>
      <c r="K190" s="233" t="n">
        <v>0.17</v>
      </c>
      <c r="L190" s="232" t="n">
        <v>0.8</v>
      </c>
      <c r="M190" s="232" t="n">
        <v>0.8</v>
      </c>
      <c r="N190" s="232" t="n">
        <v>0.8</v>
      </c>
      <c r="O190" s="232" t="n">
        <v>0.95</v>
      </c>
      <c r="P190" s="232" t="n">
        <v>0.85</v>
      </c>
      <c r="Q190" s="252" t="n">
        <v>0.035</v>
      </c>
      <c r="R190" s="252" t="n">
        <v>0</v>
      </c>
      <c r="S190" s="233" t="n">
        <v>0</v>
      </c>
      <c r="T190" s="233" t="n">
        <v>0</v>
      </c>
      <c r="U190" s="233" t="n">
        <v>-0.1425</v>
      </c>
      <c r="V190" s="233" t="n">
        <v>0.01</v>
      </c>
      <c r="W190" s="233" t="n">
        <v>-0.1425</v>
      </c>
      <c r="X190" s="233" t="n">
        <v>0.01</v>
      </c>
      <c r="Y190" s="233" t="n">
        <v>0</v>
      </c>
      <c r="Z190" s="233" t="n">
        <v>0</v>
      </c>
      <c r="AA190" s="233" t="n">
        <v>0</v>
      </c>
      <c r="AB190" s="233" t="n">
        <v>0</v>
      </c>
      <c r="AC190" s="233" t="n">
        <v>0.24</v>
      </c>
      <c r="AD190" s="233" t="n">
        <v>0.03</v>
      </c>
      <c r="AE190" s="233" t="n">
        <v>0</v>
      </c>
      <c r="AF190" s="233" t="n">
        <v>0.02</v>
      </c>
      <c r="AG190" s="233" t="n">
        <v>0</v>
      </c>
      <c r="AH190" s="233" t="n">
        <v>0</v>
      </c>
      <c r="AI190" s="233" t="n">
        <v>0</v>
      </c>
      <c r="AJ190" s="233" t="n">
        <v>0</v>
      </c>
      <c r="AN190" s="233" t="n">
        <v>1.54703201569111</v>
      </c>
      <c r="AO190" s="233" t="n">
        <v>0.17</v>
      </c>
      <c r="AP190" s="233" t="n">
        <v>0</v>
      </c>
      <c r="AQ190" s="233" t="n">
        <v>0</v>
      </c>
      <c r="AR190" s="233" t="n">
        <f aca="false">1/AN190</f>
        <v>0.646399033670462</v>
      </c>
      <c r="AT190" s="253" t="n">
        <f aca="false">AR190*AM190*$AT$6</f>
        <v>0</v>
      </c>
      <c r="AU190" s="253" t="n">
        <f aca="false">AK190+AL190+AT190</f>
        <v>0</v>
      </c>
      <c r="AV190" s="233" t="n">
        <f aca="false">[10]Sheet1!AA181</f>
        <v>0.253571428571429</v>
      </c>
      <c r="AW190" s="233" t="n">
        <v>0</v>
      </c>
    </row>
    <row r="191" customFormat="false" ht="11.25" hidden="false" customHeight="false" outlineLevel="0" collapsed="false">
      <c r="A191" s="233"/>
      <c r="B191" s="233"/>
      <c r="C191" s="231" t="e">
        <f aca="false">NextMonth(C190)</f>
        <v>#VALUE!</v>
      </c>
      <c r="D191" s="252" t="n">
        <v>0.066005722742696</v>
      </c>
      <c r="E191" s="232" t="n">
        <v>5.077</v>
      </c>
      <c r="F191" s="232" t="n">
        <v>0.17</v>
      </c>
      <c r="G191" s="232" t="n">
        <v>0.17</v>
      </c>
      <c r="H191" s="232" t="n">
        <v>0.17</v>
      </c>
      <c r="I191" s="232" t="n">
        <v>0.175</v>
      </c>
      <c r="J191" s="232" t="n">
        <v>0.17</v>
      </c>
      <c r="K191" s="233" t="n">
        <v>0.17</v>
      </c>
      <c r="L191" s="232" t="n">
        <v>1</v>
      </c>
      <c r="M191" s="232" t="n">
        <v>1</v>
      </c>
      <c r="N191" s="232" t="n">
        <v>1.1</v>
      </c>
      <c r="O191" s="232" t="n">
        <v>1.35</v>
      </c>
      <c r="P191" s="232" t="n">
        <v>1.05</v>
      </c>
      <c r="Q191" s="252" t="n">
        <v>0.035</v>
      </c>
      <c r="R191" s="252" t="n">
        <v>0</v>
      </c>
      <c r="S191" s="233" t="n">
        <v>0</v>
      </c>
      <c r="T191" s="233" t="n">
        <v>0</v>
      </c>
      <c r="U191" s="233" t="n">
        <v>-0.1375</v>
      </c>
      <c r="V191" s="233" t="n">
        <v>0.01</v>
      </c>
      <c r="W191" s="233" t="n">
        <v>-0.1375</v>
      </c>
      <c r="X191" s="233" t="n">
        <v>0.01</v>
      </c>
      <c r="Y191" s="233" t="n">
        <v>0</v>
      </c>
      <c r="Z191" s="233" t="n">
        <v>0</v>
      </c>
      <c r="AA191" s="233" t="n">
        <v>0</v>
      </c>
      <c r="AB191" s="233" t="n">
        <v>0</v>
      </c>
      <c r="AC191" s="233" t="n">
        <v>0.26</v>
      </c>
      <c r="AD191" s="233" t="n">
        <v>0.03</v>
      </c>
      <c r="AE191" s="233" t="n">
        <v>0</v>
      </c>
      <c r="AF191" s="233" t="n">
        <v>0.02</v>
      </c>
      <c r="AG191" s="233" t="n">
        <v>0</v>
      </c>
      <c r="AH191" s="233" t="n">
        <v>0</v>
      </c>
      <c r="AI191" s="233" t="n">
        <v>0</v>
      </c>
      <c r="AJ191" s="233" t="n">
        <v>0</v>
      </c>
      <c r="AN191" s="233" t="n">
        <v>1.5472357708315</v>
      </c>
      <c r="AO191" s="233" t="n">
        <v>0.17</v>
      </c>
      <c r="AP191" s="233" t="n">
        <v>0</v>
      </c>
      <c r="AQ191" s="233" t="n">
        <v>0</v>
      </c>
      <c r="AR191" s="233" t="n">
        <f aca="false">1/AN191</f>
        <v>0.646313909523039</v>
      </c>
      <c r="AT191" s="253" t="n">
        <f aca="false">AR191*AM191*$AT$6</f>
        <v>0</v>
      </c>
      <c r="AU191" s="253" t="n">
        <f aca="false">AK191+AL191+AT191</f>
        <v>0</v>
      </c>
      <c r="AV191" s="233" t="n">
        <f aca="false">[10]Sheet1!AA182</f>
        <v>0.253571428571429</v>
      </c>
      <c r="AW191" s="233" t="n">
        <v>0</v>
      </c>
    </row>
    <row r="192" customFormat="false" ht="11.25" hidden="false" customHeight="false" outlineLevel="0" collapsed="false">
      <c r="A192" s="233"/>
      <c r="B192" s="233"/>
      <c r="C192" s="231" t="e">
        <f aca="false">NextMonth(C191)</f>
        <v>#VALUE!</v>
      </c>
      <c r="D192" s="252" t="n">
        <v>0.0660423317266741</v>
      </c>
      <c r="E192" s="232" t="n">
        <v>5.134</v>
      </c>
      <c r="F192" s="232" t="n">
        <v>0.17</v>
      </c>
      <c r="G192" s="232" t="n">
        <v>0.17</v>
      </c>
      <c r="H192" s="232" t="n">
        <v>0.17</v>
      </c>
      <c r="I192" s="232" t="n">
        <v>0.175</v>
      </c>
      <c r="J192" s="232" t="n">
        <v>0.17</v>
      </c>
      <c r="K192" s="233" t="n">
        <v>0.17</v>
      </c>
      <c r="L192" s="232" t="n">
        <v>1</v>
      </c>
      <c r="M192" s="232" t="n">
        <v>1</v>
      </c>
      <c r="N192" s="232" t="n">
        <v>1.1</v>
      </c>
      <c r="O192" s="232" t="n">
        <v>1.35</v>
      </c>
      <c r="P192" s="232" t="n">
        <v>1.05</v>
      </c>
      <c r="Q192" s="252" t="n">
        <v>0.035</v>
      </c>
      <c r="R192" s="252" t="n">
        <v>0</v>
      </c>
      <c r="S192" s="233" t="n">
        <v>0</v>
      </c>
      <c r="T192" s="233" t="n">
        <v>0</v>
      </c>
      <c r="U192" s="233" t="n">
        <v>-0.1375</v>
      </c>
      <c r="V192" s="233" t="n">
        <v>0.01</v>
      </c>
      <c r="W192" s="233" t="n">
        <v>-0.1375</v>
      </c>
      <c r="X192" s="233" t="n">
        <v>0.01</v>
      </c>
      <c r="Y192" s="233" t="n">
        <v>0</v>
      </c>
      <c r="Z192" s="233" t="n">
        <v>0</v>
      </c>
      <c r="AA192" s="233" t="n">
        <v>0</v>
      </c>
      <c r="AB192" s="233" t="n">
        <v>0</v>
      </c>
      <c r="AC192" s="233" t="n">
        <v>0.27</v>
      </c>
      <c r="AD192" s="233" t="n">
        <v>0.03</v>
      </c>
      <c r="AE192" s="233" t="n">
        <v>0</v>
      </c>
      <c r="AF192" s="233" t="n">
        <v>0.02</v>
      </c>
      <c r="AG192" s="233" t="n">
        <v>0</v>
      </c>
      <c r="AH192" s="233" t="n">
        <v>0</v>
      </c>
      <c r="AI192" s="233" t="n">
        <v>0</v>
      </c>
      <c r="AJ192" s="233" t="n">
        <v>0</v>
      </c>
      <c r="AN192" s="233" t="n">
        <v>1.54744903432761</v>
      </c>
      <c r="AO192" s="233" t="n">
        <v>0.17</v>
      </c>
      <c r="AP192" s="233" t="n">
        <v>0</v>
      </c>
      <c r="AQ192" s="233" t="n">
        <v>0</v>
      </c>
      <c r="AR192" s="233" t="n">
        <f aca="false">1/AN192</f>
        <v>0.646224837016694</v>
      </c>
      <c r="AT192" s="253" t="n">
        <f aca="false">AR192*AM192*$AT$6</f>
        <v>0</v>
      </c>
      <c r="AU192" s="253" t="n">
        <f aca="false">AK192+AL192+AT192</f>
        <v>0</v>
      </c>
      <c r="AV192" s="233" t="n">
        <f aca="false">[10]Sheet1!AA183</f>
        <v>0.253571428571429</v>
      </c>
      <c r="AW192" s="233" t="n">
        <v>0</v>
      </c>
    </row>
    <row r="193" customFormat="false" ht="11.25" hidden="false" customHeight="false" outlineLevel="0" collapsed="false">
      <c r="A193" s="233"/>
      <c r="B193" s="233"/>
      <c r="C193" s="231" t="e">
        <f aca="false">NextMonth(C192)</f>
        <v>#VALUE!</v>
      </c>
      <c r="D193" s="252" t="n">
        <v>0.0660789407110967</v>
      </c>
      <c r="E193" s="232" t="n">
        <v>5.014</v>
      </c>
      <c r="F193" s="232" t="n">
        <v>0.17</v>
      </c>
      <c r="G193" s="232" t="n">
        <v>0.17</v>
      </c>
      <c r="H193" s="232" t="n">
        <v>0.17</v>
      </c>
      <c r="I193" s="232" t="n">
        <v>0.175</v>
      </c>
      <c r="J193" s="232" t="n">
        <v>0.17</v>
      </c>
      <c r="K193" s="233" t="n">
        <v>0.17</v>
      </c>
      <c r="L193" s="232" t="n">
        <v>1</v>
      </c>
      <c r="M193" s="232" t="n">
        <v>1</v>
      </c>
      <c r="N193" s="232" t="n">
        <v>1.1</v>
      </c>
      <c r="O193" s="232" t="n">
        <v>1.35</v>
      </c>
      <c r="P193" s="232" t="n">
        <v>1.05</v>
      </c>
      <c r="Q193" s="252" t="n">
        <v>0.035</v>
      </c>
      <c r="R193" s="252" t="n">
        <v>0</v>
      </c>
      <c r="S193" s="233" t="n">
        <v>0</v>
      </c>
      <c r="T193" s="233" t="n">
        <v>0</v>
      </c>
      <c r="U193" s="233" t="n">
        <v>-0.14</v>
      </c>
      <c r="V193" s="233" t="n">
        <v>0.01</v>
      </c>
      <c r="W193" s="233" t="n">
        <v>-0.14</v>
      </c>
      <c r="X193" s="233" t="n">
        <v>0.01</v>
      </c>
      <c r="Y193" s="233" t="n">
        <v>0</v>
      </c>
      <c r="Z193" s="233" t="n">
        <v>0</v>
      </c>
      <c r="AA193" s="233" t="n">
        <v>0</v>
      </c>
      <c r="AB193" s="233" t="n">
        <v>0</v>
      </c>
      <c r="AC193" s="233" t="n">
        <v>0.27</v>
      </c>
      <c r="AD193" s="233" t="n">
        <v>0.03</v>
      </c>
      <c r="AE193" s="233" t="n">
        <v>0</v>
      </c>
      <c r="AF193" s="233" t="n">
        <v>0.02</v>
      </c>
      <c r="AG193" s="233" t="n">
        <v>0</v>
      </c>
      <c r="AH193" s="233" t="n">
        <v>0</v>
      </c>
      <c r="AI193" s="233" t="n">
        <v>0</v>
      </c>
      <c r="AJ193" s="233" t="n">
        <v>0</v>
      </c>
      <c r="AN193" s="233" t="n">
        <v>1.54766505983145</v>
      </c>
      <c r="AO193" s="233" t="n">
        <v>0.17</v>
      </c>
      <c r="AP193" s="233" t="n">
        <v>0</v>
      </c>
      <c r="AQ193" s="233" t="n">
        <v>0</v>
      </c>
      <c r="AR193" s="233" t="n">
        <f aca="false">1/AN193</f>
        <v>0.646134635945652</v>
      </c>
      <c r="AT193" s="253" t="n">
        <f aca="false">AR193*AM193*$AT$6</f>
        <v>0</v>
      </c>
      <c r="AU193" s="253" t="n">
        <f aca="false">AK193+AL193+AT193</f>
        <v>0</v>
      </c>
      <c r="AV193" s="233" t="n">
        <f aca="false">[10]Sheet1!AA184</f>
        <v>0.253571428571429</v>
      </c>
      <c r="AW193" s="233" t="n">
        <v>0</v>
      </c>
    </row>
    <row r="194" customFormat="false" ht="11.25" hidden="false" customHeight="false" outlineLevel="0" collapsed="false">
      <c r="A194" s="233"/>
      <c r="B194" s="233"/>
      <c r="C194" s="231" t="e">
        <f aca="false">NextMonth(C193)</f>
        <v>#VALUE!</v>
      </c>
      <c r="D194" s="252" t="n">
        <v>0.066113187825958</v>
      </c>
      <c r="E194" s="232" t="n">
        <v>4.875</v>
      </c>
      <c r="F194" s="232" t="n">
        <v>0.17</v>
      </c>
      <c r="G194" s="232" t="n">
        <v>0.17</v>
      </c>
      <c r="H194" s="232" t="n">
        <v>0.17</v>
      </c>
      <c r="I194" s="232" t="n">
        <v>0.175</v>
      </c>
      <c r="J194" s="232" t="n">
        <v>0.17</v>
      </c>
      <c r="K194" s="233" t="n">
        <v>0.17</v>
      </c>
      <c r="L194" s="232" t="n">
        <v>0.75</v>
      </c>
      <c r="M194" s="232" t="n">
        <v>0.75</v>
      </c>
      <c r="N194" s="232" t="n">
        <v>0.75</v>
      </c>
      <c r="O194" s="232" t="n">
        <v>0.95</v>
      </c>
      <c r="P194" s="232" t="n">
        <v>0.75</v>
      </c>
      <c r="Q194" s="252" t="n">
        <v>0.035</v>
      </c>
      <c r="R194" s="252" t="n">
        <v>0</v>
      </c>
      <c r="S194" s="233" t="n">
        <v>0</v>
      </c>
      <c r="T194" s="233" t="n">
        <v>0</v>
      </c>
      <c r="U194" s="233" t="n">
        <v>-0.1425</v>
      </c>
      <c r="V194" s="233" t="n">
        <v>0.01</v>
      </c>
      <c r="W194" s="233" t="n">
        <v>-0.1425</v>
      </c>
      <c r="X194" s="233" t="n">
        <v>0.01</v>
      </c>
      <c r="Y194" s="233" t="n">
        <v>0</v>
      </c>
      <c r="Z194" s="233" t="n">
        <v>0</v>
      </c>
      <c r="AA194" s="233" t="n">
        <v>0</v>
      </c>
      <c r="AB194" s="233" t="n">
        <v>0</v>
      </c>
      <c r="AC194" s="233" t="n">
        <v>0.24</v>
      </c>
      <c r="AD194" s="233" t="n">
        <v>0.03</v>
      </c>
      <c r="AE194" s="233" t="n">
        <v>0</v>
      </c>
      <c r="AF194" s="233" t="n">
        <v>0.02</v>
      </c>
      <c r="AG194" s="233" t="n">
        <v>0</v>
      </c>
      <c r="AH194" s="233" t="n">
        <v>0</v>
      </c>
      <c r="AI194" s="233" t="n">
        <v>0</v>
      </c>
      <c r="AJ194" s="233" t="n">
        <v>0</v>
      </c>
      <c r="AN194" s="233" t="n">
        <v>1.54786964954048</v>
      </c>
      <c r="AO194" s="233" t="n">
        <v>0.17</v>
      </c>
      <c r="AP194" s="233" t="n">
        <v>0</v>
      </c>
      <c r="AQ194" s="233" t="n">
        <v>0</v>
      </c>
      <c r="AR194" s="233" t="n">
        <f aca="false">1/AN194</f>
        <v>0.646049233084241</v>
      </c>
      <c r="AT194" s="253" t="n">
        <f aca="false">AR194*AM194*$AT$6</f>
        <v>0</v>
      </c>
      <c r="AU194" s="253" t="n">
        <f aca="false">AK194+AL194+AT194</f>
        <v>0</v>
      </c>
      <c r="AV194" s="233" t="n">
        <f aca="false">[10]Sheet1!AA185</f>
        <v>0.253571428571429</v>
      </c>
      <c r="AW194" s="233" t="n">
        <v>0</v>
      </c>
    </row>
    <row r="195" customFormat="false" ht="11.25" hidden="false" customHeight="false" outlineLevel="0" collapsed="false">
      <c r="A195" s="233"/>
      <c r="B195" s="233"/>
      <c r="C195" s="231" t="e">
        <f aca="false">NextMonth(C194)</f>
        <v>#VALUE!</v>
      </c>
      <c r="D195" s="252" t="n">
        <v>0.0661497968112399</v>
      </c>
      <c r="E195" s="232" t="n">
        <v>4.7</v>
      </c>
      <c r="F195" s="232" t="n">
        <v>0.17</v>
      </c>
      <c r="G195" s="232" t="n">
        <v>0.17</v>
      </c>
      <c r="H195" s="232" t="n">
        <v>0.17</v>
      </c>
      <c r="I195" s="232" t="n">
        <v>0.175</v>
      </c>
      <c r="J195" s="232" t="n">
        <v>0.17</v>
      </c>
      <c r="K195" s="233" t="n">
        <v>0.17</v>
      </c>
      <c r="L195" s="232" t="n">
        <v>0.4</v>
      </c>
      <c r="M195" s="232" t="n">
        <v>0.4</v>
      </c>
      <c r="N195" s="232" t="n">
        <v>0.45</v>
      </c>
      <c r="O195" s="232" t="n">
        <v>0.5</v>
      </c>
      <c r="P195" s="232" t="n">
        <v>0.45</v>
      </c>
      <c r="Q195" s="252" t="n">
        <v>0.035</v>
      </c>
      <c r="R195" s="252" t="n">
        <v>0</v>
      </c>
      <c r="S195" s="233" t="n">
        <v>0</v>
      </c>
      <c r="T195" s="233" t="n">
        <v>0</v>
      </c>
      <c r="U195" s="233" t="n">
        <v>-0.14</v>
      </c>
      <c r="V195" s="233" t="n">
        <v>-0.01</v>
      </c>
      <c r="W195" s="233" t="n">
        <v>-0.14</v>
      </c>
      <c r="X195" s="233" t="n">
        <v>-0.01</v>
      </c>
      <c r="Y195" s="233" t="n">
        <v>0</v>
      </c>
      <c r="Z195" s="233" t="n">
        <v>0</v>
      </c>
      <c r="AA195" s="233" t="n">
        <v>0</v>
      </c>
      <c r="AB195" s="233" t="n">
        <v>0</v>
      </c>
      <c r="AC195" s="233" t="n">
        <v>0.17</v>
      </c>
      <c r="AD195" s="233" t="n">
        <v>0.0175</v>
      </c>
      <c r="AE195" s="233" t="n">
        <v>0</v>
      </c>
      <c r="AF195" s="233" t="n">
        <v>0.005</v>
      </c>
      <c r="AG195" s="233" t="n">
        <v>0</v>
      </c>
      <c r="AH195" s="233" t="n">
        <v>0</v>
      </c>
      <c r="AI195" s="233" t="n">
        <v>0</v>
      </c>
      <c r="AJ195" s="233" t="n">
        <v>0</v>
      </c>
      <c r="AN195" s="233" t="n">
        <v>1.54809102366821</v>
      </c>
      <c r="AO195" s="233" t="n">
        <v>0.17</v>
      </c>
      <c r="AP195" s="233" t="n">
        <v>0</v>
      </c>
      <c r="AQ195" s="233" t="n">
        <v>0</v>
      </c>
      <c r="AR195" s="233" t="n">
        <f aca="false">1/AN195</f>
        <v>0.645956849249403</v>
      </c>
      <c r="AT195" s="253" t="n">
        <f aca="false">AR195*AM195*$AT$6</f>
        <v>0</v>
      </c>
      <c r="AU195" s="253" t="n">
        <f aca="false">AK195+AL195+AT195</f>
        <v>0</v>
      </c>
      <c r="AV195" s="233" t="n">
        <f aca="false">[10]Sheet1!AA186</f>
        <v>0.207</v>
      </c>
      <c r="AW195" s="233" t="n">
        <v>0</v>
      </c>
    </row>
    <row r="196" customFormat="false" ht="11.25" hidden="false" customHeight="false" outlineLevel="0" collapsed="false">
      <c r="A196" s="233"/>
      <c r="B196" s="233"/>
      <c r="C196" s="231" t="e">
        <f aca="false">NextMonth(C195)</f>
        <v>#VALUE!</v>
      </c>
      <c r="D196" s="252" t="n">
        <v>0.0661852248619352</v>
      </c>
      <c r="E196" s="232" t="n">
        <v>4.67</v>
      </c>
      <c r="F196" s="232" t="n">
        <v>0.17</v>
      </c>
      <c r="G196" s="232" t="n">
        <v>0.17</v>
      </c>
      <c r="H196" s="232" t="n">
        <v>0.17</v>
      </c>
      <c r="I196" s="232" t="n">
        <v>0.175</v>
      </c>
      <c r="J196" s="232" t="n">
        <v>0.17</v>
      </c>
      <c r="K196" s="233" t="n">
        <v>0.17</v>
      </c>
      <c r="L196" s="232" t="n">
        <v>0.45</v>
      </c>
      <c r="M196" s="232" t="n">
        <v>0.4</v>
      </c>
      <c r="N196" s="232" t="n">
        <v>0.5</v>
      </c>
      <c r="O196" s="232" t="n">
        <v>0.45</v>
      </c>
      <c r="P196" s="232" t="n">
        <v>0.45</v>
      </c>
      <c r="Q196" s="252" t="n">
        <v>0.035</v>
      </c>
      <c r="R196" s="252" t="n">
        <v>0</v>
      </c>
      <c r="S196" s="233" t="n">
        <v>0</v>
      </c>
      <c r="T196" s="233" t="n">
        <v>0</v>
      </c>
      <c r="U196" s="233" t="n">
        <v>0</v>
      </c>
      <c r="V196" s="233" t="n">
        <v>0</v>
      </c>
      <c r="W196" s="233" t="n">
        <v>0</v>
      </c>
      <c r="X196" s="233" t="n">
        <v>0</v>
      </c>
      <c r="Y196" s="233" t="n">
        <v>0</v>
      </c>
      <c r="Z196" s="233" t="n">
        <v>0</v>
      </c>
      <c r="AA196" s="233" t="n">
        <v>0</v>
      </c>
      <c r="AB196" s="233" t="n">
        <v>0</v>
      </c>
      <c r="AC196" s="233" t="n">
        <v>0.165</v>
      </c>
      <c r="AD196" s="233" t="n">
        <v>0.01</v>
      </c>
      <c r="AE196" s="233" t="n">
        <v>0</v>
      </c>
      <c r="AF196" s="233" t="n">
        <v>0.005</v>
      </c>
      <c r="AG196" s="233" t="n">
        <v>0</v>
      </c>
      <c r="AH196" s="233" t="n">
        <v>0</v>
      </c>
      <c r="AI196" s="233" t="n">
        <v>0</v>
      </c>
      <c r="AJ196" s="233" t="n">
        <v>0</v>
      </c>
      <c r="AN196" s="233" t="n">
        <v>1.5483078892681</v>
      </c>
      <c r="AO196" s="233" t="n">
        <v>0.17</v>
      </c>
      <c r="AP196" s="233" t="n">
        <v>0</v>
      </c>
      <c r="AQ196" s="233" t="n">
        <v>0</v>
      </c>
      <c r="AR196" s="233" t="n">
        <f aca="false">1/AN196</f>
        <v>0.645866372529245</v>
      </c>
      <c r="AT196" s="253" t="n">
        <f aca="false">AR196*AM196*$AT$6</f>
        <v>0</v>
      </c>
      <c r="AU196" s="253" t="n">
        <f aca="false">AK196+AL196+AT196</f>
        <v>0</v>
      </c>
      <c r="AV196" s="233" t="n">
        <f aca="false">[10]Sheet1!AA187</f>
        <v>0.207</v>
      </c>
      <c r="AW196" s="233" t="n">
        <v>0</v>
      </c>
    </row>
    <row r="197" customFormat="false" ht="11.25" hidden="false" customHeight="false" outlineLevel="0" collapsed="false">
      <c r="A197" s="233"/>
      <c r="B197" s="233"/>
      <c r="C197" s="231" t="e">
        <f aca="false">NextMonth(C196)</f>
        <v>#VALUE!</v>
      </c>
      <c r="D197" s="252" t="n">
        <v>0.0662218338480902</v>
      </c>
      <c r="E197" s="232" t="n">
        <v>4.74</v>
      </c>
      <c r="F197" s="232" t="n">
        <v>0.17</v>
      </c>
      <c r="G197" s="232" t="n">
        <v>0.17</v>
      </c>
      <c r="H197" s="232" t="n">
        <v>0.17</v>
      </c>
      <c r="I197" s="232" t="n">
        <v>0.175</v>
      </c>
      <c r="J197" s="232" t="n">
        <v>0.17</v>
      </c>
      <c r="K197" s="233" t="n">
        <v>0.17</v>
      </c>
      <c r="L197" s="232" t="n">
        <v>0.45</v>
      </c>
      <c r="M197" s="232" t="n">
        <v>0.4</v>
      </c>
      <c r="N197" s="232" t="n">
        <v>0.5</v>
      </c>
      <c r="O197" s="232" t="n">
        <v>0.5</v>
      </c>
      <c r="P197" s="232" t="n">
        <v>0.5</v>
      </c>
      <c r="Q197" s="252" t="n">
        <v>0</v>
      </c>
      <c r="R197" s="252" t="n">
        <v>0</v>
      </c>
      <c r="S197" s="233" t="n">
        <v>0</v>
      </c>
      <c r="T197" s="233" t="n">
        <v>0</v>
      </c>
      <c r="U197" s="233" t="n">
        <v>0</v>
      </c>
      <c r="V197" s="233" t="n">
        <v>0</v>
      </c>
      <c r="W197" s="233" t="n">
        <v>0</v>
      </c>
      <c r="X197" s="233" t="n">
        <v>0</v>
      </c>
      <c r="Y197" s="233" t="n">
        <v>0</v>
      </c>
      <c r="Z197" s="233" t="n">
        <v>0</v>
      </c>
      <c r="AA197" s="233" t="n">
        <v>0</v>
      </c>
      <c r="AB197" s="233" t="n">
        <v>0</v>
      </c>
      <c r="AC197" s="233" t="n">
        <v>0.17</v>
      </c>
      <c r="AD197" s="233" t="n">
        <v>0.0125</v>
      </c>
      <c r="AE197" s="233" t="n">
        <v>0</v>
      </c>
      <c r="AF197" s="233" t="n">
        <v>0.005</v>
      </c>
      <c r="AG197" s="233" t="n">
        <v>0</v>
      </c>
      <c r="AH197" s="233" t="n">
        <v>0</v>
      </c>
      <c r="AI197" s="233" t="n">
        <v>0</v>
      </c>
      <c r="AJ197" s="233" t="n">
        <v>0</v>
      </c>
      <c r="AN197" s="233" t="n">
        <v>1.5481673775713</v>
      </c>
      <c r="AO197" s="233" t="n">
        <v>0.17</v>
      </c>
      <c r="AP197" s="233" t="n">
        <v>0</v>
      </c>
      <c r="AQ197" s="233" t="n">
        <v>0</v>
      </c>
      <c r="AR197" s="233" t="n">
        <f aca="false">1/AN197</f>
        <v>0.645924991371901</v>
      </c>
      <c r="AT197" s="253" t="n">
        <f aca="false">AR197*AM197*$AT$6</f>
        <v>0</v>
      </c>
      <c r="AU197" s="253" t="n">
        <f aca="false">AK197+AL197+AT197</f>
        <v>0</v>
      </c>
      <c r="AV197" s="233" t="n">
        <f aca="false">[10]Sheet1!AA188</f>
        <v>0</v>
      </c>
      <c r="AW197" s="233" t="n">
        <v>0</v>
      </c>
    </row>
    <row r="198" customFormat="false" ht="11.25" hidden="false" customHeight="false" outlineLevel="0" collapsed="false">
      <c r="A198" s="233"/>
      <c r="B198" s="233"/>
      <c r="C198" s="231" t="e">
        <f aca="false">NextMonth(C197)</f>
        <v>#VALUE!</v>
      </c>
      <c r="D198" s="252" t="n">
        <v>0.0662572618996311</v>
      </c>
      <c r="E198" s="232" t="n">
        <v>4.795</v>
      </c>
      <c r="F198" s="232" t="n">
        <v>0.17</v>
      </c>
      <c r="G198" s="232" t="n">
        <v>0.17</v>
      </c>
      <c r="H198" s="232" t="n">
        <v>0.17</v>
      </c>
      <c r="I198" s="232" t="n">
        <v>0.175</v>
      </c>
      <c r="J198" s="232" t="n">
        <v>0.17</v>
      </c>
      <c r="K198" s="233" t="n">
        <v>0.17</v>
      </c>
      <c r="L198" s="232" t="n">
        <v>0.5</v>
      </c>
      <c r="M198" s="232" t="n">
        <v>0.4</v>
      </c>
      <c r="N198" s="232" t="n">
        <v>0.55</v>
      </c>
      <c r="O198" s="232" t="n">
        <v>0.5</v>
      </c>
      <c r="P198" s="232" t="n">
        <v>0.5</v>
      </c>
      <c r="Q198" s="252" t="n">
        <v>0</v>
      </c>
      <c r="R198" s="252" t="n">
        <v>0</v>
      </c>
      <c r="S198" s="233" t="n">
        <v>0</v>
      </c>
      <c r="T198" s="233" t="n">
        <v>0</v>
      </c>
      <c r="U198" s="233" t="n">
        <v>0</v>
      </c>
      <c r="V198" s="233" t="n">
        <v>0</v>
      </c>
      <c r="W198" s="233" t="n">
        <v>0</v>
      </c>
      <c r="X198" s="233" t="n">
        <v>0</v>
      </c>
      <c r="Y198" s="233" t="n">
        <v>0</v>
      </c>
      <c r="Z198" s="233" t="n">
        <v>0</v>
      </c>
      <c r="AA198" s="233" t="n">
        <v>0</v>
      </c>
      <c r="AB198" s="233" t="n">
        <v>0</v>
      </c>
      <c r="AC198" s="233" t="n">
        <v>0.175</v>
      </c>
      <c r="AD198" s="233" t="n">
        <v>0.0125</v>
      </c>
      <c r="AE198" s="233" t="n">
        <v>0</v>
      </c>
      <c r="AF198" s="233" t="n">
        <v>0</v>
      </c>
      <c r="AG198" s="233" t="n">
        <v>0</v>
      </c>
      <c r="AH198" s="233" t="n">
        <v>0</v>
      </c>
      <c r="AI198" s="233" t="n">
        <v>0</v>
      </c>
      <c r="AJ198" s="233" t="n">
        <v>0</v>
      </c>
      <c r="AN198" s="233" t="n">
        <v>1.54769511021341</v>
      </c>
      <c r="AO198" s="233" t="n">
        <v>0.17</v>
      </c>
      <c r="AP198" s="233" t="n">
        <v>0</v>
      </c>
      <c r="AQ198" s="233" t="n">
        <v>0</v>
      </c>
      <c r="AR198" s="233" t="n">
        <f aca="false">1/AN198</f>
        <v>0.646122090456247</v>
      </c>
      <c r="AT198" s="253" t="n">
        <f aca="false">AR198*AM198*$AT$6</f>
        <v>0</v>
      </c>
      <c r="AU198" s="253" t="n">
        <f aca="false">AK198+AL198+AT198</f>
        <v>0</v>
      </c>
      <c r="AV198" s="233" t="n">
        <f aca="false">[10]Sheet1!AA189</f>
        <v>0</v>
      </c>
      <c r="AW198" s="233" t="n">
        <v>0</v>
      </c>
    </row>
    <row r="199" customFormat="false" ht="11.25" hidden="false" customHeight="false" outlineLevel="0" collapsed="false">
      <c r="A199" s="233"/>
      <c r="B199" s="233"/>
      <c r="C199" s="231" t="e">
        <f aca="false">NextMonth(C198)</f>
        <v>#VALUE!</v>
      </c>
      <c r="D199" s="252" t="n">
        <v>0.0662938708866601</v>
      </c>
      <c r="E199" s="232" t="n">
        <v>4.851</v>
      </c>
      <c r="F199" s="232" t="n">
        <v>0.17</v>
      </c>
      <c r="G199" s="232" t="n">
        <v>0.17</v>
      </c>
      <c r="H199" s="232" t="n">
        <v>0.17</v>
      </c>
      <c r="I199" s="232" t="n">
        <v>0.175</v>
      </c>
      <c r="J199" s="232" t="n">
        <v>0.17</v>
      </c>
      <c r="K199" s="233" t="n">
        <v>0.17</v>
      </c>
      <c r="L199" s="232" t="n">
        <v>0.55</v>
      </c>
      <c r="M199" s="232" t="n">
        <v>0.5</v>
      </c>
      <c r="N199" s="232" t="n">
        <v>0.6</v>
      </c>
      <c r="O199" s="232" t="n">
        <v>0.45</v>
      </c>
      <c r="P199" s="232" t="n">
        <v>0.55</v>
      </c>
      <c r="Q199" s="252" t="n">
        <v>0</v>
      </c>
      <c r="R199" s="252" t="n">
        <v>0</v>
      </c>
      <c r="S199" s="233" t="n">
        <v>0</v>
      </c>
      <c r="T199" s="233" t="n">
        <v>0</v>
      </c>
      <c r="U199" s="233" t="n">
        <v>0</v>
      </c>
      <c r="V199" s="233" t="n">
        <v>0</v>
      </c>
      <c r="W199" s="233" t="n">
        <v>0</v>
      </c>
      <c r="X199" s="233" t="n">
        <v>0</v>
      </c>
      <c r="Y199" s="233" t="n">
        <v>0</v>
      </c>
      <c r="Z199" s="233" t="n">
        <v>0</v>
      </c>
      <c r="AA199" s="233" t="n">
        <v>0</v>
      </c>
      <c r="AB199" s="233" t="n">
        <v>0</v>
      </c>
      <c r="AC199" s="233" t="n">
        <v>0.175</v>
      </c>
      <c r="AD199" s="233" t="n">
        <v>0.0125</v>
      </c>
      <c r="AE199" s="233" t="n">
        <v>0</v>
      </c>
      <c r="AF199" s="233" t="n">
        <v>0</v>
      </c>
      <c r="AG199" s="233" t="n">
        <v>0</v>
      </c>
      <c r="AH199" s="233" t="n">
        <v>0</v>
      </c>
      <c r="AI199" s="233" t="n">
        <v>0</v>
      </c>
      <c r="AJ199" s="233" t="n">
        <v>0</v>
      </c>
      <c r="AN199" s="233" t="n">
        <v>1.54720206872056</v>
      </c>
      <c r="AO199" s="233" t="n">
        <v>0.17</v>
      </c>
      <c r="AP199" s="233" t="n">
        <v>0</v>
      </c>
      <c r="AQ199" s="233" t="n">
        <v>0</v>
      </c>
      <c r="AR199" s="233" t="n">
        <f aca="false">1/AN199</f>
        <v>0.64632798793175</v>
      </c>
      <c r="AT199" s="253" t="n">
        <f aca="false">AR199*AM199*$AT$6</f>
        <v>0</v>
      </c>
      <c r="AU199" s="253" t="n">
        <f aca="false">AK199+AL199+AT199</f>
        <v>0</v>
      </c>
      <c r="AV199" s="233" t="n">
        <f aca="false">[10]Sheet1!AA190</f>
        <v>0</v>
      </c>
      <c r="AW199" s="233" t="n">
        <v>0</v>
      </c>
    </row>
    <row r="200" customFormat="false" ht="11.25" hidden="false" customHeight="false" outlineLevel="0" collapsed="false">
      <c r="A200" s="233"/>
      <c r="B200" s="233"/>
      <c r="C200" s="231" t="e">
        <f aca="false">NextMonth(C199)</f>
        <v>#VALUE!</v>
      </c>
      <c r="D200" s="252" t="n">
        <v>0.0663304798741326</v>
      </c>
      <c r="E200" s="232" t="n">
        <v>4.865</v>
      </c>
      <c r="F200" s="232" t="n">
        <v>0.17</v>
      </c>
      <c r="G200" s="232" t="n">
        <v>0.17</v>
      </c>
      <c r="H200" s="232" t="n">
        <v>0.17</v>
      </c>
      <c r="I200" s="232" t="n">
        <v>0.175</v>
      </c>
      <c r="J200" s="232" t="n">
        <v>0.17</v>
      </c>
      <c r="K200" s="233" t="n">
        <v>0.17</v>
      </c>
      <c r="L200" s="232" t="n">
        <v>0.55</v>
      </c>
      <c r="M200" s="232" t="n">
        <v>0.55</v>
      </c>
      <c r="N200" s="232" t="n">
        <v>0.6</v>
      </c>
      <c r="O200" s="232" t="n">
        <v>0.5</v>
      </c>
      <c r="P200" s="232" t="n">
        <v>0.6</v>
      </c>
      <c r="Q200" s="252" t="n">
        <v>0</v>
      </c>
      <c r="R200" s="252" t="n">
        <v>0</v>
      </c>
      <c r="S200" s="233" t="n">
        <v>0</v>
      </c>
      <c r="T200" s="233" t="n">
        <v>0</v>
      </c>
      <c r="U200" s="233" t="n">
        <v>0</v>
      </c>
      <c r="V200" s="233" t="n">
        <v>0</v>
      </c>
      <c r="W200" s="233" t="n">
        <v>0</v>
      </c>
      <c r="X200" s="233" t="n">
        <v>0</v>
      </c>
      <c r="Y200" s="233" t="n">
        <v>0</v>
      </c>
      <c r="Z200" s="233" t="n">
        <v>0</v>
      </c>
      <c r="AA200" s="233" t="n">
        <v>0</v>
      </c>
      <c r="AB200" s="233" t="n">
        <v>0</v>
      </c>
      <c r="AC200" s="233" t="n">
        <v>0.165</v>
      </c>
      <c r="AD200" s="233" t="n">
        <v>0.0125</v>
      </c>
      <c r="AE200" s="233" t="n">
        <v>0</v>
      </c>
      <c r="AF200" s="233" t="n">
        <v>0</v>
      </c>
      <c r="AG200" s="233" t="n">
        <v>0</v>
      </c>
      <c r="AH200" s="233" t="n">
        <v>0</v>
      </c>
      <c r="AI200" s="233" t="n">
        <v>0</v>
      </c>
      <c r="AJ200" s="233" t="n">
        <v>0</v>
      </c>
      <c r="AN200" s="233" t="n">
        <v>1.54670391797934</v>
      </c>
      <c r="AO200" s="233" t="n">
        <v>0.17</v>
      </c>
      <c r="AP200" s="233" t="n">
        <v>0</v>
      </c>
      <c r="AQ200" s="233" t="n">
        <v>0</v>
      </c>
      <c r="AR200" s="233" t="n">
        <f aca="false">1/AN200</f>
        <v>0.646536152379073</v>
      </c>
      <c r="AT200" s="253" t="n">
        <f aca="false">AR200*AM200*$AT$6</f>
        <v>0</v>
      </c>
      <c r="AU200" s="253" t="n">
        <f aca="false">AK200+AL200+AT200</f>
        <v>0</v>
      </c>
      <c r="AV200" s="233" t="n">
        <f aca="false">[10]Sheet1!AA191</f>
        <v>0</v>
      </c>
      <c r="AW200" s="233" t="n">
        <v>0</v>
      </c>
    </row>
    <row r="201" customFormat="false" ht="11.25" hidden="false" customHeight="false" outlineLevel="0" collapsed="false">
      <c r="A201" s="233"/>
      <c r="B201" s="233"/>
      <c r="C201" s="231" t="e">
        <f aca="false">NextMonth(C200)</f>
        <v>#VALUE!</v>
      </c>
      <c r="D201" s="252" t="n">
        <v>0.0663659079269485</v>
      </c>
      <c r="E201" s="232" t="n">
        <v>4.896</v>
      </c>
      <c r="F201" s="232" t="n">
        <v>0.17</v>
      </c>
      <c r="G201" s="232" t="n">
        <v>0.17</v>
      </c>
      <c r="H201" s="232" t="n">
        <v>0.17</v>
      </c>
      <c r="I201" s="232" t="n">
        <v>0.175</v>
      </c>
      <c r="J201" s="232" t="n">
        <v>0.17</v>
      </c>
      <c r="K201" s="233" t="n">
        <v>0.17</v>
      </c>
      <c r="L201" s="232" t="n">
        <v>0.6</v>
      </c>
      <c r="M201" s="232" t="n">
        <v>0.55</v>
      </c>
      <c r="N201" s="232" t="n">
        <v>0.65</v>
      </c>
      <c r="O201" s="232" t="n">
        <v>0.5</v>
      </c>
      <c r="P201" s="232" t="n">
        <v>0.65</v>
      </c>
      <c r="Q201" s="252" t="n">
        <v>0</v>
      </c>
      <c r="R201" s="252" t="n">
        <v>0</v>
      </c>
      <c r="S201" s="233" t="n">
        <v>0</v>
      </c>
      <c r="T201" s="233" t="n">
        <v>0</v>
      </c>
      <c r="U201" s="233" t="n">
        <v>0</v>
      </c>
      <c r="V201" s="233" t="n">
        <v>0</v>
      </c>
      <c r="W201" s="233" t="n">
        <v>0</v>
      </c>
      <c r="X201" s="233" t="n">
        <v>0</v>
      </c>
      <c r="Y201" s="233" t="n">
        <v>0</v>
      </c>
      <c r="Z201" s="233" t="n">
        <v>0</v>
      </c>
      <c r="AA201" s="233" t="n">
        <v>0</v>
      </c>
      <c r="AB201" s="233" t="n">
        <v>0</v>
      </c>
      <c r="AC201" s="233" t="n">
        <v>0.1725</v>
      </c>
      <c r="AD201" s="233" t="n">
        <v>0.0125</v>
      </c>
      <c r="AE201" s="233" t="n">
        <v>0</v>
      </c>
      <c r="AF201" s="233" t="n">
        <v>0</v>
      </c>
      <c r="AG201" s="233" t="n">
        <v>0</v>
      </c>
      <c r="AH201" s="233" t="n">
        <v>0</v>
      </c>
      <c r="AI201" s="233" t="n">
        <v>0</v>
      </c>
      <c r="AJ201" s="233" t="n">
        <v>0</v>
      </c>
      <c r="AN201" s="233" t="n">
        <v>1.54621697686422</v>
      </c>
      <c r="AO201" s="233" t="n">
        <v>0.17</v>
      </c>
      <c r="AP201" s="233" t="n">
        <v>0</v>
      </c>
      <c r="AQ201" s="233" t="n">
        <v>0</v>
      </c>
      <c r="AR201" s="233" t="n">
        <f aca="false">1/AN201</f>
        <v>0.646739762247362</v>
      </c>
      <c r="AT201" s="253" t="n">
        <f aca="false">AR201*AM201*$AT$6</f>
        <v>0</v>
      </c>
      <c r="AU201" s="253" t="n">
        <f aca="false">AK201+AL201+AT201</f>
        <v>0</v>
      </c>
      <c r="AV201" s="233" t="n">
        <f aca="false">[10]Sheet1!AA192</f>
        <v>0</v>
      </c>
      <c r="AW201" s="233" t="n">
        <v>0</v>
      </c>
    </row>
    <row r="202" customFormat="false" ht="11.25" hidden="false" customHeight="false" outlineLevel="0" collapsed="false">
      <c r="A202" s="233"/>
      <c r="B202" s="233"/>
      <c r="C202" s="231" t="e">
        <f aca="false">NextMonth(C201)</f>
        <v>#VALUE!</v>
      </c>
      <c r="D202" s="252" t="n">
        <v>0.0664025169152951</v>
      </c>
      <c r="E202" s="232" t="n">
        <v>5.029</v>
      </c>
      <c r="F202" s="232" t="n">
        <v>0.17</v>
      </c>
      <c r="G202" s="232" t="n">
        <v>0.17</v>
      </c>
      <c r="H202" s="232" t="n">
        <v>0.17</v>
      </c>
      <c r="I202" s="232" t="n">
        <v>0.175</v>
      </c>
      <c r="J202" s="232" t="n">
        <v>0.17</v>
      </c>
      <c r="K202" s="233" t="n">
        <v>0.17</v>
      </c>
      <c r="L202" s="232" t="n">
        <v>0.8</v>
      </c>
      <c r="M202" s="232" t="n">
        <v>0.8</v>
      </c>
      <c r="N202" s="232" t="n">
        <v>0.8</v>
      </c>
      <c r="O202" s="232" t="n">
        <v>0.95</v>
      </c>
      <c r="P202" s="232" t="n">
        <v>0.85</v>
      </c>
      <c r="Q202" s="252" t="n">
        <v>0</v>
      </c>
      <c r="R202" s="252" t="n">
        <v>0</v>
      </c>
      <c r="S202" s="233" t="n">
        <v>0</v>
      </c>
      <c r="T202" s="233" t="n">
        <v>0</v>
      </c>
      <c r="U202" s="233" t="n">
        <v>0</v>
      </c>
      <c r="V202" s="233" t="n">
        <v>0</v>
      </c>
      <c r="W202" s="233" t="n">
        <v>0</v>
      </c>
      <c r="X202" s="233" t="n">
        <v>0</v>
      </c>
      <c r="Y202" s="233" t="n">
        <v>0</v>
      </c>
      <c r="Z202" s="233" t="n">
        <v>0</v>
      </c>
      <c r="AA202" s="233" t="n">
        <v>0</v>
      </c>
      <c r="AB202" s="233" t="n">
        <v>0</v>
      </c>
      <c r="AC202" s="233" t="n">
        <v>0.24</v>
      </c>
      <c r="AD202" s="233" t="n">
        <v>0.03</v>
      </c>
      <c r="AE202" s="233" t="n">
        <v>0</v>
      </c>
      <c r="AF202" s="233" t="n">
        <v>0</v>
      </c>
      <c r="AG202" s="233" t="n">
        <v>0</v>
      </c>
      <c r="AH202" s="233" t="n">
        <v>0</v>
      </c>
      <c r="AI202" s="233" t="n">
        <v>0</v>
      </c>
      <c r="AJ202" s="233" t="n">
        <v>0</v>
      </c>
      <c r="AN202" s="233" t="n">
        <v>1.54570878777941</v>
      </c>
      <c r="AO202" s="233" t="n">
        <v>0.17</v>
      </c>
      <c r="AP202" s="233" t="n">
        <v>0</v>
      </c>
      <c r="AQ202" s="233" t="n">
        <v>0</v>
      </c>
      <c r="AR202" s="233" t="n">
        <f aca="false">1/AN202</f>
        <v>0.646952393559602</v>
      </c>
      <c r="AT202" s="253" t="n">
        <f aca="false">AR202*AM202*$AT$6</f>
        <v>0</v>
      </c>
      <c r="AU202" s="253" t="n">
        <f aca="false">AK202+AL202+AT202</f>
        <v>0</v>
      </c>
      <c r="AV202" s="233" t="n">
        <f aca="false">[10]Sheet1!AA193</f>
        <v>0.207</v>
      </c>
      <c r="AW202" s="233" t="n">
        <v>0</v>
      </c>
    </row>
    <row r="203" customFormat="false" ht="11.25" hidden="false" customHeight="false" outlineLevel="0" collapsed="false">
      <c r="A203" s="233"/>
      <c r="B203" s="233"/>
      <c r="C203" s="231" t="e">
        <f aca="false">NextMonth(C202)</f>
        <v>#VALUE!</v>
      </c>
      <c r="D203" s="252" t="n">
        <v>0.0664379449689565</v>
      </c>
      <c r="E203" s="232" t="n">
        <v>5.167</v>
      </c>
      <c r="F203" s="232" t="n">
        <v>0.17</v>
      </c>
      <c r="G203" s="232" t="n">
        <v>0.17</v>
      </c>
      <c r="H203" s="232" t="n">
        <v>0.17</v>
      </c>
      <c r="I203" s="232" t="n">
        <v>0.175</v>
      </c>
      <c r="J203" s="232" t="n">
        <v>0.17</v>
      </c>
      <c r="K203" s="233" t="n">
        <v>0.17</v>
      </c>
      <c r="L203" s="232" t="n">
        <v>1</v>
      </c>
      <c r="M203" s="232" t="n">
        <v>1</v>
      </c>
      <c r="N203" s="232" t="n">
        <v>1.1</v>
      </c>
      <c r="O203" s="232" t="n">
        <v>1.35</v>
      </c>
      <c r="P203" s="232" t="n">
        <v>1.05</v>
      </c>
      <c r="Q203" s="252" t="n">
        <v>0</v>
      </c>
      <c r="R203" s="252" t="n">
        <v>0</v>
      </c>
      <c r="S203" s="233" t="n">
        <v>0</v>
      </c>
      <c r="T203" s="233" t="n">
        <v>0</v>
      </c>
      <c r="U203" s="233" t="n">
        <v>0</v>
      </c>
      <c r="V203" s="233" t="n">
        <v>0</v>
      </c>
      <c r="W203" s="233" t="n">
        <v>0</v>
      </c>
      <c r="X203" s="233" t="n">
        <v>0</v>
      </c>
      <c r="Y203" s="233" t="n">
        <v>0</v>
      </c>
      <c r="Z203" s="233" t="n">
        <v>0</v>
      </c>
      <c r="AA203" s="233" t="n">
        <v>0</v>
      </c>
      <c r="AB203" s="233" t="n">
        <v>0</v>
      </c>
      <c r="AC203" s="233" t="n">
        <v>0.26</v>
      </c>
      <c r="AD203" s="233" t="n">
        <v>0.03</v>
      </c>
      <c r="AE203" s="233" t="n">
        <v>0</v>
      </c>
      <c r="AF203" s="233" t="n">
        <v>0</v>
      </c>
      <c r="AG203" s="233" t="n">
        <v>0</v>
      </c>
      <c r="AH203" s="233" t="n">
        <v>0</v>
      </c>
      <c r="AI203" s="233" t="n">
        <v>0</v>
      </c>
      <c r="AJ203" s="233" t="n">
        <v>0</v>
      </c>
      <c r="AN203" s="233" t="n">
        <v>1.5452121420886</v>
      </c>
      <c r="AO203" s="233" t="n">
        <v>0.17</v>
      </c>
      <c r="AP203" s="233" t="n">
        <v>0</v>
      </c>
      <c r="AQ203" s="233" t="n">
        <v>0</v>
      </c>
      <c r="AR203" s="233" t="n">
        <f aca="false">1/AN203</f>
        <v>0.647160330133273</v>
      </c>
      <c r="AT203" s="253" t="n">
        <f aca="false">AR203*AM203*$AT$6</f>
        <v>0</v>
      </c>
      <c r="AU203" s="253" t="n">
        <f aca="false">AK203+AL203+AT203</f>
        <v>0</v>
      </c>
      <c r="AV203" s="233" t="n">
        <f aca="false">[10]Sheet1!AA194</f>
        <v>0.253571428571429</v>
      </c>
      <c r="AW203" s="233" t="n">
        <v>0</v>
      </c>
    </row>
    <row r="204" customFormat="false" ht="11.25" hidden="false" customHeight="false" outlineLevel="0" collapsed="false">
      <c r="A204" s="233"/>
      <c r="B204" s="233"/>
      <c r="C204" s="231" t="e">
        <f aca="false">NextMonth(C203)</f>
        <v>#VALUE!</v>
      </c>
      <c r="D204" s="252" t="n">
        <v>0.0664745539581761</v>
      </c>
      <c r="E204" s="232" t="n">
        <v>5.224</v>
      </c>
      <c r="F204" s="232" t="n">
        <v>0.17</v>
      </c>
      <c r="G204" s="232" t="n">
        <v>0.17</v>
      </c>
      <c r="H204" s="232" t="n">
        <v>0.17</v>
      </c>
      <c r="I204" s="232" t="n">
        <v>0.175</v>
      </c>
      <c r="J204" s="232" t="n">
        <v>0.17</v>
      </c>
      <c r="K204" s="233" t="n">
        <v>0.17</v>
      </c>
      <c r="L204" s="232" t="n">
        <v>1</v>
      </c>
      <c r="M204" s="232" t="n">
        <v>1</v>
      </c>
      <c r="N204" s="232" t="n">
        <v>1.1</v>
      </c>
      <c r="O204" s="232" t="n">
        <v>1.35</v>
      </c>
      <c r="P204" s="232" t="n">
        <v>1.05</v>
      </c>
      <c r="Q204" s="252" t="n">
        <v>0</v>
      </c>
      <c r="R204" s="252" t="n">
        <v>0</v>
      </c>
      <c r="S204" s="233" t="n">
        <v>0</v>
      </c>
      <c r="T204" s="233" t="n">
        <v>0</v>
      </c>
      <c r="U204" s="233" t="n">
        <v>0</v>
      </c>
      <c r="V204" s="233" t="n">
        <v>0</v>
      </c>
      <c r="W204" s="233" t="n">
        <v>0</v>
      </c>
      <c r="X204" s="233" t="n">
        <v>0</v>
      </c>
      <c r="Y204" s="233" t="n">
        <v>0</v>
      </c>
      <c r="Z204" s="233" t="n">
        <v>0</v>
      </c>
      <c r="AA204" s="233" t="n">
        <v>0</v>
      </c>
      <c r="AB204" s="233" t="n">
        <v>0</v>
      </c>
      <c r="AC204" s="233" t="n">
        <v>0.27</v>
      </c>
      <c r="AD204" s="233" t="n">
        <v>0.03</v>
      </c>
      <c r="AE204" s="233" t="n">
        <v>0</v>
      </c>
      <c r="AF204" s="233" t="n">
        <v>0</v>
      </c>
      <c r="AG204" s="233" t="n">
        <v>0</v>
      </c>
      <c r="AH204" s="233" t="n">
        <v>0</v>
      </c>
      <c r="AI204" s="233" t="n">
        <v>0</v>
      </c>
      <c r="AJ204" s="233" t="n">
        <v>0</v>
      </c>
      <c r="AN204" s="233" t="n">
        <v>1.54469393532019</v>
      </c>
      <c r="AO204" s="233" t="n">
        <v>0.17</v>
      </c>
      <c r="AP204" s="233" t="n">
        <v>0</v>
      </c>
      <c r="AQ204" s="233" t="n">
        <v>0</v>
      </c>
      <c r="AR204" s="233" t="n">
        <f aca="false">1/AN204</f>
        <v>0.647377436484022</v>
      </c>
      <c r="AT204" s="253" t="n">
        <f aca="false">AR204*AM204*$AT$6</f>
        <v>0</v>
      </c>
      <c r="AU204" s="253" t="n">
        <f aca="false">AK204+AL204+AT204</f>
        <v>0</v>
      </c>
      <c r="AV204" s="233" t="n">
        <f aca="false">[10]Sheet1!AA195</f>
        <v>25</v>
      </c>
      <c r="AW204" s="233" t="n">
        <v>0</v>
      </c>
    </row>
    <row r="205" customFormat="false" ht="11.25" hidden="false" customHeight="false" outlineLevel="0" collapsed="false">
      <c r="A205" s="233"/>
      <c r="B205" s="233"/>
      <c r="C205" s="231" t="e">
        <f aca="false">NextMonth(C204)</f>
        <v>#VALUE!</v>
      </c>
      <c r="D205" s="252" t="n">
        <v>0.0665111629478399</v>
      </c>
      <c r="E205" s="232" t="n">
        <v>5.104</v>
      </c>
      <c r="F205" s="232" t="n">
        <v>0.17</v>
      </c>
      <c r="G205" s="232" t="n">
        <v>0.17</v>
      </c>
      <c r="H205" s="232" t="n">
        <v>0.17</v>
      </c>
      <c r="I205" s="232" t="n">
        <v>0.175</v>
      </c>
      <c r="J205" s="232" t="n">
        <v>0.17</v>
      </c>
      <c r="K205" s="233" t="n">
        <v>0.17</v>
      </c>
      <c r="L205" s="232" t="n">
        <v>1</v>
      </c>
      <c r="M205" s="232" t="n">
        <v>1</v>
      </c>
      <c r="N205" s="232" t="n">
        <v>1.1</v>
      </c>
      <c r="O205" s="232" t="n">
        <v>1.35</v>
      </c>
      <c r="P205" s="232" t="n">
        <v>1.05</v>
      </c>
      <c r="Q205" s="252" t="n">
        <v>0</v>
      </c>
      <c r="R205" s="252" t="n">
        <v>0</v>
      </c>
      <c r="S205" s="233" t="n">
        <v>0</v>
      </c>
      <c r="T205" s="233" t="n">
        <v>0</v>
      </c>
      <c r="U205" s="233" t="n">
        <v>0</v>
      </c>
      <c r="V205" s="233" t="n">
        <v>0</v>
      </c>
      <c r="W205" s="233" t="n">
        <v>0</v>
      </c>
      <c r="X205" s="233" t="n">
        <v>0</v>
      </c>
      <c r="Y205" s="233" t="n">
        <v>0</v>
      </c>
      <c r="Z205" s="233" t="n">
        <v>0</v>
      </c>
      <c r="AA205" s="233" t="n">
        <v>0</v>
      </c>
      <c r="AB205" s="233" t="n">
        <v>0</v>
      </c>
      <c r="AC205" s="233" t="n">
        <v>0.27</v>
      </c>
      <c r="AD205" s="233" t="n">
        <v>0.03</v>
      </c>
      <c r="AE205" s="233" t="n">
        <v>0</v>
      </c>
      <c r="AF205" s="233" t="n">
        <v>0</v>
      </c>
      <c r="AG205" s="233" t="n">
        <v>0</v>
      </c>
      <c r="AH205" s="233" t="n">
        <v>0</v>
      </c>
      <c r="AI205" s="233" t="n">
        <v>0</v>
      </c>
      <c r="AJ205" s="233" t="n">
        <v>0</v>
      </c>
      <c r="AN205" s="233" t="n">
        <v>1.54417064563746</v>
      </c>
      <c r="AO205" s="233" t="n">
        <v>0.17</v>
      </c>
      <c r="AP205" s="233" t="n">
        <v>0</v>
      </c>
      <c r="AQ205" s="233" t="n">
        <v>0</v>
      </c>
      <c r="AR205" s="233" t="n">
        <f aca="false">1/AN205</f>
        <v>0.647596820225256</v>
      </c>
      <c r="AT205" s="253" t="n">
        <f aca="false">AR205*AM205*$AT$6</f>
        <v>0</v>
      </c>
      <c r="AU205" s="253" t="n">
        <f aca="false">AK205+AL205+AT205</f>
        <v>0</v>
      </c>
      <c r="AV205" s="233" t="n">
        <f aca="false">[10]Sheet1!AA196</f>
        <v>25</v>
      </c>
      <c r="AW205" s="233" t="n">
        <v>0</v>
      </c>
    </row>
    <row r="206" customFormat="false" ht="11.25" hidden="false" customHeight="false" outlineLevel="0" collapsed="false">
      <c r="A206" s="233"/>
      <c r="B206" s="233"/>
      <c r="C206" s="231" t="e">
        <f aca="false">NextMonth(C205)</f>
        <v>#VALUE!</v>
      </c>
      <c r="D206" s="252" t="n">
        <v>0.0665442291324338</v>
      </c>
      <c r="E206" s="232" t="n">
        <v>4.965</v>
      </c>
      <c r="F206" s="232" t="n">
        <v>0.17</v>
      </c>
      <c r="G206" s="232" t="n">
        <v>0.17</v>
      </c>
      <c r="H206" s="232" t="n">
        <v>0.17</v>
      </c>
      <c r="I206" s="232" t="n">
        <v>0.175</v>
      </c>
      <c r="J206" s="232" t="n">
        <v>0.17</v>
      </c>
      <c r="K206" s="233" t="n">
        <v>0.17</v>
      </c>
      <c r="L206" s="232" t="n">
        <v>0.75</v>
      </c>
      <c r="M206" s="232" t="n">
        <v>0.75</v>
      </c>
      <c r="N206" s="232" t="n">
        <v>0.75</v>
      </c>
      <c r="O206" s="232" t="n">
        <v>0.95</v>
      </c>
      <c r="P206" s="232" t="n">
        <v>0.75</v>
      </c>
      <c r="Q206" s="252" t="n">
        <v>0</v>
      </c>
      <c r="R206" s="252" t="n">
        <v>0</v>
      </c>
      <c r="S206" s="233" t="n">
        <v>0</v>
      </c>
      <c r="T206" s="233" t="n">
        <v>0</v>
      </c>
      <c r="U206" s="233" t="n">
        <v>0</v>
      </c>
      <c r="V206" s="233" t="n">
        <v>0</v>
      </c>
      <c r="W206" s="233" t="n">
        <v>0</v>
      </c>
      <c r="X206" s="233" t="n">
        <v>0</v>
      </c>
      <c r="Y206" s="233" t="n">
        <v>0</v>
      </c>
      <c r="Z206" s="233" t="n">
        <v>0</v>
      </c>
      <c r="AA206" s="233" t="n">
        <v>0</v>
      </c>
      <c r="AB206" s="233" t="n">
        <v>0</v>
      </c>
      <c r="AC206" s="233" t="n">
        <v>0.24</v>
      </c>
      <c r="AD206" s="233" t="n">
        <v>0.03</v>
      </c>
      <c r="AE206" s="233" t="n">
        <v>0</v>
      </c>
      <c r="AF206" s="233" t="n">
        <v>0</v>
      </c>
      <c r="AG206" s="233" t="n">
        <v>0</v>
      </c>
      <c r="AH206" s="233" t="n">
        <v>0</v>
      </c>
      <c r="AI206" s="233" t="n">
        <v>0</v>
      </c>
      <c r="AJ206" s="233" t="n">
        <v>0</v>
      </c>
      <c r="AN206" s="233" t="n">
        <v>1.54369363257901</v>
      </c>
      <c r="AO206" s="233" t="n">
        <v>0.17</v>
      </c>
      <c r="AP206" s="233" t="n">
        <v>0</v>
      </c>
      <c r="AQ206" s="233" t="n">
        <v>0</v>
      </c>
      <c r="AR206" s="233" t="n">
        <f aca="false">1/AN206</f>
        <v>0.647796932561888</v>
      </c>
      <c r="AT206" s="253" t="n">
        <f aca="false">AR206*AM206*$AT$6</f>
        <v>0</v>
      </c>
      <c r="AU206" s="253" t="n">
        <f aca="false">AK206+AL206+AT206</f>
        <v>0</v>
      </c>
      <c r="AV206" s="233" t="n">
        <f aca="false">[10]Sheet1!AA197</f>
        <v>0</v>
      </c>
      <c r="AW206" s="233" t="n">
        <v>0</v>
      </c>
    </row>
    <row r="207" customFormat="false" ht="11.25" hidden="false" customHeight="false" outlineLevel="0" collapsed="false">
      <c r="A207" s="233"/>
      <c r="B207" s="233"/>
      <c r="C207" s="231" t="e">
        <f aca="false">NextMonth(C206)</f>
        <v>#VALUE!</v>
      </c>
      <c r="D207" s="252" t="n">
        <v>0.0665808381229427</v>
      </c>
      <c r="E207" s="232" t="n">
        <v>4.79</v>
      </c>
      <c r="F207" s="232" t="n">
        <v>0.17</v>
      </c>
      <c r="G207" s="232" t="n">
        <v>0.17</v>
      </c>
      <c r="H207" s="232" t="n">
        <v>0.17</v>
      </c>
      <c r="I207" s="232" t="n">
        <v>0.175</v>
      </c>
      <c r="J207" s="232" t="n">
        <v>0.17</v>
      </c>
      <c r="K207" s="233" t="n">
        <v>0.17</v>
      </c>
      <c r="L207" s="232" t="n">
        <v>0.4</v>
      </c>
      <c r="M207" s="232" t="n">
        <v>0.4</v>
      </c>
      <c r="N207" s="232" t="n">
        <v>0.45</v>
      </c>
      <c r="O207" s="232" t="n">
        <v>0.5</v>
      </c>
      <c r="P207" s="232" t="n">
        <v>0.45</v>
      </c>
      <c r="Q207" s="252" t="n">
        <v>0</v>
      </c>
      <c r="R207" s="252" t="n">
        <v>0</v>
      </c>
      <c r="S207" s="233" t="n">
        <v>0</v>
      </c>
      <c r="T207" s="233" t="n">
        <v>0</v>
      </c>
      <c r="U207" s="233" t="n">
        <v>0</v>
      </c>
      <c r="V207" s="233" t="n">
        <v>0</v>
      </c>
      <c r="W207" s="233" t="n">
        <v>0</v>
      </c>
      <c r="X207" s="233" t="n">
        <v>0</v>
      </c>
      <c r="Y207" s="233" t="n">
        <v>0</v>
      </c>
      <c r="Z207" s="233" t="n">
        <v>0</v>
      </c>
      <c r="AA207" s="233" t="n">
        <v>0</v>
      </c>
      <c r="AB207" s="233" t="n">
        <v>0</v>
      </c>
      <c r="AC207" s="233" t="n">
        <v>0.17</v>
      </c>
      <c r="AD207" s="233" t="n">
        <v>0.0175</v>
      </c>
      <c r="AE207" s="233" t="n">
        <v>0</v>
      </c>
      <c r="AF207" s="233" t="n">
        <v>0</v>
      </c>
      <c r="AG207" s="233" t="n">
        <v>0</v>
      </c>
      <c r="AH207" s="233" t="n">
        <v>0</v>
      </c>
      <c r="AI207" s="233" t="n">
        <v>0</v>
      </c>
      <c r="AJ207" s="233" t="n">
        <v>0</v>
      </c>
      <c r="AN207" s="233" t="n">
        <v>1.5431606841548</v>
      </c>
      <c r="AO207" s="233" t="n">
        <v>0.17</v>
      </c>
      <c r="AP207" s="233" t="n">
        <v>0</v>
      </c>
      <c r="AQ207" s="233" t="n">
        <v>0</v>
      </c>
      <c r="AR207" s="233" t="n">
        <f aca="false">1/AN207</f>
        <v>0.648020656739131</v>
      </c>
      <c r="AT207" s="253" t="n">
        <f aca="false">AR207*AM207*$AT$6</f>
        <v>0</v>
      </c>
      <c r="AU207" s="253" t="n">
        <f aca="false">AK207+AL207+AT207</f>
        <v>0</v>
      </c>
      <c r="AV207" s="233" t="str">
        <f aca="false">[10]Sheet1!AA198</f>
        <v>Fake Chippawa</v>
      </c>
      <c r="AW207" s="233" t="n">
        <v>0</v>
      </c>
    </row>
    <row r="208" customFormat="false" ht="11.25" hidden="false" customHeight="false" outlineLevel="0" collapsed="false">
      <c r="A208" s="233"/>
      <c r="B208" s="233"/>
      <c r="C208" s="231" t="e">
        <f aca="false">NextMonth(C207)</f>
        <v>#VALUE!</v>
      </c>
      <c r="D208" s="252" t="n">
        <v>0.0666162661786962</v>
      </c>
      <c r="E208" s="232" t="n">
        <v>4.76</v>
      </c>
      <c r="F208" s="232" t="n">
        <v>0.17</v>
      </c>
      <c r="G208" s="232" t="n">
        <v>0.17</v>
      </c>
      <c r="H208" s="232" t="n">
        <v>0.17</v>
      </c>
      <c r="I208" s="232" t="n">
        <v>0.175</v>
      </c>
      <c r="J208" s="232" t="n">
        <v>0.17</v>
      </c>
      <c r="K208" s="233" t="n">
        <v>0.17</v>
      </c>
      <c r="L208" s="232" t="n">
        <v>0.45</v>
      </c>
      <c r="M208" s="232" t="n">
        <v>0.4</v>
      </c>
      <c r="N208" s="232" t="n">
        <v>0.5</v>
      </c>
      <c r="O208" s="232" t="n">
        <v>0.45</v>
      </c>
      <c r="P208" s="232" t="n">
        <v>0.45</v>
      </c>
      <c r="Q208" s="252" t="n">
        <v>0</v>
      </c>
      <c r="R208" s="252" t="n">
        <v>0</v>
      </c>
      <c r="S208" s="233" t="n">
        <v>0</v>
      </c>
      <c r="T208" s="233" t="n">
        <v>0</v>
      </c>
      <c r="U208" s="233" t="n">
        <v>0</v>
      </c>
      <c r="V208" s="233" t="n">
        <v>0</v>
      </c>
      <c r="W208" s="233" t="n">
        <v>0</v>
      </c>
      <c r="X208" s="233" t="n">
        <v>0</v>
      </c>
      <c r="Y208" s="233" t="n">
        <v>0</v>
      </c>
      <c r="Z208" s="233" t="n">
        <v>0</v>
      </c>
      <c r="AA208" s="233" t="n">
        <v>0</v>
      </c>
      <c r="AB208" s="233" t="n">
        <v>0</v>
      </c>
      <c r="AC208" s="233" t="n">
        <v>0.165</v>
      </c>
      <c r="AD208" s="233" t="n">
        <v>0.01</v>
      </c>
      <c r="AE208" s="233" t="n">
        <v>0</v>
      </c>
      <c r="AF208" s="233" t="n">
        <v>0</v>
      </c>
      <c r="AG208" s="233" t="n">
        <v>0</v>
      </c>
      <c r="AH208" s="233" t="n">
        <v>0</v>
      </c>
      <c r="AI208" s="233" t="n">
        <v>0</v>
      </c>
      <c r="AJ208" s="233" t="n">
        <v>0</v>
      </c>
      <c r="AN208" s="233" t="n">
        <v>1.54264010323626</v>
      </c>
      <c r="AO208" s="233" t="n">
        <v>0.17</v>
      </c>
      <c r="AP208" s="233" t="n">
        <v>0</v>
      </c>
      <c r="AQ208" s="233" t="n">
        <v>0</v>
      </c>
      <c r="AR208" s="233" t="n">
        <f aca="false">1/AN208</f>
        <v>0.648239338457576</v>
      </c>
      <c r="AT208" s="253" t="n">
        <f aca="false">AR208*AM208*$AT$6</f>
        <v>0</v>
      </c>
      <c r="AU208" s="253" t="n">
        <f aca="false">AK208+AL208+AT208</f>
        <v>0</v>
      </c>
      <c r="AV208" s="233" t="n">
        <f aca="false">[10]Sheet1!AA199</f>
        <v>0.122</v>
      </c>
      <c r="AW208" s="233" t="n">
        <v>0</v>
      </c>
    </row>
    <row r="209" customFormat="false" ht="11.25" hidden="false" customHeight="false" outlineLevel="0" collapsed="false">
      <c r="A209" s="233"/>
      <c r="B209" s="233"/>
      <c r="C209" s="231" t="e">
        <f aca="false">NextMonth(C208)</f>
        <v>#VALUE!</v>
      </c>
      <c r="D209" s="252" t="n">
        <v>0.0666528751700781</v>
      </c>
      <c r="E209" s="232" t="n">
        <v>4.83</v>
      </c>
      <c r="F209" s="232" t="n">
        <v>0.17</v>
      </c>
      <c r="G209" s="232" t="n">
        <v>0.17</v>
      </c>
      <c r="H209" s="232" t="n">
        <v>0.17</v>
      </c>
      <c r="I209" s="232" t="n">
        <v>0.175</v>
      </c>
      <c r="J209" s="232" t="n">
        <v>0.17</v>
      </c>
      <c r="K209" s="233" t="n">
        <v>0.17</v>
      </c>
      <c r="L209" s="232" t="n">
        <v>0.45</v>
      </c>
      <c r="M209" s="232" t="n">
        <v>0.4</v>
      </c>
      <c r="N209" s="232" t="n">
        <v>0.5</v>
      </c>
      <c r="O209" s="232" t="n">
        <v>0.5</v>
      </c>
      <c r="P209" s="232" t="n">
        <v>0.5</v>
      </c>
      <c r="Q209" s="252" t="n">
        <v>0</v>
      </c>
      <c r="R209" s="252" t="n">
        <v>0</v>
      </c>
      <c r="S209" s="233" t="n">
        <v>0</v>
      </c>
      <c r="T209" s="233" t="n">
        <v>0</v>
      </c>
      <c r="U209" s="233" t="n">
        <v>0</v>
      </c>
      <c r="V209" s="233" t="n">
        <v>0</v>
      </c>
      <c r="W209" s="233" t="n">
        <v>0</v>
      </c>
      <c r="X209" s="233" t="n">
        <v>0</v>
      </c>
      <c r="Y209" s="233" t="n">
        <v>0</v>
      </c>
      <c r="Z209" s="233" t="n">
        <v>0</v>
      </c>
      <c r="AA209" s="233" t="n">
        <v>0</v>
      </c>
      <c r="AB209" s="233" t="n">
        <v>0</v>
      </c>
      <c r="AC209" s="233" t="n">
        <v>0.17</v>
      </c>
      <c r="AD209" s="233" t="n">
        <v>0.0125</v>
      </c>
      <c r="AE209" s="233" t="n">
        <v>0</v>
      </c>
      <c r="AF209" s="233" t="n">
        <v>0</v>
      </c>
      <c r="AG209" s="233" t="n">
        <v>0</v>
      </c>
      <c r="AH209" s="233" t="n">
        <v>0</v>
      </c>
      <c r="AI209" s="233" t="n">
        <v>0</v>
      </c>
      <c r="AJ209" s="233" t="n">
        <v>0</v>
      </c>
      <c r="AN209" s="233" t="n">
        <v>1.54209718990591</v>
      </c>
      <c r="AO209" s="233" t="n">
        <v>0.17</v>
      </c>
      <c r="AP209" s="233" t="n">
        <v>0</v>
      </c>
      <c r="AQ209" s="233" t="n">
        <v>0</v>
      </c>
      <c r="AR209" s="233" t="n">
        <f aca="false">1/AN209</f>
        <v>0.648467558689355</v>
      </c>
      <c r="AT209" s="253" t="n">
        <f aca="false">AR209*AM209*$AT$6</f>
        <v>0</v>
      </c>
      <c r="AU209" s="253" t="n">
        <f aca="false">AK209+AL209+AT209</f>
        <v>0</v>
      </c>
      <c r="AV209" s="233" t="n">
        <f aca="false">[10]Sheet1!AA200</f>
        <v>0.122</v>
      </c>
      <c r="AW209" s="233" t="n">
        <v>0</v>
      </c>
    </row>
    <row r="210" customFormat="false" ht="11.25" hidden="false" customHeight="false" outlineLevel="0" collapsed="false">
      <c r="A210" s="233"/>
      <c r="B210" s="233"/>
      <c r="C210" s="231" t="e">
        <f aca="false">NextMonth(C209)</f>
        <v>#VALUE!</v>
      </c>
      <c r="D210" s="252" t="n">
        <v>0.0666883032266772</v>
      </c>
      <c r="E210" s="232" t="n">
        <v>4.885</v>
      </c>
      <c r="F210" s="232" t="n">
        <v>0.17</v>
      </c>
      <c r="G210" s="232" t="n">
        <v>0.17</v>
      </c>
      <c r="H210" s="232" t="n">
        <v>0.17</v>
      </c>
      <c r="I210" s="232" t="n">
        <v>0.175</v>
      </c>
      <c r="J210" s="232" t="n">
        <v>0.17</v>
      </c>
      <c r="K210" s="233" t="n">
        <v>0.17</v>
      </c>
      <c r="L210" s="232" t="n">
        <v>0.5</v>
      </c>
      <c r="M210" s="232" t="n">
        <v>0.4</v>
      </c>
      <c r="N210" s="232" t="n">
        <v>0.55</v>
      </c>
      <c r="O210" s="232" t="n">
        <v>0.5</v>
      </c>
      <c r="P210" s="232" t="n">
        <v>0.5</v>
      </c>
      <c r="Q210" s="252" t="n">
        <v>0</v>
      </c>
      <c r="R210" s="252" t="n">
        <v>0</v>
      </c>
      <c r="S210" s="233" t="n">
        <v>0</v>
      </c>
      <c r="T210" s="233" t="n">
        <v>0</v>
      </c>
      <c r="U210" s="233" t="n">
        <v>0</v>
      </c>
      <c r="V210" s="233" t="n">
        <v>0</v>
      </c>
      <c r="W210" s="233" t="n">
        <v>0</v>
      </c>
      <c r="X210" s="233" t="n">
        <v>0</v>
      </c>
      <c r="Y210" s="233" t="n">
        <v>0</v>
      </c>
      <c r="Z210" s="233" t="n">
        <v>0</v>
      </c>
      <c r="AA210" s="233" t="n">
        <v>0</v>
      </c>
      <c r="AB210" s="233" t="n">
        <v>0</v>
      </c>
      <c r="AC210" s="233" t="n">
        <v>0.175</v>
      </c>
      <c r="AD210" s="233" t="n">
        <v>0.0125</v>
      </c>
      <c r="AE210" s="233" t="n">
        <v>0</v>
      </c>
      <c r="AF210" s="233" t="n">
        <v>0</v>
      </c>
      <c r="AG210" s="233" t="n">
        <v>0</v>
      </c>
      <c r="AH210" s="233" t="n">
        <v>0</v>
      </c>
      <c r="AI210" s="233" t="n">
        <v>0</v>
      </c>
      <c r="AJ210" s="233" t="n">
        <v>0</v>
      </c>
      <c r="AN210" s="233" t="n">
        <v>1.54156697611836</v>
      </c>
      <c r="AO210" s="233" t="n">
        <v>0.17</v>
      </c>
      <c r="AP210" s="233" t="n">
        <v>0</v>
      </c>
      <c r="AQ210" s="233" t="n">
        <v>0</v>
      </c>
      <c r="AR210" s="233" t="n">
        <f aca="false">1/AN210</f>
        <v>0.648690595667782</v>
      </c>
      <c r="AT210" s="253" t="n">
        <f aca="false">AR210*AM210*$AT$6</f>
        <v>0</v>
      </c>
      <c r="AU210" s="253" t="n">
        <f aca="false">AK210+AL210+AT210</f>
        <v>0</v>
      </c>
      <c r="AV210" s="233" t="n">
        <f aca="false">[10]Sheet1!AA201</f>
        <v>0.122</v>
      </c>
      <c r="AW210" s="233" t="n">
        <v>0</v>
      </c>
    </row>
    <row r="211" customFormat="false" ht="11.25" hidden="false" customHeight="false" outlineLevel="0" collapsed="false">
      <c r="A211" s="233"/>
      <c r="B211" s="233"/>
      <c r="C211" s="231" t="e">
        <f aca="false">NextMonth(C210)</f>
        <v>#VALUE!</v>
      </c>
      <c r="D211" s="252" t="n">
        <v>0.0667249122189326</v>
      </c>
      <c r="E211" s="232" t="n">
        <v>4.941</v>
      </c>
      <c r="F211" s="232" t="n">
        <v>0.17</v>
      </c>
      <c r="G211" s="232" t="n">
        <v>0.17</v>
      </c>
      <c r="H211" s="232" t="n">
        <v>0.17</v>
      </c>
      <c r="I211" s="232" t="n">
        <v>0.175</v>
      </c>
      <c r="J211" s="232" t="n">
        <v>0.17</v>
      </c>
      <c r="K211" s="233" t="n">
        <v>0.17</v>
      </c>
      <c r="L211" s="232" t="n">
        <v>0.55</v>
      </c>
      <c r="M211" s="232" t="n">
        <v>0.5</v>
      </c>
      <c r="N211" s="232" t="n">
        <v>0.6</v>
      </c>
      <c r="O211" s="232" t="n">
        <v>0.45</v>
      </c>
      <c r="P211" s="232" t="n">
        <v>0.55</v>
      </c>
      <c r="Q211" s="252" t="n">
        <v>0</v>
      </c>
      <c r="R211" s="252" t="n">
        <v>0</v>
      </c>
      <c r="S211" s="233" t="n">
        <v>0</v>
      </c>
      <c r="T211" s="233" t="n">
        <v>0</v>
      </c>
      <c r="U211" s="233" t="n">
        <v>0</v>
      </c>
      <c r="V211" s="233" t="n">
        <v>0</v>
      </c>
      <c r="W211" s="233" t="n">
        <v>0</v>
      </c>
      <c r="X211" s="233" t="n">
        <v>0</v>
      </c>
      <c r="Y211" s="233" t="n">
        <v>0</v>
      </c>
      <c r="Z211" s="233" t="n">
        <v>0</v>
      </c>
      <c r="AA211" s="233" t="n">
        <v>0</v>
      </c>
      <c r="AB211" s="233" t="n">
        <v>0</v>
      </c>
      <c r="AC211" s="233" t="n">
        <v>0.175</v>
      </c>
      <c r="AD211" s="233" t="n">
        <v>0.0125</v>
      </c>
      <c r="AE211" s="233" t="n">
        <v>0</v>
      </c>
      <c r="AF211" s="233" t="n">
        <v>0</v>
      </c>
      <c r="AG211" s="233" t="n">
        <v>0</v>
      </c>
      <c r="AH211" s="233" t="n">
        <v>0</v>
      </c>
      <c r="AI211" s="233" t="n">
        <v>0</v>
      </c>
      <c r="AJ211" s="233" t="n">
        <v>0</v>
      </c>
      <c r="AN211" s="233" t="n">
        <v>1.54101411985956</v>
      </c>
      <c r="AO211" s="233" t="n">
        <v>0.17</v>
      </c>
      <c r="AP211" s="233" t="n">
        <v>0</v>
      </c>
      <c r="AQ211" s="233" t="n">
        <v>0</v>
      </c>
      <c r="AR211" s="233" t="n">
        <f aca="false">1/AN211</f>
        <v>0.648923320761743</v>
      </c>
      <c r="AT211" s="253" t="n">
        <f aca="false">AR211*AM211*$AT$6</f>
        <v>0</v>
      </c>
      <c r="AU211" s="253" t="n">
        <f aca="false">AK211+AL211+AT211</f>
        <v>0</v>
      </c>
      <c r="AV211" s="233" t="n">
        <f aca="false">[10]Sheet1!AA202</f>
        <v>0.122</v>
      </c>
      <c r="AW211" s="233" t="n">
        <v>0</v>
      </c>
    </row>
    <row r="212" customFormat="false" ht="11.25" hidden="false" customHeight="false" outlineLevel="0" collapsed="false">
      <c r="A212" s="233"/>
      <c r="B212" s="233"/>
      <c r="C212" s="231" t="e">
        <f aca="false">NextMonth(C211)</f>
        <v>#VALUE!</v>
      </c>
      <c r="D212" s="252" t="n">
        <v>0.0667615212116322</v>
      </c>
      <c r="E212" s="232" t="n">
        <v>4.955</v>
      </c>
      <c r="F212" s="232" t="n">
        <v>0.17</v>
      </c>
      <c r="G212" s="232" t="n">
        <v>0.17</v>
      </c>
      <c r="H212" s="232" t="n">
        <v>0.17</v>
      </c>
      <c r="I212" s="232" t="n">
        <v>0.175</v>
      </c>
      <c r="J212" s="232" t="n">
        <v>0.17</v>
      </c>
      <c r="K212" s="233" t="n">
        <v>0.17</v>
      </c>
      <c r="L212" s="232" t="n">
        <v>0.55</v>
      </c>
      <c r="M212" s="232" t="n">
        <v>0.55</v>
      </c>
      <c r="N212" s="232" t="n">
        <v>0.6</v>
      </c>
      <c r="O212" s="232" t="n">
        <v>0.5</v>
      </c>
      <c r="P212" s="232" t="n">
        <v>0.6</v>
      </c>
      <c r="Q212" s="252" t="n">
        <v>0</v>
      </c>
      <c r="R212" s="252" t="n">
        <v>0</v>
      </c>
      <c r="S212" s="233" t="n">
        <v>0</v>
      </c>
      <c r="T212" s="233" t="n">
        <v>0</v>
      </c>
      <c r="U212" s="233" t="n">
        <v>0</v>
      </c>
      <c r="V212" s="233" t="n">
        <v>0</v>
      </c>
      <c r="W212" s="233" t="n">
        <v>0</v>
      </c>
      <c r="X212" s="233" t="n">
        <v>0</v>
      </c>
      <c r="Y212" s="233" t="n">
        <v>0</v>
      </c>
      <c r="Z212" s="233" t="n">
        <v>0</v>
      </c>
      <c r="AA212" s="233" t="n">
        <v>0</v>
      </c>
      <c r="AB212" s="233" t="n">
        <v>0</v>
      </c>
      <c r="AC212" s="233" t="n">
        <v>0.165</v>
      </c>
      <c r="AD212" s="233" t="n">
        <v>0.0125</v>
      </c>
      <c r="AE212" s="233" t="n">
        <v>0</v>
      </c>
      <c r="AF212" s="233" t="n">
        <v>0</v>
      </c>
      <c r="AG212" s="233" t="n">
        <v>0</v>
      </c>
      <c r="AH212" s="233" t="n">
        <v>0</v>
      </c>
      <c r="AI212" s="233" t="n">
        <v>0</v>
      </c>
      <c r="AJ212" s="233" t="n">
        <v>0</v>
      </c>
      <c r="AN212" s="233" t="n">
        <v>1.54045621918013</v>
      </c>
      <c r="AO212" s="233" t="n">
        <v>0.17</v>
      </c>
      <c r="AP212" s="233" t="n">
        <v>0</v>
      </c>
      <c r="AQ212" s="233" t="n">
        <v>0</v>
      </c>
      <c r="AR212" s="233" t="n">
        <f aca="false">1/AN212</f>
        <v>0.649158338646083</v>
      </c>
      <c r="AT212" s="253" t="n">
        <f aca="false">AR212*AM212*$AT$6</f>
        <v>0</v>
      </c>
      <c r="AU212" s="253" t="n">
        <f aca="false">AK212+AL212+AT212</f>
        <v>0</v>
      </c>
      <c r="AV212" s="233" t="n">
        <f aca="false">[10]Sheet1!AA203</f>
        <v>0.122</v>
      </c>
      <c r="AW212" s="233" t="n">
        <v>0</v>
      </c>
    </row>
    <row r="213" customFormat="false" ht="11.25" hidden="false" customHeight="false" outlineLevel="0" collapsed="false">
      <c r="A213" s="233"/>
      <c r="B213" s="233"/>
      <c r="C213" s="231" t="e">
        <f aca="false">NextMonth(C212)</f>
        <v>#VALUE!</v>
      </c>
      <c r="D213" s="252" t="n">
        <v>0.0667969492695058</v>
      </c>
      <c r="E213" s="232" t="n">
        <v>4.986</v>
      </c>
      <c r="F213" s="232" t="n">
        <v>0.17</v>
      </c>
      <c r="G213" s="232" t="n">
        <v>0.17</v>
      </c>
      <c r="H213" s="232" t="n">
        <v>0.17</v>
      </c>
      <c r="I213" s="232" t="n">
        <v>0.175</v>
      </c>
      <c r="J213" s="232" t="n">
        <v>0.17</v>
      </c>
      <c r="K213" s="233" t="n">
        <v>0.17</v>
      </c>
      <c r="L213" s="232" t="n">
        <v>0.6</v>
      </c>
      <c r="M213" s="232" t="n">
        <v>0.55</v>
      </c>
      <c r="N213" s="232" t="n">
        <v>0.65</v>
      </c>
      <c r="O213" s="232" t="n">
        <v>0.5</v>
      </c>
      <c r="P213" s="232" t="n">
        <v>0.65</v>
      </c>
      <c r="Q213" s="252" t="n">
        <v>0</v>
      </c>
      <c r="R213" s="252" t="n">
        <v>0</v>
      </c>
      <c r="S213" s="233" t="n">
        <v>0</v>
      </c>
      <c r="T213" s="233" t="n">
        <v>0</v>
      </c>
      <c r="U213" s="233" t="n">
        <v>0</v>
      </c>
      <c r="V213" s="233" t="n">
        <v>0</v>
      </c>
      <c r="W213" s="233" t="n">
        <v>0</v>
      </c>
      <c r="X213" s="233" t="n">
        <v>0</v>
      </c>
      <c r="Y213" s="233" t="n">
        <v>0</v>
      </c>
      <c r="Z213" s="233" t="n">
        <v>0</v>
      </c>
      <c r="AA213" s="233" t="n">
        <v>0</v>
      </c>
      <c r="AB213" s="233" t="n">
        <v>0</v>
      </c>
      <c r="AC213" s="233" t="n">
        <v>0.1725</v>
      </c>
      <c r="AD213" s="233" t="n">
        <v>0.0125</v>
      </c>
      <c r="AE213" s="233" t="n">
        <v>0</v>
      </c>
      <c r="AF213" s="233" t="n">
        <v>0</v>
      </c>
      <c r="AG213" s="233" t="n">
        <v>0</v>
      </c>
      <c r="AH213" s="233" t="n">
        <v>0</v>
      </c>
      <c r="AI213" s="233" t="n">
        <v>0</v>
      </c>
      <c r="AJ213" s="233" t="n">
        <v>0</v>
      </c>
      <c r="AN213" s="233" t="n">
        <v>1.53991151782015</v>
      </c>
      <c r="AO213" s="233" t="n">
        <v>0.17</v>
      </c>
      <c r="AP213" s="233" t="n">
        <v>0</v>
      </c>
      <c r="AQ213" s="233" t="n">
        <v>0</v>
      </c>
      <c r="AR213" s="233" t="n">
        <f aca="false">1/AN213</f>
        <v>0.649387960559947</v>
      </c>
      <c r="AT213" s="253" t="n">
        <f aca="false">AR213*AM213*$AT$6</f>
        <v>0</v>
      </c>
      <c r="AU213" s="253" t="n">
        <f aca="false">AK213+AL213+AT213</f>
        <v>0</v>
      </c>
      <c r="AV213" s="233" t="n">
        <f aca="false">[10]Sheet1!AA204</f>
        <v>0.171071428571429</v>
      </c>
      <c r="AW213" s="233" t="n">
        <v>0</v>
      </c>
    </row>
    <row r="214" customFormat="false" ht="11.25" hidden="false" customHeight="false" outlineLevel="0" collapsed="false">
      <c r="A214" s="233"/>
      <c r="B214" s="233"/>
      <c r="C214" s="231" t="e">
        <f aca="false">NextMonth(C213)</f>
        <v>#VALUE!</v>
      </c>
      <c r="D214" s="252" t="n">
        <v>0.0668335582630784</v>
      </c>
      <c r="E214" s="232" t="n">
        <v>5.119</v>
      </c>
      <c r="F214" s="232" t="n">
        <v>0.17</v>
      </c>
      <c r="G214" s="232" t="n">
        <v>0.17</v>
      </c>
      <c r="H214" s="232" t="n">
        <v>0.17</v>
      </c>
      <c r="I214" s="232" t="n">
        <v>0.175</v>
      </c>
      <c r="J214" s="232" t="n">
        <v>0.17</v>
      </c>
      <c r="K214" s="233" t="n">
        <v>0.17</v>
      </c>
      <c r="L214" s="232" t="n">
        <v>0.8</v>
      </c>
      <c r="M214" s="232" t="n">
        <v>0.8</v>
      </c>
      <c r="N214" s="232" t="n">
        <v>0.8</v>
      </c>
      <c r="O214" s="232" t="n">
        <v>0.95</v>
      </c>
      <c r="P214" s="232" t="n">
        <v>0.85</v>
      </c>
      <c r="Q214" s="252"/>
      <c r="R214" s="252"/>
      <c r="AC214" s="233" t="n">
        <v>0.24</v>
      </c>
      <c r="AD214" s="233" t="n">
        <v>0.03</v>
      </c>
      <c r="AN214" s="233" t="n">
        <v>1.53934370806944</v>
      </c>
      <c r="AO214" s="233" t="n">
        <v>0.17</v>
      </c>
      <c r="AR214" s="233" t="n">
        <f aca="false">1/AN214</f>
        <v>0.649627496937734</v>
      </c>
      <c r="AT214" s="253" t="n">
        <f aca="false">AR214*AM214*$AT$6</f>
        <v>0</v>
      </c>
      <c r="AU214" s="253" t="n">
        <f aca="false">AK214+AL214+AT214</f>
        <v>0</v>
      </c>
      <c r="AV214" s="233" t="n">
        <f aca="false">[10]Sheet1!AA205</f>
        <v>0.176071428571429</v>
      </c>
      <c r="AW214" s="233" t="n">
        <v>0</v>
      </c>
    </row>
    <row r="215" customFormat="false" ht="11.25" hidden="false" customHeight="false" outlineLevel="0" collapsed="false">
      <c r="A215" s="233"/>
      <c r="B215" s="233"/>
      <c r="C215" s="231" t="e">
        <f aca="false">NextMonth(C214)</f>
        <v>#VALUE!</v>
      </c>
      <c r="D215" s="252" t="n">
        <v>0.0668689863217975</v>
      </c>
      <c r="E215" s="232" t="n">
        <v>5.257</v>
      </c>
      <c r="F215" s="232" t="n">
        <v>0.17</v>
      </c>
      <c r="G215" s="232" t="n">
        <v>0.17</v>
      </c>
      <c r="H215" s="232" t="n">
        <v>0.17</v>
      </c>
      <c r="I215" s="232" t="n">
        <v>0.175</v>
      </c>
      <c r="J215" s="232" t="n">
        <v>0.17</v>
      </c>
      <c r="K215" s="233" t="n">
        <v>0.17</v>
      </c>
      <c r="L215" s="232" t="n">
        <v>1</v>
      </c>
      <c r="M215" s="232" t="n">
        <v>1</v>
      </c>
      <c r="N215" s="232" t="n">
        <v>1.1</v>
      </c>
      <c r="O215" s="232" t="n">
        <v>1.35</v>
      </c>
      <c r="P215" s="232" t="n">
        <v>1.05</v>
      </c>
      <c r="Q215" s="252"/>
      <c r="R215" s="252"/>
      <c r="AC215" s="233" t="n">
        <v>0.26</v>
      </c>
      <c r="AD215" s="233" t="n">
        <v>0.03</v>
      </c>
      <c r="AN215" s="233" t="n">
        <v>1.53878942832949</v>
      </c>
      <c r="AO215" s="233" t="n">
        <v>0.17</v>
      </c>
      <c r="AR215" s="233" t="n">
        <f aca="false">1/AN215</f>
        <v>0.649861496049918</v>
      </c>
      <c r="AT215" s="253" t="n">
        <f aca="false">AR215*AM215*$AT$6</f>
        <v>0</v>
      </c>
      <c r="AU215" s="253" t="n">
        <f aca="false">AK215+AL215+AT215</f>
        <v>0</v>
      </c>
      <c r="AV215" s="233" t="n">
        <f aca="false">[10]Sheet1!AA206</f>
        <v>0.176071428571429</v>
      </c>
      <c r="AW215" s="233" t="n">
        <v>0</v>
      </c>
    </row>
    <row r="216" customFormat="false" ht="11.25" hidden="false" customHeight="false" outlineLevel="0" collapsed="false">
      <c r="A216" s="233"/>
      <c r="B216" s="233"/>
      <c r="C216" s="231" t="e">
        <f aca="false">NextMonth(C215)</f>
        <v>#VALUE!</v>
      </c>
      <c r="D216" s="252" t="n">
        <v>0.0669055953162436</v>
      </c>
      <c r="E216" s="232" t="n">
        <v>5.314</v>
      </c>
      <c r="F216" s="232" t="n">
        <v>0.17</v>
      </c>
      <c r="G216" s="232" t="n">
        <v>0.17</v>
      </c>
      <c r="H216" s="232" t="n">
        <v>0.17</v>
      </c>
      <c r="I216" s="232" t="n">
        <v>0.175</v>
      </c>
      <c r="J216" s="232" t="n">
        <v>0.17</v>
      </c>
      <c r="K216" s="233" t="n">
        <v>0.17</v>
      </c>
      <c r="L216" s="232" t="n">
        <v>1</v>
      </c>
      <c r="M216" s="232" t="n">
        <v>1</v>
      </c>
      <c r="N216" s="232" t="n">
        <v>1.1</v>
      </c>
      <c r="O216" s="232" t="n">
        <v>1.35</v>
      </c>
      <c r="P216" s="232" t="n">
        <v>1.05</v>
      </c>
      <c r="Q216" s="252"/>
      <c r="R216" s="252"/>
      <c r="AC216" s="233" t="n">
        <v>0.27</v>
      </c>
      <c r="AD216" s="233" t="n">
        <v>0.03</v>
      </c>
      <c r="AN216" s="233" t="n">
        <v>1.5382117324252</v>
      </c>
      <c r="AO216" s="233" t="n">
        <v>0.17</v>
      </c>
      <c r="AR216" s="233" t="n">
        <f aca="false">1/AN216</f>
        <v>0.650105560190575</v>
      </c>
      <c r="AT216" s="253" t="n">
        <f aca="false">AR216*AM216*$AT$6</f>
        <v>0</v>
      </c>
      <c r="AU216" s="253" t="n">
        <f aca="false">AK216+AL216+AT216</f>
        <v>0</v>
      </c>
      <c r="AV216" s="233" t="n">
        <f aca="false">[10]Sheet1!AA207</f>
        <v>0.176071428571429</v>
      </c>
      <c r="AW216" s="233" t="n">
        <v>0</v>
      </c>
    </row>
    <row r="217" customFormat="false" ht="11.25" hidden="false" customHeight="false" outlineLevel="0" collapsed="false">
      <c r="A217" s="233"/>
      <c r="B217" s="233"/>
      <c r="C217" s="231" t="e">
        <f aca="false">NextMonth(C216)</f>
        <v>#VALUE!</v>
      </c>
      <c r="D217" s="252" t="n">
        <v>0.0669422043111334</v>
      </c>
      <c r="E217" s="232" t="n">
        <v>5.194</v>
      </c>
      <c r="F217" s="232" t="n">
        <v>0.17</v>
      </c>
      <c r="G217" s="232" t="n">
        <v>0.17</v>
      </c>
      <c r="H217" s="232" t="n">
        <v>0.17</v>
      </c>
      <c r="I217" s="232" t="n">
        <v>0.175</v>
      </c>
      <c r="J217" s="232" t="n">
        <v>0.17</v>
      </c>
      <c r="K217" s="233" t="n">
        <v>0.17</v>
      </c>
      <c r="L217" s="232" t="n">
        <v>1</v>
      </c>
      <c r="M217" s="232" t="n">
        <v>1</v>
      </c>
      <c r="N217" s="232" t="n">
        <v>1.1</v>
      </c>
      <c r="O217" s="232" t="n">
        <v>1.35</v>
      </c>
      <c r="P217" s="232" t="n">
        <v>1.05</v>
      </c>
      <c r="Q217" s="252"/>
      <c r="R217" s="252"/>
      <c r="AC217" s="233" t="n">
        <v>0.27</v>
      </c>
      <c r="AD217" s="233" t="n">
        <v>0.03</v>
      </c>
      <c r="AN217" s="233" t="n">
        <v>1.53762902131209</v>
      </c>
      <c r="AO217" s="233" t="n">
        <v>0.17</v>
      </c>
      <c r="AR217" s="233" t="n">
        <f aca="false">1/AN217</f>
        <v>0.650351928937111</v>
      </c>
      <c r="AT217" s="253" t="n">
        <f aca="false">AR217*AM217*$AT$6</f>
        <v>0</v>
      </c>
      <c r="AU217" s="253" t="n">
        <f aca="false">AK217+AL217+AT217</f>
        <v>0</v>
      </c>
      <c r="AV217" s="233" t="n">
        <f aca="false">[10]Sheet1!AA208</f>
        <v>0.176071428571429</v>
      </c>
      <c r="AW217" s="233" t="n">
        <v>0</v>
      </c>
    </row>
    <row r="218" customFormat="false" ht="11.25" hidden="false" customHeight="false" outlineLevel="0" collapsed="false">
      <c r="A218" s="233"/>
      <c r="B218" s="233"/>
      <c r="C218" s="231" t="e">
        <f aca="false">NextMonth(C217)</f>
        <v>#VALUE!</v>
      </c>
      <c r="D218" s="252" t="n">
        <v>0.0669752705004476</v>
      </c>
      <c r="E218" s="232" t="n">
        <v>5.055</v>
      </c>
      <c r="F218" s="232" t="n">
        <v>0.17</v>
      </c>
      <c r="G218" s="232" t="n">
        <v>0.17</v>
      </c>
      <c r="H218" s="232" t="n">
        <v>0.17</v>
      </c>
      <c r="I218" s="232" t="n">
        <v>0.175</v>
      </c>
      <c r="J218" s="232" t="n">
        <v>0.17</v>
      </c>
      <c r="K218" s="233" t="n">
        <v>0.17</v>
      </c>
      <c r="L218" s="232" t="n">
        <v>0.75</v>
      </c>
      <c r="M218" s="232" t="n">
        <v>0.75</v>
      </c>
      <c r="N218" s="232" t="n">
        <v>0.75</v>
      </c>
      <c r="O218" s="232" t="n">
        <v>0.95</v>
      </c>
      <c r="P218" s="232" t="n">
        <v>0.75</v>
      </c>
      <c r="Q218" s="252"/>
      <c r="R218" s="252"/>
      <c r="AC218" s="233" t="n">
        <v>0.24</v>
      </c>
      <c r="AD218" s="233" t="n">
        <v>0.03</v>
      </c>
      <c r="AN218" s="233" t="n">
        <v>1.53709839596074</v>
      </c>
      <c r="AO218" s="233" t="n">
        <v>0.17</v>
      </c>
      <c r="AR218" s="233" t="n">
        <f aca="false">1/AN218</f>
        <v>0.65057643845563</v>
      </c>
      <c r="AT218" s="253" t="n">
        <f aca="false">AR218*AM218*$AT$6</f>
        <v>0</v>
      </c>
      <c r="AU218" s="253" t="n">
        <f aca="false">AK218+AL218+AT218</f>
        <v>0</v>
      </c>
      <c r="AV218" s="233" t="n">
        <f aca="false">[10]Sheet1!AA209</f>
        <v>0.132</v>
      </c>
      <c r="AW218" s="233" t="n">
        <v>0</v>
      </c>
    </row>
    <row r="219" customFormat="false" ht="11.25" hidden="false" customHeight="false" outlineLevel="0" collapsed="false">
      <c r="A219" s="233"/>
      <c r="B219" s="233"/>
      <c r="C219" s="231" t="e">
        <f aca="false">NextMonth(C218)</f>
        <v>#VALUE!</v>
      </c>
      <c r="D219" s="252" t="n">
        <v>0.067011879496182</v>
      </c>
      <c r="E219" s="232" t="n">
        <v>4.88</v>
      </c>
      <c r="F219" s="232" t="n">
        <v>0.17</v>
      </c>
      <c r="G219" s="232" t="n">
        <v>0.17</v>
      </c>
      <c r="H219" s="232" t="n">
        <v>0.17</v>
      </c>
      <c r="I219" s="232" t="n">
        <v>0.175</v>
      </c>
      <c r="J219" s="232" t="n">
        <v>0.17</v>
      </c>
      <c r="K219" s="233" t="n">
        <v>0.17</v>
      </c>
      <c r="L219" s="232" t="n">
        <v>0.4</v>
      </c>
      <c r="M219" s="232" t="n">
        <v>0.4</v>
      </c>
      <c r="N219" s="232" t="n">
        <v>0.45</v>
      </c>
      <c r="O219" s="232" t="n">
        <v>0.5</v>
      </c>
      <c r="P219" s="232" t="n">
        <v>0.45</v>
      </c>
      <c r="Q219" s="252"/>
      <c r="R219" s="252"/>
      <c r="AC219" s="233" t="n">
        <v>0.17</v>
      </c>
      <c r="AD219" s="233" t="n">
        <v>0.0175</v>
      </c>
      <c r="AN219" s="233" t="n">
        <v>1.53650615656539</v>
      </c>
      <c r="AO219" s="233" t="n">
        <v>0.17</v>
      </c>
      <c r="AR219" s="233" t="n">
        <f aca="false">1/AN219</f>
        <v>0.650827200221142</v>
      </c>
      <c r="AT219" s="253" t="n">
        <f aca="false">AR219*AM219*$AT$6</f>
        <v>0</v>
      </c>
      <c r="AU219" s="253" t="n">
        <f aca="false">AK219+AL219+AT219</f>
        <v>0</v>
      </c>
      <c r="AV219" s="233" t="n">
        <f aca="false">[10]Sheet1!AA210</f>
        <v>0.132</v>
      </c>
      <c r="AW219" s="233" t="n">
        <v>0</v>
      </c>
    </row>
    <row r="220" customFormat="false" ht="11.25" hidden="false" customHeight="false" outlineLevel="0" collapsed="false">
      <c r="A220" s="233"/>
      <c r="B220" s="233"/>
      <c r="C220" s="231" t="e">
        <f aca="false">NextMonth(C219)</f>
        <v>#VALUE!</v>
      </c>
      <c r="D220" s="252" t="n">
        <v>0.0670473075569928</v>
      </c>
      <c r="E220" s="232" t="n">
        <v>4.85</v>
      </c>
      <c r="F220" s="232" t="n">
        <v>0.17</v>
      </c>
      <c r="G220" s="232" t="n">
        <v>0.17</v>
      </c>
      <c r="H220" s="232" t="n">
        <v>0.17</v>
      </c>
      <c r="I220" s="232" t="n">
        <v>0.175</v>
      </c>
      <c r="J220" s="232" t="n">
        <v>0.17</v>
      </c>
      <c r="K220" s="233" t="n">
        <v>0.17</v>
      </c>
      <c r="L220" s="232" t="n">
        <v>0.45</v>
      </c>
      <c r="M220" s="232" t="n">
        <v>0.4</v>
      </c>
      <c r="N220" s="232" t="n">
        <v>0.5</v>
      </c>
      <c r="O220" s="232" t="n">
        <v>0.45</v>
      </c>
      <c r="P220" s="232" t="n">
        <v>0.45</v>
      </c>
      <c r="Q220" s="252"/>
      <c r="R220" s="252"/>
      <c r="AC220" s="233" t="n">
        <v>0.165</v>
      </c>
      <c r="AD220" s="233" t="n">
        <v>0.01</v>
      </c>
      <c r="AN220" s="233" t="n">
        <v>1.53592826334554</v>
      </c>
      <c r="AO220" s="233" t="n">
        <v>0.17</v>
      </c>
      <c r="AR220" s="233" t="n">
        <f aca="false">1/AN220</f>
        <v>0.651072074044534</v>
      </c>
      <c r="AT220" s="253" t="n">
        <f aca="false">AR220*AM220*$AT$6</f>
        <v>0</v>
      </c>
      <c r="AU220" s="253" t="n">
        <f aca="false">AK220+AL220+AT220</f>
        <v>0</v>
      </c>
      <c r="AV220" s="233" t="n">
        <f aca="false">[10]Sheet1!AA211</f>
        <v>0.132</v>
      </c>
      <c r="AW220" s="233" t="n">
        <v>0</v>
      </c>
    </row>
    <row r="221" customFormat="false" ht="11.25" hidden="false" customHeight="false" outlineLevel="0" collapsed="false">
      <c r="A221" s="233"/>
      <c r="B221" s="233"/>
      <c r="C221" s="231" t="e">
        <f aca="false">NextMonth(C220)</f>
        <v>#VALUE!</v>
      </c>
      <c r="D221" s="252" t="n">
        <v>0.0670839165536012</v>
      </c>
      <c r="E221" s="232" t="n">
        <v>4.92</v>
      </c>
      <c r="F221" s="232" t="n">
        <v>0.17</v>
      </c>
      <c r="G221" s="232" t="n">
        <v>0.17</v>
      </c>
      <c r="H221" s="232" t="n">
        <v>0.17</v>
      </c>
      <c r="I221" s="232" t="n">
        <v>0.175</v>
      </c>
      <c r="J221" s="232" t="n">
        <v>0.17</v>
      </c>
      <c r="K221" s="233" t="n">
        <v>0.17</v>
      </c>
      <c r="L221" s="232" t="n">
        <v>0.45</v>
      </c>
      <c r="M221" s="232" t="n">
        <v>0.4</v>
      </c>
      <c r="N221" s="232" t="n">
        <v>0.5</v>
      </c>
      <c r="O221" s="232" t="n">
        <v>0.5</v>
      </c>
      <c r="P221" s="232" t="n">
        <v>0.5</v>
      </c>
      <c r="Q221" s="252"/>
      <c r="R221" s="252"/>
      <c r="AC221" s="233" t="n">
        <v>0.17</v>
      </c>
      <c r="AD221" s="233" t="n">
        <v>0.0125</v>
      </c>
      <c r="AN221" s="233" t="n">
        <v>1.53532619612443</v>
      </c>
      <c r="AO221" s="233" t="n">
        <v>0.17</v>
      </c>
      <c r="AR221" s="233" t="n">
        <f aca="false">1/AN221</f>
        <v>0.651327387316301</v>
      </c>
      <c r="AT221" s="253" t="n">
        <f aca="false">AR221*AM221*$AT$6</f>
        <v>0</v>
      </c>
      <c r="AU221" s="253" t="n">
        <f aca="false">AK221+AL221+AT221</f>
        <v>0</v>
      </c>
      <c r="AV221" s="233" t="n">
        <f aca="false">[10]Sheet1!AA212</f>
        <v>0.132</v>
      </c>
      <c r="AW221" s="233" t="n">
        <v>0</v>
      </c>
    </row>
    <row r="222" customFormat="false" ht="11.25" hidden="false" customHeight="false" outlineLevel="0" collapsed="false">
      <c r="A222" s="233"/>
      <c r="B222" s="233"/>
      <c r="C222" s="231" t="e">
        <f aca="false">NextMonth(C221)</f>
        <v>#VALUE!</v>
      </c>
      <c r="D222" s="252" t="n">
        <v>0.0671193446152572</v>
      </c>
      <c r="E222" s="232" t="n">
        <v>4.975</v>
      </c>
      <c r="F222" s="232" t="n">
        <v>0.17</v>
      </c>
      <c r="L222" s="232" t="n">
        <v>0.5</v>
      </c>
      <c r="M222" s="232" t="n">
        <v>0.4</v>
      </c>
      <c r="N222" s="232" t="n">
        <v>0.55</v>
      </c>
      <c r="O222" s="232" t="n">
        <v>0.5</v>
      </c>
      <c r="P222" s="232" t="n">
        <v>0.5</v>
      </c>
      <c r="Q222" s="252"/>
      <c r="R222" s="252"/>
      <c r="AC222" s="233" t="n">
        <v>0.175</v>
      </c>
      <c r="AD222" s="233" t="n">
        <v>0.0125</v>
      </c>
      <c r="AN222" s="233" t="n">
        <v>1.5347388037724</v>
      </c>
      <c r="AR222" s="233" t="n">
        <f aca="false">1/AN222</f>
        <v>0.651576670598275</v>
      </c>
      <c r="AT222" s="253" t="n">
        <f aca="false">AR222*AM222*$AT$6</f>
        <v>0</v>
      </c>
      <c r="AU222" s="253" t="n">
        <f aca="false">AK222+AL222+AT222</f>
        <v>0</v>
      </c>
      <c r="AV222" s="233" t="n">
        <f aca="false">[10]Sheet1!AA213</f>
        <v>0.132</v>
      </c>
      <c r="AW222" s="233" t="n">
        <v>0</v>
      </c>
    </row>
    <row r="223" customFormat="false" ht="11.25" hidden="false" customHeight="false" outlineLevel="0" collapsed="false">
      <c r="A223" s="233"/>
      <c r="B223" s="233"/>
      <c r="C223" s="231" t="e">
        <f aca="false">NextMonth(C222)</f>
        <v>#VALUE!</v>
      </c>
      <c r="D223" s="252" t="n">
        <v>0.0671559536127377</v>
      </c>
      <c r="E223" s="232" t="n">
        <v>5.031</v>
      </c>
      <c r="F223" s="232" t="n">
        <v>0.17</v>
      </c>
      <c r="L223" s="232" t="n">
        <v>0.55</v>
      </c>
      <c r="M223" s="232" t="n">
        <v>0.5</v>
      </c>
      <c r="N223" s="232" t="n">
        <v>0.6</v>
      </c>
      <c r="O223" s="232" t="n">
        <v>0.45</v>
      </c>
      <c r="P223" s="232" t="n">
        <v>0.55</v>
      </c>
      <c r="Q223" s="252"/>
      <c r="R223" s="252"/>
      <c r="AC223" s="233" t="n">
        <v>0.175</v>
      </c>
      <c r="AD223" s="233" t="n">
        <v>0.0125</v>
      </c>
      <c r="AN223" s="233" t="n">
        <v>1.53412693292958</v>
      </c>
      <c r="AR223" s="233" t="n">
        <f aca="false">1/AN223</f>
        <v>0.651836545291851</v>
      </c>
      <c r="AT223" s="253" t="n">
        <f aca="false">AR223*AM223*$AT$6</f>
        <v>0</v>
      </c>
      <c r="AU223" s="253" t="n">
        <f aca="false">AK223+AL223+AT223</f>
        <v>0</v>
      </c>
      <c r="AV223" s="233" t="n">
        <f aca="false">[10]Sheet1!AA214</f>
        <v>0.132</v>
      </c>
      <c r="AW223" s="233" t="n">
        <v>0</v>
      </c>
    </row>
    <row r="224" customFormat="false" ht="11.25" hidden="false" customHeight="false" outlineLevel="0" collapsed="false">
      <c r="A224" s="233"/>
      <c r="B224" s="233"/>
      <c r="C224" s="231" t="e">
        <f aca="false">NextMonth(C223)</f>
        <v>#VALUE!</v>
      </c>
      <c r="D224" s="252" t="n">
        <v>0.0671925626106629</v>
      </c>
      <c r="E224" s="232" t="n">
        <v>5.045</v>
      </c>
      <c r="F224" s="232" t="n">
        <v>0.17</v>
      </c>
      <c r="L224" s="232" t="n">
        <v>0.55</v>
      </c>
      <c r="M224" s="232" t="n">
        <v>0.55</v>
      </c>
      <c r="N224" s="232" t="n">
        <v>0.6</v>
      </c>
      <c r="O224" s="232" t="n">
        <v>0.5</v>
      </c>
      <c r="P224" s="232" t="n">
        <v>0.6</v>
      </c>
      <c r="Q224" s="252"/>
      <c r="R224" s="252"/>
      <c r="AC224" s="233" t="n">
        <v>0.165</v>
      </c>
      <c r="AD224" s="233" t="n">
        <v>0.0125</v>
      </c>
      <c r="AN224" s="233" t="n">
        <v>1.53351008931156</v>
      </c>
      <c r="AR224" s="233" t="n">
        <f aca="false">1/AN224</f>
        <v>0.652098741944979</v>
      </c>
      <c r="AT224" s="253" t="n">
        <f aca="false">AR224*AM224*$AT$6</f>
        <v>0</v>
      </c>
      <c r="AU224" s="253" t="n">
        <f aca="false">AK224+AL224+AT224</f>
        <v>0</v>
      </c>
      <c r="AV224" s="233" t="n">
        <f aca="false">[10]Sheet1!AA215</f>
        <v>0.132</v>
      </c>
      <c r="AW224" s="233" t="n">
        <v>0</v>
      </c>
    </row>
    <row r="225" customFormat="false" ht="11.25" hidden="false" customHeight="false" outlineLevel="0" collapsed="false">
      <c r="A225" s="233"/>
      <c r="B225" s="233"/>
      <c r="C225" s="231" t="e">
        <f aca="false">NextMonth(C224)</f>
        <v>#VALUE!</v>
      </c>
      <c r="D225" s="252" t="n">
        <v>0.0672279906735933</v>
      </c>
      <c r="E225" s="232" t="n">
        <v>5.076</v>
      </c>
      <c r="F225" s="232" t="n">
        <v>0.17</v>
      </c>
      <c r="L225" s="232" t="n">
        <v>0.6</v>
      </c>
      <c r="M225" s="232" t="n">
        <v>0.55</v>
      </c>
      <c r="N225" s="232" t="n">
        <v>0.65</v>
      </c>
      <c r="O225" s="232" t="n">
        <v>0.5</v>
      </c>
      <c r="P225" s="232" t="n">
        <v>0.65</v>
      </c>
      <c r="Q225" s="252"/>
      <c r="R225" s="252"/>
      <c r="AC225" s="233" t="n">
        <v>0.1725</v>
      </c>
      <c r="AD225" s="233" t="n">
        <v>0.0125</v>
      </c>
      <c r="AN225" s="233" t="n">
        <v>1.53290841515227</v>
      </c>
      <c r="AR225" s="233" t="n">
        <f aca="false">1/AN225</f>
        <v>0.652354693936928</v>
      </c>
      <c r="AT225" s="253" t="n">
        <f aca="false">AR225*AM225*$AT$6</f>
        <v>0</v>
      </c>
      <c r="AU225" s="253" t="n">
        <f aca="false">AK225+AL225+AT225</f>
        <v>0</v>
      </c>
      <c r="AV225" s="233" t="n">
        <f aca="false">[10]Sheet1!AA216</f>
        <v>0.183571428571429</v>
      </c>
      <c r="AW225" s="233" t="n">
        <v>0</v>
      </c>
    </row>
    <row r="226" customFormat="false" ht="11.25" hidden="false" customHeight="false" outlineLevel="0" collapsed="false">
      <c r="A226" s="233"/>
      <c r="B226" s="233"/>
      <c r="C226" s="231" t="e">
        <f aca="false">NextMonth(C225)</f>
        <v>#VALUE!</v>
      </c>
      <c r="D226" s="252" t="n">
        <v>0.0672645996723911</v>
      </c>
      <c r="E226" s="232" t="n">
        <v>5.209</v>
      </c>
      <c r="F226" s="232" t="n">
        <v>0.17</v>
      </c>
      <c r="L226" s="232" t="n">
        <v>0.8</v>
      </c>
      <c r="M226" s="232" t="n">
        <v>0.8</v>
      </c>
      <c r="N226" s="232" t="n">
        <v>0.8</v>
      </c>
      <c r="O226" s="232" t="n">
        <v>0.95</v>
      </c>
      <c r="P226" s="232" t="n">
        <v>0.85</v>
      </c>
      <c r="Q226" s="252"/>
      <c r="R226" s="252"/>
      <c r="AC226" s="233" t="n">
        <v>0.24</v>
      </c>
      <c r="AD226" s="233" t="n">
        <v>0.03</v>
      </c>
      <c r="AN226" s="233" t="n">
        <v>1.53228180510982</v>
      </c>
      <c r="AR226" s="233" t="n">
        <f aca="false">1/AN226</f>
        <v>0.652621467320973</v>
      </c>
      <c r="AT226" s="253" t="n">
        <f aca="false">AR226*AM226*$AT$6</f>
        <v>0</v>
      </c>
      <c r="AU226" s="253" t="n">
        <f aca="false">AK226+AL226+AT226</f>
        <v>0</v>
      </c>
      <c r="AV226" s="233" t="n">
        <f aca="false">[10]Sheet1!AA217</f>
        <v>0.188571428571429</v>
      </c>
      <c r="AW226" s="233" t="n">
        <v>0</v>
      </c>
    </row>
    <row r="227" customFormat="false" ht="11.25" hidden="false" customHeight="false" outlineLevel="0" collapsed="false">
      <c r="A227" s="233"/>
      <c r="B227" s="233"/>
      <c r="C227" s="231" t="e">
        <f aca="false">NextMonth(C226)</f>
        <v>#VALUE!</v>
      </c>
      <c r="D227" s="252" t="n">
        <v>0.0673000277361666</v>
      </c>
      <c r="E227" s="232" t="n">
        <v>5.347</v>
      </c>
      <c r="F227" s="232" t="n">
        <v>0.17</v>
      </c>
      <c r="L227" s="232" t="n">
        <v>1</v>
      </c>
      <c r="M227" s="232" t="n">
        <v>1</v>
      </c>
      <c r="N227" s="232" t="n">
        <v>1.1</v>
      </c>
      <c r="O227" s="232" t="n">
        <v>1.35</v>
      </c>
      <c r="P227" s="232" t="n">
        <v>1.05</v>
      </c>
      <c r="Q227" s="252"/>
      <c r="R227" s="252"/>
      <c r="AC227" s="233" t="n">
        <v>0.26</v>
      </c>
      <c r="AD227" s="233" t="n">
        <v>0.03</v>
      </c>
      <c r="AN227" s="233" t="n">
        <v>1.53167069168287</v>
      </c>
      <c r="AR227" s="233" t="n">
        <f aca="false">1/AN227</f>
        <v>0.652881853410203</v>
      </c>
      <c r="AT227" s="253" t="n">
        <f aca="false">AR227*AM227*$AT$6</f>
        <v>0</v>
      </c>
      <c r="AU227" s="253" t="n">
        <f aca="false">AK227+AL227+AT227</f>
        <v>0</v>
      </c>
      <c r="AV227" s="233" t="n">
        <f aca="false">[10]Sheet1!AA218</f>
        <v>0.188571428571429</v>
      </c>
      <c r="AW227" s="233" t="n">
        <v>0</v>
      </c>
    </row>
    <row r="228" customFormat="false" ht="11.25" hidden="false" customHeight="false" outlineLevel="0" collapsed="false">
      <c r="A228" s="233"/>
      <c r="B228" s="233"/>
      <c r="C228" s="231" t="e">
        <f aca="false">NextMonth(C227)</f>
        <v>#VALUE!</v>
      </c>
      <c r="D228" s="252" t="n">
        <v>0.0673366367358379</v>
      </c>
      <c r="E228" s="232" t="n">
        <v>5.404</v>
      </c>
      <c r="F228" s="232" t="n">
        <v>0.17</v>
      </c>
      <c r="L228" s="232" t="n">
        <v>1</v>
      </c>
      <c r="M228" s="232" t="n">
        <v>1</v>
      </c>
      <c r="N228" s="232" t="n">
        <v>1.1</v>
      </c>
      <c r="O228" s="232" t="n">
        <v>1.35</v>
      </c>
      <c r="P228" s="232" t="n">
        <v>1.05</v>
      </c>
      <c r="Q228" s="252"/>
      <c r="R228" s="252"/>
      <c r="AC228" s="233" t="n">
        <v>0.27</v>
      </c>
      <c r="AD228" s="233" t="n">
        <v>0.03</v>
      </c>
      <c r="AN228" s="233" t="n">
        <v>1.53103434033632</v>
      </c>
      <c r="AR228" s="233" t="n">
        <f aca="false">1/AN228</f>
        <v>0.6531532139118</v>
      </c>
      <c r="AT228" s="253" t="n">
        <f aca="false">AR228*AM228*$AT$6</f>
        <v>0</v>
      </c>
      <c r="AU228" s="253" t="n">
        <f aca="false">AK228+AL228+AT228</f>
        <v>0</v>
      </c>
      <c r="AV228" s="233" t="n">
        <f aca="false">[10]Sheet1!AA219</f>
        <v>0.188571428571429</v>
      </c>
      <c r="AW228" s="233" t="n">
        <v>0</v>
      </c>
    </row>
    <row r="229" customFormat="false" ht="11.25" hidden="false" customHeight="false" outlineLevel="0" collapsed="false">
      <c r="A229" s="233"/>
      <c r="B229" s="233"/>
      <c r="C229" s="231" t="e">
        <f aca="false">NextMonth(C228)</f>
        <v>#VALUE!</v>
      </c>
      <c r="D229" s="252" t="n">
        <v>0.0673732457359528</v>
      </c>
      <c r="E229" s="232" t="n">
        <v>5.284</v>
      </c>
      <c r="F229" s="232" t="n">
        <v>0.17</v>
      </c>
      <c r="L229" s="232" t="n">
        <v>1</v>
      </c>
      <c r="M229" s="232" t="n">
        <v>1</v>
      </c>
      <c r="N229" s="232" t="n">
        <v>1.1</v>
      </c>
      <c r="O229" s="232" t="n">
        <v>1.35</v>
      </c>
      <c r="P229" s="232" t="n">
        <v>1.05</v>
      </c>
      <c r="Q229" s="252"/>
      <c r="R229" s="252"/>
      <c r="AC229" s="233" t="n">
        <v>0.27</v>
      </c>
      <c r="AD229" s="233" t="n">
        <v>0.03</v>
      </c>
      <c r="AN229" s="233" t="n">
        <v>1.53039304823404</v>
      </c>
      <c r="AR229" s="233" t="n">
        <f aca="false">1/AN229</f>
        <v>0.653426909612485</v>
      </c>
      <c r="AT229" s="253" t="n">
        <f aca="false">AR229*AM229*$AT$6</f>
        <v>0</v>
      </c>
      <c r="AU229" s="253" t="n">
        <f aca="false">AK229+AL229+AT229</f>
        <v>0</v>
      </c>
      <c r="AV229" s="233" t="n">
        <f aca="false">[10]Sheet1!AA220</f>
        <v>0.188571428571429</v>
      </c>
      <c r="AW229" s="233" t="n">
        <v>0</v>
      </c>
    </row>
    <row r="230" customFormat="false" ht="11.25" hidden="false" customHeight="false" outlineLevel="0" collapsed="false">
      <c r="A230" s="233"/>
      <c r="B230" s="233"/>
      <c r="C230" s="231" t="e">
        <f aca="false">NextMonth(C229)</f>
        <v>#VALUE!</v>
      </c>
      <c r="D230" s="252" t="n">
        <v>0.0674063119299864</v>
      </c>
      <c r="E230" s="232" t="n">
        <v>5.145</v>
      </c>
      <c r="F230" s="232" t="n">
        <v>0.17</v>
      </c>
      <c r="L230" s="232" t="n">
        <v>0.75</v>
      </c>
      <c r="M230" s="232" t="n">
        <v>0.75</v>
      </c>
      <c r="N230" s="232" t="n">
        <v>0.75</v>
      </c>
      <c r="O230" s="232" t="n">
        <v>0.95</v>
      </c>
      <c r="P230" s="232" t="n">
        <v>0.75</v>
      </c>
      <c r="Q230" s="252"/>
      <c r="R230" s="252"/>
      <c r="AC230" s="233" t="n">
        <v>0.24</v>
      </c>
      <c r="AD230" s="233" t="n">
        <v>0.03</v>
      </c>
      <c r="AN230" s="233" t="n">
        <v>1.5298095754856</v>
      </c>
      <c r="AR230" s="233" t="n">
        <f aca="false">1/AN230</f>
        <v>0.65367612807795</v>
      </c>
      <c r="AT230" s="253" t="n">
        <f aca="false">AR230*AM230*$AT$6</f>
        <v>0</v>
      </c>
      <c r="AU230" s="253" t="n">
        <f aca="false">AK230+AL230+AT230</f>
        <v>0</v>
      </c>
      <c r="AV230" s="233" t="n">
        <f aca="false">[10]Sheet1!AA221</f>
        <v>0.1495</v>
      </c>
      <c r="AW230" s="233" t="n">
        <v>0</v>
      </c>
    </row>
    <row r="231" customFormat="false" ht="11.25" hidden="false" customHeight="false" outlineLevel="0" collapsed="false">
      <c r="A231" s="233"/>
      <c r="B231" s="233"/>
      <c r="C231" s="231" t="e">
        <f aca="false">NextMonth(C230)</f>
        <v>#VALUE!</v>
      </c>
      <c r="D231" s="252" t="n">
        <v>0.067442920930946</v>
      </c>
      <c r="E231" s="232" t="n">
        <v>4.97</v>
      </c>
      <c r="F231" s="232" t="n">
        <v>0.17</v>
      </c>
      <c r="L231" s="232" t="n">
        <v>0.4</v>
      </c>
      <c r="M231" s="232" t="n">
        <v>0.4</v>
      </c>
      <c r="N231" s="232" t="n">
        <v>0.45</v>
      </c>
      <c r="O231" s="232" t="n">
        <v>0.5</v>
      </c>
      <c r="P231" s="232" t="n">
        <v>0.45</v>
      </c>
      <c r="Q231" s="252"/>
      <c r="R231" s="252"/>
      <c r="AC231" s="233" t="n">
        <v>0.17</v>
      </c>
      <c r="AD231" s="233" t="n">
        <v>0.0175</v>
      </c>
      <c r="AN231" s="233" t="n">
        <v>1.52915889836227</v>
      </c>
      <c r="AR231" s="233" t="n">
        <f aca="false">1/AN231</f>
        <v>0.653954275825096</v>
      </c>
      <c r="AT231" s="253" t="n">
        <f aca="false">AR231*AM231*$AT$6</f>
        <v>0</v>
      </c>
      <c r="AU231" s="253" t="n">
        <f aca="false">AK231+AL231+AT231</f>
        <v>0</v>
      </c>
      <c r="AV231" s="233" t="n">
        <f aca="false">[10]Sheet1!AA222</f>
        <v>0.1495</v>
      </c>
      <c r="AW231" s="233" t="n">
        <v>0</v>
      </c>
    </row>
    <row r="232" customFormat="false" ht="11.25" hidden="false" customHeight="false" outlineLevel="0" collapsed="false">
      <c r="A232" s="233"/>
      <c r="B232" s="233"/>
      <c r="C232" s="231" t="e">
        <f aca="false">NextMonth(C231)</f>
        <v>#VALUE!</v>
      </c>
      <c r="D232" s="252" t="n">
        <v>0.0674783489968132</v>
      </c>
      <c r="E232" s="232" t="n">
        <v>4.94</v>
      </c>
      <c r="F232" s="232" t="n">
        <v>0.17</v>
      </c>
      <c r="L232" s="232" t="n">
        <v>0.45</v>
      </c>
      <c r="M232" s="232" t="n">
        <v>0.4</v>
      </c>
      <c r="N232" s="232" t="n">
        <v>0.5</v>
      </c>
      <c r="O232" s="232" t="n">
        <v>0.45</v>
      </c>
      <c r="P232" s="232" t="n">
        <v>0.45</v>
      </c>
      <c r="Q232" s="252"/>
      <c r="R232" s="252"/>
      <c r="AC232" s="233" t="n">
        <v>0.165</v>
      </c>
      <c r="AD232" s="233" t="n">
        <v>0.01</v>
      </c>
      <c r="AN232" s="233" t="n">
        <v>1.5285245249446</v>
      </c>
      <c r="AR232" s="233" t="n">
        <f aca="false">1/AN232</f>
        <v>0.654225682140261</v>
      </c>
      <c r="AT232" s="253" t="n">
        <f aca="false">AR232*AM232*$AT$6</f>
        <v>0</v>
      </c>
      <c r="AU232" s="253" t="n">
        <f aca="false">AK232+AL232+AT232</f>
        <v>0</v>
      </c>
      <c r="AV232" s="233" t="n">
        <f aca="false">[10]Sheet1!AA223</f>
        <v>0.1495</v>
      </c>
      <c r="AW232" s="233" t="n">
        <v>0</v>
      </c>
    </row>
    <row r="233" customFormat="false" ht="11.25" hidden="false" customHeight="false" outlineLevel="0" collapsed="false">
      <c r="A233" s="233"/>
      <c r="B233" s="233"/>
      <c r="C233" s="231" t="e">
        <f aca="false">NextMonth(C232)</f>
        <v>#VALUE!</v>
      </c>
      <c r="D233" s="252" t="n">
        <v>0.0675149579986454</v>
      </c>
      <c r="E233" s="232" t="n">
        <v>5.01</v>
      </c>
      <c r="F233" s="232" t="n">
        <v>0.17</v>
      </c>
      <c r="L233" s="232" t="n">
        <v>0.45</v>
      </c>
      <c r="M233" s="232" t="n">
        <v>0.4</v>
      </c>
      <c r="N233" s="232" t="n">
        <v>0.5</v>
      </c>
      <c r="O233" s="232" t="n">
        <v>0.5</v>
      </c>
      <c r="P233" s="232" t="n">
        <v>0.5</v>
      </c>
      <c r="Q233" s="252"/>
      <c r="R233" s="252"/>
      <c r="AC233" s="233" t="n">
        <v>0.17</v>
      </c>
      <c r="AD233" s="233" t="n">
        <v>0.0125</v>
      </c>
      <c r="AN233" s="233" t="n">
        <v>1.52786417025568</v>
      </c>
      <c r="AR233" s="233" t="n">
        <f aca="false">1/AN233</f>
        <v>0.654508443530458</v>
      </c>
      <c r="AT233" s="253" t="n">
        <f aca="false">AR233*AM233*$AT$6</f>
        <v>0</v>
      </c>
      <c r="AU233" s="253" t="n">
        <f aca="false">AK233+AL233+AT233</f>
        <v>0</v>
      </c>
      <c r="AV233" s="233" t="n">
        <f aca="false">[10]Sheet1!AA224</f>
        <v>0.1495</v>
      </c>
      <c r="AW233" s="233" t="n">
        <v>0</v>
      </c>
    </row>
    <row r="234" customFormat="false" ht="11.25" hidden="false" customHeight="false" outlineLevel="0" collapsed="false">
      <c r="A234" s="233"/>
      <c r="B234" s="233"/>
      <c r="C234" s="231" t="e">
        <f aca="false">NextMonth(C233)</f>
        <v>#VALUE!</v>
      </c>
      <c r="D234" s="252" t="n">
        <v>0.0675503860653577</v>
      </c>
      <c r="E234" s="232" t="n">
        <v>5.065</v>
      </c>
      <c r="F234" s="232" t="n">
        <v>0.17</v>
      </c>
      <c r="L234" s="232" t="n">
        <v>0.5</v>
      </c>
      <c r="M234" s="232" t="n">
        <v>0.4</v>
      </c>
      <c r="N234" s="232" t="n">
        <v>0.55</v>
      </c>
      <c r="O234" s="232" t="n">
        <v>0.5</v>
      </c>
      <c r="P234" s="232" t="n">
        <v>0.5</v>
      </c>
      <c r="Q234" s="252"/>
      <c r="R234" s="252"/>
      <c r="AC234" s="233" t="n">
        <v>0.175</v>
      </c>
      <c r="AD234" s="233" t="n">
        <v>0.0125</v>
      </c>
      <c r="AN234" s="233" t="n">
        <v>1.52722044416941</v>
      </c>
      <c r="AR234" s="233" t="n">
        <f aca="false">1/AN234</f>
        <v>0.65478431998326</v>
      </c>
      <c r="AT234" s="253" t="n">
        <f aca="false">AR234*AM234*$AT$6</f>
        <v>0</v>
      </c>
      <c r="AU234" s="253" t="n">
        <f aca="false">AK234+AL234+AT234</f>
        <v>0</v>
      </c>
      <c r="AV234" s="233" t="n">
        <f aca="false">[10]Sheet1!AA225</f>
        <v>0.1495</v>
      </c>
      <c r="AW234" s="233" t="n">
        <v>0</v>
      </c>
    </row>
    <row r="235" customFormat="false" ht="11.25" hidden="false" customHeight="false" outlineLevel="0" collapsed="false">
      <c r="A235" s="233"/>
      <c r="B235" s="233"/>
      <c r="C235" s="231" t="e">
        <f aca="false">NextMonth(C234)</f>
        <v>#VALUE!</v>
      </c>
      <c r="D235" s="252" t="n">
        <v>0.0675869950680634</v>
      </c>
      <c r="E235" s="232" t="n">
        <v>5.121</v>
      </c>
      <c r="F235" s="232" t="n">
        <v>0.17</v>
      </c>
      <c r="L235" s="232" t="n">
        <v>0.55</v>
      </c>
      <c r="M235" s="232" t="n">
        <v>0.5</v>
      </c>
      <c r="N235" s="232" t="n">
        <v>0.6</v>
      </c>
      <c r="O235" s="232" t="n">
        <v>0.45</v>
      </c>
      <c r="P235" s="232" t="n">
        <v>0.55</v>
      </c>
      <c r="Q235" s="252"/>
      <c r="R235" s="252"/>
      <c r="AC235" s="233" t="n">
        <v>0.175</v>
      </c>
      <c r="AD235" s="233" t="n">
        <v>0.0125</v>
      </c>
      <c r="AN235" s="233" t="n">
        <v>1.5265504382874</v>
      </c>
      <c r="AR235" s="233" t="n">
        <f aca="false">1/AN235</f>
        <v>0.655071706062903</v>
      </c>
      <c r="AT235" s="253" t="n">
        <f aca="false">AR235*AM235*$AT$6</f>
        <v>0</v>
      </c>
      <c r="AU235" s="253" t="n">
        <f aca="false">AK235+AL235+AT235</f>
        <v>0</v>
      </c>
      <c r="AV235" s="233" t="n">
        <f aca="false">[10]Sheet1!AA226</f>
        <v>0.1495</v>
      </c>
      <c r="AW235" s="233" t="n">
        <v>0</v>
      </c>
    </row>
    <row r="236" customFormat="false" ht="11.25" hidden="false" customHeight="false" outlineLevel="0" collapsed="false">
      <c r="A236" s="233"/>
      <c r="B236" s="233"/>
      <c r="C236" s="231" t="e">
        <f aca="false">NextMonth(C235)</f>
        <v>#VALUE!</v>
      </c>
      <c r="D236" s="252" t="n">
        <v>0.0676236040712124</v>
      </c>
      <c r="E236" s="232" t="n">
        <v>5.135</v>
      </c>
      <c r="F236" s="232" t="n">
        <v>0.17</v>
      </c>
      <c r="L236" s="232" t="n">
        <v>0.55</v>
      </c>
      <c r="M236" s="232" t="n">
        <v>0.55</v>
      </c>
      <c r="N236" s="232" t="n">
        <v>0.6</v>
      </c>
      <c r="O236" s="232" t="n">
        <v>0.5</v>
      </c>
      <c r="P236" s="232" t="n">
        <v>0.6</v>
      </c>
      <c r="Q236" s="252"/>
      <c r="R236" s="252"/>
      <c r="AC236" s="233" t="n">
        <v>0.165</v>
      </c>
      <c r="AD236" s="233" t="n">
        <v>0.0125</v>
      </c>
      <c r="AN236" s="233" t="n">
        <v>1.52587553792178</v>
      </c>
      <c r="AR236" s="233" t="n">
        <f aca="false">1/AN236</f>
        <v>0.655361446689148</v>
      </c>
      <c r="AT236" s="253" t="n">
        <f aca="false">AR236*AM236*$AT$6</f>
        <v>0</v>
      </c>
      <c r="AU236" s="253" t="n">
        <f aca="false">AK236+AL236+AT236</f>
        <v>0</v>
      </c>
      <c r="AV236" s="233" t="n">
        <f aca="false">[10]Sheet1!AA227</f>
        <v>0.1495</v>
      </c>
      <c r="AW236" s="233" t="n">
        <v>0</v>
      </c>
    </row>
    <row r="237" customFormat="false" ht="11.25" hidden="false" customHeight="false" outlineLevel="0" collapsed="false">
      <c r="A237" s="233"/>
      <c r="B237" s="233"/>
      <c r="C237" s="231" t="e">
        <f aca="false">NextMonth(C236)</f>
        <v>#VALUE!</v>
      </c>
      <c r="D237" s="252" t="n">
        <v>0.0676590321391983</v>
      </c>
      <c r="E237" s="232" t="n">
        <v>5.166</v>
      </c>
      <c r="F237" s="232" t="n">
        <v>0.17</v>
      </c>
      <c r="L237" s="232" t="n">
        <v>0.6</v>
      </c>
      <c r="M237" s="232" t="n">
        <v>0.55</v>
      </c>
      <c r="N237" s="232" t="n">
        <v>0.65</v>
      </c>
      <c r="O237" s="232" t="n">
        <v>0.5</v>
      </c>
      <c r="P237" s="232" t="n">
        <v>0.65</v>
      </c>
      <c r="Q237" s="252"/>
      <c r="R237" s="252"/>
      <c r="AC237" s="233" t="n">
        <v>0.1725</v>
      </c>
      <c r="AD237" s="233" t="n">
        <v>0.0125</v>
      </c>
      <c r="AN237" s="233" t="n">
        <v>1.52521775488092</v>
      </c>
      <c r="AR237" s="233" t="n">
        <f aca="false">1/AN237</f>
        <v>0.655644085442786</v>
      </c>
      <c r="AT237" s="253" t="n">
        <f aca="false">AR237*AM237*$AT$6</f>
        <v>0</v>
      </c>
      <c r="AU237" s="253" t="n">
        <f aca="false">AK237+AL237+AT237</f>
        <v>0</v>
      </c>
      <c r="AV237" s="233" t="n">
        <f aca="false">[10]Sheet1!AA228</f>
        <v>0.193571428571429</v>
      </c>
      <c r="AW237" s="233" t="n">
        <v>0</v>
      </c>
    </row>
    <row r="238" customFormat="false" ht="11.25" hidden="false" customHeight="false" outlineLevel="0" collapsed="false">
      <c r="A238" s="233"/>
      <c r="B238" s="233"/>
      <c r="C238" s="231" t="e">
        <f aca="false">NextMonth(C237)</f>
        <v>#VALUE!</v>
      </c>
      <c r="D238" s="252" t="n">
        <v>0.0676956411432208</v>
      </c>
      <c r="E238" s="232" t="n">
        <v>5.299</v>
      </c>
      <c r="F238" s="232" t="n">
        <v>0.17</v>
      </c>
      <c r="L238" s="232" t="n">
        <v>0.8</v>
      </c>
      <c r="M238" s="232" t="n">
        <v>0.8</v>
      </c>
      <c r="N238" s="232" t="n">
        <v>0.8</v>
      </c>
      <c r="O238" s="232" t="n">
        <v>0.95</v>
      </c>
      <c r="P238" s="232" t="n">
        <v>0.85</v>
      </c>
      <c r="Q238" s="252"/>
      <c r="R238" s="252"/>
      <c r="AC238" s="233" t="n">
        <v>0.24</v>
      </c>
      <c r="AD238" s="233" t="n">
        <v>0.03</v>
      </c>
      <c r="AN238" s="233" t="n">
        <v>1.52453324377077</v>
      </c>
      <c r="AR238" s="233" t="n">
        <f aca="false">1/AN238</f>
        <v>0.655938467780871</v>
      </c>
      <c r="AT238" s="253" t="n">
        <f aca="false">AR238*AM238*$AT$6</f>
        <v>0</v>
      </c>
      <c r="AU238" s="253" t="n">
        <f aca="false">AK238+AL238+AT238</f>
        <v>0</v>
      </c>
      <c r="AV238" s="233" t="n">
        <f aca="false">[10]Sheet1!AA229</f>
        <v>0.198571428571429</v>
      </c>
      <c r="AW238" s="233" t="n">
        <v>0</v>
      </c>
    </row>
    <row r="239" customFormat="false" ht="11.25" hidden="false" customHeight="false" outlineLevel="0" collapsed="false">
      <c r="A239" s="233"/>
      <c r="B239" s="233"/>
      <c r="C239" s="231" t="e">
        <f aca="false">NextMonth(C238)</f>
        <v>#VALUE!</v>
      </c>
      <c r="D239" s="252" t="n">
        <v>0.0677310692120518</v>
      </c>
      <c r="E239" s="232" t="n">
        <v>5.437</v>
      </c>
      <c r="F239" s="232" t="n">
        <v>0.17</v>
      </c>
      <c r="L239" s="232" t="n">
        <v>1</v>
      </c>
      <c r="M239" s="232" t="n">
        <v>1</v>
      </c>
      <c r="N239" s="232" t="n">
        <v>1.1</v>
      </c>
      <c r="O239" s="232" t="n">
        <v>1.35</v>
      </c>
      <c r="P239" s="232" t="n">
        <v>1.05</v>
      </c>
      <c r="Q239" s="252"/>
      <c r="R239" s="252"/>
      <c r="AC239" s="233" t="n">
        <v>0.26</v>
      </c>
      <c r="AD239" s="233" t="n">
        <v>0.03</v>
      </c>
      <c r="AN239" s="233" t="n">
        <v>1.52386617315836</v>
      </c>
      <c r="AR239" s="233" t="n">
        <f aca="false">1/AN239</f>
        <v>0.656225604068239</v>
      </c>
      <c r="AT239" s="253" t="n">
        <f aca="false">AR239*AM239*$AT$6</f>
        <v>0</v>
      </c>
      <c r="AU239" s="253" t="n">
        <f aca="false">AK239+AL239+AT239</f>
        <v>0</v>
      </c>
      <c r="AV239" s="233" t="n">
        <f aca="false">[10]Sheet1!AA230</f>
        <v>0.198571428571429</v>
      </c>
      <c r="AW239" s="233" t="n">
        <v>0</v>
      </c>
    </row>
    <row r="240" customFormat="false" ht="11.25" hidden="false" customHeight="false" outlineLevel="0" collapsed="false">
      <c r="A240" s="233"/>
      <c r="B240" s="233"/>
      <c r="C240" s="231" t="e">
        <f aca="false">NextMonth(C239)</f>
        <v>#VALUE!</v>
      </c>
      <c r="D240" s="252" t="n">
        <v>0.067767678216947</v>
      </c>
      <c r="E240" s="232" t="n">
        <v>5.494</v>
      </c>
      <c r="F240" s="232" t="n">
        <v>0.17</v>
      </c>
      <c r="L240" s="232" t="n">
        <v>1</v>
      </c>
      <c r="M240" s="232" t="n">
        <v>1</v>
      </c>
      <c r="N240" s="232" t="n">
        <v>1.1</v>
      </c>
      <c r="O240" s="232" t="n">
        <v>1.35</v>
      </c>
      <c r="P240" s="232" t="n">
        <v>1.05</v>
      </c>
      <c r="Q240" s="252"/>
      <c r="R240" s="252"/>
      <c r="AC240" s="233" t="n">
        <v>0.27</v>
      </c>
      <c r="AD240" s="233" t="n">
        <v>0.03</v>
      </c>
      <c r="AN240" s="233" t="n">
        <v>1.52317207856688</v>
      </c>
      <c r="AR240" s="233" t="n">
        <f aca="false">1/AN240</f>
        <v>0.65652463964602</v>
      </c>
      <c r="AT240" s="253" t="n">
        <f aca="false">AR240*AM240*$AT$6</f>
        <v>0</v>
      </c>
      <c r="AU240" s="253" t="n">
        <f aca="false">AK240+AL240+AT240</f>
        <v>0</v>
      </c>
      <c r="AV240" s="233" t="n">
        <f aca="false">[10]Sheet1!AA231</f>
        <v>0.198571428571429</v>
      </c>
      <c r="AW240" s="233" t="n">
        <v>0</v>
      </c>
    </row>
    <row r="241" customFormat="false" ht="11.25" hidden="false" customHeight="false" outlineLevel="0" collapsed="false">
      <c r="A241" s="233"/>
      <c r="B241" s="233"/>
      <c r="C241" s="231" t="e">
        <f aca="false">NextMonth(C240)</f>
        <v>#VALUE!</v>
      </c>
      <c r="D241" s="252" t="n">
        <v>0.0678042872222857</v>
      </c>
      <c r="E241" s="232" t="n">
        <v>5.374</v>
      </c>
      <c r="F241" s="232" t="n">
        <v>0.17</v>
      </c>
      <c r="L241" s="232" t="n">
        <v>1</v>
      </c>
      <c r="M241" s="232" t="n">
        <v>1</v>
      </c>
      <c r="N241" s="232" t="n">
        <v>1.1</v>
      </c>
      <c r="O241" s="232" t="n">
        <v>1.35</v>
      </c>
      <c r="P241" s="232" t="n">
        <v>1.05</v>
      </c>
      <c r="Q241" s="252"/>
      <c r="R241" s="252"/>
      <c r="AC241" s="233" t="n">
        <v>0.27</v>
      </c>
      <c r="AD241" s="233" t="n">
        <v>0.03</v>
      </c>
      <c r="AN241" s="233" t="n">
        <v>1.52247312424249</v>
      </c>
      <c r="AR241" s="233" t="n">
        <f aca="false">1/AN241</f>
        <v>0.656826044464694</v>
      </c>
      <c r="AT241" s="253" t="n">
        <f aca="false">AR241*AM241*$AT$6</f>
        <v>0</v>
      </c>
      <c r="AU241" s="253" t="n">
        <f aca="false">AK241+AL241+AT241</f>
        <v>0</v>
      </c>
      <c r="AV241" s="233" t="n">
        <f aca="false">[10]Sheet1!AA232</f>
        <v>0.198571428571429</v>
      </c>
      <c r="AW241" s="233" t="n">
        <v>0</v>
      </c>
    </row>
    <row r="242" customFormat="false" ht="11.25" hidden="false" customHeight="false" outlineLevel="0" collapsed="false">
      <c r="A242" s="233"/>
      <c r="B242" s="233"/>
      <c r="C242" s="231" t="e">
        <f aca="false">NextMonth(C241)</f>
        <v>#VALUE!</v>
      </c>
      <c r="D242" s="252" t="n">
        <v>0.067838534356714</v>
      </c>
      <c r="E242" s="232" t="n">
        <v>5.235</v>
      </c>
      <c r="F242" s="232" t="n">
        <v>0.17</v>
      </c>
      <c r="L242" s="232" t="n">
        <v>0.75</v>
      </c>
      <c r="M242" s="232" t="n">
        <v>0.75</v>
      </c>
      <c r="N242" s="232" t="n">
        <v>0.75</v>
      </c>
      <c r="O242" s="232" t="n">
        <v>0.95</v>
      </c>
      <c r="P242" s="232" t="n">
        <v>0.75</v>
      </c>
      <c r="Q242" s="252"/>
      <c r="R242" s="252"/>
      <c r="AC242" s="233" t="n">
        <v>0.24</v>
      </c>
      <c r="AD242" s="233" t="n">
        <v>0.03</v>
      </c>
      <c r="AN242" s="233" t="n">
        <v>1.52181487055333</v>
      </c>
      <c r="AR242" s="233" t="n">
        <f aca="false">1/AN242</f>
        <v>0.657110151405211</v>
      </c>
      <c r="AT242" s="253" t="n">
        <f aca="false">AR242*AM242*$AT$6</f>
        <v>0</v>
      </c>
      <c r="AU242" s="253" t="n">
        <f aca="false">AK242+AL242+AT242</f>
        <v>0</v>
      </c>
      <c r="AV242" s="233" t="n">
        <f aca="false">[10]Sheet1!AA233</f>
        <v>0.1495</v>
      </c>
      <c r="AW242" s="233" t="n">
        <v>0</v>
      </c>
    </row>
    <row r="243" customFormat="false" ht="11.25" hidden="false" customHeight="false" outlineLevel="0" collapsed="false">
      <c r="A243" s="233"/>
      <c r="B243" s="233"/>
      <c r="C243" s="231" t="e">
        <f aca="false">NextMonth(C242)</f>
        <v>#VALUE!</v>
      </c>
      <c r="D243" s="252" t="n">
        <v>0.0678751433629117</v>
      </c>
      <c r="E243" s="232" t="n">
        <v>5.06</v>
      </c>
      <c r="F243" s="232" t="n">
        <v>0.17</v>
      </c>
      <c r="L243" s="232" t="n">
        <v>0.4</v>
      </c>
      <c r="M243" s="232" t="n">
        <v>0.4</v>
      </c>
      <c r="N243" s="232" t="n">
        <v>0.45</v>
      </c>
      <c r="O243" s="232" t="n">
        <v>0.5</v>
      </c>
      <c r="P243" s="232" t="n">
        <v>0.45</v>
      </c>
      <c r="Q243" s="252"/>
      <c r="R243" s="252"/>
      <c r="AC243" s="233" t="n">
        <v>0.17</v>
      </c>
      <c r="AD243" s="233" t="n">
        <v>0.0175</v>
      </c>
      <c r="AN243" s="233" t="n">
        <v>1.52110653072623</v>
      </c>
      <c r="AR243" s="233" t="n">
        <f aca="false">1/AN243</f>
        <v>0.657416150545725</v>
      </c>
      <c r="AT243" s="253" t="n">
        <f aca="false">AR243*AM243*$AT$6</f>
        <v>0</v>
      </c>
      <c r="AU243" s="253" t="n">
        <f aca="false">AK243+AL243+AT243</f>
        <v>0</v>
      </c>
      <c r="AV243" s="233" t="n">
        <f aca="false">[10]Sheet1!AA234</f>
        <v>0.1495</v>
      </c>
      <c r="AW243" s="233" t="n">
        <v>0</v>
      </c>
    </row>
    <row r="244" customFormat="false" ht="11.25" hidden="false" customHeight="false" outlineLevel="0" collapsed="false">
      <c r="A244" s="233"/>
      <c r="B244" s="233"/>
      <c r="C244" s="231" t="e">
        <f aca="false">NextMonth(C243)</f>
        <v>#VALUE!</v>
      </c>
      <c r="D244" s="252" t="n">
        <v>0.0679105714338477</v>
      </c>
      <c r="E244" s="232" t="n">
        <v>5.03</v>
      </c>
      <c r="F244" s="232" t="n">
        <v>0.17</v>
      </c>
      <c r="L244" s="232" t="n">
        <v>0.45</v>
      </c>
      <c r="M244" s="232" t="n">
        <v>0.4</v>
      </c>
      <c r="N244" s="232" t="n">
        <v>0.5</v>
      </c>
      <c r="O244" s="232" t="n">
        <v>0.45</v>
      </c>
      <c r="P244" s="232" t="n">
        <v>0.45</v>
      </c>
      <c r="Q244" s="252"/>
      <c r="R244" s="252"/>
      <c r="AC244" s="233" t="n">
        <v>0.165</v>
      </c>
      <c r="AD244" s="233" t="n">
        <v>0.01</v>
      </c>
      <c r="AN244" s="233" t="n">
        <v>1.52041643356961</v>
      </c>
      <c r="AR244" s="233" t="n">
        <f aca="false">1/AN244</f>
        <v>0.657714543148035</v>
      </c>
      <c r="AT244" s="253" t="n">
        <f aca="false">AR244*AM244*$AT$6</f>
        <v>0</v>
      </c>
      <c r="AU244" s="253" t="n">
        <f aca="false">AK244+AL244+AT244</f>
        <v>0</v>
      </c>
      <c r="AV244" s="233" t="n">
        <f aca="false">[10]Sheet1!AA235</f>
        <v>0.1495</v>
      </c>
      <c r="AW244" s="233" t="n">
        <v>0</v>
      </c>
    </row>
    <row r="245" customFormat="false" ht="11.25" hidden="false" customHeight="false" outlineLevel="0" collapsed="false">
      <c r="A245" s="233"/>
      <c r="B245" s="233"/>
      <c r="C245" s="231" t="e">
        <f aca="false">NextMonth(C244)</f>
        <v>#VALUE!</v>
      </c>
      <c r="D245" s="252" t="n">
        <v>0.067947180440918</v>
      </c>
      <c r="E245" s="232" t="n">
        <v>5.1</v>
      </c>
      <c r="F245" s="232" t="n">
        <v>0.17</v>
      </c>
      <c r="L245" s="232" t="n">
        <v>0.45</v>
      </c>
      <c r="M245" s="232" t="n">
        <v>0.4</v>
      </c>
      <c r="N245" s="232" t="n">
        <v>0.5</v>
      </c>
      <c r="O245" s="232" t="n">
        <v>0.5</v>
      </c>
      <c r="P245" s="232" t="n">
        <v>0.5</v>
      </c>
      <c r="Q245" s="252"/>
      <c r="R245" s="252"/>
      <c r="AC245" s="233" t="n">
        <v>0.17</v>
      </c>
      <c r="AD245" s="233" t="n">
        <v>0.0125</v>
      </c>
      <c r="AN245" s="233" t="n">
        <v>1.51969857972274</v>
      </c>
      <c r="AR245" s="233" t="n">
        <f aca="false">1/AN245</f>
        <v>0.658025225095916</v>
      </c>
      <c r="AT245" s="253" t="n">
        <f aca="false">AR245*AM245*$AT$6</f>
        <v>0</v>
      </c>
      <c r="AU245" s="253" t="n">
        <f aca="false">AK245+AL245+AT245</f>
        <v>0</v>
      </c>
      <c r="AV245" s="233" t="n">
        <f aca="false">[10]Sheet1!AA236</f>
        <v>0.1495</v>
      </c>
      <c r="AW245" s="233" t="n">
        <v>0</v>
      </c>
    </row>
    <row r="246" customFormat="false" ht="11.25" hidden="false" customHeight="false" outlineLevel="0" collapsed="false">
      <c r="A246" s="233"/>
      <c r="B246" s="233"/>
      <c r="C246" s="231" t="e">
        <f aca="false">NextMonth(C245)</f>
        <v>#VALUE!</v>
      </c>
      <c r="D246" s="252" t="n">
        <v>0.0679826085126987</v>
      </c>
      <c r="E246" s="232" t="n">
        <v>5.155</v>
      </c>
      <c r="F246" s="232" t="n">
        <v>0.17</v>
      </c>
      <c r="L246" s="232" t="n">
        <v>0.5</v>
      </c>
      <c r="M246" s="232" t="n">
        <v>0.4</v>
      </c>
      <c r="N246" s="232" t="n">
        <v>0.55</v>
      </c>
      <c r="O246" s="232" t="n">
        <v>0.5</v>
      </c>
      <c r="P246" s="232" t="n">
        <v>0.5</v>
      </c>
      <c r="Q246" s="252"/>
      <c r="R246" s="252"/>
      <c r="AC246" s="233" t="n">
        <v>0.175</v>
      </c>
      <c r="AD246" s="233" t="n">
        <v>0.0125</v>
      </c>
      <c r="AN246" s="233" t="n">
        <v>1.51899928919069</v>
      </c>
      <c r="AR246" s="233" t="n">
        <f aca="false">1/AN246</f>
        <v>0.658328155329679</v>
      </c>
      <c r="AT246" s="253" t="n">
        <f aca="false">AR246*AM246*$AT$6</f>
        <v>0</v>
      </c>
      <c r="AU246" s="253" t="n">
        <f aca="false">AK246+AL246+AT246</f>
        <v>0</v>
      </c>
      <c r="AV246" s="233" t="n">
        <f aca="false">[10]Sheet1!AA237</f>
        <v>0.1495</v>
      </c>
      <c r="AW246" s="233" t="n">
        <v>0</v>
      </c>
    </row>
    <row r="247" customFormat="false" ht="11.25" hidden="false" customHeight="false" outlineLevel="0" collapsed="false">
      <c r="A247" s="233"/>
      <c r="B247" s="233"/>
      <c r="C247" s="231" t="e">
        <f aca="false">NextMonth(C246)</f>
        <v>#VALUE!</v>
      </c>
      <c r="D247" s="252" t="n">
        <v>0.068019217520642</v>
      </c>
      <c r="E247" s="232" t="n">
        <v>5.211</v>
      </c>
      <c r="F247" s="232" t="n">
        <v>0.17</v>
      </c>
      <c r="L247" s="232" t="n">
        <v>0.55</v>
      </c>
      <c r="M247" s="232" t="n">
        <v>0.5</v>
      </c>
      <c r="N247" s="232" t="n">
        <v>0.6</v>
      </c>
      <c r="O247" s="232" t="n">
        <v>0.45</v>
      </c>
      <c r="P247" s="232" t="n">
        <v>0.55</v>
      </c>
      <c r="Q247" s="252"/>
      <c r="R247" s="252"/>
      <c r="AC247" s="233" t="n">
        <v>0.175</v>
      </c>
      <c r="AD247" s="233" t="n">
        <v>0.0125</v>
      </c>
      <c r="AN247" s="233" t="n">
        <v>1.51827194980811</v>
      </c>
      <c r="AR247" s="233" t="n">
        <f aca="false">1/AN247</f>
        <v>0.658643532291028</v>
      </c>
      <c r="AT247" s="253" t="n">
        <f aca="false">AR247*AM247*$AT$6</f>
        <v>0</v>
      </c>
      <c r="AU247" s="253" t="n">
        <f aca="false">AK247+AL247+AT247</f>
        <v>0</v>
      </c>
      <c r="AV247" s="233" t="n">
        <f aca="false">[10]Sheet1!AA238</f>
        <v>0.1495</v>
      </c>
      <c r="AW247" s="233" t="n">
        <v>0</v>
      </c>
    </row>
    <row r="248" customFormat="false" ht="11.25" hidden="false" customHeight="false" outlineLevel="0" collapsed="false">
      <c r="A248" s="233"/>
      <c r="B248" s="233"/>
      <c r="C248" s="231" t="e">
        <f aca="false">NextMonth(C247)</f>
        <v>#VALUE!</v>
      </c>
      <c r="D248" s="252" t="n">
        <v>0.068055826529029</v>
      </c>
      <c r="E248" s="232" t="n">
        <v>5.225</v>
      </c>
      <c r="F248" s="232" t="n">
        <v>0.17</v>
      </c>
      <c r="L248" s="232" t="n">
        <v>0.55</v>
      </c>
      <c r="M248" s="232" t="n">
        <v>0.55</v>
      </c>
      <c r="N248" s="232" t="n">
        <v>0.6</v>
      </c>
      <c r="O248" s="232" t="n">
        <v>0.5</v>
      </c>
      <c r="P248" s="232" t="n">
        <v>0.6</v>
      </c>
      <c r="Q248" s="252"/>
      <c r="R248" s="252"/>
      <c r="AC248" s="233" t="n">
        <v>0.165</v>
      </c>
      <c r="AD248" s="233" t="n">
        <v>0.0125</v>
      </c>
      <c r="AN248" s="233" t="n">
        <v>1.51753980093411</v>
      </c>
      <c r="AR248" s="233" t="n">
        <f aca="false">1/AN248</f>
        <v>0.65896129998334</v>
      </c>
      <c r="AT248" s="253" t="n">
        <f aca="false">AR248*AM248*$AT$6</f>
        <v>0</v>
      </c>
      <c r="AU248" s="253" t="n">
        <f aca="false">AK248+AL248+AT248</f>
        <v>0</v>
      </c>
      <c r="AV248" s="233" t="n">
        <f aca="false">[10]Sheet1!AA239</f>
        <v>0.1495</v>
      </c>
      <c r="AW248" s="233" t="n">
        <v>0</v>
      </c>
    </row>
    <row r="249" customFormat="false" ht="11.25" hidden="false" customHeight="false" outlineLevel="0" collapsed="false">
      <c r="A249" s="233"/>
      <c r="B249" s="233"/>
      <c r="C249" s="231" t="e">
        <f aca="false">NextMonth(C248)</f>
        <v>#VALUE!</v>
      </c>
      <c r="D249" s="252" t="n">
        <v>0.0680912546020838</v>
      </c>
      <c r="E249" s="232" t="n">
        <v>5.256</v>
      </c>
      <c r="F249" s="232" t="n">
        <v>0.17</v>
      </c>
      <c r="L249" s="232" t="n">
        <v>0.6</v>
      </c>
      <c r="M249" s="232" t="n">
        <v>0.55</v>
      </c>
      <c r="N249" s="232" t="n">
        <v>0.65</v>
      </c>
      <c r="O249" s="232" t="n">
        <v>0.5</v>
      </c>
      <c r="P249" s="232" t="n">
        <v>0.65</v>
      </c>
      <c r="Q249" s="252"/>
      <c r="R249" s="252"/>
      <c r="AC249" s="233" t="n">
        <v>0.1725</v>
      </c>
      <c r="AD249" s="233" t="n">
        <v>0.0125</v>
      </c>
      <c r="AN249" s="233" t="n">
        <v>1.51682669754453</v>
      </c>
      <c r="AR249" s="233" t="n">
        <f aca="false">1/AN249</f>
        <v>0.659271096440233</v>
      </c>
      <c r="AT249" s="253" t="n">
        <f aca="false">AR249*AM249*$AT$6</f>
        <v>0</v>
      </c>
      <c r="AU249" s="253" t="n">
        <f aca="false">AK249+AL249+AT249</f>
        <v>0</v>
      </c>
      <c r="AV249" s="233" t="n">
        <f aca="false">[10]Sheet1!AA240</f>
        <v>0.201071428571429</v>
      </c>
      <c r="AW249" s="233" t="n">
        <v>0</v>
      </c>
    </row>
    <row r="250" customFormat="false" ht="11.25" hidden="false" customHeight="false" outlineLevel="0" collapsed="false">
      <c r="A250" s="233"/>
      <c r="B250" s="233"/>
      <c r="C250" s="231" t="e">
        <f aca="false">NextMonth(C249)</f>
        <v>#VALUE!</v>
      </c>
      <c r="D250" s="252" t="n">
        <v>0.0681278636113434</v>
      </c>
      <c r="E250" s="232" t="n">
        <v>5.389</v>
      </c>
      <c r="F250" s="232" t="n">
        <v>0.17</v>
      </c>
      <c r="L250" s="232" t="n">
        <v>0.8</v>
      </c>
      <c r="M250" s="232" t="n">
        <v>0.8</v>
      </c>
      <c r="N250" s="232" t="n">
        <v>0.8</v>
      </c>
      <c r="O250" s="232" t="n">
        <v>0.95</v>
      </c>
      <c r="P250" s="232" t="n">
        <v>0.85</v>
      </c>
      <c r="Q250" s="252"/>
      <c r="R250" s="252"/>
      <c r="AC250" s="233" t="n">
        <v>0.24</v>
      </c>
      <c r="AD250" s="233" t="n">
        <v>0.03</v>
      </c>
      <c r="AN250" s="233" t="n">
        <v>1.51608510674726</v>
      </c>
      <c r="AR250" s="233" t="n">
        <f aca="false">1/AN250</f>
        <v>0.659593577926167</v>
      </c>
      <c r="AT250" s="253" t="n">
        <f aca="false">AR250*AM250*$AT$6</f>
        <v>0</v>
      </c>
      <c r="AU250" s="253" t="n">
        <f aca="false">AK250+AL250+AT250</f>
        <v>0</v>
      </c>
      <c r="AV250" s="233" t="n">
        <f aca="false">[10]Sheet1!AA241</f>
        <v>0.206071428571429</v>
      </c>
      <c r="AW250" s="233" t="n">
        <v>0</v>
      </c>
    </row>
    <row r="251" customFormat="false" ht="11.25" hidden="false" customHeight="false" outlineLevel="0" collapsed="false">
      <c r="A251" s="233"/>
      <c r="B251" s="233"/>
      <c r="C251" s="231" t="e">
        <f aca="false">NextMonth(C250)</f>
        <v>#VALUE!</v>
      </c>
      <c r="D251" s="252" t="n">
        <v>0.0681632916852428</v>
      </c>
      <c r="E251" s="232" t="n">
        <v>5.527</v>
      </c>
      <c r="F251" s="232" t="n">
        <v>0.17</v>
      </c>
      <c r="L251" s="232" t="n">
        <v>1</v>
      </c>
      <c r="M251" s="232" t="n">
        <v>1</v>
      </c>
      <c r="N251" s="232" t="n">
        <v>1.1</v>
      </c>
      <c r="O251" s="232" t="n">
        <v>1.35</v>
      </c>
      <c r="P251" s="232" t="n">
        <v>1.05</v>
      </c>
      <c r="Q251" s="252"/>
      <c r="R251" s="252"/>
      <c r="AC251" s="233" t="n">
        <v>0.26</v>
      </c>
      <c r="AD251" s="233" t="n">
        <v>0.03</v>
      </c>
      <c r="AN251" s="233" t="n">
        <v>1.51536288017118</v>
      </c>
      <c r="AR251" s="233" t="n">
        <f aca="false">1/AN251</f>
        <v>0.659907942239576</v>
      </c>
      <c r="AT251" s="253" t="n">
        <f aca="false">AR251*AM251*$AT$6</f>
        <v>0</v>
      </c>
      <c r="AU251" s="253" t="n">
        <f aca="false">AK251+AL251+AT251</f>
        <v>0</v>
      </c>
      <c r="AV251" s="233" t="n">
        <f aca="false">[10]Sheet1!AA242</f>
        <v>0.206071428571429</v>
      </c>
      <c r="AW251" s="233" t="n">
        <v>0</v>
      </c>
    </row>
    <row r="252" customFormat="false" ht="11.25" hidden="false" customHeight="false" outlineLevel="0" collapsed="false">
      <c r="A252" s="233"/>
      <c r="B252" s="233"/>
      <c r="C252" s="231" t="e">
        <f aca="false">NextMonth(C251)</f>
        <v>#VALUE!</v>
      </c>
      <c r="D252" s="252" t="n">
        <v>0.0681999006953751</v>
      </c>
      <c r="E252" s="232" t="n">
        <v>5.584</v>
      </c>
      <c r="F252" s="232" t="n">
        <v>0.17</v>
      </c>
      <c r="L252" s="232" t="n">
        <v>1</v>
      </c>
      <c r="M252" s="232" t="n">
        <v>1</v>
      </c>
      <c r="N252" s="232" t="n">
        <v>1.1</v>
      </c>
      <c r="O252" s="232" t="n">
        <v>1.35</v>
      </c>
      <c r="P252" s="232" t="n">
        <v>1.05</v>
      </c>
      <c r="Q252" s="252"/>
      <c r="R252" s="252"/>
      <c r="AC252" s="233" t="n">
        <v>0.27</v>
      </c>
      <c r="AD252" s="233" t="n">
        <v>0.03</v>
      </c>
      <c r="AN252" s="233" t="n">
        <v>1.51461187679766</v>
      </c>
      <c r="AR252" s="233" t="n">
        <f aca="false">1/AN252</f>
        <v>0.66023515021835</v>
      </c>
      <c r="AT252" s="253" t="n">
        <f aca="false">AR252*AM252*$AT$6</f>
        <v>0</v>
      </c>
      <c r="AU252" s="253" t="n">
        <f aca="false">AK252+AL252+AT252</f>
        <v>0</v>
      </c>
      <c r="AV252" s="233" t="n">
        <f aca="false">[10]Sheet1!AA243</f>
        <v>0.206071428571429</v>
      </c>
      <c r="AW252" s="233" t="n">
        <v>0</v>
      </c>
    </row>
    <row r="253" customFormat="false" ht="11.25" hidden="false" customHeight="false" outlineLevel="0" collapsed="false">
      <c r="A253" s="233"/>
      <c r="B253" s="233"/>
      <c r="C253" s="231" t="e">
        <f aca="false">NextMonth(C252)</f>
        <v>#VALUE!</v>
      </c>
      <c r="D253" s="252" t="n">
        <v>0.0682365097059514</v>
      </c>
      <c r="E253" s="232" t="n">
        <v>5.464</v>
      </c>
      <c r="F253" s="232" t="n">
        <v>0.17</v>
      </c>
      <c r="L253" s="232" t="n">
        <v>1</v>
      </c>
      <c r="M253" s="232" t="n">
        <v>1</v>
      </c>
      <c r="N253" s="232" t="n">
        <v>1.1</v>
      </c>
      <c r="O253" s="232" t="n">
        <v>1.35</v>
      </c>
      <c r="P253" s="232" t="n">
        <v>1.05</v>
      </c>
      <c r="Q253" s="252"/>
      <c r="R253" s="252"/>
      <c r="AC253" s="233" t="n">
        <v>0.27</v>
      </c>
      <c r="AD253" s="233" t="n">
        <v>0.03</v>
      </c>
      <c r="AN253" s="233" t="n">
        <v>1.5138561013396</v>
      </c>
      <c r="AR253" s="233" t="n">
        <f aca="false">1/AN253</f>
        <v>0.660564765115461</v>
      </c>
      <c r="AT253" s="253" t="n">
        <f aca="false">AR253*AM253*$AT$6</f>
        <v>0</v>
      </c>
      <c r="AU253" s="253" t="n">
        <f aca="false">AK253+AL253+AT253</f>
        <v>0</v>
      </c>
      <c r="AV253" s="233" t="n">
        <f aca="false">[10]Sheet1!AA244</f>
        <v>0.206071428571429</v>
      </c>
      <c r="AW253" s="233" t="n">
        <v>0</v>
      </c>
    </row>
    <row r="254" customFormat="false" ht="11.25" hidden="false" customHeight="false" outlineLevel="0" collapsed="false">
      <c r="A254" s="233"/>
      <c r="B254" s="233"/>
      <c r="C254" s="231" t="e">
        <f aca="false">NextMonth(C253)</f>
        <v>#VALUE!</v>
      </c>
      <c r="D254" s="252" t="n">
        <v>0.0682695759094329</v>
      </c>
      <c r="E254" s="232" t="n">
        <v>5.325</v>
      </c>
      <c r="F254" s="232" t="n">
        <v>0.17</v>
      </c>
      <c r="L254" s="232" t="n">
        <v>0.75</v>
      </c>
      <c r="M254" s="232" t="n">
        <v>0.75</v>
      </c>
      <c r="N254" s="232" t="n">
        <v>0.75</v>
      </c>
      <c r="O254" s="232" t="n">
        <v>0.95</v>
      </c>
      <c r="P254" s="232" t="n">
        <v>0.75</v>
      </c>
      <c r="Q254" s="252"/>
      <c r="R254" s="252"/>
      <c r="AC254" s="233" t="n">
        <v>0.24</v>
      </c>
      <c r="AD254" s="233" t="n">
        <v>0.03</v>
      </c>
      <c r="AN254" s="233" t="n">
        <v>1.51316937014734</v>
      </c>
      <c r="AR254" s="233" t="n">
        <f aca="false">1/AN254</f>
        <v>0.660864553386134</v>
      </c>
      <c r="AT254" s="253" t="n">
        <f aca="false">AR254*AM254*$AT$6</f>
        <v>0</v>
      </c>
      <c r="AU254" s="253" t="n">
        <f aca="false">AK254+AL254+AT254</f>
        <v>0</v>
      </c>
      <c r="AV254" s="233" t="n">
        <f aca="false">[10]Sheet1!AA245</f>
        <v>0.152</v>
      </c>
      <c r="AW254" s="233" t="n">
        <v>0</v>
      </c>
    </row>
    <row r="255" customFormat="false" ht="11.25" hidden="false" customHeight="false" outlineLevel="0" collapsed="false">
      <c r="A255" s="233"/>
      <c r="B255" s="233"/>
      <c r="C255" s="231" t="e">
        <f aca="false">NextMonth(C254)</f>
        <v>#VALUE!</v>
      </c>
      <c r="D255" s="252" t="n">
        <v>0.0683061849208535</v>
      </c>
      <c r="E255" s="232" t="n">
        <v>5.15</v>
      </c>
      <c r="F255" s="232" t="n">
        <v>0.17</v>
      </c>
      <c r="L255" s="232" t="n">
        <v>0.4</v>
      </c>
      <c r="M255" s="232" t="n">
        <v>0.4</v>
      </c>
      <c r="N255" s="232" t="n">
        <v>0.45</v>
      </c>
      <c r="O255" s="232" t="n">
        <v>0.5</v>
      </c>
      <c r="P255" s="232" t="n">
        <v>0.45</v>
      </c>
      <c r="Q255" s="252"/>
      <c r="R255" s="252"/>
      <c r="AC255" s="233" t="n">
        <v>0.17</v>
      </c>
      <c r="AD255" s="233" t="n">
        <v>0.0175</v>
      </c>
      <c r="AN255" s="233" t="n">
        <v>1.51240453367761</v>
      </c>
      <c r="AR255" s="233" t="n">
        <f aca="false">1/AN255</f>
        <v>0.66119875848849</v>
      </c>
      <c r="AT255" s="253" t="n">
        <f aca="false">AR255*AM255*$AT$6</f>
        <v>0</v>
      </c>
      <c r="AU255" s="253" t="n">
        <f aca="false">AK255+AL255+AT255</f>
        <v>0</v>
      </c>
      <c r="AV255" s="233" t="n">
        <f aca="false">[10]Sheet1!AA246</f>
        <v>0.152</v>
      </c>
      <c r="AW255" s="233" t="n">
        <v>0</v>
      </c>
    </row>
    <row r="256" customFormat="false" ht="11.25" hidden="false" customHeight="false" outlineLevel="0" collapsed="false">
      <c r="A256" s="233"/>
      <c r="B256" s="233"/>
      <c r="C256" s="231" t="e">
        <f aca="false">NextMonth(C255)</f>
        <v>#VALUE!</v>
      </c>
      <c r="D256" s="252" t="n">
        <v>0.0683416129968437</v>
      </c>
      <c r="E256" s="232" t="n">
        <v>5.12</v>
      </c>
      <c r="F256" s="232" t="n">
        <v>0.17</v>
      </c>
      <c r="L256" s="232" t="n">
        <v>0.45</v>
      </c>
      <c r="M256" s="232" t="n">
        <v>0.4</v>
      </c>
      <c r="N256" s="232" t="n">
        <v>0.5</v>
      </c>
      <c r="O256" s="232" t="n">
        <v>0.45</v>
      </c>
      <c r="P256" s="232" t="n">
        <v>0.45</v>
      </c>
      <c r="Q256" s="252"/>
      <c r="R256" s="252"/>
      <c r="AC256" s="233" t="n">
        <v>0.165</v>
      </c>
      <c r="AD256" s="233" t="n">
        <v>0.01</v>
      </c>
      <c r="AN256" s="233" t="n">
        <v>1.51165984704593</v>
      </c>
      <c r="AR256" s="233" t="n">
        <f aca="false">1/AN256</f>
        <v>0.661524483801161</v>
      </c>
      <c r="AT256" s="253" t="n">
        <f aca="false">AR256*AM256*$AT$6</f>
        <v>0</v>
      </c>
      <c r="AU256" s="253" t="n">
        <f aca="false">AK256+AL256+AT256</f>
        <v>0</v>
      </c>
      <c r="AV256" s="233" t="n">
        <f aca="false">[10]Sheet1!AA247</f>
        <v>0.152</v>
      </c>
      <c r="AW256" s="233" t="n">
        <v>0</v>
      </c>
    </row>
    <row r="257" customFormat="false" ht="11.25" hidden="false" customHeight="false" outlineLevel="0" collapsed="false">
      <c r="A257" s="233"/>
      <c r="B257" s="233"/>
      <c r="C257" s="231" t="e">
        <f aca="false">NextMonth(C256)</f>
        <v>#VALUE!</v>
      </c>
      <c r="D257" s="252" t="n">
        <v>0.0683578538801628</v>
      </c>
      <c r="E257" s="232" t="n">
        <v>5.19</v>
      </c>
      <c r="F257" s="232" t="n">
        <v>0.17</v>
      </c>
      <c r="L257" s="232" t="n">
        <v>0.45</v>
      </c>
      <c r="M257" s="232" t="n">
        <v>0.4</v>
      </c>
      <c r="N257" s="232" t="n">
        <v>0.5</v>
      </c>
      <c r="O257" s="232" t="n">
        <v>0.5</v>
      </c>
      <c r="P257" s="232" t="n">
        <v>0.5</v>
      </c>
      <c r="Q257" s="252"/>
      <c r="R257" s="252"/>
      <c r="AC257" s="233" t="n">
        <v>0.17</v>
      </c>
      <c r="AD257" s="233" t="n">
        <v>0.0125</v>
      </c>
      <c r="AN257" s="233" t="n">
        <v>1.51106122024672</v>
      </c>
      <c r="AR257" s="233" t="n">
        <f aca="false">1/AN257</f>
        <v>0.661786555436003</v>
      </c>
      <c r="AT257" s="253" t="n">
        <f aca="false">AR257*AM257*$AT$6</f>
        <v>0</v>
      </c>
      <c r="AU257" s="253" t="n">
        <f aca="false">AK257+AL257+AT257</f>
        <v>0</v>
      </c>
      <c r="AV257" s="233" t="n">
        <f aca="false">[10]Sheet1!AA248</f>
        <v>0.152</v>
      </c>
      <c r="AW257" s="233" t="n">
        <v>0</v>
      </c>
    </row>
    <row r="258" customFormat="false" ht="11.25" hidden="false" customHeight="false" outlineLevel="0" collapsed="false">
      <c r="A258" s="233"/>
      <c r="B258" s="233"/>
      <c r="C258" s="231" t="e">
        <f aca="false">NextMonth(C257)</f>
        <v>#VALUE!</v>
      </c>
      <c r="D258" s="252" t="n">
        <v>0.0683525456987453</v>
      </c>
      <c r="E258" s="232" t="n">
        <v>5.245</v>
      </c>
      <c r="F258" s="232" t="n">
        <v>0.17</v>
      </c>
      <c r="L258" s="232" t="n">
        <v>0.5</v>
      </c>
      <c r="M258" s="232" t="n">
        <v>0.4</v>
      </c>
      <c r="N258" s="232" t="n">
        <v>0.55</v>
      </c>
      <c r="O258" s="232" t="n">
        <v>0.5</v>
      </c>
      <c r="P258" s="232" t="n">
        <v>0.5</v>
      </c>
      <c r="Q258" s="252"/>
      <c r="R258" s="252"/>
      <c r="AC258" s="233" t="n">
        <v>0.175</v>
      </c>
      <c r="AD258" s="233" t="n">
        <v>0.0125</v>
      </c>
      <c r="AN258" s="233" t="n">
        <v>1.51080146643713</v>
      </c>
      <c r="AR258" s="233" t="n">
        <f aca="false">1/AN258</f>
        <v>0.66190033714904</v>
      </c>
      <c r="AT258" s="253" t="n">
        <f aca="false">AR258*AM258*$AT$6</f>
        <v>0</v>
      </c>
      <c r="AU258" s="253" t="n">
        <f aca="false">AK258+AL258+AT258</f>
        <v>0</v>
      </c>
      <c r="AV258" s="233" t="n">
        <f aca="false">[10]Sheet1!AA249</f>
        <v>0.152</v>
      </c>
      <c r="AW258" s="233" t="n">
        <v>0</v>
      </c>
    </row>
    <row r="259" customFormat="false" ht="11.25" hidden="false" customHeight="false" outlineLevel="0" collapsed="false">
      <c r="A259" s="233"/>
      <c r="B259" s="233"/>
      <c r="C259" s="231" t="e">
        <f aca="false">NextMonth(C258)</f>
        <v>#VALUE!</v>
      </c>
      <c r="D259" s="252" t="n">
        <v>0.068347060577957</v>
      </c>
      <c r="E259" s="232" t="n">
        <v>5.301</v>
      </c>
      <c r="F259" s="232" t="n">
        <v>0.17</v>
      </c>
      <c r="L259" s="232" t="n">
        <v>0.55</v>
      </c>
      <c r="M259" s="232" t="n">
        <v>0.5</v>
      </c>
      <c r="N259" s="232" t="n">
        <v>0.6</v>
      </c>
      <c r="O259" s="232" t="n">
        <v>0.45</v>
      </c>
      <c r="P259" s="232" t="n">
        <v>0.55</v>
      </c>
      <c r="Q259" s="252"/>
      <c r="R259" s="252"/>
      <c r="AC259" s="233" t="n">
        <v>0.175</v>
      </c>
      <c r="AD259" s="233" t="n">
        <v>0.0125</v>
      </c>
      <c r="AN259" s="233" t="n">
        <v>1.5105322649783</v>
      </c>
      <c r="AR259" s="233" t="n">
        <f aca="false">1/AN259</f>
        <v>0.662018298572633</v>
      </c>
      <c r="AT259" s="253" t="n">
        <f aca="false">AR259*AM259*$AT$6</f>
        <v>0</v>
      </c>
      <c r="AU259" s="253" t="n">
        <f aca="false">AK259+AL259+AT259</f>
        <v>0</v>
      </c>
      <c r="AV259" s="233" t="n">
        <f aca="false">[10]Sheet1!AA250</f>
        <v>0.152</v>
      </c>
      <c r="AW259" s="233" t="n">
        <v>0</v>
      </c>
    </row>
    <row r="260" customFormat="false" ht="11.25" hidden="false" customHeight="false" outlineLevel="0" collapsed="false">
      <c r="A260" s="233"/>
      <c r="B260" s="233"/>
      <c r="C260" s="231" t="e">
        <f aca="false">NextMonth(C259)</f>
        <v>#VALUE!</v>
      </c>
      <c r="D260" s="252" t="n">
        <v>0.068341575457179</v>
      </c>
      <c r="E260" s="232" t="n">
        <v>5.315</v>
      </c>
      <c r="F260" s="232" t="n">
        <v>0.17</v>
      </c>
      <c r="L260" s="232" t="n">
        <v>0.55</v>
      </c>
      <c r="M260" s="232" t="n">
        <v>0.55</v>
      </c>
      <c r="N260" s="232" t="n">
        <v>0.6</v>
      </c>
      <c r="O260" s="232" t="n">
        <v>0.5</v>
      </c>
      <c r="P260" s="232" t="n">
        <v>0.6</v>
      </c>
      <c r="Q260" s="252"/>
      <c r="R260" s="252"/>
      <c r="AC260" s="233" t="n">
        <v>0.165</v>
      </c>
      <c r="AD260" s="233" t="n">
        <v>0.0125</v>
      </c>
      <c r="AN260" s="233" t="n">
        <v>1.51026226182529</v>
      </c>
      <c r="AR260" s="233" t="n">
        <f aca="false">1/AN260</f>
        <v>0.662136653531559</v>
      </c>
      <c r="AT260" s="253" t="n">
        <f aca="false">AR260*AM260*$AT$6</f>
        <v>0</v>
      </c>
      <c r="AU260" s="253" t="n">
        <f aca="false">AK260+AL260+AT260</f>
        <v>0</v>
      </c>
      <c r="AV260" s="233" t="n">
        <f aca="false">[10]Sheet1!AA251</f>
        <v>0.152</v>
      </c>
      <c r="AW260" s="233" t="n">
        <v>0</v>
      </c>
    </row>
    <row r="261" customFormat="false" ht="11.25" hidden="false" customHeight="false" outlineLevel="0" collapsed="false">
      <c r="A261" s="233"/>
      <c r="B261" s="233"/>
      <c r="C261" s="231" t="e">
        <f aca="false">NextMonth(C260)</f>
        <v>#VALUE!</v>
      </c>
      <c r="D261" s="252" t="n">
        <v>0.0683362672757899</v>
      </c>
      <c r="E261" s="232" t="n">
        <v>5.346</v>
      </c>
      <c r="F261" s="232" t="n">
        <v>0.17</v>
      </c>
      <c r="L261" s="232" t="n">
        <v>0.6</v>
      </c>
      <c r="M261" s="232" t="n">
        <v>0.55</v>
      </c>
      <c r="N261" s="232" t="n">
        <v>0.65</v>
      </c>
      <c r="O261" s="232" t="n">
        <v>0.5</v>
      </c>
      <c r="P261" s="232" t="n">
        <v>0.65</v>
      </c>
      <c r="Q261" s="252"/>
      <c r="R261" s="252"/>
      <c r="AC261" s="233" t="n">
        <v>0.1725</v>
      </c>
      <c r="AD261" s="233" t="n">
        <v>0.0125</v>
      </c>
      <c r="AN261" s="233" t="n">
        <v>1.5100002055445</v>
      </c>
      <c r="AR261" s="233" t="n">
        <f aca="false">1/AN261</f>
        <v>0.662251565482009</v>
      </c>
      <c r="AT261" s="253" t="n">
        <f aca="false">AR261*AM261*$AT$6</f>
        <v>0</v>
      </c>
      <c r="AU261" s="253" t="n">
        <f aca="false">AK261+AL261+AT261</f>
        <v>0</v>
      </c>
      <c r="AV261" s="233" t="n">
        <f aca="false">[10]Sheet1!AA252</f>
        <v>0.193571428571429</v>
      </c>
      <c r="AW261" s="233" t="n">
        <v>0</v>
      </c>
    </row>
    <row r="262" customFormat="false" ht="11.25" hidden="false" customHeight="false" outlineLevel="0" collapsed="false">
      <c r="A262" s="233"/>
      <c r="B262" s="233"/>
      <c r="C262" s="231" t="e">
        <f aca="false">NextMonth(C261)</f>
        <v>#VALUE!</v>
      </c>
      <c r="D262" s="252" t="n">
        <v>0.0683307821550314</v>
      </c>
      <c r="E262" s="232" t="n">
        <v>5.479</v>
      </c>
      <c r="F262" s="232" t="n">
        <v>0.17</v>
      </c>
      <c r="L262" s="232" t="n">
        <v>0.8</v>
      </c>
      <c r="M262" s="232" t="n">
        <v>0.8</v>
      </c>
      <c r="N262" s="232" t="n">
        <v>0.8</v>
      </c>
      <c r="O262" s="232" t="n">
        <v>0.95</v>
      </c>
      <c r="P262" s="232" t="n">
        <v>0.85</v>
      </c>
      <c r="Q262" s="252"/>
      <c r="R262" s="252"/>
      <c r="AC262" s="233" t="n">
        <v>0.24</v>
      </c>
      <c r="AD262" s="233" t="n">
        <v>0.03</v>
      </c>
      <c r="AN262" s="233" t="n">
        <v>1.50972862614495</v>
      </c>
      <c r="AR262" s="233" t="n">
        <f aca="false">1/AN262</f>
        <v>0.662370695423238</v>
      </c>
      <c r="AT262" s="253" t="n">
        <f aca="false">AR262*AM262*$AT$6</f>
        <v>0</v>
      </c>
      <c r="AU262" s="253" t="n">
        <f aca="false">AK262+AL262+AT262</f>
        <v>0</v>
      </c>
      <c r="AV262" s="233" t="n">
        <f aca="false">[10]Sheet1!AA253</f>
        <v>0.198571428571429</v>
      </c>
      <c r="AW262" s="233" t="n">
        <v>0</v>
      </c>
    </row>
    <row r="263" customFormat="false" ht="11.25" hidden="false" customHeight="false" outlineLevel="0" collapsed="false">
      <c r="A263" s="233"/>
      <c r="B263" s="233"/>
      <c r="C263" s="231" t="e">
        <f aca="false">NextMonth(C262)</f>
        <v>#VALUE!</v>
      </c>
      <c r="D263" s="252" t="n">
        <v>0.0683254739736614</v>
      </c>
      <c r="E263" s="232" t="n">
        <v>5.617</v>
      </c>
      <c r="F263" s="232" t="n">
        <v>0.17</v>
      </c>
      <c r="L263" s="232" t="n">
        <v>1</v>
      </c>
      <c r="M263" s="232" t="n">
        <v>1</v>
      </c>
      <c r="N263" s="232" t="n">
        <v>1.1</v>
      </c>
      <c r="O263" s="232" t="n">
        <v>1.35</v>
      </c>
      <c r="P263" s="232" t="n">
        <v>1.05</v>
      </c>
      <c r="Q263" s="252"/>
      <c r="R263" s="252"/>
      <c r="AC263" s="233" t="n">
        <v>0.26</v>
      </c>
      <c r="AD263" s="233" t="n">
        <v>0.03</v>
      </c>
      <c r="AN263" s="233" t="n">
        <v>1.50946504528885</v>
      </c>
      <c r="AR263" s="233" t="n">
        <f aca="false">1/AN263</f>
        <v>0.662486357747119</v>
      </c>
      <c r="AT263" s="253" t="n">
        <f aca="false">AR263*AM263*$AT$6</f>
        <v>0</v>
      </c>
      <c r="AU263" s="253" t="n">
        <f aca="false">AK263+AL263+AT263</f>
        <v>0</v>
      </c>
      <c r="AV263" s="233" t="n">
        <f aca="false">[10]Sheet1!AA254</f>
        <v>0.198571428571429</v>
      </c>
      <c r="AW263" s="233" t="n">
        <v>0</v>
      </c>
    </row>
    <row r="264" customFormat="false" ht="11.25" hidden="false" customHeight="false" outlineLevel="0" collapsed="false">
      <c r="A264" s="233"/>
      <c r="B264" s="233"/>
      <c r="C264" s="231" t="e">
        <f aca="false">NextMonth(C263)</f>
        <v>#VALUE!</v>
      </c>
      <c r="D264" s="252" t="n">
        <v>0.0683199888529224</v>
      </c>
      <c r="E264" s="232" t="n">
        <v>5.674</v>
      </c>
      <c r="F264" s="232" t="n">
        <v>0.17</v>
      </c>
      <c r="L264" s="232" t="n">
        <v>0</v>
      </c>
      <c r="M264" s="232" t="n">
        <v>1</v>
      </c>
      <c r="N264" s="232" t="n">
        <v>1.1</v>
      </c>
      <c r="O264" s="232" t="n">
        <v>1.35</v>
      </c>
      <c r="P264" s="232" t="n">
        <v>1.05</v>
      </c>
      <c r="Q264" s="252"/>
      <c r="R264" s="252"/>
      <c r="AC264" s="233" t="n">
        <v>0.27</v>
      </c>
      <c r="AD264" s="233" t="n">
        <v>0.03</v>
      </c>
      <c r="AN264" s="233" t="n">
        <v>1.50919189134926</v>
      </c>
      <c r="AR264" s="233" t="n">
        <f aca="false">1/AN264</f>
        <v>0.662606263479174</v>
      </c>
      <c r="AT264" s="253" t="n">
        <f aca="false">AR264*AM264*$AT$6</f>
        <v>0</v>
      </c>
      <c r="AU264" s="253" t="n">
        <f aca="false">AK264+AL264+AT264</f>
        <v>0</v>
      </c>
      <c r="AV264" s="233" t="n">
        <f aca="false">[10]Sheet1!AA255</f>
        <v>0.198571428571429</v>
      </c>
      <c r="AW264" s="233" t="n">
        <v>0</v>
      </c>
    </row>
    <row r="265" customFormat="false" ht="11.25" hidden="false" customHeight="false" outlineLevel="0" collapsed="false">
      <c r="A265" s="233"/>
      <c r="B265" s="233"/>
      <c r="C265" s="231" t="e">
        <f aca="false">NextMonth(C264)</f>
        <v>#VALUE!</v>
      </c>
      <c r="D265" s="252" t="n">
        <v>0.0683145037321933</v>
      </c>
      <c r="E265" s="232" t="n">
        <v>5.554</v>
      </c>
      <c r="F265" s="232" t="n">
        <v>0.17</v>
      </c>
      <c r="L265" s="232" t="n">
        <v>0</v>
      </c>
      <c r="M265" s="232" t="n">
        <v>1</v>
      </c>
      <c r="N265" s="232" t="n">
        <v>1.1</v>
      </c>
      <c r="O265" s="232" t="n">
        <v>1.35</v>
      </c>
      <c r="P265" s="232" t="n">
        <v>1.05</v>
      </c>
      <c r="Q265" s="252"/>
      <c r="R265" s="252"/>
      <c r="AC265" s="233" t="n">
        <v>0.27</v>
      </c>
      <c r="AD265" s="233" t="n">
        <v>0.03</v>
      </c>
      <c r="AN265" s="233" t="n">
        <v>1.50891793789071</v>
      </c>
      <c r="AR265" s="233" t="n">
        <f aca="false">1/AN265</f>
        <v>0.662726563777141</v>
      </c>
      <c r="AT265" s="253" t="n">
        <f aca="false">AR265*AM265*$AT$6</f>
        <v>0</v>
      </c>
      <c r="AU265" s="253" t="n">
        <f aca="false">AK265+AL265+AT265</f>
        <v>0</v>
      </c>
      <c r="AV265" s="233" t="n">
        <f aca="false">[10]Sheet1!AA256</f>
        <v>0.198571428571429</v>
      </c>
      <c r="AW265" s="233" t="n">
        <v>0</v>
      </c>
    </row>
    <row r="266" customFormat="false" ht="11.25" hidden="false" customHeight="false" outlineLevel="0" collapsed="false">
      <c r="A266" s="233"/>
      <c r="B266" s="233"/>
      <c r="C266" s="231" t="e">
        <f aca="false">NextMonth(C265)</f>
        <v>#VALUE!</v>
      </c>
      <c r="D266" s="252" t="n">
        <v>0.0683095494296082</v>
      </c>
      <c r="E266" s="232" t="n">
        <v>5.415</v>
      </c>
      <c r="F266" s="232" t="n">
        <v>0.17</v>
      </c>
      <c r="L266" s="232" t="n">
        <v>0</v>
      </c>
      <c r="M266" s="232" t="n">
        <v>0.75</v>
      </c>
      <c r="N266" s="232" t="n">
        <v>0.75</v>
      </c>
      <c r="O266" s="232" t="n">
        <v>0.95</v>
      </c>
      <c r="P266" s="232" t="n">
        <v>0.75</v>
      </c>
      <c r="Q266" s="252"/>
      <c r="R266" s="252"/>
      <c r="AC266" s="233" t="n">
        <v>0.24</v>
      </c>
      <c r="AD266" s="233" t="n">
        <v>0.03</v>
      </c>
      <c r="AN266" s="233" t="n">
        <v>1.50866980922324</v>
      </c>
      <c r="AR266" s="233" t="n">
        <f aca="false">1/AN266</f>
        <v>0.66283556142405</v>
      </c>
      <c r="AT266" s="253" t="n">
        <f aca="false">AR266*AM266*$AT$6</f>
        <v>0</v>
      </c>
      <c r="AU266" s="253" t="n">
        <f aca="false">AK266+AL266+AT266</f>
        <v>0</v>
      </c>
      <c r="AV266" s="233" t="n">
        <f aca="false">[10]Sheet1!AA257</f>
        <v>0.1495</v>
      </c>
      <c r="AW266" s="233" t="n">
        <v>0</v>
      </c>
    </row>
    <row r="267" customFormat="false" ht="11.25" hidden="false" customHeight="false" outlineLevel="0" collapsed="false">
      <c r="A267" s="233"/>
      <c r="B267" s="233"/>
      <c r="C267" s="231" t="e">
        <f aca="false">NextMonth(C266)</f>
        <v>#VALUE!</v>
      </c>
      <c r="D267" s="252" t="n">
        <v>0.0683040643088977</v>
      </c>
      <c r="E267" s="232" t="n">
        <v>5.24</v>
      </c>
      <c r="F267" s="232" t="n">
        <v>0.17</v>
      </c>
      <c r="L267" s="232" t="n">
        <v>0</v>
      </c>
      <c r="M267" s="232" t="n">
        <v>0.4</v>
      </c>
      <c r="N267" s="232" t="n">
        <v>0.45</v>
      </c>
      <c r="O267" s="232" t="n">
        <v>0.5</v>
      </c>
      <c r="P267" s="232" t="n">
        <v>0.45</v>
      </c>
      <c r="Q267" s="252"/>
      <c r="R267" s="252"/>
      <c r="AC267" s="233" t="n">
        <v>0.17</v>
      </c>
      <c r="AD267" s="233" t="n">
        <v>0.0175</v>
      </c>
      <c r="AN267" s="233" t="n">
        <v>1.50839433532866</v>
      </c>
      <c r="AR267" s="233" t="n">
        <f aca="false">1/AN267</f>
        <v>0.662956613253333</v>
      </c>
      <c r="AT267" s="253" t="n">
        <f aca="false">AR267*AM267*$AT$6</f>
        <v>0</v>
      </c>
      <c r="AU267" s="253" t="n">
        <f aca="false">AK267+AL267+AT267</f>
        <v>0</v>
      </c>
      <c r="AV267" s="233" t="n">
        <f aca="false">[10]Sheet1!AA258</f>
        <v>0.1495</v>
      </c>
      <c r="AW267" s="233" t="n">
        <v>0</v>
      </c>
    </row>
    <row r="268" customFormat="false" ht="11.25" hidden="false" customHeight="false" outlineLevel="0" collapsed="false">
      <c r="A268" s="233"/>
      <c r="B268" s="233"/>
      <c r="C268" s="231" t="e">
        <f aca="false">NextMonth(C267)</f>
        <v>#VALUE!</v>
      </c>
      <c r="D268" s="252" t="n">
        <v>0.0682987561275752</v>
      </c>
      <c r="E268" s="232" t="n">
        <v>5.21</v>
      </c>
      <c r="F268" s="232" t="n">
        <v>0.17</v>
      </c>
      <c r="L268" s="232" t="n">
        <v>0</v>
      </c>
      <c r="M268" s="232" t="n">
        <v>0.4</v>
      </c>
      <c r="N268" s="232" t="n">
        <v>0.5</v>
      </c>
      <c r="O268" s="232" t="n">
        <v>0.45</v>
      </c>
      <c r="P268" s="232" t="n">
        <v>0.45</v>
      </c>
      <c r="Q268" s="252"/>
      <c r="R268" s="252"/>
      <c r="AC268" s="233" t="n">
        <v>0.165</v>
      </c>
      <c r="AD268" s="233" t="n">
        <v>0.01</v>
      </c>
      <c r="AN268" s="233" t="n">
        <v>1.50812698766766</v>
      </c>
      <c r="AR268" s="233" t="n">
        <f aca="false">1/AN268</f>
        <v>0.663074136446901</v>
      </c>
      <c r="AT268" s="253" t="n">
        <f aca="false">AR268*AM268*$AT$6</f>
        <v>0</v>
      </c>
      <c r="AU268" s="253" t="n">
        <f aca="false">AK268+AL268+AT268</f>
        <v>0</v>
      </c>
      <c r="AV268" s="233" t="n">
        <f aca="false">[10]Sheet1!AA259</f>
        <v>0.1495</v>
      </c>
      <c r="AW268" s="233" t="n">
        <v>0</v>
      </c>
    </row>
    <row r="269" customFormat="false" ht="11.25" hidden="false" customHeight="false" outlineLevel="0" collapsed="false">
      <c r="A269" s="233"/>
      <c r="B269" s="233"/>
      <c r="C269" s="231" t="e">
        <f aca="false">NextMonth(C268)</f>
        <v>#VALUE!</v>
      </c>
      <c r="D269" s="252" t="n">
        <v>0.0682932710068842</v>
      </c>
      <c r="E269" s="232" t="n">
        <v>5.28</v>
      </c>
      <c r="F269" s="232" t="n">
        <v>0.17</v>
      </c>
      <c r="L269" s="232" t="n">
        <v>0</v>
      </c>
      <c r="M269" s="232" t="n">
        <v>0.4</v>
      </c>
      <c r="N269" s="232" t="n">
        <v>0.5</v>
      </c>
      <c r="O269" s="232" t="n">
        <v>0.5</v>
      </c>
      <c r="P269" s="232" t="n">
        <v>0.5</v>
      </c>
      <c r="Q269" s="252"/>
      <c r="R269" s="252"/>
      <c r="AC269" s="233" t="n">
        <v>0.17</v>
      </c>
      <c r="AD269" s="233" t="n">
        <v>0.0125</v>
      </c>
      <c r="AN269" s="233" t="n">
        <v>1.5078499434991</v>
      </c>
      <c r="AR269" s="233" t="n">
        <f aca="false">1/AN269</f>
        <v>0.663195966091567</v>
      </c>
      <c r="AT269" s="253" t="n">
        <f aca="false">AR269*AM269*$AT$6</f>
        <v>0</v>
      </c>
      <c r="AU269" s="253" t="n">
        <f aca="false">AK269+AL269+AT269</f>
        <v>0</v>
      </c>
      <c r="AV269" s="233" t="n">
        <f aca="false">[10]Sheet1!AA260</f>
        <v>0.1495</v>
      </c>
      <c r="AW269" s="233" t="n">
        <v>0</v>
      </c>
    </row>
    <row r="270" customFormat="false" ht="11.25" hidden="false" customHeight="false" outlineLevel="0" collapsed="false">
      <c r="A270" s="233"/>
      <c r="B270" s="233"/>
      <c r="C270" s="231" t="e">
        <f aca="false">NextMonth(C269)</f>
        <v>#VALUE!</v>
      </c>
      <c r="D270" s="252" t="n">
        <v>0.0682879628255808</v>
      </c>
      <c r="E270" s="232" t="n">
        <v>5.335</v>
      </c>
      <c r="F270" s="232" t="n">
        <v>0.17</v>
      </c>
      <c r="L270" s="232" t="n">
        <v>0</v>
      </c>
      <c r="M270" s="232" t="n">
        <v>0.4</v>
      </c>
      <c r="N270" s="232" t="n">
        <v>0.55</v>
      </c>
      <c r="O270" s="232" t="n">
        <v>0.5</v>
      </c>
      <c r="P270" s="232" t="n">
        <v>0.5</v>
      </c>
      <c r="Q270" s="252"/>
      <c r="R270" s="252"/>
      <c r="AC270" s="233" t="n">
        <v>0.175</v>
      </c>
      <c r="AD270" s="233" t="n">
        <v>0.0125</v>
      </c>
      <c r="AN270" s="233" t="n">
        <v>1.50758107705899</v>
      </c>
      <c r="AR270" s="233" t="n">
        <f aca="false">1/AN270</f>
        <v>0.663314242409313</v>
      </c>
      <c r="AT270" s="253" t="n">
        <f aca="false">AR270*AM270*$AT$6</f>
        <v>0</v>
      </c>
      <c r="AU270" s="253" t="n">
        <f aca="false">AK270+AL270+AT270</f>
        <v>0</v>
      </c>
      <c r="AV270" s="233" t="n">
        <f aca="false">[10]Sheet1!AA261</f>
        <v>0.1495</v>
      </c>
      <c r="AW270" s="233" t="n">
        <v>0</v>
      </c>
    </row>
    <row r="271" customFormat="false" ht="11.25" hidden="false" customHeight="false" outlineLevel="0" collapsed="false">
      <c r="A271" s="233"/>
      <c r="B271" s="233"/>
      <c r="C271" s="231" t="e">
        <f aca="false">NextMonth(C270)</f>
        <v>#VALUE!</v>
      </c>
      <c r="D271" s="252" t="n">
        <v>0.0682824777049094</v>
      </c>
      <c r="E271" s="232" t="n">
        <v>5.391</v>
      </c>
      <c r="F271" s="232" t="n">
        <v>0.17</v>
      </c>
      <c r="L271" s="232" t="n">
        <v>0</v>
      </c>
      <c r="M271" s="232" t="n">
        <v>0.5</v>
      </c>
      <c r="N271" s="232" t="n">
        <v>0.6</v>
      </c>
      <c r="O271" s="232" t="n">
        <v>0.45</v>
      </c>
      <c r="P271" s="232" t="n">
        <v>0.55</v>
      </c>
      <c r="Q271" s="252"/>
      <c r="R271" s="252"/>
      <c r="AC271" s="233" t="n">
        <v>0.175</v>
      </c>
      <c r="AD271" s="233" t="n">
        <v>0.0125</v>
      </c>
      <c r="AN271" s="233" t="n">
        <v>1.50730246435665</v>
      </c>
      <c r="AR271" s="233" t="n">
        <f aca="false">1/AN271</f>
        <v>0.6634368506966</v>
      </c>
      <c r="AT271" s="253" t="n">
        <f aca="false">AR271*AM271*$AT$6</f>
        <v>0</v>
      </c>
      <c r="AU271" s="253" t="n">
        <f aca="false">AK271+AL271+AT271</f>
        <v>0</v>
      </c>
      <c r="AV271" s="233" t="n">
        <f aca="false">[10]Sheet1!AA262</f>
        <v>0.1495</v>
      </c>
      <c r="AW271" s="233" t="n">
        <v>0</v>
      </c>
    </row>
    <row r="272" customFormat="false" ht="11.25" hidden="false" customHeight="false" outlineLevel="0" collapsed="false">
      <c r="A272" s="233"/>
      <c r="B272" s="233"/>
      <c r="C272" s="231" t="e">
        <f aca="false">NextMonth(C271)</f>
        <v>#VALUE!</v>
      </c>
      <c r="D272" s="252" t="n">
        <v>0.0682769925842486</v>
      </c>
      <c r="E272" s="232" t="n">
        <v>5.405</v>
      </c>
      <c r="F272" s="232" t="n">
        <v>0.17</v>
      </c>
      <c r="L272" s="232" t="n">
        <v>0</v>
      </c>
      <c r="M272" s="232" t="n">
        <v>0.55</v>
      </c>
      <c r="N272" s="232" t="n">
        <v>0.6</v>
      </c>
      <c r="O272" s="232" t="n">
        <v>0.5</v>
      </c>
      <c r="P272" s="232" t="n">
        <v>0.6</v>
      </c>
      <c r="Q272" s="252"/>
      <c r="R272" s="252"/>
      <c r="AC272" s="233" t="n">
        <v>0.165</v>
      </c>
      <c r="AD272" s="233" t="n">
        <v>0.0125</v>
      </c>
      <c r="AN272" s="233" t="n">
        <v>1.50702305520057</v>
      </c>
      <c r="AR272" s="233" t="n">
        <f aca="false">1/AN272</f>
        <v>0.663559855006273</v>
      </c>
      <c r="AT272" s="253" t="n">
        <f aca="false">AR272*AM272*$AT$6</f>
        <v>0</v>
      </c>
      <c r="AU272" s="253" t="n">
        <f aca="false">AK272+AL272+AT272</f>
        <v>0</v>
      </c>
      <c r="AV272" s="233" t="n">
        <f aca="false">[10]Sheet1!AA263</f>
        <v>0.1495</v>
      </c>
      <c r="AW272" s="233" t="n">
        <v>0</v>
      </c>
    </row>
    <row r="273" customFormat="false" ht="11.25" hidden="false" customHeight="false" outlineLevel="0" collapsed="false">
      <c r="A273" s="233"/>
      <c r="B273" s="233"/>
      <c r="C273" s="231" t="e">
        <f aca="false">NextMonth(C272)</f>
        <v>#VALUE!</v>
      </c>
      <c r="Q273" s="252"/>
      <c r="R273" s="252"/>
      <c r="AU273" s="253" t="n">
        <f aca="false">AK273+AL273+AT273</f>
        <v>0</v>
      </c>
      <c r="AV273" s="233" t="n">
        <f aca="false">[10]Sheet1!AA264</f>
        <v>0.196071428571429</v>
      </c>
      <c r="AW273" s="233" t="n">
        <v>0</v>
      </c>
    </row>
    <row r="274" customFormat="false" ht="11.25" hidden="false" customHeight="false" outlineLevel="0" collapsed="false">
      <c r="A274" s="233"/>
      <c r="B274" s="233"/>
      <c r="C274" s="231" t="e">
        <f aca="false">NextMonth(C273)</f>
        <v>#VALUE!</v>
      </c>
      <c r="Q274" s="252"/>
      <c r="R274" s="252"/>
      <c r="AU274" s="253" t="n">
        <f aca="false">AK274+AL274+AT274</f>
        <v>0</v>
      </c>
      <c r="AV274" s="233" t="n">
        <f aca="false">[10]Sheet1!AA265</f>
        <v>0.201071428571429</v>
      </c>
      <c r="AW274" s="233" t="n">
        <v>0</v>
      </c>
    </row>
    <row r="275" customFormat="false" ht="11.25" hidden="false" customHeight="false" outlineLevel="0" collapsed="false">
      <c r="A275" s="233"/>
      <c r="B275" s="233"/>
      <c r="C275" s="231" t="e">
        <f aca="false">NextMonth(C274)</f>
        <v>#VALUE!</v>
      </c>
      <c r="Q275" s="252"/>
      <c r="R275" s="252"/>
      <c r="AU275" s="253" t="n">
        <f aca="false">AK275+AL275+AT275</f>
        <v>0</v>
      </c>
      <c r="AV275" s="233" t="n">
        <f aca="false">[10]Sheet1!AA266</f>
        <v>0.201071428571429</v>
      </c>
      <c r="AW275" s="233" t="n">
        <v>0</v>
      </c>
    </row>
    <row r="276" customFormat="false" ht="11.25" hidden="false" customHeight="false" outlineLevel="0" collapsed="false">
      <c r="A276" s="233"/>
      <c r="B276" s="233"/>
      <c r="C276" s="231" t="e">
        <f aca="false">NextMonth(C275)</f>
        <v>#VALUE!</v>
      </c>
      <c r="Q276" s="252"/>
      <c r="R276" s="252"/>
      <c r="AU276" s="253" t="n">
        <f aca="false">AK276+AL276+AT276</f>
        <v>0</v>
      </c>
      <c r="AV276" s="233" t="n">
        <f aca="false">[10]Sheet1!AA267</f>
        <v>0.201071428571429</v>
      </c>
      <c r="AW276" s="233" t="n">
        <v>0</v>
      </c>
    </row>
    <row r="277" customFormat="false" ht="11.25" hidden="false" customHeight="false" outlineLevel="0" collapsed="false">
      <c r="A277" s="233"/>
      <c r="B277" s="233"/>
      <c r="C277" s="231" t="e">
        <f aca="false">NextMonth(C276)</f>
        <v>#VALUE!</v>
      </c>
      <c r="Q277" s="252"/>
      <c r="R277" s="252"/>
      <c r="AU277" s="253" t="n">
        <f aca="false">AK277+AL277+AT277</f>
        <v>0</v>
      </c>
      <c r="AV277" s="233" t="n">
        <f aca="false">[10]Sheet1!AA268</f>
        <v>0.201071428571429</v>
      </c>
      <c r="AW277" s="233" t="n">
        <v>0</v>
      </c>
    </row>
    <row r="278" customFormat="false" ht="11.25" hidden="false" customHeight="false" outlineLevel="0" collapsed="false">
      <c r="A278" s="233"/>
      <c r="B278" s="233"/>
      <c r="C278" s="231" t="e">
        <f aca="false">NextMonth(C277)</f>
        <v>#VALUE!</v>
      </c>
      <c r="Q278" s="252"/>
      <c r="R278" s="252"/>
      <c r="AU278" s="253" t="n">
        <f aca="false">AK278+AL278+AT278</f>
        <v>0</v>
      </c>
      <c r="AV278" s="233" t="n">
        <f aca="false">[10]Sheet1!AA269</f>
        <v>0.152</v>
      </c>
      <c r="AW278" s="233" t="n">
        <v>0</v>
      </c>
    </row>
    <row r="279" customFormat="false" ht="11.25" hidden="false" customHeight="false" outlineLevel="0" collapsed="false">
      <c r="A279" s="233"/>
      <c r="B279" s="233"/>
      <c r="C279" s="231" t="e">
        <f aca="false">NextMonth(C278)</f>
        <v>#VALUE!</v>
      </c>
      <c r="AU279" s="253" t="n">
        <f aca="false">AK279+AL279+AT279</f>
        <v>0</v>
      </c>
      <c r="AV279" s="233" t="n">
        <f aca="false">[10]Sheet1!AA270</f>
        <v>0.152</v>
      </c>
      <c r="AW279" s="233" t="n">
        <v>0</v>
      </c>
    </row>
    <row r="280" customFormat="false" ht="11.25" hidden="false" customHeight="false" outlineLevel="0" collapsed="false">
      <c r="A280" s="233"/>
      <c r="B280" s="233"/>
      <c r="C280" s="231" t="e">
        <f aca="false">NextMonth(C279)</f>
        <v>#VALUE!</v>
      </c>
      <c r="AU280" s="253" t="n">
        <f aca="false">AK280+AL280+AT280</f>
        <v>0</v>
      </c>
      <c r="AV280" s="233" t="n">
        <f aca="false">[10]Sheet1!AA271</f>
        <v>0.152</v>
      </c>
      <c r="AW280" s="233" t="n">
        <v>0</v>
      </c>
    </row>
    <row r="281" customFormat="false" ht="11.25" hidden="false" customHeight="false" outlineLevel="0" collapsed="false">
      <c r="A281" s="233"/>
      <c r="B281" s="233"/>
      <c r="C281" s="231" t="e">
        <f aca="false">NextMonth(C280)</f>
        <v>#VALUE!</v>
      </c>
      <c r="AU281" s="253" t="n">
        <f aca="false">AK281+AL281+AT281</f>
        <v>0</v>
      </c>
      <c r="AV281" s="233" t="n">
        <f aca="false">[10]Sheet1!AA272</f>
        <v>0.152</v>
      </c>
      <c r="AW281" s="233" t="n">
        <v>0</v>
      </c>
    </row>
    <row r="282" customFormat="false" ht="11.25" hidden="false" customHeight="false" outlineLevel="0" collapsed="false">
      <c r="A282" s="233"/>
      <c r="B282" s="233"/>
      <c r="C282" s="231" t="e">
        <f aca="false">NextMonth(C281)</f>
        <v>#VALUE!</v>
      </c>
      <c r="AU282" s="253" t="n">
        <f aca="false">AK282+AL282+AT282</f>
        <v>0</v>
      </c>
      <c r="AV282" s="233" t="n">
        <f aca="false">[10]Sheet1!AA273</f>
        <v>0.152</v>
      </c>
      <c r="AW282" s="233" t="n">
        <v>0</v>
      </c>
    </row>
    <row r="283" customFormat="false" ht="11.25" hidden="false" customHeight="false" outlineLevel="0" collapsed="false">
      <c r="A283" s="233"/>
      <c r="B283" s="233"/>
      <c r="C283" s="231" t="e">
        <f aca="false">NextMonth(C282)</f>
        <v>#VALUE!</v>
      </c>
      <c r="AU283" s="253" t="n">
        <f aca="false">AK283+AL283+AT283</f>
        <v>0</v>
      </c>
      <c r="AV283" s="233" t="n">
        <f aca="false">[10]Sheet1!AA274</f>
        <v>0.152</v>
      </c>
      <c r="AW283" s="233" t="n">
        <v>0</v>
      </c>
    </row>
    <row r="284" customFormat="false" ht="11.25" hidden="false" customHeight="false" outlineLevel="0" collapsed="false">
      <c r="A284" s="233"/>
      <c r="B284" s="233"/>
      <c r="C284" s="231" t="e">
        <f aca="false">NextMonth(C283)</f>
        <v>#VALUE!</v>
      </c>
      <c r="AU284" s="253" t="n">
        <f aca="false">AK284+AL284+AT284</f>
        <v>0</v>
      </c>
      <c r="AV284" s="233" t="n">
        <f aca="false">[10]Sheet1!AA275</f>
        <v>0.152</v>
      </c>
      <c r="AW284" s="233" t="n">
        <v>0</v>
      </c>
    </row>
    <row r="285" customFormat="false" ht="11.25" hidden="false" customHeight="false" outlineLevel="0" collapsed="false">
      <c r="A285" s="233"/>
      <c r="B285" s="233"/>
      <c r="C285" s="231" t="e">
        <f aca="false">NextMonth(C284)</f>
        <v>#VALUE!</v>
      </c>
      <c r="AU285" s="253" t="n">
        <f aca="false">AK285+AL285+AT285</f>
        <v>0</v>
      </c>
      <c r="AV285" s="233" t="n">
        <f aca="false">[10]Sheet1!AA276</f>
        <v>0.198571428571429</v>
      </c>
      <c r="AW285" s="233" t="n">
        <v>0</v>
      </c>
    </row>
    <row r="286" customFormat="false" ht="11.25" hidden="false" customHeight="false" outlineLevel="0" collapsed="false">
      <c r="A286" s="233"/>
      <c r="B286" s="233"/>
      <c r="C286" s="231" t="e">
        <f aca="false">NextMonth(C285)</f>
        <v>#VALUE!</v>
      </c>
      <c r="AU286" s="253" t="n">
        <f aca="false">AK286+AL286+AT286</f>
        <v>0</v>
      </c>
      <c r="AV286" s="233" t="n">
        <f aca="false">[10]Sheet1!AA277</f>
        <v>0.203571428571429</v>
      </c>
      <c r="AW286" s="233" t="n">
        <v>0</v>
      </c>
    </row>
    <row r="287" customFormat="false" ht="11.25" hidden="false" customHeight="false" outlineLevel="0" collapsed="false">
      <c r="A287" s="233"/>
      <c r="B287" s="233"/>
      <c r="C287" s="231" t="e">
        <f aca="false">NextMonth(C286)</f>
        <v>#VALUE!</v>
      </c>
      <c r="AU287" s="253" t="n">
        <f aca="false">AK287+AL287+AT287</f>
        <v>0</v>
      </c>
      <c r="AV287" s="233" t="n">
        <f aca="false">[10]Sheet1!AA278</f>
        <v>0.203571428571429</v>
      </c>
      <c r="AW287" s="233" t="n">
        <v>0</v>
      </c>
    </row>
    <row r="288" customFormat="false" ht="11.25" hidden="false" customHeight="false" outlineLevel="0" collapsed="false">
      <c r="A288" s="233"/>
      <c r="B288" s="233"/>
      <c r="C288" s="231" t="e">
        <f aca="false">NextMonth(C287)</f>
        <v>#VALUE!</v>
      </c>
      <c r="AU288" s="253" t="n">
        <f aca="false">AK288+AL288+AT288</f>
        <v>0</v>
      </c>
      <c r="AV288" s="233" t="n">
        <f aca="false">[10]Sheet1!AA279</f>
        <v>0.203571428571429</v>
      </c>
      <c r="AW288" s="233" t="n">
        <v>0</v>
      </c>
    </row>
    <row r="289" customFormat="false" ht="11.25" hidden="false" customHeight="false" outlineLevel="0" collapsed="false">
      <c r="A289" s="233"/>
      <c r="B289" s="233"/>
      <c r="C289" s="231" t="e">
        <f aca="false">NextMonth(C288)</f>
        <v>#VALUE!</v>
      </c>
      <c r="AU289" s="253" t="n">
        <f aca="false">AK289+AL289+AT289</f>
        <v>0</v>
      </c>
      <c r="AV289" s="233" t="n">
        <f aca="false">[10]Sheet1!AA280</f>
        <v>0.203571428571429</v>
      </c>
      <c r="AW289" s="233" t="n">
        <v>0</v>
      </c>
    </row>
    <row r="290" customFormat="false" ht="11.25" hidden="false" customHeight="false" outlineLevel="0" collapsed="false">
      <c r="A290" s="233"/>
      <c r="B290" s="233"/>
      <c r="C290" s="231" t="e">
        <f aca="false">NextMonth(C289)</f>
        <v>#VALUE!</v>
      </c>
      <c r="AU290" s="253" t="n">
        <f aca="false">AK290+AL290+AT290</f>
        <v>0</v>
      </c>
      <c r="AV290" s="233" t="n">
        <f aca="false">[10]Sheet1!AA281</f>
        <v>0.1545</v>
      </c>
      <c r="AW290" s="233" t="n">
        <v>0</v>
      </c>
    </row>
    <row r="291" customFormat="false" ht="11.25" hidden="false" customHeight="false" outlineLevel="0" collapsed="false">
      <c r="A291" s="233"/>
      <c r="B291" s="233"/>
      <c r="C291" s="231" t="e">
        <f aca="false">NextMonth(C290)</f>
        <v>#VALUE!</v>
      </c>
      <c r="AU291" s="253" t="n">
        <f aca="false">AK291+AL291+AT291</f>
        <v>0</v>
      </c>
      <c r="AV291" s="233" t="n">
        <f aca="false">[10]Sheet1!AA282</f>
        <v>0.1545</v>
      </c>
      <c r="AW291" s="233" t="n">
        <v>0</v>
      </c>
    </row>
    <row r="292" customFormat="false" ht="11.25" hidden="false" customHeight="false" outlineLevel="0" collapsed="false">
      <c r="A292" s="233"/>
      <c r="B292" s="233"/>
      <c r="C292" s="231" t="e">
        <f aca="false">NextMonth(C291)</f>
        <v>#VALUE!</v>
      </c>
      <c r="AU292" s="253" t="n">
        <f aca="false">AK292+AL292+AT292</f>
        <v>0</v>
      </c>
      <c r="AV292" s="233" t="n">
        <f aca="false">[10]Sheet1!AA283</f>
        <v>0.1545</v>
      </c>
      <c r="AW292" s="233" t="n">
        <v>0</v>
      </c>
    </row>
    <row r="293" customFormat="false" ht="11.25" hidden="false" customHeight="false" outlineLevel="0" collapsed="false">
      <c r="A293" s="233"/>
      <c r="B293" s="233"/>
      <c r="C293" s="231" t="e">
        <f aca="false">NextMonth(C292)</f>
        <v>#VALUE!</v>
      </c>
      <c r="AU293" s="253" t="n">
        <f aca="false">AK293+AL293+AT293</f>
        <v>0</v>
      </c>
      <c r="AV293" s="233" t="n">
        <f aca="false">[10]Sheet1!AA284</f>
        <v>0.1545</v>
      </c>
      <c r="AW293" s="233" t="n">
        <v>0</v>
      </c>
    </row>
    <row r="294" customFormat="false" ht="11.25" hidden="false" customHeight="false" outlineLevel="0" collapsed="false">
      <c r="A294" s="233"/>
      <c r="B294" s="233"/>
      <c r="C294" s="231" t="e">
        <f aca="false">NextMonth(C293)</f>
        <v>#VALUE!</v>
      </c>
      <c r="AU294" s="253" t="n">
        <f aca="false">AK294+AL294+AT294</f>
        <v>0</v>
      </c>
      <c r="AV294" s="233" t="n">
        <f aca="false">[10]Sheet1!AA285</f>
        <v>0.1545</v>
      </c>
      <c r="AW294" s="233" t="n">
        <v>0</v>
      </c>
    </row>
    <row r="295" customFormat="false" ht="11.25" hidden="false" customHeight="false" outlineLevel="0" collapsed="false">
      <c r="A295" s="233"/>
      <c r="B295" s="233"/>
      <c r="C295" s="231" t="e">
        <f aca="false">NextMonth(C294)</f>
        <v>#VALUE!</v>
      </c>
      <c r="AU295" s="253" t="n">
        <f aca="false">AK295+AL295+AT295</f>
        <v>0</v>
      </c>
      <c r="AV295" s="233" t="n">
        <f aca="false">[10]Sheet1!AA286</f>
        <v>0.1545</v>
      </c>
      <c r="AW295" s="233" t="n">
        <v>0</v>
      </c>
    </row>
    <row r="296" customFormat="false" ht="11.25" hidden="false" customHeight="false" outlineLevel="0" collapsed="false">
      <c r="A296" s="233"/>
      <c r="B296" s="233"/>
      <c r="C296" s="231" t="e">
        <f aca="false">NextMonth(C295)</f>
        <v>#VALUE!</v>
      </c>
      <c r="AU296" s="253" t="n">
        <f aca="false">AK296+AL296+AT296</f>
        <v>0</v>
      </c>
      <c r="AV296" s="233" t="n">
        <f aca="false">[10]Sheet1!AA287</f>
        <v>0.1545</v>
      </c>
      <c r="AW296" s="233" t="n">
        <v>0</v>
      </c>
    </row>
    <row r="297" customFormat="false" ht="11.25" hidden="false" customHeight="false" outlineLevel="0" collapsed="false">
      <c r="A297" s="233"/>
      <c r="B297" s="233"/>
      <c r="C297" s="231" t="e">
        <f aca="false">NextMonth(C296)</f>
        <v>#VALUE!</v>
      </c>
      <c r="AU297" s="253" t="n">
        <f aca="false">AK297+AL297+AT297</f>
        <v>0</v>
      </c>
      <c r="AV297" s="233" t="n">
        <f aca="false">[10]Sheet1!AA288</f>
        <v>0.201071428571429</v>
      </c>
      <c r="AW297" s="233" t="n">
        <v>0</v>
      </c>
    </row>
    <row r="298" customFormat="false" ht="11.25" hidden="false" customHeight="false" outlineLevel="0" collapsed="false">
      <c r="A298" s="233"/>
      <c r="B298" s="233"/>
      <c r="C298" s="231" t="e">
        <f aca="false">NextMonth(C297)</f>
        <v>#VALUE!</v>
      </c>
      <c r="AU298" s="253" t="n">
        <f aca="false">AK298+AL298+AT298</f>
        <v>0</v>
      </c>
      <c r="AV298" s="233" t="n">
        <f aca="false">[10]Sheet1!AA289</f>
        <v>0.206071428571429</v>
      </c>
      <c r="AW298" s="233" t="n">
        <v>0</v>
      </c>
    </row>
    <row r="299" customFormat="false" ht="11.25" hidden="false" customHeight="false" outlineLevel="0" collapsed="false">
      <c r="A299" s="233"/>
      <c r="B299" s="233"/>
      <c r="C299" s="231" t="e">
        <f aca="false">NextMonth(C298)</f>
        <v>#VALUE!</v>
      </c>
      <c r="AU299" s="253" t="n">
        <f aca="false">AK299+AL299+AT299</f>
        <v>0</v>
      </c>
      <c r="AV299" s="233" t="n">
        <f aca="false">[10]Sheet1!AA290</f>
        <v>0.206071428571429</v>
      </c>
      <c r="AW299" s="233" t="n">
        <v>0</v>
      </c>
    </row>
    <row r="300" customFormat="false" ht="11.25" hidden="false" customHeight="false" outlineLevel="0" collapsed="false">
      <c r="A300" s="233"/>
      <c r="B300" s="233"/>
      <c r="C300" s="231" t="e">
        <f aca="false">NextMonth(C299)</f>
        <v>#VALUE!</v>
      </c>
      <c r="AU300" s="253" t="n">
        <f aca="false">AK300+AL300+AT300</f>
        <v>0</v>
      </c>
      <c r="AV300" s="233" t="n">
        <f aca="false">[10]Sheet1!AA291</f>
        <v>0.206071428571429</v>
      </c>
      <c r="AW300" s="233" t="n">
        <v>0</v>
      </c>
    </row>
    <row r="301" customFormat="false" ht="11.25" hidden="false" customHeight="false" outlineLevel="0" collapsed="false">
      <c r="A301" s="233"/>
      <c r="B301" s="233"/>
      <c r="C301" s="231" t="e">
        <f aca="false">NextMonth(C300)</f>
        <v>#VALUE!</v>
      </c>
      <c r="AU301" s="253" t="n">
        <f aca="false">AK301+AL301+AT301</f>
        <v>0</v>
      </c>
      <c r="AV301" s="233" t="n">
        <f aca="false">[10]Sheet1!AA292</f>
        <v>0.206071428571429</v>
      </c>
      <c r="AW301" s="233" t="n">
        <v>0</v>
      </c>
    </row>
    <row r="302" customFormat="false" ht="11.25" hidden="false" customHeight="false" outlineLevel="0" collapsed="false">
      <c r="A302" s="233"/>
      <c r="B302" s="233"/>
      <c r="C302" s="231" t="e">
        <f aca="false">NextMonth(C301)</f>
        <v>#VALUE!</v>
      </c>
      <c r="AU302" s="253" t="n">
        <f aca="false">AK302+AL302+AT302</f>
        <v>0</v>
      </c>
      <c r="AV302" s="233" t="n">
        <f aca="false">[10]Sheet1!AA293</f>
        <v>0.157</v>
      </c>
      <c r="AW302" s="233" t="n">
        <v>0</v>
      </c>
    </row>
    <row r="303" customFormat="false" ht="11.25" hidden="false" customHeight="false" outlineLevel="0" collapsed="false">
      <c r="A303" s="233"/>
      <c r="B303" s="233"/>
      <c r="C303" s="231" t="e">
        <f aca="false">NextMonth(C302)</f>
        <v>#VALUE!</v>
      </c>
      <c r="AU303" s="253" t="n">
        <f aca="false">AK303+AL303+AT303</f>
        <v>0</v>
      </c>
      <c r="AV303" s="233" t="n">
        <f aca="false">[10]Sheet1!AA294</f>
        <v>0.157</v>
      </c>
      <c r="AW303" s="233" t="n">
        <v>0</v>
      </c>
    </row>
    <row r="304" customFormat="false" ht="11.25" hidden="false" customHeight="false" outlineLevel="0" collapsed="false">
      <c r="A304" s="233"/>
      <c r="B304" s="233"/>
      <c r="C304" s="231" t="e">
        <f aca="false">NextMonth(C303)</f>
        <v>#VALUE!</v>
      </c>
      <c r="AU304" s="253" t="n">
        <f aca="false">AK304+AL304+AT304</f>
        <v>0</v>
      </c>
      <c r="AV304" s="233" t="n">
        <f aca="false">[10]Sheet1!AA295</f>
        <v>0.157</v>
      </c>
      <c r="AW304" s="233" t="n">
        <v>0</v>
      </c>
    </row>
    <row r="305" customFormat="false" ht="11.25" hidden="false" customHeight="false" outlineLevel="0" collapsed="false">
      <c r="A305" s="233"/>
      <c r="B305" s="233"/>
      <c r="C305" s="231" t="e">
        <f aca="false">NextMonth(C304)</f>
        <v>#VALUE!</v>
      </c>
      <c r="AU305" s="253" t="n">
        <f aca="false">AK305+AL305+AT305</f>
        <v>0</v>
      </c>
      <c r="AV305" s="233" t="n">
        <f aca="false">[10]Sheet1!AA296</f>
        <v>0.157</v>
      </c>
      <c r="AW305" s="233" t="n">
        <v>0</v>
      </c>
    </row>
    <row r="306" customFormat="false" ht="11.25" hidden="false" customHeight="false" outlineLevel="0" collapsed="false">
      <c r="A306" s="233"/>
      <c r="B306" s="233"/>
      <c r="C306" s="231" t="e">
        <f aca="false">NextMonth(C305)</f>
        <v>#VALUE!</v>
      </c>
      <c r="AU306" s="253" t="n">
        <f aca="false">AK306+AL306+AT306</f>
        <v>0</v>
      </c>
      <c r="AV306" s="233" t="n">
        <f aca="false">[10]Sheet1!AA297</f>
        <v>0.157</v>
      </c>
      <c r="AW306" s="233" t="n">
        <v>0</v>
      </c>
    </row>
    <row r="307" customFormat="false" ht="11.25" hidden="false" customHeight="false" outlineLevel="0" collapsed="false">
      <c r="A307" s="233"/>
      <c r="B307" s="233"/>
      <c r="C307" s="231" t="e">
        <f aca="false">NextMonth(C306)</f>
        <v>#VALUE!</v>
      </c>
      <c r="AU307" s="253" t="n">
        <f aca="false">AK307+AL307+AT307</f>
        <v>0</v>
      </c>
      <c r="AV307" s="233" t="n">
        <f aca="false">[10]Sheet1!AA298</f>
        <v>0.157</v>
      </c>
      <c r="AW307" s="233" t="n">
        <v>0</v>
      </c>
    </row>
    <row r="308" customFormat="false" ht="11.25" hidden="false" customHeight="false" outlineLevel="0" collapsed="false">
      <c r="A308" s="233"/>
      <c r="B308" s="233"/>
      <c r="C308" s="231" t="e">
        <f aca="false">NextMonth(C307)</f>
        <v>#VALUE!</v>
      </c>
      <c r="AU308" s="253" t="n">
        <f aca="false">AK308+AL308+AT308</f>
        <v>0</v>
      </c>
      <c r="AV308" s="233" t="n">
        <f aca="false">[10]Sheet1!AA299</f>
        <v>0.157</v>
      </c>
      <c r="AW308" s="233" t="n">
        <v>0</v>
      </c>
    </row>
    <row r="309" customFormat="false" ht="11.25" hidden="false" customHeight="false" outlineLevel="0" collapsed="false">
      <c r="A309" s="233"/>
      <c r="B309" s="233"/>
      <c r="C309" s="231" t="e">
        <f aca="false">NextMonth(C308)</f>
        <v>#VALUE!</v>
      </c>
      <c r="AU309" s="253" t="n">
        <f aca="false">AK309+AL309+AT309</f>
        <v>0</v>
      </c>
      <c r="AV309" s="233" t="n">
        <f aca="false">[10]Sheet1!AA300</f>
        <v>0.204071428571429</v>
      </c>
      <c r="AW309" s="233" t="n">
        <v>0</v>
      </c>
    </row>
    <row r="310" customFormat="false" ht="11.25" hidden="false" customHeight="false" outlineLevel="0" collapsed="false">
      <c r="A310" s="233"/>
      <c r="B310" s="233"/>
      <c r="C310" s="231" t="e">
        <f aca="false">NextMonth(C309)</f>
        <v>#VALUE!</v>
      </c>
      <c r="AU310" s="253" t="n">
        <f aca="false">AK310+AL310+AT310</f>
        <v>0</v>
      </c>
      <c r="AV310" s="233" t="n">
        <f aca="false">[10]Sheet1!AA301</f>
        <v>0.209071428571429</v>
      </c>
      <c r="AW310" s="233" t="n">
        <v>0</v>
      </c>
    </row>
    <row r="311" customFormat="false" ht="11.25" hidden="false" customHeight="false" outlineLevel="0" collapsed="false">
      <c r="A311" s="233"/>
      <c r="B311" s="233"/>
      <c r="C311" s="231" t="e">
        <f aca="false">NextMonth(C310)</f>
        <v>#VALUE!</v>
      </c>
      <c r="AU311" s="253" t="n">
        <f aca="false">AK311+AL311+AT311</f>
        <v>0</v>
      </c>
      <c r="AV311" s="233" t="n">
        <f aca="false">[10]Sheet1!AA302</f>
        <v>0.209071428571429</v>
      </c>
      <c r="AW311" s="233" t="n">
        <v>0</v>
      </c>
    </row>
    <row r="312" customFormat="false" ht="11.25" hidden="false" customHeight="false" outlineLevel="0" collapsed="false">
      <c r="A312" s="233"/>
      <c r="B312" s="233"/>
      <c r="C312" s="231" t="e">
        <f aca="false">NextMonth(C311)</f>
        <v>#VALUE!</v>
      </c>
      <c r="AU312" s="253" t="n">
        <f aca="false">AK312+AL312+AT312</f>
        <v>0</v>
      </c>
      <c r="AV312" s="233" t="n">
        <f aca="false">[10]Sheet1!AA303</f>
        <v>0.209071428571429</v>
      </c>
      <c r="AW312" s="233" t="n">
        <v>0</v>
      </c>
    </row>
    <row r="313" customFormat="false" ht="11.25" hidden="false" customHeight="false" outlineLevel="0" collapsed="false">
      <c r="A313" s="233"/>
      <c r="B313" s="233"/>
      <c r="C313" s="231" t="e">
        <f aca="false">NextMonth(C312)</f>
        <v>#VALUE!</v>
      </c>
      <c r="AU313" s="253" t="n">
        <f aca="false">AK313+AL313+AT313</f>
        <v>0</v>
      </c>
      <c r="AV313" s="233" t="n">
        <f aca="false">[10]Sheet1!AA304</f>
        <v>0.209071428571429</v>
      </c>
      <c r="AW313" s="233" t="n">
        <v>0</v>
      </c>
    </row>
    <row r="314" customFormat="false" ht="11.25" hidden="false" customHeight="false" outlineLevel="0" collapsed="false">
      <c r="A314" s="233"/>
      <c r="B314" s="233"/>
      <c r="C314" s="231" t="e">
        <f aca="false">NextMonth(C313)</f>
        <v>#VALUE!</v>
      </c>
      <c r="AU314" s="253" t="n">
        <f aca="false">AK314+AL314+AT314</f>
        <v>0</v>
      </c>
      <c r="AV314" s="233" t="n">
        <f aca="false">[10]Sheet1!AA305</f>
        <v>0.16</v>
      </c>
      <c r="AW314" s="233" t="n">
        <v>0</v>
      </c>
    </row>
    <row r="315" customFormat="false" ht="11.25" hidden="false" customHeight="false" outlineLevel="0" collapsed="false">
      <c r="A315" s="233"/>
      <c r="B315" s="233"/>
      <c r="C315" s="231" t="e">
        <f aca="false">NextMonth(C314)</f>
        <v>#VALUE!</v>
      </c>
      <c r="AU315" s="253" t="n">
        <f aca="false">AK315+AL315+AT315</f>
        <v>0</v>
      </c>
      <c r="AV315" s="233" t="n">
        <f aca="false">[10]Sheet1!AA306</f>
        <v>0.16</v>
      </c>
      <c r="AW315" s="233" t="n">
        <v>0</v>
      </c>
    </row>
    <row r="316" customFormat="false" ht="11.25" hidden="false" customHeight="false" outlineLevel="0" collapsed="false">
      <c r="A316" s="233"/>
      <c r="B316" s="233"/>
      <c r="C316" s="231" t="e">
        <f aca="false">NextMonth(C315)</f>
        <v>#VALUE!</v>
      </c>
      <c r="AU316" s="253" t="n">
        <f aca="false">AK316+AL316+AT316</f>
        <v>0</v>
      </c>
      <c r="AV316" s="233" t="n">
        <f aca="false">[10]Sheet1!AA307</f>
        <v>0.16</v>
      </c>
      <c r="AW316" s="233" t="n">
        <v>0</v>
      </c>
    </row>
    <row r="317" customFormat="false" ht="11.25" hidden="false" customHeight="false" outlineLevel="0" collapsed="false">
      <c r="A317" s="233"/>
      <c r="B317" s="233"/>
      <c r="C317" s="231" t="e">
        <f aca="false">NextMonth(C316)</f>
        <v>#VALUE!</v>
      </c>
      <c r="AU317" s="253" t="n">
        <f aca="false">AK317+AL317+AT317</f>
        <v>0</v>
      </c>
      <c r="AV317" s="233" t="n">
        <f aca="false">[10]Sheet1!AA308</f>
        <v>0.16</v>
      </c>
      <c r="AW317" s="233" t="n">
        <v>0</v>
      </c>
    </row>
    <row r="318" customFormat="false" ht="11.25" hidden="false" customHeight="false" outlineLevel="0" collapsed="false">
      <c r="A318" s="233"/>
      <c r="B318" s="233"/>
      <c r="C318" s="231" t="e">
        <f aca="false">NextMonth(C317)</f>
        <v>#VALUE!</v>
      </c>
      <c r="AU318" s="253" t="n">
        <f aca="false">AK318+AL318+AT318</f>
        <v>0</v>
      </c>
      <c r="AV318" s="233" t="n">
        <f aca="false">[10]Sheet1!AA309</f>
        <v>0.16</v>
      </c>
      <c r="AW318" s="233" t="n">
        <v>0</v>
      </c>
    </row>
    <row r="319" customFormat="false" ht="11.25" hidden="false" customHeight="false" outlineLevel="0" collapsed="false">
      <c r="A319" s="233"/>
      <c r="B319" s="233"/>
      <c r="C319" s="231" t="e">
        <f aca="false">NextMonth(C318)</f>
        <v>#VALUE!</v>
      </c>
      <c r="AU319" s="253" t="n">
        <f aca="false">AK319+AL319+AT319</f>
        <v>0</v>
      </c>
      <c r="AV319" s="233" t="n">
        <f aca="false">[10]Sheet1!AA310</f>
        <v>0.16</v>
      </c>
      <c r="AW319" s="233" t="n">
        <v>0</v>
      </c>
    </row>
    <row r="320" customFormat="false" ht="11.25" hidden="false" customHeight="false" outlineLevel="0" collapsed="false">
      <c r="A320" s="233"/>
      <c r="B320" s="233"/>
      <c r="C320" s="231" t="e">
        <f aca="false">NextMonth(C319)</f>
        <v>#VALUE!</v>
      </c>
      <c r="AU320" s="253" t="n">
        <f aca="false">AK320+AL320+AT320</f>
        <v>0</v>
      </c>
      <c r="AV320" s="233" t="n">
        <f aca="false">[10]Sheet1!AA311</f>
        <v>0.16</v>
      </c>
      <c r="AW320" s="233" t="n">
        <v>0</v>
      </c>
    </row>
    <row r="321" customFormat="false" ht="11.25" hidden="false" customHeight="false" outlineLevel="0" collapsed="false">
      <c r="A321" s="233"/>
      <c r="B321" s="233"/>
      <c r="C321" s="231" t="e">
        <f aca="false">NextMonth(C320)</f>
        <v>#VALUE!</v>
      </c>
      <c r="AU321" s="253" t="n">
        <f aca="false">AK321+AL321+AT321</f>
        <v>0</v>
      </c>
      <c r="AV321" s="233" t="n">
        <f aca="false">[10]Sheet1!AA312</f>
        <v>0.207071428571429</v>
      </c>
      <c r="AW321" s="233" t="n">
        <v>0</v>
      </c>
    </row>
    <row r="322" customFormat="false" ht="11.25" hidden="false" customHeight="false" outlineLevel="0" collapsed="false">
      <c r="A322" s="233"/>
      <c r="B322" s="233"/>
      <c r="C322" s="231" t="e">
        <f aca="false">NextMonth(C321)</f>
        <v>#VALUE!</v>
      </c>
      <c r="AU322" s="253" t="n">
        <f aca="false">AK322+AL322+AT322</f>
        <v>0</v>
      </c>
      <c r="AV322" s="233" t="n">
        <f aca="false">[10]Sheet1!AA313</f>
        <v>0.212071428571429</v>
      </c>
      <c r="AW322" s="233" t="n">
        <v>0</v>
      </c>
    </row>
    <row r="323" customFormat="false" ht="11.25" hidden="false" customHeight="false" outlineLevel="0" collapsed="false">
      <c r="A323" s="233"/>
      <c r="B323" s="233"/>
      <c r="C323" s="231" t="e">
        <f aca="false">NextMonth(C322)</f>
        <v>#VALUE!</v>
      </c>
      <c r="AU323" s="253" t="n">
        <f aca="false">AK323+AL323+AT323</f>
        <v>0</v>
      </c>
      <c r="AV323" s="233" t="n">
        <f aca="false">[10]Sheet1!AA314</f>
        <v>0.212071428571429</v>
      </c>
      <c r="AW323" s="233" t="n">
        <v>0</v>
      </c>
    </row>
    <row r="324" customFormat="false" ht="11.25" hidden="false" customHeight="false" outlineLevel="0" collapsed="false">
      <c r="A324" s="233"/>
      <c r="B324" s="233"/>
      <c r="C324" s="231" t="e">
        <f aca="false">NextMonth(C323)</f>
        <v>#VALUE!</v>
      </c>
      <c r="AU324" s="253" t="n">
        <f aca="false">AK324+AL324+AT324</f>
        <v>0</v>
      </c>
      <c r="AV324" s="233" t="n">
        <f aca="false">[10]Sheet1!AA315</f>
        <v>0.212071428571429</v>
      </c>
      <c r="AW324" s="233" t="n">
        <v>0</v>
      </c>
    </row>
    <row r="325" customFormat="false" ht="11.25" hidden="false" customHeight="false" outlineLevel="0" collapsed="false">
      <c r="A325" s="233"/>
      <c r="B325" s="233"/>
      <c r="C325" s="231" t="e">
        <f aca="false">NextMonth(C324)</f>
        <v>#VALUE!</v>
      </c>
      <c r="AU325" s="253" t="n">
        <f aca="false">AK325+AL325+AT325</f>
        <v>0</v>
      </c>
      <c r="AV325" s="233" t="n">
        <f aca="false">[10]Sheet1!AA316</f>
        <v>0.212071428571429</v>
      </c>
      <c r="AW325" s="233" t="n">
        <v>0</v>
      </c>
    </row>
    <row r="326" customFormat="false" ht="11.25" hidden="false" customHeight="false" outlineLevel="0" collapsed="false">
      <c r="A326" s="233"/>
      <c r="B326" s="233"/>
      <c r="C326" s="231" t="e">
        <f aca="false">NextMonth(C325)</f>
        <v>#VALUE!</v>
      </c>
      <c r="AU326" s="253" t="n">
        <f aca="false">AK326+AL326+AT326</f>
        <v>0</v>
      </c>
      <c r="AV326" s="233" t="n">
        <f aca="false">[10]Sheet1!AA317</f>
        <v>0.163</v>
      </c>
      <c r="AW326" s="233" t="n">
        <v>0</v>
      </c>
    </row>
    <row r="327" customFormat="false" ht="11.25" hidden="false" customHeight="false" outlineLevel="0" collapsed="false">
      <c r="A327" s="233"/>
      <c r="B327" s="233"/>
      <c r="C327" s="231" t="e">
        <f aca="false">NextMonth(C326)</f>
        <v>#VALUE!</v>
      </c>
      <c r="AU327" s="253" t="n">
        <f aca="false">AK327+AL327+AT327</f>
        <v>0</v>
      </c>
      <c r="AV327" s="233" t="n">
        <f aca="false">[10]Sheet1!AA318</f>
        <v>0.163</v>
      </c>
      <c r="AW327" s="233" t="n">
        <v>0</v>
      </c>
    </row>
    <row r="328" customFormat="false" ht="11.25" hidden="false" customHeight="false" outlineLevel="0" collapsed="false">
      <c r="A328" s="233"/>
      <c r="B328" s="233"/>
      <c r="C328" s="231" t="e">
        <f aca="false">NextMonth(C327)</f>
        <v>#VALUE!</v>
      </c>
      <c r="AU328" s="253" t="n">
        <f aca="false">AK328+AL328+AT328</f>
        <v>0</v>
      </c>
      <c r="AV328" s="233" t="n">
        <f aca="false">[10]Sheet1!AA319</f>
        <v>0.163</v>
      </c>
      <c r="AW328" s="233" t="n">
        <v>0</v>
      </c>
    </row>
    <row r="329" customFormat="false" ht="11.25" hidden="false" customHeight="false" outlineLevel="0" collapsed="false">
      <c r="A329" s="233"/>
      <c r="B329" s="233"/>
      <c r="C329" s="231" t="e">
        <f aca="false">NextMonth(C328)</f>
        <v>#VALUE!</v>
      </c>
      <c r="AU329" s="253" t="n">
        <f aca="false">AK329+AL329+AT329</f>
        <v>0</v>
      </c>
      <c r="AV329" s="233" t="n">
        <f aca="false">[10]Sheet1!AA320</f>
        <v>0.163</v>
      </c>
      <c r="AW329" s="233" t="n">
        <v>0</v>
      </c>
    </row>
    <row r="330" customFormat="false" ht="11.25" hidden="false" customHeight="false" outlineLevel="0" collapsed="false">
      <c r="A330" s="233"/>
      <c r="B330" s="233"/>
      <c r="C330" s="231" t="e">
        <f aca="false">NextMonth(C329)</f>
        <v>#VALUE!</v>
      </c>
      <c r="AU330" s="253" t="n">
        <f aca="false">AK330+AL330+AT330</f>
        <v>0</v>
      </c>
      <c r="AV330" s="233" t="n">
        <f aca="false">[10]Sheet1!AA321</f>
        <v>0.163</v>
      </c>
      <c r="AW330" s="233" t="n">
        <v>0</v>
      </c>
    </row>
    <row r="331" customFormat="false" ht="11.25" hidden="false" customHeight="false" outlineLevel="0" collapsed="false">
      <c r="A331" s="233"/>
      <c r="B331" s="233"/>
      <c r="C331" s="231" t="e">
        <f aca="false">NextMonth(C330)</f>
        <v>#VALUE!</v>
      </c>
      <c r="AU331" s="253" t="n">
        <f aca="false">AK331+AL331+AT331</f>
        <v>0</v>
      </c>
      <c r="AV331" s="233" t="n">
        <f aca="false">[10]Sheet1!AA322</f>
        <v>0.163</v>
      </c>
      <c r="AW331" s="233" t="n">
        <v>0</v>
      </c>
    </row>
    <row r="332" customFormat="false" ht="11.25" hidden="false" customHeight="false" outlineLevel="0" collapsed="false">
      <c r="A332" s="233"/>
      <c r="B332" s="233"/>
      <c r="C332" s="231" t="e">
        <f aca="false">NextMonth(C331)</f>
        <v>#VALUE!</v>
      </c>
      <c r="AU332" s="253" t="n">
        <f aca="false">AK332+AL332+AT332</f>
        <v>0</v>
      </c>
      <c r="AV332" s="233" t="n">
        <f aca="false">[10]Sheet1!AA323</f>
        <v>0.163</v>
      </c>
      <c r="AW332" s="233" t="n">
        <v>0</v>
      </c>
    </row>
    <row r="333" customFormat="false" ht="11.25" hidden="false" customHeight="false" outlineLevel="0" collapsed="false">
      <c r="A333" s="233"/>
      <c r="B333" s="233"/>
      <c r="C333" s="231" t="e">
        <f aca="false">NextMonth(C332)</f>
        <v>#VALUE!</v>
      </c>
      <c r="AU333" s="253" t="n">
        <f aca="false">AK333+AL333+AT333</f>
        <v>0</v>
      </c>
      <c r="AV333" s="233" t="n">
        <f aca="false">[10]Sheet1!AA324</f>
        <v>0.210071428571429</v>
      </c>
      <c r="AW333" s="233" t="n">
        <v>0</v>
      </c>
    </row>
    <row r="334" customFormat="false" ht="11.25" hidden="false" customHeight="false" outlineLevel="0" collapsed="false">
      <c r="A334" s="233"/>
      <c r="B334" s="233"/>
      <c r="C334" s="231" t="e">
        <f aca="false">NextMonth(C333)</f>
        <v>#VALUE!</v>
      </c>
      <c r="AU334" s="253" t="n">
        <f aca="false">AK334+AL334+AT334</f>
        <v>0</v>
      </c>
      <c r="AV334" s="233" t="n">
        <f aca="false">[10]Sheet1!AA325</f>
        <v>0.215071428571429</v>
      </c>
      <c r="AW334" s="233" t="n">
        <v>0</v>
      </c>
    </row>
    <row r="335" customFormat="false" ht="11.25" hidden="false" customHeight="false" outlineLevel="0" collapsed="false">
      <c r="A335" s="233"/>
      <c r="B335" s="233"/>
      <c r="C335" s="231" t="e">
        <f aca="false">NextMonth(C334)</f>
        <v>#VALUE!</v>
      </c>
      <c r="AU335" s="253" t="n">
        <f aca="false">AK335+AL335+AT335</f>
        <v>0</v>
      </c>
      <c r="AV335" s="233" t="n">
        <f aca="false">[10]Sheet1!AA326</f>
        <v>0.215071428571429</v>
      </c>
      <c r="AW335" s="233" t="n">
        <v>0</v>
      </c>
    </row>
    <row r="336" customFormat="false" ht="11.25" hidden="false" customHeight="false" outlineLevel="0" collapsed="false">
      <c r="A336" s="233"/>
      <c r="B336" s="233"/>
      <c r="C336" s="231" t="e">
        <f aca="false">NextMonth(C335)</f>
        <v>#VALUE!</v>
      </c>
      <c r="AU336" s="253" t="n">
        <f aca="false">AK336+AL336+AT336</f>
        <v>0</v>
      </c>
      <c r="AV336" s="233" t="n">
        <f aca="false">[10]Sheet1!AA327</f>
        <v>0.215071428571429</v>
      </c>
      <c r="AW336" s="233" t="n">
        <v>0</v>
      </c>
    </row>
    <row r="337" customFormat="false" ht="11.25" hidden="false" customHeight="false" outlineLevel="0" collapsed="false">
      <c r="A337" s="233"/>
      <c r="B337" s="233"/>
      <c r="C337" s="231" t="e">
        <f aca="false">NextMonth(C336)</f>
        <v>#VALUE!</v>
      </c>
      <c r="AU337" s="253" t="n">
        <f aca="false">AK337+AL337+AT337</f>
        <v>0</v>
      </c>
      <c r="AV337" s="233" t="n">
        <f aca="false">[10]Sheet1!AA328</f>
        <v>0.215071428571429</v>
      </c>
      <c r="AW337" s="233" t="n">
        <v>0</v>
      </c>
    </row>
    <row r="338" customFormat="false" ht="11.25" hidden="false" customHeight="false" outlineLevel="0" collapsed="false">
      <c r="A338" s="233"/>
      <c r="B338" s="233"/>
      <c r="C338" s="231" t="e">
        <f aca="false">NextMonth(C337)</f>
        <v>#VALUE!</v>
      </c>
      <c r="AU338" s="253" t="n">
        <f aca="false">AK338+AL338+AT338</f>
        <v>0</v>
      </c>
      <c r="AV338" s="233" t="n">
        <f aca="false">[10]Sheet1!AA329</f>
        <v>0.166</v>
      </c>
      <c r="AW338" s="233" t="n">
        <v>0</v>
      </c>
    </row>
    <row r="339" customFormat="false" ht="11.25" hidden="false" customHeight="false" outlineLevel="0" collapsed="false">
      <c r="A339" s="233"/>
      <c r="B339" s="233"/>
      <c r="C339" s="231" t="e">
        <f aca="false">NextMonth(C338)</f>
        <v>#VALUE!</v>
      </c>
      <c r="AU339" s="253" t="n">
        <f aca="false">AK339+AL339+AT339</f>
        <v>0</v>
      </c>
      <c r="AV339" s="233" t="n">
        <f aca="false">[10]Sheet1!AA330</f>
        <v>0.166</v>
      </c>
      <c r="AW339" s="233" t="n">
        <v>0</v>
      </c>
    </row>
    <row r="340" customFormat="false" ht="11.25" hidden="false" customHeight="false" outlineLevel="0" collapsed="false">
      <c r="A340" s="233"/>
      <c r="B340" s="233"/>
      <c r="C340" s="231" t="e">
        <f aca="false">NextMonth(C339)</f>
        <v>#VALUE!</v>
      </c>
      <c r="AU340" s="253" t="n">
        <f aca="false">AK340+AL340+AT340</f>
        <v>0</v>
      </c>
      <c r="AV340" s="233" t="n">
        <f aca="false">[10]Sheet1!AA331</f>
        <v>0.166</v>
      </c>
      <c r="AW340" s="233" t="n">
        <v>0</v>
      </c>
    </row>
    <row r="341" customFormat="false" ht="11.25" hidden="false" customHeight="false" outlineLevel="0" collapsed="false">
      <c r="A341" s="233"/>
      <c r="B341" s="233"/>
      <c r="C341" s="231" t="e">
        <f aca="false">NextMonth(C340)</f>
        <v>#VALUE!</v>
      </c>
      <c r="AU341" s="253" t="n">
        <f aca="false">AK341+AL341+AT341</f>
        <v>0</v>
      </c>
      <c r="AV341" s="233" t="n">
        <f aca="false">[10]Sheet1!AA332</f>
        <v>0.166</v>
      </c>
      <c r="AW341" s="233" t="n">
        <v>0</v>
      </c>
    </row>
    <row r="342" customFormat="false" ht="11.25" hidden="false" customHeight="false" outlineLevel="0" collapsed="false">
      <c r="A342" s="233"/>
      <c r="B342" s="233"/>
      <c r="C342" s="231" t="e">
        <f aca="false">NextMonth(C341)</f>
        <v>#VALUE!</v>
      </c>
      <c r="AU342" s="253" t="n">
        <f aca="false">AK342+AL342+AT342</f>
        <v>0</v>
      </c>
      <c r="AV342" s="233" t="n">
        <f aca="false">[10]Sheet1!AA333</f>
        <v>0.166</v>
      </c>
      <c r="AW342" s="233" t="n">
        <v>0</v>
      </c>
    </row>
    <row r="343" customFormat="false" ht="11.25" hidden="false" customHeight="false" outlineLevel="0" collapsed="false">
      <c r="A343" s="233"/>
      <c r="B343" s="233"/>
      <c r="C343" s="231" t="e">
        <f aca="false">NextMonth(C342)</f>
        <v>#VALUE!</v>
      </c>
      <c r="AU343" s="253" t="n">
        <f aca="false">AK343+AL343+AT343</f>
        <v>0</v>
      </c>
      <c r="AV343" s="233" t="n">
        <f aca="false">[10]Sheet1!AA334</f>
        <v>0.166</v>
      </c>
      <c r="AW343" s="233" t="n">
        <v>0</v>
      </c>
    </row>
    <row r="344" customFormat="false" ht="11.25" hidden="false" customHeight="false" outlineLevel="0" collapsed="false">
      <c r="A344" s="233"/>
      <c r="B344" s="233"/>
      <c r="C344" s="231" t="e">
        <f aca="false">NextMonth(C343)</f>
        <v>#VALUE!</v>
      </c>
      <c r="AU344" s="253" t="n">
        <f aca="false">AK344+AL344+AT344</f>
        <v>0</v>
      </c>
      <c r="AV344" s="233" t="n">
        <f aca="false">[10]Sheet1!AA335</f>
        <v>0.166</v>
      </c>
      <c r="AW344" s="233" t="n">
        <v>0</v>
      </c>
    </row>
    <row r="345" customFormat="false" ht="11.25" hidden="false" customHeight="false" outlineLevel="0" collapsed="false">
      <c r="A345" s="233"/>
      <c r="B345" s="233"/>
      <c r="C345" s="231" t="e">
        <f aca="false">NextMonth(C344)</f>
        <v>#VALUE!</v>
      </c>
      <c r="AU345" s="253" t="n">
        <f aca="false">AK345+AL345+AT345</f>
        <v>0</v>
      </c>
      <c r="AV345" s="233" t="n">
        <f aca="false">[10]Sheet1!AA336</f>
        <v>0.213071428571429</v>
      </c>
      <c r="AW345" s="233" t="n">
        <v>0</v>
      </c>
    </row>
    <row r="346" customFormat="false" ht="11.25" hidden="false" customHeight="false" outlineLevel="0" collapsed="false">
      <c r="A346" s="233"/>
      <c r="B346" s="233"/>
      <c r="C346" s="231" t="e">
        <f aca="false">NextMonth(C345)</f>
        <v>#VALUE!</v>
      </c>
      <c r="AU346" s="253" t="n">
        <f aca="false">AK346+AL346+AT346</f>
        <v>0</v>
      </c>
      <c r="AV346" s="233" t="n">
        <f aca="false">[10]Sheet1!AA337</f>
        <v>0.218071428571429</v>
      </c>
      <c r="AW346" s="233" t="n">
        <v>0</v>
      </c>
    </row>
    <row r="347" customFormat="false" ht="11.25" hidden="false" customHeight="false" outlineLevel="0" collapsed="false">
      <c r="A347" s="233"/>
      <c r="B347" s="233"/>
      <c r="C347" s="231" t="e">
        <f aca="false">NextMonth(C346)</f>
        <v>#VALUE!</v>
      </c>
      <c r="AU347" s="253" t="n">
        <f aca="false">AK347+AL347+AT347</f>
        <v>0</v>
      </c>
      <c r="AV347" s="233" t="n">
        <f aca="false">[10]Sheet1!AA338</f>
        <v>0.218071428571429</v>
      </c>
      <c r="AW347" s="233" t="n">
        <v>0</v>
      </c>
    </row>
    <row r="348" customFormat="false" ht="11.25" hidden="false" customHeight="false" outlineLevel="0" collapsed="false">
      <c r="A348" s="233"/>
      <c r="B348" s="233"/>
      <c r="C348" s="231" t="e">
        <f aca="false">NextMonth(C347)</f>
        <v>#VALUE!</v>
      </c>
      <c r="AU348" s="253" t="n">
        <f aca="false">AK348+AL348+AT348</f>
        <v>0</v>
      </c>
      <c r="AV348" s="233" t="n">
        <f aca="false">[10]Sheet1!AA339</f>
        <v>0.218071428571429</v>
      </c>
      <c r="AW348" s="233" t="n">
        <v>0</v>
      </c>
    </row>
    <row r="349" customFormat="false" ht="11.25" hidden="false" customHeight="false" outlineLevel="0" collapsed="false">
      <c r="A349" s="233"/>
      <c r="B349" s="233"/>
      <c r="C349" s="231" t="e">
        <f aca="false">NextMonth(C348)</f>
        <v>#VALUE!</v>
      </c>
      <c r="AU349" s="253" t="n">
        <f aca="false">AK349+AL349+AT349</f>
        <v>0</v>
      </c>
      <c r="AV349" s="233" t="n">
        <f aca="false">[10]Sheet1!AA340</f>
        <v>0.218071428571429</v>
      </c>
      <c r="AW349" s="233" t="n">
        <v>0</v>
      </c>
    </row>
    <row r="350" customFormat="false" ht="11.25" hidden="false" customHeight="false" outlineLevel="0" collapsed="false">
      <c r="A350" s="233"/>
      <c r="B350" s="233"/>
      <c r="C350" s="231" t="e">
        <f aca="false">NextMonth(C349)</f>
        <v>#VALUE!</v>
      </c>
      <c r="AU350" s="253" t="n">
        <f aca="false">AK350+AL350+AT350</f>
        <v>0</v>
      </c>
      <c r="AV350" s="233" t="n">
        <f aca="false">[10]Sheet1!AA341</f>
        <v>0.169</v>
      </c>
      <c r="AW350" s="233" t="n">
        <v>0</v>
      </c>
    </row>
    <row r="351" customFormat="false" ht="11.25" hidden="false" customHeight="false" outlineLevel="0" collapsed="false">
      <c r="A351" s="233"/>
      <c r="B351" s="233"/>
      <c r="C351" s="231" t="e">
        <f aca="false">NextMonth(C350)</f>
        <v>#VALUE!</v>
      </c>
      <c r="AU351" s="253" t="n">
        <f aca="false">AK351+AL351+AT351</f>
        <v>0</v>
      </c>
      <c r="AV351" s="233" t="n">
        <f aca="false">[10]Sheet1!AA342</f>
        <v>0.169</v>
      </c>
      <c r="AW351" s="233" t="n">
        <v>0</v>
      </c>
    </row>
    <row r="352" customFormat="false" ht="11.25" hidden="false" customHeight="false" outlineLevel="0" collapsed="false">
      <c r="A352" s="233"/>
      <c r="B352" s="233"/>
      <c r="C352" s="231" t="e">
        <f aca="false">NextMonth(C351)</f>
        <v>#VALUE!</v>
      </c>
      <c r="AU352" s="253" t="n">
        <f aca="false">AK352+AL352+AT352</f>
        <v>0</v>
      </c>
      <c r="AV352" s="233" t="n">
        <f aca="false">[10]Sheet1!AA343</f>
        <v>0.169</v>
      </c>
      <c r="AW352" s="233" t="n">
        <v>0</v>
      </c>
    </row>
    <row r="353" customFormat="false" ht="11.25" hidden="false" customHeight="false" outlineLevel="0" collapsed="false">
      <c r="A353" s="233"/>
      <c r="B353" s="233"/>
      <c r="C353" s="231" t="e">
        <f aca="false">NextMonth(C352)</f>
        <v>#VALUE!</v>
      </c>
      <c r="AU353" s="253" t="n">
        <f aca="false">AK353+AL353+AT353</f>
        <v>0</v>
      </c>
      <c r="AV353" s="233" t="n">
        <f aca="false">[10]Sheet1!AA344</f>
        <v>0.169</v>
      </c>
      <c r="AW353" s="233" t="n">
        <v>0</v>
      </c>
    </row>
    <row r="354" customFormat="false" ht="11.25" hidden="false" customHeight="false" outlineLevel="0" collapsed="false">
      <c r="A354" s="233"/>
      <c r="B354" s="233"/>
      <c r="C354" s="231" t="e">
        <f aca="false">NextMonth(C353)</f>
        <v>#VALUE!</v>
      </c>
      <c r="AU354" s="253" t="n">
        <f aca="false">AK354+AL354+AT354</f>
        <v>0</v>
      </c>
      <c r="AV354" s="233" t="n">
        <f aca="false">[10]Sheet1!AA345</f>
        <v>0.169</v>
      </c>
      <c r="AW354" s="233" t="n">
        <v>0</v>
      </c>
    </row>
    <row r="355" customFormat="false" ht="11.25" hidden="false" customHeight="false" outlineLevel="0" collapsed="false">
      <c r="A355" s="233"/>
      <c r="B355" s="233"/>
      <c r="C355" s="231" t="e">
        <f aca="false">NextMonth(C354)</f>
        <v>#VALUE!</v>
      </c>
      <c r="AU355" s="253" t="n">
        <f aca="false">AK355+AL355+AT355</f>
        <v>0</v>
      </c>
      <c r="AV355" s="233" t="n">
        <f aca="false">[10]Sheet1!AA346</f>
        <v>0.169</v>
      </c>
      <c r="AW355" s="233" t="n">
        <v>0</v>
      </c>
    </row>
    <row r="356" customFormat="false" ht="11.25" hidden="false" customHeight="false" outlineLevel="0" collapsed="false">
      <c r="A356" s="233"/>
      <c r="B356" s="233"/>
      <c r="C356" s="231" t="e">
        <f aca="false">NextMonth(C355)</f>
        <v>#VALUE!</v>
      </c>
      <c r="AU356" s="253" t="n">
        <f aca="false">AK356+AL356+AT356</f>
        <v>0</v>
      </c>
      <c r="AV356" s="233" t="n">
        <f aca="false">[10]Sheet1!AA347</f>
        <v>0.169</v>
      </c>
      <c r="AW356" s="233" t="n">
        <v>0</v>
      </c>
    </row>
    <row r="357" customFormat="false" ht="11.25" hidden="false" customHeight="false" outlineLevel="0" collapsed="false">
      <c r="A357" s="233"/>
      <c r="B357" s="233"/>
      <c r="C357" s="231" t="e">
        <f aca="false">NextMonth(C356)</f>
        <v>#VALUE!</v>
      </c>
      <c r="AU357" s="253" t="n">
        <f aca="false">AK357+AL357+AT357</f>
        <v>0</v>
      </c>
      <c r="AV357" s="233" t="n">
        <f aca="false">[10]Sheet1!AA348</f>
        <v>0.216071428571429</v>
      </c>
      <c r="AW357" s="233" t="n">
        <v>0</v>
      </c>
    </row>
    <row r="358" customFormat="false" ht="11.25" hidden="false" customHeight="false" outlineLevel="0" collapsed="false">
      <c r="A358" s="233"/>
      <c r="B358" s="233"/>
      <c r="C358" s="231" t="e">
        <f aca="false">NextMonth(C357)</f>
        <v>#VALUE!</v>
      </c>
      <c r="AU358" s="253" t="n">
        <f aca="false">AK358+AL358+AT358</f>
        <v>0</v>
      </c>
      <c r="AV358" s="233" t="n">
        <f aca="false">[10]Sheet1!AA349</f>
        <v>0.221071428571429</v>
      </c>
      <c r="AW358" s="233" t="n">
        <v>0</v>
      </c>
    </row>
    <row r="359" customFormat="false" ht="11.25" hidden="false" customHeight="false" outlineLevel="0" collapsed="false">
      <c r="A359" s="233"/>
      <c r="B359" s="233"/>
      <c r="C359" s="231" t="e">
        <f aca="false">NextMonth(C358)</f>
        <v>#VALUE!</v>
      </c>
      <c r="AU359" s="253" t="n">
        <f aca="false">AK359+AL359+AT359</f>
        <v>0</v>
      </c>
      <c r="AV359" s="233" t="n">
        <f aca="false">[10]Sheet1!AA350</f>
        <v>0.221071428571429</v>
      </c>
      <c r="AW359" s="233" t="n">
        <v>0</v>
      </c>
    </row>
    <row r="360" customFormat="false" ht="11.25" hidden="false" customHeight="false" outlineLevel="0" collapsed="false">
      <c r="A360" s="233"/>
      <c r="B360" s="233"/>
      <c r="C360" s="231" t="e">
        <f aca="false">NextMonth(C359)</f>
        <v>#VALUE!</v>
      </c>
      <c r="AU360" s="253" t="n">
        <f aca="false">AK360+AL360+AT360</f>
        <v>0</v>
      </c>
      <c r="AV360" s="233" t="n">
        <f aca="false">[10]Sheet1!AA351</f>
        <v>0.221071428571429</v>
      </c>
      <c r="AW360" s="233" t="n">
        <v>0</v>
      </c>
    </row>
    <row r="361" customFormat="false" ht="11.25" hidden="false" customHeight="false" outlineLevel="0" collapsed="false">
      <c r="A361" s="233"/>
      <c r="B361" s="233"/>
      <c r="C361" s="231" t="e">
        <f aca="false">NextMonth(C360)</f>
        <v>#VALUE!</v>
      </c>
      <c r="AU361" s="253" t="n">
        <f aca="false">AK361+AL361+AT361</f>
        <v>0</v>
      </c>
      <c r="AV361" s="233" t="n">
        <f aca="false">[10]Sheet1!AA352</f>
        <v>0.221071428571429</v>
      </c>
      <c r="AW361" s="233" t="n">
        <v>0</v>
      </c>
    </row>
    <row r="362" customFormat="false" ht="11.25" hidden="false" customHeight="false" outlineLevel="0" collapsed="false">
      <c r="A362" s="233"/>
      <c r="B362" s="233"/>
      <c r="C362" s="231" t="e">
        <f aca="false">NextMonth(C361)</f>
        <v>#VALUE!</v>
      </c>
      <c r="AU362" s="253" t="n">
        <f aca="false">AK362+AL362+AT362</f>
        <v>0</v>
      </c>
      <c r="AV362" s="233" t="n">
        <f aca="false">[10]Sheet1!AA353</f>
        <v>0.172</v>
      </c>
      <c r="AW362" s="233" t="n">
        <v>0</v>
      </c>
    </row>
    <row r="363" customFormat="false" ht="11.25" hidden="false" customHeight="false" outlineLevel="0" collapsed="false">
      <c r="A363" s="233"/>
      <c r="B363" s="233"/>
      <c r="C363" s="231" t="e">
        <f aca="false">NextMonth(C362)</f>
        <v>#VALUE!</v>
      </c>
      <c r="AU363" s="253" t="n">
        <f aca="false">AK363+AL363+AT363</f>
        <v>0</v>
      </c>
      <c r="AV363" s="233" t="n">
        <f aca="false">[10]Sheet1!AA354</f>
        <v>0.172</v>
      </c>
      <c r="AW363" s="233" t="n">
        <v>0</v>
      </c>
    </row>
    <row r="364" customFormat="false" ht="11.25" hidden="false" customHeight="false" outlineLevel="0" collapsed="false">
      <c r="A364" s="233"/>
      <c r="B364" s="233"/>
      <c r="C364" s="231" t="e">
        <f aca="false">NextMonth(C363)</f>
        <v>#VALUE!</v>
      </c>
      <c r="AU364" s="253" t="n">
        <f aca="false">AK364+AL364+AT364</f>
        <v>0</v>
      </c>
      <c r="AV364" s="233" t="n">
        <f aca="false">[10]Sheet1!AA355</f>
        <v>0.172</v>
      </c>
      <c r="AW364" s="233" t="n">
        <v>0</v>
      </c>
    </row>
    <row r="365" customFormat="false" ht="11.25" hidden="false" customHeight="false" outlineLevel="0" collapsed="false">
      <c r="A365" s="233"/>
      <c r="B365" s="233"/>
      <c r="C365" s="231" t="e">
        <f aca="false">NextMonth(C364)</f>
        <v>#VALUE!</v>
      </c>
      <c r="AU365" s="253" t="n">
        <f aca="false">AK365+AL365+AT365</f>
        <v>0</v>
      </c>
      <c r="AV365" s="233" t="n">
        <f aca="false">[10]Sheet1!AA356</f>
        <v>0.172</v>
      </c>
      <c r="AW365" s="233" t="n">
        <v>0</v>
      </c>
    </row>
    <row r="366" customFormat="false" ht="11.25" hidden="false" customHeight="false" outlineLevel="0" collapsed="false">
      <c r="A366" s="233"/>
      <c r="B366" s="233"/>
      <c r="C366" s="231" t="e">
        <f aca="false">NextMonth(C365)</f>
        <v>#VALUE!</v>
      </c>
      <c r="AU366" s="253" t="n">
        <f aca="false">AK366+AL366+AT366</f>
        <v>0</v>
      </c>
      <c r="AV366" s="233" t="n">
        <f aca="false">[10]Sheet1!AA357</f>
        <v>0.172</v>
      </c>
      <c r="AW366" s="233" t="n">
        <v>0</v>
      </c>
    </row>
    <row r="367" customFormat="false" ht="11.25" hidden="false" customHeight="false" outlineLevel="0" collapsed="false">
      <c r="A367" s="233"/>
      <c r="B367" s="233"/>
      <c r="C367" s="231" t="e">
        <f aca="false">NextMonth(C366)</f>
        <v>#VALUE!</v>
      </c>
      <c r="AU367" s="253" t="n">
        <f aca="false">AK367+AL367+AT367</f>
        <v>0</v>
      </c>
      <c r="AV367" s="233" t="n">
        <f aca="false">[10]Sheet1!AA358</f>
        <v>0.172</v>
      </c>
      <c r="AW367" s="233" t="n">
        <v>0</v>
      </c>
    </row>
    <row r="368" customFormat="false" ht="11.25" hidden="false" customHeight="false" outlineLevel="0" collapsed="false">
      <c r="A368" s="233"/>
      <c r="B368" s="233"/>
      <c r="C368" s="231" t="e">
        <f aca="false">NextMonth(C367)</f>
        <v>#VALUE!</v>
      </c>
      <c r="AU368" s="253" t="n">
        <f aca="false">AK368+AL368+AT368</f>
        <v>0</v>
      </c>
      <c r="AV368" s="233" t="n">
        <f aca="false">[10]Sheet1!AA359</f>
        <v>0.172</v>
      </c>
      <c r="AW368" s="233" t="n">
        <v>0</v>
      </c>
    </row>
    <row r="369" customFormat="false" ht="11.25" hidden="false" customHeight="false" outlineLevel="0" collapsed="false">
      <c r="A369" s="233"/>
      <c r="B369" s="233"/>
      <c r="C369" s="231" t="e">
        <f aca="false">NextMonth(C368)</f>
        <v>#VALUE!</v>
      </c>
      <c r="AU369" s="253" t="n">
        <f aca="false">AK369+AL369+AT369</f>
        <v>0</v>
      </c>
      <c r="AV369" s="233" t="n">
        <f aca="false">[10]Sheet1!AA360</f>
        <v>0.219071428571429</v>
      </c>
      <c r="AW369" s="233" t="n">
        <v>0</v>
      </c>
    </row>
    <row r="370" customFormat="false" ht="11.25" hidden="false" customHeight="false" outlineLevel="0" collapsed="false">
      <c r="A370" s="233"/>
      <c r="B370" s="233"/>
      <c r="C370" s="231" t="e">
        <f aca="false">NextMonth(C369)</f>
        <v>#VALUE!</v>
      </c>
      <c r="AU370" s="253" t="n">
        <f aca="false">AK370+AL370+AT370</f>
        <v>0</v>
      </c>
      <c r="AV370" s="233" t="n">
        <f aca="false">[10]Sheet1!AA361</f>
        <v>0.224071428571429</v>
      </c>
      <c r="AW370" s="233" t="n">
        <v>0</v>
      </c>
    </row>
    <row r="371" customFormat="false" ht="11.25" hidden="false" customHeight="false" outlineLevel="0" collapsed="false">
      <c r="A371" s="233"/>
      <c r="B371" s="233"/>
      <c r="C371" s="231" t="e">
        <f aca="false">NextMonth(C370)</f>
        <v>#VALUE!</v>
      </c>
      <c r="AU371" s="253" t="n">
        <f aca="false">AK371+AL371+AT371</f>
        <v>0</v>
      </c>
      <c r="AV371" s="233" t="n">
        <f aca="false">[10]Sheet1!AA362</f>
        <v>0.226071428571429</v>
      </c>
      <c r="AW371" s="233" t="n">
        <v>0</v>
      </c>
    </row>
    <row r="372" customFormat="false" ht="11.25" hidden="false" customHeight="false" outlineLevel="0" collapsed="false">
      <c r="A372" s="233"/>
      <c r="B372" s="233"/>
      <c r="C372" s="231" t="e">
        <f aca="false">NextMonth(C371)</f>
        <v>#VALUE!</v>
      </c>
      <c r="AU372" s="253" t="n">
        <f aca="false">AK372+AL372+AT372</f>
        <v>0</v>
      </c>
      <c r="AV372" s="233" t="n">
        <f aca="false">[10]Sheet1!AA363</f>
        <v>0.226071428571429</v>
      </c>
      <c r="AW372" s="233" t="n">
        <v>0</v>
      </c>
    </row>
    <row r="373" customFormat="false" ht="11.25" hidden="false" customHeight="false" outlineLevel="0" collapsed="false">
      <c r="A373" s="233"/>
      <c r="B373" s="233"/>
      <c r="C373" s="231" t="e">
        <f aca="false">NextMonth(C372)</f>
        <v>#VALUE!</v>
      </c>
      <c r="AU373" s="253" t="n">
        <f aca="false">AK373+AL373+AT373</f>
        <v>0</v>
      </c>
      <c r="AV373" s="233" t="n">
        <f aca="false">[10]Sheet1!AA364</f>
        <v>0.226071428571429</v>
      </c>
      <c r="AW373" s="233" t="n">
        <v>0</v>
      </c>
    </row>
    <row r="374" customFormat="false" ht="11.25" hidden="false" customHeight="false" outlineLevel="0" collapsed="false">
      <c r="A374" s="233"/>
      <c r="B374" s="233"/>
      <c r="C374" s="231" t="e">
        <f aca="false">NextMonth(C373)</f>
        <v>#VALUE!</v>
      </c>
      <c r="AU374" s="253" t="n">
        <f aca="false">AK374+AL374+AT374</f>
        <v>0</v>
      </c>
      <c r="AV374" s="233" t="n">
        <f aca="false">[10]Sheet1!AA365</f>
        <v>0.177</v>
      </c>
      <c r="AW374" s="233" t="n">
        <v>0</v>
      </c>
    </row>
    <row r="375" customFormat="false" ht="11.25" hidden="false" customHeight="false" outlineLevel="0" collapsed="false">
      <c r="A375" s="233"/>
      <c r="B375" s="233"/>
      <c r="C375" s="231" t="e">
        <f aca="false">NextMonth(C374)</f>
        <v>#VALUE!</v>
      </c>
      <c r="AU375" s="253" t="n">
        <f aca="false">AK375+AL375+AT375</f>
        <v>0</v>
      </c>
      <c r="AV375" s="233" t="n">
        <f aca="false">[10]Sheet1!AA366</f>
        <v>0.177</v>
      </c>
      <c r="AW375" s="233" t="n">
        <v>0</v>
      </c>
    </row>
    <row r="376" customFormat="false" ht="11.25" hidden="false" customHeight="false" outlineLevel="0" collapsed="false">
      <c r="A376" s="233"/>
      <c r="B376" s="233"/>
      <c r="C376" s="231" t="e">
        <f aca="false">NextMonth(C375)</f>
        <v>#VALUE!</v>
      </c>
      <c r="AU376" s="253" t="n">
        <f aca="false">AK376+AL376+AT376</f>
        <v>0</v>
      </c>
      <c r="AV376" s="233" t="n">
        <f aca="false">[10]Sheet1!AA367</f>
        <v>0.177</v>
      </c>
      <c r="AW376" s="233" t="n">
        <v>0</v>
      </c>
    </row>
    <row r="377" customFormat="false" ht="11.25" hidden="false" customHeight="false" outlineLevel="0" collapsed="false">
      <c r="C377" s="231" t="e">
        <f aca="false">NextMonth(C376)</f>
        <v>#VALUE!</v>
      </c>
      <c r="AU377" s="253" t="n">
        <f aca="false">AK377+AL377+AT377</f>
        <v>0</v>
      </c>
      <c r="AV377" s="233" t="n">
        <f aca="false">[10]Sheet1!AA368</f>
        <v>0.177</v>
      </c>
      <c r="AW377" s="233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4">
              <controlPr defaultSize="0" print="false" autoFill="0" autoPict="0" macro="Module3.LoadInTheCurves">
                <anchor moveWithCells="true" sizeWithCells="false">
                  <from>
                    <xdr:col>0</xdr:col>
                    <xdr:colOff>673920</xdr:colOff>
                    <xdr:row>10</xdr:row>
                    <xdr:rowOff>9720</xdr:rowOff>
                  </from>
                  <to>
                    <xdr:col>1</xdr:col>
                    <xdr:colOff>977400</xdr:colOff>
                    <xdr:row>14</xdr:row>
                    <xdr:rowOff>76320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F3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55" width="2.13"/>
    <col collapsed="false" customWidth="true" hidden="false" outlineLevel="0" max="2" min="2" style="0" width="3.14"/>
    <col collapsed="false" customWidth="true" hidden="false" outlineLevel="0" max="3" min="3" style="0" width="23.7"/>
    <col collapsed="false" customWidth="true" hidden="false" outlineLevel="0" max="4" min="4" style="0" width="20.56"/>
    <col collapsed="false" customWidth="true" hidden="false" outlineLevel="0" max="5" min="5" style="0" width="1.7"/>
    <col collapsed="false" customWidth="true" hidden="false" outlineLevel="0" max="6" min="6" style="0" width="34.71"/>
    <col collapsed="false" customWidth="true" hidden="false" outlineLevel="0" max="7" min="7" style="0" width="14.41"/>
    <col collapsed="false" customWidth="true" hidden="false" outlineLevel="0" max="8" min="8" style="255" width="1.41"/>
    <col collapsed="false" customWidth="true" hidden="false" outlineLevel="0" max="13" min="9" style="255" width="9.14"/>
    <col collapsed="false" customWidth="false" hidden="true" outlineLevel="0" max="19" min="14" style="255" width="9.06"/>
    <col collapsed="false" customWidth="true" hidden="true" outlineLevel="0" max="20" min="20" style="255" width="12.56"/>
    <col collapsed="false" customWidth="false" hidden="true" outlineLevel="0" max="24" min="21" style="255" width="9.06"/>
    <col collapsed="false" customWidth="true" hidden="true" outlineLevel="0" max="25" min="25" style="140" width="3.14"/>
    <col collapsed="false" customWidth="false" hidden="true" outlineLevel="0" max="26" min="26" style="140" width="9.06"/>
    <col collapsed="false" customWidth="true" hidden="true" outlineLevel="0" max="27" min="27" style="140" width="25.7"/>
    <col collapsed="false" customWidth="true" hidden="true" outlineLevel="0" max="28" min="28" style="140" width="32.85"/>
    <col collapsed="false" customWidth="true" hidden="true" outlineLevel="0" max="29" min="29" style="140" width="3.85"/>
    <col collapsed="false" customWidth="false" hidden="true" outlineLevel="0" max="30" min="30" style="140" width="9.06"/>
    <col collapsed="false" customWidth="true" hidden="true" outlineLevel="0" max="31" min="31" style="140" width="16.42"/>
    <col collapsed="false" customWidth="true" hidden="true" outlineLevel="0" max="32" min="32" style="140" width="24.41"/>
    <col collapsed="false" customWidth="false" hidden="true" outlineLevel="0" max="33" min="33" style="255" width="9.06"/>
    <col collapsed="false" customWidth="true" hidden="false" outlineLevel="0" max="40" min="34" style="255" width="9.14"/>
  </cols>
  <sheetData>
    <row r="1" customFormat="false" ht="12" hidden="false" customHeight="true" outlineLevel="0" collapsed="false">
      <c r="B1" s="255"/>
      <c r="C1" s="255"/>
      <c r="D1" s="255"/>
      <c r="E1" s="255"/>
      <c r="F1" s="255"/>
      <c r="G1" s="255"/>
      <c r="Y1" s="256" t="s">
        <v>211</v>
      </c>
    </row>
    <row r="2" customFormat="false" ht="26.25" hidden="false" customHeight="true" outlineLevel="0" collapsed="false">
      <c r="A2" s="257"/>
      <c r="B2" s="258" t="s">
        <v>212</v>
      </c>
      <c r="C2" s="258"/>
      <c r="D2" s="258"/>
      <c r="E2" s="258"/>
      <c r="F2" s="258"/>
      <c r="G2" s="258"/>
    </row>
    <row r="3" customFormat="false" ht="11.25" hidden="false" customHeight="true" outlineLevel="0" collapsed="false">
      <c r="B3" s="259"/>
      <c r="C3" s="260"/>
      <c r="D3" s="260"/>
      <c r="E3" s="260"/>
      <c r="F3" s="260"/>
      <c r="G3" s="261"/>
      <c r="Z3" s="262" t="s">
        <v>213</v>
      </c>
      <c r="AA3" s="262"/>
      <c r="AB3" s="262"/>
      <c r="AD3" s="262" t="s">
        <v>29</v>
      </c>
      <c r="AE3" s="262"/>
      <c r="AF3" s="262"/>
    </row>
    <row r="4" customFormat="false" ht="9.75" hidden="false" customHeight="true" outlineLevel="0" collapsed="false">
      <c r="B4" s="259"/>
      <c r="C4" s="260"/>
      <c r="D4" s="260"/>
      <c r="E4" s="260"/>
      <c r="F4" s="260"/>
      <c r="G4" s="261"/>
      <c r="Z4" s="263"/>
      <c r="AA4" s="264"/>
      <c r="AB4" s="265"/>
      <c r="AD4" s="263"/>
      <c r="AE4" s="264"/>
      <c r="AF4" s="265"/>
    </row>
    <row r="5" customFormat="false" ht="9.75" hidden="false" customHeight="true" outlineLevel="0" collapsed="false">
      <c r="B5" s="259"/>
      <c r="C5" s="260"/>
      <c r="D5" s="260"/>
      <c r="E5" s="260"/>
      <c r="F5" s="260"/>
      <c r="G5" s="261"/>
      <c r="T5" s="255" t="s">
        <v>214</v>
      </c>
      <c r="U5" s="255" t="s">
        <v>215</v>
      </c>
      <c r="V5" s="255" t="s">
        <v>216</v>
      </c>
      <c r="Z5" s="266" t="n">
        <f aca="false">[11]CurveList!B5</f>
        <v>1</v>
      </c>
      <c r="AA5" s="158" t="str">
        <f aca="false">[11]CurveList!C5</f>
        <v>GCHO</v>
      </c>
      <c r="AB5" s="267" t="str">
        <f aca="false">[11]CurveList!D5</f>
        <v>#2 Oil Gulf Coast</v>
      </c>
      <c r="AD5" s="266" t="n">
        <f aca="false">[11]CurveList!F5</f>
        <v>1</v>
      </c>
      <c r="AE5" s="158" t="str">
        <f aca="false">[11]CurveList!G5</f>
        <v>NG_OMICRON_9</v>
      </c>
      <c r="AF5" s="267" t="str">
        <f aca="false">[11]CurveList!H5</f>
        <v>Omi Vol - Alberta/Sumas</v>
      </c>
    </row>
    <row r="6" customFormat="false" ht="21" hidden="false" customHeight="false" outlineLevel="0" collapsed="false">
      <c r="B6" s="268" t="s">
        <v>217</v>
      </c>
      <c r="C6" s="260"/>
      <c r="D6" s="260"/>
      <c r="E6" s="260"/>
      <c r="F6" s="260"/>
      <c r="G6" s="261"/>
      <c r="S6" s="255" t="s">
        <v>141</v>
      </c>
      <c r="T6" s="255" t="n">
        <v>33</v>
      </c>
      <c r="U6" s="255" t="n">
        <v>9</v>
      </c>
      <c r="V6" s="255" t="n">
        <v>27</v>
      </c>
      <c r="Z6" s="266" t="n">
        <f aca="false">[11]CurveList!B6</f>
        <v>2</v>
      </c>
      <c r="AA6" s="158" t="str">
        <f aca="false">[11]CurveList!C6</f>
        <v>NXHO</v>
      </c>
      <c r="AB6" s="267" t="str">
        <f aca="false">[11]CurveList!D6</f>
        <v>#2 Oil New York</v>
      </c>
      <c r="AD6" s="266" t="n">
        <f aca="false">[11]CurveList!F6</f>
        <v>2</v>
      </c>
      <c r="AE6" s="158" t="str">
        <f aca="false">[11]CurveList!G6</f>
        <v>NG_OMICRON_7</v>
      </c>
      <c r="AF6" s="267" t="str">
        <f aca="false">[11]CurveList!H6</f>
        <v>Omi Vol - Appalachia</v>
      </c>
    </row>
    <row r="7" customFormat="false" ht="16.5" hidden="false" customHeight="false" outlineLevel="0" collapsed="false">
      <c r="B7" s="269"/>
      <c r="C7" s="270" t="s">
        <v>218</v>
      </c>
      <c r="D7" s="271" t="s">
        <v>219</v>
      </c>
      <c r="E7" s="271"/>
      <c r="F7" s="271"/>
      <c r="G7" s="272"/>
      <c r="S7" s="255" t="s">
        <v>27</v>
      </c>
      <c r="T7" s="255" t="n">
        <v>76</v>
      </c>
      <c r="U7" s="255" t="n">
        <v>6</v>
      </c>
      <c r="V7" s="255" t="n">
        <v>118</v>
      </c>
      <c r="Z7" s="266" t="n">
        <f aca="false">[11]CurveList!B7</f>
        <v>3</v>
      </c>
      <c r="AA7" s="158" t="str">
        <f aca="false">[11]CurveList!C7</f>
        <v>61GC</v>
      </c>
      <c r="AB7" s="267" t="str">
        <f aca="false">[11]CurveList!D7</f>
        <v>#6 Oil 1%S Gulf coast</v>
      </c>
      <c r="AD7" s="266" t="n">
        <f aca="false">[11]CurveList!F7</f>
        <v>3</v>
      </c>
      <c r="AE7" s="158" t="str">
        <f aca="false">[11]CurveList!G7</f>
        <v>NG_OMICRON_11</v>
      </c>
      <c r="AF7" s="267" t="str">
        <f aca="false">[11]CurveList!H7</f>
        <v>Omi Vol - Chicago</v>
      </c>
    </row>
    <row r="8" customFormat="false" ht="12.75" hidden="false" customHeight="false" outlineLevel="0" collapsed="false">
      <c r="B8" s="269"/>
      <c r="C8" s="273" t="s">
        <v>220</v>
      </c>
      <c r="D8" s="274" t="s">
        <v>221</v>
      </c>
      <c r="E8" s="275"/>
      <c r="F8" s="275" t="s">
        <v>222</v>
      </c>
      <c r="G8" s="276" t="n">
        <v>1</v>
      </c>
      <c r="Z8" s="266" t="n">
        <f aca="false">[11]CurveList!B8</f>
        <v>4</v>
      </c>
      <c r="AA8" s="158" t="str">
        <f aca="false">[11]CurveList!C8</f>
        <v>61NY</v>
      </c>
      <c r="AB8" s="267" t="str">
        <f aca="false">[11]CurveList!D8</f>
        <v>#6 Oil 1%S New York</v>
      </c>
      <c r="AD8" s="266" t="n">
        <f aca="false">[11]CurveList!F8</f>
        <v>4</v>
      </c>
      <c r="AE8" s="158" t="str">
        <f aca="false">[11]CurveList!G8</f>
        <v>NG_OMICRON_12</v>
      </c>
      <c r="AF8" s="267" t="str">
        <f aca="false">[11]CurveList!H8</f>
        <v>Omi Vol - FGT</v>
      </c>
    </row>
    <row r="9" customFormat="false" ht="12.75" hidden="false" customHeight="false" outlineLevel="0" collapsed="false">
      <c r="B9" s="269"/>
      <c r="C9" s="277" t="s">
        <v>223</v>
      </c>
      <c r="D9" s="278"/>
      <c r="E9" s="279"/>
      <c r="F9" s="279" t="s">
        <v>224</v>
      </c>
      <c r="G9" s="280" t="n">
        <v>15100</v>
      </c>
      <c r="Z9" s="266" t="n">
        <f aca="false">[11]CurveList!B9</f>
        <v>5</v>
      </c>
      <c r="AA9" s="158" t="str">
        <f aca="false">[11]CurveList!C9</f>
        <v>62NY</v>
      </c>
      <c r="AB9" s="267" t="str">
        <f aca="false">[11]CurveList!D9</f>
        <v>#6 Oil 2%S New York</v>
      </c>
      <c r="AD9" s="266" t="n">
        <f aca="false">[11]CurveList!F9</f>
        <v>5</v>
      </c>
      <c r="AE9" s="158" t="str">
        <f aca="false">[11]CurveList!G9</f>
        <v>NG_OMICRON_2</v>
      </c>
      <c r="AF9" s="267" t="str">
        <f aca="false">[11]CurveList!H9</f>
        <v>Omi Vol - HSC/Katy/ETX</v>
      </c>
    </row>
    <row r="10" customFormat="false" ht="12.75" hidden="false" customHeight="false" outlineLevel="0" collapsed="false">
      <c r="B10" s="259"/>
      <c r="C10" s="277" t="s">
        <v>225</v>
      </c>
      <c r="D10" s="281" t="n">
        <f aca="true">TODAY()</f>
        <v>45926</v>
      </c>
      <c r="E10" s="279"/>
      <c r="F10" s="279" t="s">
        <v>226</v>
      </c>
      <c r="G10" s="282" t="n">
        <f aca="false">R13</f>
        <v>1</v>
      </c>
      <c r="N10" s="255" t="str">
        <f aca="false">"Nymex and Basis Differential ("&amp;D14&amp;" - "&amp;D15&amp;")"</f>
        <v>Nymex and Basis Differential (IF-CNG/APPALACH - IF-TGT/ZSL)</v>
      </c>
      <c r="Z10" s="266" t="n">
        <f aca="false">[11]CurveList!B10</f>
        <v>6</v>
      </c>
      <c r="AA10" s="158" t="str">
        <f aca="false">[11]CurveList!C10</f>
        <v>63GC</v>
      </c>
      <c r="AB10" s="267" t="str">
        <f aca="false">[11]CurveList!D10</f>
        <v>#6 Oil 3%S Gulf coast</v>
      </c>
      <c r="AD10" s="266" t="n">
        <f aca="false">[11]CurveList!F10</f>
        <v>6</v>
      </c>
      <c r="AE10" s="158" t="str">
        <f aca="false">[11]CurveList!G10</f>
        <v>NG_OMICRON_1</v>
      </c>
      <c r="AF10" s="267" t="str">
        <f aca="false">[11]CurveList!H10</f>
        <v>Omi Vol - LA/Offshore South</v>
      </c>
    </row>
    <row r="11" customFormat="false" ht="16.5" hidden="false" customHeight="true" outlineLevel="0" collapsed="false">
      <c r="B11" s="259"/>
      <c r="C11" s="277" t="s">
        <v>122</v>
      </c>
      <c r="D11" s="281" t="n">
        <v>36929</v>
      </c>
      <c r="E11" s="279"/>
      <c r="F11" s="279" t="s">
        <v>227</v>
      </c>
      <c r="G11" s="282" t="n">
        <f aca="false">R16</f>
        <v>1</v>
      </c>
      <c r="N11" s="255" t="str">
        <f aca="false">"Basis Differential ("&amp;D14&amp;" - "&amp;D15&amp;") ($/mmbtu)"</f>
        <v>Basis Differential (IF-CNG/APPALACH - IF-TGT/ZSL) ($/mmbtu)</v>
      </c>
      <c r="Z11" s="266" t="n">
        <f aca="false">[11]CurveList!B11</f>
        <v>7</v>
      </c>
      <c r="AA11" s="158" t="str">
        <f aca="false">[11]CurveList!C11</f>
        <v>CGPR-AECO/BASIS</v>
      </c>
      <c r="AB11" s="267" t="str">
        <f aca="false">[11]CurveList!D11</f>
        <v>Alberta Aeco Basis</v>
      </c>
      <c r="AD11" s="266" t="n">
        <f aca="false">[11]CurveList!F11</f>
        <v>7</v>
      </c>
      <c r="AE11" s="158" t="str">
        <f aca="false">[11]CurveList!G11</f>
        <v>NG_OMICRON_6</v>
      </c>
      <c r="AF11" s="267" t="str">
        <f aca="false">[11]CurveList!H11</f>
        <v>Omi Vol - NE Market Area</v>
      </c>
    </row>
    <row r="12" customFormat="false" ht="15.75" hidden="false" customHeight="true" outlineLevel="0" collapsed="false">
      <c r="B12" s="259"/>
      <c r="C12" s="277" t="s">
        <v>228</v>
      </c>
      <c r="D12" s="283" t="n">
        <f aca="false">VLOOKUP(S13,S14:T373,2,1)</f>
        <v>36982</v>
      </c>
      <c r="E12" s="279"/>
      <c r="F12" s="279" t="s">
        <v>229</v>
      </c>
      <c r="G12" s="284" t="n">
        <v>0</v>
      </c>
      <c r="Z12" s="266" t="n">
        <f aca="false">[11]CurveList!B12</f>
        <v>8</v>
      </c>
      <c r="AA12" s="158" t="str">
        <f aca="false">[11]CurveList!C12</f>
        <v>CAD/USD</v>
      </c>
      <c r="AB12" s="267" t="str">
        <f aca="false">[11]CurveList!D12</f>
        <v>Canada/US Dollar</v>
      </c>
      <c r="AD12" s="266" t="n">
        <f aca="false">[11]CurveList!F12</f>
        <v>8</v>
      </c>
      <c r="AE12" s="158" t="str">
        <f aca="false">[11]CurveList!G12</f>
        <v>NG_OMICRON_5</v>
      </c>
      <c r="AF12" s="267" t="str">
        <f aca="false">[11]CurveList!H12</f>
        <v>Omi Vol - NNG Demrc/Vent</v>
      </c>
    </row>
    <row r="13" customFormat="false" ht="12.75" hidden="false" customHeight="false" outlineLevel="0" collapsed="false">
      <c r="B13" s="259"/>
      <c r="C13" s="277" t="s">
        <v>230</v>
      </c>
      <c r="D13" s="283" t="n">
        <f aca="false">EOMONTH(VLOOKUP(T13,S14:T374,2,1),0)</f>
        <v>37346</v>
      </c>
      <c r="E13" s="279"/>
      <c r="F13" s="279" t="str">
        <f aca="false">"Basis Spread at "&amp;D14&amp;" ($/mmbtu)"</f>
        <v>Basis Spread at IF-CNG/APPALACH ($/mmbtu)</v>
      </c>
      <c r="G13" s="285" t="n">
        <v>0</v>
      </c>
      <c r="R13" s="255" t="n">
        <v>1</v>
      </c>
      <c r="S13" s="255" t="n">
        <v>7</v>
      </c>
      <c r="T13" s="255" t="n">
        <v>18</v>
      </c>
      <c r="Z13" s="266" t="n">
        <f aca="false">[11]CurveList!B13</f>
        <v>9</v>
      </c>
      <c r="AA13" s="158" t="str">
        <f aca="false">[11]CurveList!C13</f>
        <v>CGPR-CHIPPAWA</v>
      </c>
      <c r="AB13" s="267" t="str">
        <f aca="false">[11]CurveList!D13</f>
        <v>CGPR-Chippawa</v>
      </c>
      <c r="AD13" s="266" t="n">
        <f aca="false">[11]CurveList!F13</f>
        <v>9</v>
      </c>
      <c r="AE13" s="158" t="str">
        <f aca="false">[11]CurveList!G13</f>
        <v>NG_OMICRON_3</v>
      </c>
      <c r="AF13" s="267" t="str">
        <f aca="false">[11]CurveList!H13</f>
        <v>Omi Vol - OK/Mid Continent</v>
      </c>
    </row>
    <row r="14" customFormat="false" ht="20.25" hidden="false" customHeight="true" outlineLevel="0" collapsed="false">
      <c r="B14" s="259"/>
      <c r="C14" s="277" t="s">
        <v>231</v>
      </c>
      <c r="D14" s="286" t="str">
        <f aca="false">VLOOKUP($T$6,$Z$5:$AB$268,2,FALSE())</f>
        <v>IF-CNG/APPALACH</v>
      </c>
      <c r="E14" s="279"/>
      <c r="F14" s="279" t="str">
        <f aca="false">"Basis Spread at "&amp;D15&amp;" ($/mmbtu)"</f>
        <v>Basis Spread at IF-TGT/ZSL ($/mmbtu)</v>
      </c>
      <c r="G14" s="285" t="n">
        <v>0</v>
      </c>
      <c r="Q14" s="255" t="n">
        <v>1</v>
      </c>
      <c r="R14" s="255" t="s">
        <v>232</v>
      </c>
      <c r="S14" s="255" t="n">
        <f aca="false">1</f>
        <v>1</v>
      </c>
      <c r="T14" s="287" t="n">
        <v>36800</v>
      </c>
      <c r="Z14" s="266" t="n">
        <f aca="false">[11]CurveList!B14</f>
        <v>10</v>
      </c>
      <c r="AA14" s="158" t="str">
        <f aca="false">[11]CurveList!C14</f>
        <v>CGPR-CORNWALL</v>
      </c>
      <c r="AB14" s="267" t="str">
        <f aca="false">[11]CurveList!D14</f>
        <v>CGPR-Cornwall</v>
      </c>
      <c r="AD14" s="266" t="n">
        <f aca="false">[11]CurveList!F14</f>
        <v>10</v>
      </c>
      <c r="AE14" s="158" t="str">
        <f aca="false">[11]CurveList!G14</f>
        <v>NG_OMICRON_4</v>
      </c>
      <c r="AF14" s="267" t="str">
        <f aca="false">[11]CurveList!H14</f>
        <v>Omi Vol - Permian/San Juan</v>
      </c>
    </row>
    <row r="15" customFormat="false" ht="20.25" hidden="false" customHeight="true" outlineLevel="0" collapsed="false">
      <c r="B15" s="259"/>
      <c r="C15" s="277" t="s">
        <v>233</v>
      </c>
      <c r="D15" s="286" t="str">
        <f aca="false">VLOOKUP($T$7,$Z$5:$AB$268,2,FALSE())</f>
        <v>IF-TGT/ZSL</v>
      </c>
      <c r="E15" s="279"/>
      <c r="F15" s="279" t="str">
        <f aca="false">"Index Spread at "&amp;D14&amp;" ($/mmbtu)"</f>
        <v>Index Spread at IF-CNG/APPALACH ($/mmbtu)</v>
      </c>
      <c r="G15" s="285" t="n">
        <v>0</v>
      </c>
      <c r="Q15" s="255" t="n">
        <v>2</v>
      </c>
      <c r="R15" s="255" t="s">
        <v>234</v>
      </c>
      <c r="S15" s="255" t="n">
        <f aca="false">S14+1</f>
        <v>2</v>
      </c>
      <c r="T15" s="287" t="n">
        <v>36831</v>
      </c>
      <c r="Z15" s="266" t="n">
        <f aca="false">[11]CurveList!B15</f>
        <v>11</v>
      </c>
      <c r="AA15" s="158" t="str">
        <f aca="false">[11]CurveList!C15</f>
        <v>CGPR-DAWN</v>
      </c>
      <c r="AB15" s="267" t="str">
        <f aca="false">[11]CurveList!D15</f>
        <v>CGPR-Dawn</v>
      </c>
      <c r="AD15" s="266" t="n">
        <f aca="false">[11]CurveList!F15</f>
        <v>11</v>
      </c>
      <c r="AE15" s="158" t="str">
        <f aca="false">[11]CurveList!G15</f>
        <v>NG_OMICRON_8</v>
      </c>
      <c r="AF15" s="267" t="str">
        <f aca="false">[11]CurveList!H15</f>
        <v>Omi Vol - Rocky Mountains</v>
      </c>
    </row>
    <row r="16" customFormat="false" ht="20.25" hidden="false" customHeight="true" outlineLevel="0" collapsed="false">
      <c r="B16" s="259"/>
      <c r="C16" s="277" t="str">
        <f aca="false">"Dly Vol at "&amp;D14</f>
        <v>Dly Vol at IF-CNG/APPALACH</v>
      </c>
      <c r="D16" s="288" t="str">
        <f aca="false">VLOOKUP($U$6,$AD$5:$AF$24,2,FALSE())</f>
        <v>NG_OMICRON_3</v>
      </c>
      <c r="E16" s="279"/>
      <c r="F16" s="279" t="str">
        <f aca="false">"Index Spread at "&amp;D15&amp;" ($/mmbtu)"</f>
        <v>Index Spread at IF-TGT/ZSL ($/mmbtu)</v>
      </c>
      <c r="G16" s="285" t="n">
        <v>0</v>
      </c>
      <c r="R16" s="255" t="n">
        <v>1</v>
      </c>
      <c r="S16" s="255" t="n">
        <f aca="false">S15+1</f>
        <v>3</v>
      </c>
      <c r="T16" s="287" t="n">
        <v>36861</v>
      </c>
      <c r="Z16" s="266" t="n">
        <f aca="false">[11]CurveList!B16</f>
        <v>12</v>
      </c>
      <c r="AA16" s="158" t="str">
        <f aca="false">[11]CurveList!C16</f>
        <v>CGPR-EMPRESS-US</v>
      </c>
      <c r="AB16" s="267" t="str">
        <f aca="false">[11]CurveList!D16</f>
        <v>CGPR-Empress</v>
      </c>
      <c r="AD16" s="266" t="n">
        <f aca="false">[11]CurveList!F16</f>
        <v>12</v>
      </c>
      <c r="AE16" s="158" t="str">
        <f aca="false">[11]CurveList!G16</f>
        <v>NG_OMICRON_10</v>
      </c>
      <c r="AF16" s="267" t="str">
        <f aca="false">[11]CurveList!H16</f>
        <v>Omi Vol - Sithe (ANR/LA)</v>
      </c>
    </row>
    <row r="17" customFormat="false" ht="20.25" hidden="false" customHeight="true" outlineLevel="0" collapsed="false">
      <c r="B17" s="259"/>
      <c r="C17" s="277" t="str">
        <f aca="false">"Dly Vol at "&amp;D15</f>
        <v>Dly Vol at IF-TGT/ZSL</v>
      </c>
      <c r="D17" s="288" t="str">
        <f aca="false">VLOOKUP($U$7,$AD$5:$AF$24,2,FALSE())</f>
        <v>NG_OMICRON_1</v>
      </c>
      <c r="E17" s="279"/>
      <c r="F17" s="289" t="str">
        <f aca="false">"Volatility Spread at "&amp;D14&amp;" (%)"</f>
        <v>Volatility Spread at IF-CNG/APPALACH (%)</v>
      </c>
      <c r="G17" s="290" t="n">
        <v>0</v>
      </c>
      <c r="Q17" s="255" t="n">
        <v>1</v>
      </c>
      <c r="R17" s="255" t="s">
        <v>235</v>
      </c>
      <c r="S17" s="255" t="n">
        <f aca="false">S16+1</f>
        <v>4</v>
      </c>
      <c r="T17" s="287" t="n">
        <v>36892</v>
      </c>
      <c r="Z17" s="266" t="n">
        <f aca="false">[11]CurveList!B17</f>
        <v>13</v>
      </c>
      <c r="AA17" s="158" t="str">
        <f aca="false">[11]CurveList!C17</f>
        <v>CGPR-NIAGARA</v>
      </c>
      <c r="AB17" s="267" t="str">
        <f aca="false">[11]CurveList!D17</f>
        <v>CGPR-Niagara</v>
      </c>
      <c r="AD17" s="266" t="n">
        <f aca="false">[11]CurveList!F17</f>
        <v>13</v>
      </c>
      <c r="AE17" s="158" t="str">
        <f aca="false">[11]CurveList!G17</f>
        <v>NG_OMICRON_13</v>
      </c>
      <c r="AF17" s="267" t="str">
        <f aca="false">[11]CurveList!H17</f>
        <v>Omi Vol - Transco Zn 6</v>
      </c>
    </row>
    <row r="18" customFormat="false" ht="20.25" hidden="false" customHeight="true" outlineLevel="0" collapsed="false">
      <c r="B18" s="259"/>
      <c r="C18" s="291" t="str">
        <f aca="false">"Mthly Vol at "&amp;D14</f>
        <v>Mthly Vol at IF-CNG/APPALACH</v>
      </c>
      <c r="D18" s="292" t="str">
        <f aca="false">VLOOKUP($V$6,$Z$5:$AB$268,2,FALSE())</f>
        <v>IF-ANR/LA_ONSHO</v>
      </c>
      <c r="E18" s="279"/>
      <c r="F18" s="289" t="str">
        <f aca="false">"Volatility Spread at "&amp;D15&amp;" (%)"</f>
        <v>Volatility Spread at IF-TGT/ZSL (%)</v>
      </c>
      <c r="G18" s="290" t="n">
        <v>0</v>
      </c>
      <c r="Q18" s="255" t="n">
        <v>2</v>
      </c>
      <c r="R18" s="255" t="s">
        <v>236</v>
      </c>
      <c r="S18" s="255" t="n">
        <f aca="false">S17+1</f>
        <v>5</v>
      </c>
      <c r="T18" s="287" t="n">
        <v>36923</v>
      </c>
      <c r="Z18" s="266" t="n">
        <f aca="false">[11]CurveList!B18</f>
        <v>14</v>
      </c>
      <c r="AA18" s="158" t="str">
        <f aca="false">[11]CurveList!C18</f>
        <v>CGPR-OJIBWAY</v>
      </c>
      <c r="AB18" s="267" t="str">
        <f aca="false">[11]CurveList!D18</f>
        <v>CGPR-Ojibway</v>
      </c>
      <c r="AD18" s="266" t="n">
        <f aca="false">[11]CurveList!F18</f>
        <v>14</v>
      </c>
      <c r="AE18" s="158" t="n">
        <f aca="false">[11]CurveList!G18</f>
        <v>0</v>
      </c>
      <c r="AF18" s="267" t="n">
        <f aca="false">[11]CurveList!H18</f>
        <v>0</v>
      </c>
    </row>
    <row r="19" customFormat="false" ht="20.25" hidden="false" customHeight="true" outlineLevel="0" collapsed="false">
      <c r="B19" s="259"/>
      <c r="C19" s="291" t="str">
        <f aca="false">"Mthly Vol at "&amp;D15</f>
        <v>Mthly Vol at IF-TGT/ZSL</v>
      </c>
      <c r="D19" s="293" t="str">
        <f aca="false">VLOOKUP($V$7,$Z$5:$AB$268,2,FALSE())</f>
        <v>NG</v>
      </c>
      <c r="E19" s="279"/>
      <c r="F19" s="279" t="s">
        <v>237</v>
      </c>
      <c r="G19" s="285" t="n">
        <v>0</v>
      </c>
      <c r="S19" s="255" t="n">
        <f aca="false">S18+1</f>
        <v>6</v>
      </c>
      <c r="T19" s="287" t="n">
        <v>36951</v>
      </c>
      <c r="Z19" s="266" t="n">
        <f aca="false">[11]CurveList!B19</f>
        <v>15</v>
      </c>
      <c r="AA19" s="158" t="str">
        <f aca="false">[11]CurveList!C19</f>
        <v>CGPR-STCLAIR</v>
      </c>
      <c r="AB19" s="267" t="str">
        <f aca="false">[11]CurveList!D19</f>
        <v>CGPR-St. Clair</v>
      </c>
      <c r="AD19" s="266" t="n">
        <f aca="false">[11]CurveList!F19</f>
        <v>15</v>
      </c>
      <c r="AE19" s="158" t="n">
        <f aca="false">[11]CurveList!G19</f>
        <v>0</v>
      </c>
      <c r="AF19" s="267" t="n">
        <f aca="false">[11]CurveList!H19</f>
        <v>0</v>
      </c>
    </row>
    <row r="20" customFormat="false" ht="12.75" hidden="false" customHeight="false" outlineLevel="0" collapsed="false">
      <c r="B20" s="259"/>
      <c r="C20" s="277"/>
      <c r="D20" s="294"/>
      <c r="E20" s="279"/>
      <c r="F20" s="279" t="s">
        <v>238</v>
      </c>
      <c r="G20" s="285" t="n">
        <v>0.0312</v>
      </c>
      <c r="S20" s="255" t="n">
        <f aca="false">S19+1</f>
        <v>7</v>
      </c>
      <c r="T20" s="287" t="n">
        <v>36982</v>
      </c>
      <c r="Z20" s="266" t="n">
        <f aca="false">[11]CurveList!B20</f>
        <v>16</v>
      </c>
      <c r="AA20" s="158" t="str">
        <f aca="false">[11]CurveList!C20</f>
        <v>NAT/FUEL/LEIDY</v>
      </c>
      <c r="AB20" s="267" t="str">
        <f aca="false">[11]CurveList!D20</f>
        <v>CNG LEIDY</v>
      </c>
      <c r="AD20" s="266" t="n">
        <f aca="false">[11]CurveList!F20</f>
        <v>16</v>
      </c>
      <c r="AE20" s="158" t="n">
        <f aca="false">[11]CurveList!G20</f>
        <v>0</v>
      </c>
      <c r="AF20" s="267" t="n">
        <f aca="false">[11]CurveList!H20</f>
        <v>0</v>
      </c>
    </row>
    <row r="21" customFormat="false" ht="12.75" hidden="false" customHeight="false" outlineLevel="0" collapsed="false">
      <c r="B21" s="259"/>
      <c r="C21" s="277"/>
      <c r="D21" s="294"/>
      <c r="E21" s="279"/>
      <c r="F21" s="279" t="s">
        <v>239</v>
      </c>
      <c r="G21" s="290" t="n">
        <v>0.0296</v>
      </c>
      <c r="S21" s="255" t="n">
        <f aca="false">S20+1</f>
        <v>8</v>
      </c>
      <c r="T21" s="287" t="n">
        <v>37012</v>
      </c>
      <c r="Z21" s="266" t="n">
        <f aca="false">[11]CurveList!B21</f>
        <v>17</v>
      </c>
      <c r="AA21" s="158" t="str">
        <f aca="false">[11]CurveList!C21</f>
        <v>C2CN</v>
      </c>
      <c r="AB21" s="267" t="str">
        <f aca="false">[11]CurveList!D21</f>
        <v>Conway Ethane</v>
      </c>
      <c r="AD21" s="266" t="n">
        <f aca="false">[11]CurveList!F21</f>
        <v>17</v>
      </c>
      <c r="AE21" s="158" t="n">
        <f aca="false">[11]CurveList!G21</f>
        <v>0</v>
      </c>
      <c r="AF21" s="267" t="n">
        <f aca="false">[11]CurveList!H21</f>
        <v>0</v>
      </c>
    </row>
    <row r="22" customFormat="false" ht="15" hidden="false" customHeight="true" outlineLevel="0" collapsed="false">
      <c r="B22" s="259"/>
      <c r="C22" s="295" t="s">
        <v>48</v>
      </c>
      <c r="D22" s="296" t="n">
        <v>0.99</v>
      </c>
      <c r="E22" s="297"/>
      <c r="F22" s="297" t="s">
        <v>240</v>
      </c>
      <c r="G22" s="298" t="n">
        <v>0.0327</v>
      </c>
      <c r="S22" s="255" t="n">
        <f aca="false">S21+1</f>
        <v>9</v>
      </c>
      <c r="T22" s="287" t="n">
        <v>37043</v>
      </c>
      <c r="Z22" s="266" t="n">
        <f aca="false">[11]CurveList!B22</f>
        <v>18</v>
      </c>
      <c r="AA22" s="158" t="str">
        <f aca="false">[11]CurveList!C22</f>
        <v>IBCN</v>
      </c>
      <c r="AB22" s="267" t="str">
        <f aca="false">[11]CurveList!D22</f>
        <v>Conway Iso-Butane</v>
      </c>
      <c r="AD22" s="266" t="n">
        <f aca="false">[11]CurveList!F22</f>
        <v>18</v>
      </c>
      <c r="AE22" s="158" t="n">
        <f aca="false">[11]CurveList!G22</f>
        <v>0</v>
      </c>
      <c r="AF22" s="267" t="n">
        <f aca="false">[11]CurveList!H22</f>
        <v>0</v>
      </c>
    </row>
    <row r="23" customFormat="false" ht="12.75" hidden="false" customHeight="false" outlineLevel="0" collapsed="false">
      <c r="B23" s="259"/>
      <c r="C23" s="260"/>
      <c r="D23" s="260"/>
      <c r="E23" s="260"/>
      <c r="F23" s="260"/>
      <c r="G23" s="261"/>
      <c r="S23" s="255" t="n">
        <f aca="false">S22+1</f>
        <v>10</v>
      </c>
      <c r="T23" s="287" t="n">
        <v>37073</v>
      </c>
      <c r="Z23" s="266" t="n">
        <f aca="false">[11]CurveList!B23</f>
        <v>19</v>
      </c>
      <c r="AA23" s="158" t="str">
        <f aca="false">[11]CurveList!C23</f>
        <v>C5CN</v>
      </c>
      <c r="AB23" s="267" t="str">
        <f aca="false">[11]CurveList!D23</f>
        <v>Conway Nat Gasoline</v>
      </c>
      <c r="AD23" s="266" t="n">
        <f aca="false">[11]CurveList!F23</f>
        <v>19</v>
      </c>
      <c r="AE23" s="158" t="n">
        <f aca="false">[11]CurveList!G23</f>
        <v>0</v>
      </c>
      <c r="AF23" s="267" t="n">
        <f aca="false">[11]CurveList!H23</f>
        <v>0</v>
      </c>
    </row>
    <row r="24" customFormat="false" ht="17.25" hidden="false" customHeight="true" outlineLevel="0" collapsed="false">
      <c r="B24" s="259"/>
      <c r="C24" s="260"/>
      <c r="D24" s="260"/>
      <c r="E24" s="260"/>
      <c r="F24" s="260"/>
      <c r="G24" s="261"/>
      <c r="S24" s="255" t="n">
        <f aca="false">S23+1</f>
        <v>11</v>
      </c>
      <c r="T24" s="287" t="n">
        <v>37104</v>
      </c>
      <c r="Z24" s="266" t="n">
        <f aca="false">[11]CurveList!B24</f>
        <v>20</v>
      </c>
      <c r="AA24" s="158" t="str">
        <f aca="false">[11]CurveList!C24</f>
        <v>NBCN</v>
      </c>
      <c r="AB24" s="267" t="str">
        <f aca="false">[11]CurveList!D24</f>
        <v>Conway N-Butane</v>
      </c>
      <c r="AD24" s="299" t="n">
        <f aca="false">[11]CurveList!F24</f>
        <v>20</v>
      </c>
      <c r="AE24" s="300" t="n">
        <f aca="false">[11]CurveList!G24</f>
        <v>0</v>
      </c>
      <c r="AF24" s="301" t="n">
        <f aca="false">[11]CurveList!H24</f>
        <v>0</v>
      </c>
    </row>
    <row r="25" customFormat="false" ht="20.25" hidden="false" customHeight="false" outlineLevel="0" collapsed="false">
      <c r="B25" s="268" t="s">
        <v>241</v>
      </c>
      <c r="C25" s="260"/>
      <c r="D25" s="260"/>
      <c r="E25" s="260"/>
      <c r="F25" s="260"/>
      <c r="G25" s="261"/>
      <c r="S25" s="255" t="n">
        <f aca="false">S24+1</f>
        <v>12</v>
      </c>
      <c r="T25" s="287" t="n">
        <v>37135</v>
      </c>
      <c r="Z25" s="266" t="n">
        <f aca="false">[11]CurveList!B25</f>
        <v>21</v>
      </c>
      <c r="AA25" s="158" t="str">
        <f aca="false">[11]CurveList!C25</f>
        <v>C3CN</v>
      </c>
      <c r="AB25" s="267" t="str">
        <f aca="false">[11]CurveList!D25</f>
        <v>Conway Propane</v>
      </c>
      <c r="AD25" s="302"/>
      <c r="AE25" s="302"/>
    </row>
    <row r="26" customFormat="false" ht="12.75" hidden="false" customHeight="false" outlineLevel="0" collapsed="false">
      <c r="B26" s="259"/>
      <c r="C26" s="303" t="s">
        <v>242</v>
      </c>
      <c r="D26" s="304" t="e">
        <f aca="false">'ANR OK vs ML7'!AL8</f>
        <v>#NAME?</v>
      </c>
      <c r="E26" s="305"/>
      <c r="F26" s="305" t="s">
        <v>243</v>
      </c>
      <c r="G26" s="306" t="e">
        <f aca="false">'ANR OK vs ML7'!AW8</f>
        <v>#NAME?</v>
      </c>
      <c r="S26" s="255" t="n">
        <f aca="false">S25+1</f>
        <v>13</v>
      </c>
      <c r="T26" s="287" t="n">
        <v>37165</v>
      </c>
      <c r="Z26" s="266" t="n">
        <f aca="false">[11]CurveList!B26</f>
        <v>22</v>
      </c>
      <c r="AA26" s="158" t="str">
        <f aca="false">[11]CurveList!C26</f>
        <v>DJ/BASIN/CIG</v>
      </c>
      <c r="AB26" s="267" t="str">
        <f aca="false">[11]CurveList!D26</f>
        <v>DJ BASIN </v>
      </c>
      <c r="AD26" s="302"/>
      <c r="AE26" s="302"/>
    </row>
    <row r="27" customFormat="false" ht="12.75" hidden="false" customHeight="false" outlineLevel="0" collapsed="false">
      <c r="B27" s="259"/>
      <c r="C27" s="307" t="s">
        <v>244</v>
      </c>
      <c r="D27" s="308" t="e">
        <f aca="false">'ANR OK vs ML7'!AM8</f>
        <v>#N/A</v>
      </c>
      <c r="E27" s="289"/>
      <c r="F27" s="289" t="s">
        <v>245</v>
      </c>
      <c r="G27" s="309" t="e">
        <f aca="false">'ANR OK vs ML7'!AX8</f>
        <v>#N/A</v>
      </c>
      <c r="S27" s="255" t="n">
        <f aca="false">S26+1</f>
        <v>14</v>
      </c>
      <c r="T27" s="287" t="n">
        <v>37196</v>
      </c>
      <c r="Z27" s="266" t="n">
        <f aca="false">[11]CurveList!B27</f>
        <v>23</v>
      </c>
      <c r="AA27" s="158" t="str">
        <f aca="false">[11]CurveList!C27</f>
        <v>IF-FGT/MKTAREA</v>
      </c>
      <c r="AB27" s="267" t="str">
        <f aca="false">[11]CurveList!D27</f>
        <v>FGT City Gate</v>
      </c>
      <c r="AD27" s="302"/>
      <c r="AE27" s="302"/>
    </row>
    <row r="28" customFormat="false" ht="12.75" hidden="false" customHeight="false" outlineLevel="0" collapsed="false">
      <c r="B28" s="259"/>
      <c r="C28" s="307" t="s">
        <v>246</v>
      </c>
      <c r="D28" s="308" t="e">
        <f aca="false">'ANR OK vs ML7'!AN8</f>
        <v>#N/A</v>
      </c>
      <c r="E28" s="289"/>
      <c r="F28" s="289" t="s">
        <v>247</v>
      </c>
      <c r="G28" s="309" t="e">
        <f aca="false">'ANR OK vs ML7'!AY8</f>
        <v>#N/A</v>
      </c>
      <c r="S28" s="255" t="n">
        <f aca="false">S27+1</f>
        <v>15</v>
      </c>
      <c r="T28" s="287" t="n">
        <v>37226</v>
      </c>
      <c r="Z28" s="266" t="n">
        <f aca="false">[11]CurveList!B28</f>
        <v>24</v>
      </c>
      <c r="AA28" s="158" t="str">
        <f aca="false">[11]CurveList!C28</f>
        <v>IF-FGT/MKTAREA</v>
      </c>
      <c r="AB28" s="267" t="str">
        <f aca="false">[11]CurveList!D28</f>
        <v>FGT Market Area Transport Cost</v>
      </c>
      <c r="AD28" s="302"/>
      <c r="AE28" s="302"/>
    </row>
    <row r="29" customFormat="false" ht="12.75" hidden="false" customHeight="false" outlineLevel="0" collapsed="false">
      <c r="B29" s="259"/>
      <c r="C29" s="307" t="s">
        <v>248</v>
      </c>
      <c r="D29" s="310" t="n">
        <f aca="false">'ANR OK vs ML7'!F8</f>
        <v>1184759266.84099</v>
      </c>
      <c r="E29" s="289"/>
      <c r="F29" s="289" t="s">
        <v>249</v>
      </c>
      <c r="G29" s="309" t="n">
        <f aca="false">'ANR OK vs ML7'!BA8</f>
        <v>0</v>
      </c>
      <c r="S29" s="255" t="n">
        <f aca="false">S28+1</f>
        <v>16</v>
      </c>
      <c r="T29" s="287" t="n">
        <v>37257</v>
      </c>
      <c r="Z29" s="266" t="n">
        <f aca="false">[11]CurveList!B29</f>
        <v>25</v>
      </c>
      <c r="AA29" s="158" t="str">
        <f aca="false">[11]CurveList!C29</f>
        <v>IF-AGUA DULCE</v>
      </c>
      <c r="AB29" s="267" t="str">
        <f aca="false">[11]CurveList!D29</f>
        <v>IF Agua Dulce</v>
      </c>
      <c r="AD29" s="302"/>
      <c r="AE29" s="302"/>
    </row>
    <row r="30" customFormat="false" ht="12.75" hidden="false" customHeight="false" outlineLevel="0" collapsed="false">
      <c r="B30" s="259"/>
      <c r="C30" s="311" t="s">
        <v>250</v>
      </c>
      <c r="D30" s="312" t="n">
        <f aca="false">'ANR OK vs ML7'!E8</f>
        <v>198480000</v>
      </c>
      <c r="E30" s="313"/>
      <c r="F30" s="313" t="s">
        <v>251</v>
      </c>
      <c r="G30" s="314" t="e">
        <f aca="false">G26-G29</f>
        <v>#NAME?</v>
      </c>
      <c r="S30" s="255" t="n">
        <f aca="false">S29+1</f>
        <v>17</v>
      </c>
      <c r="T30" s="287" t="n">
        <v>37288</v>
      </c>
      <c r="Z30" s="266" t="n">
        <f aca="false">[11]CurveList!B30</f>
        <v>26</v>
      </c>
      <c r="AA30" s="158" t="str">
        <f aca="false">[11]CurveList!C30</f>
        <v>IF-ANR/LA</v>
      </c>
      <c r="AB30" s="267" t="str">
        <f aca="false">[11]CurveList!D30</f>
        <v>IF ANR Louisiana</v>
      </c>
      <c r="AD30" s="302"/>
      <c r="AE30" s="302"/>
    </row>
    <row r="31" customFormat="false" ht="12.75" hidden="false" customHeight="false" outlineLevel="0" collapsed="false">
      <c r="B31" s="259"/>
      <c r="C31" s="260"/>
      <c r="D31" s="260"/>
      <c r="E31" s="260"/>
      <c r="F31" s="260"/>
      <c r="G31" s="261"/>
      <c r="S31" s="255" t="n">
        <f aca="false">S30+1</f>
        <v>18</v>
      </c>
      <c r="T31" s="287" t="n">
        <v>37316</v>
      </c>
      <c r="Z31" s="266" t="n">
        <f aca="false">[11]CurveList!B31</f>
        <v>27</v>
      </c>
      <c r="AA31" s="158" t="str">
        <f aca="false">[11]CurveList!C31</f>
        <v>IF-ANR/LA_ONSHO</v>
      </c>
      <c r="AB31" s="267" t="str">
        <f aca="false">[11]CurveList!D31</f>
        <v>IF ANR Onshore</v>
      </c>
      <c r="AD31" s="302"/>
      <c r="AE31" s="302"/>
    </row>
    <row r="32" customFormat="false" ht="12.75" hidden="false" customHeight="false" outlineLevel="0" collapsed="false">
      <c r="B32" s="259"/>
      <c r="C32" s="260"/>
      <c r="D32" s="260"/>
      <c r="E32" s="260"/>
      <c r="F32" s="260"/>
      <c r="G32" s="261"/>
      <c r="S32" s="255" t="n">
        <f aca="false">S31+1</f>
        <v>19</v>
      </c>
      <c r="T32" s="287" t="n">
        <v>37347</v>
      </c>
      <c r="Z32" s="266" t="n">
        <f aca="false">[11]CurveList!B32</f>
        <v>28</v>
      </c>
      <c r="AA32" s="158" t="str">
        <f aca="false">[11]CurveList!C32</f>
        <v>IF-ANR/OK</v>
      </c>
      <c r="AB32" s="267" t="str">
        <f aca="false">[11]CurveList!D32</f>
        <v>IF ANR Oklahoma</v>
      </c>
      <c r="AD32" s="302"/>
      <c r="AE32" s="302"/>
    </row>
    <row r="33" customFormat="false" ht="12.75" hidden="false" customHeight="false" outlineLevel="0" collapsed="false">
      <c r="B33" s="259"/>
      <c r="C33" s="260"/>
      <c r="D33" s="260"/>
      <c r="E33" s="260"/>
      <c r="F33" s="260"/>
      <c r="G33" s="261"/>
      <c r="S33" s="255" t="n">
        <f aca="false">S32+1</f>
        <v>20</v>
      </c>
      <c r="T33" s="287" t="n">
        <v>37377</v>
      </c>
      <c r="Z33" s="266" t="n">
        <f aca="false">[11]CurveList!B33</f>
        <v>29</v>
      </c>
      <c r="AA33" s="158" t="str">
        <f aca="false">[11]CurveList!C33</f>
        <v>IF-ARKLA/ARK-OK</v>
      </c>
      <c r="AB33" s="267" t="str">
        <f aca="false">[11]CurveList!D33</f>
        <v>IF Arkla/Ark,OK-50%</v>
      </c>
      <c r="AD33" s="302"/>
      <c r="AE33" s="302"/>
    </row>
    <row r="34" customFormat="false" ht="12.75" hidden="false" customHeight="false" outlineLevel="0" collapsed="false">
      <c r="B34" s="259"/>
      <c r="C34" s="260"/>
      <c r="D34" s="260"/>
      <c r="E34" s="260"/>
      <c r="F34" s="260"/>
      <c r="G34" s="261"/>
      <c r="S34" s="255" t="n">
        <f aca="false">S33+1</f>
        <v>21</v>
      </c>
      <c r="T34" s="287" t="n">
        <v>37408</v>
      </c>
      <c r="Z34" s="266" t="n">
        <f aca="false">[11]CurveList!B34</f>
        <v>30</v>
      </c>
      <c r="AA34" s="158" t="str">
        <f aca="false">[11]CurveList!C34</f>
        <v>IF-CARTHAGE</v>
      </c>
      <c r="AB34" s="267" t="str">
        <f aca="false">[11]CurveList!D34</f>
        <v>IF Carthage</v>
      </c>
      <c r="AD34" s="302"/>
      <c r="AE34" s="302"/>
    </row>
    <row r="35" customFormat="false" ht="12.75" hidden="false" customHeight="false" outlineLevel="0" collapsed="false">
      <c r="B35" s="259"/>
      <c r="C35" s="260"/>
      <c r="D35" s="260"/>
      <c r="E35" s="260"/>
      <c r="F35" s="260"/>
      <c r="G35" s="261"/>
      <c r="S35" s="255" t="n">
        <f aca="false">S34+1</f>
        <v>22</v>
      </c>
      <c r="T35" s="287" t="n">
        <v>37438</v>
      </c>
      <c r="Z35" s="266" t="n">
        <f aca="false">[11]CurveList!B35</f>
        <v>31</v>
      </c>
      <c r="AA35" s="158" t="str">
        <f aca="false">[11]CurveList!C35</f>
        <v>IF-CIG/RKYMTN</v>
      </c>
      <c r="AB35" s="267" t="str">
        <f aca="false">[11]CurveList!D35</f>
        <v>IF CIG Rocky Mountains</v>
      </c>
      <c r="AD35" s="302"/>
      <c r="AE35" s="302"/>
    </row>
    <row r="36" customFormat="false" ht="12.75" hidden="false" customHeight="false" outlineLevel="0" collapsed="false">
      <c r="B36" s="259"/>
      <c r="C36" s="260"/>
      <c r="D36" s="260"/>
      <c r="E36" s="260"/>
      <c r="F36" s="260"/>
      <c r="G36" s="261"/>
      <c r="S36" s="255" t="n">
        <f aca="false">S35+1</f>
        <v>23</v>
      </c>
      <c r="T36" s="287" t="n">
        <v>37469</v>
      </c>
      <c r="Z36" s="266" t="n">
        <f aca="false">[11]CurveList!B36</f>
        <v>32</v>
      </c>
      <c r="AA36" s="158" t="str">
        <f aca="false">[11]CurveList!C36</f>
        <v>IF-CIG/WINDRVR</v>
      </c>
      <c r="AB36" s="267" t="str">
        <f aca="false">[11]CurveList!D36</f>
        <v>IF CIG Wind River</v>
      </c>
      <c r="AD36" s="302"/>
      <c r="AE36" s="302"/>
    </row>
    <row r="37" customFormat="false" ht="12.75" hidden="false" customHeight="false" outlineLevel="0" collapsed="false">
      <c r="B37" s="259"/>
      <c r="C37" s="260"/>
      <c r="D37" s="260"/>
      <c r="E37" s="260"/>
      <c r="F37" s="260"/>
      <c r="G37" s="261"/>
      <c r="S37" s="255" t="n">
        <f aca="false">S36+1</f>
        <v>24</v>
      </c>
      <c r="T37" s="287" t="n">
        <v>37500</v>
      </c>
      <c r="Z37" s="266" t="n">
        <f aca="false">[11]CurveList!B37</f>
        <v>33</v>
      </c>
      <c r="AA37" s="158" t="str">
        <f aca="false">[11]CurveList!C37</f>
        <v>IF-CNG/APPALACH</v>
      </c>
      <c r="AB37" s="267" t="str">
        <f aca="false">[11]CurveList!D37</f>
        <v>IF CNG Appalachia</v>
      </c>
      <c r="AD37" s="302"/>
      <c r="AE37" s="302"/>
    </row>
    <row r="38" customFormat="false" ht="12.75" hidden="false" customHeight="false" outlineLevel="0" collapsed="false">
      <c r="B38" s="259"/>
      <c r="C38" s="260"/>
      <c r="D38" s="260"/>
      <c r="E38" s="260"/>
      <c r="F38" s="260"/>
      <c r="G38" s="261"/>
      <c r="S38" s="255" t="n">
        <f aca="false">S37+1</f>
        <v>25</v>
      </c>
      <c r="T38" s="287" t="n">
        <v>37530</v>
      </c>
      <c r="Z38" s="266" t="n">
        <f aca="false">[11]CurveList!B38</f>
        <v>34</v>
      </c>
      <c r="AA38" s="158" t="str">
        <f aca="false">[11]CurveList!C38</f>
        <v>IF-CGT/APPALAC</v>
      </c>
      <c r="AB38" s="267" t="str">
        <f aca="false">[11]CurveList!D38</f>
        <v>IF Columbia Gas Appalachia</v>
      </c>
      <c r="AD38" s="302"/>
      <c r="AE38" s="302"/>
    </row>
    <row r="39" customFormat="false" ht="12.75" hidden="false" customHeight="false" outlineLevel="0" collapsed="false">
      <c r="B39" s="259"/>
      <c r="C39" s="260"/>
      <c r="D39" s="260"/>
      <c r="E39" s="260"/>
      <c r="F39" s="260"/>
      <c r="G39" s="261"/>
      <c r="S39" s="255" t="n">
        <f aca="false">S38+1</f>
        <v>26</v>
      </c>
      <c r="T39" s="287" t="n">
        <v>37561</v>
      </c>
      <c r="Z39" s="266" t="n">
        <f aca="false">[11]CurveList!B39</f>
        <v>35</v>
      </c>
      <c r="AA39" s="158" t="str">
        <f aca="false">[11]CurveList!C39</f>
        <v>IF-CGT/CITYGATE</v>
      </c>
      <c r="AB39" s="267" t="str">
        <f aca="false">[11]CurveList!D39</f>
        <v>IF Columbia Gas City Gate</v>
      </c>
      <c r="AD39" s="302"/>
      <c r="AE39" s="302"/>
    </row>
    <row r="40" customFormat="false" ht="12.75" hidden="false" customHeight="false" outlineLevel="0" collapsed="false">
      <c r="B40" s="259"/>
      <c r="C40" s="260"/>
      <c r="D40" s="260"/>
      <c r="E40" s="260"/>
      <c r="F40" s="260"/>
      <c r="G40" s="261"/>
      <c r="S40" s="255" t="n">
        <f aca="false">S39+1</f>
        <v>27</v>
      </c>
      <c r="T40" s="287" t="n">
        <v>37591</v>
      </c>
      <c r="Z40" s="266" t="n">
        <f aca="false">[11]CurveList!B40</f>
        <v>36</v>
      </c>
      <c r="AA40" s="158" t="str">
        <f aca="false">[11]CurveList!C40</f>
        <v>IF-COLGULF/LA</v>
      </c>
      <c r="AB40" s="267" t="str">
        <f aca="false">[11]CurveList!D40</f>
        <v>IF Columbia Gulf Louisiana</v>
      </c>
      <c r="AD40" s="302"/>
      <c r="AE40" s="302"/>
    </row>
    <row r="41" customFormat="false" ht="12.75" hidden="false" customHeight="false" outlineLevel="0" collapsed="false">
      <c r="B41" s="259"/>
      <c r="C41" s="260"/>
      <c r="D41" s="260"/>
      <c r="E41" s="260"/>
      <c r="F41" s="260"/>
      <c r="G41" s="261"/>
      <c r="S41" s="255" t="n">
        <f aca="false">S40+1</f>
        <v>28</v>
      </c>
      <c r="T41" s="287" t="n">
        <v>37622</v>
      </c>
      <c r="Z41" s="266" t="n">
        <f aca="false">[11]CurveList!B41</f>
        <v>37</v>
      </c>
      <c r="AA41" s="158" t="str">
        <f aca="false">[11]CurveList!C41</f>
        <v>IF-COLGUL/RAYNE</v>
      </c>
      <c r="AB41" s="267" t="str">
        <f aca="false">[11]CurveList!D41</f>
        <v>IF Columbia Gulf Rayne</v>
      </c>
      <c r="AD41" s="302"/>
      <c r="AE41" s="302"/>
    </row>
    <row r="42" customFormat="false" ht="12.75" hidden="false" customHeight="false" outlineLevel="0" collapsed="false">
      <c r="B42" s="259"/>
      <c r="C42" s="260"/>
      <c r="D42" s="260"/>
      <c r="E42" s="260"/>
      <c r="F42" s="260"/>
      <c r="G42" s="261"/>
      <c r="S42" s="255" t="n">
        <f aca="false">S41+1</f>
        <v>29</v>
      </c>
      <c r="T42" s="287" t="n">
        <v>37653</v>
      </c>
      <c r="Z42" s="266" t="n">
        <f aca="false">[11]CurveList!B42</f>
        <v>38</v>
      </c>
      <c r="AA42" s="158" t="str">
        <f aca="false">[11]CurveList!C42</f>
        <v>IF/ELPO/ANADARK</v>
      </c>
      <c r="AB42" s="267" t="str">
        <f aca="false">[11]CurveList!D42</f>
        <v>IF EL Paso Anadarko</v>
      </c>
      <c r="AD42" s="302"/>
      <c r="AE42" s="302"/>
    </row>
    <row r="43" customFormat="false" ht="12.75" hidden="false" customHeight="false" outlineLevel="0" collapsed="false">
      <c r="B43" s="259"/>
      <c r="C43" s="260"/>
      <c r="D43" s="260"/>
      <c r="E43" s="260"/>
      <c r="F43" s="260"/>
      <c r="G43" s="261"/>
      <c r="S43" s="255" t="n">
        <f aca="false">S42+1</f>
        <v>30</v>
      </c>
      <c r="T43" s="287" t="n">
        <v>37681</v>
      </c>
      <c r="Z43" s="266" t="n">
        <f aca="false">[11]CurveList!B43</f>
        <v>39</v>
      </c>
      <c r="AA43" s="158" t="str">
        <f aca="false">[11]CurveList!C43</f>
        <v>IF-ELPO/PERMIAN</v>
      </c>
      <c r="AB43" s="267" t="str">
        <f aca="false">[11]CurveList!D43</f>
        <v>IF EL Paso Permian</v>
      </c>
      <c r="AD43" s="302"/>
      <c r="AE43" s="302"/>
    </row>
    <row r="44" customFormat="false" ht="12.75" hidden="false" customHeight="false" outlineLevel="0" collapsed="false">
      <c r="B44" s="259"/>
      <c r="C44" s="260"/>
      <c r="D44" s="260"/>
      <c r="E44" s="260"/>
      <c r="F44" s="260"/>
      <c r="G44" s="261"/>
      <c r="S44" s="255" t="n">
        <f aca="false">S43+1</f>
        <v>31</v>
      </c>
      <c r="T44" s="287" t="n">
        <v>37712</v>
      </c>
      <c r="Z44" s="266" t="n">
        <f aca="false">[11]CurveList!B44</f>
        <v>40</v>
      </c>
      <c r="AA44" s="158" t="str">
        <f aca="false">[11]CurveList!C44</f>
        <v>IF-ELPO/SJ</v>
      </c>
      <c r="AB44" s="267" t="str">
        <f aca="false">[11]CurveList!D44</f>
        <v>IF EL Paso San Juan</v>
      </c>
      <c r="AD44" s="302"/>
      <c r="AE44" s="302"/>
    </row>
    <row r="45" customFormat="false" ht="12.75" hidden="false" customHeight="false" outlineLevel="0" collapsed="false">
      <c r="B45" s="259"/>
      <c r="C45" s="260"/>
      <c r="D45" s="260"/>
      <c r="E45" s="260"/>
      <c r="F45" s="260"/>
      <c r="G45" s="261"/>
      <c r="S45" s="255" t="n">
        <f aca="false">S44+1</f>
        <v>32</v>
      </c>
      <c r="T45" s="287" t="n">
        <v>37742</v>
      </c>
      <c r="Z45" s="266" t="n">
        <f aca="false">[11]CurveList!B45</f>
        <v>41</v>
      </c>
      <c r="AA45" s="158" t="str">
        <f aca="false">[11]CurveList!C45</f>
        <v>IF-FGT/Z1</v>
      </c>
      <c r="AB45" s="267" t="str">
        <f aca="false">[11]CurveList!D45</f>
        <v>IF FGT Zone 1</v>
      </c>
      <c r="AD45" s="302"/>
      <c r="AE45" s="302"/>
    </row>
    <row r="46" customFormat="false" ht="12.75" hidden="false" customHeight="false" outlineLevel="0" collapsed="false">
      <c r="B46" s="259"/>
      <c r="C46" s="260"/>
      <c r="D46" s="260"/>
      <c r="E46" s="260"/>
      <c r="F46" s="260"/>
      <c r="G46" s="261"/>
      <c r="S46" s="255" t="n">
        <f aca="false">S45+1</f>
        <v>33</v>
      </c>
      <c r="T46" s="287" t="n">
        <v>37773</v>
      </c>
      <c r="Z46" s="266" t="n">
        <f aca="false">[11]CurveList!B46</f>
        <v>42</v>
      </c>
      <c r="AA46" s="158" t="str">
        <f aca="false">[11]CurveList!C46</f>
        <v>IF-FGT/Z2</v>
      </c>
      <c r="AB46" s="267" t="str">
        <f aca="false">[11]CurveList!D46</f>
        <v>IF FGT Zone 2</v>
      </c>
      <c r="AD46" s="302"/>
      <c r="AE46" s="302"/>
    </row>
    <row r="47" customFormat="false" ht="12.75" hidden="false" customHeight="false" outlineLevel="0" collapsed="false">
      <c r="B47" s="259"/>
      <c r="C47" s="260"/>
      <c r="D47" s="260"/>
      <c r="E47" s="260"/>
      <c r="F47" s="260"/>
      <c r="G47" s="261"/>
      <c r="S47" s="255" t="n">
        <f aca="false">S46+1</f>
        <v>34</v>
      </c>
      <c r="T47" s="287" t="n">
        <v>37803</v>
      </c>
      <c r="Z47" s="266" t="n">
        <f aca="false">[11]CurveList!B47</f>
        <v>43</v>
      </c>
      <c r="AA47" s="158" t="str">
        <f aca="false">[11]CurveList!C47</f>
        <v>IF-FGT/Z3</v>
      </c>
      <c r="AB47" s="267" t="str">
        <f aca="false">[11]CurveList!D47</f>
        <v>IF FGT Zone 3</v>
      </c>
      <c r="AD47" s="302"/>
      <c r="AE47" s="302"/>
    </row>
    <row r="48" customFormat="false" ht="12.75" hidden="false" customHeight="false" outlineLevel="0" collapsed="false">
      <c r="B48" s="259"/>
      <c r="C48" s="260"/>
      <c r="D48" s="260"/>
      <c r="E48" s="260"/>
      <c r="F48" s="260"/>
      <c r="G48" s="261"/>
      <c r="S48" s="255" t="n">
        <f aca="false">S47+1</f>
        <v>35</v>
      </c>
      <c r="T48" s="287" t="n">
        <v>37834</v>
      </c>
      <c r="Z48" s="266" t="n">
        <f aca="false">[11]CurveList!B48</f>
        <v>44</v>
      </c>
      <c r="AA48" s="158" t="str">
        <f aca="false">[11]CurveList!C48</f>
        <v>IF-HEHUB</v>
      </c>
      <c r="AB48" s="267" t="str">
        <f aca="false">[11]CurveList!D48</f>
        <v>IF Henry Hub</v>
      </c>
      <c r="AD48" s="302"/>
      <c r="AE48" s="302"/>
    </row>
    <row r="49" customFormat="false" ht="12.75" hidden="false" customHeight="false" outlineLevel="0" collapsed="false">
      <c r="B49" s="259"/>
      <c r="C49" s="260"/>
      <c r="D49" s="260"/>
      <c r="E49" s="260"/>
      <c r="F49" s="260"/>
      <c r="G49" s="261"/>
      <c r="S49" s="255" t="n">
        <f aca="false">S48+1</f>
        <v>36</v>
      </c>
      <c r="T49" s="287" t="n">
        <v>37865</v>
      </c>
      <c r="Z49" s="266" t="n">
        <f aca="false">[11]CurveList!B49</f>
        <v>45</v>
      </c>
      <c r="AA49" s="158" t="str">
        <f aca="false">[11]CurveList!C49</f>
        <v>IF-HPL/SHPCHAN</v>
      </c>
      <c r="AB49" s="267" t="str">
        <f aca="false">[11]CurveList!D49</f>
        <v>IF HPL Ship Channel</v>
      </c>
      <c r="AD49" s="302"/>
      <c r="AE49" s="302"/>
    </row>
    <row r="50" customFormat="false" ht="13.5" hidden="false" customHeight="false" outlineLevel="0" collapsed="false">
      <c r="B50" s="315"/>
      <c r="C50" s="316"/>
      <c r="D50" s="316"/>
      <c r="E50" s="316"/>
      <c r="F50" s="316"/>
      <c r="G50" s="317"/>
      <c r="S50" s="255" t="n">
        <f aca="false">S49+1</f>
        <v>37</v>
      </c>
      <c r="T50" s="287" t="n">
        <v>37895</v>
      </c>
      <c r="Z50" s="266" t="n">
        <f aca="false">[11]CurveList!B50</f>
        <v>46</v>
      </c>
      <c r="AA50" s="158" t="str">
        <f aca="false">[11]CurveList!C50</f>
        <v>IF-KATY</v>
      </c>
      <c r="AB50" s="267" t="str">
        <f aca="false">[11]CurveList!D50</f>
        <v>IF KATY Hub East Texas</v>
      </c>
      <c r="AD50" s="302"/>
      <c r="AE50" s="302"/>
    </row>
    <row r="51" customFormat="false" ht="12.75" hidden="false" customHeight="false" outlineLevel="0" collapsed="false">
      <c r="B51" s="318"/>
      <c r="C51" s="318"/>
      <c r="D51" s="318"/>
      <c r="E51" s="318"/>
      <c r="F51" s="318"/>
      <c r="G51" s="318"/>
      <c r="S51" s="255" t="n">
        <f aca="false">S50+1</f>
        <v>38</v>
      </c>
      <c r="T51" s="287" t="n">
        <v>37926</v>
      </c>
      <c r="Z51" s="266" t="n">
        <f aca="false">[11]CurveList!B51</f>
        <v>47</v>
      </c>
      <c r="AA51" s="158" t="str">
        <f aca="false">[11]CurveList!C51</f>
        <v>IF-KERN/RIVER</v>
      </c>
      <c r="AB51" s="267" t="str">
        <f aca="false">[11]CurveList!D51</f>
        <v>IF Kern River Wyoming</v>
      </c>
      <c r="AD51" s="302"/>
      <c r="AE51" s="302"/>
    </row>
    <row r="52" customFormat="false" ht="12.75" hidden="false" customHeight="false" outlineLevel="0" collapsed="false">
      <c r="B52" s="318"/>
      <c r="C52" s="318"/>
      <c r="D52" s="318"/>
      <c r="E52" s="318"/>
      <c r="F52" s="318"/>
      <c r="G52" s="318"/>
      <c r="S52" s="255" t="n">
        <f aca="false">S51+1</f>
        <v>39</v>
      </c>
      <c r="T52" s="287" t="n">
        <v>37956</v>
      </c>
      <c r="Z52" s="266" t="n">
        <f aca="false">[11]CurveList!B52</f>
        <v>48</v>
      </c>
      <c r="AA52" s="158" t="str">
        <f aca="false">[11]CurveList!C52</f>
        <v>IF-KOCH/LA</v>
      </c>
      <c r="AB52" s="267" t="str">
        <f aca="false">[11]CurveList!D52</f>
        <v>IF Koch Louisiana</v>
      </c>
      <c r="AD52" s="302"/>
      <c r="AE52" s="302"/>
    </row>
    <row r="53" customFormat="false" ht="12.75" hidden="false" customHeight="false" outlineLevel="0" collapsed="false">
      <c r="B53" s="318"/>
      <c r="C53" s="318"/>
      <c r="D53" s="318"/>
      <c r="E53" s="318"/>
      <c r="F53" s="318"/>
      <c r="G53" s="318"/>
      <c r="S53" s="255" t="n">
        <f aca="false">S52+1</f>
        <v>40</v>
      </c>
      <c r="T53" s="287" t="n">
        <v>37987</v>
      </c>
      <c r="Z53" s="266" t="n">
        <f aca="false">[11]CurveList!B53</f>
        <v>49</v>
      </c>
      <c r="AA53" s="158" t="str">
        <f aca="false">[11]CurveList!C53</f>
        <v>IF-KOCH/TX</v>
      </c>
      <c r="AB53" s="267" t="str">
        <f aca="false">[11]CurveList!D53</f>
        <v>IF Koch Texas</v>
      </c>
      <c r="AD53" s="302"/>
      <c r="AE53" s="302"/>
    </row>
    <row r="54" customFormat="false" ht="12.75" hidden="false" customHeight="false" outlineLevel="0" collapsed="false">
      <c r="B54" s="318"/>
      <c r="C54" s="318"/>
      <c r="D54" s="318"/>
      <c r="E54" s="318"/>
      <c r="F54" s="318"/>
      <c r="G54" s="318"/>
      <c r="S54" s="255" t="n">
        <f aca="false">S53+1</f>
        <v>41</v>
      </c>
      <c r="T54" s="287" t="n">
        <v>38018</v>
      </c>
      <c r="Z54" s="266" t="n">
        <f aca="false">[11]CurveList!B54</f>
        <v>50</v>
      </c>
      <c r="AA54" s="158" t="str">
        <f aca="false">[11]CurveList!C54</f>
        <v>IF-NGPL/HARPER</v>
      </c>
      <c r="AB54" s="267" t="str">
        <f aca="false">[11]CurveList!D54</f>
        <v>IF NGPL Harper</v>
      </c>
      <c r="AD54" s="302"/>
      <c r="AE54" s="302"/>
    </row>
    <row r="55" customFormat="false" ht="12.75" hidden="false" customHeight="false" outlineLevel="0" collapsed="false">
      <c r="B55" s="318"/>
      <c r="C55" s="318"/>
      <c r="D55" s="318"/>
      <c r="E55" s="318"/>
      <c r="F55" s="318"/>
      <c r="G55" s="318"/>
      <c r="S55" s="255" t="n">
        <f aca="false">S54+1</f>
        <v>42</v>
      </c>
      <c r="T55" s="287" t="n">
        <v>38047</v>
      </c>
      <c r="Z55" s="266" t="n">
        <f aca="false">[11]CurveList!B55</f>
        <v>51</v>
      </c>
      <c r="AA55" s="158" t="str">
        <f aca="false">[11]CurveList!C55</f>
        <v>IF-NGPL/LA</v>
      </c>
      <c r="AB55" s="267" t="str">
        <f aca="false">[11]CurveList!D55</f>
        <v>IF NGPL Louisiana</v>
      </c>
      <c r="AD55" s="302"/>
      <c r="AE55" s="302"/>
    </row>
    <row r="56" customFormat="false" ht="12.75" hidden="false" customHeight="false" outlineLevel="0" collapsed="false">
      <c r="B56" s="318"/>
      <c r="C56" s="318"/>
      <c r="D56" s="318"/>
      <c r="E56" s="318"/>
      <c r="F56" s="318"/>
      <c r="G56" s="318"/>
      <c r="S56" s="255" t="n">
        <f aca="false">S55+1</f>
        <v>43</v>
      </c>
      <c r="T56" s="287" t="n">
        <v>38078</v>
      </c>
      <c r="Z56" s="266" t="n">
        <f aca="false">[11]CurveList!B56</f>
        <v>52</v>
      </c>
      <c r="AA56" s="158" t="str">
        <f aca="false">[11]CurveList!C56</f>
        <v>IF-NGPL/MIDCON</v>
      </c>
      <c r="AB56" s="267" t="str">
        <f aca="false">[11]CurveList!D56</f>
        <v>IF NGPL Mid Continent</v>
      </c>
      <c r="AD56" s="319"/>
      <c r="AE56" s="302"/>
    </row>
    <row r="57" customFormat="false" ht="12.75" hidden="false" customHeight="false" outlineLevel="0" collapsed="false">
      <c r="B57" s="318"/>
      <c r="C57" s="318"/>
      <c r="D57" s="318"/>
      <c r="E57" s="318"/>
      <c r="F57" s="318"/>
      <c r="G57" s="318"/>
      <c r="S57" s="255" t="n">
        <f aca="false">S56+1</f>
        <v>44</v>
      </c>
      <c r="T57" s="287" t="n">
        <v>38108</v>
      </c>
      <c r="Z57" s="266" t="n">
        <f aca="false">[11]CurveList!B57</f>
        <v>53</v>
      </c>
      <c r="AA57" s="158" t="str">
        <f aca="false">[11]CurveList!C57</f>
        <v>IF-NGPL/OK-NW</v>
      </c>
      <c r="AB57" s="267" t="str">
        <f aca="false">[11]CurveList!D57</f>
        <v>IF NGPL OK NW ( GAGE)</v>
      </c>
      <c r="AD57" s="319"/>
      <c r="AE57" s="302"/>
    </row>
    <row r="58" customFormat="false" ht="12.75" hidden="false" customHeight="false" outlineLevel="0" collapsed="false">
      <c r="B58" s="318"/>
      <c r="C58" s="318"/>
      <c r="D58" s="318"/>
      <c r="E58" s="318"/>
      <c r="F58" s="318"/>
      <c r="G58" s="318"/>
      <c r="S58" s="255" t="n">
        <f aca="false">S57+1</f>
        <v>45</v>
      </c>
      <c r="T58" s="287" t="n">
        <v>38139</v>
      </c>
      <c r="Z58" s="266" t="n">
        <f aca="false">[11]CurveList!B58</f>
        <v>54</v>
      </c>
      <c r="AA58" s="158" t="str">
        <f aca="false">[11]CurveList!C58</f>
        <v>IF-NGPL/TX</v>
      </c>
      <c r="AB58" s="267" t="str">
        <f aca="false">[11]CurveList!D58</f>
        <v>IF NGPL South Texas</v>
      </c>
      <c r="AD58" s="319"/>
      <c r="AE58" s="302"/>
    </row>
    <row r="59" customFormat="false" ht="12.75" hidden="false" customHeight="false" outlineLevel="0" collapsed="false">
      <c r="B59" s="318"/>
      <c r="C59" s="318"/>
      <c r="D59" s="318"/>
      <c r="E59" s="318"/>
      <c r="F59" s="318"/>
      <c r="G59" s="318"/>
      <c r="S59" s="255" t="n">
        <f aca="false">S58+1</f>
        <v>46</v>
      </c>
      <c r="T59" s="287" t="n">
        <v>38169</v>
      </c>
      <c r="Z59" s="266" t="n">
        <f aca="false">[11]CurveList!B59</f>
        <v>55</v>
      </c>
      <c r="AA59" s="158" t="str">
        <f aca="false">[11]CurveList!C59</f>
        <v>IF-NGPLTXOK</v>
      </c>
      <c r="AB59" s="267" t="str">
        <f aca="false">[11]CurveList!D59</f>
        <v>IF NGPL TX-OK</v>
      </c>
      <c r="AD59" s="319"/>
      <c r="AE59" s="302"/>
    </row>
    <row r="60" customFormat="false" ht="12.75" hidden="false" customHeight="false" outlineLevel="0" collapsed="false">
      <c r="B60" s="318"/>
      <c r="C60" s="318"/>
      <c r="D60" s="318"/>
      <c r="E60" s="318"/>
      <c r="F60" s="318"/>
      <c r="G60" s="318"/>
      <c r="S60" s="255" t="n">
        <f aca="false">S59+1</f>
        <v>47</v>
      </c>
      <c r="T60" s="287" t="n">
        <v>38200</v>
      </c>
      <c r="Z60" s="266" t="n">
        <f aca="false">[11]CurveList!B60</f>
        <v>56</v>
      </c>
      <c r="AA60" s="158" t="str">
        <f aca="false">[11]CurveList!C60</f>
        <v>IF-NNG/DEMARCAT</v>
      </c>
      <c r="AB60" s="267" t="str">
        <f aca="false">[11]CurveList!D60</f>
        <v>IF NNG Demarcation</v>
      </c>
      <c r="AD60" s="302"/>
      <c r="AE60" s="302"/>
    </row>
    <row r="61" customFormat="false" ht="12.75" hidden="false" customHeight="false" outlineLevel="0" collapsed="false">
      <c r="B61" s="318"/>
      <c r="C61" s="318"/>
      <c r="D61" s="318"/>
      <c r="E61" s="318"/>
      <c r="F61" s="318"/>
      <c r="G61" s="318"/>
      <c r="S61" s="255" t="n">
        <f aca="false">S60+1</f>
        <v>48</v>
      </c>
      <c r="T61" s="287" t="n">
        <v>38231</v>
      </c>
      <c r="Z61" s="266" t="n">
        <f aca="false">[11]CurveList!B61</f>
        <v>57</v>
      </c>
      <c r="AA61" s="158" t="str">
        <f aca="false">[11]CurveList!C61</f>
        <v>IF-NNG/TOK</v>
      </c>
      <c r="AB61" s="267" t="str">
        <f aca="false">[11]CurveList!D61</f>
        <v>IF NNG TX-OK-KS</v>
      </c>
      <c r="AD61" s="302"/>
      <c r="AE61" s="302"/>
    </row>
    <row r="62" customFormat="false" ht="12.75" hidden="false" customHeight="false" outlineLevel="0" collapsed="false">
      <c r="B62" s="318"/>
      <c r="C62" s="318"/>
      <c r="D62" s="318"/>
      <c r="E62" s="318"/>
      <c r="F62" s="318"/>
      <c r="G62" s="318"/>
      <c r="S62" s="255" t="n">
        <f aca="false">S61+1</f>
        <v>49</v>
      </c>
      <c r="T62" s="287" t="n">
        <v>38261</v>
      </c>
      <c r="Z62" s="266" t="n">
        <f aca="false">[11]CurveList!B62</f>
        <v>58</v>
      </c>
      <c r="AA62" s="158" t="str">
        <f aca="false">[11]CurveList!C62</f>
        <v>IF-NNG/VENT</v>
      </c>
      <c r="AB62" s="267" t="str">
        <f aca="false">[11]CurveList!D62</f>
        <v>IF NNG Ventura</v>
      </c>
      <c r="AD62" s="302"/>
      <c r="AE62" s="302"/>
    </row>
    <row r="63" customFormat="false" ht="12.75" hidden="false" customHeight="false" outlineLevel="0" collapsed="false">
      <c r="B63" s="318"/>
      <c r="C63" s="318"/>
      <c r="D63" s="318"/>
      <c r="E63" s="318"/>
      <c r="F63" s="318"/>
      <c r="G63" s="318"/>
      <c r="S63" s="255" t="n">
        <f aca="false">S62+1</f>
        <v>50</v>
      </c>
      <c r="T63" s="287" t="n">
        <v>38292</v>
      </c>
      <c r="Z63" s="266" t="n">
        <f aca="false">[11]CurveList!B63</f>
        <v>59</v>
      </c>
      <c r="AA63" s="158" t="str">
        <f aca="false">[11]CurveList!C63</f>
        <v>IF-NORAM/EAST</v>
      </c>
      <c r="AB63" s="267" t="str">
        <f aca="false">[11]CurveList!D63</f>
        <v>IF NorAm East</v>
      </c>
      <c r="AD63" s="302"/>
      <c r="AE63" s="302"/>
    </row>
    <row r="64" customFormat="false" ht="12.75" hidden="false" customHeight="false" outlineLevel="0" collapsed="false">
      <c r="B64" s="318"/>
      <c r="C64" s="318"/>
      <c r="D64" s="318"/>
      <c r="E64" s="318"/>
      <c r="F64" s="318"/>
      <c r="G64" s="318"/>
      <c r="S64" s="255" t="n">
        <f aca="false">S63+1</f>
        <v>51</v>
      </c>
      <c r="T64" s="287" t="n">
        <v>38322</v>
      </c>
      <c r="Z64" s="266" t="n">
        <f aca="false">[11]CurveList!B64</f>
        <v>60</v>
      </c>
      <c r="AA64" s="158" t="str">
        <f aca="false">[11]CurveList!C64</f>
        <v>IF-NORAM/WEST</v>
      </c>
      <c r="AB64" s="267" t="str">
        <f aca="false">[11]CurveList!D64</f>
        <v>IF NorAm West</v>
      </c>
      <c r="AD64" s="302"/>
      <c r="AE64" s="302"/>
    </row>
    <row r="65" customFormat="false" ht="12.75" hidden="false" customHeight="false" outlineLevel="0" collapsed="false">
      <c r="B65" s="318"/>
      <c r="C65" s="318"/>
      <c r="D65" s="318"/>
      <c r="E65" s="318"/>
      <c r="F65" s="318"/>
      <c r="G65" s="318"/>
      <c r="S65" s="255" t="n">
        <f aca="false">S64+1</f>
        <v>52</v>
      </c>
      <c r="T65" s="287" t="n">
        <v>38353</v>
      </c>
      <c r="Z65" s="266" t="n">
        <f aca="false">[11]CurveList!B65</f>
        <v>61</v>
      </c>
      <c r="AA65" s="158" t="str">
        <f aca="false">[11]CurveList!C65</f>
        <v>IF-NTHWST/CANBR</v>
      </c>
      <c r="AB65" s="267" t="str">
        <f aca="false">[11]CurveList!D65</f>
        <v>IF NWPL Canadian Border</v>
      </c>
      <c r="AD65" s="302"/>
      <c r="AE65" s="302"/>
    </row>
    <row r="66" customFormat="false" ht="12.75" hidden="false" customHeight="false" outlineLevel="0" collapsed="false">
      <c r="B66" s="318"/>
      <c r="C66" s="318"/>
      <c r="D66" s="318"/>
      <c r="E66" s="318"/>
      <c r="F66" s="318"/>
      <c r="G66" s="318"/>
      <c r="S66" s="255" t="n">
        <f aca="false">S65+1</f>
        <v>53</v>
      </c>
      <c r="T66" s="287" t="n">
        <v>38384</v>
      </c>
      <c r="Z66" s="266" t="n">
        <f aca="false">[11]CurveList!B66</f>
        <v>62</v>
      </c>
      <c r="AA66" s="158" t="str">
        <f aca="false">[11]CurveList!C66</f>
        <v>IF-NWPL_ROCKY_M</v>
      </c>
      <c r="AB66" s="267" t="str">
        <f aca="false">[11]CurveList!D66</f>
        <v>IF NWPL Rocky Mountains</v>
      </c>
      <c r="AD66" s="302"/>
      <c r="AE66" s="302"/>
    </row>
    <row r="67" customFormat="false" ht="12.75" hidden="false" customHeight="false" outlineLevel="0" collapsed="false">
      <c r="B67" s="318"/>
      <c r="C67" s="318"/>
      <c r="D67" s="318"/>
      <c r="E67" s="318"/>
      <c r="F67" s="318"/>
      <c r="G67" s="318"/>
      <c r="S67" s="255" t="n">
        <f aca="false">S66+1</f>
        <v>54</v>
      </c>
      <c r="T67" s="287" t="n">
        <v>38412</v>
      </c>
      <c r="Z67" s="266" t="n">
        <f aca="false">[11]CurveList!B67</f>
        <v>63</v>
      </c>
      <c r="AA67" s="158" t="str">
        <f aca="false">[11]CurveList!C67</f>
        <v>IF-ONG/OKLAHOMA</v>
      </c>
      <c r="AB67" s="267" t="str">
        <f aca="false">[11]CurveList!D67</f>
        <v>IF ONG Oklahoma</v>
      </c>
      <c r="AD67" s="302"/>
      <c r="AE67" s="302"/>
    </row>
    <row r="68" customFormat="false" ht="12.75" hidden="false" customHeight="false" outlineLevel="0" collapsed="false">
      <c r="B68" s="318"/>
      <c r="C68" s="318"/>
      <c r="D68" s="318"/>
      <c r="E68" s="318"/>
      <c r="F68" s="318"/>
      <c r="G68" s="318"/>
      <c r="S68" s="255" t="n">
        <f aca="false">S67+1</f>
        <v>55</v>
      </c>
      <c r="T68" s="287" t="n">
        <v>38443</v>
      </c>
      <c r="Z68" s="266" t="n">
        <f aca="false">[11]CurveList!B68</f>
        <v>64</v>
      </c>
      <c r="AA68" s="158" t="str">
        <f aca="false">[11]CurveList!C68</f>
        <v>IF-PAN/TX/OK</v>
      </c>
      <c r="AB68" s="267" t="str">
        <f aca="false">[11]CurveList!D68</f>
        <v>IF PEPL TX-OK</v>
      </c>
      <c r="AD68" s="302"/>
      <c r="AE68" s="302"/>
    </row>
    <row r="69" customFormat="false" ht="12.75" hidden="false" customHeight="false" outlineLevel="0" collapsed="false">
      <c r="B69" s="318"/>
      <c r="C69" s="318"/>
      <c r="D69" s="318"/>
      <c r="E69" s="318"/>
      <c r="F69" s="318"/>
      <c r="G69" s="318"/>
      <c r="S69" s="255" t="n">
        <f aca="false">S68+1</f>
        <v>56</v>
      </c>
      <c r="T69" s="287" t="n">
        <v>38473</v>
      </c>
      <c r="Z69" s="266" t="n">
        <f aca="false">[11]CurveList!B69</f>
        <v>65</v>
      </c>
      <c r="AA69" s="158" t="str">
        <f aca="false">[11]CurveList!C69</f>
        <v>IF-QUESTAR</v>
      </c>
      <c r="AB69" s="267" t="str">
        <f aca="false">[11]CurveList!D69</f>
        <v>IF Questar Rocky Mountains</v>
      </c>
      <c r="AD69" s="302"/>
      <c r="AE69" s="302"/>
    </row>
    <row r="70" customFormat="false" ht="12.75" hidden="false" customHeight="false" outlineLevel="0" collapsed="false">
      <c r="B70" s="318"/>
      <c r="C70" s="318"/>
      <c r="D70" s="318"/>
      <c r="E70" s="318"/>
      <c r="F70" s="318"/>
      <c r="G70" s="318"/>
      <c r="S70" s="255" t="n">
        <f aca="false">S69+1</f>
        <v>57</v>
      </c>
      <c r="T70" s="287" t="n">
        <v>38504</v>
      </c>
      <c r="Z70" s="266" t="n">
        <f aca="false">[11]CurveList!B70</f>
        <v>66</v>
      </c>
      <c r="AA70" s="158" t="str">
        <f aca="false">[11]CurveList!C70</f>
        <v>IF-SONAT/LA</v>
      </c>
      <c r="AB70" s="267" t="str">
        <f aca="false">[11]CurveList!D70</f>
        <v>IF Sonat Louisiana</v>
      </c>
      <c r="AD70" s="302"/>
      <c r="AE70" s="302"/>
    </row>
    <row r="71" customFormat="false" ht="12.75" hidden="false" customHeight="false" outlineLevel="0" collapsed="false">
      <c r="B71" s="318"/>
      <c r="C71" s="318"/>
      <c r="D71" s="318"/>
      <c r="E71" s="318"/>
      <c r="F71" s="318"/>
      <c r="G71" s="318"/>
      <c r="S71" s="255" t="n">
        <f aca="false">S70+1</f>
        <v>58</v>
      </c>
      <c r="T71" s="287" t="n">
        <v>38534</v>
      </c>
      <c r="Z71" s="266" t="n">
        <f aca="false">[11]CurveList!B71</f>
        <v>67</v>
      </c>
      <c r="AA71" s="158" t="str">
        <f aca="false">[11]CurveList!C71</f>
        <v>IF-TENN/LA</v>
      </c>
      <c r="AB71" s="267" t="str">
        <f aca="false">[11]CurveList!D71</f>
        <v>IF Tenn LA Zone 1 (500 Line)</v>
      </c>
      <c r="AD71" s="302"/>
      <c r="AE71" s="302"/>
    </row>
    <row r="72" customFormat="false" ht="12.75" hidden="false" customHeight="false" outlineLevel="0" collapsed="false">
      <c r="B72" s="318"/>
      <c r="C72" s="318"/>
      <c r="D72" s="318"/>
      <c r="E72" s="318"/>
      <c r="F72" s="318"/>
      <c r="G72" s="318"/>
      <c r="S72" s="255" t="n">
        <f aca="false">S71+1</f>
        <v>59</v>
      </c>
      <c r="T72" s="287" t="n">
        <v>38565</v>
      </c>
      <c r="Z72" s="266" t="n">
        <f aca="false">[11]CurveList!B72</f>
        <v>68</v>
      </c>
      <c r="AA72" s="158" t="str">
        <f aca="false">[11]CurveList!C72</f>
        <v>IF-TENN/LA_OFF</v>
      </c>
      <c r="AB72" s="267" t="str">
        <f aca="false">[11]CurveList!D72</f>
        <v>IF Tenn LA Zone 1 (800 Line)</v>
      </c>
      <c r="AD72" s="302"/>
      <c r="AE72" s="302"/>
    </row>
    <row r="73" customFormat="false" ht="12.75" hidden="false" customHeight="false" outlineLevel="0" collapsed="false">
      <c r="B73" s="318"/>
      <c r="C73" s="318"/>
      <c r="D73" s="318"/>
      <c r="E73" s="318"/>
      <c r="F73" s="318"/>
      <c r="G73" s="318"/>
      <c r="S73" s="255" t="n">
        <f aca="false">S72+1</f>
        <v>60</v>
      </c>
      <c r="T73" s="287" t="n">
        <v>38596</v>
      </c>
      <c r="Z73" s="266" t="n">
        <f aca="false">[11]CurveList!B73</f>
        <v>69</v>
      </c>
      <c r="AA73" s="158" t="str">
        <f aca="false">[11]CurveList!C73</f>
        <v>IF-TENN/TX</v>
      </c>
      <c r="AB73" s="267" t="str">
        <f aca="false">[11]CurveList!D73</f>
        <v>IF Tenn TX Zone 0 (100 Line)</v>
      </c>
      <c r="AD73" s="302"/>
      <c r="AE73" s="302"/>
    </row>
    <row r="74" customFormat="false" ht="12.75" hidden="false" customHeight="false" outlineLevel="0" collapsed="false">
      <c r="B74" s="318"/>
      <c r="C74" s="318"/>
      <c r="D74" s="318"/>
      <c r="E74" s="318"/>
      <c r="F74" s="318"/>
      <c r="G74" s="318"/>
      <c r="S74" s="255" t="n">
        <f aca="false">S73+1</f>
        <v>61</v>
      </c>
      <c r="T74" s="287" t="n">
        <v>38626</v>
      </c>
      <c r="Z74" s="266" t="n">
        <f aca="false">[11]CurveList!B74</f>
        <v>70</v>
      </c>
      <c r="AA74" s="158" t="str">
        <f aca="false">[11]CurveList!C74</f>
        <v>IF-TETCO/ELA</v>
      </c>
      <c r="AB74" s="267" t="str">
        <f aca="false">[11]CurveList!D74</f>
        <v>IF TETCO East Louisiana</v>
      </c>
      <c r="AD74" s="302"/>
      <c r="AE74" s="302"/>
    </row>
    <row r="75" customFormat="false" ht="12.75" hidden="false" customHeight="false" outlineLevel="0" collapsed="false">
      <c r="B75" s="318"/>
      <c r="C75" s="318"/>
      <c r="D75" s="318"/>
      <c r="E75" s="318"/>
      <c r="F75" s="318"/>
      <c r="G75" s="318"/>
      <c r="S75" s="255" t="n">
        <f aca="false">S74+1</f>
        <v>62</v>
      </c>
      <c r="T75" s="287" t="n">
        <v>38657</v>
      </c>
      <c r="Z75" s="266" t="n">
        <f aca="false">[11]CurveList!B75</f>
        <v>71</v>
      </c>
      <c r="AA75" s="158" t="str">
        <f aca="false">[11]CurveList!C75</f>
        <v>IF-TETCO/ETX</v>
      </c>
      <c r="AB75" s="267" t="str">
        <f aca="false">[11]CurveList!D75</f>
        <v>IF TETCO East Texas</v>
      </c>
      <c r="AD75" s="302"/>
      <c r="AE75" s="302"/>
    </row>
    <row r="76" customFormat="false" ht="12.75" hidden="false" customHeight="false" outlineLevel="0" collapsed="false">
      <c r="B76" s="318"/>
      <c r="C76" s="318"/>
      <c r="D76" s="318"/>
      <c r="E76" s="318"/>
      <c r="F76" s="318"/>
      <c r="G76" s="318"/>
      <c r="S76" s="255" t="n">
        <f aca="false">S75+1</f>
        <v>63</v>
      </c>
      <c r="T76" s="287" t="n">
        <v>38687</v>
      </c>
      <c r="Z76" s="266" t="n">
        <f aca="false">[11]CurveList!B76</f>
        <v>72</v>
      </c>
      <c r="AA76" s="158" t="str">
        <f aca="false">[11]CurveList!C76</f>
        <v>IF-TETCO/STX</v>
      </c>
      <c r="AB76" s="267" t="str">
        <f aca="false">[11]CurveList!D76</f>
        <v>IF TETCO South Texas</v>
      </c>
      <c r="AD76" s="302"/>
      <c r="AE76" s="302"/>
    </row>
    <row r="77" customFormat="false" ht="12.75" hidden="false" customHeight="false" outlineLevel="0" collapsed="false">
      <c r="B77" s="318"/>
      <c r="C77" s="318"/>
      <c r="D77" s="318"/>
      <c r="E77" s="318"/>
      <c r="F77" s="318"/>
      <c r="G77" s="318"/>
      <c r="S77" s="255" t="n">
        <f aca="false">S76+1</f>
        <v>64</v>
      </c>
      <c r="T77" s="287" t="n">
        <v>38718</v>
      </c>
      <c r="Z77" s="266" t="n">
        <f aca="false">[11]CurveList!B77</f>
        <v>73</v>
      </c>
      <c r="AA77" s="158" t="str">
        <f aca="false">[11]CurveList!C77</f>
        <v>IF-TETCO/WLA</v>
      </c>
      <c r="AB77" s="267" t="str">
        <f aca="false">[11]CurveList!D77</f>
        <v>IF TETCO West Louisiana</v>
      </c>
      <c r="AD77" s="302"/>
      <c r="AE77" s="302"/>
    </row>
    <row r="78" customFormat="false" ht="12.75" hidden="false" customHeight="false" outlineLevel="0" collapsed="false">
      <c r="B78" s="318"/>
      <c r="C78" s="318"/>
      <c r="D78" s="318"/>
      <c r="E78" s="318"/>
      <c r="F78" s="318"/>
      <c r="G78" s="318"/>
      <c r="S78" s="255" t="n">
        <f aca="false">S77+1</f>
        <v>65</v>
      </c>
      <c r="T78" s="287" t="n">
        <v>38749</v>
      </c>
      <c r="Z78" s="266" t="n">
        <f aca="false">[11]CurveList!B78</f>
        <v>74</v>
      </c>
      <c r="AA78" s="158" t="str">
        <f aca="false">[11]CurveList!C78</f>
        <v>IF-TETCO/M1</v>
      </c>
      <c r="AB78" s="267" t="str">
        <f aca="false">[11]CurveList!D78</f>
        <v>IF TETCO Zone M1</v>
      </c>
      <c r="AD78" s="302"/>
      <c r="AE78" s="302"/>
    </row>
    <row r="79" customFormat="false" ht="12.75" hidden="false" customHeight="false" outlineLevel="0" collapsed="false">
      <c r="B79" s="318"/>
      <c r="C79" s="318"/>
      <c r="D79" s="318"/>
      <c r="E79" s="318"/>
      <c r="F79" s="318"/>
      <c r="G79" s="318"/>
      <c r="S79" s="255" t="n">
        <f aca="false">S78+1</f>
        <v>66</v>
      </c>
      <c r="T79" s="287" t="n">
        <v>38777</v>
      </c>
      <c r="Z79" s="266" t="n">
        <f aca="false">[11]CurveList!B79</f>
        <v>75</v>
      </c>
      <c r="AA79" s="158" t="str">
        <f aca="false">[11]CurveList!C79</f>
        <v>IF-TETCO/M3</v>
      </c>
      <c r="AB79" s="267" t="str">
        <f aca="false">[11]CurveList!D79</f>
        <v>IF TETCO Zone M3 (Market)</v>
      </c>
      <c r="AD79" s="302"/>
      <c r="AE79" s="302"/>
    </row>
    <row r="80" customFormat="false" ht="12.75" hidden="false" customHeight="false" outlineLevel="0" collapsed="false">
      <c r="B80" s="318"/>
      <c r="C80" s="318"/>
      <c r="D80" s="318"/>
      <c r="E80" s="318"/>
      <c r="F80" s="318"/>
      <c r="G80" s="318"/>
      <c r="S80" s="255" t="n">
        <f aca="false">S79+1</f>
        <v>67</v>
      </c>
      <c r="T80" s="287" t="n">
        <v>38808</v>
      </c>
      <c r="Z80" s="266" t="n">
        <f aca="false">[11]CurveList!B80</f>
        <v>76</v>
      </c>
      <c r="AA80" s="158" t="str">
        <f aca="false">[11]CurveList!C80</f>
        <v>IF-TGT/ZSL</v>
      </c>
      <c r="AB80" s="267" t="str">
        <f aca="false">[11]CurveList!D80</f>
        <v>IF TGT South Louisiana</v>
      </c>
      <c r="AD80" s="302"/>
      <c r="AE80" s="302"/>
    </row>
    <row r="81" customFormat="false" ht="12.75" hidden="false" customHeight="false" outlineLevel="0" collapsed="false">
      <c r="B81" s="318"/>
      <c r="C81" s="318"/>
      <c r="D81" s="318"/>
      <c r="E81" s="318"/>
      <c r="F81" s="318"/>
      <c r="G81" s="318"/>
      <c r="S81" s="255" t="n">
        <f aca="false">S80+1</f>
        <v>68</v>
      </c>
      <c r="T81" s="287" t="n">
        <v>38838</v>
      </c>
      <c r="Z81" s="266" t="n">
        <f aca="false">[11]CurveList!B81</f>
        <v>77</v>
      </c>
      <c r="AA81" s="158" t="str">
        <f aca="false">[11]CurveList!C81</f>
        <v>IF-TGT/Z1</v>
      </c>
      <c r="AB81" s="267" t="str">
        <f aca="false">[11]CurveList!D81</f>
        <v>IF TGT Zone 1</v>
      </c>
      <c r="AD81" s="302"/>
      <c r="AE81" s="302"/>
    </row>
    <row r="82" customFormat="false" ht="12.75" hidden="false" customHeight="false" outlineLevel="0" collapsed="false">
      <c r="B82" s="318"/>
      <c r="C82" s="318"/>
      <c r="D82" s="318"/>
      <c r="E82" s="318"/>
      <c r="F82" s="318"/>
      <c r="G82" s="318"/>
      <c r="S82" s="255" t="n">
        <f aca="false">S81+1</f>
        <v>69</v>
      </c>
      <c r="T82" s="287" t="n">
        <v>38869</v>
      </c>
      <c r="Z82" s="266" t="n">
        <f aca="false">[11]CurveList!B82</f>
        <v>78</v>
      </c>
      <c r="AA82" s="158" t="str">
        <f aca="false">[11]CurveList!C82</f>
        <v>IF-TRANSCO/Z4</v>
      </c>
      <c r="AB82" s="267" t="str">
        <f aca="false">[11]CurveList!D82</f>
        <v>IF Transco Miss/Ala  (85)</v>
      </c>
      <c r="AD82" s="302"/>
      <c r="AE82" s="302"/>
    </row>
    <row r="83" customFormat="false" ht="12.75" hidden="false" customHeight="false" outlineLevel="0" collapsed="false">
      <c r="B83" s="318"/>
      <c r="C83" s="318"/>
      <c r="D83" s="318"/>
      <c r="E83" s="318"/>
      <c r="F83" s="318"/>
      <c r="G83" s="318"/>
      <c r="S83" s="255" t="n">
        <f aca="false">S82+1</f>
        <v>70</v>
      </c>
      <c r="T83" s="287" t="n">
        <v>38899</v>
      </c>
      <c r="Z83" s="266" t="n">
        <f aca="false">[11]CurveList!B83</f>
        <v>79</v>
      </c>
      <c r="AA83" s="158" t="str">
        <f aca="false">[11]CurveList!C83</f>
        <v>IF-TRANSCO/Z1</v>
      </c>
      <c r="AB83" s="267" t="str">
        <f aca="false">[11]CurveList!D83</f>
        <v>IF Transco Zone 1  (30)</v>
      </c>
      <c r="AD83" s="302"/>
      <c r="AE83" s="302"/>
    </row>
    <row r="84" customFormat="false" ht="12.75" hidden="false" customHeight="false" outlineLevel="0" collapsed="false">
      <c r="B84" s="318"/>
      <c r="C84" s="318"/>
      <c r="D84" s="318"/>
      <c r="E84" s="318"/>
      <c r="F84" s="318"/>
      <c r="G84" s="318"/>
      <c r="S84" s="255" t="n">
        <f aca="false">S83+1</f>
        <v>71</v>
      </c>
      <c r="T84" s="287" t="n">
        <v>38930</v>
      </c>
      <c r="Z84" s="266" t="n">
        <f aca="false">[11]CurveList!B84</f>
        <v>80</v>
      </c>
      <c r="AA84" s="158" t="str">
        <f aca="false">[11]CurveList!C84</f>
        <v>IF-TRANSCO/Z2</v>
      </c>
      <c r="AB84" s="267" t="str">
        <f aca="false">[11]CurveList!D84</f>
        <v>IF Transco Zone 2  (45)</v>
      </c>
      <c r="AD84" s="302"/>
      <c r="AE84" s="302"/>
    </row>
    <row r="85" customFormat="false" ht="12.75" hidden="false" customHeight="false" outlineLevel="0" collapsed="false">
      <c r="B85" s="318"/>
      <c r="C85" s="318"/>
      <c r="D85" s="318"/>
      <c r="E85" s="318"/>
      <c r="F85" s="318"/>
      <c r="G85" s="318"/>
      <c r="S85" s="255" t="n">
        <f aca="false">S84+1</f>
        <v>72</v>
      </c>
      <c r="T85" s="287" t="n">
        <v>38961</v>
      </c>
      <c r="Z85" s="266" t="n">
        <f aca="false">[11]CurveList!B85</f>
        <v>81</v>
      </c>
      <c r="AA85" s="158" t="str">
        <f aca="false">[11]CurveList!C85</f>
        <v>IF-TRANSCO/Z3</v>
      </c>
      <c r="AB85" s="267" t="str">
        <f aca="false">[11]CurveList!D85</f>
        <v>IF Transco Zone 3  (50,62,65)</v>
      </c>
      <c r="AD85" s="302"/>
      <c r="AE85" s="302"/>
    </row>
    <row r="86" customFormat="false" ht="12.75" hidden="false" customHeight="false" outlineLevel="0" collapsed="false">
      <c r="B86" s="318"/>
      <c r="C86" s="318"/>
      <c r="D86" s="318"/>
      <c r="E86" s="318"/>
      <c r="F86" s="318"/>
      <c r="G86" s="318"/>
      <c r="S86" s="255" t="n">
        <f aca="false">S85+1</f>
        <v>73</v>
      </c>
      <c r="T86" s="287" t="n">
        <v>38991</v>
      </c>
      <c r="Z86" s="266" t="n">
        <f aca="false">[11]CurveList!B86</f>
        <v>82</v>
      </c>
      <c r="AA86" s="158" t="str">
        <f aca="false">[11]CurveList!C86</f>
        <v>IF-TRANSCO/Z6</v>
      </c>
      <c r="AB86" s="267" t="str">
        <f aca="false">[11]CurveList!D86</f>
        <v>IF Transco Zone 6 (Market)</v>
      </c>
      <c r="AD86" s="302"/>
      <c r="AE86" s="302"/>
    </row>
    <row r="87" customFormat="false" ht="12.75" hidden="false" customHeight="false" outlineLevel="0" collapsed="false">
      <c r="B87" s="318"/>
      <c r="C87" s="318"/>
      <c r="D87" s="318"/>
      <c r="E87" s="318"/>
      <c r="F87" s="318"/>
      <c r="G87" s="318"/>
      <c r="S87" s="255" t="n">
        <f aca="false">S86+1</f>
        <v>74</v>
      </c>
      <c r="T87" s="287" t="n">
        <v>39022</v>
      </c>
      <c r="Z87" s="266" t="n">
        <f aca="false">[11]CurveList!B87</f>
        <v>83</v>
      </c>
      <c r="AA87" s="158" t="str">
        <f aca="false">[11]CurveList!C87</f>
        <v>IF-TRUNKL/LA</v>
      </c>
      <c r="AB87" s="267" t="str">
        <f aca="false">[11]CurveList!D87</f>
        <v>IF Trunkline Louisiana</v>
      </c>
    </row>
    <row r="88" customFormat="false" ht="12.75" hidden="false" customHeight="false" outlineLevel="0" collapsed="false">
      <c r="B88" s="318"/>
      <c r="C88" s="318"/>
      <c r="D88" s="318"/>
      <c r="E88" s="318"/>
      <c r="F88" s="318"/>
      <c r="G88" s="318"/>
      <c r="S88" s="255" t="n">
        <f aca="false">S87+1</f>
        <v>75</v>
      </c>
      <c r="T88" s="287" t="n">
        <v>39052</v>
      </c>
      <c r="Z88" s="266" t="n">
        <f aca="false">[11]CurveList!B88</f>
        <v>84</v>
      </c>
      <c r="AA88" s="158" t="str">
        <f aca="false">[11]CurveList!C88</f>
        <v>IF-TRUNKL/TX</v>
      </c>
      <c r="AB88" s="267" t="str">
        <f aca="false">[11]CurveList!D88</f>
        <v>IF Trunkline Texas</v>
      </c>
    </row>
    <row r="89" customFormat="false" ht="12.75" hidden="false" customHeight="false" outlineLevel="0" collapsed="false">
      <c r="B89" s="318"/>
      <c r="C89" s="318"/>
      <c r="D89" s="318"/>
      <c r="E89" s="318"/>
      <c r="F89" s="318"/>
      <c r="G89" s="318"/>
      <c r="S89" s="255" t="n">
        <f aca="false">S88+1</f>
        <v>76</v>
      </c>
      <c r="T89" s="287" t="n">
        <v>39083</v>
      </c>
      <c r="Z89" s="266" t="n">
        <f aca="false">[11]CurveList!B89</f>
        <v>85</v>
      </c>
      <c r="AA89" s="158" t="str">
        <f aca="false">[11]CurveList!C89</f>
        <v>IF-TW/PERMIAN</v>
      </c>
      <c r="AB89" s="267" t="str">
        <f aca="false">[11]CurveList!D89</f>
        <v>IF TW Permian</v>
      </c>
    </row>
    <row r="90" customFormat="false" ht="12.75" hidden="false" customHeight="false" outlineLevel="0" collapsed="false">
      <c r="B90" s="318"/>
      <c r="C90" s="318"/>
      <c r="D90" s="318"/>
      <c r="E90" s="318"/>
      <c r="F90" s="318"/>
      <c r="G90" s="318"/>
      <c r="S90" s="255" t="n">
        <f aca="false">S89+1</f>
        <v>77</v>
      </c>
      <c r="T90" s="287" t="n">
        <v>39114</v>
      </c>
      <c r="Z90" s="266" t="n">
        <f aca="false">[11]CurveList!B90</f>
        <v>86</v>
      </c>
      <c r="AA90" s="158" t="str">
        <f aca="false">[11]CurveList!C90</f>
        <v>IF-VALERO/TX</v>
      </c>
      <c r="AB90" s="267" t="str">
        <f aca="false">[11]CurveList!D90</f>
        <v>IF Valero Texas</v>
      </c>
    </row>
    <row r="91" customFormat="false" ht="12.75" hidden="false" customHeight="false" outlineLevel="0" collapsed="false">
      <c r="B91" s="318"/>
      <c r="C91" s="318"/>
      <c r="D91" s="318"/>
      <c r="E91" s="318"/>
      <c r="F91" s="318"/>
      <c r="G91" s="318"/>
      <c r="S91" s="255" t="n">
        <f aca="false">S90+1</f>
        <v>78</v>
      </c>
      <c r="T91" s="287" t="n">
        <v>39142</v>
      </c>
      <c r="Z91" s="266" t="n">
        <f aca="false">[11]CurveList!B91</f>
        <v>87</v>
      </c>
      <c r="AA91" s="158" t="str">
        <f aca="false">[11]CurveList!C91</f>
        <v>IF-WNG/TOK</v>
      </c>
      <c r="AB91" s="267" t="str">
        <f aca="false">[11]CurveList!D91</f>
        <v>IF Williams TX-OK-KS</v>
      </c>
    </row>
    <row r="92" customFormat="false" ht="12.75" hidden="false" customHeight="false" outlineLevel="0" collapsed="false">
      <c r="B92" s="318"/>
      <c r="C92" s="318"/>
      <c r="D92" s="318"/>
      <c r="E92" s="318"/>
      <c r="F92" s="318"/>
      <c r="G92" s="318"/>
      <c r="S92" s="255" t="n">
        <f aca="false">S91+1</f>
        <v>79</v>
      </c>
      <c r="T92" s="287" t="n">
        <v>39173</v>
      </c>
      <c r="Z92" s="266" t="n">
        <f aca="false">[11]CurveList!B92</f>
        <v>88</v>
      </c>
      <c r="AA92" s="158" t="str">
        <f aca="false">[11]CurveList!C92</f>
        <v>IF-CNG/NORTH</v>
      </c>
      <c r="AB92" s="267" t="str">
        <f aca="false">[11]CurveList!D92</f>
        <v>IF-CNG/NORTH</v>
      </c>
    </row>
    <row r="93" customFormat="false" ht="12.75" hidden="false" customHeight="false" outlineLevel="0" collapsed="false">
      <c r="B93" s="318"/>
      <c r="C93" s="318"/>
      <c r="D93" s="318"/>
      <c r="E93" s="318"/>
      <c r="F93" s="318"/>
      <c r="G93" s="318"/>
      <c r="S93" s="255" t="n">
        <f aca="false">S92+1</f>
        <v>80</v>
      </c>
      <c r="T93" s="287" t="n">
        <v>39203</v>
      </c>
      <c r="Z93" s="266" t="n">
        <f aca="false">[11]CurveList!B93</f>
        <v>89</v>
      </c>
      <c r="AA93" s="158" t="str">
        <f aca="false">[11]CurveList!C93</f>
        <v>IF-CNG/N_CITYGA</v>
      </c>
      <c r="AB93" s="267" t="str">
        <f aca="false">[11]CurveList!D93</f>
        <v>IF-CNG/NORTH CITYGATE</v>
      </c>
    </row>
    <row r="94" customFormat="false" ht="12.75" hidden="false" customHeight="false" outlineLevel="0" collapsed="false">
      <c r="B94" s="318"/>
      <c r="C94" s="318"/>
      <c r="D94" s="318"/>
      <c r="E94" s="318"/>
      <c r="F94" s="318"/>
      <c r="G94" s="318"/>
      <c r="S94" s="255" t="n">
        <f aca="false">S93+1</f>
        <v>81</v>
      </c>
      <c r="T94" s="287" t="n">
        <v>39234</v>
      </c>
      <c r="Z94" s="266" t="n">
        <f aca="false">[11]CurveList!B94</f>
        <v>90</v>
      </c>
      <c r="AA94" s="158" t="str">
        <f aca="false">[11]CurveList!C94</f>
        <v>IF-TENN/Z5</v>
      </c>
      <c r="AB94" s="267" t="str">
        <f aca="false">[11]CurveList!D94</f>
        <v>IF-TENN/Z5</v>
      </c>
    </row>
    <row r="95" customFormat="false" ht="12.75" hidden="false" customHeight="false" outlineLevel="0" collapsed="false">
      <c r="B95" s="318"/>
      <c r="C95" s="318"/>
      <c r="D95" s="318"/>
      <c r="E95" s="318"/>
      <c r="F95" s="318"/>
      <c r="G95" s="318"/>
      <c r="S95" s="255" t="n">
        <f aca="false">S94+1</f>
        <v>82</v>
      </c>
      <c r="T95" s="287" t="n">
        <v>39264</v>
      </c>
      <c r="Z95" s="266" t="n">
        <f aca="false">[11]CurveList!B95</f>
        <v>91</v>
      </c>
      <c r="AA95" s="158" t="str">
        <f aca="false">[11]CurveList!C95</f>
        <v>IF-TENN/Z6</v>
      </c>
      <c r="AB95" s="267" t="str">
        <f aca="false">[11]CurveList!D95</f>
        <v>IF-TENN/Z6</v>
      </c>
    </row>
    <row r="96" customFormat="false" ht="12.75" hidden="false" customHeight="false" outlineLevel="0" collapsed="false">
      <c r="B96" s="318"/>
      <c r="C96" s="318"/>
      <c r="D96" s="318"/>
      <c r="E96" s="318"/>
      <c r="F96" s="318"/>
      <c r="G96" s="318"/>
      <c r="S96" s="255" t="n">
        <f aca="false">S95+1</f>
        <v>83</v>
      </c>
      <c r="T96" s="287" t="n">
        <v>39295</v>
      </c>
      <c r="Z96" s="266" t="n">
        <f aca="false">[11]CurveList!B96</f>
        <v>92</v>
      </c>
      <c r="AA96" s="158" t="str">
        <f aca="false">[11]CurveList!C96</f>
        <v>IF-TRANSCO/Z5</v>
      </c>
      <c r="AB96" s="267" t="str">
        <f aca="false">[11]CurveList!D96</f>
        <v>IF-TRANSCO/Z5</v>
      </c>
    </row>
    <row r="97" customFormat="false" ht="12.75" hidden="false" customHeight="false" outlineLevel="0" collapsed="false">
      <c r="B97" s="318"/>
      <c r="C97" s="318"/>
      <c r="D97" s="318"/>
      <c r="E97" s="318"/>
      <c r="F97" s="318"/>
      <c r="G97" s="318"/>
      <c r="S97" s="255" t="n">
        <f aca="false">S96+1</f>
        <v>84</v>
      </c>
      <c r="T97" s="287" t="n">
        <v>39326</v>
      </c>
      <c r="Z97" s="266" t="n">
        <f aca="false">[11]CurveList!B97</f>
        <v>93</v>
      </c>
      <c r="AA97" s="158" t="str">
        <f aca="false">[11]CurveList!C97</f>
        <v>KERO-NYPHY</v>
      </c>
      <c r="AB97" s="267" t="str">
        <f aca="false">[11]CurveList!D97</f>
        <v>KERO-NYPHY</v>
      </c>
    </row>
    <row r="98" customFormat="false" ht="12.75" hidden="false" customHeight="false" outlineLevel="0" collapsed="false">
      <c r="B98" s="318"/>
      <c r="C98" s="318"/>
      <c r="D98" s="318"/>
      <c r="E98" s="318"/>
      <c r="F98" s="318"/>
      <c r="G98" s="318"/>
      <c r="S98" s="255" t="n">
        <f aca="false">S97+1</f>
        <v>85</v>
      </c>
      <c r="T98" s="287" t="n">
        <v>39356</v>
      </c>
      <c r="Z98" s="266" t="n">
        <f aca="false">[11]CurveList!B98</f>
        <v>94</v>
      </c>
      <c r="AA98" s="158" t="str">
        <f aca="false">[11]CurveList!C98</f>
        <v>INT</v>
      </c>
      <c r="AB98" s="267" t="str">
        <f aca="false">[11]CurveList!D98</f>
        <v>Libor AA Interest Rate</v>
      </c>
    </row>
    <row r="99" customFormat="false" ht="12.75" hidden="false" customHeight="false" outlineLevel="0" collapsed="false">
      <c r="B99" s="318"/>
      <c r="C99" s="318"/>
      <c r="D99" s="318"/>
      <c r="E99" s="318"/>
      <c r="F99" s="318"/>
      <c r="G99" s="318"/>
      <c r="S99" s="255" t="n">
        <f aca="false">S98+1</f>
        <v>86</v>
      </c>
      <c r="T99" s="287" t="n">
        <v>39387</v>
      </c>
      <c r="Z99" s="266" t="n">
        <f aca="false">[11]CurveList!B99</f>
        <v>95</v>
      </c>
      <c r="AA99" s="158" t="str">
        <f aca="false">[11]CurveList!C99</f>
        <v>C2GC</v>
      </c>
      <c r="AB99" s="267" t="str">
        <f aca="false">[11]CurveList!D99</f>
        <v>MB Ethane</v>
      </c>
    </row>
    <row r="100" customFormat="false" ht="12.75" hidden="false" customHeight="false" outlineLevel="0" collapsed="false">
      <c r="B100" s="318"/>
      <c r="C100" s="318"/>
      <c r="D100" s="318"/>
      <c r="E100" s="318"/>
      <c r="F100" s="318"/>
      <c r="G100" s="318"/>
      <c r="S100" s="255" t="n">
        <f aca="false">S99+1</f>
        <v>87</v>
      </c>
      <c r="T100" s="287" t="n">
        <v>39417</v>
      </c>
      <c r="Z100" s="266" t="n">
        <f aca="false">[11]CurveList!B100</f>
        <v>96</v>
      </c>
      <c r="AA100" s="158" t="str">
        <f aca="false">[11]CurveList!C100</f>
        <v>EPMX</v>
      </c>
      <c r="AB100" s="267" t="str">
        <f aca="false">[11]CurveList!D100</f>
        <v>MB Ethane/Propane Mix</v>
      </c>
    </row>
    <row r="101" customFormat="false" ht="12.75" hidden="false" customHeight="false" outlineLevel="0" collapsed="false">
      <c r="B101" s="318"/>
      <c r="C101" s="318"/>
      <c r="D101" s="318"/>
      <c r="E101" s="318"/>
      <c r="F101" s="318"/>
      <c r="G101" s="318"/>
      <c r="S101" s="255" t="n">
        <f aca="false">S100+1</f>
        <v>88</v>
      </c>
      <c r="T101" s="287" t="n">
        <v>39448</v>
      </c>
      <c r="Z101" s="266" t="n">
        <f aca="false">[11]CurveList!B101</f>
        <v>97</v>
      </c>
      <c r="AA101" s="158" t="str">
        <f aca="false">[11]CurveList!C101</f>
        <v>IBXT</v>
      </c>
      <c r="AB101" s="267" t="str">
        <f aca="false">[11]CurveList!D101</f>
        <v>MB NTET Iso-Butane</v>
      </c>
    </row>
    <row r="102" customFormat="false" ht="12.75" hidden="false" customHeight="false" outlineLevel="0" collapsed="false">
      <c r="B102" s="318"/>
      <c r="C102" s="318"/>
      <c r="D102" s="318"/>
      <c r="E102" s="318"/>
      <c r="F102" s="318"/>
      <c r="G102" s="318"/>
      <c r="S102" s="255" t="n">
        <f aca="false">S101+1</f>
        <v>89</v>
      </c>
      <c r="T102" s="287" t="n">
        <v>39479</v>
      </c>
      <c r="Z102" s="266" t="n">
        <f aca="false">[11]CurveList!B102</f>
        <v>98</v>
      </c>
      <c r="AA102" s="158" t="str">
        <f aca="false">[11]CurveList!C102</f>
        <v>C5XT</v>
      </c>
      <c r="AB102" s="267" t="str">
        <f aca="false">[11]CurveList!D102</f>
        <v>MB NTET Nat Gasoline</v>
      </c>
    </row>
    <row r="103" customFormat="false" ht="12.75" hidden="false" customHeight="false" outlineLevel="0" collapsed="false">
      <c r="B103" s="318"/>
      <c r="C103" s="318"/>
      <c r="D103" s="318"/>
      <c r="E103" s="318"/>
      <c r="F103" s="318"/>
      <c r="G103" s="318"/>
      <c r="S103" s="255" t="n">
        <f aca="false">S102+1</f>
        <v>90</v>
      </c>
      <c r="T103" s="287" t="n">
        <v>39508</v>
      </c>
      <c r="Z103" s="266" t="n">
        <f aca="false">[11]CurveList!B103</f>
        <v>99</v>
      </c>
      <c r="AA103" s="158" t="str">
        <f aca="false">[11]CurveList!C103</f>
        <v>NBXT</v>
      </c>
      <c r="AB103" s="267" t="str">
        <f aca="false">[11]CurveList!D103</f>
        <v>MB NTET N-Butane</v>
      </c>
    </row>
    <row r="104" customFormat="false" ht="12.75" hidden="false" customHeight="false" outlineLevel="0" collapsed="false">
      <c r="B104" s="318"/>
      <c r="C104" s="318"/>
      <c r="D104" s="318"/>
      <c r="E104" s="318"/>
      <c r="F104" s="318"/>
      <c r="G104" s="318"/>
      <c r="S104" s="255" t="n">
        <f aca="false">S103+1</f>
        <v>91</v>
      </c>
      <c r="T104" s="287" t="n">
        <v>39539</v>
      </c>
      <c r="Z104" s="266" t="n">
        <f aca="false">[11]CurveList!B104</f>
        <v>100</v>
      </c>
      <c r="AA104" s="158" t="str">
        <f aca="false">[11]CurveList!C104</f>
        <v>C3XT</v>
      </c>
      <c r="AB104" s="267" t="str">
        <f aca="false">[11]CurveList!D104</f>
        <v>MB NTET Propane</v>
      </c>
    </row>
    <row r="105" customFormat="false" ht="12.75" hidden="false" customHeight="false" outlineLevel="0" collapsed="false">
      <c r="B105" s="318"/>
      <c r="C105" s="318"/>
      <c r="D105" s="318"/>
      <c r="E105" s="318"/>
      <c r="F105" s="318"/>
      <c r="G105" s="318"/>
      <c r="S105" s="255" t="n">
        <f aca="false">S104+1</f>
        <v>92</v>
      </c>
      <c r="T105" s="287" t="n">
        <v>39569</v>
      </c>
      <c r="Z105" s="266" t="n">
        <f aca="false">[11]CurveList!B105</f>
        <v>101</v>
      </c>
      <c r="AA105" s="158" t="str">
        <f aca="false">[11]CurveList!C105</f>
        <v>IC4</v>
      </c>
      <c r="AB105" s="267" t="str">
        <f aca="false">[11]CurveList!D105</f>
        <v>MB TET Iso-Butane</v>
      </c>
    </row>
    <row r="106" customFormat="false" ht="12.75" hidden="false" customHeight="false" outlineLevel="0" collapsed="false">
      <c r="B106" s="318"/>
      <c r="C106" s="318"/>
      <c r="D106" s="318"/>
      <c r="E106" s="318"/>
      <c r="F106" s="318"/>
      <c r="G106" s="318"/>
      <c r="S106" s="255" t="n">
        <f aca="false">S105+1</f>
        <v>93</v>
      </c>
      <c r="T106" s="287" t="n">
        <v>39600</v>
      </c>
      <c r="Z106" s="266" t="n">
        <f aca="false">[11]CurveList!B106</f>
        <v>102</v>
      </c>
      <c r="AA106" s="158" t="str">
        <f aca="false">[11]CurveList!C106</f>
        <v>C5+</v>
      </c>
      <c r="AB106" s="267" t="str">
        <f aca="false">[11]CurveList!D106</f>
        <v>MB TET Nat Gasoline</v>
      </c>
    </row>
    <row r="107" customFormat="false" ht="12.75" hidden="false" customHeight="false" outlineLevel="0" collapsed="false">
      <c r="B107" s="318"/>
      <c r="C107" s="318"/>
      <c r="D107" s="318"/>
      <c r="E107" s="318"/>
      <c r="F107" s="318"/>
      <c r="G107" s="318"/>
      <c r="S107" s="255" t="n">
        <f aca="false">S106+1</f>
        <v>94</v>
      </c>
      <c r="T107" s="287" t="n">
        <v>39630</v>
      </c>
      <c r="Z107" s="266" t="n">
        <f aca="false">[11]CurveList!B107</f>
        <v>103</v>
      </c>
      <c r="AA107" s="158" t="str">
        <f aca="false">[11]CurveList!C107</f>
        <v>NC4</v>
      </c>
      <c r="AB107" s="267" t="str">
        <f aca="false">[11]CurveList!D107</f>
        <v>MB TET N-Butane</v>
      </c>
    </row>
    <row r="108" customFormat="false" ht="12.75" hidden="false" customHeight="false" outlineLevel="0" collapsed="false">
      <c r="B108" s="318"/>
      <c r="C108" s="318"/>
      <c r="D108" s="318"/>
      <c r="E108" s="318"/>
      <c r="F108" s="318"/>
      <c r="G108" s="318"/>
      <c r="S108" s="255" t="n">
        <f aca="false">S107+1</f>
        <v>95</v>
      </c>
      <c r="T108" s="287" t="n">
        <v>39661</v>
      </c>
      <c r="Z108" s="266" t="n">
        <f aca="false">[11]CurveList!B108</f>
        <v>104</v>
      </c>
      <c r="AA108" s="158" t="str">
        <f aca="false">[11]CurveList!C108</f>
        <v>C3GC</v>
      </c>
      <c r="AB108" s="267" t="str">
        <f aca="false">[11]CurveList!D108</f>
        <v>MB TET Propane</v>
      </c>
    </row>
    <row r="109" customFormat="false" ht="12.75" hidden="false" customHeight="false" outlineLevel="0" collapsed="false">
      <c r="B109" s="318"/>
      <c r="C109" s="318"/>
      <c r="D109" s="318"/>
      <c r="E109" s="318"/>
      <c r="F109" s="318"/>
      <c r="G109" s="318"/>
      <c r="S109" s="255" t="n">
        <f aca="false">S108+1</f>
        <v>96</v>
      </c>
      <c r="T109" s="287" t="n">
        <v>39692</v>
      </c>
      <c r="Z109" s="266" t="n">
        <f aca="false">[11]CurveList!B109</f>
        <v>105</v>
      </c>
      <c r="AA109" s="158" t="str">
        <f aca="false">[11]CurveList!C109</f>
        <v>GD-LOW_IROQUOIS</v>
      </c>
      <c r="AB109" s="267" t="str">
        <f aca="false">[11]CurveList!D109</f>
        <v>GD Low Iroquois</v>
      </c>
    </row>
    <row r="110" customFormat="false" ht="12.75" hidden="false" customHeight="false" outlineLevel="0" collapsed="false">
      <c r="B110" s="318"/>
      <c r="C110" s="318"/>
      <c r="D110" s="318"/>
      <c r="E110" s="318"/>
      <c r="F110" s="318"/>
      <c r="G110" s="318"/>
      <c r="S110" s="255" t="n">
        <f aca="false">S109+1</f>
        <v>97</v>
      </c>
      <c r="T110" s="287" t="n">
        <v>39722</v>
      </c>
      <c r="Z110" s="266" t="n">
        <f aca="false">[11]CurveList!B110</f>
        <v>106</v>
      </c>
      <c r="AA110" s="158" t="str">
        <f aca="false">[11]CurveList!C110</f>
        <v>MEOH</v>
      </c>
      <c r="AB110" s="267" t="str">
        <f aca="false">[11]CurveList!D110</f>
        <v>Methanol Gulf Coast</v>
      </c>
    </row>
    <row r="111" customFormat="false" ht="12.75" hidden="false" customHeight="false" outlineLevel="0" collapsed="false">
      <c r="B111" s="318"/>
      <c r="C111" s="318"/>
      <c r="D111" s="318"/>
      <c r="E111" s="318"/>
      <c r="F111" s="318"/>
      <c r="G111" s="318"/>
      <c r="S111" s="255" t="n">
        <f aca="false">S110+1</f>
        <v>98</v>
      </c>
      <c r="T111" s="287" t="n">
        <v>39753</v>
      </c>
      <c r="Z111" s="266" t="n">
        <f aca="false">[11]CurveList!B111</f>
        <v>107</v>
      </c>
      <c r="AA111" s="158" t="str">
        <f aca="false">[11]CurveList!C111</f>
        <v>MICH/CONS</v>
      </c>
      <c r="AB111" s="267" t="str">
        <f aca="false">[11]CurveList!D111</f>
        <v>MichCon Consumers</v>
      </c>
    </row>
    <row r="112" customFormat="false" ht="12.75" hidden="false" customHeight="false" outlineLevel="0" collapsed="false">
      <c r="B112" s="318"/>
      <c r="C112" s="318"/>
      <c r="D112" s="318"/>
      <c r="E112" s="318"/>
      <c r="F112" s="318"/>
      <c r="G112" s="318"/>
      <c r="S112" s="255" t="n">
        <f aca="false">S111+1</f>
        <v>99</v>
      </c>
      <c r="T112" s="287" t="n">
        <v>39783</v>
      </c>
      <c r="Z112" s="266" t="n">
        <f aca="false">[11]CurveList!B112</f>
        <v>108</v>
      </c>
      <c r="AA112" s="158" t="str">
        <f aca="false">[11]CurveList!C112</f>
        <v>ML7/CG</v>
      </c>
      <c r="AB112" s="267" t="str">
        <f aca="false">[11]CurveList!D112</f>
        <v>ML7 CITYGATE (CRYSTAL FALLS)</v>
      </c>
    </row>
    <row r="113" customFormat="false" ht="12.75" hidden="false" customHeight="false" outlineLevel="0" collapsed="false">
      <c r="B113" s="318"/>
      <c r="C113" s="318"/>
      <c r="D113" s="318"/>
      <c r="E113" s="318"/>
      <c r="F113" s="318"/>
      <c r="G113" s="318"/>
      <c r="S113" s="255" t="n">
        <f aca="false">S112+1</f>
        <v>100</v>
      </c>
      <c r="T113" s="287" t="n">
        <v>39814</v>
      </c>
      <c r="Z113" s="266" t="n">
        <f aca="false">[11]CurveList!B113</f>
        <v>109</v>
      </c>
      <c r="AA113" s="158" t="str">
        <f aca="false">[11]CurveList!C113</f>
        <v>MTBE</v>
      </c>
      <c r="AB113" s="267" t="str">
        <f aca="false">[11]CurveList!D113</f>
        <v>MTBE Gulf coast</v>
      </c>
    </row>
    <row r="114" customFormat="false" ht="12.75" hidden="false" customHeight="false" outlineLevel="0" collapsed="false">
      <c r="B114" s="318"/>
      <c r="C114" s="318"/>
      <c r="D114" s="318"/>
      <c r="E114" s="318"/>
      <c r="F114" s="318"/>
      <c r="G114" s="318"/>
      <c r="S114" s="255" t="n">
        <f aca="false">S113+1</f>
        <v>101</v>
      </c>
      <c r="T114" s="287" t="n">
        <v>39845</v>
      </c>
      <c r="Z114" s="266" t="n">
        <f aca="false">[11]CurveList!B114</f>
        <v>110</v>
      </c>
      <c r="AA114" s="158" t="str">
        <f aca="false">[11]CurveList!C114</f>
        <v>NGI/CHI. GATE</v>
      </c>
      <c r="AB114" s="267" t="str">
        <f aca="false">[11]CurveList!D114</f>
        <v>NGI Chicago City Gate</v>
      </c>
    </row>
    <row r="115" customFormat="false" ht="12.75" hidden="false" customHeight="false" outlineLevel="0" collapsed="false">
      <c r="B115" s="318"/>
      <c r="C115" s="318"/>
      <c r="D115" s="318"/>
      <c r="E115" s="318"/>
      <c r="F115" s="318"/>
      <c r="G115" s="318"/>
      <c r="S115" s="255" t="n">
        <f aca="false">S114+1</f>
        <v>102</v>
      </c>
      <c r="T115" s="287" t="n">
        <v>39873</v>
      </c>
      <c r="Z115" s="266" t="n">
        <f aca="false">[11]CurveList!B115</f>
        <v>111</v>
      </c>
      <c r="AA115" s="158" t="str">
        <f aca="false">[11]CurveList!C115</f>
        <v>NGI-MALIN</v>
      </c>
      <c r="AB115" s="267" t="str">
        <f aca="false">[11]CurveList!D115</f>
        <v>NGI Malin (North Cal Border)</v>
      </c>
    </row>
    <row r="116" customFormat="false" ht="12.75" hidden="false" customHeight="false" outlineLevel="0" collapsed="false">
      <c r="B116" s="318"/>
      <c r="C116" s="318"/>
      <c r="D116" s="318"/>
      <c r="E116" s="318"/>
      <c r="F116" s="318"/>
      <c r="G116" s="318"/>
      <c r="S116" s="255" t="n">
        <f aca="false">S115+1</f>
        <v>103</v>
      </c>
      <c r="T116" s="287" t="n">
        <v>39904</v>
      </c>
      <c r="Z116" s="266" t="n">
        <f aca="false">[11]CurveList!B116</f>
        <v>112</v>
      </c>
      <c r="AA116" s="158" t="str">
        <f aca="false">[11]CurveList!C116</f>
        <v>NGI-MICH_CG</v>
      </c>
      <c r="AB116" s="267" t="str">
        <f aca="false">[11]CurveList!D116</f>
        <v>NGI Michigan ConsoIidated</v>
      </c>
    </row>
    <row r="117" customFormat="false" ht="12.75" hidden="false" customHeight="false" outlineLevel="0" collapsed="false">
      <c r="B117" s="318"/>
      <c r="C117" s="318"/>
      <c r="D117" s="318"/>
      <c r="E117" s="318"/>
      <c r="F117" s="318"/>
      <c r="G117" s="318"/>
      <c r="S117" s="255" t="n">
        <f aca="false">S116+1</f>
        <v>104</v>
      </c>
      <c r="T117" s="287" t="n">
        <v>39934</v>
      </c>
      <c r="Z117" s="266" t="n">
        <f aca="false">[11]CurveList!B117</f>
        <v>113</v>
      </c>
      <c r="AA117" s="158" t="str">
        <f aca="false">[11]CurveList!C117</f>
        <v>NGI-PGE/CG</v>
      </c>
      <c r="AB117" s="267" t="str">
        <f aca="false">[11]CurveList!D117</f>
        <v>NGI PGE City Gate</v>
      </c>
    </row>
    <row r="118" customFormat="false" ht="12.75" hidden="false" customHeight="false" outlineLevel="0" collapsed="false">
      <c r="B118" s="318"/>
      <c r="C118" s="318"/>
      <c r="D118" s="318"/>
      <c r="E118" s="318"/>
      <c r="F118" s="318"/>
      <c r="G118" s="318"/>
      <c r="S118" s="255" t="n">
        <f aca="false">S117+1</f>
        <v>105</v>
      </c>
      <c r="T118" s="287" t="n">
        <v>39965</v>
      </c>
      <c r="Z118" s="266" t="n">
        <f aca="false">[11]CurveList!B118</f>
        <v>114</v>
      </c>
      <c r="AA118" s="158" t="str">
        <f aca="false">[11]CurveList!C118</f>
        <v>NGI-SOCAL</v>
      </c>
      <c r="AB118" s="267" t="str">
        <f aca="false">[11]CurveList!D118</f>
        <v>NGI Socal (South Cal Border)</v>
      </c>
    </row>
    <row r="119" customFormat="false" ht="12.75" hidden="false" customHeight="false" outlineLevel="0" collapsed="false">
      <c r="B119" s="318"/>
      <c r="C119" s="318"/>
      <c r="D119" s="318"/>
      <c r="E119" s="318"/>
      <c r="F119" s="318"/>
      <c r="G119" s="318"/>
      <c r="S119" s="255" t="n">
        <f aca="false">S118+1</f>
        <v>106</v>
      </c>
      <c r="T119" s="287" t="n">
        <v>39995</v>
      </c>
      <c r="Z119" s="266" t="n">
        <f aca="false">[11]CurveList!B119</f>
        <v>115</v>
      </c>
      <c r="AA119" s="158" t="str">
        <f aca="false">[11]CurveList!C119</f>
        <v>NGW-ALGO/CITY</v>
      </c>
      <c r="AB119" s="267" t="str">
        <f aca="false">[11]CurveList!D119</f>
        <v>NGW Algonquin City Gate</v>
      </c>
    </row>
    <row r="120" customFormat="false" ht="12.75" hidden="false" customHeight="false" outlineLevel="0" collapsed="false">
      <c r="B120" s="318"/>
      <c r="C120" s="318"/>
      <c r="D120" s="318"/>
      <c r="E120" s="318"/>
      <c r="F120" s="318"/>
      <c r="G120" s="318"/>
      <c r="S120" s="255" t="n">
        <f aca="false">S119+1</f>
        <v>107</v>
      </c>
      <c r="T120" s="287" t="n">
        <v>40026</v>
      </c>
      <c r="Z120" s="266" t="n">
        <f aca="false">[11]CurveList!B120</f>
        <v>116</v>
      </c>
      <c r="AA120" s="158" t="str">
        <f aca="false">[11]CurveList!C120</f>
        <v>NGW-ALGONQUIN</v>
      </c>
      <c r="AB120" s="267" t="str">
        <f aca="false">[11]CurveList!D120</f>
        <v>NGW Algonquin </v>
      </c>
    </row>
    <row r="121" customFormat="false" ht="12.75" hidden="false" customHeight="false" outlineLevel="0" collapsed="false">
      <c r="B121" s="318"/>
      <c r="C121" s="318"/>
      <c r="D121" s="318"/>
      <c r="E121" s="318"/>
      <c r="F121" s="318"/>
      <c r="G121" s="318"/>
      <c r="S121" s="255" t="n">
        <f aca="false">S120+1</f>
        <v>108</v>
      </c>
      <c r="T121" s="287" t="n">
        <v>40057</v>
      </c>
      <c r="Z121" s="266" t="n">
        <f aca="false">[11]CurveList!B121</f>
        <v>117</v>
      </c>
      <c r="AA121" s="158" t="str">
        <f aca="false">[11]CurveList!C121</f>
        <v>NGW-IROQ/WADD</v>
      </c>
      <c r="AB121" s="267" t="str">
        <f aca="false">[11]CurveList!D121</f>
        <v>NGW Iroquois/Waddington</v>
      </c>
    </row>
    <row r="122" customFormat="false" ht="12.75" hidden="false" customHeight="false" outlineLevel="0" collapsed="false">
      <c r="B122" s="318"/>
      <c r="C122" s="318"/>
      <c r="D122" s="318"/>
      <c r="E122" s="318"/>
      <c r="F122" s="318"/>
      <c r="G122" s="318"/>
      <c r="S122" s="255" t="n">
        <f aca="false">S121+1</f>
        <v>109</v>
      </c>
      <c r="T122" s="287" t="n">
        <v>40087</v>
      </c>
      <c r="Z122" s="266" t="n">
        <f aca="false">[11]CurveList!B122</f>
        <v>118</v>
      </c>
      <c r="AA122" s="158" t="str">
        <f aca="false">[11]CurveList!C122</f>
        <v>NG</v>
      </c>
      <c r="AB122" s="267" t="str">
        <f aca="false">[11]CurveList!D122</f>
        <v>Nymex Natural Gas</v>
      </c>
    </row>
    <row r="123" customFormat="false" ht="12.75" hidden="false" customHeight="false" outlineLevel="0" collapsed="false">
      <c r="B123" s="318"/>
      <c r="C123" s="318"/>
      <c r="D123" s="318"/>
      <c r="E123" s="318"/>
      <c r="F123" s="318"/>
      <c r="G123" s="318"/>
      <c r="S123" s="255" t="n">
        <f aca="false">S122+1</f>
        <v>110</v>
      </c>
      <c r="T123" s="287" t="n">
        <v>40118</v>
      </c>
      <c r="Z123" s="266" t="n">
        <f aca="false">[11]CurveList!B123</f>
        <v>119</v>
      </c>
      <c r="AA123" s="158" t="str">
        <f aca="false">[11]CurveList!C123</f>
        <v>HU</v>
      </c>
      <c r="AB123" s="267" t="str">
        <f aca="false">[11]CurveList!D123</f>
        <v>Unleaded Gasoline</v>
      </c>
    </row>
    <row r="124" customFormat="false" ht="12.75" hidden="false" customHeight="false" outlineLevel="0" collapsed="false">
      <c r="B124" s="318"/>
      <c r="C124" s="318"/>
      <c r="D124" s="318"/>
      <c r="E124" s="318"/>
      <c r="F124" s="318"/>
      <c r="G124" s="318"/>
      <c r="S124" s="255" t="n">
        <f aca="false">S123+1</f>
        <v>111</v>
      </c>
      <c r="T124" s="287" t="n">
        <v>40148</v>
      </c>
      <c r="Z124" s="266" t="n">
        <f aca="false">[11]CurveList!B124</f>
        <v>120</v>
      </c>
      <c r="AA124" s="158" t="str">
        <f aca="false">[11]CurveList!C124</f>
        <v>WAHA KCBT</v>
      </c>
      <c r="AB124" s="267" t="str">
        <f aca="false">[11]CurveList!D124</f>
        <v>Waha Hub West Texas</v>
      </c>
    </row>
    <row r="125" customFormat="false" ht="12.75" hidden="false" customHeight="false" outlineLevel="0" collapsed="false">
      <c r="B125" s="318"/>
      <c r="C125" s="318"/>
      <c r="D125" s="318"/>
      <c r="E125" s="318"/>
      <c r="F125" s="318"/>
      <c r="G125" s="318"/>
      <c r="S125" s="255" t="n">
        <f aca="false">S124+1</f>
        <v>112</v>
      </c>
      <c r="T125" s="287" t="n">
        <v>40179</v>
      </c>
      <c r="Z125" s="266" t="n">
        <f aca="false">[11]CurveList!B125</f>
        <v>121</v>
      </c>
      <c r="AA125" s="158" t="str">
        <f aca="false">[11]CurveList!C125</f>
        <v>WTI</v>
      </c>
      <c r="AB125" s="267" t="str">
        <f aca="false">[11]CurveList!D125</f>
        <v>WTI Crude Oil</v>
      </c>
    </row>
    <row r="126" customFormat="false" ht="12.75" hidden="false" customHeight="false" outlineLevel="0" collapsed="false">
      <c r="B126" s="318"/>
      <c r="C126" s="318"/>
      <c r="D126" s="318"/>
      <c r="E126" s="318"/>
      <c r="F126" s="318"/>
      <c r="G126" s="318"/>
      <c r="S126" s="255" t="n">
        <f aca="false">S125+1</f>
        <v>113</v>
      </c>
      <c r="T126" s="287" t="n">
        <v>40210</v>
      </c>
      <c r="Z126" s="266" t="n">
        <f aca="false">[11]CurveList!B126</f>
        <v>122</v>
      </c>
      <c r="AA126" s="158" t="n">
        <f aca="false">[11]CurveList!C126</f>
        <v>0</v>
      </c>
      <c r="AB126" s="267" t="str">
        <f aca="false">[11]CurveList!D126</f>
        <v>Open</v>
      </c>
    </row>
    <row r="127" customFormat="false" ht="12.75" hidden="false" customHeight="false" outlineLevel="0" collapsed="false">
      <c r="B127" s="318"/>
      <c r="C127" s="318"/>
      <c r="D127" s="318"/>
      <c r="E127" s="318"/>
      <c r="F127" s="318"/>
      <c r="G127" s="318"/>
      <c r="S127" s="255" t="n">
        <f aca="false">S126+1</f>
        <v>114</v>
      </c>
      <c r="T127" s="287" t="n">
        <v>40238</v>
      </c>
      <c r="Z127" s="266" t="n">
        <f aca="false">[11]CurveList!B127</f>
        <v>123</v>
      </c>
      <c r="AA127" s="158" t="n">
        <f aca="false">[11]CurveList!C127</f>
        <v>0</v>
      </c>
      <c r="AB127" s="267" t="str">
        <f aca="false">[11]CurveList!D127</f>
        <v>Open</v>
      </c>
    </row>
    <row r="128" customFormat="false" ht="12.75" hidden="false" customHeight="false" outlineLevel="0" collapsed="false">
      <c r="B128" s="318"/>
      <c r="C128" s="318"/>
      <c r="D128" s="318"/>
      <c r="E128" s="318"/>
      <c r="F128" s="318"/>
      <c r="G128" s="318"/>
      <c r="S128" s="255" t="n">
        <f aca="false">S127+1</f>
        <v>115</v>
      </c>
      <c r="T128" s="287" t="n">
        <v>40269</v>
      </c>
      <c r="Z128" s="266" t="n">
        <f aca="false">[11]CurveList!B128</f>
        <v>124</v>
      </c>
      <c r="AA128" s="158" t="n">
        <f aca="false">[11]CurveList!C128</f>
        <v>0</v>
      </c>
      <c r="AB128" s="267" t="str">
        <f aca="false">[11]CurveList!D128</f>
        <v>Open</v>
      </c>
    </row>
    <row r="129" customFormat="false" ht="12.75" hidden="false" customHeight="false" outlineLevel="0" collapsed="false">
      <c r="B129" s="318"/>
      <c r="C129" s="318"/>
      <c r="D129" s="318"/>
      <c r="E129" s="318"/>
      <c r="F129" s="318"/>
      <c r="G129" s="318"/>
      <c r="S129" s="255" t="n">
        <f aca="false">S128+1</f>
        <v>116</v>
      </c>
      <c r="T129" s="287" t="n">
        <v>40299</v>
      </c>
      <c r="Z129" s="266" t="n">
        <f aca="false">[11]CurveList!B129</f>
        <v>125</v>
      </c>
      <c r="AA129" s="158" t="n">
        <f aca="false">[11]CurveList!C129</f>
        <v>0</v>
      </c>
      <c r="AB129" s="267" t="str">
        <f aca="false">[11]CurveList!D129</f>
        <v>Open</v>
      </c>
    </row>
    <row r="130" customFormat="false" ht="12.75" hidden="false" customHeight="false" outlineLevel="0" collapsed="false">
      <c r="B130" s="318"/>
      <c r="C130" s="318"/>
      <c r="D130" s="318"/>
      <c r="E130" s="318"/>
      <c r="F130" s="318"/>
      <c r="G130" s="318"/>
      <c r="S130" s="255" t="n">
        <f aca="false">S129+1</f>
        <v>117</v>
      </c>
      <c r="T130" s="287" t="n">
        <v>40330</v>
      </c>
      <c r="Z130" s="266" t="n">
        <f aca="false">[11]CurveList!B130</f>
        <v>126</v>
      </c>
      <c r="AA130" s="158" t="n">
        <f aca="false">[11]CurveList!C130</f>
        <v>0</v>
      </c>
      <c r="AB130" s="267" t="str">
        <f aca="false">[11]CurveList!D130</f>
        <v>Open</v>
      </c>
    </row>
    <row r="131" customFormat="false" ht="12.75" hidden="false" customHeight="false" outlineLevel="0" collapsed="false">
      <c r="B131" s="318"/>
      <c r="C131" s="318"/>
      <c r="D131" s="318"/>
      <c r="E131" s="318"/>
      <c r="F131" s="318"/>
      <c r="G131" s="318"/>
      <c r="S131" s="255" t="n">
        <f aca="false">S130+1</f>
        <v>118</v>
      </c>
      <c r="T131" s="287" t="n">
        <v>40360</v>
      </c>
      <c r="Z131" s="266" t="n">
        <f aca="false">[11]CurveList!B131</f>
        <v>127</v>
      </c>
      <c r="AA131" s="158" t="n">
        <f aca="false">[11]CurveList!C131</f>
        <v>0</v>
      </c>
      <c r="AB131" s="267" t="str">
        <f aca="false">[11]CurveList!D131</f>
        <v>Open</v>
      </c>
    </row>
    <row r="132" customFormat="false" ht="12.75" hidden="false" customHeight="false" outlineLevel="0" collapsed="false">
      <c r="B132" s="318"/>
      <c r="C132" s="318"/>
      <c r="D132" s="318"/>
      <c r="E132" s="318"/>
      <c r="F132" s="318"/>
      <c r="G132" s="318"/>
      <c r="S132" s="255" t="n">
        <f aca="false">S131+1</f>
        <v>119</v>
      </c>
      <c r="T132" s="287" t="n">
        <v>40391</v>
      </c>
      <c r="Z132" s="266" t="n">
        <f aca="false">[11]CurveList!B132</f>
        <v>128</v>
      </c>
      <c r="AA132" s="158" t="n">
        <f aca="false">[11]CurveList!C132</f>
        <v>0</v>
      </c>
      <c r="AB132" s="267" t="str">
        <f aca="false">[11]CurveList!D132</f>
        <v>Open</v>
      </c>
    </row>
    <row r="133" customFormat="false" ht="12.75" hidden="false" customHeight="false" outlineLevel="0" collapsed="false">
      <c r="B133" s="318"/>
      <c r="C133" s="318"/>
      <c r="D133" s="318"/>
      <c r="E133" s="318"/>
      <c r="F133" s="318"/>
      <c r="G133" s="318"/>
      <c r="S133" s="255" t="n">
        <f aca="false">S132+1</f>
        <v>120</v>
      </c>
      <c r="T133" s="287" t="n">
        <v>40422</v>
      </c>
      <c r="Z133" s="266" t="n">
        <f aca="false">[11]CurveList!B133</f>
        <v>129</v>
      </c>
      <c r="AA133" s="158" t="n">
        <f aca="false">[11]CurveList!C133</f>
        <v>0</v>
      </c>
      <c r="AB133" s="267" t="str">
        <f aca="false">[11]CurveList!D133</f>
        <v>Open</v>
      </c>
    </row>
    <row r="134" customFormat="false" ht="12.75" hidden="false" customHeight="false" outlineLevel="0" collapsed="false">
      <c r="B134" s="318"/>
      <c r="C134" s="318"/>
      <c r="D134" s="318"/>
      <c r="E134" s="318"/>
      <c r="F134" s="318"/>
      <c r="G134" s="318"/>
      <c r="S134" s="255" t="n">
        <f aca="false">S133+1</f>
        <v>121</v>
      </c>
      <c r="T134" s="287" t="n">
        <v>40452</v>
      </c>
      <c r="Z134" s="266" t="n">
        <f aca="false">[11]CurveList!B134</f>
        <v>130</v>
      </c>
      <c r="AA134" s="158" t="n">
        <f aca="false">[11]CurveList!C134</f>
        <v>0</v>
      </c>
      <c r="AB134" s="267" t="str">
        <f aca="false">[11]CurveList!D134</f>
        <v>Open</v>
      </c>
    </row>
    <row r="135" customFormat="false" ht="12.75" hidden="false" customHeight="false" outlineLevel="0" collapsed="false">
      <c r="B135" s="318"/>
      <c r="C135" s="318"/>
      <c r="D135" s="318"/>
      <c r="E135" s="318"/>
      <c r="F135" s="318"/>
      <c r="G135" s="318"/>
      <c r="S135" s="255" t="n">
        <f aca="false">S134+1</f>
        <v>122</v>
      </c>
      <c r="T135" s="287" t="n">
        <v>40483</v>
      </c>
      <c r="Z135" s="266" t="n">
        <f aca="false">[11]CurveList!B135</f>
        <v>131</v>
      </c>
      <c r="AA135" s="158" t="n">
        <f aca="false">[11]CurveList!C135</f>
        <v>0</v>
      </c>
      <c r="AB135" s="267" t="str">
        <f aca="false">[11]CurveList!D135</f>
        <v>Open</v>
      </c>
    </row>
    <row r="136" customFormat="false" ht="12.75" hidden="false" customHeight="false" outlineLevel="0" collapsed="false">
      <c r="B136" s="318"/>
      <c r="C136" s="318"/>
      <c r="D136" s="318"/>
      <c r="E136" s="318"/>
      <c r="F136" s="318"/>
      <c r="G136" s="318"/>
      <c r="S136" s="255" t="n">
        <f aca="false">S135+1</f>
        <v>123</v>
      </c>
      <c r="T136" s="287" t="n">
        <v>40513</v>
      </c>
      <c r="Z136" s="266" t="n">
        <f aca="false">[11]CurveList!B136</f>
        <v>132</v>
      </c>
      <c r="AA136" s="158" t="n">
        <f aca="false">[11]CurveList!C136</f>
        <v>0</v>
      </c>
      <c r="AB136" s="267" t="str">
        <f aca="false">[11]CurveList!D136</f>
        <v>Open</v>
      </c>
    </row>
    <row r="137" customFormat="false" ht="12.75" hidden="false" customHeight="false" outlineLevel="0" collapsed="false">
      <c r="B137" s="318"/>
      <c r="C137" s="318"/>
      <c r="D137" s="318"/>
      <c r="E137" s="318"/>
      <c r="F137" s="318"/>
      <c r="G137" s="318"/>
      <c r="S137" s="255" t="n">
        <f aca="false">S136+1</f>
        <v>124</v>
      </c>
      <c r="T137" s="287" t="n">
        <v>40544</v>
      </c>
      <c r="Z137" s="266" t="n">
        <f aca="false">[11]CurveList!B137</f>
        <v>133</v>
      </c>
      <c r="AA137" s="158" t="n">
        <f aca="false">[11]CurveList!C137</f>
        <v>0</v>
      </c>
      <c r="AB137" s="267" t="str">
        <f aca="false">[11]CurveList!D137</f>
        <v>Open</v>
      </c>
    </row>
    <row r="138" customFormat="false" ht="12.75" hidden="false" customHeight="false" outlineLevel="0" collapsed="false">
      <c r="B138" s="318"/>
      <c r="C138" s="318"/>
      <c r="D138" s="318"/>
      <c r="E138" s="318"/>
      <c r="F138" s="318"/>
      <c r="G138" s="318"/>
      <c r="S138" s="255" t="n">
        <f aca="false">S137+1</f>
        <v>125</v>
      </c>
      <c r="T138" s="287" t="n">
        <v>40575</v>
      </c>
      <c r="Z138" s="266" t="n">
        <f aca="false">[11]CurveList!B138</f>
        <v>134</v>
      </c>
      <c r="AA138" s="158" t="n">
        <f aca="false">[11]CurveList!C138</f>
        <v>0</v>
      </c>
      <c r="AB138" s="267" t="str">
        <f aca="false">[11]CurveList!D138</f>
        <v>Open</v>
      </c>
    </row>
    <row r="139" customFormat="false" ht="12.75" hidden="false" customHeight="false" outlineLevel="0" collapsed="false">
      <c r="B139" s="318"/>
      <c r="C139" s="318"/>
      <c r="D139" s="318"/>
      <c r="E139" s="318"/>
      <c r="F139" s="318"/>
      <c r="G139" s="318"/>
      <c r="S139" s="255" t="n">
        <f aca="false">S138+1</f>
        <v>126</v>
      </c>
      <c r="T139" s="287" t="n">
        <v>40603</v>
      </c>
      <c r="Z139" s="266" t="n">
        <f aca="false">[11]CurveList!B139</f>
        <v>135</v>
      </c>
      <c r="AA139" s="158" t="n">
        <f aca="false">[11]CurveList!C139</f>
        <v>0</v>
      </c>
      <c r="AB139" s="267" t="str">
        <f aca="false">[11]CurveList!D139</f>
        <v>Open</v>
      </c>
    </row>
    <row r="140" customFormat="false" ht="12.75" hidden="false" customHeight="false" outlineLevel="0" collapsed="false">
      <c r="B140" s="318"/>
      <c r="C140" s="318"/>
      <c r="D140" s="318"/>
      <c r="E140" s="318"/>
      <c r="F140" s="318"/>
      <c r="G140" s="318"/>
      <c r="S140" s="255" t="n">
        <f aca="false">S139+1</f>
        <v>127</v>
      </c>
      <c r="T140" s="287" t="n">
        <v>40634</v>
      </c>
      <c r="Z140" s="266" t="n">
        <f aca="false">[11]CurveList!B140</f>
        <v>136</v>
      </c>
      <c r="AA140" s="158" t="n">
        <f aca="false">[11]CurveList!C140</f>
        <v>0</v>
      </c>
      <c r="AB140" s="267" t="str">
        <f aca="false">[11]CurveList!D140</f>
        <v>Open</v>
      </c>
    </row>
    <row r="141" customFormat="false" ht="12.75" hidden="false" customHeight="false" outlineLevel="0" collapsed="false">
      <c r="B141" s="318"/>
      <c r="C141" s="318"/>
      <c r="D141" s="318"/>
      <c r="E141" s="318"/>
      <c r="F141" s="318"/>
      <c r="G141" s="318"/>
      <c r="S141" s="255" t="n">
        <f aca="false">S140+1</f>
        <v>128</v>
      </c>
      <c r="T141" s="287" t="n">
        <v>40664</v>
      </c>
      <c r="Z141" s="266" t="n">
        <f aca="false">[11]CurveList!B141</f>
        <v>137</v>
      </c>
      <c r="AA141" s="158" t="n">
        <f aca="false">[11]CurveList!C141</f>
        <v>0</v>
      </c>
      <c r="AB141" s="267" t="str">
        <f aca="false">[11]CurveList!D141</f>
        <v>Open</v>
      </c>
    </row>
    <row r="142" customFormat="false" ht="12.75" hidden="false" customHeight="false" outlineLevel="0" collapsed="false">
      <c r="B142" s="318"/>
      <c r="C142" s="318"/>
      <c r="D142" s="318"/>
      <c r="E142" s="318"/>
      <c r="F142" s="318"/>
      <c r="G142" s="318"/>
      <c r="S142" s="255" t="n">
        <f aca="false">S141+1</f>
        <v>129</v>
      </c>
      <c r="T142" s="287" t="n">
        <v>40695</v>
      </c>
      <c r="Z142" s="266" t="n">
        <f aca="false">[11]CurveList!B142</f>
        <v>138</v>
      </c>
      <c r="AA142" s="158" t="n">
        <f aca="false">[11]CurveList!C142</f>
        <v>0</v>
      </c>
      <c r="AB142" s="267" t="str">
        <f aca="false">[11]CurveList!D142</f>
        <v>Open</v>
      </c>
    </row>
    <row r="143" customFormat="false" ht="12.75" hidden="false" customHeight="false" outlineLevel="0" collapsed="false">
      <c r="B143" s="318"/>
      <c r="C143" s="318"/>
      <c r="D143" s="318"/>
      <c r="E143" s="318"/>
      <c r="F143" s="318"/>
      <c r="G143" s="318"/>
      <c r="S143" s="255" t="n">
        <f aca="false">S142+1</f>
        <v>130</v>
      </c>
      <c r="T143" s="287" t="n">
        <v>40725</v>
      </c>
      <c r="Z143" s="266" t="n">
        <f aca="false">[11]CurveList!B143</f>
        <v>139</v>
      </c>
      <c r="AA143" s="158" t="n">
        <f aca="false">[11]CurveList!C143</f>
        <v>0</v>
      </c>
      <c r="AB143" s="267" t="str">
        <f aca="false">[11]CurveList!D143</f>
        <v>Open</v>
      </c>
    </row>
    <row r="144" customFormat="false" ht="12.75" hidden="false" customHeight="false" outlineLevel="0" collapsed="false">
      <c r="B144" s="318"/>
      <c r="C144" s="318"/>
      <c r="D144" s="318"/>
      <c r="E144" s="318"/>
      <c r="F144" s="318"/>
      <c r="G144" s="318"/>
      <c r="S144" s="255" t="n">
        <f aca="false">S143+1</f>
        <v>131</v>
      </c>
      <c r="T144" s="287" t="n">
        <v>40756</v>
      </c>
      <c r="Z144" s="266" t="n">
        <f aca="false">[11]CurveList!B144</f>
        <v>140</v>
      </c>
      <c r="AA144" s="158" t="n">
        <f aca="false">[11]CurveList!C144</f>
        <v>0</v>
      </c>
      <c r="AB144" s="267" t="str">
        <f aca="false">[11]CurveList!D144</f>
        <v>Open</v>
      </c>
    </row>
    <row r="145" customFormat="false" ht="12.75" hidden="false" customHeight="false" outlineLevel="0" collapsed="false">
      <c r="B145" s="318"/>
      <c r="C145" s="318"/>
      <c r="D145" s="318"/>
      <c r="E145" s="318"/>
      <c r="F145" s="318"/>
      <c r="G145" s="318"/>
      <c r="S145" s="255" t="n">
        <f aca="false">S144+1</f>
        <v>132</v>
      </c>
      <c r="T145" s="287" t="n">
        <v>40787</v>
      </c>
      <c r="Z145" s="266" t="n">
        <f aca="false">[11]CurveList!B145</f>
        <v>141</v>
      </c>
      <c r="AA145" s="158" t="n">
        <f aca="false">[11]CurveList!C145</f>
        <v>0</v>
      </c>
      <c r="AB145" s="267" t="str">
        <f aca="false">[11]CurveList!D145</f>
        <v>Open</v>
      </c>
    </row>
    <row r="146" customFormat="false" ht="12.75" hidden="false" customHeight="false" outlineLevel="0" collapsed="false">
      <c r="B146" s="318"/>
      <c r="C146" s="318"/>
      <c r="D146" s="318"/>
      <c r="E146" s="318"/>
      <c r="F146" s="318"/>
      <c r="G146" s="318"/>
      <c r="S146" s="255" t="n">
        <f aca="false">S145+1</f>
        <v>133</v>
      </c>
      <c r="T146" s="287" t="n">
        <v>40817</v>
      </c>
      <c r="Z146" s="266" t="n">
        <f aca="false">[11]CurveList!B146</f>
        <v>142</v>
      </c>
      <c r="AA146" s="158" t="n">
        <f aca="false">[11]CurveList!C146</f>
        <v>0</v>
      </c>
      <c r="AB146" s="267" t="str">
        <f aca="false">[11]CurveList!D146</f>
        <v>Open</v>
      </c>
    </row>
    <row r="147" customFormat="false" ht="12.75" hidden="false" customHeight="false" outlineLevel="0" collapsed="false">
      <c r="B147" s="318"/>
      <c r="C147" s="318"/>
      <c r="D147" s="318"/>
      <c r="E147" s="318"/>
      <c r="F147" s="318"/>
      <c r="G147" s="318"/>
      <c r="S147" s="255" t="n">
        <f aca="false">S146+1</f>
        <v>134</v>
      </c>
      <c r="T147" s="287" t="n">
        <v>40848</v>
      </c>
      <c r="Z147" s="266" t="n">
        <f aca="false">[11]CurveList!B147</f>
        <v>143</v>
      </c>
      <c r="AA147" s="158" t="n">
        <f aca="false">[11]CurveList!C147</f>
        <v>0</v>
      </c>
      <c r="AB147" s="267" t="str">
        <f aca="false">[11]CurveList!D147</f>
        <v>Open</v>
      </c>
    </row>
    <row r="148" customFormat="false" ht="12.75" hidden="false" customHeight="false" outlineLevel="0" collapsed="false">
      <c r="B148" s="318"/>
      <c r="C148" s="318"/>
      <c r="D148" s="318"/>
      <c r="E148" s="318"/>
      <c r="F148" s="318"/>
      <c r="G148" s="318"/>
      <c r="S148" s="255" t="n">
        <f aca="false">S147+1</f>
        <v>135</v>
      </c>
      <c r="T148" s="287" t="n">
        <v>40878</v>
      </c>
      <c r="Z148" s="266" t="n">
        <f aca="false">[11]CurveList!B148</f>
        <v>144</v>
      </c>
      <c r="AA148" s="158" t="n">
        <f aca="false">[11]CurveList!C148</f>
        <v>0</v>
      </c>
      <c r="AB148" s="267" t="str">
        <f aca="false">[11]CurveList!D148</f>
        <v>Open</v>
      </c>
    </row>
    <row r="149" customFormat="false" ht="12.75" hidden="false" customHeight="false" outlineLevel="0" collapsed="false">
      <c r="B149" s="318"/>
      <c r="C149" s="318"/>
      <c r="D149" s="318"/>
      <c r="E149" s="318"/>
      <c r="F149" s="318"/>
      <c r="G149" s="318"/>
      <c r="S149" s="255" t="n">
        <f aca="false">S148+1</f>
        <v>136</v>
      </c>
      <c r="T149" s="287" t="n">
        <v>40909</v>
      </c>
      <c r="Z149" s="266" t="n">
        <f aca="false">[11]CurveList!B149</f>
        <v>145</v>
      </c>
      <c r="AA149" s="158" t="n">
        <f aca="false">[11]CurveList!C149</f>
        <v>0</v>
      </c>
      <c r="AB149" s="267" t="n">
        <f aca="false">[11]CurveList!D149</f>
        <v>0</v>
      </c>
    </row>
    <row r="150" customFormat="false" ht="12.75" hidden="false" customHeight="false" outlineLevel="0" collapsed="false">
      <c r="B150" s="318"/>
      <c r="C150" s="318"/>
      <c r="D150" s="318"/>
      <c r="E150" s="318"/>
      <c r="F150" s="318"/>
      <c r="G150" s="318"/>
      <c r="S150" s="255" t="n">
        <f aca="false">S149+1</f>
        <v>137</v>
      </c>
      <c r="T150" s="287" t="n">
        <v>40940</v>
      </c>
      <c r="Z150" s="266" t="n">
        <f aca="false">[11]CurveList!B150</f>
        <v>146</v>
      </c>
      <c r="AA150" s="158" t="n">
        <f aca="false">[11]CurveList!C150</f>
        <v>0</v>
      </c>
      <c r="AB150" s="267" t="n">
        <f aca="false">[11]CurveList!D150</f>
        <v>0</v>
      </c>
    </row>
    <row r="151" customFormat="false" ht="12.75" hidden="false" customHeight="false" outlineLevel="0" collapsed="false">
      <c r="B151" s="318"/>
      <c r="C151" s="318"/>
      <c r="D151" s="318"/>
      <c r="E151" s="318"/>
      <c r="F151" s="318"/>
      <c r="G151" s="318"/>
      <c r="S151" s="255" t="n">
        <f aca="false">S150+1</f>
        <v>138</v>
      </c>
      <c r="T151" s="287" t="n">
        <v>40969</v>
      </c>
      <c r="Z151" s="266" t="n">
        <f aca="false">[11]CurveList!B151</f>
        <v>147</v>
      </c>
      <c r="AA151" s="158" t="n">
        <f aca="false">[11]CurveList!C151</f>
        <v>0</v>
      </c>
      <c r="AB151" s="267" t="n">
        <f aca="false">[11]CurveList!D151</f>
        <v>0</v>
      </c>
    </row>
    <row r="152" customFormat="false" ht="12.75" hidden="false" customHeight="false" outlineLevel="0" collapsed="false">
      <c r="B152" s="318"/>
      <c r="C152" s="318"/>
      <c r="D152" s="318"/>
      <c r="E152" s="318"/>
      <c r="F152" s="318"/>
      <c r="G152" s="318"/>
      <c r="S152" s="255" t="n">
        <f aca="false">S151+1</f>
        <v>139</v>
      </c>
      <c r="T152" s="287" t="n">
        <v>41000</v>
      </c>
      <c r="Z152" s="266" t="n">
        <f aca="false">[11]CurveList!B152</f>
        <v>148</v>
      </c>
      <c r="AA152" s="158" t="n">
        <f aca="false">[11]CurveList!C152</f>
        <v>0</v>
      </c>
      <c r="AB152" s="267" t="n">
        <f aca="false">[11]CurveList!D152</f>
        <v>0</v>
      </c>
    </row>
    <row r="153" customFormat="false" ht="12.75" hidden="false" customHeight="false" outlineLevel="0" collapsed="false">
      <c r="B153" s="318"/>
      <c r="C153" s="318"/>
      <c r="D153" s="318"/>
      <c r="E153" s="318"/>
      <c r="F153" s="318"/>
      <c r="G153" s="318"/>
      <c r="S153" s="255" t="n">
        <f aca="false">S152+1</f>
        <v>140</v>
      </c>
      <c r="T153" s="287" t="n">
        <v>41030</v>
      </c>
      <c r="Z153" s="266" t="n">
        <f aca="false">[11]CurveList!B153</f>
        <v>149</v>
      </c>
      <c r="AA153" s="158" t="n">
        <f aca="false">[11]CurveList!C153</f>
        <v>0</v>
      </c>
      <c r="AB153" s="267" t="n">
        <f aca="false">[11]CurveList!D153</f>
        <v>0</v>
      </c>
    </row>
    <row r="154" customFormat="false" ht="12.75" hidden="false" customHeight="false" outlineLevel="0" collapsed="false">
      <c r="B154" s="318"/>
      <c r="C154" s="318"/>
      <c r="D154" s="318"/>
      <c r="E154" s="318"/>
      <c r="F154" s="318"/>
      <c r="G154" s="318"/>
      <c r="S154" s="255" t="n">
        <f aca="false">S153+1</f>
        <v>141</v>
      </c>
      <c r="T154" s="287" t="n">
        <v>41061</v>
      </c>
      <c r="Z154" s="266" t="n">
        <f aca="false">[11]CurveList!B154</f>
        <v>150</v>
      </c>
      <c r="AA154" s="158" t="n">
        <f aca="false">[11]CurveList!C154</f>
        <v>0</v>
      </c>
      <c r="AB154" s="267" t="n">
        <f aca="false">[11]CurveList!D154</f>
        <v>0</v>
      </c>
    </row>
    <row r="155" customFormat="false" ht="12.75" hidden="false" customHeight="false" outlineLevel="0" collapsed="false">
      <c r="B155" s="318"/>
      <c r="C155" s="318"/>
      <c r="D155" s="318"/>
      <c r="E155" s="318"/>
      <c r="F155" s="318"/>
      <c r="G155" s="318"/>
      <c r="S155" s="255" t="n">
        <f aca="false">S154+1</f>
        <v>142</v>
      </c>
      <c r="T155" s="287" t="n">
        <v>41091</v>
      </c>
      <c r="Z155" s="266" t="n">
        <f aca="false">[11]CurveList!B155</f>
        <v>151</v>
      </c>
      <c r="AA155" s="158" t="n">
        <f aca="false">[11]CurveList!C155</f>
        <v>0</v>
      </c>
      <c r="AB155" s="267" t="n">
        <f aca="false">[11]CurveList!D155</f>
        <v>0</v>
      </c>
    </row>
    <row r="156" customFormat="false" ht="12.75" hidden="false" customHeight="false" outlineLevel="0" collapsed="false">
      <c r="B156" s="318"/>
      <c r="C156" s="318"/>
      <c r="D156" s="318"/>
      <c r="E156" s="318"/>
      <c r="F156" s="318"/>
      <c r="G156" s="318"/>
      <c r="S156" s="255" t="n">
        <f aca="false">S155+1</f>
        <v>143</v>
      </c>
      <c r="T156" s="287" t="n">
        <v>41122</v>
      </c>
      <c r="Z156" s="266" t="n">
        <f aca="false">[11]CurveList!B156</f>
        <v>152</v>
      </c>
      <c r="AA156" s="158" t="n">
        <f aca="false">[11]CurveList!C156</f>
        <v>0</v>
      </c>
      <c r="AB156" s="267" t="n">
        <f aca="false">[11]CurveList!D156</f>
        <v>0</v>
      </c>
    </row>
    <row r="157" customFormat="false" ht="12.75" hidden="false" customHeight="false" outlineLevel="0" collapsed="false">
      <c r="B157" s="318"/>
      <c r="C157" s="318"/>
      <c r="D157" s="318"/>
      <c r="E157" s="318"/>
      <c r="F157" s="318"/>
      <c r="G157" s="318"/>
      <c r="S157" s="255" t="n">
        <f aca="false">S156+1</f>
        <v>144</v>
      </c>
      <c r="T157" s="287" t="n">
        <v>41153</v>
      </c>
      <c r="Z157" s="266" t="n">
        <f aca="false">[11]CurveList!B157</f>
        <v>153</v>
      </c>
      <c r="AA157" s="158" t="n">
        <f aca="false">[11]CurveList!C157</f>
        <v>0</v>
      </c>
      <c r="AB157" s="267" t="n">
        <f aca="false">[11]CurveList!D157</f>
        <v>0</v>
      </c>
    </row>
    <row r="158" customFormat="false" ht="12.75" hidden="false" customHeight="false" outlineLevel="0" collapsed="false">
      <c r="B158" s="318"/>
      <c r="C158" s="318"/>
      <c r="D158" s="318"/>
      <c r="E158" s="318"/>
      <c r="F158" s="318"/>
      <c r="G158" s="318"/>
      <c r="S158" s="255" t="n">
        <f aca="false">S157+1</f>
        <v>145</v>
      </c>
      <c r="T158" s="287" t="n">
        <v>41183</v>
      </c>
      <c r="Z158" s="266" t="n">
        <f aca="false">[11]CurveList!B158</f>
        <v>154</v>
      </c>
      <c r="AA158" s="158" t="n">
        <f aca="false">[11]CurveList!C158</f>
        <v>0</v>
      </c>
      <c r="AB158" s="267" t="n">
        <f aca="false">[11]CurveList!D158</f>
        <v>0</v>
      </c>
    </row>
    <row r="159" customFormat="false" ht="12.75" hidden="false" customHeight="false" outlineLevel="0" collapsed="false">
      <c r="B159" s="318"/>
      <c r="C159" s="318"/>
      <c r="D159" s="318"/>
      <c r="E159" s="318"/>
      <c r="F159" s="318"/>
      <c r="G159" s="318"/>
      <c r="S159" s="255" t="n">
        <f aca="false">S158+1</f>
        <v>146</v>
      </c>
      <c r="T159" s="287" t="n">
        <v>41214</v>
      </c>
      <c r="Z159" s="266" t="n">
        <f aca="false">[11]CurveList!B159</f>
        <v>155</v>
      </c>
      <c r="AA159" s="158" t="n">
        <f aca="false">[11]CurveList!C159</f>
        <v>0</v>
      </c>
      <c r="AB159" s="267" t="n">
        <f aca="false">[11]CurveList!D159</f>
        <v>0</v>
      </c>
    </row>
    <row r="160" customFormat="false" ht="12.75" hidden="false" customHeight="false" outlineLevel="0" collapsed="false">
      <c r="B160" s="318"/>
      <c r="C160" s="318"/>
      <c r="D160" s="318"/>
      <c r="E160" s="318"/>
      <c r="F160" s="318"/>
      <c r="G160" s="318"/>
      <c r="S160" s="255" t="n">
        <f aca="false">S159+1</f>
        <v>147</v>
      </c>
      <c r="T160" s="287" t="n">
        <v>41244</v>
      </c>
      <c r="Z160" s="266" t="n">
        <f aca="false">[11]CurveList!B160</f>
        <v>156</v>
      </c>
      <c r="AA160" s="158" t="n">
        <f aca="false">[11]CurveList!C160</f>
        <v>0</v>
      </c>
      <c r="AB160" s="267" t="n">
        <f aca="false">[11]CurveList!D160</f>
        <v>0</v>
      </c>
    </row>
    <row r="161" customFormat="false" ht="12.75" hidden="false" customHeight="false" outlineLevel="0" collapsed="false">
      <c r="B161" s="318"/>
      <c r="C161" s="318"/>
      <c r="D161" s="318"/>
      <c r="E161" s="318"/>
      <c r="F161" s="318"/>
      <c r="G161" s="318"/>
      <c r="S161" s="255" t="n">
        <f aca="false">S160+1</f>
        <v>148</v>
      </c>
      <c r="T161" s="287" t="n">
        <v>41275</v>
      </c>
      <c r="Z161" s="266" t="n">
        <f aca="false">[11]CurveList!B161</f>
        <v>157</v>
      </c>
      <c r="AA161" s="158" t="n">
        <f aca="false">[11]CurveList!C161</f>
        <v>0</v>
      </c>
      <c r="AB161" s="267" t="n">
        <f aca="false">[11]CurveList!D161</f>
        <v>0</v>
      </c>
    </row>
    <row r="162" customFormat="false" ht="12.75" hidden="false" customHeight="false" outlineLevel="0" collapsed="false">
      <c r="B162" s="318"/>
      <c r="C162" s="318"/>
      <c r="D162" s="318"/>
      <c r="E162" s="318"/>
      <c r="F162" s="318"/>
      <c r="G162" s="318"/>
      <c r="S162" s="255" t="n">
        <f aca="false">S161+1</f>
        <v>149</v>
      </c>
      <c r="T162" s="287" t="n">
        <v>41306</v>
      </c>
      <c r="Z162" s="266" t="n">
        <f aca="false">[11]CurveList!B162</f>
        <v>158</v>
      </c>
      <c r="AA162" s="158" t="n">
        <f aca="false">[11]CurveList!C162</f>
        <v>0</v>
      </c>
      <c r="AB162" s="267" t="n">
        <f aca="false">[11]CurveList!D162</f>
        <v>0</v>
      </c>
    </row>
    <row r="163" customFormat="false" ht="12.75" hidden="false" customHeight="false" outlineLevel="0" collapsed="false">
      <c r="B163" s="318"/>
      <c r="C163" s="318"/>
      <c r="D163" s="318"/>
      <c r="E163" s="318"/>
      <c r="F163" s="318"/>
      <c r="G163" s="318"/>
      <c r="S163" s="255" t="n">
        <f aca="false">S162+1</f>
        <v>150</v>
      </c>
      <c r="T163" s="287" t="n">
        <v>41334</v>
      </c>
      <c r="Z163" s="266" t="n">
        <f aca="false">[11]CurveList!B163</f>
        <v>159</v>
      </c>
      <c r="AA163" s="158" t="n">
        <f aca="false">[11]CurveList!C163</f>
        <v>0</v>
      </c>
      <c r="AB163" s="267" t="n">
        <f aca="false">[11]CurveList!D163</f>
        <v>0</v>
      </c>
    </row>
    <row r="164" customFormat="false" ht="12.75" hidden="false" customHeight="false" outlineLevel="0" collapsed="false">
      <c r="B164" s="318"/>
      <c r="C164" s="318"/>
      <c r="D164" s="318"/>
      <c r="E164" s="318"/>
      <c r="F164" s="318"/>
      <c r="G164" s="318"/>
      <c r="S164" s="255" t="n">
        <f aca="false">S163+1</f>
        <v>151</v>
      </c>
      <c r="T164" s="287" t="n">
        <v>41365</v>
      </c>
      <c r="Z164" s="266" t="n">
        <f aca="false">[11]CurveList!B164</f>
        <v>160</v>
      </c>
      <c r="AA164" s="158" t="n">
        <f aca="false">[11]CurveList!C164</f>
        <v>0</v>
      </c>
      <c r="AB164" s="267" t="n">
        <f aca="false">[11]CurveList!D164</f>
        <v>0</v>
      </c>
    </row>
    <row r="165" customFormat="false" ht="12.75" hidden="false" customHeight="false" outlineLevel="0" collapsed="false">
      <c r="B165" s="318"/>
      <c r="C165" s="318"/>
      <c r="D165" s="318"/>
      <c r="E165" s="318"/>
      <c r="F165" s="318"/>
      <c r="G165" s="318"/>
      <c r="S165" s="255" t="n">
        <f aca="false">S164+1</f>
        <v>152</v>
      </c>
      <c r="T165" s="287" t="n">
        <v>41395</v>
      </c>
      <c r="Z165" s="266" t="n">
        <f aca="false">[11]CurveList!B165</f>
        <v>161</v>
      </c>
      <c r="AA165" s="158" t="n">
        <f aca="false">[11]CurveList!C165</f>
        <v>0</v>
      </c>
      <c r="AB165" s="267" t="n">
        <f aca="false">[11]CurveList!D165</f>
        <v>0</v>
      </c>
    </row>
    <row r="166" customFormat="false" ht="12.75" hidden="false" customHeight="false" outlineLevel="0" collapsed="false">
      <c r="B166" s="318"/>
      <c r="C166" s="318"/>
      <c r="D166" s="318"/>
      <c r="E166" s="318"/>
      <c r="F166" s="318"/>
      <c r="G166" s="318"/>
      <c r="S166" s="255" t="n">
        <f aca="false">S165+1</f>
        <v>153</v>
      </c>
      <c r="T166" s="287" t="n">
        <v>41426</v>
      </c>
      <c r="Z166" s="266" t="n">
        <f aca="false">[11]CurveList!B166</f>
        <v>162</v>
      </c>
      <c r="AA166" s="158" t="n">
        <f aca="false">[11]CurveList!C166</f>
        <v>0</v>
      </c>
      <c r="AB166" s="267" t="n">
        <f aca="false">[11]CurveList!D166</f>
        <v>0</v>
      </c>
    </row>
    <row r="167" customFormat="false" ht="12.75" hidden="false" customHeight="false" outlineLevel="0" collapsed="false">
      <c r="B167" s="318"/>
      <c r="C167" s="318"/>
      <c r="D167" s="318"/>
      <c r="E167" s="318"/>
      <c r="F167" s="318"/>
      <c r="G167" s="318"/>
      <c r="S167" s="255" t="n">
        <f aca="false">S166+1</f>
        <v>154</v>
      </c>
      <c r="T167" s="287" t="n">
        <v>41456</v>
      </c>
      <c r="Z167" s="266" t="n">
        <f aca="false">[11]CurveList!B167</f>
        <v>163</v>
      </c>
      <c r="AA167" s="158" t="n">
        <f aca="false">[11]CurveList!C167</f>
        <v>0</v>
      </c>
      <c r="AB167" s="267" t="n">
        <f aca="false">[11]CurveList!D167</f>
        <v>0</v>
      </c>
    </row>
    <row r="168" customFormat="false" ht="12.75" hidden="false" customHeight="false" outlineLevel="0" collapsed="false">
      <c r="B168" s="318"/>
      <c r="C168" s="318"/>
      <c r="D168" s="318"/>
      <c r="E168" s="318"/>
      <c r="F168" s="318"/>
      <c r="G168" s="318"/>
      <c r="S168" s="255" t="n">
        <f aca="false">S167+1</f>
        <v>155</v>
      </c>
      <c r="T168" s="287" t="n">
        <v>41487</v>
      </c>
      <c r="Z168" s="266" t="n">
        <f aca="false">[11]CurveList!B168</f>
        <v>164</v>
      </c>
      <c r="AA168" s="158" t="n">
        <f aca="false">[11]CurveList!C168</f>
        <v>0</v>
      </c>
      <c r="AB168" s="267" t="n">
        <f aca="false">[11]CurveList!D168</f>
        <v>0</v>
      </c>
    </row>
    <row r="169" customFormat="false" ht="12.75" hidden="false" customHeight="false" outlineLevel="0" collapsed="false">
      <c r="B169" s="318"/>
      <c r="C169" s="318"/>
      <c r="D169" s="318"/>
      <c r="E169" s="318"/>
      <c r="F169" s="318"/>
      <c r="G169" s="318"/>
      <c r="S169" s="255" t="n">
        <f aca="false">S168+1</f>
        <v>156</v>
      </c>
      <c r="T169" s="287" t="n">
        <v>41518</v>
      </c>
      <c r="Z169" s="266" t="n">
        <f aca="false">[11]CurveList!B169</f>
        <v>165</v>
      </c>
      <c r="AA169" s="158" t="n">
        <f aca="false">[11]CurveList!C169</f>
        <v>0</v>
      </c>
      <c r="AB169" s="267" t="n">
        <f aca="false">[11]CurveList!D169</f>
        <v>0</v>
      </c>
    </row>
    <row r="170" customFormat="false" ht="12.75" hidden="false" customHeight="false" outlineLevel="0" collapsed="false">
      <c r="B170" s="318"/>
      <c r="C170" s="318"/>
      <c r="D170" s="318"/>
      <c r="E170" s="318"/>
      <c r="F170" s="318"/>
      <c r="G170" s="318"/>
      <c r="S170" s="255" t="n">
        <f aca="false">S169+1</f>
        <v>157</v>
      </c>
      <c r="T170" s="287" t="n">
        <v>41548</v>
      </c>
      <c r="Z170" s="266" t="n">
        <f aca="false">[11]CurveList!B170</f>
        <v>166</v>
      </c>
      <c r="AA170" s="158" t="n">
        <f aca="false">[11]CurveList!C170</f>
        <v>0</v>
      </c>
      <c r="AB170" s="267" t="n">
        <f aca="false">[11]CurveList!D170</f>
        <v>0</v>
      </c>
    </row>
    <row r="171" customFormat="false" ht="12.75" hidden="false" customHeight="false" outlineLevel="0" collapsed="false">
      <c r="B171" s="318"/>
      <c r="C171" s="318"/>
      <c r="D171" s="318"/>
      <c r="E171" s="318"/>
      <c r="F171" s="318"/>
      <c r="G171" s="318"/>
      <c r="S171" s="255" t="n">
        <f aca="false">S170+1</f>
        <v>158</v>
      </c>
      <c r="T171" s="287" t="n">
        <v>41579</v>
      </c>
      <c r="Z171" s="266" t="n">
        <f aca="false">[11]CurveList!B171</f>
        <v>167</v>
      </c>
      <c r="AA171" s="158" t="n">
        <f aca="false">[11]CurveList!C171</f>
        <v>0</v>
      </c>
      <c r="AB171" s="267" t="n">
        <f aca="false">[11]CurveList!D171</f>
        <v>0</v>
      </c>
    </row>
    <row r="172" customFormat="false" ht="12.75" hidden="false" customHeight="false" outlineLevel="0" collapsed="false">
      <c r="B172" s="318"/>
      <c r="C172" s="318"/>
      <c r="D172" s="318"/>
      <c r="E172" s="318"/>
      <c r="F172" s="318"/>
      <c r="G172" s="318"/>
      <c r="S172" s="255" t="n">
        <f aca="false">S171+1</f>
        <v>159</v>
      </c>
      <c r="T172" s="287" t="n">
        <v>41609</v>
      </c>
      <c r="Z172" s="266" t="n">
        <f aca="false">[11]CurveList!B172</f>
        <v>168</v>
      </c>
      <c r="AA172" s="158" t="n">
        <f aca="false">[11]CurveList!C172</f>
        <v>0</v>
      </c>
      <c r="AB172" s="267" t="n">
        <f aca="false">[11]CurveList!D172</f>
        <v>0</v>
      </c>
    </row>
    <row r="173" customFormat="false" ht="12.75" hidden="false" customHeight="false" outlineLevel="0" collapsed="false">
      <c r="B173" s="318"/>
      <c r="C173" s="318"/>
      <c r="D173" s="318"/>
      <c r="E173" s="318"/>
      <c r="F173" s="318"/>
      <c r="G173" s="318"/>
      <c r="S173" s="255" t="n">
        <f aca="false">S172+1</f>
        <v>160</v>
      </c>
      <c r="T173" s="287" t="n">
        <v>41640</v>
      </c>
      <c r="Z173" s="266" t="n">
        <f aca="false">[11]CurveList!B173</f>
        <v>169</v>
      </c>
      <c r="AA173" s="158" t="n">
        <f aca="false">[11]CurveList!C173</f>
        <v>0</v>
      </c>
      <c r="AB173" s="267" t="n">
        <f aca="false">[11]CurveList!D173</f>
        <v>0</v>
      </c>
    </row>
    <row r="174" customFormat="false" ht="12.75" hidden="false" customHeight="false" outlineLevel="0" collapsed="false">
      <c r="B174" s="318"/>
      <c r="C174" s="318"/>
      <c r="D174" s="318"/>
      <c r="E174" s="318"/>
      <c r="F174" s="318"/>
      <c r="G174" s="318"/>
      <c r="S174" s="255" t="n">
        <f aca="false">S173+1</f>
        <v>161</v>
      </c>
      <c r="T174" s="287" t="n">
        <v>41671</v>
      </c>
      <c r="Z174" s="266" t="n">
        <f aca="false">[11]CurveList!B174</f>
        <v>170</v>
      </c>
      <c r="AA174" s="158" t="n">
        <f aca="false">[11]CurveList!C174</f>
        <v>0</v>
      </c>
      <c r="AB174" s="267" t="n">
        <f aca="false">[11]CurveList!D174</f>
        <v>0</v>
      </c>
    </row>
    <row r="175" customFormat="false" ht="12.75" hidden="false" customHeight="false" outlineLevel="0" collapsed="false">
      <c r="B175" s="318"/>
      <c r="C175" s="318"/>
      <c r="D175" s="318"/>
      <c r="E175" s="318"/>
      <c r="F175" s="318"/>
      <c r="G175" s="318"/>
      <c r="S175" s="255" t="n">
        <f aca="false">S174+1</f>
        <v>162</v>
      </c>
      <c r="T175" s="287" t="n">
        <v>41699</v>
      </c>
      <c r="Z175" s="266" t="n">
        <f aca="false">[11]CurveList!B175</f>
        <v>171</v>
      </c>
      <c r="AA175" s="158" t="n">
        <f aca="false">[11]CurveList!C175</f>
        <v>0</v>
      </c>
      <c r="AB175" s="267" t="n">
        <f aca="false">[11]CurveList!D175</f>
        <v>0</v>
      </c>
    </row>
    <row r="176" customFormat="false" ht="12.75" hidden="false" customHeight="false" outlineLevel="0" collapsed="false">
      <c r="B176" s="318"/>
      <c r="C176" s="318"/>
      <c r="D176" s="318"/>
      <c r="E176" s="318"/>
      <c r="F176" s="318"/>
      <c r="G176" s="318"/>
      <c r="S176" s="255" t="n">
        <f aca="false">S175+1</f>
        <v>163</v>
      </c>
      <c r="T176" s="287" t="n">
        <v>41730</v>
      </c>
      <c r="Z176" s="266" t="n">
        <f aca="false">[11]CurveList!B176</f>
        <v>172</v>
      </c>
      <c r="AA176" s="158" t="n">
        <f aca="false">[11]CurveList!C176</f>
        <v>0</v>
      </c>
      <c r="AB176" s="267" t="n">
        <f aca="false">[11]CurveList!D176</f>
        <v>0</v>
      </c>
    </row>
    <row r="177" customFormat="false" ht="12.75" hidden="false" customHeight="false" outlineLevel="0" collapsed="false">
      <c r="B177" s="318"/>
      <c r="C177" s="318"/>
      <c r="D177" s="318"/>
      <c r="E177" s="318"/>
      <c r="F177" s="318"/>
      <c r="G177" s="318"/>
      <c r="S177" s="255" t="n">
        <f aca="false">S176+1</f>
        <v>164</v>
      </c>
      <c r="T177" s="287" t="n">
        <v>41760</v>
      </c>
      <c r="Z177" s="266" t="n">
        <f aca="false">[11]CurveList!B177</f>
        <v>173</v>
      </c>
      <c r="AA177" s="158" t="n">
        <f aca="false">[11]CurveList!C177</f>
        <v>0</v>
      </c>
      <c r="AB177" s="267" t="n">
        <f aca="false">[11]CurveList!D177</f>
        <v>0</v>
      </c>
    </row>
    <row r="178" customFormat="false" ht="12.75" hidden="false" customHeight="false" outlineLevel="0" collapsed="false">
      <c r="B178" s="318"/>
      <c r="C178" s="318"/>
      <c r="D178" s="318"/>
      <c r="E178" s="318"/>
      <c r="F178" s="318"/>
      <c r="G178" s="318"/>
      <c r="S178" s="255" t="n">
        <f aca="false">S177+1</f>
        <v>165</v>
      </c>
      <c r="T178" s="287" t="n">
        <v>41791</v>
      </c>
      <c r="Z178" s="266" t="n">
        <f aca="false">[11]CurveList!B178</f>
        <v>174</v>
      </c>
      <c r="AA178" s="158" t="n">
        <f aca="false">[11]CurveList!C178</f>
        <v>0</v>
      </c>
      <c r="AB178" s="267" t="n">
        <f aca="false">[11]CurveList!D178</f>
        <v>0</v>
      </c>
    </row>
    <row r="179" customFormat="false" ht="12.75" hidden="false" customHeight="false" outlineLevel="0" collapsed="false">
      <c r="B179" s="318"/>
      <c r="C179" s="318"/>
      <c r="D179" s="318"/>
      <c r="E179" s="318"/>
      <c r="F179" s="318"/>
      <c r="G179" s="318"/>
      <c r="S179" s="255" t="n">
        <f aca="false">S178+1</f>
        <v>166</v>
      </c>
      <c r="T179" s="287" t="n">
        <v>41821</v>
      </c>
      <c r="Z179" s="266" t="n">
        <f aca="false">[11]CurveList!B179</f>
        <v>175</v>
      </c>
      <c r="AA179" s="158" t="n">
        <f aca="false">[11]CurveList!C179</f>
        <v>0</v>
      </c>
      <c r="AB179" s="267" t="n">
        <f aca="false">[11]CurveList!D179</f>
        <v>0</v>
      </c>
    </row>
    <row r="180" customFormat="false" ht="12.75" hidden="false" customHeight="false" outlineLevel="0" collapsed="false">
      <c r="B180" s="318"/>
      <c r="C180" s="318"/>
      <c r="D180" s="318"/>
      <c r="E180" s="318"/>
      <c r="F180" s="318"/>
      <c r="G180" s="318"/>
      <c r="S180" s="255" t="n">
        <f aca="false">S179+1</f>
        <v>167</v>
      </c>
      <c r="T180" s="287" t="n">
        <v>41852</v>
      </c>
      <c r="Z180" s="266" t="n">
        <f aca="false">[11]CurveList!B180</f>
        <v>176</v>
      </c>
      <c r="AA180" s="158" t="n">
        <f aca="false">[11]CurveList!C180</f>
        <v>0</v>
      </c>
      <c r="AB180" s="267" t="n">
        <f aca="false">[11]CurveList!D180</f>
        <v>0</v>
      </c>
    </row>
    <row r="181" customFormat="false" ht="12.75" hidden="false" customHeight="false" outlineLevel="0" collapsed="false">
      <c r="B181" s="318"/>
      <c r="C181" s="318"/>
      <c r="D181" s="318"/>
      <c r="E181" s="318"/>
      <c r="F181" s="318"/>
      <c r="G181" s="318"/>
      <c r="S181" s="255" t="n">
        <f aca="false">S180+1</f>
        <v>168</v>
      </c>
      <c r="T181" s="287" t="n">
        <v>41883</v>
      </c>
      <c r="Z181" s="266" t="n">
        <f aca="false">[11]CurveList!B181</f>
        <v>177</v>
      </c>
      <c r="AA181" s="158" t="n">
        <f aca="false">[11]CurveList!C181</f>
        <v>0</v>
      </c>
      <c r="AB181" s="267" t="n">
        <f aca="false">[11]CurveList!D181</f>
        <v>0</v>
      </c>
    </row>
    <row r="182" customFormat="false" ht="12.75" hidden="false" customHeight="false" outlineLevel="0" collapsed="false">
      <c r="B182" s="318"/>
      <c r="C182" s="318"/>
      <c r="D182" s="318"/>
      <c r="E182" s="318"/>
      <c r="F182" s="318"/>
      <c r="G182" s="318"/>
      <c r="S182" s="255" t="n">
        <f aca="false">S181+1</f>
        <v>169</v>
      </c>
      <c r="T182" s="287" t="n">
        <v>41913</v>
      </c>
      <c r="Z182" s="266" t="n">
        <f aca="false">[11]CurveList!B182</f>
        <v>178</v>
      </c>
      <c r="AA182" s="158" t="n">
        <f aca="false">[11]CurveList!C182</f>
        <v>0</v>
      </c>
      <c r="AB182" s="267" t="n">
        <f aca="false">[11]CurveList!D182</f>
        <v>0</v>
      </c>
    </row>
    <row r="183" customFormat="false" ht="12.75" hidden="false" customHeight="false" outlineLevel="0" collapsed="false">
      <c r="B183" s="318"/>
      <c r="C183" s="318"/>
      <c r="D183" s="318"/>
      <c r="E183" s="318"/>
      <c r="F183" s="318"/>
      <c r="G183" s="318"/>
      <c r="S183" s="255" t="n">
        <f aca="false">S182+1</f>
        <v>170</v>
      </c>
      <c r="T183" s="287" t="n">
        <v>41944</v>
      </c>
      <c r="Z183" s="266" t="n">
        <f aca="false">[11]CurveList!B183</f>
        <v>179</v>
      </c>
      <c r="AA183" s="158" t="n">
        <f aca="false">[11]CurveList!C183</f>
        <v>0</v>
      </c>
      <c r="AB183" s="267" t="n">
        <f aca="false">[11]CurveList!D183</f>
        <v>0</v>
      </c>
    </row>
    <row r="184" customFormat="false" ht="12.75" hidden="false" customHeight="false" outlineLevel="0" collapsed="false">
      <c r="B184" s="318"/>
      <c r="C184" s="318"/>
      <c r="D184" s="318"/>
      <c r="E184" s="318"/>
      <c r="F184" s="318"/>
      <c r="G184" s="318"/>
      <c r="S184" s="255" t="n">
        <f aca="false">S183+1</f>
        <v>171</v>
      </c>
      <c r="T184" s="287" t="n">
        <v>41974</v>
      </c>
      <c r="Z184" s="266" t="n">
        <f aca="false">[11]CurveList!B184</f>
        <v>180</v>
      </c>
      <c r="AA184" s="158" t="n">
        <f aca="false">[11]CurveList!C184</f>
        <v>0</v>
      </c>
      <c r="AB184" s="267" t="n">
        <f aca="false">[11]CurveList!D184</f>
        <v>0</v>
      </c>
    </row>
    <row r="185" customFormat="false" ht="12.75" hidden="false" customHeight="false" outlineLevel="0" collapsed="false">
      <c r="B185" s="318"/>
      <c r="C185" s="318"/>
      <c r="D185" s="318"/>
      <c r="E185" s="318"/>
      <c r="F185" s="318"/>
      <c r="G185" s="318"/>
      <c r="S185" s="255" t="n">
        <f aca="false">S184+1</f>
        <v>172</v>
      </c>
      <c r="T185" s="287" t="n">
        <v>42005</v>
      </c>
      <c r="Z185" s="266" t="n">
        <f aca="false">[11]CurveList!B185</f>
        <v>181</v>
      </c>
      <c r="AA185" s="158" t="n">
        <f aca="false">[11]CurveList!C185</f>
        <v>0</v>
      </c>
      <c r="AB185" s="267" t="n">
        <f aca="false">[11]CurveList!D185</f>
        <v>0</v>
      </c>
    </row>
    <row r="186" customFormat="false" ht="12.75" hidden="false" customHeight="false" outlineLevel="0" collapsed="false">
      <c r="B186" s="318"/>
      <c r="C186" s="318"/>
      <c r="D186" s="318"/>
      <c r="E186" s="318"/>
      <c r="F186" s="318"/>
      <c r="G186" s="318"/>
      <c r="S186" s="255" t="n">
        <f aca="false">S185+1</f>
        <v>173</v>
      </c>
      <c r="T186" s="287" t="n">
        <v>42036</v>
      </c>
      <c r="Z186" s="266" t="n">
        <f aca="false">[11]CurveList!B186</f>
        <v>182</v>
      </c>
      <c r="AA186" s="158" t="n">
        <f aca="false">[11]CurveList!C186</f>
        <v>0</v>
      </c>
      <c r="AB186" s="267" t="n">
        <f aca="false">[11]CurveList!D186</f>
        <v>0</v>
      </c>
    </row>
    <row r="187" customFormat="false" ht="12.75" hidden="false" customHeight="false" outlineLevel="0" collapsed="false">
      <c r="B187" s="318"/>
      <c r="C187" s="318"/>
      <c r="D187" s="318"/>
      <c r="E187" s="318"/>
      <c r="F187" s="318"/>
      <c r="G187" s="318"/>
      <c r="S187" s="255" t="n">
        <f aca="false">S186+1</f>
        <v>174</v>
      </c>
      <c r="T187" s="287" t="n">
        <v>42064</v>
      </c>
      <c r="Z187" s="266" t="n">
        <f aca="false">[11]CurveList!B187</f>
        <v>183</v>
      </c>
      <c r="AA187" s="158" t="n">
        <f aca="false">[11]CurveList!C187</f>
        <v>0</v>
      </c>
      <c r="AB187" s="267" t="n">
        <f aca="false">[11]CurveList!D187</f>
        <v>0</v>
      </c>
    </row>
    <row r="188" customFormat="false" ht="12.75" hidden="false" customHeight="false" outlineLevel="0" collapsed="false">
      <c r="B188" s="318"/>
      <c r="C188" s="318"/>
      <c r="D188" s="318"/>
      <c r="E188" s="318"/>
      <c r="F188" s="318"/>
      <c r="G188" s="318"/>
      <c r="S188" s="255" t="n">
        <f aca="false">S187+1</f>
        <v>175</v>
      </c>
      <c r="T188" s="287" t="n">
        <v>42095</v>
      </c>
      <c r="Z188" s="266" t="n">
        <f aca="false">[11]CurveList!B188</f>
        <v>184</v>
      </c>
      <c r="AA188" s="158" t="n">
        <f aca="false">[11]CurveList!C188</f>
        <v>0</v>
      </c>
      <c r="AB188" s="267" t="n">
        <f aca="false">[11]CurveList!D188</f>
        <v>0</v>
      </c>
    </row>
    <row r="189" customFormat="false" ht="12.75" hidden="false" customHeight="false" outlineLevel="0" collapsed="false">
      <c r="B189" s="318"/>
      <c r="C189" s="318"/>
      <c r="D189" s="318"/>
      <c r="E189" s="318"/>
      <c r="F189" s="318"/>
      <c r="G189" s="318"/>
      <c r="S189" s="255" t="n">
        <f aca="false">S188+1</f>
        <v>176</v>
      </c>
      <c r="T189" s="287" t="n">
        <v>42125</v>
      </c>
      <c r="Z189" s="266" t="n">
        <f aca="false">[11]CurveList!B189</f>
        <v>185</v>
      </c>
      <c r="AA189" s="158" t="n">
        <f aca="false">[11]CurveList!C189</f>
        <v>0</v>
      </c>
      <c r="AB189" s="267" t="n">
        <f aca="false">[11]CurveList!D189</f>
        <v>0</v>
      </c>
    </row>
    <row r="190" customFormat="false" ht="12.75" hidden="false" customHeight="false" outlineLevel="0" collapsed="false">
      <c r="B190" s="318"/>
      <c r="C190" s="318"/>
      <c r="D190" s="318"/>
      <c r="E190" s="318"/>
      <c r="F190" s="318"/>
      <c r="G190" s="318"/>
      <c r="S190" s="255" t="n">
        <f aca="false">S189+1</f>
        <v>177</v>
      </c>
      <c r="T190" s="287" t="n">
        <v>42156</v>
      </c>
      <c r="Z190" s="266" t="n">
        <f aca="false">[11]CurveList!B190</f>
        <v>186</v>
      </c>
      <c r="AA190" s="158" t="n">
        <f aca="false">[11]CurveList!C190</f>
        <v>0</v>
      </c>
      <c r="AB190" s="267" t="n">
        <f aca="false">[11]CurveList!D190</f>
        <v>0</v>
      </c>
    </row>
    <row r="191" customFormat="false" ht="12.75" hidden="false" customHeight="false" outlineLevel="0" collapsed="false">
      <c r="B191" s="318"/>
      <c r="C191" s="318"/>
      <c r="D191" s="318"/>
      <c r="E191" s="318"/>
      <c r="F191" s="318"/>
      <c r="G191" s="318"/>
      <c r="S191" s="255" t="n">
        <f aca="false">S190+1</f>
        <v>178</v>
      </c>
      <c r="T191" s="287" t="n">
        <v>42186</v>
      </c>
      <c r="Z191" s="266" t="n">
        <f aca="false">[11]CurveList!B191</f>
        <v>187</v>
      </c>
      <c r="AA191" s="158" t="n">
        <f aca="false">[11]CurveList!C191</f>
        <v>0</v>
      </c>
      <c r="AB191" s="267" t="n">
        <f aca="false">[11]CurveList!D191</f>
        <v>0</v>
      </c>
    </row>
    <row r="192" customFormat="false" ht="12.75" hidden="false" customHeight="false" outlineLevel="0" collapsed="false">
      <c r="B192" s="318"/>
      <c r="C192" s="318"/>
      <c r="D192" s="318"/>
      <c r="E192" s="318"/>
      <c r="F192" s="318"/>
      <c r="G192" s="318"/>
      <c r="S192" s="255" t="n">
        <f aca="false">S191+1</f>
        <v>179</v>
      </c>
      <c r="T192" s="287" t="n">
        <v>42217</v>
      </c>
      <c r="Z192" s="266" t="n">
        <f aca="false">[11]CurveList!B192</f>
        <v>188</v>
      </c>
      <c r="AA192" s="158" t="n">
        <f aca="false">[11]CurveList!C192</f>
        <v>0</v>
      </c>
      <c r="AB192" s="267" t="n">
        <f aca="false">[11]CurveList!D192</f>
        <v>0</v>
      </c>
    </row>
    <row r="193" customFormat="false" ht="12.75" hidden="false" customHeight="false" outlineLevel="0" collapsed="false">
      <c r="B193" s="318"/>
      <c r="C193" s="318"/>
      <c r="D193" s="318"/>
      <c r="E193" s="318"/>
      <c r="F193" s="318"/>
      <c r="G193" s="318"/>
      <c r="S193" s="255" t="n">
        <f aca="false">S192+1</f>
        <v>180</v>
      </c>
      <c r="T193" s="287" t="n">
        <v>42248</v>
      </c>
      <c r="Z193" s="266" t="n">
        <f aca="false">[11]CurveList!B193</f>
        <v>189</v>
      </c>
      <c r="AA193" s="158" t="n">
        <f aca="false">[11]CurveList!C193</f>
        <v>0</v>
      </c>
      <c r="AB193" s="267" t="n">
        <f aca="false">[11]CurveList!D193</f>
        <v>0</v>
      </c>
    </row>
    <row r="194" customFormat="false" ht="12.75" hidden="false" customHeight="false" outlineLevel="0" collapsed="false">
      <c r="B194" s="318"/>
      <c r="C194" s="318"/>
      <c r="D194" s="318"/>
      <c r="E194" s="318"/>
      <c r="F194" s="318"/>
      <c r="G194" s="318"/>
      <c r="S194" s="255" t="n">
        <f aca="false">S193+1</f>
        <v>181</v>
      </c>
      <c r="T194" s="287" t="n">
        <v>42278</v>
      </c>
      <c r="Z194" s="266" t="n">
        <f aca="false">[11]CurveList!B194</f>
        <v>190</v>
      </c>
      <c r="AA194" s="158" t="n">
        <f aca="false">[11]CurveList!C194</f>
        <v>0</v>
      </c>
      <c r="AB194" s="267" t="n">
        <f aca="false">[11]CurveList!D194</f>
        <v>0</v>
      </c>
    </row>
    <row r="195" customFormat="false" ht="12.75" hidden="false" customHeight="false" outlineLevel="0" collapsed="false">
      <c r="B195" s="318"/>
      <c r="C195" s="318"/>
      <c r="D195" s="318"/>
      <c r="E195" s="318"/>
      <c r="F195" s="318"/>
      <c r="G195" s="318"/>
      <c r="S195" s="255" t="n">
        <f aca="false">S194+1</f>
        <v>182</v>
      </c>
      <c r="T195" s="287" t="n">
        <v>42309</v>
      </c>
      <c r="Z195" s="266" t="n">
        <f aca="false">[11]CurveList!B195</f>
        <v>191</v>
      </c>
      <c r="AA195" s="158" t="n">
        <f aca="false">[11]CurveList!C195</f>
        <v>0</v>
      </c>
      <c r="AB195" s="267" t="n">
        <f aca="false">[11]CurveList!D195</f>
        <v>0</v>
      </c>
    </row>
    <row r="196" customFormat="false" ht="12.75" hidden="false" customHeight="false" outlineLevel="0" collapsed="false">
      <c r="B196" s="318"/>
      <c r="C196" s="318"/>
      <c r="D196" s="318"/>
      <c r="E196" s="318"/>
      <c r="F196" s="318"/>
      <c r="G196" s="318"/>
      <c r="S196" s="255" t="n">
        <f aca="false">S195+1</f>
        <v>183</v>
      </c>
      <c r="T196" s="287" t="n">
        <v>42339</v>
      </c>
      <c r="Z196" s="266" t="n">
        <f aca="false">[11]CurveList!B196</f>
        <v>192</v>
      </c>
      <c r="AA196" s="158" t="n">
        <f aca="false">[11]CurveList!C196</f>
        <v>0</v>
      </c>
      <c r="AB196" s="267" t="n">
        <f aca="false">[11]CurveList!D196</f>
        <v>0</v>
      </c>
    </row>
    <row r="197" customFormat="false" ht="12.75" hidden="false" customHeight="false" outlineLevel="0" collapsed="false">
      <c r="B197" s="318"/>
      <c r="C197" s="318"/>
      <c r="D197" s="318"/>
      <c r="E197" s="318"/>
      <c r="F197" s="318"/>
      <c r="G197" s="318"/>
      <c r="S197" s="255" t="n">
        <f aca="false">S196+1</f>
        <v>184</v>
      </c>
      <c r="T197" s="287" t="n">
        <v>42370</v>
      </c>
      <c r="Z197" s="266" t="n">
        <f aca="false">[11]CurveList!B197</f>
        <v>193</v>
      </c>
      <c r="AA197" s="158" t="n">
        <f aca="false">[11]CurveList!C197</f>
        <v>0</v>
      </c>
      <c r="AB197" s="267" t="n">
        <f aca="false">[11]CurveList!D197</f>
        <v>0</v>
      </c>
    </row>
    <row r="198" customFormat="false" ht="12.75" hidden="false" customHeight="false" outlineLevel="0" collapsed="false">
      <c r="B198" s="318"/>
      <c r="C198" s="318"/>
      <c r="D198" s="318"/>
      <c r="E198" s="318"/>
      <c r="F198" s="318"/>
      <c r="G198" s="318"/>
      <c r="S198" s="255" t="n">
        <f aca="false">S197+1</f>
        <v>185</v>
      </c>
      <c r="T198" s="287" t="n">
        <v>42401</v>
      </c>
      <c r="Z198" s="266" t="n">
        <f aca="false">[11]CurveList!B198</f>
        <v>194</v>
      </c>
      <c r="AA198" s="158" t="n">
        <f aca="false">[11]CurveList!C198</f>
        <v>0</v>
      </c>
      <c r="AB198" s="267" t="n">
        <f aca="false">[11]CurveList!D198</f>
        <v>0</v>
      </c>
    </row>
    <row r="199" customFormat="false" ht="12.75" hidden="false" customHeight="false" outlineLevel="0" collapsed="false">
      <c r="B199" s="318"/>
      <c r="C199" s="318"/>
      <c r="D199" s="318"/>
      <c r="E199" s="318"/>
      <c r="F199" s="318"/>
      <c r="G199" s="318"/>
      <c r="S199" s="255" t="n">
        <f aca="false">S198+1</f>
        <v>186</v>
      </c>
      <c r="T199" s="287" t="n">
        <v>42430</v>
      </c>
      <c r="Z199" s="266" t="n">
        <f aca="false">[11]CurveList!B199</f>
        <v>195</v>
      </c>
      <c r="AA199" s="158" t="n">
        <f aca="false">[11]CurveList!C199</f>
        <v>0</v>
      </c>
      <c r="AB199" s="267" t="n">
        <f aca="false">[11]CurveList!D199</f>
        <v>0</v>
      </c>
    </row>
    <row r="200" customFormat="false" ht="12.75" hidden="false" customHeight="false" outlineLevel="0" collapsed="false">
      <c r="B200" s="318"/>
      <c r="C200" s="318"/>
      <c r="D200" s="318"/>
      <c r="E200" s="318"/>
      <c r="F200" s="318"/>
      <c r="G200" s="318"/>
      <c r="S200" s="255" t="n">
        <f aca="false">S199+1</f>
        <v>187</v>
      </c>
      <c r="T200" s="287" t="n">
        <v>42461</v>
      </c>
      <c r="Z200" s="266" t="n">
        <f aca="false">[11]CurveList!B200</f>
        <v>196</v>
      </c>
      <c r="AA200" s="158" t="n">
        <f aca="false">[11]CurveList!C200</f>
        <v>0</v>
      </c>
      <c r="AB200" s="267" t="n">
        <f aca="false">[11]CurveList!D200</f>
        <v>0</v>
      </c>
    </row>
    <row r="201" customFormat="false" ht="12.75" hidden="false" customHeight="false" outlineLevel="0" collapsed="false">
      <c r="B201" s="318"/>
      <c r="C201" s="318"/>
      <c r="D201" s="318"/>
      <c r="E201" s="318"/>
      <c r="F201" s="318"/>
      <c r="G201" s="318"/>
      <c r="S201" s="255" t="n">
        <f aca="false">S200+1</f>
        <v>188</v>
      </c>
      <c r="T201" s="287" t="n">
        <v>42491</v>
      </c>
      <c r="Z201" s="266" t="n">
        <f aca="false">[11]CurveList!B201</f>
        <v>197</v>
      </c>
      <c r="AA201" s="158" t="n">
        <f aca="false">[11]CurveList!C201</f>
        <v>0</v>
      </c>
      <c r="AB201" s="267" t="n">
        <f aca="false">[11]CurveList!D201</f>
        <v>0</v>
      </c>
    </row>
    <row r="202" customFormat="false" ht="12.75" hidden="false" customHeight="false" outlineLevel="0" collapsed="false">
      <c r="B202" s="318"/>
      <c r="C202" s="318"/>
      <c r="D202" s="318"/>
      <c r="E202" s="318"/>
      <c r="F202" s="318"/>
      <c r="G202" s="318"/>
      <c r="S202" s="255" t="n">
        <f aca="false">S201+1</f>
        <v>189</v>
      </c>
      <c r="T202" s="287" t="n">
        <v>42522</v>
      </c>
      <c r="Z202" s="266" t="n">
        <f aca="false">[11]CurveList!B202</f>
        <v>198</v>
      </c>
      <c r="AA202" s="158" t="n">
        <f aca="false">[11]CurveList!C202</f>
        <v>0</v>
      </c>
      <c r="AB202" s="267" t="n">
        <f aca="false">[11]CurveList!D202</f>
        <v>0</v>
      </c>
    </row>
    <row r="203" customFormat="false" ht="12.75" hidden="false" customHeight="false" outlineLevel="0" collapsed="false">
      <c r="B203" s="318"/>
      <c r="C203" s="318"/>
      <c r="D203" s="318"/>
      <c r="E203" s="318"/>
      <c r="F203" s="318"/>
      <c r="G203" s="318"/>
      <c r="S203" s="255" t="n">
        <f aca="false">S202+1</f>
        <v>190</v>
      </c>
      <c r="T203" s="287" t="n">
        <v>42552</v>
      </c>
      <c r="Z203" s="266" t="n">
        <f aca="false">[11]CurveList!B203</f>
        <v>199</v>
      </c>
      <c r="AA203" s="158" t="n">
        <f aca="false">[11]CurveList!C203</f>
        <v>0</v>
      </c>
      <c r="AB203" s="267" t="n">
        <f aca="false">[11]CurveList!D203</f>
        <v>0</v>
      </c>
    </row>
    <row r="204" customFormat="false" ht="12.75" hidden="false" customHeight="false" outlineLevel="0" collapsed="false">
      <c r="B204" s="318"/>
      <c r="C204" s="318"/>
      <c r="D204" s="318"/>
      <c r="E204" s="318"/>
      <c r="F204" s="318"/>
      <c r="G204" s="318"/>
      <c r="S204" s="255" t="n">
        <f aca="false">S203+1</f>
        <v>191</v>
      </c>
      <c r="T204" s="287" t="n">
        <v>42583</v>
      </c>
      <c r="Z204" s="266" t="n">
        <f aca="false">[11]CurveList!B204</f>
        <v>200</v>
      </c>
      <c r="AA204" s="158" t="n">
        <f aca="false">[11]CurveList!C204</f>
        <v>0</v>
      </c>
      <c r="AB204" s="267" t="n">
        <f aca="false">[11]CurveList!D204</f>
        <v>0</v>
      </c>
    </row>
    <row r="205" customFormat="false" ht="12.75" hidden="false" customHeight="false" outlineLevel="0" collapsed="false">
      <c r="B205" s="318"/>
      <c r="C205" s="318"/>
      <c r="D205" s="318"/>
      <c r="E205" s="318"/>
      <c r="F205" s="318"/>
      <c r="G205" s="318"/>
      <c r="S205" s="255" t="n">
        <f aca="false">S204+1</f>
        <v>192</v>
      </c>
      <c r="T205" s="287" t="n">
        <v>42614</v>
      </c>
      <c r="Z205" s="266" t="n">
        <f aca="false">[11]CurveList!B205</f>
        <v>201</v>
      </c>
      <c r="AA205" s="158" t="n">
        <f aca="false">[11]CurveList!C205</f>
        <v>0</v>
      </c>
      <c r="AB205" s="267" t="n">
        <f aca="false">[11]CurveList!D205</f>
        <v>0</v>
      </c>
    </row>
    <row r="206" customFormat="false" ht="12.75" hidden="false" customHeight="false" outlineLevel="0" collapsed="false">
      <c r="B206" s="318"/>
      <c r="C206" s="318"/>
      <c r="D206" s="318"/>
      <c r="E206" s="318"/>
      <c r="F206" s="318"/>
      <c r="G206" s="318"/>
      <c r="S206" s="255" t="n">
        <f aca="false">S205+1</f>
        <v>193</v>
      </c>
      <c r="T206" s="287" t="n">
        <v>42644</v>
      </c>
      <c r="Z206" s="266" t="n">
        <f aca="false">[11]CurveList!B206</f>
        <v>202</v>
      </c>
      <c r="AA206" s="158" t="n">
        <f aca="false">[11]CurveList!C206</f>
        <v>0</v>
      </c>
      <c r="AB206" s="267" t="n">
        <f aca="false">[11]CurveList!D206</f>
        <v>0</v>
      </c>
    </row>
    <row r="207" customFormat="false" ht="12.75" hidden="false" customHeight="false" outlineLevel="0" collapsed="false">
      <c r="B207" s="318"/>
      <c r="C207" s="318"/>
      <c r="D207" s="318"/>
      <c r="E207" s="318"/>
      <c r="F207" s="318"/>
      <c r="G207" s="318"/>
      <c r="S207" s="255" t="n">
        <f aca="false">S206+1</f>
        <v>194</v>
      </c>
      <c r="T207" s="287" t="n">
        <v>42675</v>
      </c>
      <c r="Z207" s="266" t="n">
        <f aca="false">[11]CurveList!B207</f>
        <v>203</v>
      </c>
      <c r="AA207" s="158" t="n">
        <f aca="false">[11]CurveList!C207</f>
        <v>0</v>
      </c>
      <c r="AB207" s="267" t="n">
        <f aca="false">[11]CurveList!D207</f>
        <v>0</v>
      </c>
    </row>
    <row r="208" customFormat="false" ht="12.75" hidden="false" customHeight="false" outlineLevel="0" collapsed="false">
      <c r="B208" s="318"/>
      <c r="C208" s="318"/>
      <c r="D208" s="318"/>
      <c r="E208" s="318"/>
      <c r="F208" s="318"/>
      <c r="G208" s="318"/>
      <c r="S208" s="255" t="n">
        <f aca="false">S207+1</f>
        <v>195</v>
      </c>
      <c r="T208" s="287" t="n">
        <v>42705</v>
      </c>
      <c r="Z208" s="266" t="n">
        <f aca="false">[11]CurveList!B208</f>
        <v>204</v>
      </c>
      <c r="AA208" s="158" t="n">
        <f aca="false">[11]CurveList!C208</f>
        <v>0</v>
      </c>
      <c r="AB208" s="267" t="n">
        <f aca="false">[11]CurveList!D208</f>
        <v>0</v>
      </c>
    </row>
    <row r="209" customFormat="false" ht="12.75" hidden="false" customHeight="false" outlineLevel="0" collapsed="false">
      <c r="B209" s="318"/>
      <c r="C209" s="318"/>
      <c r="D209" s="318"/>
      <c r="E209" s="318"/>
      <c r="F209" s="318"/>
      <c r="G209" s="318"/>
      <c r="S209" s="255" t="n">
        <f aca="false">S208+1</f>
        <v>196</v>
      </c>
      <c r="T209" s="287" t="n">
        <v>42736</v>
      </c>
      <c r="Z209" s="266" t="n">
        <f aca="false">[11]CurveList!B209</f>
        <v>205</v>
      </c>
      <c r="AA209" s="158" t="n">
        <f aca="false">[11]CurveList!C209</f>
        <v>0</v>
      </c>
      <c r="AB209" s="267" t="n">
        <f aca="false">[11]CurveList!D209</f>
        <v>0</v>
      </c>
    </row>
    <row r="210" customFormat="false" ht="12.75" hidden="false" customHeight="false" outlineLevel="0" collapsed="false">
      <c r="B210" s="318"/>
      <c r="C210" s="318"/>
      <c r="D210" s="318"/>
      <c r="E210" s="318"/>
      <c r="F210" s="318"/>
      <c r="G210" s="318"/>
      <c r="S210" s="255" t="n">
        <f aca="false">S209+1</f>
        <v>197</v>
      </c>
      <c r="T210" s="287" t="n">
        <v>42767</v>
      </c>
      <c r="Z210" s="266" t="n">
        <f aca="false">[11]CurveList!B210</f>
        <v>206</v>
      </c>
      <c r="AA210" s="158" t="n">
        <f aca="false">[11]CurveList!C210</f>
        <v>0</v>
      </c>
      <c r="AB210" s="267" t="n">
        <f aca="false">[11]CurveList!D210</f>
        <v>0</v>
      </c>
    </row>
    <row r="211" customFormat="false" ht="12.75" hidden="false" customHeight="false" outlineLevel="0" collapsed="false">
      <c r="B211" s="318"/>
      <c r="C211" s="318"/>
      <c r="D211" s="318"/>
      <c r="E211" s="318"/>
      <c r="F211" s="318"/>
      <c r="G211" s="318"/>
      <c r="S211" s="255" t="n">
        <f aca="false">S210+1</f>
        <v>198</v>
      </c>
      <c r="T211" s="287" t="n">
        <v>42795</v>
      </c>
      <c r="Z211" s="266" t="n">
        <f aca="false">[11]CurveList!B211</f>
        <v>207</v>
      </c>
      <c r="AA211" s="158" t="n">
        <f aca="false">[11]CurveList!C211</f>
        <v>0</v>
      </c>
      <c r="AB211" s="267" t="n">
        <f aca="false">[11]CurveList!D211</f>
        <v>0</v>
      </c>
    </row>
    <row r="212" customFormat="false" ht="12.75" hidden="false" customHeight="false" outlineLevel="0" collapsed="false">
      <c r="B212" s="318"/>
      <c r="C212" s="318"/>
      <c r="D212" s="318"/>
      <c r="E212" s="318"/>
      <c r="F212" s="318"/>
      <c r="G212" s="318"/>
      <c r="S212" s="255" t="n">
        <f aca="false">S211+1</f>
        <v>199</v>
      </c>
      <c r="T212" s="287" t="n">
        <v>42826</v>
      </c>
      <c r="Z212" s="266" t="n">
        <f aca="false">[11]CurveList!B212</f>
        <v>208</v>
      </c>
      <c r="AA212" s="158" t="n">
        <f aca="false">[11]CurveList!C212</f>
        <v>0</v>
      </c>
      <c r="AB212" s="267" t="n">
        <f aca="false">[11]CurveList!D212</f>
        <v>0</v>
      </c>
    </row>
    <row r="213" customFormat="false" ht="12.75" hidden="false" customHeight="false" outlineLevel="0" collapsed="false">
      <c r="B213" s="318"/>
      <c r="C213" s="318"/>
      <c r="D213" s="318"/>
      <c r="E213" s="318"/>
      <c r="F213" s="318"/>
      <c r="G213" s="318"/>
      <c r="S213" s="255" t="n">
        <f aca="false">S212+1</f>
        <v>200</v>
      </c>
      <c r="T213" s="287" t="n">
        <v>42856</v>
      </c>
      <c r="Z213" s="266" t="n">
        <f aca="false">[11]CurveList!B213</f>
        <v>209</v>
      </c>
      <c r="AA213" s="158" t="n">
        <f aca="false">[11]CurveList!C213</f>
        <v>0</v>
      </c>
      <c r="AB213" s="267" t="n">
        <f aca="false">[11]CurveList!D213</f>
        <v>0</v>
      </c>
    </row>
    <row r="214" customFormat="false" ht="12.75" hidden="false" customHeight="false" outlineLevel="0" collapsed="false">
      <c r="B214" s="318"/>
      <c r="C214" s="318"/>
      <c r="D214" s="318"/>
      <c r="E214" s="318"/>
      <c r="F214" s="318"/>
      <c r="G214" s="318"/>
      <c r="S214" s="255" t="n">
        <f aca="false">S213+1</f>
        <v>201</v>
      </c>
      <c r="T214" s="287" t="n">
        <v>42887</v>
      </c>
      <c r="Z214" s="266" t="n">
        <f aca="false">[11]CurveList!B214</f>
        <v>210</v>
      </c>
      <c r="AA214" s="158" t="n">
        <f aca="false">[11]CurveList!C214</f>
        <v>0</v>
      </c>
      <c r="AB214" s="267" t="n">
        <f aca="false">[11]CurveList!D214</f>
        <v>0</v>
      </c>
    </row>
    <row r="215" customFormat="false" ht="12.75" hidden="false" customHeight="false" outlineLevel="0" collapsed="false">
      <c r="B215" s="318"/>
      <c r="C215" s="318"/>
      <c r="D215" s="318"/>
      <c r="E215" s="318"/>
      <c r="F215" s="318"/>
      <c r="G215" s="318"/>
      <c r="S215" s="255" t="n">
        <f aca="false">S214+1</f>
        <v>202</v>
      </c>
      <c r="T215" s="287" t="n">
        <v>42917</v>
      </c>
      <c r="Z215" s="266" t="n">
        <f aca="false">[11]CurveList!B215</f>
        <v>211</v>
      </c>
      <c r="AA215" s="158" t="n">
        <f aca="false">[11]CurveList!C215</f>
        <v>0</v>
      </c>
      <c r="AB215" s="267" t="n">
        <f aca="false">[11]CurveList!D215</f>
        <v>0</v>
      </c>
    </row>
    <row r="216" customFormat="false" ht="12.75" hidden="false" customHeight="false" outlineLevel="0" collapsed="false">
      <c r="B216" s="318"/>
      <c r="C216" s="318"/>
      <c r="D216" s="318"/>
      <c r="E216" s="318"/>
      <c r="F216" s="318"/>
      <c r="G216" s="318"/>
      <c r="S216" s="255" t="n">
        <f aca="false">S215+1</f>
        <v>203</v>
      </c>
      <c r="T216" s="287" t="n">
        <v>42948</v>
      </c>
      <c r="Z216" s="266" t="n">
        <f aca="false">[11]CurveList!B216</f>
        <v>212</v>
      </c>
      <c r="AA216" s="158" t="n">
        <f aca="false">[11]CurveList!C216</f>
        <v>0</v>
      </c>
      <c r="AB216" s="267" t="n">
        <f aca="false">[11]CurveList!D216</f>
        <v>0</v>
      </c>
    </row>
    <row r="217" customFormat="false" ht="12.75" hidden="false" customHeight="false" outlineLevel="0" collapsed="false">
      <c r="B217" s="318"/>
      <c r="C217" s="318"/>
      <c r="D217" s="318"/>
      <c r="E217" s="318"/>
      <c r="F217" s="318"/>
      <c r="G217" s="318"/>
      <c r="S217" s="255" t="n">
        <f aca="false">S216+1</f>
        <v>204</v>
      </c>
      <c r="T217" s="287" t="n">
        <v>42979</v>
      </c>
      <c r="Z217" s="266" t="n">
        <f aca="false">[11]CurveList!B217</f>
        <v>213</v>
      </c>
      <c r="AA217" s="158" t="n">
        <f aca="false">[11]CurveList!C217</f>
        <v>0</v>
      </c>
      <c r="AB217" s="267" t="n">
        <f aca="false">[11]CurveList!D217</f>
        <v>0</v>
      </c>
    </row>
    <row r="218" customFormat="false" ht="12.75" hidden="false" customHeight="false" outlineLevel="0" collapsed="false">
      <c r="B218" s="318"/>
      <c r="C218" s="318"/>
      <c r="D218" s="318"/>
      <c r="E218" s="318"/>
      <c r="F218" s="318"/>
      <c r="G218" s="318"/>
      <c r="S218" s="255" t="n">
        <f aca="false">S217+1</f>
        <v>205</v>
      </c>
      <c r="T218" s="287" t="n">
        <v>43009</v>
      </c>
      <c r="Z218" s="266" t="n">
        <f aca="false">[11]CurveList!B218</f>
        <v>214</v>
      </c>
      <c r="AA218" s="158" t="n">
        <f aca="false">[11]CurveList!C218</f>
        <v>0</v>
      </c>
      <c r="AB218" s="267" t="n">
        <f aca="false">[11]CurveList!D218</f>
        <v>0</v>
      </c>
    </row>
    <row r="219" customFormat="false" ht="12.75" hidden="false" customHeight="false" outlineLevel="0" collapsed="false">
      <c r="B219" s="318"/>
      <c r="C219" s="318"/>
      <c r="D219" s="318"/>
      <c r="E219" s="318"/>
      <c r="F219" s="318"/>
      <c r="G219" s="318"/>
      <c r="S219" s="255" t="n">
        <f aca="false">S218+1</f>
        <v>206</v>
      </c>
      <c r="T219" s="287" t="n">
        <v>43040</v>
      </c>
      <c r="Z219" s="266" t="n">
        <f aca="false">[11]CurveList!B219</f>
        <v>215</v>
      </c>
      <c r="AA219" s="158" t="n">
        <f aca="false">[11]CurveList!C219</f>
        <v>0</v>
      </c>
      <c r="AB219" s="267" t="n">
        <f aca="false">[11]CurveList!D219</f>
        <v>0</v>
      </c>
    </row>
    <row r="220" customFormat="false" ht="12.75" hidden="false" customHeight="false" outlineLevel="0" collapsed="false">
      <c r="B220" s="318"/>
      <c r="C220" s="318"/>
      <c r="D220" s="318"/>
      <c r="E220" s="318"/>
      <c r="F220" s="318"/>
      <c r="G220" s="318"/>
      <c r="S220" s="255" t="n">
        <f aca="false">S219+1</f>
        <v>207</v>
      </c>
      <c r="T220" s="287" t="n">
        <v>43070</v>
      </c>
      <c r="Z220" s="266" t="n">
        <f aca="false">[11]CurveList!B220</f>
        <v>216</v>
      </c>
      <c r="AA220" s="158" t="n">
        <f aca="false">[11]CurveList!C220</f>
        <v>0</v>
      </c>
      <c r="AB220" s="267" t="n">
        <f aca="false">[11]CurveList!D220</f>
        <v>0</v>
      </c>
    </row>
    <row r="221" customFormat="false" ht="12.75" hidden="false" customHeight="false" outlineLevel="0" collapsed="false">
      <c r="B221" s="318"/>
      <c r="C221" s="318"/>
      <c r="D221" s="318"/>
      <c r="E221" s="318"/>
      <c r="F221" s="318"/>
      <c r="G221" s="318"/>
      <c r="S221" s="255" t="n">
        <f aca="false">S220+1</f>
        <v>208</v>
      </c>
      <c r="T221" s="287" t="n">
        <v>43101</v>
      </c>
      <c r="Z221" s="266" t="n">
        <f aca="false">[11]CurveList!B221</f>
        <v>217</v>
      </c>
      <c r="AA221" s="158" t="n">
        <f aca="false">[11]CurveList!C221</f>
        <v>0</v>
      </c>
      <c r="AB221" s="267" t="n">
        <f aca="false">[11]CurveList!D221</f>
        <v>0</v>
      </c>
    </row>
    <row r="222" customFormat="false" ht="12.75" hidden="false" customHeight="false" outlineLevel="0" collapsed="false">
      <c r="B222" s="318"/>
      <c r="C222" s="318"/>
      <c r="D222" s="318"/>
      <c r="E222" s="318"/>
      <c r="F222" s="318"/>
      <c r="G222" s="318"/>
      <c r="S222" s="255" t="n">
        <f aca="false">S221+1</f>
        <v>209</v>
      </c>
      <c r="T222" s="287" t="n">
        <v>43132</v>
      </c>
      <c r="Z222" s="266" t="n">
        <f aca="false">[11]CurveList!B222</f>
        <v>218</v>
      </c>
      <c r="AA222" s="158" t="n">
        <f aca="false">[11]CurveList!C222</f>
        <v>0</v>
      </c>
      <c r="AB222" s="267" t="n">
        <f aca="false">[11]CurveList!D222</f>
        <v>0</v>
      </c>
    </row>
    <row r="223" customFormat="false" ht="12.75" hidden="false" customHeight="false" outlineLevel="0" collapsed="false">
      <c r="B223" s="318"/>
      <c r="C223" s="318"/>
      <c r="D223" s="318"/>
      <c r="E223" s="318"/>
      <c r="F223" s="318"/>
      <c r="G223" s="318"/>
      <c r="S223" s="255" t="n">
        <f aca="false">S222+1</f>
        <v>210</v>
      </c>
      <c r="T223" s="287" t="n">
        <v>43160</v>
      </c>
      <c r="Z223" s="266" t="n">
        <f aca="false">[11]CurveList!B223</f>
        <v>219</v>
      </c>
      <c r="AA223" s="158" t="n">
        <f aca="false">[11]CurveList!C223</f>
        <v>0</v>
      </c>
      <c r="AB223" s="267" t="n">
        <f aca="false">[11]CurveList!D223</f>
        <v>0</v>
      </c>
    </row>
    <row r="224" customFormat="false" ht="12.75" hidden="false" customHeight="false" outlineLevel="0" collapsed="false">
      <c r="B224" s="318"/>
      <c r="C224" s="318"/>
      <c r="D224" s="318"/>
      <c r="E224" s="318"/>
      <c r="F224" s="318"/>
      <c r="G224" s="318"/>
      <c r="S224" s="255" t="n">
        <f aca="false">S223+1</f>
        <v>211</v>
      </c>
      <c r="T224" s="287" t="n">
        <v>43191</v>
      </c>
      <c r="Z224" s="266" t="n">
        <f aca="false">[11]CurveList!B224</f>
        <v>220</v>
      </c>
      <c r="AA224" s="158" t="n">
        <f aca="false">[11]CurveList!C224</f>
        <v>0</v>
      </c>
      <c r="AB224" s="267" t="n">
        <f aca="false">[11]CurveList!D224</f>
        <v>0</v>
      </c>
    </row>
    <row r="225" customFormat="false" ht="12.75" hidden="false" customHeight="false" outlineLevel="0" collapsed="false">
      <c r="B225" s="318"/>
      <c r="C225" s="318"/>
      <c r="D225" s="318"/>
      <c r="E225" s="318"/>
      <c r="F225" s="318"/>
      <c r="G225" s="318"/>
      <c r="S225" s="255" t="n">
        <f aca="false">S224+1</f>
        <v>212</v>
      </c>
      <c r="T225" s="287" t="n">
        <v>43221</v>
      </c>
      <c r="Z225" s="266" t="n">
        <f aca="false">[11]CurveList!B225</f>
        <v>221</v>
      </c>
      <c r="AA225" s="158" t="n">
        <f aca="false">[11]CurveList!C225</f>
        <v>0</v>
      </c>
      <c r="AB225" s="267" t="n">
        <f aca="false">[11]CurveList!D225</f>
        <v>0</v>
      </c>
    </row>
    <row r="226" customFormat="false" ht="12.75" hidden="false" customHeight="false" outlineLevel="0" collapsed="false">
      <c r="B226" s="318"/>
      <c r="C226" s="318"/>
      <c r="D226" s="318"/>
      <c r="E226" s="318"/>
      <c r="F226" s="318"/>
      <c r="G226" s="318"/>
      <c r="S226" s="255" t="n">
        <f aca="false">S225+1</f>
        <v>213</v>
      </c>
      <c r="T226" s="287" t="n">
        <v>43252</v>
      </c>
      <c r="Z226" s="266" t="n">
        <f aca="false">[11]CurveList!B226</f>
        <v>222</v>
      </c>
      <c r="AA226" s="158" t="n">
        <f aca="false">[11]CurveList!C226</f>
        <v>0</v>
      </c>
      <c r="AB226" s="267" t="n">
        <f aca="false">[11]CurveList!D226</f>
        <v>0</v>
      </c>
    </row>
    <row r="227" customFormat="false" ht="12.75" hidden="false" customHeight="false" outlineLevel="0" collapsed="false">
      <c r="B227" s="318"/>
      <c r="C227" s="318"/>
      <c r="D227" s="318"/>
      <c r="E227" s="318"/>
      <c r="F227" s="318"/>
      <c r="G227" s="318"/>
      <c r="S227" s="255" t="n">
        <f aca="false">S226+1</f>
        <v>214</v>
      </c>
      <c r="T227" s="287" t="n">
        <v>43282</v>
      </c>
      <c r="Z227" s="266" t="n">
        <f aca="false">[11]CurveList!B227</f>
        <v>223</v>
      </c>
      <c r="AA227" s="158" t="n">
        <f aca="false">[11]CurveList!C227</f>
        <v>0</v>
      </c>
      <c r="AB227" s="267" t="n">
        <f aca="false">[11]CurveList!D227</f>
        <v>0</v>
      </c>
    </row>
    <row r="228" customFormat="false" ht="12.75" hidden="false" customHeight="false" outlineLevel="0" collapsed="false">
      <c r="B228" s="318"/>
      <c r="C228" s="318"/>
      <c r="D228" s="318"/>
      <c r="E228" s="318"/>
      <c r="F228" s="318"/>
      <c r="G228" s="318"/>
      <c r="S228" s="255" t="n">
        <f aca="false">S227+1</f>
        <v>215</v>
      </c>
      <c r="T228" s="287" t="n">
        <v>43313</v>
      </c>
      <c r="Z228" s="266" t="n">
        <f aca="false">[11]CurveList!B228</f>
        <v>224</v>
      </c>
      <c r="AA228" s="158" t="n">
        <f aca="false">[11]CurveList!C228</f>
        <v>0</v>
      </c>
      <c r="AB228" s="267" t="n">
        <f aca="false">[11]CurveList!D228</f>
        <v>0</v>
      </c>
    </row>
    <row r="229" customFormat="false" ht="12.75" hidden="false" customHeight="false" outlineLevel="0" collapsed="false">
      <c r="S229" s="255" t="n">
        <f aca="false">S228+1</f>
        <v>216</v>
      </c>
      <c r="T229" s="287" t="n">
        <v>43344</v>
      </c>
      <c r="Z229" s="266" t="n">
        <f aca="false">[11]CurveList!B229</f>
        <v>225</v>
      </c>
      <c r="AA229" s="158" t="n">
        <f aca="false">[11]CurveList!C229</f>
        <v>0</v>
      </c>
      <c r="AB229" s="267" t="n">
        <f aca="false">[11]CurveList!D229</f>
        <v>0</v>
      </c>
    </row>
    <row r="230" customFormat="false" ht="12.75" hidden="false" customHeight="false" outlineLevel="0" collapsed="false">
      <c r="S230" s="255" t="n">
        <f aca="false">S229+1</f>
        <v>217</v>
      </c>
      <c r="T230" s="287" t="n">
        <v>43374</v>
      </c>
      <c r="Z230" s="266" t="n">
        <f aca="false">[11]CurveList!B230</f>
        <v>226</v>
      </c>
      <c r="AA230" s="158" t="n">
        <f aca="false">[11]CurveList!C230</f>
        <v>0</v>
      </c>
      <c r="AB230" s="267" t="n">
        <f aca="false">[11]CurveList!D230</f>
        <v>0</v>
      </c>
    </row>
    <row r="231" customFormat="false" ht="12.75" hidden="false" customHeight="false" outlineLevel="0" collapsed="false">
      <c r="S231" s="255" t="n">
        <f aca="false">S230+1</f>
        <v>218</v>
      </c>
      <c r="T231" s="287" t="n">
        <v>43405</v>
      </c>
      <c r="Z231" s="266" t="n">
        <f aca="false">[11]CurveList!B231</f>
        <v>227</v>
      </c>
      <c r="AA231" s="158" t="n">
        <f aca="false">[11]CurveList!C231</f>
        <v>0</v>
      </c>
      <c r="AB231" s="267" t="n">
        <f aca="false">[11]CurveList!D231</f>
        <v>0</v>
      </c>
    </row>
    <row r="232" customFormat="false" ht="12.75" hidden="false" customHeight="false" outlineLevel="0" collapsed="false">
      <c r="S232" s="255" t="n">
        <f aca="false">S231+1</f>
        <v>219</v>
      </c>
      <c r="T232" s="287" t="n">
        <v>43435</v>
      </c>
      <c r="Z232" s="266" t="n">
        <f aca="false">[11]CurveList!B232</f>
        <v>228</v>
      </c>
      <c r="AA232" s="158" t="n">
        <f aca="false">[11]CurveList!C232</f>
        <v>0</v>
      </c>
      <c r="AB232" s="267" t="n">
        <f aca="false">[11]CurveList!D232</f>
        <v>0</v>
      </c>
    </row>
    <row r="233" customFormat="false" ht="12.75" hidden="false" customHeight="false" outlineLevel="0" collapsed="false">
      <c r="S233" s="255" t="n">
        <f aca="false">S232+1</f>
        <v>220</v>
      </c>
      <c r="T233" s="287" t="n">
        <v>43466</v>
      </c>
      <c r="Z233" s="266" t="n">
        <f aca="false">[11]CurveList!B233</f>
        <v>229</v>
      </c>
      <c r="AA233" s="158" t="n">
        <f aca="false">[11]CurveList!C233</f>
        <v>0</v>
      </c>
      <c r="AB233" s="267" t="n">
        <f aca="false">[11]CurveList!D233</f>
        <v>0</v>
      </c>
    </row>
    <row r="234" customFormat="false" ht="12.75" hidden="false" customHeight="false" outlineLevel="0" collapsed="false">
      <c r="S234" s="255" t="n">
        <f aca="false">S233+1</f>
        <v>221</v>
      </c>
      <c r="T234" s="287" t="n">
        <v>43497</v>
      </c>
      <c r="Z234" s="266" t="n">
        <f aca="false">[11]CurveList!B234</f>
        <v>230</v>
      </c>
      <c r="AA234" s="158" t="n">
        <f aca="false">[11]CurveList!C234</f>
        <v>0</v>
      </c>
      <c r="AB234" s="267" t="n">
        <f aca="false">[11]CurveList!D234</f>
        <v>0</v>
      </c>
    </row>
    <row r="235" customFormat="false" ht="12.75" hidden="false" customHeight="false" outlineLevel="0" collapsed="false">
      <c r="S235" s="255" t="n">
        <f aca="false">S234+1</f>
        <v>222</v>
      </c>
      <c r="T235" s="287" t="n">
        <v>43525</v>
      </c>
      <c r="Z235" s="266" t="n">
        <f aca="false">[11]CurveList!B235</f>
        <v>231</v>
      </c>
      <c r="AA235" s="158" t="n">
        <f aca="false">[11]CurveList!C235</f>
        <v>0</v>
      </c>
      <c r="AB235" s="267" t="n">
        <f aca="false">[11]CurveList!D235</f>
        <v>0</v>
      </c>
    </row>
    <row r="236" customFormat="false" ht="12.75" hidden="false" customHeight="false" outlineLevel="0" collapsed="false">
      <c r="S236" s="255" t="n">
        <f aca="false">S235+1</f>
        <v>223</v>
      </c>
      <c r="T236" s="287" t="n">
        <v>43556</v>
      </c>
      <c r="Z236" s="266" t="n">
        <f aca="false">[11]CurveList!B236</f>
        <v>232</v>
      </c>
      <c r="AA236" s="158" t="n">
        <f aca="false">[11]CurveList!C236</f>
        <v>0</v>
      </c>
      <c r="AB236" s="267" t="n">
        <f aca="false">[11]CurveList!D236</f>
        <v>0</v>
      </c>
    </row>
    <row r="237" customFormat="false" ht="12.75" hidden="false" customHeight="false" outlineLevel="0" collapsed="false">
      <c r="S237" s="255" t="n">
        <f aca="false">S236+1</f>
        <v>224</v>
      </c>
      <c r="T237" s="287" t="n">
        <v>43586</v>
      </c>
      <c r="Z237" s="266" t="n">
        <f aca="false">[11]CurveList!B237</f>
        <v>233</v>
      </c>
      <c r="AA237" s="158" t="n">
        <f aca="false">[11]CurveList!C237</f>
        <v>0</v>
      </c>
      <c r="AB237" s="267" t="n">
        <f aca="false">[11]CurveList!D237</f>
        <v>0</v>
      </c>
    </row>
    <row r="238" customFormat="false" ht="12.75" hidden="false" customHeight="false" outlineLevel="0" collapsed="false">
      <c r="S238" s="255" t="n">
        <f aca="false">S237+1</f>
        <v>225</v>
      </c>
      <c r="T238" s="287" t="n">
        <v>43617</v>
      </c>
      <c r="Z238" s="266" t="n">
        <f aca="false">[11]CurveList!B238</f>
        <v>234</v>
      </c>
      <c r="AA238" s="158" t="n">
        <f aca="false">[11]CurveList!C238</f>
        <v>0</v>
      </c>
      <c r="AB238" s="267" t="n">
        <f aca="false">[11]CurveList!D238</f>
        <v>0</v>
      </c>
    </row>
    <row r="239" customFormat="false" ht="12.75" hidden="false" customHeight="false" outlineLevel="0" collapsed="false">
      <c r="S239" s="255" t="n">
        <f aca="false">S238+1</f>
        <v>226</v>
      </c>
      <c r="T239" s="287" t="n">
        <v>43647</v>
      </c>
      <c r="Z239" s="266" t="n">
        <f aca="false">[11]CurveList!B239</f>
        <v>235</v>
      </c>
      <c r="AA239" s="158" t="n">
        <f aca="false">[11]CurveList!C239</f>
        <v>0</v>
      </c>
      <c r="AB239" s="267" t="n">
        <f aca="false">[11]CurveList!D239</f>
        <v>0</v>
      </c>
    </row>
    <row r="240" customFormat="false" ht="12.75" hidden="false" customHeight="false" outlineLevel="0" collapsed="false">
      <c r="S240" s="255" t="n">
        <f aca="false">S239+1</f>
        <v>227</v>
      </c>
      <c r="T240" s="287" t="n">
        <v>43678</v>
      </c>
      <c r="Z240" s="266" t="n">
        <f aca="false">[11]CurveList!B240</f>
        <v>236</v>
      </c>
      <c r="AA240" s="158" t="n">
        <f aca="false">[11]CurveList!C240</f>
        <v>0</v>
      </c>
      <c r="AB240" s="267" t="n">
        <f aca="false">[11]CurveList!D240</f>
        <v>0</v>
      </c>
    </row>
    <row r="241" customFormat="false" ht="12.75" hidden="false" customHeight="false" outlineLevel="0" collapsed="false">
      <c r="S241" s="255" t="n">
        <f aca="false">S240+1</f>
        <v>228</v>
      </c>
      <c r="T241" s="287" t="n">
        <v>43709</v>
      </c>
      <c r="Z241" s="266" t="n">
        <f aca="false">[11]CurveList!B241</f>
        <v>237</v>
      </c>
      <c r="AA241" s="158" t="n">
        <f aca="false">[11]CurveList!C241</f>
        <v>0</v>
      </c>
      <c r="AB241" s="267" t="n">
        <f aca="false">[11]CurveList!D241</f>
        <v>0</v>
      </c>
    </row>
    <row r="242" customFormat="false" ht="12.75" hidden="false" customHeight="false" outlineLevel="0" collapsed="false">
      <c r="S242" s="255" t="n">
        <f aca="false">S241+1</f>
        <v>229</v>
      </c>
      <c r="T242" s="287" t="n">
        <v>43739</v>
      </c>
      <c r="Z242" s="266" t="n">
        <f aca="false">[11]CurveList!B242</f>
        <v>238</v>
      </c>
      <c r="AA242" s="158" t="n">
        <f aca="false">[11]CurveList!C242</f>
        <v>0</v>
      </c>
      <c r="AB242" s="267" t="n">
        <f aca="false">[11]CurveList!D242</f>
        <v>0</v>
      </c>
    </row>
    <row r="243" customFormat="false" ht="12.75" hidden="false" customHeight="false" outlineLevel="0" collapsed="false">
      <c r="S243" s="255" t="n">
        <f aca="false">S242+1</f>
        <v>230</v>
      </c>
      <c r="T243" s="287" t="n">
        <v>43770</v>
      </c>
      <c r="Z243" s="266" t="n">
        <f aca="false">[11]CurveList!B243</f>
        <v>239</v>
      </c>
      <c r="AA243" s="158" t="n">
        <f aca="false">[11]CurveList!C243</f>
        <v>0</v>
      </c>
      <c r="AB243" s="267" t="n">
        <f aca="false">[11]CurveList!D243</f>
        <v>0</v>
      </c>
    </row>
    <row r="244" customFormat="false" ht="12.75" hidden="false" customHeight="false" outlineLevel="0" collapsed="false">
      <c r="S244" s="255" t="n">
        <f aca="false">S243+1</f>
        <v>231</v>
      </c>
      <c r="T244" s="287" t="n">
        <v>43800</v>
      </c>
      <c r="Z244" s="266" t="n">
        <f aca="false">[11]CurveList!B244</f>
        <v>240</v>
      </c>
      <c r="AA244" s="158" t="n">
        <f aca="false">[11]CurveList!C244</f>
        <v>0</v>
      </c>
      <c r="AB244" s="267" t="n">
        <f aca="false">[11]CurveList!D244</f>
        <v>0</v>
      </c>
    </row>
    <row r="245" customFormat="false" ht="12.75" hidden="false" customHeight="false" outlineLevel="0" collapsed="false">
      <c r="S245" s="255" t="n">
        <f aca="false">S244+1</f>
        <v>232</v>
      </c>
      <c r="T245" s="287" t="n">
        <v>43831</v>
      </c>
      <c r="Z245" s="266" t="n">
        <f aca="false">[11]CurveList!B245</f>
        <v>241</v>
      </c>
      <c r="AA245" s="158" t="n">
        <f aca="false">[11]CurveList!C245</f>
        <v>0</v>
      </c>
      <c r="AB245" s="267" t="n">
        <f aca="false">[11]CurveList!D245</f>
        <v>0</v>
      </c>
    </row>
    <row r="246" customFormat="false" ht="12.75" hidden="false" customHeight="false" outlineLevel="0" collapsed="false">
      <c r="S246" s="255" t="n">
        <f aca="false">S245+1</f>
        <v>233</v>
      </c>
      <c r="T246" s="287" t="n">
        <v>43862</v>
      </c>
      <c r="Z246" s="266" t="n">
        <f aca="false">[11]CurveList!B246</f>
        <v>242</v>
      </c>
      <c r="AA246" s="158" t="n">
        <f aca="false">[11]CurveList!C246</f>
        <v>0</v>
      </c>
      <c r="AB246" s="267" t="n">
        <f aca="false">[11]CurveList!D246</f>
        <v>0</v>
      </c>
    </row>
    <row r="247" customFormat="false" ht="12.75" hidden="false" customHeight="false" outlineLevel="0" collapsed="false">
      <c r="S247" s="255" t="n">
        <f aca="false">S246+1</f>
        <v>234</v>
      </c>
      <c r="T247" s="287" t="n">
        <v>43891</v>
      </c>
      <c r="Z247" s="266" t="n">
        <f aca="false">[11]CurveList!B247</f>
        <v>243</v>
      </c>
      <c r="AA247" s="158" t="n">
        <f aca="false">[11]CurveList!C247</f>
        <v>0</v>
      </c>
      <c r="AB247" s="267" t="n">
        <f aca="false">[11]CurveList!D247</f>
        <v>0</v>
      </c>
    </row>
    <row r="248" customFormat="false" ht="12.75" hidden="false" customHeight="false" outlineLevel="0" collapsed="false">
      <c r="S248" s="255" t="n">
        <f aca="false">S247+1</f>
        <v>235</v>
      </c>
      <c r="T248" s="287" t="n">
        <v>43922</v>
      </c>
      <c r="Z248" s="266" t="n">
        <f aca="false">[11]CurveList!B248</f>
        <v>244</v>
      </c>
      <c r="AA248" s="158" t="n">
        <f aca="false">[11]CurveList!C248</f>
        <v>0</v>
      </c>
      <c r="AB248" s="267" t="n">
        <f aca="false">[11]CurveList!D248</f>
        <v>0</v>
      </c>
    </row>
    <row r="249" customFormat="false" ht="12.75" hidden="false" customHeight="false" outlineLevel="0" collapsed="false">
      <c r="S249" s="255" t="n">
        <f aca="false">S248+1</f>
        <v>236</v>
      </c>
      <c r="T249" s="287" t="n">
        <v>43952</v>
      </c>
      <c r="Z249" s="266" t="n">
        <f aca="false">[11]CurveList!B249</f>
        <v>245</v>
      </c>
      <c r="AA249" s="158" t="n">
        <f aca="false">[11]CurveList!C249</f>
        <v>0</v>
      </c>
      <c r="AB249" s="267" t="n">
        <f aca="false">[11]CurveList!D249</f>
        <v>0</v>
      </c>
    </row>
    <row r="250" customFormat="false" ht="12.75" hidden="false" customHeight="false" outlineLevel="0" collapsed="false">
      <c r="S250" s="255" t="n">
        <f aca="false">S249+1</f>
        <v>237</v>
      </c>
      <c r="T250" s="287" t="n">
        <v>43983</v>
      </c>
      <c r="Z250" s="266" t="n">
        <f aca="false">[11]CurveList!B250</f>
        <v>246</v>
      </c>
      <c r="AA250" s="158" t="n">
        <f aca="false">[11]CurveList!C250</f>
        <v>0</v>
      </c>
      <c r="AB250" s="267" t="n">
        <f aca="false">[11]CurveList!D250</f>
        <v>0</v>
      </c>
    </row>
    <row r="251" customFormat="false" ht="12.75" hidden="false" customHeight="false" outlineLevel="0" collapsed="false">
      <c r="S251" s="255" t="n">
        <f aca="false">S250+1</f>
        <v>238</v>
      </c>
      <c r="T251" s="287" t="n">
        <v>44013</v>
      </c>
      <c r="Z251" s="266" t="n">
        <f aca="false">[11]CurveList!B251</f>
        <v>247</v>
      </c>
      <c r="AA251" s="158" t="n">
        <f aca="false">[11]CurveList!C251</f>
        <v>0</v>
      </c>
      <c r="AB251" s="267" t="n">
        <f aca="false">[11]CurveList!D251</f>
        <v>0</v>
      </c>
    </row>
    <row r="252" customFormat="false" ht="12.75" hidden="false" customHeight="false" outlineLevel="0" collapsed="false">
      <c r="S252" s="255" t="n">
        <f aca="false">S251+1</f>
        <v>239</v>
      </c>
      <c r="T252" s="287" t="n">
        <v>44044</v>
      </c>
      <c r="Z252" s="266" t="n">
        <f aca="false">[11]CurveList!B252</f>
        <v>248</v>
      </c>
      <c r="AA252" s="158" t="n">
        <f aca="false">[11]CurveList!C252</f>
        <v>0</v>
      </c>
      <c r="AB252" s="267" t="n">
        <f aca="false">[11]CurveList!D252</f>
        <v>0</v>
      </c>
    </row>
    <row r="253" customFormat="false" ht="12.75" hidden="false" customHeight="false" outlineLevel="0" collapsed="false">
      <c r="S253" s="255" t="n">
        <f aca="false">S252+1</f>
        <v>240</v>
      </c>
      <c r="T253" s="287" t="n">
        <v>44075</v>
      </c>
      <c r="Z253" s="266" t="n">
        <f aca="false">[11]CurveList!B253</f>
        <v>249</v>
      </c>
      <c r="AA253" s="158" t="n">
        <f aca="false">[11]CurveList!C253</f>
        <v>0</v>
      </c>
      <c r="AB253" s="267" t="n">
        <f aca="false">[11]CurveList!D253</f>
        <v>0</v>
      </c>
    </row>
    <row r="254" customFormat="false" ht="12.75" hidden="false" customHeight="false" outlineLevel="0" collapsed="false">
      <c r="S254" s="255" t="n">
        <f aca="false">S253+1</f>
        <v>241</v>
      </c>
      <c r="T254" s="287" t="n">
        <v>44105</v>
      </c>
      <c r="Z254" s="266" t="n">
        <f aca="false">[11]CurveList!B254</f>
        <v>250</v>
      </c>
      <c r="AA254" s="158" t="n">
        <f aca="false">[11]CurveList!C254</f>
        <v>0</v>
      </c>
      <c r="AB254" s="267" t="n">
        <f aca="false">[11]CurveList!D254</f>
        <v>0</v>
      </c>
    </row>
    <row r="255" customFormat="false" ht="12.75" hidden="false" customHeight="false" outlineLevel="0" collapsed="false">
      <c r="S255" s="255" t="n">
        <f aca="false">S254+1</f>
        <v>242</v>
      </c>
      <c r="T255" s="287" t="n">
        <v>44136</v>
      </c>
      <c r="Z255" s="266" t="n">
        <f aca="false">[11]CurveList!B255</f>
        <v>251</v>
      </c>
      <c r="AA255" s="158" t="n">
        <f aca="false">[11]CurveList!C255</f>
        <v>0</v>
      </c>
      <c r="AB255" s="267" t="n">
        <f aca="false">[11]CurveList!D255</f>
        <v>0</v>
      </c>
    </row>
    <row r="256" customFormat="false" ht="12.75" hidden="false" customHeight="false" outlineLevel="0" collapsed="false">
      <c r="S256" s="255" t="n">
        <f aca="false">S255+1</f>
        <v>243</v>
      </c>
      <c r="T256" s="287" t="n">
        <v>44166</v>
      </c>
      <c r="Z256" s="266" t="n">
        <f aca="false">[11]CurveList!B256</f>
        <v>252</v>
      </c>
      <c r="AA256" s="158" t="n">
        <f aca="false">[11]CurveList!C256</f>
        <v>0</v>
      </c>
      <c r="AB256" s="267" t="n">
        <f aca="false">[11]CurveList!D256</f>
        <v>0</v>
      </c>
    </row>
    <row r="257" customFormat="false" ht="12.75" hidden="false" customHeight="false" outlineLevel="0" collapsed="false">
      <c r="S257" s="255" t="n">
        <f aca="false">S256+1</f>
        <v>244</v>
      </c>
      <c r="T257" s="287" t="n">
        <v>44197</v>
      </c>
      <c r="Z257" s="266" t="n">
        <f aca="false">[11]CurveList!B257</f>
        <v>253</v>
      </c>
      <c r="AA257" s="158" t="n">
        <f aca="false">[11]CurveList!C257</f>
        <v>0</v>
      </c>
      <c r="AB257" s="267" t="n">
        <f aca="false">[11]CurveList!D257</f>
        <v>0</v>
      </c>
    </row>
    <row r="258" customFormat="false" ht="12.75" hidden="false" customHeight="false" outlineLevel="0" collapsed="false">
      <c r="S258" s="255" t="n">
        <f aca="false">S257+1</f>
        <v>245</v>
      </c>
      <c r="T258" s="287" t="n">
        <v>44228</v>
      </c>
      <c r="Z258" s="266" t="n">
        <f aca="false">[11]CurveList!B258</f>
        <v>254</v>
      </c>
      <c r="AA258" s="158" t="n">
        <f aca="false">[11]CurveList!C258</f>
        <v>0</v>
      </c>
      <c r="AB258" s="267" t="n">
        <f aca="false">[11]CurveList!D258</f>
        <v>0</v>
      </c>
    </row>
    <row r="259" customFormat="false" ht="12.75" hidden="false" customHeight="false" outlineLevel="0" collapsed="false">
      <c r="S259" s="255" t="n">
        <f aca="false">S258+1</f>
        <v>246</v>
      </c>
      <c r="T259" s="287" t="n">
        <v>44256</v>
      </c>
      <c r="Z259" s="266" t="n">
        <f aca="false">[11]CurveList!B259</f>
        <v>255</v>
      </c>
      <c r="AA259" s="158" t="n">
        <f aca="false">[11]CurveList!C259</f>
        <v>0</v>
      </c>
      <c r="AB259" s="267" t="n">
        <f aca="false">[11]CurveList!D259</f>
        <v>0</v>
      </c>
    </row>
    <row r="260" customFormat="false" ht="12.75" hidden="false" customHeight="false" outlineLevel="0" collapsed="false">
      <c r="S260" s="255" t="n">
        <f aca="false">S259+1</f>
        <v>247</v>
      </c>
      <c r="T260" s="287" t="n">
        <v>44287</v>
      </c>
      <c r="Z260" s="266" t="n">
        <f aca="false">[11]CurveList!B260</f>
        <v>256</v>
      </c>
      <c r="AA260" s="158" t="n">
        <f aca="false">[11]CurveList!C260</f>
        <v>0</v>
      </c>
      <c r="AB260" s="267" t="n">
        <f aca="false">[11]CurveList!D260</f>
        <v>0</v>
      </c>
    </row>
    <row r="261" customFormat="false" ht="12.75" hidden="false" customHeight="false" outlineLevel="0" collapsed="false">
      <c r="S261" s="255" t="n">
        <f aca="false">S260+1</f>
        <v>248</v>
      </c>
      <c r="T261" s="287" t="n">
        <v>44317</v>
      </c>
      <c r="Z261" s="266" t="n">
        <f aca="false">[11]CurveList!B261</f>
        <v>257</v>
      </c>
      <c r="AA261" s="158" t="n">
        <f aca="false">[11]CurveList!C261</f>
        <v>0</v>
      </c>
      <c r="AB261" s="267" t="n">
        <f aca="false">[11]CurveList!D261</f>
        <v>0</v>
      </c>
    </row>
    <row r="262" customFormat="false" ht="12.75" hidden="false" customHeight="false" outlineLevel="0" collapsed="false">
      <c r="S262" s="255" t="n">
        <f aca="false">S261+1</f>
        <v>249</v>
      </c>
      <c r="T262" s="287" t="n">
        <v>44348</v>
      </c>
      <c r="Z262" s="266" t="n">
        <f aca="false">[11]CurveList!B262</f>
        <v>258</v>
      </c>
      <c r="AA262" s="158" t="n">
        <f aca="false">[11]CurveList!C262</f>
        <v>0</v>
      </c>
      <c r="AB262" s="267" t="n">
        <f aca="false">[11]CurveList!D262</f>
        <v>0</v>
      </c>
    </row>
    <row r="263" customFormat="false" ht="12.75" hidden="false" customHeight="false" outlineLevel="0" collapsed="false">
      <c r="S263" s="255" t="n">
        <f aca="false">S262+1</f>
        <v>250</v>
      </c>
      <c r="T263" s="287" t="n">
        <v>44378</v>
      </c>
      <c r="Z263" s="266" t="n">
        <f aca="false">[11]CurveList!B263</f>
        <v>259</v>
      </c>
      <c r="AA263" s="158" t="n">
        <f aca="false">[11]CurveList!C263</f>
        <v>0</v>
      </c>
      <c r="AB263" s="267" t="n">
        <f aca="false">[11]CurveList!D263</f>
        <v>0</v>
      </c>
    </row>
    <row r="264" customFormat="false" ht="12.75" hidden="false" customHeight="false" outlineLevel="0" collapsed="false">
      <c r="S264" s="255" t="n">
        <f aca="false">S263+1</f>
        <v>251</v>
      </c>
      <c r="T264" s="287" t="n">
        <v>44409</v>
      </c>
      <c r="Z264" s="266" t="n">
        <f aca="false">[11]CurveList!B264</f>
        <v>260</v>
      </c>
      <c r="AA264" s="158" t="n">
        <f aca="false">[11]CurveList!C264</f>
        <v>0</v>
      </c>
      <c r="AB264" s="267" t="n">
        <f aca="false">[11]CurveList!D264</f>
        <v>0</v>
      </c>
    </row>
    <row r="265" customFormat="false" ht="12.75" hidden="false" customHeight="false" outlineLevel="0" collapsed="false">
      <c r="S265" s="255" t="n">
        <f aca="false">S264+1</f>
        <v>252</v>
      </c>
      <c r="T265" s="287" t="n">
        <v>44440</v>
      </c>
      <c r="Z265" s="266" t="n">
        <f aca="false">[11]CurveList!B265</f>
        <v>261</v>
      </c>
      <c r="AA265" s="158" t="n">
        <f aca="false">[11]CurveList!C265</f>
        <v>0</v>
      </c>
      <c r="AB265" s="267" t="n">
        <f aca="false">[11]CurveList!D265</f>
        <v>0</v>
      </c>
    </row>
    <row r="266" customFormat="false" ht="12.75" hidden="false" customHeight="false" outlineLevel="0" collapsed="false">
      <c r="S266" s="255" t="n">
        <f aca="false">S265+1</f>
        <v>253</v>
      </c>
      <c r="T266" s="287" t="n">
        <v>44470</v>
      </c>
      <c r="Z266" s="266" t="n">
        <f aca="false">[11]CurveList!B266</f>
        <v>262</v>
      </c>
      <c r="AA266" s="158" t="n">
        <f aca="false">[11]CurveList!C266</f>
        <v>0</v>
      </c>
      <c r="AB266" s="267" t="n">
        <f aca="false">[11]CurveList!D266</f>
        <v>0</v>
      </c>
    </row>
    <row r="267" customFormat="false" ht="12.75" hidden="false" customHeight="false" outlineLevel="0" collapsed="false">
      <c r="S267" s="255" t="n">
        <f aca="false">S266+1</f>
        <v>254</v>
      </c>
      <c r="T267" s="287" t="n">
        <v>44501</v>
      </c>
      <c r="Z267" s="266" t="n">
        <f aca="false">[11]CurveList!B267</f>
        <v>263</v>
      </c>
      <c r="AA267" s="158" t="n">
        <f aca="false">[11]CurveList!C267</f>
        <v>0</v>
      </c>
      <c r="AB267" s="267" t="n">
        <f aca="false">[11]CurveList!D267</f>
        <v>0</v>
      </c>
    </row>
    <row r="268" customFormat="false" ht="13.5" hidden="false" customHeight="false" outlineLevel="0" collapsed="false">
      <c r="S268" s="255" t="n">
        <f aca="false">S267+1</f>
        <v>255</v>
      </c>
      <c r="T268" s="287" t="n">
        <v>44531</v>
      </c>
      <c r="Z268" s="299" t="n">
        <f aca="false">[11]CurveList!B268</f>
        <v>264</v>
      </c>
      <c r="AA268" s="300" t="n">
        <f aca="false">[11]CurveList!C268</f>
        <v>0</v>
      </c>
      <c r="AB268" s="301" t="n">
        <f aca="false">[11]CurveList!D268</f>
        <v>0</v>
      </c>
    </row>
    <row r="269" customFormat="false" ht="12.75" hidden="false" customHeight="false" outlineLevel="0" collapsed="false">
      <c r="S269" s="255" t="n">
        <f aca="false">S268+1</f>
        <v>256</v>
      </c>
      <c r="T269" s="287" t="n">
        <v>44562</v>
      </c>
    </row>
    <row r="270" customFormat="false" ht="12.75" hidden="false" customHeight="false" outlineLevel="0" collapsed="false">
      <c r="S270" s="255" t="n">
        <f aca="false">S269+1</f>
        <v>257</v>
      </c>
      <c r="T270" s="287" t="n">
        <v>44593</v>
      </c>
    </row>
    <row r="271" customFormat="false" ht="12.75" hidden="false" customHeight="false" outlineLevel="0" collapsed="false">
      <c r="S271" s="255" t="n">
        <f aca="false">S270+1</f>
        <v>258</v>
      </c>
      <c r="T271" s="287" t="n">
        <v>44621</v>
      </c>
    </row>
    <row r="272" customFormat="false" ht="12.75" hidden="false" customHeight="false" outlineLevel="0" collapsed="false">
      <c r="S272" s="255" t="n">
        <f aca="false">S271+1</f>
        <v>259</v>
      </c>
      <c r="T272" s="287" t="n">
        <v>44652</v>
      </c>
    </row>
    <row r="273" customFormat="false" ht="12.75" hidden="false" customHeight="false" outlineLevel="0" collapsed="false">
      <c r="S273" s="255" t="n">
        <f aca="false">S272+1</f>
        <v>260</v>
      </c>
      <c r="T273" s="287" t="n">
        <v>44682</v>
      </c>
    </row>
    <row r="274" customFormat="false" ht="12.75" hidden="false" customHeight="false" outlineLevel="0" collapsed="false">
      <c r="S274" s="255" t="n">
        <f aca="false">S273+1</f>
        <v>261</v>
      </c>
      <c r="T274" s="287" t="n">
        <v>44713</v>
      </c>
    </row>
    <row r="275" customFormat="false" ht="12.75" hidden="false" customHeight="false" outlineLevel="0" collapsed="false">
      <c r="S275" s="255" t="n">
        <f aca="false">S274+1</f>
        <v>262</v>
      </c>
      <c r="T275" s="287" t="n">
        <v>44743</v>
      </c>
    </row>
    <row r="276" customFormat="false" ht="12.75" hidden="false" customHeight="false" outlineLevel="0" collapsed="false">
      <c r="S276" s="255" t="n">
        <f aca="false">S275+1</f>
        <v>263</v>
      </c>
      <c r="T276" s="287" t="n">
        <v>44774</v>
      </c>
    </row>
    <row r="277" customFormat="false" ht="12.75" hidden="false" customHeight="false" outlineLevel="0" collapsed="false">
      <c r="S277" s="255" t="n">
        <f aca="false">S276+1</f>
        <v>264</v>
      </c>
      <c r="T277" s="287" t="n">
        <v>44805</v>
      </c>
    </row>
    <row r="278" customFormat="false" ht="12.75" hidden="false" customHeight="false" outlineLevel="0" collapsed="false">
      <c r="S278" s="255" t="n">
        <f aca="false">S277+1</f>
        <v>265</v>
      </c>
      <c r="T278" s="287" t="n">
        <v>44835</v>
      </c>
    </row>
    <row r="279" customFormat="false" ht="12.75" hidden="false" customHeight="false" outlineLevel="0" collapsed="false">
      <c r="S279" s="255" t="n">
        <f aca="false">S278+1</f>
        <v>266</v>
      </c>
      <c r="T279" s="287" t="n">
        <v>44866</v>
      </c>
    </row>
    <row r="280" customFormat="false" ht="12.75" hidden="false" customHeight="false" outlineLevel="0" collapsed="false">
      <c r="S280" s="255" t="n">
        <f aca="false">S279+1</f>
        <v>267</v>
      </c>
      <c r="T280" s="287" t="n">
        <v>44896</v>
      </c>
    </row>
    <row r="281" customFormat="false" ht="12.75" hidden="false" customHeight="false" outlineLevel="0" collapsed="false">
      <c r="S281" s="255" t="n">
        <f aca="false">S280+1</f>
        <v>268</v>
      </c>
      <c r="T281" s="287" t="n">
        <v>44927</v>
      </c>
    </row>
    <row r="282" customFormat="false" ht="12.75" hidden="false" customHeight="false" outlineLevel="0" collapsed="false">
      <c r="S282" s="255" t="n">
        <f aca="false">S281+1</f>
        <v>269</v>
      </c>
      <c r="T282" s="287" t="n">
        <v>44958</v>
      </c>
    </row>
    <row r="283" customFormat="false" ht="12.75" hidden="false" customHeight="false" outlineLevel="0" collapsed="false">
      <c r="S283" s="255" t="n">
        <f aca="false">S282+1</f>
        <v>270</v>
      </c>
      <c r="T283" s="287" t="n">
        <v>44986</v>
      </c>
    </row>
    <row r="284" customFormat="false" ht="12.75" hidden="false" customHeight="false" outlineLevel="0" collapsed="false">
      <c r="S284" s="255" t="n">
        <f aca="false">S283+1</f>
        <v>271</v>
      </c>
      <c r="T284" s="287" t="n">
        <v>45017</v>
      </c>
    </row>
    <row r="285" customFormat="false" ht="12.75" hidden="false" customHeight="false" outlineLevel="0" collapsed="false">
      <c r="S285" s="255" t="n">
        <f aca="false">S284+1</f>
        <v>272</v>
      </c>
      <c r="T285" s="287" t="n">
        <v>45047</v>
      </c>
    </row>
    <row r="286" customFormat="false" ht="12.75" hidden="false" customHeight="false" outlineLevel="0" collapsed="false">
      <c r="S286" s="255" t="n">
        <f aca="false">S285+1</f>
        <v>273</v>
      </c>
      <c r="T286" s="287" t="n">
        <v>45078</v>
      </c>
    </row>
    <row r="287" customFormat="false" ht="12.75" hidden="false" customHeight="false" outlineLevel="0" collapsed="false">
      <c r="S287" s="255" t="n">
        <f aca="false">S286+1</f>
        <v>274</v>
      </c>
      <c r="T287" s="287" t="n">
        <v>45108</v>
      </c>
    </row>
    <row r="288" customFormat="false" ht="12.75" hidden="false" customHeight="false" outlineLevel="0" collapsed="false">
      <c r="S288" s="255" t="n">
        <f aca="false">S287+1</f>
        <v>275</v>
      </c>
      <c r="T288" s="287" t="n">
        <v>45139</v>
      </c>
    </row>
    <row r="289" customFormat="false" ht="12.75" hidden="false" customHeight="false" outlineLevel="0" collapsed="false">
      <c r="S289" s="255" t="n">
        <f aca="false">S288+1</f>
        <v>276</v>
      </c>
      <c r="T289" s="287" t="n">
        <v>45170</v>
      </c>
    </row>
    <row r="290" customFormat="false" ht="12.75" hidden="false" customHeight="false" outlineLevel="0" collapsed="false">
      <c r="S290" s="255" t="n">
        <f aca="false">S289+1</f>
        <v>277</v>
      </c>
      <c r="T290" s="287" t="n">
        <v>45200</v>
      </c>
    </row>
    <row r="291" customFormat="false" ht="12.75" hidden="false" customHeight="false" outlineLevel="0" collapsed="false">
      <c r="S291" s="255" t="n">
        <f aca="false">S290+1</f>
        <v>278</v>
      </c>
      <c r="T291" s="287" t="n">
        <v>45231</v>
      </c>
    </row>
    <row r="292" customFormat="false" ht="12.75" hidden="false" customHeight="false" outlineLevel="0" collapsed="false">
      <c r="S292" s="255" t="n">
        <f aca="false">S291+1</f>
        <v>279</v>
      </c>
      <c r="T292" s="287" t="n">
        <v>45261</v>
      </c>
    </row>
    <row r="293" customFormat="false" ht="12.75" hidden="false" customHeight="false" outlineLevel="0" collapsed="false">
      <c r="S293" s="255" t="n">
        <f aca="false">S292+1</f>
        <v>280</v>
      </c>
      <c r="T293" s="287" t="n">
        <v>45292</v>
      </c>
    </row>
    <row r="294" customFormat="false" ht="12.75" hidden="false" customHeight="false" outlineLevel="0" collapsed="false">
      <c r="S294" s="255" t="n">
        <f aca="false">S293+1</f>
        <v>281</v>
      </c>
      <c r="T294" s="287" t="n">
        <v>45323</v>
      </c>
    </row>
    <row r="295" customFormat="false" ht="12.75" hidden="false" customHeight="false" outlineLevel="0" collapsed="false">
      <c r="S295" s="255" t="n">
        <f aca="false">S294+1</f>
        <v>282</v>
      </c>
      <c r="T295" s="287" t="n">
        <v>45352</v>
      </c>
    </row>
    <row r="296" customFormat="false" ht="12.75" hidden="false" customHeight="false" outlineLevel="0" collapsed="false">
      <c r="S296" s="255" t="n">
        <f aca="false">S295+1</f>
        <v>283</v>
      </c>
      <c r="T296" s="287" t="n">
        <v>45383</v>
      </c>
    </row>
    <row r="297" customFormat="false" ht="12.75" hidden="false" customHeight="false" outlineLevel="0" collapsed="false">
      <c r="S297" s="255" t="n">
        <f aca="false">S296+1</f>
        <v>284</v>
      </c>
      <c r="T297" s="287" t="n">
        <v>45413</v>
      </c>
    </row>
    <row r="298" customFormat="false" ht="12.75" hidden="false" customHeight="false" outlineLevel="0" collapsed="false">
      <c r="S298" s="255" t="n">
        <f aca="false">S297+1</f>
        <v>285</v>
      </c>
      <c r="T298" s="287" t="n">
        <v>45444</v>
      </c>
    </row>
    <row r="299" customFormat="false" ht="12.75" hidden="false" customHeight="false" outlineLevel="0" collapsed="false">
      <c r="S299" s="255" t="n">
        <f aca="false">S298+1</f>
        <v>286</v>
      </c>
      <c r="T299" s="287" t="n">
        <v>45474</v>
      </c>
    </row>
    <row r="300" customFormat="false" ht="12.75" hidden="false" customHeight="false" outlineLevel="0" collapsed="false">
      <c r="S300" s="255" t="n">
        <f aca="false">S299+1</f>
        <v>287</v>
      </c>
      <c r="T300" s="287" t="n">
        <v>45505</v>
      </c>
    </row>
    <row r="301" customFormat="false" ht="12.75" hidden="false" customHeight="false" outlineLevel="0" collapsed="false">
      <c r="S301" s="255" t="n">
        <f aca="false">S300+1</f>
        <v>288</v>
      </c>
      <c r="T301" s="287" t="n">
        <v>45536</v>
      </c>
    </row>
    <row r="302" customFormat="false" ht="12.75" hidden="false" customHeight="false" outlineLevel="0" collapsed="false">
      <c r="S302" s="255" t="n">
        <f aca="false">S301+1</f>
        <v>289</v>
      </c>
      <c r="T302" s="287" t="n">
        <v>45566</v>
      </c>
    </row>
    <row r="303" customFormat="false" ht="12.75" hidden="false" customHeight="false" outlineLevel="0" collapsed="false">
      <c r="S303" s="255" t="n">
        <f aca="false">S302+1</f>
        <v>290</v>
      </c>
      <c r="T303" s="287" t="n">
        <v>45597</v>
      </c>
    </row>
    <row r="304" customFormat="false" ht="12.75" hidden="false" customHeight="false" outlineLevel="0" collapsed="false">
      <c r="S304" s="255" t="n">
        <f aca="false">S303+1</f>
        <v>291</v>
      </c>
      <c r="T304" s="287" t="n">
        <v>45627</v>
      </c>
    </row>
    <row r="305" customFormat="false" ht="12.75" hidden="false" customHeight="false" outlineLevel="0" collapsed="false">
      <c r="S305" s="255" t="n">
        <f aca="false">S304+1</f>
        <v>292</v>
      </c>
      <c r="T305" s="287" t="n">
        <v>45658</v>
      </c>
    </row>
    <row r="306" customFormat="false" ht="12.75" hidden="false" customHeight="false" outlineLevel="0" collapsed="false">
      <c r="S306" s="255" t="n">
        <f aca="false">S305+1</f>
        <v>293</v>
      </c>
      <c r="T306" s="287" t="n">
        <v>45689</v>
      </c>
    </row>
    <row r="307" customFormat="false" ht="12.75" hidden="false" customHeight="false" outlineLevel="0" collapsed="false">
      <c r="S307" s="255" t="n">
        <f aca="false">S306+1</f>
        <v>294</v>
      </c>
      <c r="T307" s="287" t="n">
        <v>45717</v>
      </c>
    </row>
    <row r="308" customFormat="false" ht="12.75" hidden="false" customHeight="false" outlineLevel="0" collapsed="false">
      <c r="S308" s="255" t="n">
        <f aca="false">S307+1</f>
        <v>295</v>
      </c>
      <c r="T308" s="287" t="n">
        <v>45748</v>
      </c>
    </row>
    <row r="309" customFormat="false" ht="12.75" hidden="false" customHeight="false" outlineLevel="0" collapsed="false">
      <c r="S309" s="255" t="n">
        <f aca="false">S308+1</f>
        <v>296</v>
      </c>
      <c r="T309" s="287" t="n">
        <v>45778</v>
      </c>
    </row>
    <row r="310" customFormat="false" ht="12.75" hidden="false" customHeight="false" outlineLevel="0" collapsed="false">
      <c r="S310" s="255" t="n">
        <f aca="false">S309+1</f>
        <v>297</v>
      </c>
      <c r="T310" s="287" t="n">
        <v>45809</v>
      </c>
    </row>
    <row r="311" customFormat="false" ht="12.75" hidden="false" customHeight="false" outlineLevel="0" collapsed="false">
      <c r="S311" s="255" t="n">
        <f aca="false">S310+1</f>
        <v>298</v>
      </c>
      <c r="T311" s="287" t="n">
        <v>45839</v>
      </c>
    </row>
    <row r="312" customFormat="false" ht="12.75" hidden="false" customHeight="false" outlineLevel="0" collapsed="false">
      <c r="S312" s="255" t="n">
        <f aca="false">S311+1</f>
        <v>299</v>
      </c>
      <c r="T312" s="287" t="n">
        <v>45870</v>
      </c>
    </row>
    <row r="313" customFormat="false" ht="12.75" hidden="false" customHeight="false" outlineLevel="0" collapsed="false">
      <c r="S313" s="255" t="n">
        <f aca="false">S312+1</f>
        <v>300</v>
      </c>
      <c r="T313" s="287" t="n">
        <v>45901</v>
      </c>
    </row>
    <row r="314" customFormat="false" ht="12.75" hidden="false" customHeight="false" outlineLevel="0" collapsed="false">
      <c r="S314" s="255" t="n">
        <f aca="false">S313+1</f>
        <v>301</v>
      </c>
      <c r="T314" s="287" t="n">
        <v>45931</v>
      </c>
    </row>
    <row r="315" customFormat="false" ht="12.75" hidden="false" customHeight="false" outlineLevel="0" collapsed="false">
      <c r="S315" s="255" t="n">
        <f aca="false">S314+1</f>
        <v>302</v>
      </c>
      <c r="T315" s="287" t="n">
        <v>45962</v>
      </c>
    </row>
    <row r="316" customFormat="false" ht="12.75" hidden="false" customHeight="false" outlineLevel="0" collapsed="false">
      <c r="S316" s="255" t="n">
        <f aca="false">S315+1</f>
        <v>303</v>
      </c>
      <c r="T316" s="287" t="n">
        <v>45992</v>
      </c>
    </row>
    <row r="317" customFormat="false" ht="12.75" hidden="false" customHeight="false" outlineLevel="0" collapsed="false">
      <c r="S317" s="255" t="n">
        <f aca="false">S316+1</f>
        <v>304</v>
      </c>
      <c r="T317" s="287" t="n">
        <v>46023</v>
      </c>
    </row>
    <row r="318" customFormat="false" ht="12.75" hidden="false" customHeight="false" outlineLevel="0" collapsed="false">
      <c r="S318" s="255" t="n">
        <f aca="false">S317+1</f>
        <v>305</v>
      </c>
      <c r="T318" s="287" t="n">
        <v>46054</v>
      </c>
    </row>
    <row r="319" customFormat="false" ht="12.75" hidden="false" customHeight="false" outlineLevel="0" collapsed="false">
      <c r="S319" s="255" t="n">
        <f aca="false">S318+1</f>
        <v>306</v>
      </c>
      <c r="T319" s="287" t="n">
        <v>46082</v>
      </c>
    </row>
    <row r="320" customFormat="false" ht="12.75" hidden="false" customHeight="false" outlineLevel="0" collapsed="false">
      <c r="S320" s="255" t="n">
        <f aca="false">S319+1</f>
        <v>307</v>
      </c>
      <c r="T320" s="287" t="n">
        <v>46113</v>
      </c>
    </row>
    <row r="321" customFormat="false" ht="12.75" hidden="false" customHeight="false" outlineLevel="0" collapsed="false">
      <c r="S321" s="255" t="n">
        <f aca="false">S320+1</f>
        <v>308</v>
      </c>
      <c r="T321" s="287" t="n">
        <v>46143</v>
      </c>
    </row>
    <row r="322" customFormat="false" ht="12.75" hidden="false" customHeight="false" outlineLevel="0" collapsed="false">
      <c r="S322" s="255" t="n">
        <f aca="false">S321+1</f>
        <v>309</v>
      </c>
      <c r="T322" s="287" t="n">
        <v>46174</v>
      </c>
    </row>
    <row r="323" customFormat="false" ht="12.75" hidden="false" customHeight="false" outlineLevel="0" collapsed="false">
      <c r="S323" s="255" t="n">
        <f aca="false">S322+1</f>
        <v>310</v>
      </c>
      <c r="T323" s="287" t="n">
        <v>46204</v>
      </c>
    </row>
    <row r="324" customFormat="false" ht="12.75" hidden="false" customHeight="false" outlineLevel="0" collapsed="false">
      <c r="S324" s="255" t="n">
        <f aca="false">S323+1</f>
        <v>311</v>
      </c>
      <c r="T324" s="287" t="n">
        <v>46235</v>
      </c>
    </row>
    <row r="325" customFormat="false" ht="12.75" hidden="false" customHeight="false" outlineLevel="0" collapsed="false">
      <c r="S325" s="255" t="n">
        <f aca="false">S324+1</f>
        <v>312</v>
      </c>
      <c r="T325" s="287" t="n">
        <v>46266</v>
      </c>
    </row>
    <row r="326" customFormat="false" ht="12.75" hidden="false" customHeight="false" outlineLevel="0" collapsed="false">
      <c r="S326" s="255" t="n">
        <f aca="false">S325+1</f>
        <v>313</v>
      </c>
      <c r="T326" s="287" t="n">
        <v>46296</v>
      </c>
    </row>
    <row r="327" customFormat="false" ht="12.75" hidden="false" customHeight="false" outlineLevel="0" collapsed="false">
      <c r="S327" s="255" t="n">
        <f aca="false">S326+1</f>
        <v>314</v>
      </c>
      <c r="T327" s="287" t="n">
        <v>46327</v>
      </c>
    </row>
    <row r="328" customFormat="false" ht="12.75" hidden="false" customHeight="false" outlineLevel="0" collapsed="false">
      <c r="S328" s="255" t="n">
        <f aca="false">S327+1</f>
        <v>315</v>
      </c>
      <c r="T328" s="287" t="n">
        <v>46357</v>
      </c>
    </row>
    <row r="329" customFormat="false" ht="12.75" hidden="false" customHeight="false" outlineLevel="0" collapsed="false">
      <c r="S329" s="255" t="n">
        <f aca="false">S328+1</f>
        <v>316</v>
      </c>
      <c r="T329" s="287" t="n">
        <v>46388</v>
      </c>
    </row>
    <row r="330" customFormat="false" ht="12.75" hidden="false" customHeight="false" outlineLevel="0" collapsed="false">
      <c r="S330" s="255" t="n">
        <f aca="false">S329+1</f>
        <v>317</v>
      </c>
      <c r="T330" s="287" t="n">
        <v>46419</v>
      </c>
    </row>
    <row r="331" customFormat="false" ht="12.75" hidden="false" customHeight="false" outlineLevel="0" collapsed="false">
      <c r="S331" s="255" t="n">
        <f aca="false">S330+1</f>
        <v>318</v>
      </c>
      <c r="T331" s="287" t="n">
        <v>46447</v>
      </c>
    </row>
    <row r="332" customFormat="false" ht="12.75" hidden="false" customHeight="false" outlineLevel="0" collapsed="false">
      <c r="S332" s="255" t="n">
        <f aca="false">S331+1</f>
        <v>319</v>
      </c>
      <c r="T332" s="287" t="n">
        <v>46478</v>
      </c>
    </row>
    <row r="333" customFormat="false" ht="12.75" hidden="false" customHeight="false" outlineLevel="0" collapsed="false">
      <c r="S333" s="255" t="n">
        <f aca="false">S332+1</f>
        <v>320</v>
      </c>
      <c r="T333" s="287" t="n">
        <v>46508</v>
      </c>
    </row>
    <row r="334" customFormat="false" ht="12.75" hidden="false" customHeight="false" outlineLevel="0" collapsed="false">
      <c r="S334" s="255" t="n">
        <f aca="false">S333+1</f>
        <v>321</v>
      </c>
      <c r="T334" s="287" t="n">
        <v>46539</v>
      </c>
    </row>
    <row r="335" customFormat="false" ht="12.75" hidden="false" customHeight="false" outlineLevel="0" collapsed="false">
      <c r="S335" s="255" t="n">
        <f aca="false">S334+1</f>
        <v>322</v>
      </c>
      <c r="T335" s="287" t="n">
        <v>46569</v>
      </c>
    </row>
    <row r="336" customFormat="false" ht="12.75" hidden="false" customHeight="false" outlineLevel="0" collapsed="false">
      <c r="S336" s="255" t="n">
        <f aca="false">S335+1</f>
        <v>323</v>
      </c>
      <c r="T336" s="287" t="n">
        <v>46600</v>
      </c>
    </row>
    <row r="337" customFormat="false" ht="12.75" hidden="false" customHeight="false" outlineLevel="0" collapsed="false">
      <c r="S337" s="255" t="n">
        <f aca="false">S336+1</f>
        <v>324</v>
      </c>
      <c r="T337" s="287" t="n">
        <v>46631</v>
      </c>
    </row>
    <row r="338" customFormat="false" ht="12.75" hidden="false" customHeight="false" outlineLevel="0" collapsed="false">
      <c r="S338" s="255" t="n">
        <f aca="false">S337+1</f>
        <v>325</v>
      </c>
      <c r="T338" s="287" t="n">
        <v>46661</v>
      </c>
    </row>
    <row r="339" customFormat="false" ht="12.75" hidden="false" customHeight="false" outlineLevel="0" collapsed="false">
      <c r="S339" s="255" t="n">
        <f aca="false">S338+1</f>
        <v>326</v>
      </c>
      <c r="T339" s="287" t="n">
        <v>46692</v>
      </c>
    </row>
    <row r="340" customFormat="false" ht="12.75" hidden="false" customHeight="false" outlineLevel="0" collapsed="false">
      <c r="S340" s="255" t="n">
        <f aca="false">S339+1</f>
        <v>327</v>
      </c>
      <c r="T340" s="287" t="n">
        <v>46722</v>
      </c>
    </row>
    <row r="341" customFormat="false" ht="12.75" hidden="false" customHeight="false" outlineLevel="0" collapsed="false">
      <c r="S341" s="255" t="n">
        <f aca="false">S340+1</f>
        <v>328</v>
      </c>
      <c r="T341" s="287" t="n">
        <v>46753</v>
      </c>
    </row>
    <row r="342" customFormat="false" ht="12.75" hidden="false" customHeight="false" outlineLevel="0" collapsed="false">
      <c r="S342" s="255" t="n">
        <f aca="false">S341+1</f>
        <v>329</v>
      </c>
      <c r="T342" s="287" t="n">
        <v>46784</v>
      </c>
    </row>
    <row r="343" customFormat="false" ht="12.75" hidden="false" customHeight="false" outlineLevel="0" collapsed="false">
      <c r="S343" s="255" t="n">
        <f aca="false">S342+1</f>
        <v>330</v>
      </c>
      <c r="T343" s="287" t="n">
        <v>46813</v>
      </c>
    </row>
    <row r="344" customFormat="false" ht="12.75" hidden="false" customHeight="false" outlineLevel="0" collapsed="false">
      <c r="S344" s="255" t="n">
        <f aca="false">S343+1</f>
        <v>331</v>
      </c>
      <c r="T344" s="287" t="n">
        <v>46844</v>
      </c>
    </row>
    <row r="345" customFormat="false" ht="12.75" hidden="false" customHeight="false" outlineLevel="0" collapsed="false">
      <c r="S345" s="255" t="n">
        <f aca="false">S344+1</f>
        <v>332</v>
      </c>
      <c r="T345" s="287" t="n">
        <v>46874</v>
      </c>
    </row>
    <row r="346" customFormat="false" ht="12.75" hidden="false" customHeight="false" outlineLevel="0" collapsed="false">
      <c r="S346" s="255" t="n">
        <f aca="false">S345+1</f>
        <v>333</v>
      </c>
      <c r="T346" s="287" t="n">
        <v>46905</v>
      </c>
    </row>
    <row r="347" customFormat="false" ht="12.75" hidden="false" customHeight="false" outlineLevel="0" collapsed="false">
      <c r="S347" s="255" t="n">
        <f aca="false">S346+1</f>
        <v>334</v>
      </c>
      <c r="T347" s="287" t="n">
        <v>46935</v>
      </c>
    </row>
    <row r="348" customFormat="false" ht="12.75" hidden="false" customHeight="false" outlineLevel="0" collapsed="false">
      <c r="S348" s="255" t="n">
        <f aca="false">S347+1</f>
        <v>335</v>
      </c>
      <c r="T348" s="287" t="n">
        <v>46966</v>
      </c>
    </row>
    <row r="349" customFormat="false" ht="12.75" hidden="false" customHeight="false" outlineLevel="0" collapsed="false">
      <c r="S349" s="255" t="n">
        <f aca="false">S348+1</f>
        <v>336</v>
      </c>
      <c r="T349" s="287" t="n">
        <v>46997</v>
      </c>
    </row>
    <row r="350" customFormat="false" ht="12.75" hidden="false" customHeight="false" outlineLevel="0" collapsed="false">
      <c r="S350" s="255" t="n">
        <f aca="false">S349+1</f>
        <v>337</v>
      </c>
      <c r="T350" s="287" t="n">
        <v>47027</v>
      </c>
    </row>
    <row r="351" customFormat="false" ht="12.75" hidden="false" customHeight="false" outlineLevel="0" collapsed="false">
      <c r="S351" s="255" t="n">
        <f aca="false">S350+1</f>
        <v>338</v>
      </c>
      <c r="T351" s="287" t="n">
        <v>47058</v>
      </c>
    </row>
    <row r="352" customFormat="false" ht="12.75" hidden="false" customHeight="false" outlineLevel="0" collapsed="false">
      <c r="S352" s="255" t="n">
        <f aca="false">S351+1</f>
        <v>339</v>
      </c>
      <c r="T352" s="287" t="n">
        <v>47088</v>
      </c>
    </row>
    <row r="353" customFormat="false" ht="12.75" hidden="false" customHeight="false" outlineLevel="0" collapsed="false">
      <c r="S353" s="255" t="n">
        <f aca="false">S352+1</f>
        <v>340</v>
      </c>
      <c r="T353" s="287" t="n">
        <v>47119</v>
      </c>
    </row>
    <row r="354" customFormat="false" ht="12.75" hidden="false" customHeight="false" outlineLevel="0" collapsed="false">
      <c r="S354" s="255" t="n">
        <f aca="false">S353+1</f>
        <v>341</v>
      </c>
      <c r="T354" s="287" t="n">
        <v>47150</v>
      </c>
    </row>
    <row r="355" customFormat="false" ht="12.75" hidden="false" customHeight="false" outlineLevel="0" collapsed="false">
      <c r="S355" s="255" t="n">
        <f aca="false">S354+1</f>
        <v>342</v>
      </c>
      <c r="T355" s="287" t="n">
        <v>47178</v>
      </c>
    </row>
    <row r="356" customFormat="false" ht="12.75" hidden="false" customHeight="false" outlineLevel="0" collapsed="false">
      <c r="S356" s="255" t="n">
        <f aca="false">S355+1</f>
        <v>343</v>
      </c>
      <c r="T356" s="287" t="n">
        <v>47209</v>
      </c>
    </row>
    <row r="357" customFormat="false" ht="12.75" hidden="false" customHeight="false" outlineLevel="0" collapsed="false">
      <c r="S357" s="255" t="n">
        <f aca="false">S356+1</f>
        <v>344</v>
      </c>
      <c r="T357" s="287" t="n">
        <v>47239</v>
      </c>
    </row>
    <row r="358" customFormat="false" ht="12.75" hidden="false" customHeight="false" outlineLevel="0" collapsed="false">
      <c r="S358" s="255" t="n">
        <f aca="false">S357+1</f>
        <v>345</v>
      </c>
      <c r="T358" s="287" t="n">
        <v>47270</v>
      </c>
    </row>
    <row r="359" customFormat="false" ht="12.75" hidden="false" customHeight="false" outlineLevel="0" collapsed="false">
      <c r="S359" s="255" t="n">
        <f aca="false">S358+1</f>
        <v>346</v>
      </c>
      <c r="T359" s="287" t="n">
        <v>47300</v>
      </c>
    </row>
    <row r="360" customFormat="false" ht="12.75" hidden="false" customHeight="false" outlineLevel="0" collapsed="false">
      <c r="S360" s="255" t="n">
        <f aca="false">S359+1</f>
        <v>347</v>
      </c>
      <c r="T360" s="287" t="n">
        <v>47331</v>
      </c>
    </row>
    <row r="361" customFormat="false" ht="12.75" hidden="false" customHeight="false" outlineLevel="0" collapsed="false">
      <c r="S361" s="255" t="n">
        <f aca="false">S360+1</f>
        <v>348</v>
      </c>
      <c r="T361" s="287" t="n">
        <v>47362</v>
      </c>
    </row>
    <row r="362" customFormat="false" ht="12.75" hidden="false" customHeight="false" outlineLevel="0" collapsed="false">
      <c r="S362" s="255" t="n">
        <f aca="false">S361+1</f>
        <v>349</v>
      </c>
      <c r="T362" s="287" t="n">
        <v>47392</v>
      </c>
    </row>
    <row r="363" customFormat="false" ht="12.75" hidden="false" customHeight="false" outlineLevel="0" collapsed="false">
      <c r="S363" s="255" t="n">
        <f aca="false">S362+1</f>
        <v>350</v>
      </c>
      <c r="T363" s="287" t="n">
        <v>47423</v>
      </c>
    </row>
    <row r="364" customFormat="false" ht="12.75" hidden="false" customHeight="false" outlineLevel="0" collapsed="false">
      <c r="S364" s="255" t="n">
        <f aca="false">S363+1</f>
        <v>351</v>
      </c>
      <c r="T364" s="287" t="n">
        <v>47453</v>
      </c>
    </row>
    <row r="365" customFormat="false" ht="12.75" hidden="false" customHeight="false" outlineLevel="0" collapsed="false">
      <c r="S365" s="255" t="n">
        <f aca="false">S364+1</f>
        <v>352</v>
      </c>
      <c r="T365" s="287" t="n">
        <v>47484</v>
      </c>
    </row>
    <row r="366" customFormat="false" ht="12.75" hidden="false" customHeight="false" outlineLevel="0" collapsed="false">
      <c r="S366" s="255" t="n">
        <f aca="false">S365+1</f>
        <v>353</v>
      </c>
      <c r="T366" s="287" t="n">
        <v>47515</v>
      </c>
    </row>
    <row r="367" customFormat="false" ht="12.75" hidden="false" customHeight="false" outlineLevel="0" collapsed="false">
      <c r="S367" s="255" t="n">
        <f aca="false">S366+1</f>
        <v>354</v>
      </c>
      <c r="T367" s="287" t="n">
        <v>47543</v>
      </c>
    </row>
    <row r="368" customFormat="false" ht="12.75" hidden="false" customHeight="false" outlineLevel="0" collapsed="false">
      <c r="S368" s="255" t="n">
        <f aca="false">S367+1</f>
        <v>355</v>
      </c>
      <c r="T368" s="287" t="n">
        <v>47574</v>
      </c>
    </row>
    <row r="369" customFormat="false" ht="12.75" hidden="false" customHeight="false" outlineLevel="0" collapsed="false">
      <c r="S369" s="255" t="n">
        <f aca="false">S368+1</f>
        <v>356</v>
      </c>
      <c r="T369" s="287" t="n">
        <v>47604</v>
      </c>
    </row>
    <row r="370" customFormat="false" ht="12.75" hidden="false" customHeight="false" outlineLevel="0" collapsed="false">
      <c r="S370" s="255" t="n">
        <f aca="false">S369+1</f>
        <v>357</v>
      </c>
      <c r="T370" s="287" t="n">
        <v>47635</v>
      </c>
    </row>
    <row r="371" customFormat="false" ht="12.75" hidden="false" customHeight="false" outlineLevel="0" collapsed="false">
      <c r="S371" s="255" t="n">
        <f aca="false">S370+1</f>
        <v>358</v>
      </c>
      <c r="T371" s="287" t="n">
        <v>47665</v>
      </c>
    </row>
    <row r="372" customFormat="false" ht="12.75" hidden="false" customHeight="false" outlineLevel="0" collapsed="false">
      <c r="S372" s="255" t="n">
        <f aca="false">S371+1</f>
        <v>359</v>
      </c>
      <c r="T372" s="287" t="n">
        <v>47696</v>
      </c>
    </row>
    <row r="373" customFormat="false" ht="12.75" hidden="false" customHeight="false" outlineLevel="0" collapsed="false">
      <c r="S373" s="255" t="n">
        <f aca="false">S372+1</f>
        <v>360</v>
      </c>
      <c r="T373" s="287" t="n">
        <v>47727</v>
      </c>
    </row>
  </sheetData>
  <mergeCells count="4">
    <mergeCell ref="B2:G2"/>
    <mergeCell ref="Z3:AB3"/>
    <mergeCell ref="AD3:AF3"/>
    <mergeCell ref="D7:F7"/>
  </mergeCells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&amp;R&amp;"Arial,Bold"Commodity Structuring</oddHeader>
    <oddFooter>&amp;R&amp;F 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4" name="Button 1">
              <controlPr defaultSize="0" print="false" autoFill="0" autoPict="0" macro="Module4.FetchCurvesAndCalculateBasisSwapPrice">
                <anchor moveWithCells="true" sizeWithCells="false">
                  <from>
                    <xdr:col>5</xdr:col>
                    <xdr:colOff>9720</xdr:colOff>
                    <xdr:row>22</xdr:row>
                    <xdr:rowOff>133560</xdr:rowOff>
                  </from>
                  <to>
                    <xdr:col>6</xdr:col>
                    <xdr:colOff>987120</xdr:colOff>
                    <xdr:row>24</xdr:row>
                    <xdr:rowOff>9000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35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6" style="0" width="10.56"/>
    <col collapsed="false" customWidth="true" hidden="false" outlineLevel="0" max="7" min="7" style="0" width="11.13"/>
    <col collapsed="false" customWidth="true" hidden="false" outlineLevel="0" max="9" min="9" style="0" width="10.99"/>
    <col collapsed="false" customWidth="true" hidden="false" outlineLevel="0" max="10" min="10" style="0" width="11.28"/>
  </cols>
  <sheetData>
    <row r="1" customFormat="false" ht="12.75" hidden="false" customHeight="false" outlineLevel="0" collapsed="false">
      <c r="B1" s="0" t="s">
        <v>0</v>
      </c>
    </row>
    <row r="3" customFormat="false" ht="25.5" hidden="false" customHeight="false" outlineLevel="0" collapsed="false">
      <c r="B3" s="1"/>
      <c r="C3" s="2" t="str">
        <f aca="false">[7]Sheet1!C5</f>
        <v>ANR SE</v>
      </c>
      <c r="D3" s="2" t="str">
        <f aca="false">[7]Sheet1!D5</f>
        <v>ANR SW</v>
      </c>
      <c r="E3" s="2" t="str">
        <f aca="false">[7]Sheet1!E5</f>
        <v>ANR C/G AREA</v>
      </c>
      <c r="F3" s="2" t="str">
        <f aca="false">[7]Sheet1!F5</f>
        <v>PEPL</v>
      </c>
      <c r="G3" s="2" t="str">
        <f aca="false">[7]Sheet1!G5</f>
        <v>Great Lakes</v>
      </c>
      <c r="H3" s="2" t="str">
        <f aca="false">[7]Sheet1!H5</f>
        <v>TCPL</v>
      </c>
      <c r="I3" s="3" t="str">
        <f aca="false">[7]Sheet1!I5</f>
        <v>Union</v>
      </c>
    </row>
    <row r="4" customFormat="false" ht="12.75" hidden="false" customHeight="false" outlineLevel="0" collapsed="false">
      <c r="B4" s="4" t="n">
        <f aca="false">[7]Sheet1!B6</f>
        <v>37257</v>
      </c>
      <c r="C4" s="5" t="n">
        <f aca="false">[7]Sheet1!C6</f>
        <v>1</v>
      </c>
      <c r="D4" s="5" t="n">
        <f aca="false">[7]Sheet1!D6</f>
        <v>1</v>
      </c>
      <c r="E4" s="5" t="n">
        <f aca="false">[7]Sheet1!E6</f>
        <v>1</v>
      </c>
      <c r="F4" s="5" t="n">
        <f aca="false">[7]Sheet1!F6</f>
        <v>1</v>
      </c>
      <c r="G4" s="5" t="n">
        <f aca="false">[7]Sheet1!G6</f>
        <v>1</v>
      </c>
      <c r="H4" s="5" t="n">
        <f aca="false">[7]Sheet1!H6</f>
        <v>1.052</v>
      </c>
      <c r="I4" s="6" t="n">
        <f aca="false">[7]Sheet1!I6</f>
        <v>1</v>
      </c>
    </row>
    <row r="5" customFormat="false" ht="12.75" hidden="false" customHeight="false" outlineLevel="0" collapsed="false">
      <c r="B5" s="7" t="n">
        <f aca="false">[7]Sheet1!B7</f>
        <v>37622</v>
      </c>
      <c r="C5" s="8" t="n">
        <f aca="false">[7]Sheet1!C7</f>
        <v>1.03</v>
      </c>
      <c r="D5" s="8" t="n">
        <f aca="false">[7]Sheet1!D7</f>
        <v>1.03</v>
      </c>
      <c r="E5" s="8" t="n">
        <f aca="false">[7]Sheet1!E7</f>
        <v>1.03</v>
      </c>
      <c r="F5" s="8" t="n">
        <f aca="false">[7]Sheet1!F7</f>
        <v>1</v>
      </c>
      <c r="G5" s="8" t="n">
        <f aca="false">[7]Sheet1!G7</f>
        <v>1</v>
      </c>
      <c r="H5" s="8" t="n">
        <f aca="false">[7]Sheet1!H7</f>
        <v>1.3</v>
      </c>
      <c r="I5" s="9" t="n">
        <f aca="false">[7]Sheet1!I7</f>
        <v>1</v>
      </c>
    </row>
    <row r="6" customFormat="false" ht="12.75" hidden="false" customHeight="false" outlineLevel="0" collapsed="false">
      <c r="B6" s="7" t="n">
        <f aca="false">[7]Sheet1!B8</f>
        <v>37987</v>
      </c>
      <c r="C6" s="8" t="n">
        <f aca="false">[7]Sheet1!C8</f>
        <v>1.2</v>
      </c>
      <c r="D6" s="8" t="n">
        <f aca="false">[7]Sheet1!D8</f>
        <v>1.2</v>
      </c>
      <c r="E6" s="8" t="n">
        <f aca="false">[7]Sheet1!E8</f>
        <v>1.2</v>
      </c>
      <c r="F6" s="8" t="n">
        <f aca="false">[7]Sheet1!F8</f>
        <v>1</v>
      </c>
      <c r="G6" s="8" t="n">
        <f aca="false">[7]Sheet1!G8</f>
        <v>1</v>
      </c>
      <c r="H6" s="8" t="n">
        <f aca="false">[7]Sheet1!H8</f>
        <v>1.02</v>
      </c>
      <c r="I6" s="9" t="n">
        <f aca="false">[7]Sheet1!I8</f>
        <v>1</v>
      </c>
    </row>
    <row r="7" customFormat="false" ht="12.75" hidden="false" customHeight="false" outlineLevel="0" collapsed="false">
      <c r="B7" s="7" t="n">
        <f aca="false">[7]Sheet1!B9</f>
        <v>38353</v>
      </c>
      <c r="C7" s="8" t="n">
        <f aca="false">[7]Sheet1!C9</f>
        <v>1</v>
      </c>
      <c r="D7" s="8" t="n">
        <f aca="false">[7]Sheet1!D9</f>
        <v>1</v>
      </c>
      <c r="E7" s="8" t="n">
        <f aca="false">[7]Sheet1!E9</f>
        <v>1</v>
      </c>
      <c r="F7" s="8" t="n">
        <f aca="false">[7]Sheet1!F9</f>
        <v>1</v>
      </c>
      <c r="G7" s="8" t="n">
        <f aca="false">[7]Sheet1!G9</f>
        <v>1.03</v>
      </c>
      <c r="H7" s="8" t="n">
        <f aca="false">[7]Sheet1!H9</f>
        <v>1.02</v>
      </c>
      <c r="I7" s="9" t="n">
        <f aca="false">[7]Sheet1!I9</f>
        <v>1</v>
      </c>
    </row>
    <row r="8" customFormat="false" ht="12.75" hidden="false" customHeight="false" outlineLevel="0" collapsed="false">
      <c r="B8" s="7" t="n">
        <f aca="false">[7]Sheet1!B10</f>
        <v>38718</v>
      </c>
      <c r="C8" s="8" t="n">
        <f aca="false">[7]Sheet1!C10</f>
        <v>1</v>
      </c>
      <c r="D8" s="8" t="n">
        <f aca="false">[7]Sheet1!D10</f>
        <v>1</v>
      </c>
      <c r="E8" s="8" t="n">
        <f aca="false">[7]Sheet1!E10</f>
        <v>1</v>
      </c>
      <c r="F8" s="8" t="n">
        <f aca="false">[7]Sheet1!F10</f>
        <v>1</v>
      </c>
      <c r="G8" s="8" t="n">
        <f aca="false">[7]Sheet1!G10</f>
        <v>1.2</v>
      </c>
      <c r="H8" s="8" t="n">
        <f aca="false">[7]Sheet1!H10</f>
        <v>1.02</v>
      </c>
      <c r="I8" s="9" t="n">
        <f aca="false">[7]Sheet1!I10</f>
        <v>1</v>
      </c>
    </row>
    <row r="9" customFormat="false" ht="12.75" hidden="false" customHeight="false" outlineLevel="0" collapsed="false">
      <c r="B9" s="7" t="n">
        <f aca="false">[7]Sheet1!B11</f>
        <v>39083</v>
      </c>
      <c r="C9" s="8" t="n">
        <f aca="false">[7]Sheet1!C11</f>
        <v>1</v>
      </c>
      <c r="D9" s="8" t="n">
        <f aca="false">[7]Sheet1!D11</f>
        <v>1</v>
      </c>
      <c r="E9" s="8" t="n">
        <f aca="false">[7]Sheet1!E11</f>
        <v>1</v>
      </c>
      <c r="F9" s="8" t="n">
        <f aca="false">[7]Sheet1!F11</f>
        <v>1</v>
      </c>
      <c r="G9" s="8" t="n">
        <f aca="false">[7]Sheet1!G11</f>
        <v>1</v>
      </c>
      <c r="H9" s="8" t="n">
        <f aca="false">[7]Sheet1!H11</f>
        <v>1.02</v>
      </c>
      <c r="I9" s="9" t="n">
        <f aca="false">[7]Sheet1!I11</f>
        <v>1</v>
      </c>
    </row>
    <row r="10" customFormat="false" ht="12.75" hidden="false" customHeight="false" outlineLevel="0" collapsed="false">
      <c r="B10" s="7" t="n">
        <f aca="false">[7]Sheet1!B12</f>
        <v>39448</v>
      </c>
      <c r="C10" s="8" t="n">
        <f aca="false">[7]Sheet1!C12</f>
        <v>1</v>
      </c>
      <c r="D10" s="8" t="n">
        <f aca="false">[7]Sheet1!D12</f>
        <v>1</v>
      </c>
      <c r="E10" s="8" t="n">
        <f aca="false">[7]Sheet1!E12</f>
        <v>1</v>
      </c>
      <c r="F10" s="8" t="n">
        <f aca="false">[7]Sheet1!F12</f>
        <v>1</v>
      </c>
      <c r="G10" s="8" t="n">
        <f aca="false">[7]Sheet1!G12</f>
        <v>1</v>
      </c>
      <c r="H10" s="8" t="n">
        <f aca="false">[7]Sheet1!H12</f>
        <v>1.02</v>
      </c>
      <c r="I10" s="9" t="n">
        <f aca="false">[7]Sheet1!I12</f>
        <v>1</v>
      </c>
    </row>
    <row r="11" customFormat="false" ht="12.75" hidden="false" customHeight="false" outlineLevel="0" collapsed="false">
      <c r="B11" s="7" t="n">
        <f aca="false">[7]Sheet1!B13</f>
        <v>39814</v>
      </c>
      <c r="C11" s="8" t="n">
        <f aca="false">[7]Sheet1!C13</f>
        <v>1</v>
      </c>
      <c r="D11" s="8" t="n">
        <f aca="false">[7]Sheet1!D13</f>
        <v>1</v>
      </c>
      <c r="E11" s="8" t="n">
        <f aca="false">[7]Sheet1!E13</f>
        <v>1</v>
      </c>
      <c r="F11" s="8" t="n">
        <f aca="false">[7]Sheet1!F13</f>
        <v>1</v>
      </c>
      <c r="G11" s="8" t="n">
        <f aca="false">[7]Sheet1!G13</f>
        <v>1</v>
      </c>
      <c r="H11" s="8" t="n">
        <f aca="false">[7]Sheet1!H13</f>
        <v>1.02</v>
      </c>
      <c r="I11" s="9" t="n">
        <f aca="false">[7]Sheet1!I13</f>
        <v>1</v>
      </c>
    </row>
    <row r="12" customFormat="false" ht="12.75" hidden="false" customHeight="false" outlineLevel="0" collapsed="false">
      <c r="B12" s="7" t="n">
        <f aca="false">[7]Sheet1!B14</f>
        <v>40179</v>
      </c>
      <c r="C12" s="8" t="n">
        <f aca="false">[7]Sheet1!C14</f>
        <v>1</v>
      </c>
      <c r="D12" s="8" t="n">
        <f aca="false">[7]Sheet1!D14</f>
        <v>1</v>
      </c>
      <c r="E12" s="8" t="n">
        <f aca="false">[7]Sheet1!E14</f>
        <v>1</v>
      </c>
      <c r="F12" s="8" t="n">
        <f aca="false">[7]Sheet1!F14</f>
        <v>1</v>
      </c>
      <c r="G12" s="8" t="n">
        <f aca="false">[7]Sheet1!G14</f>
        <v>1</v>
      </c>
      <c r="H12" s="8" t="n">
        <f aca="false">[7]Sheet1!H14</f>
        <v>1.02</v>
      </c>
      <c r="I12" s="9" t="n">
        <f aca="false">[7]Sheet1!I14</f>
        <v>1</v>
      </c>
    </row>
    <row r="13" customFormat="false" ht="12.75" hidden="false" customHeight="false" outlineLevel="0" collapsed="false">
      <c r="B13" s="7" t="n">
        <f aca="false">[7]Sheet1!B15</f>
        <v>40544</v>
      </c>
      <c r="C13" s="8" t="n">
        <f aca="false">[7]Sheet1!C15</f>
        <v>1</v>
      </c>
      <c r="D13" s="8" t="n">
        <f aca="false">[7]Sheet1!D15</f>
        <v>1</v>
      </c>
      <c r="E13" s="8" t="n">
        <f aca="false">[7]Sheet1!E15</f>
        <v>1</v>
      </c>
      <c r="F13" s="8" t="n">
        <f aca="false">[7]Sheet1!F15</f>
        <v>1</v>
      </c>
      <c r="G13" s="8" t="n">
        <f aca="false">[7]Sheet1!G15</f>
        <v>1</v>
      </c>
      <c r="H13" s="8" t="n">
        <f aca="false">[7]Sheet1!H15</f>
        <v>1.02</v>
      </c>
      <c r="I13" s="9" t="n">
        <f aca="false">[7]Sheet1!I15</f>
        <v>1</v>
      </c>
    </row>
    <row r="14" customFormat="false" ht="12.75" hidden="false" customHeight="false" outlineLevel="0" collapsed="false">
      <c r="B14" s="7" t="n">
        <f aca="false">[7]Sheet1!B16</f>
        <v>40909</v>
      </c>
      <c r="C14" s="8" t="n">
        <f aca="false">[7]Sheet1!C16</f>
        <v>1</v>
      </c>
      <c r="D14" s="8" t="n">
        <f aca="false">[7]Sheet1!D16</f>
        <v>1</v>
      </c>
      <c r="E14" s="8" t="n">
        <f aca="false">[7]Sheet1!E16</f>
        <v>1</v>
      </c>
      <c r="F14" s="8" t="n">
        <f aca="false">[7]Sheet1!F16</f>
        <v>1</v>
      </c>
      <c r="G14" s="8" t="n">
        <f aca="false">[7]Sheet1!G16</f>
        <v>1</v>
      </c>
      <c r="H14" s="8" t="n">
        <f aca="false">[7]Sheet1!H16</f>
        <v>1.02</v>
      </c>
      <c r="I14" s="9" t="n">
        <f aca="false">[7]Sheet1!I16</f>
        <v>1</v>
      </c>
    </row>
    <row r="15" customFormat="false" ht="12.75" hidden="false" customHeight="false" outlineLevel="0" collapsed="false">
      <c r="B15" s="7" t="n">
        <f aca="false">[7]Sheet1!B17</f>
        <v>41275</v>
      </c>
      <c r="C15" s="8" t="n">
        <f aca="false">[7]Sheet1!C17</f>
        <v>1</v>
      </c>
      <c r="D15" s="8" t="n">
        <f aca="false">[7]Sheet1!D17</f>
        <v>1</v>
      </c>
      <c r="E15" s="8" t="n">
        <f aca="false">[7]Sheet1!E17</f>
        <v>1</v>
      </c>
      <c r="F15" s="8" t="n">
        <f aca="false">[7]Sheet1!F17</f>
        <v>1</v>
      </c>
      <c r="G15" s="8" t="n">
        <f aca="false">[7]Sheet1!G17</f>
        <v>1</v>
      </c>
      <c r="H15" s="8" t="n">
        <f aca="false">[7]Sheet1!H17</f>
        <v>1.02</v>
      </c>
      <c r="I15" s="9" t="n">
        <f aca="false">[7]Sheet1!I17</f>
        <v>1</v>
      </c>
    </row>
    <row r="16" customFormat="false" ht="12.75" hidden="false" customHeight="false" outlineLevel="0" collapsed="false">
      <c r="B16" s="10" t="n">
        <f aca="false">[7]Sheet1!B18</f>
        <v>41640</v>
      </c>
      <c r="C16" s="11" t="n">
        <f aca="false">[7]Sheet1!C18</f>
        <v>1</v>
      </c>
      <c r="D16" s="11" t="n">
        <f aca="false">[7]Sheet1!D18</f>
        <v>1</v>
      </c>
      <c r="E16" s="11" t="n">
        <f aca="false">[7]Sheet1!E18</f>
        <v>1</v>
      </c>
      <c r="F16" s="11" t="n">
        <f aca="false">[7]Sheet1!F18</f>
        <v>1</v>
      </c>
      <c r="G16" s="11" t="n">
        <f aca="false">[7]Sheet1!G18</f>
        <v>1</v>
      </c>
      <c r="H16" s="11" t="n">
        <f aca="false">[7]Sheet1!H18</f>
        <v>1.02</v>
      </c>
      <c r="I16" s="12" t="n">
        <f aca="false">[7]Sheet1!I18</f>
        <v>1</v>
      </c>
    </row>
    <row r="19" customFormat="false" ht="12.75" hidden="false" customHeight="false" outlineLevel="0" collapsed="false">
      <c r="B19" s="0" t="s">
        <v>1</v>
      </c>
    </row>
    <row r="21" customFormat="false" ht="37.5" hidden="false" customHeight="true" outlineLevel="0" collapsed="false">
      <c r="A21" s="13"/>
      <c r="B21" s="13"/>
      <c r="C21" s="13" t="s">
        <v>2</v>
      </c>
      <c r="D21" s="13" t="s">
        <v>3</v>
      </c>
      <c r="E21" s="13" t="s">
        <v>4</v>
      </c>
      <c r="F21" s="13" t="s">
        <v>5</v>
      </c>
      <c r="G21" s="13" t="s">
        <v>6</v>
      </c>
      <c r="H21" s="13" t="s">
        <v>7</v>
      </c>
      <c r="I21" s="13" t="s">
        <v>8</v>
      </c>
      <c r="J21" s="13" t="s">
        <v>9</v>
      </c>
    </row>
    <row r="22" customFormat="false" ht="12.75" hidden="false" customHeight="false" outlineLevel="0" collapsed="false">
      <c r="C22" s="14" t="s">
        <v>10</v>
      </c>
      <c r="D22" s="14" t="s">
        <v>11</v>
      </c>
      <c r="E22" s="14" t="s">
        <v>12</v>
      </c>
      <c r="F22" s="14" t="s">
        <v>13</v>
      </c>
      <c r="G22" s="14" t="s">
        <v>14</v>
      </c>
      <c r="H22" s="14" t="s">
        <v>15</v>
      </c>
      <c r="I22" s="14" t="s">
        <v>14</v>
      </c>
      <c r="J22" s="14" t="s">
        <v>14</v>
      </c>
    </row>
    <row r="23" customFormat="false" ht="12.75" hidden="false" customHeight="false" outlineLevel="0" collapsed="false">
      <c r="B23" s="15" t="n">
        <f aca="false">Summary!E7</f>
        <v>37043</v>
      </c>
      <c r="C23" s="16" t="n">
        <f aca="false">Summary!S7</f>
        <v>0.0182</v>
      </c>
      <c r="D23" s="16" t="n">
        <f aca="false">Summary!S8</f>
        <v>0.0162</v>
      </c>
      <c r="E23" s="16" t="n">
        <f aca="false">Summary!S9</f>
        <v>0.0707</v>
      </c>
      <c r="F23" s="16" t="n">
        <f aca="false">Summary!S10</f>
        <v>0.0128</v>
      </c>
      <c r="G23" s="16" t="n">
        <f aca="false">Summary!S11</f>
        <v>0.0036970217296</v>
      </c>
      <c r="H23" s="16" t="n">
        <f aca="false">Summary!S12</f>
        <v>0.029</v>
      </c>
      <c r="I23" s="17" t="n">
        <f aca="false">[8]ContractTbl!$X$20</f>
        <v>0.0341143917152</v>
      </c>
      <c r="J23" s="18" t="n">
        <f aca="false">[8]ContractTbl!$AO$20</f>
        <v>0.0036970217296</v>
      </c>
    </row>
    <row r="24" customFormat="false" ht="12.75" hidden="false" customHeight="false" outlineLevel="0" collapsed="false">
      <c r="B24" s="15" t="n">
        <f aca="false">EDATE(B23,1)</f>
        <v>37073</v>
      </c>
      <c r="C24" s="16" t="n">
        <f aca="false">C23</f>
        <v>0.0182</v>
      </c>
      <c r="D24" s="16" t="n">
        <f aca="false">D23</f>
        <v>0.0162</v>
      </c>
      <c r="E24" s="16" t="n">
        <f aca="false">E23</f>
        <v>0.0707</v>
      </c>
      <c r="F24" s="16" t="n">
        <f aca="false">F23</f>
        <v>0.0128</v>
      </c>
      <c r="G24" s="16" t="n">
        <f aca="false">G23</f>
        <v>0.0036970217296</v>
      </c>
      <c r="H24" s="16" t="n">
        <f aca="false">H23</f>
        <v>0.029</v>
      </c>
      <c r="I24" s="16" t="n">
        <f aca="false">I23</f>
        <v>0.0341143917152</v>
      </c>
      <c r="J24" s="16" t="n">
        <f aca="false">J23</f>
        <v>0.0036970217296</v>
      </c>
    </row>
    <row r="25" customFormat="false" ht="12.75" hidden="false" customHeight="false" outlineLevel="0" collapsed="false">
      <c r="B25" s="15" t="n">
        <f aca="false">EDATE(B24,1)</f>
        <v>37104</v>
      </c>
      <c r="C25" s="16" t="n">
        <f aca="false">C24</f>
        <v>0.0182</v>
      </c>
      <c r="D25" s="16" t="n">
        <f aca="false">D24</f>
        <v>0.0162</v>
      </c>
      <c r="E25" s="16" t="n">
        <f aca="false">E24</f>
        <v>0.0707</v>
      </c>
      <c r="F25" s="16" t="n">
        <f aca="false">F24</f>
        <v>0.0128</v>
      </c>
      <c r="G25" s="16" t="n">
        <f aca="false">G24</f>
        <v>0.0036970217296</v>
      </c>
      <c r="H25" s="16" t="n">
        <f aca="false">H24</f>
        <v>0.029</v>
      </c>
      <c r="I25" s="16" t="n">
        <f aca="false">I24</f>
        <v>0.0341143917152</v>
      </c>
      <c r="J25" s="16" t="n">
        <f aca="false">J24</f>
        <v>0.0036970217296</v>
      </c>
    </row>
    <row r="26" customFormat="false" ht="12.75" hidden="false" customHeight="false" outlineLevel="0" collapsed="false">
      <c r="B26" s="15" t="n">
        <f aca="false">EDATE(B25,1)</f>
        <v>37135</v>
      </c>
      <c r="C26" s="16" t="n">
        <f aca="false">C25</f>
        <v>0.0182</v>
      </c>
      <c r="D26" s="16" t="n">
        <f aca="false">D25</f>
        <v>0.0162</v>
      </c>
      <c r="E26" s="16" t="n">
        <f aca="false">E25</f>
        <v>0.0707</v>
      </c>
      <c r="F26" s="16" t="n">
        <f aca="false">F25</f>
        <v>0.0128</v>
      </c>
      <c r="G26" s="16" t="n">
        <f aca="false">G25</f>
        <v>0.0036970217296</v>
      </c>
      <c r="H26" s="16" t="n">
        <f aca="false">H25</f>
        <v>0.029</v>
      </c>
      <c r="I26" s="16" t="n">
        <f aca="false">I25</f>
        <v>0.0341143917152</v>
      </c>
      <c r="J26" s="16" t="n">
        <f aca="false">J25</f>
        <v>0.0036970217296</v>
      </c>
    </row>
    <row r="27" customFormat="false" ht="12.75" hidden="false" customHeight="false" outlineLevel="0" collapsed="false">
      <c r="B27" s="15" t="n">
        <f aca="false">EDATE(B26,1)</f>
        <v>37165</v>
      </c>
      <c r="C27" s="16" t="n">
        <f aca="false">C26</f>
        <v>0.0182</v>
      </c>
      <c r="D27" s="16" t="n">
        <f aca="false">D26</f>
        <v>0.0162</v>
      </c>
      <c r="E27" s="16" t="n">
        <f aca="false">E26</f>
        <v>0.0707</v>
      </c>
      <c r="F27" s="16" t="n">
        <f aca="false">F26</f>
        <v>0.0128</v>
      </c>
      <c r="G27" s="16" t="n">
        <f aca="false">G26</f>
        <v>0.0036970217296</v>
      </c>
      <c r="H27" s="16" t="n">
        <f aca="false">H26</f>
        <v>0.029</v>
      </c>
      <c r="I27" s="16" t="n">
        <f aca="false">I26</f>
        <v>0.0341143917152</v>
      </c>
      <c r="J27" s="16" t="n">
        <f aca="false">J26</f>
        <v>0.0036970217296</v>
      </c>
    </row>
    <row r="28" customFormat="false" ht="12.75" hidden="false" customHeight="false" outlineLevel="0" collapsed="false">
      <c r="B28" s="15" t="n">
        <f aca="false">EDATE(B27,1)</f>
        <v>37196</v>
      </c>
      <c r="C28" s="16" t="n">
        <f aca="false">C27</f>
        <v>0.0182</v>
      </c>
      <c r="D28" s="16" t="n">
        <f aca="false">D27</f>
        <v>0.0162</v>
      </c>
      <c r="E28" s="16" t="n">
        <f aca="false">E27</f>
        <v>0.0707</v>
      </c>
      <c r="F28" s="16" t="n">
        <f aca="false">F27</f>
        <v>0.0128</v>
      </c>
      <c r="G28" s="16" t="n">
        <f aca="false">G27</f>
        <v>0.0036970217296</v>
      </c>
      <c r="H28" s="16" t="n">
        <f aca="false">H27</f>
        <v>0.029</v>
      </c>
      <c r="I28" s="16" t="n">
        <f aca="false">I27</f>
        <v>0.0341143917152</v>
      </c>
      <c r="J28" s="16" t="n">
        <f aca="false">J27</f>
        <v>0.0036970217296</v>
      </c>
    </row>
    <row r="29" customFormat="false" ht="12.75" hidden="false" customHeight="false" outlineLevel="0" collapsed="false">
      <c r="B29" s="15" t="n">
        <f aca="false">EDATE(B28,1)</f>
        <v>37226</v>
      </c>
      <c r="C29" s="16" t="n">
        <f aca="false">C28</f>
        <v>0.0182</v>
      </c>
      <c r="D29" s="16" t="n">
        <f aca="false">D28</f>
        <v>0.0162</v>
      </c>
      <c r="E29" s="16" t="n">
        <f aca="false">E28</f>
        <v>0.0707</v>
      </c>
      <c r="F29" s="16" t="n">
        <f aca="false">F28</f>
        <v>0.0128</v>
      </c>
      <c r="G29" s="16" t="n">
        <f aca="false">G28</f>
        <v>0.0036970217296</v>
      </c>
      <c r="H29" s="16" t="n">
        <f aca="false">H28</f>
        <v>0.029</v>
      </c>
      <c r="I29" s="16" t="n">
        <f aca="false">I28</f>
        <v>0.0341143917152</v>
      </c>
      <c r="J29" s="16" t="n">
        <f aca="false">J28</f>
        <v>0.0036970217296</v>
      </c>
    </row>
    <row r="30" customFormat="false" ht="12.75" hidden="false" customHeight="false" outlineLevel="0" collapsed="false">
      <c r="B30" s="15" t="n">
        <f aca="false">EDATE(B29,1)</f>
        <v>37257</v>
      </c>
      <c r="C30" s="19" t="n">
        <f aca="false">C29*C199</f>
        <v>0.0182</v>
      </c>
      <c r="D30" s="19" t="n">
        <f aca="false">D29*D199</f>
        <v>0.0162</v>
      </c>
      <c r="E30" s="19" t="n">
        <f aca="false">E29*E199</f>
        <v>0.0707</v>
      </c>
      <c r="F30" s="19" t="n">
        <f aca="false">F29*F199</f>
        <v>0.0128</v>
      </c>
      <c r="G30" s="19" t="n">
        <f aca="false">G29*G199</f>
        <v>0.0038892668595392</v>
      </c>
      <c r="H30" s="19" t="n">
        <f aca="false">H29*H199</f>
        <v>0.029</v>
      </c>
      <c r="I30" s="19" t="n">
        <f aca="false">I29*I199</f>
        <v>0.0358883400843904</v>
      </c>
      <c r="J30" s="19" t="n">
        <f aca="false">J29*J199</f>
        <v>0.0038892668595392</v>
      </c>
    </row>
    <row r="31" customFormat="false" ht="12.75" hidden="false" customHeight="false" outlineLevel="0" collapsed="false">
      <c r="B31" s="15" t="n">
        <f aca="false">EDATE(B30,1)</f>
        <v>37288</v>
      </c>
      <c r="C31" s="16" t="n">
        <f aca="false">C30</f>
        <v>0.0182</v>
      </c>
      <c r="D31" s="16" t="n">
        <f aca="false">D30</f>
        <v>0.0162</v>
      </c>
      <c r="E31" s="16" t="n">
        <f aca="false">E30</f>
        <v>0.0707</v>
      </c>
      <c r="F31" s="16" t="n">
        <f aca="false">F30</f>
        <v>0.0128</v>
      </c>
      <c r="G31" s="16" t="n">
        <f aca="false">G30</f>
        <v>0.0038892668595392</v>
      </c>
      <c r="H31" s="16" t="n">
        <f aca="false">H30</f>
        <v>0.029</v>
      </c>
      <c r="I31" s="16" t="n">
        <f aca="false">I30</f>
        <v>0.0358883400843904</v>
      </c>
      <c r="J31" s="16" t="n">
        <f aca="false">J30</f>
        <v>0.0038892668595392</v>
      </c>
    </row>
    <row r="32" customFormat="false" ht="12.75" hidden="false" customHeight="false" outlineLevel="0" collapsed="false">
      <c r="B32" s="15" t="n">
        <f aca="false">EDATE(B31,1)</f>
        <v>37316</v>
      </c>
      <c r="C32" s="16" t="n">
        <f aca="false">C31</f>
        <v>0.0182</v>
      </c>
      <c r="D32" s="16" t="n">
        <f aca="false">D31</f>
        <v>0.0162</v>
      </c>
      <c r="E32" s="16" t="n">
        <f aca="false">E31</f>
        <v>0.0707</v>
      </c>
      <c r="F32" s="16" t="n">
        <f aca="false">F31</f>
        <v>0.0128</v>
      </c>
      <c r="G32" s="16" t="n">
        <f aca="false">G31</f>
        <v>0.0038892668595392</v>
      </c>
      <c r="H32" s="16" t="n">
        <f aca="false">H31</f>
        <v>0.029</v>
      </c>
      <c r="I32" s="16" t="n">
        <f aca="false">I31</f>
        <v>0.0358883400843904</v>
      </c>
      <c r="J32" s="16" t="n">
        <f aca="false">J31</f>
        <v>0.0038892668595392</v>
      </c>
    </row>
    <row r="33" customFormat="false" ht="12.75" hidden="false" customHeight="false" outlineLevel="0" collapsed="false">
      <c r="B33" s="15" t="n">
        <f aca="false">EDATE(B32,1)</f>
        <v>37347</v>
      </c>
      <c r="C33" s="16" t="n">
        <f aca="false">C32</f>
        <v>0.0182</v>
      </c>
      <c r="D33" s="16" t="n">
        <f aca="false">D32</f>
        <v>0.0162</v>
      </c>
      <c r="E33" s="16" t="n">
        <f aca="false">E32</f>
        <v>0.0707</v>
      </c>
      <c r="F33" s="16" t="n">
        <f aca="false">F32</f>
        <v>0.0128</v>
      </c>
      <c r="G33" s="16" t="n">
        <f aca="false">G32</f>
        <v>0.0038892668595392</v>
      </c>
      <c r="H33" s="16" t="n">
        <f aca="false">H32</f>
        <v>0.029</v>
      </c>
      <c r="I33" s="16" t="n">
        <f aca="false">I32</f>
        <v>0.0358883400843904</v>
      </c>
      <c r="J33" s="16" t="n">
        <f aca="false">J32</f>
        <v>0.0038892668595392</v>
      </c>
    </row>
    <row r="34" customFormat="false" ht="12.75" hidden="false" customHeight="false" outlineLevel="0" collapsed="false">
      <c r="B34" s="15" t="n">
        <f aca="false">EDATE(B33,1)</f>
        <v>37377</v>
      </c>
      <c r="C34" s="16" t="n">
        <f aca="false">C33</f>
        <v>0.0182</v>
      </c>
      <c r="D34" s="16" t="n">
        <f aca="false">D33</f>
        <v>0.0162</v>
      </c>
      <c r="E34" s="16" t="n">
        <f aca="false">E33</f>
        <v>0.0707</v>
      </c>
      <c r="F34" s="16" t="n">
        <f aca="false">F33</f>
        <v>0.0128</v>
      </c>
      <c r="G34" s="16" t="n">
        <f aca="false">G33</f>
        <v>0.0038892668595392</v>
      </c>
      <c r="H34" s="16" t="n">
        <f aca="false">H33</f>
        <v>0.029</v>
      </c>
      <c r="I34" s="16" t="n">
        <f aca="false">I33</f>
        <v>0.0358883400843904</v>
      </c>
      <c r="J34" s="16" t="n">
        <f aca="false">J33</f>
        <v>0.0038892668595392</v>
      </c>
    </row>
    <row r="35" customFormat="false" ht="12.75" hidden="false" customHeight="false" outlineLevel="0" collapsed="false">
      <c r="B35" s="15" t="n">
        <f aca="false">EDATE(B34,1)</f>
        <v>37408</v>
      </c>
      <c r="C35" s="16" t="n">
        <f aca="false">C34</f>
        <v>0.0182</v>
      </c>
      <c r="D35" s="16" t="n">
        <f aca="false">D34</f>
        <v>0.0162</v>
      </c>
      <c r="E35" s="16" t="n">
        <f aca="false">E34</f>
        <v>0.0707</v>
      </c>
      <c r="F35" s="16" t="n">
        <f aca="false">F34</f>
        <v>0.0128</v>
      </c>
      <c r="G35" s="16" t="n">
        <f aca="false">G34</f>
        <v>0.0038892668595392</v>
      </c>
      <c r="H35" s="16" t="n">
        <f aca="false">H34</f>
        <v>0.029</v>
      </c>
      <c r="I35" s="16" t="n">
        <f aca="false">I34</f>
        <v>0.0358883400843904</v>
      </c>
      <c r="J35" s="16" t="n">
        <f aca="false">J34</f>
        <v>0.0038892668595392</v>
      </c>
    </row>
    <row r="36" customFormat="false" ht="12.75" hidden="false" customHeight="false" outlineLevel="0" collapsed="false">
      <c r="B36" s="15" t="n">
        <f aca="false">EDATE(B35,1)</f>
        <v>37438</v>
      </c>
      <c r="C36" s="16" t="n">
        <f aca="false">C35</f>
        <v>0.0182</v>
      </c>
      <c r="D36" s="16" t="n">
        <f aca="false">D35</f>
        <v>0.0162</v>
      </c>
      <c r="E36" s="16" t="n">
        <f aca="false">E35</f>
        <v>0.0707</v>
      </c>
      <c r="F36" s="16" t="n">
        <f aca="false">F35</f>
        <v>0.0128</v>
      </c>
      <c r="G36" s="16" t="n">
        <f aca="false">G35</f>
        <v>0.0038892668595392</v>
      </c>
      <c r="H36" s="16" t="n">
        <f aca="false">H35</f>
        <v>0.029</v>
      </c>
      <c r="I36" s="16" t="n">
        <f aca="false">I35</f>
        <v>0.0358883400843904</v>
      </c>
      <c r="J36" s="16" t="n">
        <f aca="false">J35</f>
        <v>0.0038892668595392</v>
      </c>
    </row>
    <row r="37" customFormat="false" ht="12.75" hidden="false" customHeight="false" outlineLevel="0" collapsed="false">
      <c r="B37" s="15" t="n">
        <f aca="false">EDATE(B36,1)</f>
        <v>37469</v>
      </c>
      <c r="C37" s="16" t="n">
        <f aca="false">C36</f>
        <v>0.0182</v>
      </c>
      <c r="D37" s="16" t="n">
        <f aca="false">D36</f>
        <v>0.0162</v>
      </c>
      <c r="E37" s="16" t="n">
        <f aca="false">E36</f>
        <v>0.0707</v>
      </c>
      <c r="F37" s="16" t="n">
        <f aca="false">F36</f>
        <v>0.0128</v>
      </c>
      <c r="G37" s="16" t="n">
        <f aca="false">G36</f>
        <v>0.0038892668595392</v>
      </c>
      <c r="H37" s="16" t="n">
        <f aca="false">H36</f>
        <v>0.029</v>
      </c>
      <c r="I37" s="16" t="n">
        <f aca="false">I36</f>
        <v>0.0358883400843904</v>
      </c>
      <c r="J37" s="16" t="n">
        <f aca="false">J36</f>
        <v>0.0038892668595392</v>
      </c>
    </row>
    <row r="38" customFormat="false" ht="12.75" hidden="false" customHeight="false" outlineLevel="0" collapsed="false">
      <c r="B38" s="15" t="n">
        <f aca="false">EDATE(B37,1)</f>
        <v>37500</v>
      </c>
      <c r="C38" s="16" t="n">
        <f aca="false">C37</f>
        <v>0.0182</v>
      </c>
      <c r="D38" s="16" t="n">
        <f aca="false">D37</f>
        <v>0.0162</v>
      </c>
      <c r="E38" s="16" t="n">
        <f aca="false">E37</f>
        <v>0.0707</v>
      </c>
      <c r="F38" s="16" t="n">
        <f aca="false">F37</f>
        <v>0.0128</v>
      </c>
      <c r="G38" s="16" t="n">
        <f aca="false">G37</f>
        <v>0.0038892668595392</v>
      </c>
      <c r="H38" s="16" t="n">
        <f aca="false">H37</f>
        <v>0.029</v>
      </c>
      <c r="I38" s="16" t="n">
        <f aca="false">I37</f>
        <v>0.0358883400843904</v>
      </c>
      <c r="J38" s="16" t="n">
        <f aca="false">J37</f>
        <v>0.0038892668595392</v>
      </c>
    </row>
    <row r="39" customFormat="false" ht="12.75" hidden="false" customHeight="false" outlineLevel="0" collapsed="false">
      <c r="B39" s="15" t="n">
        <f aca="false">EDATE(B38,1)</f>
        <v>37530</v>
      </c>
      <c r="C39" s="16" t="n">
        <f aca="false">C38</f>
        <v>0.0182</v>
      </c>
      <c r="D39" s="16" t="n">
        <f aca="false">D38</f>
        <v>0.0162</v>
      </c>
      <c r="E39" s="16" t="n">
        <f aca="false">E38</f>
        <v>0.0707</v>
      </c>
      <c r="F39" s="16" t="n">
        <f aca="false">F38</f>
        <v>0.0128</v>
      </c>
      <c r="G39" s="16" t="n">
        <f aca="false">G38</f>
        <v>0.0038892668595392</v>
      </c>
      <c r="H39" s="16" t="n">
        <f aca="false">H38</f>
        <v>0.029</v>
      </c>
      <c r="I39" s="16" t="n">
        <f aca="false">I38</f>
        <v>0.0358883400843904</v>
      </c>
      <c r="J39" s="16" t="n">
        <f aca="false">J38</f>
        <v>0.0038892668595392</v>
      </c>
    </row>
    <row r="40" customFormat="false" ht="12.75" hidden="false" customHeight="false" outlineLevel="0" collapsed="false">
      <c r="B40" s="15" t="n">
        <f aca="false">EDATE(B39,1)</f>
        <v>37561</v>
      </c>
      <c r="C40" s="16" t="n">
        <f aca="false">C39</f>
        <v>0.0182</v>
      </c>
      <c r="D40" s="16" t="n">
        <f aca="false">D39</f>
        <v>0.0162</v>
      </c>
      <c r="E40" s="16" t="n">
        <f aca="false">E39</f>
        <v>0.0707</v>
      </c>
      <c r="F40" s="16" t="n">
        <f aca="false">F39</f>
        <v>0.0128</v>
      </c>
      <c r="G40" s="16" t="n">
        <f aca="false">G39</f>
        <v>0.0038892668595392</v>
      </c>
      <c r="H40" s="16" t="n">
        <f aca="false">H39</f>
        <v>0.029</v>
      </c>
      <c r="I40" s="16" t="n">
        <f aca="false">I39</f>
        <v>0.0358883400843904</v>
      </c>
      <c r="J40" s="16" t="n">
        <f aca="false">J39</f>
        <v>0.0038892668595392</v>
      </c>
    </row>
    <row r="41" customFormat="false" ht="12.75" hidden="false" customHeight="false" outlineLevel="0" collapsed="false">
      <c r="B41" s="15" t="n">
        <f aca="false">EDATE(B40,1)</f>
        <v>37591</v>
      </c>
      <c r="C41" s="16" t="n">
        <f aca="false">C40</f>
        <v>0.0182</v>
      </c>
      <c r="D41" s="16" t="n">
        <f aca="false">D40</f>
        <v>0.0162</v>
      </c>
      <c r="E41" s="16" t="n">
        <f aca="false">E40</f>
        <v>0.0707</v>
      </c>
      <c r="F41" s="16" t="n">
        <f aca="false">F40</f>
        <v>0.0128</v>
      </c>
      <c r="G41" s="16" t="n">
        <f aca="false">G40</f>
        <v>0.0038892668595392</v>
      </c>
      <c r="H41" s="16" t="n">
        <f aca="false">H40</f>
        <v>0.029</v>
      </c>
      <c r="I41" s="16" t="n">
        <f aca="false">I40</f>
        <v>0.0358883400843904</v>
      </c>
      <c r="J41" s="16" t="n">
        <f aca="false">J40</f>
        <v>0.0038892668595392</v>
      </c>
    </row>
    <row r="42" customFormat="false" ht="12.75" hidden="false" customHeight="false" outlineLevel="0" collapsed="false">
      <c r="B42" s="15" t="n">
        <f aca="false">EDATE(B41,1)</f>
        <v>37622</v>
      </c>
      <c r="C42" s="19" t="n">
        <f aca="false">C41*C211</f>
        <v>0.018746</v>
      </c>
      <c r="D42" s="19" t="n">
        <f aca="false">D41*D211</f>
        <v>0.016686</v>
      </c>
      <c r="E42" s="19" t="n">
        <f aca="false">E41*E211</f>
        <v>0.0707</v>
      </c>
      <c r="F42" s="19" t="n">
        <f aca="false">F41*F211</f>
        <v>0.0128</v>
      </c>
      <c r="G42" s="19" t="n">
        <f aca="false">G41*G211</f>
        <v>0.00505604691740096</v>
      </c>
      <c r="H42" s="19" t="n">
        <f aca="false">H41*H211</f>
        <v>0.029</v>
      </c>
      <c r="I42" s="19" t="n">
        <f aca="false">I41*I211</f>
        <v>0.0466548421097075</v>
      </c>
      <c r="J42" s="19" t="n">
        <f aca="false">J41*J211</f>
        <v>0.00505604691740096</v>
      </c>
    </row>
    <row r="43" customFormat="false" ht="12.75" hidden="false" customHeight="false" outlineLevel="0" collapsed="false">
      <c r="B43" s="15" t="n">
        <f aca="false">EDATE(B42,1)</f>
        <v>37653</v>
      </c>
      <c r="C43" s="16" t="n">
        <f aca="false">C42</f>
        <v>0.018746</v>
      </c>
      <c r="D43" s="16" t="n">
        <f aca="false">D42</f>
        <v>0.016686</v>
      </c>
      <c r="E43" s="16" t="n">
        <f aca="false">E42</f>
        <v>0.0707</v>
      </c>
      <c r="F43" s="16" t="n">
        <f aca="false">F42</f>
        <v>0.0128</v>
      </c>
      <c r="G43" s="16" t="n">
        <f aca="false">G42</f>
        <v>0.00505604691740096</v>
      </c>
      <c r="H43" s="16" t="n">
        <f aca="false">H42</f>
        <v>0.029</v>
      </c>
      <c r="I43" s="16" t="n">
        <f aca="false">I42</f>
        <v>0.0466548421097075</v>
      </c>
      <c r="J43" s="16" t="n">
        <f aca="false">J42</f>
        <v>0.00505604691740096</v>
      </c>
    </row>
    <row r="44" customFormat="false" ht="12.75" hidden="false" customHeight="false" outlineLevel="0" collapsed="false">
      <c r="B44" s="15" t="n">
        <f aca="false">EDATE(B43,1)</f>
        <v>37681</v>
      </c>
      <c r="C44" s="16" t="n">
        <f aca="false">C43</f>
        <v>0.018746</v>
      </c>
      <c r="D44" s="16" t="n">
        <f aca="false">D43</f>
        <v>0.016686</v>
      </c>
      <c r="E44" s="16" t="n">
        <f aca="false">E43</f>
        <v>0.0707</v>
      </c>
      <c r="F44" s="16" t="n">
        <f aca="false">F43</f>
        <v>0.0128</v>
      </c>
      <c r="G44" s="16" t="n">
        <f aca="false">G43</f>
        <v>0.00505604691740096</v>
      </c>
      <c r="H44" s="16" t="n">
        <f aca="false">H43</f>
        <v>0.029</v>
      </c>
      <c r="I44" s="16" t="n">
        <f aca="false">I43</f>
        <v>0.0466548421097075</v>
      </c>
      <c r="J44" s="16" t="n">
        <f aca="false">J43</f>
        <v>0.00505604691740096</v>
      </c>
    </row>
    <row r="45" customFormat="false" ht="12.75" hidden="false" customHeight="false" outlineLevel="0" collapsed="false">
      <c r="B45" s="15" t="n">
        <f aca="false">EDATE(B44,1)</f>
        <v>37712</v>
      </c>
      <c r="C45" s="16" t="n">
        <f aca="false">C44</f>
        <v>0.018746</v>
      </c>
      <c r="D45" s="16" t="n">
        <f aca="false">D44</f>
        <v>0.016686</v>
      </c>
      <c r="E45" s="16" t="n">
        <f aca="false">E44</f>
        <v>0.0707</v>
      </c>
      <c r="F45" s="16" t="n">
        <f aca="false">F44</f>
        <v>0.0128</v>
      </c>
      <c r="G45" s="16" t="n">
        <f aca="false">G44</f>
        <v>0.00505604691740096</v>
      </c>
      <c r="H45" s="16" t="n">
        <f aca="false">H44</f>
        <v>0.029</v>
      </c>
      <c r="I45" s="16" t="n">
        <f aca="false">I44</f>
        <v>0.0466548421097075</v>
      </c>
      <c r="J45" s="16" t="n">
        <f aca="false">J44</f>
        <v>0.00505604691740096</v>
      </c>
    </row>
    <row r="46" customFormat="false" ht="12.75" hidden="false" customHeight="false" outlineLevel="0" collapsed="false">
      <c r="B46" s="15" t="n">
        <f aca="false">EDATE(B45,1)</f>
        <v>37742</v>
      </c>
      <c r="C46" s="16" t="n">
        <f aca="false">C45</f>
        <v>0.018746</v>
      </c>
      <c r="D46" s="16" t="n">
        <f aca="false">D45</f>
        <v>0.016686</v>
      </c>
      <c r="E46" s="16" t="n">
        <f aca="false">E45</f>
        <v>0.0707</v>
      </c>
      <c r="F46" s="16" t="n">
        <f aca="false">F45</f>
        <v>0.0128</v>
      </c>
      <c r="G46" s="16" t="n">
        <f aca="false">G45</f>
        <v>0.00505604691740096</v>
      </c>
      <c r="H46" s="16" t="n">
        <f aca="false">H45</f>
        <v>0.029</v>
      </c>
      <c r="I46" s="16" t="n">
        <f aca="false">I45</f>
        <v>0.0466548421097075</v>
      </c>
      <c r="J46" s="16" t="n">
        <f aca="false">J45</f>
        <v>0.00505604691740096</v>
      </c>
    </row>
    <row r="47" customFormat="false" ht="12.75" hidden="false" customHeight="false" outlineLevel="0" collapsed="false">
      <c r="B47" s="15" t="n">
        <f aca="false">EDATE(B46,1)</f>
        <v>37773</v>
      </c>
      <c r="C47" s="16" t="n">
        <f aca="false">C46</f>
        <v>0.018746</v>
      </c>
      <c r="D47" s="16" t="n">
        <f aca="false">D46</f>
        <v>0.016686</v>
      </c>
      <c r="E47" s="16" t="n">
        <f aca="false">E46</f>
        <v>0.0707</v>
      </c>
      <c r="F47" s="16" t="n">
        <f aca="false">F46</f>
        <v>0.0128</v>
      </c>
      <c r="G47" s="16" t="n">
        <f aca="false">G46</f>
        <v>0.00505604691740096</v>
      </c>
      <c r="H47" s="16" t="n">
        <f aca="false">H46</f>
        <v>0.029</v>
      </c>
      <c r="I47" s="16" t="n">
        <f aca="false">I46</f>
        <v>0.0466548421097075</v>
      </c>
      <c r="J47" s="16" t="n">
        <f aca="false">J46</f>
        <v>0.00505604691740096</v>
      </c>
    </row>
    <row r="48" customFormat="false" ht="12.75" hidden="false" customHeight="false" outlineLevel="0" collapsed="false">
      <c r="B48" s="15" t="n">
        <f aca="false">EDATE(B47,1)</f>
        <v>37803</v>
      </c>
      <c r="C48" s="16" t="n">
        <f aca="false">C47</f>
        <v>0.018746</v>
      </c>
      <c r="D48" s="16" t="n">
        <f aca="false">D47</f>
        <v>0.016686</v>
      </c>
      <c r="E48" s="16" t="n">
        <f aca="false">E47</f>
        <v>0.0707</v>
      </c>
      <c r="F48" s="16" t="n">
        <f aca="false">F47</f>
        <v>0.0128</v>
      </c>
      <c r="G48" s="16" t="n">
        <f aca="false">G47</f>
        <v>0.00505604691740096</v>
      </c>
      <c r="H48" s="16" t="n">
        <f aca="false">H47</f>
        <v>0.029</v>
      </c>
      <c r="I48" s="16" t="n">
        <f aca="false">I47</f>
        <v>0.0466548421097075</v>
      </c>
      <c r="J48" s="16" t="n">
        <f aca="false">J47</f>
        <v>0.00505604691740096</v>
      </c>
    </row>
    <row r="49" customFormat="false" ht="12.75" hidden="false" customHeight="false" outlineLevel="0" collapsed="false">
      <c r="B49" s="15" t="n">
        <f aca="false">EDATE(B48,1)</f>
        <v>37834</v>
      </c>
      <c r="C49" s="16" t="n">
        <f aca="false">C48</f>
        <v>0.018746</v>
      </c>
      <c r="D49" s="16" t="n">
        <f aca="false">D48</f>
        <v>0.016686</v>
      </c>
      <c r="E49" s="16" t="n">
        <f aca="false">E48</f>
        <v>0.0707</v>
      </c>
      <c r="F49" s="16" t="n">
        <f aca="false">F48</f>
        <v>0.0128</v>
      </c>
      <c r="G49" s="16" t="n">
        <f aca="false">G48</f>
        <v>0.00505604691740096</v>
      </c>
      <c r="H49" s="16" t="n">
        <f aca="false">H48</f>
        <v>0.029</v>
      </c>
      <c r="I49" s="16" t="n">
        <f aca="false">I48</f>
        <v>0.0466548421097075</v>
      </c>
      <c r="J49" s="16" t="n">
        <f aca="false">J48</f>
        <v>0.00505604691740096</v>
      </c>
    </row>
    <row r="50" customFormat="false" ht="12.75" hidden="false" customHeight="false" outlineLevel="0" collapsed="false">
      <c r="B50" s="15" t="n">
        <f aca="false">EDATE(B49,1)</f>
        <v>37865</v>
      </c>
      <c r="C50" s="16" t="n">
        <f aca="false">C49</f>
        <v>0.018746</v>
      </c>
      <c r="D50" s="16" t="n">
        <f aca="false">D49</f>
        <v>0.016686</v>
      </c>
      <c r="E50" s="16" t="n">
        <f aca="false">E49</f>
        <v>0.0707</v>
      </c>
      <c r="F50" s="16" t="n">
        <f aca="false">F49</f>
        <v>0.0128</v>
      </c>
      <c r="G50" s="16" t="n">
        <f aca="false">G49</f>
        <v>0.00505604691740096</v>
      </c>
      <c r="H50" s="16" t="n">
        <f aca="false">H49</f>
        <v>0.029</v>
      </c>
      <c r="I50" s="16" t="n">
        <f aca="false">I49</f>
        <v>0.0466548421097075</v>
      </c>
      <c r="J50" s="16" t="n">
        <f aca="false">J49</f>
        <v>0.00505604691740096</v>
      </c>
    </row>
    <row r="51" customFormat="false" ht="12.75" hidden="false" customHeight="false" outlineLevel="0" collapsed="false">
      <c r="B51" s="15" t="n">
        <f aca="false">EDATE(B50,1)</f>
        <v>37895</v>
      </c>
      <c r="C51" s="16" t="n">
        <f aca="false">C50</f>
        <v>0.018746</v>
      </c>
      <c r="D51" s="16" t="n">
        <f aca="false">D50</f>
        <v>0.016686</v>
      </c>
      <c r="E51" s="16" t="n">
        <f aca="false">E50</f>
        <v>0.0707</v>
      </c>
      <c r="F51" s="16" t="n">
        <f aca="false">F50</f>
        <v>0.0128</v>
      </c>
      <c r="G51" s="16" t="n">
        <f aca="false">G50</f>
        <v>0.00505604691740096</v>
      </c>
      <c r="H51" s="16" t="n">
        <f aca="false">H50</f>
        <v>0.029</v>
      </c>
      <c r="I51" s="16" t="n">
        <f aca="false">I50</f>
        <v>0.0466548421097075</v>
      </c>
      <c r="J51" s="16" t="n">
        <f aca="false">J50</f>
        <v>0.00505604691740096</v>
      </c>
    </row>
    <row r="52" customFormat="false" ht="12.75" hidden="false" customHeight="false" outlineLevel="0" collapsed="false">
      <c r="B52" s="15" t="n">
        <f aca="false">EDATE(B51,1)</f>
        <v>37926</v>
      </c>
      <c r="C52" s="16" t="n">
        <f aca="false">C51</f>
        <v>0.018746</v>
      </c>
      <c r="D52" s="16" t="n">
        <f aca="false">D51</f>
        <v>0.016686</v>
      </c>
      <c r="E52" s="16" t="n">
        <f aca="false">E51</f>
        <v>0.0707</v>
      </c>
      <c r="F52" s="16" t="n">
        <f aca="false">F51</f>
        <v>0.0128</v>
      </c>
      <c r="G52" s="16" t="n">
        <f aca="false">G51</f>
        <v>0.00505604691740096</v>
      </c>
      <c r="H52" s="16" t="n">
        <f aca="false">H51</f>
        <v>0.029</v>
      </c>
      <c r="I52" s="16" t="n">
        <f aca="false">I51</f>
        <v>0.0466548421097075</v>
      </c>
      <c r="J52" s="16" t="n">
        <f aca="false">J51</f>
        <v>0.00505604691740096</v>
      </c>
    </row>
    <row r="53" customFormat="false" ht="12.75" hidden="false" customHeight="false" outlineLevel="0" collapsed="false">
      <c r="B53" s="15" t="n">
        <f aca="false">EDATE(B52,1)</f>
        <v>37956</v>
      </c>
      <c r="C53" s="16" t="n">
        <f aca="false">C52</f>
        <v>0.018746</v>
      </c>
      <c r="D53" s="16" t="n">
        <f aca="false">D52</f>
        <v>0.016686</v>
      </c>
      <c r="E53" s="16" t="n">
        <f aca="false">E52</f>
        <v>0.0707</v>
      </c>
      <c r="F53" s="16" t="n">
        <f aca="false">F52</f>
        <v>0.0128</v>
      </c>
      <c r="G53" s="16" t="n">
        <f aca="false">G52</f>
        <v>0.00505604691740096</v>
      </c>
      <c r="H53" s="16" t="n">
        <f aca="false">H52</f>
        <v>0.029</v>
      </c>
      <c r="I53" s="16" t="n">
        <f aca="false">I52</f>
        <v>0.0466548421097075</v>
      </c>
      <c r="J53" s="16" t="n">
        <f aca="false">J52</f>
        <v>0.00505604691740096</v>
      </c>
    </row>
    <row r="54" customFormat="false" ht="12.75" hidden="false" customHeight="false" outlineLevel="0" collapsed="false">
      <c r="B54" s="15" t="n">
        <f aca="false">EDATE(B53,1)</f>
        <v>37987</v>
      </c>
      <c r="C54" s="19" t="n">
        <f aca="false">C53*C223</f>
        <v>0.0224952</v>
      </c>
      <c r="D54" s="19" t="n">
        <f aca="false">D53*D223</f>
        <v>0.0200232</v>
      </c>
      <c r="E54" s="19" t="n">
        <f aca="false">E53*E223</f>
        <v>0.0707</v>
      </c>
      <c r="F54" s="19" t="n">
        <f aca="false">F53*F223</f>
        <v>0.0128</v>
      </c>
      <c r="G54" s="19" t="n">
        <f aca="false">G53*G223</f>
        <v>0.00515716785574898</v>
      </c>
      <c r="H54" s="19" t="n">
        <f aca="false">H53*H223</f>
        <v>0.029</v>
      </c>
      <c r="I54" s="19" t="n">
        <f aca="false">I53*I223</f>
        <v>0.0475879389519017</v>
      </c>
      <c r="J54" s="19" t="n">
        <f aca="false">J53*J223</f>
        <v>0.00515716785574898</v>
      </c>
    </row>
    <row r="55" customFormat="false" ht="12.75" hidden="false" customHeight="false" outlineLevel="0" collapsed="false">
      <c r="B55" s="15" t="n">
        <f aca="false">EDATE(B54,1)</f>
        <v>38018</v>
      </c>
      <c r="C55" s="16" t="n">
        <f aca="false">C54</f>
        <v>0.0224952</v>
      </c>
      <c r="D55" s="16" t="n">
        <f aca="false">D54</f>
        <v>0.0200232</v>
      </c>
      <c r="E55" s="16" t="n">
        <f aca="false">E54</f>
        <v>0.0707</v>
      </c>
      <c r="F55" s="16" t="n">
        <f aca="false">F54</f>
        <v>0.0128</v>
      </c>
      <c r="G55" s="16" t="n">
        <f aca="false">G54</f>
        <v>0.00515716785574898</v>
      </c>
      <c r="H55" s="16" t="n">
        <f aca="false">H54</f>
        <v>0.029</v>
      </c>
      <c r="I55" s="16" t="n">
        <f aca="false">I54</f>
        <v>0.0475879389519017</v>
      </c>
      <c r="J55" s="16" t="n">
        <f aca="false">J54</f>
        <v>0.00515716785574898</v>
      </c>
    </row>
    <row r="56" customFormat="false" ht="12.75" hidden="false" customHeight="false" outlineLevel="0" collapsed="false">
      <c r="B56" s="15" t="n">
        <f aca="false">EDATE(B55,1)</f>
        <v>38047</v>
      </c>
      <c r="C56" s="16" t="n">
        <f aca="false">C55</f>
        <v>0.0224952</v>
      </c>
      <c r="D56" s="16" t="n">
        <f aca="false">D55</f>
        <v>0.0200232</v>
      </c>
      <c r="E56" s="16" t="n">
        <f aca="false">E55</f>
        <v>0.0707</v>
      </c>
      <c r="F56" s="16" t="n">
        <f aca="false">F55</f>
        <v>0.0128</v>
      </c>
      <c r="G56" s="16" t="n">
        <f aca="false">G55</f>
        <v>0.00515716785574898</v>
      </c>
      <c r="H56" s="16" t="n">
        <f aca="false">H55</f>
        <v>0.029</v>
      </c>
      <c r="I56" s="16" t="n">
        <f aca="false">I55</f>
        <v>0.0475879389519017</v>
      </c>
      <c r="J56" s="16" t="n">
        <f aca="false">J55</f>
        <v>0.00515716785574898</v>
      </c>
    </row>
    <row r="57" customFormat="false" ht="12.75" hidden="false" customHeight="false" outlineLevel="0" collapsed="false">
      <c r="B57" s="15" t="n">
        <f aca="false">EDATE(B56,1)</f>
        <v>38078</v>
      </c>
      <c r="C57" s="16" t="n">
        <f aca="false">C56</f>
        <v>0.0224952</v>
      </c>
      <c r="D57" s="16" t="n">
        <f aca="false">D56</f>
        <v>0.0200232</v>
      </c>
      <c r="E57" s="16" t="n">
        <f aca="false">E56</f>
        <v>0.0707</v>
      </c>
      <c r="F57" s="16" t="n">
        <f aca="false">F56</f>
        <v>0.0128</v>
      </c>
      <c r="G57" s="16" t="n">
        <f aca="false">G56</f>
        <v>0.00515716785574898</v>
      </c>
      <c r="H57" s="16" t="n">
        <f aca="false">H56</f>
        <v>0.029</v>
      </c>
      <c r="I57" s="16" t="n">
        <f aca="false">I56</f>
        <v>0.0475879389519017</v>
      </c>
      <c r="J57" s="16" t="n">
        <f aca="false">J56</f>
        <v>0.00515716785574898</v>
      </c>
    </row>
    <row r="58" customFormat="false" ht="12.75" hidden="false" customHeight="false" outlineLevel="0" collapsed="false">
      <c r="B58" s="15" t="n">
        <f aca="false">EDATE(B57,1)</f>
        <v>38108</v>
      </c>
      <c r="C58" s="16" t="n">
        <f aca="false">C57</f>
        <v>0.0224952</v>
      </c>
      <c r="D58" s="16" t="n">
        <f aca="false">D57</f>
        <v>0.0200232</v>
      </c>
      <c r="E58" s="16" t="n">
        <f aca="false">E57</f>
        <v>0.0707</v>
      </c>
      <c r="F58" s="16" t="n">
        <f aca="false">F57</f>
        <v>0.0128</v>
      </c>
      <c r="G58" s="16" t="n">
        <f aca="false">G57</f>
        <v>0.00515716785574898</v>
      </c>
      <c r="H58" s="16" t="n">
        <f aca="false">H57</f>
        <v>0.029</v>
      </c>
      <c r="I58" s="16" t="n">
        <f aca="false">I57</f>
        <v>0.0475879389519017</v>
      </c>
      <c r="J58" s="16" t="n">
        <f aca="false">J57</f>
        <v>0.00515716785574898</v>
      </c>
    </row>
    <row r="59" customFormat="false" ht="12.75" hidden="false" customHeight="false" outlineLevel="0" collapsed="false">
      <c r="B59" s="15" t="n">
        <f aca="false">EDATE(B58,1)</f>
        <v>38139</v>
      </c>
      <c r="C59" s="16" t="n">
        <f aca="false">C58</f>
        <v>0.0224952</v>
      </c>
      <c r="D59" s="16" t="n">
        <f aca="false">D58</f>
        <v>0.0200232</v>
      </c>
      <c r="E59" s="16" t="n">
        <f aca="false">E58</f>
        <v>0.0707</v>
      </c>
      <c r="F59" s="16" t="n">
        <f aca="false">F58</f>
        <v>0.0128</v>
      </c>
      <c r="G59" s="16" t="n">
        <f aca="false">G58</f>
        <v>0.00515716785574898</v>
      </c>
      <c r="H59" s="16" t="n">
        <f aca="false">H58</f>
        <v>0.029</v>
      </c>
      <c r="I59" s="16" t="n">
        <f aca="false">I58</f>
        <v>0.0475879389519017</v>
      </c>
      <c r="J59" s="16" t="n">
        <f aca="false">J58</f>
        <v>0.00515716785574898</v>
      </c>
    </row>
    <row r="60" customFormat="false" ht="12.75" hidden="false" customHeight="false" outlineLevel="0" collapsed="false">
      <c r="B60" s="15" t="n">
        <f aca="false">EDATE(B59,1)</f>
        <v>38169</v>
      </c>
      <c r="C60" s="16" t="n">
        <f aca="false">C59</f>
        <v>0.0224952</v>
      </c>
      <c r="D60" s="16" t="n">
        <f aca="false">D59</f>
        <v>0.0200232</v>
      </c>
      <c r="E60" s="16" t="n">
        <f aca="false">E59</f>
        <v>0.0707</v>
      </c>
      <c r="F60" s="16" t="n">
        <f aca="false">F59</f>
        <v>0.0128</v>
      </c>
      <c r="G60" s="16" t="n">
        <f aca="false">G59</f>
        <v>0.00515716785574898</v>
      </c>
      <c r="H60" s="16" t="n">
        <f aca="false">H59</f>
        <v>0.029</v>
      </c>
      <c r="I60" s="16" t="n">
        <f aca="false">I59</f>
        <v>0.0475879389519017</v>
      </c>
      <c r="J60" s="16" t="n">
        <f aca="false">J59</f>
        <v>0.00515716785574898</v>
      </c>
    </row>
    <row r="61" customFormat="false" ht="12.75" hidden="false" customHeight="false" outlineLevel="0" collapsed="false">
      <c r="B61" s="15" t="n">
        <f aca="false">EDATE(B60,1)</f>
        <v>38200</v>
      </c>
      <c r="C61" s="16" t="n">
        <f aca="false">C60</f>
        <v>0.0224952</v>
      </c>
      <c r="D61" s="16" t="n">
        <f aca="false">D60</f>
        <v>0.0200232</v>
      </c>
      <c r="E61" s="16" t="n">
        <f aca="false">E60</f>
        <v>0.0707</v>
      </c>
      <c r="F61" s="16" t="n">
        <f aca="false">F60</f>
        <v>0.0128</v>
      </c>
      <c r="G61" s="16" t="n">
        <f aca="false">G60</f>
        <v>0.00515716785574898</v>
      </c>
      <c r="H61" s="16" t="n">
        <f aca="false">H60</f>
        <v>0.029</v>
      </c>
      <c r="I61" s="16" t="n">
        <f aca="false">I60</f>
        <v>0.0475879389519017</v>
      </c>
      <c r="J61" s="16" t="n">
        <f aca="false">J60</f>
        <v>0.00515716785574898</v>
      </c>
    </row>
    <row r="62" customFormat="false" ht="12.75" hidden="false" customHeight="false" outlineLevel="0" collapsed="false">
      <c r="B62" s="15" t="n">
        <f aca="false">EDATE(B61,1)</f>
        <v>38231</v>
      </c>
      <c r="C62" s="16" t="n">
        <f aca="false">C61</f>
        <v>0.0224952</v>
      </c>
      <c r="D62" s="16" t="n">
        <f aca="false">D61</f>
        <v>0.0200232</v>
      </c>
      <c r="E62" s="16" t="n">
        <f aca="false">E61</f>
        <v>0.0707</v>
      </c>
      <c r="F62" s="16" t="n">
        <f aca="false">F61</f>
        <v>0.0128</v>
      </c>
      <c r="G62" s="16" t="n">
        <f aca="false">G61</f>
        <v>0.00515716785574898</v>
      </c>
      <c r="H62" s="16" t="n">
        <f aca="false">H61</f>
        <v>0.029</v>
      </c>
      <c r="I62" s="16" t="n">
        <f aca="false">I61</f>
        <v>0.0475879389519017</v>
      </c>
      <c r="J62" s="16" t="n">
        <f aca="false">J61</f>
        <v>0.00515716785574898</v>
      </c>
    </row>
    <row r="63" customFormat="false" ht="12.75" hidden="false" customHeight="false" outlineLevel="0" collapsed="false">
      <c r="B63" s="15" t="n">
        <f aca="false">EDATE(B62,1)</f>
        <v>38261</v>
      </c>
      <c r="C63" s="16" t="n">
        <f aca="false">C62</f>
        <v>0.0224952</v>
      </c>
      <c r="D63" s="16" t="n">
        <f aca="false">D62</f>
        <v>0.0200232</v>
      </c>
      <c r="E63" s="16" t="n">
        <f aca="false">E62</f>
        <v>0.0707</v>
      </c>
      <c r="F63" s="16" t="n">
        <f aca="false">F62</f>
        <v>0.0128</v>
      </c>
      <c r="G63" s="16" t="n">
        <f aca="false">G62</f>
        <v>0.00515716785574898</v>
      </c>
      <c r="H63" s="16" t="n">
        <f aca="false">H62</f>
        <v>0.029</v>
      </c>
      <c r="I63" s="16" t="n">
        <f aca="false">I62</f>
        <v>0.0475879389519017</v>
      </c>
      <c r="J63" s="16" t="n">
        <f aca="false">J62</f>
        <v>0.00515716785574898</v>
      </c>
    </row>
    <row r="64" customFormat="false" ht="12.75" hidden="false" customHeight="false" outlineLevel="0" collapsed="false">
      <c r="B64" s="15" t="n">
        <f aca="false">EDATE(B63,1)</f>
        <v>38292</v>
      </c>
      <c r="C64" s="16" t="n">
        <f aca="false">C63</f>
        <v>0.0224952</v>
      </c>
      <c r="D64" s="16" t="n">
        <f aca="false">D63</f>
        <v>0.0200232</v>
      </c>
      <c r="E64" s="16" t="n">
        <f aca="false">E63</f>
        <v>0.0707</v>
      </c>
      <c r="F64" s="16" t="n">
        <f aca="false">F63</f>
        <v>0.0128</v>
      </c>
      <c r="G64" s="16" t="n">
        <f aca="false">G63</f>
        <v>0.00515716785574898</v>
      </c>
      <c r="H64" s="16" t="n">
        <f aca="false">H63</f>
        <v>0.029</v>
      </c>
      <c r="I64" s="16" t="n">
        <f aca="false">I63</f>
        <v>0.0475879389519017</v>
      </c>
      <c r="J64" s="16" t="n">
        <f aca="false">J63</f>
        <v>0.00515716785574898</v>
      </c>
    </row>
    <row r="65" customFormat="false" ht="12.75" hidden="false" customHeight="false" outlineLevel="0" collapsed="false">
      <c r="B65" s="15" t="n">
        <f aca="false">EDATE(B64,1)</f>
        <v>38322</v>
      </c>
      <c r="C65" s="16" t="n">
        <f aca="false">C64</f>
        <v>0.0224952</v>
      </c>
      <c r="D65" s="16" t="n">
        <f aca="false">D64</f>
        <v>0.0200232</v>
      </c>
      <c r="E65" s="16" t="n">
        <f aca="false">E64</f>
        <v>0.0707</v>
      </c>
      <c r="F65" s="16" t="n">
        <f aca="false">F64</f>
        <v>0.0128</v>
      </c>
      <c r="G65" s="16" t="n">
        <f aca="false">G64</f>
        <v>0.00515716785574898</v>
      </c>
      <c r="H65" s="16" t="n">
        <f aca="false">H64</f>
        <v>0.029</v>
      </c>
      <c r="I65" s="16" t="n">
        <f aca="false">I64</f>
        <v>0.0475879389519017</v>
      </c>
      <c r="J65" s="16" t="n">
        <f aca="false">J64</f>
        <v>0.00515716785574898</v>
      </c>
    </row>
    <row r="66" customFormat="false" ht="12.75" hidden="false" customHeight="false" outlineLevel="0" collapsed="false">
      <c r="B66" s="15" t="n">
        <f aca="false">EDATE(B65,1)</f>
        <v>38353</v>
      </c>
      <c r="C66" s="19" t="n">
        <f aca="false">C65*C235</f>
        <v>0.0224952</v>
      </c>
      <c r="D66" s="19" t="n">
        <f aca="false">D65*D235</f>
        <v>0.0200232</v>
      </c>
      <c r="E66" s="19" t="n">
        <f aca="false">E65*E235</f>
        <v>0.0707</v>
      </c>
      <c r="F66" s="19" t="n">
        <f aca="false">F65*F235</f>
        <v>0.013184</v>
      </c>
      <c r="G66" s="19" t="n">
        <f aca="false">G65*G235</f>
        <v>0.00526031121286396</v>
      </c>
      <c r="H66" s="19" t="n">
        <f aca="false">H65*H235</f>
        <v>0.029</v>
      </c>
      <c r="I66" s="19" t="n">
        <f aca="false">I65*I235</f>
        <v>0.0485396977309397</v>
      </c>
      <c r="J66" s="19" t="n">
        <f aca="false">J65*J235</f>
        <v>0.00526031121286396</v>
      </c>
    </row>
    <row r="67" customFormat="false" ht="12.75" hidden="false" customHeight="false" outlineLevel="0" collapsed="false">
      <c r="B67" s="15" t="n">
        <f aca="false">EDATE(B66,1)</f>
        <v>38384</v>
      </c>
      <c r="C67" s="16" t="n">
        <f aca="false">C66</f>
        <v>0.0224952</v>
      </c>
      <c r="D67" s="16" t="n">
        <f aca="false">D66</f>
        <v>0.0200232</v>
      </c>
      <c r="E67" s="16" t="n">
        <f aca="false">E66</f>
        <v>0.0707</v>
      </c>
      <c r="F67" s="16" t="n">
        <f aca="false">F66</f>
        <v>0.013184</v>
      </c>
      <c r="G67" s="16" t="n">
        <f aca="false">G66</f>
        <v>0.00526031121286396</v>
      </c>
      <c r="H67" s="16" t="n">
        <f aca="false">H66</f>
        <v>0.029</v>
      </c>
      <c r="I67" s="16" t="n">
        <f aca="false">I66</f>
        <v>0.0485396977309397</v>
      </c>
      <c r="J67" s="16" t="n">
        <f aca="false">J66</f>
        <v>0.00526031121286396</v>
      </c>
    </row>
    <row r="68" customFormat="false" ht="12.75" hidden="false" customHeight="false" outlineLevel="0" collapsed="false">
      <c r="B68" s="15" t="n">
        <f aca="false">EDATE(B67,1)</f>
        <v>38412</v>
      </c>
      <c r="C68" s="16" t="n">
        <f aca="false">C67</f>
        <v>0.0224952</v>
      </c>
      <c r="D68" s="16" t="n">
        <f aca="false">D67</f>
        <v>0.0200232</v>
      </c>
      <c r="E68" s="16" t="n">
        <f aca="false">E67</f>
        <v>0.0707</v>
      </c>
      <c r="F68" s="16" t="n">
        <f aca="false">F67</f>
        <v>0.013184</v>
      </c>
      <c r="G68" s="16" t="n">
        <f aca="false">G67</f>
        <v>0.00526031121286396</v>
      </c>
      <c r="H68" s="16" t="n">
        <f aca="false">H67</f>
        <v>0.029</v>
      </c>
      <c r="I68" s="16" t="n">
        <f aca="false">I67</f>
        <v>0.0485396977309397</v>
      </c>
      <c r="J68" s="16" t="n">
        <f aca="false">J67</f>
        <v>0.00526031121286396</v>
      </c>
    </row>
    <row r="69" customFormat="false" ht="12.75" hidden="false" customHeight="false" outlineLevel="0" collapsed="false">
      <c r="B69" s="15" t="n">
        <f aca="false">EDATE(B68,1)</f>
        <v>38443</v>
      </c>
      <c r="C69" s="16" t="n">
        <f aca="false">C68</f>
        <v>0.0224952</v>
      </c>
      <c r="D69" s="16" t="n">
        <f aca="false">D68</f>
        <v>0.0200232</v>
      </c>
      <c r="E69" s="16" t="n">
        <f aca="false">E68</f>
        <v>0.0707</v>
      </c>
      <c r="F69" s="16" t="n">
        <f aca="false">F68</f>
        <v>0.013184</v>
      </c>
      <c r="G69" s="16" t="n">
        <f aca="false">G68</f>
        <v>0.00526031121286396</v>
      </c>
      <c r="H69" s="16" t="n">
        <f aca="false">H68</f>
        <v>0.029</v>
      </c>
      <c r="I69" s="16" t="n">
        <f aca="false">I68</f>
        <v>0.0485396977309397</v>
      </c>
      <c r="J69" s="16" t="n">
        <f aca="false">J68</f>
        <v>0.00526031121286396</v>
      </c>
    </row>
    <row r="70" customFormat="false" ht="12.75" hidden="false" customHeight="false" outlineLevel="0" collapsed="false">
      <c r="B70" s="15" t="n">
        <f aca="false">EDATE(B69,1)</f>
        <v>38473</v>
      </c>
      <c r="C70" s="16" t="n">
        <f aca="false">C69</f>
        <v>0.0224952</v>
      </c>
      <c r="D70" s="16" t="n">
        <f aca="false">D69</f>
        <v>0.0200232</v>
      </c>
      <c r="E70" s="16" t="n">
        <f aca="false">E69</f>
        <v>0.0707</v>
      </c>
      <c r="F70" s="16" t="n">
        <f aca="false">F69</f>
        <v>0.013184</v>
      </c>
      <c r="G70" s="16" t="n">
        <f aca="false">G69</f>
        <v>0.00526031121286396</v>
      </c>
      <c r="H70" s="16" t="n">
        <f aca="false">H69</f>
        <v>0.029</v>
      </c>
      <c r="I70" s="16" t="n">
        <f aca="false">I69</f>
        <v>0.0485396977309397</v>
      </c>
      <c r="J70" s="16" t="n">
        <f aca="false">J69</f>
        <v>0.00526031121286396</v>
      </c>
    </row>
    <row r="71" customFormat="false" ht="12.75" hidden="false" customHeight="false" outlineLevel="0" collapsed="false">
      <c r="B71" s="15" t="n">
        <f aca="false">EDATE(B70,1)</f>
        <v>38504</v>
      </c>
      <c r="C71" s="16" t="n">
        <f aca="false">C70</f>
        <v>0.0224952</v>
      </c>
      <c r="D71" s="16" t="n">
        <f aca="false">D70</f>
        <v>0.0200232</v>
      </c>
      <c r="E71" s="16" t="n">
        <f aca="false">E70</f>
        <v>0.0707</v>
      </c>
      <c r="F71" s="16" t="n">
        <f aca="false">F70</f>
        <v>0.013184</v>
      </c>
      <c r="G71" s="16" t="n">
        <f aca="false">G70</f>
        <v>0.00526031121286396</v>
      </c>
      <c r="H71" s="16" t="n">
        <f aca="false">H70</f>
        <v>0.029</v>
      </c>
      <c r="I71" s="16" t="n">
        <f aca="false">I70</f>
        <v>0.0485396977309397</v>
      </c>
      <c r="J71" s="16" t="n">
        <f aca="false">J70</f>
        <v>0.00526031121286396</v>
      </c>
    </row>
    <row r="72" customFormat="false" ht="12.75" hidden="false" customHeight="false" outlineLevel="0" collapsed="false">
      <c r="B72" s="15" t="n">
        <f aca="false">EDATE(B71,1)</f>
        <v>38534</v>
      </c>
      <c r="C72" s="16" t="n">
        <f aca="false">C71</f>
        <v>0.0224952</v>
      </c>
      <c r="D72" s="16" t="n">
        <f aca="false">D71</f>
        <v>0.0200232</v>
      </c>
      <c r="E72" s="16" t="n">
        <f aca="false">E71</f>
        <v>0.0707</v>
      </c>
      <c r="F72" s="16" t="n">
        <f aca="false">F71</f>
        <v>0.013184</v>
      </c>
      <c r="G72" s="16" t="n">
        <f aca="false">G71</f>
        <v>0.00526031121286396</v>
      </c>
      <c r="H72" s="16" t="n">
        <f aca="false">H71</f>
        <v>0.029</v>
      </c>
      <c r="I72" s="16" t="n">
        <f aca="false">I71</f>
        <v>0.0485396977309397</v>
      </c>
      <c r="J72" s="16" t="n">
        <f aca="false">J71</f>
        <v>0.00526031121286396</v>
      </c>
    </row>
    <row r="73" customFormat="false" ht="12.75" hidden="false" customHeight="false" outlineLevel="0" collapsed="false">
      <c r="B73" s="15" t="n">
        <f aca="false">EDATE(B72,1)</f>
        <v>38565</v>
      </c>
      <c r="C73" s="16" t="n">
        <f aca="false">C72</f>
        <v>0.0224952</v>
      </c>
      <c r="D73" s="16" t="n">
        <f aca="false">D72</f>
        <v>0.0200232</v>
      </c>
      <c r="E73" s="16" t="n">
        <f aca="false">E72</f>
        <v>0.0707</v>
      </c>
      <c r="F73" s="16" t="n">
        <f aca="false">F72</f>
        <v>0.013184</v>
      </c>
      <c r="G73" s="16" t="n">
        <f aca="false">G72</f>
        <v>0.00526031121286396</v>
      </c>
      <c r="H73" s="16" t="n">
        <f aca="false">H72</f>
        <v>0.029</v>
      </c>
      <c r="I73" s="16" t="n">
        <f aca="false">I72</f>
        <v>0.0485396977309397</v>
      </c>
      <c r="J73" s="16" t="n">
        <f aca="false">J72</f>
        <v>0.00526031121286396</v>
      </c>
    </row>
    <row r="74" customFormat="false" ht="12.75" hidden="false" customHeight="false" outlineLevel="0" collapsed="false">
      <c r="B74" s="15" t="n">
        <f aca="false">EDATE(B73,1)</f>
        <v>38596</v>
      </c>
      <c r="C74" s="16" t="n">
        <f aca="false">C73</f>
        <v>0.0224952</v>
      </c>
      <c r="D74" s="16" t="n">
        <f aca="false">D73</f>
        <v>0.0200232</v>
      </c>
      <c r="E74" s="16" t="n">
        <f aca="false">E73</f>
        <v>0.0707</v>
      </c>
      <c r="F74" s="16" t="n">
        <f aca="false">F73</f>
        <v>0.013184</v>
      </c>
      <c r="G74" s="16" t="n">
        <f aca="false">G73</f>
        <v>0.00526031121286396</v>
      </c>
      <c r="H74" s="16" t="n">
        <f aca="false">H73</f>
        <v>0.029</v>
      </c>
      <c r="I74" s="16" t="n">
        <f aca="false">I73</f>
        <v>0.0485396977309397</v>
      </c>
      <c r="J74" s="16" t="n">
        <f aca="false">J73</f>
        <v>0.00526031121286396</v>
      </c>
    </row>
    <row r="75" customFormat="false" ht="12.75" hidden="false" customHeight="false" outlineLevel="0" collapsed="false">
      <c r="B75" s="15" t="n">
        <f aca="false">EDATE(B74,1)</f>
        <v>38626</v>
      </c>
      <c r="C75" s="16" t="n">
        <f aca="false">C74</f>
        <v>0.0224952</v>
      </c>
      <c r="D75" s="16" t="n">
        <f aca="false">D74</f>
        <v>0.0200232</v>
      </c>
      <c r="E75" s="16" t="n">
        <f aca="false">E74</f>
        <v>0.0707</v>
      </c>
      <c r="F75" s="16" t="n">
        <f aca="false">F74</f>
        <v>0.013184</v>
      </c>
      <c r="G75" s="16" t="n">
        <f aca="false">G74</f>
        <v>0.00526031121286396</v>
      </c>
      <c r="H75" s="16" t="n">
        <f aca="false">H74</f>
        <v>0.029</v>
      </c>
      <c r="I75" s="16" t="n">
        <f aca="false">I74</f>
        <v>0.0485396977309397</v>
      </c>
      <c r="J75" s="16" t="n">
        <f aca="false">J74</f>
        <v>0.00526031121286396</v>
      </c>
    </row>
    <row r="76" customFormat="false" ht="12.75" hidden="false" customHeight="false" outlineLevel="0" collapsed="false">
      <c r="B76" s="15" t="n">
        <f aca="false">EDATE(B75,1)</f>
        <v>38657</v>
      </c>
      <c r="C76" s="16" t="n">
        <f aca="false">C75</f>
        <v>0.0224952</v>
      </c>
      <c r="D76" s="16" t="n">
        <f aca="false">D75</f>
        <v>0.0200232</v>
      </c>
      <c r="E76" s="16" t="n">
        <f aca="false">E75</f>
        <v>0.0707</v>
      </c>
      <c r="F76" s="16" t="n">
        <f aca="false">F75</f>
        <v>0.013184</v>
      </c>
      <c r="G76" s="16" t="n">
        <f aca="false">G75</f>
        <v>0.00526031121286396</v>
      </c>
      <c r="H76" s="16" t="n">
        <f aca="false">H75</f>
        <v>0.029</v>
      </c>
      <c r="I76" s="16" t="n">
        <f aca="false">I75</f>
        <v>0.0485396977309397</v>
      </c>
      <c r="J76" s="16" t="n">
        <f aca="false">J75</f>
        <v>0.00526031121286396</v>
      </c>
    </row>
    <row r="77" customFormat="false" ht="12.75" hidden="false" customHeight="false" outlineLevel="0" collapsed="false">
      <c r="B77" s="15" t="n">
        <f aca="false">EDATE(B76,1)</f>
        <v>38687</v>
      </c>
      <c r="C77" s="16" t="n">
        <f aca="false">C76</f>
        <v>0.0224952</v>
      </c>
      <c r="D77" s="16" t="n">
        <f aca="false">D76</f>
        <v>0.0200232</v>
      </c>
      <c r="E77" s="16" t="n">
        <f aca="false">E76</f>
        <v>0.0707</v>
      </c>
      <c r="F77" s="16" t="n">
        <f aca="false">F76</f>
        <v>0.013184</v>
      </c>
      <c r="G77" s="16" t="n">
        <f aca="false">G76</f>
        <v>0.00526031121286396</v>
      </c>
      <c r="H77" s="16" t="n">
        <f aca="false">H76</f>
        <v>0.029</v>
      </c>
      <c r="I77" s="16" t="n">
        <f aca="false">I76</f>
        <v>0.0485396977309397</v>
      </c>
      <c r="J77" s="16" t="n">
        <f aca="false">J76</f>
        <v>0.00526031121286396</v>
      </c>
    </row>
    <row r="78" customFormat="false" ht="12.75" hidden="false" customHeight="false" outlineLevel="0" collapsed="false">
      <c r="B78" s="15" t="n">
        <f aca="false">EDATE(B77,1)</f>
        <v>38718</v>
      </c>
      <c r="C78" s="19" t="n">
        <f aca="false">C77*C247</f>
        <v>0.0224952</v>
      </c>
      <c r="D78" s="19" t="n">
        <f aca="false">D77*D247</f>
        <v>0.0200232</v>
      </c>
      <c r="E78" s="19" t="n">
        <f aca="false">E77*E247</f>
        <v>0.0707</v>
      </c>
      <c r="F78" s="19" t="n">
        <f aca="false">F77*F247</f>
        <v>0.0158208</v>
      </c>
      <c r="G78" s="19" t="n">
        <f aca="false">G77*G247</f>
        <v>0.00536551743712124</v>
      </c>
      <c r="H78" s="19" t="n">
        <f aca="false">H77*H247</f>
        <v>0.029</v>
      </c>
      <c r="I78" s="19" t="n">
        <f aca="false">I77*I247</f>
        <v>0.0495104916855585</v>
      </c>
      <c r="J78" s="19" t="n">
        <f aca="false">J77*J247</f>
        <v>0.00536551743712124</v>
      </c>
    </row>
    <row r="79" customFormat="false" ht="12.75" hidden="false" customHeight="false" outlineLevel="0" collapsed="false">
      <c r="B79" s="15" t="n">
        <f aca="false">EDATE(B78,1)</f>
        <v>38749</v>
      </c>
      <c r="C79" s="16" t="n">
        <f aca="false">C78</f>
        <v>0.0224952</v>
      </c>
      <c r="D79" s="16" t="n">
        <f aca="false">D78</f>
        <v>0.0200232</v>
      </c>
      <c r="E79" s="16" t="n">
        <f aca="false">E78</f>
        <v>0.0707</v>
      </c>
      <c r="F79" s="16" t="n">
        <f aca="false">F78</f>
        <v>0.0158208</v>
      </c>
      <c r="G79" s="16" t="n">
        <f aca="false">G78</f>
        <v>0.00536551743712124</v>
      </c>
      <c r="H79" s="16" t="n">
        <f aca="false">H78</f>
        <v>0.029</v>
      </c>
      <c r="I79" s="16" t="n">
        <f aca="false">I78</f>
        <v>0.0495104916855585</v>
      </c>
      <c r="J79" s="16" t="n">
        <f aca="false">J78</f>
        <v>0.00536551743712124</v>
      </c>
    </row>
    <row r="80" customFormat="false" ht="12.75" hidden="false" customHeight="false" outlineLevel="0" collapsed="false">
      <c r="B80" s="15" t="n">
        <f aca="false">EDATE(B79,1)</f>
        <v>38777</v>
      </c>
      <c r="C80" s="16" t="n">
        <f aca="false">C79</f>
        <v>0.0224952</v>
      </c>
      <c r="D80" s="16" t="n">
        <f aca="false">D79</f>
        <v>0.0200232</v>
      </c>
      <c r="E80" s="16" t="n">
        <f aca="false">E79</f>
        <v>0.0707</v>
      </c>
      <c r="F80" s="16" t="n">
        <f aca="false">F79</f>
        <v>0.0158208</v>
      </c>
      <c r="G80" s="16" t="n">
        <f aca="false">G79</f>
        <v>0.00536551743712124</v>
      </c>
      <c r="H80" s="16" t="n">
        <f aca="false">H79</f>
        <v>0.029</v>
      </c>
      <c r="I80" s="16" t="n">
        <f aca="false">I79</f>
        <v>0.0495104916855585</v>
      </c>
      <c r="J80" s="16" t="n">
        <f aca="false">J79</f>
        <v>0.00536551743712124</v>
      </c>
    </row>
    <row r="81" customFormat="false" ht="12.75" hidden="false" customHeight="false" outlineLevel="0" collapsed="false">
      <c r="B81" s="15" t="n">
        <f aca="false">EDATE(B80,1)</f>
        <v>38808</v>
      </c>
      <c r="C81" s="16" t="n">
        <f aca="false">C80</f>
        <v>0.0224952</v>
      </c>
      <c r="D81" s="16" t="n">
        <f aca="false">D80</f>
        <v>0.0200232</v>
      </c>
      <c r="E81" s="16" t="n">
        <f aca="false">E80</f>
        <v>0.0707</v>
      </c>
      <c r="F81" s="16" t="n">
        <f aca="false">F80</f>
        <v>0.0158208</v>
      </c>
      <c r="G81" s="16" t="n">
        <f aca="false">G80</f>
        <v>0.00536551743712124</v>
      </c>
      <c r="H81" s="16" t="n">
        <f aca="false">H80</f>
        <v>0.029</v>
      </c>
      <c r="I81" s="16" t="n">
        <f aca="false">I80</f>
        <v>0.0495104916855585</v>
      </c>
      <c r="J81" s="16" t="n">
        <f aca="false">J80</f>
        <v>0.00536551743712124</v>
      </c>
    </row>
    <row r="82" customFormat="false" ht="12.75" hidden="false" customHeight="false" outlineLevel="0" collapsed="false">
      <c r="B82" s="15" t="n">
        <f aca="false">EDATE(B81,1)</f>
        <v>38838</v>
      </c>
      <c r="C82" s="16" t="n">
        <f aca="false">C81</f>
        <v>0.0224952</v>
      </c>
      <c r="D82" s="16" t="n">
        <f aca="false">D81</f>
        <v>0.0200232</v>
      </c>
      <c r="E82" s="16" t="n">
        <f aca="false">E81</f>
        <v>0.0707</v>
      </c>
      <c r="F82" s="16" t="n">
        <f aca="false">F81</f>
        <v>0.0158208</v>
      </c>
      <c r="G82" s="16" t="n">
        <f aca="false">G81</f>
        <v>0.00536551743712124</v>
      </c>
      <c r="H82" s="16" t="n">
        <f aca="false">H81</f>
        <v>0.029</v>
      </c>
      <c r="I82" s="16" t="n">
        <f aca="false">I81</f>
        <v>0.0495104916855585</v>
      </c>
      <c r="J82" s="16" t="n">
        <f aca="false">J81</f>
        <v>0.00536551743712124</v>
      </c>
    </row>
    <row r="83" customFormat="false" ht="12.75" hidden="false" customHeight="false" outlineLevel="0" collapsed="false">
      <c r="B83" s="15" t="n">
        <f aca="false">EDATE(B82,1)</f>
        <v>38869</v>
      </c>
      <c r="C83" s="16" t="n">
        <f aca="false">C82</f>
        <v>0.0224952</v>
      </c>
      <c r="D83" s="16" t="n">
        <f aca="false">D82</f>
        <v>0.0200232</v>
      </c>
      <c r="E83" s="16" t="n">
        <f aca="false">E82</f>
        <v>0.0707</v>
      </c>
      <c r="F83" s="16" t="n">
        <f aca="false">F82</f>
        <v>0.0158208</v>
      </c>
      <c r="G83" s="16" t="n">
        <f aca="false">G82</f>
        <v>0.00536551743712124</v>
      </c>
      <c r="H83" s="16" t="n">
        <f aca="false">H82</f>
        <v>0.029</v>
      </c>
      <c r="I83" s="16" t="n">
        <f aca="false">I82</f>
        <v>0.0495104916855585</v>
      </c>
      <c r="J83" s="16" t="n">
        <f aca="false">J82</f>
        <v>0.00536551743712124</v>
      </c>
    </row>
    <row r="84" customFormat="false" ht="12.75" hidden="false" customHeight="false" outlineLevel="0" collapsed="false">
      <c r="B84" s="15" t="n">
        <f aca="false">EDATE(B83,1)</f>
        <v>38899</v>
      </c>
      <c r="C84" s="16" t="n">
        <f aca="false">C83</f>
        <v>0.0224952</v>
      </c>
      <c r="D84" s="16" t="n">
        <f aca="false">D83</f>
        <v>0.0200232</v>
      </c>
      <c r="E84" s="16" t="n">
        <f aca="false">E83</f>
        <v>0.0707</v>
      </c>
      <c r="F84" s="16" t="n">
        <f aca="false">F83</f>
        <v>0.0158208</v>
      </c>
      <c r="G84" s="16" t="n">
        <f aca="false">G83</f>
        <v>0.00536551743712124</v>
      </c>
      <c r="H84" s="16" t="n">
        <f aca="false">H83</f>
        <v>0.029</v>
      </c>
      <c r="I84" s="16" t="n">
        <f aca="false">I83</f>
        <v>0.0495104916855585</v>
      </c>
      <c r="J84" s="16" t="n">
        <f aca="false">J83</f>
        <v>0.00536551743712124</v>
      </c>
    </row>
    <row r="85" customFormat="false" ht="12.75" hidden="false" customHeight="false" outlineLevel="0" collapsed="false">
      <c r="B85" s="15" t="n">
        <f aca="false">EDATE(B84,1)</f>
        <v>38930</v>
      </c>
      <c r="C85" s="16" t="n">
        <f aca="false">C84</f>
        <v>0.0224952</v>
      </c>
      <c r="D85" s="16" t="n">
        <f aca="false">D84</f>
        <v>0.0200232</v>
      </c>
      <c r="E85" s="16" t="n">
        <f aca="false">E84</f>
        <v>0.0707</v>
      </c>
      <c r="F85" s="16" t="n">
        <f aca="false">F84</f>
        <v>0.0158208</v>
      </c>
      <c r="G85" s="16" t="n">
        <f aca="false">G84</f>
        <v>0.00536551743712124</v>
      </c>
      <c r="H85" s="16" t="n">
        <f aca="false">H84</f>
        <v>0.029</v>
      </c>
      <c r="I85" s="16" t="n">
        <f aca="false">I84</f>
        <v>0.0495104916855585</v>
      </c>
      <c r="J85" s="16" t="n">
        <f aca="false">J84</f>
        <v>0.00536551743712124</v>
      </c>
    </row>
    <row r="86" customFormat="false" ht="12.75" hidden="false" customHeight="false" outlineLevel="0" collapsed="false">
      <c r="B86" s="15" t="n">
        <f aca="false">EDATE(B85,1)</f>
        <v>38961</v>
      </c>
      <c r="C86" s="16" t="n">
        <f aca="false">C85</f>
        <v>0.0224952</v>
      </c>
      <c r="D86" s="16" t="n">
        <f aca="false">D85</f>
        <v>0.0200232</v>
      </c>
      <c r="E86" s="16" t="n">
        <f aca="false">E85</f>
        <v>0.0707</v>
      </c>
      <c r="F86" s="16" t="n">
        <f aca="false">F85</f>
        <v>0.0158208</v>
      </c>
      <c r="G86" s="16" t="n">
        <f aca="false">G85</f>
        <v>0.00536551743712124</v>
      </c>
      <c r="H86" s="16" t="n">
        <f aca="false">H85</f>
        <v>0.029</v>
      </c>
      <c r="I86" s="16" t="n">
        <f aca="false">I85</f>
        <v>0.0495104916855585</v>
      </c>
      <c r="J86" s="16" t="n">
        <f aca="false">J85</f>
        <v>0.00536551743712124</v>
      </c>
    </row>
    <row r="87" customFormat="false" ht="12.75" hidden="false" customHeight="false" outlineLevel="0" collapsed="false">
      <c r="B87" s="15" t="n">
        <f aca="false">EDATE(B86,1)</f>
        <v>38991</v>
      </c>
      <c r="C87" s="16" t="n">
        <f aca="false">C86</f>
        <v>0.0224952</v>
      </c>
      <c r="D87" s="16" t="n">
        <f aca="false">D86</f>
        <v>0.0200232</v>
      </c>
      <c r="E87" s="16" t="n">
        <f aca="false">E86</f>
        <v>0.0707</v>
      </c>
      <c r="F87" s="16" t="n">
        <f aca="false">F86</f>
        <v>0.0158208</v>
      </c>
      <c r="G87" s="16" t="n">
        <f aca="false">G86</f>
        <v>0.00536551743712124</v>
      </c>
      <c r="H87" s="16" t="n">
        <f aca="false">H86</f>
        <v>0.029</v>
      </c>
      <c r="I87" s="16" t="n">
        <f aca="false">I86</f>
        <v>0.0495104916855585</v>
      </c>
      <c r="J87" s="16" t="n">
        <f aca="false">J86</f>
        <v>0.00536551743712124</v>
      </c>
    </row>
    <row r="88" customFormat="false" ht="12.75" hidden="false" customHeight="false" outlineLevel="0" collapsed="false">
      <c r="B88" s="15" t="n">
        <f aca="false">EDATE(B87,1)</f>
        <v>39022</v>
      </c>
      <c r="C88" s="16" t="n">
        <f aca="false">C87</f>
        <v>0.0224952</v>
      </c>
      <c r="D88" s="16" t="n">
        <f aca="false">D87</f>
        <v>0.0200232</v>
      </c>
      <c r="E88" s="16" t="n">
        <f aca="false">E87</f>
        <v>0.0707</v>
      </c>
      <c r="F88" s="16" t="n">
        <f aca="false">F87</f>
        <v>0.0158208</v>
      </c>
      <c r="G88" s="16" t="n">
        <f aca="false">G87</f>
        <v>0.00536551743712124</v>
      </c>
      <c r="H88" s="16" t="n">
        <f aca="false">H87</f>
        <v>0.029</v>
      </c>
      <c r="I88" s="16" t="n">
        <f aca="false">I87</f>
        <v>0.0495104916855585</v>
      </c>
      <c r="J88" s="16" t="n">
        <f aca="false">J87</f>
        <v>0.00536551743712124</v>
      </c>
    </row>
    <row r="89" customFormat="false" ht="12.75" hidden="false" customHeight="false" outlineLevel="0" collapsed="false">
      <c r="B89" s="15" t="n">
        <f aca="false">EDATE(B88,1)</f>
        <v>39052</v>
      </c>
      <c r="C89" s="16" t="n">
        <f aca="false">C88</f>
        <v>0.0224952</v>
      </c>
      <c r="D89" s="16" t="n">
        <f aca="false">D88</f>
        <v>0.0200232</v>
      </c>
      <c r="E89" s="16" t="n">
        <f aca="false">E88</f>
        <v>0.0707</v>
      </c>
      <c r="F89" s="16" t="n">
        <f aca="false">F88</f>
        <v>0.0158208</v>
      </c>
      <c r="G89" s="16" t="n">
        <f aca="false">G88</f>
        <v>0.00536551743712124</v>
      </c>
      <c r="H89" s="16" t="n">
        <f aca="false">H88</f>
        <v>0.029</v>
      </c>
      <c r="I89" s="16" t="n">
        <f aca="false">I88</f>
        <v>0.0495104916855585</v>
      </c>
      <c r="J89" s="16" t="n">
        <f aca="false">J88</f>
        <v>0.00536551743712124</v>
      </c>
    </row>
    <row r="90" customFormat="false" ht="12.75" hidden="false" customHeight="false" outlineLevel="0" collapsed="false">
      <c r="B90" s="15" t="n">
        <f aca="false">EDATE(B89,1)</f>
        <v>39083</v>
      </c>
      <c r="C90" s="19" t="n">
        <f aca="false">C89*C259</f>
        <v>0.0224952</v>
      </c>
      <c r="D90" s="19" t="n">
        <f aca="false">D89*D259</f>
        <v>0.0200232</v>
      </c>
      <c r="E90" s="19" t="n">
        <f aca="false">E89*E259</f>
        <v>0.0707</v>
      </c>
      <c r="F90" s="19" t="n">
        <f aca="false">F89*F259</f>
        <v>0.0158208</v>
      </c>
      <c r="G90" s="19" t="n">
        <f aca="false">G89*G259</f>
        <v>0.00547282778586367</v>
      </c>
      <c r="H90" s="19" t="n">
        <f aca="false">H89*H259</f>
        <v>0.029</v>
      </c>
      <c r="I90" s="19" t="n">
        <f aca="false">I89*I259</f>
        <v>0.0505007015192697</v>
      </c>
      <c r="J90" s="19" t="n">
        <f aca="false">J89*J259</f>
        <v>0.00547282778586367</v>
      </c>
    </row>
    <row r="91" customFormat="false" ht="12.75" hidden="false" customHeight="false" outlineLevel="0" collapsed="false">
      <c r="B91" s="15" t="n">
        <f aca="false">EDATE(B90,1)</f>
        <v>39114</v>
      </c>
      <c r="C91" s="16" t="n">
        <f aca="false">C90</f>
        <v>0.0224952</v>
      </c>
      <c r="D91" s="16" t="n">
        <f aca="false">D90</f>
        <v>0.0200232</v>
      </c>
      <c r="E91" s="16" t="n">
        <f aca="false">E90</f>
        <v>0.0707</v>
      </c>
      <c r="F91" s="16" t="n">
        <f aca="false">F90</f>
        <v>0.0158208</v>
      </c>
      <c r="G91" s="16" t="n">
        <f aca="false">G90</f>
        <v>0.00547282778586367</v>
      </c>
      <c r="H91" s="16" t="n">
        <f aca="false">H90</f>
        <v>0.029</v>
      </c>
      <c r="I91" s="16" t="n">
        <f aca="false">I90</f>
        <v>0.0505007015192697</v>
      </c>
      <c r="J91" s="16" t="n">
        <f aca="false">J90</f>
        <v>0.00547282778586367</v>
      </c>
    </row>
    <row r="92" customFormat="false" ht="12.75" hidden="false" customHeight="false" outlineLevel="0" collapsed="false">
      <c r="B92" s="15" t="n">
        <f aca="false">EDATE(B91,1)</f>
        <v>39142</v>
      </c>
      <c r="C92" s="16" t="n">
        <f aca="false">C91</f>
        <v>0.0224952</v>
      </c>
      <c r="D92" s="16" t="n">
        <f aca="false">D91</f>
        <v>0.0200232</v>
      </c>
      <c r="E92" s="16" t="n">
        <f aca="false">E91</f>
        <v>0.0707</v>
      </c>
      <c r="F92" s="16" t="n">
        <f aca="false">F91</f>
        <v>0.0158208</v>
      </c>
      <c r="G92" s="16" t="n">
        <f aca="false">G91</f>
        <v>0.00547282778586367</v>
      </c>
      <c r="H92" s="16" t="n">
        <f aca="false">H91</f>
        <v>0.029</v>
      </c>
      <c r="I92" s="16" t="n">
        <f aca="false">I91</f>
        <v>0.0505007015192697</v>
      </c>
      <c r="J92" s="16" t="n">
        <f aca="false">J91</f>
        <v>0.00547282778586367</v>
      </c>
    </row>
    <row r="93" customFormat="false" ht="12.75" hidden="false" customHeight="false" outlineLevel="0" collapsed="false">
      <c r="B93" s="15" t="n">
        <f aca="false">EDATE(B92,1)</f>
        <v>39173</v>
      </c>
      <c r="C93" s="16" t="n">
        <f aca="false">C92</f>
        <v>0.0224952</v>
      </c>
      <c r="D93" s="16" t="n">
        <f aca="false">D92</f>
        <v>0.0200232</v>
      </c>
      <c r="E93" s="16" t="n">
        <f aca="false">E92</f>
        <v>0.0707</v>
      </c>
      <c r="F93" s="16" t="n">
        <f aca="false">F92</f>
        <v>0.0158208</v>
      </c>
      <c r="G93" s="16" t="n">
        <f aca="false">G92</f>
        <v>0.00547282778586367</v>
      </c>
      <c r="H93" s="16" t="n">
        <f aca="false">H92</f>
        <v>0.029</v>
      </c>
      <c r="I93" s="16" t="n">
        <f aca="false">I92</f>
        <v>0.0505007015192697</v>
      </c>
      <c r="J93" s="16" t="n">
        <f aca="false">J92</f>
        <v>0.00547282778586367</v>
      </c>
    </row>
    <row r="94" customFormat="false" ht="12.75" hidden="false" customHeight="false" outlineLevel="0" collapsed="false">
      <c r="B94" s="15" t="n">
        <f aca="false">EDATE(B93,1)</f>
        <v>39203</v>
      </c>
      <c r="C94" s="16" t="n">
        <f aca="false">C93</f>
        <v>0.0224952</v>
      </c>
      <c r="D94" s="16" t="n">
        <f aca="false">D93</f>
        <v>0.0200232</v>
      </c>
      <c r="E94" s="16" t="n">
        <f aca="false">E93</f>
        <v>0.0707</v>
      </c>
      <c r="F94" s="16" t="n">
        <f aca="false">F93</f>
        <v>0.0158208</v>
      </c>
      <c r="G94" s="16" t="n">
        <f aca="false">G93</f>
        <v>0.00547282778586367</v>
      </c>
      <c r="H94" s="16" t="n">
        <f aca="false">H93</f>
        <v>0.029</v>
      </c>
      <c r="I94" s="16" t="n">
        <f aca="false">I93</f>
        <v>0.0505007015192697</v>
      </c>
      <c r="J94" s="16" t="n">
        <f aca="false">J93</f>
        <v>0.00547282778586367</v>
      </c>
    </row>
    <row r="95" customFormat="false" ht="12.75" hidden="false" customHeight="false" outlineLevel="0" collapsed="false">
      <c r="B95" s="15" t="n">
        <f aca="false">EDATE(B94,1)</f>
        <v>39234</v>
      </c>
      <c r="C95" s="16" t="n">
        <f aca="false">C94</f>
        <v>0.0224952</v>
      </c>
      <c r="D95" s="16" t="n">
        <f aca="false">D94</f>
        <v>0.0200232</v>
      </c>
      <c r="E95" s="16" t="n">
        <f aca="false">E94</f>
        <v>0.0707</v>
      </c>
      <c r="F95" s="16" t="n">
        <f aca="false">F94</f>
        <v>0.0158208</v>
      </c>
      <c r="G95" s="16" t="n">
        <f aca="false">G94</f>
        <v>0.00547282778586367</v>
      </c>
      <c r="H95" s="16" t="n">
        <f aca="false">H94</f>
        <v>0.029</v>
      </c>
      <c r="I95" s="16" t="n">
        <f aca="false">I94</f>
        <v>0.0505007015192697</v>
      </c>
      <c r="J95" s="16" t="n">
        <f aca="false">J94</f>
        <v>0.00547282778586367</v>
      </c>
    </row>
    <row r="96" customFormat="false" ht="12.75" hidden="false" customHeight="false" outlineLevel="0" collapsed="false">
      <c r="B96" s="15" t="n">
        <f aca="false">EDATE(B95,1)</f>
        <v>39264</v>
      </c>
      <c r="C96" s="16" t="n">
        <f aca="false">C95</f>
        <v>0.0224952</v>
      </c>
      <c r="D96" s="16" t="n">
        <f aca="false">D95</f>
        <v>0.0200232</v>
      </c>
      <c r="E96" s="16" t="n">
        <f aca="false">E95</f>
        <v>0.0707</v>
      </c>
      <c r="F96" s="16" t="n">
        <f aca="false">F95</f>
        <v>0.0158208</v>
      </c>
      <c r="G96" s="16" t="n">
        <f aca="false">G95</f>
        <v>0.00547282778586367</v>
      </c>
      <c r="H96" s="16" t="n">
        <f aca="false">H95</f>
        <v>0.029</v>
      </c>
      <c r="I96" s="16" t="n">
        <f aca="false">I95</f>
        <v>0.0505007015192697</v>
      </c>
      <c r="J96" s="16" t="n">
        <f aca="false">J95</f>
        <v>0.00547282778586367</v>
      </c>
    </row>
    <row r="97" customFormat="false" ht="12.75" hidden="false" customHeight="false" outlineLevel="0" collapsed="false">
      <c r="B97" s="15" t="n">
        <f aca="false">EDATE(B96,1)</f>
        <v>39295</v>
      </c>
      <c r="C97" s="16" t="n">
        <f aca="false">C96</f>
        <v>0.0224952</v>
      </c>
      <c r="D97" s="16" t="n">
        <f aca="false">D96</f>
        <v>0.0200232</v>
      </c>
      <c r="E97" s="16" t="n">
        <f aca="false">E96</f>
        <v>0.0707</v>
      </c>
      <c r="F97" s="16" t="n">
        <f aca="false">F96</f>
        <v>0.0158208</v>
      </c>
      <c r="G97" s="16" t="n">
        <f aca="false">G96</f>
        <v>0.00547282778586367</v>
      </c>
      <c r="H97" s="16" t="n">
        <f aca="false">H96</f>
        <v>0.029</v>
      </c>
      <c r="I97" s="16" t="n">
        <f aca="false">I96</f>
        <v>0.0505007015192697</v>
      </c>
      <c r="J97" s="16" t="n">
        <f aca="false">J96</f>
        <v>0.00547282778586367</v>
      </c>
    </row>
    <row r="98" customFormat="false" ht="12.75" hidden="false" customHeight="false" outlineLevel="0" collapsed="false">
      <c r="B98" s="15" t="n">
        <f aca="false">EDATE(B97,1)</f>
        <v>39326</v>
      </c>
      <c r="C98" s="16" t="n">
        <f aca="false">C97</f>
        <v>0.0224952</v>
      </c>
      <c r="D98" s="16" t="n">
        <f aca="false">D97</f>
        <v>0.0200232</v>
      </c>
      <c r="E98" s="16" t="n">
        <f aca="false">E97</f>
        <v>0.0707</v>
      </c>
      <c r="F98" s="16" t="n">
        <f aca="false">F97</f>
        <v>0.0158208</v>
      </c>
      <c r="G98" s="16" t="n">
        <f aca="false">G97</f>
        <v>0.00547282778586367</v>
      </c>
      <c r="H98" s="16" t="n">
        <f aca="false">H97</f>
        <v>0.029</v>
      </c>
      <c r="I98" s="16" t="n">
        <f aca="false">I97</f>
        <v>0.0505007015192697</v>
      </c>
      <c r="J98" s="16" t="n">
        <f aca="false">J97</f>
        <v>0.00547282778586367</v>
      </c>
    </row>
    <row r="99" customFormat="false" ht="12.75" hidden="false" customHeight="false" outlineLevel="0" collapsed="false">
      <c r="B99" s="15" t="n">
        <f aca="false">EDATE(B98,1)</f>
        <v>39356</v>
      </c>
      <c r="C99" s="16" t="n">
        <f aca="false">C98</f>
        <v>0.0224952</v>
      </c>
      <c r="D99" s="16" t="n">
        <f aca="false">D98</f>
        <v>0.0200232</v>
      </c>
      <c r="E99" s="16" t="n">
        <f aca="false">E98</f>
        <v>0.0707</v>
      </c>
      <c r="F99" s="16" t="n">
        <f aca="false">F98</f>
        <v>0.0158208</v>
      </c>
      <c r="G99" s="16" t="n">
        <f aca="false">G98</f>
        <v>0.00547282778586367</v>
      </c>
      <c r="H99" s="16" t="n">
        <f aca="false">H98</f>
        <v>0.029</v>
      </c>
      <c r="I99" s="16" t="n">
        <f aca="false">I98</f>
        <v>0.0505007015192697</v>
      </c>
      <c r="J99" s="16" t="n">
        <f aca="false">J98</f>
        <v>0.00547282778586367</v>
      </c>
    </row>
    <row r="100" customFormat="false" ht="12.75" hidden="false" customHeight="false" outlineLevel="0" collapsed="false">
      <c r="B100" s="15" t="n">
        <f aca="false">EDATE(B99,1)</f>
        <v>39387</v>
      </c>
      <c r="C100" s="16" t="n">
        <f aca="false">C99</f>
        <v>0.0224952</v>
      </c>
      <c r="D100" s="16" t="n">
        <f aca="false">D99</f>
        <v>0.0200232</v>
      </c>
      <c r="E100" s="16" t="n">
        <f aca="false">E99</f>
        <v>0.0707</v>
      </c>
      <c r="F100" s="16" t="n">
        <f aca="false">F99</f>
        <v>0.0158208</v>
      </c>
      <c r="G100" s="16" t="n">
        <f aca="false">G99</f>
        <v>0.00547282778586367</v>
      </c>
      <c r="H100" s="16" t="n">
        <f aca="false">H99</f>
        <v>0.029</v>
      </c>
      <c r="I100" s="16" t="n">
        <f aca="false">I99</f>
        <v>0.0505007015192697</v>
      </c>
      <c r="J100" s="16" t="n">
        <f aca="false">J99</f>
        <v>0.00547282778586367</v>
      </c>
    </row>
    <row r="101" customFormat="false" ht="12.75" hidden="false" customHeight="false" outlineLevel="0" collapsed="false">
      <c r="B101" s="15" t="n">
        <f aca="false">EDATE(B100,1)</f>
        <v>39417</v>
      </c>
      <c r="C101" s="16" t="n">
        <f aca="false">C100</f>
        <v>0.0224952</v>
      </c>
      <c r="D101" s="16" t="n">
        <f aca="false">D100</f>
        <v>0.0200232</v>
      </c>
      <c r="E101" s="16" t="n">
        <f aca="false">E100</f>
        <v>0.0707</v>
      </c>
      <c r="F101" s="16" t="n">
        <f aca="false">F100</f>
        <v>0.0158208</v>
      </c>
      <c r="G101" s="16" t="n">
        <f aca="false">G100</f>
        <v>0.00547282778586367</v>
      </c>
      <c r="H101" s="16" t="n">
        <f aca="false">H100</f>
        <v>0.029</v>
      </c>
      <c r="I101" s="16" t="n">
        <f aca="false">I100</f>
        <v>0.0505007015192697</v>
      </c>
      <c r="J101" s="16" t="n">
        <f aca="false">J100</f>
        <v>0.00547282778586367</v>
      </c>
    </row>
    <row r="102" customFormat="false" ht="12.75" hidden="false" customHeight="false" outlineLevel="0" collapsed="false">
      <c r="B102" s="15" t="n">
        <f aca="false">EDATE(B101,1)</f>
        <v>39448</v>
      </c>
      <c r="C102" s="19" t="n">
        <f aca="false">C101*C271</f>
        <v>0.0224952</v>
      </c>
      <c r="D102" s="19" t="n">
        <f aca="false">D101*D271</f>
        <v>0.0200232</v>
      </c>
      <c r="E102" s="19" t="n">
        <f aca="false">E101*E271</f>
        <v>0.0707</v>
      </c>
      <c r="F102" s="19" t="n">
        <f aca="false">F101*F271</f>
        <v>0.0158208</v>
      </c>
      <c r="G102" s="19" t="n">
        <f aca="false">G101*G271</f>
        <v>0.00558228434158094</v>
      </c>
      <c r="H102" s="19" t="n">
        <f aca="false">H101*H271</f>
        <v>0.029</v>
      </c>
      <c r="I102" s="19" t="n">
        <f aca="false">I101*I271</f>
        <v>0.0515107155496551</v>
      </c>
      <c r="J102" s="19" t="n">
        <f aca="false">J101*J271</f>
        <v>0.00558228434158094</v>
      </c>
    </row>
    <row r="103" customFormat="false" ht="12.75" hidden="false" customHeight="false" outlineLevel="0" collapsed="false">
      <c r="B103" s="15" t="n">
        <f aca="false">EDATE(B102,1)</f>
        <v>39479</v>
      </c>
      <c r="C103" s="16" t="n">
        <f aca="false">C102</f>
        <v>0.0224952</v>
      </c>
      <c r="D103" s="16" t="n">
        <f aca="false">D102</f>
        <v>0.0200232</v>
      </c>
      <c r="E103" s="16" t="n">
        <f aca="false">E102</f>
        <v>0.0707</v>
      </c>
      <c r="F103" s="16" t="n">
        <f aca="false">F102</f>
        <v>0.0158208</v>
      </c>
      <c r="G103" s="16" t="n">
        <f aca="false">G102</f>
        <v>0.00558228434158094</v>
      </c>
      <c r="H103" s="16" t="n">
        <f aca="false">H102</f>
        <v>0.029</v>
      </c>
      <c r="I103" s="16" t="n">
        <f aca="false">I102</f>
        <v>0.0515107155496551</v>
      </c>
      <c r="J103" s="16" t="n">
        <f aca="false">J102</f>
        <v>0.00558228434158094</v>
      </c>
    </row>
    <row r="104" customFormat="false" ht="12.75" hidden="false" customHeight="false" outlineLevel="0" collapsed="false">
      <c r="B104" s="15" t="n">
        <f aca="false">EDATE(B103,1)</f>
        <v>39508</v>
      </c>
      <c r="C104" s="16" t="n">
        <f aca="false">C103</f>
        <v>0.0224952</v>
      </c>
      <c r="D104" s="16" t="n">
        <f aca="false">D103</f>
        <v>0.0200232</v>
      </c>
      <c r="E104" s="16" t="n">
        <f aca="false">E103</f>
        <v>0.0707</v>
      </c>
      <c r="F104" s="16" t="n">
        <f aca="false">F103</f>
        <v>0.0158208</v>
      </c>
      <c r="G104" s="16" t="n">
        <f aca="false">G103</f>
        <v>0.00558228434158094</v>
      </c>
      <c r="H104" s="16" t="n">
        <f aca="false">H103</f>
        <v>0.029</v>
      </c>
      <c r="I104" s="16" t="n">
        <f aca="false">I103</f>
        <v>0.0515107155496551</v>
      </c>
      <c r="J104" s="16" t="n">
        <f aca="false">J103</f>
        <v>0.00558228434158094</v>
      </c>
    </row>
    <row r="105" customFormat="false" ht="12.75" hidden="false" customHeight="false" outlineLevel="0" collapsed="false">
      <c r="B105" s="15" t="n">
        <f aca="false">EDATE(B104,1)</f>
        <v>39539</v>
      </c>
      <c r="C105" s="16" t="n">
        <f aca="false">C104</f>
        <v>0.0224952</v>
      </c>
      <c r="D105" s="16" t="n">
        <f aca="false">D104</f>
        <v>0.0200232</v>
      </c>
      <c r="E105" s="16" t="n">
        <f aca="false">E104</f>
        <v>0.0707</v>
      </c>
      <c r="F105" s="16" t="n">
        <f aca="false">F104</f>
        <v>0.0158208</v>
      </c>
      <c r="G105" s="16" t="n">
        <f aca="false">G104</f>
        <v>0.00558228434158094</v>
      </c>
      <c r="H105" s="16" t="n">
        <f aca="false">H104</f>
        <v>0.029</v>
      </c>
      <c r="I105" s="16" t="n">
        <f aca="false">I104</f>
        <v>0.0515107155496551</v>
      </c>
      <c r="J105" s="16" t="n">
        <f aca="false">J104</f>
        <v>0.00558228434158094</v>
      </c>
    </row>
    <row r="106" customFormat="false" ht="12.75" hidden="false" customHeight="false" outlineLevel="0" collapsed="false">
      <c r="B106" s="15" t="n">
        <f aca="false">EDATE(B105,1)</f>
        <v>39569</v>
      </c>
      <c r="C106" s="16" t="n">
        <f aca="false">C105</f>
        <v>0.0224952</v>
      </c>
      <c r="D106" s="16" t="n">
        <f aca="false">D105</f>
        <v>0.0200232</v>
      </c>
      <c r="E106" s="16" t="n">
        <f aca="false">E105</f>
        <v>0.0707</v>
      </c>
      <c r="F106" s="16" t="n">
        <f aca="false">F105</f>
        <v>0.0158208</v>
      </c>
      <c r="G106" s="16" t="n">
        <f aca="false">G105</f>
        <v>0.00558228434158094</v>
      </c>
      <c r="H106" s="16" t="n">
        <f aca="false">H105</f>
        <v>0.029</v>
      </c>
      <c r="I106" s="16" t="n">
        <f aca="false">I105</f>
        <v>0.0515107155496551</v>
      </c>
      <c r="J106" s="16" t="n">
        <f aca="false">J105</f>
        <v>0.00558228434158094</v>
      </c>
    </row>
    <row r="107" customFormat="false" ht="12.75" hidden="false" customHeight="false" outlineLevel="0" collapsed="false">
      <c r="B107" s="15" t="n">
        <f aca="false">EDATE(B106,1)</f>
        <v>39600</v>
      </c>
      <c r="C107" s="16" t="n">
        <f aca="false">C106</f>
        <v>0.0224952</v>
      </c>
      <c r="D107" s="16" t="n">
        <f aca="false">D106</f>
        <v>0.0200232</v>
      </c>
      <c r="E107" s="16" t="n">
        <f aca="false">E106</f>
        <v>0.0707</v>
      </c>
      <c r="F107" s="16" t="n">
        <f aca="false">F106</f>
        <v>0.0158208</v>
      </c>
      <c r="G107" s="16" t="n">
        <f aca="false">G106</f>
        <v>0.00558228434158094</v>
      </c>
      <c r="H107" s="16" t="n">
        <f aca="false">H106</f>
        <v>0.029</v>
      </c>
      <c r="I107" s="16" t="n">
        <f aca="false">I106</f>
        <v>0.0515107155496551</v>
      </c>
      <c r="J107" s="16" t="n">
        <f aca="false">J106</f>
        <v>0.00558228434158094</v>
      </c>
    </row>
    <row r="108" customFormat="false" ht="12.75" hidden="false" customHeight="false" outlineLevel="0" collapsed="false">
      <c r="B108" s="15" t="n">
        <f aca="false">EDATE(B107,1)</f>
        <v>39630</v>
      </c>
      <c r="C108" s="16" t="n">
        <f aca="false">C107</f>
        <v>0.0224952</v>
      </c>
      <c r="D108" s="16" t="n">
        <f aca="false">D107</f>
        <v>0.0200232</v>
      </c>
      <c r="E108" s="16" t="n">
        <f aca="false">E107</f>
        <v>0.0707</v>
      </c>
      <c r="F108" s="16" t="n">
        <f aca="false">F107</f>
        <v>0.0158208</v>
      </c>
      <c r="G108" s="16" t="n">
        <f aca="false">G107</f>
        <v>0.00558228434158094</v>
      </c>
      <c r="H108" s="16" t="n">
        <f aca="false">H107</f>
        <v>0.029</v>
      </c>
      <c r="I108" s="16" t="n">
        <f aca="false">I107</f>
        <v>0.0515107155496551</v>
      </c>
      <c r="J108" s="16" t="n">
        <f aca="false">J107</f>
        <v>0.00558228434158094</v>
      </c>
    </row>
    <row r="109" customFormat="false" ht="12.75" hidden="false" customHeight="false" outlineLevel="0" collapsed="false">
      <c r="B109" s="15" t="n">
        <f aca="false">EDATE(B108,1)</f>
        <v>39661</v>
      </c>
      <c r="C109" s="16" t="n">
        <f aca="false">C108</f>
        <v>0.0224952</v>
      </c>
      <c r="D109" s="16" t="n">
        <f aca="false">D108</f>
        <v>0.0200232</v>
      </c>
      <c r="E109" s="16" t="n">
        <f aca="false">E108</f>
        <v>0.0707</v>
      </c>
      <c r="F109" s="16" t="n">
        <f aca="false">F108</f>
        <v>0.0158208</v>
      </c>
      <c r="G109" s="16" t="n">
        <f aca="false">G108</f>
        <v>0.00558228434158094</v>
      </c>
      <c r="H109" s="16" t="n">
        <f aca="false">H108</f>
        <v>0.029</v>
      </c>
      <c r="I109" s="16" t="n">
        <f aca="false">I108</f>
        <v>0.0515107155496551</v>
      </c>
      <c r="J109" s="16" t="n">
        <f aca="false">J108</f>
        <v>0.00558228434158094</v>
      </c>
    </row>
    <row r="110" customFormat="false" ht="12.75" hidden="false" customHeight="false" outlineLevel="0" collapsed="false">
      <c r="B110" s="15" t="n">
        <f aca="false">EDATE(B109,1)</f>
        <v>39692</v>
      </c>
      <c r="C110" s="16" t="n">
        <f aca="false">C109</f>
        <v>0.0224952</v>
      </c>
      <c r="D110" s="16" t="n">
        <f aca="false">D109</f>
        <v>0.0200232</v>
      </c>
      <c r="E110" s="16" t="n">
        <f aca="false">E109</f>
        <v>0.0707</v>
      </c>
      <c r="F110" s="16" t="n">
        <f aca="false">F109</f>
        <v>0.0158208</v>
      </c>
      <c r="G110" s="16" t="n">
        <f aca="false">G109</f>
        <v>0.00558228434158094</v>
      </c>
      <c r="H110" s="16" t="n">
        <f aca="false">H109</f>
        <v>0.029</v>
      </c>
      <c r="I110" s="16" t="n">
        <f aca="false">I109</f>
        <v>0.0515107155496551</v>
      </c>
      <c r="J110" s="16" t="n">
        <f aca="false">J109</f>
        <v>0.00558228434158094</v>
      </c>
    </row>
    <row r="111" customFormat="false" ht="12.75" hidden="false" customHeight="false" outlineLevel="0" collapsed="false">
      <c r="B111" s="15" t="n">
        <f aca="false">EDATE(B110,1)</f>
        <v>39722</v>
      </c>
      <c r="C111" s="16" t="n">
        <f aca="false">C110</f>
        <v>0.0224952</v>
      </c>
      <c r="D111" s="16" t="n">
        <f aca="false">D110</f>
        <v>0.0200232</v>
      </c>
      <c r="E111" s="16" t="n">
        <f aca="false">E110</f>
        <v>0.0707</v>
      </c>
      <c r="F111" s="16" t="n">
        <f aca="false">F110</f>
        <v>0.0158208</v>
      </c>
      <c r="G111" s="16" t="n">
        <f aca="false">G110</f>
        <v>0.00558228434158094</v>
      </c>
      <c r="H111" s="16" t="n">
        <f aca="false">H110</f>
        <v>0.029</v>
      </c>
      <c r="I111" s="16" t="n">
        <f aca="false">I110</f>
        <v>0.0515107155496551</v>
      </c>
      <c r="J111" s="16" t="n">
        <f aca="false">J110</f>
        <v>0.00558228434158094</v>
      </c>
    </row>
    <row r="112" customFormat="false" ht="12.75" hidden="false" customHeight="false" outlineLevel="0" collapsed="false">
      <c r="B112" s="15" t="n">
        <f aca="false">EDATE(B111,1)</f>
        <v>39753</v>
      </c>
      <c r="C112" s="16" t="n">
        <f aca="false">C111</f>
        <v>0.0224952</v>
      </c>
      <c r="D112" s="16" t="n">
        <f aca="false">D111</f>
        <v>0.0200232</v>
      </c>
      <c r="E112" s="16" t="n">
        <f aca="false">E111</f>
        <v>0.0707</v>
      </c>
      <c r="F112" s="16" t="n">
        <f aca="false">F111</f>
        <v>0.0158208</v>
      </c>
      <c r="G112" s="16" t="n">
        <f aca="false">G111</f>
        <v>0.00558228434158094</v>
      </c>
      <c r="H112" s="16" t="n">
        <f aca="false">H111</f>
        <v>0.029</v>
      </c>
      <c r="I112" s="16" t="n">
        <f aca="false">I111</f>
        <v>0.0515107155496551</v>
      </c>
      <c r="J112" s="16" t="n">
        <f aca="false">J111</f>
        <v>0.00558228434158094</v>
      </c>
    </row>
    <row r="113" customFormat="false" ht="12.75" hidden="false" customHeight="false" outlineLevel="0" collapsed="false">
      <c r="B113" s="15" t="n">
        <f aca="false">EDATE(B112,1)</f>
        <v>39783</v>
      </c>
      <c r="C113" s="16" t="n">
        <f aca="false">C112</f>
        <v>0.0224952</v>
      </c>
      <c r="D113" s="16" t="n">
        <f aca="false">D112</f>
        <v>0.0200232</v>
      </c>
      <c r="E113" s="16" t="n">
        <f aca="false">E112</f>
        <v>0.0707</v>
      </c>
      <c r="F113" s="16" t="n">
        <f aca="false">F112</f>
        <v>0.0158208</v>
      </c>
      <c r="G113" s="16" t="n">
        <f aca="false">G112</f>
        <v>0.00558228434158094</v>
      </c>
      <c r="H113" s="16" t="n">
        <f aca="false">H112</f>
        <v>0.029</v>
      </c>
      <c r="I113" s="16" t="n">
        <f aca="false">I112</f>
        <v>0.0515107155496551</v>
      </c>
      <c r="J113" s="16" t="n">
        <f aca="false">J112</f>
        <v>0.00558228434158094</v>
      </c>
    </row>
    <row r="114" customFormat="false" ht="12.75" hidden="false" customHeight="false" outlineLevel="0" collapsed="false">
      <c r="B114" s="15" t="n">
        <f aca="false">EDATE(B113,1)</f>
        <v>39814</v>
      </c>
      <c r="C114" s="19" t="n">
        <f aca="false">C113*C283</f>
        <v>0.0224952</v>
      </c>
      <c r="D114" s="19" t="n">
        <f aca="false">D113*D283</f>
        <v>0.0200232</v>
      </c>
      <c r="E114" s="19" t="n">
        <f aca="false">E113*E283</f>
        <v>0.0707</v>
      </c>
      <c r="F114" s="19" t="n">
        <f aca="false">F113*F283</f>
        <v>0.0158208</v>
      </c>
      <c r="G114" s="19" t="n">
        <f aca="false">G113*G283</f>
        <v>0.00569393002841256</v>
      </c>
      <c r="H114" s="19" t="n">
        <f aca="false">H113*H283</f>
        <v>0.029</v>
      </c>
      <c r="I114" s="19" t="n">
        <f aca="false">I113*I283</f>
        <v>0.0525409298606482</v>
      </c>
      <c r="J114" s="19" t="n">
        <f aca="false">J113*J283</f>
        <v>0.00569393002841256</v>
      </c>
    </row>
    <row r="115" customFormat="false" ht="12.75" hidden="false" customHeight="false" outlineLevel="0" collapsed="false">
      <c r="B115" s="15" t="n">
        <f aca="false">EDATE(B114,1)</f>
        <v>39845</v>
      </c>
      <c r="C115" s="16" t="n">
        <f aca="false">C114</f>
        <v>0.0224952</v>
      </c>
      <c r="D115" s="16" t="n">
        <f aca="false">D114</f>
        <v>0.0200232</v>
      </c>
      <c r="E115" s="16" t="n">
        <f aca="false">E114</f>
        <v>0.0707</v>
      </c>
      <c r="F115" s="16" t="n">
        <f aca="false">F114</f>
        <v>0.0158208</v>
      </c>
      <c r="G115" s="16" t="n">
        <f aca="false">G114</f>
        <v>0.00569393002841256</v>
      </c>
      <c r="H115" s="16" t="n">
        <f aca="false">H114</f>
        <v>0.029</v>
      </c>
      <c r="I115" s="16" t="n">
        <f aca="false">I114</f>
        <v>0.0525409298606482</v>
      </c>
      <c r="J115" s="16" t="n">
        <f aca="false">J114</f>
        <v>0.00569393002841256</v>
      </c>
    </row>
    <row r="116" customFormat="false" ht="12.75" hidden="false" customHeight="false" outlineLevel="0" collapsed="false">
      <c r="B116" s="15" t="n">
        <f aca="false">EDATE(B115,1)</f>
        <v>39873</v>
      </c>
      <c r="C116" s="16" t="n">
        <f aca="false">C115</f>
        <v>0.0224952</v>
      </c>
      <c r="D116" s="16" t="n">
        <f aca="false">D115</f>
        <v>0.0200232</v>
      </c>
      <c r="E116" s="16" t="n">
        <f aca="false">E115</f>
        <v>0.0707</v>
      </c>
      <c r="F116" s="16" t="n">
        <f aca="false">F115</f>
        <v>0.0158208</v>
      </c>
      <c r="G116" s="16" t="n">
        <f aca="false">G115</f>
        <v>0.00569393002841256</v>
      </c>
      <c r="H116" s="16" t="n">
        <f aca="false">H115</f>
        <v>0.029</v>
      </c>
      <c r="I116" s="16" t="n">
        <f aca="false">I115</f>
        <v>0.0525409298606482</v>
      </c>
      <c r="J116" s="16" t="n">
        <f aca="false">J115</f>
        <v>0.00569393002841256</v>
      </c>
    </row>
    <row r="117" customFormat="false" ht="12.75" hidden="false" customHeight="false" outlineLevel="0" collapsed="false">
      <c r="B117" s="15" t="n">
        <f aca="false">EDATE(B116,1)</f>
        <v>39904</v>
      </c>
      <c r="C117" s="16" t="n">
        <f aca="false">C116</f>
        <v>0.0224952</v>
      </c>
      <c r="D117" s="16" t="n">
        <f aca="false">D116</f>
        <v>0.0200232</v>
      </c>
      <c r="E117" s="16" t="n">
        <f aca="false">E116</f>
        <v>0.0707</v>
      </c>
      <c r="F117" s="16" t="n">
        <f aca="false">F116</f>
        <v>0.0158208</v>
      </c>
      <c r="G117" s="16" t="n">
        <f aca="false">G116</f>
        <v>0.00569393002841256</v>
      </c>
      <c r="H117" s="16" t="n">
        <f aca="false">H116</f>
        <v>0.029</v>
      </c>
      <c r="I117" s="16" t="n">
        <f aca="false">I116</f>
        <v>0.0525409298606482</v>
      </c>
      <c r="J117" s="16" t="n">
        <f aca="false">J116</f>
        <v>0.00569393002841256</v>
      </c>
    </row>
    <row r="118" customFormat="false" ht="12.75" hidden="false" customHeight="false" outlineLevel="0" collapsed="false">
      <c r="B118" s="15" t="n">
        <f aca="false">EDATE(B117,1)</f>
        <v>39934</v>
      </c>
      <c r="C118" s="16" t="n">
        <f aca="false">C117</f>
        <v>0.0224952</v>
      </c>
      <c r="D118" s="16" t="n">
        <f aca="false">D117</f>
        <v>0.0200232</v>
      </c>
      <c r="E118" s="16" t="n">
        <f aca="false">E117</f>
        <v>0.0707</v>
      </c>
      <c r="F118" s="16" t="n">
        <f aca="false">F117</f>
        <v>0.0158208</v>
      </c>
      <c r="G118" s="16" t="n">
        <f aca="false">G117</f>
        <v>0.00569393002841256</v>
      </c>
      <c r="H118" s="16" t="n">
        <f aca="false">H117</f>
        <v>0.029</v>
      </c>
      <c r="I118" s="16" t="n">
        <f aca="false">I117</f>
        <v>0.0525409298606482</v>
      </c>
      <c r="J118" s="16" t="n">
        <f aca="false">J117</f>
        <v>0.00569393002841256</v>
      </c>
    </row>
    <row r="119" customFormat="false" ht="12.75" hidden="false" customHeight="false" outlineLevel="0" collapsed="false">
      <c r="B119" s="15" t="n">
        <f aca="false">EDATE(B118,1)</f>
        <v>39965</v>
      </c>
      <c r="C119" s="16" t="n">
        <f aca="false">C118</f>
        <v>0.0224952</v>
      </c>
      <c r="D119" s="16" t="n">
        <f aca="false">D118</f>
        <v>0.0200232</v>
      </c>
      <c r="E119" s="16" t="n">
        <f aca="false">E118</f>
        <v>0.0707</v>
      </c>
      <c r="F119" s="16" t="n">
        <f aca="false">F118</f>
        <v>0.0158208</v>
      </c>
      <c r="G119" s="16" t="n">
        <f aca="false">G118</f>
        <v>0.00569393002841256</v>
      </c>
      <c r="H119" s="16" t="n">
        <f aca="false">H118</f>
        <v>0.029</v>
      </c>
      <c r="I119" s="16" t="n">
        <f aca="false">I118</f>
        <v>0.0525409298606482</v>
      </c>
      <c r="J119" s="16" t="n">
        <f aca="false">J118</f>
        <v>0.00569393002841256</v>
      </c>
    </row>
    <row r="120" customFormat="false" ht="12.75" hidden="false" customHeight="false" outlineLevel="0" collapsed="false">
      <c r="B120" s="15" t="n">
        <f aca="false">EDATE(B119,1)</f>
        <v>39995</v>
      </c>
      <c r="C120" s="16" t="n">
        <f aca="false">C119</f>
        <v>0.0224952</v>
      </c>
      <c r="D120" s="16" t="n">
        <f aca="false">D119</f>
        <v>0.0200232</v>
      </c>
      <c r="E120" s="16" t="n">
        <f aca="false">E119</f>
        <v>0.0707</v>
      </c>
      <c r="F120" s="16" t="n">
        <f aca="false">F119</f>
        <v>0.0158208</v>
      </c>
      <c r="G120" s="16" t="n">
        <f aca="false">G119</f>
        <v>0.00569393002841256</v>
      </c>
      <c r="H120" s="16" t="n">
        <f aca="false">H119</f>
        <v>0.029</v>
      </c>
      <c r="I120" s="16" t="n">
        <f aca="false">I119</f>
        <v>0.0525409298606482</v>
      </c>
      <c r="J120" s="16" t="n">
        <f aca="false">J119</f>
        <v>0.00569393002841256</v>
      </c>
    </row>
    <row r="121" customFormat="false" ht="12.75" hidden="false" customHeight="false" outlineLevel="0" collapsed="false">
      <c r="B121" s="15" t="n">
        <f aca="false">EDATE(B120,1)</f>
        <v>40026</v>
      </c>
      <c r="C121" s="16" t="n">
        <f aca="false">C120</f>
        <v>0.0224952</v>
      </c>
      <c r="D121" s="16" t="n">
        <f aca="false">D120</f>
        <v>0.0200232</v>
      </c>
      <c r="E121" s="16" t="n">
        <f aca="false">E120</f>
        <v>0.0707</v>
      </c>
      <c r="F121" s="16" t="n">
        <f aca="false">F120</f>
        <v>0.0158208</v>
      </c>
      <c r="G121" s="16" t="n">
        <f aca="false">G120</f>
        <v>0.00569393002841256</v>
      </c>
      <c r="H121" s="16" t="n">
        <f aca="false">H120</f>
        <v>0.029</v>
      </c>
      <c r="I121" s="16" t="n">
        <f aca="false">I120</f>
        <v>0.0525409298606482</v>
      </c>
      <c r="J121" s="16" t="n">
        <f aca="false">J120</f>
        <v>0.00569393002841256</v>
      </c>
    </row>
    <row r="122" customFormat="false" ht="12.75" hidden="false" customHeight="false" outlineLevel="0" collapsed="false">
      <c r="B122" s="15" t="n">
        <f aca="false">EDATE(B121,1)</f>
        <v>40057</v>
      </c>
      <c r="C122" s="16" t="n">
        <f aca="false">C121</f>
        <v>0.0224952</v>
      </c>
      <c r="D122" s="16" t="n">
        <f aca="false">D121</f>
        <v>0.0200232</v>
      </c>
      <c r="E122" s="16" t="n">
        <f aca="false">E121</f>
        <v>0.0707</v>
      </c>
      <c r="F122" s="16" t="n">
        <f aca="false">F121</f>
        <v>0.0158208</v>
      </c>
      <c r="G122" s="16" t="n">
        <f aca="false">G121</f>
        <v>0.00569393002841256</v>
      </c>
      <c r="H122" s="16" t="n">
        <f aca="false">H121</f>
        <v>0.029</v>
      </c>
      <c r="I122" s="16" t="n">
        <f aca="false">I121</f>
        <v>0.0525409298606482</v>
      </c>
      <c r="J122" s="16" t="n">
        <f aca="false">J121</f>
        <v>0.00569393002841256</v>
      </c>
    </row>
    <row r="123" customFormat="false" ht="12.75" hidden="false" customHeight="false" outlineLevel="0" collapsed="false">
      <c r="B123" s="15" t="n">
        <f aca="false">EDATE(B122,1)</f>
        <v>40087</v>
      </c>
      <c r="C123" s="16" t="n">
        <f aca="false">C122</f>
        <v>0.0224952</v>
      </c>
      <c r="D123" s="16" t="n">
        <f aca="false">D122</f>
        <v>0.0200232</v>
      </c>
      <c r="E123" s="16" t="n">
        <f aca="false">E122</f>
        <v>0.0707</v>
      </c>
      <c r="F123" s="16" t="n">
        <f aca="false">F122</f>
        <v>0.0158208</v>
      </c>
      <c r="G123" s="16" t="n">
        <f aca="false">G122</f>
        <v>0.00569393002841256</v>
      </c>
      <c r="H123" s="16" t="n">
        <f aca="false">H122</f>
        <v>0.029</v>
      </c>
      <c r="I123" s="16" t="n">
        <f aca="false">I122</f>
        <v>0.0525409298606482</v>
      </c>
      <c r="J123" s="16" t="n">
        <f aca="false">J122</f>
        <v>0.00569393002841256</v>
      </c>
    </row>
    <row r="124" customFormat="false" ht="12.75" hidden="false" customHeight="false" outlineLevel="0" collapsed="false">
      <c r="B124" s="15" t="n">
        <f aca="false">EDATE(B123,1)</f>
        <v>40118</v>
      </c>
      <c r="C124" s="16" t="n">
        <f aca="false">C123</f>
        <v>0.0224952</v>
      </c>
      <c r="D124" s="16" t="n">
        <f aca="false">D123</f>
        <v>0.0200232</v>
      </c>
      <c r="E124" s="16" t="n">
        <f aca="false">E123</f>
        <v>0.0707</v>
      </c>
      <c r="F124" s="16" t="n">
        <f aca="false">F123</f>
        <v>0.0158208</v>
      </c>
      <c r="G124" s="16" t="n">
        <f aca="false">G123</f>
        <v>0.00569393002841256</v>
      </c>
      <c r="H124" s="16" t="n">
        <f aca="false">H123</f>
        <v>0.029</v>
      </c>
      <c r="I124" s="16" t="n">
        <f aca="false">I123</f>
        <v>0.0525409298606482</v>
      </c>
      <c r="J124" s="16" t="n">
        <f aca="false">J123</f>
        <v>0.00569393002841256</v>
      </c>
    </row>
    <row r="125" customFormat="false" ht="12.75" hidden="false" customHeight="false" outlineLevel="0" collapsed="false">
      <c r="B125" s="15" t="n">
        <f aca="false">EDATE(B124,1)</f>
        <v>40148</v>
      </c>
      <c r="C125" s="16" t="n">
        <f aca="false">C124</f>
        <v>0.0224952</v>
      </c>
      <c r="D125" s="16" t="n">
        <f aca="false">D124</f>
        <v>0.0200232</v>
      </c>
      <c r="E125" s="16" t="n">
        <f aca="false">E124</f>
        <v>0.0707</v>
      </c>
      <c r="F125" s="16" t="n">
        <f aca="false">F124</f>
        <v>0.0158208</v>
      </c>
      <c r="G125" s="16" t="n">
        <f aca="false">G124</f>
        <v>0.00569393002841256</v>
      </c>
      <c r="H125" s="16" t="n">
        <f aca="false">H124</f>
        <v>0.029</v>
      </c>
      <c r="I125" s="16" t="n">
        <f aca="false">I124</f>
        <v>0.0525409298606482</v>
      </c>
      <c r="J125" s="16" t="n">
        <f aca="false">J124</f>
        <v>0.00569393002841256</v>
      </c>
    </row>
    <row r="126" customFormat="false" ht="12.75" hidden="false" customHeight="false" outlineLevel="0" collapsed="false">
      <c r="B126" s="15" t="n">
        <f aca="false">EDATE(B125,1)</f>
        <v>40179</v>
      </c>
      <c r="C126" s="19" t="n">
        <f aca="false">C125*C295</f>
        <v>0.0224952</v>
      </c>
      <c r="D126" s="19" t="n">
        <f aca="false">D125*D295</f>
        <v>0.0200232</v>
      </c>
      <c r="E126" s="19" t="n">
        <f aca="false">E125*E295</f>
        <v>0.0707</v>
      </c>
      <c r="F126" s="19" t="n">
        <f aca="false">F125*F295</f>
        <v>0.0158208</v>
      </c>
      <c r="G126" s="19" t="n">
        <f aca="false">G125*G295</f>
        <v>0.00580780862898081</v>
      </c>
      <c r="H126" s="19" t="n">
        <f aca="false">H125*H295</f>
        <v>0.029</v>
      </c>
      <c r="I126" s="19" t="n">
        <f aca="false">I125*I295</f>
        <v>0.0535917484578611</v>
      </c>
      <c r="J126" s="19" t="n">
        <f aca="false">J125*J295</f>
        <v>0.00580780862898081</v>
      </c>
    </row>
    <row r="127" customFormat="false" ht="12.75" hidden="false" customHeight="false" outlineLevel="0" collapsed="false">
      <c r="B127" s="15" t="n">
        <f aca="false">EDATE(B126,1)</f>
        <v>40210</v>
      </c>
      <c r="C127" s="16" t="n">
        <f aca="false">C126</f>
        <v>0.0224952</v>
      </c>
      <c r="D127" s="16" t="n">
        <f aca="false">D126</f>
        <v>0.0200232</v>
      </c>
      <c r="E127" s="16" t="n">
        <f aca="false">E126</f>
        <v>0.0707</v>
      </c>
      <c r="F127" s="16" t="n">
        <f aca="false">F126</f>
        <v>0.0158208</v>
      </c>
      <c r="G127" s="16" t="n">
        <f aca="false">G126</f>
        <v>0.00580780862898081</v>
      </c>
      <c r="H127" s="16" t="n">
        <f aca="false">H126</f>
        <v>0.029</v>
      </c>
      <c r="I127" s="16" t="n">
        <f aca="false">I126</f>
        <v>0.0535917484578611</v>
      </c>
      <c r="J127" s="16" t="n">
        <f aca="false">J126</f>
        <v>0.00580780862898081</v>
      </c>
    </row>
    <row r="128" customFormat="false" ht="12.75" hidden="false" customHeight="false" outlineLevel="0" collapsed="false">
      <c r="B128" s="15" t="n">
        <f aca="false">EDATE(B127,1)</f>
        <v>40238</v>
      </c>
      <c r="C128" s="16" t="n">
        <f aca="false">C127</f>
        <v>0.0224952</v>
      </c>
      <c r="D128" s="16" t="n">
        <f aca="false">D127</f>
        <v>0.0200232</v>
      </c>
      <c r="E128" s="16" t="n">
        <f aca="false">E127</f>
        <v>0.0707</v>
      </c>
      <c r="F128" s="16" t="n">
        <f aca="false">F127</f>
        <v>0.0158208</v>
      </c>
      <c r="G128" s="16" t="n">
        <f aca="false">G127</f>
        <v>0.00580780862898081</v>
      </c>
      <c r="H128" s="16" t="n">
        <f aca="false">H127</f>
        <v>0.029</v>
      </c>
      <c r="I128" s="16" t="n">
        <f aca="false">I127</f>
        <v>0.0535917484578611</v>
      </c>
      <c r="J128" s="16" t="n">
        <f aca="false">J127</f>
        <v>0.00580780862898081</v>
      </c>
    </row>
    <row r="129" customFormat="false" ht="12.75" hidden="false" customHeight="false" outlineLevel="0" collapsed="false">
      <c r="B129" s="15" t="n">
        <f aca="false">EDATE(B128,1)</f>
        <v>40269</v>
      </c>
      <c r="C129" s="16" t="n">
        <f aca="false">C128</f>
        <v>0.0224952</v>
      </c>
      <c r="D129" s="16" t="n">
        <f aca="false">D128</f>
        <v>0.0200232</v>
      </c>
      <c r="E129" s="16" t="n">
        <f aca="false">E128</f>
        <v>0.0707</v>
      </c>
      <c r="F129" s="16" t="n">
        <f aca="false">F128</f>
        <v>0.0158208</v>
      </c>
      <c r="G129" s="16" t="n">
        <f aca="false">G128</f>
        <v>0.00580780862898081</v>
      </c>
      <c r="H129" s="16" t="n">
        <f aca="false">H128</f>
        <v>0.029</v>
      </c>
      <c r="I129" s="16" t="n">
        <f aca="false">I128</f>
        <v>0.0535917484578611</v>
      </c>
      <c r="J129" s="16" t="n">
        <f aca="false">J128</f>
        <v>0.00580780862898081</v>
      </c>
    </row>
    <row r="130" customFormat="false" ht="12.75" hidden="false" customHeight="false" outlineLevel="0" collapsed="false">
      <c r="B130" s="15" t="n">
        <f aca="false">EDATE(B129,1)</f>
        <v>40299</v>
      </c>
      <c r="C130" s="16" t="n">
        <f aca="false">C129</f>
        <v>0.0224952</v>
      </c>
      <c r="D130" s="16" t="n">
        <f aca="false">D129</f>
        <v>0.0200232</v>
      </c>
      <c r="E130" s="16" t="n">
        <f aca="false">E129</f>
        <v>0.0707</v>
      </c>
      <c r="F130" s="16" t="n">
        <f aca="false">F129</f>
        <v>0.0158208</v>
      </c>
      <c r="G130" s="16" t="n">
        <f aca="false">G129</f>
        <v>0.00580780862898081</v>
      </c>
      <c r="H130" s="16" t="n">
        <f aca="false">H129</f>
        <v>0.029</v>
      </c>
      <c r="I130" s="16" t="n">
        <f aca="false">I129</f>
        <v>0.0535917484578611</v>
      </c>
      <c r="J130" s="16" t="n">
        <f aca="false">J129</f>
        <v>0.00580780862898081</v>
      </c>
    </row>
    <row r="131" customFormat="false" ht="12.75" hidden="false" customHeight="false" outlineLevel="0" collapsed="false">
      <c r="B131" s="15" t="n">
        <f aca="false">EDATE(B130,1)</f>
        <v>40330</v>
      </c>
      <c r="C131" s="16" t="n">
        <f aca="false">C130</f>
        <v>0.0224952</v>
      </c>
      <c r="D131" s="16" t="n">
        <f aca="false">D130</f>
        <v>0.0200232</v>
      </c>
      <c r="E131" s="16" t="n">
        <f aca="false">E130</f>
        <v>0.0707</v>
      </c>
      <c r="F131" s="16" t="n">
        <f aca="false">F130</f>
        <v>0.0158208</v>
      </c>
      <c r="G131" s="16" t="n">
        <f aca="false">G130</f>
        <v>0.00580780862898081</v>
      </c>
      <c r="H131" s="16" t="n">
        <f aca="false">H130</f>
        <v>0.029</v>
      </c>
      <c r="I131" s="16" t="n">
        <f aca="false">I130</f>
        <v>0.0535917484578611</v>
      </c>
      <c r="J131" s="16" t="n">
        <f aca="false">J130</f>
        <v>0.00580780862898081</v>
      </c>
    </row>
    <row r="132" customFormat="false" ht="12.75" hidden="false" customHeight="false" outlineLevel="0" collapsed="false">
      <c r="B132" s="15" t="n">
        <f aca="false">EDATE(B131,1)</f>
        <v>40360</v>
      </c>
      <c r="C132" s="16" t="n">
        <f aca="false">C131</f>
        <v>0.0224952</v>
      </c>
      <c r="D132" s="16" t="n">
        <f aca="false">D131</f>
        <v>0.0200232</v>
      </c>
      <c r="E132" s="16" t="n">
        <f aca="false">E131</f>
        <v>0.0707</v>
      </c>
      <c r="F132" s="16" t="n">
        <f aca="false">F131</f>
        <v>0.0158208</v>
      </c>
      <c r="G132" s="16" t="n">
        <f aca="false">G131</f>
        <v>0.00580780862898081</v>
      </c>
      <c r="H132" s="16" t="n">
        <f aca="false">H131</f>
        <v>0.029</v>
      </c>
      <c r="I132" s="16" t="n">
        <f aca="false">I131</f>
        <v>0.0535917484578611</v>
      </c>
      <c r="J132" s="16" t="n">
        <f aca="false">J131</f>
        <v>0.00580780862898081</v>
      </c>
    </row>
    <row r="133" customFormat="false" ht="12.75" hidden="false" customHeight="false" outlineLevel="0" collapsed="false">
      <c r="B133" s="15" t="n">
        <f aca="false">EDATE(B132,1)</f>
        <v>40391</v>
      </c>
      <c r="C133" s="16" t="n">
        <f aca="false">C132</f>
        <v>0.0224952</v>
      </c>
      <c r="D133" s="16" t="n">
        <f aca="false">D132</f>
        <v>0.0200232</v>
      </c>
      <c r="E133" s="16" t="n">
        <f aca="false">E132</f>
        <v>0.0707</v>
      </c>
      <c r="F133" s="16" t="n">
        <f aca="false">F132</f>
        <v>0.0158208</v>
      </c>
      <c r="G133" s="16" t="n">
        <f aca="false">G132</f>
        <v>0.00580780862898081</v>
      </c>
      <c r="H133" s="16" t="n">
        <f aca="false">H132</f>
        <v>0.029</v>
      </c>
      <c r="I133" s="16" t="n">
        <f aca="false">I132</f>
        <v>0.0535917484578611</v>
      </c>
      <c r="J133" s="16" t="n">
        <f aca="false">J132</f>
        <v>0.00580780862898081</v>
      </c>
    </row>
    <row r="134" customFormat="false" ht="12.75" hidden="false" customHeight="false" outlineLevel="0" collapsed="false">
      <c r="B134" s="15" t="n">
        <f aca="false">EDATE(B133,1)</f>
        <v>40422</v>
      </c>
      <c r="C134" s="16" t="n">
        <f aca="false">C133</f>
        <v>0.0224952</v>
      </c>
      <c r="D134" s="16" t="n">
        <f aca="false">D133</f>
        <v>0.0200232</v>
      </c>
      <c r="E134" s="16" t="n">
        <f aca="false">E133</f>
        <v>0.0707</v>
      </c>
      <c r="F134" s="16" t="n">
        <f aca="false">F133</f>
        <v>0.0158208</v>
      </c>
      <c r="G134" s="16" t="n">
        <f aca="false">G133</f>
        <v>0.00580780862898081</v>
      </c>
      <c r="H134" s="16" t="n">
        <f aca="false">H133</f>
        <v>0.029</v>
      </c>
      <c r="I134" s="16" t="n">
        <f aca="false">I133</f>
        <v>0.0535917484578611</v>
      </c>
      <c r="J134" s="16" t="n">
        <f aca="false">J133</f>
        <v>0.00580780862898081</v>
      </c>
    </row>
    <row r="135" customFormat="false" ht="12.75" hidden="false" customHeight="false" outlineLevel="0" collapsed="false">
      <c r="B135" s="15" t="n">
        <f aca="false">EDATE(B134,1)</f>
        <v>40452</v>
      </c>
      <c r="C135" s="16" t="n">
        <f aca="false">C134</f>
        <v>0.0224952</v>
      </c>
      <c r="D135" s="16" t="n">
        <f aca="false">D134</f>
        <v>0.0200232</v>
      </c>
      <c r="E135" s="16" t="n">
        <f aca="false">E134</f>
        <v>0.0707</v>
      </c>
      <c r="F135" s="16" t="n">
        <f aca="false">F134</f>
        <v>0.0158208</v>
      </c>
      <c r="G135" s="16" t="n">
        <f aca="false">G134</f>
        <v>0.00580780862898081</v>
      </c>
      <c r="H135" s="16" t="n">
        <f aca="false">H134</f>
        <v>0.029</v>
      </c>
      <c r="I135" s="16" t="n">
        <f aca="false">I134</f>
        <v>0.0535917484578611</v>
      </c>
      <c r="J135" s="16" t="n">
        <f aca="false">J134</f>
        <v>0.00580780862898081</v>
      </c>
    </row>
    <row r="136" customFormat="false" ht="12.75" hidden="false" customHeight="false" outlineLevel="0" collapsed="false">
      <c r="B136" s="15" t="n">
        <f aca="false">EDATE(B135,1)</f>
        <v>40483</v>
      </c>
      <c r="C136" s="16" t="n">
        <f aca="false">C135</f>
        <v>0.0224952</v>
      </c>
      <c r="D136" s="16" t="n">
        <f aca="false">D135</f>
        <v>0.0200232</v>
      </c>
      <c r="E136" s="16" t="n">
        <f aca="false">E135</f>
        <v>0.0707</v>
      </c>
      <c r="F136" s="16" t="n">
        <f aca="false">F135</f>
        <v>0.0158208</v>
      </c>
      <c r="G136" s="16" t="n">
        <f aca="false">G135</f>
        <v>0.00580780862898081</v>
      </c>
      <c r="H136" s="16" t="n">
        <f aca="false">H135</f>
        <v>0.029</v>
      </c>
      <c r="I136" s="16" t="n">
        <f aca="false">I135</f>
        <v>0.0535917484578611</v>
      </c>
      <c r="J136" s="16" t="n">
        <f aca="false">J135</f>
        <v>0.00580780862898081</v>
      </c>
    </row>
    <row r="137" customFormat="false" ht="12.75" hidden="false" customHeight="false" outlineLevel="0" collapsed="false">
      <c r="B137" s="15" t="n">
        <f aca="false">EDATE(B136,1)</f>
        <v>40513</v>
      </c>
      <c r="C137" s="16" t="n">
        <f aca="false">C136</f>
        <v>0.0224952</v>
      </c>
      <c r="D137" s="16" t="n">
        <f aca="false">D136</f>
        <v>0.0200232</v>
      </c>
      <c r="E137" s="16" t="n">
        <f aca="false">E136</f>
        <v>0.0707</v>
      </c>
      <c r="F137" s="16" t="n">
        <f aca="false">F136</f>
        <v>0.0158208</v>
      </c>
      <c r="G137" s="16" t="n">
        <f aca="false">G136</f>
        <v>0.00580780862898081</v>
      </c>
      <c r="H137" s="16" t="n">
        <f aca="false">H136</f>
        <v>0.029</v>
      </c>
      <c r="I137" s="16" t="n">
        <f aca="false">I136</f>
        <v>0.0535917484578611</v>
      </c>
      <c r="J137" s="16" t="n">
        <f aca="false">J136</f>
        <v>0.00580780862898081</v>
      </c>
    </row>
    <row r="138" customFormat="false" ht="12.75" hidden="false" customHeight="false" outlineLevel="0" collapsed="false">
      <c r="B138" s="15" t="n">
        <f aca="false">EDATE(B137,1)</f>
        <v>40544</v>
      </c>
      <c r="C138" s="19" t="n">
        <f aca="false">C137*C307</f>
        <v>0.0224952</v>
      </c>
      <c r="D138" s="19" t="n">
        <f aca="false">D137*D307</f>
        <v>0.0200232</v>
      </c>
      <c r="E138" s="19" t="n">
        <f aca="false">E137*E307</f>
        <v>0.0707</v>
      </c>
      <c r="F138" s="19" t="n">
        <f aca="false">F137*F307</f>
        <v>0.0158208</v>
      </c>
      <c r="G138" s="19" t="n">
        <f aca="false">G137*G307</f>
        <v>0.00592396480156043</v>
      </c>
      <c r="H138" s="19" t="n">
        <f aca="false">H137*H307</f>
        <v>0.029</v>
      </c>
      <c r="I138" s="19" t="n">
        <f aca="false">I137*I307</f>
        <v>0.0546635834270183</v>
      </c>
      <c r="J138" s="19" t="n">
        <f aca="false">J137*J307</f>
        <v>0.00592396480156043</v>
      </c>
    </row>
    <row r="139" customFormat="false" ht="12.75" hidden="false" customHeight="false" outlineLevel="0" collapsed="false">
      <c r="B139" s="15" t="n">
        <f aca="false">EDATE(B138,1)</f>
        <v>40575</v>
      </c>
      <c r="C139" s="16" t="n">
        <f aca="false">C138</f>
        <v>0.0224952</v>
      </c>
      <c r="D139" s="16" t="n">
        <f aca="false">D138</f>
        <v>0.0200232</v>
      </c>
      <c r="E139" s="16" t="n">
        <f aca="false">E138</f>
        <v>0.0707</v>
      </c>
      <c r="F139" s="16" t="n">
        <f aca="false">F138</f>
        <v>0.0158208</v>
      </c>
      <c r="G139" s="16" t="n">
        <f aca="false">G138</f>
        <v>0.00592396480156043</v>
      </c>
      <c r="H139" s="16" t="n">
        <f aca="false">H138</f>
        <v>0.029</v>
      </c>
      <c r="I139" s="16" t="n">
        <f aca="false">I138</f>
        <v>0.0546635834270183</v>
      </c>
      <c r="J139" s="16" t="n">
        <f aca="false">J138</f>
        <v>0.00592396480156043</v>
      </c>
    </row>
    <row r="140" customFormat="false" ht="12.75" hidden="false" customHeight="false" outlineLevel="0" collapsed="false">
      <c r="B140" s="15" t="n">
        <f aca="false">EDATE(B139,1)</f>
        <v>40603</v>
      </c>
      <c r="C140" s="16" t="n">
        <f aca="false">C139</f>
        <v>0.0224952</v>
      </c>
      <c r="D140" s="16" t="n">
        <f aca="false">D139</f>
        <v>0.0200232</v>
      </c>
      <c r="E140" s="16" t="n">
        <f aca="false">E139</f>
        <v>0.0707</v>
      </c>
      <c r="F140" s="16" t="n">
        <f aca="false">F139</f>
        <v>0.0158208</v>
      </c>
      <c r="G140" s="16" t="n">
        <f aca="false">G139</f>
        <v>0.00592396480156043</v>
      </c>
      <c r="H140" s="16" t="n">
        <f aca="false">H139</f>
        <v>0.029</v>
      </c>
      <c r="I140" s="16" t="n">
        <f aca="false">I139</f>
        <v>0.0546635834270183</v>
      </c>
      <c r="J140" s="16" t="n">
        <f aca="false">J139</f>
        <v>0.00592396480156043</v>
      </c>
    </row>
    <row r="141" customFormat="false" ht="12.75" hidden="false" customHeight="false" outlineLevel="0" collapsed="false">
      <c r="B141" s="15" t="n">
        <f aca="false">EDATE(B140,1)</f>
        <v>40634</v>
      </c>
      <c r="C141" s="16" t="n">
        <f aca="false">C140</f>
        <v>0.0224952</v>
      </c>
      <c r="D141" s="16" t="n">
        <f aca="false">D140</f>
        <v>0.0200232</v>
      </c>
      <c r="E141" s="16" t="n">
        <f aca="false">E140</f>
        <v>0.0707</v>
      </c>
      <c r="F141" s="16" t="n">
        <f aca="false">F140</f>
        <v>0.0158208</v>
      </c>
      <c r="G141" s="16" t="n">
        <f aca="false">G140</f>
        <v>0.00592396480156043</v>
      </c>
      <c r="H141" s="16" t="n">
        <f aca="false">H140</f>
        <v>0.029</v>
      </c>
      <c r="I141" s="16" t="n">
        <f aca="false">I140</f>
        <v>0.0546635834270183</v>
      </c>
      <c r="J141" s="16" t="n">
        <f aca="false">J140</f>
        <v>0.00592396480156043</v>
      </c>
    </row>
    <row r="142" customFormat="false" ht="12.75" hidden="false" customHeight="false" outlineLevel="0" collapsed="false">
      <c r="B142" s="15" t="n">
        <f aca="false">EDATE(B141,1)</f>
        <v>40664</v>
      </c>
      <c r="C142" s="16" t="n">
        <f aca="false">C141</f>
        <v>0.0224952</v>
      </c>
      <c r="D142" s="16" t="n">
        <f aca="false">D141</f>
        <v>0.0200232</v>
      </c>
      <c r="E142" s="16" t="n">
        <f aca="false">E141</f>
        <v>0.0707</v>
      </c>
      <c r="F142" s="16" t="n">
        <f aca="false">F141</f>
        <v>0.0158208</v>
      </c>
      <c r="G142" s="16" t="n">
        <f aca="false">G141</f>
        <v>0.00592396480156043</v>
      </c>
      <c r="H142" s="16" t="n">
        <f aca="false">H141</f>
        <v>0.029</v>
      </c>
      <c r="I142" s="16" t="n">
        <f aca="false">I141</f>
        <v>0.0546635834270183</v>
      </c>
      <c r="J142" s="16" t="n">
        <f aca="false">J141</f>
        <v>0.00592396480156043</v>
      </c>
    </row>
    <row r="143" customFormat="false" ht="12.75" hidden="false" customHeight="false" outlineLevel="0" collapsed="false">
      <c r="B143" s="15" t="n">
        <f aca="false">EDATE(B142,1)</f>
        <v>40695</v>
      </c>
      <c r="C143" s="16" t="n">
        <f aca="false">C142</f>
        <v>0.0224952</v>
      </c>
      <c r="D143" s="16" t="n">
        <f aca="false">D142</f>
        <v>0.0200232</v>
      </c>
      <c r="E143" s="16" t="n">
        <f aca="false">E142</f>
        <v>0.0707</v>
      </c>
      <c r="F143" s="16" t="n">
        <f aca="false">F142</f>
        <v>0.0158208</v>
      </c>
      <c r="G143" s="16" t="n">
        <f aca="false">G142</f>
        <v>0.00592396480156043</v>
      </c>
      <c r="H143" s="16" t="n">
        <f aca="false">H142</f>
        <v>0.029</v>
      </c>
      <c r="I143" s="16" t="n">
        <f aca="false">I142</f>
        <v>0.0546635834270183</v>
      </c>
      <c r="J143" s="16" t="n">
        <f aca="false">J142</f>
        <v>0.00592396480156043</v>
      </c>
    </row>
    <row r="144" customFormat="false" ht="12.75" hidden="false" customHeight="false" outlineLevel="0" collapsed="false">
      <c r="B144" s="15" t="n">
        <f aca="false">EDATE(B143,1)</f>
        <v>40725</v>
      </c>
      <c r="C144" s="16" t="n">
        <f aca="false">C143</f>
        <v>0.0224952</v>
      </c>
      <c r="D144" s="16" t="n">
        <f aca="false">D143</f>
        <v>0.0200232</v>
      </c>
      <c r="E144" s="16" t="n">
        <f aca="false">E143</f>
        <v>0.0707</v>
      </c>
      <c r="F144" s="16" t="n">
        <f aca="false">F143</f>
        <v>0.0158208</v>
      </c>
      <c r="G144" s="16" t="n">
        <f aca="false">G143</f>
        <v>0.00592396480156043</v>
      </c>
      <c r="H144" s="16" t="n">
        <f aca="false">H143</f>
        <v>0.029</v>
      </c>
      <c r="I144" s="16" t="n">
        <f aca="false">I143</f>
        <v>0.0546635834270183</v>
      </c>
      <c r="J144" s="16" t="n">
        <f aca="false">J143</f>
        <v>0.00592396480156043</v>
      </c>
    </row>
    <row r="145" customFormat="false" ht="12.75" hidden="false" customHeight="false" outlineLevel="0" collapsed="false">
      <c r="B145" s="15" t="n">
        <f aca="false">EDATE(B144,1)</f>
        <v>40756</v>
      </c>
      <c r="C145" s="16" t="n">
        <f aca="false">C144</f>
        <v>0.0224952</v>
      </c>
      <c r="D145" s="16" t="n">
        <f aca="false">D144</f>
        <v>0.0200232</v>
      </c>
      <c r="E145" s="16" t="n">
        <f aca="false">E144</f>
        <v>0.0707</v>
      </c>
      <c r="F145" s="16" t="n">
        <f aca="false">F144</f>
        <v>0.0158208</v>
      </c>
      <c r="G145" s="16" t="n">
        <f aca="false">G144</f>
        <v>0.00592396480156043</v>
      </c>
      <c r="H145" s="16" t="n">
        <f aca="false">H144</f>
        <v>0.029</v>
      </c>
      <c r="I145" s="16" t="n">
        <f aca="false">I144</f>
        <v>0.0546635834270183</v>
      </c>
      <c r="J145" s="16" t="n">
        <f aca="false">J144</f>
        <v>0.00592396480156043</v>
      </c>
    </row>
    <row r="146" customFormat="false" ht="12.75" hidden="false" customHeight="false" outlineLevel="0" collapsed="false">
      <c r="B146" s="15" t="n">
        <f aca="false">EDATE(B145,1)</f>
        <v>40787</v>
      </c>
      <c r="C146" s="16" t="n">
        <f aca="false">C145</f>
        <v>0.0224952</v>
      </c>
      <c r="D146" s="16" t="n">
        <f aca="false">D145</f>
        <v>0.0200232</v>
      </c>
      <c r="E146" s="16" t="n">
        <f aca="false">E145</f>
        <v>0.0707</v>
      </c>
      <c r="F146" s="16" t="n">
        <f aca="false">F145</f>
        <v>0.0158208</v>
      </c>
      <c r="G146" s="16" t="n">
        <f aca="false">G145</f>
        <v>0.00592396480156043</v>
      </c>
      <c r="H146" s="16" t="n">
        <f aca="false">H145</f>
        <v>0.029</v>
      </c>
      <c r="I146" s="16" t="n">
        <f aca="false">I145</f>
        <v>0.0546635834270183</v>
      </c>
      <c r="J146" s="16" t="n">
        <f aca="false">J145</f>
        <v>0.00592396480156043</v>
      </c>
    </row>
    <row r="147" customFormat="false" ht="12.75" hidden="false" customHeight="false" outlineLevel="0" collapsed="false">
      <c r="B147" s="15" t="n">
        <f aca="false">EDATE(B146,1)</f>
        <v>40817</v>
      </c>
      <c r="C147" s="16" t="n">
        <f aca="false">C146</f>
        <v>0.0224952</v>
      </c>
      <c r="D147" s="16" t="n">
        <f aca="false">D146</f>
        <v>0.0200232</v>
      </c>
      <c r="E147" s="16" t="n">
        <f aca="false">E146</f>
        <v>0.0707</v>
      </c>
      <c r="F147" s="16" t="n">
        <f aca="false">F146</f>
        <v>0.0158208</v>
      </c>
      <c r="G147" s="16" t="n">
        <f aca="false">G146</f>
        <v>0.00592396480156043</v>
      </c>
      <c r="H147" s="16" t="n">
        <f aca="false">H146</f>
        <v>0.029</v>
      </c>
      <c r="I147" s="16" t="n">
        <f aca="false">I146</f>
        <v>0.0546635834270183</v>
      </c>
      <c r="J147" s="16" t="n">
        <f aca="false">J146</f>
        <v>0.00592396480156043</v>
      </c>
    </row>
    <row r="148" customFormat="false" ht="12.75" hidden="false" customHeight="false" outlineLevel="0" collapsed="false">
      <c r="B148" s="15" t="n">
        <f aca="false">EDATE(B147,1)</f>
        <v>40848</v>
      </c>
      <c r="C148" s="16" t="n">
        <f aca="false">C147</f>
        <v>0.0224952</v>
      </c>
      <c r="D148" s="16" t="n">
        <f aca="false">D147</f>
        <v>0.0200232</v>
      </c>
      <c r="E148" s="16" t="n">
        <f aca="false">E147</f>
        <v>0.0707</v>
      </c>
      <c r="F148" s="16" t="n">
        <f aca="false">F147</f>
        <v>0.0158208</v>
      </c>
      <c r="G148" s="16" t="n">
        <f aca="false">G147</f>
        <v>0.00592396480156043</v>
      </c>
      <c r="H148" s="16" t="n">
        <f aca="false">H147</f>
        <v>0.029</v>
      </c>
      <c r="I148" s="16" t="n">
        <f aca="false">I147</f>
        <v>0.0546635834270183</v>
      </c>
      <c r="J148" s="16" t="n">
        <f aca="false">J147</f>
        <v>0.00592396480156043</v>
      </c>
    </row>
    <row r="149" customFormat="false" ht="12.75" hidden="false" customHeight="false" outlineLevel="0" collapsed="false">
      <c r="B149" s="15" t="n">
        <f aca="false">EDATE(B148,1)</f>
        <v>40878</v>
      </c>
      <c r="C149" s="16" t="n">
        <f aca="false">C148</f>
        <v>0.0224952</v>
      </c>
      <c r="D149" s="16" t="n">
        <f aca="false">D148</f>
        <v>0.0200232</v>
      </c>
      <c r="E149" s="16" t="n">
        <f aca="false">E148</f>
        <v>0.0707</v>
      </c>
      <c r="F149" s="16" t="n">
        <f aca="false">F148</f>
        <v>0.0158208</v>
      </c>
      <c r="G149" s="16" t="n">
        <f aca="false">G148</f>
        <v>0.00592396480156043</v>
      </c>
      <c r="H149" s="16" t="n">
        <f aca="false">H148</f>
        <v>0.029</v>
      </c>
      <c r="I149" s="16" t="n">
        <f aca="false">I148</f>
        <v>0.0546635834270183</v>
      </c>
      <c r="J149" s="16" t="n">
        <f aca="false">J148</f>
        <v>0.00592396480156043</v>
      </c>
    </row>
    <row r="150" customFormat="false" ht="12.75" hidden="false" customHeight="false" outlineLevel="0" collapsed="false">
      <c r="B150" s="15" t="n">
        <f aca="false">EDATE(B149,1)</f>
        <v>40909</v>
      </c>
      <c r="C150" s="19" t="n">
        <f aca="false">C149*C319</f>
        <v>0.0224952</v>
      </c>
      <c r="D150" s="19" t="n">
        <f aca="false">D149*D319</f>
        <v>0.0200232</v>
      </c>
      <c r="E150" s="19" t="n">
        <f aca="false">E149*E319</f>
        <v>0.0707</v>
      </c>
      <c r="F150" s="19" t="n">
        <f aca="false">F149*F319</f>
        <v>0.0158208</v>
      </c>
      <c r="G150" s="19" t="n">
        <f aca="false">G149*G319</f>
        <v>0.00604244409759163</v>
      </c>
      <c r="H150" s="19" t="n">
        <f aca="false">H149*H319</f>
        <v>0.029</v>
      </c>
      <c r="I150" s="19" t="n">
        <f aca="false">I149*I319</f>
        <v>0.0557568550955587</v>
      </c>
      <c r="J150" s="19" t="n">
        <f aca="false">J149*J319</f>
        <v>0.00604244409759163</v>
      </c>
    </row>
    <row r="151" customFormat="false" ht="12.75" hidden="false" customHeight="false" outlineLevel="0" collapsed="false">
      <c r="B151" s="15" t="n">
        <f aca="false">EDATE(B150,1)</f>
        <v>40940</v>
      </c>
      <c r="C151" s="16" t="n">
        <f aca="false">C150</f>
        <v>0.0224952</v>
      </c>
      <c r="D151" s="16" t="n">
        <f aca="false">D150</f>
        <v>0.0200232</v>
      </c>
      <c r="E151" s="16" t="n">
        <f aca="false">E150</f>
        <v>0.0707</v>
      </c>
      <c r="F151" s="16" t="n">
        <f aca="false">F150</f>
        <v>0.0158208</v>
      </c>
      <c r="G151" s="16" t="n">
        <f aca="false">G150</f>
        <v>0.00604244409759163</v>
      </c>
      <c r="H151" s="16" t="n">
        <f aca="false">H150</f>
        <v>0.029</v>
      </c>
      <c r="I151" s="16" t="n">
        <f aca="false">I150</f>
        <v>0.0557568550955587</v>
      </c>
      <c r="J151" s="16" t="n">
        <f aca="false">J150</f>
        <v>0.00604244409759163</v>
      </c>
    </row>
    <row r="152" customFormat="false" ht="12.75" hidden="false" customHeight="false" outlineLevel="0" collapsed="false">
      <c r="B152" s="15" t="n">
        <f aca="false">EDATE(B151,1)</f>
        <v>40969</v>
      </c>
      <c r="C152" s="16" t="n">
        <f aca="false">C151</f>
        <v>0.0224952</v>
      </c>
      <c r="D152" s="16" t="n">
        <f aca="false">D151</f>
        <v>0.0200232</v>
      </c>
      <c r="E152" s="16" t="n">
        <f aca="false">E151</f>
        <v>0.0707</v>
      </c>
      <c r="F152" s="16" t="n">
        <f aca="false">F151</f>
        <v>0.0158208</v>
      </c>
      <c r="G152" s="16" t="n">
        <f aca="false">G151</f>
        <v>0.00604244409759163</v>
      </c>
      <c r="H152" s="16" t="n">
        <f aca="false">H151</f>
        <v>0.029</v>
      </c>
      <c r="I152" s="16" t="n">
        <f aca="false">I151</f>
        <v>0.0557568550955587</v>
      </c>
      <c r="J152" s="16" t="n">
        <f aca="false">J151</f>
        <v>0.00604244409759163</v>
      </c>
    </row>
    <row r="153" customFormat="false" ht="12.75" hidden="false" customHeight="false" outlineLevel="0" collapsed="false">
      <c r="B153" s="15" t="n">
        <f aca="false">EDATE(B152,1)</f>
        <v>41000</v>
      </c>
      <c r="C153" s="16" t="n">
        <f aca="false">C152</f>
        <v>0.0224952</v>
      </c>
      <c r="D153" s="16" t="n">
        <f aca="false">D152</f>
        <v>0.0200232</v>
      </c>
      <c r="E153" s="16" t="n">
        <f aca="false">E152</f>
        <v>0.0707</v>
      </c>
      <c r="F153" s="16" t="n">
        <f aca="false">F152</f>
        <v>0.0158208</v>
      </c>
      <c r="G153" s="16" t="n">
        <f aca="false">G152</f>
        <v>0.00604244409759163</v>
      </c>
      <c r="H153" s="16" t="n">
        <f aca="false">H152</f>
        <v>0.029</v>
      </c>
      <c r="I153" s="16" t="n">
        <f aca="false">I152</f>
        <v>0.0557568550955587</v>
      </c>
      <c r="J153" s="16" t="n">
        <f aca="false">J152</f>
        <v>0.00604244409759163</v>
      </c>
    </row>
    <row r="154" customFormat="false" ht="12.75" hidden="false" customHeight="false" outlineLevel="0" collapsed="false">
      <c r="B154" s="15" t="n">
        <f aca="false">EDATE(B153,1)</f>
        <v>41030</v>
      </c>
      <c r="C154" s="16" t="n">
        <f aca="false">C153</f>
        <v>0.0224952</v>
      </c>
      <c r="D154" s="16" t="n">
        <f aca="false">D153</f>
        <v>0.0200232</v>
      </c>
      <c r="E154" s="16" t="n">
        <f aca="false">E153</f>
        <v>0.0707</v>
      </c>
      <c r="F154" s="16" t="n">
        <f aca="false">F153</f>
        <v>0.0158208</v>
      </c>
      <c r="G154" s="16" t="n">
        <f aca="false">G153</f>
        <v>0.00604244409759163</v>
      </c>
      <c r="H154" s="16" t="n">
        <f aca="false">H153</f>
        <v>0.029</v>
      </c>
      <c r="I154" s="16" t="n">
        <f aca="false">I153</f>
        <v>0.0557568550955587</v>
      </c>
      <c r="J154" s="16" t="n">
        <f aca="false">J153</f>
        <v>0.00604244409759163</v>
      </c>
    </row>
    <row r="155" customFormat="false" ht="12.75" hidden="false" customHeight="false" outlineLevel="0" collapsed="false">
      <c r="B155" s="15" t="n">
        <f aca="false">EDATE(B154,1)</f>
        <v>41061</v>
      </c>
      <c r="C155" s="16" t="n">
        <f aca="false">C154</f>
        <v>0.0224952</v>
      </c>
      <c r="D155" s="16" t="n">
        <f aca="false">D154</f>
        <v>0.0200232</v>
      </c>
      <c r="E155" s="16" t="n">
        <f aca="false">E154</f>
        <v>0.0707</v>
      </c>
      <c r="F155" s="16" t="n">
        <f aca="false">F154</f>
        <v>0.0158208</v>
      </c>
      <c r="G155" s="16" t="n">
        <f aca="false">G154</f>
        <v>0.00604244409759163</v>
      </c>
      <c r="H155" s="16" t="n">
        <f aca="false">H154</f>
        <v>0.029</v>
      </c>
      <c r="I155" s="16" t="n">
        <f aca="false">I154</f>
        <v>0.0557568550955587</v>
      </c>
      <c r="J155" s="16" t="n">
        <f aca="false">J154</f>
        <v>0.00604244409759163</v>
      </c>
    </row>
    <row r="156" customFormat="false" ht="12.75" hidden="false" customHeight="false" outlineLevel="0" collapsed="false">
      <c r="B156" s="15" t="n">
        <f aca="false">EDATE(B155,1)</f>
        <v>41091</v>
      </c>
      <c r="C156" s="16" t="n">
        <f aca="false">C155</f>
        <v>0.0224952</v>
      </c>
      <c r="D156" s="16" t="n">
        <f aca="false">D155</f>
        <v>0.0200232</v>
      </c>
      <c r="E156" s="16" t="n">
        <f aca="false">E155</f>
        <v>0.0707</v>
      </c>
      <c r="F156" s="16" t="n">
        <f aca="false">F155</f>
        <v>0.0158208</v>
      </c>
      <c r="G156" s="16" t="n">
        <f aca="false">G155</f>
        <v>0.00604244409759163</v>
      </c>
      <c r="H156" s="16" t="n">
        <f aca="false">H155</f>
        <v>0.029</v>
      </c>
      <c r="I156" s="16" t="n">
        <f aca="false">I155</f>
        <v>0.0557568550955587</v>
      </c>
      <c r="J156" s="16" t="n">
        <f aca="false">J155</f>
        <v>0.00604244409759163</v>
      </c>
    </row>
    <row r="157" customFormat="false" ht="12.75" hidden="false" customHeight="false" outlineLevel="0" collapsed="false">
      <c r="B157" s="15" t="n">
        <f aca="false">EDATE(B156,1)</f>
        <v>41122</v>
      </c>
      <c r="C157" s="16" t="n">
        <f aca="false">C156</f>
        <v>0.0224952</v>
      </c>
      <c r="D157" s="16" t="n">
        <f aca="false">D156</f>
        <v>0.0200232</v>
      </c>
      <c r="E157" s="16" t="n">
        <f aca="false">E156</f>
        <v>0.0707</v>
      </c>
      <c r="F157" s="16" t="n">
        <f aca="false">F156</f>
        <v>0.0158208</v>
      </c>
      <c r="G157" s="16" t="n">
        <f aca="false">G156</f>
        <v>0.00604244409759163</v>
      </c>
      <c r="H157" s="16" t="n">
        <f aca="false">H156</f>
        <v>0.029</v>
      </c>
      <c r="I157" s="16" t="n">
        <f aca="false">I156</f>
        <v>0.0557568550955587</v>
      </c>
      <c r="J157" s="16" t="n">
        <f aca="false">J156</f>
        <v>0.00604244409759163</v>
      </c>
    </row>
    <row r="158" customFormat="false" ht="12.75" hidden="false" customHeight="false" outlineLevel="0" collapsed="false">
      <c r="B158" s="15" t="n">
        <f aca="false">EDATE(B157,1)</f>
        <v>41153</v>
      </c>
      <c r="C158" s="16" t="n">
        <f aca="false">C157</f>
        <v>0.0224952</v>
      </c>
      <c r="D158" s="16" t="n">
        <f aca="false">D157</f>
        <v>0.0200232</v>
      </c>
      <c r="E158" s="16" t="n">
        <f aca="false">E157</f>
        <v>0.0707</v>
      </c>
      <c r="F158" s="16" t="n">
        <f aca="false">F157</f>
        <v>0.0158208</v>
      </c>
      <c r="G158" s="16" t="n">
        <f aca="false">G157</f>
        <v>0.00604244409759163</v>
      </c>
      <c r="H158" s="16" t="n">
        <f aca="false">H157</f>
        <v>0.029</v>
      </c>
      <c r="I158" s="16" t="n">
        <f aca="false">I157</f>
        <v>0.0557568550955587</v>
      </c>
      <c r="J158" s="16" t="n">
        <f aca="false">J157</f>
        <v>0.00604244409759163</v>
      </c>
    </row>
    <row r="159" customFormat="false" ht="12.75" hidden="false" customHeight="false" outlineLevel="0" collapsed="false">
      <c r="B159" s="15" t="n">
        <f aca="false">EDATE(B158,1)</f>
        <v>41183</v>
      </c>
      <c r="C159" s="16" t="n">
        <f aca="false">C158</f>
        <v>0.0224952</v>
      </c>
      <c r="D159" s="16" t="n">
        <f aca="false">D158</f>
        <v>0.0200232</v>
      </c>
      <c r="E159" s="16" t="n">
        <f aca="false">E158</f>
        <v>0.0707</v>
      </c>
      <c r="F159" s="16" t="n">
        <f aca="false">F158</f>
        <v>0.0158208</v>
      </c>
      <c r="G159" s="16" t="n">
        <f aca="false">G158</f>
        <v>0.00604244409759163</v>
      </c>
      <c r="H159" s="16" t="n">
        <f aca="false">H158</f>
        <v>0.029</v>
      </c>
      <c r="I159" s="16" t="n">
        <f aca="false">I158</f>
        <v>0.0557568550955587</v>
      </c>
      <c r="J159" s="16" t="n">
        <f aca="false">J158</f>
        <v>0.00604244409759163</v>
      </c>
    </row>
    <row r="160" customFormat="false" ht="12.75" hidden="false" customHeight="false" outlineLevel="0" collapsed="false">
      <c r="B160" s="15" t="n">
        <f aca="false">EDATE(B159,1)</f>
        <v>41214</v>
      </c>
      <c r="C160" s="16" t="n">
        <f aca="false">C159</f>
        <v>0.0224952</v>
      </c>
      <c r="D160" s="16" t="n">
        <f aca="false">D159</f>
        <v>0.0200232</v>
      </c>
      <c r="E160" s="16" t="n">
        <f aca="false">E159</f>
        <v>0.0707</v>
      </c>
      <c r="F160" s="16" t="n">
        <f aca="false">F159</f>
        <v>0.0158208</v>
      </c>
      <c r="G160" s="16" t="n">
        <f aca="false">G159</f>
        <v>0.00604244409759163</v>
      </c>
      <c r="H160" s="16" t="n">
        <f aca="false">H159</f>
        <v>0.029</v>
      </c>
      <c r="I160" s="16" t="n">
        <f aca="false">I159</f>
        <v>0.0557568550955587</v>
      </c>
      <c r="J160" s="16" t="n">
        <f aca="false">J159</f>
        <v>0.00604244409759163</v>
      </c>
    </row>
    <row r="161" customFormat="false" ht="12.75" hidden="false" customHeight="false" outlineLevel="0" collapsed="false">
      <c r="B161" s="15" t="n">
        <f aca="false">EDATE(B160,1)</f>
        <v>41244</v>
      </c>
      <c r="C161" s="16" t="n">
        <f aca="false">C160</f>
        <v>0.0224952</v>
      </c>
      <c r="D161" s="16" t="n">
        <f aca="false">D160</f>
        <v>0.0200232</v>
      </c>
      <c r="E161" s="16" t="n">
        <f aca="false">E160</f>
        <v>0.0707</v>
      </c>
      <c r="F161" s="16" t="n">
        <f aca="false">F160</f>
        <v>0.0158208</v>
      </c>
      <c r="G161" s="16" t="n">
        <f aca="false">G160</f>
        <v>0.00604244409759163</v>
      </c>
      <c r="H161" s="16" t="n">
        <f aca="false">H160</f>
        <v>0.029</v>
      </c>
      <c r="I161" s="16" t="n">
        <f aca="false">I160</f>
        <v>0.0557568550955587</v>
      </c>
      <c r="J161" s="16" t="n">
        <f aca="false">J160</f>
        <v>0.00604244409759163</v>
      </c>
    </row>
    <row r="162" customFormat="false" ht="12.75" hidden="false" customHeight="false" outlineLevel="0" collapsed="false">
      <c r="B162" s="15" t="n">
        <f aca="false">EDATE(B161,1)</f>
        <v>41275</v>
      </c>
      <c r="C162" s="19" t="n">
        <f aca="false">C161*C331</f>
        <v>0.0224952</v>
      </c>
      <c r="D162" s="19" t="n">
        <f aca="false">D161*D331</f>
        <v>0.0200232</v>
      </c>
      <c r="E162" s="19" t="n">
        <f aca="false">E161*E331</f>
        <v>0.0707</v>
      </c>
      <c r="F162" s="19" t="n">
        <f aca="false">F161*F331</f>
        <v>0.0158208</v>
      </c>
      <c r="G162" s="19" t="n">
        <f aca="false">G161*G331</f>
        <v>0.00616329297954347</v>
      </c>
      <c r="H162" s="19" t="n">
        <f aca="false">H161*H331</f>
        <v>0.029</v>
      </c>
      <c r="I162" s="19" t="n">
        <f aca="false">I161*I331</f>
        <v>0.0568719921974699</v>
      </c>
      <c r="J162" s="19" t="n">
        <f aca="false">J161*J331</f>
        <v>0.00616329297954347</v>
      </c>
    </row>
    <row r="163" customFormat="false" ht="12.75" hidden="false" customHeight="false" outlineLevel="0" collapsed="false">
      <c r="B163" s="15" t="n">
        <f aca="false">EDATE(B162,1)</f>
        <v>41306</v>
      </c>
      <c r="C163" s="16" t="n">
        <f aca="false">C162</f>
        <v>0.0224952</v>
      </c>
      <c r="D163" s="16" t="n">
        <f aca="false">D162</f>
        <v>0.0200232</v>
      </c>
      <c r="E163" s="16" t="n">
        <f aca="false">E162</f>
        <v>0.0707</v>
      </c>
      <c r="F163" s="16" t="n">
        <f aca="false">F162</f>
        <v>0.0158208</v>
      </c>
      <c r="G163" s="16" t="n">
        <f aca="false">G162</f>
        <v>0.00616329297954347</v>
      </c>
      <c r="H163" s="16" t="n">
        <f aca="false">H162</f>
        <v>0.029</v>
      </c>
      <c r="I163" s="16" t="n">
        <f aca="false">I162</f>
        <v>0.0568719921974699</v>
      </c>
      <c r="J163" s="16" t="n">
        <f aca="false">J162</f>
        <v>0.00616329297954347</v>
      </c>
    </row>
    <row r="164" customFormat="false" ht="12.75" hidden="false" customHeight="false" outlineLevel="0" collapsed="false">
      <c r="B164" s="15" t="n">
        <f aca="false">EDATE(B163,1)</f>
        <v>41334</v>
      </c>
      <c r="C164" s="16" t="n">
        <f aca="false">C163</f>
        <v>0.0224952</v>
      </c>
      <c r="D164" s="16" t="n">
        <f aca="false">D163</f>
        <v>0.0200232</v>
      </c>
      <c r="E164" s="16" t="n">
        <f aca="false">E163</f>
        <v>0.0707</v>
      </c>
      <c r="F164" s="16" t="n">
        <f aca="false">F163</f>
        <v>0.0158208</v>
      </c>
      <c r="G164" s="16" t="n">
        <f aca="false">G163</f>
        <v>0.00616329297954347</v>
      </c>
      <c r="H164" s="16" t="n">
        <f aca="false">H163</f>
        <v>0.029</v>
      </c>
      <c r="I164" s="16" t="n">
        <f aca="false">I163</f>
        <v>0.0568719921974699</v>
      </c>
      <c r="J164" s="16" t="n">
        <f aca="false">J163</f>
        <v>0.00616329297954347</v>
      </c>
    </row>
    <row r="165" customFormat="false" ht="12.75" hidden="false" customHeight="false" outlineLevel="0" collapsed="false">
      <c r="B165" s="15" t="n">
        <f aca="false">EDATE(B164,1)</f>
        <v>41365</v>
      </c>
      <c r="C165" s="16" t="n">
        <f aca="false">C164</f>
        <v>0.0224952</v>
      </c>
      <c r="D165" s="16" t="n">
        <f aca="false">D164</f>
        <v>0.0200232</v>
      </c>
      <c r="E165" s="16" t="n">
        <f aca="false">E164</f>
        <v>0.0707</v>
      </c>
      <c r="F165" s="16" t="n">
        <f aca="false">F164</f>
        <v>0.0158208</v>
      </c>
      <c r="G165" s="16" t="n">
        <f aca="false">G164</f>
        <v>0.00616329297954347</v>
      </c>
      <c r="H165" s="16" t="n">
        <f aca="false">H164</f>
        <v>0.029</v>
      </c>
      <c r="I165" s="16" t="n">
        <f aca="false">I164</f>
        <v>0.0568719921974699</v>
      </c>
      <c r="J165" s="16" t="n">
        <f aca="false">J164</f>
        <v>0.00616329297954347</v>
      </c>
    </row>
    <row r="166" customFormat="false" ht="12.75" hidden="false" customHeight="false" outlineLevel="0" collapsed="false">
      <c r="B166" s="15" t="n">
        <f aca="false">EDATE(B165,1)</f>
        <v>41395</v>
      </c>
      <c r="C166" s="16" t="n">
        <f aca="false">C165</f>
        <v>0.0224952</v>
      </c>
      <c r="D166" s="16" t="n">
        <f aca="false">D165</f>
        <v>0.0200232</v>
      </c>
      <c r="E166" s="16" t="n">
        <f aca="false">E165</f>
        <v>0.0707</v>
      </c>
      <c r="F166" s="16" t="n">
        <f aca="false">F165</f>
        <v>0.0158208</v>
      </c>
      <c r="G166" s="16" t="n">
        <f aca="false">G165</f>
        <v>0.00616329297954347</v>
      </c>
      <c r="H166" s="16" t="n">
        <f aca="false">H165</f>
        <v>0.029</v>
      </c>
      <c r="I166" s="16" t="n">
        <f aca="false">I165</f>
        <v>0.0568719921974699</v>
      </c>
      <c r="J166" s="16" t="n">
        <f aca="false">J165</f>
        <v>0.00616329297954347</v>
      </c>
    </row>
    <row r="167" customFormat="false" ht="12.75" hidden="false" customHeight="false" outlineLevel="0" collapsed="false">
      <c r="B167" s="15" t="n">
        <f aca="false">EDATE(B166,1)</f>
        <v>41426</v>
      </c>
      <c r="C167" s="16" t="n">
        <f aca="false">C166</f>
        <v>0.0224952</v>
      </c>
      <c r="D167" s="16" t="n">
        <f aca="false">D166</f>
        <v>0.0200232</v>
      </c>
      <c r="E167" s="16" t="n">
        <f aca="false">E166</f>
        <v>0.0707</v>
      </c>
      <c r="F167" s="16" t="n">
        <f aca="false">F166</f>
        <v>0.0158208</v>
      </c>
      <c r="G167" s="16" t="n">
        <f aca="false">G166</f>
        <v>0.00616329297954347</v>
      </c>
      <c r="H167" s="16" t="n">
        <f aca="false">H166</f>
        <v>0.029</v>
      </c>
      <c r="I167" s="16" t="n">
        <f aca="false">I166</f>
        <v>0.0568719921974699</v>
      </c>
      <c r="J167" s="16" t="n">
        <f aca="false">J166</f>
        <v>0.00616329297954347</v>
      </c>
    </row>
    <row r="168" customFormat="false" ht="12.75" hidden="false" customHeight="false" outlineLevel="0" collapsed="false">
      <c r="B168" s="15" t="n">
        <f aca="false">EDATE(B167,1)</f>
        <v>41456</v>
      </c>
      <c r="C168" s="16" t="n">
        <f aca="false">C167</f>
        <v>0.0224952</v>
      </c>
      <c r="D168" s="16" t="n">
        <f aca="false">D167</f>
        <v>0.0200232</v>
      </c>
      <c r="E168" s="16" t="n">
        <f aca="false">E167</f>
        <v>0.0707</v>
      </c>
      <c r="F168" s="16" t="n">
        <f aca="false">F167</f>
        <v>0.0158208</v>
      </c>
      <c r="G168" s="16" t="n">
        <f aca="false">G167</f>
        <v>0.00616329297954347</v>
      </c>
      <c r="H168" s="16" t="n">
        <f aca="false">H167</f>
        <v>0.029</v>
      </c>
      <c r="I168" s="16" t="n">
        <f aca="false">I167</f>
        <v>0.0568719921974699</v>
      </c>
      <c r="J168" s="16" t="n">
        <f aca="false">J167</f>
        <v>0.00616329297954347</v>
      </c>
    </row>
    <row r="169" customFormat="false" ht="12.75" hidden="false" customHeight="false" outlineLevel="0" collapsed="false">
      <c r="B169" s="15" t="n">
        <f aca="false">EDATE(B168,1)</f>
        <v>41487</v>
      </c>
      <c r="C169" s="16" t="n">
        <f aca="false">C168</f>
        <v>0.0224952</v>
      </c>
      <c r="D169" s="16" t="n">
        <f aca="false">D168</f>
        <v>0.0200232</v>
      </c>
      <c r="E169" s="16" t="n">
        <f aca="false">E168</f>
        <v>0.0707</v>
      </c>
      <c r="F169" s="16" t="n">
        <f aca="false">F168</f>
        <v>0.0158208</v>
      </c>
      <c r="G169" s="16" t="n">
        <f aca="false">G168</f>
        <v>0.00616329297954347</v>
      </c>
      <c r="H169" s="16" t="n">
        <f aca="false">H168</f>
        <v>0.029</v>
      </c>
      <c r="I169" s="16" t="n">
        <f aca="false">I168</f>
        <v>0.0568719921974699</v>
      </c>
      <c r="J169" s="16" t="n">
        <f aca="false">J168</f>
        <v>0.00616329297954347</v>
      </c>
    </row>
    <row r="170" customFormat="false" ht="12.75" hidden="false" customHeight="false" outlineLevel="0" collapsed="false">
      <c r="B170" s="15" t="n">
        <f aca="false">EDATE(B169,1)</f>
        <v>41518</v>
      </c>
      <c r="C170" s="16" t="n">
        <f aca="false">C169</f>
        <v>0.0224952</v>
      </c>
      <c r="D170" s="16" t="n">
        <f aca="false">D169</f>
        <v>0.0200232</v>
      </c>
      <c r="E170" s="16" t="n">
        <f aca="false">E169</f>
        <v>0.0707</v>
      </c>
      <c r="F170" s="16" t="n">
        <f aca="false">F169</f>
        <v>0.0158208</v>
      </c>
      <c r="G170" s="16" t="n">
        <f aca="false">G169</f>
        <v>0.00616329297954347</v>
      </c>
      <c r="H170" s="16" t="n">
        <f aca="false">H169</f>
        <v>0.029</v>
      </c>
      <c r="I170" s="16" t="n">
        <f aca="false">I169</f>
        <v>0.0568719921974699</v>
      </c>
      <c r="J170" s="16" t="n">
        <f aca="false">J169</f>
        <v>0.00616329297954347</v>
      </c>
    </row>
    <row r="171" customFormat="false" ht="12.75" hidden="false" customHeight="false" outlineLevel="0" collapsed="false">
      <c r="B171" s="15" t="n">
        <f aca="false">EDATE(B170,1)</f>
        <v>41548</v>
      </c>
      <c r="C171" s="16" t="n">
        <f aca="false">C170</f>
        <v>0.0224952</v>
      </c>
      <c r="D171" s="16" t="n">
        <f aca="false">D170</f>
        <v>0.0200232</v>
      </c>
      <c r="E171" s="16" t="n">
        <f aca="false">E170</f>
        <v>0.0707</v>
      </c>
      <c r="F171" s="16" t="n">
        <f aca="false">F170</f>
        <v>0.0158208</v>
      </c>
      <c r="G171" s="16" t="n">
        <f aca="false">G170</f>
        <v>0.00616329297954347</v>
      </c>
      <c r="H171" s="16" t="n">
        <f aca="false">H170</f>
        <v>0.029</v>
      </c>
      <c r="I171" s="16" t="n">
        <f aca="false">I170</f>
        <v>0.0568719921974699</v>
      </c>
      <c r="J171" s="16" t="n">
        <f aca="false">J170</f>
        <v>0.00616329297954347</v>
      </c>
    </row>
    <row r="172" customFormat="false" ht="12.75" hidden="false" customHeight="false" outlineLevel="0" collapsed="false">
      <c r="B172" s="15" t="n">
        <f aca="false">EDATE(B171,1)</f>
        <v>41579</v>
      </c>
      <c r="C172" s="16" t="n">
        <f aca="false">C171</f>
        <v>0.0224952</v>
      </c>
      <c r="D172" s="16" t="n">
        <f aca="false">D171</f>
        <v>0.0200232</v>
      </c>
      <c r="E172" s="16" t="n">
        <f aca="false">E171</f>
        <v>0.0707</v>
      </c>
      <c r="F172" s="16" t="n">
        <f aca="false">F171</f>
        <v>0.0158208</v>
      </c>
      <c r="G172" s="16" t="n">
        <f aca="false">G171</f>
        <v>0.00616329297954347</v>
      </c>
      <c r="H172" s="16" t="n">
        <f aca="false">H171</f>
        <v>0.029</v>
      </c>
      <c r="I172" s="16" t="n">
        <f aca="false">I171</f>
        <v>0.0568719921974699</v>
      </c>
      <c r="J172" s="16" t="n">
        <f aca="false">J171</f>
        <v>0.00616329297954347</v>
      </c>
    </row>
    <row r="173" customFormat="false" ht="12.75" hidden="false" customHeight="false" outlineLevel="0" collapsed="false">
      <c r="B173" s="15" t="n">
        <f aca="false">EDATE(B172,1)</f>
        <v>41609</v>
      </c>
      <c r="C173" s="16" t="n">
        <f aca="false">C172</f>
        <v>0.0224952</v>
      </c>
      <c r="D173" s="16" t="n">
        <f aca="false">D172</f>
        <v>0.0200232</v>
      </c>
      <c r="E173" s="16" t="n">
        <f aca="false">E172</f>
        <v>0.0707</v>
      </c>
      <c r="F173" s="16" t="n">
        <f aca="false">F172</f>
        <v>0.0158208</v>
      </c>
      <c r="G173" s="16" t="n">
        <f aca="false">G172</f>
        <v>0.00616329297954347</v>
      </c>
      <c r="H173" s="16" t="n">
        <f aca="false">H172</f>
        <v>0.029</v>
      </c>
      <c r="I173" s="16" t="n">
        <f aca="false">I172</f>
        <v>0.0568719921974699</v>
      </c>
      <c r="J173" s="16" t="n">
        <f aca="false">J172</f>
        <v>0.00616329297954347</v>
      </c>
    </row>
    <row r="174" customFormat="false" ht="12.75" hidden="false" customHeight="false" outlineLevel="0" collapsed="false">
      <c r="B174" s="15" t="n">
        <f aca="false">EDATE(B173,1)</f>
        <v>41640</v>
      </c>
      <c r="C174" s="19" t="n">
        <f aca="false">C173*C343</f>
        <v>0.0224952</v>
      </c>
      <c r="D174" s="19" t="n">
        <f aca="false">D173*D343</f>
        <v>0.0200232</v>
      </c>
      <c r="E174" s="19" t="n">
        <f aca="false">E173*E343</f>
        <v>0.0707</v>
      </c>
      <c r="F174" s="19" t="n">
        <f aca="false">F173*F343</f>
        <v>0.0158208</v>
      </c>
      <c r="G174" s="19" t="n">
        <f aca="false">G173*G343</f>
        <v>0.00628655883913434</v>
      </c>
      <c r="H174" s="19" t="n">
        <f aca="false">H173*H343</f>
        <v>0.029</v>
      </c>
      <c r="I174" s="19" t="n">
        <f aca="false">I173*I343</f>
        <v>0.0580094320414193</v>
      </c>
      <c r="J174" s="19" t="n">
        <f aca="false">J173*J343</f>
        <v>0.00628655883913434</v>
      </c>
    </row>
    <row r="175" customFormat="false" ht="12.75" hidden="false" customHeight="false" outlineLevel="0" collapsed="false">
      <c r="B175" s="15" t="n">
        <f aca="false">EDATE(B174,1)</f>
        <v>41671</v>
      </c>
      <c r="C175" s="16" t="n">
        <f aca="false">C174</f>
        <v>0.0224952</v>
      </c>
      <c r="D175" s="16" t="n">
        <f aca="false">D174</f>
        <v>0.0200232</v>
      </c>
      <c r="E175" s="16" t="n">
        <f aca="false">E174</f>
        <v>0.0707</v>
      </c>
      <c r="F175" s="16" t="n">
        <f aca="false">F174</f>
        <v>0.0158208</v>
      </c>
      <c r="G175" s="16" t="n">
        <f aca="false">G174</f>
        <v>0.00628655883913434</v>
      </c>
      <c r="H175" s="16" t="n">
        <f aca="false">H174</f>
        <v>0.029</v>
      </c>
      <c r="I175" s="16" t="n">
        <f aca="false">I174</f>
        <v>0.0580094320414193</v>
      </c>
      <c r="J175" s="16" t="n">
        <f aca="false">J174</f>
        <v>0.00628655883913434</v>
      </c>
    </row>
    <row r="176" customFormat="false" ht="12.75" hidden="false" customHeight="false" outlineLevel="0" collapsed="false">
      <c r="B176" s="15" t="n">
        <f aca="false">EDATE(B175,1)</f>
        <v>41699</v>
      </c>
      <c r="C176" s="16" t="n">
        <f aca="false">C175</f>
        <v>0.0224952</v>
      </c>
      <c r="D176" s="16" t="n">
        <f aca="false">D175</f>
        <v>0.0200232</v>
      </c>
      <c r="E176" s="16" t="n">
        <f aca="false">E175</f>
        <v>0.0707</v>
      </c>
      <c r="F176" s="16" t="n">
        <f aca="false">F175</f>
        <v>0.0158208</v>
      </c>
      <c r="G176" s="16" t="n">
        <f aca="false">G175</f>
        <v>0.00628655883913434</v>
      </c>
      <c r="H176" s="16" t="n">
        <f aca="false">H175</f>
        <v>0.029</v>
      </c>
      <c r="I176" s="16" t="n">
        <f aca="false">I175</f>
        <v>0.0580094320414193</v>
      </c>
      <c r="J176" s="16" t="n">
        <f aca="false">J175</f>
        <v>0.00628655883913434</v>
      </c>
    </row>
    <row r="177" customFormat="false" ht="12.75" hidden="false" customHeight="false" outlineLevel="0" collapsed="false">
      <c r="B177" s="15" t="n">
        <f aca="false">EDATE(B176,1)</f>
        <v>41730</v>
      </c>
      <c r="C177" s="16" t="n">
        <f aca="false">C176</f>
        <v>0.0224952</v>
      </c>
      <c r="D177" s="16" t="n">
        <f aca="false">D176</f>
        <v>0.0200232</v>
      </c>
      <c r="E177" s="16" t="n">
        <f aca="false">E176</f>
        <v>0.0707</v>
      </c>
      <c r="F177" s="16" t="n">
        <f aca="false">F176</f>
        <v>0.0158208</v>
      </c>
      <c r="G177" s="16" t="n">
        <f aca="false">G176</f>
        <v>0.00628655883913434</v>
      </c>
      <c r="H177" s="16" t="n">
        <f aca="false">H176</f>
        <v>0.029</v>
      </c>
      <c r="I177" s="16" t="n">
        <f aca="false">I176</f>
        <v>0.0580094320414193</v>
      </c>
      <c r="J177" s="16" t="n">
        <f aca="false">J176</f>
        <v>0.00628655883913434</v>
      </c>
    </row>
    <row r="178" customFormat="false" ht="12.75" hidden="false" customHeight="false" outlineLevel="0" collapsed="false">
      <c r="B178" s="15" t="n">
        <f aca="false">EDATE(B177,1)</f>
        <v>41760</v>
      </c>
      <c r="C178" s="16" t="n">
        <f aca="false">C177</f>
        <v>0.0224952</v>
      </c>
      <c r="D178" s="16" t="n">
        <f aca="false">D177</f>
        <v>0.0200232</v>
      </c>
      <c r="E178" s="16" t="n">
        <f aca="false">E177</f>
        <v>0.0707</v>
      </c>
      <c r="F178" s="16" t="n">
        <f aca="false">F177</f>
        <v>0.0158208</v>
      </c>
      <c r="G178" s="16" t="n">
        <f aca="false">G177</f>
        <v>0.00628655883913434</v>
      </c>
      <c r="H178" s="16" t="n">
        <f aca="false">H177</f>
        <v>0.029</v>
      </c>
      <c r="I178" s="16" t="n">
        <f aca="false">I177</f>
        <v>0.0580094320414193</v>
      </c>
      <c r="J178" s="16" t="n">
        <f aca="false">J177</f>
        <v>0.00628655883913434</v>
      </c>
    </row>
    <row r="179" customFormat="false" ht="12.75" hidden="false" customHeight="false" outlineLevel="0" collapsed="false">
      <c r="B179" s="15" t="n">
        <f aca="false">EDATE(B178,1)</f>
        <v>41791</v>
      </c>
      <c r="C179" s="16" t="n">
        <f aca="false">C178</f>
        <v>0.0224952</v>
      </c>
      <c r="D179" s="16" t="n">
        <f aca="false">D178</f>
        <v>0.0200232</v>
      </c>
      <c r="E179" s="16" t="n">
        <f aca="false">E178</f>
        <v>0.0707</v>
      </c>
      <c r="F179" s="16" t="n">
        <f aca="false">F178</f>
        <v>0.0158208</v>
      </c>
      <c r="G179" s="16" t="n">
        <f aca="false">G178</f>
        <v>0.00628655883913434</v>
      </c>
      <c r="H179" s="16" t="n">
        <f aca="false">H178</f>
        <v>0.029</v>
      </c>
      <c r="I179" s="16" t="n">
        <f aca="false">I178</f>
        <v>0.0580094320414193</v>
      </c>
      <c r="J179" s="16" t="n">
        <f aca="false">J178</f>
        <v>0.00628655883913434</v>
      </c>
    </row>
    <row r="180" customFormat="false" ht="12.75" hidden="false" customHeight="false" outlineLevel="0" collapsed="false">
      <c r="B180" s="15" t="n">
        <f aca="false">EDATE(B179,1)</f>
        <v>41821</v>
      </c>
      <c r="C180" s="16" t="n">
        <f aca="false">C179</f>
        <v>0.0224952</v>
      </c>
      <c r="D180" s="16" t="n">
        <f aca="false">D179</f>
        <v>0.0200232</v>
      </c>
      <c r="E180" s="16" t="n">
        <f aca="false">E179</f>
        <v>0.0707</v>
      </c>
      <c r="F180" s="16" t="n">
        <f aca="false">F179</f>
        <v>0.0158208</v>
      </c>
      <c r="G180" s="16" t="n">
        <f aca="false">G179</f>
        <v>0.00628655883913434</v>
      </c>
      <c r="H180" s="16" t="n">
        <f aca="false">H179</f>
        <v>0.029</v>
      </c>
      <c r="I180" s="16" t="n">
        <f aca="false">I179</f>
        <v>0.0580094320414193</v>
      </c>
      <c r="J180" s="16" t="n">
        <f aca="false">J179</f>
        <v>0.00628655883913434</v>
      </c>
    </row>
    <row r="181" customFormat="false" ht="12.75" hidden="false" customHeight="false" outlineLevel="0" collapsed="false">
      <c r="B181" s="15" t="n">
        <f aca="false">EDATE(B180,1)</f>
        <v>41852</v>
      </c>
      <c r="C181" s="16" t="n">
        <f aca="false">C180</f>
        <v>0.0224952</v>
      </c>
      <c r="D181" s="16" t="n">
        <f aca="false">D180</f>
        <v>0.0200232</v>
      </c>
      <c r="E181" s="16" t="n">
        <f aca="false">E180</f>
        <v>0.0707</v>
      </c>
      <c r="F181" s="16" t="n">
        <f aca="false">F180</f>
        <v>0.0158208</v>
      </c>
      <c r="G181" s="16" t="n">
        <f aca="false">G180</f>
        <v>0.00628655883913434</v>
      </c>
      <c r="H181" s="16" t="n">
        <f aca="false">H180</f>
        <v>0.029</v>
      </c>
      <c r="I181" s="16" t="n">
        <f aca="false">I180</f>
        <v>0.0580094320414193</v>
      </c>
      <c r="J181" s="16" t="n">
        <f aca="false">J180</f>
        <v>0.00628655883913434</v>
      </c>
    </row>
    <row r="182" customFormat="false" ht="12.75" hidden="false" customHeight="false" outlineLevel="0" collapsed="false">
      <c r="B182" s="15" t="n">
        <f aca="false">EDATE(B181,1)</f>
        <v>41883</v>
      </c>
      <c r="C182" s="16" t="n">
        <f aca="false">C181</f>
        <v>0.0224952</v>
      </c>
      <c r="D182" s="16" t="n">
        <f aca="false">D181</f>
        <v>0.0200232</v>
      </c>
      <c r="E182" s="16" t="n">
        <f aca="false">E181</f>
        <v>0.0707</v>
      </c>
      <c r="F182" s="16" t="n">
        <f aca="false">F181</f>
        <v>0.0158208</v>
      </c>
      <c r="G182" s="16" t="n">
        <f aca="false">G181</f>
        <v>0.00628655883913434</v>
      </c>
      <c r="H182" s="16" t="n">
        <f aca="false">H181</f>
        <v>0.029</v>
      </c>
      <c r="I182" s="16" t="n">
        <f aca="false">I181</f>
        <v>0.0580094320414193</v>
      </c>
      <c r="J182" s="16" t="n">
        <f aca="false">J181</f>
        <v>0.00628655883913434</v>
      </c>
    </row>
    <row r="183" customFormat="false" ht="12.75" hidden="false" customHeight="false" outlineLevel="0" collapsed="false">
      <c r="B183" s="15" t="n">
        <f aca="false">EDATE(B182,1)</f>
        <v>41913</v>
      </c>
      <c r="C183" s="16" t="n">
        <f aca="false">C182</f>
        <v>0.0224952</v>
      </c>
      <c r="D183" s="16" t="n">
        <f aca="false">D182</f>
        <v>0.0200232</v>
      </c>
      <c r="E183" s="16" t="n">
        <f aca="false">E182</f>
        <v>0.0707</v>
      </c>
      <c r="F183" s="16" t="n">
        <f aca="false">F182</f>
        <v>0.0158208</v>
      </c>
      <c r="G183" s="16" t="n">
        <f aca="false">G182</f>
        <v>0.00628655883913434</v>
      </c>
      <c r="H183" s="16" t="n">
        <f aca="false">H182</f>
        <v>0.029</v>
      </c>
      <c r="I183" s="16" t="n">
        <f aca="false">I182</f>
        <v>0.0580094320414193</v>
      </c>
      <c r="J183" s="16" t="n">
        <f aca="false">J182</f>
        <v>0.00628655883913434</v>
      </c>
    </row>
    <row r="184" customFormat="false" ht="12.75" hidden="false" customHeight="false" outlineLevel="0" collapsed="false">
      <c r="B184" s="15" t="n">
        <f aca="false">EDATE(B183,1)</f>
        <v>41944</v>
      </c>
      <c r="C184" s="16" t="n">
        <f aca="false">C183</f>
        <v>0.0224952</v>
      </c>
      <c r="D184" s="16" t="n">
        <f aca="false">D183</f>
        <v>0.0200232</v>
      </c>
      <c r="E184" s="16" t="n">
        <f aca="false">E183</f>
        <v>0.0707</v>
      </c>
      <c r="F184" s="16" t="n">
        <f aca="false">F183</f>
        <v>0.0158208</v>
      </c>
      <c r="G184" s="16" t="n">
        <f aca="false">G183</f>
        <v>0.00628655883913434</v>
      </c>
      <c r="H184" s="16" t="n">
        <f aca="false">H183</f>
        <v>0.029</v>
      </c>
      <c r="I184" s="16" t="n">
        <f aca="false">I183</f>
        <v>0.0580094320414193</v>
      </c>
      <c r="J184" s="16" t="n">
        <f aca="false">J183</f>
        <v>0.00628655883913434</v>
      </c>
    </row>
    <row r="185" customFormat="false" ht="12.75" hidden="false" customHeight="false" outlineLevel="0" collapsed="false">
      <c r="B185" s="15" t="n">
        <f aca="false">EDATE(B184,1)</f>
        <v>41974</v>
      </c>
      <c r="C185" s="16" t="n">
        <f aca="false">C184</f>
        <v>0.0224952</v>
      </c>
      <c r="D185" s="16" t="n">
        <f aca="false">D184</f>
        <v>0.0200232</v>
      </c>
      <c r="E185" s="16" t="n">
        <f aca="false">E184</f>
        <v>0.0707</v>
      </c>
      <c r="F185" s="16" t="n">
        <f aca="false">F184</f>
        <v>0.0158208</v>
      </c>
      <c r="G185" s="16" t="n">
        <f aca="false">G184</f>
        <v>0.00628655883913434</v>
      </c>
      <c r="H185" s="16" t="n">
        <f aca="false">H184</f>
        <v>0.029</v>
      </c>
      <c r="I185" s="16" t="n">
        <f aca="false">I184</f>
        <v>0.0580094320414193</v>
      </c>
      <c r="J185" s="16" t="n">
        <f aca="false">J184</f>
        <v>0.00628655883913434</v>
      </c>
    </row>
    <row r="186" customFormat="false" ht="12.75" hidden="false" customHeight="false" outlineLevel="0" collapsed="false">
      <c r="B186" s="15" t="n">
        <f aca="false">EDATE(B185,1)</f>
        <v>42005</v>
      </c>
    </row>
    <row r="187" customFormat="false" ht="12.75" hidden="false" customHeight="false" outlineLevel="0" collapsed="false">
      <c r="B187" s="15"/>
    </row>
    <row r="188" customFormat="false" ht="12.75" hidden="false" customHeight="false" outlineLevel="0" collapsed="false">
      <c r="B188" s="15"/>
    </row>
    <row r="189" customFormat="false" ht="12.75" hidden="false" customHeight="false" outlineLevel="0" collapsed="false">
      <c r="B189" s="15"/>
    </row>
    <row r="190" customFormat="false" ht="25.5" hidden="false" customHeight="false" outlineLevel="0" collapsed="false">
      <c r="B190" s="13"/>
      <c r="C190" s="13" t="s">
        <v>2</v>
      </c>
      <c r="D190" s="13" t="s">
        <v>3</v>
      </c>
      <c r="E190" s="13" t="s">
        <v>4</v>
      </c>
      <c r="F190" s="13" t="s">
        <v>5</v>
      </c>
      <c r="G190" s="13" t="s">
        <v>6</v>
      </c>
      <c r="H190" s="13" t="s">
        <v>7</v>
      </c>
      <c r="I190" s="13" t="s">
        <v>8</v>
      </c>
      <c r="J190" s="13" t="s">
        <v>9</v>
      </c>
    </row>
    <row r="191" customFormat="false" ht="12.75" hidden="false" customHeight="false" outlineLevel="0" collapsed="false">
      <c r="C191" s="14" t="s">
        <v>10</v>
      </c>
      <c r="D191" s="14" t="s">
        <v>11</v>
      </c>
      <c r="E191" s="14" t="s">
        <v>12</v>
      </c>
      <c r="F191" s="14" t="s">
        <v>13</v>
      </c>
      <c r="G191" s="14" t="s">
        <v>14</v>
      </c>
      <c r="H191" s="14" t="s">
        <v>15</v>
      </c>
      <c r="I191" s="14" t="s">
        <v>14</v>
      </c>
      <c r="J191" s="14" t="s">
        <v>14</v>
      </c>
    </row>
    <row r="192" customFormat="false" ht="12.75" hidden="false" customHeight="false" outlineLevel="0" collapsed="false">
      <c r="B192" s="15" t="n">
        <f aca="false">B23</f>
        <v>37043</v>
      </c>
    </row>
    <row r="193" customFormat="false" ht="12.75" hidden="false" customHeight="false" outlineLevel="0" collapsed="false">
      <c r="B193" s="15" t="n">
        <f aca="false">B24</f>
        <v>37073</v>
      </c>
    </row>
    <row r="194" customFormat="false" ht="12.75" hidden="false" customHeight="false" outlineLevel="0" collapsed="false">
      <c r="B194" s="15" t="n">
        <f aca="false">B25</f>
        <v>37104</v>
      </c>
    </row>
    <row r="195" customFormat="false" ht="12.75" hidden="false" customHeight="false" outlineLevel="0" collapsed="false">
      <c r="B195" s="15" t="n">
        <f aca="false">B26</f>
        <v>37135</v>
      </c>
    </row>
    <row r="196" customFormat="false" ht="12.75" hidden="false" customHeight="false" outlineLevel="0" collapsed="false">
      <c r="B196" s="15" t="n">
        <f aca="false">B27</f>
        <v>37165</v>
      </c>
    </row>
    <row r="197" customFormat="false" ht="12.75" hidden="false" customHeight="false" outlineLevel="0" collapsed="false">
      <c r="B197" s="15" t="n">
        <f aca="false">B28</f>
        <v>37196</v>
      </c>
    </row>
    <row r="198" customFormat="false" ht="12.75" hidden="false" customHeight="false" outlineLevel="0" collapsed="false">
      <c r="B198" s="15" t="n">
        <f aca="false">B29</f>
        <v>37226</v>
      </c>
    </row>
    <row r="199" customFormat="false" ht="12.75" hidden="false" customHeight="false" outlineLevel="0" collapsed="false">
      <c r="B199" s="15" t="n">
        <f aca="false">B30</f>
        <v>37257</v>
      </c>
      <c r="C199" s="20" t="n">
        <f aca="false">VLOOKUP($B199,$B$4:$I$16,MATCH(C$191,$B$3:$I$3,0))</f>
        <v>1</v>
      </c>
      <c r="D199" s="20" t="n">
        <f aca="false">VLOOKUP($B199,$B$4:$I$16,MATCH(D$191,$B$3:$I$3,0))</f>
        <v>1</v>
      </c>
      <c r="E199" s="20" t="n">
        <f aca="false">VLOOKUP($B199,$B$4:$I$16,MATCH(E$191,$B$3:$I$3,0))</f>
        <v>1</v>
      </c>
      <c r="F199" s="20" t="n">
        <f aca="false">VLOOKUP($B199,$B$4:$I$16,MATCH(F$191,$B$3:$I$3,0))</f>
        <v>1</v>
      </c>
      <c r="G199" s="20" t="n">
        <f aca="false">VLOOKUP($B199,$B$4:$I$16,MATCH(G$191,$B$3:$I$3,0))</f>
        <v>1.052</v>
      </c>
      <c r="H199" s="20" t="n">
        <f aca="false">VLOOKUP($B199,$B$4:$I$16,MATCH(H$191,$B$3:$I$3,0))</f>
        <v>1</v>
      </c>
      <c r="I199" s="20" t="n">
        <f aca="false">VLOOKUP($B199,$B$4:$I$16,MATCH(I$191,$B$3:$I$3,0))</f>
        <v>1.052</v>
      </c>
      <c r="J199" s="20" t="n">
        <f aca="false">VLOOKUP($B199,$B$4:$I$16,MATCH(J$191,$B$3:$I$3,0))</f>
        <v>1.052</v>
      </c>
    </row>
    <row r="200" customFormat="false" ht="12.75" hidden="false" customHeight="false" outlineLevel="0" collapsed="false">
      <c r="B200" s="15" t="n">
        <f aca="false">B31</f>
        <v>37288</v>
      </c>
    </row>
    <row r="201" customFormat="false" ht="12.75" hidden="false" customHeight="false" outlineLevel="0" collapsed="false">
      <c r="B201" s="15" t="n">
        <f aca="false">B32</f>
        <v>37316</v>
      </c>
    </row>
    <row r="202" customFormat="false" ht="12.75" hidden="false" customHeight="false" outlineLevel="0" collapsed="false">
      <c r="B202" s="15" t="n">
        <f aca="false">B33</f>
        <v>37347</v>
      </c>
    </row>
    <row r="203" customFormat="false" ht="12.75" hidden="false" customHeight="false" outlineLevel="0" collapsed="false">
      <c r="B203" s="15" t="n">
        <f aca="false">B34</f>
        <v>37377</v>
      </c>
    </row>
    <row r="204" customFormat="false" ht="12.75" hidden="false" customHeight="false" outlineLevel="0" collapsed="false">
      <c r="B204" s="15" t="n">
        <f aca="false">B35</f>
        <v>37408</v>
      </c>
    </row>
    <row r="205" customFormat="false" ht="12.75" hidden="false" customHeight="false" outlineLevel="0" collapsed="false">
      <c r="B205" s="15" t="n">
        <f aca="false">B36</f>
        <v>37438</v>
      </c>
    </row>
    <row r="206" customFormat="false" ht="12.75" hidden="false" customHeight="false" outlineLevel="0" collapsed="false">
      <c r="B206" s="15" t="n">
        <f aca="false">B37</f>
        <v>37469</v>
      </c>
    </row>
    <row r="207" customFormat="false" ht="12.75" hidden="false" customHeight="false" outlineLevel="0" collapsed="false">
      <c r="B207" s="15" t="n">
        <f aca="false">B38</f>
        <v>37500</v>
      </c>
    </row>
    <row r="208" customFormat="false" ht="12.75" hidden="false" customHeight="false" outlineLevel="0" collapsed="false">
      <c r="B208" s="15" t="n">
        <f aca="false">B39</f>
        <v>37530</v>
      </c>
    </row>
    <row r="209" customFormat="false" ht="12.75" hidden="false" customHeight="false" outlineLevel="0" collapsed="false">
      <c r="B209" s="15" t="n">
        <f aca="false">B40</f>
        <v>37561</v>
      </c>
    </row>
    <row r="210" customFormat="false" ht="12.75" hidden="false" customHeight="false" outlineLevel="0" collapsed="false">
      <c r="B210" s="15" t="n">
        <f aca="false">B41</f>
        <v>37591</v>
      </c>
    </row>
    <row r="211" customFormat="false" ht="12.75" hidden="false" customHeight="false" outlineLevel="0" collapsed="false">
      <c r="B211" s="15" t="n">
        <f aca="false">B42</f>
        <v>37622</v>
      </c>
      <c r="C211" s="20" t="n">
        <f aca="false">VLOOKUP($B211,$B$4:$I$16,MATCH(C$191,$B$3:$I$3,0))</f>
        <v>1.03</v>
      </c>
      <c r="D211" s="20" t="n">
        <f aca="false">VLOOKUP($B211,$B$4:$I$16,MATCH(D$191,$B$3:$I$3,0))</f>
        <v>1.03</v>
      </c>
      <c r="E211" s="20" t="n">
        <f aca="false">VLOOKUP($B211,$B$4:$I$16,MATCH(E$191,$B$3:$I$3,0))</f>
        <v>1</v>
      </c>
      <c r="F211" s="20" t="n">
        <f aca="false">VLOOKUP($B211,$B$4:$I$16,MATCH(F$191,$B$3:$I$3,0))</f>
        <v>1</v>
      </c>
      <c r="G211" s="20" t="n">
        <f aca="false">VLOOKUP($B211,$B$4:$I$16,MATCH(G$191,$B$3:$I$3,0))</f>
        <v>1.3</v>
      </c>
      <c r="H211" s="20" t="n">
        <f aca="false">VLOOKUP($B211,$B$4:$I$16,MATCH(H$191,$B$3:$I$3,0))</f>
        <v>1</v>
      </c>
      <c r="I211" s="20" t="n">
        <f aca="false">VLOOKUP($B211,$B$4:$I$16,MATCH(I$191,$B$3:$I$3,0))</f>
        <v>1.3</v>
      </c>
      <c r="J211" s="20" t="n">
        <f aca="false">VLOOKUP($B211,$B$4:$I$16,MATCH(J$191,$B$3:$I$3,0))</f>
        <v>1.3</v>
      </c>
    </row>
    <row r="212" customFormat="false" ht="12.75" hidden="false" customHeight="false" outlineLevel="0" collapsed="false">
      <c r="B212" s="15" t="n">
        <f aca="false">B43</f>
        <v>37653</v>
      </c>
    </row>
    <row r="213" customFormat="false" ht="12.75" hidden="false" customHeight="false" outlineLevel="0" collapsed="false">
      <c r="B213" s="15" t="n">
        <f aca="false">B44</f>
        <v>37681</v>
      </c>
    </row>
    <row r="214" customFormat="false" ht="12.75" hidden="false" customHeight="false" outlineLevel="0" collapsed="false">
      <c r="B214" s="15" t="n">
        <f aca="false">B45</f>
        <v>37712</v>
      </c>
    </row>
    <row r="215" customFormat="false" ht="12.75" hidden="false" customHeight="false" outlineLevel="0" collapsed="false">
      <c r="B215" s="15" t="n">
        <f aca="false">B46</f>
        <v>37742</v>
      </c>
    </row>
    <row r="216" customFormat="false" ht="12.75" hidden="false" customHeight="false" outlineLevel="0" collapsed="false">
      <c r="B216" s="15" t="n">
        <f aca="false">B47</f>
        <v>37773</v>
      </c>
    </row>
    <row r="217" customFormat="false" ht="12.75" hidden="false" customHeight="false" outlineLevel="0" collapsed="false">
      <c r="B217" s="15" t="n">
        <f aca="false">B48</f>
        <v>37803</v>
      </c>
    </row>
    <row r="218" customFormat="false" ht="12.75" hidden="false" customHeight="false" outlineLevel="0" collapsed="false">
      <c r="B218" s="15" t="n">
        <f aca="false">B49</f>
        <v>37834</v>
      </c>
    </row>
    <row r="219" customFormat="false" ht="12.75" hidden="false" customHeight="false" outlineLevel="0" collapsed="false">
      <c r="B219" s="15" t="n">
        <f aca="false">B50</f>
        <v>37865</v>
      </c>
    </row>
    <row r="220" customFormat="false" ht="12.75" hidden="false" customHeight="false" outlineLevel="0" collapsed="false">
      <c r="B220" s="15" t="n">
        <f aca="false">B51</f>
        <v>37895</v>
      </c>
    </row>
    <row r="221" customFormat="false" ht="12.75" hidden="false" customHeight="false" outlineLevel="0" collapsed="false">
      <c r="B221" s="15" t="n">
        <f aca="false">B52</f>
        <v>37926</v>
      </c>
    </row>
    <row r="222" customFormat="false" ht="12.75" hidden="false" customHeight="false" outlineLevel="0" collapsed="false">
      <c r="B222" s="15" t="n">
        <f aca="false">B53</f>
        <v>37956</v>
      </c>
    </row>
    <row r="223" customFormat="false" ht="12.75" hidden="false" customHeight="false" outlineLevel="0" collapsed="false">
      <c r="B223" s="15" t="n">
        <f aca="false">B54</f>
        <v>37987</v>
      </c>
      <c r="C223" s="20" t="n">
        <f aca="false">VLOOKUP($B223,$B$4:$I$16,MATCH(C$191,$B$3:$I$3,0))</f>
        <v>1.2</v>
      </c>
      <c r="D223" s="20" t="n">
        <f aca="false">VLOOKUP($B223,$B$4:$I$16,MATCH(D$191,$B$3:$I$3,0))</f>
        <v>1.2</v>
      </c>
      <c r="E223" s="20" t="n">
        <f aca="false">VLOOKUP($B223,$B$4:$I$16,MATCH(E$191,$B$3:$I$3,0))</f>
        <v>1</v>
      </c>
      <c r="F223" s="20" t="n">
        <f aca="false">VLOOKUP($B223,$B$4:$I$16,MATCH(F$191,$B$3:$I$3,0))</f>
        <v>1</v>
      </c>
      <c r="G223" s="20" t="n">
        <f aca="false">VLOOKUP($B223,$B$4:$I$16,MATCH(G$191,$B$3:$I$3,0))</f>
        <v>1.02</v>
      </c>
      <c r="H223" s="20" t="n">
        <f aca="false">VLOOKUP($B223,$B$4:$I$16,MATCH(H$191,$B$3:$I$3,0))</f>
        <v>1</v>
      </c>
      <c r="I223" s="20" t="n">
        <f aca="false">VLOOKUP($B223,$B$4:$I$16,MATCH(I$191,$B$3:$I$3,0))</f>
        <v>1.02</v>
      </c>
      <c r="J223" s="20" t="n">
        <f aca="false">VLOOKUP($B223,$B$4:$I$16,MATCH(J$191,$B$3:$I$3,0))</f>
        <v>1.02</v>
      </c>
    </row>
    <row r="224" customFormat="false" ht="12.75" hidden="false" customHeight="false" outlineLevel="0" collapsed="false">
      <c r="B224" s="15" t="n">
        <f aca="false">B55</f>
        <v>38018</v>
      </c>
    </row>
    <row r="225" customFormat="false" ht="12.75" hidden="false" customHeight="false" outlineLevel="0" collapsed="false">
      <c r="B225" s="15" t="n">
        <f aca="false">B56</f>
        <v>38047</v>
      </c>
    </row>
    <row r="226" customFormat="false" ht="12.75" hidden="false" customHeight="false" outlineLevel="0" collapsed="false">
      <c r="B226" s="15" t="n">
        <f aca="false">B57</f>
        <v>38078</v>
      </c>
    </row>
    <row r="227" customFormat="false" ht="12.75" hidden="false" customHeight="false" outlineLevel="0" collapsed="false">
      <c r="B227" s="15" t="n">
        <f aca="false">B58</f>
        <v>38108</v>
      </c>
    </row>
    <row r="228" customFormat="false" ht="12.75" hidden="false" customHeight="false" outlineLevel="0" collapsed="false">
      <c r="B228" s="15" t="n">
        <f aca="false">B59</f>
        <v>38139</v>
      </c>
    </row>
    <row r="229" customFormat="false" ht="12.75" hidden="false" customHeight="false" outlineLevel="0" collapsed="false">
      <c r="B229" s="15" t="n">
        <f aca="false">B60</f>
        <v>38169</v>
      </c>
    </row>
    <row r="230" customFormat="false" ht="12.75" hidden="false" customHeight="false" outlineLevel="0" collapsed="false">
      <c r="B230" s="15" t="n">
        <f aca="false">B61</f>
        <v>38200</v>
      </c>
    </row>
    <row r="231" customFormat="false" ht="12.75" hidden="false" customHeight="false" outlineLevel="0" collapsed="false">
      <c r="B231" s="15" t="n">
        <f aca="false">B62</f>
        <v>38231</v>
      </c>
    </row>
    <row r="232" customFormat="false" ht="12.75" hidden="false" customHeight="false" outlineLevel="0" collapsed="false">
      <c r="B232" s="15" t="n">
        <f aca="false">B63</f>
        <v>38261</v>
      </c>
    </row>
    <row r="233" customFormat="false" ht="12.75" hidden="false" customHeight="false" outlineLevel="0" collapsed="false">
      <c r="B233" s="15" t="n">
        <f aca="false">B64</f>
        <v>38292</v>
      </c>
    </row>
    <row r="234" customFormat="false" ht="12.75" hidden="false" customHeight="false" outlineLevel="0" collapsed="false">
      <c r="B234" s="15" t="n">
        <f aca="false">B65</f>
        <v>38322</v>
      </c>
    </row>
    <row r="235" customFormat="false" ht="12.75" hidden="false" customHeight="false" outlineLevel="0" collapsed="false">
      <c r="B235" s="15" t="n">
        <f aca="false">B66</f>
        <v>38353</v>
      </c>
      <c r="C235" s="20" t="n">
        <f aca="false">VLOOKUP($B235,$B$4:$I$16,MATCH(C$191,$B$3:$I$3,0))</f>
        <v>1</v>
      </c>
      <c r="D235" s="20" t="n">
        <f aca="false">VLOOKUP($B235,$B$4:$I$16,MATCH(D$191,$B$3:$I$3,0))</f>
        <v>1</v>
      </c>
      <c r="E235" s="20" t="n">
        <f aca="false">VLOOKUP($B235,$B$4:$I$16,MATCH(E$191,$B$3:$I$3,0))</f>
        <v>1</v>
      </c>
      <c r="F235" s="20" t="n">
        <f aca="false">VLOOKUP($B235,$B$4:$I$16,MATCH(F$191,$B$3:$I$3,0))</f>
        <v>1.03</v>
      </c>
      <c r="G235" s="20" t="n">
        <f aca="false">VLOOKUP($B235,$B$4:$I$16,MATCH(G$191,$B$3:$I$3,0))</f>
        <v>1.02</v>
      </c>
      <c r="H235" s="20" t="n">
        <f aca="false">VLOOKUP($B235,$B$4:$I$16,MATCH(H$191,$B$3:$I$3,0))</f>
        <v>1</v>
      </c>
      <c r="I235" s="20" t="n">
        <f aca="false">VLOOKUP($B235,$B$4:$I$16,MATCH(I$191,$B$3:$I$3,0))</f>
        <v>1.02</v>
      </c>
      <c r="J235" s="20" t="n">
        <f aca="false">VLOOKUP($B235,$B$4:$I$16,MATCH(J$191,$B$3:$I$3,0))</f>
        <v>1.02</v>
      </c>
    </row>
    <row r="236" customFormat="false" ht="12.75" hidden="false" customHeight="false" outlineLevel="0" collapsed="false">
      <c r="B236" s="15" t="n">
        <f aca="false">B67</f>
        <v>38384</v>
      </c>
    </row>
    <row r="237" customFormat="false" ht="12.75" hidden="false" customHeight="false" outlineLevel="0" collapsed="false">
      <c r="B237" s="15" t="n">
        <f aca="false">B68</f>
        <v>38412</v>
      </c>
    </row>
    <row r="238" customFormat="false" ht="12.75" hidden="false" customHeight="false" outlineLevel="0" collapsed="false">
      <c r="B238" s="15" t="n">
        <f aca="false">B69</f>
        <v>38443</v>
      </c>
    </row>
    <row r="239" customFormat="false" ht="12.75" hidden="false" customHeight="false" outlineLevel="0" collapsed="false">
      <c r="B239" s="15" t="n">
        <f aca="false">B70</f>
        <v>38473</v>
      </c>
    </row>
    <row r="240" customFormat="false" ht="12.75" hidden="false" customHeight="false" outlineLevel="0" collapsed="false">
      <c r="B240" s="15" t="n">
        <f aca="false">B71</f>
        <v>38504</v>
      </c>
    </row>
    <row r="241" customFormat="false" ht="12.75" hidden="false" customHeight="false" outlineLevel="0" collapsed="false">
      <c r="B241" s="15" t="n">
        <f aca="false">B72</f>
        <v>38534</v>
      </c>
    </row>
    <row r="242" customFormat="false" ht="12.75" hidden="false" customHeight="false" outlineLevel="0" collapsed="false">
      <c r="B242" s="15" t="n">
        <f aca="false">B73</f>
        <v>38565</v>
      </c>
    </row>
    <row r="243" customFormat="false" ht="12.75" hidden="false" customHeight="false" outlineLevel="0" collapsed="false">
      <c r="B243" s="15" t="n">
        <f aca="false">B74</f>
        <v>38596</v>
      </c>
    </row>
    <row r="244" customFormat="false" ht="12.75" hidden="false" customHeight="false" outlineLevel="0" collapsed="false">
      <c r="B244" s="15" t="n">
        <f aca="false">B75</f>
        <v>38626</v>
      </c>
    </row>
    <row r="245" customFormat="false" ht="12.75" hidden="false" customHeight="false" outlineLevel="0" collapsed="false">
      <c r="B245" s="15" t="n">
        <f aca="false">B76</f>
        <v>38657</v>
      </c>
    </row>
    <row r="246" customFormat="false" ht="12.75" hidden="false" customHeight="false" outlineLevel="0" collapsed="false">
      <c r="B246" s="15" t="n">
        <f aca="false">B77</f>
        <v>38687</v>
      </c>
    </row>
    <row r="247" customFormat="false" ht="12.75" hidden="false" customHeight="false" outlineLevel="0" collapsed="false">
      <c r="B247" s="15" t="n">
        <f aca="false">B78</f>
        <v>38718</v>
      </c>
      <c r="C247" s="20" t="n">
        <f aca="false">VLOOKUP($B247,$B$4:$I$16,MATCH(C$191,$B$3:$I$3,0))</f>
        <v>1</v>
      </c>
      <c r="D247" s="20" t="n">
        <f aca="false">VLOOKUP($B247,$B$4:$I$16,MATCH(D$191,$B$3:$I$3,0))</f>
        <v>1</v>
      </c>
      <c r="E247" s="20" t="n">
        <f aca="false">VLOOKUP($B247,$B$4:$I$16,MATCH(E$191,$B$3:$I$3,0))</f>
        <v>1</v>
      </c>
      <c r="F247" s="20" t="n">
        <f aca="false">VLOOKUP($B247,$B$4:$I$16,MATCH(F$191,$B$3:$I$3,0))</f>
        <v>1.2</v>
      </c>
      <c r="G247" s="20" t="n">
        <f aca="false">VLOOKUP($B247,$B$4:$I$16,MATCH(G$191,$B$3:$I$3,0))</f>
        <v>1.02</v>
      </c>
      <c r="H247" s="20" t="n">
        <f aca="false">VLOOKUP($B247,$B$4:$I$16,MATCH(H$191,$B$3:$I$3,0))</f>
        <v>1</v>
      </c>
      <c r="I247" s="20" t="n">
        <f aca="false">VLOOKUP($B247,$B$4:$I$16,MATCH(I$191,$B$3:$I$3,0))</f>
        <v>1.02</v>
      </c>
      <c r="J247" s="20" t="n">
        <f aca="false">VLOOKUP($B247,$B$4:$I$16,MATCH(J$191,$B$3:$I$3,0))</f>
        <v>1.02</v>
      </c>
    </row>
    <row r="248" customFormat="false" ht="12.75" hidden="false" customHeight="false" outlineLevel="0" collapsed="false">
      <c r="B248" s="15" t="n">
        <f aca="false">B79</f>
        <v>38749</v>
      </c>
    </row>
    <row r="249" customFormat="false" ht="12.75" hidden="false" customHeight="false" outlineLevel="0" collapsed="false">
      <c r="B249" s="15" t="n">
        <f aca="false">B80</f>
        <v>38777</v>
      </c>
    </row>
    <row r="250" customFormat="false" ht="12.75" hidden="false" customHeight="false" outlineLevel="0" collapsed="false">
      <c r="B250" s="15" t="n">
        <f aca="false">B81</f>
        <v>38808</v>
      </c>
    </row>
    <row r="251" customFormat="false" ht="12.75" hidden="false" customHeight="false" outlineLevel="0" collapsed="false">
      <c r="B251" s="15" t="n">
        <f aca="false">B82</f>
        <v>38838</v>
      </c>
    </row>
    <row r="252" customFormat="false" ht="12.75" hidden="false" customHeight="false" outlineLevel="0" collapsed="false">
      <c r="B252" s="15" t="n">
        <f aca="false">B83</f>
        <v>38869</v>
      </c>
    </row>
    <row r="253" customFormat="false" ht="12.75" hidden="false" customHeight="false" outlineLevel="0" collapsed="false">
      <c r="B253" s="15" t="n">
        <f aca="false">B84</f>
        <v>38899</v>
      </c>
    </row>
    <row r="254" customFormat="false" ht="12.75" hidden="false" customHeight="false" outlineLevel="0" collapsed="false">
      <c r="B254" s="15" t="n">
        <f aca="false">B85</f>
        <v>38930</v>
      </c>
    </row>
    <row r="255" customFormat="false" ht="12.75" hidden="false" customHeight="false" outlineLevel="0" collapsed="false">
      <c r="B255" s="15" t="n">
        <f aca="false">B86</f>
        <v>38961</v>
      </c>
    </row>
    <row r="256" customFormat="false" ht="12.75" hidden="false" customHeight="false" outlineLevel="0" collapsed="false">
      <c r="B256" s="15" t="n">
        <f aca="false">B87</f>
        <v>38991</v>
      </c>
    </row>
    <row r="257" customFormat="false" ht="12.75" hidden="false" customHeight="false" outlineLevel="0" collapsed="false">
      <c r="B257" s="15" t="n">
        <f aca="false">B88</f>
        <v>39022</v>
      </c>
    </row>
    <row r="258" customFormat="false" ht="12.75" hidden="false" customHeight="false" outlineLevel="0" collapsed="false">
      <c r="B258" s="15" t="n">
        <f aca="false">B89</f>
        <v>39052</v>
      </c>
    </row>
    <row r="259" customFormat="false" ht="12.75" hidden="false" customHeight="false" outlineLevel="0" collapsed="false">
      <c r="B259" s="15" t="n">
        <f aca="false">B90</f>
        <v>39083</v>
      </c>
      <c r="C259" s="20" t="n">
        <f aca="false">VLOOKUP($B259,$B$4:$I$16,MATCH(C$191,$B$3:$I$3,0))</f>
        <v>1</v>
      </c>
      <c r="D259" s="20" t="n">
        <f aca="false">VLOOKUP($B259,$B$4:$I$16,MATCH(D$191,$B$3:$I$3,0))</f>
        <v>1</v>
      </c>
      <c r="E259" s="20" t="n">
        <f aca="false">VLOOKUP($B259,$B$4:$I$16,MATCH(E$191,$B$3:$I$3,0))</f>
        <v>1</v>
      </c>
      <c r="F259" s="20" t="n">
        <f aca="false">VLOOKUP($B259,$B$4:$I$16,MATCH(F$191,$B$3:$I$3,0))</f>
        <v>1</v>
      </c>
      <c r="G259" s="20" t="n">
        <f aca="false">VLOOKUP($B259,$B$4:$I$16,MATCH(G$191,$B$3:$I$3,0))</f>
        <v>1.02</v>
      </c>
      <c r="H259" s="20" t="n">
        <f aca="false">VLOOKUP($B259,$B$4:$I$16,MATCH(H$191,$B$3:$I$3,0))</f>
        <v>1</v>
      </c>
      <c r="I259" s="20" t="n">
        <f aca="false">VLOOKUP($B259,$B$4:$I$16,MATCH(I$191,$B$3:$I$3,0))</f>
        <v>1.02</v>
      </c>
      <c r="J259" s="20" t="n">
        <f aca="false">VLOOKUP($B259,$B$4:$I$16,MATCH(J$191,$B$3:$I$3,0))</f>
        <v>1.02</v>
      </c>
    </row>
    <row r="260" customFormat="false" ht="12.75" hidden="false" customHeight="false" outlineLevel="0" collapsed="false">
      <c r="B260" s="15" t="n">
        <f aca="false">B91</f>
        <v>39114</v>
      </c>
    </row>
    <row r="261" customFormat="false" ht="12.75" hidden="false" customHeight="false" outlineLevel="0" collapsed="false">
      <c r="B261" s="15" t="n">
        <f aca="false">B92</f>
        <v>39142</v>
      </c>
    </row>
    <row r="262" customFormat="false" ht="12.75" hidden="false" customHeight="false" outlineLevel="0" collapsed="false">
      <c r="B262" s="15" t="n">
        <f aca="false">B93</f>
        <v>39173</v>
      </c>
    </row>
    <row r="263" customFormat="false" ht="12.75" hidden="false" customHeight="false" outlineLevel="0" collapsed="false">
      <c r="B263" s="15" t="n">
        <f aca="false">B94</f>
        <v>39203</v>
      </c>
    </row>
    <row r="264" customFormat="false" ht="12.75" hidden="false" customHeight="false" outlineLevel="0" collapsed="false">
      <c r="B264" s="15" t="n">
        <f aca="false">B95</f>
        <v>39234</v>
      </c>
    </row>
    <row r="265" customFormat="false" ht="12.75" hidden="false" customHeight="false" outlineLevel="0" collapsed="false">
      <c r="B265" s="15" t="n">
        <f aca="false">B96</f>
        <v>39264</v>
      </c>
    </row>
    <row r="266" customFormat="false" ht="12.75" hidden="false" customHeight="false" outlineLevel="0" collapsed="false">
      <c r="B266" s="15" t="n">
        <f aca="false">B97</f>
        <v>39295</v>
      </c>
    </row>
    <row r="267" customFormat="false" ht="12.75" hidden="false" customHeight="false" outlineLevel="0" collapsed="false">
      <c r="B267" s="15" t="n">
        <f aca="false">B98</f>
        <v>39326</v>
      </c>
    </row>
    <row r="268" customFormat="false" ht="12.75" hidden="false" customHeight="false" outlineLevel="0" collapsed="false">
      <c r="B268" s="15" t="n">
        <f aca="false">B99</f>
        <v>39356</v>
      </c>
    </row>
    <row r="269" customFormat="false" ht="12.75" hidden="false" customHeight="false" outlineLevel="0" collapsed="false">
      <c r="B269" s="15" t="n">
        <f aca="false">B100</f>
        <v>39387</v>
      </c>
    </row>
    <row r="270" customFormat="false" ht="12.75" hidden="false" customHeight="false" outlineLevel="0" collapsed="false">
      <c r="B270" s="15" t="n">
        <f aca="false">B101</f>
        <v>39417</v>
      </c>
    </row>
    <row r="271" customFormat="false" ht="12.75" hidden="false" customHeight="false" outlineLevel="0" collapsed="false">
      <c r="B271" s="15" t="n">
        <f aca="false">B102</f>
        <v>39448</v>
      </c>
      <c r="C271" s="20" t="n">
        <f aca="false">VLOOKUP($B271,$B$4:$I$16,MATCH(C$191,$B$3:$I$3,0))</f>
        <v>1</v>
      </c>
      <c r="D271" s="20" t="n">
        <f aca="false">VLOOKUP($B271,$B$4:$I$16,MATCH(D$191,$B$3:$I$3,0))</f>
        <v>1</v>
      </c>
      <c r="E271" s="20" t="n">
        <f aca="false">VLOOKUP($B271,$B$4:$I$16,MATCH(E$191,$B$3:$I$3,0))</f>
        <v>1</v>
      </c>
      <c r="F271" s="20" t="n">
        <f aca="false">VLOOKUP($B271,$B$4:$I$16,MATCH(F$191,$B$3:$I$3,0))</f>
        <v>1</v>
      </c>
      <c r="G271" s="20" t="n">
        <f aca="false">VLOOKUP($B271,$B$4:$I$16,MATCH(G$191,$B$3:$I$3,0))</f>
        <v>1.02</v>
      </c>
      <c r="H271" s="20" t="n">
        <f aca="false">VLOOKUP($B271,$B$4:$I$16,MATCH(H$191,$B$3:$I$3,0))</f>
        <v>1</v>
      </c>
      <c r="I271" s="20" t="n">
        <f aca="false">VLOOKUP($B271,$B$4:$I$16,MATCH(I$191,$B$3:$I$3,0))</f>
        <v>1.02</v>
      </c>
      <c r="J271" s="20" t="n">
        <f aca="false">VLOOKUP($B271,$B$4:$I$16,MATCH(J$191,$B$3:$I$3,0))</f>
        <v>1.02</v>
      </c>
    </row>
    <row r="272" customFormat="false" ht="12.75" hidden="false" customHeight="false" outlineLevel="0" collapsed="false">
      <c r="B272" s="15" t="n">
        <f aca="false">B103</f>
        <v>39479</v>
      </c>
    </row>
    <row r="273" customFormat="false" ht="12.75" hidden="false" customHeight="false" outlineLevel="0" collapsed="false">
      <c r="B273" s="15" t="n">
        <f aca="false">B104</f>
        <v>39508</v>
      </c>
    </row>
    <row r="274" customFormat="false" ht="12.75" hidden="false" customHeight="false" outlineLevel="0" collapsed="false">
      <c r="B274" s="15" t="n">
        <f aca="false">B105</f>
        <v>39539</v>
      </c>
    </row>
    <row r="275" customFormat="false" ht="12.75" hidden="false" customHeight="false" outlineLevel="0" collapsed="false">
      <c r="B275" s="15" t="n">
        <f aca="false">B106</f>
        <v>39569</v>
      </c>
    </row>
    <row r="276" customFormat="false" ht="12.75" hidden="false" customHeight="false" outlineLevel="0" collapsed="false">
      <c r="B276" s="15" t="n">
        <f aca="false">B107</f>
        <v>39600</v>
      </c>
    </row>
    <row r="277" customFormat="false" ht="12.75" hidden="false" customHeight="false" outlineLevel="0" collapsed="false">
      <c r="B277" s="15" t="n">
        <f aca="false">B108</f>
        <v>39630</v>
      </c>
    </row>
    <row r="278" customFormat="false" ht="12.75" hidden="false" customHeight="false" outlineLevel="0" collapsed="false">
      <c r="B278" s="15" t="n">
        <f aca="false">B109</f>
        <v>39661</v>
      </c>
    </row>
    <row r="279" customFormat="false" ht="12.75" hidden="false" customHeight="false" outlineLevel="0" collapsed="false">
      <c r="B279" s="15" t="n">
        <f aca="false">B110</f>
        <v>39692</v>
      </c>
    </row>
    <row r="280" customFormat="false" ht="12.75" hidden="false" customHeight="false" outlineLevel="0" collapsed="false">
      <c r="B280" s="15" t="n">
        <f aca="false">B111</f>
        <v>39722</v>
      </c>
    </row>
    <row r="281" customFormat="false" ht="12.75" hidden="false" customHeight="false" outlineLevel="0" collapsed="false">
      <c r="B281" s="15" t="n">
        <f aca="false">B112</f>
        <v>39753</v>
      </c>
    </row>
    <row r="282" customFormat="false" ht="12.75" hidden="false" customHeight="false" outlineLevel="0" collapsed="false">
      <c r="B282" s="15" t="n">
        <f aca="false">B113</f>
        <v>39783</v>
      </c>
    </row>
    <row r="283" customFormat="false" ht="12.75" hidden="false" customHeight="false" outlineLevel="0" collapsed="false">
      <c r="B283" s="15" t="n">
        <f aca="false">B114</f>
        <v>39814</v>
      </c>
      <c r="C283" s="20" t="n">
        <f aca="false">VLOOKUP($B283,$B$4:$I$16,MATCH(C$191,$B$3:$I$3,0))</f>
        <v>1</v>
      </c>
      <c r="D283" s="20" t="n">
        <f aca="false">VLOOKUP($B283,$B$4:$I$16,MATCH(D$191,$B$3:$I$3,0))</f>
        <v>1</v>
      </c>
      <c r="E283" s="20" t="n">
        <f aca="false">VLOOKUP($B283,$B$4:$I$16,MATCH(E$191,$B$3:$I$3,0))</f>
        <v>1</v>
      </c>
      <c r="F283" s="20" t="n">
        <f aca="false">VLOOKUP($B283,$B$4:$I$16,MATCH(F$191,$B$3:$I$3,0))</f>
        <v>1</v>
      </c>
      <c r="G283" s="20" t="n">
        <f aca="false">VLOOKUP($B283,$B$4:$I$16,MATCH(G$191,$B$3:$I$3,0))</f>
        <v>1.02</v>
      </c>
      <c r="H283" s="20" t="n">
        <f aca="false">VLOOKUP($B283,$B$4:$I$16,MATCH(H$191,$B$3:$I$3,0))</f>
        <v>1</v>
      </c>
      <c r="I283" s="20" t="n">
        <f aca="false">VLOOKUP($B283,$B$4:$I$16,MATCH(I$191,$B$3:$I$3,0))</f>
        <v>1.02</v>
      </c>
      <c r="J283" s="20" t="n">
        <f aca="false">VLOOKUP($B283,$B$4:$I$16,MATCH(J$191,$B$3:$I$3,0))</f>
        <v>1.02</v>
      </c>
    </row>
    <row r="284" customFormat="false" ht="12.75" hidden="false" customHeight="false" outlineLevel="0" collapsed="false">
      <c r="B284" s="15" t="n">
        <f aca="false">B115</f>
        <v>39845</v>
      </c>
    </row>
    <row r="285" customFormat="false" ht="12.75" hidden="false" customHeight="false" outlineLevel="0" collapsed="false">
      <c r="B285" s="15" t="n">
        <f aca="false">B116</f>
        <v>39873</v>
      </c>
    </row>
    <row r="286" customFormat="false" ht="12.75" hidden="false" customHeight="false" outlineLevel="0" collapsed="false">
      <c r="B286" s="15" t="n">
        <f aca="false">B117</f>
        <v>39904</v>
      </c>
    </row>
    <row r="287" customFormat="false" ht="12.75" hidden="false" customHeight="false" outlineLevel="0" collapsed="false">
      <c r="B287" s="15" t="n">
        <f aca="false">B118</f>
        <v>39934</v>
      </c>
    </row>
    <row r="288" customFormat="false" ht="12.75" hidden="false" customHeight="false" outlineLevel="0" collapsed="false">
      <c r="B288" s="15" t="n">
        <f aca="false">B119</f>
        <v>39965</v>
      </c>
    </row>
    <row r="289" customFormat="false" ht="12.75" hidden="false" customHeight="false" outlineLevel="0" collapsed="false">
      <c r="B289" s="15" t="n">
        <f aca="false">B120</f>
        <v>39995</v>
      </c>
    </row>
    <row r="290" customFormat="false" ht="12.75" hidden="false" customHeight="false" outlineLevel="0" collapsed="false">
      <c r="B290" s="15" t="n">
        <f aca="false">B121</f>
        <v>40026</v>
      </c>
    </row>
    <row r="291" customFormat="false" ht="12.75" hidden="false" customHeight="false" outlineLevel="0" collapsed="false">
      <c r="B291" s="15" t="n">
        <f aca="false">B122</f>
        <v>40057</v>
      </c>
    </row>
    <row r="292" customFormat="false" ht="12.75" hidden="false" customHeight="false" outlineLevel="0" collapsed="false">
      <c r="B292" s="15" t="n">
        <f aca="false">B123</f>
        <v>40087</v>
      </c>
    </row>
    <row r="293" customFormat="false" ht="12.75" hidden="false" customHeight="false" outlineLevel="0" collapsed="false">
      <c r="B293" s="15" t="n">
        <f aca="false">B124</f>
        <v>40118</v>
      </c>
    </row>
    <row r="294" customFormat="false" ht="12.75" hidden="false" customHeight="false" outlineLevel="0" collapsed="false">
      <c r="B294" s="15" t="n">
        <f aca="false">B125</f>
        <v>40148</v>
      </c>
    </row>
    <row r="295" customFormat="false" ht="12.75" hidden="false" customHeight="false" outlineLevel="0" collapsed="false">
      <c r="B295" s="15" t="n">
        <f aca="false">B126</f>
        <v>40179</v>
      </c>
      <c r="C295" s="20" t="n">
        <f aca="false">VLOOKUP($B295,$B$4:$I$16,MATCH(C$191,$B$3:$I$3,0))</f>
        <v>1</v>
      </c>
      <c r="D295" s="20" t="n">
        <f aca="false">VLOOKUP($B295,$B$4:$I$16,MATCH(D$191,$B$3:$I$3,0))</f>
        <v>1</v>
      </c>
      <c r="E295" s="20" t="n">
        <f aca="false">VLOOKUP($B295,$B$4:$I$16,MATCH(E$191,$B$3:$I$3,0))</f>
        <v>1</v>
      </c>
      <c r="F295" s="20" t="n">
        <f aca="false">VLOOKUP($B295,$B$4:$I$16,MATCH(F$191,$B$3:$I$3,0))</f>
        <v>1</v>
      </c>
      <c r="G295" s="20" t="n">
        <f aca="false">VLOOKUP($B295,$B$4:$I$16,MATCH(G$191,$B$3:$I$3,0))</f>
        <v>1.02</v>
      </c>
      <c r="H295" s="20" t="n">
        <f aca="false">VLOOKUP($B295,$B$4:$I$16,MATCH(H$191,$B$3:$I$3,0))</f>
        <v>1</v>
      </c>
      <c r="I295" s="20" t="n">
        <f aca="false">VLOOKUP($B295,$B$4:$I$16,MATCH(I$191,$B$3:$I$3,0))</f>
        <v>1.02</v>
      </c>
      <c r="J295" s="20" t="n">
        <f aca="false">VLOOKUP($B295,$B$4:$I$16,MATCH(J$191,$B$3:$I$3,0))</f>
        <v>1.02</v>
      </c>
    </row>
    <row r="296" customFormat="false" ht="12.75" hidden="false" customHeight="false" outlineLevel="0" collapsed="false">
      <c r="B296" s="15" t="n">
        <f aca="false">B127</f>
        <v>40210</v>
      </c>
    </row>
    <row r="297" customFormat="false" ht="12.75" hidden="false" customHeight="false" outlineLevel="0" collapsed="false">
      <c r="B297" s="15" t="n">
        <f aca="false">B128</f>
        <v>40238</v>
      </c>
    </row>
    <row r="298" customFormat="false" ht="12.75" hidden="false" customHeight="false" outlineLevel="0" collapsed="false">
      <c r="B298" s="15" t="n">
        <f aca="false">B129</f>
        <v>40269</v>
      </c>
    </row>
    <row r="299" customFormat="false" ht="12.75" hidden="false" customHeight="false" outlineLevel="0" collapsed="false">
      <c r="B299" s="15" t="n">
        <f aca="false">B130</f>
        <v>40299</v>
      </c>
    </row>
    <row r="300" customFormat="false" ht="12.75" hidden="false" customHeight="false" outlineLevel="0" collapsed="false">
      <c r="B300" s="15" t="n">
        <f aca="false">B131</f>
        <v>40330</v>
      </c>
    </row>
    <row r="301" customFormat="false" ht="12.75" hidden="false" customHeight="false" outlineLevel="0" collapsed="false">
      <c r="B301" s="15" t="n">
        <f aca="false">B132</f>
        <v>40360</v>
      </c>
    </row>
    <row r="302" customFormat="false" ht="12.75" hidden="false" customHeight="false" outlineLevel="0" collapsed="false">
      <c r="B302" s="15" t="n">
        <f aca="false">B133</f>
        <v>40391</v>
      </c>
    </row>
    <row r="303" customFormat="false" ht="12.75" hidden="false" customHeight="false" outlineLevel="0" collapsed="false">
      <c r="B303" s="15" t="n">
        <f aca="false">B134</f>
        <v>40422</v>
      </c>
    </row>
    <row r="304" customFormat="false" ht="12.75" hidden="false" customHeight="false" outlineLevel="0" collapsed="false">
      <c r="B304" s="15" t="n">
        <f aca="false">B135</f>
        <v>40452</v>
      </c>
    </row>
    <row r="305" customFormat="false" ht="12.75" hidden="false" customHeight="false" outlineLevel="0" collapsed="false">
      <c r="B305" s="15" t="n">
        <f aca="false">B136</f>
        <v>40483</v>
      </c>
    </row>
    <row r="306" customFormat="false" ht="12.75" hidden="false" customHeight="false" outlineLevel="0" collapsed="false">
      <c r="B306" s="15" t="n">
        <f aca="false">B137</f>
        <v>40513</v>
      </c>
    </row>
    <row r="307" customFormat="false" ht="12.75" hidden="false" customHeight="false" outlineLevel="0" collapsed="false">
      <c r="B307" s="15" t="n">
        <f aca="false">B138</f>
        <v>40544</v>
      </c>
      <c r="C307" s="20" t="n">
        <f aca="false">VLOOKUP($B307,$B$4:$I$16,MATCH(C$191,$B$3:$I$3,0))</f>
        <v>1</v>
      </c>
      <c r="D307" s="20" t="n">
        <f aca="false">VLOOKUP($B307,$B$4:$I$16,MATCH(D$191,$B$3:$I$3,0))</f>
        <v>1</v>
      </c>
      <c r="E307" s="20" t="n">
        <f aca="false">VLOOKUP($B307,$B$4:$I$16,MATCH(E$191,$B$3:$I$3,0))</f>
        <v>1</v>
      </c>
      <c r="F307" s="20" t="n">
        <f aca="false">VLOOKUP($B307,$B$4:$I$16,MATCH(F$191,$B$3:$I$3,0))</f>
        <v>1</v>
      </c>
      <c r="G307" s="20" t="n">
        <f aca="false">VLOOKUP($B307,$B$4:$I$16,MATCH(G$191,$B$3:$I$3,0))</f>
        <v>1.02</v>
      </c>
      <c r="H307" s="20" t="n">
        <f aca="false">VLOOKUP($B307,$B$4:$I$16,MATCH(H$191,$B$3:$I$3,0))</f>
        <v>1</v>
      </c>
      <c r="I307" s="20" t="n">
        <f aca="false">VLOOKUP($B307,$B$4:$I$16,MATCH(I$191,$B$3:$I$3,0))</f>
        <v>1.02</v>
      </c>
      <c r="J307" s="20" t="n">
        <f aca="false">VLOOKUP($B307,$B$4:$I$16,MATCH(J$191,$B$3:$I$3,0))</f>
        <v>1.02</v>
      </c>
    </row>
    <row r="308" customFormat="false" ht="12.75" hidden="false" customHeight="false" outlineLevel="0" collapsed="false">
      <c r="B308" s="15" t="n">
        <f aca="false">B139</f>
        <v>40575</v>
      </c>
    </row>
    <row r="309" customFormat="false" ht="12.75" hidden="false" customHeight="false" outlineLevel="0" collapsed="false">
      <c r="B309" s="15" t="n">
        <f aca="false">B140</f>
        <v>40603</v>
      </c>
    </row>
    <row r="310" customFormat="false" ht="12.75" hidden="false" customHeight="false" outlineLevel="0" collapsed="false">
      <c r="B310" s="15" t="n">
        <f aca="false">B141</f>
        <v>40634</v>
      </c>
    </row>
    <row r="311" customFormat="false" ht="12.75" hidden="false" customHeight="false" outlineLevel="0" collapsed="false">
      <c r="B311" s="15" t="n">
        <f aca="false">B142</f>
        <v>40664</v>
      </c>
    </row>
    <row r="312" customFormat="false" ht="12.75" hidden="false" customHeight="false" outlineLevel="0" collapsed="false">
      <c r="B312" s="15" t="n">
        <f aca="false">B143</f>
        <v>40695</v>
      </c>
    </row>
    <row r="313" customFormat="false" ht="12.75" hidden="false" customHeight="false" outlineLevel="0" collapsed="false">
      <c r="B313" s="15" t="n">
        <f aca="false">B144</f>
        <v>40725</v>
      </c>
    </row>
    <row r="314" customFormat="false" ht="12.75" hidden="false" customHeight="false" outlineLevel="0" collapsed="false">
      <c r="B314" s="15" t="n">
        <f aca="false">B145</f>
        <v>40756</v>
      </c>
    </row>
    <row r="315" customFormat="false" ht="12.75" hidden="false" customHeight="false" outlineLevel="0" collapsed="false">
      <c r="B315" s="15" t="n">
        <f aca="false">B146</f>
        <v>40787</v>
      </c>
    </row>
    <row r="316" customFormat="false" ht="12.75" hidden="false" customHeight="false" outlineLevel="0" collapsed="false">
      <c r="B316" s="15" t="n">
        <f aca="false">B147</f>
        <v>40817</v>
      </c>
    </row>
    <row r="317" customFormat="false" ht="12.75" hidden="false" customHeight="false" outlineLevel="0" collapsed="false">
      <c r="B317" s="15" t="n">
        <f aca="false">B148</f>
        <v>40848</v>
      </c>
    </row>
    <row r="318" customFormat="false" ht="12.75" hidden="false" customHeight="false" outlineLevel="0" collapsed="false">
      <c r="B318" s="15" t="n">
        <f aca="false">B149</f>
        <v>40878</v>
      </c>
    </row>
    <row r="319" customFormat="false" ht="12.75" hidden="false" customHeight="false" outlineLevel="0" collapsed="false">
      <c r="B319" s="15" t="n">
        <f aca="false">B150</f>
        <v>40909</v>
      </c>
      <c r="C319" s="20" t="n">
        <f aca="false">VLOOKUP($B319,$B$4:$I$16,MATCH(C$191,$B$3:$I$3,0))</f>
        <v>1</v>
      </c>
      <c r="D319" s="20" t="n">
        <f aca="false">VLOOKUP($B319,$B$4:$I$16,MATCH(D$191,$B$3:$I$3,0))</f>
        <v>1</v>
      </c>
      <c r="E319" s="20" t="n">
        <f aca="false">VLOOKUP($B319,$B$4:$I$16,MATCH(E$191,$B$3:$I$3,0))</f>
        <v>1</v>
      </c>
      <c r="F319" s="20" t="n">
        <f aca="false">VLOOKUP($B319,$B$4:$I$16,MATCH(F$191,$B$3:$I$3,0))</f>
        <v>1</v>
      </c>
      <c r="G319" s="20" t="n">
        <f aca="false">VLOOKUP($B319,$B$4:$I$16,MATCH(G$191,$B$3:$I$3,0))</f>
        <v>1.02</v>
      </c>
      <c r="H319" s="20" t="n">
        <f aca="false">VLOOKUP($B319,$B$4:$I$16,MATCH(H$191,$B$3:$I$3,0))</f>
        <v>1</v>
      </c>
      <c r="I319" s="20" t="n">
        <f aca="false">VLOOKUP($B319,$B$4:$I$16,MATCH(I$191,$B$3:$I$3,0))</f>
        <v>1.02</v>
      </c>
      <c r="J319" s="20" t="n">
        <f aca="false">VLOOKUP($B319,$B$4:$I$16,MATCH(J$191,$B$3:$I$3,0))</f>
        <v>1.02</v>
      </c>
    </row>
    <row r="320" customFormat="false" ht="12.75" hidden="false" customHeight="false" outlineLevel="0" collapsed="false">
      <c r="B320" s="15" t="n">
        <f aca="false">B151</f>
        <v>40940</v>
      </c>
    </row>
    <row r="321" customFormat="false" ht="12.75" hidden="false" customHeight="false" outlineLevel="0" collapsed="false">
      <c r="B321" s="15" t="n">
        <f aca="false">B152</f>
        <v>40969</v>
      </c>
    </row>
    <row r="322" customFormat="false" ht="12.75" hidden="false" customHeight="false" outlineLevel="0" collapsed="false">
      <c r="B322" s="15" t="n">
        <f aca="false">B153</f>
        <v>41000</v>
      </c>
    </row>
    <row r="323" customFormat="false" ht="12.75" hidden="false" customHeight="false" outlineLevel="0" collapsed="false">
      <c r="B323" s="15" t="n">
        <f aca="false">B154</f>
        <v>41030</v>
      </c>
    </row>
    <row r="324" customFormat="false" ht="12.75" hidden="false" customHeight="false" outlineLevel="0" collapsed="false">
      <c r="B324" s="15" t="n">
        <f aca="false">B155</f>
        <v>41061</v>
      </c>
    </row>
    <row r="325" customFormat="false" ht="12.75" hidden="false" customHeight="false" outlineLevel="0" collapsed="false">
      <c r="B325" s="15" t="n">
        <f aca="false">B156</f>
        <v>41091</v>
      </c>
    </row>
    <row r="326" customFormat="false" ht="12.75" hidden="false" customHeight="false" outlineLevel="0" collapsed="false">
      <c r="B326" s="15" t="n">
        <f aca="false">B157</f>
        <v>41122</v>
      </c>
    </row>
    <row r="327" customFormat="false" ht="12.75" hidden="false" customHeight="false" outlineLevel="0" collapsed="false">
      <c r="B327" s="15" t="n">
        <f aca="false">B158</f>
        <v>41153</v>
      </c>
    </row>
    <row r="328" customFormat="false" ht="12.75" hidden="false" customHeight="false" outlineLevel="0" collapsed="false">
      <c r="B328" s="15" t="n">
        <f aca="false">B159</f>
        <v>41183</v>
      </c>
    </row>
    <row r="329" customFormat="false" ht="12.75" hidden="false" customHeight="false" outlineLevel="0" collapsed="false">
      <c r="B329" s="15" t="n">
        <f aca="false">B160</f>
        <v>41214</v>
      </c>
    </row>
    <row r="330" customFormat="false" ht="12.75" hidden="false" customHeight="false" outlineLevel="0" collapsed="false">
      <c r="B330" s="15" t="n">
        <f aca="false">B161</f>
        <v>41244</v>
      </c>
    </row>
    <row r="331" customFormat="false" ht="12.75" hidden="false" customHeight="false" outlineLevel="0" collapsed="false">
      <c r="B331" s="15" t="n">
        <f aca="false">B162</f>
        <v>41275</v>
      </c>
      <c r="C331" s="20" t="n">
        <f aca="false">VLOOKUP($B331,$B$4:$I$16,MATCH(C$191,$B$3:$I$3,0))</f>
        <v>1</v>
      </c>
      <c r="D331" s="20" t="n">
        <f aca="false">VLOOKUP($B331,$B$4:$I$16,MATCH(D$191,$B$3:$I$3,0))</f>
        <v>1</v>
      </c>
      <c r="E331" s="20" t="n">
        <f aca="false">VLOOKUP($B331,$B$4:$I$16,MATCH(E$191,$B$3:$I$3,0))</f>
        <v>1</v>
      </c>
      <c r="F331" s="20" t="n">
        <f aca="false">VLOOKUP($B331,$B$4:$I$16,MATCH(F$191,$B$3:$I$3,0))</f>
        <v>1</v>
      </c>
      <c r="G331" s="20" t="n">
        <f aca="false">VLOOKUP($B331,$B$4:$I$16,MATCH(G$191,$B$3:$I$3,0))</f>
        <v>1.02</v>
      </c>
      <c r="H331" s="20" t="n">
        <f aca="false">VLOOKUP($B331,$B$4:$I$16,MATCH(H$191,$B$3:$I$3,0))</f>
        <v>1</v>
      </c>
      <c r="I331" s="20" t="n">
        <f aca="false">VLOOKUP($B331,$B$4:$I$16,MATCH(I$191,$B$3:$I$3,0))</f>
        <v>1.02</v>
      </c>
      <c r="J331" s="20" t="n">
        <f aca="false">VLOOKUP($B331,$B$4:$I$16,MATCH(J$191,$B$3:$I$3,0))</f>
        <v>1.02</v>
      </c>
    </row>
    <row r="332" customFormat="false" ht="12.75" hidden="false" customHeight="false" outlineLevel="0" collapsed="false">
      <c r="B332" s="15" t="n">
        <f aca="false">B163</f>
        <v>41306</v>
      </c>
    </row>
    <row r="333" customFormat="false" ht="12.75" hidden="false" customHeight="false" outlineLevel="0" collapsed="false">
      <c r="B333" s="15" t="n">
        <f aca="false">B164</f>
        <v>41334</v>
      </c>
    </row>
    <row r="334" customFormat="false" ht="12.75" hidden="false" customHeight="false" outlineLevel="0" collapsed="false">
      <c r="B334" s="15" t="n">
        <f aca="false">B165</f>
        <v>41365</v>
      </c>
    </row>
    <row r="335" customFormat="false" ht="12.75" hidden="false" customHeight="false" outlineLevel="0" collapsed="false">
      <c r="B335" s="15" t="n">
        <f aca="false">B166</f>
        <v>41395</v>
      </c>
    </row>
    <row r="336" customFormat="false" ht="12.75" hidden="false" customHeight="false" outlineLevel="0" collapsed="false">
      <c r="B336" s="15" t="n">
        <f aca="false">B167</f>
        <v>41426</v>
      </c>
    </row>
    <row r="337" customFormat="false" ht="12.75" hidden="false" customHeight="false" outlineLevel="0" collapsed="false">
      <c r="B337" s="15" t="n">
        <f aca="false">B168</f>
        <v>41456</v>
      </c>
    </row>
    <row r="338" customFormat="false" ht="12.75" hidden="false" customHeight="false" outlineLevel="0" collapsed="false">
      <c r="B338" s="15" t="n">
        <f aca="false">B169</f>
        <v>41487</v>
      </c>
    </row>
    <row r="339" customFormat="false" ht="12.75" hidden="false" customHeight="false" outlineLevel="0" collapsed="false">
      <c r="B339" s="15" t="n">
        <f aca="false">B170</f>
        <v>41518</v>
      </c>
    </row>
    <row r="340" customFormat="false" ht="12.75" hidden="false" customHeight="false" outlineLevel="0" collapsed="false">
      <c r="B340" s="15" t="n">
        <f aca="false">B171</f>
        <v>41548</v>
      </c>
    </row>
    <row r="341" customFormat="false" ht="12.75" hidden="false" customHeight="false" outlineLevel="0" collapsed="false">
      <c r="B341" s="15" t="n">
        <f aca="false">B172</f>
        <v>41579</v>
      </c>
    </row>
    <row r="342" customFormat="false" ht="12.75" hidden="false" customHeight="false" outlineLevel="0" collapsed="false">
      <c r="B342" s="15" t="n">
        <f aca="false">B173</f>
        <v>41609</v>
      </c>
    </row>
    <row r="343" customFormat="false" ht="12.75" hidden="false" customHeight="false" outlineLevel="0" collapsed="false">
      <c r="B343" s="15" t="n">
        <f aca="false">B174</f>
        <v>41640</v>
      </c>
      <c r="C343" s="20" t="n">
        <f aca="false">VLOOKUP($B343,$B$4:$I$16,MATCH(C$191,$B$3:$I$3,0))</f>
        <v>1</v>
      </c>
      <c r="D343" s="20" t="n">
        <f aca="false">VLOOKUP($B343,$B$4:$I$16,MATCH(D$191,$B$3:$I$3,0))</f>
        <v>1</v>
      </c>
      <c r="E343" s="20" t="n">
        <f aca="false">VLOOKUP($B343,$B$4:$I$16,MATCH(E$191,$B$3:$I$3,0))</f>
        <v>1</v>
      </c>
      <c r="F343" s="20" t="n">
        <f aca="false">VLOOKUP($B343,$B$4:$I$16,MATCH(F$191,$B$3:$I$3,0))</f>
        <v>1</v>
      </c>
      <c r="G343" s="20" t="n">
        <f aca="false">VLOOKUP($B343,$B$4:$I$16,MATCH(G$191,$B$3:$I$3,0))</f>
        <v>1.02</v>
      </c>
      <c r="H343" s="20" t="n">
        <f aca="false">VLOOKUP($B343,$B$4:$I$16,MATCH(H$191,$B$3:$I$3,0))</f>
        <v>1</v>
      </c>
      <c r="I343" s="20" t="n">
        <f aca="false">VLOOKUP($B343,$B$4:$I$16,MATCH(I$191,$B$3:$I$3,0))</f>
        <v>1.02</v>
      </c>
      <c r="J343" s="20" t="n">
        <f aca="false">VLOOKUP($B343,$B$4:$I$16,MATCH(J$191,$B$3:$I$3,0))</f>
        <v>1.02</v>
      </c>
    </row>
    <row r="344" customFormat="false" ht="12.75" hidden="false" customHeight="false" outlineLevel="0" collapsed="false">
      <c r="B344" s="15" t="n">
        <f aca="false">B175</f>
        <v>41671</v>
      </c>
    </row>
    <row r="345" customFormat="false" ht="12.75" hidden="false" customHeight="false" outlineLevel="0" collapsed="false">
      <c r="B345" s="15" t="n">
        <f aca="false">B176</f>
        <v>41699</v>
      </c>
    </row>
    <row r="346" customFormat="false" ht="12.75" hidden="false" customHeight="false" outlineLevel="0" collapsed="false">
      <c r="B346" s="15" t="n">
        <f aca="false">B177</f>
        <v>41730</v>
      </c>
    </row>
    <row r="347" customFormat="false" ht="12.75" hidden="false" customHeight="false" outlineLevel="0" collapsed="false">
      <c r="B347" s="15" t="n">
        <f aca="false">B178</f>
        <v>41760</v>
      </c>
    </row>
    <row r="348" customFormat="false" ht="12.75" hidden="false" customHeight="false" outlineLevel="0" collapsed="false">
      <c r="B348" s="15" t="n">
        <f aca="false">B179</f>
        <v>41791</v>
      </c>
    </row>
    <row r="349" customFormat="false" ht="12.75" hidden="false" customHeight="false" outlineLevel="0" collapsed="false">
      <c r="B349" s="15" t="n">
        <f aca="false">B180</f>
        <v>41821</v>
      </c>
    </row>
    <row r="350" customFormat="false" ht="12.75" hidden="false" customHeight="false" outlineLevel="0" collapsed="false">
      <c r="B350" s="15" t="n">
        <f aca="false">B181</f>
        <v>41852</v>
      </c>
    </row>
    <row r="351" customFormat="false" ht="12.75" hidden="false" customHeight="false" outlineLevel="0" collapsed="false">
      <c r="B351" s="15" t="n">
        <f aca="false">B182</f>
        <v>41883</v>
      </c>
    </row>
    <row r="352" customFormat="false" ht="12.75" hidden="false" customHeight="false" outlineLevel="0" collapsed="false">
      <c r="B352" s="15" t="n">
        <f aca="false">B183</f>
        <v>41913</v>
      </c>
    </row>
    <row r="353" customFormat="false" ht="12.75" hidden="false" customHeight="false" outlineLevel="0" collapsed="false">
      <c r="B353" s="15" t="n">
        <f aca="false">B184</f>
        <v>41944</v>
      </c>
    </row>
    <row r="354" customFormat="false" ht="12.75" hidden="false" customHeight="false" outlineLevel="0" collapsed="false">
      <c r="B354" s="15" t="n">
        <f aca="false">B185</f>
        <v>41974</v>
      </c>
    </row>
    <row r="355" customFormat="false" ht="12.75" hidden="false" customHeight="false" outlineLevel="0" collapsed="false">
      <c r="B355" s="15" t="n">
        <f aca="false">B186</f>
        <v>42005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T171"/>
  <sheetViews>
    <sheetView showFormulas="false" showGridLines="false" showRowColHeaders="true" showZeros="true" rightToLeft="false" tabSelected="true" showOutlineSymbols="true" defaultGridColor="true" view="normal" topLeftCell="A1" colorId="64" zoomScale="80" zoomScaleNormal="80" zoomScalePageLayoutView="100" workbookViewId="0">
      <pane xSplit="2" ySplit="0" topLeftCell="C1" activePane="topRight" state="frozen"/>
      <selection pane="topLeft" activeCell="A1" activeCellId="0" sqref="A1"/>
      <selection pane="topRight" activeCell="O26" activeCellId="0" sqref="O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.85"/>
    <col collapsed="false" customWidth="true" hidden="false" outlineLevel="0" max="2" min="2" style="0" width="20.99"/>
    <col collapsed="false" customWidth="true" hidden="false" outlineLevel="0" max="4" min="3" style="0" width="9.85"/>
    <col collapsed="false" customWidth="true" hidden="false" outlineLevel="0" max="5" min="5" style="0" width="7.28"/>
    <col collapsed="false" customWidth="true" hidden="false" outlineLevel="0" max="6" min="6" style="0" width="7.42"/>
    <col collapsed="false" customWidth="true" hidden="false" outlineLevel="0" max="7" min="7" style="0" width="14.7"/>
    <col collapsed="false" customWidth="true" hidden="false" outlineLevel="0" max="8" min="8" style="0" width="17.99"/>
    <col collapsed="false" customWidth="true" hidden="false" outlineLevel="0" max="9" min="9" style="0" width="17.14"/>
    <col collapsed="false" customWidth="true" hidden="false" outlineLevel="0" max="10" min="10" style="0" width="15.99"/>
    <col collapsed="false" customWidth="true" hidden="false" outlineLevel="0" max="11" min="11" style="0" width="15.7"/>
    <col collapsed="false" customWidth="true" hidden="false" outlineLevel="0" max="12" min="12" style="0" width="16.28"/>
    <col collapsed="false" customWidth="true" hidden="false" outlineLevel="0" max="14" min="13" style="0" width="10.56"/>
    <col collapsed="false" customWidth="true" hidden="false" outlineLevel="0" max="16" min="16" style="0" width="10.99"/>
    <col collapsed="false" customWidth="true" hidden="false" outlineLevel="0" max="17" min="17" style="0" width="12.85"/>
    <col collapsed="false" customWidth="true" hidden="false" outlineLevel="0" max="18" min="18" style="0" width="9.28"/>
    <col collapsed="false" customWidth="true" hidden="false" outlineLevel="0" max="19" min="19" style="0" width="15.28"/>
    <col collapsed="false" customWidth="true" hidden="false" outlineLevel="0" max="20" min="20" style="0" width="13.41"/>
    <col collapsed="false" customWidth="true" hidden="false" outlineLevel="0" max="21" min="21" style="0" width="12.7"/>
    <col collapsed="false" customWidth="true" hidden="false" outlineLevel="0" max="22" min="22" style="0" width="15.85"/>
    <col collapsed="false" customWidth="true" hidden="false" outlineLevel="0" max="23" min="23" style="0" width="14.99"/>
    <col collapsed="false" customWidth="true" hidden="false" outlineLevel="0" max="24" min="24" style="0" width="12.42"/>
    <col collapsed="false" customWidth="true" hidden="false" outlineLevel="0" max="25" min="25" style="0" width="15.85"/>
    <col collapsed="false" customWidth="true" hidden="false" outlineLevel="0" max="27" min="26" style="0" width="12.14"/>
    <col collapsed="false" customWidth="true" hidden="false" outlineLevel="0" max="28" min="28" style="0" width="15.13"/>
    <col collapsed="false" customWidth="true" hidden="false" outlineLevel="0" max="29" min="29" style="0" width="13.85"/>
    <col collapsed="false" customWidth="true" hidden="false" outlineLevel="0" max="30" min="30" style="0" width="12.42"/>
    <col collapsed="false" customWidth="true" hidden="false" outlineLevel="0" max="31" min="31" style="0" width="12.99"/>
    <col collapsed="false" customWidth="true" hidden="false" outlineLevel="0" max="37" min="37" style="21" width="9.14"/>
  </cols>
  <sheetData>
    <row r="1" customFormat="false" ht="15" hidden="false" customHeight="false" outlineLevel="0" collapsed="false">
      <c r="A1" s="22"/>
      <c r="B1" s="23" t="s">
        <v>16</v>
      </c>
      <c r="C1" s="24"/>
      <c r="D1" s="24"/>
      <c r="E1" s="24"/>
      <c r="F1" s="24"/>
      <c r="G1" s="24"/>
      <c r="H1" s="24" t="s">
        <v>17</v>
      </c>
      <c r="I1" s="24"/>
      <c r="J1" s="24"/>
      <c r="K1" s="24"/>
    </row>
    <row r="2" customFormat="false" ht="12.75" hidden="false" customHeight="false" outlineLevel="0" collapsed="false">
      <c r="A2" s="22"/>
      <c r="B2" s="22"/>
      <c r="C2" s="25"/>
      <c r="D2" s="25"/>
      <c r="E2" s="22"/>
      <c r="F2" s="25"/>
      <c r="G2" s="22"/>
      <c r="H2" s="26" t="n">
        <v>2</v>
      </c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</row>
    <row r="3" customFormat="false" ht="12.75" hidden="false" customHeight="false" outlineLevel="0" collapsed="false">
      <c r="A3" s="22"/>
      <c r="B3" s="27" t="s">
        <v>18</v>
      </c>
      <c r="C3" s="25"/>
      <c r="D3" s="25"/>
      <c r="E3" s="22"/>
      <c r="F3" s="25"/>
      <c r="G3" s="22"/>
      <c r="H3" s="22"/>
      <c r="I3" s="22"/>
      <c r="J3" s="22"/>
      <c r="K3" s="22"/>
      <c r="L3" s="22"/>
      <c r="M3" s="28"/>
      <c r="N3" s="28"/>
      <c r="O3" s="28"/>
      <c r="P3" s="22"/>
      <c r="Q3" s="22"/>
      <c r="R3" s="22"/>
      <c r="S3" s="22"/>
      <c r="T3" s="22"/>
      <c r="U3" s="22"/>
      <c r="V3" s="22"/>
      <c r="W3" s="22"/>
      <c r="X3" s="22"/>
      <c r="Y3" s="22"/>
    </row>
    <row r="4" customFormat="false" ht="12.75" hidden="false" customHeight="false" outlineLevel="0" collapsed="false"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8"/>
      <c r="N4" s="29"/>
      <c r="O4" s="28"/>
      <c r="P4" s="22"/>
      <c r="Q4" s="22"/>
      <c r="R4" s="30" t="s">
        <v>19</v>
      </c>
      <c r="S4" s="30"/>
      <c r="T4" s="30"/>
      <c r="U4" s="30"/>
      <c r="V4" s="30" t="s">
        <v>20</v>
      </c>
      <c r="W4" s="30"/>
      <c r="X4" s="30"/>
      <c r="Y4" s="30" t="s">
        <v>21</v>
      </c>
      <c r="Z4" s="30"/>
      <c r="AA4" s="30"/>
      <c r="AI4" s="31" t="s">
        <v>22</v>
      </c>
    </row>
    <row r="5" customFormat="false" ht="12.75" hidden="false" customHeight="false" outlineLevel="0" collapsed="false">
      <c r="A5" s="22"/>
      <c r="B5" s="32"/>
      <c r="C5" s="33" t="s">
        <v>23</v>
      </c>
      <c r="D5" s="33" t="s">
        <v>24</v>
      </c>
      <c r="E5" s="34" t="s">
        <v>25</v>
      </c>
      <c r="F5" s="34" t="s">
        <v>26</v>
      </c>
      <c r="G5" s="34" t="s">
        <v>27</v>
      </c>
      <c r="H5" s="34" t="s">
        <v>28</v>
      </c>
      <c r="I5" s="34" t="s">
        <v>29</v>
      </c>
      <c r="J5" s="34" t="s">
        <v>29</v>
      </c>
      <c r="K5" s="34" t="s">
        <v>30</v>
      </c>
      <c r="L5" s="34" t="s">
        <v>30</v>
      </c>
      <c r="M5" s="34" t="s">
        <v>31</v>
      </c>
      <c r="N5" s="34" t="s">
        <v>32</v>
      </c>
      <c r="O5" s="34" t="s">
        <v>33</v>
      </c>
      <c r="P5" s="34" t="s">
        <v>34</v>
      </c>
      <c r="Q5" s="34" t="s">
        <v>35</v>
      </c>
      <c r="R5" s="34"/>
      <c r="S5" s="34" t="s">
        <v>36</v>
      </c>
      <c r="T5" s="34" t="s">
        <v>37</v>
      </c>
      <c r="U5" s="34" t="s">
        <v>37</v>
      </c>
      <c r="V5" s="34" t="s">
        <v>38</v>
      </c>
      <c r="W5" s="34" t="s">
        <v>37</v>
      </c>
      <c r="X5" s="34" t="s">
        <v>37</v>
      </c>
      <c r="Y5" s="34" t="s">
        <v>38</v>
      </c>
      <c r="Z5" s="34" t="s">
        <v>37</v>
      </c>
      <c r="AA5" s="34" t="s">
        <v>37</v>
      </c>
      <c r="AB5" s="35"/>
      <c r="AC5" s="35"/>
      <c r="AD5" s="35"/>
      <c r="AE5" s="22"/>
      <c r="AF5" s="36" t="s">
        <v>39</v>
      </c>
      <c r="AG5" s="21"/>
      <c r="AH5" s="21"/>
      <c r="AI5" s="21"/>
      <c r="AJ5" s="21"/>
      <c r="AK5" s="37" t="s">
        <v>40</v>
      </c>
      <c r="AL5" s="21" t="s">
        <v>41</v>
      </c>
    </row>
    <row r="6" customFormat="false" ht="12.75" hidden="false" customHeight="false" outlineLevel="0" collapsed="false">
      <c r="A6" s="22"/>
      <c r="B6" s="38" t="s">
        <v>42</v>
      </c>
      <c r="C6" s="39" t="s">
        <v>43</v>
      </c>
      <c r="D6" s="39" t="s">
        <v>43</v>
      </c>
      <c r="E6" s="38" t="s">
        <v>44</v>
      </c>
      <c r="F6" s="38" t="s">
        <v>44</v>
      </c>
      <c r="G6" s="38" t="s">
        <v>45</v>
      </c>
      <c r="H6" s="38" t="s">
        <v>45</v>
      </c>
      <c r="I6" s="38" t="s">
        <v>46</v>
      </c>
      <c r="J6" s="38" t="s">
        <v>47</v>
      </c>
      <c r="K6" s="38" t="s">
        <v>46</v>
      </c>
      <c r="L6" s="38" t="s">
        <v>47</v>
      </c>
      <c r="M6" s="38" t="s">
        <v>48</v>
      </c>
      <c r="N6" s="38" t="s">
        <v>48</v>
      </c>
      <c r="O6" s="38" t="s">
        <v>49</v>
      </c>
      <c r="P6" s="38" t="s">
        <v>50</v>
      </c>
      <c r="Q6" s="38" t="s">
        <v>51</v>
      </c>
      <c r="R6" s="38" t="s">
        <v>39</v>
      </c>
      <c r="S6" s="38" t="s">
        <v>52</v>
      </c>
      <c r="T6" s="38" t="s">
        <v>53</v>
      </c>
      <c r="U6" s="38" t="s">
        <v>54</v>
      </c>
      <c r="V6" s="38" t="s">
        <v>52</v>
      </c>
      <c r="W6" s="38" t="s">
        <v>53</v>
      </c>
      <c r="X6" s="38" t="s">
        <v>54</v>
      </c>
      <c r="Y6" s="38" t="s">
        <v>52</v>
      </c>
      <c r="Z6" s="38" t="s">
        <v>53</v>
      </c>
      <c r="AA6" s="38" t="s">
        <v>54</v>
      </c>
      <c r="AB6" s="35"/>
      <c r="AC6" s="35"/>
      <c r="AD6" s="40" t="n">
        <v>36892</v>
      </c>
      <c r="AE6" s="40" t="n">
        <v>37256</v>
      </c>
      <c r="AF6" s="41" t="n">
        <f aca="false">0.007</f>
        <v>0.007</v>
      </c>
      <c r="AG6" s="21"/>
      <c r="AH6" s="21"/>
      <c r="AI6" s="42" t="s">
        <v>55</v>
      </c>
      <c r="AK6" s="31" t="s">
        <v>56</v>
      </c>
      <c r="AL6" s="31" t="s">
        <v>57</v>
      </c>
      <c r="AM6" s="21" t="s">
        <v>58</v>
      </c>
    </row>
    <row r="7" customFormat="false" ht="12.75" hidden="false" customHeight="true" outlineLevel="0" collapsed="false">
      <c r="A7" s="43" t="n">
        <v>1</v>
      </c>
      <c r="B7" s="44" t="s">
        <v>59</v>
      </c>
      <c r="C7" s="45" t="n">
        <f aca="false">today</f>
        <v>37025</v>
      </c>
      <c r="D7" s="45" t="n">
        <f aca="true">TODAY()</f>
        <v>45926</v>
      </c>
      <c r="E7" s="46" t="n">
        <v>37043</v>
      </c>
      <c r="F7" s="46" t="n">
        <v>42004</v>
      </c>
      <c r="G7" s="46" t="s">
        <v>60</v>
      </c>
      <c r="H7" s="46" t="s">
        <v>61</v>
      </c>
      <c r="I7" s="47" t="s">
        <v>62</v>
      </c>
      <c r="J7" s="47" t="s">
        <v>63</v>
      </c>
      <c r="K7" s="47" t="s">
        <v>60</v>
      </c>
      <c r="L7" s="48" t="s">
        <v>64</v>
      </c>
      <c r="M7" s="49" t="n">
        <v>1</v>
      </c>
      <c r="N7" s="49" t="n">
        <v>0.9999</v>
      </c>
      <c r="O7" s="50" t="n">
        <f aca="false">[9]ContractTbl!$C$12</f>
        <v>40000</v>
      </c>
      <c r="P7" s="51" t="n">
        <v>0</v>
      </c>
      <c r="Q7" s="52"/>
      <c r="R7" s="53" t="s">
        <v>65</v>
      </c>
      <c r="S7" s="52" t="n">
        <f aca="false">[9]ContractTbl!$C$20+[9]ContractTbl!$C$24</f>
        <v>0.0182</v>
      </c>
      <c r="T7" s="54" t="n">
        <f aca="false">[9]ContractTbl!$C$26</f>
        <v>0.0461</v>
      </c>
      <c r="U7" s="55" t="n">
        <f aca="false">T7</f>
        <v>0.0461</v>
      </c>
      <c r="V7" s="56"/>
      <c r="W7" s="57"/>
      <c r="X7" s="57"/>
      <c r="Y7" s="56"/>
      <c r="Z7" s="57"/>
      <c r="AA7" s="57"/>
      <c r="AB7" s="58"/>
      <c r="AC7" s="59"/>
      <c r="AD7" s="40" t="n">
        <v>37257</v>
      </c>
      <c r="AE7" s="40" t="n">
        <v>37621</v>
      </c>
      <c r="AF7" s="41" t="n">
        <f aca="false">0.005</f>
        <v>0.005</v>
      </c>
      <c r="AG7" s="29"/>
      <c r="AH7" s="29"/>
      <c r="AJ7" s="15" t="n">
        <v>37043</v>
      </c>
      <c r="AK7" s="60" t="n">
        <f aca="false">'[8]Model Operations'!C62</f>
        <v>0.0011522266576</v>
      </c>
      <c r="AL7" s="60" t="n">
        <f aca="false">'[8]Model Operations'!E62</f>
        <v>0.0036970217296</v>
      </c>
      <c r="AM7" s="60" t="n">
        <f aca="false">'[8]Escalation sheet'!X20</f>
        <v>0.0341143917152</v>
      </c>
    </row>
    <row r="8" customFormat="false" ht="12.75" hidden="false" customHeight="true" outlineLevel="0" collapsed="false">
      <c r="A8" s="43" t="n">
        <v>2</v>
      </c>
      <c r="B8" s="44" t="s">
        <v>3</v>
      </c>
      <c r="C8" s="61" t="n">
        <f aca="false">C7</f>
        <v>37025</v>
      </c>
      <c r="D8" s="61" t="n">
        <f aca="false">D7</f>
        <v>45926</v>
      </c>
      <c r="E8" s="62" t="n">
        <f aca="false">E7</f>
        <v>37043</v>
      </c>
      <c r="F8" s="46" t="n">
        <v>42004</v>
      </c>
      <c r="G8" s="46" t="s">
        <v>66</v>
      </c>
      <c r="H8" s="46" t="s">
        <v>61</v>
      </c>
      <c r="I8" s="47" t="s">
        <v>67</v>
      </c>
      <c r="J8" s="47" t="s">
        <v>63</v>
      </c>
      <c r="K8" s="47" t="s">
        <v>68</v>
      </c>
      <c r="L8" s="48" t="s">
        <v>64</v>
      </c>
      <c r="M8" s="49" t="n">
        <f aca="false">M7</f>
        <v>1</v>
      </c>
      <c r="N8" s="49" t="n">
        <f aca="false">N7</f>
        <v>0.9999</v>
      </c>
      <c r="O8" s="50" t="n">
        <f aca="false">[9]ContractTbl!$D$12</f>
        <v>80000</v>
      </c>
      <c r="P8" s="51" t="n">
        <v>0</v>
      </c>
      <c r="Q8" s="52"/>
      <c r="R8" s="53" t="s">
        <v>65</v>
      </c>
      <c r="S8" s="52" t="n">
        <f aca="false">[9]ContractTbl!$D$20+[9]ContractTbl!$D$24</f>
        <v>0.0162</v>
      </c>
      <c r="T8" s="54" t="n">
        <f aca="false">[9]ContractTbl!$D$26</f>
        <v>0.0497</v>
      </c>
      <c r="U8" s="55" t="n">
        <f aca="false">T8</f>
        <v>0.0497</v>
      </c>
      <c r="V8" s="56"/>
      <c r="W8" s="57"/>
      <c r="X8" s="57"/>
      <c r="Y8" s="56"/>
      <c r="Z8" s="57"/>
      <c r="AA8" s="57"/>
      <c r="AB8" s="63"/>
      <c r="AC8" s="59"/>
      <c r="AD8" s="40" t="n">
        <v>37622</v>
      </c>
      <c r="AE8" s="40" t="n">
        <v>37986</v>
      </c>
      <c r="AF8" s="41" t="n">
        <f aca="false">0.004</f>
        <v>0.004</v>
      </c>
      <c r="AG8" s="29"/>
      <c r="AH8" s="29"/>
      <c r="AJ8" s="15" t="n">
        <v>37073</v>
      </c>
      <c r="AK8" s="60" t="n">
        <f aca="false">'[8]Model Operations'!C63</f>
        <v>0.0011522266576</v>
      </c>
      <c r="AL8" s="60" t="n">
        <f aca="false">'[8]Model Operations'!E63</f>
        <v>0.0036970217296</v>
      </c>
      <c r="AM8" s="60" t="n">
        <f aca="false">'[8]Escalation sheet'!X21</f>
        <v>0.0341143917152</v>
      </c>
    </row>
    <row r="9" customFormat="false" ht="12.75" hidden="false" customHeight="true" outlineLevel="0" collapsed="false">
      <c r="A9" s="64" t="n">
        <v>3</v>
      </c>
      <c r="B9" s="44" t="s">
        <v>69</v>
      </c>
      <c r="C9" s="61" t="n">
        <f aca="false">C8</f>
        <v>37025</v>
      </c>
      <c r="D9" s="61" t="n">
        <f aca="false">D8</f>
        <v>45926</v>
      </c>
      <c r="E9" s="62" t="n">
        <f aca="false">E8</f>
        <v>37043</v>
      </c>
      <c r="F9" s="46" t="n">
        <v>42035</v>
      </c>
      <c r="G9" s="46" t="s">
        <v>70</v>
      </c>
      <c r="H9" s="46" t="s">
        <v>71</v>
      </c>
      <c r="I9" s="47" t="s">
        <v>62</v>
      </c>
      <c r="J9" s="47" t="s">
        <v>63</v>
      </c>
      <c r="K9" s="47" t="s">
        <v>70</v>
      </c>
      <c r="L9" s="48" t="s">
        <v>71</v>
      </c>
      <c r="M9" s="49" t="n">
        <f aca="false">M8</f>
        <v>1</v>
      </c>
      <c r="N9" s="49" t="n">
        <f aca="false">N8</f>
        <v>0.9999</v>
      </c>
      <c r="O9" s="50" t="n">
        <f aca="false">[9]ContractTbl!$E$12</f>
        <v>36050</v>
      </c>
      <c r="P9" s="51" t="n">
        <v>0</v>
      </c>
      <c r="Q9" s="52"/>
      <c r="R9" s="53" t="s">
        <v>65</v>
      </c>
      <c r="S9" s="52" t="n">
        <f aca="false">[9]ContractTbl!$E$20+[9]ContractTbl!$E$24+S12</f>
        <v>0.0707</v>
      </c>
      <c r="T9" s="65" t="n">
        <v>0.0457</v>
      </c>
      <c r="U9" s="54" t="n">
        <f aca="false">[9]ContractTbl!$E$26</f>
        <v>0.0457</v>
      </c>
      <c r="V9" s="53"/>
      <c r="W9" s="65"/>
      <c r="X9" s="55"/>
      <c r="Y9" s="56"/>
      <c r="Z9" s="57"/>
      <c r="AA9" s="57"/>
      <c r="AB9" s="58"/>
      <c r="AC9" s="59"/>
      <c r="AD9" s="40" t="n">
        <v>37987</v>
      </c>
      <c r="AE9" s="40" t="n">
        <v>38352</v>
      </c>
      <c r="AF9" s="41" t="n">
        <f aca="false">0</f>
        <v>0</v>
      </c>
      <c r="AG9" s="29"/>
      <c r="AH9" s="29"/>
      <c r="AJ9" s="15" t="n">
        <v>37104</v>
      </c>
      <c r="AK9" s="60" t="n">
        <f aca="false">'[8]Model Operations'!C64</f>
        <v>0.0011522266576</v>
      </c>
      <c r="AL9" s="60" t="n">
        <f aca="false">'[8]Model Operations'!E64</f>
        <v>0.0036970217296</v>
      </c>
      <c r="AM9" s="60" t="n">
        <f aca="false">'[8]Escalation sheet'!X22</f>
        <v>0.0341143917152</v>
      </c>
    </row>
    <row r="10" customFormat="false" ht="12.75" hidden="false" customHeight="true" outlineLevel="0" collapsed="false">
      <c r="A10" s="43" t="n">
        <v>4</v>
      </c>
      <c r="B10" s="44" t="s">
        <v>72</v>
      </c>
      <c r="C10" s="61" t="n">
        <f aca="false">C9</f>
        <v>37025</v>
      </c>
      <c r="D10" s="61" t="n">
        <f aca="false">D9</f>
        <v>45926</v>
      </c>
      <c r="E10" s="62" t="n">
        <f aca="false">E9</f>
        <v>37043</v>
      </c>
      <c r="F10" s="46" t="n">
        <v>42094</v>
      </c>
      <c r="G10" s="46" t="s">
        <v>61</v>
      </c>
      <c r="H10" s="46" t="s">
        <v>73</v>
      </c>
      <c r="I10" s="47" t="s">
        <v>63</v>
      </c>
      <c r="J10" s="47" t="s">
        <v>63</v>
      </c>
      <c r="K10" s="48" t="s">
        <v>71</v>
      </c>
      <c r="L10" s="48" t="s">
        <v>71</v>
      </c>
      <c r="M10" s="49" t="n">
        <f aca="false">M9</f>
        <v>1</v>
      </c>
      <c r="N10" s="49" t="n">
        <f aca="false">N9</f>
        <v>0.9999</v>
      </c>
      <c r="O10" s="50" t="n">
        <f aca="false">[9]ContractTbl!$F$12</f>
        <v>119740</v>
      </c>
      <c r="P10" s="51" t="n">
        <v>0</v>
      </c>
      <c r="Q10" s="52"/>
      <c r="R10" s="53" t="str">
        <f aca="false">[9]ContractTbl!$F$25</f>
        <v>N</v>
      </c>
      <c r="S10" s="52" t="n">
        <f aca="false">[9]ContractTbl!$F$20+0.0022</f>
        <v>0.0128</v>
      </c>
      <c r="T10" s="54" t="n">
        <f aca="false">[9]ContractTbl!$F$26</f>
        <v>0.008</v>
      </c>
      <c r="U10" s="55" t="n">
        <f aca="false">T10</f>
        <v>0.008</v>
      </c>
      <c r="V10" s="53"/>
      <c r="W10" s="65"/>
      <c r="X10" s="55"/>
      <c r="Y10" s="56"/>
      <c r="Z10" s="57"/>
      <c r="AA10" s="57"/>
      <c r="AB10" s="58"/>
      <c r="AC10" s="59"/>
      <c r="AD10" s="66"/>
      <c r="AE10" s="67"/>
      <c r="AF10" s="68"/>
      <c r="AG10" s="68"/>
      <c r="AH10" s="68"/>
      <c r="AJ10" s="15" t="n">
        <v>37135</v>
      </c>
      <c r="AK10" s="60" t="n">
        <f aca="false">'[8]Model Operations'!C65</f>
        <v>0.0011522266576</v>
      </c>
      <c r="AL10" s="60" t="n">
        <f aca="false">'[8]Model Operations'!E65</f>
        <v>0.0036970217296</v>
      </c>
      <c r="AM10" s="60" t="n">
        <f aca="false">'[8]Escalation sheet'!X23</f>
        <v>0.0341143917152</v>
      </c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</row>
    <row r="11" customFormat="false" ht="12.75" hidden="false" customHeight="true" outlineLevel="0" collapsed="false">
      <c r="A11" s="43" t="n">
        <v>5</v>
      </c>
      <c r="B11" s="69" t="s">
        <v>74</v>
      </c>
      <c r="C11" s="61" t="n">
        <f aca="false">C10</f>
        <v>37025</v>
      </c>
      <c r="D11" s="61" t="n">
        <f aca="false">D10</f>
        <v>45926</v>
      </c>
      <c r="E11" s="62" t="n">
        <f aca="false">E10</f>
        <v>37043</v>
      </c>
      <c r="F11" s="46" t="n">
        <v>42094</v>
      </c>
      <c r="G11" s="46" t="s">
        <v>73</v>
      </c>
      <c r="H11" s="46" t="s">
        <v>75</v>
      </c>
      <c r="I11" s="47" t="s">
        <v>63</v>
      </c>
      <c r="J11" s="47" t="s">
        <v>63</v>
      </c>
      <c r="K11" s="48" t="s">
        <v>71</v>
      </c>
      <c r="L11" s="48" t="s">
        <v>71</v>
      </c>
      <c r="M11" s="49" t="n">
        <f aca="false">M10</f>
        <v>1</v>
      </c>
      <c r="N11" s="49" t="n">
        <f aca="false">N10</f>
        <v>0.9999</v>
      </c>
      <c r="O11" s="50" t="n">
        <f aca="false">[9]ContractTbl!$G$12</f>
        <v>124142</v>
      </c>
      <c r="P11" s="51" t="n">
        <v>0</v>
      </c>
      <c r="Q11" s="52"/>
      <c r="R11" s="53" t="str">
        <f aca="false">[9]ContractTbl!$G$25</f>
        <v>N</v>
      </c>
      <c r="S11" s="52" t="n">
        <f aca="false">[9]ContractTbl!$G$20</f>
        <v>0.0036970217296</v>
      </c>
      <c r="T11" s="54" t="n">
        <f aca="false">[9]ContractTbl!$G$26</f>
        <v>0.01055056</v>
      </c>
      <c r="U11" s="57" t="n">
        <f aca="false">T11</f>
        <v>0.01055056</v>
      </c>
      <c r="V11" s="53"/>
      <c r="W11" s="65"/>
      <c r="X11" s="55"/>
      <c r="Y11" s="56"/>
      <c r="Z11" s="57"/>
      <c r="AA11" s="57"/>
      <c r="AB11" s="58"/>
      <c r="AC11" s="59"/>
      <c r="AD11" s="66"/>
      <c r="AE11" s="67"/>
      <c r="AF11" s="68"/>
      <c r="AG11" s="68"/>
      <c r="AH11" s="68"/>
      <c r="AJ11" s="15" t="n">
        <v>37165</v>
      </c>
      <c r="AK11" s="60" t="n">
        <f aca="false">'[8]Model Operations'!C66</f>
        <v>0.0011522266576</v>
      </c>
      <c r="AL11" s="60" t="n">
        <f aca="false">'[8]Model Operations'!E66</f>
        <v>0.0036970217296</v>
      </c>
      <c r="AM11" s="60" t="n">
        <f aca="false">'[8]Escalation sheet'!X24</f>
        <v>0.0341143917152</v>
      </c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</row>
    <row r="12" customFormat="false" ht="12.75" hidden="true" customHeight="true" outlineLevel="0" collapsed="false">
      <c r="A12" s="64" t="n">
        <v>6</v>
      </c>
      <c r="B12" s="70" t="s">
        <v>7</v>
      </c>
      <c r="C12" s="61" t="n">
        <f aca="false">C11</f>
        <v>37025</v>
      </c>
      <c r="D12" s="61" t="n">
        <f aca="false">D11</f>
        <v>45926</v>
      </c>
      <c r="E12" s="62" t="n">
        <f aca="false">E11</f>
        <v>37043</v>
      </c>
      <c r="F12" s="62" t="n">
        <f aca="false">F11</f>
        <v>42094</v>
      </c>
      <c r="G12" s="62" t="s">
        <v>76</v>
      </c>
      <c r="H12" s="62" t="s">
        <v>71</v>
      </c>
      <c r="I12" s="56" t="s">
        <v>63</v>
      </c>
      <c r="J12" s="56" t="s">
        <v>63</v>
      </c>
      <c r="K12" s="62" t="s">
        <v>71</v>
      </c>
      <c r="L12" s="62" t="s">
        <v>71</v>
      </c>
      <c r="M12" s="57" t="n">
        <f aca="false">M11</f>
        <v>1</v>
      </c>
      <c r="N12" s="57" t="n">
        <f aca="false">N11</f>
        <v>0.9999</v>
      </c>
      <c r="O12" s="71" t="n">
        <v>36522</v>
      </c>
      <c r="P12" s="51" t="n">
        <v>0</v>
      </c>
      <c r="Q12" s="56"/>
      <c r="R12" s="56" t="str">
        <f aca="false">[9]ContractTbl!$H$25</f>
        <v>N</v>
      </c>
      <c r="S12" s="56" t="n">
        <v>0.029</v>
      </c>
      <c r="T12" s="55" t="n">
        <v>0</v>
      </c>
      <c r="U12" s="55" t="n">
        <f aca="false">T12</f>
        <v>0</v>
      </c>
      <c r="V12" s="56"/>
      <c r="W12" s="56"/>
      <c r="X12" s="56"/>
      <c r="Y12" s="56"/>
      <c r="Z12" s="57"/>
      <c r="AA12" s="57"/>
      <c r="AB12" s="58"/>
      <c r="AC12" s="59"/>
      <c r="AD12" s="66"/>
      <c r="AE12" s="28"/>
      <c r="AF12" s="29"/>
      <c r="AG12" s="29"/>
      <c r="AH12" s="29"/>
      <c r="AJ12" s="15" t="n">
        <v>37196</v>
      </c>
      <c r="AK12" s="60" t="n">
        <f aca="false">'[8]Model Operations'!C67</f>
        <v>0.0011522266576</v>
      </c>
      <c r="AL12" s="60" t="n">
        <f aca="false">'[8]Model Operations'!E67</f>
        <v>0.0036970217296</v>
      </c>
      <c r="AM12" s="60" t="n">
        <f aca="false">'[8]Escalation sheet'!X25</f>
        <v>0.0341143917152</v>
      </c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</row>
    <row r="13" customFormat="false" ht="12.75" hidden="false" customHeight="true" outlineLevel="0" collapsed="false">
      <c r="A13" s="43" t="n">
        <v>6</v>
      </c>
      <c r="B13" s="44" t="s">
        <v>8</v>
      </c>
      <c r="C13" s="61" t="n">
        <f aca="false">C12</f>
        <v>37025</v>
      </c>
      <c r="D13" s="61" t="n">
        <f aca="false">D12</f>
        <v>45926</v>
      </c>
      <c r="E13" s="62" t="n">
        <f aca="false">E12</f>
        <v>37043</v>
      </c>
      <c r="F13" s="46" t="n">
        <v>42094</v>
      </c>
      <c r="G13" s="46" t="s">
        <v>77</v>
      </c>
      <c r="H13" s="46" t="s">
        <v>75</v>
      </c>
      <c r="I13" s="47" t="s">
        <v>78</v>
      </c>
      <c r="J13" s="47" t="s">
        <v>63</v>
      </c>
      <c r="K13" s="48" t="s">
        <v>71</v>
      </c>
      <c r="L13" s="48" t="s">
        <v>71</v>
      </c>
      <c r="M13" s="49" t="n">
        <f aca="false">M12</f>
        <v>1</v>
      </c>
      <c r="N13" s="49" t="n">
        <f aca="false">N12</f>
        <v>0.9999</v>
      </c>
      <c r="O13" s="50" t="n">
        <f aca="false">[9]ContractTbl!$I$12</f>
        <v>28400</v>
      </c>
      <c r="P13" s="51" t="n">
        <v>0</v>
      </c>
      <c r="Q13" s="72"/>
      <c r="R13" s="53" t="str">
        <f aca="false">[9]ContractTbl!$I$25</f>
        <v>N</v>
      </c>
      <c r="S13" s="52" t="n">
        <f aca="false">[9]ContractTbl!$I$20</f>
        <v>0.0341143917152</v>
      </c>
      <c r="T13" s="54" t="n">
        <f aca="false">[9]ContractTbl!$I$26</f>
        <v>0.07385392</v>
      </c>
      <c r="U13" s="55" t="n">
        <f aca="false">T13</f>
        <v>0.07385392</v>
      </c>
      <c r="V13" s="56"/>
      <c r="W13" s="57"/>
      <c r="X13" s="57"/>
      <c r="Y13" s="56"/>
      <c r="Z13" s="57"/>
      <c r="AA13" s="57"/>
      <c r="AB13" s="63"/>
      <c r="AC13" s="63"/>
      <c r="AD13" s="59"/>
      <c r="AE13" s="73"/>
      <c r="AF13" s="29"/>
      <c r="AG13" s="29"/>
      <c r="AH13" s="29"/>
      <c r="AJ13" s="74" t="n">
        <v>37226</v>
      </c>
      <c r="AK13" s="60" t="n">
        <f aca="false">'[8]Model Operations'!C68</f>
        <v>0.0011522266576</v>
      </c>
      <c r="AL13" s="60" t="n">
        <f aca="false">'[8]Model Operations'!E68</f>
        <v>0.0036970217296</v>
      </c>
      <c r="AM13" s="60" t="n">
        <f aca="false">'[8]Escalation sheet'!X26</f>
        <v>0.0341143917152</v>
      </c>
    </row>
    <row r="14" customFormat="false" ht="12.75" hidden="false" customHeight="true" outlineLevel="0" collapsed="false">
      <c r="A14" s="43" t="n">
        <v>7</v>
      </c>
      <c r="B14" s="69" t="s">
        <v>79</v>
      </c>
      <c r="C14" s="61" t="n">
        <f aca="false">C13</f>
        <v>37025</v>
      </c>
      <c r="D14" s="61" t="n">
        <f aca="false">D13</f>
        <v>45926</v>
      </c>
      <c r="E14" s="62" t="n">
        <f aca="false">E13</f>
        <v>37043</v>
      </c>
      <c r="F14" s="46" t="n">
        <v>42094</v>
      </c>
      <c r="G14" s="46" t="s">
        <v>71</v>
      </c>
      <c r="H14" s="46" t="s">
        <v>75</v>
      </c>
      <c r="I14" s="47" t="s">
        <v>63</v>
      </c>
      <c r="J14" s="47" t="s">
        <v>63</v>
      </c>
      <c r="K14" s="48" t="s">
        <v>71</v>
      </c>
      <c r="L14" s="48" t="s">
        <v>71</v>
      </c>
      <c r="M14" s="49" t="n">
        <f aca="false">M13</f>
        <v>1</v>
      </c>
      <c r="N14" s="49" t="n">
        <f aca="false">N13</f>
        <v>0.9999</v>
      </c>
      <c r="O14" s="50" t="n">
        <f aca="false">[9]ContractTbl!$L$12</f>
        <v>39326</v>
      </c>
      <c r="P14" s="51" t="n">
        <v>0</v>
      </c>
      <c r="Q14" s="72"/>
      <c r="R14" s="53" t="s">
        <v>80</v>
      </c>
      <c r="S14" s="52" t="n">
        <f aca="false">'Escalating commodity'!J23</f>
        <v>0.0036970217296</v>
      </c>
      <c r="T14" s="65" t="n">
        <v>0.010551</v>
      </c>
      <c r="U14" s="55" t="n">
        <f aca="false">T14</f>
        <v>0.010551</v>
      </c>
      <c r="V14" s="56"/>
      <c r="W14" s="57"/>
      <c r="X14" s="57"/>
      <c r="Y14" s="56"/>
      <c r="Z14" s="57"/>
      <c r="AA14" s="57"/>
      <c r="AB14" s="63"/>
      <c r="AC14" s="63"/>
      <c r="AD14" s="75"/>
      <c r="AE14" s="76"/>
      <c r="AF14" s="29"/>
      <c r="AG14" s="29"/>
      <c r="AH14" s="29"/>
      <c r="AI14" s="77" t="n">
        <v>1.052</v>
      </c>
      <c r="AJ14" s="15" t="n">
        <v>37257</v>
      </c>
      <c r="AK14" s="60" t="n">
        <f aca="false">'[8]Model Operations'!C69</f>
        <v>0.0012121424437952</v>
      </c>
      <c r="AL14" s="60" t="n">
        <f aca="false">'[8]Model Operations'!E69</f>
        <v>0.0038892668595392</v>
      </c>
      <c r="AM14" s="60" t="n">
        <f aca="false">'[8]Escalation sheet'!X27</f>
        <v>0.0358883400843904</v>
      </c>
    </row>
    <row r="15" customFormat="false" ht="12.75" hidden="false" customHeight="true" outlineLevel="0" collapsed="false">
      <c r="A15" s="43" t="s">
        <v>81</v>
      </c>
      <c r="B15" s="44" t="s">
        <v>81</v>
      </c>
      <c r="C15" s="61" t="s">
        <v>81</v>
      </c>
      <c r="D15" s="61" t="s">
        <v>81</v>
      </c>
      <c r="E15" s="62" t="s">
        <v>81</v>
      </c>
      <c r="F15" s="62" t="s">
        <v>81</v>
      </c>
      <c r="G15" s="46"/>
      <c r="H15" s="46"/>
      <c r="I15" s="53"/>
      <c r="J15" s="53"/>
      <c r="K15" s="53"/>
      <c r="L15" s="46"/>
      <c r="M15" s="49"/>
      <c r="N15" s="49"/>
      <c r="O15" s="78"/>
      <c r="P15" s="51"/>
      <c r="Q15" s="79"/>
      <c r="R15" s="53"/>
      <c r="S15" s="52"/>
      <c r="T15" s="80"/>
      <c r="U15" s="57"/>
      <c r="V15" s="52"/>
      <c r="W15" s="57"/>
      <c r="X15" s="57"/>
      <c r="Y15" s="56"/>
      <c r="Z15" s="57"/>
      <c r="AA15" s="57"/>
      <c r="AB15" s="63"/>
      <c r="AC15" s="63"/>
      <c r="AD15" s="75"/>
      <c r="AE15" s="76"/>
      <c r="AF15" s="29"/>
      <c r="AG15" s="29"/>
      <c r="AH15" s="29"/>
      <c r="AI15" s="77"/>
      <c r="AJ15" s="15" t="n">
        <v>37288</v>
      </c>
      <c r="AK15" s="60" t="n">
        <f aca="false">'[8]Model Operations'!C70</f>
        <v>0.0012121424437952</v>
      </c>
      <c r="AL15" s="60" t="n">
        <f aca="false">'[8]Model Operations'!E70</f>
        <v>0.0038892668595392</v>
      </c>
      <c r="AM15" s="60" t="n">
        <f aca="false">'[8]Escalation sheet'!X28</f>
        <v>0.0358883400843904</v>
      </c>
    </row>
    <row r="16" customFormat="false" ht="12.75" hidden="false" customHeight="true" outlineLevel="0" collapsed="false">
      <c r="A16" s="28"/>
      <c r="B16" s="70"/>
      <c r="C16" s="61"/>
      <c r="D16" s="61"/>
      <c r="E16" s="62"/>
      <c r="F16" s="62"/>
      <c r="G16" s="62"/>
      <c r="H16" s="46"/>
      <c r="I16" s="56"/>
      <c r="J16" s="56"/>
      <c r="K16" s="56"/>
      <c r="L16" s="56"/>
      <c r="M16" s="81"/>
      <c r="N16" s="81"/>
      <c r="O16" s="71"/>
      <c r="P16" s="51"/>
      <c r="Q16" s="82"/>
      <c r="R16" s="82"/>
      <c r="S16" s="56"/>
      <c r="T16" s="57"/>
      <c r="U16" s="57"/>
      <c r="V16" s="56"/>
      <c r="W16" s="57"/>
      <c r="X16" s="57"/>
      <c r="Y16" s="56"/>
      <c r="Z16" s="57"/>
      <c r="AA16" s="57"/>
      <c r="AB16" s="63"/>
      <c r="AC16" s="63"/>
      <c r="AD16" s="58"/>
      <c r="AE16" s="83"/>
      <c r="AF16" s="29"/>
      <c r="AG16" s="29"/>
      <c r="AH16" s="29"/>
      <c r="AI16" s="77"/>
      <c r="AJ16" s="15" t="n">
        <v>37316</v>
      </c>
      <c r="AK16" s="60" t="n">
        <f aca="false">'[8]Model Operations'!C71</f>
        <v>0.0012121424437952</v>
      </c>
      <c r="AL16" s="60" t="n">
        <f aca="false">'[8]Model Operations'!E71</f>
        <v>0.0038892668595392</v>
      </c>
      <c r="AM16" s="60" t="n">
        <f aca="false">'[8]Escalation sheet'!X29</f>
        <v>0.0358883400843904</v>
      </c>
    </row>
    <row r="17" customFormat="false" ht="12.75" hidden="false" customHeight="true" outlineLevel="0" collapsed="false">
      <c r="A17" s="28"/>
      <c r="B17" s="70"/>
      <c r="C17" s="61"/>
      <c r="D17" s="61"/>
      <c r="E17" s="62" t="s">
        <v>81</v>
      </c>
      <c r="F17" s="62"/>
      <c r="G17" s="62"/>
      <c r="H17" s="62"/>
      <c r="I17" s="56"/>
      <c r="J17" s="56"/>
      <c r="K17" s="56"/>
      <c r="L17" s="56"/>
      <c r="M17" s="81"/>
      <c r="N17" s="81"/>
      <c r="O17" s="71"/>
      <c r="P17" s="51"/>
      <c r="Q17" s="82"/>
      <c r="R17" s="82"/>
      <c r="S17" s="56"/>
      <c r="T17" s="57"/>
      <c r="U17" s="57"/>
      <c r="V17" s="56"/>
      <c r="W17" s="57"/>
      <c r="X17" s="57"/>
      <c r="Y17" s="56"/>
      <c r="Z17" s="57"/>
      <c r="AA17" s="57"/>
      <c r="AB17" s="63"/>
      <c r="AC17" s="63"/>
      <c r="AD17" s="58"/>
      <c r="AE17" s="83"/>
      <c r="AF17" s="29"/>
      <c r="AG17" s="29"/>
      <c r="AH17" s="29"/>
      <c r="AI17" s="77"/>
      <c r="AJ17" s="15" t="n">
        <v>37347</v>
      </c>
      <c r="AK17" s="60" t="n">
        <f aca="false">'[8]Model Operations'!C72</f>
        <v>0.0012121424437952</v>
      </c>
      <c r="AL17" s="60" t="n">
        <f aca="false">'[8]Model Operations'!E72</f>
        <v>0.0038892668595392</v>
      </c>
      <c r="AM17" s="60" t="n">
        <f aca="false">'[8]Escalation sheet'!X30</f>
        <v>0.0358883400843904</v>
      </c>
    </row>
    <row r="18" customFormat="false" ht="12.75" hidden="false" customHeight="true" outlineLevel="0" collapsed="false">
      <c r="A18" s="28"/>
      <c r="B18" s="70"/>
      <c r="C18" s="61"/>
      <c r="D18" s="61"/>
      <c r="E18" s="62"/>
      <c r="F18" s="62"/>
      <c r="G18" s="62"/>
      <c r="H18" s="62"/>
      <c r="I18" s="56"/>
      <c r="J18" s="56"/>
      <c r="K18" s="56"/>
      <c r="L18" s="56"/>
      <c r="M18" s="81"/>
      <c r="N18" s="81"/>
      <c r="O18" s="71"/>
      <c r="P18" s="51"/>
      <c r="Q18" s="70"/>
      <c r="R18" s="70"/>
      <c r="S18" s="56"/>
      <c r="T18" s="57"/>
      <c r="U18" s="57"/>
      <c r="V18" s="56"/>
      <c r="W18" s="57"/>
      <c r="X18" s="57"/>
      <c r="Y18" s="56"/>
      <c r="Z18" s="57"/>
      <c r="AA18" s="57"/>
      <c r="AB18" s="63"/>
      <c r="AC18" s="63"/>
      <c r="AD18" s="59"/>
      <c r="AE18" s="29"/>
      <c r="AF18" s="29"/>
      <c r="AG18" s="29"/>
      <c r="AH18" s="29"/>
      <c r="AI18" s="77"/>
      <c r="AJ18" s="15" t="n">
        <v>37377</v>
      </c>
      <c r="AK18" s="60" t="n">
        <f aca="false">'[8]Model Operations'!C73</f>
        <v>0.0012121424437952</v>
      </c>
      <c r="AL18" s="60" t="n">
        <f aca="false">'[8]Model Operations'!E73</f>
        <v>0.0038892668595392</v>
      </c>
      <c r="AM18" s="60" t="n">
        <f aca="false">'[8]Escalation sheet'!X31</f>
        <v>0.0358883400843904</v>
      </c>
    </row>
    <row r="19" customFormat="false" ht="12.75" hidden="false" customHeight="false" outlineLevel="0" collapsed="false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8"/>
      <c r="N19" s="28"/>
      <c r="O19" s="28"/>
      <c r="P19" s="22"/>
      <c r="Q19" s="22"/>
      <c r="R19" s="22"/>
      <c r="S19" s="22"/>
      <c r="T19" s="22"/>
      <c r="U19" s="22"/>
      <c r="V19" s="22"/>
      <c r="W19" s="22"/>
      <c r="X19" s="22"/>
      <c r="Y19" s="22"/>
      <c r="AI19" s="77"/>
      <c r="AJ19" s="15" t="n">
        <v>37408</v>
      </c>
      <c r="AK19" s="60" t="n">
        <f aca="false">'[8]Model Operations'!C74</f>
        <v>0.0012121424437952</v>
      </c>
      <c r="AL19" s="60" t="n">
        <f aca="false">'[8]Model Operations'!E74</f>
        <v>0.0038892668595392</v>
      </c>
      <c r="AM19" s="60" t="n">
        <f aca="false">'[8]Escalation sheet'!X32</f>
        <v>0.0358883400843904</v>
      </c>
    </row>
    <row r="20" customFormat="false" ht="12.75" hidden="false" customHeight="false" outlineLevel="0" collapsed="false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8"/>
      <c r="N20" s="28"/>
      <c r="O20" s="28"/>
      <c r="P20" s="22"/>
      <c r="Q20" s="22"/>
      <c r="R20" s="22"/>
      <c r="S20" s="22"/>
      <c r="T20" s="22"/>
      <c r="U20" s="22"/>
      <c r="V20" s="22"/>
      <c r="W20" s="22"/>
      <c r="X20" s="22"/>
      <c r="Y20" s="22"/>
      <c r="AI20" s="77"/>
      <c r="AJ20" s="15" t="n">
        <v>37438</v>
      </c>
      <c r="AK20" s="60" t="n">
        <f aca="false">'[8]Model Operations'!C75</f>
        <v>0.0012121424437952</v>
      </c>
      <c r="AL20" s="60" t="n">
        <f aca="false">'[8]Model Operations'!E75</f>
        <v>0.0038892668595392</v>
      </c>
      <c r="AM20" s="60" t="n">
        <f aca="false">'[8]Escalation sheet'!X33</f>
        <v>0.0358883400843904</v>
      </c>
    </row>
    <row r="21" customFormat="false" ht="12.75" hidden="false" customHeight="false" outlineLevel="0" collapsed="false">
      <c r="A21" s="22"/>
      <c r="B21" s="63"/>
      <c r="C21" s="63"/>
      <c r="D21" s="63"/>
      <c r="E21" s="84"/>
      <c r="F21" s="63"/>
      <c r="G21" s="63"/>
      <c r="H21" s="22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6"/>
      <c r="V21" s="86"/>
      <c r="W21" s="86"/>
      <c r="X21" s="86"/>
      <c r="Y21" s="22"/>
      <c r="AI21" s="77"/>
      <c r="AJ21" s="15" t="n">
        <v>37469</v>
      </c>
      <c r="AK21" s="60" t="n">
        <f aca="false">'[8]Model Operations'!C76</f>
        <v>0.0012121424437952</v>
      </c>
      <c r="AL21" s="60" t="n">
        <f aca="false">'[8]Model Operations'!E76</f>
        <v>0.0038892668595392</v>
      </c>
      <c r="AM21" s="60" t="n">
        <f aca="false">'[8]Escalation sheet'!X34</f>
        <v>0.0358883400843904</v>
      </c>
    </row>
    <row r="22" customFormat="false" ht="12.75" hidden="false" customHeight="false" outlineLevel="0" collapsed="false">
      <c r="A22" s="22"/>
      <c r="B22" s="87" t="s">
        <v>82</v>
      </c>
      <c r="C22" s="63"/>
      <c r="D22" s="63"/>
      <c r="E22" s="63"/>
      <c r="F22" s="63"/>
      <c r="G22" s="63"/>
      <c r="H22" s="22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6"/>
      <c r="V22" s="86"/>
      <c r="W22" s="86"/>
      <c r="X22" s="86"/>
      <c r="Y22" s="22"/>
      <c r="AI22" s="77"/>
      <c r="AJ22" s="15" t="n">
        <v>37500</v>
      </c>
      <c r="AK22" s="60" t="n">
        <f aca="false">'[8]Model Operations'!C77</f>
        <v>0.0012121424437952</v>
      </c>
      <c r="AL22" s="60" t="n">
        <f aca="false">'[8]Model Operations'!E77</f>
        <v>0.0038892668595392</v>
      </c>
      <c r="AM22" s="60" t="n">
        <f aca="false">'[8]Escalation sheet'!X35</f>
        <v>0.0358883400843904</v>
      </c>
    </row>
    <row r="23" customFormat="false" ht="12.75" hidden="false" customHeight="false" outlineLevel="0" collapsed="false">
      <c r="A23" s="22"/>
      <c r="B23" s="63"/>
      <c r="C23" s="63"/>
      <c r="D23" s="63"/>
      <c r="E23" s="63"/>
      <c r="F23" s="63"/>
      <c r="G23" s="63"/>
      <c r="H23" s="22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9"/>
      <c r="V23" s="89"/>
      <c r="W23" s="89"/>
      <c r="X23" s="89"/>
      <c r="Y23" s="22"/>
      <c r="AI23" s="77"/>
      <c r="AJ23" s="15" t="n">
        <v>37530</v>
      </c>
      <c r="AK23" s="60" t="n">
        <f aca="false">'[8]Model Operations'!C78</f>
        <v>0.0012121424437952</v>
      </c>
      <c r="AL23" s="60" t="n">
        <f aca="false">'[8]Model Operations'!E78</f>
        <v>0.0038892668595392</v>
      </c>
      <c r="AM23" s="60" t="n">
        <f aca="false">'[8]Escalation sheet'!X36</f>
        <v>0.0358883400843904</v>
      </c>
    </row>
    <row r="24" customFormat="false" ht="12.75" hidden="false" customHeight="false" outlineLevel="0" collapsed="false">
      <c r="A24" s="22"/>
      <c r="B24" s="32"/>
      <c r="C24" s="90" t="s">
        <v>23</v>
      </c>
      <c r="D24" s="33" t="s">
        <v>24</v>
      </c>
      <c r="E24" s="34" t="s">
        <v>25</v>
      </c>
      <c r="F24" s="34" t="s">
        <v>26</v>
      </c>
      <c r="G24" s="34"/>
      <c r="H24" s="34" t="s">
        <v>27</v>
      </c>
      <c r="I24" s="34" t="s">
        <v>28</v>
      </c>
      <c r="J24" s="34" t="s">
        <v>83</v>
      </c>
      <c r="K24" s="34" t="s">
        <v>84</v>
      </c>
      <c r="L24" s="34" t="s">
        <v>85</v>
      </c>
      <c r="M24" s="34" t="s">
        <v>86</v>
      </c>
      <c r="N24" s="34" t="s">
        <v>87</v>
      </c>
      <c r="O24" s="34" t="s">
        <v>88</v>
      </c>
      <c r="P24" s="34" t="s">
        <v>89</v>
      </c>
      <c r="Q24" s="34" t="s">
        <v>90</v>
      </c>
      <c r="R24" s="34" t="s">
        <v>91</v>
      </c>
      <c r="S24" s="34" t="s">
        <v>92</v>
      </c>
      <c r="T24" s="34" t="s">
        <v>93</v>
      </c>
      <c r="U24" s="34" t="s">
        <v>94</v>
      </c>
      <c r="V24" s="35"/>
      <c r="W24" s="34" t="s">
        <v>95</v>
      </c>
      <c r="X24" s="34" t="s">
        <v>95</v>
      </c>
      <c r="Y24" s="34" t="s">
        <v>96</v>
      </c>
      <c r="Z24" s="34" t="s">
        <v>97</v>
      </c>
      <c r="AA24" s="21"/>
      <c r="AB24" s="21"/>
      <c r="AC24" s="22"/>
      <c r="AD24" s="21"/>
      <c r="AE24" s="21"/>
      <c r="AF24" s="21"/>
      <c r="AG24" s="21"/>
      <c r="AH24" s="21"/>
      <c r="AI24" s="77"/>
      <c r="AJ24" s="15" t="n">
        <v>37561</v>
      </c>
      <c r="AK24" s="60" t="n">
        <f aca="false">'[8]Model Operations'!C79</f>
        <v>0.0012121424437952</v>
      </c>
      <c r="AL24" s="60" t="n">
        <f aca="false">'[8]Model Operations'!E79</f>
        <v>0.0038892668595392</v>
      </c>
      <c r="AM24" s="60" t="n">
        <f aca="false">'[8]Escalation sheet'!X37</f>
        <v>0.0358883400843904</v>
      </c>
    </row>
    <row r="25" customFormat="false" ht="13.5" hidden="false" customHeight="false" outlineLevel="0" collapsed="false">
      <c r="A25" s="22"/>
      <c r="B25" s="38" t="s">
        <v>42</v>
      </c>
      <c r="C25" s="91" t="s">
        <v>43</v>
      </c>
      <c r="D25" s="39" t="s">
        <v>43</v>
      </c>
      <c r="E25" s="38" t="s">
        <v>44</v>
      </c>
      <c r="F25" s="38" t="s">
        <v>44</v>
      </c>
      <c r="G25" s="38" t="s">
        <v>98</v>
      </c>
      <c r="H25" s="38" t="s">
        <v>45</v>
      </c>
      <c r="I25" s="38" t="s">
        <v>45</v>
      </c>
      <c r="J25" s="38" t="s">
        <v>99</v>
      </c>
      <c r="K25" s="38" t="s">
        <v>100</v>
      </c>
      <c r="L25" s="38" t="s">
        <v>101</v>
      </c>
      <c r="M25" s="38" t="s">
        <v>102</v>
      </c>
      <c r="N25" s="38" t="s">
        <v>102</v>
      </c>
      <c r="O25" s="38" t="s">
        <v>52</v>
      </c>
      <c r="P25" s="38" t="s">
        <v>103</v>
      </c>
      <c r="Q25" s="38" t="s">
        <v>104</v>
      </c>
      <c r="R25" s="38" t="s">
        <v>105</v>
      </c>
      <c r="S25" s="38" t="s">
        <v>106</v>
      </c>
      <c r="T25" s="38" t="s">
        <v>49</v>
      </c>
      <c r="U25" s="38" t="s">
        <v>49</v>
      </c>
      <c r="V25" s="35"/>
      <c r="W25" s="38" t="s">
        <v>107</v>
      </c>
      <c r="X25" s="38" t="s">
        <v>108</v>
      </c>
      <c r="Y25" s="38" t="s">
        <v>109</v>
      </c>
      <c r="Z25" s="38" t="s">
        <v>109</v>
      </c>
      <c r="AA25" s="21"/>
      <c r="AB25" s="21"/>
      <c r="AC25" s="22"/>
      <c r="AD25" s="21"/>
      <c r="AE25" s="21"/>
      <c r="AF25" s="21"/>
      <c r="AG25" s="21"/>
      <c r="AH25" s="21"/>
      <c r="AI25" s="77"/>
      <c r="AJ25" s="74" t="n">
        <v>37591</v>
      </c>
      <c r="AK25" s="60" t="n">
        <f aca="false">'[8]Model Operations'!C80</f>
        <v>0.0012121424437952</v>
      </c>
      <c r="AL25" s="60" t="n">
        <f aca="false">'[8]Model Operations'!E80</f>
        <v>0.0038892668595392</v>
      </c>
      <c r="AM25" s="60" t="n">
        <f aca="false">'[8]Escalation sheet'!X38</f>
        <v>0.0358883400843904</v>
      </c>
    </row>
    <row r="26" customFormat="false" ht="12.75" hidden="false" customHeight="true" outlineLevel="0" collapsed="false">
      <c r="A26" s="43" t="n">
        <f aca="false">A7</f>
        <v>1</v>
      </c>
      <c r="B26" s="92" t="str">
        <f aca="false">B7</f>
        <v>ANR OK vs ML7 </v>
      </c>
      <c r="C26" s="93" t="n">
        <f aca="false">C7</f>
        <v>37025</v>
      </c>
      <c r="D26" s="93" t="n">
        <f aca="false">D7</f>
        <v>45926</v>
      </c>
      <c r="E26" s="94" t="n">
        <f aca="false">E7</f>
        <v>37043</v>
      </c>
      <c r="F26" s="94" t="n">
        <f aca="false">F7</f>
        <v>42004</v>
      </c>
      <c r="G26" s="94" t="str">
        <f aca="false">'ANR OK vs ML7'!E3</f>
        <v>13 Y - 7 M</v>
      </c>
      <c r="H26" s="94" t="str">
        <f aca="false">G7</f>
        <v>IF-ANR/OK</v>
      </c>
      <c r="I26" s="94" t="str">
        <f aca="false">H7</f>
        <v>ML7/CG</v>
      </c>
      <c r="J26" s="95" t="n">
        <f aca="false">O7</f>
        <v>40000</v>
      </c>
      <c r="K26" s="96" t="n">
        <f aca="false">'ANR OK vs ML7'!AH8</f>
        <v>0.0228112678538991</v>
      </c>
      <c r="L26" s="96" t="e">
        <f aca="false">'ANR OK vs ML7'!V8</f>
        <v>#N/A</v>
      </c>
      <c r="M26" s="96" t="e">
        <f aca="false">'ANR OK vs ML7'!AM8</f>
        <v>#N/A</v>
      </c>
      <c r="N26" s="96" t="e">
        <f aca="false">'ANR OK vs ML7'!AN8</f>
        <v>#N/A</v>
      </c>
      <c r="O26" s="96" t="e">
        <f aca="false">'ANR OK vs ML7'!AL8</f>
        <v>#NAME?</v>
      </c>
      <c r="P26" s="96" t="e">
        <f aca="false">'ANR OK vs ML7'!S8</f>
        <v>#N/A</v>
      </c>
      <c r="Q26" s="96" t="e">
        <f aca="false">'ANR OK vs ML7'!U8</f>
        <v>#N/A</v>
      </c>
      <c r="R26" s="96" t="e">
        <f aca="false">'ANR OK vs ML7'!K8</f>
        <v>#N/A</v>
      </c>
      <c r="S26" s="96" t="e">
        <f aca="false">'ANR OK vs ML7'!M8</f>
        <v>#N/A</v>
      </c>
      <c r="T26" s="95" t="n">
        <f aca="false">'ANR OK vs ML7'!E8</f>
        <v>198480000</v>
      </c>
      <c r="U26" s="97" t="n">
        <f aca="false">'ANR OK vs ML7'!F8</f>
        <v>1184759266.84099</v>
      </c>
      <c r="V26" s="98"/>
      <c r="W26" s="99" t="e">
        <f aca="false">'ANR OK vs ML7'!AX8</f>
        <v>#N/A</v>
      </c>
      <c r="X26" s="100" t="e">
        <f aca="false">M26*U26</f>
        <v>#N/A</v>
      </c>
      <c r="Y26" s="101" t="e">
        <f aca="false">N26*U26</f>
        <v>#N/A</v>
      </c>
      <c r="Z26" s="102" t="e">
        <f aca="false">X26+Y26</f>
        <v>#N/A</v>
      </c>
      <c r="AA26" s="103" t="e">
        <f aca="false">X26/$X$39</f>
        <v>#N/A</v>
      </c>
      <c r="AC26" s="22"/>
      <c r="AI26" s="77" t="n">
        <v>1.3</v>
      </c>
      <c r="AJ26" s="15" t="n">
        <v>37622</v>
      </c>
      <c r="AK26" s="60" t="n">
        <f aca="false">'[8]Model Operations'!C81</f>
        <v>0.00157578517693376</v>
      </c>
      <c r="AL26" s="60" t="n">
        <f aca="false">'[8]Model Operations'!E81</f>
        <v>0.00505604691740096</v>
      </c>
      <c r="AM26" s="60" t="n">
        <f aca="false">'[8]Escalation sheet'!X39</f>
        <v>0.0466548421097075</v>
      </c>
    </row>
    <row r="27" customFormat="false" ht="12.75" hidden="false" customHeight="true" outlineLevel="0" collapsed="false">
      <c r="A27" s="43" t="n">
        <f aca="false">A8</f>
        <v>2</v>
      </c>
      <c r="B27" s="92" t="str">
        <f aca="false">B8</f>
        <v>ANR LA vs ML7</v>
      </c>
      <c r="C27" s="93" t="n">
        <f aca="false">C8</f>
        <v>37025</v>
      </c>
      <c r="D27" s="93" t="n">
        <f aca="false">D8</f>
        <v>45926</v>
      </c>
      <c r="E27" s="94" t="n">
        <f aca="false">E8</f>
        <v>37043</v>
      </c>
      <c r="F27" s="94" t="n">
        <f aca="false">F8</f>
        <v>42004</v>
      </c>
      <c r="G27" s="94" t="str">
        <f aca="false">'ANR LA vs ML7'!E3</f>
        <v>13 Y - 7 M</v>
      </c>
      <c r="H27" s="94" t="str">
        <f aca="false">G8</f>
        <v>IF-ANR/LA</v>
      </c>
      <c r="I27" s="94" t="str">
        <f aca="false">H8</f>
        <v>ML7/CG</v>
      </c>
      <c r="J27" s="95" t="n">
        <f aca="false">O8</f>
        <v>80000</v>
      </c>
      <c r="K27" s="96" t="n">
        <f aca="false">'ANR LA vs ML7'!AH8</f>
        <v>0.0204760356170121</v>
      </c>
      <c r="L27" s="96" t="e">
        <f aca="false">'ANR LA vs ML7'!V8</f>
        <v>#N/A</v>
      </c>
      <c r="M27" s="96" t="e">
        <f aca="false">'ANR LA vs ML7'!AM8</f>
        <v>#N/A</v>
      </c>
      <c r="N27" s="96" t="e">
        <f aca="false">'ANR LA vs ML7'!AN8</f>
        <v>#N/A</v>
      </c>
      <c r="O27" s="96" t="e">
        <f aca="false">'ANR LA vs ML7'!AL8</f>
        <v>#NAME?</v>
      </c>
      <c r="P27" s="96" t="e">
        <f aca="false">'ANR LA vs ML7'!S8</f>
        <v>#N/A</v>
      </c>
      <c r="Q27" s="96" t="e">
        <f aca="false">'ANR LA vs ML7'!U8</f>
        <v>#N/A</v>
      </c>
      <c r="R27" s="96" t="e">
        <f aca="false">'ANR LA vs ML7'!K8</f>
        <v>#N/A</v>
      </c>
      <c r="S27" s="96" t="e">
        <f aca="false">'ANR LA vs ML7'!M8</f>
        <v>#N/A</v>
      </c>
      <c r="T27" s="95" t="n">
        <f aca="false">'ANR LA vs ML7'!E8</f>
        <v>396960000</v>
      </c>
      <c r="U27" s="97" t="n">
        <f aca="false">'ANR LA vs ML7'!F8</f>
        <v>2369518533.68198</v>
      </c>
      <c r="V27" s="98"/>
      <c r="W27" s="99" t="e">
        <f aca="false">'ANR LA vs ML7'!AX8</f>
        <v>#N/A</v>
      </c>
      <c r="X27" s="104" t="e">
        <f aca="false">M27*U27</f>
        <v>#N/A</v>
      </c>
      <c r="Y27" s="105" t="e">
        <f aca="false">N27*U27</f>
        <v>#N/A</v>
      </c>
      <c r="Z27" s="106" t="e">
        <f aca="false">X27+Y27</f>
        <v>#N/A</v>
      </c>
      <c r="AA27" s="103" t="e">
        <f aca="false">X27/$X$39</f>
        <v>#N/A</v>
      </c>
      <c r="AC27" s="22"/>
      <c r="AI27" s="77"/>
      <c r="AJ27" s="15" t="n">
        <v>37653</v>
      </c>
      <c r="AK27" s="60" t="n">
        <f aca="false">'[8]Model Operations'!C82</f>
        <v>0.00157578517693376</v>
      </c>
      <c r="AL27" s="60" t="n">
        <f aca="false">'[8]Model Operations'!E82</f>
        <v>0.00505604691740096</v>
      </c>
      <c r="AM27" s="60" t="n">
        <f aca="false">'[8]Escalation sheet'!X40</f>
        <v>0.0466548421097075</v>
      </c>
    </row>
    <row r="28" customFormat="false" ht="12.75" hidden="false" customHeight="true" outlineLevel="0" collapsed="false">
      <c r="A28" s="64" t="n">
        <f aca="false">A9</f>
        <v>3</v>
      </c>
      <c r="B28" s="92" t="str">
        <f aca="false">B9</f>
        <v>PEPL TxOk vs Dawn</v>
      </c>
      <c r="C28" s="93" t="n">
        <f aca="false">C9</f>
        <v>37025</v>
      </c>
      <c r="D28" s="93" t="n">
        <f aca="false">D9</f>
        <v>45926</v>
      </c>
      <c r="E28" s="94" t="n">
        <f aca="false">E9</f>
        <v>37043</v>
      </c>
      <c r="F28" s="94" t="n">
        <f aca="false">F9</f>
        <v>42035</v>
      </c>
      <c r="G28" s="94" t="str">
        <f aca="false">'PEPL vs Dawn'!E3</f>
        <v>13 Y - 8 M</v>
      </c>
      <c r="H28" s="94" t="str">
        <f aca="false">G9</f>
        <v>IF-PAN/TX/OK</v>
      </c>
      <c r="I28" s="94" t="str">
        <f aca="false">H9</f>
        <v>CGPR-DAWN</v>
      </c>
      <c r="J28" s="95" t="n">
        <f aca="false">O9</f>
        <v>36050</v>
      </c>
      <c r="K28" s="96" t="n">
        <f aca="false">'PEPL vs Dawn'!AH8</f>
        <v>0.0720457038809101</v>
      </c>
      <c r="L28" s="96" t="e">
        <f aca="false">'PEPL vs Dawn'!V8</f>
        <v>#N/A</v>
      </c>
      <c r="M28" s="96" t="e">
        <f aca="false">'PEPL vs Dawn'!AM8</f>
        <v>#N/A</v>
      </c>
      <c r="N28" s="96" t="e">
        <f aca="false">'PEPL vs Dawn'!AN8</f>
        <v>#N/A</v>
      </c>
      <c r="O28" s="96" t="e">
        <f aca="false">'PEPL vs Dawn'!AL8</f>
        <v>#NAME?</v>
      </c>
      <c r="P28" s="96" t="e">
        <f aca="false">'PEPL vs Dawn'!S8</f>
        <v>#N/A</v>
      </c>
      <c r="Q28" s="96" t="e">
        <f aca="false">'PEPL vs Dawn'!U8</f>
        <v>#N/A</v>
      </c>
      <c r="R28" s="96" t="e">
        <f aca="false">'PEPL vs Dawn'!K8</f>
        <v>#N/A</v>
      </c>
      <c r="S28" s="96" t="e">
        <f aca="false">'PEPL vs Dawn'!M8</f>
        <v>#N/A</v>
      </c>
      <c r="T28" s="95" t="n">
        <f aca="false">'PEPL vs Dawn'!E8</f>
        <v>179997650</v>
      </c>
      <c r="U28" s="97" t="n">
        <f aca="false">'PEPL vs Dawn'!F8</f>
        <v>1070949997.48894</v>
      </c>
      <c r="V28" s="98"/>
      <c r="W28" s="99" t="e">
        <f aca="false">'PEPL vs Dawn'!AX8</f>
        <v>#N/A</v>
      </c>
      <c r="X28" s="104" t="e">
        <f aca="false">M28*U28</f>
        <v>#N/A</v>
      </c>
      <c r="Y28" s="105" t="e">
        <f aca="false">N28*U28</f>
        <v>#N/A</v>
      </c>
      <c r="Z28" s="106" t="e">
        <f aca="false">X28+Y28</f>
        <v>#N/A</v>
      </c>
      <c r="AA28" s="103" t="e">
        <f aca="false">X28/$X$39</f>
        <v>#N/A</v>
      </c>
      <c r="AC28" s="22"/>
      <c r="AI28" s="77"/>
      <c r="AJ28" s="15" t="n">
        <v>37681</v>
      </c>
      <c r="AK28" s="60" t="n">
        <f aca="false">'[8]Model Operations'!C83</f>
        <v>0.00157578517693376</v>
      </c>
      <c r="AL28" s="60" t="n">
        <f aca="false">'[8]Model Operations'!E83</f>
        <v>0.00505604691740096</v>
      </c>
      <c r="AM28" s="60" t="n">
        <f aca="false">'[8]Escalation sheet'!X41</f>
        <v>0.0466548421097075</v>
      </c>
    </row>
    <row r="29" customFormat="false" ht="12.75" hidden="false" customHeight="true" outlineLevel="0" collapsed="false">
      <c r="A29" s="43" t="n">
        <f aca="false">A10</f>
        <v>4</v>
      </c>
      <c r="B29" s="92" t="str">
        <f aca="false">B10</f>
        <v>ML-7 vs St.Clair</v>
      </c>
      <c r="C29" s="93" t="n">
        <f aca="false">C10</f>
        <v>37025</v>
      </c>
      <c r="D29" s="93" t="n">
        <f aca="false">D10</f>
        <v>45926</v>
      </c>
      <c r="E29" s="94" t="n">
        <f aca="false">E10</f>
        <v>37043</v>
      </c>
      <c r="F29" s="94" t="n">
        <f aca="false">F10</f>
        <v>42094</v>
      </c>
      <c r="G29" s="94" t="str">
        <f aca="false">'ML7 vs St. Clair'!E3</f>
        <v>13 Y - 10 M</v>
      </c>
      <c r="H29" s="94" t="str">
        <f aca="false">G10</f>
        <v>ML7/CG</v>
      </c>
      <c r="I29" s="94" t="str">
        <f aca="false">H10</f>
        <v>CGPR-ST.CLAIR</v>
      </c>
      <c r="J29" s="95" t="n">
        <f aca="false">O10</f>
        <v>119740</v>
      </c>
      <c r="K29" s="96" t="n">
        <f aca="false">'ML7 vs St. Clair'!AH8</f>
        <v>0.0142485763471456</v>
      </c>
      <c r="L29" s="96" t="e">
        <f aca="false">'ML7 vs St. Clair'!V8</f>
        <v>#N/A</v>
      </c>
      <c r="M29" s="96" t="e">
        <f aca="false">'ML7 vs St. Clair'!AM8</f>
        <v>#N/A</v>
      </c>
      <c r="N29" s="96" t="e">
        <f aca="false">'ML7 vs St. Clair'!AN8</f>
        <v>#N/A</v>
      </c>
      <c r="O29" s="96" t="e">
        <f aca="false">'ML7 vs St. Clair'!AL8</f>
        <v>#NAME?</v>
      </c>
      <c r="P29" s="96" t="e">
        <f aca="false">'ML7 vs St. Clair'!S8</f>
        <v>#N/A</v>
      </c>
      <c r="Q29" s="96" t="e">
        <f aca="false">'ML7 vs St. Clair'!U8</f>
        <v>#N/A</v>
      </c>
      <c r="R29" s="96" t="e">
        <f aca="false">'ML7 vs St. Clair'!K8</f>
        <v>#N/A</v>
      </c>
      <c r="S29" s="96" t="n">
        <f aca="false">'ML7 vs St. Clair'!M8</f>
        <v>0</v>
      </c>
      <c r="T29" s="95" t="n">
        <f aca="false">'ML7 vs St. Clair'!E8</f>
        <v>604926480</v>
      </c>
      <c r="U29" s="97" t="n">
        <f aca="false">'ML7 vs St. Clair'!F8</f>
        <v>3577052529.50011</v>
      </c>
      <c r="V29" s="98"/>
      <c r="W29" s="99" t="e">
        <f aca="false">'ML7 vs St. Clair'!AX8</f>
        <v>#N/A</v>
      </c>
      <c r="X29" s="104" t="e">
        <f aca="false">M29*U29</f>
        <v>#N/A</v>
      </c>
      <c r="Y29" s="105" t="e">
        <f aca="false">N29*U29</f>
        <v>#N/A</v>
      </c>
      <c r="Z29" s="106" t="e">
        <f aca="false">X29+Y29</f>
        <v>#N/A</v>
      </c>
      <c r="AA29" s="103" t="e">
        <f aca="false">X29/$X$39</f>
        <v>#N/A</v>
      </c>
      <c r="AC29" s="22"/>
      <c r="AI29" s="77"/>
      <c r="AJ29" s="15" t="n">
        <v>37712</v>
      </c>
      <c r="AK29" s="60" t="n">
        <f aca="false">'[8]Model Operations'!C84</f>
        <v>0.00157578517693376</v>
      </c>
      <c r="AL29" s="60" t="n">
        <f aca="false">'[8]Model Operations'!E84</f>
        <v>0.00505604691740096</v>
      </c>
      <c r="AM29" s="60" t="n">
        <f aca="false">'[8]Escalation sheet'!X42</f>
        <v>0.0466548421097075</v>
      </c>
    </row>
    <row r="30" customFormat="false" ht="12.75" hidden="false" customHeight="true" outlineLevel="0" collapsed="false">
      <c r="A30" s="43" t="n">
        <f aca="false">A11</f>
        <v>5</v>
      </c>
      <c r="B30" s="92" t="str">
        <f aca="false">B11</f>
        <v>St.Clair vs Chippawa</v>
      </c>
      <c r="C30" s="93" t="n">
        <f aca="false">C11</f>
        <v>37025</v>
      </c>
      <c r="D30" s="93" t="n">
        <f aca="false">D11</f>
        <v>45926</v>
      </c>
      <c r="E30" s="94" t="n">
        <f aca="false">E11</f>
        <v>37043</v>
      </c>
      <c r="F30" s="94" t="n">
        <f aca="false">F11</f>
        <v>42094</v>
      </c>
      <c r="G30" s="94" t="str">
        <f aca="false">'St.Clair vs Chippawa'!E3</f>
        <v>13 Y - 10 M</v>
      </c>
      <c r="H30" s="94" t="str">
        <f aca="false">G11</f>
        <v>CGPR-ST.CLAIR</v>
      </c>
      <c r="I30" s="94" t="str">
        <f aca="false">H11</f>
        <v>CGPR-CHIPPAWA</v>
      </c>
      <c r="J30" s="95" t="n">
        <f aca="false">O11</f>
        <v>124142</v>
      </c>
      <c r="K30" s="96" t="n">
        <f aca="false">'St.Clair vs Chippawa'!AH8</f>
        <v>0.00514655416258674</v>
      </c>
      <c r="L30" s="96" t="e">
        <f aca="false">'St.Clair vs Chippawa'!V8</f>
        <v>#N/A</v>
      </c>
      <c r="M30" s="96" t="e">
        <f aca="false">'St.Clair vs Chippawa'!AM8</f>
        <v>#N/A</v>
      </c>
      <c r="N30" s="96" t="e">
        <f aca="false">'St.Clair vs Chippawa'!AN8</f>
        <v>#N/A</v>
      </c>
      <c r="O30" s="96" t="e">
        <f aca="false">'St.Clair vs Chippawa'!AL8</f>
        <v>#NAME?</v>
      </c>
      <c r="P30" s="96" t="e">
        <f aca="false">'St.Clair vs Chippawa'!S8</f>
        <v>#N/A</v>
      </c>
      <c r="Q30" s="96" t="n">
        <f aca="false">'St.Clair vs Chippawa'!U8</f>
        <v>0</v>
      </c>
      <c r="R30" s="96" t="e">
        <f aca="false">'ML7 vs St. Clair'!K8</f>
        <v>#N/A</v>
      </c>
      <c r="S30" s="96" t="e">
        <f aca="false">'St.Clair vs Chippawa'!M8</f>
        <v>#N/A</v>
      </c>
      <c r="T30" s="95" t="n">
        <f aca="false">'St.Clair vs Chippawa'!E8</f>
        <v>627165384</v>
      </c>
      <c r="U30" s="97" t="n">
        <f aca="false">'St.Clair vs Chippawa'!F8</f>
        <v>3708555663.24706</v>
      </c>
      <c r="V30" s="98"/>
      <c r="W30" s="99" t="e">
        <f aca="false">'St.Clair vs Chippawa'!AX8</f>
        <v>#N/A</v>
      </c>
      <c r="X30" s="104" t="e">
        <f aca="false">M30*U30</f>
        <v>#N/A</v>
      </c>
      <c r="Y30" s="105" t="e">
        <f aca="false">N30*U30</f>
        <v>#N/A</v>
      </c>
      <c r="Z30" s="106" t="e">
        <f aca="false">X30+Y30</f>
        <v>#N/A</v>
      </c>
      <c r="AA30" s="103" t="e">
        <f aca="false">X30/$X$39</f>
        <v>#N/A</v>
      </c>
      <c r="AC30" s="22"/>
      <c r="AI30" s="77"/>
      <c r="AJ30" s="15" t="n">
        <v>37742</v>
      </c>
      <c r="AK30" s="60" t="n">
        <f aca="false">'[8]Model Operations'!C85</f>
        <v>0.00157578517693376</v>
      </c>
      <c r="AL30" s="60" t="n">
        <f aca="false">'[8]Model Operations'!E85</f>
        <v>0.00505604691740096</v>
      </c>
      <c r="AM30" s="60" t="n">
        <f aca="false">'[8]Escalation sheet'!X43</f>
        <v>0.0466548421097075</v>
      </c>
    </row>
    <row r="31" customFormat="false" ht="12.75" hidden="true" customHeight="true" outlineLevel="0" collapsed="false">
      <c r="A31" s="64" t="n">
        <f aca="false">A12</f>
        <v>6</v>
      </c>
      <c r="B31" s="92" t="str">
        <f aca="false">B12</f>
        <v>Ojibway vs Dawn</v>
      </c>
      <c r="C31" s="93" t="n">
        <f aca="false">C12</f>
        <v>37025</v>
      </c>
      <c r="D31" s="93" t="n">
        <f aca="false">D12</f>
        <v>45926</v>
      </c>
      <c r="E31" s="94" t="n">
        <f aca="false">E12</f>
        <v>37043</v>
      </c>
      <c r="F31" s="94" t="n">
        <f aca="false">F12</f>
        <v>42094</v>
      </c>
      <c r="G31" s="94" t="str">
        <f aca="false">G30</f>
        <v>13 Y - 10 M</v>
      </c>
      <c r="H31" s="94" t="str">
        <f aca="false">G12</f>
        <v>CGPR-Ojibway</v>
      </c>
      <c r="I31" s="94" t="str">
        <f aca="false">H12</f>
        <v>CGPR-DAWN</v>
      </c>
      <c r="J31" s="95" t="n">
        <f aca="false">O12</f>
        <v>36522</v>
      </c>
      <c r="K31" s="96" t="n">
        <f aca="false">'Ojibway vs Dawn'!AH8</f>
        <v>0.0287529266750075</v>
      </c>
      <c r="L31" s="96" t="e">
        <f aca="false">'Ojibway vs Dawn'!V8</f>
        <v>#N/A</v>
      </c>
      <c r="M31" s="96" t="e">
        <f aca="false">'Ojibway vs Dawn'!AM8</f>
        <v>#N/A</v>
      </c>
      <c r="N31" s="96" t="e">
        <f aca="false">'Ojibway vs Dawn'!AN8</f>
        <v>#N/A</v>
      </c>
      <c r="O31" s="96" t="e">
        <f aca="false">'Ojibway vs Dawn'!AL8</f>
        <v>#NAME?</v>
      </c>
      <c r="P31" s="96" t="e">
        <f aca="false">'Ojibway vs Dawn'!S8</f>
        <v>#N/A</v>
      </c>
      <c r="Q31" s="96" t="e">
        <f aca="false">'Ojibway vs Dawn'!U8</f>
        <v>#N/A</v>
      </c>
      <c r="R31" s="96" t="e">
        <f aca="false">'Ojibway vs Dawn'!K8</f>
        <v>#N/A</v>
      </c>
      <c r="S31" s="96" t="e">
        <f aca="false">'Ojibway vs Dawn'!M8</f>
        <v>#N/A</v>
      </c>
      <c r="T31" s="95" t="n">
        <f aca="false">'Ojibway vs Dawn'!E8</f>
        <v>184509144</v>
      </c>
      <c r="U31" s="97" t="n">
        <f aca="false">'Ojibway vs Dawn'!F8</f>
        <v>1091039857.04362</v>
      </c>
      <c r="V31" s="98"/>
      <c r="W31" s="99" t="e">
        <f aca="false">'Ojibway vs Dawn'!AX8</f>
        <v>#N/A</v>
      </c>
      <c r="X31" s="104" t="e">
        <f aca="false">M31*U31</f>
        <v>#N/A</v>
      </c>
      <c r="Y31" s="105" t="e">
        <f aca="false">N31*U31</f>
        <v>#N/A</v>
      </c>
      <c r="Z31" s="106" t="e">
        <f aca="false">X31+Y31</f>
        <v>#N/A</v>
      </c>
      <c r="AA31" s="103" t="e">
        <f aca="false">X31/$X$39</f>
        <v>#N/A</v>
      </c>
      <c r="AC31" s="22"/>
      <c r="AI31" s="77"/>
      <c r="AJ31" s="15" t="n">
        <v>37773</v>
      </c>
      <c r="AK31" s="60" t="n">
        <f aca="false">'[8]Model Operations'!C86</f>
        <v>0.00157578517693376</v>
      </c>
      <c r="AL31" s="60" t="n">
        <f aca="false">'[8]Model Operations'!E86</f>
        <v>0.00505604691740096</v>
      </c>
      <c r="AM31" s="60" t="n">
        <f aca="false">'[8]Escalation sheet'!X44</f>
        <v>0.0466548421097075</v>
      </c>
    </row>
    <row r="32" customFormat="false" ht="12.75" hidden="false" customHeight="true" outlineLevel="0" collapsed="false">
      <c r="A32" s="43" t="n">
        <v>6</v>
      </c>
      <c r="B32" s="70" t="str">
        <f aca="false">B13</f>
        <v>Empress vs Chippawa</v>
      </c>
      <c r="C32" s="61" t="n">
        <f aca="false">C13</f>
        <v>37025</v>
      </c>
      <c r="D32" s="93" t="n">
        <f aca="false">D13</f>
        <v>45926</v>
      </c>
      <c r="E32" s="62" t="n">
        <f aca="false">E13</f>
        <v>37043</v>
      </c>
      <c r="F32" s="62" t="n">
        <f aca="false">F13</f>
        <v>42094</v>
      </c>
      <c r="G32" s="94" t="str">
        <f aca="false">'Empress vs Chippewa'!E3</f>
        <v>13 Y - 10 M</v>
      </c>
      <c r="H32" s="62" t="str">
        <f aca="false">G13</f>
        <v>US Empress</v>
      </c>
      <c r="I32" s="62" t="str">
        <f aca="false">H13</f>
        <v>CGPR-CHIPPAWA</v>
      </c>
      <c r="J32" s="95" t="n">
        <f aca="false">O13</f>
        <v>28400</v>
      </c>
      <c r="K32" s="56" t="n">
        <f aca="false">'Empress vs Chippewa'!AH8</f>
        <v>0.0474900007431044</v>
      </c>
      <c r="L32" s="56" t="e">
        <f aca="false">'Empress vs Chippewa'!V8</f>
        <v>#N/A</v>
      </c>
      <c r="M32" s="56" t="e">
        <f aca="false">'Empress vs Chippewa'!AM8</f>
        <v>#N/A</v>
      </c>
      <c r="N32" s="56" t="e">
        <f aca="false">'Empress vs Chippewa'!AN8</f>
        <v>#N/A</v>
      </c>
      <c r="O32" s="56" t="e">
        <f aca="false">'Empress vs Chippewa'!AL8</f>
        <v>#NAME?</v>
      </c>
      <c r="P32" s="56" t="e">
        <f aca="false">'Empress vs Chippewa'!S8</f>
        <v>#N/A</v>
      </c>
      <c r="Q32" s="56" t="n">
        <f aca="false">'Empress vs Chippewa'!U8</f>
        <v>0</v>
      </c>
      <c r="R32" s="56" t="e">
        <f aca="false">'Empress vs Chippewa'!K8</f>
        <v>#N/A</v>
      </c>
      <c r="S32" s="56" t="n">
        <f aca="false">'Empress vs Chippewa'!M8</f>
        <v>0</v>
      </c>
      <c r="T32" s="95" t="n">
        <f aca="false">'Empress vs Chippewa'!E8</f>
        <v>143476800</v>
      </c>
      <c r="U32" s="97" t="n">
        <f aca="false">'Empress vs Chippewa'!F8</f>
        <v>848407314.496435</v>
      </c>
      <c r="V32" s="98"/>
      <c r="W32" s="107" t="e">
        <f aca="false">'Empress vs Chippewa'!AX8</f>
        <v>#N/A</v>
      </c>
      <c r="X32" s="104" t="e">
        <f aca="false">M32*U32</f>
        <v>#N/A</v>
      </c>
      <c r="Y32" s="105" t="e">
        <f aca="false">N32*U32</f>
        <v>#N/A</v>
      </c>
      <c r="Z32" s="106" t="e">
        <f aca="false">X32+Y32</f>
        <v>#N/A</v>
      </c>
      <c r="AA32" s="103" t="e">
        <f aca="false">X32/$X$39</f>
        <v>#N/A</v>
      </c>
      <c r="AB32" s="29"/>
      <c r="AC32" s="28"/>
      <c r="AD32" s="29"/>
      <c r="AE32" s="29"/>
      <c r="AF32" s="29"/>
      <c r="AG32" s="29"/>
      <c r="AH32" s="29"/>
      <c r="AI32" s="77"/>
      <c r="AJ32" s="15" t="n">
        <v>37803</v>
      </c>
      <c r="AK32" s="60" t="n">
        <f aca="false">'[8]Model Operations'!C87</f>
        <v>0.00157578517693376</v>
      </c>
      <c r="AL32" s="60" t="n">
        <f aca="false">'[8]Model Operations'!E87</f>
        <v>0.00505604691740096</v>
      </c>
      <c r="AM32" s="60" t="n">
        <f aca="false">'[8]Escalation sheet'!X45</f>
        <v>0.0466548421097075</v>
      </c>
    </row>
    <row r="33" customFormat="false" ht="12.75" hidden="false" customHeight="true" outlineLevel="0" collapsed="false">
      <c r="A33" s="64" t="n">
        <v>7</v>
      </c>
      <c r="B33" s="70" t="str">
        <f aca="false">B14</f>
        <v>Dawn to Chippawa</v>
      </c>
      <c r="C33" s="61" t="n">
        <f aca="false">C14</f>
        <v>37025</v>
      </c>
      <c r="D33" s="93" t="n">
        <f aca="false">D14</f>
        <v>45926</v>
      </c>
      <c r="E33" s="62" t="n">
        <f aca="false">E14</f>
        <v>37043</v>
      </c>
      <c r="F33" s="62" t="n">
        <f aca="false">F14</f>
        <v>42094</v>
      </c>
      <c r="G33" s="94" t="str">
        <f aca="false">'Dawn vs Chippewa'!E3</f>
        <v>13 Y - 10 M</v>
      </c>
      <c r="H33" s="62" t="str">
        <f aca="false">G14</f>
        <v>CGPR-DAWN</v>
      </c>
      <c r="I33" s="62" t="str">
        <f aca="false">H14</f>
        <v>CGPR-CHIPPAWA</v>
      </c>
      <c r="J33" s="95" t="n">
        <f aca="false">O14</f>
        <v>39326</v>
      </c>
      <c r="K33" s="56" t="n">
        <f aca="false">'Dawn vs Chippewa'!AH8</f>
        <v>0.00514655416258674</v>
      </c>
      <c r="L33" s="56" t="e">
        <f aca="false">'Dawn vs Chippewa'!V8</f>
        <v>#N/A</v>
      </c>
      <c r="M33" s="56" t="e">
        <f aca="false">'Dawn vs Chippewa'!AM8</f>
        <v>#N/A</v>
      </c>
      <c r="N33" s="56" t="e">
        <f aca="false">'Dawn vs Chippewa'!AN8</f>
        <v>#N/A</v>
      </c>
      <c r="O33" s="56" t="e">
        <f aca="false">'Dawn vs Chippewa'!AL8</f>
        <v>#NAME?</v>
      </c>
      <c r="P33" s="56" t="e">
        <f aca="false">'Dawn vs Chippewa'!S8</f>
        <v>#N/A</v>
      </c>
      <c r="Q33" s="56" t="e">
        <f aca="false">'Dawn vs Chippewa'!U8</f>
        <v>#N/A</v>
      </c>
      <c r="R33" s="56" t="e">
        <f aca="false">'Dawn vs Chippewa'!K8</f>
        <v>#N/A</v>
      </c>
      <c r="S33" s="56" t="n">
        <f aca="false">'Dawn vs Chippewa'!M8</f>
        <v>0</v>
      </c>
      <c r="T33" s="95" t="n">
        <f aca="false">'Dawn vs Chippewa'!E8</f>
        <v>143476800</v>
      </c>
      <c r="U33" s="95" t="n">
        <f aca="false">'Dawn vs Chippewa'!F8</f>
        <v>848407314.496435</v>
      </c>
      <c r="V33" s="98"/>
      <c r="W33" s="108" t="e">
        <f aca="false">'Dawn vs Chippewa'!AX8</f>
        <v>#N/A</v>
      </c>
      <c r="X33" s="104" t="e">
        <f aca="false">M33*U33</f>
        <v>#N/A</v>
      </c>
      <c r="Y33" s="105" t="e">
        <f aca="false">N33*U33</f>
        <v>#N/A</v>
      </c>
      <c r="Z33" s="106" t="e">
        <f aca="false">X33+Y33</f>
        <v>#N/A</v>
      </c>
      <c r="AA33" s="103" t="e">
        <f aca="false">X33/$X$39</f>
        <v>#N/A</v>
      </c>
      <c r="AB33" s="29"/>
      <c r="AC33" s="28"/>
      <c r="AD33" s="29"/>
      <c r="AE33" s="29"/>
      <c r="AF33" s="29"/>
      <c r="AG33" s="29"/>
      <c r="AH33" s="29"/>
      <c r="AI33" s="77"/>
      <c r="AJ33" s="15" t="n">
        <v>37834</v>
      </c>
      <c r="AK33" s="60" t="n">
        <f aca="false">'[8]Model Operations'!C88</f>
        <v>0.00157578517693376</v>
      </c>
      <c r="AL33" s="60" t="n">
        <f aca="false">'[8]Model Operations'!E88</f>
        <v>0.00505604691740096</v>
      </c>
      <c r="AM33" s="60" t="n">
        <f aca="false">'[8]Escalation sheet'!X46</f>
        <v>0.0466548421097075</v>
      </c>
    </row>
    <row r="34" customFormat="false" ht="12.75" hidden="false" customHeight="true" outlineLevel="0" collapsed="false">
      <c r="A34" s="43"/>
      <c r="B34" s="70" t="str">
        <f aca="false">B15</f>
        <v> </v>
      </c>
      <c r="C34" s="61"/>
      <c r="D34" s="93"/>
      <c r="E34" s="62"/>
      <c r="F34" s="62"/>
      <c r="G34" s="94"/>
      <c r="H34" s="62"/>
      <c r="I34" s="62"/>
      <c r="J34" s="95"/>
      <c r="K34" s="56"/>
      <c r="L34" s="56"/>
      <c r="M34" s="56"/>
      <c r="N34" s="56"/>
      <c r="O34" s="56"/>
      <c r="P34" s="56"/>
      <c r="Q34" s="56"/>
      <c r="R34" s="56"/>
      <c r="S34" s="56"/>
      <c r="T34" s="95"/>
      <c r="U34" s="97"/>
      <c r="V34" s="98"/>
      <c r="W34" s="107"/>
      <c r="X34" s="104"/>
      <c r="Y34" s="105"/>
      <c r="Z34" s="106"/>
      <c r="AA34" s="103"/>
      <c r="AB34" s="29"/>
      <c r="AC34" s="28"/>
      <c r="AD34" s="29"/>
      <c r="AE34" s="29"/>
      <c r="AF34" s="29"/>
      <c r="AG34" s="29"/>
      <c r="AH34" s="29"/>
      <c r="AI34" s="77"/>
      <c r="AJ34" s="15" t="n">
        <v>37865</v>
      </c>
      <c r="AK34" s="60" t="n">
        <f aca="false">'[8]Model Operations'!C89</f>
        <v>0.00157578517693376</v>
      </c>
      <c r="AL34" s="60" t="n">
        <f aca="false">'[8]Model Operations'!E89</f>
        <v>0.00505604691740096</v>
      </c>
      <c r="AM34" s="60" t="n">
        <f aca="false">'[8]Escalation sheet'!X47</f>
        <v>0.0466548421097075</v>
      </c>
    </row>
    <row r="35" customFormat="false" ht="12.75" hidden="false" customHeight="true" outlineLevel="0" collapsed="false">
      <c r="A35" s="28"/>
      <c r="B35" s="70"/>
      <c r="C35" s="61"/>
      <c r="D35" s="61"/>
      <c r="E35" s="62"/>
      <c r="F35" s="62"/>
      <c r="G35" s="62"/>
      <c r="H35" s="62"/>
      <c r="I35" s="62"/>
      <c r="J35" s="62"/>
      <c r="K35" s="62"/>
      <c r="L35" s="62"/>
      <c r="M35" s="56"/>
      <c r="N35" s="56"/>
      <c r="O35" s="56"/>
      <c r="P35" s="62"/>
      <c r="Q35" s="56"/>
      <c r="R35" s="56"/>
      <c r="S35" s="56"/>
      <c r="T35" s="95"/>
      <c r="U35" s="109"/>
      <c r="V35" s="58"/>
      <c r="W35" s="107"/>
      <c r="X35" s="110"/>
      <c r="Y35" s="111"/>
      <c r="Z35" s="112"/>
      <c r="AA35" s="103"/>
      <c r="AB35" s="29"/>
      <c r="AC35" s="28"/>
      <c r="AD35" s="29"/>
      <c r="AE35" s="29"/>
      <c r="AF35" s="29"/>
      <c r="AG35" s="29"/>
      <c r="AH35" s="29"/>
      <c r="AI35" s="77"/>
      <c r="AJ35" s="15" t="n">
        <v>37895</v>
      </c>
      <c r="AK35" s="60" t="n">
        <f aca="false">'[8]Model Operations'!C90</f>
        <v>0.00157578517693376</v>
      </c>
      <c r="AL35" s="60" t="n">
        <f aca="false">'[8]Model Operations'!E90</f>
        <v>0.00505604691740096</v>
      </c>
      <c r="AM35" s="60" t="n">
        <f aca="false">'[8]Escalation sheet'!X48</f>
        <v>0.0466548421097075</v>
      </c>
    </row>
    <row r="36" customFormat="false" ht="12.75" hidden="false" customHeight="true" outlineLevel="0" collapsed="false">
      <c r="A36" s="28"/>
      <c r="B36" s="70"/>
      <c r="C36" s="61"/>
      <c r="D36" s="61"/>
      <c r="E36" s="62"/>
      <c r="F36" s="62"/>
      <c r="G36" s="62"/>
      <c r="H36" s="62"/>
      <c r="I36" s="62"/>
      <c r="J36" s="62"/>
      <c r="K36" s="62"/>
      <c r="L36" s="62"/>
      <c r="M36" s="56"/>
      <c r="N36" s="56"/>
      <c r="O36" s="56"/>
      <c r="P36" s="62"/>
      <c r="Q36" s="56"/>
      <c r="R36" s="56"/>
      <c r="S36" s="56"/>
      <c r="T36" s="95"/>
      <c r="U36" s="109"/>
      <c r="V36" s="58"/>
      <c r="W36" s="107"/>
      <c r="X36" s="110"/>
      <c r="Y36" s="111"/>
      <c r="Z36" s="112"/>
      <c r="AA36" s="103"/>
      <c r="AB36" s="29"/>
      <c r="AC36" s="28"/>
      <c r="AD36" s="29"/>
      <c r="AE36" s="29"/>
      <c r="AF36" s="29"/>
      <c r="AG36" s="29"/>
      <c r="AH36" s="29"/>
      <c r="AI36" s="77"/>
      <c r="AJ36" s="15" t="n">
        <v>37926</v>
      </c>
      <c r="AK36" s="60" t="n">
        <f aca="false">'[8]Model Operations'!C91</f>
        <v>0.00157578517693376</v>
      </c>
      <c r="AL36" s="60" t="n">
        <f aca="false">'[8]Model Operations'!E91</f>
        <v>0.00505604691740096</v>
      </c>
      <c r="AM36" s="60" t="n">
        <f aca="false">'[8]Escalation sheet'!X49</f>
        <v>0.0466548421097075</v>
      </c>
    </row>
    <row r="37" customFormat="false" ht="12.75" hidden="false" customHeight="true" outlineLevel="0" collapsed="false">
      <c r="A37" s="28"/>
      <c r="B37" s="70"/>
      <c r="C37" s="61"/>
      <c r="D37" s="61"/>
      <c r="E37" s="70"/>
      <c r="F37" s="70"/>
      <c r="G37" s="70"/>
      <c r="H37" s="70"/>
      <c r="I37" s="70"/>
      <c r="J37" s="70"/>
      <c r="K37" s="70"/>
      <c r="L37" s="70"/>
      <c r="M37" s="56"/>
      <c r="N37" s="56"/>
      <c r="O37" s="56"/>
      <c r="P37" s="70"/>
      <c r="Q37" s="56"/>
      <c r="R37" s="56"/>
      <c r="S37" s="56"/>
      <c r="T37" s="95"/>
      <c r="U37" s="109"/>
      <c r="V37" s="58"/>
      <c r="W37" s="107"/>
      <c r="X37" s="113"/>
      <c r="Y37" s="114"/>
      <c r="Z37" s="115"/>
      <c r="AA37" s="103"/>
      <c r="AB37" s="29"/>
      <c r="AC37" s="28"/>
      <c r="AD37" s="29"/>
      <c r="AE37" s="29"/>
      <c r="AF37" s="29"/>
      <c r="AG37" s="29"/>
      <c r="AH37" s="29"/>
      <c r="AI37" s="77"/>
      <c r="AJ37" s="74" t="n">
        <v>37956</v>
      </c>
      <c r="AK37" s="60" t="n">
        <f aca="false">'[8]Model Operations'!C92</f>
        <v>0.00157578517693376</v>
      </c>
      <c r="AL37" s="60" t="n">
        <f aca="false">'[8]Model Operations'!E92</f>
        <v>0.00505604691740096</v>
      </c>
      <c r="AM37" s="60" t="n">
        <f aca="false">'[8]Escalation sheet'!X50</f>
        <v>0.0466548421097075</v>
      </c>
    </row>
    <row r="38" customFormat="false" ht="12.75" hidden="false" customHeight="false" outlineLevel="0" collapsed="false">
      <c r="A38" s="22"/>
      <c r="B38" s="116"/>
      <c r="C38" s="116"/>
      <c r="D38" s="116"/>
      <c r="E38" s="116"/>
      <c r="F38" s="116"/>
      <c r="G38" s="116"/>
      <c r="H38" s="22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117"/>
      <c r="V38" s="117"/>
      <c r="W38" s="117"/>
      <c r="X38" s="118"/>
      <c r="Y38" s="119"/>
      <c r="Z38" s="120"/>
      <c r="AA38" s="121"/>
      <c r="AI38" s="77" t="n">
        <v>1.05</v>
      </c>
      <c r="AJ38" s="15" t="n">
        <v>37987</v>
      </c>
      <c r="AK38" s="60" t="n">
        <f aca="false">'[8]Model Operations'!C93</f>
        <v>0.00165457443578045</v>
      </c>
      <c r="AL38" s="60" t="n">
        <f aca="false">'[8]Model Operations'!E93</f>
        <v>0.00530884926327101</v>
      </c>
      <c r="AM38" s="60" t="n">
        <f aca="false">'[8]Escalation sheet'!X51</f>
        <v>0.0475879389519017</v>
      </c>
    </row>
    <row r="39" customFormat="false" ht="12.75" hidden="false" customHeight="false" outlineLevel="0" collapsed="false">
      <c r="A39" s="22"/>
      <c r="X39" s="122" t="e">
        <f aca="false">SUM(X26:X37)</f>
        <v>#N/A</v>
      </c>
      <c r="Y39" s="123" t="e">
        <f aca="false">SUM(Y26:Y37)</f>
        <v>#N/A</v>
      </c>
      <c r="AA39" s="103" t="e">
        <f aca="false">SUM(AA26:AA37)</f>
        <v>#N/A</v>
      </c>
      <c r="AJ39" s="15" t="n">
        <v>38018</v>
      </c>
      <c r="AK39" s="60" t="n">
        <f aca="false">'[8]Model Operations'!C94</f>
        <v>0.00165457443578045</v>
      </c>
      <c r="AL39" s="60" t="n">
        <f aca="false">'[8]Model Operations'!E94</f>
        <v>0.00530884926327101</v>
      </c>
      <c r="AM39" s="60" t="n">
        <f aca="false">'[8]Escalation sheet'!X52</f>
        <v>0.0475879389519017</v>
      </c>
    </row>
    <row r="40" customFormat="false" ht="12.75" hidden="false" customHeight="false" outlineLevel="0" collapsed="false">
      <c r="AJ40" s="15" t="n">
        <v>38047</v>
      </c>
      <c r="AK40" s="60" t="n">
        <f aca="false">'[8]Model Operations'!C95</f>
        <v>0.00165457443578045</v>
      </c>
      <c r="AL40" s="60" t="n">
        <f aca="false">'[8]Model Operations'!E95</f>
        <v>0.00530884926327101</v>
      </c>
      <c r="AM40" s="60" t="n">
        <f aca="false">'[8]Escalation sheet'!X53</f>
        <v>0.0475879389519017</v>
      </c>
    </row>
    <row r="41" customFormat="false" ht="12.75" hidden="false" customHeight="false" outlineLevel="0" collapsed="false">
      <c r="AJ41" s="15" t="n">
        <v>38078</v>
      </c>
      <c r="AK41" s="60" t="n">
        <f aca="false">'[8]Model Operations'!C96</f>
        <v>0.00165457443578045</v>
      </c>
      <c r="AL41" s="60" t="n">
        <f aca="false">'[8]Model Operations'!E96</f>
        <v>0.00530884926327101</v>
      </c>
      <c r="AM41" s="60" t="n">
        <f aca="false">'[8]Escalation sheet'!X54</f>
        <v>0.0475879389519017</v>
      </c>
    </row>
    <row r="42" customFormat="false" ht="12.75" hidden="false" customHeight="false" outlineLevel="0" collapsed="false">
      <c r="AJ42" s="15" t="n">
        <v>38108</v>
      </c>
      <c r="AK42" s="60" t="n">
        <f aca="false">'[8]Model Operations'!C97</f>
        <v>0.00165457443578045</v>
      </c>
      <c r="AL42" s="60" t="n">
        <f aca="false">'[8]Model Operations'!E97</f>
        <v>0.00530884926327101</v>
      </c>
      <c r="AM42" s="60" t="n">
        <f aca="false">'[8]Escalation sheet'!X55</f>
        <v>0.0475879389519017</v>
      </c>
    </row>
    <row r="43" customFormat="false" ht="15" hidden="false" customHeight="false" outlineLevel="0" collapsed="false">
      <c r="X43" s="23" t="s">
        <v>16</v>
      </c>
      <c r="AJ43" s="15" t="n">
        <v>38139</v>
      </c>
      <c r="AK43" s="60" t="n">
        <f aca="false">'[8]Model Operations'!C98</f>
        <v>0.00165457443578045</v>
      </c>
      <c r="AL43" s="60" t="n">
        <f aca="false">'[8]Model Operations'!E98</f>
        <v>0.00530884926327101</v>
      </c>
      <c r="AM43" s="60" t="n">
        <f aca="false">'[8]Escalation sheet'!X56</f>
        <v>0.0475879389519017</v>
      </c>
    </row>
    <row r="44" customFormat="false" ht="12.75" hidden="false" customHeight="false" outlineLevel="0" collapsed="false">
      <c r="X44" s="24" t="s">
        <v>110</v>
      </c>
      <c r="AJ44" s="15"/>
      <c r="AK44" s="60"/>
      <c r="AL44" s="60"/>
      <c r="AM44" s="60"/>
    </row>
    <row r="45" customFormat="false" ht="12.75" hidden="false" customHeight="false" outlineLevel="0" collapsed="false">
      <c r="X45" s="124"/>
      <c r="Y45" s="125" t="s">
        <v>111</v>
      </c>
      <c r="Z45" s="126" t="e">
        <f aca="false">AA26+AA27</f>
        <v>#N/A</v>
      </c>
      <c r="AA45" s="127" t="e">
        <f aca="false">Z45*$AA$50</f>
        <v>#N/A</v>
      </c>
      <c r="AJ45" s="15" t="n">
        <v>38169</v>
      </c>
      <c r="AK45" s="60" t="n">
        <f aca="false">'[8]Model Operations'!C99</f>
        <v>0.00165457443578045</v>
      </c>
      <c r="AL45" s="60" t="n">
        <f aca="false">'[8]Model Operations'!E99</f>
        <v>0.00530884926327101</v>
      </c>
      <c r="AM45" s="60" t="n">
        <f aca="false">'[8]Escalation sheet'!X57</f>
        <v>0.0475879389519017</v>
      </c>
    </row>
    <row r="46" customFormat="false" ht="12.75" hidden="false" customHeight="false" outlineLevel="0" collapsed="false">
      <c r="X46" s="128"/>
      <c r="Y46" s="129" t="s">
        <v>12</v>
      </c>
      <c r="Z46" s="130" t="e">
        <f aca="false">AA28</f>
        <v>#N/A</v>
      </c>
      <c r="AA46" s="127" t="e">
        <f aca="false">Z46*$AA$50</f>
        <v>#N/A</v>
      </c>
      <c r="AJ46" s="15" t="n">
        <v>38200</v>
      </c>
      <c r="AK46" s="60" t="n">
        <f aca="false">'[8]Model Operations'!C100</f>
        <v>0.00165457443578045</v>
      </c>
      <c r="AL46" s="60" t="n">
        <f aca="false">'[8]Model Operations'!E100</f>
        <v>0.00530884926327101</v>
      </c>
      <c r="AM46" s="60" t="n">
        <f aca="false">'[8]Escalation sheet'!X58</f>
        <v>0.0475879389519017</v>
      </c>
    </row>
    <row r="47" customFormat="false" ht="12.75" hidden="false" customHeight="false" outlineLevel="0" collapsed="false">
      <c r="X47" s="128"/>
      <c r="Y47" s="129" t="s">
        <v>112</v>
      </c>
      <c r="Z47" s="130" t="e">
        <f aca="false">AA29</f>
        <v>#N/A</v>
      </c>
      <c r="AA47" s="127" t="e">
        <f aca="false">Z47*$AA$50</f>
        <v>#N/A</v>
      </c>
      <c r="AJ47" s="15" t="n">
        <v>38231</v>
      </c>
      <c r="AK47" s="60" t="n">
        <f aca="false">'[8]Model Operations'!C101</f>
        <v>0.00165457443578045</v>
      </c>
      <c r="AL47" s="60" t="n">
        <f aca="false">'[8]Model Operations'!E101</f>
        <v>0.00530884926327101</v>
      </c>
      <c r="AM47" s="60" t="n">
        <f aca="false">'[8]Escalation sheet'!X59</f>
        <v>0.0475879389519017</v>
      </c>
    </row>
    <row r="48" customFormat="false" ht="12.75" hidden="false" customHeight="false" outlineLevel="0" collapsed="false">
      <c r="X48" s="128"/>
      <c r="Y48" s="129" t="s">
        <v>15</v>
      </c>
      <c r="Z48" s="130" t="e">
        <f aca="false">AA30+AA31+AA33</f>
        <v>#N/A</v>
      </c>
      <c r="AA48" s="127" t="e">
        <f aca="false">Z48*$AA$50</f>
        <v>#N/A</v>
      </c>
      <c r="AJ48" s="15" t="n">
        <v>38261</v>
      </c>
      <c r="AK48" s="60" t="n">
        <f aca="false">'[8]Model Operations'!C102</f>
        <v>0.00165457443578045</v>
      </c>
      <c r="AL48" s="60" t="n">
        <f aca="false">'[8]Model Operations'!E102</f>
        <v>0.00530884926327101</v>
      </c>
      <c r="AM48" s="60" t="n">
        <f aca="false">'[8]Escalation sheet'!X60</f>
        <v>0.0475879389519017</v>
      </c>
    </row>
    <row r="49" customFormat="false" ht="15" hidden="false" customHeight="false" outlineLevel="0" collapsed="false">
      <c r="X49" s="128"/>
      <c r="Y49" s="129" t="s">
        <v>14</v>
      </c>
      <c r="Z49" s="131" t="e">
        <f aca="false">AA32</f>
        <v>#N/A</v>
      </c>
      <c r="AA49" s="132" t="e">
        <f aca="false">Z49*$AA$50</f>
        <v>#N/A</v>
      </c>
      <c r="AJ49" s="15" t="n">
        <v>38292</v>
      </c>
      <c r="AK49" s="60" t="n">
        <f aca="false">'[8]Model Operations'!C103</f>
        <v>0.00165457443578045</v>
      </c>
      <c r="AL49" s="60" t="n">
        <f aca="false">'[8]Model Operations'!E103</f>
        <v>0.00530884926327101</v>
      </c>
      <c r="AM49" s="60" t="n">
        <f aca="false">'[8]Escalation sheet'!X61</f>
        <v>0.0475879389519017</v>
      </c>
    </row>
    <row r="50" customFormat="false" ht="13.5" hidden="false" customHeight="false" outlineLevel="0" collapsed="false">
      <c r="X50" s="133"/>
      <c r="Y50" s="134" t="s">
        <v>113</v>
      </c>
      <c r="Z50" s="135" t="e">
        <f aca="false">SUM(Z45:Z49)</f>
        <v>#N/A</v>
      </c>
      <c r="AA50" s="120" t="e">
        <f aca="false">X39</f>
        <v>#N/A</v>
      </c>
      <c r="AJ50" s="74" t="n">
        <v>38322</v>
      </c>
      <c r="AK50" s="60" t="n">
        <f aca="false">'[8]Model Operations'!C104</f>
        <v>0.00165457443578045</v>
      </c>
      <c r="AL50" s="60" t="n">
        <f aca="false">'[8]Model Operations'!E104</f>
        <v>0.00530884926327101</v>
      </c>
      <c r="AM50" s="60" t="n">
        <f aca="false">'[8]Escalation sheet'!X62</f>
        <v>0.0475879389519017</v>
      </c>
    </row>
    <row r="51" customFormat="false" ht="12.75" hidden="false" customHeight="false" outlineLevel="0" collapsed="false">
      <c r="AI51" s="0" t="n">
        <f aca="false">AI38</f>
        <v>1.05</v>
      </c>
      <c r="AJ51" s="136" t="n">
        <v>38353</v>
      </c>
      <c r="AK51" s="60" t="n">
        <f aca="false">'[8]Model Operations'!C105</f>
        <v>0.00173730315756947</v>
      </c>
      <c r="AL51" s="60" t="n">
        <f aca="false">'[8]Model Operations'!E105</f>
        <v>0.00557429172643456</v>
      </c>
      <c r="AM51" s="60" t="n">
        <f aca="false">'[8]Escalation sheet'!X63</f>
        <v>0.0485396977309397</v>
      </c>
    </row>
    <row r="52" customFormat="false" ht="12.75" hidden="false" customHeight="false" outlineLevel="0" collapsed="false">
      <c r="AJ52" s="15" t="n">
        <v>38384</v>
      </c>
      <c r="AK52" s="60" t="n">
        <f aca="false">'[8]Model Operations'!C106</f>
        <v>0.00173730315756947</v>
      </c>
      <c r="AL52" s="60" t="n">
        <f aca="false">'[8]Model Operations'!E106</f>
        <v>0.00557429172643456</v>
      </c>
      <c r="AM52" s="60" t="n">
        <f aca="false">'[8]Escalation sheet'!X64</f>
        <v>0.0485396977309397</v>
      </c>
    </row>
    <row r="53" customFormat="false" ht="12.75" hidden="false" customHeight="false" outlineLevel="0" collapsed="false">
      <c r="AJ53" s="15" t="n">
        <v>38412</v>
      </c>
      <c r="AK53" s="60" t="n">
        <f aca="false">'[8]Model Operations'!C107</f>
        <v>0.00173730315756947</v>
      </c>
      <c r="AL53" s="60" t="n">
        <f aca="false">'[8]Model Operations'!E107</f>
        <v>0.00557429172643456</v>
      </c>
      <c r="AM53" s="60" t="n">
        <f aca="false">'[8]Escalation sheet'!X65</f>
        <v>0.0485396977309397</v>
      </c>
    </row>
    <row r="54" customFormat="false" ht="12.75" hidden="false" customHeight="false" outlineLevel="0" collapsed="false">
      <c r="AJ54" s="15" t="n">
        <v>38443</v>
      </c>
      <c r="AK54" s="60" t="n">
        <f aca="false">'[8]Model Operations'!C108</f>
        <v>0.00173730315756947</v>
      </c>
      <c r="AL54" s="60" t="n">
        <f aca="false">'[8]Model Operations'!E108</f>
        <v>0.00557429172643456</v>
      </c>
      <c r="AM54" s="60" t="n">
        <f aca="false">'[8]Escalation sheet'!X66</f>
        <v>0.0485396977309397</v>
      </c>
    </row>
    <row r="55" customFormat="false" ht="12.75" hidden="false" customHeight="false" outlineLevel="0" collapsed="false">
      <c r="AJ55" s="15" t="n">
        <v>38473</v>
      </c>
      <c r="AK55" s="60" t="n">
        <f aca="false">'[8]Model Operations'!C109</f>
        <v>0.00173730315756947</v>
      </c>
      <c r="AL55" s="60" t="n">
        <f aca="false">'[8]Model Operations'!E109</f>
        <v>0.00557429172643456</v>
      </c>
      <c r="AM55" s="60" t="n">
        <f aca="false">'[8]Escalation sheet'!X67</f>
        <v>0.0485396977309397</v>
      </c>
    </row>
    <row r="56" customFormat="false" ht="12.75" hidden="false" customHeight="false" outlineLevel="0" collapsed="false">
      <c r="AJ56" s="15" t="n">
        <v>38504</v>
      </c>
      <c r="AK56" s="60" t="n">
        <f aca="false">'[8]Model Operations'!C110</f>
        <v>0.00173730315756947</v>
      </c>
      <c r="AL56" s="60" t="n">
        <f aca="false">'[8]Model Operations'!E110</f>
        <v>0.00557429172643456</v>
      </c>
      <c r="AM56" s="60" t="n">
        <f aca="false">'[8]Escalation sheet'!X68</f>
        <v>0.0485396977309397</v>
      </c>
    </row>
    <row r="57" customFormat="false" ht="12.75" hidden="false" customHeight="false" outlineLevel="0" collapsed="false">
      <c r="AJ57" s="15" t="n">
        <v>38534</v>
      </c>
      <c r="AK57" s="60" t="n">
        <f aca="false">'[8]Model Operations'!C111</f>
        <v>0.00173730315756947</v>
      </c>
      <c r="AL57" s="60" t="n">
        <f aca="false">'[8]Model Operations'!E111</f>
        <v>0.00557429172643456</v>
      </c>
      <c r="AM57" s="60" t="n">
        <f aca="false">'[8]Escalation sheet'!X69</f>
        <v>0.0485396977309397</v>
      </c>
    </row>
    <row r="58" customFormat="false" ht="12.75" hidden="false" customHeight="false" outlineLevel="0" collapsed="false">
      <c r="AJ58" s="15" t="n">
        <v>38565</v>
      </c>
      <c r="AK58" s="60" t="n">
        <f aca="false">'[8]Model Operations'!C112</f>
        <v>0.00173730315756947</v>
      </c>
      <c r="AL58" s="60" t="n">
        <f aca="false">'[8]Model Operations'!E112</f>
        <v>0.00557429172643456</v>
      </c>
      <c r="AM58" s="60" t="n">
        <f aca="false">'[8]Escalation sheet'!X70</f>
        <v>0.0485396977309397</v>
      </c>
    </row>
    <row r="59" customFormat="false" ht="12.75" hidden="false" customHeight="false" outlineLevel="0" collapsed="false">
      <c r="AJ59" s="15" t="n">
        <v>38596</v>
      </c>
      <c r="AK59" s="60" t="n">
        <f aca="false">'[8]Model Operations'!C113</f>
        <v>0.00173730315756947</v>
      </c>
      <c r="AL59" s="60" t="n">
        <f aca="false">'[8]Model Operations'!E113</f>
        <v>0.00557429172643456</v>
      </c>
      <c r="AM59" s="60" t="n">
        <f aca="false">'[8]Escalation sheet'!X71</f>
        <v>0.0485396977309397</v>
      </c>
    </row>
    <row r="60" customFormat="false" ht="12.75" hidden="false" customHeight="false" outlineLevel="0" collapsed="false">
      <c r="AJ60" s="15" t="n">
        <v>38626</v>
      </c>
      <c r="AK60" s="60" t="n">
        <f aca="false">'[8]Model Operations'!C114</f>
        <v>0.00173730315756947</v>
      </c>
      <c r="AL60" s="60" t="n">
        <f aca="false">'[8]Model Operations'!E114</f>
        <v>0.00557429172643456</v>
      </c>
      <c r="AM60" s="60" t="n">
        <f aca="false">'[8]Escalation sheet'!X72</f>
        <v>0.0485396977309397</v>
      </c>
    </row>
    <row r="61" customFormat="false" ht="12.75" hidden="false" customHeight="false" outlineLevel="0" collapsed="false">
      <c r="AJ61" s="15" t="n">
        <v>38657</v>
      </c>
      <c r="AK61" s="60" t="n">
        <f aca="false">'[8]Model Operations'!C115</f>
        <v>0.00173730315756947</v>
      </c>
      <c r="AL61" s="60" t="n">
        <f aca="false">'[8]Model Operations'!E115</f>
        <v>0.00557429172643456</v>
      </c>
      <c r="AM61" s="60" t="n">
        <f aca="false">'[8]Escalation sheet'!X73</f>
        <v>0.0485396977309397</v>
      </c>
    </row>
    <row r="62" customFormat="false" ht="13.5" hidden="false" customHeight="false" outlineLevel="0" collapsed="false">
      <c r="AJ62" s="74" t="n">
        <v>38687</v>
      </c>
      <c r="AK62" s="60" t="n">
        <f aca="false">'[8]Model Operations'!C116</f>
        <v>0.00173730315756947</v>
      </c>
      <c r="AL62" s="60" t="n">
        <f aca="false">'[8]Model Operations'!E116</f>
        <v>0.00557429172643456</v>
      </c>
      <c r="AM62" s="60" t="n">
        <f aca="false">'[8]Escalation sheet'!X74</f>
        <v>0.0485396977309397</v>
      </c>
    </row>
    <row r="63" customFormat="false" ht="12.75" hidden="false" customHeight="false" outlineLevel="0" collapsed="false">
      <c r="AI63" s="0" t="n">
        <f aca="false">AI51</f>
        <v>1.05</v>
      </c>
      <c r="AJ63" s="15" t="n">
        <v>38718</v>
      </c>
      <c r="AK63" s="60" t="n">
        <f aca="false">'[8]Model Operations'!C117</f>
        <v>0.00182416831544794</v>
      </c>
      <c r="AL63" s="60" t="n">
        <f aca="false">'[8]Model Operations'!E117</f>
        <v>0.00585300631275629</v>
      </c>
      <c r="AM63" s="60" t="n">
        <f aca="false">'[8]Escalation sheet'!X75</f>
        <v>0.0495104916855585</v>
      </c>
    </row>
    <row r="64" customFormat="false" ht="12.75" hidden="false" customHeight="false" outlineLevel="0" collapsed="false">
      <c r="AJ64" s="15" t="n">
        <v>38749</v>
      </c>
      <c r="AK64" s="60" t="n">
        <f aca="false">'[8]Model Operations'!C118</f>
        <v>0.00182416831544794</v>
      </c>
      <c r="AL64" s="60" t="n">
        <f aca="false">'[8]Model Operations'!E118</f>
        <v>0.00585300631275629</v>
      </c>
      <c r="AM64" s="60" t="n">
        <f aca="false">'[8]Escalation sheet'!X76</f>
        <v>0.0495104916855585</v>
      </c>
    </row>
    <row r="65" customFormat="false" ht="12.75" hidden="false" customHeight="false" outlineLevel="0" collapsed="false">
      <c r="AJ65" s="15" t="n">
        <v>38777</v>
      </c>
      <c r="AK65" s="60" t="n">
        <f aca="false">'[8]Model Operations'!C119</f>
        <v>0.00182416831544794</v>
      </c>
      <c r="AL65" s="60" t="n">
        <f aca="false">'[8]Model Operations'!E119</f>
        <v>0.00585300631275629</v>
      </c>
      <c r="AM65" s="60" t="n">
        <f aca="false">'[8]Escalation sheet'!X77</f>
        <v>0.0495104916855585</v>
      </c>
    </row>
    <row r="66" customFormat="false" ht="12.75" hidden="false" customHeight="false" outlineLevel="0" collapsed="false">
      <c r="AJ66" s="15" t="n">
        <v>38808</v>
      </c>
      <c r="AK66" s="60" t="n">
        <f aca="false">'[8]Model Operations'!C120</f>
        <v>0.00182416831544794</v>
      </c>
      <c r="AL66" s="60" t="n">
        <f aca="false">'[8]Model Operations'!E120</f>
        <v>0.00585300631275629</v>
      </c>
      <c r="AM66" s="60" t="n">
        <f aca="false">'[8]Escalation sheet'!X78</f>
        <v>0.0495104916855585</v>
      </c>
    </row>
    <row r="67" customFormat="false" ht="12.75" hidden="false" customHeight="false" outlineLevel="0" collapsed="false">
      <c r="AJ67" s="15" t="n">
        <v>38838</v>
      </c>
      <c r="AK67" s="60" t="n">
        <f aca="false">'[8]Model Operations'!C121</f>
        <v>0.00182416831544794</v>
      </c>
      <c r="AL67" s="60" t="n">
        <f aca="false">'[8]Model Operations'!E121</f>
        <v>0.00585300631275629</v>
      </c>
      <c r="AM67" s="60" t="n">
        <f aca="false">'[8]Escalation sheet'!X79</f>
        <v>0.0495104916855585</v>
      </c>
    </row>
    <row r="68" customFormat="false" ht="12.75" hidden="false" customHeight="false" outlineLevel="0" collapsed="false">
      <c r="AJ68" s="15" t="n">
        <v>38869</v>
      </c>
      <c r="AK68" s="60" t="n">
        <f aca="false">'[8]Model Operations'!C122</f>
        <v>0.00182416831544794</v>
      </c>
      <c r="AL68" s="60" t="n">
        <f aca="false">'[8]Model Operations'!E122</f>
        <v>0.00585300631275629</v>
      </c>
      <c r="AM68" s="60" t="n">
        <f aca="false">'[8]Escalation sheet'!X80</f>
        <v>0.0495104916855585</v>
      </c>
    </row>
    <row r="69" customFormat="false" ht="12.75" hidden="false" customHeight="false" outlineLevel="0" collapsed="false">
      <c r="AJ69" s="15" t="n">
        <v>38899</v>
      </c>
      <c r="AK69" s="60" t="n">
        <f aca="false">'[8]Model Operations'!C123</f>
        <v>0.00182416831544794</v>
      </c>
      <c r="AL69" s="60" t="n">
        <f aca="false">'[8]Model Operations'!E123</f>
        <v>0.00585300631275629</v>
      </c>
      <c r="AM69" s="60" t="n">
        <f aca="false">'[8]Escalation sheet'!X81</f>
        <v>0.0495104916855585</v>
      </c>
    </row>
    <row r="70" customFormat="false" ht="12.75" hidden="false" customHeight="false" outlineLevel="0" collapsed="false">
      <c r="AJ70" s="15" t="n">
        <v>38930</v>
      </c>
      <c r="AK70" s="60" t="n">
        <f aca="false">'[8]Model Operations'!C124</f>
        <v>0.00182416831544794</v>
      </c>
      <c r="AL70" s="60" t="n">
        <f aca="false">'[8]Model Operations'!E124</f>
        <v>0.00585300631275629</v>
      </c>
      <c r="AM70" s="60" t="n">
        <f aca="false">'[8]Escalation sheet'!X82</f>
        <v>0.0495104916855585</v>
      </c>
    </row>
    <row r="71" customFormat="false" ht="12.75" hidden="false" customHeight="false" outlineLevel="0" collapsed="false">
      <c r="AJ71" s="15" t="n">
        <v>38961</v>
      </c>
      <c r="AK71" s="60" t="n">
        <f aca="false">'[8]Model Operations'!C125</f>
        <v>0.00182416831544794</v>
      </c>
      <c r="AL71" s="60" t="n">
        <f aca="false">'[8]Model Operations'!E125</f>
        <v>0.00585300631275629</v>
      </c>
      <c r="AM71" s="60" t="n">
        <f aca="false">'[8]Escalation sheet'!X83</f>
        <v>0.0495104916855585</v>
      </c>
    </row>
    <row r="72" customFormat="false" ht="12.75" hidden="false" customHeight="false" outlineLevel="0" collapsed="false">
      <c r="AJ72" s="15" t="n">
        <v>38991</v>
      </c>
      <c r="AK72" s="60" t="n">
        <f aca="false">'[8]Model Operations'!C126</f>
        <v>0.00182416831544794</v>
      </c>
      <c r="AL72" s="60" t="n">
        <f aca="false">'[8]Model Operations'!E126</f>
        <v>0.00585300631275629</v>
      </c>
      <c r="AM72" s="60" t="n">
        <f aca="false">'[8]Escalation sheet'!X84</f>
        <v>0.0495104916855585</v>
      </c>
    </row>
    <row r="73" customFormat="false" ht="12.75" hidden="false" customHeight="false" outlineLevel="0" collapsed="false">
      <c r="AJ73" s="15" t="n">
        <v>39022</v>
      </c>
      <c r="AK73" s="60" t="n">
        <f aca="false">'[8]Model Operations'!C127</f>
        <v>0.00182416831544794</v>
      </c>
      <c r="AL73" s="60" t="n">
        <f aca="false">'[8]Model Operations'!E127</f>
        <v>0.00585300631275629</v>
      </c>
      <c r="AM73" s="60" t="n">
        <f aca="false">'[8]Escalation sheet'!X85</f>
        <v>0.0495104916855585</v>
      </c>
    </row>
    <row r="74" customFormat="false" ht="13.5" hidden="false" customHeight="false" outlineLevel="0" collapsed="false">
      <c r="AJ74" s="74" t="n">
        <v>39052</v>
      </c>
      <c r="AK74" s="60" t="n">
        <f aca="false">'[8]Model Operations'!C128</f>
        <v>0.00182416831544794</v>
      </c>
      <c r="AL74" s="60" t="n">
        <f aca="false">'[8]Model Operations'!E128</f>
        <v>0.00585300631275629</v>
      </c>
      <c r="AM74" s="60" t="n">
        <f aca="false">'[8]Escalation sheet'!X86</f>
        <v>0.0495104916855585</v>
      </c>
    </row>
    <row r="75" customFormat="false" ht="12.75" hidden="false" customHeight="false" outlineLevel="0" collapsed="false">
      <c r="AI75" s="0" t="n">
        <f aca="false">AI63</f>
        <v>1.05</v>
      </c>
      <c r="AJ75" s="15" t="n">
        <v>39083</v>
      </c>
      <c r="AK75" s="60" t="n">
        <f aca="false">'[8]Model Operations'!C129</f>
        <v>0.00191537673122034</v>
      </c>
      <c r="AL75" s="60" t="n">
        <f aca="false">'[8]Model Operations'!E129</f>
        <v>0.0061456566283941</v>
      </c>
      <c r="AM75" s="60" t="n">
        <f aca="false">'[8]Escalation sheet'!X87</f>
        <v>0.0505007015192697</v>
      </c>
    </row>
    <row r="76" customFormat="false" ht="12.75" hidden="false" customHeight="false" outlineLevel="0" collapsed="false">
      <c r="AJ76" s="15" t="n">
        <v>39114</v>
      </c>
      <c r="AK76" s="60" t="n">
        <f aca="false">'[8]Model Operations'!C130</f>
        <v>0.00191537673122034</v>
      </c>
      <c r="AL76" s="60" t="n">
        <f aca="false">'[8]Model Operations'!E130</f>
        <v>0.0061456566283941</v>
      </c>
      <c r="AM76" s="60" t="n">
        <f aca="false">'[8]Escalation sheet'!X88</f>
        <v>0.0505007015192697</v>
      </c>
    </row>
    <row r="77" customFormat="false" ht="12.75" hidden="false" customHeight="false" outlineLevel="0" collapsed="false">
      <c r="AJ77" s="15" t="n">
        <v>39142</v>
      </c>
      <c r="AK77" s="60" t="n">
        <f aca="false">'[8]Model Operations'!C131</f>
        <v>0.00191537673122034</v>
      </c>
      <c r="AL77" s="60" t="n">
        <f aca="false">'[8]Model Operations'!E131</f>
        <v>0.0061456566283941</v>
      </c>
      <c r="AM77" s="60" t="n">
        <f aca="false">'[8]Escalation sheet'!X89</f>
        <v>0.0505007015192697</v>
      </c>
    </row>
    <row r="78" customFormat="false" ht="12.75" hidden="false" customHeight="false" outlineLevel="0" collapsed="false">
      <c r="AJ78" s="15" t="n">
        <v>39173</v>
      </c>
      <c r="AK78" s="60" t="n">
        <f aca="false">'[8]Model Operations'!C132</f>
        <v>0.00191537673122034</v>
      </c>
      <c r="AL78" s="60" t="n">
        <f aca="false">'[8]Model Operations'!E132</f>
        <v>0.0061456566283941</v>
      </c>
      <c r="AM78" s="60" t="n">
        <f aca="false">'[8]Escalation sheet'!X90</f>
        <v>0.0505007015192697</v>
      </c>
    </row>
    <row r="79" customFormat="false" ht="12.75" hidden="false" customHeight="false" outlineLevel="0" collapsed="false">
      <c r="AJ79" s="15" t="n">
        <v>39203</v>
      </c>
      <c r="AK79" s="60" t="n">
        <f aca="false">'[8]Model Operations'!C133</f>
        <v>0.00191537673122034</v>
      </c>
      <c r="AL79" s="60" t="n">
        <f aca="false">'[8]Model Operations'!E133</f>
        <v>0.0061456566283941</v>
      </c>
      <c r="AM79" s="60" t="n">
        <f aca="false">'[8]Escalation sheet'!X91</f>
        <v>0.0505007015192697</v>
      </c>
    </row>
    <row r="80" customFormat="false" ht="12.75" hidden="false" customHeight="false" outlineLevel="0" collapsed="false">
      <c r="AJ80" s="15" t="n">
        <v>39234</v>
      </c>
      <c r="AK80" s="60" t="n">
        <f aca="false">'[8]Model Operations'!C134</f>
        <v>0.00191537673122034</v>
      </c>
      <c r="AL80" s="60" t="n">
        <f aca="false">'[8]Model Operations'!E134</f>
        <v>0.0061456566283941</v>
      </c>
      <c r="AM80" s="60" t="n">
        <f aca="false">'[8]Escalation sheet'!X92</f>
        <v>0.0505007015192697</v>
      </c>
    </row>
    <row r="81" customFormat="false" ht="12.75" hidden="false" customHeight="false" outlineLevel="0" collapsed="false">
      <c r="AJ81" s="15" t="n">
        <v>39264</v>
      </c>
      <c r="AK81" s="60" t="n">
        <f aca="false">'[8]Model Operations'!C135</f>
        <v>0.00191537673122034</v>
      </c>
      <c r="AL81" s="60" t="n">
        <f aca="false">'[8]Model Operations'!E135</f>
        <v>0.0061456566283941</v>
      </c>
      <c r="AM81" s="60" t="n">
        <f aca="false">'[8]Escalation sheet'!X93</f>
        <v>0.0505007015192697</v>
      </c>
    </row>
    <row r="82" customFormat="false" ht="12.75" hidden="false" customHeight="false" outlineLevel="0" collapsed="false">
      <c r="AJ82" s="15" t="n">
        <v>39295</v>
      </c>
      <c r="AK82" s="60" t="n">
        <f aca="false">'[8]Model Operations'!C136</f>
        <v>0.00191537673122034</v>
      </c>
      <c r="AL82" s="60" t="n">
        <f aca="false">'[8]Model Operations'!E136</f>
        <v>0.0061456566283941</v>
      </c>
      <c r="AM82" s="60" t="n">
        <f aca="false">'[8]Escalation sheet'!X94</f>
        <v>0.0505007015192697</v>
      </c>
    </row>
    <row r="83" customFormat="false" ht="12.75" hidden="false" customHeight="false" outlineLevel="0" collapsed="false">
      <c r="AJ83" s="15" t="n">
        <v>39326</v>
      </c>
      <c r="AK83" s="60" t="n">
        <f aca="false">'[8]Model Operations'!C137</f>
        <v>0.00191537673122034</v>
      </c>
      <c r="AL83" s="60" t="n">
        <f aca="false">'[8]Model Operations'!E137</f>
        <v>0.0061456566283941</v>
      </c>
      <c r="AM83" s="60" t="n">
        <f aca="false">'[8]Escalation sheet'!X95</f>
        <v>0.0505007015192697</v>
      </c>
    </row>
    <row r="84" customFormat="false" ht="12.75" hidden="false" customHeight="false" outlineLevel="0" collapsed="false">
      <c r="AJ84" s="15" t="n">
        <v>39356</v>
      </c>
      <c r="AK84" s="60" t="n">
        <f aca="false">'[8]Model Operations'!C138</f>
        <v>0.00191537673122034</v>
      </c>
      <c r="AL84" s="60" t="n">
        <f aca="false">'[8]Model Operations'!E138</f>
        <v>0.0061456566283941</v>
      </c>
      <c r="AM84" s="60" t="n">
        <f aca="false">'[8]Escalation sheet'!X96</f>
        <v>0.0505007015192697</v>
      </c>
    </row>
    <row r="85" customFormat="false" ht="12.75" hidden="false" customHeight="false" outlineLevel="0" collapsed="false">
      <c r="AJ85" s="15" t="n">
        <v>39387</v>
      </c>
      <c r="AK85" s="60" t="n">
        <f aca="false">'[8]Model Operations'!C139</f>
        <v>0.00191537673122034</v>
      </c>
      <c r="AL85" s="60" t="n">
        <f aca="false">'[8]Model Operations'!E139</f>
        <v>0.0061456566283941</v>
      </c>
      <c r="AM85" s="60" t="n">
        <f aca="false">'[8]Escalation sheet'!X97</f>
        <v>0.0505007015192697</v>
      </c>
    </row>
    <row r="86" customFormat="false" ht="13.5" hidden="false" customHeight="false" outlineLevel="0" collapsed="false">
      <c r="AJ86" s="74" t="n">
        <v>39417</v>
      </c>
      <c r="AK86" s="60" t="n">
        <f aca="false">'[8]Model Operations'!C140</f>
        <v>0.00191537673122034</v>
      </c>
      <c r="AL86" s="60" t="n">
        <f aca="false">'[8]Model Operations'!E140</f>
        <v>0.0061456566283941</v>
      </c>
      <c r="AM86" s="60" t="n">
        <f aca="false">'[8]Escalation sheet'!X98</f>
        <v>0.0505007015192697</v>
      </c>
    </row>
    <row r="87" customFormat="false" ht="12.75" hidden="false" customHeight="false" outlineLevel="0" collapsed="false">
      <c r="AI87" s="0" t="n">
        <f aca="false">AI75</f>
        <v>1.05</v>
      </c>
      <c r="AJ87" s="15" t="n">
        <v>39448</v>
      </c>
      <c r="AK87" s="60" t="n">
        <f aca="false">'[8]Model Operations'!C141</f>
        <v>0.00201114556778136</v>
      </c>
      <c r="AL87" s="60" t="n">
        <f aca="false">'[8]Model Operations'!E141</f>
        <v>0.00645293945981381</v>
      </c>
      <c r="AM87" s="60" t="n">
        <f aca="false">'[8]Escalation sheet'!X99</f>
        <v>0.0515107155496551</v>
      </c>
    </row>
    <row r="88" customFormat="false" ht="12.75" hidden="false" customHeight="false" outlineLevel="0" collapsed="false">
      <c r="AJ88" s="15" t="n">
        <v>39479</v>
      </c>
      <c r="AK88" s="60" t="n">
        <f aca="false">'[8]Model Operations'!C142</f>
        <v>0.00201114556778136</v>
      </c>
      <c r="AL88" s="60" t="n">
        <f aca="false">'[8]Model Operations'!E142</f>
        <v>0.00645293945981381</v>
      </c>
      <c r="AM88" s="60" t="n">
        <f aca="false">'[8]Escalation sheet'!X100</f>
        <v>0.0515107155496551</v>
      </c>
    </row>
    <row r="89" customFormat="false" ht="12.75" hidden="false" customHeight="false" outlineLevel="0" collapsed="false">
      <c r="AJ89" s="15" t="n">
        <v>39508</v>
      </c>
      <c r="AK89" s="60" t="n">
        <f aca="false">'[8]Model Operations'!C143</f>
        <v>0.00201114556778136</v>
      </c>
      <c r="AL89" s="60" t="n">
        <f aca="false">'[8]Model Operations'!E143</f>
        <v>0.00645293945981381</v>
      </c>
      <c r="AM89" s="60" t="n">
        <f aca="false">'[8]Escalation sheet'!X101</f>
        <v>0.0515107155496551</v>
      </c>
    </row>
    <row r="90" customFormat="false" ht="12.75" hidden="false" customHeight="false" outlineLevel="0" collapsed="false">
      <c r="AJ90" s="15" t="n">
        <v>39539</v>
      </c>
      <c r="AK90" s="60" t="n">
        <f aca="false">'[8]Model Operations'!C144</f>
        <v>0.00201114556778136</v>
      </c>
      <c r="AL90" s="60" t="n">
        <f aca="false">'[8]Model Operations'!E144</f>
        <v>0.00645293945981381</v>
      </c>
      <c r="AM90" s="60" t="n">
        <f aca="false">'[8]Escalation sheet'!X102</f>
        <v>0.0515107155496551</v>
      </c>
    </row>
    <row r="91" customFormat="false" ht="12.75" hidden="false" customHeight="false" outlineLevel="0" collapsed="false">
      <c r="AJ91" s="15" t="n">
        <v>39569</v>
      </c>
      <c r="AK91" s="60" t="n">
        <f aca="false">'[8]Model Operations'!C145</f>
        <v>0.00201114556778136</v>
      </c>
      <c r="AL91" s="60" t="n">
        <f aca="false">'[8]Model Operations'!E145</f>
        <v>0.00645293945981381</v>
      </c>
      <c r="AM91" s="60" t="n">
        <f aca="false">'[8]Escalation sheet'!X103</f>
        <v>0.0515107155496551</v>
      </c>
    </row>
    <row r="92" customFormat="false" ht="12.75" hidden="false" customHeight="false" outlineLevel="0" collapsed="false">
      <c r="AJ92" s="15" t="n">
        <v>39600</v>
      </c>
      <c r="AK92" s="60" t="n">
        <f aca="false">'[8]Model Operations'!C146</f>
        <v>0.00201114556778136</v>
      </c>
      <c r="AL92" s="60" t="n">
        <f aca="false">'[8]Model Operations'!E146</f>
        <v>0.00645293945981381</v>
      </c>
      <c r="AM92" s="60" t="n">
        <f aca="false">'[8]Escalation sheet'!X104</f>
        <v>0.0515107155496551</v>
      </c>
    </row>
    <row r="93" customFormat="false" ht="12.75" hidden="false" customHeight="false" outlineLevel="0" collapsed="false">
      <c r="AJ93" s="15" t="n">
        <v>39630</v>
      </c>
      <c r="AK93" s="60" t="n">
        <f aca="false">'[8]Model Operations'!C147</f>
        <v>0.00201114556778136</v>
      </c>
      <c r="AL93" s="60" t="n">
        <f aca="false">'[8]Model Operations'!E147</f>
        <v>0.00645293945981381</v>
      </c>
      <c r="AM93" s="60" t="n">
        <f aca="false">'[8]Escalation sheet'!X105</f>
        <v>0.0515107155496551</v>
      </c>
    </row>
    <row r="94" customFormat="false" ht="12.75" hidden="false" customHeight="false" outlineLevel="0" collapsed="false">
      <c r="AJ94" s="15" t="n">
        <v>39661</v>
      </c>
      <c r="AK94" s="60" t="n">
        <f aca="false">'[8]Model Operations'!C148</f>
        <v>0.00201114556778136</v>
      </c>
      <c r="AL94" s="60" t="n">
        <f aca="false">'[8]Model Operations'!E148</f>
        <v>0.00645293945981381</v>
      </c>
      <c r="AM94" s="60" t="n">
        <f aca="false">'[8]Escalation sheet'!X106</f>
        <v>0.0515107155496551</v>
      </c>
    </row>
    <row r="95" customFormat="false" ht="12.75" hidden="false" customHeight="false" outlineLevel="0" collapsed="false">
      <c r="AJ95" s="15" t="n">
        <v>39692</v>
      </c>
      <c r="AK95" s="60" t="n">
        <f aca="false">'[8]Model Operations'!C149</f>
        <v>0.00201114556778136</v>
      </c>
      <c r="AL95" s="60" t="n">
        <f aca="false">'[8]Model Operations'!E149</f>
        <v>0.00645293945981381</v>
      </c>
      <c r="AM95" s="60" t="n">
        <f aca="false">'[8]Escalation sheet'!X107</f>
        <v>0.0515107155496551</v>
      </c>
    </row>
    <row r="96" customFormat="false" ht="12.75" hidden="false" customHeight="false" outlineLevel="0" collapsed="false">
      <c r="AJ96" s="15" t="n">
        <v>39722</v>
      </c>
      <c r="AK96" s="60" t="n">
        <f aca="false">'[8]Model Operations'!C150</f>
        <v>0.00201114556778136</v>
      </c>
      <c r="AL96" s="60" t="n">
        <f aca="false">'[8]Model Operations'!E150</f>
        <v>0.00645293945981381</v>
      </c>
      <c r="AM96" s="60" t="n">
        <f aca="false">'[8]Escalation sheet'!X108</f>
        <v>0.0515107155496551</v>
      </c>
    </row>
    <row r="97" customFormat="false" ht="12.75" hidden="false" customHeight="false" outlineLevel="0" collapsed="false">
      <c r="AJ97" s="15" t="n">
        <v>39753</v>
      </c>
      <c r="AK97" s="60" t="n">
        <f aca="false">'[8]Model Operations'!C151</f>
        <v>0.00201114556778136</v>
      </c>
      <c r="AL97" s="60" t="n">
        <f aca="false">'[8]Model Operations'!E151</f>
        <v>0.00645293945981381</v>
      </c>
      <c r="AM97" s="60" t="n">
        <f aca="false">'[8]Escalation sheet'!X109</f>
        <v>0.0515107155496551</v>
      </c>
    </row>
    <row r="98" customFormat="false" ht="13.5" hidden="false" customHeight="false" outlineLevel="0" collapsed="false">
      <c r="AJ98" s="74" t="n">
        <v>39783</v>
      </c>
      <c r="AK98" s="60" t="n">
        <f aca="false">'[8]Model Operations'!C152</f>
        <v>0.00201114556778136</v>
      </c>
      <c r="AL98" s="60" t="n">
        <f aca="false">'[8]Model Operations'!E152</f>
        <v>0.00645293945981381</v>
      </c>
      <c r="AM98" s="60" t="n">
        <f aca="false">'[8]Escalation sheet'!X110</f>
        <v>0.0515107155496551</v>
      </c>
    </row>
    <row r="99" customFormat="false" ht="12.75" hidden="false" customHeight="false" outlineLevel="0" collapsed="false">
      <c r="AI99" s="0" t="n">
        <f aca="false">AI87</f>
        <v>1.05</v>
      </c>
      <c r="AJ99" s="15" t="n">
        <v>39814</v>
      </c>
      <c r="AK99" s="60" t="n">
        <f aca="false">'[8]Model Operations'!C153</f>
        <v>0.00211170284617043</v>
      </c>
      <c r="AL99" s="60" t="n">
        <f aca="false">'[8]Model Operations'!E153</f>
        <v>0.0067755864328045</v>
      </c>
      <c r="AM99" s="60" t="n">
        <f aca="false">'[8]Escalation sheet'!X111</f>
        <v>0.0525409298606482</v>
      </c>
    </row>
    <row r="100" customFormat="false" ht="12.75" hidden="false" customHeight="false" outlineLevel="0" collapsed="false">
      <c r="AJ100" s="15" t="n">
        <v>39845</v>
      </c>
      <c r="AK100" s="60" t="n">
        <f aca="false">'[8]Model Operations'!C154</f>
        <v>0.00211170284617043</v>
      </c>
      <c r="AL100" s="60" t="n">
        <f aca="false">'[8]Model Operations'!E154</f>
        <v>0.0067755864328045</v>
      </c>
      <c r="AM100" s="60" t="n">
        <f aca="false">'[8]Escalation sheet'!X112</f>
        <v>0.0525409298606482</v>
      </c>
    </row>
    <row r="101" customFormat="false" ht="12.75" hidden="false" customHeight="false" outlineLevel="0" collapsed="false">
      <c r="AJ101" s="15" t="n">
        <v>39873</v>
      </c>
      <c r="AK101" s="60" t="n">
        <f aca="false">'[8]Model Operations'!C155</f>
        <v>0.00211170284617043</v>
      </c>
      <c r="AL101" s="60" t="n">
        <f aca="false">'[8]Model Operations'!E155</f>
        <v>0.0067755864328045</v>
      </c>
      <c r="AM101" s="60" t="n">
        <f aca="false">'[8]Escalation sheet'!X113</f>
        <v>0.0525409298606482</v>
      </c>
    </row>
    <row r="102" customFormat="false" ht="12.75" hidden="false" customHeight="false" outlineLevel="0" collapsed="false">
      <c r="AJ102" s="15" t="n">
        <v>39904</v>
      </c>
      <c r="AK102" s="60" t="n">
        <f aca="false">'[8]Model Operations'!C156</f>
        <v>0.00211170284617043</v>
      </c>
      <c r="AL102" s="60" t="n">
        <f aca="false">'[8]Model Operations'!E156</f>
        <v>0.0067755864328045</v>
      </c>
      <c r="AM102" s="60" t="n">
        <f aca="false">'[8]Escalation sheet'!X114</f>
        <v>0.0525409298606482</v>
      </c>
    </row>
    <row r="103" customFormat="false" ht="12.75" hidden="false" customHeight="false" outlineLevel="0" collapsed="false">
      <c r="AJ103" s="15" t="n">
        <v>39934</v>
      </c>
      <c r="AK103" s="60" t="n">
        <f aca="false">'[8]Model Operations'!C157</f>
        <v>0.00211170284617043</v>
      </c>
      <c r="AL103" s="60" t="n">
        <f aca="false">'[8]Model Operations'!E157</f>
        <v>0.0067755864328045</v>
      </c>
      <c r="AM103" s="60" t="n">
        <f aca="false">'[8]Escalation sheet'!X115</f>
        <v>0.0525409298606482</v>
      </c>
    </row>
    <row r="104" customFormat="false" ht="12.75" hidden="false" customHeight="false" outlineLevel="0" collapsed="false">
      <c r="AJ104" s="15" t="n">
        <v>39965</v>
      </c>
      <c r="AK104" s="60" t="n">
        <f aca="false">'[8]Model Operations'!C158</f>
        <v>0.00211170284617043</v>
      </c>
      <c r="AL104" s="60" t="n">
        <f aca="false">'[8]Model Operations'!E158</f>
        <v>0.0067755864328045</v>
      </c>
      <c r="AM104" s="60" t="n">
        <f aca="false">'[8]Escalation sheet'!X116</f>
        <v>0.0525409298606482</v>
      </c>
    </row>
    <row r="105" customFormat="false" ht="12.75" hidden="false" customHeight="false" outlineLevel="0" collapsed="false">
      <c r="AJ105" s="15" t="n">
        <v>39995</v>
      </c>
      <c r="AK105" s="60" t="n">
        <f aca="false">'[8]Model Operations'!C159</f>
        <v>0.00211170284617043</v>
      </c>
      <c r="AL105" s="60" t="n">
        <f aca="false">'[8]Model Operations'!E159</f>
        <v>0.0067755864328045</v>
      </c>
      <c r="AM105" s="60" t="n">
        <f aca="false">'[8]Escalation sheet'!X117</f>
        <v>0.0525409298606482</v>
      </c>
    </row>
    <row r="106" customFormat="false" ht="12.75" hidden="false" customHeight="false" outlineLevel="0" collapsed="false">
      <c r="AJ106" s="15" t="n">
        <v>40026</v>
      </c>
      <c r="AK106" s="60" t="n">
        <f aca="false">'[8]Model Operations'!C160</f>
        <v>0.00211170284617043</v>
      </c>
      <c r="AL106" s="60" t="n">
        <f aca="false">'[8]Model Operations'!E160</f>
        <v>0.0067755864328045</v>
      </c>
      <c r="AM106" s="60" t="n">
        <f aca="false">'[8]Escalation sheet'!X118</f>
        <v>0.0525409298606482</v>
      </c>
    </row>
    <row r="107" customFormat="false" ht="12.75" hidden="false" customHeight="false" outlineLevel="0" collapsed="false">
      <c r="AJ107" s="15" t="n">
        <v>40057</v>
      </c>
      <c r="AK107" s="60" t="n">
        <f aca="false">'[8]Model Operations'!C161</f>
        <v>0.00211170284617043</v>
      </c>
      <c r="AL107" s="60" t="n">
        <f aca="false">'[8]Model Operations'!E161</f>
        <v>0.0067755864328045</v>
      </c>
      <c r="AM107" s="60" t="n">
        <f aca="false">'[8]Escalation sheet'!X119</f>
        <v>0.0525409298606482</v>
      </c>
    </row>
    <row r="108" customFormat="false" ht="12.75" hidden="false" customHeight="false" outlineLevel="0" collapsed="false">
      <c r="AJ108" s="15" t="n">
        <v>40087</v>
      </c>
      <c r="AK108" s="60" t="n">
        <f aca="false">'[8]Model Operations'!C162</f>
        <v>0.00211170284617043</v>
      </c>
      <c r="AL108" s="60" t="n">
        <f aca="false">'[8]Model Operations'!E162</f>
        <v>0.0067755864328045</v>
      </c>
      <c r="AM108" s="60" t="n">
        <f aca="false">'[8]Escalation sheet'!X120</f>
        <v>0.0525409298606482</v>
      </c>
    </row>
    <row r="109" customFormat="false" ht="12.75" hidden="false" customHeight="false" outlineLevel="0" collapsed="false">
      <c r="AJ109" s="15" t="n">
        <v>40118</v>
      </c>
      <c r="AK109" s="60" t="n">
        <f aca="false">'[8]Model Operations'!C163</f>
        <v>0.00211170284617043</v>
      </c>
      <c r="AL109" s="60" t="n">
        <f aca="false">'[8]Model Operations'!E163</f>
        <v>0.0067755864328045</v>
      </c>
      <c r="AM109" s="60" t="n">
        <f aca="false">'[8]Escalation sheet'!X121</f>
        <v>0.0525409298606482</v>
      </c>
    </row>
    <row r="110" customFormat="false" ht="13.5" hidden="false" customHeight="false" outlineLevel="0" collapsed="false">
      <c r="AJ110" s="74" t="n">
        <v>40148</v>
      </c>
      <c r="AK110" s="60" t="n">
        <f aca="false">'[8]Model Operations'!C164</f>
        <v>0.00211170284617043</v>
      </c>
      <c r="AL110" s="60" t="n">
        <f aca="false">'[8]Model Operations'!E164</f>
        <v>0.0067755864328045</v>
      </c>
      <c r="AM110" s="60" t="n">
        <f aca="false">'[8]Escalation sheet'!X122</f>
        <v>0.0525409298606482</v>
      </c>
    </row>
    <row r="111" customFormat="false" ht="12.75" hidden="false" customHeight="false" outlineLevel="0" collapsed="false">
      <c r="AI111" s="0" t="n">
        <f aca="false">AI99</f>
        <v>1.05</v>
      </c>
      <c r="AJ111" s="15" t="n">
        <v>40179</v>
      </c>
      <c r="AK111" s="60" t="n">
        <f aca="false">'[8]Model Operations'!C165</f>
        <v>0.00221728798847895</v>
      </c>
      <c r="AL111" s="60" t="n">
        <f aca="false">'[8]Model Operations'!E165</f>
        <v>0.00711436575444473</v>
      </c>
      <c r="AM111" s="60" t="n">
        <f aca="false">'[8]Escalation sheet'!X123</f>
        <v>0.0535917484578611</v>
      </c>
    </row>
    <row r="112" customFormat="false" ht="12.75" hidden="false" customHeight="false" outlineLevel="0" collapsed="false">
      <c r="AJ112" s="15" t="n">
        <v>40210</v>
      </c>
      <c r="AK112" s="60" t="n">
        <f aca="false">'[8]Model Operations'!C166</f>
        <v>0.00221728798847895</v>
      </c>
      <c r="AL112" s="60" t="n">
        <f aca="false">'[8]Model Operations'!E166</f>
        <v>0.00711436575444473</v>
      </c>
      <c r="AM112" s="60" t="n">
        <f aca="false">'[8]Escalation sheet'!X124</f>
        <v>0.0535917484578611</v>
      </c>
    </row>
    <row r="113" customFormat="false" ht="12.75" hidden="false" customHeight="false" outlineLevel="0" collapsed="false">
      <c r="AJ113" s="15" t="n">
        <v>40238</v>
      </c>
      <c r="AK113" s="60" t="n">
        <f aca="false">'[8]Model Operations'!C167</f>
        <v>0.00221728798847895</v>
      </c>
      <c r="AL113" s="60" t="n">
        <f aca="false">'[8]Model Operations'!E167</f>
        <v>0.00711436575444473</v>
      </c>
      <c r="AM113" s="60" t="n">
        <f aca="false">'[8]Escalation sheet'!X125</f>
        <v>0.0535917484578611</v>
      </c>
    </row>
    <row r="114" customFormat="false" ht="12.75" hidden="false" customHeight="false" outlineLevel="0" collapsed="false">
      <c r="AJ114" s="15" t="n">
        <v>40269</v>
      </c>
      <c r="AK114" s="60" t="n">
        <f aca="false">'[8]Model Operations'!C168</f>
        <v>0.00221728798847895</v>
      </c>
      <c r="AL114" s="60" t="n">
        <f aca="false">'[8]Model Operations'!E168</f>
        <v>0.00711436575444473</v>
      </c>
      <c r="AM114" s="60" t="n">
        <f aca="false">'[8]Escalation sheet'!X126</f>
        <v>0.0535917484578611</v>
      </c>
    </row>
    <row r="115" customFormat="false" ht="12.75" hidden="false" customHeight="false" outlineLevel="0" collapsed="false">
      <c r="AJ115" s="15" t="n">
        <v>40299</v>
      </c>
      <c r="AK115" s="60" t="n">
        <f aca="false">'[8]Model Operations'!C169</f>
        <v>0.00221728798847895</v>
      </c>
      <c r="AL115" s="60" t="n">
        <f aca="false">'[8]Model Operations'!E169</f>
        <v>0.00711436575444473</v>
      </c>
      <c r="AM115" s="60" t="n">
        <f aca="false">'[8]Escalation sheet'!X127</f>
        <v>0.0535917484578611</v>
      </c>
    </row>
    <row r="116" customFormat="false" ht="12.75" hidden="false" customHeight="false" outlineLevel="0" collapsed="false">
      <c r="AJ116" s="15" t="n">
        <v>40330</v>
      </c>
      <c r="AK116" s="60" t="n">
        <f aca="false">'[8]Model Operations'!C170</f>
        <v>0.00221728798847895</v>
      </c>
      <c r="AL116" s="60" t="n">
        <f aca="false">'[8]Model Operations'!E170</f>
        <v>0.00711436575444473</v>
      </c>
      <c r="AM116" s="60" t="n">
        <f aca="false">'[8]Escalation sheet'!X128</f>
        <v>0.0535917484578611</v>
      </c>
    </row>
    <row r="117" customFormat="false" ht="12.75" hidden="false" customHeight="false" outlineLevel="0" collapsed="false">
      <c r="AJ117" s="15" t="n">
        <v>40360</v>
      </c>
      <c r="AK117" s="60" t="n">
        <f aca="false">'[8]Model Operations'!C171</f>
        <v>0.00221728798847895</v>
      </c>
      <c r="AL117" s="60" t="n">
        <f aca="false">'[8]Model Operations'!E171</f>
        <v>0.00711436575444473</v>
      </c>
      <c r="AM117" s="60" t="n">
        <f aca="false">'[8]Escalation sheet'!X129</f>
        <v>0.0535917484578611</v>
      </c>
    </row>
    <row r="118" customFormat="false" ht="12.75" hidden="false" customHeight="false" outlineLevel="0" collapsed="false">
      <c r="AJ118" s="15" t="n">
        <v>40391</v>
      </c>
      <c r="AK118" s="60" t="n">
        <f aca="false">'[8]Model Operations'!C172</f>
        <v>0.00221728798847895</v>
      </c>
      <c r="AL118" s="60" t="n">
        <f aca="false">'[8]Model Operations'!E172</f>
        <v>0.00711436575444473</v>
      </c>
      <c r="AM118" s="60" t="n">
        <f aca="false">'[8]Escalation sheet'!X130</f>
        <v>0.0535917484578611</v>
      </c>
    </row>
    <row r="119" customFormat="false" ht="12.75" hidden="false" customHeight="false" outlineLevel="0" collapsed="false">
      <c r="AJ119" s="15" t="n">
        <v>40422</v>
      </c>
      <c r="AK119" s="60" t="n">
        <f aca="false">'[8]Model Operations'!C173</f>
        <v>0.00221728798847895</v>
      </c>
      <c r="AL119" s="60" t="n">
        <f aca="false">'[8]Model Operations'!E173</f>
        <v>0.00711436575444473</v>
      </c>
      <c r="AM119" s="60" t="n">
        <f aca="false">'[8]Escalation sheet'!X131</f>
        <v>0.0535917484578611</v>
      </c>
    </row>
    <row r="120" customFormat="false" ht="12.75" hidden="false" customHeight="false" outlineLevel="0" collapsed="false">
      <c r="AJ120" s="15" t="n">
        <v>40452</v>
      </c>
      <c r="AK120" s="60" t="n">
        <f aca="false">'[8]Model Operations'!C174</f>
        <v>0.00221728798847895</v>
      </c>
      <c r="AL120" s="60" t="n">
        <f aca="false">'[8]Model Operations'!E174</f>
        <v>0.00711436575444473</v>
      </c>
      <c r="AM120" s="60" t="n">
        <f aca="false">'[8]Escalation sheet'!X132</f>
        <v>0.0535917484578611</v>
      </c>
    </row>
    <row r="121" customFormat="false" ht="12.75" hidden="false" customHeight="false" outlineLevel="0" collapsed="false">
      <c r="AJ121" s="15" t="n">
        <v>40483</v>
      </c>
      <c r="AK121" s="60" t="n">
        <f aca="false">'[8]Model Operations'!C175</f>
        <v>0.00221728798847895</v>
      </c>
      <c r="AL121" s="60" t="n">
        <f aca="false">'[8]Model Operations'!E175</f>
        <v>0.00711436575444473</v>
      </c>
      <c r="AM121" s="60" t="n">
        <f aca="false">'[8]Escalation sheet'!X133</f>
        <v>0.0535917484578611</v>
      </c>
    </row>
    <row r="122" customFormat="false" ht="13.5" hidden="false" customHeight="false" outlineLevel="0" collapsed="false">
      <c r="AJ122" s="74" t="n">
        <v>40513</v>
      </c>
      <c r="AK122" s="60" t="n">
        <f aca="false">'[8]Model Operations'!C176</f>
        <v>0.00221728798847895</v>
      </c>
      <c r="AL122" s="60" t="n">
        <f aca="false">'[8]Model Operations'!E176</f>
        <v>0.00711436575444473</v>
      </c>
      <c r="AM122" s="60" t="n">
        <f aca="false">'[8]Escalation sheet'!X134</f>
        <v>0.0535917484578611</v>
      </c>
    </row>
    <row r="123" customFormat="false" ht="12.75" hidden="false" customHeight="false" outlineLevel="0" collapsed="false">
      <c r="AI123" s="0" t="n">
        <f aca="false">AI111</f>
        <v>1.05</v>
      </c>
      <c r="AJ123" s="15" t="n">
        <v>40544</v>
      </c>
      <c r="AK123" s="60" t="n">
        <f aca="false">'[8]Model Operations'!C177</f>
        <v>0.0023281523879029</v>
      </c>
      <c r="AL123" s="60" t="n">
        <f aca="false">'[8]Model Operations'!E177</f>
        <v>0.00747008404216696</v>
      </c>
      <c r="AM123" s="60" t="n">
        <f aca="false">'[8]Escalation sheet'!X135</f>
        <v>0.0546635834270183</v>
      </c>
    </row>
    <row r="124" customFormat="false" ht="12.75" hidden="false" customHeight="false" outlineLevel="0" collapsed="false">
      <c r="AJ124" s="15" t="n">
        <v>40575</v>
      </c>
      <c r="AK124" s="60" t="n">
        <f aca="false">'[8]Model Operations'!C178</f>
        <v>0.0023281523879029</v>
      </c>
      <c r="AL124" s="60" t="n">
        <f aca="false">'[8]Model Operations'!E178</f>
        <v>0.00747008404216696</v>
      </c>
      <c r="AM124" s="60" t="n">
        <f aca="false">'[8]Escalation sheet'!X136</f>
        <v>0.0546635834270183</v>
      </c>
    </row>
    <row r="125" customFormat="false" ht="12.75" hidden="false" customHeight="false" outlineLevel="0" collapsed="false">
      <c r="AJ125" s="15" t="n">
        <v>40603</v>
      </c>
      <c r="AK125" s="60" t="n">
        <f aca="false">'[8]Model Operations'!C179</f>
        <v>0.0023281523879029</v>
      </c>
      <c r="AL125" s="60" t="n">
        <f aca="false">'[8]Model Operations'!E179</f>
        <v>0.00747008404216696</v>
      </c>
      <c r="AM125" s="60" t="n">
        <f aca="false">'[8]Escalation sheet'!X137</f>
        <v>0.0546635834270183</v>
      </c>
    </row>
    <row r="126" customFormat="false" ht="12.75" hidden="false" customHeight="false" outlineLevel="0" collapsed="false">
      <c r="AJ126" s="15" t="n">
        <v>40634</v>
      </c>
      <c r="AK126" s="60" t="n">
        <f aca="false">'[8]Model Operations'!C180</f>
        <v>0.0023281523879029</v>
      </c>
      <c r="AL126" s="60" t="n">
        <f aca="false">'[8]Model Operations'!E180</f>
        <v>0.00747008404216696</v>
      </c>
      <c r="AM126" s="60" t="n">
        <f aca="false">'[8]Escalation sheet'!X138</f>
        <v>0.0546635834270183</v>
      </c>
    </row>
    <row r="127" customFormat="false" ht="12.75" hidden="false" customHeight="false" outlineLevel="0" collapsed="false">
      <c r="AJ127" s="15" t="n">
        <v>40664</v>
      </c>
      <c r="AK127" s="60" t="n">
        <f aca="false">'[8]Model Operations'!C181</f>
        <v>0.0023281523879029</v>
      </c>
      <c r="AL127" s="60" t="n">
        <f aca="false">'[8]Model Operations'!E181</f>
        <v>0.00747008404216696</v>
      </c>
      <c r="AM127" s="60" t="n">
        <f aca="false">'[8]Escalation sheet'!X139</f>
        <v>0.0546635834270183</v>
      </c>
    </row>
    <row r="128" customFormat="false" ht="12.75" hidden="false" customHeight="false" outlineLevel="0" collapsed="false">
      <c r="AJ128" s="15" t="n">
        <v>40695</v>
      </c>
      <c r="AK128" s="60" t="n">
        <f aca="false">'[8]Model Operations'!C182</f>
        <v>0.0023281523879029</v>
      </c>
      <c r="AL128" s="60" t="n">
        <f aca="false">'[8]Model Operations'!E182</f>
        <v>0.00747008404216696</v>
      </c>
      <c r="AM128" s="60" t="n">
        <f aca="false">'[8]Escalation sheet'!X140</f>
        <v>0.0546635834270183</v>
      </c>
    </row>
    <row r="129" customFormat="false" ht="12.75" hidden="false" customHeight="false" outlineLevel="0" collapsed="false">
      <c r="AJ129" s="15" t="n">
        <v>40725</v>
      </c>
      <c r="AK129" s="60" t="n">
        <f aca="false">'[8]Model Operations'!C183</f>
        <v>0.0023281523879029</v>
      </c>
      <c r="AL129" s="60" t="n">
        <f aca="false">'[8]Model Operations'!E183</f>
        <v>0.00747008404216696</v>
      </c>
      <c r="AM129" s="60" t="n">
        <f aca="false">'[8]Escalation sheet'!X141</f>
        <v>0.0546635834270183</v>
      </c>
    </row>
    <row r="130" customFormat="false" ht="12.75" hidden="false" customHeight="false" outlineLevel="0" collapsed="false">
      <c r="AJ130" s="15" t="n">
        <v>40756</v>
      </c>
      <c r="AK130" s="60" t="n">
        <f aca="false">'[8]Model Operations'!C184</f>
        <v>0.0023281523879029</v>
      </c>
      <c r="AL130" s="60" t="n">
        <f aca="false">'[8]Model Operations'!E184</f>
        <v>0.00747008404216696</v>
      </c>
      <c r="AM130" s="60" t="n">
        <f aca="false">'[8]Escalation sheet'!X142</f>
        <v>0.0546635834270183</v>
      </c>
    </row>
    <row r="131" customFormat="false" ht="12.75" hidden="false" customHeight="false" outlineLevel="0" collapsed="false">
      <c r="AJ131" s="15" t="n">
        <v>40787</v>
      </c>
      <c r="AK131" s="60" t="n">
        <f aca="false">'[8]Model Operations'!C185</f>
        <v>0.0023281523879029</v>
      </c>
      <c r="AL131" s="60" t="n">
        <f aca="false">'[8]Model Operations'!E185</f>
        <v>0.00747008404216696</v>
      </c>
      <c r="AM131" s="60" t="n">
        <f aca="false">'[8]Escalation sheet'!X143</f>
        <v>0.0546635834270183</v>
      </c>
    </row>
    <row r="132" customFormat="false" ht="12.75" hidden="false" customHeight="false" outlineLevel="0" collapsed="false">
      <c r="AJ132" s="15" t="n">
        <v>40817</v>
      </c>
      <c r="AK132" s="60" t="n">
        <f aca="false">'[8]Model Operations'!C186</f>
        <v>0.0023281523879029</v>
      </c>
      <c r="AL132" s="60" t="n">
        <f aca="false">'[8]Model Operations'!E186</f>
        <v>0.00747008404216696</v>
      </c>
      <c r="AM132" s="60" t="n">
        <f aca="false">'[8]Escalation sheet'!X144</f>
        <v>0.0546635834270183</v>
      </c>
    </row>
    <row r="133" customFormat="false" ht="12.75" hidden="false" customHeight="false" outlineLevel="0" collapsed="false">
      <c r="AJ133" s="15" t="n">
        <v>40848</v>
      </c>
      <c r="AK133" s="60" t="n">
        <f aca="false">'[8]Model Operations'!C187</f>
        <v>0.0023281523879029</v>
      </c>
      <c r="AL133" s="60" t="n">
        <f aca="false">'[8]Model Operations'!E187</f>
        <v>0.00747008404216696</v>
      </c>
      <c r="AM133" s="60" t="n">
        <f aca="false">'[8]Escalation sheet'!X145</f>
        <v>0.0546635834270183</v>
      </c>
    </row>
    <row r="134" customFormat="false" ht="13.5" hidden="false" customHeight="false" outlineLevel="0" collapsed="false">
      <c r="AJ134" s="74" t="n">
        <v>40878</v>
      </c>
      <c r="AK134" s="60" t="n">
        <f aca="false">'[8]Model Operations'!C188</f>
        <v>0.0023281523879029</v>
      </c>
      <c r="AL134" s="60" t="n">
        <f aca="false">'[8]Model Operations'!E188</f>
        <v>0.00747008404216696</v>
      </c>
      <c r="AM134" s="60" t="n">
        <f aca="false">'[8]Escalation sheet'!X146</f>
        <v>0.0546635834270183</v>
      </c>
    </row>
    <row r="135" customFormat="false" ht="12.75" hidden="false" customHeight="false" outlineLevel="0" collapsed="false">
      <c r="AI135" s="0" t="n">
        <f aca="false">AI123</f>
        <v>1.05</v>
      </c>
      <c r="AJ135" s="15" t="n">
        <v>40909</v>
      </c>
      <c r="AK135" s="60" t="n">
        <f aca="false">'[8]Model Operations'!C189</f>
        <v>0.00244456000729804</v>
      </c>
      <c r="AL135" s="60" t="n">
        <f aca="false">'[8]Model Operations'!E189</f>
        <v>0.00784358824427531</v>
      </c>
      <c r="AM135" s="60" t="n">
        <f aca="false">'[8]Escalation sheet'!X147</f>
        <v>0.0557568550955587</v>
      </c>
    </row>
    <row r="136" customFormat="false" ht="12.75" hidden="false" customHeight="false" outlineLevel="0" collapsed="false">
      <c r="AJ136" s="15" t="n">
        <v>40940</v>
      </c>
      <c r="AK136" s="60" t="n">
        <f aca="false">'[8]Model Operations'!C190</f>
        <v>0.00244456000729804</v>
      </c>
      <c r="AL136" s="60" t="n">
        <f aca="false">'[8]Model Operations'!E190</f>
        <v>0.00784358824427531</v>
      </c>
      <c r="AM136" s="60" t="n">
        <f aca="false">'[8]Escalation sheet'!X148</f>
        <v>0.0557568550955587</v>
      </c>
    </row>
    <row r="137" customFormat="false" ht="12.75" hidden="false" customHeight="false" outlineLevel="0" collapsed="false">
      <c r="AJ137" s="15" t="n">
        <v>40969</v>
      </c>
      <c r="AK137" s="60" t="n">
        <f aca="false">'[8]Model Operations'!C191</f>
        <v>0.00244456000729804</v>
      </c>
      <c r="AL137" s="60" t="n">
        <f aca="false">'[8]Model Operations'!E191</f>
        <v>0.00784358824427531</v>
      </c>
      <c r="AM137" s="60" t="n">
        <f aca="false">'[8]Escalation sheet'!X149</f>
        <v>0.0557568550955587</v>
      </c>
    </row>
    <row r="138" customFormat="false" ht="12.75" hidden="false" customHeight="false" outlineLevel="0" collapsed="false">
      <c r="AJ138" s="15" t="n">
        <v>41000</v>
      </c>
      <c r="AK138" s="60" t="n">
        <f aca="false">'[8]Model Operations'!C192</f>
        <v>0.00244456000729804</v>
      </c>
      <c r="AL138" s="60" t="n">
        <f aca="false">'[8]Model Operations'!E192</f>
        <v>0.00784358824427531</v>
      </c>
      <c r="AM138" s="60" t="n">
        <f aca="false">'[8]Escalation sheet'!X150</f>
        <v>0.0557568550955587</v>
      </c>
    </row>
    <row r="139" customFormat="false" ht="12.75" hidden="false" customHeight="false" outlineLevel="0" collapsed="false">
      <c r="AJ139" s="15" t="n">
        <v>41030</v>
      </c>
      <c r="AK139" s="60" t="n">
        <f aca="false">'[8]Model Operations'!C193</f>
        <v>0.00244456000729804</v>
      </c>
      <c r="AL139" s="60" t="n">
        <f aca="false">'[8]Model Operations'!E193</f>
        <v>0.00784358824427531</v>
      </c>
      <c r="AM139" s="60" t="n">
        <f aca="false">'[8]Escalation sheet'!X151</f>
        <v>0.0557568550955587</v>
      </c>
    </row>
    <row r="140" customFormat="false" ht="12.75" hidden="false" customHeight="false" outlineLevel="0" collapsed="false">
      <c r="AJ140" s="15" t="n">
        <v>41061</v>
      </c>
      <c r="AK140" s="60" t="n">
        <f aca="false">'[8]Model Operations'!C194</f>
        <v>0.00244456000729804</v>
      </c>
      <c r="AL140" s="60" t="n">
        <f aca="false">'[8]Model Operations'!E194</f>
        <v>0.00784358824427531</v>
      </c>
      <c r="AM140" s="60" t="n">
        <f aca="false">'[8]Escalation sheet'!X152</f>
        <v>0.0557568550955587</v>
      </c>
    </row>
    <row r="141" customFormat="false" ht="12.75" hidden="false" customHeight="false" outlineLevel="0" collapsed="false">
      <c r="AJ141" s="15" t="n">
        <v>41091</v>
      </c>
      <c r="AK141" s="60" t="n">
        <f aca="false">'[8]Model Operations'!C195</f>
        <v>0.00244456000729804</v>
      </c>
      <c r="AL141" s="60" t="n">
        <f aca="false">'[8]Model Operations'!E195</f>
        <v>0.00784358824427531</v>
      </c>
      <c r="AM141" s="60" t="n">
        <f aca="false">'[8]Escalation sheet'!X153</f>
        <v>0.0557568550955587</v>
      </c>
    </row>
    <row r="142" customFormat="false" ht="12.75" hidden="false" customHeight="false" outlineLevel="0" collapsed="false">
      <c r="AJ142" s="15" t="n">
        <v>41122</v>
      </c>
      <c r="AK142" s="60" t="n">
        <f aca="false">'[8]Model Operations'!C196</f>
        <v>0.00244456000729804</v>
      </c>
      <c r="AL142" s="60" t="n">
        <f aca="false">'[8]Model Operations'!E196</f>
        <v>0.00784358824427531</v>
      </c>
      <c r="AM142" s="60" t="n">
        <f aca="false">'[8]Escalation sheet'!X154</f>
        <v>0.0557568550955587</v>
      </c>
    </row>
    <row r="143" customFormat="false" ht="12.75" hidden="false" customHeight="false" outlineLevel="0" collapsed="false">
      <c r="AJ143" s="15" t="n">
        <v>41153</v>
      </c>
      <c r="AK143" s="60" t="n">
        <f aca="false">'[8]Model Operations'!C197</f>
        <v>0.00244456000729804</v>
      </c>
      <c r="AL143" s="60" t="n">
        <f aca="false">'[8]Model Operations'!E197</f>
        <v>0.00784358824427531</v>
      </c>
      <c r="AM143" s="60" t="n">
        <f aca="false">'[8]Escalation sheet'!X155</f>
        <v>0.0557568550955587</v>
      </c>
    </row>
    <row r="144" customFormat="false" ht="12.75" hidden="false" customHeight="false" outlineLevel="0" collapsed="false">
      <c r="AJ144" s="15" t="n">
        <v>41183</v>
      </c>
      <c r="AK144" s="60" t="n">
        <f aca="false">'[8]Model Operations'!C198</f>
        <v>0.00244456000729804</v>
      </c>
      <c r="AL144" s="60" t="n">
        <f aca="false">'[8]Model Operations'!E198</f>
        <v>0.00784358824427531</v>
      </c>
      <c r="AM144" s="60" t="n">
        <f aca="false">'[8]Escalation sheet'!X156</f>
        <v>0.0557568550955587</v>
      </c>
    </row>
    <row r="145" customFormat="false" ht="12.75" hidden="false" customHeight="false" outlineLevel="0" collapsed="false">
      <c r="AJ145" s="15" t="n">
        <v>41214</v>
      </c>
      <c r="AK145" s="60" t="n">
        <f aca="false">'[8]Model Operations'!C199</f>
        <v>0.00244456000729804</v>
      </c>
      <c r="AL145" s="60" t="n">
        <f aca="false">'[8]Model Operations'!E199</f>
        <v>0.00784358824427531</v>
      </c>
      <c r="AM145" s="60" t="n">
        <f aca="false">'[8]Escalation sheet'!X157</f>
        <v>0.0557568550955587</v>
      </c>
    </row>
    <row r="146" customFormat="false" ht="13.5" hidden="false" customHeight="false" outlineLevel="0" collapsed="false">
      <c r="AJ146" s="74" t="n">
        <v>41244</v>
      </c>
      <c r="AK146" s="60" t="n">
        <f aca="false">'[8]Model Operations'!C200</f>
        <v>0.00244456000729804</v>
      </c>
      <c r="AL146" s="60" t="n">
        <f aca="false">'[8]Model Operations'!E200</f>
        <v>0.00784358824427531</v>
      </c>
      <c r="AM146" s="60" t="n">
        <f aca="false">'[8]Escalation sheet'!X158</f>
        <v>0.0557568550955587</v>
      </c>
    </row>
    <row r="147" customFormat="false" ht="12.75" hidden="false" customHeight="false" outlineLevel="0" collapsed="false">
      <c r="AI147" s="0" t="n">
        <f aca="false">AI135</f>
        <v>1.05</v>
      </c>
      <c r="AJ147" s="15" t="n">
        <v>41275</v>
      </c>
      <c r="AK147" s="60" t="n">
        <f aca="false">'[8]Model Operations'!C201</f>
        <v>0.00256678800766294</v>
      </c>
      <c r="AL147" s="60" t="n">
        <f aca="false">'[8]Model Operations'!E201</f>
        <v>0.00823576765648908</v>
      </c>
      <c r="AM147" s="60" t="n">
        <f aca="false">'[8]Escalation sheet'!X159</f>
        <v>0.0568719921974699</v>
      </c>
    </row>
    <row r="148" customFormat="false" ht="12.75" hidden="false" customHeight="false" outlineLevel="0" collapsed="false">
      <c r="AJ148" s="15" t="n">
        <v>41306</v>
      </c>
      <c r="AK148" s="60" t="n">
        <f aca="false">'[8]Model Operations'!C202</f>
        <v>0.00256678800766294</v>
      </c>
      <c r="AL148" s="60" t="n">
        <f aca="false">'[8]Model Operations'!E202</f>
        <v>0.00823576765648908</v>
      </c>
      <c r="AM148" s="60" t="n">
        <f aca="false">'[8]Escalation sheet'!X160</f>
        <v>0.0568719921974699</v>
      </c>
    </row>
    <row r="149" customFormat="false" ht="12.75" hidden="false" customHeight="false" outlineLevel="0" collapsed="false">
      <c r="AJ149" s="15" t="n">
        <v>41334</v>
      </c>
      <c r="AK149" s="60" t="n">
        <f aca="false">'[8]Model Operations'!C203</f>
        <v>0.00256678800766294</v>
      </c>
      <c r="AL149" s="60" t="n">
        <f aca="false">'[8]Model Operations'!E203</f>
        <v>0.00823576765648908</v>
      </c>
      <c r="AM149" s="60" t="n">
        <f aca="false">'[8]Escalation sheet'!X161</f>
        <v>0.0568719921974699</v>
      </c>
    </row>
    <row r="150" customFormat="false" ht="12.75" hidden="false" customHeight="false" outlineLevel="0" collapsed="false">
      <c r="AJ150" s="15" t="n">
        <v>41365</v>
      </c>
      <c r="AK150" s="60" t="n">
        <f aca="false">'[8]Model Operations'!C204</f>
        <v>0.00256678800766294</v>
      </c>
      <c r="AL150" s="60" t="n">
        <f aca="false">'[8]Model Operations'!E204</f>
        <v>0.00823576765648908</v>
      </c>
      <c r="AM150" s="60" t="n">
        <f aca="false">'[8]Escalation sheet'!X162</f>
        <v>0.0568719921974699</v>
      </c>
    </row>
    <row r="151" customFormat="false" ht="12.75" hidden="false" customHeight="false" outlineLevel="0" collapsed="false">
      <c r="AJ151" s="15" t="n">
        <v>41395</v>
      </c>
      <c r="AK151" s="60" t="n">
        <f aca="false">'[8]Model Operations'!C205</f>
        <v>0.00256678800766294</v>
      </c>
      <c r="AL151" s="60" t="n">
        <f aca="false">'[8]Model Operations'!E205</f>
        <v>0.00823576765648908</v>
      </c>
      <c r="AM151" s="60" t="n">
        <f aca="false">'[8]Escalation sheet'!X163</f>
        <v>0.0568719921974699</v>
      </c>
    </row>
    <row r="152" customFormat="false" ht="12.75" hidden="false" customHeight="false" outlineLevel="0" collapsed="false">
      <c r="AJ152" s="15" t="n">
        <v>41426</v>
      </c>
      <c r="AK152" s="60" t="n">
        <f aca="false">'[8]Model Operations'!C206</f>
        <v>0.00256678800766294</v>
      </c>
      <c r="AL152" s="60" t="n">
        <f aca="false">'[8]Model Operations'!E206</f>
        <v>0.00823576765648908</v>
      </c>
      <c r="AM152" s="60" t="n">
        <f aca="false">'[8]Escalation sheet'!X164</f>
        <v>0.0568719921974699</v>
      </c>
    </row>
    <row r="153" customFormat="false" ht="12.75" hidden="false" customHeight="false" outlineLevel="0" collapsed="false">
      <c r="AJ153" s="15" t="n">
        <v>41456</v>
      </c>
      <c r="AK153" s="60" t="n">
        <f aca="false">'[8]Model Operations'!C207</f>
        <v>0.00256678800766294</v>
      </c>
      <c r="AL153" s="60" t="n">
        <f aca="false">'[8]Model Operations'!E207</f>
        <v>0.00823576765648908</v>
      </c>
      <c r="AM153" s="60" t="n">
        <f aca="false">'[8]Escalation sheet'!X165</f>
        <v>0.0568719921974699</v>
      </c>
    </row>
    <row r="154" customFormat="false" ht="12.75" hidden="false" customHeight="false" outlineLevel="0" collapsed="false">
      <c r="AJ154" s="15" t="n">
        <v>41487</v>
      </c>
      <c r="AK154" s="60" t="n">
        <f aca="false">'[8]Model Operations'!C208</f>
        <v>0.00256678800766294</v>
      </c>
      <c r="AL154" s="60" t="n">
        <f aca="false">'[8]Model Operations'!E208</f>
        <v>0.00823576765648908</v>
      </c>
      <c r="AM154" s="60" t="n">
        <f aca="false">'[8]Escalation sheet'!X166</f>
        <v>0.0568719921974699</v>
      </c>
    </row>
    <row r="155" customFormat="false" ht="12.75" hidden="false" customHeight="false" outlineLevel="0" collapsed="false">
      <c r="AJ155" s="15" t="n">
        <v>41518</v>
      </c>
      <c r="AK155" s="60" t="n">
        <f aca="false">'[8]Model Operations'!C209</f>
        <v>0.00256678800766294</v>
      </c>
      <c r="AL155" s="60" t="n">
        <f aca="false">'[8]Model Operations'!E209</f>
        <v>0.00823576765648908</v>
      </c>
      <c r="AM155" s="60" t="n">
        <f aca="false">'[8]Escalation sheet'!X167</f>
        <v>0.0568719921974699</v>
      </c>
    </row>
    <row r="156" customFormat="false" ht="12.75" hidden="false" customHeight="false" outlineLevel="0" collapsed="false">
      <c r="AJ156" s="15" t="n">
        <v>41548</v>
      </c>
      <c r="AK156" s="60" t="n">
        <f aca="false">'[8]Model Operations'!C210</f>
        <v>0.00256678800766294</v>
      </c>
      <c r="AL156" s="60" t="n">
        <f aca="false">'[8]Model Operations'!E210</f>
        <v>0.00823576765648908</v>
      </c>
      <c r="AM156" s="60" t="n">
        <f aca="false">'[8]Escalation sheet'!X168</f>
        <v>0.0568719921974699</v>
      </c>
    </row>
    <row r="157" customFormat="false" ht="12.75" hidden="false" customHeight="false" outlineLevel="0" collapsed="false">
      <c r="AJ157" s="15" t="n">
        <v>41579</v>
      </c>
      <c r="AK157" s="60" t="n">
        <f aca="false">'[8]Model Operations'!C211</f>
        <v>0.00256678800766294</v>
      </c>
      <c r="AL157" s="60" t="n">
        <f aca="false">'[8]Model Operations'!E211</f>
        <v>0.00823576765648908</v>
      </c>
      <c r="AM157" s="60" t="n">
        <f aca="false">'[8]Escalation sheet'!X169</f>
        <v>0.0568719921974699</v>
      </c>
    </row>
    <row r="158" customFormat="false" ht="13.5" hidden="false" customHeight="false" outlineLevel="0" collapsed="false">
      <c r="AJ158" s="74" t="n">
        <v>41609</v>
      </c>
      <c r="AK158" s="60" t="n">
        <f aca="false">'[8]Model Operations'!C212</f>
        <v>0.00256678800766294</v>
      </c>
      <c r="AL158" s="60" t="n">
        <f aca="false">'[8]Model Operations'!E212</f>
        <v>0.00823576765648908</v>
      </c>
      <c r="AM158" s="60" t="n">
        <f aca="false">'[8]Escalation sheet'!X170</f>
        <v>0.0568719921974699</v>
      </c>
    </row>
    <row r="159" customFormat="false" ht="12.75" hidden="false" customHeight="false" outlineLevel="0" collapsed="false">
      <c r="AI159" s="0" t="n">
        <f aca="false">AI147</f>
        <v>1.05</v>
      </c>
      <c r="AJ159" s="15" t="n">
        <v>41640</v>
      </c>
      <c r="AK159" s="60" t="n">
        <f aca="false">'[8]Model Operations'!C213</f>
        <v>0.00269512740804609</v>
      </c>
      <c r="AL159" s="60" t="n">
        <f aca="false">'[8]Model Operations'!E213</f>
        <v>0.00864755603931353</v>
      </c>
      <c r="AM159" s="60" t="n">
        <f aca="false">'[8]Escalation sheet'!X171</f>
        <v>0.0580094320414193</v>
      </c>
    </row>
    <row r="160" customFormat="false" ht="12.75" hidden="false" customHeight="false" outlineLevel="0" collapsed="false">
      <c r="AJ160" s="15" t="n">
        <v>41671</v>
      </c>
      <c r="AK160" s="60" t="n">
        <f aca="false">'[8]Model Operations'!C214</f>
        <v>0.00269512740804609</v>
      </c>
      <c r="AL160" s="60" t="n">
        <f aca="false">'[8]Model Operations'!E214</f>
        <v>0.00864755603931353</v>
      </c>
      <c r="AM160" s="60" t="n">
        <f aca="false">'[8]Escalation sheet'!X172</f>
        <v>0.0580094320414193</v>
      </c>
    </row>
    <row r="161" customFormat="false" ht="12.75" hidden="false" customHeight="false" outlineLevel="0" collapsed="false">
      <c r="AJ161" s="15" t="n">
        <v>41699</v>
      </c>
      <c r="AK161" s="60" t="n">
        <f aca="false">'[8]Model Operations'!C215</f>
        <v>0.00269512740804609</v>
      </c>
      <c r="AL161" s="60" t="n">
        <f aca="false">'[8]Model Operations'!E215</f>
        <v>0.00864755603931353</v>
      </c>
      <c r="AM161" s="60" t="n">
        <f aca="false">'[8]Escalation sheet'!X173</f>
        <v>0.0580094320414193</v>
      </c>
    </row>
    <row r="162" customFormat="false" ht="12.75" hidden="false" customHeight="false" outlineLevel="0" collapsed="false">
      <c r="AJ162" s="15" t="n">
        <v>41730</v>
      </c>
      <c r="AK162" s="60" t="n">
        <f aca="false">'[8]Model Operations'!C216</f>
        <v>0.00269512740804609</v>
      </c>
      <c r="AL162" s="60" t="n">
        <f aca="false">'[8]Model Operations'!E216</f>
        <v>0.00864755603931353</v>
      </c>
      <c r="AM162" s="60" t="n">
        <f aca="false">'[8]Escalation sheet'!X174</f>
        <v>0.0580094320414193</v>
      </c>
    </row>
    <row r="163" customFormat="false" ht="12.75" hidden="false" customHeight="false" outlineLevel="0" collapsed="false">
      <c r="AJ163" s="15" t="n">
        <v>41760</v>
      </c>
      <c r="AK163" s="60" t="n">
        <f aca="false">'[8]Model Operations'!C217</f>
        <v>0.00269512740804609</v>
      </c>
      <c r="AL163" s="60" t="n">
        <f aca="false">'[8]Model Operations'!E217</f>
        <v>0.00864755603931353</v>
      </c>
      <c r="AM163" s="60" t="n">
        <f aca="false">'[8]Escalation sheet'!X175</f>
        <v>0.0580094320414193</v>
      </c>
    </row>
    <row r="164" customFormat="false" ht="12.75" hidden="false" customHeight="false" outlineLevel="0" collapsed="false">
      <c r="AJ164" s="15" t="n">
        <v>41791</v>
      </c>
      <c r="AK164" s="60" t="n">
        <f aca="false">'[8]Model Operations'!C218</f>
        <v>0.00269512740804609</v>
      </c>
      <c r="AL164" s="60" t="n">
        <f aca="false">'[8]Model Operations'!E218</f>
        <v>0.00864755603931353</v>
      </c>
      <c r="AM164" s="60" t="n">
        <f aca="false">'[8]Escalation sheet'!X176</f>
        <v>0.0580094320414193</v>
      </c>
    </row>
    <row r="165" customFormat="false" ht="12.75" hidden="false" customHeight="false" outlineLevel="0" collapsed="false">
      <c r="AJ165" s="15" t="n">
        <v>41821</v>
      </c>
      <c r="AK165" s="60" t="n">
        <f aca="false">'[8]Model Operations'!C219</f>
        <v>0.00269512740804609</v>
      </c>
      <c r="AL165" s="60" t="n">
        <f aca="false">'[8]Model Operations'!E219</f>
        <v>0.00864755603931353</v>
      </c>
      <c r="AM165" s="60" t="n">
        <f aca="false">'[8]Escalation sheet'!X177</f>
        <v>0.0580094320414193</v>
      </c>
    </row>
    <row r="166" customFormat="false" ht="12.75" hidden="false" customHeight="false" outlineLevel="0" collapsed="false">
      <c r="AJ166" s="15" t="n">
        <v>41852</v>
      </c>
      <c r="AK166" s="60" t="n">
        <f aca="false">'[8]Model Operations'!C220</f>
        <v>0.00269512740804609</v>
      </c>
      <c r="AL166" s="60" t="n">
        <f aca="false">'[8]Model Operations'!E220</f>
        <v>0.00864755603931353</v>
      </c>
      <c r="AM166" s="60" t="n">
        <f aca="false">'[8]Escalation sheet'!X178</f>
        <v>0.0580094320414193</v>
      </c>
    </row>
    <row r="167" customFormat="false" ht="12.75" hidden="false" customHeight="false" outlineLevel="0" collapsed="false">
      <c r="AJ167" s="15" t="n">
        <v>41883</v>
      </c>
      <c r="AK167" s="60" t="n">
        <f aca="false">'[8]Model Operations'!C221</f>
        <v>0.00269512740804609</v>
      </c>
      <c r="AL167" s="60" t="n">
        <f aca="false">'[8]Model Operations'!E221</f>
        <v>0.00864755603931353</v>
      </c>
      <c r="AM167" s="60" t="n">
        <f aca="false">'[8]Escalation sheet'!X179</f>
        <v>0.0580094320414193</v>
      </c>
    </row>
    <row r="168" customFormat="false" ht="12.75" hidden="false" customHeight="false" outlineLevel="0" collapsed="false">
      <c r="AJ168" s="15" t="n">
        <v>41913</v>
      </c>
      <c r="AK168" s="60" t="n">
        <f aca="false">'[8]Model Operations'!C222</f>
        <v>0.00269512740804609</v>
      </c>
      <c r="AL168" s="60" t="n">
        <f aca="false">'[8]Model Operations'!E222</f>
        <v>0.00864755603931353</v>
      </c>
      <c r="AM168" s="60" t="n">
        <f aca="false">'[8]Escalation sheet'!X180</f>
        <v>0.0580094320414193</v>
      </c>
    </row>
    <row r="169" customFormat="false" ht="12.75" hidden="false" customHeight="false" outlineLevel="0" collapsed="false">
      <c r="AJ169" s="15" t="n">
        <v>41944</v>
      </c>
      <c r="AK169" s="60" t="n">
        <f aca="false">'[8]Model Operations'!C223</f>
        <v>0.00269512740804609</v>
      </c>
      <c r="AL169" s="60" t="n">
        <f aca="false">'[8]Model Operations'!E223</f>
        <v>0.00864755603931353</v>
      </c>
      <c r="AM169" s="60" t="n">
        <f aca="false">'[8]Escalation sheet'!X181</f>
        <v>0.0580094320414193</v>
      </c>
    </row>
    <row r="170" customFormat="false" ht="13.5" hidden="false" customHeight="false" outlineLevel="0" collapsed="false">
      <c r="AJ170" s="74" t="n">
        <v>41974</v>
      </c>
      <c r="AK170" s="60" t="n">
        <f aca="false">'[8]Model Operations'!C224</f>
        <v>0.00269512740804609</v>
      </c>
      <c r="AL170" s="60" t="n">
        <f aca="false">'[8]Model Operations'!E224</f>
        <v>0.00864755603931353</v>
      </c>
      <c r="AM170" s="60" t="n">
        <f aca="false">'[8]Escalation sheet'!X182</f>
        <v>0.0580094320414193</v>
      </c>
    </row>
    <row r="171" customFormat="false" ht="12.75" hidden="false" customHeight="false" outlineLevel="0" collapsed="false">
      <c r="AJ171" s="15" t="n">
        <v>42005</v>
      </c>
    </row>
  </sheetData>
  <mergeCells count="3">
    <mergeCell ref="R4:U4"/>
    <mergeCell ref="V4:X4"/>
    <mergeCell ref="Y4:AA4"/>
  </mergeCells>
  <printOptions headings="false" gridLines="false" gridLinesSet="true" horizontalCentered="true" verticalCentered="false"/>
  <pageMargins left="0.2" right="0.229861111111111" top="0.75" bottom="0.75" header="0.511811023622047" footer="0.37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&amp;L&amp;F&amp;R&amp;D   &amp;T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H722"/>
  <sheetViews>
    <sheetView showFormulas="false" showGridLines="false" showRowColHeaders="true" showZeros="true" rightToLeft="false" tabSelected="false" showOutlineSymbols="true" defaultGridColor="true" view="normal" topLeftCell="AA1" colorId="64" zoomScale="80" zoomScaleNormal="80" zoomScalePageLayoutView="100" workbookViewId="0">
      <selection pane="topLeft" activeCell="AL10" activeCellId="0" sqref="AL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3" min="3" style="21" width="5.13"/>
    <col collapsed="false" customWidth="true" hidden="false" outlineLevel="0" max="4" min="4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8" min="8" style="21" width="14.56"/>
    <col collapsed="false" customWidth="true" hidden="false" outlineLevel="0" max="9" min="9" style="21" width="9.99"/>
    <col collapsed="false" customWidth="true" hidden="false" outlineLevel="0" max="10" min="10" style="21" width="20.13"/>
    <col collapsed="false" customWidth="true" hidden="false" outlineLevel="0" max="11" min="11" style="21" width="17.85"/>
    <col collapsed="false" customWidth="true" hidden="false" outlineLevel="0" max="12" min="12" style="21" width="19.14"/>
    <col collapsed="false" customWidth="true" hidden="false" outlineLevel="0" max="13" min="13" style="21" width="14.99"/>
    <col collapsed="false" customWidth="true" hidden="false" outlineLevel="0" max="14" min="14" style="21" width="1.41"/>
    <col collapsed="false" customWidth="true" hidden="false" outlineLevel="0" max="15" min="15" style="21" width="14.99"/>
    <col collapsed="false" customWidth="true" hidden="false" outlineLevel="0" max="16" min="16" style="21" width="16.84"/>
    <col collapsed="false" customWidth="true" hidden="false" outlineLevel="0" max="17" min="17" style="21" width="2.99"/>
    <col collapsed="false" customWidth="true" hidden="false" outlineLevel="0" max="18" min="18" style="21" width="20.13"/>
    <col collapsed="false" customWidth="true" hidden="false" outlineLevel="0" max="19" min="19" style="21" width="17.85"/>
    <col collapsed="false" customWidth="true" hidden="false" outlineLevel="0" max="20" min="20" style="21" width="21.56"/>
    <col collapsed="false" customWidth="true" hidden="false" outlineLevel="0" max="21" min="21" style="21" width="14.99"/>
    <col collapsed="false" customWidth="true" hidden="false" outlineLevel="0" max="22" min="22" style="21" width="11.13"/>
    <col collapsed="false" customWidth="true" hidden="false" outlineLevel="0" max="23" min="23" style="21" width="14.99"/>
    <col collapsed="false" customWidth="true" hidden="false" outlineLevel="0" max="24" min="24" style="21" width="16.84"/>
    <col collapsed="false" customWidth="true" hidden="false" outlineLevel="0" max="25" min="25" style="21" width="1.99"/>
    <col collapsed="false" customWidth="true" hidden="false" outlineLevel="0" max="26" min="26" style="137" width="18.99"/>
    <col collapsed="false" customWidth="true" hidden="false" outlineLevel="0" max="27" min="27" style="137" width="20.28"/>
    <col collapsed="false" customWidth="true" hidden="false" outlineLevel="0" max="28" min="28" style="137" width="15.28"/>
    <col collapsed="false" customWidth="true" hidden="false" outlineLevel="0" max="29" min="29" style="137" width="20.28"/>
    <col collapsed="false" customWidth="true" hidden="false" outlineLevel="0" max="31" min="30" style="137" width="15.7"/>
    <col collapsed="false" customWidth="true" hidden="false" outlineLevel="0" max="32" min="32" style="137" width="15.56"/>
    <col collapsed="false" customWidth="true" hidden="false" outlineLevel="0" max="33" min="33" style="137" width="11.85"/>
    <col collapsed="false" customWidth="true" hidden="false" outlineLevel="0" max="34" min="34" style="137" width="11.28"/>
    <col collapsed="false" customWidth="true" hidden="false" outlineLevel="0" max="35" min="35" style="137" width="13.41"/>
    <col collapsed="false" customWidth="true" hidden="false" outlineLevel="0" max="36" min="36" style="21" width="10.28"/>
    <col collapsed="false" customWidth="true" hidden="false" outlineLevel="0" max="37" min="37" style="21" width="10.71"/>
    <col collapsed="false" customWidth="false" hidden="false" outlineLevel="0" max="38" min="38" style="21" width="9.14"/>
    <col collapsed="false" customWidth="true" hidden="false" outlineLevel="0" max="39" min="39" style="21" width="9.56"/>
    <col collapsed="false" customWidth="false" hidden="false" outlineLevel="0" max="40" min="40" style="21" width="9.14"/>
    <col collapsed="false" customWidth="true" hidden="false" outlineLevel="0" max="41" min="41" style="137" width="8.28"/>
    <col collapsed="false" customWidth="true" hidden="false" outlineLevel="0" max="43" min="42" style="137" width="8.56"/>
    <col collapsed="false" customWidth="true" hidden="false" outlineLevel="0" max="44" min="44" style="137" width="11.7"/>
    <col collapsed="false" customWidth="true" hidden="false" outlineLevel="0" max="45" min="45" style="137" width="10.28"/>
    <col collapsed="false" customWidth="true" hidden="false" outlineLevel="0" max="46" min="46" style="137" width="7.56"/>
    <col collapsed="false" customWidth="true" hidden="false" outlineLevel="0" max="47" min="47" style="137" width="6.41"/>
    <col collapsed="false" customWidth="true" hidden="false" outlineLevel="0" max="48" min="48" style="21" width="1.41"/>
    <col collapsed="false" customWidth="true" hidden="false" outlineLevel="0" max="49" min="49" style="138" width="14.28"/>
    <col collapsed="false" customWidth="true" hidden="false" outlineLevel="0" max="51" min="50" style="21" width="14.28"/>
    <col collapsed="false" customWidth="false" hidden="false" outlineLevel="0" max="52" min="52" style="21" width="9.14"/>
    <col collapsed="false" customWidth="true" hidden="false" outlineLevel="0" max="53" min="53" style="21" width="15.56"/>
    <col collapsed="false" customWidth="false" hidden="false" outlineLevel="0" max="54" min="54" style="21" width="9.14"/>
    <col collapsed="false" customWidth="true" hidden="false" outlineLevel="0" max="55" min="55" style="21" width="13.28"/>
    <col collapsed="false" customWidth="false" hidden="false" outlineLevel="0" max="257" min="56" style="21" width="9.14"/>
  </cols>
  <sheetData>
    <row r="1" customFormat="false" ht="13.5" hidden="false" customHeight="false" outlineLevel="0" collapsed="false">
      <c r="A1" s="139" t="s">
        <v>114</v>
      </c>
      <c r="C1" s="140"/>
      <c r="D1" s="140" t="s">
        <v>115</v>
      </c>
      <c r="E1" s="141" t="n">
        <f aca="false">Summary!D7</f>
        <v>45926</v>
      </c>
      <c r="H1" s="142" t="s">
        <v>116</v>
      </c>
      <c r="I1" s="143" t="s">
        <v>117</v>
      </c>
      <c r="J1" s="142" t="s">
        <v>118</v>
      </c>
      <c r="K1" s="143" t="s">
        <v>119</v>
      </c>
      <c r="R1" s="142" t="s">
        <v>118</v>
      </c>
      <c r="S1" s="143" t="s">
        <v>119</v>
      </c>
      <c r="Z1" s="144" t="str">
        <f aca="false">Summary!J7</f>
        <v>NG_OMICRON_11</v>
      </c>
      <c r="AA1" s="144" t="str">
        <f aca="false">Summary!L7</f>
        <v>MICH/CONS</v>
      </c>
      <c r="AC1" s="144" t="str">
        <f aca="false">Summary!I7</f>
        <v>NG_OMICRON_3</v>
      </c>
      <c r="AD1" s="144" t="str">
        <f aca="false">Summary!K7</f>
        <v>IF-ANR/OK</v>
      </c>
      <c r="AJ1" s="83"/>
    </row>
    <row r="2" customFormat="false" ht="12.75" hidden="false" customHeight="false" outlineLevel="0" collapsed="false">
      <c r="A2" s="142" t="s">
        <v>120</v>
      </c>
      <c r="B2" s="145" t="s">
        <v>121</v>
      </c>
      <c r="C2" s="145"/>
      <c r="D2" s="146" t="s">
        <v>122</v>
      </c>
      <c r="E2" s="145" t="s">
        <v>98</v>
      </c>
      <c r="F2" s="145" t="s">
        <v>123</v>
      </c>
      <c r="G2" s="145" t="s">
        <v>124</v>
      </c>
      <c r="H2" s="147" t="s">
        <v>125</v>
      </c>
      <c r="I2" s="148" t="s">
        <v>126</v>
      </c>
      <c r="J2" s="149" t="s">
        <v>127</v>
      </c>
      <c r="K2" s="148" t="s">
        <v>127</v>
      </c>
      <c r="R2" s="149" t="s">
        <v>128</v>
      </c>
      <c r="S2" s="148" t="str">
        <f aca="false">R2</f>
        <v>Receipt Pt</v>
      </c>
      <c r="AI2" s="137" t="s">
        <v>129</v>
      </c>
      <c r="AJ2" s="21" t="n">
        <v>1</v>
      </c>
    </row>
    <row r="3" customFormat="false" ht="13.5" hidden="false" customHeight="false" outlineLevel="0" collapsed="false">
      <c r="A3" s="150" t="n">
        <f aca="false">Summary!E7</f>
        <v>37043</v>
      </c>
      <c r="B3" s="151" t="n">
        <f aca="false">Summary!F7</f>
        <v>42004</v>
      </c>
      <c r="C3" s="152"/>
      <c r="D3" s="152" t="n">
        <f aca="false">Summary!C7</f>
        <v>37025</v>
      </c>
      <c r="E3" s="153" t="str">
        <f aca="false">CONCATENATE(INT(AT8/12)," Y - ",AT8-INT(AT8/12)*12," M")</f>
        <v>13 Y - 7 M</v>
      </c>
      <c r="F3" s="154" t="n">
        <v>2</v>
      </c>
      <c r="G3" s="154" t="n">
        <v>1</v>
      </c>
      <c r="H3" s="155" t="n">
        <v>1</v>
      </c>
      <c r="I3" s="156" t="n">
        <f aca="false">Summary!P7</f>
        <v>0</v>
      </c>
      <c r="J3" s="157" t="str">
        <f aca="false">Summary!H7</f>
        <v>ML7/CG</v>
      </c>
      <c r="K3" s="156" t="str">
        <f aca="false">J3</f>
        <v>ML7/CG</v>
      </c>
      <c r="R3" s="157" t="str">
        <f aca="false">Summary!G7</f>
        <v>IF-ANR/OK</v>
      </c>
      <c r="S3" s="156" t="str">
        <f aca="false">R3</f>
        <v>IF-ANR/OK</v>
      </c>
      <c r="Z3" s="137" t="s">
        <v>130</v>
      </c>
      <c r="AA3" s="137" t="s">
        <v>130</v>
      </c>
      <c r="AB3" s="137" t="s">
        <v>130</v>
      </c>
      <c r="AC3" s="137" t="s">
        <v>131</v>
      </c>
      <c r="AD3" s="137" t="s">
        <v>131</v>
      </c>
      <c r="AE3" s="137" t="s">
        <v>131</v>
      </c>
    </row>
    <row r="4" customFormat="false" ht="12.75" hidden="false" customHeight="false" outlineLevel="0" collapsed="false">
      <c r="A4" s="158"/>
      <c r="B4" s="158"/>
      <c r="C4" s="158"/>
      <c r="D4" s="158" t="s">
        <v>132</v>
      </c>
      <c r="E4" s="158" t="s">
        <v>93</v>
      </c>
      <c r="F4" s="158" t="s">
        <v>94</v>
      </c>
      <c r="G4" s="159" t="s">
        <v>133</v>
      </c>
      <c r="H4" s="160"/>
      <c r="I4" s="158"/>
      <c r="J4" s="159" t="str">
        <f aca="false">CONCATENATE(J3,"-","D")</f>
        <v>ML7/CG-D</v>
      </c>
      <c r="K4" s="160" t="str">
        <f aca="false">J3</f>
        <v>ML7/CG</v>
      </c>
      <c r="L4" s="159" t="str">
        <f aca="false">CONCATENATE(K3,"-","I")</f>
        <v>ML7/CG-I</v>
      </c>
      <c r="M4" s="160" t="str">
        <f aca="false">K3</f>
        <v>ML7/CG</v>
      </c>
      <c r="O4" s="160" t="str">
        <f aca="false">K4</f>
        <v>ML7/CG</v>
      </c>
      <c r="P4" s="160" t="str">
        <f aca="false">J4</f>
        <v>ML7/CG-D</v>
      </c>
      <c r="Q4" s="158"/>
      <c r="R4" s="159" t="str">
        <f aca="false">CONCATENATE(R3,"-","D")</f>
        <v>IF-ANR/OK-D</v>
      </c>
      <c r="S4" s="160" t="str">
        <f aca="false">R3</f>
        <v>IF-ANR/OK</v>
      </c>
      <c r="T4" s="159" t="str">
        <f aca="false">CONCATENATE(S3,"-","I")</f>
        <v>IF-ANR/OK-I</v>
      </c>
      <c r="U4" s="160" t="str">
        <f aca="false">S3</f>
        <v>IF-ANR/OK</v>
      </c>
      <c r="V4" s="160" t="s">
        <v>134</v>
      </c>
      <c r="W4" s="160" t="str">
        <f aca="false">S4</f>
        <v>IF-ANR/OK</v>
      </c>
      <c r="X4" s="160" t="str">
        <f aca="false">R4</f>
        <v>IF-ANR/OK-D</v>
      </c>
      <c r="Z4" s="161" t="str">
        <f aca="false">IF(Z1="NG",CONCATENATE(Z1,"-","VO"),CONCATENATE(Z1,"-","P"))</f>
        <v>NG_OMICRON_11-P</v>
      </c>
      <c r="AA4" s="162" t="str">
        <f aca="false">IF(AA1="NG",CONCATENATE(AA1,"-","VO"),CONCATENATE(AA1,"-","P"))</f>
        <v>MICH/CONS-P</v>
      </c>
      <c r="AB4" s="162" t="s">
        <v>135</v>
      </c>
      <c r="AC4" s="161" t="str">
        <f aca="false">IF(AC1="NG",CONCATENATE(AC1,"-","VO"),CONCATENATE(AC1,"-","P"))</f>
        <v>NG_OMICRON_3-P</v>
      </c>
      <c r="AD4" s="162" t="str">
        <f aca="false">IF(AD1="NG",CONCATENATE(AD1,"-","VO"),CONCATENATE(AD1,"-","P"))</f>
        <v>IF-ANR/OK-P</v>
      </c>
      <c r="AE4" s="163" t="s">
        <v>136</v>
      </c>
      <c r="AF4" s="160" t="str">
        <f aca="false">J3</f>
        <v>ML7/CG</v>
      </c>
      <c r="AG4" s="160" t="s">
        <v>81</v>
      </c>
      <c r="AH4" s="160" t="s">
        <v>81</v>
      </c>
      <c r="AI4" s="160" t="s">
        <v>81</v>
      </c>
      <c r="AJ4" s="160"/>
      <c r="AK4" s="160"/>
      <c r="AL4" s="160"/>
      <c r="AM4" s="160"/>
      <c r="AN4" s="160"/>
      <c r="AO4" s="164"/>
      <c r="AP4" s="164"/>
      <c r="AQ4" s="164" t="s">
        <v>137</v>
      </c>
      <c r="AR4" s="159" t="s">
        <v>138</v>
      </c>
      <c r="AS4" s="164"/>
      <c r="AT4" s="164"/>
      <c r="AU4" s="164"/>
      <c r="AW4" s="164"/>
      <c r="AX4" s="164" t="s">
        <v>139</v>
      </c>
      <c r="AY4" s="164"/>
      <c r="BA4" s="164"/>
      <c r="BC4" s="165" t="s">
        <v>140</v>
      </c>
    </row>
    <row r="5" customFormat="false" ht="12.75" hidden="false" customHeight="false" outlineLevel="0" collapsed="false">
      <c r="A5" s="158" t="s">
        <v>141</v>
      </c>
      <c r="B5" s="158" t="s">
        <v>32</v>
      </c>
      <c r="C5" s="158"/>
      <c r="D5" s="158" t="s">
        <v>32</v>
      </c>
      <c r="E5" s="158" t="s">
        <v>32</v>
      </c>
      <c r="F5" s="158" t="s">
        <v>32</v>
      </c>
      <c r="G5" s="158" t="s">
        <v>142</v>
      </c>
      <c r="H5" s="158" t="s">
        <v>142</v>
      </c>
      <c r="I5" s="158"/>
      <c r="J5" s="158" t="s">
        <v>118</v>
      </c>
      <c r="K5" s="158" t="s">
        <v>118</v>
      </c>
      <c r="L5" s="158" t="s">
        <v>119</v>
      </c>
      <c r="M5" s="158" t="s">
        <v>119</v>
      </c>
      <c r="O5" s="158" t="s">
        <v>97</v>
      </c>
      <c r="P5" s="158" t="s">
        <v>97</v>
      </c>
      <c r="Q5" s="158"/>
      <c r="R5" s="158" t="s">
        <v>118</v>
      </c>
      <c r="S5" s="158" t="s">
        <v>118</v>
      </c>
      <c r="T5" s="158" t="s">
        <v>119</v>
      </c>
      <c r="U5" s="158" t="s">
        <v>119</v>
      </c>
      <c r="V5" s="158" t="s">
        <v>101</v>
      </c>
      <c r="W5" s="158" t="s">
        <v>97</v>
      </c>
      <c r="X5" s="158" t="s">
        <v>97</v>
      </c>
      <c r="Z5" s="166" t="s">
        <v>143</v>
      </c>
      <c r="AA5" s="158" t="s">
        <v>143</v>
      </c>
      <c r="AB5" s="158" t="s">
        <v>143</v>
      </c>
      <c r="AC5" s="166" t="s">
        <v>143</v>
      </c>
      <c r="AD5" s="158" t="s">
        <v>143</v>
      </c>
      <c r="AE5" s="167" t="s">
        <v>144</v>
      </c>
      <c r="AF5" s="158" t="str">
        <f aca="false">S3</f>
        <v>IF-ANR/OK</v>
      </c>
      <c r="AG5" s="158" t="s">
        <v>145</v>
      </c>
      <c r="AH5" s="158" t="s">
        <v>84</v>
      </c>
      <c r="AI5" s="158"/>
      <c r="AJ5" s="158" t="s">
        <v>146</v>
      </c>
      <c r="AK5" s="158" t="s">
        <v>146</v>
      </c>
      <c r="AL5" s="158" t="s">
        <v>146</v>
      </c>
      <c r="AM5" s="158" t="s">
        <v>86</v>
      </c>
      <c r="AN5" s="158" t="s">
        <v>96</v>
      </c>
      <c r="AO5" s="168" t="s">
        <v>147</v>
      </c>
      <c r="AP5" s="168" t="s">
        <v>148</v>
      </c>
      <c r="AQ5" s="168" t="s">
        <v>148</v>
      </c>
      <c r="AR5" s="169" t="s">
        <v>149</v>
      </c>
      <c r="AS5" s="168" t="s">
        <v>148</v>
      </c>
      <c r="AT5" s="168" t="s">
        <v>150</v>
      </c>
      <c r="AU5" s="168" t="s">
        <v>150</v>
      </c>
      <c r="AW5" s="168" t="s">
        <v>97</v>
      </c>
      <c r="AX5" s="168" t="s">
        <v>86</v>
      </c>
      <c r="AY5" s="168" t="s">
        <v>96</v>
      </c>
      <c r="BA5" s="168" t="s">
        <v>151</v>
      </c>
      <c r="BC5" s="170" t="s">
        <v>86</v>
      </c>
    </row>
    <row r="6" customFormat="false" ht="12.75" hidden="false" customHeight="false" outlineLevel="0" collapsed="false">
      <c r="A6" s="171" t="s">
        <v>152</v>
      </c>
      <c r="B6" s="171" t="s">
        <v>153</v>
      </c>
      <c r="C6" s="171"/>
      <c r="D6" s="171" t="s">
        <v>153</v>
      </c>
      <c r="E6" s="171" t="s">
        <v>154</v>
      </c>
      <c r="F6" s="171" t="s">
        <v>154</v>
      </c>
      <c r="G6" s="171" t="s">
        <v>155</v>
      </c>
      <c r="H6" s="171" t="str">
        <f aca="false">CHOOSE(G3,"Bid","Offer")</f>
        <v>Bid</v>
      </c>
      <c r="I6" s="171"/>
      <c r="J6" s="171" t="s">
        <v>155</v>
      </c>
      <c r="K6" s="171" t="str">
        <f aca="false">H6</f>
        <v>Bid</v>
      </c>
      <c r="L6" s="171" t="s">
        <v>155</v>
      </c>
      <c r="M6" s="171" t="str">
        <f aca="false">K6</f>
        <v>Bid</v>
      </c>
      <c r="O6" s="171" t="s">
        <v>155</v>
      </c>
      <c r="P6" s="171" t="str">
        <f aca="false">K6</f>
        <v>Bid</v>
      </c>
      <c r="Q6" s="158"/>
      <c r="R6" s="171" t="s">
        <v>155</v>
      </c>
      <c r="S6" s="171" t="str">
        <f aca="false">IF(K6="Offer","Bid","Offer")</f>
        <v>Offer</v>
      </c>
      <c r="T6" s="171" t="s">
        <v>155</v>
      </c>
      <c r="U6" s="171" t="str">
        <f aca="false">S6</f>
        <v>Offer</v>
      </c>
      <c r="V6" s="171"/>
      <c r="W6" s="171" t="s">
        <v>155</v>
      </c>
      <c r="X6" s="171" t="str">
        <f aca="false">S6</f>
        <v>Offer</v>
      </c>
      <c r="Z6" s="172" t="s">
        <v>155</v>
      </c>
      <c r="AA6" s="171" t="str">
        <f aca="false">P6</f>
        <v>Bid</v>
      </c>
      <c r="AB6" s="171" t="s">
        <v>156</v>
      </c>
      <c r="AC6" s="172" t="str">
        <f aca="false">U6</f>
        <v>Offer</v>
      </c>
      <c r="AD6" s="171" t="s">
        <v>157</v>
      </c>
      <c r="AE6" s="173" t="s">
        <v>157</v>
      </c>
      <c r="AF6" s="174" t="s">
        <v>48</v>
      </c>
      <c r="AG6" s="171" t="s">
        <v>101</v>
      </c>
      <c r="AH6" s="171" t="s">
        <v>101</v>
      </c>
      <c r="AI6" s="171" t="s">
        <v>158</v>
      </c>
      <c r="AJ6" s="171" t="s">
        <v>159</v>
      </c>
      <c r="AK6" s="171" t="s">
        <v>160</v>
      </c>
      <c r="AL6" s="171" t="s">
        <v>102</v>
      </c>
      <c r="AM6" s="171" t="s">
        <v>102</v>
      </c>
      <c r="AN6" s="171" t="s">
        <v>102</v>
      </c>
      <c r="AO6" s="175" t="s">
        <v>161</v>
      </c>
      <c r="AP6" s="175" t="s">
        <v>44</v>
      </c>
      <c r="AQ6" s="175" t="s">
        <v>161</v>
      </c>
      <c r="AR6" s="176" t="s">
        <v>162</v>
      </c>
      <c r="AS6" s="175" t="s">
        <v>163</v>
      </c>
      <c r="AT6" s="175" t="s">
        <v>164</v>
      </c>
      <c r="AU6" s="175" t="s">
        <v>161</v>
      </c>
      <c r="AW6" s="175" t="s">
        <v>102</v>
      </c>
      <c r="AX6" s="175" t="s">
        <v>165</v>
      </c>
      <c r="AY6" s="175" t="s">
        <v>165</v>
      </c>
      <c r="BA6" s="175" t="s">
        <v>101</v>
      </c>
      <c r="BC6" s="177" t="s">
        <v>165</v>
      </c>
    </row>
    <row r="7" customFormat="false" ht="13.5" hidden="false" customHeight="false" outlineLevel="0" collapsed="false">
      <c r="A7" s="178"/>
      <c r="B7" s="178"/>
      <c r="C7" s="178"/>
      <c r="D7" s="178"/>
      <c r="Z7" s="21"/>
      <c r="AA7" s="21"/>
      <c r="AB7" s="21"/>
      <c r="AC7" s="21"/>
      <c r="AD7" s="21"/>
      <c r="AE7" s="21"/>
      <c r="AF7" s="21"/>
      <c r="AG7" s="21"/>
      <c r="AH7" s="21"/>
      <c r="AI7" s="21"/>
      <c r="AQ7" s="144"/>
      <c r="BC7" s="179"/>
    </row>
    <row r="8" customFormat="false" ht="13.5" hidden="false" customHeight="false" outlineLevel="0" collapsed="false">
      <c r="A8" s="180" t="s">
        <v>166</v>
      </c>
      <c r="B8" s="181"/>
      <c r="C8" s="181"/>
      <c r="D8" s="181" t="n">
        <f aca="false">SUM(D10:D500)</f>
        <v>6520000</v>
      </c>
      <c r="E8" s="181" t="n">
        <f aca="false">SUM(E10:E500)</f>
        <v>198480000</v>
      </c>
      <c r="F8" s="181" t="n">
        <f aca="false">SUM(F10:F370)</f>
        <v>1184759266.84099</v>
      </c>
      <c r="G8" s="182" t="e">
        <f aca="false">SUMPRODUCT(G10:G499,$F$10:$F$499)/SUM($F$10:$F$499)</f>
        <v>#N/A</v>
      </c>
      <c r="H8" s="182" t="e">
        <f aca="false">SUMPRODUCT(H10:H499,$F$10:$F$499)/SUM($F$10:$F$499)</f>
        <v>#N/A</v>
      </c>
      <c r="I8" s="182"/>
      <c r="J8" s="182" t="e">
        <f aca="false">SUMPRODUCT(J10:J499,$F$10:$F$499)/SUM($F$10:$F$499)</f>
        <v>#N/A</v>
      </c>
      <c r="K8" s="182" t="e">
        <f aca="false">SUMPRODUCT(K10:K499,$F$10:$F$499)/SUM($F$10:$F$499)</f>
        <v>#N/A</v>
      </c>
      <c r="L8" s="182" t="e">
        <f aca="false">SUMPRODUCT(L10:L499,$F$10:$F$499)/SUM($F$10:$F$499)</f>
        <v>#N/A</v>
      </c>
      <c r="M8" s="182" t="e">
        <f aca="false">SUMPRODUCT(M10:M499,$F$10:$F$499)/SUM($F$10:$F$499)</f>
        <v>#N/A</v>
      </c>
      <c r="O8" s="182" t="e">
        <f aca="false">SUMPRODUCT(O10:O499,$F$10:$F$499)/SUM($F$10:$F$499)</f>
        <v>#N/A</v>
      </c>
      <c r="P8" s="182" t="e">
        <f aca="false">SUMPRODUCT(P10:P499,$F$10:$F$499)/SUM($F$10:$F$499)</f>
        <v>#N/A</v>
      </c>
      <c r="Q8" s="182"/>
      <c r="R8" s="182" t="e">
        <f aca="false">SUMPRODUCT(R10:R499,$F$10:$F$499)/SUM($F$10:$F$499)</f>
        <v>#N/A</v>
      </c>
      <c r="S8" s="182" t="e">
        <f aca="false">SUMPRODUCT(S10:S499,$F$10:$F$499)/SUM($F$10:$F$499)</f>
        <v>#N/A</v>
      </c>
      <c r="T8" s="182" t="e">
        <f aca="false">SUMPRODUCT(T10:T499,$F$10:$F$499)/SUM($F$10:$F$499)</f>
        <v>#N/A</v>
      </c>
      <c r="U8" s="182" t="e">
        <f aca="false">SUMPRODUCT(U10:U499,$F$10:$F$499)/SUM($F$10:$F$499)</f>
        <v>#N/A</v>
      </c>
      <c r="V8" s="183" t="e">
        <f aca="false">SUMPRODUCT(V10:V499,F10:F499)/F8</f>
        <v>#N/A</v>
      </c>
      <c r="W8" s="182" t="e">
        <f aca="false">SUMPRODUCT(W10:W499,$F$10:$F$499)/SUM($F$10:$F$499)</f>
        <v>#N/A</v>
      </c>
      <c r="X8" s="182" t="e">
        <f aca="false">SUMPRODUCT(X10:X499,$F$10:$F$499)/SUM($F$10:$F$499)</f>
        <v>#N/A</v>
      </c>
      <c r="Y8" s="182"/>
      <c r="Z8" s="184"/>
      <c r="AA8" s="185"/>
      <c r="AB8" s="185"/>
      <c r="AC8" s="185"/>
      <c r="AD8" s="185"/>
      <c r="AE8" s="185"/>
      <c r="AF8" s="182"/>
      <c r="AG8" s="182"/>
      <c r="AH8" s="182" t="n">
        <f aca="false">SUMPRODUCT(AH10:AH300,F10:F300)/F8</f>
        <v>0.0228112678538991</v>
      </c>
      <c r="AI8" s="182"/>
      <c r="AJ8" s="182"/>
      <c r="AK8" s="182"/>
      <c r="AL8" s="182" t="e">
        <f aca="false">AW8/$E8</f>
        <v>#NAME?</v>
      </c>
      <c r="AM8" s="182" t="e">
        <f aca="false">BC8/$F8</f>
        <v>#N/A</v>
      </c>
      <c r="AN8" s="182" t="e">
        <f aca="false">AY8/$E8</f>
        <v>#N/A</v>
      </c>
      <c r="AR8" s="186"/>
      <c r="AT8" s="187" t="n">
        <f aca="false">SUM(AT10:AT500)</f>
        <v>163</v>
      </c>
      <c r="AU8" s="187" t="n">
        <f aca="false">SUM(AU10:AU500)</f>
        <v>4962</v>
      </c>
      <c r="AW8" s="188" t="e">
        <f aca="false">SUM(AW10:AW501)</f>
        <v>#NAME?</v>
      </c>
      <c r="AX8" s="188" t="e">
        <f aca="false">SUM(AX10:AX501)</f>
        <v>#N/A</v>
      </c>
      <c r="AY8" s="188" t="e">
        <f aca="false">SUM(AY10:AY501)</f>
        <v>#N/A</v>
      </c>
      <c r="BA8" s="188" t="n">
        <f aca="false">SUM(BA10:BA501)</f>
        <v>0</v>
      </c>
      <c r="BC8" s="189" t="e">
        <f aca="false">SUM(BC10:BC501)</f>
        <v>#N/A</v>
      </c>
    </row>
    <row r="9" customFormat="false" ht="12.75" hidden="false" customHeight="false" outlineLevel="0" collapsed="false">
      <c r="B9" s="190"/>
      <c r="C9" s="190"/>
      <c r="D9" s="190"/>
      <c r="E9" s="190"/>
      <c r="F9" s="190"/>
      <c r="G9" s="191"/>
      <c r="H9" s="191"/>
      <c r="I9" s="191"/>
      <c r="J9" s="191"/>
      <c r="K9" s="191"/>
      <c r="L9" s="191"/>
      <c r="M9" s="191"/>
      <c r="O9" s="191"/>
      <c r="P9" s="191"/>
      <c r="Q9" s="191"/>
      <c r="R9" s="191"/>
      <c r="S9" s="191"/>
      <c r="T9" s="191"/>
      <c r="U9" s="191"/>
      <c r="V9" s="192"/>
      <c r="W9" s="191"/>
      <c r="X9" s="191"/>
      <c r="Y9" s="191"/>
      <c r="Z9" s="193"/>
      <c r="AA9" s="185"/>
      <c r="AB9" s="185"/>
      <c r="AC9" s="185"/>
      <c r="AD9" s="185"/>
      <c r="AE9" s="185"/>
      <c r="AF9" s="194"/>
      <c r="AG9" s="182"/>
      <c r="AH9" s="182"/>
      <c r="AI9" s="182"/>
      <c r="AJ9" s="191"/>
      <c r="AK9" s="191"/>
      <c r="AL9" s="191"/>
      <c r="AM9" s="191"/>
      <c r="AN9" s="191"/>
      <c r="AW9" s="195"/>
      <c r="BC9" s="179"/>
    </row>
    <row r="10" customFormat="false" ht="12.75" hidden="false" customHeight="false" outlineLevel="0" collapsed="false">
      <c r="A10" s="196" t="n">
        <f aca="false">A3</f>
        <v>37043</v>
      </c>
      <c r="B10" s="197" t="n">
        <f aca="false">Summary!O7</f>
        <v>40000</v>
      </c>
      <c r="C10" s="198"/>
      <c r="D10" s="197" t="n">
        <f aca="false">IF(A11&lt;&gt;"",B10+C10,"")</f>
        <v>40000</v>
      </c>
      <c r="E10" s="199" t="n">
        <f aca="false">IF(A11="","",IF(AND(AT10=1,$H$3=1),D10*AO10,IF($H$3=2,D10,"N/A")))</f>
        <v>1200000</v>
      </c>
      <c r="F10" s="199" t="n">
        <f aca="false">IF(A11="","",E10*AS10)</f>
        <v>12877829.6525471</v>
      </c>
      <c r="G10" s="200" t="e">
        <f aca="false">IF($A11="","",VLOOKUP($A10,Table,MATCH(G$4,Curves,0)))</f>
        <v>#N/A</v>
      </c>
      <c r="H10" s="201" t="e">
        <f aca="false">IF(A11="","",G10)</f>
        <v>#N/A</v>
      </c>
      <c r="I10" s="202"/>
      <c r="J10" s="200" t="e">
        <f aca="false">IF($A11="","",VLOOKUP($A10,Table,MATCH(J$4,Curves,0)))</f>
        <v>#N/A</v>
      </c>
      <c r="K10" s="201" t="e">
        <f aca="false">IF(A11="","",J10)</f>
        <v>#N/A</v>
      </c>
      <c r="L10" s="200" t="e">
        <f aca="false">IF($A11="","",VLOOKUP($A10,Table,MATCH(L$4,Curves,0)))</f>
        <v>#N/A</v>
      </c>
      <c r="M10" s="201" t="e">
        <f aca="false">IF(A11="","",L10)</f>
        <v>#N/A</v>
      </c>
      <c r="N10" s="203"/>
      <c r="O10" s="200" t="e">
        <f aca="false">IF(A11="","",L10+J10+G10)</f>
        <v>#N/A</v>
      </c>
      <c r="P10" s="200" t="e">
        <f aca="false">IF(A11="","",M10+K10+H10)</f>
        <v>#N/A</v>
      </c>
      <c r="Q10" s="204"/>
      <c r="R10" s="200" t="e">
        <f aca="false">IF($A11="","",VLOOKUP($A10,Table,MATCH(R$4,Curves,0)))</f>
        <v>#N/A</v>
      </c>
      <c r="S10" s="201" t="e">
        <f aca="false">IF(A11="","",R10)</f>
        <v>#N/A</v>
      </c>
      <c r="T10" s="200" t="e">
        <f aca="false">IF($A11="","",VLOOKUP($A10,Table,MATCH(T$4,Curves,0)))</f>
        <v>#N/A</v>
      </c>
      <c r="U10" s="201" t="e">
        <f aca="false">IF(A11="","",T10)</f>
        <v>#N/A</v>
      </c>
      <c r="V10" s="205" t="e">
        <f aca="false">IF($A11="","",IF(AND(MONTH(A10)&gt;3,MONTH(A10)&lt;11),(T10+R10+G10)*Summary!$T$7/(1-Summary!$T$7),(T10+R10+G10)*Summary!$U$7/(1-Summary!$U$7)))</f>
        <v>#N/A</v>
      </c>
      <c r="W10" s="200" t="e">
        <f aca="false">IF($A11="","",(T10+R10+G10+V10))</f>
        <v>#N/A</v>
      </c>
      <c r="X10" s="200" t="e">
        <f aca="false">IF($A11="","",(U10+S10+H10+V10))</f>
        <v>#N/A</v>
      </c>
      <c r="Y10" s="202"/>
      <c r="Z10" s="185" t="e">
        <f aca="false">IF($A11="","",VLOOKUP($A10,Table,MATCH(Z$4,Curves,0)))</f>
        <v>#N/A</v>
      </c>
      <c r="AA10" s="185" t="e">
        <f aca="false">IF($A11="","",VLOOKUP($A10,Table,MATCH(AA$4,Curves,0)))</f>
        <v>#N/A</v>
      </c>
      <c r="AB10" s="185" t="e">
        <f aca="false">SQRT((AA10^2*(A10-$D$3)+Z10^2*(DAY(EOMONTH(A10,0))/2))/AK10)</f>
        <v>#N/A</v>
      </c>
      <c r="AC10" s="185" t="e">
        <f aca="false">IF($A11="","",VLOOKUP($A10,Table,MATCH(AC$4,Curves,0)))</f>
        <v>#N/A</v>
      </c>
      <c r="AD10" s="185" t="e">
        <f aca="false">IF($A11="","",VLOOKUP($A10,Table,MATCH(AD$4,Curves,0)))</f>
        <v>#N/A</v>
      </c>
      <c r="AE10" s="185" t="e">
        <f aca="false">SQRT((AD10^2*(A10-$D$3)+AC10^2*(DAY(EOMONTH(A10,0))/2))/AK10)</f>
        <v>#N/A</v>
      </c>
      <c r="AF10" s="206" t="e">
        <f aca="false">((Summary!$N$7*(AA10*AD10)*(A10-$D$3))+(Summary!$M$7*Z10*AC10*(DAY(EOMONTH(A10,0))/2)))/(AK10*AB10*AE10)</f>
        <v>#N/A</v>
      </c>
      <c r="AG10" s="207" t="n">
        <f aca="false">IF($A11="","",Summary!$Q$7)</f>
        <v>0</v>
      </c>
      <c r="AH10" s="207" t="n">
        <f aca="false">IF($A11="","",IF(Summary!$R$7="Y",(VLOOKUP($A10,Summary!$AD$6:$AF$9,3)+'Escalating commodity'!C23),'Escalating commodity'!C23))</f>
        <v>0.0252</v>
      </c>
      <c r="AI10" s="207" t="n">
        <f aca="false">IF($A11="","",AH10)</f>
        <v>0.0252</v>
      </c>
      <c r="AJ10" s="208" t="n">
        <f aca="false">A10+DAY(EOMONTH(A10,0))/2-1</f>
        <v>37057</v>
      </c>
      <c r="AK10" s="209" t="n">
        <f aca="false">IF($A11="","",$A10-$E$1)</f>
        <v>-8883</v>
      </c>
      <c r="AL10" s="182" t="e">
        <f aca="false">IF($A11="","",SPRDOPT(P10,X10,AI10,0,AB10,AE10,AF10,AK10,$AJ$2,0))</f>
        <v>#NAME?</v>
      </c>
      <c r="AM10" s="210" t="e">
        <f aca="false">IF($A11="","",MAX(0,O10-W10-AI10))</f>
        <v>#N/A</v>
      </c>
      <c r="AN10" s="211" t="e">
        <f aca="false">IF($A11="","",AL10-AM10)</f>
        <v>#N/A</v>
      </c>
      <c r="AO10" s="137" t="n">
        <f aca="false">IF(A11="","",A11-A10)</f>
        <v>30</v>
      </c>
      <c r="AP10" s="212" t="n">
        <f aca="false">IF(A11="","",CHOOSE(F$3,A11+24,A10))</f>
        <v>37043</v>
      </c>
      <c r="AQ10" s="209" t="n">
        <f aca="false">IF(A11="","",AP10-$E$1)</f>
        <v>-8883</v>
      </c>
      <c r="AR10" s="185" t="n">
        <f aca="false">IF(Summary!$H$2=1,VLOOKUP('ANR OK vs ML7'!A10,Curves!$C$17:$AR$273,MATCH('ANR OK vs ML7'!$AR$4,Curves!$C$8:$AQ$8,0)),0.1)</f>
        <v>0.1</v>
      </c>
      <c r="AS10" s="213" t="n">
        <f aca="false">IF(A11="","",1/(1+CHOOSE(F$3,(AR11+($I$3/10000))/2,(AR10+($I$3/10000))/2))^(2*AQ10/365.25))</f>
        <v>10.7315247104559</v>
      </c>
      <c r="AT10" s="137" t="n">
        <f aca="false">IF(A11="","",IF(AND(mthbeg&lt;=A10,mthend&gt;=A10),1,0))</f>
        <v>1</v>
      </c>
      <c r="AU10" s="137" t="n">
        <f aca="false">IF(A11="","",AO10*AT10)</f>
        <v>30</v>
      </c>
      <c r="AW10" s="195" t="e">
        <f aca="false">IF($A11="","",AL10*$E10)</f>
        <v>#NAME?</v>
      </c>
      <c r="AX10" s="195" t="e">
        <f aca="false">IF($A11="","",AM10*$E10)</f>
        <v>#N/A</v>
      </c>
      <c r="AY10" s="195" t="e">
        <f aca="false">IF($A11="","",AN10*$E10)</f>
        <v>#N/A</v>
      </c>
      <c r="AZ10" s="214"/>
      <c r="BA10" s="195" t="n">
        <f aca="false">IF($A11="","",F10*Summary!$Q$7)</f>
        <v>0</v>
      </c>
      <c r="BC10" s="179" t="e">
        <f aca="false">IF(A11="","",AM10*F10)</f>
        <v>#N/A</v>
      </c>
    </row>
    <row r="11" customFormat="false" ht="12.75" hidden="false" customHeight="false" outlineLevel="0" collapsed="false">
      <c r="A11" s="196" t="n">
        <f aca="false">IF(A10&lt;mthend,EDATE(A10,1),"")</f>
        <v>37073</v>
      </c>
      <c r="B11" s="197" t="n">
        <f aca="false">IF(A11&lt;mthend,B10,"")</f>
        <v>40000</v>
      </c>
      <c r="C11" s="215"/>
      <c r="D11" s="197" t="n">
        <f aca="false">IF(A12&lt;&gt;"",B11+C11,"")</f>
        <v>40000</v>
      </c>
      <c r="E11" s="199" t="n">
        <f aca="false">IF(A12="","",IF(AND(AT11=1,$H$3=1),D11*AO11,IF($H$3=2,D11,"N/A")))</f>
        <v>1240000</v>
      </c>
      <c r="F11" s="199" t="n">
        <f aca="false">IF(A12="","",E11*AS11)</f>
        <v>13200863.0852503</v>
      </c>
      <c r="G11" s="200" t="e">
        <f aca="false">IF($A12="","",VLOOKUP($A11,Table,MATCH(G$4,Curves,0)))</f>
        <v>#N/A</v>
      </c>
      <c r="H11" s="201" t="e">
        <f aca="false">IF(A12="","",G11)</f>
        <v>#N/A</v>
      </c>
      <c r="I11" s="202"/>
      <c r="J11" s="200" t="e">
        <f aca="false">IF($A12="","",VLOOKUP($A11,Table,MATCH(J$4,Curves,0)))</f>
        <v>#N/A</v>
      </c>
      <c r="K11" s="201" t="e">
        <f aca="false">IF(A12="","",J11)</f>
        <v>#N/A</v>
      </c>
      <c r="L11" s="200" t="e">
        <f aca="false">IF($A12="","",VLOOKUP($A11,Table,MATCH(L$4,Curves,0)))</f>
        <v>#N/A</v>
      </c>
      <c r="M11" s="201" t="e">
        <f aca="false">IF(A12="","",L11)</f>
        <v>#N/A</v>
      </c>
      <c r="N11" s="203"/>
      <c r="O11" s="200" t="e">
        <f aca="false">IF(A12="","",L11+J11+G11)</f>
        <v>#N/A</v>
      </c>
      <c r="P11" s="200" t="e">
        <f aca="false">IF(A12="","",M11+K11+H11)</f>
        <v>#N/A</v>
      </c>
      <c r="Q11" s="204"/>
      <c r="R11" s="200" t="e">
        <f aca="false">IF($A12="","",VLOOKUP($A11,Table,MATCH(R$4,Curves,0)))</f>
        <v>#N/A</v>
      </c>
      <c r="S11" s="201" t="e">
        <f aca="false">IF(A12="","",R11)</f>
        <v>#N/A</v>
      </c>
      <c r="T11" s="200" t="e">
        <f aca="false">IF($A12="","",VLOOKUP($A11,Table,MATCH(T$4,Curves,0)))</f>
        <v>#N/A</v>
      </c>
      <c r="U11" s="201" t="e">
        <f aca="false">IF(A12="","",T11)</f>
        <v>#N/A</v>
      </c>
      <c r="V11" s="183" t="e">
        <f aca="false">IF($A12="","",IF(AND(MONTH(A11)&gt;3,MONTH(A11)&lt;11),(T11+R11+G11)*Summary!$T$7/(1-Summary!$T$7),(T11+R11+G11)*Summary!$U$7/(1-Summary!$U$7)))</f>
        <v>#N/A</v>
      </c>
      <c r="W11" s="200" t="e">
        <f aca="false">IF($A12="","",(T11+R11+G11+V11))</f>
        <v>#N/A</v>
      </c>
      <c r="X11" s="200" t="e">
        <f aca="false">IF($A12="","",(U11+S11+H11+V11))</f>
        <v>#N/A</v>
      </c>
      <c r="Y11" s="202"/>
      <c r="Z11" s="185" t="e">
        <f aca="false">IF($A12="","",VLOOKUP($A11,Table,MATCH(Z$4,Curves,0)))</f>
        <v>#N/A</v>
      </c>
      <c r="AA11" s="185" t="e">
        <f aca="false">IF($A12="","",VLOOKUP($A11,Table,MATCH(AA$4,Curves,0)))</f>
        <v>#N/A</v>
      </c>
      <c r="AB11" s="185" t="e">
        <f aca="false">SQRT((AA11^2*(A11-$D$3)+Z11^2*(DAY(EOMONTH(A11,0))/2))/AK11)</f>
        <v>#N/A</v>
      </c>
      <c r="AC11" s="185" t="e">
        <f aca="false">IF($A12="","",VLOOKUP($A11,Table,MATCH(AC$4,Curves,0)))</f>
        <v>#N/A</v>
      </c>
      <c r="AD11" s="185" t="e">
        <f aca="false">IF($A12="","",VLOOKUP($A11,Table,MATCH(AD$4,Curves,0)))</f>
        <v>#N/A</v>
      </c>
      <c r="AE11" s="185" t="e">
        <f aca="false">SQRT((AD11^2*(A11-$D$3)+AC11^2*(DAY(EOMONTH(A11,0))/2))/AK11)</f>
        <v>#N/A</v>
      </c>
      <c r="AF11" s="206" t="e">
        <f aca="false">((Summary!$N$7*(AA11*AD11)*(A11-$D$3))+(Summary!$M$7*Z11*AC11*(DAY(EOMONTH(A11,0))/2)))/(AK11*AB11*AE11)</f>
        <v>#N/A</v>
      </c>
      <c r="AG11" s="207" t="n">
        <f aca="false">IF($A12="","",Summary!$Q$7)</f>
        <v>0</v>
      </c>
      <c r="AH11" s="207" t="n">
        <f aca="false">IF($A12="","",IF(Summary!$R$7="Y",(VLOOKUP($A11,Summary!$AD$6:$AF$9,3)+'Escalating commodity'!C24),'Escalating commodity'!C24))</f>
        <v>0.0252</v>
      </c>
      <c r="AI11" s="207" t="n">
        <f aca="false">IF($A12="","",AH11)</f>
        <v>0.0252</v>
      </c>
      <c r="AJ11" s="208" t="n">
        <f aca="false">A11+DAY(EOMONTH(A11,0))/2-1</f>
        <v>37087.5</v>
      </c>
      <c r="AK11" s="209" t="n">
        <f aca="false">IF($A12="","",$A11-$E$1)</f>
        <v>-8853</v>
      </c>
      <c r="AL11" s="182" t="e">
        <f aca="false">IF($A12="","",SPRDOPT(P11,X11,AI11,0,AB11,AE11,AF11,AK11,$AJ$2,0))</f>
        <v>#NAME?</v>
      </c>
      <c r="AM11" s="210" t="e">
        <f aca="false">IF($A12="","",MAX(0,O11-W11-AI11))</f>
        <v>#N/A</v>
      </c>
      <c r="AN11" s="211" t="e">
        <f aca="false">IF($A12="","",AL11-AM11)</f>
        <v>#N/A</v>
      </c>
      <c r="AO11" s="137" t="n">
        <f aca="false">IF(A12="","",A12-A11)</f>
        <v>31</v>
      </c>
      <c r="AP11" s="212" t="n">
        <f aca="false">IF(A12="","",CHOOSE(F$3,A12+24,A11))</f>
        <v>37073</v>
      </c>
      <c r="AQ11" s="209" t="n">
        <f aca="false">IF(A12="","",AP11-$E$1)</f>
        <v>-8853</v>
      </c>
      <c r="AR11" s="185" t="n">
        <f aca="false">IF(Summary!$H$2=1,VLOOKUP('ANR OK vs ML7'!A11,Curves!$C$17:$AR$273,MATCH('ANR OK vs ML7'!$AR$4,Curves!$C$8:$AQ$8,0)),0.1)</f>
        <v>0.1</v>
      </c>
      <c r="AS11" s="213" t="n">
        <f aca="false">IF(A12="","",1/(1+CHOOSE(F$3,(AR12+($I$3/10000))/2,(AR11+($I$3/10000))/2))^(2*AQ11/365.25))</f>
        <v>10.6458573268147</v>
      </c>
      <c r="AT11" s="137" t="n">
        <f aca="false">IF(A12="","",IF(AND(mthbeg&lt;=A11,mthend&gt;=A11),1,0))</f>
        <v>1</v>
      </c>
      <c r="AU11" s="137" t="n">
        <f aca="false">IF(A12="","",AO11*AT11)</f>
        <v>31</v>
      </c>
      <c r="AW11" s="195" t="e">
        <f aca="false">IF($A12="","",AL11*$E11)</f>
        <v>#NAME?</v>
      </c>
      <c r="AX11" s="195" t="e">
        <f aca="false">IF($A12="","",AM11*$E11)</f>
        <v>#N/A</v>
      </c>
      <c r="AY11" s="195" t="e">
        <f aca="false">IF($A12="","",AN11*$E11)</f>
        <v>#N/A</v>
      </c>
      <c r="BA11" s="195" t="n">
        <f aca="false">IF($A12="","",F11*Summary!$Q$7)</f>
        <v>0</v>
      </c>
      <c r="BC11" s="179" t="e">
        <f aca="false">IF(A12="","",AM11*F11)</f>
        <v>#N/A</v>
      </c>
    </row>
    <row r="12" customFormat="false" ht="12.75" hidden="false" customHeight="false" outlineLevel="0" collapsed="false">
      <c r="A12" s="196" t="n">
        <f aca="false">IF(A11&lt;mthend,EDATE(A11,1),"")</f>
        <v>37104</v>
      </c>
      <c r="B12" s="197" t="n">
        <f aca="false">IF(A12&lt;mthend,B11,"")</f>
        <v>40000</v>
      </c>
      <c r="C12" s="215"/>
      <c r="D12" s="197" t="n">
        <f aca="false">IF(A13&lt;&gt;"",B12+C12,"")</f>
        <v>40000</v>
      </c>
      <c r="E12" s="199" t="n">
        <f aca="false">IF(A13="","",IF(AND(AT12=1,$H$3=1),D12*AO12,IF($H$3=2,D12,"N/A")))</f>
        <v>1240000</v>
      </c>
      <c r="F12" s="199" t="n">
        <f aca="false">IF(A13="","",E12*AS12)</f>
        <v>13091985.3935363</v>
      </c>
      <c r="G12" s="200" t="e">
        <f aca="false">IF($A13="","",VLOOKUP($A12,Table,MATCH(G$4,Curves,0)))</f>
        <v>#N/A</v>
      </c>
      <c r="H12" s="201" t="e">
        <f aca="false">IF(A13="","",G12)</f>
        <v>#N/A</v>
      </c>
      <c r="I12" s="202"/>
      <c r="J12" s="200" t="e">
        <f aca="false">IF($A13="","",VLOOKUP($A12,Table,MATCH(J$4,Curves,0)))</f>
        <v>#N/A</v>
      </c>
      <c r="K12" s="201" t="e">
        <f aca="false">IF(A13="","",J12)</f>
        <v>#N/A</v>
      </c>
      <c r="L12" s="200" t="e">
        <f aca="false">IF($A13="","",VLOOKUP($A12,Table,MATCH(L$4,Curves,0)))</f>
        <v>#N/A</v>
      </c>
      <c r="M12" s="201" t="e">
        <f aca="false">IF(A13="","",L12)</f>
        <v>#N/A</v>
      </c>
      <c r="N12" s="203"/>
      <c r="O12" s="200" t="e">
        <f aca="false">IF(A13="","",L12+J12+G12)</f>
        <v>#N/A</v>
      </c>
      <c r="P12" s="200" t="e">
        <f aca="false">IF(A13="","",M12+K12+H12)</f>
        <v>#N/A</v>
      </c>
      <c r="Q12" s="204"/>
      <c r="R12" s="200" t="e">
        <f aca="false">IF($A13="","",VLOOKUP($A12,Table,MATCH(R$4,Curves,0)))</f>
        <v>#N/A</v>
      </c>
      <c r="S12" s="201" t="e">
        <f aca="false">IF(A13="","",R12)</f>
        <v>#N/A</v>
      </c>
      <c r="T12" s="200" t="e">
        <f aca="false">IF($A13="","",VLOOKUP($A12,Table,MATCH(T$4,Curves,0)))</f>
        <v>#N/A</v>
      </c>
      <c r="U12" s="201" t="e">
        <f aca="false">IF(A13="","",T12)</f>
        <v>#N/A</v>
      </c>
      <c r="V12" s="183" t="e">
        <f aca="false">IF($A13="","",IF(AND(MONTH(A12)&gt;3,MONTH(A12)&lt;11),(T12+R12+G12)*Summary!$T$7/(1-Summary!$T$7),(T12+R12+G12)*Summary!$U$7/(1-Summary!$U$7)))</f>
        <v>#N/A</v>
      </c>
      <c r="W12" s="200" t="e">
        <f aca="false">IF($A13="","",(T12+R12+G12+V12))</f>
        <v>#N/A</v>
      </c>
      <c r="X12" s="200" t="e">
        <f aca="false">IF($A13="","",(U12+S12+H12+V12))</f>
        <v>#N/A</v>
      </c>
      <c r="Y12" s="202"/>
      <c r="Z12" s="185" t="e">
        <f aca="false">IF($A13="","",VLOOKUP($A12,Table,MATCH(Z$4,Curves,0)))</f>
        <v>#N/A</v>
      </c>
      <c r="AA12" s="185" t="e">
        <f aca="false">IF($A13="","",VLOOKUP($A12,Table,MATCH(AA$4,Curves,0)))</f>
        <v>#N/A</v>
      </c>
      <c r="AB12" s="185" t="e">
        <f aca="false">SQRT((AA12^2*(A12-$D$3)+Z12^2*(DAY(EOMONTH(A12,0))/2))/AK12)</f>
        <v>#N/A</v>
      </c>
      <c r="AC12" s="185" t="e">
        <f aca="false">IF($A13="","",VLOOKUP($A12,Table,MATCH(AC$4,Curves,0)))</f>
        <v>#N/A</v>
      </c>
      <c r="AD12" s="185" t="e">
        <f aca="false">IF($A13="","",VLOOKUP($A12,Table,MATCH(AD$4,Curves,0)))</f>
        <v>#N/A</v>
      </c>
      <c r="AE12" s="185" t="e">
        <f aca="false">SQRT((AD12^2*(A12-$D$3)+AC12^2*(DAY(EOMONTH(A12,0))/2))/AK12)</f>
        <v>#N/A</v>
      </c>
      <c r="AF12" s="206" t="e">
        <f aca="false">((Summary!$N$7*(AA12*AD12)*(A12-$D$3))+(Summary!$M$7*Z12*AC12*(DAY(EOMONTH(A12,0))/2)))/(AK12*AB12*AE12)</f>
        <v>#N/A</v>
      </c>
      <c r="AG12" s="207" t="n">
        <f aca="false">IF($A13="","",Summary!$Q$7)</f>
        <v>0</v>
      </c>
      <c r="AH12" s="207" t="n">
        <f aca="false">IF($A13="","",IF(Summary!$R$7="Y",(VLOOKUP($A12,Summary!$AD$6:$AF$9,3)+'Escalating commodity'!C25),'Escalating commodity'!C25))</f>
        <v>0.0252</v>
      </c>
      <c r="AI12" s="207" t="n">
        <f aca="false">IF($A13="","",AH12)</f>
        <v>0.0252</v>
      </c>
      <c r="AJ12" s="208" t="n">
        <f aca="false">A12+DAY(EOMONTH(A12,0))/2-1</f>
        <v>37118.5</v>
      </c>
      <c r="AK12" s="209" t="n">
        <f aca="false">IF($A13="","",$A12-$E$1)</f>
        <v>-8822</v>
      </c>
      <c r="AL12" s="182" t="e">
        <f aca="false">IF($A13="","",SPRDOPT(P12,X12,AI12,0,AB12,AE12,AF12,AK12,$AJ$2,0))</f>
        <v>#NAME?</v>
      </c>
      <c r="AM12" s="210" t="e">
        <f aca="false">IF($A13="","",MAX(0,O12-W12-AI12))</f>
        <v>#N/A</v>
      </c>
      <c r="AN12" s="211" t="e">
        <f aca="false">IF($A13="","",AL12-AM12)</f>
        <v>#N/A</v>
      </c>
      <c r="AO12" s="137" t="n">
        <f aca="false">IF(A13="","",A13-A12)</f>
        <v>31</v>
      </c>
      <c r="AP12" s="212" t="n">
        <f aca="false">IF(A13="","",CHOOSE(F$3,A13+24,A12))</f>
        <v>37104</v>
      </c>
      <c r="AQ12" s="209" t="n">
        <f aca="false">IF(A13="","",AP12-$E$1)</f>
        <v>-8822</v>
      </c>
      <c r="AR12" s="185" t="n">
        <f aca="false">IF(Summary!$H$2=1,VLOOKUP('ANR OK vs ML7'!A12,Curves!$C$17:$AR$273,MATCH('ANR OK vs ML7'!$AR$4,Curves!$C$8:$AQ$8,0)),0.1)</f>
        <v>0.1</v>
      </c>
      <c r="AS12" s="213" t="n">
        <f aca="false">IF(A13="","",1/(1+CHOOSE(F$3,(AR13+($I$3/10000))/2,(AR12+($I$3/10000))/2))^(2*AQ12/365.25))</f>
        <v>10.5580527367228</v>
      </c>
      <c r="AT12" s="137" t="n">
        <f aca="false">IF(A13="","",IF(AND(mthbeg&lt;=A12,mthend&gt;=A12),1,0))</f>
        <v>1</v>
      </c>
      <c r="AU12" s="137" t="n">
        <f aca="false">IF(A13="","",AO12*AT12)</f>
        <v>31</v>
      </c>
      <c r="AW12" s="195" t="e">
        <f aca="false">IF($A13="","",AL12*$E12)</f>
        <v>#NAME?</v>
      </c>
      <c r="AX12" s="195" t="e">
        <f aca="false">IF($A13="","",AM12*$E12)</f>
        <v>#N/A</v>
      </c>
      <c r="AY12" s="195" t="e">
        <f aca="false">IF($A13="","",AN12*$E12)</f>
        <v>#N/A</v>
      </c>
      <c r="BA12" s="195" t="n">
        <f aca="false">IF($A13="","",F12*Summary!$Q$7)</f>
        <v>0</v>
      </c>
      <c r="BC12" s="179" t="e">
        <f aca="false">IF(A13="","",AM12*F12)</f>
        <v>#N/A</v>
      </c>
    </row>
    <row r="13" customFormat="false" ht="12.75" hidden="false" customHeight="false" outlineLevel="0" collapsed="false">
      <c r="A13" s="196" t="n">
        <f aca="false">IF(A12&lt;mthend,EDATE(A12,1),"")</f>
        <v>37135</v>
      </c>
      <c r="B13" s="197" t="n">
        <f aca="false">IF(A13&lt;mthend,B12,"")</f>
        <v>40000</v>
      </c>
      <c r="C13" s="215"/>
      <c r="D13" s="197" t="n">
        <f aca="false">IF(A14&lt;&gt;"",B13+C13,"")</f>
        <v>40000</v>
      </c>
      <c r="E13" s="199" t="n">
        <f aca="false">IF(A14="","",IF(AND(AT13=1,$H$3=1),D13*AO13,IF($H$3=2,D13,"N/A")))</f>
        <v>1200000</v>
      </c>
      <c r="F13" s="199" t="n">
        <f aca="false">IF(A14="","",E13*AS13)</f>
        <v>12565166.8065072</v>
      </c>
      <c r="G13" s="200" t="e">
        <f aca="false">IF($A14="","",VLOOKUP($A13,Table,MATCH(G$4,Curves,0)))</f>
        <v>#N/A</v>
      </c>
      <c r="H13" s="201" t="e">
        <f aca="false">IF(A14="","",G13)</f>
        <v>#N/A</v>
      </c>
      <c r="I13" s="202"/>
      <c r="J13" s="200" t="e">
        <f aca="false">IF($A14="","",VLOOKUP($A13,Table,MATCH(J$4,Curves,0)))</f>
        <v>#N/A</v>
      </c>
      <c r="K13" s="201" t="e">
        <f aca="false">IF(A14="","",J13)</f>
        <v>#N/A</v>
      </c>
      <c r="L13" s="200" t="e">
        <f aca="false">IF($A14="","",VLOOKUP($A13,Table,MATCH(L$4,Curves,0)))</f>
        <v>#N/A</v>
      </c>
      <c r="M13" s="201" t="e">
        <f aca="false">IF(A14="","",L13)</f>
        <v>#N/A</v>
      </c>
      <c r="N13" s="203"/>
      <c r="O13" s="200" t="e">
        <f aca="false">IF(A14="","",L13+J13+G13)</f>
        <v>#N/A</v>
      </c>
      <c r="P13" s="200" t="e">
        <f aca="false">IF(A14="","",M13+K13+H13)</f>
        <v>#N/A</v>
      </c>
      <c r="Q13" s="204"/>
      <c r="R13" s="200" t="e">
        <f aca="false">IF($A14="","",VLOOKUP($A13,Table,MATCH(R$4,Curves,0)))</f>
        <v>#N/A</v>
      </c>
      <c r="S13" s="201" t="e">
        <f aca="false">IF(A14="","",R13)</f>
        <v>#N/A</v>
      </c>
      <c r="T13" s="200" t="e">
        <f aca="false">IF($A14="","",VLOOKUP($A13,Table,MATCH(T$4,Curves,0)))</f>
        <v>#N/A</v>
      </c>
      <c r="U13" s="201" t="e">
        <f aca="false">IF(A14="","",T13)</f>
        <v>#N/A</v>
      </c>
      <c r="V13" s="183" t="e">
        <f aca="false">IF($A14="","",IF(AND(MONTH(A13)&gt;3,MONTH(A13)&lt;11),(T13+R13+G13)*Summary!$T$7/(1-Summary!$T$7),(T13+R13+G13)*Summary!$U$7/(1-Summary!$U$7)))</f>
        <v>#N/A</v>
      </c>
      <c r="W13" s="200" t="e">
        <f aca="false">IF($A14="","",(T13+R13+G13+V13))</f>
        <v>#N/A</v>
      </c>
      <c r="X13" s="200" t="e">
        <f aca="false">IF($A14="","",(U13+S13+H13+V13))</f>
        <v>#N/A</v>
      </c>
      <c r="Y13" s="202"/>
      <c r="Z13" s="185" t="e">
        <f aca="false">IF($A14="","",VLOOKUP($A13,Table,MATCH(Z$4,Curves,0)))</f>
        <v>#N/A</v>
      </c>
      <c r="AA13" s="185" t="e">
        <f aca="false">IF($A14="","",VLOOKUP($A13,Table,MATCH(AA$4,Curves,0)))</f>
        <v>#N/A</v>
      </c>
      <c r="AB13" s="185" t="e">
        <f aca="false">SQRT((AA13^2*(A13-$D$3)+Z13^2*(DAY(EOMONTH(A13,0))/2))/AK13)</f>
        <v>#N/A</v>
      </c>
      <c r="AC13" s="185" t="e">
        <f aca="false">IF($A14="","",VLOOKUP($A13,Table,MATCH(AC$4,Curves,0)))</f>
        <v>#N/A</v>
      </c>
      <c r="AD13" s="185" t="e">
        <f aca="false">IF($A14="","",VLOOKUP($A13,Table,MATCH(AD$4,Curves,0)))</f>
        <v>#N/A</v>
      </c>
      <c r="AE13" s="185" t="e">
        <f aca="false">SQRT((AD13^2*(A13-$D$3)+AC13^2*(DAY(EOMONTH(A13,0))/2))/AK13)</f>
        <v>#N/A</v>
      </c>
      <c r="AF13" s="206" t="e">
        <f aca="false">((Summary!$N$7*(AA13*AD13)*(A13-$D$3))+(Summary!$M$7*Z13*AC13*(DAY(EOMONTH(A13,0))/2)))/(AK13*AB13*AE13)</f>
        <v>#N/A</v>
      </c>
      <c r="AG13" s="207" t="n">
        <f aca="false">IF($A14="","",Summary!$Q$7)</f>
        <v>0</v>
      </c>
      <c r="AH13" s="207" t="n">
        <f aca="false">IF($A14="","",IF(Summary!$R$7="Y",(VLOOKUP($A13,Summary!$AD$6:$AF$9,3)+'Escalating commodity'!C26),'Escalating commodity'!C26))</f>
        <v>0.0252</v>
      </c>
      <c r="AI13" s="207" t="n">
        <f aca="false">IF($A14="","",AH13)</f>
        <v>0.0252</v>
      </c>
      <c r="AJ13" s="208" t="n">
        <f aca="false">A13+DAY(EOMONTH(A13,0))/2-1</f>
        <v>37149</v>
      </c>
      <c r="AK13" s="209" t="n">
        <f aca="false">IF($A14="","",$A13-$E$1)</f>
        <v>-8791</v>
      </c>
      <c r="AL13" s="182" t="e">
        <f aca="false">IF($A14="","",SPRDOPT(P13,X13,AI13,0,AB13,AE13,AF13,AK13,$AJ$2,0))</f>
        <v>#NAME?</v>
      </c>
      <c r="AM13" s="210" t="e">
        <f aca="false">IF($A14="","",MAX(0,O13-W13-AI13))</f>
        <v>#N/A</v>
      </c>
      <c r="AN13" s="211" t="e">
        <f aca="false">IF($A14="","",AL13-AM13)</f>
        <v>#N/A</v>
      </c>
      <c r="AO13" s="137" t="n">
        <f aca="false">IF(A14="","",A14-A13)</f>
        <v>30</v>
      </c>
      <c r="AP13" s="212" t="n">
        <f aca="false">IF(A14="","",CHOOSE(F$3,A14+24,A13))</f>
        <v>37135</v>
      </c>
      <c r="AQ13" s="209" t="n">
        <f aca="false">IF(A14="","",AP13-$E$1)</f>
        <v>-8791</v>
      </c>
      <c r="AR13" s="185" t="n">
        <f aca="false">IF(Summary!$H$2=1,VLOOKUP('ANR OK vs ML7'!A13,Curves!$C$17:$AR$273,MATCH('ANR OK vs ML7'!$AR$4,Curves!$C$8:$AQ$8,0)),0.1)</f>
        <v>0.1</v>
      </c>
      <c r="AS13" s="213" t="n">
        <f aca="false">IF(A14="","",1/(1+CHOOSE(F$3,(AR14+($I$3/10000))/2,(AR13+($I$3/10000))/2))^(2*AQ13/365.25))</f>
        <v>10.470972338756</v>
      </c>
      <c r="AT13" s="137" t="n">
        <f aca="false">IF(A14="","",IF(AND(mthbeg&lt;=A13,mthend&gt;=A13),1,0))</f>
        <v>1</v>
      </c>
      <c r="AU13" s="137" t="n">
        <f aca="false">IF(A14="","",AO13*AT13)</f>
        <v>30</v>
      </c>
      <c r="AW13" s="195" t="e">
        <f aca="false">IF($A14="","",AL13*$E13)</f>
        <v>#NAME?</v>
      </c>
      <c r="AX13" s="195" t="e">
        <f aca="false">IF($A14="","",AM13*$E13)</f>
        <v>#N/A</v>
      </c>
      <c r="AY13" s="195" t="e">
        <f aca="false">IF($A14="","",AN13*$E13)</f>
        <v>#N/A</v>
      </c>
      <c r="BA13" s="195" t="n">
        <f aca="false">IF($A14="","",F13*Summary!$Q$7)</f>
        <v>0</v>
      </c>
      <c r="BC13" s="179" t="e">
        <f aca="false">IF(A14="","",AM13*F13)</f>
        <v>#N/A</v>
      </c>
    </row>
    <row r="14" customFormat="false" ht="12.75" hidden="false" customHeight="false" outlineLevel="0" collapsed="false">
      <c r="A14" s="196" t="n">
        <f aca="false">IF(A13&lt;mthend,EDATE(A13,1),"")</f>
        <v>37165</v>
      </c>
      <c r="B14" s="197" t="n">
        <f aca="false">IF(A14&lt;mthend,B13,"")</f>
        <v>40000</v>
      </c>
      <c r="C14" s="215"/>
      <c r="D14" s="197" t="n">
        <f aca="false">IF(A15&lt;&gt;"",B14+C14,"")</f>
        <v>40000</v>
      </c>
      <c r="E14" s="199" t="n">
        <f aca="false">IF(A15="","",IF(AND(AT14=1,$H$3=1),D14*AO14,IF($H$3=2,D14,"N/A")))</f>
        <v>1240000</v>
      </c>
      <c r="F14" s="199" t="n">
        <f aca="false">IF(A15="","",E14*AS14)</f>
        <v>12880357.2598295</v>
      </c>
      <c r="G14" s="200" t="e">
        <f aca="false">IF($A15="","",VLOOKUP($A14,Table,MATCH(G$4,Curves,0)))</f>
        <v>#N/A</v>
      </c>
      <c r="H14" s="201" t="e">
        <f aca="false">IF(A15="","",G14)</f>
        <v>#N/A</v>
      </c>
      <c r="I14" s="202"/>
      <c r="J14" s="200" t="e">
        <f aca="false">IF($A15="","",VLOOKUP($A14,Table,MATCH(J$4,Curves,0)))</f>
        <v>#N/A</v>
      </c>
      <c r="K14" s="201" t="e">
        <f aca="false">IF(A15="","",J14)</f>
        <v>#N/A</v>
      </c>
      <c r="L14" s="200" t="e">
        <f aca="false">IF($A15="","",VLOOKUP($A14,Table,MATCH(L$4,Curves,0)))</f>
        <v>#N/A</v>
      </c>
      <c r="M14" s="201" t="e">
        <f aca="false">IF(A15="","",L14)</f>
        <v>#N/A</v>
      </c>
      <c r="N14" s="203"/>
      <c r="O14" s="200" t="e">
        <f aca="false">IF(A15="","",L14+J14+G14)</f>
        <v>#N/A</v>
      </c>
      <c r="P14" s="200" t="e">
        <f aca="false">IF(A15="","",M14+K14+H14)</f>
        <v>#N/A</v>
      </c>
      <c r="Q14" s="204"/>
      <c r="R14" s="200" t="e">
        <f aca="false">IF($A15="","",VLOOKUP($A14,Table,MATCH(R$4,Curves,0)))</f>
        <v>#N/A</v>
      </c>
      <c r="S14" s="201" t="e">
        <f aca="false">IF(A15="","",R14)</f>
        <v>#N/A</v>
      </c>
      <c r="T14" s="200" t="e">
        <f aca="false">IF($A15="","",VLOOKUP($A14,Table,MATCH(T$4,Curves,0)))</f>
        <v>#N/A</v>
      </c>
      <c r="U14" s="201" t="e">
        <f aca="false">IF(A15="","",T14)</f>
        <v>#N/A</v>
      </c>
      <c r="V14" s="183" t="e">
        <f aca="false">IF($A15="","",IF(AND(MONTH(A14)&gt;3,MONTH(A14)&lt;11),(T14+R14+G14)*Summary!$T$7/(1-Summary!$T$7),(T14+R14+G14)*Summary!$U$7/(1-Summary!$U$7)))</f>
        <v>#N/A</v>
      </c>
      <c r="W14" s="200" t="e">
        <f aca="false">IF($A15="","",(T14+R14+G14+V14))</f>
        <v>#N/A</v>
      </c>
      <c r="X14" s="200" t="e">
        <f aca="false">IF($A15="","",(U14+S14+H14+V14))</f>
        <v>#N/A</v>
      </c>
      <c r="Y14" s="202"/>
      <c r="Z14" s="185" t="e">
        <f aca="false">IF($A15="","",VLOOKUP($A14,Table,MATCH(Z$4,Curves,0)))</f>
        <v>#N/A</v>
      </c>
      <c r="AA14" s="185" t="e">
        <f aca="false">IF($A15="","",VLOOKUP($A14,Table,MATCH(AA$4,Curves,0)))</f>
        <v>#N/A</v>
      </c>
      <c r="AB14" s="185" t="e">
        <f aca="false">SQRT((AA14^2*(A14-$D$3)+Z14^2*(DAY(EOMONTH(A14,0))/2))/AK14)</f>
        <v>#N/A</v>
      </c>
      <c r="AC14" s="185" t="e">
        <f aca="false">IF($A15="","",VLOOKUP($A14,Table,MATCH(AC$4,Curves,0)))</f>
        <v>#N/A</v>
      </c>
      <c r="AD14" s="185" t="e">
        <f aca="false">IF($A15="","",VLOOKUP($A14,Table,MATCH(AD$4,Curves,0)))</f>
        <v>#N/A</v>
      </c>
      <c r="AE14" s="185" t="e">
        <f aca="false">SQRT((AD14^2*(A14-$D$3)+AC14^2*(DAY(EOMONTH(A14,0))/2))/AK14)</f>
        <v>#N/A</v>
      </c>
      <c r="AF14" s="206" t="e">
        <f aca="false">((Summary!$N$7*(AA14*AD14)*(A14-$D$3))+(Summary!$M$7*Z14*AC14*(DAY(EOMONTH(A14,0))/2)))/(AK14*AB14*AE14)</f>
        <v>#N/A</v>
      </c>
      <c r="AG14" s="207" t="n">
        <f aca="false">IF($A15="","",Summary!$Q$7)</f>
        <v>0</v>
      </c>
      <c r="AH14" s="207" t="n">
        <f aca="false">IF($A15="","",IF(Summary!$R$7="Y",(VLOOKUP($A14,Summary!$AD$6:$AF$9,3)+'Escalating commodity'!C27),'Escalating commodity'!C27))</f>
        <v>0.0252</v>
      </c>
      <c r="AI14" s="207" t="n">
        <f aca="false">IF($A15="","",AH14)</f>
        <v>0.0252</v>
      </c>
      <c r="AJ14" s="208" t="n">
        <f aca="false">A14+DAY(EOMONTH(A14,0))/2-1</f>
        <v>37179.5</v>
      </c>
      <c r="AK14" s="209" t="n">
        <f aca="false">IF($A15="","",$A14-$E$1)</f>
        <v>-8761</v>
      </c>
      <c r="AL14" s="182" t="e">
        <f aca="false">IF($A15="","",SPRDOPT(P14,X14,AI14,0,AB14,AE14,AF14,AK14,$AJ$2,0))</f>
        <v>#NAME?</v>
      </c>
      <c r="AM14" s="210" t="e">
        <f aca="false">IF($A15="","",MAX(0,O14-W14-AI14))</f>
        <v>#N/A</v>
      </c>
      <c r="AN14" s="211" t="e">
        <f aca="false">IF($A15="","",AL14-AM14)</f>
        <v>#N/A</v>
      </c>
      <c r="AO14" s="137" t="n">
        <f aca="false">IF(A15="","",A15-A14)</f>
        <v>31</v>
      </c>
      <c r="AP14" s="212" t="n">
        <f aca="false">IF(A15="","",CHOOSE(F$3,A15+24,A14))</f>
        <v>37165</v>
      </c>
      <c r="AQ14" s="209" t="n">
        <f aca="false">IF(A15="","",AP14-$E$1)</f>
        <v>-8761</v>
      </c>
      <c r="AR14" s="185" t="n">
        <f aca="false">IF(Summary!$H$2=1,VLOOKUP('ANR OK vs ML7'!A14,Curves!$C$17:$AR$273,MATCH('ANR OK vs ML7'!$AR$4,Curves!$C$8:$AQ$8,0)),0.1)</f>
        <v>0.1</v>
      </c>
      <c r="AS14" s="213" t="n">
        <f aca="false">IF(A15="","",1/(1+CHOOSE(F$3,(AR15+($I$3/10000))/2,(AR14+($I$3/10000))/2))^(2*AQ14/365.25))</f>
        <v>10.3873848869592</v>
      </c>
      <c r="AT14" s="137" t="n">
        <f aca="false">IF(A15="","",IF(AND(mthbeg&lt;=A14,mthend&gt;=A14),1,0))</f>
        <v>1</v>
      </c>
      <c r="AU14" s="137" t="n">
        <f aca="false">IF(A15="","",AO14*AT14)</f>
        <v>31</v>
      </c>
      <c r="AW14" s="195" t="e">
        <f aca="false">IF($A15="","",AL14*$E14)</f>
        <v>#NAME?</v>
      </c>
      <c r="AX14" s="195" t="e">
        <f aca="false">IF($A15="","",AM14*$E14)</f>
        <v>#N/A</v>
      </c>
      <c r="AY14" s="195" t="e">
        <f aca="false">IF($A15="","",AN14*$E14)</f>
        <v>#N/A</v>
      </c>
      <c r="BA14" s="195" t="n">
        <f aca="false">IF($A15="","",F14*Summary!$Q$7)</f>
        <v>0</v>
      </c>
      <c r="BC14" s="179" t="e">
        <f aca="false">IF(A15="","",AM14*F14)</f>
        <v>#N/A</v>
      </c>
    </row>
    <row r="15" customFormat="false" ht="12.75" hidden="false" customHeight="false" outlineLevel="0" collapsed="false">
      <c r="A15" s="196" t="n">
        <f aca="false">IF(A14&lt;mthend,EDATE(A14,1),"")</f>
        <v>37196</v>
      </c>
      <c r="B15" s="197" t="n">
        <f aca="false">IF(A15&lt;mthend,B14,"")</f>
        <v>40000</v>
      </c>
      <c r="C15" s="215"/>
      <c r="D15" s="197" t="n">
        <f aca="false">IF(A16&lt;&gt;"",B15+C15,"")</f>
        <v>40000</v>
      </c>
      <c r="E15" s="199" t="n">
        <f aca="false">IF(A16="","",IF(AND(AT15=1,$H$3=1),D15*AO15,IF($H$3=2,D15,"N/A")))</f>
        <v>1200000</v>
      </c>
      <c r="F15" s="199" t="n">
        <f aca="false">IF(A16="","",E15*AS15)</f>
        <v>12362054.5419389</v>
      </c>
      <c r="G15" s="200" t="e">
        <f aca="false">IF($A16="","",VLOOKUP($A15,Table,MATCH(G$4,Curves,0)))</f>
        <v>#N/A</v>
      </c>
      <c r="H15" s="201" t="e">
        <f aca="false">IF(A16="","",G15)</f>
        <v>#N/A</v>
      </c>
      <c r="I15" s="202"/>
      <c r="J15" s="200" t="e">
        <f aca="false">IF($A16="","",VLOOKUP($A15,Table,MATCH(J$4,Curves,0)))</f>
        <v>#N/A</v>
      </c>
      <c r="K15" s="201" t="e">
        <f aca="false">IF(A16="","",J15)</f>
        <v>#N/A</v>
      </c>
      <c r="L15" s="200" t="e">
        <f aca="false">IF($A16="","",VLOOKUP($A15,Table,MATCH(L$4,Curves,0)))</f>
        <v>#N/A</v>
      </c>
      <c r="M15" s="201" t="e">
        <f aca="false">IF(A16="","",L15)</f>
        <v>#N/A</v>
      </c>
      <c r="N15" s="203"/>
      <c r="O15" s="200" t="e">
        <f aca="false">IF(A16="","",L15+J15+G15)</f>
        <v>#N/A</v>
      </c>
      <c r="P15" s="200" t="e">
        <f aca="false">IF(A16="","",M15+K15+H15)</f>
        <v>#N/A</v>
      </c>
      <c r="Q15" s="204"/>
      <c r="R15" s="200" t="e">
        <f aca="false">IF($A16="","",VLOOKUP($A15,Table,MATCH(R$4,Curves,0)))</f>
        <v>#N/A</v>
      </c>
      <c r="S15" s="201" t="e">
        <f aca="false">IF(A16="","",R15)</f>
        <v>#N/A</v>
      </c>
      <c r="T15" s="200" t="e">
        <f aca="false">IF($A16="","",VLOOKUP($A15,Table,MATCH(T$4,Curves,0)))</f>
        <v>#N/A</v>
      </c>
      <c r="U15" s="201" t="e">
        <f aca="false">IF(A16="","",T15)</f>
        <v>#N/A</v>
      </c>
      <c r="V15" s="183" t="e">
        <f aca="false">IF($A16="","",IF(AND(MONTH(A15)&gt;3,MONTH(A15)&lt;11),(T15+R15+G15)*Summary!$T$7/(1-Summary!$T$7),(T15+R15+G15)*Summary!$U$7/(1-Summary!$U$7)))</f>
        <v>#N/A</v>
      </c>
      <c r="W15" s="200" t="e">
        <f aca="false">IF($A16="","",(T15+R15+G15+V15))</f>
        <v>#N/A</v>
      </c>
      <c r="X15" s="200" t="e">
        <f aca="false">IF($A16="","",(U15+S15+H15+V15))</f>
        <v>#N/A</v>
      </c>
      <c r="Y15" s="202"/>
      <c r="Z15" s="185" t="e">
        <f aca="false">IF($A16="","",VLOOKUP($A15,Table,MATCH(Z$4,Curves,0)))</f>
        <v>#N/A</v>
      </c>
      <c r="AA15" s="185" t="e">
        <f aca="false">IF($A16="","",VLOOKUP($A15,Table,MATCH(AA$4,Curves,0)))</f>
        <v>#N/A</v>
      </c>
      <c r="AB15" s="185" t="e">
        <f aca="false">SQRT((AA15^2*(A15-$D$3)+Z15^2*(DAY(EOMONTH(A15,0))/2))/AK15)</f>
        <v>#N/A</v>
      </c>
      <c r="AC15" s="185" t="e">
        <f aca="false">IF($A16="","",VLOOKUP($A15,Table,MATCH(AC$4,Curves,0)))</f>
        <v>#N/A</v>
      </c>
      <c r="AD15" s="185" t="e">
        <f aca="false">IF($A16="","",VLOOKUP($A15,Table,MATCH(AD$4,Curves,0)))</f>
        <v>#N/A</v>
      </c>
      <c r="AE15" s="185" t="e">
        <f aca="false">SQRT((AD15^2*(A15-$D$3)+AC15^2*(DAY(EOMONTH(A15,0))/2))/AK15)</f>
        <v>#N/A</v>
      </c>
      <c r="AF15" s="206" t="e">
        <f aca="false">((Summary!$N$7*(AA15*AD15)*(A15-$D$3))+(Summary!$M$7*Z15*AC15*(DAY(EOMONTH(A15,0))/2)))/(AK15*AB15*AE15)</f>
        <v>#N/A</v>
      </c>
      <c r="AG15" s="207" t="n">
        <f aca="false">IF($A16="","",Summary!$Q$7)</f>
        <v>0</v>
      </c>
      <c r="AH15" s="207" t="n">
        <f aca="false">IF($A16="","",IF(Summary!$R$7="Y",(VLOOKUP($A15,Summary!$AD$6:$AF$9,3)+'Escalating commodity'!C28),'Escalating commodity'!C28))</f>
        <v>0.0252</v>
      </c>
      <c r="AI15" s="207" t="n">
        <f aca="false">IF($A16="","",AH15)</f>
        <v>0.0252</v>
      </c>
      <c r="AJ15" s="208" t="n">
        <f aca="false">A15+DAY(EOMONTH(A15,0))/2-1</f>
        <v>37210</v>
      </c>
      <c r="AK15" s="209" t="n">
        <f aca="false">IF($A16="","",$A15-$E$1)</f>
        <v>-8730</v>
      </c>
      <c r="AL15" s="182" t="e">
        <f aca="false">IF($A16="","",SPRDOPT(P15,X15,AI15,0,AB15,AE15,AF15,AK15,$AJ$2,0))</f>
        <v>#NAME?</v>
      </c>
      <c r="AM15" s="210" t="e">
        <f aca="false">IF($A16="","",MAX(0,O15-W15-AI15))</f>
        <v>#N/A</v>
      </c>
      <c r="AN15" s="211" t="e">
        <f aca="false">IF($A16="","",AL15-AM15)</f>
        <v>#N/A</v>
      </c>
      <c r="AO15" s="137" t="n">
        <f aca="false">IF(A16="","",A16-A15)</f>
        <v>30</v>
      </c>
      <c r="AP15" s="212" t="n">
        <f aca="false">IF(A16="","",CHOOSE(F$3,A16+24,A15))</f>
        <v>37196</v>
      </c>
      <c r="AQ15" s="209" t="n">
        <f aca="false">IF(A16="","",AP15-$E$1)</f>
        <v>-8730</v>
      </c>
      <c r="AR15" s="185" t="n">
        <f aca="false">IF(Summary!$H$2=1,VLOOKUP('ANR OK vs ML7'!A15,Curves!$C$17:$AR$273,MATCH('ANR OK vs ML7'!$AR$4,Curves!$C$8:$AQ$8,0)),0.1)</f>
        <v>0.1</v>
      </c>
      <c r="AS15" s="213" t="n">
        <f aca="false">IF(A16="","",1/(1+CHOOSE(F$3,(AR16+($I$3/10000))/2,(AR15+($I$3/10000))/2))^(2*AQ15/365.25))</f>
        <v>10.3017121182824</v>
      </c>
      <c r="AT15" s="137" t="n">
        <f aca="false">IF(A16="","",IF(AND(mthbeg&lt;=A15,mthend&gt;=A15),1,0))</f>
        <v>1</v>
      </c>
      <c r="AU15" s="137" t="n">
        <f aca="false">IF(A16="","",AO15*AT15)</f>
        <v>30</v>
      </c>
      <c r="AW15" s="195" t="e">
        <f aca="false">IF($A16="","",AL15*$E15)</f>
        <v>#NAME?</v>
      </c>
      <c r="AX15" s="195" t="e">
        <f aca="false">IF($A16="","",AM15*$E15)</f>
        <v>#N/A</v>
      </c>
      <c r="AY15" s="195" t="e">
        <f aca="false">IF($A16="","",AN15*$E15)</f>
        <v>#N/A</v>
      </c>
      <c r="BA15" s="195" t="n">
        <f aca="false">IF($A16="","",F15*Summary!$Q$7)</f>
        <v>0</v>
      </c>
      <c r="BC15" s="179" t="e">
        <f aca="false">IF(A16="","",AM15*F15)</f>
        <v>#N/A</v>
      </c>
    </row>
    <row r="16" customFormat="false" ht="12.75" hidden="false" customHeight="false" outlineLevel="0" collapsed="false">
      <c r="A16" s="196" t="n">
        <f aca="false">IF(A15&lt;mthend,EDATE(A15,1),"")</f>
        <v>37226</v>
      </c>
      <c r="B16" s="197" t="n">
        <f aca="false">IF(A16&lt;mthend,B15,"")</f>
        <v>40000</v>
      </c>
      <c r="C16" s="215"/>
      <c r="D16" s="197" t="n">
        <f aca="false">IF(A17&lt;&gt;"",B16+C16,"")</f>
        <v>40000</v>
      </c>
      <c r="E16" s="199" t="n">
        <f aca="false">IF(A17="","",IF(AND(AT16=1,$H$3=1),D16*AO16,IF($H$3=2,D16,"N/A")))</f>
        <v>1240000</v>
      </c>
      <c r="F16" s="199" t="n">
        <f aca="false">IF(A17="","",E16*AS16)</f>
        <v>12672150.0333136</v>
      </c>
      <c r="G16" s="200" t="e">
        <f aca="false">IF($A17="","",VLOOKUP($A16,Table,MATCH(G$4,Curves,0)))</f>
        <v>#N/A</v>
      </c>
      <c r="H16" s="201" t="e">
        <f aca="false">IF(A17="","",G16)</f>
        <v>#N/A</v>
      </c>
      <c r="I16" s="202"/>
      <c r="J16" s="200" t="e">
        <f aca="false">IF($A17="","",VLOOKUP($A16,Table,MATCH(J$4,Curves,0)))</f>
        <v>#N/A</v>
      </c>
      <c r="K16" s="201" t="e">
        <f aca="false">IF(A17="","",J16)</f>
        <v>#N/A</v>
      </c>
      <c r="L16" s="200" t="e">
        <f aca="false">IF($A17="","",VLOOKUP($A16,Table,MATCH(L$4,Curves,0)))</f>
        <v>#N/A</v>
      </c>
      <c r="M16" s="201" t="e">
        <f aca="false">IF(A17="","",L16)</f>
        <v>#N/A</v>
      </c>
      <c r="N16" s="203"/>
      <c r="O16" s="200" t="e">
        <f aca="false">IF(A17="","",L16+J16+G16)</f>
        <v>#N/A</v>
      </c>
      <c r="P16" s="200" t="e">
        <f aca="false">IF(A17="","",M16+K16+H16)</f>
        <v>#N/A</v>
      </c>
      <c r="Q16" s="204"/>
      <c r="R16" s="200" t="e">
        <f aca="false">IF($A17="","",VLOOKUP($A16,Table,MATCH(R$4,Curves,0)))</f>
        <v>#N/A</v>
      </c>
      <c r="S16" s="201" t="e">
        <f aca="false">IF(A17="","",R16)</f>
        <v>#N/A</v>
      </c>
      <c r="T16" s="200" t="e">
        <f aca="false">IF($A17="","",VLOOKUP($A16,Table,MATCH(T$4,Curves,0)))</f>
        <v>#N/A</v>
      </c>
      <c r="U16" s="201" t="e">
        <f aca="false">IF(A17="","",T16)</f>
        <v>#N/A</v>
      </c>
      <c r="V16" s="183" t="e">
        <f aca="false">IF($A17="","",IF(AND(MONTH(A16)&gt;3,MONTH(A16)&lt;11),(T16+R16+G16)*Summary!$T$7/(1-Summary!$T$7),(T16+R16+G16)*Summary!$U$7/(1-Summary!$U$7)))</f>
        <v>#N/A</v>
      </c>
      <c r="W16" s="200" t="e">
        <f aca="false">IF($A17="","",(T16+R16+G16+V16))</f>
        <v>#N/A</v>
      </c>
      <c r="X16" s="200" t="e">
        <f aca="false">IF($A17="","",(U16+S16+H16+V16))</f>
        <v>#N/A</v>
      </c>
      <c r="Y16" s="202"/>
      <c r="Z16" s="185" t="e">
        <f aca="false">IF($A17="","",VLOOKUP($A16,Table,MATCH(Z$4,Curves,0)))</f>
        <v>#N/A</v>
      </c>
      <c r="AA16" s="185" t="e">
        <f aca="false">IF($A17="","",VLOOKUP($A16,Table,MATCH(AA$4,Curves,0)))</f>
        <v>#N/A</v>
      </c>
      <c r="AB16" s="185" t="e">
        <f aca="false">SQRT((AA16^2*(A16-$D$3)+Z16^2*(DAY(EOMONTH(A16,0))/2))/AK16)</f>
        <v>#N/A</v>
      </c>
      <c r="AC16" s="185" t="e">
        <f aca="false">IF($A17="","",VLOOKUP($A16,Table,MATCH(AC$4,Curves,0)))</f>
        <v>#N/A</v>
      </c>
      <c r="AD16" s="185" t="e">
        <f aca="false">IF($A17="","",VLOOKUP($A16,Table,MATCH(AD$4,Curves,0)))</f>
        <v>#N/A</v>
      </c>
      <c r="AE16" s="185" t="e">
        <f aca="false">SQRT((AD16^2*(A16-$D$3)+AC16^2*(DAY(EOMONTH(A16,0))/2))/AK16)</f>
        <v>#N/A</v>
      </c>
      <c r="AF16" s="206" t="e">
        <f aca="false">((Summary!$N$7*(AA16*AD16)*(A16-$D$3))+(Summary!$M$7*Z16*AC16*(DAY(EOMONTH(A16,0))/2)))/(AK16*AB16*AE16)</f>
        <v>#N/A</v>
      </c>
      <c r="AG16" s="207" t="n">
        <f aca="false">IF($A17="","",Summary!$Q$7)</f>
        <v>0</v>
      </c>
      <c r="AH16" s="207" t="n">
        <f aca="false">IF($A17="","",IF(Summary!$R$7="Y",(VLOOKUP($A16,Summary!$AD$6:$AF$9,3)+'Escalating commodity'!C29),'Escalating commodity'!C29))</f>
        <v>0.0252</v>
      </c>
      <c r="AI16" s="207" t="n">
        <f aca="false">IF($A17="","",AH16)</f>
        <v>0.0252</v>
      </c>
      <c r="AJ16" s="208" t="n">
        <f aca="false">A16+DAY(EOMONTH(A16,0))/2-1</f>
        <v>37240.5</v>
      </c>
      <c r="AK16" s="209" t="n">
        <f aca="false">IF($A17="","",$A16-$E$1)</f>
        <v>-8700</v>
      </c>
      <c r="AL16" s="182" t="e">
        <f aca="false">IF($A17="","",SPRDOPT(P16,X16,AI16,0,AB16,AE16,AF16,AK16,$AJ$2,0))</f>
        <v>#NAME?</v>
      </c>
      <c r="AM16" s="210" t="e">
        <f aca="false">IF($A17="","",MAX(0,O16-W16-AI16))</f>
        <v>#N/A</v>
      </c>
      <c r="AN16" s="211" t="e">
        <f aca="false">IF($A17="","",AL16-AM16)</f>
        <v>#N/A</v>
      </c>
      <c r="AO16" s="137" t="n">
        <f aca="false">IF(A17="","",A17-A16)</f>
        <v>31</v>
      </c>
      <c r="AP16" s="212" t="n">
        <f aca="false">IF(A17="","",CHOOSE(F$3,A17+24,A16))</f>
        <v>37226</v>
      </c>
      <c r="AQ16" s="209" t="n">
        <f aca="false">IF(A17="","",AP16-$E$1)</f>
        <v>-8700</v>
      </c>
      <c r="AR16" s="185" t="n">
        <f aca="false">IF(Summary!$H$2=1,VLOOKUP('ANR OK vs ML7'!A16,Curves!$C$17:$AR$273,MATCH('ANR OK vs ML7'!$AR$4,Curves!$C$8:$AQ$8,0)),0.1)</f>
        <v>0.1</v>
      </c>
      <c r="AS16" s="213" t="n">
        <f aca="false">IF(A17="","",1/(1+CHOOSE(F$3,(AR17+($I$3/10000))/2,(AR16+($I$3/10000))/2))^(2*AQ16/365.25))</f>
        <v>10.2194758333174</v>
      </c>
      <c r="AT16" s="137" t="n">
        <f aca="false">IF(A17="","",IF(AND(mthbeg&lt;=A16,mthend&gt;=A16),1,0))</f>
        <v>1</v>
      </c>
      <c r="AU16" s="137" t="n">
        <f aca="false">IF(A17="","",AO16*AT16)</f>
        <v>31</v>
      </c>
      <c r="AW16" s="195" t="e">
        <f aca="false">IF($A17="","",AL16*$E16)</f>
        <v>#NAME?</v>
      </c>
      <c r="AX16" s="195" t="e">
        <f aca="false">IF($A17="","",AM16*$E16)</f>
        <v>#N/A</v>
      </c>
      <c r="AY16" s="195" t="e">
        <f aca="false">IF($A17="","",AN16*$E16)</f>
        <v>#N/A</v>
      </c>
      <c r="BA16" s="195" t="n">
        <f aca="false">IF($A17="","",F16*Summary!$Q$7)</f>
        <v>0</v>
      </c>
      <c r="BC16" s="179" t="e">
        <f aca="false">IF(A17="","",AM16*F16)</f>
        <v>#N/A</v>
      </c>
    </row>
    <row r="17" customFormat="false" ht="12.75" hidden="false" customHeight="false" outlineLevel="0" collapsed="false">
      <c r="A17" s="196" t="n">
        <f aca="false">IF(A16&lt;mthend,EDATE(A16,1),"")</f>
        <v>37257</v>
      </c>
      <c r="B17" s="197" t="n">
        <f aca="false">IF(A17&lt;mthend,B16,"")</f>
        <v>40000</v>
      </c>
      <c r="C17" s="215"/>
      <c r="D17" s="197" t="n">
        <f aca="false">IF(A18&lt;&gt;"",B17+C17,"")</f>
        <v>40000</v>
      </c>
      <c r="E17" s="199" t="n">
        <f aca="false">IF(A18="","",IF(AND(AT17=1,$H$3=1),D17*AO17,IF($H$3=2,D17,"N/A")))</f>
        <v>1240000</v>
      </c>
      <c r="F17" s="199" t="n">
        <f aca="false">IF(A18="","",E17*AS17)</f>
        <v>12567633.0456158</v>
      </c>
      <c r="G17" s="200" t="e">
        <f aca="false">IF($A18="","",VLOOKUP($A17,Table,MATCH(G$4,Curves,0)))</f>
        <v>#N/A</v>
      </c>
      <c r="H17" s="201" t="e">
        <f aca="false">IF(A18="","",G17)</f>
        <v>#N/A</v>
      </c>
      <c r="I17" s="202"/>
      <c r="J17" s="200" t="e">
        <f aca="false">IF($A18="","",VLOOKUP($A17,Table,MATCH(J$4,Curves,0)))</f>
        <v>#N/A</v>
      </c>
      <c r="K17" s="201" t="e">
        <f aca="false">IF(A18="","",J17)</f>
        <v>#N/A</v>
      </c>
      <c r="L17" s="200" t="e">
        <f aca="false">IF($A18="","",VLOOKUP($A17,Table,MATCH(L$4,Curves,0)))</f>
        <v>#N/A</v>
      </c>
      <c r="M17" s="201" t="e">
        <f aca="false">IF(A18="","",L17)</f>
        <v>#N/A</v>
      </c>
      <c r="N17" s="203"/>
      <c r="O17" s="200" t="e">
        <f aca="false">IF(A18="","",L17+J17+G17)</f>
        <v>#N/A</v>
      </c>
      <c r="P17" s="200" t="e">
        <f aca="false">IF(A18="","",M17+K17+H17)</f>
        <v>#N/A</v>
      </c>
      <c r="Q17" s="204"/>
      <c r="R17" s="200" t="e">
        <f aca="false">IF($A18="","",VLOOKUP($A17,Table,MATCH(R$4,Curves,0)))</f>
        <v>#N/A</v>
      </c>
      <c r="S17" s="201" t="e">
        <f aca="false">IF(A18="","",R17)</f>
        <v>#N/A</v>
      </c>
      <c r="T17" s="200" t="e">
        <f aca="false">IF($A18="","",VLOOKUP($A17,Table,MATCH(T$4,Curves,0)))</f>
        <v>#N/A</v>
      </c>
      <c r="U17" s="201" t="e">
        <f aca="false">IF(A18="","",T17)</f>
        <v>#N/A</v>
      </c>
      <c r="V17" s="183" t="e">
        <f aca="false">IF($A18="","",IF(AND(MONTH(A17)&gt;3,MONTH(A17)&lt;11),(T17+R17+G17)*Summary!$T$7/(1-Summary!$T$7),(T17+R17+G17)*Summary!$U$7/(1-Summary!$U$7)))</f>
        <v>#N/A</v>
      </c>
      <c r="W17" s="200" t="e">
        <f aca="false">IF($A18="","",(T17+R17+G17+V17))</f>
        <v>#N/A</v>
      </c>
      <c r="X17" s="200" t="e">
        <f aca="false">IF($A18="","",(U17+S17+H17+V17))</f>
        <v>#N/A</v>
      </c>
      <c r="Y17" s="202"/>
      <c r="Z17" s="185" t="e">
        <f aca="false">IF($A18="","",VLOOKUP($A17,Table,MATCH(Z$4,Curves,0)))</f>
        <v>#N/A</v>
      </c>
      <c r="AA17" s="185" t="e">
        <f aca="false">IF($A18="","",VLOOKUP($A17,Table,MATCH(AA$4,Curves,0)))</f>
        <v>#N/A</v>
      </c>
      <c r="AB17" s="185" t="e">
        <f aca="false">SQRT((AA17^2*(A17-$D$3)+Z17^2*(DAY(EOMONTH(A17,0))/2))/AK17)</f>
        <v>#N/A</v>
      </c>
      <c r="AC17" s="185" t="e">
        <f aca="false">IF($A18="","",VLOOKUP($A17,Table,MATCH(AC$4,Curves,0)))</f>
        <v>#N/A</v>
      </c>
      <c r="AD17" s="185" t="e">
        <f aca="false">IF($A18="","",VLOOKUP($A17,Table,MATCH(AD$4,Curves,0)))</f>
        <v>#N/A</v>
      </c>
      <c r="AE17" s="185" t="e">
        <f aca="false">SQRT((AD17^2*(A17-$D$3)+AC17^2*(DAY(EOMONTH(A17,0))/2))/AK17)</f>
        <v>#N/A</v>
      </c>
      <c r="AF17" s="206" t="e">
        <f aca="false">((Summary!$N$7*(AA17*AD17)*(A17-$D$3))+(Summary!$M$7*Z17*AC17*(DAY(EOMONTH(A17,0))/2)))/(AK17*AB17*AE17)</f>
        <v>#N/A</v>
      </c>
      <c r="AG17" s="207" t="n">
        <f aca="false">IF($A18="","",Summary!$Q$7)</f>
        <v>0</v>
      </c>
      <c r="AH17" s="207" t="n">
        <f aca="false">IF($A18="","",IF(Summary!$R$7="Y",(VLOOKUP($A17,Summary!$AD$6:$AF$9,3)+'Escalating commodity'!C30),'Escalating commodity'!C30))</f>
        <v>0.0232</v>
      </c>
      <c r="AI17" s="207" t="n">
        <f aca="false">IF($A18="","",AH17)</f>
        <v>0.0232</v>
      </c>
      <c r="AJ17" s="208" t="n">
        <f aca="false">A17+DAY(EOMONTH(A17,0))/2-1</f>
        <v>37271.5</v>
      </c>
      <c r="AK17" s="209" t="n">
        <f aca="false">IF($A18="","",$A17-$E$1)</f>
        <v>-8669</v>
      </c>
      <c r="AL17" s="182" t="e">
        <f aca="false">IF($A18="","",SPRDOPT(P17,X17,AI17,0,AB17,AE17,AF17,AK17,$AJ$2,0))</f>
        <v>#NAME?</v>
      </c>
      <c r="AM17" s="210" t="e">
        <f aca="false">IF($A18="","",MAX(0,O17-W17-AI17))</f>
        <v>#N/A</v>
      </c>
      <c r="AN17" s="211" t="e">
        <f aca="false">IF($A18="","",AL17-AM17)</f>
        <v>#N/A</v>
      </c>
      <c r="AO17" s="137" t="n">
        <f aca="false">IF(A18="","",A18-A17)</f>
        <v>31</v>
      </c>
      <c r="AP17" s="212" t="n">
        <f aca="false">IF(A18="","",CHOOSE(F$3,A18+24,A17))</f>
        <v>37257</v>
      </c>
      <c r="AQ17" s="209" t="n">
        <f aca="false">IF(A18="","",AP17-$E$1)</f>
        <v>-8669</v>
      </c>
      <c r="AR17" s="185" t="n">
        <f aca="false">IF(Summary!$H$2=1,VLOOKUP('ANR OK vs ML7'!A17,Curves!$C$17:$AR$273,MATCH('ANR OK vs ML7'!$AR$4,Curves!$C$8:$AQ$8,0)),0.1)</f>
        <v>0.1</v>
      </c>
      <c r="AS17" s="213" t="n">
        <f aca="false">IF(A18="","",1/(1+CHOOSE(F$3,(AR18+($I$3/10000))/2,(AR17+($I$3/10000))/2))^(2*AQ17/365.25))</f>
        <v>10.1351879400128</v>
      </c>
      <c r="AT17" s="137" t="n">
        <f aca="false">IF(A18="","",IF(AND(mthbeg&lt;=A17,mthend&gt;=A17),1,0))</f>
        <v>1</v>
      </c>
      <c r="AU17" s="137" t="n">
        <f aca="false">IF(A18="","",AO17*AT17)</f>
        <v>31</v>
      </c>
      <c r="AW17" s="195" t="e">
        <f aca="false">IF($A18="","",AL17*$E17)</f>
        <v>#NAME?</v>
      </c>
      <c r="AX17" s="195" t="e">
        <f aca="false">IF($A18="","",AM17*$E17)</f>
        <v>#N/A</v>
      </c>
      <c r="AY17" s="195" t="e">
        <f aca="false">IF($A18="","",AN17*$E17)</f>
        <v>#N/A</v>
      </c>
      <c r="BA17" s="195" t="n">
        <f aca="false">IF($A18="","",F17*Summary!$Q$7)</f>
        <v>0</v>
      </c>
      <c r="BC17" s="179" t="e">
        <f aca="false">IF(A18="","",AM17*F17)</f>
        <v>#N/A</v>
      </c>
    </row>
    <row r="18" customFormat="false" ht="12.75" hidden="false" customHeight="false" outlineLevel="0" collapsed="false">
      <c r="A18" s="196" t="n">
        <f aca="false">IF(A17&lt;mthend,EDATE(A17,1),"")</f>
        <v>37288</v>
      </c>
      <c r="B18" s="197" t="n">
        <f aca="false">IF(A18&lt;mthend,B17,"")</f>
        <v>40000</v>
      </c>
      <c r="C18" s="215"/>
      <c r="D18" s="197" t="n">
        <f aca="false">IF(A19&lt;&gt;"",B18+C18,"")</f>
        <v>40000</v>
      </c>
      <c r="E18" s="199" t="n">
        <f aca="false">IF(A19="","",IF(AND(AT18=1,$H$3=1),D18*AO18,IF($H$3=2,D18,"N/A")))</f>
        <v>1120000</v>
      </c>
      <c r="F18" s="199" t="n">
        <f aca="false">IF(A19="","",E18*AS18)</f>
        <v>11257786.6619955</v>
      </c>
      <c r="G18" s="200" t="e">
        <f aca="false">IF($A19="","",VLOOKUP($A18,Table,MATCH(G$4,Curves,0)))</f>
        <v>#N/A</v>
      </c>
      <c r="H18" s="201" t="e">
        <f aca="false">IF(A19="","",G18)</f>
        <v>#N/A</v>
      </c>
      <c r="I18" s="202"/>
      <c r="J18" s="200" t="e">
        <f aca="false">IF($A19="","",VLOOKUP($A18,Table,MATCH(J$4,Curves,0)))</f>
        <v>#N/A</v>
      </c>
      <c r="K18" s="201" t="e">
        <f aca="false">IF(A19="","",J18)</f>
        <v>#N/A</v>
      </c>
      <c r="L18" s="200" t="e">
        <f aca="false">IF($A19="","",VLOOKUP($A18,Table,MATCH(L$4,Curves,0)))</f>
        <v>#N/A</v>
      </c>
      <c r="M18" s="201" t="e">
        <f aca="false">IF(A19="","",L18)</f>
        <v>#N/A</v>
      </c>
      <c r="N18" s="203"/>
      <c r="O18" s="200" t="e">
        <f aca="false">IF(A19="","",L18+J18+G18)</f>
        <v>#N/A</v>
      </c>
      <c r="P18" s="200" t="e">
        <f aca="false">IF(A19="","",M18+K18+H18)</f>
        <v>#N/A</v>
      </c>
      <c r="Q18" s="204"/>
      <c r="R18" s="200" t="e">
        <f aca="false">IF($A19="","",VLOOKUP($A18,Table,MATCH(R$4,Curves,0)))</f>
        <v>#N/A</v>
      </c>
      <c r="S18" s="201" t="e">
        <f aca="false">IF(A19="","",R18)</f>
        <v>#N/A</v>
      </c>
      <c r="T18" s="200" t="e">
        <f aca="false">IF($A19="","",VLOOKUP($A18,Table,MATCH(T$4,Curves,0)))</f>
        <v>#N/A</v>
      </c>
      <c r="U18" s="201" t="e">
        <f aca="false">IF(A19="","",T18)</f>
        <v>#N/A</v>
      </c>
      <c r="V18" s="183" t="e">
        <f aca="false">IF($A19="","",IF(AND(MONTH(A18)&gt;3,MONTH(A18)&lt;11),(T18+R18+G18)*Summary!$T$7/(1-Summary!$T$7),(T18+R18+G18)*Summary!$U$7/(1-Summary!$U$7)))</f>
        <v>#N/A</v>
      </c>
      <c r="W18" s="200" t="e">
        <f aca="false">IF($A19="","",(T18+R18+G18+V18))</f>
        <v>#N/A</v>
      </c>
      <c r="X18" s="200" t="e">
        <f aca="false">IF($A19="","",(U18+S18+H18+V18))</f>
        <v>#N/A</v>
      </c>
      <c r="Y18" s="202"/>
      <c r="Z18" s="185" t="e">
        <f aca="false">IF($A19="","",VLOOKUP($A18,Table,MATCH(Z$4,Curves,0)))</f>
        <v>#N/A</v>
      </c>
      <c r="AA18" s="185" t="e">
        <f aca="false">IF($A19="","",VLOOKUP($A18,Table,MATCH(AA$4,Curves,0)))</f>
        <v>#N/A</v>
      </c>
      <c r="AB18" s="185" t="e">
        <f aca="false">SQRT((AA18^2*(A18-$D$3)+Z18^2*(DAY(EOMONTH(A18,0))/2))/AK18)</f>
        <v>#N/A</v>
      </c>
      <c r="AC18" s="185" t="e">
        <f aca="false">IF($A19="","",VLOOKUP($A18,Table,MATCH(AC$4,Curves,0)))</f>
        <v>#N/A</v>
      </c>
      <c r="AD18" s="185" t="e">
        <f aca="false">IF($A19="","",VLOOKUP($A18,Table,MATCH(AD$4,Curves,0)))</f>
        <v>#N/A</v>
      </c>
      <c r="AE18" s="185" t="e">
        <f aca="false">SQRT((AD18^2*(A18-$D$3)+AC18^2*(DAY(EOMONTH(A18,0))/2))/AK18)</f>
        <v>#N/A</v>
      </c>
      <c r="AF18" s="206" t="e">
        <f aca="false">((Summary!$N$7*(AA18*AD18)*(A18-$D$3))+(Summary!$M$7*Z18*AC18*(DAY(EOMONTH(A18,0))/2)))/(AK18*AB18*AE18)</f>
        <v>#N/A</v>
      </c>
      <c r="AG18" s="207" t="n">
        <f aca="false">IF($A19="","",Summary!$Q$7)</f>
        <v>0</v>
      </c>
      <c r="AH18" s="207" t="n">
        <f aca="false">IF($A19="","",IF(Summary!$R$7="Y",(VLOOKUP($A18,Summary!$AD$6:$AF$9,3)+'Escalating commodity'!C31),'Escalating commodity'!C31))</f>
        <v>0.0232</v>
      </c>
      <c r="AI18" s="207" t="n">
        <f aca="false">IF($A19="","",AH18)</f>
        <v>0.0232</v>
      </c>
      <c r="AJ18" s="208" t="n">
        <f aca="false">A18+DAY(EOMONTH(A18,0))/2-1</f>
        <v>37301</v>
      </c>
      <c r="AK18" s="209" t="n">
        <f aca="false">IF($A19="","",$A18-$E$1)</f>
        <v>-8638</v>
      </c>
      <c r="AL18" s="182" t="e">
        <f aca="false">IF($A19="","",SPRDOPT(P18,X18,AI18,0,AB18,AE18,AF18,AK18,$AJ$2,0))</f>
        <v>#NAME?</v>
      </c>
      <c r="AM18" s="210" t="e">
        <f aca="false">IF($A19="","",MAX(0,O18-W18-AI18))</f>
        <v>#N/A</v>
      </c>
      <c r="AN18" s="211" t="e">
        <f aca="false">IF($A19="","",AL18-AM18)</f>
        <v>#N/A</v>
      </c>
      <c r="AO18" s="137" t="n">
        <f aca="false">IF(A19="","",A19-A18)</f>
        <v>28</v>
      </c>
      <c r="AP18" s="212" t="n">
        <f aca="false">IF(A19="","",CHOOSE(F$3,A19+24,A18))</f>
        <v>37288</v>
      </c>
      <c r="AQ18" s="209" t="n">
        <f aca="false">IF(A19="","",AP18-$E$1)</f>
        <v>-8638</v>
      </c>
      <c r="AR18" s="185" t="n">
        <f aca="false">IF(Summary!$H$2=1,VLOOKUP('ANR OK vs ML7'!A18,Curves!$C$17:$AR$273,MATCH('ANR OK vs ML7'!$AR$4,Curves!$C$8:$AQ$8,0)),0.1)</f>
        <v>0.1</v>
      </c>
      <c r="AS18" s="213" t="n">
        <f aca="false">IF(A19="","",1/(1+CHOOSE(F$3,(AR19+($I$3/10000))/2,(AR18+($I$3/10000))/2))^(2*AQ18/365.25))</f>
        <v>10.0515952339246</v>
      </c>
      <c r="AT18" s="137" t="n">
        <f aca="false">IF(A19="","",IF(AND(mthbeg&lt;=A18,mthend&gt;=A18),1,0))</f>
        <v>1</v>
      </c>
      <c r="AU18" s="137" t="n">
        <f aca="false">IF(A19="","",AO18*AT18)</f>
        <v>28</v>
      </c>
      <c r="AW18" s="195" t="e">
        <f aca="false">IF($A19="","",AL18*$E18)</f>
        <v>#NAME?</v>
      </c>
      <c r="AX18" s="195" t="e">
        <f aca="false">IF($A19="","",AM18*$E18)</f>
        <v>#N/A</v>
      </c>
      <c r="AY18" s="195" t="e">
        <f aca="false">IF($A19="","",AN18*$E18)</f>
        <v>#N/A</v>
      </c>
      <c r="BA18" s="195" t="n">
        <f aca="false">IF($A19="","",F18*Summary!$Q$7)</f>
        <v>0</v>
      </c>
      <c r="BC18" s="179" t="e">
        <f aca="false">IF(A19="","",AM18*F18)</f>
        <v>#N/A</v>
      </c>
    </row>
    <row r="19" customFormat="false" ht="12.75" hidden="false" customHeight="false" outlineLevel="0" collapsed="false">
      <c r="A19" s="196" t="n">
        <f aca="false">IF(A18&lt;mthend,EDATE(A18,1),"")</f>
        <v>37316</v>
      </c>
      <c r="B19" s="197" t="n">
        <f aca="false">IF(A19&lt;mthend,B18,"")</f>
        <v>40000</v>
      </c>
      <c r="C19" s="215"/>
      <c r="D19" s="197" t="n">
        <f aca="false">IF(A20&lt;&gt;"",B19+C19,"")</f>
        <v>40000</v>
      </c>
      <c r="E19" s="199" t="n">
        <f aca="false">IF(A20="","",IF(AND(AT19=1,$H$3=1),D19*AO19,IF($H$3=2,D19,"N/A")))</f>
        <v>1240000</v>
      </c>
      <c r="F19" s="199" t="n">
        <f aca="false">IF(A20="","",E19*AS19)</f>
        <v>12371089.2791546</v>
      </c>
      <c r="G19" s="200" t="e">
        <f aca="false">IF($A20="","",VLOOKUP($A19,Table,MATCH(G$4,Curves,0)))</f>
        <v>#N/A</v>
      </c>
      <c r="H19" s="201" t="e">
        <f aca="false">IF(A20="","",G19)</f>
        <v>#N/A</v>
      </c>
      <c r="I19" s="202"/>
      <c r="J19" s="200" t="e">
        <f aca="false">IF($A20="","",VLOOKUP($A19,Table,MATCH(J$4,Curves,0)))</f>
        <v>#N/A</v>
      </c>
      <c r="K19" s="201" t="e">
        <f aca="false">IF(A20="","",J19)</f>
        <v>#N/A</v>
      </c>
      <c r="L19" s="200" t="e">
        <f aca="false">IF($A20="","",VLOOKUP($A19,Table,MATCH(L$4,Curves,0)))</f>
        <v>#N/A</v>
      </c>
      <c r="M19" s="201" t="e">
        <f aca="false">IF(A20="","",L19)</f>
        <v>#N/A</v>
      </c>
      <c r="N19" s="203"/>
      <c r="O19" s="200" t="e">
        <f aca="false">IF(A20="","",L19+J19+G19)</f>
        <v>#N/A</v>
      </c>
      <c r="P19" s="200" t="e">
        <f aca="false">IF(A20="","",M19+K19+H19)</f>
        <v>#N/A</v>
      </c>
      <c r="Q19" s="204"/>
      <c r="R19" s="200" t="e">
        <f aca="false">IF($A20="","",VLOOKUP($A19,Table,MATCH(R$4,Curves,0)))</f>
        <v>#N/A</v>
      </c>
      <c r="S19" s="201" t="e">
        <f aca="false">IF(A20="","",R19)</f>
        <v>#N/A</v>
      </c>
      <c r="T19" s="200" t="e">
        <f aca="false">IF($A20="","",VLOOKUP($A19,Table,MATCH(T$4,Curves,0)))</f>
        <v>#N/A</v>
      </c>
      <c r="U19" s="201" t="e">
        <f aca="false">IF(A20="","",T19)</f>
        <v>#N/A</v>
      </c>
      <c r="V19" s="183" t="e">
        <f aca="false">IF($A20="","",IF(AND(MONTH(A19)&gt;3,MONTH(A19)&lt;11),(T19+R19+G19)*Summary!$T$7/(1-Summary!$T$7),(T19+R19+G19)*Summary!$U$7/(1-Summary!$U$7)))</f>
        <v>#N/A</v>
      </c>
      <c r="W19" s="200" t="e">
        <f aca="false">IF($A20="","",(T19+R19+G19+V19))</f>
        <v>#N/A</v>
      </c>
      <c r="X19" s="200" t="e">
        <f aca="false">IF($A20="","",(U19+S19+H19+V19))</f>
        <v>#N/A</v>
      </c>
      <c r="Y19" s="202"/>
      <c r="Z19" s="185" t="e">
        <f aca="false">IF($A20="","",VLOOKUP($A19,Table,MATCH(Z$4,Curves,0)))</f>
        <v>#N/A</v>
      </c>
      <c r="AA19" s="185" t="e">
        <f aca="false">IF($A20="","",VLOOKUP($A19,Table,MATCH(AA$4,Curves,0)))</f>
        <v>#N/A</v>
      </c>
      <c r="AB19" s="185" t="e">
        <f aca="false">SQRT((AA19^2*(A19-$D$3)+Z19^2*(DAY(EOMONTH(A19,0))/2))/AK19)</f>
        <v>#N/A</v>
      </c>
      <c r="AC19" s="185" t="e">
        <f aca="false">IF($A20="","",VLOOKUP($A19,Table,MATCH(AC$4,Curves,0)))</f>
        <v>#N/A</v>
      </c>
      <c r="AD19" s="185" t="e">
        <f aca="false">IF($A20="","",VLOOKUP($A19,Table,MATCH(AD$4,Curves,0)))</f>
        <v>#N/A</v>
      </c>
      <c r="AE19" s="185" t="e">
        <f aca="false">SQRT((AD19^2*(A19-$D$3)+AC19^2*(DAY(EOMONTH(A19,0))/2))/AK19)</f>
        <v>#N/A</v>
      </c>
      <c r="AF19" s="206" t="e">
        <f aca="false">((Summary!$N$7*(AA19*AD19)*(A19-$D$3))+(Summary!$M$7*Z19*AC19*(DAY(EOMONTH(A19,0))/2)))/(AK19*AB19*AE19)</f>
        <v>#N/A</v>
      </c>
      <c r="AG19" s="207" t="n">
        <f aca="false">IF($A20="","",Summary!$Q$7)</f>
        <v>0</v>
      </c>
      <c r="AH19" s="207" t="n">
        <f aca="false">IF($A20="","",IF(Summary!$R$7="Y",(VLOOKUP($A19,Summary!$AD$6:$AF$9,3)+'Escalating commodity'!C32),'Escalating commodity'!C32))</f>
        <v>0.0232</v>
      </c>
      <c r="AI19" s="207" t="n">
        <f aca="false">IF($A20="","",AH19)</f>
        <v>0.0232</v>
      </c>
      <c r="AJ19" s="208" t="n">
        <f aca="false">A19+DAY(EOMONTH(A19,0))/2-1</f>
        <v>37330.5</v>
      </c>
      <c r="AK19" s="209" t="n">
        <f aca="false">IF($A20="","",$A19-$E$1)</f>
        <v>-8610</v>
      </c>
      <c r="AL19" s="182" t="e">
        <f aca="false">IF($A20="","",SPRDOPT(P19,X19,AI19,0,AB19,AE19,AF19,AK19,$AJ$2,0))</f>
        <v>#NAME?</v>
      </c>
      <c r="AM19" s="210" t="e">
        <f aca="false">IF($A20="","",MAX(0,O19-W19-AI19))</f>
        <v>#N/A</v>
      </c>
      <c r="AN19" s="211" t="e">
        <f aca="false">IF($A20="","",AL19-AM19)</f>
        <v>#N/A</v>
      </c>
      <c r="AO19" s="137" t="n">
        <f aca="false">IF(A20="","",A20-A19)</f>
        <v>31</v>
      </c>
      <c r="AP19" s="212" t="n">
        <f aca="false">IF(A20="","",CHOOSE(F$3,A20+24,A19))</f>
        <v>37316</v>
      </c>
      <c r="AQ19" s="209" t="n">
        <f aca="false">IF(A20="","",AP19-$E$1)</f>
        <v>-8610</v>
      </c>
      <c r="AR19" s="185" t="n">
        <f aca="false">IF(Summary!$H$2=1,VLOOKUP('ANR OK vs ML7'!A19,Curves!$C$17:$AR$273,MATCH('ANR OK vs ML7'!$AR$4,Curves!$C$8:$AQ$8,0)),0.1)</f>
        <v>0.1</v>
      </c>
      <c r="AS19" s="213" t="n">
        <f aca="false">IF(A20="","",1/(1+CHOOSE(F$3,(AR20+($I$3/10000))/2,(AR19+($I$3/10000))/2))^(2*AQ19/365.25))</f>
        <v>9.97668490254406</v>
      </c>
      <c r="AT19" s="137" t="n">
        <f aca="false">IF(A20="","",IF(AND(mthbeg&lt;=A19,mthend&gt;=A19),1,0))</f>
        <v>1</v>
      </c>
      <c r="AU19" s="137" t="n">
        <f aca="false">IF(A20="","",AO19*AT19)</f>
        <v>31</v>
      </c>
      <c r="AW19" s="195" t="e">
        <f aca="false">IF($A20="","",AL19*$E19)</f>
        <v>#NAME?</v>
      </c>
      <c r="AX19" s="195" t="e">
        <f aca="false">IF($A20="","",AM19*$E19)</f>
        <v>#N/A</v>
      </c>
      <c r="AY19" s="195" t="e">
        <f aca="false">IF($A20="","",AN19*$E19)</f>
        <v>#N/A</v>
      </c>
      <c r="BA19" s="195" t="n">
        <f aca="false">IF($A20="","",F19*Summary!$Q$7)</f>
        <v>0</v>
      </c>
      <c r="BC19" s="179" t="e">
        <f aca="false">IF(A20="","",AM19*F19)</f>
        <v>#N/A</v>
      </c>
    </row>
    <row r="20" customFormat="false" ht="12.75" hidden="false" customHeight="false" outlineLevel="0" collapsed="false">
      <c r="A20" s="196" t="n">
        <f aca="false">IF(A19&lt;mthend,EDATE(A19,1),"")</f>
        <v>37347</v>
      </c>
      <c r="B20" s="197" t="n">
        <f aca="false">IF(A20&lt;mthend,B19,"")</f>
        <v>40000</v>
      </c>
      <c r="C20" s="215"/>
      <c r="D20" s="197" t="n">
        <f aca="false">IF(A21&lt;&gt;"",B20+C20,"")</f>
        <v>40000</v>
      </c>
      <c r="E20" s="199" t="n">
        <f aca="false">IF(A21="","",IF(AND(AT20=1,$H$3=1),D20*AO20,IF($H$3=2,D20,"N/A")))</f>
        <v>1200000</v>
      </c>
      <c r="F20" s="199" t="n">
        <f aca="false">IF(A21="","",E20*AS20)</f>
        <v>11873279.3917962</v>
      </c>
      <c r="G20" s="200" t="e">
        <f aca="false">IF($A21="","",VLOOKUP($A20,Table,MATCH(G$4,Curves,0)))</f>
        <v>#N/A</v>
      </c>
      <c r="H20" s="201" t="e">
        <f aca="false">IF(A21="","",G20)</f>
        <v>#N/A</v>
      </c>
      <c r="I20" s="202"/>
      <c r="J20" s="200" t="e">
        <f aca="false">IF($A21="","",VLOOKUP($A20,Table,MATCH(J$4,Curves,0)))</f>
        <v>#N/A</v>
      </c>
      <c r="K20" s="201" t="e">
        <f aca="false">IF(A21="","",J20)</f>
        <v>#N/A</v>
      </c>
      <c r="L20" s="200" t="e">
        <f aca="false">IF($A21="","",VLOOKUP($A20,Table,MATCH(L$4,Curves,0)))</f>
        <v>#N/A</v>
      </c>
      <c r="M20" s="201" t="e">
        <f aca="false">IF(A21="","",L20)</f>
        <v>#N/A</v>
      </c>
      <c r="N20" s="203"/>
      <c r="O20" s="200" t="e">
        <f aca="false">IF(A21="","",L20+J20+G20)</f>
        <v>#N/A</v>
      </c>
      <c r="P20" s="200" t="e">
        <f aca="false">IF(A21="","",M20+K20+H20)</f>
        <v>#N/A</v>
      </c>
      <c r="Q20" s="204"/>
      <c r="R20" s="200" t="e">
        <f aca="false">IF($A21="","",VLOOKUP($A20,Table,MATCH(R$4,Curves,0)))</f>
        <v>#N/A</v>
      </c>
      <c r="S20" s="201" t="e">
        <f aca="false">IF(A21="","",R20)</f>
        <v>#N/A</v>
      </c>
      <c r="T20" s="200" t="e">
        <f aca="false">IF($A21="","",VLOOKUP($A20,Table,MATCH(T$4,Curves,0)))</f>
        <v>#N/A</v>
      </c>
      <c r="U20" s="201" t="e">
        <f aca="false">IF(A21="","",T20)</f>
        <v>#N/A</v>
      </c>
      <c r="V20" s="183" t="e">
        <f aca="false">IF($A21="","",IF(AND(MONTH(A20)&gt;3,MONTH(A20)&lt;11),(T20+R20+G20)*Summary!$T$7/(1-Summary!$T$7),(T20+R20+G20)*Summary!$U$7/(1-Summary!$U$7)))</f>
        <v>#N/A</v>
      </c>
      <c r="W20" s="200" t="e">
        <f aca="false">IF($A21="","",(T20+R20+G20+V20))</f>
        <v>#N/A</v>
      </c>
      <c r="X20" s="200" t="e">
        <f aca="false">IF($A21="","",(U20+S20+H20+V20))</f>
        <v>#N/A</v>
      </c>
      <c r="Y20" s="202"/>
      <c r="Z20" s="185" t="e">
        <f aca="false">IF($A21="","",VLOOKUP($A20,Table,MATCH(Z$4,Curves,0)))</f>
        <v>#N/A</v>
      </c>
      <c r="AA20" s="185" t="e">
        <f aca="false">IF($A21="","",VLOOKUP($A20,Table,MATCH(AA$4,Curves,0)))</f>
        <v>#N/A</v>
      </c>
      <c r="AB20" s="185" t="e">
        <f aca="false">SQRT((AA20^2*(A20-$D$3)+Z20^2*(DAY(EOMONTH(A20,0))/2))/AK20)</f>
        <v>#N/A</v>
      </c>
      <c r="AC20" s="185" t="e">
        <f aca="false">IF($A21="","",VLOOKUP($A20,Table,MATCH(AC$4,Curves,0)))</f>
        <v>#N/A</v>
      </c>
      <c r="AD20" s="185" t="e">
        <f aca="false">IF($A21="","",VLOOKUP($A20,Table,MATCH(AD$4,Curves,0)))</f>
        <v>#N/A</v>
      </c>
      <c r="AE20" s="185" t="e">
        <f aca="false">SQRT((AD20^2*(A20-$D$3)+AC20^2*(DAY(EOMONTH(A20,0))/2))/AK20)</f>
        <v>#N/A</v>
      </c>
      <c r="AF20" s="206" t="e">
        <f aca="false">((Summary!$N$7*(AA20*AD20)*(A20-$D$3))+(Summary!$M$7*Z20*AC20*(DAY(EOMONTH(A20,0))/2)))/(AK20*AB20*AE20)</f>
        <v>#N/A</v>
      </c>
      <c r="AG20" s="207" t="n">
        <f aca="false">IF($A21="","",Summary!$Q$7)</f>
        <v>0</v>
      </c>
      <c r="AH20" s="207" t="n">
        <f aca="false">IF($A21="","",IF(Summary!$R$7="Y",(VLOOKUP($A20,Summary!$AD$6:$AF$9,3)+'Escalating commodity'!C33),'Escalating commodity'!C33))</f>
        <v>0.0232</v>
      </c>
      <c r="AI20" s="207" t="n">
        <f aca="false">IF($A21="","",AH20)</f>
        <v>0.0232</v>
      </c>
      <c r="AJ20" s="208" t="n">
        <f aca="false">A20+DAY(EOMONTH(A20,0))/2-1</f>
        <v>37361</v>
      </c>
      <c r="AK20" s="209" t="n">
        <f aca="false">IF($A21="","",$A20-$E$1)</f>
        <v>-8579</v>
      </c>
      <c r="AL20" s="182" t="e">
        <f aca="false">IF($A21="","",SPRDOPT(P20,X20,AI20,0,AB20,AE20,AF20,AK20,$AJ$2,0))</f>
        <v>#NAME?</v>
      </c>
      <c r="AM20" s="210" t="e">
        <f aca="false">IF($A21="","",MAX(0,O20-W20-AI20))</f>
        <v>#N/A</v>
      </c>
      <c r="AN20" s="211" t="e">
        <f aca="false">IF($A21="","",AL20-AM20)</f>
        <v>#N/A</v>
      </c>
      <c r="AO20" s="137" t="n">
        <f aca="false">IF(A21="","",A21-A20)</f>
        <v>30</v>
      </c>
      <c r="AP20" s="212" t="n">
        <f aca="false">IF(A21="","",CHOOSE(F$3,A21+24,A20))</f>
        <v>37347</v>
      </c>
      <c r="AQ20" s="209" t="n">
        <f aca="false">IF(A21="","",AP20-$E$1)</f>
        <v>-8579</v>
      </c>
      <c r="AR20" s="185" t="n">
        <f aca="false">IF(Summary!$H$2=1,VLOOKUP('ANR OK vs ML7'!A20,Curves!$C$17:$AR$273,MATCH('ANR OK vs ML7'!$AR$4,Curves!$C$8:$AQ$8,0)),0.1)</f>
        <v>0.1</v>
      </c>
      <c r="AS20" s="213" t="n">
        <f aca="false">IF(A21="","",1/(1+CHOOSE(F$3,(AR21+($I$3/10000))/2,(AR20+($I$3/10000))/2))^(2*AQ20/365.25))</f>
        <v>9.89439949316346</v>
      </c>
      <c r="AT20" s="137" t="n">
        <f aca="false">IF(A21="","",IF(AND(mthbeg&lt;=A20,mthend&gt;=A20),1,0))</f>
        <v>1</v>
      </c>
      <c r="AU20" s="137" t="n">
        <f aca="false">IF(A21="","",AO20*AT20)</f>
        <v>30</v>
      </c>
      <c r="AW20" s="195" t="e">
        <f aca="false">IF($A21="","",AL20*$E20)</f>
        <v>#NAME?</v>
      </c>
      <c r="AX20" s="195" t="e">
        <f aca="false">IF($A21="","",AM20*$E20)</f>
        <v>#N/A</v>
      </c>
      <c r="AY20" s="195" t="e">
        <f aca="false">IF($A21="","",AN20*$E20)</f>
        <v>#N/A</v>
      </c>
      <c r="BA20" s="195" t="n">
        <f aca="false">IF($A21="","",F20*Summary!$Q$7)</f>
        <v>0</v>
      </c>
      <c r="BC20" s="179" t="e">
        <f aca="false">IF(A21="","",AM20*F20)</f>
        <v>#N/A</v>
      </c>
    </row>
    <row r="21" customFormat="false" ht="12.75" hidden="false" customHeight="false" outlineLevel="0" collapsed="false">
      <c r="A21" s="196" t="n">
        <f aca="false">IF(A20&lt;mthend,EDATE(A20,1),"")</f>
        <v>37377</v>
      </c>
      <c r="B21" s="197" t="n">
        <f aca="false">IF(A21&lt;mthend,B20,"")</f>
        <v>40000</v>
      </c>
      <c r="C21" s="215"/>
      <c r="D21" s="197" t="n">
        <f aca="false">IF(A22&lt;&gt;"",B21+C21,"")</f>
        <v>40000</v>
      </c>
      <c r="E21" s="199" t="n">
        <f aca="false">IF(A22="","",IF(AND(AT21=1,$H$3=1),D21*AO21,IF($H$3=2,D21,"N/A")))</f>
        <v>1240000</v>
      </c>
      <c r="F21" s="199" t="n">
        <f aca="false">IF(A22="","",E21*AS21)</f>
        <v>12171114.2213334</v>
      </c>
      <c r="G21" s="200" t="e">
        <f aca="false">IF($A22="","",VLOOKUP($A21,Table,MATCH(G$4,Curves,0)))</f>
        <v>#N/A</v>
      </c>
      <c r="H21" s="201" t="e">
        <f aca="false">IF(A22="","",G21)</f>
        <v>#N/A</v>
      </c>
      <c r="I21" s="202"/>
      <c r="J21" s="200" t="e">
        <f aca="false">IF($A22="","",VLOOKUP($A21,Table,MATCH(J$4,Curves,0)))</f>
        <v>#N/A</v>
      </c>
      <c r="K21" s="201" t="e">
        <f aca="false">IF(A22="","",J21)</f>
        <v>#N/A</v>
      </c>
      <c r="L21" s="200" t="e">
        <f aca="false">IF($A22="","",VLOOKUP($A21,Table,MATCH(L$4,Curves,0)))</f>
        <v>#N/A</v>
      </c>
      <c r="M21" s="201" t="e">
        <f aca="false">IF(A22="","",L21)</f>
        <v>#N/A</v>
      </c>
      <c r="N21" s="203"/>
      <c r="O21" s="200" t="e">
        <f aca="false">IF(A22="","",L21+J21+G21)</f>
        <v>#N/A</v>
      </c>
      <c r="P21" s="200" t="e">
        <f aca="false">IF(A22="","",M21+K21+H21)</f>
        <v>#N/A</v>
      </c>
      <c r="Q21" s="204"/>
      <c r="R21" s="200" t="e">
        <f aca="false">IF($A22="","",VLOOKUP($A21,Table,MATCH(R$4,Curves,0)))</f>
        <v>#N/A</v>
      </c>
      <c r="S21" s="201" t="e">
        <f aca="false">IF(A22="","",R21)</f>
        <v>#N/A</v>
      </c>
      <c r="T21" s="200" t="e">
        <f aca="false">IF($A22="","",VLOOKUP($A21,Table,MATCH(T$4,Curves,0)))</f>
        <v>#N/A</v>
      </c>
      <c r="U21" s="201" t="e">
        <f aca="false">IF(A22="","",T21)</f>
        <v>#N/A</v>
      </c>
      <c r="V21" s="183" t="e">
        <f aca="false">IF($A22="","",IF(AND(MONTH(A21)&gt;3,MONTH(A21)&lt;11),(T21+R21+G21)*Summary!$T$7/(1-Summary!$T$7),(T21+R21+G21)*Summary!$U$7/(1-Summary!$U$7)))</f>
        <v>#N/A</v>
      </c>
      <c r="W21" s="200" t="e">
        <f aca="false">IF($A22="","",(T21+R21+G21+V21))</f>
        <v>#N/A</v>
      </c>
      <c r="X21" s="200" t="e">
        <f aca="false">IF($A22="","",(U21+S21+H21+V21))</f>
        <v>#N/A</v>
      </c>
      <c r="Y21" s="202"/>
      <c r="Z21" s="185" t="e">
        <f aca="false">IF($A22="","",VLOOKUP($A21,Table,MATCH(Z$4,Curves,0)))</f>
        <v>#N/A</v>
      </c>
      <c r="AA21" s="185" t="e">
        <f aca="false">IF($A22="","",VLOOKUP($A21,Table,MATCH(AA$4,Curves,0)))</f>
        <v>#N/A</v>
      </c>
      <c r="AB21" s="185" t="e">
        <f aca="false">SQRT((AA21^2*(A21-$D$3)+Z21^2*(DAY(EOMONTH(A21,0))/2))/AK21)</f>
        <v>#N/A</v>
      </c>
      <c r="AC21" s="185" t="e">
        <f aca="false">IF($A22="","",VLOOKUP($A21,Table,MATCH(AC$4,Curves,0)))</f>
        <v>#N/A</v>
      </c>
      <c r="AD21" s="185" t="e">
        <f aca="false">IF($A22="","",VLOOKUP($A21,Table,MATCH(AD$4,Curves,0)))</f>
        <v>#N/A</v>
      </c>
      <c r="AE21" s="185" t="e">
        <f aca="false">SQRT((AD21^2*(A21-$D$3)+AC21^2*(DAY(EOMONTH(A21,0))/2))/AK21)</f>
        <v>#N/A</v>
      </c>
      <c r="AF21" s="206" t="e">
        <f aca="false">((Summary!$N$7*(AA21*AD21)*(A21-$D$3))+(Summary!$M$7*Z21*AC21*(DAY(EOMONTH(A21,0))/2)))/(AK21*AB21*AE21)</f>
        <v>#N/A</v>
      </c>
      <c r="AG21" s="207" t="n">
        <f aca="false">IF($A22="","",Summary!$Q$7)</f>
        <v>0</v>
      </c>
      <c r="AH21" s="207" t="n">
        <f aca="false">IF($A22="","",IF(Summary!$R$7="Y",(VLOOKUP($A21,Summary!$AD$6:$AF$9,3)+'Escalating commodity'!C34),'Escalating commodity'!C34))</f>
        <v>0.0232</v>
      </c>
      <c r="AI21" s="207" t="n">
        <f aca="false">IF($A22="","",AH21)</f>
        <v>0.0232</v>
      </c>
      <c r="AJ21" s="208" t="n">
        <f aca="false">A21+DAY(EOMONTH(A21,0))/2-1</f>
        <v>37391.5</v>
      </c>
      <c r="AK21" s="209" t="n">
        <f aca="false">IF($A22="","",$A21-$E$1)</f>
        <v>-8549</v>
      </c>
      <c r="AL21" s="182" t="e">
        <f aca="false">IF($A22="","",SPRDOPT(P21,X21,AI21,0,AB21,AE21,AF21,AK21,$AJ$2,0))</f>
        <v>#NAME?</v>
      </c>
      <c r="AM21" s="210" t="e">
        <f aca="false">IF($A22="","",MAX(0,O21-W21-AI21))</f>
        <v>#N/A</v>
      </c>
      <c r="AN21" s="211" t="e">
        <f aca="false">IF($A22="","",AL21-AM21)</f>
        <v>#N/A</v>
      </c>
      <c r="AO21" s="137" t="n">
        <f aca="false">IF(A22="","",A22-A21)</f>
        <v>31</v>
      </c>
      <c r="AP21" s="212" t="n">
        <f aca="false">IF(A22="","",CHOOSE(F$3,A22+24,A21))</f>
        <v>37377</v>
      </c>
      <c r="AQ21" s="209" t="n">
        <f aca="false">IF(A22="","",AP21-$E$1)</f>
        <v>-8549</v>
      </c>
      <c r="AR21" s="185" t="n">
        <f aca="false">IF(Summary!$H$2=1,VLOOKUP('ANR OK vs ML7'!A21,Curves!$C$17:$AR$273,MATCH('ANR OK vs ML7'!$AR$4,Curves!$C$8:$AQ$8,0)),0.1)</f>
        <v>0.1</v>
      </c>
      <c r="AS21" s="213" t="n">
        <f aca="false">IF(A22="","",1/(1+CHOOSE(F$3,(AR22+($I$3/10000))/2,(AR21+($I$3/10000))/2))^(2*AQ21/365.25))</f>
        <v>9.81541469462368</v>
      </c>
      <c r="AT21" s="137" t="n">
        <f aca="false">IF(A22="","",IF(AND(mthbeg&lt;=A21,mthend&gt;=A21),1,0))</f>
        <v>1</v>
      </c>
      <c r="AU21" s="137" t="n">
        <f aca="false">IF(A22="","",AO21*AT21)</f>
        <v>31</v>
      </c>
      <c r="AW21" s="195" t="e">
        <f aca="false">IF($A22="","",AL21*$E21)</f>
        <v>#NAME?</v>
      </c>
      <c r="AX21" s="195" t="e">
        <f aca="false">IF($A22="","",AM21*$E21)</f>
        <v>#N/A</v>
      </c>
      <c r="AY21" s="195" t="e">
        <f aca="false">IF($A22="","",AN21*$E21)</f>
        <v>#N/A</v>
      </c>
      <c r="BA21" s="195" t="n">
        <f aca="false">IF($A22="","",F21*Summary!$Q$7)</f>
        <v>0</v>
      </c>
      <c r="BC21" s="179" t="e">
        <f aca="false">IF(A22="","",AM21*F21)</f>
        <v>#N/A</v>
      </c>
    </row>
    <row r="22" customFormat="false" ht="12.75" hidden="false" customHeight="false" outlineLevel="0" collapsed="false">
      <c r="A22" s="196" t="n">
        <f aca="false">IF(A21&lt;mthend,EDATE(A21,1),"")</f>
        <v>37408</v>
      </c>
      <c r="B22" s="197" t="n">
        <f aca="false">IF(A22&lt;mthend,B21,"")</f>
        <v>40000</v>
      </c>
      <c r="C22" s="215"/>
      <c r="D22" s="197" t="n">
        <f aca="false">IF(A23&lt;&gt;"",B22+C22,"")</f>
        <v>40000</v>
      </c>
      <c r="E22" s="199" t="n">
        <f aca="false">IF(A23="","",IF(AND(AT22=1,$H$3=1),D22*AO22,IF($H$3=2,D22,"N/A")))</f>
        <v>1200000</v>
      </c>
      <c r="F22" s="199" t="n">
        <f aca="false">IF(A23="","",E22*AS22)</f>
        <v>11681351.2859257</v>
      </c>
      <c r="G22" s="200" t="e">
        <f aca="false">IF($A23="","",VLOOKUP($A22,Table,MATCH(G$4,Curves,0)))</f>
        <v>#N/A</v>
      </c>
      <c r="H22" s="201" t="e">
        <f aca="false">IF(A23="","",G22)</f>
        <v>#N/A</v>
      </c>
      <c r="I22" s="202"/>
      <c r="J22" s="200" t="e">
        <f aca="false">IF($A23="","",VLOOKUP($A22,Table,MATCH(J$4,Curves,0)))</f>
        <v>#N/A</v>
      </c>
      <c r="K22" s="201" t="e">
        <f aca="false">IF(A23="","",J22)</f>
        <v>#N/A</v>
      </c>
      <c r="L22" s="200" t="e">
        <f aca="false">IF($A23="","",VLOOKUP($A22,Table,MATCH(L$4,Curves,0)))</f>
        <v>#N/A</v>
      </c>
      <c r="M22" s="201" t="e">
        <f aca="false">IF(A23="","",L22)</f>
        <v>#N/A</v>
      </c>
      <c r="N22" s="203"/>
      <c r="O22" s="200" t="e">
        <f aca="false">IF(A23="","",L22+J22+G22)</f>
        <v>#N/A</v>
      </c>
      <c r="P22" s="200" t="e">
        <f aca="false">IF(A23="","",M22+K22+H22)</f>
        <v>#N/A</v>
      </c>
      <c r="Q22" s="204"/>
      <c r="R22" s="200" t="e">
        <f aca="false">IF($A23="","",VLOOKUP($A22,Table,MATCH(R$4,Curves,0)))</f>
        <v>#N/A</v>
      </c>
      <c r="S22" s="201" t="e">
        <f aca="false">IF(A23="","",R22)</f>
        <v>#N/A</v>
      </c>
      <c r="T22" s="200" t="e">
        <f aca="false">IF($A23="","",VLOOKUP($A22,Table,MATCH(T$4,Curves,0)))</f>
        <v>#N/A</v>
      </c>
      <c r="U22" s="201" t="e">
        <f aca="false">IF(A23="","",T22)</f>
        <v>#N/A</v>
      </c>
      <c r="V22" s="183" t="e">
        <f aca="false">IF($A23="","",IF(AND(MONTH(A22)&gt;3,MONTH(A22)&lt;11),(T22+R22+G22)*Summary!$T$7/(1-Summary!$T$7),(T22+R22+G22)*Summary!$U$7/(1-Summary!$U$7)))</f>
        <v>#N/A</v>
      </c>
      <c r="W22" s="200" t="e">
        <f aca="false">IF($A23="","",(T22+R22+G22+V22))</f>
        <v>#N/A</v>
      </c>
      <c r="X22" s="200" t="e">
        <f aca="false">IF($A23="","",(U22+S22+H22+V22))</f>
        <v>#N/A</v>
      </c>
      <c r="Y22" s="202"/>
      <c r="Z22" s="185" t="e">
        <f aca="false">IF($A23="","",VLOOKUP($A22,Table,MATCH(Z$4,Curves,0)))</f>
        <v>#N/A</v>
      </c>
      <c r="AA22" s="185" t="e">
        <f aca="false">IF($A23="","",VLOOKUP($A22,Table,MATCH(AA$4,Curves,0)))</f>
        <v>#N/A</v>
      </c>
      <c r="AB22" s="185" t="e">
        <f aca="false">SQRT((AA22^2*(A22-$D$3)+Z22^2*(DAY(EOMONTH(A22,0))/2))/AK22)</f>
        <v>#N/A</v>
      </c>
      <c r="AC22" s="185" t="e">
        <f aca="false">IF($A23="","",VLOOKUP($A22,Table,MATCH(AC$4,Curves,0)))</f>
        <v>#N/A</v>
      </c>
      <c r="AD22" s="185" t="e">
        <f aca="false">IF($A23="","",VLOOKUP($A22,Table,MATCH(AD$4,Curves,0)))</f>
        <v>#N/A</v>
      </c>
      <c r="AE22" s="185" t="e">
        <f aca="false">SQRT((AD22^2*(A22-$D$3)+AC22^2*(DAY(EOMONTH(A22,0))/2))/AK22)</f>
        <v>#N/A</v>
      </c>
      <c r="AF22" s="206" t="e">
        <f aca="false">((Summary!$N$7*(AA22*AD22)*(A22-$D$3))+(Summary!$M$7*Z22*AC22*(DAY(EOMONTH(A22,0))/2)))/(AK22*AB22*AE22)</f>
        <v>#N/A</v>
      </c>
      <c r="AG22" s="207" t="n">
        <f aca="false">IF($A23="","",Summary!$Q$7)</f>
        <v>0</v>
      </c>
      <c r="AH22" s="207" t="n">
        <f aca="false">IF($A23="","",IF(Summary!$R$7="Y",(VLOOKUP($A22,Summary!$AD$6:$AF$9,3)+'Escalating commodity'!C35),'Escalating commodity'!C35))</f>
        <v>0.0232</v>
      </c>
      <c r="AI22" s="207" t="n">
        <f aca="false">IF($A23="","",AH22)</f>
        <v>0.0232</v>
      </c>
      <c r="AJ22" s="208" t="n">
        <f aca="false">A22+DAY(EOMONTH(A22,0))/2-1</f>
        <v>37422</v>
      </c>
      <c r="AK22" s="209" t="n">
        <f aca="false">IF($A23="","",$A22-$E$1)</f>
        <v>-8518</v>
      </c>
      <c r="AL22" s="182" t="e">
        <f aca="false">IF($A23="","",SPRDOPT(P22,X22,AI22,0,AB22,AE22,AF22,AK22,$AJ$2,0))</f>
        <v>#NAME?</v>
      </c>
      <c r="AM22" s="210" t="e">
        <f aca="false">IF($A23="","",MAX(0,O22-W22-AI22))</f>
        <v>#N/A</v>
      </c>
      <c r="AN22" s="211" t="e">
        <f aca="false">IF($A23="","",AL22-AM22)</f>
        <v>#N/A</v>
      </c>
      <c r="AO22" s="137" t="n">
        <f aca="false">IF(A23="","",A23-A22)</f>
        <v>30</v>
      </c>
      <c r="AP22" s="212" t="n">
        <f aca="false">IF(A23="","",CHOOSE(F$3,A23+24,A22))</f>
        <v>37408</v>
      </c>
      <c r="AQ22" s="209" t="n">
        <f aca="false">IF(A23="","",AP22-$E$1)</f>
        <v>-8518</v>
      </c>
      <c r="AR22" s="185" t="n">
        <f aca="false">IF(Summary!$H$2=1,VLOOKUP('ANR OK vs ML7'!A22,Curves!$C$17:$AR$273,MATCH('ANR OK vs ML7'!$AR$4,Curves!$C$8:$AQ$8,0)),0.1)</f>
        <v>0.1</v>
      </c>
      <c r="AS22" s="213" t="n">
        <f aca="false">IF(A23="","",1/(1+CHOOSE(F$3,(AR23+($I$3/10000))/2,(AR22+($I$3/10000))/2))^(2*AQ22/365.25))</f>
        <v>9.73445940493808</v>
      </c>
      <c r="AT22" s="137" t="n">
        <f aca="false">IF(A23="","",IF(AND(mthbeg&lt;=A22,mthend&gt;=A22),1,0))</f>
        <v>1</v>
      </c>
      <c r="AU22" s="137" t="n">
        <f aca="false">IF(A23="","",AO22*AT22)</f>
        <v>30</v>
      </c>
      <c r="AW22" s="195" t="e">
        <f aca="false">IF($A23="","",AL22*$E22)</f>
        <v>#NAME?</v>
      </c>
      <c r="AX22" s="195" t="e">
        <f aca="false">IF($A23="","",AM22*$E22)</f>
        <v>#N/A</v>
      </c>
      <c r="AY22" s="195" t="e">
        <f aca="false">IF($A23="","",AN22*$E22)</f>
        <v>#N/A</v>
      </c>
      <c r="BA22" s="195" t="n">
        <f aca="false">IF($A23="","",F22*Summary!$Q$7)</f>
        <v>0</v>
      </c>
      <c r="BC22" s="179" t="e">
        <f aca="false">IF(A23="","",AM22*F22)</f>
        <v>#N/A</v>
      </c>
    </row>
    <row r="23" customFormat="false" ht="12.75" hidden="false" customHeight="false" outlineLevel="0" collapsed="false">
      <c r="A23" s="196" t="n">
        <f aca="false">IF(A22&lt;mthend,EDATE(A22,1),"")</f>
        <v>37438</v>
      </c>
      <c r="B23" s="197" t="n">
        <f aca="false">IF(A23&lt;mthend,B22,"")</f>
        <v>40000</v>
      </c>
      <c r="C23" s="215"/>
      <c r="D23" s="197" t="n">
        <f aca="false">IF(A24&lt;&gt;"",B23+C23,"")</f>
        <v>40000</v>
      </c>
      <c r="E23" s="199" t="n">
        <f aca="false">IF(A24="","",IF(AND(AT23=1,$H$3=1),D23*AO23,IF($H$3=2,D23,"N/A")))</f>
        <v>1240000</v>
      </c>
      <c r="F23" s="199" t="n">
        <f aca="false">IF(A24="","",E23*AS23)</f>
        <v>11974371.7021227</v>
      </c>
      <c r="G23" s="200" t="e">
        <f aca="false">IF($A24="","",VLOOKUP($A23,Table,MATCH(G$4,Curves,0)))</f>
        <v>#N/A</v>
      </c>
      <c r="H23" s="201" t="e">
        <f aca="false">IF(A24="","",G23)</f>
        <v>#N/A</v>
      </c>
      <c r="I23" s="202"/>
      <c r="J23" s="200" t="e">
        <f aca="false">IF($A24="","",VLOOKUP($A23,Table,MATCH(J$4,Curves,0)))</f>
        <v>#N/A</v>
      </c>
      <c r="K23" s="201" t="e">
        <f aca="false">IF(A24="","",J23)</f>
        <v>#N/A</v>
      </c>
      <c r="L23" s="200" t="e">
        <f aca="false">IF($A24="","",VLOOKUP($A23,Table,MATCH(L$4,Curves,0)))</f>
        <v>#N/A</v>
      </c>
      <c r="M23" s="201" t="e">
        <f aca="false">IF(A24="","",L23)</f>
        <v>#N/A</v>
      </c>
      <c r="N23" s="203"/>
      <c r="O23" s="200" t="e">
        <f aca="false">IF(A24="","",L23+J23+G23)</f>
        <v>#N/A</v>
      </c>
      <c r="P23" s="200" t="e">
        <f aca="false">IF(A24="","",M23+K23+H23)</f>
        <v>#N/A</v>
      </c>
      <c r="Q23" s="204"/>
      <c r="R23" s="200" t="e">
        <f aca="false">IF($A24="","",VLOOKUP($A23,Table,MATCH(R$4,Curves,0)))</f>
        <v>#N/A</v>
      </c>
      <c r="S23" s="201" t="e">
        <f aca="false">IF(A24="","",R23)</f>
        <v>#N/A</v>
      </c>
      <c r="T23" s="200" t="e">
        <f aca="false">IF($A24="","",VLOOKUP($A23,Table,MATCH(T$4,Curves,0)))</f>
        <v>#N/A</v>
      </c>
      <c r="U23" s="201" t="e">
        <f aca="false">IF(A24="","",T23)</f>
        <v>#N/A</v>
      </c>
      <c r="V23" s="183" t="e">
        <f aca="false">IF($A24="","",IF(AND(MONTH(A23)&gt;3,MONTH(A23)&lt;11),(T23+R23+G23)*Summary!$T$7/(1-Summary!$T$7),(T23+R23+G23)*Summary!$U$7/(1-Summary!$U$7)))</f>
        <v>#N/A</v>
      </c>
      <c r="W23" s="200" t="e">
        <f aca="false">IF($A24="","",(T23+R23+G23+V23))</f>
        <v>#N/A</v>
      </c>
      <c r="X23" s="200" t="e">
        <f aca="false">IF($A24="","",(U23+S23+H23+V23))</f>
        <v>#N/A</v>
      </c>
      <c r="Y23" s="202"/>
      <c r="Z23" s="185" t="e">
        <f aca="false">IF($A24="","",VLOOKUP($A23,Table,MATCH(Z$4,Curves,0)))</f>
        <v>#N/A</v>
      </c>
      <c r="AA23" s="185" t="e">
        <f aca="false">IF($A24="","",VLOOKUP($A23,Table,MATCH(AA$4,Curves,0)))</f>
        <v>#N/A</v>
      </c>
      <c r="AB23" s="185" t="e">
        <f aca="false">SQRT((AA23^2*(A23-$D$3)+Z23^2*(DAY(EOMONTH(A23,0))/2))/AK23)</f>
        <v>#N/A</v>
      </c>
      <c r="AC23" s="185" t="e">
        <f aca="false">IF($A24="","",VLOOKUP($A23,Table,MATCH(AC$4,Curves,0)))</f>
        <v>#N/A</v>
      </c>
      <c r="AD23" s="185" t="e">
        <f aca="false">IF($A24="","",VLOOKUP($A23,Table,MATCH(AD$4,Curves,0)))</f>
        <v>#N/A</v>
      </c>
      <c r="AE23" s="185" t="e">
        <f aca="false">SQRT((AD23^2*(A23-$D$3)+AC23^2*(DAY(EOMONTH(A23,0))/2))/AK23)</f>
        <v>#N/A</v>
      </c>
      <c r="AF23" s="206" t="e">
        <f aca="false">((Summary!$N$7*(AA23*AD23)*(A23-$D$3))+(Summary!$M$7*Z23*AC23*(DAY(EOMONTH(A23,0))/2)))/(AK23*AB23*AE23)</f>
        <v>#N/A</v>
      </c>
      <c r="AG23" s="207" t="n">
        <f aca="false">IF($A24="","",Summary!$Q$7)</f>
        <v>0</v>
      </c>
      <c r="AH23" s="207" t="n">
        <f aca="false">IF($A24="","",IF(Summary!$R$7="Y",(VLOOKUP($A23,Summary!$AD$6:$AF$9,3)+'Escalating commodity'!C36),'Escalating commodity'!C36))</f>
        <v>0.0232</v>
      </c>
      <c r="AI23" s="207" t="n">
        <f aca="false">IF($A24="","",AH23)</f>
        <v>0.0232</v>
      </c>
      <c r="AJ23" s="208" t="n">
        <f aca="false">A23+DAY(EOMONTH(A23,0))/2-1</f>
        <v>37452.5</v>
      </c>
      <c r="AK23" s="209" t="n">
        <f aca="false">IF($A24="","",$A23-$E$1)</f>
        <v>-8488</v>
      </c>
      <c r="AL23" s="182" t="e">
        <f aca="false">IF($A24="","",SPRDOPT(P23,X23,AI23,0,AB23,AE23,AF23,AK23,$AJ$2,0))</f>
        <v>#NAME?</v>
      </c>
      <c r="AM23" s="210" t="e">
        <f aca="false">IF($A24="","",MAX(0,O23-W23-AI23))</f>
        <v>#N/A</v>
      </c>
      <c r="AN23" s="211" t="e">
        <f aca="false">IF($A24="","",AL23-AM23)</f>
        <v>#N/A</v>
      </c>
      <c r="AO23" s="137" t="n">
        <f aca="false">IF(A24="","",A24-A23)</f>
        <v>31</v>
      </c>
      <c r="AP23" s="212" t="n">
        <f aca="false">IF(A24="","",CHOOSE(F$3,A24+24,A23))</f>
        <v>37438</v>
      </c>
      <c r="AQ23" s="209" t="n">
        <f aca="false">IF(A24="","",AP23-$E$1)</f>
        <v>-8488</v>
      </c>
      <c r="AR23" s="185" t="n">
        <f aca="false">IF(Summary!$H$2=1,VLOOKUP('ANR OK vs ML7'!A23,Curves!$C$17:$AR$273,MATCH('ANR OK vs ML7'!$AR$4,Curves!$C$8:$AQ$8,0)),0.1)</f>
        <v>0.1</v>
      </c>
      <c r="AS23" s="213" t="n">
        <f aca="false">IF(A24="","",1/(1+CHOOSE(F$3,(AR24+($I$3/10000))/2,(AR23+($I$3/10000))/2))^(2*AQ23/365.25))</f>
        <v>9.65675137267963</v>
      </c>
      <c r="AT23" s="137" t="n">
        <f aca="false">IF(A24="","",IF(AND(mthbeg&lt;=A23,mthend&gt;=A23),1,0))</f>
        <v>1</v>
      </c>
      <c r="AU23" s="137" t="n">
        <f aca="false">IF(A24="","",AO23*AT23)</f>
        <v>31</v>
      </c>
      <c r="AW23" s="195" t="e">
        <f aca="false">IF($A24="","",AL23*$E23)</f>
        <v>#NAME?</v>
      </c>
      <c r="AX23" s="195" t="e">
        <f aca="false">IF($A24="","",AM23*$E23)</f>
        <v>#N/A</v>
      </c>
      <c r="AY23" s="195" t="e">
        <f aca="false">IF($A24="","",AN23*$E23)</f>
        <v>#N/A</v>
      </c>
      <c r="BA23" s="195" t="n">
        <f aca="false">IF($A24="","",F23*Summary!$Q$7)</f>
        <v>0</v>
      </c>
      <c r="BC23" s="179" t="e">
        <f aca="false">IF(A24="","",AM23*F23)</f>
        <v>#N/A</v>
      </c>
    </row>
    <row r="24" customFormat="false" ht="12.75" hidden="false" customHeight="false" outlineLevel="0" collapsed="false">
      <c r="A24" s="196" t="n">
        <f aca="false">IF(A23&lt;mthend,EDATE(A23,1),"")</f>
        <v>37469</v>
      </c>
      <c r="B24" s="197" t="n">
        <f aca="false">IF(A24&lt;mthend,B23,"")</f>
        <v>40000</v>
      </c>
      <c r="C24" s="215"/>
      <c r="D24" s="197" t="n">
        <f aca="false">IF(A25&lt;&gt;"",B24+C24,"")</f>
        <v>40000</v>
      </c>
      <c r="E24" s="199" t="n">
        <f aca="false">IF(A25="","",IF(AND(AT24=1,$H$3=1),D24*AO24,IF($H$3=2,D24,"N/A")))</f>
        <v>1240000</v>
      </c>
      <c r="F24" s="199" t="n">
        <f aca="false">IF(A25="","",E24*AS24)</f>
        <v>11875609.8300972</v>
      </c>
      <c r="G24" s="200" t="e">
        <f aca="false">IF($A25="","",VLOOKUP($A24,Table,MATCH(G$4,Curves,0)))</f>
        <v>#N/A</v>
      </c>
      <c r="H24" s="201" t="e">
        <f aca="false">IF(A25="","",G24)</f>
        <v>#N/A</v>
      </c>
      <c r="I24" s="202"/>
      <c r="J24" s="200" t="e">
        <f aca="false">IF($A25="","",VLOOKUP($A24,Table,MATCH(J$4,Curves,0)))</f>
        <v>#N/A</v>
      </c>
      <c r="K24" s="201" t="e">
        <f aca="false">IF(A25="","",J24)</f>
        <v>#N/A</v>
      </c>
      <c r="L24" s="200" t="e">
        <f aca="false">IF($A25="","",VLOOKUP($A24,Table,MATCH(L$4,Curves,0)))</f>
        <v>#N/A</v>
      </c>
      <c r="M24" s="201" t="e">
        <f aca="false">IF(A25="","",L24)</f>
        <v>#N/A</v>
      </c>
      <c r="N24" s="203"/>
      <c r="O24" s="200" t="e">
        <f aca="false">IF(A25="","",L24+J24+G24)</f>
        <v>#N/A</v>
      </c>
      <c r="P24" s="200" t="e">
        <f aca="false">IF(A25="","",M24+K24+H24)</f>
        <v>#N/A</v>
      </c>
      <c r="Q24" s="204"/>
      <c r="R24" s="200" t="e">
        <f aca="false">IF($A25="","",VLOOKUP($A24,Table,MATCH(R$4,Curves,0)))</f>
        <v>#N/A</v>
      </c>
      <c r="S24" s="201" t="e">
        <f aca="false">IF(A25="","",R24)</f>
        <v>#N/A</v>
      </c>
      <c r="T24" s="200" t="e">
        <f aca="false">IF($A25="","",VLOOKUP($A24,Table,MATCH(T$4,Curves,0)))</f>
        <v>#N/A</v>
      </c>
      <c r="U24" s="201" t="e">
        <f aca="false">IF(A25="","",T24)</f>
        <v>#N/A</v>
      </c>
      <c r="V24" s="183" t="e">
        <f aca="false">IF($A25="","",IF(AND(MONTH(A24)&gt;3,MONTH(A24)&lt;11),(T24+R24+G24)*Summary!$T$7/(1-Summary!$T$7),(T24+R24+G24)*Summary!$U$7/(1-Summary!$U$7)))</f>
        <v>#N/A</v>
      </c>
      <c r="W24" s="200" t="e">
        <f aca="false">IF($A25="","",(T24+R24+G24+V24))</f>
        <v>#N/A</v>
      </c>
      <c r="X24" s="200" t="e">
        <f aca="false">IF($A25="","",(U24+S24+H24+V24))</f>
        <v>#N/A</v>
      </c>
      <c r="Y24" s="202"/>
      <c r="Z24" s="185" t="e">
        <f aca="false">IF($A25="","",VLOOKUP($A24,Table,MATCH(Z$4,Curves,0)))</f>
        <v>#N/A</v>
      </c>
      <c r="AA24" s="185" t="e">
        <f aca="false">IF($A25="","",VLOOKUP($A24,Table,MATCH(AA$4,Curves,0)))</f>
        <v>#N/A</v>
      </c>
      <c r="AB24" s="185" t="e">
        <f aca="false">SQRT((AA24^2*(A24-$D$3)+Z24^2*(DAY(EOMONTH(A24,0))/2))/AK24)</f>
        <v>#N/A</v>
      </c>
      <c r="AC24" s="185" t="e">
        <f aca="false">IF($A25="","",VLOOKUP($A24,Table,MATCH(AC$4,Curves,0)))</f>
        <v>#N/A</v>
      </c>
      <c r="AD24" s="185" t="e">
        <f aca="false">IF($A25="","",VLOOKUP($A24,Table,MATCH(AD$4,Curves,0)))</f>
        <v>#N/A</v>
      </c>
      <c r="AE24" s="185" t="e">
        <f aca="false">SQRT((AD24^2*(A24-$D$3)+AC24^2*(DAY(EOMONTH(A24,0))/2))/AK24)</f>
        <v>#N/A</v>
      </c>
      <c r="AF24" s="206" t="e">
        <f aca="false">((Summary!$N$7*(AA24*AD24)*(A24-$D$3))+(Summary!$M$7*Z24*AC24*(DAY(EOMONTH(A24,0))/2)))/(AK24*AB24*AE24)</f>
        <v>#N/A</v>
      </c>
      <c r="AG24" s="207" t="n">
        <f aca="false">IF($A25="","",Summary!$Q$7)</f>
        <v>0</v>
      </c>
      <c r="AH24" s="207" t="n">
        <f aca="false">IF($A25="","",IF(Summary!$R$7="Y",(VLOOKUP($A24,Summary!$AD$6:$AF$9,3)+'Escalating commodity'!C37),'Escalating commodity'!C37))</f>
        <v>0.0232</v>
      </c>
      <c r="AI24" s="207" t="n">
        <f aca="false">IF($A25="","",AH24)</f>
        <v>0.0232</v>
      </c>
      <c r="AJ24" s="208" t="n">
        <f aca="false">A24+DAY(EOMONTH(A24,0))/2-1</f>
        <v>37483.5</v>
      </c>
      <c r="AK24" s="209" t="n">
        <f aca="false">IF($A25="","",$A24-$E$1)</f>
        <v>-8457</v>
      </c>
      <c r="AL24" s="182" t="e">
        <f aca="false">IF($A25="","",SPRDOPT(P24,X24,AI24,0,AB24,AE24,AF24,AK24,$AJ$2,0))</f>
        <v>#NAME?</v>
      </c>
      <c r="AM24" s="210" t="e">
        <f aca="false">IF($A25="","",MAX(0,O24-W24-AI24))</f>
        <v>#N/A</v>
      </c>
      <c r="AN24" s="211" t="e">
        <f aca="false">IF($A25="","",AL24-AM24)</f>
        <v>#N/A</v>
      </c>
      <c r="AO24" s="137" t="n">
        <f aca="false">IF(A25="","",A25-A24)</f>
        <v>31</v>
      </c>
      <c r="AP24" s="212" t="n">
        <f aca="false">IF(A25="","",CHOOSE(F$3,A25+24,A24))</f>
        <v>37469</v>
      </c>
      <c r="AQ24" s="209" t="n">
        <f aca="false">IF(A25="","",AP24-$E$1)</f>
        <v>-8457</v>
      </c>
      <c r="AR24" s="185" t="n">
        <f aca="false">IF(Summary!$H$2=1,VLOOKUP('ANR OK vs ML7'!A24,Curves!$C$17:$AR$273,MATCH('ANR OK vs ML7'!$AR$4,Curves!$C$8:$AQ$8,0)),0.1)</f>
        <v>0.1</v>
      </c>
      <c r="AS24" s="213" t="n">
        <f aca="false">IF(A25="","",1/(1+CHOOSE(F$3,(AR25+($I$3/10000))/2,(AR24+($I$3/10000))/2))^(2*AQ24/365.25))</f>
        <v>9.57710470169126</v>
      </c>
      <c r="AT24" s="137" t="n">
        <f aca="false">IF(A25="","",IF(AND(mthbeg&lt;=A24,mthend&gt;=A24),1,0))</f>
        <v>1</v>
      </c>
      <c r="AU24" s="137" t="n">
        <f aca="false">IF(A25="","",AO24*AT24)</f>
        <v>31</v>
      </c>
      <c r="AW24" s="195" t="e">
        <f aca="false">IF($A25="","",AL24*$E24)</f>
        <v>#NAME?</v>
      </c>
      <c r="AX24" s="195" t="e">
        <f aca="false">IF($A25="","",AM24*$E24)</f>
        <v>#N/A</v>
      </c>
      <c r="AY24" s="195" t="e">
        <f aca="false">IF($A25="","",AN24*$E24)</f>
        <v>#N/A</v>
      </c>
      <c r="BA24" s="195" t="n">
        <f aca="false">IF($A25="","",F24*Summary!$Q$7)</f>
        <v>0</v>
      </c>
      <c r="BC24" s="179" t="e">
        <f aca="false">IF(A25="","",AM24*F24)</f>
        <v>#N/A</v>
      </c>
    </row>
    <row r="25" customFormat="false" ht="12.75" hidden="false" customHeight="false" outlineLevel="0" collapsed="false">
      <c r="A25" s="196" t="n">
        <f aca="false">IF(A24&lt;mthend,EDATE(A24,1),"")</f>
        <v>37500</v>
      </c>
      <c r="B25" s="197" t="n">
        <f aca="false">IF(A25&lt;mthend,B24,"")</f>
        <v>40000</v>
      </c>
      <c r="C25" s="215"/>
      <c r="D25" s="197" t="n">
        <f aca="false">IF(A26&lt;&gt;"",B25+C25,"")</f>
        <v>40000</v>
      </c>
      <c r="E25" s="199" t="n">
        <f aca="false">IF(A26="","",IF(AND(AT25=1,$H$3=1),D25*AO25,IF($H$3=2,D25,"N/A")))</f>
        <v>1200000</v>
      </c>
      <c r="F25" s="199" t="n">
        <f aca="false">IF(A26="","",E25*AS25)</f>
        <v>11397737.9258183</v>
      </c>
      <c r="G25" s="200" t="e">
        <f aca="false">IF($A26="","",VLOOKUP($A25,Table,MATCH(G$4,Curves,0)))</f>
        <v>#N/A</v>
      </c>
      <c r="H25" s="201" t="e">
        <f aca="false">IF(A26="","",G25)</f>
        <v>#N/A</v>
      </c>
      <c r="I25" s="202"/>
      <c r="J25" s="200" t="e">
        <f aca="false">IF($A26="","",VLOOKUP($A25,Table,MATCH(J$4,Curves,0)))</f>
        <v>#N/A</v>
      </c>
      <c r="K25" s="201" t="e">
        <f aca="false">IF(A26="","",J25)</f>
        <v>#N/A</v>
      </c>
      <c r="L25" s="200" t="e">
        <f aca="false">IF($A26="","",VLOOKUP($A25,Table,MATCH(L$4,Curves,0)))</f>
        <v>#N/A</v>
      </c>
      <c r="M25" s="201" t="e">
        <f aca="false">IF(A26="","",L25)</f>
        <v>#N/A</v>
      </c>
      <c r="N25" s="203"/>
      <c r="O25" s="200" t="e">
        <f aca="false">IF(A26="","",L25+J25+G25)</f>
        <v>#N/A</v>
      </c>
      <c r="P25" s="200" t="e">
        <f aca="false">IF(A26="","",M25+K25+H25)</f>
        <v>#N/A</v>
      </c>
      <c r="Q25" s="204"/>
      <c r="R25" s="200" t="e">
        <f aca="false">IF($A26="","",VLOOKUP($A25,Table,MATCH(R$4,Curves,0)))</f>
        <v>#N/A</v>
      </c>
      <c r="S25" s="201" t="e">
        <f aca="false">IF(A26="","",R25)</f>
        <v>#N/A</v>
      </c>
      <c r="T25" s="200" t="e">
        <f aca="false">IF($A26="","",VLOOKUP($A25,Table,MATCH(T$4,Curves,0)))</f>
        <v>#N/A</v>
      </c>
      <c r="U25" s="201" t="e">
        <f aca="false">IF(A26="","",T25)</f>
        <v>#N/A</v>
      </c>
      <c r="V25" s="183" t="e">
        <f aca="false">IF($A26="","",IF(AND(MONTH(A25)&gt;3,MONTH(A25)&lt;11),(T25+R25+G25)*Summary!$T$7/(1-Summary!$T$7),(T25+R25+G25)*Summary!$U$7/(1-Summary!$U$7)))</f>
        <v>#N/A</v>
      </c>
      <c r="W25" s="200" t="e">
        <f aca="false">IF($A26="","",(T25+R25+G25+V25))</f>
        <v>#N/A</v>
      </c>
      <c r="X25" s="200" t="e">
        <f aca="false">IF($A26="","",(U25+S25+H25+V25))</f>
        <v>#N/A</v>
      </c>
      <c r="Y25" s="202"/>
      <c r="Z25" s="185" t="e">
        <f aca="false">IF($A26="","",VLOOKUP($A25,Table,MATCH(Z$4,Curves,0)))</f>
        <v>#N/A</v>
      </c>
      <c r="AA25" s="185" t="e">
        <f aca="false">IF($A26="","",VLOOKUP($A25,Table,MATCH(AA$4,Curves,0)))</f>
        <v>#N/A</v>
      </c>
      <c r="AB25" s="185" t="e">
        <f aca="false">SQRT((AA25^2*(A25-$D$3)+Z25^2*(DAY(EOMONTH(A25,0))/2))/AK25)</f>
        <v>#N/A</v>
      </c>
      <c r="AC25" s="185" t="e">
        <f aca="false">IF($A26="","",VLOOKUP($A25,Table,MATCH(AC$4,Curves,0)))</f>
        <v>#N/A</v>
      </c>
      <c r="AD25" s="185" t="e">
        <f aca="false">IF($A26="","",VLOOKUP($A25,Table,MATCH(AD$4,Curves,0)))</f>
        <v>#N/A</v>
      </c>
      <c r="AE25" s="185" t="e">
        <f aca="false">SQRT((AD25^2*(A25-$D$3)+AC25^2*(DAY(EOMONTH(A25,0))/2))/AK25)</f>
        <v>#N/A</v>
      </c>
      <c r="AF25" s="206" t="e">
        <f aca="false">((Summary!$N$7*(AA25*AD25)*(A25-$D$3))+(Summary!$M$7*Z25*AC25*(DAY(EOMONTH(A25,0))/2)))/(AK25*AB25*AE25)</f>
        <v>#N/A</v>
      </c>
      <c r="AG25" s="207" t="n">
        <f aca="false">IF($A26="","",Summary!$Q$7)</f>
        <v>0</v>
      </c>
      <c r="AH25" s="207" t="n">
        <f aca="false">IF($A26="","",IF(Summary!$R$7="Y",(VLOOKUP($A25,Summary!$AD$6:$AF$9,3)+'Escalating commodity'!C38),'Escalating commodity'!C38))</f>
        <v>0.0232</v>
      </c>
      <c r="AI25" s="207" t="n">
        <f aca="false">IF($A26="","",AH25)</f>
        <v>0.0232</v>
      </c>
      <c r="AJ25" s="208" t="n">
        <f aca="false">A25+DAY(EOMONTH(A25,0))/2-1</f>
        <v>37514</v>
      </c>
      <c r="AK25" s="209" t="n">
        <f aca="false">IF($A26="","",$A25-$E$1)</f>
        <v>-8426</v>
      </c>
      <c r="AL25" s="182" t="e">
        <f aca="false">IF($A26="","",SPRDOPT(P25,X25,AI25,0,AB25,AE25,AF25,AK25,$AJ$2,0))</f>
        <v>#NAME?</v>
      </c>
      <c r="AM25" s="210" t="e">
        <f aca="false">IF($A26="","",MAX(0,O25-W25-AI25))</f>
        <v>#N/A</v>
      </c>
      <c r="AN25" s="211" t="e">
        <f aca="false">IF($A26="","",AL25-AM25)</f>
        <v>#N/A</v>
      </c>
      <c r="AO25" s="137" t="n">
        <f aca="false">IF(A26="","",A26-A25)</f>
        <v>30</v>
      </c>
      <c r="AP25" s="212" t="n">
        <f aca="false">IF(A26="","",CHOOSE(F$3,A26+24,A25))</f>
        <v>37500</v>
      </c>
      <c r="AQ25" s="209" t="n">
        <f aca="false">IF(A26="","",AP25-$E$1)</f>
        <v>-8426</v>
      </c>
      <c r="AR25" s="185" t="n">
        <f aca="false">IF(Summary!$H$2=1,VLOOKUP('ANR OK vs ML7'!A25,Curves!$C$17:$AR$273,MATCH('ANR OK vs ML7'!$AR$4,Curves!$C$8:$AQ$8,0)),0.1)</f>
        <v>0.1</v>
      </c>
      <c r="AS25" s="213" t="n">
        <f aca="false">IF(A26="","",1/(1+CHOOSE(F$3,(AR26+($I$3/10000))/2,(AR25+($I$3/10000))/2))^(2*AQ25/365.25))</f>
        <v>9.49811493818189</v>
      </c>
      <c r="AT25" s="137" t="n">
        <f aca="false">IF(A26="","",IF(AND(mthbeg&lt;=A25,mthend&gt;=A25),1,0))</f>
        <v>1</v>
      </c>
      <c r="AU25" s="137" t="n">
        <f aca="false">IF(A26="","",AO25*AT25)</f>
        <v>30</v>
      </c>
      <c r="AW25" s="195" t="e">
        <f aca="false">IF($A26="","",AL25*$E25)</f>
        <v>#NAME?</v>
      </c>
      <c r="AX25" s="195" t="e">
        <f aca="false">IF($A26="","",AM25*$E25)</f>
        <v>#N/A</v>
      </c>
      <c r="AY25" s="195" t="e">
        <f aca="false">IF($A26="","",AN25*$E25)</f>
        <v>#N/A</v>
      </c>
      <c r="BA25" s="195" t="n">
        <f aca="false">IF($A26="","",F25*Summary!$Q$7)</f>
        <v>0</v>
      </c>
      <c r="BC25" s="179" t="e">
        <f aca="false">IF(A26="","",AM25*F25)</f>
        <v>#N/A</v>
      </c>
    </row>
    <row r="26" customFormat="false" ht="12.75" hidden="false" customHeight="false" outlineLevel="0" collapsed="false">
      <c r="A26" s="196" t="n">
        <f aca="false">IF(A25&lt;mthend,EDATE(A25,1),"")</f>
        <v>37530</v>
      </c>
      <c r="B26" s="197" t="n">
        <f aca="false">IF(A26&lt;mthend,B25,"")</f>
        <v>40000</v>
      </c>
      <c r="C26" s="215"/>
      <c r="D26" s="197" t="n">
        <f aca="false">IF(A27&lt;&gt;"",B26+C26,"")</f>
        <v>40000</v>
      </c>
      <c r="E26" s="199" t="n">
        <f aca="false">IF(A27="","",IF(AND(AT26=1,$H$3=1),D26*AO26,IF($H$3=2,D26,"N/A")))</f>
        <v>1240000</v>
      </c>
      <c r="F26" s="199" t="n">
        <f aca="false">IF(A27="","",E26*AS26)</f>
        <v>11683644.0533698</v>
      </c>
      <c r="G26" s="200" t="e">
        <f aca="false">IF($A27="","",VLOOKUP($A26,Table,MATCH(G$4,Curves,0)))</f>
        <v>#N/A</v>
      </c>
      <c r="H26" s="201" t="e">
        <f aca="false">IF(A27="","",G26)</f>
        <v>#N/A</v>
      </c>
      <c r="I26" s="202"/>
      <c r="J26" s="200" t="e">
        <f aca="false">IF($A27="","",VLOOKUP($A26,Table,MATCH(J$4,Curves,0)))</f>
        <v>#N/A</v>
      </c>
      <c r="K26" s="201" t="e">
        <f aca="false">IF(A27="","",J26)</f>
        <v>#N/A</v>
      </c>
      <c r="L26" s="200" t="e">
        <f aca="false">IF($A27="","",VLOOKUP($A26,Table,MATCH(L$4,Curves,0)))</f>
        <v>#N/A</v>
      </c>
      <c r="M26" s="201" t="e">
        <f aca="false">IF(A27="","",L26)</f>
        <v>#N/A</v>
      </c>
      <c r="N26" s="203"/>
      <c r="O26" s="200" t="e">
        <f aca="false">IF(A27="","",L26+J26+G26)</f>
        <v>#N/A</v>
      </c>
      <c r="P26" s="200" t="e">
        <f aca="false">IF(A27="","",M26+K26+H26)</f>
        <v>#N/A</v>
      </c>
      <c r="Q26" s="204"/>
      <c r="R26" s="200" t="e">
        <f aca="false">IF($A27="","",VLOOKUP($A26,Table,MATCH(R$4,Curves,0)))</f>
        <v>#N/A</v>
      </c>
      <c r="S26" s="201" t="e">
        <f aca="false">IF(A27="","",R26)</f>
        <v>#N/A</v>
      </c>
      <c r="T26" s="200" t="e">
        <f aca="false">IF($A27="","",VLOOKUP($A26,Table,MATCH(T$4,Curves,0)))</f>
        <v>#N/A</v>
      </c>
      <c r="U26" s="201" t="e">
        <f aca="false">IF(A27="","",T26)</f>
        <v>#N/A</v>
      </c>
      <c r="V26" s="183" t="e">
        <f aca="false">IF($A27="","",IF(AND(MONTH(A26)&gt;3,MONTH(A26)&lt;11),(T26+R26+G26)*Summary!$T$7/(1-Summary!$T$7),(T26+R26+G26)*Summary!$U$7/(1-Summary!$U$7)))</f>
        <v>#N/A</v>
      </c>
      <c r="W26" s="200" t="e">
        <f aca="false">IF($A27="","",(T26+R26+G26+V26))</f>
        <v>#N/A</v>
      </c>
      <c r="X26" s="200" t="e">
        <f aca="false">IF($A27="","",(U26+S26+H26+V26))</f>
        <v>#N/A</v>
      </c>
      <c r="Y26" s="202"/>
      <c r="Z26" s="185" t="e">
        <f aca="false">IF($A27="","",VLOOKUP($A26,Table,MATCH(Z$4,Curves,0)))</f>
        <v>#N/A</v>
      </c>
      <c r="AA26" s="185" t="e">
        <f aca="false">IF($A27="","",VLOOKUP($A26,Table,MATCH(AA$4,Curves,0)))</f>
        <v>#N/A</v>
      </c>
      <c r="AB26" s="185" t="e">
        <f aca="false">SQRT((AA26^2*(A26-$D$3)+Z26^2*(DAY(EOMONTH(A26,0))/2))/AK26)</f>
        <v>#N/A</v>
      </c>
      <c r="AC26" s="185" t="e">
        <f aca="false">IF($A27="","",VLOOKUP($A26,Table,MATCH(AC$4,Curves,0)))</f>
        <v>#N/A</v>
      </c>
      <c r="AD26" s="185" t="e">
        <f aca="false">IF($A27="","",VLOOKUP($A26,Table,MATCH(AD$4,Curves,0)))</f>
        <v>#N/A</v>
      </c>
      <c r="AE26" s="185" t="e">
        <f aca="false">SQRT((AD26^2*(A26-$D$3)+AC26^2*(DAY(EOMONTH(A26,0))/2))/AK26)</f>
        <v>#N/A</v>
      </c>
      <c r="AF26" s="206" t="e">
        <f aca="false">((Summary!$N$7*(AA26*AD26)*(A26-$D$3))+(Summary!$M$7*Z26*AC26*(DAY(EOMONTH(A26,0))/2)))/(AK26*AB26*AE26)</f>
        <v>#N/A</v>
      </c>
      <c r="AG26" s="207" t="n">
        <f aca="false">IF($A27="","",Summary!$Q$7)</f>
        <v>0</v>
      </c>
      <c r="AH26" s="207" t="n">
        <f aca="false">IF($A27="","",IF(Summary!$R$7="Y",(VLOOKUP($A26,Summary!$AD$6:$AF$9,3)+'Escalating commodity'!C39),'Escalating commodity'!C39))</f>
        <v>0.0232</v>
      </c>
      <c r="AI26" s="207" t="n">
        <f aca="false">IF($A27="","",AH26)</f>
        <v>0.0232</v>
      </c>
      <c r="AJ26" s="208" t="n">
        <f aca="false">A26+DAY(EOMONTH(A26,0))/2-1</f>
        <v>37544.5</v>
      </c>
      <c r="AK26" s="209" t="n">
        <f aca="false">IF($A27="","",$A26-$E$1)</f>
        <v>-8396</v>
      </c>
      <c r="AL26" s="182" t="e">
        <f aca="false">IF($A27="","",SPRDOPT(P26,X26,AI26,0,AB26,AE26,AF26,AK26,$AJ$2,0))</f>
        <v>#NAME?</v>
      </c>
      <c r="AM26" s="210" t="e">
        <f aca="false">IF($A27="","",MAX(0,O26-W26-AI26))</f>
        <v>#N/A</v>
      </c>
      <c r="AN26" s="211" t="e">
        <f aca="false">IF($A27="","",AL26-AM26)</f>
        <v>#N/A</v>
      </c>
      <c r="AO26" s="137" t="n">
        <f aca="false">IF(A27="","",A27-A26)</f>
        <v>31</v>
      </c>
      <c r="AP26" s="212" t="n">
        <f aca="false">IF(A27="","",CHOOSE(F$3,A27+24,A26))</f>
        <v>37530</v>
      </c>
      <c r="AQ26" s="209" t="n">
        <f aca="false">IF(A27="","",AP26-$E$1)</f>
        <v>-8396</v>
      </c>
      <c r="AR26" s="185" t="n">
        <f aca="false">IF(Summary!$H$2=1,VLOOKUP('ANR OK vs ML7'!A26,Curves!$C$17:$AR$273,MATCH('ANR OK vs ML7'!$AR$4,Curves!$C$8:$AQ$8,0)),0.1)</f>
        <v>0.1</v>
      </c>
      <c r="AS26" s="213" t="n">
        <f aca="false">IF(A27="","",1/(1+CHOOSE(F$3,(AR27+($I$3/10000))/2,(AR26+($I$3/10000))/2))^(2*AQ26/365.25))</f>
        <v>9.42229359142726</v>
      </c>
      <c r="AT26" s="137" t="n">
        <f aca="false">IF(A27="","",IF(AND(mthbeg&lt;=A26,mthend&gt;=A26),1,0))</f>
        <v>1</v>
      </c>
      <c r="AU26" s="137" t="n">
        <f aca="false">IF(A27="","",AO26*AT26)</f>
        <v>31</v>
      </c>
      <c r="AW26" s="195" t="e">
        <f aca="false">IF($A27="","",AL26*$E26)</f>
        <v>#NAME?</v>
      </c>
      <c r="AX26" s="195" t="e">
        <f aca="false">IF($A27="","",AM26*$E26)</f>
        <v>#N/A</v>
      </c>
      <c r="AY26" s="195" t="e">
        <f aca="false">IF($A27="","",AN26*$E26)</f>
        <v>#N/A</v>
      </c>
      <c r="BA26" s="195" t="n">
        <f aca="false">IF($A27="","",F26*Summary!$Q$7)</f>
        <v>0</v>
      </c>
      <c r="BC26" s="179" t="e">
        <f aca="false">IF(A27="","",AM26*F26)</f>
        <v>#N/A</v>
      </c>
    </row>
    <row r="27" customFormat="false" ht="12.75" hidden="false" customHeight="false" outlineLevel="0" collapsed="false">
      <c r="A27" s="196" t="n">
        <f aca="false">IF(A26&lt;mthend,EDATE(A26,1),"")</f>
        <v>37561</v>
      </c>
      <c r="B27" s="197" t="n">
        <f aca="false">IF(A27&lt;mthend,B26,"")</f>
        <v>40000</v>
      </c>
      <c r="C27" s="215"/>
      <c r="D27" s="197" t="n">
        <f aca="false">IF(A28&lt;&gt;"",B27+C27,"")</f>
        <v>40000</v>
      </c>
      <c r="E27" s="199" t="n">
        <f aca="false">IF(A28="","",IF(AND(AT27=1,$H$3=1),D27*AO27,IF($H$3=2,D27,"N/A")))</f>
        <v>1200000</v>
      </c>
      <c r="F27" s="199" t="n">
        <f aca="false">IF(A28="","",E27*AS27)</f>
        <v>11213496.8093478</v>
      </c>
      <c r="G27" s="200" t="e">
        <f aca="false">IF($A28="","",VLOOKUP($A27,Table,MATCH(G$4,Curves,0)))</f>
        <v>#N/A</v>
      </c>
      <c r="H27" s="201" t="e">
        <f aca="false">IF(A28="","",G27)</f>
        <v>#N/A</v>
      </c>
      <c r="I27" s="202"/>
      <c r="J27" s="200" t="e">
        <f aca="false">IF($A28="","",VLOOKUP($A27,Table,MATCH(J$4,Curves,0)))</f>
        <v>#N/A</v>
      </c>
      <c r="K27" s="201" t="e">
        <f aca="false">IF(A28="","",J27)</f>
        <v>#N/A</v>
      </c>
      <c r="L27" s="200" t="e">
        <f aca="false">IF($A28="","",VLOOKUP($A27,Table,MATCH(L$4,Curves,0)))</f>
        <v>#N/A</v>
      </c>
      <c r="M27" s="201" t="e">
        <f aca="false">IF(A28="","",L27)</f>
        <v>#N/A</v>
      </c>
      <c r="N27" s="203"/>
      <c r="O27" s="200" t="e">
        <f aca="false">IF(A28="","",L27+J27+G27)</f>
        <v>#N/A</v>
      </c>
      <c r="P27" s="200" t="e">
        <f aca="false">IF(A28="","",M27+K27+H27)</f>
        <v>#N/A</v>
      </c>
      <c r="Q27" s="204"/>
      <c r="R27" s="200" t="e">
        <f aca="false">IF($A28="","",VLOOKUP($A27,Table,MATCH(R$4,Curves,0)))</f>
        <v>#N/A</v>
      </c>
      <c r="S27" s="201" t="e">
        <f aca="false">IF(A28="","",R27)</f>
        <v>#N/A</v>
      </c>
      <c r="T27" s="200" t="e">
        <f aca="false">IF($A28="","",VLOOKUP($A27,Table,MATCH(T$4,Curves,0)))</f>
        <v>#N/A</v>
      </c>
      <c r="U27" s="201" t="e">
        <f aca="false">IF(A28="","",T27)</f>
        <v>#N/A</v>
      </c>
      <c r="V27" s="183" t="e">
        <f aca="false">IF($A28="","",IF(AND(MONTH(A27)&gt;3,MONTH(A27)&lt;11),(T27+R27+G27)*Summary!$T$7/(1-Summary!$T$7),(T27+R27+G27)*Summary!$U$7/(1-Summary!$U$7)))</f>
        <v>#N/A</v>
      </c>
      <c r="W27" s="200" t="e">
        <f aca="false">IF($A28="","",(T27+R27+G27+V27))</f>
        <v>#N/A</v>
      </c>
      <c r="X27" s="200" t="e">
        <f aca="false">IF($A28="","",(U27+S27+H27+V27))</f>
        <v>#N/A</v>
      </c>
      <c r="Y27" s="202"/>
      <c r="Z27" s="185" t="e">
        <f aca="false">IF($A28="","",VLOOKUP($A27,Table,MATCH(Z$4,Curves,0)))</f>
        <v>#N/A</v>
      </c>
      <c r="AA27" s="185" t="e">
        <f aca="false">IF($A28="","",VLOOKUP($A27,Table,MATCH(AA$4,Curves,0)))</f>
        <v>#N/A</v>
      </c>
      <c r="AB27" s="185" t="e">
        <f aca="false">SQRT((AA27^2*(A27-$D$3)+Z27^2*(DAY(EOMONTH(A27,0))/2))/AK27)</f>
        <v>#N/A</v>
      </c>
      <c r="AC27" s="185" t="e">
        <f aca="false">IF($A28="","",VLOOKUP($A27,Table,MATCH(AC$4,Curves,0)))</f>
        <v>#N/A</v>
      </c>
      <c r="AD27" s="185" t="e">
        <f aca="false">IF($A28="","",VLOOKUP($A27,Table,MATCH(AD$4,Curves,0)))</f>
        <v>#N/A</v>
      </c>
      <c r="AE27" s="185" t="e">
        <f aca="false">SQRT((AD27^2*(A27-$D$3)+AC27^2*(DAY(EOMONTH(A27,0))/2))/AK27)</f>
        <v>#N/A</v>
      </c>
      <c r="AF27" s="206" t="e">
        <f aca="false">((Summary!$N$7*(AA27*AD27)*(A27-$D$3))+(Summary!$M$7*Z27*AC27*(DAY(EOMONTH(A27,0))/2)))/(AK27*AB27*AE27)</f>
        <v>#N/A</v>
      </c>
      <c r="AG27" s="207" t="n">
        <f aca="false">IF($A28="","",Summary!$Q$7)</f>
        <v>0</v>
      </c>
      <c r="AH27" s="207" t="n">
        <f aca="false">IF($A28="","",IF(Summary!$R$7="Y",(VLOOKUP($A27,Summary!$AD$6:$AF$9,3)+'Escalating commodity'!C40),'Escalating commodity'!C40))</f>
        <v>0.0232</v>
      </c>
      <c r="AI27" s="207" t="n">
        <f aca="false">IF($A28="","",AH27)</f>
        <v>0.0232</v>
      </c>
      <c r="AJ27" s="208" t="n">
        <f aca="false">A27+DAY(EOMONTH(A27,0))/2-1</f>
        <v>37575</v>
      </c>
      <c r="AK27" s="209" t="n">
        <f aca="false">IF($A28="","",$A27-$E$1)</f>
        <v>-8365</v>
      </c>
      <c r="AL27" s="182" t="e">
        <f aca="false">IF($A28="","",SPRDOPT(P27,X27,AI27,0,AB27,AE27,AF27,AK27,$AJ$2,0))</f>
        <v>#NAME?</v>
      </c>
      <c r="AM27" s="210" t="e">
        <f aca="false">IF($A28="","",MAX(0,O27-W27-AI27))</f>
        <v>#N/A</v>
      </c>
      <c r="AN27" s="211" t="e">
        <f aca="false">IF($A28="","",AL27-AM27)</f>
        <v>#N/A</v>
      </c>
      <c r="AO27" s="137" t="n">
        <f aca="false">IF(A28="","",A28-A27)</f>
        <v>30</v>
      </c>
      <c r="AP27" s="212" t="n">
        <f aca="false">IF(A28="","",CHOOSE(F$3,A28+24,A27))</f>
        <v>37561</v>
      </c>
      <c r="AQ27" s="209" t="n">
        <f aca="false">IF(A28="","",AP27-$E$1)</f>
        <v>-8365</v>
      </c>
      <c r="AR27" s="185" t="n">
        <f aca="false">IF(Summary!$H$2=1,VLOOKUP('ANR OK vs ML7'!A27,Curves!$C$17:$AR$273,MATCH('ANR OK vs ML7'!$AR$4,Curves!$C$8:$AQ$8,0)),0.1)</f>
        <v>0.1</v>
      </c>
      <c r="AS27" s="213" t="n">
        <f aca="false">IF(A28="","",1/(1+CHOOSE(F$3,(AR28+($I$3/10000))/2,(AR27+($I$3/10000))/2))^(2*AQ27/365.25))</f>
        <v>9.34458067445651</v>
      </c>
      <c r="AT27" s="137" t="n">
        <f aca="false">IF(A28="","",IF(AND(mthbeg&lt;=A27,mthend&gt;=A27),1,0))</f>
        <v>1</v>
      </c>
      <c r="AU27" s="137" t="n">
        <f aca="false">IF(A28="","",AO27*AT27)</f>
        <v>30</v>
      </c>
      <c r="AW27" s="195" t="e">
        <f aca="false">IF($A28="","",AL27*$E27)</f>
        <v>#NAME?</v>
      </c>
      <c r="AX27" s="195" t="e">
        <f aca="false">IF($A28="","",AM27*$E27)</f>
        <v>#N/A</v>
      </c>
      <c r="AY27" s="195" t="e">
        <f aca="false">IF($A28="","",AN27*$E27)</f>
        <v>#N/A</v>
      </c>
      <c r="BA27" s="195" t="n">
        <f aca="false">IF($A28="","",F27*Summary!$Q$7)</f>
        <v>0</v>
      </c>
      <c r="BC27" s="179" t="e">
        <f aca="false">IF(A28="","",AM27*F27)</f>
        <v>#N/A</v>
      </c>
    </row>
    <row r="28" customFormat="false" ht="12.75" hidden="false" customHeight="false" outlineLevel="0" collapsed="false">
      <c r="A28" s="196" t="n">
        <f aca="false">IF(A27&lt;mthend,EDATE(A27,1),"")</f>
        <v>37591</v>
      </c>
      <c r="B28" s="197" t="n">
        <f aca="false">IF(A28&lt;mthend,B27,"")</f>
        <v>40000</v>
      </c>
      <c r="C28" s="215"/>
      <c r="D28" s="197" t="n">
        <f aca="false">IF(A29&lt;&gt;"",B28+C28,"")</f>
        <v>40000</v>
      </c>
      <c r="E28" s="199" t="n">
        <f aca="false">IF(A29="","",IF(AND(AT28=1,$H$3=1),D28*AO28,IF($H$3=2,D28,"N/A")))</f>
        <v>1240000</v>
      </c>
      <c r="F28" s="199" t="n">
        <f aca="false">IF(A29="","",E28*AS28)</f>
        <v>11494781.3475551</v>
      </c>
      <c r="G28" s="200" t="e">
        <f aca="false">IF($A29="","",VLOOKUP($A28,Table,MATCH(G$4,Curves,0)))</f>
        <v>#N/A</v>
      </c>
      <c r="H28" s="201" t="e">
        <f aca="false">IF(A29="","",G28)</f>
        <v>#N/A</v>
      </c>
      <c r="I28" s="202"/>
      <c r="J28" s="200" t="e">
        <f aca="false">IF($A29="","",VLOOKUP($A28,Table,MATCH(J$4,Curves,0)))</f>
        <v>#N/A</v>
      </c>
      <c r="K28" s="201" t="e">
        <f aca="false">IF(A29="","",J28)</f>
        <v>#N/A</v>
      </c>
      <c r="L28" s="200" t="e">
        <f aca="false">IF($A29="","",VLOOKUP($A28,Table,MATCH(L$4,Curves,0)))</f>
        <v>#N/A</v>
      </c>
      <c r="M28" s="201" t="e">
        <f aca="false">IF(A29="","",L28)</f>
        <v>#N/A</v>
      </c>
      <c r="N28" s="203"/>
      <c r="O28" s="200" t="e">
        <f aca="false">IF(A29="","",L28+J28+G28)</f>
        <v>#N/A</v>
      </c>
      <c r="P28" s="200" t="e">
        <f aca="false">IF(A29="","",M28+K28+H28)</f>
        <v>#N/A</v>
      </c>
      <c r="Q28" s="204"/>
      <c r="R28" s="200" t="e">
        <f aca="false">IF($A29="","",VLOOKUP($A28,Table,MATCH(R$4,Curves,0)))</f>
        <v>#N/A</v>
      </c>
      <c r="S28" s="201" t="e">
        <f aca="false">IF(A29="","",R28)</f>
        <v>#N/A</v>
      </c>
      <c r="T28" s="200" t="e">
        <f aca="false">IF($A29="","",VLOOKUP($A28,Table,MATCH(T$4,Curves,0)))</f>
        <v>#N/A</v>
      </c>
      <c r="U28" s="201" t="e">
        <f aca="false">IF(A29="","",T28)</f>
        <v>#N/A</v>
      </c>
      <c r="V28" s="183" t="e">
        <f aca="false">IF($A29="","",IF(AND(MONTH(A28)&gt;3,MONTH(A28)&lt;11),(T28+R28+G28)*Summary!$T$7/(1-Summary!$T$7),(T28+R28+G28)*Summary!$U$7/(1-Summary!$U$7)))</f>
        <v>#N/A</v>
      </c>
      <c r="W28" s="200" t="e">
        <f aca="false">IF($A29="","",(T28+R28+G28+V28))</f>
        <v>#N/A</v>
      </c>
      <c r="X28" s="200" t="e">
        <f aca="false">IF($A29="","",(U28+S28+H28+V28))</f>
        <v>#N/A</v>
      </c>
      <c r="Y28" s="202"/>
      <c r="Z28" s="185" t="e">
        <f aca="false">IF($A29="","",VLOOKUP($A28,Table,MATCH(Z$4,Curves,0)))</f>
        <v>#N/A</v>
      </c>
      <c r="AA28" s="185" t="e">
        <f aca="false">IF($A29="","",VLOOKUP($A28,Table,MATCH(AA$4,Curves,0)))</f>
        <v>#N/A</v>
      </c>
      <c r="AB28" s="185" t="e">
        <f aca="false">SQRT((AA28^2*(A28-$D$3)+Z28^2*(DAY(EOMONTH(A28,0))/2))/AK28)</f>
        <v>#N/A</v>
      </c>
      <c r="AC28" s="185" t="e">
        <f aca="false">IF($A29="","",VLOOKUP($A28,Table,MATCH(AC$4,Curves,0)))</f>
        <v>#N/A</v>
      </c>
      <c r="AD28" s="185" t="e">
        <f aca="false">IF($A29="","",VLOOKUP($A28,Table,MATCH(AD$4,Curves,0)))</f>
        <v>#N/A</v>
      </c>
      <c r="AE28" s="185" t="e">
        <f aca="false">SQRT((AD28^2*(A28-$D$3)+AC28^2*(DAY(EOMONTH(A28,0))/2))/AK28)</f>
        <v>#N/A</v>
      </c>
      <c r="AF28" s="206" t="e">
        <f aca="false">((Summary!$N$7*(AA28*AD28)*(A28-$D$3))+(Summary!$M$7*Z28*AC28*(DAY(EOMONTH(A28,0))/2)))/(AK28*AB28*AE28)</f>
        <v>#N/A</v>
      </c>
      <c r="AG28" s="207" t="n">
        <f aca="false">IF($A29="","",Summary!$Q$7)</f>
        <v>0</v>
      </c>
      <c r="AH28" s="207" t="n">
        <f aca="false">IF($A29="","",IF(Summary!$R$7="Y",(VLOOKUP($A28,Summary!$AD$6:$AF$9,3)+'Escalating commodity'!C41),'Escalating commodity'!C41))</f>
        <v>0.0232</v>
      </c>
      <c r="AI28" s="207" t="n">
        <f aca="false">IF($A29="","",AH28)</f>
        <v>0.0232</v>
      </c>
      <c r="AJ28" s="208" t="n">
        <f aca="false">A28+DAY(EOMONTH(A28,0))/2-1</f>
        <v>37605.5</v>
      </c>
      <c r="AK28" s="209" t="n">
        <f aca="false">IF($A29="","",$A28-$E$1)</f>
        <v>-8335</v>
      </c>
      <c r="AL28" s="182" t="e">
        <f aca="false">IF($A29="","",SPRDOPT(P28,X28,AI28,0,AB28,AE28,AF28,AK28,$AJ$2,0))</f>
        <v>#NAME?</v>
      </c>
      <c r="AM28" s="210" t="e">
        <f aca="false">IF($A29="","",MAX(0,O28-W28-AI28))</f>
        <v>#N/A</v>
      </c>
      <c r="AN28" s="211" t="e">
        <f aca="false">IF($A29="","",AL28-AM28)</f>
        <v>#N/A</v>
      </c>
      <c r="AO28" s="137" t="n">
        <f aca="false">IF(A29="","",A29-A28)</f>
        <v>31</v>
      </c>
      <c r="AP28" s="212" t="n">
        <f aca="false">IF(A29="","",CHOOSE(F$3,A29+24,A28))</f>
        <v>37591</v>
      </c>
      <c r="AQ28" s="209" t="n">
        <f aca="false">IF(A29="","",AP28-$E$1)</f>
        <v>-8335</v>
      </c>
      <c r="AR28" s="185" t="n">
        <f aca="false">IF(Summary!$H$2=1,VLOOKUP('ANR OK vs ML7'!A28,Curves!$C$17:$AR$273,MATCH('ANR OK vs ML7'!$AR$4,Curves!$C$8:$AQ$8,0)),0.1)</f>
        <v>0.1</v>
      </c>
      <c r="AS28" s="213" t="n">
        <f aca="false">IF(A29="","",1/(1+CHOOSE(F$3,(AR29+($I$3/10000))/2,(AR28+($I$3/10000))/2))^(2*AQ28/365.25))</f>
        <v>9.26998495770576</v>
      </c>
      <c r="AT28" s="137" t="n">
        <f aca="false">IF(A29="","",IF(AND(mthbeg&lt;=A28,mthend&gt;=A28),1,0))</f>
        <v>1</v>
      </c>
      <c r="AU28" s="137" t="n">
        <f aca="false">IF(A29="","",AO28*AT28)</f>
        <v>31</v>
      </c>
      <c r="AW28" s="195" t="e">
        <f aca="false">IF($A29="","",AL28*$E28)</f>
        <v>#NAME?</v>
      </c>
      <c r="AX28" s="195" t="e">
        <f aca="false">IF($A29="","",AM28*$E28)</f>
        <v>#N/A</v>
      </c>
      <c r="AY28" s="195" t="e">
        <f aca="false">IF($A29="","",AN28*$E28)</f>
        <v>#N/A</v>
      </c>
      <c r="BA28" s="195" t="n">
        <f aca="false">IF($A29="","",F28*Summary!$Q$7)</f>
        <v>0</v>
      </c>
      <c r="BC28" s="179" t="e">
        <f aca="false">IF(A29="","",AM28*F28)</f>
        <v>#N/A</v>
      </c>
    </row>
    <row r="29" customFormat="false" ht="12.75" hidden="false" customHeight="false" outlineLevel="0" collapsed="false">
      <c r="A29" s="196" t="n">
        <f aca="false">IF(A28&lt;mthend,EDATE(A28,1),"")</f>
        <v>37622</v>
      </c>
      <c r="B29" s="197" t="n">
        <f aca="false">IF(A29&lt;mthend,B28,"")</f>
        <v>40000</v>
      </c>
      <c r="C29" s="215"/>
      <c r="D29" s="197" t="n">
        <f aca="false">IF(A30&lt;&gt;"",B29+C29,"")</f>
        <v>40000</v>
      </c>
      <c r="E29" s="199" t="n">
        <f aca="false">IF(A30="","",IF(AND(AT29=1,$H$3=1),D29*AO29,IF($H$3=2,D29,"N/A")))</f>
        <v>1240000</v>
      </c>
      <c r="F29" s="199" t="n">
        <f aca="false">IF(A30="","",E29*AS29)</f>
        <v>11399975.026802</v>
      </c>
      <c r="G29" s="200" t="e">
        <f aca="false">IF($A30="","",VLOOKUP($A29,Table,MATCH(G$4,Curves,0)))</f>
        <v>#N/A</v>
      </c>
      <c r="H29" s="201" t="e">
        <f aca="false">IF(A30="","",G29)</f>
        <v>#N/A</v>
      </c>
      <c r="I29" s="202"/>
      <c r="J29" s="200" t="e">
        <f aca="false">IF($A30="","",VLOOKUP($A29,Table,MATCH(J$4,Curves,0)))</f>
        <v>#N/A</v>
      </c>
      <c r="K29" s="201" t="e">
        <f aca="false">IF(A30="","",J29)</f>
        <v>#N/A</v>
      </c>
      <c r="L29" s="200" t="e">
        <f aca="false">IF($A30="","",VLOOKUP($A29,Table,MATCH(L$4,Curves,0)))</f>
        <v>#N/A</v>
      </c>
      <c r="M29" s="201" t="e">
        <f aca="false">IF(A30="","",L29)</f>
        <v>#N/A</v>
      </c>
      <c r="N29" s="203"/>
      <c r="O29" s="200" t="e">
        <f aca="false">IF(A30="","",L29+J29+G29)</f>
        <v>#N/A</v>
      </c>
      <c r="P29" s="200" t="e">
        <f aca="false">IF(A30="","",M29+K29+H29)</f>
        <v>#N/A</v>
      </c>
      <c r="Q29" s="204"/>
      <c r="R29" s="200" t="e">
        <f aca="false">IF($A30="","",VLOOKUP($A29,Table,MATCH(R$4,Curves,0)))</f>
        <v>#N/A</v>
      </c>
      <c r="S29" s="201" t="e">
        <f aca="false">IF(A30="","",R29)</f>
        <v>#N/A</v>
      </c>
      <c r="T29" s="200" t="e">
        <f aca="false">IF($A30="","",VLOOKUP($A29,Table,MATCH(T$4,Curves,0)))</f>
        <v>#N/A</v>
      </c>
      <c r="U29" s="201" t="e">
        <f aca="false">IF(A30="","",T29)</f>
        <v>#N/A</v>
      </c>
      <c r="V29" s="183" t="e">
        <f aca="false">IF($A30="","",IF(AND(MONTH(A29)&gt;3,MONTH(A29)&lt;11),(T29+R29+G29)*Summary!$T$7/(1-Summary!$T$7),(T29+R29+G29)*Summary!$U$7/(1-Summary!$U$7)))</f>
        <v>#N/A</v>
      </c>
      <c r="W29" s="200" t="e">
        <f aca="false">IF($A30="","",(T29+R29+G29+V29))</f>
        <v>#N/A</v>
      </c>
      <c r="X29" s="200" t="e">
        <f aca="false">IF($A30="","",(U29+S29+H29+V29))</f>
        <v>#N/A</v>
      </c>
      <c r="Y29" s="202"/>
      <c r="Z29" s="185" t="e">
        <f aca="false">IF($A30="","",VLOOKUP($A29,Table,MATCH(Z$4,Curves,0)))</f>
        <v>#N/A</v>
      </c>
      <c r="AA29" s="185" t="e">
        <f aca="false">IF($A30="","",VLOOKUP($A29,Table,MATCH(AA$4,Curves,0)))</f>
        <v>#N/A</v>
      </c>
      <c r="AB29" s="185" t="e">
        <f aca="false">SQRT((AA29^2*(A29-$D$3)+Z29^2*(DAY(EOMONTH(A29,0))/2))/AK29)</f>
        <v>#N/A</v>
      </c>
      <c r="AC29" s="185" t="e">
        <f aca="false">IF($A30="","",VLOOKUP($A29,Table,MATCH(AC$4,Curves,0)))</f>
        <v>#N/A</v>
      </c>
      <c r="AD29" s="185" t="e">
        <f aca="false">IF($A30="","",VLOOKUP($A29,Table,MATCH(AD$4,Curves,0)))</f>
        <v>#N/A</v>
      </c>
      <c r="AE29" s="185" t="e">
        <f aca="false">SQRT((AD29^2*(A29-$D$3)+AC29^2*(DAY(EOMONTH(A29,0))/2))/AK29)</f>
        <v>#N/A</v>
      </c>
      <c r="AF29" s="206" t="e">
        <f aca="false">((Summary!$N$7*(AA29*AD29)*(A29-$D$3))+(Summary!$M$7*Z29*AC29*(DAY(EOMONTH(A29,0))/2)))/(AK29*AB29*AE29)</f>
        <v>#N/A</v>
      </c>
      <c r="AG29" s="207" t="n">
        <f aca="false">IF($A30="","",Summary!$Q$7)</f>
        <v>0</v>
      </c>
      <c r="AH29" s="207" t="n">
        <f aca="false">IF($A30="","",IF(Summary!$R$7="Y",(VLOOKUP($A29,Summary!$AD$6:$AF$9,3)+'Escalating commodity'!C42),'Escalating commodity'!C42))</f>
        <v>0.022746</v>
      </c>
      <c r="AI29" s="207" t="n">
        <f aca="false">IF($A30="","",AH29)</f>
        <v>0.022746</v>
      </c>
      <c r="AJ29" s="208" t="n">
        <f aca="false">A29+DAY(EOMONTH(A29,0))/2-1</f>
        <v>37636.5</v>
      </c>
      <c r="AK29" s="209" t="n">
        <f aca="false">IF($A30="","",$A29-$E$1)</f>
        <v>-8304</v>
      </c>
      <c r="AL29" s="182" t="e">
        <f aca="false">IF($A30="","",SPRDOPT(P29,X29,AI29,0,AB29,AE29,AF29,AK29,$AJ$2,0))</f>
        <v>#NAME?</v>
      </c>
      <c r="AM29" s="210" t="e">
        <f aca="false">IF($A30="","",MAX(0,O29-W29-AI29))</f>
        <v>#N/A</v>
      </c>
      <c r="AN29" s="211" t="e">
        <f aca="false">IF($A30="","",AL29-AM29)</f>
        <v>#N/A</v>
      </c>
      <c r="AO29" s="137" t="n">
        <f aca="false">IF(A30="","",A30-A29)</f>
        <v>31</v>
      </c>
      <c r="AP29" s="212" t="n">
        <f aca="false">IF(A30="","",CHOOSE(F$3,A30+24,A29))</f>
        <v>37622</v>
      </c>
      <c r="AQ29" s="209" t="n">
        <f aca="false">IF(A30="","",AP29-$E$1)</f>
        <v>-8304</v>
      </c>
      <c r="AR29" s="185" t="n">
        <f aca="false">IF(Summary!$H$2=1,VLOOKUP('ANR OK vs ML7'!A29,Curves!$C$17:$AR$273,MATCH('ANR OK vs ML7'!$AR$4,Curves!$C$8:$AQ$8,0)),0.1)</f>
        <v>0.1</v>
      </c>
      <c r="AS29" s="213" t="n">
        <f aca="false">IF(A30="","",1/(1+CHOOSE(F$3,(AR30+($I$3/10000))/2,(AR29+($I$3/10000))/2))^(2*AQ29/365.25))</f>
        <v>9.19352824742094</v>
      </c>
      <c r="AT29" s="137" t="n">
        <f aca="false">IF(A30="","",IF(AND(mthbeg&lt;=A29,mthend&gt;=A29),1,0))</f>
        <v>1</v>
      </c>
      <c r="AU29" s="137" t="n">
        <f aca="false">IF(A30="","",AO29*AT29)</f>
        <v>31</v>
      </c>
      <c r="AW29" s="195" t="e">
        <f aca="false">IF($A30="","",AL29*$E29)</f>
        <v>#NAME?</v>
      </c>
      <c r="AX29" s="195" t="e">
        <f aca="false">IF($A30="","",AM29*$E29)</f>
        <v>#N/A</v>
      </c>
      <c r="AY29" s="195" t="e">
        <f aca="false">IF($A30="","",AN29*$E29)</f>
        <v>#N/A</v>
      </c>
      <c r="BA29" s="195" t="n">
        <f aca="false">IF($A30="","",F29*Summary!$Q$7)</f>
        <v>0</v>
      </c>
      <c r="BC29" s="179" t="e">
        <f aca="false">IF(A30="","",AM29*F29)</f>
        <v>#N/A</v>
      </c>
    </row>
    <row r="30" customFormat="false" ht="12.75" hidden="false" customHeight="false" outlineLevel="0" collapsed="false">
      <c r="A30" s="196" t="n">
        <f aca="false">IF(A29&lt;mthend,EDATE(A29,1),"")</f>
        <v>37653</v>
      </c>
      <c r="B30" s="197" t="n">
        <f aca="false">IF(A30&lt;mthend,B29,"")</f>
        <v>40000</v>
      </c>
      <c r="C30" s="215"/>
      <c r="D30" s="197" t="n">
        <f aca="false">IF(A31&lt;&gt;"",B30+C30,"")</f>
        <v>40000</v>
      </c>
      <c r="E30" s="199" t="n">
        <f aca="false">IF(A31="","",IF(AND(AT30=1,$H$3=1),D30*AO30,IF($H$3=2,D30,"N/A")))</f>
        <v>1120000</v>
      </c>
      <c r="F30" s="199" t="n">
        <f aca="false">IF(A31="","",E30*AS30)</f>
        <v>10211826.3906968</v>
      </c>
      <c r="G30" s="200" t="e">
        <f aca="false">IF($A31="","",VLOOKUP($A30,Table,MATCH(G$4,Curves,0)))</f>
        <v>#N/A</v>
      </c>
      <c r="H30" s="201" t="e">
        <f aca="false">IF(A31="","",G30)</f>
        <v>#N/A</v>
      </c>
      <c r="I30" s="202"/>
      <c r="J30" s="200" t="e">
        <f aca="false">IF($A31="","",VLOOKUP($A30,Table,MATCH(J$4,Curves,0)))</f>
        <v>#N/A</v>
      </c>
      <c r="K30" s="201" t="e">
        <f aca="false">IF(A31="","",J30)</f>
        <v>#N/A</v>
      </c>
      <c r="L30" s="200" t="e">
        <f aca="false">IF($A31="","",VLOOKUP($A30,Table,MATCH(L$4,Curves,0)))</f>
        <v>#N/A</v>
      </c>
      <c r="M30" s="201" t="e">
        <f aca="false">IF(A31="","",L30)</f>
        <v>#N/A</v>
      </c>
      <c r="N30" s="203"/>
      <c r="O30" s="200" t="e">
        <f aca="false">IF(A31="","",L30+J30+G30)</f>
        <v>#N/A</v>
      </c>
      <c r="P30" s="200" t="e">
        <f aca="false">IF(A31="","",M30+K30+H30)</f>
        <v>#N/A</v>
      </c>
      <c r="Q30" s="204"/>
      <c r="R30" s="200" t="e">
        <f aca="false">IF($A31="","",VLOOKUP($A30,Table,MATCH(R$4,Curves,0)))</f>
        <v>#N/A</v>
      </c>
      <c r="S30" s="201" t="e">
        <f aca="false">IF(A31="","",R30)</f>
        <v>#N/A</v>
      </c>
      <c r="T30" s="200" t="e">
        <f aca="false">IF($A31="","",VLOOKUP($A30,Table,MATCH(T$4,Curves,0)))</f>
        <v>#N/A</v>
      </c>
      <c r="U30" s="201" t="e">
        <f aca="false">IF(A31="","",T30)</f>
        <v>#N/A</v>
      </c>
      <c r="V30" s="183" t="e">
        <f aca="false">IF($A31="","",IF(AND(MONTH(A30)&gt;3,MONTH(A30)&lt;11),(T30+R30+G30)*Summary!$T$7/(1-Summary!$T$7),(T30+R30+G30)*Summary!$U$7/(1-Summary!$U$7)))</f>
        <v>#N/A</v>
      </c>
      <c r="W30" s="200" t="e">
        <f aca="false">IF($A31="","",(T30+R30+G30+V30))</f>
        <v>#N/A</v>
      </c>
      <c r="X30" s="200" t="e">
        <f aca="false">IF($A31="","",(U30+S30+H30+V30))</f>
        <v>#N/A</v>
      </c>
      <c r="Y30" s="202"/>
      <c r="Z30" s="185" t="e">
        <f aca="false">IF($A31="","",VLOOKUP($A30,Table,MATCH(Z$4,Curves,0)))</f>
        <v>#N/A</v>
      </c>
      <c r="AA30" s="185" t="e">
        <f aca="false">IF($A31="","",VLOOKUP($A30,Table,MATCH(AA$4,Curves,0)))</f>
        <v>#N/A</v>
      </c>
      <c r="AB30" s="185" t="e">
        <f aca="false">SQRT((AA30^2*(A30-$D$3)+Z30^2*(DAY(EOMONTH(A30,0))/2))/AK30)</f>
        <v>#N/A</v>
      </c>
      <c r="AC30" s="185" t="e">
        <f aca="false">IF($A31="","",VLOOKUP($A30,Table,MATCH(AC$4,Curves,0)))</f>
        <v>#N/A</v>
      </c>
      <c r="AD30" s="185" t="e">
        <f aca="false">IF($A31="","",VLOOKUP($A30,Table,MATCH(AD$4,Curves,0)))</f>
        <v>#N/A</v>
      </c>
      <c r="AE30" s="185" t="e">
        <f aca="false">SQRT((AD30^2*(A30-$D$3)+AC30^2*(DAY(EOMONTH(A30,0))/2))/AK30)</f>
        <v>#N/A</v>
      </c>
      <c r="AF30" s="206" t="e">
        <f aca="false">((Summary!$N$7*(AA30*AD30)*(A30-$D$3))+(Summary!$M$7*Z30*AC30*(DAY(EOMONTH(A30,0))/2)))/(AK30*AB30*AE30)</f>
        <v>#N/A</v>
      </c>
      <c r="AG30" s="207" t="n">
        <f aca="false">IF($A31="","",Summary!$Q$7)</f>
        <v>0</v>
      </c>
      <c r="AH30" s="207" t="n">
        <f aca="false">IF($A31="","",IF(Summary!$R$7="Y",(VLOOKUP($A30,Summary!$AD$6:$AF$9,3)+'Escalating commodity'!C43),'Escalating commodity'!C43))</f>
        <v>0.022746</v>
      </c>
      <c r="AI30" s="207" t="n">
        <f aca="false">IF($A31="","",AH30)</f>
        <v>0.022746</v>
      </c>
      <c r="AJ30" s="208" t="n">
        <f aca="false">A30+DAY(EOMONTH(A30,0))/2-1</f>
        <v>37666</v>
      </c>
      <c r="AK30" s="209" t="n">
        <f aca="false">IF($A31="","",$A30-$E$1)</f>
        <v>-8273</v>
      </c>
      <c r="AL30" s="182" t="e">
        <f aca="false">IF($A31="","",SPRDOPT(P30,X30,AI30,0,AB30,AE30,AF30,AK30,$AJ$2,0))</f>
        <v>#NAME?</v>
      </c>
      <c r="AM30" s="210" t="e">
        <f aca="false">IF($A31="","",MAX(0,O30-W30-AI30))</f>
        <v>#N/A</v>
      </c>
      <c r="AN30" s="211" t="e">
        <f aca="false">IF($A31="","",AL30-AM30)</f>
        <v>#N/A</v>
      </c>
      <c r="AO30" s="137" t="n">
        <f aca="false">IF(A31="","",A31-A30)</f>
        <v>28</v>
      </c>
      <c r="AP30" s="212" t="n">
        <f aca="false">IF(A31="","",CHOOSE(F$3,A31+24,A30))</f>
        <v>37653</v>
      </c>
      <c r="AQ30" s="209" t="n">
        <f aca="false">IF(A31="","",AP30-$E$1)</f>
        <v>-8273</v>
      </c>
      <c r="AR30" s="185" t="n">
        <f aca="false">IF(Summary!$H$2=1,VLOOKUP('ANR OK vs ML7'!A30,Curves!$C$17:$AR$273,MATCH('ANR OK vs ML7'!$AR$4,Curves!$C$8:$AQ$8,0)),0.1)</f>
        <v>0.1</v>
      </c>
      <c r="AS30" s="213" t="n">
        <f aca="false">IF(A31="","",1/(1+CHOOSE(F$3,(AR31+($I$3/10000))/2,(AR30+($I$3/10000))/2))^(2*AQ30/365.25))</f>
        <v>9.11770213455071</v>
      </c>
      <c r="AT30" s="137" t="n">
        <f aca="false">IF(A31="","",IF(AND(mthbeg&lt;=A30,mthend&gt;=A30),1,0))</f>
        <v>1</v>
      </c>
      <c r="AU30" s="137" t="n">
        <f aca="false">IF(A31="","",AO30*AT30)</f>
        <v>28</v>
      </c>
      <c r="AW30" s="195" t="e">
        <f aca="false">IF($A31="","",AL30*$E30)</f>
        <v>#NAME?</v>
      </c>
      <c r="AX30" s="195" t="e">
        <f aca="false">IF($A31="","",AM30*$E30)</f>
        <v>#N/A</v>
      </c>
      <c r="AY30" s="195" t="e">
        <f aca="false">IF($A31="","",AN30*$E30)</f>
        <v>#N/A</v>
      </c>
      <c r="BA30" s="195" t="n">
        <f aca="false">IF($A31="","",F30*Summary!$Q$7)</f>
        <v>0</v>
      </c>
      <c r="BC30" s="179" t="e">
        <f aca="false">IF(A31="","",AM30*F30)</f>
        <v>#N/A</v>
      </c>
    </row>
    <row r="31" customFormat="false" ht="12.75" hidden="false" customHeight="false" outlineLevel="0" collapsed="false">
      <c r="A31" s="196" t="n">
        <f aca="false">IF(A30&lt;mthend,EDATE(A30,1),"")</f>
        <v>37681</v>
      </c>
      <c r="B31" s="197" t="n">
        <f aca="false">IF(A31&lt;mthend,B30,"")</f>
        <v>40000</v>
      </c>
      <c r="C31" s="215"/>
      <c r="D31" s="197" t="n">
        <f aca="false">IF(A32&lt;&gt;"",B31+C31,"")</f>
        <v>40000</v>
      </c>
      <c r="E31" s="199" t="n">
        <f aca="false">IF(A32="","",IF(AND(AT31=1,$H$3=1),D31*AO31,IF($H$3=2,D31,"N/A")))</f>
        <v>1240000</v>
      </c>
      <c r="F31" s="199" t="n">
        <f aca="false">IF(A32="","",E31*AS31)</f>
        <v>11221692.1296805</v>
      </c>
      <c r="G31" s="200" t="e">
        <f aca="false">IF($A32="","",VLOOKUP($A31,Table,MATCH(G$4,Curves,0)))</f>
        <v>#N/A</v>
      </c>
      <c r="H31" s="201" t="e">
        <f aca="false">IF(A32="","",G31)</f>
        <v>#N/A</v>
      </c>
      <c r="I31" s="202"/>
      <c r="J31" s="200" t="e">
        <f aca="false">IF($A32="","",VLOOKUP($A31,Table,MATCH(J$4,Curves,0)))</f>
        <v>#N/A</v>
      </c>
      <c r="K31" s="201" t="e">
        <f aca="false">IF(A32="","",J31)</f>
        <v>#N/A</v>
      </c>
      <c r="L31" s="200" t="e">
        <f aca="false">IF($A32="","",VLOOKUP($A31,Table,MATCH(L$4,Curves,0)))</f>
        <v>#N/A</v>
      </c>
      <c r="M31" s="201" t="e">
        <f aca="false">IF(A32="","",L31)</f>
        <v>#N/A</v>
      </c>
      <c r="N31" s="203"/>
      <c r="O31" s="200" t="e">
        <f aca="false">IF(A32="","",L31+J31+G31)</f>
        <v>#N/A</v>
      </c>
      <c r="P31" s="200" t="e">
        <f aca="false">IF(A32="","",M31+K31+H31)</f>
        <v>#N/A</v>
      </c>
      <c r="Q31" s="204"/>
      <c r="R31" s="200" t="e">
        <f aca="false">IF($A32="","",VLOOKUP($A31,Table,MATCH(R$4,Curves,0)))</f>
        <v>#N/A</v>
      </c>
      <c r="S31" s="201" t="e">
        <f aca="false">IF(A32="","",R31)</f>
        <v>#N/A</v>
      </c>
      <c r="T31" s="200" t="e">
        <f aca="false">IF($A32="","",VLOOKUP($A31,Table,MATCH(T$4,Curves,0)))</f>
        <v>#N/A</v>
      </c>
      <c r="U31" s="201" t="e">
        <f aca="false">IF(A32="","",T31)</f>
        <v>#N/A</v>
      </c>
      <c r="V31" s="183" t="e">
        <f aca="false">IF($A32="","",IF(AND(MONTH(A31)&gt;3,MONTH(A31)&lt;11),(T31+R31+G31)*Summary!$T$7/(1-Summary!$T$7),(T31+R31+G31)*Summary!$U$7/(1-Summary!$U$7)))</f>
        <v>#N/A</v>
      </c>
      <c r="W31" s="200" t="e">
        <f aca="false">IF($A32="","",(T31+R31+G31+V31))</f>
        <v>#N/A</v>
      </c>
      <c r="X31" s="200" t="e">
        <f aca="false">IF($A32="","",(U31+S31+H31+V31))</f>
        <v>#N/A</v>
      </c>
      <c r="Y31" s="202"/>
      <c r="Z31" s="185" t="e">
        <f aca="false">IF($A32="","",VLOOKUP($A31,Table,MATCH(Z$4,Curves,0)))</f>
        <v>#N/A</v>
      </c>
      <c r="AA31" s="185" t="e">
        <f aca="false">IF($A32="","",VLOOKUP($A31,Table,MATCH(AA$4,Curves,0)))</f>
        <v>#N/A</v>
      </c>
      <c r="AB31" s="185" t="e">
        <f aca="false">SQRT((AA31^2*(A31-$D$3)+Z31^2*(DAY(EOMONTH(A31,0))/2))/AK31)</f>
        <v>#N/A</v>
      </c>
      <c r="AC31" s="185" t="e">
        <f aca="false">IF($A32="","",VLOOKUP($A31,Table,MATCH(AC$4,Curves,0)))</f>
        <v>#N/A</v>
      </c>
      <c r="AD31" s="185" t="e">
        <f aca="false">IF($A32="","",VLOOKUP($A31,Table,MATCH(AD$4,Curves,0)))</f>
        <v>#N/A</v>
      </c>
      <c r="AE31" s="185" t="e">
        <f aca="false">SQRT((AD31^2*(A31-$D$3)+AC31^2*(DAY(EOMONTH(A31,0))/2))/AK31)</f>
        <v>#N/A</v>
      </c>
      <c r="AF31" s="206" t="e">
        <f aca="false">((Summary!$N$7*(AA31*AD31)*(A31-$D$3))+(Summary!$M$7*Z31*AC31*(DAY(EOMONTH(A31,0))/2)))/(AK31*AB31*AE31)</f>
        <v>#N/A</v>
      </c>
      <c r="AG31" s="207" t="n">
        <f aca="false">IF($A32="","",Summary!$Q$7)</f>
        <v>0</v>
      </c>
      <c r="AH31" s="207" t="n">
        <f aca="false">IF($A32="","",IF(Summary!$R$7="Y",(VLOOKUP($A31,Summary!$AD$6:$AF$9,3)+'Escalating commodity'!C44),'Escalating commodity'!C44))</f>
        <v>0.022746</v>
      </c>
      <c r="AI31" s="207" t="n">
        <f aca="false">IF($A32="","",AH31)</f>
        <v>0.022746</v>
      </c>
      <c r="AJ31" s="208" t="n">
        <f aca="false">A31+DAY(EOMONTH(A31,0))/2-1</f>
        <v>37695.5</v>
      </c>
      <c r="AK31" s="209" t="n">
        <f aca="false">IF($A32="","",$A31-$E$1)</f>
        <v>-8245</v>
      </c>
      <c r="AL31" s="182" t="e">
        <f aca="false">IF($A32="","",SPRDOPT(P31,X31,AI31,0,AB31,AE31,AF31,AK31,$AJ$2,0))</f>
        <v>#NAME?</v>
      </c>
      <c r="AM31" s="210" t="e">
        <f aca="false">IF($A32="","",MAX(0,O31-W31-AI31))</f>
        <v>#N/A</v>
      </c>
      <c r="AN31" s="211" t="e">
        <f aca="false">IF($A32="","",AL31-AM31)</f>
        <v>#N/A</v>
      </c>
      <c r="AO31" s="137" t="n">
        <f aca="false">IF(A32="","",A32-A31)</f>
        <v>31</v>
      </c>
      <c r="AP31" s="212" t="n">
        <f aca="false">IF(A32="","",CHOOSE(F$3,A32+24,A31))</f>
        <v>37681</v>
      </c>
      <c r="AQ31" s="209" t="n">
        <f aca="false">IF(A32="","",AP31-$E$1)</f>
        <v>-8245</v>
      </c>
      <c r="AR31" s="185" t="n">
        <f aca="false">IF(Summary!$H$2=1,VLOOKUP('ANR OK vs ML7'!A31,Curves!$C$17:$AR$273,MATCH('ANR OK vs ML7'!$AR$4,Curves!$C$8:$AQ$8,0)),0.1)</f>
        <v>0.1</v>
      </c>
      <c r="AS31" s="213" t="n">
        <f aca="false">IF(A32="","",1/(1+CHOOSE(F$3,(AR32+($I$3/10000))/2,(AR31+($I$3/10000))/2))^(2*AQ31/365.25))</f>
        <v>9.0497517174843</v>
      </c>
      <c r="AT31" s="137" t="n">
        <f aca="false">IF(A32="","",IF(AND(mthbeg&lt;=A31,mthend&gt;=A31),1,0))</f>
        <v>1</v>
      </c>
      <c r="AU31" s="137" t="n">
        <f aca="false">IF(A32="","",AO31*AT31)</f>
        <v>31</v>
      </c>
      <c r="AW31" s="195" t="e">
        <f aca="false">IF($A32="","",AL31*$E31)</f>
        <v>#NAME?</v>
      </c>
      <c r="AX31" s="195" t="e">
        <f aca="false">IF($A32="","",AM31*$E31)</f>
        <v>#N/A</v>
      </c>
      <c r="AY31" s="195" t="e">
        <f aca="false">IF($A32="","",AN31*$E31)</f>
        <v>#N/A</v>
      </c>
      <c r="BA31" s="195" t="n">
        <f aca="false">IF($A32="","",F31*Summary!$Q$7)</f>
        <v>0</v>
      </c>
      <c r="BC31" s="179" t="e">
        <f aca="false">IF(A32="","",AM31*F31)</f>
        <v>#N/A</v>
      </c>
    </row>
    <row r="32" customFormat="false" ht="12.75" hidden="false" customHeight="false" outlineLevel="0" collapsed="false">
      <c r="A32" s="196" t="n">
        <f aca="false">IF(A31&lt;mthend,EDATE(A31,1),"")</f>
        <v>37712</v>
      </c>
      <c r="B32" s="197" t="n">
        <f aca="false">IF(A32&lt;mthend,B31,"")</f>
        <v>40000</v>
      </c>
      <c r="C32" s="215"/>
      <c r="D32" s="197" t="n">
        <f aca="false">IF(A33&lt;&gt;"",B32+C32,"")</f>
        <v>40000</v>
      </c>
      <c r="E32" s="199" t="n">
        <f aca="false">IF(A33="","",IF(AND(AT32=1,$H$3=1),D32*AO32,IF($H$3=2,D32,"N/A")))</f>
        <v>1200000</v>
      </c>
      <c r="F32" s="199" t="n">
        <f aca="false">IF(A33="","",E32*AS32)</f>
        <v>10770133.7285573</v>
      </c>
      <c r="G32" s="200" t="e">
        <f aca="false">IF($A33="","",VLOOKUP($A32,Table,MATCH(G$4,Curves,0)))</f>
        <v>#N/A</v>
      </c>
      <c r="H32" s="201" t="e">
        <f aca="false">IF(A33="","",G32)</f>
        <v>#N/A</v>
      </c>
      <c r="I32" s="202"/>
      <c r="J32" s="200" t="e">
        <f aca="false">IF($A33="","",VLOOKUP($A32,Table,MATCH(J$4,Curves,0)))</f>
        <v>#N/A</v>
      </c>
      <c r="K32" s="201" t="e">
        <f aca="false">IF(A33="","",J32)</f>
        <v>#N/A</v>
      </c>
      <c r="L32" s="200" t="e">
        <f aca="false">IF($A33="","",VLOOKUP($A32,Table,MATCH(L$4,Curves,0)))</f>
        <v>#N/A</v>
      </c>
      <c r="M32" s="201" t="e">
        <f aca="false">IF(A33="","",L32)</f>
        <v>#N/A</v>
      </c>
      <c r="N32" s="203"/>
      <c r="O32" s="200" t="e">
        <f aca="false">IF(A33="","",L32+J32+G32)</f>
        <v>#N/A</v>
      </c>
      <c r="P32" s="200" t="e">
        <f aca="false">IF(A33="","",M32+K32+H32)</f>
        <v>#N/A</v>
      </c>
      <c r="Q32" s="204"/>
      <c r="R32" s="200" t="e">
        <f aca="false">IF($A33="","",VLOOKUP($A32,Table,MATCH(R$4,Curves,0)))</f>
        <v>#N/A</v>
      </c>
      <c r="S32" s="201" t="e">
        <f aca="false">IF(A33="","",R32)</f>
        <v>#N/A</v>
      </c>
      <c r="T32" s="200" t="e">
        <f aca="false">IF($A33="","",VLOOKUP($A32,Table,MATCH(T$4,Curves,0)))</f>
        <v>#N/A</v>
      </c>
      <c r="U32" s="201" t="e">
        <f aca="false">IF(A33="","",T32)</f>
        <v>#N/A</v>
      </c>
      <c r="V32" s="183" t="e">
        <f aca="false">IF($A33="","",IF(AND(MONTH(A32)&gt;3,MONTH(A32)&lt;11),(T32+R32+G32)*Summary!$T$7/(1-Summary!$T$7),(T32+R32+G32)*Summary!$U$7/(1-Summary!$U$7)))</f>
        <v>#N/A</v>
      </c>
      <c r="W32" s="200" t="e">
        <f aca="false">IF($A33="","",(T32+R32+G32+V32))</f>
        <v>#N/A</v>
      </c>
      <c r="X32" s="200" t="e">
        <f aca="false">IF($A33="","",(U32+S32+H32+V32))</f>
        <v>#N/A</v>
      </c>
      <c r="Y32" s="202"/>
      <c r="Z32" s="185" t="e">
        <f aca="false">IF($A33="","",VLOOKUP($A32,Table,MATCH(Z$4,Curves,0)))</f>
        <v>#N/A</v>
      </c>
      <c r="AA32" s="185" t="e">
        <f aca="false">IF($A33="","",VLOOKUP($A32,Table,MATCH(AA$4,Curves,0)))</f>
        <v>#N/A</v>
      </c>
      <c r="AB32" s="185" t="e">
        <f aca="false">SQRT((AA32^2*(A32-$D$3)+Z32^2*(DAY(EOMONTH(A32,0))/2))/AK32)</f>
        <v>#N/A</v>
      </c>
      <c r="AC32" s="185" t="e">
        <f aca="false">IF($A33="","",VLOOKUP($A32,Table,MATCH(AC$4,Curves,0)))</f>
        <v>#N/A</v>
      </c>
      <c r="AD32" s="185" t="e">
        <f aca="false">IF($A33="","",VLOOKUP($A32,Table,MATCH(AD$4,Curves,0)))</f>
        <v>#N/A</v>
      </c>
      <c r="AE32" s="185" t="e">
        <f aca="false">SQRT((AD32^2*(A32-$D$3)+AC32^2*(DAY(EOMONTH(A32,0))/2))/AK32)</f>
        <v>#N/A</v>
      </c>
      <c r="AF32" s="206" t="e">
        <f aca="false">((Summary!$N$7*(AA32*AD32)*(A32-$D$3))+(Summary!$M$7*Z32*AC32*(DAY(EOMONTH(A32,0))/2)))/(AK32*AB32*AE32)</f>
        <v>#N/A</v>
      </c>
      <c r="AG32" s="207" t="n">
        <f aca="false">IF($A33="","",Summary!$Q$7)</f>
        <v>0</v>
      </c>
      <c r="AH32" s="207" t="n">
        <f aca="false">IF($A33="","",IF(Summary!$R$7="Y",(VLOOKUP($A32,Summary!$AD$6:$AF$9,3)+'Escalating commodity'!C45),'Escalating commodity'!C45))</f>
        <v>0.022746</v>
      </c>
      <c r="AI32" s="207" t="n">
        <f aca="false">IF($A33="","",AH32)</f>
        <v>0.022746</v>
      </c>
      <c r="AJ32" s="208" t="n">
        <f aca="false">A32+DAY(EOMONTH(A32,0))/2-1</f>
        <v>37726</v>
      </c>
      <c r="AK32" s="209" t="n">
        <f aca="false">IF($A33="","",$A32-$E$1)</f>
        <v>-8214</v>
      </c>
      <c r="AL32" s="182" t="e">
        <f aca="false">IF($A33="","",SPRDOPT(P32,X32,AI32,0,AB32,AE32,AF32,AK32,$AJ$2,0))</f>
        <v>#NAME?</v>
      </c>
      <c r="AM32" s="210" t="e">
        <f aca="false">IF($A33="","",MAX(0,O32-W32-AI32))</f>
        <v>#N/A</v>
      </c>
      <c r="AN32" s="211" t="e">
        <f aca="false">IF($A33="","",AL32-AM32)</f>
        <v>#N/A</v>
      </c>
      <c r="AO32" s="137" t="n">
        <f aca="false">IF(A33="","",A33-A32)</f>
        <v>30</v>
      </c>
      <c r="AP32" s="212" t="n">
        <f aca="false">IF(A33="","",CHOOSE(F$3,A33+24,A32))</f>
        <v>37712</v>
      </c>
      <c r="AQ32" s="209" t="n">
        <f aca="false">IF(A33="","",AP32-$E$1)</f>
        <v>-8214</v>
      </c>
      <c r="AR32" s="185" t="n">
        <f aca="false">IF(Summary!$H$2=1,VLOOKUP('ANR OK vs ML7'!A32,Curves!$C$17:$AR$273,MATCH('ANR OK vs ML7'!$AR$4,Curves!$C$8:$AQ$8,0)),0.1)</f>
        <v>0.1</v>
      </c>
      <c r="AS32" s="213" t="n">
        <f aca="false">IF(A33="","",1/(1+CHOOSE(F$3,(AR33+($I$3/10000))/2,(AR32+($I$3/10000))/2))^(2*AQ32/365.25))</f>
        <v>8.97511144046442</v>
      </c>
      <c r="AT32" s="137" t="n">
        <f aca="false">IF(A33="","",IF(AND(mthbeg&lt;=A32,mthend&gt;=A32),1,0))</f>
        <v>1</v>
      </c>
      <c r="AU32" s="137" t="n">
        <f aca="false">IF(A33="","",AO32*AT32)</f>
        <v>30</v>
      </c>
      <c r="AW32" s="195" t="e">
        <f aca="false">IF($A33="","",AL32*$E32)</f>
        <v>#NAME?</v>
      </c>
      <c r="AX32" s="195" t="e">
        <f aca="false">IF($A33="","",AM32*$E32)</f>
        <v>#N/A</v>
      </c>
      <c r="AY32" s="195" t="e">
        <f aca="false">IF($A33="","",AN32*$E32)</f>
        <v>#N/A</v>
      </c>
      <c r="BA32" s="195" t="n">
        <f aca="false">IF($A33="","",F32*Summary!$Q$7)</f>
        <v>0</v>
      </c>
      <c r="BC32" s="179" t="e">
        <f aca="false">IF(A33="","",AM32*F32)</f>
        <v>#N/A</v>
      </c>
    </row>
    <row r="33" customFormat="false" ht="12.75" hidden="false" customHeight="false" outlineLevel="0" collapsed="false">
      <c r="A33" s="196" t="n">
        <f aca="false">IF(A32&lt;mthend,EDATE(A32,1),"")</f>
        <v>37742</v>
      </c>
      <c r="B33" s="197" t="n">
        <f aca="false">IF(A33&lt;mthend,B32,"")</f>
        <v>40000</v>
      </c>
      <c r="C33" s="215"/>
      <c r="D33" s="197" t="n">
        <f aca="false">IF(A34&lt;&gt;"",B33+C33,"")</f>
        <v>40000</v>
      </c>
      <c r="E33" s="199" t="n">
        <f aca="false">IF(A34="","",IF(AND(AT33=1,$H$3=1),D33*AO33,IF($H$3=2,D33,"N/A")))</f>
        <v>1240000</v>
      </c>
      <c r="F33" s="199" t="n">
        <f aca="false">IF(A34="","",E33*AS33)</f>
        <v>11040296.7422698</v>
      </c>
      <c r="G33" s="200" t="e">
        <f aca="false">IF($A34="","",VLOOKUP($A33,Table,MATCH(G$4,Curves,0)))</f>
        <v>#N/A</v>
      </c>
      <c r="H33" s="201" t="e">
        <f aca="false">IF(A34="","",G33)</f>
        <v>#N/A</v>
      </c>
      <c r="I33" s="202"/>
      <c r="J33" s="200" t="e">
        <f aca="false">IF($A34="","",VLOOKUP($A33,Table,MATCH(J$4,Curves,0)))</f>
        <v>#N/A</v>
      </c>
      <c r="K33" s="201" t="e">
        <f aca="false">IF(A34="","",J33)</f>
        <v>#N/A</v>
      </c>
      <c r="L33" s="200" t="e">
        <f aca="false">IF($A34="","",VLOOKUP($A33,Table,MATCH(L$4,Curves,0)))</f>
        <v>#N/A</v>
      </c>
      <c r="M33" s="201" t="e">
        <f aca="false">IF(A34="","",L33)</f>
        <v>#N/A</v>
      </c>
      <c r="N33" s="203"/>
      <c r="O33" s="200" t="e">
        <f aca="false">IF(A34="","",L33+J33+G33)</f>
        <v>#N/A</v>
      </c>
      <c r="P33" s="200" t="e">
        <f aca="false">IF(A34="","",M33+K33+H33)</f>
        <v>#N/A</v>
      </c>
      <c r="Q33" s="204"/>
      <c r="R33" s="200" t="e">
        <f aca="false">IF($A34="","",VLOOKUP($A33,Table,MATCH(R$4,Curves,0)))</f>
        <v>#N/A</v>
      </c>
      <c r="S33" s="201" t="e">
        <f aca="false">IF(A34="","",R33)</f>
        <v>#N/A</v>
      </c>
      <c r="T33" s="200" t="e">
        <f aca="false">IF($A34="","",VLOOKUP($A33,Table,MATCH(T$4,Curves,0)))</f>
        <v>#N/A</v>
      </c>
      <c r="U33" s="201" t="e">
        <f aca="false">IF(A34="","",T33)</f>
        <v>#N/A</v>
      </c>
      <c r="V33" s="183" t="e">
        <f aca="false">IF($A34="","",IF(AND(MONTH(A33)&gt;3,MONTH(A33)&lt;11),(T33+R33+G33)*Summary!$T$7/(1-Summary!$T$7),(T33+R33+G33)*Summary!$U$7/(1-Summary!$U$7)))</f>
        <v>#N/A</v>
      </c>
      <c r="W33" s="200" t="e">
        <f aca="false">IF($A34="","",(T33+R33+G33+V33))</f>
        <v>#N/A</v>
      </c>
      <c r="X33" s="200" t="e">
        <f aca="false">IF($A34="","",(U33+S33+H33+V33))</f>
        <v>#N/A</v>
      </c>
      <c r="Y33" s="202"/>
      <c r="Z33" s="185" t="e">
        <f aca="false">IF($A34="","",VLOOKUP($A33,Table,MATCH(Z$4,Curves,0)))</f>
        <v>#N/A</v>
      </c>
      <c r="AA33" s="185" t="e">
        <f aca="false">IF($A34="","",VLOOKUP($A33,Table,MATCH(AA$4,Curves,0)))</f>
        <v>#N/A</v>
      </c>
      <c r="AB33" s="185" t="e">
        <f aca="false">SQRT((AA33^2*(A33-$D$3)+Z33^2*(DAY(EOMONTH(A33,0))/2))/AK33)</f>
        <v>#N/A</v>
      </c>
      <c r="AC33" s="185" t="e">
        <f aca="false">IF($A34="","",VLOOKUP($A33,Table,MATCH(AC$4,Curves,0)))</f>
        <v>#N/A</v>
      </c>
      <c r="AD33" s="185" t="e">
        <f aca="false">IF($A34="","",VLOOKUP($A33,Table,MATCH(AD$4,Curves,0)))</f>
        <v>#N/A</v>
      </c>
      <c r="AE33" s="185" t="e">
        <f aca="false">SQRT((AD33^2*(A33-$D$3)+AC33^2*(DAY(EOMONTH(A33,0))/2))/AK33)</f>
        <v>#N/A</v>
      </c>
      <c r="AF33" s="206" t="e">
        <f aca="false">((Summary!$N$7*(AA33*AD33)*(A33-$D$3))+(Summary!$M$7*Z33*AC33*(DAY(EOMONTH(A33,0))/2)))/(AK33*AB33*AE33)</f>
        <v>#N/A</v>
      </c>
      <c r="AG33" s="207" t="n">
        <f aca="false">IF($A34="","",Summary!$Q$7)</f>
        <v>0</v>
      </c>
      <c r="AH33" s="207" t="n">
        <f aca="false">IF($A34="","",IF(Summary!$R$7="Y",(VLOOKUP($A33,Summary!$AD$6:$AF$9,3)+'Escalating commodity'!C46),'Escalating commodity'!C46))</f>
        <v>0.022746</v>
      </c>
      <c r="AI33" s="207" t="n">
        <f aca="false">IF($A34="","",AH33)</f>
        <v>0.022746</v>
      </c>
      <c r="AJ33" s="208" t="n">
        <f aca="false">A33+DAY(EOMONTH(A33,0))/2-1</f>
        <v>37756.5</v>
      </c>
      <c r="AK33" s="209" t="n">
        <f aca="false">IF($A34="","",$A33-$E$1)</f>
        <v>-8184</v>
      </c>
      <c r="AL33" s="182" t="e">
        <f aca="false">IF($A34="","",SPRDOPT(P33,X33,AI33,0,AB33,AE33,AF33,AK33,$AJ$2,0))</f>
        <v>#NAME?</v>
      </c>
      <c r="AM33" s="210" t="e">
        <f aca="false">IF($A34="","",MAX(0,O33-W33-AI33))</f>
        <v>#N/A</v>
      </c>
      <c r="AN33" s="211" t="e">
        <f aca="false">IF($A34="","",AL33-AM33)</f>
        <v>#N/A</v>
      </c>
      <c r="AO33" s="137" t="n">
        <f aca="false">IF(A34="","",A34-A33)</f>
        <v>31</v>
      </c>
      <c r="AP33" s="212" t="n">
        <f aca="false">IF(A34="","",CHOOSE(F$3,A34+24,A33))</f>
        <v>37742</v>
      </c>
      <c r="AQ33" s="209" t="n">
        <f aca="false">IF(A34="","",AP33-$E$1)</f>
        <v>-8184</v>
      </c>
      <c r="AR33" s="185" t="n">
        <f aca="false">IF(Summary!$H$2=1,VLOOKUP('ANR OK vs ML7'!A33,Curves!$C$17:$AR$273,MATCH('ANR OK vs ML7'!$AR$4,Curves!$C$8:$AQ$8,0)),0.1)</f>
        <v>0.1</v>
      </c>
      <c r="AS33" s="213" t="n">
        <f aca="false">IF(A34="","",1/(1+CHOOSE(F$3,(AR34+($I$3/10000))/2,(AR33+($I$3/10000))/2))^(2*AQ33/365.25))</f>
        <v>8.90346511473369</v>
      </c>
      <c r="AT33" s="137" t="n">
        <f aca="false">IF(A34="","",IF(AND(mthbeg&lt;=A33,mthend&gt;=A33),1,0))</f>
        <v>1</v>
      </c>
      <c r="AU33" s="137" t="n">
        <f aca="false">IF(A34="","",AO33*AT33)</f>
        <v>31</v>
      </c>
      <c r="AW33" s="195" t="e">
        <f aca="false">IF($A34="","",AL33*$E33)</f>
        <v>#NAME?</v>
      </c>
      <c r="AX33" s="195" t="e">
        <f aca="false">IF($A34="","",AM33*$E33)</f>
        <v>#N/A</v>
      </c>
      <c r="AY33" s="195" t="e">
        <f aca="false">IF($A34="","",AN33*$E33)</f>
        <v>#N/A</v>
      </c>
      <c r="BA33" s="195" t="n">
        <f aca="false">IF($A34="","",F33*Summary!$Q$7)</f>
        <v>0</v>
      </c>
      <c r="BC33" s="179" t="e">
        <f aca="false">IF(A34="","",AM33*F33)</f>
        <v>#N/A</v>
      </c>
    </row>
    <row r="34" customFormat="false" ht="12.75" hidden="false" customHeight="false" outlineLevel="0" collapsed="false">
      <c r="A34" s="196" t="n">
        <f aca="false">IF(A33&lt;mthend,EDATE(A33,1),"")</f>
        <v>37773</v>
      </c>
      <c r="B34" s="197" t="n">
        <f aca="false">IF(A34&lt;mthend,B33,"")</f>
        <v>40000</v>
      </c>
      <c r="C34" s="215"/>
      <c r="D34" s="197" t="n">
        <f aca="false">IF(A35&lt;&gt;"",B34+C34,"")</f>
        <v>40000</v>
      </c>
      <c r="E34" s="199" t="n">
        <f aca="false">IF(A35="","",IF(AND(AT34=1,$H$3=1),D34*AO34,IF($H$3=2,D34,"N/A")))</f>
        <v>1200000</v>
      </c>
      <c r="F34" s="199" t="n">
        <f aca="false">IF(A35="","",E34*AS34)</f>
        <v>10596037.651283</v>
      </c>
      <c r="G34" s="200" t="e">
        <f aca="false">IF($A35="","",VLOOKUP($A34,Table,MATCH(G$4,Curves,0)))</f>
        <v>#N/A</v>
      </c>
      <c r="H34" s="201" t="e">
        <f aca="false">IF(A35="","",G34)</f>
        <v>#N/A</v>
      </c>
      <c r="I34" s="202"/>
      <c r="J34" s="200" t="e">
        <f aca="false">IF($A35="","",VLOOKUP($A34,Table,MATCH(J$4,Curves,0)))</f>
        <v>#N/A</v>
      </c>
      <c r="K34" s="201" t="e">
        <f aca="false">IF(A35="","",J34)</f>
        <v>#N/A</v>
      </c>
      <c r="L34" s="200" t="e">
        <f aca="false">IF($A35="","",VLOOKUP($A34,Table,MATCH(L$4,Curves,0)))</f>
        <v>#N/A</v>
      </c>
      <c r="M34" s="201" t="e">
        <f aca="false">IF(A35="","",L34)</f>
        <v>#N/A</v>
      </c>
      <c r="N34" s="203"/>
      <c r="O34" s="200" t="e">
        <f aca="false">IF(A35="","",L34+J34+G34)</f>
        <v>#N/A</v>
      </c>
      <c r="P34" s="200" t="e">
        <f aca="false">IF(A35="","",M34+K34+H34)</f>
        <v>#N/A</v>
      </c>
      <c r="Q34" s="204"/>
      <c r="R34" s="200" t="e">
        <f aca="false">IF($A35="","",VLOOKUP($A34,Table,MATCH(R$4,Curves,0)))</f>
        <v>#N/A</v>
      </c>
      <c r="S34" s="201" t="e">
        <f aca="false">IF(A35="","",R34)</f>
        <v>#N/A</v>
      </c>
      <c r="T34" s="200" t="e">
        <f aca="false">IF($A35="","",VLOOKUP($A34,Table,MATCH(T$4,Curves,0)))</f>
        <v>#N/A</v>
      </c>
      <c r="U34" s="201" t="e">
        <f aca="false">IF(A35="","",T34)</f>
        <v>#N/A</v>
      </c>
      <c r="V34" s="183" t="e">
        <f aca="false">IF($A35="","",IF(AND(MONTH(A34)&gt;3,MONTH(A34)&lt;11),(T34+R34+G34)*Summary!$T$7/(1-Summary!$T$7),(T34+R34+G34)*Summary!$U$7/(1-Summary!$U$7)))</f>
        <v>#N/A</v>
      </c>
      <c r="W34" s="200" t="e">
        <f aca="false">IF($A35="","",(T34+R34+G34+V34))</f>
        <v>#N/A</v>
      </c>
      <c r="X34" s="200" t="e">
        <f aca="false">IF($A35="","",(U34+S34+H34+V34))</f>
        <v>#N/A</v>
      </c>
      <c r="Y34" s="202"/>
      <c r="Z34" s="185" t="e">
        <f aca="false">IF($A35="","",VLOOKUP($A34,Table,MATCH(Z$4,Curves,0)))</f>
        <v>#N/A</v>
      </c>
      <c r="AA34" s="185" t="e">
        <f aca="false">IF($A35="","",VLOOKUP($A34,Table,MATCH(AA$4,Curves,0)))</f>
        <v>#N/A</v>
      </c>
      <c r="AB34" s="185" t="e">
        <f aca="false">SQRT((AA34^2*(A34-$D$3)+Z34^2*(DAY(EOMONTH(A34,0))/2))/AK34)</f>
        <v>#N/A</v>
      </c>
      <c r="AC34" s="185" t="e">
        <f aca="false">IF($A35="","",VLOOKUP($A34,Table,MATCH(AC$4,Curves,0)))</f>
        <v>#N/A</v>
      </c>
      <c r="AD34" s="185" t="e">
        <f aca="false">IF($A35="","",VLOOKUP($A34,Table,MATCH(AD$4,Curves,0)))</f>
        <v>#N/A</v>
      </c>
      <c r="AE34" s="185" t="e">
        <f aca="false">SQRT((AD34^2*(A34-$D$3)+AC34^2*(DAY(EOMONTH(A34,0))/2))/AK34)</f>
        <v>#N/A</v>
      </c>
      <c r="AF34" s="206" t="e">
        <f aca="false">((Summary!$N$7*(AA34*AD34)*(A34-$D$3))+(Summary!$M$7*Z34*AC34*(DAY(EOMONTH(A34,0))/2)))/(AK34*AB34*AE34)</f>
        <v>#N/A</v>
      </c>
      <c r="AG34" s="207" t="n">
        <f aca="false">IF($A35="","",Summary!$Q$7)</f>
        <v>0</v>
      </c>
      <c r="AH34" s="207" t="n">
        <f aca="false">IF($A35="","",IF(Summary!$R$7="Y",(VLOOKUP($A34,Summary!$AD$6:$AF$9,3)+'Escalating commodity'!C47),'Escalating commodity'!C47))</f>
        <v>0.022746</v>
      </c>
      <c r="AI34" s="207" t="n">
        <f aca="false">IF($A35="","",AH34)</f>
        <v>0.022746</v>
      </c>
      <c r="AJ34" s="208" t="n">
        <f aca="false">A34+DAY(EOMONTH(A34,0))/2-1</f>
        <v>37787</v>
      </c>
      <c r="AK34" s="209" t="n">
        <f aca="false">IF($A35="","",$A34-$E$1)</f>
        <v>-8153</v>
      </c>
      <c r="AL34" s="182" t="e">
        <f aca="false">IF($A35="","",SPRDOPT(P34,X34,AI34,0,AB34,AE34,AF34,AK34,$AJ$2,0))</f>
        <v>#NAME?</v>
      </c>
      <c r="AM34" s="210" t="e">
        <f aca="false">IF($A35="","",MAX(0,O34-W34-AI34))</f>
        <v>#N/A</v>
      </c>
      <c r="AN34" s="211" t="e">
        <f aca="false">IF($A35="","",AL34-AM34)</f>
        <v>#N/A</v>
      </c>
      <c r="AO34" s="137" t="n">
        <f aca="false">IF(A35="","",A35-A34)</f>
        <v>30</v>
      </c>
      <c r="AP34" s="212" t="n">
        <f aca="false">IF(A35="","",CHOOSE(F$3,A35+24,A34))</f>
        <v>37773</v>
      </c>
      <c r="AQ34" s="209" t="n">
        <f aca="false">IF(A35="","",AP34-$E$1)</f>
        <v>-8153</v>
      </c>
      <c r="AR34" s="185" t="n">
        <f aca="false">IF(Summary!$H$2=1,VLOOKUP('ANR OK vs ML7'!A34,Curves!$C$17:$AR$273,MATCH('ANR OK vs ML7'!$AR$4,Curves!$C$8:$AQ$8,0)),0.1)</f>
        <v>0.1</v>
      </c>
      <c r="AS34" s="213" t="n">
        <f aca="false">IF(A35="","",1/(1+CHOOSE(F$3,(AR35+($I$3/10000))/2,(AR34+($I$3/10000))/2))^(2*AQ34/365.25))</f>
        <v>8.83003137606917</v>
      </c>
      <c r="AT34" s="137" t="n">
        <f aca="false">IF(A35="","",IF(AND(mthbeg&lt;=A34,mthend&gt;=A34),1,0))</f>
        <v>1</v>
      </c>
      <c r="AU34" s="137" t="n">
        <f aca="false">IF(A35="","",AO34*AT34)</f>
        <v>30</v>
      </c>
      <c r="AW34" s="195" t="e">
        <f aca="false">IF($A35="","",AL34*$E34)</f>
        <v>#NAME?</v>
      </c>
      <c r="AX34" s="195" t="e">
        <f aca="false">IF($A35="","",AM34*$E34)</f>
        <v>#N/A</v>
      </c>
      <c r="AY34" s="195" t="e">
        <f aca="false">IF($A35="","",AN34*$E34)</f>
        <v>#N/A</v>
      </c>
      <c r="BA34" s="195" t="n">
        <f aca="false">IF($A35="","",F34*Summary!$Q$7)</f>
        <v>0</v>
      </c>
      <c r="BC34" s="179" t="e">
        <f aca="false">IF(A35="","",AM34*F34)</f>
        <v>#N/A</v>
      </c>
    </row>
    <row r="35" customFormat="false" ht="12.75" hidden="false" customHeight="false" outlineLevel="0" collapsed="false">
      <c r="A35" s="196" t="n">
        <f aca="false">IF(A34&lt;mthend,EDATE(A34,1),"")</f>
        <v>37803</v>
      </c>
      <c r="B35" s="197" t="n">
        <f aca="false">IF(A35&lt;mthend,B34,"")</f>
        <v>40000</v>
      </c>
      <c r="C35" s="215"/>
      <c r="D35" s="197" t="n">
        <f aca="false">IF(A36&lt;&gt;"",B35+C35,"")</f>
        <v>40000</v>
      </c>
      <c r="E35" s="199" t="n">
        <f aca="false">IF(A36="","",IF(AND(AT35=1,$H$3=1),D35*AO35,IF($H$3=2,D35,"N/A")))</f>
        <v>1240000</v>
      </c>
      <c r="F35" s="199" t="n">
        <f aca="false">IF(A36="","",E35*AS35)</f>
        <v>10861833.5585047</v>
      </c>
      <c r="G35" s="200" t="e">
        <f aca="false">IF($A36="","",VLOOKUP($A35,Table,MATCH(G$4,Curves,0)))</f>
        <v>#N/A</v>
      </c>
      <c r="H35" s="201" t="e">
        <f aca="false">IF(A36="","",G35)</f>
        <v>#N/A</v>
      </c>
      <c r="I35" s="202"/>
      <c r="J35" s="200" t="e">
        <f aca="false">IF($A36="","",VLOOKUP($A35,Table,MATCH(J$4,Curves,0)))</f>
        <v>#N/A</v>
      </c>
      <c r="K35" s="201" t="e">
        <f aca="false">IF(A36="","",J35)</f>
        <v>#N/A</v>
      </c>
      <c r="L35" s="200" t="e">
        <f aca="false">IF($A36="","",VLOOKUP($A35,Table,MATCH(L$4,Curves,0)))</f>
        <v>#N/A</v>
      </c>
      <c r="M35" s="201" t="e">
        <f aca="false">IF(A36="","",L35)</f>
        <v>#N/A</v>
      </c>
      <c r="N35" s="203"/>
      <c r="O35" s="200" t="e">
        <f aca="false">IF(A36="","",L35+J35+G35)</f>
        <v>#N/A</v>
      </c>
      <c r="P35" s="200" t="e">
        <f aca="false">IF(A36="","",M35+K35+H35)</f>
        <v>#N/A</v>
      </c>
      <c r="Q35" s="204"/>
      <c r="R35" s="200" t="e">
        <f aca="false">IF($A36="","",VLOOKUP($A35,Table,MATCH(R$4,Curves,0)))</f>
        <v>#N/A</v>
      </c>
      <c r="S35" s="201" t="e">
        <f aca="false">IF(A36="","",R35)</f>
        <v>#N/A</v>
      </c>
      <c r="T35" s="200" t="e">
        <f aca="false">IF($A36="","",VLOOKUP($A35,Table,MATCH(T$4,Curves,0)))</f>
        <v>#N/A</v>
      </c>
      <c r="U35" s="201" t="e">
        <f aca="false">IF(A36="","",T35)</f>
        <v>#N/A</v>
      </c>
      <c r="V35" s="183" t="e">
        <f aca="false">IF($A36="","",IF(AND(MONTH(A35)&gt;3,MONTH(A35)&lt;11),(T35+R35+G35)*Summary!$T$7/(1-Summary!$T$7),(T35+R35+G35)*Summary!$U$7/(1-Summary!$U$7)))</f>
        <v>#N/A</v>
      </c>
      <c r="W35" s="200" t="e">
        <f aca="false">IF($A36="","",(T35+R35+G35+V35))</f>
        <v>#N/A</v>
      </c>
      <c r="X35" s="200" t="e">
        <f aca="false">IF($A36="","",(U35+S35+H35+V35))</f>
        <v>#N/A</v>
      </c>
      <c r="Y35" s="202"/>
      <c r="Z35" s="185" t="e">
        <f aca="false">IF($A36="","",VLOOKUP($A35,Table,MATCH(Z$4,Curves,0)))</f>
        <v>#N/A</v>
      </c>
      <c r="AA35" s="185" t="e">
        <f aca="false">IF($A36="","",VLOOKUP($A35,Table,MATCH(AA$4,Curves,0)))</f>
        <v>#N/A</v>
      </c>
      <c r="AB35" s="185" t="e">
        <f aca="false">SQRT((AA35^2*(A35-$D$3)+Z35^2*(DAY(EOMONTH(A35,0))/2))/AK35)</f>
        <v>#N/A</v>
      </c>
      <c r="AC35" s="185" t="e">
        <f aca="false">IF($A36="","",VLOOKUP($A35,Table,MATCH(AC$4,Curves,0)))</f>
        <v>#N/A</v>
      </c>
      <c r="AD35" s="185" t="e">
        <f aca="false">IF($A36="","",VLOOKUP($A35,Table,MATCH(AD$4,Curves,0)))</f>
        <v>#N/A</v>
      </c>
      <c r="AE35" s="185" t="e">
        <f aca="false">SQRT((AD35^2*(A35-$D$3)+AC35^2*(DAY(EOMONTH(A35,0))/2))/AK35)</f>
        <v>#N/A</v>
      </c>
      <c r="AF35" s="206" t="e">
        <f aca="false">((Summary!$N$7*(AA35*AD35)*(A35-$D$3))+(Summary!$M$7*Z35*AC35*(DAY(EOMONTH(A35,0))/2)))/(AK35*AB35*AE35)</f>
        <v>#N/A</v>
      </c>
      <c r="AG35" s="207" t="n">
        <f aca="false">IF($A36="","",Summary!$Q$7)</f>
        <v>0</v>
      </c>
      <c r="AH35" s="207" t="n">
        <f aca="false">IF($A36="","",IF(Summary!$R$7="Y",(VLOOKUP($A35,Summary!$AD$6:$AF$9,3)+'Escalating commodity'!C48),'Escalating commodity'!C48))</f>
        <v>0.022746</v>
      </c>
      <c r="AI35" s="207" t="n">
        <f aca="false">IF($A36="","",AH35)</f>
        <v>0.022746</v>
      </c>
      <c r="AJ35" s="208" t="n">
        <f aca="false">A35+DAY(EOMONTH(A35,0))/2-1</f>
        <v>37817.5</v>
      </c>
      <c r="AK35" s="209" t="n">
        <f aca="false">IF($A36="","",$A35-$E$1)</f>
        <v>-8123</v>
      </c>
      <c r="AL35" s="182" t="e">
        <f aca="false">IF($A36="","",SPRDOPT(P35,X35,AI35,0,AB35,AE35,AF35,AK35,$AJ$2,0))</f>
        <v>#NAME?</v>
      </c>
      <c r="AM35" s="210" t="e">
        <f aca="false">IF($A36="","",MAX(0,O35-W35-AI35))</f>
        <v>#N/A</v>
      </c>
      <c r="AN35" s="211" t="e">
        <f aca="false">IF($A36="","",AL35-AM35)</f>
        <v>#N/A</v>
      </c>
      <c r="AO35" s="137" t="n">
        <f aca="false">IF(A36="","",A36-A35)</f>
        <v>31</v>
      </c>
      <c r="AP35" s="212" t="n">
        <f aca="false">IF(A36="","",CHOOSE(F$3,A36+24,A35))</f>
        <v>37803</v>
      </c>
      <c r="AQ35" s="209" t="n">
        <f aca="false">IF(A36="","",AP35-$E$1)</f>
        <v>-8123</v>
      </c>
      <c r="AR35" s="185" t="n">
        <f aca="false">IF(Summary!$H$2=1,VLOOKUP('ANR OK vs ML7'!A35,Curves!$C$17:$AR$273,MATCH('ANR OK vs ML7'!$AR$4,Curves!$C$8:$AQ$8,0)),0.1)</f>
        <v>0.1</v>
      </c>
      <c r="AS35" s="213" t="n">
        <f aca="false">IF(A36="","",1/(1+CHOOSE(F$3,(AR36+($I$3/10000))/2,(AR35+($I$3/10000))/2))^(2*AQ35/365.25))</f>
        <v>8.75954319234254</v>
      </c>
      <c r="AT35" s="137" t="n">
        <f aca="false">IF(A36="","",IF(AND(mthbeg&lt;=A35,mthend&gt;=A35),1,0))</f>
        <v>1</v>
      </c>
      <c r="AU35" s="137" t="n">
        <f aca="false">IF(A36="","",AO35*AT35)</f>
        <v>31</v>
      </c>
      <c r="AW35" s="195" t="e">
        <f aca="false">IF($A36="","",AL35*$E35)</f>
        <v>#NAME?</v>
      </c>
      <c r="AX35" s="195" t="e">
        <f aca="false">IF($A36="","",AM35*$E35)</f>
        <v>#N/A</v>
      </c>
      <c r="AY35" s="195" t="e">
        <f aca="false">IF($A36="","",AN35*$E35)</f>
        <v>#N/A</v>
      </c>
      <c r="BA35" s="195" t="n">
        <f aca="false">IF($A36="","",F35*Summary!$Q$7)</f>
        <v>0</v>
      </c>
      <c r="BC35" s="179" t="e">
        <f aca="false">IF(A36="","",AM35*F35)</f>
        <v>#N/A</v>
      </c>
    </row>
    <row r="36" customFormat="false" ht="12.75" hidden="false" customHeight="false" outlineLevel="0" collapsed="false">
      <c r="A36" s="196" t="n">
        <f aca="false">IF(A35&lt;mthend,EDATE(A35,1),"")</f>
        <v>37834</v>
      </c>
      <c r="B36" s="197" t="n">
        <f aca="false">IF(A36&lt;mthend,B35,"")</f>
        <v>40000</v>
      </c>
      <c r="C36" s="215"/>
      <c r="D36" s="197" t="n">
        <f aca="false">IF(A37&lt;&gt;"",B36+C36,"")</f>
        <v>40000</v>
      </c>
      <c r="E36" s="199" t="n">
        <f aca="false">IF(A37="","",IF(AND(AT36=1,$H$3=1),D36*AO36,IF($H$3=2,D36,"N/A")))</f>
        <v>1240000</v>
      </c>
      <c r="F36" s="199" t="n">
        <f aca="false">IF(A37="","",E36*AS36)</f>
        <v>10772247.6459781</v>
      </c>
      <c r="G36" s="200" t="e">
        <f aca="false">IF($A37="","",VLOOKUP($A36,Table,MATCH(G$4,Curves,0)))</f>
        <v>#N/A</v>
      </c>
      <c r="H36" s="201" t="e">
        <f aca="false">IF(A37="","",G36)</f>
        <v>#N/A</v>
      </c>
      <c r="I36" s="202"/>
      <c r="J36" s="200" t="e">
        <f aca="false">IF($A37="","",VLOOKUP($A36,Table,MATCH(J$4,Curves,0)))</f>
        <v>#N/A</v>
      </c>
      <c r="K36" s="201" t="e">
        <f aca="false">IF(A37="","",J36)</f>
        <v>#N/A</v>
      </c>
      <c r="L36" s="200" t="e">
        <f aca="false">IF($A37="","",VLOOKUP($A36,Table,MATCH(L$4,Curves,0)))</f>
        <v>#N/A</v>
      </c>
      <c r="M36" s="201" t="e">
        <f aca="false">IF(A37="","",L36)</f>
        <v>#N/A</v>
      </c>
      <c r="N36" s="203"/>
      <c r="O36" s="200" t="e">
        <f aca="false">IF(A37="","",L36+J36+G36)</f>
        <v>#N/A</v>
      </c>
      <c r="P36" s="200" t="e">
        <f aca="false">IF(A37="","",M36+K36+H36)</f>
        <v>#N/A</v>
      </c>
      <c r="Q36" s="204"/>
      <c r="R36" s="200" t="e">
        <f aca="false">IF($A37="","",VLOOKUP($A36,Table,MATCH(R$4,Curves,0)))</f>
        <v>#N/A</v>
      </c>
      <c r="S36" s="201" t="e">
        <f aca="false">IF(A37="","",R36)</f>
        <v>#N/A</v>
      </c>
      <c r="T36" s="200" t="e">
        <f aca="false">IF($A37="","",VLOOKUP($A36,Table,MATCH(T$4,Curves,0)))</f>
        <v>#N/A</v>
      </c>
      <c r="U36" s="201" t="e">
        <f aca="false">IF(A37="","",T36)</f>
        <v>#N/A</v>
      </c>
      <c r="V36" s="183" t="e">
        <f aca="false">IF($A37="","",IF(AND(MONTH(A36)&gt;3,MONTH(A36)&lt;11),(T36+R36+G36)*Summary!$T$7/(1-Summary!$T$7),(T36+R36+G36)*Summary!$U$7/(1-Summary!$U$7)))</f>
        <v>#N/A</v>
      </c>
      <c r="W36" s="200" t="e">
        <f aca="false">IF($A37="","",(T36+R36+G36+V36))</f>
        <v>#N/A</v>
      </c>
      <c r="X36" s="200" t="e">
        <f aca="false">IF($A37="","",(U36+S36+H36+V36))</f>
        <v>#N/A</v>
      </c>
      <c r="Y36" s="202"/>
      <c r="Z36" s="185" t="e">
        <f aca="false">IF($A37="","",VLOOKUP($A36,Table,MATCH(Z$4,Curves,0)))</f>
        <v>#N/A</v>
      </c>
      <c r="AA36" s="185" t="e">
        <f aca="false">IF($A37="","",VLOOKUP($A36,Table,MATCH(AA$4,Curves,0)))</f>
        <v>#N/A</v>
      </c>
      <c r="AB36" s="185" t="e">
        <f aca="false">SQRT((AA36^2*(A36-$D$3)+Z36^2*(DAY(EOMONTH(A36,0))/2))/AK36)</f>
        <v>#N/A</v>
      </c>
      <c r="AC36" s="185" t="e">
        <f aca="false">IF($A37="","",VLOOKUP($A36,Table,MATCH(AC$4,Curves,0)))</f>
        <v>#N/A</v>
      </c>
      <c r="AD36" s="185" t="e">
        <f aca="false">IF($A37="","",VLOOKUP($A36,Table,MATCH(AD$4,Curves,0)))</f>
        <v>#N/A</v>
      </c>
      <c r="AE36" s="185" t="e">
        <f aca="false">SQRT((AD36^2*(A36-$D$3)+AC36^2*(DAY(EOMONTH(A36,0))/2))/AK36)</f>
        <v>#N/A</v>
      </c>
      <c r="AF36" s="206" t="e">
        <f aca="false">((Summary!$N$7*(AA36*AD36)*(A36-$D$3))+(Summary!$M$7*Z36*AC36*(DAY(EOMONTH(A36,0))/2)))/(AK36*AB36*AE36)</f>
        <v>#N/A</v>
      </c>
      <c r="AG36" s="207" t="n">
        <f aca="false">IF($A37="","",Summary!$Q$7)</f>
        <v>0</v>
      </c>
      <c r="AH36" s="207" t="n">
        <f aca="false">IF($A37="","",IF(Summary!$R$7="Y",(VLOOKUP($A36,Summary!$AD$6:$AF$9,3)+'Escalating commodity'!C49),'Escalating commodity'!C49))</f>
        <v>0.022746</v>
      </c>
      <c r="AI36" s="207" t="n">
        <f aca="false">IF($A37="","",AH36)</f>
        <v>0.022746</v>
      </c>
      <c r="AJ36" s="208" t="n">
        <f aca="false">A36+DAY(EOMONTH(A36,0))/2-1</f>
        <v>37848.5</v>
      </c>
      <c r="AK36" s="209" t="n">
        <f aca="false">IF($A37="","",$A36-$E$1)</f>
        <v>-8092</v>
      </c>
      <c r="AL36" s="182" t="e">
        <f aca="false">IF($A37="","",SPRDOPT(P36,X36,AI36,0,AB36,AE36,AF36,AK36,$AJ$2,0))</f>
        <v>#NAME?</v>
      </c>
      <c r="AM36" s="210" t="e">
        <f aca="false">IF($A37="","",MAX(0,O36-W36-AI36))</f>
        <v>#N/A</v>
      </c>
      <c r="AN36" s="211" t="e">
        <f aca="false">IF($A37="","",AL36-AM36)</f>
        <v>#N/A</v>
      </c>
      <c r="AO36" s="137" t="n">
        <f aca="false">IF(A37="","",A37-A36)</f>
        <v>31</v>
      </c>
      <c r="AP36" s="212" t="n">
        <f aca="false">IF(A37="","",CHOOSE(F$3,A37+24,A36))</f>
        <v>37834</v>
      </c>
      <c r="AQ36" s="209" t="n">
        <f aca="false">IF(A37="","",AP36-$E$1)</f>
        <v>-8092</v>
      </c>
      <c r="AR36" s="185" t="n">
        <f aca="false">IF(Summary!$H$2=1,VLOOKUP('ANR OK vs ML7'!A36,Curves!$C$17:$AR$273,MATCH('ANR OK vs ML7'!$AR$4,Curves!$C$8:$AQ$8,0)),0.1)</f>
        <v>0.1</v>
      </c>
      <c r="AS36" s="213" t="n">
        <f aca="false">IF(A37="","",1/(1+CHOOSE(F$3,(AR37+($I$3/10000))/2,(AR36+($I$3/10000))/2))^(2*AQ36/365.25))</f>
        <v>8.687296488692</v>
      </c>
      <c r="AT36" s="137" t="n">
        <f aca="false">IF(A37="","",IF(AND(mthbeg&lt;=A36,mthend&gt;=A36),1,0))</f>
        <v>1</v>
      </c>
      <c r="AU36" s="137" t="n">
        <f aca="false">IF(A37="","",AO36*AT36)</f>
        <v>31</v>
      </c>
      <c r="AW36" s="195" t="e">
        <f aca="false">IF($A37="","",AL36*$E36)</f>
        <v>#NAME?</v>
      </c>
      <c r="AX36" s="195" t="e">
        <f aca="false">IF($A37="","",AM36*$E36)</f>
        <v>#N/A</v>
      </c>
      <c r="AY36" s="195" t="e">
        <f aca="false">IF($A37="","",AN36*$E36)</f>
        <v>#N/A</v>
      </c>
      <c r="BA36" s="195" t="n">
        <f aca="false">IF($A37="","",F36*Summary!$Q$7)</f>
        <v>0</v>
      </c>
      <c r="BC36" s="179" t="e">
        <f aca="false">IF(A37="","",AM36*F36)</f>
        <v>#N/A</v>
      </c>
    </row>
    <row r="37" customFormat="false" ht="12.75" hidden="false" customHeight="false" outlineLevel="0" collapsed="false">
      <c r="A37" s="196" t="n">
        <f aca="false">IF(A36&lt;mthend,EDATE(A36,1),"")</f>
        <v>37865</v>
      </c>
      <c r="B37" s="197" t="n">
        <f aca="false">IF(A37&lt;mthend,B36,"")</f>
        <v>40000</v>
      </c>
      <c r="C37" s="215"/>
      <c r="D37" s="197" t="n">
        <f aca="false">IF(A38&lt;&gt;"",B37+C37,"")</f>
        <v>40000</v>
      </c>
      <c r="E37" s="199" t="n">
        <f aca="false">IF(A38="","",IF(AND(AT37=1,$H$3=1),D37*AO37,IF($H$3=2,D37,"N/A")))</f>
        <v>1200000</v>
      </c>
      <c r="F37" s="199" t="n">
        <f aca="false">IF(A38="","",E37*AS37)</f>
        <v>10338774.791144</v>
      </c>
      <c r="G37" s="200" t="e">
        <f aca="false">IF($A38="","",VLOOKUP($A37,Table,MATCH(G$4,Curves,0)))</f>
        <v>#N/A</v>
      </c>
      <c r="H37" s="201" t="e">
        <f aca="false">IF(A38="","",G37)</f>
        <v>#N/A</v>
      </c>
      <c r="I37" s="202"/>
      <c r="J37" s="200" t="e">
        <f aca="false">IF($A38="","",VLOOKUP($A37,Table,MATCH(J$4,Curves,0)))</f>
        <v>#N/A</v>
      </c>
      <c r="K37" s="201" t="e">
        <f aca="false">IF(A38="","",J37)</f>
        <v>#N/A</v>
      </c>
      <c r="L37" s="200" t="e">
        <f aca="false">IF($A38="","",VLOOKUP($A37,Table,MATCH(L$4,Curves,0)))</f>
        <v>#N/A</v>
      </c>
      <c r="M37" s="201" t="e">
        <f aca="false">IF(A38="","",L37)</f>
        <v>#N/A</v>
      </c>
      <c r="N37" s="203"/>
      <c r="O37" s="200" t="e">
        <f aca="false">IF(A38="","",L37+J37+G37)</f>
        <v>#N/A</v>
      </c>
      <c r="P37" s="200" t="e">
        <f aca="false">IF(A38="","",M37+K37+H37)</f>
        <v>#N/A</v>
      </c>
      <c r="Q37" s="204"/>
      <c r="R37" s="200" t="e">
        <f aca="false">IF($A38="","",VLOOKUP($A37,Table,MATCH(R$4,Curves,0)))</f>
        <v>#N/A</v>
      </c>
      <c r="S37" s="201" t="e">
        <f aca="false">IF(A38="","",R37)</f>
        <v>#N/A</v>
      </c>
      <c r="T37" s="200" t="e">
        <f aca="false">IF($A38="","",VLOOKUP($A37,Table,MATCH(T$4,Curves,0)))</f>
        <v>#N/A</v>
      </c>
      <c r="U37" s="201" t="e">
        <f aca="false">IF(A38="","",T37)</f>
        <v>#N/A</v>
      </c>
      <c r="V37" s="183" t="e">
        <f aca="false">IF($A38="","",IF(AND(MONTH(A37)&gt;3,MONTH(A37)&lt;11),(T37+R37+G37)*Summary!$T$7/(1-Summary!$T$7),(T37+R37+G37)*Summary!$U$7/(1-Summary!$U$7)))</f>
        <v>#N/A</v>
      </c>
      <c r="W37" s="200" t="e">
        <f aca="false">IF($A38="","",(T37+R37+G37+V37))</f>
        <v>#N/A</v>
      </c>
      <c r="X37" s="200" t="e">
        <f aca="false">IF($A38="","",(U37+S37+H37+V37))</f>
        <v>#N/A</v>
      </c>
      <c r="Y37" s="202"/>
      <c r="Z37" s="185" t="e">
        <f aca="false">IF($A38="","",VLOOKUP($A37,Table,MATCH(Z$4,Curves,0)))</f>
        <v>#N/A</v>
      </c>
      <c r="AA37" s="185" t="e">
        <f aca="false">IF($A38="","",VLOOKUP($A37,Table,MATCH(AA$4,Curves,0)))</f>
        <v>#N/A</v>
      </c>
      <c r="AB37" s="185" t="e">
        <f aca="false">SQRT((AA37^2*(A37-$D$3)+Z37^2*(DAY(EOMONTH(A37,0))/2))/AK37)</f>
        <v>#N/A</v>
      </c>
      <c r="AC37" s="185" t="e">
        <f aca="false">IF($A38="","",VLOOKUP($A37,Table,MATCH(AC$4,Curves,0)))</f>
        <v>#N/A</v>
      </c>
      <c r="AD37" s="185" t="e">
        <f aca="false">IF($A38="","",VLOOKUP($A37,Table,MATCH(AD$4,Curves,0)))</f>
        <v>#N/A</v>
      </c>
      <c r="AE37" s="185" t="e">
        <f aca="false">SQRT((AD37^2*(A37-$D$3)+AC37^2*(DAY(EOMONTH(A37,0))/2))/AK37)</f>
        <v>#N/A</v>
      </c>
      <c r="AF37" s="206" t="e">
        <f aca="false">((Summary!$N$7*(AA37*AD37)*(A37-$D$3))+(Summary!$M$7*Z37*AC37*(DAY(EOMONTH(A37,0))/2)))/(AK37*AB37*AE37)</f>
        <v>#N/A</v>
      </c>
      <c r="AG37" s="207" t="n">
        <f aca="false">IF($A38="","",Summary!$Q$7)</f>
        <v>0</v>
      </c>
      <c r="AH37" s="207" t="n">
        <f aca="false">IF($A38="","",IF(Summary!$R$7="Y",(VLOOKUP($A37,Summary!$AD$6:$AF$9,3)+'Escalating commodity'!C50),'Escalating commodity'!C50))</f>
        <v>0.022746</v>
      </c>
      <c r="AI37" s="207" t="n">
        <f aca="false">IF($A38="","",AH37)</f>
        <v>0.022746</v>
      </c>
      <c r="AJ37" s="208" t="n">
        <f aca="false">A37+DAY(EOMONTH(A37,0))/2-1</f>
        <v>37879</v>
      </c>
      <c r="AK37" s="209" t="n">
        <f aca="false">IF($A38="","",$A37-$E$1)</f>
        <v>-8061</v>
      </c>
      <c r="AL37" s="182" t="e">
        <f aca="false">IF($A38="","",SPRDOPT(P37,X37,AI37,0,AB37,AE37,AF37,AK37,$AJ$2,0))</f>
        <v>#NAME?</v>
      </c>
      <c r="AM37" s="210" t="e">
        <f aca="false">IF($A38="","",MAX(0,O37-W37-AI37))</f>
        <v>#N/A</v>
      </c>
      <c r="AN37" s="211" t="e">
        <f aca="false">IF($A38="","",AL37-AM37)</f>
        <v>#N/A</v>
      </c>
      <c r="AO37" s="137" t="n">
        <f aca="false">IF(A38="","",A38-A37)</f>
        <v>30</v>
      </c>
      <c r="AP37" s="212" t="n">
        <f aca="false">IF(A38="","",CHOOSE(F$3,A38+24,A37))</f>
        <v>37865</v>
      </c>
      <c r="AQ37" s="209" t="n">
        <f aca="false">IF(A38="","",AP37-$E$1)</f>
        <v>-8061</v>
      </c>
      <c r="AR37" s="185" t="n">
        <f aca="false">IF(Summary!$H$2=1,VLOOKUP('ANR OK vs ML7'!A37,Curves!$C$17:$AR$273,MATCH('ANR OK vs ML7'!$AR$4,Curves!$C$8:$AQ$8,0)),0.1)</f>
        <v>0.1</v>
      </c>
      <c r="AS37" s="213" t="n">
        <f aca="false">IF(A38="","",1/(1+CHOOSE(F$3,(AR38+($I$3/10000))/2,(AR37+($I$3/10000))/2))^(2*AQ37/365.25))</f>
        <v>8.6156456592867</v>
      </c>
      <c r="AT37" s="137" t="n">
        <f aca="false">IF(A38="","",IF(AND(mthbeg&lt;=A37,mthend&gt;=A37),1,0))</f>
        <v>1</v>
      </c>
      <c r="AU37" s="137" t="n">
        <f aca="false">IF(A38="","",AO37*AT37)</f>
        <v>30</v>
      </c>
      <c r="AW37" s="195" t="e">
        <f aca="false">IF($A38="","",AL37*$E37)</f>
        <v>#NAME?</v>
      </c>
      <c r="AX37" s="195" t="e">
        <f aca="false">IF($A38="","",AM37*$E37)</f>
        <v>#N/A</v>
      </c>
      <c r="AY37" s="195" t="e">
        <f aca="false">IF($A38="","",AN37*$E37)</f>
        <v>#N/A</v>
      </c>
      <c r="BA37" s="195" t="n">
        <f aca="false">IF($A38="","",F37*Summary!$Q$7)</f>
        <v>0</v>
      </c>
      <c r="BC37" s="179" t="e">
        <f aca="false">IF(A38="","",AM37*F37)</f>
        <v>#N/A</v>
      </c>
    </row>
    <row r="38" customFormat="false" ht="12.75" hidden="false" customHeight="false" outlineLevel="0" collapsed="false">
      <c r="A38" s="196" t="n">
        <f aca="false">IF(A37&lt;mthend,EDATE(A37,1),"")</f>
        <v>37895</v>
      </c>
      <c r="B38" s="197" t="n">
        <f aca="false">IF(A38&lt;mthend,B37,"")</f>
        <v>40000</v>
      </c>
      <c r="C38" s="215"/>
      <c r="D38" s="197" t="n">
        <f aca="false">IF(A39&lt;&gt;"",B38+C38,"")</f>
        <v>40000</v>
      </c>
      <c r="E38" s="199" t="n">
        <f aca="false">IF(A39="","",IF(AND(AT38=1,$H$3=1),D38*AO38,IF($H$3=2,D38,"N/A")))</f>
        <v>1240000</v>
      </c>
      <c r="F38" s="199" t="n">
        <f aca="false">IF(A39="","",E38*AS38)</f>
        <v>10598117.3978439</v>
      </c>
      <c r="G38" s="200" t="e">
        <f aca="false">IF($A39="","",VLOOKUP($A38,Table,MATCH(G$4,Curves,0)))</f>
        <v>#N/A</v>
      </c>
      <c r="H38" s="201" t="e">
        <f aca="false">IF(A39="","",G38)</f>
        <v>#N/A</v>
      </c>
      <c r="I38" s="202"/>
      <c r="J38" s="200" t="e">
        <f aca="false">IF($A39="","",VLOOKUP($A38,Table,MATCH(J$4,Curves,0)))</f>
        <v>#N/A</v>
      </c>
      <c r="K38" s="201" t="e">
        <f aca="false">IF(A39="","",J38)</f>
        <v>#N/A</v>
      </c>
      <c r="L38" s="200" t="e">
        <f aca="false">IF($A39="","",VLOOKUP($A38,Table,MATCH(L$4,Curves,0)))</f>
        <v>#N/A</v>
      </c>
      <c r="M38" s="201" t="e">
        <f aca="false">IF(A39="","",L38)</f>
        <v>#N/A</v>
      </c>
      <c r="N38" s="203"/>
      <c r="O38" s="200" t="e">
        <f aca="false">IF(A39="","",L38+J38+G38)</f>
        <v>#N/A</v>
      </c>
      <c r="P38" s="200" t="e">
        <f aca="false">IF(A39="","",M38+K38+H38)</f>
        <v>#N/A</v>
      </c>
      <c r="Q38" s="204"/>
      <c r="R38" s="200" t="e">
        <f aca="false">IF($A39="","",VLOOKUP($A38,Table,MATCH(R$4,Curves,0)))</f>
        <v>#N/A</v>
      </c>
      <c r="S38" s="201" t="e">
        <f aca="false">IF(A39="","",R38)</f>
        <v>#N/A</v>
      </c>
      <c r="T38" s="200" t="e">
        <f aca="false">IF($A39="","",VLOOKUP($A38,Table,MATCH(T$4,Curves,0)))</f>
        <v>#N/A</v>
      </c>
      <c r="U38" s="201" t="e">
        <f aca="false">IF(A39="","",T38)</f>
        <v>#N/A</v>
      </c>
      <c r="V38" s="183" t="e">
        <f aca="false">IF($A39="","",IF(AND(MONTH(A38)&gt;3,MONTH(A38)&lt;11),(T38+R38+G38)*Summary!$T$7/(1-Summary!$T$7),(T38+R38+G38)*Summary!$U$7/(1-Summary!$U$7)))</f>
        <v>#N/A</v>
      </c>
      <c r="W38" s="200" t="e">
        <f aca="false">IF($A39="","",(T38+R38+G38+V38))</f>
        <v>#N/A</v>
      </c>
      <c r="X38" s="200" t="e">
        <f aca="false">IF($A39="","",(U38+S38+H38+V38))</f>
        <v>#N/A</v>
      </c>
      <c r="Y38" s="202"/>
      <c r="Z38" s="185" t="e">
        <f aca="false">IF($A39="","",VLOOKUP($A38,Table,MATCH(Z$4,Curves,0)))</f>
        <v>#N/A</v>
      </c>
      <c r="AA38" s="185" t="e">
        <f aca="false">IF($A39="","",VLOOKUP($A38,Table,MATCH(AA$4,Curves,0)))</f>
        <v>#N/A</v>
      </c>
      <c r="AB38" s="185" t="e">
        <f aca="false">SQRT((AA38^2*(A38-$D$3)+Z38^2*(DAY(EOMONTH(A38,0))/2))/AK38)</f>
        <v>#N/A</v>
      </c>
      <c r="AC38" s="185" t="e">
        <f aca="false">IF($A39="","",VLOOKUP($A38,Table,MATCH(AC$4,Curves,0)))</f>
        <v>#N/A</v>
      </c>
      <c r="AD38" s="185" t="e">
        <f aca="false">IF($A39="","",VLOOKUP($A38,Table,MATCH(AD$4,Curves,0)))</f>
        <v>#N/A</v>
      </c>
      <c r="AE38" s="185" t="e">
        <f aca="false">SQRT((AD38^2*(A38-$D$3)+AC38^2*(DAY(EOMONTH(A38,0))/2))/AK38)</f>
        <v>#N/A</v>
      </c>
      <c r="AF38" s="206" t="e">
        <f aca="false">((Summary!$N$7*(AA38*AD38)*(A38-$D$3))+(Summary!$M$7*Z38*AC38*(DAY(EOMONTH(A38,0))/2)))/(AK38*AB38*AE38)</f>
        <v>#N/A</v>
      </c>
      <c r="AG38" s="207" t="n">
        <f aca="false">IF($A39="","",Summary!$Q$7)</f>
        <v>0</v>
      </c>
      <c r="AH38" s="207" t="n">
        <f aca="false">IF($A39="","",IF(Summary!$R$7="Y",(VLOOKUP($A38,Summary!$AD$6:$AF$9,3)+'Escalating commodity'!C51),'Escalating commodity'!C51))</f>
        <v>0.022746</v>
      </c>
      <c r="AI38" s="207" t="n">
        <f aca="false">IF($A39="","",AH38)</f>
        <v>0.022746</v>
      </c>
      <c r="AJ38" s="208" t="n">
        <f aca="false">A38+DAY(EOMONTH(A38,0))/2-1</f>
        <v>37909.5</v>
      </c>
      <c r="AK38" s="209" t="n">
        <f aca="false">IF($A39="","",$A38-$E$1)</f>
        <v>-8031</v>
      </c>
      <c r="AL38" s="182" t="e">
        <f aca="false">IF($A39="","",SPRDOPT(P38,X38,AI38,0,AB38,AE38,AF38,AK38,$AJ$2,0))</f>
        <v>#NAME?</v>
      </c>
      <c r="AM38" s="210" t="e">
        <f aca="false">IF($A39="","",MAX(0,O38-W38-AI38))</f>
        <v>#N/A</v>
      </c>
      <c r="AN38" s="211" t="e">
        <f aca="false">IF($A39="","",AL38-AM38)</f>
        <v>#N/A</v>
      </c>
      <c r="AO38" s="137" t="n">
        <f aca="false">IF(A39="","",A39-A38)</f>
        <v>31</v>
      </c>
      <c r="AP38" s="212" t="n">
        <f aca="false">IF(A39="","",CHOOSE(F$3,A39+24,A38))</f>
        <v>37895</v>
      </c>
      <c r="AQ38" s="209" t="n">
        <f aca="false">IF(A39="","",AP38-$E$1)</f>
        <v>-8031</v>
      </c>
      <c r="AR38" s="185" t="n">
        <f aca="false">IF(Summary!$H$2=1,VLOOKUP('ANR OK vs ML7'!A38,Curves!$C$17:$AR$273,MATCH('ANR OK vs ML7'!$AR$4,Curves!$C$8:$AQ$8,0)),0.1)</f>
        <v>0.1</v>
      </c>
      <c r="AS38" s="213" t="n">
        <f aca="false">IF(A39="","",1/(1+CHOOSE(F$3,(AR39+($I$3/10000))/2,(AR38+($I$3/10000))/2))^(2*AQ38/365.25))</f>
        <v>8.54686886922894</v>
      </c>
      <c r="AT38" s="137" t="n">
        <f aca="false">IF(A39="","",IF(AND(mthbeg&lt;=A38,mthend&gt;=A38),1,0))</f>
        <v>1</v>
      </c>
      <c r="AU38" s="137" t="n">
        <f aca="false">IF(A39="","",AO38*AT38)</f>
        <v>31</v>
      </c>
      <c r="AW38" s="195" t="e">
        <f aca="false">IF($A39="","",AL38*$E38)</f>
        <v>#NAME?</v>
      </c>
      <c r="AX38" s="195" t="e">
        <f aca="false">IF($A39="","",AM38*$E38)</f>
        <v>#N/A</v>
      </c>
      <c r="AY38" s="195" t="e">
        <f aca="false">IF($A39="","",AN38*$E38)</f>
        <v>#N/A</v>
      </c>
      <c r="BA38" s="195" t="n">
        <f aca="false">IF($A39="","",F38*Summary!$Q$7)</f>
        <v>0</v>
      </c>
      <c r="BC38" s="179" t="e">
        <f aca="false">IF(A39="","",AM38*F38)</f>
        <v>#N/A</v>
      </c>
    </row>
    <row r="39" customFormat="false" ht="12.75" hidden="false" customHeight="false" outlineLevel="0" collapsed="false">
      <c r="A39" s="196" t="n">
        <f aca="false">IF(A38&lt;mthend,EDATE(A38,1),"")</f>
        <v>37926</v>
      </c>
      <c r="B39" s="197" t="n">
        <f aca="false">IF(A39&lt;mthend,B38,"")</f>
        <v>40000</v>
      </c>
      <c r="C39" s="215"/>
      <c r="D39" s="197" t="n">
        <f aca="false">IF(A40&lt;&gt;"",B39+C39,"")</f>
        <v>40000</v>
      </c>
      <c r="E39" s="199" t="n">
        <f aca="false">IF(A40="","",IF(AND(AT39=1,$H$3=1),D39*AO39,IF($H$3=2,D39,"N/A")))</f>
        <v>1200000</v>
      </c>
      <c r="F39" s="199" t="n">
        <f aca="false">IF(A40="","",E39*AS39)</f>
        <v>10171651.505554</v>
      </c>
      <c r="G39" s="200" t="e">
        <f aca="false">IF($A40="","",VLOOKUP($A39,Table,MATCH(G$4,Curves,0)))</f>
        <v>#N/A</v>
      </c>
      <c r="H39" s="201" t="e">
        <f aca="false">IF(A40="","",G39)</f>
        <v>#N/A</v>
      </c>
      <c r="I39" s="202"/>
      <c r="J39" s="200" t="e">
        <f aca="false">IF($A40="","",VLOOKUP($A39,Table,MATCH(J$4,Curves,0)))</f>
        <v>#N/A</v>
      </c>
      <c r="K39" s="201" t="e">
        <f aca="false">IF(A40="","",J39)</f>
        <v>#N/A</v>
      </c>
      <c r="L39" s="200" t="e">
        <f aca="false">IF($A40="","",VLOOKUP($A39,Table,MATCH(L$4,Curves,0)))</f>
        <v>#N/A</v>
      </c>
      <c r="M39" s="201" t="e">
        <f aca="false">IF(A40="","",L39)</f>
        <v>#N/A</v>
      </c>
      <c r="N39" s="203"/>
      <c r="O39" s="200" t="e">
        <f aca="false">IF(A40="","",L39+J39+G39)</f>
        <v>#N/A</v>
      </c>
      <c r="P39" s="200" t="e">
        <f aca="false">IF(A40="","",M39+K39+H39)</f>
        <v>#N/A</v>
      </c>
      <c r="Q39" s="204"/>
      <c r="R39" s="200" t="e">
        <f aca="false">IF($A40="","",VLOOKUP($A39,Table,MATCH(R$4,Curves,0)))</f>
        <v>#N/A</v>
      </c>
      <c r="S39" s="201" t="e">
        <f aca="false">IF(A40="","",R39)</f>
        <v>#N/A</v>
      </c>
      <c r="T39" s="200" t="e">
        <f aca="false">IF($A40="","",VLOOKUP($A39,Table,MATCH(T$4,Curves,0)))</f>
        <v>#N/A</v>
      </c>
      <c r="U39" s="201" t="e">
        <f aca="false">IF(A40="","",T39)</f>
        <v>#N/A</v>
      </c>
      <c r="V39" s="183" t="e">
        <f aca="false">IF($A40="","",IF(AND(MONTH(A39)&gt;3,MONTH(A39)&lt;11),(T39+R39+G39)*Summary!$T$7/(1-Summary!$T$7),(T39+R39+G39)*Summary!$U$7/(1-Summary!$U$7)))</f>
        <v>#N/A</v>
      </c>
      <c r="W39" s="200" t="e">
        <f aca="false">IF($A40="","",(T39+R39+G39+V39))</f>
        <v>#N/A</v>
      </c>
      <c r="X39" s="200" t="e">
        <f aca="false">IF($A40="","",(U39+S39+H39+V39))</f>
        <v>#N/A</v>
      </c>
      <c r="Y39" s="202"/>
      <c r="Z39" s="185" t="e">
        <f aca="false">IF($A40="","",VLOOKUP($A39,Table,MATCH(Z$4,Curves,0)))</f>
        <v>#N/A</v>
      </c>
      <c r="AA39" s="185" t="e">
        <f aca="false">IF($A40="","",VLOOKUP($A39,Table,MATCH(AA$4,Curves,0)))</f>
        <v>#N/A</v>
      </c>
      <c r="AB39" s="185" t="e">
        <f aca="false">SQRT((AA39^2*(A39-$D$3)+Z39^2*(DAY(EOMONTH(A39,0))/2))/AK39)</f>
        <v>#N/A</v>
      </c>
      <c r="AC39" s="185" t="e">
        <f aca="false">IF($A40="","",VLOOKUP($A39,Table,MATCH(AC$4,Curves,0)))</f>
        <v>#N/A</v>
      </c>
      <c r="AD39" s="185" t="e">
        <f aca="false">IF($A40="","",VLOOKUP($A39,Table,MATCH(AD$4,Curves,0)))</f>
        <v>#N/A</v>
      </c>
      <c r="AE39" s="185" t="e">
        <f aca="false">SQRT((AD39^2*(A39-$D$3)+AC39^2*(DAY(EOMONTH(A39,0))/2))/AK39)</f>
        <v>#N/A</v>
      </c>
      <c r="AF39" s="206" t="e">
        <f aca="false">((Summary!$N$7*(AA39*AD39)*(A39-$D$3))+(Summary!$M$7*Z39*AC39*(DAY(EOMONTH(A39,0))/2)))/(AK39*AB39*AE39)</f>
        <v>#N/A</v>
      </c>
      <c r="AG39" s="207" t="n">
        <f aca="false">IF($A40="","",Summary!$Q$7)</f>
        <v>0</v>
      </c>
      <c r="AH39" s="207" t="n">
        <f aca="false">IF($A40="","",IF(Summary!$R$7="Y",(VLOOKUP($A39,Summary!$AD$6:$AF$9,3)+'Escalating commodity'!C52),'Escalating commodity'!C52))</f>
        <v>0.022746</v>
      </c>
      <c r="AI39" s="207" t="n">
        <f aca="false">IF($A40="","",AH39)</f>
        <v>0.022746</v>
      </c>
      <c r="AJ39" s="208" t="n">
        <f aca="false">A39+DAY(EOMONTH(A39,0))/2-1</f>
        <v>37940</v>
      </c>
      <c r="AK39" s="209" t="n">
        <f aca="false">IF($A40="","",$A39-$E$1)</f>
        <v>-8000</v>
      </c>
      <c r="AL39" s="182" t="e">
        <f aca="false">IF($A40="","",SPRDOPT(P39,X39,AI39,0,AB39,AE39,AF39,AK39,$AJ$2,0))</f>
        <v>#NAME?</v>
      </c>
      <c r="AM39" s="210" t="e">
        <f aca="false">IF($A40="","",MAX(0,O39-W39-AI39))</f>
        <v>#N/A</v>
      </c>
      <c r="AN39" s="211" t="e">
        <f aca="false">IF($A40="","",AL39-AM39)</f>
        <v>#N/A</v>
      </c>
      <c r="AO39" s="137" t="n">
        <f aca="false">IF(A40="","",A40-A39)</f>
        <v>30</v>
      </c>
      <c r="AP39" s="212" t="n">
        <f aca="false">IF(A40="","",CHOOSE(F$3,A40+24,A39))</f>
        <v>37926</v>
      </c>
      <c r="AQ39" s="209" t="n">
        <f aca="false">IF(A40="","",AP39-$E$1)</f>
        <v>-8000</v>
      </c>
      <c r="AR39" s="185" t="n">
        <f aca="false">IF(Summary!$H$2=1,VLOOKUP('ANR OK vs ML7'!A39,Curves!$C$17:$AR$273,MATCH('ANR OK vs ML7'!$AR$4,Curves!$C$8:$AQ$8,0)),0.1)</f>
        <v>0.1</v>
      </c>
      <c r="AS39" s="213" t="n">
        <f aca="false">IF(A40="","",1/(1+CHOOSE(F$3,(AR40+($I$3/10000))/2,(AR39+($I$3/10000))/2))^(2*AQ39/365.25))</f>
        <v>8.47637625462833</v>
      </c>
      <c r="AT39" s="137" t="n">
        <f aca="false">IF(A40="","",IF(AND(mthbeg&lt;=A39,mthend&gt;=A39),1,0))</f>
        <v>1</v>
      </c>
      <c r="AU39" s="137" t="n">
        <f aca="false">IF(A40="","",AO39*AT39)</f>
        <v>30</v>
      </c>
      <c r="AW39" s="195" t="e">
        <f aca="false">IF($A40="","",AL39*$E39)</f>
        <v>#NAME?</v>
      </c>
      <c r="AX39" s="195" t="e">
        <f aca="false">IF($A40="","",AM39*$E39)</f>
        <v>#N/A</v>
      </c>
      <c r="AY39" s="195" t="e">
        <f aca="false">IF($A40="","",AN39*$E39)</f>
        <v>#N/A</v>
      </c>
      <c r="BA39" s="195" t="n">
        <f aca="false">IF($A40="","",F39*Summary!$Q$7)</f>
        <v>0</v>
      </c>
      <c r="BC39" s="179" t="e">
        <f aca="false">IF(A40="","",AM39*F39)</f>
        <v>#N/A</v>
      </c>
    </row>
    <row r="40" customFormat="false" ht="12.75" hidden="false" customHeight="false" outlineLevel="0" collapsed="false">
      <c r="A40" s="196" t="n">
        <f aca="false">IF(A39&lt;mthend,EDATE(A39,1),"")</f>
        <v>37956</v>
      </c>
      <c r="B40" s="197" t="n">
        <f aca="false">IF(A40&lt;mthend,B39,"")</f>
        <v>40000</v>
      </c>
      <c r="C40" s="215"/>
      <c r="D40" s="197" t="n">
        <f aca="false">IF(A41&lt;&gt;"",B40+C40,"")</f>
        <v>40000</v>
      </c>
      <c r="E40" s="199" t="n">
        <f aca="false">IF(A41="","",IF(AND(AT40=1,$H$3=1),D40*AO40,IF($H$3=2,D40,"N/A")))</f>
        <v>1240000</v>
      </c>
      <c r="F40" s="199" t="n">
        <f aca="false">IF(A41="","",E40*AS40)</f>
        <v>10426801.9144934</v>
      </c>
      <c r="G40" s="200" t="e">
        <f aca="false">IF($A41="","",VLOOKUP($A40,Table,MATCH(G$4,Curves,0)))</f>
        <v>#N/A</v>
      </c>
      <c r="H40" s="201" t="e">
        <f aca="false">IF(A41="","",G40)</f>
        <v>#N/A</v>
      </c>
      <c r="I40" s="202"/>
      <c r="J40" s="200" t="e">
        <f aca="false">IF($A41="","",VLOOKUP($A40,Table,MATCH(J$4,Curves,0)))</f>
        <v>#N/A</v>
      </c>
      <c r="K40" s="201" t="e">
        <f aca="false">IF(A41="","",J40)</f>
        <v>#N/A</v>
      </c>
      <c r="L40" s="200" t="e">
        <f aca="false">IF($A41="","",VLOOKUP($A40,Table,MATCH(L$4,Curves,0)))</f>
        <v>#N/A</v>
      </c>
      <c r="M40" s="201" t="e">
        <f aca="false">IF(A41="","",L40)</f>
        <v>#N/A</v>
      </c>
      <c r="N40" s="203"/>
      <c r="O40" s="200" t="e">
        <f aca="false">IF(A41="","",L40+J40+G40)</f>
        <v>#N/A</v>
      </c>
      <c r="P40" s="200" t="e">
        <f aca="false">IF(A41="","",M40+K40+H40)</f>
        <v>#N/A</v>
      </c>
      <c r="Q40" s="204"/>
      <c r="R40" s="200" t="e">
        <f aca="false">IF($A41="","",VLOOKUP($A40,Table,MATCH(R$4,Curves,0)))</f>
        <v>#N/A</v>
      </c>
      <c r="S40" s="201" t="e">
        <f aca="false">IF(A41="","",R40)</f>
        <v>#N/A</v>
      </c>
      <c r="T40" s="200" t="e">
        <f aca="false">IF($A41="","",VLOOKUP($A40,Table,MATCH(T$4,Curves,0)))</f>
        <v>#N/A</v>
      </c>
      <c r="U40" s="201" t="e">
        <f aca="false">IF(A41="","",T40)</f>
        <v>#N/A</v>
      </c>
      <c r="V40" s="183" t="e">
        <f aca="false">IF($A41="","",IF(AND(MONTH(A40)&gt;3,MONTH(A40)&lt;11),(T40+R40+G40)*Summary!$T$7/(1-Summary!$T$7),(T40+R40+G40)*Summary!$U$7/(1-Summary!$U$7)))</f>
        <v>#N/A</v>
      </c>
      <c r="W40" s="200" t="e">
        <f aca="false">IF($A41="","",(T40+R40+G40+V40))</f>
        <v>#N/A</v>
      </c>
      <c r="X40" s="200" t="e">
        <f aca="false">IF($A41="","",(U40+S40+H40+V40))</f>
        <v>#N/A</v>
      </c>
      <c r="Y40" s="202"/>
      <c r="Z40" s="185" t="e">
        <f aca="false">IF($A41="","",VLOOKUP($A40,Table,MATCH(Z$4,Curves,0)))</f>
        <v>#N/A</v>
      </c>
      <c r="AA40" s="185" t="e">
        <f aca="false">IF($A41="","",VLOOKUP($A40,Table,MATCH(AA$4,Curves,0)))</f>
        <v>#N/A</v>
      </c>
      <c r="AB40" s="185" t="e">
        <f aca="false">SQRT((AA40^2*(A40-$D$3)+Z40^2*(DAY(EOMONTH(A40,0))/2))/AK40)</f>
        <v>#N/A</v>
      </c>
      <c r="AC40" s="185" t="e">
        <f aca="false">IF($A41="","",VLOOKUP($A40,Table,MATCH(AC$4,Curves,0)))</f>
        <v>#N/A</v>
      </c>
      <c r="AD40" s="185" t="e">
        <f aca="false">IF($A41="","",VLOOKUP($A40,Table,MATCH(AD$4,Curves,0)))</f>
        <v>#N/A</v>
      </c>
      <c r="AE40" s="185" t="e">
        <f aca="false">SQRT((AD40^2*(A40-$D$3)+AC40^2*(DAY(EOMONTH(A40,0))/2))/AK40)</f>
        <v>#N/A</v>
      </c>
      <c r="AF40" s="206" t="e">
        <f aca="false">((Summary!$N$7*(AA40*AD40)*(A40-$D$3))+(Summary!$M$7*Z40*AC40*(DAY(EOMONTH(A40,0))/2)))/(AK40*AB40*AE40)</f>
        <v>#N/A</v>
      </c>
      <c r="AG40" s="207" t="n">
        <f aca="false">IF($A41="","",Summary!$Q$7)</f>
        <v>0</v>
      </c>
      <c r="AH40" s="207" t="n">
        <f aca="false">IF($A41="","",IF(Summary!$R$7="Y",(VLOOKUP($A40,Summary!$AD$6:$AF$9,3)+'Escalating commodity'!C53),'Escalating commodity'!C53))</f>
        <v>0.022746</v>
      </c>
      <c r="AI40" s="207" t="n">
        <f aca="false">IF($A41="","",AH40)</f>
        <v>0.022746</v>
      </c>
      <c r="AJ40" s="208" t="n">
        <f aca="false">A40+DAY(EOMONTH(A40,0))/2-1</f>
        <v>37970.5</v>
      </c>
      <c r="AK40" s="209" t="n">
        <f aca="false">IF($A41="","",$A40-$E$1)</f>
        <v>-7970</v>
      </c>
      <c r="AL40" s="182" t="e">
        <f aca="false">IF($A41="","",SPRDOPT(P40,X40,AI40,0,AB40,AE40,AF40,AK40,$AJ$2,0))</f>
        <v>#NAME?</v>
      </c>
      <c r="AM40" s="210" t="e">
        <f aca="false">IF($A41="","",MAX(0,O40-W40-AI40))</f>
        <v>#N/A</v>
      </c>
      <c r="AN40" s="211" t="e">
        <f aca="false">IF($A41="","",AL40-AM40)</f>
        <v>#N/A</v>
      </c>
      <c r="AO40" s="137" t="n">
        <f aca="false">IF(A41="","",A41-A40)</f>
        <v>31</v>
      </c>
      <c r="AP40" s="212" t="n">
        <f aca="false">IF(A41="","",CHOOSE(F$3,A41+24,A40))</f>
        <v>37956</v>
      </c>
      <c r="AQ40" s="209" t="n">
        <f aca="false">IF(A41="","",AP40-$E$1)</f>
        <v>-7970</v>
      </c>
      <c r="AR40" s="185" t="n">
        <f aca="false">IF(Summary!$H$2=1,VLOOKUP('ANR OK vs ML7'!A40,Curves!$C$17:$AR$273,MATCH('ANR OK vs ML7'!$AR$4,Curves!$C$8:$AQ$8,0)),0.1)</f>
        <v>0.1</v>
      </c>
      <c r="AS40" s="213" t="n">
        <f aca="false">IF(A41="","",1/(1+CHOOSE(F$3,(AR41+($I$3/10000))/2,(AR40+($I$3/10000))/2))^(2*AQ40/365.25))</f>
        <v>8.40871122136564</v>
      </c>
      <c r="AT40" s="137" t="n">
        <f aca="false">IF(A41="","",IF(AND(mthbeg&lt;=A40,mthend&gt;=A40),1,0))</f>
        <v>1</v>
      </c>
      <c r="AU40" s="137" t="n">
        <f aca="false">IF(A41="","",AO40*AT40)</f>
        <v>31</v>
      </c>
      <c r="AW40" s="195" t="e">
        <f aca="false">IF($A41="","",AL40*$E40)</f>
        <v>#NAME?</v>
      </c>
      <c r="AX40" s="195" t="e">
        <f aca="false">IF($A41="","",AM40*$E40)</f>
        <v>#N/A</v>
      </c>
      <c r="AY40" s="195" t="e">
        <f aca="false">IF($A41="","",AN40*$E40)</f>
        <v>#N/A</v>
      </c>
      <c r="BA40" s="195" t="n">
        <f aca="false">IF($A41="","",F40*Summary!$Q$7)</f>
        <v>0</v>
      </c>
      <c r="BC40" s="179" t="e">
        <f aca="false">IF(A41="","",AM40*F40)</f>
        <v>#N/A</v>
      </c>
    </row>
    <row r="41" customFormat="false" ht="12.75" hidden="false" customHeight="false" outlineLevel="0" collapsed="false">
      <c r="A41" s="196" t="n">
        <f aca="false">IF(A40&lt;mthend,EDATE(A40,1),"")</f>
        <v>37987</v>
      </c>
      <c r="B41" s="197" t="n">
        <f aca="false">IF(A41&lt;mthend,B40,"")</f>
        <v>40000</v>
      </c>
      <c r="C41" s="215"/>
      <c r="D41" s="197" t="n">
        <f aca="false">IF(A42&lt;&gt;"",B41+C41,"")</f>
        <v>40000</v>
      </c>
      <c r="E41" s="199" t="n">
        <f aca="false">IF(A42="","",IF(AND(AT41=1,$H$3=1),D41*AO41,IF($H$3=2,D41,"N/A")))</f>
        <v>1240000</v>
      </c>
      <c r="F41" s="199" t="n">
        <f aca="false">IF(A42="","",E41*AS41)</f>
        <v>10340804.043212</v>
      </c>
      <c r="G41" s="200" t="e">
        <f aca="false">IF($A42="","",VLOOKUP($A41,Table,MATCH(G$4,Curves,0)))</f>
        <v>#N/A</v>
      </c>
      <c r="H41" s="201" t="e">
        <f aca="false">IF(A42="","",G41)</f>
        <v>#N/A</v>
      </c>
      <c r="I41" s="202"/>
      <c r="J41" s="200" t="e">
        <f aca="false">IF($A42="","",VLOOKUP($A41,Table,MATCH(J$4,Curves,0)))</f>
        <v>#N/A</v>
      </c>
      <c r="K41" s="201" t="e">
        <f aca="false">IF(A42="","",J41)</f>
        <v>#N/A</v>
      </c>
      <c r="L41" s="200" t="e">
        <f aca="false">IF($A42="","",VLOOKUP($A41,Table,MATCH(L$4,Curves,0)))</f>
        <v>#N/A</v>
      </c>
      <c r="M41" s="201" t="e">
        <f aca="false">IF(A42="","",L41)</f>
        <v>#N/A</v>
      </c>
      <c r="N41" s="203"/>
      <c r="O41" s="200" t="e">
        <f aca="false">IF(A42="","",L41+J41+G41)</f>
        <v>#N/A</v>
      </c>
      <c r="P41" s="200" t="e">
        <f aca="false">IF(A42="","",M41+K41+H41)</f>
        <v>#N/A</v>
      </c>
      <c r="Q41" s="204"/>
      <c r="R41" s="200" t="e">
        <f aca="false">IF($A42="","",VLOOKUP($A41,Table,MATCH(R$4,Curves,0)))</f>
        <v>#N/A</v>
      </c>
      <c r="S41" s="201" t="e">
        <f aca="false">IF(A42="","",R41)</f>
        <v>#N/A</v>
      </c>
      <c r="T41" s="200" t="e">
        <f aca="false">IF($A42="","",VLOOKUP($A41,Table,MATCH(T$4,Curves,0)))</f>
        <v>#N/A</v>
      </c>
      <c r="U41" s="201" t="e">
        <f aca="false">IF(A42="","",T41)</f>
        <v>#N/A</v>
      </c>
      <c r="V41" s="183" t="e">
        <f aca="false">IF($A42="","",IF(AND(MONTH(A41)&gt;3,MONTH(A41)&lt;11),(T41+R41+G41)*Summary!$T$7/(1-Summary!$T$7),(T41+R41+G41)*Summary!$U$7/(1-Summary!$U$7)))</f>
        <v>#N/A</v>
      </c>
      <c r="W41" s="200" t="e">
        <f aca="false">IF($A42="","",(T41+R41+G41+V41))</f>
        <v>#N/A</v>
      </c>
      <c r="X41" s="200" t="e">
        <f aca="false">IF($A42="","",(U41+S41+H41+V41))</f>
        <v>#N/A</v>
      </c>
      <c r="Y41" s="202"/>
      <c r="Z41" s="185" t="e">
        <f aca="false">IF($A42="","",VLOOKUP($A41,Table,MATCH(Z$4,Curves,0)))</f>
        <v>#N/A</v>
      </c>
      <c r="AA41" s="185" t="e">
        <f aca="false">IF($A42="","",VLOOKUP($A41,Table,MATCH(AA$4,Curves,0)))</f>
        <v>#N/A</v>
      </c>
      <c r="AB41" s="185" t="e">
        <f aca="false">SQRT((AA41^2*(A41-$D$3)+Z41^2*(DAY(EOMONTH(A41,0))/2))/AK41)</f>
        <v>#N/A</v>
      </c>
      <c r="AC41" s="185" t="e">
        <f aca="false">IF($A42="","",VLOOKUP($A41,Table,MATCH(AC$4,Curves,0)))</f>
        <v>#N/A</v>
      </c>
      <c r="AD41" s="185" t="e">
        <f aca="false">IF($A42="","",VLOOKUP($A41,Table,MATCH(AD$4,Curves,0)))</f>
        <v>#N/A</v>
      </c>
      <c r="AE41" s="185" t="e">
        <f aca="false">SQRT((AD41^2*(A41-$D$3)+AC41^2*(DAY(EOMONTH(A41,0))/2))/AK41)</f>
        <v>#N/A</v>
      </c>
      <c r="AF41" s="206" t="e">
        <f aca="false">((Summary!$N$7*(AA41*AD41)*(A41-$D$3))+(Summary!$M$7*Z41*AC41*(DAY(EOMONTH(A41,0))/2)))/(AK41*AB41*AE41)</f>
        <v>#N/A</v>
      </c>
      <c r="AG41" s="207" t="n">
        <f aca="false">IF($A42="","",Summary!$Q$7)</f>
        <v>0</v>
      </c>
      <c r="AH41" s="207" t="n">
        <f aca="false">IF($A42="","",IF(Summary!$R$7="Y",(VLOOKUP($A41,Summary!$AD$6:$AF$9,3)+'Escalating commodity'!C54),'Escalating commodity'!C54))</f>
        <v>0.0224952</v>
      </c>
      <c r="AI41" s="207" t="n">
        <f aca="false">IF($A42="","",AH41)</f>
        <v>0.0224952</v>
      </c>
      <c r="AJ41" s="208" t="n">
        <f aca="false">A41+DAY(EOMONTH(A41,0))/2-1</f>
        <v>38001.5</v>
      </c>
      <c r="AK41" s="209" t="n">
        <f aca="false">IF($A42="","",$A41-$E$1)</f>
        <v>-7939</v>
      </c>
      <c r="AL41" s="182" t="e">
        <f aca="false">IF($A42="","",SPRDOPT(P41,X41,AI41,0,AB41,AE41,AF41,AK41,$AJ$2,0))</f>
        <v>#NAME?</v>
      </c>
      <c r="AM41" s="210" t="e">
        <f aca="false">IF($A42="","",MAX(0,O41-W41-AI41))</f>
        <v>#N/A</v>
      </c>
      <c r="AN41" s="211" t="e">
        <f aca="false">IF($A42="","",AL41-AM41)</f>
        <v>#N/A</v>
      </c>
      <c r="AO41" s="137" t="n">
        <f aca="false">IF(A42="","",A42-A41)</f>
        <v>31</v>
      </c>
      <c r="AP41" s="212" t="n">
        <f aca="false">IF(A42="","",CHOOSE(F$3,A42+24,A41))</f>
        <v>37987</v>
      </c>
      <c r="AQ41" s="209" t="n">
        <f aca="false">IF(A42="","",AP41-$E$1)</f>
        <v>-7939</v>
      </c>
      <c r="AR41" s="185" t="n">
        <f aca="false">IF(Summary!$H$2=1,VLOOKUP('ANR OK vs ML7'!A41,Curves!$C$17:$AR$273,MATCH('ANR OK vs ML7'!$AR$4,Curves!$C$8:$AQ$8,0)),0.1)</f>
        <v>0.1</v>
      </c>
      <c r="AS41" s="213" t="n">
        <f aca="false">IF(A42="","",1/(1+CHOOSE(F$3,(AR42+($I$3/10000))/2,(AR41+($I$3/10000))/2))^(2*AQ41/365.25))</f>
        <v>8.33935809936448</v>
      </c>
      <c r="AT41" s="137" t="n">
        <f aca="false">IF(A42="","",IF(AND(mthbeg&lt;=A41,mthend&gt;=A41),1,0))</f>
        <v>1</v>
      </c>
      <c r="AU41" s="137" t="n">
        <f aca="false">IF(A42="","",AO41*AT41)</f>
        <v>31</v>
      </c>
      <c r="AW41" s="195" t="e">
        <f aca="false">IF($A42="","",AL41*$E41)</f>
        <v>#NAME?</v>
      </c>
      <c r="AX41" s="195" t="e">
        <f aca="false">IF($A42="","",AM41*$E41)</f>
        <v>#N/A</v>
      </c>
      <c r="AY41" s="195" t="e">
        <f aca="false">IF($A42="","",AN41*$E41)</f>
        <v>#N/A</v>
      </c>
      <c r="BA41" s="195" t="n">
        <f aca="false">IF($A42="","",F41*Summary!$Q$7)</f>
        <v>0</v>
      </c>
      <c r="BC41" s="179" t="e">
        <f aca="false">IF(A42="","",AM41*F41)</f>
        <v>#N/A</v>
      </c>
    </row>
    <row r="42" customFormat="false" ht="12.75" hidden="false" customHeight="false" outlineLevel="0" collapsed="false">
      <c r="A42" s="196" t="n">
        <f aca="false">IF(A41&lt;mthend,EDATE(A41,1),"")</f>
        <v>38018</v>
      </c>
      <c r="B42" s="197" t="n">
        <f aca="false">IF(A42&lt;mthend,B41,"")</f>
        <v>40000</v>
      </c>
      <c r="C42" s="215"/>
      <c r="D42" s="197" t="n">
        <f aca="false">IF(A43&lt;&gt;"",B42+C42,"")</f>
        <v>40000</v>
      </c>
      <c r="E42" s="199" t="n">
        <f aca="false">IF(A43="","",IF(AND(AT42=1,$H$3=1),D42*AO42,IF($H$3=2,D42,"N/A")))</f>
        <v>1160000</v>
      </c>
      <c r="F42" s="199" t="n">
        <f aca="false">IF(A43="","",E42*AS42)</f>
        <v>9593869.30377233</v>
      </c>
      <c r="G42" s="200" t="e">
        <f aca="false">IF($A43="","",VLOOKUP($A42,Table,MATCH(G$4,Curves,0)))</f>
        <v>#N/A</v>
      </c>
      <c r="H42" s="201" t="e">
        <f aca="false">IF(A43="","",G42)</f>
        <v>#N/A</v>
      </c>
      <c r="I42" s="202"/>
      <c r="J42" s="200" t="e">
        <f aca="false">IF($A43="","",VLOOKUP($A42,Table,MATCH(J$4,Curves,0)))</f>
        <v>#N/A</v>
      </c>
      <c r="K42" s="201" t="e">
        <f aca="false">IF(A43="","",J42)</f>
        <v>#N/A</v>
      </c>
      <c r="L42" s="200" t="e">
        <f aca="false">IF($A43="","",VLOOKUP($A42,Table,MATCH(L$4,Curves,0)))</f>
        <v>#N/A</v>
      </c>
      <c r="M42" s="201" t="e">
        <f aca="false">IF(A43="","",L42)</f>
        <v>#N/A</v>
      </c>
      <c r="N42" s="203"/>
      <c r="O42" s="200" t="e">
        <f aca="false">IF(A43="","",L42+J42+G42)</f>
        <v>#N/A</v>
      </c>
      <c r="P42" s="200" t="e">
        <f aca="false">IF(A43="","",M42+K42+H42)</f>
        <v>#N/A</v>
      </c>
      <c r="Q42" s="204"/>
      <c r="R42" s="200" t="e">
        <f aca="false">IF($A43="","",VLOOKUP($A42,Table,MATCH(R$4,Curves,0)))</f>
        <v>#N/A</v>
      </c>
      <c r="S42" s="201" t="e">
        <f aca="false">IF(A43="","",R42)</f>
        <v>#N/A</v>
      </c>
      <c r="T42" s="200" t="e">
        <f aca="false">IF($A43="","",VLOOKUP($A42,Table,MATCH(T$4,Curves,0)))</f>
        <v>#N/A</v>
      </c>
      <c r="U42" s="201" t="e">
        <f aca="false">IF(A43="","",T42)</f>
        <v>#N/A</v>
      </c>
      <c r="V42" s="183" t="e">
        <f aca="false">IF($A43="","",IF(AND(MONTH(A42)&gt;3,MONTH(A42)&lt;11),(T42+R42+G42)*Summary!$T$7/(1-Summary!$T$7),(T42+R42+G42)*Summary!$U$7/(1-Summary!$U$7)))</f>
        <v>#N/A</v>
      </c>
      <c r="W42" s="200" t="e">
        <f aca="false">IF($A43="","",(T42+R42+G42+V42))</f>
        <v>#N/A</v>
      </c>
      <c r="X42" s="200" t="e">
        <f aca="false">IF($A43="","",(U42+S42+H42+V42))</f>
        <v>#N/A</v>
      </c>
      <c r="Y42" s="202"/>
      <c r="Z42" s="185" t="e">
        <f aca="false">IF($A43="","",VLOOKUP($A42,Table,MATCH(Z$4,Curves,0)))</f>
        <v>#N/A</v>
      </c>
      <c r="AA42" s="185" t="e">
        <f aca="false">IF($A43="","",VLOOKUP($A42,Table,MATCH(AA$4,Curves,0)))</f>
        <v>#N/A</v>
      </c>
      <c r="AB42" s="185" t="e">
        <f aca="false">SQRT((AA42^2*(A42-$D$3)+Z42^2*(DAY(EOMONTH(A42,0))/2))/AK42)</f>
        <v>#N/A</v>
      </c>
      <c r="AC42" s="185" t="e">
        <f aca="false">IF($A43="","",VLOOKUP($A42,Table,MATCH(AC$4,Curves,0)))</f>
        <v>#N/A</v>
      </c>
      <c r="AD42" s="185" t="e">
        <f aca="false">IF($A43="","",VLOOKUP($A42,Table,MATCH(AD$4,Curves,0)))</f>
        <v>#N/A</v>
      </c>
      <c r="AE42" s="185" t="e">
        <f aca="false">SQRT((AD42^2*(A42-$D$3)+AC42^2*(DAY(EOMONTH(A42,0))/2))/AK42)</f>
        <v>#N/A</v>
      </c>
      <c r="AF42" s="206" t="e">
        <f aca="false">((Summary!$N$7*(AA42*AD42)*(A42-$D$3))+(Summary!$M$7*Z42*AC42*(DAY(EOMONTH(A42,0))/2)))/(AK42*AB42*AE42)</f>
        <v>#N/A</v>
      </c>
      <c r="AG42" s="207" t="n">
        <f aca="false">IF($A43="","",Summary!$Q$7)</f>
        <v>0</v>
      </c>
      <c r="AH42" s="207" t="n">
        <f aca="false">IF($A43="","",IF(Summary!$R$7="Y",(VLOOKUP($A42,Summary!$AD$6:$AF$9,3)+'Escalating commodity'!C55),'Escalating commodity'!C55))</f>
        <v>0.0224952</v>
      </c>
      <c r="AI42" s="207" t="n">
        <f aca="false">IF($A43="","",AH42)</f>
        <v>0.0224952</v>
      </c>
      <c r="AJ42" s="208" t="n">
        <f aca="false">A42+DAY(EOMONTH(A42,0))/2-1</f>
        <v>38031.5</v>
      </c>
      <c r="AK42" s="209" t="n">
        <f aca="false">IF($A43="","",$A42-$E$1)</f>
        <v>-7908</v>
      </c>
      <c r="AL42" s="182" t="e">
        <f aca="false">IF($A43="","",SPRDOPT(P42,X42,AI42,0,AB42,AE42,AF42,AK42,$AJ$2,0))</f>
        <v>#NAME?</v>
      </c>
      <c r="AM42" s="210" t="e">
        <f aca="false">IF($A43="","",MAX(0,O42-W42-AI42))</f>
        <v>#N/A</v>
      </c>
      <c r="AN42" s="211" t="e">
        <f aca="false">IF($A43="","",AL42-AM42)</f>
        <v>#N/A</v>
      </c>
      <c r="AO42" s="137" t="n">
        <f aca="false">IF(A43="","",A43-A42)</f>
        <v>29</v>
      </c>
      <c r="AP42" s="212" t="n">
        <f aca="false">IF(A43="","",CHOOSE(F$3,A43+24,A42))</f>
        <v>38018</v>
      </c>
      <c r="AQ42" s="209" t="n">
        <f aca="false">IF(A43="","",AP42-$E$1)</f>
        <v>-7908</v>
      </c>
      <c r="AR42" s="185" t="n">
        <f aca="false">IF(Summary!$H$2=1,VLOOKUP('ANR OK vs ML7'!A42,Curves!$C$17:$AR$273,MATCH('ANR OK vs ML7'!$AR$4,Curves!$C$8:$AQ$8,0)),0.1)</f>
        <v>0.1</v>
      </c>
      <c r="AS42" s="213" t="n">
        <f aca="false">IF(A43="","",1/(1+CHOOSE(F$3,(AR43+($I$3/10000))/2,(AR42+($I$3/10000))/2))^(2*AQ42/365.25))</f>
        <v>8.27057698601063</v>
      </c>
      <c r="AT42" s="137" t="n">
        <f aca="false">IF(A43="","",IF(AND(mthbeg&lt;=A42,mthend&gt;=A42),1,0))</f>
        <v>1</v>
      </c>
      <c r="AU42" s="137" t="n">
        <f aca="false">IF(A43="","",AO42*AT42)</f>
        <v>29</v>
      </c>
      <c r="AW42" s="195" t="e">
        <f aca="false">IF($A43="","",AL42*$E42)</f>
        <v>#NAME?</v>
      </c>
      <c r="AX42" s="195" t="e">
        <f aca="false">IF($A43="","",AM42*$E42)</f>
        <v>#N/A</v>
      </c>
      <c r="AY42" s="195" t="e">
        <f aca="false">IF($A43="","",AN42*$E42)</f>
        <v>#N/A</v>
      </c>
      <c r="BA42" s="195" t="n">
        <f aca="false">IF($A43="","",F42*Summary!$Q$7)</f>
        <v>0</v>
      </c>
      <c r="BC42" s="179" t="e">
        <f aca="false">IF(A43="","",AM42*F42)</f>
        <v>#N/A</v>
      </c>
    </row>
    <row r="43" customFormat="false" ht="12.75" hidden="false" customHeight="false" outlineLevel="0" collapsed="false">
      <c r="A43" s="196" t="n">
        <f aca="false">IF(A42&lt;mthend,EDATE(A42,1),"")</f>
        <v>38047</v>
      </c>
      <c r="B43" s="197" t="n">
        <f aca="false">IF(A43&lt;mthend,B42,"")</f>
        <v>40000</v>
      </c>
      <c r="C43" s="215"/>
      <c r="D43" s="197" t="n">
        <f aca="false">IF(A44&lt;&gt;"",B43+C43,"")</f>
        <v>40000</v>
      </c>
      <c r="E43" s="199" t="n">
        <f aca="false">IF(A44="","",IF(AND(AT43=1,$H$3=1),D43*AO43,IF($H$3=2,D43,"N/A")))</f>
        <v>1240000</v>
      </c>
      <c r="F43" s="199" t="n">
        <f aca="false">IF(A44="","",E43*AS43)</f>
        <v>10176366.3140966</v>
      </c>
      <c r="G43" s="200" t="e">
        <f aca="false">IF($A44="","",VLOOKUP($A43,Table,MATCH(G$4,Curves,0)))</f>
        <v>#N/A</v>
      </c>
      <c r="H43" s="201" t="e">
        <f aca="false">IF(A44="","",G43)</f>
        <v>#N/A</v>
      </c>
      <c r="I43" s="202"/>
      <c r="J43" s="200" t="e">
        <f aca="false">IF($A44="","",VLOOKUP($A43,Table,MATCH(J$4,Curves,0)))</f>
        <v>#N/A</v>
      </c>
      <c r="K43" s="201" t="e">
        <f aca="false">IF(A44="","",J43)</f>
        <v>#N/A</v>
      </c>
      <c r="L43" s="200" t="e">
        <f aca="false">IF($A44="","",VLOOKUP($A43,Table,MATCH(L$4,Curves,0)))</f>
        <v>#N/A</v>
      </c>
      <c r="M43" s="201" t="e">
        <f aca="false">IF(A44="","",L43)</f>
        <v>#N/A</v>
      </c>
      <c r="N43" s="203"/>
      <c r="O43" s="200" t="e">
        <f aca="false">IF(A44="","",L43+J43+G43)</f>
        <v>#N/A</v>
      </c>
      <c r="P43" s="200" t="e">
        <f aca="false">IF(A44="","",M43+K43+H43)</f>
        <v>#N/A</v>
      </c>
      <c r="Q43" s="204"/>
      <c r="R43" s="200" t="e">
        <f aca="false">IF($A44="","",VLOOKUP($A43,Table,MATCH(R$4,Curves,0)))</f>
        <v>#N/A</v>
      </c>
      <c r="S43" s="201" t="e">
        <f aca="false">IF(A44="","",R43)</f>
        <v>#N/A</v>
      </c>
      <c r="T43" s="200" t="e">
        <f aca="false">IF($A44="","",VLOOKUP($A43,Table,MATCH(T$4,Curves,0)))</f>
        <v>#N/A</v>
      </c>
      <c r="U43" s="201" t="e">
        <f aca="false">IF(A44="","",T43)</f>
        <v>#N/A</v>
      </c>
      <c r="V43" s="183" t="e">
        <f aca="false">IF($A44="","",IF(AND(MONTH(A43)&gt;3,MONTH(A43)&lt;11),(T43+R43+G43)*Summary!$T$7/(1-Summary!$T$7),(T43+R43+G43)*Summary!$U$7/(1-Summary!$U$7)))</f>
        <v>#N/A</v>
      </c>
      <c r="W43" s="200" t="e">
        <f aca="false">IF($A44="","",(T43+R43+G43+V43))</f>
        <v>#N/A</v>
      </c>
      <c r="X43" s="200" t="e">
        <f aca="false">IF($A44="","",(U43+S43+H43+V43))</f>
        <v>#N/A</v>
      </c>
      <c r="Y43" s="202"/>
      <c r="Z43" s="185" t="e">
        <f aca="false">IF($A44="","",VLOOKUP($A43,Table,MATCH(Z$4,Curves,0)))</f>
        <v>#N/A</v>
      </c>
      <c r="AA43" s="185" t="e">
        <f aca="false">IF($A44="","",VLOOKUP($A43,Table,MATCH(AA$4,Curves,0)))</f>
        <v>#N/A</v>
      </c>
      <c r="AB43" s="185" t="e">
        <f aca="false">SQRT((AA43^2*(A43-$D$3)+Z43^2*(DAY(EOMONTH(A43,0))/2))/AK43)</f>
        <v>#N/A</v>
      </c>
      <c r="AC43" s="185" t="e">
        <f aca="false">IF($A44="","",VLOOKUP($A43,Table,MATCH(AC$4,Curves,0)))</f>
        <v>#N/A</v>
      </c>
      <c r="AD43" s="185" t="e">
        <f aca="false">IF($A44="","",VLOOKUP($A43,Table,MATCH(AD$4,Curves,0)))</f>
        <v>#N/A</v>
      </c>
      <c r="AE43" s="185" t="e">
        <f aca="false">SQRT((AD43^2*(A43-$D$3)+AC43^2*(DAY(EOMONTH(A43,0))/2))/AK43)</f>
        <v>#N/A</v>
      </c>
      <c r="AF43" s="206" t="e">
        <f aca="false">((Summary!$N$7*(AA43*AD43)*(A43-$D$3))+(Summary!$M$7*Z43*AC43*(DAY(EOMONTH(A43,0))/2)))/(AK43*AB43*AE43)</f>
        <v>#N/A</v>
      </c>
      <c r="AG43" s="207" t="n">
        <f aca="false">IF($A44="","",Summary!$Q$7)</f>
        <v>0</v>
      </c>
      <c r="AH43" s="207" t="n">
        <f aca="false">IF($A44="","",IF(Summary!$R$7="Y",(VLOOKUP($A43,Summary!$AD$6:$AF$9,3)+'Escalating commodity'!C56),'Escalating commodity'!C56))</f>
        <v>0.0224952</v>
      </c>
      <c r="AI43" s="207" t="n">
        <f aca="false">IF($A44="","",AH43)</f>
        <v>0.0224952</v>
      </c>
      <c r="AJ43" s="208" t="n">
        <f aca="false">A43+DAY(EOMONTH(A43,0))/2-1</f>
        <v>38061.5</v>
      </c>
      <c r="AK43" s="209" t="n">
        <f aca="false">IF($A44="","",$A43-$E$1)</f>
        <v>-7879</v>
      </c>
      <c r="AL43" s="182" t="e">
        <f aca="false">IF($A44="","",SPRDOPT(P43,X43,AI43,0,AB43,AE43,AF43,AK43,$AJ$2,0))</f>
        <v>#NAME?</v>
      </c>
      <c r="AM43" s="210" t="e">
        <f aca="false">IF($A44="","",MAX(0,O43-W43-AI43))</f>
        <v>#N/A</v>
      </c>
      <c r="AN43" s="211" t="e">
        <f aca="false">IF($A44="","",AL43-AM43)</f>
        <v>#N/A</v>
      </c>
      <c r="AO43" s="137" t="n">
        <f aca="false">IF(A44="","",A44-A43)</f>
        <v>31</v>
      </c>
      <c r="AP43" s="212" t="n">
        <f aca="false">IF(A44="","",CHOOSE(F$3,A44+24,A43))</f>
        <v>38047</v>
      </c>
      <c r="AQ43" s="209" t="n">
        <f aca="false">IF(A44="","",AP43-$E$1)</f>
        <v>-7879</v>
      </c>
      <c r="AR43" s="185" t="n">
        <f aca="false">IF(Summary!$H$2=1,VLOOKUP('ANR OK vs ML7'!A43,Curves!$C$17:$AR$273,MATCH('ANR OK vs ML7'!$AR$4,Curves!$C$8:$AQ$8,0)),0.1)</f>
        <v>0.1</v>
      </c>
      <c r="AS43" s="213" t="n">
        <f aca="false">IF(A44="","",1/(1+CHOOSE(F$3,(AR44+($I$3/10000))/2,(AR43+($I$3/10000))/2))^(2*AQ43/365.25))</f>
        <v>8.20674702749722</v>
      </c>
      <c r="AT43" s="137" t="n">
        <f aca="false">IF(A44="","",IF(AND(mthbeg&lt;=A43,mthend&gt;=A43),1,0))</f>
        <v>1</v>
      </c>
      <c r="AU43" s="137" t="n">
        <f aca="false">IF(A44="","",AO43*AT43)</f>
        <v>31</v>
      </c>
      <c r="AW43" s="195" t="e">
        <f aca="false">IF($A44="","",AL43*$E43)</f>
        <v>#NAME?</v>
      </c>
      <c r="AX43" s="195" t="e">
        <f aca="false">IF($A44="","",AM43*$E43)</f>
        <v>#N/A</v>
      </c>
      <c r="AY43" s="195" t="e">
        <f aca="false">IF($A44="","",AN43*$E43)</f>
        <v>#N/A</v>
      </c>
      <c r="BA43" s="195" t="n">
        <f aca="false">IF($A44="","",F43*Summary!$Q$7)</f>
        <v>0</v>
      </c>
      <c r="BC43" s="179" t="e">
        <f aca="false">IF(A44="","",AM43*F43)</f>
        <v>#N/A</v>
      </c>
    </row>
    <row r="44" customFormat="false" ht="12.75" hidden="false" customHeight="false" outlineLevel="0" collapsed="false">
      <c r="A44" s="196" t="n">
        <f aca="false">IF(A43&lt;mthend,EDATE(A43,1),"")</f>
        <v>38078</v>
      </c>
      <c r="B44" s="197" t="n">
        <f aca="false">IF(A44&lt;mthend,B43,"")</f>
        <v>40000</v>
      </c>
      <c r="C44" s="215"/>
      <c r="D44" s="197" t="n">
        <f aca="false">IF(A45&lt;&gt;"",B44+C44,"")</f>
        <v>40000</v>
      </c>
      <c r="E44" s="199" t="n">
        <f aca="false">IF(A45="","",IF(AND(AT44=1,$H$3=1),D44*AO44,IF($H$3=2,D44,"N/A")))</f>
        <v>1200000</v>
      </c>
      <c r="F44" s="199" t="n">
        <f aca="false">IF(A45="","",E44*AS44)</f>
        <v>9766871.59182702</v>
      </c>
      <c r="G44" s="200" t="e">
        <f aca="false">IF($A45="","",VLOOKUP($A44,Table,MATCH(G$4,Curves,0)))</f>
        <v>#N/A</v>
      </c>
      <c r="H44" s="201" t="e">
        <f aca="false">IF(A45="","",G44)</f>
        <v>#N/A</v>
      </c>
      <c r="I44" s="202"/>
      <c r="J44" s="200" t="e">
        <f aca="false">IF($A45="","",VLOOKUP($A44,Table,MATCH(J$4,Curves,0)))</f>
        <v>#N/A</v>
      </c>
      <c r="K44" s="201" t="e">
        <f aca="false">IF(A45="","",J44)</f>
        <v>#N/A</v>
      </c>
      <c r="L44" s="200" t="e">
        <f aca="false">IF($A45="","",VLOOKUP($A44,Table,MATCH(L$4,Curves,0)))</f>
        <v>#N/A</v>
      </c>
      <c r="M44" s="201" t="e">
        <f aca="false">IF(A45="","",L44)</f>
        <v>#N/A</v>
      </c>
      <c r="N44" s="203"/>
      <c r="O44" s="200" t="e">
        <f aca="false">IF(A45="","",L44+J44+G44)</f>
        <v>#N/A</v>
      </c>
      <c r="P44" s="200" t="e">
        <f aca="false">IF(A45="","",M44+K44+H44)</f>
        <v>#N/A</v>
      </c>
      <c r="Q44" s="204"/>
      <c r="R44" s="200" t="e">
        <f aca="false">IF($A45="","",VLOOKUP($A44,Table,MATCH(R$4,Curves,0)))</f>
        <v>#N/A</v>
      </c>
      <c r="S44" s="201" t="e">
        <f aca="false">IF(A45="","",R44)</f>
        <v>#N/A</v>
      </c>
      <c r="T44" s="200" t="e">
        <f aca="false">IF($A45="","",VLOOKUP($A44,Table,MATCH(T$4,Curves,0)))</f>
        <v>#N/A</v>
      </c>
      <c r="U44" s="201" t="e">
        <f aca="false">IF(A45="","",T44)</f>
        <v>#N/A</v>
      </c>
      <c r="V44" s="183" t="e">
        <f aca="false">IF($A45="","",IF(AND(MONTH(A44)&gt;3,MONTH(A44)&lt;11),(T44+R44+G44)*Summary!$T$7/(1-Summary!$T$7),(T44+R44+G44)*Summary!$U$7/(1-Summary!$U$7)))</f>
        <v>#N/A</v>
      </c>
      <c r="W44" s="200" t="e">
        <f aca="false">IF($A45="","",(T44+R44+G44+V44))</f>
        <v>#N/A</v>
      </c>
      <c r="X44" s="200" t="e">
        <f aca="false">IF($A45="","",(U44+S44+H44+V44))</f>
        <v>#N/A</v>
      </c>
      <c r="Y44" s="202"/>
      <c r="Z44" s="185" t="e">
        <f aca="false">IF($A45="","",VLOOKUP($A44,Table,MATCH(Z$4,Curves,0)))</f>
        <v>#N/A</v>
      </c>
      <c r="AA44" s="185" t="e">
        <f aca="false">IF($A45="","",VLOOKUP($A44,Table,MATCH(AA$4,Curves,0)))</f>
        <v>#N/A</v>
      </c>
      <c r="AB44" s="185" t="e">
        <f aca="false">SQRT((AA44^2*(A44-$D$3)+Z44^2*(DAY(EOMONTH(A44,0))/2))/AK44)</f>
        <v>#N/A</v>
      </c>
      <c r="AC44" s="185" t="e">
        <f aca="false">IF($A45="","",VLOOKUP($A44,Table,MATCH(AC$4,Curves,0)))</f>
        <v>#N/A</v>
      </c>
      <c r="AD44" s="185" t="e">
        <f aca="false">IF($A45="","",VLOOKUP($A44,Table,MATCH(AD$4,Curves,0)))</f>
        <v>#N/A</v>
      </c>
      <c r="AE44" s="185" t="e">
        <f aca="false">SQRT((AD44^2*(A44-$D$3)+AC44^2*(DAY(EOMONTH(A44,0))/2))/AK44)</f>
        <v>#N/A</v>
      </c>
      <c r="AF44" s="206" t="e">
        <f aca="false">((Summary!$N$7*(AA44*AD44)*(A44-$D$3))+(Summary!$M$7*Z44*AC44*(DAY(EOMONTH(A44,0))/2)))/(AK44*AB44*AE44)</f>
        <v>#N/A</v>
      </c>
      <c r="AG44" s="207" t="n">
        <f aca="false">IF($A45="","",Summary!$Q$7)</f>
        <v>0</v>
      </c>
      <c r="AH44" s="207" t="n">
        <f aca="false">IF($A45="","",IF(Summary!$R$7="Y",(VLOOKUP($A44,Summary!$AD$6:$AF$9,3)+'Escalating commodity'!C57),'Escalating commodity'!C57))</f>
        <v>0.0224952</v>
      </c>
      <c r="AI44" s="207" t="n">
        <f aca="false">IF($A45="","",AH44)</f>
        <v>0.0224952</v>
      </c>
      <c r="AJ44" s="208" t="n">
        <f aca="false">A44+DAY(EOMONTH(A44,0))/2-1</f>
        <v>38092</v>
      </c>
      <c r="AK44" s="209" t="n">
        <f aca="false">IF($A45="","",$A44-$E$1)</f>
        <v>-7848</v>
      </c>
      <c r="AL44" s="182" t="e">
        <f aca="false">IF($A45="","",SPRDOPT(P44,X44,AI44,0,AB44,AE44,AF44,AK44,$AJ$2,0))</f>
        <v>#NAME?</v>
      </c>
      <c r="AM44" s="210" t="e">
        <f aca="false">IF($A45="","",MAX(0,O44-W44-AI44))</f>
        <v>#N/A</v>
      </c>
      <c r="AN44" s="211" t="e">
        <f aca="false">IF($A45="","",AL44-AM44)</f>
        <v>#N/A</v>
      </c>
      <c r="AO44" s="137" t="n">
        <f aca="false">IF(A45="","",A45-A44)</f>
        <v>30</v>
      </c>
      <c r="AP44" s="212" t="n">
        <f aca="false">IF(A45="","",CHOOSE(F$3,A45+24,A44))</f>
        <v>38078</v>
      </c>
      <c r="AQ44" s="209" t="n">
        <f aca="false">IF(A45="","",AP44-$E$1)</f>
        <v>-7848</v>
      </c>
      <c r="AR44" s="185" t="n">
        <f aca="false">IF(Summary!$H$2=1,VLOOKUP('ANR OK vs ML7'!A44,Curves!$C$17:$AR$273,MATCH('ANR OK vs ML7'!$AR$4,Curves!$C$8:$AQ$8,0)),0.1)</f>
        <v>0.1</v>
      </c>
      <c r="AS44" s="213" t="n">
        <f aca="false">IF(A45="","",1/(1+CHOOSE(F$3,(AR45+($I$3/10000))/2,(AR44+($I$3/10000))/2))^(2*AQ44/365.25))</f>
        <v>8.13905965985585</v>
      </c>
      <c r="AT44" s="137" t="n">
        <f aca="false">IF(A45="","",IF(AND(mthbeg&lt;=A44,mthend&gt;=A44),1,0))</f>
        <v>1</v>
      </c>
      <c r="AU44" s="137" t="n">
        <f aca="false">IF(A45="","",AO44*AT44)</f>
        <v>30</v>
      </c>
      <c r="AW44" s="195" t="e">
        <f aca="false">IF($A45="","",AL44*$E44)</f>
        <v>#NAME?</v>
      </c>
      <c r="AX44" s="195" t="e">
        <f aca="false">IF($A45="","",AM44*$E44)</f>
        <v>#N/A</v>
      </c>
      <c r="AY44" s="195" t="e">
        <f aca="false">IF($A45="","",AN44*$E44)</f>
        <v>#N/A</v>
      </c>
      <c r="BA44" s="195" t="n">
        <f aca="false">IF($A45="","",F44*Summary!$Q$7)</f>
        <v>0</v>
      </c>
      <c r="BC44" s="179" t="e">
        <f aca="false">IF(A45="","",AM44*F44)</f>
        <v>#N/A</v>
      </c>
    </row>
    <row r="45" customFormat="false" ht="12.75" hidden="false" customHeight="false" outlineLevel="0" collapsed="false">
      <c r="A45" s="196" t="n">
        <f aca="false">IF(A44&lt;mthend,EDATE(A44,1),"")</f>
        <v>38108</v>
      </c>
      <c r="B45" s="197" t="n">
        <f aca="false">IF(A45&lt;mthend,B44,"")</f>
        <v>40000</v>
      </c>
      <c r="C45" s="215"/>
      <c r="D45" s="197" t="n">
        <f aca="false">IF(A46&lt;&gt;"",B45+C45,"")</f>
        <v>40000</v>
      </c>
      <c r="E45" s="199" t="n">
        <f aca="false">IF(A46="","",IF(AND(AT45=1,$H$3=1),D45*AO45,IF($H$3=2,D45,"N/A")))</f>
        <v>1240000</v>
      </c>
      <c r="F45" s="199" t="n">
        <f aca="false">IF(A46="","",E45*AS45)</f>
        <v>10011868.314272</v>
      </c>
      <c r="G45" s="200" t="e">
        <f aca="false">IF($A46="","",VLOOKUP($A45,Table,MATCH(G$4,Curves,0)))</f>
        <v>#N/A</v>
      </c>
      <c r="H45" s="201" t="e">
        <f aca="false">IF(A46="","",G45)</f>
        <v>#N/A</v>
      </c>
      <c r="I45" s="202"/>
      <c r="J45" s="200" t="e">
        <f aca="false">IF($A46="","",VLOOKUP($A45,Table,MATCH(J$4,Curves,0)))</f>
        <v>#N/A</v>
      </c>
      <c r="K45" s="201" t="e">
        <f aca="false">IF(A46="","",J45)</f>
        <v>#N/A</v>
      </c>
      <c r="L45" s="200" t="e">
        <f aca="false">IF($A46="","",VLOOKUP($A45,Table,MATCH(L$4,Curves,0)))</f>
        <v>#N/A</v>
      </c>
      <c r="M45" s="201" t="e">
        <f aca="false">IF(A46="","",L45)</f>
        <v>#N/A</v>
      </c>
      <c r="N45" s="203"/>
      <c r="O45" s="200" t="e">
        <f aca="false">IF(A46="","",L45+J45+G45)</f>
        <v>#N/A</v>
      </c>
      <c r="P45" s="200" t="e">
        <f aca="false">IF(A46="","",M45+K45+H45)</f>
        <v>#N/A</v>
      </c>
      <c r="Q45" s="204"/>
      <c r="R45" s="200" t="e">
        <f aca="false">IF($A46="","",VLOOKUP($A45,Table,MATCH(R$4,Curves,0)))</f>
        <v>#N/A</v>
      </c>
      <c r="S45" s="201" t="e">
        <f aca="false">IF(A46="","",R45)</f>
        <v>#N/A</v>
      </c>
      <c r="T45" s="200" t="e">
        <f aca="false">IF($A46="","",VLOOKUP($A45,Table,MATCH(T$4,Curves,0)))</f>
        <v>#N/A</v>
      </c>
      <c r="U45" s="201" t="e">
        <f aca="false">IF(A46="","",T45)</f>
        <v>#N/A</v>
      </c>
      <c r="V45" s="183" t="e">
        <f aca="false">IF($A46="","",IF(AND(MONTH(A45)&gt;3,MONTH(A45)&lt;11),(T45+R45+G45)*Summary!$T$7/(1-Summary!$T$7),(T45+R45+G45)*Summary!$U$7/(1-Summary!$U$7)))</f>
        <v>#N/A</v>
      </c>
      <c r="W45" s="200" t="e">
        <f aca="false">IF($A46="","",(T45+R45+G45+V45))</f>
        <v>#N/A</v>
      </c>
      <c r="X45" s="200" t="e">
        <f aca="false">IF($A46="","",(U45+S45+H45+V45))</f>
        <v>#N/A</v>
      </c>
      <c r="Y45" s="202"/>
      <c r="Z45" s="185" t="e">
        <f aca="false">IF($A46="","",VLOOKUP($A45,Table,MATCH(Z$4,Curves,0)))</f>
        <v>#N/A</v>
      </c>
      <c r="AA45" s="185" t="e">
        <f aca="false">IF($A46="","",VLOOKUP($A45,Table,MATCH(AA$4,Curves,0)))</f>
        <v>#N/A</v>
      </c>
      <c r="AB45" s="185" t="e">
        <f aca="false">SQRT((AA45^2*(A45-$D$3)+Z45^2*(DAY(EOMONTH(A45,0))/2))/AK45)</f>
        <v>#N/A</v>
      </c>
      <c r="AC45" s="185" t="e">
        <f aca="false">IF($A46="","",VLOOKUP($A45,Table,MATCH(AC$4,Curves,0)))</f>
        <v>#N/A</v>
      </c>
      <c r="AD45" s="185" t="e">
        <f aca="false">IF($A46="","",VLOOKUP($A45,Table,MATCH(AD$4,Curves,0)))</f>
        <v>#N/A</v>
      </c>
      <c r="AE45" s="185" t="e">
        <f aca="false">SQRT((AD45^2*(A45-$D$3)+AC45^2*(DAY(EOMONTH(A45,0))/2))/AK45)</f>
        <v>#N/A</v>
      </c>
      <c r="AF45" s="206" t="e">
        <f aca="false">((Summary!$N$7*(AA45*AD45)*(A45-$D$3))+(Summary!$M$7*Z45*AC45*(DAY(EOMONTH(A45,0))/2)))/(AK45*AB45*AE45)</f>
        <v>#N/A</v>
      </c>
      <c r="AG45" s="207" t="n">
        <f aca="false">IF($A46="","",Summary!$Q$7)</f>
        <v>0</v>
      </c>
      <c r="AH45" s="207" t="n">
        <f aca="false">IF($A46="","",IF(Summary!$R$7="Y",(VLOOKUP($A45,Summary!$AD$6:$AF$9,3)+'Escalating commodity'!C58),'Escalating commodity'!C58))</f>
        <v>0.0224952</v>
      </c>
      <c r="AI45" s="207" t="n">
        <f aca="false">IF($A46="","",AH45)</f>
        <v>0.0224952</v>
      </c>
      <c r="AJ45" s="208" t="n">
        <f aca="false">A45+DAY(EOMONTH(A45,0))/2-1</f>
        <v>38122.5</v>
      </c>
      <c r="AK45" s="209" t="n">
        <f aca="false">IF($A46="","",$A45-$E$1)</f>
        <v>-7818</v>
      </c>
      <c r="AL45" s="182" t="e">
        <f aca="false">IF($A46="","",SPRDOPT(P45,X45,AI45,0,AB45,AE45,AF45,AK45,$AJ$2,0))</f>
        <v>#NAME?</v>
      </c>
      <c r="AM45" s="210" t="e">
        <f aca="false">IF($A46="","",MAX(0,O45-W45-AI45))</f>
        <v>#N/A</v>
      </c>
      <c r="AN45" s="211" t="e">
        <f aca="false">IF($A46="","",AL45-AM45)</f>
        <v>#N/A</v>
      </c>
      <c r="AO45" s="137" t="n">
        <f aca="false">IF(A46="","",A46-A45)</f>
        <v>31</v>
      </c>
      <c r="AP45" s="212" t="n">
        <f aca="false">IF(A46="","",CHOOSE(F$3,A46+24,A45))</f>
        <v>38108</v>
      </c>
      <c r="AQ45" s="209" t="n">
        <f aca="false">IF(A46="","",AP45-$E$1)</f>
        <v>-7818</v>
      </c>
      <c r="AR45" s="185" t="n">
        <f aca="false">IF(Summary!$H$2=1,VLOOKUP('ANR OK vs ML7'!A45,Curves!$C$17:$AR$273,MATCH('ANR OK vs ML7'!$AR$4,Curves!$C$8:$AQ$8,0)),0.1)</f>
        <v>0.1</v>
      </c>
      <c r="AS45" s="213" t="n">
        <f aca="false">IF(A46="","",1/(1+CHOOSE(F$3,(AR46+($I$3/10000))/2,(AR45+($I$3/10000))/2))^(2*AQ45/365.25))</f>
        <v>8.07408735021935</v>
      </c>
      <c r="AT45" s="137" t="n">
        <f aca="false">IF(A46="","",IF(AND(mthbeg&lt;=A45,mthend&gt;=A45),1,0))</f>
        <v>1</v>
      </c>
      <c r="AU45" s="137" t="n">
        <f aca="false">IF(A46="","",AO45*AT45)</f>
        <v>31</v>
      </c>
      <c r="AW45" s="195" t="e">
        <f aca="false">IF($A46="","",AL45*$E45)</f>
        <v>#NAME?</v>
      </c>
      <c r="AX45" s="195" t="e">
        <f aca="false">IF($A46="","",AM45*$E45)</f>
        <v>#N/A</v>
      </c>
      <c r="AY45" s="195" t="e">
        <f aca="false">IF($A46="","",AN45*$E45)</f>
        <v>#N/A</v>
      </c>
      <c r="BA45" s="195" t="n">
        <f aca="false">IF($A46="","",F45*Summary!$Q$7)</f>
        <v>0</v>
      </c>
      <c r="BC45" s="179" t="e">
        <f aca="false">IF(A46="","",AM45*F45)</f>
        <v>#N/A</v>
      </c>
    </row>
    <row r="46" customFormat="false" ht="12.75" hidden="false" customHeight="false" outlineLevel="0" collapsed="false">
      <c r="A46" s="196" t="n">
        <f aca="false">IF(A45&lt;mthend,EDATE(A45,1),"")</f>
        <v>38139</v>
      </c>
      <c r="B46" s="197" t="n">
        <f aca="false">IF(A46&lt;mthend,B45,"")</f>
        <v>40000</v>
      </c>
      <c r="C46" s="215"/>
      <c r="D46" s="197" t="n">
        <f aca="false">IF(A47&lt;&gt;"",B46+C46,"")</f>
        <v>40000</v>
      </c>
      <c r="E46" s="199" t="n">
        <f aca="false">IF(A47="","",IF(AND(AT46=1,$H$3=1),D46*AO46,IF($H$3=2,D46,"N/A")))</f>
        <v>1200000</v>
      </c>
      <c r="F46" s="199" t="n">
        <f aca="false">IF(A47="","",E46*AS46)</f>
        <v>9608992.95501211</v>
      </c>
      <c r="G46" s="200" t="e">
        <f aca="false">IF($A47="","",VLOOKUP($A46,Table,MATCH(G$4,Curves,0)))</f>
        <v>#N/A</v>
      </c>
      <c r="H46" s="201" t="e">
        <f aca="false">IF(A47="","",G46)</f>
        <v>#N/A</v>
      </c>
      <c r="I46" s="202"/>
      <c r="J46" s="200" t="e">
        <f aca="false">IF($A47="","",VLOOKUP($A46,Table,MATCH(J$4,Curves,0)))</f>
        <v>#N/A</v>
      </c>
      <c r="K46" s="201" t="e">
        <f aca="false">IF(A47="","",J46)</f>
        <v>#N/A</v>
      </c>
      <c r="L46" s="200" t="e">
        <f aca="false">IF($A47="","",VLOOKUP($A46,Table,MATCH(L$4,Curves,0)))</f>
        <v>#N/A</v>
      </c>
      <c r="M46" s="201" t="e">
        <f aca="false">IF(A47="","",L46)</f>
        <v>#N/A</v>
      </c>
      <c r="N46" s="203"/>
      <c r="O46" s="200" t="e">
        <f aca="false">IF(A47="","",L46+J46+G46)</f>
        <v>#N/A</v>
      </c>
      <c r="P46" s="200" t="e">
        <f aca="false">IF(A47="","",M46+K46+H46)</f>
        <v>#N/A</v>
      </c>
      <c r="Q46" s="204"/>
      <c r="R46" s="200" t="e">
        <f aca="false">IF($A47="","",VLOOKUP($A46,Table,MATCH(R$4,Curves,0)))</f>
        <v>#N/A</v>
      </c>
      <c r="S46" s="201" t="e">
        <f aca="false">IF(A47="","",R46)</f>
        <v>#N/A</v>
      </c>
      <c r="T46" s="200" t="e">
        <f aca="false">IF($A47="","",VLOOKUP($A46,Table,MATCH(T$4,Curves,0)))</f>
        <v>#N/A</v>
      </c>
      <c r="U46" s="201" t="e">
        <f aca="false">IF(A47="","",T46)</f>
        <v>#N/A</v>
      </c>
      <c r="V46" s="183" t="e">
        <f aca="false">IF($A47="","",IF(AND(MONTH(A46)&gt;3,MONTH(A46)&lt;11),(T46+R46+G46)*Summary!$T$7/(1-Summary!$T$7),(T46+R46+G46)*Summary!$U$7/(1-Summary!$U$7)))</f>
        <v>#N/A</v>
      </c>
      <c r="W46" s="200" t="e">
        <f aca="false">IF($A47="","",(T46+R46+G46+V46))</f>
        <v>#N/A</v>
      </c>
      <c r="X46" s="200" t="e">
        <f aca="false">IF($A47="","",(U46+S46+H46+V46))</f>
        <v>#N/A</v>
      </c>
      <c r="Y46" s="202"/>
      <c r="Z46" s="185" t="e">
        <f aca="false">IF($A47="","",VLOOKUP($A46,Table,MATCH(Z$4,Curves,0)))</f>
        <v>#N/A</v>
      </c>
      <c r="AA46" s="185" t="e">
        <f aca="false">IF($A47="","",VLOOKUP($A46,Table,MATCH(AA$4,Curves,0)))</f>
        <v>#N/A</v>
      </c>
      <c r="AB46" s="185" t="e">
        <f aca="false">SQRT((AA46^2*(A46-$D$3)+Z46^2*(DAY(EOMONTH(A46,0))/2))/AK46)</f>
        <v>#N/A</v>
      </c>
      <c r="AC46" s="185" t="e">
        <f aca="false">IF($A47="","",VLOOKUP($A46,Table,MATCH(AC$4,Curves,0)))</f>
        <v>#N/A</v>
      </c>
      <c r="AD46" s="185" t="e">
        <f aca="false">IF($A47="","",VLOOKUP($A46,Table,MATCH(AD$4,Curves,0)))</f>
        <v>#N/A</v>
      </c>
      <c r="AE46" s="185" t="e">
        <f aca="false">SQRT((AD46^2*(A46-$D$3)+AC46^2*(DAY(EOMONTH(A46,0))/2))/AK46)</f>
        <v>#N/A</v>
      </c>
      <c r="AF46" s="206" t="e">
        <f aca="false">((Summary!$N$7*(AA46*AD46)*(A46-$D$3))+(Summary!$M$7*Z46*AC46*(DAY(EOMONTH(A46,0))/2)))/(AK46*AB46*AE46)</f>
        <v>#N/A</v>
      </c>
      <c r="AG46" s="207" t="n">
        <f aca="false">IF($A47="","",Summary!$Q$7)</f>
        <v>0</v>
      </c>
      <c r="AH46" s="207" t="n">
        <f aca="false">IF($A47="","",IF(Summary!$R$7="Y",(VLOOKUP($A46,Summary!$AD$6:$AF$9,3)+'Escalating commodity'!C59),'Escalating commodity'!C59))</f>
        <v>0.0224952</v>
      </c>
      <c r="AI46" s="207" t="n">
        <f aca="false">IF($A47="","",AH46)</f>
        <v>0.0224952</v>
      </c>
      <c r="AJ46" s="208" t="n">
        <f aca="false">A46+DAY(EOMONTH(A46,0))/2-1</f>
        <v>38153</v>
      </c>
      <c r="AK46" s="209" t="n">
        <f aca="false">IF($A47="","",$A46-$E$1)</f>
        <v>-7787</v>
      </c>
      <c r="AL46" s="182" t="e">
        <f aca="false">IF($A47="","",SPRDOPT(P46,X46,AI46,0,AB46,AE46,AF46,AK46,$AJ$2,0))</f>
        <v>#NAME?</v>
      </c>
      <c r="AM46" s="210" t="e">
        <f aca="false">IF($A47="","",MAX(0,O46-W46-AI46))</f>
        <v>#N/A</v>
      </c>
      <c r="AN46" s="211" t="e">
        <f aca="false">IF($A47="","",AL46-AM46)</f>
        <v>#N/A</v>
      </c>
      <c r="AO46" s="137" t="n">
        <f aca="false">IF(A47="","",A47-A46)</f>
        <v>30</v>
      </c>
      <c r="AP46" s="212" t="n">
        <f aca="false">IF(A47="","",CHOOSE(F$3,A47+24,A46))</f>
        <v>38139</v>
      </c>
      <c r="AQ46" s="209" t="n">
        <f aca="false">IF(A47="","",AP46-$E$1)</f>
        <v>-7787</v>
      </c>
      <c r="AR46" s="185" t="n">
        <f aca="false">IF(Summary!$H$2=1,VLOOKUP('ANR OK vs ML7'!A46,Curves!$C$17:$AR$273,MATCH('ANR OK vs ML7'!$AR$4,Curves!$C$8:$AQ$8,0)),0.1)</f>
        <v>0.1</v>
      </c>
      <c r="AS46" s="213" t="n">
        <f aca="false">IF(A47="","",1/(1+CHOOSE(F$3,(AR47+($I$3/10000))/2,(AR46+($I$3/10000))/2))^(2*AQ46/365.25))</f>
        <v>8.00749412917676</v>
      </c>
      <c r="AT46" s="137" t="n">
        <f aca="false">IF(A47="","",IF(AND(mthbeg&lt;=A46,mthend&gt;=A46),1,0))</f>
        <v>1</v>
      </c>
      <c r="AU46" s="137" t="n">
        <f aca="false">IF(A47="","",AO46*AT46)</f>
        <v>30</v>
      </c>
      <c r="AW46" s="195" t="e">
        <f aca="false">IF($A47="","",AL46*$E46)</f>
        <v>#NAME?</v>
      </c>
      <c r="AX46" s="195" t="e">
        <f aca="false">IF($A47="","",AM46*$E46)</f>
        <v>#N/A</v>
      </c>
      <c r="AY46" s="195" t="e">
        <f aca="false">IF($A47="","",AN46*$E46)</f>
        <v>#N/A</v>
      </c>
      <c r="BA46" s="195" t="n">
        <f aca="false">IF($A47="","",F46*Summary!$Q$7)</f>
        <v>0</v>
      </c>
      <c r="BC46" s="179" t="e">
        <f aca="false">IF(A47="","",AM46*F46)</f>
        <v>#N/A</v>
      </c>
    </row>
    <row r="47" customFormat="false" ht="12.75" hidden="false" customHeight="false" outlineLevel="0" collapsed="false">
      <c r="A47" s="196" t="n">
        <f aca="false">IF(A46&lt;mthend,EDATE(A46,1),"")</f>
        <v>38169</v>
      </c>
      <c r="B47" s="197" t="n">
        <f aca="false">IF(A47&lt;mthend,B46,"")</f>
        <v>40000</v>
      </c>
      <c r="C47" s="215"/>
      <c r="D47" s="197" t="n">
        <f aca="false">IF(A48&lt;&gt;"",B47+C47,"")</f>
        <v>40000</v>
      </c>
      <c r="E47" s="199" t="n">
        <f aca="false">IF(A48="","",IF(AND(AT47=1,$H$3=1),D47*AO47,IF($H$3=2,D47,"N/A")))</f>
        <v>1240000</v>
      </c>
      <c r="F47" s="199" t="n">
        <f aca="false">IF(A48="","",E47*AS47)</f>
        <v>9850029.37674052</v>
      </c>
      <c r="G47" s="200" t="e">
        <f aca="false">IF($A48="","",VLOOKUP($A47,Table,MATCH(G$4,Curves,0)))</f>
        <v>#N/A</v>
      </c>
      <c r="H47" s="201" t="e">
        <f aca="false">IF(A48="","",G47)</f>
        <v>#N/A</v>
      </c>
      <c r="I47" s="202"/>
      <c r="J47" s="200" t="e">
        <f aca="false">IF($A48="","",VLOOKUP($A47,Table,MATCH(J$4,Curves,0)))</f>
        <v>#N/A</v>
      </c>
      <c r="K47" s="201" t="e">
        <f aca="false">IF(A48="","",J47)</f>
        <v>#N/A</v>
      </c>
      <c r="L47" s="200" t="e">
        <f aca="false">IF($A48="","",VLOOKUP($A47,Table,MATCH(L$4,Curves,0)))</f>
        <v>#N/A</v>
      </c>
      <c r="M47" s="201" t="e">
        <f aca="false">IF(A48="","",L47)</f>
        <v>#N/A</v>
      </c>
      <c r="N47" s="203"/>
      <c r="O47" s="200" t="e">
        <f aca="false">IF(A48="","",L47+J47+G47)</f>
        <v>#N/A</v>
      </c>
      <c r="P47" s="200" t="e">
        <f aca="false">IF(A48="","",M47+K47+H47)</f>
        <v>#N/A</v>
      </c>
      <c r="Q47" s="204"/>
      <c r="R47" s="200" t="e">
        <f aca="false">IF($A48="","",VLOOKUP($A47,Table,MATCH(R$4,Curves,0)))</f>
        <v>#N/A</v>
      </c>
      <c r="S47" s="201" t="e">
        <f aca="false">IF(A48="","",R47)</f>
        <v>#N/A</v>
      </c>
      <c r="T47" s="200" t="e">
        <f aca="false">IF($A48="","",VLOOKUP($A47,Table,MATCH(T$4,Curves,0)))</f>
        <v>#N/A</v>
      </c>
      <c r="U47" s="201" t="e">
        <f aca="false">IF(A48="","",T47)</f>
        <v>#N/A</v>
      </c>
      <c r="V47" s="183" t="e">
        <f aca="false">IF($A48="","",IF(AND(MONTH(A47)&gt;3,MONTH(A47)&lt;11),(T47+R47+G47)*Summary!$T$7/(1-Summary!$T$7),(T47+R47+G47)*Summary!$U$7/(1-Summary!$U$7)))</f>
        <v>#N/A</v>
      </c>
      <c r="W47" s="200" t="e">
        <f aca="false">IF($A48="","",(T47+R47+G47+V47))</f>
        <v>#N/A</v>
      </c>
      <c r="X47" s="200" t="e">
        <f aca="false">IF($A48="","",(U47+S47+H47+V47))</f>
        <v>#N/A</v>
      </c>
      <c r="Y47" s="202"/>
      <c r="Z47" s="185" t="e">
        <f aca="false">IF($A48="","",VLOOKUP($A47,Table,MATCH(Z$4,Curves,0)))</f>
        <v>#N/A</v>
      </c>
      <c r="AA47" s="185" t="e">
        <f aca="false">IF($A48="","",VLOOKUP($A47,Table,MATCH(AA$4,Curves,0)))</f>
        <v>#N/A</v>
      </c>
      <c r="AB47" s="185" t="e">
        <f aca="false">SQRT((AA47^2*(A47-$D$3)+Z47^2*(DAY(EOMONTH(A47,0))/2))/AK47)</f>
        <v>#N/A</v>
      </c>
      <c r="AC47" s="185" t="e">
        <f aca="false">IF($A48="","",VLOOKUP($A47,Table,MATCH(AC$4,Curves,0)))</f>
        <v>#N/A</v>
      </c>
      <c r="AD47" s="185" t="e">
        <f aca="false">IF($A48="","",VLOOKUP($A47,Table,MATCH(AD$4,Curves,0)))</f>
        <v>#N/A</v>
      </c>
      <c r="AE47" s="185" t="e">
        <f aca="false">SQRT((AD47^2*(A47-$D$3)+AC47^2*(DAY(EOMONTH(A47,0))/2))/AK47)</f>
        <v>#N/A</v>
      </c>
      <c r="AF47" s="206" t="e">
        <f aca="false">((Summary!$N$7*(AA47*AD47)*(A47-$D$3))+(Summary!$M$7*Z47*AC47*(DAY(EOMONTH(A47,0))/2)))/(AK47*AB47*AE47)</f>
        <v>#N/A</v>
      </c>
      <c r="AG47" s="207" t="n">
        <f aca="false">IF($A48="","",Summary!$Q$7)</f>
        <v>0</v>
      </c>
      <c r="AH47" s="207" t="n">
        <f aca="false">IF($A48="","",IF(Summary!$R$7="Y",(VLOOKUP($A47,Summary!$AD$6:$AF$9,3)+'Escalating commodity'!C60),'Escalating commodity'!C60))</f>
        <v>0.0224952</v>
      </c>
      <c r="AI47" s="207" t="n">
        <f aca="false">IF($A48="","",AH47)</f>
        <v>0.0224952</v>
      </c>
      <c r="AJ47" s="208" t="n">
        <f aca="false">A47+DAY(EOMONTH(A47,0))/2-1</f>
        <v>38183.5</v>
      </c>
      <c r="AK47" s="209" t="n">
        <f aca="false">IF($A48="","",$A47-$E$1)</f>
        <v>-7757</v>
      </c>
      <c r="AL47" s="182" t="e">
        <f aca="false">IF($A48="","",SPRDOPT(P47,X47,AI47,0,AB47,AE47,AF47,AK47,$AJ$2,0))</f>
        <v>#NAME?</v>
      </c>
      <c r="AM47" s="210" t="e">
        <f aca="false">IF($A48="","",MAX(0,O47-W47-AI47))</f>
        <v>#N/A</v>
      </c>
      <c r="AN47" s="211" t="e">
        <f aca="false">IF($A48="","",AL47-AM47)</f>
        <v>#N/A</v>
      </c>
      <c r="AO47" s="137" t="n">
        <f aca="false">IF(A48="","",A48-A47)</f>
        <v>31</v>
      </c>
      <c r="AP47" s="212" t="n">
        <f aca="false">IF(A48="","",CHOOSE(F$3,A48+24,A47))</f>
        <v>38169</v>
      </c>
      <c r="AQ47" s="209" t="n">
        <f aca="false">IF(A48="","",AP47-$E$1)</f>
        <v>-7757</v>
      </c>
      <c r="AR47" s="185" t="n">
        <f aca="false">IF(Summary!$H$2=1,VLOOKUP('ANR OK vs ML7'!A47,Curves!$C$17:$AR$273,MATCH('ANR OK vs ML7'!$AR$4,Curves!$C$8:$AQ$8,0)),0.1)</f>
        <v>0.1</v>
      </c>
      <c r="AS47" s="213" t="n">
        <f aca="false">IF(A48="","",1/(1+CHOOSE(F$3,(AR48+($I$3/10000))/2,(AR47+($I$3/10000))/2))^(2*AQ47/365.25))</f>
        <v>7.94357207801655</v>
      </c>
      <c r="AT47" s="137" t="n">
        <f aca="false">IF(A48="","",IF(AND(mthbeg&lt;=A47,mthend&gt;=A47),1,0))</f>
        <v>1</v>
      </c>
      <c r="AU47" s="137" t="n">
        <f aca="false">IF(A48="","",AO47*AT47)</f>
        <v>31</v>
      </c>
      <c r="AW47" s="195" t="e">
        <f aca="false">IF($A48="","",AL47*$E47)</f>
        <v>#NAME?</v>
      </c>
      <c r="AX47" s="195" t="e">
        <f aca="false">IF($A48="","",AM47*$E47)</f>
        <v>#N/A</v>
      </c>
      <c r="AY47" s="195" t="e">
        <f aca="false">IF($A48="","",AN47*$E47)</f>
        <v>#N/A</v>
      </c>
      <c r="BA47" s="195" t="n">
        <f aca="false">IF($A48="","",F47*Summary!$Q$7)</f>
        <v>0</v>
      </c>
      <c r="BC47" s="179" t="e">
        <f aca="false">IF(A48="","",AM47*F47)</f>
        <v>#N/A</v>
      </c>
    </row>
    <row r="48" customFormat="false" ht="12.75" hidden="false" customHeight="false" outlineLevel="0" collapsed="false">
      <c r="A48" s="196" t="n">
        <f aca="false">IF(A47&lt;mthend,EDATE(A47,1),"")</f>
        <v>38200</v>
      </c>
      <c r="B48" s="197" t="n">
        <f aca="false">IF(A48&lt;mthend,B47,"")</f>
        <v>40000</v>
      </c>
      <c r="C48" s="215"/>
      <c r="D48" s="197" t="n">
        <f aca="false">IF(A49&lt;&gt;"",B48+C48,"")</f>
        <v>40000</v>
      </c>
      <c r="E48" s="199" t="n">
        <f aca="false">IF(A49="","",IF(AND(AT48=1,$H$3=1),D48*AO48,IF($H$3=2,D48,"N/A")))</f>
        <v>1240000</v>
      </c>
      <c r="F48" s="199" t="n">
        <f aca="false">IF(A49="","",E48*AS48)</f>
        <v>9768788.59309411</v>
      </c>
      <c r="G48" s="200" t="e">
        <f aca="false">IF($A49="","",VLOOKUP($A48,Table,MATCH(G$4,Curves,0)))</f>
        <v>#N/A</v>
      </c>
      <c r="H48" s="201" t="e">
        <f aca="false">IF(A49="","",G48)</f>
        <v>#N/A</v>
      </c>
      <c r="I48" s="202"/>
      <c r="J48" s="200" t="e">
        <f aca="false">IF($A49="","",VLOOKUP($A48,Table,MATCH(J$4,Curves,0)))</f>
        <v>#N/A</v>
      </c>
      <c r="K48" s="201" t="e">
        <f aca="false">IF(A49="","",J48)</f>
        <v>#N/A</v>
      </c>
      <c r="L48" s="200" t="e">
        <f aca="false">IF($A49="","",VLOOKUP($A48,Table,MATCH(L$4,Curves,0)))</f>
        <v>#N/A</v>
      </c>
      <c r="M48" s="201" t="e">
        <f aca="false">IF(A49="","",L48)</f>
        <v>#N/A</v>
      </c>
      <c r="N48" s="203"/>
      <c r="O48" s="200" t="e">
        <f aca="false">IF(A49="","",L48+J48+G48)</f>
        <v>#N/A</v>
      </c>
      <c r="P48" s="200" t="e">
        <f aca="false">IF(A49="","",M48+K48+H48)</f>
        <v>#N/A</v>
      </c>
      <c r="Q48" s="204"/>
      <c r="R48" s="200" t="e">
        <f aca="false">IF($A49="","",VLOOKUP($A48,Table,MATCH(R$4,Curves,0)))</f>
        <v>#N/A</v>
      </c>
      <c r="S48" s="201" t="e">
        <f aca="false">IF(A49="","",R48)</f>
        <v>#N/A</v>
      </c>
      <c r="T48" s="200" t="e">
        <f aca="false">IF($A49="","",VLOOKUP($A48,Table,MATCH(T$4,Curves,0)))</f>
        <v>#N/A</v>
      </c>
      <c r="U48" s="201" t="e">
        <f aca="false">IF(A49="","",T48)</f>
        <v>#N/A</v>
      </c>
      <c r="V48" s="183" t="e">
        <f aca="false">IF($A49="","",IF(AND(MONTH(A48)&gt;3,MONTH(A48)&lt;11),(T48+R48+G48)*Summary!$T$7/(1-Summary!$T$7),(T48+R48+G48)*Summary!$U$7/(1-Summary!$U$7)))</f>
        <v>#N/A</v>
      </c>
      <c r="W48" s="200" t="e">
        <f aca="false">IF($A49="","",(T48+R48+G48+V48))</f>
        <v>#N/A</v>
      </c>
      <c r="X48" s="200" t="e">
        <f aca="false">IF($A49="","",(U48+S48+H48+V48))</f>
        <v>#N/A</v>
      </c>
      <c r="Y48" s="202"/>
      <c r="Z48" s="185" t="e">
        <f aca="false">IF($A49="","",VLOOKUP($A48,Table,MATCH(Z$4,Curves,0)))</f>
        <v>#N/A</v>
      </c>
      <c r="AA48" s="185" t="e">
        <f aca="false">IF($A49="","",VLOOKUP($A48,Table,MATCH(AA$4,Curves,0)))</f>
        <v>#N/A</v>
      </c>
      <c r="AB48" s="185" t="e">
        <f aca="false">SQRT((AA48^2*(A48-$D$3)+Z48^2*(DAY(EOMONTH(A48,0))/2))/AK48)</f>
        <v>#N/A</v>
      </c>
      <c r="AC48" s="185" t="e">
        <f aca="false">IF($A49="","",VLOOKUP($A48,Table,MATCH(AC$4,Curves,0)))</f>
        <v>#N/A</v>
      </c>
      <c r="AD48" s="185" t="e">
        <f aca="false">IF($A49="","",VLOOKUP($A48,Table,MATCH(AD$4,Curves,0)))</f>
        <v>#N/A</v>
      </c>
      <c r="AE48" s="185" t="e">
        <f aca="false">SQRT((AD48^2*(A48-$D$3)+AC48^2*(DAY(EOMONTH(A48,0))/2))/AK48)</f>
        <v>#N/A</v>
      </c>
      <c r="AF48" s="206" t="e">
        <f aca="false">((Summary!$N$7*(AA48*AD48)*(A48-$D$3))+(Summary!$M$7*Z48*AC48*(DAY(EOMONTH(A48,0))/2)))/(AK48*AB48*AE48)</f>
        <v>#N/A</v>
      </c>
      <c r="AG48" s="207" t="n">
        <f aca="false">IF($A49="","",Summary!$Q$7)</f>
        <v>0</v>
      </c>
      <c r="AH48" s="207" t="n">
        <f aca="false">IF($A49="","",IF(Summary!$R$7="Y",(VLOOKUP($A48,Summary!$AD$6:$AF$9,3)+'Escalating commodity'!C61),'Escalating commodity'!C61))</f>
        <v>0.0224952</v>
      </c>
      <c r="AI48" s="207" t="n">
        <f aca="false">IF($A49="","",AH48)</f>
        <v>0.0224952</v>
      </c>
      <c r="AJ48" s="208" t="n">
        <f aca="false">A48+DAY(EOMONTH(A48,0))/2-1</f>
        <v>38214.5</v>
      </c>
      <c r="AK48" s="209" t="n">
        <f aca="false">IF($A49="","",$A48-$E$1)</f>
        <v>-7726</v>
      </c>
      <c r="AL48" s="182" t="e">
        <f aca="false">IF($A49="","",SPRDOPT(P48,X48,AI48,0,AB48,AE48,AF48,AK48,$AJ$2,0))</f>
        <v>#NAME?</v>
      </c>
      <c r="AM48" s="210" t="e">
        <f aca="false">IF($A49="","",MAX(0,O48-W48-AI48))</f>
        <v>#N/A</v>
      </c>
      <c r="AN48" s="211" t="e">
        <f aca="false">IF($A49="","",AL48-AM48)</f>
        <v>#N/A</v>
      </c>
      <c r="AO48" s="137" t="n">
        <f aca="false">IF(A49="","",A49-A48)</f>
        <v>31</v>
      </c>
      <c r="AP48" s="212" t="n">
        <f aca="false">IF(A49="","",CHOOSE(F$3,A49+24,A48))</f>
        <v>38200</v>
      </c>
      <c r="AQ48" s="209" t="n">
        <f aca="false">IF(A49="","",AP48-$E$1)</f>
        <v>-7726</v>
      </c>
      <c r="AR48" s="185" t="n">
        <f aca="false">IF(Summary!$H$2=1,VLOOKUP('ANR OK vs ML7'!A48,Curves!$C$17:$AR$273,MATCH('ANR OK vs ML7'!$AR$4,Curves!$C$8:$AQ$8,0)),0.1)</f>
        <v>0.1</v>
      </c>
      <c r="AS48" s="213" t="n">
        <f aca="false">IF(A49="","",1/(1+CHOOSE(F$3,(AR49+($I$3/10000))/2,(AR48+($I$3/10000))/2))^(2*AQ48/365.25))</f>
        <v>7.87805531701138</v>
      </c>
      <c r="AT48" s="137" t="n">
        <f aca="false">IF(A49="","",IF(AND(mthbeg&lt;=A48,mthend&gt;=A48),1,0))</f>
        <v>1</v>
      </c>
      <c r="AU48" s="137" t="n">
        <f aca="false">IF(A49="","",AO48*AT48)</f>
        <v>31</v>
      </c>
      <c r="AW48" s="195" t="e">
        <f aca="false">IF($A49="","",AL48*$E48)</f>
        <v>#NAME?</v>
      </c>
      <c r="AX48" s="195" t="e">
        <f aca="false">IF($A49="","",AM48*$E48)</f>
        <v>#N/A</v>
      </c>
      <c r="AY48" s="195" t="e">
        <f aca="false">IF($A49="","",AN48*$E48)</f>
        <v>#N/A</v>
      </c>
      <c r="BA48" s="195" t="n">
        <f aca="false">IF($A49="","",F48*Summary!$Q$7)</f>
        <v>0</v>
      </c>
      <c r="BC48" s="179" t="e">
        <f aca="false">IF(A49="","",AM48*F48)</f>
        <v>#N/A</v>
      </c>
    </row>
    <row r="49" customFormat="false" ht="12.75" hidden="false" customHeight="false" outlineLevel="0" collapsed="false">
      <c r="A49" s="196" t="n">
        <f aca="false">IF(A48&lt;mthend,EDATE(A48,1),"")</f>
        <v>38231</v>
      </c>
      <c r="B49" s="197" t="n">
        <f aca="false">IF(A49&lt;mthend,B48,"")</f>
        <v>40000</v>
      </c>
      <c r="C49" s="215"/>
      <c r="D49" s="197" t="n">
        <f aca="false">IF(A50&lt;&gt;"",B49+C49,"")</f>
        <v>40000</v>
      </c>
      <c r="E49" s="199" t="n">
        <f aca="false">IF(A50="","",IF(AND(AT49=1,$H$3=1),D49*AO49,IF($H$3=2,D49,"N/A")))</f>
        <v>1200000</v>
      </c>
      <c r="F49" s="199" t="n">
        <f aca="false">IF(A50="","",E49*AS49)</f>
        <v>9375694.70787326</v>
      </c>
      <c r="G49" s="200" t="e">
        <f aca="false">IF($A50="","",VLOOKUP($A49,Table,MATCH(G$4,Curves,0)))</f>
        <v>#N/A</v>
      </c>
      <c r="H49" s="201" t="e">
        <f aca="false">IF(A50="","",G49)</f>
        <v>#N/A</v>
      </c>
      <c r="I49" s="202"/>
      <c r="J49" s="200" t="e">
        <f aca="false">IF($A50="","",VLOOKUP($A49,Table,MATCH(J$4,Curves,0)))</f>
        <v>#N/A</v>
      </c>
      <c r="K49" s="201" t="e">
        <f aca="false">IF(A50="","",J49)</f>
        <v>#N/A</v>
      </c>
      <c r="L49" s="200" t="e">
        <f aca="false">IF($A50="","",VLOOKUP($A49,Table,MATCH(L$4,Curves,0)))</f>
        <v>#N/A</v>
      </c>
      <c r="M49" s="201" t="e">
        <f aca="false">IF(A50="","",L49)</f>
        <v>#N/A</v>
      </c>
      <c r="N49" s="203"/>
      <c r="O49" s="200" t="e">
        <f aca="false">IF(A50="","",L49+J49+G49)</f>
        <v>#N/A</v>
      </c>
      <c r="P49" s="200" t="e">
        <f aca="false">IF(A50="","",M49+K49+H49)</f>
        <v>#N/A</v>
      </c>
      <c r="Q49" s="204"/>
      <c r="R49" s="200" t="e">
        <f aca="false">IF($A50="","",VLOOKUP($A49,Table,MATCH(R$4,Curves,0)))</f>
        <v>#N/A</v>
      </c>
      <c r="S49" s="201" t="e">
        <f aca="false">IF(A50="","",R49)</f>
        <v>#N/A</v>
      </c>
      <c r="T49" s="200" t="e">
        <f aca="false">IF($A50="","",VLOOKUP($A49,Table,MATCH(T$4,Curves,0)))</f>
        <v>#N/A</v>
      </c>
      <c r="U49" s="201" t="e">
        <f aca="false">IF(A50="","",T49)</f>
        <v>#N/A</v>
      </c>
      <c r="V49" s="183" t="e">
        <f aca="false">IF($A50="","",IF(AND(MONTH(A49)&gt;3,MONTH(A49)&lt;11),(T49+R49+G49)*Summary!$T$7/(1-Summary!$T$7),(T49+R49+G49)*Summary!$U$7/(1-Summary!$U$7)))</f>
        <v>#N/A</v>
      </c>
      <c r="W49" s="200" t="e">
        <f aca="false">IF($A50="","",(T49+R49+G49+V49))</f>
        <v>#N/A</v>
      </c>
      <c r="X49" s="200" t="e">
        <f aca="false">IF($A50="","",(U49+S49+H49+V49))</f>
        <v>#N/A</v>
      </c>
      <c r="Y49" s="202"/>
      <c r="Z49" s="185" t="e">
        <f aca="false">IF($A50="","",VLOOKUP($A49,Table,MATCH(Z$4,Curves,0)))</f>
        <v>#N/A</v>
      </c>
      <c r="AA49" s="185" t="e">
        <f aca="false">IF($A50="","",VLOOKUP($A49,Table,MATCH(AA$4,Curves,0)))</f>
        <v>#N/A</v>
      </c>
      <c r="AB49" s="185" t="e">
        <f aca="false">SQRT((AA49^2*(A49-$D$3)+Z49^2*(DAY(EOMONTH(A49,0))/2))/AK49)</f>
        <v>#N/A</v>
      </c>
      <c r="AC49" s="185" t="e">
        <f aca="false">IF($A50="","",VLOOKUP($A49,Table,MATCH(AC$4,Curves,0)))</f>
        <v>#N/A</v>
      </c>
      <c r="AD49" s="185" t="e">
        <f aca="false">IF($A50="","",VLOOKUP($A49,Table,MATCH(AD$4,Curves,0)))</f>
        <v>#N/A</v>
      </c>
      <c r="AE49" s="185" t="e">
        <f aca="false">SQRT((AD49^2*(A49-$D$3)+AC49^2*(DAY(EOMONTH(A49,0))/2))/AK49)</f>
        <v>#N/A</v>
      </c>
      <c r="AF49" s="206" t="e">
        <f aca="false">((Summary!$N$7*(AA49*AD49)*(A49-$D$3))+(Summary!$M$7*Z49*AC49*(DAY(EOMONTH(A49,0))/2)))/(AK49*AB49*AE49)</f>
        <v>#N/A</v>
      </c>
      <c r="AG49" s="207" t="n">
        <f aca="false">IF($A50="","",Summary!$Q$7)</f>
        <v>0</v>
      </c>
      <c r="AH49" s="207" t="n">
        <f aca="false">IF($A50="","",IF(Summary!$R$7="Y",(VLOOKUP($A49,Summary!$AD$6:$AF$9,3)+'Escalating commodity'!C62),'Escalating commodity'!C62))</f>
        <v>0.0224952</v>
      </c>
      <c r="AI49" s="207" t="n">
        <f aca="false">IF($A50="","",AH49)</f>
        <v>0.0224952</v>
      </c>
      <c r="AJ49" s="208" t="n">
        <f aca="false">A49+DAY(EOMONTH(A49,0))/2-1</f>
        <v>38245</v>
      </c>
      <c r="AK49" s="209" t="n">
        <f aca="false">IF($A50="","",$A49-$E$1)</f>
        <v>-7695</v>
      </c>
      <c r="AL49" s="182" t="e">
        <f aca="false">IF($A50="","",SPRDOPT(P49,X49,AI49,0,AB49,AE49,AF49,AK49,$AJ$2,0))</f>
        <v>#NAME?</v>
      </c>
      <c r="AM49" s="210" t="e">
        <f aca="false">IF($A50="","",MAX(0,O49-W49-AI49))</f>
        <v>#N/A</v>
      </c>
      <c r="AN49" s="211" t="e">
        <f aca="false">IF($A50="","",AL49-AM49)</f>
        <v>#N/A</v>
      </c>
      <c r="AO49" s="137" t="n">
        <f aca="false">IF(A50="","",A50-A49)</f>
        <v>30</v>
      </c>
      <c r="AP49" s="212" t="n">
        <f aca="false">IF(A50="","",CHOOSE(F$3,A50+24,A49))</f>
        <v>38231</v>
      </c>
      <c r="AQ49" s="209" t="n">
        <f aca="false">IF(A50="","",AP49-$E$1)</f>
        <v>-7695</v>
      </c>
      <c r="AR49" s="185" t="n">
        <f aca="false">IF(Summary!$H$2=1,VLOOKUP('ANR OK vs ML7'!A49,Curves!$C$17:$AR$273,MATCH('ANR OK vs ML7'!$AR$4,Curves!$C$8:$AQ$8,0)),0.1)</f>
        <v>0.1</v>
      </c>
      <c r="AS49" s="213" t="n">
        <f aca="false">IF(A50="","",1/(1+CHOOSE(F$3,(AR50+($I$3/10000))/2,(AR49+($I$3/10000))/2))^(2*AQ49/365.25))</f>
        <v>7.81307892322772</v>
      </c>
      <c r="AT49" s="137" t="n">
        <f aca="false">IF(A50="","",IF(AND(mthbeg&lt;=A49,mthend&gt;=A49),1,0))</f>
        <v>1</v>
      </c>
      <c r="AU49" s="137" t="n">
        <f aca="false">IF(A50="","",AO49*AT49)</f>
        <v>30</v>
      </c>
      <c r="AW49" s="195" t="e">
        <f aca="false">IF($A50="","",AL49*$E49)</f>
        <v>#NAME?</v>
      </c>
      <c r="AX49" s="195" t="e">
        <f aca="false">IF($A50="","",AM49*$E49)</f>
        <v>#N/A</v>
      </c>
      <c r="AY49" s="195" t="e">
        <f aca="false">IF($A50="","",AN49*$E49)</f>
        <v>#N/A</v>
      </c>
      <c r="BA49" s="195" t="n">
        <f aca="false">IF($A50="","",F49*Summary!$Q$7)</f>
        <v>0</v>
      </c>
      <c r="BC49" s="179" t="e">
        <f aca="false">IF(A50="","",AM49*F49)</f>
        <v>#N/A</v>
      </c>
    </row>
    <row r="50" customFormat="false" ht="12.75" hidden="false" customHeight="false" outlineLevel="0" collapsed="false">
      <c r="A50" s="196" t="n">
        <f aca="false">IF(A49&lt;mthend,EDATE(A49,1),"")</f>
        <v>38261</v>
      </c>
      <c r="B50" s="197" t="n">
        <f aca="false">IF(A50&lt;mthend,B49,"")</f>
        <v>40000</v>
      </c>
      <c r="C50" s="215"/>
      <c r="D50" s="197" t="n">
        <f aca="false">IF(A51&lt;&gt;"",B50+C50,"")</f>
        <v>40000</v>
      </c>
      <c r="E50" s="199" t="n">
        <f aca="false">IF(A51="","",IF(AND(AT50=1,$H$3=1),D50*AO50,IF($H$3=2,D50,"N/A")))</f>
        <v>1240000</v>
      </c>
      <c r="F50" s="199" t="n">
        <f aca="false">IF(A51="","",E50*AS50)</f>
        <v>9610878.96851162</v>
      </c>
      <c r="G50" s="200" t="e">
        <f aca="false">IF($A51="","",VLOOKUP($A50,Table,MATCH(G$4,Curves,0)))</f>
        <v>#N/A</v>
      </c>
      <c r="H50" s="201" t="e">
        <f aca="false">IF(A51="","",G50)</f>
        <v>#N/A</v>
      </c>
      <c r="I50" s="202"/>
      <c r="J50" s="200" t="e">
        <f aca="false">IF($A51="","",VLOOKUP($A50,Table,MATCH(J$4,Curves,0)))</f>
        <v>#N/A</v>
      </c>
      <c r="K50" s="201" t="e">
        <f aca="false">IF(A51="","",J50)</f>
        <v>#N/A</v>
      </c>
      <c r="L50" s="200" t="e">
        <f aca="false">IF($A51="","",VLOOKUP($A50,Table,MATCH(L$4,Curves,0)))</f>
        <v>#N/A</v>
      </c>
      <c r="M50" s="201" t="e">
        <f aca="false">IF(A51="","",L50)</f>
        <v>#N/A</v>
      </c>
      <c r="N50" s="203"/>
      <c r="O50" s="200" t="e">
        <f aca="false">IF(A51="","",L50+J50+G50)</f>
        <v>#N/A</v>
      </c>
      <c r="P50" s="200" t="e">
        <f aca="false">IF(A51="","",M50+K50+H50)</f>
        <v>#N/A</v>
      </c>
      <c r="Q50" s="204"/>
      <c r="R50" s="200" t="e">
        <f aca="false">IF($A51="","",VLOOKUP($A50,Table,MATCH(R$4,Curves,0)))</f>
        <v>#N/A</v>
      </c>
      <c r="S50" s="201" t="e">
        <f aca="false">IF(A51="","",R50)</f>
        <v>#N/A</v>
      </c>
      <c r="T50" s="200" t="e">
        <f aca="false">IF($A51="","",VLOOKUP($A50,Table,MATCH(T$4,Curves,0)))</f>
        <v>#N/A</v>
      </c>
      <c r="U50" s="201" t="e">
        <f aca="false">IF(A51="","",T50)</f>
        <v>#N/A</v>
      </c>
      <c r="V50" s="183" t="e">
        <f aca="false">IF($A51="","",IF(AND(MONTH(A50)&gt;3,MONTH(A50)&lt;11),(T50+R50+G50)*Summary!$T$7/(1-Summary!$T$7),(T50+R50+G50)*Summary!$U$7/(1-Summary!$U$7)))</f>
        <v>#N/A</v>
      </c>
      <c r="W50" s="200" t="e">
        <f aca="false">IF($A51="","",(T50+R50+G50+V50))</f>
        <v>#N/A</v>
      </c>
      <c r="X50" s="200" t="e">
        <f aca="false">IF($A51="","",(U50+S50+H50+V50))</f>
        <v>#N/A</v>
      </c>
      <c r="Y50" s="202"/>
      <c r="Z50" s="185" t="e">
        <f aca="false">IF($A51="","",VLOOKUP($A50,Table,MATCH(Z$4,Curves,0)))</f>
        <v>#N/A</v>
      </c>
      <c r="AA50" s="185" t="e">
        <f aca="false">IF($A51="","",VLOOKUP($A50,Table,MATCH(AA$4,Curves,0)))</f>
        <v>#N/A</v>
      </c>
      <c r="AB50" s="185" t="e">
        <f aca="false">SQRT((AA50^2*(A50-$D$3)+Z50^2*(DAY(EOMONTH(A50,0))/2))/AK50)</f>
        <v>#N/A</v>
      </c>
      <c r="AC50" s="185" t="e">
        <f aca="false">IF($A51="","",VLOOKUP($A50,Table,MATCH(AC$4,Curves,0)))</f>
        <v>#N/A</v>
      </c>
      <c r="AD50" s="185" t="e">
        <f aca="false">IF($A51="","",VLOOKUP($A50,Table,MATCH(AD$4,Curves,0)))</f>
        <v>#N/A</v>
      </c>
      <c r="AE50" s="185" t="e">
        <f aca="false">SQRT((AD50^2*(A50-$D$3)+AC50^2*(DAY(EOMONTH(A50,0))/2))/AK50)</f>
        <v>#N/A</v>
      </c>
      <c r="AF50" s="206" t="e">
        <f aca="false">((Summary!$N$7*(AA50*AD50)*(A50-$D$3))+(Summary!$M$7*Z50*AC50*(DAY(EOMONTH(A50,0))/2)))/(AK50*AB50*AE50)</f>
        <v>#N/A</v>
      </c>
      <c r="AG50" s="207" t="n">
        <f aca="false">IF($A51="","",Summary!$Q$7)</f>
        <v>0</v>
      </c>
      <c r="AH50" s="207" t="n">
        <f aca="false">IF($A51="","",IF(Summary!$R$7="Y",(VLOOKUP($A50,Summary!$AD$6:$AF$9,3)+'Escalating commodity'!C63),'Escalating commodity'!C63))</f>
        <v>0.0224952</v>
      </c>
      <c r="AI50" s="207" t="n">
        <f aca="false">IF($A51="","",AH50)</f>
        <v>0.0224952</v>
      </c>
      <c r="AJ50" s="208" t="n">
        <f aca="false">A50+DAY(EOMONTH(A50,0))/2-1</f>
        <v>38275.5</v>
      </c>
      <c r="AK50" s="209" t="n">
        <f aca="false">IF($A51="","",$A50-$E$1)</f>
        <v>-7665</v>
      </c>
      <c r="AL50" s="182" t="e">
        <f aca="false">IF($A51="","",SPRDOPT(P50,X50,AI50,0,AB50,AE50,AF50,AK50,$AJ$2,0))</f>
        <v>#NAME?</v>
      </c>
      <c r="AM50" s="210" t="e">
        <f aca="false">IF($A51="","",MAX(0,O50-W50-AI50))</f>
        <v>#N/A</v>
      </c>
      <c r="AN50" s="211" t="e">
        <f aca="false">IF($A51="","",AL50-AM50)</f>
        <v>#N/A</v>
      </c>
      <c r="AO50" s="137" t="n">
        <f aca="false">IF(A51="","",A51-A50)</f>
        <v>31</v>
      </c>
      <c r="AP50" s="212" t="n">
        <f aca="false">IF(A51="","",CHOOSE(F$3,A51+24,A50))</f>
        <v>38261</v>
      </c>
      <c r="AQ50" s="209" t="n">
        <f aca="false">IF(A51="","",AP50-$E$1)</f>
        <v>-7665</v>
      </c>
      <c r="AR50" s="185" t="n">
        <f aca="false">IF(Summary!$H$2=1,VLOOKUP('ANR OK vs ML7'!A50,Curves!$C$17:$AR$273,MATCH('ANR OK vs ML7'!$AR$4,Curves!$C$8:$AQ$8,0)),0.1)</f>
        <v>0.1</v>
      </c>
      <c r="AS50" s="213" t="n">
        <f aca="false">IF(A51="","",1/(1+CHOOSE(F$3,(AR51+($I$3/10000))/2,(AR50+($I$3/10000))/2))^(2*AQ50/365.25))</f>
        <v>7.75070884557389</v>
      </c>
      <c r="AT50" s="137" t="n">
        <f aca="false">IF(A51="","",IF(AND(mthbeg&lt;=A50,mthend&gt;=A50),1,0))</f>
        <v>1</v>
      </c>
      <c r="AU50" s="137" t="n">
        <f aca="false">IF(A51="","",AO50*AT50)</f>
        <v>31</v>
      </c>
      <c r="AW50" s="195" t="e">
        <f aca="false">IF($A51="","",AL50*$E50)</f>
        <v>#NAME?</v>
      </c>
      <c r="AX50" s="195" t="e">
        <f aca="false">IF($A51="","",AM50*$E50)</f>
        <v>#N/A</v>
      </c>
      <c r="AY50" s="195" t="e">
        <f aca="false">IF($A51="","",AN50*$E50)</f>
        <v>#N/A</v>
      </c>
      <c r="BA50" s="195" t="n">
        <f aca="false">IF($A51="","",F50*Summary!$Q$7)</f>
        <v>0</v>
      </c>
      <c r="BC50" s="179" t="e">
        <f aca="false">IF(A51="","",AM50*F50)</f>
        <v>#N/A</v>
      </c>
    </row>
    <row r="51" customFormat="false" ht="12.75" hidden="false" customHeight="false" outlineLevel="0" collapsed="false">
      <c r="A51" s="196" t="n">
        <f aca="false">IF(A50&lt;mthend,EDATE(A50,1),"")</f>
        <v>38292</v>
      </c>
      <c r="B51" s="197" t="n">
        <f aca="false">IF(A51&lt;mthend,B50,"")</f>
        <v>40000</v>
      </c>
      <c r="C51" s="215"/>
      <c r="D51" s="197" t="n">
        <f aca="false">IF(A52&lt;&gt;"",B51+C51,"")</f>
        <v>40000</v>
      </c>
      <c r="E51" s="199" t="n">
        <f aca="false">IF(A52="","",IF(AND(AT51=1,$H$3=1),D51*AO51,IF($H$3=2,D51,"N/A")))</f>
        <v>1200000</v>
      </c>
      <c r="F51" s="199" t="n">
        <f aca="false">IF(A52="","",E51*AS51)</f>
        <v>9224139.33154268</v>
      </c>
      <c r="G51" s="200" t="e">
        <f aca="false">IF($A52="","",VLOOKUP($A51,Table,MATCH(G$4,Curves,0)))</f>
        <v>#N/A</v>
      </c>
      <c r="H51" s="201" t="e">
        <f aca="false">IF(A52="","",G51)</f>
        <v>#N/A</v>
      </c>
      <c r="I51" s="202"/>
      <c r="J51" s="200" t="e">
        <f aca="false">IF($A52="","",VLOOKUP($A51,Table,MATCH(J$4,Curves,0)))</f>
        <v>#N/A</v>
      </c>
      <c r="K51" s="201" t="e">
        <f aca="false">IF(A52="","",J51)</f>
        <v>#N/A</v>
      </c>
      <c r="L51" s="200" t="e">
        <f aca="false">IF($A52="","",VLOOKUP($A51,Table,MATCH(L$4,Curves,0)))</f>
        <v>#N/A</v>
      </c>
      <c r="M51" s="201" t="e">
        <f aca="false">IF(A52="","",L51)</f>
        <v>#N/A</v>
      </c>
      <c r="N51" s="203"/>
      <c r="O51" s="200" t="e">
        <f aca="false">IF(A52="","",L51+J51+G51)</f>
        <v>#N/A</v>
      </c>
      <c r="P51" s="200" t="e">
        <f aca="false">IF(A52="","",M51+K51+H51)</f>
        <v>#N/A</v>
      </c>
      <c r="Q51" s="204"/>
      <c r="R51" s="200" t="e">
        <f aca="false">IF($A52="","",VLOOKUP($A51,Table,MATCH(R$4,Curves,0)))</f>
        <v>#N/A</v>
      </c>
      <c r="S51" s="201" t="e">
        <f aca="false">IF(A52="","",R51)</f>
        <v>#N/A</v>
      </c>
      <c r="T51" s="200" t="e">
        <f aca="false">IF($A52="","",VLOOKUP($A51,Table,MATCH(T$4,Curves,0)))</f>
        <v>#N/A</v>
      </c>
      <c r="U51" s="201" t="e">
        <f aca="false">IF(A52="","",T51)</f>
        <v>#N/A</v>
      </c>
      <c r="V51" s="183" t="e">
        <f aca="false">IF($A52="","",IF(AND(MONTH(A51)&gt;3,MONTH(A51)&lt;11),(T51+R51+G51)*Summary!$T$7/(1-Summary!$T$7),(T51+R51+G51)*Summary!$U$7/(1-Summary!$U$7)))</f>
        <v>#N/A</v>
      </c>
      <c r="W51" s="200" t="e">
        <f aca="false">IF($A52="","",(T51+R51+G51+V51))</f>
        <v>#N/A</v>
      </c>
      <c r="X51" s="200" t="e">
        <f aca="false">IF($A52="","",(U51+S51+H51+V51))</f>
        <v>#N/A</v>
      </c>
      <c r="Y51" s="202"/>
      <c r="Z51" s="185" t="e">
        <f aca="false">IF($A52="","",VLOOKUP($A51,Table,MATCH(Z$4,Curves,0)))</f>
        <v>#N/A</v>
      </c>
      <c r="AA51" s="185" t="e">
        <f aca="false">IF($A52="","",VLOOKUP($A51,Table,MATCH(AA$4,Curves,0)))</f>
        <v>#N/A</v>
      </c>
      <c r="AB51" s="185" t="e">
        <f aca="false">SQRT((AA51^2*(A51-$D$3)+Z51^2*(DAY(EOMONTH(A51,0))/2))/AK51)</f>
        <v>#N/A</v>
      </c>
      <c r="AC51" s="185" t="e">
        <f aca="false">IF($A52="","",VLOOKUP($A51,Table,MATCH(AC$4,Curves,0)))</f>
        <v>#N/A</v>
      </c>
      <c r="AD51" s="185" t="e">
        <f aca="false">IF($A52="","",VLOOKUP($A51,Table,MATCH(AD$4,Curves,0)))</f>
        <v>#N/A</v>
      </c>
      <c r="AE51" s="185" t="e">
        <f aca="false">SQRT((AD51^2*(A51-$D$3)+AC51^2*(DAY(EOMONTH(A51,0))/2))/AK51)</f>
        <v>#N/A</v>
      </c>
      <c r="AF51" s="206" t="e">
        <f aca="false">((Summary!$N$7*(AA51*AD51)*(A51-$D$3))+(Summary!$M$7*Z51*AC51*(DAY(EOMONTH(A51,0))/2)))/(AK51*AB51*AE51)</f>
        <v>#N/A</v>
      </c>
      <c r="AG51" s="207" t="n">
        <f aca="false">IF($A52="","",Summary!$Q$7)</f>
        <v>0</v>
      </c>
      <c r="AH51" s="207" t="n">
        <f aca="false">IF($A52="","",IF(Summary!$R$7="Y",(VLOOKUP($A51,Summary!$AD$6:$AF$9,3)+'Escalating commodity'!C64),'Escalating commodity'!C64))</f>
        <v>0.0224952</v>
      </c>
      <c r="AI51" s="207" t="n">
        <f aca="false">IF($A52="","",AH51)</f>
        <v>0.0224952</v>
      </c>
      <c r="AJ51" s="208" t="n">
        <f aca="false">A51+DAY(EOMONTH(A51,0))/2-1</f>
        <v>38306</v>
      </c>
      <c r="AK51" s="209" t="n">
        <f aca="false">IF($A52="","",$A51-$E$1)</f>
        <v>-7634</v>
      </c>
      <c r="AL51" s="182" t="e">
        <f aca="false">IF($A52="","",SPRDOPT(P51,X51,AI51,0,AB51,AE51,AF51,AK51,$AJ$2,0))</f>
        <v>#NAME?</v>
      </c>
      <c r="AM51" s="210" t="e">
        <f aca="false">IF($A52="","",MAX(0,O51-W51-AI51))</f>
        <v>#N/A</v>
      </c>
      <c r="AN51" s="211" t="e">
        <f aca="false">IF($A52="","",AL51-AM51)</f>
        <v>#N/A</v>
      </c>
      <c r="AO51" s="137" t="n">
        <f aca="false">IF(A52="","",A52-A51)</f>
        <v>30</v>
      </c>
      <c r="AP51" s="212" t="n">
        <f aca="false">IF(A52="","",CHOOSE(F$3,A52+24,A51))</f>
        <v>38292</v>
      </c>
      <c r="AQ51" s="209" t="n">
        <f aca="false">IF(A52="","",AP51-$E$1)</f>
        <v>-7634</v>
      </c>
      <c r="AR51" s="185" t="n">
        <f aca="false">IF(Summary!$H$2=1,VLOOKUP('ANR OK vs ML7'!A51,Curves!$C$17:$AR$273,MATCH('ANR OK vs ML7'!$AR$4,Curves!$C$8:$AQ$8,0)),0.1)</f>
        <v>0.1</v>
      </c>
      <c r="AS51" s="213" t="n">
        <f aca="false">IF(A52="","",1/(1+CHOOSE(F$3,(AR52+($I$3/10000))/2,(AR51+($I$3/10000))/2))^(2*AQ51/365.25))</f>
        <v>7.68678277628556</v>
      </c>
      <c r="AT51" s="137" t="n">
        <f aca="false">IF(A52="","",IF(AND(mthbeg&lt;=A51,mthend&gt;=A51),1,0))</f>
        <v>1</v>
      </c>
      <c r="AU51" s="137" t="n">
        <f aca="false">IF(A52="","",AO51*AT51)</f>
        <v>30</v>
      </c>
      <c r="AW51" s="195" t="e">
        <f aca="false">IF($A52="","",AL51*$E51)</f>
        <v>#NAME?</v>
      </c>
      <c r="AX51" s="195" t="e">
        <f aca="false">IF($A52="","",AM51*$E51)</f>
        <v>#N/A</v>
      </c>
      <c r="AY51" s="195" t="e">
        <f aca="false">IF($A52="","",AN51*$E51)</f>
        <v>#N/A</v>
      </c>
      <c r="BA51" s="195" t="n">
        <f aca="false">IF($A52="","",F51*Summary!$Q$7)</f>
        <v>0</v>
      </c>
      <c r="BC51" s="179" t="e">
        <f aca="false">IF(A52="","",AM51*F51)</f>
        <v>#N/A</v>
      </c>
    </row>
    <row r="52" customFormat="false" ht="12.75" hidden="false" customHeight="false" outlineLevel="0" collapsed="false">
      <c r="A52" s="196" t="n">
        <f aca="false">IF(A51&lt;mthend,EDATE(A51,1),"")</f>
        <v>38322</v>
      </c>
      <c r="B52" s="197" t="n">
        <f aca="false">IF(A52&lt;mthend,B51,"")</f>
        <v>40000</v>
      </c>
      <c r="C52" s="215"/>
      <c r="D52" s="197" t="n">
        <f aca="false">IF(A53&lt;&gt;"",B52+C52,"")</f>
        <v>40000</v>
      </c>
      <c r="E52" s="199" t="n">
        <f aca="false">IF(A53="","",IF(AND(AT52=1,$H$3=1),D52*AO52,IF($H$3=2,D52,"N/A")))</f>
        <v>1240000</v>
      </c>
      <c r="F52" s="199" t="n">
        <f aca="false">IF(A53="","",E52*AS52)</f>
        <v>9455521.90705385</v>
      </c>
      <c r="G52" s="200" t="e">
        <f aca="false">IF($A53="","",VLOOKUP($A52,Table,MATCH(G$4,Curves,0)))</f>
        <v>#N/A</v>
      </c>
      <c r="H52" s="201" t="e">
        <f aca="false">IF(A53="","",G52)</f>
        <v>#N/A</v>
      </c>
      <c r="I52" s="202"/>
      <c r="J52" s="200" t="e">
        <f aca="false">IF($A53="","",VLOOKUP($A52,Table,MATCH(J$4,Curves,0)))</f>
        <v>#N/A</v>
      </c>
      <c r="K52" s="201" t="e">
        <f aca="false">IF(A53="","",J52)</f>
        <v>#N/A</v>
      </c>
      <c r="L52" s="200" t="e">
        <f aca="false">IF($A53="","",VLOOKUP($A52,Table,MATCH(L$4,Curves,0)))</f>
        <v>#N/A</v>
      </c>
      <c r="M52" s="201" t="e">
        <f aca="false">IF(A53="","",L52)</f>
        <v>#N/A</v>
      </c>
      <c r="N52" s="203"/>
      <c r="O52" s="200" t="e">
        <f aca="false">IF(A53="","",L52+J52+G52)</f>
        <v>#N/A</v>
      </c>
      <c r="P52" s="200" t="e">
        <f aca="false">IF(A53="","",M52+K52+H52)</f>
        <v>#N/A</v>
      </c>
      <c r="Q52" s="204"/>
      <c r="R52" s="200" t="e">
        <f aca="false">IF($A53="","",VLOOKUP($A52,Table,MATCH(R$4,Curves,0)))</f>
        <v>#N/A</v>
      </c>
      <c r="S52" s="201" t="e">
        <f aca="false">IF(A53="","",R52)</f>
        <v>#N/A</v>
      </c>
      <c r="T52" s="200" t="e">
        <f aca="false">IF($A53="","",VLOOKUP($A52,Table,MATCH(T$4,Curves,0)))</f>
        <v>#N/A</v>
      </c>
      <c r="U52" s="201" t="e">
        <f aca="false">IF(A53="","",T52)</f>
        <v>#N/A</v>
      </c>
      <c r="V52" s="183" t="e">
        <f aca="false">IF($A53="","",IF(AND(MONTH(A52)&gt;3,MONTH(A52)&lt;11),(T52+R52+G52)*Summary!$T$7/(1-Summary!$T$7),(T52+R52+G52)*Summary!$U$7/(1-Summary!$U$7)))</f>
        <v>#N/A</v>
      </c>
      <c r="W52" s="200" t="e">
        <f aca="false">IF($A53="","",(T52+R52+G52+V52))</f>
        <v>#N/A</v>
      </c>
      <c r="X52" s="200" t="e">
        <f aca="false">IF($A53="","",(U52+S52+H52+V52))</f>
        <v>#N/A</v>
      </c>
      <c r="Y52" s="202"/>
      <c r="Z52" s="185" t="e">
        <f aca="false">IF($A53="","",VLOOKUP($A52,Table,MATCH(Z$4,Curves,0)))</f>
        <v>#N/A</v>
      </c>
      <c r="AA52" s="185" t="e">
        <f aca="false">IF($A53="","",VLOOKUP($A52,Table,MATCH(AA$4,Curves,0)))</f>
        <v>#N/A</v>
      </c>
      <c r="AB52" s="185" t="e">
        <f aca="false">SQRT((AA52^2*(A52-$D$3)+Z52^2*(DAY(EOMONTH(A52,0))/2))/AK52)</f>
        <v>#N/A</v>
      </c>
      <c r="AC52" s="185" t="e">
        <f aca="false">IF($A53="","",VLOOKUP($A52,Table,MATCH(AC$4,Curves,0)))</f>
        <v>#N/A</v>
      </c>
      <c r="AD52" s="185" t="e">
        <f aca="false">IF($A53="","",VLOOKUP($A52,Table,MATCH(AD$4,Curves,0)))</f>
        <v>#N/A</v>
      </c>
      <c r="AE52" s="185" t="e">
        <f aca="false">SQRT((AD52^2*(A52-$D$3)+AC52^2*(DAY(EOMONTH(A52,0))/2))/AK52)</f>
        <v>#N/A</v>
      </c>
      <c r="AF52" s="206" t="e">
        <f aca="false">((Summary!$N$7*(AA52*AD52)*(A52-$D$3))+(Summary!$M$7*Z52*AC52*(DAY(EOMONTH(A52,0))/2)))/(AK52*AB52*AE52)</f>
        <v>#N/A</v>
      </c>
      <c r="AG52" s="207" t="n">
        <f aca="false">IF($A53="","",Summary!$Q$7)</f>
        <v>0</v>
      </c>
      <c r="AH52" s="207" t="n">
        <f aca="false">IF($A53="","",IF(Summary!$R$7="Y",(VLOOKUP($A52,Summary!$AD$6:$AF$9,3)+'Escalating commodity'!C65),'Escalating commodity'!C65))</f>
        <v>0.0224952</v>
      </c>
      <c r="AI52" s="207" t="n">
        <f aca="false">IF($A53="","",AH52)</f>
        <v>0.0224952</v>
      </c>
      <c r="AJ52" s="208" t="n">
        <f aca="false">A52+DAY(EOMONTH(A52,0))/2-1</f>
        <v>38336.5</v>
      </c>
      <c r="AK52" s="209" t="n">
        <f aca="false">IF($A53="","",$A52-$E$1)</f>
        <v>-7604</v>
      </c>
      <c r="AL52" s="182" t="e">
        <f aca="false">IF($A53="","",SPRDOPT(P52,X52,AI52,0,AB52,AE52,AF52,AK52,$AJ$2,0))</f>
        <v>#NAME?</v>
      </c>
      <c r="AM52" s="210" t="e">
        <f aca="false">IF($A53="","",MAX(0,O52-W52-AI52))</f>
        <v>#N/A</v>
      </c>
      <c r="AN52" s="211" t="e">
        <f aca="false">IF($A53="","",AL52-AM52)</f>
        <v>#N/A</v>
      </c>
      <c r="AO52" s="137" t="n">
        <f aca="false">IF(A53="","",A53-A52)</f>
        <v>31</v>
      </c>
      <c r="AP52" s="212" t="n">
        <f aca="false">IF(A53="","",CHOOSE(F$3,A53+24,A52))</f>
        <v>38322</v>
      </c>
      <c r="AQ52" s="209" t="n">
        <f aca="false">IF(A53="","",AP52-$E$1)</f>
        <v>-7604</v>
      </c>
      <c r="AR52" s="185" t="n">
        <f aca="false">IF(Summary!$H$2=1,VLOOKUP('ANR OK vs ML7'!A52,Curves!$C$17:$AR$273,MATCH('ANR OK vs ML7'!$AR$4,Curves!$C$8:$AQ$8,0)),0.1)</f>
        <v>0.1</v>
      </c>
      <c r="AS52" s="213" t="n">
        <f aca="false">IF(A53="","",1/(1+CHOOSE(F$3,(AR53+($I$3/10000))/2,(AR52+($I$3/10000))/2))^(2*AQ52/365.25))</f>
        <v>7.62542089278536</v>
      </c>
      <c r="AT52" s="137" t="n">
        <f aca="false">IF(A53="","",IF(AND(mthbeg&lt;=A52,mthend&gt;=A52),1,0))</f>
        <v>1</v>
      </c>
      <c r="AU52" s="137" t="n">
        <f aca="false">IF(A53="","",AO52*AT52)</f>
        <v>31</v>
      </c>
      <c r="AW52" s="195" t="e">
        <f aca="false">IF($A53="","",AL52*$E52)</f>
        <v>#NAME?</v>
      </c>
      <c r="AX52" s="195" t="e">
        <f aca="false">IF($A53="","",AM52*$E52)</f>
        <v>#N/A</v>
      </c>
      <c r="AY52" s="195" t="e">
        <f aca="false">IF($A53="","",AN52*$E52)</f>
        <v>#N/A</v>
      </c>
      <c r="BA52" s="195" t="n">
        <f aca="false">IF($A53="","",F52*Summary!$Q$7)</f>
        <v>0</v>
      </c>
      <c r="BC52" s="179" t="e">
        <f aca="false">IF(A53="","",AM52*F52)</f>
        <v>#N/A</v>
      </c>
    </row>
    <row r="53" customFormat="false" ht="12.75" hidden="false" customHeight="false" outlineLevel="0" collapsed="false">
      <c r="A53" s="196" t="n">
        <f aca="false">IF(A52&lt;mthend,EDATE(A52,1),"")</f>
        <v>38353</v>
      </c>
      <c r="B53" s="197" t="n">
        <f aca="false">IF(A53&lt;mthend,B52,"")</f>
        <v>40000</v>
      </c>
      <c r="C53" s="215"/>
      <c r="D53" s="197" t="n">
        <f aca="false">IF(A54&lt;&gt;"",B53+C53,"")</f>
        <v>40000</v>
      </c>
      <c r="E53" s="199" t="n">
        <f aca="false">IF(A54="","",IF(AND(AT53=1,$H$3=1),D53*AO53,IF($H$3=2,D53,"N/A")))</f>
        <v>1240000</v>
      </c>
      <c r="F53" s="199" t="n">
        <f aca="false">IF(A54="","",E53*AS53)</f>
        <v>9377534.9305552</v>
      </c>
      <c r="G53" s="200" t="e">
        <f aca="false">IF($A54="","",VLOOKUP($A53,Table,MATCH(G$4,Curves,0)))</f>
        <v>#N/A</v>
      </c>
      <c r="H53" s="201" t="e">
        <f aca="false">IF(A54="","",G53)</f>
        <v>#N/A</v>
      </c>
      <c r="I53" s="202"/>
      <c r="J53" s="200" t="e">
        <f aca="false">IF($A54="","",VLOOKUP($A53,Table,MATCH(J$4,Curves,0)))</f>
        <v>#N/A</v>
      </c>
      <c r="K53" s="201" t="e">
        <f aca="false">IF(A54="","",J53)</f>
        <v>#N/A</v>
      </c>
      <c r="L53" s="200" t="e">
        <f aca="false">IF($A54="","",VLOOKUP($A53,Table,MATCH(L$4,Curves,0)))</f>
        <v>#N/A</v>
      </c>
      <c r="M53" s="201" t="e">
        <f aca="false">IF(A54="","",L53)</f>
        <v>#N/A</v>
      </c>
      <c r="N53" s="203"/>
      <c r="O53" s="200" t="e">
        <f aca="false">IF(A54="","",L53+J53+G53)</f>
        <v>#N/A</v>
      </c>
      <c r="P53" s="200" t="e">
        <f aca="false">IF(A54="","",M53+K53+H53)</f>
        <v>#N/A</v>
      </c>
      <c r="Q53" s="204"/>
      <c r="R53" s="200" t="e">
        <f aca="false">IF($A54="","",VLOOKUP($A53,Table,MATCH(R$4,Curves,0)))</f>
        <v>#N/A</v>
      </c>
      <c r="S53" s="201" t="e">
        <f aca="false">IF(A54="","",R53)</f>
        <v>#N/A</v>
      </c>
      <c r="T53" s="200" t="e">
        <f aca="false">IF($A54="","",VLOOKUP($A53,Table,MATCH(T$4,Curves,0)))</f>
        <v>#N/A</v>
      </c>
      <c r="U53" s="201" t="e">
        <f aca="false">IF(A54="","",T53)</f>
        <v>#N/A</v>
      </c>
      <c r="V53" s="183" t="e">
        <f aca="false">IF($A54="","",IF(AND(MONTH(A53)&gt;3,MONTH(A53)&lt;11),(T53+R53+G53)*Summary!$T$7/(1-Summary!$T$7),(T53+R53+G53)*Summary!$U$7/(1-Summary!$U$7)))</f>
        <v>#N/A</v>
      </c>
      <c r="W53" s="200" t="e">
        <f aca="false">IF($A54="","",(T53+R53+G53+V53))</f>
        <v>#N/A</v>
      </c>
      <c r="X53" s="200" t="e">
        <f aca="false">IF($A54="","",(U53+S53+H53+V53))</f>
        <v>#N/A</v>
      </c>
      <c r="Y53" s="202"/>
      <c r="Z53" s="185" t="e">
        <f aca="false">IF($A54="","",VLOOKUP($A53,Table,MATCH(Z$4,Curves,0)))</f>
        <v>#N/A</v>
      </c>
      <c r="AA53" s="185" t="e">
        <f aca="false">IF($A54="","",VLOOKUP($A53,Table,MATCH(AA$4,Curves,0)))</f>
        <v>#N/A</v>
      </c>
      <c r="AB53" s="185" t="e">
        <f aca="false">SQRT((AA53^2*(A53-$D$3)+Z53^2*(DAY(EOMONTH(A53,0))/2))/AK53)</f>
        <v>#N/A</v>
      </c>
      <c r="AC53" s="185" t="e">
        <f aca="false">IF($A54="","",VLOOKUP($A53,Table,MATCH(AC$4,Curves,0)))</f>
        <v>#N/A</v>
      </c>
      <c r="AD53" s="185" t="e">
        <f aca="false">IF($A54="","",VLOOKUP($A53,Table,MATCH(AD$4,Curves,0)))</f>
        <v>#N/A</v>
      </c>
      <c r="AE53" s="185" t="e">
        <f aca="false">SQRT((AD53^2*(A53-$D$3)+AC53^2*(DAY(EOMONTH(A53,0))/2))/AK53)</f>
        <v>#N/A</v>
      </c>
      <c r="AF53" s="206" t="e">
        <f aca="false">((Summary!$N$7*(AA53*AD53)*(A53-$D$3))+(Summary!$M$7*Z53*AC53*(DAY(EOMONTH(A53,0))/2)))/(AK53*AB53*AE53)</f>
        <v>#N/A</v>
      </c>
      <c r="AG53" s="207" t="n">
        <f aca="false">IF($A54="","",Summary!$Q$7)</f>
        <v>0</v>
      </c>
      <c r="AH53" s="207" t="n">
        <f aca="false">IF($A54="","",IF(Summary!$R$7="Y",(VLOOKUP($A53,Summary!$AD$6:$AF$9,3)+'Escalating commodity'!C66),'Escalating commodity'!C66))</f>
        <v>0.0224952</v>
      </c>
      <c r="AI53" s="207" t="n">
        <f aca="false">IF($A54="","",AH53)</f>
        <v>0.0224952</v>
      </c>
      <c r="AJ53" s="208" t="n">
        <f aca="false">A53+DAY(EOMONTH(A53,0))/2-1</f>
        <v>38367.5</v>
      </c>
      <c r="AK53" s="209" t="n">
        <f aca="false">IF($A54="","",$A53-$E$1)</f>
        <v>-7573</v>
      </c>
      <c r="AL53" s="182" t="e">
        <f aca="false">IF($A54="","",SPRDOPT(P53,X53,AI53,0,AB53,AE53,AF53,AK53,$AJ$2,0))</f>
        <v>#NAME?</v>
      </c>
      <c r="AM53" s="210" t="e">
        <f aca="false">IF($A54="","",MAX(0,O53-W53-AI53))</f>
        <v>#N/A</v>
      </c>
      <c r="AN53" s="211" t="e">
        <f aca="false">IF($A54="","",AL53-AM53)</f>
        <v>#N/A</v>
      </c>
      <c r="AO53" s="137" t="n">
        <f aca="false">IF(A54="","",A54-A53)</f>
        <v>31</v>
      </c>
      <c r="AP53" s="212" t="n">
        <f aca="false">IF(A54="","",CHOOSE(F$3,A54+24,A53))</f>
        <v>38353</v>
      </c>
      <c r="AQ53" s="209" t="n">
        <f aca="false">IF(A54="","",AP53-$E$1)</f>
        <v>-7573</v>
      </c>
      <c r="AR53" s="185" t="n">
        <f aca="false">IF(Summary!$H$2=1,VLOOKUP('ANR OK vs ML7'!A53,Curves!$C$17:$AR$273,MATCH('ANR OK vs ML7'!$AR$4,Curves!$C$8:$AQ$8,0)),0.1)</f>
        <v>0.1</v>
      </c>
      <c r="AS53" s="213" t="n">
        <f aca="false">IF(A54="","",1/(1+CHOOSE(F$3,(AR54+($I$3/10000))/2,(AR53+($I$3/10000))/2))^(2*AQ53/365.25))</f>
        <v>7.56252816980258</v>
      </c>
      <c r="AT53" s="137" t="n">
        <f aca="false">IF(A54="","",IF(AND(mthbeg&lt;=A53,mthend&gt;=A53),1,0))</f>
        <v>1</v>
      </c>
      <c r="AU53" s="137" t="n">
        <f aca="false">IF(A54="","",AO53*AT53)</f>
        <v>31</v>
      </c>
      <c r="AW53" s="195" t="e">
        <f aca="false">IF($A54="","",AL53*$E53)</f>
        <v>#NAME?</v>
      </c>
      <c r="AX53" s="195" t="e">
        <f aca="false">IF($A54="","",AM53*$E53)</f>
        <v>#N/A</v>
      </c>
      <c r="AY53" s="195" t="e">
        <f aca="false">IF($A54="","",AN53*$E53)</f>
        <v>#N/A</v>
      </c>
      <c r="BA53" s="195" t="n">
        <f aca="false">IF($A54="","",F53*Summary!$Q$7)</f>
        <v>0</v>
      </c>
      <c r="BC53" s="179" t="e">
        <f aca="false">IF(A54="","",AM53*F53)</f>
        <v>#N/A</v>
      </c>
    </row>
    <row r="54" customFormat="false" ht="12.75" hidden="false" customHeight="false" outlineLevel="0" collapsed="false">
      <c r="A54" s="196" t="n">
        <f aca="false">IF(A53&lt;mthend,EDATE(A53,1),"")</f>
        <v>38384</v>
      </c>
      <c r="B54" s="197" t="n">
        <f aca="false">IF(A54&lt;mthend,B53,"")</f>
        <v>40000</v>
      </c>
      <c r="C54" s="215"/>
      <c r="D54" s="197" t="n">
        <f aca="false">IF(A55&lt;&gt;"",B54+C54,"")</f>
        <v>40000</v>
      </c>
      <c r="E54" s="199" t="n">
        <f aca="false">IF(A55="","",IF(AND(AT54=1,$H$3=1),D54*AO54,IF($H$3=2,D54,"N/A")))</f>
        <v>1120000</v>
      </c>
      <c r="F54" s="199" t="n">
        <f aca="false">IF(A55="","",E54*AS54)</f>
        <v>8400172.67216669</v>
      </c>
      <c r="G54" s="200" t="e">
        <f aca="false">IF($A55="","",VLOOKUP($A54,Table,MATCH(G$4,Curves,0)))</f>
        <v>#N/A</v>
      </c>
      <c r="H54" s="201" t="e">
        <f aca="false">IF(A55="","",G54)</f>
        <v>#N/A</v>
      </c>
      <c r="I54" s="202"/>
      <c r="J54" s="200" t="e">
        <f aca="false">IF($A55="","",VLOOKUP($A54,Table,MATCH(J$4,Curves,0)))</f>
        <v>#N/A</v>
      </c>
      <c r="K54" s="201" t="e">
        <f aca="false">IF(A55="","",J54)</f>
        <v>#N/A</v>
      </c>
      <c r="L54" s="200" t="e">
        <f aca="false">IF($A55="","",VLOOKUP($A54,Table,MATCH(L$4,Curves,0)))</f>
        <v>#N/A</v>
      </c>
      <c r="M54" s="201" t="e">
        <f aca="false">IF(A55="","",L54)</f>
        <v>#N/A</v>
      </c>
      <c r="N54" s="203"/>
      <c r="O54" s="200" t="e">
        <f aca="false">IF(A55="","",L54+J54+G54)</f>
        <v>#N/A</v>
      </c>
      <c r="P54" s="200" t="e">
        <f aca="false">IF(A55="","",M54+K54+H54)</f>
        <v>#N/A</v>
      </c>
      <c r="Q54" s="204"/>
      <c r="R54" s="200" t="e">
        <f aca="false">IF($A55="","",VLOOKUP($A54,Table,MATCH(R$4,Curves,0)))</f>
        <v>#N/A</v>
      </c>
      <c r="S54" s="201" t="e">
        <f aca="false">IF(A55="","",R54)</f>
        <v>#N/A</v>
      </c>
      <c r="T54" s="200" t="e">
        <f aca="false">IF($A55="","",VLOOKUP($A54,Table,MATCH(T$4,Curves,0)))</f>
        <v>#N/A</v>
      </c>
      <c r="U54" s="201" t="e">
        <f aca="false">IF(A55="","",T54)</f>
        <v>#N/A</v>
      </c>
      <c r="V54" s="183" t="e">
        <f aca="false">IF($A55="","",IF(AND(MONTH(A54)&gt;3,MONTH(A54)&lt;11),(T54+R54+G54)*Summary!$T$7/(1-Summary!$T$7),(T54+R54+G54)*Summary!$U$7/(1-Summary!$U$7)))</f>
        <v>#N/A</v>
      </c>
      <c r="W54" s="200" t="e">
        <f aca="false">IF($A55="","",(T54+R54+G54+V54))</f>
        <v>#N/A</v>
      </c>
      <c r="X54" s="200" t="e">
        <f aca="false">IF($A55="","",(U54+S54+H54+V54))</f>
        <v>#N/A</v>
      </c>
      <c r="Y54" s="202"/>
      <c r="Z54" s="185" t="e">
        <f aca="false">IF($A55="","",VLOOKUP($A54,Table,MATCH(Z$4,Curves,0)))</f>
        <v>#N/A</v>
      </c>
      <c r="AA54" s="185" t="e">
        <f aca="false">IF($A55="","",VLOOKUP($A54,Table,MATCH(AA$4,Curves,0)))</f>
        <v>#N/A</v>
      </c>
      <c r="AB54" s="185" t="e">
        <f aca="false">SQRT((AA54^2*(A54-$D$3)+Z54^2*(DAY(EOMONTH(A54,0))/2))/AK54)</f>
        <v>#N/A</v>
      </c>
      <c r="AC54" s="185" t="e">
        <f aca="false">IF($A55="","",VLOOKUP($A54,Table,MATCH(AC$4,Curves,0)))</f>
        <v>#N/A</v>
      </c>
      <c r="AD54" s="185" t="e">
        <f aca="false">IF($A55="","",VLOOKUP($A54,Table,MATCH(AD$4,Curves,0)))</f>
        <v>#N/A</v>
      </c>
      <c r="AE54" s="185" t="e">
        <f aca="false">SQRT((AD54^2*(A54-$D$3)+AC54^2*(DAY(EOMONTH(A54,0))/2))/AK54)</f>
        <v>#N/A</v>
      </c>
      <c r="AF54" s="206" t="e">
        <f aca="false">((Summary!$N$7*(AA54*AD54)*(A54-$D$3))+(Summary!$M$7*Z54*AC54*(DAY(EOMONTH(A54,0))/2)))/(AK54*AB54*AE54)</f>
        <v>#N/A</v>
      </c>
      <c r="AG54" s="207" t="n">
        <f aca="false">IF($A55="","",Summary!$Q$7)</f>
        <v>0</v>
      </c>
      <c r="AH54" s="207" t="n">
        <f aca="false">IF($A55="","",IF(Summary!$R$7="Y",(VLOOKUP($A54,Summary!$AD$6:$AF$9,3)+'Escalating commodity'!C67),'Escalating commodity'!C67))</f>
        <v>0.0224952</v>
      </c>
      <c r="AI54" s="207" t="n">
        <f aca="false">IF($A55="","",AH54)</f>
        <v>0.0224952</v>
      </c>
      <c r="AJ54" s="208" t="n">
        <f aca="false">A54+DAY(EOMONTH(A54,0))/2-1</f>
        <v>38397</v>
      </c>
      <c r="AK54" s="209" t="n">
        <f aca="false">IF($A55="","",$A54-$E$1)</f>
        <v>-7542</v>
      </c>
      <c r="AL54" s="182" t="e">
        <f aca="false">IF($A55="","",SPRDOPT(P54,X54,AI54,0,AB54,AE54,AF54,AK54,$AJ$2,0))</f>
        <v>#NAME?</v>
      </c>
      <c r="AM54" s="210" t="e">
        <f aca="false">IF($A55="","",MAX(0,O54-W54-AI54))</f>
        <v>#N/A</v>
      </c>
      <c r="AN54" s="211" t="e">
        <f aca="false">IF($A55="","",AL54-AM54)</f>
        <v>#N/A</v>
      </c>
      <c r="AO54" s="137" t="n">
        <f aca="false">IF(A55="","",A55-A54)</f>
        <v>28</v>
      </c>
      <c r="AP54" s="212" t="n">
        <f aca="false">IF(A55="","",CHOOSE(F$3,A55+24,A54))</f>
        <v>38384</v>
      </c>
      <c r="AQ54" s="209" t="n">
        <f aca="false">IF(A55="","",AP54-$E$1)</f>
        <v>-7542</v>
      </c>
      <c r="AR54" s="185" t="n">
        <f aca="false">IF(Summary!$H$2=1,VLOOKUP('ANR OK vs ML7'!A54,Curves!$C$17:$AR$273,MATCH('ANR OK vs ML7'!$AR$4,Curves!$C$8:$AQ$8,0)),0.1)</f>
        <v>0.1</v>
      </c>
      <c r="AS54" s="213" t="n">
        <f aca="false">IF(A55="","",1/(1+CHOOSE(F$3,(AR55+($I$3/10000))/2,(AR54+($I$3/10000))/2))^(2*AQ54/365.25))</f>
        <v>7.5001541715774</v>
      </c>
      <c r="AT54" s="137" t="n">
        <f aca="false">IF(A55="","",IF(AND(mthbeg&lt;=A54,mthend&gt;=A54),1,0))</f>
        <v>1</v>
      </c>
      <c r="AU54" s="137" t="n">
        <f aca="false">IF(A55="","",AO54*AT54)</f>
        <v>28</v>
      </c>
      <c r="AW54" s="195" t="e">
        <f aca="false">IF($A55="","",AL54*$E54)</f>
        <v>#NAME?</v>
      </c>
      <c r="AX54" s="195" t="e">
        <f aca="false">IF($A55="","",AM54*$E54)</f>
        <v>#N/A</v>
      </c>
      <c r="AY54" s="195" t="e">
        <f aca="false">IF($A55="","",AN54*$E54)</f>
        <v>#N/A</v>
      </c>
      <c r="BA54" s="195" t="n">
        <f aca="false">IF($A55="","",F54*Summary!$Q$7)</f>
        <v>0</v>
      </c>
      <c r="BC54" s="179" t="e">
        <f aca="false">IF(A55="","",AM54*F54)</f>
        <v>#N/A</v>
      </c>
    </row>
    <row r="55" customFormat="false" ht="12.75" hidden="false" customHeight="false" outlineLevel="0" collapsed="false">
      <c r="A55" s="196" t="n">
        <f aca="false">IF(A54&lt;mthend,EDATE(A54,1),"")</f>
        <v>38412</v>
      </c>
      <c r="B55" s="197" t="n">
        <f aca="false">IF(A55&lt;mthend,B54,"")</f>
        <v>40000</v>
      </c>
      <c r="C55" s="215"/>
      <c r="D55" s="197" t="n">
        <f aca="false">IF(A56&lt;&gt;"",B55+C55,"")</f>
        <v>40000</v>
      </c>
      <c r="E55" s="199" t="n">
        <f aca="false">IF(A56="","",IF(AND(AT55=1,$H$3=1),D55*AO55,IF($H$3=2,D55,"N/A")))</f>
        <v>1240000</v>
      </c>
      <c r="F55" s="199" t="n">
        <f aca="false">IF(A56="","",E55*AS55)</f>
        <v>9230880.74128319</v>
      </c>
      <c r="G55" s="200" t="e">
        <f aca="false">IF($A56="","",VLOOKUP($A55,Table,MATCH(G$4,Curves,0)))</f>
        <v>#N/A</v>
      </c>
      <c r="H55" s="201" t="e">
        <f aca="false">IF(A56="","",G55)</f>
        <v>#N/A</v>
      </c>
      <c r="I55" s="202"/>
      <c r="J55" s="200" t="e">
        <f aca="false">IF($A56="","",VLOOKUP($A55,Table,MATCH(J$4,Curves,0)))</f>
        <v>#N/A</v>
      </c>
      <c r="K55" s="201" t="e">
        <f aca="false">IF(A56="","",J55)</f>
        <v>#N/A</v>
      </c>
      <c r="L55" s="200" t="e">
        <f aca="false">IF($A56="","",VLOOKUP($A55,Table,MATCH(L$4,Curves,0)))</f>
        <v>#N/A</v>
      </c>
      <c r="M55" s="201" t="e">
        <f aca="false">IF(A56="","",L55)</f>
        <v>#N/A</v>
      </c>
      <c r="N55" s="203"/>
      <c r="O55" s="200" t="e">
        <f aca="false">IF(A56="","",L55+J55+G55)</f>
        <v>#N/A</v>
      </c>
      <c r="P55" s="200" t="e">
        <f aca="false">IF(A56="","",M55+K55+H55)</f>
        <v>#N/A</v>
      </c>
      <c r="Q55" s="204"/>
      <c r="R55" s="200" t="e">
        <f aca="false">IF($A56="","",VLOOKUP($A55,Table,MATCH(R$4,Curves,0)))</f>
        <v>#N/A</v>
      </c>
      <c r="S55" s="201" t="e">
        <f aca="false">IF(A56="","",R55)</f>
        <v>#N/A</v>
      </c>
      <c r="T55" s="200" t="e">
        <f aca="false">IF($A56="","",VLOOKUP($A55,Table,MATCH(T$4,Curves,0)))</f>
        <v>#N/A</v>
      </c>
      <c r="U55" s="201" t="e">
        <f aca="false">IF(A56="","",T55)</f>
        <v>#N/A</v>
      </c>
      <c r="V55" s="183" t="e">
        <f aca="false">IF($A56="","",IF(AND(MONTH(A55)&gt;3,MONTH(A55)&lt;11),(T55+R55+G55)*Summary!$T$7/(1-Summary!$T$7),(T55+R55+G55)*Summary!$U$7/(1-Summary!$U$7)))</f>
        <v>#N/A</v>
      </c>
      <c r="W55" s="200" t="e">
        <f aca="false">IF($A56="","",(T55+R55+G55+V55))</f>
        <v>#N/A</v>
      </c>
      <c r="X55" s="200" t="e">
        <f aca="false">IF($A56="","",(U55+S55+H55+V55))</f>
        <v>#N/A</v>
      </c>
      <c r="Y55" s="202"/>
      <c r="Z55" s="185" t="e">
        <f aca="false">IF($A56="","",VLOOKUP($A55,Table,MATCH(Z$4,Curves,0)))</f>
        <v>#N/A</v>
      </c>
      <c r="AA55" s="185" t="e">
        <f aca="false">IF($A56="","",VLOOKUP($A55,Table,MATCH(AA$4,Curves,0)))</f>
        <v>#N/A</v>
      </c>
      <c r="AB55" s="185" t="e">
        <f aca="false">SQRT((AA55^2*(A55-$D$3)+Z55^2*(DAY(EOMONTH(A55,0))/2))/AK55)</f>
        <v>#N/A</v>
      </c>
      <c r="AC55" s="185" t="e">
        <f aca="false">IF($A56="","",VLOOKUP($A55,Table,MATCH(AC$4,Curves,0)))</f>
        <v>#N/A</v>
      </c>
      <c r="AD55" s="185" t="e">
        <f aca="false">IF($A56="","",VLOOKUP($A55,Table,MATCH(AD$4,Curves,0)))</f>
        <v>#N/A</v>
      </c>
      <c r="AE55" s="185" t="e">
        <f aca="false">SQRT((AD55^2*(A55-$D$3)+AC55^2*(DAY(EOMONTH(A55,0))/2))/AK55)</f>
        <v>#N/A</v>
      </c>
      <c r="AF55" s="206" t="e">
        <f aca="false">((Summary!$N$7*(AA55*AD55)*(A55-$D$3))+(Summary!$M$7*Z55*AC55*(DAY(EOMONTH(A55,0))/2)))/(AK55*AB55*AE55)</f>
        <v>#N/A</v>
      </c>
      <c r="AG55" s="207" t="n">
        <f aca="false">IF($A56="","",Summary!$Q$7)</f>
        <v>0</v>
      </c>
      <c r="AH55" s="207" t="n">
        <f aca="false">IF($A56="","",IF(Summary!$R$7="Y",(VLOOKUP($A55,Summary!$AD$6:$AF$9,3)+'Escalating commodity'!C68),'Escalating commodity'!C68))</f>
        <v>0.0224952</v>
      </c>
      <c r="AI55" s="207" t="n">
        <f aca="false">IF($A56="","",AH55)</f>
        <v>0.0224952</v>
      </c>
      <c r="AJ55" s="208" t="n">
        <f aca="false">A55+DAY(EOMONTH(A55,0))/2-1</f>
        <v>38426.5</v>
      </c>
      <c r="AK55" s="209" t="n">
        <f aca="false">IF($A56="","",$A55-$E$1)</f>
        <v>-7514</v>
      </c>
      <c r="AL55" s="182" t="e">
        <f aca="false">IF($A56="","",SPRDOPT(P55,X55,AI55,0,AB55,AE55,AF55,AK55,$AJ$2,0))</f>
        <v>#NAME?</v>
      </c>
      <c r="AM55" s="210" t="e">
        <f aca="false">IF($A56="","",MAX(0,O55-W55-AI55))</f>
        <v>#N/A</v>
      </c>
      <c r="AN55" s="211" t="e">
        <f aca="false">IF($A56="","",AL55-AM55)</f>
        <v>#N/A</v>
      </c>
      <c r="AO55" s="137" t="n">
        <f aca="false">IF(A56="","",A56-A55)</f>
        <v>31</v>
      </c>
      <c r="AP55" s="212" t="n">
        <f aca="false">IF(A56="","",CHOOSE(F$3,A56+24,A55))</f>
        <v>38412</v>
      </c>
      <c r="AQ55" s="209" t="n">
        <f aca="false">IF(A56="","",AP55-$E$1)</f>
        <v>-7514</v>
      </c>
      <c r="AR55" s="185" t="n">
        <f aca="false">IF(Summary!$H$2=1,VLOOKUP('ANR OK vs ML7'!A55,Curves!$C$17:$AR$273,MATCH('ANR OK vs ML7'!$AR$4,Curves!$C$8:$AQ$8,0)),0.1)</f>
        <v>0.1</v>
      </c>
      <c r="AS55" s="213" t="n">
        <f aca="false">IF(A56="","",1/(1+CHOOSE(F$3,(AR56+($I$3/10000))/2,(AR55+($I$3/10000))/2))^(2*AQ55/365.25))</f>
        <v>7.44425866232515</v>
      </c>
      <c r="AT55" s="137" t="n">
        <f aca="false">IF(A56="","",IF(AND(mthbeg&lt;=A55,mthend&gt;=A55),1,0))</f>
        <v>1</v>
      </c>
      <c r="AU55" s="137" t="n">
        <f aca="false">IF(A56="","",AO55*AT55)</f>
        <v>31</v>
      </c>
      <c r="AW55" s="195" t="e">
        <f aca="false">IF($A56="","",AL55*$E55)</f>
        <v>#NAME?</v>
      </c>
      <c r="AX55" s="195" t="e">
        <f aca="false">IF($A56="","",AM55*$E55)</f>
        <v>#N/A</v>
      </c>
      <c r="AY55" s="195" t="e">
        <f aca="false">IF($A56="","",AN55*$E55)</f>
        <v>#N/A</v>
      </c>
      <c r="BA55" s="195" t="n">
        <f aca="false">IF($A56="","",F55*Summary!$Q$7)</f>
        <v>0</v>
      </c>
      <c r="BC55" s="179" t="e">
        <f aca="false">IF(A56="","",AM55*F55)</f>
        <v>#N/A</v>
      </c>
    </row>
    <row r="56" customFormat="false" ht="12.75" hidden="false" customHeight="false" outlineLevel="0" collapsed="false">
      <c r="A56" s="196" t="n">
        <f aca="false">IF(A55&lt;mthend,EDATE(A55,1),"")</f>
        <v>38443</v>
      </c>
      <c r="B56" s="197" t="n">
        <f aca="false">IF(A56&lt;mthend,B55,"")</f>
        <v>40000</v>
      </c>
      <c r="C56" s="215"/>
      <c r="D56" s="197" t="n">
        <f aca="false">IF(A57&lt;&gt;"",B56+C56,"")</f>
        <v>40000</v>
      </c>
      <c r="E56" s="199" t="n">
        <f aca="false">IF(A57="","",IF(AND(AT56=1,$H$3=1),D56*AO56,IF($H$3=2,D56,"N/A")))</f>
        <v>1200000</v>
      </c>
      <c r="F56" s="199" t="n">
        <f aca="false">IF(A57="","",E56*AS56)</f>
        <v>8859432.14865354</v>
      </c>
      <c r="G56" s="200" t="e">
        <f aca="false">IF($A57="","",VLOOKUP($A56,Table,MATCH(G$4,Curves,0)))</f>
        <v>#N/A</v>
      </c>
      <c r="H56" s="201" t="e">
        <f aca="false">IF(A57="","",G56)</f>
        <v>#N/A</v>
      </c>
      <c r="I56" s="202"/>
      <c r="J56" s="200" t="e">
        <f aca="false">IF($A57="","",VLOOKUP($A56,Table,MATCH(J$4,Curves,0)))</f>
        <v>#N/A</v>
      </c>
      <c r="K56" s="201" t="e">
        <f aca="false">IF(A57="","",J56)</f>
        <v>#N/A</v>
      </c>
      <c r="L56" s="200" t="e">
        <f aca="false">IF($A57="","",VLOOKUP($A56,Table,MATCH(L$4,Curves,0)))</f>
        <v>#N/A</v>
      </c>
      <c r="M56" s="201" t="e">
        <f aca="false">IF(A57="","",L56)</f>
        <v>#N/A</v>
      </c>
      <c r="N56" s="203"/>
      <c r="O56" s="200" t="e">
        <f aca="false">IF(A57="","",L56+J56+G56)</f>
        <v>#N/A</v>
      </c>
      <c r="P56" s="200" t="e">
        <f aca="false">IF(A57="","",M56+K56+H56)</f>
        <v>#N/A</v>
      </c>
      <c r="Q56" s="204"/>
      <c r="R56" s="200" t="e">
        <f aca="false">IF($A57="","",VLOOKUP($A56,Table,MATCH(R$4,Curves,0)))</f>
        <v>#N/A</v>
      </c>
      <c r="S56" s="201" t="e">
        <f aca="false">IF(A57="","",R56)</f>
        <v>#N/A</v>
      </c>
      <c r="T56" s="200" t="e">
        <f aca="false">IF($A57="","",VLOOKUP($A56,Table,MATCH(T$4,Curves,0)))</f>
        <v>#N/A</v>
      </c>
      <c r="U56" s="201" t="e">
        <f aca="false">IF(A57="","",T56)</f>
        <v>#N/A</v>
      </c>
      <c r="V56" s="183" t="e">
        <f aca="false">IF($A57="","",IF(AND(MONTH(A56)&gt;3,MONTH(A56)&lt;11),(T56+R56+G56)*Summary!$T$7/(1-Summary!$T$7),(T56+R56+G56)*Summary!$U$7/(1-Summary!$U$7)))</f>
        <v>#N/A</v>
      </c>
      <c r="W56" s="200" t="e">
        <f aca="false">IF($A57="","",(T56+R56+G56+V56))</f>
        <v>#N/A</v>
      </c>
      <c r="X56" s="200" t="e">
        <f aca="false">IF($A57="","",(U56+S56+H56+V56))</f>
        <v>#N/A</v>
      </c>
      <c r="Y56" s="202"/>
      <c r="Z56" s="185" t="e">
        <f aca="false">IF($A57="","",VLOOKUP($A56,Table,MATCH(Z$4,Curves,0)))</f>
        <v>#N/A</v>
      </c>
      <c r="AA56" s="185" t="e">
        <f aca="false">IF($A57="","",VLOOKUP($A56,Table,MATCH(AA$4,Curves,0)))</f>
        <v>#N/A</v>
      </c>
      <c r="AB56" s="185" t="e">
        <f aca="false">SQRT((AA56^2*(A56-$D$3)+Z56^2*(DAY(EOMONTH(A56,0))/2))/AK56)</f>
        <v>#N/A</v>
      </c>
      <c r="AC56" s="185" t="e">
        <f aca="false">IF($A57="","",VLOOKUP($A56,Table,MATCH(AC$4,Curves,0)))</f>
        <v>#N/A</v>
      </c>
      <c r="AD56" s="185" t="e">
        <f aca="false">IF($A57="","",VLOOKUP($A56,Table,MATCH(AD$4,Curves,0)))</f>
        <v>#N/A</v>
      </c>
      <c r="AE56" s="185" t="e">
        <f aca="false">SQRT((AD56^2*(A56-$D$3)+AC56^2*(DAY(EOMONTH(A56,0))/2))/AK56)</f>
        <v>#N/A</v>
      </c>
      <c r="AF56" s="206" t="e">
        <f aca="false">((Summary!$N$7*(AA56*AD56)*(A56-$D$3))+(Summary!$M$7*Z56*AC56*(DAY(EOMONTH(A56,0))/2)))/(AK56*AB56*AE56)</f>
        <v>#N/A</v>
      </c>
      <c r="AG56" s="207" t="n">
        <f aca="false">IF($A57="","",Summary!$Q$7)</f>
        <v>0</v>
      </c>
      <c r="AH56" s="207" t="n">
        <f aca="false">IF($A57="","",IF(Summary!$R$7="Y",(VLOOKUP($A56,Summary!$AD$6:$AF$9,3)+'Escalating commodity'!C69),'Escalating commodity'!C69))</f>
        <v>0.0224952</v>
      </c>
      <c r="AI56" s="207" t="n">
        <f aca="false">IF($A57="","",AH56)</f>
        <v>0.0224952</v>
      </c>
      <c r="AJ56" s="208" t="n">
        <f aca="false">A56+DAY(EOMONTH(A56,0))/2-1</f>
        <v>38457</v>
      </c>
      <c r="AK56" s="209" t="n">
        <f aca="false">IF($A57="","",$A56-$E$1)</f>
        <v>-7483</v>
      </c>
      <c r="AL56" s="182" t="e">
        <f aca="false">IF($A57="","",SPRDOPT(P56,X56,AI56,0,AB56,AE56,AF56,AK56,$AJ$2,0))</f>
        <v>#NAME?</v>
      </c>
      <c r="AM56" s="210" t="e">
        <f aca="false">IF($A57="","",MAX(0,O56-W56-AI56))</f>
        <v>#N/A</v>
      </c>
      <c r="AN56" s="211" t="e">
        <f aca="false">IF($A57="","",AL56-AM56)</f>
        <v>#N/A</v>
      </c>
      <c r="AO56" s="137" t="n">
        <f aca="false">IF(A57="","",A57-A56)</f>
        <v>30</v>
      </c>
      <c r="AP56" s="212" t="n">
        <f aca="false">IF(A57="","",CHOOSE(F$3,A57+24,A56))</f>
        <v>38443</v>
      </c>
      <c r="AQ56" s="209" t="n">
        <f aca="false">IF(A57="","",AP56-$E$1)</f>
        <v>-7483</v>
      </c>
      <c r="AR56" s="185" t="n">
        <f aca="false">IF(Summary!$H$2=1,VLOOKUP('ANR OK vs ML7'!A56,Curves!$C$17:$AR$273,MATCH('ANR OK vs ML7'!$AR$4,Curves!$C$8:$AQ$8,0)),0.1)</f>
        <v>0.1</v>
      </c>
      <c r="AS56" s="213" t="n">
        <f aca="false">IF(A57="","",1/(1+CHOOSE(F$3,(AR57+($I$3/10000))/2,(AR56+($I$3/10000))/2))^(2*AQ56/365.25))</f>
        <v>7.38286012387795</v>
      </c>
      <c r="AT56" s="137" t="n">
        <f aca="false">IF(A57="","",IF(AND(mthbeg&lt;=A56,mthend&gt;=A56),1,0))</f>
        <v>1</v>
      </c>
      <c r="AU56" s="137" t="n">
        <f aca="false">IF(A57="","",AO56*AT56)</f>
        <v>30</v>
      </c>
      <c r="AW56" s="195" t="e">
        <f aca="false">IF($A57="","",AL56*$E56)</f>
        <v>#NAME?</v>
      </c>
      <c r="AX56" s="195" t="e">
        <f aca="false">IF($A57="","",AM56*$E56)</f>
        <v>#N/A</v>
      </c>
      <c r="AY56" s="195" t="e">
        <f aca="false">IF($A57="","",AN56*$E56)</f>
        <v>#N/A</v>
      </c>
      <c r="BA56" s="195" t="n">
        <f aca="false">IF($A57="","",F56*Summary!$Q$7)</f>
        <v>0</v>
      </c>
      <c r="BC56" s="179" t="e">
        <f aca="false">IF(A57="","",AM56*F56)</f>
        <v>#N/A</v>
      </c>
    </row>
    <row r="57" customFormat="false" ht="12.75" hidden="false" customHeight="false" outlineLevel="0" collapsed="false">
      <c r="A57" s="196" t="n">
        <f aca="false">IF(A56&lt;mthend,EDATE(A56,1),"")</f>
        <v>38473</v>
      </c>
      <c r="B57" s="197" t="n">
        <f aca="false">IF(A57&lt;mthend,B56,"")</f>
        <v>40000</v>
      </c>
      <c r="C57" s="215"/>
      <c r="D57" s="197" t="n">
        <f aca="false">IF(A58&lt;&gt;"",B57+C57,"")</f>
        <v>40000</v>
      </c>
      <c r="E57" s="199" t="n">
        <f aca="false">IF(A58="","",IF(AND(AT57=1,$H$3=1),D57*AO57,IF($H$3=2,D57,"N/A")))</f>
        <v>1240000</v>
      </c>
      <c r="F57" s="199" t="n">
        <f aca="false">IF(A58="","",E57*AS57)</f>
        <v>9081666.24057711</v>
      </c>
      <c r="G57" s="200" t="e">
        <f aca="false">IF($A58="","",VLOOKUP($A57,Table,MATCH(G$4,Curves,0)))</f>
        <v>#N/A</v>
      </c>
      <c r="H57" s="201" t="e">
        <f aca="false">IF(A58="","",G57)</f>
        <v>#N/A</v>
      </c>
      <c r="I57" s="202"/>
      <c r="J57" s="200" t="e">
        <f aca="false">IF($A58="","",VLOOKUP($A57,Table,MATCH(J$4,Curves,0)))</f>
        <v>#N/A</v>
      </c>
      <c r="K57" s="201" t="e">
        <f aca="false">IF(A58="","",J57)</f>
        <v>#N/A</v>
      </c>
      <c r="L57" s="200" t="e">
        <f aca="false">IF($A58="","",VLOOKUP($A57,Table,MATCH(L$4,Curves,0)))</f>
        <v>#N/A</v>
      </c>
      <c r="M57" s="201" t="e">
        <f aca="false">IF(A58="","",L57)</f>
        <v>#N/A</v>
      </c>
      <c r="N57" s="203"/>
      <c r="O57" s="200" t="e">
        <f aca="false">IF(A58="","",L57+J57+G57)</f>
        <v>#N/A</v>
      </c>
      <c r="P57" s="200" t="e">
        <f aca="false">IF(A58="","",M57+K57+H57)</f>
        <v>#N/A</v>
      </c>
      <c r="Q57" s="204"/>
      <c r="R57" s="200" t="e">
        <f aca="false">IF($A58="","",VLOOKUP($A57,Table,MATCH(R$4,Curves,0)))</f>
        <v>#N/A</v>
      </c>
      <c r="S57" s="201" t="e">
        <f aca="false">IF(A58="","",R57)</f>
        <v>#N/A</v>
      </c>
      <c r="T57" s="200" t="e">
        <f aca="false">IF($A58="","",VLOOKUP($A57,Table,MATCH(T$4,Curves,0)))</f>
        <v>#N/A</v>
      </c>
      <c r="U57" s="201" t="e">
        <f aca="false">IF(A58="","",T57)</f>
        <v>#N/A</v>
      </c>
      <c r="V57" s="183" t="e">
        <f aca="false">IF($A58="","",IF(AND(MONTH(A57)&gt;3,MONTH(A57)&lt;11),(T57+R57+G57)*Summary!$T$7/(1-Summary!$T$7),(T57+R57+G57)*Summary!$U$7/(1-Summary!$U$7)))</f>
        <v>#N/A</v>
      </c>
      <c r="W57" s="200" t="e">
        <f aca="false">IF($A58="","",(T57+R57+G57+V57))</f>
        <v>#N/A</v>
      </c>
      <c r="X57" s="200" t="e">
        <f aca="false">IF($A58="","",(U57+S57+H57+V57))</f>
        <v>#N/A</v>
      </c>
      <c r="Y57" s="202"/>
      <c r="Z57" s="185" t="e">
        <f aca="false">IF($A58="","",VLOOKUP($A57,Table,MATCH(Z$4,Curves,0)))</f>
        <v>#N/A</v>
      </c>
      <c r="AA57" s="185" t="e">
        <f aca="false">IF($A58="","",VLOOKUP($A57,Table,MATCH(AA$4,Curves,0)))</f>
        <v>#N/A</v>
      </c>
      <c r="AB57" s="185" t="e">
        <f aca="false">SQRT((AA57^2*(A57-$D$3)+Z57^2*(DAY(EOMONTH(A57,0))/2))/AK57)</f>
        <v>#N/A</v>
      </c>
      <c r="AC57" s="185" t="e">
        <f aca="false">IF($A58="","",VLOOKUP($A57,Table,MATCH(AC$4,Curves,0)))</f>
        <v>#N/A</v>
      </c>
      <c r="AD57" s="185" t="e">
        <f aca="false">IF($A58="","",VLOOKUP($A57,Table,MATCH(AD$4,Curves,0)))</f>
        <v>#N/A</v>
      </c>
      <c r="AE57" s="185" t="e">
        <f aca="false">SQRT((AD57^2*(A57-$D$3)+AC57^2*(DAY(EOMONTH(A57,0))/2))/AK57)</f>
        <v>#N/A</v>
      </c>
      <c r="AF57" s="206" t="e">
        <f aca="false">((Summary!$N$7*(AA57*AD57)*(A57-$D$3))+(Summary!$M$7*Z57*AC57*(DAY(EOMONTH(A57,0))/2)))/(AK57*AB57*AE57)</f>
        <v>#N/A</v>
      </c>
      <c r="AG57" s="207" t="n">
        <f aca="false">IF($A58="","",Summary!$Q$7)</f>
        <v>0</v>
      </c>
      <c r="AH57" s="207" t="n">
        <f aca="false">IF($A58="","",IF(Summary!$R$7="Y",(VLOOKUP($A57,Summary!$AD$6:$AF$9,3)+'Escalating commodity'!C70),'Escalating commodity'!C70))</f>
        <v>0.0224952</v>
      </c>
      <c r="AI57" s="207" t="n">
        <f aca="false">IF($A58="","",AH57)</f>
        <v>0.0224952</v>
      </c>
      <c r="AJ57" s="208" t="n">
        <f aca="false">A57+DAY(EOMONTH(A57,0))/2-1</f>
        <v>38487.5</v>
      </c>
      <c r="AK57" s="209" t="n">
        <f aca="false">IF($A58="","",$A57-$E$1)</f>
        <v>-7453</v>
      </c>
      <c r="AL57" s="182" t="e">
        <f aca="false">IF($A58="","",SPRDOPT(P57,X57,AI57,0,AB57,AE57,AF57,AK57,$AJ$2,0))</f>
        <v>#NAME?</v>
      </c>
      <c r="AM57" s="210" t="e">
        <f aca="false">IF($A58="","",MAX(0,O57-W57-AI57))</f>
        <v>#N/A</v>
      </c>
      <c r="AN57" s="211" t="e">
        <f aca="false">IF($A58="","",AL57-AM57)</f>
        <v>#N/A</v>
      </c>
      <c r="AO57" s="137" t="n">
        <f aca="false">IF(A58="","",A58-A57)</f>
        <v>31</v>
      </c>
      <c r="AP57" s="212" t="n">
        <f aca="false">IF(A58="","",CHOOSE(F$3,A58+24,A57))</f>
        <v>38473</v>
      </c>
      <c r="AQ57" s="209" t="n">
        <f aca="false">IF(A58="","",AP57-$E$1)</f>
        <v>-7453</v>
      </c>
      <c r="AR57" s="185" t="n">
        <f aca="false">IF(Summary!$H$2=1,VLOOKUP('ANR OK vs ML7'!A57,Curves!$C$17:$AR$273,MATCH('ANR OK vs ML7'!$AR$4,Curves!$C$8:$AQ$8,0)),0.1)</f>
        <v>0.1</v>
      </c>
      <c r="AS57" s="213" t="n">
        <f aca="false">IF(A58="","",1/(1+CHOOSE(F$3,(AR58+($I$3/10000))/2,(AR57+($I$3/10000))/2))^(2*AQ57/365.25))</f>
        <v>7.32392438756219</v>
      </c>
      <c r="AT57" s="137" t="n">
        <f aca="false">IF(A58="","",IF(AND(mthbeg&lt;=A57,mthend&gt;=A57),1,0))</f>
        <v>1</v>
      </c>
      <c r="AU57" s="137" t="n">
        <f aca="false">IF(A58="","",AO57*AT57)</f>
        <v>31</v>
      </c>
      <c r="AW57" s="195" t="e">
        <f aca="false">IF($A58="","",AL57*$E57)</f>
        <v>#NAME?</v>
      </c>
      <c r="AX57" s="195" t="e">
        <f aca="false">IF($A58="","",AM57*$E57)</f>
        <v>#N/A</v>
      </c>
      <c r="AY57" s="195" t="e">
        <f aca="false">IF($A58="","",AN57*$E57)</f>
        <v>#N/A</v>
      </c>
      <c r="BA57" s="195" t="n">
        <f aca="false">IF($A58="","",F57*Summary!$Q$7)</f>
        <v>0</v>
      </c>
      <c r="BC57" s="179" t="e">
        <f aca="false">IF(A58="","",AM57*F57)</f>
        <v>#N/A</v>
      </c>
    </row>
    <row r="58" customFormat="false" ht="12.75" hidden="false" customHeight="false" outlineLevel="0" collapsed="false">
      <c r="A58" s="196" t="n">
        <f aca="false">IF(A57&lt;mthend,EDATE(A57,1),"")</f>
        <v>38504</v>
      </c>
      <c r="B58" s="197" t="n">
        <f aca="false">IF(A58&lt;mthend,B57,"")</f>
        <v>40000</v>
      </c>
      <c r="C58" s="215"/>
      <c r="D58" s="197" t="n">
        <f aca="false">IF(A59&lt;&gt;"",B58+C58,"")</f>
        <v>40000</v>
      </c>
      <c r="E58" s="199" t="n">
        <f aca="false">IF(A59="","",IF(AND(AT58=1,$H$3=1),D58*AO58,IF($H$3=2,D58,"N/A")))</f>
        <v>1200000</v>
      </c>
      <c r="F58" s="199" t="n">
        <f aca="false">IF(A59="","",E58*AS58)</f>
        <v>8716222.00634409</v>
      </c>
      <c r="G58" s="200" t="e">
        <f aca="false">IF($A59="","",VLOOKUP($A58,Table,MATCH(G$4,Curves,0)))</f>
        <v>#N/A</v>
      </c>
      <c r="H58" s="201" t="e">
        <f aca="false">IF(A59="","",G58)</f>
        <v>#N/A</v>
      </c>
      <c r="I58" s="202"/>
      <c r="J58" s="200" t="e">
        <f aca="false">IF($A59="","",VLOOKUP($A58,Table,MATCH(J$4,Curves,0)))</f>
        <v>#N/A</v>
      </c>
      <c r="K58" s="201" t="e">
        <f aca="false">IF(A59="","",J58)</f>
        <v>#N/A</v>
      </c>
      <c r="L58" s="200" t="e">
        <f aca="false">IF($A59="","",VLOOKUP($A58,Table,MATCH(L$4,Curves,0)))</f>
        <v>#N/A</v>
      </c>
      <c r="M58" s="201" t="e">
        <f aca="false">IF(A59="","",L58)</f>
        <v>#N/A</v>
      </c>
      <c r="N58" s="203"/>
      <c r="O58" s="200" t="e">
        <f aca="false">IF(A59="","",L58+J58+G58)</f>
        <v>#N/A</v>
      </c>
      <c r="P58" s="200" t="e">
        <f aca="false">IF(A59="","",M58+K58+H58)</f>
        <v>#N/A</v>
      </c>
      <c r="Q58" s="204"/>
      <c r="R58" s="200" t="e">
        <f aca="false">IF($A59="","",VLOOKUP($A58,Table,MATCH(R$4,Curves,0)))</f>
        <v>#N/A</v>
      </c>
      <c r="S58" s="201" t="e">
        <f aca="false">IF(A59="","",R58)</f>
        <v>#N/A</v>
      </c>
      <c r="T58" s="200" t="e">
        <f aca="false">IF($A59="","",VLOOKUP($A58,Table,MATCH(T$4,Curves,0)))</f>
        <v>#N/A</v>
      </c>
      <c r="U58" s="201" t="e">
        <f aca="false">IF(A59="","",T58)</f>
        <v>#N/A</v>
      </c>
      <c r="V58" s="183" t="e">
        <f aca="false">IF($A59="","",IF(AND(MONTH(A58)&gt;3,MONTH(A58)&lt;11),(T58+R58+G58)*Summary!$T$7/(1-Summary!$T$7),(T58+R58+G58)*Summary!$U$7/(1-Summary!$U$7)))</f>
        <v>#N/A</v>
      </c>
      <c r="W58" s="200" t="e">
        <f aca="false">IF($A59="","",(T58+R58+G58+V58))</f>
        <v>#N/A</v>
      </c>
      <c r="X58" s="200" t="e">
        <f aca="false">IF($A59="","",(U58+S58+H58+V58))</f>
        <v>#N/A</v>
      </c>
      <c r="Y58" s="202"/>
      <c r="Z58" s="185" t="e">
        <f aca="false">IF($A59="","",VLOOKUP($A58,Table,MATCH(Z$4,Curves,0)))</f>
        <v>#N/A</v>
      </c>
      <c r="AA58" s="185" t="e">
        <f aca="false">IF($A59="","",VLOOKUP($A58,Table,MATCH(AA$4,Curves,0)))</f>
        <v>#N/A</v>
      </c>
      <c r="AB58" s="185" t="e">
        <f aca="false">SQRT((AA58^2*(A58-$D$3)+Z58^2*(DAY(EOMONTH(A58,0))/2))/AK58)</f>
        <v>#N/A</v>
      </c>
      <c r="AC58" s="185" t="e">
        <f aca="false">IF($A59="","",VLOOKUP($A58,Table,MATCH(AC$4,Curves,0)))</f>
        <v>#N/A</v>
      </c>
      <c r="AD58" s="185" t="e">
        <f aca="false">IF($A59="","",VLOOKUP($A58,Table,MATCH(AD$4,Curves,0)))</f>
        <v>#N/A</v>
      </c>
      <c r="AE58" s="185" t="e">
        <f aca="false">SQRT((AD58^2*(A58-$D$3)+AC58^2*(DAY(EOMONTH(A58,0))/2))/AK58)</f>
        <v>#N/A</v>
      </c>
      <c r="AF58" s="206" t="e">
        <f aca="false">((Summary!$N$7*(AA58*AD58)*(A58-$D$3))+(Summary!$M$7*Z58*AC58*(DAY(EOMONTH(A58,0))/2)))/(AK58*AB58*AE58)</f>
        <v>#N/A</v>
      </c>
      <c r="AG58" s="207" t="n">
        <f aca="false">IF($A59="","",Summary!$Q$7)</f>
        <v>0</v>
      </c>
      <c r="AH58" s="207" t="n">
        <f aca="false">IF($A59="","",IF(Summary!$R$7="Y",(VLOOKUP($A58,Summary!$AD$6:$AF$9,3)+'Escalating commodity'!C71),'Escalating commodity'!C71))</f>
        <v>0.0224952</v>
      </c>
      <c r="AI58" s="207" t="n">
        <f aca="false">IF($A59="","",AH58)</f>
        <v>0.0224952</v>
      </c>
      <c r="AJ58" s="208" t="n">
        <f aca="false">A58+DAY(EOMONTH(A58,0))/2-1</f>
        <v>38518</v>
      </c>
      <c r="AK58" s="209" t="n">
        <f aca="false">IF($A59="","",$A58-$E$1)</f>
        <v>-7422</v>
      </c>
      <c r="AL58" s="182" t="e">
        <f aca="false">IF($A59="","",SPRDOPT(P58,X58,AI58,0,AB58,AE58,AF58,AK58,$AJ$2,0))</f>
        <v>#NAME?</v>
      </c>
      <c r="AM58" s="210" t="e">
        <f aca="false">IF($A59="","",MAX(0,O58-W58-AI58))</f>
        <v>#N/A</v>
      </c>
      <c r="AN58" s="211" t="e">
        <f aca="false">IF($A59="","",AL58-AM58)</f>
        <v>#N/A</v>
      </c>
      <c r="AO58" s="137" t="n">
        <f aca="false">IF(A59="","",A59-A58)</f>
        <v>30</v>
      </c>
      <c r="AP58" s="212" t="n">
        <f aca="false">IF(A59="","",CHOOSE(F$3,A59+24,A58))</f>
        <v>38504</v>
      </c>
      <c r="AQ58" s="209" t="n">
        <f aca="false">IF(A59="","",AP58-$E$1)</f>
        <v>-7422</v>
      </c>
      <c r="AR58" s="185" t="n">
        <f aca="false">IF(Summary!$H$2=1,VLOOKUP('ANR OK vs ML7'!A58,Curves!$C$17:$AR$273,MATCH('ANR OK vs ML7'!$AR$4,Curves!$C$8:$AQ$8,0)),0.1)</f>
        <v>0.1</v>
      </c>
      <c r="AS58" s="213" t="n">
        <f aca="false">IF(A59="","",1/(1+CHOOSE(F$3,(AR59+($I$3/10000))/2,(AR58+($I$3/10000))/2))^(2*AQ58/365.25))</f>
        <v>7.26351833862008</v>
      </c>
      <c r="AT58" s="137" t="n">
        <f aca="false">IF(A59="","",IF(AND(mthbeg&lt;=A58,mthend&gt;=A58),1,0))</f>
        <v>1</v>
      </c>
      <c r="AU58" s="137" t="n">
        <f aca="false">IF(A59="","",AO58*AT58)</f>
        <v>30</v>
      </c>
      <c r="AW58" s="195" t="e">
        <f aca="false">IF($A59="","",AL58*$E58)</f>
        <v>#NAME?</v>
      </c>
      <c r="AX58" s="195" t="e">
        <f aca="false">IF($A59="","",AM58*$E58)</f>
        <v>#N/A</v>
      </c>
      <c r="AY58" s="195" t="e">
        <f aca="false">IF($A59="","",AN58*$E58)</f>
        <v>#N/A</v>
      </c>
      <c r="BA58" s="195" t="n">
        <f aca="false">IF($A59="","",F58*Summary!$Q$7)</f>
        <v>0</v>
      </c>
      <c r="BC58" s="179" t="e">
        <f aca="false">IF(A59="","",AM58*F58)</f>
        <v>#N/A</v>
      </c>
    </row>
    <row r="59" customFormat="false" ht="12.75" hidden="false" customHeight="false" outlineLevel="0" collapsed="false">
      <c r="A59" s="196" t="n">
        <f aca="false">IF(A58&lt;mthend,EDATE(A58,1),"")</f>
        <v>38534</v>
      </c>
      <c r="B59" s="197" t="n">
        <f aca="false">IF(A59&lt;mthend,B58,"")</f>
        <v>40000</v>
      </c>
      <c r="C59" s="215"/>
      <c r="D59" s="197" t="n">
        <f aca="false">IF(A60&lt;&gt;"",B59+C59,"")</f>
        <v>40000</v>
      </c>
      <c r="E59" s="199" t="n">
        <f aca="false">IF(A60="","",IF(AND(AT59=1,$H$3=1),D59*AO59,IF($H$3=2,D59,"N/A")))</f>
        <v>1240000</v>
      </c>
      <c r="F59" s="199" t="n">
        <f aca="false">IF(A60="","",E59*AS59)</f>
        <v>8934863.74884884</v>
      </c>
      <c r="G59" s="200" t="e">
        <f aca="false">IF($A60="","",VLOOKUP($A59,Table,MATCH(G$4,Curves,0)))</f>
        <v>#N/A</v>
      </c>
      <c r="H59" s="201" t="e">
        <f aca="false">IF(A60="","",G59)</f>
        <v>#N/A</v>
      </c>
      <c r="I59" s="202"/>
      <c r="J59" s="200" t="e">
        <f aca="false">IF($A60="","",VLOOKUP($A59,Table,MATCH(J$4,Curves,0)))</f>
        <v>#N/A</v>
      </c>
      <c r="K59" s="201" t="e">
        <f aca="false">IF(A60="","",J59)</f>
        <v>#N/A</v>
      </c>
      <c r="L59" s="200" t="e">
        <f aca="false">IF($A60="","",VLOOKUP($A59,Table,MATCH(L$4,Curves,0)))</f>
        <v>#N/A</v>
      </c>
      <c r="M59" s="201" t="e">
        <f aca="false">IF(A60="","",L59)</f>
        <v>#N/A</v>
      </c>
      <c r="N59" s="203"/>
      <c r="O59" s="200" t="e">
        <f aca="false">IF(A60="","",L59+J59+G59)</f>
        <v>#N/A</v>
      </c>
      <c r="P59" s="200" t="e">
        <f aca="false">IF(A60="","",M59+K59+H59)</f>
        <v>#N/A</v>
      </c>
      <c r="Q59" s="204"/>
      <c r="R59" s="200" t="e">
        <f aca="false">IF($A60="","",VLOOKUP($A59,Table,MATCH(R$4,Curves,0)))</f>
        <v>#N/A</v>
      </c>
      <c r="S59" s="201" t="e">
        <f aca="false">IF(A60="","",R59)</f>
        <v>#N/A</v>
      </c>
      <c r="T59" s="200" t="e">
        <f aca="false">IF($A60="","",VLOOKUP($A59,Table,MATCH(T$4,Curves,0)))</f>
        <v>#N/A</v>
      </c>
      <c r="U59" s="201" t="e">
        <f aca="false">IF(A60="","",T59)</f>
        <v>#N/A</v>
      </c>
      <c r="V59" s="183" t="e">
        <f aca="false">IF($A60="","",IF(AND(MONTH(A59)&gt;3,MONTH(A59)&lt;11),(T59+R59+G59)*Summary!$T$7/(1-Summary!$T$7),(T59+R59+G59)*Summary!$U$7/(1-Summary!$U$7)))</f>
        <v>#N/A</v>
      </c>
      <c r="W59" s="200" t="e">
        <f aca="false">IF($A60="","",(T59+R59+G59+V59))</f>
        <v>#N/A</v>
      </c>
      <c r="X59" s="200" t="e">
        <f aca="false">IF($A60="","",(U59+S59+H59+V59))</f>
        <v>#N/A</v>
      </c>
      <c r="Y59" s="202"/>
      <c r="Z59" s="185" t="e">
        <f aca="false">IF($A60="","",VLOOKUP($A59,Table,MATCH(Z$4,Curves,0)))</f>
        <v>#N/A</v>
      </c>
      <c r="AA59" s="185" t="e">
        <f aca="false">IF($A60="","",VLOOKUP($A59,Table,MATCH(AA$4,Curves,0)))</f>
        <v>#N/A</v>
      </c>
      <c r="AB59" s="185" t="e">
        <f aca="false">SQRT((AA59^2*(A59-$D$3)+Z59^2*(DAY(EOMONTH(A59,0))/2))/AK59)</f>
        <v>#N/A</v>
      </c>
      <c r="AC59" s="185" t="e">
        <f aca="false">IF($A60="","",VLOOKUP($A59,Table,MATCH(AC$4,Curves,0)))</f>
        <v>#N/A</v>
      </c>
      <c r="AD59" s="185" t="e">
        <f aca="false">IF($A60="","",VLOOKUP($A59,Table,MATCH(AD$4,Curves,0)))</f>
        <v>#N/A</v>
      </c>
      <c r="AE59" s="185" t="e">
        <f aca="false">SQRT((AD59^2*(A59-$D$3)+AC59^2*(DAY(EOMONTH(A59,0))/2))/AK59)</f>
        <v>#N/A</v>
      </c>
      <c r="AF59" s="206" t="e">
        <f aca="false">((Summary!$N$7*(AA59*AD59)*(A59-$D$3))+(Summary!$M$7*Z59*AC59*(DAY(EOMONTH(A59,0))/2)))/(AK59*AB59*AE59)</f>
        <v>#N/A</v>
      </c>
      <c r="AG59" s="207" t="n">
        <f aca="false">IF($A60="","",Summary!$Q$7)</f>
        <v>0</v>
      </c>
      <c r="AH59" s="207" t="n">
        <f aca="false">IF($A60="","",IF(Summary!$R$7="Y",(VLOOKUP($A59,Summary!$AD$6:$AF$9,3)+'Escalating commodity'!C72),'Escalating commodity'!C72))</f>
        <v>0.0224952</v>
      </c>
      <c r="AI59" s="207" t="n">
        <f aca="false">IF($A60="","",AH59)</f>
        <v>0.0224952</v>
      </c>
      <c r="AJ59" s="208" t="n">
        <f aca="false">A59+DAY(EOMONTH(A59,0))/2-1</f>
        <v>38548.5</v>
      </c>
      <c r="AK59" s="209" t="n">
        <f aca="false">IF($A60="","",$A59-$E$1)</f>
        <v>-7392</v>
      </c>
      <c r="AL59" s="182" t="e">
        <f aca="false">IF($A60="","",SPRDOPT(P59,X59,AI59,0,AB59,AE59,AF59,AK59,$AJ$2,0))</f>
        <v>#NAME?</v>
      </c>
      <c r="AM59" s="210" t="e">
        <f aca="false">IF($A60="","",MAX(0,O59-W59-AI59))</f>
        <v>#N/A</v>
      </c>
      <c r="AN59" s="211" t="e">
        <f aca="false">IF($A60="","",AL59-AM59)</f>
        <v>#N/A</v>
      </c>
      <c r="AO59" s="137" t="n">
        <f aca="false">IF(A60="","",A60-A59)</f>
        <v>31</v>
      </c>
      <c r="AP59" s="212" t="n">
        <f aca="false">IF(A60="","",CHOOSE(F$3,A60+24,A59))</f>
        <v>38534</v>
      </c>
      <c r="AQ59" s="209" t="n">
        <f aca="false">IF(A60="","",AP59-$E$1)</f>
        <v>-7392</v>
      </c>
      <c r="AR59" s="185" t="n">
        <f aca="false">IF(Summary!$H$2=1,VLOOKUP('ANR OK vs ML7'!A59,Curves!$C$17:$AR$273,MATCH('ANR OK vs ML7'!$AR$4,Curves!$C$8:$AQ$8,0)),0.1)</f>
        <v>0.1</v>
      </c>
      <c r="AS59" s="213" t="n">
        <f aca="false">IF(A60="","",1/(1+CHOOSE(F$3,(AR60+($I$3/10000))/2,(AR59+($I$3/10000))/2))^(2*AQ59/365.25))</f>
        <v>7.20553528132971</v>
      </c>
      <c r="AT59" s="137" t="n">
        <f aca="false">IF(A60="","",IF(AND(mthbeg&lt;=A59,mthend&gt;=A59),1,0))</f>
        <v>1</v>
      </c>
      <c r="AU59" s="137" t="n">
        <f aca="false">IF(A60="","",AO59*AT59)</f>
        <v>31</v>
      </c>
      <c r="AW59" s="195" t="e">
        <f aca="false">IF($A60="","",AL59*$E59)</f>
        <v>#NAME?</v>
      </c>
      <c r="AX59" s="195" t="e">
        <f aca="false">IF($A60="","",AM59*$E59)</f>
        <v>#N/A</v>
      </c>
      <c r="AY59" s="195" t="e">
        <f aca="false">IF($A60="","",AN59*$E59)</f>
        <v>#N/A</v>
      </c>
      <c r="BA59" s="195" t="n">
        <f aca="false">IF($A60="","",F59*Summary!$Q$7)</f>
        <v>0</v>
      </c>
      <c r="BC59" s="179" t="e">
        <f aca="false">IF(A60="","",AM59*F59)</f>
        <v>#N/A</v>
      </c>
    </row>
    <row r="60" customFormat="false" ht="12.75" hidden="false" customHeight="false" outlineLevel="0" collapsed="false">
      <c r="A60" s="196" t="n">
        <f aca="false">IF(A59&lt;mthend,EDATE(A59,1),"")</f>
        <v>38565</v>
      </c>
      <c r="B60" s="197" t="n">
        <f aca="false">IF(A60&lt;mthend,B59,"")</f>
        <v>40000</v>
      </c>
      <c r="C60" s="215"/>
      <c r="D60" s="197" t="n">
        <f aca="false">IF(A61&lt;&gt;"",B60+C60,"")</f>
        <v>40000</v>
      </c>
      <c r="E60" s="199" t="n">
        <f aca="false">IF(A61="","",IF(AND(AT60=1,$H$3=1),D60*AO60,IF($H$3=2,D60,"N/A")))</f>
        <v>1240000</v>
      </c>
      <c r="F60" s="199" t="n">
        <f aca="false">IF(A61="","",E60*AS60)</f>
        <v>8861171.04144997</v>
      </c>
      <c r="G60" s="200" t="e">
        <f aca="false">IF($A61="","",VLOOKUP($A60,Table,MATCH(G$4,Curves,0)))</f>
        <v>#N/A</v>
      </c>
      <c r="H60" s="201" t="e">
        <f aca="false">IF(A61="","",G60)</f>
        <v>#N/A</v>
      </c>
      <c r="I60" s="202"/>
      <c r="J60" s="200" t="e">
        <f aca="false">IF($A61="","",VLOOKUP($A60,Table,MATCH(J$4,Curves,0)))</f>
        <v>#N/A</v>
      </c>
      <c r="K60" s="201" t="e">
        <f aca="false">IF(A61="","",J60)</f>
        <v>#N/A</v>
      </c>
      <c r="L60" s="200" t="e">
        <f aca="false">IF($A61="","",VLOOKUP($A60,Table,MATCH(L$4,Curves,0)))</f>
        <v>#N/A</v>
      </c>
      <c r="M60" s="201" t="e">
        <f aca="false">IF(A61="","",L60)</f>
        <v>#N/A</v>
      </c>
      <c r="N60" s="203"/>
      <c r="O60" s="200" t="e">
        <f aca="false">IF(A61="","",L60+J60+G60)</f>
        <v>#N/A</v>
      </c>
      <c r="P60" s="200" t="e">
        <f aca="false">IF(A61="","",M60+K60+H60)</f>
        <v>#N/A</v>
      </c>
      <c r="Q60" s="204"/>
      <c r="R60" s="200" t="e">
        <f aca="false">IF($A61="","",VLOOKUP($A60,Table,MATCH(R$4,Curves,0)))</f>
        <v>#N/A</v>
      </c>
      <c r="S60" s="201" t="e">
        <f aca="false">IF(A61="","",R60)</f>
        <v>#N/A</v>
      </c>
      <c r="T60" s="200" t="e">
        <f aca="false">IF($A61="","",VLOOKUP($A60,Table,MATCH(T$4,Curves,0)))</f>
        <v>#N/A</v>
      </c>
      <c r="U60" s="201" t="e">
        <f aca="false">IF(A61="","",T60)</f>
        <v>#N/A</v>
      </c>
      <c r="V60" s="183" t="e">
        <f aca="false">IF($A61="","",IF(AND(MONTH(A60)&gt;3,MONTH(A60)&lt;11),(T60+R60+G60)*Summary!$T$7/(1-Summary!$T$7),(T60+R60+G60)*Summary!$U$7/(1-Summary!$U$7)))</f>
        <v>#N/A</v>
      </c>
      <c r="W60" s="200" t="e">
        <f aca="false">IF($A61="","",(T60+R60+G60+V60))</f>
        <v>#N/A</v>
      </c>
      <c r="X60" s="200" t="e">
        <f aca="false">IF($A61="","",(U60+S60+H60+V60))</f>
        <v>#N/A</v>
      </c>
      <c r="Y60" s="202"/>
      <c r="Z60" s="185" t="e">
        <f aca="false">IF($A61="","",VLOOKUP($A60,Table,MATCH(Z$4,Curves,0)))</f>
        <v>#N/A</v>
      </c>
      <c r="AA60" s="185" t="e">
        <f aca="false">IF($A61="","",VLOOKUP($A60,Table,MATCH(AA$4,Curves,0)))</f>
        <v>#N/A</v>
      </c>
      <c r="AB60" s="185" t="e">
        <f aca="false">SQRT((AA60^2*(A60-$D$3)+Z60^2*(DAY(EOMONTH(A60,0))/2))/AK60)</f>
        <v>#N/A</v>
      </c>
      <c r="AC60" s="185" t="e">
        <f aca="false">IF($A61="","",VLOOKUP($A60,Table,MATCH(AC$4,Curves,0)))</f>
        <v>#N/A</v>
      </c>
      <c r="AD60" s="185" t="e">
        <f aca="false">IF($A61="","",VLOOKUP($A60,Table,MATCH(AD$4,Curves,0)))</f>
        <v>#N/A</v>
      </c>
      <c r="AE60" s="185" t="e">
        <f aca="false">SQRT((AD60^2*(A60-$D$3)+AC60^2*(DAY(EOMONTH(A60,0))/2))/AK60)</f>
        <v>#N/A</v>
      </c>
      <c r="AF60" s="206" t="e">
        <f aca="false">((Summary!$N$7*(AA60*AD60)*(A60-$D$3))+(Summary!$M$7*Z60*AC60*(DAY(EOMONTH(A60,0))/2)))/(AK60*AB60*AE60)</f>
        <v>#N/A</v>
      </c>
      <c r="AG60" s="207" t="n">
        <f aca="false">IF($A61="","",Summary!$Q$7)</f>
        <v>0</v>
      </c>
      <c r="AH60" s="207" t="n">
        <f aca="false">IF($A61="","",IF(Summary!$R$7="Y",(VLOOKUP($A60,Summary!$AD$6:$AF$9,3)+'Escalating commodity'!C73),'Escalating commodity'!C73))</f>
        <v>0.0224952</v>
      </c>
      <c r="AI60" s="207" t="n">
        <f aca="false">IF($A61="","",AH60)</f>
        <v>0.0224952</v>
      </c>
      <c r="AJ60" s="208" t="n">
        <f aca="false">A60+DAY(EOMONTH(A60,0))/2-1</f>
        <v>38579.5</v>
      </c>
      <c r="AK60" s="209" t="n">
        <f aca="false">IF($A61="","",$A60-$E$1)</f>
        <v>-7361</v>
      </c>
      <c r="AL60" s="182" t="e">
        <f aca="false">IF($A61="","",SPRDOPT(P60,X60,AI60,0,AB60,AE60,AF60,AK60,$AJ$2,0))</f>
        <v>#NAME?</v>
      </c>
      <c r="AM60" s="210" t="e">
        <f aca="false">IF($A61="","",MAX(0,O60-W60-AI60))</f>
        <v>#N/A</v>
      </c>
      <c r="AN60" s="211" t="e">
        <f aca="false">IF($A61="","",AL60-AM60)</f>
        <v>#N/A</v>
      </c>
      <c r="AO60" s="137" t="n">
        <f aca="false">IF(A61="","",A61-A60)</f>
        <v>31</v>
      </c>
      <c r="AP60" s="212" t="n">
        <f aca="false">IF(A61="","",CHOOSE(F$3,A61+24,A60))</f>
        <v>38565</v>
      </c>
      <c r="AQ60" s="209" t="n">
        <f aca="false">IF(A61="","",AP60-$E$1)</f>
        <v>-7361</v>
      </c>
      <c r="AR60" s="185" t="n">
        <f aca="false">IF(Summary!$H$2=1,VLOOKUP('ANR OK vs ML7'!A60,Curves!$C$17:$AR$273,MATCH('ANR OK vs ML7'!$AR$4,Curves!$C$8:$AQ$8,0)),0.1)</f>
        <v>0.1</v>
      </c>
      <c r="AS60" s="213" t="n">
        <f aca="false">IF(A61="","",1/(1+CHOOSE(F$3,(AR61+($I$3/10000))/2,(AR60+($I$3/10000))/2))^(2*AQ60/365.25))</f>
        <v>7.14610567858869</v>
      </c>
      <c r="AT60" s="137" t="n">
        <f aca="false">IF(A61="","",IF(AND(mthbeg&lt;=A60,mthend&gt;=A60),1,0))</f>
        <v>1</v>
      </c>
      <c r="AU60" s="137" t="n">
        <f aca="false">IF(A61="","",AO60*AT60)</f>
        <v>31</v>
      </c>
      <c r="AW60" s="195" t="e">
        <f aca="false">IF($A61="","",AL60*$E60)</f>
        <v>#NAME?</v>
      </c>
      <c r="AX60" s="195" t="e">
        <f aca="false">IF($A61="","",AM60*$E60)</f>
        <v>#N/A</v>
      </c>
      <c r="AY60" s="195" t="e">
        <f aca="false">IF($A61="","",AN60*$E60)</f>
        <v>#N/A</v>
      </c>
      <c r="BA60" s="195" t="n">
        <f aca="false">IF($A61="","",F60*Summary!$Q$7)</f>
        <v>0</v>
      </c>
      <c r="BC60" s="179" t="e">
        <f aca="false">IF(A61="","",AM60*F60)</f>
        <v>#N/A</v>
      </c>
    </row>
    <row r="61" customFormat="false" ht="12.75" hidden="false" customHeight="false" outlineLevel="0" collapsed="false">
      <c r="A61" s="196" t="n">
        <f aca="false">IF(A60&lt;mthend,EDATE(A60,1),"")</f>
        <v>38596</v>
      </c>
      <c r="B61" s="197" t="n">
        <f aca="false">IF(A61&lt;mthend,B60,"")</f>
        <v>40000</v>
      </c>
      <c r="C61" s="215"/>
      <c r="D61" s="197" t="n">
        <f aca="false">IF(A62&lt;&gt;"",B61+C61,"")</f>
        <v>40000</v>
      </c>
      <c r="E61" s="199" t="n">
        <f aca="false">IF(A62="","",IF(AND(AT61=1,$H$3=1),D61*AO61,IF($H$3=2,D61,"N/A")))</f>
        <v>1200000</v>
      </c>
      <c r="F61" s="199" t="n">
        <f aca="false">IF(A62="","",E61*AS61)</f>
        <v>8504599.48510034</v>
      </c>
      <c r="G61" s="200" t="e">
        <f aca="false">IF($A62="","",VLOOKUP($A61,Table,MATCH(G$4,Curves,0)))</f>
        <v>#N/A</v>
      </c>
      <c r="H61" s="201" t="e">
        <f aca="false">IF(A62="","",G61)</f>
        <v>#N/A</v>
      </c>
      <c r="I61" s="202"/>
      <c r="J61" s="200" t="e">
        <f aca="false">IF($A62="","",VLOOKUP($A61,Table,MATCH(J$4,Curves,0)))</f>
        <v>#N/A</v>
      </c>
      <c r="K61" s="201" t="e">
        <f aca="false">IF(A62="","",J61)</f>
        <v>#N/A</v>
      </c>
      <c r="L61" s="200" t="e">
        <f aca="false">IF($A62="","",VLOOKUP($A61,Table,MATCH(L$4,Curves,0)))</f>
        <v>#N/A</v>
      </c>
      <c r="M61" s="201" t="e">
        <f aca="false">IF(A62="","",L61)</f>
        <v>#N/A</v>
      </c>
      <c r="N61" s="203"/>
      <c r="O61" s="200" t="e">
        <f aca="false">IF(A62="","",L61+J61+G61)</f>
        <v>#N/A</v>
      </c>
      <c r="P61" s="200" t="e">
        <f aca="false">IF(A62="","",M61+K61+H61)</f>
        <v>#N/A</v>
      </c>
      <c r="Q61" s="204"/>
      <c r="R61" s="200" t="e">
        <f aca="false">IF($A62="","",VLOOKUP($A61,Table,MATCH(R$4,Curves,0)))</f>
        <v>#N/A</v>
      </c>
      <c r="S61" s="201" t="e">
        <f aca="false">IF(A62="","",R61)</f>
        <v>#N/A</v>
      </c>
      <c r="T61" s="200" t="e">
        <f aca="false">IF($A62="","",VLOOKUP($A61,Table,MATCH(T$4,Curves,0)))</f>
        <v>#N/A</v>
      </c>
      <c r="U61" s="201" t="e">
        <f aca="false">IF(A62="","",T61)</f>
        <v>#N/A</v>
      </c>
      <c r="V61" s="183" t="e">
        <f aca="false">IF($A62="","",IF(AND(MONTH(A61)&gt;3,MONTH(A61)&lt;11),(T61+R61+G61)*Summary!$T$7/(1-Summary!$T$7),(T61+R61+G61)*Summary!$U$7/(1-Summary!$U$7)))</f>
        <v>#N/A</v>
      </c>
      <c r="W61" s="200" t="e">
        <f aca="false">IF($A62="","",(T61+R61+G61+V61))</f>
        <v>#N/A</v>
      </c>
      <c r="X61" s="200" t="e">
        <f aca="false">IF($A62="","",(U61+S61+H61+V61))</f>
        <v>#N/A</v>
      </c>
      <c r="Y61" s="202"/>
      <c r="Z61" s="185" t="e">
        <f aca="false">IF($A62="","",VLOOKUP($A61,Table,MATCH(Z$4,Curves,0)))</f>
        <v>#N/A</v>
      </c>
      <c r="AA61" s="185" t="e">
        <f aca="false">IF($A62="","",VLOOKUP($A61,Table,MATCH(AA$4,Curves,0)))</f>
        <v>#N/A</v>
      </c>
      <c r="AB61" s="185" t="e">
        <f aca="false">SQRT((AA61^2*(A61-$D$3)+Z61^2*(DAY(EOMONTH(A61,0))/2))/AK61)</f>
        <v>#N/A</v>
      </c>
      <c r="AC61" s="185" t="e">
        <f aca="false">IF($A62="","",VLOOKUP($A61,Table,MATCH(AC$4,Curves,0)))</f>
        <v>#N/A</v>
      </c>
      <c r="AD61" s="185" t="e">
        <f aca="false">IF($A62="","",VLOOKUP($A61,Table,MATCH(AD$4,Curves,0)))</f>
        <v>#N/A</v>
      </c>
      <c r="AE61" s="185" t="e">
        <f aca="false">SQRT((AD61^2*(A61-$D$3)+AC61^2*(DAY(EOMONTH(A61,0))/2))/AK61)</f>
        <v>#N/A</v>
      </c>
      <c r="AF61" s="206" t="e">
        <f aca="false">((Summary!$N$7*(AA61*AD61)*(A61-$D$3))+(Summary!$M$7*Z61*AC61*(DAY(EOMONTH(A61,0))/2)))/(AK61*AB61*AE61)</f>
        <v>#N/A</v>
      </c>
      <c r="AG61" s="207" t="n">
        <f aca="false">IF($A62="","",Summary!$Q$7)</f>
        <v>0</v>
      </c>
      <c r="AH61" s="207" t="n">
        <f aca="false">IF($A62="","",IF(Summary!$R$7="Y",(VLOOKUP($A61,Summary!$AD$6:$AF$9,3)+'Escalating commodity'!C74),'Escalating commodity'!C74))</f>
        <v>0.0224952</v>
      </c>
      <c r="AI61" s="207" t="n">
        <f aca="false">IF($A62="","",AH61)</f>
        <v>0.0224952</v>
      </c>
      <c r="AJ61" s="208" t="n">
        <f aca="false">A61+DAY(EOMONTH(A61,0))/2-1</f>
        <v>38610</v>
      </c>
      <c r="AK61" s="209" t="n">
        <f aca="false">IF($A62="","",$A61-$E$1)</f>
        <v>-7330</v>
      </c>
      <c r="AL61" s="182" t="e">
        <f aca="false">IF($A62="","",SPRDOPT(P61,X61,AI61,0,AB61,AE61,AF61,AK61,$AJ$2,0))</f>
        <v>#NAME?</v>
      </c>
      <c r="AM61" s="210" t="e">
        <f aca="false">IF($A62="","",MAX(0,O61-W61-AI61))</f>
        <v>#N/A</v>
      </c>
      <c r="AN61" s="211" t="e">
        <f aca="false">IF($A62="","",AL61-AM61)</f>
        <v>#N/A</v>
      </c>
      <c r="AO61" s="137" t="n">
        <f aca="false">IF(A62="","",A62-A61)</f>
        <v>30</v>
      </c>
      <c r="AP61" s="212" t="n">
        <f aca="false">IF(A62="","",CHOOSE(F$3,A62+24,A61))</f>
        <v>38596</v>
      </c>
      <c r="AQ61" s="209" t="n">
        <f aca="false">IF(A62="","",AP61-$E$1)</f>
        <v>-7330</v>
      </c>
      <c r="AR61" s="185" t="n">
        <f aca="false">IF(Summary!$H$2=1,VLOOKUP('ANR OK vs ML7'!A61,Curves!$C$17:$AR$273,MATCH('ANR OK vs ML7'!$AR$4,Curves!$C$8:$AQ$8,0)),0.1)</f>
        <v>0.1</v>
      </c>
      <c r="AS61" s="213" t="n">
        <f aca="false">IF(A62="","",1/(1+CHOOSE(F$3,(AR62+($I$3/10000))/2,(AR61+($I$3/10000))/2))^(2*AQ61/365.25))</f>
        <v>7.08716623758362</v>
      </c>
      <c r="AT61" s="137" t="n">
        <f aca="false">IF(A62="","",IF(AND(mthbeg&lt;=A61,mthend&gt;=A61),1,0))</f>
        <v>1</v>
      </c>
      <c r="AU61" s="137" t="n">
        <f aca="false">IF(A62="","",AO61*AT61)</f>
        <v>30</v>
      </c>
      <c r="AW61" s="195" t="e">
        <f aca="false">IF($A62="","",AL61*$E61)</f>
        <v>#NAME?</v>
      </c>
      <c r="AX61" s="195" t="e">
        <f aca="false">IF($A62="","",AM61*$E61)</f>
        <v>#N/A</v>
      </c>
      <c r="AY61" s="195" t="e">
        <f aca="false">IF($A62="","",AN61*$E61)</f>
        <v>#N/A</v>
      </c>
      <c r="BA61" s="195" t="n">
        <f aca="false">IF($A62="","",F61*Summary!$Q$7)</f>
        <v>0</v>
      </c>
      <c r="BC61" s="179" t="e">
        <f aca="false">IF(A62="","",AM61*F61)</f>
        <v>#N/A</v>
      </c>
    </row>
    <row r="62" customFormat="false" ht="12.75" hidden="false" customHeight="false" outlineLevel="0" collapsed="false">
      <c r="A62" s="196" t="n">
        <f aca="false">IF(A61&lt;mthend,EDATE(A61,1),"")</f>
        <v>38626</v>
      </c>
      <c r="B62" s="197" t="n">
        <f aca="false">IF(A62&lt;mthend,B61,"")</f>
        <v>40000</v>
      </c>
      <c r="C62" s="215"/>
      <c r="D62" s="197" t="n">
        <f aca="false">IF(A63&lt;&gt;"",B62+C62,"")</f>
        <v>40000</v>
      </c>
      <c r="E62" s="199" t="n">
        <f aca="false">IF(A63="","",IF(AND(AT62=1,$H$3=1),D62*AO62,IF($H$3=2,D62,"N/A")))</f>
        <v>1240000</v>
      </c>
      <c r="F62" s="199" t="n">
        <f aca="false">IF(A63="","",E62*AS62)</f>
        <v>8717932.79044454</v>
      </c>
      <c r="G62" s="200" t="e">
        <f aca="false">IF($A63="","",VLOOKUP($A62,Table,MATCH(G$4,Curves,0)))</f>
        <v>#N/A</v>
      </c>
      <c r="H62" s="201" t="e">
        <f aca="false">IF(A63="","",G62)</f>
        <v>#N/A</v>
      </c>
      <c r="I62" s="202"/>
      <c r="J62" s="200" t="e">
        <f aca="false">IF($A63="","",VLOOKUP($A62,Table,MATCH(J$4,Curves,0)))</f>
        <v>#N/A</v>
      </c>
      <c r="K62" s="201" t="e">
        <f aca="false">IF(A63="","",J62)</f>
        <v>#N/A</v>
      </c>
      <c r="L62" s="200" t="e">
        <f aca="false">IF($A63="","",VLOOKUP($A62,Table,MATCH(L$4,Curves,0)))</f>
        <v>#N/A</v>
      </c>
      <c r="M62" s="201" t="e">
        <f aca="false">IF(A63="","",L62)</f>
        <v>#N/A</v>
      </c>
      <c r="N62" s="203"/>
      <c r="O62" s="200" t="e">
        <f aca="false">IF(A63="","",L62+J62+G62)</f>
        <v>#N/A</v>
      </c>
      <c r="P62" s="200" t="e">
        <f aca="false">IF(A63="","",M62+K62+H62)</f>
        <v>#N/A</v>
      </c>
      <c r="Q62" s="204"/>
      <c r="R62" s="200" t="e">
        <f aca="false">IF($A63="","",VLOOKUP($A62,Table,MATCH(R$4,Curves,0)))</f>
        <v>#N/A</v>
      </c>
      <c r="S62" s="201" t="e">
        <f aca="false">IF(A63="","",R62)</f>
        <v>#N/A</v>
      </c>
      <c r="T62" s="200" t="e">
        <f aca="false">IF($A63="","",VLOOKUP($A62,Table,MATCH(T$4,Curves,0)))</f>
        <v>#N/A</v>
      </c>
      <c r="U62" s="201" t="e">
        <f aca="false">IF(A63="","",T62)</f>
        <v>#N/A</v>
      </c>
      <c r="V62" s="183" t="e">
        <f aca="false">IF($A63="","",IF(AND(MONTH(A62)&gt;3,MONTH(A62)&lt;11),(T62+R62+G62)*Summary!$T$7/(1-Summary!$T$7),(T62+R62+G62)*Summary!$U$7/(1-Summary!$U$7)))</f>
        <v>#N/A</v>
      </c>
      <c r="W62" s="200" t="e">
        <f aca="false">IF($A63="","",(T62+R62+G62+V62))</f>
        <v>#N/A</v>
      </c>
      <c r="X62" s="200" t="e">
        <f aca="false">IF($A63="","",(U62+S62+H62+V62))</f>
        <v>#N/A</v>
      </c>
      <c r="Y62" s="202"/>
      <c r="Z62" s="185" t="e">
        <f aca="false">IF($A63="","",VLOOKUP($A62,Table,MATCH(Z$4,Curves,0)))</f>
        <v>#N/A</v>
      </c>
      <c r="AA62" s="185" t="e">
        <f aca="false">IF($A63="","",VLOOKUP($A62,Table,MATCH(AA$4,Curves,0)))</f>
        <v>#N/A</v>
      </c>
      <c r="AB62" s="185" t="e">
        <f aca="false">SQRT((AA62^2*(A62-$D$3)+Z62^2*(DAY(EOMONTH(A62,0))/2))/AK62)</f>
        <v>#N/A</v>
      </c>
      <c r="AC62" s="185" t="e">
        <f aca="false">IF($A63="","",VLOOKUP($A62,Table,MATCH(AC$4,Curves,0)))</f>
        <v>#N/A</v>
      </c>
      <c r="AD62" s="185" t="e">
        <f aca="false">IF($A63="","",VLOOKUP($A62,Table,MATCH(AD$4,Curves,0)))</f>
        <v>#N/A</v>
      </c>
      <c r="AE62" s="185" t="e">
        <f aca="false">SQRT((AD62^2*(A62-$D$3)+AC62^2*(DAY(EOMONTH(A62,0))/2))/AK62)</f>
        <v>#N/A</v>
      </c>
      <c r="AF62" s="206" t="e">
        <f aca="false">((Summary!$N$7*(AA62*AD62)*(A62-$D$3))+(Summary!$M$7*Z62*AC62*(DAY(EOMONTH(A62,0))/2)))/(AK62*AB62*AE62)</f>
        <v>#N/A</v>
      </c>
      <c r="AG62" s="207" t="n">
        <f aca="false">IF($A63="","",Summary!$Q$7)</f>
        <v>0</v>
      </c>
      <c r="AH62" s="207" t="n">
        <f aca="false">IF($A63="","",IF(Summary!$R$7="Y",(VLOOKUP($A62,Summary!$AD$6:$AF$9,3)+'Escalating commodity'!C75),'Escalating commodity'!C75))</f>
        <v>0.0224952</v>
      </c>
      <c r="AI62" s="207" t="n">
        <f aca="false">IF($A63="","",AH62)</f>
        <v>0.0224952</v>
      </c>
      <c r="AJ62" s="208" t="n">
        <f aca="false">A62+DAY(EOMONTH(A62,0))/2-1</f>
        <v>38640.5</v>
      </c>
      <c r="AK62" s="209" t="n">
        <f aca="false">IF($A63="","",$A62-$E$1)</f>
        <v>-7300</v>
      </c>
      <c r="AL62" s="182" t="e">
        <f aca="false">IF($A63="","",SPRDOPT(P62,X62,AI62,0,AB62,AE62,AF62,AK62,$AJ$2,0))</f>
        <v>#NAME?</v>
      </c>
      <c r="AM62" s="210" t="e">
        <f aca="false">IF($A63="","",MAX(0,O62-W62-AI62))</f>
        <v>#N/A</v>
      </c>
      <c r="AN62" s="211" t="e">
        <f aca="false">IF($A63="","",AL62-AM62)</f>
        <v>#N/A</v>
      </c>
      <c r="AO62" s="137" t="n">
        <f aca="false">IF(A63="","",A63-A62)</f>
        <v>31</v>
      </c>
      <c r="AP62" s="212" t="n">
        <f aca="false">IF(A63="","",CHOOSE(F$3,A63+24,A62))</f>
        <v>38626</v>
      </c>
      <c r="AQ62" s="209" t="n">
        <f aca="false">IF(A63="","",AP62-$E$1)</f>
        <v>-7300</v>
      </c>
      <c r="AR62" s="185" t="n">
        <f aca="false">IF(Summary!$H$2=1,VLOOKUP('ANR OK vs ML7'!A62,Curves!$C$17:$AR$273,MATCH('ANR OK vs ML7'!$AR$4,Curves!$C$8:$AQ$8,0)),0.1)</f>
        <v>0.1</v>
      </c>
      <c r="AS62" s="213" t="n">
        <f aca="false">IF(A63="","",1/(1+CHOOSE(F$3,(AR63+($I$3/10000))/2,(AR62+($I$3/10000))/2))^(2*AQ62/365.25))</f>
        <v>7.03059096003592</v>
      </c>
      <c r="AT62" s="137" t="n">
        <f aca="false">IF(A63="","",IF(AND(mthbeg&lt;=A62,mthend&gt;=A62),1,0))</f>
        <v>1</v>
      </c>
      <c r="AU62" s="137" t="n">
        <f aca="false">IF(A63="","",AO62*AT62)</f>
        <v>31</v>
      </c>
      <c r="AW62" s="195" t="e">
        <f aca="false">IF($A63="","",AL62*$E62)</f>
        <v>#NAME?</v>
      </c>
      <c r="AX62" s="195" t="e">
        <f aca="false">IF($A63="","",AM62*$E62)</f>
        <v>#N/A</v>
      </c>
      <c r="AY62" s="195" t="e">
        <f aca="false">IF($A63="","",AN62*$E62)</f>
        <v>#N/A</v>
      </c>
      <c r="BA62" s="195" t="n">
        <f aca="false">IF($A63="","",F62*Summary!$Q$7)</f>
        <v>0</v>
      </c>
      <c r="BC62" s="179" t="e">
        <f aca="false">IF(A63="","",AM62*F62)</f>
        <v>#N/A</v>
      </c>
    </row>
    <row r="63" customFormat="false" ht="12.75" hidden="false" customHeight="false" outlineLevel="0" collapsed="false">
      <c r="A63" s="196" t="n">
        <f aca="false">IF(A62&lt;mthend,EDATE(A62,1),"")</f>
        <v>38657</v>
      </c>
      <c r="B63" s="197" t="n">
        <f aca="false">IF(A63&lt;mthend,B62,"")</f>
        <v>40000</v>
      </c>
      <c r="C63" s="215"/>
      <c r="D63" s="197" t="n">
        <f aca="false">IF(A64&lt;&gt;"",B63+C63,"")</f>
        <v>40000</v>
      </c>
      <c r="E63" s="199" t="n">
        <f aca="false">IF(A64="","",IF(AND(AT63=1,$H$3=1),D63*AO63,IF($H$3=2,D63,"N/A")))</f>
        <v>1200000</v>
      </c>
      <c r="F63" s="199" t="n">
        <f aca="false">IF(A64="","",E63*AS63)</f>
        <v>8367125.10952976</v>
      </c>
      <c r="G63" s="200" t="e">
        <f aca="false">IF($A64="","",VLOOKUP($A63,Table,MATCH(G$4,Curves,0)))</f>
        <v>#N/A</v>
      </c>
      <c r="H63" s="201" t="e">
        <f aca="false">IF(A64="","",G63)</f>
        <v>#N/A</v>
      </c>
      <c r="I63" s="202"/>
      <c r="J63" s="200" t="e">
        <f aca="false">IF($A64="","",VLOOKUP($A63,Table,MATCH(J$4,Curves,0)))</f>
        <v>#N/A</v>
      </c>
      <c r="K63" s="201" t="e">
        <f aca="false">IF(A64="","",J63)</f>
        <v>#N/A</v>
      </c>
      <c r="L63" s="200" t="e">
        <f aca="false">IF($A64="","",VLOOKUP($A63,Table,MATCH(L$4,Curves,0)))</f>
        <v>#N/A</v>
      </c>
      <c r="M63" s="201" t="e">
        <f aca="false">IF(A64="","",L63)</f>
        <v>#N/A</v>
      </c>
      <c r="N63" s="203"/>
      <c r="O63" s="200" t="e">
        <f aca="false">IF(A64="","",L63+J63+G63)</f>
        <v>#N/A</v>
      </c>
      <c r="P63" s="200" t="e">
        <f aca="false">IF(A64="","",M63+K63+H63)</f>
        <v>#N/A</v>
      </c>
      <c r="Q63" s="204"/>
      <c r="R63" s="200" t="e">
        <f aca="false">IF($A64="","",VLOOKUP($A63,Table,MATCH(R$4,Curves,0)))</f>
        <v>#N/A</v>
      </c>
      <c r="S63" s="201" t="e">
        <f aca="false">IF(A64="","",R63)</f>
        <v>#N/A</v>
      </c>
      <c r="T63" s="200" t="e">
        <f aca="false">IF($A64="","",VLOOKUP($A63,Table,MATCH(T$4,Curves,0)))</f>
        <v>#N/A</v>
      </c>
      <c r="U63" s="201" t="e">
        <f aca="false">IF(A64="","",T63)</f>
        <v>#N/A</v>
      </c>
      <c r="V63" s="183" t="e">
        <f aca="false">IF($A64="","",IF(AND(MONTH(A63)&gt;3,MONTH(A63)&lt;11),(T63+R63+G63)*Summary!$T$7/(1-Summary!$T$7),(T63+R63+G63)*Summary!$U$7/(1-Summary!$U$7)))</f>
        <v>#N/A</v>
      </c>
      <c r="W63" s="200" t="e">
        <f aca="false">IF($A64="","",(T63+R63+G63+V63))</f>
        <v>#N/A</v>
      </c>
      <c r="X63" s="200" t="e">
        <f aca="false">IF($A64="","",(U63+S63+H63+V63))</f>
        <v>#N/A</v>
      </c>
      <c r="Y63" s="202"/>
      <c r="Z63" s="185" t="e">
        <f aca="false">IF($A64="","",VLOOKUP($A63,Table,MATCH(Z$4,Curves,0)))</f>
        <v>#N/A</v>
      </c>
      <c r="AA63" s="185" t="e">
        <f aca="false">IF($A64="","",VLOOKUP($A63,Table,MATCH(AA$4,Curves,0)))</f>
        <v>#N/A</v>
      </c>
      <c r="AB63" s="185" t="e">
        <f aca="false">SQRT((AA63^2*(A63-$D$3)+Z63^2*(DAY(EOMONTH(A63,0))/2))/AK63)</f>
        <v>#N/A</v>
      </c>
      <c r="AC63" s="185" t="e">
        <f aca="false">IF($A64="","",VLOOKUP($A63,Table,MATCH(AC$4,Curves,0)))</f>
        <v>#N/A</v>
      </c>
      <c r="AD63" s="185" t="e">
        <f aca="false">IF($A64="","",VLOOKUP($A63,Table,MATCH(AD$4,Curves,0)))</f>
        <v>#N/A</v>
      </c>
      <c r="AE63" s="185" t="e">
        <f aca="false">SQRT((AD63^2*(A63-$D$3)+AC63^2*(DAY(EOMONTH(A63,0))/2))/AK63)</f>
        <v>#N/A</v>
      </c>
      <c r="AF63" s="206" t="e">
        <f aca="false">((Summary!$N$7*(AA63*AD63)*(A63-$D$3))+(Summary!$M$7*Z63*AC63*(DAY(EOMONTH(A63,0))/2)))/(AK63*AB63*AE63)</f>
        <v>#N/A</v>
      </c>
      <c r="AG63" s="207" t="n">
        <f aca="false">IF($A64="","",Summary!$Q$7)</f>
        <v>0</v>
      </c>
      <c r="AH63" s="207" t="n">
        <f aca="false">IF($A64="","",IF(Summary!$R$7="Y",(VLOOKUP($A63,Summary!$AD$6:$AF$9,3)+'Escalating commodity'!C76),'Escalating commodity'!C76))</f>
        <v>0.0224952</v>
      </c>
      <c r="AI63" s="207" t="n">
        <f aca="false">IF($A64="","",AH63)</f>
        <v>0.0224952</v>
      </c>
      <c r="AJ63" s="208" t="n">
        <f aca="false">A63+DAY(EOMONTH(A63,0))/2-1</f>
        <v>38671</v>
      </c>
      <c r="AK63" s="209" t="n">
        <f aca="false">IF($A64="","",$A63-$E$1)</f>
        <v>-7269</v>
      </c>
      <c r="AL63" s="182" t="e">
        <f aca="false">IF($A64="","",SPRDOPT(P63,X63,AI63,0,AB63,AE63,AF63,AK63,$AJ$2,0))</f>
        <v>#NAME?</v>
      </c>
      <c r="AM63" s="210" t="e">
        <f aca="false">IF($A64="","",MAX(0,O63-W63-AI63))</f>
        <v>#N/A</v>
      </c>
      <c r="AN63" s="211" t="e">
        <f aca="false">IF($A64="","",AL63-AM63)</f>
        <v>#N/A</v>
      </c>
      <c r="AO63" s="137" t="n">
        <f aca="false">IF(A64="","",A64-A63)</f>
        <v>30</v>
      </c>
      <c r="AP63" s="212" t="n">
        <f aca="false">IF(A64="","",CHOOSE(F$3,A64+24,A63))</f>
        <v>38657</v>
      </c>
      <c r="AQ63" s="209" t="n">
        <f aca="false">IF(A64="","",AP63-$E$1)</f>
        <v>-7269</v>
      </c>
      <c r="AR63" s="185" t="n">
        <f aca="false">IF(Summary!$H$2=1,VLOOKUP('ANR OK vs ML7'!A63,Curves!$C$17:$AR$273,MATCH('ANR OK vs ML7'!$AR$4,Curves!$C$8:$AQ$8,0)),0.1)</f>
        <v>0.1</v>
      </c>
      <c r="AS63" s="213" t="n">
        <f aca="false">IF(A64="","",1/(1+CHOOSE(F$3,(AR64+($I$3/10000))/2,(AR63+($I$3/10000))/2))^(2*AQ63/365.25))</f>
        <v>6.97260425794147</v>
      </c>
      <c r="AT63" s="137" t="n">
        <f aca="false">IF(A64="","",IF(AND(mthbeg&lt;=A63,mthend&gt;=A63),1,0))</f>
        <v>1</v>
      </c>
      <c r="AU63" s="137" t="n">
        <f aca="false">IF(A64="","",AO63*AT63)</f>
        <v>30</v>
      </c>
      <c r="AW63" s="195" t="e">
        <f aca="false">IF($A64="","",AL63*$E63)</f>
        <v>#NAME?</v>
      </c>
      <c r="AX63" s="195" t="e">
        <f aca="false">IF($A64="","",AM63*$E63)</f>
        <v>#N/A</v>
      </c>
      <c r="AY63" s="195" t="e">
        <f aca="false">IF($A64="","",AN63*$E63)</f>
        <v>#N/A</v>
      </c>
      <c r="BA63" s="195" t="n">
        <f aca="false">IF($A64="","",F63*Summary!$Q$7)</f>
        <v>0</v>
      </c>
      <c r="BC63" s="179" t="e">
        <f aca="false">IF(A64="","",AM63*F63)</f>
        <v>#N/A</v>
      </c>
    </row>
    <row r="64" customFormat="false" ht="12.75" hidden="false" customHeight="false" outlineLevel="0" collapsed="false">
      <c r="A64" s="196" t="n">
        <f aca="false">IF(A63&lt;mthend,EDATE(A63,1),"")</f>
        <v>38687</v>
      </c>
      <c r="B64" s="197" t="n">
        <f aca="false">IF(A64&lt;mthend,B63,"")</f>
        <v>40000</v>
      </c>
      <c r="C64" s="215"/>
      <c r="D64" s="197" t="n">
        <f aca="false">IF(A65&lt;&gt;"",B64+C64,"")</f>
        <v>40000</v>
      </c>
      <c r="E64" s="199" t="n">
        <f aca="false">IF(A65="","",IF(AND(AT64=1,$H$3=1),D64*AO64,IF($H$3=2,D64,"N/A")))</f>
        <v>1240000</v>
      </c>
      <c r="F64" s="199" t="n">
        <f aca="false">IF(A65="","",E64*AS64)</f>
        <v>8577009.94407978</v>
      </c>
      <c r="G64" s="200" t="e">
        <f aca="false">IF($A65="","",VLOOKUP($A64,Table,MATCH(G$4,Curves,0)))</f>
        <v>#N/A</v>
      </c>
      <c r="H64" s="201" t="e">
        <f aca="false">IF(A65="","",G64)</f>
        <v>#N/A</v>
      </c>
      <c r="I64" s="202"/>
      <c r="J64" s="200" t="e">
        <f aca="false">IF($A65="","",VLOOKUP($A64,Table,MATCH(J$4,Curves,0)))</f>
        <v>#N/A</v>
      </c>
      <c r="K64" s="201" t="e">
        <f aca="false">IF(A65="","",J64)</f>
        <v>#N/A</v>
      </c>
      <c r="L64" s="200" t="e">
        <f aca="false">IF($A65="","",VLOOKUP($A64,Table,MATCH(L$4,Curves,0)))</f>
        <v>#N/A</v>
      </c>
      <c r="M64" s="201" t="e">
        <f aca="false">IF(A65="","",L64)</f>
        <v>#N/A</v>
      </c>
      <c r="N64" s="203"/>
      <c r="O64" s="200" t="e">
        <f aca="false">IF(A65="","",L64+J64+G64)</f>
        <v>#N/A</v>
      </c>
      <c r="P64" s="200" t="e">
        <f aca="false">IF(A65="","",M64+K64+H64)</f>
        <v>#N/A</v>
      </c>
      <c r="Q64" s="204"/>
      <c r="R64" s="200" t="e">
        <f aca="false">IF($A65="","",VLOOKUP($A64,Table,MATCH(R$4,Curves,0)))</f>
        <v>#N/A</v>
      </c>
      <c r="S64" s="201" t="e">
        <f aca="false">IF(A65="","",R64)</f>
        <v>#N/A</v>
      </c>
      <c r="T64" s="200" t="e">
        <f aca="false">IF($A65="","",VLOOKUP($A64,Table,MATCH(T$4,Curves,0)))</f>
        <v>#N/A</v>
      </c>
      <c r="U64" s="201" t="e">
        <f aca="false">IF(A65="","",T64)</f>
        <v>#N/A</v>
      </c>
      <c r="V64" s="183" t="e">
        <f aca="false">IF($A65="","",IF(AND(MONTH(A64)&gt;3,MONTH(A64)&lt;11),(T64+R64+G64)*Summary!$T$7/(1-Summary!$T$7),(T64+R64+G64)*Summary!$U$7/(1-Summary!$U$7)))</f>
        <v>#N/A</v>
      </c>
      <c r="W64" s="200" t="e">
        <f aca="false">IF($A65="","",(T64+R64+G64+V64))</f>
        <v>#N/A</v>
      </c>
      <c r="X64" s="200" t="e">
        <f aca="false">IF($A65="","",(U64+S64+H64+V64))</f>
        <v>#N/A</v>
      </c>
      <c r="Y64" s="202"/>
      <c r="Z64" s="185" t="e">
        <f aca="false">IF($A65="","",VLOOKUP($A64,Table,MATCH(Z$4,Curves,0)))</f>
        <v>#N/A</v>
      </c>
      <c r="AA64" s="185" t="e">
        <f aca="false">IF($A65="","",VLOOKUP($A64,Table,MATCH(AA$4,Curves,0)))</f>
        <v>#N/A</v>
      </c>
      <c r="AB64" s="185" t="e">
        <f aca="false">SQRT((AA64^2*(A64-$D$3)+Z64^2*(DAY(EOMONTH(A64,0))/2))/AK64)</f>
        <v>#N/A</v>
      </c>
      <c r="AC64" s="185" t="e">
        <f aca="false">IF($A65="","",VLOOKUP($A64,Table,MATCH(AC$4,Curves,0)))</f>
        <v>#N/A</v>
      </c>
      <c r="AD64" s="185" t="e">
        <f aca="false">IF($A65="","",VLOOKUP($A64,Table,MATCH(AD$4,Curves,0)))</f>
        <v>#N/A</v>
      </c>
      <c r="AE64" s="185" t="e">
        <f aca="false">SQRT((AD64^2*(A64-$D$3)+AC64^2*(DAY(EOMONTH(A64,0))/2))/AK64)</f>
        <v>#N/A</v>
      </c>
      <c r="AF64" s="206" t="e">
        <f aca="false">((Summary!$N$7*(AA64*AD64)*(A64-$D$3))+(Summary!$M$7*Z64*AC64*(DAY(EOMONTH(A64,0))/2)))/(AK64*AB64*AE64)</f>
        <v>#N/A</v>
      </c>
      <c r="AG64" s="207" t="n">
        <f aca="false">IF($A65="","",Summary!$Q$7)</f>
        <v>0</v>
      </c>
      <c r="AH64" s="207" t="n">
        <f aca="false">IF($A65="","",IF(Summary!$R$7="Y",(VLOOKUP($A64,Summary!$AD$6:$AF$9,3)+'Escalating commodity'!C77),'Escalating commodity'!C77))</f>
        <v>0.0224952</v>
      </c>
      <c r="AI64" s="207" t="n">
        <f aca="false">IF($A65="","",AH64)</f>
        <v>0.0224952</v>
      </c>
      <c r="AJ64" s="208" t="n">
        <f aca="false">A64+DAY(EOMONTH(A64,0))/2-1</f>
        <v>38701.5</v>
      </c>
      <c r="AK64" s="209" t="n">
        <f aca="false">IF($A65="","",$A64-$E$1)</f>
        <v>-7239</v>
      </c>
      <c r="AL64" s="182" t="e">
        <f aca="false">IF($A65="","",SPRDOPT(P64,X64,AI64,0,AB64,AE64,AF64,AK64,$AJ$2,0))</f>
        <v>#NAME?</v>
      </c>
      <c r="AM64" s="210" t="e">
        <f aca="false">IF($A65="","",MAX(0,O64-W64-AI64))</f>
        <v>#N/A</v>
      </c>
      <c r="AN64" s="211" t="e">
        <f aca="false">IF($A65="","",AL64-AM64)</f>
        <v>#N/A</v>
      </c>
      <c r="AO64" s="137" t="n">
        <f aca="false">IF(A65="","",A65-A64)</f>
        <v>31</v>
      </c>
      <c r="AP64" s="212" t="n">
        <f aca="false">IF(A65="","",CHOOSE(F$3,A65+24,A64))</f>
        <v>38687</v>
      </c>
      <c r="AQ64" s="209" t="n">
        <f aca="false">IF(A65="","",AP64-$E$1)</f>
        <v>-7239</v>
      </c>
      <c r="AR64" s="185" t="n">
        <f aca="false">IF(Summary!$H$2=1,VLOOKUP('ANR OK vs ML7'!A64,Curves!$C$17:$AR$273,MATCH('ANR OK vs ML7'!$AR$4,Curves!$C$8:$AQ$8,0)),0.1)</f>
        <v>0.1</v>
      </c>
      <c r="AS64" s="213" t="n">
        <f aca="false">IF(A65="","",1/(1+CHOOSE(F$3,(AR65+($I$3/10000))/2,(AR64+($I$3/10000))/2))^(2*AQ64/365.25))</f>
        <v>6.91694350329014</v>
      </c>
      <c r="AT64" s="137" t="n">
        <f aca="false">IF(A65="","",IF(AND(mthbeg&lt;=A64,mthend&gt;=A64),1,0))</f>
        <v>1</v>
      </c>
      <c r="AU64" s="137" t="n">
        <f aca="false">IF(A65="","",AO64*AT64)</f>
        <v>31</v>
      </c>
      <c r="AW64" s="195" t="e">
        <f aca="false">IF($A65="","",AL64*$E64)</f>
        <v>#NAME?</v>
      </c>
      <c r="AX64" s="195" t="e">
        <f aca="false">IF($A65="","",AM64*$E64)</f>
        <v>#N/A</v>
      </c>
      <c r="AY64" s="195" t="e">
        <f aca="false">IF($A65="","",AN64*$E64)</f>
        <v>#N/A</v>
      </c>
      <c r="BA64" s="195" t="n">
        <f aca="false">IF($A65="","",F64*Summary!$Q$7)</f>
        <v>0</v>
      </c>
      <c r="BC64" s="179" t="e">
        <f aca="false">IF(A65="","",AM64*F64)</f>
        <v>#N/A</v>
      </c>
    </row>
    <row r="65" customFormat="false" ht="12.75" hidden="false" customHeight="false" outlineLevel="0" collapsed="false">
      <c r="A65" s="196" t="n">
        <f aca="false">IF(A64&lt;mthend,EDATE(A64,1),"")</f>
        <v>38718</v>
      </c>
      <c r="B65" s="197" t="n">
        <f aca="false">IF(A65&lt;mthend,B64,"")</f>
        <v>40000</v>
      </c>
      <c r="C65" s="215"/>
      <c r="D65" s="197" t="n">
        <f aca="false">IF(A66&lt;&gt;"",B65+C65,"")</f>
        <v>40000</v>
      </c>
      <c r="E65" s="199" t="n">
        <f aca="false">IF(A66="","",IF(AND(AT65=1,$H$3=1),D65*AO65,IF($H$3=2,D65,"N/A")))</f>
        <v>1240000</v>
      </c>
      <c r="F65" s="199" t="n">
        <f aca="false">IF(A66="","",E65*AS65)</f>
        <v>8506268.73280527</v>
      </c>
      <c r="G65" s="200" t="e">
        <f aca="false">IF($A66="","",VLOOKUP($A65,Table,MATCH(G$4,Curves,0)))</f>
        <v>#N/A</v>
      </c>
      <c r="H65" s="201" t="e">
        <f aca="false">IF(A66="","",G65)</f>
        <v>#N/A</v>
      </c>
      <c r="I65" s="202"/>
      <c r="J65" s="200" t="e">
        <f aca="false">IF($A66="","",VLOOKUP($A65,Table,MATCH(J$4,Curves,0)))</f>
        <v>#N/A</v>
      </c>
      <c r="K65" s="201" t="e">
        <f aca="false">IF(A66="","",J65)</f>
        <v>#N/A</v>
      </c>
      <c r="L65" s="200" t="e">
        <f aca="false">IF($A66="","",VLOOKUP($A65,Table,MATCH(L$4,Curves,0)))</f>
        <v>#N/A</v>
      </c>
      <c r="M65" s="201" t="e">
        <f aca="false">IF(A66="","",L65)</f>
        <v>#N/A</v>
      </c>
      <c r="N65" s="203"/>
      <c r="O65" s="200" t="e">
        <f aca="false">IF(A66="","",L65+J65+G65)</f>
        <v>#N/A</v>
      </c>
      <c r="P65" s="200" t="e">
        <f aca="false">IF(A66="","",M65+K65+H65)</f>
        <v>#N/A</v>
      </c>
      <c r="Q65" s="204"/>
      <c r="R65" s="200" t="e">
        <f aca="false">IF($A66="","",VLOOKUP($A65,Table,MATCH(R$4,Curves,0)))</f>
        <v>#N/A</v>
      </c>
      <c r="S65" s="201" t="e">
        <f aca="false">IF(A66="","",R65)</f>
        <v>#N/A</v>
      </c>
      <c r="T65" s="200" t="e">
        <f aca="false">IF($A66="","",VLOOKUP($A65,Table,MATCH(T$4,Curves,0)))</f>
        <v>#N/A</v>
      </c>
      <c r="U65" s="201" t="e">
        <f aca="false">IF(A66="","",T65)</f>
        <v>#N/A</v>
      </c>
      <c r="V65" s="183" t="e">
        <f aca="false">IF($A66="","",IF(AND(MONTH(A65)&gt;3,MONTH(A65)&lt;11),(T65+R65+G65)*Summary!$T$7/(1-Summary!$T$7),(T65+R65+G65)*Summary!$U$7/(1-Summary!$U$7)))</f>
        <v>#N/A</v>
      </c>
      <c r="W65" s="200" t="e">
        <f aca="false">IF($A66="","",(T65+R65+G65+V65))</f>
        <v>#N/A</v>
      </c>
      <c r="X65" s="200" t="e">
        <f aca="false">IF($A66="","",(U65+S65+H65+V65))</f>
        <v>#N/A</v>
      </c>
      <c r="Y65" s="202"/>
      <c r="Z65" s="185" t="e">
        <f aca="false">IF($A66="","",VLOOKUP($A65,Table,MATCH(Z$4,Curves,0)))</f>
        <v>#N/A</v>
      </c>
      <c r="AA65" s="185" t="e">
        <f aca="false">IF($A66="","",VLOOKUP($A65,Table,MATCH(AA$4,Curves,0)))</f>
        <v>#N/A</v>
      </c>
      <c r="AB65" s="185" t="e">
        <f aca="false">SQRT((AA65^2*(A65-$D$3)+Z65^2*(DAY(EOMONTH(A65,0))/2))/AK65)</f>
        <v>#N/A</v>
      </c>
      <c r="AC65" s="185" t="e">
        <f aca="false">IF($A66="","",VLOOKUP($A65,Table,MATCH(AC$4,Curves,0)))</f>
        <v>#N/A</v>
      </c>
      <c r="AD65" s="185" t="e">
        <f aca="false">IF($A66="","",VLOOKUP($A65,Table,MATCH(AD$4,Curves,0)))</f>
        <v>#N/A</v>
      </c>
      <c r="AE65" s="185" t="e">
        <f aca="false">SQRT((AD65^2*(A65-$D$3)+AC65^2*(DAY(EOMONTH(A65,0))/2))/AK65)</f>
        <v>#N/A</v>
      </c>
      <c r="AF65" s="206" t="e">
        <f aca="false">((Summary!$N$7*(AA65*AD65)*(A65-$D$3))+(Summary!$M$7*Z65*AC65*(DAY(EOMONTH(A65,0))/2)))/(AK65*AB65*AE65)</f>
        <v>#N/A</v>
      </c>
      <c r="AG65" s="207" t="n">
        <f aca="false">IF($A66="","",Summary!$Q$7)</f>
        <v>0</v>
      </c>
      <c r="AH65" s="207" t="n">
        <f aca="false">IF($A66="","",IF(Summary!$R$7="Y",(VLOOKUP($A65,Summary!$AD$6:$AF$9,3)+'Escalating commodity'!C78),'Escalating commodity'!C78))</f>
        <v>0.0224952</v>
      </c>
      <c r="AI65" s="207" t="n">
        <f aca="false">IF($A66="","",AH65)</f>
        <v>0.0224952</v>
      </c>
      <c r="AJ65" s="208" t="n">
        <f aca="false">A65+DAY(EOMONTH(A65,0))/2-1</f>
        <v>38732.5</v>
      </c>
      <c r="AK65" s="209" t="n">
        <f aca="false">IF($A66="","",$A65-$E$1)</f>
        <v>-7208</v>
      </c>
      <c r="AL65" s="182" t="e">
        <f aca="false">IF($A66="","",SPRDOPT(P65,X65,AI65,0,AB65,AE65,AF65,AK65,$AJ$2,0))</f>
        <v>#NAME?</v>
      </c>
      <c r="AM65" s="210" t="e">
        <f aca="false">IF($A66="","",MAX(0,O65-W65-AI65))</f>
        <v>#N/A</v>
      </c>
      <c r="AN65" s="211" t="e">
        <f aca="false">IF($A66="","",AL65-AM65)</f>
        <v>#N/A</v>
      </c>
      <c r="AO65" s="137" t="n">
        <f aca="false">IF(A66="","",A66-A65)</f>
        <v>31</v>
      </c>
      <c r="AP65" s="212" t="n">
        <f aca="false">IF(A66="","",CHOOSE(F$3,A66+24,A65))</f>
        <v>38718</v>
      </c>
      <c r="AQ65" s="209" t="n">
        <f aca="false">IF(A66="","",AP65-$E$1)</f>
        <v>-7208</v>
      </c>
      <c r="AR65" s="185" t="n">
        <f aca="false">IF(Summary!$H$2=1,VLOOKUP('ANR OK vs ML7'!A65,Curves!$C$17:$AR$273,MATCH('ANR OK vs ML7'!$AR$4,Curves!$C$8:$AQ$8,0)),0.1)</f>
        <v>0.1</v>
      </c>
      <c r="AS65" s="213" t="n">
        <f aca="false">IF(A66="","",1/(1+CHOOSE(F$3,(AR66+($I$3/10000))/2,(AR65+($I$3/10000))/2))^(2*AQ65/365.25))</f>
        <v>6.85989413935909</v>
      </c>
      <c r="AT65" s="137" t="n">
        <f aca="false">IF(A66="","",IF(AND(mthbeg&lt;=A65,mthend&gt;=A65),1,0))</f>
        <v>1</v>
      </c>
      <c r="AU65" s="137" t="n">
        <f aca="false">IF(A66="","",AO65*AT65)</f>
        <v>31</v>
      </c>
      <c r="AW65" s="195" t="e">
        <f aca="false">IF($A66="","",AL65*$E65)</f>
        <v>#NAME?</v>
      </c>
      <c r="AX65" s="195" t="e">
        <f aca="false">IF($A66="","",AM65*$E65)</f>
        <v>#N/A</v>
      </c>
      <c r="AY65" s="195" t="e">
        <f aca="false">IF($A66="","",AN65*$E65)</f>
        <v>#N/A</v>
      </c>
      <c r="BA65" s="195" t="n">
        <f aca="false">IF($A66="","",F65*Summary!$Q$7)</f>
        <v>0</v>
      </c>
      <c r="BC65" s="179" t="e">
        <f aca="false">IF(A66="","",AM65*F65)</f>
        <v>#N/A</v>
      </c>
    </row>
    <row r="66" customFormat="false" ht="12.75" hidden="false" customHeight="false" outlineLevel="0" collapsed="false">
      <c r="A66" s="196" t="n">
        <f aca="false">IF(A65&lt;mthend,EDATE(A65,1),"")</f>
        <v>38749</v>
      </c>
      <c r="B66" s="197" t="n">
        <f aca="false">IF(A66&lt;mthend,B65,"")</f>
        <v>40000</v>
      </c>
      <c r="C66" s="215"/>
      <c r="D66" s="197" t="n">
        <f aca="false">IF(A67&lt;&gt;"",B66+C66,"")</f>
        <v>40000</v>
      </c>
      <c r="E66" s="199" t="n">
        <f aca="false">IF(A67="","",IF(AND(AT66=1,$H$3=1),D66*AO66,IF($H$3=2,D66,"N/A")))</f>
        <v>1120000</v>
      </c>
      <c r="F66" s="199" t="n">
        <f aca="false">IF(A67="","",E66*AS66)</f>
        <v>7619713.1421601</v>
      </c>
      <c r="G66" s="200" t="e">
        <f aca="false">IF($A67="","",VLOOKUP($A66,Table,MATCH(G$4,Curves,0)))</f>
        <v>#N/A</v>
      </c>
      <c r="H66" s="201" t="e">
        <f aca="false">IF(A67="","",G66)</f>
        <v>#N/A</v>
      </c>
      <c r="I66" s="202"/>
      <c r="J66" s="200" t="e">
        <f aca="false">IF($A67="","",VLOOKUP($A66,Table,MATCH(J$4,Curves,0)))</f>
        <v>#N/A</v>
      </c>
      <c r="K66" s="201" t="e">
        <f aca="false">IF(A67="","",J66)</f>
        <v>#N/A</v>
      </c>
      <c r="L66" s="200" t="e">
        <f aca="false">IF($A67="","",VLOOKUP($A66,Table,MATCH(L$4,Curves,0)))</f>
        <v>#N/A</v>
      </c>
      <c r="M66" s="201" t="e">
        <f aca="false">IF(A67="","",L66)</f>
        <v>#N/A</v>
      </c>
      <c r="N66" s="203"/>
      <c r="O66" s="200" t="e">
        <f aca="false">IF(A67="","",L66+J66+G66)</f>
        <v>#N/A</v>
      </c>
      <c r="P66" s="200" t="e">
        <f aca="false">IF(A67="","",M66+K66+H66)</f>
        <v>#N/A</v>
      </c>
      <c r="Q66" s="204"/>
      <c r="R66" s="200" t="e">
        <f aca="false">IF($A67="","",VLOOKUP($A66,Table,MATCH(R$4,Curves,0)))</f>
        <v>#N/A</v>
      </c>
      <c r="S66" s="201" t="e">
        <f aca="false">IF(A67="","",R66)</f>
        <v>#N/A</v>
      </c>
      <c r="T66" s="200" t="e">
        <f aca="false">IF($A67="","",VLOOKUP($A66,Table,MATCH(T$4,Curves,0)))</f>
        <v>#N/A</v>
      </c>
      <c r="U66" s="201" t="e">
        <f aca="false">IF(A67="","",T66)</f>
        <v>#N/A</v>
      </c>
      <c r="V66" s="183" t="e">
        <f aca="false">IF($A67="","",IF(AND(MONTH(A66)&gt;3,MONTH(A66)&lt;11),(T66+R66+G66)*Summary!$T$7/(1-Summary!$T$7),(T66+R66+G66)*Summary!$U$7/(1-Summary!$U$7)))</f>
        <v>#N/A</v>
      </c>
      <c r="W66" s="200" t="e">
        <f aca="false">IF($A67="","",(T66+R66+G66+V66))</f>
        <v>#N/A</v>
      </c>
      <c r="X66" s="200" t="e">
        <f aca="false">IF($A67="","",(U66+S66+H66+V66))</f>
        <v>#N/A</v>
      </c>
      <c r="Y66" s="202"/>
      <c r="Z66" s="185" t="e">
        <f aca="false">IF($A67="","",VLOOKUP($A66,Table,MATCH(Z$4,Curves,0)))</f>
        <v>#N/A</v>
      </c>
      <c r="AA66" s="185" t="e">
        <f aca="false">IF($A67="","",VLOOKUP($A66,Table,MATCH(AA$4,Curves,0)))</f>
        <v>#N/A</v>
      </c>
      <c r="AB66" s="185" t="e">
        <f aca="false">SQRT((AA66^2*(A66-$D$3)+Z66^2*(DAY(EOMONTH(A66,0))/2))/AK66)</f>
        <v>#N/A</v>
      </c>
      <c r="AC66" s="185" t="e">
        <f aca="false">IF($A67="","",VLOOKUP($A66,Table,MATCH(AC$4,Curves,0)))</f>
        <v>#N/A</v>
      </c>
      <c r="AD66" s="185" t="e">
        <f aca="false">IF($A67="","",VLOOKUP($A66,Table,MATCH(AD$4,Curves,0)))</f>
        <v>#N/A</v>
      </c>
      <c r="AE66" s="185" t="e">
        <f aca="false">SQRT((AD66^2*(A66-$D$3)+AC66^2*(DAY(EOMONTH(A66,0))/2))/AK66)</f>
        <v>#N/A</v>
      </c>
      <c r="AF66" s="206" t="e">
        <f aca="false">((Summary!$N$7*(AA66*AD66)*(A66-$D$3))+(Summary!$M$7*Z66*AC66*(DAY(EOMONTH(A66,0))/2)))/(AK66*AB66*AE66)</f>
        <v>#N/A</v>
      </c>
      <c r="AG66" s="207" t="n">
        <f aca="false">IF($A67="","",Summary!$Q$7)</f>
        <v>0</v>
      </c>
      <c r="AH66" s="207" t="n">
        <f aca="false">IF($A67="","",IF(Summary!$R$7="Y",(VLOOKUP($A66,Summary!$AD$6:$AF$9,3)+'Escalating commodity'!C79),'Escalating commodity'!C79))</f>
        <v>0.0224952</v>
      </c>
      <c r="AI66" s="207" t="n">
        <f aca="false">IF($A67="","",AH66)</f>
        <v>0.0224952</v>
      </c>
      <c r="AJ66" s="208" t="n">
        <f aca="false">A66+DAY(EOMONTH(A66,0))/2-1</f>
        <v>38762</v>
      </c>
      <c r="AK66" s="209" t="n">
        <f aca="false">IF($A67="","",$A66-$E$1)</f>
        <v>-7177</v>
      </c>
      <c r="AL66" s="182" t="e">
        <f aca="false">IF($A67="","",SPRDOPT(P66,X66,AI66,0,AB66,AE66,AF66,AK66,$AJ$2,0))</f>
        <v>#NAME?</v>
      </c>
      <c r="AM66" s="210" t="e">
        <f aca="false">IF($A67="","",MAX(0,O66-W66-AI66))</f>
        <v>#N/A</v>
      </c>
      <c r="AN66" s="211" t="e">
        <f aca="false">IF($A67="","",AL66-AM66)</f>
        <v>#N/A</v>
      </c>
      <c r="AO66" s="137" t="n">
        <f aca="false">IF(A67="","",A67-A66)</f>
        <v>28</v>
      </c>
      <c r="AP66" s="212" t="n">
        <f aca="false">IF(A67="","",CHOOSE(F$3,A67+24,A66))</f>
        <v>38749</v>
      </c>
      <c r="AQ66" s="209" t="n">
        <f aca="false">IF(A67="","",AP66-$E$1)</f>
        <v>-7177</v>
      </c>
      <c r="AR66" s="185" t="n">
        <f aca="false">IF(Summary!$H$2=1,VLOOKUP('ANR OK vs ML7'!A66,Curves!$C$17:$AR$273,MATCH('ANR OK vs ML7'!$AR$4,Curves!$C$8:$AQ$8,0)),0.1)</f>
        <v>0.1</v>
      </c>
      <c r="AS66" s="213" t="n">
        <f aca="false">IF(A67="","",1/(1+CHOOSE(F$3,(AR67+($I$3/10000))/2,(AR66+($I$3/10000))/2))^(2*AQ66/365.25))</f>
        <v>6.80331530550009</v>
      </c>
      <c r="AT66" s="137" t="n">
        <f aca="false">IF(A67="","",IF(AND(mthbeg&lt;=A66,mthend&gt;=A66),1,0))</f>
        <v>1</v>
      </c>
      <c r="AU66" s="137" t="n">
        <f aca="false">IF(A67="","",AO66*AT66)</f>
        <v>28</v>
      </c>
      <c r="AW66" s="195" t="e">
        <f aca="false">IF($A67="","",AL66*$E66)</f>
        <v>#NAME?</v>
      </c>
      <c r="AX66" s="195" t="e">
        <f aca="false">IF($A67="","",AM66*$E66)</f>
        <v>#N/A</v>
      </c>
      <c r="AY66" s="195" t="e">
        <f aca="false">IF($A67="","",AN66*$E66)</f>
        <v>#N/A</v>
      </c>
      <c r="BA66" s="195" t="n">
        <f aca="false">IF($A67="","",F66*Summary!$Q$7)</f>
        <v>0</v>
      </c>
      <c r="BC66" s="179" t="e">
        <f aca="false">IF(A67="","",AM66*F66)</f>
        <v>#N/A</v>
      </c>
    </row>
    <row r="67" customFormat="false" ht="12.75" hidden="false" customHeight="false" outlineLevel="0" collapsed="false">
      <c r="A67" s="196" t="n">
        <f aca="false">IF(A66&lt;mthend,EDATE(A66,1),"")</f>
        <v>38777</v>
      </c>
      <c r="B67" s="197" t="n">
        <f aca="false">IF(A67&lt;mthend,B66,"")</f>
        <v>40000</v>
      </c>
      <c r="C67" s="215"/>
      <c r="D67" s="197" t="n">
        <f aca="false">IF(A68&lt;&gt;"",B67+C67,"")</f>
        <v>40000</v>
      </c>
      <c r="E67" s="199" t="n">
        <f aca="false">IF(A68="","",IF(AND(AT67=1,$H$3=1),D67*AO67,IF($H$3=2,D67,"N/A")))</f>
        <v>1240000</v>
      </c>
      <c r="F67" s="199" t="n">
        <f aca="false">IF(A68="","",E67*AS67)</f>
        <v>8373240.17530295</v>
      </c>
      <c r="G67" s="200" t="e">
        <f aca="false">IF($A68="","",VLOOKUP($A67,Table,MATCH(G$4,Curves,0)))</f>
        <v>#N/A</v>
      </c>
      <c r="H67" s="201" t="e">
        <f aca="false">IF(A68="","",G67)</f>
        <v>#N/A</v>
      </c>
      <c r="I67" s="202"/>
      <c r="J67" s="200" t="e">
        <f aca="false">IF($A68="","",VLOOKUP($A67,Table,MATCH(J$4,Curves,0)))</f>
        <v>#N/A</v>
      </c>
      <c r="K67" s="201" t="e">
        <f aca="false">IF(A68="","",J67)</f>
        <v>#N/A</v>
      </c>
      <c r="L67" s="200" t="e">
        <f aca="false">IF($A68="","",VLOOKUP($A67,Table,MATCH(L$4,Curves,0)))</f>
        <v>#N/A</v>
      </c>
      <c r="M67" s="201" t="e">
        <f aca="false">IF(A68="","",L67)</f>
        <v>#N/A</v>
      </c>
      <c r="N67" s="203"/>
      <c r="O67" s="200" t="e">
        <f aca="false">IF(A68="","",L67+J67+G67)</f>
        <v>#N/A</v>
      </c>
      <c r="P67" s="200" t="e">
        <f aca="false">IF(A68="","",M67+K67+H67)</f>
        <v>#N/A</v>
      </c>
      <c r="Q67" s="204"/>
      <c r="R67" s="200" t="e">
        <f aca="false">IF($A68="","",VLOOKUP($A67,Table,MATCH(R$4,Curves,0)))</f>
        <v>#N/A</v>
      </c>
      <c r="S67" s="201" t="e">
        <f aca="false">IF(A68="","",R67)</f>
        <v>#N/A</v>
      </c>
      <c r="T67" s="200" t="e">
        <f aca="false">IF($A68="","",VLOOKUP($A67,Table,MATCH(T$4,Curves,0)))</f>
        <v>#N/A</v>
      </c>
      <c r="U67" s="201" t="e">
        <f aca="false">IF(A68="","",T67)</f>
        <v>#N/A</v>
      </c>
      <c r="V67" s="183" t="e">
        <f aca="false">IF($A68="","",IF(AND(MONTH(A67)&gt;3,MONTH(A67)&lt;11),(T67+R67+G67)*Summary!$T$7/(1-Summary!$T$7),(T67+R67+G67)*Summary!$U$7/(1-Summary!$U$7)))</f>
        <v>#N/A</v>
      </c>
      <c r="W67" s="200" t="e">
        <f aca="false">IF($A68="","",(T67+R67+G67+V67))</f>
        <v>#N/A</v>
      </c>
      <c r="X67" s="200" t="e">
        <f aca="false">IF($A68="","",(U67+S67+H67+V67))</f>
        <v>#N/A</v>
      </c>
      <c r="Y67" s="202"/>
      <c r="Z67" s="185" t="e">
        <f aca="false">IF($A68="","",VLOOKUP($A67,Table,MATCH(Z$4,Curves,0)))</f>
        <v>#N/A</v>
      </c>
      <c r="AA67" s="185" t="e">
        <f aca="false">IF($A68="","",VLOOKUP($A67,Table,MATCH(AA$4,Curves,0)))</f>
        <v>#N/A</v>
      </c>
      <c r="AB67" s="185" t="e">
        <f aca="false">SQRT((AA67^2*(A67-$D$3)+Z67^2*(DAY(EOMONTH(A67,0))/2))/AK67)</f>
        <v>#N/A</v>
      </c>
      <c r="AC67" s="185" t="e">
        <f aca="false">IF($A68="","",VLOOKUP($A67,Table,MATCH(AC$4,Curves,0)))</f>
        <v>#N/A</v>
      </c>
      <c r="AD67" s="185" t="e">
        <f aca="false">IF($A68="","",VLOOKUP($A67,Table,MATCH(AD$4,Curves,0)))</f>
        <v>#N/A</v>
      </c>
      <c r="AE67" s="185" t="e">
        <f aca="false">SQRT((AD67^2*(A67-$D$3)+AC67^2*(DAY(EOMONTH(A67,0))/2))/AK67)</f>
        <v>#N/A</v>
      </c>
      <c r="AF67" s="206" t="e">
        <f aca="false">((Summary!$N$7*(AA67*AD67)*(A67-$D$3))+(Summary!$M$7*Z67*AC67*(DAY(EOMONTH(A67,0))/2)))/(AK67*AB67*AE67)</f>
        <v>#N/A</v>
      </c>
      <c r="AG67" s="207" t="n">
        <f aca="false">IF($A68="","",Summary!$Q$7)</f>
        <v>0</v>
      </c>
      <c r="AH67" s="207" t="n">
        <f aca="false">IF($A68="","",IF(Summary!$R$7="Y",(VLOOKUP($A67,Summary!$AD$6:$AF$9,3)+'Escalating commodity'!C80),'Escalating commodity'!C80))</f>
        <v>0.0224952</v>
      </c>
      <c r="AI67" s="207" t="n">
        <f aca="false">IF($A68="","",AH67)</f>
        <v>0.0224952</v>
      </c>
      <c r="AJ67" s="208" t="n">
        <f aca="false">A67+DAY(EOMONTH(A67,0))/2-1</f>
        <v>38791.5</v>
      </c>
      <c r="AK67" s="209" t="n">
        <f aca="false">IF($A68="","",$A67-$E$1)</f>
        <v>-7149</v>
      </c>
      <c r="AL67" s="182" t="e">
        <f aca="false">IF($A68="","",SPRDOPT(P67,X67,AI67,0,AB67,AE67,AF67,AK67,$AJ$2,0))</f>
        <v>#NAME?</v>
      </c>
      <c r="AM67" s="210" t="e">
        <f aca="false">IF($A68="","",MAX(0,O67-W67-AI67))</f>
        <v>#N/A</v>
      </c>
      <c r="AN67" s="211" t="e">
        <f aca="false">IF($A68="","",AL67-AM67)</f>
        <v>#N/A</v>
      </c>
      <c r="AO67" s="137" t="n">
        <f aca="false">IF(A68="","",A68-A67)</f>
        <v>31</v>
      </c>
      <c r="AP67" s="212" t="n">
        <f aca="false">IF(A68="","",CHOOSE(F$3,A68+24,A67))</f>
        <v>38777</v>
      </c>
      <c r="AQ67" s="209" t="n">
        <f aca="false">IF(A68="","",AP67-$E$1)</f>
        <v>-7149</v>
      </c>
      <c r="AR67" s="185" t="n">
        <f aca="false">IF(Summary!$H$2=1,VLOOKUP('ANR OK vs ML7'!A67,Curves!$C$17:$AR$273,MATCH('ANR OK vs ML7'!$AR$4,Curves!$C$8:$AQ$8,0)),0.1)</f>
        <v>0.1</v>
      </c>
      <c r="AS67" s="213" t="n">
        <f aca="false">IF(A68="","",1/(1+CHOOSE(F$3,(AR68+($I$3/10000))/2,(AR67+($I$3/10000))/2))^(2*AQ67/365.25))</f>
        <v>6.75261304459915</v>
      </c>
      <c r="AT67" s="137" t="n">
        <f aca="false">IF(A68="","",IF(AND(mthbeg&lt;=A67,mthend&gt;=A67),1,0))</f>
        <v>1</v>
      </c>
      <c r="AU67" s="137" t="n">
        <f aca="false">IF(A68="","",AO67*AT67)</f>
        <v>31</v>
      </c>
      <c r="AW67" s="195" t="e">
        <f aca="false">IF($A68="","",AL67*$E67)</f>
        <v>#NAME?</v>
      </c>
      <c r="AX67" s="195" t="e">
        <f aca="false">IF($A68="","",AM67*$E67)</f>
        <v>#N/A</v>
      </c>
      <c r="AY67" s="195" t="e">
        <f aca="false">IF($A68="","",AN67*$E67)</f>
        <v>#N/A</v>
      </c>
      <c r="BA67" s="195" t="n">
        <f aca="false">IF($A68="","",F67*Summary!$Q$7)</f>
        <v>0</v>
      </c>
      <c r="BC67" s="179" t="e">
        <f aca="false">IF(A68="","",AM67*F67)</f>
        <v>#N/A</v>
      </c>
    </row>
    <row r="68" customFormat="false" ht="12.75" hidden="false" customHeight="false" outlineLevel="0" collapsed="false">
      <c r="A68" s="196" t="n">
        <f aca="false">IF(A67&lt;mthend,EDATE(A67,1),"")</f>
        <v>38808</v>
      </c>
      <c r="B68" s="197" t="n">
        <f aca="false">IF(A68&lt;mthend,B67,"")</f>
        <v>40000</v>
      </c>
      <c r="C68" s="215"/>
      <c r="D68" s="197" t="n">
        <f aca="false">IF(A69&lt;&gt;"",B68+C68,"")</f>
        <v>40000</v>
      </c>
      <c r="E68" s="199" t="n">
        <f aca="false">IF(A69="","",IF(AND(AT68=1,$H$3=1),D68*AO68,IF($H$3=2,D68,"N/A")))</f>
        <v>1200000</v>
      </c>
      <c r="F68" s="199" t="n">
        <f aca="false">IF(A69="","",E68*AS68)</f>
        <v>8036302.84873166</v>
      </c>
      <c r="G68" s="200" t="e">
        <f aca="false">IF($A69="","",VLOOKUP($A68,Table,MATCH(G$4,Curves,0)))</f>
        <v>#N/A</v>
      </c>
      <c r="H68" s="201" t="e">
        <f aca="false">IF(A69="","",G68)</f>
        <v>#N/A</v>
      </c>
      <c r="I68" s="202"/>
      <c r="J68" s="200" t="e">
        <f aca="false">IF($A69="","",VLOOKUP($A68,Table,MATCH(J$4,Curves,0)))</f>
        <v>#N/A</v>
      </c>
      <c r="K68" s="201" t="e">
        <f aca="false">IF(A69="","",J68)</f>
        <v>#N/A</v>
      </c>
      <c r="L68" s="200" t="e">
        <f aca="false">IF($A69="","",VLOOKUP($A68,Table,MATCH(L$4,Curves,0)))</f>
        <v>#N/A</v>
      </c>
      <c r="M68" s="201" t="e">
        <f aca="false">IF(A69="","",L68)</f>
        <v>#N/A</v>
      </c>
      <c r="N68" s="203"/>
      <c r="O68" s="200" t="e">
        <f aca="false">IF(A69="","",L68+J68+G68)</f>
        <v>#N/A</v>
      </c>
      <c r="P68" s="200" t="e">
        <f aca="false">IF(A69="","",M68+K68+H68)</f>
        <v>#N/A</v>
      </c>
      <c r="Q68" s="204"/>
      <c r="R68" s="200" t="e">
        <f aca="false">IF($A69="","",VLOOKUP($A68,Table,MATCH(R$4,Curves,0)))</f>
        <v>#N/A</v>
      </c>
      <c r="S68" s="201" t="e">
        <f aca="false">IF(A69="","",R68)</f>
        <v>#N/A</v>
      </c>
      <c r="T68" s="200" t="e">
        <f aca="false">IF($A69="","",VLOOKUP($A68,Table,MATCH(T$4,Curves,0)))</f>
        <v>#N/A</v>
      </c>
      <c r="U68" s="201" t="e">
        <f aca="false">IF(A69="","",T68)</f>
        <v>#N/A</v>
      </c>
      <c r="V68" s="183" t="e">
        <f aca="false">IF($A69="","",IF(AND(MONTH(A68)&gt;3,MONTH(A68)&lt;11),(T68+R68+G68)*Summary!$T$7/(1-Summary!$T$7),(T68+R68+G68)*Summary!$U$7/(1-Summary!$U$7)))</f>
        <v>#N/A</v>
      </c>
      <c r="W68" s="200" t="e">
        <f aca="false">IF($A69="","",(T68+R68+G68+V68))</f>
        <v>#N/A</v>
      </c>
      <c r="X68" s="200" t="e">
        <f aca="false">IF($A69="","",(U68+S68+H68+V68))</f>
        <v>#N/A</v>
      </c>
      <c r="Y68" s="202"/>
      <c r="Z68" s="185" t="e">
        <f aca="false">IF($A69="","",VLOOKUP($A68,Table,MATCH(Z$4,Curves,0)))</f>
        <v>#N/A</v>
      </c>
      <c r="AA68" s="185" t="e">
        <f aca="false">IF($A69="","",VLOOKUP($A68,Table,MATCH(AA$4,Curves,0)))</f>
        <v>#N/A</v>
      </c>
      <c r="AB68" s="185" t="e">
        <f aca="false">SQRT((AA68^2*(A68-$D$3)+Z68^2*(DAY(EOMONTH(A68,0))/2))/AK68)</f>
        <v>#N/A</v>
      </c>
      <c r="AC68" s="185" t="e">
        <f aca="false">IF($A69="","",VLOOKUP($A68,Table,MATCH(AC$4,Curves,0)))</f>
        <v>#N/A</v>
      </c>
      <c r="AD68" s="185" t="e">
        <f aca="false">IF($A69="","",VLOOKUP($A68,Table,MATCH(AD$4,Curves,0)))</f>
        <v>#N/A</v>
      </c>
      <c r="AE68" s="185" t="e">
        <f aca="false">SQRT((AD68^2*(A68-$D$3)+AC68^2*(DAY(EOMONTH(A68,0))/2))/AK68)</f>
        <v>#N/A</v>
      </c>
      <c r="AF68" s="206" t="e">
        <f aca="false">((Summary!$N$7*(AA68*AD68)*(A68-$D$3))+(Summary!$M$7*Z68*AC68*(DAY(EOMONTH(A68,0))/2)))/(AK68*AB68*AE68)</f>
        <v>#N/A</v>
      </c>
      <c r="AG68" s="207" t="n">
        <f aca="false">IF($A69="","",Summary!$Q$7)</f>
        <v>0</v>
      </c>
      <c r="AH68" s="207" t="n">
        <f aca="false">IF($A69="","",IF(Summary!$R$7="Y",(VLOOKUP($A68,Summary!$AD$6:$AF$9,3)+'Escalating commodity'!C81),'Escalating commodity'!C81))</f>
        <v>0.0224952</v>
      </c>
      <c r="AI68" s="207" t="n">
        <f aca="false">IF($A69="","",AH68)</f>
        <v>0.0224952</v>
      </c>
      <c r="AJ68" s="208" t="n">
        <f aca="false">A68+DAY(EOMONTH(A68,0))/2-1</f>
        <v>38822</v>
      </c>
      <c r="AK68" s="209" t="n">
        <f aca="false">IF($A69="","",$A68-$E$1)</f>
        <v>-7118</v>
      </c>
      <c r="AL68" s="182" t="e">
        <f aca="false">IF($A69="","",SPRDOPT(P68,X68,AI68,0,AB68,AE68,AF68,AK68,$AJ$2,0))</f>
        <v>#NAME?</v>
      </c>
      <c r="AM68" s="210" t="e">
        <f aca="false">IF($A69="","",MAX(0,O68-W68-AI68))</f>
        <v>#N/A</v>
      </c>
      <c r="AN68" s="211" t="e">
        <f aca="false">IF($A69="","",AL68-AM68)</f>
        <v>#N/A</v>
      </c>
      <c r="AO68" s="137" t="n">
        <f aca="false">IF(A69="","",A69-A68)</f>
        <v>30</v>
      </c>
      <c r="AP68" s="212" t="n">
        <f aca="false">IF(A69="","",CHOOSE(F$3,A69+24,A68))</f>
        <v>38808</v>
      </c>
      <c r="AQ68" s="209" t="n">
        <f aca="false">IF(A69="","",AP68-$E$1)</f>
        <v>-7118</v>
      </c>
      <c r="AR68" s="185" t="n">
        <f aca="false">IF(Summary!$H$2=1,VLOOKUP('ANR OK vs ML7'!A68,Curves!$C$17:$AR$273,MATCH('ANR OK vs ML7'!$AR$4,Curves!$C$8:$AQ$8,0)),0.1)</f>
        <v>0.1</v>
      </c>
      <c r="AS68" s="213" t="n">
        <f aca="false">IF(A69="","",1/(1+CHOOSE(F$3,(AR69+($I$3/10000))/2,(AR68+($I$3/10000))/2))^(2*AQ68/365.25))</f>
        <v>6.69691904060972</v>
      </c>
      <c r="AT68" s="137" t="n">
        <f aca="false">IF(A69="","",IF(AND(mthbeg&lt;=A68,mthend&gt;=A68),1,0))</f>
        <v>1</v>
      </c>
      <c r="AU68" s="137" t="n">
        <f aca="false">IF(A69="","",AO68*AT68)</f>
        <v>30</v>
      </c>
      <c r="AW68" s="195" t="e">
        <f aca="false">IF($A69="","",AL68*$E68)</f>
        <v>#NAME?</v>
      </c>
      <c r="AX68" s="195" t="e">
        <f aca="false">IF($A69="","",AM68*$E68)</f>
        <v>#N/A</v>
      </c>
      <c r="AY68" s="195" t="e">
        <f aca="false">IF($A69="","",AN68*$E68)</f>
        <v>#N/A</v>
      </c>
      <c r="BA68" s="195" t="n">
        <f aca="false">IF($A69="","",F68*Summary!$Q$7)</f>
        <v>0</v>
      </c>
      <c r="BC68" s="179" t="e">
        <f aca="false">IF(A69="","",AM68*F68)</f>
        <v>#N/A</v>
      </c>
    </row>
    <row r="69" customFormat="false" ht="12.75" hidden="false" customHeight="false" outlineLevel="0" collapsed="false">
      <c r="A69" s="196" t="n">
        <f aca="false">IF(A68&lt;mthend,EDATE(A68,1),"")</f>
        <v>38838</v>
      </c>
      <c r="B69" s="197" t="n">
        <f aca="false">IF(A69&lt;mthend,B68,"")</f>
        <v>40000</v>
      </c>
      <c r="C69" s="215"/>
      <c r="D69" s="197" t="n">
        <f aca="false">IF(A70&lt;&gt;"",B69+C69,"")</f>
        <v>40000</v>
      </c>
      <c r="E69" s="199" t="n">
        <f aca="false">IF(A70="","",IF(AND(AT69=1,$H$3=1),D69*AO69,IF($H$3=2,D69,"N/A")))</f>
        <v>1240000</v>
      </c>
      <c r="F69" s="199" t="n">
        <f aca="false">IF(A70="","",E69*AS69)</f>
        <v>8237889.18474555</v>
      </c>
      <c r="G69" s="200" t="e">
        <f aca="false">IF($A70="","",VLOOKUP($A69,Table,MATCH(G$4,Curves,0)))</f>
        <v>#N/A</v>
      </c>
      <c r="H69" s="201" t="e">
        <f aca="false">IF(A70="","",G69)</f>
        <v>#N/A</v>
      </c>
      <c r="I69" s="202"/>
      <c r="J69" s="200" t="e">
        <f aca="false">IF($A70="","",VLOOKUP($A69,Table,MATCH(J$4,Curves,0)))</f>
        <v>#N/A</v>
      </c>
      <c r="K69" s="201" t="e">
        <f aca="false">IF(A70="","",J69)</f>
        <v>#N/A</v>
      </c>
      <c r="L69" s="200" t="e">
        <f aca="false">IF($A70="","",VLOOKUP($A69,Table,MATCH(L$4,Curves,0)))</f>
        <v>#N/A</v>
      </c>
      <c r="M69" s="201" t="e">
        <f aca="false">IF(A70="","",L69)</f>
        <v>#N/A</v>
      </c>
      <c r="N69" s="203"/>
      <c r="O69" s="200" t="e">
        <f aca="false">IF(A70="","",L69+J69+G69)</f>
        <v>#N/A</v>
      </c>
      <c r="P69" s="200" t="e">
        <f aca="false">IF(A70="","",M69+K69+H69)</f>
        <v>#N/A</v>
      </c>
      <c r="Q69" s="204"/>
      <c r="R69" s="200" t="e">
        <f aca="false">IF($A70="","",VLOOKUP($A69,Table,MATCH(R$4,Curves,0)))</f>
        <v>#N/A</v>
      </c>
      <c r="S69" s="201" t="e">
        <f aca="false">IF(A70="","",R69)</f>
        <v>#N/A</v>
      </c>
      <c r="T69" s="200" t="e">
        <f aca="false">IF($A70="","",VLOOKUP($A69,Table,MATCH(T$4,Curves,0)))</f>
        <v>#N/A</v>
      </c>
      <c r="U69" s="201" t="e">
        <f aca="false">IF(A70="","",T69)</f>
        <v>#N/A</v>
      </c>
      <c r="V69" s="183" t="e">
        <f aca="false">IF($A70="","",IF(AND(MONTH(A69)&gt;3,MONTH(A69)&lt;11),(T69+R69+G69)*Summary!$T$7/(1-Summary!$T$7),(T69+R69+G69)*Summary!$U$7/(1-Summary!$U$7)))</f>
        <v>#N/A</v>
      </c>
      <c r="W69" s="200" t="e">
        <f aca="false">IF($A70="","",(T69+R69+G69+V69))</f>
        <v>#N/A</v>
      </c>
      <c r="X69" s="200" t="e">
        <f aca="false">IF($A70="","",(U69+S69+H69+V69))</f>
        <v>#N/A</v>
      </c>
      <c r="Y69" s="202"/>
      <c r="Z69" s="185" t="e">
        <f aca="false">IF($A70="","",VLOOKUP($A69,Table,MATCH(Z$4,Curves,0)))</f>
        <v>#N/A</v>
      </c>
      <c r="AA69" s="185" t="e">
        <f aca="false">IF($A70="","",VLOOKUP($A69,Table,MATCH(AA$4,Curves,0)))</f>
        <v>#N/A</v>
      </c>
      <c r="AB69" s="185" t="e">
        <f aca="false">SQRT((AA69^2*(A69-$D$3)+Z69^2*(DAY(EOMONTH(A69,0))/2))/AK69)</f>
        <v>#N/A</v>
      </c>
      <c r="AC69" s="185" t="e">
        <f aca="false">IF($A70="","",VLOOKUP($A69,Table,MATCH(AC$4,Curves,0)))</f>
        <v>#N/A</v>
      </c>
      <c r="AD69" s="185" t="e">
        <f aca="false">IF($A70="","",VLOOKUP($A69,Table,MATCH(AD$4,Curves,0)))</f>
        <v>#N/A</v>
      </c>
      <c r="AE69" s="185" t="e">
        <f aca="false">SQRT((AD69^2*(A69-$D$3)+AC69^2*(DAY(EOMONTH(A69,0))/2))/AK69)</f>
        <v>#N/A</v>
      </c>
      <c r="AF69" s="206" t="e">
        <f aca="false">((Summary!$N$7*(AA69*AD69)*(A69-$D$3))+(Summary!$M$7*Z69*AC69*(DAY(EOMONTH(A69,0))/2)))/(AK69*AB69*AE69)</f>
        <v>#N/A</v>
      </c>
      <c r="AG69" s="207" t="n">
        <f aca="false">IF($A70="","",Summary!$Q$7)</f>
        <v>0</v>
      </c>
      <c r="AH69" s="207" t="n">
        <f aca="false">IF($A70="","",IF(Summary!$R$7="Y",(VLOOKUP($A69,Summary!$AD$6:$AF$9,3)+'Escalating commodity'!C82),'Escalating commodity'!C82))</f>
        <v>0.0224952</v>
      </c>
      <c r="AI69" s="207" t="n">
        <f aca="false">IF($A70="","",AH69)</f>
        <v>0.0224952</v>
      </c>
      <c r="AJ69" s="208" t="n">
        <f aca="false">A69+DAY(EOMONTH(A69,0))/2-1</f>
        <v>38852.5</v>
      </c>
      <c r="AK69" s="209" t="n">
        <f aca="false">IF($A70="","",$A69-$E$1)</f>
        <v>-7088</v>
      </c>
      <c r="AL69" s="182" t="e">
        <f aca="false">IF($A70="","",SPRDOPT(P69,X69,AI69,0,AB69,AE69,AF69,AK69,$AJ$2,0))</f>
        <v>#NAME?</v>
      </c>
      <c r="AM69" s="210" t="e">
        <f aca="false">IF($A70="","",MAX(0,O69-W69-AI69))</f>
        <v>#N/A</v>
      </c>
      <c r="AN69" s="211" t="e">
        <f aca="false">IF($A70="","",AL69-AM69)</f>
        <v>#N/A</v>
      </c>
      <c r="AO69" s="137" t="n">
        <f aca="false">IF(A70="","",A70-A69)</f>
        <v>31</v>
      </c>
      <c r="AP69" s="212" t="n">
        <f aca="false">IF(A70="","",CHOOSE(F$3,A70+24,A69))</f>
        <v>38838</v>
      </c>
      <c r="AQ69" s="209" t="n">
        <f aca="false">IF(A70="","",AP69-$E$1)</f>
        <v>-7088</v>
      </c>
      <c r="AR69" s="185" t="n">
        <f aca="false">IF(Summary!$H$2=1,VLOOKUP('ANR OK vs ML7'!A69,Curves!$C$17:$AR$273,MATCH('ANR OK vs ML7'!$AR$4,Curves!$C$8:$AQ$8,0)),0.1)</f>
        <v>0.1</v>
      </c>
      <c r="AS69" s="213" t="n">
        <f aca="false">IF(A70="","",1/(1+CHOOSE(F$3,(AR70+($I$3/10000))/2,(AR69+($I$3/10000))/2))^(2*AQ69/365.25))</f>
        <v>6.64345901995609</v>
      </c>
      <c r="AT69" s="137" t="n">
        <f aca="false">IF(A70="","",IF(AND(mthbeg&lt;=A69,mthend&gt;=A69),1,0))</f>
        <v>1</v>
      </c>
      <c r="AU69" s="137" t="n">
        <f aca="false">IF(A70="","",AO69*AT69)</f>
        <v>31</v>
      </c>
      <c r="AW69" s="195" t="e">
        <f aca="false">IF($A70="","",AL69*$E69)</f>
        <v>#NAME?</v>
      </c>
      <c r="AX69" s="195" t="e">
        <f aca="false">IF($A70="","",AM69*$E69)</f>
        <v>#N/A</v>
      </c>
      <c r="AY69" s="195" t="e">
        <f aca="false">IF($A70="","",AN69*$E69)</f>
        <v>#N/A</v>
      </c>
      <c r="BA69" s="195" t="n">
        <f aca="false">IF($A70="","",F69*Summary!$Q$7)</f>
        <v>0</v>
      </c>
      <c r="BC69" s="179" t="e">
        <f aca="false">IF(A70="","",AM69*F69)</f>
        <v>#N/A</v>
      </c>
    </row>
    <row r="70" customFormat="false" ht="12.75" hidden="false" customHeight="false" outlineLevel="0" collapsed="false">
      <c r="A70" s="196" t="n">
        <f aca="false">IF(A69&lt;mthend,EDATE(A69,1),"")</f>
        <v>38869</v>
      </c>
      <c r="B70" s="197" t="n">
        <f aca="false">IF(A70&lt;mthend,B69,"")</f>
        <v>40000</v>
      </c>
      <c r="C70" s="215"/>
      <c r="D70" s="197" t="n">
        <f aca="false">IF(A71&lt;&gt;"",B70+C70,"")</f>
        <v>40000</v>
      </c>
      <c r="E70" s="199" t="n">
        <f aca="false">IF(A71="","",IF(AND(AT70=1,$H$3=1),D70*AO70,IF($H$3=2,D70,"N/A")))</f>
        <v>1200000</v>
      </c>
      <c r="F70" s="199" t="n">
        <f aca="false">IF(A71="","",E70*AS70)</f>
        <v>7906398.35199893</v>
      </c>
      <c r="G70" s="200" t="e">
        <f aca="false">IF($A71="","",VLOOKUP($A70,Table,MATCH(G$4,Curves,0)))</f>
        <v>#N/A</v>
      </c>
      <c r="H70" s="201" t="e">
        <f aca="false">IF(A71="","",G70)</f>
        <v>#N/A</v>
      </c>
      <c r="I70" s="202"/>
      <c r="J70" s="200" t="e">
        <f aca="false">IF($A71="","",VLOOKUP($A70,Table,MATCH(J$4,Curves,0)))</f>
        <v>#N/A</v>
      </c>
      <c r="K70" s="201" t="e">
        <f aca="false">IF(A71="","",J70)</f>
        <v>#N/A</v>
      </c>
      <c r="L70" s="200" t="e">
        <f aca="false">IF($A71="","",VLOOKUP($A70,Table,MATCH(L$4,Curves,0)))</f>
        <v>#N/A</v>
      </c>
      <c r="M70" s="201" t="e">
        <f aca="false">IF(A71="","",L70)</f>
        <v>#N/A</v>
      </c>
      <c r="N70" s="203"/>
      <c r="O70" s="200" t="e">
        <f aca="false">IF(A71="","",L70+J70+G70)</f>
        <v>#N/A</v>
      </c>
      <c r="P70" s="200" t="e">
        <f aca="false">IF(A71="","",M70+K70+H70)</f>
        <v>#N/A</v>
      </c>
      <c r="Q70" s="204"/>
      <c r="R70" s="200" t="e">
        <f aca="false">IF($A71="","",VLOOKUP($A70,Table,MATCH(R$4,Curves,0)))</f>
        <v>#N/A</v>
      </c>
      <c r="S70" s="201" t="e">
        <f aca="false">IF(A71="","",R70)</f>
        <v>#N/A</v>
      </c>
      <c r="T70" s="200" t="e">
        <f aca="false">IF($A71="","",VLOOKUP($A70,Table,MATCH(T$4,Curves,0)))</f>
        <v>#N/A</v>
      </c>
      <c r="U70" s="201" t="e">
        <f aca="false">IF(A71="","",T70)</f>
        <v>#N/A</v>
      </c>
      <c r="V70" s="183" t="e">
        <f aca="false">IF($A71="","",IF(AND(MONTH(A70)&gt;3,MONTH(A70)&lt;11),(T70+R70+G70)*Summary!$T$7/(1-Summary!$T$7),(T70+R70+G70)*Summary!$U$7/(1-Summary!$U$7)))</f>
        <v>#N/A</v>
      </c>
      <c r="W70" s="200" t="e">
        <f aca="false">IF($A71="","",(T70+R70+G70+V70))</f>
        <v>#N/A</v>
      </c>
      <c r="X70" s="200" t="e">
        <f aca="false">IF($A71="","",(U70+S70+H70+V70))</f>
        <v>#N/A</v>
      </c>
      <c r="Y70" s="202"/>
      <c r="Z70" s="185" t="e">
        <f aca="false">IF($A71="","",VLOOKUP($A70,Table,MATCH(Z$4,Curves,0)))</f>
        <v>#N/A</v>
      </c>
      <c r="AA70" s="185" t="e">
        <f aca="false">IF($A71="","",VLOOKUP($A70,Table,MATCH(AA$4,Curves,0)))</f>
        <v>#N/A</v>
      </c>
      <c r="AB70" s="185" t="e">
        <f aca="false">SQRT((AA70^2*(A70-$D$3)+Z70^2*(DAY(EOMONTH(A70,0))/2))/AK70)</f>
        <v>#N/A</v>
      </c>
      <c r="AC70" s="185" t="e">
        <f aca="false">IF($A71="","",VLOOKUP($A70,Table,MATCH(AC$4,Curves,0)))</f>
        <v>#N/A</v>
      </c>
      <c r="AD70" s="185" t="e">
        <f aca="false">IF($A71="","",VLOOKUP($A70,Table,MATCH(AD$4,Curves,0)))</f>
        <v>#N/A</v>
      </c>
      <c r="AE70" s="185" t="e">
        <f aca="false">SQRT((AD70^2*(A70-$D$3)+AC70^2*(DAY(EOMONTH(A70,0))/2))/AK70)</f>
        <v>#N/A</v>
      </c>
      <c r="AF70" s="206" t="e">
        <f aca="false">((Summary!$N$7*(AA70*AD70)*(A70-$D$3))+(Summary!$M$7*Z70*AC70*(DAY(EOMONTH(A70,0))/2)))/(AK70*AB70*AE70)</f>
        <v>#N/A</v>
      </c>
      <c r="AG70" s="207" t="n">
        <f aca="false">IF($A71="","",Summary!$Q$7)</f>
        <v>0</v>
      </c>
      <c r="AH70" s="207" t="n">
        <f aca="false">IF($A71="","",IF(Summary!$R$7="Y",(VLOOKUP($A70,Summary!$AD$6:$AF$9,3)+'Escalating commodity'!C83),'Escalating commodity'!C83))</f>
        <v>0.0224952</v>
      </c>
      <c r="AI70" s="207" t="n">
        <f aca="false">IF($A71="","",AH70)</f>
        <v>0.0224952</v>
      </c>
      <c r="AJ70" s="208" t="n">
        <f aca="false">A70+DAY(EOMONTH(A70,0))/2-1</f>
        <v>38883</v>
      </c>
      <c r="AK70" s="209" t="n">
        <f aca="false">IF($A71="","",$A70-$E$1)</f>
        <v>-7057</v>
      </c>
      <c r="AL70" s="182" t="e">
        <f aca="false">IF($A71="","",SPRDOPT(P70,X70,AI70,0,AB70,AE70,AF70,AK70,$AJ$2,0))</f>
        <v>#NAME?</v>
      </c>
      <c r="AM70" s="210" t="e">
        <f aca="false">IF($A71="","",MAX(0,O70-W70-AI70))</f>
        <v>#N/A</v>
      </c>
      <c r="AN70" s="211" t="e">
        <f aca="false">IF($A71="","",AL70-AM70)</f>
        <v>#N/A</v>
      </c>
      <c r="AO70" s="137" t="n">
        <f aca="false">IF(A71="","",A71-A70)</f>
        <v>30</v>
      </c>
      <c r="AP70" s="212" t="n">
        <f aca="false">IF(A71="","",CHOOSE(F$3,A71+24,A70))</f>
        <v>38869</v>
      </c>
      <c r="AQ70" s="209" t="n">
        <f aca="false">IF(A71="","",AP70-$E$1)</f>
        <v>-7057</v>
      </c>
      <c r="AR70" s="185" t="n">
        <f aca="false">IF(Summary!$H$2=1,VLOOKUP('ANR OK vs ML7'!A70,Curves!$C$17:$AR$273,MATCH('ANR OK vs ML7'!$AR$4,Curves!$C$8:$AQ$8,0)),0.1)</f>
        <v>0.1</v>
      </c>
      <c r="AS70" s="213" t="n">
        <f aca="false">IF(A71="","",1/(1+CHOOSE(F$3,(AR71+($I$3/10000))/2,(AR70+($I$3/10000))/2))^(2*AQ70/365.25))</f>
        <v>6.58866529333244</v>
      </c>
      <c r="AT70" s="137" t="n">
        <f aca="false">IF(A71="","",IF(AND(mthbeg&lt;=A70,mthend&gt;=A70),1,0))</f>
        <v>1</v>
      </c>
      <c r="AU70" s="137" t="n">
        <f aca="false">IF(A71="","",AO70*AT70)</f>
        <v>30</v>
      </c>
      <c r="AW70" s="195" t="e">
        <f aca="false">IF($A71="","",AL70*$E70)</f>
        <v>#NAME?</v>
      </c>
      <c r="AX70" s="195" t="e">
        <f aca="false">IF($A71="","",AM70*$E70)</f>
        <v>#N/A</v>
      </c>
      <c r="AY70" s="195" t="e">
        <f aca="false">IF($A71="","",AN70*$E70)</f>
        <v>#N/A</v>
      </c>
      <c r="BA70" s="195" t="n">
        <f aca="false">IF($A71="","",F70*Summary!$Q$7)</f>
        <v>0</v>
      </c>
      <c r="BC70" s="179" t="e">
        <f aca="false">IF(A71="","",AM70*F70)</f>
        <v>#N/A</v>
      </c>
    </row>
    <row r="71" customFormat="false" ht="12.75" hidden="false" customHeight="false" outlineLevel="0" collapsed="false">
      <c r="A71" s="196" t="n">
        <f aca="false">IF(A70&lt;mthend,EDATE(A70,1),"")</f>
        <v>38899</v>
      </c>
      <c r="B71" s="197" t="n">
        <f aca="false">IF(A71&lt;mthend,B70,"")</f>
        <v>40000</v>
      </c>
      <c r="C71" s="215"/>
      <c r="D71" s="197" t="n">
        <f aca="false">IF(A72&lt;&gt;"",B71+C71,"")</f>
        <v>40000</v>
      </c>
      <c r="E71" s="199" t="n">
        <f aca="false">IF(A72="","",IF(AND(AT71=1,$H$3=1),D71*AO71,IF($H$3=2,D71,"N/A")))</f>
        <v>1240000</v>
      </c>
      <c r="F71" s="199" t="n">
        <f aca="false">IF(A72="","",E71*AS71)</f>
        <v>8104726.10355912</v>
      </c>
      <c r="G71" s="200" t="e">
        <f aca="false">IF($A72="","",VLOOKUP($A71,Table,MATCH(G$4,Curves,0)))</f>
        <v>#N/A</v>
      </c>
      <c r="H71" s="201" t="e">
        <f aca="false">IF(A72="","",G71)</f>
        <v>#N/A</v>
      </c>
      <c r="I71" s="202"/>
      <c r="J71" s="200" t="e">
        <f aca="false">IF($A72="","",VLOOKUP($A71,Table,MATCH(J$4,Curves,0)))</f>
        <v>#N/A</v>
      </c>
      <c r="K71" s="201" t="e">
        <f aca="false">IF(A72="","",J71)</f>
        <v>#N/A</v>
      </c>
      <c r="L71" s="200" t="e">
        <f aca="false">IF($A72="","",VLOOKUP($A71,Table,MATCH(L$4,Curves,0)))</f>
        <v>#N/A</v>
      </c>
      <c r="M71" s="201" t="e">
        <f aca="false">IF(A72="","",L71)</f>
        <v>#N/A</v>
      </c>
      <c r="N71" s="203"/>
      <c r="O71" s="200" t="e">
        <f aca="false">IF(A72="","",L71+J71+G71)</f>
        <v>#N/A</v>
      </c>
      <c r="P71" s="200" t="e">
        <f aca="false">IF(A72="","",M71+K71+H71)</f>
        <v>#N/A</v>
      </c>
      <c r="Q71" s="204"/>
      <c r="R71" s="200" t="e">
        <f aca="false">IF($A72="","",VLOOKUP($A71,Table,MATCH(R$4,Curves,0)))</f>
        <v>#N/A</v>
      </c>
      <c r="S71" s="201" t="e">
        <f aca="false">IF(A72="","",R71)</f>
        <v>#N/A</v>
      </c>
      <c r="T71" s="200" t="e">
        <f aca="false">IF($A72="","",VLOOKUP($A71,Table,MATCH(T$4,Curves,0)))</f>
        <v>#N/A</v>
      </c>
      <c r="U71" s="201" t="e">
        <f aca="false">IF(A72="","",T71)</f>
        <v>#N/A</v>
      </c>
      <c r="V71" s="183" t="e">
        <f aca="false">IF($A72="","",IF(AND(MONTH(A71)&gt;3,MONTH(A71)&lt;11),(T71+R71+G71)*Summary!$T$7/(1-Summary!$T$7),(T71+R71+G71)*Summary!$U$7/(1-Summary!$U$7)))</f>
        <v>#N/A</v>
      </c>
      <c r="W71" s="200" t="e">
        <f aca="false">IF($A72="","",(T71+R71+G71+V71))</f>
        <v>#N/A</v>
      </c>
      <c r="X71" s="200" t="e">
        <f aca="false">IF($A72="","",(U71+S71+H71+V71))</f>
        <v>#N/A</v>
      </c>
      <c r="Y71" s="202"/>
      <c r="Z71" s="185" t="e">
        <f aca="false">IF($A72="","",VLOOKUP($A71,Table,MATCH(Z$4,Curves,0)))</f>
        <v>#N/A</v>
      </c>
      <c r="AA71" s="185" t="e">
        <f aca="false">IF($A72="","",VLOOKUP($A71,Table,MATCH(AA$4,Curves,0)))</f>
        <v>#N/A</v>
      </c>
      <c r="AB71" s="185" t="e">
        <f aca="false">SQRT((AA71^2*(A71-$D$3)+Z71^2*(DAY(EOMONTH(A71,0))/2))/AK71)</f>
        <v>#N/A</v>
      </c>
      <c r="AC71" s="185" t="e">
        <f aca="false">IF($A72="","",VLOOKUP($A71,Table,MATCH(AC$4,Curves,0)))</f>
        <v>#N/A</v>
      </c>
      <c r="AD71" s="185" t="e">
        <f aca="false">IF($A72="","",VLOOKUP($A71,Table,MATCH(AD$4,Curves,0)))</f>
        <v>#N/A</v>
      </c>
      <c r="AE71" s="185" t="e">
        <f aca="false">SQRT((AD71^2*(A71-$D$3)+AC71^2*(DAY(EOMONTH(A71,0))/2))/AK71)</f>
        <v>#N/A</v>
      </c>
      <c r="AF71" s="206" t="e">
        <f aca="false">((Summary!$N$7*(AA71*AD71)*(A71-$D$3))+(Summary!$M$7*Z71*AC71*(DAY(EOMONTH(A71,0))/2)))/(AK71*AB71*AE71)</f>
        <v>#N/A</v>
      </c>
      <c r="AG71" s="207" t="n">
        <f aca="false">IF($A72="","",Summary!$Q$7)</f>
        <v>0</v>
      </c>
      <c r="AH71" s="207" t="n">
        <f aca="false">IF($A72="","",IF(Summary!$R$7="Y",(VLOOKUP($A71,Summary!$AD$6:$AF$9,3)+'Escalating commodity'!C84),'Escalating commodity'!C84))</f>
        <v>0.0224952</v>
      </c>
      <c r="AI71" s="207" t="n">
        <f aca="false">IF($A72="","",AH71)</f>
        <v>0.0224952</v>
      </c>
      <c r="AJ71" s="208" t="n">
        <f aca="false">A71+DAY(EOMONTH(A71,0))/2-1</f>
        <v>38913.5</v>
      </c>
      <c r="AK71" s="209" t="n">
        <f aca="false">IF($A72="","",$A71-$E$1)</f>
        <v>-7027</v>
      </c>
      <c r="AL71" s="182" t="e">
        <f aca="false">IF($A72="","",SPRDOPT(P71,X71,AI71,0,AB71,AE71,AF71,AK71,$AJ$2,0))</f>
        <v>#NAME?</v>
      </c>
      <c r="AM71" s="210" t="e">
        <f aca="false">IF($A72="","",MAX(0,O71-W71-AI71))</f>
        <v>#N/A</v>
      </c>
      <c r="AN71" s="211" t="e">
        <f aca="false">IF($A72="","",AL71-AM71)</f>
        <v>#N/A</v>
      </c>
      <c r="AO71" s="137" t="n">
        <f aca="false">IF(A72="","",A72-A71)</f>
        <v>31</v>
      </c>
      <c r="AP71" s="212" t="n">
        <f aca="false">IF(A72="","",CHOOSE(F$3,A72+24,A71))</f>
        <v>38899</v>
      </c>
      <c r="AQ71" s="209" t="n">
        <f aca="false">IF(A72="","",AP71-$E$1)</f>
        <v>-7027</v>
      </c>
      <c r="AR71" s="185" t="n">
        <f aca="false">IF(Summary!$H$2=1,VLOOKUP('ANR OK vs ML7'!A71,Curves!$C$17:$AR$273,MATCH('ANR OK vs ML7'!$AR$4,Curves!$C$8:$AQ$8,0)),0.1)</f>
        <v>0.1</v>
      </c>
      <c r="AS71" s="213" t="n">
        <f aca="false">IF(A72="","",1/(1+CHOOSE(F$3,(AR72+($I$3/10000))/2,(AR71+($I$3/10000))/2))^(2*AQ71/365.25))</f>
        <v>6.53606943835413</v>
      </c>
      <c r="AT71" s="137" t="n">
        <f aca="false">IF(A72="","",IF(AND(mthbeg&lt;=A71,mthend&gt;=A71),1,0))</f>
        <v>1</v>
      </c>
      <c r="AU71" s="137" t="n">
        <f aca="false">IF(A72="","",AO71*AT71)</f>
        <v>31</v>
      </c>
      <c r="AW71" s="195" t="e">
        <f aca="false">IF($A72="","",AL71*$E71)</f>
        <v>#NAME?</v>
      </c>
      <c r="AX71" s="195" t="e">
        <f aca="false">IF($A72="","",AM71*$E71)</f>
        <v>#N/A</v>
      </c>
      <c r="AY71" s="195" t="e">
        <f aca="false">IF($A72="","",AN71*$E71)</f>
        <v>#N/A</v>
      </c>
      <c r="BA71" s="195" t="n">
        <f aca="false">IF($A72="","",F71*Summary!$Q$7)</f>
        <v>0</v>
      </c>
      <c r="BC71" s="179" t="e">
        <f aca="false">IF(A72="","",AM71*F71)</f>
        <v>#N/A</v>
      </c>
    </row>
    <row r="72" customFormat="false" ht="12.75" hidden="false" customHeight="false" outlineLevel="0" collapsed="false">
      <c r="A72" s="196" t="n">
        <f aca="false">IF(A71&lt;mthend,EDATE(A71,1),"")</f>
        <v>38930</v>
      </c>
      <c r="B72" s="197" t="n">
        <f aca="false">IF(A72&lt;mthend,B71,"")</f>
        <v>40000</v>
      </c>
      <c r="C72" s="215"/>
      <c r="D72" s="197" t="n">
        <f aca="false">IF(A73&lt;&gt;"",B72+C72,"")</f>
        <v>40000</v>
      </c>
      <c r="E72" s="199" t="n">
        <f aca="false">IF(A73="","",IF(AND(AT72=1,$H$3=1),D72*AO72,IF($H$3=2,D72,"N/A")))</f>
        <v>1240000</v>
      </c>
      <c r="F72" s="199" t="n">
        <f aca="false">IF(A73="","",E72*AS72)</f>
        <v>8037880.18110457</v>
      </c>
      <c r="G72" s="200" t="e">
        <f aca="false">IF($A73="","",VLOOKUP($A72,Table,MATCH(G$4,Curves,0)))</f>
        <v>#N/A</v>
      </c>
      <c r="H72" s="201" t="e">
        <f aca="false">IF(A73="","",G72)</f>
        <v>#N/A</v>
      </c>
      <c r="I72" s="202"/>
      <c r="J72" s="200" t="e">
        <f aca="false">IF($A73="","",VLOOKUP($A72,Table,MATCH(J$4,Curves,0)))</f>
        <v>#N/A</v>
      </c>
      <c r="K72" s="201" t="e">
        <f aca="false">IF(A73="","",J72)</f>
        <v>#N/A</v>
      </c>
      <c r="L72" s="200" t="e">
        <f aca="false">IF($A73="","",VLOOKUP($A72,Table,MATCH(L$4,Curves,0)))</f>
        <v>#N/A</v>
      </c>
      <c r="M72" s="201" t="e">
        <f aca="false">IF(A73="","",L72)</f>
        <v>#N/A</v>
      </c>
      <c r="N72" s="203"/>
      <c r="O72" s="200" t="e">
        <f aca="false">IF(A73="","",L72+J72+G72)</f>
        <v>#N/A</v>
      </c>
      <c r="P72" s="200" t="e">
        <f aca="false">IF(A73="","",M72+K72+H72)</f>
        <v>#N/A</v>
      </c>
      <c r="Q72" s="204"/>
      <c r="R72" s="200" t="e">
        <f aca="false">IF($A73="","",VLOOKUP($A72,Table,MATCH(R$4,Curves,0)))</f>
        <v>#N/A</v>
      </c>
      <c r="S72" s="201" t="e">
        <f aca="false">IF(A73="","",R72)</f>
        <v>#N/A</v>
      </c>
      <c r="T72" s="200" t="e">
        <f aca="false">IF($A73="","",VLOOKUP($A72,Table,MATCH(T$4,Curves,0)))</f>
        <v>#N/A</v>
      </c>
      <c r="U72" s="201" t="e">
        <f aca="false">IF(A73="","",T72)</f>
        <v>#N/A</v>
      </c>
      <c r="V72" s="183" t="e">
        <f aca="false">IF($A73="","",IF(AND(MONTH(A72)&gt;3,MONTH(A72)&lt;11),(T72+R72+G72)*Summary!$T$7/(1-Summary!$T$7),(T72+R72+G72)*Summary!$U$7/(1-Summary!$U$7)))</f>
        <v>#N/A</v>
      </c>
      <c r="W72" s="200" t="e">
        <f aca="false">IF($A73="","",(T72+R72+G72+V72))</f>
        <v>#N/A</v>
      </c>
      <c r="X72" s="200" t="e">
        <f aca="false">IF($A73="","",(U72+S72+H72+V72))</f>
        <v>#N/A</v>
      </c>
      <c r="Y72" s="202"/>
      <c r="Z72" s="185" t="e">
        <f aca="false">IF($A73="","",VLOOKUP($A72,Table,MATCH(Z$4,Curves,0)))</f>
        <v>#N/A</v>
      </c>
      <c r="AA72" s="185" t="e">
        <f aca="false">IF($A73="","",VLOOKUP($A72,Table,MATCH(AA$4,Curves,0)))</f>
        <v>#N/A</v>
      </c>
      <c r="AB72" s="185" t="e">
        <f aca="false">SQRT((AA72^2*(A72-$D$3)+Z72^2*(DAY(EOMONTH(A72,0))/2))/AK72)</f>
        <v>#N/A</v>
      </c>
      <c r="AC72" s="185" t="e">
        <f aca="false">IF($A73="","",VLOOKUP($A72,Table,MATCH(AC$4,Curves,0)))</f>
        <v>#N/A</v>
      </c>
      <c r="AD72" s="185" t="e">
        <f aca="false">IF($A73="","",VLOOKUP($A72,Table,MATCH(AD$4,Curves,0)))</f>
        <v>#N/A</v>
      </c>
      <c r="AE72" s="185" t="e">
        <f aca="false">SQRT((AD72^2*(A72-$D$3)+AC72^2*(DAY(EOMONTH(A72,0))/2))/AK72)</f>
        <v>#N/A</v>
      </c>
      <c r="AF72" s="206" t="e">
        <f aca="false">((Summary!$N$7*(AA72*AD72)*(A72-$D$3))+(Summary!$M$7*Z72*AC72*(DAY(EOMONTH(A72,0))/2)))/(AK72*AB72*AE72)</f>
        <v>#N/A</v>
      </c>
      <c r="AG72" s="207" t="n">
        <f aca="false">IF($A73="","",Summary!$Q$7)</f>
        <v>0</v>
      </c>
      <c r="AH72" s="207" t="n">
        <f aca="false">IF($A73="","",IF(Summary!$R$7="Y",(VLOOKUP($A72,Summary!$AD$6:$AF$9,3)+'Escalating commodity'!C85),'Escalating commodity'!C85))</f>
        <v>0.0224952</v>
      </c>
      <c r="AI72" s="207" t="n">
        <f aca="false">IF($A73="","",AH72)</f>
        <v>0.0224952</v>
      </c>
      <c r="AJ72" s="208" t="n">
        <f aca="false">A72+DAY(EOMONTH(A72,0))/2-1</f>
        <v>38944.5</v>
      </c>
      <c r="AK72" s="209" t="n">
        <f aca="false">IF($A73="","",$A72-$E$1)</f>
        <v>-6996</v>
      </c>
      <c r="AL72" s="182" t="e">
        <f aca="false">IF($A73="","",SPRDOPT(P72,X72,AI72,0,AB72,AE72,AF72,AK72,$AJ$2,0))</f>
        <v>#NAME?</v>
      </c>
      <c r="AM72" s="210" t="e">
        <f aca="false">IF($A73="","",MAX(0,O72-W72-AI72))</f>
        <v>#N/A</v>
      </c>
      <c r="AN72" s="211" t="e">
        <f aca="false">IF($A73="","",AL72-AM72)</f>
        <v>#N/A</v>
      </c>
      <c r="AO72" s="137" t="n">
        <f aca="false">IF(A73="","",A73-A72)</f>
        <v>31</v>
      </c>
      <c r="AP72" s="212" t="n">
        <f aca="false">IF(A73="","",CHOOSE(F$3,A73+24,A72))</f>
        <v>38930</v>
      </c>
      <c r="AQ72" s="209" t="n">
        <f aca="false">IF(A73="","",AP72-$E$1)</f>
        <v>-6996</v>
      </c>
      <c r="AR72" s="185" t="n">
        <f aca="false">IF(Summary!$H$2=1,VLOOKUP('ANR OK vs ML7'!A72,Curves!$C$17:$AR$273,MATCH('ANR OK vs ML7'!$AR$4,Curves!$C$8:$AQ$8,0)),0.1)</f>
        <v>0.1</v>
      </c>
      <c r="AS72" s="213" t="n">
        <f aca="false">IF(A73="","",1/(1+CHOOSE(F$3,(AR73+($I$3/10000))/2,(AR72+($I$3/10000))/2))^(2*AQ72/365.25))</f>
        <v>6.48216143637465</v>
      </c>
      <c r="AT72" s="137" t="n">
        <f aca="false">IF(A73="","",IF(AND(mthbeg&lt;=A72,mthend&gt;=A72),1,0))</f>
        <v>1</v>
      </c>
      <c r="AU72" s="137" t="n">
        <f aca="false">IF(A73="","",AO72*AT72)</f>
        <v>31</v>
      </c>
      <c r="AW72" s="195" t="e">
        <f aca="false">IF($A73="","",AL72*$E72)</f>
        <v>#NAME?</v>
      </c>
      <c r="AX72" s="195" t="e">
        <f aca="false">IF($A73="","",AM72*$E72)</f>
        <v>#N/A</v>
      </c>
      <c r="AY72" s="195" t="e">
        <f aca="false">IF($A73="","",AN72*$E72)</f>
        <v>#N/A</v>
      </c>
      <c r="BA72" s="195" t="n">
        <f aca="false">IF($A73="","",F72*Summary!$Q$7)</f>
        <v>0</v>
      </c>
      <c r="BC72" s="179" t="e">
        <f aca="false">IF(A73="","",AM72*F72)</f>
        <v>#N/A</v>
      </c>
    </row>
    <row r="73" customFormat="false" ht="12.75" hidden="false" customHeight="false" outlineLevel="0" collapsed="false">
      <c r="A73" s="196" t="n">
        <f aca="false">IF(A72&lt;mthend,EDATE(A72,1),"")</f>
        <v>38961</v>
      </c>
      <c r="B73" s="197" t="n">
        <f aca="false">IF(A73&lt;mthend,B72,"")</f>
        <v>40000</v>
      </c>
      <c r="C73" s="215"/>
      <c r="D73" s="197" t="n">
        <f aca="false">IF(A74&lt;&gt;"",B73+C73,"")</f>
        <v>40000</v>
      </c>
      <c r="E73" s="199" t="n">
        <f aca="false">IF(A74="","",IF(AND(AT73=1,$H$3=1),D73*AO73,IF($H$3=2,D73,"N/A")))</f>
        <v>1200000</v>
      </c>
      <c r="F73" s="199" t="n">
        <f aca="false">IF(A74="","",E73*AS73)</f>
        <v>7714437.66628101</v>
      </c>
      <c r="G73" s="200" t="e">
        <f aca="false">IF($A74="","",VLOOKUP($A73,Table,MATCH(G$4,Curves,0)))</f>
        <v>#N/A</v>
      </c>
      <c r="H73" s="201" t="e">
        <f aca="false">IF(A74="","",G73)</f>
        <v>#N/A</v>
      </c>
      <c r="I73" s="202"/>
      <c r="J73" s="200" t="e">
        <f aca="false">IF($A74="","",VLOOKUP($A73,Table,MATCH(J$4,Curves,0)))</f>
        <v>#N/A</v>
      </c>
      <c r="K73" s="201" t="e">
        <f aca="false">IF(A74="","",J73)</f>
        <v>#N/A</v>
      </c>
      <c r="L73" s="200" t="e">
        <f aca="false">IF($A74="","",VLOOKUP($A73,Table,MATCH(L$4,Curves,0)))</f>
        <v>#N/A</v>
      </c>
      <c r="M73" s="201" t="e">
        <f aca="false">IF(A74="","",L73)</f>
        <v>#N/A</v>
      </c>
      <c r="N73" s="203"/>
      <c r="O73" s="200" t="e">
        <f aca="false">IF(A74="","",L73+J73+G73)</f>
        <v>#N/A</v>
      </c>
      <c r="P73" s="200" t="e">
        <f aca="false">IF(A74="","",M73+K73+H73)</f>
        <v>#N/A</v>
      </c>
      <c r="Q73" s="204"/>
      <c r="R73" s="200" t="e">
        <f aca="false">IF($A74="","",VLOOKUP($A73,Table,MATCH(R$4,Curves,0)))</f>
        <v>#N/A</v>
      </c>
      <c r="S73" s="201" t="e">
        <f aca="false">IF(A74="","",R73)</f>
        <v>#N/A</v>
      </c>
      <c r="T73" s="200" t="e">
        <f aca="false">IF($A74="","",VLOOKUP($A73,Table,MATCH(T$4,Curves,0)))</f>
        <v>#N/A</v>
      </c>
      <c r="U73" s="201" t="e">
        <f aca="false">IF(A74="","",T73)</f>
        <v>#N/A</v>
      </c>
      <c r="V73" s="183" t="e">
        <f aca="false">IF($A74="","",IF(AND(MONTH(A73)&gt;3,MONTH(A73)&lt;11),(T73+R73+G73)*Summary!$T$7/(1-Summary!$T$7),(T73+R73+G73)*Summary!$U$7/(1-Summary!$U$7)))</f>
        <v>#N/A</v>
      </c>
      <c r="W73" s="200" t="e">
        <f aca="false">IF($A74="","",(T73+R73+G73+V73))</f>
        <v>#N/A</v>
      </c>
      <c r="X73" s="200" t="e">
        <f aca="false">IF($A74="","",(U73+S73+H73+V73))</f>
        <v>#N/A</v>
      </c>
      <c r="Y73" s="202"/>
      <c r="Z73" s="185" t="e">
        <f aca="false">IF($A74="","",VLOOKUP($A73,Table,MATCH(Z$4,Curves,0)))</f>
        <v>#N/A</v>
      </c>
      <c r="AA73" s="185" t="e">
        <f aca="false">IF($A74="","",VLOOKUP($A73,Table,MATCH(AA$4,Curves,0)))</f>
        <v>#N/A</v>
      </c>
      <c r="AB73" s="185" t="e">
        <f aca="false">SQRT((AA73^2*(A73-$D$3)+Z73^2*(DAY(EOMONTH(A73,0))/2))/AK73)</f>
        <v>#N/A</v>
      </c>
      <c r="AC73" s="185" t="e">
        <f aca="false">IF($A74="","",VLOOKUP($A73,Table,MATCH(AC$4,Curves,0)))</f>
        <v>#N/A</v>
      </c>
      <c r="AD73" s="185" t="e">
        <f aca="false">IF($A74="","",VLOOKUP($A73,Table,MATCH(AD$4,Curves,0)))</f>
        <v>#N/A</v>
      </c>
      <c r="AE73" s="185" t="e">
        <f aca="false">SQRT((AD73^2*(A73-$D$3)+AC73^2*(DAY(EOMONTH(A73,0))/2))/AK73)</f>
        <v>#N/A</v>
      </c>
      <c r="AF73" s="206" t="e">
        <f aca="false">((Summary!$N$7*(AA73*AD73)*(A73-$D$3))+(Summary!$M$7*Z73*AC73*(DAY(EOMONTH(A73,0))/2)))/(AK73*AB73*AE73)</f>
        <v>#N/A</v>
      </c>
      <c r="AG73" s="207" t="n">
        <f aca="false">IF($A74="","",Summary!$Q$7)</f>
        <v>0</v>
      </c>
      <c r="AH73" s="207" t="n">
        <f aca="false">IF($A74="","",IF(Summary!$R$7="Y",(VLOOKUP($A73,Summary!$AD$6:$AF$9,3)+'Escalating commodity'!C86),'Escalating commodity'!C86))</f>
        <v>0.0224952</v>
      </c>
      <c r="AI73" s="207" t="n">
        <f aca="false">IF($A74="","",AH73)</f>
        <v>0.0224952</v>
      </c>
      <c r="AJ73" s="208" t="n">
        <f aca="false">A73+DAY(EOMONTH(A73,0))/2-1</f>
        <v>38975</v>
      </c>
      <c r="AK73" s="209" t="n">
        <f aca="false">IF($A74="","",$A73-$E$1)</f>
        <v>-6965</v>
      </c>
      <c r="AL73" s="182" t="e">
        <f aca="false">IF($A74="","",SPRDOPT(P73,X73,AI73,0,AB73,AE73,AF73,AK73,$AJ$2,0))</f>
        <v>#NAME?</v>
      </c>
      <c r="AM73" s="210" t="e">
        <f aca="false">IF($A74="","",MAX(0,O73-W73-AI73))</f>
        <v>#N/A</v>
      </c>
      <c r="AN73" s="211" t="e">
        <f aca="false">IF($A74="","",AL73-AM73)</f>
        <v>#N/A</v>
      </c>
      <c r="AO73" s="137" t="n">
        <f aca="false">IF(A74="","",A74-A73)</f>
        <v>30</v>
      </c>
      <c r="AP73" s="212" t="n">
        <f aca="false">IF(A74="","",CHOOSE(F$3,A74+24,A73))</f>
        <v>38961</v>
      </c>
      <c r="AQ73" s="209" t="n">
        <f aca="false">IF(A74="","",AP73-$E$1)</f>
        <v>-6965</v>
      </c>
      <c r="AR73" s="185" t="n">
        <f aca="false">IF(Summary!$H$2=1,VLOOKUP('ANR OK vs ML7'!A73,Curves!$C$17:$AR$273,MATCH('ANR OK vs ML7'!$AR$4,Curves!$C$8:$AQ$8,0)),0.1)</f>
        <v>0.1</v>
      </c>
      <c r="AS73" s="213" t="n">
        <f aca="false">IF(A74="","",1/(1+CHOOSE(F$3,(AR74+($I$3/10000))/2,(AR73+($I$3/10000))/2))^(2*AQ73/365.25))</f>
        <v>6.42869805523417</v>
      </c>
      <c r="AT73" s="137" t="n">
        <f aca="false">IF(A74="","",IF(AND(mthbeg&lt;=A73,mthend&gt;=A73),1,0))</f>
        <v>1</v>
      </c>
      <c r="AU73" s="137" t="n">
        <f aca="false">IF(A74="","",AO73*AT73)</f>
        <v>30</v>
      </c>
      <c r="AW73" s="195" t="e">
        <f aca="false">IF($A74="","",AL73*$E73)</f>
        <v>#NAME?</v>
      </c>
      <c r="AX73" s="195" t="e">
        <f aca="false">IF($A74="","",AM73*$E73)</f>
        <v>#N/A</v>
      </c>
      <c r="AY73" s="195" t="e">
        <f aca="false">IF($A74="","",AN73*$E73)</f>
        <v>#N/A</v>
      </c>
      <c r="BA73" s="195" t="n">
        <f aca="false">IF($A74="","",F73*Summary!$Q$7)</f>
        <v>0</v>
      </c>
      <c r="BC73" s="179" t="e">
        <f aca="false">IF(A74="","",AM73*F73)</f>
        <v>#N/A</v>
      </c>
    </row>
    <row r="74" customFormat="false" ht="12.75" hidden="false" customHeight="false" outlineLevel="0" collapsed="false">
      <c r="A74" s="196" t="n">
        <f aca="false">IF(A73&lt;mthend,EDATE(A73,1),"")</f>
        <v>38991</v>
      </c>
      <c r="B74" s="197" t="n">
        <f aca="false">IF(A74&lt;mthend,B73,"")</f>
        <v>40000</v>
      </c>
      <c r="C74" s="215"/>
      <c r="D74" s="197" t="n">
        <f aca="false">IF(A75&lt;&gt;"",B74+C74,"")</f>
        <v>40000</v>
      </c>
      <c r="E74" s="199" t="n">
        <f aca="false">IF(A75="","",IF(AND(AT74=1,$H$3=1),D74*AO74,IF($H$3=2,D74,"N/A")))</f>
        <v>1240000</v>
      </c>
      <c r="F74" s="199" t="n">
        <f aca="false">IF(A75="","",E74*AS74)</f>
        <v>7907950.18725308</v>
      </c>
      <c r="G74" s="200" t="e">
        <f aca="false">IF($A75="","",VLOOKUP($A74,Table,MATCH(G$4,Curves,0)))</f>
        <v>#N/A</v>
      </c>
      <c r="H74" s="201" t="e">
        <f aca="false">IF(A75="","",G74)</f>
        <v>#N/A</v>
      </c>
      <c r="I74" s="202"/>
      <c r="J74" s="200" t="e">
        <f aca="false">IF($A75="","",VLOOKUP($A74,Table,MATCH(J$4,Curves,0)))</f>
        <v>#N/A</v>
      </c>
      <c r="K74" s="201" t="e">
        <f aca="false">IF(A75="","",J74)</f>
        <v>#N/A</v>
      </c>
      <c r="L74" s="200" t="e">
        <f aca="false">IF($A75="","",VLOOKUP($A74,Table,MATCH(L$4,Curves,0)))</f>
        <v>#N/A</v>
      </c>
      <c r="M74" s="201" t="e">
        <f aca="false">IF(A75="","",L74)</f>
        <v>#N/A</v>
      </c>
      <c r="N74" s="203"/>
      <c r="O74" s="200" t="e">
        <f aca="false">IF(A75="","",L74+J74+G74)</f>
        <v>#N/A</v>
      </c>
      <c r="P74" s="200" t="e">
        <f aca="false">IF(A75="","",M74+K74+H74)</f>
        <v>#N/A</v>
      </c>
      <c r="Q74" s="204"/>
      <c r="R74" s="200" t="e">
        <f aca="false">IF($A75="","",VLOOKUP($A74,Table,MATCH(R$4,Curves,0)))</f>
        <v>#N/A</v>
      </c>
      <c r="S74" s="201" t="e">
        <f aca="false">IF(A75="","",R74)</f>
        <v>#N/A</v>
      </c>
      <c r="T74" s="200" t="e">
        <f aca="false">IF($A75="","",VLOOKUP($A74,Table,MATCH(T$4,Curves,0)))</f>
        <v>#N/A</v>
      </c>
      <c r="U74" s="201" t="e">
        <f aca="false">IF(A75="","",T74)</f>
        <v>#N/A</v>
      </c>
      <c r="V74" s="183" t="e">
        <f aca="false">IF($A75="","",IF(AND(MONTH(A74)&gt;3,MONTH(A74)&lt;11),(T74+R74+G74)*Summary!$T$7/(1-Summary!$T$7),(T74+R74+G74)*Summary!$U$7/(1-Summary!$U$7)))</f>
        <v>#N/A</v>
      </c>
      <c r="W74" s="200" t="e">
        <f aca="false">IF($A75="","",(T74+R74+G74+V74))</f>
        <v>#N/A</v>
      </c>
      <c r="X74" s="200" t="e">
        <f aca="false">IF($A75="","",(U74+S74+H74+V74))</f>
        <v>#N/A</v>
      </c>
      <c r="Y74" s="202"/>
      <c r="Z74" s="185" t="e">
        <f aca="false">IF($A75="","",VLOOKUP($A74,Table,MATCH(Z$4,Curves,0)))</f>
        <v>#N/A</v>
      </c>
      <c r="AA74" s="185" t="e">
        <f aca="false">IF($A75="","",VLOOKUP($A74,Table,MATCH(AA$4,Curves,0)))</f>
        <v>#N/A</v>
      </c>
      <c r="AB74" s="185" t="e">
        <f aca="false">SQRT((AA74^2*(A74-$D$3)+Z74^2*(DAY(EOMONTH(A74,0))/2))/AK74)</f>
        <v>#N/A</v>
      </c>
      <c r="AC74" s="185" t="e">
        <f aca="false">IF($A75="","",VLOOKUP($A74,Table,MATCH(AC$4,Curves,0)))</f>
        <v>#N/A</v>
      </c>
      <c r="AD74" s="185" t="e">
        <f aca="false">IF($A75="","",VLOOKUP($A74,Table,MATCH(AD$4,Curves,0)))</f>
        <v>#N/A</v>
      </c>
      <c r="AE74" s="185" t="e">
        <f aca="false">SQRT((AD74^2*(A74-$D$3)+AC74^2*(DAY(EOMONTH(A74,0))/2))/AK74)</f>
        <v>#N/A</v>
      </c>
      <c r="AF74" s="206" t="e">
        <f aca="false">((Summary!$N$7*(AA74*AD74)*(A74-$D$3))+(Summary!$M$7*Z74*AC74*(DAY(EOMONTH(A74,0))/2)))/(AK74*AB74*AE74)</f>
        <v>#N/A</v>
      </c>
      <c r="AG74" s="207" t="n">
        <f aca="false">IF($A75="","",Summary!$Q$7)</f>
        <v>0</v>
      </c>
      <c r="AH74" s="207" t="n">
        <f aca="false">IF($A75="","",IF(Summary!$R$7="Y",(VLOOKUP($A74,Summary!$AD$6:$AF$9,3)+'Escalating commodity'!C87),'Escalating commodity'!C87))</f>
        <v>0.0224952</v>
      </c>
      <c r="AI74" s="207" t="n">
        <f aca="false">IF($A75="","",AH74)</f>
        <v>0.0224952</v>
      </c>
      <c r="AJ74" s="208" t="n">
        <f aca="false">A74+DAY(EOMONTH(A74,0))/2-1</f>
        <v>39005.5</v>
      </c>
      <c r="AK74" s="209" t="n">
        <f aca="false">IF($A75="","",$A74-$E$1)</f>
        <v>-6935</v>
      </c>
      <c r="AL74" s="182" t="e">
        <f aca="false">IF($A75="","",SPRDOPT(P74,X74,AI74,0,AB74,AE74,AF74,AK74,$AJ$2,0))</f>
        <v>#NAME?</v>
      </c>
      <c r="AM74" s="210" t="e">
        <f aca="false">IF($A75="","",MAX(0,O74-W74-AI74))</f>
        <v>#N/A</v>
      </c>
      <c r="AN74" s="211" t="e">
        <f aca="false">IF($A75="","",AL74-AM74)</f>
        <v>#N/A</v>
      </c>
      <c r="AO74" s="137" t="n">
        <f aca="false">IF(A75="","",A75-A74)</f>
        <v>31</v>
      </c>
      <c r="AP74" s="212" t="n">
        <f aca="false">IF(A75="","",CHOOSE(F$3,A75+24,A74))</f>
        <v>38991</v>
      </c>
      <c r="AQ74" s="209" t="n">
        <f aca="false">IF(A75="","",AP74-$E$1)</f>
        <v>-6935</v>
      </c>
      <c r="AR74" s="185" t="n">
        <f aca="false">IF(Summary!$H$2=1,VLOOKUP('ANR OK vs ML7'!A74,Curves!$C$17:$AR$273,MATCH('ANR OK vs ML7'!$AR$4,Curves!$C$8:$AQ$8,0)),0.1)</f>
        <v>0.1</v>
      </c>
      <c r="AS74" s="213" t="n">
        <f aca="false">IF(A75="","",1/(1+CHOOSE(F$3,(AR75+($I$3/10000))/2,(AR74+($I$3/10000))/2))^(2*AQ74/365.25))</f>
        <v>6.37737918326861</v>
      </c>
      <c r="AT74" s="137" t="n">
        <f aca="false">IF(A75="","",IF(AND(mthbeg&lt;=A74,mthend&gt;=A74),1,0))</f>
        <v>1</v>
      </c>
      <c r="AU74" s="137" t="n">
        <f aca="false">IF(A75="","",AO74*AT74)</f>
        <v>31</v>
      </c>
      <c r="AW74" s="195" t="e">
        <f aca="false">IF($A75="","",AL74*$E74)</f>
        <v>#NAME?</v>
      </c>
      <c r="AX74" s="195" t="e">
        <f aca="false">IF($A75="","",AM74*$E74)</f>
        <v>#N/A</v>
      </c>
      <c r="AY74" s="195" t="e">
        <f aca="false">IF($A75="","",AN74*$E74)</f>
        <v>#N/A</v>
      </c>
      <c r="BA74" s="195" t="n">
        <f aca="false">IF($A75="","",F74*Summary!$Q$7)</f>
        <v>0</v>
      </c>
      <c r="BC74" s="179" t="e">
        <f aca="false">IF(A75="","",AM74*F74)</f>
        <v>#N/A</v>
      </c>
    </row>
    <row r="75" customFormat="false" ht="12.75" hidden="false" customHeight="false" outlineLevel="0" collapsed="false">
      <c r="A75" s="196" t="n">
        <f aca="false">IF(A74&lt;mthend,EDATE(A74,1),"")</f>
        <v>39022</v>
      </c>
      <c r="B75" s="197" t="n">
        <f aca="false">IF(A75&lt;mthend,B74,"")</f>
        <v>40000</v>
      </c>
      <c r="C75" s="215"/>
      <c r="D75" s="197" t="n">
        <f aca="false">IF(A76&lt;&gt;"",B75+C75,"")</f>
        <v>40000</v>
      </c>
      <c r="E75" s="199" t="n">
        <f aca="false">IF(A76="","",IF(AND(AT75=1,$H$3=1),D75*AO75,IF($H$3=2,D75,"N/A")))</f>
        <v>1200000</v>
      </c>
      <c r="F75" s="199" t="n">
        <f aca="false">IF(A76="","",E75*AS75)</f>
        <v>7589736.02654969</v>
      </c>
      <c r="G75" s="200" t="e">
        <f aca="false">IF($A76="","",VLOOKUP($A75,Table,MATCH(G$4,Curves,0)))</f>
        <v>#N/A</v>
      </c>
      <c r="H75" s="201" t="e">
        <f aca="false">IF(A76="","",G75)</f>
        <v>#N/A</v>
      </c>
      <c r="I75" s="202"/>
      <c r="J75" s="200" t="e">
        <f aca="false">IF($A76="","",VLOOKUP($A75,Table,MATCH(J$4,Curves,0)))</f>
        <v>#N/A</v>
      </c>
      <c r="K75" s="201" t="e">
        <f aca="false">IF(A76="","",J75)</f>
        <v>#N/A</v>
      </c>
      <c r="L75" s="200" t="e">
        <f aca="false">IF($A76="","",VLOOKUP($A75,Table,MATCH(L$4,Curves,0)))</f>
        <v>#N/A</v>
      </c>
      <c r="M75" s="201" t="e">
        <f aca="false">IF(A76="","",L75)</f>
        <v>#N/A</v>
      </c>
      <c r="N75" s="203"/>
      <c r="O75" s="200" t="e">
        <f aca="false">IF(A76="","",L75+J75+G75)</f>
        <v>#N/A</v>
      </c>
      <c r="P75" s="200" t="e">
        <f aca="false">IF(A76="","",M75+K75+H75)</f>
        <v>#N/A</v>
      </c>
      <c r="Q75" s="204"/>
      <c r="R75" s="200" t="e">
        <f aca="false">IF($A76="","",VLOOKUP($A75,Table,MATCH(R$4,Curves,0)))</f>
        <v>#N/A</v>
      </c>
      <c r="S75" s="201" t="e">
        <f aca="false">IF(A76="","",R75)</f>
        <v>#N/A</v>
      </c>
      <c r="T75" s="200" t="e">
        <f aca="false">IF($A76="","",VLOOKUP($A75,Table,MATCH(T$4,Curves,0)))</f>
        <v>#N/A</v>
      </c>
      <c r="U75" s="201" t="e">
        <f aca="false">IF(A76="","",T75)</f>
        <v>#N/A</v>
      </c>
      <c r="V75" s="183" t="e">
        <f aca="false">IF($A76="","",IF(AND(MONTH(A75)&gt;3,MONTH(A75)&lt;11),(T75+R75+G75)*Summary!$T$7/(1-Summary!$T$7),(T75+R75+G75)*Summary!$U$7/(1-Summary!$U$7)))</f>
        <v>#N/A</v>
      </c>
      <c r="W75" s="200" t="e">
        <f aca="false">IF($A76="","",(T75+R75+G75+V75))</f>
        <v>#N/A</v>
      </c>
      <c r="X75" s="200" t="e">
        <f aca="false">IF($A76="","",(U75+S75+H75+V75))</f>
        <v>#N/A</v>
      </c>
      <c r="Y75" s="202"/>
      <c r="Z75" s="185" t="e">
        <f aca="false">IF($A76="","",VLOOKUP($A75,Table,MATCH(Z$4,Curves,0)))</f>
        <v>#N/A</v>
      </c>
      <c r="AA75" s="185" t="e">
        <f aca="false">IF($A76="","",VLOOKUP($A75,Table,MATCH(AA$4,Curves,0)))</f>
        <v>#N/A</v>
      </c>
      <c r="AB75" s="185" t="e">
        <f aca="false">SQRT((AA75^2*(A75-$D$3)+Z75^2*(DAY(EOMONTH(A75,0))/2))/AK75)</f>
        <v>#N/A</v>
      </c>
      <c r="AC75" s="185" t="e">
        <f aca="false">IF($A76="","",VLOOKUP($A75,Table,MATCH(AC$4,Curves,0)))</f>
        <v>#N/A</v>
      </c>
      <c r="AD75" s="185" t="e">
        <f aca="false">IF($A76="","",VLOOKUP($A75,Table,MATCH(AD$4,Curves,0)))</f>
        <v>#N/A</v>
      </c>
      <c r="AE75" s="185" t="e">
        <f aca="false">SQRT((AD75^2*(A75-$D$3)+AC75^2*(DAY(EOMONTH(A75,0))/2))/AK75)</f>
        <v>#N/A</v>
      </c>
      <c r="AF75" s="206" t="e">
        <f aca="false">((Summary!$N$7*(AA75*AD75)*(A75-$D$3))+(Summary!$M$7*Z75*AC75*(DAY(EOMONTH(A75,0))/2)))/(AK75*AB75*AE75)</f>
        <v>#N/A</v>
      </c>
      <c r="AG75" s="207" t="n">
        <f aca="false">IF($A76="","",Summary!$Q$7)</f>
        <v>0</v>
      </c>
      <c r="AH75" s="207" t="n">
        <f aca="false">IF($A76="","",IF(Summary!$R$7="Y",(VLOOKUP($A75,Summary!$AD$6:$AF$9,3)+'Escalating commodity'!C88),'Escalating commodity'!C88))</f>
        <v>0.0224952</v>
      </c>
      <c r="AI75" s="207" t="n">
        <f aca="false">IF($A76="","",AH75)</f>
        <v>0.0224952</v>
      </c>
      <c r="AJ75" s="208" t="n">
        <f aca="false">A75+DAY(EOMONTH(A75,0))/2-1</f>
        <v>39036</v>
      </c>
      <c r="AK75" s="209" t="n">
        <f aca="false">IF($A76="","",$A75-$E$1)</f>
        <v>-6904</v>
      </c>
      <c r="AL75" s="182" t="e">
        <f aca="false">IF($A76="","",SPRDOPT(P75,X75,AI75,0,AB75,AE75,AF75,AK75,$AJ$2,0))</f>
        <v>#NAME?</v>
      </c>
      <c r="AM75" s="210" t="e">
        <f aca="false">IF($A76="","",MAX(0,O75-W75-AI75))</f>
        <v>#N/A</v>
      </c>
      <c r="AN75" s="211" t="e">
        <f aca="false">IF($A76="","",AL75-AM75)</f>
        <v>#N/A</v>
      </c>
      <c r="AO75" s="137" t="n">
        <f aca="false">IF(A76="","",A76-A75)</f>
        <v>30</v>
      </c>
      <c r="AP75" s="212" t="n">
        <f aca="false">IF(A76="","",CHOOSE(F$3,A76+24,A75))</f>
        <v>39022</v>
      </c>
      <c r="AQ75" s="209" t="n">
        <f aca="false">IF(A76="","",AP75-$E$1)</f>
        <v>-6904</v>
      </c>
      <c r="AR75" s="185" t="n">
        <f aca="false">IF(Summary!$H$2=1,VLOOKUP('ANR OK vs ML7'!A75,Curves!$C$17:$AR$273,MATCH('ANR OK vs ML7'!$AR$4,Curves!$C$8:$AQ$8,0)),0.1)</f>
        <v>0.1</v>
      </c>
      <c r="AS75" s="213" t="n">
        <f aca="false">IF(A76="","",1/(1+CHOOSE(F$3,(AR76+($I$3/10000))/2,(AR75+($I$3/10000))/2))^(2*AQ75/365.25))</f>
        <v>6.32478002212474</v>
      </c>
      <c r="AT75" s="137" t="n">
        <f aca="false">IF(A76="","",IF(AND(mthbeg&lt;=A75,mthend&gt;=A75),1,0))</f>
        <v>1</v>
      </c>
      <c r="AU75" s="137" t="n">
        <f aca="false">IF(A76="","",AO75*AT75)</f>
        <v>30</v>
      </c>
      <c r="AW75" s="195" t="e">
        <f aca="false">IF($A76="","",AL75*$E75)</f>
        <v>#NAME?</v>
      </c>
      <c r="AX75" s="195" t="e">
        <f aca="false">IF($A76="","",AM75*$E75)</f>
        <v>#N/A</v>
      </c>
      <c r="AY75" s="195" t="e">
        <f aca="false">IF($A76="","",AN75*$E75)</f>
        <v>#N/A</v>
      </c>
      <c r="BA75" s="195" t="n">
        <f aca="false">IF($A76="","",F75*Summary!$Q$7)</f>
        <v>0</v>
      </c>
      <c r="BC75" s="179" t="e">
        <f aca="false">IF(A76="","",AM75*F75)</f>
        <v>#N/A</v>
      </c>
    </row>
    <row r="76" customFormat="false" ht="12.75" hidden="false" customHeight="false" outlineLevel="0" collapsed="false">
      <c r="A76" s="196" t="n">
        <f aca="false">IF(A75&lt;mthend,EDATE(A75,1),"")</f>
        <v>39052</v>
      </c>
      <c r="B76" s="197" t="n">
        <f aca="false">IF(A76&lt;mthend,B75,"")</f>
        <v>40000</v>
      </c>
      <c r="C76" s="215"/>
      <c r="D76" s="197" t="n">
        <f aca="false">IF(A77&lt;&gt;"",B76+C76,"")</f>
        <v>40000</v>
      </c>
      <c r="E76" s="199" t="n">
        <f aca="false">IF(A77="","",IF(AND(AT76=1,$H$3=1),D76*AO76,IF($H$3=2,D76,"N/A")))</f>
        <v>1240000</v>
      </c>
      <c r="F76" s="199" t="n">
        <f aca="false">IF(A77="","",E76*AS76)</f>
        <v>7780120.47393848</v>
      </c>
      <c r="G76" s="200" t="e">
        <f aca="false">IF($A77="","",VLOOKUP($A76,Table,MATCH(G$4,Curves,0)))</f>
        <v>#N/A</v>
      </c>
      <c r="H76" s="201" t="e">
        <f aca="false">IF(A77="","",G76)</f>
        <v>#N/A</v>
      </c>
      <c r="I76" s="202"/>
      <c r="J76" s="200" t="e">
        <f aca="false">IF($A77="","",VLOOKUP($A76,Table,MATCH(J$4,Curves,0)))</f>
        <v>#N/A</v>
      </c>
      <c r="K76" s="201" t="e">
        <f aca="false">IF(A77="","",J76)</f>
        <v>#N/A</v>
      </c>
      <c r="L76" s="200" t="e">
        <f aca="false">IF($A77="","",VLOOKUP($A76,Table,MATCH(L$4,Curves,0)))</f>
        <v>#N/A</v>
      </c>
      <c r="M76" s="201" t="e">
        <f aca="false">IF(A77="","",L76)</f>
        <v>#N/A</v>
      </c>
      <c r="N76" s="203"/>
      <c r="O76" s="200" t="e">
        <f aca="false">IF(A77="","",L76+J76+G76)</f>
        <v>#N/A</v>
      </c>
      <c r="P76" s="200" t="e">
        <f aca="false">IF(A77="","",M76+K76+H76)</f>
        <v>#N/A</v>
      </c>
      <c r="Q76" s="204"/>
      <c r="R76" s="200" t="e">
        <f aca="false">IF($A77="","",VLOOKUP($A76,Table,MATCH(R$4,Curves,0)))</f>
        <v>#N/A</v>
      </c>
      <c r="S76" s="201" t="e">
        <f aca="false">IF(A77="","",R76)</f>
        <v>#N/A</v>
      </c>
      <c r="T76" s="200" t="e">
        <f aca="false">IF($A77="","",VLOOKUP($A76,Table,MATCH(T$4,Curves,0)))</f>
        <v>#N/A</v>
      </c>
      <c r="U76" s="201" t="e">
        <f aca="false">IF(A77="","",T76)</f>
        <v>#N/A</v>
      </c>
      <c r="V76" s="183" t="e">
        <f aca="false">IF($A77="","",IF(AND(MONTH(A76)&gt;3,MONTH(A76)&lt;11),(T76+R76+G76)*Summary!$T$7/(1-Summary!$T$7),(T76+R76+G76)*Summary!$U$7/(1-Summary!$U$7)))</f>
        <v>#N/A</v>
      </c>
      <c r="W76" s="200" t="e">
        <f aca="false">IF($A77="","",(T76+R76+G76+V76))</f>
        <v>#N/A</v>
      </c>
      <c r="X76" s="200" t="e">
        <f aca="false">IF($A77="","",(U76+S76+H76+V76))</f>
        <v>#N/A</v>
      </c>
      <c r="Y76" s="202"/>
      <c r="Z76" s="185" t="e">
        <f aca="false">IF($A77="","",VLOOKUP($A76,Table,MATCH(Z$4,Curves,0)))</f>
        <v>#N/A</v>
      </c>
      <c r="AA76" s="185" t="e">
        <f aca="false">IF($A77="","",VLOOKUP($A76,Table,MATCH(AA$4,Curves,0)))</f>
        <v>#N/A</v>
      </c>
      <c r="AB76" s="185" t="e">
        <f aca="false">SQRT((AA76^2*(A76-$D$3)+Z76^2*(DAY(EOMONTH(A76,0))/2))/AK76)</f>
        <v>#N/A</v>
      </c>
      <c r="AC76" s="185" t="e">
        <f aca="false">IF($A77="","",VLOOKUP($A76,Table,MATCH(AC$4,Curves,0)))</f>
        <v>#N/A</v>
      </c>
      <c r="AD76" s="185" t="e">
        <f aca="false">IF($A77="","",VLOOKUP($A76,Table,MATCH(AD$4,Curves,0)))</f>
        <v>#N/A</v>
      </c>
      <c r="AE76" s="185" t="e">
        <f aca="false">SQRT((AD76^2*(A76-$D$3)+AC76^2*(DAY(EOMONTH(A76,0))/2))/AK76)</f>
        <v>#N/A</v>
      </c>
      <c r="AF76" s="206" t="e">
        <f aca="false">((Summary!$N$7*(AA76*AD76)*(A76-$D$3))+(Summary!$M$7*Z76*AC76*(DAY(EOMONTH(A76,0))/2)))/(AK76*AB76*AE76)</f>
        <v>#N/A</v>
      </c>
      <c r="AG76" s="207" t="n">
        <f aca="false">IF($A77="","",Summary!$Q$7)</f>
        <v>0</v>
      </c>
      <c r="AH76" s="207" t="n">
        <f aca="false">IF($A77="","",IF(Summary!$R$7="Y",(VLOOKUP($A76,Summary!$AD$6:$AF$9,3)+'Escalating commodity'!C89),'Escalating commodity'!C89))</f>
        <v>0.0224952</v>
      </c>
      <c r="AI76" s="207" t="n">
        <f aca="false">IF($A77="","",AH76)</f>
        <v>0.0224952</v>
      </c>
      <c r="AJ76" s="208" t="n">
        <f aca="false">A76+DAY(EOMONTH(A76,0))/2-1</f>
        <v>39066.5</v>
      </c>
      <c r="AK76" s="209" t="n">
        <f aca="false">IF($A77="","",$A76-$E$1)</f>
        <v>-6874</v>
      </c>
      <c r="AL76" s="182" t="e">
        <f aca="false">IF($A77="","",SPRDOPT(P76,X76,AI76,0,AB76,AE76,AF76,AK76,$AJ$2,0))</f>
        <v>#NAME?</v>
      </c>
      <c r="AM76" s="210" t="e">
        <f aca="false">IF($A77="","",MAX(0,O76-W76-AI76))</f>
        <v>#N/A</v>
      </c>
      <c r="AN76" s="211" t="e">
        <f aca="false">IF($A77="","",AL76-AM76)</f>
        <v>#N/A</v>
      </c>
      <c r="AO76" s="137" t="n">
        <f aca="false">IF(A77="","",A77-A76)</f>
        <v>31</v>
      </c>
      <c r="AP76" s="212" t="n">
        <f aca="false">IF(A77="","",CHOOSE(F$3,A77+24,A76))</f>
        <v>39052</v>
      </c>
      <c r="AQ76" s="209" t="n">
        <f aca="false">IF(A77="","",AP76-$E$1)</f>
        <v>-6874</v>
      </c>
      <c r="AR76" s="185" t="n">
        <f aca="false">IF(Summary!$H$2=1,VLOOKUP('ANR OK vs ML7'!A76,Curves!$C$17:$AR$273,MATCH('ANR OK vs ML7'!$AR$4,Curves!$C$8:$AQ$8,0)),0.1)</f>
        <v>0.1</v>
      </c>
      <c r="AS76" s="213" t="n">
        <f aca="false">IF(A77="","",1/(1+CHOOSE(F$3,(AR77+($I$3/10000))/2,(AR76+($I$3/10000))/2))^(2*AQ76/365.25))</f>
        <v>6.27429070478909</v>
      </c>
      <c r="AT76" s="137" t="n">
        <f aca="false">IF(A77="","",IF(AND(mthbeg&lt;=A76,mthend&gt;=A76),1,0))</f>
        <v>1</v>
      </c>
      <c r="AU76" s="137" t="n">
        <f aca="false">IF(A77="","",AO76*AT76)</f>
        <v>31</v>
      </c>
      <c r="AW76" s="195" t="e">
        <f aca="false">IF($A77="","",AL76*$E76)</f>
        <v>#NAME?</v>
      </c>
      <c r="AX76" s="195" t="e">
        <f aca="false">IF($A77="","",AM76*$E76)</f>
        <v>#N/A</v>
      </c>
      <c r="AY76" s="195" t="e">
        <f aca="false">IF($A77="","",AN76*$E76)</f>
        <v>#N/A</v>
      </c>
      <c r="BA76" s="195" t="n">
        <f aca="false">IF($A77="","",F76*Summary!$Q$7)</f>
        <v>0</v>
      </c>
      <c r="BC76" s="179" t="e">
        <f aca="false">IF(A77="","",AM76*F76)</f>
        <v>#N/A</v>
      </c>
    </row>
    <row r="77" customFormat="false" ht="12.75" hidden="false" customHeight="false" outlineLevel="0" collapsed="false">
      <c r="A77" s="196" t="n">
        <f aca="false">IF(A76&lt;mthend,EDATE(A76,1),"")</f>
        <v>39083</v>
      </c>
      <c r="B77" s="197" t="n">
        <f aca="false">IF(A77&lt;mthend,B76,"")</f>
        <v>40000</v>
      </c>
      <c r="C77" s="215"/>
      <c r="D77" s="197" t="n">
        <f aca="false">IF(A78&lt;&gt;"",B77+C77,"")</f>
        <v>40000</v>
      </c>
      <c r="E77" s="199" t="n">
        <f aca="false">IF(A78="","",IF(AND(AT77=1,$H$3=1),D77*AO77,IF($H$3=2,D77,"N/A")))</f>
        <v>1240000</v>
      </c>
      <c r="F77" s="199" t="n">
        <f aca="false">IF(A78="","",E77*AS77)</f>
        <v>7715951.82428361</v>
      </c>
      <c r="G77" s="200" t="e">
        <f aca="false">IF($A78="","",VLOOKUP($A77,Table,MATCH(G$4,Curves,0)))</f>
        <v>#N/A</v>
      </c>
      <c r="H77" s="201" t="e">
        <f aca="false">IF(A78="","",G77)</f>
        <v>#N/A</v>
      </c>
      <c r="I77" s="202"/>
      <c r="J77" s="200" t="e">
        <f aca="false">IF($A78="","",VLOOKUP($A77,Table,MATCH(J$4,Curves,0)))</f>
        <v>#N/A</v>
      </c>
      <c r="K77" s="201" t="e">
        <f aca="false">IF(A78="","",J77)</f>
        <v>#N/A</v>
      </c>
      <c r="L77" s="200" t="e">
        <f aca="false">IF($A78="","",VLOOKUP($A77,Table,MATCH(L$4,Curves,0)))</f>
        <v>#N/A</v>
      </c>
      <c r="M77" s="201" t="e">
        <f aca="false">IF(A78="","",L77)</f>
        <v>#N/A</v>
      </c>
      <c r="N77" s="203"/>
      <c r="O77" s="200" t="e">
        <f aca="false">IF(A78="","",L77+J77+G77)</f>
        <v>#N/A</v>
      </c>
      <c r="P77" s="200" t="e">
        <f aca="false">IF(A78="","",M77+K77+H77)</f>
        <v>#N/A</v>
      </c>
      <c r="Q77" s="204"/>
      <c r="R77" s="200" t="e">
        <f aca="false">IF($A78="","",VLOOKUP($A77,Table,MATCH(R$4,Curves,0)))</f>
        <v>#N/A</v>
      </c>
      <c r="S77" s="201" t="e">
        <f aca="false">IF(A78="","",R77)</f>
        <v>#N/A</v>
      </c>
      <c r="T77" s="200" t="e">
        <f aca="false">IF($A78="","",VLOOKUP($A77,Table,MATCH(T$4,Curves,0)))</f>
        <v>#N/A</v>
      </c>
      <c r="U77" s="201" t="e">
        <f aca="false">IF(A78="","",T77)</f>
        <v>#N/A</v>
      </c>
      <c r="V77" s="183" t="e">
        <f aca="false">IF($A78="","",IF(AND(MONTH(A77)&gt;3,MONTH(A77)&lt;11),(T77+R77+G77)*Summary!$T$7/(1-Summary!$T$7),(T77+R77+G77)*Summary!$U$7/(1-Summary!$U$7)))</f>
        <v>#N/A</v>
      </c>
      <c r="W77" s="200" t="e">
        <f aca="false">IF($A78="","",(T77+R77+G77+V77))</f>
        <v>#N/A</v>
      </c>
      <c r="X77" s="200" t="e">
        <f aca="false">IF($A78="","",(U77+S77+H77+V77))</f>
        <v>#N/A</v>
      </c>
      <c r="Y77" s="202"/>
      <c r="Z77" s="185" t="e">
        <f aca="false">IF($A78="","",VLOOKUP($A77,Table,MATCH(Z$4,Curves,0)))</f>
        <v>#N/A</v>
      </c>
      <c r="AA77" s="185" t="e">
        <f aca="false">IF($A78="","",VLOOKUP($A77,Table,MATCH(AA$4,Curves,0)))</f>
        <v>#N/A</v>
      </c>
      <c r="AB77" s="185" t="e">
        <f aca="false">SQRT((AA77^2*(A77-$D$3)+Z77^2*(DAY(EOMONTH(A77,0))/2))/AK77)</f>
        <v>#N/A</v>
      </c>
      <c r="AC77" s="185" t="e">
        <f aca="false">IF($A78="","",VLOOKUP($A77,Table,MATCH(AC$4,Curves,0)))</f>
        <v>#N/A</v>
      </c>
      <c r="AD77" s="185" t="e">
        <f aca="false">IF($A78="","",VLOOKUP($A77,Table,MATCH(AD$4,Curves,0)))</f>
        <v>#N/A</v>
      </c>
      <c r="AE77" s="185" t="e">
        <f aca="false">SQRT((AD77^2*(A77-$D$3)+AC77^2*(DAY(EOMONTH(A77,0))/2))/AK77)</f>
        <v>#N/A</v>
      </c>
      <c r="AF77" s="206" t="e">
        <f aca="false">((Summary!$N$7*(AA77*AD77)*(A77-$D$3))+(Summary!$M$7*Z77*AC77*(DAY(EOMONTH(A77,0))/2)))/(AK77*AB77*AE77)</f>
        <v>#N/A</v>
      </c>
      <c r="AG77" s="207" t="n">
        <f aca="false">IF($A78="","",Summary!$Q$7)</f>
        <v>0</v>
      </c>
      <c r="AH77" s="207" t="n">
        <f aca="false">IF($A78="","",IF(Summary!$R$7="Y",(VLOOKUP($A77,Summary!$AD$6:$AF$9,3)+'Escalating commodity'!C90),'Escalating commodity'!C90))</f>
        <v>0.0224952</v>
      </c>
      <c r="AI77" s="207" t="n">
        <f aca="false">IF($A78="","",AH77)</f>
        <v>0.0224952</v>
      </c>
      <c r="AJ77" s="208" t="n">
        <f aca="false">A77+DAY(EOMONTH(A77,0))/2-1</f>
        <v>39097.5</v>
      </c>
      <c r="AK77" s="209" t="n">
        <f aca="false">IF($A78="","",$A77-$E$1)</f>
        <v>-6843</v>
      </c>
      <c r="AL77" s="182" t="e">
        <f aca="false">IF($A78="","",SPRDOPT(P77,X77,AI77,0,AB77,AE77,AF77,AK77,$AJ$2,0))</f>
        <v>#NAME?</v>
      </c>
      <c r="AM77" s="210" t="e">
        <f aca="false">IF($A78="","",MAX(0,O77-W77-AI77))</f>
        <v>#N/A</v>
      </c>
      <c r="AN77" s="211" t="e">
        <f aca="false">IF($A78="","",AL77-AM77)</f>
        <v>#N/A</v>
      </c>
      <c r="AO77" s="137" t="n">
        <f aca="false">IF(A78="","",A78-A77)</f>
        <v>31</v>
      </c>
      <c r="AP77" s="212" t="n">
        <f aca="false">IF(A78="","",CHOOSE(F$3,A78+24,A77))</f>
        <v>39083</v>
      </c>
      <c r="AQ77" s="209" t="n">
        <f aca="false">IF(A78="","",AP77-$E$1)</f>
        <v>-6843</v>
      </c>
      <c r="AR77" s="185" t="n">
        <f aca="false">IF(Summary!$H$2=1,VLOOKUP('ANR OK vs ML7'!A77,Curves!$C$17:$AR$273,MATCH('ANR OK vs ML7'!$AR$4,Curves!$C$8:$AQ$8,0)),0.1)</f>
        <v>0.1</v>
      </c>
      <c r="AS77" s="213" t="n">
        <f aca="false">IF(A78="","",1/(1+CHOOSE(F$3,(AR78+($I$3/10000))/2,(AR77+($I$3/10000))/2))^(2*AQ77/365.25))</f>
        <v>6.2225417937771</v>
      </c>
      <c r="AT77" s="137" t="n">
        <f aca="false">IF(A78="","",IF(AND(mthbeg&lt;=A77,mthend&gt;=A77),1,0))</f>
        <v>1</v>
      </c>
      <c r="AU77" s="137" t="n">
        <f aca="false">IF(A78="","",AO77*AT77)</f>
        <v>31</v>
      </c>
      <c r="AW77" s="195" t="e">
        <f aca="false">IF($A78="","",AL77*$E77)</f>
        <v>#NAME?</v>
      </c>
      <c r="AX77" s="195" t="e">
        <f aca="false">IF($A78="","",AM77*$E77)</f>
        <v>#N/A</v>
      </c>
      <c r="AY77" s="195" t="e">
        <f aca="false">IF($A78="","",AN77*$E77)</f>
        <v>#N/A</v>
      </c>
      <c r="BA77" s="195" t="n">
        <f aca="false">IF($A78="","",F77*Summary!$Q$7)</f>
        <v>0</v>
      </c>
      <c r="BC77" s="179" t="e">
        <f aca="false">IF(A78="","",AM77*F77)</f>
        <v>#N/A</v>
      </c>
    </row>
    <row r="78" customFormat="false" ht="12.75" hidden="false" customHeight="false" outlineLevel="0" collapsed="false">
      <c r="A78" s="196" t="n">
        <f aca="false">IF(A77&lt;mthend,EDATE(A77,1),"")</f>
        <v>39114</v>
      </c>
      <c r="B78" s="197" t="n">
        <f aca="false">IF(A78&lt;mthend,B77,"")</f>
        <v>40000</v>
      </c>
      <c r="C78" s="215"/>
      <c r="D78" s="197" t="n">
        <f aca="false">IF(A79&lt;&gt;"",B78+C78,"")</f>
        <v>40000</v>
      </c>
      <c r="E78" s="199" t="n">
        <f aca="false">IF(A79="","",IF(AND(AT78=1,$H$3=1),D78*AO78,IF($H$3=2,D78,"N/A")))</f>
        <v>1120000</v>
      </c>
      <c r="F78" s="199" t="n">
        <f aca="false">IF(A79="","",E78*AS78)</f>
        <v>6911766.05942693</v>
      </c>
      <c r="G78" s="200" t="e">
        <f aca="false">IF($A79="","",VLOOKUP($A78,Table,MATCH(G$4,Curves,0)))</f>
        <v>#N/A</v>
      </c>
      <c r="H78" s="201" t="e">
        <f aca="false">IF(A79="","",G78)</f>
        <v>#N/A</v>
      </c>
      <c r="I78" s="202"/>
      <c r="J78" s="200" t="e">
        <f aca="false">IF($A79="","",VLOOKUP($A78,Table,MATCH(J$4,Curves,0)))</f>
        <v>#N/A</v>
      </c>
      <c r="K78" s="201" t="e">
        <f aca="false">IF(A79="","",J78)</f>
        <v>#N/A</v>
      </c>
      <c r="L78" s="200" t="e">
        <f aca="false">IF($A79="","",VLOOKUP($A78,Table,MATCH(L$4,Curves,0)))</f>
        <v>#N/A</v>
      </c>
      <c r="M78" s="201" t="e">
        <f aca="false">IF(A79="","",L78)</f>
        <v>#N/A</v>
      </c>
      <c r="N78" s="203"/>
      <c r="O78" s="200" t="e">
        <f aca="false">IF(A79="","",L78+J78+G78)</f>
        <v>#N/A</v>
      </c>
      <c r="P78" s="200" t="e">
        <f aca="false">IF(A79="","",M78+K78+H78)</f>
        <v>#N/A</v>
      </c>
      <c r="Q78" s="204"/>
      <c r="R78" s="200" t="e">
        <f aca="false">IF($A79="","",VLOOKUP($A78,Table,MATCH(R$4,Curves,0)))</f>
        <v>#N/A</v>
      </c>
      <c r="S78" s="201" t="e">
        <f aca="false">IF(A79="","",R78)</f>
        <v>#N/A</v>
      </c>
      <c r="T78" s="200" t="e">
        <f aca="false">IF($A79="","",VLOOKUP($A78,Table,MATCH(T$4,Curves,0)))</f>
        <v>#N/A</v>
      </c>
      <c r="U78" s="201" t="e">
        <f aca="false">IF(A79="","",T78)</f>
        <v>#N/A</v>
      </c>
      <c r="V78" s="183" t="e">
        <f aca="false">IF($A79="","",IF(AND(MONTH(A78)&gt;3,MONTH(A78)&lt;11),(T78+R78+G78)*Summary!$T$7/(1-Summary!$T$7),(T78+R78+G78)*Summary!$U$7/(1-Summary!$U$7)))</f>
        <v>#N/A</v>
      </c>
      <c r="W78" s="200" t="e">
        <f aca="false">IF($A79="","",(T78+R78+G78+V78))</f>
        <v>#N/A</v>
      </c>
      <c r="X78" s="200" t="e">
        <f aca="false">IF($A79="","",(U78+S78+H78+V78))</f>
        <v>#N/A</v>
      </c>
      <c r="Y78" s="202"/>
      <c r="Z78" s="185" t="e">
        <f aca="false">IF($A79="","",VLOOKUP($A78,Table,MATCH(Z$4,Curves,0)))</f>
        <v>#N/A</v>
      </c>
      <c r="AA78" s="185" t="e">
        <f aca="false">IF($A79="","",VLOOKUP($A78,Table,MATCH(AA$4,Curves,0)))</f>
        <v>#N/A</v>
      </c>
      <c r="AB78" s="185" t="e">
        <f aca="false">SQRT((AA78^2*(A78-$D$3)+Z78^2*(DAY(EOMONTH(A78,0))/2))/AK78)</f>
        <v>#N/A</v>
      </c>
      <c r="AC78" s="185" t="e">
        <f aca="false">IF($A79="","",VLOOKUP($A78,Table,MATCH(AC$4,Curves,0)))</f>
        <v>#N/A</v>
      </c>
      <c r="AD78" s="185" t="e">
        <f aca="false">IF($A79="","",VLOOKUP($A78,Table,MATCH(AD$4,Curves,0)))</f>
        <v>#N/A</v>
      </c>
      <c r="AE78" s="185" t="e">
        <f aca="false">SQRT((AD78^2*(A78-$D$3)+AC78^2*(DAY(EOMONTH(A78,0))/2))/AK78)</f>
        <v>#N/A</v>
      </c>
      <c r="AF78" s="206" t="e">
        <f aca="false">((Summary!$N$7*(AA78*AD78)*(A78-$D$3))+(Summary!$M$7*Z78*AC78*(DAY(EOMONTH(A78,0))/2)))/(AK78*AB78*AE78)</f>
        <v>#N/A</v>
      </c>
      <c r="AG78" s="207" t="n">
        <f aca="false">IF($A79="","",Summary!$Q$7)</f>
        <v>0</v>
      </c>
      <c r="AH78" s="207" t="n">
        <f aca="false">IF($A79="","",IF(Summary!$R$7="Y",(VLOOKUP($A78,Summary!$AD$6:$AF$9,3)+'Escalating commodity'!C91),'Escalating commodity'!C91))</f>
        <v>0.0224952</v>
      </c>
      <c r="AI78" s="207" t="n">
        <f aca="false">IF($A79="","",AH78)</f>
        <v>0.0224952</v>
      </c>
      <c r="AJ78" s="208" t="n">
        <f aca="false">A78+DAY(EOMONTH(A78,0))/2-1</f>
        <v>39127</v>
      </c>
      <c r="AK78" s="209" t="n">
        <f aca="false">IF($A79="","",$A78-$E$1)</f>
        <v>-6812</v>
      </c>
      <c r="AL78" s="182" t="e">
        <f aca="false">IF($A79="","",SPRDOPT(P78,X78,AI78,0,AB78,AE78,AF78,AK78,$AJ$2,0))</f>
        <v>#NAME?</v>
      </c>
      <c r="AM78" s="210" t="e">
        <f aca="false">IF($A79="","",MAX(0,O78-W78-AI78))</f>
        <v>#N/A</v>
      </c>
      <c r="AN78" s="211" t="e">
        <f aca="false">IF($A79="","",AL78-AM78)</f>
        <v>#N/A</v>
      </c>
      <c r="AO78" s="137" t="n">
        <f aca="false">IF(A79="","",A79-A78)</f>
        <v>28</v>
      </c>
      <c r="AP78" s="212" t="n">
        <f aca="false">IF(A79="","",CHOOSE(F$3,A79+24,A78))</f>
        <v>39114</v>
      </c>
      <c r="AQ78" s="209" t="n">
        <f aca="false">IF(A79="","",AP78-$E$1)</f>
        <v>-6812</v>
      </c>
      <c r="AR78" s="185" t="n">
        <f aca="false">IF(Summary!$H$2=1,VLOOKUP('ANR OK vs ML7'!A78,Curves!$C$17:$AR$273,MATCH('ANR OK vs ML7'!$AR$4,Curves!$C$8:$AQ$8,0)),0.1)</f>
        <v>0.1</v>
      </c>
      <c r="AS78" s="213" t="n">
        <f aca="false">IF(A79="","",1/(1+CHOOSE(F$3,(AR79+($I$3/10000))/2,(AR78+($I$3/10000))/2))^(2*AQ78/365.25))</f>
        <v>6.1712196959169</v>
      </c>
      <c r="AT78" s="137" t="n">
        <f aca="false">IF(A79="","",IF(AND(mthbeg&lt;=A78,mthend&gt;=A78),1,0))</f>
        <v>1</v>
      </c>
      <c r="AU78" s="137" t="n">
        <f aca="false">IF(A79="","",AO78*AT78)</f>
        <v>28</v>
      </c>
      <c r="AW78" s="195" t="e">
        <f aca="false">IF($A79="","",AL78*$E78)</f>
        <v>#NAME?</v>
      </c>
      <c r="AX78" s="195" t="e">
        <f aca="false">IF($A79="","",AM78*$E78)</f>
        <v>#N/A</v>
      </c>
      <c r="AY78" s="195" t="e">
        <f aca="false">IF($A79="","",AN78*$E78)</f>
        <v>#N/A</v>
      </c>
      <c r="BA78" s="195" t="n">
        <f aca="false">IF($A79="","",F78*Summary!$Q$7)</f>
        <v>0</v>
      </c>
      <c r="BC78" s="179" t="e">
        <f aca="false">IF(A79="","",AM78*F78)</f>
        <v>#N/A</v>
      </c>
    </row>
    <row r="79" customFormat="false" ht="12.75" hidden="false" customHeight="false" outlineLevel="0" collapsed="false">
      <c r="A79" s="196" t="n">
        <f aca="false">IF(A78&lt;mthend,EDATE(A78,1),"")</f>
        <v>39142</v>
      </c>
      <c r="B79" s="197" t="n">
        <f aca="false">IF(A79&lt;mthend,B78,"")</f>
        <v>40000</v>
      </c>
      <c r="C79" s="215"/>
      <c r="D79" s="197" t="n">
        <f aca="false">IF(A80&lt;&gt;"",B79+C79,"")</f>
        <v>40000</v>
      </c>
      <c r="E79" s="199" t="n">
        <f aca="false">IF(A80="","",IF(AND(AT79=1,$H$3=1),D79*AO79,IF($H$3=2,D79,"N/A")))</f>
        <v>1240000</v>
      </c>
      <c r="F79" s="199" t="n">
        <f aca="false">IF(A80="","",E79*AS79)</f>
        <v>7595282.94193531</v>
      </c>
      <c r="G79" s="200" t="e">
        <f aca="false">IF($A80="","",VLOOKUP($A79,Table,MATCH(G$4,Curves,0)))</f>
        <v>#N/A</v>
      </c>
      <c r="H79" s="201" t="e">
        <f aca="false">IF(A80="","",G79)</f>
        <v>#N/A</v>
      </c>
      <c r="I79" s="202"/>
      <c r="J79" s="200" t="e">
        <f aca="false">IF($A80="","",VLOOKUP($A79,Table,MATCH(J$4,Curves,0)))</f>
        <v>#N/A</v>
      </c>
      <c r="K79" s="201" t="e">
        <f aca="false">IF(A80="","",J79)</f>
        <v>#N/A</v>
      </c>
      <c r="L79" s="200" t="e">
        <f aca="false">IF($A80="","",VLOOKUP($A79,Table,MATCH(L$4,Curves,0)))</f>
        <v>#N/A</v>
      </c>
      <c r="M79" s="201" t="e">
        <f aca="false">IF(A80="","",L79)</f>
        <v>#N/A</v>
      </c>
      <c r="N79" s="203"/>
      <c r="O79" s="200" t="e">
        <f aca="false">IF(A80="","",L79+J79+G79)</f>
        <v>#N/A</v>
      </c>
      <c r="P79" s="200" t="e">
        <f aca="false">IF(A80="","",M79+K79+H79)</f>
        <v>#N/A</v>
      </c>
      <c r="Q79" s="204"/>
      <c r="R79" s="200" t="e">
        <f aca="false">IF($A80="","",VLOOKUP($A79,Table,MATCH(R$4,Curves,0)))</f>
        <v>#N/A</v>
      </c>
      <c r="S79" s="201" t="e">
        <f aca="false">IF(A80="","",R79)</f>
        <v>#N/A</v>
      </c>
      <c r="T79" s="200" t="e">
        <f aca="false">IF($A80="","",VLOOKUP($A79,Table,MATCH(T$4,Curves,0)))</f>
        <v>#N/A</v>
      </c>
      <c r="U79" s="201" t="e">
        <f aca="false">IF(A80="","",T79)</f>
        <v>#N/A</v>
      </c>
      <c r="V79" s="183" t="e">
        <f aca="false">IF($A80="","",IF(AND(MONTH(A79)&gt;3,MONTH(A79)&lt;11),(T79+R79+G79)*Summary!$T$7/(1-Summary!$T$7),(T79+R79+G79)*Summary!$U$7/(1-Summary!$U$7)))</f>
        <v>#N/A</v>
      </c>
      <c r="W79" s="200" t="e">
        <f aca="false">IF($A80="","",(T79+R79+G79+V79))</f>
        <v>#N/A</v>
      </c>
      <c r="X79" s="200" t="e">
        <f aca="false">IF($A80="","",(U79+S79+H79+V79))</f>
        <v>#N/A</v>
      </c>
      <c r="Y79" s="202"/>
      <c r="Z79" s="185" t="e">
        <f aca="false">IF($A80="","",VLOOKUP($A79,Table,MATCH(Z$4,Curves,0)))</f>
        <v>#N/A</v>
      </c>
      <c r="AA79" s="185" t="e">
        <f aca="false">IF($A80="","",VLOOKUP($A79,Table,MATCH(AA$4,Curves,0)))</f>
        <v>#N/A</v>
      </c>
      <c r="AB79" s="185" t="e">
        <f aca="false">SQRT((AA79^2*(A79-$D$3)+Z79^2*(DAY(EOMONTH(A79,0))/2))/AK79)</f>
        <v>#N/A</v>
      </c>
      <c r="AC79" s="185" t="e">
        <f aca="false">IF($A80="","",VLOOKUP($A79,Table,MATCH(AC$4,Curves,0)))</f>
        <v>#N/A</v>
      </c>
      <c r="AD79" s="185" t="e">
        <f aca="false">IF($A80="","",VLOOKUP($A79,Table,MATCH(AD$4,Curves,0)))</f>
        <v>#N/A</v>
      </c>
      <c r="AE79" s="185" t="e">
        <f aca="false">SQRT((AD79^2*(A79-$D$3)+AC79^2*(DAY(EOMONTH(A79,0))/2))/AK79)</f>
        <v>#N/A</v>
      </c>
      <c r="AF79" s="206" t="e">
        <f aca="false">((Summary!$N$7*(AA79*AD79)*(A79-$D$3))+(Summary!$M$7*Z79*AC79*(DAY(EOMONTH(A79,0))/2)))/(AK79*AB79*AE79)</f>
        <v>#N/A</v>
      </c>
      <c r="AG79" s="207" t="n">
        <f aca="false">IF($A80="","",Summary!$Q$7)</f>
        <v>0</v>
      </c>
      <c r="AH79" s="207" t="n">
        <f aca="false">IF($A80="","",IF(Summary!$R$7="Y",(VLOOKUP($A79,Summary!$AD$6:$AF$9,3)+'Escalating commodity'!C92),'Escalating commodity'!C92))</f>
        <v>0.0224952</v>
      </c>
      <c r="AI79" s="207" t="n">
        <f aca="false">IF($A80="","",AH79)</f>
        <v>0.0224952</v>
      </c>
      <c r="AJ79" s="208" t="n">
        <f aca="false">A79+DAY(EOMONTH(A79,0))/2-1</f>
        <v>39156.5</v>
      </c>
      <c r="AK79" s="209" t="n">
        <f aca="false">IF($A80="","",$A79-$E$1)</f>
        <v>-6784</v>
      </c>
      <c r="AL79" s="182" t="e">
        <f aca="false">IF($A80="","",SPRDOPT(P79,X79,AI79,0,AB79,AE79,AF79,AK79,$AJ$2,0))</f>
        <v>#NAME?</v>
      </c>
      <c r="AM79" s="210" t="e">
        <f aca="false">IF($A80="","",MAX(0,O79-W79-AI79))</f>
        <v>#N/A</v>
      </c>
      <c r="AN79" s="211" t="e">
        <f aca="false">IF($A80="","",AL79-AM79)</f>
        <v>#N/A</v>
      </c>
      <c r="AO79" s="137" t="n">
        <f aca="false">IF(A80="","",A80-A79)</f>
        <v>31</v>
      </c>
      <c r="AP79" s="212" t="n">
        <f aca="false">IF(A80="","",CHOOSE(F$3,A80+24,A79))</f>
        <v>39142</v>
      </c>
      <c r="AQ79" s="209" t="n">
        <f aca="false">IF(A80="","",AP79-$E$1)</f>
        <v>-6784</v>
      </c>
      <c r="AR79" s="185" t="n">
        <f aca="false">IF(Summary!$H$2=1,VLOOKUP('ANR OK vs ML7'!A79,Curves!$C$17:$AR$273,MATCH('ANR OK vs ML7'!$AR$4,Curves!$C$8:$AQ$8,0)),0.1)</f>
        <v>0.1</v>
      </c>
      <c r="AS79" s="213" t="n">
        <f aca="false">IF(A80="","",1/(1+CHOOSE(F$3,(AR80+($I$3/10000))/2,(AR79+($I$3/10000))/2))^(2*AQ79/365.25))</f>
        <v>6.12522817898009</v>
      </c>
      <c r="AT79" s="137" t="n">
        <f aca="false">IF(A80="","",IF(AND(mthbeg&lt;=A79,mthend&gt;=A79),1,0))</f>
        <v>1</v>
      </c>
      <c r="AU79" s="137" t="n">
        <f aca="false">IF(A80="","",AO79*AT79)</f>
        <v>31</v>
      </c>
      <c r="AW79" s="195" t="e">
        <f aca="false">IF($A80="","",AL79*$E79)</f>
        <v>#NAME?</v>
      </c>
      <c r="AX79" s="195" t="e">
        <f aca="false">IF($A80="","",AM79*$E79)</f>
        <v>#N/A</v>
      </c>
      <c r="AY79" s="195" t="e">
        <f aca="false">IF($A80="","",AN79*$E79)</f>
        <v>#N/A</v>
      </c>
      <c r="BA79" s="195" t="n">
        <f aca="false">IF($A80="","",F79*Summary!$Q$7)</f>
        <v>0</v>
      </c>
      <c r="BC79" s="179" t="e">
        <f aca="false">IF(A80="","",AM79*F79)</f>
        <v>#N/A</v>
      </c>
    </row>
    <row r="80" customFormat="false" ht="12.75" hidden="false" customHeight="false" outlineLevel="0" collapsed="false">
      <c r="A80" s="196" t="n">
        <f aca="false">IF(A79&lt;mthend,EDATE(A79,1),"")</f>
        <v>39173</v>
      </c>
      <c r="B80" s="197" t="n">
        <f aca="false">IF(A80&lt;mthend,B79,"")</f>
        <v>40000</v>
      </c>
      <c r="C80" s="215"/>
      <c r="D80" s="197" t="n">
        <f aca="false">IF(A81&lt;&gt;"",B80+C80,"")</f>
        <v>40000</v>
      </c>
      <c r="E80" s="199" t="n">
        <f aca="false">IF(A81="","",IF(AND(AT80=1,$H$3=1),D80*AO80,IF($H$3=2,D80,"N/A")))</f>
        <v>1200000</v>
      </c>
      <c r="F80" s="199" t="n">
        <f aca="false">IF(A81="","",E80*AS80)</f>
        <v>7289650.44180037</v>
      </c>
      <c r="G80" s="200" t="e">
        <f aca="false">IF($A81="","",VLOOKUP($A80,Table,MATCH(G$4,Curves,0)))</f>
        <v>#N/A</v>
      </c>
      <c r="H80" s="201" t="e">
        <f aca="false">IF(A81="","",G80)</f>
        <v>#N/A</v>
      </c>
      <c r="I80" s="202"/>
      <c r="J80" s="200" t="e">
        <f aca="false">IF($A81="","",VLOOKUP($A80,Table,MATCH(J$4,Curves,0)))</f>
        <v>#N/A</v>
      </c>
      <c r="K80" s="201" t="e">
        <f aca="false">IF(A81="","",J80)</f>
        <v>#N/A</v>
      </c>
      <c r="L80" s="200" t="e">
        <f aca="false">IF($A81="","",VLOOKUP($A80,Table,MATCH(L$4,Curves,0)))</f>
        <v>#N/A</v>
      </c>
      <c r="M80" s="201" t="e">
        <f aca="false">IF(A81="","",L80)</f>
        <v>#N/A</v>
      </c>
      <c r="N80" s="203"/>
      <c r="O80" s="200" t="e">
        <f aca="false">IF(A81="","",L80+J80+G80)</f>
        <v>#N/A</v>
      </c>
      <c r="P80" s="200" t="e">
        <f aca="false">IF(A81="","",M80+K80+H80)</f>
        <v>#N/A</v>
      </c>
      <c r="Q80" s="204"/>
      <c r="R80" s="200" t="e">
        <f aca="false">IF($A81="","",VLOOKUP($A80,Table,MATCH(R$4,Curves,0)))</f>
        <v>#N/A</v>
      </c>
      <c r="S80" s="201" t="e">
        <f aca="false">IF(A81="","",R80)</f>
        <v>#N/A</v>
      </c>
      <c r="T80" s="200" t="e">
        <f aca="false">IF($A81="","",VLOOKUP($A80,Table,MATCH(T$4,Curves,0)))</f>
        <v>#N/A</v>
      </c>
      <c r="U80" s="201" t="e">
        <f aca="false">IF(A81="","",T80)</f>
        <v>#N/A</v>
      </c>
      <c r="V80" s="183" t="e">
        <f aca="false">IF($A81="","",IF(AND(MONTH(A80)&gt;3,MONTH(A80)&lt;11),(T80+R80+G80)*Summary!$T$7/(1-Summary!$T$7),(T80+R80+G80)*Summary!$U$7/(1-Summary!$U$7)))</f>
        <v>#N/A</v>
      </c>
      <c r="W80" s="200" t="e">
        <f aca="false">IF($A81="","",(T80+R80+G80+V80))</f>
        <v>#N/A</v>
      </c>
      <c r="X80" s="200" t="e">
        <f aca="false">IF($A81="","",(U80+S80+H80+V80))</f>
        <v>#N/A</v>
      </c>
      <c r="Y80" s="202"/>
      <c r="Z80" s="185" t="e">
        <f aca="false">IF($A81="","",VLOOKUP($A80,Table,MATCH(Z$4,Curves,0)))</f>
        <v>#N/A</v>
      </c>
      <c r="AA80" s="185" t="e">
        <f aca="false">IF($A81="","",VLOOKUP($A80,Table,MATCH(AA$4,Curves,0)))</f>
        <v>#N/A</v>
      </c>
      <c r="AB80" s="185" t="e">
        <f aca="false">SQRT((AA80^2*(A80-$D$3)+Z80^2*(DAY(EOMONTH(A80,0))/2))/AK80)</f>
        <v>#N/A</v>
      </c>
      <c r="AC80" s="185" t="e">
        <f aca="false">IF($A81="","",VLOOKUP($A80,Table,MATCH(AC$4,Curves,0)))</f>
        <v>#N/A</v>
      </c>
      <c r="AD80" s="185" t="e">
        <f aca="false">IF($A81="","",VLOOKUP($A80,Table,MATCH(AD$4,Curves,0)))</f>
        <v>#N/A</v>
      </c>
      <c r="AE80" s="185" t="e">
        <f aca="false">SQRT((AD80^2*(A80-$D$3)+AC80^2*(DAY(EOMONTH(A80,0))/2))/AK80)</f>
        <v>#N/A</v>
      </c>
      <c r="AF80" s="206" t="e">
        <f aca="false">((Summary!$N$7*(AA80*AD80)*(A80-$D$3))+(Summary!$M$7*Z80*AC80*(DAY(EOMONTH(A80,0))/2)))/(AK80*AB80*AE80)</f>
        <v>#N/A</v>
      </c>
      <c r="AG80" s="207" t="n">
        <f aca="false">IF($A81="","",Summary!$Q$7)</f>
        <v>0</v>
      </c>
      <c r="AH80" s="207" t="n">
        <f aca="false">IF($A81="","",IF(Summary!$R$7="Y",(VLOOKUP($A80,Summary!$AD$6:$AF$9,3)+'Escalating commodity'!C93),'Escalating commodity'!C93))</f>
        <v>0.0224952</v>
      </c>
      <c r="AI80" s="207" t="n">
        <f aca="false">IF($A81="","",AH80)</f>
        <v>0.0224952</v>
      </c>
      <c r="AJ80" s="208" t="n">
        <f aca="false">A80+DAY(EOMONTH(A80,0))/2-1</f>
        <v>39187</v>
      </c>
      <c r="AK80" s="209" t="n">
        <f aca="false">IF($A81="","",$A80-$E$1)</f>
        <v>-6753</v>
      </c>
      <c r="AL80" s="182" t="e">
        <f aca="false">IF($A81="","",SPRDOPT(P80,X80,AI80,0,AB80,AE80,AF80,AK80,$AJ$2,0))</f>
        <v>#NAME?</v>
      </c>
      <c r="AM80" s="210" t="e">
        <f aca="false">IF($A81="","",MAX(0,O80-W80-AI80))</f>
        <v>#N/A</v>
      </c>
      <c r="AN80" s="211" t="e">
        <f aca="false">IF($A81="","",AL80-AM80)</f>
        <v>#N/A</v>
      </c>
      <c r="AO80" s="137" t="n">
        <f aca="false">IF(A81="","",A81-A80)</f>
        <v>30</v>
      </c>
      <c r="AP80" s="212" t="n">
        <f aca="false">IF(A81="","",CHOOSE(F$3,A81+24,A80))</f>
        <v>39173</v>
      </c>
      <c r="AQ80" s="209" t="n">
        <f aca="false">IF(A81="","",AP80-$E$1)</f>
        <v>-6753</v>
      </c>
      <c r="AR80" s="185" t="n">
        <f aca="false">IF(Summary!$H$2=1,VLOOKUP('ANR OK vs ML7'!A80,Curves!$C$17:$AR$273,MATCH('ANR OK vs ML7'!$AR$4,Curves!$C$8:$AQ$8,0)),0.1)</f>
        <v>0.1</v>
      </c>
      <c r="AS80" s="213" t="n">
        <f aca="false">IF(A81="","",1/(1+CHOOSE(F$3,(AR81+($I$3/10000))/2,(AR80+($I$3/10000))/2))^(2*AQ80/365.25))</f>
        <v>6.07470870150031</v>
      </c>
      <c r="AT80" s="137" t="n">
        <f aca="false">IF(A81="","",IF(AND(mthbeg&lt;=A80,mthend&gt;=A80),1,0))</f>
        <v>1</v>
      </c>
      <c r="AU80" s="137" t="n">
        <f aca="false">IF(A81="","",AO80*AT80)</f>
        <v>30</v>
      </c>
      <c r="AW80" s="195" t="e">
        <f aca="false">IF($A81="","",AL80*$E80)</f>
        <v>#NAME?</v>
      </c>
      <c r="AX80" s="195" t="e">
        <f aca="false">IF($A81="","",AM80*$E80)</f>
        <v>#N/A</v>
      </c>
      <c r="AY80" s="195" t="e">
        <f aca="false">IF($A81="","",AN80*$E80)</f>
        <v>#N/A</v>
      </c>
      <c r="BA80" s="195" t="n">
        <f aca="false">IF($A81="","",F80*Summary!$Q$7)</f>
        <v>0</v>
      </c>
      <c r="BC80" s="179" t="e">
        <f aca="false">IF(A81="","",AM80*F80)</f>
        <v>#N/A</v>
      </c>
    </row>
    <row r="81" customFormat="false" ht="12.75" hidden="false" customHeight="false" outlineLevel="0" collapsed="false">
      <c r="A81" s="196" t="n">
        <f aca="false">IF(A80&lt;mthend,EDATE(A80,1),"")</f>
        <v>39203</v>
      </c>
      <c r="B81" s="197" t="n">
        <f aca="false">IF(A81&lt;mthend,B80,"")</f>
        <v>40000</v>
      </c>
      <c r="C81" s="215"/>
      <c r="D81" s="197" t="n">
        <f aca="false">IF(A82&lt;&gt;"",B81+C81,"")</f>
        <v>40000</v>
      </c>
      <c r="E81" s="199" t="n">
        <f aca="false">IF(A82="","",IF(AND(AT81=1,$H$3=1),D81*AO81,IF($H$3=2,D81,"N/A")))</f>
        <v>1240000</v>
      </c>
      <c r="F81" s="199" t="n">
        <f aca="false">IF(A82="","",E81*AS81)</f>
        <v>7472507.40364527</v>
      </c>
      <c r="G81" s="200" t="e">
        <f aca="false">IF($A82="","",VLOOKUP($A81,Table,MATCH(G$4,Curves,0)))</f>
        <v>#N/A</v>
      </c>
      <c r="H81" s="201" t="e">
        <f aca="false">IF(A82="","",G81)</f>
        <v>#N/A</v>
      </c>
      <c r="I81" s="202"/>
      <c r="J81" s="200" t="e">
        <f aca="false">IF($A82="","",VLOOKUP($A81,Table,MATCH(J$4,Curves,0)))</f>
        <v>#N/A</v>
      </c>
      <c r="K81" s="201" t="e">
        <f aca="false">IF(A82="","",J81)</f>
        <v>#N/A</v>
      </c>
      <c r="L81" s="200" t="e">
        <f aca="false">IF($A82="","",VLOOKUP($A81,Table,MATCH(L$4,Curves,0)))</f>
        <v>#N/A</v>
      </c>
      <c r="M81" s="201" t="e">
        <f aca="false">IF(A82="","",L81)</f>
        <v>#N/A</v>
      </c>
      <c r="N81" s="203"/>
      <c r="O81" s="200" t="e">
        <f aca="false">IF(A82="","",L81+J81+G81)</f>
        <v>#N/A</v>
      </c>
      <c r="P81" s="200" t="e">
        <f aca="false">IF(A82="","",M81+K81+H81)</f>
        <v>#N/A</v>
      </c>
      <c r="Q81" s="204"/>
      <c r="R81" s="200" t="e">
        <f aca="false">IF($A82="","",VLOOKUP($A81,Table,MATCH(R$4,Curves,0)))</f>
        <v>#N/A</v>
      </c>
      <c r="S81" s="201" t="e">
        <f aca="false">IF(A82="","",R81)</f>
        <v>#N/A</v>
      </c>
      <c r="T81" s="200" t="e">
        <f aca="false">IF($A82="","",VLOOKUP($A81,Table,MATCH(T$4,Curves,0)))</f>
        <v>#N/A</v>
      </c>
      <c r="U81" s="201" t="e">
        <f aca="false">IF(A82="","",T81)</f>
        <v>#N/A</v>
      </c>
      <c r="V81" s="183" t="e">
        <f aca="false">IF($A82="","",IF(AND(MONTH(A81)&gt;3,MONTH(A81)&lt;11),(T81+R81+G81)*Summary!$T$7/(1-Summary!$T$7),(T81+R81+G81)*Summary!$U$7/(1-Summary!$U$7)))</f>
        <v>#N/A</v>
      </c>
      <c r="W81" s="200" t="e">
        <f aca="false">IF($A82="","",(T81+R81+G81+V81))</f>
        <v>#N/A</v>
      </c>
      <c r="X81" s="200" t="e">
        <f aca="false">IF($A82="","",(U81+S81+H81+V81))</f>
        <v>#N/A</v>
      </c>
      <c r="Y81" s="202"/>
      <c r="Z81" s="185" t="e">
        <f aca="false">IF($A82="","",VLOOKUP($A81,Table,MATCH(Z$4,Curves,0)))</f>
        <v>#N/A</v>
      </c>
      <c r="AA81" s="185" t="e">
        <f aca="false">IF($A82="","",VLOOKUP($A81,Table,MATCH(AA$4,Curves,0)))</f>
        <v>#N/A</v>
      </c>
      <c r="AB81" s="185" t="e">
        <f aca="false">SQRT((AA81^2*(A81-$D$3)+Z81^2*(DAY(EOMONTH(A81,0))/2))/AK81)</f>
        <v>#N/A</v>
      </c>
      <c r="AC81" s="185" t="e">
        <f aca="false">IF($A82="","",VLOOKUP($A81,Table,MATCH(AC$4,Curves,0)))</f>
        <v>#N/A</v>
      </c>
      <c r="AD81" s="185" t="e">
        <f aca="false">IF($A82="","",VLOOKUP($A81,Table,MATCH(AD$4,Curves,0)))</f>
        <v>#N/A</v>
      </c>
      <c r="AE81" s="185" t="e">
        <f aca="false">SQRT((AD81^2*(A81-$D$3)+AC81^2*(DAY(EOMONTH(A81,0))/2))/AK81)</f>
        <v>#N/A</v>
      </c>
      <c r="AF81" s="206" t="e">
        <f aca="false">((Summary!$N$7*(AA81*AD81)*(A81-$D$3))+(Summary!$M$7*Z81*AC81*(DAY(EOMONTH(A81,0))/2)))/(AK81*AB81*AE81)</f>
        <v>#N/A</v>
      </c>
      <c r="AG81" s="207" t="n">
        <f aca="false">IF($A82="","",Summary!$Q$7)</f>
        <v>0</v>
      </c>
      <c r="AH81" s="207" t="n">
        <f aca="false">IF($A82="","",IF(Summary!$R$7="Y",(VLOOKUP($A81,Summary!$AD$6:$AF$9,3)+'Escalating commodity'!C94),'Escalating commodity'!C94))</f>
        <v>0.0224952</v>
      </c>
      <c r="AI81" s="207" t="n">
        <f aca="false">IF($A82="","",AH81)</f>
        <v>0.0224952</v>
      </c>
      <c r="AJ81" s="208" t="n">
        <f aca="false">A81+DAY(EOMONTH(A81,0))/2-1</f>
        <v>39217.5</v>
      </c>
      <c r="AK81" s="209" t="n">
        <f aca="false">IF($A82="","",$A81-$E$1)</f>
        <v>-6723</v>
      </c>
      <c r="AL81" s="182" t="e">
        <f aca="false">IF($A82="","",SPRDOPT(P81,X81,AI81,0,AB81,AE81,AF81,AK81,$AJ$2,0))</f>
        <v>#NAME?</v>
      </c>
      <c r="AM81" s="210" t="e">
        <f aca="false">IF($A82="","",MAX(0,O81-W81-AI81))</f>
        <v>#N/A</v>
      </c>
      <c r="AN81" s="211" t="e">
        <f aca="false">IF($A82="","",AL81-AM81)</f>
        <v>#N/A</v>
      </c>
      <c r="AO81" s="137" t="n">
        <f aca="false">IF(A82="","",A82-A81)</f>
        <v>31</v>
      </c>
      <c r="AP81" s="212" t="n">
        <f aca="false">IF(A82="","",CHOOSE(F$3,A82+24,A81))</f>
        <v>39203</v>
      </c>
      <c r="AQ81" s="209" t="n">
        <f aca="false">IF(A82="","",AP81-$E$1)</f>
        <v>-6723</v>
      </c>
      <c r="AR81" s="185" t="n">
        <f aca="false">IF(Summary!$H$2=1,VLOOKUP('ANR OK vs ML7'!A81,Curves!$C$17:$AR$273,MATCH('ANR OK vs ML7'!$AR$4,Curves!$C$8:$AQ$8,0)),0.1)</f>
        <v>0.1</v>
      </c>
      <c r="AS81" s="213" t="n">
        <f aca="false">IF(A82="","",1/(1+CHOOSE(F$3,(AR82+($I$3/10000))/2,(AR81+($I$3/10000))/2))^(2*AQ81/365.25))</f>
        <v>6.02621564810102</v>
      </c>
      <c r="AT81" s="137" t="n">
        <f aca="false">IF(A82="","",IF(AND(mthbeg&lt;=A81,mthend&gt;=A81),1,0))</f>
        <v>1</v>
      </c>
      <c r="AU81" s="137" t="n">
        <f aca="false">IF(A82="","",AO81*AT81)</f>
        <v>31</v>
      </c>
      <c r="AW81" s="195" t="e">
        <f aca="false">IF($A82="","",AL81*$E81)</f>
        <v>#NAME?</v>
      </c>
      <c r="AX81" s="195" t="e">
        <f aca="false">IF($A82="","",AM81*$E81)</f>
        <v>#N/A</v>
      </c>
      <c r="AY81" s="195" t="e">
        <f aca="false">IF($A82="","",AN81*$E81)</f>
        <v>#N/A</v>
      </c>
      <c r="BA81" s="195" t="n">
        <f aca="false">IF($A82="","",F81*Summary!$Q$7)</f>
        <v>0</v>
      </c>
      <c r="BC81" s="179" t="e">
        <f aca="false">IF(A82="","",AM81*F81)</f>
        <v>#N/A</v>
      </c>
    </row>
    <row r="82" customFormat="false" ht="12.75" hidden="false" customHeight="false" outlineLevel="0" collapsed="false">
      <c r="A82" s="196" t="n">
        <f aca="false">IF(A81&lt;mthend,EDATE(A81,1),"")</f>
        <v>39234</v>
      </c>
      <c r="B82" s="197" t="n">
        <f aca="false">IF(A82&lt;mthend,B81,"")</f>
        <v>40000</v>
      </c>
      <c r="C82" s="215"/>
      <c r="D82" s="197" t="n">
        <f aca="false">IF(A83&lt;&gt;"",B82+C82,"")</f>
        <v>40000</v>
      </c>
      <c r="E82" s="199" t="n">
        <f aca="false">IF(A83="","",IF(AND(AT82=1,$H$3=1),D82*AO82,IF($H$3=2,D82,"N/A")))</f>
        <v>1200000</v>
      </c>
      <c r="F82" s="199" t="n">
        <f aca="false">IF(A83="","",E82*AS82)</f>
        <v>7171815.36392633</v>
      </c>
      <c r="G82" s="200" t="e">
        <f aca="false">IF($A83="","",VLOOKUP($A82,Table,MATCH(G$4,Curves,0)))</f>
        <v>#N/A</v>
      </c>
      <c r="H82" s="201" t="e">
        <f aca="false">IF(A83="","",G82)</f>
        <v>#N/A</v>
      </c>
      <c r="I82" s="202"/>
      <c r="J82" s="200" t="e">
        <f aca="false">IF($A83="","",VLOOKUP($A82,Table,MATCH(J$4,Curves,0)))</f>
        <v>#N/A</v>
      </c>
      <c r="K82" s="201" t="e">
        <f aca="false">IF(A83="","",J82)</f>
        <v>#N/A</v>
      </c>
      <c r="L82" s="200" t="e">
        <f aca="false">IF($A83="","",VLOOKUP($A82,Table,MATCH(L$4,Curves,0)))</f>
        <v>#N/A</v>
      </c>
      <c r="M82" s="201" t="e">
        <f aca="false">IF(A83="","",L82)</f>
        <v>#N/A</v>
      </c>
      <c r="N82" s="203"/>
      <c r="O82" s="200" t="e">
        <f aca="false">IF(A83="","",L82+J82+G82)</f>
        <v>#N/A</v>
      </c>
      <c r="P82" s="200" t="e">
        <f aca="false">IF(A83="","",M82+K82+H82)</f>
        <v>#N/A</v>
      </c>
      <c r="Q82" s="204"/>
      <c r="R82" s="200" t="e">
        <f aca="false">IF($A83="","",VLOOKUP($A82,Table,MATCH(R$4,Curves,0)))</f>
        <v>#N/A</v>
      </c>
      <c r="S82" s="201" t="e">
        <f aca="false">IF(A83="","",R82)</f>
        <v>#N/A</v>
      </c>
      <c r="T82" s="200" t="e">
        <f aca="false">IF($A83="","",VLOOKUP($A82,Table,MATCH(T$4,Curves,0)))</f>
        <v>#N/A</v>
      </c>
      <c r="U82" s="201" t="e">
        <f aca="false">IF(A83="","",T82)</f>
        <v>#N/A</v>
      </c>
      <c r="V82" s="183" t="e">
        <f aca="false">IF($A83="","",IF(AND(MONTH(A82)&gt;3,MONTH(A82)&lt;11),(T82+R82+G82)*Summary!$T$7/(1-Summary!$T$7),(T82+R82+G82)*Summary!$U$7/(1-Summary!$U$7)))</f>
        <v>#N/A</v>
      </c>
      <c r="W82" s="200" t="e">
        <f aca="false">IF($A83="","",(T82+R82+G82+V82))</f>
        <v>#N/A</v>
      </c>
      <c r="X82" s="200" t="e">
        <f aca="false">IF($A83="","",(U82+S82+H82+V82))</f>
        <v>#N/A</v>
      </c>
      <c r="Y82" s="202"/>
      <c r="Z82" s="185" t="e">
        <f aca="false">IF($A83="","",VLOOKUP($A82,Table,MATCH(Z$4,Curves,0)))</f>
        <v>#N/A</v>
      </c>
      <c r="AA82" s="185" t="e">
        <f aca="false">IF($A83="","",VLOOKUP($A82,Table,MATCH(AA$4,Curves,0)))</f>
        <v>#N/A</v>
      </c>
      <c r="AB82" s="185" t="e">
        <f aca="false">SQRT((AA82^2*(A82-$D$3)+Z82^2*(DAY(EOMONTH(A82,0))/2))/AK82)</f>
        <v>#N/A</v>
      </c>
      <c r="AC82" s="185" t="e">
        <f aca="false">IF($A83="","",VLOOKUP($A82,Table,MATCH(AC$4,Curves,0)))</f>
        <v>#N/A</v>
      </c>
      <c r="AD82" s="185" t="e">
        <f aca="false">IF($A83="","",VLOOKUP($A82,Table,MATCH(AD$4,Curves,0)))</f>
        <v>#N/A</v>
      </c>
      <c r="AE82" s="185" t="e">
        <f aca="false">SQRT((AD82^2*(A82-$D$3)+AC82^2*(DAY(EOMONTH(A82,0))/2))/AK82)</f>
        <v>#N/A</v>
      </c>
      <c r="AF82" s="206" t="e">
        <f aca="false">((Summary!$N$7*(AA82*AD82)*(A82-$D$3))+(Summary!$M$7*Z82*AC82*(DAY(EOMONTH(A82,0))/2)))/(AK82*AB82*AE82)</f>
        <v>#N/A</v>
      </c>
      <c r="AG82" s="207" t="n">
        <f aca="false">IF($A83="","",Summary!$Q$7)</f>
        <v>0</v>
      </c>
      <c r="AH82" s="207" t="n">
        <f aca="false">IF($A83="","",IF(Summary!$R$7="Y",(VLOOKUP($A82,Summary!$AD$6:$AF$9,3)+'Escalating commodity'!C95),'Escalating commodity'!C95))</f>
        <v>0.0224952</v>
      </c>
      <c r="AI82" s="207" t="n">
        <f aca="false">IF($A83="","",AH82)</f>
        <v>0.0224952</v>
      </c>
      <c r="AJ82" s="208" t="n">
        <f aca="false">A82+DAY(EOMONTH(A82,0))/2-1</f>
        <v>39248</v>
      </c>
      <c r="AK82" s="209" t="n">
        <f aca="false">IF($A83="","",$A82-$E$1)</f>
        <v>-6692</v>
      </c>
      <c r="AL82" s="182" t="e">
        <f aca="false">IF($A83="","",SPRDOPT(P82,X82,AI82,0,AB82,AE82,AF82,AK82,$AJ$2,0))</f>
        <v>#NAME?</v>
      </c>
      <c r="AM82" s="210" t="e">
        <f aca="false">IF($A83="","",MAX(0,O82-W82-AI82))</f>
        <v>#N/A</v>
      </c>
      <c r="AN82" s="211" t="e">
        <f aca="false">IF($A83="","",AL82-AM82)</f>
        <v>#N/A</v>
      </c>
      <c r="AO82" s="137" t="n">
        <f aca="false">IF(A83="","",A83-A82)</f>
        <v>30</v>
      </c>
      <c r="AP82" s="212" t="n">
        <f aca="false">IF(A83="","",CHOOSE(F$3,A83+24,A82))</f>
        <v>39234</v>
      </c>
      <c r="AQ82" s="209" t="n">
        <f aca="false">IF(A83="","",AP82-$E$1)</f>
        <v>-6692</v>
      </c>
      <c r="AR82" s="185" t="n">
        <f aca="false">IF(Summary!$H$2=1,VLOOKUP('ANR OK vs ML7'!A82,Curves!$C$17:$AR$273,MATCH('ANR OK vs ML7'!$AR$4,Curves!$C$8:$AQ$8,0)),0.1)</f>
        <v>0.1</v>
      </c>
      <c r="AS82" s="213" t="n">
        <f aca="false">IF(A83="","",1/(1+CHOOSE(F$3,(AR83+($I$3/10000))/2,(AR82+($I$3/10000))/2))^(2*AQ82/365.25))</f>
        <v>5.97651280327195</v>
      </c>
      <c r="AT82" s="137" t="n">
        <f aca="false">IF(A83="","",IF(AND(mthbeg&lt;=A82,mthend&gt;=A82),1,0))</f>
        <v>1</v>
      </c>
      <c r="AU82" s="137" t="n">
        <f aca="false">IF(A83="","",AO82*AT82)</f>
        <v>30</v>
      </c>
      <c r="AW82" s="195" t="e">
        <f aca="false">IF($A83="","",AL82*$E82)</f>
        <v>#NAME?</v>
      </c>
      <c r="AX82" s="195" t="e">
        <f aca="false">IF($A83="","",AM82*$E82)</f>
        <v>#N/A</v>
      </c>
      <c r="AY82" s="195" t="e">
        <f aca="false">IF($A83="","",AN82*$E82)</f>
        <v>#N/A</v>
      </c>
      <c r="BA82" s="195" t="n">
        <f aca="false">IF($A83="","",F82*Summary!$Q$7)</f>
        <v>0</v>
      </c>
      <c r="BC82" s="179" t="e">
        <f aca="false">IF(A83="","",AM82*F82)</f>
        <v>#N/A</v>
      </c>
    </row>
    <row r="83" customFormat="false" ht="12.75" hidden="false" customHeight="false" outlineLevel="0" collapsed="false">
      <c r="A83" s="196" t="n">
        <f aca="false">IF(A82&lt;mthend,EDATE(A82,1),"")</f>
        <v>39264</v>
      </c>
      <c r="B83" s="197" t="n">
        <f aca="false">IF(A83&lt;mthend,B82,"")</f>
        <v>40000</v>
      </c>
      <c r="C83" s="215"/>
      <c r="D83" s="197" t="n">
        <f aca="false">IF(A84&lt;&gt;"",B83+C83,"")</f>
        <v>40000</v>
      </c>
      <c r="E83" s="199" t="n">
        <f aca="false">IF(A84="","",IF(AND(AT83=1,$H$3=1),D83*AO83,IF($H$3=2,D83,"N/A")))</f>
        <v>1240000</v>
      </c>
      <c r="F83" s="199" t="n">
        <f aca="false">IF(A84="","",E83*AS83)</f>
        <v>7351716.49620013</v>
      </c>
      <c r="G83" s="200" t="e">
        <f aca="false">IF($A84="","",VLOOKUP($A83,Table,MATCH(G$4,Curves,0)))</f>
        <v>#N/A</v>
      </c>
      <c r="H83" s="201" t="e">
        <f aca="false">IF(A84="","",G83)</f>
        <v>#N/A</v>
      </c>
      <c r="I83" s="202"/>
      <c r="J83" s="200" t="e">
        <f aca="false">IF($A84="","",VLOOKUP($A83,Table,MATCH(J$4,Curves,0)))</f>
        <v>#N/A</v>
      </c>
      <c r="K83" s="201" t="e">
        <f aca="false">IF(A84="","",J83)</f>
        <v>#N/A</v>
      </c>
      <c r="L83" s="200" t="e">
        <f aca="false">IF($A84="","",VLOOKUP($A83,Table,MATCH(L$4,Curves,0)))</f>
        <v>#N/A</v>
      </c>
      <c r="M83" s="201" t="e">
        <f aca="false">IF(A84="","",L83)</f>
        <v>#N/A</v>
      </c>
      <c r="N83" s="203"/>
      <c r="O83" s="200" t="e">
        <f aca="false">IF(A84="","",L83+J83+G83)</f>
        <v>#N/A</v>
      </c>
      <c r="P83" s="200" t="e">
        <f aca="false">IF(A84="","",M83+K83+H83)</f>
        <v>#N/A</v>
      </c>
      <c r="Q83" s="204"/>
      <c r="R83" s="200" t="e">
        <f aca="false">IF($A84="","",VLOOKUP($A83,Table,MATCH(R$4,Curves,0)))</f>
        <v>#N/A</v>
      </c>
      <c r="S83" s="201" t="e">
        <f aca="false">IF(A84="","",R83)</f>
        <v>#N/A</v>
      </c>
      <c r="T83" s="200" t="e">
        <f aca="false">IF($A84="","",VLOOKUP($A83,Table,MATCH(T$4,Curves,0)))</f>
        <v>#N/A</v>
      </c>
      <c r="U83" s="201" t="e">
        <f aca="false">IF(A84="","",T83)</f>
        <v>#N/A</v>
      </c>
      <c r="V83" s="183" t="e">
        <f aca="false">IF($A84="","",IF(AND(MONTH(A83)&gt;3,MONTH(A83)&lt;11),(T83+R83+G83)*Summary!$T$7/(1-Summary!$T$7),(T83+R83+G83)*Summary!$U$7/(1-Summary!$U$7)))</f>
        <v>#N/A</v>
      </c>
      <c r="W83" s="200" t="e">
        <f aca="false">IF($A84="","",(T83+R83+G83+V83))</f>
        <v>#N/A</v>
      </c>
      <c r="X83" s="200" t="e">
        <f aca="false">IF($A84="","",(U83+S83+H83+V83))</f>
        <v>#N/A</v>
      </c>
      <c r="Y83" s="202"/>
      <c r="Z83" s="185" t="e">
        <f aca="false">IF($A84="","",VLOOKUP($A83,Table,MATCH(Z$4,Curves,0)))</f>
        <v>#N/A</v>
      </c>
      <c r="AA83" s="185" t="e">
        <f aca="false">IF($A84="","",VLOOKUP($A83,Table,MATCH(AA$4,Curves,0)))</f>
        <v>#N/A</v>
      </c>
      <c r="AB83" s="185" t="e">
        <f aca="false">SQRT((AA83^2*(A83-$D$3)+Z83^2*(DAY(EOMONTH(A83,0))/2))/AK83)</f>
        <v>#N/A</v>
      </c>
      <c r="AC83" s="185" t="e">
        <f aca="false">IF($A84="","",VLOOKUP($A83,Table,MATCH(AC$4,Curves,0)))</f>
        <v>#N/A</v>
      </c>
      <c r="AD83" s="185" t="e">
        <f aca="false">IF($A84="","",VLOOKUP($A83,Table,MATCH(AD$4,Curves,0)))</f>
        <v>#N/A</v>
      </c>
      <c r="AE83" s="185" t="e">
        <f aca="false">SQRT((AD83^2*(A83-$D$3)+AC83^2*(DAY(EOMONTH(A83,0))/2))/AK83)</f>
        <v>#N/A</v>
      </c>
      <c r="AF83" s="206" t="e">
        <f aca="false">((Summary!$N$7*(AA83*AD83)*(A83-$D$3))+(Summary!$M$7*Z83*AC83*(DAY(EOMONTH(A83,0))/2)))/(AK83*AB83*AE83)</f>
        <v>#N/A</v>
      </c>
      <c r="AG83" s="207" t="n">
        <f aca="false">IF($A84="","",Summary!$Q$7)</f>
        <v>0</v>
      </c>
      <c r="AH83" s="207" t="n">
        <f aca="false">IF($A84="","",IF(Summary!$R$7="Y",(VLOOKUP($A83,Summary!$AD$6:$AF$9,3)+'Escalating commodity'!C96),'Escalating commodity'!C96))</f>
        <v>0.0224952</v>
      </c>
      <c r="AI83" s="207" t="n">
        <f aca="false">IF($A84="","",AH83)</f>
        <v>0.0224952</v>
      </c>
      <c r="AJ83" s="208" t="n">
        <f aca="false">A83+DAY(EOMONTH(A83,0))/2-1</f>
        <v>39278.5</v>
      </c>
      <c r="AK83" s="209" t="n">
        <f aca="false">IF($A84="","",$A83-$E$1)</f>
        <v>-6662</v>
      </c>
      <c r="AL83" s="182" t="e">
        <f aca="false">IF($A84="","",SPRDOPT(P83,X83,AI83,0,AB83,AE83,AF83,AK83,$AJ$2,0))</f>
        <v>#NAME?</v>
      </c>
      <c r="AM83" s="210" t="e">
        <f aca="false">IF($A84="","",MAX(0,O83-W83-AI83))</f>
        <v>#N/A</v>
      </c>
      <c r="AN83" s="211" t="e">
        <f aca="false">IF($A84="","",AL83-AM83)</f>
        <v>#N/A</v>
      </c>
      <c r="AO83" s="137" t="n">
        <f aca="false">IF(A84="","",A84-A83)</f>
        <v>31</v>
      </c>
      <c r="AP83" s="212" t="n">
        <f aca="false">IF(A84="","",CHOOSE(F$3,A84+24,A83))</f>
        <v>39264</v>
      </c>
      <c r="AQ83" s="209" t="n">
        <f aca="false">IF(A84="","",AP83-$E$1)</f>
        <v>-6662</v>
      </c>
      <c r="AR83" s="185" t="n">
        <f aca="false">IF(Summary!$H$2=1,VLOOKUP('ANR OK vs ML7'!A83,Curves!$C$17:$AR$273,MATCH('ANR OK vs ML7'!$AR$4,Curves!$C$8:$AQ$8,0)),0.1)</f>
        <v>0.1</v>
      </c>
      <c r="AS83" s="213" t="n">
        <f aca="false">IF(A84="","",1/(1+CHOOSE(F$3,(AR84+($I$3/10000))/2,(AR83+($I$3/10000))/2))^(2*AQ83/365.25))</f>
        <v>5.92880362596785</v>
      </c>
      <c r="AT83" s="137" t="n">
        <f aca="false">IF(A84="","",IF(AND(mthbeg&lt;=A83,mthend&gt;=A83),1,0))</f>
        <v>1</v>
      </c>
      <c r="AU83" s="137" t="n">
        <f aca="false">IF(A84="","",AO83*AT83)</f>
        <v>31</v>
      </c>
      <c r="AW83" s="195" t="e">
        <f aca="false">IF($A84="","",AL83*$E83)</f>
        <v>#NAME?</v>
      </c>
      <c r="AX83" s="195" t="e">
        <f aca="false">IF($A84="","",AM83*$E83)</f>
        <v>#N/A</v>
      </c>
      <c r="AY83" s="195" t="e">
        <f aca="false">IF($A84="","",AN83*$E83)</f>
        <v>#N/A</v>
      </c>
      <c r="BA83" s="195" t="n">
        <f aca="false">IF($A84="","",F83*Summary!$Q$7)</f>
        <v>0</v>
      </c>
      <c r="BC83" s="179" t="e">
        <f aca="false">IF(A84="","",AM83*F83)</f>
        <v>#N/A</v>
      </c>
    </row>
    <row r="84" customFormat="false" ht="12.75" hidden="false" customHeight="false" outlineLevel="0" collapsed="false">
      <c r="A84" s="196" t="n">
        <f aca="false">IF(A83&lt;mthend,EDATE(A83,1),"")</f>
        <v>39295</v>
      </c>
      <c r="B84" s="197" t="n">
        <f aca="false">IF(A84&lt;mthend,B83,"")</f>
        <v>40000</v>
      </c>
      <c r="C84" s="215"/>
      <c r="D84" s="197" t="n">
        <f aca="false">IF(A85&lt;&gt;"",B84+C84,"")</f>
        <v>40000</v>
      </c>
      <c r="E84" s="199" t="n">
        <f aca="false">IF(A85="","",IF(AND(AT84=1,$H$3=1),D84*AO84,IF($H$3=2,D84,"N/A")))</f>
        <v>1240000</v>
      </c>
      <c r="F84" s="199" t="n">
        <f aca="false">IF(A85="","",E84*AS84)</f>
        <v>7291081.22431883</v>
      </c>
      <c r="G84" s="200" t="e">
        <f aca="false">IF($A85="","",VLOOKUP($A84,Table,MATCH(G$4,Curves,0)))</f>
        <v>#N/A</v>
      </c>
      <c r="H84" s="201" t="e">
        <f aca="false">IF(A85="","",G84)</f>
        <v>#N/A</v>
      </c>
      <c r="I84" s="202"/>
      <c r="J84" s="200" t="e">
        <f aca="false">IF($A85="","",VLOOKUP($A84,Table,MATCH(J$4,Curves,0)))</f>
        <v>#N/A</v>
      </c>
      <c r="K84" s="201" t="e">
        <f aca="false">IF(A85="","",J84)</f>
        <v>#N/A</v>
      </c>
      <c r="L84" s="200" t="e">
        <f aca="false">IF($A85="","",VLOOKUP($A84,Table,MATCH(L$4,Curves,0)))</f>
        <v>#N/A</v>
      </c>
      <c r="M84" s="201" t="e">
        <f aca="false">IF(A85="","",L84)</f>
        <v>#N/A</v>
      </c>
      <c r="N84" s="203"/>
      <c r="O84" s="200" t="e">
        <f aca="false">IF(A85="","",L84+J84+G84)</f>
        <v>#N/A</v>
      </c>
      <c r="P84" s="200" t="e">
        <f aca="false">IF(A85="","",M84+K84+H84)</f>
        <v>#N/A</v>
      </c>
      <c r="Q84" s="204"/>
      <c r="R84" s="200" t="e">
        <f aca="false">IF($A85="","",VLOOKUP($A84,Table,MATCH(R$4,Curves,0)))</f>
        <v>#N/A</v>
      </c>
      <c r="S84" s="201" t="e">
        <f aca="false">IF(A85="","",R84)</f>
        <v>#N/A</v>
      </c>
      <c r="T84" s="200" t="e">
        <f aca="false">IF($A85="","",VLOOKUP($A84,Table,MATCH(T$4,Curves,0)))</f>
        <v>#N/A</v>
      </c>
      <c r="U84" s="201" t="e">
        <f aca="false">IF(A85="","",T84)</f>
        <v>#N/A</v>
      </c>
      <c r="V84" s="183" t="e">
        <f aca="false">IF($A85="","",IF(AND(MONTH(A84)&gt;3,MONTH(A84)&lt;11),(T84+R84+G84)*Summary!$T$7/(1-Summary!$T$7),(T84+R84+G84)*Summary!$U$7/(1-Summary!$U$7)))</f>
        <v>#N/A</v>
      </c>
      <c r="W84" s="200" t="e">
        <f aca="false">IF($A85="","",(T84+R84+G84+V84))</f>
        <v>#N/A</v>
      </c>
      <c r="X84" s="200" t="e">
        <f aca="false">IF($A85="","",(U84+S84+H84+V84))</f>
        <v>#N/A</v>
      </c>
      <c r="Y84" s="202"/>
      <c r="Z84" s="185" t="e">
        <f aca="false">IF($A85="","",VLOOKUP($A84,Table,MATCH(Z$4,Curves,0)))</f>
        <v>#N/A</v>
      </c>
      <c r="AA84" s="185" t="e">
        <f aca="false">IF($A85="","",VLOOKUP($A84,Table,MATCH(AA$4,Curves,0)))</f>
        <v>#N/A</v>
      </c>
      <c r="AB84" s="185" t="e">
        <f aca="false">SQRT((AA84^2*(A84-$D$3)+Z84^2*(DAY(EOMONTH(A84,0))/2))/AK84)</f>
        <v>#N/A</v>
      </c>
      <c r="AC84" s="185" t="e">
        <f aca="false">IF($A85="","",VLOOKUP($A84,Table,MATCH(AC$4,Curves,0)))</f>
        <v>#N/A</v>
      </c>
      <c r="AD84" s="185" t="e">
        <f aca="false">IF($A85="","",VLOOKUP($A84,Table,MATCH(AD$4,Curves,0)))</f>
        <v>#N/A</v>
      </c>
      <c r="AE84" s="185" t="e">
        <f aca="false">SQRT((AD84^2*(A84-$D$3)+AC84^2*(DAY(EOMONTH(A84,0))/2))/AK84)</f>
        <v>#N/A</v>
      </c>
      <c r="AF84" s="206" t="e">
        <f aca="false">((Summary!$N$7*(AA84*AD84)*(A84-$D$3))+(Summary!$M$7*Z84*AC84*(DAY(EOMONTH(A84,0))/2)))/(AK84*AB84*AE84)</f>
        <v>#N/A</v>
      </c>
      <c r="AG84" s="207" t="n">
        <f aca="false">IF($A85="","",Summary!$Q$7)</f>
        <v>0</v>
      </c>
      <c r="AH84" s="207" t="n">
        <f aca="false">IF($A85="","",IF(Summary!$R$7="Y",(VLOOKUP($A84,Summary!$AD$6:$AF$9,3)+'Escalating commodity'!C97),'Escalating commodity'!C97))</f>
        <v>0.0224952</v>
      </c>
      <c r="AI84" s="207" t="n">
        <f aca="false">IF($A85="","",AH84)</f>
        <v>0.0224952</v>
      </c>
      <c r="AJ84" s="208" t="n">
        <f aca="false">A84+DAY(EOMONTH(A84,0))/2-1</f>
        <v>39309.5</v>
      </c>
      <c r="AK84" s="209" t="n">
        <f aca="false">IF($A85="","",$A84-$E$1)</f>
        <v>-6631</v>
      </c>
      <c r="AL84" s="182" t="e">
        <f aca="false">IF($A85="","",SPRDOPT(P84,X84,AI84,0,AB84,AE84,AF84,AK84,$AJ$2,0))</f>
        <v>#NAME?</v>
      </c>
      <c r="AM84" s="210" t="e">
        <f aca="false">IF($A85="","",MAX(0,O84-W84-AI84))</f>
        <v>#N/A</v>
      </c>
      <c r="AN84" s="211" t="e">
        <f aca="false">IF($A85="","",AL84-AM84)</f>
        <v>#N/A</v>
      </c>
      <c r="AO84" s="137" t="n">
        <f aca="false">IF(A85="","",A85-A84)</f>
        <v>31</v>
      </c>
      <c r="AP84" s="212" t="n">
        <f aca="false">IF(A85="","",CHOOSE(F$3,A85+24,A84))</f>
        <v>39295</v>
      </c>
      <c r="AQ84" s="209" t="n">
        <f aca="false">IF(A85="","",AP84-$E$1)</f>
        <v>-6631</v>
      </c>
      <c r="AR84" s="185" t="n">
        <f aca="false">IF(Summary!$H$2=1,VLOOKUP('ANR OK vs ML7'!A84,Curves!$C$17:$AR$273,MATCH('ANR OK vs ML7'!$AR$4,Curves!$C$8:$AQ$8,0)),0.1)</f>
        <v>0.1</v>
      </c>
      <c r="AS84" s="213" t="n">
        <f aca="false">IF(A85="","",1/(1+CHOOSE(F$3,(AR85+($I$3/10000))/2,(AR84+($I$3/10000))/2))^(2*AQ84/365.25))</f>
        <v>5.87990421316034</v>
      </c>
      <c r="AT84" s="137" t="n">
        <f aca="false">IF(A85="","",IF(AND(mthbeg&lt;=A84,mthend&gt;=A84),1,0))</f>
        <v>1</v>
      </c>
      <c r="AU84" s="137" t="n">
        <f aca="false">IF(A85="","",AO84*AT84)</f>
        <v>31</v>
      </c>
      <c r="AW84" s="195" t="e">
        <f aca="false">IF($A85="","",AL84*$E84)</f>
        <v>#NAME?</v>
      </c>
      <c r="AX84" s="195" t="e">
        <f aca="false">IF($A85="","",AM84*$E84)</f>
        <v>#N/A</v>
      </c>
      <c r="AY84" s="195" t="e">
        <f aca="false">IF($A85="","",AN84*$E84)</f>
        <v>#N/A</v>
      </c>
      <c r="BA84" s="195" t="n">
        <f aca="false">IF($A85="","",F84*Summary!$Q$7)</f>
        <v>0</v>
      </c>
      <c r="BC84" s="179" t="e">
        <f aca="false">IF(A85="","",AM84*F84)</f>
        <v>#N/A</v>
      </c>
    </row>
    <row r="85" customFormat="false" ht="12.75" hidden="false" customHeight="false" outlineLevel="0" collapsed="false">
      <c r="A85" s="196" t="n">
        <f aca="false">IF(A84&lt;mthend,EDATE(A84,1),"")</f>
        <v>39326</v>
      </c>
      <c r="B85" s="197" t="n">
        <f aca="false">IF(A85&lt;mthend,B84,"")</f>
        <v>40000</v>
      </c>
      <c r="C85" s="215"/>
      <c r="D85" s="197" t="n">
        <f aca="false">IF(A86&lt;&gt;"",B85+C85,"")</f>
        <v>40000</v>
      </c>
      <c r="E85" s="199" t="n">
        <f aca="false">IF(A86="","",IF(AND(AT85=1,$H$3=1),D85*AO85,IF($H$3=2,D85,"N/A")))</f>
        <v>1200000</v>
      </c>
      <c r="F85" s="199" t="n">
        <f aca="false">IF(A86="","",E85*AS85)</f>
        <v>6997689.7337962</v>
      </c>
      <c r="G85" s="200" t="e">
        <f aca="false">IF($A86="","",VLOOKUP($A85,Table,MATCH(G$4,Curves,0)))</f>
        <v>#N/A</v>
      </c>
      <c r="H85" s="201" t="e">
        <f aca="false">IF(A86="","",G85)</f>
        <v>#N/A</v>
      </c>
      <c r="I85" s="202"/>
      <c r="J85" s="200" t="e">
        <f aca="false">IF($A86="","",VLOOKUP($A85,Table,MATCH(J$4,Curves,0)))</f>
        <v>#N/A</v>
      </c>
      <c r="K85" s="201" t="e">
        <f aca="false">IF(A86="","",J85)</f>
        <v>#N/A</v>
      </c>
      <c r="L85" s="200" t="e">
        <f aca="false">IF($A86="","",VLOOKUP($A85,Table,MATCH(L$4,Curves,0)))</f>
        <v>#N/A</v>
      </c>
      <c r="M85" s="201" t="e">
        <f aca="false">IF(A86="","",L85)</f>
        <v>#N/A</v>
      </c>
      <c r="N85" s="203"/>
      <c r="O85" s="200" t="e">
        <f aca="false">IF(A86="","",L85+J85+G85)</f>
        <v>#N/A</v>
      </c>
      <c r="P85" s="200" t="e">
        <f aca="false">IF(A86="","",M85+K85+H85)</f>
        <v>#N/A</v>
      </c>
      <c r="Q85" s="204"/>
      <c r="R85" s="200" t="e">
        <f aca="false">IF($A86="","",VLOOKUP($A85,Table,MATCH(R$4,Curves,0)))</f>
        <v>#N/A</v>
      </c>
      <c r="S85" s="201" t="e">
        <f aca="false">IF(A86="","",R85)</f>
        <v>#N/A</v>
      </c>
      <c r="T85" s="200" t="e">
        <f aca="false">IF($A86="","",VLOOKUP($A85,Table,MATCH(T$4,Curves,0)))</f>
        <v>#N/A</v>
      </c>
      <c r="U85" s="201" t="e">
        <f aca="false">IF(A86="","",T85)</f>
        <v>#N/A</v>
      </c>
      <c r="V85" s="183" t="e">
        <f aca="false">IF($A86="","",IF(AND(MONTH(A85)&gt;3,MONTH(A85)&lt;11),(T85+R85+G85)*Summary!$T$7/(1-Summary!$T$7),(T85+R85+G85)*Summary!$U$7/(1-Summary!$U$7)))</f>
        <v>#N/A</v>
      </c>
      <c r="W85" s="200" t="e">
        <f aca="false">IF($A86="","",(T85+R85+G85+V85))</f>
        <v>#N/A</v>
      </c>
      <c r="X85" s="200" t="e">
        <f aca="false">IF($A86="","",(U85+S85+H85+V85))</f>
        <v>#N/A</v>
      </c>
      <c r="Y85" s="202"/>
      <c r="Z85" s="185" t="e">
        <f aca="false">IF($A86="","",VLOOKUP($A85,Table,MATCH(Z$4,Curves,0)))</f>
        <v>#N/A</v>
      </c>
      <c r="AA85" s="185" t="e">
        <f aca="false">IF($A86="","",VLOOKUP($A85,Table,MATCH(AA$4,Curves,0)))</f>
        <v>#N/A</v>
      </c>
      <c r="AB85" s="185" t="e">
        <f aca="false">SQRT((AA85^2*(A85-$D$3)+Z85^2*(DAY(EOMONTH(A85,0))/2))/AK85)</f>
        <v>#N/A</v>
      </c>
      <c r="AC85" s="185" t="e">
        <f aca="false">IF($A86="","",VLOOKUP($A85,Table,MATCH(AC$4,Curves,0)))</f>
        <v>#N/A</v>
      </c>
      <c r="AD85" s="185" t="e">
        <f aca="false">IF($A86="","",VLOOKUP($A85,Table,MATCH(AD$4,Curves,0)))</f>
        <v>#N/A</v>
      </c>
      <c r="AE85" s="185" t="e">
        <f aca="false">SQRT((AD85^2*(A85-$D$3)+AC85^2*(DAY(EOMONTH(A85,0))/2))/AK85)</f>
        <v>#N/A</v>
      </c>
      <c r="AF85" s="206" t="e">
        <f aca="false">((Summary!$N$7*(AA85*AD85)*(A85-$D$3))+(Summary!$M$7*Z85*AC85*(DAY(EOMONTH(A85,0))/2)))/(AK85*AB85*AE85)</f>
        <v>#N/A</v>
      </c>
      <c r="AG85" s="207" t="n">
        <f aca="false">IF($A86="","",Summary!$Q$7)</f>
        <v>0</v>
      </c>
      <c r="AH85" s="207" t="n">
        <f aca="false">IF($A86="","",IF(Summary!$R$7="Y",(VLOOKUP($A85,Summary!$AD$6:$AF$9,3)+'Escalating commodity'!C98),'Escalating commodity'!C98))</f>
        <v>0.0224952</v>
      </c>
      <c r="AI85" s="207" t="n">
        <f aca="false">IF($A86="","",AH85)</f>
        <v>0.0224952</v>
      </c>
      <c r="AJ85" s="208" t="n">
        <f aca="false">A85+DAY(EOMONTH(A85,0))/2-1</f>
        <v>39340</v>
      </c>
      <c r="AK85" s="209" t="n">
        <f aca="false">IF($A86="","",$A85-$E$1)</f>
        <v>-6600</v>
      </c>
      <c r="AL85" s="182" t="e">
        <f aca="false">IF($A86="","",SPRDOPT(P85,X85,AI85,0,AB85,AE85,AF85,AK85,$AJ$2,0))</f>
        <v>#NAME?</v>
      </c>
      <c r="AM85" s="210" t="e">
        <f aca="false">IF($A86="","",MAX(0,O85-W85-AI85))</f>
        <v>#N/A</v>
      </c>
      <c r="AN85" s="211" t="e">
        <f aca="false">IF($A86="","",AL85-AM85)</f>
        <v>#N/A</v>
      </c>
      <c r="AO85" s="137" t="n">
        <f aca="false">IF(A86="","",A86-A85)</f>
        <v>30</v>
      </c>
      <c r="AP85" s="212" t="n">
        <f aca="false">IF(A86="","",CHOOSE(F$3,A86+24,A85))</f>
        <v>39326</v>
      </c>
      <c r="AQ85" s="209" t="n">
        <f aca="false">IF(A86="","",AP85-$E$1)</f>
        <v>-6600</v>
      </c>
      <c r="AR85" s="185" t="n">
        <f aca="false">IF(Summary!$H$2=1,VLOOKUP('ANR OK vs ML7'!A85,Curves!$C$17:$AR$273,MATCH('ANR OK vs ML7'!$AR$4,Curves!$C$8:$AQ$8,0)),0.1)</f>
        <v>0.1</v>
      </c>
      <c r="AS85" s="213" t="n">
        <f aca="false">IF(A86="","",1/(1+CHOOSE(F$3,(AR86+($I$3/10000))/2,(AR85+($I$3/10000))/2))^(2*AQ85/365.25))</f>
        <v>5.83140811149684</v>
      </c>
      <c r="AT85" s="137" t="n">
        <f aca="false">IF(A86="","",IF(AND(mthbeg&lt;=A85,mthend&gt;=A85),1,0))</f>
        <v>1</v>
      </c>
      <c r="AU85" s="137" t="n">
        <f aca="false">IF(A86="","",AO85*AT85)</f>
        <v>30</v>
      </c>
      <c r="AW85" s="195" t="e">
        <f aca="false">IF($A86="","",AL85*$E85)</f>
        <v>#NAME?</v>
      </c>
      <c r="AX85" s="195" t="e">
        <f aca="false">IF($A86="","",AM85*$E85)</f>
        <v>#N/A</v>
      </c>
      <c r="AY85" s="195" t="e">
        <f aca="false">IF($A86="","",AN85*$E85)</f>
        <v>#N/A</v>
      </c>
      <c r="BA85" s="195" t="n">
        <f aca="false">IF($A86="","",F85*Summary!$Q$7)</f>
        <v>0</v>
      </c>
      <c r="BC85" s="179" t="e">
        <f aca="false">IF(A86="","",AM85*F85)</f>
        <v>#N/A</v>
      </c>
    </row>
    <row r="86" customFormat="false" ht="12.75" hidden="false" customHeight="false" outlineLevel="0" collapsed="false">
      <c r="A86" s="196" t="n">
        <f aca="false">IF(A85&lt;mthend,EDATE(A85,1),"")</f>
        <v>39356</v>
      </c>
      <c r="B86" s="197" t="n">
        <f aca="false">IF(A86&lt;mthend,B85,"")</f>
        <v>40000</v>
      </c>
      <c r="C86" s="215"/>
      <c r="D86" s="197" t="n">
        <f aca="false">IF(A87&lt;&gt;"",B86+C86,"")</f>
        <v>40000</v>
      </c>
      <c r="E86" s="199" t="n">
        <f aca="false">IF(A87="","",IF(AND(AT86=1,$H$3=1),D86*AO86,IF($H$3=2,D86,"N/A")))</f>
        <v>1240000</v>
      </c>
      <c r="F86" s="199" t="n">
        <f aca="false">IF(A87="","",E86*AS86)</f>
        <v>7173223.01826178</v>
      </c>
      <c r="G86" s="200" t="e">
        <f aca="false">IF($A87="","",VLOOKUP($A86,Table,MATCH(G$4,Curves,0)))</f>
        <v>#N/A</v>
      </c>
      <c r="H86" s="201" t="e">
        <f aca="false">IF(A87="","",G86)</f>
        <v>#N/A</v>
      </c>
      <c r="I86" s="202"/>
      <c r="J86" s="200" t="e">
        <f aca="false">IF($A87="","",VLOOKUP($A86,Table,MATCH(J$4,Curves,0)))</f>
        <v>#N/A</v>
      </c>
      <c r="K86" s="201" t="e">
        <f aca="false">IF(A87="","",J86)</f>
        <v>#N/A</v>
      </c>
      <c r="L86" s="200" t="e">
        <f aca="false">IF($A87="","",VLOOKUP($A86,Table,MATCH(L$4,Curves,0)))</f>
        <v>#N/A</v>
      </c>
      <c r="M86" s="201" t="e">
        <f aca="false">IF(A87="","",L86)</f>
        <v>#N/A</v>
      </c>
      <c r="N86" s="203"/>
      <c r="O86" s="200" t="e">
        <f aca="false">IF(A87="","",L86+J86+G86)</f>
        <v>#N/A</v>
      </c>
      <c r="P86" s="200" t="e">
        <f aca="false">IF(A87="","",M86+K86+H86)</f>
        <v>#N/A</v>
      </c>
      <c r="Q86" s="204"/>
      <c r="R86" s="200" t="e">
        <f aca="false">IF($A87="","",VLOOKUP($A86,Table,MATCH(R$4,Curves,0)))</f>
        <v>#N/A</v>
      </c>
      <c r="S86" s="201" t="e">
        <f aca="false">IF(A87="","",R86)</f>
        <v>#N/A</v>
      </c>
      <c r="T86" s="200" t="e">
        <f aca="false">IF($A87="","",VLOOKUP($A86,Table,MATCH(T$4,Curves,0)))</f>
        <v>#N/A</v>
      </c>
      <c r="U86" s="201" t="e">
        <f aca="false">IF(A87="","",T86)</f>
        <v>#N/A</v>
      </c>
      <c r="V86" s="183" t="e">
        <f aca="false">IF($A87="","",IF(AND(MONTH(A86)&gt;3,MONTH(A86)&lt;11),(T86+R86+G86)*Summary!$T$7/(1-Summary!$T$7),(T86+R86+G86)*Summary!$U$7/(1-Summary!$U$7)))</f>
        <v>#N/A</v>
      </c>
      <c r="W86" s="200" t="e">
        <f aca="false">IF($A87="","",(T86+R86+G86+V86))</f>
        <v>#N/A</v>
      </c>
      <c r="X86" s="200" t="e">
        <f aca="false">IF($A87="","",(U86+S86+H86+V86))</f>
        <v>#N/A</v>
      </c>
      <c r="Y86" s="202"/>
      <c r="Z86" s="185" t="e">
        <f aca="false">IF($A87="","",VLOOKUP($A86,Table,MATCH(Z$4,Curves,0)))</f>
        <v>#N/A</v>
      </c>
      <c r="AA86" s="185" t="e">
        <f aca="false">IF($A87="","",VLOOKUP($A86,Table,MATCH(AA$4,Curves,0)))</f>
        <v>#N/A</v>
      </c>
      <c r="AB86" s="185" t="e">
        <f aca="false">SQRT((AA86^2*(A86-$D$3)+Z86^2*(DAY(EOMONTH(A86,0))/2))/AK86)</f>
        <v>#N/A</v>
      </c>
      <c r="AC86" s="185" t="e">
        <f aca="false">IF($A87="","",VLOOKUP($A86,Table,MATCH(AC$4,Curves,0)))</f>
        <v>#N/A</v>
      </c>
      <c r="AD86" s="185" t="e">
        <f aca="false">IF($A87="","",VLOOKUP($A86,Table,MATCH(AD$4,Curves,0)))</f>
        <v>#N/A</v>
      </c>
      <c r="AE86" s="185" t="e">
        <f aca="false">SQRT((AD86^2*(A86-$D$3)+AC86^2*(DAY(EOMONTH(A86,0))/2))/AK86)</f>
        <v>#N/A</v>
      </c>
      <c r="AF86" s="206" t="e">
        <f aca="false">((Summary!$N$7*(AA86*AD86)*(A86-$D$3))+(Summary!$M$7*Z86*AC86*(DAY(EOMONTH(A86,0))/2)))/(AK86*AB86*AE86)</f>
        <v>#N/A</v>
      </c>
      <c r="AG86" s="207" t="n">
        <f aca="false">IF($A87="","",Summary!$Q$7)</f>
        <v>0</v>
      </c>
      <c r="AH86" s="207" t="n">
        <f aca="false">IF($A87="","",IF(Summary!$R$7="Y",(VLOOKUP($A86,Summary!$AD$6:$AF$9,3)+'Escalating commodity'!C99),'Escalating commodity'!C99))</f>
        <v>0.0224952</v>
      </c>
      <c r="AI86" s="207" t="n">
        <f aca="false">IF($A87="","",AH86)</f>
        <v>0.0224952</v>
      </c>
      <c r="AJ86" s="208" t="n">
        <f aca="false">A86+DAY(EOMONTH(A86,0))/2-1</f>
        <v>39370.5</v>
      </c>
      <c r="AK86" s="209" t="n">
        <f aca="false">IF($A87="","",$A86-$E$1)</f>
        <v>-6570</v>
      </c>
      <c r="AL86" s="182" t="e">
        <f aca="false">IF($A87="","",SPRDOPT(P86,X86,AI86,0,AB86,AE86,AF86,AK86,$AJ$2,0))</f>
        <v>#NAME?</v>
      </c>
      <c r="AM86" s="210" t="e">
        <f aca="false">IF($A87="","",MAX(0,O86-W86-AI86))</f>
        <v>#N/A</v>
      </c>
      <c r="AN86" s="211" t="e">
        <f aca="false">IF($A87="","",AL86-AM86)</f>
        <v>#N/A</v>
      </c>
      <c r="AO86" s="137" t="n">
        <f aca="false">IF(A87="","",A87-A86)</f>
        <v>31</v>
      </c>
      <c r="AP86" s="212" t="n">
        <f aca="false">IF(A87="","",CHOOSE(F$3,A87+24,A86))</f>
        <v>39356</v>
      </c>
      <c r="AQ86" s="209" t="n">
        <f aca="false">IF(A87="","",AP86-$E$1)</f>
        <v>-6570</v>
      </c>
      <c r="AR86" s="185" t="n">
        <f aca="false">IF(Summary!$H$2=1,VLOOKUP('ANR OK vs ML7'!A86,Curves!$C$17:$AR$273,MATCH('ANR OK vs ML7'!$AR$4,Curves!$C$8:$AQ$8,0)),0.1)</f>
        <v>0.1</v>
      </c>
      <c r="AS86" s="213" t="n">
        <f aca="false">IF(A87="","",1/(1+CHOOSE(F$3,(AR87+($I$3/10000))/2,(AR86+($I$3/10000))/2))^(2*AQ86/365.25))</f>
        <v>5.78485727279176</v>
      </c>
      <c r="AT86" s="137" t="n">
        <f aca="false">IF(A87="","",IF(AND(mthbeg&lt;=A86,mthend&gt;=A86),1,0))</f>
        <v>1</v>
      </c>
      <c r="AU86" s="137" t="n">
        <f aca="false">IF(A87="","",AO86*AT86)</f>
        <v>31</v>
      </c>
      <c r="AW86" s="195" t="e">
        <f aca="false">IF($A87="","",AL86*$E86)</f>
        <v>#NAME?</v>
      </c>
      <c r="AX86" s="195" t="e">
        <f aca="false">IF($A87="","",AM86*$E86)</f>
        <v>#N/A</v>
      </c>
      <c r="AY86" s="195" t="e">
        <f aca="false">IF($A87="","",AN86*$E86)</f>
        <v>#N/A</v>
      </c>
      <c r="BA86" s="195" t="n">
        <f aca="false">IF($A87="","",F86*Summary!$Q$7)</f>
        <v>0</v>
      </c>
      <c r="BC86" s="179" t="e">
        <f aca="false">IF(A87="","",AM86*F86)</f>
        <v>#N/A</v>
      </c>
    </row>
    <row r="87" customFormat="false" ht="12.75" hidden="false" customHeight="false" outlineLevel="0" collapsed="false">
      <c r="A87" s="196" t="n">
        <f aca="false">IF(A86&lt;mthend,EDATE(A86,1),"")</f>
        <v>39387</v>
      </c>
      <c r="B87" s="197" t="n">
        <f aca="false">IF(A87&lt;mthend,B86,"")</f>
        <v>40000</v>
      </c>
      <c r="C87" s="215"/>
      <c r="D87" s="197" t="n">
        <f aca="false">IF(A88&lt;&gt;"",B87+C87,"")</f>
        <v>40000</v>
      </c>
      <c r="E87" s="199" t="n">
        <f aca="false">IF(A88="","",IF(AND(AT87=1,$H$3=1),D87*AO87,IF($H$3=2,D87,"N/A")))</f>
        <v>1200000</v>
      </c>
      <c r="F87" s="199" t="n">
        <f aca="false">IF(A88="","",E87*AS87)</f>
        <v>6884574.1157973</v>
      </c>
      <c r="G87" s="200" t="e">
        <f aca="false">IF($A88="","",VLOOKUP($A87,Table,MATCH(G$4,Curves,0)))</f>
        <v>#N/A</v>
      </c>
      <c r="H87" s="201" t="e">
        <f aca="false">IF(A88="","",G87)</f>
        <v>#N/A</v>
      </c>
      <c r="I87" s="202"/>
      <c r="J87" s="200" t="e">
        <f aca="false">IF($A88="","",VLOOKUP($A87,Table,MATCH(J$4,Curves,0)))</f>
        <v>#N/A</v>
      </c>
      <c r="K87" s="201" t="e">
        <f aca="false">IF(A88="","",J87)</f>
        <v>#N/A</v>
      </c>
      <c r="L87" s="200" t="e">
        <f aca="false">IF($A88="","",VLOOKUP($A87,Table,MATCH(L$4,Curves,0)))</f>
        <v>#N/A</v>
      </c>
      <c r="M87" s="201" t="e">
        <f aca="false">IF(A88="","",L87)</f>
        <v>#N/A</v>
      </c>
      <c r="N87" s="203"/>
      <c r="O87" s="200" t="e">
        <f aca="false">IF(A88="","",L87+J87+G87)</f>
        <v>#N/A</v>
      </c>
      <c r="P87" s="200" t="e">
        <f aca="false">IF(A88="","",M87+K87+H87)</f>
        <v>#N/A</v>
      </c>
      <c r="Q87" s="204"/>
      <c r="R87" s="200" t="e">
        <f aca="false">IF($A88="","",VLOOKUP($A87,Table,MATCH(R$4,Curves,0)))</f>
        <v>#N/A</v>
      </c>
      <c r="S87" s="201" t="e">
        <f aca="false">IF(A88="","",R87)</f>
        <v>#N/A</v>
      </c>
      <c r="T87" s="200" t="e">
        <f aca="false">IF($A88="","",VLOOKUP($A87,Table,MATCH(T$4,Curves,0)))</f>
        <v>#N/A</v>
      </c>
      <c r="U87" s="201" t="e">
        <f aca="false">IF(A88="","",T87)</f>
        <v>#N/A</v>
      </c>
      <c r="V87" s="183" t="e">
        <f aca="false">IF($A88="","",IF(AND(MONTH(A87)&gt;3,MONTH(A87)&lt;11),(T87+R87+G87)*Summary!$T$7/(1-Summary!$T$7),(T87+R87+G87)*Summary!$U$7/(1-Summary!$U$7)))</f>
        <v>#N/A</v>
      </c>
      <c r="W87" s="200" t="e">
        <f aca="false">IF($A88="","",(T87+R87+G87+V87))</f>
        <v>#N/A</v>
      </c>
      <c r="X87" s="200" t="e">
        <f aca="false">IF($A88="","",(U87+S87+H87+V87))</f>
        <v>#N/A</v>
      </c>
      <c r="Y87" s="202"/>
      <c r="Z87" s="185" t="e">
        <f aca="false">IF($A88="","",VLOOKUP($A87,Table,MATCH(Z$4,Curves,0)))</f>
        <v>#N/A</v>
      </c>
      <c r="AA87" s="185" t="e">
        <f aca="false">IF($A88="","",VLOOKUP($A87,Table,MATCH(AA$4,Curves,0)))</f>
        <v>#N/A</v>
      </c>
      <c r="AB87" s="185" t="e">
        <f aca="false">SQRT((AA87^2*(A87-$D$3)+Z87^2*(DAY(EOMONTH(A87,0))/2))/AK87)</f>
        <v>#N/A</v>
      </c>
      <c r="AC87" s="185" t="e">
        <f aca="false">IF($A88="","",VLOOKUP($A87,Table,MATCH(AC$4,Curves,0)))</f>
        <v>#N/A</v>
      </c>
      <c r="AD87" s="185" t="e">
        <f aca="false">IF($A88="","",VLOOKUP($A87,Table,MATCH(AD$4,Curves,0)))</f>
        <v>#N/A</v>
      </c>
      <c r="AE87" s="185" t="e">
        <f aca="false">SQRT((AD87^2*(A87-$D$3)+AC87^2*(DAY(EOMONTH(A87,0))/2))/AK87)</f>
        <v>#N/A</v>
      </c>
      <c r="AF87" s="206" t="e">
        <f aca="false">((Summary!$N$7*(AA87*AD87)*(A87-$D$3))+(Summary!$M$7*Z87*AC87*(DAY(EOMONTH(A87,0))/2)))/(AK87*AB87*AE87)</f>
        <v>#N/A</v>
      </c>
      <c r="AG87" s="207" t="n">
        <f aca="false">IF($A88="","",Summary!$Q$7)</f>
        <v>0</v>
      </c>
      <c r="AH87" s="207" t="n">
        <f aca="false">IF($A88="","",IF(Summary!$R$7="Y",(VLOOKUP($A87,Summary!$AD$6:$AF$9,3)+'Escalating commodity'!C100),'Escalating commodity'!C100))</f>
        <v>0.0224952</v>
      </c>
      <c r="AI87" s="207" t="n">
        <f aca="false">IF($A88="","",AH87)</f>
        <v>0.0224952</v>
      </c>
      <c r="AJ87" s="208" t="n">
        <f aca="false">A87+DAY(EOMONTH(A87,0))/2-1</f>
        <v>39401</v>
      </c>
      <c r="AK87" s="209" t="n">
        <f aca="false">IF($A88="","",$A87-$E$1)</f>
        <v>-6539</v>
      </c>
      <c r="AL87" s="182" t="e">
        <f aca="false">IF($A88="","",SPRDOPT(P87,X87,AI87,0,AB87,AE87,AF87,AK87,$AJ$2,0))</f>
        <v>#NAME?</v>
      </c>
      <c r="AM87" s="210" t="e">
        <f aca="false">IF($A88="","",MAX(0,O87-W87-AI87))</f>
        <v>#N/A</v>
      </c>
      <c r="AN87" s="211" t="e">
        <f aca="false">IF($A88="","",AL87-AM87)</f>
        <v>#N/A</v>
      </c>
      <c r="AO87" s="137" t="n">
        <f aca="false">IF(A88="","",A88-A87)</f>
        <v>30</v>
      </c>
      <c r="AP87" s="212" t="n">
        <f aca="false">IF(A88="","",CHOOSE(F$3,A88+24,A87))</f>
        <v>39387</v>
      </c>
      <c r="AQ87" s="209" t="n">
        <f aca="false">IF(A88="","",AP87-$E$1)</f>
        <v>-6539</v>
      </c>
      <c r="AR87" s="185" t="n">
        <f aca="false">IF(Summary!$H$2=1,VLOOKUP('ANR OK vs ML7'!A87,Curves!$C$17:$AR$273,MATCH('ANR OK vs ML7'!$AR$4,Curves!$C$8:$AQ$8,0)),0.1)</f>
        <v>0.1</v>
      </c>
      <c r="AS87" s="213" t="n">
        <f aca="false">IF(A88="","",1/(1+CHOOSE(F$3,(AR88+($I$3/10000))/2,(AR87+($I$3/10000))/2))^(2*AQ87/365.25))</f>
        <v>5.73714509649775</v>
      </c>
      <c r="AT87" s="137" t="n">
        <f aca="false">IF(A88="","",IF(AND(mthbeg&lt;=A87,mthend&gt;=A87),1,0))</f>
        <v>1</v>
      </c>
      <c r="AU87" s="137" t="n">
        <f aca="false">IF(A88="","",AO87*AT87)</f>
        <v>30</v>
      </c>
      <c r="AW87" s="195" t="e">
        <f aca="false">IF($A88="","",AL87*$E87)</f>
        <v>#NAME?</v>
      </c>
      <c r="AX87" s="195" t="e">
        <f aca="false">IF($A88="","",AM87*$E87)</f>
        <v>#N/A</v>
      </c>
      <c r="AY87" s="195" t="e">
        <f aca="false">IF($A88="","",AN87*$E87)</f>
        <v>#N/A</v>
      </c>
      <c r="BA87" s="195" t="n">
        <f aca="false">IF($A88="","",F87*Summary!$Q$7)</f>
        <v>0</v>
      </c>
      <c r="BC87" s="179" t="e">
        <f aca="false">IF(A88="","",AM87*F87)</f>
        <v>#N/A</v>
      </c>
    </row>
    <row r="88" customFormat="false" ht="12.75" hidden="false" customHeight="false" outlineLevel="0" collapsed="false">
      <c r="A88" s="196" t="n">
        <f aca="false">IF(A87&lt;mthend,EDATE(A87,1),"")</f>
        <v>39417</v>
      </c>
      <c r="B88" s="197" t="n">
        <f aca="false">IF(A88&lt;mthend,B87,"")</f>
        <v>40000</v>
      </c>
      <c r="C88" s="215"/>
      <c r="D88" s="197" t="n">
        <f aca="false">IF(A89&lt;&gt;"",B88+C88,"")</f>
        <v>40000</v>
      </c>
      <c r="E88" s="199" t="n">
        <f aca="false">IF(A89="","",IF(AND(AT88=1,$H$3=1),D88*AO88,IF($H$3=2,D88,"N/A")))</f>
        <v>1240000</v>
      </c>
      <c r="F88" s="199" t="n">
        <f aca="false">IF(A89="","",E88*AS88)</f>
        <v>7057269.9558052</v>
      </c>
      <c r="G88" s="200" t="e">
        <f aca="false">IF($A89="","",VLOOKUP($A88,Table,MATCH(G$4,Curves,0)))</f>
        <v>#N/A</v>
      </c>
      <c r="H88" s="201" t="e">
        <f aca="false">IF(A89="","",G88)</f>
        <v>#N/A</v>
      </c>
      <c r="I88" s="202"/>
      <c r="J88" s="200" t="e">
        <f aca="false">IF($A89="","",VLOOKUP($A88,Table,MATCH(J$4,Curves,0)))</f>
        <v>#N/A</v>
      </c>
      <c r="K88" s="201" t="e">
        <f aca="false">IF(A89="","",J88)</f>
        <v>#N/A</v>
      </c>
      <c r="L88" s="200" t="e">
        <f aca="false">IF($A89="","",VLOOKUP($A88,Table,MATCH(L$4,Curves,0)))</f>
        <v>#N/A</v>
      </c>
      <c r="M88" s="201" t="e">
        <f aca="false">IF(A89="","",L88)</f>
        <v>#N/A</v>
      </c>
      <c r="N88" s="203"/>
      <c r="O88" s="200" t="e">
        <f aca="false">IF(A89="","",L88+J88+G88)</f>
        <v>#N/A</v>
      </c>
      <c r="P88" s="200" t="e">
        <f aca="false">IF(A89="","",M88+K88+H88)</f>
        <v>#N/A</v>
      </c>
      <c r="Q88" s="204"/>
      <c r="R88" s="200" t="e">
        <f aca="false">IF($A89="","",VLOOKUP($A88,Table,MATCH(R$4,Curves,0)))</f>
        <v>#N/A</v>
      </c>
      <c r="S88" s="201" t="e">
        <f aca="false">IF(A89="","",R88)</f>
        <v>#N/A</v>
      </c>
      <c r="T88" s="200" t="e">
        <f aca="false">IF($A89="","",VLOOKUP($A88,Table,MATCH(T$4,Curves,0)))</f>
        <v>#N/A</v>
      </c>
      <c r="U88" s="201" t="e">
        <f aca="false">IF(A89="","",T88)</f>
        <v>#N/A</v>
      </c>
      <c r="V88" s="183" t="e">
        <f aca="false">IF($A89="","",IF(AND(MONTH(A88)&gt;3,MONTH(A88)&lt;11),(T88+R88+G88)*Summary!$T$7/(1-Summary!$T$7),(T88+R88+G88)*Summary!$U$7/(1-Summary!$U$7)))</f>
        <v>#N/A</v>
      </c>
      <c r="W88" s="200" t="e">
        <f aca="false">IF($A89="","",(T88+R88+G88+V88))</f>
        <v>#N/A</v>
      </c>
      <c r="X88" s="200" t="e">
        <f aca="false">IF($A89="","",(U88+S88+H88+V88))</f>
        <v>#N/A</v>
      </c>
      <c r="Y88" s="202"/>
      <c r="Z88" s="185" t="e">
        <f aca="false">IF($A89="","",VLOOKUP($A88,Table,MATCH(Z$4,Curves,0)))</f>
        <v>#N/A</v>
      </c>
      <c r="AA88" s="185" t="e">
        <f aca="false">IF($A89="","",VLOOKUP($A88,Table,MATCH(AA$4,Curves,0)))</f>
        <v>#N/A</v>
      </c>
      <c r="AB88" s="185" t="e">
        <f aca="false">SQRT((AA88^2*(A88-$D$3)+Z88^2*(DAY(EOMONTH(A88,0))/2))/AK88)</f>
        <v>#N/A</v>
      </c>
      <c r="AC88" s="185" t="e">
        <f aca="false">IF($A89="","",VLOOKUP($A88,Table,MATCH(AC$4,Curves,0)))</f>
        <v>#N/A</v>
      </c>
      <c r="AD88" s="185" t="e">
        <f aca="false">IF($A89="","",VLOOKUP($A88,Table,MATCH(AD$4,Curves,0)))</f>
        <v>#N/A</v>
      </c>
      <c r="AE88" s="185" t="e">
        <f aca="false">SQRT((AD88^2*(A88-$D$3)+AC88^2*(DAY(EOMONTH(A88,0))/2))/AK88)</f>
        <v>#N/A</v>
      </c>
      <c r="AF88" s="206" t="e">
        <f aca="false">((Summary!$N$7*(AA88*AD88)*(A88-$D$3))+(Summary!$M$7*Z88*AC88*(DAY(EOMONTH(A88,0))/2)))/(AK88*AB88*AE88)</f>
        <v>#N/A</v>
      </c>
      <c r="AG88" s="207" t="n">
        <f aca="false">IF($A89="","",Summary!$Q$7)</f>
        <v>0</v>
      </c>
      <c r="AH88" s="207" t="n">
        <f aca="false">IF($A89="","",IF(Summary!$R$7="Y",(VLOOKUP($A88,Summary!$AD$6:$AF$9,3)+'Escalating commodity'!C101),'Escalating commodity'!C101))</f>
        <v>0.0224952</v>
      </c>
      <c r="AI88" s="207" t="n">
        <f aca="false">IF($A89="","",AH88)</f>
        <v>0.0224952</v>
      </c>
      <c r="AJ88" s="208" t="n">
        <f aca="false">A88+DAY(EOMONTH(A88,0))/2-1</f>
        <v>39431.5</v>
      </c>
      <c r="AK88" s="209" t="n">
        <f aca="false">IF($A89="","",$A88-$E$1)</f>
        <v>-6509</v>
      </c>
      <c r="AL88" s="182" t="e">
        <f aca="false">IF($A89="","",SPRDOPT(P88,X88,AI88,0,AB88,AE88,AF88,AK88,$AJ$2,0))</f>
        <v>#NAME?</v>
      </c>
      <c r="AM88" s="210" t="e">
        <f aca="false">IF($A89="","",MAX(0,O88-W88-AI88))</f>
        <v>#N/A</v>
      </c>
      <c r="AN88" s="211" t="e">
        <f aca="false">IF($A89="","",AL88-AM88)</f>
        <v>#N/A</v>
      </c>
      <c r="AO88" s="137" t="n">
        <f aca="false">IF(A89="","",A89-A88)</f>
        <v>31</v>
      </c>
      <c r="AP88" s="212" t="n">
        <f aca="false">IF(A89="","",CHOOSE(F$3,A89+24,A88))</f>
        <v>39417</v>
      </c>
      <c r="AQ88" s="209" t="n">
        <f aca="false">IF(A89="","",AP88-$E$1)</f>
        <v>-6509</v>
      </c>
      <c r="AR88" s="185" t="n">
        <f aca="false">IF(Summary!$H$2=1,VLOOKUP('ANR OK vs ML7'!A88,Curves!$C$17:$AR$273,MATCH('ANR OK vs ML7'!$AR$4,Curves!$C$8:$AQ$8,0)),0.1)</f>
        <v>0.1</v>
      </c>
      <c r="AS88" s="213" t="n">
        <f aca="false">IF(A89="","",1/(1+CHOOSE(F$3,(AR89+($I$3/10000))/2,(AR88+($I$3/10000))/2))^(2*AQ88/365.25))</f>
        <v>5.69134673855258</v>
      </c>
      <c r="AT88" s="137" t="n">
        <f aca="false">IF(A89="","",IF(AND(mthbeg&lt;=A88,mthend&gt;=A88),1,0))</f>
        <v>1</v>
      </c>
      <c r="AU88" s="137" t="n">
        <f aca="false">IF(A89="","",AO88*AT88)</f>
        <v>31</v>
      </c>
      <c r="AW88" s="195" t="e">
        <f aca="false">IF($A89="","",AL88*$E88)</f>
        <v>#NAME?</v>
      </c>
      <c r="AX88" s="195" t="e">
        <f aca="false">IF($A89="","",AM88*$E88)</f>
        <v>#N/A</v>
      </c>
      <c r="AY88" s="195" t="e">
        <f aca="false">IF($A89="","",AN88*$E88)</f>
        <v>#N/A</v>
      </c>
      <c r="BA88" s="195" t="n">
        <f aca="false">IF($A89="","",F88*Summary!$Q$7)</f>
        <v>0</v>
      </c>
      <c r="BC88" s="179" t="e">
        <f aca="false">IF(A89="","",AM88*F88)</f>
        <v>#N/A</v>
      </c>
    </row>
    <row r="89" customFormat="false" ht="12.75" hidden="false" customHeight="false" outlineLevel="0" collapsed="false">
      <c r="A89" s="196" t="n">
        <f aca="false">IF(A88&lt;mthend,EDATE(A88,1),"")</f>
        <v>39448</v>
      </c>
      <c r="B89" s="197" t="n">
        <f aca="false">IF(A89&lt;mthend,B88,"")</f>
        <v>40000</v>
      </c>
      <c r="C89" s="215"/>
      <c r="D89" s="197" t="n">
        <f aca="false">IF(A90&lt;&gt;"",B89+C89,"")</f>
        <v>40000</v>
      </c>
      <c r="E89" s="199" t="n">
        <f aca="false">IF(A90="","",IF(AND(AT89=1,$H$3=1),D89*AO89,IF($H$3=2,D89,"N/A")))</f>
        <v>1240000</v>
      </c>
      <c r="F89" s="199" t="n">
        <f aca="false">IF(A90="","",E89*AS89)</f>
        <v>6999063.21147125</v>
      </c>
      <c r="G89" s="200" t="e">
        <f aca="false">IF($A90="","",VLOOKUP($A89,Table,MATCH(G$4,Curves,0)))</f>
        <v>#N/A</v>
      </c>
      <c r="H89" s="201" t="e">
        <f aca="false">IF(A90="","",G89)</f>
        <v>#N/A</v>
      </c>
      <c r="I89" s="202"/>
      <c r="J89" s="200" t="e">
        <f aca="false">IF($A90="","",VLOOKUP($A89,Table,MATCH(J$4,Curves,0)))</f>
        <v>#N/A</v>
      </c>
      <c r="K89" s="201" t="e">
        <f aca="false">IF(A90="","",J89)</f>
        <v>#N/A</v>
      </c>
      <c r="L89" s="200" t="e">
        <f aca="false">IF($A90="","",VLOOKUP($A89,Table,MATCH(L$4,Curves,0)))</f>
        <v>#N/A</v>
      </c>
      <c r="M89" s="201" t="e">
        <f aca="false">IF(A90="","",L89)</f>
        <v>#N/A</v>
      </c>
      <c r="N89" s="203"/>
      <c r="O89" s="200" t="e">
        <f aca="false">IF(A90="","",L89+J89+G89)</f>
        <v>#N/A</v>
      </c>
      <c r="P89" s="200" t="e">
        <f aca="false">IF(A90="","",M89+K89+H89)</f>
        <v>#N/A</v>
      </c>
      <c r="Q89" s="204"/>
      <c r="R89" s="200" t="e">
        <f aca="false">IF($A90="","",VLOOKUP($A89,Table,MATCH(R$4,Curves,0)))</f>
        <v>#N/A</v>
      </c>
      <c r="S89" s="201" t="e">
        <f aca="false">IF(A90="","",R89)</f>
        <v>#N/A</v>
      </c>
      <c r="T89" s="200" t="e">
        <f aca="false">IF($A90="","",VLOOKUP($A89,Table,MATCH(T$4,Curves,0)))</f>
        <v>#N/A</v>
      </c>
      <c r="U89" s="201" t="e">
        <f aca="false">IF(A90="","",T89)</f>
        <v>#N/A</v>
      </c>
      <c r="V89" s="183" t="e">
        <f aca="false">IF($A90="","",IF(AND(MONTH(A89)&gt;3,MONTH(A89)&lt;11),(T89+R89+G89)*Summary!$T$7/(1-Summary!$T$7),(T89+R89+G89)*Summary!$U$7/(1-Summary!$U$7)))</f>
        <v>#N/A</v>
      </c>
      <c r="W89" s="200" t="e">
        <f aca="false">IF($A90="","",(T89+R89+G89+V89))</f>
        <v>#N/A</v>
      </c>
      <c r="X89" s="200" t="e">
        <f aca="false">IF($A90="","",(U89+S89+H89+V89))</f>
        <v>#N/A</v>
      </c>
      <c r="Y89" s="202"/>
      <c r="Z89" s="185" t="e">
        <f aca="false">IF($A90="","",VLOOKUP($A89,Table,MATCH(Z$4,Curves,0)))</f>
        <v>#N/A</v>
      </c>
      <c r="AA89" s="185" t="e">
        <f aca="false">IF($A90="","",VLOOKUP($A89,Table,MATCH(AA$4,Curves,0)))</f>
        <v>#N/A</v>
      </c>
      <c r="AB89" s="185" t="e">
        <f aca="false">SQRT((AA89^2*(A89-$D$3)+Z89^2*(DAY(EOMONTH(A89,0))/2))/AK89)</f>
        <v>#N/A</v>
      </c>
      <c r="AC89" s="185" t="e">
        <f aca="false">IF($A90="","",VLOOKUP($A89,Table,MATCH(AC$4,Curves,0)))</f>
        <v>#N/A</v>
      </c>
      <c r="AD89" s="185" t="e">
        <f aca="false">IF($A90="","",VLOOKUP($A89,Table,MATCH(AD$4,Curves,0)))</f>
        <v>#N/A</v>
      </c>
      <c r="AE89" s="185" t="e">
        <f aca="false">SQRT((AD89^2*(A89-$D$3)+AC89^2*(DAY(EOMONTH(A89,0))/2))/AK89)</f>
        <v>#N/A</v>
      </c>
      <c r="AF89" s="206" t="e">
        <f aca="false">((Summary!$N$7*(AA89*AD89)*(A89-$D$3))+(Summary!$M$7*Z89*AC89*(DAY(EOMONTH(A89,0))/2)))/(AK89*AB89*AE89)</f>
        <v>#N/A</v>
      </c>
      <c r="AG89" s="207" t="n">
        <f aca="false">IF($A90="","",Summary!$Q$7)</f>
        <v>0</v>
      </c>
      <c r="AH89" s="207" t="n">
        <f aca="false">IF($A90="","",IF(Summary!$R$7="Y",(VLOOKUP($A89,Summary!$AD$6:$AF$9,3)+'Escalating commodity'!C102),'Escalating commodity'!C102))</f>
        <v>0.0224952</v>
      </c>
      <c r="AI89" s="207" t="n">
        <f aca="false">IF($A90="","",AH89)</f>
        <v>0.0224952</v>
      </c>
      <c r="AJ89" s="208" t="n">
        <f aca="false">A89+DAY(EOMONTH(A89,0))/2-1</f>
        <v>39462.5</v>
      </c>
      <c r="AK89" s="209" t="n">
        <f aca="false">IF($A90="","",$A89-$E$1)</f>
        <v>-6478</v>
      </c>
      <c r="AL89" s="182" t="e">
        <f aca="false">IF($A90="","",SPRDOPT(P89,X89,AI89,0,AB89,AE89,AF89,AK89,$AJ$2,0))</f>
        <v>#NAME?</v>
      </c>
      <c r="AM89" s="210" t="e">
        <f aca="false">IF($A90="","",MAX(0,O89-W89-AI89))</f>
        <v>#N/A</v>
      </c>
      <c r="AN89" s="211" t="e">
        <f aca="false">IF($A90="","",AL89-AM89)</f>
        <v>#N/A</v>
      </c>
      <c r="AO89" s="137" t="n">
        <f aca="false">IF(A90="","",A90-A89)</f>
        <v>31</v>
      </c>
      <c r="AP89" s="212" t="n">
        <f aca="false">IF(A90="","",CHOOSE(F$3,A90+24,A89))</f>
        <v>39448</v>
      </c>
      <c r="AQ89" s="209" t="n">
        <f aca="false">IF(A90="","",AP89-$E$1)</f>
        <v>-6478</v>
      </c>
      <c r="AR89" s="185" t="n">
        <f aca="false">IF(Summary!$H$2=1,VLOOKUP('ANR OK vs ML7'!A89,Curves!$C$17:$AR$273,MATCH('ANR OK vs ML7'!$AR$4,Curves!$C$8:$AQ$8,0)),0.1)</f>
        <v>0.1</v>
      </c>
      <c r="AS89" s="213" t="n">
        <f aca="false">IF(A90="","",1/(1+CHOOSE(F$3,(AR90+($I$3/10000))/2,(AR89+($I$3/10000))/2))^(2*AQ89/365.25))</f>
        <v>5.64440581570262</v>
      </c>
      <c r="AT89" s="137" t="n">
        <f aca="false">IF(A90="","",IF(AND(mthbeg&lt;=A89,mthend&gt;=A89),1,0))</f>
        <v>1</v>
      </c>
      <c r="AU89" s="137" t="n">
        <f aca="false">IF(A90="","",AO89*AT89)</f>
        <v>31</v>
      </c>
      <c r="AW89" s="195" t="e">
        <f aca="false">IF($A90="","",AL89*$E89)</f>
        <v>#NAME?</v>
      </c>
      <c r="AX89" s="195" t="e">
        <f aca="false">IF($A90="","",AM89*$E89)</f>
        <v>#N/A</v>
      </c>
      <c r="AY89" s="195" t="e">
        <f aca="false">IF($A90="","",AN89*$E89)</f>
        <v>#N/A</v>
      </c>
      <c r="BA89" s="195" t="n">
        <f aca="false">IF($A90="","",F89*Summary!$Q$7)</f>
        <v>0</v>
      </c>
      <c r="BC89" s="179" t="e">
        <f aca="false">IF(A90="","",AM89*F89)</f>
        <v>#N/A</v>
      </c>
    </row>
    <row r="90" customFormat="false" ht="12.75" hidden="false" customHeight="false" outlineLevel="0" collapsed="false">
      <c r="A90" s="196" t="n">
        <f aca="false">IF(A89&lt;mthend,EDATE(A89,1),"")</f>
        <v>39479</v>
      </c>
      <c r="B90" s="197" t="n">
        <f aca="false">IF(A90&lt;mthend,B89,"")</f>
        <v>40000</v>
      </c>
      <c r="C90" s="215"/>
      <c r="D90" s="197" t="n">
        <f aca="false">IF(A91&lt;&gt;"",B90+C90,"")</f>
        <v>40000</v>
      </c>
      <c r="E90" s="199" t="n">
        <f aca="false">IF(A91="","",IF(AND(AT90=1,$H$3=1),D90*AO90,IF($H$3=2,D90,"N/A")))</f>
        <v>1160000</v>
      </c>
      <c r="F90" s="199" t="n">
        <f aca="false">IF(A91="","",E90*AS90)</f>
        <v>6493508.37895187</v>
      </c>
      <c r="G90" s="200" t="e">
        <f aca="false">IF($A91="","",VLOOKUP($A90,Table,MATCH(G$4,Curves,0)))</f>
        <v>#N/A</v>
      </c>
      <c r="H90" s="201" t="e">
        <f aca="false">IF(A91="","",G90)</f>
        <v>#N/A</v>
      </c>
      <c r="I90" s="202"/>
      <c r="J90" s="200" t="e">
        <f aca="false">IF($A91="","",VLOOKUP($A90,Table,MATCH(J$4,Curves,0)))</f>
        <v>#N/A</v>
      </c>
      <c r="K90" s="201" t="e">
        <f aca="false">IF(A91="","",J90)</f>
        <v>#N/A</v>
      </c>
      <c r="L90" s="200" t="e">
        <f aca="false">IF($A91="","",VLOOKUP($A90,Table,MATCH(L$4,Curves,0)))</f>
        <v>#N/A</v>
      </c>
      <c r="M90" s="201" t="e">
        <f aca="false">IF(A91="","",L90)</f>
        <v>#N/A</v>
      </c>
      <c r="N90" s="203"/>
      <c r="O90" s="200" t="e">
        <f aca="false">IF(A91="","",L90+J90+G90)</f>
        <v>#N/A</v>
      </c>
      <c r="P90" s="200" t="e">
        <f aca="false">IF(A91="","",M90+K90+H90)</f>
        <v>#N/A</v>
      </c>
      <c r="Q90" s="204"/>
      <c r="R90" s="200" t="e">
        <f aca="false">IF($A91="","",VLOOKUP($A90,Table,MATCH(R$4,Curves,0)))</f>
        <v>#N/A</v>
      </c>
      <c r="S90" s="201" t="e">
        <f aca="false">IF(A91="","",R90)</f>
        <v>#N/A</v>
      </c>
      <c r="T90" s="200" t="e">
        <f aca="false">IF($A91="","",VLOOKUP($A90,Table,MATCH(T$4,Curves,0)))</f>
        <v>#N/A</v>
      </c>
      <c r="U90" s="201" t="e">
        <f aca="false">IF(A91="","",T90)</f>
        <v>#N/A</v>
      </c>
      <c r="V90" s="183" t="e">
        <f aca="false">IF($A91="","",IF(AND(MONTH(A90)&gt;3,MONTH(A90)&lt;11),(T90+R90+G90)*Summary!$T$7/(1-Summary!$T$7),(T90+R90+G90)*Summary!$U$7/(1-Summary!$U$7)))</f>
        <v>#N/A</v>
      </c>
      <c r="W90" s="200" t="e">
        <f aca="false">IF($A91="","",(T90+R90+G90+V90))</f>
        <v>#N/A</v>
      </c>
      <c r="X90" s="200" t="e">
        <f aca="false">IF($A91="","",(U90+S90+H90+V90))</f>
        <v>#N/A</v>
      </c>
      <c r="Y90" s="202"/>
      <c r="Z90" s="185" t="e">
        <f aca="false">IF($A91="","",VLOOKUP($A90,Table,MATCH(Z$4,Curves,0)))</f>
        <v>#N/A</v>
      </c>
      <c r="AA90" s="185" t="e">
        <f aca="false">IF($A91="","",VLOOKUP($A90,Table,MATCH(AA$4,Curves,0)))</f>
        <v>#N/A</v>
      </c>
      <c r="AB90" s="185" t="e">
        <f aca="false">SQRT((AA90^2*(A90-$D$3)+Z90^2*(DAY(EOMONTH(A90,0))/2))/AK90)</f>
        <v>#N/A</v>
      </c>
      <c r="AC90" s="185" t="e">
        <f aca="false">IF($A91="","",VLOOKUP($A90,Table,MATCH(AC$4,Curves,0)))</f>
        <v>#N/A</v>
      </c>
      <c r="AD90" s="185" t="e">
        <f aca="false">IF($A91="","",VLOOKUP($A90,Table,MATCH(AD$4,Curves,0)))</f>
        <v>#N/A</v>
      </c>
      <c r="AE90" s="185" t="e">
        <f aca="false">SQRT((AD90^2*(A90-$D$3)+AC90^2*(DAY(EOMONTH(A90,0))/2))/AK90)</f>
        <v>#N/A</v>
      </c>
      <c r="AF90" s="206" t="e">
        <f aca="false">((Summary!$N$7*(AA90*AD90)*(A90-$D$3))+(Summary!$M$7*Z90*AC90*(DAY(EOMONTH(A90,0))/2)))/(AK90*AB90*AE90)</f>
        <v>#N/A</v>
      </c>
      <c r="AG90" s="207" t="n">
        <f aca="false">IF($A91="","",Summary!$Q$7)</f>
        <v>0</v>
      </c>
      <c r="AH90" s="207" t="n">
        <f aca="false">IF($A91="","",IF(Summary!$R$7="Y",(VLOOKUP($A90,Summary!$AD$6:$AF$9,3)+'Escalating commodity'!C103),'Escalating commodity'!C103))</f>
        <v>0.0224952</v>
      </c>
      <c r="AI90" s="207" t="n">
        <f aca="false">IF($A91="","",AH90)</f>
        <v>0.0224952</v>
      </c>
      <c r="AJ90" s="208" t="n">
        <f aca="false">A90+DAY(EOMONTH(A90,0))/2-1</f>
        <v>39492.5</v>
      </c>
      <c r="AK90" s="209" t="n">
        <f aca="false">IF($A91="","",$A90-$E$1)</f>
        <v>-6447</v>
      </c>
      <c r="AL90" s="182" t="e">
        <f aca="false">IF($A91="","",SPRDOPT(P90,X90,AI90,0,AB90,AE90,AF90,AK90,$AJ$2,0))</f>
        <v>#NAME?</v>
      </c>
      <c r="AM90" s="210" t="e">
        <f aca="false">IF($A91="","",MAX(0,O90-W90-AI90))</f>
        <v>#N/A</v>
      </c>
      <c r="AN90" s="211" t="e">
        <f aca="false">IF($A91="","",AL90-AM90)</f>
        <v>#N/A</v>
      </c>
      <c r="AO90" s="137" t="n">
        <f aca="false">IF(A91="","",A91-A90)</f>
        <v>29</v>
      </c>
      <c r="AP90" s="212" t="n">
        <f aca="false">IF(A91="","",CHOOSE(F$3,A91+24,A90))</f>
        <v>39479</v>
      </c>
      <c r="AQ90" s="209" t="n">
        <f aca="false">IF(A91="","",AP90-$E$1)</f>
        <v>-6447</v>
      </c>
      <c r="AR90" s="185" t="n">
        <f aca="false">IF(Summary!$H$2=1,VLOOKUP('ANR OK vs ML7'!A90,Curves!$C$17:$AR$273,MATCH('ANR OK vs ML7'!$AR$4,Curves!$C$8:$AQ$8,0)),0.1)</f>
        <v>0.1</v>
      </c>
      <c r="AS90" s="213" t="n">
        <f aca="false">IF(A91="","",1/(1+CHOOSE(F$3,(AR91+($I$3/10000))/2,(AR90+($I$3/10000))/2))^(2*AQ90/365.25))</f>
        <v>5.59785205082057</v>
      </c>
      <c r="AT90" s="137" t="n">
        <f aca="false">IF(A91="","",IF(AND(mthbeg&lt;=A90,mthend&gt;=A90),1,0))</f>
        <v>1</v>
      </c>
      <c r="AU90" s="137" t="n">
        <f aca="false">IF(A91="","",AO90*AT90)</f>
        <v>29</v>
      </c>
      <c r="AW90" s="195" t="e">
        <f aca="false">IF($A91="","",AL90*$E90)</f>
        <v>#NAME?</v>
      </c>
      <c r="AX90" s="195" t="e">
        <f aca="false">IF($A91="","",AM90*$E90)</f>
        <v>#N/A</v>
      </c>
      <c r="AY90" s="195" t="e">
        <f aca="false">IF($A91="","",AN90*$E90)</f>
        <v>#N/A</v>
      </c>
      <c r="BA90" s="195" t="n">
        <f aca="false">IF($A91="","",F90*Summary!$Q$7)</f>
        <v>0</v>
      </c>
      <c r="BC90" s="179" t="e">
        <f aca="false">IF(A91="","",AM90*F90)</f>
        <v>#N/A</v>
      </c>
    </row>
    <row r="91" customFormat="false" ht="12.75" hidden="false" customHeight="false" outlineLevel="0" collapsed="false">
      <c r="A91" s="196" t="n">
        <f aca="false">IF(A90&lt;mthend,EDATE(A90,1),"")</f>
        <v>39508</v>
      </c>
      <c r="B91" s="197" t="n">
        <f aca="false">IF(A91&lt;mthend,B90,"")</f>
        <v>40000</v>
      </c>
      <c r="C91" s="215"/>
      <c r="D91" s="197" t="n">
        <f aca="false">IF(A92&lt;&gt;"",B91+C91,"")</f>
        <v>40000</v>
      </c>
      <c r="E91" s="199" t="n">
        <f aca="false">IF(A92="","",IF(AND(AT91=1,$H$3=1),D91*AO91,IF($H$3=2,D91,"N/A")))</f>
        <v>1240000</v>
      </c>
      <c r="F91" s="199" t="n">
        <f aca="false">IF(A92="","",E91*AS91)</f>
        <v>6887765.28380333</v>
      </c>
      <c r="G91" s="200" t="e">
        <f aca="false">IF($A92="","",VLOOKUP($A91,Table,MATCH(G$4,Curves,0)))</f>
        <v>#N/A</v>
      </c>
      <c r="H91" s="201" t="e">
        <f aca="false">IF(A92="","",G91)</f>
        <v>#N/A</v>
      </c>
      <c r="I91" s="202"/>
      <c r="J91" s="200" t="e">
        <f aca="false">IF($A92="","",VLOOKUP($A91,Table,MATCH(J$4,Curves,0)))</f>
        <v>#N/A</v>
      </c>
      <c r="K91" s="201" t="e">
        <f aca="false">IF(A92="","",J91)</f>
        <v>#N/A</v>
      </c>
      <c r="L91" s="200" t="e">
        <f aca="false">IF($A92="","",VLOOKUP($A91,Table,MATCH(L$4,Curves,0)))</f>
        <v>#N/A</v>
      </c>
      <c r="M91" s="201" t="e">
        <f aca="false">IF(A92="","",L91)</f>
        <v>#N/A</v>
      </c>
      <c r="N91" s="203"/>
      <c r="O91" s="200" t="e">
        <f aca="false">IF(A92="","",L91+J91+G91)</f>
        <v>#N/A</v>
      </c>
      <c r="P91" s="200" t="e">
        <f aca="false">IF(A92="","",M91+K91+H91)</f>
        <v>#N/A</v>
      </c>
      <c r="Q91" s="204"/>
      <c r="R91" s="200" t="e">
        <f aca="false">IF($A92="","",VLOOKUP($A91,Table,MATCH(R$4,Curves,0)))</f>
        <v>#N/A</v>
      </c>
      <c r="S91" s="201" t="e">
        <f aca="false">IF(A92="","",R91)</f>
        <v>#N/A</v>
      </c>
      <c r="T91" s="200" t="e">
        <f aca="false">IF($A92="","",VLOOKUP($A91,Table,MATCH(T$4,Curves,0)))</f>
        <v>#N/A</v>
      </c>
      <c r="U91" s="201" t="e">
        <f aca="false">IF(A92="","",T91)</f>
        <v>#N/A</v>
      </c>
      <c r="V91" s="183" t="e">
        <f aca="false">IF($A92="","",IF(AND(MONTH(A91)&gt;3,MONTH(A91)&lt;11),(T91+R91+G91)*Summary!$T$7/(1-Summary!$T$7),(T91+R91+G91)*Summary!$U$7/(1-Summary!$U$7)))</f>
        <v>#N/A</v>
      </c>
      <c r="W91" s="200" t="e">
        <f aca="false">IF($A92="","",(T91+R91+G91+V91))</f>
        <v>#N/A</v>
      </c>
      <c r="X91" s="200" t="e">
        <f aca="false">IF($A92="","",(U91+S91+H91+V91))</f>
        <v>#N/A</v>
      </c>
      <c r="Y91" s="202"/>
      <c r="Z91" s="185" t="e">
        <f aca="false">IF($A92="","",VLOOKUP($A91,Table,MATCH(Z$4,Curves,0)))</f>
        <v>#N/A</v>
      </c>
      <c r="AA91" s="185" t="e">
        <f aca="false">IF($A92="","",VLOOKUP($A91,Table,MATCH(AA$4,Curves,0)))</f>
        <v>#N/A</v>
      </c>
      <c r="AB91" s="185" t="e">
        <f aca="false">SQRT((AA91^2*(A91-$D$3)+Z91^2*(DAY(EOMONTH(A91,0))/2))/AK91)</f>
        <v>#N/A</v>
      </c>
      <c r="AC91" s="185" t="e">
        <f aca="false">IF($A92="","",VLOOKUP($A91,Table,MATCH(AC$4,Curves,0)))</f>
        <v>#N/A</v>
      </c>
      <c r="AD91" s="185" t="e">
        <f aca="false">IF($A92="","",VLOOKUP($A91,Table,MATCH(AD$4,Curves,0)))</f>
        <v>#N/A</v>
      </c>
      <c r="AE91" s="185" t="e">
        <f aca="false">SQRT((AD91^2*(A91-$D$3)+AC91^2*(DAY(EOMONTH(A91,0))/2))/AK91)</f>
        <v>#N/A</v>
      </c>
      <c r="AF91" s="206" t="e">
        <f aca="false">((Summary!$N$7*(AA91*AD91)*(A91-$D$3))+(Summary!$M$7*Z91*AC91*(DAY(EOMONTH(A91,0))/2)))/(AK91*AB91*AE91)</f>
        <v>#N/A</v>
      </c>
      <c r="AG91" s="207" t="n">
        <f aca="false">IF($A92="","",Summary!$Q$7)</f>
        <v>0</v>
      </c>
      <c r="AH91" s="207" t="n">
        <f aca="false">IF($A92="","",IF(Summary!$R$7="Y",(VLOOKUP($A91,Summary!$AD$6:$AF$9,3)+'Escalating commodity'!C104),'Escalating commodity'!C104))</f>
        <v>0.0224952</v>
      </c>
      <c r="AI91" s="207" t="n">
        <f aca="false">IF($A92="","",AH91)</f>
        <v>0.0224952</v>
      </c>
      <c r="AJ91" s="208" t="n">
        <f aca="false">A91+DAY(EOMONTH(A91,0))/2-1</f>
        <v>39522.5</v>
      </c>
      <c r="AK91" s="209" t="n">
        <f aca="false">IF($A92="","",$A91-$E$1)</f>
        <v>-6418</v>
      </c>
      <c r="AL91" s="182" t="e">
        <f aca="false">IF($A92="","",SPRDOPT(P91,X91,AI91,0,AB91,AE91,AF91,AK91,$AJ$2,0))</f>
        <v>#NAME?</v>
      </c>
      <c r="AM91" s="210" t="e">
        <f aca="false">IF($A92="","",MAX(0,O91-W91-AI91))</f>
        <v>#N/A</v>
      </c>
      <c r="AN91" s="211" t="e">
        <f aca="false">IF($A92="","",AL91-AM91)</f>
        <v>#N/A</v>
      </c>
      <c r="AO91" s="137" t="n">
        <f aca="false">IF(A92="","",A92-A91)</f>
        <v>31</v>
      </c>
      <c r="AP91" s="212" t="n">
        <f aca="false">IF(A92="","",CHOOSE(F$3,A92+24,A91))</f>
        <v>39508</v>
      </c>
      <c r="AQ91" s="209" t="n">
        <f aca="false">IF(A92="","",AP91-$E$1)</f>
        <v>-6418</v>
      </c>
      <c r="AR91" s="185" t="n">
        <f aca="false">IF(Summary!$H$2=1,VLOOKUP('ANR OK vs ML7'!A91,Curves!$C$17:$AR$273,MATCH('ANR OK vs ML7'!$AR$4,Curves!$C$8:$AQ$8,0)),0.1)</f>
        <v>0.1</v>
      </c>
      <c r="AS91" s="213" t="n">
        <f aca="false">IF(A92="","",1/(1+CHOOSE(F$3,(AR92+($I$3/10000))/2,(AR91+($I$3/10000))/2))^(2*AQ91/365.25))</f>
        <v>5.55464942242204</v>
      </c>
      <c r="AT91" s="137" t="n">
        <f aca="false">IF(A92="","",IF(AND(mthbeg&lt;=A91,mthend&gt;=A91),1,0))</f>
        <v>1</v>
      </c>
      <c r="AU91" s="137" t="n">
        <f aca="false">IF(A92="","",AO91*AT91)</f>
        <v>31</v>
      </c>
      <c r="AW91" s="195" t="e">
        <f aca="false">IF($A92="","",AL91*$E91)</f>
        <v>#NAME?</v>
      </c>
      <c r="AX91" s="195" t="e">
        <f aca="false">IF($A92="","",AM91*$E91)</f>
        <v>#N/A</v>
      </c>
      <c r="AY91" s="195" t="e">
        <f aca="false">IF($A92="","",AN91*$E91)</f>
        <v>#N/A</v>
      </c>
      <c r="BA91" s="195" t="n">
        <f aca="false">IF($A92="","",F91*Summary!$Q$7)</f>
        <v>0</v>
      </c>
      <c r="BC91" s="179" t="e">
        <f aca="false">IF(A92="","",AM91*F91)</f>
        <v>#N/A</v>
      </c>
    </row>
    <row r="92" customFormat="false" ht="12.75" hidden="false" customHeight="false" outlineLevel="0" collapsed="false">
      <c r="A92" s="196" t="n">
        <f aca="false">IF(A91&lt;mthend,EDATE(A91,1),"")</f>
        <v>39539</v>
      </c>
      <c r="B92" s="197" t="n">
        <f aca="false">IF(A92&lt;mthend,B91,"")</f>
        <v>40000</v>
      </c>
      <c r="C92" s="215"/>
      <c r="D92" s="197" t="n">
        <f aca="false">IF(A93&lt;&gt;"",B92+C92,"")</f>
        <v>40000</v>
      </c>
      <c r="E92" s="199" t="n">
        <f aca="false">IF(A93="","",IF(AND(AT92=1,$H$3=1),D92*AO92,IF($H$3=2,D92,"N/A")))</f>
        <v>1200000</v>
      </c>
      <c r="F92" s="199" t="n">
        <f aca="false">IF(A93="","",E92*AS92)</f>
        <v>6610603.13722831</v>
      </c>
      <c r="G92" s="200" t="e">
        <f aca="false">IF($A93="","",VLOOKUP($A92,Table,MATCH(G$4,Curves,0)))</f>
        <v>#N/A</v>
      </c>
      <c r="H92" s="201" t="e">
        <f aca="false">IF(A93="","",G92)</f>
        <v>#N/A</v>
      </c>
      <c r="I92" s="202"/>
      <c r="J92" s="200" t="e">
        <f aca="false">IF($A93="","",VLOOKUP($A92,Table,MATCH(J$4,Curves,0)))</f>
        <v>#N/A</v>
      </c>
      <c r="K92" s="201" t="e">
        <f aca="false">IF(A93="","",J92)</f>
        <v>#N/A</v>
      </c>
      <c r="L92" s="200" t="e">
        <f aca="false">IF($A93="","",VLOOKUP($A92,Table,MATCH(L$4,Curves,0)))</f>
        <v>#N/A</v>
      </c>
      <c r="M92" s="201" t="e">
        <f aca="false">IF(A93="","",L92)</f>
        <v>#N/A</v>
      </c>
      <c r="N92" s="203"/>
      <c r="O92" s="200" t="e">
        <f aca="false">IF(A93="","",L92+J92+G92)</f>
        <v>#N/A</v>
      </c>
      <c r="P92" s="200" t="e">
        <f aca="false">IF(A93="","",M92+K92+H92)</f>
        <v>#N/A</v>
      </c>
      <c r="Q92" s="204"/>
      <c r="R92" s="200" t="e">
        <f aca="false">IF($A93="","",VLOOKUP($A92,Table,MATCH(R$4,Curves,0)))</f>
        <v>#N/A</v>
      </c>
      <c r="S92" s="201" t="e">
        <f aca="false">IF(A93="","",R92)</f>
        <v>#N/A</v>
      </c>
      <c r="T92" s="200" t="e">
        <f aca="false">IF($A93="","",VLOOKUP($A92,Table,MATCH(T$4,Curves,0)))</f>
        <v>#N/A</v>
      </c>
      <c r="U92" s="201" t="e">
        <f aca="false">IF(A93="","",T92)</f>
        <v>#N/A</v>
      </c>
      <c r="V92" s="183" t="e">
        <f aca="false">IF($A93="","",IF(AND(MONTH(A92)&gt;3,MONTH(A92)&lt;11),(T92+R92+G92)*Summary!$T$7/(1-Summary!$T$7),(T92+R92+G92)*Summary!$U$7/(1-Summary!$U$7)))</f>
        <v>#N/A</v>
      </c>
      <c r="W92" s="200" t="e">
        <f aca="false">IF($A93="","",(T92+R92+G92+V92))</f>
        <v>#N/A</v>
      </c>
      <c r="X92" s="200" t="e">
        <f aca="false">IF($A93="","",(U92+S92+H92+V92))</f>
        <v>#N/A</v>
      </c>
      <c r="Y92" s="202"/>
      <c r="Z92" s="185" t="e">
        <f aca="false">IF($A93="","",VLOOKUP($A92,Table,MATCH(Z$4,Curves,0)))</f>
        <v>#N/A</v>
      </c>
      <c r="AA92" s="185" t="e">
        <f aca="false">IF($A93="","",VLOOKUP($A92,Table,MATCH(AA$4,Curves,0)))</f>
        <v>#N/A</v>
      </c>
      <c r="AB92" s="185" t="e">
        <f aca="false">SQRT((AA92^2*(A92-$D$3)+Z92^2*(DAY(EOMONTH(A92,0))/2))/AK92)</f>
        <v>#N/A</v>
      </c>
      <c r="AC92" s="185" t="e">
        <f aca="false">IF($A93="","",VLOOKUP($A92,Table,MATCH(AC$4,Curves,0)))</f>
        <v>#N/A</v>
      </c>
      <c r="AD92" s="185" t="e">
        <f aca="false">IF($A93="","",VLOOKUP($A92,Table,MATCH(AD$4,Curves,0)))</f>
        <v>#N/A</v>
      </c>
      <c r="AE92" s="185" t="e">
        <f aca="false">SQRT((AD92^2*(A92-$D$3)+AC92^2*(DAY(EOMONTH(A92,0))/2))/AK92)</f>
        <v>#N/A</v>
      </c>
      <c r="AF92" s="206" t="e">
        <f aca="false">((Summary!$N$7*(AA92*AD92)*(A92-$D$3))+(Summary!$M$7*Z92*AC92*(DAY(EOMONTH(A92,0))/2)))/(AK92*AB92*AE92)</f>
        <v>#N/A</v>
      </c>
      <c r="AG92" s="207" t="n">
        <f aca="false">IF($A93="","",Summary!$Q$7)</f>
        <v>0</v>
      </c>
      <c r="AH92" s="207" t="n">
        <f aca="false">IF($A93="","",IF(Summary!$R$7="Y",(VLOOKUP($A92,Summary!$AD$6:$AF$9,3)+'Escalating commodity'!C105),'Escalating commodity'!C105))</f>
        <v>0.0224952</v>
      </c>
      <c r="AI92" s="207" t="n">
        <f aca="false">IF($A93="","",AH92)</f>
        <v>0.0224952</v>
      </c>
      <c r="AJ92" s="208" t="n">
        <f aca="false">A92+DAY(EOMONTH(A92,0))/2-1</f>
        <v>39553</v>
      </c>
      <c r="AK92" s="209" t="n">
        <f aca="false">IF($A93="","",$A92-$E$1)</f>
        <v>-6387</v>
      </c>
      <c r="AL92" s="182" t="e">
        <f aca="false">IF($A93="","",SPRDOPT(P92,X92,AI92,0,AB92,AE92,AF92,AK92,$AJ$2,0))</f>
        <v>#NAME?</v>
      </c>
      <c r="AM92" s="210" t="e">
        <f aca="false">IF($A93="","",MAX(0,O92-W92-AI92))</f>
        <v>#N/A</v>
      </c>
      <c r="AN92" s="211" t="e">
        <f aca="false">IF($A93="","",AL92-AM92)</f>
        <v>#N/A</v>
      </c>
      <c r="AO92" s="137" t="n">
        <f aca="false">IF(A93="","",A93-A92)</f>
        <v>30</v>
      </c>
      <c r="AP92" s="212" t="n">
        <f aca="false">IF(A93="","",CHOOSE(F$3,A93+24,A92))</f>
        <v>39539</v>
      </c>
      <c r="AQ92" s="209" t="n">
        <f aca="false">IF(A93="","",AP92-$E$1)</f>
        <v>-6387</v>
      </c>
      <c r="AR92" s="185" t="n">
        <f aca="false">IF(Summary!$H$2=1,VLOOKUP('ANR OK vs ML7'!A92,Curves!$C$17:$AR$273,MATCH('ANR OK vs ML7'!$AR$4,Curves!$C$8:$AQ$8,0)),0.1)</f>
        <v>0.1</v>
      </c>
      <c r="AS92" s="213" t="n">
        <f aca="false">IF(A93="","",1/(1+CHOOSE(F$3,(AR93+($I$3/10000))/2,(AR92+($I$3/10000))/2))^(2*AQ92/365.25))</f>
        <v>5.50883594769026</v>
      </c>
      <c r="AT92" s="137" t="n">
        <f aca="false">IF(A93="","",IF(AND(mthbeg&lt;=A92,mthend&gt;=A92),1,0))</f>
        <v>1</v>
      </c>
      <c r="AU92" s="137" t="n">
        <f aca="false">IF(A93="","",AO92*AT92)</f>
        <v>30</v>
      </c>
      <c r="AW92" s="195" t="e">
        <f aca="false">IF($A93="","",AL92*$E92)</f>
        <v>#NAME?</v>
      </c>
      <c r="AX92" s="195" t="e">
        <f aca="false">IF($A93="","",AM92*$E92)</f>
        <v>#N/A</v>
      </c>
      <c r="AY92" s="195" t="e">
        <f aca="false">IF($A93="","",AN92*$E92)</f>
        <v>#N/A</v>
      </c>
      <c r="BA92" s="195" t="n">
        <f aca="false">IF($A93="","",F92*Summary!$Q$7)</f>
        <v>0</v>
      </c>
      <c r="BC92" s="179" t="e">
        <f aca="false">IF(A93="","",AM92*F92)</f>
        <v>#N/A</v>
      </c>
    </row>
    <row r="93" customFormat="false" ht="12.75" hidden="false" customHeight="false" outlineLevel="0" collapsed="false">
      <c r="A93" s="196" t="n">
        <f aca="false">IF(A92&lt;mthend,EDATE(A92,1),"")</f>
        <v>39569</v>
      </c>
      <c r="B93" s="197" t="n">
        <f aca="false">IF(A93&lt;mthend,B92,"")</f>
        <v>40000</v>
      </c>
      <c r="C93" s="215"/>
      <c r="D93" s="197" t="n">
        <f aca="false">IF(A94&lt;&gt;"",B93+C93,"")</f>
        <v>40000</v>
      </c>
      <c r="E93" s="199" t="n">
        <f aca="false">IF(A94="","",IF(AND(AT93=1,$H$3=1),D93*AO93,IF($H$3=2,D93,"N/A")))</f>
        <v>1240000</v>
      </c>
      <c r="F93" s="199" t="n">
        <f aca="false">IF(A94="","",E93*AS93)</f>
        <v>6776426.56254709</v>
      </c>
      <c r="G93" s="200" t="e">
        <f aca="false">IF($A94="","",VLOOKUP($A93,Table,MATCH(G$4,Curves,0)))</f>
        <v>#N/A</v>
      </c>
      <c r="H93" s="201" t="e">
        <f aca="false">IF(A94="","",G93)</f>
        <v>#N/A</v>
      </c>
      <c r="I93" s="202"/>
      <c r="J93" s="200" t="e">
        <f aca="false">IF($A94="","",VLOOKUP($A93,Table,MATCH(J$4,Curves,0)))</f>
        <v>#N/A</v>
      </c>
      <c r="K93" s="201" t="e">
        <f aca="false">IF(A94="","",J93)</f>
        <v>#N/A</v>
      </c>
      <c r="L93" s="200" t="e">
        <f aca="false">IF($A94="","",VLOOKUP($A93,Table,MATCH(L$4,Curves,0)))</f>
        <v>#N/A</v>
      </c>
      <c r="M93" s="201" t="e">
        <f aca="false">IF(A94="","",L93)</f>
        <v>#N/A</v>
      </c>
      <c r="N93" s="203"/>
      <c r="O93" s="200" t="e">
        <f aca="false">IF(A94="","",L93+J93+G93)</f>
        <v>#N/A</v>
      </c>
      <c r="P93" s="200" t="e">
        <f aca="false">IF(A94="","",M93+K93+H93)</f>
        <v>#N/A</v>
      </c>
      <c r="Q93" s="204"/>
      <c r="R93" s="200" t="e">
        <f aca="false">IF($A94="","",VLOOKUP($A93,Table,MATCH(R$4,Curves,0)))</f>
        <v>#N/A</v>
      </c>
      <c r="S93" s="201" t="e">
        <f aca="false">IF(A94="","",R93)</f>
        <v>#N/A</v>
      </c>
      <c r="T93" s="200" t="e">
        <f aca="false">IF($A94="","",VLOOKUP($A93,Table,MATCH(T$4,Curves,0)))</f>
        <v>#N/A</v>
      </c>
      <c r="U93" s="201" t="e">
        <f aca="false">IF(A94="","",T93)</f>
        <v>#N/A</v>
      </c>
      <c r="V93" s="183" t="e">
        <f aca="false">IF($A94="","",IF(AND(MONTH(A93)&gt;3,MONTH(A93)&lt;11),(T93+R93+G93)*Summary!$T$7/(1-Summary!$T$7),(T93+R93+G93)*Summary!$U$7/(1-Summary!$U$7)))</f>
        <v>#N/A</v>
      </c>
      <c r="W93" s="200" t="e">
        <f aca="false">IF($A94="","",(T93+R93+G93+V93))</f>
        <v>#N/A</v>
      </c>
      <c r="X93" s="200" t="e">
        <f aca="false">IF($A94="","",(U93+S93+H93+V93))</f>
        <v>#N/A</v>
      </c>
      <c r="Y93" s="202"/>
      <c r="Z93" s="185" t="e">
        <f aca="false">IF($A94="","",VLOOKUP($A93,Table,MATCH(Z$4,Curves,0)))</f>
        <v>#N/A</v>
      </c>
      <c r="AA93" s="185" t="e">
        <f aca="false">IF($A94="","",VLOOKUP($A93,Table,MATCH(AA$4,Curves,0)))</f>
        <v>#N/A</v>
      </c>
      <c r="AB93" s="185" t="e">
        <f aca="false">SQRT((AA93^2*(A93-$D$3)+Z93^2*(DAY(EOMONTH(A93,0))/2))/AK93)</f>
        <v>#N/A</v>
      </c>
      <c r="AC93" s="185" t="e">
        <f aca="false">IF($A94="","",VLOOKUP($A93,Table,MATCH(AC$4,Curves,0)))</f>
        <v>#N/A</v>
      </c>
      <c r="AD93" s="185" t="e">
        <f aca="false">IF($A94="","",VLOOKUP($A93,Table,MATCH(AD$4,Curves,0)))</f>
        <v>#N/A</v>
      </c>
      <c r="AE93" s="185" t="e">
        <f aca="false">SQRT((AD93^2*(A93-$D$3)+AC93^2*(DAY(EOMONTH(A93,0))/2))/AK93)</f>
        <v>#N/A</v>
      </c>
      <c r="AF93" s="206" t="e">
        <f aca="false">((Summary!$N$7*(AA93*AD93)*(A93-$D$3))+(Summary!$M$7*Z93*AC93*(DAY(EOMONTH(A93,0))/2)))/(AK93*AB93*AE93)</f>
        <v>#N/A</v>
      </c>
      <c r="AG93" s="207" t="n">
        <f aca="false">IF($A94="","",Summary!$Q$7)</f>
        <v>0</v>
      </c>
      <c r="AH93" s="207" t="n">
        <f aca="false">IF($A94="","",IF(Summary!$R$7="Y",(VLOOKUP($A93,Summary!$AD$6:$AF$9,3)+'Escalating commodity'!C106),'Escalating commodity'!C106))</f>
        <v>0.0224952</v>
      </c>
      <c r="AI93" s="207" t="n">
        <f aca="false">IF($A94="","",AH93)</f>
        <v>0.0224952</v>
      </c>
      <c r="AJ93" s="208" t="n">
        <f aca="false">A93+DAY(EOMONTH(A93,0))/2-1</f>
        <v>39583.5</v>
      </c>
      <c r="AK93" s="209" t="n">
        <f aca="false">IF($A94="","",$A93-$E$1)</f>
        <v>-6357</v>
      </c>
      <c r="AL93" s="182" t="e">
        <f aca="false">IF($A94="","",SPRDOPT(P93,X93,AI93,0,AB93,AE93,AF93,AK93,$AJ$2,0))</f>
        <v>#NAME?</v>
      </c>
      <c r="AM93" s="210" t="e">
        <f aca="false">IF($A94="","",MAX(0,O93-W93-AI93))</f>
        <v>#N/A</v>
      </c>
      <c r="AN93" s="211" t="e">
        <f aca="false">IF($A94="","",AL93-AM93)</f>
        <v>#N/A</v>
      </c>
      <c r="AO93" s="137" t="n">
        <f aca="false">IF(A94="","",A94-A93)</f>
        <v>31</v>
      </c>
      <c r="AP93" s="212" t="n">
        <f aca="false">IF(A94="","",CHOOSE(F$3,A94+24,A93))</f>
        <v>39569</v>
      </c>
      <c r="AQ93" s="209" t="n">
        <f aca="false">IF(A94="","",AP93-$E$1)</f>
        <v>-6357</v>
      </c>
      <c r="AR93" s="185" t="n">
        <f aca="false">IF(Summary!$H$2=1,VLOOKUP('ANR OK vs ML7'!A93,Curves!$C$17:$AR$273,MATCH('ANR OK vs ML7'!$AR$4,Curves!$C$8:$AQ$8,0)),0.1)</f>
        <v>0.1</v>
      </c>
      <c r="AS93" s="213" t="n">
        <f aca="false">IF(A94="","",1/(1+CHOOSE(F$3,(AR94+($I$3/10000))/2,(AR93+($I$3/10000))/2))^(2*AQ93/365.25))</f>
        <v>5.46486013108636</v>
      </c>
      <c r="AT93" s="137" t="n">
        <f aca="false">IF(A94="","",IF(AND(mthbeg&lt;=A93,mthend&gt;=A93),1,0))</f>
        <v>1</v>
      </c>
      <c r="AU93" s="137" t="n">
        <f aca="false">IF(A94="","",AO93*AT93)</f>
        <v>31</v>
      </c>
      <c r="AW93" s="195" t="e">
        <f aca="false">IF($A94="","",AL93*$E93)</f>
        <v>#NAME?</v>
      </c>
      <c r="AX93" s="195" t="e">
        <f aca="false">IF($A94="","",AM93*$E93)</f>
        <v>#N/A</v>
      </c>
      <c r="AY93" s="195" t="e">
        <f aca="false">IF($A94="","",AN93*$E93)</f>
        <v>#N/A</v>
      </c>
      <c r="BA93" s="195" t="n">
        <f aca="false">IF($A94="","",F93*Summary!$Q$7)</f>
        <v>0</v>
      </c>
      <c r="BC93" s="179" t="e">
        <f aca="false">IF(A94="","",AM93*F93)</f>
        <v>#N/A</v>
      </c>
    </row>
    <row r="94" customFormat="false" ht="12.75" hidden="false" customHeight="false" outlineLevel="0" collapsed="false">
      <c r="A94" s="196" t="n">
        <f aca="false">IF(A93&lt;mthend,EDATE(A93,1),"")</f>
        <v>39600</v>
      </c>
      <c r="B94" s="197" t="n">
        <f aca="false">IF(A94&lt;mthend,B93,"")</f>
        <v>40000</v>
      </c>
      <c r="C94" s="215"/>
      <c r="D94" s="197" t="n">
        <f aca="false">IF(A95&lt;&gt;"",B94+C94,"")</f>
        <v>40000</v>
      </c>
      <c r="E94" s="199" t="n">
        <f aca="false">IF(A95="","",IF(AND(AT94=1,$H$3=1),D94*AO94,IF($H$3=2,D94,"N/A")))</f>
        <v>1200000</v>
      </c>
      <c r="F94" s="199" t="n">
        <f aca="false">IF(A95="","",E94*AS94)</f>
        <v>6503744.66140854</v>
      </c>
      <c r="G94" s="200" t="e">
        <f aca="false">IF($A95="","",VLOOKUP($A94,Table,MATCH(G$4,Curves,0)))</f>
        <v>#N/A</v>
      </c>
      <c r="H94" s="201" t="e">
        <f aca="false">IF(A95="","",G94)</f>
        <v>#N/A</v>
      </c>
      <c r="I94" s="202"/>
      <c r="J94" s="200" t="e">
        <f aca="false">IF($A95="","",VLOOKUP($A94,Table,MATCH(J$4,Curves,0)))</f>
        <v>#N/A</v>
      </c>
      <c r="K94" s="201" t="e">
        <f aca="false">IF(A95="","",J94)</f>
        <v>#N/A</v>
      </c>
      <c r="L94" s="200" t="e">
        <f aca="false">IF($A95="","",VLOOKUP($A94,Table,MATCH(L$4,Curves,0)))</f>
        <v>#N/A</v>
      </c>
      <c r="M94" s="201" t="e">
        <f aca="false">IF(A95="","",L94)</f>
        <v>#N/A</v>
      </c>
      <c r="N94" s="203"/>
      <c r="O94" s="200" t="e">
        <f aca="false">IF(A95="","",L94+J94+G94)</f>
        <v>#N/A</v>
      </c>
      <c r="P94" s="200" t="e">
        <f aca="false">IF(A95="","",M94+K94+H94)</f>
        <v>#N/A</v>
      </c>
      <c r="Q94" s="204"/>
      <c r="R94" s="200" t="e">
        <f aca="false">IF($A95="","",VLOOKUP($A94,Table,MATCH(R$4,Curves,0)))</f>
        <v>#N/A</v>
      </c>
      <c r="S94" s="201" t="e">
        <f aca="false">IF(A95="","",R94)</f>
        <v>#N/A</v>
      </c>
      <c r="T94" s="200" t="e">
        <f aca="false">IF($A95="","",VLOOKUP($A94,Table,MATCH(T$4,Curves,0)))</f>
        <v>#N/A</v>
      </c>
      <c r="U94" s="201" t="e">
        <f aca="false">IF(A95="","",T94)</f>
        <v>#N/A</v>
      </c>
      <c r="V94" s="183" t="e">
        <f aca="false">IF($A95="","",IF(AND(MONTH(A94)&gt;3,MONTH(A94)&lt;11),(T94+R94+G94)*Summary!$T$7/(1-Summary!$T$7),(T94+R94+G94)*Summary!$U$7/(1-Summary!$U$7)))</f>
        <v>#N/A</v>
      </c>
      <c r="W94" s="200" t="e">
        <f aca="false">IF($A95="","",(T94+R94+G94+V94))</f>
        <v>#N/A</v>
      </c>
      <c r="X94" s="200" t="e">
        <f aca="false">IF($A95="","",(U94+S94+H94+V94))</f>
        <v>#N/A</v>
      </c>
      <c r="Y94" s="202"/>
      <c r="Z94" s="185" t="e">
        <f aca="false">IF($A95="","",VLOOKUP($A94,Table,MATCH(Z$4,Curves,0)))</f>
        <v>#N/A</v>
      </c>
      <c r="AA94" s="185" t="e">
        <f aca="false">IF($A95="","",VLOOKUP($A94,Table,MATCH(AA$4,Curves,0)))</f>
        <v>#N/A</v>
      </c>
      <c r="AB94" s="185" t="e">
        <f aca="false">SQRT((AA94^2*(A94-$D$3)+Z94^2*(DAY(EOMONTH(A94,0))/2))/AK94)</f>
        <v>#N/A</v>
      </c>
      <c r="AC94" s="185" t="e">
        <f aca="false">IF($A95="","",VLOOKUP($A94,Table,MATCH(AC$4,Curves,0)))</f>
        <v>#N/A</v>
      </c>
      <c r="AD94" s="185" t="e">
        <f aca="false">IF($A95="","",VLOOKUP($A94,Table,MATCH(AD$4,Curves,0)))</f>
        <v>#N/A</v>
      </c>
      <c r="AE94" s="185" t="e">
        <f aca="false">SQRT((AD94^2*(A94-$D$3)+AC94^2*(DAY(EOMONTH(A94,0))/2))/AK94)</f>
        <v>#N/A</v>
      </c>
      <c r="AF94" s="206" t="e">
        <f aca="false">((Summary!$N$7*(AA94*AD94)*(A94-$D$3))+(Summary!$M$7*Z94*AC94*(DAY(EOMONTH(A94,0))/2)))/(AK94*AB94*AE94)</f>
        <v>#N/A</v>
      </c>
      <c r="AG94" s="207" t="n">
        <f aca="false">IF($A95="","",Summary!$Q$7)</f>
        <v>0</v>
      </c>
      <c r="AH94" s="207" t="n">
        <f aca="false">IF($A95="","",IF(Summary!$R$7="Y",(VLOOKUP($A94,Summary!$AD$6:$AF$9,3)+'Escalating commodity'!C107),'Escalating commodity'!C107))</f>
        <v>0.0224952</v>
      </c>
      <c r="AI94" s="207" t="n">
        <f aca="false">IF($A95="","",AH94)</f>
        <v>0.0224952</v>
      </c>
      <c r="AJ94" s="208" t="n">
        <f aca="false">A94+DAY(EOMONTH(A94,0))/2-1</f>
        <v>39614</v>
      </c>
      <c r="AK94" s="209" t="n">
        <f aca="false">IF($A95="","",$A94-$E$1)</f>
        <v>-6326</v>
      </c>
      <c r="AL94" s="182" t="e">
        <f aca="false">IF($A95="","",SPRDOPT(P94,X94,AI94,0,AB94,AE94,AF94,AK94,$AJ$2,0))</f>
        <v>#NAME?</v>
      </c>
      <c r="AM94" s="210" t="e">
        <f aca="false">IF($A95="","",MAX(0,O94-W94-AI94))</f>
        <v>#N/A</v>
      </c>
      <c r="AN94" s="211" t="e">
        <f aca="false">IF($A95="","",AL94-AM94)</f>
        <v>#N/A</v>
      </c>
      <c r="AO94" s="137" t="n">
        <f aca="false">IF(A95="","",A95-A94)</f>
        <v>30</v>
      </c>
      <c r="AP94" s="212" t="n">
        <f aca="false">IF(A95="","",CHOOSE(F$3,A95+24,A94))</f>
        <v>39600</v>
      </c>
      <c r="AQ94" s="209" t="n">
        <f aca="false">IF(A95="","",AP94-$E$1)</f>
        <v>-6326</v>
      </c>
      <c r="AR94" s="185" t="n">
        <f aca="false">IF(Summary!$H$2=1,VLOOKUP('ANR OK vs ML7'!A94,Curves!$C$17:$AR$273,MATCH('ANR OK vs ML7'!$AR$4,Curves!$C$8:$AQ$8,0)),0.1)</f>
        <v>0.1</v>
      </c>
      <c r="AS94" s="213" t="n">
        <f aca="false">IF(A95="","",1/(1+CHOOSE(F$3,(AR95+($I$3/10000))/2,(AR94+($I$3/10000))/2))^(2*AQ94/365.25))</f>
        <v>5.41978721784045</v>
      </c>
      <c r="AT94" s="137" t="n">
        <f aca="false">IF(A95="","",IF(AND(mthbeg&lt;=A94,mthend&gt;=A94),1,0))</f>
        <v>1</v>
      </c>
      <c r="AU94" s="137" t="n">
        <f aca="false">IF(A95="","",AO94*AT94)</f>
        <v>30</v>
      </c>
      <c r="AW94" s="195" t="e">
        <f aca="false">IF($A95="","",AL94*$E94)</f>
        <v>#NAME?</v>
      </c>
      <c r="AX94" s="195" t="e">
        <f aca="false">IF($A95="","",AM94*$E94)</f>
        <v>#N/A</v>
      </c>
      <c r="AY94" s="195" t="e">
        <f aca="false">IF($A95="","",AN94*$E94)</f>
        <v>#N/A</v>
      </c>
      <c r="BA94" s="195" t="n">
        <f aca="false">IF($A95="","",F94*Summary!$Q$7)</f>
        <v>0</v>
      </c>
      <c r="BC94" s="179" t="e">
        <f aca="false">IF(A95="","",AM94*F94)</f>
        <v>#N/A</v>
      </c>
    </row>
    <row r="95" customFormat="false" ht="12.75" hidden="false" customHeight="false" outlineLevel="0" collapsed="false">
      <c r="A95" s="196" t="n">
        <f aca="false">IF(A94&lt;mthend,EDATE(A94,1),"")</f>
        <v>39630</v>
      </c>
      <c r="B95" s="197" t="n">
        <f aca="false">IF(A95&lt;mthend,B94,"")</f>
        <v>40000</v>
      </c>
      <c r="C95" s="215"/>
      <c r="D95" s="197" t="n">
        <f aca="false">IF(A96&lt;&gt;"",B95+C95,"")</f>
        <v>40000</v>
      </c>
      <c r="E95" s="199" t="n">
        <f aca="false">IF(A96="","",IF(AND(AT95=1,$H$3=1),D95*AO95,IF($H$3=2,D95,"N/A")))</f>
        <v>1240000</v>
      </c>
      <c r="F95" s="199" t="n">
        <f aca="false">IF(A96="","",E95*AS95)</f>
        <v>6666887.59931688</v>
      </c>
      <c r="G95" s="200" t="e">
        <f aca="false">IF($A96="","",VLOOKUP($A95,Table,MATCH(G$4,Curves,0)))</f>
        <v>#N/A</v>
      </c>
      <c r="H95" s="201" t="e">
        <f aca="false">IF(A96="","",G95)</f>
        <v>#N/A</v>
      </c>
      <c r="I95" s="202"/>
      <c r="J95" s="200" t="e">
        <f aca="false">IF($A96="","",VLOOKUP($A95,Table,MATCH(J$4,Curves,0)))</f>
        <v>#N/A</v>
      </c>
      <c r="K95" s="201" t="e">
        <f aca="false">IF(A96="","",J95)</f>
        <v>#N/A</v>
      </c>
      <c r="L95" s="200" t="e">
        <f aca="false">IF($A96="","",VLOOKUP($A95,Table,MATCH(L$4,Curves,0)))</f>
        <v>#N/A</v>
      </c>
      <c r="M95" s="201" t="e">
        <f aca="false">IF(A96="","",L95)</f>
        <v>#N/A</v>
      </c>
      <c r="N95" s="203"/>
      <c r="O95" s="200" t="e">
        <f aca="false">IF(A96="","",L95+J95+G95)</f>
        <v>#N/A</v>
      </c>
      <c r="P95" s="200" t="e">
        <f aca="false">IF(A96="","",M95+K95+H95)</f>
        <v>#N/A</v>
      </c>
      <c r="Q95" s="204"/>
      <c r="R95" s="200" t="e">
        <f aca="false">IF($A96="","",VLOOKUP($A95,Table,MATCH(R$4,Curves,0)))</f>
        <v>#N/A</v>
      </c>
      <c r="S95" s="201" t="e">
        <f aca="false">IF(A96="","",R95)</f>
        <v>#N/A</v>
      </c>
      <c r="T95" s="200" t="e">
        <f aca="false">IF($A96="","",VLOOKUP($A95,Table,MATCH(T$4,Curves,0)))</f>
        <v>#N/A</v>
      </c>
      <c r="U95" s="201" t="e">
        <f aca="false">IF(A96="","",T95)</f>
        <v>#N/A</v>
      </c>
      <c r="V95" s="183" t="e">
        <f aca="false">IF($A96="","",IF(AND(MONTH(A95)&gt;3,MONTH(A95)&lt;11),(T95+R95+G95)*Summary!$T$7/(1-Summary!$T$7),(T95+R95+G95)*Summary!$U$7/(1-Summary!$U$7)))</f>
        <v>#N/A</v>
      </c>
      <c r="W95" s="200" t="e">
        <f aca="false">IF($A96="","",(T95+R95+G95+V95))</f>
        <v>#N/A</v>
      </c>
      <c r="X95" s="200" t="e">
        <f aca="false">IF($A96="","",(U95+S95+H95+V95))</f>
        <v>#N/A</v>
      </c>
      <c r="Y95" s="202"/>
      <c r="Z95" s="185" t="e">
        <f aca="false">IF($A96="","",VLOOKUP($A95,Table,MATCH(Z$4,Curves,0)))</f>
        <v>#N/A</v>
      </c>
      <c r="AA95" s="185" t="e">
        <f aca="false">IF($A96="","",VLOOKUP($A95,Table,MATCH(AA$4,Curves,0)))</f>
        <v>#N/A</v>
      </c>
      <c r="AB95" s="185" t="e">
        <f aca="false">SQRT((AA95^2*(A95-$D$3)+Z95^2*(DAY(EOMONTH(A95,0))/2))/AK95)</f>
        <v>#N/A</v>
      </c>
      <c r="AC95" s="185" t="e">
        <f aca="false">IF($A96="","",VLOOKUP($A95,Table,MATCH(AC$4,Curves,0)))</f>
        <v>#N/A</v>
      </c>
      <c r="AD95" s="185" t="e">
        <f aca="false">IF($A96="","",VLOOKUP($A95,Table,MATCH(AD$4,Curves,0)))</f>
        <v>#N/A</v>
      </c>
      <c r="AE95" s="185" t="e">
        <f aca="false">SQRT((AD95^2*(A95-$D$3)+AC95^2*(DAY(EOMONTH(A95,0))/2))/AK95)</f>
        <v>#N/A</v>
      </c>
      <c r="AF95" s="206" t="e">
        <f aca="false">((Summary!$N$7*(AA95*AD95)*(A95-$D$3))+(Summary!$M$7*Z95*AC95*(DAY(EOMONTH(A95,0))/2)))/(AK95*AB95*AE95)</f>
        <v>#N/A</v>
      </c>
      <c r="AG95" s="207" t="n">
        <f aca="false">IF($A96="","",Summary!$Q$7)</f>
        <v>0</v>
      </c>
      <c r="AH95" s="207" t="n">
        <f aca="false">IF($A96="","",IF(Summary!$R$7="Y",(VLOOKUP($A95,Summary!$AD$6:$AF$9,3)+'Escalating commodity'!C108),'Escalating commodity'!C108))</f>
        <v>0.0224952</v>
      </c>
      <c r="AI95" s="207" t="n">
        <f aca="false">IF($A96="","",AH95)</f>
        <v>0.0224952</v>
      </c>
      <c r="AJ95" s="208" t="n">
        <f aca="false">A95+DAY(EOMONTH(A95,0))/2-1</f>
        <v>39644.5</v>
      </c>
      <c r="AK95" s="209" t="n">
        <f aca="false">IF($A96="","",$A95-$E$1)</f>
        <v>-6296</v>
      </c>
      <c r="AL95" s="182" t="e">
        <f aca="false">IF($A96="","",SPRDOPT(P95,X95,AI95,0,AB95,AE95,AF95,AK95,$AJ$2,0))</f>
        <v>#NAME?</v>
      </c>
      <c r="AM95" s="210" t="e">
        <f aca="false">IF($A96="","",MAX(0,O95-W95-AI95))</f>
        <v>#N/A</v>
      </c>
      <c r="AN95" s="211" t="e">
        <f aca="false">IF($A96="","",AL95-AM95)</f>
        <v>#N/A</v>
      </c>
      <c r="AO95" s="137" t="n">
        <f aca="false">IF(A96="","",A96-A95)</f>
        <v>31</v>
      </c>
      <c r="AP95" s="212" t="n">
        <f aca="false">IF(A96="","",CHOOSE(F$3,A96+24,A95))</f>
        <v>39630</v>
      </c>
      <c r="AQ95" s="209" t="n">
        <f aca="false">IF(A96="","",AP95-$E$1)</f>
        <v>-6296</v>
      </c>
      <c r="AR95" s="185" t="n">
        <f aca="false">IF(Summary!$H$2=1,VLOOKUP('ANR OK vs ML7'!A95,Curves!$C$17:$AR$273,MATCH('ANR OK vs ML7'!$AR$4,Curves!$C$8:$AQ$8,0)),0.1)</f>
        <v>0.1</v>
      </c>
      <c r="AS95" s="213" t="n">
        <f aca="false">IF(A96="","",1/(1+CHOOSE(F$3,(AR96+($I$3/10000))/2,(AR95+($I$3/10000))/2))^(2*AQ95/365.25))</f>
        <v>5.37652225751361</v>
      </c>
      <c r="AT95" s="137" t="n">
        <f aca="false">IF(A96="","",IF(AND(mthbeg&lt;=A95,mthend&gt;=A95),1,0))</f>
        <v>1</v>
      </c>
      <c r="AU95" s="137" t="n">
        <f aca="false">IF(A96="","",AO95*AT95)</f>
        <v>31</v>
      </c>
      <c r="AW95" s="195" t="e">
        <f aca="false">IF($A96="","",AL95*$E95)</f>
        <v>#NAME?</v>
      </c>
      <c r="AX95" s="195" t="e">
        <f aca="false">IF($A96="","",AM95*$E95)</f>
        <v>#N/A</v>
      </c>
      <c r="AY95" s="195" t="e">
        <f aca="false">IF($A96="","",AN95*$E95)</f>
        <v>#N/A</v>
      </c>
      <c r="BA95" s="195" t="n">
        <f aca="false">IF($A96="","",F95*Summary!$Q$7)</f>
        <v>0</v>
      </c>
      <c r="BC95" s="179" t="e">
        <f aca="false">IF(A96="","",AM95*F95)</f>
        <v>#N/A</v>
      </c>
    </row>
    <row r="96" customFormat="false" ht="12.75" hidden="false" customHeight="false" outlineLevel="0" collapsed="false">
      <c r="A96" s="196" t="n">
        <f aca="false">IF(A95&lt;mthend,EDATE(A95,1),"")</f>
        <v>39661</v>
      </c>
      <c r="B96" s="197" t="n">
        <f aca="false">IF(A96&lt;mthend,B95,"")</f>
        <v>40000</v>
      </c>
      <c r="C96" s="215"/>
      <c r="D96" s="197" t="n">
        <f aca="false">IF(A97&lt;&gt;"",B96+C96,"")</f>
        <v>40000</v>
      </c>
      <c r="E96" s="199" t="n">
        <f aca="false">IF(A97="","",IF(AND(AT96=1,$H$3=1),D96*AO96,IF($H$3=2,D96,"N/A")))</f>
        <v>1240000</v>
      </c>
      <c r="F96" s="199" t="n">
        <f aca="false">IF(A97="","",E96*AS96)</f>
        <v>6611900.63914293</v>
      </c>
      <c r="G96" s="200" t="e">
        <f aca="false">IF($A97="","",VLOOKUP($A96,Table,MATCH(G$4,Curves,0)))</f>
        <v>#N/A</v>
      </c>
      <c r="H96" s="201" t="e">
        <f aca="false">IF(A97="","",G96)</f>
        <v>#N/A</v>
      </c>
      <c r="I96" s="202"/>
      <c r="J96" s="200" t="e">
        <f aca="false">IF($A97="","",VLOOKUP($A96,Table,MATCH(J$4,Curves,0)))</f>
        <v>#N/A</v>
      </c>
      <c r="K96" s="201" t="e">
        <f aca="false">IF(A97="","",J96)</f>
        <v>#N/A</v>
      </c>
      <c r="L96" s="200" t="e">
        <f aca="false">IF($A97="","",VLOOKUP($A96,Table,MATCH(L$4,Curves,0)))</f>
        <v>#N/A</v>
      </c>
      <c r="M96" s="201" t="e">
        <f aca="false">IF(A97="","",L96)</f>
        <v>#N/A</v>
      </c>
      <c r="N96" s="203"/>
      <c r="O96" s="200" t="e">
        <f aca="false">IF(A97="","",L96+J96+G96)</f>
        <v>#N/A</v>
      </c>
      <c r="P96" s="200" t="e">
        <f aca="false">IF(A97="","",M96+K96+H96)</f>
        <v>#N/A</v>
      </c>
      <c r="Q96" s="204"/>
      <c r="R96" s="200" t="e">
        <f aca="false">IF($A97="","",VLOOKUP($A96,Table,MATCH(R$4,Curves,0)))</f>
        <v>#N/A</v>
      </c>
      <c r="S96" s="201" t="e">
        <f aca="false">IF(A97="","",R96)</f>
        <v>#N/A</v>
      </c>
      <c r="T96" s="200" t="e">
        <f aca="false">IF($A97="","",VLOOKUP($A96,Table,MATCH(T$4,Curves,0)))</f>
        <v>#N/A</v>
      </c>
      <c r="U96" s="201" t="e">
        <f aca="false">IF(A97="","",T96)</f>
        <v>#N/A</v>
      </c>
      <c r="V96" s="183" t="e">
        <f aca="false">IF($A97="","",IF(AND(MONTH(A96)&gt;3,MONTH(A96)&lt;11),(T96+R96+G96)*Summary!$T$7/(1-Summary!$T$7),(T96+R96+G96)*Summary!$U$7/(1-Summary!$U$7)))</f>
        <v>#N/A</v>
      </c>
      <c r="W96" s="200" t="e">
        <f aca="false">IF($A97="","",(T96+R96+G96+V96))</f>
        <v>#N/A</v>
      </c>
      <c r="X96" s="200" t="e">
        <f aca="false">IF($A97="","",(U96+S96+H96+V96))</f>
        <v>#N/A</v>
      </c>
      <c r="Y96" s="202"/>
      <c r="Z96" s="185" t="e">
        <f aca="false">IF($A97="","",VLOOKUP($A96,Table,MATCH(Z$4,Curves,0)))</f>
        <v>#N/A</v>
      </c>
      <c r="AA96" s="185" t="e">
        <f aca="false">IF($A97="","",VLOOKUP($A96,Table,MATCH(AA$4,Curves,0)))</f>
        <v>#N/A</v>
      </c>
      <c r="AB96" s="185" t="e">
        <f aca="false">SQRT((AA96^2*(A96-$D$3)+Z96^2*(DAY(EOMONTH(A96,0))/2))/AK96)</f>
        <v>#N/A</v>
      </c>
      <c r="AC96" s="185" t="e">
        <f aca="false">IF($A97="","",VLOOKUP($A96,Table,MATCH(AC$4,Curves,0)))</f>
        <v>#N/A</v>
      </c>
      <c r="AD96" s="185" t="e">
        <f aca="false">IF($A97="","",VLOOKUP($A96,Table,MATCH(AD$4,Curves,0)))</f>
        <v>#N/A</v>
      </c>
      <c r="AE96" s="185" t="e">
        <f aca="false">SQRT((AD96^2*(A96-$D$3)+AC96^2*(DAY(EOMONTH(A96,0))/2))/AK96)</f>
        <v>#N/A</v>
      </c>
      <c r="AF96" s="206" t="e">
        <f aca="false">((Summary!$N$7*(AA96*AD96)*(A96-$D$3))+(Summary!$M$7*Z96*AC96*(DAY(EOMONTH(A96,0))/2)))/(AK96*AB96*AE96)</f>
        <v>#N/A</v>
      </c>
      <c r="AG96" s="207" t="n">
        <f aca="false">IF($A97="","",Summary!$Q$7)</f>
        <v>0</v>
      </c>
      <c r="AH96" s="207" t="n">
        <f aca="false">IF($A97="","",IF(Summary!$R$7="Y",(VLOOKUP($A96,Summary!$AD$6:$AF$9,3)+'Escalating commodity'!C109),'Escalating commodity'!C109))</f>
        <v>0.0224952</v>
      </c>
      <c r="AI96" s="207" t="n">
        <f aca="false">IF($A97="","",AH96)</f>
        <v>0.0224952</v>
      </c>
      <c r="AJ96" s="208" t="n">
        <f aca="false">A96+DAY(EOMONTH(A96,0))/2-1</f>
        <v>39675.5</v>
      </c>
      <c r="AK96" s="209" t="n">
        <f aca="false">IF($A97="","",$A96-$E$1)</f>
        <v>-6265</v>
      </c>
      <c r="AL96" s="182" t="e">
        <f aca="false">IF($A97="","",SPRDOPT(P96,X96,AI96,0,AB96,AE96,AF96,AK96,$AJ$2,0))</f>
        <v>#NAME?</v>
      </c>
      <c r="AM96" s="210" t="e">
        <f aca="false">IF($A97="","",MAX(0,O96-W96-AI96))</f>
        <v>#N/A</v>
      </c>
      <c r="AN96" s="211" t="e">
        <f aca="false">IF($A97="","",AL96-AM96)</f>
        <v>#N/A</v>
      </c>
      <c r="AO96" s="137" t="n">
        <f aca="false">IF(A97="","",A97-A96)</f>
        <v>31</v>
      </c>
      <c r="AP96" s="212" t="n">
        <f aca="false">IF(A97="","",CHOOSE(F$3,A97+24,A96))</f>
        <v>39661</v>
      </c>
      <c r="AQ96" s="209" t="n">
        <f aca="false">IF(A97="","",AP96-$E$1)</f>
        <v>-6265</v>
      </c>
      <c r="AR96" s="185" t="n">
        <f aca="false">IF(Summary!$H$2=1,VLOOKUP('ANR OK vs ML7'!A96,Curves!$C$17:$AR$273,MATCH('ANR OK vs ML7'!$AR$4,Curves!$C$8:$AQ$8,0)),0.1)</f>
        <v>0.1</v>
      </c>
      <c r="AS96" s="213" t="n">
        <f aca="false">IF(A97="","",1/(1+CHOOSE(F$3,(AR97+($I$3/10000))/2,(AR96+($I$3/10000))/2))^(2*AQ96/365.25))</f>
        <v>5.33217793479269</v>
      </c>
      <c r="AT96" s="137" t="n">
        <f aca="false">IF(A97="","",IF(AND(mthbeg&lt;=A96,mthend&gt;=A96),1,0))</f>
        <v>1</v>
      </c>
      <c r="AU96" s="137" t="n">
        <f aca="false">IF(A97="","",AO96*AT96)</f>
        <v>31</v>
      </c>
      <c r="AW96" s="195" t="e">
        <f aca="false">IF($A97="","",AL96*$E96)</f>
        <v>#NAME?</v>
      </c>
      <c r="AX96" s="195" t="e">
        <f aca="false">IF($A97="","",AM96*$E96)</f>
        <v>#N/A</v>
      </c>
      <c r="AY96" s="195" t="e">
        <f aca="false">IF($A97="","",AN96*$E96)</f>
        <v>#N/A</v>
      </c>
      <c r="BA96" s="195" t="n">
        <f aca="false">IF($A97="","",F96*Summary!$Q$7)</f>
        <v>0</v>
      </c>
      <c r="BC96" s="179" t="e">
        <f aca="false">IF(A97="","",AM96*F96)</f>
        <v>#N/A</v>
      </c>
    </row>
    <row r="97" customFormat="false" ht="12.75" hidden="false" customHeight="false" outlineLevel="0" collapsed="false">
      <c r="A97" s="196" t="n">
        <f aca="false">IF(A96&lt;mthend,EDATE(A96,1),"")</f>
        <v>39692</v>
      </c>
      <c r="B97" s="197" t="n">
        <f aca="false">IF(A97&lt;mthend,B96,"")</f>
        <v>40000</v>
      </c>
      <c r="C97" s="215"/>
      <c r="D97" s="197" t="n">
        <f aca="false">IF(A98&lt;&gt;"",B97+C97,"")</f>
        <v>40000</v>
      </c>
      <c r="E97" s="199" t="n">
        <f aca="false">IF(A98="","",IF(AND(AT97=1,$H$3=1),D97*AO97,IF($H$3=2,D97,"N/A")))</f>
        <v>1200000</v>
      </c>
      <c r="F97" s="199" t="n">
        <f aca="false">IF(A98="","",E97*AS97)</f>
        <v>6345839.22465267</v>
      </c>
      <c r="G97" s="200" t="e">
        <f aca="false">IF($A98="","",VLOOKUP($A97,Table,MATCH(G$4,Curves,0)))</f>
        <v>#N/A</v>
      </c>
      <c r="H97" s="201" t="e">
        <f aca="false">IF(A98="","",G97)</f>
        <v>#N/A</v>
      </c>
      <c r="I97" s="202"/>
      <c r="J97" s="200" t="e">
        <f aca="false">IF($A98="","",VLOOKUP($A97,Table,MATCH(J$4,Curves,0)))</f>
        <v>#N/A</v>
      </c>
      <c r="K97" s="201" t="e">
        <f aca="false">IF(A98="","",J97)</f>
        <v>#N/A</v>
      </c>
      <c r="L97" s="200" t="e">
        <f aca="false">IF($A98="","",VLOOKUP($A97,Table,MATCH(L$4,Curves,0)))</f>
        <v>#N/A</v>
      </c>
      <c r="M97" s="201" t="e">
        <f aca="false">IF(A98="","",L97)</f>
        <v>#N/A</v>
      </c>
      <c r="N97" s="203"/>
      <c r="O97" s="200" t="e">
        <f aca="false">IF(A98="","",L97+J97+G97)</f>
        <v>#N/A</v>
      </c>
      <c r="P97" s="200" t="e">
        <f aca="false">IF(A98="","",M97+K97+H97)</f>
        <v>#N/A</v>
      </c>
      <c r="Q97" s="204"/>
      <c r="R97" s="200" t="e">
        <f aca="false">IF($A98="","",VLOOKUP($A97,Table,MATCH(R$4,Curves,0)))</f>
        <v>#N/A</v>
      </c>
      <c r="S97" s="201" t="e">
        <f aca="false">IF(A98="","",R97)</f>
        <v>#N/A</v>
      </c>
      <c r="T97" s="200" t="e">
        <f aca="false">IF($A98="","",VLOOKUP($A97,Table,MATCH(T$4,Curves,0)))</f>
        <v>#N/A</v>
      </c>
      <c r="U97" s="201" t="e">
        <f aca="false">IF(A98="","",T97)</f>
        <v>#N/A</v>
      </c>
      <c r="V97" s="183" t="e">
        <f aca="false">IF($A98="","",IF(AND(MONTH(A97)&gt;3,MONTH(A97)&lt;11),(T97+R97+G97)*Summary!$T$7/(1-Summary!$T$7),(T97+R97+G97)*Summary!$U$7/(1-Summary!$U$7)))</f>
        <v>#N/A</v>
      </c>
      <c r="W97" s="200" t="e">
        <f aca="false">IF($A98="","",(T97+R97+G97+V97))</f>
        <v>#N/A</v>
      </c>
      <c r="X97" s="200" t="e">
        <f aca="false">IF($A98="","",(U97+S97+H97+V97))</f>
        <v>#N/A</v>
      </c>
      <c r="Y97" s="202"/>
      <c r="Z97" s="185" t="e">
        <f aca="false">IF($A98="","",VLOOKUP($A97,Table,MATCH(Z$4,Curves,0)))</f>
        <v>#N/A</v>
      </c>
      <c r="AA97" s="185" t="e">
        <f aca="false">IF($A98="","",VLOOKUP($A97,Table,MATCH(AA$4,Curves,0)))</f>
        <v>#N/A</v>
      </c>
      <c r="AB97" s="185" t="e">
        <f aca="false">SQRT((AA97^2*(A97-$D$3)+Z97^2*(DAY(EOMONTH(A97,0))/2))/AK97)</f>
        <v>#N/A</v>
      </c>
      <c r="AC97" s="185" t="e">
        <f aca="false">IF($A98="","",VLOOKUP($A97,Table,MATCH(AC$4,Curves,0)))</f>
        <v>#N/A</v>
      </c>
      <c r="AD97" s="185" t="e">
        <f aca="false">IF($A98="","",VLOOKUP($A97,Table,MATCH(AD$4,Curves,0)))</f>
        <v>#N/A</v>
      </c>
      <c r="AE97" s="185" t="e">
        <f aca="false">SQRT((AD97^2*(A97-$D$3)+AC97^2*(DAY(EOMONTH(A97,0))/2))/AK97)</f>
        <v>#N/A</v>
      </c>
      <c r="AF97" s="206" t="e">
        <f aca="false">((Summary!$N$7*(AA97*AD97)*(A97-$D$3))+(Summary!$M$7*Z97*AC97*(DAY(EOMONTH(A97,0))/2)))/(AK97*AB97*AE97)</f>
        <v>#N/A</v>
      </c>
      <c r="AG97" s="207" t="n">
        <f aca="false">IF($A98="","",Summary!$Q$7)</f>
        <v>0</v>
      </c>
      <c r="AH97" s="207" t="n">
        <f aca="false">IF($A98="","",IF(Summary!$R$7="Y",(VLOOKUP($A97,Summary!$AD$6:$AF$9,3)+'Escalating commodity'!C110),'Escalating commodity'!C110))</f>
        <v>0.0224952</v>
      </c>
      <c r="AI97" s="207" t="n">
        <f aca="false">IF($A98="","",AH97)</f>
        <v>0.0224952</v>
      </c>
      <c r="AJ97" s="208" t="n">
        <f aca="false">A97+DAY(EOMONTH(A97,0))/2-1</f>
        <v>39706</v>
      </c>
      <c r="AK97" s="209" t="n">
        <f aca="false">IF($A98="","",$A97-$E$1)</f>
        <v>-6234</v>
      </c>
      <c r="AL97" s="182" t="e">
        <f aca="false">IF($A98="","",SPRDOPT(P97,X97,AI97,0,AB97,AE97,AF97,AK97,$AJ$2,0))</f>
        <v>#NAME?</v>
      </c>
      <c r="AM97" s="210" t="e">
        <f aca="false">IF($A98="","",MAX(0,O97-W97-AI97))</f>
        <v>#N/A</v>
      </c>
      <c r="AN97" s="211" t="e">
        <f aca="false">IF($A98="","",AL97-AM97)</f>
        <v>#N/A</v>
      </c>
      <c r="AO97" s="137" t="n">
        <f aca="false">IF(A98="","",A98-A97)</f>
        <v>30</v>
      </c>
      <c r="AP97" s="212" t="n">
        <f aca="false">IF(A98="","",CHOOSE(F$3,A98+24,A97))</f>
        <v>39692</v>
      </c>
      <c r="AQ97" s="209" t="n">
        <f aca="false">IF(A98="","",AP97-$E$1)</f>
        <v>-6234</v>
      </c>
      <c r="AR97" s="185" t="n">
        <f aca="false">IF(Summary!$H$2=1,VLOOKUP('ANR OK vs ML7'!A97,Curves!$C$17:$AR$273,MATCH('ANR OK vs ML7'!$AR$4,Curves!$C$8:$AQ$8,0)),0.1)</f>
        <v>0.1</v>
      </c>
      <c r="AS97" s="213" t="n">
        <f aca="false">IF(A98="","",1/(1+CHOOSE(F$3,(AR98+($I$3/10000))/2,(AR97+($I$3/10000))/2))^(2*AQ97/365.25))</f>
        <v>5.28819935387723</v>
      </c>
      <c r="AT97" s="137" t="n">
        <f aca="false">IF(A98="","",IF(AND(mthbeg&lt;=A97,mthend&gt;=A97),1,0))</f>
        <v>1</v>
      </c>
      <c r="AU97" s="137" t="n">
        <f aca="false">IF(A98="","",AO97*AT97)</f>
        <v>30</v>
      </c>
      <c r="AW97" s="195" t="e">
        <f aca="false">IF($A98="","",AL97*$E97)</f>
        <v>#NAME?</v>
      </c>
      <c r="AX97" s="195" t="e">
        <f aca="false">IF($A98="","",AM97*$E97)</f>
        <v>#N/A</v>
      </c>
      <c r="AY97" s="195" t="e">
        <f aca="false">IF($A98="","",AN97*$E97)</f>
        <v>#N/A</v>
      </c>
      <c r="BA97" s="195" t="n">
        <f aca="false">IF($A98="","",F97*Summary!$Q$7)</f>
        <v>0</v>
      </c>
      <c r="BC97" s="179" t="e">
        <f aca="false">IF(A98="","",AM97*F97)</f>
        <v>#N/A</v>
      </c>
    </row>
    <row r="98" customFormat="false" ht="12.75" hidden="false" customHeight="false" outlineLevel="0" collapsed="false">
      <c r="A98" s="196" t="n">
        <f aca="false">IF(A97&lt;mthend,EDATE(A97,1),"")</f>
        <v>39722</v>
      </c>
      <c r="B98" s="197" t="n">
        <f aca="false">IF(A98&lt;mthend,B97,"")</f>
        <v>40000</v>
      </c>
      <c r="C98" s="215"/>
      <c r="D98" s="197" t="n">
        <f aca="false">IF(A99&lt;&gt;"",B98+C98,"")</f>
        <v>40000</v>
      </c>
      <c r="E98" s="199" t="n">
        <f aca="false">IF(A99="","",IF(AND(AT98=1,$H$3=1),D98*AO98,IF($H$3=2,D98,"N/A")))</f>
        <v>1240000</v>
      </c>
      <c r="F98" s="199" t="n">
        <f aca="false">IF(A99="","",E98*AS98)</f>
        <v>6505021.18958233</v>
      </c>
      <c r="G98" s="200" t="e">
        <f aca="false">IF($A99="","",VLOOKUP($A98,Table,MATCH(G$4,Curves,0)))</f>
        <v>#N/A</v>
      </c>
      <c r="H98" s="201" t="e">
        <f aca="false">IF(A99="","",G98)</f>
        <v>#N/A</v>
      </c>
      <c r="I98" s="202"/>
      <c r="J98" s="200" t="e">
        <f aca="false">IF($A99="","",VLOOKUP($A98,Table,MATCH(J$4,Curves,0)))</f>
        <v>#N/A</v>
      </c>
      <c r="K98" s="201" t="e">
        <f aca="false">IF(A99="","",J98)</f>
        <v>#N/A</v>
      </c>
      <c r="L98" s="200" t="e">
        <f aca="false">IF($A99="","",VLOOKUP($A98,Table,MATCH(L$4,Curves,0)))</f>
        <v>#N/A</v>
      </c>
      <c r="M98" s="201" t="e">
        <f aca="false">IF(A99="","",L98)</f>
        <v>#N/A</v>
      </c>
      <c r="N98" s="203"/>
      <c r="O98" s="200" t="e">
        <f aca="false">IF(A99="","",L98+J98+G98)</f>
        <v>#N/A</v>
      </c>
      <c r="P98" s="200" t="e">
        <f aca="false">IF(A99="","",M98+K98+H98)</f>
        <v>#N/A</v>
      </c>
      <c r="Q98" s="204"/>
      <c r="R98" s="200" t="e">
        <f aca="false">IF($A99="","",VLOOKUP($A98,Table,MATCH(R$4,Curves,0)))</f>
        <v>#N/A</v>
      </c>
      <c r="S98" s="201" t="e">
        <f aca="false">IF(A99="","",R98)</f>
        <v>#N/A</v>
      </c>
      <c r="T98" s="200" t="e">
        <f aca="false">IF($A99="","",VLOOKUP($A98,Table,MATCH(T$4,Curves,0)))</f>
        <v>#N/A</v>
      </c>
      <c r="U98" s="201" t="e">
        <f aca="false">IF(A99="","",T98)</f>
        <v>#N/A</v>
      </c>
      <c r="V98" s="183" t="e">
        <f aca="false">IF($A99="","",IF(AND(MONTH(A98)&gt;3,MONTH(A98)&lt;11),(T98+R98+G98)*Summary!$T$7/(1-Summary!$T$7),(T98+R98+G98)*Summary!$U$7/(1-Summary!$U$7)))</f>
        <v>#N/A</v>
      </c>
      <c r="W98" s="200" t="e">
        <f aca="false">IF($A99="","",(T98+R98+G98+V98))</f>
        <v>#N/A</v>
      </c>
      <c r="X98" s="200" t="e">
        <f aca="false">IF($A99="","",(U98+S98+H98+V98))</f>
        <v>#N/A</v>
      </c>
      <c r="Y98" s="202"/>
      <c r="Z98" s="185" t="e">
        <f aca="false">IF($A99="","",VLOOKUP($A98,Table,MATCH(Z$4,Curves,0)))</f>
        <v>#N/A</v>
      </c>
      <c r="AA98" s="185" t="e">
        <f aca="false">IF($A99="","",VLOOKUP($A98,Table,MATCH(AA$4,Curves,0)))</f>
        <v>#N/A</v>
      </c>
      <c r="AB98" s="185" t="e">
        <f aca="false">SQRT((AA98^2*(A98-$D$3)+Z98^2*(DAY(EOMONTH(A98,0))/2))/AK98)</f>
        <v>#N/A</v>
      </c>
      <c r="AC98" s="185" t="e">
        <f aca="false">IF($A99="","",VLOOKUP($A98,Table,MATCH(AC$4,Curves,0)))</f>
        <v>#N/A</v>
      </c>
      <c r="AD98" s="185" t="e">
        <f aca="false">IF($A99="","",VLOOKUP($A98,Table,MATCH(AD$4,Curves,0)))</f>
        <v>#N/A</v>
      </c>
      <c r="AE98" s="185" t="e">
        <f aca="false">SQRT((AD98^2*(A98-$D$3)+AC98^2*(DAY(EOMONTH(A98,0))/2))/AK98)</f>
        <v>#N/A</v>
      </c>
      <c r="AF98" s="206" t="e">
        <f aca="false">((Summary!$N$7*(AA98*AD98)*(A98-$D$3))+(Summary!$M$7*Z98*AC98*(DAY(EOMONTH(A98,0))/2)))/(AK98*AB98*AE98)</f>
        <v>#N/A</v>
      </c>
      <c r="AG98" s="207" t="n">
        <f aca="false">IF($A99="","",Summary!$Q$7)</f>
        <v>0</v>
      </c>
      <c r="AH98" s="207" t="n">
        <f aca="false">IF($A99="","",IF(Summary!$R$7="Y",(VLOOKUP($A98,Summary!$AD$6:$AF$9,3)+'Escalating commodity'!C111),'Escalating commodity'!C111))</f>
        <v>0.0224952</v>
      </c>
      <c r="AI98" s="207" t="n">
        <f aca="false">IF($A99="","",AH98)</f>
        <v>0.0224952</v>
      </c>
      <c r="AJ98" s="208" t="n">
        <f aca="false">A98+DAY(EOMONTH(A98,0))/2-1</f>
        <v>39736.5</v>
      </c>
      <c r="AK98" s="209" t="n">
        <f aca="false">IF($A99="","",$A98-$E$1)</f>
        <v>-6204</v>
      </c>
      <c r="AL98" s="182" t="e">
        <f aca="false">IF($A99="","",SPRDOPT(P98,X98,AI98,0,AB98,AE98,AF98,AK98,$AJ$2,0))</f>
        <v>#NAME?</v>
      </c>
      <c r="AM98" s="210" t="e">
        <f aca="false">IF($A99="","",MAX(0,O98-W98-AI98))</f>
        <v>#N/A</v>
      </c>
      <c r="AN98" s="211" t="e">
        <f aca="false">IF($A99="","",AL98-AM98)</f>
        <v>#N/A</v>
      </c>
      <c r="AO98" s="137" t="n">
        <f aca="false">IF(A99="","",A99-A98)</f>
        <v>31</v>
      </c>
      <c r="AP98" s="212" t="n">
        <f aca="false">IF(A99="","",CHOOSE(F$3,A99+24,A98))</f>
        <v>39722</v>
      </c>
      <c r="AQ98" s="209" t="n">
        <f aca="false">IF(A99="","",AP98-$E$1)</f>
        <v>-6204</v>
      </c>
      <c r="AR98" s="185" t="n">
        <f aca="false">IF(Summary!$H$2=1,VLOOKUP('ANR OK vs ML7'!A98,Curves!$C$17:$AR$273,MATCH('ANR OK vs ML7'!$AR$4,Curves!$C$8:$AQ$8,0)),0.1)</f>
        <v>0.1</v>
      </c>
      <c r="AS98" s="213" t="n">
        <f aca="false">IF(A99="","",1/(1+CHOOSE(F$3,(AR99+($I$3/10000))/2,(AR98+($I$3/10000))/2))^(2*AQ98/365.25))</f>
        <v>5.24598483030833</v>
      </c>
      <c r="AT98" s="137" t="n">
        <f aca="false">IF(A99="","",IF(AND(mthbeg&lt;=A98,mthend&gt;=A98),1,0))</f>
        <v>1</v>
      </c>
      <c r="AU98" s="137" t="n">
        <f aca="false">IF(A99="","",AO98*AT98)</f>
        <v>31</v>
      </c>
      <c r="AW98" s="195" t="e">
        <f aca="false">IF($A99="","",AL98*$E98)</f>
        <v>#NAME?</v>
      </c>
      <c r="AX98" s="195" t="e">
        <f aca="false">IF($A99="","",AM98*$E98)</f>
        <v>#N/A</v>
      </c>
      <c r="AY98" s="195" t="e">
        <f aca="false">IF($A99="","",AN98*$E98)</f>
        <v>#N/A</v>
      </c>
      <c r="BA98" s="195" t="n">
        <f aca="false">IF($A99="","",F98*Summary!$Q$7)</f>
        <v>0</v>
      </c>
      <c r="BC98" s="179" t="e">
        <f aca="false">IF(A99="","",AM98*F98)</f>
        <v>#N/A</v>
      </c>
    </row>
    <row r="99" customFormat="false" ht="12.75" hidden="false" customHeight="false" outlineLevel="0" collapsed="false">
      <c r="A99" s="196" t="n">
        <f aca="false">IF(A98&lt;mthend,EDATE(A98,1),"")</f>
        <v>39753</v>
      </c>
      <c r="B99" s="197" t="n">
        <f aca="false">IF(A99&lt;mthend,B98,"")</f>
        <v>40000</v>
      </c>
      <c r="C99" s="215"/>
      <c r="D99" s="197" t="n">
        <f aca="false">IF(A100&lt;&gt;"",B99+C99,"")</f>
        <v>40000</v>
      </c>
      <c r="E99" s="199" t="n">
        <f aca="false">IF(A100="","",IF(AND(AT99=1,$H$3=1),D99*AO99,IF($H$3=2,D99,"N/A")))</f>
        <v>1200000</v>
      </c>
      <c r="F99" s="199" t="n">
        <f aca="false">IF(A100="","",E99*AS99)</f>
        <v>6243260.58042506</v>
      </c>
      <c r="G99" s="200" t="e">
        <f aca="false">IF($A100="","",VLOOKUP($A99,Table,MATCH(G$4,Curves,0)))</f>
        <v>#N/A</v>
      </c>
      <c r="H99" s="201" t="e">
        <f aca="false">IF(A100="","",G99)</f>
        <v>#N/A</v>
      </c>
      <c r="I99" s="202"/>
      <c r="J99" s="200" t="e">
        <f aca="false">IF($A100="","",VLOOKUP($A99,Table,MATCH(J$4,Curves,0)))</f>
        <v>#N/A</v>
      </c>
      <c r="K99" s="201" t="e">
        <f aca="false">IF(A100="","",J99)</f>
        <v>#N/A</v>
      </c>
      <c r="L99" s="200" t="e">
        <f aca="false">IF($A100="","",VLOOKUP($A99,Table,MATCH(L$4,Curves,0)))</f>
        <v>#N/A</v>
      </c>
      <c r="M99" s="201" t="e">
        <f aca="false">IF(A100="","",L99)</f>
        <v>#N/A</v>
      </c>
      <c r="N99" s="203"/>
      <c r="O99" s="200" t="e">
        <f aca="false">IF(A100="","",L99+J99+G99)</f>
        <v>#N/A</v>
      </c>
      <c r="P99" s="200" t="e">
        <f aca="false">IF(A100="","",M99+K99+H99)</f>
        <v>#N/A</v>
      </c>
      <c r="Q99" s="204"/>
      <c r="R99" s="200" t="e">
        <f aca="false">IF($A100="","",VLOOKUP($A99,Table,MATCH(R$4,Curves,0)))</f>
        <v>#N/A</v>
      </c>
      <c r="S99" s="201" t="e">
        <f aca="false">IF(A100="","",R99)</f>
        <v>#N/A</v>
      </c>
      <c r="T99" s="200" t="e">
        <f aca="false">IF($A100="","",VLOOKUP($A99,Table,MATCH(T$4,Curves,0)))</f>
        <v>#N/A</v>
      </c>
      <c r="U99" s="201" t="e">
        <f aca="false">IF(A100="","",T99)</f>
        <v>#N/A</v>
      </c>
      <c r="V99" s="183" t="e">
        <f aca="false">IF($A100="","",IF(AND(MONTH(A99)&gt;3,MONTH(A99)&lt;11),(T99+R99+G99)*Summary!$T$7/(1-Summary!$T$7),(T99+R99+G99)*Summary!$U$7/(1-Summary!$U$7)))</f>
        <v>#N/A</v>
      </c>
      <c r="W99" s="200" t="e">
        <f aca="false">IF($A100="","",(T99+R99+G99+V99))</f>
        <v>#N/A</v>
      </c>
      <c r="X99" s="200" t="e">
        <f aca="false">IF($A100="","",(U99+S99+H99+V99))</f>
        <v>#N/A</v>
      </c>
      <c r="Y99" s="202"/>
      <c r="Z99" s="185" t="e">
        <f aca="false">IF($A100="","",VLOOKUP($A99,Table,MATCH(Z$4,Curves,0)))</f>
        <v>#N/A</v>
      </c>
      <c r="AA99" s="185" t="e">
        <f aca="false">IF($A100="","",VLOOKUP($A99,Table,MATCH(AA$4,Curves,0)))</f>
        <v>#N/A</v>
      </c>
      <c r="AB99" s="185" t="e">
        <f aca="false">SQRT((AA99^2*(A99-$D$3)+Z99^2*(DAY(EOMONTH(A99,0))/2))/AK99)</f>
        <v>#N/A</v>
      </c>
      <c r="AC99" s="185" t="e">
        <f aca="false">IF($A100="","",VLOOKUP($A99,Table,MATCH(AC$4,Curves,0)))</f>
        <v>#N/A</v>
      </c>
      <c r="AD99" s="185" t="e">
        <f aca="false">IF($A100="","",VLOOKUP($A99,Table,MATCH(AD$4,Curves,0)))</f>
        <v>#N/A</v>
      </c>
      <c r="AE99" s="185" t="e">
        <f aca="false">SQRT((AD99^2*(A99-$D$3)+AC99^2*(DAY(EOMONTH(A99,0))/2))/AK99)</f>
        <v>#N/A</v>
      </c>
      <c r="AF99" s="206" t="e">
        <f aca="false">((Summary!$N$7*(AA99*AD99)*(A99-$D$3))+(Summary!$M$7*Z99*AC99*(DAY(EOMONTH(A99,0))/2)))/(AK99*AB99*AE99)</f>
        <v>#N/A</v>
      </c>
      <c r="AG99" s="207" t="n">
        <f aca="false">IF($A100="","",Summary!$Q$7)</f>
        <v>0</v>
      </c>
      <c r="AH99" s="207" t="n">
        <f aca="false">IF($A100="","",IF(Summary!$R$7="Y",(VLOOKUP($A99,Summary!$AD$6:$AF$9,3)+'Escalating commodity'!C112),'Escalating commodity'!C112))</f>
        <v>0.0224952</v>
      </c>
      <c r="AI99" s="207" t="n">
        <f aca="false">IF($A100="","",AH99)</f>
        <v>0.0224952</v>
      </c>
      <c r="AJ99" s="208" t="n">
        <f aca="false">A99+DAY(EOMONTH(A99,0))/2-1</f>
        <v>39767</v>
      </c>
      <c r="AK99" s="209" t="n">
        <f aca="false">IF($A100="","",$A99-$E$1)</f>
        <v>-6173</v>
      </c>
      <c r="AL99" s="182" t="e">
        <f aca="false">IF($A100="","",SPRDOPT(P99,X99,AI99,0,AB99,AE99,AF99,AK99,$AJ$2,0))</f>
        <v>#NAME?</v>
      </c>
      <c r="AM99" s="210" t="e">
        <f aca="false">IF($A100="","",MAX(0,O99-W99-AI99))</f>
        <v>#N/A</v>
      </c>
      <c r="AN99" s="211" t="e">
        <f aca="false">IF($A100="","",AL99-AM99)</f>
        <v>#N/A</v>
      </c>
      <c r="AO99" s="137" t="n">
        <f aca="false">IF(A100="","",A100-A99)</f>
        <v>30</v>
      </c>
      <c r="AP99" s="212" t="n">
        <f aca="false">IF(A100="","",CHOOSE(F$3,A100+24,A99))</f>
        <v>39753</v>
      </c>
      <c r="AQ99" s="209" t="n">
        <f aca="false">IF(A100="","",AP99-$E$1)</f>
        <v>-6173</v>
      </c>
      <c r="AR99" s="185" t="n">
        <f aca="false">IF(Summary!$H$2=1,VLOOKUP('ANR OK vs ML7'!A99,Curves!$C$17:$AR$273,MATCH('ANR OK vs ML7'!$AR$4,Curves!$C$8:$AQ$8,0)),0.1)</f>
        <v>0.1</v>
      </c>
      <c r="AS99" s="213" t="n">
        <f aca="false">IF(A100="","",1/(1+CHOOSE(F$3,(AR100+($I$3/10000))/2,(AR99+($I$3/10000))/2))^(2*AQ99/365.25))</f>
        <v>5.20271715035422</v>
      </c>
      <c r="AT99" s="137" t="n">
        <f aca="false">IF(A100="","",IF(AND(mthbeg&lt;=A99,mthend&gt;=A99),1,0))</f>
        <v>1</v>
      </c>
      <c r="AU99" s="137" t="n">
        <f aca="false">IF(A100="","",AO99*AT99)</f>
        <v>30</v>
      </c>
      <c r="AW99" s="195" t="e">
        <f aca="false">IF($A100="","",AL99*$E99)</f>
        <v>#NAME?</v>
      </c>
      <c r="AX99" s="195" t="e">
        <f aca="false">IF($A100="","",AM99*$E99)</f>
        <v>#N/A</v>
      </c>
      <c r="AY99" s="195" t="e">
        <f aca="false">IF($A100="","",AN99*$E99)</f>
        <v>#N/A</v>
      </c>
      <c r="BA99" s="195" t="n">
        <f aca="false">IF($A100="","",F99*Summary!$Q$7)</f>
        <v>0</v>
      </c>
      <c r="BC99" s="179" t="e">
        <f aca="false">IF(A100="","",AM99*F99)</f>
        <v>#N/A</v>
      </c>
    </row>
    <row r="100" customFormat="false" ht="12.75" hidden="false" customHeight="false" outlineLevel="0" collapsed="false">
      <c r="A100" s="196" t="n">
        <f aca="false">IF(A99&lt;mthend,EDATE(A99,1),"")</f>
        <v>39783</v>
      </c>
      <c r="B100" s="197" t="n">
        <f aca="false">IF(A100&lt;mthend,B99,"")</f>
        <v>40000</v>
      </c>
      <c r="C100" s="215"/>
      <c r="D100" s="197" t="n">
        <f aca="false">IF(A101&lt;&gt;"",B100+C100,"")</f>
        <v>40000</v>
      </c>
      <c r="E100" s="199" t="n">
        <f aca="false">IF(A101="","",IF(AND(AT100=1,$H$3=1),D100*AO100,IF($H$3=2,D100,"N/A")))</f>
        <v>1240000</v>
      </c>
      <c r="F100" s="199" t="n">
        <f aca="false">IF(A101="","",E100*AS100)</f>
        <v>6399869.4152186</v>
      </c>
      <c r="G100" s="200" t="e">
        <f aca="false">IF($A101="","",VLOOKUP($A100,Table,MATCH(G$4,Curves,0)))</f>
        <v>#N/A</v>
      </c>
      <c r="H100" s="201" t="e">
        <f aca="false">IF(A101="","",G100)</f>
        <v>#N/A</v>
      </c>
      <c r="I100" s="202"/>
      <c r="J100" s="200" t="e">
        <f aca="false">IF($A101="","",VLOOKUP($A100,Table,MATCH(J$4,Curves,0)))</f>
        <v>#N/A</v>
      </c>
      <c r="K100" s="201" t="e">
        <f aca="false">IF(A101="","",J100)</f>
        <v>#N/A</v>
      </c>
      <c r="L100" s="200" t="e">
        <f aca="false">IF($A101="","",VLOOKUP($A100,Table,MATCH(L$4,Curves,0)))</f>
        <v>#N/A</v>
      </c>
      <c r="M100" s="201" t="e">
        <f aca="false">IF(A101="","",L100)</f>
        <v>#N/A</v>
      </c>
      <c r="N100" s="203"/>
      <c r="O100" s="200" t="e">
        <f aca="false">IF(A101="","",L100+J100+G100)</f>
        <v>#N/A</v>
      </c>
      <c r="P100" s="200" t="e">
        <f aca="false">IF(A101="","",M100+K100+H100)</f>
        <v>#N/A</v>
      </c>
      <c r="Q100" s="204"/>
      <c r="R100" s="200" t="e">
        <f aca="false">IF($A101="","",VLOOKUP($A100,Table,MATCH(R$4,Curves,0)))</f>
        <v>#N/A</v>
      </c>
      <c r="S100" s="201" t="e">
        <f aca="false">IF(A101="","",R100)</f>
        <v>#N/A</v>
      </c>
      <c r="T100" s="200" t="e">
        <f aca="false">IF($A101="","",VLOOKUP($A100,Table,MATCH(T$4,Curves,0)))</f>
        <v>#N/A</v>
      </c>
      <c r="U100" s="201" t="e">
        <f aca="false">IF(A101="","",T100)</f>
        <v>#N/A</v>
      </c>
      <c r="V100" s="183" t="e">
        <f aca="false">IF($A101="","",IF(AND(MONTH(A100)&gt;3,MONTH(A100)&lt;11),(T100+R100+G100)*Summary!$T$7/(1-Summary!$T$7),(T100+R100+G100)*Summary!$U$7/(1-Summary!$U$7)))</f>
        <v>#N/A</v>
      </c>
      <c r="W100" s="200" t="e">
        <f aca="false">IF($A101="","",(T100+R100+G100+V100))</f>
        <v>#N/A</v>
      </c>
      <c r="X100" s="200" t="e">
        <f aca="false">IF($A101="","",(U100+S100+H100+V100))</f>
        <v>#N/A</v>
      </c>
      <c r="Y100" s="202"/>
      <c r="Z100" s="185" t="e">
        <f aca="false">IF($A101="","",VLOOKUP($A100,Table,MATCH(Z$4,Curves,0)))</f>
        <v>#N/A</v>
      </c>
      <c r="AA100" s="185" t="e">
        <f aca="false">IF($A101="","",VLOOKUP($A100,Table,MATCH(AA$4,Curves,0)))</f>
        <v>#N/A</v>
      </c>
      <c r="AB100" s="185" t="e">
        <f aca="false">SQRT((AA100^2*(A100-$D$3)+Z100^2*(DAY(EOMONTH(A100,0))/2))/AK100)</f>
        <v>#N/A</v>
      </c>
      <c r="AC100" s="185" t="e">
        <f aca="false">IF($A101="","",VLOOKUP($A100,Table,MATCH(AC$4,Curves,0)))</f>
        <v>#N/A</v>
      </c>
      <c r="AD100" s="185" t="e">
        <f aca="false">IF($A101="","",VLOOKUP($A100,Table,MATCH(AD$4,Curves,0)))</f>
        <v>#N/A</v>
      </c>
      <c r="AE100" s="185" t="e">
        <f aca="false">SQRT((AD100^2*(A100-$D$3)+AC100^2*(DAY(EOMONTH(A100,0))/2))/AK100)</f>
        <v>#N/A</v>
      </c>
      <c r="AF100" s="206" t="e">
        <f aca="false">((Summary!$N$7*(AA100*AD100)*(A100-$D$3))+(Summary!$M$7*Z100*AC100*(DAY(EOMONTH(A100,0))/2)))/(AK100*AB100*AE100)</f>
        <v>#N/A</v>
      </c>
      <c r="AG100" s="207" t="n">
        <f aca="false">IF($A101="","",Summary!$Q$7)</f>
        <v>0</v>
      </c>
      <c r="AH100" s="207" t="n">
        <f aca="false">IF($A101="","",IF(Summary!$R$7="Y",(VLOOKUP($A100,Summary!$AD$6:$AF$9,3)+'Escalating commodity'!C113),'Escalating commodity'!C113))</f>
        <v>0.0224952</v>
      </c>
      <c r="AI100" s="207" t="n">
        <f aca="false">IF($A101="","",AH100)</f>
        <v>0.0224952</v>
      </c>
      <c r="AJ100" s="208" t="n">
        <f aca="false">A100+DAY(EOMONTH(A100,0))/2-1</f>
        <v>39797.5</v>
      </c>
      <c r="AK100" s="209" t="n">
        <f aca="false">IF($A101="","",$A100-$E$1)</f>
        <v>-6143</v>
      </c>
      <c r="AL100" s="182" t="e">
        <f aca="false">IF($A101="","",SPRDOPT(P100,X100,AI100,0,AB100,AE100,AF100,AK100,$AJ$2,0))</f>
        <v>#NAME?</v>
      </c>
      <c r="AM100" s="210" t="e">
        <f aca="false">IF($A101="","",MAX(0,O100-W100-AI100))</f>
        <v>#N/A</v>
      </c>
      <c r="AN100" s="211" t="e">
        <f aca="false">IF($A101="","",AL100-AM100)</f>
        <v>#N/A</v>
      </c>
      <c r="AO100" s="137" t="n">
        <f aca="false">IF(A101="","",A101-A100)</f>
        <v>31</v>
      </c>
      <c r="AP100" s="212" t="n">
        <f aca="false">IF(A101="","",CHOOSE(F$3,A101+24,A100))</f>
        <v>39783</v>
      </c>
      <c r="AQ100" s="209" t="n">
        <f aca="false">IF(A101="","",AP100-$E$1)</f>
        <v>-6143</v>
      </c>
      <c r="AR100" s="185" t="n">
        <f aca="false">IF(Summary!$H$2=1,VLOOKUP('ANR OK vs ML7'!A100,Curves!$C$17:$AR$273,MATCH('ANR OK vs ML7'!$AR$4,Curves!$C$8:$AQ$8,0)),0.1)</f>
        <v>0.1</v>
      </c>
      <c r="AS100" s="213" t="n">
        <f aca="false">IF(A101="","",1/(1+CHOOSE(F$3,(AR101+($I$3/10000))/2,(AR100+($I$3/10000))/2))^(2*AQ100/365.25))</f>
        <v>5.16118501227306</v>
      </c>
      <c r="AT100" s="137" t="n">
        <f aca="false">IF(A101="","",IF(AND(mthbeg&lt;=A100,mthend&gt;=A100),1,0))</f>
        <v>1</v>
      </c>
      <c r="AU100" s="137" t="n">
        <f aca="false">IF(A101="","",AO100*AT100)</f>
        <v>31</v>
      </c>
      <c r="AW100" s="195" t="e">
        <f aca="false">IF($A101="","",AL100*$E100)</f>
        <v>#NAME?</v>
      </c>
      <c r="AX100" s="195" t="e">
        <f aca="false">IF($A101="","",AM100*$E100)</f>
        <v>#N/A</v>
      </c>
      <c r="AY100" s="195" t="e">
        <f aca="false">IF($A101="","",AN100*$E100)</f>
        <v>#N/A</v>
      </c>
      <c r="BA100" s="195" t="n">
        <f aca="false">IF($A101="","",F100*Summary!$Q$7)</f>
        <v>0</v>
      </c>
      <c r="BC100" s="179" t="e">
        <f aca="false">IF(A101="","",AM100*F100)</f>
        <v>#N/A</v>
      </c>
    </row>
    <row r="101" customFormat="false" ht="12.75" hidden="false" customHeight="false" outlineLevel="0" collapsed="false">
      <c r="A101" s="196" t="n">
        <f aca="false">IF(A100&lt;mthend,EDATE(A100,1),"")</f>
        <v>39814</v>
      </c>
      <c r="B101" s="197" t="n">
        <f aca="false">IF(A101&lt;mthend,B100,"")</f>
        <v>40000</v>
      </c>
      <c r="C101" s="215"/>
      <c r="D101" s="197" t="n">
        <f aca="false">IF(A102&lt;&gt;"",B101+C101,"")</f>
        <v>40000</v>
      </c>
      <c r="E101" s="199" t="n">
        <f aca="false">IF(A102="","",IF(AND(AT101=1,$H$3=1),D101*AO101,IF($H$3=2,D101,"N/A")))</f>
        <v>1240000</v>
      </c>
      <c r="F101" s="199" t="n">
        <f aca="false">IF(A102="","",E101*AS101)</f>
        <v>6347084.75979871</v>
      </c>
      <c r="G101" s="200" t="e">
        <f aca="false">IF($A102="","",VLOOKUP($A101,Table,MATCH(G$4,Curves,0)))</f>
        <v>#N/A</v>
      </c>
      <c r="H101" s="201" t="e">
        <f aca="false">IF(A102="","",G101)</f>
        <v>#N/A</v>
      </c>
      <c r="I101" s="202"/>
      <c r="J101" s="200" t="e">
        <f aca="false">IF($A102="","",VLOOKUP($A101,Table,MATCH(J$4,Curves,0)))</f>
        <v>#N/A</v>
      </c>
      <c r="K101" s="201" t="e">
        <f aca="false">IF(A102="","",J101)</f>
        <v>#N/A</v>
      </c>
      <c r="L101" s="200" t="e">
        <f aca="false">IF($A102="","",VLOOKUP($A101,Table,MATCH(L$4,Curves,0)))</f>
        <v>#N/A</v>
      </c>
      <c r="M101" s="201" t="e">
        <f aca="false">IF(A102="","",L101)</f>
        <v>#N/A</v>
      </c>
      <c r="N101" s="203"/>
      <c r="O101" s="200" t="e">
        <f aca="false">IF(A102="","",L101+J101+G101)</f>
        <v>#N/A</v>
      </c>
      <c r="P101" s="200" t="e">
        <f aca="false">IF(A102="","",M101+K101+H101)</f>
        <v>#N/A</v>
      </c>
      <c r="Q101" s="204"/>
      <c r="R101" s="200" t="e">
        <f aca="false">IF($A102="","",VLOOKUP($A101,Table,MATCH(R$4,Curves,0)))</f>
        <v>#N/A</v>
      </c>
      <c r="S101" s="201" t="e">
        <f aca="false">IF(A102="","",R101)</f>
        <v>#N/A</v>
      </c>
      <c r="T101" s="200" t="e">
        <f aca="false">IF($A102="","",VLOOKUP($A101,Table,MATCH(T$4,Curves,0)))</f>
        <v>#N/A</v>
      </c>
      <c r="U101" s="201" t="e">
        <f aca="false">IF(A102="","",T101)</f>
        <v>#N/A</v>
      </c>
      <c r="V101" s="183" t="e">
        <f aca="false">IF($A102="","",IF(AND(MONTH(A101)&gt;3,MONTH(A101)&lt;11),(T101+R101+G101)*Summary!$T$7/(1-Summary!$T$7),(T101+R101+G101)*Summary!$U$7/(1-Summary!$U$7)))</f>
        <v>#N/A</v>
      </c>
      <c r="W101" s="200" t="e">
        <f aca="false">IF($A102="","",(T101+R101+G101+V101))</f>
        <v>#N/A</v>
      </c>
      <c r="X101" s="200" t="e">
        <f aca="false">IF($A102="","",(U101+S101+H101+V101))</f>
        <v>#N/A</v>
      </c>
      <c r="Y101" s="202"/>
      <c r="Z101" s="185" t="e">
        <f aca="false">IF($A102="","",VLOOKUP($A101,Table,MATCH(Z$4,Curves,0)))</f>
        <v>#N/A</v>
      </c>
      <c r="AA101" s="185" t="e">
        <f aca="false">IF($A102="","",VLOOKUP($A101,Table,MATCH(AA$4,Curves,0)))</f>
        <v>#N/A</v>
      </c>
      <c r="AB101" s="185" t="e">
        <f aca="false">SQRT((AA101^2*(A101-$D$3)+Z101^2*(DAY(EOMONTH(A101,0))/2))/AK101)</f>
        <v>#N/A</v>
      </c>
      <c r="AC101" s="185" t="e">
        <f aca="false">IF($A102="","",VLOOKUP($A101,Table,MATCH(AC$4,Curves,0)))</f>
        <v>#N/A</v>
      </c>
      <c r="AD101" s="185" t="e">
        <f aca="false">IF($A102="","",VLOOKUP($A101,Table,MATCH(AD$4,Curves,0)))</f>
        <v>#N/A</v>
      </c>
      <c r="AE101" s="185" t="e">
        <f aca="false">SQRT((AD101^2*(A101-$D$3)+AC101^2*(DAY(EOMONTH(A101,0))/2))/AK101)</f>
        <v>#N/A</v>
      </c>
      <c r="AF101" s="206" t="e">
        <f aca="false">((Summary!$N$7*(AA101*AD101)*(A101-$D$3))+(Summary!$M$7*Z101*AC101*(DAY(EOMONTH(A101,0))/2)))/(AK101*AB101*AE101)</f>
        <v>#N/A</v>
      </c>
      <c r="AG101" s="207" t="n">
        <f aca="false">IF($A102="","",Summary!$Q$7)</f>
        <v>0</v>
      </c>
      <c r="AH101" s="207" t="n">
        <f aca="false">IF($A102="","",IF(Summary!$R$7="Y",(VLOOKUP($A101,Summary!$AD$6:$AF$9,3)+'Escalating commodity'!C114),'Escalating commodity'!C114))</f>
        <v>0.0224952</v>
      </c>
      <c r="AI101" s="207" t="n">
        <f aca="false">IF($A102="","",AH101)</f>
        <v>0.0224952</v>
      </c>
      <c r="AJ101" s="208" t="n">
        <f aca="false">A101+DAY(EOMONTH(A101,0))/2-1</f>
        <v>39828.5</v>
      </c>
      <c r="AK101" s="209" t="n">
        <f aca="false">IF($A102="","",$A101-$E$1)</f>
        <v>-6112</v>
      </c>
      <c r="AL101" s="182" t="e">
        <f aca="false">IF($A102="","",SPRDOPT(P101,X101,AI101,0,AB101,AE101,AF101,AK101,$AJ$2,0))</f>
        <v>#NAME?</v>
      </c>
      <c r="AM101" s="210" t="e">
        <f aca="false">IF($A102="","",MAX(0,O101-W101-AI101))</f>
        <v>#N/A</v>
      </c>
      <c r="AN101" s="211" t="e">
        <f aca="false">IF($A102="","",AL101-AM101)</f>
        <v>#N/A</v>
      </c>
      <c r="AO101" s="137" t="n">
        <f aca="false">IF(A102="","",A102-A101)</f>
        <v>31</v>
      </c>
      <c r="AP101" s="212" t="n">
        <f aca="false">IF(A102="","",CHOOSE(F$3,A102+24,A101))</f>
        <v>39814</v>
      </c>
      <c r="AQ101" s="209" t="n">
        <f aca="false">IF(A102="","",AP101-$E$1)</f>
        <v>-6112</v>
      </c>
      <c r="AR101" s="185" t="n">
        <f aca="false">IF(Summary!$H$2=1,VLOOKUP('ANR OK vs ML7'!A101,Curves!$C$17:$AR$273,MATCH('ANR OK vs ML7'!$AR$4,Curves!$C$8:$AQ$8,0)),0.1)</f>
        <v>0.1</v>
      </c>
      <c r="AS101" s="213" t="n">
        <f aca="false">IF(A102="","",1/(1+CHOOSE(F$3,(AR102+($I$3/10000))/2,(AR101+($I$3/10000))/2))^(2*AQ101/365.25))</f>
        <v>5.11861674177315</v>
      </c>
      <c r="AT101" s="137" t="n">
        <f aca="false">IF(A102="","",IF(AND(mthbeg&lt;=A101,mthend&gt;=A101),1,0))</f>
        <v>1</v>
      </c>
      <c r="AU101" s="137" t="n">
        <f aca="false">IF(A102="","",AO101*AT101)</f>
        <v>31</v>
      </c>
      <c r="AW101" s="195" t="e">
        <f aca="false">IF($A102="","",AL101*$E101)</f>
        <v>#NAME?</v>
      </c>
      <c r="AX101" s="195" t="e">
        <f aca="false">IF($A102="","",AM101*$E101)</f>
        <v>#N/A</v>
      </c>
      <c r="AY101" s="195" t="e">
        <f aca="false">IF($A102="","",AN101*$E101)</f>
        <v>#N/A</v>
      </c>
      <c r="BA101" s="195" t="n">
        <f aca="false">IF($A102="","",F101*Summary!$Q$7)</f>
        <v>0</v>
      </c>
      <c r="BC101" s="179" t="e">
        <f aca="false">IF(A102="","",AM101*F101)</f>
        <v>#N/A</v>
      </c>
    </row>
    <row r="102" customFormat="false" ht="12.75" hidden="false" customHeight="false" outlineLevel="0" collapsed="false">
      <c r="A102" s="196" t="n">
        <f aca="false">IF(A101&lt;mthend,EDATE(A101,1),"")</f>
        <v>39845</v>
      </c>
      <c r="B102" s="197" t="n">
        <f aca="false">IF(A102&lt;mthend,B101,"")</f>
        <v>40000</v>
      </c>
      <c r="C102" s="215"/>
      <c r="D102" s="197" t="n">
        <f aca="false">IF(A103&lt;&gt;"",B102+C102,"")</f>
        <v>40000</v>
      </c>
      <c r="E102" s="199" t="n">
        <f aca="false">IF(A103="","",IF(AND(AT102=1,$H$3=1),D102*AO102,IF($H$3=2,D102,"N/A")))</f>
        <v>1120000</v>
      </c>
      <c r="F102" s="199" t="n">
        <f aca="false">IF(A103="","",E102*AS102)</f>
        <v>5685567.51236011</v>
      </c>
      <c r="G102" s="200" t="e">
        <f aca="false">IF($A103="","",VLOOKUP($A102,Table,MATCH(G$4,Curves,0)))</f>
        <v>#N/A</v>
      </c>
      <c r="H102" s="201" t="e">
        <f aca="false">IF(A103="","",G102)</f>
        <v>#N/A</v>
      </c>
      <c r="I102" s="202"/>
      <c r="J102" s="200" t="e">
        <f aca="false">IF($A103="","",VLOOKUP($A102,Table,MATCH(J$4,Curves,0)))</f>
        <v>#N/A</v>
      </c>
      <c r="K102" s="201" t="e">
        <f aca="false">IF(A103="","",J102)</f>
        <v>#N/A</v>
      </c>
      <c r="L102" s="200" t="e">
        <f aca="false">IF($A103="","",VLOOKUP($A102,Table,MATCH(L$4,Curves,0)))</f>
        <v>#N/A</v>
      </c>
      <c r="M102" s="201" t="e">
        <f aca="false">IF(A103="","",L102)</f>
        <v>#N/A</v>
      </c>
      <c r="N102" s="203"/>
      <c r="O102" s="200" t="e">
        <f aca="false">IF(A103="","",L102+J102+G102)</f>
        <v>#N/A</v>
      </c>
      <c r="P102" s="200" t="e">
        <f aca="false">IF(A103="","",M102+K102+H102)</f>
        <v>#N/A</v>
      </c>
      <c r="Q102" s="204"/>
      <c r="R102" s="200" t="e">
        <f aca="false">IF($A103="","",VLOOKUP($A102,Table,MATCH(R$4,Curves,0)))</f>
        <v>#N/A</v>
      </c>
      <c r="S102" s="201" t="e">
        <f aca="false">IF(A103="","",R102)</f>
        <v>#N/A</v>
      </c>
      <c r="T102" s="200" t="e">
        <f aca="false">IF($A103="","",VLOOKUP($A102,Table,MATCH(T$4,Curves,0)))</f>
        <v>#N/A</v>
      </c>
      <c r="U102" s="201" t="e">
        <f aca="false">IF(A103="","",T102)</f>
        <v>#N/A</v>
      </c>
      <c r="V102" s="183" t="e">
        <f aca="false">IF($A103="","",IF(AND(MONTH(A102)&gt;3,MONTH(A102)&lt;11),(T102+R102+G102)*Summary!$T$7/(1-Summary!$T$7),(T102+R102+G102)*Summary!$U$7/(1-Summary!$U$7)))</f>
        <v>#N/A</v>
      </c>
      <c r="W102" s="200" t="e">
        <f aca="false">IF($A103="","",(T102+R102+G102+V102))</f>
        <v>#N/A</v>
      </c>
      <c r="X102" s="200" t="e">
        <f aca="false">IF($A103="","",(U102+S102+H102+V102))</f>
        <v>#N/A</v>
      </c>
      <c r="Y102" s="202"/>
      <c r="Z102" s="185" t="e">
        <f aca="false">IF($A103="","",VLOOKUP($A102,Table,MATCH(Z$4,Curves,0)))</f>
        <v>#N/A</v>
      </c>
      <c r="AA102" s="185" t="e">
        <f aca="false">IF($A103="","",VLOOKUP($A102,Table,MATCH(AA$4,Curves,0)))</f>
        <v>#N/A</v>
      </c>
      <c r="AB102" s="185" t="e">
        <f aca="false">SQRT((AA102^2*(A102-$D$3)+Z102^2*(DAY(EOMONTH(A102,0))/2))/AK102)</f>
        <v>#N/A</v>
      </c>
      <c r="AC102" s="185" t="e">
        <f aca="false">IF($A103="","",VLOOKUP($A102,Table,MATCH(AC$4,Curves,0)))</f>
        <v>#N/A</v>
      </c>
      <c r="AD102" s="185" t="e">
        <f aca="false">IF($A103="","",VLOOKUP($A102,Table,MATCH(AD$4,Curves,0)))</f>
        <v>#N/A</v>
      </c>
      <c r="AE102" s="185" t="e">
        <f aca="false">SQRT((AD102^2*(A102-$D$3)+AC102^2*(DAY(EOMONTH(A102,0))/2))/AK102)</f>
        <v>#N/A</v>
      </c>
      <c r="AF102" s="206" t="e">
        <f aca="false">((Summary!$N$7*(AA102*AD102)*(A102-$D$3))+(Summary!$M$7*Z102*AC102*(DAY(EOMONTH(A102,0))/2)))/(AK102*AB102*AE102)</f>
        <v>#N/A</v>
      </c>
      <c r="AG102" s="207" t="n">
        <f aca="false">IF($A103="","",Summary!$Q$7)</f>
        <v>0</v>
      </c>
      <c r="AH102" s="207" t="n">
        <f aca="false">IF($A103="","",IF(Summary!$R$7="Y",(VLOOKUP($A102,Summary!$AD$6:$AF$9,3)+'Escalating commodity'!C115),'Escalating commodity'!C115))</f>
        <v>0.0224952</v>
      </c>
      <c r="AI102" s="207" t="n">
        <f aca="false">IF($A103="","",AH102)</f>
        <v>0.0224952</v>
      </c>
      <c r="AJ102" s="208" t="n">
        <f aca="false">A102+DAY(EOMONTH(A102,0))/2-1</f>
        <v>39858</v>
      </c>
      <c r="AK102" s="209" t="n">
        <f aca="false">IF($A103="","",$A102-$E$1)</f>
        <v>-6081</v>
      </c>
      <c r="AL102" s="182" t="e">
        <f aca="false">IF($A103="","",SPRDOPT(P102,X102,AI102,0,AB102,AE102,AF102,AK102,$AJ$2,0))</f>
        <v>#NAME?</v>
      </c>
      <c r="AM102" s="210" t="e">
        <f aca="false">IF($A103="","",MAX(0,O102-W102-AI102))</f>
        <v>#N/A</v>
      </c>
      <c r="AN102" s="211" t="e">
        <f aca="false">IF($A103="","",AL102-AM102)</f>
        <v>#N/A</v>
      </c>
      <c r="AO102" s="137" t="n">
        <f aca="false">IF(A103="","",A103-A102)</f>
        <v>28</v>
      </c>
      <c r="AP102" s="212" t="n">
        <f aca="false">IF(A103="","",CHOOSE(F$3,A103+24,A102))</f>
        <v>39845</v>
      </c>
      <c r="AQ102" s="209" t="n">
        <f aca="false">IF(A103="","",AP102-$E$1)</f>
        <v>-6081</v>
      </c>
      <c r="AR102" s="185" t="n">
        <f aca="false">IF(Summary!$H$2=1,VLOOKUP('ANR OK vs ML7'!A102,Curves!$C$17:$AR$273,MATCH('ANR OK vs ML7'!$AR$4,Curves!$C$8:$AQ$8,0)),0.1)</f>
        <v>0.1</v>
      </c>
      <c r="AS102" s="213" t="n">
        <f aca="false">IF(A103="","",1/(1+CHOOSE(F$3,(AR103+($I$3/10000))/2,(AR102+($I$3/10000))/2))^(2*AQ102/365.25))</f>
        <v>5.07639956460724</v>
      </c>
      <c r="AT102" s="137" t="n">
        <f aca="false">IF(A103="","",IF(AND(mthbeg&lt;=A102,mthend&gt;=A102),1,0))</f>
        <v>1</v>
      </c>
      <c r="AU102" s="137" t="n">
        <f aca="false">IF(A103="","",AO102*AT102)</f>
        <v>28</v>
      </c>
      <c r="AW102" s="195" t="e">
        <f aca="false">IF($A103="","",AL102*$E102)</f>
        <v>#NAME?</v>
      </c>
      <c r="AX102" s="195" t="e">
        <f aca="false">IF($A103="","",AM102*$E102)</f>
        <v>#N/A</v>
      </c>
      <c r="AY102" s="195" t="e">
        <f aca="false">IF($A103="","",AN102*$E102)</f>
        <v>#N/A</v>
      </c>
      <c r="BA102" s="195" t="n">
        <f aca="false">IF($A103="","",F102*Summary!$Q$7)</f>
        <v>0</v>
      </c>
      <c r="BC102" s="179" t="e">
        <f aca="false">IF(A103="","",AM102*F102)</f>
        <v>#N/A</v>
      </c>
    </row>
    <row r="103" customFormat="false" ht="12.75" hidden="false" customHeight="false" outlineLevel="0" collapsed="false">
      <c r="A103" s="196" t="n">
        <f aca="false">IF(A102&lt;mthend,EDATE(A102,1),"")</f>
        <v>39873</v>
      </c>
      <c r="B103" s="197" t="n">
        <f aca="false">IF(A103&lt;mthend,B102,"")</f>
        <v>40000</v>
      </c>
      <c r="C103" s="215"/>
      <c r="D103" s="197" t="n">
        <f aca="false">IF(A104&lt;&gt;"",B103+C103,"")</f>
        <v>40000</v>
      </c>
      <c r="E103" s="199" t="n">
        <f aca="false">IF(A104="","",IF(AND(AT103=1,$H$3=1),D103*AO103,IF($H$3=2,D103,"N/A")))</f>
        <v>1240000</v>
      </c>
      <c r="F103" s="199" t="n">
        <f aca="false">IF(A104="","",E103*AS103)</f>
        <v>6247823.431893</v>
      </c>
      <c r="G103" s="200" t="e">
        <f aca="false">IF($A104="","",VLOOKUP($A103,Table,MATCH(G$4,Curves,0)))</f>
        <v>#N/A</v>
      </c>
      <c r="H103" s="201" t="e">
        <f aca="false">IF(A104="","",G103)</f>
        <v>#N/A</v>
      </c>
      <c r="I103" s="202"/>
      <c r="J103" s="200" t="e">
        <f aca="false">IF($A104="","",VLOOKUP($A103,Table,MATCH(J$4,Curves,0)))</f>
        <v>#N/A</v>
      </c>
      <c r="K103" s="201" t="e">
        <f aca="false">IF(A104="","",J103)</f>
        <v>#N/A</v>
      </c>
      <c r="L103" s="200" t="e">
        <f aca="false">IF($A104="","",VLOOKUP($A103,Table,MATCH(L$4,Curves,0)))</f>
        <v>#N/A</v>
      </c>
      <c r="M103" s="201" t="e">
        <f aca="false">IF(A104="","",L103)</f>
        <v>#N/A</v>
      </c>
      <c r="N103" s="203"/>
      <c r="O103" s="200" t="e">
        <f aca="false">IF(A104="","",L103+J103+G103)</f>
        <v>#N/A</v>
      </c>
      <c r="P103" s="200" t="e">
        <f aca="false">IF(A104="","",M103+K103+H103)</f>
        <v>#N/A</v>
      </c>
      <c r="Q103" s="204"/>
      <c r="R103" s="200" t="e">
        <f aca="false">IF($A104="","",VLOOKUP($A103,Table,MATCH(R$4,Curves,0)))</f>
        <v>#N/A</v>
      </c>
      <c r="S103" s="201" t="e">
        <f aca="false">IF(A104="","",R103)</f>
        <v>#N/A</v>
      </c>
      <c r="T103" s="200" t="e">
        <f aca="false">IF($A104="","",VLOOKUP($A103,Table,MATCH(T$4,Curves,0)))</f>
        <v>#N/A</v>
      </c>
      <c r="U103" s="201" t="e">
        <f aca="false">IF(A104="","",T103)</f>
        <v>#N/A</v>
      </c>
      <c r="V103" s="183" t="e">
        <f aca="false">IF($A104="","",IF(AND(MONTH(A103)&gt;3,MONTH(A103)&lt;11),(T103+R103+G103)*Summary!$T$7/(1-Summary!$T$7),(T103+R103+G103)*Summary!$U$7/(1-Summary!$U$7)))</f>
        <v>#N/A</v>
      </c>
      <c r="W103" s="200" t="e">
        <f aca="false">IF($A104="","",(T103+R103+G103+V103))</f>
        <v>#N/A</v>
      </c>
      <c r="X103" s="200" t="e">
        <f aca="false">IF($A104="","",(U103+S103+H103+V103))</f>
        <v>#N/A</v>
      </c>
      <c r="Y103" s="202"/>
      <c r="Z103" s="185" t="e">
        <f aca="false">IF($A104="","",VLOOKUP($A103,Table,MATCH(Z$4,Curves,0)))</f>
        <v>#N/A</v>
      </c>
      <c r="AA103" s="185" t="e">
        <f aca="false">IF($A104="","",VLOOKUP($A103,Table,MATCH(AA$4,Curves,0)))</f>
        <v>#N/A</v>
      </c>
      <c r="AB103" s="185" t="e">
        <f aca="false">SQRT((AA103^2*(A103-$D$3)+Z103^2*(DAY(EOMONTH(A103,0))/2))/AK103)</f>
        <v>#N/A</v>
      </c>
      <c r="AC103" s="185" t="e">
        <f aca="false">IF($A104="","",VLOOKUP($A103,Table,MATCH(AC$4,Curves,0)))</f>
        <v>#N/A</v>
      </c>
      <c r="AD103" s="185" t="e">
        <f aca="false">IF($A104="","",VLOOKUP($A103,Table,MATCH(AD$4,Curves,0)))</f>
        <v>#N/A</v>
      </c>
      <c r="AE103" s="185" t="e">
        <f aca="false">SQRT((AD103^2*(A103-$D$3)+AC103^2*(DAY(EOMONTH(A103,0))/2))/AK103)</f>
        <v>#N/A</v>
      </c>
      <c r="AF103" s="206" t="e">
        <f aca="false">((Summary!$N$7*(AA103*AD103)*(A103-$D$3))+(Summary!$M$7*Z103*AC103*(DAY(EOMONTH(A103,0))/2)))/(AK103*AB103*AE103)</f>
        <v>#N/A</v>
      </c>
      <c r="AG103" s="207" t="n">
        <f aca="false">IF($A104="","",Summary!$Q$7)</f>
        <v>0</v>
      </c>
      <c r="AH103" s="207" t="n">
        <f aca="false">IF($A104="","",IF(Summary!$R$7="Y",(VLOOKUP($A103,Summary!$AD$6:$AF$9,3)+'Escalating commodity'!C116),'Escalating commodity'!C116))</f>
        <v>0.0224952</v>
      </c>
      <c r="AI103" s="207" t="n">
        <f aca="false">IF($A104="","",AH103)</f>
        <v>0.0224952</v>
      </c>
      <c r="AJ103" s="208" t="n">
        <f aca="false">A103+DAY(EOMONTH(A103,0))/2-1</f>
        <v>39887.5</v>
      </c>
      <c r="AK103" s="209" t="n">
        <f aca="false">IF($A104="","",$A103-$E$1)</f>
        <v>-6053</v>
      </c>
      <c r="AL103" s="182" t="e">
        <f aca="false">IF($A104="","",SPRDOPT(P103,X103,AI103,0,AB103,AE103,AF103,AK103,$AJ$2,0))</f>
        <v>#NAME?</v>
      </c>
      <c r="AM103" s="210" t="e">
        <f aca="false">IF($A104="","",MAX(0,O103-W103-AI103))</f>
        <v>#N/A</v>
      </c>
      <c r="AN103" s="211" t="e">
        <f aca="false">IF($A104="","",AL103-AM103)</f>
        <v>#N/A</v>
      </c>
      <c r="AO103" s="137" t="n">
        <f aca="false">IF(A104="","",A104-A103)</f>
        <v>31</v>
      </c>
      <c r="AP103" s="212" t="n">
        <f aca="false">IF(A104="","",CHOOSE(F$3,A104+24,A103))</f>
        <v>39873</v>
      </c>
      <c r="AQ103" s="209" t="n">
        <f aca="false">IF(A104="","",AP103-$E$1)</f>
        <v>-6053</v>
      </c>
      <c r="AR103" s="185" t="n">
        <f aca="false">IF(Summary!$H$2=1,VLOOKUP('ANR OK vs ML7'!A103,Curves!$C$17:$AR$273,MATCH('ANR OK vs ML7'!$AR$4,Curves!$C$8:$AQ$8,0)),0.1)</f>
        <v>0.1</v>
      </c>
      <c r="AS103" s="213" t="n">
        <f aca="false">IF(A104="","",1/(1+CHOOSE(F$3,(AR104+($I$3/10000))/2,(AR103+($I$3/10000))/2))^(2*AQ103/365.25))</f>
        <v>5.03856728378468</v>
      </c>
      <c r="AT103" s="137" t="n">
        <f aca="false">IF(A104="","",IF(AND(mthbeg&lt;=A103,mthend&gt;=A103),1,0))</f>
        <v>1</v>
      </c>
      <c r="AU103" s="137" t="n">
        <f aca="false">IF(A104="","",AO103*AT103)</f>
        <v>31</v>
      </c>
      <c r="AW103" s="195" t="e">
        <f aca="false">IF($A104="","",AL103*$E103)</f>
        <v>#NAME?</v>
      </c>
      <c r="AX103" s="195" t="e">
        <f aca="false">IF($A104="","",AM103*$E103)</f>
        <v>#N/A</v>
      </c>
      <c r="AY103" s="195" t="e">
        <f aca="false">IF($A104="","",AN103*$E103)</f>
        <v>#N/A</v>
      </c>
      <c r="BA103" s="195" t="n">
        <f aca="false">IF($A104="","",F103*Summary!$Q$7)</f>
        <v>0</v>
      </c>
      <c r="BC103" s="179" t="e">
        <f aca="false">IF(A104="","",AM103*F103)</f>
        <v>#N/A</v>
      </c>
    </row>
    <row r="104" customFormat="false" ht="12.75" hidden="false" customHeight="false" outlineLevel="0" collapsed="false">
      <c r="A104" s="196" t="n">
        <f aca="false">IF(A103&lt;mthend,EDATE(A103,1),"")</f>
        <v>39904</v>
      </c>
      <c r="B104" s="197" t="n">
        <f aca="false">IF(A104&lt;mthend,B103,"")</f>
        <v>40000</v>
      </c>
      <c r="C104" s="215"/>
      <c r="D104" s="197" t="n">
        <f aca="false">IF(A105&lt;&gt;"",B104+C104,"")</f>
        <v>40000</v>
      </c>
      <c r="E104" s="199" t="n">
        <f aca="false">IF(A105="","",IF(AND(AT104=1,$H$3=1),D104*AO104,IF($H$3=2,D104,"N/A")))</f>
        <v>1200000</v>
      </c>
      <c r="F104" s="199" t="n">
        <f aca="false">IF(A105="","",E104*AS104)</f>
        <v>5996412.4034311</v>
      </c>
      <c r="G104" s="200" t="e">
        <f aca="false">IF($A105="","",VLOOKUP($A104,Table,MATCH(G$4,Curves,0)))</f>
        <v>#N/A</v>
      </c>
      <c r="H104" s="201" t="e">
        <f aca="false">IF(A105="","",G104)</f>
        <v>#N/A</v>
      </c>
      <c r="I104" s="202"/>
      <c r="J104" s="200" t="e">
        <f aca="false">IF($A105="","",VLOOKUP($A104,Table,MATCH(J$4,Curves,0)))</f>
        <v>#N/A</v>
      </c>
      <c r="K104" s="201" t="e">
        <f aca="false">IF(A105="","",J104)</f>
        <v>#N/A</v>
      </c>
      <c r="L104" s="200" t="e">
        <f aca="false">IF($A105="","",VLOOKUP($A104,Table,MATCH(L$4,Curves,0)))</f>
        <v>#N/A</v>
      </c>
      <c r="M104" s="201" t="e">
        <f aca="false">IF(A105="","",L104)</f>
        <v>#N/A</v>
      </c>
      <c r="N104" s="203"/>
      <c r="O104" s="200" t="e">
        <f aca="false">IF(A105="","",L104+J104+G104)</f>
        <v>#N/A</v>
      </c>
      <c r="P104" s="200" t="e">
        <f aca="false">IF(A105="","",M104+K104+H104)</f>
        <v>#N/A</v>
      </c>
      <c r="Q104" s="204"/>
      <c r="R104" s="200" t="e">
        <f aca="false">IF($A105="","",VLOOKUP($A104,Table,MATCH(R$4,Curves,0)))</f>
        <v>#N/A</v>
      </c>
      <c r="S104" s="201" t="e">
        <f aca="false">IF(A105="","",R104)</f>
        <v>#N/A</v>
      </c>
      <c r="T104" s="200" t="e">
        <f aca="false">IF($A105="","",VLOOKUP($A104,Table,MATCH(T$4,Curves,0)))</f>
        <v>#N/A</v>
      </c>
      <c r="U104" s="201" t="e">
        <f aca="false">IF(A105="","",T104)</f>
        <v>#N/A</v>
      </c>
      <c r="V104" s="183" t="e">
        <f aca="false">IF($A105="","",IF(AND(MONTH(A104)&gt;3,MONTH(A104)&lt;11),(T104+R104+G104)*Summary!$T$7/(1-Summary!$T$7),(T104+R104+G104)*Summary!$U$7/(1-Summary!$U$7)))</f>
        <v>#N/A</v>
      </c>
      <c r="W104" s="200" t="e">
        <f aca="false">IF($A105="","",(T104+R104+G104+V104))</f>
        <v>#N/A</v>
      </c>
      <c r="X104" s="200" t="e">
        <f aca="false">IF($A105="","",(U104+S104+H104+V104))</f>
        <v>#N/A</v>
      </c>
      <c r="Y104" s="202"/>
      <c r="Z104" s="185" t="e">
        <f aca="false">IF($A105="","",VLOOKUP($A104,Table,MATCH(Z$4,Curves,0)))</f>
        <v>#N/A</v>
      </c>
      <c r="AA104" s="185" t="e">
        <f aca="false">IF($A105="","",VLOOKUP($A104,Table,MATCH(AA$4,Curves,0)))</f>
        <v>#N/A</v>
      </c>
      <c r="AB104" s="185" t="e">
        <f aca="false">SQRT((AA104^2*(A104-$D$3)+Z104^2*(DAY(EOMONTH(A104,0))/2))/AK104)</f>
        <v>#N/A</v>
      </c>
      <c r="AC104" s="185" t="e">
        <f aca="false">IF($A105="","",VLOOKUP($A104,Table,MATCH(AC$4,Curves,0)))</f>
        <v>#N/A</v>
      </c>
      <c r="AD104" s="185" t="e">
        <f aca="false">IF($A105="","",VLOOKUP($A104,Table,MATCH(AD$4,Curves,0)))</f>
        <v>#N/A</v>
      </c>
      <c r="AE104" s="185" t="e">
        <f aca="false">SQRT((AD104^2*(A104-$D$3)+AC104^2*(DAY(EOMONTH(A104,0))/2))/AK104)</f>
        <v>#N/A</v>
      </c>
      <c r="AF104" s="206" t="e">
        <f aca="false">((Summary!$N$7*(AA104*AD104)*(A104-$D$3))+(Summary!$M$7*Z104*AC104*(DAY(EOMONTH(A104,0))/2)))/(AK104*AB104*AE104)</f>
        <v>#N/A</v>
      </c>
      <c r="AG104" s="207" t="n">
        <f aca="false">IF($A105="","",Summary!$Q$7)</f>
        <v>0</v>
      </c>
      <c r="AH104" s="207" t="n">
        <f aca="false">IF($A105="","",IF(Summary!$R$7="Y",(VLOOKUP($A104,Summary!$AD$6:$AF$9,3)+'Escalating commodity'!C117),'Escalating commodity'!C117))</f>
        <v>0.0224952</v>
      </c>
      <c r="AI104" s="207" t="n">
        <f aca="false">IF($A105="","",AH104)</f>
        <v>0.0224952</v>
      </c>
      <c r="AJ104" s="208" t="n">
        <f aca="false">A104+DAY(EOMONTH(A104,0))/2-1</f>
        <v>39918</v>
      </c>
      <c r="AK104" s="209" t="n">
        <f aca="false">IF($A105="","",$A104-$E$1)</f>
        <v>-6022</v>
      </c>
      <c r="AL104" s="182" t="e">
        <f aca="false">IF($A105="","",SPRDOPT(P104,X104,AI104,0,AB104,AE104,AF104,AK104,$AJ$2,0))</f>
        <v>#NAME?</v>
      </c>
      <c r="AM104" s="210" t="e">
        <f aca="false">IF($A105="","",MAX(0,O104-W104-AI104))</f>
        <v>#N/A</v>
      </c>
      <c r="AN104" s="211" t="e">
        <f aca="false">IF($A105="","",AL104-AM104)</f>
        <v>#N/A</v>
      </c>
      <c r="AO104" s="137" t="n">
        <f aca="false">IF(A105="","",A105-A104)</f>
        <v>30</v>
      </c>
      <c r="AP104" s="212" t="n">
        <f aca="false">IF(A105="","",CHOOSE(F$3,A105+24,A104))</f>
        <v>39904</v>
      </c>
      <c r="AQ104" s="209" t="n">
        <f aca="false">IF(A105="","",AP104-$E$1)</f>
        <v>-6022</v>
      </c>
      <c r="AR104" s="185" t="n">
        <f aca="false">IF(Summary!$H$2=1,VLOOKUP('ANR OK vs ML7'!A104,Curves!$C$17:$AR$273,MATCH('ANR OK vs ML7'!$AR$4,Curves!$C$8:$AQ$8,0)),0.1)</f>
        <v>0.1</v>
      </c>
      <c r="AS104" s="213" t="n">
        <f aca="false">IF(A105="","",1/(1+CHOOSE(F$3,(AR105+($I$3/10000))/2,(AR104+($I$3/10000))/2))^(2*AQ104/365.25))</f>
        <v>4.99701033619258</v>
      </c>
      <c r="AT104" s="137" t="n">
        <f aca="false">IF(A105="","",IF(AND(mthbeg&lt;=A104,mthend&gt;=A104),1,0))</f>
        <v>1</v>
      </c>
      <c r="AU104" s="137" t="n">
        <f aca="false">IF(A105="","",AO104*AT104)</f>
        <v>30</v>
      </c>
      <c r="AW104" s="195" t="e">
        <f aca="false">IF($A105="","",AL104*$E104)</f>
        <v>#NAME?</v>
      </c>
      <c r="AX104" s="195" t="e">
        <f aca="false">IF($A105="","",AM104*$E104)</f>
        <v>#N/A</v>
      </c>
      <c r="AY104" s="195" t="e">
        <f aca="false">IF($A105="","",AN104*$E104)</f>
        <v>#N/A</v>
      </c>
      <c r="BA104" s="195" t="n">
        <f aca="false">IF($A105="","",F104*Summary!$Q$7)</f>
        <v>0</v>
      </c>
      <c r="BC104" s="179" t="e">
        <f aca="false">IF(A105="","",AM104*F104)</f>
        <v>#N/A</v>
      </c>
    </row>
    <row r="105" customFormat="false" ht="12.75" hidden="false" customHeight="false" outlineLevel="0" collapsed="false">
      <c r="A105" s="196" t="n">
        <f aca="false">IF(A104&lt;mthend,EDATE(A104,1),"")</f>
        <v>39934</v>
      </c>
      <c r="B105" s="197" t="n">
        <f aca="false">IF(A105&lt;mthend,B104,"")</f>
        <v>40000</v>
      </c>
      <c r="C105" s="215"/>
      <c r="D105" s="197" t="n">
        <f aca="false">IF(A106&lt;&gt;"",B105+C105,"")</f>
        <v>40000</v>
      </c>
      <c r="E105" s="199" t="n">
        <f aca="false">IF(A106="","",IF(AND(AT105=1,$H$3=1),D105*AO105,IF($H$3=2,D105,"N/A")))</f>
        <v>1240000</v>
      </c>
      <c r="F105" s="199" t="n">
        <f aca="false">IF(A106="","",E105*AS105)</f>
        <v>6146829.18442968</v>
      </c>
      <c r="G105" s="200" t="e">
        <f aca="false">IF($A106="","",VLOOKUP($A105,Table,MATCH(G$4,Curves,0)))</f>
        <v>#N/A</v>
      </c>
      <c r="H105" s="201" t="e">
        <f aca="false">IF(A106="","",G105)</f>
        <v>#N/A</v>
      </c>
      <c r="I105" s="202"/>
      <c r="J105" s="200" t="e">
        <f aca="false">IF($A106="","",VLOOKUP($A105,Table,MATCH(J$4,Curves,0)))</f>
        <v>#N/A</v>
      </c>
      <c r="K105" s="201" t="e">
        <f aca="false">IF(A106="","",J105)</f>
        <v>#N/A</v>
      </c>
      <c r="L105" s="200" t="e">
        <f aca="false">IF($A106="","",VLOOKUP($A105,Table,MATCH(L$4,Curves,0)))</f>
        <v>#N/A</v>
      </c>
      <c r="M105" s="201" t="e">
        <f aca="false">IF(A106="","",L105)</f>
        <v>#N/A</v>
      </c>
      <c r="N105" s="203"/>
      <c r="O105" s="200" t="e">
        <f aca="false">IF(A106="","",L105+J105+G105)</f>
        <v>#N/A</v>
      </c>
      <c r="P105" s="200" t="e">
        <f aca="false">IF(A106="","",M105+K105+H105)</f>
        <v>#N/A</v>
      </c>
      <c r="Q105" s="204"/>
      <c r="R105" s="200" t="e">
        <f aca="false">IF($A106="","",VLOOKUP($A105,Table,MATCH(R$4,Curves,0)))</f>
        <v>#N/A</v>
      </c>
      <c r="S105" s="201" t="e">
        <f aca="false">IF(A106="","",R105)</f>
        <v>#N/A</v>
      </c>
      <c r="T105" s="200" t="e">
        <f aca="false">IF($A106="","",VLOOKUP($A105,Table,MATCH(T$4,Curves,0)))</f>
        <v>#N/A</v>
      </c>
      <c r="U105" s="201" t="e">
        <f aca="false">IF(A106="","",T105)</f>
        <v>#N/A</v>
      </c>
      <c r="V105" s="183" t="e">
        <f aca="false">IF($A106="","",IF(AND(MONTH(A105)&gt;3,MONTH(A105)&lt;11),(T105+R105+G105)*Summary!$T$7/(1-Summary!$T$7),(T105+R105+G105)*Summary!$U$7/(1-Summary!$U$7)))</f>
        <v>#N/A</v>
      </c>
      <c r="W105" s="200" t="e">
        <f aca="false">IF($A106="","",(T105+R105+G105+V105))</f>
        <v>#N/A</v>
      </c>
      <c r="X105" s="200" t="e">
        <f aca="false">IF($A106="","",(U105+S105+H105+V105))</f>
        <v>#N/A</v>
      </c>
      <c r="Y105" s="202"/>
      <c r="Z105" s="185" t="e">
        <f aca="false">IF($A106="","",VLOOKUP($A105,Table,MATCH(Z$4,Curves,0)))</f>
        <v>#N/A</v>
      </c>
      <c r="AA105" s="185" t="e">
        <f aca="false">IF($A106="","",VLOOKUP($A105,Table,MATCH(AA$4,Curves,0)))</f>
        <v>#N/A</v>
      </c>
      <c r="AB105" s="185" t="e">
        <f aca="false">SQRT((AA105^2*(A105-$D$3)+Z105^2*(DAY(EOMONTH(A105,0))/2))/AK105)</f>
        <v>#N/A</v>
      </c>
      <c r="AC105" s="185" t="e">
        <f aca="false">IF($A106="","",VLOOKUP($A105,Table,MATCH(AC$4,Curves,0)))</f>
        <v>#N/A</v>
      </c>
      <c r="AD105" s="185" t="e">
        <f aca="false">IF($A106="","",VLOOKUP($A105,Table,MATCH(AD$4,Curves,0)))</f>
        <v>#N/A</v>
      </c>
      <c r="AE105" s="185" t="e">
        <f aca="false">SQRT((AD105^2*(A105-$D$3)+AC105^2*(DAY(EOMONTH(A105,0))/2))/AK105)</f>
        <v>#N/A</v>
      </c>
      <c r="AF105" s="206" t="e">
        <f aca="false">((Summary!$N$7*(AA105*AD105)*(A105-$D$3))+(Summary!$M$7*Z105*AC105*(DAY(EOMONTH(A105,0))/2)))/(AK105*AB105*AE105)</f>
        <v>#N/A</v>
      </c>
      <c r="AG105" s="207" t="n">
        <f aca="false">IF($A106="","",Summary!$Q$7)</f>
        <v>0</v>
      </c>
      <c r="AH105" s="207" t="n">
        <f aca="false">IF($A106="","",IF(Summary!$R$7="Y",(VLOOKUP($A105,Summary!$AD$6:$AF$9,3)+'Escalating commodity'!C118),'Escalating commodity'!C118))</f>
        <v>0.0224952</v>
      </c>
      <c r="AI105" s="207" t="n">
        <f aca="false">IF($A106="","",AH105)</f>
        <v>0.0224952</v>
      </c>
      <c r="AJ105" s="208" t="n">
        <f aca="false">A105+DAY(EOMONTH(A105,0))/2-1</f>
        <v>39948.5</v>
      </c>
      <c r="AK105" s="209" t="n">
        <f aca="false">IF($A106="","",$A105-$E$1)</f>
        <v>-5992</v>
      </c>
      <c r="AL105" s="182" t="e">
        <f aca="false">IF($A106="","",SPRDOPT(P105,X105,AI105,0,AB105,AE105,AF105,AK105,$AJ$2,0))</f>
        <v>#NAME?</v>
      </c>
      <c r="AM105" s="210" t="e">
        <f aca="false">IF($A106="","",MAX(0,O105-W105-AI105))</f>
        <v>#N/A</v>
      </c>
      <c r="AN105" s="211" t="e">
        <f aca="false">IF($A106="","",AL105-AM105)</f>
        <v>#N/A</v>
      </c>
      <c r="AO105" s="137" t="n">
        <f aca="false">IF(A106="","",A106-A105)</f>
        <v>31</v>
      </c>
      <c r="AP105" s="212" t="n">
        <f aca="false">IF(A106="","",CHOOSE(F$3,A106+24,A105))</f>
        <v>39934</v>
      </c>
      <c r="AQ105" s="209" t="n">
        <f aca="false">IF(A106="","",AP105-$E$1)</f>
        <v>-5992</v>
      </c>
      <c r="AR105" s="185" t="n">
        <f aca="false">IF(Summary!$H$2=1,VLOOKUP('ANR OK vs ML7'!A105,Curves!$C$17:$AR$273,MATCH('ANR OK vs ML7'!$AR$4,Curves!$C$8:$AQ$8,0)),0.1)</f>
        <v>0.1</v>
      </c>
      <c r="AS105" s="213" t="n">
        <f aca="false">IF(A106="","",1/(1+CHOOSE(F$3,(AR106+($I$3/10000))/2,(AR105+($I$3/10000))/2))^(2*AQ105/365.25))</f>
        <v>4.95712031002393</v>
      </c>
      <c r="AT105" s="137" t="n">
        <f aca="false">IF(A106="","",IF(AND(mthbeg&lt;=A105,mthend&gt;=A105),1,0))</f>
        <v>1</v>
      </c>
      <c r="AU105" s="137" t="n">
        <f aca="false">IF(A106="","",AO105*AT105)</f>
        <v>31</v>
      </c>
      <c r="AW105" s="195" t="e">
        <f aca="false">IF($A106="","",AL105*$E105)</f>
        <v>#NAME?</v>
      </c>
      <c r="AX105" s="195" t="e">
        <f aca="false">IF($A106="","",AM105*$E105)</f>
        <v>#N/A</v>
      </c>
      <c r="AY105" s="195" t="e">
        <f aca="false">IF($A106="","",AN105*$E105)</f>
        <v>#N/A</v>
      </c>
      <c r="BA105" s="195" t="n">
        <f aca="false">IF($A106="","",F105*Summary!$Q$7)</f>
        <v>0</v>
      </c>
      <c r="BC105" s="179" t="e">
        <f aca="false">IF(A106="","",AM105*F105)</f>
        <v>#N/A</v>
      </c>
    </row>
    <row r="106" customFormat="false" ht="12.75" hidden="false" customHeight="false" outlineLevel="0" collapsed="false">
      <c r="A106" s="196" t="n">
        <f aca="false">IF(A105&lt;mthend,EDATE(A105,1),"")</f>
        <v>39965</v>
      </c>
      <c r="B106" s="197" t="n">
        <f aca="false">IF(A106&lt;mthend,B105,"")</f>
        <v>40000</v>
      </c>
      <c r="C106" s="215"/>
      <c r="D106" s="197" t="n">
        <f aca="false">IF(A107&lt;&gt;"",B106+C106,"")</f>
        <v>40000</v>
      </c>
      <c r="E106" s="199" t="n">
        <f aca="false">IF(A107="","",IF(AND(AT106=1,$H$3=1),D106*AO106,IF($H$3=2,D106,"N/A")))</f>
        <v>1200000</v>
      </c>
      <c r="F106" s="199" t="n">
        <f aca="false">IF(A107="","",E106*AS106)</f>
        <v>5899482.14207434</v>
      </c>
      <c r="G106" s="200" t="e">
        <f aca="false">IF($A107="","",VLOOKUP($A106,Table,MATCH(G$4,Curves,0)))</f>
        <v>#N/A</v>
      </c>
      <c r="H106" s="201" t="e">
        <f aca="false">IF(A107="","",G106)</f>
        <v>#N/A</v>
      </c>
      <c r="I106" s="202"/>
      <c r="J106" s="200" t="e">
        <f aca="false">IF($A107="","",VLOOKUP($A106,Table,MATCH(J$4,Curves,0)))</f>
        <v>#N/A</v>
      </c>
      <c r="K106" s="201" t="e">
        <f aca="false">IF(A107="","",J106)</f>
        <v>#N/A</v>
      </c>
      <c r="L106" s="200" t="e">
        <f aca="false">IF($A107="","",VLOOKUP($A106,Table,MATCH(L$4,Curves,0)))</f>
        <v>#N/A</v>
      </c>
      <c r="M106" s="201" t="e">
        <f aca="false">IF(A107="","",L106)</f>
        <v>#N/A</v>
      </c>
      <c r="N106" s="203"/>
      <c r="O106" s="200" t="e">
        <f aca="false">IF(A107="","",L106+J106+G106)</f>
        <v>#N/A</v>
      </c>
      <c r="P106" s="200" t="e">
        <f aca="false">IF(A107="","",M106+K106+H106)</f>
        <v>#N/A</v>
      </c>
      <c r="Q106" s="204"/>
      <c r="R106" s="200" t="e">
        <f aca="false">IF($A107="","",VLOOKUP($A106,Table,MATCH(R$4,Curves,0)))</f>
        <v>#N/A</v>
      </c>
      <c r="S106" s="201" t="e">
        <f aca="false">IF(A107="","",R106)</f>
        <v>#N/A</v>
      </c>
      <c r="T106" s="200" t="e">
        <f aca="false">IF($A107="","",VLOOKUP($A106,Table,MATCH(T$4,Curves,0)))</f>
        <v>#N/A</v>
      </c>
      <c r="U106" s="201" t="e">
        <f aca="false">IF(A107="","",T106)</f>
        <v>#N/A</v>
      </c>
      <c r="V106" s="183" t="e">
        <f aca="false">IF($A107="","",IF(AND(MONTH(A106)&gt;3,MONTH(A106)&lt;11),(T106+R106+G106)*Summary!$T$7/(1-Summary!$T$7),(T106+R106+G106)*Summary!$U$7/(1-Summary!$U$7)))</f>
        <v>#N/A</v>
      </c>
      <c r="W106" s="200" t="e">
        <f aca="false">IF($A107="","",(T106+R106+G106+V106))</f>
        <v>#N/A</v>
      </c>
      <c r="X106" s="200" t="e">
        <f aca="false">IF($A107="","",(U106+S106+H106+V106))</f>
        <v>#N/A</v>
      </c>
      <c r="Y106" s="202"/>
      <c r="Z106" s="185" t="e">
        <f aca="false">IF($A107="","",VLOOKUP($A106,Table,MATCH(Z$4,Curves,0)))</f>
        <v>#N/A</v>
      </c>
      <c r="AA106" s="185" t="e">
        <f aca="false">IF($A107="","",VLOOKUP($A106,Table,MATCH(AA$4,Curves,0)))</f>
        <v>#N/A</v>
      </c>
      <c r="AB106" s="185" t="e">
        <f aca="false">SQRT((AA106^2*(A106-$D$3)+Z106^2*(DAY(EOMONTH(A106,0))/2))/AK106)</f>
        <v>#N/A</v>
      </c>
      <c r="AC106" s="185" t="e">
        <f aca="false">IF($A107="","",VLOOKUP($A106,Table,MATCH(AC$4,Curves,0)))</f>
        <v>#N/A</v>
      </c>
      <c r="AD106" s="185" t="e">
        <f aca="false">IF($A107="","",VLOOKUP($A106,Table,MATCH(AD$4,Curves,0)))</f>
        <v>#N/A</v>
      </c>
      <c r="AE106" s="185" t="e">
        <f aca="false">SQRT((AD106^2*(A106-$D$3)+AC106^2*(DAY(EOMONTH(A106,0))/2))/AK106)</f>
        <v>#N/A</v>
      </c>
      <c r="AF106" s="206" t="e">
        <f aca="false">((Summary!$N$7*(AA106*AD106)*(A106-$D$3))+(Summary!$M$7*Z106*AC106*(DAY(EOMONTH(A106,0))/2)))/(AK106*AB106*AE106)</f>
        <v>#N/A</v>
      </c>
      <c r="AG106" s="207" t="n">
        <f aca="false">IF($A107="","",Summary!$Q$7)</f>
        <v>0</v>
      </c>
      <c r="AH106" s="207" t="n">
        <f aca="false">IF($A107="","",IF(Summary!$R$7="Y",(VLOOKUP($A106,Summary!$AD$6:$AF$9,3)+'Escalating commodity'!C119),'Escalating commodity'!C119))</f>
        <v>0.0224952</v>
      </c>
      <c r="AI106" s="207" t="n">
        <f aca="false">IF($A107="","",AH106)</f>
        <v>0.0224952</v>
      </c>
      <c r="AJ106" s="208" t="n">
        <f aca="false">A106+DAY(EOMONTH(A106,0))/2-1</f>
        <v>39979</v>
      </c>
      <c r="AK106" s="209" t="n">
        <f aca="false">IF($A107="","",$A106-$E$1)</f>
        <v>-5961</v>
      </c>
      <c r="AL106" s="182" t="e">
        <f aca="false">IF($A107="","",SPRDOPT(P106,X106,AI106,0,AB106,AE106,AF106,AK106,$AJ$2,0))</f>
        <v>#NAME?</v>
      </c>
      <c r="AM106" s="210" t="e">
        <f aca="false">IF($A107="","",MAX(0,O106-W106-AI106))</f>
        <v>#N/A</v>
      </c>
      <c r="AN106" s="211" t="e">
        <f aca="false">IF($A107="","",AL106-AM106)</f>
        <v>#N/A</v>
      </c>
      <c r="AO106" s="137" t="n">
        <f aca="false">IF(A107="","",A107-A106)</f>
        <v>30</v>
      </c>
      <c r="AP106" s="212" t="n">
        <f aca="false">IF(A107="","",CHOOSE(F$3,A107+24,A106))</f>
        <v>39965</v>
      </c>
      <c r="AQ106" s="209" t="n">
        <f aca="false">IF(A107="","",AP106-$E$1)</f>
        <v>-5961</v>
      </c>
      <c r="AR106" s="185" t="n">
        <f aca="false">IF(Summary!$H$2=1,VLOOKUP('ANR OK vs ML7'!A106,Curves!$C$17:$AR$273,MATCH('ANR OK vs ML7'!$AR$4,Curves!$C$8:$AQ$8,0)),0.1)</f>
        <v>0.1</v>
      </c>
      <c r="AS106" s="213" t="n">
        <f aca="false">IF(A107="","",1/(1+CHOOSE(F$3,(AR107+($I$3/10000))/2,(AR106+($I$3/10000))/2))^(2*AQ106/365.25))</f>
        <v>4.91623511839528</v>
      </c>
      <c r="AT106" s="137" t="n">
        <f aca="false">IF(A107="","",IF(AND(mthbeg&lt;=A106,mthend&gt;=A106),1,0))</f>
        <v>1</v>
      </c>
      <c r="AU106" s="137" t="n">
        <f aca="false">IF(A107="","",AO106*AT106)</f>
        <v>30</v>
      </c>
      <c r="AW106" s="195" t="e">
        <f aca="false">IF($A107="","",AL106*$E106)</f>
        <v>#NAME?</v>
      </c>
      <c r="AX106" s="195" t="e">
        <f aca="false">IF($A107="","",AM106*$E106)</f>
        <v>#N/A</v>
      </c>
      <c r="AY106" s="195" t="e">
        <f aca="false">IF($A107="","",AN106*$E106)</f>
        <v>#N/A</v>
      </c>
      <c r="BA106" s="195" t="n">
        <f aca="false">IF($A107="","",F106*Summary!$Q$7)</f>
        <v>0</v>
      </c>
      <c r="BC106" s="179" t="e">
        <f aca="false">IF(A107="","",AM106*F106)</f>
        <v>#N/A</v>
      </c>
    </row>
    <row r="107" customFormat="false" ht="12.75" hidden="false" customHeight="false" outlineLevel="0" collapsed="false">
      <c r="A107" s="196" t="n">
        <f aca="false">IF(A106&lt;mthend,EDATE(A106,1),"")</f>
        <v>39995</v>
      </c>
      <c r="B107" s="197" t="n">
        <f aca="false">IF(A107&lt;mthend,B106,"")</f>
        <v>40000</v>
      </c>
      <c r="C107" s="215"/>
      <c r="D107" s="197" t="n">
        <f aca="false">IF(A108&lt;&gt;"",B107+C107,"")</f>
        <v>40000</v>
      </c>
      <c r="E107" s="199" t="n">
        <f aca="false">IF(A108="","",IF(AND(AT107=1,$H$3=1),D107*AO107,IF($H$3=2,D107,"N/A")))</f>
        <v>1240000</v>
      </c>
      <c r="F107" s="199" t="n">
        <f aca="false">IF(A108="","",E107*AS107)</f>
        <v>6047467.47958409</v>
      </c>
      <c r="G107" s="200" t="e">
        <f aca="false">IF($A108="","",VLOOKUP($A107,Table,MATCH(G$4,Curves,0)))</f>
        <v>#N/A</v>
      </c>
      <c r="H107" s="201" t="e">
        <f aca="false">IF(A108="","",G107)</f>
        <v>#N/A</v>
      </c>
      <c r="I107" s="202"/>
      <c r="J107" s="200" t="e">
        <f aca="false">IF($A108="","",VLOOKUP($A107,Table,MATCH(J$4,Curves,0)))</f>
        <v>#N/A</v>
      </c>
      <c r="K107" s="201" t="e">
        <f aca="false">IF(A108="","",J107)</f>
        <v>#N/A</v>
      </c>
      <c r="L107" s="200" t="e">
        <f aca="false">IF($A108="","",VLOOKUP($A107,Table,MATCH(L$4,Curves,0)))</f>
        <v>#N/A</v>
      </c>
      <c r="M107" s="201" t="e">
        <f aca="false">IF(A108="","",L107)</f>
        <v>#N/A</v>
      </c>
      <c r="N107" s="203"/>
      <c r="O107" s="200" t="e">
        <f aca="false">IF(A108="","",L107+J107+G107)</f>
        <v>#N/A</v>
      </c>
      <c r="P107" s="200" t="e">
        <f aca="false">IF(A108="","",M107+K107+H107)</f>
        <v>#N/A</v>
      </c>
      <c r="Q107" s="204"/>
      <c r="R107" s="200" t="e">
        <f aca="false">IF($A108="","",VLOOKUP($A107,Table,MATCH(R$4,Curves,0)))</f>
        <v>#N/A</v>
      </c>
      <c r="S107" s="201" t="e">
        <f aca="false">IF(A108="","",R107)</f>
        <v>#N/A</v>
      </c>
      <c r="T107" s="200" t="e">
        <f aca="false">IF($A108="","",VLOOKUP($A107,Table,MATCH(T$4,Curves,0)))</f>
        <v>#N/A</v>
      </c>
      <c r="U107" s="201" t="e">
        <f aca="false">IF(A108="","",T107)</f>
        <v>#N/A</v>
      </c>
      <c r="V107" s="183" t="e">
        <f aca="false">IF($A108="","",IF(AND(MONTH(A107)&gt;3,MONTH(A107)&lt;11),(T107+R107+G107)*Summary!$T$7/(1-Summary!$T$7),(T107+R107+G107)*Summary!$U$7/(1-Summary!$U$7)))</f>
        <v>#N/A</v>
      </c>
      <c r="W107" s="200" t="e">
        <f aca="false">IF($A108="","",(T107+R107+G107+V107))</f>
        <v>#N/A</v>
      </c>
      <c r="X107" s="200" t="e">
        <f aca="false">IF($A108="","",(U107+S107+H107+V107))</f>
        <v>#N/A</v>
      </c>
      <c r="Y107" s="202"/>
      <c r="Z107" s="185" t="e">
        <f aca="false">IF($A108="","",VLOOKUP($A107,Table,MATCH(Z$4,Curves,0)))</f>
        <v>#N/A</v>
      </c>
      <c r="AA107" s="185" t="e">
        <f aca="false">IF($A108="","",VLOOKUP($A107,Table,MATCH(AA$4,Curves,0)))</f>
        <v>#N/A</v>
      </c>
      <c r="AB107" s="185" t="e">
        <f aca="false">SQRT((AA107^2*(A107-$D$3)+Z107^2*(DAY(EOMONTH(A107,0))/2))/AK107)</f>
        <v>#N/A</v>
      </c>
      <c r="AC107" s="185" t="e">
        <f aca="false">IF($A108="","",VLOOKUP($A107,Table,MATCH(AC$4,Curves,0)))</f>
        <v>#N/A</v>
      </c>
      <c r="AD107" s="185" t="e">
        <f aca="false">IF($A108="","",VLOOKUP($A107,Table,MATCH(AD$4,Curves,0)))</f>
        <v>#N/A</v>
      </c>
      <c r="AE107" s="185" t="e">
        <f aca="false">SQRT((AD107^2*(A107-$D$3)+AC107^2*(DAY(EOMONTH(A107,0))/2))/AK107)</f>
        <v>#N/A</v>
      </c>
      <c r="AF107" s="206" t="e">
        <f aca="false">((Summary!$N$7*(AA107*AD107)*(A107-$D$3))+(Summary!$M$7*Z107*AC107*(DAY(EOMONTH(A107,0))/2)))/(AK107*AB107*AE107)</f>
        <v>#N/A</v>
      </c>
      <c r="AG107" s="207" t="n">
        <f aca="false">IF($A108="","",Summary!$Q$7)</f>
        <v>0</v>
      </c>
      <c r="AH107" s="207" t="n">
        <f aca="false">IF($A108="","",IF(Summary!$R$7="Y",(VLOOKUP($A107,Summary!$AD$6:$AF$9,3)+'Escalating commodity'!C120),'Escalating commodity'!C120))</f>
        <v>0.0224952</v>
      </c>
      <c r="AI107" s="207" t="n">
        <f aca="false">IF($A108="","",AH107)</f>
        <v>0.0224952</v>
      </c>
      <c r="AJ107" s="208" t="n">
        <f aca="false">A107+DAY(EOMONTH(A107,0))/2-1</f>
        <v>40009.5</v>
      </c>
      <c r="AK107" s="209" t="n">
        <f aca="false">IF($A108="","",$A107-$E$1)</f>
        <v>-5931</v>
      </c>
      <c r="AL107" s="182" t="e">
        <f aca="false">IF($A108="","",SPRDOPT(P107,X107,AI107,0,AB107,AE107,AF107,AK107,$AJ$2,0))</f>
        <v>#NAME?</v>
      </c>
      <c r="AM107" s="210" t="e">
        <f aca="false">IF($A108="","",MAX(0,O107-W107-AI107))</f>
        <v>#N/A</v>
      </c>
      <c r="AN107" s="211" t="e">
        <f aca="false">IF($A108="","",AL107-AM107)</f>
        <v>#N/A</v>
      </c>
      <c r="AO107" s="137" t="n">
        <f aca="false">IF(A108="","",A108-A107)</f>
        <v>31</v>
      </c>
      <c r="AP107" s="212" t="n">
        <f aca="false">IF(A108="","",CHOOSE(F$3,A108+24,A107))</f>
        <v>39995</v>
      </c>
      <c r="AQ107" s="209" t="n">
        <f aca="false">IF(A108="","",AP107-$E$1)</f>
        <v>-5931</v>
      </c>
      <c r="AR107" s="185" t="n">
        <f aca="false">IF(Summary!$H$2=1,VLOOKUP('ANR OK vs ML7'!A107,Curves!$C$17:$AR$273,MATCH('ANR OK vs ML7'!$AR$4,Curves!$C$8:$AQ$8,0)),0.1)</f>
        <v>0.1</v>
      </c>
      <c r="AS107" s="213" t="n">
        <f aca="false">IF(A108="","",1/(1+CHOOSE(F$3,(AR108+($I$3/10000))/2,(AR107+($I$3/10000))/2))^(2*AQ107/365.25))</f>
        <v>4.87698990289039</v>
      </c>
      <c r="AT107" s="137" t="n">
        <f aca="false">IF(A108="","",IF(AND(mthbeg&lt;=A107,mthend&gt;=A107),1,0))</f>
        <v>1</v>
      </c>
      <c r="AU107" s="137" t="n">
        <f aca="false">IF(A108="","",AO107*AT107)</f>
        <v>31</v>
      </c>
      <c r="AW107" s="195" t="e">
        <f aca="false">IF($A108="","",AL107*$E107)</f>
        <v>#NAME?</v>
      </c>
      <c r="AX107" s="195" t="e">
        <f aca="false">IF($A108="","",AM107*$E107)</f>
        <v>#N/A</v>
      </c>
      <c r="AY107" s="195" t="e">
        <f aca="false">IF($A108="","",AN107*$E107)</f>
        <v>#N/A</v>
      </c>
      <c r="BA107" s="195" t="n">
        <f aca="false">IF($A108="","",F107*Summary!$Q$7)</f>
        <v>0</v>
      </c>
      <c r="BC107" s="179" t="e">
        <f aca="false">IF(A108="","",AM107*F107)</f>
        <v>#N/A</v>
      </c>
    </row>
    <row r="108" customFormat="false" ht="12.75" hidden="false" customHeight="false" outlineLevel="0" collapsed="false">
      <c r="A108" s="196" t="n">
        <f aca="false">IF(A107&lt;mthend,EDATE(A107,1),"")</f>
        <v>40026</v>
      </c>
      <c r="B108" s="197" t="n">
        <f aca="false">IF(A108&lt;mthend,B107,"")</f>
        <v>40000</v>
      </c>
      <c r="C108" s="215"/>
      <c r="D108" s="197" t="n">
        <f aca="false">IF(A109&lt;&gt;"",B108+C108,"")</f>
        <v>40000</v>
      </c>
      <c r="E108" s="199" t="n">
        <f aca="false">IF(A109="","",IF(AND(AT108=1,$H$3=1),D108*AO108,IF($H$3=2,D108,"N/A")))</f>
        <v>1240000</v>
      </c>
      <c r="F108" s="199" t="n">
        <f aca="false">IF(A109="","",E108*AS108)</f>
        <v>5997589.35452207</v>
      </c>
      <c r="G108" s="200" t="e">
        <f aca="false">IF($A109="","",VLOOKUP($A108,Table,MATCH(G$4,Curves,0)))</f>
        <v>#N/A</v>
      </c>
      <c r="H108" s="201" t="e">
        <f aca="false">IF(A109="","",G108)</f>
        <v>#N/A</v>
      </c>
      <c r="I108" s="202"/>
      <c r="J108" s="200" t="e">
        <f aca="false">IF($A109="","",VLOOKUP($A108,Table,MATCH(J$4,Curves,0)))</f>
        <v>#N/A</v>
      </c>
      <c r="K108" s="201" t="e">
        <f aca="false">IF(A109="","",J108)</f>
        <v>#N/A</v>
      </c>
      <c r="L108" s="200" t="e">
        <f aca="false">IF($A109="","",VLOOKUP($A108,Table,MATCH(L$4,Curves,0)))</f>
        <v>#N/A</v>
      </c>
      <c r="M108" s="201" t="e">
        <f aca="false">IF(A109="","",L108)</f>
        <v>#N/A</v>
      </c>
      <c r="N108" s="203"/>
      <c r="O108" s="200" t="e">
        <f aca="false">IF(A109="","",L108+J108+G108)</f>
        <v>#N/A</v>
      </c>
      <c r="P108" s="200" t="e">
        <f aca="false">IF(A109="","",M108+K108+H108)</f>
        <v>#N/A</v>
      </c>
      <c r="Q108" s="204"/>
      <c r="R108" s="200" t="e">
        <f aca="false">IF($A109="","",VLOOKUP($A108,Table,MATCH(R$4,Curves,0)))</f>
        <v>#N/A</v>
      </c>
      <c r="S108" s="201" t="e">
        <f aca="false">IF(A109="","",R108)</f>
        <v>#N/A</v>
      </c>
      <c r="T108" s="200" t="e">
        <f aca="false">IF($A109="","",VLOOKUP($A108,Table,MATCH(T$4,Curves,0)))</f>
        <v>#N/A</v>
      </c>
      <c r="U108" s="201" t="e">
        <f aca="false">IF(A109="","",T108)</f>
        <v>#N/A</v>
      </c>
      <c r="V108" s="183" t="e">
        <f aca="false">IF($A109="","",IF(AND(MONTH(A108)&gt;3,MONTH(A108)&lt;11),(T108+R108+G108)*Summary!$T$7/(1-Summary!$T$7),(T108+R108+G108)*Summary!$U$7/(1-Summary!$U$7)))</f>
        <v>#N/A</v>
      </c>
      <c r="W108" s="200" t="e">
        <f aca="false">IF($A109="","",(T108+R108+G108+V108))</f>
        <v>#N/A</v>
      </c>
      <c r="X108" s="200" t="e">
        <f aca="false">IF($A109="","",(U108+S108+H108+V108))</f>
        <v>#N/A</v>
      </c>
      <c r="Y108" s="202"/>
      <c r="Z108" s="185" t="e">
        <f aca="false">IF($A109="","",VLOOKUP($A108,Table,MATCH(Z$4,Curves,0)))</f>
        <v>#N/A</v>
      </c>
      <c r="AA108" s="185" t="e">
        <f aca="false">IF($A109="","",VLOOKUP($A108,Table,MATCH(AA$4,Curves,0)))</f>
        <v>#N/A</v>
      </c>
      <c r="AB108" s="185" t="e">
        <f aca="false">SQRT((AA108^2*(A108-$D$3)+Z108^2*(DAY(EOMONTH(A108,0))/2))/AK108)</f>
        <v>#N/A</v>
      </c>
      <c r="AC108" s="185" t="e">
        <f aca="false">IF($A109="","",VLOOKUP($A108,Table,MATCH(AC$4,Curves,0)))</f>
        <v>#N/A</v>
      </c>
      <c r="AD108" s="185" t="e">
        <f aca="false">IF($A109="","",VLOOKUP($A108,Table,MATCH(AD$4,Curves,0)))</f>
        <v>#N/A</v>
      </c>
      <c r="AE108" s="185" t="e">
        <f aca="false">SQRT((AD108^2*(A108-$D$3)+AC108^2*(DAY(EOMONTH(A108,0))/2))/AK108)</f>
        <v>#N/A</v>
      </c>
      <c r="AF108" s="206" t="e">
        <f aca="false">((Summary!$N$7*(AA108*AD108)*(A108-$D$3))+(Summary!$M$7*Z108*AC108*(DAY(EOMONTH(A108,0))/2)))/(AK108*AB108*AE108)</f>
        <v>#N/A</v>
      </c>
      <c r="AG108" s="207" t="n">
        <f aca="false">IF($A109="","",Summary!$Q$7)</f>
        <v>0</v>
      </c>
      <c r="AH108" s="207" t="n">
        <f aca="false">IF($A109="","",IF(Summary!$R$7="Y",(VLOOKUP($A108,Summary!$AD$6:$AF$9,3)+'Escalating commodity'!C121),'Escalating commodity'!C121))</f>
        <v>0.0224952</v>
      </c>
      <c r="AI108" s="207" t="n">
        <f aca="false">IF($A109="","",AH108)</f>
        <v>0.0224952</v>
      </c>
      <c r="AJ108" s="208" t="n">
        <f aca="false">A108+DAY(EOMONTH(A108,0))/2-1</f>
        <v>40040.5</v>
      </c>
      <c r="AK108" s="209" t="n">
        <f aca="false">IF($A109="","",$A108-$E$1)</f>
        <v>-5900</v>
      </c>
      <c r="AL108" s="182" t="e">
        <f aca="false">IF($A109="","",SPRDOPT(P108,X108,AI108,0,AB108,AE108,AF108,AK108,$AJ$2,0))</f>
        <v>#NAME?</v>
      </c>
      <c r="AM108" s="210" t="e">
        <f aca="false">IF($A109="","",MAX(0,O108-W108-AI108))</f>
        <v>#N/A</v>
      </c>
      <c r="AN108" s="211" t="e">
        <f aca="false">IF($A109="","",AL108-AM108)</f>
        <v>#N/A</v>
      </c>
      <c r="AO108" s="137" t="n">
        <f aca="false">IF(A109="","",A109-A108)</f>
        <v>31</v>
      </c>
      <c r="AP108" s="212" t="n">
        <f aca="false">IF(A109="","",CHOOSE(F$3,A109+24,A108))</f>
        <v>40026</v>
      </c>
      <c r="AQ108" s="209" t="n">
        <f aca="false">IF(A109="","",AP108-$E$1)</f>
        <v>-5900</v>
      </c>
      <c r="AR108" s="185" t="n">
        <f aca="false">IF(Summary!$H$2=1,VLOOKUP('ANR OK vs ML7'!A108,Curves!$C$17:$AR$273,MATCH('ANR OK vs ML7'!$AR$4,Curves!$C$8:$AQ$8,0)),0.1)</f>
        <v>0.1</v>
      </c>
      <c r="AS108" s="213" t="n">
        <f aca="false">IF(A109="","",1/(1+CHOOSE(F$3,(AR109+($I$3/10000))/2,(AR108+($I$3/10000))/2))^(2*AQ108/365.25))</f>
        <v>4.83676560848554</v>
      </c>
      <c r="AT108" s="137" t="n">
        <f aca="false">IF(A109="","",IF(AND(mthbeg&lt;=A108,mthend&gt;=A108),1,0))</f>
        <v>1</v>
      </c>
      <c r="AU108" s="137" t="n">
        <f aca="false">IF(A109="","",AO108*AT108)</f>
        <v>31</v>
      </c>
      <c r="AW108" s="195" t="e">
        <f aca="false">IF($A109="","",AL108*$E108)</f>
        <v>#NAME?</v>
      </c>
      <c r="AX108" s="195" t="e">
        <f aca="false">IF($A109="","",AM108*$E108)</f>
        <v>#N/A</v>
      </c>
      <c r="AY108" s="195" t="e">
        <f aca="false">IF($A109="","",AN108*$E108)</f>
        <v>#N/A</v>
      </c>
      <c r="BA108" s="195" t="n">
        <f aca="false">IF($A109="","",F108*Summary!$Q$7)</f>
        <v>0</v>
      </c>
      <c r="BC108" s="179" t="e">
        <f aca="false">IF(A109="","",AM108*F108)</f>
        <v>#N/A</v>
      </c>
    </row>
    <row r="109" customFormat="false" ht="12.75" hidden="false" customHeight="false" outlineLevel="0" collapsed="false">
      <c r="A109" s="196" t="n">
        <f aca="false">IF(A108&lt;mthend,EDATE(A108,1),"")</f>
        <v>40057</v>
      </c>
      <c r="B109" s="197" t="n">
        <f aca="false">IF(A109&lt;mthend,B108,"")</f>
        <v>40000</v>
      </c>
      <c r="C109" s="215"/>
      <c r="D109" s="197" t="n">
        <f aca="false">IF(A110&lt;&gt;"",B109+C109,"")</f>
        <v>40000</v>
      </c>
      <c r="E109" s="199" t="n">
        <f aca="false">IF(A110="","",IF(AND(AT109=1,$H$3=1),D109*AO109,IF($H$3=2,D109,"N/A")))</f>
        <v>1200000</v>
      </c>
      <c r="F109" s="199" t="n">
        <f aca="false">IF(A110="","",E109*AS109)</f>
        <v>5756247.68980481</v>
      </c>
      <c r="G109" s="200" t="e">
        <f aca="false">IF($A110="","",VLOOKUP($A109,Table,MATCH(G$4,Curves,0)))</f>
        <v>#N/A</v>
      </c>
      <c r="H109" s="201" t="e">
        <f aca="false">IF(A110="","",G109)</f>
        <v>#N/A</v>
      </c>
      <c r="I109" s="202"/>
      <c r="J109" s="200" t="e">
        <f aca="false">IF($A110="","",VLOOKUP($A109,Table,MATCH(J$4,Curves,0)))</f>
        <v>#N/A</v>
      </c>
      <c r="K109" s="201" t="e">
        <f aca="false">IF(A110="","",J109)</f>
        <v>#N/A</v>
      </c>
      <c r="L109" s="200" t="e">
        <f aca="false">IF($A110="","",VLOOKUP($A109,Table,MATCH(L$4,Curves,0)))</f>
        <v>#N/A</v>
      </c>
      <c r="M109" s="201" t="e">
        <f aca="false">IF(A110="","",L109)</f>
        <v>#N/A</v>
      </c>
      <c r="N109" s="203"/>
      <c r="O109" s="200" t="e">
        <f aca="false">IF(A110="","",L109+J109+G109)</f>
        <v>#N/A</v>
      </c>
      <c r="P109" s="200" t="e">
        <f aca="false">IF(A110="","",M109+K109+H109)</f>
        <v>#N/A</v>
      </c>
      <c r="Q109" s="204"/>
      <c r="R109" s="200" t="e">
        <f aca="false">IF($A110="","",VLOOKUP($A109,Table,MATCH(R$4,Curves,0)))</f>
        <v>#N/A</v>
      </c>
      <c r="S109" s="201" t="e">
        <f aca="false">IF(A110="","",R109)</f>
        <v>#N/A</v>
      </c>
      <c r="T109" s="200" t="e">
        <f aca="false">IF($A110="","",VLOOKUP($A109,Table,MATCH(T$4,Curves,0)))</f>
        <v>#N/A</v>
      </c>
      <c r="U109" s="201" t="e">
        <f aca="false">IF(A110="","",T109)</f>
        <v>#N/A</v>
      </c>
      <c r="V109" s="183" t="e">
        <f aca="false">IF($A110="","",IF(AND(MONTH(A109)&gt;3,MONTH(A109)&lt;11),(T109+R109+G109)*Summary!$T$7/(1-Summary!$T$7),(T109+R109+G109)*Summary!$U$7/(1-Summary!$U$7)))</f>
        <v>#N/A</v>
      </c>
      <c r="W109" s="200" t="e">
        <f aca="false">IF($A110="","",(T109+R109+G109+V109))</f>
        <v>#N/A</v>
      </c>
      <c r="X109" s="200" t="e">
        <f aca="false">IF($A110="","",(U109+S109+H109+V109))</f>
        <v>#N/A</v>
      </c>
      <c r="Y109" s="202"/>
      <c r="Z109" s="185" t="e">
        <f aca="false">IF($A110="","",VLOOKUP($A109,Table,MATCH(Z$4,Curves,0)))</f>
        <v>#N/A</v>
      </c>
      <c r="AA109" s="185" t="e">
        <f aca="false">IF($A110="","",VLOOKUP($A109,Table,MATCH(AA$4,Curves,0)))</f>
        <v>#N/A</v>
      </c>
      <c r="AB109" s="185" t="e">
        <f aca="false">SQRT((AA109^2*(A109-$D$3)+Z109^2*(DAY(EOMONTH(A109,0))/2))/AK109)</f>
        <v>#N/A</v>
      </c>
      <c r="AC109" s="185" t="e">
        <f aca="false">IF($A110="","",VLOOKUP($A109,Table,MATCH(AC$4,Curves,0)))</f>
        <v>#N/A</v>
      </c>
      <c r="AD109" s="185" t="e">
        <f aca="false">IF($A110="","",VLOOKUP($A109,Table,MATCH(AD$4,Curves,0)))</f>
        <v>#N/A</v>
      </c>
      <c r="AE109" s="185" t="e">
        <f aca="false">SQRT((AD109^2*(A109-$D$3)+AC109^2*(DAY(EOMONTH(A109,0))/2))/AK109)</f>
        <v>#N/A</v>
      </c>
      <c r="AF109" s="206" t="e">
        <f aca="false">((Summary!$N$7*(AA109*AD109)*(A109-$D$3))+(Summary!$M$7*Z109*AC109*(DAY(EOMONTH(A109,0))/2)))/(AK109*AB109*AE109)</f>
        <v>#N/A</v>
      </c>
      <c r="AG109" s="207" t="n">
        <f aca="false">IF($A110="","",Summary!$Q$7)</f>
        <v>0</v>
      </c>
      <c r="AH109" s="207" t="n">
        <f aca="false">IF($A110="","",IF(Summary!$R$7="Y",(VLOOKUP($A109,Summary!$AD$6:$AF$9,3)+'Escalating commodity'!C122),'Escalating commodity'!C122))</f>
        <v>0.0224952</v>
      </c>
      <c r="AI109" s="207" t="n">
        <f aca="false">IF($A110="","",AH109)</f>
        <v>0.0224952</v>
      </c>
      <c r="AJ109" s="208" t="n">
        <f aca="false">A109+DAY(EOMONTH(A109,0))/2-1</f>
        <v>40071</v>
      </c>
      <c r="AK109" s="209" t="n">
        <f aca="false">IF($A110="","",$A109-$E$1)</f>
        <v>-5869</v>
      </c>
      <c r="AL109" s="182" t="e">
        <f aca="false">IF($A110="","",SPRDOPT(P109,X109,AI109,0,AB109,AE109,AF109,AK109,$AJ$2,0))</f>
        <v>#NAME?</v>
      </c>
      <c r="AM109" s="210" t="e">
        <f aca="false">IF($A110="","",MAX(0,O109-W109-AI109))</f>
        <v>#N/A</v>
      </c>
      <c r="AN109" s="211" t="e">
        <f aca="false">IF($A110="","",AL109-AM109)</f>
        <v>#N/A</v>
      </c>
      <c r="AO109" s="137" t="n">
        <f aca="false">IF(A110="","",A110-A109)</f>
        <v>30</v>
      </c>
      <c r="AP109" s="212" t="n">
        <f aca="false">IF(A110="","",CHOOSE(F$3,A110+24,A109))</f>
        <v>40057</v>
      </c>
      <c r="AQ109" s="209" t="n">
        <f aca="false">IF(A110="","",AP109-$E$1)</f>
        <v>-5869</v>
      </c>
      <c r="AR109" s="185" t="n">
        <f aca="false">IF(Summary!$H$2=1,VLOOKUP('ANR OK vs ML7'!A109,Curves!$C$17:$AR$273,MATCH('ANR OK vs ML7'!$AR$4,Curves!$C$8:$AQ$8,0)),0.1)</f>
        <v>0.1</v>
      </c>
      <c r="AS109" s="213" t="n">
        <f aca="false">IF(A110="","",1/(1+CHOOSE(F$3,(AR110+($I$3/10000))/2,(AR109+($I$3/10000))/2))^(2*AQ109/365.25))</f>
        <v>4.79687307483734</v>
      </c>
      <c r="AT109" s="137" t="n">
        <f aca="false">IF(A110="","",IF(AND(mthbeg&lt;=A109,mthend&gt;=A109),1,0))</f>
        <v>1</v>
      </c>
      <c r="AU109" s="137" t="n">
        <f aca="false">IF(A110="","",AO109*AT109)</f>
        <v>30</v>
      </c>
      <c r="AW109" s="195" t="e">
        <f aca="false">IF($A110="","",AL109*$E109)</f>
        <v>#NAME?</v>
      </c>
      <c r="AX109" s="195" t="e">
        <f aca="false">IF($A110="","",AM109*$E109)</f>
        <v>#N/A</v>
      </c>
      <c r="AY109" s="195" t="e">
        <f aca="false">IF($A110="","",AN109*$E109)</f>
        <v>#N/A</v>
      </c>
      <c r="BA109" s="195" t="n">
        <f aca="false">IF($A110="","",F109*Summary!$Q$7)</f>
        <v>0</v>
      </c>
      <c r="BC109" s="179" t="e">
        <f aca="false">IF(A110="","",AM109*F109)</f>
        <v>#N/A</v>
      </c>
    </row>
    <row r="110" customFormat="false" ht="12.75" hidden="false" customHeight="false" outlineLevel="0" collapsed="false">
      <c r="A110" s="196" t="n">
        <f aca="false">IF(A109&lt;mthend,EDATE(A109,1),"")</f>
        <v>40087</v>
      </c>
      <c r="B110" s="197" t="n">
        <f aca="false">IF(A110&lt;mthend,B109,"")</f>
        <v>40000</v>
      </c>
      <c r="C110" s="215"/>
      <c r="D110" s="197" t="n">
        <f aca="false">IF(A111&lt;&gt;"",B110+C110,"")</f>
        <v>40000</v>
      </c>
      <c r="E110" s="199" t="n">
        <f aca="false">IF(A111="","",IF(AND(AT110=1,$H$3=1),D110*AO110,IF($H$3=2,D110,"N/A")))</f>
        <v>1240000</v>
      </c>
      <c r="F110" s="199" t="n">
        <f aca="false">IF(A111="","",E110*AS110)</f>
        <v>5900640.06809345</v>
      </c>
      <c r="G110" s="200" t="e">
        <f aca="false">IF($A111="","",VLOOKUP($A110,Table,MATCH(G$4,Curves,0)))</f>
        <v>#N/A</v>
      </c>
      <c r="H110" s="201" t="e">
        <f aca="false">IF(A111="","",G110)</f>
        <v>#N/A</v>
      </c>
      <c r="I110" s="202"/>
      <c r="J110" s="200" t="e">
        <f aca="false">IF($A111="","",VLOOKUP($A110,Table,MATCH(J$4,Curves,0)))</f>
        <v>#N/A</v>
      </c>
      <c r="K110" s="201" t="e">
        <f aca="false">IF(A111="","",J110)</f>
        <v>#N/A</v>
      </c>
      <c r="L110" s="200" t="e">
        <f aca="false">IF($A111="","",VLOOKUP($A110,Table,MATCH(L$4,Curves,0)))</f>
        <v>#N/A</v>
      </c>
      <c r="M110" s="201" t="e">
        <f aca="false">IF(A111="","",L110)</f>
        <v>#N/A</v>
      </c>
      <c r="N110" s="203"/>
      <c r="O110" s="200" t="e">
        <f aca="false">IF(A111="","",L110+J110+G110)</f>
        <v>#N/A</v>
      </c>
      <c r="P110" s="200" t="e">
        <f aca="false">IF(A111="","",M110+K110+H110)</f>
        <v>#N/A</v>
      </c>
      <c r="Q110" s="204"/>
      <c r="R110" s="200" t="e">
        <f aca="false">IF($A111="","",VLOOKUP($A110,Table,MATCH(R$4,Curves,0)))</f>
        <v>#N/A</v>
      </c>
      <c r="S110" s="201" t="e">
        <f aca="false">IF(A111="","",R110)</f>
        <v>#N/A</v>
      </c>
      <c r="T110" s="200" t="e">
        <f aca="false">IF($A111="","",VLOOKUP($A110,Table,MATCH(T$4,Curves,0)))</f>
        <v>#N/A</v>
      </c>
      <c r="U110" s="201" t="e">
        <f aca="false">IF(A111="","",T110)</f>
        <v>#N/A</v>
      </c>
      <c r="V110" s="183" t="e">
        <f aca="false">IF($A111="","",IF(AND(MONTH(A110)&gt;3,MONTH(A110)&lt;11),(T110+R110+G110)*Summary!$T$7/(1-Summary!$T$7),(T110+R110+G110)*Summary!$U$7/(1-Summary!$U$7)))</f>
        <v>#N/A</v>
      </c>
      <c r="W110" s="200" t="e">
        <f aca="false">IF($A111="","",(T110+R110+G110+V110))</f>
        <v>#N/A</v>
      </c>
      <c r="X110" s="200" t="e">
        <f aca="false">IF($A111="","",(U110+S110+H110+V110))</f>
        <v>#N/A</v>
      </c>
      <c r="Y110" s="202"/>
      <c r="Z110" s="185" t="e">
        <f aca="false">IF($A111="","",VLOOKUP($A110,Table,MATCH(Z$4,Curves,0)))</f>
        <v>#N/A</v>
      </c>
      <c r="AA110" s="185" t="e">
        <f aca="false">IF($A111="","",VLOOKUP($A110,Table,MATCH(AA$4,Curves,0)))</f>
        <v>#N/A</v>
      </c>
      <c r="AB110" s="185" t="e">
        <f aca="false">SQRT((AA110^2*(A110-$D$3)+Z110^2*(DAY(EOMONTH(A110,0))/2))/AK110)</f>
        <v>#N/A</v>
      </c>
      <c r="AC110" s="185" t="e">
        <f aca="false">IF($A111="","",VLOOKUP($A110,Table,MATCH(AC$4,Curves,0)))</f>
        <v>#N/A</v>
      </c>
      <c r="AD110" s="185" t="e">
        <f aca="false">IF($A111="","",VLOOKUP($A110,Table,MATCH(AD$4,Curves,0)))</f>
        <v>#N/A</v>
      </c>
      <c r="AE110" s="185" t="e">
        <f aca="false">SQRT((AD110^2*(A110-$D$3)+AC110^2*(DAY(EOMONTH(A110,0))/2))/AK110)</f>
        <v>#N/A</v>
      </c>
      <c r="AF110" s="206" t="e">
        <f aca="false">((Summary!$N$7*(AA110*AD110)*(A110-$D$3))+(Summary!$M$7*Z110*AC110*(DAY(EOMONTH(A110,0))/2)))/(AK110*AB110*AE110)</f>
        <v>#N/A</v>
      </c>
      <c r="AG110" s="207" t="n">
        <f aca="false">IF($A111="","",Summary!$Q$7)</f>
        <v>0</v>
      </c>
      <c r="AH110" s="207" t="n">
        <f aca="false">IF($A111="","",IF(Summary!$R$7="Y",(VLOOKUP($A110,Summary!$AD$6:$AF$9,3)+'Escalating commodity'!C123),'Escalating commodity'!C123))</f>
        <v>0.0224952</v>
      </c>
      <c r="AI110" s="207" t="n">
        <f aca="false">IF($A111="","",AH110)</f>
        <v>0.0224952</v>
      </c>
      <c r="AJ110" s="208" t="n">
        <f aca="false">A110+DAY(EOMONTH(A110,0))/2-1</f>
        <v>40101.5</v>
      </c>
      <c r="AK110" s="209" t="n">
        <f aca="false">IF($A111="","",$A110-$E$1)</f>
        <v>-5839</v>
      </c>
      <c r="AL110" s="182" t="e">
        <f aca="false">IF($A111="","",SPRDOPT(P110,X110,AI110,0,AB110,AE110,AF110,AK110,$AJ$2,0))</f>
        <v>#NAME?</v>
      </c>
      <c r="AM110" s="210" t="e">
        <f aca="false">IF($A111="","",MAX(0,O110-W110-AI110))</f>
        <v>#N/A</v>
      </c>
      <c r="AN110" s="211" t="e">
        <f aca="false">IF($A111="","",AL110-AM110)</f>
        <v>#N/A</v>
      </c>
      <c r="AO110" s="137" t="n">
        <f aca="false">IF(A111="","",A111-A110)</f>
        <v>31</v>
      </c>
      <c r="AP110" s="212" t="n">
        <f aca="false">IF(A111="","",CHOOSE(F$3,A111+24,A110))</f>
        <v>40087</v>
      </c>
      <c r="AQ110" s="209" t="n">
        <f aca="false">IF(A111="","",AP110-$E$1)</f>
        <v>-5839</v>
      </c>
      <c r="AR110" s="185" t="n">
        <f aca="false">IF(Summary!$H$2=1,VLOOKUP('ANR OK vs ML7'!A110,Curves!$C$17:$AR$273,MATCH('ANR OK vs ML7'!$AR$4,Curves!$C$8:$AQ$8,0)),0.1)</f>
        <v>0.1</v>
      </c>
      <c r="AS110" s="213" t="n">
        <f aca="false">IF(A111="","",1/(1+CHOOSE(F$3,(AR111+($I$3/10000))/2,(AR110+($I$3/10000))/2))^(2*AQ110/365.25))</f>
        <v>4.75858070007537</v>
      </c>
      <c r="AT110" s="137" t="n">
        <f aca="false">IF(A111="","",IF(AND(mthbeg&lt;=A110,mthend&gt;=A110),1,0))</f>
        <v>1</v>
      </c>
      <c r="AU110" s="137" t="n">
        <f aca="false">IF(A111="","",AO110*AT110)</f>
        <v>31</v>
      </c>
      <c r="AW110" s="195" t="e">
        <f aca="false">IF($A111="","",AL110*$E110)</f>
        <v>#NAME?</v>
      </c>
      <c r="AX110" s="195" t="e">
        <f aca="false">IF($A111="","",AM110*$E110)</f>
        <v>#N/A</v>
      </c>
      <c r="AY110" s="195" t="e">
        <f aca="false">IF($A111="","",AN110*$E110)</f>
        <v>#N/A</v>
      </c>
      <c r="BA110" s="195" t="n">
        <f aca="false">IF($A111="","",F110*Summary!$Q$7)</f>
        <v>0</v>
      </c>
      <c r="BC110" s="179" t="e">
        <f aca="false">IF(A111="","",AM110*F110)</f>
        <v>#N/A</v>
      </c>
    </row>
    <row r="111" customFormat="false" ht="12.75" hidden="false" customHeight="false" outlineLevel="0" collapsed="false">
      <c r="A111" s="196" t="n">
        <f aca="false">IF(A110&lt;mthend,EDATE(A110,1),"")</f>
        <v>40118</v>
      </c>
      <c r="B111" s="197" t="n">
        <f aca="false">IF(A111&lt;mthend,B110,"")</f>
        <v>40000</v>
      </c>
      <c r="C111" s="215"/>
      <c r="D111" s="197" t="n">
        <f aca="false">IF(A112&lt;&gt;"",B111+C111,"")</f>
        <v>40000</v>
      </c>
      <c r="E111" s="199" t="n">
        <f aca="false">IF(A112="","",IF(AND(AT111=1,$H$3=1),D111*AO111,IF($H$3=2,D111,"N/A")))</f>
        <v>1200000</v>
      </c>
      <c r="F111" s="199" t="n">
        <f aca="false">IF(A112="","",E111*AS111)</f>
        <v>5663199.62114833</v>
      </c>
      <c r="G111" s="200" t="e">
        <f aca="false">IF($A112="","",VLOOKUP($A111,Table,MATCH(G$4,Curves,0)))</f>
        <v>#N/A</v>
      </c>
      <c r="H111" s="201" t="e">
        <f aca="false">IF(A112="","",G111)</f>
        <v>#N/A</v>
      </c>
      <c r="I111" s="202"/>
      <c r="J111" s="200" t="e">
        <f aca="false">IF($A112="","",VLOOKUP($A111,Table,MATCH(J$4,Curves,0)))</f>
        <v>#N/A</v>
      </c>
      <c r="K111" s="201" t="e">
        <f aca="false">IF(A112="","",J111)</f>
        <v>#N/A</v>
      </c>
      <c r="L111" s="200" t="e">
        <f aca="false">IF($A112="","",VLOOKUP($A111,Table,MATCH(L$4,Curves,0)))</f>
        <v>#N/A</v>
      </c>
      <c r="M111" s="201" t="e">
        <f aca="false">IF(A112="","",L111)</f>
        <v>#N/A</v>
      </c>
      <c r="N111" s="203"/>
      <c r="O111" s="200" t="e">
        <f aca="false">IF(A112="","",L111+J111+G111)</f>
        <v>#N/A</v>
      </c>
      <c r="P111" s="200" t="e">
        <f aca="false">IF(A112="","",M111+K111+H111)</f>
        <v>#N/A</v>
      </c>
      <c r="Q111" s="204"/>
      <c r="R111" s="200" t="e">
        <f aca="false">IF($A112="","",VLOOKUP($A111,Table,MATCH(R$4,Curves,0)))</f>
        <v>#N/A</v>
      </c>
      <c r="S111" s="201" t="e">
        <f aca="false">IF(A112="","",R111)</f>
        <v>#N/A</v>
      </c>
      <c r="T111" s="200" t="e">
        <f aca="false">IF($A112="","",VLOOKUP($A111,Table,MATCH(T$4,Curves,0)))</f>
        <v>#N/A</v>
      </c>
      <c r="U111" s="201" t="e">
        <f aca="false">IF(A112="","",T111)</f>
        <v>#N/A</v>
      </c>
      <c r="V111" s="183" t="e">
        <f aca="false">IF($A112="","",IF(AND(MONTH(A111)&gt;3,MONTH(A111)&lt;11),(T111+R111+G111)*Summary!$T$7/(1-Summary!$T$7),(T111+R111+G111)*Summary!$U$7/(1-Summary!$U$7)))</f>
        <v>#N/A</v>
      </c>
      <c r="W111" s="200" t="e">
        <f aca="false">IF($A112="","",(T111+R111+G111+V111))</f>
        <v>#N/A</v>
      </c>
      <c r="X111" s="200" t="e">
        <f aca="false">IF($A112="","",(U111+S111+H111+V111))</f>
        <v>#N/A</v>
      </c>
      <c r="Y111" s="202"/>
      <c r="Z111" s="185" t="e">
        <f aca="false">IF($A112="","",VLOOKUP($A111,Table,MATCH(Z$4,Curves,0)))</f>
        <v>#N/A</v>
      </c>
      <c r="AA111" s="185" t="e">
        <f aca="false">IF($A112="","",VLOOKUP($A111,Table,MATCH(AA$4,Curves,0)))</f>
        <v>#N/A</v>
      </c>
      <c r="AB111" s="185" t="e">
        <f aca="false">SQRT((AA111^2*(A111-$D$3)+Z111^2*(DAY(EOMONTH(A111,0))/2))/AK111)</f>
        <v>#N/A</v>
      </c>
      <c r="AC111" s="185" t="e">
        <f aca="false">IF($A112="","",VLOOKUP($A111,Table,MATCH(AC$4,Curves,0)))</f>
        <v>#N/A</v>
      </c>
      <c r="AD111" s="185" t="e">
        <f aca="false">IF($A112="","",VLOOKUP($A111,Table,MATCH(AD$4,Curves,0)))</f>
        <v>#N/A</v>
      </c>
      <c r="AE111" s="185" t="e">
        <f aca="false">SQRT((AD111^2*(A111-$D$3)+AC111^2*(DAY(EOMONTH(A111,0))/2))/AK111)</f>
        <v>#N/A</v>
      </c>
      <c r="AF111" s="206" t="e">
        <f aca="false">((Summary!$N$7*(AA111*AD111)*(A111-$D$3))+(Summary!$M$7*Z111*AC111*(DAY(EOMONTH(A111,0))/2)))/(AK111*AB111*AE111)</f>
        <v>#N/A</v>
      </c>
      <c r="AG111" s="207" t="n">
        <f aca="false">IF($A112="","",Summary!$Q$7)</f>
        <v>0</v>
      </c>
      <c r="AH111" s="207" t="n">
        <f aca="false">IF($A112="","",IF(Summary!$R$7="Y",(VLOOKUP($A111,Summary!$AD$6:$AF$9,3)+'Escalating commodity'!C124),'Escalating commodity'!C124))</f>
        <v>0.0224952</v>
      </c>
      <c r="AI111" s="207" t="n">
        <f aca="false">IF($A112="","",AH111)</f>
        <v>0.0224952</v>
      </c>
      <c r="AJ111" s="208" t="n">
        <f aca="false">A111+DAY(EOMONTH(A111,0))/2-1</f>
        <v>40132</v>
      </c>
      <c r="AK111" s="209" t="n">
        <f aca="false">IF($A112="","",$A111-$E$1)</f>
        <v>-5808</v>
      </c>
      <c r="AL111" s="182" t="e">
        <f aca="false">IF($A112="","",SPRDOPT(P111,X111,AI111,0,AB111,AE111,AF111,AK111,$AJ$2,0))</f>
        <v>#NAME?</v>
      </c>
      <c r="AM111" s="210" t="e">
        <f aca="false">IF($A112="","",MAX(0,O111-W111-AI111))</f>
        <v>#N/A</v>
      </c>
      <c r="AN111" s="211" t="e">
        <f aca="false">IF($A112="","",AL111-AM111)</f>
        <v>#N/A</v>
      </c>
      <c r="AO111" s="137" t="n">
        <f aca="false">IF(A112="","",A112-A111)</f>
        <v>30</v>
      </c>
      <c r="AP111" s="212" t="n">
        <f aca="false">IF(A112="","",CHOOSE(F$3,A112+24,A111))</f>
        <v>40118</v>
      </c>
      <c r="AQ111" s="209" t="n">
        <f aca="false">IF(A112="","",AP111-$E$1)</f>
        <v>-5808</v>
      </c>
      <c r="AR111" s="185" t="n">
        <f aca="false">IF(Summary!$H$2=1,VLOOKUP('ANR OK vs ML7'!A111,Curves!$C$17:$AR$273,MATCH('ANR OK vs ML7'!$AR$4,Curves!$C$8:$AQ$8,0)),0.1)</f>
        <v>0.1</v>
      </c>
      <c r="AS111" s="213" t="n">
        <f aca="false">IF(A112="","",1/(1+CHOOSE(F$3,(AR112+($I$3/10000))/2,(AR111+($I$3/10000))/2))^(2*AQ111/365.25))</f>
        <v>4.71933301762361</v>
      </c>
      <c r="AT111" s="137" t="n">
        <f aca="false">IF(A112="","",IF(AND(mthbeg&lt;=A111,mthend&gt;=A111),1,0))</f>
        <v>1</v>
      </c>
      <c r="AU111" s="137" t="n">
        <f aca="false">IF(A112="","",AO111*AT111)</f>
        <v>30</v>
      </c>
      <c r="AW111" s="195" t="e">
        <f aca="false">IF($A112="","",AL111*$E111)</f>
        <v>#NAME?</v>
      </c>
      <c r="AX111" s="195" t="e">
        <f aca="false">IF($A112="","",AM111*$E111)</f>
        <v>#N/A</v>
      </c>
      <c r="AY111" s="195" t="e">
        <f aca="false">IF($A112="","",AN111*$E111)</f>
        <v>#N/A</v>
      </c>
      <c r="BA111" s="195" t="n">
        <f aca="false">IF($A112="","",F111*Summary!$Q$7)</f>
        <v>0</v>
      </c>
      <c r="BC111" s="179" t="e">
        <f aca="false">IF(A112="","",AM111*F111)</f>
        <v>#N/A</v>
      </c>
    </row>
    <row r="112" customFormat="false" ht="12.75" hidden="false" customHeight="false" outlineLevel="0" collapsed="false">
      <c r="A112" s="196" t="n">
        <f aca="false">IF(A111&lt;mthend,EDATE(A111,1),"")</f>
        <v>40148</v>
      </c>
      <c r="B112" s="197" t="n">
        <f aca="false">IF(A112&lt;mthend,B111,"")</f>
        <v>40000</v>
      </c>
      <c r="C112" s="215"/>
      <c r="D112" s="197" t="n">
        <f aca="false">IF(A113&lt;&gt;"",B112+C112,"")</f>
        <v>40000</v>
      </c>
      <c r="E112" s="199" t="n">
        <f aca="false">IF(A113="","",IF(AND(AT112=1,$H$3=1),D112*AO112,IF($H$3=2,D112,"N/A")))</f>
        <v>1240000</v>
      </c>
      <c r="F112" s="199" t="n">
        <f aca="false">IF(A113="","",E112*AS112)</f>
        <v>5805257.93866466</v>
      </c>
      <c r="G112" s="200" t="e">
        <f aca="false">IF($A113="","",VLOOKUP($A112,Table,MATCH(G$4,Curves,0)))</f>
        <v>#N/A</v>
      </c>
      <c r="H112" s="201" t="e">
        <f aca="false">IF(A113="","",G112)</f>
        <v>#N/A</v>
      </c>
      <c r="I112" s="202"/>
      <c r="J112" s="200" t="e">
        <f aca="false">IF($A113="","",VLOOKUP($A112,Table,MATCH(J$4,Curves,0)))</f>
        <v>#N/A</v>
      </c>
      <c r="K112" s="201" t="e">
        <f aca="false">IF(A113="","",J112)</f>
        <v>#N/A</v>
      </c>
      <c r="L112" s="200" t="e">
        <f aca="false">IF($A113="","",VLOOKUP($A112,Table,MATCH(L$4,Curves,0)))</f>
        <v>#N/A</v>
      </c>
      <c r="M112" s="201" t="e">
        <f aca="false">IF(A113="","",L112)</f>
        <v>#N/A</v>
      </c>
      <c r="N112" s="203"/>
      <c r="O112" s="200" t="e">
        <f aca="false">IF(A113="","",L112+J112+G112)</f>
        <v>#N/A</v>
      </c>
      <c r="P112" s="200" t="e">
        <f aca="false">IF(A113="","",M112+K112+H112)</f>
        <v>#N/A</v>
      </c>
      <c r="Q112" s="204"/>
      <c r="R112" s="200" t="e">
        <f aca="false">IF($A113="","",VLOOKUP($A112,Table,MATCH(R$4,Curves,0)))</f>
        <v>#N/A</v>
      </c>
      <c r="S112" s="201" t="e">
        <f aca="false">IF(A113="","",R112)</f>
        <v>#N/A</v>
      </c>
      <c r="T112" s="200" t="e">
        <f aca="false">IF($A113="","",VLOOKUP($A112,Table,MATCH(T$4,Curves,0)))</f>
        <v>#N/A</v>
      </c>
      <c r="U112" s="201" t="e">
        <f aca="false">IF(A113="","",T112)</f>
        <v>#N/A</v>
      </c>
      <c r="V112" s="183" t="e">
        <f aca="false">IF($A113="","",IF(AND(MONTH(A112)&gt;3,MONTH(A112)&lt;11),(T112+R112+G112)*Summary!$T$7/(1-Summary!$T$7),(T112+R112+G112)*Summary!$U$7/(1-Summary!$U$7)))</f>
        <v>#N/A</v>
      </c>
      <c r="W112" s="200" t="e">
        <f aca="false">IF($A113="","",(T112+R112+G112+V112))</f>
        <v>#N/A</v>
      </c>
      <c r="X112" s="200" t="e">
        <f aca="false">IF($A113="","",(U112+S112+H112+V112))</f>
        <v>#N/A</v>
      </c>
      <c r="Y112" s="202"/>
      <c r="Z112" s="185" t="e">
        <f aca="false">IF($A113="","",VLOOKUP($A112,Table,MATCH(Z$4,Curves,0)))</f>
        <v>#N/A</v>
      </c>
      <c r="AA112" s="185" t="e">
        <f aca="false">IF($A113="","",VLOOKUP($A112,Table,MATCH(AA$4,Curves,0)))</f>
        <v>#N/A</v>
      </c>
      <c r="AB112" s="185" t="e">
        <f aca="false">SQRT((AA112^2*(A112-$D$3)+Z112^2*(DAY(EOMONTH(A112,0))/2))/AK112)</f>
        <v>#N/A</v>
      </c>
      <c r="AC112" s="185" t="e">
        <f aca="false">IF($A113="","",VLOOKUP($A112,Table,MATCH(AC$4,Curves,0)))</f>
        <v>#N/A</v>
      </c>
      <c r="AD112" s="185" t="e">
        <f aca="false">IF($A113="","",VLOOKUP($A112,Table,MATCH(AD$4,Curves,0)))</f>
        <v>#N/A</v>
      </c>
      <c r="AE112" s="185" t="e">
        <f aca="false">SQRT((AD112^2*(A112-$D$3)+AC112^2*(DAY(EOMONTH(A112,0))/2))/AK112)</f>
        <v>#N/A</v>
      </c>
      <c r="AF112" s="206" t="e">
        <f aca="false">((Summary!$N$7*(AA112*AD112)*(A112-$D$3))+(Summary!$M$7*Z112*AC112*(DAY(EOMONTH(A112,0))/2)))/(AK112*AB112*AE112)</f>
        <v>#N/A</v>
      </c>
      <c r="AG112" s="207" t="n">
        <f aca="false">IF($A113="","",Summary!$Q$7)</f>
        <v>0</v>
      </c>
      <c r="AH112" s="207" t="n">
        <f aca="false">IF($A113="","",IF(Summary!$R$7="Y",(VLOOKUP($A112,Summary!$AD$6:$AF$9,3)+'Escalating commodity'!C125),'Escalating commodity'!C125))</f>
        <v>0.0224952</v>
      </c>
      <c r="AI112" s="207" t="n">
        <f aca="false">IF($A113="","",AH112)</f>
        <v>0.0224952</v>
      </c>
      <c r="AJ112" s="208" t="n">
        <f aca="false">A112+DAY(EOMONTH(A112,0))/2-1</f>
        <v>40162.5</v>
      </c>
      <c r="AK112" s="209" t="n">
        <f aca="false">IF($A113="","",$A112-$E$1)</f>
        <v>-5778</v>
      </c>
      <c r="AL112" s="182" t="e">
        <f aca="false">IF($A113="","",SPRDOPT(P112,X112,AI112,0,AB112,AE112,AF112,AK112,$AJ$2,0))</f>
        <v>#NAME?</v>
      </c>
      <c r="AM112" s="210" t="e">
        <f aca="false">IF($A113="","",MAX(0,O112-W112-AI112))</f>
        <v>#N/A</v>
      </c>
      <c r="AN112" s="211" t="e">
        <f aca="false">IF($A113="","",AL112-AM112)</f>
        <v>#N/A</v>
      </c>
      <c r="AO112" s="137" t="n">
        <f aca="false">IF(A113="","",A113-A112)</f>
        <v>31</v>
      </c>
      <c r="AP112" s="212" t="n">
        <f aca="false">IF(A113="","",CHOOSE(F$3,A113+24,A112))</f>
        <v>40148</v>
      </c>
      <c r="AQ112" s="209" t="n">
        <f aca="false">IF(A113="","",AP112-$E$1)</f>
        <v>-5778</v>
      </c>
      <c r="AR112" s="185" t="n">
        <f aca="false">IF(Summary!$H$2=1,VLOOKUP('ANR OK vs ML7'!A112,Curves!$C$17:$AR$273,MATCH('ANR OK vs ML7'!$AR$4,Curves!$C$8:$AQ$8,0)),0.1)</f>
        <v>0.1</v>
      </c>
      <c r="AS112" s="213" t="n">
        <f aca="false">IF(A113="","",1/(1+CHOOSE(F$3,(AR113+($I$3/10000))/2,(AR112+($I$3/10000))/2))^(2*AQ112/365.25))</f>
        <v>4.68165962795537</v>
      </c>
      <c r="AT112" s="137" t="n">
        <f aca="false">IF(A113="","",IF(AND(mthbeg&lt;=A112,mthend&gt;=A112),1,0))</f>
        <v>1</v>
      </c>
      <c r="AU112" s="137" t="n">
        <f aca="false">IF(A113="","",AO112*AT112)</f>
        <v>31</v>
      </c>
      <c r="AW112" s="195" t="e">
        <f aca="false">IF($A113="","",AL112*$E112)</f>
        <v>#NAME?</v>
      </c>
      <c r="AX112" s="195" t="e">
        <f aca="false">IF($A113="","",AM112*$E112)</f>
        <v>#N/A</v>
      </c>
      <c r="AY112" s="195" t="e">
        <f aca="false">IF($A113="","",AN112*$E112)</f>
        <v>#N/A</v>
      </c>
      <c r="BA112" s="195" t="n">
        <f aca="false">IF($A113="","",F112*Summary!$Q$7)</f>
        <v>0</v>
      </c>
      <c r="BC112" s="179" t="e">
        <f aca="false">IF(A113="","",AM112*F112)</f>
        <v>#N/A</v>
      </c>
    </row>
    <row r="113" customFormat="false" ht="12.75" hidden="false" customHeight="false" outlineLevel="0" collapsed="false">
      <c r="A113" s="196" t="n">
        <f aca="false">IF(A112&lt;mthend,EDATE(A112,1),"")</f>
        <v>40179</v>
      </c>
      <c r="B113" s="197" t="n">
        <f aca="false">IF(A113&lt;mthend,B112,"")</f>
        <v>40000</v>
      </c>
      <c r="C113" s="215"/>
      <c r="D113" s="197" t="n">
        <f aca="false">IF(A114&lt;&gt;"",B113+C113,"")</f>
        <v>40000</v>
      </c>
      <c r="E113" s="199" t="n">
        <f aca="false">IF(A114="","",IF(AND(AT113=1,$H$3=1),D113*AO113,IF($H$3=2,D113,"N/A")))</f>
        <v>1240000</v>
      </c>
      <c r="F113" s="199" t="n">
        <f aca="false">IF(A114="","",E113*AS113)</f>
        <v>5757377.50235649</v>
      </c>
      <c r="G113" s="200" t="e">
        <f aca="false">IF($A114="","",VLOOKUP($A113,Table,MATCH(G$4,Curves,0)))</f>
        <v>#N/A</v>
      </c>
      <c r="H113" s="201" t="e">
        <f aca="false">IF(A114="","",G113)</f>
        <v>#N/A</v>
      </c>
      <c r="I113" s="202"/>
      <c r="J113" s="200" t="e">
        <f aca="false">IF($A114="","",VLOOKUP($A113,Table,MATCH(J$4,Curves,0)))</f>
        <v>#N/A</v>
      </c>
      <c r="K113" s="201" t="e">
        <f aca="false">IF(A114="","",J113)</f>
        <v>#N/A</v>
      </c>
      <c r="L113" s="200" t="e">
        <f aca="false">IF($A114="","",VLOOKUP($A113,Table,MATCH(L$4,Curves,0)))</f>
        <v>#N/A</v>
      </c>
      <c r="M113" s="201" t="e">
        <f aca="false">IF(A114="","",L113)</f>
        <v>#N/A</v>
      </c>
      <c r="N113" s="203"/>
      <c r="O113" s="200" t="e">
        <f aca="false">IF(A114="","",L113+J113+G113)</f>
        <v>#N/A</v>
      </c>
      <c r="P113" s="200" t="e">
        <f aca="false">IF(A114="","",M113+K113+H113)</f>
        <v>#N/A</v>
      </c>
      <c r="Q113" s="204"/>
      <c r="R113" s="200" t="e">
        <f aca="false">IF($A114="","",VLOOKUP($A113,Table,MATCH(R$4,Curves,0)))</f>
        <v>#N/A</v>
      </c>
      <c r="S113" s="201" t="e">
        <f aca="false">IF(A114="","",R113)</f>
        <v>#N/A</v>
      </c>
      <c r="T113" s="200" t="e">
        <f aca="false">IF($A114="","",VLOOKUP($A113,Table,MATCH(T$4,Curves,0)))</f>
        <v>#N/A</v>
      </c>
      <c r="U113" s="201" t="e">
        <f aca="false">IF(A114="","",T113)</f>
        <v>#N/A</v>
      </c>
      <c r="V113" s="183" t="e">
        <f aca="false">IF($A114="","",IF(AND(MONTH(A113)&gt;3,MONTH(A113)&lt;11),(T113+R113+G113)*Summary!$T$7/(1-Summary!$T$7),(T113+R113+G113)*Summary!$U$7/(1-Summary!$U$7)))</f>
        <v>#N/A</v>
      </c>
      <c r="W113" s="200" t="e">
        <f aca="false">IF($A114="","",(T113+R113+G113+V113))</f>
        <v>#N/A</v>
      </c>
      <c r="X113" s="200" t="e">
        <f aca="false">IF($A114="","",(U113+S113+H113+V113))</f>
        <v>#N/A</v>
      </c>
      <c r="Y113" s="202"/>
      <c r="Z113" s="185" t="e">
        <f aca="false">IF($A114="","",VLOOKUP($A113,Table,MATCH(Z$4,Curves,0)))</f>
        <v>#N/A</v>
      </c>
      <c r="AA113" s="185" t="e">
        <f aca="false">IF($A114="","",VLOOKUP($A113,Table,MATCH(AA$4,Curves,0)))</f>
        <v>#N/A</v>
      </c>
      <c r="AB113" s="185" t="e">
        <f aca="false">SQRT((AA113^2*(A113-$D$3)+Z113^2*(DAY(EOMONTH(A113,0))/2))/AK113)</f>
        <v>#N/A</v>
      </c>
      <c r="AC113" s="185" t="e">
        <f aca="false">IF($A114="","",VLOOKUP($A113,Table,MATCH(AC$4,Curves,0)))</f>
        <v>#N/A</v>
      </c>
      <c r="AD113" s="185" t="e">
        <f aca="false">IF($A114="","",VLOOKUP($A113,Table,MATCH(AD$4,Curves,0)))</f>
        <v>#N/A</v>
      </c>
      <c r="AE113" s="185" t="e">
        <f aca="false">SQRT((AD113^2*(A113-$D$3)+AC113^2*(DAY(EOMONTH(A113,0))/2))/AK113)</f>
        <v>#N/A</v>
      </c>
      <c r="AF113" s="206" t="e">
        <f aca="false">((Summary!$N$7*(AA113*AD113)*(A113-$D$3))+(Summary!$M$7*Z113*AC113*(DAY(EOMONTH(A113,0))/2)))/(AK113*AB113*AE113)</f>
        <v>#N/A</v>
      </c>
      <c r="AG113" s="207" t="n">
        <f aca="false">IF($A114="","",Summary!$Q$7)</f>
        <v>0</v>
      </c>
      <c r="AH113" s="207" t="n">
        <f aca="false">IF($A114="","",IF(Summary!$R$7="Y",(VLOOKUP($A113,Summary!$AD$6:$AF$9,3)+'Escalating commodity'!C126),'Escalating commodity'!C126))</f>
        <v>0.0224952</v>
      </c>
      <c r="AI113" s="207" t="n">
        <f aca="false">IF($A114="","",AH113)</f>
        <v>0.0224952</v>
      </c>
      <c r="AJ113" s="208" t="n">
        <f aca="false">A113+DAY(EOMONTH(A113,0))/2-1</f>
        <v>40193.5</v>
      </c>
      <c r="AK113" s="209" t="n">
        <f aca="false">IF($A114="","",$A113-$E$1)</f>
        <v>-5747</v>
      </c>
      <c r="AL113" s="182" t="e">
        <f aca="false">IF($A114="","",SPRDOPT(P113,X113,AI113,0,AB113,AE113,AF113,AK113,$AJ$2,0))</f>
        <v>#NAME?</v>
      </c>
      <c r="AM113" s="210" t="e">
        <f aca="false">IF($A114="","",MAX(0,O113-W113-AI113))</f>
        <v>#N/A</v>
      </c>
      <c r="AN113" s="211" t="e">
        <f aca="false">IF($A114="","",AL113-AM113)</f>
        <v>#N/A</v>
      </c>
      <c r="AO113" s="137" t="n">
        <f aca="false">IF(A114="","",A114-A113)</f>
        <v>31</v>
      </c>
      <c r="AP113" s="212" t="n">
        <f aca="false">IF(A114="","",CHOOSE(F$3,A114+24,A113))</f>
        <v>40179</v>
      </c>
      <c r="AQ113" s="209" t="n">
        <f aca="false">IF(A114="","",AP113-$E$1)</f>
        <v>-5747</v>
      </c>
      <c r="AR113" s="185" t="n">
        <f aca="false">IF(Summary!$H$2=1,VLOOKUP('ANR OK vs ML7'!A113,Curves!$C$17:$AR$273,MATCH('ANR OK vs ML7'!$AR$4,Curves!$C$8:$AQ$8,0)),0.1)</f>
        <v>0.1</v>
      </c>
      <c r="AS113" s="213" t="n">
        <f aca="false">IF(A114="","",1/(1+CHOOSE(F$3,(AR114+($I$3/10000))/2,(AR113+($I$3/10000))/2))^(2*AQ113/365.25))</f>
        <v>4.64304637286814</v>
      </c>
      <c r="AT113" s="137" t="n">
        <f aca="false">IF(A114="","",IF(AND(mthbeg&lt;=A113,mthend&gt;=A113),1,0))</f>
        <v>1</v>
      </c>
      <c r="AU113" s="137" t="n">
        <f aca="false">IF(A114="","",AO113*AT113)</f>
        <v>31</v>
      </c>
      <c r="AW113" s="195" t="e">
        <f aca="false">IF($A114="","",AL113*$E113)</f>
        <v>#NAME?</v>
      </c>
      <c r="AX113" s="195" t="e">
        <f aca="false">IF($A114="","",AM113*$E113)</f>
        <v>#N/A</v>
      </c>
      <c r="AY113" s="195" t="e">
        <f aca="false">IF($A114="","",AN113*$E113)</f>
        <v>#N/A</v>
      </c>
      <c r="BA113" s="195" t="n">
        <f aca="false">IF($A114="","",F113*Summary!$Q$7)</f>
        <v>0</v>
      </c>
      <c r="BC113" s="179" t="e">
        <f aca="false">IF(A114="","",AM113*F113)</f>
        <v>#N/A</v>
      </c>
    </row>
    <row r="114" customFormat="false" ht="12.75" hidden="false" customHeight="false" outlineLevel="0" collapsed="false">
      <c r="A114" s="196" t="n">
        <f aca="false">IF(A113&lt;mthend,EDATE(A113,1),"")</f>
        <v>40210</v>
      </c>
      <c r="B114" s="197" t="n">
        <f aca="false">IF(A114&lt;mthend,B113,"")</f>
        <v>40000</v>
      </c>
      <c r="C114" s="215"/>
      <c r="D114" s="197" t="n">
        <f aca="false">IF(A115&lt;&gt;"",B114+C114,"")</f>
        <v>40000</v>
      </c>
      <c r="E114" s="199" t="n">
        <f aca="false">IF(A115="","",IF(AND(AT114=1,$H$3=1),D114*AO114,IF($H$3=2,D114,"N/A")))</f>
        <v>1120000</v>
      </c>
      <c r="F114" s="199" t="n">
        <f aca="false">IF(A115="","",E114*AS114)</f>
        <v>5157321.78198124</v>
      </c>
      <c r="G114" s="200" t="e">
        <f aca="false">IF($A115="","",VLOOKUP($A114,Table,MATCH(G$4,Curves,0)))</f>
        <v>#N/A</v>
      </c>
      <c r="H114" s="201" t="e">
        <f aca="false">IF(A115="","",G114)</f>
        <v>#N/A</v>
      </c>
      <c r="I114" s="202"/>
      <c r="J114" s="200" t="e">
        <f aca="false">IF($A115="","",VLOOKUP($A114,Table,MATCH(J$4,Curves,0)))</f>
        <v>#N/A</v>
      </c>
      <c r="K114" s="201" t="e">
        <f aca="false">IF(A115="","",J114)</f>
        <v>#N/A</v>
      </c>
      <c r="L114" s="200" t="e">
        <f aca="false">IF($A115="","",VLOOKUP($A114,Table,MATCH(L$4,Curves,0)))</f>
        <v>#N/A</v>
      </c>
      <c r="M114" s="201" t="e">
        <f aca="false">IF(A115="","",L114)</f>
        <v>#N/A</v>
      </c>
      <c r="N114" s="203"/>
      <c r="O114" s="200" t="e">
        <f aca="false">IF(A115="","",L114+J114+G114)</f>
        <v>#N/A</v>
      </c>
      <c r="P114" s="200" t="e">
        <f aca="false">IF(A115="","",M114+K114+H114)</f>
        <v>#N/A</v>
      </c>
      <c r="Q114" s="204"/>
      <c r="R114" s="200" t="e">
        <f aca="false">IF($A115="","",VLOOKUP($A114,Table,MATCH(R$4,Curves,0)))</f>
        <v>#N/A</v>
      </c>
      <c r="S114" s="201" t="e">
        <f aca="false">IF(A115="","",R114)</f>
        <v>#N/A</v>
      </c>
      <c r="T114" s="200" t="e">
        <f aca="false">IF($A115="","",VLOOKUP($A114,Table,MATCH(T$4,Curves,0)))</f>
        <v>#N/A</v>
      </c>
      <c r="U114" s="201" t="e">
        <f aca="false">IF(A115="","",T114)</f>
        <v>#N/A</v>
      </c>
      <c r="V114" s="183" t="e">
        <f aca="false">IF($A115="","",IF(AND(MONTH(A114)&gt;3,MONTH(A114)&lt;11),(T114+R114+G114)*Summary!$T$7/(1-Summary!$T$7),(T114+R114+G114)*Summary!$U$7/(1-Summary!$U$7)))</f>
        <v>#N/A</v>
      </c>
      <c r="W114" s="200" t="e">
        <f aca="false">IF($A115="","",(T114+R114+G114+V114))</f>
        <v>#N/A</v>
      </c>
      <c r="X114" s="200" t="e">
        <f aca="false">IF($A115="","",(U114+S114+H114+V114))</f>
        <v>#N/A</v>
      </c>
      <c r="Y114" s="202"/>
      <c r="Z114" s="185" t="e">
        <f aca="false">IF($A115="","",VLOOKUP($A114,Table,MATCH(Z$4,Curves,0)))</f>
        <v>#N/A</v>
      </c>
      <c r="AA114" s="185" t="e">
        <f aca="false">IF($A115="","",VLOOKUP($A114,Table,MATCH(AA$4,Curves,0)))</f>
        <v>#N/A</v>
      </c>
      <c r="AB114" s="185" t="e">
        <f aca="false">SQRT((AA114^2*(A114-$D$3)+Z114^2*(DAY(EOMONTH(A114,0))/2))/AK114)</f>
        <v>#N/A</v>
      </c>
      <c r="AC114" s="185" t="e">
        <f aca="false">IF($A115="","",VLOOKUP($A114,Table,MATCH(AC$4,Curves,0)))</f>
        <v>#N/A</v>
      </c>
      <c r="AD114" s="185" t="e">
        <f aca="false">IF($A115="","",VLOOKUP($A114,Table,MATCH(AD$4,Curves,0)))</f>
        <v>#N/A</v>
      </c>
      <c r="AE114" s="185" t="e">
        <f aca="false">SQRT((AD114^2*(A114-$D$3)+AC114^2*(DAY(EOMONTH(A114,0))/2))/AK114)</f>
        <v>#N/A</v>
      </c>
      <c r="AF114" s="206" t="e">
        <f aca="false">((Summary!$N$7*(AA114*AD114)*(A114-$D$3))+(Summary!$M$7*Z114*AC114*(DAY(EOMONTH(A114,0))/2)))/(AK114*AB114*AE114)</f>
        <v>#N/A</v>
      </c>
      <c r="AG114" s="207" t="n">
        <f aca="false">IF($A115="","",Summary!$Q$7)</f>
        <v>0</v>
      </c>
      <c r="AH114" s="207" t="n">
        <f aca="false">IF($A115="","",IF(Summary!$R$7="Y",(VLOOKUP($A114,Summary!$AD$6:$AF$9,3)+'Escalating commodity'!C127),'Escalating commodity'!C127))</f>
        <v>0.0224952</v>
      </c>
      <c r="AI114" s="207" t="n">
        <f aca="false">IF($A115="","",AH114)</f>
        <v>0.0224952</v>
      </c>
      <c r="AJ114" s="208" t="n">
        <f aca="false">A114+DAY(EOMONTH(A114,0))/2-1</f>
        <v>40223</v>
      </c>
      <c r="AK114" s="209" t="n">
        <f aca="false">IF($A115="","",$A114-$E$1)</f>
        <v>-5716</v>
      </c>
      <c r="AL114" s="182" t="e">
        <f aca="false">IF($A115="","",SPRDOPT(P114,X114,AI114,0,AB114,AE114,AF114,AK114,$AJ$2,0))</f>
        <v>#NAME?</v>
      </c>
      <c r="AM114" s="210" t="e">
        <f aca="false">IF($A115="","",MAX(0,O114-W114-AI114))</f>
        <v>#N/A</v>
      </c>
      <c r="AN114" s="211" t="e">
        <f aca="false">IF($A115="","",AL114-AM114)</f>
        <v>#N/A</v>
      </c>
      <c r="AO114" s="137" t="n">
        <f aca="false">IF(A115="","",A115-A114)</f>
        <v>28</v>
      </c>
      <c r="AP114" s="212" t="n">
        <f aca="false">IF(A115="","",CHOOSE(F$3,A115+24,A114))</f>
        <v>40210</v>
      </c>
      <c r="AQ114" s="209" t="n">
        <f aca="false">IF(A115="","",AP114-$E$1)</f>
        <v>-5716</v>
      </c>
      <c r="AR114" s="185" t="n">
        <f aca="false">IF(Summary!$H$2=1,VLOOKUP('ANR OK vs ML7'!A114,Curves!$C$17:$AR$273,MATCH('ANR OK vs ML7'!$AR$4,Curves!$C$8:$AQ$8,0)),0.1)</f>
        <v>0.1</v>
      </c>
      <c r="AS114" s="213" t="n">
        <f aca="false">IF(A115="","",1/(1+CHOOSE(F$3,(AR115+($I$3/10000))/2,(AR114+($I$3/10000))/2))^(2*AQ114/365.25))</f>
        <v>4.60475159105468</v>
      </c>
      <c r="AT114" s="137" t="n">
        <f aca="false">IF(A115="","",IF(AND(mthbeg&lt;=A114,mthend&gt;=A114),1,0))</f>
        <v>1</v>
      </c>
      <c r="AU114" s="137" t="n">
        <f aca="false">IF(A115="","",AO114*AT114)</f>
        <v>28</v>
      </c>
      <c r="AW114" s="195" t="e">
        <f aca="false">IF($A115="","",AL114*$E114)</f>
        <v>#NAME?</v>
      </c>
      <c r="AX114" s="195" t="e">
        <f aca="false">IF($A115="","",AM114*$E114)</f>
        <v>#N/A</v>
      </c>
      <c r="AY114" s="195" t="e">
        <f aca="false">IF($A115="","",AN114*$E114)</f>
        <v>#N/A</v>
      </c>
      <c r="BA114" s="195" t="n">
        <f aca="false">IF($A115="","",F114*Summary!$Q$7)</f>
        <v>0</v>
      </c>
      <c r="BC114" s="179" t="e">
        <f aca="false">IF(A115="","",AM114*F114)</f>
        <v>#N/A</v>
      </c>
    </row>
    <row r="115" customFormat="false" ht="12.75" hidden="false" customHeight="false" outlineLevel="0" collapsed="false">
      <c r="A115" s="196" t="n">
        <f aca="false">IF(A114&lt;mthend,EDATE(A114,1),"")</f>
        <v>40238</v>
      </c>
      <c r="B115" s="197" t="n">
        <f aca="false">IF(A115&lt;mthend,B114,"")</f>
        <v>40000</v>
      </c>
      <c r="C115" s="215"/>
      <c r="D115" s="197" t="n">
        <f aca="false">IF(A116&lt;&gt;"",B115+C115,"")</f>
        <v>40000</v>
      </c>
      <c r="E115" s="199" t="n">
        <f aca="false">IF(A116="","",IF(AND(AT115=1,$H$3=1),D115*AO115,IF($H$3=2,D115,"N/A")))</f>
        <v>1240000</v>
      </c>
      <c r="F115" s="199" t="n">
        <f aca="false">IF(A116="","",E115*AS115)</f>
        <v>5667338.53836502</v>
      </c>
      <c r="G115" s="200" t="e">
        <f aca="false">IF($A116="","",VLOOKUP($A115,Table,MATCH(G$4,Curves,0)))</f>
        <v>#N/A</v>
      </c>
      <c r="H115" s="201" t="e">
        <f aca="false">IF(A116="","",G115)</f>
        <v>#N/A</v>
      </c>
      <c r="I115" s="202"/>
      <c r="J115" s="200" t="e">
        <f aca="false">IF($A116="","",VLOOKUP($A115,Table,MATCH(J$4,Curves,0)))</f>
        <v>#N/A</v>
      </c>
      <c r="K115" s="201" t="e">
        <f aca="false">IF(A116="","",J115)</f>
        <v>#N/A</v>
      </c>
      <c r="L115" s="200" t="e">
        <f aca="false">IF($A116="","",VLOOKUP($A115,Table,MATCH(L$4,Curves,0)))</f>
        <v>#N/A</v>
      </c>
      <c r="M115" s="201" t="e">
        <f aca="false">IF(A116="","",L115)</f>
        <v>#N/A</v>
      </c>
      <c r="N115" s="203"/>
      <c r="O115" s="200" t="e">
        <f aca="false">IF(A116="","",L115+J115+G115)</f>
        <v>#N/A</v>
      </c>
      <c r="P115" s="200" t="e">
        <f aca="false">IF(A116="","",M115+K115+H115)</f>
        <v>#N/A</v>
      </c>
      <c r="Q115" s="204"/>
      <c r="R115" s="200" t="e">
        <f aca="false">IF($A116="","",VLOOKUP($A115,Table,MATCH(R$4,Curves,0)))</f>
        <v>#N/A</v>
      </c>
      <c r="S115" s="201" t="e">
        <f aca="false">IF(A116="","",R115)</f>
        <v>#N/A</v>
      </c>
      <c r="T115" s="200" t="e">
        <f aca="false">IF($A116="","",VLOOKUP($A115,Table,MATCH(T$4,Curves,0)))</f>
        <v>#N/A</v>
      </c>
      <c r="U115" s="201" t="e">
        <f aca="false">IF(A116="","",T115)</f>
        <v>#N/A</v>
      </c>
      <c r="V115" s="183" t="e">
        <f aca="false">IF($A116="","",IF(AND(MONTH(A115)&gt;3,MONTH(A115)&lt;11),(T115+R115+G115)*Summary!$T$7/(1-Summary!$T$7),(T115+R115+G115)*Summary!$U$7/(1-Summary!$U$7)))</f>
        <v>#N/A</v>
      </c>
      <c r="W115" s="200" t="e">
        <f aca="false">IF($A116="","",(T115+R115+G115+V115))</f>
        <v>#N/A</v>
      </c>
      <c r="X115" s="200" t="e">
        <f aca="false">IF($A116="","",(U115+S115+H115+V115))</f>
        <v>#N/A</v>
      </c>
      <c r="Y115" s="202"/>
      <c r="Z115" s="185" t="e">
        <f aca="false">IF($A116="","",VLOOKUP($A115,Table,MATCH(Z$4,Curves,0)))</f>
        <v>#N/A</v>
      </c>
      <c r="AA115" s="185" t="e">
        <f aca="false">IF($A116="","",VLOOKUP($A115,Table,MATCH(AA$4,Curves,0)))</f>
        <v>#N/A</v>
      </c>
      <c r="AB115" s="185" t="e">
        <f aca="false">SQRT((AA115^2*(A115-$D$3)+Z115^2*(DAY(EOMONTH(A115,0))/2))/AK115)</f>
        <v>#N/A</v>
      </c>
      <c r="AC115" s="185" t="e">
        <f aca="false">IF($A116="","",VLOOKUP($A115,Table,MATCH(AC$4,Curves,0)))</f>
        <v>#N/A</v>
      </c>
      <c r="AD115" s="185" t="e">
        <f aca="false">IF($A116="","",VLOOKUP($A115,Table,MATCH(AD$4,Curves,0)))</f>
        <v>#N/A</v>
      </c>
      <c r="AE115" s="185" t="e">
        <f aca="false">SQRT((AD115^2*(A115-$D$3)+AC115^2*(DAY(EOMONTH(A115,0))/2))/AK115)</f>
        <v>#N/A</v>
      </c>
      <c r="AF115" s="206" t="e">
        <f aca="false">((Summary!$N$7*(AA115*AD115)*(A115-$D$3))+(Summary!$M$7*Z115*AC115*(DAY(EOMONTH(A115,0))/2)))/(AK115*AB115*AE115)</f>
        <v>#N/A</v>
      </c>
      <c r="AG115" s="207" t="n">
        <f aca="false">IF($A116="","",Summary!$Q$7)</f>
        <v>0</v>
      </c>
      <c r="AH115" s="207" t="n">
        <f aca="false">IF($A116="","",IF(Summary!$R$7="Y",(VLOOKUP($A115,Summary!$AD$6:$AF$9,3)+'Escalating commodity'!C128),'Escalating commodity'!C128))</f>
        <v>0.0224952</v>
      </c>
      <c r="AI115" s="207" t="n">
        <f aca="false">IF($A116="","",AH115)</f>
        <v>0.0224952</v>
      </c>
      <c r="AJ115" s="208" t="n">
        <f aca="false">A115+DAY(EOMONTH(A115,0))/2-1</f>
        <v>40252.5</v>
      </c>
      <c r="AK115" s="209" t="n">
        <f aca="false">IF($A116="","",$A115-$E$1)</f>
        <v>-5688</v>
      </c>
      <c r="AL115" s="182" t="e">
        <f aca="false">IF($A116="","",SPRDOPT(P115,X115,AI115,0,AB115,AE115,AF115,AK115,$AJ$2,0))</f>
        <v>#NAME?</v>
      </c>
      <c r="AM115" s="210" t="e">
        <f aca="false">IF($A116="","",MAX(0,O115-W115-AI115))</f>
        <v>#N/A</v>
      </c>
      <c r="AN115" s="211" t="e">
        <f aca="false">IF($A116="","",AL115-AM115)</f>
        <v>#N/A</v>
      </c>
      <c r="AO115" s="137" t="n">
        <f aca="false">IF(A116="","",A116-A115)</f>
        <v>31</v>
      </c>
      <c r="AP115" s="212" t="n">
        <f aca="false">IF(A116="","",CHOOSE(F$3,A116+24,A115))</f>
        <v>40238</v>
      </c>
      <c r="AQ115" s="209" t="n">
        <f aca="false">IF(A116="","",AP115-$E$1)</f>
        <v>-5688</v>
      </c>
      <c r="AR115" s="185" t="n">
        <f aca="false">IF(Summary!$H$2=1,VLOOKUP('ANR OK vs ML7'!A115,Curves!$C$17:$AR$273,MATCH('ANR OK vs ML7'!$AR$4,Curves!$C$8:$AQ$8,0)),0.1)</f>
        <v>0.1</v>
      </c>
      <c r="AS115" s="213" t="n">
        <f aca="false">IF(A116="","",1/(1+CHOOSE(F$3,(AR116+($I$3/10000))/2,(AR115+($I$3/10000))/2))^(2*AQ115/365.25))</f>
        <v>4.57043430513308</v>
      </c>
      <c r="AT115" s="137" t="n">
        <f aca="false">IF(A116="","",IF(AND(mthbeg&lt;=A115,mthend&gt;=A115),1,0))</f>
        <v>1</v>
      </c>
      <c r="AU115" s="137" t="n">
        <f aca="false">IF(A116="","",AO115*AT115)</f>
        <v>31</v>
      </c>
      <c r="AW115" s="195" t="e">
        <f aca="false">IF($A116="","",AL115*$E115)</f>
        <v>#NAME?</v>
      </c>
      <c r="AX115" s="195" t="e">
        <f aca="false">IF($A116="","",AM115*$E115)</f>
        <v>#N/A</v>
      </c>
      <c r="AY115" s="195" t="e">
        <f aca="false">IF($A116="","",AN115*$E115)</f>
        <v>#N/A</v>
      </c>
      <c r="BA115" s="195" t="n">
        <f aca="false">IF($A116="","",F115*Summary!$Q$7)</f>
        <v>0</v>
      </c>
      <c r="BC115" s="179" t="e">
        <f aca="false">IF(A116="","",AM115*F115)</f>
        <v>#N/A</v>
      </c>
    </row>
    <row r="116" customFormat="false" ht="12.75" hidden="false" customHeight="false" outlineLevel="0" collapsed="false">
      <c r="A116" s="196" t="n">
        <f aca="false">IF(A115&lt;mthend,EDATE(A115,1),"")</f>
        <v>40269</v>
      </c>
      <c r="B116" s="197" t="n">
        <f aca="false">IF(A116&lt;mthend,B115,"")</f>
        <v>40000</v>
      </c>
      <c r="C116" s="215"/>
      <c r="D116" s="197" t="n">
        <f aca="false">IF(A117&lt;&gt;"",B116+C116,"")</f>
        <v>40000</v>
      </c>
      <c r="E116" s="199" t="n">
        <f aca="false">IF(A117="","",IF(AND(AT116=1,$H$3=1),D116*AO116,IF($H$3=2,D116,"N/A")))</f>
        <v>1200000</v>
      </c>
      <c r="F116" s="199" t="n">
        <f aca="false">IF(A117="","",E116*AS116)</f>
        <v>5439286.09320486</v>
      </c>
      <c r="G116" s="200" t="e">
        <f aca="false">IF($A117="","",VLOOKUP($A116,Table,MATCH(G$4,Curves,0)))</f>
        <v>#N/A</v>
      </c>
      <c r="H116" s="201" t="e">
        <f aca="false">IF(A117="","",G116)</f>
        <v>#N/A</v>
      </c>
      <c r="I116" s="202"/>
      <c r="J116" s="200" t="e">
        <f aca="false">IF($A117="","",VLOOKUP($A116,Table,MATCH(J$4,Curves,0)))</f>
        <v>#N/A</v>
      </c>
      <c r="K116" s="201" t="e">
        <f aca="false">IF(A117="","",J116)</f>
        <v>#N/A</v>
      </c>
      <c r="L116" s="200" t="e">
        <f aca="false">IF($A117="","",VLOOKUP($A116,Table,MATCH(L$4,Curves,0)))</f>
        <v>#N/A</v>
      </c>
      <c r="M116" s="201" t="e">
        <f aca="false">IF(A117="","",L116)</f>
        <v>#N/A</v>
      </c>
      <c r="N116" s="203"/>
      <c r="O116" s="200" t="e">
        <f aca="false">IF(A117="","",L116+J116+G116)</f>
        <v>#N/A</v>
      </c>
      <c r="P116" s="200" t="e">
        <f aca="false">IF(A117="","",M116+K116+H116)</f>
        <v>#N/A</v>
      </c>
      <c r="Q116" s="204"/>
      <c r="R116" s="200" t="e">
        <f aca="false">IF($A117="","",VLOOKUP($A116,Table,MATCH(R$4,Curves,0)))</f>
        <v>#N/A</v>
      </c>
      <c r="S116" s="201" t="e">
        <f aca="false">IF(A117="","",R116)</f>
        <v>#N/A</v>
      </c>
      <c r="T116" s="200" t="e">
        <f aca="false">IF($A117="","",VLOOKUP($A116,Table,MATCH(T$4,Curves,0)))</f>
        <v>#N/A</v>
      </c>
      <c r="U116" s="201" t="e">
        <f aca="false">IF(A117="","",T116)</f>
        <v>#N/A</v>
      </c>
      <c r="V116" s="183" t="e">
        <f aca="false">IF($A117="","",IF(AND(MONTH(A116)&gt;3,MONTH(A116)&lt;11),(T116+R116+G116)*Summary!$T$7/(1-Summary!$T$7),(T116+R116+G116)*Summary!$U$7/(1-Summary!$U$7)))</f>
        <v>#N/A</v>
      </c>
      <c r="W116" s="200" t="e">
        <f aca="false">IF($A117="","",(T116+R116+G116+V116))</f>
        <v>#N/A</v>
      </c>
      <c r="X116" s="200" t="e">
        <f aca="false">IF($A117="","",(U116+S116+H116+V116))</f>
        <v>#N/A</v>
      </c>
      <c r="Y116" s="202"/>
      <c r="Z116" s="185" t="e">
        <f aca="false">IF($A117="","",VLOOKUP($A116,Table,MATCH(Z$4,Curves,0)))</f>
        <v>#N/A</v>
      </c>
      <c r="AA116" s="185" t="e">
        <f aca="false">IF($A117="","",VLOOKUP($A116,Table,MATCH(AA$4,Curves,0)))</f>
        <v>#N/A</v>
      </c>
      <c r="AB116" s="185" t="e">
        <f aca="false">SQRT((AA116^2*(A116-$D$3)+Z116^2*(DAY(EOMONTH(A116,0))/2))/AK116)</f>
        <v>#N/A</v>
      </c>
      <c r="AC116" s="185" t="e">
        <f aca="false">IF($A117="","",VLOOKUP($A116,Table,MATCH(AC$4,Curves,0)))</f>
        <v>#N/A</v>
      </c>
      <c r="AD116" s="185" t="e">
        <f aca="false">IF($A117="","",VLOOKUP($A116,Table,MATCH(AD$4,Curves,0)))</f>
        <v>#N/A</v>
      </c>
      <c r="AE116" s="185" t="e">
        <f aca="false">SQRT((AD116^2*(A116-$D$3)+AC116^2*(DAY(EOMONTH(A116,0))/2))/AK116)</f>
        <v>#N/A</v>
      </c>
      <c r="AF116" s="206" t="e">
        <f aca="false">((Summary!$N$7*(AA116*AD116)*(A116-$D$3))+(Summary!$M$7*Z116*AC116*(DAY(EOMONTH(A116,0))/2)))/(AK116*AB116*AE116)</f>
        <v>#N/A</v>
      </c>
      <c r="AG116" s="207" t="n">
        <f aca="false">IF($A117="","",Summary!$Q$7)</f>
        <v>0</v>
      </c>
      <c r="AH116" s="207" t="n">
        <f aca="false">IF($A117="","",IF(Summary!$R$7="Y",(VLOOKUP($A116,Summary!$AD$6:$AF$9,3)+'Escalating commodity'!C129),'Escalating commodity'!C129))</f>
        <v>0.0224952</v>
      </c>
      <c r="AI116" s="207" t="n">
        <f aca="false">IF($A117="","",AH116)</f>
        <v>0.0224952</v>
      </c>
      <c r="AJ116" s="208" t="n">
        <f aca="false">A116+DAY(EOMONTH(A116,0))/2-1</f>
        <v>40283</v>
      </c>
      <c r="AK116" s="209" t="n">
        <f aca="false">IF($A117="","",$A116-$E$1)</f>
        <v>-5657</v>
      </c>
      <c r="AL116" s="182" t="e">
        <f aca="false">IF($A117="","",SPRDOPT(P116,X116,AI116,0,AB116,AE116,AF116,AK116,$AJ$2,0))</f>
        <v>#NAME?</v>
      </c>
      <c r="AM116" s="210" t="e">
        <f aca="false">IF($A117="","",MAX(0,O116-W116-AI116))</f>
        <v>#N/A</v>
      </c>
      <c r="AN116" s="211" t="e">
        <f aca="false">IF($A117="","",AL116-AM116)</f>
        <v>#N/A</v>
      </c>
      <c r="AO116" s="137" t="n">
        <f aca="false">IF(A117="","",A117-A116)</f>
        <v>30</v>
      </c>
      <c r="AP116" s="212" t="n">
        <f aca="false">IF(A117="","",CHOOSE(F$3,A117+24,A116))</f>
        <v>40269</v>
      </c>
      <c r="AQ116" s="209" t="n">
        <f aca="false">IF(A117="","",AP116-$E$1)</f>
        <v>-5657</v>
      </c>
      <c r="AR116" s="185" t="n">
        <f aca="false">IF(Summary!$H$2=1,VLOOKUP('ANR OK vs ML7'!A116,Curves!$C$17:$AR$273,MATCH('ANR OK vs ML7'!$AR$4,Curves!$C$8:$AQ$8,0)),0.1)</f>
        <v>0.1</v>
      </c>
      <c r="AS116" s="213" t="n">
        <f aca="false">IF(A117="","",1/(1+CHOOSE(F$3,(AR117+($I$3/10000))/2,(AR116+($I$3/10000))/2))^(2*AQ116/365.25))</f>
        <v>4.53273841100405</v>
      </c>
      <c r="AT116" s="137" t="n">
        <f aca="false">IF(A117="","",IF(AND(mthbeg&lt;=A116,mthend&gt;=A116),1,0))</f>
        <v>1</v>
      </c>
      <c r="AU116" s="137" t="n">
        <f aca="false">IF(A117="","",AO116*AT116)</f>
        <v>30</v>
      </c>
      <c r="AW116" s="195" t="e">
        <f aca="false">IF($A117="","",AL116*$E116)</f>
        <v>#NAME?</v>
      </c>
      <c r="AX116" s="195" t="e">
        <f aca="false">IF($A117="","",AM116*$E116)</f>
        <v>#N/A</v>
      </c>
      <c r="AY116" s="195" t="e">
        <f aca="false">IF($A117="","",AN116*$E116)</f>
        <v>#N/A</v>
      </c>
      <c r="BA116" s="195" t="n">
        <f aca="false">IF($A117="","",F116*Summary!$Q$7)</f>
        <v>0</v>
      </c>
      <c r="BC116" s="179" t="e">
        <f aca="false">IF(A117="","",AM116*F116)</f>
        <v>#N/A</v>
      </c>
    </row>
    <row r="117" customFormat="false" ht="12.75" hidden="false" customHeight="false" outlineLevel="0" collapsed="false">
      <c r="A117" s="196" t="n">
        <f aca="false">IF(A116&lt;mthend,EDATE(A116,1),"")</f>
        <v>40299</v>
      </c>
      <c r="B117" s="197" t="n">
        <f aca="false">IF(A117&lt;mthend,B116,"")</f>
        <v>40000</v>
      </c>
      <c r="C117" s="215"/>
      <c r="D117" s="197" t="n">
        <f aca="false">IF(A118&lt;&gt;"",B117+C117,"")</f>
        <v>40000</v>
      </c>
      <c r="E117" s="199" t="n">
        <f aca="false">IF(A118="","",IF(AND(AT117=1,$H$3=1),D117*AO117,IF($H$3=2,D117,"N/A")))</f>
        <v>1240000</v>
      </c>
      <c r="F117" s="199" t="n">
        <f aca="false">IF(A118="","",E117*AS117)</f>
        <v>5575727.6602662</v>
      </c>
      <c r="G117" s="200" t="e">
        <f aca="false">IF($A118="","",VLOOKUP($A117,Table,MATCH(G$4,Curves,0)))</f>
        <v>#N/A</v>
      </c>
      <c r="H117" s="201" t="e">
        <f aca="false">IF(A118="","",G117)</f>
        <v>#N/A</v>
      </c>
      <c r="I117" s="202"/>
      <c r="J117" s="200" t="e">
        <f aca="false">IF($A118="","",VLOOKUP($A117,Table,MATCH(J$4,Curves,0)))</f>
        <v>#N/A</v>
      </c>
      <c r="K117" s="201" t="e">
        <f aca="false">IF(A118="","",J117)</f>
        <v>#N/A</v>
      </c>
      <c r="L117" s="200" t="e">
        <f aca="false">IF($A118="","",VLOOKUP($A117,Table,MATCH(L$4,Curves,0)))</f>
        <v>#N/A</v>
      </c>
      <c r="M117" s="201" t="e">
        <f aca="false">IF(A118="","",L117)</f>
        <v>#N/A</v>
      </c>
      <c r="N117" s="203"/>
      <c r="O117" s="200" t="e">
        <f aca="false">IF(A118="","",L117+J117+G117)</f>
        <v>#N/A</v>
      </c>
      <c r="P117" s="200" t="e">
        <f aca="false">IF(A118="","",M117+K117+H117)</f>
        <v>#N/A</v>
      </c>
      <c r="Q117" s="204"/>
      <c r="R117" s="200" t="e">
        <f aca="false">IF($A118="","",VLOOKUP($A117,Table,MATCH(R$4,Curves,0)))</f>
        <v>#N/A</v>
      </c>
      <c r="S117" s="201" t="e">
        <f aca="false">IF(A118="","",R117)</f>
        <v>#N/A</v>
      </c>
      <c r="T117" s="200" t="e">
        <f aca="false">IF($A118="","",VLOOKUP($A117,Table,MATCH(T$4,Curves,0)))</f>
        <v>#N/A</v>
      </c>
      <c r="U117" s="201" t="e">
        <f aca="false">IF(A118="","",T117)</f>
        <v>#N/A</v>
      </c>
      <c r="V117" s="183" t="e">
        <f aca="false">IF($A118="","",IF(AND(MONTH(A117)&gt;3,MONTH(A117)&lt;11),(T117+R117+G117)*Summary!$T$7/(1-Summary!$T$7),(T117+R117+G117)*Summary!$U$7/(1-Summary!$U$7)))</f>
        <v>#N/A</v>
      </c>
      <c r="W117" s="200" t="e">
        <f aca="false">IF($A118="","",(T117+R117+G117+V117))</f>
        <v>#N/A</v>
      </c>
      <c r="X117" s="200" t="e">
        <f aca="false">IF($A118="","",(U117+S117+H117+V117))</f>
        <v>#N/A</v>
      </c>
      <c r="Y117" s="202"/>
      <c r="Z117" s="185" t="e">
        <f aca="false">IF($A118="","",VLOOKUP($A117,Table,MATCH(Z$4,Curves,0)))</f>
        <v>#N/A</v>
      </c>
      <c r="AA117" s="185" t="e">
        <f aca="false">IF($A118="","",VLOOKUP($A117,Table,MATCH(AA$4,Curves,0)))</f>
        <v>#N/A</v>
      </c>
      <c r="AB117" s="185" t="e">
        <f aca="false">SQRT((AA117^2*(A117-$D$3)+Z117^2*(DAY(EOMONTH(A117,0))/2))/AK117)</f>
        <v>#N/A</v>
      </c>
      <c r="AC117" s="185" t="e">
        <f aca="false">IF($A118="","",VLOOKUP($A117,Table,MATCH(AC$4,Curves,0)))</f>
        <v>#N/A</v>
      </c>
      <c r="AD117" s="185" t="e">
        <f aca="false">IF($A118="","",VLOOKUP($A117,Table,MATCH(AD$4,Curves,0)))</f>
        <v>#N/A</v>
      </c>
      <c r="AE117" s="185" t="e">
        <f aca="false">SQRT((AD117^2*(A117-$D$3)+AC117^2*(DAY(EOMONTH(A117,0))/2))/AK117)</f>
        <v>#N/A</v>
      </c>
      <c r="AF117" s="206" t="e">
        <f aca="false">((Summary!$N$7*(AA117*AD117)*(A117-$D$3))+(Summary!$M$7*Z117*AC117*(DAY(EOMONTH(A117,0))/2)))/(AK117*AB117*AE117)</f>
        <v>#N/A</v>
      </c>
      <c r="AG117" s="207" t="n">
        <f aca="false">IF($A118="","",Summary!$Q$7)</f>
        <v>0</v>
      </c>
      <c r="AH117" s="207" t="n">
        <f aca="false">IF($A118="","",IF(Summary!$R$7="Y",(VLOOKUP($A117,Summary!$AD$6:$AF$9,3)+'Escalating commodity'!C130),'Escalating commodity'!C130))</f>
        <v>0.0224952</v>
      </c>
      <c r="AI117" s="207" t="n">
        <f aca="false">IF($A118="","",AH117)</f>
        <v>0.0224952</v>
      </c>
      <c r="AJ117" s="208" t="n">
        <f aca="false">A117+DAY(EOMONTH(A117,0))/2-1</f>
        <v>40313.5</v>
      </c>
      <c r="AK117" s="209" t="n">
        <f aca="false">IF($A118="","",$A117-$E$1)</f>
        <v>-5627</v>
      </c>
      <c r="AL117" s="182" t="e">
        <f aca="false">IF($A118="","",SPRDOPT(P117,X117,AI117,0,AB117,AE117,AF117,AK117,$AJ$2,0))</f>
        <v>#NAME?</v>
      </c>
      <c r="AM117" s="210" t="e">
        <f aca="false">IF($A118="","",MAX(0,O117-W117-AI117))</f>
        <v>#N/A</v>
      </c>
      <c r="AN117" s="211" t="e">
        <f aca="false">IF($A118="","",AL117-AM117)</f>
        <v>#N/A</v>
      </c>
      <c r="AO117" s="137" t="n">
        <f aca="false">IF(A118="","",A118-A117)</f>
        <v>31</v>
      </c>
      <c r="AP117" s="212" t="n">
        <f aca="false">IF(A118="","",CHOOSE(F$3,A118+24,A117))</f>
        <v>40299</v>
      </c>
      <c r="AQ117" s="209" t="n">
        <f aca="false">IF(A118="","",AP117-$E$1)</f>
        <v>-5627</v>
      </c>
      <c r="AR117" s="185" t="n">
        <f aca="false">IF(Summary!$H$2=1,VLOOKUP('ANR OK vs ML7'!A117,Curves!$C$17:$AR$273,MATCH('ANR OK vs ML7'!$AR$4,Curves!$C$8:$AQ$8,0)),0.1)</f>
        <v>0.1</v>
      </c>
      <c r="AS117" s="213" t="n">
        <f aca="false">IF(A118="","",1/(1+CHOOSE(F$3,(AR118+($I$3/10000))/2,(AR117+($I$3/10000))/2))^(2*AQ117/365.25))</f>
        <v>4.49655456473081</v>
      </c>
      <c r="AT117" s="137" t="n">
        <f aca="false">IF(A118="","",IF(AND(mthbeg&lt;=A117,mthend&gt;=A117),1,0))</f>
        <v>1</v>
      </c>
      <c r="AU117" s="137" t="n">
        <f aca="false">IF(A118="","",AO117*AT117)</f>
        <v>31</v>
      </c>
      <c r="AW117" s="195" t="e">
        <f aca="false">IF($A118="","",AL117*$E117)</f>
        <v>#NAME?</v>
      </c>
      <c r="AX117" s="195" t="e">
        <f aca="false">IF($A118="","",AM117*$E117)</f>
        <v>#N/A</v>
      </c>
      <c r="AY117" s="195" t="e">
        <f aca="false">IF($A118="","",AN117*$E117)</f>
        <v>#N/A</v>
      </c>
      <c r="BA117" s="195" t="n">
        <f aca="false">IF($A118="","",F117*Summary!$Q$7)</f>
        <v>0</v>
      </c>
      <c r="BC117" s="179" t="e">
        <f aca="false">IF(A118="","",AM117*F117)</f>
        <v>#N/A</v>
      </c>
    </row>
    <row r="118" customFormat="false" ht="12.75" hidden="false" customHeight="false" outlineLevel="0" collapsed="false">
      <c r="A118" s="196" t="n">
        <f aca="false">IF(A117&lt;mthend,EDATE(A117,1),"")</f>
        <v>40330</v>
      </c>
      <c r="B118" s="197" t="n">
        <f aca="false">IF(A118&lt;mthend,B117,"")</f>
        <v>40000</v>
      </c>
      <c r="C118" s="215"/>
      <c r="D118" s="197" t="n">
        <f aca="false">IF(A119&lt;&gt;"",B118+C118,"")</f>
        <v>40000</v>
      </c>
      <c r="E118" s="199" t="n">
        <f aca="false">IF(A119="","",IF(AND(AT118=1,$H$3=1),D118*AO118,IF($H$3=2,D118,"N/A")))</f>
        <v>1200000</v>
      </c>
      <c r="F118" s="199" t="n">
        <f aca="false">IF(A119="","",E118*AS118)</f>
        <v>5351361.61651162</v>
      </c>
      <c r="G118" s="200" t="e">
        <f aca="false">IF($A119="","",VLOOKUP($A118,Table,MATCH(G$4,Curves,0)))</f>
        <v>#N/A</v>
      </c>
      <c r="H118" s="201" t="e">
        <f aca="false">IF(A119="","",G118)</f>
        <v>#N/A</v>
      </c>
      <c r="I118" s="202"/>
      <c r="J118" s="200" t="e">
        <f aca="false">IF($A119="","",VLOOKUP($A118,Table,MATCH(J$4,Curves,0)))</f>
        <v>#N/A</v>
      </c>
      <c r="K118" s="201" t="e">
        <f aca="false">IF(A119="","",J118)</f>
        <v>#N/A</v>
      </c>
      <c r="L118" s="200" t="e">
        <f aca="false">IF($A119="","",VLOOKUP($A118,Table,MATCH(L$4,Curves,0)))</f>
        <v>#N/A</v>
      </c>
      <c r="M118" s="201" t="e">
        <f aca="false">IF(A119="","",L118)</f>
        <v>#N/A</v>
      </c>
      <c r="N118" s="203"/>
      <c r="O118" s="200" t="e">
        <f aca="false">IF(A119="","",L118+J118+G118)</f>
        <v>#N/A</v>
      </c>
      <c r="P118" s="200" t="e">
        <f aca="false">IF(A119="","",M118+K118+H118)</f>
        <v>#N/A</v>
      </c>
      <c r="Q118" s="204"/>
      <c r="R118" s="200" t="e">
        <f aca="false">IF($A119="","",VLOOKUP($A118,Table,MATCH(R$4,Curves,0)))</f>
        <v>#N/A</v>
      </c>
      <c r="S118" s="201" t="e">
        <f aca="false">IF(A119="","",R118)</f>
        <v>#N/A</v>
      </c>
      <c r="T118" s="200" t="e">
        <f aca="false">IF($A119="","",VLOOKUP($A118,Table,MATCH(T$4,Curves,0)))</f>
        <v>#N/A</v>
      </c>
      <c r="U118" s="201" t="e">
        <f aca="false">IF(A119="","",T118)</f>
        <v>#N/A</v>
      </c>
      <c r="V118" s="183" t="e">
        <f aca="false">IF($A119="","",IF(AND(MONTH(A118)&gt;3,MONTH(A118)&lt;11),(T118+R118+G118)*Summary!$T$7/(1-Summary!$T$7),(T118+R118+G118)*Summary!$U$7/(1-Summary!$U$7)))</f>
        <v>#N/A</v>
      </c>
      <c r="W118" s="200" t="e">
        <f aca="false">IF($A119="","",(T118+R118+G118+V118))</f>
        <v>#N/A</v>
      </c>
      <c r="X118" s="200" t="e">
        <f aca="false">IF($A119="","",(U118+S118+H118+V118))</f>
        <v>#N/A</v>
      </c>
      <c r="Y118" s="202"/>
      <c r="Z118" s="185" t="e">
        <f aca="false">IF($A119="","",VLOOKUP($A118,Table,MATCH(Z$4,Curves,0)))</f>
        <v>#N/A</v>
      </c>
      <c r="AA118" s="185" t="e">
        <f aca="false">IF($A119="","",VLOOKUP($A118,Table,MATCH(AA$4,Curves,0)))</f>
        <v>#N/A</v>
      </c>
      <c r="AB118" s="185" t="e">
        <f aca="false">SQRT((AA118^2*(A118-$D$3)+Z118^2*(DAY(EOMONTH(A118,0))/2))/AK118)</f>
        <v>#N/A</v>
      </c>
      <c r="AC118" s="185" t="e">
        <f aca="false">IF($A119="","",VLOOKUP($A118,Table,MATCH(AC$4,Curves,0)))</f>
        <v>#N/A</v>
      </c>
      <c r="AD118" s="185" t="e">
        <f aca="false">IF($A119="","",VLOOKUP($A118,Table,MATCH(AD$4,Curves,0)))</f>
        <v>#N/A</v>
      </c>
      <c r="AE118" s="185" t="e">
        <f aca="false">SQRT((AD118^2*(A118-$D$3)+AC118^2*(DAY(EOMONTH(A118,0))/2))/AK118)</f>
        <v>#N/A</v>
      </c>
      <c r="AF118" s="206" t="e">
        <f aca="false">((Summary!$N$7*(AA118*AD118)*(A118-$D$3))+(Summary!$M$7*Z118*AC118*(DAY(EOMONTH(A118,0))/2)))/(AK118*AB118*AE118)</f>
        <v>#N/A</v>
      </c>
      <c r="AG118" s="207" t="n">
        <f aca="false">IF($A119="","",Summary!$Q$7)</f>
        <v>0</v>
      </c>
      <c r="AH118" s="207" t="n">
        <f aca="false">IF($A119="","",IF(Summary!$R$7="Y",(VLOOKUP($A118,Summary!$AD$6:$AF$9,3)+'Escalating commodity'!C131),'Escalating commodity'!C131))</f>
        <v>0.0224952</v>
      </c>
      <c r="AI118" s="207" t="n">
        <f aca="false">IF($A119="","",AH118)</f>
        <v>0.0224952</v>
      </c>
      <c r="AJ118" s="208" t="n">
        <f aca="false">A118+DAY(EOMONTH(A118,0))/2-1</f>
        <v>40344</v>
      </c>
      <c r="AK118" s="209" t="n">
        <f aca="false">IF($A119="","",$A118-$E$1)</f>
        <v>-5596</v>
      </c>
      <c r="AL118" s="182" t="e">
        <f aca="false">IF($A119="","",SPRDOPT(P118,X118,AI118,0,AB118,AE118,AF118,AK118,$AJ$2,0))</f>
        <v>#NAME?</v>
      </c>
      <c r="AM118" s="210" t="e">
        <f aca="false">IF($A119="","",MAX(0,O118-W118-AI118))</f>
        <v>#N/A</v>
      </c>
      <c r="AN118" s="211" t="e">
        <f aca="false">IF($A119="","",AL118-AM118)</f>
        <v>#N/A</v>
      </c>
      <c r="AO118" s="137" t="n">
        <f aca="false">IF(A119="","",A119-A118)</f>
        <v>30</v>
      </c>
      <c r="AP118" s="212" t="n">
        <f aca="false">IF(A119="","",CHOOSE(F$3,A119+24,A118))</f>
        <v>40330</v>
      </c>
      <c r="AQ118" s="209" t="n">
        <f aca="false">IF(A119="","",AP118-$E$1)</f>
        <v>-5596</v>
      </c>
      <c r="AR118" s="185" t="n">
        <f aca="false">IF(Summary!$H$2=1,VLOOKUP('ANR OK vs ML7'!A118,Curves!$C$17:$AR$273,MATCH('ANR OK vs ML7'!$AR$4,Curves!$C$8:$AQ$8,0)),0.1)</f>
        <v>0.1</v>
      </c>
      <c r="AS118" s="213" t="n">
        <f aca="false">IF(A119="","",1/(1+CHOOSE(F$3,(AR119+($I$3/10000))/2,(AR118+($I$3/10000))/2))^(2*AQ118/365.25))</f>
        <v>4.45946801375968</v>
      </c>
      <c r="AT118" s="137" t="n">
        <f aca="false">IF(A119="","",IF(AND(mthbeg&lt;=A118,mthend&gt;=A118),1,0))</f>
        <v>1</v>
      </c>
      <c r="AU118" s="137" t="n">
        <f aca="false">IF(A119="","",AO118*AT118)</f>
        <v>30</v>
      </c>
      <c r="AW118" s="195" t="e">
        <f aca="false">IF($A119="","",AL118*$E118)</f>
        <v>#NAME?</v>
      </c>
      <c r="AX118" s="195" t="e">
        <f aca="false">IF($A119="","",AM118*$E118)</f>
        <v>#N/A</v>
      </c>
      <c r="AY118" s="195" t="e">
        <f aca="false">IF($A119="","",AN118*$E118)</f>
        <v>#N/A</v>
      </c>
      <c r="BA118" s="195" t="n">
        <f aca="false">IF($A119="","",F118*Summary!$Q$7)</f>
        <v>0</v>
      </c>
      <c r="BC118" s="179" t="e">
        <f aca="false">IF(A119="","",AM118*F118)</f>
        <v>#N/A</v>
      </c>
    </row>
    <row r="119" customFormat="false" ht="12.75" hidden="false" customHeight="false" outlineLevel="0" collapsed="false">
      <c r="A119" s="196" t="n">
        <f aca="false">IF(A118&lt;mthend,EDATE(A118,1),"")</f>
        <v>40360</v>
      </c>
      <c r="B119" s="197" t="n">
        <f aca="false">IF(A119&lt;mthend,B118,"")</f>
        <v>40000</v>
      </c>
      <c r="C119" s="215"/>
      <c r="D119" s="197" t="n">
        <f aca="false">IF(A120&lt;&gt;"",B119+C119,"")</f>
        <v>40000</v>
      </c>
      <c r="E119" s="199" t="n">
        <f aca="false">IF(A120="","",IF(AND(AT119=1,$H$3=1),D119*AO119,IF($H$3=2,D119,"N/A")))</f>
        <v>1240000</v>
      </c>
      <c r="F119" s="199" t="n">
        <f aca="false">IF(A120="","",E119*AS119)</f>
        <v>5485597.6453502</v>
      </c>
      <c r="G119" s="200" t="e">
        <f aca="false">IF($A120="","",VLOOKUP($A119,Table,MATCH(G$4,Curves,0)))</f>
        <v>#N/A</v>
      </c>
      <c r="H119" s="201" t="e">
        <f aca="false">IF(A120="","",G119)</f>
        <v>#N/A</v>
      </c>
      <c r="I119" s="202"/>
      <c r="J119" s="200" t="e">
        <f aca="false">IF($A120="","",VLOOKUP($A119,Table,MATCH(J$4,Curves,0)))</f>
        <v>#N/A</v>
      </c>
      <c r="K119" s="201" t="e">
        <f aca="false">IF(A120="","",J119)</f>
        <v>#N/A</v>
      </c>
      <c r="L119" s="200" t="e">
        <f aca="false">IF($A120="","",VLOOKUP($A119,Table,MATCH(L$4,Curves,0)))</f>
        <v>#N/A</v>
      </c>
      <c r="M119" s="201" t="e">
        <f aca="false">IF(A120="","",L119)</f>
        <v>#N/A</v>
      </c>
      <c r="N119" s="203"/>
      <c r="O119" s="200" t="e">
        <f aca="false">IF(A120="","",L119+J119+G119)</f>
        <v>#N/A</v>
      </c>
      <c r="P119" s="200" t="e">
        <f aca="false">IF(A120="","",M119+K119+H119)</f>
        <v>#N/A</v>
      </c>
      <c r="Q119" s="204"/>
      <c r="R119" s="200" t="e">
        <f aca="false">IF($A120="","",VLOOKUP($A119,Table,MATCH(R$4,Curves,0)))</f>
        <v>#N/A</v>
      </c>
      <c r="S119" s="201" t="e">
        <f aca="false">IF(A120="","",R119)</f>
        <v>#N/A</v>
      </c>
      <c r="T119" s="200" t="e">
        <f aca="false">IF($A120="","",VLOOKUP($A119,Table,MATCH(T$4,Curves,0)))</f>
        <v>#N/A</v>
      </c>
      <c r="U119" s="201" t="e">
        <f aca="false">IF(A120="","",T119)</f>
        <v>#N/A</v>
      </c>
      <c r="V119" s="183" t="e">
        <f aca="false">IF($A120="","",IF(AND(MONTH(A119)&gt;3,MONTH(A119)&lt;11),(T119+R119+G119)*Summary!$T$7/(1-Summary!$T$7),(T119+R119+G119)*Summary!$U$7/(1-Summary!$U$7)))</f>
        <v>#N/A</v>
      </c>
      <c r="W119" s="200" t="e">
        <f aca="false">IF($A120="","",(T119+R119+G119+V119))</f>
        <v>#N/A</v>
      </c>
      <c r="X119" s="200" t="e">
        <f aca="false">IF($A120="","",(U119+S119+H119+V119))</f>
        <v>#N/A</v>
      </c>
      <c r="Y119" s="202"/>
      <c r="Z119" s="185" t="e">
        <f aca="false">IF($A120="","",VLOOKUP($A119,Table,MATCH(Z$4,Curves,0)))</f>
        <v>#N/A</v>
      </c>
      <c r="AA119" s="185" t="e">
        <f aca="false">IF($A120="","",VLOOKUP($A119,Table,MATCH(AA$4,Curves,0)))</f>
        <v>#N/A</v>
      </c>
      <c r="AB119" s="185" t="e">
        <f aca="false">SQRT((AA119^2*(A119-$D$3)+Z119^2*(DAY(EOMONTH(A119,0))/2))/AK119)</f>
        <v>#N/A</v>
      </c>
      <c r="AC119" s="185" t="e">
        <f aca="false">IF($A120="","",VLOOKUP($A119,Table,MATCH(AC$4,Curves,0)))</f>
        <v>#N/A</v>
      </c>
      <c r="AD119" s="185" t="e">
        <f aca="false">IF($A120="","",VLOOKUP($A119,Table,MATCH(AD$4,Curves,0)))</f>
        <v>#N/A</v>
      </c>
      <c r="AE119" s="185" t="e">
        <f aca="false">SQRT((AD119^2*(A119-$D$3)+AC119^2*(DAY(EOMONTH(A119,0))/2))/AK119)</f>
        <v>#N/A</v>
      </c>
      <c r="AF119" s="206" t="e">
        <f aca="false">((Summary!$N$7*(AA119*AD119)*(A119-$D$3))+(Summary!$M$7*Z119*AC119*(DAY(EOMONTH(A119,0))/2)))/(AK119*AB119*AE119)</f>
        <v>#N/A</v>
      </c>
      <c r="AG119" s="207" t="n">
        <f aca="false">IF($A120="","",Summary!$Q$7)</f>
        <v>0</v>
      </c>
      <c r="AH119" s="207" t="n">
        <f aca="false">IF($A120="","",IF(Summary!$R$7="Y",(VLOOKUP($A119,Summary!$AD$6:$AF$9,3)+'Escalating commodity'!C132),'Escalating commodity'!C132))</f>
        <v>0.0224952</v>
      </c>
      <c r="AI119" s="207" t="n">
        <f aca="false">IF($A120="","",AH119)</f>
        <v>0.0224952</v>
      </c>
      <c r="AJ119" s="208" t="n">
        <f aca="false">A119+DAY(EOMONTH(A119,0))/2-1</f>
        <v>40374.5</v>
      </c>
      <c r="AK119" s="209" t="n">
        <f aca="false">IF($A120="","",$A119-$E$1)</f>
        <v>-5566</v>
      </c>
      <c r="AL119" s="182" t="e">
        <f aca="false">IF($A120="","",SPRDOPT(P119,X119,AI119,0,AB119,AE119,AF119,AK119,$AJ$2,0))</f>
        <v>#NAME?</v>
      </c>
      <c r="AM119" s="210" t="e">
        <f aca="false">IF($A120="","",MAX(0,O119-W119-AI119))</f>
        <v>#N/A</v>
      </c>
      <c r="AN119" s="211" t="e">
        <f aca="false">IF($A120="","",AL119-AM119)</f>
        <v>#N/A</v>
      </c>
      <c r="AO119" s="137" t="n">
        <f aca="false">IF(A120="","",A120-A119)</f>
        <v>31</v>
      </c>
      <c r="AP119" s="212" t="n">
        <f aca="false">IF(A120="","",CHOOSE(F$3,A120+24,A119))</f>
        <v>40360</v>
      </c>
      <c r="AQ119" s="209" t="n">
        <f aca="false">IF(A120="","",AP119-$E$1)</f>
        <v>-5566</v>
      </c>
      <c r="AR119" s="185" t="n">
        <f aca="false">IF(Summary!$H$2=1,VLOOKUP('ANR OK vs ML7'!A119,Curves!$C$17:$AR$273,MATCH('ANR OK vs ML7'!$AR$4,Curves!$C$8:$AQ$8,0)),0.1)</f>
        <v>0.1</v>
      </c>
      <c r="AS119" s="213" t="n">
        <f aca="false">IF(A120="","",1/(1+CHOOSE(F$3,(AR120+($I$3/10000))/2,(AR119+($I$3/10000))/2))^(2*AQ119/365.25))</f>
        <v>4.42386906883081</v>
      </c>
      <c r="AT119" s="137" t="n">
        <f aca="false">IF(A120="","",IF(AND(mthbeg&lt;=A119,mthend&gt;=A119),1,0))</f>
        <v>1</v>
      </c>
      <c r="AU119" s="137" t="n">
        <f aca="false">IF(A120="","",AO119*AT119)</f>
        <v>31</v>
      </c>
      <c r="AW119" s="195" t="e">
        <f aca="false">IF($A120="","",AL119*$E119)</f>
        <v>#NAME?</v>
      </c>
      <c r="AX119" s="195" t="e">
        <f aca="false">IF($A120="","",AM119*$E119)</f>
        <v>#N/A</v>
      </c>
      <c r="AY119" s="195" t="e">
        <f aca="false">IF($A120="","",AN119*$E119)</f>
        <v>#N/A</v>
      </c>
      <c r="BA119" s="195" t="n">
        <f aca="false">IF($A120="","",F119*Summary!$Q$7)</f>
        <v>0</v>
      </c>
      <c r="BC119" s="179" t="e">
        <f aca="false">IF(A120="","",AM119*F119)</f>
        <v>#N/A</v>
      </c>
    </row>
    <row r="120" customFormat="false" ht="12.75" hidden="false" customHeight="false" outlineLevel="0" collapsed="false">
      <c r="A120" s="196" t="n">
        <f aca="false">IF(A119&lt;mthend,EDATE(A119,1),"")</f>
        <v>40391</v>
      </c>
      <c r="B120" s="197" t="n">
        <f aca="false">IF(A120&lt;mthend,B119,"")</f>
        <v>40000</v>
      </c>
      <c r="C120" s="215"/>
      <c r="D120" s="197" t="n">
        <f aca="false">IF(A121&lt;&gt;"",B120+C120,"")</f>
        <v>40000</v>
      </c>
      <c r="E120" s="199" t="n">
        <f aca="false">IF(A121="","",IF(AND(AT120=1,$H$3=1),D120*AO120,IF($H$3=2,D120,"N/A")))</f>
        <v>1240000</v>
      </c>
      <c r="F120" s="199" t="n">
        <f aca="false">IF(A121="","",E120*AS120)</f>
        <v>5440353.69384184</v>
      </c>
      <c r="G120" s="200" t="e">
        <f aca="false">IF($A121="","",VLOOKUP($A120,Table,MATCH(G$4,Curves,0)))</f>
        <v>#N/A</v>
      </c>
      <c r="H120" s="201" t="e">
        <f aca="false">IF(A121="","",G120)</f>
        <v>#N/A</v>
      </c>
      <c r="I120" s="202"/>
      <c r="J120" s="200" t="e">
        <f aca="false">IF($A121="","",VLOOKUP($A120,Table,MATCH(J$4,Curves,0)))</f>
        <v>#N/A</v>
      </c>
      <c r="K120" s="201" t="e">
        <f aca="false">IF(A121="","",J120)</f>
        <v>#N/A</v>
      </c>
      <c r="L120" s="200" t="e">
        <f aca="false">IF($A121="","",VLOOKUP($A120,Table,MATCH(L$4,Curves,0)))</f>
        <v>#N/A</v>
      </c>
      <c r="M120" s="201" t="e">
        <f aca="false">IF(A121="","",L120)</f>
        <v>#N/A</v>
      </c>
      <c r="N120" s="203"/>
      <c r="O120" s="200" t="e">
        <f aca="false">IF(A121="","",L120+J120+G120)</f>
        <v>#N/A</v>
      </c>
      <c r="P120" s="200" t="e">
        <f aca="false">IF(A121="","",M120+K120+H120)</f>
        <v>#N/A</v>
      </c>
      <c r="Q120" s="204"/>
      <c r="R120" s="200" t="e">
        <f aca="false">IF($A121="","",VLOOKUP($A120,Table,MATCH(R$4,Curves,0)))</f>
        <v>#N/A</v>
      </c>
      <c r="S120" s="201" t="e">
        <f aca="false">IF(A121="","",R120)</f>
        <v>#N/A</v>
      </c>
      <c r="T120" s="200" t="e">
        <f aca="false">IF($A121="","",VLOOKUP($A120,Table,MATCH(T$4,Curves,0)))</f>
        <v>#N/A</v>
      </c>
      <c r="U120" s="201" t="e">
        <f aca="false">IF(A121="","",T120)</f>
        <v>#N/A</v>
      </c>
      <c r="V120" s="183" t="e">
        <f aca="false">IF($A121="","",IF(AND(MONTH(A120)&gt;3,MONTH(A120)&lt;11),(T120+R120+G120)*Summary!$T$7/(1-Summary!$T$7),(T120+R120+G120)*Summary!$U$7/(1-Summary!$U$7)))</f>
        <v>#N/A</v>
      </c>
      <c r="W120" s="200" t="e">
        <f aca="false">IF($A121="","",(T120+R120+G120+V120))</f>
        <v>#N/A</v>
      </c>
      <c r="X120" s="200" t="e">
        <f aca="false">IF($A121="","",(U120+S120+H120+V120))</f>
        <v>#N/A</v>
      </c>
      <c r="Y120" s="202"/>
      <c r="Z120" s="185" t="e">
        <f aca="false">IF($A121="","",VLOOKUP($A120,Table,MATCH(Z$4,Curves,0)))</f>
        <v>#N/A</v>
      </c>
      <c r="AA120" s="185" t="e">
        <f aca="false">IF($A121="","",VLOOKUP($A120,Table,MATCH(AA$4,Curves,0)))</f>
        <v>#N/A</v>
      </c>
      <c r="AB120" s="185" t="e">
        <f aca="false">SQRT((AA120^2*(A120-$D$3)+Z120^2*(DAY(EOMONTH(A120,0))/2))/AK120)</f>
        <v>#N/A</v>
      </c>
      <c r="AC120" s="185" t="e">
        <f aca="false">IF($A121="","",VLOOKUP($A120,Table,MATCH(AC$4,Curves,0)))</f>
        <v>#N/A</v>
      </c>
      <c r="AD120" s="185" t="e">
        <f aca="false">IF($A121="","",VLOOKUP($A120,Table,MATCH(AD$4,Curves,0)))</f>
        <v>#N/A</v>
      </c>
      <c r="AE120" s="185" t="e">
        <f aca="false">SQRT((AD120^2*(A120-$D$3)+AC120^2*(DAY(EOMONTH(A120,0))/2))/AK120)</f>
        <v>#N/A</v>
      </c>
      <c r="AF120" s="206" t="e">
        <f aca="false">((Summary!$N$7*(AA120*AD120)*(A120-$D$3))+(Summary!$M$7*Z120*AC120*(DAY(EOMONTH(A120,0))/2)))/(AK120*AB120*AE120)</f>
        <v>#N/A</v>
      </c>
      <c r="AG120" s="207" t="n">
        <f aca="false">IF($A121="","",Summary!$Q$7)</f>
        <v>0</v>
      </c>
      <c r="AH120" s="207" t="n">
        <f aca="false">IF($A121="","",IF(Summary!$R$7="Y",(VLOOKUP($A120,Summary!$AD$6:$AF$9,3)+'Escalating commodity'!C133),'Escalating commodity'!C133))</f>
        <v>0.0224952</v>
      </c>
      <c r="AI120" s="207" t="n">
        <f aca="false">IF($A121="","",AH120)</f>
        <v>0.0224952</v>
      </c>
      <c r="AJ120" s="208" t="n">
        <f aca="false">A120+DAY(EOMONTH(A120,0))/2-1</f>
        <v>40405.5</v>
      </c>
      <c r="AK120" s="209" t="n">
        <f aca="false">IF($A121="","",$A120-$E$1)</f>
        <v>-5535</v>
      </c>
      <c r="AL120" s="182" t="e">
        <f aca="false">IF($A121="","",SPRDOPT(P120,X120,AI120,0,AB120,AE120,AF120,AK120,$AJ$2,0))</f>
        <v>#NAME?</v>
      </c>
      <c r="AM120" s="210" t="e">
        <f aca="false">IF($A121="","",MAX(0,O120-W120-AI120))</f>
        <v>#N/A</v>
      </c>
      <c r="AN120" s="211" t="e">
        <f aca="false">IF($A121="","",AL120-AM120)</f>
        <v>#N/A</v>
      </c>
      <c r="AO120" s="137" t="n">
        <f aca="false">IF(A121="","",A121-A120)</f>
        <v>31</v>
      </c>
      <c r="AP120" s="212" t="n">
        <f aca="false">IF(A121="","",CHOOSE(F$3,A121+24,A120))</f>
        <v>40391</v>
      </c>
      <c r="AQ120" s="209" t="n">
        <f aca="false">IF(A121="","",AP120-$E$1)</f>
        <v>-5535</v>
      </c>
      <c r="AR120" s="185" t="n">
        <f aca="false">IF(Summary!$H$2=1,VLOOKUP('ANR OK vs ML7'!A120,Curves!$C$17:$AR$273,MATCH('ANR OK vs ML7'!$AR$4,Curves!$C$8:$AQ$8,0)),0.1)</f>
        <v>0.1</v>
      </c>
      <c r="AS120" s="213" t="n">
        <f aca="false">IF(A121="","",1/(1+CHOOSE(F$3,(AR121+($I$3/10000))/2,(AR120+($I$3/10000))/2))^(2*AQ120/365.25))</f>
        <v>4.38738201116278</v>
      </c>
      <c r="AT120" s="137" t="n">
        <f aca="false">IF(A121="","",IF(AND(mthbeg&lt;=A120,mthend&gt;=A120),1,0))</f>
        <v>1</v>
      </c>
      <c r="AU120" s="137" t="n">
        <f aca="false">IF(A121="","",AO120*AT120)</f>
        <v>31</v>
      </c>
      <c r="AW120" s="195" t="e">
        <f aca="false">IF($A121="","",AL120*$E120)</f>
        <v>#NAME?</v>
      </c>
      <c r="AX120" s="195" t="e">
        <f aca="false">IF($A121="","",AM120*$E120)</f>
        <v>#N/A</v>
      </c>
      <c r="AY120" s="195" t="e">
        <f aca="false">IF($A121="","",AN120*$E120)</f>
        <v>#N/A</v>
      </c>
      <c r="BA120" s="195" t="n">
        <f aca="false">IF($A121="","",F120*Summary!$Q$7)</f>
        <v>0</v>
      </c>
      <c r="BC120" s="179" t="e">
        <f aca="false">IF(A121="","",AM120*F120)</f>
        <v>#N/A</v>
      </c>
    </row>
    <row r="121" customFormat="false" ht="12.75" hidden="false" customHeight="false" outlineLevel="0" collapsed="false">
      <c r="A121" s="196" t="n">
        <f aca="false">IF(A120&lt;mthend,EDATE(A120,1),"")</f>
        <v>40422</v>
      </c>
      <c r="B121" s="197" t="n">
        <f aca="false">IF(A121&lt;mthend,B120,"")</f>
        <v>40000</v>
      </c>
      <c r="C121" s="215"/>
      <c r="D121" s="197" t="n">
        <f aca="false">IF(A122&lt;&gt;"",B121+C121,"")</f>
        <v>40000</v>
      </c>
      <c r="E121" s="199" t="n">
        <f aca="false">IF(A122="","",IF(AND(AT121=1,$H$3=1),D121*AO121,IF($H$3=2,D121,"N/A")))</f>
        <v>1200000</v>
      </c>
      <c r="F121" s="199" t="n">
        <f aca="false">IF(A122="","",E121*AS121)</f>
        <v>5221435.06845571</v>
      </c>
      <c r="G121" s="200" t="e">
        <f aca="false">IF($A122="","",VLOOKUP($A121,Table,MATCH(G$4,Curves,0)))</f>
        <v>#N/A</v>
      </c>
      <c r="H121" s="201" t="e">
        <f aca="false">IF(A122="","",G121)</f>
        <v>#N/A</v>
      </c>
      <c r="I121" s="202"/>
      <c r="J121" s="200" t="e">
        <f aca="false">IF($A122="","",VLOOKUP($A121,Table,MATCH(J$4,Curves,0)))</f>
        <v>#N/A</v>
      </c>
      <c r="K121" s="201" t="e">
        <f aca="false">IF(A122="","",J121)</f>
        <v>#N/A</v>
      </c>
      <c r="L121" s="200" t="e">
        <f aca="false">IF($A122="","",VLOOKUP($A121,Table,MATCH(L$4,Curves,0)))</f>
        <v>#N/A</v>
      </c>
      <c r="M121" s="201" t="e">
        <f aca="false">IF(A122="","",L121)</f>
        <v>#N/A</v>
      </c>
      <c r="N121" s="203"/>
      <c r="O121" s="200" t="e">
        <f aca="false">IF(A122="","",L121+J121+G121)</f>
        <v>#N/A</v>
      </c>
      <c r="P121" s="200" t="e">
        <f aca="false">IF(A122="","",M121+K121+H121)</f>
        <v>#N/A</v>
      </c>
      <c r="Q121" s="204"/>
      <c r="R121" s="200" t="e">
        <f aca="false">IF($A122="","",VLOOKUP($A121,Table,MATCH(R$4,Curves,0)))</f>
        <v>#N/A</v>
      </c>
      <c r="S121" s="201" t="e">
        <f aca="false">IF(A122="","",R121)</f>
        <v>#N/A</v>
      </c>
      <c r="T121" s="200" t="e">
        <f aca="false">IF($A122="","",VLOOKUP($A121,Table,MATCH(T$4,Curves,0)))</f>
        <v>#N/A</v>
      </c>
      <c r="U121" s="201" t="e">
        <f aca="false">IF(A122="","",T121)</f>
        <v>#N/A</v>
      </c>
      <c r="V121" s="183" t="e">
        <f aca="false">IF($A122="","",IF(AND(MONTH(A121)&gt;3,MONTH(A121)&lt;11),(T121+R121+G121)*Summary!$T$7/(1-Summary!$T$7),(T121+R121+G121)*Summary!$U$7/(1-Summary!$U$7)))</f>
        <v>#N/A</v>
      </c>
      <c r="W121" s="200" t="e">
        <f aca="false">IF($A122="","",(T121+R121+G121+V121))</f>
        <v>#N/A</v>
      </c>
      <c r="X121" s="200" t="e">
        <f aca="false">IF($A122="","",(U121+S121+H121+V121))</f>
        <v>#N/A</v>
      </c>
      <c r="Y121" s="202"/>
      <c r="Z121" s="185" t="e">
        <f aca="false">IF($A122="","",VLOOKUP($A121,Table,MATCH(Z$4,Curves,0)))</f>
        <v>#N/A</v>
      </c>
      <c r="AA121" s="185" t="e">
        <f aca="false">IF($A122="","",VLOOKUP($A121,Table,MATCH(AA$4,Curves,0)))</f>
        <v>#N/A</v>
      </c>
      <c r="AB121" s="185" t="e">
        <f aca="false">SQRT((AA121^2*(A121-$D$3)+Z121^2*(DAY(EOMONTH(A121,0))/2))/AK121)</f>
        <v>#N/A</v>
      </c>
      <c r="AC121" s="185" t="e">
        <f aca="false">IF($A122="","",VLOOKUP($A121,Table,MATCH(AC$4,Curves,0)))</f>
        <v>#N/A</v>
      </c>
      <c r="AD121" s="185" t="e">
        <f aca="false">IF($A122="","",VLOOKUP($A121,Table,MATCH(AD$4,Curves,0)))</f>
        <v>#N/A</v>
      </c>
      <c r="AE121" s="185" t="e">
        <f aca="false">SQRT((AD121^2*(A121-$D$3)+AC121^2*(DAY(EOMONTH(A121,0))/2))/AK121)</f>
        <v>#N/A</v>
      </c>
      <c r="AF121" s="206" t="e">
        <f aca="false">((Summary!$N$7*(AA121*AD121)*(A121-$D$3))+(Summary!$M$7*Z121*AC121*(DAY(EOMONTH(A121,0))/2)))/(AK121*AB121*AE121)</f>
        <v>#N/A</v>
      </c>
      <c r="AG121" s="207" t="n">
        <f aca="false">IF($A122="","",Summary!$Q$7)</f>
        <v>0</v>
      </c>
      <c r="AH121" s="207" t="n">
        <f aca="false">IF($A122="","",IF(Summary!$R$7="Y",(VLOOKUP($A121,Summary!$AD$6:$AF$9,3)+'Escalating commodity'!C134),'Escalating commodity'!C134))</f>
        <v>0.0224952</v>
      </c>
      <c r="AI121" s="207" t="n">
        <f aca="false">IF($A122="","",AH121)</f>
        <v>0.0224952</v>
      </c>
      <c r="AJ121" s="208" t="n">
        <f aca="false">A121+DAY(EOMONTH(A121,0))/2-1</f>
        <v>40436</v>
      </c>
      <c r="AK121" s="209" t="n">
        <f aca="false">IF($A122="","",$A121-$E$1)</f>
        <v>-5504</v>
      </c>
      <c r="AL121" s="182" t="e">
        <f aca="false">IF($A122="","",SPRDOPT(P121,X121,AI121,0,AB121,AE121,AF121,AK121,$AJ$2,0))</f>
        <v>#NAME?</v>
      </c>
      <c r="AM121" s="210" t="e">
        <f aca="false">IF($A122="","",MAX(0,O121-W121-AI121))</f>
        <v>#N/A</v>
      </c>
      <c r="AN121" s="211" t="e">
        <f aca="false">IF($A122="","",AL121-AM121)</f>
        <v>#N/A</v>
      </c>
      <c r="AO121" s="137" t="n">
        <f aca="false">IF(A122="","",A122-A121)</f>
        <v>30</v>
      </c>
      <c r="AP121" s="212" t="n">
        <f aca="false">IF(A122="","",CHOOSE(F$3,A122+24,A121))</f>
        <v>40422</v>
      </c>
      <c r="AQ121" s="209" t="n">
        <f aca="false">IF(A122="","",AP121-$E$1)</f>
        <v>-5504</v>
      </c>
      <c r="AR121" s="185" t="n">
        <f aca="false">IF(Summary!$H$2=1,VLOOKUP('ANR OK vs ML7'!A121,Curves!$C$17:$AR$273,MATCH('ANR OK vs ML7'!$AR$4,Curves!$C$8:$AQ$8,0)),0.1)</f>
        <v>0.1</v>
      </c>
      <c r="AS121" s="213" t="n">
        <f aca="false">IF(A122="","",1/(1+CHOOSE(F$3,(AR122+($I$3/10000))/2,(AR121+($I$3/10000))/2))^(2*AQ121/365.25))</f>
        <v>4.35119589037976</v>
      </c>
      <c r="AT121" s="137" t="n">
        <f aca="false">IF(A122="","",IF(AND(mthbeg&lt;=A121,mthend&gt;=A121),1,0))</f>
        <v>1</v>
      </c>
      <c r="AU121" s="137" t="n">
        <f aca="false">IF(A122="","",AO121*AT121)</f>
        <v>30</v>
      </c>
      <c r="AW121" s="195" t="e">
        <f aca="false">IF($A122="","",AL121*$E121)</f>
        <v>#NAME?</v>
      </c>
      <c r="AX121" s="195" t="e">
        <f aca="false">IF($A122="","",AM121*$E121)</f>
        <v>#N/A</v>
      </c>
      <c r="AY121" s="195" t="e">
        <f aca="false">IF($A122="","",AN121*$E121)</f>
        <v>#N/A</v>
      </c>
      <c r="BA121" s="195" t="n">
        <f aca="false">IF($A122="","",F121*Summary!$Q$7)</f>
        <v>0</v>
      </c>
      <c r="BC121" s="179" t="e">
        <f aca="false">IF(A122="","",AM121*F121)</f>
        <v>#N/A</v>
      </c>
    </row>
    <row r="122" customFormat="false" ht="12.75" hidden="false" customHeight="false" outlineLevel="0" collapsed="false">
      <c r="A122" s="196" t="n">
        <f aca="false">IF(A121&lt;mthend,EDATE(A121,1),"")</f>
        <v>40452</v>
      </c>
      <c r="B122" s="197" t="n">
        <f aca="false">IF(A122&lt;mthend,B121,"")</f>
        <v>40000</v>
      </c>
      <c r="C122" s="215"/>
      <c r="D122" s="197" t="n">
        <f aca="false">IF(A123&lt;&gt;"",B122+C122,"")</f>
        <v>40000</v>
      </c>
      <c r="E122" s="199" t="n">
        <f aca="false">IF(A123="","",IF(AND(AT122=1,$H$3=1),D122*AO122,IF($H$3=2,D122,"N/A")))</f>
        <v>1240000</v>
      </c>
      <c r="F122" s="199" t="n">
        <f aca="false">IF(A123="","",E122*AS122)</f>
        <v>5352411.95969501</v>
      </c>
      <c r="G122" s="200" t="e">
        <f aca="false">IF($A123="","",VLOOKUP($A122,Table,MATCH(G$4,Curves,0)))</f>
        <v>#N/A</v>
      </c>
      <c r="H122" s="201" t="e">
        <f aca="false">IF(A123="","",G122)</f>
        <v>#N/A</v>
      </c>
      <c r="I122" s="202"/>
      <c r="J122" s="200" t="e">
        <f aca="false">IF($A123="","",VLOOKUP($A122,Table,MATCH(J$4,Curves,0)))</f>
        <v>#N/A</v>
      </c>
      <c r="K122" s="201" t="e">
        <f aca="false">IF(A123="","",J122)</f>
        <v>#N/A</v>
      </c>
      <c r="L122" s="200" t="e">
        <f aca="false">IF($A123="","",VLOOKUP($A122,Table,MATCH(L$4,Curves,0)))</f>
        <v>#N/A</v>
      </c>
      <c r="M122" s="201" t="e">
        <f aca="false">IF(A123="","",L122)</f>
        <v>#N/A</v>
      </c>
      <c r="N122" s="203"/>
      <c r="O122" s="200" t="e">
        <f aca="false">IF(A123="","",L122+J122+G122)</f>
        <v>#N/A</v>
      </c>
      <c r="P122" s="200" t="e">
        <f aca="false">IF(A123="","",M122+K122+H122)</f>
        <v>#N/A</v>
      </c>
      <c r="Q122" s="204"/>
      <c r="R122" s="200" t="e">
        <f aca="false">IF($A123="","",VLOOKUP($A122,Table,MATCH(R$4,Curves,0)))</f>
        <v>#N/A</v>
      </c>
      <c r="S122" s="201" t="e">
        <f aca="false">IF(A123="","",R122)</f>
        <v>#N/A</v>
      </c>
      <c r="T122" s="200" t="e">
        <f aca="false">IF($A123="","",VLOOKUP($A122,Table,MATCH(T$4,Curves,0)))</f>
        <v>#N/A</v>
      </c>
      <c r="U122" s="201" t="e">
        <f aca="false">IF(A123="","",T122)</f>
        <v>#N/A</v>
      </c>
      <c r="V122" s="183" t="e">
        <f aca="false">IF($A123="","",IF(AND(MONTH(A122)&gt;3,MONTH(A122)&lt;11),(T122+R122+G122)*Summary!$T$7/(1-Summary!$T$7),(T122+R122+G122)*Summary!$U$7/(1-Summary!$U$7)))</f>
        <v>#N/A</v>
      </c>
      <c r="W122" s="200" t="e">
        <f aca="false">IF($A123="","",(T122+R122+G122+V122))</f>
        <v>#N/A</v>
      </c>
      <c r="X122" s="200" t="e">
        <f aca="false">IF($A123="","",(U122+S122+H122+V122))</f>
        <v>#N/A</v>
      </c>
      <c r="Y122" s="202"/>
      <c r="Z122" s="185" t="e">
        <f aca="false">IF($A123="","",VLOOKUP($A122,Table,MATCH(Z$4,Curves,0)))</f>
        <v>#N/A</v>
      </c>
      <c r="AA122" s="185" t="e">
        <f aca="false">IF($A123="","",VLOOKUP($A122,Table,MATCH(AA$4,Curves,0)))</f>
        <v>#N/A</v>
      </c>
      <c r="AB122" s="185" t="e">
        <f aca="false">SQRT((AA122^2*(A122-$D$3)+Z122^2*(DAY(EOMONTH(A122,0))/2))/AK122)</f>
        <v>#N/A</v>
      </c>
      <c r="AC122" s="185" t="e">
        <f aca="false">IF($A123="","",VLOOKUP($A122,Table,MATCH(AC$4,Curves,0)))</f>
        <v>#N/A</v>
      </c>
      <c r="AD122" s="185" t="e">
        <f aca="false">IF($A123="","",VLOOKUP($A122,Table,MATCH(AD$4,Curves,0)))</f>
        <v>#N/A</v>
      </c>
      <c r="AE122" s="185" t="e">
        <f aca="false">SQRT((AD122^2*(A122-$D$3)+AC122^2*(DAY(EOMONTH(A122,0))/2))/AK122)</f>
        <v>#N/A</v>
      </c>
      <c r="AF122" s="206" t="e">
        <f aca="false">((Summary!$N$7*(AA122*AD122)*(A122-$D$3))+(Summary!$M$7*Z122*AC122*(DAY(EOMONTH(A122,0))/2)))/(AK122*AB122*AE122)</f>
        <v>#N/A</v>
      </c>
      <c r="AG122" s="207" t="n">
        <f aca="false">IF($A123="","",Summary!$Q$7)</f>
        <v>0</v>
      </c>
      <c r="AH122" s="207" t="n">
        <f aca="false">IF($A123="","",IF(Summary!$R$7="Y",(VLOOKUP($A122,Summary!$AD$6:$AF$9,3)+'Escalating commodity'!C135),'Escalating commodity'!C135))</f>
        <v>0.0224952</v>
      </c>
      <c r="AI122" s="207" t="n">
        <f aca="false">IF($A123="","",AH122)</f>
        <v>0.0224952</v>
      </c>
      <c r="AJ122" s="208" t="n">
        <f aca="false">A122+DAY(EOMONTH(A122,0))/2-1</f>
        <v>40466.5</v>
      </c>
      <c r="AK122" s="209" t="n">
        <f aca="false">IF($A123="","",$A122-$E$1)</f>
        <v>-5474</v>
      </c>
      <c r="AL122" s="182" t="e">
        <f aca="false">IF($A123="","",SPRDOPT(P122,X122,AI122,0,AB122,AE122,AF122,AK122,$AJ$2,0))</f>
        <v>#NAME?</v>
      </c>
      <c r="AM122" s="210" t="e">
        <f aca="false">IF($A123="","",MAX(0,O122-W122-AI122))</f>
        <v>#N/A</v>
      </c>
      <c r="AN122" s="211" t="e">
        <f aca="false">IF($A123="","",AL122-AM122)</f>
        <v>#N/A</v>
      </c>
      <c r="AO122" s="137" t="n">
        <f aca="false">IF(A123="","",A123-A122)</f>
        <v>31</v>
      </c>
      <c r="AP122" s="212" t="n">
        <f aca="false">IF(A123="","",CHOOSE(F$3,A123+24,A122))</f>
        <v>40452</v>
      </c>
      <c r="AQ122" s="209" t="n">
        <f aca="false">IF(A123="","",AP122-$E$1)</f>
        <v>-5474</v>
      </c>
      <c r="AR122" s="185" t="n">
        <f aca="false">IF(Summary!$H$2=1,VLOOKUP('ANR OK vs ML7'!A122,Curves!$C$17:$AR$273,MATCH('ANR OK vs ML7'!$AR$4,Curves!$C$8:$AQ$8,0)),0.1)</f>
        <v>0.1</v>
      </c>
      <c r="AS122" s="213" t="n">
        <f aca="false">IF(A123="","",1/(1+CHOOSE(F$3,(AR123+($I$3/10000))/2,(AR122+($I$3/10000))/2))^(2*AQ122/365.25))</f>
        <v>4.31646125781855</v>
      </c>
      <c r="AT122" s="137" t="n">
        <f aca="false">IF(A123="","",IF(AND(mthbeg&lt;=A122,mthend&gt;=A122),1,0))</f>
        <v>1</v>
      </c>
      <c r="AU122" s="137" t="n">
        <f aca="false">IF(A123="","",AO122*AT122)</f>
        <v>31</v>
      </c>
      <c r="AW122" s="195" t="e">
        <f aca="false">IF($A123="","",AL122*$E122)</f>
        <v>#NAME?</v>
      </c>
      <c r="AX122" s="195" t="e">
        <f aca="false">IF($A123="","",AM122*$E122)</f>
        <v>#N/A</v>
      </c>
      <c r="AY122" s="195" t="e">
        <f aca="false">IF($A123="","",AN122*$E122)</f>
        <v>#N/A</v>
      </c>
      <c r="BA122" s="195" t="n">
        <f aca="false">IF($A123="","",F122*Summary!$Q$7)</f>
        <v>0</v>
      </c>
      <c r="BC122" s="179" t="e">
        <f aca="false">IF(A123="","",AM122*F122)</f>
        <v>#N/A</v>
      </c>
    </row>
    <row r="123" customFormat="false" ht="12.75" hidden="false" customHeight="false" outlineLevel="0" collapsed="false">
      <c r="A123" s="196" t="n">
        <f aca="false">IF(A122&lt;mthend,EDATE(A122,1),"")</f>
        <v>40483</v>
      </c>
      <c r="B123" s="197" t="n">
        <f aca="false">IF(A123&lt;mthend,B122,"")</f>
        <v>40000</v>
      </c>
      <c r="C123" s="215"/>
      <c r="D123" s="197" t="n">
        <f aca="false">IF(A124&lt;&gt;"",B123+C123,"")</f>
        <v>40000</v>
      </c>
      <c r="E123" s="199" t="n">
        <f aca="false">IF(A124="","",IF(AND(AT123=1,$H$3=1),D123*AO123,IF($H$3=2,D123,"N/A")))</f>
        <v>1200000</v>
      </c>
      <c r="F123" s="199" t="n">
        <f aca="false">IF(A124="","",E123*AS123)</f>
        <v>5137032.09017603</v>
      </c>
      <c r="G123" s="200" t="e">
        <f aca="false">IF($A124="","",VLOOKUP($A123,Table,MATCH(G$4,Curves,0)))</f>
        <v>#N/A</v>
      </c>
      <c r="H123" s="201" t="e">
        <f aca="false">IF(A124="","",G123)</f>
        <v>#N/A</v>
      </c>
      <c r="I123" s="202"/>
      <c r="J123" s="200" t="e">
        <f aca="false">IF($A124="","",VLOOKUP($A123,Table,MATCH(J$4,Curves,0)))</f>
        <v>#N/A</v>
      </c>
      <c r="K123" s="201" t="e">
        <f aca="false">IF(A124="","",J123)</f>
        <v>#N/A</v>
      </c>
      <c r="L123" s="200" t="e">
        <f aca="false">IF($A124="","",VLOOKUP($A123,Table,MATCH(L$4,Curves,0)))</f>
        <v>#N/A</v>
      </c>
      <c r="M123" s="201" t="e">
        <f aca="false">IF(A124="","",L123)</f>
        <v>#N/A</v>
      </c>
      <c r="N123" s="203"/>
      <c r="O123" s="200" t="e">
        <f aca="false">IF(A124="","",L123+J123+G123)</f>
        <v>#N/A</v>
      </c>
      <c r="P123" s="200" t="e">
        <f aca="false">IF(A124="","",M123+K123+H123)</f>
        <v>#N/A</v>
      </c>
      <c r="Q123" s="204"/>
      <c r="R123" s="200" t="e">
        <f aca="false">IF($A124="","",VLOOKUP($A123,Table,MATCH(R$4,Curves,0)))</f>
        <v>#N/A</v>
      </c>
      <c r="S123" s="201" t="e">
        <f aca="false">IF(A124="","",R123)</f>
        <v>#N/A</v>
      </c>
      <c r="T123" s="200" t="e">
        <f aca="false">IF($A124="","",VLOOKUP($A123,Table,MATCH(T$4,Curves,0)))</f>
        <v>#N/A</v>
      </c>
      <c r="U123" s="201" t="e">
        <f aca="false">IF(A124="","",T123)</f>
        <v>#N/A</v>
      </c>
      <c r="V123" s="183" t="e">
        <f aca="false">IF($A124="","",IF(AND(MONTH(A123)&gt;3,MONTH(A123)&lt;11),(T123+R123+G123)*Summary!$T$7/(1-Summary!$T$7),(T123+R123+G123)*Summary!$U$7/(1-Summary!$U$7)))</f>
        <v>#N/A</v>
      </c>
      <c r="W123" s="200" t="e">
        <f aca="false">IF($A124="","",(T123+R123+G123+V123))</f>
        <v>#N/A</v>
      </c>
      <c r="X123" s="200" t="e">
        <f aca="false">IF($A124="","",(U123+S123+H123+V123))</f>
        <v>#N/A</v>
      </c>
      <c r="Y123" s="202"/>
      <c r="Z123" s="185" t="e">
        <f aca="false">IF($A124="","",VLOOKUP($A123,Table,MATCH(Z$4,Curves,0)))</f>
        <v>#N/A</v>
      </c>
      <c r="AA123" s="185" t="e">
        <f aca="false">IF($A124="","",VLOOKUP($A123,Table,MATCH(AA$4,Curves,0)))</f>
        <v>#N/A</v>
      </c>
      <c r="AB123" s="185" t="e">
        <f aca="false">SQRT((AA123^2*(A123-$D$3)+Z123^2*(DAY(EOMONTH(A123,0))/2))/AK123)</f>
        <v>#N/A</v>
      </c>
      <c r="AC123" s="185" t="e">
        <f aca="false">IF($A124="","",VLOOKUP($A123,Table,MATCH(AC$4,Curves,0)))</f>
        <v>#N/A</v>
      </c>
      <c r="AD123" s="185" t="e">
        <f aca="false">IF($A124="","",VLOOKUP($A123,Table,MATCH(AD$4,Curves,0)))</f>
        <v>#N/A</v>
      </c>
      <c r="AE123" s="185" t="e">
        <f aca="false">SQRT((AD123^2*(A123-$D$3)+AC123^2*(DAY(EOMONTH(A123,0))/2))/AK123)</f>
        <v>#N/A</v>
      </c>
      <c r="AF123" s="206" t="e">
        <f aca="false">((Summary!$N$7*(AA123*AD123)*(A123-$D$3))+(Summary!$M$7*Z123*AC123*(DAY(EOMONTH(A123,0))/2)))/(AK123*AB123*AE123)</f>
        <v>#N/A</v>
      </c>
      <c r="AG123" s="207" t="n">
        <f aca="false">IF($A124="","",Summary!$Q$7)</f>
        <v>0</v>
      </c>
      <c r="AH123" s="207" t="n">
        <f aca="false">IF($A124="","",IF(Summary!$R$7="Y",(VLOOKUP($A123,Summary!$AD$6:$AF$9,3)+'Escalating commodity'!C136),'Escalating commodity'!C136))</f>
        <v>0.0224952</v>
      </c>
      <c r="AI123" s="207" t="n">
        <f aca="false">IF($A124="","",AH123)</f>
        <v>0.0224952</v>
      </c>
      <c r="AJ123" s="208" t="n">
        <f aca="false">A123+DAY(EOMONTH(A123,0))/2-1</f>
        <v>40497</v>
      </c>
      <c r="AK123" s="209" t="n">
        <f aca="false">IF($A124="","",$A123-$E$1)</f>
        <v>-5443</v>
      </c>
      <c r="AL123" s="182" t="e">
        <f aca="false">IF($A124="","",SPRDOPT(P123,X123,AI123,0,AB123,AE123,AF123,AK123,$AJ$2,0))</f>
        <v>#NAME?</v>
      </c>
      <c r="AM123" s="210" t="e">
        <f aca="false">IF($A124="","",MAX(0,O123-W123-AI123))</f>
        <v>#N/A</v>
      </c>
      <c r="AN123" s="211" t="e">
        <f aca="false">IF($A124="","",AL123-AM123)</f>
        <v>#N/A</v>
      </c>
      <c r="AO123" s="137" t="n">
        <f aca="false">IF(A124="","",A124-A123)</f>
        <v>30</v>
      </c>
      <c r="AP123" s="212" t="n">
        <f aca="false">IF(A124="","",CHOOSE(F$3,A124+24,A123))</f>
        <v>40483</v>
      </c>
      <c r="AQ123" s="209" t="n">
        <f aca="false">IF(A124="","",AP123-$E$1)</f>
        <v>-5443</v>
      </c>
      <c r="AR123" s="185" t="n">
        <f aca="false">IF(Summary!$H$2=1,VLOOKUP('ANR OK vs ML7'!A123,Curves!$C$17:$AR$273,MATCH('ANR OK vs ML7'!$AR$4,Curves!$C$8:$AQ$8,0)),0.1)</f>
        <v>0.1</v>
      </c>
      <c r="AS123" s="213" t="n">
        <f aca="false">IF(A124="","",1/(1+CHOOSE(F$3,(AR124+($I$3/10000))/2,(AR123+($I$3/10000))/2))^(2*AQ123/365.25))</f>
        <v>4.28086007514669</v>
      </c>
      <c r="AT123" s="137" t="n">
        <f aca="false">IF(A124="","",IF(AND(mthbeg&lt;=A123,mthend&gt;=A123),1,0))</f>
        <v>1</v>
      </c>
      <c r="AU123" s="137" t="n">
        <f aca="false">IF(A124="","",AO123*AT123)</f>
        <v>30</v>
      </c>
      <c r="AW123" s="195" t="e">
        <f aca="false">IF($A124="","",AL123*$E123)</f>
        <v>#NAME?</v>
      </c>
      <c r="AX123" s="195" t="e">
        <f aca="false">IF($A124="","",AM123*$E123)</f>
        <v>#N/A</v>
      </c>
      <c r="AY123" s="195" t="e">
        <f aca="false">IF($A124="","",AN123*$E123)</f>
        <v>#N/A</v>
      </c>
      <c r="BA123" s="195" t="n">
        <f aca="false">IF($A124="","",F123*Summary!$Q$7)</f>
        <v>0</v>
      </c>
      <c r="BC123" s="179" t="e">
        <f aca="false">IF(A124="","",AM123*F123)</f>
        <v>#N/A</v>
      </c>
    </row>
    <row r="124" customFormat="false" ht="12.75" hidden="false" customHeight="false" outlineLevel="0" collapsed="false">
      <c r="A124" s="196" t="n">
        <f aca="false">IF(A123&lt;mthend,EDATE(A123,1),"")</f>
        <v>40513</v>
      </c>
      <c r="B124" s="197" t="n">
        <f aca="false">IF(A124&lt;mthend,B123,"")</f>
        <v>40000</v>
      </c>
      <c r="C124" s="215"/>
      <c r="D124" s="197" t="n">
        <f aca="false">IF(A125&lt;&gt;"",B124+C124,"")</f>
        <v>40000</v>
      </c>
      <c r="E124" s="199" t="n">
        <f aca="false">IF(A125="","",IF(AND(AT124=1,$H$3=1),D124*AO124,IF($H$3=2,D124,"N/A")))</f>
        <v>1240000</v>
      </c>
      <c r="F124" s="199" t="n">
        <f aca="false">IF(A125="","",E124*AS124)</f>
        <v>5265891.77808684</v>
      </c>
      <c r="G124" s="200" t="e">
        <f aca="false">IF($A125="","",VLOOKUP($A124,Table,MATCH(G$4,Curves,0)))</f>
        <v>#N/A</v>
      </c>
      <c r="H124" s="201" t="e">
        <f aca="false">IF(A125="","",G124)</f>
        <v>#N/A</v>
      </c>
      <c r="I124" s="202"/>
      <c r="J124" s="200" t="e">
        <f aca="false">IF($A125="","",VLOOKUP($A124,Table,MATCH(J$4,Curves,0)))</f>
        <v>#N/A</v>
      </c>
      <c r="K124" s="201" t="e">
        <f aca="false">IF(A125="","",J124)</f>
        <v>#N/A</v>
      </c>
      <c r="L124" s="200" t="e">
        <f aca="false">IF($A125="","",VLOOKUP($A124,Table,MATCH(L$4,Curves,0)))</f>
        <v>#N/A</v>
      </c>
      <c r="M124" s="201" t="e">
        <f aca="false">IF(A125="","",L124)</f>
        <v>#N/A</v>
      </c>
      <c r="N124" s="203"/>
      <c r="O124" s="200" t="e">
        <f aca="false">IF(A125="","",L124+J124+G124)</f>
        <v>#N/A</v>
      </c>
      <c r="P124" s="200" t="e">
        <f aca="false">IF(A125="","",M124+K124+H124)</f>
        <v>#N/A</v>
      </c>
      <c r="Q124" s="204"/>
      <c r="R124" s="200" t="e">
        <f aca="false">IF($A125="","",VLOOKUP($A124,Table,MATCH(R$4,Curves,0)))</f>
        <v>#N/A</v>
      </c>
      <c r="S124" s="201" t="e">
        <f aca="false">IF(A125="","",R124)</f>
        <v>#N/A</v>
      </c>
      <c r="T124" s="200" t="e">
        <f aca="false">IF($A125="","",VLOOKUP($A124,Table,MATCH(T$4,Curves,0)))</f>
        <v>#N/A</v>
      </c>
      <c r="U124" s="201" t="e">
        <f aca="false">IF(A125="","",T124)</f>
        <v>#N/A</v>
      </c>
      <c r="V124" s="183" t="e">
        <f aca="false">IF($A125="","",IF(AND(MONTH(A124)&gt;3,MONTH(A124)&lt;11),(T124+R124+G124)*Summary!$T$7/(1-Summary!$T$7),(T124+R124+G124)*Summary!$U$7/(1-Summary!$U$7)))</f>
        <v>#N/A</v>
      </c>
      <c r="W124" s="200" t="e">
        <f aca="false">IF($A125="","",(T124+R124+G124+V124))</f>
        <v>#N/A</v>
      </c>
      <c r="X124" s="200" t="e">
        <f aca="false">IF($A125="","",(U124+S124+H124+V124))</f>
        <v>#N/A</v>
      </c>
      <c r="Y124" s="202"/>
      <c r="Z124" s="185" t="e">
        <f aca="false">IF($A125="","",VLOOKUP($A124,Table,MATCH(Z$4,Curves,0)))</f>
        <v>#N/A</v>
      </c>
      <c r="AA124" s="185" t="e">
        <f aca="false">IF($A125="","",VLOOKUP($A124,Table,MATCH(AA$4,Curves,0)))</f>
        <v>#N/A</v>
      </c>
      <c r="AB124" s="185" t="e">
        <f aca="false">SQRT((AA124^2*(A124-$D$3)+Z124^2*(DAY(EOMONTH(A124,0))/2))/AK124)</f>
        <v>#N/A</v>
      </c>
      <c r="AC124" s="185" t="e">
        <f aca="false">IF($A125="","",VLOOKUP($A124,Table,MATCH(AC$4,Curves,0)))</f>
        <v>#N/A</v>
      </c>
      <c r="AD124" s="185" t="e">
        <f aca="false">IF($A125="","",VLOOKUP($A124,Table,MATCH(AD$4,Curves,0)))</f>
        <v>#N/A</v>
      </c>
      <c r="AE124" s="185" t="e">
        <f aca="false">SQRT((AD124^2*(A124-$D$3)+AC124^2*(DAY(EOMONTH(A124,0))/2))/AK124)</f>
        <v>#N/A</v>
      </c>
      <c r="AF124" s="206" t="e">
        <f aca="false">((Summary!$N$7*(AA124*AD124)*(A124-$D$3))+(Summary!$M$7*Z124*AC124*(DAY(EOMONTH(A124,0))/2)))/(AK124*AB124*AE124)</f>
        <v>#N/A</v>
      </c>
      <c r="AG124" s="207" t="n">
        <f aca="false">IF($A125="","",Summary!$Q$7)</f>
        <v>0</v>
      </c>
      <c r="AH124" s="207" t="n">
        <f aca="false">IF($A125="","",IF(Summary!$R$7="Y",(VLOOKUP($A124,Summary!$AD$6:$AF$9,3)+'Escalating commodity'!C137),'Escalating commodity'!C137))</f>
        <v>0.0224952</v>
      </c>
      <c r="AI124" s="207" t="n">
        <f aca="false">IF($A125="","",AH124)</f>
        <v>0.0224952</v>
      </c>
      <c r="AJ124" s="208" t="n">
        <f aca="false">A124+DAY(EOMONTH(A124,0))/2-1</f>
        <v>40527.5</v>
      </c>
      <c r="AK124" s="209" t="n">
        <f aca="false">IF($A125="","",$A124-$E$1)</f>
        <v>-5413</v>
      </c>
      <c r="AL124" s="182" t="e">
        <f aca="false">IF($A125="","",SPRDOPT(P124,X124,AI124,0,AB124,AE124,AF124,AK124,$AJ$2,0))</f>
        <v>#NAME?</v>
      </c>
      <c r="AM124" s="210" t="e">
        <f aca="false">IF($A125="","",MAX(0,O124-W124-AI124))</f>
        <v>#N/A</v>
      </c>
      <c r="AN124" s="211" t="e">
        <f aca="false">IF($A125="","",AL124-AM124)</f>
        <v>#N/A</v>
      </c>
      <c r="AO124" s="137" t="n">
        <f aca="false">IF(A125="","",A125-A124)</f>
        <v>31</v>
      </c>
      <c r="AP124" s="212" t="n">
        <f aca="false">IF(A125="","",CHOOSE(F$3,A125+24,A124))</f>
        <v>40513</v>
      </c>
      <c r="AQ124" s="209" t="n">
        <f aca="false">IF(A125="","",AP124-$E$1)</f>
        <v>-5413</v>
      </c>
      <c r="AR124" s="185" t="n">
        <f aca="false">IF(Summary!$H$2=1,VLOOKUP('ANR OK vs ML7'!A124,Curves!$C$17:$AR$273,MATCH('ANR OK vs ML7'!$AR$4,Curves!$C$8:$AQ$8,0)),0.1)</f>
        <v>0.1</v>
      </c>
      <c r="AS124" s="213" t="n">
        <f aca="false">IF(A125="","",1/(1+CHOOSE(F$3,(AR125+($I$3/10000))/2,(AR124+($I$3/10000))/2))^(2*AQ124/365.25))</f>
        <v>4.24668691781197</v>
      </c>
      <c r="AT124" s="137" t="n">
        <f aca="false">IF(A125="","",IF(AND(mthbeg&lt;=A124,mthend&gt;=A124),1,0))</f>
        <v>1</v>
      </c>
      <c r="AU124" s="137" t="n">
        <f aca="false">IF(A125="","",AO124*AT124)</f>
        <v>31</v>
      </c>
      <c r="AW124" s="195" t="e">
        <f aca="false">IF($A125="","",AL124*$E124)</f>
        <v>#NAME?</v>
      </c>
      <c r="AX124" s="195" t="e">
        <f aca="false">IF($A125="","",AM124*$E124)</f>
        <v>#N/A</v>
      </c>
      <c r="AY124" s="195" t="e">
        <f aca="false">IF($A125="","",AN124*$E124)</f>
        <v>#N/A</v>
      </c>
      <c r="BA124" s="195" t="n">
        <f aca="false">IF($A125="","",F124*Summary!$Q$7)</f>
        <v>0</v>
      </c>
      <c r="BC124" s="179" t="e">
        <f aca="false">IF(A125="","",AM124*F124)</f>
        <v>#N/A</v>
      </c>
    </row>
    <row r="125" customFormat="false" ht="12.75" hidden="false" customHeight="false" outlineLevel="0" collapsed="false">
      <c r="A125" s="196" t="n">
        <f aca="false">IF(A124&lt;mthend,EDATE(A124,1),"")</f>
        <v>40544</v>
      </c>
      <c r="B125" s="197" t="n">
        <f aca="false">IF(A125&lt;mthend,B124,"")</f>
        <v>40000</v>
      </c>
      <c r="C125" s="215"/>
      <c r="D125" s="197" t="n">
        <f aca="false">IF(A126&lt;&gt;"",B125+C125,"")</f>
        <v>40000</v>
      </c>
      <c r="E125" s="199" t="n">
        <f aca="false">IF(A126="","",IF(AND(AT125=1,$H$3=1),D125*AO125,IF($H$3=2,D125,"N/A")))</f>
        <v>1240000</v>
      </c>
      <c r="F125" s="199" t="n">
        <f aca="false">IF(A126="","",E125*AS125)</f>
        <v>5222459.9101922</v>
      </c>
      <c r="G125" s="200" t="e">
        <f aca="false">IF($A126="","",VLOOKUP($A125,Table,MATCH(G$4,Curves,0)))</f>
        <v>#N/A</v>
      </c>
      <c r="H125" s="201" t="e">
        <f aca="false">IF(A126="","",G125)</f>
        <v>#N/A</v>
      </c>
      <c r="I125" s="202"/>
      <c r="J125" s="200" t="e">
        <f aca="false">IF($A126="","",VLOOKUP($A125,Table,MATCH(J$4,Curves,0)))</f>
        <v>#N/A</v>
      </c>
      <c r="K125" s="201" t="e">
        <f aca="false">IF(A126="","",J125)</f>
        <v>#N/A</v>
      </c>
      <c r="L125" s="200" t="e">
        <f aca="false">IF($A126="","",VLOOKUP($A125,Table,MATCH(L$4,Curves,0)))</f>
        <v>#N/A</v>
      </c>
      <c r="M125" s="201" t="e">
        <f aca="false">IF(A126="","",L125)</f>
        <v>#N/A</v>
      </c>
      <c r="N125" s="203"/>
      <c r="O125" s="200" t="e">
        <f aca="false">IF(A126="","",L125+J125+G125)</f>
        <v>#N/A</v>
      </c>
      <c r="P125" s="200" t="e">
        <f aca="false">IF(A126="","",M125+K125+H125)</f>
        <v>#N/A</v>
      </c>
      <c r="Q125" s="204"/>
      <c r="R125" s="200" t="e">
        <f aca="false">IF($A126="","",VLOOKUP($A125,Table,MATCH(R$4,Curves,0)))</f>
        <v>#N/A</v>
      </c>
      <c r="S125" s="201" t="e">
        <f aca="false">IF(A126="","",R125)</f>
        <v>#N/A</v>
      </c>
      <c r="T125" s="200" t="e">
        <f aca="false">IF($A126="","",VLOOKUP($A125,Table,MATCH(T$4,Curves,0)))</f>
        <v>#N/A</v>
      </c>
      <c r="U125" s="201" t="e">
        <f aca="false">IF(A126="","",T125)</f>
        <v>#N/A</v>
      </c>
      <c r="V125" s="183" t="e">
        <f aca="false">IF($A126="","",IF(AND(MONTH(A125)&gt;3,MONTH(A125)&lt;11),(T125+R125+G125)*Summary!$T$7/(1-Summary!$T$7),(T125+R125+G125)*Summary!$U$7/(1-Summary!$U$7)))</f>
        <v>#N/A</v>
      </c>
      <c r="W125" s="200" t="e">
        <f aca="false">IF($A126="","",(T125+R125+G125+V125))</f>
        <v>#N/A</v>
      </c>
      <c r="X125" s="200" t="e">
        <f aca="false">IF($A126="","",(U125+S125+H125+V125))</f>
        <v>#N/A</v>
      </c>
      <c r="Y125" s="202"/>
      <c r="Z125" s="185" t="e">
        <f aca="false">IF($A126="","",VLOOKUP($A125,Table,MATCH(Z$4,Curves,0)))</f>
        <v>#N/A</v>
      </c>
      <c r="AA125" s="185" t="e">
        <f aca="false">IF($A126="","",VLOOKUP($A125,Table,MATCH(AA$4,Curves,0)))</f>
        <v>#N/A</v>
      </c>
      <c r="AB125" s="185" t="e">
        <f aca="false">SQRT((AA125^2*(A125-$D$3)+Z125^2*(DAY(EOMONTH(A125,0))/2))/AK125)</f>
        <v>#N/A</v>
      </c>
      <c r="AC125" s="185" t="e">
        <f aca="false">IF($A126="","",VLOOKUP($A125,Table,MATCH(AC$4,Curves,0)))</f>
        <v>#N/A</v>
      </c>
      <c r="AD125" s="185" t="e">
        <f aca="false">IF($A126="","",VLOOKUP($A125,Table,MATCH(AD$4,Curves,0)))</f>
        <v>#N/A</v>
      </c>
      <c r="AE125" s="185" t="e">
        <f aca="false">SQRT((AD125^2*(A125-$D$3)+AC125^2*(DAY(EOMONTH(A125,0))/2))/AK125)</f>
        <v>#N/A</v>
      </c>
      <c r="AF125" s="206" t="e">
        <f aca="false">((Summary!$N$7*(AA125*AD125)*(A125-$D$3))+(Summary!$M$7*Z125*AC125*(DAY(EOMONTH(A125,0))/2)))/(AK125*AB125*AE125)</f>
        <v>#N/A</v>
      </c>
      <c r="AG125" s="207" t="n">
        <f aca="false">IF($A126="","",Summary!$Q$7)</f>
        <v>0</v>
      </c>
      <c r="AH125" s="207" t="n">
        <f aca="false">IF($A126="","",IF(Summary!$R$7="Y",(VLOOKUP($A125,Summary!$AD$6:$AF$9,3)+'Escalating commodity'!C138),'Escalating commodity'!C138))</f>
        <v>0.0224952</v>
      </c>
      <c r="AI125" s="207" t="n">
        <f aca="false">IF($A126="","",AH125)</f>
        <v>0.0224952</v>
      </c>
      <c r="AJ125" s="208" t="n">
        <f aca="false">A125+DAY(EOMONTH(A125,0))/2-1</f>
        <v>40558.5</v>
      </c>
      <c r="AK125" s="209" t="n">
        <f aca="false">IF($A126="","",$A125-$E$1)</f>
        <v>-5382</v>
      </c>
      <c r="AL125" s="182" t="e">
        <f aca="false">IF($A126="","",SPRDOPT(P125,X125,AI125,0,AB125,AE125,AF125,AK125,$AJ$2,0))</f>
        <v>#NAME?</v>
      </c>
      <c r="AM125" s="210" t="e">
        <f aca="false">IF($A126="","",MAX(0,O125-W125-AI125))</f>
        <v>#N/A</v>
      </c>
      <c r="AN125" s="211" t="e">
        <f aca="false">IF($A126="","",AL125-AM125)</f>
        <v>#N/A</v>
      </c>
      <c r="AO125" s="137" t="n">
        <f aca="false">IF(A126="","",A126-A125)</f>
        <v>31</v>
      </c>
      <c r="AP125" s="212" t="n">
        <f aca="false">IF(A126="","",CHOOSE(F$3,A126+24,A125))</f>
        <v>40544</v>
      </c>
      <c r="AQ125" s="209" t="n">
        <f aca="false">IF(A126="","",AP125-$E$1)</f>
        <v>-5382</v>
      </c>
      <c r="AR125" s="185" t="n">
        <f aca="false">IF(Summary!$H$2=1,VLOOKUP('ANR OK vs ML7'!A125,Curves!$C$17:$AR$273,MATCH('ANR OK vs ML7'!$AR$4,Curves!$C$8:$AQ$8,0)),0.1)</f>
        <v>0.1</v>
      </c>
      <c r="AS125" s="213" t="n">
        <f aca="false">IF(A126="","",1/(1+CHOOSE(F$3,(AR126+($I$3/10000))/2,(AR125+($I$3/10000))/2))^(2*AQ125/365.25))</f>
        <v>4.21166121789694</v>
      </c>
      <c r="AT125" s="137" t="n">
        <f aca="false">IF(A126="","",IF(AND(mthbeg&lt;=A125,mthend&gt;=A125),1,0))</f>
        <v>1</v>
      </c>
      <c r="AU125" s="137" t="n">
        <f aca="false">IF(A126="","",AO125*AT125)</f>
        <v>31</v>
      </c>
      <c r="AW125" s="195" t="e">
        <f aca="false">IF($A126="","",AL125*$E125)</f>
        <v>#NAME?</v>
      </c>
      <c r="AX125" s="195" t="e">
        <f aca="false">IF($A126="","",AM125*$E125)</f>
        <v>#N/A</v>
      </c>
      <c r="AY125" s="195" t="e">
        <f aca="false">IF($A126="","",AN125*$E125)</f>
        <v>#N/A</v>
      </c>
      <c r="BA125" s="195" t="n">
        <f aca="false">IF($A126="","",F125*Summary!$Q$7)</f>
        <v>0</v>
      </c>
      <c r="BC125" s="179" t="e">
        <f aca="false">IF(A126="","",AM125*F125)</f>
        <v>#N/A</v>
      </c>
    </row>
    <row r="126" customFormat="false" ht="12.75" hidden="false" customHeight="false" outlineLevel="0" collapsed="false">
      <c r="A126" s="196" t="n">
        <f aca="false">IF(A125&lt;mthend,EDATE(A125,1),"")</f>
        <v>40575</v>
      </c>
      <c r="B126" s="197" t="n">
        <f aca="false">IF(A126&lt;mthend,B125,"")</f>
        <v>40000</v>
      </c>
      <c r="C126" s="215"/>
      <c r="D126" s="197" t="n">
        <f aca="false">IF(A127&lt;&gt;"",B126+C126,"")</f>
        <v>40000</v>
      </c>
      <c r="E126" s="199" t="n">
        <f aca="false">IF(A127="","",IF(AND(AT126=1,$H$3=1),D126*AO126,IF($H$3=2,D126,"N/A")))</f>
        <v>1120000</v>
      </c>
      <c r="F126" s="199" t="n">
        <f aca="false">IF(A127="","",E126*AS126)</f>
        <v>4678155.33015405</v>
      </c>
      <c r="G126" s="200" t="e">
        <f aca="false">IF($A127="","",VLOOKUP($A126,Table,MATCH(G$4,Curves,0)))</f>
        <v>#N/A</v>
      </c>
      <c r="H126" s="201" t="e">
        <f aca="false">IF(A127="","",G126)</f>
        <v>#N/A</v>
      </c>
      <c r="I126" s="202"/>
      <c r="J126" s="200" t="e">
        <f aca="false">IF($A127="","",VLOOKUP($A126,Table,MATCH(J$4,Curves,0)))</f>
        <v>#N/A</v>
      </c>
      <c r="K126" s="201" t="e">
        <f aca="false">IF(A127="","",J126)</f>
        <v>#N/A</v>
      </c>
      <c r="L126" s="200" t="e">
        <f aca="false">IF($A127="","",VLOOKUP($A126,Table,MATCH(L$4,Curves,0)))</f>
        <v>#N/A</v>
      </c>
      <c r="M126" s="201" t="e">
        <f aca="false">IF(A127="","",L126)</f>
        <v>#N/A</v>
      </c>
      <c r="N126" s="203"/>
      <c r="O126" s="200" t="e">
        <f aca="false">IF(A127="","",L126+J126+G126)</f>
        <v>#N/A</v>
      </c>
      <c r="P126" s="200" t="e">
        <f aca="false">IF(A127="","",M126+K126+H126)</f>
        <v>#N/A</v>
      </c>
      <c r="Q126" s="204"/>
      <c r="R126" s="200" t="e">
        <f aca="false">IF($A127="","",VLOOKUP($A126,Table,MATCH(R$4,Curves,0)))</f>
        <v>#N/A</v>
      </c>
      <c r="S126" s="201" t="e">
        <f aca="false">IF(A127="","",R126)</f>
        <v>#N/A</v>
      </c>
      <c r="T126" s="200" t="e">
        <f aca="false">IF($A127="","",VLOOKUP($A126,Table,MATCH(T$4,Curves,0)))</f>
        <v>#N/A</v>
      </c>
      <c r="U126" s="201" t="e">
        <f aca="false">IF(A127="","",T126)</f>
        <v>#N/A</v>
      </c>
      <c r="V126" s="183" t="e">
        <f aca="false">IF($A127="","",IF(AND(MONTH(A126)&gt;3,MONTH(A126)&lt;11),(T126+R126+G126)*Summary!$T$7/(1-Summary!$T$7),(T126+R126+G126)*Summary!$U$7/(1-Summary!$U$7)))</f>
        <v>#N/A</v>
      </c>
      <c r="W126" s="200" t="e">
        <f aca="false">IF($A127="","",(T126+R126+G126+V126))</f>
        <v>#N/A</v>
      </c>
      <c r="X126" s="200" t="e">
        <f aca="false">IF($A127="","",(U126+S126+H126+V126))</f>
        <v>#N/A</v>
      </c>
      <c r="Y126" s="202"/>
      <c r="Z126" s="185" t="e">
        <f aca="false">IF($A127="","",VLOOKUP($A126,Table,MATCH(Z$4,Curves,0)))</f>
        <v>#N/A</v>
      </c>
      <c r="AA126" s="185" t="e">
        <f aca="false">IF($A127="","",VLOOKUP($A126,Table,MATCH(AA$4,Curves,0)))</f>
        <v>#N/A</v>
      </c>
      <c r="AB126" s="185" t="e">
        <f aca="false">SQRT((AA126^2*(A126-$D$3)+Z126^2*(DAY(EOMONTH(A126,0))/2))/AK126)</f>
        <v>#N/A</v>
      </c>
      <c r="AC126" s="185" t="e">
        <f aca="false">IF($A127="","",VLOOKUP($A126,Table,MATCH(AC$4,Curves,0)))</f>
        <v>#N/A</v>
      </c>
      <c r="AD126" s="185" t="e">
        <f aca="false">IF($A127="","",VLOOKUP($A126,Table,MATCH(AD$4,Curves,0)))</f>
        <v>#N/A</v>
      </c>
      <c r="AE126" s="185" t="e">
        <f aca="false">SQRT((AD126^2*(A126-$D$3)+AC126^2*(DAY(EOMONTH(A126,0))/2))/AK126)</f>
        <v>#N/A</v>
      </c>
      <c r="AF126" s="206" t="e">
        <f aca="false">((Summary!$N$7*(AA126*AD126)*(A126-$D$3))+(Summary!$M$7*Z126*AC126*(DAY(EOMONTH(A126,0))/2)))/(AK126*AB126*AE126)</f>
        <v>#N/A</v>
      </c>
      <c r="AG126" s="207" t="n">
        <f aca="false">IF($A127="","",Summary!$Q$7)</f>
        <v>0</v>
      </c>
      <c r="AH126" s="207" t="n">
        <f aca="false">IF($A127="","",IF(Summary!$R$7="Y",(VLOOKUP($A126,Summary!$AD$6:$AF$9,3)+'Escalating commodity'!C139),'Escalating commodity'!C139))</f>
        <v>0.0224952</v>
      </c>
      <c r="AI126" s="207" t="n">
        <f aca="false">IF($A127="","",AH126)</f>
        <v>0.0224952</v>
      </c>
      <c r="AJ126" s="208" t="n">
        <f aca="false">A126+DAY(EOMONTH(A126,0))/2-1</f>
        <v>40588</v>
      </c>
      <c r="AK126" s="209" t="n">
        <f aca="false">IF($A127="","",$A126-$E$1)</f>
        <v>-5351</v>
      </c>
      <c r="AL126" s="182" t="e">
        <f aca="false">IF($A127="","",SPRDOPT(P126,X126,AI126,0,AB126,AE126,AF126,AK126,$AJ$2,0))</f>
        <v>#NAME?</v>
      </c>
      <c r="AM126" s="210" t="e">
        <f aca="false">IF($A127="","",MAX(0,O126-W126-AI126))</f>
        <v>#N/A</v>
      </c>
      <c r="AN126" s="211" t="e">
        <f aca="false">IF($A127="","",AL126-AM126)</f>
        <v>#N/A</v>
      </c>
      <c r="AO126" s="137" t="n">
        <f aca="false">IF(A127="","",A127-A126)</f>
        <v>28</v>
      </c>
      <c r="AP126" s="212" t="n">
        <f aca="false">IF(A127="","",CHOOSE(F$3,A127+24,A126))</f>
        <v>40575</v>
      </c>
      <c r="AQ126" s="209" t="n">
        <f aca="false">IF(A127="","",AP126-$E$1)</f>
        <v>-5351</v>
      </c>
      <c r="AR126" s="185" t="n">
        <f aca="false">IF(Summary!$H$2=1,VLOOKUP('ANR OK vs ML7'!A126,Curves!$C$17:$AR$273,MATCH('ANR OK vs ML7'!$AR$4,Curves!$C$8:$AQ$8,0)),0.1)</f>
        <v>0.1</v>
      </c>
      <c r="AS126" s="213" t="n">
        <f aca="false">IF(A127="","",1/(1+CHOOSE(F$3,(AR127+($I$3/10000))/2,(AR126+($I$3/10000))/2))^(2*AQ126/365.25))</f>
        <v>4.17692440192326</v>
      </c>
      <c r="AT126" s="137" t="n">
        <f aca="false">IF(A127="","",IF(AND(mthbeg&lt;=A126,mthend&gt;=A126),1,0))</f>
        <v>1</v>
      </c>
      <c r="AU126" s="137" t="n">
        <f aca="false">IF(A127="","",AO126*AT126)</f>
        <v>28</v>
      </c>
      <c r="AW126" s="195" t="e">
        <f aca="false">IF($A127="","",AL126*$E126)</f>
        <v>#NAME?</v>
      </c>
      <c r="AX126" s="195" t="e">
        <f aca="false">IF($A127="","",AM126*$E126)</f>
        <v>#N/A</v>
      </c>
      <c r="AY126" s="195" t="e">
        <f aca="false">IF($A127="","",AN126*$E126)</f>
        <v>#N/A</v>
      </c>
      <c r="BA126" s="195" t="n">
        <f aca="false">IF($A127="","",F126*Summary!$Q$7)</f>
        <v>0</v>
      </c>
      <c r="BC126" s="179" t="e">
        <f aca="false">IF(A127="","",AM126*F126)</f>
        <v>#N/A</v>
      </c>
    </row>
    <row r="127" customFormat="false" ht="12.75" hidden="false" customHeight="false" outlineLevel="0" collapsed="false">
      <c r="A127" s="196" t="n">
        <f aca="false">IF(A126&lt;mthend,EDATE(A126,1),"")</f>
        <v>40603</v>
      </c>
      <c r="B127" s="197" t="n">
        <f aca="false">IF(A127&lt;mthend,B126,"")</f>
        <v>40000</v>
      </c>
      <c r="C127" s="215"/>
      <c r="D127" s="197" t="n">
        <f aca="false">IF(A128&lt;&gt;"",B127+C127,"")</f>
        <v>40000</v>
      </c>
      <c r="E127" s="199" t="n">
        <f aca="false">IF(A128="","",IF(AND(AT127=1,$H$3=1),D127*AO127,IF($H$3=2,D127,"N/A")))</f>
        <v>1240000</v>
      </c>
      <c r="F127" s="199" t="n">
        <f aca="false">IF(A128="","",E127*AS127)</f>
        <v>5140786.46084686</v>
      </c>
      <c r="G127" s="200" t="e">
        <f aca="false">IF($A128="","",VLOOKUP($A127,Table,MATCH(G$4,Curves,0)))</f>
        <v>#N/A</v>
      </c>
      <c r="H127" s="201" t="e">
        <f aca="false">IF(A128="","",G127)</f>
        <v>#N/A</v>
      </c>
      <c r="I127" s="202"/>
      <c r="J127" s="200" t="e">
        <f aca="false">IF($A128="","",VLOOKUP($A127,Table,MATCH(J$4,Curves,0)))</f>
        <v>#N/A</v>
      </c>
      <c r="K127" s="201" t="e">
        <f aca="false">IF(A128="","",J127)</f>
        <v>#N/A</v>
      </c>
      <c r="L127" s="200" t="e">
        <f aca="false">IF($A128="","",VLOOKUP($A127,Table,MATCH(L$4,Curves,0)))</f>
        <v>#N/A</v>
      </c>
      <c r="M127" s="201" t="e">
        <f aca="false">IF(A128="","",L127)</f>
        <v>#N/A</v>
      </c>
      <c r="N127" s="203"/>
      <c r="O127" s="200" t="e">
        <f aca="false">IF(A128="","",L127+J127+G127)</f>
        <v>#N/A</v>
      </c>
      <c r="P127" s="200" t="e">
        <f aca="false">IF(A128="","",M127+K127+H127)</f>
        <v>#N/A</v>
      </c>
      <c r="Q127" s="204"/>
      <c r="R127" s="200" t="e">
        <f aca="false">IF($A128="","",VLOOKUP($A127,Table,MATCH(R$4,Curves,0)))</f>
        <v>#N/A</v>
      </c>
      <c r="S127" s="201" t="e">
        <f aca="false">IF(A128="","",R127)</f>
        <v>#N/A</v>
      </c>
      <c r="T127" s="200" t="e">
        <f aca="false">IF($A128="","",VLOOKUP($A127,Table,MATCH(T$4,Curves,0)))</f>
        <v>#N/A</v>
      </c>
      <c r="U127" s="201" t="e">
        <f aca="false">IF(A128="","",T127)</f>
        <v>#N/A</v>
      </c>
      <c r="V127" s="183" t="e">
        <f aca="false">IF($A128="","",IF(AND(MONTH(A127)&gt;3,MONTH(A127)&lt;11),(T127+R127+G127)*Summary!$T$7/(1-Summary!$T$7),(T127+R127+G127)*Summary!$U$7/(1-Summary!$U$7)))</f>
        <v>#N/A</v>
      </c>
      <c r="W127" s="200" t="e">
        <f aca="false">IF($A128="","",(T127+R127+G127+V127))</f>
        <v>#N/A</v>
      </c>
      <c r="X127" s="200" t="e">
        <f aca="false">IF($A128="","",(U127+S127+H127+V127))</f>
        <v>#N/A</v>
      </c>
      <c r="Y127" s="202"/>
      <c r="Z127" s="185" t="e">
        <f aca="false">IF($A128="","",VLOOKUP($A127,Table,MATCH(Z$4,Curves,0)))</f>
        <v>#N/A</v>
      </c>
      <c r="AA127" s="185" t="e">
        <f aca="false">IF($A128="","",VLOOKUP($A127,Table,MATCH(AA$4,Curves,0)))</f>
        <v>#N/A</v>
      </c>
      <c r="AB127" s="185" t="e">
        <f aca="false">SQRT((AA127^2*(A127-$D$3)+Z127^2*(DAY(EOMONTH(A127,0))/2))/AK127)</f>
        <v>#N/A</v>
      </c>
      <c r="AC127" s="185" t="e">
        <f aca="false">IF($A128="","",VLOOKUP($A127,Table,MATCH(AC$4,Curves,0)))</f>
        <v>#N/A</v>
      </c>
      <c r="AD127" s="185" t="e">
        <f aca="false">IF($A128="","",VLOOKUP($A127,Table,MATCH(AD$4,Curves,0)))</f>
        <v>#N/A</v>
      </c>
      <c r="AE127" s="185" t="e">
        <f aca="false">SQRT((AD127^2*(A127-$D$3)+AC127^2*(DAY(EOMONTH(A127,0))/2))/AK127)</f>
        <v>#N/A</v>
      </c>
      <c r="AF127" s="206" t="e">
        <f aca="false">((Summary!$N$7*(AA127*AD127)*(A127-$D$3))+(Summary!$M$7*Z127*AC127*(DAY(EOMONTH(A127,0))/2)))/(AK127*AB127*AE127)</f>
        <v>#N/A</v>
      </c>
      <c r="AG127" s="207" t="n">
        <f aca="false">IF($A128="","",Summary!$Q$7)</f>
        <v>0</v>
      </c>
      <c r="AH127" s="207" t="n">
        <f aca="false">IF($A128="","",IF(Summary!$R$7="Y",(VLOOKUP($A127,Summary!$AD$6:$AF$9,3)+'Escalating commodity'!C140),'Escalating commodity'!C140))</f>
        <v>0.0224952</v>
      </c>
      <c r="AI127" s="207" t="n">
        <f aca="false">IF($A128="","",AH127)</f>
        <v>0.0224952</v>
      </c>
      <c r="AJ127" s="208" t="n">
        <f aca="false">A127+DAY(EOMONTH(A127,0))/2-1</f>
        <v>40617.5</v>
      </c>
      <c r="AK127" s="209" t="n">
        <f aca="false">IF($A128="","",$A127-$E$1)</f>
        <v>-5323</v>
      </c>
      <c r="AL127" s="182" t="e">
        <f aca="false">IF($A128="","",SPRDOPT(P127,X127,AI127,0,AB127,AE127,AF127,AK127,$AJ$2,0))</f>
        <v>#NAME?</v>
      </c>
      <c r="AM127" s="210" t="e">
        <f aca="false">IF($A128="","",MAX(0,O127-W127-AI127))</f>
        <v>#N/A</v>
      </c>
      <c r="AN127" s="211" t="e">
        <f aca="false">IF($A128="","",AL127-AM127)</f>
        <v>#N/A</v>
      </c>
      <c r="AO127" s="137" t="n">
        <f aca="false">IF(A128="","",A128-A127)</f>
        <v>31</v>
      </c>
      <c r="AP127" s="212" t="n">
        <f aca="false">IF(A128="","",CHOOSE(F$3,A128+24,A127))</f>
        <v>40603</v>
      </c>
      <c r="AQ127" s="209" t="n">
        <f aca="false">IF(A128="","",AP127-$E$1)</f>
        <v>-5323</v>
      </c>
      <c r="AR127" s="185" t="n">
        <f aca="false">IF(Summary!$H$2=1,VLOOKUP('ANR OK vs ML7'!A127,Curves!$C$17:$AR$273,MATCH('ANR OK vs ML7'!$AR$4,Curves!$C$8:$AQ$8,0)),0.1)</f>
        <v>0.1</v>
      </c>
      <c r="AS127" s="213" t="n">
        <f aca="false">IF(A128="","",1/(1+CHOOSE(F$3,(AR128+($I$3/10000))/2,(AR127+($I$3/10000))/2))^(2*AQ127/365.25))</f>
        <v>4.14579553294102</v>
      </c>
      <c r="AT127" s="137" t="n">
        <f aca="false">IF(A128="","",IF(AND(mthbeg&lt;=A127,mthend&gt;=A127),1,0))</f>
        <v>1</v>
      </c>
      <c r="AU127" s="137" t="n">
        <f aca="false">IF(A128="","",AO127*AT127)</f>
        <v>31</v>
      </c>
      <c r="AW127" s="195" t="e">
        <f aca="false">IF($A128="","",AL127*$E127)</f>
        <v>#NAME?</v>
      </c>
      <c r="AX127" s="195" t="e">
        <f aca="false">IF($A128="","",AM127*$E127)</f>
        <v>#N/A</v>
      </c>
      <c r="AY127" s="195" t="e">
        <f aca="false">IF($A128="","",AN127*$E127)</f>
        <v>#N/A</v>
      </c>
      <c r="BA127" s="195" t="n">
        <f aca="false">IF($A128="","",F127*Summary!$Q$7)</f>
        <v>0</v>
      </c>
      <c r="BC127" s="179" t="e">
        <f aca="false">IF(A128="","",AM127*F127)</f>
        <v>#N/A</v>
      </c>
    </row>
    <row r="128" customFormat="false" ht="12.75" hidden="false" customHeight="false" outlineLevel="0" collapsed="false">
      <c r="A128" s="196" t="n">
        <f aca="false">IF(A127&lt;mthend,EDATE(A127,1),"")</f>
        <v>40634</v>
      </c>
      <c r="B128" s="197" t="n">
        <f aca="false">IF(A128&lt;mthend,B127,"")</f>
        <v>40000</v>
      </c>
      <c r="C128" s="215"/>
      <c r="D128" s="197" t="n">
        <f aca="false">IF(A129&lt;&gt;"",B128+C128,"")</f>
        <v>40000</v>
      </c>
      <c r="E128" s="199" t="n">
        <f aca="false">IF(A129="","",IF(AND(AT128=1,$H$3=1),D128*AO128,IF($H$3=2,D128,"N/A")))</f>
        <v>1200000</v>
      </c>
      <c r="F128" s="199" t="n">
        <f aca="false">IF(A129="","",E128*AS128)</f>
        <v>4933922.3544403</v>
      </c>
      <c r="G128" s="200" t="e">
        <f aca="false">IF($A129="","",VLOOKUP($A128,Table,MATCH(G$4,Curves,0)))</f>
        <v>#N/A</v>
      </c>
      <c r="H128" s="201" t="e">
        <f aca="false">IF(A129="","",G128)</f>
        <v>#N/A</v>
      </c>
      <c r="I128" s="202"/>
      <c r="J128" s="200" t="e">
        <f aca="false">IF($A129="","",VLOOKUP($A128,Table,MATCH(J$4,Curves,0)))</f>
        <v>#N/A</v>
      </c>
      <c r="K128" s="201" t="e">
        <f aca="false">IF(A129="","",J128)</f>
        <v>#N/A</v>
      </c>
      <c r="L128" s="200" t="e">
        <f aca="false">IF($A129="","",VLOOKUP($A128,Table,MATCH(L$4,Curves,0)))</f>
        <v>#N/A</v>
      </c>
      <c r="M128" s="201" t="e">
        <f aca="false">IF(A129="","",L128)</f>
        <v>#N/A</v>
      </c>
      <c r="N128" s="203"/>
      <c r="O128" s="200" t="e">
        <f aca="false">IF(A129="","",L128+J128+G128)</f>
        <v>#N/A</v>
      </c>
      <c r="P128" s="200" t="e">
        <f aca="false">IF(A129="","",M128+K128+H128)</f>
        <v>#N/A</v>
      </c>
      <c r="Q128" s="204"/>
      <c r="R128" s="200" t="e">
        <f aca="false">IF($A129="","",VLOOKUP($A128,Table,MATCH(R$4,Curves,0)))</f>
        <v>#N/A</v>
      </c>
      <c r="S128" s="201" t="e">
        <f aca="false">IF(A129="","",R128)</f>
        <v>#N/A</v>
      </c>
      <c r="T128" s="200" t="e">
        <f aca="false">IF($A129="","",VLOOKUP($A128,Table,MATCH(T$4,Curves,0)))</f>
        <v>#N/A</v>
      </c>
      <c r="U128" s="201" t="e">
        <f aca="false">IF(A129="","",T128)</f>
        <v>#N/A</v>
      </c>
      <c r="V128" s="183" t="e">
        <f aca="false">IF($A129="","",IF(AND(MONTH(A128)&gt;3,MONTH(A128)&lt;11),(T128+R128+G128)*Summary!$T$7/(1-Summary!$T$7),(T128+R128+G128)*Summary!$U$7/(1-Summary!$U$7)))</f>
        <v>#N/A</v>
      </c>
      <c r="W128" s="200" t="e">
        <f aca="false">IF($A129="","",(T128+R128+G128+V128))</f>
        <v>#N/A</v>
      </c>
      <c r="X128" s="200" t="e">
        <f aca="false">IF($A129="","",(U128+S128+H128+V128))</f>
        <v>#N/A</v>
      </c>
      <c r="Y128" s="202"/>
      <c r="Z128" s="185" t="e">
        <f aca="false">IF($A129="","",VLOOKUP($A128,Table,MATCH(Z$4,Curves,0)))</f>
        <v>#N/A</v>
      </c>
      <c r="AA128" s="185" t="e">
        <f aca="false">IF($A129="","",VLOOKUP($A128,Table,MATCH(AA$4,Curves,0)))</f>
        <v>#N/A</v>
      </c>
      <c r="AB128" s="185" t="e">
        <f aca="false">SQRT((AA128^2*(A128-$D$3)+Z128^2*(DAY(EOMONTH(A128,0))/2))/AK128)</f>
        <v>#N/A</v>
      </c>
      <c r="AC128" s="185" t="e">
        <f aca="false">IF($A129="","",VLOOKUP($A128,Table,MATCH(AC$4,Curves,0)))</f>
        <v>#N/A</v>
      </c>
      <c r="AD128" s="185" t="e">
        <f aca="false">IF($A129="","",VLOOKUP($A128,Table,MATCH(AD$4,Curves,0)))</f>
        <v>#N/A</v>
      </c>
      <c r="AE128" s="185" t="e">
        <f aca="false">SQRT((AD128^2*(A128-$D$3)+AC128^2*(DAY(EOMONTH(A128,0))/2))/AK128)</f>
        <v>#N/A</v>
      </c>
      <c r="AF128" s="206" t="e">
        <f aca="false">((Summary!$N$7*(AA128*AD128)*(A128-$D$3))+(Summary!$M$7*Z128*AC128*(DAY(EOMONTH(A128,0))/2)))/(AK128*AB128*AE128)</f>
        <v>#N/A</v>
      </c>
      <c r="AG128" s="207" t="n">
        <f aca="false">IF($A129="","",Summary!$Q$7)</f>
        <v>0</v>
      </c>
      <c r="AH128" s="207" t="n">
        <f aca="false">IF($A129="","",IF(Summary!$R$7="Y",(VLOOKUP($A128,Summary!$AD$6:$AF$9,3)+'Escalating commodity'!C141),'Escalating commodity'!C141))</f>
        <v>0.0224952</v>
      </c>
      <c r="AI128" s="207" t="n">
        <f aca="false">IF($A129="","",AH128)</f>
        <v>0.0224952</v>
      </c>
      <c r="AJ128" s="208" t="n">
        <f aca="false">A128+DAY(EOMONTH(A128,0))/2-1</f>
        <v>40648</v>
      </c>
      <c r="AK128" s="209" t="n">
        <f aca="false">IF($A129="","",$A128-$E$1)</f>
        <v>-5292</v>
      </c>
      <c r="AL128" s="182" t="e">
        <f aca="false">IF($A129="","",SPRDOPT(P128,X128,AI128,0,AB128,AE128,AF128,AK128,$AJ$2,0))</f>
        <v>#NAME?</v>
      </c>
      <c r="AM128" s="210" t="e">
        <f aca="false">IF($A129="","",MAX(0,O128-W128-AI128))</f>
        <v>#N/A</v>
      </c>
      <c r="AN128" s="211" t="e">
        <f aca="false">IF($A129="","",AL128-AM128)</f>
        <v>#N/A</v>
      </c>
      <c r="AO128" s="137" t="n">
        <f aca="false">IF(A129="","",A129-A128)</f>
        <v>30</v>
      </c>
      <c r="AP128" s="212" t="n">
        <f aca="false">IF(A129="","",CHOOSE(F$3,A129+24,A128))</f>
        <v>40634</v>
      </c>
      <c r="AQ128" s="209" t="n">
        <f aca="false">IF(A129="","",AP128-$E$1)</f>
        <v>-5292</v>
      </c>
      <c r="AR128" s="185" t="n">
        <f aca="false">IF(Summary!$H$2=1,VLOOKUP('ANR OK vs ML7'!A128,Curves!$C$17:$AR$273,MATCH('ANR OK vs ML7'!$AR$4,Curves!$C$8:$AQ$8,0)),0.1)</f>
        <v>0.1</v>
      </c>
      <c r="AS128" s="213" t="n">
        <f aca="false">IF(A129="","",1/(1+CHOOSE(F$3,(AR129+($I$3/10000))/2,(AR128+($I$3/10000))/2))^(2*AQ128/365.25))</f>
        <v>4.11160196203358</v>
      </c>
      <c r="AT128" s="137" t="n">
        <f aca="false">IF(A129="","",IF(AND(mthbeg&lt;=A128,mthend&gt;=A128),1,0))</f>
        <v>1</v>
      </c>
      <c r="AU128" s="137" t="n">
        <f aca="false">IF(A129="","",AO128*AT128)</f>
        <v>30</v>
      </c>
      <c r="AW128" s="195" t="e">
        <f aca="false">IF($A129="","",AL128*$E128)</f>
        <v>#NAME?</v>
      </c>
      <c r="AX128" s="195" t="e">
        <f aca="false">IF($A129="","",AM128*$E128)</f>
        <v>#N/A</v>
      </c>
      <c r="AY128" s="195" t="e">
        <f aca="false">IF($A129="","",AN128*$E128)</f>
        <v>#N/A</v>
      </c>
      <c r="BA128" s="195" t="n">
        <f aca="false">IF($A129="","",F128*Summary!$Q$7)</f>
        <v>0</v>
      </c>
      <c r="BC128" s="179" t="e">
        <f aca="false">IF(A129="","",AM128*F128)</f>
        <v>#N/A</v>
      </c>
    </row>
    <row r="129" customFormat="false" ht="12.75" hidden="false" customHeight="false" outlineLevel="0" collapsed="false">
      <c r="A129" s="196" t="n">
        <f aca="false">IF(A128&lt;mthend,EDATE(A128,1),"")</f>
        <v>40664</v>
      </c>
      <c r="B129" s="197" t="n">
        <f aca="false">IF(A129&lt;mthend,B128,"")</f>
        <v>40000</v>
      </c>
      <c r="C129" s="215"/>
      <c r="D129" s="197" t="n">
        <f aca="false">IF(A130&lt;&gt;"",B129+C129,"")</f>
        <v>40000</v>
      </c>
      <c r="E129" s="199" t="n">
        <f aca="false">IF(A130="","",IF(AND(AT129=1,$H$3=1),D129*AO129,IF($H$3=2,D129,"N/A")))</f>
        <v>1240000</v>
      </c>
      <c r="F129" s="199" t="n">
        <f aca="false">IF(A130="","",E129*AS129)</f>
        <v>5057687.1438379</v>
      </c>
      <c r="G129" s="200" t="e">
        <f aca="false">IF($A130="","",VLOOKUP($A129,Table,MATCH(G$4,Curves,0)))</f>
        <v>#N/A</v>
      </c>
      <c r="H129" s="201" t="e">
        <f aca="false">IF(A130="","",G129)</f>
        <v>#N/A</v>
      </c>
      <c r="I129" s="202"/>
      <c r="J129" s="200" t="e">
        <f aca="false">IF($A130="","",VLOOKUP($A129,Table,MATCH(J$4,Curves,0)))</f>
        <v>#N/A</v>
      </c>
      <c r="K129" s="201" t="e">
        <f aca="false">IF(A130="","",J129)</f>
        <v>#N/A</v>
      </c>
      <c r="L129" s="200" t="e">
        <f aca="false">IF($A130="","",VLOOKUP($A129,Table,MATCH(L$4,Curves,0)))</f>
        <v>#N/A</v>
      </c>
      <c r="M129" s="201" t="e">
        <f aca="false">IF(A130="","",L129)</f>
        <v>#N/A</v>
      </c>
      <c r="N129" s="203"/>
      <c r="O129" s="200" t="e">
        <f aca="false">IF(A130="","",L129+J129+G129)</f>
        <v>#N/A</v>
      </c>
      <c r="P129" s="200" t="e">
        <f aca="false">IF(A130="","",M129+K129+H129)</f>
        <v>#N/A</v>
      </c>
      <c r="Q129" s="204"/>
      <c r="R129" s="200" t="e">
        <f aca="false">IF($A130="","",VLOOKUP($A129,Table,MATCH(R$4,Curves,0)))</f>
        <v>#N/A</v>
      </c>
      <c r="S129" s="201" t="e">
        <f aca="false">IF(A130="","",R129)</f>
        <v>#N/A</v>
      </c>
      <c r="T129" s="200" t="e">
        <f aca="false">IF($A130="","",VLOOKUP($A129,Table,MATCH(T$4,Curves,0)))</f>
        <v>#N/A</v>
      </c>
      <c r="U129" s="201" t="e">
        <f aca="false">IF(A130="","",T129)</f>
        <v>#N/A</v>
      </c>
      <c r="V129" s="183" t="e">
        <f aca="false">IF($A130="","",IF(AND(MONTH(A129)&gt;3,MONTH(A129)&lt;11),(T129+R129+G129)*Summary!$T$7/(1-Summary!$T$7),(T129+R129+G129)*Summary!$U$7/(1-Summary!$U$7)))</f>
        <v>#N/A</v>
      </c>
      <c r="W129" s="200" t="e">
        <f aca="false">IF($A130="","",(T129+R129+G129+V129))</f>
        <v>#N/A</v>
      </c>
      <c r="X129" s="200" t="e">
        <f aca="false">IF($A130="","",(U129+S129+H129+V129))</f>
        <v>#N/A</v>
      </c>
      <c r="Y129" s="202"/>
      <c r="Z129" s="185" t="e">
        <f aca="false">IF($A130="","",VLOOKUP($A129,Table,MATCH(Z$4,Curves,0)))</f>
        <v>#N/A</v>
      </c>
      <c r="AA129" s="185" t="e">
        <f aca="false">IF($A130="","",VLOOKUP($A129,Table,MATCH(AA$4,Curves,0)))</f>
        <v>#N/A</v>
      </c>
      <c r="AB129" s="185" t="e">
        <f aca="false">SQRT((AA129^2*(A129-$D$3)+Z129^2*(DAY(EOMONTH(A129,0))/2))/AK129)</f>
        <v>#N/A</v>
      </c>
      <c r="AC129" s="185" t="e">
        <f aca="false">IF($A130="","",VLOOKUP($A129,Table,MATCH(AC$4,Curves,0)))</f>
        <v>#N/A</v>
      </c>
      <c r="AD129" s="185" t="e">
        <f aca="false">IF($A130="","",VLOOKUP($A129,Table,MATCH(AD$4,Curves,0)))</f>
        <v>#N/A</v>
      </c>
      <c r="AE129" s="185" t="e">
        <f aca="false">SQRT((AD129^2*(A129-$D$3)+AC129^2*(DAY(EOMONTH(A129,0))/2))/AK129)</f>
        <v>#N/A</v>
      </c>
      <c r="AF129" s="206" t="e">
        <f aca="false">((Summary!$N$7*(AA129*AD129)*(A129-$D$3))+(Summary!$M$7*Z129*AC129*(DAY(EOMONTH(A129,0))/2)))/(AK129*AB129*AE129)</f>
        <v>#N/A</v>
      </c>
      <c r="AG129" s="207" t="n">
        <f aca="false">IF($A130="","",Summary!$Q$7)</f>
        <v>0</v>
      </c>
      <c r="AH129" s="207" t="n">
        <f aca="false">IF($A130="","",IF(Summary!$R$7="Y",(VLOOKUP($A129,Summary!$AD$6:$AF$9,3)+'Escalating commodity'!C142),'Escalating commodity'!C142))</f>
        <v>0.0224952</v>
      </c>
      <c r="AI129" s="207" t="n">
        <f aca="false">IF($A130="","",AH129)</f>
        <v>0.0224952</v>
      </c>
      <c r="AJ129" s="208" t="n">
        <f aca="false">A129+DAY(EOMONTH(A129,0))/2-1</f>
        <v>40678.5</v>
      </c>
      <c r="AK129" s="209" t="n">
        <f aca="false">IF($A130="","",$A129-$E$1)</f>
        <v>-5262</v>
      </c>
      <c r="AL129" s="182" t="e">
        <f aca="false">IF($A130="","",SPRDOPT(P129,X129,AI129,0,AB129,AE129,AF129,AK129,$AJ$2,0))</f>
        <v>#NAME?</v>
      </c>
      <c r="AM129" s="210" t="e">
        <f aca="false">IF($A130="","",MAX(0,O129-W129-AI129))</f>
        <v>#N/A</v>
      </c>
      <c r="AN129" s="211" t="e">
        <f aca="false">IF($A130="","",AL129-AM129)</f>
        <v>#N/A</v>
      </c>
      <c r="AO129" s="137" t="n">
        <f aca="false">IF(A130="","",A130-A129)</f>
        <v>31</v>
      </c>
      <c r="AP129" s="212" t="n">
        <f aca="false">IF(A130="","",CHOOSE(F$3,A130+24,A129))</f>
        <v>40664</v>
      </c>
      <c r="AQ129" s="209" t="n">
        <f aca="false">IF(A130="","",AP129-$E$1)</f>
        <v>-5262</v>
      </c>
      <c r="AR129" s="185" t="n">
        <f aca="false">IF(Summary!$H$2=1,VLOOKUP('ANR OK vs ML7'!A129,Curves!$C$17:$AR$273,MATCH('ANR OK vs ML7'!$AR$4,Curves!$C$8:$AQ$8,0)),0.1)</f>
        <v>0.1</v>
      </c>
      <c r="AS129" s="213" t="n">
        <f aca="false">IF(A130="","",1/(1+CHOOSE(F$3,(AR130+($I$3/10000))/2,(AR129+($I$3/10000))/2))^(2*AQ129/365.25))</f>
        <v>4.07877995470799</v>
      </c>
      <c r="AT129" s="137" t="n">
        <f aca="false">IF(A130="","",IF(AND(mthbeg&lt;=A129,mthend&gt;=A129),1,0))</f>
        <v>1</v>
      </c>
      <c r="AU129" s="137" t="n">
        <f aca="false">IF(A130="","",AO129*AT129)</f>
        <v>31</v>
      </c>
      <c r="AW129" s="195" t="e">
        <f aca="false">IF($A130="","",AL129*$E129)</f>
        <v>#NAME?</v>
      </c>
      <c r="AX129" s="195" t="e">
        <f aca="false">IF($A130="","",AM129*$E129)</f>
        <v>#N/A</v>
      </c>
      <c r="AY129" s="195" t="e">
        <f aca="false">IF($A130="","",AN129*$E129)</f>
        <v>#N/A</v>
      </c>
      <c r="BA129" s="195" t="n">
        <f aca="false">IF($A130="","",F129*Summary!$Q$7)</f>
        <v>0</v>
      </c>
      <c r="BC129" s="179" t="e">
        <f aca="false">IF(A130="","",AM129*F129)</f>
        <v>#N/A</v>
      </c>
    </row>
    <row r="130" customFormat="false" ht="12.75" hidden="false" customHeight="false" outlineLevel="0" collapsed="false">
      <c r="A130" s="196" t="n">
        <f aca="false">IF(A129&lt;mthend,EDATE(A129,1),"")</f>
        <v>40695</v>
      </c>
      <c r="B130" s="197" t="n">
        <f aca="false">IF(A130&lt;mthend,B129,"")</f>
        <v>40000</v>
      </c>
      <c r="C130" s="215"/>
      <c r="D130" s="197" t="n">
        <f aca="false">IF(A131&lt;&gt;"",B130+C130,"")</f>
        <v>40000</v>
      </c>
      <c r="E130" s="199" t="n">
        <f aca="false">IF(A131="","",IF(AND(AT130=1,$H$3=1),D130*AO130,IF($H$3=2,D130,"N/A")))</f>
        <v>1200000</v>
      </c>
      <c r="F130" s="199" t="n">
        <f aca="false">IF(A131="","",E130*AS130)</f>
        <v>4854166.93550744</v>
      </c>
      <c r="G130" s="200" t="e">
        <f aca="false">IF($A131="","",VLOOKUP($A130,Table,MATCH(G$4,Curves,0)))</f>
        <v>#N/A</v>
      </c>
      <c r="H130" s="201" t="e">
        <f aca="false">IF(A131="","",G130)</f>
        <v>#N/A</v>
      </c>
      <c r="I130" s="202"/>
      <c r="J130" s="200" t="e">
        <f aca="false">IF($A131="","",VLOOKUP($A130,Table,MATCH(J$4,Curves,0)))</f>
        <v>#N/A</v>
      </c>
      <c r="K130" s="201" t="e">
        <f aca="false">IF(A131="","",J130)</f>
        <v>#N/A</v>
      </c>
      <c r="L130" s="200" t="e">
        <f aca="false">IF($A131="","",VLOOKUP($A130,Table,MATCH(L$4,Curves,0)))</f>
        <v>#N/A</v>
      </c>
      <c r="M130" s="201" t="e">
        <f aca="false">IF(A131="","",L130)</f>
        <v>#N/A</v>
      </c>
      <c r="N130" s="203"/>
      <c r="O130" s="200" t="e">
        <f aca="false">IF(A131="","",L130+J130+G130)</f>
        <v>#N/A</v>
      </c>
      <c r="P130" s="200" t="e">
        <f aca="false">IF(A131="","",M130+K130+H130)</f>
        <v>#N/A</v>
      </c>
      <c r="Q130" s="204"/>
      <c r="R130" s="200" t="e">
        <f aca="false">IF($A131="","",VLOOKUP($A130,Table,MATCH(R$4,Curves,0)))</f>
        <v>#N/A</v>
      </c>
      <c r="S130" s="201" t="e">
        <f aca="false">IF(A131="","",R130)</f>
        <v>#N/A</v>
      </c>
      <c r="T130" s="200" t="e">
        <f aca="false">IF($A131="","",VLOOKUP($A130,Table,MATCH(T$4,Curves,0)))</f>
        <v>#N/A</v>
      </c>
      <c r="U130" s="201" t="e">
        <f aca="false">IF(A131="","",T130)</f>
        <v>#N/A</v>
      </c>
      <c r="V130" s="183" t="e">
        <f aca="false">IF($A131="","",IF(AND(MONTH(A130)&gt;3,MONTH(A130)&lt;11),(T130+R130+G130)*Summary!$T$7/(1-Summary!$T$7),(T130+R130+G130)*Summary!$U$7/(1-Summary!$U$7)))</f>
        <v>#N/A</v>
      </c>
      <c r="W130" s="200" t="e">
        <f aca="false">IF($A131="","",(T130+R130+G130+V130))</f>
        <v>#N/A</v>
      </c>
      <c r="X130" s="200" t="e">
        <f aca="false">IF($A131="","",(U130+S130+H130+V130))</f>
        <v>#N/A</v>
      </c>
      <c r="Y130" s="202"/>
      <c r="Z130" s="185" t="e">
        <f aca="false">IF($A131="","",VLOOKUP($A130,Table,MATCH(Z$4,Curves,0)))</f>
        <v>#N/A</v>
      </c>
      <c r="AA130" s="185" t="e">
        <f aca="false">IF($A131="","",VLOOKUP($A130,Table,MATCH(AA$4,Curves,0)))</f>
        <v>#N/A</v>
      </c>
      <c r="AB130" s="185" t="e">
        <f aca="false">SQRT((AA130^2*(A130-$D$3)+Z130^2*(DAY(EOMONTH(A130,0))/2))/AK130)</f>
        <v>#N/A</v>
      </c>
      <c r="AC130" s="185" t="e">
        <f aca="false">IF($A131="","",VLOOKUP($A130,Table,MATCH(AC$4,Curves,0)))</f>
        <v>#N/A</v>
      </c>
      <c r="AD130" s="185" t="e">
        <f aca="false">IF($A131="","",VLOOKUP($A130,Table,MATCH(AD$4,Curves,0)))</f>
        <v>#N/A</v>
      </c>
      <c r="AE130" s="185" t="e">
        <f aca="false">SQRT((AD130^2*(A130-$D$3)+AC130^2*(DAY(EOMONTH(A130,0))/2))/AK130)</f>
        <v>#N/A</v>
      </c>
      <c r="AF130" s="206" t="e">
        <f aca="false">((Summary!$N$7*(AA130*AD130)*(A130-$D$3))+(Summary!$M$7*Z130*AC130*(DAY(EOMONTH(A130,0))/2)))/(AK130*AB130*AE130)</f>
        <v>#N/A</v>
      </c>
      <c r="AG130" s="207" t="n">
        <f aca="false">IF($A131="","",Summary!$Q$7)</f>
        <v>0</v>
      </c>
      <c r="AH130" s="207" t="n">
        <f aca="false">IF($A131="","",IF(Summary!$R$7="Y",(VLOOKUP($A130,Summary!$AD$6:$AF$9,3)+'Escalating commodity'!C143),'Escalating commodity'!C143))</f>
        <v>0.0224952</v>
      </c>
      <c r="AI130" s="207" t="n">
        <f aca="false">IF($A131="","",AH130)</f>
        <v>0.0224952</v>
      </c>
      <c r="AJ130" s="208" t="n">
        <f aca="false">A130+DAY(EOMONTH(A130,0))/2-1</f>
        <v>40709</v>
      </c>
      <c r="AK130" s="209" t="n">
        <f aca="false">IF($A131="","",$A130-$E$1)</f>
        <v>-5231</v>
      </c>
      <c r="AL130" s="182" t="e">
        <f aca="false">IF($A131="","",SPRDOPT(P130,X130,AI130,0,AB130,AE130,AF130,AK130,$AJ$2,0))</f>
        <v>#NAME?</v>
      </c>
      <c r="AM130" s="210" t="e">
        <f aca="false">IF($A131="","",MAX(0,O130-W130-AI130))</f>
        <v>#N/A</v>
      </c>
      <c r="AN130" s="211" t="e">
        <f aca="false">IF($A131="","",AL130-AM130)</f>
        <v>#N/A</v>
      </c>
      <c r="AO130" s="137" t="n">
        <f aca="false">IF(A131="","",A131-A130)</f>
        <v>30</v>
      </c>
      <c r="AP130" s="212" t="n">
        <f aca="false">IF(A131="","",CHOOSE(F$3,A131+24,A130))</f>
        <v>40695</v>
      </c>
      <c r="AQ130" s="209" t="n">
        <f aca="false">IF(A131="","",AP130-$E$1)</f>
        <v>-5231</v>
      </c>
      <c r="AR130" s="185" t="n">
        <f aca="false">IF(Summary!$H$2=1,VLOOKUP('ANR OK vs ML7'!A130,Curves!$C$17:$AR$273,MATCH('ANR OK vs ML7'!$AR$4,Curves!$C$8:$AQ$8,0)),0.1)</f>
        <v>0.1</v>
      </c>
      <c r="AS130" s="213" t="n">
        <f aca="false">IF(A131="","",1/(1+CHOOSE(F$3,(AR131+($I$3/10000))/2,(AR130+($I$3/10000))/2))^(2*AQ130/365.25))</f>
        <v>4.04513911292286</v>
      </c>
      <c r="AT130" s="137" t="n">
        <f aca="false">IF(A131="","",IF(AND(mthbeg&lt;=A130,mthend&gt;=A130),1,0))</f>
        <v>1</v>
      </c>
      <c r="AU130" s="137" t="n">
        <f aca="false">IF(A131="","",AO130*AT130)</f>
        <v>30</v>
      </c>
      <c r="AW130" s="195" t="e">
        <f aca="false">IF($A131="","",AL130*$E130)</f>
        <v>#NAME?</v>
      </c>
      <c r="AX130" s="195" t="e">
        <f aca="false">IF($A131="","",AM130*$E130)</f>
        <v>#N/A</v>
      </c>
      <c r="AY130" s="195" t="e">
        <f aca="false">IF($A131="","",AN130*$E130)</f>
        <v>#N/A</v>
      </c>
      <c r="BA130" s="195" t="n">
        <f aca="false">IF($A131="","",F130*Summary!$Q$7)</f>
        <v>0</v>
      </c>
      <c r="BC130" s="179" t="e">
        <f aca="false">IF(A131="","",AM130*F130)</f>
        <v>#N/A</v>
      </c>
    </row>
    <row r="131" customFormat="false" ht="12.75" hidden="false" customHeight="false" outlineLevel="0" collapsed="false">
      <c r="A131" s="196" t="n">
        <f aca="false">IF(A130&lt;mthend,EDATE(A130,1),"")</f>
        <v>40725</v>
      </c>
      <c r="B131" s="197" t="n">
        <f aca="false">IF(A131&lt;mthend,B130,"")</f>
        <v>40000</v>
      </c>
      <c r="C131" s="215"/>
      <c r="D131" s="197" t="n">
        <f aca="false">IF(A132&lt;&gt;"",B131+C131,"")</f>
        <v>40000</v>
      </c>
      <c r="E131" s="199" t="n">
        <f aca="false">IF(A132="","",IF(AND(AT131=1,$H$3=1),D131*AO131,IF($H$3=2,D131,"N/A")))</f>
        <v>1240000</v>
      </c>
      <c r="F131" s="199" t="n">
        <f aca="false">IF(A132="","",E131*AS131)</f>
        <v>4975931.10310387</v>
      </c>
      <c r="G131" s="200" t="e">
        <f aca="false">IF($A132="","",VLOOKUP($A131,Table,MATCH(G$4,Curves,0)))</f>
        <v>#N/A</v>
      </c>
      <c r="H131" s="201" t="e">
        <f aca="false">IF(A132="","",G131)</f>
        <v>#N/A</v>
      </c>
      <c r="I131" s="202"/>
      <c r="J131" s="200" t="e">
        <f aca="false">IF($A132="","",VLOOKUP($A131,Table,MATCH(J$4,Curves,0)))</f>
        <v>#N/A</v>
      </c>
      <c r="K131" s="201" t="e">
        <f aca="false">IF(A132="","",J131)</f>
        <v>#N/A</v>
      </c>
      <c r="L131" s="200" t="e">
        <f aca="false">IF($A132="","",VLOOKUP($A131,Table,MATCH(L$4,Curves,0)))</f>
        <v>#N/A</v>
      </c>
      <c r="M131" s="201" t="e">
        <f aca="false">IF(A132="","",L131)</f>
        <v>#N/A</v>
      </c>
      <c r="N131" s="203"/>
      <c r="O131" s="200" t="e">
        <f aca="false">IF(A132="","",L131+J131+G131)</f>
        <v>#N/A</v>
      </c>
      <c r="P131" s="200" t="e">
        <f aca="false">IF(A132="","",M131+K131+H131)</f>
        <v>#N/A</v>
      </c>
      <c r="Q131" s="204"/>
      <c r="R131" s="200" t="e">
        <f aca="false">IF($A132="","",VLOOKUP($A131,Table,MATCH(R$4,Curves,0)))</f>
        <v>#N/A</v>
      </c>
      <c r="S131" s="201" t="e">
        <f aca="false">IF(A132="","",R131)</f>
        <v>#N/A</v>
      </c>
      <c r="T131" s="200" t="e">
        <f aca="false">IF($A132="","",VLOOKUP($A131,Table,MATCH(T$4,Curves,0)))</f>
        <v>#N/A</v>
      </c>
      <c r="U131" s="201" t="e">
        <f aca="false">IF(A132="","",T131)</f>
        <v>#N/A</v>
      </c>
      <c r="V131" s="183" t="e">
        <f aca="false">IF($A132="","",IF(AND(MONTH(A131)&gt;3,MONTH(A131)&lt;11),(T131+R131+G131)*Summary!$T$7/(1-Summary!$T$7),(T131+R131+G131)*Summary!$U$7/(1-Summary!$U$7)))</f>
        <v>#N/A</v>
      </c>
      <c r="W131" s="200" t="e">
        <f aca="false">IF($A132="","",(T131+R131+G131+V131))</f>
        <v>#N/A</v>
      </c>
      <c r="X131" s="200" t="e">
        <f aca="false">IF($A132="","",(U131+S131+H131+V131))</f>
        <v>#N/A</v>
      </c>
      <c r="Y131" s="202"/>
      <c r="Z131" s="185" t="e">
        <f aca="false">IF($A132="","",VLOOKUP($A131,Table,MATCH(Z$4,Curves,0)))</f>
        <v>#N/A</v>
      </c>
      <c r="AA131" s="185" t="e">
        <f aca="false">IF($A132="","",VLOOKUP($A131,Table,MATCH(AA$4,Curves,0)))</f>
        <v>#N/A</v>
      </c>
      <c r="AB131" s="185" t="e">
        <f aca="false">SQRT((AA131^2*(A131-$D$3)+Z131^2*(DAY(EOMONTH(A131,0))/2))/AK131)</f>
        <v>#N/A</v>
      </c>
      <c r="AC131" s="185" t="e">
        <f aca="false">IF($A132="","",VLOOKUP($A131,Table,MATCH(AC$4,Curves,0)))</f>
        <v>#N/A</v>
      </c>
      <c r="AD131" s="185" t="e">
        <f aca="false">IF($A132="","",VLOOKUP($A131,Table,MATCH(AD$4,Curves,0)))</f>
        <v>#N/A</v>
      </c>
      <c r="AE131" s="185" t="e">
        <f aca="false">SQRT((AD131^2*(A131-$D$3)+AC131^2*(DAY(EOMONTH(A131,0))/2))/AK131)</f>
        <v>#N/A</v>
      </c>
      <c r="AF131" s="206" t="e">
        <f aca="false">((Summary!$N$7*(AA131*AD131)*(A131-$D$3))+(Summary!$M$7*Z131*AC131*(DAY(EOMONTH(A131,0))/2)))/(AK131*AB131*AE131)</f>
        <v>#N/A</v>
      </c>
      <c r="AG131" s="207" t="n">
        <f aca="false">IF($A132="","",Summary!$Q$7)</f>
        <v>0</v>
      </c>
      <c r="AH131" s="207" t="n">
        <f aca="false">IF($A132="","",IF(Summary!$R$7="Y",(VLOOKUP($A131,Summary!$AD$6:$AF$9,3)+'Escalating commodity'!C144),'Escalating commodity'!C144))</f>
        <v>0.0224952</v>
      </c>
      <c r="AI131" s="207" t="n">
        <f aca="false">IF($A132="","",AH131)</f>
        <v>0.0224952</v>
      </c>
      <c r="AJ131" s="208" t="n">
        <f aca="false">A131+DAY(EOMONTH(A131,0))/2-1</f>
        <v>40739.5</v>
      </c>
      <c r="AK131" s="209" t="n">
        <f aca="false">IF($A132="","",$A131-$E$1)</f>
        <v>-5201</v>
      </c>
      <c r="AL131" s="182" t="e">
        <f aca="false">IF($A132="","",SPRDOPT(P131,X131,AI131,0,AB131,AE131,AF131,AK131,$AJ$2,0))</f>
        <v>#NAME?</v>
      </c>
      <c r="AM131" s="210" t="e">
        <f aca="false">IF($A132="","",MAX(0,O131-W131-AI131))</f>
        <v>#N/A</v>
      </c>
      <c r="AN131" s="211" t="e">
        <f aca="false">IF($A132="","",AL131-AM131)</f>
        <v>#N/A</v>
      </c>
      <c r="AO131" s="137" t="n">
        <f aca="false">IF(A132="","",A132-A131)</f>
        <v>31</v>
      </c>
      <c r="AP131" s="212" t="n">
        <f aca="false">IF(A132="","",CHOOSE(F$3,A132+24,A131))</f>
        <v>40725</v>
      </c>
      <c r="AQ131" s="209" t="n">
        <f aca="false">IF(A132="","",AP131-$E$1)</f>
        <v>-5201</v>
      </c>
      <c r="AR131" s="185" t="n">
        <f aca="false">IF(Summary!$H$2=1,VLOOKUP('ANR OK vs ML7'!A131,Curves!$C$17:$AR$273,MATCH('ANR OK vs ML7'!$AR$4,Curves!$C$8:$AQ$8,0)),0.1)</f>
        <v>0.1</v>
      </c>
      <c r="AS131" s="213" t="n">
        <f aca="false">IF(A132="","",1/(1+CHOOSE(F$3,(AR132+($I$3/10000))/2,(AR131+($I$3/10000))/2))^(2*AQ131/365.25))</f>
        <v>4.01284766379345</v>
      </c>
      <c r="AT131" s="137" t="n">
        <f aca="false">IF(A132="","",IF(AND(mthbeg&lt;=A131,mthend&gt;=A131),1,0))</f>
        <v>1</v>
      </c>
      <c r="AU131" s="137" t="n">
        <f aca="false">IF(A132="","",AO131*AT131)</f>
        <v>31</v>
      </c>
      <c r="AW131" s="195" t="e">
        <f aca="false">IF($A132="","",AL131*$E131)</f>
        <v>#NAME?</v>
      </c>
      <c r="AX131" s="195" t="e">
        <f aca="false">IF($A132="","",AM131*$E131)</f>
        <v>#N/A</v>
      </c>
      <c r="AY131" s="195" t="e">
        <f aca="false">IF($A132="","",AN131*$E131)</f>
        <v>#N/A</v>
      </c>
      <c r="BA131" s="195" t="n">
        <f aca="false">IF($A132="","",F131*Summary!$Q$7)</f>
        <v>0</v>
      </c>
      <c r="BC131" s="179" t="e">
        <f aca="false">IF(A132="","",AM131*F131)</f>
        <v>#N/A</v>
      </c>
    </row>
    <row r="132" customFormat="false" ht="12.75" hidden="false" customHeight="false" outlineLevel="0" collapsed="false">
      <c r="A132" s="196" t="n">
        <f aca="false">IF(A131&lt;mthend,EDATE(A131,1),"")</f>
        <v>40756</v>
      </c>
      <c r="B132" s="197" t="n">
        <f aca="false">IF(A132&lt;mthend,B131,"")</f>
        <v>40000</v>
      </c>
      <c r="C132" s="215"/>
      <c r="D132" s="197" t="n">
        <f aca="false">IF(A133&lt;&gt;"",B132+C132,"")</f>
        <v>40000</v>
      </c>
      <c r="E132" s="199" t="n">
        <f aca="false">IF(A133="","",IF(AND(AT132=1,$H$3=1),D132*AO132,IF($H$3=2,D132,"N/A")))</f>
        <v>1240000</v>
      </c>
      <c r="F132" s="199" t="n">
        <f aca="false">IF(A133="","",E132*AS132)</f>
        <v>4934890.76436729</v>
      </c>
      <c r="G132" s="200" t="e">
        <f aca="false">IF($A133="","",VLOOKUP($A132,Table,MATCH(G$4,Curves,0)))</f>
        <v>#N/A</v>
      </c>
      <c r="H132" s="201" t="e">
        <f aca="false">IF(A133="","",G132)</f>
        <v>#N/A</v>
      </c>
      <c r="I132" s="202"/>
      <c r="J132" s="200" t="e">
        <f aca="false">IF($A133="","",VLOOKUP($A132,Table,MATCH(J$4,Curves,0)))</f>
        <v>#N/A</v>
      </c>
      <c r="K132" s="201" t="e">
        <f aca="false">IF(A133="","",J132)</f>
        <v>#N/A</v>
      </c>
      <c r="L132" s="200" t="e">
        <f aca="false">IF($A133="","",VLOOKUP($A132,Table,MATCH(L$4,Curves,0)))</f>
        <v>#N/A</v>
      </c>
      <c r="M132" s="201" t="e">
        <f aca="false">IF(A133="","",L132)</f>
        <v>#N/A</v>
      </c>
      <c r="N132" s="203"/>
      <c r="O132" s="200" t="e">
        <f aca="false">IF(A133="","",L132+J132+G132)</f>
        <v>#N/A</v>
      </c>
      <c r="P132" s="200" t="e">
        <f aca="false">IF(A133="","",M132+K132+H132)</f>
        <v>#N/A</v>
      </c>
      <c r="Q132" s="204"/>
      <c r="R132" s="200" t="e">
        <f aca="false">IF($A133="","",VLOOKUP($A132,Table,MATCH(R$4,Curves,0)))</f>
        <v>#N/A</v>
      </c>
      <c r="S132" s="201" t="e">
        <f aca="false">IF(A133="","",R132)</f>
        <v>#N/A</v>
      </c>
      <c r="T132" s="200" t="e">
        <f aca="false">IF($A133="","",VLOOKUP($A132,Table,MATCH(T$4,Curves,0)))</f>
        <v>#N/A</v>
      </c>
      <c r="U132" s="201" t="e">
        <f aca="false">IF(A133="","",T132)</f>
        <v>#N/A</v>
      </c>
      <c r="V132" s="183" t="e">
        <f aca="false">IF($A133="","",IF(AND(MONTH(A132)&gt;3,MONTH(A132)&lt;11),(T132+R132+G132)*Summary!$T$7/(1-Summary!$T$7),(T132+R132+G132)*Summary!$U$7/(1-Summary!$U$7)))</f>
        <v>#N/A</v>
      </c>
      <c r="W132" s="200" t="e">
        <f aca="false">IF($A133="","",(T132+R132+G132+V132))</f>
        <v>#N/A</v>
      </c>
      <c r="X132" s="200" t="e">
        <f aca="false">IF($A133="","",(U132+S132+H132+V132))</f>
        <v>#N/A</v>
      </c>
      <c r="Y132" s="202"/>
      <c r="Z132" s="185" t="e">
        <f aca="false">IF($A133="","",VLOOKUP($A132,Table,MATCH(Z$4,Curves,0)))</f>
        <v>#N/A</v>
      </c>
      <c r="AA132" s="185" t="e">
        <f aca="false">IF($A133="","",VLOOKUP($A132,Table,MATCH(AA$4,Curves,0)))</f>
        <v>#N/A</v>
      </c>
      <c r="AB132" s="185" t="e">
        <f aca="false">SQRT((AA132^2*(A132-$D$3)+Z132^2*(DAY(EOMONTH(A132,0))/2))/AK132)</f>
        <v>#N/A</v>
      </c>
      <c r="AC132" s="185" t="e">
        <f aca="false">IF($A133="","",VLOOKUP($A132,Table,MATCH(AC$4,Curves,0)))</f>
        <v>#N/A</v>
      </c>
      <c r="AD132" s="185" t="e">
        <f aca="false">IF($A133="","",VLOOKUP($A132,Table,MATCH(AD$4,Curves,0)))</f>
        <v>#N/A</v>
      </c>
      <c r="AE132" s="185" t="e">
        <f aca="false">SQRT((AD132^2*(A132-$D$3)+AC132^2*(DAY(EOMONTH(A132,0))/2))/AK132)</f>
        <v>#N/A</v>
      </c>
      <c r="AF132" s="206" t="e">
        <f aca="false">((Summary!$N$7*(AA132*AD132)*(A132-$D$3))+(Summary!$M$7*Z132*AC132*(DAY(EOMONTH(A132,0))/2)))/(AK132*AB132*AE132)</f>
        <v>#N/A</v>
      </c>
      <c r="AG132" s="207" t="n">
        <f aca="false">IF($A133="","",Summary!$Q$7)</f>
        <v>0</v>
      </c>
      <c r="AH132" s="207" t="n">
        <f aca="false">IF($A133="","",IF(Summary!$R$7="Y",(VLOOKUP($A132,Summary!$AD$6:$AF$9,3)+'Escalating commodity'!C145),'Escalating commodity'!C145))</f>
        <v>0.0224952</v>
      </c>
      <c r="AI132" s="207" t="n">
        <f aca="false">IF($A133="","",AH132)</f>
        <v>0.0224952</v>
      </c>
      <c r="AJ132" s="208" t="n">
        <f aca="false">A132+DAY(EOMONTH(A132,0))/2-1</f>
        <v>40770.5</v>
      </c>
      <c r="AK132" s="209" t="n">
        <f aca="false">IF($A133="","",$A132-$E$1)</f>
        <v>-5170</v>
      </c>
      <c r="AL132" s="182" t="e">
        <f aca="false">IF($A133="","",SPRDOPT(P132,X132,AI132,0,AB132,AE132,AF132,AK132,$AJ$2,0))</f>
        <v>#NAME?</v>
      </c>
      <c r="AM132" s="210" t="e">
        <f aca="false">IF($A133="","",MAX(0,O132-W132-AI132))</f>
        <v>#N/A</v>
      </c>
      <c r="AN132" s="211" t="e">
        <f aca="false">IF($A133="","",AL132-AM132)</f>
        <v>#N/A</v>
      </c>
      <c r="AO132" s="137" t="n">
        <f aca="false">IF(A133="","",A133-A132)</f>
        <v>31</v>
      </c>
      <c r="AP132" s="212" t="n">
        <f aca="false">IF(A133="","",CHOOSE(F$3,A133+24,A132))</f>
        <v>40756</v>
      </c>
      <c r="AQ132" s="209" t="n">
        <f aca="false">IF(A133="","",AP132-$E$1)</f>
        <v>-5170</v>
      </c>
      <c r="AR132" s="185" t="n">
        <f aca="false">IF(Summary!$H$2=1,VLOOKUP('ANR OK vs ML7'!A132,Curves!$C$17:$AR$273,MATCH('ANR OK vs ML7'!$AR$4,Curves!$C$8:$AQ$8,0)),0.1)</f>
        <v>0.1</v>
      </c>
      <c r="AS132" s="213" t="n">
        <f aca="false">IF(A133="","",1/(1+CHOOSE(F$3,(AR133+($I$3/10000))/2,(AR132+($I$3/10000))/2))^(2*AQ132/365.25))</f>
        <v>3.97975061642524</v>
      </c>
      <c r="AT132" s="137" t="n">
        <f aca="false">IF(A133="","",IF(AND(mthbeg&lt;=A132,mthend&gt;=A132),1,0))</f>
        <v>1</v>
      </c>
      <c r="AU132" s="137" t="n">
        <f aca="false">IF(A133="","",AO132*AT132)</f>
        <v>31</v>
      </c>
      <c r="AW132" s="195" t="e">
        <f aca="false">IF($A133="","",AL132*$E132)</f>
        <v>#NAME?</v>
      </c>
      <c r="AX132" s="195" t="e">
        <f aca="false">IF($A133="","",AM132*$E132)</f>
        <v>#N/A</v>
      </c>
      <c r="AY132" s="195" t="e">
        <f aca="false">IF($A133="","",AN132*$E132)</f>
        <v>#N/A</v>
      </c>
      <c r="BA132" s="195" t="n">
        <f aca="false">IF($A133="","",F132*Summary!$Q$7)</f>
        <v>0</v>
      </c>
      <c r="BC132" s="179" t="e">
        <f aca="false">IF(A133="","",AM132*F132)</f>
        <v>#N/A</v>
      </c>
    </row>
    <row r="133" customFormat="false" ht="12.75" hidden="false" customHeight="false" outlineLevel="0" collapsed="false">
      <c r="A133" s="196" t="n">
        <f aca="false">IF(A132&lt;mthend,EDATE(A132,1),"")</f>
        <v>40787</v>
      </c>
      <c r="B133" s="197" t="n">
        <f aca="false">IF(A133&lt;mthend,B132,"")</f>
        <v>40000</v>
      </c>
      <c r="C133" s="215"/>
      <c r="D133" s="197" t="n">
        <f aca="false">IF(A134&lt;&gt;"",B133+C133,"")</f>
        <v>40000</v>
      </c>
      <c r="E133" s="199" t="n">
        <f aca="false">IF(A134="","",IF(AND(AT133=1,$H$3=1),D133*AO133,IF($H$3=2,D133,"N/A")))</f>
        <v>1200000</v>
      </c>
      <c r="F133" s="199" t="n">
        <f aca="false">IF(A134="","",E133*AS133)</f>
        <v>4736311.85509731</v>
      </c>
      <c r="G133" s="200" t="e">
        <f aca="false">IF($A134="","",VLOOKUP($A133,Table,MATCH(G$4,Curves,0)))</f>
        <v>#N/A</v>
      </c>
      <c r="H133" s="201" t="e">
        <f aca="false">IF(A134="","",G133)</f>
        <v>#N/A</v>
      </c>
      <c r="I133" s="202"/>
      <c r="J133" s="200" t="e">
        <f aca="false">IF($A134="","",VLOOKUP($A133,Table,MATCH(J$4,Curves,0)))</f>
        <v>#N/A</v>
      </c>
      <c r="K133" s="201" t="e">
        <f aca="false">IF(A134="","",J133)</f>
        <v>#N/A</v>
      </c>
      <c r="L133" s="200" t="e">
        <f aca="false">IF($A134="","",VLOOKUP($A133,Table,MATCH(L$4,Curves,0)))</f>
        <v>#N/A</v>
      </c>
      <c r="M133" s="201" t="e">
        <f aca="false">IF(A134="","",L133)</f>
        <v>#N/A</v>
      </c>
      <c r="N133" s="203"/>
      <c r="O133" s="200" t="e">
        <f aca="false">IF(A134="","",L133+J133+G133)</f>
        <v>#N/A</v>
      </c>
      <c r="P133" s="200" t="e">
        <f aca="false">IF(A134="","",M133+K133+H133)</f>
        <v>#N/A</v>
      </c>
      <c r="Q133" s="204"/>
      <c r="R133" s="200" t="e">
        <f aca="false">IF($A134="","",VLOOKUP($A133,Table,MATCH(R$4,Curves,0)))</f>
        <v>#N/A</v>
      </c>
      <c r="S133" s="201" t="e">
        <f aca="false">IF(A134="","",R133)</f>
        <v>#N/A</v>
      </c>
      <c r="T133" s="200" t="e">
        <f aca="false">IF($A134="","",VLOOKUP($A133,Table,MATCH(T$4,Curves,0)))</f>
        <v>#N/A</v>
      </c>
      <c r="U133" s="201" t="e">
        <f aca="false">IF(A134="","",T133)</f>
        <v>#N/A</v>
      </c>
      <c r="V133" s="183" t="e">
        <f aca="false">IF($A134="","",IF(AND(MONTH(A133)&gt;3,MONTH(A133)&lt;11),(T133+R133+G133)*Summary!$T$7/(1-Summary!$T$7),(T133+R133+G133)*Summary!$U$7/(1-Summary!$U$7)))</f>
        <v>#N/A</v>
      </c>
      <c r="W133" s="200" t="e">
        <f aca="false">IF($A134="","",(T133+R133+G133+V133))</f>
        <v>#N/A</v>
      </c>
      <c r="X133" s="200" t="e">
        <f aca="false">IF($A134="","",(U133+S133+H133+V133))</f>
        <v>#N/A</v>
      </c>
      <c r="Y133" s="202"/>
      <c r="Z133" s="185" t="e">
        <f aca="false">IF($A134="","",VLOOKUP($A133,Table,MATCH(Z$4,Curves,0)))</f>
        <v>#N/A</v>
      </c>
      <c r="AA133" s="185" t="e">
        <f aca="false">IF($A134="","",VLOOKUP($A133,Table,MATCH(AA$4,Curves,0)))</f>
        <v>#N/A</v>
      </c>
      <c r="AB133" s="185" t="e">
        <f aca="false">SQRT((AA133^2*(A133-$D$3)+Z133^2*(DAY(EOMONTH(A133,0))/2))/AK133)</f>
        <v>#N/A</v>
      </c>
      <c r="AC133" s="185" t="e">
        <f aca="false">IF($A134="","",VLOOKUP($A133,Table,MATCH(AC$4,Curves,0)))</f>
        <v>#N/A</v>
      </c>
      <c r="AD133" s="185" t="e">
        <f aca="false">IF($A134="","",VLOOKUP($A133,Table,MATCH(AD$4,Curves,0)))</f>
        <v>#N/A</v>
      </c>
      <c r="AE133" s="185" t="e">
        <f aca="false">SQRT((AD133^2*(A133-$D$3)+AC133^2*(DAY(EOMONTH(A133,0))/2))/AK133)</f>
        <v>#N/A</v>
      </c>
      <c r="AF133" s="206" t="e">
        <f aca="false">((Summary!$N$7*(AA133*AD133)*(A133-$D$3))+(Summary!$M$7*Z133*AC133*(DAY(EOMONTH(A133,0))/2)))/(AK133*AB133*AE133)</f>
        <v>#N/A</v>
      </c>
      <c r="AG133" s="207" t="n">
        <f aca="false">IF($A134="","",Summary!$Q$7)</f>
        <v>0</v>
      </c>
      <c r="AH133" s="207" t="n">
        <f aca="false">IF($A134="","",IF(Summary!$R$7="Y",(VLOOKUP($A133,Summary!$AD$6:$AF$9,3)+'Escalating commodity'!C146),'Escalating commodity'!C146))</f>
        <v>0.0224952</v>
      </c>
      <c r="AI133" s="207" t="n">
        <f aca="false">IF($A134="","",AH133)</f>
        <v>0.0224952</v>
      </c>
      <c r="AJ133" s="208" t="n">
        <f aca="false">A133+DAY(EOMONTH(A133,0))/2-1</f>
        <v>40801</v>
      </c>
      <c r="AK133" s="209" t="n">
        <f aca="false">IF($A134="","",$A133-$E$1)</f>
        <v>-5139</v>
      </c>
      <c r="AL133" s="182" t="e">
        <f aca="false">IF($A134="","",SPRDOPT(P133,X133,AI133,0,AB133,AE133,AF133,AK133,$AJ$2,0))</f>
        <v>#NAME?</v>
      </c>
      <c r="AM133" s="210" t="e">
        <f aca="false">IF($A134="","",MAX(0,O133-W133-AI133))</f>
        <v>#N/A</v>
      </c>
      <c r="AN133" s="211" t="e">
        <f aca="false">IF($A134="","",AL133-AM133)</f>
        <v>#N/A</v>
      </c>
      <c r="AO133" s="137" t="n">
        <f aca="false">IF(A134="","",A134-A133)</f>
        <v>30</v>
      </c>
      <c r="AP133" s="212" t="n">
        <f aca="false">IF(A134="","",CHOOSE(F$3,A134+24,A133))</f>
        <v>40787</v>
      </c>
      <c r="AQ133" s="209" t="n">
        <f aca="false">IF(A134="","",AP133-$E$1)</f>
        <v>-5139</v>
      </c>
      <c r="AR133" s="185" t="n">
        <f aca="false">IF(Summary!$H$2=1,VLOOKUP('ANR OK vs ML7'!A133,Curves!$C$17:$AR$273,MATCH('ANR OK vs ML7'!$AR$4,Curves!$C$8:$AQ$8,0)),0.1)</f>
        <v>0.1</v>
      </c>
      <c r="AS133" s="213" t="n">
        <f aca="false">IF(A134="","",1/(1+CHOOSE(F$3,(AR134+($I$3/10000))/2,(AR133+($I$3/10000))/2))^(2*AQ133/365.25))</f>
        <v>3.94692654591443</v>
      </c>
      <c r="AT133" s="137" t="n">
        <f aca="false">IF(A134="","",IF(AND(mthbeg&lt;=A133,mthend&gt;=A133),1,0))</f>
        <v>1</v>
      </c>
      <c r="AU133" s="137" t="n">
        <f aca="false">IF(A134="","",AO133*AT133)</f>
        <v>30</v>
      </c>
      <c r="AW133" s="195" t="e">
        <f aca="false">IF($A134="","",AL133*$E133)</f>
        <v>#NAME?</v>
      </c>
      <c r="AX133" s="195" t="e">
        <f aca="false">IF($A134="","",AM133*$E133)</f>
        <v>#N/A</v>
      </c>
      <c r="AY133" s="195" t="e">
        <f aca="false">IF($A134="","",AN133*$E133)</f>
        <v>#N/A</v>
      </c>
      <c r="BA133" s="195" t="n">
        <f aca="false">IF($A134="","",F133*Summary!$Q$7)</f>
        <v>0</v>
      </c>
      <c r="BC133" s="179" t="e">
        <f aca="false">IF(A134="","",AM133*F133)</f>
        <v>#N/A</v>
      </c>
    </row>
    <row r="134" customFormat="false" ht="12.75" hidden="false" customHeight="false" outlineLevel="0" collapsed="false">
      <c r="A134" s="196" t="n">
        <f aca="false">IF(A133&lt;mthend,EDATE(A133,1),"")</f>
        <v>40817</v>
      </c>
      <c r="B134" s="197" t="n">
        <f aca="false">IF(A134&lt;mthend,B133,"")</f>
        <v>40000</v>
      </c>
      <c r="C134" s="215"/>
      <c r="D134" s="197" t="n">
        <f aca="false">IF(A135&lt;&gt;"",B134+C134,"")</f>
        <v>40000</v>
      </c>
      <c r="E134" s="199" t="n">
        <f aca="false">IF(A135="","",IF(AND(AT134=1,$H$3=1),D134*AO134,IF($H$3=2,D134,"N/A")))</f>
        <v>1240000</v>
      </c>
      <c r="F134" s="199" t="n">
        <f aca="false">IF(A135="","",E134*AS134)</f>
        <v>4855119.6913698</v>
      </c>
      <c r="G134" s="200" t="e">
        <f aca="false">IF($A135="","",VLOOKUP($A134,Table,MATCH(G$4,Curves,0)))</f>
        <v>#N/A</v>
      </c>
      <c r="H134" s="201" t="e">
        <f aca="false">IF(A135="","",G134)</f>
        <v>#N/A</v>
      </c>
      <c r="I134" s="202"/>
      <c r="J134" s="200" t="e">
        <f aca="false">IF($A135="","",VLOOKUP($A134,Table,MATCH(J$4,Curves,0)))</f>
        <v>#N/A</v>
      </c>
      <c r="K134" s="201" t="e">
        <f aca="false">IF(A135="","",J134)</f>
        <v>#N/A</v>
      </c>
      <c r="L134" s="200" t="e">
        <f aca="false">IF($A135="","",VLOOKUP($A134,Table,MATCH(L$4,Curves,0)))</f>
        <v>#N/A</v>
      </c>
      <c r="M134" s="201" t="e">
        <f aca="false">IF(A135="","",L134)</f>
        <v>#N/A</v>
      </c>
      <c r="N134" s="203"/>
      <c r="O134" s="200" t="e">
        <f aca="false">IF(A135="","",L134+J134+G134)</f>
        <v>#N/A</v>
      </c>
      <c r="P134" s="200" t="e">
        <f aca="false">IF(A135="","",M134+K134+H134)</f>
        <v>#N/A</v>
      </c>
      <c r="Q134" s="204"/>
      <c r="R134" s="200" t="e">
        <f aca="false">IF($A135="","",VLOOKUP($A134,Table,MATCH(R$4,Curves,0)))</f>
        <v>#N/A</v>
      </c>
      <c r="S134" s="201" t="e">
        <f aca="false">IF(A135="","",R134)</f>
        <v>#N/A</v>
      </c>
      <c r="T134" s="200" t="e">
        <f aca="false">IF($A135="","",VLOOKUP($A134,Table,MATCH(T$4,Curves,0)))</f>
        <v>#N/A</v>
      </c>
      <c r="U134" s="201" t="e">
        <f aca="false">IF(A135="","",T134)</f>
        <v>#N/A</v>
      </c>
      <c r="V134" s="183" t="e">
        <f aca="false">IF($A135="","",IF(AND(MONTH(A134)&gt;3,MONTH(A134)&lt;11),(T134+R134+G134)*Summary!$T$7/(1-Summary!$T$7),(T134+R134+G134)*Summary!$U$7/(1-Summary!$U$7)))</f>
        <v>#N/A</v>
      </c>
      <c r="W134" s="200" t="e">
        <f aca="false">IF($A135="","",(T134+R134+G134+V134))</f>
        <v>#N/A</v>
      </c>
      <c r="X134" s="200" t="e">
        <f aca="false">IF($A135="","",(U134+S134+H134+V134))</f>
        <v>#N/A</v>
      </c>
      <c r="Y134" s="202"/>
      <c r="Z134" s="185" t="e">
        <f aca="false">IF($A135="","",VLOOKUP($A134,Table,MATCH(Z$4,Curves,0)))</f>
        <v>#N/A</v>
      </c>
      <c r="AA134" s="185" t="e">
        <f aca="false">IF($A135="","",VLOOKUP($A134,Table,MATCH(AA$4,Curves,0)))</f>
        <v>#N/A</v>
      </c>
      <c r="AB134" s="185" t="e">
        <f aca="false">SQRT((AA134^2*(A134-$D$3)+Z134^2*(DAY(EOMONTH(A134,0))/2))/AK134)</f>
        <v>#N/A</v>
      </c>
      <c r="AC134" s="185" t="e">
        <f aca="false">IF($A135="","",VLOOKUP($A134,Table,MATCH(AC$4,Curves,0)))</f>
        <v>#N/A</v>
      </c>
      <c r="AD134" s="185" t="e">
        <f aca="false">IF($A135="","",VLOOKUP($A134,Table,MATCH(AD$4,Curves,0)))</f>
        <v>#N/A</v>
      </c>
      <c r="AE134" s="185" t="e">
        <f aca="false">SQRT((AD134^2*(A134-$D$3)+AC134^2*(DAY(EOMONTH(A134,0))/2))/AK134)</f>
        <v>#N/A</v>
      </c>
      <c r="AF134" s="206" t="e">
        <f aca="false">((Summary!$N$7*(AA134*AD134)*(A134-$D$3))+(Summary!$M$7*Z134*AC134*(DAY(EOMONTH(A134,0))/2)))/(AK134*AB134*AE134)</f>
        <v>#N/A</v>
      </c>
      <c r="AG134" s="207" t="n">
        <f aca="false">IF($A135="","",Summary!$Q$7)</f>
        <v>0</v>
      </c>
      <c r="AH134" s="207" t="n">
        <f aca="false">IF($A135="","",IF(Summary!$R$7="Y",(VLOOKUP($A134,Summary!$AD$6:$AF$9,3)+'Escalating commodity'!C147),'Escalating commodity'!C147))</f>
        <v>0.0224952</v>
      </c>
      <c r="AI134" s="207" t="n">
        <f aca="false">IF($A135="","",AH134)</f>
        <v>0.0224952</v>
      </c>
      <c r="AJ134" s="208" t="n">
        <f aca="false">A134+DAY(EOMONTH(A134,0))/2-1</f>
        <v>40831.5</v>
      </c>
      <c r="AK134" s="209" t="n">
        <f aca="false">IF($A135="","",$A134-$E$1)</f>
        <v>-5109</v>
      </c>
      <c r="AL134" s="182" t="e">
        <f aca="false">IF($A135="","",SPRDOPT(P134,X134,AI134,0,AB134,AE134,AF134,AK134,$AJ$2,0))</f>
        <v>#NAME?</v>
      </c>
      <c r="AM134" s="210" t="e">
        <f aca="false">IF($A135="","",MAX(0,O134-W134-AI134))</f>
        <v>#N/A</v>
      </c>
      <c r="AN134" s="211" t="e">
        <f aca="false">IF($A135="","",AL134-AM134)</f>
        <v>#N/A</v>
      </c>
      <c r="AO134" s="137" t="n">
        <f aca="false">IF(A135="","",A135-A134)</f>
        <v>31</v>
      </c>
      <c r="AP134" s="212" t="n">
        <f aca="false">IF(A135="","",CHOOSE(F$3,A135+24,A134))</f>
        <v>40817</v>
      </c>
      <c r="AQ134" s="209" t="n">
        <f aca="false">IF(A135="","",AP134-$E$1)</f>
        <v>-5109</v>
      </c>
      <c r="AR134" s="185" t="n">
        <f aca="false">IF(Summary!$H$2=1,VLOOKUP('ANR OK vs ML7'!A134,Curves!$C$17:$AR$273,MATCH('ANR OK vs ML7'!$AR$4,Curves!$C$8:$AQ$8,0)),0.1)</f>
        <v>0.1</v>
      </c>
      <c r="AS134" s="213" t="n">
        <f aca="false">IF(A135="","",1/(1+CHOOSE(F$3,(AR135+($I$3/10000))/2,(AR134+($I$3/10000))/2))^(2*AQ134/365.25))</f>
        <v>3.91541910594338</v>
      </c>
      <c r="AT134" s="137" t="n">
        <f aca="false">IF(A135="","",IF(AND(mthbeg&lt;=A134,mthend&gt;=A134),1,0))</f>
        <v>1</v>
      </c>
      <c r="AU134" s="137" t="n">
        <f aca="false">IF(A135="","",AO134*AT134)</f>
        <v>31</v>
      </c>
      <c r="AW134" s="195" t="e">
        <f aca="false">IF($A135="","",AL134*$E134)</f>
        <v>#NAME?</v>
      </c>
      <c r="AX134" s="195" t="e">
        <f aca="false">IF($A135="","",AM134*$E134)</f>
        <v>#N/A</v>
      </c>
      <c r="AY134" s="195" t="e">
        <f aca="false">IF($A135="","",AN134*$E134)</f>
        <v>#N/A</v>
      </c>
      <c r="BA134" s="195" t="n">
        <f aca="false">IF($A135="","",F134*Summary!$Q$7)</f>
        <v>0</v>
      </c>
      <c r="BC134" s="179" t="e">
        <f aca="false">IF(A135="","",AM134*F134)</f>
        <v>#N/A</v>
      </c>
    </row>
    <row r="135" customFormat="false" ht="12.75" hidden="false" customHeight="false" outlineLevel="0" collapsed="false">
      <c r="A135" s="196" t="n">
        <f aca="false">IF(A134&lt;mthend,EDATE(A134,1),"")</f>
        <v>40848</v>
      </c>
      <c r="B135" s="197" t="n">
        <f aca="false">IF(A135&lt;mthend,B134,"")</f>
        <v>40000</v>
      </c>
      <c r="C135" s="215"/>
      <c r="D135" s="197" t="n">
        <f aca="false">IF(A136&lt;&gt;"",B135+C135,"")</f>
        <v>40000</v>
      </c>
      <c r="E135" s="199" t="n">
        <f aca="false">IF(A136="","",IF(AND(AT135=1,$H$3=1),D135*AO135,IF($H$3=2,D135,"N/A")))</f>
        <v>1200000</v>
      </c>
      <c r="F135" s="199" t="n">
        <f aca="false">IF(A136="","",E135*AS135)</f>
        <v>4659750.75237546</v>
      </c>
      <c r="G135" s="200" t="e">
        <f aca="false">IF($A136="","",VLOOKUP($A135,Table,MATCH(G$4,Curves,0)))</f>
        <v>#N/A</v>
      </c>
      <c r="H135" s="201" t="e">
        <f aca="false">IF(A136="","",G135)</f>
        <v>#N/A</v>
      </c>
      <c r="I135" s="202"/>
      <c r="J135" s="200" t="e">
        <f aca="false">IF($A136="","",VLOOKUP($A135,Table,MATCH(J$4,Curves,0)))</f>
        <v>#N/A</v>
      </c>
      <c r="K135" s="201" t="e">
        <f aca="false">IF(A136="","",J135)</f>
        <v>#N/A</v>
      </c>
      <c r="L135" s="200" t="e">
        <f aca="false">IF($A136="","",VLOOKUP($A135,Table,MATCH(L$4,Curves,0)))</f>
        <v>#N/A</v>
      </c>
      <c r="M135" s="201" t="e">
        <f aca="false">IF(A136="","",L135)</f>
        <v>#N/A</v>
      </c>
      <c r="N135" s="203"/>
      <c r="O135" s="200" t="e">
        <f aca="false">IF(A136="","",L135+J135+G135)</f>
        <v>#N/A</v>
      </c>
      <c r="P135" s="200" t="e">
        <f aca="false">IF(A136="","",M135+K135+H135)</f>
        <v>#N/A</v>
      </c>
      <c r="Q135" s="204"/>
      <c r="R135" s="200" t="e">
        <f aca="false">IF($A136="","",VLOOKUP($A135,Table,MATCH(R$4,Curves,0)))</f>
        <v>#N/A</v>
      </c>
      <c r="S135" s="201" t="e">
        <f aca="false">IF(A136="","",R135)</f>
        <v>#N/A</v>
      </c>
      <c r="T135" s="200" t="e">
        <f aca="false">IF($A136="","",VLOOKUP($A135,Table,MATCH(T$4,Curves,0)))</f>
        <v>#N/A</v>
      </c>
      <c r="U135" s="201" t="e">
        <f aca="false">IF(A136="","",T135)</f>
        <v>#N/A</v>
      </c>
      <c r="V135" s="183" t="e">
        <f aca="false">IF($A136="","",IF(AND(MONTH(A135)&gt;3,MONTH(A135)&lt;11),(T135+R135+G135)*Summary!$T$7/(1-Summary!$T$7),(T135+R135+G135)*Summary!$U$7/(1-Summary!$U$7)))</f>
        <v>#N/A</v>
      </c>
      <c r="W135" s="200" t="e">
        <f aca="false">IF($A136="","",(T135+R135+G135+V135))</f>
        <v>#N/A</v>
      </c>
      <c r="X135" s="200" t="e">
        <f aca="false">IF($A136="","",(U135+S135+H135+V135))</f>
        <v>#N/A</v>
      </c>
      <c r="Y135" s="202"/>
      <c r="Z135" s="185" t="e">
        <f aca="false">IF($A136="","",VLOOKUP($A135,Table,MATCH(Z$4,Curves,0)))</f>
        <v>#N/A</v>
      </c>
      <c r="AA135" s="185" t="e">
        <f aca="false">IF($A136="","",VLOOKUP($A135,Table,MATCH(AA$4,Curves,0)))</f>
        <v>#N/A</v>
      </c>
      <c r="AB135" s="185" t="e">
        <f aca="false">SQRT((AA135^2*(A135-$D$3)+Z135^2*(DAY(EOMONTH(A135,0))/2))/AK135)</f>
        <v>#N/A</v>
      </c>
      <c r="AC135" s="185" t="e">
        <f aca="false">IF($A136="","",VLOOKUP($A135,Table,MATCH(AC$4,Curves,0)))</f>
        <v>#N/A</v>
      </c>
      <c r="AD135" s="185" t="e">
        <f aca="false">IF($A136="","",VLOOKUP($A135,Table,MATCH(AD$4,Curves,0)))</f>
        <v>#N/A</v>
      </c>
      <c r="AE135" s="185" t="e">
        <f aca="false">SQRT((AD135^2*(A135-$D$3)+AC135^2*(DAY(EOMONTH(A135,0))/2))/AK135)</f>
        <v>#N/A</v>
      </c>
      <c r="AF135" s="206" t="e">
        <f aca="false">((Summary!$N$7*(AA135*AD135)*(A135-$D$3))+(Summary!$M$7*Z135*AC135*(DAY(EOMONTH(A135,0))/2)))/(AK135*AB135*AE135)</f>
        <v>#N/A</v>
      </c>
      <c r="AG135" s="207" t="n">
        <f aca="false">IF($A136="","",Summary!$Q$7)</f>
        <v>0</v>
      </c>
      <c r="AH135" s="207" t="n">
        <f aca="false">IF($A136="","",IF(Summary!$R$7="Y",(VLOOKUP($A135,Summary!$AD$6:$AF$9,3)+'Escalating commodity'!C148),'Escalating commodity'!C148))</f>
        <v>0.0224952</v>
      </c>
      <c r="AI135" s="207" t="n">
        <f aca="false">IF($A136="","",AH135)</f>
        <v>0.0224952</v>
      </c>
      <c r="AJ135" s="208" t="n">
        <f aca="false">A135+DAY(EOMONTH(A135,0))/2-1</f>
        <v>40862</v>
      </c>
      <c r="AK135" s="209" t="n">
        <f aca="false">IF($A136="","",$A135-$E$1)</f>
        <v>-5078</v>
      </c>
      <c r="AL135" s="182" t="e">
        <f aca="false">IF($A136="","",SPRDOPT(P135,X135,AI135,0,AB135,AE135,AF135,AK135,$AJ$2,0))</f>
        <v>#NAME?</v>
      </c>
      <c r="AM135" s="210" t="e">
        <f aca="false">IF($A136="","",MAX(0,O135-W135-AI135))</f>
        <v>#N/A</v>
      </c>
      <c r="AN135" s="211" t="e">
        <f aca="false">IF($A136="","",AL135-AM135)</f>
        <v>#N/A</v>
      </c>
      <c r="AO135" s="137" t="n">
        <f aca="false">IF(A136="","",A136-A135)</f>
        <v>30</v>
      </c>
      <c r="AP135" s="212" t="n">
        <f aca="false">IF(A136="","",CHOOSE(F$3,A136+24,A135))</f>
        <v>40848</v>
      </c>
      <c r="AQ135" s="209" t="n">
        <f aca="false">IF(A136="","",AP135-$E$1)</f>
        <v>-5078</v>
      </c>
      <c r="AR135" s="185" t="n">
        <f aca="false">IF(Summary!$H$2=1,VLOOKUP('ANR OK vs ML7'!A135,Curves!$C$17:$AR$273,MATCH('ANR OK vs ML7'!$AR$4,Curves!$C$8:$AQ$8,0)),0.1)</f>
        <v>0.1</v>
      </c>
      <c r="AS135" s="213" t="n">
        <f aca="false">IF(A136="","",1/(1+CHOOSE(F$3,(AR136+($I$3/10000))/2,(AR135+($I$3/10000))/2))^(2*AQ135/365.25))</f>
        <v>3.88312562697955</v>
      </c>
      <c r="AT135" s="137" t="n">
        <f aca="false">IF(A136="","",IF(AND(mthbeg&lt;=A135,mthend&gt;=A135),1,0))</f>
        <v>1</v>
      </c>
      <c r="AU135" s="137" t="n">
        <f aca="false">IF(A136="","",AO135*AT135)</f>
        <v>30</v>
      </c>
      <c r="AW135" s="195" t="e">
        <f aca="false">IF($A136="","",AL135*$E135)</f>
        <v>#NAME?</v>
      </c>
      <c r="AX135" s="195" t="e">
        <f aca="false">IF($A136="","",AM135*$E135)</f>
        <v>#N/A</v>
      </c>
      <c r="AY135" s="195" t="e">
        <f aca="false">IF($A136="","",AN135*$E135)</f>
        <v>#N/A</v>
      </c>
      <c r="BA135" s="195" t="n">
        <f aca="false">IF($A136="","",F135*Summary!$Q$7)</f>
        <v>0</v>
      </c>
      <c r="BC135" s="179" t="e">
        <f aca="false">IF(A136="","",AM135*F135)</f>
        <v>#N/A</v>
      </c>
    </row>
    <row r="136" customFormat="false" ht="12.75" hidden="false" customHeight="false" outlineLevel="0" collapsed="false">
      <c r="A136" s="196" t="n">
        <f aca="false">IF(A135&lt;mthend,EDATE(A135,1),"")</f>
        <v>40878</v>
      </c>
      <c r="B136" s="197" t="n">
        <f aca="false">IF(A136&lt;mthend,B135,"")</f>
        <v>40000</v>
      </c>
      <c r="C136" s="215"/>
      <c r="D136" s="197" t="n">
        <f aca="false">IF(A137&lt;&gt;"",B136+C136,"")</f>
        <v>40000</v>
      </c>
      <c r="E136" s="199" t="n">
        <f aca="false">IF(A137="","",IF(AND(AT136=1,$H$3=1),D136*AO136,IF($H$3=2,D136,"N/A")))</f>
        <v>1240000</v>
      </c>
      <c r="F136" s="199" t="n">
        <f aca="false">IF(A137="","",E136*AS136)</f>
        <v>4776638.09455141</v>
      </c>
      <c r="G136" s="200" t="e">
        <f aca="false">IF($A137="","",VLOOKUP($A136,Table,MATCH(G$4,Curves,0)))</f>
        <v>#N/A</v>
      </c>
      <c r="H136" s="201" t="e">
        <f aca="false">IF(A137="","",G136)</f>
        <v>#N/A</v>
      </c>
      <c r="I136" s="202"/>
      <c r="J136" s="200" t="e">
        <f aca="false">IF($A137="","",VLOOKUP($A136,Table,MATCH(J$4,Curves,0)))</f>
        <v>#N/A</v>
      </c>
      <c r="K136" s="201" t="e">
        <f aca="false">IF(A137="","",J136)</f>
        <v>#N/A</v>
      </c>
      <c r="L136" s="200" t="e">
        <f aca="false">IF($A137="","",VLOOKUP($A136,Table,MATCH(L$4,Curves,0)))</f>
        <v>#N/A</v>
      </c>
      <c r="M136" s="201" t="e">
        <f aca="false">IF(A137="","",L136)</f>
        <v>#N/A</v>
      </c>
      <c r="N136" s="203"/>
      <c r="O136" s="200" t="e">
        <f aca="false">IF(A137="","",L136+J136+G136)</f>
        <v>#N/A</v>
      </c>
      <c r="P136" s="200" t="e">
        <f aca="false">IF(A137="","",M136+K136+H136)</f>
        <v>#N/A</v>
      </c>
      <c r="Q136" s="204"/>
      <c r="R136" s="200" t="e">
        <f aca="false">IF($A137="","",VLOOKUP($A136,Table,MATCH(R$4,Curves,0)))</f>
        <v>#N/A</v>
      </c>
      <c r="S136" s="201" t="e">
        <f aca="false">IF(A137="","",R136)</f>
        <v>#N/A</v>
      </c>
      <c r="T136" s="200" t="e">
        <f aca="false">IF($A137="","",VLOOKUP($A136,Table,MATCH(T$4,Curves,0)))</f>
        <v>#N/A</v>
      </c>
      <c r="U136" s="201" t="e">
        <f aca="false">IF(A137="","",T136)</f>
        <v>#N/A</v>
      </c>
      <c r="V136" s="183" t="e">
        <f aca="false">IF($A137="","",IF(AND(MONTH(A136)&gt;3,MONTH(A136)&lt;11),(T136+R136+G136)*Summary!$T$7/(1-Summary!$T$7),(T136+R136+G136)*Summary!$U$7/(1-Summary!$U$7)))</f>
        <v>#N/A</v>
      </c>
      <c r="W136" s="200" t="e">
        <f aca="false">IF($A137="","",(T136+R136+G136+V136))</f>
        <v>#N/A</v>
      </c>
      <c r="X136" s="200" t="e">
        <f aca="false">IF($A137="","",(U136+S136+H136+V136))</f>
        <v>#N/A</v>
      </c>
      <c r="Y136" s="202"/>
      <c r="Z136" s="185" t="e">
        <f aca="false">IF($A137="","",VLOOKUP($A136,Table,MATCH(Z$4,Curves,0)))</f>
        <v>#N/A</v>
      </c>
      <c r="AA136" s="185" t="e">
        <f aca="false">IF($A137="","",VLOOKUP($A136,Table,MATCH(AA$4,Curves,0)))</f>
        <v>#N/A</v>
      </c>
      <c r="AB136" s="185" t="e">
        <f aca="false">SQRT((AA136^2*(A136-$D$3)+Z136^2*(DAY(EOMONTH(A136,0))/2))/AK136)</f>
        <v>#N/A</v>
      </c>
      <c r="AC136" s="185" t="e">
        <f aca="false">IF($A137="","",VLOOKUP($A136,Table,MATCH(AC$4,Curves,0)))</f>
        <v>#N/A</v>
      </c>
      <c r="AD136" s="185" t="e">
        <f aca="false">IF($A137="","",VLOOKUP($A136,Table,MATCH(AD$4,Curves,0)))</f>
        <v>#N/A</v>
      </c>
      <c r="AE136" s="185" t="e">
        <f aca="false">SQRT((AD136^2*(A136-$D$3)+AC136^2*(DAY(EOMONTH(A136,0))/2))/AK136)</f>
        <v>#N/A</v>
      </c>
      <c r="AF136" s="206" t="e">
        <f aca="false">((Summary!$N$7*(AA136*AD136)*(A136-$D$3))+(Summary!$M$7*Z136*AC136*(DAY(EOMONTH(A136,0))/2)))/(AK136*AB136*AE136)</f>
        <v>#N/A</v>
      </c>
      <c r="AG136" s="207" t="n">
        <f aca="false">IF($A137="","",Summary!$Q$7)</f>
        <v>0</v>
      </c>
      <c r="AH136" s="207" t="n">
        <f aca="false">IF($A137="","",IF(Summary!$R$7="Y",(VLOOKUP($A136,Summary!$AD$6:$AF$9,3)+'Escalating commodity'!C149),'Escalating commodity'!C149))</f>
        <v>0.0224952</v>
      </c>
      <c r="AI136" s="207" t="n">
        <f aca="false">IF($A137="","",AH136)</f>
        <v>0.0224952</v>
      </c>
      <c r="AJ136" s="208" t="n">
        <f aca="false">A136+DAY(EOMONTH(A136,0))/2-1</f>
        <v>40892.5</v>
      </c>
      <c r="AK136" s="209" t="n">
        <f aca="false">IF($A137="","",$A136-$E$1)</f>
        <v>-5048</v>
      </c>
      <c r="AL136" s="182" t="e">
        <f aca="false">IF($A137="","",SPRDOPT(P136,X136,AI136,0,AB136,AE136,AF136,AK136,$AJ$2,0))</f>
        <v>#NAME?</v>
      </c>
      <c r="AM136" s="210" t="e">
        <f aca="false">IF($A137="","",MAX(0,O136-W136-AI136))</f>
        <v>#N/A</v>
      </c>
      <c r="AN136" s="211" t="e">
        <f aca="false">IF($A137="","",AL136-AM136)</f>
        <v>#N/A</v>
      </c>
      <c r="AO136" s="137" t="n">
        <f aca="false">IF(A137="","",A137-A136)</f>
        <v>31</v>
      </c>
      <c r="AP136" s="212" t="n">
        <f aca="false">IF(A137="","",CHOOSE(F$3,A137+24,A136))</f>
        <v>40878</v>
      </c>
      <c r="AQ136" s="209" t="n">
        <f aca="false">IF(A137="","",AP136-$E$1)</f>
        <v>-5048</v>
      </c>
      <c r="AR136" s="185" t="n">
        <f aca="false">IF(Summary!$H$2=1,VLOOKUP('ANR OK vs ML7'!A136,Curves!$C$17:$AR$273,MATCH('ANR OK vs ML7'!$AR$4,Curves!$C$8:$AQ$8,0)),0.1)</f>
        <v>0.1</v>
      </c>
      <c r="AS136" s="213" t="n">
        <f aca="false">IF(A137="","",1/(1+CHOOSE(F$3,(AR137+($I$3/10000))/2,(AR136+($I$3/10000))/2))^(2*AQ136/365.25))</f>
        <v>3.85212749560598</v>
      </c>
      <c r="AT136" s="137" t="n">
        <f aca="false">IF(A137="","",IF(AND(mthbeg&lt;=A136,mthend&gt;=A136),1,0))</f>
        <v>1</v>
      </c>
      <c r="AU136" s="137" t="n">
        <f aca="false">IF(A137="","",AO136*AT136)</f>
        <v>31</v>
      </c>
      <c r="AW136" s="195" t="e">
        <f aca="false">IF($A137="","",AL136*$E136)</f>
        <v>#NAME?</v>
      </c>
      <c r="AX136" s="195" t="e">
        <f aca="false">IF($A137="","",AM136*$E136)</f>
        <v>#N/A</v>
      </c>
      <c r="AY136" s="195" t="e">
        <f aca="false">IF($A137="","",AN136*$E136)</f>
        <v>#N/A</v>
      </c>
      <c r="BA136" s="195" t="n">
        <f aca="false">IF($A137="","",F136*Summary!$Q$7)</f>
        <v>0</v>
      </c>
      <c r="BC136" s="179" t="e">
        <f aca="false">IF(A137="","",AM136*F136)</f>
        <v>#N/A</v>
      </c>
    </row>
    <row r="137" customFormat="false" ht="12.75" hidden="false" customHeight="false" outlineLevel="0" collapsed="false">
      <c r="A137" s="196" t="n">
        <f aca="false">IF(A136&lt;mthend,EDATE(A136,1),"")</f>
        <v>40909</v>
      </c>
      <c r="B137" s="197" t="n">
        <f aca="false">IF(A137&lt;mthend,B136,"")</f>
        <v>40000</v>
      </c>
      <c r="C137" s="215"/>
      <c r="D137" s="197" t="n">
        <f aca="false">IF(A138&lt;&gt;"",B137+C137,"")</f>
        <v>40000</v>
      </c>
      <c r="E137" s="199" t="n">
        <f aca="false">IF(A138="","",IF(AND(AT137=1,$H$3=1),D137*AO137,IF($H$3=2,D137,"N/A")))</f>
        <v>1240000</v>
      </c>
      <c r="F137" s="199" t="n">
        <f aca="false">IF(A138="","",E137*AS137)</f>
        <v>4737241.47885065</v>
      </c>
      <c r="G137" s="200" t="e">
        <f aca="false">IF($A138="","",VLOOKUP($A137,Table,MATCH(G$4,Curves,0)))</f>
        <v>#N/A</v>
      </c>
      <c r="H137" s="201" t="e">
        <f aca="false">IF(A138="","",G137)</f>
        <v>#N/A</v>
      </c>
      <c r="I137" s="202"/>
      <c r="J137" s="200" t="e">
        <f aca="false">IF($A138="","",VLOOKUP($A137,Table,MATCH(J$4,Curves,0)))</f>
        <v>#N/A</v>
      </c>
      <c r="K137" s="201" t="e">
        <f aca="false">IF(A138="","",J137)</f>
        <v>#N/A</v>
      </c>
      <c r="L137" s="200" t="e">
        <f aca="false">IF($A138="","",VLOOKUP($A137,Table,MATCH(L$4,Curves,0)))</f>
        <v>#N/A</v>
      </c>
      <c r="M137" s="201" t="e">
        <f aca="false">IF(A138="","",L137)</f>
        <v>#N/A</v>
      </c>
      <c r="N137" s="203"/>
      <c r="O137" s="200" t="e">
        <f aca="false">IF(A138="","",L137+J137+G137)</f>
        <v>#N/A</v>
      </c>
      <c r="P137" s="200" t="e">
        <f aca="false">IF(A138="","",M137+K137+H137)</f>
        <v>#N/A</v>
      </c>
      <c r="Q137" s="204"/>
      <c r="R137" s="200" t="e">
        <f aca="false">IF($A138="","",VLOOKUP($A137,Table,MATCH(R$4,Curves,0)))</f>
        <v>#N/A</v>
      </c>
      <c r="S137" s="201" t="e">
        <f aca="false">IF(A138="","",R137)</f>
        <v>#N/A</v>
      </c>
      <c r="T137" s="200" t="e">
        <f aca="false">IF($A138="","",VLOOKUP($A137,Table,MATCH(T$4,Curves,0)))</f>
        <v>#N/A</v>
      </c>
      <c r="U137" s="201" t="e">
        <f aca="false">IF(A138="","",T137)</f>
        <v>#N/A</v>
      </c>
      <c r="V137" s="183" t="e">
        <f aca="false">IF($A138="","",IF(AND(MONTH(A137)&gt;3,MONTH(A137)&lt;11),(T137+R137+G137)*Summary!$T$7/(1-Summary!$T$7),(T137+R137+G137)*Summary!$U$7/(1-Summary!$U$7)))</f>
        <v>#N/A</v>
      </c>
      <c r="W137" s="200" t="e">
        <f aca="false">IF($A138="","",(T137+R137+G137+V137))</f>
        <v>#N/A</v>
      </c>
      <c r="X137" s="200" t="e">
        <f aca="false">IF($A138="","",(U137+S137+H137+V137))</f>
        <v>#N/A</v>
      </c>
      <c r="Y137" s="202"/>
      <c r="Z137" s="185" t="e">
        <f aca="false">IF($A138="","",VLOOKUP($A137,Table,MATCH(Z$4,Curves,0)))</f>
        <v>#N/A</v>
      </c>
      <c r="AA137" s="185" t="e">
        <f aca="false">IF($A138="","",VLOOKUP($A137,Table,MATCH(AA$4,Curves,0)))</f>
        <v>#N/A</v>
      </c>
      <c r="AB137" s="185" t="e">
        <f aca="false">SQRT((AA137^2*(A137-$D$3)+Z137^2*(DAY(EOMONTH(A137,0))/2))/AK137)</f>
        <v>#N/A</v>
      </c>
      <c r="AC137" s="185" t="e">
        <f aca="false">IF($A138="","",VLOOKUP($A137,Table,MATCH(AC$4,Curves,0)))</f>
        <v>#N/A</v>
      </c>
      <c r="AD137" s="185" t="e">
        <f aca="false">IF($A138="","",VLOOKUP($A137,Table,MATCH(AD$4,Curves,0)))</f>
        <v>#N/A</v>
      </c>
      <c r="AE137" s="185" t="e">
        <f aca="false">SQRT((AD137^2*(A137-$D$3)+AC137^2*(DAY(EOMONTH(A137,0))/2))/AK137)</f>
        <v>#N/A</v>
      </c>
      <c r="AF137" s="206" t="e">
        <f aca="false">((Summary!$N$7*(AA137*AD137)*(A137-$D$3))+(Summary!$M$7*Z137*AC137*(DAY(EOMONTH(A137,0))/2)))/(AK137*AB137*AE137)</f>
        <v>#N/A</v>
      </c>
      <c r="AG137" s="207" t="n">
        <f aca="false">IF($A138="","",Summary!$Q$7)</f>
        <v>0</v>
      </c>
      <c r="AH137" s="207" t="n">
        <f aca="false">IF($A138="","",IF(Summary!$R$7="Y",(VLOOKUP($A137,Summary!$AD$6:$AF$9,3)+'Escalating commodity'!C150),'Escalating commodity'!C150))</f>
        <v>0.0224952</v>
      </c>
      <c r="AI137" s="207" t="n">
        <f aca="false">IF($A138="","",AH137)</f>
        <v>0.0224952</v>
      </c>
      <c r="AJ137" s="208" t="n">
        <f aca="false">A137+DAY(EOMONTH(A137,0))/2-1</f>
        <v>40923.5</v>
      </c>
      <c r="AK137" s="209" t="n">
        <f aca="false">IF($A138="","",$A137-$E$1)</f>
        <v>-5017</v>
      </c>
      <c r="AL137" s="182" t="e">
        <f aca="false">IF($A138="","",SPRDOPT(P137,X137,AI137,0,AB137,AE137,AF137,AK137,$AJ$2,0))</f>
        <v>#NAME?</v>
      </c>
      <c r="AM137" s="210" t="e">
        <f aca="false">IF($A138="","",MAX(0,O137-W137-AI137))</f>
        <v>#N/A</v>
      </c>
      <c r="AN137" s="211" t="e">
        <f aca="false">IF($A138="","",AL137-AM137)</f>
        <v>#N/A</v>
      </c>
      <c r="AO137" s="137" t="n">
        <f aca="false">IF(A138="","",A138-A137)</f>
        <v>31</v>
      </c>
      <c r="AP137" s="212" t="n">
        <f aca="false">IF(A138="","",CHOOSE(F$3,A138+24,A137))</f>
        <v>40909</v>
      </c>
      <c r="AQ137" s="209" t="n">
        <f aca="false">IF(A138="","",AP137-$E$1)</f>
        <v>-5017</v>
      </c>
      <c r="AR137" s="185" t="n">
        <f aca="false">IF(Summary!$H$2=1,VLOOKUP('ANR OK vs ML7'!A137,Curves!$C$17:$AR$273,MATCH('ANR OK vs ML7'!$AR$4,Curves!$C$8:$AQ$8,0)),0.1)</f>
        <v>0.1</v>
      </c>
      <c r="AS137" s="213" t="n">
        <f aca="false">IF(A138="","",1/(1+CHOOSE(F$3,(AR138+($I$3/10000))/2,(AR137+($I$3/10000))/2))^(2*AQ137/365.25))</f>
        <v>3.82035603133117</v>
      </c>
      <c r="AT137" s="137" t="n">
        <f aca="false">IF(A138="","",IF(AND(mthbeg&lt;=A137,mthend&gt;=A137),1,0))</f>
        <v>1</v>
      </c>
      <c r="AU137" s="137" t="n">
        <f aca="false">IF(A138="","",AO137*AT137)</f>
        <v>31</v>
      </c>
      <c r="AW137" s="195" t="e">
        <f aca="false">IF($A138="","",AL137*$E137)</f>
        <v>#NAME?</v>
      </c>
      <c r="AX137" s="195" t="e">
        <f aca="false">IF($A138="","",AM137*$E137)</f>
        <v>#N/A</v>
      </c>
      <c r="AY137" s="195" t="e">
        <f aca="false">IF($A138="","",AN137*$E137)</f>
        <v>#N/A</v>
      </c>
      <c r="BA137" s="195" t="n">
        <f aca="false">IF($A138="","",F137*Summary!$Q$7)</f>
        <v>0</v>
      </c>
      <c r="BC137" s="179" t="e">
        <f aca="false">IF(A138="","",AM137*F137)</f>
        <v>#N/A</v>
      </c>
    </row>
    <row r="138" customFormat="false" ht="12.75" hidden="false" customHeight="false" outlineLevel="0" collapsed="false">
      <c r="A138" s="196" t="n">
        <f aca="false">IF(A137&lt;mthend,EDATE(A137,1),"")</f>
        <v>40940</v>
      </c>
      <c r="B138" s="197" t="n">
        <f aca="false">IF(A138&lt;mthend,B137,"")</f>
        <v>40000</v>
      </c>
      <c r="C138" s="215"/>
      <c r="D138" s="197" t="n">
        <f aca="false">IF(A139&lt;&gt;"",B138+C138,"")</f>
        <v>40000</v>
      </c>
      <c r="E138" s="199" t="n">
        <f aca="false">IF(A139="","",IF(AND(AT138=1,$H$3=1),D138*AO138,IF($H$3=2,D138,"N/A")))</f>
        <v>1160000</v>
      </c>
      <c r="F138" s="199" t="n">
        <f aca="false">IF(A139="","",E138*AS138)</f>
        <v>4395062.06853771</v>
      </c>
      <c r="G138" s="200" t="e">
        <f aca="false">IF($A139="","",VLOOKUP($A138,Table,MATCH(G$4,Curves,0)))</f>
        <v>#N/A</v>
      </c>
      <c r="H138" s="201" t="e">
        <f aca="false">IF(A139="","",G138)</f>
        <v>#N/A</v>
      </c>
      <c r="I138" s="202"/>
      <c r="J138" s="200" t="e">
        <f aca="false">IF($A139="","",VLOOKUP($A138,Table,MATCH(J$4,Curves,0)))</f>
        <v>#N/A</v>
      </c>
      <c r="K138" s="201" t="e">
        <f aca="false">IF(A139="","",J138)</f>
        <v>#N/A</v>
      </c>
      <c r="L138" s="200" t="e">
        <f aca="false">IF($A139="","",VLOOKUP($A138,Table,MATCH(L$4,Curves,0)))</f>
        <v>#N/A</v>
      </c>
      <c r="M138" s="201" t="e">
        <f aca="false">IF(A139="","",L138)</f>
        <v>#N/A</v>
      </c>
      <c r="N138" s="203"/>
      <c r="O138" s="200" t="e">
        <f aca="false">IF(A139="","",L138+J138+G138)</f>
        <v>#N/A</v>
      </c>
      <c r="P138" s="200" t="e">
        <f aca="false">IF(A139="","",M138+K138+H138)</f>
        <v>#N/A</v>
      </c>
      <c r="Q138" s="204"/>
      <c r="R138" s="200" t="e">
        <f aca="false">IF($A139="","",VLOOKUP($A138,Table,MATCH(R$4,Curves,0)))</f>
        <v>#N/A</v>
      </c>
      <c r="S138" s="201" t="e">
        <f aca="false">IF(A139="","",R138)</f>
        <v>#N/A</v>
      </c>
      <c r="T138" s="200" t="e">
        <f aca="false">IF($A139="","",VLOOKUP($A138,Table,MATCH(T$4,Curves,0)))</f>
        <v>#N/A</v>
      </c>
      <c r="U138" s="201" t="e">
        <f aca="false">IF(A139="","",T138)</f>
        <v>#N/A</v>
      </c>
      <c r="V138" s="183" t="e">
        <f aca="false">IF($A139="","",IF(AND(MONTH(A138)&gt;3,MONTH(A138)&lt;11),(T138+R138+G138)*Summary!$T$7/(1-Summary!$T$7),(T138+R138+G138)*Summary!$U$7/(1-Summary!$U$7)))</f>
        <v>#N/A</v>
      </c>
      <c r="W138" s="200" t="e">
        <f aca="false">IF($A139="","",(T138+R138+G138+V138))</f>
        <v>#N/A</v>
      </c>
      <c r="X138" s="200" t="e">
        <f aca="false">IF($A139="","",(U138+S138+H138+V138))</f>
        <v>#N/A</v>
      </c>
      <c r="Y138" s="202"/>
      <c r="Z138" s="185" t="e">
        <f aca="false">IF($A139="","",VLOOKUP($A138,Table,MATCH(Z$4,Curves,0)))</f>
        <v>#N/A</v>
      </c>
      <c r="AA138" s="185" t="e">
        <f aca="false">IF($A139="","",VLOOKUP($A138,Table,MATCH(AA$4,Curves,0)))</f>
        <v>#N/A</v>
      </c>
      <c r="AB138" s="185" t="e">
        <f aca="false">SQRT((AA138^2*(A138-$D$3)+Z138^2*(DAY(EOMONTH(A138,0))/2))/AK138)</f>
        <v>#N/A</v>
      </c>
      <c r="AC138" s="185" t="e">
        <f aca="false">IF($A139="","",VLOOKUP($A138,Table,MATCH(AC$4,Curves,0)))</f>
        <v>#N/A</v>
      </c>
      <c r="AD138" s="185" t="e">
        <f aca="false">IF($A139="","",VLOOKUP($A138,Table,MATCH(AD$4,Curves,0)))</f>
        <v>#N/A</v>
      </c>
      <c r="AE138" s="185" t="e">
        <f aca="false">SQRT((AD138^2*(A138-$D$3)+AC138^2*(DAY(EOMONTH(A138,0))/2))/AK138)</f>
        <v>#N/A</v>
      </c>
      <c r="AF138" s="206" t="e">
        <f aca="false">((Summary!$N$7*(AA138*AD138)*(A138-$D$3))+(Summary!$M$7*Z138*AC138*(DAY(EOMONTH(A138,0))/2)))/(AK138*AB138*AE138)</f>
        <v>#N/A</v>
      </c>
      <c r="AG138" s="207" t="n">
        <f aca="false">IF($A139="","",Summary!$Q$7)</f>
        <v>0</v>
      </c>
      <c r="AH138" s="207" t="n">
        <f aca="false">IF($A139="","",IF(Summary!$R$7="Y",(VLOOKUP($A138,Summary!$AD$6:$AF$9,3)+'Escalating commodity'!C151),'Escalating commodity'!C151))</f>
        <v>0.0224952</v>
      </c>
      <c r="AI138" s="207" t="n">
        <f aca="false">IF($A139="","",AH138)</f>
        <v>0.0224952</v>
      </c>
      <c r="AJ138" s="208" t="n">
        <f aca="false">A138+DAY(EOMONTH(A138,0))/2-1</f>
        <v>40953.5</v>
      </c>
      <c r="AK138" s="209" t="n">
        <f aca="false">IF($A139="","",$A138-$E$1)</f>
        <v>-4986</v>
      </c>
      <c r="AL138" s="182" t="e">
        <f aca="false">IF($A139="","",SPRDOPT(P138,X138,AI138,0,AB138,AE138,AF138,AK138,$AJ$2,0))</f>
        <v>#NAME?</v>
      </c>
      <c r="AM138" s="210" t="e">
        <f aca="false">IF($A139="","",MAX(0,O138-W138-AI138))</f>
        <v>#N/A</v>
      </c>
      <c r="AN138" s="211" t="e">
        <f aca="false">IF($A139="","",AL138-AM138)</f>
        <v>#N/A</v>
      </c>
      <c r="AO138" s="137" t="n">
        <f aca="false">IF(A139="","",A139-A138)</f>
        <v>29</v>
      </c>
      <c r="AP138" s="212" t="n">
        <f aca="false">IF(A139="","",CHOOSE(F$3,A139+24,A138))</f>
        <v>40940</v>
      </c>
      <c r="AQ138" s="209" t="n">
        <f aca="false">IF(A139="","",AP138-$E$1)</f>
        <v>-4986</v>
      </c>
      <c r="AR138" s="185" t="n">
        <f aca="false">IF(Summary!$H$2=1,VLOOKUP('ANR OK vs ML7'!A138,Curves!$C$17:$AR$273,MATCH('ANR OK vs ML7'!$AR$4,Curves!$C$8:$AQ$8,0)),0.1)</f>
        <v>0.1</v>
      </c>
      <c r="AS138" s="213" t="n">
        <f aca="false">IF(A139="","",1/(1+CHOOSE(F$3,(AR139+($I$3/10000))/2,(AR138+($I$3/10000))/2))^(2*AQ138/365.25))</f>
        <v>3.78884661080837</v>
      </c>
      <c r="AT138" s="137" t="n">
        <f aca="false">IF(A139="","",IF(AND(mthbeg&lt;=A138,mthend&gt;=A138),1,0))</f>
        <v>1</v>
      </c>
      <c r="AU138" s="137" t="n">
        <f aca="false">IF(A139="","",AO138*AT138)</f>
        <v>29</v>
      </c>
      <c r="AW138" s="195" t="e">
        <f aca="false">IF($A139="","",AL138*$E138)</f>
        <v>#NAME?</v>
      </c>
      <c r="AX138" s="195" t="e">
        <f aca="false">IF($A139="","",AM138*$E138)</f>
        <v>#N/A</v>
      </c>
      <c r="AY138" s="195" t="e">
        <f aca="false">IF($A139="","",AN138*$E138)</f>
        <v>#N/A</v>
      </c>
      <c r="BA138" s="195" t="n">
        <f aca="false">IF($A139="","",F138*Summary!$Q$7)</f>
        <v>0</v>
      </c>
      <c r="BC138" s="179" t="e">
        <f aca="false">IF(A139="","",AM138*F138)</f>
        <v>#N/A</v>
      </c>
    </row>
    <row r="139" customFormat="false" ht="12.75" hidden="false" customHeight="false" outlineLevel="0" collapsed="false">
      <c r="A139" s="196" t="n">
        <f aca="false">IF(A138&lt;mthend,EDATE(A138,1),"")</f>
        <v>40969</v>
      </c>
      <c r="B139" s="197" t="n">
        <f aca="false">IF(A139&lt;mthend,B138,"")</f>
        <v>40000</v>
      </c>
      <c r="C139" s="215"/>
      <c r="D139" s="197" t="n">
        <f aca="false">IF(A140&lt;&gt;"",B139+C139,"")</f>
        <v>40000</v>
      </c>
      <c r="E139" s="199" t="n">
        <f aca="false">IF(A140="","",IF(AND(AT139=1,$H$3=1),D139*AO139,IF($H$3=2,D139,"N/A")))</f>
        <v>1240000</v>
      </c>
      <c r="F139" s="199" t="n">
        <f aca="false">IF(A140="","",E139*AS139)</f>
        <v>4661910.66049278</v>
      </c>
      <c r="G139" s="200" t="e">
        <f aca="false">IF($A140="","",VLOOKUP($A139,Table,MATCH(G$4,Curves,0)))</f>
        <v>#N/A</v>
      </c>
      <c r="H139" s="201" t="e">
        <f aca="false">IF(A140="","",G139)</f>
        <v>#N/A</v>
      </c>
      <c r="I139" s="202"/>
      <c r="J139" s="200" t="e">
        <f aca="false">IF($A140="","",VLOOKUP($A139,Table,MATCH(J$4,Curves,0)))</f>
        <v>#N/A</v>
      </c>
      <c r="K139" s="201" t="e">
        <f aca="false">IF(A140="","",J139)</f>
        <v>#N/A</v>
      </c>
      <c r="L139" s="200" t="e">
        <f aca="false">IF($A140="","",VLOOKUP($A139,Table,MATCH(L$4,Curves,0)))</f>
        <v>#N/A</v>
      </c>
      <c r="M139" s="201" t="e">
        <f aca="false">IF(A140="","",L139)</f>
        <v>#N/A</v>
      </c>
      <c r="N139" s="203"/>
      <c r="O139" s="200" t="e">
        <f aca="false">IF(A140="","",L139+J139+G139)</f>
        <v>#N/A</v>
      </c>
      <c r="P139" s="200" t="e">
        <f aca="false">IF(A140="","",M139+K139+H139)</f>
        <v>#N/A</v>
      </c>
      <c r="Q139" s="204"/>
      <c r="R139" s="200" t="e">
        <f aca="false">IF($A140="","",VLOOKUP($A139,Table,MATCH(R$4,Curves,0)))</f>
        <v>#N/A</v>
      </c>
      <c r="S139" s="201" t="e">
        <f aca="false">IF(A140="","",R139)</f>
        <v>#N/A</v>
      </c>
      <c r="T139" s="200" t="e">
        <f aca="false">IF($A140="","",VLOOKUP($A139,Table,MATCH(T$4,Curves,0)))</f>
        <v>#N/A</v>
      </c>
      <c r="U139" s="201" t="e">
        <f aca="false">IF(A140="","",T139)</f>
        <v>#N/A</v>
      </c>
      <c r="V139" s="183" t="e">
        <f aca="false">IF($A140="","",IF(AND(MONTH(A139)&gt;3,MONTH(A139)&lt;11),(T139+R139+G139)*Summary!$T$7/(1-Summary!$T$7),(T139+R139+G139)*Summary!$U$7/(1-Summary!$U$7)))</f>
        <v>#N/A</v>
      </c>
      <c r="W139" s="200" t="e">
        <f aca="false">IF($A140="","",(T139+R139+G139+V139))</f>
        <v>#N/A</v>
      </c>
      <c r="X139" s="200" t="e">
        <f aca="false">IF($A140="","",(U139+S139+H139+V139))</f>
        <v>#N/A</v>
      </c>
      <c r="Y139" s="202"/>
      <c r="Z139" s="185" t="e">
        <f aca="false">IF($A140="","",VLOOKUP($A139,Table,MATCH(Z$4,Curves,0)))</f>
        <v>#N/A</v>
      </c>
      <c r="AA139" s="185" t="e">
        <f aca="false">IF($A140="","",VLOOKUP($A139,Table,MATCH(AA$4,Curves,0)))</f>
        <v>#N/A</v>
      </c>
      <c r="AB139" s="185" t="e">
        <f aca="false">SQRT((AA139^2*(A139-$D$3)+Z139^2*(DAY(EOMONTH(A139,0))/2))/AK139)</f>
        <v>#N/A</v>
      </c>
      <c r="AC139" s="185" t="e">
        <f aca="false">IF($A140="","",VLOOKUP($A139,Table,MATCH(AC$4,Curves,0)))</f>
        <v>#N/A</v>
      </c>
      <c r="AD139" s="185" t="e">
        <f aca="false">IF($A140="","",VLOOKUP($A139,Table,MATCH(AD$4,Curves,0)))</f>
        <v>#N/A</v>
      </c>
      <c r="AE139" s="185" t="e">
        <f aca="false">SQRT((AD139^2*(A139-$D$3)+AC139^2*(DAY(EOMONTH(A139,0))/2))/AK139)</f>
        <v>#N/A</v>
      </c>
      <c r="AF139" s="206" t="e">
        <f aca="false">((Summary!$N$7*(AA139*AD139)*(A139-$D$3))+(Summary!$M$7*Z139*AC139*(DAY(EOMONTH(A139,0))/2)))/(AK139*AB139*AE139)</f>
        <v>#N/A</v>
      </c>
      <c r="AG139" s="207" t="n">
        <f aca="false">IF($A140="","",Summary!$Q$7)</f>
        <v>0</v>
      </c>
      <c r="AH139" s="207" t="n">
        <f aca="false">IF($A140="","",IF(Summary!$R$7="Y",(VLOOKUP($A139,Summary!$AD$6:$AF$9,3)+'Escalating commodity'!C152),'Escalating commodity'!C152))</f>
        <v>0.0224952</v>
      </c>
      <c r="AI139" s="207" t="n">
        <f aca="false">IF($A140="","",AH139)</f>
        <v>0.0224952</v>
      </c>
      <c r="AJ139" s="208" t="n">
        <f aca="false">A139+DAY(EOMONTH(A139,0))/2-1</f>
        <v>40983.5</v>
      </c>
      <c r="AK139" s="209" t="n">
        <f aca="false">IF($A140="","",$A139-$E$1)</f>
        <v>-4957</v>
      </c>
      <c r="AL139" s="182" t="e">
        <f aca="false">IF($A140="","",SPRDOPT(P139,X139,AI139,0,AB139,AE139,AF139,AK139,$AJ$2,0))</f>
        <v>#NAME?</v>
      </c>
      <c r="AM139" s="210" t="e">
        <f aca="false">IF($A140="","",MAX(0,O139-W139-AI139))</f>
        <v>#N/A</v>
      </c>
      <c r="AN139" s="211" t="e">
        <f aca="false">IF($A140="","",AL139-AM139)</f>
        <v>#N/A</v>
      </c>
      <c r="AO139" s="137" t="n">
        <f aca="false">IF(A140="","",A140-A139)</f>
        <v>31</v>
      </c>
      <c r="AP139" s="212" t="n">
        <f aca="false">IF(A140="","",CHOOSE(F$3,A140+24,A139))</f>
        <v>40969</v>
      </c>
      <c r="AQ139" s="209" t="n">
        <f aca="false">IF(A140="","",AP139-$E$1)</f>
        <v>-4957</v>
      </c>
      <c r="AR139" s="185" t="n">
        <f aca="false">IF(Summary!$H$2=1,VLOOKUP('ANR OK vs ML7'!A139,Curves!$C$17:$AR$273,MATCH('ANR OK vs ML7'!$AR$4,Curves!$C$8:$AQ$8,0)),0.1)</f>
        <v>0.1</v>
      </c>
      <c r="AS139" s="213" t="n">
        <f aca="false">IF(A140="","",1/(1+CHOOSE(F$3,(AR140+($I$3/10000))/2,(AR139+($I$3/10000))/2))^(2*AQ139/365.25))</f>
        <v>3.75960537136515</v>
      </c>
      <c r="AT139" s="137" t="n">
        <f aca="false">IF(A140="","",IF(AND(mthbeg&lt;=A139,mthend&gt;=A139),1,0))</f>
        <v>1</v>
      </c>
      <c r="AU139" s="137" t="n">
        <f aca="false">IF(A140="","",AO139*AT139)</f>
        <v>31</v>
      </c>
      <c r="AW139" s="195" t="e">
        <f aca="false">IF($A140="","",AL139*$E139)</f>
        <v>#NAME?</v>
      </c>
      <c r="AX139" s="195" t="e">
        <f aca="false">IF($A140="","",AM139*$E139)</f>
        <v>#N/A</v>
      </c>
      <c r="AY139" s="195" t="e">
        <f aca="false">IF($A140="","",AN139*$E139)</f>
        <v>#N/A</v>
      </c>
      <c r="BA139" s="195" t="n">
        <f aca="false">IF($A140="","",F139*Summary!$Q$7)</f>
        <v>0</v>
      </c>
      <c r="BC139" s="179" t="e">
        <f aca="false">IF(A140="","",AM139*F139)</f>
        <v>#N/A</v>
      </c>
    </row>
    <row r="140" customFormat="false" ht="12.75" hidden="false" customHeight="false" outlineLevel="0" collapsed="false">
      <c r="A140" s="196" t="n">
        <f aca="false">IF(A139&lt;mthend,EDATE(A139,1),"")</f>
        <v>41000</v>
      </c>
      <c r="B140" s="197" t="n">
        <f aca="false">IF(A140&lt;mthend,B139,"")</f>
        <v>40000</v>
      </c>
      <c r="C140" s="215"/>
      <c r="D140" s="197" t="n">
        <f aca="false">IF(A141&lt;&gt;"",B140+C140,"")</f>
        <v>40000</v>
      </c>
      <c r="E140" s="199" t="n">
        <f aca="false">IF(A141="","",IF(AND(AT140=1,$H$3=1),D140*AO140,IF($H$3=2,D140,"N/A")))</f>
        <v>1200000</v>
      </c>
      <c r="F140" s="199" t="n">
        <f aca="false">IF(A141="","",E140*AS140)</f>
        <v>4474316.41002645</v>
      </c>
      <c r="G140" s="200" t="e">
        <f aca="false">IF($A141="","",VLOOKUP($A140,Table,MATCH(G$4,Curves,0)))</f>
        <v>#N/A</v>
      </c>
      <c r="H140" s="201" t="e">
        <f aca="false">IF(A141="","",G140)</f>
        <v>#N/A</v>
      </c>
      <c r="I140" s="202"/>
      <c r="J140" s="200" t="e">
        <f aca="false">IF($A141="","",VLOOKUP($A140,Table,MATCH(J$4,Curves,0)))</f>
        <v>#N/A</v>
      </c>
      <c r="K140" s="201" t="e">
        <f aca="false">IF(A141="","",J140)</f>
        <v>#N/A</v>
      </c>
      <c r="L140" s="200" t="e">
        <f aca="false">IF($A141="","",VLOOKUP($A140,Table,MATCH(L$4,Curves,0)))</f>
        <v>#N/A</v>
      </c>
      <c r="M140" s="201" t="e">
        <f aca="false">IF(A141="","",L140)</f>
        <v>#N/A</v>
      </c>
      <c r="N140" s="203"/>
      <c r="O140" s="200" t="e">
        <f aca="false">IF(A141="","",L140+J140+G140)</f>
        <v>#N/A</v>
      </c>
      <c r="P140" s="200" t="e">
        <f aca="false">IF(A141="","",M140+K140+H140)</f>
        <v>#N/A</v>
      </c>
      <c r="Q140" s="204"/>
      <c r="R140" s="200" t="e">
        <f aca="false">IF($A141="","",VLOOKUP($A140,Table,MATCH(R$4,Curves,0)))</f>
        <v>#N/A</v>
      </c>
      <c r="S140" s="201" t="e">
        <f aca="false">IF(A141="","",R140)</f>
        <v>#N/A</v>
      </c>
      <c r="T140" s="200" t="e">
        <f aca="false">IF($A141="","",VLOOKUP($A140,Table,MATCH(T$4,Curves,0)))</f>
        <v>#N/A</v>
      </c>
      <c r="U140" s="201" t="e">
        <f aca="false">IF(A141="","",T140)</f>
        <v>#N/A</v>
      </c>
      <c r="V140" s="183" t="e">
        <f aca="false">IF($A141="","",IF(AND(MONTH(A140)&gt;3,MONTH(A140)&lt;11),(T140+R140+G140)*Summary!$T$7/(1-Summary!$T$7),(T140+R140+G140)*Summary!$U$7/(1-Summary!$U$7)))</f>
        <v>#N/A</v>
      </c>
      <c r="W140" s="200" t="e">
        <f aca="false">IF($A141="","",(T140+R140+G140+V140))</f>
        <v>#N/A</v>
      </c>
      <c r="X140" s="200" t="e">
        <f aca="false">IF($A141="","",(U140+S140+H140+V140))</f>
        <v>#N/A</v>
      </c>
      <c r="Y140" s="202"/>
      <c r="Z140" s="185" t="e">
        <f aca="false">IF($A141="","",VLOOKUP($A140,Table,MATCH(Z$4,Curves,0)))</f>
        <v>#N/A</v>
      </c>
      <c r="AA140" s="185" t="e">
        <f aca="false">IF($A141="","",VLOOKUP($A140,Table,MATCH(AA$4,Curves,0)))</f>
        <v>#N/A</v>
      </c>
      <c r="AB140" s="185" t="e">
        <f aca="false">SQRT((AA140^2*(A140-$D$3)+Z140^2*(DAY(EOMONTH(A140,0))/2))/AK140)</f>
        <v>#N/A</v>
      </c>
      <c r="AC140" s="185" t="e">
        <f aca="false">IF($A141="","",VLOOKUP($A140,Table,MATCH(AC$4,Curves,0)))</f>
        <v>#N/A</v>
      </c>
      <c r="AD140" s="185" t="e">
        <f aca="false">IF($A141="","",VLOOKUP($A140,Table,MATCH(AD$4,Curves,0)))</f>
        <v>#N/A</v>
      </c>
      <c r="AE140" s="185" t="e">
        <f aca="false">SQRT((AD140^2*(A140-$D$3)+AC140^2*(DAY(EOMONTH(A140,0))/2))/AK140)</f>
        <v>#N/A</v>
      </c>
      <c r="AF140" s="206" t="e">
        <f aca="false">((Summary!$N$7*(AA140*AD140)*(A140-$D$3))+(Summary!$M$7*Z140*AC140*(DAY(EOMONTH(A140,0))/2)))/(AK140*AB140*AE140)</f>
        <v>#N/A</v>
      </c>
      <c r="AG140" s="207" t="n">
        <f aca="false">IF($A141="","",Summary!$Q$7)</f>
        <v>0</v>
      </c>
      <c r="AH140" s="207" t="n">
        <f aca="false">IF($A141="","",IF(Summary!$R$7="Y",(VLOOKUP($A140,Summary!$AD$6:$AF$9,3)+'Escalating commodity'!C153),'Escalating commodity'!C153))</f>
        <v>0.0224952</v>
      </c>
      <c r="AI140" s="207" t="n">
        <f aca="false">IF($A141="","",AH140)</f>
        <v>0.0224952</v>
      </c>
      <c r="AJ140" s="208" t="n">
        <f aca="false">A140+DAY(EOMONTH(A140,0))/2-1</f>
        <v>41014</v>
      </c>
      <c r="AK140" s="209" t="n">
        <f aca="false">IF($A141="","",$A140-$E$1)</f>
        <v>-4926</v>
      </c>
      <c r="AL140" s="182" t="e">
        <f aca="false">IF($A141="","",SPRDOPT(P140,X140,AI140,0,AB140,AE140,AF140,AK140,$AJ$2,0))</f>
        <v>#NAME?</v>
      </c>
      <c r="AM140" s="210" t="e">
        <f aca="false">IF($A141="","",MAX(0,O140-W140-AI140))</f>
        <v>#N/A</v>
      </c>
      <c r="AN140" s="211" t="e">
        <f aca="false">IF($A141="","",AL140-AM140)</f>
        <v>#N/A</v>
      </c>
      <c r="AO140" s="137" t="n">
        <f aca="false">IF(A141="","",A141-A140)</f>
        <v>30</v>
      </c>
      <c r="AP140" s="212" t="n">
        <f aca="false">IF(A141="","",CHOOSE(F$3,A141+24,A140))</f>
        <v>41000</v>
      </c>
      <c r="AQ140" s="209" t="n">
        <f aca="false">IF(A141="","",AP140-$E$1)</f>
        <v>-4926</v>
      </c>
      <c r="AR140" s="185" t="n">
        <f aca="false">IF(Summary!$H$2=1,VLOOKUP('ANR OK vs ML7'!A140,Curves!$C$17:$AR$273,MATCH('ANR OK vs ML7'!$AR$4,Curves!$C$8:$AQ$8,0)),0.1)</f>
        <v>0.1</v>
      </c>
      <c r="AS140" s="213" t="n">
        <f aca="false">IF(A141="","",1/(1+CHOOSE(F$3,(AR141+($I$3/10000))/2,(AR140+($I$3/10000))/2))^(2*AQ140/365.25))</f>
        <v>3.72859700835537</v>
      </c>
      <c r="AT140" s="137" t="n">
        <f aca="false">IF(A141="","",IF(AND(mthbeg&lt;=A140,mthend&gt;=A140),1,0))</f>
        <v>1</v>
      </c>
      <c r="AU140" s="137" t="n">
        <f aca="false">IF(A141="","",AO140*AT140)</f>
        <v>30</v>
      </c>
      <c r="AW140" s="195" t="e">
        <f aca="false">IF($A141="","",AL140*$E140)</f>
        <v>#NAME?</v>
      </c>
      <c r="AX140" s="195" t="e">
        <f aca="false">IF($A141="","",AM140*$E140)</f>
        <v>#N/A</v>
      </c>
      <c r="AY140" s="195" t="e">
        <f aca="false">IF($A141="","",AN140*$E140)</f>
        <v>#N/A</v>
      </c>
      <c r="BA140" s="195" t="n">
        <f aca="false">IF($A141="","",F140*Summary!$Q$7)</f>
        <v>0</v>
      </c>
      <c r="BC140" s="179" t="e">
        <f aca="false">IF(A141="","",AM140*F140)</f>
        <v>#N/A</v>
      </c>
    </row>
    <row r="141" customFormat="false" ht="12.75" hidden="false" customHeight="false" outlineLevel="0" collapsed="false">
      <c r="A141" s="196" t="n">
        <f aca="false">IF(A140&lt;mthend,EDATE(A140,1),"")</f>
        <v>41030</v>
      </c>
      <c r="B141" s="197" t="n">
        <f aca="false">IF(A141&lt;mthend,B140,"")</f>
        <v>40000</v>
      </c>
      <c r="C141" s="215"/>
      <c r="D141" s="197" t="n">
        <f aca="false">IF(A142&lt;&gt;"",B141+C141,"")</f>
        <v>40000</v>
      </c>
      <c r="E141" s="199" t="n">
        <f aca="false">IF(A142="","",IF(AND(AT141=1,$H$3=1),D141*AO141,IF($H$3=2,D141,"N/A")))</f>
        <v>1240000</v>
      </c>
      <c r="F141" s="199" t="n">
        <f aca="false">IF(A142="","",E141*AS141)</f>
        <v>4586552.23142862</v>
      </c>
      <c r="G141" s="200" t="e">
        <f aca="false">IF($A142="","",VLOOKUP($A141,Table,MATCH(G$4,Curves,0)))</f>
        <v>#N/A</v>
      </c>
      <c r="H141" s="201" t="e">
        <f aca="false">IF(A142="","",G141)</f>
        <v>#N/A</v>
      </c>
      <c r="I141" s="202"/>
      <c r="J141" s="200" t="e">
        <f aca="false">IF($A142="","",VLOOKUP($A141,Table,MATCH(J$4,Curves,0)))</f>
        <v>#N/A</v>
      </c>
      <c r="K141" s="201" t="e">
        <f aca="false">IF(A142="","",J141)</f>
        <v>#N/A</v>
      </c>
      <c r="L141" s="200" t="e">
        <f aca="false">IF($A142="","",VLOOKUP($A141,Table,MATCH(L$4,Curves,0)))</f>
        <v>#N/A</v>
      </c>
      <c r="M141" s="201" t="e">
        <f aca="false">IF(A142="","",L141)</f>
        <v>#N/A</v>
      </c>
      <c r="N141" s="203"/>
      <c r="O141" s="200" t="e">
        <f aca="false">IF(A142="","",L141+J141+G141)</f>
        <v>#N/A</v>
      </c>
      <c r="P141" s="200" t="e">
        <f aca="false">IF(A142="","",M141+K141+H141)</f>
        <v>#N/A</v>
      </c>
      <c r="Q141" s="204"/>
      <c r="R141" s="200" t="e">
        <f aca="false">IF($A142="","",VLOOKUP($A141,Table,MATCH(R$4,Curves,0)))</f>
        <v>#N/A</v>
      </c>
      <c r="S141" s="201" t="e">
        <f aca="false">IF(A142="","",R141)</f>
        <v>#N/A</v>
      </c>
      <c r="T141" s="200" t="e">
        <f aca="false">IF($A142="","",VLOOKUP($A141,Table,MATCH(T$4,Curves,0)))</f>
        <v>#N/A</v>
      </c>
      <c r="U141" s="201" t="e">
        <f aca="false">IF(A142="","",T141)</f>
        <v>#N/A</v>
      </c>
      <c r="V141" s="183" t="e">
        <f aca="false">IF($A142="","",IF(AND(MONTH(A141)&gt;3,MONTH(A141)&lt;11),(T141+R141+G141)*Summary!$T$7/(1-Summary!$T$7),(T141+R141+G141)*Summary!$U$7/(1-Summary!$U$7)))</f>
        <v>#N/A</v>
      </c>
      <c r="W141" s="200" t="e">
        <f aca="false">IF($A142="","",(T141+R141+G141+V141))</f>
        <v>#N/A</v>
      </c>
      <c r="X141" s="200" t="e">
        <f aca="false">IF($A142="","",(U141+S141+H141+V141))</f>
        <v>#N/A</v>
      </c>
      <c r="Y141" s="202"/>
      <c r="Z141" s="185" t="e">
        <f aca="false">IF($A142="","",VLOOKUP($A141,Table,MATCH(Z$4,Curves,0)))</f>
        <v>#N/A</v>
      </c>
      <c r="AA141" s="185" t="e">
        <f aca="false">IF($A142="","",VLOOKUP($A141,Table,MATCH(AA$4,Curves,0)))</f>
        <v>#N/A</v>
      </c>
      <c r="AB141" s="185" t="e">
        <f aca="false">SQRT((AA141^2*(A141-$D$3)+Z141^2*(DAY(EOMONTH(A141,0))/2))/AK141)</f>
        <v>#N/A</v>
      </c>
      <c r="AC141" s="185" t="e">
        <f aca="false">IF($A142="","",VLOOKUP($A141,Table,MATCH(AC$4,Curves,0)))</f>
        <v>#N/A</v>
      </c>
      <c r="AD141" s="185" t="e">
        <f aca="false">IF($A142="","",VLOOKUP($A141,Table,MATCH(AD$4,Curves,0)))</f>
        <v>#N/A</v>
      </c>
      <c r="AE141" s="185" t="e">
        <f aca="false">SQRT((AD141^2*(A141-$D$3)+AC141^2*(DAY(EOMONTH(A141,0))/2))/AK141)</f>
        <v>#N/A</v>
      </c>
      <c r="AF141" s="206" t="e">
        <f aca="false">((Summary!$N$7*(AA141*AD141)*(A141-$D$3))+(Summary!$M$7*Z141*AC141*(DAY(EOMONTH(A141,0))/2)))/(AK141*AB141*AE141)</f>
        <v>#N/A</v>
      </c>
      <c r="AG141" s="207" t="n">
        <f aca="false">IF($A142="","",Summary!$Q$7)</f>
        <v>0</v>
      </c>
      <c r="AH141" s="207" t="n">
        <f aca="false">IF($A142="","",IF(Summary!$R$7="Y",(VLOOKUP($A141,Summary!$AD$6:$AF$9,3)+'Escalating commodity'!C154),'Escalating commodity'!C154))</f>
        <v>0.0224952</v>
      </c>
      <c r="AI141" s="207" t="n">
        <f aca="false">IF($A142="","",AH141)</f>
        <v>0.0224952</v>
      </c>
      <c r="AJ141" s="208" t="n">
        <f aca="false">A141+DAY(EOMONTH(A141,0))/2-1</f>
        <v>41044.5</v>
      </c>
      <c r="AK141" s="209" t="n">
        <f aca="false">IF($A142="","",$A141-$E$1)</f>
        <v>-4896</v>
      </c>
      <c r="AL141" s="182" t="e">
        <f aca="false">IF($A142="","",SPRDOPT(P141,X141,AI141,0,AB141,AE141,AF141,AK141,$AJ$2,0))</f>
        <v>#NAME?</v>
      </c>
      <c r="AM141" s="210" t="e">
        <f aca="false">IF($A142="","",MAX(0,O141-W141-AI141))</f>
        <v>#N/A</v>
      </c>
      <c r="AN141" s="211" t="e">
        <f aca="false">IF($A142="","",AL141-AM141)</f>
        <v>#N/A</v>
      </c>
      <c r="AO141" s="137" t="n">
        <f aca="false">IF(A142="","",A142-A141)</f>
        <v>31</v>
      </c>
      <c r="AP141" s="212" t="n">
        <f aca="false">IF(A142="","",CHOOSE(F$3,A142+24,A141))</f>
        <v>41030</v>
      </c>
      <c r="AQ141" s="209" t="n">
        <f aca="false">IF(A142="","",AP141-$E$1)</f>
        <v>-4896</v>
      </c>
      <c r="AR141" s="185" t="n">
        <f aca="false">IF(Summary!$H$2=1,VLOOKUP('ANR OK vs ML7'!A141,Curves!$C$17:$AR$273,MATCH('ANR OK vs ML7'!$AR$4,Curves!$C$8:$AQ$8,0)),0.1)</f>
        <v>0.1</v>
      </c>
      <c r="AS141" s="213" t="n">
        <f aca="false">IF(A142="","",1/(1+CHOOSE(F$3,(AR142+($I$3/10000))/2,(AR141+($I$3/10000))/2))^(2*AQ141/365.25))</f>
        <v>3.6988324447005</v>
      </c>
      <c r="AT141" s="137" t="n">
        <f aca="false">IF(A142="","",IF(AND(mthbeg&lt;=A141,mthend&gt;=A141),1,0))</f>
        <v>1</v>
      </c>
      <c r="AU141" s="137" t="n">
        <f aca="false">IF(A142="","",AO141*AT141)</f>
        <v>31</v>
      </c>
      <c r="AW141" s="195" t="e">
        <f aca="false">IF($A142="","",AL141*$E141)</f>
        <v>#NAME?</v>
      </c>
      <c r="AX141" s="195" t="e">
        <f aca="false">IF($A142="","",AM141*$E141)</f>
        <v>#N/A</v>
      </c>
      <c r="AY141" s="195" t="e">
        <f aca="false">IF($A142="","",AN141*$E141)</f>
        <v>#N/A</v>
      </c>
      <c r="BA141" s="195" t="n">
        <f aca="false">IF($A142="","",F141*Summary!$Q$7)</f>
        <v>0</v>
      </c>
      <c r="BC141" s="179" t="e">
        <f aca="false">IF(A142="","",AM141*F141)</f>
        <v>#N/A</v>
      </c>
    </row>
    <row r="142" customFormat="false" ht="12.75" hidden="false" customHeight="false" outlineLevel="0" collapsed="false">
      <c r="A142" s="196" t="n">
        <f aca="false">IF(A141&lt;mthend,EDATE(A141,1),"")</f>
        <v>41061</v>
      </c>
      <c r="B142" s="197" t="n">
        <f aca="false">IF(A142&lt;mthend,B141,"")</f>
        <v>40000</v>
      </c>
      <c r="C142" s="215"/>
      <c r="D142" s="197" t="n">
        <f aca="false">IF(A143&lt;&gt;"",B142+C142,"")</f>
        <v>40000</v>
      </c>
      <c r="E142" s="199" t="n">
        <f aca="false">IF(A143="","",IF(AND(AT142=1,$H$3=1),D142*AO142,IF($H$3=2,D142,"N/A")))</f>
        <v>1200000</v>
      </c>
      <c r="F142" s="199" t="n">
        <f aca="false">IF(A143="","",E142*AS142)</f>
        <v>4401990.38742524</v>
      </c>
      <c r="G142" s="200" t="e">
        <f aca="false">IF($A143="","",VLOOKUP($A142,Table,MATCH(G$4,Curves,0)))</f>
        <v>#N/A</v>
      </c>
      <c r="H142" s="201" t="e">
        <f aca="false">IF(A143="","",G142)</f>
        <v>#N/A</v>
      </c>
      <c r="I142" s="202"/>
      <c r="J142" s="200" t="e">
        <f aca="false">IF($A143="","",VLOOKUP($A142,Table,MATCH(J$4,Curves,0)))</f>
        <v>#N/A</v>
      </c>
      <c r="K142" s="201" t="e">
        <f aca="false">IF(A143="","",J142)</f>
        <v>#N/A</v>
      </c>
      <c r="L142" s="200" t="e">
        <f aca="false">IF($A143="","",VLOOKUP($A142,Table,MATCH(L$4,Curves,0)))</f>
        <v>#N/A</v>
      </c>
      <c r="M142" s="201" t="e">
        <f aca="false">IF(A143="","",L142)</f>
        <v>#N/A</v>
      </c>
      <c r="N142" s="203"/>
      <c r="O142" s="200" t="e">
        <f aca="false">IF(A143="","",L142+J142+G142)</f>
        <v>#N/A</v>
      </c>
      <c r="P142" s="200" t="e">
        <f aca="false">IF(A143="","",M142+K142+H142)</f>
        <v>#N/A</v>
      </c>
      <c r="Q142" s="204"/>
      <c r="R142" s="200" t="e">
        <f aca="false">IF($A143="","",VLOOKUP($A142,Table,MATCH(R$4,Curves,0)))</f>
        <v>#N/A</v>
      </c>
      <c r="S142" s="201" t="e">
        <f aca="false">IF(A143="","",R142)</f>
        <v>#N/A</v>
      </c>
      <c r="T142" s="200" t="e">
        <f aca="false">IF($A143="","",VLOOKUP($A142,Table,MATCH(T$4,Curves,0)))</f>
        <v>#N/A</v>
      </c>
      <c r="U142" s="201" t="e">
        <f aca="false">IF(A143="","",T142)</f>
        <v>#N/A</v>
      </c>
      <c r="V142" s="183" t="e">
        <f aca="false">IF($A143="","",IF(AND(MONTH(A142)&gt;3,MONTH(A142)&lt;11),(T142+R142+G142)*Summary!$T$7/(1-Summary!$T$7),(T142+R142+G142)*Summary!$U$7/(1-Summary!$U$7)))</f>
        <v>#N/A</v>
      </c>
      <c r="W142" s="200" t="e">
        <f aca="false">IF($A143="","",(T142+R142+G142+V142))</f>
        <v>#N/A</v>
      </c>
      <c r="X142" s="200" t="e">
        <f aca="false">IF($A143="","",(U142+S142+H142+V142))</f>
        <v>#N/A</v>
      </c>
      <c r="Y142" s="202"/>
      <c r="Z142" s="185" t="e">
        <f aca="false">IF($A143="","",VLOOKUP($A142,Table,MATCH(Z$4,Curves,0)))</f>
        <v>#N/A</v>
      </c>
      <c r="AA142" s="185" t="e">
        <f aca="false">IF($A143="","",VLOOKUP($A142,Table,MATCH(AA$4,Curves,0)))</f>
        <v>#N/A</v>
      </c>
      <c r="AB142" s="185" t="e">
        <f aca="false">SQRT((AA142^2*(A142-$D$3)+Z142^2*(DAY(EOMONTH(A142,0))/2))/AK142)</f>
        <v>#N/A</v>
      </c>
      <c r="AC142" s="185" t="e">
        <f aca="false">IF($A143="","",VLOOKUP($A142,Table,MATCH(AC$4,Curves,0)))</f>
        <v>#N/A</v>
      </c>
      <c r="AD142" s="185" t="e">
        <f aca="false">IF($A143="","",VLOOKUP($A142,Table,MATCH(AD$4,Curves,0)))</f>
        <v>#N/A</v>
      </c>
      <c r="AE142" s="185" t="e">
        <f aca="false">SQRT((AD142^2*(A142-$D$3)+AC142^2*(DAY(EOMONTH(A142,0))/2))/AK142)</f>
        <v>#N/A</v>
      </c>
      <c r="AF142" s="206" t="e">
        <f aca="false">((Summary!$N$7*(AA142*AD142)*(A142-$D$3))+(Summary!$M$7*Z142*AC142*(DAY(EOMONTH(A142,0))/2)))/(AK142*AB142*AE142)</f>
        <v>#N/A</v>
      </c>
      <c r="AG142" s="207" t="n">
        <f aca="false">IF($A143="","",Summary!$Q$7)</f>
        <v>0</v>
      </c>
      <c r="AH142" s="207" t="n">
        <f aca="false">IF($A143="","",IF(Summary!$R$7="Y",(VLOOKUP($A142,Summary!$AD$6:$AF$9,3)+'Escalating commodity'!C155),'Escalating commodity'!C155))</f>
        <v>0.0224952</v>
      </c>
      <c r="AI142" s="207" t="n">
        <f aca="false">IF($A143="","",AH142)</f>
        <v>0.0224952</v>
      </c>
      <c r="AJ142" s="208" t="n">
        <f aca="false">A142+DAY(EOMONTH(A142,0))/2-1</f>
        <v>41075</v>
      </c>
      <c r="AK142" s="209" t="n">
        <f aca="false">IF($A143="","",$A142-$E$1)</f>
        <v>-4865</v>
      </c>
      <c r="AL142" s="182" t="e">
        <f aca="false">IF($A143="","",SPRDOPT(P142,X142,AI142,0,AB142,AE142,AF142,AK142,$AJ$2,0))</f>
        <v>#NAME?</v>
      </c>
      <c r="AM142" s="210" t="e">
        <f aca="false">IF($A143="","",MAX(0,O142-W142-AI142))</f>
        <v>#N/A</v>
      </c>
      <c r="AN142" s="211" t="e">
        <f aca="false">IF($A143="","",AL142-AM142)</f>
        <v>#N/A</v>
      </c>
      <c r="AO142" s="137" t="n">
        <f aca="false">IF(A143="","",A143-A142)</f>
        <v>30</v>
      </c>
      <c r="AP142" s="212" t="n">
        <f aca="false">IF(A143="","",CHOOSE(F$3,A143+24,A142))</f>
        <v>41061</v>
      </c>
      <c r="AQ142" s="209" t="n">
        <f aca="false">IF(A143="","",AP142-$E$1)</f>
        <v>-4865</v>
      </c>
      <c r="AR142" s="185" t="n">
        <f aca="false">IF(Summary!$H$2=1,VLOOKUP('ANR OK vs ML7'!A142,Curves!$C$17:$AR$273,MATCH('ANR OK vs ML7'!$AR$4,Curves!$C$8:$AQ$8,0)),0.1)</f>
        <v>0.1</v>
      </c>
      <c r="AS142" s="213" t="n">
        <f aca="false">IF(A143="","",1/(1+CHOOSE(F$3,(AR143+($I$3/10000))/2,(AR142+($I$3/10000))/2))^(2*AQ142/365.25))</f>
        <v>3.66832532285436</v>
      </c>
      <c r="AT142" s="137" t="n">
        <f aca="false">IF(A143="","",IF(AND(mthbeg&lt;=A142,mthend&gt;=A142),1,0))</f>
        <v>1</v>
      </c>
      <c r="AU142" s="137" t="n">
        <f aca="false">IF(A143="","",AO142*AT142)</f>
        <v>30</v>
      </c>
      <c r="AW142" s="195" t="e">
        <f aca="false">IF($A143="","",AL142*$E142)</f>
        <v>#NAME?</v>
      </c>
      <c r="AX142" s="195" t="e">
        <f aca="false">IF($A143="","",AM142*$E142)</f>
        <v>#N/A</v>
      </c>
      <c r="AY142" s="195" t="e">
        <f aca="false">IF($A143="","",AN142*$E142)</f>
        <v>#N/A</v>
      </c>
      <c r="BA142" s="195" t="n">
        <f aca="false">IF($A143="","",F142*Summary!$Q$7)</f>
        <v>0</v>
      </c>
      <c r="BC142" s="179" t="e">
        <f aca="false">IF(A143="","",AM142*F142)</f>
        <v>#N/A</v>
      </c>
    </row>
    <row r="143" customFormat="false" ht="12.75" hidden="false" customHeight="false" outlineLevel="0" collapsed="false">
      <c r="A143" s="196" t="n">
        <f aca="false">IF(A142&lt;mthend,EDATE(A142,1),"")</f>
        <v>41091</v>
      </c>
      <c r="B143" s="197" t="n">
        <f aca="false">IF(A143&lt;mthend,B142,"")</f>
        <v>40000</v>
      </c>
      <c r="C143" s="215"/>
      <c r="D143" s="197" t="n">
        <f aca="false">IF(A144&lt;&gt;"",B143+C143,"")</f>
        <v>40000</v>
      </c>
      <c r="E143" s="199" t="n">
        <f aca="false">IF(A144="","",IF(AND(AT143=1,$H$3=1),D143*AO143,IF($H$3=2,D143,"N/A")))</f>
        <v>1240000</v>
      </c>
      <c r="F143" s="199" t="n">
        <f aca="false">IF(A144="","",E143*AS143)</f>
        <v>4512411.9494386</v>
      </c>
      <c r="G143" s="200" t="e">
        <f aca="false">IF($A144="","",VLOOKUP($A143,Table,MATCH(G$4,Curves,0)))</f>
        <v>#N/A</v>
      </c>
      <c r="H143" s="201" t="e">
        <f aca="false">IF(A144="","",G143)</f>
        <v>#N/A</v>
      </c>
      <c r="I143" s="202"/>
      <c r="J143" s="200" t="e">
        <f aca="false">IF($A144="","",VLOOKUP($A143,Table,MATCH(J$4,Curves,0)))</f>
        <v>#N/A</v>
      </c>
      <c r="K143" s="201" t="e">
        <f aca="false">IF(A144="","",J143)</f>
        <v>#N/A</v>
      </c>
      <c r="L143" s="200" t="e">
        <f aca="false">IF($A144="","",VLOOKUP($A143,Table,MATCH(L$4,Curves,0)))</f>
        <v>#N/A</v>
      </c>
      <c r="M143" s="201" t="e">
        <f aca="false">IF(A144="","",L143)</f>
        <v>#N/A</v>
      </c>
      <c r="N143" s="203"/>
      <c r="O143" s="200" t="e">
        <f aca="false">IF(A144="","",L143+J143+G143)</f>
        <v>#N/A</v>
      </c>
      <c r="P143" s="200" t="e">
        <f aca="false">IF(A144="","",M143+K143+H143)</f>
        <v>#N/A</v>
      </c>
      <c r="Q143" s="204"/>
      <c r="R143" s="200" t="e">
        <f aca="false">IF($A144="","",VLOOKUP($A143,Table,MATCH(R$4,Curves,0)))</f>
        <v>#N/A</v>
      </c>
      <c r="S143" s="201" t="e">
        <f aca="false">IF(A144="","",R143)</f>
        <v>#N/A</v>
      </c>
      <c r="T143" s="200" t="e">
        <f aca="false">IF($A144="","",VLOOKUP($A143,Table,MATCH(T$4,Curves,0)))</f>
        <v>#N/A</v>
      </c>
      <c r="U143" s="201" t="e">
        <f aca="false">IF(A144="","",T143)</f>
        <v>#N/A</v>
      </c>
      <c r="V143" s="183" t="e">
        <f aca="false">IF($A144="","",IF(AND(MONTH(A143)&gt;3,MONTH(A143)&lt;11),(T143+R143+G143)*Summary!$T$7/(1-Summary!$T$7),(T143+R143+G143)*Summary!$U$7/(1-Summary!$U$7)))</f>
        <v>#N/A</v>
      </c>
      <c r="W143" s="200" t="e">
        <f aca="false">IF($A144="","",(T143+R143+G143+V143))</f>
        <v>#N/A</v>
      </c>
      <c r="X143" s="200" t="e">
        <f aca="false">IF($A144="","",(U143+S143+H143+V143))</f>
        <v>#N/A</v>
      </c>
      <c r="Y143" s="202"/>
      <c r="Z143" s="185" t="e">
        <f aca="false">IF($A144="","",VLOOKUP($A143,Table,MATCH(Z$4,Curves,0)))</f>
        <v>#N/A</v>
      </c>
      <c r="AA143" s="185" t="e">
        <f aca="false">IF($A144="","",VLOOKUP($A143,Table,MATCH(AA$4,Curves,0)))</f>
        <v>#N/A</v>
      </c>
      <c r="AB143" s="185" t="e">
        <f aca="false">SQRT((AA143^2*(A143-$D$3)+Z143^2*(DAY(EOMONTH(A143,0))/2))/AK143)</f>
        <v>#N/A</v>
      </c>
      <c r="AC143" s="185" t="e">
        <f aca="false">IF($A144="","",VLOOKUP($A143,Table,MATCH(AC$4,Curves,0)))</f>
        <v>#N/A</v>
      </c>
      <c r="AD143" s="185" t="e">
        <f aca="false">IF($A144="","",VLOOKUP($A143,Table,MATCH(AD$4,Curves,0)))</f>
        <v>#N/A</v>
      </c>
      <c r="AE143" s="185" t="e">
        <f aca="false">SQRT((AD143^2*(A143-$D$3)+AC143^2*(DAY(EOMONTH(A143,0))/2))/AK143)</f>
        <v>#N/A</v>
      </c>
      <c r="AF143" s="206" t="e">
        <f aca="false">((Summary!$N$7*(AA143*AD143)*(A143-$D$3))+(Summary!$M$7*Z143*AC143*(DAY(EOMONTH(A143,0))/2)))/(AK143*AB143*AE143)</f>
        <v>#N/A</v>
      </c>
      <c r="AG143" s="207" t="n">
        <f aca="false">IF($A144="","",Summary!$Q$7)</f>
        <v>0</v>
      </c>
      <c r="AH143" s="207" t="n">
        <f aca="false">IF($A144="","",IF(Summary!$R$7="Y",(VLOOKUP($A143,Summary!$AD$6:$AF$9,3)+'Escalating commodity'!C156),'Escalating commodity'!C156))</f>
        <v>0.0224952</v>
      </c>
      <c r="AI143" s="207" t="n">
        <f aca="false">IF($A144="","",AH143)</f>
        <v>0.0224952</v>
      </c>
      <c r="AJ143" s="208" t="n">
        <f aca="false">A143+DAY(EOMONTH(A143,0))/2-1</f>
        <v>41105.5</v>
      </c>
      <c r="AK143" s="209" t="n">
        <f aca="false">IF($A144="","",$A143-$E$1)</f>
        <v>-4835</v>
      </c>
      <c r="AL143" s="182" t="e">
        <f aca="false">IF($A144="","",SPRDOPT(P143,X143,AI143,0,AB143,AE143,AF143,AK143,$AJ$2,0))</f>
        <v>#NAME?</v>
      </c>
      <c r="AM143" s="210" t="e">
        <f aca="false">IF($A144="","",MAX(0,O143-W143-AI143))</f>
        <v>#N/A</v>
      </c>
      <c r="AN143" s="211" t="e">
        <f aca="false">IF($A144="","",AL143-AM143)</f>
        <v>#N/A</v>
      </c>
      <c r="AO143" s="137" t="n">
        <f aca="false">IF(A144="","",A144-A143)</f>
        <v>31</v>
      </c>
      <c r="AP143" s="212" t="n">
        <f aca="false">IF(A144="","",CHOOSE(F$3,A144+24,A143))</f>
        <v>41091</v>
      </c>
      <c r="AQ143" s="209" t="n">
        <f aca="false">IF(A144="","",AP143-$E$1)</f>
        <v>-4835</v>
      </c>
      <c r="AR143" s="185" t="n">
        <f aca="false">IF(Summary!$H$2=1,VLOOKUP('ANR OK vs ML7'!A143,Curves!$C$17:$AR$273,MATCH('ANR OK vs ML7'!$AR$4,Curves!$C$8:$AQ$8,0)),0.1)</f>
        <v>0.1</v>
      </c>
      <c r="AS143" s="213" t="n">
        <f aca="false">IF(A144="","",1/(1+CHOOSE(F$3,(AR144+($I$3/10000))/2,(AR143+($I$3/10000))/2))^(2*AQ143/365.25))</f>
        <v>3.63904189470855</v>
      </c>
      <c r="AT143" s="137" t="n">
        <f aca="false">IF(A144="","",IF(AND(mthbeg&lt;=A143,mthend&gt;=A143),1,0))</f>
        <v>1</v>
      </c>
      <c r="AU143" s="137" t="n">
        <f aca="false">IF(A144="","",AO143*AT143)</f>
        <v>31</v>
      </c>
      <c r="AW143" s="195" t="e">
        <f aca="false">IF($A144="","",AL143*$E143)</f>
        <v>#NAME?</v>
      </c>
      <c r="AX143" s="195" t="e">
        <f aca="false">IF($A144="","",AM143*$E143)</f>
        <v>#N/A</v>
      </c>
      <c r="AY143" s="195" t="e">
        <f aca="false">IF($A144="","",AN143*$E143)</f>
        <v>#N/A</v>
      </c>
      <c r="BA143" s="195" t="n">
        <f aca="false">IF($A144="","",F143*Summary!$Q$7)</f>
        <v>0</v>
      </c>
      <c r="BC143" s="179" t="e">
        <f aca="false">IF(A144="","",AM143*F143)</f>
        <v>#N/A</v>
      </c>
    </row>
    <row r="144" customFormat="false" ht="12.75" hidden="false" customHeight="false" outlineLevel="0" collapsed="false">
      <c r="A144" s="196" t="n">
        <f aca="false">IF(A143&lt;mthend,EDATE(A143,1),"")</f>
        <v>41122</v>
      </c>
      <c r="B144" s="197" t="n">
        <f aca="false">IF(A144&lt;mthend,B143,"")</f>
        <v>40000</v>
      </c>
      <c r="C144" s="215"/>
      <c r="D144" s="197" t="n">
        <f aca="false">IF(A145&lt;&gt;"",B144+C144,"")</f>
        <v>40000</v>
      </c>
      <c r="E144" s="199" t="n">
        <f aca="false">IF(A145="","",IF(AND(AT144=1,$H$3=1),D144*AO144,IF($H$3=2,D144,"N/A")))</f>
        <v>1240000</v>
      </c>
      <c r="F144" s="199" t="n">
        <f aca="false">IF(A145="","",E144*AS144)</f>
        <v>4475194.61039457</v>
      </c>
      <c r="G144" s="200" t="e">
        <f aca="false">IF($A145="","",VLOOKUP($A144,Table,MATCH(G$4,Curves,0)))</f>
        <v>#N/A</v>
      </c>
      <c r="H144" s="201" t="e">
        <f aca="false">IF(A145="","",G144)</f>
        <v>#N/A</v>
      </c>
      <c r="I144" s="202"/>
      <c r="J144" s="200" t="e">
        <f aca="false">IF($A145="","",VLOOKUP($A144,Table,MATCH(J$4,Curves,0)))</f>
        <v>#N/A</v>
      </c>
      <c r="K144" s="201" t="e">
        <f aca="false">IF(A145="","",J144)</f>
        <v>#N/A</v>
      </c>
      <c r="L144" s="200" t="e">
        <f aca="false">IF($A145="","",VLOOKUP($A144,Table,MATCH(L$4,Curves,0)))</f>
        <v>#N/A</v>
      </c>
      <c r="M144" s="201" t="e">
        <f aca="false">IF(A145="","",L144)</f>
        <v>#N/A</v>
      </c>
      <c r="N144" s="203"/>
      <c r="O144" s="200" t="e">
        <f aca="false">IF(A145="","",L144+J144+G144)</f>
        <v>#N/A</v>
      </c>
      <c r="P144" s="200" t="e">
        <f aca="false">IF(A145="","",M144+K144+H144)</f>
        <v>#N/A</v>
      </c>
      <c r="Q144" s="204"/>
      <c r="R144" s="200" t="e">
        <f aca="false">IF($A145="","",VLOOKUP($A144,Table,MATCH(R$4,Curves,0)))</f>
        <v>#N/A</v>
      </c>
      <c r="S144" s="201" t="e">
        <f aca="false">IF(A145="","",R144)</f>
        <v>#N/A</v>
      </c>
      <c r="T144" s="200" t="e">
        <f aca="false">IF($A145="","",VLOOKUP($A144,Table,MATCH(T$4,Curves,0)))</f>
        <v>#N/A</v>
      </c>
      <c r="U144" s="201" t="e">
        <f aca="false">IF(A145="","",T144)</f>
        <v>#N/A</v>
      </c>
      <c r="V144" s="183" t="e">
        <f aca="false">IF($A145="","",IF(AND(MONTH(A144)&gt;3,MONTH(A144)&lt;11),(T144+R144+G144)*Summary!$T$7/(1-Summary!$T$7),(T144+R144+G144)*Summary!$U$7/(1-Summary!$U$7)))</f>
        <v>#N/A</v>
      </c>
      <c r="W144" s="200" t="e">
        <f aca="false">IF($A145="","",(T144+R144+G144+V144))</f>
        <v>#N/A</v>
      </c>
      <c r="X144" s="200" t="e">
        <f aca="false">IF($A145="","",(U144+S144+H144+V144))</f>
        <v>#N/A</v>
      </c>
      <c r="Y144" s="202"/>
      <c r="Z144" s="185" t="e">
        <f aca="false">IF($A145="","",VLOOKUP($A144,Table,MATCH(Z$4,Curves,0)))</f>
        <v>#N/A</v>
      </c>
      <c r="AA144" s="185" t="e">
        <f aca="false">IF($A145="","",VLOOKUP($A144,Table,MATCH(AA$4,Curves,0)))</f>
        <v>#N/A</v>
      </c>
      <c r="AB144" s="185" t="e">
        <f aca="false">SQRT((AA144^2*(A144-$D$3)+Z144^2*(DAY(EOMONTH(A144,0))/2))/AK144)</f>
        <v>#N/A</v>
      </c>
      <c r="AC144" s="185" t="e">
        <f aca="false">IF($A145="","",VLOOKUP($A144,Table,MATCH(AC$4,Curves,0)))</f>
        <v>#N/A</v>
      </c>
      <c r="AD144" s="185" t="e">
        <f aca="false">IF($A145="","",VLOOKUP($A144,Table,MATCH(AD$4,Curves,0)))</f>
        <v>#N/A</v>
      </c>
      <c r="AE144" s="185" t="e">
        <f aca="false">SQRT((AD144^2*(A144-$D$3)+AC144^2*(DAY(EOMONTH(A144,0))/2))/AK144)</f>
        <v>#N/A</v>
      </c>
      <c r="AF144" s="206" t="e">
        <f aca="false">((Summary!$N$7*(AA144*AD144)*(A144-$D$3))+(Summary!$M$7*Z144*AC144*(DAY(EOMONTH(A144,0))/2)))/(AK144*AB144*AE144)</f>
        <v>#N/A</v>
      </c>
      <c r="AG144" s="207" t="n">
        <f aca="false">IF($A145="","",Summary!$Q$7)</f>
        <v>0</v>
      </c>
      <c r="AH144" s="207" t="n">
        <f aca="false">IF($A145="","",IF(Summary!$R$7="Y",(VLOOKUP($A144,Summary!$AD$6:$AF$9,3)+'Escalating commodity'!C157),'Escalating commodity'!C157))</f>
        <v>0.0224952</v>
      </c>
      <c r="AI144" s="207" t="n">
        <f aca="false">IF($A145="","",AH144)</f>
        <v>0.0224952</v>
      </c>
      <c r="AJ144" s="208" t="n">
        <f aca="false">A144+DAY(EOMONTH(A144,0))/2-1</f>
        <v>41136.5</v>
      </c>
      <c r="AK144" s="209" t="n">
        <f aca="false">IF($A145="","",$A144-$E$1)</f>
        <v>-4804</v>
      </c>
      <c r="AL144" s="182" t="e">
        <f aca="false">IF($A145="","",SPRDOPT(P144,X144,AI144,0,AB144,AE144,AF144,AK144,$AJ$2,0))</f>
        <v>#NAME?</v>
      </c>
      <c r="AM144" s="210" t="e">
        <f aca="false">IF($A145="","",MAX(0,O144-W144-AI144))</f>
        <v>#N/A</v>
      </c>
      <c r="AN144" s="211" t="e">
        <f aca="false">IF($A145="","",AL144-AM144)</f>
        <v>#N/A</v>
      </c>
      <c r="AO144" s="137" t="n">
        <f aca="false">IF(A145="","",A145-A144)</f>
        <v>31</v>
      </c>
      <c r="AP144" s="212" t="n">
        <f aca="false">IF(A145="","",CHOOSE(F$3,A145+24,A144))</f>
        <v>41122</v>
      </c>
      <c r="AQ144" s="209" t="n">
        <f aca="false">IF(A145="","",AP144-$E$1)</f>
        <v>-4804</v>
      </c>
      <c r="AR144" s="185" t="n">
        <f aca="false">IF(Summary!$H$2=1,VLOOKUP('ANR OK vs ML7'!A144,Curves!$C$17:$AR$273,MATCH('ANR OK vs ML7'!$AR$4,Curves!$C$8:$AQ$8,0)),0.1)</f>
        <v>0.1</v>
      </c>
      <c r="AS144" s="213" t="n">
        <f aca="false">IF(A145="","",1/(1+CHOOSE(F$3,(AR145+($I$3/10000))/2,(AR144+($I$3/10000))/2))^(2*AQ144/365.25))</f>
        <v>3.60902791160853</v>
      </c>
      <c r="AT144" s="137" t="n">
        <f aca="false">IF(A145="","",IF(AND(mthbeg&lt;=A144,mthend&gt;=A144),1,0))</f>
        <v>1</v>
      </c>
      <c r="AU144" s="137" t="n">
        <f aca="false">IF(A145="","",AO144*AT144)</f>
        <v>31</v>
      </c>
      <c r="AW144" s="195" t="e">
        <f aca="false">IF($A145="","",AL144*$E144)</f>
        <v>#NAME?</v>
      </c>
      <c r="AX144" s="195" t="e">
        <f aca="false">IF($A145="","",AM144*$E144)</f>
        <v>#N/A</v>
      </c>
      <c r="AY144" s="195" t="e">
        <f aca="false">IF($A145="","",AN144*$E144)</f>
        <v>#N/A</v>
      </c>
      <c r="BA144" s="195" t="n">
        <f aca="false">IF($A145="","",F144*Summary!$Q$7)</f>
        <v>0</v>
      </c>
      <c r="BC144" s="179" t="e">
        <f aca="false">IF(A145="","",AM144*F144)</f>
        <v>#N/A</v>
      </c>
    </row>
    <row r="145" customFormat="false" ht="12.75" hidden="false" customHeight="false" outlineLevel="0" collapsed="false">
      <c r="A145" s="196" t="n">
        <f aca="false">IF(A144&lt;mthend,EDATE(A144,1),"")</f>
        <v>41153</v>
      </c>
      <c r="B145" s="197" t="n">
        <f aca="false">IF(A145&lt;mthend,B144,"")</f>
        <v>40000</v>
      </c>
      <c r="C145" s="215"/>
      <c r="D145" s="197" t="n">
        <f aca="false">IF(A146&lt;&gt;"",B145+C145,"")</f>
        <v>40000</v>
      </c>
      <c r="E145" s="199" t="n">
        <f aca="false">IF(A146="","",IF(AND(AT145=1,$H$3=1),D145*AO145,IF($H$3=2,D145,"N/A")))</f>
        <v>1200000</v>
      </c>
      <c r="F145" s="199" t="n">
        <f aca="false">IF(A146="","",E145*AS145)</f>
        <v>4295113.77235053</v>
      </c>
      <c r="G145" s="200" t="e">
        <f aca="false">IF($A146="","",VLOOKUP($A145,Table,MATCH(G$4,Curves,0)))</f>
        <v>#N/A</v>
      </c>
      <c r="H145" s="201" t="e">
        <f aca="false">IF(A146="","",G145)</f>
        <v>#N/A</v>
      </c>
      <c r="I145" s="202"/>
      <c r="J145" s="200" t="e">
        <f aca="false">IF($A146="","",VLOOKUP($A145,Table,MATCH(J$4,Curves,0)))</f>
        <v>#N/A</v>
      </c>
      <c r="K145" s="201" t="e">
        <f aca="false">IF(A146="","",J145)</f>
        <v>#N/A</v>
      </c>
      <c r="L145" s="200" t="e">
        <f aca="false">IF($A146="","",VLOOKUP($A145,Table,MATCH(L$4,Curves,0)))</f>
        <v>#N/A</v>
      </c>
      <c r="M145" s="201" t="e">
        <f aca="false">IF(A146="","",L145)</f>
        <v>#N/A</v>
      </c>
      <c r="N145" s="203"/>
      <c r="O145" s="200" t="e">
        <f aca="false">IF(A146="","",L145+J145+G145)</f>
        <v>#N/A</v>
      </c>
      <c r="P145" s="200" t="e">
        <f aca="false">IF(A146="","",M145+K145+H145)</f>
        <v>#N/A</v>
      </c>
      <c r="Q145" s="204"/>
      <c r="R145" s="200" t="e">
        <f aca="false">IF($A146="","",VLOOKUP($A145,Table,MATCH(R$4,Curves,0)))</f>
        <v>#N/A</v>
      </c>
      <c r="S145" s="201" t="e">
        <f aca="false">IF(A146="","",R145)</f>
        <v>#N/A</v>
      </c>
      <c r="T145" s="200" t="e">
        <f aca="false">IF($A146="","",VLOOKUP($A145,Table,MATCH(T$4,Curves,0)))</f>
        <v>#N/A</v>
      </c>
      <c r="U145" s="201" t="e">
        <f aca="false">IF(A146="","",T145)</f>
        <v>#N/A</v>
      </c>
      <c r="V145" s="183" t="e">
        <f aca="false">IF($A146="","",IF(AND(MONTH(A145)&gt;3,MONTH(A145)&lt;11),(T145+R145+G145)*Summary!$T$7/(1-Summary!$T$7),(T145+R145+G145)*Summary!$U$7/(1-Summary!$U$7)))</f>
        <v>#N/A</v>
      </c>
      <c r="W145" s="200" t="e">
        <f aca="false">IF($A146="","",(T145+R145+G145+V145))</f>
        <v>#N/A</v>
      </c>
      <c r="X145" s="200" t="e">
        <f aca="false">IF($A146="","",(U145+S145+H145+V145))</f>
        <v>#N/A</v>
      </c>
      <c r="Y145" s="202"/>
      <c r="Z145" s="185" t="e">
        <f aca="false">IF($A146="","",VLOOKUP($A145,Table,MATCH(Z$4,Curves,0)))</f>
        <v>#N/A</v>
      </c>
      <c r="AA145" s="185" t="e">
        <f aca="false">IF($A146="","",VLOOKUP($A145,Table,MATCH(AA$4,Curves,0)))</f>
        <v>#N/A</v>
      </c>
      <c r="AB145" s="185" t="e">
        <f aca="false">SQRT((AA145^2*(A145-$D$3)+Z145^2*(DAY(EOMONTH(A145,0))/2))/AK145)</f>
        <v>#N/A</v>
      </c>
      <c r="AC145" s="185" t="e">
        <f aca="false">IF($A146="","",VLOOKUP($A145,Table,MATCH(AC$4,Curves,0)))</f>
        <v>#N/A</v>
      </c>
      <c r="AD145" s="185" t="e">
        <f aca="false">IF($A146="","",VLOOKUP($A145,Table,MATCH(AD$4,Curves,0)))</f>
        <v>#N/A</v>
      </c>
      <c r="AE145" s="185" t="e">
        <f aca="false">SQRT((AD145^2*(A145-$D$3)+AC145^2*(DAY(EOMONTH(A145,0))/2))/AK145)</f>
        <v>#N/A</v>
      </c>
      <c r="AF145" s="206" t="e">
        <f aca="false">((Summary!$N$7*(AA145*AD145)*(A145-$D$3))+(Summary!$M$7*Z145*AC145*(DAY(EOMONTH(A145,0))/2)))/(AK145*AB145*AE145)</f>
        <v>#N/A</v>
      </c>
      <c r="AG145" s="207" t="n">
        <f aca="false">IF($A146="","",Summary!$Q$7)</f>
        <v>0</v>
      </c>
      <c r="AH145" s="207" t="n">
        <f aca="false">IF($A146="","",IF(Summary!$R$7="Y",(VLOOKUP($A145,Summary!$AD$6:$AF$9,3)+'Escalating commodity'!C158),'Escalating commodity'!C158))</f>
        <v>0.0224952</v>
      </c>
      <c r="AI145" s="207" t="n">
        <f aca="false">IF($A146="","",AH145)</f>
        <v>0.0224952</v>
      </c>
      <c r="AJ145" s="208" t="n">
        <f aca="false">A145+DAY(EOMONTH(A145,0))/2-1</f>
        <v>41167</v>
      </c>
      <c r="AK145" s="209" t="n">
        <f aca="false">IF($A146="","",$A145-$E$1)</f>
        <v>-4773</v>
      </c>
      <c r="AL145" s="182" t="e">
        <f aca="false">IF($A146="","",SPRDOPT(P145,X145,AI145,0,AB145,AE145,AF145,AK145,$AJ$2,0))</f>
        <v>#NAME?</v>
      </c>
      <c r="AM145" s="210" t="e">
        <f aca="false">IF($A146="","",MAX(0,O145-W145-AI145))</f>
        <v>#N/A</v>
      </c>
      <c r="AN145" s="211" t="e">
        <f aca="false">IF($A146="","",AL145-AM145)</f>
        <v>#N/A</v>
      </c>
      <c r="AO145" s="137" t="n">
        <f aca="false">IF(A146="","",A146-A145)</f>
        <v>30</v>
      </c>
      <c r="AP145" s="212" t="n">
        <f aca="false">IF(A146="","",CHOOSE(F$3,A146+24,A145))</f>
        <v>41153</v>
      </c>
      <c r="AQ145" s="209" t="n">
        <f aca="false">IF(A146="","",AP145-$E$1)</f>
        <v>-4773</v>
      </c>
      <c r="AR145" s="185" t="n">
        <f aca="false">IF(Summary!$H$2=1,VLOOKUP('ANR OK vs ML7'!A145,Curves!$C$17:$AR$273,MATCH('ANR OK vs ML7'!$AR$4,Curves!$C$8:$AQ$8,0)),0.1)</f>
        <v>0.1</v>
      </c>
      <c r="AS145" s="213" t="n">
        <f aca="false">IF(A146="","",1/(1+CHOOSE(F$3,(AR146+($I$3/10000))/2,(AR145+($I$3/10000))/2))^(2*AQ145/365.25))</f>
        <v>3.57926147695878</v>
      </c>
      <c r="AT145" s="137" t="n">
        <f aca="false">IF(A146="","",IF(AND(mthbeg&lt;=A145,mthend&gt;=A145),1,0))</f>
        <v>1</v>
      </c>
      <c r="AU145" s="137" t="n">
        <f aca="false">IF(A146="","",AO145*AT145)</f>
        <v>30</v>
      </c>
      <c r="AW145" s="195" t="e">
        <f aca="false">IF($A146="","",AL145*$E145)</f>
        <v>#NAME?</v>
      </c>
      <c r="AX145" s="195" t="e">
        <f aca="false">IF($A146="","",AM145*$E145)</f>
        <v>#N/A</v>
      </c>
      <c r="AY145" s="195" t="e">
        <f aca="false">IF($A146="","",AN145*$E145)</f>
        <v>#N/A</v>
      </c>
      <c r="BA145" s="195" t="n">
        <f aca="false">IF($A146="","",F145*Summary!$Q$7)</f>
        <v>0</v>
      </c>
      <c r="BC145" s="179" t="e">
        <f aca="false">IF(A146="","",AM145*F145)</f>
        <v>#N/A</v>
      </c>
    </row>
    <row r="146" customFormat="false" ht="12.75" hidden="false" customHeight="false" outlineLevel="0" collapsed="false">
      <c r="A146" s="196" t="n">
        <f aca="false">IF(A145&lt;mthend,EDATE(A145,1),"")</f>
        <v>41183</v>
      </c>
      <c r="B146" s="197" t="n">
        <f aca="false">IF(A146&lt;mthend,B145,"")</f>
        <v>40000</v>
      </c>
      <c r="C146" s="215"/>
      <c r="D146" s="197" t="n">
        <f aca="false">IF(A147&lt;&gt;"",B146+C146,"")</f>
        <v>40000</v>
      </c>
      <c r="E146" s="199" t="n">
        <f aca="false">IF(A147="","",IF(AND(AT146=1,$H$3=1),D146*AO146,IF($H$3=2,D146,"N/A")))</f>
        <v>1240000</v>
      </c>
      <c r="F146" s="199" t="n">
        <f aca="false">IF(A147="","",E146*AS146)</f>
        <v>4402854.39194</v>
      </c>
      <c r="G146" s="200" t="e">
        <f aca="false">IF($A147="","",VLOOKUP($A146,Table,MATCH(G$4,Curves,0)))</f>
        <v>#N/A</v>
      </c>
      <c r="H146" s="201" t="e">
        <f aca="false">IF(A147="","",G146)</f>
        <v>#N/A</v>
      </c>
      <c r="I146" s="202"/>
      <c r="J146" s="200" t="e">
        <f aca="false">IF($A147="","",VLOOKUP($A146,Table,MATCH(J$4,Curves,0)))</f>
        <v>#N/A</v>
      </c>
      <c r="K146" s="201" t="e">
        <f aca="false">IF(A147="","",J146)</f>
        <v>#N/A</v>
      </c>
      <c r="L146" s="200" t="e">
        <f aca="false">IF($A147="","",VLOOKUP($A146,Table,MATCH(L$4,Curves,0)))</f>
        <v>#N/A</v>
      </c>
      <c r="M146" s="201" t="e">
        <f aca="false">IF(A147="","",L146)</f>
        <v>#N/A</v>
      </c>
      <c r="N146" s="203"/>
      <c r="O146" s="200" t="e">
        <f aca="false">IF(A147="","",L146+J146+G146)</f>
        <v>#N/A</v>
      </c>
      <c r="P146" s="200" t="e">
        <f aca="false">IF(A147="","",M146+K146+H146)</f>
        <v>#N/A</v>
      </c>
      <c r="Q146" s="204"/>
      <c r="R146" s="200" t="e">
        <f aca="false">IF($A147="","",VLOOKUP($A146,Table,MATCH(R$4,Curves,0)))</f>
        <v>#N/A</v>
      </c>
      <c r="S146" s="201" t="e">
        <f aca="false">IF(A147="","",R146)</f>
        <v>#N/A</v>
      </c>
      <c r="T146" s="200" t="e">
        <f aca="false">IF($A147="","",VLOOKUP($A146,Table,MATCH(T$4,Curves,0)))</f>
        <v>#N/A</v>
      </c>
      <c r="U146" s="201" t="e">
        <f aca="false">IF(A147="","",T146)</f>
        <v>#N/A</v>
      </c>
      <c r="V146" s="183" t="e">
        <f aca="false">IF($A147="","",IF(AND(MONTH(A146)&gt;3,MONTH(A146)&lt;11),(T146+R146+G146)*Summary!$T$7/(1-Summary!$T$7),(T146+R146+G146)*Summary!$U$7/(1-Summary!$U$7)))</f>
        <v>#N/A</v>
      </c>
      <c r="W146" s="200" t="e">
        <f aca="false">IF($A147="","",(T146+R146+G146+V146))</f>
        <v>#N/A</v>
      </c>
      <c r="X146" s="200" t="e">
        <f aca="false">IF($A147="","",(U146+S146+H146+V146))</f>
        <v>#N/A</v>
      </c>
      <c r="Y146" s="202"/>
      <c r="Z146" s="185" t="e">
        <f aca="false">IF($A147="","",VLOOKUP($A146,Table,MATCH(Z$4,Curves,0)))</f>
        <v>#N/A</v>
      </c>
      <c r="AA146" s="185" t="e">
        <f aca="false">IF($A147="","",VLOOKUP($A146,Table,MATCH(AA$4,Curves,0)))</f>
        <v>#N/A</v>
      </c>
      <c r="AB146" s="185" t="e">
        <f aca="false">SQRT((AA146^2*(A146-$D$3)+Z146^2*(DAY(EOMONTH(A146,0))/2))/AK146)</f>
        <v>#N/A</v>
      </c>
      <c r="AC146" s="185" t="e">
        <f aca="false">IF($A147="","",VLOOKUP($A146,Table,MATCH(AC$4,Curves,0)))</f>
        <v>#N/A</v>
      </c>
      <c r="AD146" s="185" t="e">
        <f aca="false">IF($A147="","",VLOOKUP($A146,Table,MATCH(AD$4,Curves,0)))</f>
        <v>#N/A</v>
      </c>
      <c r="AE146" s="185" t="e">
        <f aca="false">SQRT((AD146^2*(A146-$D$3)+AC146^2*(DAY(EOMONTH(A146,0))/2))/AK146)</f>
        <v>#N/A</v>
      </c>
      <c r="AF146" s="206" t="e">
        <f aca="false">((Summary!$N$7*(AA146*AD146)*(A146-$D$3))+(Summary!$M$7*Z146*AC146*(DAY(EOMONTH(A146,0))/2)))/(AK146*AB146*AE146)</f>
        <v>#N/A</v>
      </c>
      <c r="AG146" s="207" t="n">
        <f aca="false">IF($A147="","",Summary!$Q$7)</f>
        <v>0</v>
      </c>
      <c r="AH146" s="207" t="n">
        <f aca="false">IF($A147="","",IF(Summary!$R$7="Y",(VLOOKUP($A146,Summary!$AD$6:$AF$9,3)+'Escalating commodity'!C159),'Escalating commodity'!C159))</f>
        <v>0.0224952</v>
      </c>
      <c r="AI146" s="207" t="n">
        <f aca="false">IF($A147="","",AH146)</f>
        <v>0.0224952</v>
      </c>
      <c r="AJ146" s="208" t="n">
        <f aca="false">A146+DAY(EOMONTH(A146,0))/2-1</f>
        <v>41197.5</v>
      </c>
      <c r="AK146" s="209" t="n">
        <f aca="false">IF($A147="","",$A146-$E$1)</f>
        <v>-4743</v>
      </c>
      <c r="AL146" s="182" t="e">
        <f aca="false">IF($A147="","",SPRDOPT(P146,X146,AI146,0,AB146,AE146,AF146,AK146,$AJ$2,0))</f>
        <v>#NAME?</v>
      </c>
      <c r="AM146" s="210" t="e">
        <f aca="false">IF($A147="","",MAX(0,O146-W146-AI146))</f>
        <v>#N/A</v>
      </c>
      <c r="AN146" s="211" t="e">
        <f aca="false">IF($A147="","",AL146-AM146)</f>
        <v>#N/A</v>
      </c>
      <c r="AO146" s="137" t="n">
        <f aca="false">IF(A147="","",A147-A146)</f>
        <v>31</v>
      </c>
      <c r="AP146" s="212" t="n">
        <f aca="false">IF(A147="","",CHOOSE(F$3,A147+24,A146))</f>
        <v>41183</v>
      </c>
      <c r="AQ146" s="209" t="n">
        <f aca="false">IF(A147="","",AP146-$E$1)</f>
        <v>-4743</v>
      </c>
      <c r="AR146" s="185" t="n">
        <f aca="false">IF(Summary!$H$2=1,VLOOKUP('ANR OK vs ML7'!A146,Curves!$C$17:$AR$273,MATCH('ANR OK vs ML7'!$AR$4,Curves!$C$8:$AQ$8,0)),0.1)</f>
        <v>0.1</v>
      </c>
      <c r="AS146" s="213" t="n">
        <f aca="false">IF(A147="","",1/(1+CHOOSE(F$3,(AR147+($I$3/10000))/2,(AR146+($I$3/10000))/2))^(2*AQ146/365.25))</f>
        <v>3.55068902575806</v>
      </c>
      <c r="AT146" s="137" t="n">
        <f aca="false">IF(A147="","",IF(AND(mthbeg&lt;=A146,mthend&gt;=A146),1,0))</f>
        <v>1</v>
      </c>
      <c r="AU146" s="137" t="n">
        <f aca="false">IF(A147="","",AO146*AT146)</f>
        <v>31</v>
      </c>
      <c r="AW146" s="195" t="e">
        <f aca="false">IF($A147="","",AL146*$E146)</f>
        <v>#NAME?</v>
      </c>
      <c r="AX146" s="195" t="e">
        <f aca="false">IF($A147="","",AM146*$E146)</f>
        <v>#N/A</v>
      </c>
      <c r="AY146" s="195" t="e">
        <f aca="false">IF($A147="","",AN146*$E146)</f>
        <v>#N/A</v>
      </c>
      <c r="BA146" s="195" t="n">
        <f aca="false">IF($A147="","",F146*Summary!$Q$7)</f>
        <v>0</v>
      </c>
      <c r="BC146" s="179" t="e">
        <f aca="false">IF(A147="","",AM146*F146)</f>
        <v>#N/A</v>
      </c>
    </row>
    <row r="147" customFormat="false" ht="12.75" hidden="false" customHeight="false" outlineLevel="0" collapsed="false">
      <c r="A147" s="196" t="n">
        <f aca="false">IF(A146&lt;mthend,EDATE(A146,1),"")</f>
        <v>41214</v>
      </c>
      <c r="B147" s="197" t="n">
        <f aca="false">IF(A147&lt;mthend,B146,"")</f>
        <v>40000</v>
      </c>
      <c r="C147" s="215"/>
      <c r="D147" s="197" t="n">
        <f aca="false">IF(A148&lt;&gt;"",B147+C147,"")</f>
        <v>40000</v>
      </c>
      <c r="E147" s="199" t="n">
        <f aca="false">IF(A148="","",IF(AND(AT147=1,$H$3=1),D147*AO147,IF($H$3=2,D147,"N/A")))</f>
        <v>1200000</v>
      </c>
      <c r="F147" s="199" t="n">
        <f aca="false">IF(A148="","",E147*AS147)</f>
        <v>4225684.50823375</v>
      </c>
      <c r="G147" s="200" t="e">
        <f aca="false">IF($A148="","",VLOOKUP($A147,Table,MATCH(G$4,Curves,0)))</f>
        <v>#N/A</v>
      </c>
      <c r="H147" s="201" t="e">
        <f aca="false">IF(A148="","",G147)</f>
        <v>#N/A</v>
      </c>
      <c r="I147" s="202"/>
      <c r="J147" s="200" t="e">
        <f aca="false">IF($A148="","",VLOOKUP($A147,Table,MATCH(J$4,Curves,0)))</f>
        <v>#N/A</v>
      </c>
      <c r="K147" s="201" t="e">
        <f aca="false">IF(A148="","",J147)</f>
        <v>#N/A</v>
      </c>
      <c r="L147" s="200" t="e">
        <f aca="false">IF($A148="","",VLOOKUP($A147,Table,MATCH(L$4,Curves,0)))</f>
        <v>#N/A</v>
      </c>
      <c r="M147" s="201" t="e">
        <f aca="false">IF(A148="","",L147)</f>
        <v>#N/A</v>
      </c>
      <c r="N147" s="203"/>
      <c r="O147" s="200" t="e">
        <f aca="false">IF(A148="","",L147+J147+G147)</f>
        <v>#N/A</v>
      </c>
      <c r="P147" s="200" t="e">
        <f aca="false">IF(A148="","",M147+K147+H147)</f>
        <v>#N/A</v>
      </c>
      <c r="Q147" s="204"/>
      <c r="R147" s="200" t="e">
        <f aca="false">IF($A148="","",VLOOKUP($A147,Table,MATCH(R$4,Curves,0)))</f>
        <v>#N/A</v>
      </c>
      <c r="S147" s="201" t="e">
        <f aca="false">IF(A148="","",R147)</f>
        <v>#N/A</v>
      </c>
      <c r="T147" s="200" t="e">
        <f aca="false">IF($A148="","",VLOOKUP($A147,Table,MATCH(T$4,Curves,0)))</f>
        <v>#N/A</v>
      </c>
      <c r="U147" s="201" t="e">
        <f aca="false">IF(A148="","",T147)</f>
        <v>#N/A</v>
      </c>
      <c r="V147" s="183" t="e">
        <f aca="false">IF($A148="","",IF(AND(MONTH(A147)&gt;3,MONTH(A147)&lt;11),(T147+R147+G147)*Summary!$T$7/(1-Summary!$T$7),(T147+R147+G147)*Summary!$U$7/(1-Summary!$U$7)))</f>
        <v>#N/A</v>
      </c>
      <c r="W147" s="200" t="e">
        <f aca="false">IF($A148="","",(T147+R147+G147+V147))</f>
        <v>#N/A</v>
      </c>
      <c r="X147" s="200" t="e">
        <f aca="false">IF($A148="","",(U147+S147+H147+V147))</f>
        <v>#N/A</v>
      </c>
      <c r="Y147" s="202"/>
      <c r="Z147" s="185" t="e">
        <f aca="false">IF($A148="","",VLOOKUP($A147,Table,MATCH(Z$4,Curves,0)))</f>
        <v>#N/A</v>
      </c>
      <c r="AA147" s="185" t="e">
        <f aca="false">IF($A148="","",VLOOKUP($A147,Table,MATCH(AA$4,Curves,0)))</f>
        <v>#N/A</v>
      </c>
      <c r="AB147" s="185" t="e">
        <f aca="false">SQRT((AA147^2*(A147-$D$3)+Z147^2*(DAY(EOMONTH(A147,0))/2))/AK147)</f>
        <v>#N/A</v>
      </c>
      <c r="AC147" s="185" t="e">
        <f aca="false">IF($A148="","",VLOOKUP($A147,Table,MATCH(AC$4,Curves,0)))</f>
        <v>#N/A</v>
      </c>
      <c r="AD147" s="185" t="e">
        <f aca="false">IF($A148="","",VLOOKUP($A147,Table,MATCH(AD$4,Curves,0)))</f>
        <v>#N/A</v>
      </c>
      <c r="AE147" s="185" t="e">
        <f aca="false">SQRT((AD147^2*(A147-$D$3)+AC147^2*(DAY(EOMONTH(A147,0))/2))/AK147)</f>
        <v>#N/A</v>
      </c>
      <c r="AF147" s="206" t="e">
        <f aca="false">((Summary!$N$7*(AA147*AD147)*(A147-$D$3))+(Summary!$M$7*Z147*AC147*(DAY(EOMONTH(A147,0))/2)))/(AK147*AB147*AE147)</f>
        <v>#N/A</v>
      </c>
      <c r="AG147" s="207" t="n">
        <f aca="false">IF($A148="","",Summary!$Q$7)</f>
        <v>0</v>
      </c>
      <c r="AH147" s="207" t="n">
        <f aca="false">IF($A148="","",IF(Summary!$R$7="Y",(VLOOKUP($A147,Summary!$AD$6:$AF$9,3)+'Escalating commodity'!C160),'Escalating commodity'!C160))</f>
        <v>0.0224952</v>
      </c>
      <c r="AI147" s="207" t="n">
        <f aca="false">IF($A148="","",AH147)</f>
        <v>0.0224952</v>
      </c>
      <c r="AJ147" s="208" t="n">
        <f aca="false">A147+DAY(EOMONTH(A147,0))/2-1</f>
        <v>41228</v>
      </c>
      <c r="AK147" s="209" t="n">
        <f aca="false">IF($A148="","",$A147-$E$1)</f>
        <v>-4712</v>
      </c>
      <c r="AL147" s="182" t="e">
        <f aca="false">IF($A148="","",SPRDOPT(P147,X147,AI147,0,AB147,AE147,AF147,AK147,$AJ$2,0))</f>
        <v>#NAME?</v>
      </c>
      <c r="AM147" s="210" t="e">
        <f aca="false">IF($A148="","",MAX(0,O147-W147-AI147))</f>
        <v>#N/A</v>
      </c>
      <c r="AN147" s="211" t="e">
        <f aca="false">IF($A148="","",AL147-AM147)</f>
        <v>#N/A</v>
      </c>
      <c r="AO147" s="137" t="n">
        <f aca="false">IF(A148="","",A148-A147)</f>
        <v>30</v>
      </c>
      <c r="AP147" s="212" t="n">
        <f aca="false">IF(A148="","",CHOOSE(F$3,A148+24,A147))</f>
        <v>41214</v>
      </c>
      <c r="AQ147" s="209" t="n">
        <f aca="false">IF(A148="","",AP147-$E$1)</f>
        <v>-4712</v>
      </c>
      <c r="AR147" s="185" t="n">
        <f aca="false">IF(Summary!$H$2=1,VLOOKUP('ANR OK vs ML7'!A147,Curves!$C$17:$AR$273,MATCH('ANR OK vs ML7'!$AR$4,Curves!$C$8:$AQ$8,0)),0.1)</f>
        <v>0.1</v>
      </c>
      <c r="AS147" s="213" t="n">
        <f aca="false">IF(A148="","",1/(1+CHOOSE(F$3,(AR148+($I$3/10000))/2,(AR147+($I$3/10000))/2))^(2*AQ147/365.25))</f>
        <v>3.52140375686146</v>
      </c>
      <c r="AT147" s="137" t="n">
        <f aca="false">IF(A148="","",IF(AND(mthbeg&lt;=A147,mthend&gt;=A147),1,0))</f>
        <v>1</v>
      </c>
      <c r="AU147" s="137" t="n">
        <f aca="false">IF(A148="","",AO147*AT147)</f>
        <v>30</v>
      </c>
      <c r="AW147" s="195" t="e">
        <f aca="false">IF($A148="","",AL147*$E147)</f>
        <v>#NAME?</v>
      </c>
      <c r="AX147" s="195" t="e">
        <f aca="false">IF($A148="","",AM147*$E147)</f>
        <v>#N/A</v>
      </c>
      <c r="AY147" s="195" t="e">
        <f aca="false">IF($A148="","",AN147*$E147)</f>
        <v>#N/A</v>
      </c>
      <c r="BA147" s="195" t="n">
        <f aca="false">IF($A148="","",F147*Summary!$Q$7)</f>
        <v>0</v>
      </c>
      <c r="BC147" s="179" t="e">
        <f aca="false">IF(A148="","",AM147*F147)</f>
        <v>#N/A</v>
      </c>
    </row>
    <row r="148" customFormat="false" ht="12.75" hidden="false" customHeight="false" outlineLevel="0" collapsed="false">
      <c r="A148" s="196" t="n">
        <f aca="false">IF(A147&lt;mthend,EDATE(A147,1),"")</f>
        <v>41244</v>
      </c>
      <c r="B148" s="197" t="n">
        <f aca="false">IF(A148&lt;mthend,B147,"")</f>
        <v>40000</v>
      </c>
      <c r="C148" s="215"/>
      <c r="D148" s="197" t="n">
        <f aca="false">IF(A149&lt;&gt;"",B148+C148,"")</f>
        <v>40000</v>
      </c>
      <c r="E148" s="199" t="n">
        <f aca="false">IF(A149="","",IF(AND(AT148=1,$H$3=1),D148*AO148,IF($H$3=2,D148,"N/A")))</f>
        <v>1240000</v>
      </c>
      <c r="F148" s="199" t="n">
        <f aca="false">IF(A149="","",E148*AS148)</f>
        <v>4331683.53206346</v>
      </c>
      <c r="G148" s="200" t="e">
        <f aca="false">IF($A149="","",VLOOKUP($A148,Table,MATCH(G$4,Curves,0)))</f>
        <v>#N/A</v>
      </c>
      <c r="H148" s="201" t="e">
        <f aca="false">IF(A149="","",G148)</f>
        <v>#N/A</v>
      </c>
      <c r="I148" s="202"/>
      <c r="J148" s="200" t="e">
        <f aca="false">IF($A149="","",VLOOKUP($A148,Table,MATCH(J$4,Curves,0)))</f>
        <v>#N/A</v>
      </c>
      <c r="K148" s="201" t="e">
        <f aca="false">IF(A149="","",J148)</f>
        <v>#N/A</v>
      </c>
      <c r="L148" s="200" t="e">
        <f aca="false">IF($A149="","",VLOOKUP($A148,Table,MATCH(L$4,Curves,0)))</f>
        <v>#N/A</v>
      </c>
      <c r="M148" s="201" t="e">
        <f aca="false">IF(A149="","",L148)</f>
        <v>#N/A</v>
      </c>
      <c r="N148" s="203"/>
      <c r="O148" s="200" t="e">
        <f aca="false">IF(A149="","",L148+J148+G148)</f>
        <v>#N/A</v>
      </c>
      <c r="P148" s="200" t="e">
        <f aca="false">IF(A149="","",M148+K148+H148)</f>
        <v>#N/A</v>
      </c>
      <c r="Q148" s="204"/>
      <c r="R148" s="200" t="e">
        <f aca="false">IF($A149="","",VLOOKUP($A148,Table,MATCH(R$4,Curves,0)))</f>
        <v>#N/A</v>
      </c>
      <c r="S148" s="201" t="e">
        <f aca="false">IF(A149="","",R148)</f>
        <v>#N/A</v>
      </c>
      <c r="T148" s="200" t="e">
        <f aca="false">IF($A149="","",VLOOKUP($A148,Table,MATCH(T$4,Curves,0)))</f>
        <v>#N/A</v>
      </c>
      <c r="U148" s="201" t="e">
        <f aca="false">IF(A149="","",T148)</f>
        <v>#N/A</v>
      </c>
      <c r="V148" s="183" t="e">
        <f aca="false">IF($A149="","",IF(AND(MONTH(A148)&gt;3,MONTH(A148)&lt;11),(T148+R148+G148)*Summary!$T$7/(1-Summary!$T$7),(T148+R148+G148)*Summary!$U$7/(1-Summary!$U$7)))</f>
        <v>#N/A</v>
      </c>
      <c r="W148" s="200" t="e">
        <f aca="false">IF($A149="","",(T148+R148+G148+V148))</f>
        <v>#N/A</v>
      </c>
      <c r="X148" s="200" t="e">
        <f aca="false">IF($A149="","",(U148+S148+H148+V148))</f>
        <v>#N/A</v>
      </c>
      <c r="Y148" s="202"/>
      <c r="Z148" s="185" t="e">
        <f aca="false">IF($A149="","",VLOOKUP($A148,Table,MATCH(Z$4,Curves,0)))</f>
        <v>#N/A</v>
      </c>
      <c r="AA148" s="185" t="e">
        <f aca="false">IF($A149="","",VLOOKUP($A148,Table,MATCH(AA$4,Curves,0)))</f>
        <v>#N/A</v>
      </c>
      <c r="AB148" s="185" t="e">
        <f aca="false">SQRT((AA148^2*(A148-$D$3)+Z148^2*(DAY(EOMONTH(A148,0))/2))/AK148)</f>
        <v>#N/A</v>
      </c>
      <c r="AC148" s="185" t="e">
        <f aca="false">IF($A149="","",VLOOKUP($A148,Table,MATCH(AC$4,Curves,0)))</f>
        <v>#N/A</v>
      </c>
      <c r="AD148" s="185" t="e">
        <f aca="false">IF($A149="","",VLOOKUP($A148,Table,MATCH(AD$4,Curves,0)))</f>
        <v>#N/A</v>
      </c>
      <c r="AE148" s="185" t="e">
        <f aca="false">SQRT((AD148^2*(A148-$D$3)+AC148^2*(DAY(EOMONTH(A148,0))/2))/AK148)</f>
        <v>#N/A</v>
      </c>
      <c r="AF148" s="206" t="e">
        <f aca="false">((Summary!$N$7*(AA148*AD148)*(A148-$D$3))+(Summary!$M$7*Z148*AC148*(DAY(EOMONTH(A148,0))/2)))/(AK148*AB148*AE148)</f>
        <v>#N/A</v>
      </c>
      <c r="AG148" s="207" t="n">
        <f aca="false">IF($A149="","",Summary!$Q$7)</f>
        <v>0</v>
      </c>
      <c r="AH148" s="207" t="n">
        <f aca="false">IF($A149="","",IF(Summary!$R$7="Y",(VLOOKUP($A148,Summary!$AD$6:$AF$9,3)+'Escalating commodity'!C161),'Escalating commodity'!C161))</f>
        <v>0.0224952</v>
      </c>
      <c r="AI148" s="207" t="n">
        <f aca="false">IF($A149="","",AH148)</f>
        <v>0.0224952</v>
      </c>
      <c r="AJ148" s="208" t="n">
        <f aca="false">A148+DAY(EOMONTH(A148,0))/2-1</f>
        <v>41258.5</v>
      </c>
      <c r="AK148" s="209" t="n">
        <f aca="false">IF($A149="","",$A148-$E$1)</f>
        <v>-4682</v>
      </c>
      <c r="AL148" s="182" t="e">
        <f aca="false">IF($A149="","",SPRDOPT(P148,X148,AI148,0,AB148,AE148,AF148,AK148,$AJ$2,0))</f>
        <v>#NAME?</v>
      </c>
      <c r="AM148" s="210" t="e">
        <f aca="false">IF($A149="","",MAX(0,O148-W148-AI148))</f>
        <v>#N/A</v>
      </c>
      <c r="AN148" s="211" t="e">
        <f aca="false">IF($A149="","",AL148-AM148)</f>
        <v>#N/A</v>
      </c>
      <c r="AO148" s="137" t="n">
        <f aca="false">IF(A149="","",A149-A148)</f>
        <v>31</v>
      </c>
      <c r="AP148" s="212" t="n">
        <f aca="false">IF(A149="","",CHOOSE(F$3,A149+24,A148))</f>
        <v>41244</v>
      </c>
      <c r="AQ148" s="209" t="n">
        <f aca="false">IF(A149="","",AP148-$E$1)</f>
        <v>-4682</v>
      </c>
      <c r="AR148" s="185" t="n">
        <f aca="false">IF(Summary!$H$2=1,VLOOKUP('ANR OK vs ML7'!A148,Curves!$C$17:$AR$273,MATCH('ANR OK vs ML7'!$AR$4,Curves!$C$8:$AQ$8,0)),0.1)</f>
        <v>0.1</v>
      </c>
      <c r="AS148" s="213" t="n">
        <f aca="false">IF(A149="","",1/(1+CHOOSE(F$3,(AR149+($I$3/10000))/2,(AR148+($I$3/10000))/2))^(2*AQ148/365.25))</f>
        <v>3.49329317101892</v>
      </c>
      <c r="AT148" s="137" t="n">
        <f aca="false">IF(A149="","",IF(AND(mthbeg&lt;=A148,mthend&gt;=A148),1,0))</f>
        <v>1</v>
      </c>
      <c r="AU148" s="137" t="n">
        <f aca="false">IF(A149="","",AO148*AT148)</f>
        <v>31</v>
      </c>
      <c r="AW148" s="195" t="e">
        <f aca="false">IF($A149="","",AL148*$E148)</f>
        <v>#NAME?</v>
      </c>
      <c r="AX148" s="195" t="e">
        <f aca="false">IF($A149="","",AM148*$E148)</f>
        <v>#N/A</v>
      </c>
      <c r="AY148" s="195" t="e">
        <f aca="false">IF($A149="","",AN148*$E148)</f>
        <v>#N/A</v>
      </c>
      <c r="BA148" s="195" t="n">
        <f aca="false">IF($A149="","",F148*Summary!$Q$7)</f>
        <v>0</v>
      </c>
      <c r="BC148" s="179" t="e">
        <f aca="false">IF(A149="","",AM148*F148)</f>
        <v>#N/A</v>
      </c>
    </row>
    <row r="149" customFormat="false" ht="12.75" hidden="false" customHeight="false" outlineLevel="0" collapsed="false">
      <c r="A149" s="196" t="n">
        <f aca="false">IF(A148&lt;mthend,EDATE(A148,1),"")</f>
        <v>41275</v>
      </c>
      <c r="B149" s="197" t="n">
        <f aca="false">IF(A149&lt;mthend,B148,"")</f>
        <v>40000</v>
      </c>
      <c r="C149" s="215"/>
      <c r="D149" s="197" t="n">
        <f aca="false">IF(A150&lt;&gt;"",B149+C149,"")</f>
        <v>40000</v>
      </c>
      <c r="E149" s="199" t="n">
        <f aca="false">IF(A150="","",IF(AND(AT149=1,$H$3=1),D149*AO149,IF($H$3=2,D149,"N/A")))</f>
        <v>1240000</v>
      </c>
      <c r="F149" s="199" t="n">
        <f aca="false">IF(A150="","",E149*AS149)</f>
        <v>4295956.79956416</v>
      </c>
      <c r="G149" s="200" t="e">
        <f aca="false">IF($A150="","",VLOOKUP($A149,Table,MATCH(G$4,Curves,0)))</f>
        <v>#N/A</v>
      </c>
      <c r="H149" s="201" t="e">
        <f aca="false">IF(A150="","",G149)</f>
        <v>#N/A</v>
      </c>
      <c r="I149" s="202"/>
      <c r="J149" s="200" t="e">
        <f aca="false">IF($A150="","",VLOOKUP($A149,Table,MATCH(J$4,Curves,0)))</f>
        <v>#N/A</v>
      </c>
      <c r="K149" s="201" t="e">
        <f aca="false">IF(A150="","",J149)</f>
        <v>#N/A</v>
      </c>
      <c r="L149" s="200" t="e">
        <f aca="false">IF($A150="","",VLOOKUP($A149,Table,MATCH(L$4,Curves,0)))</f>
        <v>#N/A</v>
      </c>
      <c r="M149" s="201" t="e">
        <f aca="false">IF(A150="","",L149)</f>
        <v>#N/A</v>
      </c>
      <c r="N149" s="203"/>
      <c r="O149" s="200" t="e">
        <f aca="false">IF(A150="","",L149+J149+G149)</f>
        <v>#N/A</v>
      </c>
      <c r="P149" s="200" t="e">
        <f aca="false">IF(A150="","",M149+K149+H149)</f>
        <v>#N/A</v>
      </c>
      <c r="Q149" s="204"/>
      <c r="R149" s="200" t="e">
        <f aca="false">IF($A150="","",VLOOKUP($A149,Table,MATCH(R$4,Curves,0)))</f>
        <v>#N/A</v>
      </c>
      <c r="S149" s="201" t="e">
        <f aca="false">IF(A150="","",R149)</f>
        <v>#N/A</v>
      </c>
      <c r="T149" s="200" t="e">
        <f aca="false">IF($A150="","",VLOOKUP($A149,Table,MATCH(T$4,Curves,0)))</f>
        <v>#N/A</v>
      </c>
      <c r="U149" s="201" t="e">
        <f aca="false">IF(A150="","",T149)</f>
        <v>#N/A</v>
      </c>
      <c r="V149" s="183" t="e">
        <f aca="false">IF($A150="","",IF(AND(MONTH(A149)&gt;3,MONTH(A149)&lt;11),(T149+R149+G149)*Summary!$T$7/(1-Summary!$T$7),(T149+R149+G149)*Summary!$U$7/(1-Summary!$U$7)))</f>
        <v>#N/A</v>
      </c>
      <c r="W149" s="200" t="e">
        <f aca="false">IF($A150="","",(T149+R149+G149+V149))</f>
        <v>#N/A</v>
      </c>
      <c r="X149" s="200" t="e">
        <f aca="false">IF($A150="","",(U149+S149+H149+V149))</f>
        <v>#N/A</v>
      </c>
      <c r="Y149" s="202"/>
      <c r="Z149" s="185" t="e">
        <f aca="false">IF($A150="","",VLOOKUP($A149,Table,MATCH(Z$4,Curves,0)))</f>
        <v>#N/A</v>
      </c>
      <c r="AA149" s="185" t="e">
        <f aca="false">IF($A150="","",VLOOKUP($A149,Table,MATCH(AA$4,Curves,0)))</f>
        <v>#N/A</v>
      </c>
      <c r="AB149" s="185" t="e">
        <f aca="false">SQRT((AA149^2*(A149-$D$3)+Z149^2*(DAY(EOMONTH(A149,0))/2))/AK149)</f>
        <v>#N/A</v>
      </c>
      <c r="AC149" s="185" t="e">
        <f aca="false">IF($A150="","",VLOOKUP($A149,Table,MATCH(AC$4,Curves,0)))</f>
        <v>#N/A</v>
      </c>
      <c r="AD149" s="185" t="e">
        <f aca="false">IF($A150="","",VLOOKUP($A149,Table,MATCH(AD$4,Curves,0)))</f>
        <v>#N/A</v>
      </c>
      <c r="AE149" s="185" t="e">
        <f aca="false">SQRT((AD149^2*(A149-$D$3)+AC149^2*(DAY(EOMONTH(A149,0))/2))/AK149)</f>
        <v>#N/A</v>
      </c>
      <c r="AF149" s="206" t="e">
        <f aca="false">((Summary!$N$7*(AA149*AD149)*(A149-$D$3))+(Summary!$M$7*Z149*AC149*(DAY(EOMONTH(A149,0))/2)))/(AK149*AB149*AE149)</f>
        <v>#N/A</v>
      </c>
      <c r="AG149" s="207" t="n">
        <f aca="false">IF($A150="","",Summary!$Q$7)</f>
        <v>0</v>
      </c>
      <c r="AH149" s="207" t="n">
        <f aca="false">IF($A150="","",IF(Summary!$R$7="Y",(VLOOKUP($A149,Summary!$AD$6:$AF$9,3)+'Escalating commodity'!C162),'Escalating commodity'!C162))</f>
        <v>0.0224952</v>
      </c>
      <c r="AI149" s="207" t="n">
        <f aca="false">IF($A150="","",AH149)</f>
        <v>0.0224952</v>
      </c>
      <c r="AJ149" s="208" t="n">
        <f aca="false">A149+DAY(EOMONTH(A149,0))/2-1</f>
        <v>41289.5</v>
      </c>
      <c r="AK149" s="209" t="n">
        <f aca="false">IF($A150="","",$A149-$E$1)</f>
        <v>-4651</v>
      </c>
      <c r="AL149" s="182" t="e">
        <f aca="false">IF($A150="","",SPRDOPT(P149,X149,AI149,0,AB149,AE149,AF149,AK149,$AJ$2,0))</f>
        <v>#NAME?</v>
      </c>
      <c r="AM149" s="210" t="e">
        <f aca="false">IF($A150="","",MAX(0,O149-W149-AI149))</f>
        <v>#N/A</v>
      </c>
      <c r="AN149" s="211" t="e">
        <f aca="false">IF($A150="","",AL149-AM149)</f>
        <v>#N/A</v>
      </c>
      <c r="AO149" s="137" t="n">
        <f aca="false">IF(A150="","",A150-A149)</f>
        <v>31</v>
      </c>
      <c r="AP149" s="212" t="n">
        <f aca="false">IF(A150="","",CHOOSE(F$3,A150+24,A149))</f>
        <v>41275</v>
      </c>
      <c r="AQ149" s="209" t="n">
        <f aca="false">IF(A150="","",AP149-$E$1)</f>
        <v>-4651</v>
      </c>
      <c r="AR149" s="185" t="n">
        <f aca="false">IF(Summary!$H$2=1,VLOOKUP('ANR OK vs ML7'!A149,Curves!$C$17:$AR$273,MATCH('ANR OK vs ML7'!$AR$4,Curves!$C$8:$AQ$8,0)),0.1)</f>
        <v>0.1</v>
      </c>
      <c r="AS149" s="213" t="n">
        <f aca="false">IF(A150="","",1/(1+CHOOSE(F$3,(AR150+($I$3/10000))/2,(AR149+($I$3/10000))/2))^(2*AQ149/365.25))</f>
        <v>3.4644812899711</v>
      </c>
      <c r="AT149" s="137" t="n">
        <f aca="false">IF(A150="","",IF(AND(mthbeg&lt;=A149,mthend&gt;=A149),1,0))</f>
        <v>1</v>
      </c>
      <c r="AU149" s="137" t="n">
        <f aca="false">IF(A150="","",AO149*AT149)</f>
        <v>31</v>
      </c>
      <c r="AW149" s="195" t="e">
        <f aca="false">IF($A150="","",AL149*$E149)</f>
        <v>#NAME?</v>
      </c>
      <c r="AX149" s="195" t="e">
        <f aca="false">IF($A150="","",AM149*$E149)</f>
        <v>#N/A</v>
      </c>
      <c r="AY149" s="195" t="e">
        <f aca="false">IF($A150="","",AN149*$E149)</f>
        <v>#N/A</v>
      </c>
      <c r="BA149" s="195" t="n">
        <f aca="false">IF($A150="","",F149*Summary!$Q$7)</f>
        <v>0</v>
      </c>
      <c r="BC149" s="179" t="e">
        <f aca="false">IF(A150="","",AM149*F149)</f>
        <v>#N/A</v>
      </c>
    </row>
    <row r="150" customFormat="false" ht="12.75" hidden="false" customHeight="false" outlineLevel="0" collapsed="false">
      <c r="A150" s="196" t="n">
        <f aca="false">IF(A149&lt;mthend,EDATE(A149,1),"")</f>
        <v>41306</v>
      </c>
      <c r="B150" s="197" t="n">
        <f aca="false">IF(A150&lt;mthend,B149,"")</f>
        <v>40000</v>
      </c>
      <c r="C150" s="215"/>
      <c r="D150" s="197" t="n">
        <f aca="false">IF(A151&lt;&gt;"",B150+C150,"")</f>
        <v>40000</v>
      </c>
      <c r="E150" s="199" t="n">
        <f aca="false">IF(A151="","",IF(AND(AT150=1,$H$3=1),D150*AO150,IF($H$3=2,D150,"N/A")))</f>
        <v>1120000</v>
      </c>
      <c r="F150" s="199" t="n">
        <f aca="false">IF(A151="","",E150*AS150)</f>
        <v>3848215.88783685</v>
      </c>
      <c r="G150" s="200" t="e">
        <f aca="false">IF($A151="","",VLOOKUP($A150,Table,MATCH(G$4,Curves,0)))</f>
        <v>#N/A</v>
      </c>
      <c r="H150" s="201" t="e">
        <f aca="false">IF(A151="","",G150)</f>
        <v>#N/A</v>
      </c>
      <c r="I150" s="202"/>
      <c r="J150" s="200" t="e">
        <f aca="false">IF($A151="","",VLOOKUP($A150,Table,MATCH(J$4,Curves,0)))</f>
        <v>#N/A</v>
      </c>
      <c r="K150" s="201" t="e">
        <f aca="false">IF(A151="","",J150)</f>
        <v>#N/A</v>
      </c>
      <c r="L150" s="200" t="e">
        <f aca="false">IF($A151="","",VLOOKUP($A150,Table,MATCH(L$4,Curves,0)))</f>
        <v>#N/A</v>
      </c>
      <c r="M150" s="201" t="e">
        <f aca="false">IF(A151="","",L150)</f>
        <v>#N/A</v>
      </c>
      <c r="N150" s="203"/>
      <c r="O150" s="200" t="e">
        <f aca="false">IF(A151="","",L150+J150+G150)</f>
        <v>#N/A</v>
      </c>
      <c r="P150" s="200" t="e">
        <f aca="false">IF(A151="","",M150+K150+H150)</f>
        <v>#N/A</v>
      </c>
      <c r="Q150" s="204"/>
      <c r="R150" s="200" t="e">
        <f aca="false">IF($A151="","",VLOOKUP($A150,Table,MATCH(R$4,Curves,0)))</f>
        <v>#N/A</v>
      </c>
      <c r="S150" s="201" t="e">
        <f aca="false">IF(A151="","",R150)</f>
        <v>#N/A</v>
      </c>
      <c r="T150" s="200" t="e">
        <f aca="false">IF($A151="","",VLOOKUP($A150,Table,MATCH(T$4,Curves,0)))</f>
        <v>#N/A</v>
      </c>
      <c r="U150" s="201" t="e">
        <f aca="false">IF(A151="","",T150)</f>
        <v>#N/A</v>
      </c>
      <c r="V150" s="183" t="e">
        <f aca="false">IF($A151="","",IF(AND(MONTH(A150)&gt;3,MONTH(A150)&lt;11),(T150+R150+G150)*Summary!$T$7/(1-Summary!$T$7),(T150+R150+G150)*Summary!$U$7/(1-Summary!$U$7)))</f>
        <v>#N/A</v>
      </c>
      <c r="W150" s="200" t="e">
        <f aca="false">IF($A151="","",(T150+R150+G150+V150))</f>
        <v>#N/A</v>
      </c>
      <c r="X150" s="200" t="e">
        <f aca="false">IF($A151="","",(U150+S150+H150+V150))</f>
        <v>#N/A</v>
      </c>
      <c r="Y150" s="202"/>
      <c r="Z150" s="185" t="e">
        <f aca="false">IF($A151="","",VLOOKUP($A150,Table,MATCH(Z$4,Curves,0)))</f>
        <v>#N/A</v>
      </c>
      <c r="AA150" s="185" t="e">
        <f aca="false">IF($A151="","",VLOOKUP($A150,Table,MATCH(AA$4,Curves,0)))</f>
        <v>#N/A</v>
      </c>
      <c r="AB150" s="185" t="e">
        <f aca="false">SQRT((AA150^2*(A150-$D$3)+Z150^2*(DAY(EOMONTH(A150,0))/2))/AK150)</f>
        <v>#N/A</v>
      </c>
      <c r="AC150" s="185" t="e">
        <f aca="false">IF($A151="","",VLOOKUP($A150,Table,MATCH(AC$4,Curves,0)))</f>
        <v>#N/A</v>
      </c>
      <c r="AD150" s="185" t="e">
        <f aca="false">IF($A151="","",VLOOKUP($A150,Table,MATCH(AD$4,Curves,0)))</f>
        <v>#N/A</v>
      </c>
      <c r="AE150" s="185" t="e">
        <f aca="false">SQRT((AD150^2*(A150-$D$3)+AC150^2*(DAY(EOMONTH(A150,0))/2))/AK150)</f>
        <v>#N/A</v>
      </c>
      <c r="AF150" s="206" t="e">
        <f aca="false">((Summary!$N$7*(AA150*AD150)*(A150-$D$3))+(Summary!$M$7*Z150*AC150*(DAY(EOMONTH(A150,0))/2)))/(AK150*AB150*AE150)</f>
        <v>#N/A</v>
      </c>
      <c r="AG150" s="207" t="n">
        <f aca="false">IF($A151="","",Summary!$Q$7)</f>
        <v>0</v>
      </c>
      <c r="AH150" s="207" t="n">
        <f aca="false">IF($A151="","",IF(Summary!$R$7="Y",(VLOOKUP($A150,Summary!$AD$6:$AF$9,3)+'Escalating commodity'!C163),'Escalating commodity'!C163))</f>
        <v>0.0224952</v>
      </c>
      <c r="AI150" s="207" t="n">
        <f aca="false">IF($A151="","",AH150)</f>
        <v>0.0224952</v>
      </c>
      <c r="AJ150" s="208" t="n">
        <f aca="false">A150+DAY(EOMONTH(A150,0))/2-1</f>
        <v>41319</v>
      </c>
      <c r="AK150" s="209" t="n">
        <f aca="false">IF($A151="","",$A150-$E$1)</f>
        <v>-4620</v>
      </c>
      <c r="AL150" s="182" t="e">
        <f aca="false">IF($A151="","",SPRDOPT(P150,X150,AI150,0,AB150,AE150,AF150,AK150,$AJ$2,0))</f>
        <v>#NAME?</v>
      </c>
      <c r="AM150" s="210" t="e">
        <f aca="false">IF($A151="","",MAX(0,O150-W150-AI150))</f>
        <v>#N/A</v>
      </c>
      <c r="AN150" s="211" t="e">
        <f aca="false">IF($A151="","",AL150-AM150)</f>
        <v>#N/A</v>
      </c>
      <c r="AO150" s="137" t="n">
        <f aca="false">IF(A151="","",A151-A150)</f>
        <v>28</v>
      </c>
      <c r="AP150" s="212" t="n">
        <f aca="false">IF(A151="","",CHOOSE(F$3,A151+24,A150))</f>
        <v>41306</v>
      </c>
      <c r="AQ150" s="209" t="n">
        <f aca="false">IF(A151="","",AP150-$E$1)</f>
        <v>-4620</v>
      </c>
      <c r="AR150" s="185" t="n">
        <f aca="false">IF(Summary!$H$2=1,VLOOKUP('ANR OK vs ML7'!A150,Curves!$C$17:$AR$273,MATCH('ANR OK vs ML7'!$AR$4,Curves!$C$8:$AQ$8,0)),0.1)</f>
        <v>0.1</v>
      </c>
      <c r="AS150" s="213" t="n">
        <f aca="false">IF(A151="","",1/(1+CHOOSE(F$3,(AR151+($I$3/10000))/2,(AR150+($I$3/10000))/2))^(2*AQ150/365.25))</f>
        <v>3.43590704271147</v>
      </c>
      <c r="AT150" s="137" t="n">
        <f aca="false">IF(A151="","",IF(AND(mthbeg&lt;=A150,mthend&gt;=A150),1,0))</f>
        <v>1</v>
      </c>
      <c r="AU150" s="137" t="n">
        <f aca="false">IF(A151="","",AO150*AT150)</f>
        <v>28</v>
      </c>
      <c r="AW150" s="195" t="e">
        <f aca="false">IF($A151="","",AL150*$E150)</f>
        <v>#NAME?</v>
      </c>
      <c r="AX150" s="195" t="e">
        <f aca="false">IF($A151="","",AM150*$E150)</f>
        <v>#N/A</v>
      </c>
      <c r="AY150" s="195" t="e">
        <f aca="false">IF($A151="","",AN150*$E150)</f>
        <v>#N/A</v>
      </c>
      <c r="BA150" s="195" t="n">
        <f aca="false">IF($A151="","",F150*Summary!$Q$7)</f>
        <v>0</v>
      </c>
      <c r="BC150" s="179" t="e">
        <f aca="false">IF(A151="","",AM150*F150)</f>
        <v>#N/A</v>
      </c>
    </row>
    <row r="151" customFormat="false" ht="12.75" hidden="false" customHeight="false" outlineLevel="0" collapsed="false">
      <c r="A151" s="196" t="n">
        <f aca="false">IF(A150&lt;mthend,EDATE(A150,1),"")</f>
        <v>41334</v>
      </c>
      <c r="B151" s="197" t="n">
        <f aca="false">IF(A151&lt;mthend,B150,"")</f>
        <v>40000</v>
      </c>
      <c r="C151" s="215"/>
      <c r="D151" s="197" t="n">
        <f aca="false">IF(A152&lt;&gt;"",B151+C151,"")</f>
        <v>40000</v>
      </c>
      <c r="E151" s="199" t="n">
        <f aca="false">IF(A152="","",IF(AND(AT151=1,$H$3=1),D151*AO151,IF($H$3=2,D151,"N/A")))</f>
        <v>1240000</v>
      </c>
      <c r="F151" s="199" t="n">
        <f aca="false">IF(A152="","",E151*AS151)</f>
        <v>4228772.82571034</v>
      </c>
      <c r="G151" s="200" t="e">
        <f aca="false">IF($A152="","",VLOOKUP($A151,Table,MATCH(G$4,Curves,0)))</f>
        <v>#N/A</v>
      </c>
      <c r="H151" s="201" t="e">
        <f aca="false">IF(A152="","",G151)</f>
        <v>#N/A</v>
      </c>
      <c r="I151" s="202"/>
      <c r="J151" s="200" t="e">
        <f aca="false">IF($A152="","",VLOOKUP($A151,Table,MATCH(J$4,Curves,0)))</f>
        <v>#N/A</v>
      </c>
      <c r="K151" s="201" t="e">
        <f aca="false">IF(A152="","",J151)</f>
        <v>#N/A</v>
      </c>
      <c r="L151" s="200" t="e">
        <f aca="false">IF($A152="","",VLOOKUP($A151,Table,MATCH(L$4,Curves,0)))</f>
        <v>#N/A</v>
      </c>
      <c r="M151" s="201" t="e">
        <f aca="false">IF(A152="","",L151)</f>
        <v>#N/A</v>
      </c>
      <c r="N151" s="203"/>
      <c r="O151" s="200" t="e">
        <f aca="false">IF(A152="","",L151+J151+G151)</f>
        <v>#N/A</v>
      </c>
      <c r="P151" s="200" t="e">
        <f aca="false">IF(A152="","",M151+K151+H151)</f>
        <v>#N/A</v>
      </c>
      <c r="Q151" s="204"/>
      <c r="R151" s="200" t="e">
        <f aca="false">IF($A152="","",VLOOKUP($A151,Table,MATCH(R$4,Curves,0)))</f>
        <v>#N/A</v>
      </c>
      <c r="S151" s="201" t="e">
        <f aca="false">IF(A152="","",R151)</f>
        <v>#N/A</v>
      </c>
      <c r="T151" s="200" t="e">
        <f aca="false">IF($A152="","",VLOOKUP($A151,Table,MATCH(T$4,Curves,0)))</f>
        <v>#N/A</v>
      </c>
      <c r="U151" s="201" t="e">
        <f aca="false">IF(A152="","",T151)</f>
        <v>#N/A</v>
      </c>
      <c r="V151" s="183" t="e">
        <f aca="false">IF($A152="","",IF(AND(MONTH(A151)&gt;3,MONTH(A151)&lt;11),(T151+R151+G151)*Summary!$T$7/(1-Summary!$T$7),(T151+R151+G151)*Summary!$U$7/(1-Summary!$U$7)))</f>
        <v>#N/A</v>
      </c>
      <c r="W151" s="200" t="e">
        <f aca="false">IF($A152="","",(T151+R151+G151+V151))</f>
        <v>#N/A</v>
      </c>
      <c r="X151" s="200" t="e">
        <f aca="false">IF($A152="","",(U151+S151+H151+V151))</f>
        <v>#N/A</v>
      </c>
      <c r="Y151" s="202"/>
      <c r="Z151" s="185" t="e">
        <f aca="false">IF($A152="","",VLOOKUP($A151,Table,MATCH(Z$4,Curves,0)))</f>
        <v>#N/A</v>
      </c>
      <c r="AA151" s="185" t="e">
        <f aca="false">IF($A152="","",VLOOKUP($A151,Table,MATCH(AA$4,Curves,0)))</f>
        <v>#N/A</v>
      </c>
      <c r="AB151" s="185" t="e">
        <f aca="false">SQRT((AA151^2*(A151-$D$3)+Z151^2*(DAY(EOMONTH(A151,0))/2))/AK151)</f>
        <v>#N/A</v>
      </c>
      <c r="AC151" s="185" t="e">
        <f aca="false">IF($A152="","",VLOOKUP($A151,Table,MATCH(AC$4,Curves,0)))</f>
        <v>#N/A</v>
      </c>
      <c r="AD151" s="185" t="e">
        <f aca="false">IF($A152="","",VLOOKUP($A151,Table,MATCH(AD$4,Curves,0)))</f>
        <v>#N/A</v>
      </c>
      <c r="AE151" s="185" t="e">
        <f aca="false">SQRT((AD151^2*(A151-$D$3)+AC151^2*(DAY(EOMONTH(A151,0))/2))/AK151)</f>
        <v>#N/A</v>
      </c>
      <c r="AF151" s="206" t="e">
        <f aca="false">((Summary!$N$7*(AA151*AD151)*(A151-$D$3))+(Summary!$M$7*Z151*AC151*(DAY(EOMONTH(A151,0))/2)))/(AK151*AB151*AE151)</f>
        <v>#N/A</v>
      </c>
      <c r="AG151" s="207" t="n">
        <f aca="false">IF($A152="","",Summary!$Q$7)</f>
        <v>0</v>
      </c>
      <c r="AH151" s="207" t="n">
        <f aca="false">IF($A152="","",IF(Summary!$R$7="Y",(VLOOKUP($A151,Summary!$AD$6:$AF$9,3)+'Escalating commodity'!C164),'Escalating commodity'!C164))</f>
        <v>0.0224952</v>
      </c>
      <c r="AI151" s="207" t="n">
        <f aca="false">IF($A152="","",AH151)</f>
        <v>0.0224952</v>
      </c>
      <c r="AJ151" s="208" t="n">
        <f aca="false">A151+DAY(EOMONTH(A151,0))/2-1</f>
        <v>41348.5</v>
      </c>
      <c r="AK151" s="209" t="n">
        <f aca="false">IF($A152="","",$A151-$E$1)</f>
        <v>-4592</v>
      </c>
      <c r="AL151" s="182" t="e">
        <f aca="false">IF($A152="","",SPRDOPT(P151,X151,AI151,0,AB151,AE151,AF151,AK151,$AJ$2,0))</f>
        <v>#NAME?</v>
      </c>
      <c r="AM151" s="210" t="e">
        <f aca="false">IF($A152="","",MAX(0,O151-W151-AI151))</f>
        <v>#N/A</v>
      </c>
      <c r="AN151" s="211" t="e">
        <f aca="false">IF($A152="","",AL151-AM151)</f>
        <v>#N/A</v>
      </c>
      <c r="AO151" s="137" t="n">
        <f aca="false">IF(A152="","",A152-A151)</f>
        <v>31</v>
      </c>
      <c r="AP151" s="212" t="n">
        <f aca="false">IF(A152="","",CHOOSE(F$3,A152+24,A151))</f>
        <v>41334</v>
      </c>
      <c r="AQ151" s="209" t="n">
        <f aca="false">IF(A152="","",AP151-$E$1)</f>
        <v>-4592</v>
      </c>
      <c r="AR151" s="185" t="n">
        <f aca="false">IF(Summary!$H$2=1,VLOOKUP('ANR OK vs ML7'!A151,Curves!$C$17:$AR$273,MATCH('ANR OK vs ML7'!$AR$4,Curves!$C$8:$AQ$8,0)),0.1)</f>
        <v>0.1</v>
      </c>
      <c r="AS151" s="213" t="n">
        <f aca="false">IF(A152="","",1/(1+CHOOSE(F$3,(AR152+($I$3/10000))/2,(AR151+($I$3/10000))/2))^(2*AQ151/365.25))</f>
        <v>3.41030066589544</v>
      </c>
      <c r="AT151" s="137" t="n">
        <f aca="false">IF(A152="","",IF(AND(mthbeg&lt;=A151,mthend&gt;=A151),1,0))</f>
        <v>1</v>
      </c>
      <c r="AU151" s="137" t="n">
        <f aca="false">IF(A152="","",AO151*AT151)</f>
        <v>31</v>
      </c>
      <c r="AW151" s="195" t="e">
        <f aca="false">IF($A152="","",AL151*$E151)</f>
        <v>#NAME?</v>
      </c>
      <c r="AX151" s="195" t="e">
        <f aca="false">IF($A152="","",AM151*$E151)</f>
        <v>#N/A</v>
      </c>
      <c r="AY151" s="195" t="e">
        <f aca="false">IF($A152="","",AN151*$E151)</f>
        <v>#N/A</v>
      </c>
      <c r="BA151" s="195" t="n">
        <f aca="false">IF($A152="","",F151*Summary!$Q$7)</f>
        <v>0</v>
      </c>
      <c r="BC151" s="179" t="e">
        <f aca="false">IF(A152="","",AM151*F151)</f>
        <v>#N/A</v>
      </c>
    </row>
    <row r="152" customFormat="false" ht="12.75" hidden="false" customHeight="false" outlineLevel="0" collapsed="false">
      <c r="A152" s="196" t="n">
        <f aca="false">IF(A151&lt;mthend,EDATE(A151,1),"")</f>
        <v>41365</v>
      </c>
      <c r="B152" s="197" t="n">
        <f aca="false">IF(A152&lt;mthend,B151,"")</f>
        <v>40000</v>
      </c>
      <c r="C152" s="215"/>
      <c r="D152" s="197" t="n">
        <f aca="false">IF(A153&lt;&gt;"",B152+C152,"")</f>
        <v>40000</v>
      </c>
      <c r="E152" s="199" t="n">
        <f aca="false">IF(A153="","",IF(AND(AT152=1,$H$3=1),D152*AO152,IF($H$3=2,D152,"N/A")))</f>
        <v>1200000</v>
      </c>
      <c r="F152" s="199" t="n">
        <f aca="false">IF(A153="","",E152*AS152)</f>
        <v>4058607.94559921</v>
      </c>
      <c r="G152" s="200" t="e">
        <f aca="false">IF($A153="","",VLOOKUP($A152,Table,MATCH(G$4,Curves,0)))</f>
        <v>#N/A</v>
      </c>
      <c r="H152" s="201" t="e">
        <f aca="false">IF(A153="","",G152)</f>
        <v>#N/A</v>
      </c>
      <c r="I152" s="202"/>
      <c r="J152" s="200" t="e">
        <f aca="false">IF($A153="","",VLOOKUP($A152,Table,MATCH(J$4,Curves,0)))</f>
        <v>#N/A</v>
      </c>
      <c r="K152" s="201" t="e">
        <f aca="false">IF(A153="","",J152)</f>
        <v>#N/A</v>
      </c>
      <c r="L152" s="200" t="e">
        <f aca="false">IF($A153="","",VLOOKUP($A152,Table,MATCH(L$4,Curves,0)))</f>
        <v>#N/A</v>
      </c>
      <c r="M152" s="201" t="e">
        <f aca="false">IF(A153="","",L152)</f>
        <v>#N/A</v>
      </c>
      <c r="N152" s="203"/>
      <c r="O152" s="200" t="e">
        <f aca="false">IF(A153="","",L152+J152+G152)</f>
        <v>#N/A</v>
      </c>
      <c r="P152" s="200" t="e">
        <f aca="false">IF(A153="","",M152+K152+H152)</f>
        <v>#N/A</v>
      </c>
      <c r="Q152" s="204"/>
      <c r="R152" s="200" t="e">
        <f aca="false">IF($A153="","",VLOOKUP($A152,Table,MATCH(R$4,Curves,0)))</f>
        <v>#N/A</v>
      </c>
      <c r="S152" s="201" t="e">
        <f aca="false">IF(A153="","",R152)</f>
        <v>#N/A</v>
      </c>
      <c r="T152" s="200" t="e">
        <f aca="false">IF($A153="","",VLOOKUP($A152,Table,MATCH(T$4,Curves,0)))</f>
        <v>#N/A</v>
      </c>
      <c r="U152" s="201" t="e">
        <f aca="false">IF(A153="","",T152)</f>
        <v>#N/A</v>
      </c>
      <c r="V152" s="183" t="e">
        <f aca="false">IF($A153="","",IF(AND(MONTH(A152)&gt;3,MONTH(A152)&lt;11),(T152+R152+G152)*Summary!$T$7/(1-Summary!$T$7),(T152+R152+G152)*Summary!$U$7/(1-Summary!$U$7)))</f>
        <v>#N/A</v>
      </c>
      <c r="W152" s="200" t="e">
        <f aca="false">IF($A153="","",(T152+R152+G152+V152))</f>
        <v>#N/A</v>
      </c>
      <c r="X152" s="200" t="e">
        <f aca="false">IF($A153="","",(U152+S152+H152+V152))</f>
        <v>#N/A</v>
      </c>
      <c r="Y152" s="202"/>
      <c r="Z152" s="185" t="e">
        <f aca="false">IF($A153="","",VLOOKUP($A152,Table,MATCH(Z$4,Curves,0)))</f>
        <v>#N/A</v>
      </c>
      <c r="AA152" s="185" t="e">
        <f aca="false">IF($A153="","",VLOOKUP($A152,Table,MATCH(AA$4,Curves,0)))</f>
        <v>#N/A</v>
      </c>
      <c r="AB152" s="185" t="e">
        <f aca="false">SQRT((AA152^2*(A152-$D$3)+Z152^2*(DAY(EOMONTH(A152,0))/2))/AK152)</f>
        <v>#N/A</v>
      </c>
      <c r="AC152" s="185" t="e">
        <f aca="false">IF($A153="","",VLOOKUP($A152,Table,MATCH(AC$4,Curves,0)))</f>
        <v>#N/A</v>
      </c>
      <c r="AD152" s="185" t="e">
        <f aca="false">IF($A153="","",VLOOKUP($A152,Table,MATCH(AD$4,Curves,0)))</f>
        <v>#N/A</v>
      </c>
      <c r="AE152" s="185" t="e">
        <f aca="false">SQRT((AD152^2*(A152-$D$3)+AC152^2*(DAY(EOMONTH(A152,0))/2))/AK152)</f>
        <v>#N/A</v>
      </c>
      <c r="AF152" s="206" t="e">
        <f aca="false">((Summary!$N$7*(AA152*AD152)*(A152-$D$3))+(Summary!$M$7*Z152*AC152*(DAY(EOMONTH(A152,0))/2)))/(AK152*AB152*AE152)</f>
        <v>#N/A</v>
      </c>
      <c r="AG152" s="207" t="n">
        <f aca="false">IF($A153="","",Summary!$Q$7)</f>
        <v>0</v>
      </c>
      <c r="AH152" s="207" t="n">
        <f aca="false">IF($A153="","",IF(Summary!$R$7="Y",(VLOOKUP($A152,Summary!$AD$6:$AF$9,3)+'Escalating commodity'!C165),'Escalating commodity'!C165))</f>
        <v>0.0224952</v>
      </c>
      <c r="AI152" s="207" t="n">
        <f aca="false">IF($A153="","",AH152)</f>
        <v>0.0224952</v>
      </c>
      <c r="AJ152" s="208" t="n">
        <f aca="false">A152+DAY(EOMONTH(A152,0))/2-1</f>
        <v>41379</v>
      </c>
      <c r="AK152" s="209" t="n">
        <f aca="false">IF($A153="","",$A152-$E$1)</f>
        <v>-4561</v>
      </c>
      <c r="AL152" s="182" t="e">
        <f aca="false">IF($A153="","",SPRDOPT(P152,X152,AI152,0,AB152,AE152,AF152,AK152,$AJ$2,0))</f>
        <v>#NAME?</v>
      </c>
      <c r="AM152" s="210" t="e">
        <f aca="false">IF($A153="","",MAX(0,O152-W152-AI152))</f>
        <v>#N/A</v>
      </c>
      <c r="AN152" s="211" t="e">
        <f aca="false">IF($A153="","",AL152-AM152)</f>
        <v>#N/A</v>
      </c>
      <c r="AO152" s="137" t="n">
        <f aca="false">IF(A153="","",A153-A152)</f>
        <v>30</v>
      </c>
      <c r="AP152" s="212" t="n">
        <f aca="false">IF(A153="","",CHOOSE(F$3,A153+24,A152))</f>
        <v>41365</v>
      </c>
      <c r="AQ152" s="209" t="n">
        <f aca="false">IF(A153="","",AP152-$E$1)</f>
        <v>-4561</v>
      </c>
      <c r="AR152" s="185" t="n">
        <f aca="false">IF(Summary!$H$2=1,VLOOKUP('ANR OK vs ML7'!A152,Curves!$C$17:$AR$273,MATCH('ANR OK vs ML7'!$AR$4,Curves!$C$8:$AQ$8,0)),0.1)</f>
        <v>0.1</v>
      </c>
      <c r="AS152" s="213" t="n">
        <f aca="false">IF(A153="","",1/(1+CHOOSE(F$3,(AR153+($I$3/10000))/2,(AR152+($I$3/10000))/2))^(2*AQ152/365.25))</f>
        <v>3.38217328799934</v>
      </c>
      <c r="AT152" s="137" t="n">
        <f aca="false">IF(A153="","",IF(AND(mthbeg&lt;=A152,mthend&gt;=A152),1,0))</f>
        <v>1</v>
      </c>
      <c r="AU152" s="137" t="n">
        <f aca="false">IF(A153="","",AO152*AT152)</f>
        <v>30</v>
      </c>
      <c r="AW152" s="195" t="e">
        <f aca="false">IF($A153="","",AL152*$E152)</f>
        <v>#NAME?</v>
      </c>
      <c r="AX152" s="195" t="e">
        <f aca="false">IF($A153="","",AM152*$E152)</f>
        <v>#N/A</v>
      </c>
      <c r="AY152" s="195" t="e">
        <f aca="false">IF($A153="","",AN152*$E152)</f>
        <v>#N/A</v>
      </c>
      <c r="BA152" s="195" t="n">
        <f aca="false">IF($A153="","",F152*Summary!$Q$7)</f>
        <v>0</v>
      </c>
      <c r="BC152" s="179" t="e">
        <f aca="false">IF(A153="","",AM152*F152)</f>
        <v>#N/A</v>
      </c>
    </row>
    <row r="153" customFormat="false" ht="12.75" hidden="false" customHeight="false" outlineLevel="0" collapsed="false">
      <c r="A153" s="196" t="n">
        <f aca="false">IF(A152&lt;mthend,EDATE(A152,1),"")</f>
        <v>41395</v>
      </c>
      <c r="B153" s="197" t="n">
        <f aca="false">IF(A153&lt;mthend,B152,"")</f>
        <v>40000</v>
      </c>
      <c r="C153" s="215"/>
      <c r="D153" s="197" t="n">
        <f aca="false">IF(A154&lt;&gt;"",B153+C153,"")</f>
        <v>40000</v>
      </c>
      <c r="E153" s="199" t="n">
        <f aca="false">IF(A154="","",IF(AND(AT153=1,$H$3=1),D153*AO153,IF($H$3=2,D153,"N/A")))</f>
        <v>1240000</v>
      </c>
      <c r="F153" s="199" t="n">
        <f aca="false">IF(A154="","",E153*AS153)</f>
        <v>4160415.9436887</v>
      </c>
      <c r="G153" s="200" t="e">
        <f aca="false">IF($A154="","",VLOOKUP($A153,Table,MATCH(G$4,Curves,0)))</f>
        <v>#N/A</v>
      </c>
      <c r="H153" s="201" t="e">
        <f aca="false">IF(A154="","",G153)</f>
        <v>#N/A</v>
      </c>
      <c r="I153" s="202"/>
      <c r="J153" s="200" t="e">
        <f aca="false">IF($A154="","",VLOOKUP($A153,Table,MATCH(J$4,Curves,0)))</f>
        <v>#N/A</v>
      </c>
      <c r="K153" s="201" t="e">
        <f aca="false">IF(A154="","",J153)</f>
        <v>#N/A</v>
      </c>
      <c r="L153" s="200" t="e">
        <f aca="false">IF($A154="","",VLOOKUP($A153,Table,MATCH(L$4,Curves,0)))</f>
        <v>#N/A</v>
      </c>
      <c r="M153" s="201" t="e">
        <f aca="false">IF(A154="","",L153)</f>
        <v>#N/A</v>
      </c>
      <c r="N153" s="203"/>
      <c r="O153" s="200" t="e">
        <f aca="false">IF(A154="","",L153+J153+G153)</f>
        <v>#N/A</v>
      </c>
      <c r="P153" s="200" t="e">
        <f aca="false">IF(A154="","",M153+K153+H153)</f>
        <v>#N/A</v>
      </c>
      <c r="Q153" s="204"/>
      <c r="R153" s="200" t="e">
        <f aca="false">IF($A154="","",VLOOKUP($A153,Table,MATCH(R$4,Curves,0)))</f>
        <v>#N/A</v>
      </c>
      <c r="S153" s="201" t="e">
        <f aca="false">IF(A154="","",R153)</f>
        <v>#N/A</v>
      </c>
      <c r="T153" s="200" t="e">
        <f aca="false">IF($A154="","",VLOOKUP($A153,Table,MATCH(T$4,Curves,0)))</f>
        <v>#N/A</v>
      </c>
      <c r="U153" s="201" t="e">
        <f aca="false">IF(A154="","",T153)</f>
        <v>#N/A</v>
      </c>
      <c r="V153" s="183" t="e">
        <f aca="false">IF($A154="","",IF(AND(MONTH(A153)&gt;3,MONTH(A153)&lt;11),(T153+R153+G153)*Summary!$T$7/(1-Summary!$T$7),(T153+R153+G153)*Summary!$U$7/(1-Summary!$U$7)))</f>
        <v>#N/A</v>
      </c>
      <c r="W153" s="200" t="e">
        <f aca="false">IF($A154="","",(T153+R153+G153+V153))</f>
        <v>#N/A</v>
      </c>
      <c r="X153" s="200" t="e">
        <f aca="false">IF($A154="","",(U153+S153+H153+V153))</f>
        <v>#N/A</v>
      </c>
      <c r="Y153" s="202"/>
      <c r="Z153" s="185" t="e">
        <f aca="false">IF($A154="","",VLOOKUP($A153,Table,MATCH(Z$4,Curves,0)))</f>
        <v>#N/A</v>
      </c>
      <c r="AA153" s="185" t="e">
        <f aca="false">IF($A154="","",VLOOKUP($A153,Table,MATCH(AA$4,Curves,0)))</f>
        <v>#N/A</v>
      </c>
      <c r="AB153" s="185" t="e">
        <f aca="false">SQRT((AA153^2*(A153-$D$3)+Z153^2*(DAY(EOMONTH(A153,0))/2))/AK153)</f>
        <v>#N/A</v>
      </c>
      <c r="AC153" s="185" t="e">
        <f aca="false">IF($A154="","",VLOOKUP($A153,Table,MATCH(AC$4,Curves,0)))</f>
        <v>#N/A</v>
      </c>
      <c r="AD153" s="185" t="e">
        <f aca="false">IF($A154="","",VLOOKUP($A153,Table,MATCH(AD$4,Curves,0)))</f>
        <v>#N/A</v>
      </c>
      <c r="AE153" s="185" t="e">
        <f aca="false">SQRT((AD153^2*(A153-$D$3)+AC153^2*(DAY(EOMONTH(A153,0))/2))/AK153)</f>
        <v>#N/A</v>
      </c>
      <c r="AF153" s="206" t="e">
        <f aca="false">((Summary!$N$7*(AA153*AD153)*(A153-$D$3))+(Summary!$M$7*Z153*AC153*(DAY(EOMONTH(A153,0))/2)))/(AK153*AB153*AE153)</f>
        <v>#N/A</v>
      </c>
      <c r="AG153" s="207" t="n">
        <f aca="false">IF($A154="","",Summary!$Q$7)</f>
        <v>0</v>
      </c>
      <c r="AH153" s="207" t="n">
        <f aca="false">IF($A154="","",IF(Summary!$R$7="Y",(VLOOKUP($A153,Summary!$AD$6:$AF$9,3)+'Escalating commodity'!C166),'Escalating commodity'!C166))</f>
        <v>0.0224952</v>
      </c>
      <c r="AI153" s="207" t="n">
        <f aca="false">IF($A154="","",AH153)</f>
        <v>0.0224952</v>
      </c>
      <c r="AJ153" s="208" t="n">
        <f aca="false">A153+DAY(EOMONTH(A153,0))/2-1</f>
        <v>41409.5</v>
      </c>
      <c r="AK153" s="209" t="n">
        <f aca="false">IF($A154="","",$A153-$E$1)</f>
        <v>-4531</v>
      </c>
      <c r="AL153" s="182" t="e">
        <f aca="false">IF($A154="","",SPRDOPT(P153,X153,AI153,0,AB153,AE153,AF153,AK153,$AJ$2,0))</f>
        <v>#NAME?</v>
      </c>
      <c r="AM153" s="210" t="e">
        <f aca="false">IF($A154="","",MAX(0,O153-W153-AI153))</f>
        <v>#N/A</v>
      </c>
      <c r="AN153" s="211" t="e">
        <f aca="false">IF($A154="","",AL153-AM153)</f>
        <v>#N/A</v>
      </c>
      <c r="AO153" s="137" t="n">
        <f aca="false">IF(A154="","",A154-A153)</f>
        <v>31</v>
      </c>
      <c r="AP153" s="212" t="n">
        <f aca="false">IF(A154="","",CHOOSE(F$3,A154+24,A153))</f>
        <v>41395</v>
      </c>
      <c r="AQ153" s="209" t="n">
        <f aca="false">IF(A154="","",AP153-$E$1)</f>
        <v>-4531</v>
      </c>
      <c r="AR153" s="185" t="n">
        <f aca="false">IF(Summary!$H$2=1,VLOOKUP('ANR OK vs ML7'!A153,Curves!$C$17:$AR$273,MATCH('ANR OK vs ML7'!$AR$4,Curves!$C$8:$AQ$8,0)),0.1)</f>
        <v>0.1</v>
      </c>
      <c r="AS153" s="213" t="n">
        <f aca="false">IF(A154="","",1/(1+CHOOSE(F$3,(AR154+($I$3/10000))/2,(AR153+($I$3/10000))/2))^(2*AQ153/365.25))</f>
        <v>3.35517414813605</v>
      </c>
      <c r="AT153" s="137" t="n">
        <f aca="false">IF(A154="","",IF(AND(mthbeg&lt;=A153,mthend&gt;=A153),1,0))</f>
        <v>1</v>
      </c>
      <c r="AU153" s="137" t="n">
        <f aca="false">IF(A154="","",AO153*AT153)</f>
        <v>31</v>
      </c>
      <c r="AW153" s="195" t="e">
        <f aca="false">IF($A154="","",AL153*$E153)</f>
        <v>#NAME?</v>
      </c>
      <c r="AX153" s="195" t="e">
        <f aca="false">IF($A154="","",AM153*$E153)</f>
        <v>#N/A</v>
      </c>
      <c r="AY153" s="195" t="e">
        <f aca="false">IF($A154="","",AN153*$E153)</f>
        <v>#N/A</v>
      </c>
      <c r="BA153" s="195" t="n">
        <f aca="false">IF($A154="","",F153*Summary!$Q$7)</f>
        <v>0</v>
      </c>
      <c r="BC153" s="179" t="e">
        <f aca="false">IF(A154="","",AM153*F153)</f>
        <v>#N/A</v>
      </c>
    </row>
    <row r="154" customFormat="false" ht="12.75" hidden="false" customHeight="false" outlineLevel="0" collapsed="false">
      <c r="A154" s="196" t="n">
        <f aca="false">IF(A153&lt;mthend,EDATE(A153,1),"")</f>
        <v>41426</v>
      </c>
      <c r="B154" s="197" t="n">
        <f aca="false">IF(A154&lt;mthend,B153,"")</f>
        <v>40000</v>
      </c>
      <c r="C154" s="215"/>
      <c r="D154" s="197" t="n">
        <f aca="false">IF(A155&lt;&gt;"",B154+C154,"")</f>
        <v>40000</v>
      </c>
      <c r="E154" s="199" t="n">
        <f aca="false">IF(A155="","",IF(AND(AT154=1,$H$3=1),D154*AO154,IF($H$3=2,D154,"N/A")))</f>
        <v>1200000</v>
      </c>
      <c r="F154" s="199" t="n">
        <f aca="false">IF(A155="","",E154*AS154)</f>
        <v>3993001.72934123</v>
      </c>
      <c r="G154" s="200" t="e">
        <f aca="false">IF($A155="","",VLOOKUP($A154,Table,MATCH(G$4,Curves,0)))</f>
        <v>#N/A</v>
      </c>
      <c r="H154" s="201" t="e">
        <f aca="false">IF(A155="","",G154)</f>
        <v>#N/A</v>
      </c>
      <c r="I154" s="202"/>
      <c r="J154" s="200" t="e">
        <f aca="false">IF($A155="","",VLOOKUP($A154,Table,MATCH(J$4,Curves,0)))</f>
        <v>#N/A</v>
      </c>
      <c r="K154" s="201" t="e">
        <f aca="false">IF(A155="","",J154)</f>
        <v>#N/A</v>
      </c>
      <c r="L154" s="200" t="e">
        <f aca="false">IF($A155="","",VLOOKUP($A154,Table,MATCH(L$4,Curves,0)))</f>
        <v>#N/A</v>
      </c>
      <c r="M154" s="201" t="e">
        <f aca="false">IF(A155="","",L154)</f>
        <v>#N/A</v>
      </c>
      <c r="N154" s="203"/>
      <c r="O154" s="200" t="e">
        <f aca="false">IF(A155="","",L154+J154+G154)</f>
        <v>#N/A</v>
      </c>
      <c r="P154" s="200" t="e">
        <f aca="false">IF(A155="","",M154+K154+H154)</f>
        <v>#N/A</v>
      </c>
      <c r="Q154" s="204"/>
      <c r="R154" s="200" t="e">
        <f aca="false">IF($A155="","",VLOOKUP($A154,Table,MATCH(R$4,Curves,0)))</f>
        <v>#N/A</v>
      </c>
      <c r="S154" s="201" t="e">
        <f aca="false">IF(A155="","",R154)</f>
        <v>#N/A</v>
      </c>
      <c r="T154" s="200" t="e">
        <f aca="false">IF($A155="","",VLOOKUP($A154,Table,MATCH(T$4,Curves,0)))</f>
        <v>#N/A</v>
      </c>
      <c r="U154" s="201" t="e">
        <f aca="false">IF(A155="","",T154)</f>
        <v>#N/A</v>
      </c>
      <c r="V154" s="183" t="e">
        <f aca="false">IF($A155="","",IF(AND(MONTH(A154)&gt;3,MONTH(A154)&lt;11),(T154+R154+G154)*Summary!$T$7/(1-Summary!$T$7),(T154+R154+G154)*Summary!$U$7/(1-Summary!$U$7)))</f>
        <v>#N/A</v>
      </c>
      <c r="W154" s="200" t="e">
        <f aca="false">IF($A155="","",(T154+R154+G154+V154))</f>
        <v>#N/A</v>
      </c>
      <c r="X154" s="200" t="e">
        <f aca="false">IF($A155="","",(U154+S154+H154+V154))</f>
        <v>#N/A</v>
      </c>
      <c r="Y154" s="202"/>
      <c r="Z154" s="185" t="e">
        <f aca="false">IF($A155="","",VLOOKUP($A154,Table,MATCH(Z$4,Curves,0)))</f>
        <v>#N/A</v>
      </c>
      <c r="AA154" s="185" t="e">
        <f aca="false">IF($A155="","",VLOOKUP($A154,Table,MATCH(AA$4,Curves,0)))</f>
        <v>#N/A</v>
      </c>
      <c r="AB154" s="185" t="e">
        <f aca="false">SQRT((AA154^2*(A154-$D$3)+Z154^2*(DAY(EOMONTH(A154,0))/2))/AK154)</f>
        <v>#N/A</v>
      </c>
      <c r="AC154" s="185" t="e">
        <f aca="false">IF($A155="","",VLOOKUP($A154,Table,MATCH(AC$4,Curves,0)))</f>
        <v>#N/A</v>
      </c>
      <c r="AD154" s="185" t="e">
        <f aca="false">IF($A155="","",VLOOKUP($A154,Table,MATCH(AD$4,Curves,0)))</f>
        <v>#N/A</v>
      </c>
      <c r="AE154" s="185" t="e">
        <f aca="false">SQRT((AD154^2*(A154-$D$3)+AC154^2*(DAY(EOMONTH(A154,0))/2))/AK154)</f>
        <v>#N/A</v>
      </c>
      <c r="AF154" s="206" t="e">
        <f aca="false">((Summary!$N$7*(AA154*AD154)*(A154-$D$3))+(Summary!$M$7*Z154*AC154*(DAY(EOMONTH(A154,0))/2)))/(AK154*AB154*AE154)</f>
        <v>#N/A</v>
      </c>
      <c r="AG154" s="207" t="n">
        <f aca="false">IF($A155="","",Summary!$Q$7)</f>
        <v>0</v>
      </c>
      <c r="AH154" s="207" t="n">
        <f aca="false">IF($A155="","",IF(Summary!$R$7="Y",(VLOOKUP($A154,Summary!$AD$6:$AF$9,3)+'Escalating commodity'!C167),'Escalating commodity'!C167))</f>
        <v>0.0224952</v>
      </c>
      <c r="AI154" s="207" t="n">
        <f aca="false">IF($A155="","",AH154)</f>
        <v>0.0224952</v>
      </c>
      <c r="AJ154" s="208" t="n">
        <f aca="false">A154+DAY(EOMONTH(A154,0))/2-1</f>
        <v>41440</v>
      </c>
      <c r="AK154" s="209" t="n">
        <f aca="false">IF($A155="","",$A154-$E$1)</f>
        <v>-4500</v>
      </c>
      <c r="AL154" s="182" t="e">
        <f aca="false">IF($A155="","",SPRDOPT(P154,X154,AI154,0,AB154,AE154,AF154,AK154,$AJ$2,0))</f>
        <v>#NAME?</v>
      </c>
      <c r="AM154" s="210" t="e">
        <f aca="false">IF($A155="","",MAX(0,O154-W154-AI154))</f>
        <v>#N/A</v>
      </c>
      <c r="AN154" s="211" t="e">
        <f aca="false">IF($A155="","",AL154-AM154)</f>
        <v>#N/A</v>
      </c>
      <c r="AO154" s="137" t="n">
        <f aca="false">IF(A155="","",A155-A154)</f>
        <v>30</v>
      </c>
      <c r="AP154" s="212" t="n">
        <f aca="false">IF(A155="","",CHOOSE(F$3,A155+24,A154))</f>
        <v>41426</v>
      </c>
      <c r="AQ154" s="209" t="n">
        <f aca="false">IF(A155="","",AP154-$E$1)</f>
        <v>-4500</v>
      </c>
      <c r="AR154" s="185" t="n">
        <f aca="false">IF(Summary!$H$2=1,VLOOKUP('ANR OK vs ML7'!A154,Curves!$C$17:$AR$273,MATCH('ANR OK vs ML7'!$AR$4,Curves!$C$8:$AQ$8,0)),0.1)</f>
        <v>0.1</v>
      </c>
      <c r="AS154" s="213" t="n">
        <f aca="false">IF(A155="","",1/(1+CHOOSE(F$3,(AR155+($I$3/10000))/2,(AR154+($I$3/10000))/2))^(2*AQ154/365.25))</f>
        <v>3.32750144111769</v>
      </c>
      <c r="AT154" s="137" t="n">
        <f aca="false">IF(A155="","",IF(AND(mthbeg&lt;=A154,mthend&gt;=A154),1,0))</f>
        <v>1</v>
      </c>
      <c r="AU154" s="137" t="n">
        <f aca="false">IF(A155="","",AO154*AT154)</f>
        <v>30</v>
      </c>
      <c r="AW154" s="195" t="e">
        <f aca="false">IF($A155="","",AL154*$E154)</f>
        <v>#NAME?</v>
      </c>
      <c r="AX154" s="195" t="e">
        <f aca="false">IF($A155="","",AM154*$E154)</f>
        <v>#N/A</v>
      </c>
      <c r="AY154" s="195" t="e">
        <f aca="false">IF($A155="","",AN154*$E154)</f>
        <v>#N/A</v>
      </c>
      <c r="BA154" s="195" t="n">
        <f aca="false">IF($A155="","",F154*Summary!$Q$7)</f>
        <v>0</v>
      </c>
      <c r="BC154" s="179" t="e">
        <f aca="false">IF(A155="","",AM154*F154)</f>
        <v>#N/A</v>
      </c>
    </row>
    <row r="155" customFormat="false" ht="12.75" hidden="false" customHeight="false" outlineLevel="0" collapsed="false">
      <c r="A155" s="196" t="n">
        <f aca="false">IF(A154&lt;mthend,EDATE(A154,1),"")</f>
        <v>41456</v>
      </c>
      <c r="B155" s="197" t="n">
        <f aca="false">IF(A155&lt;mthend,B154,"")</f>
        <v>40000</v>
      </c>
      <c r="C155" s="215"/>
      <c r="D155" s="197" t="n">
        <f aca="false">IF(A156&lt;&gt;"",B155+C155,"")</f>
        <v>40000</v>
      </c>
      <c r="E155" s="199" t="n">
        <f aca="false">IF(A156="","",IF(AND(AT155=1,$H$3=1),D155*AO155,IF($H$3=2,D155,"N/A")))</f>
        <v>1240000</v>
      </c>
      <c r="F155" s="199" t="n">
        <f aca="false">IF(A156="","",E155*AS155)</f>
        <v>4093164.03077093</v>
      </c>
      <c r="G155" s="200" t="e">
        <f aca="false">IF($A156="","",VLOOKUP($A155,Table,MATCH(G$4,Curves,0)))</f>
        <v>#N/A</v>
      </c>
      <c r="H155" s="201" t="e">
        <f aca="false">IF(A156="","",G155)</f>
        <v>#N/A</v>
      </c>
      <c r="I155" s="202"/>
      <c r="J155" s="200" t="e">
        <f aca="false">IF($A156="","",VLOOKUP($A155,Table,MATCH(J$4,Curves,0)))</f>
        <v>#N/A</v>
      </c>
      <c r="K155" s="201" t="e">
        <f aca="false">IF(A156="","",J155)</f>
        <v>#N/A</v>
      </c>
      <c r="L155" s="200" t="e">
        <f aca="false">IF($A156="","",VLOOKUP($A155,Table,MATCH(L$4,Curves,0)))</f>
        <v>#N/A</v>
      </c>
      <c r="M155" s="201" t="e">
        <f aca="false">IF(A156="","",L155)</f>
        <v>#N/A</v>
      </c>
      <c r="N155" s="203"/>
      <c r="O155" s="200" t="e">
        <f aca="false">IF(A156="","",L155+J155+G155)</f>
        <v>#N/A</v>
      </c>
      <c r="P155" s="200" t="e">
        <f aca="false">IF(A156="","",M155+K155+H155)</f>
        <v>#N/A</v>
      </c>
      <c r="Q155" s="204"/>
      <c r="R155" s="200" t="e">
        <f aca="false">IF($A156="","",VLOOKUP($A155,Table,MATCH(R$4,Curves,0)))</f>
        <v>#N/A</v>
      </c>
      <c r="S155" s="201" t="e">
        <f aca="false">IF(A156="","",R155)</f>
        <v>#N/A</v>
      </c>
      <c r="T155" s="200" t="e">
        <f aca="false">IF($A156="","",VLOOKUP($A155,Table,MATCH(T$4,Curves,0)))</f>
        <v>#N/A</v>
      </c>
      <c r="U155" s="201" t="e">
        <f aca="false">IF(A156="","",T155)</f>
        <v>#N/A</v>
      </c>
      <c r="V155" s="183" t="e">
        <f aca="false">IF($A156="","",IF(AND(MONTH(A155)&gt;3,MONTH(A155)&lt;11),(T155+R155+G155)*Summary!$T$7/(1-Summary!$T$7),(T155+R155+G155)*Summary!$U$7/(1-Summary!$U$7)))</f>
        <v>#N/A</v>
      </c>
      <c r="W155" s="200" t="e">
        <f aca="false">IF($A156="","",(T155+R155+G155+V155))</f>
        <v>#N/A</v>
      </c>
      <c r="X155" s="200" t="e">
        <f aca="false">IF($A156="","",(U155+S155+H155+V155))</f>
        <v>#N/A</v>
      </c>
      <c r="Y155" s="202"/>
      <c r="Z155" s="185" t="e">
        <f aca="false">IF($A156="","",VLOOKUP($A155,Table,MATCH(Z$4,Curves,0)))</f>
        <v>#N/A</v>
      </c>
      <c r="AA155" s="185" t="e">
        <f aca="false">IF($A156="","",VLOOKUP($A155,Table,MATCH(AA$4,Curves,0)))</f>
        <v>#N/A</v>
      </c>
      <c r="AB155" s="185" t="e">
        <f aca="false">SQRT((AA155^2*(A155-$D$3)+Z155^2*(DAY(EOMONTH(A155,0))/2))/AK155)</f>
        <v>#N/A</v>
      </c>
      <c r="AC155" s="185" t="e">
        <f aca="false">IF($A156="","",VLOOKUP($A155,Table,MATCH(AC$4,Curves,0)))</f>
        <v>#N/A</v>
      </c>
      <c r="AD155" s="185" t="e">
        <f aca="false">IF($A156="","",VLOOKUP($A155,Table,MATCH(AD$4,Curves,0)))</f>
        <v>#N/A</v>
      </c>
      <c r="AE155" s="185" t="e">
        <f aca="false">SQRT((AD155^2*(A155-$D$3)+AC155^2*(DAY(EOMONTH(A155,0))/2))/AK155)</f>
        <v>#N/A</v>
      </c>
      <c r="AF155" s="206" t="e">
        <f aca="false">((Summary!$N$7*(AA155*AD155)*(A155-$D$3))+(Summary!$M$7*Z155*AC155*(DAY(EOMONTH(A155,0))/2)))/(AK155*AB155*AE155)</f>
        <v>#N/A</v>
      </c>
      <c r="AG155" s="207" t="n">
        <f aca="false">IF($A156="","",Summary!$Q$7)</f>
        <v>0</v>
      </c>
      <c r="AH155" s="207" t="n">
        <f aca="false">IF($A156="","",IF(Summary!$R$7="Y",(VLOOKUP($A155,Summary!$AD$6:$AF$9,3)+'Escalating commodity'!C168),'Escalating commodity'!C168))</f>
        <v>0.0224952</v>
      </c>
      <c r="AI155" s="207" t="n">
        <f aca="false">IF($A156="","",AH155)</f>
        <v>0.0224952</v>
      </c>
      <c r="AJ155" s="208" t="n">
        <f aca="false">A155+DAY(EOMONTH(A155,0))/2-1</f>
        <v>41470.5</v>
      </c>
      <c r="AK155" s="209" t="n">
        <f aca="false">IF($A156="","",$A155-$E$1)</f>
        <v>-4470</v>
      </c>
      <c r="AL155" s="182" t="e">
        <f aca="false">IF($A156="","",SPRDOPT(P155,X155,AI155,0,AB155,AE155,AF155,AK155,$AJ$2,0))</f>
        <v>#NAME?</v>
      </c>
      <c r="AM155" s="210" t="e">
        <f aca="false">IF($A156="","",MAX(0,O155-W155-AI155))</f>
        <v>#N/A</v>
      </c>
      <c r="AN155" s="211" t="e">
        <f aca="false">IF($A156="","",AL155-AM155)</f>
        <v>#N/A</v>
      </c>
      <c r="AO155" s="137" t="n">
        <f aca="false">IF(A156="","",A156-A155)</f>
        <v>31</v>
      </c>
      <c r="AP155" s="212" t="n">
        <f aca="false">IF(A156="","",CHOOSE(F$3,A156+24,A155))</f>
        <v>41456</v>
      </c>
      <c r="AQ155" s="209" t="n">
        <f aca="false">IF(A156="","",AP155-$E$1)</f>
        <v>-4470</v>
      </c>
      <c r="AR155" s="185" t="n">
        <f aca="false">IF(Summary!$H$2=1,VLOOKUP('ANR OK vs ML7'!A155,Curves!$C$17:$AR$273,MATCH('ANR OK vs ML7'!$AR$4,Curves!$C$8:$AQ$8,0)),0.1)</f>
        <v>0.1</v>
      </c>
      <c r="AS155" s="213" t="n">
        <f aca="false">IF(A156="","",1/(1+CHOOSE(F$3,(AR156+($I$3/10000))/2,(AR155+($I$3/10000))/2))^(2*AQ155/365.25))</f>
        <v>3.30093873449268</v>
      </c>
      <c r="AT155" s="137" t="n">
        <f aca="false">IF(A156="","",IF(AND(mthbeg&lt;=A155,mthend&gt;=A155),1,0))</f>
        <v>1</v>
      </c>
      <c r="AU155" s="137" t="n">
        <f aca="false">IF(A156="","",AO155*AT155)</f>
        <v>31</v>
      </c>
      <c r="AW155" s="195" t="e">
        <f aca="false">IF($A156="","",AL155*$E155)</f>
        <v>#NAME?</v>
      </c>
      <c r="AX155" s="195" t="e">
        <f aca="false">IF($A156="","",AM155*$E155)</f>
        <v>#N/A</v>
      </c>
      <c r="AY155" s="195" t="e">
        <f aca="false">IF($A156="","",AN155*$E155)</f>
        <v>#N/A</v>
      </c>
      <c r="BA155" s="195" t="n">
        <f aca="false">IF($A156="","",F155*Summary!$Q$7)</f>
        <v>0</v>
      </c>
      <c r="BC155" s="179" t="e">
        <f aca="false">IF(A156="","",AM155*F155)</f>
        <v>#N/A</v>
      </c>
    </row>
    <row r="156" customFormat="false" ht="12.75" hidden="false" customHeight="false" outlineLevel="0" collapsed="false">
      <c r="A156" s="196" t="n">
        <f aca="false">IF(A155&lt;mthend,EDATE(A155,1),"")</f>
        <v>41487</v>
      </c>
      <c r="B156" s="197" t="n">
        <f aca="false">IF(A156&lt;mthend,B155,"")</f>
        <v>40000</v>
      </c>
      <c r="C156" s="215"/>
      <c r="D156" s="197" t="n">
        <f aca="false">IF(A157&lt;&gt;"",B156+C156,"")</f>
        <v>40000</v>
      </c>
      <c r="E156" s="199" t="n">
        <f aca="false">IF(A157="","",IF(AND(AT156=1,$H$3=1),D156*AO156,IF($H$3=2,D156,"N/A")))</f>
        <v>1240000</v>
      </c>
      <c r="F156" s="199" t="n">
        <f aca="false">IF(A157="","",E156*AS156)</f>
        <v>4059404.55242476</v>
      </c>
      <c r="G156" s="200" t="e">
        <f aca="false">IF($A157="","",VLOOKUP($A156,Table,MATCH(G$4,Curves,0)))</f>
        <v>#N/A</v>
      </c>
      <c r="H156" s="201" t="e">
        <f aca="false">IF(A157="","",G156)</f>
        <v>#N/A</v>
      </c>
      <c r="I156" s="202"/>
      <c r="J156" s="200" t="e">
        <f aca="false">IF($A157="","",VLOOKUP($A156,Table,MATCH(J$4,Curves,0)))</f>
        <v>#N/A</v>
      </c>
      <c r="K156" s="201" t="e">
        <f aca="false">IF(A157="","",J156)</f>
        <v>#N/A</v>
      </c>
      <c r="L156" s="200" t="e">
        <f aca="false">IF($A157="","",VLOOKUP($A156,Table,MATCH(L$4,Curves,0)))</f>
        <v>#N/A</v>
      </c>
      <c r="M156" s="201" t="e">
        <f aca="false">IF(A157="","",L156)</f>
        <v>#N/A</v>
      </c>
      <c r="N156" s="203"/>
      <c r="O156" s="200" t="e">
        <f aca="false">IF(A157="","",L156+J156+G156)</f>
        <v>#N/A</v>
      </c>
      <c r="P156" s="200" t="e">
        <f aca="false">IF(A157="","",M156+K156+H156)</f>
        <v>#N/A</v>
      </c>
      <c r="Q156" s="204"/>
      <c r="R156" s="200" t="e">
        <f aca="false">IF($A157="","",VLOOKUP($A156,Table,MATCH(R$4,Curves,0)))</f>
        <v>#N/A</v>
      </c>
      <c r="S156" s="201" t="e">
        <f aca="false">IF(A157="","",R156)</f>
        <v>#N/A</v>
      </c>
      <c r="T156" s="200" t="e">
        <f aca="false">IF($A157="","",VLOOKUP($A156,Table,MATCH(T$4,Curves,0)))</f>
        <v>#N/A</v>
      </c>
      <c r="U156" s="201" t="e">
        <f aca="false">IF(A157="","",T156)</f>
        <v>#N/A</v>
      </c>
      <c r="V156" s="183" t="e">
        <f aca="false">IF($A157="","",IF(AND(MONTH(A156)&gt;3,MONTH(A156)&lt;11),(T156+R156+G156)*Summary!$T$7/(1-Summary!$T$7),(T156+R156+G156)*Summary!$U$7/(1-Summary!$U$7)))</f>
        <v>#N/A</v>
      </c>
      <c r="W156" s="200" t="e">
        <f aca="false">IF($A157="","",(T156+R156+G156+V156))</f>
        <v>#N/A</v>
      </c>
      <c r="X156" s="200" t="e">
        <f aca="false">IF($A157="","",(U156+S156+H156+V156))</f>
        <v>#N/A</v>
      </c>
      <c r="Y156" s="202"/>
      <c r="Z156" s="185" t="e">
        <f aca="false">IF($A157="","",VLOOKUP($A156,Table,MATCH(Z$4,Curves,0)))</f>
        <v>#N/A</v>
      </c>
      <c r="AA156" s="185" t="e">
        <f aca="false">IF($A157="","",VLOOKUP($A156,Table,MATCH(AA$4,Curves,0)))</f>
        <v>#N/A</v>
      </c>
      <c r="AB156" s="185" t="e">
        <f aca="false">SQRT((AA156^2*(A156-$D$3)+Z156^2*(DAY(EOMONTH(A156,0))/2))/AK156)</f>
        <v>#N/A</v>
      </c>
      <c r="AC156" s="185" t="e">
        <f aca="false">IF($A157="","",VLOOKUP($A156,Table,MATCH(AC$4,Curves,0)))</f>
        <v>#N/A</v>
      </c>
      <c r="AD156" s="185" t="e">
        <f aca="false">IF($A157="","",VLOOKUP($A156,Table,MATCH(AD$4,Curves,0)))</f>
        <v>#N/A</v>
      </c>
      <c r="AE156" s="185" t="e">
        <f aca="false">SQRT((AD156^2*(A156-$D$3)+AC156^2*(DAY(EOMONTH(A156,0))/2))/AK156)</f>
        <v>#N/A</v>
      </c>
      <c r="AF156" s="206" t="e">
        <f aca="false">((Summary!$N$7*(AA156*AD156)*(A156-$D$3))+(Summary!$M$7*Z156*AC156*(DAY(EOMONTH(A156,0))/2)))/(AK156*AB156*AE156)</f>
        <v>#N/A</v>
      </c>
      <c r="AG156" s="207" t="n">
        <f aca="false">IF($A157="","",Summary!$Q$7)</f>
        <v>0</v>
      </c>
      <c r="AH156" s="207" t="n">
        <f aca="false">IF($A157="","",IF(Summary!$R$7="Y",(VLOOKUP($A156,Summary!$AD$6:$AF$9,3)+'Escalating commodity'!C169),'Escalating commodity'!C169))</f>
        <v>0.0224952</v>
      </c>
      <c r="AI156" s="207" t="n">
        <f aca="false">IF($A157="","",AH156)</f>
        <v>0.0224952</v>
      </c>
      <c r="AJ156" s="208" t="n">
        <f aca="false">A156+DAY(EOMONTH(A156,0))/2-1</f>
        <v>41501.5</v>
      </c>
      <c r="AK156" s="209" t="n">
        <f aca="false">IF($A157="","",$A156-$E$1)</f>
        <v>-4439</v>
      </c>
      <c r="AL156" s="182" t="e">
        <f aca="false">IF($A157="","",SPRDOPT(P156,X156,AI156,0,AB156,AE156,AF156,AK156,$AJ$2,0))</f>
        <v>#NAME?</v>
      </c>
      <c r="AM156" s="210" t="e">
        <f aca="false">IF($A157="","",MAX(0,O156-W156-AI156))</f>
        <v>#N/A</v>
      </c>
      <c r="AN156" s="211" t="e">
        <f aca="false">IF($A157="","",AL156-AM156)</f>
        <v>#N/A</v>
      </c>
      <c r="AO156" s="137" t="n">
        <f aca="false">IF(A157="","",A157-A156)</f>
        <v>31</v>
      </c>
      <c r="AP156" s="212" t="n">
        <f aca="false">IF(A157="","",CHOOSE(F$3,A157+24,A156))</f>
        <v>41487</v>
      </c>
      <c r="AQ156" s="209" t="n">
        <f aca="false">IF(A157="","",AP156-$E$1)</f>
        <v>-4439</v>
      </c>
      <c r="AR156" s="185" t="n">
        <f aca="false">IF(Summary!$H$2=1,VLOOKUP('ANR OK vs ML7'!A156,Curves!$C$17:$AR$273,MATCH('ANR OK vs ML7'!$AR$4,Curves!$C$8:$AQ$8,0)),0.1)</f>
        <v>0.1</v>
      </c>
      <c r="AS156" s="213" t="n">
        <f aca="false">IF(A157="","",1/(1+CHOOSE(F$3,(AR157+($I$3/10000))/2,(AR156+($I$3/10000))/2))^(2*AQ156/365.25))</f>
        <v>3.27371334872965</v>
      </c>
      <c r="AT156" s="137" t="n">
        <f aca="false">IF(A157="","",IF(AND(mthbeg&lt;=A156,mthend&gt;=A156),1,0))</f>
        <v>1</v>
      </c>
      <c r="AU156" s="137" t="n">
        <f aca="false">IF(A157="","",AO156*AT156)</f>
        <v>31</v>
      </c>
      <c r="AW156" s="195" t="e">
        <f aca="false">IF($A157="","",AL156*$E156)</f>
        <v>#NAME?</v>
      </c>
      <c r="AX156" s="195" t="e">
        <f aca="false">IF($A157="","",AM156*$E156)</f>
        <v>#N/A</v>
      </c>
      <c r="AY156" s="195" t="e">
        <f aca="false">IF($A157="","",AN156*$E156)</f>
        <v>#N/A</v>
      </c>
      <c r="BA156" s="195" t="n">
        <f aca="false">IF($A157="","",F156*Summary!$Q$7)</f>
        <v>0</v>
      </c>
      <c r="BC156" s="179" t="e">
        <f aca="false">IF(A157="","",AM156*F156)</f>
        <v>#N/A</v>
      </c>
    </row>
    <row r="157" customFormat="false" ht="12.75" hidden="false" customHeight="false" outlineLevel="0" collapsed="false">
      <c r="A157" s="196" t="n">
        <f aca="false">IF(A156&lt;mthend,EDATE(A156,1),"")</f>
        <v>41518</v>
      </c>
      <c r="B157" s="197" t="n">
        <f aca="false">IF(A157&lt;mthend,B156,"")</f>
        <v>40000</v>
      </c>
      <c r="C157" s="215"/>
      <c r="D157" s="197" t="n">
        <f aca="false">IF(A158&lt;&gt;"",B157+C157,"")</f>
        <v>40000</v>
      </c>
      <c r="E157" s="199" t="n">
        <f aca="false">IF(A158="","",IF(AND(AT157=1,$H$3=1),D157*AO157,IF($H$3=2,D157,"N/A")))</f>
        <v>1200000</v>
      </c>
      <c r="F157" s="199" t="n">
        <f aca="false">IF(A158="","",E157*AS157)</f>
        <v>3896055.01404659</v>
      </c>
      <c r="G157" s="200" t="e">
        <f aca="false">IF($A158="","",VLOOKUP($A157,Table,MATCH(G$4,Curves,0)))</f>
        <v>#N/A</v>
      </c>
      <c r="H157" s="201" t="e">
        <f aca="false">IF(A158="","",G157)</f>
        <v>#N/A</v>
      </c>
      <c r="I157" s="202"/>
      <c r="J157" s="200" t="e">
        <f aca="false">IF($A158="","",VLOOKUP($A157,Table,MATCH(J$4,Curves,0)))</f>
        <v>#N/A</v>
      </c>
      <c r="K157" s="201" t="e">
        <f aca="false">IF(A158="","",J157)</f>
        <v>#N/A</v>
      </c>
      <c r="L157" s="200" t="e">
        <f aca="false">IF($A158="","",VLOOKUP($A157,Table,MATCH(L$4,Curves,0)))</f>
        <v>#N/A</v>
      </c>
      <c r="M157" s="201" t="e">
        <f aca="false">IF(A158="","",L157)</f>
        <v>#N/A</v>
      </c>
      <c r="N157" s="203"/>
      <c r="O157" s="200" t="e">
        <f aca="false">IF(A158="","",L157+J157+G157)</f>
        <v>#N/A</v>
      </c>
      <c r="P157" s="200" t="e">
        <f aca="false">IF(A158="","",M157+K157+H157)</f>
        <v>#N/A</v>
      </c>
      <c r="Q157" s="204"/>
      <c r="R157" s="200" t="e">
        <f aca="false">IF($A158="","",VLOOKUP($A157,Table,MATCH(R$4,Curves,0)))</f>
        <v>#N/A</v>
      </c>
      <c r="S157" s="201" t="e">
        <f aca="false">IF(A158="","",R157)</f>
        <v>#N/A</v>
      </c>
      <c r="T157" s="200" t="e">
        <f aca="false">IF($A158="","",VLOOKUP($A157,Table,MATCH(T$4,Curves,0)))</f>
        <v>#N/A</v>
      </c>
      <c r="U157" s="201" t="e">
        <f aca="false">IF(A158="","",T157)</f>
        <v>#N/A</v>
      </c>
      <c r="V157" s="183" t="e">
        <f aca="false">IF($A158="","",IF(AND(MONTH(A157)&gt;3,MONTH(A157)&lt;11),(T157+R157+G157)*Summary!$T$7/(1-Summary!$T$7),(T157+R157+G157)*Summary!$U$7/(1-Summary!$U$7)))</f>
        <v>#N/A</v>
      </c>
      <c r="W157" s="200" t="e">
        <f aca="false">IF($A158="","",(T157+R157+G157+V157))</f>
        <v>#N/A</v>
      </c>
      <c r="X157" s="200" t="e">
        <f aca="false">IF($A158="","",(U157+S157+H157+V157))</f>
        <v>#N/A</v>
      </c>
      <c r="Y157" s="202"/>
      <c r="Z157" s="185" t="e">
        <f aca="false">IF($A158="","",VLOOKUP($A157,Table,MATCH(Z$4,Curves,0)))</f>
        <v>#N/A</v>
      </c>
      <c r="AA157" s="185" t="e">
        <f aca="false">IF($A158="","",VLOOKUP($A157,Table,MATCH(AA$4,Curves,0)))</f>
        <v>#N/A</v>
      </c>
      <c r="AB157" s="185" t="e">
        <f aca="false">SQRT((AA157^2*(A157-$D$3)+Z157^2*(DAY(EOMONTH(A157,0))/2))/AK157)</f>
        <v>#N/A</v>
      </c>
      <c r="AC157" s="185" t="e">
        <f aca="false">IF($A158="","",VLOOKUP($A157,Table,MATCH(AC$4,Curves,0)))</f>
        <v>#N/A</v>
      </c>
      <c r="AD157" s="185" t="e">
        <f aca="false">IF($A158="","",VLOOKUP($A157,Table,MATCH(AD$4,Curves,0)))</f>
        <v>#N/A</v>
      </c>
      <c r="AE157" s="185" t="e">
        <f aca="false">SQRT((AD157^2*(A157-$D$3)+AC157^2*(DAY(EOMONTH(A157,0))/2))/AK157)</f>
        <v>#N/A</v>
      </c>
      <c r="AF157" s="206" t="e">
        <f aca="false">((Summary!$N$7*(AA157*AD157)*(A157-$D$3))+(Summary!$M$7*Z157*AC157*(DAY(EOMONTH(A157,0))/2)))/(AK157*AB157*AE157)</f>
        <v>#N/A</v>
      </c>
      <c r="AG157" s="207" t="n">
        <f aca="false">IF($A158="","",Summary!$Q$7)</f>
        <v>0</v>
      </c>
      <c r="AH157" s="207" t="n">
        <f aca="false">IF($A158="","",IF(Summary!$R$7="Y",(VLOOKUP($A157,Summary!$AD$6:$AF$9,3)+'Escalating commodity'!C170),'Escalating commodity'!C170))</f>
        <v>0.0224952</v>
      </c>
      <c r="AI157" s="207" t="n">
        <f aca="false">IF($A158="","",AH157)</f>
        <v>0.0224952</v>
      </c>
      <c r="AJ157" s="208" t="n">
        <f aca="false">A157+DAY(EOMONTH(A157,0))/2-1</f>
        <v>41532</v>
      </c>
      <c r="AK157" s="209" t="n">
        <f aca="false">IF($A158="","",$A157-$E$1)</f>
        <v>-4408</v>
      </c>
      <c r="AL157" s="182" t="e">
        <f aca="false">IF($A158="","",SPRDOPT(P157,X157,AI157,0,AB157,AE157,AF157,AK157,$AJ$2,0))</f>
        <v>#NAME?</v>
      </c>
      <c r="AM157" s="210" t="e">
        <f aca="false">IF($A158="","",MAX(0,O157-W157-AI157))</f>
        <v>#N/A</v>
      </c>
      <c r="AN157" s="211" t="e">
        <f aca="false">IF($A158="","",AL157-AM157)</f>
        <v>#N/A</v>
      </c>
      <c r="AO157" s="137" t="n">
        <f aca="false">IF(A158="","",A158-A157)</f>
        <v>30</v>
      </c>
      <c r="AP157" s="212" t="n">
        <f aca="false">IF(A158="","",CHOOSE(F$3,A158+24,A157))</f>
        <v>41518</v>
      </c>
      <c r="AQ157" s="209" t="n">
        <f aca="false">IF(A158="","",AP157-$E$1)</f>
        <v>-4408</v>
      </c>
      <c r="AR157" s="185" t="n">
        <f aca="false">IF(Summary!$H$2=1,VLOOKUP('ANR OK vs ML7'!A157,Curves!$C$17:$AR$273,MATCH('ANR OK vs ML7'!$AR$4,Curves!$C$8:$AQ$8,0)),0.1)</f>
        <v>0.1</v>
      </c>
      <c r="AS157" s="213" t="n">
        <f aca="false">IF(A158="","",1/(1+CHOOSE(F$3,(AR158+($I$3/10000))/2,(AR157+($I$3/10000))/2))^(2*AQ157/365.25))</f>
        <v>3.2467125117055</v>
      </c>
      <c r="AT157" s="137" t="n">
        <f aca="false">IF(A158="","",IF(AND(mthbeg&lt;=A157,mthend&gt;=A157),1,0))</f>
        <v>1</v>
      </c>
      <c r="AU157" s="137" t="n">
        <f aca="false">IF(A158="","",AO157*AT157)</f>
        <v>30</v>
      </c>
      <c r="AW157" s="195" t="e">
        <f aca="false">IF($A158="","",AL157*$E157)</f>
        <v>#NAME?</v>
      </c>
      <c r="AX157" s="195" t="e">
        <f aca="false">IF($A158="","",AM157*$E157)</f>
        <v>#N/A</v>
      </c>
      <c r="AY157" s="195" t="e">
        <f aca="false">IF($A158="","",AN157*$E157)</f>
        <v>#N/A</v>
      </c>
      <c r="BA157" s="195" t="n">
        <f aca="false">IF($A158="","",F157*Summary!$Q$7)</f>
        <v>0</v>
      </c>
      <c r="BC157" s="179" t="e">
        <f aca="false">IF(A158="","",AM157*F157)</f>
        <v>#N/A</v>
      </c>
    </row>
    <row r="158" customFormat="false" ht="12.75" hidden="false" customHeight="false" outlineLevel="0" collapsed="false">
      <c r="A158" s="196" t="n">
        <f aca="false">IF(A157&lt;mthend,EDATE(A157,1),"")</f>
        <v>41548</v>
      </c>
      <c r="B158" s="197" t="n">
        <f aca="false">IF(A158&lt;mthend,B157,"")</f>
        <v>40000</v>
      </c>
      <c r="C158" s="215"/>
      <c r="D158" s="197" t="n">
        <f aca="false">IF(A159&lt;&gt;"",B158+C158,"")</f>
        <v>40000</v>
      </c>
      <c r="E158" s="199" t="n">
        <f aca="false">IF(A159="","",IF(AND(AT158=1,$H$3=1),D158*AO158,IF($H$3=2,D158,"N/A")))</f>
        <v>1240000</v>
      </c>
      <c r="F158" s="199" t="n">
        <f aca="false">IF(A159="","",E158*AS158)</f>
        <v>3993785.45924928</v>
      </c>
      <c r="G158" s="200" t="e">
        <f aca="false">IF($A159="","",VLOOKUP($A158,Table,MATCH(G$4,Curves,0)))</f>
        <v>#N/A</v>
      </c>
      <c r="H158" s="201" t="e">
        <f aca="false">IF(A159="","",G158)</f>
        <v>#N/A</v>
      </c>
      <c r="I158" s="202"/>
      <c r="J158" s="200" t="e">
        <f aca="false">IF($A159="","",VLOOKUP($A158,Table,MATCH(J$4,Curves,0)))</f>
        <v>#N/A</v>
      </c>
      <c r="K158" s="201" t="e">
        <f aca="false">IF(A159="","",J158)</f>
        <v>#N/A</v>
      </c>
      <c r="L158" s="200" t="e">
        <f aca="false">IF($A159="","",VLOOKUP($A158,Table,MATCH(L$4,Curves,0)))</f>
        <v>#N/A</v>
      </c>
      <c r="M158" s="201" t="e">
        <f aca="false">IF(A159="","",L158)</f>
        <v>#N/A</v>
      </c>
      <c r="N158" s="203"/>
      <c r="O158" s="200" t="e">
        <f aca="false">IF(A159="","",L158+J158+G158)</f>
        <v>#N/A</v>
      </c>
      <c r="P158" s="200" t="e">
        <f aca="false">IF(A159="","",M158+K158+H158)</f>
        <v>#N/A</v>
      </c>
      <c r="Q158" s="204"/>
      <c r="R158" s="200" t="e">
        <f aca="false">IF($A159="","",VLOOKUP($A158,Table,MATCH(R$4,Curves,0)))</f>
        <v>#N/A</v>
      </c>
      <c r="S158" s="201" t="e">
        <f aca="false">IF(A159="","",R158)</f>
        <v>#N/A</v>
      </c>
      <c r="T158" s="200" t="e">
        <f aca="false">IF($A159="","",VLOOKUP($A158,Table,MATCH(T$4,Curves,0)))</f>
        <v>#N/A</v>
      </c>
      <c r="U158" s="201" t="e">
        <f aca="false">IF(A159="","",T158)</f>
        <v>#N/A</v>
      </c>
      <c r="V158" s="183" t="e">
        <f aca="false">IF($A159="","",IF(AND(MONTH(A158)&gt;3,MONTH(A158)&lt;11),(T158+R158+G158)*Summary!$T$7/(1-Summary!$T$7),(T158+R158+G158)*Summary!$U$7/(1-Summary!$U$7)))</f>
        <v>#N/A</v>
      </c>
      <c r="W158" s="200" t="e">
        <f aca="false">IF($A159="","",(T158+R158+G158+V158))</f>
        <v>#N/A</v>
      </c>
      <c r="X158" s="200" t="e">
        <f aca="false">IF($A159="","",(U158+S158+H158+V158))</f>
        <v>#N/A</v>
      </c>
      <c r="Y158" s="202"/>
      <c r="Z158" s="185" t="e">
        <f aca="false">IF($A159="","",VLOOKUP($A158,Table,MATCH(Z$4,Curves,0)))</f>
        <v>#N/A</v>
      </c>
      <c r="AA158" s="185" t="e">
        <f aca="false">IF($A159="","",VLOOKUP($A158,Table,MATCH(AA$4,Curves,0)))</f>
        <v>#N/A</v>
      </c>
      <c r="AB158" s="185" t="e">
        <f aca="false">SQRT((AA158^2*(A158-$D$3)+Z158^2*(DAY(EOMONTH(A158,0))/2))/AK158)</f>
        <v>#N/A</v>
      </c>
      <c r="AC158" s="185" t="e">
        <f aca="false">IF($A159="","",VLOOKUP($A158,Table,MATCH(AC$4,Curves,0)))</f>
        <v>#N/A</v>
      </c>
      <c r="AD158" s="185" t="e">
        <f aca="false">IF($A159="","",VLOOKUP($A158,Table,MATCH(AD$4,Curves,0)))</f>
        <v>#N/A</v>
      </c>
      <c r="AE158" s="185" t="e">
        <f aca="false">SQRT((AD158^2*(A158-$D$3)+AC158^2*(DAY(EOMONTH(A158,0))/2))/AK158)</f>
        <v>#N/A</v>
      </c>
      <c r="AF158" s="206" t="e">
        <f aca="false">((Summary!$N$7*(AA158*AD158)*(A158-$D$3))+(Summary!$M$7*Z158*AC158*(DAY(EOMONTH(A158,0))/2)))/(AK158*AB158*AE158)</f>
        <v>#N/A</v>
      </c>
      <c r="AG158" s="207" t="n">
        <f aca="false">IF($A159="","",Summary!$Q$7)</f>
        <v>0</v>
      </c>
      <c r="AH158" s="207" t="n">
        <f aca="false">IF($A159="","",IF(Summary!$R$7="Y",(VLOOKUP($A158,Summary!$AD$6:$AF$9,3)+'Escalating commodity'!C171),'Escalating commodity'!C171))</f>
        <v>0.0224952</v>
      </c>
      <c r="AI158" s="207" t="n">
        <f aca="false">IF($A159="","",AH158)</f>
        <v>0.0224952</v>
      </c>
      <c r="AJ158" s="208" t="n">
        <f aca="false">A158+DAY(EOMONTH(A158,0))/2-1</f>
        <v>41562.5</v>
      </c>
      <c r="AK158" s="209" t="n">
        <f aca="false">IF($A159="","",$A158-$E$1)</f>
        <v>-4378</v>
      </c>
      <c r="AL158" s="182" t="e">
        <f aca="false">IF($A159="","",SPRDOPT(P158,X158,AI158,0,AB158,AE158,AF158,AK158,$AJ$2,0))</f>
        <v>#NAME?</v>
      </c>
      <c r="AM158" s="210" t="e">
        <f aca="false">IF($A159="","",MAX(0,O158-W158-AI158))</f>
        <v>#N/A</v>
      </c>
      <c r="AN158" s="211" t="e">
        <f aca="false">IF($A159="","",AL158-AM158)</f>
        <v>#N/A</v>
      </c>
      <c r="AO158" s="137" t="n">
        <f aca="false">IF(A159="","",A159-A158)</f>
        <v>31</v>
      </c>
      <c r="AP158" s="212" t="n">
        <f aca="false">IF(A159="","",CHOOSE(F$3,A159+24,A158))</f>
        <v>41548</v>
      </c>
      <c r="AQ158" s="209" t="n">
        <f aca="false">IF(A159="","",AP158-$E$1)</f>
        <v>-4378</v>
      </c>
      <c r="AR158" s="185" t="n">
        <f aca="false">IF(Summary!$H$2=1,VLOOKUP('ANR OK vs ML7'!A158,Curves!$C$17:$AR$273,MATCH('ANR OK vs ML7'!$AR$4,Curves!$C$8:$AQ$8,0)),0.1)</f>
        <v>0.1</v>
      </c>
      <c r="AS158" s="213" t="n">
        <f aca="false">IF(A159="","",1/(1+CHOOSE(F$3,(AR159+($I$3/10000))/2,(AR158+($I$3/10000))/2))^(2*AQ158/365.25))</f>
        <v>3.22079472520103</v>
      </c>
      <c r="AT158" s="137" t="n">
        <f aca="false">IF(A159="","",IF(AND(mthbeg&lt;=A158,mthend&gt;=A158),1,0))</f>
        <v>1</v>
      </c>
      <c r="AU158" s="137" t="n">
        <f aca="false">IF(A159="","",AO158*AT158)</f>
        <v>31</v>
      </c>
      <c r="AW158" s="195" t="e">
        <f aca="false">IF($A159="","",AL158*$E158)</f>
        <v>#NAME?</v>
      </c>
      <c r="AX158" s="195" t="e">
        <f aca="false">IF($A159="","",AM158*$E158)</f>
        <v>#N/A</v>
      </c>
      <c r="AY158" s="195" t="e">
        <f aca="false">IF($A159="","",AN158*$E158)</f>
        <v>#N/A</v>
      </c>
      <c r="BA158" s="195" t="n">
        <f aca="false">IF($A159="","",F158*Summary!$Q$7)</f>
        <v>0</v>
      </c>
      <c r="BC158" s="179" t="e">
        <f aca="false">IF(A159="","",AM158*F158)</f>
        <v>#N/A</v>
      </c>
    </row>
    <row r="159" customFormat="false" ht="12.75" hidden="false" customHeight="false" outlineLevel="0" collapsed="false">
      <c r="A159" s="196" t="n">
        <f aca="false">IF(A158&lt;mthend,EDATE(A158,1),"")</f>
        <v>41579</v>
      </c>
      <c r="B159" s="197" t="n">
        <f aca="false">IF(A159&lt;mthend,B158,"")</f>
        <v>40000</v>
      </c>
      <c r="C159" s="215"/>
      <c r="D159" s="197" t="n">
        <f aca="false">IF(A160&lt;&gt;"",B159+C159,"")</f>
        <v>40000</v>
      </c>
      <c r="E159" s="199" t="n">
        <f aca="false">IF(A160="","",IF(AND(AT159=1,$H$3=1),D159*AO159,IF($H$3=2,D159,"N/A")))</f>
        <v>1200000</v>
      </c>
      <c r="F159" s="199" t="n">
        <f aca="false">IF(A160="","",E159*AS159)</f>
        <v>3833076.41861914</v>
      </c>
      <c r="G159" s="200" t="e">
        <f aca="false">IF($A160="","",VLOOKUP($A159,Table,MATCH(G$4,Curves,0)))</f>
        <v>#N/A</v>
      </c>
      <c r="H159" s="201" t="e">
        <f aca="false">IF(A160="","",G159)</f>
        <v>#N/A</v>
      </c>
      <c r="I159" s="202"/>
      <c r="J159" s="200" t="e">
        <f aca="false">IF($A160="","",VLOOKUP($A159,Table,MATCH(J$4,Curves,0)))</f>
        <v>#N/A</v>
      </c>
      <c r="K159" s="201" t="e">
        <f aca="false">IF(A160="","",J159)</f>
        <v>#N/A</v>
      </c>
      <c r="L159" s="200" t="e">
        <f aca="false">IF($A160="","",VLOOKUP($A159,Table,MATCH(L$4,Curves,0)))</f>
        <v>#N/A</v>
      </c>
      <c r="M159" s="201" t="e">
        <f aca="false">IF(A160="","",L159)</f>
        <v>#N/A</v>
      </c>
      <c r="N159" s="203"/>
      <c r="O159" s="200" t="e">
        <f aca="false">IF(A160="","",L159+J159+G159)</f>
        <v>#N/A</v>
      </c>
      <c r="P159" s="200" t="e">
        <f aca="false">IF(A160="","",M159+K159+H159)</f>
        <v>#N/A</v>
      </c>
      <c r="Q159" s="204"/>
      <c r="R159" s="200" t="e">
        <f aca="false">IF($A160="","",VLOOKUP($A159,Table,MATCH(R$4,Curves,0)))</f>
        <v>#N/A</v>
      </c>
      <c r="S159" s="201" t="e">
        <f aca="false">IF(A160="","",R159)</f>
        <v>#N/A</v>
      </c>
      <c r="T159" s="200" t="e">
        <f aca="false">IF($A160="","",VLOOKUP($A159,Table,MATCH(T$4,Curves,0)))</f>
        <v>#N/A</v>
      </c>
      <c r="U159" s="201" t="e">
        <f aca="false">IF(A160="","",T159)</f>
        <v>#N/A</v>
      </c>
      <c r="V159" s="183" t="e">
        <f aca="false">IF($A160="","",IF(AND(MONTH(A159)&gt;3,MONTH(A159)&lt;11),(T159+R159+G159)*Summary!$T$7/(1-Summary!$T$7),(T159+R159+G159)*Summary!$U$7/(1-Summary!$U$7)))</f>
        <v>#N/A</v>
      </c>
      <c r="W159" s="200" t="e">
        <f aca="false">IF($A160="","",(T159+R159+G159+V159))</f>
        <v>#N/A</v>
      </c>
      <c r="X159" s="200" t="e">
        <f aca="false">IF($A160="","",(U159+S159+H159+V159))</f>
        <v>#N/A</v>
      </c>
      <c r="Y159" s="202"/>
      <c r="Z159" s="185" t="e">
        <f aca="false">IF($A160="","",VLOOKUP($A159,Table,MATCH(Z$4,Curves,0)))</f>
        <v>#N/A</v>
      </c>
      <c r="AA159" s="185" t="e">
        <f aca="false">IF($A160="","",VLOOKUP($A159,Table,MATCH(AA$4,Curves,0)))</f>
        <v>#N/A</v>
      </c>
      <c r="AB159" s="185" t="e">
        <f aca="false">SQRT((AA159^2*(A159-$D$3)+Z159^2*(DAY(EOMONTH(A159,0))/2))/AK159)</f>
        <v>#N/A</v>
      </c>
      <c r="AC159" s="185" t="e">
        <f aca="false">IF($A160="","",VLOOKUP($A159,Table,MATCH(AC$4,Curves,0)))</f>
        <v>#N/A</v>
      </c>
      <c r="AD159" s="185" t="e">
        <f aca="false">IF($A160="","",VLOOKUP($A159,Table,MATCH(AD$4,Curves,0)))</f>
        <v>#N/A</v>
      </c>
      <c r="AE159" s="185" t="e">
        <f aca="false">SQRT((AD159^2*(A159-$D$3)+AC159^2*(DAY(EOMONTH(A159,0))/2))/AK159)</f>
        <v>#N/A</v>
      </c>
      <c r="AF159" s="206" t="e">
        <f aca="false">((Summary!$N$7*(AA159*AD159)*(A159-$D$3))+(Summary!$M$7*Z159*AC159*(DAY(EOMONTH(A159,0))/2)))/(AK159*AB159*AE159)</f>
        <v>#N/A</v>
      </c>
      <c r="AG159" s="207" t="n">
        <f aca="false">IF($A160="","",Summary!$Q$7)</f>
        <v>0</v>
      </c>
      <c r="AH159" s="207" t="n">
        <f aca="false">IF($A160="","",IF(Summary!$R$7="Y",(VLOOKUP($A159,Summary!$AD$6:$AF$9,3)+'Escalating commodity'!C172),'Escalating commodity'!C172))</f>
        <v>0.0224952</v>
      </c>
      <c r="AI159" s="207" t="n">
        <f aca="false">IF($A160="","",AH159)</f>
        <v>0.0224952</v>
      </c>
      <c r="AJ159" s="208" t="n">
        <f aca="false">A159+DAY(EOMONTH(A159,0))/2-1</f>
        <v>41593</v>
      </c>
      <c r="AK159" s="209" t="n">
        <f aca="false">IF($A160="","",$A159-$E$1)</f>
        <v>-4347</v>
      </c>
      <c r="AL159" s="182" t="e">
        <f aca="false">IF($A160="","",SPRDOPT(P159,X159,AI159,0,AB159,AE159,AF159,AK159,$AJ$2,0))</f>
        <v>#NAME?</v>
      </c>
      <c r="AM159" s="210" t="e">
        <f aca="false">IF($A160="","",MAX(0,O159-W159-AI159))</f>
        <v>#N/A</v>
      </c>
      <c r="AN159" s="211" t="e">
        <f aca="false">IF($A160="","",AL159-AM159)</f>
        <v>#N/A</v>
      </c>
      <c r="AO159" s="137" t="n">
        <f aca="false">IF(A160="","",A160-A159)</f>
        <v>30</v>
      </c>
      <c r="AP159" s="212" t="n">
        <f aca="false">IF(A160="","",CHOOSE(F$3,A160+24,A159))</f>
        <v>41579</v>
      </c>
      <c r="AQ159" s="209" t="n">
        <f aca="false">IF(A160="","",AP159-$E$1)</f>
        <v>-4347</v>
      </c>
      <c r="AR159" s="185" t="n">
        <f aca="false">IF(Summary!$H$2=1,VLOOKUP('ANR OK vs ML7'!A159,Curves!$C$17:$AR$273,MATCH('ANR OK vs ML7'!$AR$4,Curves!$C$8:$AQ$8,0)),0.1)</f>
        <v>0.1</v>
      </c>
      <c r="AS159" s="213" t="n">
        <f aca="false">IF(A160="","",1/(1+CHOOSE(F$3,(AR160+($I$3/10000))/2,(AR159+($I$3/10000))/2))^(2*AQ159/365.25))</f>
        <v>3.19423034884928</v>
      </c>
      <c r="AT159" s="137" t="n">
        <f aca="false">IF(A160="","",IF(AND(mthbeg&lt;=A159,mthend&gt;=A159),1,0))</f>
        <v>1</v>
      </c>
      <c r="AU159" s="137" t="n">
        <f aca="false">IF(A160="","",AO159*AT159)</f>
        <v>30</v>
      </c>
      <c r="AW159" s="195" t="e">
        <f aca="false">IF($A160="","",AL159*$E159)</f>
        <v>#NAME?</v>
      </c>
      <c r="AX159" s="195" t="e">
        <f aca="false">IF($A160="","",AM159*$E159)</f>
        <v>#N/A</v>
      </c>
      <c r="AY159" s="195" t="e">
        <f aca="false">IF($A160="","",AN159*$E159)</f>
        <v>#N/A</v>
      </c>
      <c r="BA159" s="195" t="n">
        <f aca="false">IF($A160="","",F159*Summary!$Q$7)</f>
        <v>0</v>
      </c>
      <c r="BC159" s="179" t="e">
        <f aca="false">IF(A160="","",AM159*F159)</f>
        <v>#N/A</v>
      </c>
    </row>
    <row r="160" customFormat="false" ht="12.75" hidden="false" customHeight="false" outlineLevel="0" collapsed="false">
      <c r="A160" s="196" t="n">
        <f aca="false">IF(A159&lt;mthend,EDATE(A159,1),"")</f>
        <v>41609</v>
      </c>
      <c r="B160" s="197" t="n">
        <f aca="false">IF(A160&lt;mthend,B159,"")</f>
        <v>40000</v>
      </c>
      <c r="C160" s="215"/>
      <c r="D160" s="197" t="n">
        <f aca="false">IF(A161&lt;&gt;"",B160+C160,"")</f>
        <v>40000</v>
      </c>
      <c r="E160" s="199" t="n">
        <f aca="false">IF(A161="","",IF(AND(AT160=1,$H$3=1),D160*AO160,IF($H$3=2,D160,"N/A")))</f>
        <v>1240000</v>
      </c>
      <c r="F160" s="199" t="n">
        <f aca="false">IF(A161="","",E160*AS160)</f>
        <v>3929227.07961776</v>
      </c>
      <c r="G160" s="200" t="e">
        <f aca="false">IF($A161="","",VLOOKUP($A160,Table,MATCH(G$4,Curves,0)))</f>
        <v>#N/A</v>
      </c>
      <c r="H160" s="201" t="e">
        <f aca="false">IF(A161="","",G160)</f>
        <v>#N/A</v>
      </c>
      <c r="I160" s="202"/>
      <c r="J160" s="200" t="e">
        <f aca="false">IF($A161="","",VLOOKUP($A160,Table,MATCH(J$4,Curves,0)))</f>
        <v>#N/A</v>
      </c>
      <c r="K160" s="201" t="e">
        <f aca="false">IF(A161="","",J160)</f>
        <v>#N/A</v>
      </c>
      <c r="L160" s="200" t="e">
        <f aca="false">IF($A161="","",VLOOKUP($A160,Table,MATCH(L$4,Curves,0)))</f>
        <v>#N/A</v>
      </c>
      <c r="M160" s="201" t="e">
        <f aca="false">IF(A161="","",L160)</f>
        <v>#N/A</v>
      </c>
      <c r="N160" s="203"/>
      <c r="O160" s="200" t="e">
        <f aca="false">IF(A161="","",L160+J160+G160)</f>
        <v>#N/A</v>
      </c>
      <c r="P160" s="200" t="e">
        <f aca="false">IF(A161="","",M160+K160+H160)</f>
        <v>#N/A</v>
      </c>
      <c r="Q160" s="204"/>
      <c r="R160" s="200" t="e">
        <f aca="false">IF($A161="","",VLOOKUP($A160,Table,MATCH(R$4,Curves,0)))</f>
        <v>#N/A</v>
      </c>
      <c r="S160" s="201" t="e">
        <f aca="false">IF(A161="","",R160)</f>
        <v>#N/A</v>
      </c>
      <c r="T160" s="200" t="e">
        <f aca="false">IF($A161="","",VLOOKUP($A160,Table,MATCH(T$4,Curves,0)))</f>
        <v>#N/A</v>
      </c>
      <c r="U160" s="201" t="e">
        <f aca="false">IF(A161="","",T160)</f>
        <v>#N/A</v>
      </c>
      <c r="V160" s="183" t="e">
        <f aca="false">IF($A161="","",IF(AND(MONTH(A160)&gt;3,MONTH(A160)&lt;11),(T160+R160+G160)*Summary!$T$7/(1-Summary!$T$7),(T160+R160+G160)*Summary!$U$7/(1-Summary!$U$7)))</f>
        <v>#N/A</v>
      </c>
      <c r="W160" s="200" t="e">
        <f aca="false">IF($A161="","",(T160+R160+G160+V160))</f>
        <v>#N/A</v>
      </c>
      <c r="X160" s="200" t="e">
        <f aca="false">IF($A161="","",(U160+S160+H160+V160))</f>
        <v>#N/A</v>
      </c>
      <c r="Y160" s="202"/>
      <c r="Z160" s="185" t="e">
        <f aca="false">IF($A161="","",VLOOKUP($A160,Table,MATCH(Z$4,Curves,0)))</f>
        <v>#N/A</v>
      </c>
      <c r="AA160" s="185" t="e">
        <f aca="false">IF($A161="","",VLOOKUP($A160,Table,MATCH(AA$4,Curves,0)))</f>
        <v>#N/A</v>
      </c>
      <c r="AB160" s="185" t="e">
        <f aca="false">SQRT((AA160^2*(A160-$D$3)+Z160^2*(DAY(EOMONTH(A160,0))/2))/AK160)</f>
        <v>#N/A</v>
      </c>
      <c r="AC160" s="185" t="e">
        <f aca="false">IF($A161="","",VLOOKUP($A160,Table,MATCH(AC$4,Curves,0)))</f>
        <v>#N/A</v>
      </c>
      <c r="AD160" s="185" t="e">
        <f aca="false">IF($A161="","",VLOOKUP($A160,Table,MATCH(AD$4,Curves,0)))</f>
        <v>#N/A</v>
      </c>
      <c r="AE160" s="185" t="e">
        <f aca="false">SQRT((AD160^2*(A160-$D$3)+AC160^2*(DAY(EOMONTH(A160,0))/2))/AK160)</f>
        <v>#N/A</v>
      </c>
      <c r="AF160" s="206" t="e">
        <f aca="false">((Summary!$N$7*(AA160*AD160)*(A160-$D$3))+(Summary!$M$7*Z160*AC160*(DAY(EOMONTH(A160,0))/2)))/(AK160*AB160*AE160)</f>
        <v>#N/A</v>
      </c>
      <c r="AG160" s="207" t="n">
        <f aca="false">IF($A161="","",Summary!$Q$7)</f>
        <v>0</v>
      </c>
      <c r="AH160" s="207" t="n">
        <f aca="false">IF($A161="","",IF(Summary!$R$7="Y",(VLOOKUP($A160,Summary!$AD$6:$AF$9,3)+'Escalating commodity'!C173),'Escalating commodity'!C173))</f>
        <v>0.0224952</v>
      </c>
      <c r="AI160" s="207" t="n">
        <f aca="false">IF($A161="","",AH160)</f>
        <v>0.0224952</v>
      </c>
      <c r="AJ160" s="208" t="n">
        <f aca="false">A160+DAY(EOMONTH(A160,0))/2-1</f>
        <v>41623.5</v>
      </c>
      <c r="AK160" s="209" t="n">
        <f aca="false">IF($A161="","",$A160-$E$1)</f>
        <v>-4317</v>
      </c>
      <c r="AL160" s="182" t="e">
        <f aca="false">IF($A161="","",SPRDOPT(P160,X160,AI160,0,AB160,AE160,AF160,AK160,$AJ$2,0))</f>
        <v>#NAME?</v>
      </c>
      <c r="AM160" s="210" t="e">
        <f aca="false">IF($A161="","",MAX(0,O160-W160-AI160))</f>
        <v>#N/A</v>
      </c>
      <c r="AN160" s="211" t="e">
        <f aca="false">IF($A161="","",AL160-AM160)</f>
        <v>#N/A</v>
      </c>
      <c r="AO160" s="137" t="n">
        <f aca="false">IF(A161="","",A161-A160)</f>
        <v>31</v>
      </c>
      <c r="AP160" s="212" t="n">
        <f aca="false">IF(A161="","",CHOOSE(F$3,A161+24,A160))</f>
        <v>41609</v>
      </c>
      <c r="AQ160" s="209" t="n">
        <f aca="false">IF(A161="","",AP160-$E$1)</f>
        <v>-4317</v>
      </c>
      <c r="AR160" s="185" t="n">
        <f aca="false">IF(Summary!$H$2=1,VLOOKUP('ANR OK vs ML7'!A160,Curves!$C$17:$AR$273,MATCH('ANR OK vs ML7'!$AR$4,Curves!$C$8:$AQ$8,0)),0.1)</f>
        <v>0.1</v>
      </c>
      <c r="AS160" s="213" t="n">
        <f aca="false">IF(A161="","",1/(1+CHOOSE(F$3,(AR161+($I$3/10000))/2,(AR160+($I$3/10000))/2))^(2*AQ160/365.25))</f>
        <v>3.16873151582077</v>
      </c>
      <c r="AT160" s="137" t="n">
        <f aca="false">IF(A161="","",IF(AND(mthbeg&lt;=A160,mthend&gt;=A160),1,0))</f>
        <v>1</v>
      </c>
      <c r="AU160" s="137" t="n">
        <f aca="false">IF(A161="","",AO160*AT160)</f>
        <v>31</v>
      </c>
      <c r="AW160" s="195" t="e">
        <f aca="false">IF($A161="","",AL160*$E160)</f>
        <v>#NAME?</v>
      </c>
      <c r="AX160" s="195" t="e">
        <f aca="false">IF($A161="","",AM160*$E160)</f>
        <v>#N/A</v>
      </c>
      <c r="AY160" s="195" t="e">
        <f aca="false">IF($A161="","",AN160*$E160)</f>
        <v>#N/A</v>
      </c>
      <c r="BA160" s="195" t="n">
        <f aca="false">IF($A161="","",F160*Summary!$Q$7)</f>
        <v>0</v>
      </c>
      <c r="BC160" s="179" t="e">
        <f aca="false">IF(A161="","",AM160*F160)</f>
        <v>#N/A</v>
      </c>
    </row>
    <row r="161" customFormat="false" ht="12.75" hidden="false" customHeight="false" outlineLevel="0" collapsed="false">
      <c r="A161" s="196" t="n">
        <f aca="false">IF(A160&lt;mthend,EDATE(A160,1),"")</f>
        <v>41640</v>
      </c>
      <c r="B161" s="197" t="n">
        <f aca="false">IF(A161&lt;mthend,B160,"")</f>
        <v>40000</v>
      </c>
      <c r="C161" s="215"/>
      <c r="D161" s="197" t="n">
        <f aca="false">IF(A162&lt;&gt;"",B161+C161,"")</f>
        <v>40000</v>
      </c>
      <c r="E161" s="199" t="n">
        <f aca="false">IF(A162="","",IF(AND(AT161=1,$H$3=1),D161*AO161,IF($H$3=2,D161,"N/A")))</f>
        <v>1240000</v>
      </c>
      <c r="F161" s="199" t="n">
        <f aca="false">IF(A162="","",E161*AS161)</f>
        <v>3896819.71565328</v>
      </c>
      <c r="G161" s="200" t="e">
        <f aca="false">IF($A162="","",VLOOKUP($A161,Table,MATCH(G$4,Curves,0)))</f>
        <v>#N/A</v>
      </c>
      <c r="H161" s="201" t="e">
        <f aca="false">IF(A162="","",G161)</f>
        <v>#N/A</v>
      </c>
      <c r="I161" s="202"/>
      <c r="J161" s="200" t="e">
        <f aca="false">IF($A162="","",VLOOKUP($A161,Table,MATCH(J$4,Curves,0)))</f>
        <v>#N/A</v>
      </c>
      <c r="K161" s="201" t="e">
        <f aca="false">IF(A162="","",J161)</f>
        <v>#N/A</v>
      </c>
      <c r="L161" s="200" t="e">
        <f aca="false">IF($A162="","",VLOOKUP($A161,Table,MATCH(L$4,Curves,0)))</f>
        <v>#N/A</v>
      </c>
      <c r="M161" s="201" t="e">
        <f aca="false">IF(A162="","",L161)</f>
        <v>#N/A</v>
      </c>
      <c r="N161" s="203"/>
      <c r="O161" s="200" t="e">
        <f aca="false">IF(A162="","",L161+J161+G161)</f>
        <v>#N/A</v>
      </c>
      <c r="P161" s="200" t="e">
        <f aca="false">IF(A162="","",M161+K161+H161)</f>
        <v>#N/A</v>
      </c>
      <c r="Q161" s="204"/>
      <c r="R161" s="200" t="e">
        <f aca="false">IF($A162="","",VLOOKUP($A161,Table,MATCH(R$4,Curves,0)))</f>
        <v>#N/A</v>
      </c>
      <c r="S161" s="201" t="e">
        <f aca="false">IF(A162="","",R161)</f>
        <v>#N/A</v>
      </c>
      <c r="T161" s="200" t="e">
        <f aca="false">IF($A162="","",VLOOKUP($A161,Table,MATCH(T$4,Curves,0)))</f>
        <v>#N/A</v>
      </c>
      <c r="U161" s="201" t="e">
        <f aca="false">IF(A162="","",T161)</f>
        <v>#N/A</v>
      </c>
      <c r="V161" s="183" t="e">
        <f aca="false">IF($A162="","",IF(AND(MONTH(A161)&gt;3,MONTH(A161)&lt;11),(T161+R161+G161)*Summary!$T$7/(1-Summary!$T$7),(T161+R161+G161)*Summary!$U$7/(1-Summary!$U$7)))</f>
        <v>#N/A</v>
      </c>
      <c r="W161" s="200" t="e">
        <f aca="false">IF($A162="","",(T161+R161+G161+V161))</f>
        <v>#N/A</v>
      </c>
      <c r="X161" s="200" t="e">
        <f aca="false">IF($A162="","",(U161+S161+H161+V161))</f>
        <v>#N/A</v>
      </c>
      <c r="Y161" s="202"/>
      <c r="Z161" s="185" t="e">
        <f aca="false">IF($A162="","",VLOOKUP($A161,Table,MATCH(Z$4,Curves,0)))</f>
        <v>#N/A</v>
      </c>
      <c r="AA161" s="185" t="e">
        <f aca="false">IF($A162="","",VLOOKUP($A161,Table,MATCH(AA$4,Curves,0)))</f>
        <v>#N/A</v>
      </c>
      <c r="AB161" s="185" t="e">
        <f aca="false">SQRT((AA161^2*(A161-$D$3)+Z161^2*(DAY(EOMONTH(A161,0))/2))/AK161)</f>
        <v>#N/A</v>
      </c>
      <c r="AC161" s="185" t="e">
        <f aca="false">IF($A162="","",VLOOKUP($A161,Table,MATCH(AC$4,Curves,0)))</f>
        <v>#N/A</v>
      </c>
      <c r="AD161" s="185" t="e">
        <f aca="false">IF($A162="","",VLOOKUP($A161,Table,MATCH(AD$4,Curves,0)))</f>
        <v>#N/A</v>
      </c>
      <c r="AE161" s="185" t="e">
        <f aca="false">SQRT((AD161^2*(A161-$D$3)+AC161^2*(DAY(EOMONTH(A161,0))/2))/AK161)</f>
        <v>#N/A</v>
      </c>
      <c r="AF161" s="206" t="e">
        <f aca="false">((Summary!$N$7*(AA161*AD161)*(A161-$D$3))+(Summary!$M$7*Z161*AC161*(DAY(EOMONTH(A161,0))/2)))/(AK161*AB161*AE161)</f>
        <v>#N/A</v>
      </c>
      <c r="AG161" s="207" t="n">
        <f aca="false">IF($A162="","",Summary!$Q$7)</f>
        <v>0</v>
      </c>
      <c r="AH161" s="207" t="n">
        <f aca="false">IF($A162="","",IF(Summary!$R$7="Y",(VLOOKUP($A161,Summary!$AD$6:$AF$9,3)+'Escalating commodity'!C174),'Escalating commodity'!C174))</f>
        <v>0.0224952</v>
      </c>
      <c r="AI161" s="207" t="n">
        <f aca="false">IF($A162="","",AH161)</f>
        <v>0.0224952</v>
      </c>
      <c r="AJ161" s="208" t="n">
        <f aca="false">A161+DAY(EOMONTH(A161,0))/2-1</f>
        <v>41654.5</v>
      </c>
      <c r="AK161" s="209" t="n">
        <f aca="false">IF($A162="","",$A161-$E$1)</f>
        <v>-4286</v>
      </c>
      <c r="AL161" s="182" t="e">
        <f aca="false">IF($A162="","",SPRDOPT(P161,X161,AI161,0,AB161,AE161,AF161,AK161,$AJ$2,0))</f>
        <v>#NAME?</v>
      </c>
      <c r="AM161" s="210" t="e">
        <f aca="false">IF($A162="","",MAX(0,O161-W161-AI161))</f>
        <v>#N/A</v>
      </c>
      <c r="AN161" s="211" t="e">
        <f aca="false">IF($A162="","",AL161-AM161)</f>
        <v>#N/A</v>
      </c>
      <c r="AO161" s="137" t="n">
        <f aca="false">IF(A162="","",A162-A161)</f>
        <v>31</v>
      </c>
      <c r="AP161" s="212" t="n">
        <f aca="false">IF(A162="","",CHOOSE(F$3,A162+24,A161))</f>
        <v>41640</v>
      </c>
      <c r="AQ161" s="209" t="n">
        <f aca="false">IF(A162="","",AP161-$E$1)</f>
        <v>-4286</v>
      </c>
      <c r="AR161" s="185" t="n">
        <f aca="false">IF(Summary!$H$2=1,VLOOKUP('ANR OK vs ML7'!A161,Curves!$C$17:$AR$273,MATCH('ANR OK vs ML7'!$AR$4,Curves!$C$8:$AQ$8,0)),0.1)</f>
        <v>0.1</v>
      </c>
      <c r="AS161" s="213" t="n">
        <f aca="false">IF(A162="","",1/(1+CHOOSE(F$3,(AR162+($I$3/10000))/2,(AR161+($I$3/10000))/2))^(2*AQ161/365.25))</f>
        <v>3.14259654488168</v>
      </c>
      <c r="AT161" s="137" t="n">
        <f aca="false">IF(A162="","",IF(AND(mthbeg&lt;=A161,mthend&gt;=A161),1,0))</f>
        <v>1</v>
      </c>
      <c r="AU161" s="137" t="n">
        <f aca="false">IF(A162="","",AO161*AT161)</f>
        <v>31</v>
      </c>
      <c r="AW161" s="195" t="e">
        <f aca="false">IF($A162="","",AL161*$E161)</f>
        <v>#NAME?</v>
      </c>
      <c r="AX161" s="195" t="e">
        <f aca="false">IF($A162="","",AM161*$E161)</f>
        <v>#N/A</v>
      </c>
      <c r="AY161" s="195" t="e">
        <f aca="false">IF($A162="","",AN161*$E161)</f>
        <v>#N/A</v>
      </c>
      <c r="BA161" s="195" t="n">
        <f aca="false">IF($A162="","",F161*Summary!$Q$7)</f>
        <v>0</v>
      </c>
      <c r="BC161" s="179" t="e">
        <f aca="false">IF(A162="","",AM161*F161)</f>
        <v>#N/A</v>
      </c>
    </row>
    <row r="162" customFormat="false" ht="12.75" hidden="false" customHeight="false" outlineLevel="0" collapsed="false">
      <c r="A162" s="196" t="n">
        <f aca="false">IF(A161&lt;mthend,EDATE(A161,1),"")</f>
        <v>41671</v>
      </c>
      <c r="B162" s="197" t="n">
        <f aca="false">IF(A162&lt;mthend,B161,"")</f>
        <v>40000</v>
      </c>
      <c r="C162" s="215"/>
      <c r="D162" s="197" t="n">
        <f aca="false">IF(A163&lt;&gt;"",B162+C162,"")</f>
        <v>40000</v>
      </c>
      <c r="E162" s="199" t="n">
        <f aca="false">IF(A163="","",IF(AND(AT162=1,$H$3=1),D162*AO162,IF($H$3=2,D162,"N/A")))</f>
        <v>1120000</v>
      </c>
      <c r="F162" s="199" t="n">
        <f aca="false">IF(A163="","",E162*AS162)</f>
        <v>3490678.38469284</v>
      </c>
      <c r="G162" s="200" t="e">
        <f aca="false">IF($A163="","",VLOOKUP($A162,Table,MATCH(G$4,Curves,0)))</f>
        <v>#N/A</v>
      </c>
      <c r="H162" s="201" t="e">
        <f aca="false">IF(A163="","",G162)</f>
        <v>#N/A</v>
      </c>
      <c r="I162" s="202"/>
      <c r="J162" s="200" t="e">
        <f aca="false">IF($A163="","",VLOOKUP($A162,Table,MATCH(J$4,Curves,0)))</f>
        <v>#N/A</v>
      </c>
      <c r="K162" s="201" t="e">
        <f aca="false">IF(A163="","",J162)</f>
        <v>#N/A</v>
      </c>
      <c r="L162" s="200" t="e">
        <f aca="false">IF($A163="","",VLOOKUP($A162,Table,MATCH(L$4,Curves,0)))</f>
        <v>#N/A</v>
      </c>
      <c r="M162" s="201" t="e">
        <f aca="false">IF(A163="","",L162)</f>
        <v>#N/A</v>
      </c>
      <c r="N162" s="203"/>
      <c r="O162" s="200" t="e">
        <f aca="false">IF(A163="","",L162+J162+G162)</f>
        <v>#N/A</v>
      </c>
      <c r="P162" s="200" t="e">
        <f aca="false">IF(A163="","",M162+K162+H162)</f>
        <v>#N/A</v>
      </c>
      <c r="Q162" s="204"/>
      <c r="R162" s="200" t="e">
        <f aca="false">IF($A163="","",VLOOKUP($A162,Table,MATCH(R$4,Curves,0)))</f>
        <v>#N/A</v>
      </c>
      <c r="S162" s="201" t="e">
        <f aca="false">IF(A163="","",R162)</f>
        <v>#N/A</v>
      </c>
      <c r="T162" s="200" t="e">
        <f aca="false">IF($A163="","",VLOOKUP($A162,Table,MATCH(T$4,Curves,0)))</f>
        <v>#N/A</v>
      </c>
      <c r="U162" s="201" t="e">
        <f aca="false">IF(A163="","",T162)</f>
        <v>#N/A</v>
      </c>
      <c r="V162" s="183" t="e">
        <f aca="false">IF($A163="","",IF(AND(MONTH(A162)&gt;3,MONTH(A162)&lt;11),(T162+R162+G162)*Summary!$T$7/(1-Summary!$T$7),(T162+R162+G162)*Summary!$U$7/(1-Summary!$U$7)))</f>
        <v>#N/A</v>
      </c>
      <c r="W162" s="200" t="e">
        <f aca="false">IF($A163="","",(T162+R162+G162+V162))</f>
        <v>#N/A</v>
      </c>
      <c r="X162" s="200" t="e">
        <f aca="false">IF($A163="","",(U162+S162+H162+V162))</f>
        <v>#N/A</v>
      </c>
      <c r="Y162" s="202"/>
      <c r="Z162" s="185" t="e">
        <f aca="false">IF($A163="","",VLOOKUP($A162,Table,MATCH(Z$4,Curves,0)))</f>
        <v>#N/A</v>
      </c>
      <c r="AA162" s="185" t="e">
        <f aca="false">IF($A163="","",VLOOKUP($A162,Table,MATCH(AA$4,Curves,0)))</f>
        <v>#N/A</v>
      </c>
      <c r="AB162" s="185" t="e">
        <f aca="false">SQRT((AA162^2*(A162-$D$3)+Z162^2*(DAY(EOMONTH(A162,0))/2))/AK162)</f>
        <v>#N/A</v>
      </c>
      <c r="AC162" s="185" t="e">
        <f aca="false">IF($A163="","",VLOOKUP($A162,Table,MATCH(AC$4,Curves,0)))</f>
        <v>#N/A</v>
      </c>
      <c r="AD162" s="185" t="e">
        <f aca="false">IF($A163="","",VLOOKUP($A162,Table,MATCH(AD$4,Curves,0)))</f>
        <v>#N/A</v>
      </c>
      <c r="AE162" s="185" t="e">
        <f aca="false">SQRT((AD162^2*(A162-$D$3)+AC162^2*(DAY(EOMONTH(A162,0))/2))/AK162)</f>
        <v>#N/A</v>
      </c>
      <c r="AF162" s="206" t="e">
        <f aca="false">((Summary!$N$7*(AA162*AD162)*(A162-$D$3))+(Summary!$M$7*Z162*AC162*(DAY(EOMONTH(A162,0))/2)))/(AK162*AB162*AE162)</f>
        <v>#N/A</v>
      </c>
      <c r="AG162" s="207" t="n">
        <f aca="false">IF($A163="","",Summary!$Q$7)</f>
        <v>0</v>
      </c>
      <c r="AH162" s="207" t="n">
        <f aca="false">IF($A163="","",IF(Summary!$R$7="Y",(VLOOKUP($A162,Summary!$AD$6:$AF$9,3)+'Escalating commodity'!C175),'Escalating commodity'!C175))</f>
        <v>0.0224952</v>
      </c>
      <c r="AI162" s="207" t="n">
        <f aca="false">IF($A163="","",AH162)</f>
        <v>0.0224952</v>
      </c>
      <c r="AJ162" s="208" t="n">
        <f aca="false">A162+DAY(EOMONTH(A162,0))/2-1</f>
        <v>41684</v>
      </c>
      <c r="AK162" s="209" t="n">
        <f aca="false">IF($A163="","",$A162-$E$1)</f>
        <v>-4255</v>
      </c>
      <c r="AL162" s="182" t="e">
        <f aca="false">IF($A163="","",SPRDOPT(P162,X162,AI162,0,AB162,AE162,AF162,AK162,$AJ$2,0))</f>
        <v>#NAME?</v>
      </c>
      <c r="AM162" s="210" t="e">
        <f aca="false">IF($A163="","",MAX(0,O162-W162-AI162))</f>
        <v>#N/A</v>
      </c>
      <c r="AN162" s="211" t="e">
        <f aca="false">IF($A163="","",AL162-AM162)</f>
        <v>#N/A</v>
      </c>
      <c r="AO162" s="137" t="n">
        <f aca="false">IF(A163="","",A163-A162)</f>
        <v>28</v>
      </c>
      <c r="AP162" s="212" t="n">
        <f aca="false">IF(A163="","",CHOOSE(F$3,A163+24,A162))</f>
        <v>41671</v>
      </c>
      <c r="AQ162" s="209" t="n">
        <f aca="false">IF(A163="","",AP162-$E$1)</f>
        <v>-4255</v>
      </c>
      <c r="AR162" s="185" t="n">
        <f aca="false">IF(Summary!$H$2=1,VLOOKUP('ANR OK vs ML7'!A162,Curves!$C$17:$AR$273,MATCH('ANR OK vs ML7'!$AR$4,Curves!$C$8:$AQ$8,0)),0.1)</f>
        <v>0.1</v>
      </c>
      <c r="AS162" s="213" t="n">
        <f aca="false">IF(A163="","",1/(1+CHOOSE(F$3,(AR163+($I$3/10000))/2,(AR162+($I$3/10000))/2))^(2*AQ162/365.25))</f>
        <v>3.11667712919003</v>
      </c>
      <c r="AT162" s="137" t="n">
        <f aca="false">IF(A163="","",IF(AND(mthbeg&lt;=A162,mthend&gt;=A162),1,0))</f>
        <v>1</v>
      </c>
      <c r="AU162" s="137" t="n">
        <f aca="false">IF(A163="","",AO162*AT162)</f>
        <v>28</v>
      </c>
      <c r="AW162" s="195" t="e">
        <f aca="false">IF($A163="","",AL162*$E162)</f>
        <v>#NAME?</v>
      </c>
      <c r="AX162" s="195" t="e">
        <f aca="false">IF($A163="","",AM162*$E162)</f>
        <v>#N/A</v>
      </c>
      <c r="AY162" s="195" t="e">
        <f aca="false">IF($A163="","",AN162*$E162)</f>
        <v>#N/A</v>
      </c>
      <c r="BA162" s="195" t="n">
        <f aca="false">IF($A163="","",F162*Summary!$Q$7)</f>
        <v>0</v>
      </c>
      <c r="BC162" s="179" t="e">
        <f aca="false">IF(A163="","",AM162*F162)</f>
        <v>#N/A</v>
      </c>
    </row>
    <row r="163" customFormat="false" ht="12.75" hidden="false" customHeight="false" outlineLevel="0" collapsed="false">
      <c r="A163" s="196" t="n">
        <f aca="false">IF(A162&lt;mthend,EDATE(A162,1),"")</f>
        <v>41699</v>
      </c>
      <c r="B163" s="197" t="n">
        <f aca="false">IF(A163&lt;mthend,B162,"")</f>
        <v>40000</v>
      </c>
      <c r="C163" s="215"/>
      <c r="D163" s="197" t="n">
        <f aca="false">IF(A164&lt;&gt;"",B163+C163,"")</f>
        <v>40000</v>
      </c>
      <c r="E163" s="199" t="n">
        <f aca="false">IF(A164="","",IF(AND(AT163=1,$H$3=1),D163*AO163,IF($H$3=2,D163,"N/A")))</f>
        <v>1240000</v>
      </c>
      <c r="F163" s="199" t="n">
        <f aca="false">IF(A164="","",E163*AS163)</f>
        <v>3835877.80070757</v>
      </c>
      <c r="G163" s="200" t="e">
        <f aca="false">IF($A164="","",VLOOKUP($A163,Table,MATCH(G$4,Curves,0)))</f>
        <v>#N/A</v>
      </c>
      <c r="H163" s="201" t="e">
        <f aca="false">IF(A164="","",G163)</f>
        <v>#N/A</v>
      </c>
      <c r="I163" s="202"/>
      <c r="J163" s="200" t="e">
        <f aca="false">IF($A164="","",VLOOKUP($A163,Table,MATCH(J$4,Curves,0)))</f>
        <v>#N/A</v>
      </c>
      <c r="K163" s="201" t="e">
        <f aca="false">IF(A164="","",J163)</f>
        <v>#N/A</v>
      </c>
      <c r="L163" s="200" t="e">
        <f aca="false">IF($A164="","",VLOOKUP($A163,Table,MATCH(L$4,Curves,0)))</f>
        <v>#N/A</v>
      </c>
      <c r="M163" s="201" t="e">
        <f aca="false">IF(A164="","",L163)</f>
        <v>#N/A</v>
      </c>
      <c r="N163" s="203"/>
      <c r="O163" s="200" t="e">
        <f aca="false">IF(A164="","",L163+J163+G163)</f>
        <v>#N/A</v>
      </c>
      <c r="P163" s="200" t="e">
        <f aca="false">IF(A164="","",M163+K163+H163)</f>
        <v>#N/A</v>
      </c>
      <c r="Q163" s="204"/>
      <c r="R163" s="200" t="e">
        <f aca="false">IF($A164="","",VLOOKUP($A163,Table,MATCH(R$4,Curves,0)))</f>
        <v>#N/A</v>
      </c>
      <c r="S163" s="201" t="e">
        <f aca="false">IF(A164="","",R163)</f>
        <v>#N/A</v>
      </c>
      <c r="T163" s="200" t="e">
        <f aca="false">IF($A164="","",VLOOKUP($A163,Table,MATCH(T$4,Curves,0)))</f>
        <v>#N/A</v>
      </c>
      <c r="U163" s="201" t="e">
        <f aca="false">IF(A164="","",T163)</f>
        <v>#N/A</v>
      </c>
      <c r="V163" s="183" t="e">
        <f aca="false">IF($A164="","",IF(AND(MONTH(A163)&gt;3,MONTH(A163)&lt;11),(T163+R163+G163)*Summary!$T$7/(1-Summary!$T$7),(T163+R163+G163)*Summary!$U$7/(1-Summary!$U$7)))</f>
        <v>#N/A</v>
      </c>
      <c r="W163" s="200" t="e">
        <f aca="false">IF($A164="","",(T163+R163+G163+V163))</f>
        <v>#N/A</v>
      </c>
      <c r="X163" s="200" t="e">
        <f aca="false">IF($A164="","",(U163+S163+H163+V163))</f>
        <v>#N/A</v>
      </c>
      <c r="Y163" s="202"/>
      <c r="Z163" s="185" t="e">
        <f aca="false">IF($A164="","",VLOOKUP($A163,Table,MATCH(Z$4,Curves,0)))</f>
        <v>#N/A</v>
      </c>
      <c r="AA163" s="185" t="e">
        <f aca="false">IF($A164="","",VLOOKUP($A163,Table,MATCH(AA$4,Curves,0)))</f>
        <v>#N/A</v>
      </c>
      <c r="AB163" s="185" t="e">
        <f aca="false">SQRT((AA163^2*(A163-$D$3)+Z163^2*(DAY(EOMONTH(A163,0))/2))/AK163)</f>
        <v>#N/A</v>
      </c>
      <c r="AC163" s="185" t="e">
        <f aca="false">IF($A164="","",VLOOKUP($A163,Table,MATCH(AC$4,Curves,0)))</f>
        <v>#N/A</v>
      </c>
      <c r="AD163" s="185" t="e">
        <f aca="false">IF($A164="","",VLOOKUP($A163,Table,MATCH(AD$4,Curves,0)))</f>
        <v>#N/A</v>
      </c>
      <c r="AE163" s="185" t="e">
        <f aca="false">SQRT((AD163^2*(A163-$D$3)+AC163^2*(DAY(EOMONTH(A163,0))/2))/AK163)</f>
        <v>#N/A</v>
      </c>
      <c r="AF163" s="206" t="e">
        <f aca="false">((Summary!$N$7*(AA163*AD163)*(A163-$D$3))+(Summary!$M$7*Z163*AC163*(DAY(EOMONTH(A163,0))/2)))/(AK163*AB163*AE163)</f>
        <v>#N/A</v>
      </c>
      <c r="AG163" s="207" t="n">
        <f aca="false">IF($A164="","",Summary!$Q$7)</f>
        <v>0</v>
      </c>
      <c r="AH163" s="207" t="n">
        <f aca="false">IF($A164="","",IF(Summary!$R$7="Y",(VLOOKUP($A163,Summary!$AD$6:$AF$9,3)+'Escalating commodity'!C176),'Escalating commodity'!C176))</f>
        <v>0.0224952</v>
      </c>
      <c r="AI163" s="207" t="n">
        <f aca="false">IF($A164="","",AH163)</f>
        <v>0.0224952</v>
      </c>
      <c r="AJ163" s="208" t="n">
        <f aca="false">A163+DAY(EOMONTH(A163,0))/2-1</f>
        <v>41713.5</v>
      </c>
      <c r="AK163" s="209" t="n">
        <f aca="false">IF($A164="","",$A163-$E$1)</f>
        <v>-4227</v>
      </c>
      <c r="AL163" s="182" t="e">
        <f aca="false">IF($A164="","",SPRDOPT(P163,X163,AI163,0,AB163,AE163,AF163,AK163,$AJ$2,0))</f>
        <v>#NAME?</v>
      </c>
      <c r="AM163" s="210" t="e">
        <f aca="false">IF($A164="","",MAX(0,O163-W163-AI163))</f>
        <v>#N/A</v>
      </c>
      <c r="AN163" s="211" t="e">
        <f aca="false">IF($A164="","",AL163-AM163)</f>
        <v>#N/A</v>
      </c>
      <c r="AO163" s="137" t="n">
        <f aca="false">IF(A164="","",A164-A163)</f>
        <v>31</v>
      </c>
      <c r="AP163" s="212" t="n">
        <f aca="false">IF(A164="","",CHOOSE(F$3,A164+24,A163))</f>
        <v>41699</v>
      </c>
      <c r="AQ163" s="209" t="n">
        <f aca="false">IF(A164="","",AP163-$E$1)</f>
        <v>-4227</v>
      </c>
      <c r="AR163" s="185" t="n">
        <f aca="false">IF(Summary!$H$2=1,VLOOKUP('ANR OK vs ML7'!A163,Curves!$C$17:$AR$273,MATCH('ANR OK vs ML7'!$AR$4,Curves!$C$8:$AQ$8,0)),0.1)</f>
        <v>0.1</v>
      </c>
      <c r="AS163" s="213" t="n">
        <f aca="false">IF(A164="","",1/(1+CHOOSE(F$3,(AR164+($I$3/10000))/2,(AR163+($I$3/10000))/2))^(2*AQ163/365.25))</f>
        <v>3.0934498392803</v>
      </c>
      <c r="AT163" s="137" t="n">
        <f aca="false">IF(A164="","",IF(AND(mthbeg&lt;=A163,mthend&gt;=A163),1,0))</f>
        <v>1</v>
      </c>
      <c r="AU163" s="137" t="n">
        <f aca="false">IF(A164="","",AO163*AT163)</f>
        <v>31</v>
      </c>
      <c r="AW163" s="195" t="e">
        <f aca="false">IF($A164="","",AL163*$E163)</f>
        <v>#NAME?</v>
      </c>
      <c r="AX163" s="195" t="e">
        <f aca="false">IF($A164="","",AM163*$E163)</f>
        <v>#N/A</v>
      </c>
      <c r="AY163" s="195" t="e">
        <f aca="false">IF($A164="","",AN163*$E163)</f>
        <v>#N/A</v>
      </c>
      <c r="BA163" s="195" t="n">
        <f aca="false">IF($A164="","",F163*Summary!$Q$7)</f>
        <v>0</v>
      </c>
      <c r="BC163" s="179" t="e">
        <f aca="false">IF(A164="","",AM163*F163)</f>
        <v>#N/A</v>
      </c>
    </row>
    <row r="164" customFormat="false" ht="12.75" hidden="false" customHeight="false" outlineLevel="0" collapsed="false">
      <c r="A164" s="196" t="n">
        <f aca="false">IF(A163&lt;mthend,EDATE(A163,1),"")</f>
        <v>41730</v>
      </c>
      <c r="B164" s="197" t="n">
        <f aca="false">IF(A164&lt;mthend,B163,"")</f>
        <v>40000</v>
      </c>
      <c r="C164" s="215"/>
      <c r="D164" s="197" t="n">
        <f aca="false">IF(A165&lt;&gt;"",B164+C164,"")</f>
        <v>40000</v>
      </c>
      <c r="E164" s="199" t="n">
        <f aca="false">IF(A165="","",IF(AND(AT164=1,$H$3=1),D164*AO164,IF($H$3=2,D164,"N/A")))</f>
        <v>1200000</v>
      </c>
      <c r="F164" s="199" t="n">
        <f aca="false">IF(A165="","",E164*AS164)</f>
        <v>3681522.92921629</v>
      </c>
      <c r="G164" s="200" t="e">
        <f aca="false">IF($A165="","",VLOOKUP($A164,Table,MATCH(G$4,Curves,0)))</f>
        <v>#N/A</v>
      </c>
      <c r="H164" s="201" t="e">
        <f aca="false">IF(A165="","",G164)</f>
        <v>#N/A</v>
      </c>
      <c r="I164" s="202"/>
      <c r="J164" s="200" t="e">
        <f aca="false">IF($A165="","",VLOOKUP($A164,Table,MATCH(J$4,Curves,0)))</f>
        <v>#N/A</v>
      </c>
      <c r="K164" s="201" t="e">
        <f aca="false">IF(A165="","",J164)</f>
        <v>#N/A</v>
      </c>
      <c r="L164" s="200" t="e">
        <f aca="false">IF($A165="","",VLOOKUP($A164,Table,MATCH(L$4,Curves,0)))</f>
        <v>#N/A</v>
      </c>
      <c r="M164" s="201" t="e">
        <f aca="false">IF(A165="","",L164)</f>
        <v>#N/A</v>
      </c>
      <c r="N164" s="203"/>
      <c r="O164" s="200" t="e">
        <f aca="false">IF(A165="","",L164+J164+G164)</f>
        <v>#N/A</v>
      </c>
      <c r="P164" s="200" t="e">
        <f aca="false">IF(A165="","",M164+K164+H164)</f>
        <v>#N/A</v>
      </c>
      <c r="Q164" s="204"/>
      <c r="R164" s="200" t="e">
        <f aca="false">IF($A165="","",VLOOKUP($A164,Table,MATCH(R$4,Curves,0)))</f>
        <v>#N/A</v>
      </c>
      <c r="S164" s="201" t="e">
        <f aca="false">IF(A165="","",R164)</f>
        <v>#N/A</v>
      </c>
      <c r="T164" s="200" t="e">
        <f aca="false">IF($A165="","",VLOOKUP($A164,Table,MATCH(T$4,Curves,0)))</f>
        <v>#N/A</v>
      </c>
      <c r="U164" s="201" t="e">
        <f aca="false">IF(A165="","",T164)</f>
        <v>#N/A</v>
      </c>
      <c r="V164" s="183" t="e">
        <f aca="false">IF($A165="","",IF(AND(MONTH(A164)&gt;3,MONTH(A164)&lt;11),(T164+R164+G164)*Summary!$T$7/(1-Summary!$T$7),(T164+R164+G164)*Summary!$U$7/(1-Summary!$U$7)))</f>
        <v>#N/A</v>
      </c>
      <c r="W164" s="200" t="e">
        <f aca="false">IF($A165="","",(T164+R164+G164+V164))</f>
        <v>#N/A</v>
      </c>
      <c r="X164" s="200" t="e">
        <f aca="false">IF($A165="","",(U164+S164+H164+V164))</f>
        <v>#N/A</v>
      </c>
      <c r="Y164" s="202"/>
      <c r="Z164" s="185" t="e">
        <f aca="false">IF($A165="","",VLOOKUP($A164,Table,MATCH(Z$4,Curves,0)))</f>
        <v>#N/A</v>
      </c>
      <c r="AA164" s="185" t="e">
        <f aca="false">IF($A165="","",VLOOKUP($A164,Table,MATCH(AA$4,Curves,0)))</f>
        <v>#N/A</v>
      </c>
      <c r="AB164" s="185" t="e">
        <f aca="false">SQRT((AA164^2*(A164-$D$3)+Z164^2*(DAY(EOMONTH(A164,0))/2))/AK164)</f>
        <v>#N/A</v>
      </c>
      <c r="AC164" s="185" t="e">
        <f aca="false">IF($A165="","",VLOOKUP($A164,Table,MATCH(AC$4,Curves,0)))</f>
        <v>#N/A</v>
      </c>
      <c r="AD164" s="185" t="e">
        <f aca="false">IF($A165="","",VLOOKUP($A164,Table,MATCH(AD$4,Curves,0)))</f>
        <v>#N/A</v>
      </c>
      <c r="AE164" s="185" t="e">
        <f aca="false">SQRT((AD164^2*(A164-$D$3)+AC164^2*(DAY(EOMONTH(A164,0))/2))/AK164)</f>
        <v>#N/A</v>
      </c>
      <c r="AF164" s="206" t="e">
        <f aca="false">((Summary!$N$7*(AA164*AD164)*(A164-$D$3))+(Summary!$M$7*Z164*AC164*(DAY(EOMONTH(A164,0))/2)))/(AK164*AB164*AE164)</f>
        <v>#N/A</v>
      </c>
      <c r="AG164" s="207" t="n">
        <f aca="false">IF($A165="","",Summary!$Q$7)</f>
        <v>0</v>
      </c>
      <c r="AH164" s="207" t="n">
        <f aca="false">IF($A165="","",IF(Summary!$R$7="Y",(VLOOKUP($A164,Summary!$AD$6:$AF$9,3)+'Escalating commodity'!C177),'Escalating commodity'!C177))</f>
        <v>0.0224952</v>
      </c>
      <c r="AI164" s="207" t="n">
        <f aca="false">IF($A165="","",AH164)</f>
        <v>0.0224952</v>
      </c>
      <c r="AJ164" s="208" t="n">
        <f aca="false">A164+DAY(EOMONTH(A164,0))/2-1</f>
        <v>41744</v>
      </c>
      <c r="AK164" s="209" t="n">
        <f aca="false">IF($A165="","",$A164-$E$1)</f>
        <v>-4196</v>
      </c>
      <c r="AL164" s="182" t="e">
        <f aca="false">IF($A165="","",SPRDOPT(P164,X164,AI164,0,AB164,AE164,AF164,AK164,$AJ$2,0))</f>
        <v>#NAME?</v>
      </c>
      <c r="AM164" s="210" t="e">
        <f aca="false">IF($A165="","",MAX(0,O164-W164-AI164))</f>
        <v>#N/A</v>
      </c>
      <c r="AN164" s="211" t="e">
        <f aca="false">IF($A165="","",AL164-AM164)</f>
        <v>#N/A</v>
      </c>
      <c r="AO164" s="137" t="n">
        <f aca="false">IF(A165="","",A165-A164)</f>
        <v>30</v>
      </c>
      <c r="AP164" s="212" t="n">
        <f aca="false">IF(A165="","",CHOOSE(F$3,A165+24,A164))</f>
        <v>41730</v>
      </c>
      <c r="AQ164" s="209" t="n">
        <f aca="false">IF(A165="","",AP164-$E$1)</f>
        <v>-4196</v>
      </c>
      <c r="AR164" s="185" t="n">
        <f aca="false">IF(Summary!$H$2=1,VLOOKUP('ANR OK vs ML7'!A164,Curves!$C$17:$AR$273,MATCH('ANR OK vs ML7'!$AR$4,Curves!$C$8:$AQ$8,0)),0.1)</f>
        <v>0.1</v>
      </c>
      <c r="AS164" s="213" t="n">
        <f aca="false">IF(A165="","",1/(1+CHOOSE(F$3,(AR165+($I$3/10000))/2,(AR164+($I$3/10000))/2))^(2*AQ164/365.25))</f>
        <v>3.06793577434691</v>
      </c>
      <c r="AT164" s="137" t="n">
        <f aca="false">IF(A165="","",IF(AND(mthbeg&lt;=A164,mthend&gt;=A164),1,0))</f>
        <v>1</v>
      </c>
      <c r="AU164" s="137" t="n">
        <f aca="false">IF(A165="","",AO164*AT164)</f>
        <v>30</v>
      </c>
      <c r="AW164" s="195" t="e">
        <f aca="false">IF($A165="","",AL164*$E164)</f>
        <v>#NAME?</v>
      </c>
      <c r="AX164" s="195" t="e">
        <f aca="false">IF($A165="","",AM164*$E164)</f>
        <v>#N/A</v>
      </c>
      <c r="AY164" s="195" t="e">
        <f aca="false">IF($A165="","",AN164*$E164)</f>
        <v>#N/A</v>
      </c>
      <c r="BA164" s="195" t="n">
        <f aca="false">IF($A165="","",F164*Summary!$Q$7)</f>
        <v>0</v>
      </c>
      <c r="BC164" s="179" t="e">
        <f aca="false">IF(A165="","",AM164*F164)</f>
        <v>#N/A</v>
      </c>
    </row>
    <row r="165" customFormat="false" ht="12.75" hidden="false" customHeight="false" outlineLevel="0" collapsed="false">
      <c r="A165" s="196" t="n">
        <f aca="false">IF(A164&lt;mthend,EDATE(A164,1),"")</f>
        <v>41760</v>
      </c>
      <c r="B165" s="197" t="n">
        <f aca="false">IF(A165&lt;mthend,B164,"")</f>
        <v>40000</v>
      </c>
      <c r="C165" s="215"/>
      <c r="D165" s="197" t="n">
        <f aca="false">IF(A166&lt;&gt;"",B165+C165,"")</f>
        <v>40000</v>
      </c>
      <c r="E165" s="199" t="n">
        <f aca="false">IF(A166="","",IF(AND(AT165=1,$H$3=1),D165*AO165,IF($H$3=2,D165,"N/A")))</f>
        <v>1240000</v>
      </c>
      <c r="F165" s="199" t="n">
        <f aca="false">IF(A166="","",E165*AS165)</f>
        <v>3773871.95242028</v>
      </c>
      <c r="G165" s="200" t="e">
        <f aca="false">IF($A166="","",VLOOKUP($A165,Table,MATCH(G$4,Curves,0)))</f>
        <v>#N/A</v>
      </c>
      <c r="H165" s="201" t="e">
        <f aca="false">IF(A166="","",G165)</f>
        <v>#N/A</v>
      </c>
      <c r="I165" s="202"/>
      <c r="J165" s="200" t="e">
        <f aca="false">IF($A166="","",VLOOKUP($A165,Table,MATCH(J$4,Curves,0)))</f>
        <v>#N/A</v>
      </c>
      <c r="K165" s="201" t="e">
        <f aca="false">IF(A166="","",J165)</f>
        <v>#N/A</v>
      </c>
      <c r="L165" s="200" t="e">
        <f aca="false">IF($A166="","",VLOOKUP($A165,Table,MATCH(L$4,Curves,0)))</f>
        <v>#N/A</v>
      </c>
      <c r="M165" s="201" t="e">
        <f aca="false">IF(A166="","",L165)</f>
        <v>#N/A</v>
      </c>
      <c r="N165" s="203"/>
      <c r="O165" s="200" t="e">
        <f aca="false">IF(A166="","",L165+J165+G165)</f>
        <v>#N/A</v>
      </c>
      <c r="P165" s="200" t="e">
        <f aca="false">IF(A166="","",M165+K165+H165)</f>
        <v>#N/A</v>
      </c>
      <c r="Q165" s="204"/>
      <c r="R165" s="200" t="e">
        <f aca="false">IF($A166="","",VLOOKUP($A165,Table,MATCH(R$4,Curves,0)))</f>
        <v>#N/A</v>
      </c>
      <c r="S165" s="201" t="e">
        <f aca="false">IF(A166="","",R165)</f>
        <v>#N/A</v>
      </c>
      <c r="T165" s="200" t="e">
        <f aca="false">IF($A166="","",VLOOKUP($A165,Table,MATCH(T$4,Curves,0)))</f>
        <v>#N/A</v>
      </c>
      <c r="U165" s="201" t="e">
        <f aca="false">IF(A166="","",T165)</f>
        <v>#N/A</v>
      </c>
      <c r="V165" s="183" t="e">
        <f aca="false">IF($A166="","",IF(AND(MONTH(A165)&gt;3,MONTH(A165)&lt;11),(T165+R165+G165)*Summary!$T$7/(1-Summary!$T$7),(T165+R165+G165)*Summary!$U$7/(1-Summary!$U$7)))</f>
        <v>#N/A</v>
      </c>
      <c r="W165" s="200" t="e">
        <f aca="false">IF($A166="","",(T165+R165+G165+V165))</f>
        <v>#N/A</v>
      </c>
      <c r="X165" s="200" t="e">
        <f aca="false">IF($A166="","",(U165+S165+H165+V165))</f>
        <v>#N/A</v>
      </c>
      <c r="Y165" s="202"/>
      <c r="Z165" s="185" t="e">
        <f aca="false">IF($A166="","",VLOOKUP($A165,Table,MATCH(Z$4,Curves,0)))</f>
        <v>#N/A</v>
      </c>
      <c r="AA165" s="185" t="e">
        <f aca="false">IF($A166="","",VLOOKUP($A165,Table,MATCH(AA$4,Curves,0)))</f>
        <v>#N/A</v>
      </c>
      <c r="AB165" s="185" t="e">
        <f aca="false">SQRT((AA165^2*(A165-$D$3)+Z165^2*(DAY(EOMONTH(A165,0))/2))/AK165)</f>
        <v>#N/A</v>
      </c>
      <c r="AC165" s="185" t="e">
        <f aca="false">IF($A166="","",VLOOKUP($A165,Table,MATCH(AC$4,Curves,0)))</f>
        <v>#N/A</v>
      </c>
      <c r="AD165" s="185" t="e">
        <f aca="false">IF($A166="","",VLOOKUP($A165,Table,MATCH(AD$4,Curves,0)))</f>
        <v>#N/A</v>
      </c>
      <c r="AE165" s="185" t="e">
        <f aca="false">SQRT((AD165^2*(A165-$D$3)+AC165^2*(DAY(EOMONTH(A165,0))/2))/AK165)</f>
        <v>#N/A</v>
      </c>
      <c r="AF165" s="206" t="e">
        <f aca="false">((Summary!$N$7*(AA165*AD165)*(A165-$D$3))+(Summary!$M$7*Z165*AC165*(DAY(EOMONTH(A165,0))/2)))/(AK165*AB165*AE165)</f>
        <v>#N/A</v>
      </c>
      <c r="AG165" s="207" t="n">
        <f aca="false">IF($A166="","",Summary!$Q$7)</f>
        <v>0</v>
      </c>
      <c r="AH165" s="207" t="n">
        <f aca="false">IF($A166="","",IF(Summary!$R$7="Y",(VLOOKUP($A165,Summary!$AD$6:$AF$9,3)+'Escalating commodity'!C178),'Escalating commodity'!C178))</f>
        <v>0.0224952</v>
      </c>
      <c r="AI165" s="207" t="n">
        <f aca="false">IF($A166="","",AH165)</f>
        <v>0.0224952</v>
      </c>
      <c r="AJ165" s="208" t="n">
        <f aca="false">A165+DAY(EOMONTH(A165,0))/2-1</f>
        <v>41774.5</v>
      </c>
      <c r="AK165" s="209" t="n">
        <f aca="false">IF($A166="","",$A165-$E$1)</f>
        <v>-4166</v>
      </c>
      <c r="AL165" s="182" t="e">
        <f aca="false">IF($A166="","",SPRDOPT(P165,X165,AI165,0,AB165,AE165,AF165,AK165,$AJ$2,0))</f>
        <v>#NAME?</v>
      </c>
      <c r="AM165" s="210" t="e">
        <f aca="false">IF($A166="","",MAX(0,O165-W165-AI165))</f>
        <v>#N/A</v>
      </c>
      <c r="AN165" s="211" t="e">
        <f aca="false">IF($A166="","",AL165-AM165)</f>
        <v>#N/A</v>
      </c>
      <c r="AO165" s="137" t="n">
        <f aca="false">IF(A166="","",A166-A165)</f>
        <v>31</v>
      </c>
      <c r="AP165" s="212" t="n">
        <f aca="false">IF(A166="","",CHOOSE(F$3,A166+24,A165))</f>
        <v>41760</v>
      </c>
      <c r="AQ165" s="209" t="n">
        <f aca="false">IF(A166="","",AP165-$E$1)</f>
        <v>-4166</v>
      </c>
      <c r="AR165" s="185" t="n">
        <f aca="false">IF(Summary!$H$2=1,VLOOKUP('ANR OK vs ML7'!A165,Curves!$C$17:$AR$273,MATCH('ANR OK vs ML7'!$AR$4,Curves!$C$8:$AQ$8,0)),0.1)</f>
        <v>0.1</v>
      </c>
      <c r="AS165" s="213" t="n">
        <f aca="false">IF(A166="","",1/(1+CHOOSE(F$3,(AR166+($I$3/10000))/2,(AR165+($I$3/10000))/2))^(2*AQ165/365.25))</f>
        <v>3.04344512291958</v>
      </c>
      <c r="AT165" s="137" t="n">
        <f aca="false">IF(A166="","",IF(AND(mthbeg&lt;=A165,mthend&gt;=A165),1,0))</f>
        <v>1</v>
      </c>
      <c r="AU165" s="137" t="n">
        <f aca="false">IF(A166="","",AO165*AT165)</f>
        <v>31</v>
      </c>
      <c r="AW165" s="195" t="e">
        <f aca="false">IF($A166="","",AL165*$E165)</f>
        <v>#NAME?</v>
      </c>
      <c r="AX165" s="195" t="e">
        <f aca="false">IF($A166="","",AM165*$E165)</f>
        <v>#N/A</v>
      </c>
      <c r="AY165" s="195" t="e">
        <f aca="false">IF($A166="","",AN165*$E165)</f>
        <v>#N/A</v>
      </c>
      <c r="BA165" s="195" t="n">
        <f aca="false">IF($A166="","",F165*Summary!$Q$7)</f>
        <v>0</v>
      </c>
      <c r="BC165" s="179" t="e">
        <f aca="false">IF(A166="","",AM165*F165)</f>
        <v>#N/A</v>
      </c>
    </row>
    <row r="166" customFormat="false" ht="12.75" hidden="false" customHeight="false" outlineLevel="0" collapsed="false">
      <c r="A166" s="196" t="n">
        <f aca="false">IF(A165&lt;mthend,EDATE(A165,1),"")</f>
        <v>41791</v>
      </c>
      <c r="B166" s="197" t="n">
        <f aca="false">IF(A166&lt;mthend,B165,"")</f>
        <v>40000</v>
      </c>
      <c r="C166" s="215"/>
      <c r="D166" s="197" t="n">
        <f aca="false">IF(A167&lt;&gt;"",B166+C166,"")</f>
        <v>40000</v>
      </c>
      <c r="E166" s="199" t="n">
        <f aca="false">IF(A167="","",IF(AND(AT166=1,$H$3=1),D166*AO166,IF($H$3=2,D166,"N/A")))</f>
        <v>1200000</v>
      </c>
      <c r="F166" s="199" t="n">
        <f aca="false">IF(A167="","",E166*AS166)</f>
        <v>3622012.18250453</v>
      </c>
      <c r="G166" s="200" t="e">
        <f aca="false">IF($A167="","",VLOOKUP($A166,Table,MATCH(G$4,Curves,0)))</f>
        <v>#N/A</v>
      </c>
      <c r="H166" s="201" t="e">
        <f aca="false">IF(A167="","",G166)</f>
        <v>#N/A</v>
      </c>
      <c r="I166" s="202"/>
      <c r="J166" s="200" t="e">
        <f aca="false">IF($A167="","",VLOOKUP($A166,Table,MATCH(J$4,Curves,0)))</f>
        <v>#N/A</v>
      </c>
      <c r="K166" s="201" t="e">
        <f aca="false">IF(A167="","",J166)</f>
        <v>#N/A</v>
      </c>
      <c r="L166" s="200" t="e">
        <f aca="false">IF($A167="","",VLOOKUP($A166,Table,MATCH(L$4,Curves,0)))</f>
        <v>#N/A</v>
      </c>
      <c r="M166" s="201" t="e">
        <f aca="false">IF(A167="","",L166)</f>
        <v>#N/A</v>
      </c>
      <c r="N166" s="203"/>
      <c r="O166" s="200" t="e">
        <f aca="false">IF(A167="","",L166+J166+G166)</f>
        <v>#N/A</v>
      </c>
      <c r="P166" s="200" t="e">
        <f aca="false">IF(A167="","",M166+K166+H166)</f>
        <v>#N/A</v>
      </c>
      <c r="Q166" s="204"/>
      <c r="R166" s="200" t="e">
        <f aca="false">IF($A167="","",VLOOKUP($A166,Table,MATCH(R$4,Curves,0)))</f>
        <v>#N/A</v>
      </c>
      <c r="S166" s="201" t="e">
        <f aca="false">IF(A167="","",R166)</f>
        <v>#N/A</v>
      </c>
      <c r="T166" s="200" t="e">
        <f aca="false">IF($A167="","",VLOOKUP($A166,Table,MATCH(T$4,Curves,0)))</f>
        <v>#N/A</v>
      </c>
      <c r="U166" s="201" t="e">
        <f aca="false">IF(A167="","",T166)</f>
        <v>#N/A</v>
      </c>
      <c r="V166" s="183" t="e">
        <f aca="false">IF($A167="","",IF(AND(MONTH(A166)&gt;3,MONTH(A166)&lt;11),(T166+R166+G166)*Summary!$T$7/(1-Summary!$T$7),(T166+R166+G166)*Summary!$U$7/(1-Summary!$U$7)))</f>
        <v>#N/A</v>
      </c>
      <c r="W166" s="200" t="e">
        <f aca="false">IF($A167="","",(T166+R166+G166+V166))</f>
        <v>#N/A</v>
      </c>
      <c r="X166" s="200" t="e">
        <f aca="false">IF($A167="","",(U166+S166+H166+V166))</f>
        <v>#N/A</v>
      </c>
      <c r="Y166" s="202"/>
      <c r="Z166" s="185" t="e">
        <f aca="false">IF($A167="","",VLOOKUP($A166,Table,MATCH(Z$4,Curves,0)))</f>
        <v>#N/A</v>
      </c>
      <c r="AA166" s="185" t="e">
        <f aca="false">IF($A167="","",VLOOKUP($A166,Table,MATCH(AA$4,Curves,0)))</f>
        <v>#N/A</v>
      </c>
      <c r="AB166" s="185" t="e">
        <f aca="false">SQRT((AA166^2*(A166-$D$3)+Z166^2*(DAY(EOMONTH(A166,0))/2))/AK166)</f>
        <v>#N/A</v>
      </c>
      <c r="AC166" s="185" t="e">
        <f aca="false">IF($A167="","",VLOOKUP($A166,Table,MATCH(AC$4,Curves,0)))</f>
        <v>#N/A</v>
      </c>
      <c r="AD166" s="185" t="e">
        <f aca="false">IF($A167="","",VLOOKUP($A166,Table,MATCH(AD$4,Curves,0)))</f>
        <v>#N/A</v>
      </c>
      <c r="AE166" s="185" t="e">
        <f aca="false">SQRT((AD166^2*(A166-$D$3)+AC166^2*(DAY(EOMONTH(A166,0))/2))/AK166)</f>
        <v>#N/A</v>
      </c>
      <c r="AF166" s="206" t="e">
        <f aca="false">((Summary!$N$7*(AA166*AD166)*(A166-$D$3))+(Summary!$M$7*Z166*AC166*(DAY(EOMONTH(A166,0))/2)))/(AK166*AB166*AE166)</f>
        <v>#N/A</v>
      </c>
      <c r="AG166" s="207" t="n">
        <f aca="false">IF($A167="","",Summary!$Q$7)</f>
        <v>0</v>
      </c>
      <c r="AH166" s="207" t="n">
        <f aca="false">IF($A167="","",IF(Summary!$R$7="Y",(VLOOKUP($A166,Summary!$AD$6:$AF$9,3)+'Escalating commodity'!C179),'Escalating commodity'!C179))</f>
        <v>0.0224952</v>
      </c>
      <c r="AI166" s="207" t="n">
        <f aca="false">IF($A167="","",AH166)</f>
        <v>0.0224952</v>
      </c>
      <c r="AJ166" s="208" t="n">
        <f aca="false">A166+DAY(EOMONTH(A166,0))/2-1</f>
        <v>41805</v>
      </c>
      <c r="AK166" s="209" t="n">
        <f aca="false">IF($A167="","",$A166-$E$1)</f>
        <v>-4135</v>
      </c>
      <c r="AL166" s="182" t="e">
        <f aca="false">IF($A167="","",SPRDOPT(P166,X166,AI166,0,AB166,AE166,AF166,AK166,$AJ$2,0))</f>
        <v>#NAME?</v>
      </c>
      <c r="AM166" s="210" t="e">
        <f aca="false">IF($A167="","",MAX(0,O166-W166-AI166))</f>
        <v>#N/A</v>
      </c>
      <c r="AN166" s="211" t="e">
        <f aca="false">IF($A167="","",AL166-AM166)</f>
        <v>#N/A</v>
      </c>
      <c r="AO166" s="137" t="n">
        <f aca="false">IF(A167="","",A167-A166)</f>
        <v>30</v>
      </c>
      <c r="AP166" s="212" t="n">
        <f aca="false">IF(A167="","",CHOOSE(F$3,A167+24,A166))</f>
        <v>41791</v>
      </c>
      <c r="AQ166" s="209" t="n">
        <f aca="false">IF(A167="","",AP166-$E$1)</f>
        <v>-4135</v>
      </c>
      <c r="AR166" s="185" t="n">
        <f aca="false">IF(Summary!$H$2=1,VLOOKUP('ANR OK vs ML7'!A166,Curves!$C$17:$AR$273,MATCH('ANR OK vs ML7'!$AR$4,Curves!$C$8:$AQ$8,0)),0.1)</f>
        <v>0.1</v>
      </c>
      <c r="AS166" s="213" t="n">
        <f aca="false">IF(A167="","",1/(1+CHOOSE(F$3,(AR167+($I$3/10000))/2,(AR166+($I$3/10000))/2))^(2*AQ166/365.25))</f>
        <v>3.01834348542044</v>
      </c>
      <c r="AT166" s="137" t="n">
        <f aca="false">IF(A167="","",IF(AND(mthbeg&lt;=A166,mthend&gt;=A166),1,0))</f>
        <v>1</v>
      </c>
      <c r="AU166" s="137" t="n">
        <f aca="false">IF(A167="","",AO166*AT166)</f>
        <v>30</v>
      </c>
      <c r="AW166" s="195" t="e">
        <f aca="false">IF($A167="","",AL166*$E166)</f>
        <v>#NAME?</v>
      </c>
      <c r="AX166" s="195" t="e">
        <f aca="false">IF($A167="","",AM166*$E166)</f>
        <v>#N/A</v>
      </c>
      <c r="AY166" s="195" t="e">
        <f aca="false">IF($A167="","",AN166*$E166)</f>
        <v>#N/A</v>
      </c>
      <c r="BA166" s="195" t="n">
        <f aca="false">IF($A167="","",F166*Summary!$Q$7)</f>
        <v>0</v>
      </c>
      <c r="BC166" s="179" t="e">
        <f aca="false">IF(A167="","",AM166*F166)</f>
        <v>#N/A</v>
      </c>
    </row>
    <row r="167" customFormat="false" ht="12.75" hidden="false" customHeight="false" outlineLevel="0" collapsed="false">
      <c r="A167" s="196" t="n">
        <f aca="false">IF(A166&lt;mthend,EDATE(A166,1),"")</f>
        <v>41821</v>
      </c>
      <c r="B167" s="197" t="n">
        <f aca="false">IF(A167&lt;mthend,B166,"")</f>
        <v>40000</v>
      </c>
      <c r="C167" s="215"/>
      <c r="D167" s="197" t="n">
        <f aca="false">IF(A168&lt;&gt;"",B167+C167,"")</f>
        <v>40000</v>
      </c>
      <c r="E167" s="199" t="n">
        <f aca="false">IF(A168="","",IF(AND(AT167=1,$H$3=1),D167*AO167,IF($H$3=2,D167,"N/A")))</f>
        <v>1240000</v>
      </c>
      <c r="F167" s="199" t="n">
        <f aca="false">IF(A168="","",E167*AS167)</f>
        <v>3712868.4106249</v>
      </c>
      <c r="G167" s="200" t="e">
        <f aca="false">IF($A168="","",VLOOKUP($A167,Table,MATCH(G$4,Curves,0)))</f>
        <v>#N/A</v>
      </c>
      <c r="H167" s="201" t="e">
        <f aca="false">IF(A168="","",G167)</f>
        <v>#N/A</v>
      </c>
      <c r="I167" s="202"/>
      <c r="J167" s="200" t="e">
        <f aca="false">IF($A168="","",VLOOKUP($A167,Table,MATCH(J$4,Curves,0)))</f>
        <v>#N/A</v>
      </c>
      <c r="K167" s="201" t="e">
        <f aca="false">IF(A168="","",J167)</f>
        <v>#N/A</v>
      </c>
      <c r="L167" s="200" t="e">
        <f aca="false">IF($A168="","",VLOOKUP($A167,Table,MATCH(L$4,Curves,0)))</f>
        <v>#N/A</v>
      </c>
      <c r="M167" s="201" t="e">
        <f aca="false">IF(A168="","",L167)</f>
        <v>#N/A</v>
      </c>
      <c r="N167" s="203"/>
      <c r="O167" s="200" t="e">
        <f aca="false">IF(A168="","",L167+J167+G167)</f>
        <v>#N/A</v>
      </c>
      <c r="P167" s="200" t="e">
        <f aca="false">IF(A168="","",M167+K167+H167)</f>
        <v>#N/A</v>
      </c>
      <c r="Q167" s="204"/>
      <c r="R167" s="200" t="e">
        <f aca="false">IF($A168="","",VLOOKUP($A167,Table,MATCH(R$4,Curves,0)))</f>
        <v>#N/A</v>
      </c>
      <c r="S167" s="201" t="e">
        <f aca="false">IF(A168="","",R167)</f>
        <v>#N/A</v>
      </c>
      <c r="T167" s="200" t="e">
        <f aca="false">IF($A168="","",VLOOKUP($A167,Table,MATCH(T$4,Curves,0)))</f>
        <v>#N/A</v>
      </c>
      <c r="U167" s="201" t="e">
        <f aca="false">IF(A168="","",T167)</f>
        <v>#N/A</v>
      </c>
      <c r="V167" s="183" t="e">
        <f aca="false">IF($A168="","",IF(AND(MONTH(A167)&gt;3,MONTH(A167)&lt;11),(T167+R167+G167)*Summary!$T$7/(1-Summary!$T$7),(T167+R167+G167)*Summary!$U$7/(1-Summary!$U$7)))</f>
        <v>#N/A</v>
      </c>
      <c r="W167" s="200" t="e">
        <f aca="false">IF($A168="","",(T167+R167+G167+V167))</f>
        <v>#N/A</v>
      </c>
      <c r="X167" s="200" t="e">
        <f aca="false">IF($A168="","",(U167+S167+H167+V167))</f>
        <v>#N/A</v>
      </c>
      <c r="Y167" s="202"/>
      <c r="Z167" s="185" t="e">
        <f aca="false">IF($A168="","",VLOOKUP($A167,Table,MATCH(Z$4,Curves,0)))</f>
        <v>#N/A</v>
      </c>
      <c r="AA167" s="185" t="e">
        <f aca="false">IF($A168="","",VLOOKUP($A167,Table,MATCH(AA$4,Curves,0)))</f>
        <v>#N/A</v>
      </c>
      <c r="AB167" s="185" t="e">
        <f aca="false">SQRT((AA167^2*(A167-$D$3)+Z167^2*(DAY(EOMONTH(A167,0))/2))/AK167)</f>
        <v>#N/A</v>
      </c>
      <c r="AC167" s="185" t="e">
        <f aca="false">IF($A168="","",VLOOKUP($A167,Table,MATCH(AC$4,Curves,0)))</f>
        <v>#N/A</v>
      </c>
      <c r="AD167" s="185" t="e">
        <f aca="false">IF($A168="","",VLOOKUP($A167,Table,MATCH(AD$4,Curves,0)))</f>
        <v>#N/A</v>
      </c>
      <c r="AE167" s="185" t="e">
        <f aca="false">SQRT((AD167^2*(A167-$D$3)+AC167^2*(DAY(EOMONTH(A167,0))/2))/AK167)</f>
        <v>#N/A</v>
      </c>
      <c r="AF167" s="206" t="e">
        <f aca="false">((Summary!$N$7*(AA167*AD167)*(A167-$D$3))+(Summary!$M$7*Z167*AC167*(DAY(EOMONTH(A167,0))/2)))/(AK167*AB167*AE167)</f>
        <v>#N/A</v>
      </c>
      <c r="AG167" s="207" t="n">
        <f aca="false">IF($A168="","",Summary!$Q$7)</f>
        <v>0</v>
      </c>
      <c r="AH167" s="207" t="n">
        <f aca="false">IF($A168="","",IF(Summary!$R$7="Y",(VLOOKUP($A167,Summary!$AD$6:$AF$9,3)+'Escalating commodity'!C180),'Escalating commodity'!C180))</f>
        <v>0.0224952</v>
      </c>
      <c r="AI167" s="207" t="n">
        <f aca="false">IF($A168="","",AH167)</f>
        <v>0.0224952</v>
      </c>
      <c r="AJ167" s="208" t="n">
        <f aca="false">A167+DAY(EOMONTH(A167,0))/2-1</f>
        <v>41835.5</v>
      </c>
      <c r="AK167" s="209" t="n">
        <f aca="false">IF($A168="","",$A167-$E$1)</f>
        <v>-4105</v>
      </c>
      <c r="AL167" s="182" t="e">
        <f aca="false">IF($A168="","",SPRDOPT(P167,X167,AI167,0,AB167,AE167,AF167,AK167,$AJ$2,0))</f>
        <v>#NAME?</v>
      </c>
      <c r="AM167" s="210" t="e">
        <f aca="false">IF($A168="","",MAX(0,O167-W167-AI167))</f>
        <v>#N/A</v>
      </c>
      <c r="AN167" s="211" t="e">
        <f aca="false">IF($A168="","",AL167-AM167)</f>
        <v>#N/A</v>
      </c>
      <c r="AO167" s="137" t="n">
        <f aca="false">IF(A168="","",A168-A167)</f>
        <v>31</v>
      </c>
      <c r="AP167" s="212" t="n">
        <f aca="false">IF(A168="","",CHOOSE(F$3,A168+24,A167))</f>
        <v>41821</v>
      </c>
      <c r="AQ167" s="209" t="n">
        <f aca="false">IF(A168="","",AP167-$E$1)</f>
        <v>-4105</v>
      </c>
      <c r="AR167" s="185" t="n">
        <f aca="false">IF(Summary!$H$2=1,VLOOKUP('ANR OK vs ML7'!A167,Curves!$C$17:$AR$273,MATCH('ANR OK vs ML7'!$AR$4,Curves!$C$8:$AQ$8,0)),0.1)</f>
        <v>0.1</v>
      </c>
      <c r="AS167" s="213" t="n">
        <f aca="false">IF(A168="","",1/(1+CHOOSE(F$3,(AR168+($I$3/10000))/2,(AR167+($I$3/10000))/2))^(2*AQ167/365.25))</f>
        <v>2.99424871824588</v>
      </c>
      <c r="AT167" s="137" t="n">
        <f aca="false">IF(A168="","",IF(AND(mthbeg&lt;=A167,mthend&gt;=A167),1,0))</f>
        <v>1</v>
      </c>
      <c r="AU167" s="137" t="n">
        <f aca="false">IF(A168="","",AO167*AT167)</f>
        <v>31</v>
      </c>
      <c r="AW167" s="195" t="e">
        <f aca="false">IF($A168="","",AL167*$E167)</f>
        <v>#NAME?</v>
      </c>
      <c r="AX167" s="195" t="e">
        <f aca="false">IF($A168="","",AM167*$E167)</f>
        <v>#N/A</v>
      </c>
      <c r="AY167" s="195" t="e">
        <f aca="false">IF($A168="","",AN167*$E167)</f>
        <v>#N/A</v>
      </c>
      <c r="BA167" s="195" t="n">
        <f aca="false">IF($A168="","",F167*Summary!$Q$7)</f>
        <v>0</v>
      </c>
      <c r="BC167" s="179" t="e">
        <f aca="false">IF(A168="","",AM167*F167)</f>
        <v>#N/A</v>
      </c>
    </row>
    <row r="168" customFormat="false" ht="12.75" hidden="false" customHeight="false" outlineLevel="0" collapsed="false">
      <c r="A168" s="196" t="n">
        <f aca="false">IF(A167&lt;mthend,EDATE(A167,1),"")</f>
        <v>41852</v>
      </c>
      <c r="B168" s="197" t="n">
        <f aca="false">IF(A168&lt;mthend,B167,"")</f>
        <v>40000</v>
      </c>
      <c r="C168" s="215"/>
      <c r="D168" s="197" t="n">
        <f aca="false">IF(A169&lt;&gt;"",B168+C168,"")</f>
        <v>40000</v>
      </c>
      <c r="E168" s="199" t="n">
        <f aca="false">IF(A169="","",IF(AND(AT168=1,$H$3=1),D168*AO168,IF($H$3=2,D168,"N/A")))</f>
        <v>1240000</v>
      </c>
      <c r="F168" s="199" t="n">
        <f aca="false">IF(A169="","",E168*AS168)</f>
        <v>3682245.52335032</v>
      </c>
      <c r="G168" s="200" t="e">
        <f aca="false">IF($A169="","",VLOOKUP($A168,Table,MATCH(G$4,Curves,0)))</f>
        <v>#N/A</v>
      </c>
      <c r="H168" s="201" t="e">
        <f aca="false">IF(A169="","",G168)</f>
        <v>#N/A</v>
      </c>
      <c r="I168" s="202"/>
      <c r="J168" s="200" t="e">
        <f aca="false">IF($A169="","",VLOOKUP($A168,Table,MATCH(J$4,Curves,0)))</f>
        <v>#N/A</v>
      </c>
      <c r="K168" s="201" t="e">
        <f aca="false">IF(A169="","",J168)</f>
        <v>#N/A</v>
      </c>
      <c r="L168" s="200" t="e">
        <f aca="false">IF($A169="","",VLOOKUP($A168,Table,MATCH(L$4,Curves,0)))</f>
        <v>#N/A</v>
      </c>
      <c r="M168" s="201" t="e">
        <f aca="false">IF(A169="","",L168)</f>
        <v>#N/A</v>
      </c>
      <c r="N168" s="203"/>
      <c r="O168" s="200" t="e">
        <f aca="false">IF(A169="","",L168+J168+G168)</f>
        <v>#N/A</v>
      </c>
      <c r="P168" s="200" t="e">
        <f aca="false">IF(A169="","",M168+K168+H168)</f>
        <v>#N/A</v>
      </c>
      <c r="Q168" s="204"/>
      <c r="R168" s="200" t="e">
        <f aca="false">IF($A169="","",VLOOKUP($A168,Table,MATCH(R$4,Curves,0)))</f>
        <v>#N/A</v>
      </c>
      <c r="S168" s="201" t="e">
        <f aca="false">IF(A169="","",R168)</f>
        <v>#N/A</v>
      </c>
      <c r="T168" s="200" t="e">
        <f aca="false">IF($A169="","",VLOOKUP($A168,Table,MATCH(T$4,Curves,0)))</f>
        <v>#N/A</v>
      </c>
      <c r="U168" s="201" t="e">
        <f aca="false">IF(A169="","",T168)</f>
        <v>#N/A</v>
      </c>
      <c r="V168" s="183" t="e">
        <f aca="false">IF($A169="","",IF(AND(MONTH(A168)&gt;3,MONTH(A168)&lt;11),(T168+R168+G168)*Summary!$T$7/(1-Summary!$T$7),(T168+R168+G168)*Summary!$U$7/(1-Summary!$U$7)))</f>
        <v>#N/A</v>
      </c>
      <c r="W168" s="200" t="e">
        <f aca="false">IF($A169="","",(T168+R168+G168+V168))</f>
        <v>#N/A</v>
      </c>
      <c r="X168" s="200" t="e">
        <f aca="false">IF($A169="","",(U168+S168+H168+V168))</f>
        <v>#N/A</v>
      </c>
      <c r="Y168" s="202"/>
      <c r="Z168" s="185" t="e">
        <f aca="false">IF($A169="","",VLOOKUP($A168,Table,MATCH(Z$4,Curves,0)))</f>
        <v>#N/A</v>
      </c>
      <c r="AA168" s="185" t="e">
        <f aca="false">IF($A169="","",VLOOKUP($A168,Table,MATCH(AA$4,Curves,0)))</f>
        <v>#N/A</v>
      </c>
      <c r="AB168" s="185" t="e">
        <f aca="false">SQRT((AA168^2*(A168-$D$3)+Z168^2*(DAY(EOMONTH(A168,0))/2))/AK168)</f>
        <v>#N/A</v>
      </c>
      <c r="AC168" s="185" t="e">
        <f aca="false">IF($A169="","",VLOOKUP($A168,Table,MATCH(AC$4,Curves,0)))</f>
        <v>#N/A</v>
      </c>
      <c r="AD168" s="185" t="e">
        <f aca="false">IF($A169="","",VLOOKUP($A168,Table,MATCH(AD$4,Curves,0)))</f>
        <v>#N/A</v>
      </c>
      <c r="AE168" s="185" t="e">
        <f aca="false">SQRT((AD168^2*(A168-$D$3)+AC168^2*(DAY(EOMONTH(A168,0))/2))/AK168)</f>
        <v>#N/A</v>
      </c>
      <c r="AF168" s="206" t="e">
        <f aca="false">((Summary!$N$7*(AA168*AD168)*(A168-$D$3))+(Summary!$M$7*Z168*AC168*(DAY(EOMONTH(A168,0))/2)))/(AK168*AB168*AE168)</f>
        <v>#N/A</v>
      </c>
      <c r="AG168" s="207" t="n">
        <f aca="false">IF($A169="","",Summary!$Q$7)</f>
        <v>0</v>
      </c>
      <c r="AH168" s="207" t="n">
        <f aca="false">IF($A169="","",IF(Summary!$R$7="Y",(VLOOKUP($A168,Summary!$AD$6:$AF$9,3)+'Escalating commodity'!C181),'Escalating commodity'!C181))</f>
        <v>0.0224952</v>
      </c>
      <c r="AI168" s="207" t="n">
        <f aca="false">IF($A169="","",AH168)</f>
        <v>0.0224952</v>
      </c>
      <c r="AJ168" s="208" t="n">
        <f aca="false">A168+DAY(EOMONTH(A168,0))/2-1</f>
        <v>41866.5</v>
      </c>
      <c r="AK168" s="209" t="n">
        <f aca="false">IF($A169="","",$A168-$E$1)</f>
        <v>-4074</v>
      </c>
      <c r="AL168" s="182" t="e">
        <f aca="false">IF($A169="","",SPRDOPT(P168,X168,AI168,0,AB168,AE168,AF168,AK168,$AJ$2,0))</f>
        <v>#NAME?</v>
      </c>
      <c r="AM168" s="210" t="e">
        <f aca="false">IF($A169="","",MAX(0,O168-W168-AI168))</f>
        <v>#N/A</v>
      </c>
      <c r="AN168" s="211" t="e">
        <f aca="false">IF($A169="","",AL168-AM168)</f>
        <v>#N/A</v>
      </c>
      <c r="AO168" s="137" t="n">
        <f aca="false">IF(A169="","",A169-A168)</f>
        <v>31</v>
      </c>
      <c r="AP168" s="212" t="n">
        <f aca="false">IF(A169="","",CHOOSE(F$3,A169+24,A168))</f>
        <v>41852</v>
      </c>
      <c r="AQ168" s="209" t="n">
        <f aca="false">IF(A169="","",AP168-$E$1)</f>
        <v>-4074</v>
      </c>
      <c r="AR168" s="185" t="n">
        <f aca="false">IF(Summary!$H$2=1,VLOOKUP('ANR OK vs ML7'!A168,Curves!$C$17:$AR$273,MATCH('ANR OK vs ML7'!$AR$4,Curves!$C$8:$AQ$8,0)),0.1)</f>
        <v>0.1</v>
      </c>
      <c r="AS168" s="213" t="n">
        <f aca="false">IF(A169="","",1/(1+CHOOSE(F$3,(AR169+($I$3/10000))/2,(AR168+($I$3/10000))/2))^(2*AQ168/365.25))</f>
        <v>2.96955284141155</v>
      </c>
      <c r="AT168" s="137" t="n">
        <f aca="false">IF(A169="","",IF(AND(mthbeg&lt;=A168,mthend&gt;=A168),1,0))</f>
        <v>1</v>
      </c>
      <c r="AU168" s="137" t="n">
        <f aca="false">IF(A169="","",AO168*AT168)</f>
        <v>31</v>
      </c>
      <c r="AW168" s="195" t="e">
        <f aca="false">IF($A169="","",AL168*$E168)</f>
        <v>#NAME?</v>
      </c>
      <c r="AX168" s="195" t="e">
        <f aca="false">IF($A169="","",AM168*$E168)</f>
        <v>#N/A</v>
      </c>
      <c r="AY168" s="195" t="e">
        <f aca="false">IF($A169="","",AN168*$E168)</f>
        <v>#N/A</v>
      </c>
      <c r="BA168" s="195" t="n">
        <f aca="false">IF($A169="","",F168*Summary!$Q$7)</f>
        <v>0</v>
      </c>
      <c r="BC168" s="179" t="e">
        <f aca="false">IF(A169="","",AM168*F168)</f>
        <v>#N/A</v>
      </c>
    </row>
    <row r="169" customFormat="false" ht="12.75" hidden="false" customHeight="false" outlineLevel="0" collapsed="false">
      <c r="A169" s="196" t="n">
        <f aca="false">IF(A168&lt;mthend,EDATE(A168,1),"")</f>
        <v>41883</v>
      </c>
      <c r="B169" s="197" t="n">
        <f aca="false">IF(A169&lt;mthend,B168,"")</f>
        <v>40000</v>
      </c>
      <c r="C169" s="215"/>
      <c r="D169" s="197" t="n">
        <f aca="false">IF(A170&lt;&gt;"",B169+C169,"")</f>
        <v>40000</v>
      </c>
      <c r="E169" s="199" t="n">
        <f aca="false">IF(A170="","",IF(AND(AT169=1,$H$3=1),D169*AO169,IF($H$3=2,D169,"N/A")))</f>
        <v>1200000</v>
      </c>
      <c r="F169" s="199" t="n">
        <f aca="false">IF(A170="","",E169*AS169)</f>
        <v>3534072.78060778</v>
      </c>
      <c r="G169" s="200" t="e">
        <f aca="false">IF($A170="","",VLOOKUP($A169,Table,MATCH(G$4,Curves,0)))</f>
        <v>#N/A</v>
      </c>
      <c r="H169" s="201" t="e">
        <f aca="false">IF(A170="","",G169)</f>
        <v>#N/A</v>
      </c>
      <c r="I169" s="202"/>
      <c r="J169" s="200" t="e">
        <f aca="false">IF($A170="","",VLOOKUP($A169,Table,MATCH(J$4,Curves,0)))</f>
        <v>#N/A</v>
      </c>
      <c r="K169" s="201" t="e">
        <f aca="false">IF(A170="","",J169)</f>
        <v>#N/A</v>
      </c>
      <c r="L169" s="200" t="e">
        <f aca="false">IF($A170="","",VLOOKUP($A169,Table,MATCH(L$4,Curves,0)))</f>
        <v>#N/A</v>
      </c>
      <c r="M169" s="201" t="e">
        <f aca="false">IF(A170="","",L169)</f>
        <v>#N/A</v>
      </c>
      <c r="N169" s="203"/>
      <c r="O169" s="200" t="e">
        <f aca="false">IF(A170="","",L169+J169+G169)</f>
        <v>#N/A</v>
      </c>
      <c r="P169" s="200" t="e">
        <f aca="false">IF(A170="","",M169+K169+H169)</f>
        <v>#N/A</v>
      </c>
      <c r="Q169" s="204"/>
      <c r="R169" s="200" t="e">
        <f aca="false">IF($A170="","",VLOOKUP($A169,Table,MATCH(R$4,Curves,0)))</f>
        <v>#N/A</v>
      </c>
      <c r="S169" s="201" t="e">
        <f aca="false">IF(A170="","",R169)</f>
        <v>#N/A</v>
      </c>
      <c r="T169" s="200" t="e">
        <f aca="false">IF($A170="","",VLOOKUP($A169,Table,MATCH(T$4,Curves,0)))</f>
        <v>#N/A</v>
      </c>
      <c r="U169" s="201" t="e">
        <f aca="false">IF(A170="","",T169)</f>
        <v>#N/A</v>
      </c>
      <c r="V169" s="183" t="e">
        <f aca="false">IF($A170="","",IF(AND(MONTH(A169)&gt;3,MONTH(A169)&lt;11),(T169+R169+G169)*Summary!$T$7/(1-Summary!$T$7),(T169+R169+G169)*Summary!$U$7/(1-Summary!$U$7)))</f>
        <v>#N/A</v>
      </c>
      <c r="W169" s="200" t="e">
        <f aca="false">IF($A170="","",(T169+R169+G169+V169))</f>
        <v>#N/A</v>
      </c>
      <c r="X169" s="200" t="e">
        <f aca="false">IF($A170="","",(U169+S169+H169+V169))</f>
        <v>#N/A</v>
      </c>
      <c r="Y169" s="202"/>
      <c r="Z169" s="185" t="e">
        <f aca="false">IF($A170="","",VLOOKUP($A169,Table,MATCH(Z$4,Curves,0)))</f>
        <v>#N/A</v>
      </c>
      <c r="AA169" s="185" t="e">
        <f aca="false">IF($A170="","",VLOOKUP($A169,Table,MATCH(AA$4,Curves,0)))</f>
        <v>#N/A</v>
      </c>
      <c r="AB169" s="185" t="e">
        <f aca="false">SQRT((AA169^2*(A169-$D$3)+Z169^2*(DAY(EOMONTH(A169,0))/2))/AK169)</f>
        <v>#N/A</v>
      </c>
      <c r="AC169" s="185" t="e">
        <f aca="false">IF($A170="","",VLOOKUP($A169,Table,MATCH(AC$4,Curves,0)))</f>
        <v>#N/A</v>
      </c>
      <c r="AD169" s="185" t="e">
        <f aca="false">IF($A170="","",VLOOKUP($A169,Table,MATCH(AD$4,Curves,0)))</f>
        <v>#N/A</v>
      </c>
      <c r="AE169" s="185" t="e">
        <f aca="false">SQRT((AD169^2*(A169-$D$3)+AC169^2*(DAY(EOMONTH(A169,0))/2))/AK169)</f>
        <v>#N/A</v>
      </c>
      <c r="AF169" s="206" t="e">
        <f aca="false">((Summary!$N$7*(AA169*AD169)*(A169-$D$3))+(Summary!$M$7*Z169*AC169*(DAY(EOMONTH(A169,0))/2)))/(AK169*AB169*AE169)</f>
        <v>#N/A</v>
      </c>
      <c r="AG169" s="207" t="n">
        <f aca="false">IF($A170="","",Summary!$Q$7)</f>
        <v>0</v>
      </c>
      <c r="AH169" s="207" t="n">
        <f aca="false">IF($A170="","",IF(Summary!$R$7="Y",(VLOOKUP($A169,Summary!$AD$6:$AF$9,3)+'Escalating commodity'!C182),'Escalating commodity'!C182))</f>
        <v>0.0224952</v>
      </c>
      <c r="AI169" s="207" t="n">
        <f aca="false">IF($A170="","",AH169)</f>
        <v>0.0224952</v>
      </c>
      <c r="AJ169" s="208" t="n">
        <f aca="false">A169+DAY(EOMONTH(A169,0))/2-1</f>
        <v>41897</v>
      </c>
      <c r="AK169" s="209" t="n">
        <f aca="false">IF($A170="","",$A169-$E$1)</f>
        <v>-4043</v>
      </c>
      <c r="AL169" s="182" t="e">
        <f aca="false">IF($A170="","",SPRDOPT(P169,X169,AI169,0,AB169,AE169,AF169,AK169,$AJ$2,0))</f>
        <v>#NAME?</v>
      </c>
      <c r="AM169" s="210" t="e">
        <f aca="false">IF($A170="","",MAX(0,O169-W169-AI169))</f>
        <v>#N/A</v>
      </c>
      <c r="AN169" s="211" t="e">
        <f aca="false">IF($A170="","",AL169-AM169)</f>
        <v>#N/A</v>
      </c>
      <c r="AO169" s="137" t="n">
        <f aca="false">IF(A170="","",A170-A169)</f>
        <v>30</v>
      </c>
      <c r="AP169" s="212" t="n">
        <f aca="false">IF(A170="","",CHOOSE(F$3,A170+24,A169))</f>
        <v>41883</v>
      </c>
      <c r="AQ169" s="209" t="n">
        <f aca="false">IF(A170="","",AP169-$E$1)</f>
        <v>-4043</v>
      </c>
      <c r="AR169" s="185" t="n">
        <f aca="false">IF(Summary!$H$2=1,VLOOKUP('ANR OK vs ML7'!A169,Curves!$C$17:$AR$273,MATCH('ANR OK vs ML7'!$AR$4,Curves!$C$8:$AQ$8,0)),0.1)</f>
        <v>0.1</v>
      </c>
      <c r="AS169" s="213" t="n">
        <f aca="false">IF(A170="","",1/(1+CHOOSE(F$3,(AR170+($I$3/10000))/2,(AR169+($I$3/10000))/2))^(2*AQ169/365.25))</f>
        <v>2.94506065050648</v>
      </c>
      <c r="AT169" s="137" t="n">
        <f aca="false">IF(A170="","",IF(AND(mthbeg&lt;=A169,mthend&gt;=A169),1,0))</f>
        <v>1</v>
      </c>
      <c r="AU169" s="137" t="n">
        <f aca="false">IF(A170="","",AO169*AT169)</f>
        <v>30</v>
      </c>
      <c r="AW169" s="195" t="e">
        <f aca="false">IF($A170="","",AL169*$E169)</f>
        <v>#NAME?</v>
      </c>
      <c r="AX169" s="195" t="e">
        <f aca="false">IF($A170="","",AM169*$E169)</f>
        <v>#N/A</v>
      </c>
      <c r="AY169" s="195" t="e">
        <f aca="false">IF($A170="","",AN169*$E169)</f>
        <v>#N/A</v>
      </c>
      <c r="BA169" s="195" t="n">
        <f aca="false">IF($A170="","",F169*Summary!$Q$7)</f>
        <v>0</v>
      </c>
      <c r="BC169" s="179" t="e">
        <f aca="false">IF(A170="","",AM169*F169)</f>
        <v>#N/A</v>
      </c>
    </row>
    <row r="170" customFormat="false" ht="12" hidden="false" customHeight="true" outlineLevel="0" collapsed="false">
      <c r="A170" s="196" t="n">
        <f aca="false">IF(A169&lt;mthend,EDATE(A169,1),"")</f>
        <v>41913</v>
      </c>
      <c r="B170" s="197" t="n">
        <f aca="false">IF(A170&lt;mthend,B169,"")</f>
        <v>40000</v>
      </c>
      <c r="C170" s="215"/>
      <c r="D170" s="197" t="n">
        <f aca="false">IF(A171&lt;&gt;"",B170+C170,"")</f>
        <v>40000</v>
      </c>
      <c r="E170" s="199" t="n">
        <f aca="false">IF(A171="","",IF(AND(AT170=1,$H$3=1),D170*AO170,IF($H$3=2,D170,"N/A")))</f>
        <v>1240000</v>
      </c>
      <c r="F170" s="199" t="n">
        <f aca="false">IF(A171="","",E170*AS170)</f>
        <v>3622723.09611468</v>
      </c>
      <c r="G170" s="200" t="e">
        <f aca="false">IF($A171="","",VLOOKUP($A170,Table,MATCH(G$4,Curves,0)))</f>
        <v>#N/A</v>
      </c>
      <c r="H170" s="201" t="e">
        <f aca="false">IF(A171="","",G170)</f>
        <v>#N/A</v>
      </c>
      <c r="I170" s="202"/>
      <c r="J170" s="200" t="e">
        <f aca="false">IF($A171="","",VLOOKUP($A170,Table,MATCH(J$4,Curves,0)))</f>
        <v>#N/A</v>
      </c>
      <c r="K170" s="201" t="e">
        <f aca="false">IF(A171="","",J170)</f>
        <v>#N/A</v>
      </c>
      <c r="L170" s="200" t="e">
        <f aca="false">IF($A171="","",VLOOKUP($A170,Table,MATCH(L$4,Curves,0)))</f>
        <v>#N/A</v>
      </c>
      <c r="M170" s="201" t="e">
        <f aca="false">IF(A171="","",L170)</f>
        <v>#N/A</v>
      </c>
      <c r="N170" s="203"/>
      <c r="O170" s="200" t="e">
        <f aca="false">IF(A171="","",L170+J170+G170)</f>
        <v>#N/A</v>
      </c>
      <c r="P170" s="200" t="e">
        <f aca="false">IF(A171="","",M170+K170+H170)</f>
        <v>#N/A</v>
      </c>
      <c r="Q170" s="204"/>
      <c r="R170" s="200" t="e">
        <f aca="false">IF($A171="","",VLOOKUP($A170,Table,MATCH(R$4,Curves,0)))</f>
        <v>#N/A</v>
      </c>
      <c r="S170" s="201" t="e">
        <f aca="false">IF(A171="","",R170)</f>
        <v>#N/A</v>
      </c>
      <c r="T170" s="200" t="e">
        <f aca="false">IF($A171="","",VLOOKUP($A170,Table,MATCH(T$4,Curves,0)))</f>
        <v>#N/A</v>
      </c>
      <c r="U170" s="201" t="e">
        <f aca="false">IF(A171="","",T170)</f>
        <v>#N/A</v>
      </c>
      <c r="V170" s="183" t="e">
        <f aca="false">IF($A171="","",IF(AND(MONTH(A170)&gt;3,MONTH(A170)&lt;11),(T170+R170+G170)*Summary!$T$7/(1-Summary!$T$7),(T170+R170+G170)*Summary!$U$7/(1-Summary!$U$7)))</f>
        <v>#N/A</v>
      </c>
      <c r="W170" s="200" t="e">
        <f aca="false">IF($A171="","",(T170+R170+G170+V170))</f>
        <v>#N/A</v>
      </c>
      <c r="X170" s="200" t="e">
        <f aca="false">IF($A171="","",(U170+S170+H170+V170))</f>
        <v>#N/A</v>
      </c>
      <c r="Y170" s="202"/>
      <c r="Z170" s="185" t="e">
        <f aca="false">IF($A171="","",VLOOKUP($A170,Table,MATCH(Z$4,Curves,0)))</f>
        <v>#N/A</v>
      </c>
      <c r="AA170" s="185" t="e">
        <f aca="false">IF($A171="","",VLOOKUP($A170,Table,MATCH(AA$4,Curves,0)))</f>
        <v>#N/A</v>
      </c>
      <c r="AB170" s="185" t="e">
        <f aca="false">SQRT((AA170^2*(A170-$D$3)+Z170^2*(DAY(EOMONTH(A170,0))/2))/AK170)</f>
        <v>#N/A</v>
      </c>
      <c r="AC170" s="185" t="e">
        <f aca="false">IF($A171="","",VLOOKUP($A170,Table,MATCH(AC$4,Curves,0)))</f>
        <v>#N/A</v>
      </c>
      <c r="AD170" s="185" t="e">
        <f aca="false">IF($A171="","",VLOOKUP($A170,Table,MATCH(AD$4,Curves,0)))</f>
        <v>#N/A</v>
      </c>
      <c r="AE170" s="185" t="e">
        <f aca="false">SQRT((AD170^2*(A170-$D$3)+AC170^2*(DAY(EOMONTH(A170,0))/2))/AK170)</f>
        <v>#N/A</v>
      </c>
      <c r="AF170" s="206" t="e">
        <f aca="false">((Summary!$N$7*(AA170*AD170)*(A170-$D$3))+(Summary!$M$7*Z170*AC170*(DAY(EOMONTH(A170,0))/2)))/(AK170*AB170*AE170)</f>
        <v>#N/A</v>
      </c>
      <c r="AG170" s="207" t="n">
        <f aca="false">IF($A171="","",Summary!$Q$7)</f>
        <v>0</v>
      </c>
      <c r="AH170" s="207" t="n">
        <f aca="false">IF($A171="","",IF(Summary!$R$7="Y",(VLOOKUP($A170,Summary!$AD$6:$AF$9,3)+'Escalating commodity'!C183),'Escalating commodity'!C183))</f>
        <v>0.0224952</v>
      </c>
      <c r="AI170" s="207" t="n">
        <f aca="false">IF($A171="","",AH170)</f>
        <v>0.0224952</v>
      </c>
      <c r="AJ170" s="208" t="n">
        <f aca="false">A170+DAY(EOMONTH(A170,0))/2-1</f>
        <v>41927.5</v>
      </c>
      <c r="AK170" s="209" t="n">
        <f aca="false">IF($A171="","",$A170-$E$1)</f>
        <v>-4013</v>
      </c>
      <c r="AL170" s="182" t="e">
        <f aca="false">IF($A171="","",SPRDOPT(P170,X170,AI170,0,AB170,AE170,AF170,AK170,$AJ$2,0))</f>
        <v>#NAME?</v>
      </c>
      <c r="AM170" s="210" t="e">
        <f aca="false">IF($A171="","",MAX(0,O170-W170-AI170))</f>
        <v>#N/A</v>
      </c>
      <c r="AN170" s="211" t="e">
        <f aca="false">IF($A171="","",AL170-AM170)</f>
        <v>#N/A</v>
      </c>
      <c r="AO170" s="137" t="n">
        <f aca="false">IF(A171="","",A171-A170)</f>
        <v>31</v>
      </c>
      <c r="AP170" s="212" t="n">
        <f aca="false">IF(A171="","",CHOOSE(F$3,A171+24,A170))</f>
        <v>41913</v>
      </c>
      <c r="AQ170" s="209" t="n">
        <f aca="false">IF(A171="","",AP170-$E$1)</f>
        <v>-4013</v>
      </c>
      <c r="AR170" s="185" t="n">
        <f aca="false">IF(Summary!$H$2=1,VLOOKUP('ANR OK vs ML7'!A170,Curves!$C$17:$AR$273,MATCH('ANR OK vs ML7'!$AR$4,Curves!$C$8:$AQ$8,0)),0.1)</f>
        <v>0.1</v>
      </c>
      <c r="AS170" s="213" t="n">
        <f aca="false">IF(A171="","",1/(1+CHOOSE(F$3,(AR171+($I$3/10000))/2,(AR170+($I$3/10000))/2))^(2*AQ170/365.25))</f>
        <v>2.92155088396345</v>
      </c>
      <c r="AT170" s="137" t="n">
        <f aca="false">IF(A171="","",IF(AND(mthbeg&lt;=A170,mthend&gt;=A170),1,0))</f>
        <v>1</v>
      </c>
      <c r="AU170" s="137" t="n">
        <f aca="false">IF(A171="","",AO170*AT170)</f>
        <v>31</v>
      </c>
      <c r="AW170" s="195" t="e">
        <f aca="false">IF($A171="","",AL170*$E170)</f>
        <v>#NAME?</v>
      </c>
      <c r="AX170" s="195" t="e">
        <f aca="false">IF($A171="","",AM170*$E170)</f>
        <v>#N/A</v>
      </c>
      <c r="AY170" s="195" t="e">
        <f aca="false">IF($A171="","",AN170*$E170)</f>
        <v>#N/A</v>
      </c>
      <c r="BA170" s="195" t="n">
        <f aca="false">IF($A171="","",F170*Summary!$Q$7)</f>
        <v>0</v>
      </c>
      <c r="BC170" s="179" t="e">
        <f aca="false">IF(A171="","",AM170*F170)</f>
        <v>#N/A</v>
      </c>
    </row>
    <row r="171" customFormat="false" ht="12" hidden="false" customHeight="true" outlineLevel="0" collapsed="false">
      <c r="A171" s="196" t="n">
        <f aca="false">IF(A170&lt;mthend,EDATE(A170,1),"")</f>
        <v>41944</v>
      </c>
      <c r="B171" s="197" t="n">
        <f aca="false">IF(A171&lt;mthend,B170,"")</f>
        <v>40000</v>
      </c>
      <c r="C171" s="215"/>
      <c r="D171" s="197" t="n">
        <f aca="false">IF(A172&lt;&gt;"",B171+C171,"")</f>
        <v>40000</v>
      </c>
      <c r="E171" s="199" t="n">
        <f aca="false">IF(A172="","",IF(AND(AT171=1,$H$3=1),D171*AO171,IF($H$3=2,D171,"N/A")))</f>
        <v>1200000</v>
      </c>
      <c r="F171" s="199" t="n">
        <f aca="false">IF(A172="","",E171*AS171)</f>
        <v>3476945.52263564</v>
      </c>
      <c r="G171" s="200" t="e">
        <f aca="false">IF($A172="","",VLOOKUP($A171,Table,MATCH(G$4,Curves,0)))</f>
        <v>#N/A</v>
      </c>
      <c r="H171" s="201" t="e">
        <f aca="false">IF(A172="","",G171)</f>
        <v>#N/A</v>
      </c>
      <c r="I171" s="202"/>
      <c r="J171" s="200" t="e">
        <f aca="false">IF($A172="","",VLOOKUP($A171,Table,MATCH(J$4,Curves,0)))</f>
        <v>#N/A</v>
      </c>
      <c r="K171" s="201" t="e">
        <f aca="false">IF(A172="","",J171)</f>
        <v>#N/A</v>
      </c>
      <c r="L171" s="200" t="e">
        <f aca="false">IF($A172="","",VLOOKUP($A171,Table,MATCH(L$4,Curves,0)))</f>
        <v>#N/A</v>
      </c>
      <c r="M171" s="201" t="e">
        <f aca="false">IF(A172="","",L171)</f>
        <v>#N/A</v>
      </c>
      <c r="N171" s="203"/>
      <c r="O171" s="200" t="e">
        <f aca="false">IF(A172="","",L171+J171+G171)</f>
        <v>#N/A</v>
      </c>
      <c r="P171" s="200" t="e">
        <f aca="false">IF(A172="","",M171+K171+H171)</f>
        <v>#N/A</v>
      </c>
      <c r="Q171" s="204"/>
      <c r="R171" s="200" t="e">
        <f aca="false">IF($A172="","",VLOOKUP($A171,Table,MATCH(R$4,Curves,0)))</f>
        <v>#N/A</v>
      </c>
      <c r="S171" s="201" t="e">
        <f aca="false">IF(A172="","",R171)</f>
        <v>#N/A</v>
      </c>
      <c r="T171" s="200" t="e">
        <f aca="false">IF($A172="","",VLOOKUP($A171,Table,MATCH(T$4,Curves,0)))</f>
        <v>#N/A</v>
      </c>
      <c r="U171" s="201" t="e">
        <f aca="false">IF(A172="","",T171)</f>
        <v>#N/A</v>
      </c>
      <c r="V171" s="183" t="e">
        <f aca="false">IF($A172="","",IF(AND(MONTH(A171)&gt;3,MONTH(A171)&lt;11),(T171+R171+G171)*Summary!$T$7/(1-Summary!$T$7),(T171+R171+G171)*Summary!$U$7/(1-Summary!$U$7)))</f>
        <v>#N/A</v>
      </c>
      <c r="W171" s="200" t="e">
        <f aca="false">IF($A172="","",(T171+R171+G171+V171))</f>
        <v>#N/A</v>
      </c>
      <c r="X171" s="200" t="e">
        <f aca="false">IF($A172="","",(U171+S171+H171+V171))</f>
        <v>#N/A</v>
      </c>
      <c r="Y171" s="202"/>
      <c r="Z171" s="185" t="e">
        <f aca="false">IF($A172="","",VLOOKUP($A171,Table,MATCH(Z$4,Curves,0)))</f>
        <v>#N/A</v>
      </c>
      <c r="AA171" s="185" t="e">
        <f aca="false">IF($A172="","",VLOOKUP($A171,Table,MATCH(AA$4,Curves,0)))</f>
        <v>#N/A</v>
      </c>
      <c r="AB171" s="185" t="e">
        <f aca="false">SQRT((AA171^2*(A171-$D$3)+Z171^2*(DAY(EOMONTH(A171,0))/2))/AK171)</f>
        <v>#N/A</v>
      </c>
      <c r="AC171" s="185" t="e">
        <f aca="false">IF($A172="","",VLOOKUP($A171,Table,MATCH(AC$4,Curves,0)))</f>
        <v>#N/A</v>
      </c>
      <c r="AD171" s="185" t="e">
        <f aca="false">IF($A172="","",VLOOKUP($A171,Table,MATCH(AD$4,Curves,0)))</f>
        <v>#N/A</v>
      </c>
      <c r="AE171" s="185" t="e">
        <f aca="false">SQRT((AD171^2*(A171-$D$3)+AC171^2*(DAY(EOMONTH(A171,0))/2))/AK171)</f>
        <v>#N/A</v>
      </c>
      <c r="AF171" s="206" t="e">
        <f aca="false">((Summary!$N$7*(AA171*AD171)*(A171-$D$3))+(Summary!$M$7*Z171*AC171*(DAY(EOMONTH(A171,0))/2)))/(AK171*AB171*AE171)</f>
        <v>#N/A</v>
      </c>
      <c r="AG171" s="207" t="n">
        <f aca="false">IF($A172="","",Summary!$Q$7)</f>
        <v>0</v>
      </c>
      <c r="AH171" s="207" t="n">
        <f aca="false">IF($A172="","",IF(Summary!$R$7="Y",(VLOOKUP($A171,Summary!$AD$6:$AF$9,3)+'Escalating commodity'!C184),'Escalating commodity'!C184))</f>
        <v>0.0224952</v>
      </c>
      <c r="AI171" s="207" t="n">
        <f aca="false">IF($A172="","",AH171)</f>
        <v>0.0224952</v>
      </c>
      <c r="AJ171" s="208" t="n">
        <f aca="false">A171+DAY(EOMONTH(A171,0))/2-1</f>
        <v>41958</v>
      </c>
      <c r="AK171" s="209" t="n">
        <f aca="false">IF($A172="","",$A171-$E$1)</f>
        <v>-3982</v>
      </c>
      <c r="AL171" s="182" t="e">
        <f aca="false">IF($A172="","",SPRDOPT(P171,X171,AI171,0,AB171,AE171,AF171,AK171,$AJ$2,0))</f>
        <v>#NAME?</v>
      </c>
      <c r="AM171" s="210" t="e">
        <f aca="false">IF($A172="","",MAX(0,O171-W171-AI171))</f>
        <v>#N/A</v>
      </c>
      <c r="AN171" s="211" t="e">
        <f aca="false">IF($A172="","",AL171-AM171)</f>
        <v>#N/A</v>
      </c>
      <c r="AO171" s="137" t="n">
        <f aca="false">IF(A172="","",A172-A171)</f>
        <v>30</v>
      </c>
      <c r="AP171" s="212" t="n">
        <f aca="false">IF(A172="","",CHOOSE(F$3,A172+24,A171))</f>
        <v>41944</v>
      </c>
      <c r="AQ171" s="209" t="n">
        <f aca="false">IF(A172="","",AP171-$E$1)</f>
        <v>-3982</v>
      </c>
      <c r="AR171" s="185" t="n">
        <f aca="false">IF(Summary!$H$2=1,VLOOKUP('ANR OK vs ML7'!A171,Curves!$C$17:$AR$273,MATCH('ANR OK vs ML7'!$AR$4,Curves!$C$8:$AQ$8,0)),0.1)</f>
        <v>0.1</v>
      </c>
      <c r="AS171" s="213" t="n">
        <f aca="false">IF(A172="","",1/(1+CHOOSE(F$3,(AR172+($I$3/10000))/2,(AR171+($I$3/10000))/2))^(2*AQ171/365.25))</f>
        <v>2.89745460219636</v>
      </c>
      <c r="AT171" s="137" t="n">
        <f aca="false">IF(A172="","",IF(AND(mthbeg&lt;=A171,mthend&gt;=A171),1,0))</f>
        <v>1</v>
      </c>
      <c r="AU171" s="137" t="n">
        <f aca="false">IF(A172="","",AO171*AT171)</f>
        <v>30</v>
      </c>
      <c r="AW171" s="195" t="e">
        <f aca="false">IF($A172="","",AL171*$E171)</f>
        <v>#NAME?</v>
      </c>
      <c r="AX171" s="195" t="e">
        <f aca="false">IF($A172="","",AM171*$E171)</f>
        <v>#N/A</v>
      </c>
      <c r="AY171" s="195" t="e">
        <f aca="false">IF($A172="","",AN171*$E171)</f>
        <v>#N/A</v>
      </c>
      <c r="BA171" s="195" t="n">
        <f aca="false">IF($A172="","",F171*Summary!$Q$7)</f>
        <v>0</v>
      </c>
      <c r="BC171" s="179" t="e">
        <f aca="false">IF(A172="","",AM171*F171)</f>
        <v>#N/A</v>
      </c>
    </row>
    <row r="172" customFormat="false" ht="12" hidden="false" customHeight="true" outlineLevel="0" collapsed="false">
      <c r="A172" s="196" t="n">
        <f aca="false">IF(A171&lt;mthend,EDATE(A171,1),"")</f>
        <v>41974</v>
      </c>
      <c r="B172" s="197" t="n">
        <f aca="false">IF(A172&lt;mthend,B171,"")</f>
        <v>40000</v>
      </c>
      <c r="C172" s="215"/>
      <c r="D172" s="197" t="n">
        <f aca="false">IF(A173&lt;&gt;"",B172+C172,"")</f>
        <v>40000</v>
      </c>
      <c r="E172" s="199" t="n">
        <f aca="false">IF(A173="","",IF(AND(AT172=1,$H$3=1),D172*AO172,IF($H$3=2,D172,"N/A")))</f>
        <v>1240000</v>
      </c>
      <c r="F172" s="199" t="n">
        <f aca="false">IF(A173="","",E172*AS172)</f>
        <v>3564162.83159241</v>
      </c>
      <c r="G172" s="200" t="e">
        <f aca="false">IF($A173="","",VLOOKUP($A172,Table,MATCH(G$4,Curves,0)))</f>
        <v>#N/A</v>
      </c>
      <c r="H172" s="201" t="e">
        <f aca="false">IF(A173="","",G172)</f>
        <v>#N/A</v>
      </c>
      <c r="I172" s="202"/>
      <c r="J172" s="200" t="e">
        <f aca="false">IF($A173="","",VLOOKUP($A172,Table,MATCH(J$4,Curves,0)))</f>
        <v>#N/A</v>
      </c>
      <c r="K172" s="201" t="e">
        <f aca="false">IF(A173="","",J172)</f>
        <v>#N/A</v>
      </c>
      <c r="L172" s="200" t="e">
        <f aca="false">IF($A173="","",VLOOKUP($A172,Table,MATCH(L$4,Curves,0)))</f>
        <v>#N/A</v>
      </c>
      <c r="M172" s="201" t="e">
        <f aca="false">IF(A173="","",L172)</f>
        <v>#N/A</v>
      </c>
      <c r="N172" s="203"/>
      <c r="O172" s="200" t="e">
        <f aca="false">IF(A173="","",L172+J172+G172)</f>
        <v>#N/A</v>
      </c>
      <c r="P172" s="200" t="e">
        <f aca="false">IF(A173="","",M172+K172+H172)</f>
        <v>#N/A</v>
      </c>
      <c r="Q172" s="204"/>
      <c r="R172" s="200" t="e">
        <f aca="false">IF($A173="","",VLOOKUP($A172,Table,MATCH(R$4,Curves,0)))</f>
        <v>#N/A</v>
      </c>
      <c r="S172" s="201" t="e">
        <f aca="false">IF(A173="","",R172)</f>
        <v>#N/A</v>
      </c>
      <c r="T172" s="200" t="e">
        <f aca="false">IF($A173="","",VLOOKUP($A172,Table,MATCH(T$4,Curves,0)))</f>
        <v>#N/A</v>
      </c>
      <c r="U172" s="201" t="e">
        <f aca="false">IF(A173="","",T172)</f>
        <v>#N/A</v>
      </c>
      <c r="V172" s="183" t="e">
        <f aca="false">IF($A173="","",IF(AND(MONTH(A172)&gt;3,MONTH(A172)&lt;11),(T172+R172+G172)*Summary!$T$7/(1-Summary!$T$7),(T172+R172+G172)*Summary!$U$7/(1-Summary!$U$7)))</f>
        <v>#N/A</v>
      </c>
      <c r="W172" s="200" t="e">
        <f aca="false">IF($A173="","",(T172+R172+G172+V172))</f>
        <v>#N/A</v>
      </c>
      <c r="X172" s="200" t="e">
        <f aca="false">IF($A173="","",(U172+S172+H172+V172))</f>
        <v>#N/A</v>
      </c>
      <c r="Y172" s="202"/>
      <c r="Z172" s="185" t="e">
        <f aca="false">IF($A173="","",VLOOKUP($A172,Table,MATCH(Z$4,Curves,0)))</f>
        <v>#N/A</v>
      </c>
      <c r="AA172" s="185" t="e">
        <f aca="false">IF($A173="","",VLOOKUP($A172,Table,MATCH(AA$4,Curves,0)))</f>
        <v>#N/A</v>
      </c>
      <c r="AB172" s="185" t="e">
        <f aca="false">SQRT((AA172^2*(A172-$D$3)+Z172^2*(DAY(EOMONTH(A172,0))/2))/AK172)</f>
        <v>#N/A</v>
      </c>
      <c r="AC172" s="185" t="e">
        <f aca="false">IF($A173="","",VLOOKUP($A172,Table,MATCH(AC$4,Curves,0)))</f>
        <v>#N/A</v>
      </c>
      <c r="AD172" s="185" t="e">
        <f aca="false">IF($A173="","",VLOOKUP($A172,Table,MATCH(AD$4,Curves,0)))</f>
        <v>#N/A</v>
      </c>
      <c r="AE172" s="185" t="e">
        <f aca="false">SQRT((AD172^2*(A172-$D$3)+AC172^2*(DAY(EOMONTH(A172,0))/2))/AK172)</f>
        <v>#N/A</v>
      </c>
      <c r="AF172" s="206" t="e">
        <f aca="false">((Summary!$N$7*(AA172*AD172)*(A172-$D$3))+(Summary!$M$7*Z172*AC172*(DAY(EOMONTH(A172,0))/2)))/(AK172*AB172*AE172)</f>
        <v>#N/A</v>
      </c>
      <c r="AG172" s="207" t="n">
        <f aca="false">IF($A173="","",Summary!$Q$7)</f>
        <v>0</v>
      </c>
      <c r="AH172" s="207" t="n">
        <f aca="false">IF($A173="","",IF(Summary!$R$7="Y",(VLOOKUP($A172,Summary!$AD$6:$AF$9,3)+'Escalating commodity'!C185),'Escalating commodity'!C185))</f>
        <v>0.0224952</v>
      </c>
      <c r="AI172" s="207" t="n">
        <f aca="false">IF($A173="","",AH172)</f>
        <v>0.0224952</v>
      </c>
      <c r="AJ172" s="208" t="n">
        <f aca="false">A172+DAY(EOMONTH(A172,0))/2-1</f>
        <v>41988.5</v>
      </c>
      <c r="AK172" s="209" t="n">
        <f aca="false">IF($A173="","",$A172-$E$1)</f>
        <v>-3952</v>
      </c>
      <c r="AL172" s="182" t="e">
        <f aca="false">IF($A173="","",SPRDOPT(P172,X172,AI172,0,AB172,AE172,AF172,AK172,$AJ$2,0))</f>
        <v>#NAME?</v>
      </c>
      <c r="AM172" s="210" t="e">
        <f aca="false">IF($A173="","",MAX(0,O172-W172-AI172))</f>
        <v>#N/A</v>
      </c>
      <c r="AN172" s="211" t="e">
        <f aca="false">IF($A173="","",AL172-AM172)</f>
        <v>#N/A</v>
      </c>
      <c r="AO172" s="137" t="n">
        <f aca="false">IF(A173="","",A173-A172)</f>
        <v>31</v>
      </c>
      <c r="AP172" s="212" t="n">
        <f aca="false">IF(A173="","",CHOOSE(F$3,A173+24,A172))</f>
        <v>41974</v>
      </c>
      <c r="AQ172" s="209" t="n">
        <f aca="false">IF(A173="","",AP172-$E$1)</f>
        <v>-3952</v>
      </c>
      <c r="AR172" s="185" t="n">
        <f aca="false">IF(Summary!$H$2=1,VLOOKUP('ANR OK vs ML7'!A172,Curves!$C$17:$AR$273,MATCH('ANR OK vs ML7'!$AR$4,Curves!$C$8:$AQ$8,0)),0.1)</f>
        <v>0.1</v>
      </c>
      <c r="AS172" s="213" t="n">
        <f aca="false">IF(A173="","",1/(1+CHOOSE(F$3,(AR173+($I$3/10000))/2,(AR172+($I$3/10000))/2))^(2*AQ172/365.25))</f>
        <v>2.87432486418743</v>
      </c>
      <c r="AT172" s="137" t="n">
        <f aca="false">IF(A173="","",IF(AND(mthbeg&lt;=A172,mthend&gt;=A172),1,0))</f>
        <v>1</v>
      </c>
      <c r="AU172" s="137" t="n">
        <f aca="false">IF(A173="","",AO172*AT172)</f>
        <v>31</v>
      </c>
      <c r="AW172" s="195" t="e">
        <f aca="false">IF($A173="","",AL172*$E172)</f>
        <v>#NAME?</v>
      </c>
      <c r="AX172" s="195" t="e">
        <f aca="false">IF($A173="","",AM172*$E172)</f>
        <v>#N/A</v>
      </c>
      <c r="AY172" s="195" t="e">
        <f aca="false">IF($A173="","",AN172*$E172)</f>
        <v>#N/A</v>
      </c>
      <c r="BA172" s="195" t="n">
        <f aca="false">IF($A173="","",F172*Summary!$Q$7)</f>
        <v>0</v>
      </c>
      <c r="BC172" s="179" t="e">
        <f aca="false">IF(A173="","",AM172*F172)</f>
        <v>#N/A</v>
      </c>
    </row>
    <row r="173" customFormat="false" ht="12" hidden="false" customHeight="true" outlineLevel="0" collapsed="false">
      <c r="A173" s="196" t="n">
        <f aca="false">IF(A172&lt;mthend,EDATE(A172,1),"")</f>
        <v>42005</v>
      </c>
      <c r="B173" s="197" t="str">
        <f aca="false">IF(A173&lt;mthend,B172,"")</f>
        <v/>
      </c>
      <c r="C173" s="215"/>
      <c r="D173" s="197" t="str">
        <f aca="false">IF(A174&lt;&gt;"",B173+C173,"")</f>
        <v/>
      </c>
      <c r="E173" s="199" t="str">
        <f aca="false">IF(A174="","",IF(AND(AT173=1,$H$3=1),D173*AO173,IF($H$3=2,D173,"N/A")))</f>
        <v/>
      </c>
      <c r="F173" s="199" t="str">
        <f aca="false">IF(A174="","",E173*AS173)</f>
        <v/>
      </c>
      <c r="G173" s="200" t="str">
        <f aca="false">IF($A174="","",VLOOKUP($A173,Table,MATCH(G$4,Curves,0)))</f>
        <v/>
      </c>
      <c r="H173" s="201" t="str">
        <f aca="false">IF(A174="","",G173)</f>
        <v/>
      </c>
      <c r="I173" s="202"/>
      <c r="J173" s="200" t="str">
        <f aca="false">IF($A174="","",VLOOKUP($A173,Table,MATCH(J$4,Curves,0)))</f>
        <v/>
      </c>
      <c r="K173" s="201" t="str">
        <f aca="false">IF(A174="","",J173)</f>
        <v/>
      </c>
      <c r="L173" s="200" t="str">
        <f aca="false">IF($A174="","",VLOOKUP($A173,Table,MATCH(L$4,Curves,0)))</f>
        <v/>
      </c>
      <c r="M173" s="201" t="str">
        <f aca="false">IF(A174="","",L173)</f>
        <v/>
      </c>
      <c r="N173" s="203"/>
      <c r="O173" s="200" t="str">
        <f aca="false">IF(A174="","",L173+J173+G173)</f>
        <v/>
      </c>
      <c r="P173" s="200" t="str">
        <f aca="false">IF(A174="","",M173+K173+H173)</f>
        <v/>
      </c>
      <c r="Q173" s="204"/>
      <c r="R173" s="200" t="str">
        <f aca="false">IF($A174="","",VLOOKUP($A173,Table,MATCH(R$4,Curves,0)))</f>
        <v/>
      </c>
      <c r="S173" s="201" t="str">
        <f aca="false">IF(A174="","",R173)</f>
        <v/>
      </c>
      <c r="T173" s="200" t="str">
        <f aca="false">IF($A174="","",VLOOKUP($A173,Table,MATCH(T$4,Curves,0)))</f>
        <v/>
      </c>
      <c r="U173" s="201" t="str">
        <f aca="false">IF(A174="","",T173)</f>
        <v/>
      </c>
      <c r="V173" s="183" t="str">
        <f aca="false">IF($A174="","",IF(AND(MONTH(A173)&gt;3,MONTH(A173)&lt;11),(T173+R173+G173)*Summary!$T$7/(1-Summary!$T$7),(T173+R173+G173)*Summary!$U$7/(1-Summary!$U$7)))</f>
        <v/>
      </c>
      <c r="W173" s="200" t="str">
        <f aca="false">IF($A174="","",(T173+R173+G173+V173))</f>
        <v/>
      </c>
      <c r="X173" s="200" t="str">
        <f aca="false">IF($A174="","",(U173+S173+H173+V173))</f>
        <v/>
      </c>
      <c r="Y173" s="202"/>
      <c r="Z173" s="185" t="str">
        <f aca="false">IF($A174="","",VLOOKUP($A173,Table,MATCH(Z$4,Curves,0)))</f>
        <v/>
      </c>
      <c r="AA173" s="185" t="str">
        <f aca="false">IF($A174="","",VLOOKUP($A173,Table,MATCH(AA$4,Curves,0)))</f>
        <v/>
      </c>
      <c r="AB173" s="185" t="e">
        <f aca="false">SQRT((AA173^2*(A173-$D$3)+Z173^2*(DAY(EOMONTH(A173,0))/2))/AK173)</f>
        <v>#VALUE!</v>
      </c>
      <c r="AC173" s="185" t="str">
        <f aca="false">IF($A174="","",VLOOKUP($A173,Table,MATCH(AC$4,Curves,0)))</f>
        <v/>
      </c>
      <c r="AD173" s="185" t="str">
        <f aca="false">IF($A174="","",VLOOKUP($A173,Table,MATCH(AD$4,Curves,0)))</f>
        <v/>
      </c>
      <c r="AE173" s="185" t="e">
        <f aca="false">SQRT((AD173^2*(A173-$D$3)+AC173^2*(DAY(EOMONTH(A173,0))/2))/AK173)</f>
        <v>#VALUE!</v>
      </c>
      <c r="AF173" s="206" t="e">
        <f aca="false">((Summary!$N$7*(AA173*AD173)*(A173-$D$3))+(Summary!$M$7*Z173*AC173*(DAY(EOMONTH(A173,0))/2)))/(AK173*AB173*AE173)</f>
        <v>#VALUE!</v>
      </c>
      <c r="AG173" s="207" t="str">
        <f aca="false">IF($A174="","",Summary!$Q$7)</f>
        <v/>
      </c>
      <c r="AH173" s="207" t="str">
        <f aca="false">IF($A174="","",IF(Summary!$R$7="Y",(VLOOKUP($A173,Summary!$AD$6:$AF$9,3)+'Escalating commodity'!C186),'Escalating commodity'!C186))</f>
        <v/>
      </c>
      <c r="AI173" s="207" t="str">
        <f aca="false">IF($A174="","",AH173)</f>
        <v/>
      </c>
      <c r="AJ173" s="208" t="n">
        <f aca="false">A173+DAY(EOMONTH(A173,0))/2-1</f>
        <v>42019.5</v>
      </c>
      <c r="AK173" s="209" t="str">
        <f aca="false">IF($A174="","",$A173-$E$1)</f>
        <v/>
      </c>
      <c r="AL173" s="182" t="str">
        <f aca="false">IF($A174="","",SPRDOPT(P173,X173,AI173,0,AB173,AE173,AF173,AK173,$AJ$2,0))</f>
        <v/>
      </c>
      <c r="AM173" s="210" t="str">
        <f aca="false">IF($A174="","",MAX(0,O173-W173-AI173))</f>
        <v/>
      </c>
      <c r="AN173" s="211" t="str">
        <f aca="false">IF($A174="","",AL173-AM173)</f>
        <v/>
      </c>
      <c r="AO173" s="137" t="str">
        <f aca="false">IF(A174="","",A174-A173)</f>
        <v/>
      </c>
      <c r="AP173" s="212" t="str">
        <f aca="false">IF(A174="","",CHOOSE(F$3,A174+24,A173))</f>
        <v/>
      </c>
      <c r="AQ173" s="209" t="str">
        <f aca="false">IF(A174="","",AP173-$E$1)</f>
        <v/>
      </c>
      <c r="AR173" s="185" t="n">
        <f aca="false">IF(Summary!$H$2=1,VLOOKUP('ANR OK vs ML7'!A173,Curves!$C$17:$AR$273,MATCH('ANR OK vs ML7'!$AR$4,Curves!$C$8:$AQ$8,0)),0.1)</f>
        <v>0.1</v>
      </c>
      <c r="AS173" s="213" t="str">
        <f aca="false">IF(A174="","",1/(1+CHOOSE(F$3,(AR174+($I$3/10000))/2,(AR173+($I$3/10000))/2))^(2*AQ173/365.25))</f>
        <v/>
      </c>
      <c r="AT173" s="137" t="str">
        <f aca="false">IF(A174="","",IF(AND(mthbeg&lt;=A173,mthend&gt;=A173),1,0))</f>
        <v/>
      </c>
      <c r="AU173" s="137" t="str">
        <f aca="false">IF(A174="","",AO173*AT173)</f>
        <v/>
      </c>
      <c r="AW173" s="195" t="str">
        <f aca="false">IF($A174="","",AL173*$E173)</f>
        <v/>
      </c>
      <c r="AX173" s="195" t="str">
        <f aca="false">IF($A174="","",AM173*$E173)</f>
        <v/>
      </c>
      <c r="AY173" s="195" t="str">
        <f aca="false">IF($A174="","",AN173*$E173)</f>
        <v/>
      </c>
      <c r="BA173" s="195" t="str">
        <f aca="false">IF($A174="","",F173*Summary!$Q$7)</f>
        <v/>
      </c>
      <c r="BC173" s="179" t="str">
        <f aca="false">IF(A174="","",AM173*F173)</f>
        <v/>
      </c>
    </row>
    <row r="174" customFormat="false" ht="12" hidden="false" customHeight="true" outlineLevel="0" collapsed="false">
      <c r="A174" s="196" t="str">
        <f aca="false">IF(A173&lt;mthend,EDATE(A173,1),"")</f>
        <v/>
      </c>
      <c r="B174" s="197" t="str">
        <f aca="false">IF(A174&lt;mthend,B173,"")</f>
        <v/>
      </c>
      <c r="C174" s="215"/>
      <c r="D174" s="197" t="str">
        <f aca="false">IF(A175&lt;&gt;"",B174+C174,"")</f>
        <v/>
      </c>
      <c r="E174" s="199" t="str">
        <f aca="false">IF(A175="","",IF(AND(AT174=1,$H$3=1),D174*AO174,IF($H$3=2,D174,"N/A")))</f>
        <v/>
      </c>
      <c r="F174" s="199" t="str">
        <f aca="false">IF(A175="","",E174*AS174)</f>
        <v/>
      </c>
      <c r="G174" s="200" t="str">
        <f aca="false">IF($A175="","",VLOOKUP($A174,Table,MATCH(G$4,Curves,0)))</f>
        <v/>
      </c>
      <c r="H174" s="201" t="str">
        <f aca="false">IF(A175="","",G174)</f>
        <v/>
      </c>
      <c r="I174" s="202"/>
      <c r="J174" s="200" t="str">
        <f aca="false">IF($A175="","",VLOOKUP($A174,Table,MATCH(J$4,Curves,0)))</f>
        <v/>
      </c>
      <c r="K174" s="201" t="str">
        <f aca="false">IF(A175="","",J174)</f>
        <v/>
      </c>
      <c r="L174" s="200" t="str">
        <f aca="false">IF($A175="","",VLOOKUP($A174,Table,MATCH(L$4,Curves,0)))</f>
        <v/>
      </c>
      <c r="M174" s="201" t="str">
        <f aca="false">IF(A175="","",L174)</f>
        <v/>
      </c>
      <c r="N174" s="203"/>
      <c r="O174" s="200" t="str">
        <f aca="false">IF(A175="","",L174+J174+G174)</f>
        <v/>
      </c>
      <c r="P174" s="200" t="str">
        <f aca="false">IF(A175="","",M174+K174+H174)</f>
        <v/>
      </c>
      <c r="Q174" s="204"/>
      <c r="R174" s="200" t="str">
        <f aca="false">IF($A175="","",VLOOKUP($A174,Table,MATCH(R$4,Curves,0)))</f>
        <v/>
      </c>
      <c r="S174" s="201" t="str">
        <f aca="false">IF(A175="","",R174)</f>
        <v/>
      </c>
      <c r="T174" s="200" t="str">
        <f aca="false">IF($A175="","",VLOOKUP($A174,Table,MATCH(T$4,Curves,0)))</f>
        <v/>
      </c>
      <c r="U174" s="201" t="str">
        <f aca="false">IF(A175="","",T174)</f>
        <v/>
      </c>
      <c r="V174" s="183" t="str">
        <f aca="false">IF($A175="","",IF(AND(MONTH(A174)&gt;3,MONTH(A174)&lt;11),(T174+R174+G174)*Summary!$T$7/(1-Summary!$T$7),(T174+R174+G174)*Summary!$U$7/(1-Summary!$U$7)))</f>
        <v/>
      </c>
      <c r="W174" s="200" t="str">
        <f aca="false">IF($A175="","",(T174+R174+G174+V174))</f>
        <v/>
      </c>
      <c r="X174" s="200" t="str">
        <f aca="false">IF($A175="","",(U174+S174+H174+V174))</f>
        <v/>
      </c>
      <c r="Y174" s="202"/>
      <c r="Z174" s="185" t="str">
        <f aca="false">IF($A175="","",VLOOKUP($A174,Table,MATCH(Z$4,Curves,0)))</f>
        <v/>
      </c>
      <c r="AA174" s="185" t="str">
        <f aca="false">IF($A175="","",VLOOKUP($A174,Table,MATCH(AA$4,Curves,0)))</f>
        <v/>
      </c>
      <c r="AB174" s="185" t="e">
        <f aca="false">SQRT((AA174^2*(A174-$D$3)+Z174^2*(DAY(EOMONTH(A174,0))/2))/AK174)</f>
        <v>#VALUE!</v>
      </c>
      <c r="AC174" s="185" t="str">
        <f aca="false">IF($A175="","",VLOOKUP($A174,Table,MATCH(AC$4,Curves,0)))</f>
        <v/>
      </c>
      <c r="AD174" s="185" t="str">
        <f aca="false">IF($A175="","",VLOOKUP($A174,Table,MATCH(AD$4,Curves,0)))</f>
        <v/>
      </c>
      <c r="AE174" s="185" t="e">
        <f aca="false">SQRT((AD174^2*(A174-$D$3)+AC174^2*(DAY(EOMONTH(A174,0))/2))/AK174)</f>
        <v>#VALUE!</v>
      </c>
      <c r="AF174" s="206" t="e">
        <f aca="false">((Summary!$N$7*(AA174*AD174)*(A174-$D$3))+(Summary!$M$7*Z174*AC174*(DAY(EOMONTH(A174,0))/2)))/(AK174*AB174*AE174)</f>
        <v>#VALUE!</v>
      </c>
      <c r="AG174" s="207" t="str">
        <f aca="false">IF($A175="","",Summary!$Q$7)</f>
        <v/>
      </c>
      <c r="AH174" s="207" t="str">
        <f aca="false">IF($A175="","",IF(Summary!$R$7="Y",(VLOOKUP($A174,Summary!$AD$6:$AF$9,3)+'Escalating commodity'!C187),'Escalating commodity'!C187))</f>
        <v/>
      </c>
      <c r="AI174" s="207" t="str">
        <f aca="false">IF($A175="","",AH174)</f>
        <v/>
      </c>
      <c r="AJ174" s="208" t="e">
        <f aca="false">A174+DAY(EOMONTH(A174,0))/2-1</f>
        <v>#VALUE!</v>
      </c>
      <c r="AK174" s="209" t="str">
        <f aca="false">IF($A175="","",$A174-$E$1)</f>
        <v/>
      </c>
      <c r="AL174" s="182" t="str">
        <f aca="false">IF($A175="","",SPRDOPT(P174,X174,AI174,0,AB174,AE174,AF174,AK174,$AJ$2,0))</f>
        <v/>
      </c>
      <c r="AM174" s="210" t="str">
        <f aca="false">IF($A175="","",MAX(0,O174-W174-AI174))</f>
        <v/>
      </c>
      <c r="AN174" s="211" t="str">
        <f aca="false">IF($A175="","",AL174-AM174)</f>
        <v/>
      </c>
      <c r="AO174" s="137" t="str">
        <f aca="false">IF(A175="","",A175-A174)</f>
        <v/>
      </c>
      <c r="AP174" s="212" t="str">
        <f aca="false">IF(A175="","",CHOOSE(F$3,A175+24,A174))</f>
        <v/>
      </c>
      <c r="AQ174" s="209" t="str">
        <f aca="false">IF(A175="","",AP174-$E$1)</f>
        <v/>
      </c>
      <c r="AR174" s="185" t="n">
        <f aca="false">IF(Summary!$H$2=1,VLOOKUP('ANR OK vs ML7'!A174,Curves!$C$17:$AR$273,MATCH('ANR OK vs ML7'!$AR$4,Curves!$C$8:$AQ$8,0)),0.1)</f>
        <v>0.1</v>
      </c>
      <c r="AS174" s="213" t="str">
        <f aca="false">IF(A175="","",1/(1+CHOOSE(F$3,(AR175+($I$3/10000))/2,(AR174+($I$3/10000))/2))^(2*AQ174/365.25))</f>
        <v/>
      </c>
      <c r="AT174" s="137" t="str">
        <f aca="false">IF(A175="","",IF(AND(mthbeg&lt;=A174,mthend&gt;=A174),1,0))</f>
        <v/>
      </c>
      <c r="AU174" s="137" t="str">
        <f aca="false">IF(A175="","",AO174*AT174)</f>
        <v/>
      </c>
      <c r="AW174" s="195" t="str">
        <f aca="false">IF($A175="","",AL174*$E174)</f>
        <v/>
      </c>
      <c r="AX174" s="195" t="str">
        <f aca="false">IF($A175="","",AM174*$E174)</f>
        <v/>
      </c>
      <c r="AY174" s="195" t="str">
        <f aca="false">IF($A175="","",AN174*$E174)</f>
        <v/>
      </c>
      <c r="BA174" s="195" t="str">
        <f aca="false">IF($A175="","",F174*Summary!$Q$7)</f>
        <v/>
      </c>
    </row>
    <row r="175" customFormat="false" ht="12" hidden="false" customHeight="true" outlineLevel="0" collapsed="false">
      <c r="A175" s="196" t="str">
        <f aca="false">IF(A174&lt;mthend,EDATE(A174,1),"")</f>
        <v/>
      </c>
      <c r="B175" s="197" t="str">
        <f aca="false">IF(A175&lt;mthend,B174,"")</f>
        <v/>
      </c>
      <c r="C175" s="215"/>
      <c r="D175" s="197" t="str">
        <f aca="false">IF(A176&lt;&gt;"",B175+C175,"")</f>
        <v/>
      </c>
      <c r="E175" s="199" t="str">
        <f aca="false">IF(A176="","",IF(AND(AT175=1,$H$3=1),D175*AO175,IF($H$3=2,D175,"N/A")))</f>
        <v/>
      </c>
      <c r="F175" s="199" t="str">
        <f aca="false">IF(A176="","",E175*AS175)</f>
        <v/>
      </c>
      <c r="G175" s="200" t="str">
        <f aca="false">IF($A176="","",VLOOKUP($A175,Table,MATCH(G$4,Curves,0)))</f>
        <v/>
      </c>
      <c r="H175" s="201" t="str">
        <f aca="false">IF(A176="","",G175)</f>
        <v/>
      </c>
      <c r="I175" s="202"/>
      <c r="J175" s="200" t="str">
        <f aca="false">IF($A176="","",VLOOKUP($A175,Table,MATCH(J$4,Curves,0)))</f>
        <v/>
      </c>
      <c r="K175" s="201" t="str">
        <f aca="false">IF(A176="","",J175)</f>
        <v/>
      </c>
      <c r="L175" s="200" t="str">
        <f aca="false">IF($A176="","",VLOOKUP($A175,Table,MATCH(L$4,Curves,0)))</f>
        <v/>
      </c>
      <c r="M175" s="201" t="str">
        <f aca="false">IF(A176="","",L175)</f>
        <v/>
      </c>
      <c r="N175" s="203"/>
      <c r="O175" s="200" t="str">
        <f aca="false">IF(A176="","",L175+J175+G175)</f>
        <v/>
      </c>
      <c r="P175" s="200" t="str">
        <f aca="false">IF(A176="","",M175+K175+H175)</f>
        <v/>
      </c>
      <c r="Q175" s="204"/>
      <c r="R175" s="200" t="str">
        <f aca="false">IF($A176="","",VLOOKUP($A175,Table,MATCH(R$4,Curves,0)))</f>
        <v/>
      </c>
      <c r="S175" s="201" t="str">
        <f aca="false">IF(A176="","",R175)</f>
        <v/>
      </c>
      <c r="T175" s="200" t="str">
        <f aca="false">IF($A176="","",VLOOKUP($A175,Table,MATCH(T$4,Curves,0)))</f>
        <v/>
      </c>
      <c r="U175" s="201" t="str">
        <f aca="false">IF(A176="","",T175)</f>
        <v/>
      </c>
      <c r="V175" s="183" t="str">
        <f aca="false">IF($A176="","",IF(AND(MONTH(A175)&gt;3,MONTH(A175)&lt;11),(T175+R175+G175)*Summary!$T$7/(1-Summary!$T$7),(T175+R175+G175)*Summary!$U$7/(1-Summary!$U$7)))</f>
        <v/>
      </c>
      <c r="W175" s="200" t="str">
        <f aca="false">IF($A176="","",(T175+R175+G175+V175))</f>
        <v/>
      </c>
      <c r="X175" s="200" t="str">
        <f aca="false">IF($A176="","",(U175+S175+H175+V175))</f>
        <v/>
      </c>
      <c r="Y175" s="202"/>
      <c r="Z175" s="185" t="str">
        <f aca="false">IF($A176="","",VLOOKUP($A175,Table,MATCH(Z$4,Curves,0)))</f>
        <v/>
      </c>
      <c r="AA175" s="185" t="str">
        <f aca="false">IF($A176="","",VLOOKUP($A175,Table,MATCH(AA$4,Curves,0)))</f>
        <v/>
      </c>
      <c r="AB175" s="185" t="e">
        <f aca="false">SQRT((AA175^2*(A175-$D$3)+Z175^2*(DAY(EOMONTH(A175,0))/2))/AK175)</f>
        <v>#VALUE!</v>
      </c>
      <c r="AC175" s="185" t="str">
        <f aca="false">IF($A176="","",VLOOKUP($A175,Table,MATCH(AC$4,Curves,0)))</f>
        <v/>
      </c>
      <c r="AD175" s="185" t="str">
        <f aca="false">IF($A176="","",VLOOKUP($A175,Table,MATCH(AD$4,Curves,0)))</f>
        <v/>
      </c>
      <c r="AE175" s="185" t="e">
        <f aca="false">SQRT((AD175^2*(A175-$D$3)+AC175^2*(DAY(EOMONTH(A175,0))/2))/AK175)</f>
        <v>#VALUE!</v>
      </c>
      <c r="AF175" s="206" t="e">
        <f aca="false">((Summary!$N$7*(AA175*AD175)*(A175-$D$3))+(Summary!$M$7*Z175*AC175*(DAY(EOMONTH(A175,0))/2)))/(AK175*AB175*AE175)</f>
        <v>#VALUE!</v>
      </c>
      <c r="AG175" s="207" t="str">
        <f aca="false">IF($A176="","",Summary!$Q$7)</f>
        <v/>
      </c>
      <c r="AH175" s="207" t="str">
        <f aca="false">IF($A176="","",IF(Summary!$R$7="Y",(VLOOKUP($A175,Summary!$AD$6:$AF$9,3)+'Escalating commodity'!C188),'Escalating commodity'!C188))</f>
        <v/>
      </c>
      <c r="AI175" s="207" t="str">
        <f aca="false">IF($A176="","",AH175)</f>
        <v/>
      </c>
      <c r="AJ175" s="208" t="e">
        <f aca="false">A175+DAY(EOMONTH(A175,0))/2-1</f>
        <v>#VALUE!</v>
      </c>
      <c r="AK175" s="209" t="str">
        <f aca="false">IF($A176="","",$A175-$E$1)</f>
        <v/>
      </c>
      <c r="AL175" s="182" t="str">
        <f aca="false">IF($A176="","",SPRDOPT(P175,X175,AI175,0,AB175,AE175,AF175,AK175,$AJ$2,0))</f>
        <v/>
      </c>
      <c r="AM175" s="210" t="str">
        <f aca="false">IF($A176="","",MAX(0,O175-W175-AI175))</f>
        <v/>
      </c>
      <c r="AN175" s="211" t="str">
        <f aca="false">IF($A176="","",AL175-AM175)</f>
        <v/>
      </c>
      <c r="AO175" s="137" t="str">
        <f aca="false">IF(A176="","",A176-A175)</f>
        <v/>
      </c>
      <c r="AP175" s="212" t="str">
        <f aca="false">IF(A176="","",CHOOSE(F$3,A176+24,A175))</f>
        <v/>
      </c>
      <c r="AQ175" s="209" t="str">
        <f aca="false">IF(A176="","",AP175-$E$1)</f>
        <v/>
      </c>
      <c r="AR175" s="185" t="n">
        <f aca="false">IF(Summary!$H$2=1,VLOOKUP('ANR OK vs ML7'!A175,Curves!$C$17:$AR$273,MATCH('ANR OK vs ML7'!$AR$4,Curves!$C$8:$AQ$8,0)),0.1)</f>
        <v>0.1</v>
      </c>
      <c r="AS175" s="213" t="str">
        <f aca="false">IF(A176="","",1/(1+CHOOSE(F$3,(AR176+($I$3/10000))/2,(AR175+($I$3/10000))/2))^(2*AQ175/365.25))</f>
        <v/>
      </c>
      <c r="AT175" s="137" t="str">
        <f aca="false">IF(A176="","",IF(AND(mthbeg&lt;=A175,mthend&gt;=A175),1,0))</f>
        <v/>
      </c>
      <c r="AU175" s="137" t="str">
        <f aca="false">IF(A176="","",AO175*AT175)</f>
        <v/>
      </c>
      <c r="AW175" s="195" t="str">
        <f aca="false">IF($A176="","",AL175*$E175)</f>
        <v/>
      </c>
      <c r="AX175" s="195" t="str">
        <f aca="false">IF($A176="","",AM175*$E175)</f>
        <v/>
      </c>
      <c r="AY175" s="195" t="str">
        <f aca="false">IF($A176="","",AN175*$E175)</f>
        <v/>
      </c>
      <c r="BA175" s="195" t="str">
        <f aca="false">IF($A176="","",F175*Summary!$Q$7)</f>
        <v/>
      </c>
    </row>
    <row r="176" customFormat="false" ht="12" hidden="false" customHeight="true" outlineLevel="0" collapsed="false">
      <c r="A176" s="196" t="str">
        <f aca="false">IF(A175&lt;mthend,EDATE(A175,1),"")</f>
        <v/>
      </c>
      <c r="B176" s="197" t="str">
        <f aca="false">IF(A176&lt;mthend,B175,"")</f>
        <v/>
      </c>
      <c r="C176" s="215"/>
      <c r="D176" s="197" t="str">
        <f aca="false">IF(A177&lt;&gt;"",B176+C176,"")</f>
        <v/>
      </c>
      <c r="E176" s="199" t="str">
        <f aca="false">IF(A177="","",IF(AND(AT176=1,$H$3=1),D176*AO176,IF($H$3=2,D176,"N/A")))</f>
        <v/>
      </c>
      <c r="F176" s="199" t="str">
        <f aca="false">IF(A177="","",E176*AS176)</f>
        <v/>
      </c>
      <c r="G176" s="200" t="str">
        <f aca="false">IF($A177="","",VLOOKUP($A176,Table,MATCH(G$4,Curves,0)))</f>
        <v/>
      </c>
      <c r="H176" s="201" t="str">
        <f aca="false">IF(A177="","",G176)</f>
        <v/>
      </c>
      <c r="I176" s="202"/>
      <c r="J176" s="200" t="str">
        <f aca="false">IF($A177="","",VLOOKUP($A176,Table,MATCH(J$4,Curves,0)))</f>
        <v/>
      </c>
      <c r="K176" s="201" t="str">
        <f aca="false">IF(A177="","",J176)</f>
        <v/>
      </c>
      <c r="L176" s="200" t="str">
        <f aca="false">IF($A177="","",VLOOKUP($A176,Table,MATCH(L$4,Curves,0)))</f>
        <v/>
      </c>
      <c r="M176" s="201" t="str">
        <f aca="false">IF(A177="","",L176)</f>
        <v/>
      </c>
      <c r="N176" s="203"/>
      <c r="O176" s="200" t="str">
        <f aca="false">IF(A177="","",L176+J176+G176)</f>
        <v/>
      </c>
      <c r="P176" s="200" t="str">
        <f aca="false">IF(A177="","",M176+K176+H176)</f>
        <v/>
      </c>
      <c r="Q176" s="204"/>
      <c r="R176" s="200" t="str">
        <f aca="false">IF($A177="","",VLOOKUP($A176,Table,MATCH(R$4,Curves,0)))</f>
        <v/>
      </c>
      <c r="S176" s="201" t="str">
        <f aca="false">IF(A177="","",R176)</f>
        <v/>
      </c>
      <c r="T176" s="200" t="str">
        <f aca="false">IF($A177="","",VLOOKUP($A176,Table,MATCH(T$4,Curves,0)))</f>
        <v/>
      </c>
      <c r="U176" s="201" t="str">
        <f aca="false">IF(A177="","",T176)</f>
        <v/>
      </c>
      <c r="V176" s="183" t="str">
        <f aca="false">IF($A177="","",IF(AND(MONTH(A176)&gt;3,MONTH(A176)&lt;11),(T176+R176+G176)*Summary!$T$7/(1-Summary!$T$7),(T176+R176+G176)*Summary!$U$7/(1-Summary!$U$7)))</f>
        <v/>
      </c>
      <c r="W176" s="200" t="str">
        <f aca="false">IF($A177="","",(T176+R176+G176+V176))</f>
        <v/>
      </c>
      <c r="X176" s="200" t="str">
        <f aca="false">IF($A177="","",(U176+S176+H176+V176))</f>
        <v/>
      </c>
      <c r="Y176" s="202"/>
      <c r="Z176" s="185" t="str">
        <f aca="false">IF($A177="","",VLOOKUP($A176,Table,MATCH(Z$4,Curves,0)))</f>
        <v/>
      </c>
      <c r="AA176" s="185" t="str">
        <f aca="false">IF($A177="","",VLOOKUP($A176,Table,MATCH(AA$4,Curves,0)))</f>
        <v/>
      </c>
      <c r="AB176" s="185" t="e">
        <f aca="false">SQRT((AA176^2*(A176-$D$3)+Z176^2*(DAY(EOMONTH(A176,0))/2))/AK176)</f>
        <v>#VALUE!</v>
      </c>
      <c r="AC176" s="185" t="str">
        <f aca="false">IF($A177="","",VLOOKUP($A176,Table,MATCH(AC$4,Curves,0)))</f>
        <v/>
      </c>
      <c r="AD176" s="185" t="str">
        <f aca="false">IF($A177="","",VLOOKUP($A176,Table,MATCH(AD$4,Curves,0)))</f>
        <v/>
      </c>
      <c r="AE176" s="185" t="e">
        <f aca="false">SQRT((AD176^2*(A176-$D$3)+AC176^2*(DAY(EOMONTH(A176,0))/2))/AK176)</f>
        <v>#VALUE!</v>
      </c>
      <c r="AF176" s="206" t="e">
        <f aca="false">((Summary!$N$7*(AA176*AD176)*(A176-$D$3))+(Summary!$M$7*Z176*AC176*(DAY(EOMONTH(A176,0))/2)))/(AK176*AB176*AE176)</f>
        <v>#VALUE!</v>
      </c>
      <c r="AG176" s="207" t="str">
        <f aca="false">IF($A177="","",Summary!$Q$7)</f>
        <v/>
      </c>
      <c r="AH176" s="207" t="str">
        <f aca="false">IF($A177="","",IF(Summary!$R$7="Y",(VLOOKUP($A176,Summary!$AD$6:$AF$9,3)+'Escalating commodity'!C189),'Escalating commodity'!C189))</f>
        <v/>
      </c>
      <c r="AI176" s="207" t="str">
        <f aca="false">IF($A177="","",AH176)</f>
        <v/>
      </c>
      <c r="AJ176" s="208" t="e">
        <f aca="false">A176+DAY(EOMONTH(A176,0))/2-1</f>
        <v>#VALUE!</v>
      </c>
      <c r="AK176" s="209" t="str">
        <f aca="false">IF($A177="","",$A176-$E$1)</f>
        <v/>
      </c>
      <c r="AL176" s="182" t="str">
        <f aca="false">IF($A177="","",SPRDOPT(P176,X176,AI176,0,AB176,AE176,AF176,AK176,$AJ$2,0))</f>
        <v/>
      </c>
      <c r="AM176" s="210" t="str">
        <f aca="false">IF($A177="","",MAX(0,O176-W176-AI176))</f>
        <v/>
      </c>
      <c r="AN176" s="211" t="str">
        <f aca="false">IF($A177="","",AL176-AM176)</f>
        <v/>
      </c>
      <c r="AO176" s="137" t="str">
        <f aca="false">IF(A177="","",A177-A176)</f>
        <v/>
      </c>
      <c r="AP176" s="212" t="str">
        <f aca="false">IF(A177="","",CHOOSE(F$3,A177+24,A176))</f>
        <v/>
      </c>
      <c r="AQ176" s="209" t="str">
        <f aca="false">IF(A177="","",AP176-$E$1)</f>
        <v/>
      </c>
      <c r="AR176" s="185" t="n">
        <f aca="false">IF(Summary!$H$2=1,VLOOKUP('ANR OK vs ML7'!A176,Curves!$C$17:$AR$273,MATCH('ANR OK vs ML7'!$AR$4,Curves!$C$8:$AQ$8,0)),0.1)</f>
        <v>0.1</v>
      </c>
      <c r="AS176" s="213" t="str">
        <f aca="false">IF(A177="","",1/(1+CHOOSE(F$3,(AR177+($I$3/10000))/2,(AR176+($I$3/10000))/2))^(2*AQ176/365.25))</f>
        <v/>
      </c>
      <c r="AT176" s="137" t="str">
        <f aca="false">IF(A177="","",IF(AND(mthbeg&lt;=A176,mthend&gt;=A176),1,0))</f>
        <v/>
      </c>
      <c r="AU176" s="137" t="str">
        <f aca="false">IF(A177="","",AO176*AT176)</f>
        <v/>
      </c>
      <c r="AW176" s="195" t="str">
        <f aca="false">IF($A177="","",AL176*$E176)</f>
        <v/>
      </c>
      <c r="AX176" s="195" t="str">
        <f aca="false">IF($A177="","",AM176*$E176)</f>
        <v/>
      </c>
      <c r="AY176" s="195" t="str">
        <f aca="false">IF($A177="","",AN176*$E176)</f>
        <v/>
      </c>
      <c r="BA176" s="195" t="str">
        <f aca="false">IF($A177="","",F176*Summary!$Q$7)</f>
        <v/>
      </c>
    </row>
    <row r="177" customFormat="false" ht="12" hidden="false" customHeight="true" outlineLevel="0" collapsed="false">
      <c r="A177" s="196" t="str">
        <f aca="false">IF(A176&lt;mthend,EDATE(A176,1),"")</f>
        <v/>
      </c>
      <c r="B177" s="197" t="str">
        <f aca="false">IF(A177&lt;mthend,B176,"")</f>
        <v/>
      </c>
      <c r="C177" s="215"/>
      <c r="D177" s="197" t="str">
        <f aca="false">IF(A178&lt;&gt;"",B177+C177,"")</f>
        <v/>
      </c>
      <c r="E177" s="199" t="str">
        <f aca="false">IF(A178="","",IF(AND(AT177=1,$H$3=1),D177*AO177,IF($H$3=2,D177,"N/A")))</f>
        <v/>
      </c>
      <c r="F177" s="199" t="str">
        <f aca="false">IF(A178="","",E177*AS177)</f>
        <v/>
      </c>
      <c r="G177" s="200" t="str">
        <f aca="false">IF($A178="","",VLOOKUP($A177,Table,MATCH(G$4,Curves,0)))</f>
        <v/>
      </c>
      <c r="H177" s="201" t="str">
        <f aca="false">IF(A178="","",G177)</f>
        <v/>
      </c>
      <c r="I177" s="202"/>
      <c r="J177" s="200" t="str">
        <f aca="false">IF($A178="","",VLOOKUP($A177,Table,MATCH(J$4,Curves,0)))</f>
        <v/>
      </c>
      <c r="K177" s="201" t="str">
        <f aca="false">IF(A178="","",J177)</f>
        <v/>
      </c>
      <c r="L177" s="200" t="str">
        <f aca="false">IF($A178="","",VLOOKUP($A177,Table,MATCH(L$4,Curves,0)))</f>
        <v/>
      </c>
      <c r="M177" s="201" t="str">
        <f aca="false">IF(A178="","",L177)</f>
        <v/>
      </c>
      <c r="N177" s="203"/>
      <c r="O177" s="200" t="str">
        <f aca="false">IF(A178="","",L177+J177+G177)</f>
        <v/>
      </c>
      <c r="P177" s="200" t="str">
        <f aca="false">IF(A178="","",M177+K177+H177)</f>
        <v/>
      </c>
      <c r="Q177" s="204"/>
      <c r="R177" s="200" t="str">
        <f aca="false">IF($A178="","",VLOOKUP($A177,Table,MATCH(R$4,Curves,0)))</f>
        <v/>
      </c>
      <c r="S177" s="201" t="str">
        <f aca="false">IF(A178="","",R177)</f>
        <v/>
      </c>
      <c r="T177" s="200" t="str">
        <f aca="false">IF($A178="","",VLOOKUP($A177,Table,MATCH(T$4,Curves,0)))</f>
        <v/>
      </c>
      <c r="U177" s="201" t="str">
        <f aca="false">IF(A178="","",T177)</f>
        <v/>
      </c>
      <c r="V177" s="183" t="str">
        <f aca="false">IF($A178="","",IF(AND(MONTH(A177)&gt;3,MONTH(A177)&lt;11),(T177+R177+G177)*Summary!$T$7/(1-Summary!$T$7),(T177+R177+G177)*Summary!$U$7/(1-Summary!$U$7)))</f>
        <v/>
      </c>
      <c r="W177" s="200" t="str">
        <f aca="false">IF($A178="","",(T177+R177+G177+V177))</f>
        <v/>
      </c>
      <c r="X177" s="200" t="str">
        <f aca="false">IF($A178="","",(U177+S177+H177+V177))</f>
        <v/>
      </c>
      <c r="Y177" s="202"/>
      <c r="Z177" s="185" t="str">
        <f aca="false">IF($A178="","",VLOOKUP($A177,Table,MATCH(Z$4,Curves,0)))</f>
        <v/>
      </c>
      <c r="AA177" s="185" t="str">
        <f aca="false">IF($A178="","",VLOOKUP($A177,Table,MATCH(AA$4,Curves,0)))</f>
        <v/>
      </c>
      <c r="AB177" s="185" t="e">
        <f aca="false">SQRT((AA177^2*(A177-$D$3)+Z177^2*(DAY(EOMONTH(A177,0))/2))/AK177)</f>
        <v>#VALUE!</v>
      </c>
      <c r="AC177" s="185" t="str">
        <f aca="false">IF($A178="","",VLOOKUP($A177,Table,MATCH(AC$4,Curves,0)))</f>
        <v/>
      </c>
      <c r="AD177" s="185" t="str">
        <f aca="false">IF($A178="","",VLOOKUP($A177,Table,MATCH(AD$4,Curves,0)))</f>
        <v/>
      </c>
      <c r="AE177" s="185" t="e">
        <f aca="false">SQRT((AD177^2*(A177-$D$3)+AC177^2*(DAY(EOMONTH(A177,0))/2))/AK177)</f>
        <v>#VALUE!</v>
      </c>
      <c r="AF177" s="206" t="e">
        <f aca="false">((Summary!$N$7*(AA177*AD177)*(A177-$D$3))+(Summary!$M$7*Z177*AC177*(DAY(EOMONTH(A177,0))/2)))/(AK177*AB177*AE177)</f>
        <v>#VALUE!</v>
      </c>
      <c r="AG177" s="207" t="str">
        <f aca="false">IF($A178="","",Summary!$Q$7)</f>
        <v/>
      </c>
      <c r="AH177" s="207" t="str">
        <f aca="false">IF($A178="","",IF(Summary!$R$7="Y",(VLOOKUP($A177,Summary!$AD$6:$AF$9,3)+'Escalating commodity'!C190),'Escalating commodity'!C190))</f>
        <v/>
      </c>
      <c r="AI177" s="207" t="str">
        <f aca="false">IF($A178="","",AH177)</f>
        <v/>
      </c>
      <c r="AJ177" s="208" t="e">
        <f aca="false">A177+DAY(EOMONTH(A177,0))/2-1</f>
        <v>#VALUE!</v>
      </c>
      <c r="AK177" s="209" t="str">
        <f aca="false">IF($A178="","",$A177-$E$1)</f>
        <v/>
      </c>
      <c r="AL177" s="182" t="str">
        <f aca="false">IF($A178="","",SPRDOPT(P177,X177,AI177,0,AB177,AE177,AF177,AK177,$AJ$2,0))</f>
        <v/>
      </c>
      <c r="AM177" s="210" t="str">
        <f aca="false">IF($A178="","",MAX(0,O177-W177-AI177))</f>
        <v/>
      </c>
      <c r="AN177" s="211" t="str">
        <f aca="false">IF($A178="","",AL177-AM177)</f>
        <v/>
      </c>
      <c r="AO177" s="137" t="str">
        <f aca="false">IF(A178="","",A178-A177)</f>
        <v/>
      </c>
      <c r="AP177" s="212" t="str">
        <f aca="false">IF(A178="","",CHOOSE(F$3,A178+24,A177))</f>
        <v/>
      </c>
      <c r="AQ177" s="209" t="str">
        <f aca="false">IF(A178="","",AP177-$E$1)</f>
        <v/>
      </c>
      <c r="AR177" s="185" t="n">
        <f aca="false">IF(Summary!$H$2=1,VLOOKUP('ANR OK vs ML7'!A177,Curves!$C$17:$AR$273,MATCH('ANR OK vs ML7'!$AR$4,Curves!$C$8:$AQ$8,0)),0.1)</f>
        <v>0.1</v>
      </c>
      <c r="AS177" s="213" t="str">
        <f aca="false">IF(A178="","",1/(1+CHOOSE(F$3,(AR178+($I$3/10000))/2,(AR177+($I$3/10000))/2))^(2*AQ177/365.25))</f>
        <v/>
      </c>
      <c r="AT177" s="137" t="str">
        <f aca="false">IF(A178="","",IF(AND(mthbeg&lt;=A177,mthend&gt;=A177),1,0))</f>
        <v/>
      </c>
      <c r="AU177" s="137" t="str">
        <f aca="false">IF(A178="","",AO177*AT177)</f>
        <v/>
      </c>
      <c r="AW177" s="195" t="str">
        <f aca="false">IF($A178="","",AL177*$E177)</f>
        <v/>
      </c>
      <c r="AX177" s="195" t="str">
        <f aca="false">IF($A178="","",AM177*$E177)</f>
        <v/>
      </c>
      <c r="AY177" s="195" t="str">
        <f aca="false">IF($A178="","",AN177*$E177)</f>
        <v/>
      </c>
      <c r="BA177" s="195" t="str">
        <f aca="false">IF($A178="","",F177*Summary!$Q$7)</f>
        <v/>
      </c>
    </row>
    <row r="178" customFormat="false" ht="12" hidden="false" customHeight="true" outlineLevel="0" collapsed="false">
      <c r="A178" s="196" t="str">
        <f aca="false">IF(A177&lt;mthend,EDATE(A177,1),"")</f>
        <v/>
      </c>
      <c r="B178" s="197" t="str">
        <f aca="false">IF(A178&lt;mthend,B177,"")</f>
        <v/>
      </c>
      <c r="C178" s="215"/>
      <c r="D178" s="197" t="str">
        <f aca="false">IF(A179&lt;&gt;"",B178+C178,"")</f>
        <v/>
      </c>
      <c r="E178" s="199" t="str">
        <f aca="false">IF(A179="","",IF(AND(AT178=1,$H$3=1),D178*AO178,IF($H$3=2,D178,"N/A")))</f>
        <v/>
      </c>
      <c r="F178" s="199" t="str">
        <f aca="false">IF(A179="","",E178*AS178)</f>
        <v/>
      </c>
      <c r="G178" s="200" t="str">
        <f aca="false">IF($A179="","",VLOOKUP($A178,Table,MATCH(G$4,Curves,0)))</f>
        <v/>
      </c>
      <c r="H178" s="201" t="str">
        <f aca="false">IF(A179="","",G178)</f>
        <v/>
      </c>
      <c r="I178" s="202"/>
      <c r="J178" s="200" t="str">
        <f aca="false">IF($A179="","",VLOOKUP($A178,Table,MATCH(J$4,Curves,0)))</f>
        <v/>
      </c>
      <c r="K178" s="201" t="str">
        <f aca="false">IF(A179="","",J178)</f>
        <v/>
      </c>
      <c r="L178" s="200" t="str">
        <f aca="false">IF($A179="","",VLOOKUP($A178,Table,MATCH(L$4,Curves,0)))</f>
        <v/>
      </c>
      <c r="M178" s="201" t="str">
        <f aca="false">IF(A179="","",L178)</f>
        <v/>
      </c>
      <c r="N178" s="203"/>
      <c r="O178" s="200" t="str">
        <f aca="false">IF(A179="","",L178+J178+G178)</f>
        <v/>
      </c>
      <c r="P178" s="200" t="str">
        <f aca="false">IF(A179="","",M178+K178+H178)</f>
        <v/>
      </c>
      <c r="Q178" s="204"/>
      <c r="R178" s="200" t="str">
        <f aca="false">IF($A179="","",VLOOKUP($A178,Table,MATCH(R$4,Curves,0)))</f>
        <v/>
      </c>
      <c r="S178" s="201" t="str">
        <f aca="false">IF(A179="","",R178)</f>
        <v/>
      </c>
      <c r="T178" s="200" t="str">
        <f aca="false">IF($A179="","",VLOOKUP($A178,Table,MATCH(T$4,Curves,0)))</f>
        <v/>
      </c>
      <c r="U178" s="201" t="str">
        <f aca="false">IF(A179="","",T178)</f>
        <v/>
      </c>
      <c r="V178" s="183" t="str">
        <f aca="false">IF($A179="","",IF(AND(MONTH(A178)&gt;3,MONTH(A178)&lt;11),(T178+R178+G178)*Summary!$T$7/(1-Summary!$T$7),(T178+R178+G178)*Summary!$U$7/(1-Summary!$U$7)))</f>
        <v/>
      </c>
      <c r="W178" s="200" t="str">
        <f aca="false">IF($A179="","",(T178+R178+G178+V178))</f>
        <v/>
      </c>
      <c r="X178" s="200" t="str">
        <f aca="false">IF($A179="","",(U178+S178+H178+V178))</f>
        <v/>
      </c>
      <c r="Y178" s="202"/>
      <c r="Z178" s="185" t="str">
        <f aca="false">IF($A179="","",VLOOKUP($A178,Table,MATCH(Z$4,Curves,0)))</f>
        <v/>
      </c>
      <c r="AA178" s="185" t="str">
        <f aca="false">IF($A179="","",VLOOKUP($A178,Table,MATCH(AA$4,Curves,0)))</f>
        <v/>
      </c>
      <c r="AB178" s="185" t="e">
        <f aca="false">SQRT((AA178^2*(A178-$D$3)+Z178^2*(DAY(EOMONTH(A178,0))/2))/AK178)</f>
        <v>#VALUE!</v>
      </c>
      <c r="AC178" s="185" t="str">
        <f aca="false">IF($A179="","",VLOOKUP($A178,Table,MATCH(AC$4,Curves,0)))</f>
        <v/>
      </c>
      <c r="AD178" s="185" t="str">
        <f aca="false">IF($A179="","",VLOOKUP($A178,Table,MATCH(AD$4,Curves,0)))</f>
        <v/>
      </c>
      <c r="AE178" s="185" t="e">
        <f aca="false">SQRT((AD178^2*(A178-$D$3)+AC178^2*(DAY(EOMONTH(A178,0))/2))/AK178)</f>
        <v>#VALUE!</v>
      </c>
      <c r="AF178" s="206" t="e">
        <f aca="false">((Summary!$N$7*(AA178*AD178)*(A178-$D$3))+(Summary!$M$7*Z178*AC178*(DAY(EOMONTH(A178,0))/2)))/(AK178*AB178*AE178)</f>
        <v>#VALUE!</v>
      </c>
      <c r="AG178" s="207" t="str">
        <f aca="false">IF($A179="","",Summary!$Q$7)</f>
        <v/>
      </c>
      <c r="AH178" s="207" t="str">
        <f aca="false">IF($A179="","",IF(Summary!$R$7="Y",(VLOOKUP($A178,Summary!$AD$6:$AF$9,3)+'Escalating commodity'!C191),'Escalating commodity'!C191))</f>
        <v/>
      </c>
      <c r="AI178" s="207" t="str">
        <f aca="false">IF($A179="","",AH178)</f>
        <v/>
      </c>
      <c r="AJ178" s="208" t="e">
        <f aca="false">A178+DAY(EOMONTH(A178,0))/2-1</f>
        <v>#VALUE!</v>
      </c>
      <c r="AK178" s="209" t="str">
        <f aca="false">IF($A179="","",$A178-$E$1)</f>
        <v/>
      </c>
      <c r="AL178" s="182" t="str">
        <f aca="false">IF($A179="","",SPRDOPT(P178,X178,AI178,0,AB178,AE178,AF178,AK178,$AJ$2,0))</f>
        <v/>
      </c>
      <c r="AM178" s="210" t="str">
        <f aca="false">IF($A179="","",MAX(0,O178-W178-AI178))</f>
        <v/>
      </c>
      <c r="AN178" s="211" t="str">
        <f aca="false">IF($A179="","",AL178-AM178)</f>
        <v/>
      </c>
      <c r="AO178" s="137" t="str">
        <f aca="false">IF(A179="","",A179-A178)</f>
        <v/>
      </c>
      <c r="AP178" s="212" t="str">
        <f aca="false">IF(A179="","",CHOOSE(F$3,A179+24,A178))</f>
        <v/>
      </c>
      <c r="AQ178" s="209" t="str">
        <f aca="false">IF(A179="","",AP178-$E$1)</f>
        <v/>
      </c>
      <c r="AR178" s="185" t="n">
        <f aca="false">IF(Summary!$H$2=1,VLOOKUP('ANR OK vs ML7'!A178,Curves!$C$17:$AR$273,MATCH('ANR OK vs ML7'!$AR$4,Curves!$C$8:$AQ$8,0)),0.1)</f>
        <v>0.1</v>
      </c>
      <c r="AS178" s="213" t="str">
        <f aca="false">IF(A179="","",1/(1+CHOOSE(F$3,(AR179+($I$3/10000))/2,(AR178+($I$3/10000))/2))^(2*AQ178/365.25))</f>
        <v/>
      </c>
      <c r="AT178" s="137" t="str">
        <f aca="false">IF(A179="","",IF(AND(mthbeg&lt;=A178,mthend&gt;=A178),1,0))</f>
        <v/>
      </c>
      <c r="AU178" s="137" t="str">
        <f aca="false">IF(A179="","",AO178*AT178)</f>
        <v/>
      </c>
      <c r="AW178" s="195" t="str">
        <f aca="false">IF($A179="","",AL178*$E178)</f>
        <v/>
      </c>
      <c r="AX178" s="195" t="str">
        <f aca="false">IF($A179="","",AM178*$E178)</f>
        <v/>
      </c>
      <c r="AY178" s="195" t="str">
        <f aca="false">IF($A179="","",AN178*$E178)</f>
        <v/>
      </c>
      <c r="BA178" s="195" t="str">
        <f aca="false">IF($A179="","",F178*Summary!$Q$7)</f>
        <v/>
      </c>
    </row>
    <row r="179" customFormat="false" ht="12" hidden="false" customHeight="true" outlineLevel="0" collapsed="false">
      <c r="A179" s="196" t="str">
        <f aca="false">IF(A178&lt;mthend,EDATE(A178,1),"")</f>
        <v/>
      </c>
      <c r="B179" s="197" t="str">
        <f aca="false">IF(A179&lt;mthend,B178,"")</f>
        <v/>
      </c>
      <c r="C179" s="215"/>
      <c r="D179" s="197" t="str">
        <f aca="false">IF(A180&lt;&gt;"",B179+C179,"")</f>
        <v/>
      </c>
      <c r="E179" s="199" t="str">
        <f aca="false">IF(A180="","",IF(AND(AT179=1,$H$3=1),D179*AO179,IF($H$3=2,D179,"N/A")))</f>
        <v/>
      </c>
      <c r="F179" s="199" t="str">
        <f aca="false">IF(A180="","",E179*AS179)</f>
        <v/>
      </c>
      <c r="G179" s="200" t="str">
        <f aca="false">IF($A180="","",VLOOKUP($A179,Table,MATCH(G$4,Curves,0)))</f>
        <v/>
      </c>
      <c r="H179" s="201" t="str">
        <f aca="false">IF(A180="","",G179)</f>
        <v/>
      </c>
      <c r="I179" s="202"/>
      <c r="J179" s="200" t="str">
        <f aca="false">IF($A180="","",VLOOKUP($A179,Table,MATCH(J$4,Curves,0)))</f>
        <v/>
      </c>
      <c r="K179" s="201" t="str">
        <f aca="false">IF(A180="","",J179)</f>
        <v/>
      </c>
      <c r="L179" s="200" t="str">
        <f aca="false">IF($A180="","",VLOOKUP($A179,Table,MATCH(L$4,Curves,0)))</f>
        <v/>
      </c>
      <c r="M179" s="201" t="str">
        <f aca="false">IF(A180="","",L179)</f>
        <v/>
      </c>
      <c r="N179" s="203"/>
      <c r="O179" s="200" t="str">
        <f aca="false">IF(A180="","",L179+J179+G179)</f>
        <v/>
      </c>
      <c r="P179" s="200" t="str">
        <f aca="false">IF(A180="","",M179+K179+H179)</f>
        <v/>
      </c>
      <c r="Q179" s="204"/>
      <c r="R179" s="200" t="str">
        <f aca="false">IF($A180="","",VLOOKUP($A179,Table,MATCH(R$4,Curves,0)))</f>
        <v/>
      </c>
      <c r="S179" s="201" t="str">
        <f aca="false">IF(A180="","",R179)</f>
        <v/>
      </c>
      <c r="T179" s="200" t="str">
        <f aca="false">IF($A180="","",VLOOKUP($A179,Table,MATCH(T$4,Curves,0)))</f>
        <v/>
      </c>
      <c r="U179" s="201" t="str">
        <f aca="false">IF(A180="","",T179)</f>
        <v/>
      </c>
      <c r="V179" s="183" t="str">
        <f aca="false">IF($A180="","",IF(AND(MONTH(A179)&gt;3,MONTH(A179)&lt;11),(T179+R179+G179)*Summary!$T$7/(1-Summary!$T$7),(T179+R179+G179)*Summary!$U$7/(1-Summary!$U$7)))</f>
        <v/>
      </c>
      <c r="W179" s="200" t="str">
        <f aca="false">IF($A180="","",(T179+R179+G179+V179))</f>
        <v/>
      </c>
      <c r="X179" s="200" t="str">
        <f aca="false">IF($A180="","",(U179+S179+H179+V179))</f>
        <v/>
      </c>
      <c r="Y179" s="202"/>
      <c r="Z179" s="185" t="str">
        <f aca="false">IF($A180="","",VLOOKUP($A179,Table,MATCH(Z$4,Curves,0)))</f>
        <v/>
      </c>
      <c r="AA179" s="185" t="str">
        <f aca="false">IF($A180="","",VLOOKUP($A179,Table,MATCH(AA$4,Curves,0)))</f>
        <v/>
      </c>
      <c r="AB179" s="185" t="e">
        <f aca="false">SQRT((AA179^2*(A179-$D$3)+Z179^2*(DAY(EOMONTH(A179,0))/2))/AK179)</f>
        <v>#VALUE!</v>
      </c>
      <c r="AC179" s="185" t="str">
        <f aca="false">IF($A180="","",VLOOKUP($A179,Table,MATCH(AC$4,Curves,0)))</f>
        <v/>
      </c>
      <c r="AD179" s="185" t="str">
        <f aca="false">IF($A180="","",VLOOKUP($A179,Table,MATCH(AD$4,Curves,0)))</f>
        <v/>
      </c>
      <c r="AE179" s="185" t="e">
        <f aca="false">SQRT((AD179^2*(A179-$D$3)+AC179^2*(DAY(EOMONTH(A179,0))/2))/AK179)</f>
        <v>#VALUE!</v>
      </c>
      <c r="AF179" s="206" t="e">
        <f aca="false">((Summary!$N$7*(AA179*AD179)*(A179-$D$3))+(Summary!$M$7*Z179*AC179*(DAY(EOMONTH(A179,0))/2)))/(AK179*AB179*AE179)</f>
        <v>#VALUE!</v>
      </c>
      <c r="AG179" s="207" t="str">
        <f aca="false">IF($A180="","",Summary!$Q$7)</f>
        <v/>
      </c>
      <c r="AH179" s="207" t="str">
        <f aca="false">IF($A180="","",IF(Summary!$R$7="Y",(VLOOKUP($A179,Summary!$AD$6:$AF$9,3)+'Escalating commodity'!C192),'Escalating commodity'!C192))</f>
        <v/>
      </c>
      <c r="AI179" s="207" t="str">
        <f aca="false">IF($A180="","",AH179)</f>
        <v/>
      </c>
      <c r="AJ179" s="208" t="e">
        <f aca="false">A179+DAY(EOMONTH(A179,0))/2-1</f>
        <v>#VALUE!</v>
      </c>
      <c r="AK179" s="209" t="str">
        <f aca="false">IF($A180="","",$A179-$E$1)</f>
        <v/>
      </c>
      <c r="AL179" s="182" t="str">
        <f aca="false">IF($A180="","",SPRDOPT(P179,X179,AI179,0,AB179,AE179,AF179,AK179,$AJ$2,0))</f>
        <v/>
      </c>
      <c r="AM179" s="210" t="str">
        <f aca="false">IF($A180="","",MAX(0,O179-W179-AI179))</f>
        <v/>
      </c>
      <c r="AN179" s="211" t="str">
        <f aca="false">IF($A180="","",AL179-AM179)</f>
        <v/>
      </c>
      <c r="AO179" s="137" t="str">
        <f aca="false">IF(A180="","",A180-A179)</f>
        <v/>
      </c>
      <c r="AP179" s="212" t="str">
        <f aca="false">IF(A180="","",CHOOSE(F$3,A180+24,A179))</f>
        <v/>
      </c>
      <c r="AQ179" s="209" t="str">
        <f aca="false">IF(A180="","",AP179-$E$1)</f>
        <v/>
      </c>
      <c r="AR179" s="185" t="n">
        <f aca="false">IF(Summary!$H$2=1,VLOOKUP('ANR OK vs ML7'!A179,Curves!$C$17:$AR$273,MATCH('ANR OK vs ML7'!$AR$4,Curves!$C$8:$AQ$8,0)),0.1)</f>
        <v>0.1</v>
      </c>
      <c r="AS179" s="213" t="str">
        <f aca="false">IF(A180="","",1/(1+CHOOSE(F$3,(AR180+($I$3/10000))/2,(AR179+($I$3/10000))/2))^(2*AQ179/365.25))</f>
        <v/>
      </c>
      <c r="AT179" s="137" t="str">
        <f aca="false">IF(A180="","",IF(AND(mthbeg&lt;=A179,mthend&gt;=A179),1,0))</f>
        <v/>
      </c>
      <c r="AU179" s="137" t="str">
        <f aca="false">IF(A180="","",AO179*AT179)</f>
        <v/>
      </c>
      <c r="AW179" s="195" t="str">
        <f aca="false">IF($A180="","",AL179*$E179)</f>
        <v/>
      </c>
      <c r="AX179" s="195" t="str">
        <f aca="false">IF($A180="","",AM179*$E179)</f>
        <v/>
      </c>
      <c r="AY179" s="195" t="str">
        <f aca="false">IF($A180="","",AN179*$E179)</f>
        <v/>
      </c>
      <c r="BA179" s="195" t="str">
        <f aca="false">IF($A180="","",F179*Summary!$Q$7)</f>
        <v/>
      </c>
    </row>
    <row r="180" customFormat="false" ht="12" hidden="false" customHeight="true" outlineLevel="0" collapsed="false">
      <c r="A180" s="196" t="str">
        <f aca="false">IF(A179&lt;mthend,EDATE(A179,1),"")</f>
        <v/>
      </c>
      <c r="B180" s="197" t="str">
        <f aca="false">IF(A180&lt;mthend,B179,"")</f>
        <v/>
      </c>
      <c r="C180" s="215"/>
      <c r="D180" s="197" t="str">
        <f aca="false">IF(A181&lt;&gt;"",B180+C180,"")</f>
        <v/>
      </c>
      <c r="E180" s="199" t="str">
        <f aca="false">IF(A181="","",IF(AND(AT180=1,$H$3=1),D180*AO180,IF($H$3=2,D180,"N/A")))</f>
        <v/>
      </c>
      <c r="F180" s="199" t="str">
        <f aca="false">IF(A181="","",E180*AS180)</f>
        <v/>
      </c>
      <c r="G180" s="200" t="str">
        <f aca="false">IF($A181="","",VLOOKUP($A180,Table,MATCH(G$4,Curves,0)))</f>
        <v/>
      </c>
      <c r="H180" s="201" t="str">
        <f aca="false">IF(A181="","",G180)</f>
        <v/>
      </c>
      <c r="I180" s="202"/>
      <c r="J180" s="200" t="str">
        <f aca="false">IF($A181="","",VLOOKUP($A180,Table,MATCH(J$4,Curves,0)))</f>
        <v/>
      </c>
      <c r="K180" s="201" t="str">
        <f aca="false">IF(A181="","",J180)</f>
        <v/>
      </c>
      <c r="L180" s="200" t="str">
        <f aca="false">IF($A181="","",VLOOKUP($A180,Table,MATCH(L$4,Curves,0)))</f>
        <v/>
      </c>
      <c r="M180" s="201" t="str">
        <f aca="false">IF(A181="","",L180)</f>
        <v/>
      </c>
      <c r="N180" s="203"/>
      <c r="O180" s="200" t="str">
        <f aca="false">IF(A181="","",L180+J180+G180)</f>
        <v/>
      </c>
      <c r="P180" s="200" t="str">
        <f aca="false">IF(A181="","",M180+K180+H180)</f>
        <v/>
      </c>
      <c r="Q180" s="204"/>
      <c r="R180" s="200" t="str">
        <f aca="false">IF($A181="","",VLOOKUP($A180,Table,MATCH(R$4,Curves,0)))</f>
        <v/>
      </c>
      <c r="S180" s="201" t="str">
        <f aca="false">IF(A181="","",R180)</f>
        <v/>
      </c>
      <c r="T180" s="200" t="str">
        <f aca="false">IF($A181="","",VLOOKUP($A180,Table,MATCH(T$4,Curves,0)))</f>
        <v/>
      </c>
      <c r="U180" s="201" t="str">
        <f aca="false">IF(A181="","",T180)</f>
        <v/>
      </c>
      <c r="V180" s="183" t="str">
        <f aca="false">IF($A181="","",IF(AND(MONTH(A180)&gt;3,MONTH(A180)&lt;11),(T180+R180+G180)*Summary!$T$7/(1-Summary!$T$7),(T180+R180+G180)*Summary!$U$7/(1-Summary!$U$7)))</f>
        <v/>
      </c>
      <c r="W180" s="200" t="str">
        <f aca="false">IF($A181="","",(T180+R180+G180+V180))</f>
        <v/>
      </c>
      <c r="X180" s="200" t="str">
        <f aca="false">IF($A181="","",(U180+S180+H180+V180))</f>
        <v/>
      </c>
      <c r="Y180" s="202"/>
      <c r="Z180" s="185" t="str">
        <f aca="false">IF($A181="","",VLOOKUP($A180,Table,MATCH(Z$4,Curves,0)))</f>
        <v/>
      </c>
      <c r="AA180" s="185" t="str">
        <f aca="false">IF($A181="","",VLOOKUP($A180,Table,MATCH(AA$4,Curves,0)))</f>
        <v/>
      </c>
      <c r="AB180" s="185" t="e">
        <f aca="false">SQRT((AA180^2*(A180-$D$3)+Z180^2*(DAY(EOMONTH(A180,0))/2))/AK180)</f>
        <v>#VALUE!</v>
      </c>
      <c r="AC180" s="185" t="str">
        <f aca="false">IF($A181="","",VLOOKUP($A180,Table,MATCH(AC$4,Curves,0)))</f>
        <v/>
      </c>
      <c r="AD180" s="185" t="str">
        <f aca="false">IF($A181="","",VLOOKUP($A180,Table,MATCH(AD$4,Curves,0)))</f>
        <v/>
      </c>
      <c r="AE180" s="185" t="e">
        <f aca="false">SQRT((AD180^2*(A180-$D$3)+AC180^2*(DAY(EOMONTH(A180,0))/2))/AK180)</f>
        <v>#VALUE!</v>
      </c>
      <c r="AF180" s="206" t="e">
        <f aca="false">((Summary!$N$7*(AA180*AD180)*(A180-$D$3))+(Summary!$M$7*Z180*AC180*(DAY(EOMONTH(A180,0))/2)))/(AK180*AB180*AE180)</f>
        <v>#VALUE!</v>
      </c>
      <c r="AG180" s="207" t="str">
        <f aca="false">IF($A181="","",Summary!$Q$7)</f>
        <v/>
      </c>
      <c r="AH180" s="207" t="str">
        <f aca="false">IF($A181="","",IF(Summary!$R$7="Y",(VLOOKUP($A180,Summary!$AD$6:$AF$9,3)+'Escalating commodity'!C193),'Escalating commodity'!C193))</f>
        <v/>
      </c>
      <c r="AI180" s="207" t="str">
        <f aca="false">IF($A181="","",AH180)</f>
        <v/>
      </c>
      <c r="AJ180" s="208" t="e">
        <f aca="false">A180+DAY(EOMONTH(A180,0))/2-1</f>
        <v>#VALUE!</v>
      </c>
      <c r="AK180" s="209" t="str">
        <f aca="false">IF($A181="","",$A180-$E$1)</f>
        <v/>
      </c>
      <c r="AL180" s="182" t="str">
        <f aca="false">IF($A181="","",SPRDOPT(P180,X180,AI180,0,AB180,AE180,AF180,AK180,$AJ$2,0))</f>
        <v/>
      </c>
      <c r="AM180" s="210" t="str">
        <f aca="false">IF($A181="","",MAX(0,O180-W180-AI180))</f>
        <v/>
      </c>
      <c r="AN180" s="211" t="str">
        <f aca="false">IF($A181="","",AL180-AM180)</f>
        <v/>
      </c>
      <c r="AO180" s="137" t="str">
        <f aca="false">IF(A181="","",A181-A180)</f>
        <v/>
      </c>
      <c r="AP180" s="212" t="str">
        <f aca="false">IF(A181="","",CHOOSE(F$3,A181+24,A180))</f>
        <v/>
      </c>
      <c r="AQ180" s="209" t="str">
        <f aca="false">IF(A181="","",AP180-$E$1)</f>
        <v/>
      </c>
      <c r="AR180" s="185" t="n">
        <f aca="false">IF(Summary!$H$2=1,VLOOKUP('ANR OK vs ML7'!A180,Curves!$C$17:$AR$273,MATCH('ANR OK vs ML7'!$AR$4,Curves!$C$8:$AQ$8,0)),0.1)</f>
        <v>0.1</v>
      </c>
      <c r="AS180" s="213" t="str">
        <f aca="false">IF(A181="","",1/(1+CHOOSE(F$3,(AR181+($I$3/10000))/2,(AR180+($I$3/10000))/2))^(2*AQ180/365.25))</f>
        <v/>
      </c>
      <c r="AT180" s="137" t="str">
        <f aca="false">IF(A181="","",IF(AND(mthbeg&lt;=A180,mthend&gt;=A180),1,0))</f>
        <v/>
      </c>
      <c r="AU180" s="137" t="str">
        <f aca="false">IF(A181="","",AO180*AT180)</f>
        <v/>
      </c>
      <c r="AW180" s="195" t="str">
        <f aca="false">IF($A181="","",AL180*$E180)</f>
        <v/>
      </c>
      <c r="AX180" s="195" t="str">
        <f aca="false">IF($A181="","",AM180*$E180)</f>
        <v/>
      </c>
      <c r="AY180" s="195" t="str">
        <f aca="false">IF($A181="","",AN180*$E180)</f>
        <v/>
      </c>
      <c r="BA180" s="195" t="str">
        <f aca="false">IF($A181="","",F180*Summary!$Q$7)</f>
        <v/>
      </c>
    </row>
    <row r="181" customFormat="false" ht="12" hidden="false" customHeight="true" outlineLevel="0" collapsed="false">
      <c r="A181" s="196" t="str">
        <f aca="false">IF(A180&lt;mthend,EDATE(A180,1),"")</f>
        <v/>
      </c>
      <c r="B181" s="197" t="str">
        <f aca="false">IF(A181&lt;mthend,B180,"")</f>
        <v/>
      </c>
      <c r="C181" s="215"/>
      <c r="D181" s="197" t="str">
        <f aca="false">IF(A182&lt;&gt;"",B181+C181,"")</f>
        <v/>
      </c>
      <c r="E181" s="199" t="str">
        <f aca="false">IF(A182="","",IF(AND(AT181=1,$H$3=1),D181*AO181,IF($H$3=2,D181,"N/A")))</f>
        <v/>
      </c>
      <c r="F181" s="199" t="str">
        <f aca="false">IF(A182="","",E181*AS181)</f>
        <v/>
      </c>
      <c r="G181" s="200" t="str">
        <f aca="false">IF($A182="","",VLOOKUP($A181,Table,MATCH(G$4,Curves,0)))</f>
        <v/>
      </c>
      <c r="H181" s="201" t="str">
        <f aca="false">IF(A182="","",G181)</f>
        <v/>
      </c>
      <c r="I181" s="202"/>
      <c r="J181" s="200" t="str">
        <f aca="false">IF($A182="","",VLOOKUP($A181,Table,MATCH(J$4,Curves,0)))</f>
        <v/>
      </c>
      <c r="K181" s="201" t="str">
        <f aca="false">IF(A182="","",J181)</f>
        <v/>
      </c>
      <c r="L181" s="200" t="str">
        <f aca="false">IF($A182="","",VLOOKUP($A181,Table,MATCH(L$4,Curves,0)))</f>
        <v/>
      </c>
      <c r="M181" s="201" t="str">
        <f aca="false">IF(A182="","",L181)</f>
        <v/>
      </c>
      <c r="N181" s="203"/>
      <c r="O181" s="200" t="str">
        <f aca="false">IF(A182="","",L181+J181+G181)</f>
        <v/>
      </c>
      <c r="P181" s="200" t="str">
        <f aca="false">IF(A182="","",M181+K181+H181)</f>
        <v/>
      </c>
      <c r="Q181" s="204"/>
      <c r="R181" s="200" t="str">
        <f aca="false">IF($A182="","",VLOOKUP($A181,Table,MATCH(R$4,Curves,0)))</f>
        <v/>
      </c>
      <c r="S181" s="201" t="str">
        <f aca="false">IF(A182="","",R181)</f>
        <v/>
      </c>
      <c r="T181" s="200" t="str">
        <f aca="false">IF($A182="","",VLOOKUP($A181,Table,MATCH(T$4,Curves,0)))</f>
        <v/>
      </c>
      <c r="U181" s="201" t="str">
        <f aca="false">IF(A182="","",T181)</f>
        <v/>
      </c>
      <c r="V181" s="183" t="str">
        <f aca="false">IF($A182="","",IF(AND(MONTH(A181)&gt;3,MONTH(A181)&lt;11),(T181+R181+G181)*Summary!$T$7/(1-Summary!$T$7),(T181+R181+G181)*Summary!$U$7/(1-Summary!$U$7)))</f>
        <v/>
      </c>
      <c r="W181" s="200" t="str">
        <f aca="false">IF($A182="","",(T181+R181+G181+V181))</f>
        <v/>
      </c>
      <c r="X181" s="200" t="str">
        <f aca="false">IF($A182="","",(U181+S181+H181+V181))</f>
        <v/>
      </c>
      <c r="Y181" s="202"/>
      <c r="Z181" s="185" t="str">
        <f aca="false">IF($A182="","",VLOOKUP($A181,Table,MATCH(Z$4,Curves,0)))</f>
        <v/>
      </c>
      <c r="AA181" s="185" t="str">
        <f aca="false">IF($A182="","",VLOOKUP($A181,Table,MATCH(AA$4,Curves,0)))</f>
        <v/>
      </c>
      <c r="AB181" s="185" t="e">
        <f aca="false">SQRT((AA181^2*(A181-$D$3)+Z181^2*(DAY(EOMONTH(A181,0))/2))/AK181)</f>
        <v>#VALUE!</v>
      </c>
      <c r="AC181" s="185" t="str">
        <f aca="false">IF($A182="","",VLOOKUP($A181,Table,MATCH(AC$4,Curves,0)))</f>
        <v/>
      </c>
      <c r="AD181" s="185" t="str">
        <f aca="false">IF($A182="","",VLOOKUP($A181,Table,MATCH(AD$4,Curves,0)))</f>
        <v/>
      </c>
      <c r="AE181" s="185" t="e">
        <f aca="false">SQRT((AD181^2*(A181-$D$3)+AC181^2*(DAY(EOMONTH(A181,0))/2))/AK181)</f>
        <v>#VALUE!</v>
      </c>
      <c r="AF181" s="206" t="e">
        <f aca="false">((Summary!$N$7*(AA181*AD181)*(A181-$D$3))+(Summary!$M$7*Z181*AC181*(DAY(EOMONTH(A181,0))/2)))/(AK181*AB181*AE181)</f>
        <v>#VALUE!</v>
      </c>
      <c r="AG181" s="207" t="str">
        <f aca="false">IF($A182="","",Summary!$Q$7)</f>
        <v/>
      </c>
      <c r="AH181" s="207" t="str">
        <f aca="false">IF($A182="","",IF(Summary!$R$7="Y",(VLOOKUP($A181,Summary!$AD$6:$AF$9,3)+'Escalating commodity'!C194),'Escalating commodity'!C194))</f>
        <v/>
      </c>
      <c r="AI181" s="207" t="str">
        <f aca="false">IF($A182="","",AH181)</f>
        <v/>
      </c>
      <c r="AJ181" s="208" t="e">
        <f aca="false">A181+DAY(EOMONTH(A181,0))/2-1</f>
        <v>#VALUE!</v>
      </c>
      <c r="AK181" s="209" t="str">
        <f aca="false">IF($A182="","",$A181-$E$1)</f>
        <v/>
      </c>
      <c r="AL181" s="182" t="str">
        <f aca="false">IF($A182="","",SPRDOPT(P181,X181,AI181,0,AB181,AE181,AF181,AK181,$AJ$2,0))</f>
        <v/>
      </c>
      <c r="AM181" s="210" t="str">
        <f aca="false">IF($A182="","",MAX(0,O181-W181-AI181))</f>
        <v/>
      </c>
      <c r="AN181" s="211" t="str">
        <f aca="false">IF($A182="","",AL181-AM181)</f>
        <v/>
      </c>
      <c r="AO181" s="137" t="str">
        <f aca="false">IF(A182="","",A182-A181)</f>
        <v/>
      </c>
      <c r="AP181" s="212" t="str">
        <f aca="false">IF(A182="","",CHOOSE(F$3,A182+24,A181))</f>
        <v/>
      </c>
      <c r="AQ181" s="209" t="str">
        <f aca="false">IF(A182="","",AP181-$E$1)</f>
        <v/>
      </c>
      <c r="AR181" s="185" t="n">
        <f aca="false">IF(Summary!$H$2=1,VLOOKUP('ANR OK vs ML7'!A181,Curves!$C$17:$AR$273,MATCH('ANR OK vs ML7'!$AR$4,Curves!$C$8:$AQ$8,0)),0.1)</f>
        <v>0.1</v>
      </c>
      <c r="AS181" s="213" t="str">
        <f aca="false">IF(A182="","",1/(1+CHOOSE(F$3,(AR182+($I$3/10000))/2,(AR181+($I$3/10000))/2))^(2*AQ181/365.25))</f>
        <v/>
      </c>
      <c r="AT181" s="137" t="str">
        <f aca="false">IF(A182="","",IF(AND(mthbeg&lt;=A181,mthend&gt;=A181),1,0))</f>
        <v/>
      </c>
      <c r="AU181" s="137" t="str">
        <f aca="false">IF(A182="","",AO181*AT181)</f>
        <v/>
      </c>
      <c r="AW181" s="195" t="str">
        <f aca="false">IF($A182="","",AL181*$E181)</f>
        <v/>
      </c>
      <c r="AX181" s="195" t="str">
        <f aca="false">IF($A182="","",AM181*$E181)</f>
        <v/>
      </c>
      <c r="AY181" s="195" t="str">
        <f aca="false">IF($A182="","",AN181*$E181)</f>
        <v/>
      </c>
      <c r="BA181" s="195" t="str">
        <f aca="false">IF($A182="","",F181*Summary!$Q$7)</f>
        <v/>
      </c>
    </row>
    <row r="182" customFormat="false" ht="12" hidden="false" customHeight="true" outlineLevel="0" collapsed="false">
      <c r="A182" s="196" t="str">
        <f aca="false">IF(A181&lt;mthend,EDATE(A181,1),"")</f>
        <v/>
      </c>
      <c r="B182" s="197" t="str">
        <f aca="false">IF(A182&lt;mthend,B181,"")</f>
        <v/>
      </c>
      <c r="C182" s="215"/>
      <c r="D182" s="197" t="str">
        <f aca="false">IF(A183&lt;&gt;"",B182+C182,"")</f>
        <v/>
      </c>
      <c r="E182" s="199" t="str">
        <f aca="false">IF(A183="","",IF(AND(AT182=1,$H$3=1),D182*AO182,IF($H$3=2,D182,"N/A")))</f>
        <v/>
      </c>
      <c r="F182" s="199" t="str">
        <f aca="false">IF(A183="","",E182*AS182)</f>
        <v/>
      </c>
      <c r="G182" s="200" t="str">
        <f aca="false">IF($A183="","",VLOOKUP($A182,Table,MATCH(G$4,Curves,0)))</f>
        <v/>
      </c>
      <c r="H182" s="201" t="str">
        <f aca="false">IF(A183="","",G182)</f>
        <v/>
      </c>
      <c r="I182" s="202"/>
      <c r="J182" s="200" t="str">
        <f aca="false">IF($A183="","",VLOOKUP($A182,Table,MATCH(J$4,Curves,0)))</f>
        <v/>
      </c>
      <c r="K182" s="201" t="str">
        <f aca="false">IF(A183="","",J182)</f>
        <v/>
      </c>
      <c r="L182" s="200" t="str">
        <f aca="false">IF($A183="","",VLOOKUP($A182,Table,MATCH(L$4,Curves,0)))</f>
        <v/>
      </c>
      <c r="M182" s="201" t="str">
        <f aca="false">IF(A183="","",L182)</f>
        <v/>
      </c>
      <c r="N182" s="203"/>
      <c r="O182" s="200" t="str">
        <f aca="false">IF(A183="","",L182+J182+G182)</f>
        <v/>
      </c>
      <c r="P182" s="200" t="str">
        <f aca="false">IF(A183="","",M182+K182+H182)</f>
        <v/>
      </c>
      <c r="Q182" s="204"/>
      <c r="R182" s="200" t="str">
        <f aca="false">IF($A183="","",VLOOKUP($A182,Table,MATCH(R$4,Curves,0)))</f>
        <v/>
      </c>
      <c r="S182" s="201" t="str">
        <f aca="false">IF(A183="","",R182)</f>
        <v/>
      </c>
      <c r="T182" s="200" t="str">
        <f aca="false">IF($A183="","",VLOOKUP($A182,Table,MATCH(T$4,Curves,0)))</f>
        <v/>
      </c>
      <c r="U182" s="201" t="str">
        <f aca="false">IF(A183="","",T182)</f>
        <v/>
      </c>
      <c r="V182" s="183" t="str">
        <f aca="false">IF($A183="","",IF(AND(MONTH(A182)&gt;3,MONTH(A182)&lt;11),(T182+R182+G182)*Summary!$T$7/(1-Summary!$T$7),(T182+R182+G182)*Summary!$U$7/(1-Summary!$U$7)))</f>
        <v/>
      </c>
      <c r="W182" s="200" t="str">
        <f aca="false">IF($A183="","",(T182+R182+G182+V182))</f>
        <v/>
      </c>
      <c r="X182" s="200" t="str">
        <f aca="false">IF($A183="","",(U182+S182+H182+V182))</f>
        <v/>
      </c>
      <c r="Y182" s="202"/>
      <c r="Z182" s="185" t="str">
        <f aca="false">IF($A183="","",VLOOKUP($A182,Table,MATCH(Z$4,Curves,0)))</f>
        <v/>
      </c>
      <c r="AA182" s="185" t="str">
        <f aca="false">IF($A183="","",VLOOKUP($A182,Table,MATCH(AA$4,Curves,0)))</f>
        <v/>
      </c>
      <c r="AB182" s="185" t="e">
        <f aca="false">SQRT((AA182^2*(A182-$D$3)+Z182^2*(DAY(EOMONTH(A182,0))/2))/AK182)</f>
        <v>#VALUE!</v>
      </c>
      <c r="AC182" s="185" t="str">
        <f aca="false">IF($A183="","",VLOOKUP($A182,Table,MATCH(AC$4,Curves,0)))</f>
        <v/>
      </c>
      <c r="AD182" s="185" t="str">
        <f aca="false">IF($A183="","",VLOOKUP($A182,Table,MATCH(AD$4,Curves,0)))</f>
        <v/>
      </c>
      <c r="AE182" s="185" t="e">
        <f aca="false">SQRT((AD182^2*(A182-$D$3)+AC182^2*(DAY(EOMONTH(A182,0))/2))/AK182)</f>
        <v>#VALUE!</v>
      </c>
      <c r="AF182" s="206" t="e">
        <f aca="false">((Summary!$N$7*(AA182*AD182)*(A182-$D$3))+(Summary!$M$7*Z182*AC182*(DAY(EOMONTH(A182,0))/2)))/(AK182*AB182*AE182)</f>
        <v>#VALUE!</v>
      </c>
      <c r="AG182" s="207" t="str">
        <f aca="false">IF($A183="","",Summary!$Q$7)</f>
        <v/>
      </c>
      <c r="AH182" s="207" t="str">
        <f aca="false">IF($A183="","",IF(Summary!$R$7="Y",(VLOOKUP($A182,Summary!$AD$6:$AF$9,3)+'Escalating commodity'!C195),'Escalating commodity'!C195))</f>
        <v/>
      </c>
      <c r="AI182" s="207" t="str">
        <f aca="false">IF($A183="","",AH182)</f>
        <v/>
      </c>
      <c r="AJ182" s="208" t="e">
        <f aca="false">A182+DAY(EOMONTH(A182,0))/2-1</f>
        <v>#VALUE!</v>
      </c>
      <c r="AK182" s="209" t="str">
        <f aca="false">IF($A183="","",$A182-$E$1)</f>
        <v/>
      </c>
      <c r="AL182" s="182" t="str">
        <f aca="false">IF($A183="","",SPRDOPT(P182,X182,AI182,0,AB182,AE182,AF182,AK182,$AJ$2,0))</f>
        <v/>
      </c>
      <c r="AM182" s="210" t="str">
        <f aca="false">IF($A183="","",MAX(0,O182-W182-AI182))</f>
        <v/>
      </c>
      <c r="AN182" s="211" t="str">
        <f aca="false">IF($A183="","",AL182-AM182)</f>
        <v/>
      </c>
      <c r="AO182" s="137" t="str">
        <f aca="false">IF(A183="","",A183-A182)</f>
        <v/>
      </c>
      <c r="AP182" s="212" t="str">
        <f aca="false">IF(A183="","",CHOOSE(F$3,A183+24,A182))</f>
        <v/>
      </c>
      <c r="AQ182" s="209" t="str">
        <f aca="false">IF(A183="","",AP182-$E$1)</f>
        <v/>
      </c>
      <c r="AR182" s="185" t="n">
        <f aca="false">IF(Summary!$H$2=1,VLOOKUP('ANR OK vs ML7'!A182,Curves!$C$17:$AR$273,MATCH('ANR OK vs ML7'!$AR$4,Curves!$C$8:$AQ$8,0)),0.1)</f>
        <v>0.1</v>
      </c>
      <c r="AS182" s="213" t="str">
        <f aca="false">IF(A183="","",1/(1+CHOOSE(F$3,(AR183+($I$3/10000))/2,(AR182+($I$3/10000))/2))^(2*AQ182/365.25))</f>
        <v/>
      </c>
      <c r="AT182" s="137" t="str">
        <f aca="false">IF(A183="","",IF(AND(mthbeg&lt;=A182,mthend&gt;=A182),1,0))</f>
        <v/>
      </c>
      <c r="AU182" s="137" t="str">
        <f aca="false">IF(A183="","",AO182*AT182)</f>
        <v/>
      </c>
      <c r="AW182" s="195" t="str">
        <f aca="false">IF($A183="","",AL182*$E182)</f>
        <v/>
      </c>
      <c r="AX182" s="195" t="str">
        <f aca="false">IF($A183="","",AM182*$E182)</f>
        <v/>
      </c>
      <c r="AY182" s="195" t="str">
        <f aca="false">IF($A183="","",AN182*$E182)</f>
        <v/>
      </c>
      <c r="BA182" s="195" t="str">
        <f aca="false">IF($A183="","",F182*Summary!$Q$7)</f>
        <v/>
      </c>
    </row>
    <row r="183" customFormat="false" ht="12" hidden="false" customHeight="true" outlineLevel="0" collapsed="false">
      <c r="A183" s="196" t="str">
        <f aca="false">IF(A182&lt;mthend,EDATE(A182,1),"")</f>
        <v/>
      </c>
      <c r="B183" s="197" t="str">
        <f aca="false">IF(A183&lt;mthend,B182,"")</f>
        <v/>
      </c>
      <c r="C183" s="215"/>
      <c r="D183" s="197" t="str">
        <f aca="false">IF(A184&lt;&gt;"",B183+C183,"")</f>
        <v/>
      </c>
      <c r="E183" s="199" t="str">
        <f aca="false">IF(A184="","",IF(AND(AT183=1,$H$3=1),D183*AO183,IF($H$3=2,D183,"N/A")))</f>
        <v/>
      </c>
      <c r="F183" s="199" t="str">
        <f aca="false">IF(A184="","",E183*AS183)</f>
        <v/>
      </c>
      <c r="G183" s="200" t="str">
        <f aca="false">IF($A184="","",VLOOKUP($A183,Table,MATCH(G$4,Curves,0)))</f>
        <v/>
      </c>
      <c r="H183" s="201" t="str">
        <f aca="false">IF(A184="","",G183)</f>
        <v/>
      </c>
      <c r="I183" s="202"/>
      <c r="J183" s="200" t="str">
        <f aca="false">IF($A184="","",VLOOKUP($A183,Table,MATCH(J$4,Curves,0)))</f>
        <v/>
      </c>
      <c r="K183" s="201" t="str">
        <f aca="false">IF(A184="","",J183)</f>
        <v/>
      </c>
      <c r="L183" s="200" t="str">
        <f aca="false">IF($A184="","",VLOOKUP($A183,Table,MATCH(L$4,Curves,0)))</f>
        <v/>
      </c>
      <c r="M183" s="201" t="str">
        <f aca="false">IF(A184="","",L183)</f>
        <v/>
      </c>
      <c r="N183" s="203"/>
      <c r="O183" s="200" t="str">
        <f aca="false">IF(A184="","",L183+J183+G183)</f>
        <v/>
      </c>
      <c r="P183" s="200" t="str">
        <f aca="false">IF(A184="","",M183+K183+H183)</f>
        <v/>
      </c>
      <c r="Q183" s="204"/>
      <c r="R183" s="200" t="str">
        <f aca="false">IF($A184="","",VLOOKUP($A183,Table,MATCH(R$4,Curves,0)))</f>
        <v/>
      </c>
      <c r="S183" s="201" t="str">
        <f aca="false">IF(A184="","",R183)</f>
        <v/>
      </c>
      <c r="T183" s="200" t="str">
        <f aca="false">IF($A184="","",VLOOKUP($A183,Table,MATCH(T$4,Curves,0)))</f>
        <v/>
      </c>
      <c r="U183" s="201" t="str">
        <f aca="false">IF(A184="","",T183)</f>
        <v/>
      </c>
      <c r="V183" s="183" t="str">
        <f aca="false">IF($A184="","",IF(AND(MONTH(A183)&gt;3,MONTH(A183)&lt;11),(T183+R183+G183)*Summary!$T$7/(1-Summary!$T$7),(T183+R183+G183)*Summary!$U$7/(1-Summary!$U$7)))</f>
        <v/>
      </c>
      <c r="W183" s="200" t="str">
        <f aca="false">IF($A184="","",(T183+R183+G183+V183))</f>
        <v/>
      </c>
      <c r="X183" s="200" t="str">
        <f aca="false">IF($A184="","",(U183+S183+H183+V183))</f>
        <v/>
      </c>
      <c r="Y183" s="202"/>
      <c r="Z183" s="185" t="str">
        <f aca="false">IF($A184="","",VLOOKUP($A183,Table,MATCH(Z$4,Curves,0)))</f>
        <v/>
      </c>
      <c r="AA183" s="185" t="str">
        <f aca="false">IF($A184="","",VLOOKUP($A183,Table,MATCH(AA$4,Curves,0)))</f>
        <v/>
      </c>
      <c r="AB183" s="185" t="e">
        <f aca="false">SQRT((AA183^2*(A183-$D$3)+Z183^2*(DAY(EOMONTH(A183,0))/2))/AK183)</f>
        <v>#VALUE!</v>
      </c>
      <c r="AC183" s="185" t="str">
        <f aca="false">IF($A184="","",VLOOKUP($A183,Table,MATCH(AC$4,Curves,0)))</f>
        <v/>
      </c>
      <c r="AD183" s="185" t="str">
        <f aca="false">IF($A184="","",VLOOKUP($A183,Table,MATCH(AD$4,Curves,0)))</f>
        <v/>
      </c>
      <c r="AE183" s="185" t="e">
        <f aca="false">SQRT((AD183^2*(A183-$D$3)+AC183^2*(DAY(EOMONTH(A183,0))/2))/AK183)</f>
        <v>#VALUE!</v>
      </c>
      <c r="AF183" s="206" t="e">
        <f aca="false">((Summary!$N$7*(AA183*AD183)*(A183-$D$3))+(Summary!$M$7*Z183*AC183*(DAY(EOMONTH(A183,0))/2)))/(AK183*AB183*AE183)</f>
        <v>#VALUE!</v>
      </c>
      <c r="AG183" s="207" t="str">
        <f aca="false">IF($A184="","",Summary!$Q$7)</f>
        <v/>
      </c>
      <c r="AH183" s="207" t="str">
        <f aca="false">IF($A184="","",IF(Summary!$R$7="Y",(VLOOKUP($A183,Summary!$AD$6:$AF$9,3)+'Escalating commodity'!C196),'Escalating commodity'!C196))</f>
        <v/>
      </c>
      <c r="AI183" s="207" t="str">
        <f aca="false">IF($A184="","",AH183)</f>
        <v/>
      </c>
      <c r="AJ183" s="208" t="e">
        <f aca="false">A183+DAY(EOMONTH(A183,0))/2-1</f>
        <v>#VALUE!</v>
      </c>
      <c r="AK183" s="209" t="str">
        <f aca="false">IF($A184="","",$A183-$E$1)</f>
        <v/>
      </c>
      <c r="AL183" s="182" t="str">
        <f aca="false">IF($A184="","",SPRDOPT(P183,X183,AI183,0,AB183,AE183,AF183,AK183,$AJ$2,0))</f>
        <v/>
      </c>
      <c r="AM183" s="210" t="str">
        <f aca="false">IF($A184="","",MAX(0,O183-W183-AI183))</f>
        <v/>
      </c>
      <c r="AN183" s="211" t="str">
        <f aca="false">IF($A184="","",AL183-AM183)</f>
        <v/>
      </c>
      <c r="AO183" s="137" t="str">
        <f aca="false">IF(A184="","",A184-A183)</f>
        <v/>
      </c>
      <c r="AP183" s="212" t="str">
        <f aca="false">IF(A184="","",CHOOSE(F$3,A184+24,A183))</f>
        <v/>
      </c>
      <c r="AQ183" s="209" t="str">
        <f aca="false">IF(A184="","",AP183-$E$1)</f>
        <v/>
      </c>
      <c r="AR183" s="185" t="n">
        <f aca="false">IF(Summary!$H$2=1,VLOOKUP('ANR OK vs ML7'!A183,Curves!$C$17:$AR$273,MATCH('ANR OK vs ML7'!$AR$4,Curves!$C$8:$AQ$8,0)),0.1)</f>
        <v>0.1</v>
      </c>
      <c r="AS183" s="213" t="str">
        <f aca="false">IF(A184="","",1/(1+CHOOSE(F$3,(AR184+($I$3/10000))/2,(AR183+($I$3/10000))/2))^(2*AQ183/365.25))</f>
        <v/>
      </c>
      <c r="AT183" s="137" t="str">
        <f aca="false">IF(A184="","",IF(AND(mthbeg&lt;=A183,mthend&gt;=A183),1,0))</f>
        <v/>
      </c>
      <c r="AU183" s="137" t="str">
        <f aca="false">IF(A184="","",AO183*AT183)</f>
        <v/>
      </c>
      <c r="AW183" s="195" t="str">
        <f aca="false">IF($A184="","",AL183*$E183)</f>
        <v/>
      </c>
      <c r="AX183" s="195" t="str">
        <f aca="false">IF($A184="","",AM183*$E183)</f>
        <v/>
      </c>
      <c r="AY183" s="195" t="str">
        <f aca="false">IF($A184="","",AN183*$E183)</f>
        <v/>
      </c>
      <c r="BA183" s="195" t="str">
        <f aca="false">IF($A184="","",F183*Summary!$Q$7)</f>
        <v/>
      </c>
    </row>
    <row r="184" customFormat="false" ht="12" hidden="false" customHeight="true" outlineLevel="0" collapsed="false">
      <c r="A184" s="196" t="str">
        <f aca="false">IF(A183&lt;mthend,EDATE(A183,1),"")</f>
        <v/>
      </c>
      <c r="B184" s="197" t="str">
        <f aca="false">IF(A184&lt;mthend,B183,"")</f>
        <v/>
      </c>
      <c r="C184" s="215"/>
      <c r="D184" s="197" t="str">
        <f aca="false">IF(A185&lt;&gt;"",B184+C184,"")</f>
        <v/>
      </c>
      <c r="E184" s="199" t="str">
        <f aca="false">IF(A185="","",IF(AND(AT184=1,$H$3=1),D184*AO184,IF($H$3=2,D184,"N/A")))</f>
        <v/>
      </c>
      <c r="F184" s="199" t="str">
        <f aca="false">IF(A185="","",E184*AS184)</f>
        <v/>
      </c>
      <c r="G184" s="200" t="str">
        <f aca="false">IF($A185="","",VLOOKUP($A184,Table,MATCH(G$4,Curves,0)))</f>
        <v/>
      </c>
      <c r="H184" s="201" t="str">
        <f aca="false">IF(A185="","",G184)</f>
        <v/>
      </c>
      <c r="I184" s="202"/>
      <c r="J184" s="200" t="str">
        <f aca="false">IF($A185="","",VLOOKUP($A184,Table,MATCH(J$4,Curves,0)))</f>
        <v/>
      </c>
      <c r="K184" s="201" t="str">
        <f aca="false">IF(A185="","",J184)</f>
        <v/>
      </c>
      <c r="L184" s="200" t="str">
        <f aca="false">IF($A185="","",VLOOKUP($A184,Table,MATCH(L$4,Curves,0)))</f>
        <v/>
      </c>
      <c r="M184" s="201" t="str">
        <f aca="false">IF(A185="","",L184)</f>
        <v/>
      </c>
      <c r="N184" s="203"/>
      <c r="O184" s="200" t="str">
        <f aca="false">IF(A185="","",L184+J184+G184)</f>
        <v/>
      </c>
      <c r="P184" s="200" t="str">
        <f aca="false">IF(A185="","",M184+K184+H184)</f>
        <v/>
      </c>
      <c r="Q184" s="204"/>
      <c r="R184" s="200" t="str">
        <f aca="false">IF($A185="","",VLOOKUP($A184,Table,MATCH(R$4,Curves,0)))</f>
        <v/>
      </c>
      <c r="S184" s="201" t="str">
        <f aca="false">IF(A185="","",R184)</f>
        <v/>
      </c>
      <c r="T184" s="200" t="str">
        <f aca="false">IF($A185="","",VLOOKUP($A184,Table,MATCH(T$4,Curves,0)))</f>
        <v/>
      </c>
      <c r="U184" s="201" t="str">
        <f aca="false">IF(A185="","",T184)</f>
        <v/>
      </c>
      <c r="V184" s="183" t="str">
        <f aca="false">IF($A185="","",IF(AND(MONTH(A184)&gt;3,MONTH(A184)&lt;11),(T184+R184+G184)*Summary!$T$7/(1-Summary!$T$7),(T184+R184+G184)*Summary!$U$7/(1-Summary!$U$7)))</f>
        <v/>
      </c>
      <c r="W184" s="200" t="str">
        <f aca="false">IF($A185="","",(T184+R184+G184+V184))</f>
        <v/>
      </c>
      <c r="X184" s="200" t="str">
        <f aca="false">IF($A185="","",(U184+S184+H184+V184))</f>
        <v/>
      </c>
      <c r="Y184" s="202"/>
      <c r="Z184" s="185" t="str">
        <f aca="false">IF($A185="","",VLOOKUP($A184,Table,MATCH(Z$4,Curves,0)))</f>
        <v/>
      </c>
      <c r="AA184" s="185" t="str">
        <f aca="false">IF($A185="","",VLOOKUP($A184,Table,MATCH(AA$4,Curves,0)))</f>
        <v/>
      </c>
      <c r="AB184" s="185" t="e">
        <f aca="false">SQRT((AA184^2*(A184-$D$3)+Z184^2*(DAY(EOMONTH(A184,0))/2))/AK184)</f>
        <v>#VALUE!</v>
      </c>
      <c r="AC184" s="185" t="str">
        <f aca="false">IF($A185="","",VLOOKUP($A184,Table,MATCH(AC$4,Curves,0)))</f>
        <v/>
      </c>
      <c r="AD184" s="185" t="str">
        <f aca="false">IF($A185="","",VLOOKUP($A184,Table,MATCH(AD$4,Curves,0)))</f>
        <v/>
      </c>
      <c r="AE184" s="185" t="e">
        <f aca="false">SQRT((AD184^2*(A184-$D$3)+AC184^2*(DAY(EOMONTH(A184,0))/2))/AK184)</f>
        <v>#VALUE!</v>
      </c>
      <c r="AF184" s="206" t="e">
        <f aca="false">((Summary!$N$7*(AA184*AD184)*(A184-$D$3))+(Summary!$M$7*Z184*AC184*(DAY(EOMONTH(A184,0))/2)))/(AK184*AB184*AE184)</f>
        <v>#VALUE!</v>
      </c>
      <c r="AG184" s="207" t="str">
        <f aca="false">IF($A185="","",Summary!$Q$7)</f>
        <v/>
      </c>
      <c r="AH184" s="207" t="str">
        <f aca="false">IF($A185="","",IF(Summary!$R$7="Y",(VLOOKUP($A184,Summary!$AD$6:$AF$9,3)+'Escalating commodity'!C197),'Escalating commodity'!C197))</f>
        <v/>
      </c>
      <c r="AI184" s="207" t="str">
        <f aca="false">IF($A185="","",AH184)</f>
        <v/>
      </c>
      <c r="AJ184" s="208" t="e">
        <f aca="false">A184+DAY(EOMONTH(A184,0))/2-1</f>
        <v>#VALUE!</v>
      </c>
      <c r="AK184" s="209" t="str">
        <f aca="false">IF($A185="","",$A184-$E$1)</f>
        <v/>
      </c>
      <c r="AL184" s="182" t="str">
        <f aca="false">IF($A185="","",SPRDOPT(P184,X184,AI184,0,AB184,AE184,AF184,AK184,$AJ$2,0))</f>
        <v/>
      </c>
      <c r="AM184" s="210" t="str">
        <f aca="false">IF($A185="","",MAX(0,O184-W184-AI184))</f>
        <v/>
      </c>
      <c r="AN184" s="211" t="str">
        <f aca="false">IF($A185="","",AL184-AM184)</f>
        <v/>
      </c>
      <c r="AO184" s="137" t="str">
        <f aca="false">IF(A185="","",A185-A184)</f>
        <v/>
      </c>
      <c r="AP184" s="212" t="str">
        <f aca="false">IF(A185="","",CHOOSE(F$3,A185+24,A184))</f>
        <v/>
      </c>
      <c r="AQ184" s="209" t="str">
        <f aca="false">IF(A185="","",AP184-$E$1)</f>
        <v/>
      </c>
      <c r="AR184" s="185" t="n">
        <f aca="false">IF(Summary!$H$2=1,VLOOKUP('ANR OK vs ML7'!A184,Curves!$C$17:$AR$273,MATCH('ANR OK vs ML7'!$AR$4,Curves!$C$8:$AQ$8,0)),0.1)</f>
        <v>0.1</v>
      </c>
      <c r="AS184" s="213" t="str">
        <f aca="false">IF(A185="","",1/(1+CHOOSE(F$3,(AR185+($I$3/10000))/2,(AR184+($I$3/10000))/2))^(2*AQ184/365.25))</f>
        <v/>
      </c>
      <c r="AT184" s="137" t="str">
        <f aca="false">IF(A185="","",IF(AND(mthbeg&lt;=A184,mthend&gt;=A184),1,0))</f>
        <v/>
      </c>
      <c r="AU184" s="137" t="str">
        <f aca="false">IF(A185="","",AO184*AT184)</f>
        <v/>
      </c>
      <c r="AW184" s="195" t="str">
        <f aca="false">IF($A185="","",AL184*$E184)</f>
        <v/>
      </c>
      <c r="AX184" s="195" t="str">
        <f aca="false">IF($A185="","",AM184*$E184)</f>
        <v/>
      </c>
      <c r="AY184" s="195" t="str">
        <f aca="false">IF($A185="","",AN184*$E184)</f>
        <v/>
      </c>
      <c r="BA184" s="195" t="str">
        <f aca="false">IF($A185="","",F184*Summary!$Q$7)</f>
        <v/>
      </c>
    </row>
    <row r="185" customFormat="false" ht="12" hidden="false" customHeight="true" outlineLevel="0" collapsed="false">
      <c r="A185" s="196" t="str">
        <f aca="false">IF(A184&lt;mthend,EDATE(A184,1),"")</f>
        <v/>
      </c>
      <c r="B185" s="197" t="str">
        <f aca="false">IF(A185&lt;mthend,B184,"")</f>
        <v/>
      </c>
      <c r="C185" s="215"/>
      <c r="D185" s="197" t="str">
        <f aca="false">IF(A186&lt;&gt;"",B185+C185,"")</f>
        <v/>
      </c>
      <c r="E185" s="199" t="str">
        <f aca="false">IF(A186="","",IF(AND(AT185=1,$H$3=1),D185*AO185,IF($H$3=2,D185,"N/A")))</f>
        <v/>
      </c>
      <c r="F185" s="199" t="str">
        <f aca="false">IF(A186="","",E185*AS185)</f>
        <v/>
      </c>
      <c r="G185" s="200" t="str">
        <f aca="false">IF($A186="","",VLOOKUP($A185,Table,MATCH(G$4,Curves,0)))</f>
        <v/>
      </c>
      <c r="H185" s="201" t="str">
        <f aca="false">IF(A186="","",G185)</f>
        <v/>
      </c>
      <c r="I185" s="202"/>
      <c r="J185" s="200" t="str">
        <f aca="false">IF($A186="","",VLOOKUP($A185,Table,MATCH(J$4,Curves,0)))</f>
        <v/>
      </c>
      <c r="K185" s="201" t="str">
        <f aca="false">IF(A186="","",J185)</f>
        <v/>
      </c>
      <c r="L185" s="200" t="str">
        <f aca="false">IF($A186="","",VLOOKUP($A185,Table,MATCH(L$4,Curves,0)))</f>
        <v/>
      </c>
      <c r="M185" s="201" t="str">
        <f aca="false">IF(A186="","",L185)</f>
        <v/>
      </c>
      <c r="N185" s="203"/>
      <c r="O185" s="200" t="str">
        <f aca="false">IF(A186="","",L185+J185+G185)</f>
        <v/>
      </c>
      <c r="P185" s="200" t="str">
        <f aca="false">IF(A186="","",M185+K185+H185)</f>
        <v/>
      </c>
      <c r="Q185" s="204"/>
      <c r="R185" s="200" t="str">
        <f aca="false">IF($A186="","",VLOOKUP($A185,Table,MATCH(R$4,Curves,0)))</f>
        <v/>
      </c>
      <c r="S185" s="201" t="str">
        <f aca="false">IF(A186="","",R185)</f>
        <v/>
      </c>
      <c r="T185" s="200" t="str">
        <f aca="false">IF($A186="","",VLOOKUP($A185,Table,MATCH(T$4,Curves,0)))</f>
        <v/>
      </c>
      <c r="U185" s="201" t="str">
        <f aca="false">IF(A186="","",T185)</f>
        <v/>
      </c>
      <c r="V185" s="183" t="str">
        <f aca="false">IF($A186="","",IF(AND(MONTH(A185)&gt;3,MONTH(A185)&lt;11),(T185+R185+G185)*Summary!$T$7/(1-Summary!$T$7),(T185+R185+G185)*Summary!$U$7/(1-Summary!$U$7)))</f>
        <v/>
      </c>
      <c r="W185" s="200" t="str">
        <f aca="false">IF($A186="","",(T185+R185+G185+V185))</f>
        <v/>
      </c>
      <c r="X185" s="200" t="str">
        <f aca="false">IF($A186="","",(U185+S185+H185+V185))</f>
        <v/>
      </c>
      <c r="Y185" s="202"/>
      <c r="Z185" s="185" t="str">
        <f aca="false">IF($A186="","",VLOOKUP($A185,Table,MATCH(Z$4,Curves,0)))</f>
        <v/>
      </c>
      <c r="AA185" s="185" t="str">
        <f aca="false">IF($A186="","",VLOOKUP($A185,Table,MATCH(AA$4,Curves,0)))</f>
        <v/>
      </c>
      <c r="AB185" s="185" t="e">
        <f aca="false">SQRT((AA185^2*(A185-$D$3)+Z185^2*(DAY(EOMONTH(A185,0))/2))/AK185)</f>
        <v>#VALUE!</v>
      </c>
      <c r="AC185" s="185" t="str">
        <f aca="false">IF($A186="","",VLOOKUP($A185,Table,MATCH(AC$4,Curves,0)))</f>
        <v/>
      </c>
      <c r="AD185" s="185" t="str">
        <f aca="false">IF($A186="","",VLOOKUP($A185,Table,MATCH(AD$4,Curves,0)))</f>
        <v/>
      </c>
      <c r="AE185" s="185" t="e">
        <f aca="false">SQRT((AD185^2*(A185-$D$3)+AC185^2*(DAY(EOMONTH(A185,0))/2))/AK185)</f>
        <v>#VALUE!</v>
      </c>
      <c r="AF185" s="206" t="e">
        <f aca="false">((Summary!$N$7*(AA185*AD185)*(A185-$D$3))+(Summary!$M$7*Z185*AC185*(DAY(EOMONTH(A185,0))/2)))/(AK185*AB185*AE185)</f>
        <v>#VALUE!</v>
      </c>
      <c r="AG185" s="207" t="str">
        <f aca="false">IF($A186="","",Summary!$Q$7)</f>
        <v/>
      </c>
      <c r="AH185" s="207" t="str">
        <f aca="false">IF($A186="","",IF(Summary!$R$7="Y",(VLOOKUP($A185,Summary!$AD$6:$AF$9,3)+'Escalating commodity'!C198),'Escalating commodity'!C198))</f>
        <v/>
      </c>
      <c r="AI185" s="207" t="str">
        <f aca="false">IF($A186="","",AH185)</f>
        <v/>
      </c>
      <c r="AJ185" s="208" t="e">
        <f aca="false">A185+DAY(EOMONTH(A185,0))/2-1</f>
        <v>#VALUE!</v>
      </c>
      <c r="AK185" s="209" t="str">
        <f aca="false">IF($A186="","",$A185-$E$1)</f>
        <v/>
      </c>
      <c r="AL185" s="182" t="str">
        <f aca="false">IF($A186="","",SPRDOPT(P185,X185,AI185,0,AB185,AE185,AF185,AK185,$AJ$2,0))</f>
        <v/>
      </c>
      <c r="AM185" s="210" t="str">
        <f aca="false">IF($A186="","",MAX(0,O185-W185-AI185))</f>
        <v/>
      </c>
      <c r="AN185" s="211" t="str">
        <f aca="false">IF($A186="","",AL185-AM185)</f>
        <v/>
      </c>
      <c r="AO185" s="137" t="str">
        <f aca="false">IF(A186="","",A186-A185)</f>
        <v/>
      </c>
      <c r="AP185" s="212" t="str">
        <f aca="false">IF(A186="","",CHOOSE(F$3,A186+24,A185))</f>
        <v/>
      </c>
      <c r="AQ185" s="209" t="str">
        <f aca="false">IF(A186="","",AP185-$E$1)</f>
        <v/>
      </c>
      <c r="AR185" s="185" t="n">
        <f aca="false">IF(Summary!$H$2=1,VLOOKUP('ANR OK vs ML7'!A185,Curves!$C$17:$AR$273,MATCH('ANR OK vs ML7'!$AR$4,Curves!$C$8:$AQ$8,0)),0.1)</f>
        <v>0.1</v>
      </c>
      <c r="AS185" s="213" t="str">
        <f aca="false">IF(A186="","",1/(1+CHOOSE(F$3,(AR186+($I$3/10000))/2,(AR185+($I$3/10000))/2))^(2*AQ185/365.25))</f>
        <v/>
      </c>
      <c r="AT185" s="137" t="str">
        <f aca="false">IF(A186="","",IF(AND(mthbeg&lt;=A185,mthend&gt;=A185),1,0))</f>
        <v/>
      </c>
      <c r="AU185" s="137" t="str">
        <f aca="false">IF(A186="","",AO185*AT185)</f>
        <v/>
      </c>
      <c r="AW185" s="195" t="str">
        <f aca="false">IF($A186="","",AL185*$E185)</f>
        <v/>
      </c>
      <c r="AX185" s="195" t="str">
        <f aca="false">IF($A186="","",AM185*$E185)</f>
        <v/>
      </c>
      <c r="AY185" s="195" t="str">
        <f aca="false">IF($A186="","",AN185*$E185)</f>
        <v/>
      </c>
      <c r="BA185" s="195" t="str">
        <f aca="false">IF($A186="","",F185*Summary!$Q$7)</f>
        <v/>
      </c>
    </row>
    <row r="186" customFormat="false" ht="12" hidden="false" customHeight="true" outlineLevel="0" collapsed="false">
      <c r="A186" s="196" t="str">
        <f aca="false">IF(A185&lt;mthend,EDATE(A185,1),"")</f>
        <v/>
      </c>
      <c r="B186" s="197" t="str">
        <f aca="false">IF(A186&lt;mthend,B185,"")</f>
        <v/>
      </c>
      <c r="C186" s="215"/>
      <c r="D186" s="197" t="str">
        <f aca="false">IF(A187&lt;&gt;"",B186+C186,"")</f>
        <v/>
      </c>
      <c r="E186" s="199" t="str">
        <f aca="false">IF(A187="","",IF(AND(AT186=1,$H$3=1),D186*AO186,IF($H$3=2,D186,"N/A")))</f>
        <v/>
      </c>
      <c r="F186" s="199" t="str">
        <f aca="false">IF(A187="","",E186*AS186)</f>
        <v/>
      </c>
      <c r="G186" s="200" t="str">
        <f aca="false">IF($A187="","",VLOOKUP($A186,Table,MATCH(G$4,Curves,0)))</f>
        <v/>
      </c>
      <c r="H186" s="201" t="str">
        <f aca="false">IF(A187="","",G186)</f>
        <v/>
      </c>
      <c r="I186" s="202"/>
      <c r="J186" s="200" t="str">
        <f aca="false">IF($A187="","",VLOOKUP($A186,Table,MATCH(J$4,Curves,0)))</f>
        <v/>
      </c>
      <c r="K186" s="201" t="str">
        <f aca="false">IF(A187="","",J186)</f>
        <v/>
      </c>
      <c r="L186" s="200" t="str">
        <f aca="false">IF($A187="","",VLOOKUP($A186,Table,MATCH(L$4,Curves,0)))</f>
        <v/>
      </c>
      <c r="M186" s="201" t="str">
        <f aca="false">IF(A187="","",L186)</f>
        <v/>
      </c>
      <c r="N186" s="203"/>
      <c r="O186" s="200" t="str">
        <f aca="false">IF(A187="","",L186+J186+G186)</f>
        <v/>
      </c>
      <c r="P186" s="200" t="str">
        <f aca="false">IF(A187="","",M186+K186+H186)</f>
        <v/>
      </c>
      <c r="Q186" s="204"/>
      <c r="R186" s="200" t="str">
        <f aca="false">IF($A187="","",VLOOKUP($A186,Table,MATCH(R$4,Curves,0)))</f>
        <v/>
      </c>
      <c r="S186" s="201" t="str">
        <f aca="false">IF(A187="","",R186)</f>
        <v/>
      </c>
      <c r="T186" s="200" t="str">
        <f aca="false">IF($A187="","",VLOOKUP($A186,Table,MATCH(T$4,Curves,0)))</f>
        <v/>
      </c>
      <c r="U186" s="201" t="str">
        <f aca="false">IF(A187="","",T186)</f>
        <v/>
      </c>
      <c r="V186" s="183" t="str">
        <f aca="false">IF($A187="","",IF(AND(MONTH(A186)&gt;3,MONTH(A186)&lt;11),(T186+R186+G186)*Summary!$T$7/(1-Summary!$T$7),(T186+R186+G186)*Summary!$U$7/(1-Summary!$U$7)))</f>
        <v/>
      </c>
      <c r="W186" s="200" t="str">
        <f aca="false">IF($A187="","",(T186+R186+G186+V186))</f>
        <v/>
      </c>
      <c r="X186" s="200" t="str">
        <f aca="false">IF($A187="","",(U186+S186+H186+V186))</f>
        <v/>
      </c>
      <c r="Y186" s="202"/>
      <c r="Z186" s="185" t="str">
        <f aca="false">IF($A187="","",VLOOKUP($A186,Table,MATCH(Z$4,Curves,0)))</f>
        <v/>
      </c>
      <c r="AA186" s="185" t="str">
        <f aca="false">IF($A187="","",VLOOKUP($A186,Table,MATCH(AA$4,Curves,0)))</f>
        <v/>
      </c>
      <c r="AB186" s="185" t="e">
        <f aca="false">SQRT((AA186^2*(A186-$D$3)+Z186^2*(DAY(EOMONTH(A186,0))/2))/AK186)</f>
        <v>#VALUE!</v>
      </c>
      <c r="AC186" s="185" t="str">
        <f aca="false">IF($A187="","",VLOOKUP($A186,Table,MATCH(AC$4,Curves,0)))</f>
        <v/>
      </c>
      <c r="AD186" s="185" t="str">
        <f aca="false">IF($A187="","",VLOOKUP($A186,Table,MATCH(AD$4,Curves,0)))</f>
        <v/>
      </c>
      <c r="AE186" s="185" t="e">
        <f aca="false">SQRT((AD186^2*(A186-$D$3)+AC186^2*(DAY(EOMONTH(A186,0))/2))/AK186)</f>
        <v>#VALUE!</v>
      </c>
      <c r="AF186" s="206" t="e">
        <f aca="false">((Summary!$N$7*(AA186*AD186)*(A186-$D$3))+(Summary!$M$7*Z186*AC186*(DAY(EOMONTH(A186,0))/2)))/(AK186*AB186*AE186)</f>
        <v>#VALUE!</v>
      </c>
      <c r="AG186" s="207" t="str">
        <f aca="false">IF($A187="","",Summary!$Q$7)</f>
        <v/>
      </c>
      <c r="AH186" s="207" t="str">
        <f aca="false">IF($A187="","",IF(Summary!$R$7="Y",(VLOOKUP($A186,Summary!$AD$6:$AF$9,3)+'Escalating commodity'!C199),'Escalating commodity'!C199))</f>
        <v/>
      </c>
      <c r="AI186" s="207" t="str">
        <f aca="false">IF($A187="","",AH186)</f>
        <v/>
      </c>
      <c r="AJ186" s="208" t="e">
        <f aca="false">A186+DAY(EOMONTH(A186,0))/2-1</f>
        <v>#VALUE!</v>
      </c>
      <c r="AK186" s="209" t="str">
        <f aca="false">IF($A187="","",$A186-$E$1)</f>
        <v/>
      </c>
      <c r="AL186" s="182" t="str">
        <f aca="false">IF($A187="","",SPRDOPT(P186,X186,AI186,0,AB186,AE186,AF186,AK186,$AJ$2,0))</f>
        <v/>
      </c>
      <c r="AM186" s="210" t="str">
        <f aca="false">IF($A187="","",MAX(0,O186-W186-AI186))</f>
        <v/>
      </c>
      <c r="AN186" s="211" t="str">
        <f aca="false">IF($A187="","",AL186-AM186)</f>
        <v/>
      </c>
      <c r="AO186" s="137" t="str">
        <f aca="false">IF(A187="","",A187-A186)</f>
        <v/>
      </c>
      <c r="AP186" s="212" t="str">
        <f aca="false">IF(A187="","",CHOOSE(F$3,A187+24,A186))</f>
        <v/>
      </c>
      <c r="AQ186" s="209" t="str">
        <f aca="false">IF(A187="","",AP186-$E$1)</f>
        <v/>
      </c>
      <c r="AR186" s="185" t="n">
        <f aca="false">IF(Summary!$H$2=1,VLOOKUP('ANR OK vs ML7'!A186,Curves!$C$17:$AR$273,MATCH('ANR OK vs ML7'!$AR$4,Curves!$C$8:$AQ$8,0)),0.1)</f>
        <v>0.1</v>
      </c>
      <c r="AS186" s="213" t="str">
        <f aca="false">IF(A187="","",1/(1+CHOOSE(F$3,(AR187+($I$3/10000))/2,(AR186+($I$3/10000))/2))^(2*AQ186/365.25))</f>
        <v/>
      </c>
      <c r="AT186" s="137" t="str">
        <f aca="false">IF(A187="","",IF(AND(mthbeg&lt;=A186,mthend&gt;=A186),1,0))</f>
        <v/>
      </c>
      <c r="AU186" s="137" t="str">
        <f aca="false">IF(A187="","",AO186*AT186)</f>
        <v/>
      </c>
      <c r="AW186" s="195" t="str">
        <f aca="false">IF($A187="","",AL186*$E186)</f>
        <v/>
      </c>
      <c r="AX186" s="195" t="str">
        <f aca="false">IF($A187="","",AM186*$E186)</f>
        <v/>
      </c>
      <c r="AY186" s="195" t="str">
        <f aca="false">IF($A187="","",AN186*$E186)</f>
        <v/>
      </c>
      <c r="BA186" s="195" t="str">
        <f aca="false">IF($A187="","",F186*Summary!$Q$7)</f>
        <v/>
      </c>
    </row>
    <row r="187" customFormat="false" ht="12" hidden="false" customHeight="true" outlineLevel="0" collapsed="false">
      <c r="A187" s="196" t="str">
        <f aca="false">IF(A186&lt;mthend,EDATE(A186,1),"")</f>
        <v/>
      </c>
      <c r="B187" s="197" t="str">
        <f aca="false">IF(A187&lt;mthend,B186,"")</f>
        <v/>
      </c>
      <c r="C187" s="215"/>
      <c r="D187" s="197" t="str">
        <f aca="false">IF(A188&lt;&gt;"",B187+C187,"")</f>
        <v/>
      </c>
      <c r="E187" s="199" t="str">
        <f aca="false">IF(A188="","",IF(AND(AT187=1,$H$3=1),D187*AO187,IF($H$3=2,D187,"N/A")))</f>
        <v/>
      </c>
      <c r="F187" s="199" t="str">
        <f aca="false">IF(A188="","",E187*AS187)</f>
        <v/>
      </c>
      <c r="G187" s="200" t="str">
        <f aca="false">IF($A188="","",VLOOKUP($A187,Table,MATCH(G$4,Curves,0)))</f>
        <v/>
      </c>
      <c r="H187" s="201" t="str">
        <f aca="false">IF(A188="","",G187)</f>
        <v/>
      </c>
      <c r="I187" s="202"/>
      <c r="J187" s="200" t="str">
        <f aca="false">IF($A188="","",VLOOKUP($A187,Table,MATCH(J$4,Curves,0)))</f>
        <v/>
      </c>
      <c r="K187" s="201" t="str">
        <f aca="false">IF(A188="","",J187)</f>
        <v/>
      </c>
      <c r="L187" s="200" t="str">
        <f aca="false">IF($A188="","",VLOOKUP($A187,Table,MATCH(L$4,Curves,0)))</f>
        <v/>
      </c>
      <c r="M187" s="201" t="str">
        <f aca="false">IF(A188="","",L187)</f>
        <v/>
      </c>
      <c r="N187" s="203"/>
      <c r="O187" s="200" t="str">
        <f aca="false">IF(A188="","",L187+J187+G187)</f>
        <v/>
      </c>
      <c r="P187" s="200" t="str">
        <f aca="false">IF(A188="","",M187+K187+H187)</f>
        <v/>
      </c>
      <c r="Q187" s="204"/>
      <c r="R187" s="200" t="str">
        <f aca="false">IF($A188="","",VLOOKUP($A187,Table,MATCH(R$4,Curves,0)))</f>
        <v/>
      </c>
      <c r="S187" s="201" t="str">
        <f aca="false">IF(A188="","",R187)</f>
        <v/>
      </c>
      <c r="T187" s="200" t="str">
        <f aca="false">IF($A188="","",VLOOKUP($A187,Table,MATCH(T$4,Curves,0)))</f>
        <v/>
      </c>
      <c r="U187" s="201" t="str">
        <f aca="false">IF(A188="","",T187)</f>
        <v/>
      </c>
      <c r="V187" s="183" t="str">
        <f aca="false">IF($A188="","",IF(AND(MONTH(A187)&gt;3,MONTH(A187)&lt;11),(T187+R187+G187)*Summary!$T$7/(1-Summary!$T$7),(T187+R187+G187)*Summary!$U$7/(1-Summary!$U$7)))</f>
        <v/>
      </c>
      <c r="W187" s="200" t="str">
        <f aca="false">IF($A188="","",(T187+R187+G187+V187))</f>
        <v/>
      </c>
      <c r="X187" s="200" t="str">
        <f aca="false">IF($A188="","",(U187+S187+H187+V187))</f>
        <v/>
      </c>
      <c r="Y187" s="202"/>
      <c r="Z187" s="185" t="str">
        <f aca="false">IF($A188="","",VLOOKUP($A187,Table,MATCH(Z$4,Curves,0)))</f>
        <v/>
      </c>
      <c r="AA187" s="185" t="str">
        <f aca="false">IF($A188="","",VLOOKUP($A187,Table,MATCH(AA$4,Curves,0)))</f>
        <v/>
      </c>
      <c r="AB187" s="185" t="e">
        <f aca="false">SQRT((AA187^2*(A187-$D$3)+Z187^2*(DAY(EOMONTH(A187,0))/2))/AK187)</f>
        <v>#VALUE!</v>
      </c>
      <c r="AC187" s="185" t="str">
        <f aca="false">IF($A188="","",VLOOKUP($A187,Table,MATCH(AC$4,Curves,0)))</f>
        <v/>
      </c>
      <c r="AD187" s="185" t="str">
        <f aca="false">IF($A188="","",VLOOKUP($A187,Table,MATCH(AD$4,Curves,0)))</f>
        <v/>
      </c>
      <c r="AE187" s="185" t="e">
        <f aca="false">SQRT((AD187^2*(A187-$D$3)+AC187^2*(DAY(EOMONTH(A187,0))/2))/AK187)</f>
        <v>#VALUE!</v>
      </c>
      <c r="AF187" s="206" t="e">
        <f aca="false">((Summary!$N$7*(AA187*AD187)*(A187-$D$3))+(Summary!$M$7*Z187*AC187*(DAY(EOMONTH(A187,0))/2)))/(AK187*AB187*AE187)</f>
        <v>#VALUE!</v>
      </c>
      <c r="AG187" s="207" t="str">
        <f aca="false">IF($A188="","",Summary!$Q$7)</f>
        <v/>
      </c>
      <c r="AH187" s="207" t="str">
        <f aca="false">IF($A188="","",IF(Summary!$R$7="Y",(VLOOKUP($A187,Summary!$AD$6:$AF$9,3)+'Escalating commodity'!C200),'Escalating commodity'!C200))</f>
        <v/>
      </c>
      <c r="AI187" s="207" t="str">
        <f aca="false">IF($A188="","",AH187)</f>
        <v/>
      </c>
      <c r="AJ187" s="208" t="e">
        <f aca="false">A187+DAY(EOMONTH(A187,0))/2-1</f>
        <v>#VALUE!</v>
      </c>
      <c r="AK187" s="209" t="str">
        <f aca="false">IF($A188="","",$A187-$E$1)</f>
        <v/>
      </c>
      <c r="AL187" s="182" t="str">
        <f aca="false">IF($A188="","",SPRDOPT(P187,X187,AI187,0,AB187,AE187,AF187,AK187,$AJ$2,0))</f>
        <v/>
      </c>
      <c r="AM187" s="210" t="str">
        <f aca="false">IF($A188="","",MAX(0,O187-W187-AI187))</f>
        <v/>
      </c>
      <c r="AN187" s="211" t="str">
        <f aca="false">IF($A188="","",AL187-AM187)</f>
        <v/>
      </c>
      <c r="AO187" s="137" t="str">
        <f aca="false">IF(A188="","",A188-A187)</f>
        <v/>
      </c>
      <c r="AP187" s="212" t="str">
        <f aca="false">IF(A188="","",CHOOSE(F$3,A188+24,A187))</f>
        <v/>
      </c>
      <c r="AQ187" s="209" t="str">
        <f aca="false">IF(A188="","",AP187-$E$1)</f>
        <v/>
      </c>
      <c r="AR187" s="185" t="n">
        <f aca="false">IF(Summary!$H$2=1,VLOOKUP('ANR OK vs ML7'!A187,Curves!$C$17:$AR$273,MATCH('ANR OK vs ML7'!$AR$4,Curves!$C$8:$AQ$8,0)),0.1)</f>
        <v>0.1</v>
      </c>
      <c r="AS187" s="213" t="str">
        <f aca="false">IF(A188="","",1/(1+CHOOSE(F$3,(AR188+($I$3/10000))/2,(AR187+($I$3/10000))/2))^(2*AQ187/365.25))</f>
        <v/>
      </c>
      <c r="AT187" s="137" t="str">
        <f aca="false">IF(A188="","",IF(AND(mthbeg&lt;=A187,mthend&gt;=A187),1,0))</f>
        <v/>
      </c>
      <c r="AU187" s="137" t="str">
        <f aca="false">IF(A188="","",AO187*AT187)</f>
        <v/>
      </c>
      <c r="AW187" s="195" t="str">
        <f aca="false">IF($A188="","",AL187*$E187)</f>
        <v/>
      </c>
      <c r="AX187" s="195" t="str">
        <f aca="false">IF($A188="","",AM187*$E187)</f>
        <v/>
      </c>
      <c r="AY187" s="195" t="str">
        <f aca="false">IF($A188="","",AN187*$E187)</f>
        <v/>
      </c>
      <c r="BA187" s="195" t="str">
        <f aca="false">IF($A188="","",F187*Summary!$Q$7)</f>
        <v/>
      </c>
    </row>
    <row r="188" customFormat="false" ht="12" hidden="false" customHeight="true" outlineLevel="0" collapsed="false">
      <c r="A188" s="196" t="str">
        <f aca="false">IF(A187&lt;mthend,EDATE(A187,1),"")</f>
        <v/>
      </c>
      <c r="B188" s="197" t="str">
        <f aca="false">IF(A188&lt;mthend,B187,"")</f>
        <v/>
      </c>
      <c r="C188" s="215"/>
      <c r="D188" s="197" t="str">
        <f aca="false">IF(A189&lt;&gt;"",B188+C188,"")</f>
        <v/>
      </c>
      <c r="E188" s="199" t="str">
        <f aca="false">IF(A189="","",IF(AND(AT188=1,$H$3=1),D188*AO188,IF($H$3=2,D188,"N/A")))</f>
        <v/>
      </c>
      <c r="F188" s="199" t="str">
        <f aca="false">IF(A189="","",E188*AS188)</f>
        <v/>
      </c>
      <c r="G188" s="200" t="str">
        <f aca="false">IF($A189="","",VLOOKUP($A188,Table,MATCH(G$4,Curves,0)))</f>
        <v/>
      </c>
      <c r="H188" s="201" t="str">
        <f aca="false">IF(A189="","",G188)</f>
        <v/>
      </c>
      <c r="I188" s="202"/>
      <c r="J188" s="200" t="str">
        <f aca="false">IF($A189="","",VLOOKUP($A188,Table,MATCH(J$4,Curves,0)))</f>
        <v/>
      </c>
      <c r="K188" s="201" t="str">
        <f aca="false">IF(A189="","",J188)</f>
        <v/>
      </c>
      <c r="L188" s="200" t="str">
        <f aca="false">IF($A189="","",VLOOKUP($A188,Table,MATCH(L$4,Curves,0)))</f>
        <v/>
      </c>
      <c r="M188" s="201" t="str">
        <f aca="false">IF(A189="","",L188)</f>
        <v/>
      </c>
      <c r="N188" s="203"/>
      <c r="O188" s="200" t="str">
        <f aca="false">IF(A189="","",L188+J188+G188)</f>
        <v/>
      </c>
      <c r="P188" s="200" t="str">
        <f aca="false">IF(A189="","",M188+K188+H188)</f>
        <v/>
      </c>
      <c r="Q188" s="204"/>
      <c r="R188" s="200" t="str">
        <f aca="false">IF($A189="","",VLOOKUP($A188,Table,MATCH(R$4,Curves,0)))</f>
        <v/>
      </c>
      <c r="S188" s="201" t="str">
        <f aca="false">IF(A189="","",R188)</f>
        <v/>
      </c>
      <c r="T188" s="200" t="str">
        <f aca="false">IF($A189="","",VLOOKUP($A188,Table,MATCH(T$4,Curves,0)))</f>
        <v/>
      </c>
      <c r="U188" s="201" t="str">
        <f aca="false">IF(A189="","",T188)</f>
        <v/>
      </c>
      <c r="V188" s="183" t="str">
        <f aca="false">IF($A189="","",IF(AND(MONTH(A188)&gt;3,MONTH(A188)&lt;11),(T188+R188+G188)*Summary!$T$7/(1-Summary!$T$7),(T188+R188+G188)*Summary!$U$7/(1-Summary!$U$7)))</f>
        <v/>
      </c>
      <c r="W188" s="200" t="str">
        <f aca="false">IF($A189="","",(T188+R188+G188+V188))</f>
        <v/>
      </c>
      <c r="X188" s="200" t="str">
        <f aca="false">IF($A189="","",(U188+S188+H188+V188))</f>
        <v/>
      </c>
      <c r="Y188" s="202"/>
      <c r="Z188" s="185" t="str">
        <f aca="false">IF($A189="","",VLOOKUP($A188,Table,MATCH(Z$4,Curves,0)))</f>
        <v/>
      </c>
      <c r="AA188" s="185" t="str">
        <f aca="false">IF($A189="","",VLOOKUP($A188,Table,MATCH(AA$4,Curves,0)))</f>
        <v/>
      </c>
      <c r="AB188" s="185" t="e">
        <f aca="false">SQRT((AA188^2*(A188-$D$3)+Z188^2*(DAY(EOMONTH(A188,0))/2))/AK188)</f>
        <v>#VALUE!</v>
      </c>
      <c r="AC188" s="185" t="str">
        <f aca="false">IF($A189="","",VLOOKUP($A188,Table,MATCH(AC$4,Curves,0)))</f>
        <v/>
      </c>
      <c r="AD188" s="185" t="str">
        <f aca="false">IF($A189="","",VLOOKUP($A188,Table,MATCH(AD$4,Curves,0)))</f>
        <v/>
      </c>
      <c r="AE188" s="185" t="e">
        <f aca="false">SQRT((AD188^2*(A188-$D$3)+AC188^2*(DAY(EOMONTH(A188,0))/2))/AK188)</f>
        <v>#VALUE!</v>
      </c>
      <c r="AF188" s="206" t="e">
        <f aca="false">((Summary!$N$7*(AA188*AD188)*(A188-$D$3))+(Summary!$M$7*Z188*AC188*(DAY(EOMONTH(A188,0))/2)))/(AK188*AB188*AE188)</f>
        <v>#VALUE!</v>
      </c>
      <c r="AG188" s="207" t="str">
        <f aca="false">IF($A189="","",Summary!$Q$7)</f>
        <v/>
      </c>
      <c r="AH188" s="207" t="str">
        <f aca="false">IF($A189="","",IF(Summary!$R$7="Y",(VLOOKUP($A188,Summary!$AD$6:$AF$9,3)+'Escalating commodity'!C201),'Escalating commodity'!C201))</f>
        <v/>
      </c>
      <c r="AI188" s="207" t="str">
        <f aca="false">IF($A189="","",AH188)</f>
        <v/>
      </c>
      <c r="AJ188" s="208" t="e">
        <f aca="false">A188+DAY(EOMONTH(A188,0))/2-1</f>
        <v>#VALUE!</v>
      </c>
      <c r="AK188" s="209" t="str">
        <f aca="false">IF($A189="","",$A188-$E$1)</f>
        <v/>
      </c>
      <c r="AL188" s="182" t="str">
        <f aca="false">IF($A189="","",SPRDOPT(P188,X188,AI188,0,AB188,AE188,AF188,AK188,$AJ$2,0))</f>
        <v/>
      </c>
      <c r="AM188" s="210" t="str">
        <f aca="false">IF($A189="","",MAX(0,O188-W188-AI188))</f>
        <v/>
      </c>
      <c r="AN188" s="211" t="str">
        <f aca="false">IF($A189="","",AL188-AM188)</f>
        <v/>
      </c>
      <c r="AO188" s="137" t="str">
        <f aca="false">IF(A189="","",A189-A188)</f>
        <v/>
      </c>
      <c r="AP188" s="212" t="str">
        <f aca="false">IF(A189="","",CHOOSE(F$3,A189+24,A188))</f>
        <v/>
      </c>
      <c r="AQ188" s="209" t="str">
        <f aca="false">IF(A189="","",AP188-$E$1)</f>
        <v/>
      </c>
      <c r="AR188" s="185" t="n">
        <f aca="false">IF(Summary!$H$2=1,VLOOKUP('ANR OK vs ML7'!A188,Curves!$C$17:$AR$273,MATCH('ANR OK vs ML7'!$AR$4,Curves!$C$8:$AQ$8,0)),0.1)</f>
        <v>0.1</v>
      </c>
      <c r="AS188" s="213" t="str">
        <f aca="false">IF(A189="","",1/(1+CHOOSE(F$3,(AR189+($I$3/10000))/2,(AR188+($I$3/10000))/2))^(2*AQ188/365.25))</f>
        <v/>
      </c>
      <c r="AT188" s="137" t="str">
        <f aca="false">IF(A189="","",IF(AND(mthbeg&lt;=A188,mthend&gt;=A188),1,0))</f>
        <v/>
      </c>
      <c r="AU188" s="137" t="str">
        <f aca="false">IF(A189="","",AO188*AT188)</f>
        <v/>
      </c>
      <c r="AW188" s="195" t="str">
        <f aca="false">IF($A189="","",AL188*$E188)</f>
        <v/>
      </c>
      <c r="AX188" s="195" t="str">
        <f aca="false">IF($A189="","",AM188*$E188)</f>
        <v/>
      </c>
      <c r="AY188" s="195" t="str">
        <f aca="false">IF($A189="","",AN188*$E188)</f>
        <v/>
      </c>
      <c r="BA188" s="195" t="str">
        <f aca="false">IF($A189="","",F188*Summary!$Q$7)</f>
        <v/>
      </c>
    </row>
    <row r="189" customFormat="false" ht="12" hidden="false" customHeight="true" outlineLevel="0" collapsed="false">
      <c r="A189" s="196" t="str">
        <f aca="false">IF(A188&lt;mthend,EDATE(A188,1),"")</f>
        <v/>
      </c>
      <c r="B189" s="197" t="str">
        <f aca="false">IF(A189&lt;mthend,B188,"")</f>
        <v/>
      </c>
      <c r="C189" s="215"/>
      <c r="D189" s="197" t="str">
        <f aca="false">IF(A190&lt;&gt;"",B189+C189,"")</f>
        <v/>
      </c>
      <c r="E189" s="199" t="str">
        <f aca="false">IF(A190="","",IF(AND(AT189=1,$H$3=1),D189*AO189,IF($H$3=2,D189,"N/A")))</f>
        <v/>
      </c>
      <c r="F189" s="199" t="str">
        <f aca="false">IF(A190="","",E189*AS189)</f>
        <v/>
      </c>
      <c r="G189" s="200" t="str">
        <f aca="false">IF($A190="","",VLOOKUP($A189,Table,MATCH(G$4,Curves,0)))</f>
        <v/>
      </c>
      <c r="H189" s="201" t="str">
        <f aca="false">IF(A190="","",G189)</f>
        <v/>
      </c>
      <c r="I189" s="202"/>
      <c r="J189" s="200" t="str">
        <f aca="false">IF($A190="","",VLOOKUP($A189,Table,MATCH(J$4,Curves,0)))</f>
        <v/>
      </c>
      <c r="K189" s="201" t="str">
        <f aca="false">IF(A190="","",J189)</f>
        <v/>
      </c>
      <c r="L189" s="200" t="str">
        <f aca="false">IF($A190="","",VLOOKUP($A189,Table,MATCH(L$4,Curves,0)))</f>
        <v/>
      </c>
      <c r="M189" s="201" t="str">
        <f aca="false">IF(A190="","",L189)</f>
        <v/>
      </c>
      <c r="N189" s="203"/>
      <c r="O189" s="200" t="str">
        <f aca="false">IF(A190="","",L189+J189+G189)</f>
        <v/>
      </c>
      <c r="P189" s="200" t="str">
        <f aca="false">IF(A190="","",M189+K189+H189)</f>
        <v/>
      </c>
      <c r="Q189" s="204"/>
      <c r="R189" s="200" t="str">
        <f aca="false">IF($A190="","",VLOOKUP($A189,Table,MATCH(R$4,Curves,0)))</f>
        <v/>
      </c>
      <c r="S189" s="201" t="str">
        <f aca="false">IF(A190="","",R189)</f>
        <v/>
      </c>
      <c r="T189" s="200" t="str">
        <f aca="false">IF($A190="","",VLOOKUP($A189,Table,MATCH(T$4,Curves,0)))</f>
        <v/>
      </c>
      <c r="U189" s="201" t="str">
        <f aca="false">IF(A190="","",T189)</f>
        <v/>
      </c>
      <c r="V189" s="183" t="str">
        <f aca="false">IF($A190="","",IF(AND(MONTH(A189)&gt;3,MONTH(A189)&lt;11),(T189+R189+G189)*Summary!$T$7/(1-Summary!$T$7),(T189+R189+G189)*Summary!$U$7/(1-Summary!$U$7)))</f>
        <v/>
      </c>
      <c r="W189" s="200" t="str">
        <f aca="false">IF($A190="","",(T189+R189+G189+V189))</f>
        <v/>
      </c>
      <c r="X189" s="200" t="str">
        <f aca="false">IF($A190="","",(U189+S189+H189+V189))</f>
        <v/>
      </c>
      <c r="Y189" s="202"/>
      <c r="Z189" s="185" t="str">
        <f aca="false">IF($A190="","",VLOOKUP($A189,Table,MATCH(Z$4,Curves,0)))</f>
        <v/>
      </c>
      <c r="AA189" s="185" t="str">
        <f aca="false">IF($A190="","",VLOOKUP($A189,Table,MATCH(AA$4,Curves,0)))</f>
        <v/>
      </c>
      <c r="AB189" s="185" t="e">
        <f aca="false">SQRT((AA189^2*(A189-$D$3)+Z189^2*(DAY(EOMONTH(A189,0))/2))/AK189)</f>
        <v>#VALUE!</v>
      </c>
      <c r="AC189" s="185" t="str">
        <f aca="false">IF($A190="","",VLOOKUP($A189,Table,MATCH(AC$4,Curves,0)))</f>
        <v/>
      </c>
      <c r="AD189" s="185" t="str">
        <f aca="false">IF($A190="","",VLOOKUP($A189,Table,MATCH(AD$4,Curves,0)))</f>
        <v/>
      </c>
      <c r="AE189" s="185" t="e">
        <f aca="false">SQRT((AD189^2*(A189-$D$3)+AC189^2*(DAY(EOMONTH(A189,0))/2))/AK189)</f>
        <v>#VALUE!</v>
      </c>
      <c r="AF189" s="206" t="e">
        <f aca="false">((Summary!$N$7*(AA189*AD189)*(A189-$D$3))+(Summary!$M$7*Z189*AC189*(DAY(EOMONTH(A189,0))/2)))/(AK189*AB189*AE189)</f>
        <v>#VALUE!</v>
      </c>
      <c r="AG189" s="207" t="str">
        <f aca="false">IF($A190="","",Summary!$Q$7)</f>
        <v/>
      </c>
      <c r="AH189" s="207" t="str">
        <f aca="false">IF($A190="","",IF(Summary!$R$7="Y",(VLOOKUP($A189,Summary!$AD$6:$AF$9,3)+'Escalating commodity'!C202),'Escalating commodity'!C202))</f>
        <v/>
      </c>
      <c r="AI189" s="207" t="str">
        <f aca="false">IF($A190="","",AH189)</f>
        <v/>
      </c>
      <c r="AJ189" s="208" t="e">
        <f aca="false">A189+DAY(EOMONTH(A189,0))/2-1</f>
        <v>#VALUE!</v>
      </c>
      <c r="AK189" s="209" t="str">
        <f aca="false">IF($A190="","",$A189-$E$1)</f>
        <v/>
      </c>
      <c r="AL189" s="182" t="str">
        <f aca="false">IF($A190="","",SPRDOPT(P189,X189,AI189,0,AB189,AE189,AF189,AK189,$AJ$2,0))</f>
        <v/>
      </c>
      <c r="AM189" s="210" t="str">
        <f aca="false">IF($A190="","",MAX(0,O189-W189-AI189))</f>
        <v/>
      </c>
      <c r="AN189" s="211" t="str">
        <f aca="false">IF($A190="","",AL189-AM189)</f>
        <v/>
      </c>
      <c r="AO189" s="137" t="str">
        <f aca="false">IF(A190="","",A190-A189)</f>
        <v/>
      </c>
      <c r="AP189" s="212" t="str">
        <f aca="false">IF(A190="","",CHOOSE(F$3,A190+24,A189))</f>
        <v/>
      </c>
      <c r="AQ189" s="209" t="str">
        <f aca="false">IF(A190="","",AP189-$E$1)</f>
        <v/>
      </c>
      <c r="AR189" s="185" t="n">
        <f aca="false">IF(Summary!$H$2=1,VLOOKUP('ANR OK vs ML7'!A189,Curves!$C$17:$AR$273,MATCH('ANR OK vs ML7'!$AR$4,Curves!$C$8:$AQ$8,0)),0.1)</f>
        <v>0.1</v>
      </c>
      <c r="AS189" s="213" t="str">
        <f aca="false">IF(A190="","",1/(1+CHOOSE(F$3,(AR190+($I$3/10000))/2,(AR189+($I$3/10000))/2))^(2*AQ189/365.25))</f>
        <v/>
      </c>
      <c r="AT189" s="137" t="str">
        <f aca="false">IF(A190="","",IF(AND(mthbeg&lt;=A189,mthend&gt;=A189),1,0))</f>
        <v/>
      </c>
      <c r="AU189" s="137" t="str">
        <f aca="false">IF(A190="","",AO189*AT189)</f>
        <v/>
      </c>
      <c r="AW189" s="195" t="str">
        <f aca="false">IF($A190="","",AL189*$E189)</f>
        <v/>
      </c>
      <c r="AX189" s="195" t="str">
        <f aca="false">IF($A190="","",AM189*$E189)</f>
        <v/>
      </c>
      <c r="AY189" s="195" t="str">
        <f aca="false">IF($A190="","",AN189*$E189)</f>
        <v/>
      </c>
      <c r="BA189" s="195" t="str">
        <f aca="false">IF($A190="","",F189*Summary!$Q$7)</f>
        <v/>
      </c>
    </row>
    <row r="190" customFormat="false" ht="12" hidden="false" customHeight="true" outlineLevel="0" collapsed="false">
      <c r="A190" s="196" t="str">
        <f aca="false">IF(A189&lt;mthend,EDATE(A189,1),"")</f>
        <v/>
      </c>
      <c r="B190" s="197" t="str">
        <f aca="false">IF(A190&lt;mthend,B189,"")</f>
        <v/>
      </c>
      <c r="C190" s="215"/>
      <c r="D190" s="197" t="str">
        <f aca="false">IF(A191&lt;&gt;"",B190+C190,"")</f>
        <v/>
      </c>
      <c r="E190" s="199" t="str">
        <f aca="false">IF(A191="","",IF(AND(AT190=1,$H$3=1),D190*AO190,IF($H$3=2,D190,"N/A")))</f>
        <v/>
      </c>
      <c r="F190" s="199" t="str">
        <f aca="false">IF(A191="","",E190*AS190)</f>
        <v/>
      </c>
      <c r="G190" s="200" t="str">
        <f aca="false">IF($A191="","",VLOOKUP($A190,Table,MATCH(G$4,Curves,0)))</f>
        <v/>
      </c>
      <c r="H190" s="201" t="str">
        <f aca="false">IF(A191="","",G190)</f>
        <v/>
      </c>
      <c r="I190" s="202"/>
      <c r="J190" s="200" t="str">
        <f aca="false">IF($A191="","",VLOOKUP($A190,Table,MATCH(J$4,Curves,0)))</f>
        <v/>
      </c>
      <c r="K190" s="201" t="str">
        <f aca="false">IF(A191="","",J190)</f>
        <v/>
      </c>
      <c r="L190" s="200" t="str">
        <f aca="false">IF($A191="","",VLOOKUP($A190,Table,MATCH(L$4,Curves,0)))</f>
        <v/>
      </c>
      <c r="M190" s="201" t="str">
        <f aca="false">IF(A191="","",L190)</f>
        <v/>
      </c>
      <c r="N190" s="203"/>
      <c r="O190" s="200" t="str">
        <f aca="false">IF(A191="","",L190+J190+G190)</f>
        <v/>
      </c>
      <c r="P190" s="200" t="str">
        <f aca="false">IF(A191="","",M190+K190+H190)</f>
        <v/>
      </c>
      <c r="Q190" s="204"/>
      <c r="R190" s="200" t="str">
        <f aca="false">IF($A191="","",VLOOKUP($A190,Table,MATCH(R$4,Curves,0)))</f>
        <v/>
      </c>
      <c r="S190" s="201" t="str">
        <f aca="false">IF(A191="","",R190)</f>
        <v/>
      </c>
      <c r="T190" s="200" t="str">
        <f aca="false">IF($A191="","",VLOOKUP($A190,Table,MATCH(T$4,Curves,0)))</f>
        <v/>
      </c>
      <c r="U190" s="201" t="str">
        <f aca="false">IF(A191="","",T190)</f>
        <v/>
      </c>
      <c r="V190" s="183" t="str">
        <f aca="false">IF($A191="","",IF(AND(MONTH(A190)&gt;3,MONTH(A190)&lt;11),(T190+R190+G190)*Summary!$T$7/(1-Summary!$T$7),(T190+R190+G190)*Summary!$U$7/(1-Summary!$U$7)))</f>
        <v/>
      </c>
      <c r="W190" s="200" t="str">
        <f aca="false">IF($A191="","",(T190+R190+G190+V190))</f>
        <v/>
      </c>
      <c r="X190" s="200" t="str">
        <f aca="false">IF($A191="","",(U190+S190+H190+V190))</f>
        <v/>
      </c>
      <c r="Y190" s="202"/>
      <c r="Z190" s="185" t="str">
        <f aca="false">IF($A191="","",VLOOKUP($A190,Table,MATCH(Z$4,Curves,0)))</f>
        <v/>
      </c>
      <c r="AA190" s="185" t="str">
        <f aca="false">IF($A191="","",VLOOKUP($A190,Table,MATCH(AA$4,Curves,0)))</f>
        <v/>
      </c>
      <c r="AB190" s="185" t="e">
        <f aca="false">SQRT((AA190^2*(A190-$D$3)+Z190^2*(DAY(EOMONTH(A190,0))/2))/AK190)</f>
        <v>#VALUE!</v>
      </c>
      <c r="AC190" s="185" t="str">
        <f aca="false">IF($A191="","",VLOOKUP($A190,Table,MATCH(AC$4,Curves,0)))</f>
        <v/>
      </c>
      <c r="AD190" s="185" t="str">
        <f aca="false">IF($A191="","",VLOOKUP($A190,Table,MATCH(AD$4,Curves,0)))</f>
        <v/>
      </c>
      <c r="AE190" s="185" t="e">
        <f aca="false">SQRT((AD190^2*(A190-$D$3)+AC190^2*(DAY(EOMONTH(A190,0))/2))/AK190)</f>
        <v>#VALUE!</v>
      </c>
      <c r="AF190" s="206" t="e">
        <f aca="false">((Summary!$N$7*(AA190*AD190)*(A190-$D$3))+(Summary!$M$7*Z190*AC190*(DAY(EOMONTH(A190,0))/2)))/(AK190*AB190*AE190)</f>
        <v>#VALUE!</v>
      </c>
      <c r="AG190" s="207" t="str">
        <f aca="false">IF($A191="","",Summary!$Q$7)</f>
        <v/>
      </c>
      <c r="AH190" s="207" t="str">
        <f aca="false">IF($A191="","",IF(Summary!$R$7="Y",(VLOOKUP($A190,Summary!$AD$6:$AF$9,3)+'Escalating commodity'!C203),'Escalating commodity'!C203))</f>
        <v/>
      </c>
      <c r="AI190" s="207" t="str">
        <f aca="false">IF($A191="","",AH190)</f>
        <v/>
      </c>
      <c r="AJ190" s="208" t="e">
        <f aca="false">A190+DAY(EOMONTH(A190,0))/2-1</f>
        <v>#VALUE!</v>
      </c>
      <c r="AK190" s="209" t="str">
        <f aca="false">IF($A191="","",$A190-$E$1)</f>
        <v/>
      </c>
      <c r="AL190" s="182" t="str">
        <f aca="false">IF($A191="","",SPRDOPT(P190,X190,AI190,0,AB190,AE190,AF190,AK190,$AJ$2,0))</f>
        <v/>
      </c>
      <c r="AM190" s="210" t="str">
        <f aca="false">IF($A191="","",MAX(0,O190-W190-AI190))</f>
        <v/>
      </c>
      <c r="AN190" s="211" t="str">
        <f aca="false">IF($A191="","",AL190-AM190)</f>
        <v/>
      </c>
      <c r="AO190" s="137" t="str">
        <f aca="false">IF(A191="","",A191-A190)</f>
        <v/>
      </c>
      <c r="AP190" s="212" t="str">
        <f aca="false">IF(A191="","",CHOOSE(F$3,A191+24,A190))</f>
        <v/>
      </c>
      <c r="AQ190" s="209" t="str">
        <f aca="false">IF(A191="","",AP190-$E$1)</f>
        <v/>
      </c>
      <c r="AR190" s="185" t="n">
        <f aca="false">IF(Summary!$H$2=1,VLOOKUP('ANR OK vs ML7'!A190,Curves!$C$17:$AR$273,MATCH('ANR OK vs ML7'!$AR$4,Curves!$C$8:$AQ$8,0)),0.1)</f>
        <v>0.1</v>
      </c>
      <c r="AS190" s="213" t="str">
        <f aca="false">IF(A191="","",1/(1+CHOOSE(F$3,(AR191+($I$3/10000))/2,(AR190+($I$3/10000))/2))^(2*AQ190/365.25))</f>
        <v/>
      </c>
      <c r="AT190" s="137" t="str">
        <f aca="false">IF(A191="","",IF(AND(mthbeg&lt;=A190,mthend&gt;=A190),1,0))</f>
        <v/>
      </c>
      <c r="AU190" s="137" t="str">
        <f aca="false">IF(A191="","",AO190*AT190)</f>
        <v/>
      </c>
      <c r="AW190" s="195" t="str">
        <f aca="false">IF($A191="","",AL190*$E190)</f>
        <v/>
      </c>
      <c r="AX190" s="195" t="str">
        <f aca="false">IF($A191="","",AM190*$E190)</f>
        <v/>
      </c>
      <c r="AY190" s="195" t="str">
        <f aca="false">IF($A191="","",AN190*$E190)</f>
        <v/>
      </c>
      <c r="BA190" s="195" t="str">
        <f aca="false">IF($A191="","",F190*Summary!$Q$7)</f>
        <v/>
      </c>
    </row>
    <row r="191" customFormat="false" ht="12" hidden="false" customHeight="true" outlineLevel="0" collapsed="false">
      <c r="A191" s="196" t="str">
        <f aca="false">IF(A190&lt;mthend,EDATE(A190,1),"")</f>
        <v/>
      </c>
      <c r="B191" s="197" t="str">
        <f aca="false">IF(A191&lt;mthend,B190,"")</f>
        <v/>
      </c>
      <c r="C191" s="215"/>
      <c r="D191" s="197" t="str">
        <f aca="false">IF(A192&lt;&gt;"",B191+C191,"")</f>
        <v/>
      </c>
      <c r="E191" s="199" t="str">
        <f aca="false">IF(A192="","",IF(AND(AT191=1,$H$3=1),D191*AO191,IF($H$3=2,D191,"N/A")))</f>
        <v/>
      </c>
      <c r="F191" s="199" t="str">
        <f aca="false">IF(A192="","",E191*AS191)</f>
        <v/>
      </c>
      <c r="G191" s="200" t="str">
        <f aca="false">IF($A192="","",VLOOKUP($A191,Table,MATCH(G$4,Curves,0)))</f>
        <v/>
      </c>
      <c r="H191" s="201" t="str">
        <f aca="false">IF(A192="","",G191)</f>
        <v/>
      </c>
      <c r="I191" s="202"/>
      <c r="J191" s="200" t="str">
        <f aca="false">IF($A192="","",VLOOKUP($A191,Table,MATCH(J$4,Curves,0)))</f>
        <v/>
      </c>
      <c r="K191" s="201" t="str">
        <f aca="false">IF(A192="","",J191)</f>
        <v/>
      </c>
      <c r="L191" s="200" t="str">
        <f aca="false">IF($A192="","",VLOOKUP($A191,Table,MATCH(L$4,Curves,0)))</f>
        <v/>
      </c>
      <c r="M191" s="201" t="str">
        <f aca="false">IF(A192="","",L191)</f>
        <v/>
      </c>
      <c r="N191" s="203"/>
      <c r="O191" s="200" t="str">
        <f aca="false">IF(A192="","",L191+J191+G191)</f>
        <v/>
      </c>
      <c r="P191" s="200" t="str">
        <f aca="false">IF(A192="","",M191+K191+H191)</f>
        <v/>
      </c>
      <c r="Q191" s="204"/>
      <c r="R191" s="200" t="str">
        <f aca="false">IF($A192="","",VLOOKUP($A191,Table,MATCH(R$4,Curves,0)))</f>
        <v/>
      </c>
      <c r="S191" s="201" t="str">
        <f aca="false">IF(A192="","",R191)</f>
        <v/>
      </c>
      <c r="T191" s="200" t="str">
        <f aca="false">IF($A192="","",VLOOKUP($A191,Table,MATCH(T$4,Curves,0)))</f>
        <v/>
      </c>
      <c r="U191" s="201" t="str">
        <f aca="false">IF(A192="","",T191)</f>
        <v/>
      </c>
      <c r="V191" s="183" t="str">
        <f aca="false">IF($A192="","",IF(AND(MONTH(A191)&gt;3,MONTH(A191)&lt;11),(T191+R191+G191)*Summary!$T$7/(1-Summary!$T$7),(T191+R191+G191)*Summary!$U$7/(1-Summary!$U$7)))</f>
        <v/>
      </c>
      <c r="W191" s="200" t="str">
        <f aca="false">IF($A192="","",(T191+R191+G191+V191))</f>
        <v/>
      </c>
      <c r="X191" s="200" t="str">
        <f aca="false">IF($A192="","",(U191+S191+H191+V191))</f>
        <v/>
      </c>
      <c r="Y191" s="202"/>
      <c r="Z191" s="185" t="str">
        <f aca="false">IF($A192="","",VLOOKUP($A191,Table,MATCH(Z$4,Curves,0)))</f>
        <v/>
      </c>
      <c r="AA191" s="185" t="str">
        <f aca="false">IF($A192="","",VLOOKUP($A191,Table,MATCH(AA$4,Curves,0)))</f>
        <v/>
      </c>
      <c r="AB191" s="185" t="e">
        <f aca="false">SQRT((AA191^2*(A191-$D$3)+Z191^2*(DAY(EOMONTH(A191,0))/2))/AK191)</f>
        <v>#VALUE!</v>
      </c>
      <c r="AC191" s="185" t="str">
        <f aca="false">IF($A192="","",VLOOKUP($A191,Table,MATCH(AC$4,Curves,0)))</f>
        <v/>
      </c>
      <c r="AD191" s="185" t="str">
        <f aca="false">IF($A192="","",VLOOKUP($A191,Table,MATCH(AD$4,Curves,0)))</f>
        <v/>
      </c>
      <c r="AE191" s="185" t="e">
        <f aca="false">SQRT((AD191^2*(A191-$D$3)+AC191^2*(DAY(EOMONTH(A191,0))/2))/AK191)</f>
        <v>#VALUE!</v>
      </c>
      <c r="AF191" s="206" t="e">
        <f aca="false">((Summary!$N$7*(AA191*AD191)*(A191-$D$3))+(Summary!$M$7*Z191*AC191*(DAY(EOMONTH(A191,0))/2)))/(AK191*AB191*AE191)</f>
        <v>#VALUE!</v>
      </c>
      <c r="AG191" s="207" t="str">
        <f aca="false">IF($A192="","",Summary!$Q$7)</f>
        <v/>
      </c>
      <c r="AH191" s="207" t="str">
        <f aca="false">IF($A192="","",IF(Summary!$R$7="Y",(VLOOKUP($A191,Summary!$AD$6:$AF$9,3)+'Escalating commodity'!C204),'Escalating commodity'!C204))</f>
        <v/>
      </c>
      <c r="AI191" s="207" t="str">
        <f aca="false">IF($A192="","",AH191)</f>
        <v/>
      </c>
      <c r="AJ191" s="208" t="e">
        <f aca="false">A191+DAY(EOMONTH(A191,0))/2-1</f>
        <v>#VALUE!</v>
      </c>
      <c r="AK191" s="209" t="str">
        <f aca="false">IF($A192="","",$A191-$E$1)</f>
        <v/>
      </c>
      <c r="AL191" s="182" t="str">
        <f aca="false">IF($A192="","",SPRDOPT(P191,X191,AI191,0,AB191,AE191,AF191,AK191,$AJ$2,0))</f>
        <v/>
      </c>
      <c r="AM191" s="210" t="str">
        <f aca="false">IF($A192="","",MAX(0,O191-W191-AI191))</f>
        <v/>
      </c>
      <c r="AN191" s="211" t="str">
        <f aca="false">IF($A192="","",AL191-AM191)</f>
        <v/>
      </c>
      <c r="AO191" s="137" t="str">
        <f aca="false">IF(A192="","",A192-A191)</f>
        <v/>
      </c>
      <c r="AP191" s="212" t="str">
        <f aca="false">IF(A192="","",CHOOSE(F$3,A192+24,A191))</f>
        <v/>
      </c>
      <c r="AQ191" s="209" t="str">
        <f aca="false">IF(A192="","",AP191-$E$1)</f>
        <v/>
      </c>
      <c r="AR191" s="185" t="n">
        <f aca="false">IF(Summary!$H$2=1,VLOOKUP('ANR OK vs ML7'!A191,Curves!$C$17:$AR$273,MATCH('ANR OK vs ML7'!$AR$4,Curves!$C$8:$AQ$8,0)),0.1)</f>
        <v>0.1</v>
      </c>
      <c r="AS191" s="213" t="str">
        <f aca="false">IF(A192="","",1/(1+CHOOSE(F$3,(AR192+($I$3/10000))/2,(AR191+($I$3/10000))/2))^(2*AQ191/365.25))</f>
        <v/>
      </c>
      <c r="AT191" s="137" t="str">
        <f aca="false">IF(A192="","",IF(AND(mthbeg&lt;=A191,mthend&gt;=A191),1,0))</f>
        <v/>
      </c>
      <c r="AU191" s="137" t="str">
        <f aca="false">IF(A192="","",AO191*AT191)</f>
        <v/>
      </c>
      <c r="AW191" s="195" t="str">
        <f aca="false">IF($A192="","",AL191*$E191)</f>
        <v/>
      </c>
      <c r="AX191" s="195" t="str">
        <f aca="false">IF($A192="","",AM191*$E191)</f>
        <v/>
      </c>
      <c r="AY191" s="195" t="str">
        <f aca="false">IF($A192="","",AN191*$E191)</f>
        <v/>
      </c>
      <c r="BA191" s="195" t="str">
        <f aca="false">IF($A192="","",F191*Summary!$Q$7)</f>
        <v/>
      </c>
    </row>
    <row r="192" customFormat="false" ht="12" hidden="false" customHeight="true" outlineLevel="0" collapsed="false">
      <c r="A192" s="196" t="str">
        <f aca="false">IF(A191&lt;mthend,EDATE(A191,1),"")</f>
        <v/>
      </c>
      <c r="B192" s="197" t="str">
        <f aca="false">IF(A192&lt;mthend,B191,"")</f>
        <v/>
      </c>
      <c r="C192" s="215"/>
      <c r="D192" s="197" t="str">
        <f aca="false">IF(A193&lt;&gt;"",B192+C192,"")</f>
        <v/>
      </c>
      <c r="E192" s="199" t="str">
        <f aca="false">IF(A193="","",IF(AND(AT192=1,$H$3=1),D192*AO192,IF($H$3=2,D192,"N/A")))</f>
        <v/>
      </c>
      <c r="F192" s="199" t="str">
        <f aca="false">IF(A193="","",E192*AS192)</f>
        <v/>
      </c>
      <c r="G192" s="200" t="str">
        <f aca="false">IF($A193="","",VLOOKUP($A192,Table,MATCH(G$4,Curves,0)))</f>
        <v/>
      </c>
      <c r="H192" s="201" t="str">
        <f aca="false">IF(A193="","",G192)</f>
        <v/>
      </c>
      <c r="I192" s="202"/>
      <c r="J192" s="200" t="str">
        <f aca="false">IF($A193="","",VLOOKUP($A192,Table,MATCH(J$4,Curves,0)))</f>
        <v/>
      </c>
      <c r="K192" s="201" t="str">
        <f aca="false">IF(A193="","",J192)</f>
        <v/>
      </c>
      <c r="L192" s="200" t="str">
        <f aca="false">IF($A193="","",VLOOKUP($A192,Table,MATCH(L$4,Curves,0)))</f>
        <v/>
      </c>
      <c r="M192" s="201" t="str">
        <f aca="false">IF(A193="","",L192)</f>
        <v/>
      </c>
      <c r="N192" s="203"/>
      <c r="O192" s="200" t="str">
        <f aca="false">IF(A193="","",L192+J192+G192)</f>
        <v/>
      </c>
      <c r="P192" s="200" t="str">
        <f aca="false">IF(A193="","",M192+K192+H192)</f>
        <v/>
      </c>
      <c r="Q192" s="204"/>
      <c r="R192" s="200" t="str">
        <f aca="false">IF($A193="","",VLOOKUP($A192,Table,MATCH(R$4,Curves,0)))</f>
        <v/>
      </c>
      <c r="S192" s="201" t="str">
        <f aca="false">IF(A193="","",R192)</f>
        <v/>
      </c>
      <c r="T192" s="200" t="str">
        <f aca="false">IF($A193="","",VLOOKUP($A192,Table,MATCH(T$4,Curves,0)))</f>
        <v/>
      </c>
      <c r="U192" s="201" t="str">
        <f aca="false">IF(A193="","",T192)</f>
        <v/>
      </c>
      <c r="V192" s="183" t="str">
        <f aca="false">IF($A193="","",IF(AND(MONTH(A192)&gt;3,MONTH(A192)&lt;11),(T192+R192+G192)*Summary!$T$7/(1-Summary!$T$7),(T192+R192+G192)*Summary!$U$7/(1-Summary!$U$7)))</f>
        <v/>
      </c>
      <c r="W192" s="200" t="str">
        <f aca="false">IF($A193="","",(T192+R192+G192+V192))</f>
        <v/>
      </c>
      <c r="X192" s="200" t="str">
        <f aca="false">IF($A193="","",(U192+S192+H192+V192))</f>
        <v/>
      </c>
      <c r="Y192" s="202"/>
      <c r="Z192" s="185" t="str">
        <f aca="false">IF($A193="","",VLOOKUP($A192,Table,MATCH(Z$4,Curves,0)))</f>
        <v/>
      </c>
      <c r="AA192" s="185" t="str">
        <f aca="false">IF($A193="","",VLOOKUP($A192,Table,MATCH(AA$4,Curves,0)))</f>
        <v/>
      </c>
      <c r="AB192" s="185" t="e">
        <f aca="false">SQRT((AA192^2*(A192-$D$3)+Z192^2*(DAY(EOMONTH(A192,0))/2))/AK192)</f>
        <v>#VALUE!</v>
      </c>
      <c r="AC192" s="185" t="str">
        <f aca="false">IF($A193="","",VLOOKUP($A192,Table,MATCH(AC$4,Curves,0)))</f>
        <v/>
      </c>
      <c r="AD192" s="185" t="str">
        <f aca="false">IF($A193="","",VLOOKUP($A192,Table,MATCH(AD$4,Curves,0)))</f>
        <v/>
      </c>
      <c r="AE192" s="185" t="e">
        <f aca="false">SQRT((AD192^2*(A192-$D$3)+AC192^2*(DAY(EOMONTH(A192,0))/2))/AK192)</f>
        <v>#VALUE!</v>
      </c>
      <c r="AF192" s="206" t="e">
        <f aca="false">((Summary!$N$7*(AA192*AD192)*(A192-$D$3))+(Summary!$M$7*Z192*AC192*(DAY(EOMONTH(A192,0))/2)))/(AK192*AB192*AE192)</f>
        <v>#VALUE!</v>
      </c>
      <c r="AG192" s="207" t="str">
        <f aca="false">IF($A193="","",Summary!$Q$7)</f>
        <v/>
      </c>
      <c r="AH192" s="207" t="str">
        <f aca="false">IF($A193="","",IF(Summary!$R$7="Y",(VLOOKUP($A192,Summary!$AD$6:$AF$9,3)+'Escalating commodity'!C205),'Escalating commodity'!C205))</f>
        <v/>
      </c>
      <c r="AI192" s="207" t="str">
        <f aca="false">IF($A193="","",AH192)</f>
        <v/>
      </c>
      <c r="AJ192" s="208" t="e">
        <f aca="false">A192+DAY(EOMONTH(A192,0))/2-1</f>
        <v>#VALUE!</v>
      </c>
      <c r="AK192" s="209" t="str">
        <f aca="false">IF($A193="","",$A192-$E$1)</f>
        <v/>
      </c>
      <c r="AL192" s="182" t="str">
        <f aca="false">IF($A193="","",SPRDOPT(P192,X192,AI192,0,AB192,AE192,AF192,AK192,$AJ$2,0))</f>
        <v/>
      </c>
      <c r="AM192" s="210" t="str">
        <f aca="false">IF($A193="","",MAX(0,O192-W192-AI192))</f>
        <v/>
      </c>
      <c r="AN192" s="211" t="str">
        <f aca="false">IF($A193="","",AL192-AM192)</f>
        <v/>
      </c>
      <c r="AO192" s="137" t="str">
        <f aca="false">IF(A193="","",A193-A192)</f>
        <v/>
      </c>
      <c r="AP192" s="212" t="str">
        <f aca="false">IF(A193="","",CHOOSE(F$3,A193+24,A192))</f>
        <v/>
      </c>
      <c r="AQ192" s="209" t="str">
        <f aca="false">IF(A193="","",AP192-$E$1)</f>
        <v/>
      </c>
      <c r="AR192" s="185" t="n">
        <f aca="false">IF(Summary!$H$2=1,VLOOKUP('ANR OK vs ML7'!A192,Curves!$C$17:$AR$273,MATCH('ANR OK vs ML7'!$AR$4,Curves!$C$8:$AQ$8,0)),0.1)</f>
        <v>0.1</v>
      </c>
      <c r="AS192" s="213" t="str">
        <f aca="false">IF(A193="","",1/(1+CHOOSE(F$3,(AR193+($I$3/10000))/2,(AR192+($I$3/10000))/2))^(2*AQ192/365.25))</f>
        <v/>
      </c>
      <c r="AT192" s="137" t="str">
        <f aca="false">IF(A193="","",IF(AND(mthbeg&lt;=A192,mthend&gt;=A192),1,0))</f>
        <v/>
      </c>
      <c r="AU192" s="137" t="str">
        <f aca="false">IF(A193="","",AO192*AT192)</f>
        <v/>
      </c>
      <c r="AW192" s="195" t="str">
        <f aca="false">IF($A193="","",AL192*$E192)</f>
        <v/>
      </c>
      <c r="AX192" s="195" t="str">
        <f aca="false">IF($A193="","",AM192*$E192)</f>
        <v/>
      </c>
      <c r="AY192" s="195" t="str">
        <f aca="false">IF($A193="","",AN192*$E192)</f>
        <v/>
      </c>
      <c r="BA192" s="195" t="str">
        <f aca="false">IF($A193="","",F192*Summary!$Q$7)</f>
        <v/>
      </c>
    </row>
    <row r="193" customFormat="false" ht="12" hidden="false" customHeight="true" outlineLevel="0" collapsed="false">
      <c r="A193" s="196" t="str">
        <f aca="false">IF(A192&lt;mthend,EDATE(A192,1),"")</f>
        <v/>
      </c>
      <c r="B193" s="197" t="str">
        <f aca="false">IF(A193&lt;mthend,B192,"")</f>
        <v/>
      </c>
      <c r="C193" s="215"/>
      <c r="D193" s="197" t="str">
        <f aca="false">IF(A194&lt;&gt;"",B193+C193,"")</f>
        <v/>
      </c>
      <c r="E193" s="199" t="str">
        <f aca="false">IF(A194="","",IF(AND(AT193=1,$H$3=1),D193*AO193,IF($H$3=2,D193,"N/A")))</f>
        <v/>
      </c>
      <c r="F193" s="199" t="str">
        <f aca="false">IF(A194="","",E193*AS193)</f>
        <v/>
      </c>
      <c r="G193" s="200" t="str">
        <f aca="false">IF($A194="","",VLOOKUP($A193,Table,MATCH(G$4,Curves,0)))</f>
        <v/>
      </c>
      <c r="H193" s="201" t="str">
        <f aca="false">IF(A194="","",G193)</f>
        <v/>
      </c>
      <c r="I193" s="202"/>
      <c r="J193" s="200" t="str">
        <f aca="false">IF($A194="","",VLOOKUP($A193,Table,MATCH(J$4,Curves,0)))</f>
        <v/>
      </c>
      <c r="K193" s="201" t="str">
        <f aca="false">IF(A194="","",J193)</f>
        <v/>
      </c>
      <c r="L193" s="200" t="str">
        <f aca="false">IF($A194="","",VLOOKUP($A193,Table,MATCH(L$4,Curves,0)))</f>
        <v/>
      </c>
      <c r="M193" s="201" t="str">
        <f aca="false">IF(A194="","",L193)</f>
        <v/>
      </c>
      <c r="N193" s="203"/>
      <c r="O193" s="200" t="str">
        <f aca="false">IF(A194="","",L193+J193+G193)</f>
        <v/>
      </c>
      <c r="P193" s="200" t="str">
        <f aca="false">IF(A194="","",M193+K193+H193)</f>
        <v/>
      </c>
      <c r="Q193" s="204"/>
      <c r="R193" s="200" t="str">
        <f aca="false">IF($A194="","",VLOOKUP($A193,Table,MATCH(R$4,Curves,0)))</f>
        <v/>
      </c>
      <c r="S193" s="201" t="str">
        <f aca="false">IF(A194="","",R193)</f>
        <v/>
      </c>
      <c r="T193" s="200" t="str">
        <f aca="false">IF($A194="","",VLOOKUP($A193,Table,MATCH(T$4,Curves,0)))</f>
        <v/>
      </c>
      <c r="U193" s="201" t="str">
        <f aca="false">IF(A194="","",T193)</f>
        <v/>
      </c>
      <c r="V193" s="183" t="str">
        <f aca="false">IF($A194="","",IF(AND(MONTH(A193)&gt;3,MONTH(A193)&lt;11),(T193+R193+G193)*Summary!$T$7/(1-Summary!$T$7),(T193+R193+G193)*Summary!$U$7/(1-Summary!$U$7)))</f>
        <v/>
      </c>
      <c r="W193" s="200" t="str">
        <f aca="false">IF($A194="","",(T193+R193+G193+V193))</f>
        <v/>
      </c>
      <c r="X193" s="200" t="str">
        <f aca="false">IF($A194="","",(U193+S193+H193+V193))</f>
        <v/>
      </c>
      <c r="Y193" s="202"/>
      <c r="Z193" s="185" t="str">
        <f aca="false">IF($A194="","",VLOOKUP($A193,Table,MATCH(Z$4,Curves,0)))</f>
        <v/>
      </c>
      <c r="AA193" s="185" t="str">
        <f aca="false">IF($A194="","",VLOOKUP($A193,Table,MATCH(AA$4,Curves,0)))</f>
        <v/>
      </c>
      <c r="AB193" s="185" t="e">
        <f aca="false">SQRT((AA193^2*(A193-$D$3)+Z193^2*(DAY(EOMONTH(A193,0))/2))/AK193)</f>
        <v>#VALUE!</v>
      </c>
      <c r="AC193" s="185" t="str">
        <f aca="false">IF($A194="","",VLOOKUP($A193,Table,MATCH(AC$4,Curves,0)))</f>
        <v/>
      </c>
      <c r="AD193" s="185" t="str">
        <f aca="false">IF($A194="","",VLOOKUP($A193,Table,MATCH(AD$4,Curves,0)))</f>
        <v/>
      </c>
      <c r="AE193" s="185" t="e">
        <f aca="false">SQRT((AD193^2*(A193-$D$3)+AC193^2*(DAY(EOMONTH(A193,0))/2))/AK193)</f>
        <v>#VALUE!</v>
      </c>
      <c r="AF193" s="206" t="e">
        <f aca="false">((Summary!$N$7*(AA193*AD193)*(A193-$D$3))+(Summary!$M$7*Z193*AC193*(DAY(EOMONTH(A193,0))/2)))/(AK193*AB193*AE193)</f>
        <v>#VALUE!</v>
      </c>
      <c r="AG193" s="207" t="str">
        <f aca="false">IF($A194="","",Summary!$Q$7)</f>
        <v/>
      </c>
      <c r="AH193" s="207" t="str">
        <f aca="false">IF($A194="","",IF(Summary!$R$7="Y",(VLOOKUP($A193,Summary!$AD$6:$AF$9,3)+'Escalating commodity'!C206),'Escalating commodity'!C206))</f>
        <v/>
      </c>
      <c r="AI193" s="207" t="str">
        <f aca="false">IF($A194="","",AH193)</f>
        <v/>
      </c>
      <c r="AJ193" s="208" t="e">
        <f aca="false">A193+DAY(EOMONTH(A193,0))/2-1</f>
        <v>#VALUE!</v>
      </c>
      <c r="AK193" s="209" t="str">
        <f aca="false">IF($A194="","",$A193-$E$1)</f>
        <v/>
      </c>
      <c r="AL193" s="182" t="str">
        <f aca="false">IF($A194="","",SPRDOPT(P193,X193,AI193,0,AB193,AE193,AF193,AK193,$AJ$2,0))</f>
        <v/>
      </c>
      <c r="AM193" s="210" t="str">
        <f aca="false">IF($A194="","",MAX(0,O193-W193-AI193))</f>
        <v/>
      </c>
      <c r="AN193" s="211" t="str">
        <f aca="false">IF($A194="","",AL193-AM193)</f>
        <v/>
      </c>
      <c r="AO193" s="137" t="str">
        <f aca="false">IF(A194="","",A194-A193)</f>
        <v/>
      </c>
      <c r="AP193" s="212" t="str">
        <f aca="false">IF(A194="","",CHOOSE(F$3,A194+24,A193))</f>
        <v/>
      </c>
      <c r="AQ193" s="209" t="str">
        <f aca="false">IF(A194="","",AP193-$E$1)</f>
        <v/>
      </c>
      <c r="AR193" s="185" t="n">
        <f aca="false">IF(Summary!$H$2=1,VLOOKUP('ANR OK vs ML7'!A193,Curves!$C$17:$AR$273,MATCH('ANR OK vs ML7'!$AR$4,Curves!$C$8:$AQ$8,0)),0.1)</f>
        <v>0.1</v>
      </c>
      <c r="AS193" s="213" t="str">
        <f aca="false">IF(A194="","",1/(1+CHOOSE(F$3,(AR194+($I$3/10000))/2,(AR193+($I$3/10000))/2))^(2*AQ193/365.25))</f>
        <v/>
      </c>
      <c r="AT193" s="137" t="str">
        <f aca="false">IF(A194="","",IF(AND(mthbeg&lt;=A193,mthend&gt;=A193),1,0))</f>
        <v/>
      </c>
      <c r="AU193" s="137" t="str">
        <f aca="false">IF(A194="","",AO193*AT193)</f>
        <v/>
      </c>
      <c r="AW193" s="195" t="str">
        <f aca="false">IF($A194="","",AL193*$E193)</f>
        <v/>
      </c>
      <c r="AX193" s="195" t="str">
        <f aca="false">IF($A194="","",AM193*$E193)</f>
        <v/>
      </c>
      <c r="AY193" s="195" t="str">
        <f aca="false">IF($A194="","",AN193*$E193)</f>
        <v/>
      </c>
      <c r="BA193" s="195" t="str">
        <f aca="false">IF($A194="","",F193*Summary!$Q$7)</f>
        <v/>
      </c>
    </row>
    <row r="194" customFormat="false" ht="12" hidden="false" customHeight="true" outlineLevel="0" collapsed="false">
      <c r="A194" s="196" t="str">
        <f aca="false">IF(A193&lt;mthend,EDATE(A193,1),"")</f>
        <v/>
      </c>
      <c r="B194" s="197" t="str">
        <f aca="false">IF(A194&lt;mthend,B193,"")</f>
        <v/>
      </c>
      <c r="C194" s="215"/>
      <c r="D194" s="197" t="str">
        <f aca="false">IF(A195&lt;&gt;"",B194+C194,"")</f>
        <v/>
      </c>
      <c r="E194" s="199" t="str">
        <f aca="false">IF(A195="","",IF(AND(AT194=1,$H$3=1),D194*AO194,IF($H$3=2,D194,"N/A")))</f>
        <v/>
      </c>
      <c r="F194" s="199" t="str">
        <f aca="false">IF(A195="","",E194*AS194)</f>
        <v/>
      </c>
      <c r="G194" s="200" t="str">
        <f aca="false">IF($A195="","",VLOOKUP($A194,Table,MATCH(G$4,Curves,0)))</f>
        <v/>
      </c>
      <c r="H194" s="201" t="str">
        <f aca="false">IF(A195="","",G194)</f>
        <v/>
      </c>
      <c r="I194" s="202"/>
      <c r="J194" s="200" t="str">
        <f aca="false">IF($A195="","",VLOOKUP($A194,Table,MATCH(J$4,Curves,0)))</f>
        <v/>
      </c>
      <c r="K194" s="201" t="str">
        <f aca="false">IF(A195="","",J194)</f>
        <v/>
      </c>
      <c r="L194" s="200" t="str">
        <f aca="false">IF($A195="","",VLOOKUP($A194,Table,MATCH(L$4,Curves,0)))</f>
        <v/>
      </c>
      <c r="M194" s="201" t="str">
        <f aca="false">IF(A195="","",L194)</f>
        <v/>
      </c>
      <c r="N194" s="203"/>
      <c r="O194" s="200" t="str">
        <f aca="false">IF(A195="","",L194+J194+G194)</f>
        <v/>
      </c>
      <c r="P194" s="200" t="str">
        <f aca="false">IF(A195="","",M194+K194+H194)</f>
        <v/>
      </c>
      <c r="Q194" s="204"/>
      <c r="R194" s="200" t="str">
        <f aca="false">IF($A195="","",VLOOKUP($A194,Table,MATCH(R$4,Curves,0)))</f>
        <v/>
      </c>
      <c r="S194" s="201" t="str">
        <f aca="false">IF(A195="","",R194)</f>
        <v/>
      </c>
      <c r="T194" s="200" t="str">
        <f aca="false">IF($A195="","",VLOOKUP($A194,Table,MATCH(T$4,Curves,0)))</f>
        <v/>
      </c>
      <c r="U194" s="201" t="str">
        <f aca="false">IF(A195="","",T194)</f>
        <v/>
      </c>
      <c r="V194" s="183" t="str">
        <f aca="false">IF($A195="","",IF(AND(MONTH(A194)&gt;3,MONTH(A194)&lt;11),(T194+R194+G194)*Summary!$T$7/(1-Summary!$T$7),(T194+R194+G194)*Summary!$U$7/(1-Summary!$U$7)))</f>
        <v/>
      </c>
      <c r="W194" s="200" t="str">
        <f aca="false">IF($A195="","",(T194+R194+G194+V194))</f>
        <v/>
      </c>
      <c r="X194" s="200" t="str">
        <f aca="false">IF($A195="","",(U194+S194+H194+V194))</f>
        <v/>
      </c>
      <c r="Y194" s="202"/>
      <c r="Z194" s="185" t="str">
        <f aca="false">IF($A195="","",VLOOKUP($A194,Table,MATCH(Z$4,Curves,0)))</f>
        <v/>
      </c>
      <c r="AA194" s="185" t="str">
        <f aca="false">IF($A195="","",VLOOKUP($A194,Table,MATCH(AA$4,Curves,0)))</f>
        <v/>
      </c>
      <c r="AB194" s="185" t="e">
        <f aca="false">SQRT((AA194^2*(A194-$D$3)+Z194^2*(DAY(EOMONTH(A194,0))/2))/AK194)</f>
        <v>#VALUE!</v>
      </c>
      <c r="AC194" s="185" t="str">
        <f aca="false">IF($A195="","",VLOOKUP($A194,Table,MATCH(AC$4,Curves,0)))</f>
        <v/>
      </c>
      <c r="AD194" s="185" t="str">
        <f aca="false">IF($A195="","",VLOOKUP($A194,Table,MATCH(AD$4,Curves,0)))</f>
        <v/>
      </c>
      <c r="AE194" s="185" t="e">
        <f aca="false">SQRT((AD194^2*(A194-$D$3)+AC194^2*(DAY(EOMONTH(A194,0))/2))/AK194)</f>
        <v>#VALUE!</v>
      </c>
      <c r="AF194" s="206" t="e">
        <f aca="false">((Summary!$N$7*(AA194*AD194)*(A194-$D$3))+(Summary!$M$7*Z194*AC194*(DAY(EOMONTH(A194,0))/2)))/(AK194*AB194*AE194)</f>
        <v>#VALUE!</v>
      </c>
      <c r="AG194" s="207" t="str">
        <f aca="false">IF($A195="","",Summary!$Q$7)</f>
        <v/>
      </c>
      <c r="AH194" s="207" t="str">
        <f aca="false">IF($A195="","",IF(Summary!$R$7="Y",(VLOOKUP($A194,Summary!$AD$6:$AF$9,3)+'Escalating commodity'!C207),'Escalating commodity'!C207))</f>
        <v/>
      </c>
      <c r="AI194" s="207" t="str">
        <f aca="false">IF($A195="","",AH194)</f>
        <v/>
      </c>
      <c r="AJ194" s="208" t="e">
        <f aca="false">A194+DAY(EOMONTH(A194,0))/2-1</f>
        <v>#VALUE!</v>
      </c>
      <c r="AK194" s="209" t="str">
        <f aca="false">IF($A195="","",$A194-$E$1)</f>
        <v/>
      </c>
      <c r="AL194" s="182" t="str">
        <f aca="false">IF($A195="","",SPRDOPT(P194,X194,AI194,0,AB194,AE194,AF194,AK194,$AJ$2,0))</f>
        <v/>
      </c>
      <c r="AM194" s="210" t="str">
        <f aca="false">IF($A195="","",MAX(0,O194-W194-AI194))</f>
        <v/>
      </c>
      <c r="AN194" s="211" t="str">
        <f aca="false">IF($A195="","",AL194-AM194)</f>
        <v/>
      </c>
      <c r="AO194" s="137" t="str">
        <f aca="false">IF(A195="","",A195-A194)</f>
        <v/>
      </c>
      <c r="AP194" s="212" t="str">
        <f aca="false">IF(A195="","",CHOOSE(F$3,A195+24,A194))</f>
        <v/>
      </c>
      <c r="AQ194" s="209" t="str">
        <f aca="false">IF(A195="","",AP194-$E$1)</f>
        <v/>
      </c>
      <c r="AR194" s="185" t="n">
        <f aca="false">IF(Summary!$H$2=1,VLOOKUP('ANR OK vs ML7'!A194,Curves!$C$17:$AR$273,MATCH('ANR OK vs ML7'!$AR$4,Curves!$C$8:$AQ$8,0)),0.1)</f>
        <v>0.1</v>
      </c>
      <c r="AS194" s="213" t="str">
        <f aca="false">IF(A195="","",1/(1+CHOOSE(F$3,(AR195+($I$3/10000))/2,(AR194+($I$3/10000))/2))^(2*AQ194/365.25))</f>
        <v/>
      </c>
      <c r="AT194" s="137" t="str">
        <f aca="false">IF(A195="","",IF(AND(mthbeg&lt;=A194,mthend&gt;=A194),1,0))</f>
        <v/>
      </c>
      <c r="AU194" s="137" t="str">
        <f aca="false">IF(A195="","",AO194*AT194)</f>
        <v/>
      </c>
      <c r="AW194" s="195" t="str">
        <f aca="false">IF($A195="","",AL194*$E194)</f>
        <v/>
      </c>
      <c r="AX194" s="195" t="str">
        <f aca="false">IF($A195="","",AM194*$E194)</f>
        <v/>
      </c>
      <c r="AY194" s="195" t="str">
        <f aca="false">IF($A195="","",AN194*$E194)</f>
        <v/>
      </c>
      <c r="BA194" s="195" t="str">
        <f aca="false">IF($A195="","",F194*Summary!$Q$7)</f>
        <v/>
      </c>
    </row>
    <row r="195" customFormat="false" ht="12" hidden="false" customHeight="true" outlineLevel="0" collapsed="false">
      <c r="A195" s="196" t="str">
        <f aca="false">IF(A194&lt;mthend,EDATE(A194,1),"")</f>
        <v/>
      </c>
      <c r="B195" s="197" t="str">
        <f aca="false">IF(A195&lt;mthend,B194,"")</f>
        <v/>
      </c>
      <c r="C195" s="215"/>
      <c r="D195" s="197" t="str">
        <f aca="false">IF(A196&lt;&gt;"",B195+C195,"")</f>
        <v/>
      </c>
      <c r="E195" s="199" t="str">
        <f aca="false">IF(A196="","",IF(AND(AT195=1,$H$3=1),D195*AO195,IF($H$3=2,D195,"N/A")))</f>
        <v/>
      </c>
      <c r="F195" s="199" t="str">
        <f aca="false">IF(A196="","",E195*AS195)</f>
        <v/>
      </c>
      <c r="G195" s="200" t="str">
        <f aca="false">IF($A196="","",VLOOKUP($A195,Table,MATCH(G$4,Curves,0)))</f>
        <v/>
      </c>
      <c r="H195" s="201" t="str">
        <f aca="false">IF(A196="","",G195)</f>
        <v/>
      </c>
      <c r="I195" s="202"/>
      <c r="J195" s="200" t="str">
        <f aca="false">IF($A196="","",VLOOKUP($A195,Table,MATCH(J$4,Curves,0)))</f>
        <v/>
      </c>
      <c r="K195" s="201" t="str">
        <f aca="false">IF(A196="","",J195)</f>
        <v/>
      </c>
      <c r="L195" s="200" t="str">
        <f aca="false">IF($A196="","",VLOOKUP($A195,Table,MATCH(L$4,Curves,0)))</f>
        <v/>
      </c>
      <c r="M195" s="201" t="str">
        <f aca="false">IF(A196="","",L195)</f>
        <v/>
      </c>
      <c r="N195" s="203"/>
      <c r="O195" s="200" t="str">
        <f aca="false">IF(A196="","",L195+J195+G195)</f>
        <v/>
      </c>
      <c r="P195" s="200" t="str">
        <f aca="false">IF(A196="","",M195+K195+H195)</f>
        <v/>
      </c>
      <c r="Q195" s="204"/>
      <c r="R195" s="200" t="str">
        <f aca="false">IF($A196="","",VLOOKUP($A195,Table,MATCH(R$4,Curves,0)))</f>
        <v/>
      </c>
      <c r="S195" s="201" t="str">
        <f aca="false">IF(A196="","",R195)</f>
        <v/>
      </c>
      <c r="T195" s="200" t="str">
        <f aca="false">IF($A196="","",VLOOKUP($A195,Table,MATCH(T$4,Curves,0)))</f>
        <v/>
      </c>
      <c r="U195" s="201" t="str">
        <f aca="false">IF(A196="","",T195)</f>
        <v/>
      </c>
      <c r="V195" s="183" t="str">
        <f aca="false">IF($A196="","",IF(AND(MONTH(A195)&gt;3,MONTH(A195)&lt;11),(T195+R195+G195)*Summary!$T$7/(1-Summary!$T$7),(T195+R195+G195)*Summary!$U$7/(1-Summary!$U$7)))</f>
        <v/>
      </c>
      <c r="W195" s="200" t="str">
        <f aca="false">IF($A196="","",(T195+R195+G195+V195))</f>
        <v/>
      </c>
      <c r="X195" s="200" t="str">
        <f aca="false">IF($A196="","",(U195+S195+H195+V195))</f>
        <v/>
      </c>
      <c r="Y195" s="202"/>
      <c r="Z195" s="185" t="str">
        <f aca="false">IF($A196="","",VLOOKUP($A195,Table,MATCH(Z$4,Curves,0)))</f>
        <v/>
      </c>
      <c r="AA195" s="185" t="str">
        <f aca="false">IF($A196="","",VLOOKUP($A195,Table,MATCH(AA$4,Curves,0)))</f>
        <v/>
      </c>
      <c r="AB195" s="185" t="e">
        <f aca="false">SQRT((AA195^2*(A195-$D$3)+Z195^2*(DAY(EOMONTH(A195,0))/2))/AK195)</f>
        <v>#VALUE!</v>
      </c>
      <c r="AC195" s="185" t="str">
        <f aca="false">IF($A196="","",VLOOKUP($A195,Table,MATCH(AC$4,Curves,0)))</f>
        <v/>
      </c>
      <c r="AD195" s="185" t="str">
        <f aca="false">IF($A196="","",VLOOKUP($A195,Table,MATCH(AD$4,Curves,0)))</f>
        <v/>
      </c>
      <c r="AE195" s="185" t="e">
        <f aca="false">SQRT((AD195^2*(A195-$D$3)+AC195^2*(DAY(EOMONTH(A195,0))/2))/AK195)</f>
        <v>#VALUE!</v>
      </c>
      <c r="AF195" s="206" t="e">
        <f aca="false">((Summary!$N$7*(AA195*AD195)*(A195-$D$3))+(Summary!$M$7*Z195*AC195*(DAY(EOMONTH(A195,0))/2)))/(AK195*AB195*AE195)</f>
        <v>#VALUE!</v>
      </c>
      <c r="AG195" s="207" t="str">
        <f aca="false">IF($A196="","",Summary!$Q$7)</f>
        <v/>
      </c>
      <c r="AH195" s="207" t="str">
        <f aca="false">IF($A196="","",IF(Summary!$R$7="Y",(VLOOKUP($A195,Summary!$AD$6:$AF$9,3)+'Escalating commodity'!C208),'Escalating commodity'!C208))</f>
        <v/>
      </c>
      <c r="AI195" s="207" t="str">
        <f aca="false">IF($A196="","",AH195)</f>
        <v/>
      </c>
      <c r="AJ195" s="208" t="e">
        <f aca="false">A195+DAY(EOMONTH(A195,0))/2-1</f>
        <v>#VALUE!</v>
      </c>
      <c r="AK195" s="209" t="str">
        <f aca="false">IF($A196="","",$A195-$E$1)</f>
        <v/>
      </c>
      <c r="AL195" s="182" t="str">
        <f aca="false">IF($A196="","",SPRDOPT(P195,X195,AI195,0,AB195,AE195,AF195,AK195,$AJ$2,0))</f>
        <v/>
      </c>
      <c r="AM195" s="210" t="str">
        <f aca="false">IF($A196="","",MAX(0,O195-W195-AI195))</f>
        <v/>
      </c>
      <c r="AN195" s="211" t="str">
        <f aca="false">IF($A196="","",AL195-AM195)</f>
        <v/>
      </c>
      <c r="AO195" s="137" t="str">
        <f aca="false">IF(A196="","",A196-A195)</f>
        <v/>
      </c>
      <c r="AP195" s="212" t="str">
        <f aca="false">IF(A196="","",CHOOSE(F$3,A196+24,A195))</f>
        <v/>
      </c>
      <c r="AQ195" s="209" t="str">
        <f aca="false">IF(A196="","",AP195-$E$1)</f>
        <v/>
      </c>
      <c r="AR195" s="185" t="n">
        <f aca="false">IF(Summary!$H$2=1,VLOOKUP('ANR OK vs ML7'!A195,Curves!$C$17:$AR$273,MATCH('ANR OK vs ML7'!$AR$4,Curves!$C$8:$AQ$8,0)),0.1)</f>
        <v>0.1</v>
      </c>
      <c r="AS195" s="213" t="str">
        <f aca="false">IF(A196="","",1/(1+CHOOSE(F$3,(AR196+($I$3/10000))/2,(AR195+($I$3/10000))/2))^(2*AQ195/365.25))</f>
        <v/>
      </c>
      <c r="AT195" s="137" t="str">
        <f aca="false">IF(A196="","",IF(AND(mthbeg&lt;=A195,mthend&gt;=A195),1,0))</f>
        <v/>
      </c>
      <c r="AU195" s="137" t="str">
        <f aca="false">IF(A196="","",AO195*AT195)</f>
        <v/>
      </c>
      <c r="AW195" s="195" t="str">
        <f aca="false">IF($A196="","",AL195*$E195)</f>
        <v/>
      </c>
      <c r="AX195" s="195" t="str">
        <f aca="false">IF($A196="","",AM195*$E195)</f>
        <v/>
      </c>
      <c r="AY195" s="195" t="str">
        <f aca="false">IF($A196="","",AN195*$E195)</f>
        <v/>
      </c>
      <c r="BA195" s="195" t="str">
        <f aca="false">IF($A196="","",F195*Summary!$Q$7)</f>
        <v/>
      </c>
    </row>
    <row r="196" customFormat="false" ht="12" hidden="false" customHeight="true" outlineLevel="0" collapsed="false">
      <c r="A196" s="196" t="str">
        <f aca="false">IF(A195&lt;mthend,EDATE(A195,1),"")</f>
        <v/>
      </c>
      <c r="B196" s="197" t="str">
        <f aca="false">IF(A196&lt;mthend,B195,"")</f>
        <v/>
      </c>
      <c r="C196" s="215"/>
      <c r="D196" s="197" t="str">
        <f aca="false">IF(A197&lt;&gt;"",B196+C196,"")</f>
        <v/>
      </c>
      <c r="E196" s="199" t="str">
        <f aca="false">IF(A197="","",IF(AND(AT196=1,$H$3=1),D196*AO196,IF($H$3=2,D196,"N/A")))</f>
        <v/>
      </c>
      <c r="F196" s="199" t="str">
        <f aca="false">IF(A197="","",E196*AS196)</f>
        <v/>
      </c>
      <c r="G196" s="200" t="str">
        <f aca="false">IF($A197="","",VLOOKUP($A196,Table,MATCH(G$4,Curves,0)))</f>
        <v/>
      </c>
      <c r="H196" s="201" t="str">
        <f aca="false">IF(A197="","",G196)</f>
        <v/>
      </c>
      <c r="I196" s="202"/>
      <c r="J196" s="200" t="str">
        <f aca="false">IF($A197="","",VLOOKUP($A196,Table,MATCH(J$4,Curves,0)))</f>
        <v/>
      </c>
      <c r="K196" s="201" t="str">
        <f aca="false">IF(A197="","",J196)</f>
        <v/>
      </c>
      <c r="L196" s="200" t="str">
        <f aca="false">IF($A197="","",VLOOKUP($A196,Table,MATCH(L$4,Curves,0)))</f>
        <v/>
      </c>
      <c r="M196" s="201" t="str">
        <f aca="false">IF(A197="","",L196)</f>
        <v/>
      </c>
      <c r="N196" s="203"/>
      <c r="O196" s="200" t="str">
        <f aca="false">IF(A197="","",L196+J196+G196)</f>
        <v/>
      </c>
      <c r="P196" s="200" t="str">
        <f aca="false">IF(A197="","",M196+K196+H196)</f>
        <v/>
      </c>
      <c r="Q196" s="204"/>
      <c r="R196" s="200" t="str">
        <f aca="false">IF($A197="","",VLOOKUP($A196,Table,MATCH(R$4,Curves,0)))</f>
        <v/>
      </c>
      <c r="S196" s="201" t="str">
        <f aca="false">IF(A197="","",R196)</f>
        <v/>
      </c>
      <c r="T196" s="200" t="str">
        <f aca="false">IF($A197="","",VLOOKUP($A196,Table,MATCH(T$4,Curves,0)))</f>
        <v/>
      </c>
      <c r="U196" s="201" t="str">
        <f aca="false">IF(A197="","",T196)</f>
        <v/>
      </c>
      <c r="V196" s="183" t="str">
        <f aca="false">IF($A197="","",IF(AND(MONTH(A196)&gt;3,MONTH(A196)&lt;11),(T196+R196+G196)*Summary!$T$7/(1-Summary!$T$7),(T196+R196+G196)*Summary!$U$7/(1-Summary!$U$7)))</f>
        <v/>
      </c>
      <c r="W196" s="200" t="str">
        <f aca="false">IF($A197="","",(T196+R196+G196+V196))</f>
        <v/>
      </c>
      <c r="X196" s="200" t="str">
        <f aca="false">IF($A197="","",(U196+S196+H196+V196))</f>
        <v/>
      </c>
      <c r="Y196" s="202"/>
      <c r="Z196" s="185" t="str">
        <f aca="false">IF($A197="","",VLOOKUP($A196,Table,MATCH(Z$4,Curves,0)))</f>
        <v/>
      </c>
      <c r="AA196" s="185" t="str">
        <f aca="false">IF($A197="","",VLOOKUP($A196,Table,MATCH(AA$4,Curves,0)))</f>
        <v/>
      </c>
      <c r="AB196" s="185" t="e">
        <f aca="false">SQRT((AA196^2*(A196-$D$3)+Z196^2*(DAY(EOMONTH(A196,0))/2))/AK196)</f>
        <v>#VALUE!</v>
      </c>
      <c r="AC196" s="185" t="str">
        <f aca="false">IF($A197="","",VLOOKUP($A196,Table,MATCH(AC$4,Curves,0)))</f>
        <v/>
      </c>
      <c r="AD196" s="185" t="str">
        <f aca="false">IF($A197="","",VLOOKUP($A196,Table,MATCH(AD$4,Curves,0)))</f>
        <v/>
      </c>
      <c r="AE196" s="185" t="e">
        <f aca="false">SQRT((AD196^2*(A196-$D$3)+AC196^2*(DAY(EOMONTH(A196,0))/2))/AK196)</f>
        <v>#VALUE!</v>
      </c>
      <c r="AF196" s="206" t="e">
        <f aca="false">((Summary!$N$7*(AA196*AD196)*(A196-$D$3))+(Summary!$M$7*Z196*AC196*(DAY(EOMONTH(A196,0))/2)))/(AK196*AB196*AE196)</f>
        <v>#VALUE!</v>
      </c>
      <c r="AG196" s="207" t="str">
        <f aca="false">IF($A197="","",Summary!$Q$7)</f>
        <v/>
      </c>
      <c r="AH196" s="207" t="str">
        <f aca="false">IF($A197="","",IF(Summary!$R$7="Y",(VLOOKUP($A196,Summary!$AD$6:$AF$9,3)+'Escalating commodity'!C209),'Escalating commodity'!C209))</f>
        <v/>
      </c>
      <c r="AI196" s="207" t="str">
        <f aca="false">IF($A197="","",AH196)</f>
        <v/>
      </c>
      <c r="AJ196" s="208" t="e">
        <f aca="false">A196+DAY(EOMONTH(A196,0))/2-1</f>
        <v>#VALUE!</v>
      </c>
      <c r="AK196" s="209" t="str">
        <f aca="false">IF($A197="","",$A196-$E$1)</f>
        <v/>
      </c>
      <c r="AL196" s="182" t="str">
        <f aca="false">IF($A197="","",SPRDOPT(P196,X196,AI196,0,AB196,AE196,AF196,AK196,$AJ$2,0))</f>
        <v/>
      </c>
      <c r="AM196" s="210" t="str">
        <f aca="false">IF($A197="","",MAX(0,O196-W196-AI196))</f>
        <v/>
      </c>
      <c r="AN196" s="211" t="str">
        <f aca="false">IF($A197="","",AL196-AM196)</f>
        <v/>
      </c>
      <c r="AO196" s="137" t="str">
        <f aca="false">IF(A197="","",A197-A196)</f>
        <v/>
      </c>
      <c r="AP196" s="212" t="str">
        <f aca="false">IF(A197="","",CHOOSE(F$3,A197+24,A196))</f>
        <v/>
      </c>
      <c r="AQ196" s="209" t="str">
        <f aca="false">IF(A197="","",AP196-$E$1)</f>
        <v/>
      </c>
      <c r="AR196" s="185" t="n">
        <f aca="false">IF(Summary!$H$2=1,VLOOKUP('ANR OK vs ML7'!A196,Curves!$C$17:$AR$273,MATCH('ANR OK vs ML7'!$AR$4,Curves!$C$8:$AQ$8,0)),0.1)</f>
        <v>0.1</v>
      </c>
      <c r="AS196" s="213" t="str">
        <f aca="false">IF(A197="","",1/(1+CHOOSE(F$3,(AR197+($I$3/10000))/2,(AR196+($I$3/10000))/2))^(2*AQ196/365.25))</f>
        <v/>
      </c>
      <c r="AT196" s="137" t="str">
        <f aca="false">IF(A197="","",IF(AND(mthbeg&lt;=A196,mthend&gt;=A196),1,0))</f>
        <v/>
      </c>
      <c r="AU196" s="137" t="str">
        <f aca="false">IF(A197="","",AO196*AT196)</f>
        <v/>
      </c>
      <c r="AW196" s="195" t="str">
        <f aca="false">IF($A197="","",AL196*$E196)</f>
        <v/>
      </c>
      <c r="AX196" s="195" t="str">
        <f aca="false">IF($A197="","",AM196*$E196)</f>
        <v/>
      </c>
      <c r="AY196" s="195" t="str">
        <f aca="false">IF($A197="","",AN196*$E196)</f>
        <v/>
      </c>
      <c r="BA196" s="195" t="str">
        <f aca="false">IF($A197="","",F196*Summary!$Q$7)</f>
        <v/>
      </c>
    </row>
    <row r="197" customFormat="false" ht="12" hidden="false" customHeight="true" outlineLevel="0" collapsed="false">
      <c r="A197" s="196" t="str">
        <f aca="false">IF(A196&lt;mthend,EDATE(A196,1),"")</f>
        <v/>
      </c>
      <c r="B197" s="197" t="str">
        <f aca="false">IF(A197&lt;mthend,B196,"")</f>
        <v/>
      </c>
      <c r="C197" s="215"/>
      <c r="D197" s="197" t="str">
        <f aca="false">IF(A198&lt;&gt;"",B197+C197,"")</f>
        <v/>
      </c>
      <c r="E197" s="199" t="str">
        <f aca="false">IF(A198="","",IF(AND(AT197=1,$H$3=1),D197*AO197,IF($H$3=2,D197,"N/A")))</f>
        <v/>
      </c>
      <c r="F197" s="199" t="str">
        <f aca="false">IF(A198="","",E197*AS197)</f>
        <v/>
      </c>
      <c r="G197" s="200" t="str">
        <f aca="false">IF($A198="","",VLOOKUP($A197,Table,MATCH(G$4,Curves,0)))</f>
        <v/>
      </c>
      <c r="H197" s="201" t="str">
        <f aca="false">IF(A198="","",G197)</f>
        <v/>
      </c>
      <c r="I197" s="202"/>
      <c r="J197" s="200" t="str">
        <f aca="false">IF($A198="","",VLOOKUP($A197,Table,MATCH(J$4,Curves,0)))</f>
        <v/>
      </c>
      <c r="K197" s="201" t="str">
        <f aca="false">IF(A198="","",J197)</f>
        <v/>
      </c>
      <c r="L197" s="200" t="str">
        <f aca="false">IF($A198="","",VLOOKUP($A197,Table,MATCH(L$4,Curves,0)))</f>
        <v/>
      </c>
      <c r="M197" s="201" t="str">
        <f aca="false">IF(A198="","",L197)</f>
        <v/>
      </c>
      <c r="N197" s="203"/>
      <c r="O197" s="200" t="str">
        <f aca="false">IF(A198="","",L197+J197+G197)</f>
        <v/>
      </c>
      <c r="P197" s="200" t="str">
        <f aca="false">IF(A198="","",M197+K197+H197)</f>
        <v/>
      </c>
      <c r="Q197" s="204"/>
      <c r="R197" s="200" t="str">
        <f aca="false">IF($A198="","",VLOOKUP($A197,Table,MATCH(R$4,Curves,0)))</f>
        <v/>
      </c>
      <c r="S197" s="201" t="str">
        <f aca="false">IF(A198="","",R197)</f>
        <v/>
      </c>
      <c r="T197" s="200" t="str">
        <f aca="false">IF($A198="","",VLOOKUP($A197,Table,MATCH(T$4,Curves,0)))</f>
        <v/>
      </c>
      <c r="U197" s="201" t="str">
        <f aca="false">IF(A198="","",T197)</f>
        <v/>
      </c>
      <c r="V197" s="183" t="str">
        <f aca="false">IF($A198="","",IF(AND(MONTH(A197)&gt;3,MONTH(A197)&lt;11),(T197+R197+G197)*Summary!$T$7/(1-Summary!$T$7),(T197+R197+G197)*Summary!$U$7/(1-Summary!$U$7)))</f>
        <v/>
      </c>
      <c r="W197" s="200" t="str">
        <f aca="false">IF($A198="","",(T197+R197+G197+V197))</f>
        <v/>
      </c>
      <c r="X197" s="200" t="str">
        <f aca="false">IF($A198="","",(U197+S197+H197+V197))</f>
        <v/>
      </c>
      <c r="Y197" s="202"/>
      <c r="Z197" s="185" t="str">
        <f aca="false">IF($A198="","",VLOOKUP($A197,Table,MATCH(Z$4,Curves,0)))</f>
        <v/>
      </c>
      <c r="AA197" s="185" t="str">
        <f aca="false">IF($A198="","",VLOOKUP($A197,Table,MATCH(AA$4,Curves,0)))</f>
        <v/>
      </c>
      <c r="AB197" s="185" t="e">
        <f aca="false">SQRT((AA197^2*(A197-$D$3)+Z197^2*(DAY(EOMONTH(A197,0))/2))/AK197)</f>
        <v>#VALUE!</v>
      </c>
      <c r="AC197" s="185" t="str">
        <f aca="false">IF($A198="","",VLOOKUP($A197,Table,MATCH(AC$4,Curves,0)))</f>
        <v/>
      </c>
      <c r="AD197" s="185" t="str">
        <f aca="false">IF($A198="","",VLOOKUP($A197,Table,MATCH(AD$4,Curves,0)))</f>
        <v/>
      </c>
      <c r="AE197" s="185" t="e">
        <f aca="false">SQRT((AD197^2*(A197-$D$3)+AC197^2*(DAY(EOMONTH(A197,0))/2))/AK197)</f>
        <v>#VALUE!</v>
      </c>
      <c r="AF197" s="206" t="e">
        <f aca="false">((Summary!$N$7*(AA197*AD197)*(A197-$D$3))+(Summary!$M$7*Z197*AC197*(DAY(EOMONTH(A197,0))/2)))/(AK197*AB197*AE197)</f>
        <v>#VALUE!</v>
      </c>
      <c r="AG197" s="207" t="str">
        <f aca="false">IF($A198="","",Summary!$Q$7)</f>
        <v/>
      </c>
      <c r="AH197" s="207" t="str">
        <f aca="false">IF($A198="","",IF(Summary!$R$7="Y",(VLOOKUP($A197,Summary!$AD$6:$AF$9,3)+'Escalating commodity'!C210),'Escalating commodity'!C210))</f>
        <v/>
      </c>
      <c r="AI197" s="207" t="str">
        <f aca="false">IF($A198="","",AH197)</f>
        <v/>
      </c>
      <c r="AJ197" s="208" t="e">
        <f aca="false">A197+DAY(EOMONTH(A197,0))/2-1</f>
        <v>#VALUE!</v>
      </c>
      <c r="AK197" s="209" t="str">
        <f aca="false">IF($A198="","",$A197-$E$1)</f>
        <v/>
      </c>
      <c r="AL197" s="182" t="str">
        <f aca="false">IF($A198="","",SPRDOPT(P197,X197,AI197,0,AB197,AE197,AF197,AK197,$AJ$2,0))</f>
        <v/>
      </c>
      <c r="AM197" s="210" t="str">
        <f aca="false">IF($A198="","",MAX(0,O197-W197-AI197))</f>
        <v/>
      </c>
      <c r="AN197" s="211" t="str">
        <f aca="false">IF($A198="","",AL197-AM197)</f>
        <v/>
      </c>
      <c r="AO197" s="137" t="str">
        <f aca="false">IF(A198="","",A198-A197)</f>
        <v/>
      </c>
      <c r="AP197" s="212" t="str">
        <f aca="false">IF(A198="","",CHOOSE(F$3,A198+24,A197))</f>
        <v/>
      </c>
      <c r="AQ197" s="209" t="str">
        <f aca="false">IF(A198="","",AP197-$E$1)</f>
        <v/>
      </c>
      <c r="AR197" s="185" t="n">
        <f aca="false">IF(Summary!$H$2=1,VLOOKUP('ANR OK vs ML7'!A197,Curves!$C$17:$AR$273,MATCH('ANR OK vs ML7'!$AR$4,Curves!$C$8:$AQ$8,0)),0.1)</f>
        <v>0.1</v>
      </c>
      <c r="AS197" s="213" t="str">
        <f aca="false">IF(A198="","",1/(1+CHOOSE(F$3,(AR198+($I$3/10000))/2,(AR197+($I$3/10000))/2))^(2*AQ197/365.25))</f>
        <v/>
      </c>
      <c r="AT197" s="137" t="str">
        <f aca="false">IF(A198="","",IF(AND(mthbeg&lt;=A197,mthend&gt;=A197),1,0))</f>
        <v/>
      </c>
      <c r="AU197" s="137" t="str">
        <f aca="false">IF(A198="","",AO197*AT197)</f>
        <v/>
      </c>
      <c r="AW197" s="195" t="str">
        <f aca="false">IF($A198="","",AL197*$E197)</f>
        <v/>
      </c>
      <c r="AX197" s="195" t="str">
        <f aca="false">IF($A198="","",AM197*$E197)</f>
        <v/>
      </c>
      <c r="AY197" s="195" t="str">
        <f aca="false">IF($A198="","",AN197*$E197)</f>
        <v/>
      </c>
      <c r="BA197" s="195" t="str">
        <f aca="false">IF($A198="","",F197*Summary!$Q$7)</f>
        <v/>
      </c>
    </row>
    <row r="198" customFormat="false" ht="12" hidden="false" customHeight="true" outlineLevel="0" collapsed="false">
      <c r="A198" s="196" t="str">
        <f aca="false">IF(A197&lt;mthend,EDATE(A197,1),"")</f>
        <v/>
      </c>
      <c r="B198" s="197" t="str">
        <f aca="false">IF(A198&lt;mthend,B197,"")</f>
        <v/>
      </c>
      <c r="C198" s="215"/>
      <c r="D198" s="197" t="str">
        <f aca="false">IF(A199&lt;&gt;"",B198+C198,"")</f>
        <v/>
      </c>
      <c r="E198" s="199" t="str">
        <f aca="false">IF(A199="","",IF(AND(AT198=1,$H$3=1),D198*AO198,IF($H$3=2,D198,"N/A")))</f>
        <v/>
      </c>
      <c r="F198" s="199" t="str">
        <f aca="false">IF(A199="","",E198*AS198)</f>
        <v/>
      </c>
      <c r="G198" s="200" t="str">
        <f aca="false">IF($A199="","",VLOOKUP($A198,Table,MATCH(G$4,Curves,0)))</f>
        <v/>
      </c>
      <c r="H198" s="201" t="str">
        <f aca="false">IF(A199="","",G198)</f>
        <v/>
      </c>
      <c r="I198" s="202"/>
      <c r="J198" s="200" t="str">
        <f aca="false">IF($A199="","",VLOOKUP($A198,Table,MATCH(J$4,Curves,0)))</f>
        <v/>
      </c>
      <c r="K198" s="201" t="str">
        <f aca="false">IF(A199="","",J198)</f>
        <v/>
      </c>
      <c r="L198" s="200" t="str">
        <f aca="false">IF($A199="","",VLOOKUP($A198,Table,MATCH(L$4,Curves,0)))</f>
        <v/>
      </c>
      <c r="M198" s="201" t="str">
        <f aca="false">IF(A199="","",L198)</f>
        <v/>
      </c>
      <c r="N198" s="203"/>
      <c r="O198" s="200" t="str">
        <f aca="false">IF(A199="","",L198+J198+G198)</f>
        <v/>
      </c>
      <c r="P198" s="200" t="str">
        <f aca="false">IF(A199="","",M198+K198+H198)</f>
        <v/>
      </c>
      <c r="Q198" s="204"/>
      <c r="R198" s="200" t="str">
        <f aca="false">IF($A199="","",VLOOKUP($A198,Table,MATCH(R$4,Curves,0)))</f>
        <v/>
      </c>
      <c r="S198" s="201" t="str">
        <f aca="false">IF(A199="","",R198)</f>
        <v/>
      </c>
      <c r="T198" s="200" t="str">
        <f aca="false">IF($A199="","",VLOOKUP($A198,Table,MATCH(T$4,Curves,0)))</f>
        <v/>
      </c>
      <c r="U198" s="201" t="str">
        <f aca="false">IF(A199="","",T198)</f>
        <v/>
      </c>
      <c r="V198" s="183" t="str">
        <f aca="false">IF($A199="","",IF(AND(MONTH(A198)&gt;3,MONTH(A198)&lt;11),(T198+R198+G198)*Summary!$T$7/(1-Summary!$T$7),(T198+R198+G198)*Summary!$U$7/(1-Summary!$U$7)))</f>
        <v/>
      </c>
      <c r="W198" s="200" t="str">
        <f aca="false">IF($A199="","",(T198+R198+G198+V198))</f>
        <v/>
      </c>
      <c r="X198" s="200" t="str">
        <f aca="false">IF($A199="","",(U198+S198+H198+V198))</f>
        <v/>
      </c>
      <c r="Y198" s="202"/>
      <c r="Z198" s="185" t="str">
        <f aca="false">IF($A199="","",VLOOKUP($A198,Table,MATCH(Z$4,Curves,0)))</f>
        <v/>
      </c>
      <c r="AA198" s="185" t="str">
        <f aca="false">IF($A199="","",VLOOKUP($A198,Table,MATCH(AA$4,Curves,0)))</f>
        <v/>
      </c>
      <c r="AB198" s="185" t="e">
        <f aca="false">SQRT((AA198^2*(A198-$D$3)+Z198^2*(DAY(EOMONTH(A198,0))/2))/AK198)</f>
        <v>#VALUE!</v>
      </c>
      <c r="AC198" s="185" t="str">
        <f aca="false">IF($A199="","",VLOOKUP($A198,Table,MATCH(AC$4,Curves,0)))</f>
        <v/>
      </c>
      <c r="AD198" s="185" t="str">
        <f aca="false">IF($A199="","",VLOOKUP($A198,Table,MATCH(AD$4,Curves,0)))</f>
        <v/>
      </c>
      <c r="AE198" s="185" t="e">
        <f aca="false">SQRT((AD198^2*(A198-$D$3)+AC198^2*(DAY(EOMONTH(A198,0))/2))/AK198)</f>
        <v>#VALUE!</v>
      </c>
      <c r="AF198" s="206" t="e">
        <f aca="false">((Summary!$N$7*(AA198*AD198)*(A198-$D$3))+(Summary!$M$7*Z198*AC198*(DAY(EOMONTH(A198,0))/2)))/(AK198*AB198*AE198)</f>
        <v>#VALUE!</v>
      </c>
      <c r="AG198" s="207" t="str">
        <f aca="false">IF($A199="","",Summary!$Q$7)</f>
        <v/>
      </c>
      <c r="AH198" s="207" t="str">
        <f aca="false">IF($A199="","",IF(Summary!$R$7="Y",(VLOOKUP($A198,Summary!$AD$6:$AF$9,3)+'Escalating commodity'!C211),'Escalating commodity'!C211))</f>
        <v/>
      </c>
      <c r="AI198" s="207" t="str">
        <f aca="false">IF($A199="","",AH198)</f>
        <v/>
      </c>
      <c r="AJ198" s="208" t="e">
        <f aca="false">A198+DAY(EOMONTH(A198,0))/2-1</f>
        <v>#VALUE!</v>
      </c>
      <c r="AK198" s="209" t="str">
        <f aca="false">IF($A199="","",$A198-$E$1)</f>
        <v/>
      </c>
      <c r="AL198" s="182" t="str">
        <f aca="false">IF($A199="","",SPRDOPT(P198,X198,AI198,0,AB198,AE198,AF198,AK198,$AJ$2,0))</f>
        <v/>
      </c>
      <c r="AM198" s="210" t="str">
        <f aca="false">IF($A199="","",MAX(0,O198-W198-AI198))</f>
        <v/>
      </c>
      <c r="AN198" s="211" t="str">
        <f aca="false">IF($A199="","",AL198-AM198)</f>
        <v/>
      </c>
      <c r="AO198" s="137" t="str">
        <f aca="false">IF(A199="","",A199-A198)</f>
        <v/>
      </c>
      <c r="AP198" s="212" t="str">
        <f aca="false">IF(A199="","",CHOOSE(F$3,A199+24,A198))</f>
        <v/>
      </c>
      <c r="AQ198" s="209" t="str">
        <f aca="false">IF(A199="","",AP198-$E$1)</f>
        <v/>
      </c>
      <c r="AR198" s="185" t="n">
        <f aca="false">IF(Summary!$H$2=1,VLOOKUP('ANR OK vs ML7'!A198,Curves!$C$17:$AR$273,MATCH('ANR OK vs ML7'!$AR$4,Curves!$C$8:$AQ$8,0)),0.1)</f>
        <v>0.1</v>
      </c>
      <c r="AS198" s="213" t="str">
        <f aca="false">IF(A199="","",1/(1+CHOOSE(F$3,(AR199+($I$3/10000))/2,(AR198+($I$3/10000))/2))^(2*AQ198/365.25))</f>
        <v/>
      </c>
      <c r="AT198" s="137" t="str">
        <f aca="false">IF(A199="","",IF(AND(mthbeg&lt;=A198,mthend&gt;=A198),1,0))</f>
        <v/>
      </c>
      <c r="AU198" s="137" t="str">
        <f aca="false">IF(A199="","",AO198*AT198)</f>
        <v/>
      </c>
      <c r="AW198" s="195" t="str">
        <f aca="false">IF($A199="","",AL198*$E198)</f>
        <v/>
      </c>
      <c r="AX198" s="195" t="str">
        <f aca="false">IF($A199="","",AM198*$E198)</f>
        <v/>
      </c>
      <c r="AY198" s="195" t="str">
        <f aca="false">IF($A199="","",AN198*$E198)</f>
        <v/>
      </c>
      <c r="BA198" s="195" t="str">
        <f aca="false">IF($A199="","",F198*Summary!$Q$7)</f>
        <v/>
      </c>
    </row>
    <row r="199" customFormat="false" ht="12" hidden="false" customHeight="true" outlineLevel="0" collapsed="false">
      <c r="A199" s="196" t="str">
        <f aca="false">IF(A198&lt;mthend,EDATE(A198,1),"")</f>
        <v/>
      </c>
      <c r="B199" s="197" t="str">
        <f aca="false">IF(A199&lt;mthend,B198,"")</f>
        <v/>
      </c>
      <c r="C199" s="215"/>
      <c r="D199" s="197" t="str">
        <f aca="false">IF(A200&lt;&gt;"",B199+C199,"")</f>
        <v/>
      </c>
      <c r="E199" s="199" t="str">
        <f aca="false">IF(A200="","",IF(AND(AT199=1,$H$3=1),D199*AO199,IF($H$3=2,D199,"N/A")))</f>
        <v/>
      </c>
      <c r="F199" s="199" t="str">
        <f aca="false">IF(A200="","",E199*AS199)</f>
        <v/>
      </c>
      <c r="G199" s="200" t="str">
        <f aca="false">IF($A200="","",VLOOKUP($A199,Table,MATCH(G$4,Curves,0)))</f>
        <v/>
      </c>
      <c r="H199" s="201" t="str">
        <f aca="false">IF(A200="","",G199)</f>
        <v/>
      </c>
      <c r="I199" s="202"/>
      <c r="J199" s="200" t="str">
        <f aca="false">IF($A200="","",VLOOKUP($A199,Table,MATCH(J$4,Curves,0)))</f>
        <v/>
      </c>
      <c r="K199" s="201" t="str">
        <f aca="false">IF(A200="","",J199)</f>
        <v/>
      </c>
      <c r="L199" s="200" t="str">
        <f aca="false">IF($A200="","",VLOOKUP($A199,Table,MATCH(L$4,Curves,0)))</f>
        <v/>
      </c>
      <c r="M199" s="201" t="str">
        <f aca="false">IF(A200="","",L199)</f>
        <v/>
      </c>
      <c r="N199" s="203"/>
      <c r="O199" s="200" t="str">
        <f aca="false">IF(A200="","",L199+J199+G199)</f>
        <v/>
      </c>
      <c r="P199" s="200" t="str">
        <f aca="false">IF(A200="","",M199+K199+H199)</f>
        <v/>
      </c>
      <c r="Q199" s="204"/>
      <c r="R199" s="200" t="str">
        <f aca="false">IF($A200="","",VLOOKUP($A199,Table,MATCH(R$4,Curves,0)))</f>
        <v/>
      </c>
      <c r="S199" s="201" t="str">
        <f aca="false">IF(A200="","",R199)</f>
        <v/>
      </c>
      <c r="T199" s="200" t="str">
        <f aca="false">IF($A200="","",VLOOKUP($A199,Table,MATCH(T$4,Curves,0)))</f>
        <v/>
      </c>
      <c r="U199" s="201" t="str">
        <f aca="false">IF(A200="","",T199)</f>
        <v/>
      </c>
      <c r="V199" s="183" t="str">
        <f aca="false">IF($A200="","",IF(AND(MONTH(A199)&gt;3,MONTH(A199)&lt;11),(T199+R199+G199)*Summary!$T$7/(1-Summary!$T$7),(T199+R199+G199)*Summary!$U$7/(1-Summary!$U$7)))</f>
        <v/>
      </c>
      <c r="W199" s="200" t="str">
        <f aca="false">IF($A200="","",(T199+R199+G199+V199))</f>
        <v/>
      </c>
      <c r="X199" s="200" t="str">
        <f aca="false">IF($A200="","",(U199+S199+H199+V199))</f>
        <v/>
      </c>
      <c r="Y199" s="202"/>
      <c r="Z199" s="185" t="str">
        <f aca="false">IF($A200="","",VLOOKUP($A199,Table,MATCH(Z$4,Curves,0)))</f>
        <v/>
      </c>
      <c r="AA199" s="185" t="str">
        <f aca="false">IF($A200="","",VLOOKUP($A199,Table,MATCH(AA$4,Curves,0)))</f>
        <v/>
      </c>
      <c r="AB199" s="185" t="e">
        <f aca="false">SQRT((AA199^2*(A199-$D$3)+Z199^2*(DAY(EOMONTH(A199,0))/2))/AK199)</f>
        <v>#VALUE!</v>
      </c>
      <c r="AC199" s="185" t="str">
        <f aca="false">IF($A200="","",VLOOKUP($A199,Table,MATCH(AC$4,Curves,0)))</f>
        <v/>
      </c>
      <c r="AD199" s="185" t="str">
        <f aca="false">IF($A200="","",VLOOKUP($A199,Table,MATCH(AD$4,Curves,0)))</f>
        <v/>
      </c>
      <c r="AE199" s="185" t="e">
        <f aca="false">SQRT((AD199^2*(A199-$D$3)+AC199^2*(DAY(EOMONTH(A199,0))/2))/AK199)</f>
        <v>#VALUE!</v>
      </c>
      <c r="AF199" s="206" t="e">
        <f aca="false">((Summary!$N$7*(AA199*AD199)*(A199-$D$3))+(Summary!$M$7*Z199*AC199*(DAY(EOMONTH(A199,0))/2)))/(AK199*AB199*AE199)</f>
        <v>#VALUE!</v>
      </c>
      <c r="AG199" s="207" t="str">
        <f aca="false">IF($A200="","",Summary!$Q$7)</f>
        <v/>
      </c>
      <c r="AH199" s="207" t="str">
        <f aca="false">IF($A200="","",IF(Summary!$R$7="Y",(VLOOKUP($A199,Summary!$AD$6:$AF$9,3)+'Escalating commodity'!C212),'Escalating commodity'!C212))</f>
        <v/>
      </c>
      <c r="AI199" s="207" t="str">
        <f aca="false">IF($A200="","",AH199)</f>
        <v/>
      </c>
      <c r="AJ199" s="208" t="e">
        <f aca="false">A199+DAY(EOMONTH(A199,0))/2-1</f>
        <v>#VALUE!</v>
      </c>
      <c r="AK199" s="209" t="str">
        <f aca="false">IF($A200="","",$A199-$E$1)</f>
        <v/>
      </c>
      <c r="AL199" s="182" t="str">
        <f aca="false">IF($A200="","",SPRDOPT(P199,X199,AI199,0,AB199,AE199,AF199,AK199,$AJ$2,0))</f>
        <v/>
      </c>
      <c r="AM199" s="210" t="str">
        <f aca="false">IF($A200="","",MAX(0,O199-W199-AI199))</f>
        <v/>
      </c>
      <c r="AN199" s="211" t="str">
        <f aca="false">IF($A200="","",AL199-AM199)</f>
        <v/>
      </c>
      <c r="AO199" s="137" t="str">
        <f aca="false">IF(A200="","",A200-A199)</f>
        <v/>
      </c>
      <c r="AP199" s="212" t="str">
        <f aca="false">IF(A200="","",CHOOSE(F$3,A200+24,A199))</f>
        <v/>
      </c>
      <c r="AQ199" s="209" t="str">
        <f aca="false">IF(A200="","",AP199-$E$1)</f>
        <v/>
      </c>
      <c r="AR199" s="185" t="n">
        <f aca="false">IF(Summary!$H$2=1,VLOOKUP('ANR OK vs ML7'!A199,Curves!$C$17:$AR$273,MATCH('ANR OK vs ML7'!$AR$4,Curves!$C$8:$AQ$8,0)),0.1)</f>
        <v>0.1</v>
      </c>
      <c r="AS199" s="213" t="str">
        <f aca="false">IF(A200="","",1/(1+CHOOSE(F$3,(AR200+($I$3/10000))/2,(AR199+($I$3/10000))/2))^(2*AQ199/365.25))</f>
        <v/>
      </c>
      <c r="AT199" s="137" t="str">
        <f aca="false">IF(A200="","",IF(AND(mthbeg&lt;=A199,mthend&gt;=A199),1,0))</f>
        <v/>
      </c>
      <c r="AU199" s="137" t="str">
        <f aca="false">IF(A200="","",AO199*AT199)</f>
        <v/>
      </c>
      <c r="AW199" s="195" t="str">
        <f aca="false">IF($A200="","",AL199*$E199)</f>
        <v/>
      </c>
      <c r="AX199" s="195" t="str">
        <f aca="false">IF($A200="","",AM199*$E199)</f>
        <v/>
      </c>
      <c r="AY199" s="195" t="str">
        <f aca="false">IF($A200="","",AN199*$E199)</f>
        <v/>
      </c>
      <c r="BA199" s="195" t="str">
        <f aca="false">IF($A200="","",F199*Summary!$Q$7)</f>
        <v/>
      </c>
    </row>
    <row r="200" customFormat="false" ht="12" hidden="false" customHeight="true" outlineLevel="0" collapsed="false">
      <c r="A200" s="196" t="str">
        <f aca="false">IF(A199&lt;mthend,EDATE(A199,1),"")</f>
        <v/>
      </c>
      <c r="B200" s="197" t="str">
        <f aca="false">IF(A200&lt;mthend,B199,"")</f>
        <v/>
      </c>
      <c r="C200" s="215"/>
      <c r="D200" s="197" t="str">
        <f aca="false">IF(A201&lt;&gt;"",B200+C200,"")</f>
        <v/>
      </c>
      <c r="E200" s="199" t="str">
        <f aca="false">IF(A201="","",IF(AND(AT200=1,$H$3=1),D200*AO200,IF($H$3=2,D200,"N/A")))</f>
        <v/>
      </c>
      <c r="F200" s="199" t="str">
        <f aca="false">IF(A201="","",E200*AS200)</f>
        <v/>
      </c>
      <c r="G200" s="200" t="str">
        <f aca="false">IF($A201="","",VLOOKUP($A200,Table,MATCH(G$4,Curves,0)))</f>
        <v/>
      </c>
      <c r="H200" s="201" t="str">
        <f aca="false">IF(A201="","",G200)</f>
        <v/>
      </c>
      <c r="I200" s="202"/>
      <c r="J200" s="200" t="str">
        <f aca="false">IF($A201="","",VLOOKUP($A200,Table,MATCH(J$4,Curves,0)))</f>
        <v/>
      </c>
      <c r="K200" s="201" t="str">
        <f aca="false">IF(A201="","",J200)</f>
        <v/>
      </c>
      <c r="L200" s="200" t="str">
        <f aca="false">IF($A201="","",VLOOKUP($A200,Table,MATCH(L$4,Curves,0)))</f>
        <v/>
      </c>
      <c r="M200" s="201" t="str">
        <f aca="false">IF(A201="","",L200)</f>
        <v/>
      </c>
      <c r="N200" s="203"/>
      <c r="O200" s="200" t="str">
        <f aca="false">IF(A201="","",L200+J200+G200)</f>
        <v/>
      </c>
      <c r="P200" s="200" t="str">
        <f aca="false">IF(A201="","",M200+K200+H200)</f>
        <v/>
      </c>
      <c r="Q200" s="204"/>
      <c r="R200" s="200" t="str">
        <f aca="false">IF($A201="","",VLOOKUP($A200,Table,MATCH(R$4,Curves,0)))</f>
        <v/>
      </c>
      <c r="S200" s="201" t="str">
        <f aca="false">IF(A201="","",R200)</f>
        <v/>
      </c>
      <c r="T200" s="200" t="str">
        <f aca="false">IF($A201="","",VLOOKUP($A200,Table,MATCH(T$4,Curves,0)))</f>
        <v/>
      </c>
      <c r="U200" s="201" t="str">
        <f aca="false">IF(A201="","",T200)</f>
        <v/>
      </c>
      <c r="V200" s="183" t="str">
        <f aca="false">IF($A201="","",IF(AND(MONTH(A200)&gt;3,MONTH(A200)&lt;11),(T200+R200+G200)*Summary!$T$7/(1-Summary!$T$7),(T200+R200+G200)*Summary!$U$7/(1-Summary!$U$7)))</f>
        <v/>
      </c>
      <c r="W200" s="200" t="str">
        <f aca="false">IF($A201="","",(T200+R200+G200+V200))</f>
        <v/>
      </c>
      <c r="X200" s="200" t="str">
        <f aca="false">IF($A201="","",(U200+S200+H200+V200))</f>
        <v/>
      </c>
      <c r="Y200" s="202"/>
      <c r="Z200" s="185" t="str">
        <f aca="false">IF($A201="","",VLOOKUP($A200,Table,MATCH(Z$4,Curves,0)))</f>
        <v/>
      </c>
      <c r="AA200" s="185" t="str">
        <f aca="false">IF($A201="","",VLOOKUP($A200,Table,MATCH(AA$4,Curves,0)))</f>
        <v/>
      </c>
      <c r="AB200" s="185" t="e">
        <f aca="false">SQRT((AA200^2*(A200-$D$3)+Z200^2*(DAY(EOMONTH(A200,0))/2))/AK200)</f>
        <v>#VALUE!</v>
      </c>
      <c r="AC200" s="185" t="str">
        <f aca="false">IF($A201="","",VLOOKUP($A200,Table,MATCH(AC$4,Curves,0)))</f>
        <v/>
      </c>
      <c r="AD200" s="185" t="str">
        <f aca="false">IF($A201="","",VLOOKUP($A200,Table,MATCH(AD$4,Curves,0)))</f>
        <v/>
      </c>
      <c r="AE200" s="185" t="e">
        <f aca="false">SQRT((AD200^2*(A200-$D$3)+AC200^2*(DAY(EOMONTH(A200,0))/2))/AK200)</f>
        <v>#VALUE!</v>
      </c>
      <c r="AF200" s="206" t="e">
        <f aca="false">((Summary!$N$7*(AA200*AD200)*(A200-$D$3))+(Summary!$M$7*Z200*AC200*(DAY(EOMONTH(A200,0))/2)))/(AK200*AB200*AE200)</f>
        <v>#VALUE!</v>
      </c>
      <c r="AG200" s="207" t="str">
        <f aca="false">IF($A201="","",Summary!$Q$7)</f>
        <v/>
      </c>
      <c r="AH200" s="207" t="str">
        <f aca="false">IF($A201="","",IF(Summary!$R$7="Y",(VLOOKUP($A200,Summary!$AD$6:$AF$9,3)+'Escalating commodity'!C213),'Escalating commodity'!C213))</f>
        <v/>
      </c>
      <c r="AI200" s="207" t="str">
        <f aca="false">IF($A201="","",AH200)</f>
        <v/>
      </c>
      <c r="AJ200" s="208" t="e">
        <f aca="false">A200+DAY(EOMONTH(A200,0))/2-1</f>
        <v>#VALUE!</v>
      </c>
      <c r="AK200" s="209" t="str">
        <f aca="false">IF($A201="","",$A200-$E$1)</f>
        <v/>
      </c>
      <c r="AL200" s="182" t="str">
        <f aca="false">IF($A201="","",SPRDOPT(P200,X200,AI200,0,AB200,AE200,AF200,AK200,$AJ$2,0))</f>
        <v/>
      </c>
      <c r="AM200" s="210" t="str">
        <f aca="false">IF($A201="","",MAX(0,O200-W200-AI200))</f>
        <v/>
      </c>
      <c r="AN200" s="211" t="str">
        <f aca="false">IF($A201="","",AL200-AM200)</f>
        <v/>
      </c>
      <c r="AO200" s="137" t="str">
        <f aca="false">IF(A201="","",A201-A200)</f>
        <v/>
      </c>
      <c r="AP200" s="212" t="str">
        <f aca="false">IF(A201="","",CHOOSE(F$3,A201+24,A200))</f>
        <v/>
      </c>
      <c r="AQ200" s="209" t="str">
        <f aca="false">IF(A201="","",AP200-$E$1)</f>
        <v/>
      </c>
      <c r="AR200" s="185" t="n">
        <f aca="false">IF(Summary!$H$2=1,VLOOKUP('ANR OK vs ML7'!A200,Curves!$C$17:$AR$273,MATCH('ANR OK vs ML7'!$AR$4,Curves!$C$8:$AQ$8,0)),0.1)</f>
        <v>0.1</v>
      </c>
      <c r="AS200" s="213" t="str">
        <f aca="false">IF(A201="","",1/(1+CHOOSE(F$3,(AR201+($I$3/10000))/2,(AR200+($I$3/10000))/2))^(2*AQ200/365.25))</f>
        <v/>
      </c>
      <c r="AT200" s="137" t="str">
        <f aca="false">IF(A201="","",IF(AND(mthbeg&lt;=A200,mthend&gt;=A200),1,0))</f>
        <v/>
      </c>
      <c r="AU200" s="137" t="str">
        <f aca="false">IF(A201="","",AO200*AT200)</f>
        <v/>
      </c>
      <c r="AW200" s="195" t="str">
        <f aca="false">IF($A201="","",AL200*$E200)</f>
        <v/>
      </c>
      <c r="AX200" s="195" t="str">
        <f aca="false">IF($A201="","",AM200*$E200)</f>
        <v/>
      </c>
      <c r="AY200" s="195" t="str">
        <f aca="false">IF($A201="","",AN200*$E200)</f>
        <v/>
      </c>
      <c r="BA200" s="195" t="str">
        <f aca="false">IF($A201="","",F200*Summary!$Q$7)</f>
        <v/>
      </c>
    </row>
    <row r="201" customFormat="false" ht="12" hidden="false" customHeight="true" outlineLevel="0" collapsed="false">
      <c r="A201" s="196" t="str">
        <f aca="false">IF(A200&lt;mthend,EDATE(A200,1),"")</f>
        <v/>
      </c>
      <c r="B201" s="197" t="str">
        <f aca="false">IF(A201&lt;mthend,B200,"")</f>
        <v/>
      </c>
      <c r="C201" s="215"/>
      <c r="D201" s="197" t="str">
        <f aca="false">IF(A202&lt;&gt;"",B201+C201,"")</f>
        <v/>
      </c>
      <c r="E201" s="199" t="str">
        <f aca="false">IF(A202="","",IF(AND(AT201=1,$H$3=1),D201*AO201,IF($H$3=2,D201,"N/A")))</f>
        <v/>
      </c>
      <c r="F201" s="199" t="str">
        <f aca="false">IF(A202="","",E201*AS201)</f>
        <v/>
      </c>
      <c r="G201" s="200" t="str">
        <f aca="false">IF($A202="","",VLOOKUP($A201,Table,MATCH(G$4,Curves,0)))</f>
        <v/>
      </c>
      <c r="H201" s="201" t="str">
        <f aca="false">IF(A202="","",G201)</f>
        <v/>
      </c>
      <c r="I201" s="202"/>
      <c r="J201" s="200" t="str">
        <f aca="false">IF($A202="","",VLOOKUP($A201,Table,MATCH(J$4,Curves,0)))</f>
        <v/>
      </c>
      <c r="K201" s="201" t="str">
        <f aca="false">IF(A202="","",J201)</f>
        <v/>
      </c>
      <c r="L201" s="200" t="str">
        <f aca="false">IF($A202="","",VLOOKUP($A201,Table,MATCH(L$4,Curves,0)))</f>
        <v/>
      </c>
      <c r="M201" s="201" t="str">
        <f aca="false">IF(A202="","",L201)</f>
        <v/>
      </c>
      <c r="N201" s="203"/>
      <c r="O201" s="200" t="str">
        <f aca="false">IF(A202="","",L201+J201+G201)</f>
        <v/>
      </c>
      <c r="P201" s="200" t="str">
        <f aca="false">IF(A202="","",M201+K201+H201)</f>
        <v/>
      </c>
      <c r="Q201" s="204"/>
      <c r="R201" s="200" t="str">
        <f aca="false">IF($A202="","",VLOOKUP($A201,Table,MATCH(R$4,Curves,0)))</f>
        <v/>
      </c>
      <c r="S201" s="201" t="str">
        <f aca="false">IF(A202="","",R201)</f>
        <v/>
      </c>
      <c r="T201" s="200" t="str">
        <f aca="false">IF($A202="","",VLOOKUP($A201,Table,MATCH(T$4,Curves,0)))</f>
        <v/>
      </c>
      <c r="U201" s="201" t="str">
        <f aca="false">IF(A202="","",T201)</f>
        <v/>
      </c>
      <c r="V201" s="183" t="str">
        <f aca="false">IF($A202="","",IF(AND(MONTH(A201)&gt;3,MONTH(A201)&lt;11),(T201+R201+G201)*Summary!$T$7/(1-Summary!$T$7),(T201+R201+G201)*Summary!$U$7/(1-Summary!$U$7)))</f>
        <v/>
      </c>
      <c r="W201" s="200" t="str">
        <f aca="false">IF($A202="","",(T201+R201+G201+V201))</f>
        <v/>
      </c>
      <c r="X201" s="200" t="str">
        <f aca="false">IF($A202="","",(U201+S201+H201+V201))</f>
        <v/>
      </c>
      <c r="Y201" s="202"/>
      <c r="Z201" s="185" t="str">
        <f aca="false">IF($A202="","",VLOOKUP($A201,Table,MATCH(Z$4,Curves,0)))</f>
        <v/>
      </c>
      <c r="AA201" s="185" t="str">
        <f aca="false">IF($A202="","",VLOOKUP($A201,Table,MATCH(AA$4,Curves,0)))</f>
        <v/>
      </c>
      <c r="AB201" s="185" t="e">
        <f aca="false">SQRT((AA201^2*(A201-$D$3)+Z201^2*(DAY(EOMONTH(A201,0))/2))/AK201)</f>
        <v>#VALUE!</v>
      </c>
      <c r="AC201" s="185" t="str">
        <f aca="false">IF($A202="","",VLOOKUP($A201,Table,MATCH(AC$4,Curves,0)))</f>
        <v/>
      </c>
      <c r="AD201" s="185" t="str">
        <f aca="false">IF($A202="","",VLOOKUP($A201,Table,MATCH(AD$4,Curves,0)))</f>
        <v/>
      </c>
      <c r="AE201" s="185" t="e">
        <f aca="false">SQRT((AD201^2*(A201-$D$3)+AC201^2*(DAY(EOMONTH(A201,0))/2))/AK201)</f>
        <v>#VALUE!</v>
      </c>
      <c r="AF201" s="206" t="e">
        <f aca="false">((Summary!$N$7*(AA201*AD201)*(A201-$D$3))+(Summary!$M$7*Z201*AC201*(DAY(EOMONTH(A201,0))/2)))/(AK201*AB201*AE201)</f>
        <v>#VALUE!</v>
      </c>
      <c r="AG201" s="207" t="str">
        <f aca="false">IF($A202="","",Summary!$Q$7)</f>
        <v/>
      </c>
      <c r="AH201" s="207" t="str">
        <f aca="false">IF($A202="","",IF(Summary!$R$7="Y",(VLOOKUP($A201,Summary!$AD$6:$AF$9,3)+'Escalating commodity'!C214),'Escalating commodity'!C214))</f>
        <v/>
      </c>
      <c r="AI201" s="207" t="str">
        <f aca="false">IF($A202="","",AH201)</f>
        <v/>
      </c>
      <c r="AJ201" s="208" t="e">
        <f aca="false">A201+DAY(EOMONTH(A201,0))/2-1</f>
        <v>#VALUE!</v>
      </c>
      <c r="AK201" s="209" t="str">
        <f aca="false">IF($A202="","",$A201-$E$1)</f>
        <v/>
      </c>
      <c r="AL201" s="182" t="str">
        <f aca="false">IF($A202="","",SPRDOPT(P201,X201,AI201,0,AB201,AE201,AF201,AK201,$AJ$2,0))</f>
        <v/>
      </c>
      <c r="AM201" s="210" t="str">
        <f aca="false">IF($A202="","",MAX(0,O201-W201-AI201))</f>
        <v/>
      </c>
      <c r="AN201" s="211" t="str">
        <f aca="false">IF($A202="","",AL201-AM201)</f>
        <v/>
      </c>
      <c r="AO201" s="137" t="str">
        <f aca="false">IF(A202="","",A202-A201)</f>
        <v/>
      </c>
      <c r="AP201" s="212" t="str">
        <f aca="false">IF(A202="","",CHOOSE(F$3,A202+24,A201))</f>
        <v/>
      </c>
      <c r="AQ201" s="209" t="str">
        <f aca="false">IF(A202="","",AP201-$E$1)</f>
        <v/>
      </c>
      <c r="AR201" s="185" t="n">
        <f aca="false">IF(Summary!$H$2=1,VLOOKUP('ANR OK vs ML7'!A201,Curves!$C$17:$AR$273,MATCH('ANR OK vs ML7'!$AR$4,Curves!$C$8:$AQ$8,0)),0.1)</f>
        <v>0.1</v>
      </c>
      <c r="AS201" s="213" t="str">
        <f aca="false">IF(A202="","",1/(1+CHOOSE(F$3,(AR202+($I$3/10000))/2,(AR201+($I$3/10000))/2))^(2*AQ201/365.25))</f>
        <v/>
      </c>
      <c r="AT201" s="137" t="str">
        <f aca="false">IF(A202="","",IF(AND(mthbeg&lt;=A201,mthend&gt;=A201),1,0))</f>
        <v/>
      </c>
      <c r="AU201" s="137" t="str">
        <f aca="false">IF(A202="","",AO201*AT201)</f>
        <v/>
      </c>
      <c r="AW201" s="195" t="str">
        <f aca="false">IF($A202="","",AL201*$E201)</f>
        <v/>
      </c>
      <c r="AX201" s="195" t="str">
        <f aca="false">IF($A202="","",AM201*$E201)</f>
        <v/>
      </c>
      <c r="AY201" s="195" t="str">
        <f aca="false">IF($A202="","",AN201*$E201)</f>
        <v/>
      </c>
      <c r="BA201" s="195" t="str">
        <f aca="false">IF($A202="","",F201*Summary!$Q$7)</f>
        <v/>
      </c>
    </row>
    <row r="202" customFormat="false" ht="12" hidden="false" customHeight="true" outlineLevel="0" collapsed="false">
      <c r="A202" s="196" t="str">
        <f aca="false">IF(A201&lt;mthend,EDATE(A201,1),"")</f>
        <v/>
      </c>
      <c r="B202" s="197" t="str">
        <f aca="false">IF(A202&lt;mthend,B201,"")</f>
        <v/>
      </c>
      <c r="C202" s="215"/>
      <c r="D202" s="197" t="str">
        <f aca="false">IF(A203&lt;&gt;"",B202+C202,"")</f>
        <v/>
      </c>
      <c r="E202" s="199" t="str">
        <f aca="false">IF(A203="","",IF(AND(AT202=1,$H$3=1),D202*AO202,IF($H$3=2,D202,"N/A")))</f>
        <v/>
      </c>
      <c r="F202" s="199" t="str">
        <f aca="false">IF(A203="","",E202*AS202)</f>
        <v/>
      </c>
      <c r="G202" s="200" t="str">
        <f aca="false">IF($A203="","",VLOOKUP($A202,Table,MATCH(G$4,Curves,0)))</f>
        <v/>
      </c>
      <c r="H202" s="201" t="str">
        <f aca="false">IF(A203="","",G202)</f>
        <v/>
      </c>
      <c r="I202" s="202"/>
      <c r="J202" s="200" t="str">
        <f aca="false">IF($A203="","",VLOOKUP($A202,Table,MATCH(J$4,Curves,0)))</f>
        <v/>
      </c>
      <c r="K202" s="201" t="str">
        <f aca="false">IF(A203="","",J202)</f>
        <v/>
      </c>
      <c r="L202" s="200" t="str">
        <f aca="false">IF($A203="","",VLOOKUP($A202,Table,MATCH(L$4,Curves,0)))</f>
        <v/>
      </c>
      <c r="M202" s="201" t="str">
        <f aca="false">IF(A203="","",L202)</f>
        <v/>
      </c>
      <c r="N202" s="203"/>
      <c r="O202" s="200" t="str">
        <f aca="false">IF(A203="","",L202+J202+G202)</f>
        <v/>
      </c>
      <c r="P202" s="200" t="str">
        <f aca="false">IF(A203="","",M202+K202+H202)</f>
        <v/>
      </c>
      <c r="Q202" s="204"/>
      <c r="R202" s="200" t="str">
        <f aca="false">IF($A203="","",VLOOKUP($A202,Table,MATCH(R$4,Curves,0)))</f>
        <v/>
      </c>
      <c r="S202" s="201" t="str">
        <f aca="false">IF(A203="","",R202)</f>
        <v/>
      </c>
      <c r="T202" s="200" t="str">
        <f aca="false">IF($A203="","",VLOOKUP($A202,Table,MATCH(T$4,Curves,0)))</f>
        <v/>
      </c>
      <c r="U202" s="201" t="str">
        <f aca="false">IF(A203="","",T202)</f>
        <v/>
      </c>
      <c r="V202" s="183" t="str">
        <f aca="false">IF($A203="","",IF(AND(MONTH(A202)&gt;3,MONTH(A202)&lt;11),(T202+R202+G202)*Summary!$T$7/(1-Summary!$T$7),(T202+R202+G202)*Summary!$U$7/(1-Summary!$U$7)))</f>
        <v/>
      </c>
      <c r="W202" s="200" t="str">
        <f aca="false">IF($A203="","",(T202+R202+G202+V202))</f>
        <v/>
      </c>
      <c r="X202" s="200" t="str">
        <f aca="false">IF($A203="","",(U202+S202+H202+V202))</f>
        <v/>
      </c>
      <c r="Y202" s="202"/>
      <c r="Z202" s="185" t="str">
        <f aca="false">IF($A203="","",VLOOKUP($A202,Table,MATCH(Z$4,Curves,0)))</f>
        <v/>
      </c>
      <c r="AA202" s="185" t="str">
        <f aca="false">IF($A203="","",VLOOKUP($A202,Table,MATCH(AA$4,Curves,0)))</f>
        <v/>
      </c>
      <c r="AB202" s="185" t="e">
        <f aca="false">SQRT((AA202^2*(A202-$D$3)+Z202^2*(DAY(EOMONTH(A202,0))/2))/AK202)</f>
        <v>#VALUE!</v>
      </c>
      <c r="AC202" s="185" t="str">
        <f aca="false">IF($A203="","",VLOOKUP($A202,Table,MATCH(AC$4,Curves,0)))</f>
        <v/>
      </c>
      <c r="AD202" s="185" t="str">
        <f aca="false">IF($A203="","",VLOOKUP($A202,Table,MATCH(AD$4,Curves,0)))</f>
        <v/>
      </c>
      <c r="AE202" s="185" t="e">
        <f aca="false">SQRT((AD202^2*(A202-$D$3)+AC202^2*(DAY(EOMONTH(A202,0))/2))/AK202)</f>
        <v>#VALUE!</v>
      </c>
      <c r="AF202" s="206" t="e">
        <f aca="false">((Summary!$N$7*(AA202*AD202)*(A202-$D$3))+(Summary!$M$7*Z202*AC202*(DAY(EOMONTH(A202,0))/2)))/(AK202*AB202*AE202)</f>
        <v>#VALUE!</v>
      </c>
      <c r="AG202" s="207" t="str">
        <f aca="false">IF($A203="","",Summary!$Q$7)</f>
        <v/>
      </c>
      <c r="AH202" s="207" t="str">
        <f aca="false">IF($A203="","",IF(Summary!$R$7="Y",(VLOOKUP($A202,Summary!$AD$6:$AF$9,3)+'Escalating commodity'!C215),'Escalating commodity'!C215))</f>
        <v/>
      </c>
      <c r="AI202" s="207" t="str">
        <f aca="false">IF($A203="","",AH202)</f>
        <v/>
      </c>
      <c r="AJ202" s="208" t="e">
        <f aca="false">A202+DAY(EOMONTH(A202,0))/2-1</f>
        <v>#VALUE!</v>
      </c>
      <c r="AK202" s="209" t="str">
        <f aca="false">IF($A203="","",$A202-$E$1)</f>
        <v/>
      </c>
      <c r="AL202" s="182" t="str">
        <f aca="false">IF($A203="","",SPRDOPT(P202,X202,AI202,0,AB202,AE202,AF202,AK202,$AJ$2,0))</f>
        <v/>
      </c>
      <c r="AM202" s="210" t="str">
        <f aca="false">IF($A203="","",MAX(0,O202-W202-AI202))</f>
        <v/>
      </c>
      <c r="AN202" s="211" t="str">
        <f aca="false">IF($A203="","",AL202-AM202)</f>
        <v/>
      </c>
      <c r="AO202" s="137" t="str">
        <f aca="false">IF(A203="","",A203-A202)</f>
        <v/>
      </c>
      <c r="AP202" s="212" t="str">
        <f aca="false">IF(A203="","",CHOOSE(F$3,A203+24,A202))</f>
        <v/>
      </c>
      <c r="AQ202" s="209" t="str">
        <f aca="false">IF(A203="","",AP202-$E$1)</f>
        <v/>
      </c>
      <c r="AR202" s="185" t="n">
        <f aca="false">IF(Summary!$H$2=1,VLOOKUP('ANR OK vs ML7'!A202,Curves!$C$17:$AR$273,MATCH('ANR OK vs ML7'!$AR$4,Curves!$C$8:$AQ$8,0)),0.1)</f>
        <v>0.1</v>
      </c>
      <c r="AS202" s="213" t="str">
        <f aca="false">IF(A203="","",1/(1+CHOOSE(F$3,(AR203+($I$3/10000))/2,(AR202+($I$3/10000))/2))^(2*AQ202/365.25))</f>
        <v/>
      </c>
      <c r="AT202" s="137" t="str">
        <f aca="false">IF(A203="","",IF(AND(mthbeg&lt;=A202,mthend&gt;=A202),1,0))</f>
        <v/>
      </c>
      <c r="AU202" s="137" t="str">
        <f aca="false">IF(A203="","",AO202*AT202)</f>
        <v/>
      </c>
      <c r="AW202" s="195" t="str">
        <f aca="false">IF($A203="","",AL202*$E202)</f>
        <v/>
      </c>
      <c r="AX202" s="195" t="str">
        <f aca="false">IF($A203="","",AM202*$E202)</f>
        <v/>
      </c>
      <c r="AY202" s="195" t="str">
        <f aca="false">IF($A203="","",AN202*$E202)</f>
        <v/>
      </c>
      <c r="BA202" s="195" t="str">
        <f aca="false">IF($A203="","",F202*Summary!$Q$7)</f>
        <v/>
      </c>
    </row>
    <row r="203" customFormat="false" ht="12" hidden="false" customHeight="true" outlineLevel="0" collapsed="false">
      <c r="A203" s="196" t="str">
        <f aca="false">IF(A202&lt;mthend,EDATE(A202,1),"")</f>
        <v/>
      </c>
      <c r="B203" s="197" t="str">
        <f aca="false">IF(A203&lt;mthend,B202,"")</f>
        <v/>
      </c>
      <c r="C203" s="215"/>
      <c r="D203" s="197" t="str">
        <f aca="false">IF(A204&lt;&gt;"",B203+C203,"")</f>
        <v/>
      </c>
      <c r="E203" s="199" t="str">
        <f aca="false">IF(A204="","",IF(AND(AT203=1,$H$3=1),D203*AO203,IF($H$3=2,D203,"N/A")))</f>
        <v/>
      </c>
      <c r="F203" s="199" t="str">
        <f aca="false">IF(A204="","",E203*AS203)</f>
        <v/>
      </c>
      <c r="G203" s="200" t="str">
        <f aca="false">IF($A204="","",VLOOKUP($A203,Table,MATCH(G$4,Curves,0)))</f>
        <v/>
      </c>
      <c r="H203" s="201" t="str">
        <f aca="false">IF(A204="","",G203)</f>
        <v/>
      </c>
      <c r="I203" s="202"/>
      <c r="J203" s="200" t="str">
        <f aca="false">IF($A204="","",VLOOKUP($A203,Table,MATCH(J$4,Curves,0)))</f>
        <v/>
      </c>
      <c r="K203" s="201" t="str">
        <f aca="false">IF(A204="","",J203)</f>
        <v/>
      </c>
      <c r="L203" s="200" t="str">
        <f aca="false">IF($A204="","",VLOOKUP($A203,Table,MATCH(L$4,Curves,0)))</f>
        <v/>
      </c>
      <c r="M203" s="201" t="str">
        <f aca="false">IF(A204="","",L203)</f>
        <v/>
      </c>
      <c r="N203" s="203"/>
      <c r="O203" s="200" t="str">
        <f aca="false">IF(A204="","",L203+J203+G203)</f>
        <v/>
      </c>
      <c r="P203" s="200" t="str">
        <f aca="false">IF(A204="","",M203+K203+H203)</f>
        <v/>
      </c>
      <c r="Q203" s="204"/>
      <c r="R203" s="200" t="str">
        <f aca="false">IF($A204="","",VLOOKUP($A203,Table,MATCH(R$4,Curves,0)))</f>
        <v/>
      </c>
      <c r="S203" s="201" t="str">
        <f aca="false">IF(A204="","",R203)</f>
        <v/>
      </c>
      <c r="T203" s="200" t="str">
        <f aca="false">IF($A204="","",VLOOKUP($A203,Table,MATCH(T$4,Curves,0)))</f>
        <v/>
      </c>
      <c r="U203" s="201" t="str">
        <f aca="false">IF(A204="","",T203)</f>
        <v/>
      </c>
      <c r="V203" s="183" t="str">
        <f aca="false">IF($A204="","",IF(AND(MONTH(A203)&gt;3,MONTH(A203)&lt;11),(T203+R203+G203)*Summary!$T$7/(1-Summary!$T$7),(T203+R203+G203)*Summary!$U$7/(1-Summary!$U$7)))</f>
        <v/>
      </c>
      <c r="W203" s="200" t="str">
        <f aca="false">IF($A204="","",(T203+R203+G203+V203))</f>
        <v/>
      </c>
      <c r="X203" s="200" t="str">
        <f aca="false">IF($A204="","",(U203+S203+H203+V203))</f>
        <v/>
      </c>
      <c r="Y203" s="202"/>
      <c r="Z203" s="185" t="str">
        <f aca="false">IF($A204="","",VLOOKUP($A203,Table,MATCH(Z$4,Curves,0)))</f>
        <v/>
      </c>
      <c r="AA203" s="185" t="str">
        <f aca="false">IF($A204="","",VLOOKUP($A203,Table,MATCH(AA$4,Curves,0)))</f>
        <v/>
      </c>
      <c r="AB203" s="185" t="e">
        <f aca="false">SQRT((AA203^2*(A203-$D$3)+Z203^2*(DAY(EOMONTH(A203,0))/2))/AK203)</f>
        <v>#VALUE!</v>
      </c>
      <c r="AC203" s="185" t="str">
        <f aca="false">IF($A204="","",VLOOKUP($A203,Table,MATCH(AC$4,Curves,0)))</f>
        <v/>
      </c>
      <c r="AD203" s="185" t="str">
        <f aca="false">IF($A204="","",VLOOKUP($A203,Table,MATCH(AD$4,Curves,0)))</f>
        <v/>
      </c>
      <c r="AE203" s="185" t="e">
        <f aca="false">SQRT((AD203^2*(A203-$D$3)+AC203^2*(DAY(EOMONTH(A203,0))/2))/AK203)</f>
        <v>#VALUE!</v>
      </c>
      <c r="AF203" s="206" t="e">
        <f aca="false">((Summary!$N$7*(AA203*AD203)*(A203-$D$3))+(Summary!$M$7*Z203*AC203*(DAY(EOMONTH(A203,0))/2)))/(AK203*AB203*AE203)</f>
        <v>#VALUE!</v>
      </c>
      <c r="AG203" s="207" t="str">
        <f aca="false">IF($A204="","",Summary!$Q$7)</f>
        <v/>
      </c>
      <c r="AH203" s="207" t="str">
        <f aca="false">IF($A204="","",IF(Summary!$R$7="Y",(VLOOKUP($A203,Summary!$AD$6:$AF$9,3)+'Escalating commodity'!C216),'Escalating commodity'!C216))</f>
        <v/>
      </c>
      <c r="AI203" s="207" t="str">
        <f aca="false">IF($A204="","",AH203)</f>
        <v/>
      </c>
      <c r="AJ203" s="208" t="e">
        <f aca="false">A203+DAY(EOMONTH(A203,0))/2-1</f>
        <v>#VALUE!</v>
      </c>
      <c r="AK203" s="209" t="str">
        <f aca="false">IF($A204="","",$A203-$E$1)</f>
        <v/>
      </c>
      <c r="AL203" s="182" t="str">
        <f aca="false">IF($A204="","",SPRDOPT(P203,X203,AI203,0,AB203,AE203,AF203,AK203,$AJ$2,0))</f>
        <v/>
      </c>
      <c r="AM203" s="210" t="str">
        <f aca="false">IF($A204="","",MAX(0,O203-W203-AI203))</f>
        <v/>
      </c>
      <c r="AN203" s="211" t="str">
        <f aca="false">IF($A204="","",AL203-AM203)</f>
        <v/>
      </c>
      <c r="AO203" s="137" t="str">
        <f aca="false">IF(A204="","",A204-A203)</f>
        <v/>
      </c>
      <c r="AP203" s="212" t="str">
        <f aca="false">IF(A204="","",CHOOSE(F$3,A204+24,A203))</f>
        <v/>
      </c>
      <c r="AQ203" s="209" t="str">
        <f aca="false">IF(A204="","",AP203-$E$1)</f>
        <v/>
      </c>
      <c r="AR203" s="185" t="n">
        <f aca="false">IF(Summary!$H$2=1,VLOOKUP('ANR OK vs ML7'!A203,Curves!$C$17:$AR$273,MATCH('ANR OK vs ML7'!$AR$4,Curves!$C$8:$AQ$8,0)),0.1)</f>
        <v>0.1</v>
      </c>
      <c r="AS203" s="213" t="str">
        <f aca="false">IF(A204="","",1/(1+CHOOSE(F$3,(AR204+($I$3/10000))/2,(AR203+($I$3/10000))/2))^(2*AQ203/365.25))</f>
        <v/>
      </c>
      <c r="AT203" s="137" t="str">
        <f aca="false">IF(A204="","",IF(AND(mthbeg&lt;=A203,mthend&gt;=A203),1,0))</f>
        <v/>
      </c>
      <c r="AU203" s="137" t="str">
        <f aca="false">IF(A204="","",AO203*AT203)</f>
        <v/>
      </c>
      <c r="AW203" s="195" t="str">
        <f aca="false">IF($A204="","",AL203*$E203)</f>
        <v/>
      </c>
      <c r="AX203" s="195" t="str">
        <f aca="false">IF($A204="","",AM203*$E203)</f>
        <v/>
      </c>
      <c r="AY203" s="195" t="str">
        <f aca="false">IF($A204="","",AN203*$E203)</f>
        <v/>
      </c>
      <c r="BA203" s="195" t="str">
        <f aca="false">IF($A204="","",F203*Summary!$Q$7)</f>
        <v/>
      </c>
    </row>
    <row r="204" customFormat="false" ht="12" hidden="false" customHeight="true" outlineLevel="0" collapsed="false">
      <c r="A204" s="196" t="str">
        <f aca="false">IF(A203&lt;mthend,EDATE(A203,1),"")</f>
        <v/>
      </c>
      <c r="B204" s="197" t="str">
        <f aca="false">IF(A204&lt;mthend,B203,"")</f>
        <v/>
      </c>
      <c r="C204" s="215"/>
      <c r="D204" s="197" t="str">
        <f aca="false">IF(A205&lt;&gt;"",B204+C204,"")</f>
        <v/>
      </c>
      <c r="E204" s="199" t="str">
        <f aca="false">IF(A205="","",IF(AND(AT204=1,$H$3=1),D204*AO204,IF($H$3=2,D204,"N/A")))</f>
        <v/>
      </c>
      <c r="F204" s="199" t="str">
        <f aca="false">IF(A205="","",E204*AS204)</f>
        <v/>
      </c>
      <c r="G204" s="200" t="str">
        <f aca="false">IF($A205="","",VLOOKUP($A204,Table,MATCH(G$4,Curves,0)))</f>
        <v/>
      </c>
      <c r="H204" s="201" t="str">
        <f aca="false">IF(A205="","",G204)</f>
        <v/>
      </c>
      <c r="I204" s="202"/>
      <c r="J204" s="200" t="str">
        <f aca="false">IF($A205="","",VLOOKUP($A204,Table,MATCH(J$4,Curves,0)))</f>
        <v/>
      </c>
      <c r="K204" s="201" t="str">
        <f aca="false">IF(A205="","",J204)</f>
        <v/>
      </c>
      <c r="L204" s="200" t="str">
        <f aca="false">IF($A205="","",VLOOKUP($A204,Table,MATCH(L$4,Curves,0)))</f>
        <v/>
      </c>
      <c r="M204" s="201" t="str">
        <f aca="false">IF(A205="","",L204)</f>
        <v/>
      </c>
      <c r="N204" s="203"/>
      <c r="O204" s="200" t="str">
        <f aca="false">IF(A205="","",L204+J204+G204)</f>
        <v/>
      </c>
      <c r="P204" s="200" t="str">
        <f aca="false">IF(A205="","",M204+K204+H204)</f>
        <v/>
      </c>
      <c r="Q204" s="204"/>
      <c r="R204" s="200" t="str">
        <f aca="false">IF($A205="","",VLOOKUP($A204,Table,MATCH(R$4,Curves,0)))</f>
        <v/>
      </c>
      <c r="S204" s="201" t="str">
        <f aca="false">IF(A205="","",R204)</f>
        <v/>
      </c>
      <c r="T204" s="200" t="str">
        <f aca="false">IF($A205="","",VLOOKUP($A204,Table,MATCH(T$4,Curves,0)))</f>
        <v/>
      </c>
      <c r="U204" s="201" t="str">
        <f aca="false">IF(A205="","",T204)</f>
        <v/>
      </c>
      <c r="V204" s="183" t="str">
        <f aca="false">IF($A205="","",IF(AND(MONTH(A204)&gt;3,MONTH(A204)&lt;11),(T204+R204+G204)*Summary!$T$7/(1-Summary!$T$7),(T204+R204+G204)*Summary!$U$7/(1-Summary!$U$7)))</f>
        <v/>
      </c>
      <c r="W204" s="200" t="str">
        <f aca="false">IF($A205="","",(T204+R204+G204+V204))</f>
        <v/>
      </c>
      <c r="X204" s="200" t="str">
        <f aca="false">IF($A205="","",(U204+S204+H204+V204))</f>
        <v/>
      </c>
      <c r="Y204" s="202"/>
      <c r="Z204" s="185" t="str">
        <f aca="false">IF($A205="","",VLOOKUP($A204,Table,MATCH(Z$4,Curves,0)))</f>
        <v/>
      </c>
      <c r="AA204" s="185" t="str">
        <f aca="false">IF($A205="","",VLOOKUP($A204,Table,MATCH(AA$4,Curves,0)))</f>
        <v/>
      </c>
      <c r="AB204" s="185" t="e">
        <f aca="false">SQRT((AA204^2*(A204-$D$3)+Z204^2*(DAY(EOMONTH(A204,0))/2))/AK204)</f>
        <v>#VALUE!</v>
      </c>
      <c r="AC204" s="185" t="str">
        <f aca="false">IF($A205="","",VLOOKUP($A204,Table,MATCH(AC$4,Curves,0)))</f>
        <v/>
      </c>
      <c r="AD204" s="185" t="str">
        <f aca="false">IF($A205="","",VLOOKUP($A204,Table,MATCH(AD$4,Curves,0)))</f>
        <v/>
      </c>
      <c r="AE204" s="185" t="e">
        <f aca="false">SQRT((AD204^2*(A204-$D$3)+AC204^2*(DAY(EOMONTH(A204,0))/2))/AK204)</f>
        <v>#VALUE!</v>
      </c>
      <c r="AF204" s="206" t="e">
        <f aca="false">((Summary!$N$7*(AA204*AD204)*(A204-$D$3))+(Summary!$M$7*Z204*AC204*(DAY(EOMONTH(A204,0))/2)))/(AK204*AB204*AE204)</f>
        <v>#VALUE!</v>
      </c>
      <c r="AG204" s="207" t="str">
        <f aca="false">IF($A205="","",Summary!$Q$7)</f>
        <v/>
      </c>
      <c r="AH204" s="207" t="str">
        <f aca="false">IF($A205="","",IF(Summary!$R$7="Y",(VLOOKUP($A204,Summary!$AD$6:$AF$9,3)+'Escalating commodity'!C217),'Escalating commodity'!C217))</f>
        <v/>
      </c>
      <c r="AI204" s="207" t="str">
        <f aca="false">IF($A205="","",AH204)</f>
        <v/>
      </c>
      <c r="AJ204" s="208" t="e">
        <f aca="false">A204+DAY(EOMONTH(A204,0))/2-1</f>
        <v>#VALUE!</v>
      </c>
      <c r="AK204" s="209" t="str">
        <f aca="false">IF($A205="","",$A204-$E$1)</f>
        <v/>
      </c>
      <c r="AL204" s="182" t="str">
        <f aca="false">IF($A205="","",SPRDOPT(P204,X204,AI204,0,AB204,AE204,AF204,AK204,$AJ$2,0))</f>
        <v/>
      </c>
      <c r="AM204" s="210" t="str">
        <f aca="false">IF($A205="","",MAX(0,O204-W204-AI204))</f>
        <v/>
      </c>
      <c r="AN204" s="211" t="str">
        <f aca="false">IF($A205="","",AL204-AM204)</f>
        <v/>
      </c>
      <c r="AO204" s="137" t="str">
        <f aca="false">IF(A205="","",A205-A204)</f>
        <v/>
      </c>
      <c r="AP204" s="212" t="str">
        <f aca="false">IF(A205="","",CHOOSE(F$3,A205+24,A204))</f>
        <v/>
      </c>
      <c r="AQ204" s="209" t="str">
        <f aca="false">IF(A205="","",AP204-$E$1)</f>
        <v/>
      </c>
      <c r="AR204" s="185" t="n">
        <f aca="false">IF(Summary!$H$2=1,VLOOKUP('ANR OK vs ML7'!A204,Curves!$C$17:$AR$273,MATCH('ANR OK vs ML7'!$AR$4,Curves!$C$8:$AQ$8,0)),0.1)</f>
        <v>0.1</v>
      </c>
      <c r="AS204" s="213" t="str">
        <f aca="false">IF(A205="","",1/(1+CHOOSE(F$3,(AR205+($I$3/10000))/2,(AR204+($I$3/10000))/2))^(2*AQ204/365.25))</f>
        <v/>
      </c>
      <c r="AT204" s="137" t="str">
        <f aca="false">IF(A205="","",IF(AND(mthbeg&lt;=A204,mthend&gt;=A204),1,0))</f>
        <v/>
      </c>
      <c r="AU204" s="137" t="str">
        <f aca="false">IF(A205="","",AO204*AT204)</f>
        <v/>
      </c>
      <c r="AW204" s="195" t="str">
        <f aca="false">IF($A205="","",AL204*$E204)</f>
        <v/>
      </c>
      <c r="AX204" s="195" t="str">
        <f aca="false">IF($A205="","",AM204*$E204)</f>
        <v/>
      </c>
      <c r="AY204" s="195" t="str">
        <f aca="false">IF($A205="","",AN204*$E204)</f>
        <v/>
      </c>
      <c r="BA204" s="195" t="str">
        <f aca="false">IF($A205="","",F204*Summary!$Q$7)</f>
        <v/>
      </c>
    </row>
    <row r="205" customFormat="false" ht="12" hidden="false" customHeight="true" outlineLevel="0" collapsed="false">
      <c r="A205" s="196" t="str">
        <f aca="false">IF(A204&lt;mthend,EDATE(A204,1),"")</f>
        <v/>
      </c>
      <c r="B205" s="197" t="str">
        <f aca="false">IF(A205&lt;mthend,B204,"")</f>
        <v/>
      </c>
      <c r="C205" s="215"/>
      <c r="D205" s="197" t="str">
        <f aca="false">IF(A206&lt;&gt;"",B205+C205,"")</f>
        <v/>
      </c>
      <c r="E205" s="199" t="str">
        <f aca="false">IF(A206="","",IF(AND(AT205=1,$H$3=1),D205*AO205,IF($H$3=2,D205,"N/A")))</f>
        <v/>
      </c>
      <c r="F205" s="199" t="str">
        <f aca="false">IF(A206="","",E205*AS205)</f>
        <v/>
      </c>
      <c r="G205" s="200" t="str">
        <f aca="false">IF($A206="","",VLOOKUP($A205,Table,MATCH(G$4,Curves,0)))</f>
        <v/>
      </c>
      <c r="H205" s="201" t="str">
        <f aca="false">IF(A206="","",G205)</f>
        <v/>
      </c>
      <c r="I205" s="202"/>
      <c r="J205" s="200" t="str">
        <f aca="false">IF($A206="","",VLOOKUP($A205,Table,MATCH(J$4,Curves,0)))</f>
        <v/>
      </c>
      <c r="K205" s="201" t="str">
        <f aca="false">IF(A206="","",J205)</f>
        <v/>
      </c>
      <c r="L205" s="200" t="str">
        <f aca="false">IF($A206="","",VLOOKUP($A205,Table,MATCH(L$4,Curves,0)))</f>
        <v/>
      </c>
      <c r="M205" s="201" t="str">
        <f aca="false">IF(A206="","",L205)</f>
        <v/>
      </c>
      <c r="N205" s="203"/>
      <c r="O205" s="200" t="str">
        <f aca="false">IF(A206="","",L205+J205+G205)</f>
        <v/>
      </c>
      <c r="P205" s="200" t="str">
        <f aca="false">IF(A206="","",M205+K205+H205)</f>
        <v/>
      </c>
      <c r="Q205" s="204"/>
      <c r="R205" s="200" t="str">
        <f aca="false">IF($A206="","",VLOOKUP($A205,Table,MATCH(R$4,Curves,0)))</f>
        <v/>
      </c>
      <c r="S205" s="201" t="str">
        <f aca="false">IF(A206="","",R205)</f>
        <v/>
      </c>
      <c r="T205" s="200" t="str">
        <f aca="false">IF($A206="","",VLOOKUP($A205,Table,MATCH(T$4,Curves,0)))</f>
        <v/>
      </c>
      <c r="U205" s="201" t="str">
        <f aca="false">IF(A206="","",T205)</f>
        <v/>
      </c>
      <c r="V205" s="183" t="str">
        <f aca="false">IF($A206="","",IF(AND(MONTH(A205)&gt;3,MONTH(A205)&lt;11),(T205+R205+G205)*Summary!$T$7/(1-Summary!$T$7),(T205+R205+G205)*Summary!$U$7/(1-Summary!$U$7)))</f>
        <v/>
      </c>
      <c r="W205" s="200" t="str">
        <f aca="false">IF($A206="","",(T205+R205+G205+V205))</f>
        <v/>
      </c>
      <c r="X205" s="200" t="str">
        <f aca="false">IF($A206="","",(U205+S205+H205+V205))</f>
        <v/>
      </c>
      <c r="Y205" s="202"/>
      <c r="Z205" s="185" t="str">
        <f aca="false">IF($A206="","",VLOOKUP($A205,Table,MATCH(Z$4,Curves,0)))</f>
        <v/>
      </c>
      <c r="AA205" s="185" t="str">
        <f aca="false">IF($A206="","",VLOOKUP($A205,Table,MATCH(AA$4,Curves,0)))</f>
        <v/>
      </c>
      <c r="AB205" s="185" t="e">
        <f aca="false">SQRT((AA205^2*(A205-$D$3)+Z205^2*(DAY(EOMONTH(A205,0))/2))/AK205)</f>
        <v>#VALUE!</v>
      </c>
      <c r="AC205" s="185" t="str">
        <f aca="false">IF($A206="","",VLOOKUP($A205,Table,MATCH(AC$4,Curves,0)))</f>
        <v/>
      </c>
      <c r="AD205" s="185" t="str">
        <f aca="false">IF($A206="","",VLOOKUP($A205,Table,MATCH(AD$4,Curves,0)))</f>
        <v/>
      </c>
      <c r="AE205" s="185" t="e">
        <f aca="false">SQRT((AD205^2*(A205-$D$3)+AC205^2*(DAY(EOMONTH(A205,0))/2))/AK205)</f>
        <v>#VALUE!</v>
      </c>
      <c r="AF205" s="206" t="e">
        <f aca="false">((Summary!$N$7*(AA205*AD205)*(A205-$D$3))+(Summary!$M$7*Z205*AC205*(DAY(EOMONTH(A205,0))/2)))/(AK205*AB205*AE205)</f>
        <v>#VALUE!</v>
      </c>
      <c r="AG205" s="207" t="str">
        <f aca="false">IF($A206="","",Summary!$Q$7)</f>
        <v/>
      </c>
      <c r="AH205" s="207" t="str">
        <f aca="false">IF($A206="","",IF(Summary!$R$7="Y",(VLOOKUP($A205,Summary!$AD$6:$AF$9,3)+'Escalating commodity'!C218),'Escalating commodity'!C218))</f>
        <v/>
      </c>
      <c r="AI205" s="207" t="str">
        <f aca="false">IF($A206="","",AH205)</f>
        <v/>
      </c>
      <c r="AJ205" s="208" t="e">
        <f aca="false">A205+DAY(EOMONTH(A205,0))/2-1</f>
        <v>#VALUE!</v>
      </c>
      <c r="AK205" s="209" t="str">
        <f aca="false">IF($A206="","",$A205-$E$1)</f>
        <v/>
      </c>
      <c r="AL205" s="182" t="str">
        <f aca="false">IF($A206="","",SPRDOPT(P205,X205,AI205,0,AB205,AE205,AF205,AK205,$AJ$2,0))</f>
        <v/>
      </c>
      <c r="AM205" s="210" t="str">
        <f aca="false">IF($A206="","",MAX(0,O205-W205-AI205))</f>
        <v/>
      </c>
      <c r="AN205" s="211" t="str">
        <f aca="false">IF($A206="","",AL205-AM205)</f>
        <v/>
      </c>
      <c r="AO205" s="137" t="str">
        <f aca="false">IF(A206="","",A206-A205)</f>
        <v/>
      </c>
      <c r="AP205" s="212" t="str">
        <f aca="false">IF(A206="","",CHOOSE(F$3,A206+24,A205))</f>
        <v/>
      </c>
      <c r="AQ205" s="209" t="str">
        <f aca="false">IF(A206="","",AP205-$E$1)</f>
        <v/>
      </c>
      <c r="AR205" s="185" t="n">
        <f aca="false">IF(Summary!$H$2=1,VLOOKUP('ANR OK vs ML7'!A205,Curves!$C$17:$AR$273,MATCH('ANR OK vs ML7'!$AR$4,Curves!$C$8:$AQ$8,0)),0.1)</f>
        <v>0.1</v>
      </c>
      <c r="AS205" s="213" t="str">
        <f aca="false">IF(A206="","",1/(1+CHOOSE(F$3,(AR206+($I$3/10000))/2,(AR205+($I$3/10000))/2))^(2*AQ205/365.25))</f>
        <v/>
      </c>
      <c r="AT205" s="137" t="str">
        <f aca="false">IF(A206="","",IF(AND(mthbeg&lt;=A205,mthend&gt;=A205),1,0))</f>
        <v/>
      </c>
      <c r="AU205" s="137" t="str">
        <f aca="false">IF(A206="","",AO205*AT205)</f>
        <v/>
      </c>
      <c r="AW205" s="195" t="str">
        <f aca="false">IF($A206="","",AL205*$E205)</f>
        <v/>
      </c>
      <c r="AX205" s="195" t="str">
        <f aca="false">IF($A206="","",AM205*$E205)</f>
        <v/>
      </c>
      <c r="AY205" s="195" t="str">
        <f aca="false">IF($A206="","",AN205*$E205)</f>
        <v/>
      </c>
      <c r="BA205" s="195" t="str">
        <f aca="false">IF($A206="","",F205*Summary!$Q$7)</f>
        <v/>
      </c>
    </row>
    <row r="206" customFormat="false" ht="12" hidden="false" customHeight="true" outlineLevel="0" collapsed="false">
      <c r="A206" s="196" t="str">
        <f aca="false">IF(A205&lt;mthend,EDATE(A205,1),"")</f>
        <v/>
      </c>
      <c r="B206" s="197" t="str">
        <f aca="false">IF(A206&lt;mthend,B205,"")</f>
        <v/>
      </c>
      <c r="C206" s="215"/>
      <c r="D206" s="197" t="str">
        <f aca="false">IF(A207&lt;&gt;"",B206+C206,"")</f>
        <v/>
      </c>
      <c r="E206" s="199" t="str">
        <f aca="false">IF(A207="","",IF(AND(AT206=1,$H$3=1),D206*AO206,IF($H$3=2,D206,"N/A")))</f>
        <v/>
      </c>
      <c r="F206" s="199" t="str">
        <f aca="false">IF(A207="","",E206*AS206)</f>
        <v/>
      </c>
      <c r="G206" s="200" t="str">
        <f aca="false">IF($A207="","",VLOOKUP($A206,Table,MATCH(G$4,Curves,0)))</f>
        <v/>
      </c>
      <c r="H206" s="201" t="str">
        <f aca="false">IF(A207="","",G206)</f>
        <v/>
      </c>
      <c r="I206" s="202"/>
      <c r="J206" s="200" t="str">
        <f aca="false">IF($A207="","",VLOOKUP($A206,Table,MATCH(J$4,Curves,0)))</f>
        <v/>
      </c>
      <c r="K206" s="201" t="str">
        <f aca="false">IF(A207="","",J206)</f>
        <v/>
      </c>
      <c r="L206" s="200" t="str">
        <f aca="false">IF($A207="","",VLOOKUP($A206,Table,MATCH(L$4,Curves,0)))</f>
        <v/>
      </c>
      <c r="M206" s="201" t="str">
        <f aca="false">IF(A207="","",L206)</f>
        <v/>
      </c>
      <c r="N206" s="203"/>
      <c r="O206" s="200" t="str">
        <f aca="false">IF(A207="","",L206+J206+G206)</f>
        <v/>
      </c>
      <c r="P206" s="200" t="str">
        <f aca="false">IF(A207="","",M206+K206+H206)</f>
        <v/>
      </c>
      <c r="Q206" s="204"/>
      <c r="R206" s="200" t="str">
        <f aca="false">IF($A207="","",VLOOKUP($A206,Table,MATCH(R$4,Curves,0)))</f>
        <v/>
      </c>
      <c r="S206" s="201" t="str">
        <f aca="false">IF(A207="","",R206)</f>
        <v/>
      </c>
      <c r="T206" s="200" t="str">
        <f aca="false">IF($A207="","",VLOOKUP($A206,Table,MATCH(T$4,Curves,0)))</f>
        <v/>
      </c>
      <c r="U206" s="201" t="str">
        <f aca="false">IF(A207="","",T206)</f>
        <v/>
      </c>
      <c r="V206" s="183" t="str">
        <f aca="false">IF($A207="","",IF(AND(MONTH(A206)&gt;3,MONTH(A206)&lt;11),(T206+R206+G206)*Summary!$T$7/(1-Summary!$T$7),(T206+R206+G206)*Summary!$U$7/(1-Summary!$U$7)))</f>
        <v/>
      </c>
      <c r="W206" s="200" t="str">
        <f aca="false">IF($A207="","",(T206+R206+G206+V206))</f>
        <v/>
      </c>
      <c r="X206" s="200" t="str">
        <f aca="false">IF($A207="","",(U206+S206+H206+V206))</f>
        <v/>
      </c>
      <c r="Y206" s="202"/>
      <c r="Z206" s="185" t="str">
        <f aca="false">IF($A207="","",VLOOKUP($A206,Table,MATCH(Z$4,Curves,0)))</f>
        <v/>
      </c>
      <c r="AA206" s="185" t="str">
        <f aca="false">IF($A207="","",VLOOKUP($A206,Table,MATCH(AA$4,Curves,0)))</f>
        <v/>
      </c>
      <c r="AB206" s="185" t="e">
        <f aca="false">SQRT((AA206^2*(A206-$D$3)+Z206^2*(DAY(EOMONTH(A206,0))/2))/AK206)</f>
        <v>#VALUE!</v>
      </c>
      <c r="AC206" s="185" t="str">
        <f aca="false">IF($A207="","",VLOOKUP($A206,Table,MATCH(AC$4,Curves,0)))</f>
        <v/>
      </c>
      <c r="AD206" s="185" t="str">
        <f aca="false">IF($A207="","",VLOOKUP($A206,Table,MATCH(AD$4,Curves,0)))</f>
        <v/>
      </c>
      <c r="AE206" s="185" t="e">
        <f aca="false">SQRT((AD206^2*(A206-$D$3)+AC206^2*(DAY(EOMONTH(A206,0))/2))/AK206)</f>
        <v>#VALUE!</v>
      </c>
      <c r="AF206" s="206" t="e">
        <f aca="false">((Summary!$N$7*(AA206*AD206)*(A206-$D$3))+(Summary!$M$7*Z206*AC206*(DAY(EOMONTH(A206,0))/2)))/(AK206*AB206*AE206)</f>
        <v>#VALUE!</v>
      </c>
      <c r="AG206" s="207" t="str">
        <f aca="false">IF($A207="","",Summary!$Q$7)</f>
        <v/>
      </c>
      <c r="AH206" s="207" t="str">
        <f aca="false">IF($A207="","",IF(Summary!$R$7="Y",(VLOOKUP($A206,Summary!$AD$6:$AF$9,3)+'Escalating commodity'!C219),'Escalating commodity'!C219))</f>
        <v/>
      </c>
      <c r="AI206" s="207" t="str">
        <f aca="false">IF($A207="","",AH206)</f>
        <v/>
      </c>
      <c r="AJ206" s="208" t="e">
        <f aca="false">A206+DAY(EOMONTH(A206,0))/2-1</f>
        <v>#VALUE!</v>
      </c>
      <c r="AK206" s="209" t="str">
        <f aca="false">IF($A207="","",$A206-$E$1)</f>
        <v/>
      </c>
      <c r="AL206" s="182" t="str">
        <f aca="false">IF($A207="","",SPRDOPT(P206,X206,AI206,0,AB206,AE206,AF206,AK206,$AJ$2,0))</f>
        <v/>
      </c>
      <c r="AM206" s="210" t="str">
        <f aca="false">IF($A207="","",MAX(0,O206-W206-AI206))</f>
        <v/>
      </c>
      <c r="AN206" s="211" t="str">
        <f aca="false">IF($A207="","",AL206-AM206)</f>
        <v/>
      </c>
      <c r="AO206" s="137" t="str">
        <f aca="false">IF(A207="","",A207-A206)</f>
        <v/>
      </c>
      <c r="AP206" s="212" t="str">
        <f aca="false">IF(A207="","",CHOOSE(F$3,A207+24,A206))</f>
        <v/>
      </c>
      <c r="AQ206" s="209" t="str">
        <f aca="false">IF(A207="","",AP206-$E$1)</f>
        <v/>
      </c>
      <c r="AR206" s="185" t="n">
        <f aca="false">IF(Summary!$H$2=1,VLOOKUP('ANR OK vs ML7'!A206,Curves!$C$17:$AR$273,MATCH('ANR OK vs ML7'!$AR$4,Curves!$C$8:$AQ$8,0)),0.1)</f>
        <v>0.1</v>
      </c>
      <c r="AS206" s="213" t="str">
        <f aca="false">IF(A207="","",1/(1+CHOOSE(F$3,(AR207+($I$3/10000))/2,(AR206+($I$3/10000))/2))^(2*AQ206/365.25))</f>
        <v/>
      </c>
      <c r="AT206" s="137" t="str">
        <f aca="false">IF(A207="","",IF(AND(mthbeg&lt;=A206,mthend&gt;=A206),1,0))</f>
        <v/>
      </c>
      <c r="AU206" s="137" t="str">
        <f aca="false">IF(A207="","",AO206*AT206)</f>
        <v/>
      </c>
      <c r="AW206" s="195" t="str">
        <f aca="false">IF($A207="","",AL206*$E206)</f>
        <v/>
      </c>
      <c r="AX206" s="195" t="str">
        <f aca="false">IF($A207="","",AM206*$E206)</f>
        <v/>
      </c>
      <c r="AY206" s="195" t="str">
        <f aca="false">IF($A207="","",AN206*$E206)</f>
        <v/>
      </c>
      <c r="BA206" s="195" t="str">
        <f aca="false">IF($A207="","",F206*Summary!$Q$7)</f>
        <v/>
      </c>
    </row>
    <row r="207" customFormat="false" ht="12" hidden="false" customHeight="true" outlineLevel="0" collapsed="false">
      <c r="A207" s="196" t="str">
        <f aca="false">IF(A206&lt;mthend,EDATE(A206,1),"")</f>
        <v/>
      </c>
      <c r="B207" s="197" t="str">
        <f aca="false">IF(A207&lt;mthend,B206,"")</f>
        <v/>
      </c>
      <c r="C207" s="215"/>
      <c r="D207" s="197" t="str">
        <f aca="false">IF(A208&lt;&gt;"",B207+C207,"")</f>
        <v/>
      </c>
      <c r="E207" s="199" t="str">
        <f aca="false">IF(A208="","",IF(AND(AT207=1,$H$3=1),D207*AO207,IF($H$3=2,D207,"N/A")))</f>
        <v/>
      </c>
      <c r="F207" s="199" t="str">
        <f aca="false">IF(A208="","",E207*AS207)</f>
        <v/>
      </c>
      <c r="G207" s="200" t="str">
        <f aca="false">IF($A208="","",VLOOKUP($A207,Table,MATCH(G$4,Curves,0)))</f>
        <v/>
      </c>
      <c r="H207" s="201" t="str">
        <f aca="false">IF(A208="","",G207)</f>
        <v/>
      </c>
      <c r="I207" s="202"/>
      <c r="J207" s="200" t="str">
        <f aca="false">IF($A208="","",VLOOKUP($A207,Table,MATCH(J$4,Curves,0)))</f>
        <v/>
      </c>
      <c r="K207" s="201" t="str">
        <f aca="false">IF(A208="","",J207)</f>
        <v/>
      </c>
      <c r="L207" s="200" t="str">
        <f aca="false">IF($A208="","",VLOOKUP($A207,Table,MATCH(L$4,Curves,0)))</f>
        <v/>
      </c>
      <c r="M207" s="201" t="str">
        <f aca="false">IF(A208="","",L207)</f>
        <v/>
      </c>
      <c r="N207" s="203"/>
      <c r="O207" s="200" t="str">
        <f aca="false">IF(A208="","",L207+J207+G207)</f>
        <v/>
      </c>
      <c r="P207" s="200" t="str">
        <f aca="false">IF(A208="","",M207+K207+H207)</f>
        <v/>
      </c>
      <c r="Q207" s="204"/>
      <c r="R207" s="200" t="str">
        <f aca="false">IF($A208="","",VLOOKUP($A207,Table,MATCH(R$4,Curves,0)))</f>
        <v/>
      </c>
      <c r="S207" s="201" t="str">
        <f aca="false">IF(A208="","",R207)</f>
        <v/>
      </c>
      <c r="T207" s="200" t="str">
        <f aca="false">IF($A208="","",VLOOKUP($A207,Table,MATCH(T$4,Curves,0)))</f>
        <v/>
      </c>
      <c r="U207" s="201" t="str">
        <f aca="false">IF(A208="","",T207)</f>
        <v/>
      </c>
      <c r="V207" s="183" t="str">
        <f aca="false">IF($A208="","",IF(AND(MONTH(A207)&gt;3,MONTH(A207)&lt;11),(T207+R207+G207)*Summary!$T$7/(1-Summary!$T$7),(T207+R207+G207)*Summary!$U$7/(1-Summary!$U$7)))</f>
        <v/>
      </c>
      <c r="W207" s="200" t="str">
        <f aca="false">IF($A208="","",(T207+R207+G207+V207))</f>
        <v/>
      </c>
      <c r="X207" s="200" t="str">
        <f aca="false">IF($A208="","",(U207+S207+H207+V207))</f>
        <v/>
      </c>
      <c r="Y207" s="202"/>
      <c r="Z207" s="185" t="str">
        <f aca="false">IF($A208="","",VLOOKUP($A207,Table,MATCH(Z$4,Curves,0)))</f>
        <v/>
      </c>
      <c r="AA207" s="185" t="str">
        <f aca="false">IF($A208="","",VLOOKUP($A207,Table,MATCH(AA$4,Curves,0)))</f>
        <v/>
      </c>
      <c r="AB207" s="185" t="e">
        <f aca="false">SQRT((AA207^2*(A207-$D$3)+Z207^2*(DAY(EOMONTH(A207,0))/2))/AK207)</f>
        <v>#VALUE!</v>
      </c>
      <c r="AC207" s="185" t="str">
        <f aca="false">IF($A208="","",VLOOKUP($A207,Table,MATCH(AC$4,Curves,0)))</f>
        <v/>
      </c>
      <c r="AD207" s="185" t="str">
        <f aca="false">IF($A208="","",VLOOKUP($A207,Table,MATCH(AD$4,Curves,0)))</f>
        <v/>
      </c>
      <c r="AE207" s="185" t="e">
        <f aca="false">SQRT((AD207^2*(A207-$D$3)+AC207^2*(DAY(EOMONTH(A207,0))/2))/AK207)</f>
        <v>#VALUE!</v>
      </c>
      <c r="AF207" s="206" t="e">
        <f aca="false">((Summary!$N$7*(AA207*AD207)*(A207-$D$3))+(Summary!$M$7*Z207*AC207*(DAY(EOMONTH(A207,0))/2)))/(AK207*AB207*AE207)</f>
        <v>#VALUE!</v>
      </c>
      <c r="AG207" s="207" t="str">
        <f aca="false">IF($A208="","",Summary!$Q$7)</f>
        <v/>
      </c>
      <c r="AH207" s="207" t="str">
        <f aca="false">IF($A208="","",IF(Summary!$R$7="Y",(VLOOKUP($A207,Summary!$AD$6:$AF$9,3)+'Escalating commodity'!C220),'Escalating commodity'!C220))</f>
        <v/>
      </c>
      <c r="AI207" s="207" t="str">
        <f aca="false">IF($A208="","",AH207)</f>
        <v/>
      </c>
      <c r="AJ207" s="208" t="e">
        <f aca="false">A207+DAY(EOMONTH(A207,0))/2-1</f>
        <v>#VALUE!</v>
      </c>
      <c r="AK207" s="209" t="str">
        <f aca="false">IF($A208="","",$A207-$E$1)</f>
        <v/>
      </c>
      <c r="AL207" s="182" t="str">
        <f aca="false">IF($A208="","",SPRDOPT(P207,X207,AI207,0,AB207,AE207,AF207,AK207,$AJ$2,0))</f>
        <v/>
      </c>
      <c r="AM207" s="210" t="str">
        <f aca="false">IF($A208="","",MAX(0,O207-W207-AI207))</f>
        <v/>
      </c>
      <c r="AN207" s="211" t="str">
        <f aca="false">IF($A208="","",AL207-AM207)</f>
        <v/>
      </c>
      <c r="AO207" s="137" t="str">
        <f aca="false">IF(A208="","",A208-A207)</f>
        <v/>
      </c>
      <c r="AP207" s="212" t="str">
        <f aca="false">IF(A208="","",CHOOSE(F$3,A208+24,A207))</f>
        <v/>
      </c>
      <c r="AQ207" s="209" t="str">
        <f aca="false">IF(A208="","",AP207-$E$1)</f>
        <v/>
      </c>
      <c r="AR207" s="185" t="n">
        <f aca="false">IF(Summary!$H$2=1,VLOOKUP('ANR OK vs ML7'!A207,Curves!$C$17:$AR$273,MATCH('ANR OK vs ML7'!$AR$4,Curves!$C$8:$AQ$8,0)),0.1)</f>
        <v>0.1</v>
      </c>
      <c r="AS207" s="213" t="str">
        <f aca="false">IF(A208="","",1/(1+CHOOSE(F$3,(AR208+($I$3/10000))/2,(AR207+($I$3/10000))/2))^(2*AQ207/365.25))</f>
        <v/>
      </c>
      <c r="AT207" s="137" t="str">
        <f aca="false">IF(A208="","",IF(AND(mthbeg&lt;=A207,mthend&gt;=A207),1,0))</f>
        <v/>
      </c>
      <c r="AU207" s="137" t="str">
        <f aca="false">IF(A208="","",AO207*AT207)</f>
        <v/>
      </c>
      <c r="AW207" s="195" t="str">
        <f aca="false">IF($A208="","",AL207*$E207)</f>
        <v/>
      </c>
      <c r="AX207" s="195" t="str">
        <f aca="false">IF($A208="","",AM207*$E207)</f>
        <v/>
      </c>
      <c r="AY207" s="195" t="str">
        <f aca="false">IF($A208="","",AN207*$E207)</f>
        <v/>
      </c>
      <c r="BA207" s="195" t="str">
        <f aca="false">IF($A208="","",F207*Summary!$Q$7)</f>
        <v/>
      </c>
    </row>
    <row r="208" customFormat="false" ht="12" hidden="false" customHeight="true" outlineLevel="0" collapsed="false">
      <c r="A208" s="196" t="str">
        <f aca="false">IF(A207&lt;mthend,EDATE(A207,1),"")</f>
        <v/>
      </c>
      <c r="B208" s="197" t="str">
        <f aca="false">IF(A208&lt;mthend,B207,"")</f>
        <v/>
      </c>
      <c r="C208" s="215"/>
      <c r="D208" s="197" t="str">
        <f aca="false">IF(A209&lt;&gt;"",B208+C208,"")</f>
        <v/>
      </c>
      <c r="E208" s="199" t="str">
        <f aca="false">IF(A209="","",IF(AND(AT208=1,$H$3=1),D208*AO208,IF($H$3=2,D208,"N/A")))</f>
        <v/>
      </c>
      <c r="F208" s="199" t="str">
        <f aca="false">IF(A209="","",E208*AS208)</f>
        <v/>
      </c>
      <c r="G208" s="200" t="str">
        <f aca="false">IF($A209="","",VLOOKUP($A208,Table,MATCH(G$4,Curves,0)))</f>
        <v/>
      </c>
      <c r="H208" s="201" t="str">
        <f aca="false">IF(A209="","",G208)</f>
        <v/>
      </c>
      <c r="I208" s="202"/>
      <c r="J208" s="200" t="str">
        <f aca="false">IF($A209="","",VLOOKUP($A208,Table,MATCH(J$4,Curves,0)))</f>
        <v/>
      </c>
      <c r="K208" s="201" t="str">
        <f aca="false">IF(A209="","",J208)</f>
        <v/>
      </c>
      <c r="L208" s="200" t="str">
        <f aca="false">IF($A209="","",VLOOKUP($A208,Table,MATCH(L$4,Curves,0)))</f>
        <v/>
      </c>
      <c r="M208" s="201" t="str">
        <f aca="false">IF(A209="","",L208)</f>
        <v/>
      </c>
      <c r="N208" s="203"/>
      <c r="O208" s="200" t="str">
        <f aca="false">IF(A209="","",L208+J208+G208)</f>
        <v/>
      </c>
      <c r="P208" s="200" t="str">
        <f aca="false">IF(A209="","",M208+K208+H208)</f>
        <v/>
      </c>
      <c r="Q208" s="204"/>
      <c r="R208" s="200" t="str">
        <f aca="false">IF($A209="","",VLOOKUP($A208,Table,MATCH(R$4,Curves,0)))</f>
        <v/>
      </c>
      <c r="S208" s="201" t="str">
        <f aca="false">IF(A209="","",R208)</f>
        <v/>
      </c>
      <c r="T208" s="200" t="str">
        <f aca="false">IF($A209="","",VLOOKUP($A208,Table,MATCH(T$4,Curves,0)))</f>
        <v/>
      </c>
      <c r="U208" s="201" t="str">
        <f aca="false">IF(A209="","",T208)</f>
        <v/>
      </c>
      <c r="V208" s="183" t="str">
        <f aca="false">IF($A209="","",IF(AND(MONTH(A208)&gt;3,MONTH(A208)&lt;11),(T208+R208+G208)*Summary!$T$7/(1-Summary!$T$7),(T208+R208+G208)*Summary!$U$7/(1-Summary!$U$7)))</f>
        <v/>
      </c>
      <c r="W208" s="200" t="str">
        <f aca="false">IF($A209="","",(T208+R208+G208+V208))</f>
        <v/>
      </c>
      <c r="X208" s="200" t="str">
        <f aca="false">IF($A209="","",(U208+S208+H208+V208))</f>
        <v/>
      </c>
      <c r="Y208" s="202"/>
      <c r="Z208" s="185" t="str">
        <f aca="false">IF($A209="","",VLOOKUP($A208,Table,MATCH(Z$4,Curves,0)))</f>
        <v/>
      </c>
      <c r="AA208" s="185" t="str">
        <f aca="false">IF($A209="","",VLOOKUP($A208,Table,MATCH(AA$4,Curves,0)))</f>
        <v/>
      </c>
      <c r="AB208" s="185" t="e">
        <f aca="false">SQRT((AA208^2*(A208-$D$3)+Z208^2*(DAY(EOMONTH(A208,0))/2))/AK208)</f>
        <v>#VALUE!</v>
      </c>
      <c r="AC208" s="185" t="str">
        <f aca="false">IF($A209="","",VLOOKUP($A208,Table,MATCH(AC$4,Curves,0)))</f>
        <v/>
      </c>
      <c r="AD208" s="185" t="str">
        <f aca="false">IF($A209="","",VLOOKUP($A208,Table,MATCH(AD$4,Curves,0)))</f>
        <v/>
      </c>
      <c r="AE208" s="185" t="e">
        <f aca="false">SQRT((AD208^2*(A208-$D$3)+AC208^2*(DAY(EOMONTH(A208,0))/2))/AK208)</f>
        <v>#VALUE!</v>
      </c>
      <c r="AF208" s="206" t="e">
        <f aca="false">((Summary!$N$7*(AA208*AD208)*(A208-$D$3))+(Summary!$M$7*Z208*AC208*(DAY(EOMONTH(A208,0))/2)))/(AK208*AB208*AE208)</f>
        <v>#VALUE!</v>
      </c>
      <c r="AG208" s="207" t="str">
        <f aca="false">IF($A209="","",Summary!$Q$7)</f>
        <v/>
      </c>
      <c r="AH208" s="207" t="str">
        <f aca="false">IF($A209="","",IF(Summary!$R$7="Y",(VLOOKUP($A208,Summary!$AD$6:$AF$9,3)+'Escalating commodity'!C221),'Escalating commodity'!C221))</f>
        <v/>
      </c>
      <c r="AI208" s="207" t="str">
        <f aca="false">IF($A209="","",AH208)</f>
        <v/>
      </c>
      <c r="AJ208" s="208" t="e">
        <f aca="false">A208+DAY(EOMONTH(A208,0))/2-1</f>
        <v>#VALUE!</v>
      </c>
      <c r="AK208" s="209" t="str">
        <f aca="false">IF($A209="","",$A208-$E$1)</f>
        <v/>
      </c>
      <c r="AL208" s="182" t="str">
        <f aca="false">IF($A209="","",SPRDOPT(P208,X208,AI208,0,AB208,AE208,AF208,AK208,$AJ$2,0))</f>
        <v/>
      </c>
      <c r="AM208" s="210" t="str">
        <f aca="false">IF($A209="","",MAX(0,O208-W208-AI208))</f>
        <v/>
      </c>
      <c r="AN208" s="211" t="str">
        <f aca="false">IF($A209="","",AL208-AM208)</f>
        <v/>
      </c>
      <c r="AO208" s="137" t="str">
        <f aca="false">IF(A209="","",A209-A208)</f>
        <v/>
      </c>
      <c r="AP208" s="212" t="str">
        <f aca="false">IF(A209="","",CHOOSE(F$3,A209+24,A208))</f>
        <v/>
      </c>
      <c r="AQ208" s="209" t="str">
        <f aca="false">IF(A209="","",AP208-$E$1)</f>
        <v/>
      </c>
      <c r="AR208" s="185" t="n">
        <f aca="false">IF(Summary!$H$2=1,VLOOKUP('ANR OK vs ML7'!A208,Curves!$C$17:$AR$273,MATCH('ANR OK vs ML7'!$AR$4,Curves!$C$8:$AQ$8,0)),0.1)</f>
        <v>0.1</v>
      </c>
      <c r="AS208" s="213" t="str">
        <f aca="false">IF(A209="","",1/(1+CHOOSE(F$3,(AR209+($I$3/10000))/2,(AR208+($I$3/10000))/2))^(2*AQ208/365.25))</f>
        <v/>
      </c>
      <c r="AT208" s="137" t="str">
        <f aca="false">IF(A209="","",IF(AND(mthbeg&lt;=A208,mthend&gt;=A208),1,0))</f>
        <v/>
      </c>
      <c r="AU208" s="137" t="str">
        <f aca="false">IF(A209="","",AO208*AT208)</f>
        <v/>
      </c>
      <c r="AW208" s="195" t="str">
        <f aca="false">IF($A209="","",AL208*$E208)</f>
        <v/>
      </c>
      <c r="AX208" s="195" t="str">
        <f aca="false">IF($A209="","",AM208*$E208)</f>
        <v/>
      </c>
      <c r="AY208" s="195" t="str">
        <f aca="false">IF($A209="","",AN208*$E208)</f>
        <v/>
      </c>
      <c r="BA208" s="195" t="str">
        <f aca="false">IF($A209="","",F208*Summary!$Q$7)</f>
        <v/>
      </c>
    </row>
    <row r="209" customFormat="false" ht="12" hidden="false" customHeight="true" outlineLevel="0" collapsed="false">
      <c r="A209" s="196" t="str">
        <f aca="false">IF(A208&lt;mthend,EDATE(A208,1),"")</f>
        <v/>
      </c>
      <c r="B209" s="197" t="str">
        <f aca="false">IF(A209&lt;mthend,B208,"")</f>
        <v/>
      </c>
      <c r="C209" s="215"/>
      <c r="D209" s="197" t="str">
        <f aca="false">IF(A210&lt;&gt;"",B209+C209,"")</f>
        <v/>
      </c>
      <c r="E209" s="199" t="str">
        <f aca="false">IF(A210="","",IF(AND(AT209=1,$H$3=1),D209*AO209,IF($H$3=2,D209,"N/A")))</f>
        <v/>
      </c>
      <c r="F209" s="199" t="str">
        <f aca="false">IF(A210="","",E209*AS209)</f>
        <v/>
      </c>
      <c r="G209" s="200" t="str">
        <f aca="false">IF($A210="","",VLOOKUP($A209,Table,MATCH(G$4,Curves,0)))</f>
        <v/>
      </c>
      <c r="H209" s="201" t="str">
        <f aca="false">IF(A210="","",G209)</f>
        <v/>
      </c>
      <c r="I209" s="202"/>
      <c r="J209" s="200" t="str">
        <f aca="false">IF($A210="","",VLOOKUP($A209,Table,MATCH(J$4,Curves,0)))</f>
        <v/>
      </c>
      <c r="K209" s="201" t="str">
        <f aca="false">IF(A210="","",J209)</f>
        <v/>
      </c>
      <c r="L209" s="200" t="str">
        <f aca="false">IF($A210="","",VLOOKUP($A209,Table,MATCH(L$4,Curves,0)))</f>
        <v/>
      </c>
      <c r="M209" s="201" t="str">
        <f aca="false">IF(A210="","",L209)</f>
        <v/>
      </c>
      <c r="N209" s="203"/>
      <c r="O209" s="200" t="str">
        <f aca="false">IF(A210="","",L209+J209+G209)</f>
        <v/>
      </c>
      <c r="P209" s="200" t="str">
        <f aca="false">IF(A210="","",M209+K209+H209)</f>
        <v/>
      </c>
      <c r="Q209" s="204"/>
      <c r="R209" s="200" t="str">
        <f aca="false">IF($A210="","",VLOOKUP($A209,Table,MATCH(R$4,Curves,0)))</f>
        <v/>
      </c>
      <c r="S209" s="201" t="str">
        <f aca="false">IF(A210="","",R209)</f>
        <v/>
      </c>
      <c r="T209" s="200" t="str">
        <f aca="false">IF($A210="","",VLOOKUP($A209,Table,MATCH(T$4,Curves,0)))</f>
        <v/>
      </c>
      <c r="U209" s="201" t="str">
        <f aca="false">IF(A210="","",T209)</f>
        <v/>
      </c>
      <c r="V209" s="183" t="str">
        <f aca="false">IF($A210="","",IF(AND(MONTH(A209)&gt;3,MONTH(A209)&lt;11),(T209+R209+G209)*Summary!$T$7/(1-Summary!$T$7),(T209+R209+G209)*Summary!$U$7/(1-Summary!$U$7)))</f>
        <v/>
      </c>
      <c r="W209" s="200" t="str">
        <f aca="false">IF($A210="","",(T209+R209+G209+V209))</f>
        <v/>
      </c>
      <c r="X209" s="200" t="str">
        <f aca="false">IF($A210="","",(U209+S209+H209+V209))</f>
        <v/>
      </c>
      <c r="Y209" s="202"/>
      <c r="Z209" s="185" t="str">
        <f aca="false">IF($A210="","",VLOOKUP($A209,Table,MATCH(Z$4,Curves,0)))</f>
        <v/>
      </c>
      <c r="AA209" s="185" t="str">
        <f aca="false">IF($A210="","",VLOOKUP($A209,Table,MATCH(AA$4,Curves,0)))</f>
        <v/>
      </c>
      <c r="AB209" s="185" t="e">
        <f aca="false">SQRT((AA209^2*(A209-$D$3)+Z209^2*(DAY(EOMONTH(A209,0))/2))/AK209)</f>
        <v>#VALUE!</v>
      </c>
      <c r="AC209" s="185" t="str">
        <f aca="false">IF($A210="","",VLOOKUP($A209,Table,MATCH(AC$4,Curves,0)))</f>
        <v/>
      </c>
      <c r="AD209" s="185" t="str">
        <f aca="false">IF($A210="","",VLOOKUP($A209,Table,MATCH(AD$4,Curves,0)))</f>
        <v/>
      </c>
      <c r="AE209" s="185" t="e">
        <f aca="false">SQRT((AD209^2*(A209-$D$3)+AC209^2*(DAY(EOMONTH(A209,0))/2))/AK209)</f>
        <v>#VALUE!</v>
      </c>
      <c r="AF209" s="206" t="e">
        <f aca="false">((Summary!$N$7*(AA209*AD209)*(A209-$D$3))+(Summary!$M$7*Z209*AC209*(DAY(EOMONTH(A209,0))/2)))/(AK209*AB209*AE209)</f>
        <v>#VALUE!</v>
      </c>
      <c r="AG209" s="207" t="str">
        <f aca="false">IF($A210="","",Summary!$Q$7)</f>
        <v/>
      </c>
      <c r="AH209" s="207" t="str">
        <f aca="false">IF($A210="","",IF(Summary!$R$7="Y",(VLOOKUP($A209,Summary!$AD$6:$AF$9,3)+'Escalating commodity'!C222),'Escalating commodity'!C222))</f>
        <v/>
      </c>
      <c r="AI209" s="207" t="str">
        <f aca="false">IF($A210="","",AH209)</f>
        <v/>
      </c>
      <c r="AJ209" s="208" t="e">
        <f aca="false">A209+DAY(EOMONTH(A209,0))/2-1</f>
        <v>#VALUE!</v>
      </c>
      <c r="AK209" s="209" t="str">
        <f aca="false">IF($A210="","",$A209-$E$1)</f>
        <v/>
      </c>
      <c r="AL209" s="182" t="str">
        <f aca="false">IF($A210="","",SPRDOPT(P209,X209,AI209,0,AB209,AE209,AF209,AK209,$AJ$2,0))</f>
        <v/>
      </c>
      <c r="AM209" s="210" t="str">
        <f aca="false">IF($A210="","",MAX(0,O209-W209-AI209))</f>
        <v/>
      </c>
      <c r="AN209" s="211" t="str">
        <f aca="false">IF($A210="","",AL209-AM209)</f>
        <v/>
      </c>
      <c r="AO209" s="137" t="str">
        <f aca="false">IF(A210="","",A210-A209)</f>
        <v/>
      </c>
      <c r="AP209" s="212" t="str">
        <f aca="false">IF(A210="","",CHOOSE(F$3,A210+24,A209))</f>
        <v/>
      </c>
      <c r="AQ209" s="209" t="str">
        <f aca="false">IF(A210="","",AP209-$E$1)</f>
        <v/>
      </c>
      <c r="AR209" s="185" t="n">
        <f aca="false">IF(Summary!$H$2=1,VLOOKUP('ANR OK vs ML7'!A209,Curves!$C$17:$AR$273,MATCH('ANR OK vs ML7'!$AR$4,Curves!$C$8:$AQ$8,0)),0.1)</f>
        <v>0.1</v>
      </c>
      <c r="AS209" s="213" t="str">
        <f aca="false">IF(A210="","",1/(1+CHOOSE(F$3,(AR210+($I$3/10000))/2,(AR209+($I$3/10000))/2))^(2*AQ209/365.25))</f>
        <v/>
      </c>
      <c r="AT209" s="137" t="str">
        <f aca="false">IF(A210="","",IF(AND(mthbeg&lt;=A209,mthend&gt;=A209),1,0))</f>
        <v/>
      </c>
      <c r="AU209" s="137" t="str">
        <f aca="false">IF(A210="","",AO209*AT209)</f>
        <v/>
      </c>
      <c r="AW209" s="195" t="str">
        <f aca="false">IF($A210="","",AL209*$E209)</f>
        <v/>
      </c>
      <c r="AX209" s="195" t="str">
        <f aca="false">IF($A210="","",AM209*$E209)</f>
        <v/>
      </c>
      <c r="AY209" s="195" t="str">
        <f aca="false">IF($A210="","",AN209*$E209)</f>
        <v/>
      </c>
      <c r="BA209" s="195" t="str">
        <f aca="false">IF($A210="","",F209*Summary!$Q$7)</f>
        <v/>
      </c>
    </row>
    <row r="210" customFormat="false" ht="12" hidden="false" customHeight="true" outlineLevel="0" collapsed="false">
      <c r="A210" s="196" t="str">
        <f aca="false">IF(A209&lt;mthend,EDATE(A209,1),"")</f>
        <v/>
      </c>
      <c r="B210" s="197" t="str">
        <f aca="false">IF(A210&lt;mthend,B209,"")</f>
        <v/>
      </c>
      <c r="C210" s="215"/>
      <c r="D210" s="197" t="str">
        <f aca="false">IF(A211&lt;&gt;"",B210+C210,"")</f>
        <v/>
      </c>
      <c r="E210" s="199" t="str">
        <f aca="false">IF(A211="","",IF(AND(AT210=1,$H$3=1),D210*AO210,IF($H$3=2,D210,"N/A")))</f>
        <v/>
      </c>
      <c r="F210" s="199" t="str">
        <f aca="false">IF(A211="","",E210*AS210)</f>
        <v/>
      </c>
      <c r="G210" s="200" t="str">
        <f aca="false">IF($A211="","",VLOOKUP($A210,Table,MATCH(G$4,Curves,0)))</f>
        <v/>
      </c>
      <c r="H210" s="201" t="str">
        <f aca="false">IF(A211="","",G210)</f>
        <v/>
      </c>
      <c r="I210" s="202"/>
      <c r="J210" s="200" t="str">
        <f aca="false">IF($A211="","",VLOOKUP($A210,Table,MATCH(J$4,Curves,0)))</f>
        <v/>
      </c>
      <c r="K210" s="201" t="str">
        <f aca="false">IF(A211="","",J210)</f>
        <v/>
      </c>
      <c r="L210" s="200" t="str">
        <f aca="false">IF($A211="","",VLOOKUP($A210,Table,MATCH(L$4,Curves,0)))</f>
        <v/>
      </c>
      <c r="M210" s="201" t="str">
        <f aca="false">IF(A211="","",L210)</f>
        <v/>
      </c>
      <c r="N210" s="203"/>
      <c r="O210" s="200" t="str">
        <f aca="false">IF(A211="","",L210+J210+G210)</f>
        <v/>
      </c>
      <c r="P210" s="200" t="str">
        <f aca="false">IF(A211="","",M210+K210+H210)</f>
        <v/>
      </c>
      <c r="Q210" s="204"/>
      <c r="R210" s="200" t="str">
        <f aca="false">IF($A211="","",VLOOKUP($A210,Table,MATCH(R$4,Curves,0)))</f>
        <v/>
      </c>
      <c r="S210" s="201" t="str">
        <f aca="false">IF(A211="","",R210)</f>
        <v/>
      </c>
      <c r="T210" s="200" t="str">
        <f aca="false">IF($A211="","",VLOOKUP($A210,Table,MATCH(T$4,Curves,0)))</f>
        <v/>
      </c>
      <c r="U210" s="201" t="str">
        <f aca="false">IF(A211="","",T210)</f>
        <v/>
      </c>
      <c r="V210" s="183" t="str">
        <f aca="false">IF($A211="","",IF(AND(MONTH(A210)&gt;3,MONTH(A210)&lt;11),(T210+R210+G210)*Summary!$T$7/(1-Summary!$T$7),(T210+R210+G210)*Summary!$U$7/(1-Summary!$U$7)))</f>
        <v/>
      </c>
      <c r="W210" s="200" t="str">
        <f aca="false">IF($A211="","",(T210+R210+G210+V210))</f>
        <v/>
      </c>
      <c r="X210" s="200" t="str">
        <f aca="false">IF($A211="","",(U210+S210+H210+V210))</f>
        <v/>
      </c>
      <c r="Y210" s="202"/>
      <c r="Z210" s="185" t="str">
        <f aca="false">IF($A211="","",VLOOKUP($A210,Table,MATCH(Z$4,Curves,0)))</f>
        <v/>
      </c>
      <c r="AA210" s="185" t="str">
        <f aca="false">IF($A211="","",VLOOKUP($A210,Table,MATCH(AA$4,Curves,0)))</f>
        <v/>
      </c>
      <c r="AB210" s="185" t="e">
        <f aca="false">SQRT((AA210^2*(A210-$D$3)+Z210^2*(DAY(EOMONTH(A210,0))/2))/AK210)</f>
        <v>#VALUE!</v>
      </c>
      <c r="AC210" s="185" t="str">
        <f aca="false">IF($A211="","",VLOOKUP($A210,Table,MATCH(AC$4,Curves,0)))</f>
        <v/>
      </c>
      <c r="AD210" s="185" t="str">
        <f aca="false">IF($A211="","",VLOOKUP($A210,Table,MATCH(AD$4,Curves,0)))</f>
        <v/>
      </c>
      <c r="AE210" s="185" t="e">
        <f aca="false">SQRT((AD210^2*(A210-$D$3)+AC210^2*(DAY(EOMONTH(A210,0))/2))/AK210)</f>
        <v>#VALUE!</v>
      </c>
      <c r="AF210" s="206" t="e">
        <f aca="false">((Summary!$N$7*(AA210*AD210)*(A210-$D$3))+(Summary!$M$7*Z210*AC210*(DAY(EOMONTH(A210,0))/2)))/(AK210*AB210*AE210)</f>
        <v>#VALUE!</v>
      </c>
      <c r="AG210" s="207" t="str">
        <f aca="false">IF($A211="","",Summary!$Q$7)</f>
        <v/>
      </c>
      <c r="AH210" s="207" t="str">
        <f aca="false">IF($A211="","",IF(Summary!$R$7="Y",(VLOOKUP($A210,Summary!$AD$6:$AF$9,3)+'Escalating commodity'!C223),'Escalating commodity'!C223))</f>
        <v/>
      </c>
      <c r="AI210" s="207" t="str">
        <f aca="false">IF($A211="","",AH210)</f>
        <v/>
      </c>
      <c r="AJ210" s="208" t="e">
        <f aca="false">A210+DAY(EOMONTH(A210,0))/2-1</f>
        <v>#VALUE!</v>
      </c>
      <c r="AK210" s="209" t="str">
        <f aca="false">IF($A211="","",$A210-$E$1)</f>
        <v/>
      </c>
      <c r="AL210" s="182" t="str">
        <f aca="false">IF($A211="","",SPRDOPT(P210,X210,AI210,0,AB210,AE210,AF210,AK210,$AJ$2,0))</f>
        <v/>
      </c>
      <c r="AM210" s="210" t="str">
        <f aca="false">IF($A211="","",MAX(0,O210-W210-AI210))</f>
        <v/>
      </c>
      <c r="AN210" s="211" t="str">
        <f aca="false">IF($A211="","",AL210-AM210)</f>
        <v/>
      </c>
      <c r="AO210" s="137" t="str">
        <f aca="false">IF(A211="","",A211-A210)</f>
        <v/>
      </c>
      <c r="AP210" s="212" t="str">
        <f aca="false">IF(A211="","",CHOOSE(F$3,A211+24,A210))</f>
        <v/>
      </c>
      <c r="AQ210" s="209" t="str">
        <f aca="false">IF(A211="","",AP210-$E$1)</f>
        <v/>
      </c>
      <c r="AR210" s="185" t="n">
        <f aca="false">IF(Summary!$H$2=1,VLOOKUP('ANR OK vs ML7'!A210,Curves!$C$17:$AR$273,MATCH('ANR OK vs ML7'!$AR$4,Curves!$C$8:$AQ$8,0)),0.1)</f>
        <v>0.1</v>
      </c>
      <c r="AS210" s="213" t="str">
        <f aca="false">IF(A211="","",1/(1+CHOOSE(F$3,(AR211+($I$3/10000))/2,(AR210+($I$3/10000))/2))^(2*AQ210/365.25))</f>
        <v/>
      </c>
      <c r="AT210" s="137" t="str">
        <f aca="false">IF(A211="","",IF(AND(mthbeg&lt;=A210,mthend&gt;=A210),1,0))</f>
        <v/>
      </c>
      <c r="AU210" s="137" t="str">
        <f aca="false">IF(A211="","",AO210*AT210)</f>
        <v/>
      </c>
      <c r="AW210" s="195" t="str">
        <f aca="false">IF($A211="","",AL210*$E210)</f>
        <v/>
      </c>
      <c r="AX210" s="195" t="str">
        <f aca="false">IF($A211="","",AM210*$E210)</f>
        <v/>
      </c>
      <c r="AY210" s="195" t="str">
        <f aca="false">IF($A211="","",AN210*$E210)</f>
        <v/>
      </c>
      <c r="BA210" s="195" t="str">
        <f aca="false">IF($A211="","",F210*Summary!$Q$7)</f>
        <v/>
      </c>
    </row>
    <row r="211" customFormat="false" ht="12" hidden="false" customHeight="true" outlineLevel="0" collapsed="false">
      <c r="A211" s="196" t="str">
        <f aca="false">IF(A210&lt;mthend,EDATE(A210,1),"")</f>
        <v/>
      </c>
      <c r="B211" s="197" t="str">
        <f aca="false">IF(A211&lt;mthend,B210,"")</f>
        <v/>
      </c>
      <c r="C211" s="215"/>
      <c r="D211" s="197" t="str">
        <f aca="false">IF(A212&lt;&gt;"",B211+C211,"")</f>
        <v/>
      </c>
      <c r="E211" s="199" t="str">
        <f aca="false">IF(A212="","",IF(AND(AT211=1,$H$3=1),D211*AO211,IF($H$3=2,D211,"N/A")))</f>
        <v/>
      </c>
      <c r="F211" s="199" t="str">
        <f aca="false">IF(A212="","",E211*AS211)</f>
        <v/>
      </c>
      <c r="G211" s="200" t="str">
        <f aca="false">IF($A212="","",VLOOKUP($A211,Table,MATCH(G$4,Curves,0)))</f>
        <v/>
      </c>
      <c r="H211" s="201" t="str">
        <f aca="false">IF(A212="","",G211)</f>
        <v/>
      </c>
      <c r="I211" s="202"/>
      <c r="J211" s="200" t="str">
        <f aca="false">IF($A212="","",VLOOKUP($A211,Table,MATCH(J$4,Curves,0)))</f>
        <v/>
      </c>
      <c r="K211" s="201" t="str">
        <f aca="false">IF(A212="","",J211)</f>
        <v/>
      </c>
      <c r="L211" s="200" t="str">
        <f aca="false">IF($A212="","",VLOOKUP($A211,Table,MATCH(L$4,Curves,0)))</f>
        <v/>
      </c>
      <c r="M211" s="201" t="str">
        <f aca="false">IF(A212="","",L211)</f>
        <v/>
      </c>
      <c r="N211" s="203"/>
      <c r="O211" s="200" t="str">
        <f aca="false">IF(A212="","",L211+J211+G211)</f>
        <v/>
      </c>
      <c r="P211" s="200" t="str">
        <f aca="false">IF(A212="","",M211+K211+H211)</f>
        <v/>
      </c>
      <c r="Q211" s="204"/>
      <c r="R211" s="200" t="str">
        <f aca="false">IF($A212="","",VLOOKUP($A211,Table,MATCH(R$4,Curves,0)))</f>
        <v/>
      </c>
      <c r="S211" s="201" t="str">
        <f aca="false">IF(A212="","",R211)</f>
        <v/>
      </c>
      <c r="T211" s="200" t="str">
        <f aca="false">IF($A212="","",VLOOKUP($A211,Table,MATCH(T$4,Curves,0)))</f>
        <v/>
      </c>
      <c r="U211" s="201" t="str">
        <f aca="false">IF(A212="","",T211)</f>
        <v/>
      </c>
      <c r="V211" s="183" t="str">
        <f aca="false">IF($A212="","",IF(AND(MONTH(A211)&gt;3,MONTH(A211)&lt;11),(T211+R211+G211)*Summary!$T$7/(1-Summary!$T$7),(T211+R211+G211)*Summary!$U$7/(1-Summary!$U$7)))</f>
        <v/>
      </c>
      <c r="W211" s="200" t="str">
        <f aca="false">IF($A212="","",(T211+R211+G211+V211))</f>
        <v/>
      </c>
      <c r="X211" s="200" t="str">
        <f aca="false">IF($A212="","",(U211+S211+H211+V211))</f>
        <v/>
      </c>
      <c r="Y211" s="202"/>
      <c r="Z211" s="185" t="str">
        <f aca="false">IF($A212="","",VLOOKUP($A211,Table,MATCH(Z$4,Curves,0)))</f>
        <v/>
      </c>
      <c r="AA211" s="185" t="str">
        <f aca="false">IF($A212="","",VLOOKUP($A211,Table,MATCH(AA$4,Curves,0)))</f>
        <v/>
      </c>
      <c r="AB211" s="185" t="e">
        <f aca="false">SQRT((AA211^2*(A211-$D$3)+Z211^2*(DAY(EOMONTH(A211,0))/2))/AK211)</f>
        <v>#VALUE!</v>
      </c>
      <c r="AC211" s="185" t="str">
        <f aca="false">IF($A212="","",VLOOKUP($A211,Table,MATCH(AC$4,Curves,0)))</f>
        <v/>
      </c>
      <c r="AD211" s="185" t="str">
        <f aca="false">IF($A212="","",VLOOKUP($A211,Table,MATCH(AD$4,Curves,0)))</f>
        <v/>
      </c>
      <c r="AE211" s="185" t="e">
        <f aca="false">SQRT((AD211^2*(A211-$D$3)+AC211^2*(DAY(EOMONTH(A211,0))/2))/AK211)</f>
        <v>#VALUE!</v>
      </c>
      <c r="AF211" s="206" t="e">
        <f aca="false">((Summary!$N$7*(AA211*AD211)*(A211-$D$3))+(Summary!$M$7*Z211*AC211*(DAY(EOMONTH(A211,0))/2)))/(AK211*AB211*AE211)</f>
        <v>#VALUE!</v>
      </c>
      <c r="AG211" s="207" t="str">
        <f aca="false">IF($A212="","",Summary!$Q$7)</f>
        <v/>
      </c>
      <c r="AH211" s="207" t="str">
        <f aca="false">IF($A212="","",IF(Summary!$R$7="Y",(VLOOKUP($A211,Summary!$AD$6:$AF$9,3)+'Escalating commodity'!C224),'Escalating commodity'!C224))</f>
        <v/>
      </c>
      <c r="AI211" s="207" t="str">
        <f aca="false">IF($A212="","",AH211)</f>
        <v/>
      </c>
      <c r="AJ211" s="208" t="e">
        <f aca="false">A211+DAY(EOMONTH(A211,0))/2-1</f>
        <v>#VALUE!</v>
      </c>
      <c r="AK211" s="209" t="str">
        <f aca="false">IF($A212="","",$A211-$E$1)</f>
        <v/>
      </c>
      <c r="AL211" s="182" t="str">
        <f aca="false">IF($A212="","",SPRDOPT(P211,X211,AI211,0,AB211,AE211,AF211,AK211,$AJ$2,0))</f>
        <v/>
      </c>
      <c r="AM211" s="210" t="str">
        <f aca="false">IF($A212="","",MAX(0,O211-W211-AI211))</f>
        <v/>
      </c>
      <c r="AN211" s="211" t="str">
        <f aca="false">IF($A212="","",AL211-AM211)</f>
        <v/>
      </c>
      <c r="AO211" s="137" t="str">
        <f aca="false">IF(A212="","",A212-A211)</f>
        <v/>
      </c>
      <c r="AP211" s="212" t="str">
        <f aca="false">IF(A212="","",CHOOSE(F$3,A212+24,A211))</f>
        <v/>
      </c>
      <c r="AQ211" s="209" t="str">
        <f aca="false">IF(A212="","",AP211-$E$1)</f>
        <v/>
      </c>
      <c r="AR211" s="185" t="n">
        <f aca="false">IF(Summary!$H$2=1,VLOOKUP('ANR OK vs ML7'!A211,Curves!$C$17:$AR$273,MATCH('ANR OK vs ML7'!$AR$4,Curves!$C$8:$AQ$8,0)),0.1)</f>
        <v>0.1</v>
      </c>
      <c r="AS211" s="213" t="str">
        <f aca="false">IF(A212="","",1/(1+CHOOSE(F$3,(AR212+($I$3/10000))/2,(AR211+($I$3/10000))/2))^(2*AQ211/365.25))</f>
        <v/>
      </c>
      <c r="AT211" s="137" t="str">
        <f aca="false">IF(A212="","",IF(AND(mthbeg&lt;=A211,mthend&gt;=A211),1,0))</f>
        <v/>
      </c>
      <c r="AU211" s="137" t="str">
        <f aca="false">IF(A212="","",AO211*AT211)</f>
        <v/>
      </c>
      <c r="AW211" s="195" t="str">
        <f aca="false">IF($A212="","",AL211*$E211)</f>
        <v/>
      </c>
      <c r="AX211" s="195" t="str">
        <f aca="false">IF($A212="","",AM211*$E211)</f>
        <v/>
      </c>
      <c r="AY211" s="195" t="str">
        <f aca="false">IF($A212="","",AN211*$E211)</f>
        <v/>
      </c>
      <c r="BA211" s="195" t="str">
        <f aca="false">IF($A212="","",F211*Summary!$Q$7)</f>
        <v/>
      </c>
    </row>
    <row r="212" customFormat="false" ht="12" hidden="false" customHeight="true" outlineLevel="0" collapsed="false">
      <c r="A212" s="196" t="str">
        <f aca="false">IF(A211&lt;mthend,EDATE(A211,1),"")</f>
        <v/>
      </c>
      <c r="B212" s="197" t="str">
        <f aca="false">IF(A212&lt;mthend,B211,"")</f>
        <v/>
      </c>
      <c r="C212" s="215"/>
      <c r="D212" s="197" t="str">
        <f aca="false">IF(A213&lt;&gt;"",B212+C212,"")</f>
        <v/>
      </c>
      <c r="E212" s="199" t="str">
        <f aca="false">IF(A213="","",IF(AND(AT212=1,$H$3=1),D212*AO212,IF($H$3=2,D212,"N/A")))</f>
        <v/>
      </c>
      <c r="F212" s="199" t="str">
        <f aca="false">IF(A213="","",E212*AS212)</f>
        <v/>
      </c>
      <c r="G212" s="200" t="str">
        <f aca="false">IF($A213="","",VLOOKUP($A212,Table,MATCH(G$4,Curves,0)))</f>
        <v/>
      </c>
      <c r="H212" s="201" t="str">
        <f aca="false">IF(A213="","",G212)</f>
        <v/>
      </c>
      <c r="I212" s="202"/>
      <c r="J212" s="200" t="str">
        <f aca="false">IF($A213="","",VLOOKUP($A212,Table,MATCH(J$4,Curves,0)))</f>
        <v/>
      </c>
      <c r="K212" s="201" t="str">
        <f aca="false">IF(A213="","",J212)</f>
        <v/>
      </c>
      <c r="L212" s="200" t="str">
        <f aca="false">IF($A213="","",VLOOKUP($A212,Table,MATCH(L$4,Curves,0)))</f>
        <v/>
      </c>
      <c r="M212" s="201" t="str">
        <f aca="false">IF(A213="","",L212)</f>
        <v/>
      </c>
      <c r="N212" s="203"/>
      <c r="O212" s="200" t="str">
        <f aca="false">IF(A213="","",L212+J212+G212)</f>
        <v/>
      </c>
      <c r="P212" s="200" t="str">
        <f aca="false">IF(A213="","",M212+K212+H212)</f>
        <v/>
      </c>
      <c r="Q212" s="204"/>
      <c r="R212" s="200" t="str">
        <f aca="false">IF($A213="","",VLOOKUP($A212,Table,MATCH(R$4,Curves,0)))</f>
        <v/>
      </c>
      <c r="S212" s="201" t="str">
        <f aca="false">IF(A213="","",R212)</f>
        <v/>
      </c>
      <c r="T212" s="200" t="str">
        <f aca="false">IF($A213="","",VLOOKUP($A212,Table,MATCH(T$4,Curves,0)))</f>
        <v/>
      </c>
      <c r="U212" s="201" t="str">
        <f aca="false">IF(A213="","",T212)</f>
        <v/>
      </c>
      <c r="V212" s="183" t="str">
        <f aca="false">IF($A213="","",IF(AND(MONTH(A212)&gt;3,MONTH(A212)&lt;11),(T212+R212+G212)*Summary!$T$7/(1-Summary!$T$7),(T212+R212+G212)*Summary!$U$7/(1-Summary!$U$7)))</f>
        <v/>
      </c>
      <c r="W212" s="200" t="str">
        <f aca="false">IF($A213="","",(T212+R212+G212+V212))</f>
        <v/>
      </c>
      <c r="X212" s="200" t="str">
        <f aca="false">IF($A213="","",(U212+S212+H212+V212))</f>
        <v/>
      </c>
      <c r="Y212" s="202"/>
      <c r="Z212" s="185" t="str">
        <f aca="false">IF($A213="","",VLOOKUP($A212,Table,MATCH(Z$4,Curves,0)))</f>
        <v/>
      </c>
      <c r="AA212" s="185" t="str">
        <f aca="false">IF($A213="","",VLOOKUP($A212,Table,MATCH(AA$4,Curves,0)))</f>
        <v/>
      </c>
      <c r="AB212" s="185" t="e">
        <f aca="false">SQRT((AA212^2*(A212-$D$3)+Z212^2*(DAY(EOMONTH(A212,0))/2))/AK212)</f>
        <v>#VALUE!</v>
      </c>
      <c r="AC212" s="185" t="str">
        <f aca="false">IF($A213="","",VLOOKUP($A212,Table,MATCH(AC$4,Curves,0)))</f>
        <v/>
      </c>
      <c r="AD212" s="185" t="str">
        <f aca="false">IF($A213="","",VLOOKUP($A212,Table,MATCH(AD$4,Curves,0)))</f>
        <v/>
      </c>
      <c r="AE212" s="185" t="e">
        <f aca="false">SQRT((AD212^2*(A212-$D$3)+AC212^2*(DAY(EOMONTH(A212,0))/2))/AK212)</f>
        <v>#VALUE!</v>
      </c>
      <c r="AF212" s="206" t="e">
        <f aca="false">((Summary!$N$7*(AA212*AD212)*(A212-$D$3))+(Summary!$M$7*Z212*AC212*(DAY(EOMONTH(A212,0))/2)))/(AK212*AB212*AE212)</f>
        <v>#VALUE!</v>
      </c>
      <c r="AG212" s="207" t="str">
        <f aca="false">IF($A213="","",Summary!$Q$7)</f>
        <v/>
      </c>
      <c r="AH212" s="207" t="str">
        <f aca="false">IF($A213="","",IF(Summary!$R$7="Y",(VLOOKUP($A212,Summary!$AD$6:$AF$9,3)+'Escalating commodity'!C225),'Escalating commodity'!C225))</f>
        <v/>
      </c>
      <c r="AI212" s="207" t="str">
        <f aca="false">IF($A213="","",AH212)</f>
        <v/>
      </c>
      <c r="AJ212" s="208" t="e">
        <f aca="false">A212+DAY(EOMONTH(A212,0))/2-1</f>
        <v>#VALUE!</v>
      </c>
      <c r="AK212" s="209" t="str">
        <f aca="false">IF($A213="","",$A212-$E$1)</f>
        <v/>
      </c>
      <c r="AL212" s="182" t="str">
        <f aca="false">IF($A213="","",SPRDOPT(P212,X212,AI212,0,AB212,AE212,AF212,AK212,$AJ$2,0))</f>
        <v/>
      </c>
      <c r="AM212" s="210" t="str">
        <f aca="false">IF($A213="","",MAX(0,O212-W212-AI212))</f>
        <v/>
      </c>
      <c r="AN212" s="211" t="str">
        <f aca="false">IF($A213="","",AL212-AM212)</f>
        <v/>
      </c>
      <c r="AO212" s="137" t="str">
        <f aca="false">IF(A213="","",A213-A212)</f>
        <v/>
      </c>
      <c r="AP212" s="212" t="str">
        <f aca="false">IF(A213="","",CHOOSE(F$3,A213+24,A212))</f>
        <v/>
      </c>
      <c r="AQ212" s="209" t="str">
        <f aca="false">IF(A213="","",AP212-$E$1)</f>
        <v/>
      </c>
      <c r="AR212" s="185" t="n">
        <f aca="false">IF(Summary!$H$2=1,VLOOKUP('ANR OK vs ML7'!A212,Curves!$C$17:$AR$273,MATCH('ANR OK vs ML7'!$AR$4,Curves!$C$8:$AQ$8,0)),0.1)</f>
        <v>0.1</v>
      </c>
      <c r="AS212" s="213" t="str">
        <f aca="false">IF(A213="","",1/(1+CHOOSE(F$3,(AR213+($I$3/10000))/2,(AR212+($I$3/10000))/2))^(2*AQ212/365.25))</f>
        <v/>
      </c>
      <c r="AT212" s="137" t="str">
        <f aca="false">IF(A213="","",IF(AND(mthbeg&lt;=A212,mthend&gt;=A212),1,0))</f>
        <v/>
      </c>
      <c r="AU212" s="137" t="str">
        <f aca="false">IF(A213="","",AO212*AT212)</f>
        <v/>
      </c>
      <c r="AW212" s="195" t="str">
        <f aca="false">IF($A213="","",AL212*$E212)</f>
        <v/>
      </c>
      <c r="AX212" s="195" t="str">
        <f aca="false">IF($A213="","",AM212*$E212)</f>
        <v/>
      </c>
      <c r="AY212" s="195" t="str">
        <f aca="false">IF($A213="","",AN212*$E212)</f>
        <v/>
      </c>
      <c r="BA212" s="195" t="str">
        <f aca="false">IF($A213="","",F212*Summary!$Q$7)</f>
        <v/>
      </c>
    </row>
    <row r="213" customFormat="false" ht="12" hidden="false" customHeight="true" outlineLevel="0" collapsed="false">
      <c r="A213" s="196" t="str">
        <f aca="false">IF(A212&lt;mthend,EDATE(A212,1),"")</f>
        <v/>
      </c>
      <c r="B213" s="197" t="str">
        <f aca="false">IF(A213&lt;mthend,B212,"")</f>
        <v/>
      </c>
      <c r="C213" s="215"/>
      <c r="D213" s="197" t="str">
        <f aca="false">IF(A214&lt;&gt;"",B213+C213,"")</f>
        <v/>
      </c>
      <c r="E213" s="199" t="str">
        <f aca="false">IF(A214="","",IF(AND(AT213=1,$H$3=1),D213*AO213,IF($H$3=2,D213,"N/A")))</f>
        <v/>
      </c>
      <c r="F213" s="199" t="str">
        <f aca="false">IF(A214="","",E213*AS213)</f>
        <v/>
      </c>
      <c r="G213" s="200" t="str">
        <f aca="false">IF($A214="","",VLOOKUP($A213,Table,MATCH(G$4,Curves,0)))</f>
        <v/>
      </c>
      <c r="H213" s="201" t="str">
        <f aca="false">IF(A214="","",G213)</f>
        <v/>
      </c>
      <c r="I213" s="202"/>
      <c r="J213" s="200" t="str">
        <f aca="false">IF($A214="","",VLOOKUP($A213,Table,MATCH(J$4,Curves,0)))</f>
        <v/>
      </c>
      <c r="K213" s="201" t="str">
        <f aca="false">IF(A214="","",J213)</f>
        <v/>
      </c>
      <c r="L213" s="200" t="str">
        <f aca="false">IF($A214="","",VLOOKUP($A213,Table,MATCH(L$4,Curves,0)))</f>
        <v/>
      </c>
      <c r="M213" s="201" t="str">
        <f aca="false">IF(A214="","",L213)</f>
        <v/>
      </c>
      <c r="N213" s="203"/>
      <c r="O213" s="200" t="str">
        <f aca="false">IF(A214="","",L213+J213+G213)</f>
        <v/>
      </c>
      <c r="P213" s="200" t="str">
        <f aca="false">IF(A214="","",M213+K213+H213)</f>
        <v/>
      </c>
      <c r="Q213" s="204"/>
      <c r="R213" s="200" t="str">
        <f aca="false">IF($A214="","",VLOOKUP($A213,Table,MATCH(R$4,Curves,0)))</f>
        <v/>
      </c>
      <c r="S213" s="201" t="str">
        <f aca="false">IF(A214="","",R213)</f>
        <v/>
      </c>
      <c r="T213" s="200" t="str">
        <f aca="false">IF($A214="","",VLOOKUP($A213,Table,MATCH(T$4,Curves,0)))</f>
        <v/>
      </c>
      <c r="U213" s="201" t="str">
        <f aca="false">IF(A214="","",T213)</f>
        <v/>
      </c>
      <c r="V213" s="183" t="str">
        <f aca="false">IF($A214="","",IF(AND(MONTH(A213)&gt;3,MONTH(A213)&lt;11),(T213+R213+G213)*Summary!$T$7/(1-Summary!$T$7),(T213+R213+G213)*Summary!$U$7/(1-Summary!$U$7)))</f>
        <v/>
      </c>
      <c r="W213" s="200" t="str">
        <f aca="false">IF($A214="","",(T213+R213+G213+V213))</f>
        <v/>
      </c>
      <c r="X213" s="200" t="str">
        <f aca="false">IF($A214="","",(U213+S213+H213+V213))</f>
        <v/>
      </c>
      <c r="Y213" s="202"/>
      <c r="Z213" s="185" t="str">
        <f aca="false">IF($A214="","",VLOOKUP($A213,Table,MATCH(Z$4,Curves,0)))</f>
        <v/>
      </c>
      <c r="AA213" s="185" t="str">
        <f aca="false">IF($A214="","",VLOOKUP($A213,Table,MATCH(AA$4,Curves,0)))</f>
        <v/>
      </c>
      <c r="AB213" s="185" t="e">
        <f aca="false">SQRT((AA213^2*(A213-$D$3)+Z213^2*(DAY(EOMONTH(A213,0))/2))/AK213)</f>
        <v>#VALUE!</v>
      </c>
      <c r="AC213" s="185" t="str">
        <f aca="false">IF($A214="","",VLOOKUP($A213,Table,MATCH(AC$4,Curves,0)))</f>
        <v/>
      </c>
      <c r="AD213" s="185" t="str">
        <f aca="false">IF($A214="","",VLOOKUP($A213,Table,MATCH(AD$4,Curves,0)))</f>
        <v/>
      </c>
      <c r="AE213" s="185" t="e">
        <f aca="false">SQRT((AD213^2*(A213-$D$3)+AC213^2*(DAY(EOMONTH(A213,0))/2))/AK213)</f>
        <v>#VALUE!</v>
      </c>
      <c r="AF213" s="206" t="e">
        <f aca="false">((Summary!$N$7*(AA213*AD213)*(A213-$D$3))+(Summary!$M$7*Z213*AC213*(DAY(EOMONTH(A213,0))/2)))/(AK213*AB213*AE213)</f>
        <v>#VALUE!</v>
      </c>
      <c r="AG213" s="207" t="str">
        <f aca="false">IF($A214="","",Summary!$Q$7)</f>
        <v/>
      </c>
      <c r="AH213" s="207" t="str">
        <f aca="false">IF($A214="","",IF(Summary!$R$7="Y",(VLOOKUP($A213,Summary!$AD$6:$AF$9,3)+'Escalating commodity'!C226),'Escalating commodity'!C226))</f>
        <v/>
      </c>
      <c r="AI213" s="207" t="str">
        <f aca="false">IF($A214="","",AH213)</f>
        <v/>
      </c>
      <c r="AJ213" s="208" t="e">
        <f aca="false">A213+DAY(EOMONTH(A213,0))/2-1</f>
        <v>#VALUE!</v>
      </c>
      <c r="AK213" s="209" t="str">
        <f aca="false">IF($A214="","",$A213-$E$1)</f>
        <v/>
      </c>
      <c r="AL213" s="182" t="str">
        <f aca="false">IF($A214="","",SPRDOPT(P213,X213,AI213,0,AB213,AE213,AF213,AK213,$AJ$2,0))</f>
        <v/>
      </c>
      <c r="AM213" s="210" t="str">
        <f aca="false">IF($A214="","",MAX(0,O213-W213-AI213))</f>
        <v/>
      </c>
      <c r="AN213" s="211" t="str">
        <f aca="false">IF($A214="","",AL213-AM213)</f>
        <v/>
      </c>
      <c r="AO213" s="137" t="str">
        <f aca="false">IF(A214="","",A214-A213)</f>
        <v/>
      </c>
      <c r="AP213" s="212" t="str">
        <f aca="false">IF(A214="","",CHOOSE(F$3,A214+24,A213))</f>
        <v/>
      </c>
      <c r="AQ213" s="209" t="str">
        <f aca="false">IF(A214="","",AP213-$E$1)</f>
        <v/>
      </c>
      <c r="AR213" s="185" t="n">
        <f aca="false">IF(Summary!$H$2=1,VLOOKUP('ANR OK vs ML7'!A213,Curves!$C$17:$AR$273,MATCH('ANR OK vs ML7'!$AR$4,Curves!$C$8:$AQ$8,0)),0.1)</f>
        <v>0.1</v>
      </c>
      <c r="AS213" s="213" t="str">
        <f aca="false">IF(A214="","",1/(1+CHOOSE(F$3,(AR214+($I$3/10000))/2,(AR213+($I$3/10000))/2))^(2*AQ213/365.25))</f>
        <v/>
      </c>
      <c r="AT213" s="137" t="str">
        <f aca="false">IF(A214="","",IF(AND(mthbeg&lt;=A213,mthend&gt;=A213),1,0))</f>
        <v/>
      </c>
      <c r="AU213" s="137" t="str">
        <f aca="false">IF(A214="","",AO213*AT213)</f>
        <v/>
      </c>
      <c r="AW213" s="195" t="str">
        <f aca="false">IF($A214="","",AL213*$E213)</f>
        <v/>
      </c>
      <c r="AX213" s="195" t="str">
        <f aca="false">IF($A214="","",AM213*$E213)</f>
        <v/>
      </c>
      <c r="AY213" s="195" t="str">
        <f aca="false">IF($A214="","",AN213*$E213)</f>
        <v/>
      </c>
      <c r="BA213" s="195" t="str">
        <f aca="false">IF($A214="","",F213*Summary!$Q$7)</f>
        <v/>
      </c>
    </row>
    <row r="214" customFormat="false" ht="12" hidden="false" customHeight="true" outlineLevel="0" collapsed="false">
      <c r="A214" s="196" t="str">
        <f aca="false">IF(A213&lt;mthend,EDATE(A213,1),"")</f>
        <v/>
      </c>
      <c r="B214" s="197" t="str">
        <f aca="false">IF(A214&lt;mthend,B213,"")</f>
        <v/>
      </c>
      <c r="C214" s="215"/>
      <c r="D214" s="197" t="str">
        <f aca="false">IF(A215&lt;&gt;"",B214+C214,"")</f>
        <v/>
      </c>
      <c r="E214" s="199" t="str">
        <f aca="false">IF(A215="","",IF(AND(AT214=1,$H$3=1),D214*AO214,IF($H$3=2,D214,"N/A")))</f>
        <v/>
      </c>
      <c r="F214" s="199" t="str">
        <f aca="false">IF(A215="","",E214*AS214)</f>
        <v/>
      </c>
      <c r="G214" s="200" t="str">
        <f aca="false">IF($A215="","",VLOOKUP($A214,Table,MATCH(G$4,Curves,0)))</f>
        <v/>
      </c>
      <c r="H214" s="201" t="str">
        <f aca="false">IF(A215="","",G214)</f>
        <v/>
      </c>
      <c r="I214" s="202"/>
      <c r="J214" s="200" t="str">
        <f aca="false">IF($A215="","",VLOOKUP($A214,Table,MATCH(J$4,Curves,0)))</f>
        <v/>
      </c>
      <c r="K214" s="201" t="str">
        <f aca="false">IF(A215="","",J214)</f>
        <v/>
      </c>
      <c r="L214" s="200" t="str">
        <f aca="false">IF($A215="","",VLOOKUP($A214,Table,MATCH(L$4,Curves,0)))</f>
        <v/>
      </c>
      <c r="M214" s="201" t="str">
        <f aca="false">IF(A215="","",L214)</f>
        <v/>
      </c>
      <c r="N214" s="203"/>
      <c r="O214" s="200" t="str">
        <f aca="false">IF(A215="","",L214+J214+G214)</f>
        <v/>
      </c>
      <c r="P214" s="200" t="str">
        <f aca="false">IF(A215="","",M214+K214+H214)</f>
        <v/>
      </c>
      <c r="Q214" s="204"/>
      <c r="R214" s="200" t="str">
        <f aca="false">IF($A215="","",VLOOKUP($A214,Table,MATCH(R$4,Curves,0)))</f>
        <v/>
      </c>
      <c r="S214" s="201" t="str">
        <f aca="false">IF(A215="","",R214)</f>
        <v/>
      </c>
      <c r="T214" s="200" t="str">
        <f aca="false">IF($A215="","",VLOOKUP($A214,Table,MATCH(T$4,Curves,0)))</f>
        <v/>
      </c>
      <c r="U214" s="201" t="str">
        <f aca="false">IF(A215="","",T214)</f>
        <v/>
      </c>
      <c r="V214" s="183" t="str">
        <f aca="false">IF($A215="","",IF(AND(MONTH(A214)&gt;3,MONTH(A214)&lt;11),(T214+R214+G214)*Summary!$T$7/(1-Summary!$T$7),(T214+R214+G214)*Summary!$U$7/(1-Summary!$U$7)))</f>
        <v/>
      </c>
      <c r="W214" s="200" t="str">
        <f aca="false">IF($A215="","",(T214+R214+G214+V214))</f>
        <v/>
      </c>
      <c r="X214" s="200" t="str">
        <f aca="false">IF($A215="","",(U214+S214+H214+V214))</f>
        <v/>
      </c>
      <c r="Y214" s="202"/>
      <c r="Z214" s="185" t="str">
        <f aca="false">IF($A215="","",VLOOKUP($A214,Table,MATCH(Z$4,Curves,0)))</f>
        <v/>
      </c>
      <c r="AA214" s="185" t="str">
        <f aca="false">IF($A215="","",VLOOKUP($A214,Table,MATCH(AA$4,Curves,0)))</f>
        <v/>
      </c>
      <c r="AB214" s="185" t="e">
        <f aca="false">SQRT((AA214^2*(A214-$D$3)+Z214^2*(DAY(EOMONTH(A214,0))/2))/AK214)</f>
        <v>#VALUE!</v>
      </c>
      <c r="AC214" s="185" t="str">
        <f aca="false">IF($A215="","",VLOOKUP($A214,Table,MATCH(AC$4,Curves,0)))</f>
        <v/>
      </c>
      <c r="AD214" s="185" t="str">
        <f aca="false">IF($A215="","",VLOOKUP($A214,Table,MATCH(AD$4,Curves,0)))</f>
        <v/>
      </c>
      <c r="AE214" s="185" t="e">
        <f aca="false">SQRT((AD214^2*(A214-$D$3)+AC214^2*(DAY(EOMONTH(A214,0))/2))/AK214)</f>
        <v>#VALUE!</v>
      </c>
      <c r="AF214" s="206" t="e">
        <f aca="false">((Summary!$N$7*(AA214*AD214)*(A214-$D$3))+(Summary!$M$7*Z214*AC214*(DAY(EOMONTH(A214,0))/2)))/(AK214*AB214*AE214)</f>
        <v>#VALUE!</v>
      </c>
      <c r="AG214" s="207" t="str">
        <f aca="false">IF($A215="","",Summary!$Q$7)</f>
        <v/>
      </c>
      <c r="AH214" s="207" t="str">
        <f aca="false">IF($A215="","",IF(Summary!$R$7="Y",(VLOOKUP($A214,Summary!$AD$6:$AF$9,3)+'Escalating commodity'!C227),'Escalating commodity'!C227))</f>
        <v/>
      </c>
      <c r="AI214" s="207" t="str">
        <f aca="false">IF($A215="","",AH214)</f>
        <v/>
      </c>
      <c r="AJ214" s="208" t="e">
        <f aca="false">A214+DAY(EOMONTH(A214,0))/2-1</f>
        <v>#VALUE!</v>
      </c>
      <c r="AK214" s="209" t="str">
        <f aca="false">IF($A215="","",$A214-$E$1)</f>
        <v/>
      </c>
      <c r="AL214" s="182" t="str">
        <f aca="false">IF($A215="","",SPRDOPT(P214,X214,AI214,0,AB214,AE214,AF214,AK214,$AJ$2,0))</f>
        <v/>
      </c>
      <c r="AM214" s="210" t="str">
        <f aca="false">IF($A215="","",MAX(0,O214-W214-AI214))</f>
        <v/>
      </c>
      <c r="AN214" s="211" t="str">
        <f aca="false">IF($A215="","",AL214-AM214)</f>
        <v/>
      </c>
      <c r="AO214" s="137" t="str">
        <f aca="false">IF(A215="","",A215-A214)</f>
        <v/>
      </c>
      <c r="AP214" s="212" t="str">
        <f aca="false">IF(A215="","",CHOOSE(F$3,A215+24,A214))</f>
        <v/>
      </c>
      <c r="AQ214" s="209" t="str">
        <f aca="false">IF(A215="","",AP214-$E$1)</f>
        <v/>
      </c>
      <c r="AR214" s="185" t="n">
        <f aca="false">IF(Summary!$H$2=1,VLOOKUP('ANR OK vs ML7'!A214,Curves!$C$17:$AR$273,MATCH('ANR OK vs ML7'!$AR$4,Curves!$C$8:$AQ$8,0)),0.1)</f>
        <v>0.1</v>
      </c>
      <c r="AS214" s="213" t="str">
        <f aca="false">IF(A215="","",1/(1+CHOOSE(F$3,(AR215+($I$3/10000))/2,(AR214+($I$3/10000))/2))^(2*AQ214/365.25))</f>
        <v/>
      </c>
      <c r="AT214" s="137" t="str">
        <f aca="false">IF(A215="","",IF(AND(mthbeg&lt;=A214,mthend&gt;=A214),1,0))</f>
        <v/>
      </c>
      <c r="AU214" s="137" t="str">
        <f aca="false">IF(A215="","",AO214*AT214)</f>
        <v/>
      </c>
      <c r="AW214" s="195" t="str">
        <f aca="false">IF($A215="","",AL214*$E214)</f>
        <v/>
      </c>
      <c r="AX214" s="195" t="str">
        <f aca="false">IF($A215="","",AM214*$E214)</f>
        <v/>
      </c>
      <c r="AY214" s="195" t="str">
        <f aca="false">IF($A215="","",AN214*$E214)</f>
        <v/>
      </c>
      <c r="BA214" s="195" t="str">
        <f aca="false">IF($A215="","",F214*Summary!$Q$7)</f>
        <v/>
      </c>
    </row>
    <row r="215" customFormat="false" ht="12" hidden="false" customHeight="true" outlineLevel="0" collapsed="false">
      <c r="A215" s="196" t="str">
        <f aca="false">IF(A214&lt;mthend,EDATE(A214,1),"")</f>
        <v/>
      </c>
      <c r="B215" s="197" t="str">
        <f aca="false">IF(A215&lt;mthend,B214,"")</f>
        <v/>
      </c>
      <c r="C215" s="215"/>
      <c r="D215" s="197" t="str">
        <f aca="false">IF(A216&lt;&gt;"",B215+C215,"")</f>
        <v/>
      </c>
      <c r="E215" s="199" t="str">
        <f aca="false">IF(A216="","",IF(AND(AT215=1,$H$3=1),D215*AO215,IF($H$3=2,D215,"N/A")))</f>
        <v/>
      </c>
      <c r="F215" s="199" t="str">
        <f aca="false">IF(A216="","",E215*AS215)</f>
        <v/>
      </c>
      <c r="G215" s="200" t="str">
        <f aca="false">IF($A216="","",VLOOKUP($A215,Table,MATCH(G$4,Curves,0)))</f>
        <v/>
      </c>
      <c r="H215" s="201" t="str">
        <f aca="false">IF(A216="","",G215)</f>
        <v/>
      </c>
      <c r="I215" s="202"/>
      <c r="J215" s="200" t="str">
        <f aca="false">IF($A216="","",VLOOKUP($A215,Table,MATCH(J$4,Curves,0)))</f>
        <v/>
      </c>
      <c r="K215" s="201" t="str">
        <f aca="false">IF(A216="","",J215)</f>
        <v/>
      </c>
      <c r="L215" s="200" t="str">
        <f aca="false">IF($A216="","",VLOOKUP($A215,Table,MATCH(L$4,Curves,0)))</f>
        <v/>
      </c>
      <c r="M215" s="201" t="str">
        <f aca="false">IF(A216="","",L215)</f>
        <v/>
      </c>
      <c r="N215" s="203"/>
      <c r="O215" s="200" t="str">
        <f aca="false">IF(A216="","",L215+J215+G215)</f>
        <v/>
      </c>
      <c r="P215" s="200" t="str">
        <f aca="false">IF(A216="","",M215+K215+H215)</f>
        <v/>
      </c>
      <c r="Q215" s="204"/>
      <c r="R215" s="200" t="str">
        <f aca="false">IF($A216="","",VLOOKUP($A215,Table,MATCH(R$4,Curves,0)))</f>
        <v/>
      </c>
      <c r="S215" s="201" t="str">
        <f aca="false">IF(A216="","",R215)</f>
        <v/>
      </c>
      <c r="T215" s="200" t="str">
        <f aca="false">IF($A216="","",VLOOKUP($A215,Table,MATCH(T$4,Curves,0)))</f>
        <v/>
      </c>
      <c r="U215" s="201" t="str">
        <f aca="false">IF(A216="","",T215)</f>
        <v/>
      </c>
      <c r="V215" s="183" t="str">
        <f aca="false">IF($A216="","",IF(AND(MONTH(A215)&gt;3,MONTH(A215)&lt;11),(T215+R215+G215)*Summary!$T$7/(1-Summary!$T$7),(T215+R215+G215)*Summary!$U$7/(1-Summary!$U$7)))</f>
        <v/>
      </c>
      <c r="W215" s="200" t="str">
        <f aca="false">IF($A216="","",(T215+R215+G215+V215))</f>
        <v/>
      </c>
      <c r="X215" s="200" t="str">
        <f aca="false">IF($A216="","",(U215+S215+H215+V215))</f>
        <v/>
      </c>
      <c r="Y215" s="202"/>
      <c r="Z215" s="185" t="str">
        <f aca="false">IF($A216="","",VLOOKUP($A215,Table,MATCH(Z$4,Curves,0)))</f>
        <v/>
      </c>
      <c r="AA215" s="185" t="str">
        <f aca="false">IF($A216="","",VLOOKUP($A215,Table,MATCH(AA$4,Curves,0)))</f>
        <v/>
      </c>
      <c r="AB215" s="185" t="e">
        <f aca="false">SQRT((AA215^2*(A215-$D$3)+Z215^2*(DAY(EOMONTH(A215,0))/2))/AK215)</f>
        <v>#VALUE!</v>
      </c>
      <c r="AC215" s="185" t="str">
        <f aca="false">IF($A216="","",VLOOKUP($A215,Table,MATCH(AC$4,Curves,0)))</f>
        <v/>
      </c>
      <c r="AD215" s="185" t="str">
        <f aca="false">IF($A216="","",VLOOKUP($A215,Table,MATCH(AD$4,Curves,0)))</f>
        <v/>
      </c>
      <c r="AE215" s="185" t="e">
        <f aca="false">SQRT((AD215^2*(A215-$D$3)+AC215^2*(DAY(EOMONTH(A215,0))/2))/AK215)</f>
        <v>#VALUE!</v>
      </c>
      <c r="AF215" s="206" t="e">
        <f aca="false">((Summary!$N$7*(AA215*AD215)*(A215-$D$3))+(Summary!$M$7*Z215*AC215*(DAY(EOMONTH(A215,0))/2)))/(AK215*AB215*AE215)</f>
        <v>#VALUE!</v>
      </c>
      <c r="AG215" s="207" t="str">
        <f aca="false">IF($A216="","",Summary!$Q$7)</f>
        <v/>
      </c>
      <c r="AH215" s="207" t="str">
        <f aca="false">IF($A216="","",IF(Summary!$R$7="Y",(VLOOKUP($A215,Summary!$AD$6:$AF$9,3)+'Escalating commodity'!C228),'Escalating commodity'!C228))</f>
        <v/>
      </c>
      <c r="AI215" s="207" t="str">
        <f aca="false">IF($A216="","",AH215)</f>
        <v/>
      </c>
      <c r="AJ215" s="208" t="e">
        <f aca="false">A215+DAY(EOMONTH(A215,0))/2-1</f>
        <v>#VALUE!</v>
      </c>
      <c r="AK215" s="209" t="str">
        <f aca="false">IF($A216="","",$A215-$E$1)</f>
        <v/>
      </c>
      <c r="AL215" s="182" t="str">
        <f aca="false">IF($A216="","",SPRDOPT(P215,X215,AI215,0,AB215,AE215,AF215,AK215,$AJ$2,0))</f>
        <v/>
      </c>
      <c r="AM215" s="210" t="str">
        <f aca="false">IF($A216="","",MAX(0,O215-W215-AI215))</f>
        <v/>
      </c>
      <c r="AN215" s="211" t="str">
        <f aca="false">IF($A216="","",AL215-AM215)</f>
        <v/>
      </c>
      <c r="AO215" s="137" t="str">
        <f aca="false">IF(A216="","",A216-A215)</f>
        <v/>
      </c>
      <c r="AP215" s="212" t="str">
        <f aca="false">IF(A216="","",CHOOSE(F$3,A216+24,A215))</f>
        <v/>
      </c>
      <c r="AQ215" s="209" t="str">
        <f aca="false">IF(A216="","",AP215-$E$1)</f>
        <v/>
      </c>
      <c r="AR215" s="185" t="n">
        <f aca="false">IF(Summary!$H$2=1,VLOOKUP('ANR OK vs ML7'!A215,Curves!$C$17:$AR$273,MATCH('ANR OK vs ML7'!$AR$4,Curves!$C$8:$AQ$8,0)),0.1)</f>
        <v>0.1</v>
      </c>
      <c r="AS215" s="213" t="str">
        <f aca="false">IF(A216="","",1/(1+CHOOSE(F$3,(AR216+($I$3/10000))/2,(AR215+($I$3/10000))/2))^(2*AQ215/365.25))</f>
        <v/>
      </c>
      <c r="AT215" s="137" t="str">
        <f aca="false">IF(A216="","",IF(AND(mthbeg&lt;=A215,mthend&gt;=A215),1,0))</f>
        <v/>
      </c>
      <c r="AU215" s="137" t="str">
        <f aca="false">IF(A216="","",AO215*AT215)</f>
        <v/>
      </c>
      <c r="AW215" s="195" t="str">
        <f aca="false">IF($A216="","",AL215*$E215)</f>
        <v/>
      </c>
      <c r="AX215" s="195" t="str">
        <f aca="false">IF($A216="","",AM215*$E215)</f>
        <v/>
      </c>
      <c r="AY215" s="195" t="str">
        <f aca="false">IF($A216="","",AN215*$E215)</f>
        <v/>
      </c>
      <c r="BA215" s="195" t="str">
        <f aca="false">IF($A216="","",F215*Summary!$Q$7)</f>
        <v/>
      </c>
    </row>
    <row r="216" customFormat="false" ht="12" hidden="false" customHeight="true" outlineLevel="0" collapsed="false">
      <c r="A216" s="196" t="str">
        <f aca="false">IF(A215&lt;mthend,EDATE(A215,1),"")</f>
        <v/>
      </c>
      <c r="B216" s="197" t="str">
        <f aca="false">IF(A216&lt;mthend,B215,"")</f>
        <v/>
      </c>
      <c r="C216" s="215"/>
      <c r="D216" s="197" t="str">
        <f aca="false">IF(A217&lt;&gt;"",B216+C216,"")</f>
        <v/>
      </c>
      <c r="E216" s="199" t="str">
        <f aca="false">IF(A217="","",IF(AND(AT216=1,$H$3=1),D216*AO216,IF($H$3=2,D216,"N/A")))</f>
        <v/>
      </c>
      <c r="F216" s="199" t="str">
        <f aca="false">IF(A217="","",E216*AS216)</f>
        <v/>
      </c>
      <c r="G216" s="200" t="str">
        <f aca="false">IF($A217="","",VLOOKUP($A216,Table,MATCH(G$4,Curves,0)))</f>
        <v/>
      </c>
      <c r="H216" s="201" t="str">
        <f aca="false">IF(A217="","",G216)</f>
        <v/>
      </c>
      <c r="I216" s="202"/>
      <c r="J216" s="200" t="str">
        <f aca="false">IF($A217="","",VLOOKUP($A216,Table,MATCH(J$4,Curves,0)))</f>
        <v/>
      </c>
      <c r="K216" s="201" t="str">
        <f aca="false">IF(A217="","",J216)</f>
        <v/>
      </c>
      <c r="L216" s="200" t="str">
        <f aca="false">IF($A217="","",VLOOKUP($A216,Table,MATCH(L$4,Curves,0)))</f>
        <v/>
      </c>
      <c r="M216" s="201" t="str">
        <f aca="false">IF(A217="","",L216)</f>
        <v/>
      </c>
      <c r="N216" s="203"/>
      <c r="O216" s="200" t="str">
        <f aca="false">IF(A217="","",L216+J216+G216)</f>
        <v/>
      </c>
      <c r="P216" s="200" t="str">
        <f aca="false">IF(A217="","",M216+K216+H216)</f>
        <v/>
      </c>
      <c r="Q216" s="204"/>
      <c r="R216" s="200" t="str">
        <f aca="false">IF($A217="","",VLOOKUP($A216,Table,MATCH(R$4,Curves,0)))</f>
        <v/>
      </c>
      <c r="S216" s="201" t="str">
        <f aca="false">IF(A217="","",R216)</f>
        <v/>
      </c>
      <c r="T216" s="200" t="str">
        <f aca="false">IF($A217="","",VLOOKUP($A216,Table,MATCH(T$4,Curves,0)))</f>
        <v/>
      </c>
      <c r="U216" s="201" t="str">
        <f aca="false">IF(A217="","",T216)</f>
        <v/>
      </c>
      <c r="V216" s="183" t="str">
        <f aca="false">IF($A217="","",IF(AND(MONTH(A216)&gt;3,MONTH(A216)&lt;11),(T216+R216+G216)*Summary!$T$7/(1-Summary!$T$7),(T216+R216+G216)*Summary!$U$7/(1-Summary!$U$7)))</f>
        <v/>
      </c>
      <c r="W216" s="200" t="str">
        <f aca="false">IF($A217="","",(T216+R216+G216+V216))</f>
        <v/>
      </c>
      <c r="X216" s="200" t="str">
        <f aca="false">IF($A217="","",(U216+S216+H216+V216))</f>
        <v/>
      </c>
      <c r="Y216" s="202"/>
      <c r="Z216" s="185" t="str">
        <f aca="false">IF($A217="","",VLOOKUP($A216,Table,MATCH(Z$4,Curves,0)))</f>
        <v/>
      </c>
      <c r="AA216" s="185" t="str">
        <f aca="false">IF($A217="","",VLOOKUP($A216,Table,MATCH(AA$4,Curves,0)))</f>
        <v/>
      </c>
      <c r="AB216" s="185" t="e">
        <f aca="false">SQRT((AA216^2*(A216-$D$3)+Z216^2*(DAY(EOMONTH(A216,0))/2))/AK216)</f>
        <v>#VALUE!</v>
      </c>
      <c r="AC216" s="185" t="str">
        <f aca="false">IF($A217="","",VLOOKUP($A216,Table,MATCH(AC$4,Curves,0)))</f>
        <v/>
      </c>
      <c r="AD216" s="185" t="str">
        <f aca="false">IF($A217="","",VLOOKUP($A216,Table,MATCH(AD$4,Curves,0)))</f>
        <v/>
      </c>
      <c r="AE216" s="185" t="e">
        <f aca="false">SQRT((AD216^2*(A216-$D$3)+AC216^2*(DAY(EOMONTH(A216,0))/2))/AK216)</f>
        <v>#VALUE!</v>
      </c>
      <c r="AF216" s="206" t="e">
        <f aca="false">((Summary!$N$7*(AA216*AD216)*(A216-$D$3))+(Summary!$M$7*Z216*AC216*(DAY(EOMONTH(A216,0))/2)))/(AK216*AB216*AE216)</f>
        <v>#VALUE!</v>
      </c>
      <c r="AG216" s="207" t="str">
        <f aca="false">IF($A217="","",Summary!$Q$7)</f>
        <v/>
      </c>
      <c r="AH216" s="207" t="str">
        <f aca="false">IF($A217="","",IF(Summary!$R$7="Y",(VLOOKUP($A216,Summary!$AD$6:$AF$9,3)+'Escalating commodity'!C229),'Escalating commodity'!C229))</f>
        <v/>
      </c>
      <c r="AI216" s="207" t="str">
        <f aca="false">IF($A217="","",AH216)</f>
        <v/>
      </c>
      <c r="AJ216" s="208" t="e">
        <f aca="false">A216+DAY(EOMONTH(A216,0))/2-1</f>
        <v>#VALUE!</v>
      </c>
      <c r="AK216" s="209" t="str">
        <f aca="false">IF($A217="","",$A216-$E$1)</f>
        <v/>
      </c>
      <c r="AL216" s="182" t="str">
        <f aca="false">IF($A217="","",SPRDOPT(P216,X216,AI216,0,AB216,AE216,AF216,AK216,$AJ$2,0))</f>
        <v/>
      </c>
      <c r="AM216" s="210" t="str">
        <f aca="false">IF($A217="","",MAX(0,O216-W216-AI216))</f>
        <v/>
      </c>
      <c r="AN216" s="211" t="str">
        <f aca="false">IF($A217="","",AL216-AM216)</f>
        <v/>
      </c>
      <c r="AO216" s="137" t="str">
        <f aca="false">IF(A217="","",A217-A216)</f>
        <v/>
      </c>
      <c r="AP216" s="212" t="str">
        <f aca="false">IF(A217="","",CHOOSE(F$3,A217+24,A216))</f>
        <v/>
      </c>
      <c r="AQ216" s="209" t="str">
        <f aca="false">IF(A217="","",AP216-$E$1)</f>
        <v/>
      </c>
      <c r="AR216" s="185" t="n">
        <f aca="false">IF(Summary!$H$2=1,VLOOKUP('ANR OK vs ML7'!A216,Curves!$C$17:$AR$273,MATCH('ANR OK vs ML7'!$AR$4,Curves!$C$8:$AQ$8,0)),0.1)</f>
        <v>0.1</v>
      </c>
      <c r="AS216" s="213" t="str">
        <f aca="false">IF(A217="","",1/(1+CHOOSE(F$3,(AR217+($I$3/10000))/2,(AR216+($I$3/10000))/2))^(2*AQ216/365.25))</f>
        <v/>
      </c>
      <c r="AT216" s="137" t="str">
        <f aca="false">IF(A217="","",IF(AND(mthbeg&lt;=A216,mthend&gt;=A216),1,0))</f>
        <v/>
      </c>
      <c r="AU216" s="137" t="str">
        <f aca="false">IF(A217="","",AO216*AT216)</f>
        <v/>
      </c>
      <c r="AW216" s="195" t="str">
        <f aca="false">IF($A217="","",AL216*$E216)</f>
        <v/>
      </c>
      <c r="AX216" s="195" t="str">
        <f aca="false">IF($A217="","",AM216*$E216)</f>
        <v/>
      </c>
      <c r="AY216" s="195" t="str">
        <f aca="false">IF($A217="","",AN216*$E216)</f>
        <v/>
      </c>
      <c r="BA216" s="195" t="str">
        <f aca="false">IF($A217="","",F216*Summary!$Q$7)</f>
        <v/>
      </c>
    </row>
    <row r="217" customFormat="false" ht="12" hidden="false" customHeight="true" outlineLevel="0" collapsed="false">
      <c r="A217" s="196" t="str">
        <f aca="false">IF(A216&lt;mthend,EDATE(A216,1),"")</f>
        <v/>
      </c>
      <c r="B217" s="197" t="str">
        <f aca="false">IF(A217&lt;mthend,B216,"")</f>
        <v/>
      </c>
      <c r="C217" s="215"/>
      <c r="D217" s="197" t="str">
        <f aca="false">IF(A218&lt;&gt;"",B217+C217,"")</f>
        <v/>
      </c>
      <c r="E217" s="199" t="str">
        <f aca="false">IF(A218="","",IF(AND(AT217=1,$H$3=1),D217*AO217,IF($H$3=2,D217,"N/A")))</f>
        <v/>
      </c>
      <c r="F217" s="199" t="str">
        <f aca="false">IF(A218="","",E217*AS217)</f>
        <v/>
      </c>
      <c r="G217" s="200" t="str">
        <f aca="false">IF($A218="","",VLOOKUP($A217,Table,MATCH(G$4,Curves,0)))</f>
        <v/>
      </c>
      <c r="H217" s="201" t="str">
        <f aca="false">IF(A218="","",G217)</f>
        <v/>
      </c>
      <c r="I217" s="202"/>
      <c r="J217" s="200" t="str">
        <f aca="false">IF($A218="","",VLOOKUP($A217,Table,MATCH(J$4,Curves,0)))</f>
        <v/>
      </c>
      <c r="K217" s="201" t="str">
        <f aca="false">IF(A218="","",J217)</f>
        <v/>
      </c>
      <c r="L217" s="200" t="str">
        <f aca="false">IF($A218="","",VLOOKUP($A217,Table,MATCH(L$4,Curves,0)))</f>
        <v/>
      </c>
      <c r="M217" s="201" t="str">
        <f aca="false">IF(A218="","",L217)</f>
        <v/>
      </c>
      <c r="N217" s="203"/>
      <c r="O217" s="200" t="str">
        <f aca="false">IF(A218="","",L217+J217+G217)</f>
        <v/>
      </c>
      <c r="P217" s="200" t="str">
        <f aca="false">IF(A218="","",M217+K217+H217)</f>
        <v/>
      </c>
      <c r="Q217" s="204"/>
      <c r="R217" s="200" t="str">
        <f aca="false">IF($A218="","",VLOOKUP($A217,Table,MATCH(R$4,Curves,0)))</f>
        <v/>
      </c>
      <c r="S217" s="201" t="str">
        <f aca="false">IF(A218="","",R217)</f>
        <v/>
      </c>
      <c r="T217" s="200" t="str">
        <f aca="false">IF($A218="","",VLOOKUP($A217,Table,MATCH(T$4,Curves,0)))</f>
        <v/>
      </c>
      <c r="U217" s="201" t="str">
        <f aca="false">IF(A218="","",T217)</f>
        <v/>
      </c>
      <c r="V217" s="183" t="str">
        <f aca="false">IF($A218="","",IF(AND(MONTH(A217)&gt;3,MONTH(A217)&lt;11),(T217+R217+G217)*Summary!$T$7/(1-Summary!$T$7),(T217+R217+G217)*Summary!$U$7/(1-Summary!$U$7)))</f>
        <v/>
      </c>
      <c r="W217" s="200" t="str">
        <f aca="false">IF($A218="","",(T217+R217+G217+V217))</f>
        <v/>
      </c>
      <c r="X217" s="200" t="str">
        <f aca="false">IF($A218="","",(U217+S217+H217+V217))</f>
        <v/>
      </c>
      <c r="Y217" s="202"/>
      <c r="Z217" s="185" t="str">
        <f aca="false">IF($A218="","",VLOOKUP($A217,Table,MATCH(Z$4,Curves,0)))</f>
        <v/>
      </c>
      <c r="AA217" s="185" t="str">
        <f aca="false">IF($A218="","",VLOOKUP($A217,Table,MATCH(AA$4,Curves,0)))</f>
        <v/>
      </c>
      <c r="AB217" s="185" t="e">
        <f aca="false">SQRT((AA217^2*(A217-$D$3)+Z217^2*(DAY(EOMONTH(A217,0))/2))/AK217)</f>
        <v>#VALUE!</v>
      </c>
      <c r="AC217" s="185" t="str">
        <f aca="false">IF($A218="","",VLOOKUP($A217,Table,MATCH(AC$4,Curves,0)))</f>
        <v/>
      </c>
      <c r="AD217" s="185" t="str">
        <f aca="false">IF($A218="","",VLOOKUP($A217,Table,MATCH(AD$4,Curves,0)))</f>
        <v/>
      </c>
      <c r="AE217" s="185" t="e">
        <f aca="false">SQRT((AD217^2*(A217-$D$3)+AC217^2*(DAY(EOMONTH(A217,0))/2))/AK217)</f>
        <v>#VALUE!</v>
      </c>
      <c r="AF217" s="206" t="e">
        <f aca="false">((Summary!$N$7*(AA217*AD217)*(A217-$D$3))+(Summary!$M$7*Z217*AC217*(DAY(EOMONTH(A217,0))/2)))/(AK217*AB217*AE217)</f>
        <v>#VALUE!</v>
      </c>
      <c r="AG217" s="207" t="str">
        <f aca="false">IF($A218="","",Summary!$Q$7)</f>
        <v/>
      </c>
      <c r="AH217" s="207" t="str">
        <f aca="false">IF($A218="","",IF(Summary!$R$7="Y",(VLOOKUP($A217,Summary!$AD$6:$AF$9,3)+'Escalating commodity'!C230),'Escalating commodity'!C230))</f>
        <v/>
      </c>
      <c r="AI217" s="207" t="str">
        <f aca="false">IF($A218="","",AH217)</f>
        <v/>
      </c>
      <c r="AJ217" s="208" t="e">
        <f aca="false">A217+DAY(EOMONTH(A217,0))/2-1</f>
        <v>#VALUE!</v>
      </c>
      <c r="AK217" s="209" t="str">
        <f aca="false">IF($A218="","",$A217-$E$1)</f>
        <v/>
      </c>
      <c r="AL217" s="182" t="str">
        <f aca="false">IF($A218="","",SPRDOPT(P217,X217,AI217,0,AB217,AE217,AF217,AK217,$AJ$2,0))</f>
        <v/>
      </c>
      <c r="AM217" s="210" t="str">
        <f aca="false">IF($A218="","",MAX(0,O217-W217-AI217))</f>
        <v/>
      </c>
      <c r="AN217" s="211" t="str">
        <f aca="false">IF($A218="","",AL217-AM217)</f>
        <v/>
      </c>
      <c r="AO217" s="137" t="str">
        <f aca="false">IF(A218="","",A218-A217)</f>
        <v/>
      </c>
      <c r="AP217" s="212" t="str">
        <f aca="false">IF(A218="","",CHOOSE(F$3,A218+24,A217))</f>
        <v/>
      </c>
      <c r="AQ217" s="209" t="str">
        <f aca="false">IF(A218="","",AP217-$E$1)</f>
        <v/>
      </c>
      <c r="AR217" s="185" t="n">
        <f aca="false">IF(Summary!$H$2=1,VLOOKUP('ANR OK vs ML7'!A217,Curves!$C$17:$AR$273,MATCH('ANR OK vs ML7'!$AR$4,Curves!$C$8:$AQ$8,0)),0.1)</f>
        <v>0.1</v>
      </c>
      <c r="AS217" s="213" t="str">
        <f aca="false">IF(A218="","",1/(1+CHOOSE(F$3,(AR218+($I$3/10000))/2,(AR217+($I$3/10000))/2))^(2*AQ217/365.25))</f>
        <v/>
      </c>
      <c r="AT217" s="137" t="str">
        <f aca="false">IF(A218="","",IF(AND(mthbeg&lt;=A217,mthend&gt;=A217),1,0))</f>
        <v/>
      </c>
      <c r="AU217" s="137" t="str">
        <f aca="false">IF(A218="","",AO217*AT217)</f>
        <v/>
      </c>
      <c r="AW217" s="195" t="str">
        <f aca="false">IF($A218="","",AL217*$E217)</f>
        <v/>
      </c>
      <c r="AX217" s="195" t="str">
        <f aca="false">IF($A218="","",AM217*$E217)</f>
        <v/>
      </c>
      <c r="AY217" s="195" t="str">
        <f aca="false">IF($A218="","",AN217*$E217)</f>
        <v/>
      </c>
      <c r="BA217" s="195" t="str">
        <f aca="false">IF($A218="","",F217*Summary!$Q$7)</f>
        <v/>
      </c>
    </row>
    <row r="218" customFormat="false" ht="12" hidden="false" customHeight="true" outlineLevel="0" collapsed="false">
      <c r="A218" s="196" t="str">
        <f aca="false">IF(A217&lt;mthend,EDATE(A217,1),"")</f>
        <v/>
      </c>
      <c r="B218" s="197" t="str">
        <f aca="false">IF(A218&lt;mthend,B217,"")</f>
        <v/>
      </c>
      <c r="C218" s="215"/>
      <c r="D218" s="197" t="str">
        <f aca="false">IF(A219&lt;&gt;"",B218+C218,"")</f>
        <v/>
      </c>
      <c r="E218" s="199" t="str">
        <f aca="false">IF(A219="","",IF(AND(AT218=1,$H$3=1),D218*AO218,IF($H$3=2,D218,"N/A")))</f>
        <v/>
      </c>
      <c r="F218" s="199" t="str">
        <f aca="false">IF(A219="","",E218*AS218)</f>
        <v/>
      </c>
      <c r="G218" s="200" t="str">
        <f aca="false">IF($A219="","",VLOOKUP($A218,Table,MATCH(G$4,Curves,0)))</f>
        <v/>
      </c>
      <c r="H218" s="201" t="str">
        <f aca="false">IF(A219="","",G218)</f>
        <v/>
      </c>
      <c r="I218" s="202"/>
      <c r="J218" s="200" t="str">
        <f aca="false">IF($A219="","",VLOOKUP($A218,Table,MATCH(J$4,Curves,0)))</f>
        <v/>
      </c>
      <c r="K218" s="201" t="str">
        <f aca="false">IF(A219="","",J218)</f>
        <v/>
      </c>
      <c r="L218" s="200" t="str">
        <f aca="false">IF($A219="","",VLOOKUP($A218,Table,MATCH(L$4,Curves,0)))</f>
        <v/>
      </c>
      <c r="M218" s="201" t="str">
        <f aca="false">IF(A219="","",L218)</f>
        <v/>
      </c>
      <c r="N218" s="203"/>
      <c r="O218" s="200" t="str">
        <f aca="false">IF(A219="","",L218+J218+G218)</f>
        <v/>
      </c>
      <c r="P218" s="200" t="str">
        <f aca="false">IF(A219="","",M218+K218+H218)</f>
        <v/>
      </c>
      <c r="Q218" s="204"/>
      <c r="R218" s="200" t="str">
        <f aca="false">IF($A219="","",VLOOKUP($A218,Table,MATCH(R$4,Curves,0)))</f>
        <v/>
      </c>
      <c r="S218" s="201" t="str">
        <f aca="false">IF(A219="","",R218)</f>
        <v/>
      </c>
      <c r="T218" s="200" t="str">
        <f aca="false">IF($A219="","",VLOOKUP($A218,Table,MATCH(T$4,Curves,0)))</f>
        <v/>
      </c>
      <c r="U218" s="201" t="str">
        <f aca="false">IF(A219="","",T218)</f>
        <v/>
      </c>
      <c r="V218" s="183" t="str">
        <f aca="false">IF($A219="","",IF(AND(MONTH(A218)&gt;3,MONTH(A218)&lt;11),(T218+R218+G218)*Summary!$T$7/(1-Summary!$T$7),(T218+R218+G218)*Summary!$U$7/(1-Summary!$U$7)))</f>
        <v/>
      </c>
      <c r="W218" s="200" t="str">
        <f aca="false">IF($A219="","",(T218+R218+G218+V218))</f>
        <v/>
      </c>
      <c r="X218" s="200" t="str">
        <f aca="false">IF($A219="","",(U218+S218+H218+V218))</f>
        <v/>
      </c>
      <c r="Y218" s="202"/>
      <c r="Z218" s="185" t="str">
        <f aca="false">IF($A219="","",VLOOKUP($A218,Table,MATCH(Z$4,Curves,0)))</f>
        <v/>
      </c>
      <c r="AA218" s="185" t="str">
        <f aca="false">IF($A219="","",VLOOKUP($A218,Table,MATCH(AA$4,Curves,0)))</f>
        <v/>
      </c>
      <c r="AB218" s="185" t="e">
        <f aca="false">SQRT((AA218^2*(A218-$D$3)+Z218^2*(DAY(EOMONTH(A218,0))/2))/AK218)</f>
        <v>#VALUE!</v>
      </c>
      <c r="AC218" s="185" t="str">
        <f aca="false">IF($A219="","",VLOOKUP($A218,Table,MATCH(AC$4,Curves,0)))</f>
        <v/>
      </c>
      <c r="AD218" s="185" t="str">
        <f aca="false">IF($A219="","",VLOOKUP($A218,Table,MATCH(AD$4,Curves,0)))</f>
        <v/>
      </c>
      <c r="AE218" s="185" t="e">
        <f aca="false">SQRT((AD218^2*(A218-$D$3)+AC218^2*(DAY(EOMONTH(A218,0))/2))/AK218)</f>
        <v>#VALUE!</v>
      </c>
      <c r="AF218" s="206" t="e">
        <f aca="false">((Summary!$N$7*(AA218*AD218)*(A218-$D$3))+(Summary!$M$7*Z218*AC218*(DAY(EOMONTH(A218,0))/2)))/(AK218*AB218*AE218)</f>
        <v>#VALUE!</v>
      </c>
      <c r="AG218" s="207" t="str">
        <f aca="false">IF($A219="","",Summary!$Q$7)</f>
        <v/>
      </c>
      <c r="AH218" s="207" t="str">
        <f aca="false">IF($A219="","",IF(Summary!$R$7="Y",(VLOOKUP($A218,Summary!$AD$6:$AF$9,3)+'Escalating commodity'!C231),'Escalating commodity'!C231))</f>
        <v/>
      </c>
      <c r="AI218" s="207" t="str">
        <f aca="false">IF($A219="","",AH218)</f>
        <v/>
      </c>
      <c r="AJ218" s="208" t="e">
        <f aca="false">A218+DAY(EOMONTH(A218,0))/2-1</f>
        <v>#VALUE!</v>
      </c>
      <c r="AK218" s="209" t="str">
        <f aca="false">IF($A219="","",$A218-$E$1)</f>
        <v/>
      </c>
      <c r="AL218" s="182" t="str">
        <f aca="false">IF($A219="","",SPRDOPT(P218,X218,AI218,0,AB218,AE218,AF218,AK218,$AJ$2,0))</f>
        <v/>
      </c>
      <c r="AM218" s="210" t="str">
        <f aca="false">IF($A219="","",MAX(0,O218-W218-AI218))</f>
        <v/>
      </c>
      <c r="AN218" s="211" t="str">
        <f aca="false">IF($A219="","",AL218-AM218)</f>
        <v/>
      </c>
      <c r="AO218" s="137" t="str">
        <f aca="false">IF(A219="","",A219-A218)</f>
        <v/>
      </c>
      <c r="AP218" s="212" t="str">
        <f aca="false">IF(A219="","",CHOOSE(F$3,A219+24,A218))</f>
        <v/>
      </c>
      <c r="AQ218" s="209" t="str">
        <f aca="false">IF(A219="","",AP218-$E$1)</f>
        <v/>
      </c>
      <c r="AR218" s="185" t="n">
        <f aca="false">IF(Summary!$H$2=1,VLOOKUP('ANR OK vs ML7'!A218,Curves!$C$17:$AR$273,MATCH('ANR OK vs ML7'!$AR$4,Curves!$C$8:$AQ$8,0)),0.1)</f>
        <v>0.1</v>
      </c>
      <c r="AS218" s="213" t="str">
        <f aca="false">IF(A219="","",1/(1+CHOOSE(F$3,(AR219+($I$3/10000))/2,(AR218+($I$3/10000))/2))^(2*AQ218/365.25))</f>
        <v/>
      </c>
      <c r="AT218" s="137" t="str">
        <f aca="false">IF(A219="","",IF(AND(mthbeg&lt;=A218,mthend&gt;=A218),1,0))</f>
        <v/>
      </c>
      <c r="AU218" s="137" t="str">
        <f aca="false">IF(A219="","",AO218*AT218)</f>
        <v/>
      </c>
      <c r="AW218" s="195" t="str">
        <f aca="false">IF($A219="","",AL218*$E218)</f>
        <v/>
      </c>
      <c r="AX218" s="195" t="str">
        <f aca="false">IF($A219="","",AM218*$E218)</f>
        <v/>
      </c>
      <c r="AY218" s="195" t="str">
        <f aca="false">IF($A219="","",AN218*$E218)</f>
        <v/>
      </c>
      <c r="BA218" s="195" t="str">
        <f aca="false">IF($A219="","",F218*Summary!$Q$7)</f>
        <v/>
      </c>
    </row>
    <row r="219" customFormat="false" ht="12" hidden="false" customHeight="true" outlineLevel="0" collapsed="false">
      <c r="A219" s="196" t="str">
        <f aca="false">IF(A218&lt;mthend,EDATE(A218,1),"")</f>
        <v/>
      </c>
      <c r="B219" s="197" t="str">
        <f aca="false">IF(A219&lt;mthend,B218,"")</f>
        <v/>
      </c>
      <c r="C219" s="215"/>
      <c r="D219" s="197" t="str">
        <f aca="false">IF(A220&lt;&gt;"",B219+C219,"")</f>
        <v/>
      </c>
      <c r="E219" s="199" t="str">
        <f aca="false">IF(A220="","",IF(AND(AT219=1,$H$3=1),D219*AO219,IF($H$3=2,D219,"N/A")))</f>
        <v/>
      </c>
      <c r="F219" s="199" t="str">
        <f aca="false">IF(A220="","",E219*AS219)</f>
        <v/>
      </c>
      <c r="G219" s="200" t="str">
        <f aca="false">IF($A220="","",VLOOKUP($A219,Table,MATCH(G$4,Curves,0)))</f>
        <v/>
      </c>
      <c r="H219" s="201" t="str">
        <f aca="false">IF(A220="","",G219)</f>
        <v/>
      </c>
      <c r="I219" s="202"/>
      <c r="J219" s="200" t="str">
        <f aca="false">IF($A220="","",VLOOKUP($A219,Table,MATCH(J$4,Curves,0)))</f>
        <v/>
      </c>
      <c r="K219" s="201" t="str">
        <f aca="false">IF(A220="","",J219)</f>
        <v/>
      </c>
      <c r="L219" s="200" t="str">
        <f aca="false">IF($A220="","",VLOOKUP($A219,Table,MATCH(L$4,Curves,0)))</f>
        <v/>
      </c>
      <c r="M219" s="201" t="str">
        <f aca="false">IF(A220="","",L219)</f>
        <v/>
      </c>
      <c r="N219" s="203"/>
      <c r="O219" s="200" t="str">
        <f aca="false">IF(A220="","",L219+J219+G219)</f>
        <v/>
      </c>
      <c r="P219" s="200" t="str">
        <f aca="false">IF(A220="","",M219+K219+H219)</f>
        <v/>
      </c>
      <c r="Q219" s="204"/>
      <c r="R219" s="200" t="str">
        <f aca="false">IF($A220="","",VLOOKUP($A219,Table,MATCH(R$4,Curves,0)))</f>
        <v/>
      </c>
      <c r="S219" s="201" t="str">
        <f aca="false">IF(A220="","",R219)</f>
        <v/>
      </c>
      <c r="T219" s="200" t="str">
        <f aca="false">IF($A220="","",VLOOKUP($A219,Table,MATCH(T$4,Curves,0)))</f>
        <v/>
      </c>
      <c r="U219" s="201" t="str">
        <f aca="false">IF(A220="","",T219)</f>
        <v/>
      </c>
      <c r="V219" s="183" t="str">
        <f aca="false">IF($A220="","",IF(AND(MONTH(A219)&gt;3,MONTH(A219)&lt;11),(T219+R219+G219)*Summary!$T$7/(1-Summary!$T$7),(T219+R219+G219)*Summary!$U$7/(1-Summary!$U$7)))</f>
        <v/>
      </c>
      <c r="W219" s="200" t="str">
        <f aca="false">IF($A220="","",(T219+R219+G219+V219))</f>
        <v/>
      </c>
      <c r="X219" s="200" t="str">
        <f aca="false">IF($A220="","",(U219+S219+H219+V219))</f>
        <v/>
      </c>
      <c r="Y219" s="202"/>
      <c r="Z219" s="185" t="str">
        <f aca="false">IF($A220="","",VLOOKUP($A219,Table,MATCH(Z$4,Curves,0)))</f>
        <v/>
      </c>
      <c r="AA219" s="185" t="str">
        <f aca="false">IF($A220="","",VLOOKUP($A219,Table,MATCH(AA$4,Curves,0)))</f>
        <v/>
      </c>
      <c r="AB219" s="185" t="e">
        <f aca="false">SQRT((AA219^2*(A219-$D$3)+Z219^2*(DAY(EOMONTH(A219,0))/2))/AK219)</f>
        <v>#VALUE!</v>
      </c>
      <c r="AC219" s="185" t="str">
        <f aca="false">IF($A220="","",VLOOKUP($A219,Table,MATCH(AC$4,Curves,0)))</f>
        <v/>
      </c>
      <c r="AD219" s="185" t="str">
        <f aca="false">IF($A220="","",VLOOKUP($A219,Table,MATCH(AD$4,Curves,0)))</f>
        <v/>
      </c>
      <c r="AE219" s="185" t="e">
        <f aca="false">SQRT((AD219^2*(A219-$D$3)+AC219^2*(DAY(EOMONTH(A219,0))/2))/AK219)</f>
        <v>#VALUE!</v>
      </c>
      <c r="AF219" s="206" t="e">
        <f aca="false">((Summary!$N$7*(AA219*AD219)*(A219-$D$3))+(Summary!$M$7*Z219*AC219*(DAY(EOMONTH(A219,0))/2)))/(AK219*AB219*AE219)</f>
        <v>#VALUE!</v>
      </c>
      <c r="AG219" s="207" t="str">
        <f aca="false">IF($A220="","",Summary!$Q$7)</f>
        <v/>
      </c>
      <c r="AH219" s="207" t="str">
        <f aca="false">IF($A220="","",IF(Summary!$R$7="Y",(VLOOKUP($A219,Summary!$AD$6:$AF$9,3)+'Escalating commodity'!C232),'Escalating commodity'!C232))</f>
        <v/>
      </c>
      <c r="AI219" s="207" t="str">
        <f aca="false">IF($A220="","",AH219)</f>
        <v/>
      </c>
      <c r="AJ219" s="208" t="e">
        <f aca="false">A219+DAY(EOMONTH(A219,0))/2-1</f>
        <v>#VALUE!</v>
      </c>
      <c r="AK219" s="209" t="str">
        <f aca="false">IF($A220="","",$A219-$E$1)</f>
        <v/>
      </c>
      <c r="AL219" s="182" t="str">
        <f aca="false">IF($A220="","",SPRDOPT(P219,X219,AI219,0,AB219,AE219,AF219,AK219,$AJ$2,0))</f>
        <v/>
      </c>
      <c r="AM219" s="210" t="str">
        <f aca="false">IF($A220="","",MAX(0,O219-W219-AI219))</f>
        <v/>
      </c>
      <c r="AN219" s="211" t="str">
        <f aca="false">IF($A220="","",AL219-AM219)</f>
        <v/>
      </c>
      <c r="AO219" s="137" t="str">
        <f aca="false">IF(A220="","",A220-A219)</f>
        <v/>
      </c>
      <c r="AP219" s="212" t="str">
        <f aca="false">IF(A220="","",CHOOSE(F$3,A220+24,A219))</f>
        <v/>
      </c>
      <c r="AQ219" s="209" t="str">
        <f aca="false">IF(A220="","",AP219-$E$1)</f>
        <v/>
      </c>
      <c r="AR219" s="185" t="n">
        <f aca="false">IF(Summary!$H$2=1,VLOOKUP('ANR OK vs ML7'!A219,Curves!$C$17:$AR$273,MATCH('ANR OK vs ML7'!$AR$4,Curves!$C$8:$AQ$8,0)),0.1)</f>
        <v>0.1</v>
      </c>
      <c r="AS219" s="213" t="str">
        <f aca="false">IF(A220="","",1/(1+CHOOSE(F$3,(AR220+($I$3/10000))/2,(AR219+($I$3/10000))/2))^(2*AQ219/365.25))</f>
        <v/>
      </c>
      <c r="AT219" s="137" t="str">
        <f aca="false">IF(A220="","",IF(AND(mthbeg&lt;=A219,mthend&gt;=A219),1,0))</f>
        <v/>
      </c>
      <c r="AU219" s="137" t="str">
        <f aca="false">IF(A220="","",AO219*AT219)</f>
        <v/>
      </c>
      <c r="AW219" s="195" t="str">
        <f aca="false">IF($A220="","",AL219*$E219)</f>
        <v/>
      </c>
      <c r="AX219" s="195" t="str">
        <f aca="false">IF($A220="","",AM219*$E219)</f>
        <v/>
      </c>
      <c r="AY219" s="195" t="str">
        <f aca="false">IF($A220="","",AN219*$E219)</f>
        <v/>
      </c>
      <c r="BA219" s="195" t="str">
        <f aca="false">IF($A220="","",F219*Summary!$Q$7)</f>
        <v/>
      </c>
    </row>
    <row r="220" customFormat="false" ht="12" hidden="false" customHeight="true" outlineLevel="0" collapsed="false">
      <c r="A220" s="196" t="str">
        <f aca="false">IF(A219&lt;mthend,EDATE(A219,1),"")</f>
        <v/>
      </c>
      <c r="B220" s="197" t="str">
        <f aca="false">IF(A220&lt;mthend,B219,"")</f>
        <v/>
      </c>
      <c r="C220" s="215"/>
      <c r="D220" s="197" t="str">
        <f aca="false">IF(A221&lt;&gt;"",B220+C220,"")</f>
        <v/>
      </c>
      <c r="E220" s="199" t="str">
        <f aca="false">IF(A221="","",IF(AND(AT220=1,$H$3=1),D220*AO220,IF($H$3=2,D220,"N/A")))</f>
        <v/>
      </c>
      <c r="F220" s="199" t="str">
        <f aca="false">IF(A221="","",E220*AS220)</f>
        <v/>
      </c>
      <c r="G220" s="200" t="str">
        <f aca="false">IF($A221="","",VLOOKUP($A220,Table,MATCH(G$4,Curves,0)))</f>
        <v/>
      </c>
      <c r="H220" s="201" t="str">
        <f aca="false">IF(A221="","",G220)</f>
        <v/>
      </c>
      <c r="I220" s="202"/>
      <c r="J220" s="200" t="str">
        <f aca="false">IF($A221="","",VLOOKUP($A220,Table,MATCH(J$4,Curves,0)))</f>
        <v/>
      </c>
      <c r="K220" s="201" t="str">
        <f aca="false">IF(A221="","",J220)</f>
        <v/>
      </c>
      <c r="L220" s="200" t="str">
        <f aca="false">IF($A221="","",VLOOKUP($A220,Table,MATCH(L$4,Curves,0)))</f>
        <v/>
      </c>
      <c r="M220" s="201" t="str">
        <f aca="false">IF(A221="","",L220)</f>
        <v/>
      </c>
      <c r="N220" s="203"/>
      <c r="O220" s="200" t="str">
        <f aca="false">IF(A221="","",L220+J220+G220)</f>
        <v/>
      </c>
      <c r="P220" s="200" t="str">
        <f aca="false">IF(A221="","",M220+K220+H220)</f>
        <v/>
      </c>
      <c r="Q220" s="204"/>
      <c r="R220" s="200" t="str">
        <f aca="false">IF($A221="","",VLOOKUP($A220,Table,MATCH(R$4,Curves,0)))</f>
        <v/>
      </c>
      <c r="S220" s="201" t="str">
        <f aca="false">IF(A221="","",R220)</f>
        <v/>
      </c>
      <c r="T220" s="200" t="str">
        <f aca="false">IF($A221="","",VLOOKUP($A220,Table,MATCH(T$4,Curves,0)))</f>
        <v/>
      </c>
      <c r="U220" s="201" t="str">
        <f aca="false">IF(A221="","",T220)</f>
        <v/>
      </c>
      <c r="V220" s="183" t="str">
        <f aca="false">IF($A221="","",IF(AND(MONTH(A220)&gt;3,MONTH(A220)&lt;11),(T220+R220+G220)*Summary!$T$7/(1-Summary!$T$7),(T220+R220+G220)*Summary!$U$7/(1-Summary!$U$7)))</f>
        <v/>
      </c>
      <c r="W220" s="200" t="str">
        <f aca="false">IF($A221="","",(T220+R220+G220+V220))</f>
        <v/>
      </c>
      <c r="X220" s="200" t="str">
        <f aca="false">IF($A221="","",(U220+S220+H220+V220))</f>
        <v/>
      </c>
      <c r="Y220" s="202"/>
      <c r="Z220" s="185" t="str">
        <f aca="false">IF($A221="","",VLOOKUP($A220,Table,MATCH(Z$4,Curves,0)))</f>
        <v/>
      </c>
      <c r="AA220" s="185" t="str">
        <f aca="false">IF($A221="","",VLOOKUP($A220,Table,MATCH(AA$4,Curves,0)))</f>
        <v/>
      </c>
      <c r="AB220" s="185" t="e">
        <f aca="false">SQRT((AA220^2*(A220-$D$3)+Z220^2*(DAY(EOMONTH(A220,0))/2))/AK220)</f>
        <v>#VALUE!</v>
      </c>
      <c r="AC220" s="185" t="str">
        <f aca="false">IF($A221="","",VLOOKUP($A220,Table,MATCH(AC$4,Curves,0)))</f>
        <v/>
      </c>
      <c r="AD220" s="185" t="str">
        <f aca="false">IF($A221="","",VLOOKUP($A220,Table,MATCH(AD$4,Curves,0)))</f>
        <v/>
      </c>
      <c r="AE220" s="185" t="e">
        <f aca="false">SQRT((AD220^2*(A220-$D$3)+AC220^2*(DAY(EOMONTH(A220,0))/2))/AK220)</f>
        <v>#VALUE!</v>
      </c>
      <c r="AF220" s="206" t="e">
        <f aca="false">((Summary!$N$7*(AA220*AD220)*(A220-$D$3))+(Summary!$M$7*Z220*AC220*(DAY(EOMONTH(A220,0))/2)))/(AK220*AB220*AE220)</f>
        <v>#VALUE!</v>
      </c>
      <c r="AG220" s="207" t="str">
        <f aca="false">IF($A221="","",Summary!$Q$7)</f>
        <v/>
      </c>
      <c r="AH220" s="207" t="str">
        <f aca="false">IF($A221="","",IF(Summary!$R$7="Y",(VLOOKUP($A220,Summary!$AD$6:$AF$9,3)+'Escalating commodity'!C233),'Escalating commodity'!C233))</f>
        <v/>
      </c>
      <c r="AI220" s="207" t="str">
        <f aca="false">IF($A221="","",AH220)</f>
        <v/>
      </c>
      <c r="AJ220" s="208" t="e">
        <f aca="false">A220+DAY(EOMONTH(A220,0))/2-1</f>
        <v>#VALUE!</v>
      </c>
      <c r="AK220" s="209" t="str">
        <f aca="false">IF($A221="","",$A220-$E$1)</f>
        <v/>
      </c>
      <c r="AL220" s="182" t="str">
        <f aca="false">IF($A221="","",SPRDOPT(P220,X220,AI220,0,AB220,AE220,AF220,AK220,$AJ$2,0))</f>
        <v/>
      </c>
      <c r="AM220" s="210" t="str">
        <f aca="false">IF($A221="","",MAX(0,O220-W220-AI220))</f>
        <v/>
      </c>
      <c r="AN220" s="211" t="str">
        <f aca="false">IF($A221="","",AL220-AM220)</f>
        <v/>
      </c>
      <c r="AO220" s="137" t="str">
        <f aca="false">IF(A221="","",A221-A220)</f>
        <v/>
      </c>
      <c r="AP220" s="212" t="str">
        <f aca="false">IF(A221="","",CHOOSE(F$3,A221+24,A220))</f>
        <v/>
      </c>
      <c r="AQ220" s="209" t="str">
        <f aca="false">IF(A221="","",AP220-$E$1)</f>
        <v/>
      </c>
      <c r="AR220" s="185" t="n">
        <f aca="false">IF(Summary!$H$2=1,VLOOKUP('ANR OK vs ML7'!A220,Curves!$C$17:$AR$273,MATCH('ANR OK vs ML7'!$AR$4,Curves!$C$8:$AQ$8,0)),0.1)</f>
        <v>0.1</v>
      </c>
      <c r="AS220" s="213" t="str">
        <f aca="false">IF(A221="","",1/(1+CHOOSE(F$3,(AR221+($I$3/10000))/2,(AR220+($I$3/10000))/2))^(2*AQ220/365.25))</f>
        <v/>
      </c>
      <c r="AT220" s="137" t="str">
        <f aca="false">IF(A221="","",IF(AND(mthbeg&lt;=A220,mthend&gt;=A220),1,0))</f>
        <v/>
      </c>
      <c r="AU220" s="137" t="str">
        <f aca="false">IF(A221="","",AO220*AT220)</f>
        <v/>
      </c>
      <c r="AW220" s="195" t="str">
        <f aca="false">IF($A221="","",AL220*$E220)</f>
        <v/>
      </c>
      <c r="AX220" s="195" t="str">
        <f aca="false">IF($A221="","",AM220*$E220)</f>
        <v/>
      </c>
      <c r="AY220" s="195" t="str">
        <f aca="false">IF($A221="","",AN220*$E220)</f>
        <v/>
      </c>
      <c r="BA220" s="195" t="str">
        <f aca="false">IF($A221="","",F220*Summary!$Q$7)</f>
        <v/>
      </c>
    </row>
    <row r="221" customFormat="false" ht="12" hidden="false" customHeight="true" outlineLevel="0" collapsed="false">
      <c r="A221" s="196" t="str">
        <f aca="false">IF(A220&lt;mthend,EDATE(A220,1),"")</f>
        <v/>
      </c>
      <c r="B221" s="197" t="str">
        <f aca="false">IF(A221&lt;mthend,B220,"")</f>
        <v/>
      </c>
      <c r="C221" s="215"/>
      <c r="D221" s="197" t="str">
        <f aca="false">IF(A222&lt;&gt;"",B221+C221,"")</f>
        <v/>
      </c>
      <c r="E221" s="199" t="str">
        <f aca="false">IF(A222="","",IF(AND(AT221=1,$H$3=1),D221*AO221,IF($H$3=2,D221,"N/A")))</f>
        <v/>
      </c>
      <c r="F221" s="199" t="str">
        <f aca="false">IF(A222="","",E221*AS221)</f>
        <v/>
      </c>
      <c r="G221" s="200" t="str">
        <f aca="false">IF($A222="","",VLOOKUP($A221,Table,MATCH(G$4,Curves,0)))</f>
        <v/>
      </c>
      <c r="H221" s="201" t="str">
        <f aca="false">IF(A222="","",G221)</f>
        <v/>
      </c>
      <c r="I221" s="202"/>
      <c r="J221" s="200" t="str">
        <f aca="false">IF($A222="","",VLOOKUP($A221,Table,MATCH(J$4,Curves,0)))</f>
        <v/>
      </c>
      <c r="K221" s="201" t="str">
        <f aca="false">IF(A222="","",J221)</f>
        <v/>
      </c>
      <c r="L221" s="200" t="str">
        <f aca="false">IF($A222="","",VLOOKUP($A221,Table,MATCH(L$4,Curves,0)))</f>
        <v/>
      </c>
      <c r="M221" s="201" t="str">
        <f aca="false">IF(A222="","",L221)</f>
        <v/>
      </c>
      <c r="N221" s="203"/>
      <c r="O221" s="200" t="str">
        <f aca="false">IF(A222="","",L221+J221+G221)</f>
        <v/>
      </c>
      <c r="P221" s="200" t="str">
        <f aca="false">IF(A222="","",M221+K221+H221)</f>
        <v/>
      </c>
      <c r="Q221" s="204"/>
      <c r="R221" s="200" t="str">
        <f aca="false">IF($A222="","",VLOOKUP($A221,Table,MATCH(R$4,Curves,0)))</f>
        <v/>
      </c>
      <c r="S221" s="201" t="str">
        <f aca="false">IF(A222="","",R221)</f>
        <v/>
      </c>
      <c r="T221" s="200" t="str">
        <f aca="false">IF($A222="","",VLOOKUP($A221,Table,MATCH(T$4,Curves,0)))</f>
        <v/>
      </c>
      <c r="U221" s="201" t="str">
        <f aca="false">IF(A222="","",T221)</f>
        <v/>
      </c>
      <c r="V221" s="183" t="str">
        <f aca="false">IF($A222="","",IF(AND(MONTH(A221)&gt;3,MONTH(A221)&lt;11),(T221+R221+G221)*Summary!$T$7/(1-Summary!$T$7),(T221+R221+G221)*Summary!$U$7/(1-Summary!$U$7)))</f>
        <v/>
      </c>
      <c r="W221" s="200" t="str">
        <f aca="false">IF($A222="","",(T221+R221+G221+V221))</f>
        <v/>
      </c>
      <c r="X221" s="200" t="str">
        <f aca="false">IF($A222="","",(U221+S221+H221+V221))</f>
        <v/>
      </c>
      <c r="Y221" s="202"/>
      <c r="Z221" s="185" t="str">
        <f aca="false">IF($A222="","",VLOOKUP($A221,Table,MATCH(Z$4,Curves,0)))</f>
        <v/>
      </c>
      <c r="AA221" s="185" t="str">
        <f aca="false">IF($A222="","",VLOOKUP($A221,Table,MATCH(AA$4,Curves,0)))</f>
        <v/>
      </c>
      <c r="AB221" s="185" t="e">
        <f aca="false">SQRT((AA221^2*(A221-$D$3)+Z221^2*(DAY(EOMONTH(A221,0))/2))/AK221)</f>
        <v>#VALUE!</v>
      </c>
      <c r="AC221" s="185" t="str">
        <f aca="false">IF($A222="","",VLOOKUP($A221,Table,MATCH(AC$4,Curves,0)))</f>
        <v/>
      </c>
      <c r="AD221" s="185" t="str">
        <f aca="false">IF($A222="","",VLOOKUP($A221,Table,MATCH(AD$4,Curves,0)))</f>
        <v/>
      </c>
      <c r="AE221" s="185" t="e">
        <f aca="false">SQRT((AD221^2*(A221-$D$3)+AC221^2*(DAY(EOMONTH(A221,0))/2))/AK221)</f>
        <v>#VALUE!</v>
      </c>
      <c r="AF221" s="206" t="e">
        <f aca="false">((Summary!$N$7*(AA221*AD221)*(A221-$D$3))+(Summary!$M$7*Z221*AC221*(DAY(EOMONTH(A221,0))/2)))/(AK221*AB221*AE221)</f>
        <v>#VALUE!</v>
      </c>
      <c r="AG221" s="207" t="str">
        <f aca="false">IF($A222="","",Summary!$Q$7)</f>
        <v/>
      </c>
      <c r="AH221" s="207" t="str">
        <f aca="false">IF($A222="","",IF(Summary!$R$7="Y",(VLOOKUP($A221,Summary!$AD$6:$AF$9,3)+'Escalating commodity'!C234),'Escalating commodity'!C234))</f>
        <v/>
      </c>
      <c r="AI221" s="207" t="str">
        <f aca="false">IF($A222="","",AH221)</f>
        <v/>
      </c>
      <c r="AJ221" s="208" t="e">
        <f aca="false">A221+DAY(EOMONTH(A221,0))/2-1</f>
        <v>#VALUE!</v>
      </c>
      <c r="AK221" s="209" t="str">
        <f aca="false">IF($A222="","",$A221-$E$1)</f>
        <v/>
      </c>
      <c r="AL221" s="182" t="str">
        <f aca="false">IF($A222="","",SPRDOPT(P221,X221,AI221,0,AB221,AE221,AF221,AK221,$AJ$2,0))</f>
        <v/>
      </c>
      <c r="AM221" s="210" t="str">
        <f aca="false">IF($A222="","",MAX(0,O221-W221-AI221))</f>
        <v/>
      </c>
      <c r="AN221" s="211" t="str">
        <f aca="false">IF($A222="","",AL221-AM221)</f>
        <v/>
      </c>
      <c r="AO221" s="137" t="str">
        <f aca="false">IF(A222="","",A222-A221)</f>
        <v/>
      </c>
      <c r="AP221" s="212" t="str">
        <f aca="false">IF(A222="","",CHOOSE(F$3,A222+24,A221))</f>
        <v/>
      </c>
      <c r="AQ221" s="209" t="str">
        <f aca="false">IF(A222="","",AP221-$E$1)</f>
        <v/>
      </c>
      <c r="AR221" s="185" t="n">
        <f aca="false">IF(Summary!$H$2=1,VLOOKUP('ANR OK vs ML7'!A221,Curves!$C$17:$AR$273,MATCH('ANR OK vs ML7'!$AR$4,Curves!$C$8:$AQ$8,0)),0.1)</f>
        <v>0.1</v>
      </c>
      <c r="AS221" s="213" t="str">
        <f aca="false">IF(A222="","",1/(1+CHOOSE(F$3,(AR222+($I$3/10000))/2,(AR221+($I$3/10000))/2))^(2*AQ221/365.25))</f>
        <v/>
      </c>
      <c r="AT221" s="137" t="str">
        <f aca="false">IF(A222="","",IF(AND(mthbeg&lt;=A221,mthend&gt;=A221),1,0))</f>
        <v/>
      </c>
      <c r="AU221" s="137" t="str">
        <f aca="false">IF(A222="","",AO221*AT221)</f>
        <v/>
      </c>
      <c r="AW221" s="195" t="str">
        <f aca="false">IF($A222="","",AL221*$E221)</f>
        <v/>
      </c>
      <c r="AX221" s="195" t="str">
        <f aca="false">IF($A222="","",AM221*$E221)</f>
        <v/>
      </c>
      <c r="AY221" s="195" t="str">
        <f aca="false">IF($A222="","",AN221*$E221)</f>
        <v/>
      </c>
      <c r="BA221" s="195" t="str">
        <f aca="false">IF($A222="","",F221*Summary!$Q$7)</f>
        <v/>
      </c>
    </row>
    <row r="222" customFormat="false" ht="12" hidden="false" customHeight="true" outlineLevel="0" collapsed="false">
      <c r="A222" s="196" t="str">
        <f aca="false">IF(A221&lt;mthend,EDATE(A221,1),"")</f>
        <v/>
      </c>
      <c r="B222" s="197" t="str">
        <f aca="false">IF(A222&lt;mthend,B221,"")</f>
        <v/>
      </c>
      <c r="C222" s="215"/>
      <c r="D222" s="197" t="str">
        <f aca="false">IF(A223&lt;&gt;"",B222+C222,"")</f>
        <v/>
      </c>
      <c r="E222" s="199" t="str">
        <f aca="false">IF(A223="","",IF(AND(AT222=1,$H$3=1),D222*AO222,IF($H$3=2,D222,"N/A")))</f>
        <v/>
      </c>
      <c r="F222" s="199" t="str">
        <f aca="false">IF(A223="","",E222*AS222)</f>
        <v/>
      </c>
      <c r="G222" s="200" t="str">
        <f aca="false">IF($A223="","",VLOOKUP($A222,Table,MATCH(G$4,Curves,0)))</f>
        <v/>
      </c>
      <c r="H222" s="201" t="str">
        <f aca="false">IF(A223="","",G222)</f>
        <v/>
      </c>
      <c r="I222" s="202"/>
      <c r="J222" s="200" t="str">
        <f aca="false">IF($A223="","",VLOOKUP($A222,Table,MATCH(J$4,Curves,0)))</f>
        <v/>
      </c>
      <c r="K222" s="201" t="str">
        <f aca="false">IF(A223="","",J222)</f>
        <v/>
      </c>
      <c r="L222" s="200" t="str">
        <f aca="false">IF($A223="","",VLOOKUP($A222,Table,MATCH(L$4,Curves,0)))</f>
        <v/>
      </c>
      <c r="M222" s="201" t="str">
        <f aca="false">IF(A223="","",L222)</f>
        <v/>
      </c>
      <c r="N222" s="203"/>
      <c r="O222" s="200" t="str">
        <f aca="false">IF(A223="","",L222+J222+G222)</f>
        <v/>
      </c>
      <c r="P222" s="200" t="str">
        <f aca="false">IF(A223="","",M222+K222+H222)</f>
        <v/>
      </c>
      <c r="Q222" s="204"/>
      <c r="R222" s="200" t="str">
        <f aca="false">IF($A223="","",VLOOKUP($A222,Table,MATCH(R$4,Curves,0)))</f>
        <v/>
      </c>
      <c r="S222" s="201" t="str">
        <f aca="false">IF(A223="","",R222)</f>
        <v/>
      </c>
      <c r="T222" s="200" t="str">
        <f aca="false">IF($A223="","",VLOOKUP($A222,Table,MATCH(T$4,Curves,0)))</f>
        <v/>
      </c>
      <c r="U222" s="201" t="str">
        <f aca="false">IF(A223="","",T222)</f>
        <v/>
      </c>
      <c r="V222" s="183" t="str">
        <f aca="false">IF($A223="","",IF(AND(MONTH(A222)&gt;3,MONTH(A222)&lt;11),(T222+R222+G222)*Summary!$T$7/(1-Summary!$T$7),(T222+R222+G222)*Summary!$U$7/(1-Summary!$U$7)))</f>
        <v/>
      </c>
      <c r="W222" s="200" t="str">
        <f aca="false">IF($A223="","",(T222+R222+G222+V222))</f>
        <v/>
      </c>
      <c r="X222" s="200" t="str">
        <f aca="false">IF($A223="","",(U222+S222+H222+V222))</f>
        <v/>
      </c>
      <c r="Y222" s="202"/>
      <c r="Z222" s="185" t="str">
        <f aca="false">IF($A223="","",VLOOKUP($A222,Table,MATCH(Z$4,Curves,0)))</f>
        <v/>
      </c>
      <c r="AA222" s="185" t="str">
        <f aca="false">IF($A223="","",VLOOKUP($A222,Table,MATCH(AA$4,Curves,0)))</f>
        <v/>
      </c>
      <c r="AB222" s="185" t="e">
        <f aca="false">SQRT((AA222^2*(A222-$D$3)+Z222^2*(DAY(EOMONTH(A222,0))/2))/AK222)</f>
        <v>#VALUE!</v>
      </c>
      <c r="AC222" s="185" t="str">
        <f aca="false">IF($A223="","",VLOOKUP($A222,Table,MATCH(AC$4,Curves,0)))</f>
        <v/>
      </c>
      <c r="AD222" s="185" t="str">
        <f aca="false">IF($A223="","",VLOOKUP($A222,Table,MATCH(AD$4,Curves,0)))</f>
        <v/>
      </c>
      <c r="AE222" s="185" t="e">
        <f aca="false">SQRT((AD222^2*(A222-$D$3)+AC222^2*(DAY(EOMONTH(A222,0))/2))/AK222)</f>
        <v>#VALUE!</v>
      </c>
      <c r="AF222" s="206" t="e">
        <f aca="false">((Summary!$N$7*(AA222*AD222)*(A222-$D$3))+(Summary!$M$7*Z222*AC222*(DAY(EOMONTH(A222,0))/2)))/(AK222*AB222*AE222)</f>
        <v>#VALUE!</v>
      </c>
      <c r="AG222" s="207" t="str">
        <f aca="false">IF($A223="","",Summary!$Q$7)</f>
        <v/>
      </c>
      <c r="AH222" s="207" t="str">
        <f aca="false">IF($A223="","",IF(Summary!$R$7="Y",(VLOOKUP($A222,Summary!$AD$6:$AF$9,3)+'Escalating commodity'!C235),'Escalating commodity'!C235))</f>
        <v/>
      </c>
      <c r="AI222" s="207" t="str">
        <f aca="false">IF($A223="","",AH222)</f>
        <v/>
      </c>
      <c r="AJ222" s="208" t="e">
        <f aca="false">A222+DAY(EOMONTH(A222,0))/2-1</f>
        <v>#VALUE!</v>
      </c>
      <c r="AK222" s="209" t="str">
        <f aca="false">IF($A223="","",$A222-$E$1)</f>
        <v/>
      </c>
      <c r="AL222" s="182" t="str">
        <f aca="false">IF($A223="","",SPRDOPT(P222,X222,AI222,0,AB222,AE222,AF222,AK222,$AJ$2,0))</f>
        <v/>
      </c>
      <c r="AM222" s="210" t="str">
        <f aca="false">IF($A223="","",MAX(0,O222-W222-AI222))</f>
        <v/>
      </c>
      <c r="AN222" s="211" t="str">
        <f aca="false">IF($A223="","",AL222-AM222)</f>
        <v/>
      </c>
      <c r="AO222" s="137" t="str">
        <f aca="false">IF(A223="","",A223-A222)</f>
        <v/>
      </c>
      <c r="AP222" s="212" t="str">
        <f aca="false">IF(A223="","",CHOOSE(F$3,A223+24,A222))</f>
        <v/>
      </c>
      <c r="AQ222" s="209" t="str">
        <f aca="false">IF(A223="","",AP222-$E$1)</f>
        <v/>
      </c>
      <c r="AR222" s="185" t="n">
        <f aca="false">IF(Summary!$H$2=1,VLOOKUP('ANR OK vs ML7'!A222,Curves!$C$17:$AR$273,MATCH('ANR OK vs ML7'!$AR$4,Curves!$C$8:$AQ$8,0)),0.1)</f>
        <v>0.1</v>
      </c>
      <c r="AS222" s="213" t="str">
        <f aca="false">IF(A223="","",1/(1+CHOOSE(F$3,(AR223+($I$3/10000))/2,(AR222+($I$3/10000))/2))^(2*AQ222/365.25))</f>
        <v/>
      </c>
      <c r="AT222" s="137" t="str">
        <f aca="false">IF(A223="","",IF(AND(mthbeg&lt;=A222,mthend&gt;=A222),1,0))</f>
        <v/>
      </c>
      <c r="AU222" s="137" t="str">
        <f aca="false">IF(A223="","",AO222*AT222)</f>
        <v/>
      </c>
      <c r="AW222" s="195" t="str">
        <f aca="false">IF($A223="","",AL222*$E222)</f>
        <v/>
      </c>
      <c r="AX222" s="195" t="str">
        <f aca="false">IF($A223="","",AM222*$E222)</f>
        <v/>
      </c>
      <c r="AY222" s="195" t="str">
        <f aca="false">IF($A223="","",AN222*$E222)</f>
        <v/>
      </c>
      <c r="BA222" s="195" t="str">
        <f aca="false">IF($A223="","",F222*Summary!$Q$7)</f>
        <v/>
      </c>
    </row>
    <row r="223" customFormat="false" ht="12" hidden="false" customHeight="true" outlineLevel="0" collapsed="false">
      <c r="A223" s="196" t="str">
        <f aca="false">IF(A222&lt;mthend,EDATE(A222,1),"")</f>
        <v/>
      </c>
      <c r="B223" s="197" t="str">
        <f aca="false">IF(A223&lt;mthend,B222,"")</f>
        <v/>
      </c>
      <c r="C223" s="215"/>
      <c r="D223" s="197" t="str">
        <f aca="false">IF(A224&lt;&gt;"",B223+C223,"")</f>
        <v/>
      </c>
      <c r="E223" s="199" t="str">
        <f aca="false">IF(A224="","",IF(AND(AT223=1,$H$3=1),D223*AO223,IF($H$3=2,D223,"N/A")))</f>
        <v/>
      </c>
      <c r="F223" s="199" t="str">
        <f aca="false">IF(A224="","",E223*AS223)</f>
        <v/>
      </c>
      <c r="G223" s="200" t="str">
        <f aca="false">IF($A224="","",VLOOKUP($A223,Table,MATCH(G$4,Curves,0)))</f>
        <v/>
      </c>
      <c r="H223" s="201" t="str">
        <f aca="false">IF(A224="","",G223)</f>
        <v/>
      </c>
      <c r="I223" s="202"/>
      <c r="J223" s="200" t="str">
        <f aca="false">IF($A224="","",VLOOKUP($A223,Table,MATCH(J$4,Curves,0)))</f>
        <v/>
      </c>
      <c r="K223" s="201" t="str">
        <f aca="false">IF(A224="","",J223)</f>
        <v/>
      </c>
      <c r="L223" s="200" t="str">
        <f aca="false">IF($A224="","",VLOOKUP($A223,Table,MATCH(L$4,Curves,0)))</f>
        <v/>
      </c>
      <c r="M223" s="201" t="str">
        <f aca="false">IF(A224="","",L223)</f>
        <v/>
      </c>
      <c r="N223" s="203"/>
      <c r="O223" s="200" t="str">
        <f aca="false">IF(A224="","",L223+J223+G223)</f>
        <v/>
      </c>
      <c r="P223" s="200" t="str">
        <f aca="false">IF(A224="","",M223+K223+H223)</f>
        <v/>
      </c>
      <c r="Q223" s="204"/>
      <c r="R223" s="200" t="str">
        <f aca="false">IF($A224="","",VLOOKUP($A223,Table,MATCH(R$4,Curves,0)))</f>
        <v/>
      </c>
      <c r="S223" s="201" t="str">
        <f aca="false">IF(A224="","",R223)</f>
        <v/>
      </c>
      <c r="T223" s="200" t="str">
        <f aca="false">IF($A224="","",VLOOKUP($A223,Table,MATCH(T$4,Curves,0)))</f>
        <v/>
      </c>
      <c r="U223" s="201" t="str">
        <f aca="false">IF(A224="","",T223)</f>
        <v/>
      </c>
      <c r="V223" s="183" t="str">
        <f aca="false">IF($A224="","",IF(AND(MONTH(A223)&gt;3,MONTH(A223)&lt;11),(T223+R223+G223)*Summary!$T$7/(1-Summary!$T$7),(T223+R223+G223)*Summary!$U$7/(1-Summary!$U$7)))</f>
        <v/>
      </c>
      <c r="W223" s="200" t="str">
        <f aca="false">IF($A224="","",(T223+R223+G223+V223))</f>
        <v/>
      </c>
      <c r="X223" s="200" t="str">
        <f aca="false">IF($A224="","",(U223+S223+H223+V223))</f>
        <v/>
      </c>
      <c r="Y223" s="202"/>
      <c r="Z223" s="185" t="str">
        <f aca="false">IF($A224="","",VLOOKUP($A223,Table,MATCH(Z$4,Curves,0)))</f>
        <v/>
      </c>
      <c r="AA223" s="185" t="str">
        <f aca="false">IF($A224="","",VLOOKUP($A223,Table,MATCH(AA$4,Curves,0)))</f>
        <v/>
      </c>
      <c r="AB223" s="185" t="e">
        <f aca="false">SQRT((AA223^2*(A223-$D$3)+Z223^2*(DAY(EOMONTH(A223,0))/2))/AK223)</f>
        <v>#VALUE!</v>
      </c>
      <c r="AC223" s="185" t="str">
        <f aca="false">IF($A224="","",VLOOKUP($A223,Table,MATCH(AC$4,Curves,0)))</f>
        <v/>
      </c>
      <c r="AD223" s="185" t="str">
        <f aca="false">IF($A224="","",VLOOKUP($A223,Table,MATCH(AD$4,Curves,0)))</f>
        <v/>
      </c>
      <c r="AE223" s="185" t="e">
        <f aca="false">SQRT((AD223^2*(A223-$D$3)+AC223^2*(DAY(EOMONTH(A223,0))/2))/AK223)</f>
        <v>#VALUE!</v>
      </c>
      <c r="AF223" s="206" t="e">
        <f aca="false">((Summary!$N$7*(AA223*AD223)*(A223-$D$3))+(Summary!$M$7*Z223*AC223*(DAY(EOMONTH(A223,0))/2)))/(AK223*AB223*AE223)</f>
        <v>#VALUE!</v>
      </c>
      <c r="AG223" s="207" t="str">
        <f aca="false">IF($A224="","",Summary!$Q$7)</f>
        <v/>
      </c>
      <c r="AH223" s="207" t="str">
        <f aca="false">IF($A224="","",IF(Summary!$R$7="Y",(VLOOKUP($A223,Summary!$AD$6:$AF$9,3)+'Escalating commodity'!C236),'Escalating commodity'!C236))</f>
        <v/>
      </c>
      <c r="AI223" s="207" t="str">
        <f aca="false">IF($A224="","",AH223)</f>
        <v/>
      </c>
      <c r="AJ223" s="208" t="e">
        <f aca="false">A223+DAY(EOMONTH(A223,0))/2-1</f>
        <v>#VALUE!</v>
      </c>
      <c r="AK223" s="209" t="str">
        <f aca="false">IF($A224="","",$A223-$E$1)</f>
        <v/>
      </c>
      <c r="AL223" s="182" t="str">
        <f aca="false">IF($A224="","",SPRDOPT(P223,X223,AI223,0,AB223,AE223,AF223,AK223,$AJ$2,0))</f>
        <v/>
      </c>
      <c r="AM223" s="210" t="str">
        <f aca="false">IF($A224="","",MAX(0,O223-W223-AI223))</f>
        <v/>
      </c>
      <c r="AN223" s="211" t="str">
        <f aca="false">IF($A224="","",AL223-AM223)</f>
        <v/>
      </c>
      <c r="AO223" s="137" t="str">
        <f aca="false">IF(A224="","",A224-A223)</f>
        <v/>
      </c>
      <c r="AP223" s="212" t="str">
        <f aca="false">IF(A224="","",CHOOSE(F$3,A224+24,A223))</f>
        <v/>
      </c>
      <c r="AQ223" s="209" t="str">
        <f aca="false">IF(A224="","",AP223-$E$1)</f>
        <v/>
      </c>
      <c r="AR223" s="185" t="n">
        <f aca="false">IF(Summary!$H$2=1,VLOOKUP('ANR OK vs ML7'!A223,Curves!$C$17:$AR$273,MATCH('ANR OK vs ML7'!$AR$4,Curves!$C$8:$AQ$8,0)),0.1)</f>
        <v>0.1</v>
      </c>
      <c r="AS223" s="213" t="str">
        <f aca="false">IF(A224="","",1/(1+CHOOSE(F$3,(AR224+($I$3/10000))/2,(AR223+($I$3/10000))/2))^(2*AQ223/365.25))</f>
        <v/>
      </c>
      <c r="AT223" s="137" t="str">
        <f aca="false">IF(A224="","",IF(AND(mthbeg&lt;=A223,mthend&gt;=A223),1,0))</f>
        <v/>
      </c>
      <c r="AU223" s="137" t="str">
        <f aca="false">IF(A224="","",AO223*AT223)</f>
        <v/>
      </c>
      <c r="AW223" s="195" t="str">
        <f aca="false">IF($A224="","",AL223*$E223)</f>
        <v/>
      </c>
      <c r="AX223" s="195" t="str">
        <f aca="false">IF($A224="","",AM223*$E223)</f>
        <v/>
      </c>
      <c r="AY223" s="195" t="str">
        <f aca="false">IF($A224="","",AN223*$E223)</f>
        <v/>
      </c>
      <c r="BA223" s="195" t="str">
        <f aca="false">IF($A224="","",F223*Summary!$Q$7)</f>
        <v/>
      </c>
    </row>
    <row r="224" customFormat="false" ht="12" hidden="false" customHeight="true" outlineLevel="0" collapsed="false">
      <c r="A224" s="196" t="str">
        <f aca="false">IF(A223&lt;mthend,EDATE(A223,1),"")</f>
        <v/>
      </c>
      <c r="B224" s="197" t="str">
        <f aca="false">IF(A224&lt;mthend,B223,"")</f>
        <v/>
      </c>
      <c r="C224" s="215"/>
      <c r="D224" s="197" t="str">
        <f aca="false">IF(A225&lt;&gt;"",B224+C224,"")</f>
        <v/>
      </c>
      <c r="E224" s="199" t="str">
        <f aca="false">IF(A225="","",IF(AND(AT224=1,$H$3=1),D224*AO224,IF($H$3=2,D224,"N/A")))</f>
        <v/>
      </c>
      <c r="F224" s="199" t="str">
        <f aca="false">IF(A225="","",E224*AS224)</f>
        <v/>
      </c>
      <c r="G224" s="200" t="str">
        <f aca="false">IF($A225="","",VLOOKUP($A224,Table,MATCH(G$4,Curves,0)))</f>
        <v/>
      </c>
      <c r="H224" s="201" t="str">
        <f aca="false">IF(A225="","",G224)</f>
        <v/>
      </c>
      <c r="I224" s="202"/>
      <c r="J224" s="200" t="str">
        <f aca="false">IF($A225="","",VLOOKUP($A224,Table,MATCH(J$4,Curves,0)))</f>
        <v/>
      </c>
      <c r="K224" s="201" t="str">
        <f aca="false">IF(A225="","",J224)</f>
        <v/>
      </c>
      <c r="L224" s="200" t="str">
        <f aca="false">IF($A225="","",VLOOKUP($A224,Table,MATCH(L$4,Curves,0)))</f>
        <v/>
      </c>
      <c r="M224" s="201" t="str">
        <f aca="false">IF(A225="","",L224)</f>
        <v/>
      </c>
      <c r="N224" s="203"/>
      <c r="O224" s="200" t="str">
        <f aca="false">IF(A225="","",L224+J224+G224)</f>
        <v/>
      </c>
      <c r="P224" s="200" t="str">
        <f aca="false">IF(A225="","",M224+K224+H224)</f>
        <v/>
      </c>
      <c r="Q224" s="204"/>
      <c r="R224" s="200" t="str">
        <f aca="false">IF($A225="","",VLOOKUP($A224,Table,MATCH(R$4,Curves,0)))</f>
        <v/>
      </c>
      <c r="S224" s="201" t="str">
        <f aca="false">IF(A225="","",R224)</f>
        <v/>
      </c>
      <c r="T224" s="200" t="str">
        <f aca="false">IF($A225="","",VLOOKUP($A224,Table,MATCH(T$4,Curves,0)))</f>
        <v/>
      </c>
      <c r="U224" s="201" t="str">
        <f aca="false">IF(A225="","",T224)</f>
        <v/>
      </c>
      <c r="V224" s="183" t="str">
        <f aca="false">IF($A225="","",IF(AND(MONTH(A224)&gt;3,MONTH(A224)&lt;11),(T224+R224+G224)*Summary!$T$7/(1-Summary!$T$7),(T224+R224+G224)*Summary!$U$7/(1-Summary!$U$7)))</f>
        <v/>
      </c>
      <c r="W224" s="200" t="str">
        <f aca="false">IF($A225="","",(T224+R224+G224+V224))</f>
        <v/>
      </c>
      <c r="X224" s="200" t="str">
        <f aca="false">IF($A225="","",(U224+S224+H224+V224))</f>
        <v/>
      </c>
      <c r="Y224" s="202"/>
      <c r="Z224" s="185" t="str">
        <f aca="false">IF($A225="","",VLOOKUP($A224,Table,MATCH(Z$4,Curves,0)))</f>
        <v/>
      </c>
      <c r="AA224" s="185" t="str">
        <f aca="false">IF($A225="","",VLOOKUP($A224,Table,MATCH(AA$4,Curves,0)))</f>
        <v/>
      </c>
      <c r="AB224" s="185" t="e">
        <f aca="false">SQRT((AA224^2*(A224-$D$3)+Z224^2*(DAY(EOMONTH(A224,0))/2))/AK224)</f>
        <v>#VALUE!</v>
      </c>
      <c r="AC224" s="185" t="str">
        <f aca="false">IF($A225="","",VLOOKUP($A224,Table,MATCH(AC$4,Curves,0)))</f>
        <v/>
      </c>
      <c r="AD224" s="185" t="str">
        <f aca="false">IF($A225="","",VLOOKUP($A224,Table,MATCH(AD$4,Curves,0)))</f>
        <v/>
      </c>
      <c r="AE224" s="185" t="e">
        <f aca="false">SQRT((AD224^2*(A224-$D$3)+AC224^2*(DAY(EOMONTH(A224,0))/2))/AK224)</f>
        <v>#VALUE!</v>
      </c>
      <c r="AF224" s="206" t="e">
        <f aca="false">((Summary!$N$7*(AA224*AD224)*(A224-$D$3))+(Summary!$M$7*Z224*AC224*(DAY(EOMONTH(A224,0))/2)))/(AK224*AB224*AE224)</f>
        <v>#VALUE!</v>
      </c>
      <c r="AG224" s="207" t="str">
        <f aca="false">IF($A225="","",Summary!$Q$7)</f>
        <v/>
      </c>
      <c r="AH224" s="207" t="str">
        <f aca="false">IF($A225="","",IF(Summary!$R$7="Y",(VLOOKUP($A224,Summary!$AD$6:$AF$9,3)+'Escalating commodity'!C237),'Escalating commodity'!C237))</f>
        <v/>
      </c>
      <c r="AI224" s="207" t="str">
        <f aca="false">IF($A225="","",AH224)</f>
        <v/>
      </c>
      <c r="AJ224" s="208" t="e">
        <f aca="false">A224+DAY(EOMONTH(A224,0))/2-1</f>
        <v>#VALUE!</v>
      </c>
      <c r="AK224" s="209" t="str">
        <f aca="false">IF($A225="","",$A224-$E$1)</f>
        <v/>
      </c>
      <c r="AL224" s="182" t="str">
        <f aca="false">IF($A225="","",SPRDOPT(P224,X224,AI224,0,AB224,AE224,AF224,AK224,$AJ$2,0))</f>
        <v/>
      </c>
      <c r="AM224" s="210" t="str">
        <f aca="false">IF($A225="","",MAX(0,O224-W224-AI224))</f>
        <v/>
      </c>
      <c r="AN224" s="211" t="str">
        <f aca="false">IF($A225="","",AL224-AM224)</f>
        <v/>
      </c>
      <c r="AO224" s="137" t="str">
        <f aca="false">IF(A225="","",A225-A224)</f>
        <v/>
      </c>
      <c r="AP224" s="212" t="str">
        <f aca="false">IF(A225="","",CHOOSE(F$3,A225+24,A224))</f>
        <v/>
      </c>
      <c r="AQ224" s="209" t="str">
        <f aca="false">IF(A225="","",AP224-$E$1)</f>
        <v/>
      </c>
      <c r="AR224" s="185" t="n">
        <f aca="false">IF(Summary!$H$2=1,VLOOKUP('ANR OK vs ML7'!A224,Curves!$C$17:$AR$273,MATCH('ANR OK vs ML7'!$AR$4,Curves!$C$8:$AQ$8,0)),0.1)</f>
        <v>0.1</v>
      </c>
      <c r="AS224" s="213" t="str">
        <f aca="false">IF(A225="","",1/(1+CHOOSE(F$3,(AR225+($I$3/10000))/2,(AR224+($I$3/10000))/2))^(2*AQ224/365.25))</f>
        <v/>
      </c>
      <c r="AT224" s="137" t="str">
        <f aca="false">IF(A225="","",IF(AND(mthbeg&lt;=A224,mthend&gt;=A224),1,0))</f>
        <v/>
      </c>
      <c r="AU224" s="137" t="str">
        <f aca="false">IF(A225="","",AO224*AT224)</f>
        <v/>
      </c>
      <c r="AW224" s="195" t="str">
        <f aca="false">IF($A225="","",AL224*$E224)</f>
        <v/>
      </c>
      <c r="AX224" s="195" t="str">
        <f aca="false">IF($A225="","",AM224*$E224)</f>
        <v/>
      </c>
      <c r="AY224" s="195" t="str">
        <f aca="false">IF($A225="","",AN224*$E224)</f>
        <v/>
      </c>
      <c r="BA224" s="195" t="str">
        <f aca="false">IF($A225="","",F224*Summary!$Q$7)</f>
        <v/>
      </c>
    </row>
    <row r="225" customFormat="false" ht="12" hidden="false" customHeight="true" outlineLevel="0" collapsed="false">
      <c r="A225" s="196" t="str">
        <f aca="false">IF(A224&lt;mthend,EDATE(A224,1),"")</f>
        <v/>
      </c>
      <c r="B225" s="197" t="str">
        <f aca="false">IF(A225&lt;mthend,B224,"")</f>
        <v/>
      </c>
      <c r="C225" s="215"/>
      <c r="D225" s="197" t="str">
        <f aca="false">IF(A226&lt;&gt;"",B225+C225,"")</f>
        <v/>
      </c>
      <c r="E225" s="199" t="str">
        <f aca="false">IF(A226="","",IF(AND(AT225=1,$H$3=1),D225*AO225,IF($H$3=2,D225,"N/A")))</f>
        <v/>
      </c>
      <c r="F225" s="199" t="str">
        <f aca="false">IF(A226="","",E225*AS225)</f>
        <v/>
      </c>
      <c r="G225" s="200" t="str">
        <f aca="false">IF($A226="","",VLOOKUP($A225,Table,MATCH(G$4,Curves,0)))</f>
        <v/>
      </c>
      <c r="H225" s="201" t="str">
        <f aca="false">IF(A226="","",G225)</f>
        <v/>
      </c>
      <c r="I225" s="202"/>
      <c r="J225" s="200" t="str">
        <f aca="false">IF($A226="","",VLOOKUP($A225,Table,MATCH(J$4,Curves,0)))</f>
        <v/>
      </c>
      <c r="K225" s="201" t="str">
        <f aca="false">IF(A226="","",J225)</f>
        <v/>
      </c>
      <c r="L225" s="200" t="str">
        <f aca="false">IF($A226="","",VLOOKUP($A225,Table,MATCH(L$4,Curves,0)))</f>
        <v/>
      </c>
      <c r="M225" s="201" t="str">
        <f aca="false">IF(A226="","",L225)</f>
        <v/>
      </c>
      <c r="N225" s="203"/>
      <c r="O225" s="200" t="str">
        <f aca="false">IF(A226="","",L225+J225+G225)</f>
        <v/>
      </c>
      <c r="P225" s="200" t="str">
        <f aca="false">IF(A226="","",M225+K225+H225)</f>
        <v/>
      </c>
      <c r="Q225" s="204"/>
      <c r="R225" s="200" t="str">
        <f aca="false">IF($A226="","",VLOOKUP($A225,Table,MATCH(R$4,Curves,0)))</f>
        <v/>
      </c>
      <c r="S225" s="201" t="str">
        <f aca="false">IF(A226="","",R225)</f>
        <v/>
      </c>
      <c r="T225" s="200" t="str">
        <f aca="false">IF($A226="","",VLOOKUP($A225,Table,MATCH(T$4,Curves,0)))</f>
        <v/>
      </c>
      <c r="U225" s="201" t="str">
        <f aca="false">IF(A226="","",T225)</f>
        <v/>
      </c>
      <c r="V225" s="183" t="str">
        <f aca="false">IF($A226="","",IF(AND(MONTH(A225)&gt;3,MONTH(A225)&lt;11),(T225+R225+G225)*Summary!$T$7/(1-Summary!$T$7),(T225+R225+G225)*Summary!$U$7/(1-Summary!$U$7)))</f>
        <v/>
      </c>
      <c r="W225" s="200" t="str">
        <f aca="false">IF($A226="","",(T225+R225+G225+V225))</f>
        <v/>
      </c>
      <c r="X225" s="200" t="str">
        <f aca="false">IF($A226="","",(U225+S225+H225+V225))</f>
        <v/>
      </c>
      <c r="Y225" s="202"/>
      <c r="Z225" s="185" t="str">
        <f aca="false">IF($A226="","",VLOOKUP($A225,Table,MATCH(Z$4,Curves,0)))</f>
        <v/>
      </c>
      <c r="AA225" s="185" t="str">
        <f aca="false">IF($A226="","",VLOOKUP($A225,Table,MATCH(AA$4,Curves,0)))</f>
        <v/>
      </c>
      <c r="AB225" s="185" t="e">
        <f aca="false">SQRT((AA225^2*(A225-$D$3)+Z225^2*(DAY(EOMONTH(A225,0))/2))/AK225)</f>
        <v>#VALUE!</v>
      </c>
      <c r="AC225" s="185" t="str">
        <f aca="false">IF($A226="","",VLOOKUP($A225,Table,MATCH(AC$4,Curves,0)))</f>
        <v/>
      </c>
      <c r="AD225" s="185" t="str">
        <f aca="false">IF($A226="","",VLOOKUP($A225,Table,MATCH(AD$4,Curves,0)))</f>
        <v/>
      </c>
      <c r="AE225" s="185" t="e">
        <f aca="false">SQRT((AD225^2*(A225-$D$3)+AC225^2*(DAY(EOMONTH(A225,0))/2))/AK225)</f>
        <v>#VALUE!</v>
      </c>
      <c r="AF225" s="206" t="e">
        <f aca="false">((Summary!$N$7*(AA225*AD225)*(A225-$D$3))+(Summary!$M$7*Z225*AC225*(DAY(EOMONTH(A225,0))/2)))/(AK225*AB225*AE225)</f>
        <v>#VALUE!</v>
      </c>
      <c r="AG225" s="207" t="str">
        <f aca="false">IF($A226="","",Summary!$Q$7)</f>
        <v/>
      </c>
      <c r="AH225" s="207" t="str">
        <f aca="false">IF($A226="","",IF(Summary!$R$7="Y",(VLOOKUP($A225,Summary!$AD$6:$AF$9,3)+'Escalating commodity'!C238),'Escalating commodity'!C238))</f>
        <v/>
      </c>
      <c r="AI225" s="207" t="str">
        <f aca="false">IF($A226="","",AH225)</f>
        <v/>
      </c>
      <c r="AJ225" s="208" t="e">
        <f aca="false">A225+DAY(EOMONTH(A225,0))/2-1</f>
        <v>#VALUE!</v>
      </c>
      <c r="AK225" s="209" t="str">
        <f aca="false">IF($A226="","",$A225-$E$1)</f>
        <v/>
      </c>
      <c r="AL225" s="182" t="str">
        <f aca="false">IF($A226="","",SPRDOPT(P225,X225,AI225,0,AB225,AE225,AF225,AK225,$AJ$2,0))</f>
        <v/>
      </c>
      <c r="AM225" s="210" t="str">
        <f aca="false">IF($A226="","",MAX(0,O225-W225-AI225))</f>
        <v/>
      </c>
      <c r="AN225" s="211" t="str">
        <f aca="false">IF($A226="","",AL225-AM225)</f>
        <v/>
      </c>
      <c r="AO225" s="137" t="str">
        <f aca="false">IF(A226="","",A226-A225)</f>
        <v/>
      </c>
      <c r="AP225" s="212" t="str">
        <f aca="false">IF(A226="","",CHOOSE(F$3,A226+24,A225))</f>
        <v/>
      </c>
      <c r="AQ225" s="209" t="str">
        <f aca="false">IF(A226="","",AP225-$E$1)</f>
        <v/>
      </c>
      <c r="AR225" s="185" t="n">
        <f aca="false">IF(Summary!$H$2=1,VLOOKUP('ANR OK vs ML7'!A225,Curves!$C$17:$AR$273,MATCH('ANR OK vs ML7'!$AR$4,Curves!$C$8:$AQ$8,0)),0.1)</f>
        <v>0.1</v>
      </c>
      <c r="AS225" s="213" t="str">
        <f aca="false">IF(A226="","",1/(1+CHOOSE(F$3,(AR226+($I$3/10000))/2,(AR225+($I$3/10000))/2))^(2*AQ225/365.25))</f>
        <v/>
      </c>
      <c r="AT225" s="137" t="str">
        <f aca="false">IF(A226="","",IF(AND(mthbeg&lt;=A225,mthend&gt;=A225),1,0))</f>
        <v/>
      </c>
      <c r="AU225" s="137" t="str">
        <f aca="false">IF(A226="","",AO225*AT225)</f>
        <v/>
      </c>
      <c r="AW225" s="195" t="str">
        <f aca="false">IF($A226="","",AL225*$E225)</f>
        <v/>
      </c>
      <c r="AX225" s="195" t="str">
        <f aca="false">IF($A226="","",AM225*$E225)</f>
        <v/>
      </c>
      <c r="AY225" s="195" t="str">
        <f aca="false">IF($A226="","",AN225*$E225)</f>
        <v/>
      </c>
      <c r="BA225" s="195" t="str">
        <f aca="false">IF($A226="","",F225*Summary!$Q$7)</f>
        <v/>
      </c>
    </row>
    <row r="226" customFormat="false" ht="12" hidden="false" customHeight="true" outlineLevel="0" collapsed="false">
      <c r="A226" s="196" t="str">
        <f aca="false">IF(A225&lt;mthend,EDATE(A225,1),"")</f>
        <v/>
      </c>
      <c r="B226" s="197" t="str">
        <f aca="false">IF(A226&lt;mthend,B225,"")</f>
        <v/>
      </c>
      <c r="C226" s="215"/>
      <c r="D226" s="197" t="str">
        <f aca="false">IF(A227&lt;&gt;"",B226+C226,"")</f>
        <v/>
      </c>
      <c r="E226" s="199" t="str">
        <f aca="false">IF(A227="","",IF(AND(AT226=1,$H$3=1),D226*AO226,IF($H$3=2,D226,"N/A")))</f>
        <v/>
      </c>
      <c r="F226" s="199" t="str">
        <f aca="false">IF(A227="","",E226*AS226)</f>
        <v/>
      </c>
      <c r="G226" s="200" t="str">
        <f aca="false">IF($A227="","",VLOOKUP($A226,Table,MATCH(G$4,Curves,0)))</f>
        <v/>
      </c>
      <c r="H226" s="201" t="str">
        <f aca="false">IF(A227="","",G226)</f>
        <v/>
      </c>
      <c r="I226" s="202"/>
      <c r="J226" s="200" t="str">
        <f aca="false">IF($A227="","",VLOOKUP($A226,Table,MATCH(J$4,Curves,0)))</f>
        <v/>
      </c>
      <c r="K226" s="201" t="str">
        <f aca="false">IF(A227="","",J226)</f>
        <v/>
      </c>
      <c r="L226" s="200" t="str">
        <f aca="false">IF($A227="","",VLOOKUP($A226,Table,MATCH(L$4,Curves,0)))</f>
        <v/>
      </c>
      <c r="M226" s="201" t="str">
        <f aca="false">IF(A227="","",L226)</f>
        <v/>
      </c>
      <c r="N226" s="203"/>
      <c r="O226" s="200" t="str">
        <f aca="false">IF(A227="","",L226+J226+G226)</f>
        <v/>
      </c>
      <c r="P226" s="200" t="str">
        <f aca="false">IF(A227="","",M226+K226+H226)</f>
        <v/>
      </c>
      <c r="Q226" s="204"/>
      <c r="R226" s="200" t="str">
        <f aca="false">IF($A227="","",VLOOKUP($A226,Table,MATCH(R$4,Curves,0)))</f>
        <v/>
      </c>
      <c r="S226" s="201" t="str">
        <f aca="false">IF(A227="","",R226)</f>
        <v/>
      </c>
      <c r="T226" s="200" t="str">
        <f aca="false">IF($A227="","",VLOOKUP($A226,Table,MATCH(T$4,Curves,0)))</f>
        <v/>
      </c>
      <c r="U226" s="201" t="str">
        <f aca="false">IF(A227="","",T226)</f>
        <v/>
      </c>
      <c r="V226" s="183" t="str">
        <f aca="false">IF($A227="","",IF(AND(MONTH(A226)&gt;3,MONTH(A226)&lt;11),(T226+R226+G226)*Summary!$T$7/(1-Summary!$T$7),(T226+R226+G226)*Summary!$U$7/(1-Summary!$U$7)))</f>
        <v/>
      </c>
      <c r="W226" s="200" t="str">
        <f aca="false">IF($A227="","",(T226+R226+G226+V226))</f>
        <v/>
      </c>
      <c r="X226" s="200" t="str">
        <f aca="false">IF($A227="","",(U226+S226+H226+V226))</f>
        <v/>
      </c>
      <c r="Y226" s="202"/>
      <c r="Z226" s="185" t="str">
        <f aca="false">IF($A227="","",VLOOKUP($A226,Table,MATCH(Z$4,Curves,0)))</f>
        <v/>
      </c>
      <c r="AA226" s="185" t="str">
        <f aca="false">IF($A227="","",VLOOKUP($A226,Table,MATCH(AA$4,Curves,0)))</f>
        <v/>
      </c>
      <c r="AB226" s="185" t="e">
        <f aca="false">SQRT((AA226^2*(A226-$D$3)+Z226^2*(DAY(EOMONTH(A226,0))/2))/AK226)</f>
        <v>#VALUE!</v>
      </c>
      <c r="AC226" s="185" t="str">
        <f aca="false">IF($A227="","",VLOOKUP($A226,Table,MATCH(AC$4,Curves,0)))</f>
        <v/>
      </c>
      <c r="AD226" s="185" t="str">
        <f aca="false">IF($A227="","",VLOOKUP($A226,Table,MATCH(AD$4,Curves,0)))</f>
        <v/>
      </c>
      <c r="AE226" s="185" t="e">
        <f aca="false">SQRT((AD226^2*(A226-$D$3)+AC226^2*(DAY(EOMONTH(A226,0))/2))/AK226)</f>
        <v>#VALUE!</v>
      </c>
      <c r="AF226" s="206" t="e">
        <f aca="false">((Summary!$N$7*(AA226*AD226)*(A226-$D$3))+(Summary!$M$7*Z226*AC226*(DAY(EOMONTH(A226,0))/2)))/(AK226*AB226*AE226)</f>
        <v>#VALUE!</v>
      </c>
      <c r="AG226" s="207" t="str">
        <f aca="false">IF($A227="","",Summary!$Q$7)</f>
        <v/>
      </c>
      <c r="AH226" s="207" t="str">
        <f aca="false">IF($A227="","",IF(Summary!$R$7="Y",(VLOOKUP($A226,Summary!$AD$6:$AF$9,3)+'Escalating commodity'!C239),'Escalating commodity'!C239))</f>
        <v/>
      </c>
      <c r="AI226" s="207" t="str">
        <f aca="false">IF($A227="","",AH226)</f>
        <v/>
      </c>
      <c r="AJ226" s="208" t="e">
        <f aca="false">A226+DAY(EOMONTH(A226,0))/2-1</f>
        <v>#VALUE!</v>
      </c>
      <c r="AK226" s="209" t="str">
        <f aca="false">IF($A227="","",$A226-$E$1)</f>
        <v/>
      </c>
      <c r="AL226" s="182" t="str">
        <f aca="false">IF($A227="","",SPRDOPT(P226,X226,AI226,0,AB226,AE226,AF226,AK226,$AJ$2,0))</f>
        <v/>
      </c>
      <c r="AM226" s="210" t="str">
        <f aca="false">IF($A227="","",MAX(0,O226-W226-AI226))</f>
        <v/>
      </c>
      <c r="AN226" s="211" t="str">
        <f aca="false">IF($A227="","",AL226-AM226)</f>
        <v/>
      </c>
      <c r="AO226" s="137" t="str">
        <f aca="false">IF(A227="","",A227-A226)</f>
        <v/>
      </c>
      <c r="AP226" s="212" t="str">
        <f aca="false">IF(A227="","",CHOOSE(F$3,A227+24,A226))</f>
        <v/>
      </c>
      <c r="AQ226" s="209" t="str">
        <f aca="false">IF(A227="","",AP226-$E$1)</f>
        <v/>
      </c>
      <c r="AR226" s="185" t="n">
        <f aca="false">IF(Summary!$H$2=1,VLOOKUP('ANR OK vs ML7'!A226,Curves!$C$17:$AR$273,MATCH('ANR OK vs ML7'!$AR$4,Curves!$C$8:$AQ$8,0)),0.1)</f>
        <v>0.1</v>
      </c>
      <c r="AS226" s="213" t="str">
        <f aca="false">IF(A227="","",1/(1+CHOOSE(F$3,(AR227+($I$3/10000))/2,(AR226+($I$3/10000))/2))^(2*AQ226/365.25))</f>
        <v/>
      </c>
      <c r="AT226" s="137" t="str">
        <f aca="false">IF(A227="","",IF(AND(mthbeg&lt;=A226,mthend&gt;=A226),1,0))</f>
        <v/>
      </c>
      <c r="AU226" s="137" t="str">
        <f aca="false">IF(A227="","",AO226*AT226)</f>
        <v/>
      </c>
      <c r="AW226" s="195" t="str">
        <f aca="false">IF($A227="","",AL226*$E226)</f>
        <v/>
      </c>
      <c r="AX226" s="195" t="str">
        <f aca="false">IF($A227="","",AM226*$E226)</f>
        <v/>
      </c>
      <c r="AY226" s="195" t="str">
        <f aca="false">IF($A227="","",AN226*$E226)</f>
        <v/>
      </c>
      <c r="BA226" s="195" t="str">
        <f aca="false">IF($A227="","",F226*Summary!$Q$7)</f>
        <v/>
      </c>
    </row>
    <row r="227" customFormat="false" ht="12" hidden="false" customHeight="true" outlineLevel="0" collapsed="false">
      <c r="A227" s="196" t="str">
        <f aca="false">IF(A226&lt;mthend,EDATE(A226,1),"")</f>
        <v/>
      </c>
      <c r="B227" s="197" t="str">
        <f aca="false">IF(A227&lt;mthend,B226,"")</f>
        <v/>
      </c>
      <c r="C227" s="215"/>
      <c r="D227" s="197" t="str">
        <f aca="false">IF(A228&lt;&gt;"",B227+C227,"")</f>
        <v/>
      </c>
      <c r="E227" s="199" t="str">
        <f aca="false">IF(A228="","",IF(AND(AT227=1,$H$3=1),D227*AO227,IF($H$3=2,D227,"N/A")))</f>
        <v/>
      </c>
      <c r="F227" s="199" t="str">
        <f aca="false">IF(A228="","",E227*AS227)</f>
        <v/>
      </c>
      <c r="G227" s="200" t="str">
        <f aca="false">IF($A228="","",VLOOKUP($A227,Table,MATCH(G$4,Curves,0)))</f>
        <v/>
      </c>
      <c r="H227" s="201" t="str">
        <f aca="false">IF(A228="","",G227)</f>
        <v/>
      </c>
      <c r="I227" s="202"/>
      <c r="J227" s="200" t="str">
        <f aca="false">IF($A228="","",VLOOKUP($A227,Table,MATCH(J$4,Curves,0)))</f>
        <v/>
      </c>
      <c r="K227" s="201" t="str">
        <f aca="false">IF(A228="","",J227)</f>
        <v/>
      </c>
      <c r="L227" s="200" t="str">
        <f aca="false">IF($A228="","",VLOOKUP($A227,Table,MATCH(L$4,Curves,0)))</f>
        <v/>
      </c>
      <c r="M227" s="201" t="str">
        <f aca="false">IF(A228="","",L227)</f>
        <v/>
      </c>
      <c r="N227" s="203"/>
      <c r="O227" s="200" t="str">
        <f aca="false">IF(A228="","",L227+J227+G227)</f>
        <v/>
      </c>
      <c r="P227" s="200" t="str">
        <f aca="false">IF(A228="","",M227+K227+H227)</f>
        <v/>
      </c>
      <c r="Q227" s="204"/>
      <c r="R227" s="200" t="str">
        <f aca="false">IF($A228="","",VLOOKUP($A227,Table,MATCH(R$4,Curves,0)))</f>
        <v/>
      </c>
      <c r="S227" s="201" t="str">
        <f aca="false">IF(A228="","",R227)</f>
        <v/>
      </c>
      <c r="T227" s="200" t="str">
        <f aca="false">IF($A228="","",VLOOKUP($A227,Table,MATCH(T$4,Curves,0)))</f>
        <v/>
      </c>
      <c r="U227" s="201" t="str">
        <f aca="false">IF(A228="","",T227)</f>
        <v/>
      </c>
      <c r="V227" s="183" t="str">
        <f aca="false">IF($A228="","",IF(AND(MONTH(A227)&gt;3,MONTH(A227)&lt;11),(T227+R227+G227)*Summary!$T$7/(1-Summary!$T$7),(T227+R227+G227)*Summary!$U$7/(1-Summary!$U$7)))</f>
        <v/>
      </c>
      <c r="W227" s="200" t="str">
        <f aca="false">IF($A228="","",(T227+R227+G227+V227))</f>
        <v/>
      </c>
      <c r="X227" s="200" t="str">
        <f aca="false">IF($A228="","",(U227+S227+H227+V227))</f>
        <v/>
      </c>
      <c r="Y227" s="202"/>
      <c r="Z227" s="185" t="str">
        <f aca="false">IF($A228="","",VLOOKUP($A227,Table,MATCH(Z$4,Curves,0)))</f>
        <v/>
      </c>
      <c r="AA227" s="185" t="str">
        <f aca="false">IF($A228="","",VLOOKUP($A227,Table,MATCH(AA$4,Curves,0)))</f>
        <v/>
      </c>
      <c r="AB227" s="185" t="e">
        <f aca="false">SQRT((AA227^2*(A227-$D$3)+Z227^2*(DAY(EOMONTH(A227,0))/2))/AK227)</f>
        <v>#VALUE!</v>
      </c>
      <c r="AC227" s="185" t="str">
        <f aca="false">IF($A228="","",VLOOKUP($A227,Table,MATCH(AC$4,Curves,0)))</f>
        <v/>
      </c>
      <c r="AD227" s="185" t="str">
        <f aca="false">IF($A228="","",VLOOKUP($A227,Table,MATCH(AD$4,Curves,0)))</f>
        <v/>
      </c>
      <c r="AE227" s="185" t="e">
        <f aca="false">SQRT((AD227^2*(A227-$D$3)+AC227^2*(DAY(EOMONTH(A227,0))/2))/AK227)</f>
        <v>#VALUE!</v>
      </c>
      <c r="AF227" s="206" t="e">
        <f aca="false">((Summary!$N$7*(AA227*AD227)*(A227-$D$3))+(Summary!$M$7*Z227*AC227*(DAY(EOMONTH(A227,0))/2)))/(AK227*AB227*AE227)</f>
        <v>#VALUE!</v>
      </c>
      <c r="AG227" s="207" t="str">
        <f aca="false">IF($A228="","",Summary!$Q$7)</f>
        <v/>
      </c>
      <c r="AH227" s="207" t="str">
        <f aca="false">IF($A228="","",IF(Summary!$R$7="Y",(VLOOKUP($A227,Summary!$AD$6:$AF$9,3)+'Escalating commodity'!C240),'Escalating commodity'!C240))</f>
        <v/>
      </c>
      <c r="AI227" s="207" t="str">
        <f aca="false">IF($A228="","",AH227)</f>
        <v/>
      </c>
      <c r="AJ227" s="208" t="e">
        <f aca="false">A227+DAY(EOMONTH(A227,0))/2-1</f>
        <v>#VALUE!</v>
      </c>
      <c r="AK227" s="209" t="str">
        <f aca="false">IF($A228="","",$A227-$E$1)</f>
        <v/>
      </c>
      <c r="AL227" s="182" t="str">
        <f aca="false">IF($A228="","",SPRDOPT(P227,X227,AI227,0,AB227,AE227,AF227,AK227,$AJ$2,0))</f>
        <v/>
      </c>
      <c r="AM227" s="210" t="str">
        <f aca="false">IF($A228="","",MAX(0,O227-W227-AI227))</f>
        <v/>
      </c>
      <c r="AN227" s="211" t="str">
        <f aca="false">IF($A228="","",AL227-AM227)</f>
        <v/>
      </c>
      <c r="AO227" s="137" t="str">
        <f aca="false">IF(A228="","",A228-A227)</f>
        <v/>
      </c>
      <c r="AP227" s="212" t="str">
        <f aca="false">IF(A228="","",CHOOSE(F$3,A228+24,A227))</f>
        <v/>
      </c>
      <c r="AQ227" s="209" t="str">
        <f aca="false">IF(A228="","",AP227-$E$1)</f>
        <v/>
      </c>
      <c r="AR227" s="185" t="n">
        <f aca="false">IF(Summary!$H$2=1,VLOOKUP('ANR OK vs ML7'!A227,Curves!$C$17:$AR$273,MATCH('ANR OK vs ML7'!$AR$4,Curves!$C$8:$AQ$8,0)),0.1)</f>
        <v>0.1</v>
      </c>
      <c r="AS227" s="213" t="str">
        <f aca="false">IF(A228="","",1/(1+CHOOSE(F$3,(AR228+($I$3/10000))/2,(AR227+($I$3/10000))/2))^(2*AQ227/365.25))</f>
        <v/>
      </c>
      <c r="AT227" s="137" t="str">
        <f aca="false">IF(A228="","",IF(AND(mthbeg&lt;=A227,mthend&gt;=A227),1,0))</f>
        <v/>
      </c>
      <c r="AU227" s="137" t="str">
        <f aca="false">IF(A228="","",AO227*AT227)</f>
        <v/>
      </c>
      <c r="AW227" s="195" t="str">
        <f aca="false">IF($A228="","",AL227*$E227)</f>
        <v/>
      </c>
      <c r="AX227" s="195" t="str">
        <f aca="false">IF($A228="","",AM227*$E227)</f>
        <v/>
      </c>
      <c r="AY227" s="195" t="str">
        <f aca="false">IF($A228="","",AN227*$E227)</f>
        <v/>
      </c>
      <c r="BA227" s="195" t="str">
        <f aca="false">IF($A228="","",F227*Summary!$Q$7)</f>
        <v/>
      </c>
    </row>
    <row r="228" customFormat="false" ht="12" hidden="false" customHeight="true" outlineLevel="0" collapsed="false">
      <c r="A228" s="196" t="str">
        <f aca="false">IF(A227&lt;mthend,EDATE(A227,1),"")</f>
        <v/>
      </c>
      <c r="B228" s="197" t="str">
        <f aca="false">IF(A228&lt;mthend,B227,"")</f>
        <v/>
      </c>
      <c r="C228" s="215"/>
      <c r="D228" s="197" t="str">
        <f aca="false">IF(A229&lt;&gt;"",B228+C228,"")</f>
        <v/>
      </c>
      <c r="E228" s="199" t="str">
        <f aca="false">IF(A229="","",IF(AND(AT228=1,$H$3=1),D228*AO228,IF($H$3=2,D228,"N/A")))</f>
        <v/>
      </c>
      <c r="F228" s="199" t="str">
        <f aca="false">IF(A229="","",E228*AS228)</f>
        <v/>
      </c>
      <c r="G228" s="200" t="str">
        <f aca="false">IF($A229="","",VLOOKUP($A228,Table,MATCH(G$4,Curves,0)))</f>
        <v/>
      </c>
      <c r="H228" s="201" t="str">
        <f aca="false">IF(A229="","",G228)</f>
        <v/>
      </c>
      <c r="I228" s="202"/>
      <c r="J228" s="200" t="str">
        <f aca="false">IF($A229="","",VLOOKUP($A228,Table,MATCH(J$4,Curves,0)))</f>
        <v/>
      </c>
      <c r="K228" s="201" t="str">
        <f aca="false">IF(A229="","",J228)</f>
        <v/>
      </c>
      <c r="L228" s="200" t="str">
        <f aca="false">IF($A229="","",VLOOKUP($A228,Table,MATCH(L$4,Curves,0)))</f>
        <v/>
      </c>
      <c r="M228" s="201" t="str">
        <f aca="false">IF(A229="","",L228)</f>
        <v/>
      </c>
      <c r="N228" s="203"/>
      <c r="O228" s="200" t="str">
        <f aca="false">IF(A229="","",L228+J228+G228)</f>
        <v/>
      </c>
      <c r="P228" s="200" t="str">
        <f aca="false">IF(A229="","",M228+K228+H228)</f>
        <v/>
      </c>
      <c r="Q228" s="204"/>
      <c r="R228" s="200" t="str">
        <f aca="false">IF($A229="","",VLOOKUP($A228,Table,MATCH(R$4,Curves,0)))</f>
        <v/>
      </c>
      <c r="S228" s="201" t="str">
        <f aca="false">IF(A229="","",R228)</f>
        <v/>
      </c>
      <c r="T228" s="200" t="str">
        <f aca="false">IF($A229="","",VLOOKUP($A228,Table,MATCH(T$4,Curves,0)))</f>
        <v/>
      </c>
      <c r="U228" s="201" t="str">
        <f aca="false">IF(A229="","",T228)</f>
        <v/>
      </c>
      <c r="V228" s="183" t="str">
        <f aca="false">IF($A229="","",IF(AND(MONTH(A228)&gt;3,MONTH(A228)&lt;11),(T228+R228+G228)*Summary!$T$7/(1-Summary!$T$7),(T228+R228+G228)*Summary!$U$7/(1-Summary!$U$7)))</f>
        <v/>
      </c>
      <c r="W228" s="200" t="str">
        <f aca="false">IF($A229="","",(T228+R228+G228+V228))</f>
        <v/>
      </c>
      <c r="X228" s="200" t="str">
        <f aca="false">IF($A229="","",(U228+S228+H228+V228))</f>
        <v/>
      </c>
      <c r="Y228" s="202"/>
      <c r="Z228" s="185" t="str">
        <f aca="false">IF($A229="","",VLOOKUP($A228,Table,MATCH(Z$4,Curves,0)))</f>
        <v/>
      </c>
      <c r="AA228" s="185" t="str">
        <f aca="false">IF($A229="","",VLOOKUP($A228,Table,MATCH(AA$4,Curves,0)))</f>
        <v/>
      </c>
      <c r="AB228" s="185" t="e">
        <f aca="false">SQRT((AA228^2*(A228-$D$3)+Z228^2*(DAY(EOMONTH(A228,0))/2))/AK228)</f>
        <v>#VALUE!</v>
      </c>
      <c r="AC228" s="185" t="str">
        <f aca="false">IF($A229="","",VLOOKUP($A228,Table,MATCH(AC$4,Curves,0)))</f>
        <v/>
      </c>
      <c r="AD228" s="185" t="str">
        <f aca="false">IF($A229="","",VLOOKUP($A228,Table,MATCH(AD$4,Curves,0)))</f>
        <v/>
      </c>
      <c r="AE228" s="185" t="e">
        <f aca="false">SQRT((AD228^2*(A228-$D$3)+AC228^2*(DAY(EOMONTH(A228,0))/2))/AK228)</f>
        <v>#VALUE!</v>
      </c>
      <c r="AF228" s="206" t="e">
        <f aca="false">((Summary!$N$7*(AA228*AD228)*(A228-$D$3))+(Summary!$M$7*Z228*AC228*(DAY(EOMONTH(A228,0))/2)))/(AK228*AB228*AE228)</f>
        <v>#VALUE!</v>
      </c>
      <c r="AG228" s="207" t="str">
        <f aca="false">IF($A229="","",Summary!$Q$7)</f>
        <v/>
      </c>
      <c r="AH228" s="207" t="str">
        <f aca="false">IF($A229="","",IF(Summary!$R$7="Y",(VLOOKUP($A228,Summary!$AD$6:$AF$9,3)+'Escalating commodity'!C241),'Escalating commodity'!C241))</f>
        <v/>
      </c>
      <c r="AI228" s="207" t="str">
        <f aca="false">IF($A229="","",AH228)</f>
        <v/>
      </c>
      <c r="AJ228" s="208" t="e">
        <f aca="false">A228+DAY(EOMONTH(A228,0))/2-1</f>
        <v>#VALUE!</v>
      </c>
      <c r="AK228" s="209" t="str">
        <f aca="false">IF($A229="","",$A228-$E$1)</f>
        <v/>
      </c>
      <c r="AL228" s="182" t="str">
        <f aca="false">IF($A229="","",SPRDOPT(P228,X228,AI228,0,AB228,AE228,AF228,AK228,$AJ$2,0))</f>
        <v/>
      </c>
      <c r="AM228" s="210" t="str">
        <f aca="false">IF($A229="","",MAX(0,O228-W228-AI228))</f>
        <v/>
      </c>
      <c r="AN228" s="211" t="str">
        <f aca="false">IF($A229="","",AL228-AM228)</f>
        <v/>
      </c>
      <c r="AO228" s="137" t="str">
        <f aca="false">IF(A229="","",A229-A228)</f>
        <v/>
      </c>
      <c r="AP228" s="212" t="str">
        <f aca="false">IF(A229="","",CHOOSE(F$3,A229+24,A228))</f>
        <v/>
      </c>
      <c r="AQ228" s="209" t="str">
        <f aca="false">IF(A229="","",AP228-$E$1)</f>
        <v/>
      </c>
      <c r="AR228" s="185" t="n">
        <f aca="false">IF(Summary!$H$2=1,VLOOKUP('ANR OK vs ML7'!A228,Curves!$C$17:$AR$273,MATCH('ANR OK vs ML7'!$AR$4,Curves!$C$8:$AQ$8,0)),0.1)</f>
        <v>0.1</v>
      </c>
      <c r="AS228" s="213" t="str">
        <f aca="false">IF(A229="","",1/(1+CHOOSE(F$3,(AR229+($I$3/10000))/2,(AR228+($I$3/10000))/2))^(2*AQ228/365.25))</f>
        <v/>
      </c>
      <c r="AT228" s="137" t="str">
        <f aca="false">IF(A229="","",IF(AND(mthbeg&lt;=A228,mthend&gt;=A228),1,0))</f>
        <v/>
      </c>
      <c r="AU228" s="137" t="str">
        <f aca="false">IF(A229="","",AO228*AT228)</f>
        <v/>
      </c>
      <c r="AW228" s="195" t="str">
        <f aca="false">IF($A229="","",AL228*$E228)</f>
        <v/>
      </c>
      <c r="AX228" s="195" t="str">
        <f aca="false">IF($A229="","",AM228*$E228)</f>
        <v/>
      </c>
      <c r="AY228" s="195" t="str">
        <f aca="false">IF($A229="","",AN228*$E228)</f>
        <v/>
      </c>
      <c r="BA228" s="195" t="str">
        <f aca="false">IF($A229="","",F228*Summary!$Q$7)</f>
        <v/>
      </c>
    </row>
    <row r="229" customFormat="false" ht="12" hidden="false" customHeight="true" outlineLevel="0" collapsed="false">
      <c r="A229" s="196" t="str">
        <f aca="false">IF(A228&lt;mthend,EDATE(A228,1),"")</f>
        <v/>
      </c>
      <c r="B229" s="197" t="str">
        <f aca="false">IF(A229&lt;mthend,B228,"")</f>
        <v/>
      </c>
      <c r="C229" s="215"/>
      <c r="D229" s="197" t="str">
        <f aca="false">IF(A230&lt;&gt;"",B229+C229,"")</f>
        <v/>
      </c>
      <c r="E229" s="199" t="str">
        <f aca="false">IF(A230="","",IF(AND(AT229=1,$H$3=1),D229*AO229,IF($H$3=2,D229,"N/A")))</f>
        <v/>
      </c>
      <c r="F229" s="199" t="str">
        <f aca="false">IF(A230="","",E229*AS229)</f>
        <v/>
      </c>
      <c r="G229" s="200" t="str">
        <f aca="false">IF($A230="","",VLOOKUP($A229,Table,MATCH(G$4,Curves,0)))</f>
        <v/>
      </c>
      <c r="H229" s="201" t="str">
        <f aca="false">IF(A230="","",G229)</f>
        <v/>
      </c>
      <c r="I229" s="202"/>
      <c r="J229" s="200" t="str">
        <f aca="false">IF($A230="","",VLOOKUP($A229,Table,MATCH(J$4,Curves,0)))</f>
        <v/>
      </c>
      <c r="K229" s="201" t="str">
        <f aca="false">IF(A230="","",J229)</f>
        <v/>
      </c>
      <c r="L229" s="200" t="str">
        <f aca="false">IF($A230="","",VLOOKUP($A229,Table,MATCH(L$4,Curves,0)))</f>
        <v/>
      </c>
      <c r="M229" s="201" t="str">
        <f aca="false">IF(A230="","",L229)</f>
        <v/>
      </c>
      <c r="N229" s="203"/>
      <c r="O229" s="200" t="str">
        <f aca="false">IF(A230="","",L229+J229+G229)</f>
        <v/>
      </c>
      <c r="P229" s="200" t="str">
        <f aca="false">IF(A230="","",M229+K229+H229)</f>
        <v/>
      </c>
      <c r="Q229" s="204"/>
      <c r="R229" s="200" t="str">
        <f aca="false">IF($A230="","",VLOOKUP($A229,Table,MATCH(R$4,Curves,0)))</f>
        <v/>
      </c>
      <c r="S229" s="201" t="str">
        <f aca="false">IF(A230="","",R229)</f>
        <v/>
      </c>
      <c r="T229" s="200" t="str">
        <f aca="false">IF($A230="","",VLOOKUP($A229,Table,MATCH(T$4,Curves,0)))</f>
        <v/>
      </c>
      <c r="U229" s="201" t="str">
        <f aca="false">IF(A230="","",T229)</f>
        <v/>
      </c>
      <c r="V229" s="183" t="str">
        <f aca="false">IF($A230="","",IF(AND(MONTH(A229)&gt;3,MONTH(A229)&lt;11),(T229+R229+G229)*Summary!$T$7/(1-Summary!$T$7),(T229+R229+G229)*Summary!$U$7/(1-Summary!$U$7)))</f>
        <v/>
      </c>
      <c r="W229" s="200" t="str">
        <f aca="false">IF($A230="","",(T229+R229+G229+V229))</f>
        <v/>
      </c>
      <c r="X229" s="200" t="str">
        <f aca="false">IF($A230="","",(U229+S229+H229+V229))</f>
        <v/>
      </c>
      <c r="Y229" s="202"/>
      <c r="Z229" s="185" t="str">
        <f aca="false">IF($A230="","",VLOOKUP($A229,Table,MATCH(Z$4,Curves,0)))</f>
        <v/>
      </c>
      <c r="AA229" s="185" t="str">
        <f aca="false">IF($A230="","",VLOOKUP($A229,Table,MATCH(AA$4,Curves,0)))</f>
        <v/>
      </c>
      <c r="AB229" s="185" t="e">
        <f aca="false">SQRT((AA229^2*(A229-$D$3)+Z229^2*(DAY(EOMONTH(A229,0))/2))/AK229)</f>
        <v>#VALUE!</v>
      </c>
      <c r="AC229" s="185" t="str">
        <f aca="false">IF($A230="","",VLOOKUP($A229,Table,MATCH(AC$4,Curves,0)))</f>
        <v/>
      </c>
      <c r="AD229" s="185" t="str">
        <f aca="false">IF($A230="","",VLOOKUP($A229,Table,MATCH(AD$4,Curves,0)))</f>
        <v/>
      </c>
      <c r="AE229" s="185" t="e">
        <f aca="false">SQRT((AD229^2*(A229-$D$3)+AC229^2*(DAY(EOMONTH(A229,0))/2))/AK229)</f>
        <v>#VALUE!</v>
      </c>
      <c r="AF229" s="206" t="e">
        <f aca="false">((Summary!$N$7*(AA229*AD229)*(A229-$D$3))+(Summary!$M$7*Z229*AC229*(DAY(EOMONTH(A229,0))/2)))/(AK229*AB229*AE229)</f>
        <v>#VALUE!</v>
      </c>
      <c r="AG229" s="207" t="str">
        <f aca="false">IF($A230="","",Summary!$Q$7)</f>
        <v/>
      </c>
      <c r="AH229" s="207" t="str">
        <f aca="false">IF($A230="","",IF(Summary!$R$7="Y",(VLOOKUP($A229,Summary!$AD$6:$AF$9,3)+'Escalating commodity'!C242),'Escalating commodity'!C242))</f>
        <v/>
      </c>
      <c r="AI229" s="207" t="str">
        <f aca="false">IF($A230="","",AH229)</f>
        <v/>
      </c>
      <c r="AJ229" s="208" t="e">
        <f aca="false">A229+DAY(EOMONTH(A229,0))/2-1</f>
        <v>#VALUE!</v>
      </c>
      <c r="AK229" s="209" t="str">
        <f aca="false">IF($A230="","",$A229-$E$1)</f>
        <v/>
      </c>
      <c r="AL229" s="182" t="str">
        <f aca="false">IF($A230="","",SPRDOPT(P229,X229,AI229,0,AB229,AE229,AF229,AK229,$AJ$2,0))</f>
        <v/>
      </c>
      <c r="AM229" s="210" t="str">
        <f aca="false">IF($A230="","",MAX(0,O229-W229-AI229))</f>
        <v/>
      </c>
      <c r="AN229" s="211" t="str">
        <f aca="false">IF($A230="","",AL229-AM229)</f>
        <v/>
      </c>
      <c r="AO229" s="137" t="str">
        <f aca="false">IF(A230="","",A230-A229)</f>
        <v/>
      </c>
      <c r="AP229" s="212" t="str">
        <f aca="false">IF(A230="","",CHOOSE(F$3,A230+24,A229))</f>
        <v/>
      </c>
      <c r="AQ229" s="209" t="str">
        <f aca="false">IF(A230="","",AP229-$E$1)</f>
        <v/>
      </c>
      <c r="AR229" s="185" t="n">
        <f aca="false">IF(Summary!$H$2=1,VLOOKUP('ANR OK vs ML7'!A229,Curves!$C$17:$AR$273,MATCH('ANR OK vs ML7'!$AR$4,Curves!$C$8:$AQ$8,0)),0.1)</f>
        <v>0.1</v>
      </c>
      <c r="AS229" s="213" t="str">
        <f aca="false">IF(A230="","",1/(1+CHOOSE(F$3,(AR230+($I$3/10000))/2,(AR229+($I$3/10000))/2))^(2*AQ229/365.25))</f>
        <v/>
      </c>
      <c r="AT229" s="137" t="str">
        <f aca="false">IF(A230="","",IF(AND(mthbeg&lt;=A229,mthend&gt;=A229),1,0))</f>
        <v/>
      </c>
      <c r="AU229" s="137" t="str">
        <f aca="false">IF(A230="","",AO229*AT229)</f>
        <v/>
      </c>
      <c r="AW229" s="195" t="str">
        <f aca="false">IF($A230="","",AL229*$E229)</f>
        <v/>
      </c>
      <c r="AX229" s="195" t="str">
        <f aca="false">IF($A230="","",AM229*$E229)</f>
        <v/>
      </c>
      <c r="AY229" s="195" t="str">
        <f aca="false">IF($A230="","",AN229*$E229)</f>
        <v/>
      </c>
      <c r="BA229" s="195" t="str">
        <f aca="false">IF($A230="","",F229*Summary!$Q$7)</f>
        <v/>
      </c>
    </row>
    <row r="230" customFormat="false" ht="12" hidden="false" customHeight="true" outlineLevel="0" collapsed="false">
      <c r="A230" s="196" t="str">
        <f aca="false">IF(A229&lt;mthend,EDATE(A229,1),"")</f>
        <v/>
      </c>
      <c r="B230" s="197" t="str">
        <f aca="false">IF(A230&lt;mthend,B229,"")</f>
        <v/>
      </c>
      <c r="C230" s="215"/>
      <c r="D230" s="197" t="str">
        <f aca="false">IF(A231&lt;&gt;"",B230+C230,"")</f>
        <v/>
      </c>
      <c r="E230" s="199" t="str">
        <f aca="false">IF(A231="","",IF(AND(AT230=1,$H$3=1),D230*AO230,IF($H$3=2,D230,"N/A")))</f>
        <v/>
      </c>
      <c r="F230" s="199" t="str">
        <f aca="false">IF(A231="","",E230*AS230)</f>
        <v/>
      </c>
      <c r="G230" s="200" t="str">
        <f aca="false">IF($A231="","",VLOOKUP($A230,Table,MATCH(G$4,Curves,0)))</f>
        <v/>
      </c>
      <c r="H230" s="201" t="str">
        <f aca="false">IF(A231="","",G230)</f>
        <v/>
      </c>
      <c r="I230" s="202"/>
      <c r="J230" s="200" t="str">
        <f aca="false">IF($A231="","",VLOOKUP($A230,Table,MATCH(J$4,Curves,0)))</f>
        <v/>
      </c>
      <c r="K230" s="201" t="str">
        <f aca="false">IF(A231="","",J230)</f>
        <v/>
      </c>
      <c r="L230" s="200" t="str">
        <f aca="false">IF($A231="","",VLOOKUP($A230,Table,MATCH(L$4,Curves,0)))</f>
        <v/>
      </c>
      <c r="M230" s="201" t="str">
        <f aca="false">IF(A231="","",L230)</f>
        <v/>
      </c>
      <c r="N230" s="203"/>
      <c r="O230" s="200" t="str">
        <f aca="false">IF(A231="","",L230+J230+G230)</f>
        <v/>
      </c>
      <c r="P230" s="200" t="str">
        <f aca="false">IF(A231="","",M230+K230+H230)</f>
        <v/>
      </c>
      <c r="Q230" s="204"/>
      <c r="R230" s="200" t="str">
        <f aca="false">IF($A231="","",VLOOKUP($A230,Table,MATCH(R$4,Curves,0)))</f>
        <v/>
      </c>
      <c r="S230" s="201" t="str">
        <f aca="false">IF(A231="","",R230)</f>
        <v/>
      </c>
      <c r="T230" s="200" t="str">
        <f aca="false">IF($A231="","",VLOOKUP($A230,Table,MATCH(T$4,Curves,0)))</f>
        <v/>
      </c>
      <c r="U230" s="201" t="str">
        <f aca="false">IF(A231="","",T230)</f>
        <v/>
      </c>
      <c r="V230" s="183" t="str">
        <f aca="false">IF($A231="","",IF(AND(MONTH(A230)&gt;3,MONTH(A230)&lt;11),(T230+R230+G230)*Summary!$T$7/(1-Summary!$T$7),(T230+R230+G230)*Summary!$U$7/(1-Summary!$U$7)))</f>
        <v/>
      </c>
      <c r="W230" s="200" t="str">
        <f aca="false">IF($A231="","",(T230+R230+G230+V230))</f>
        <v/>
      </c>
      <c r="X230" s="200" t="str">
        <f aca="false">IF($A231="","",(U230+S230+H230+V230))</f>
        <v/>
      </c>
      <c r="Y230" s="202"/>
      <c r="Z230" s="185" t="str">
        <f aca="false">IF($A231="","",VLOOKUP($A230,Table,MATCH(Z$4,Curves,0)))</f>
        <v/>
      </c>
      <c r="AA230" s="185" t="str">
        <f aca="false">IF($A231="","",VLOOKUP($A230,Table,MATCH(AA$4,Curves,0)))</f>
        <v/>
      </c>
      <c r="AB230" s="185" t="e">
        <f aca="false">SQRT((AA230^2*(A230-$D$3)+Z230^2*(DAY(EOMONTH(A230,0))/2))/AK230)</f>
        <v>#VALUE!</v>
      </c>
      <c r="AC230" s="185" t="str">
        <f aca="false">IF($A231="","",VLOOKUP($A230,Table,MATCH(AC$4,Curves,0)))</f>
        <v/>
      </c>
      <c r="AD230" s="185" t="str">
        <f aca="false">IF($A231="","",VLOOKUP($A230,Table,MATCH(AD$4,Curves,0)))</f>
        <v/>
      </c>
      <c r="AE230" s="185" t="e">
        <f aca="false">SQRT((AD230^2*(A230-$D$3)+AC230^2*(DAY(EOMONTH(A230,0))/2))/AK230)</f>
        <v>#VALUE!</v>
      </c>
      <c r="AF230" s="206" t="e">
        <f aca="false">((Summary!$N$7*(AA230*AD230)*(A230-$D$3))+(Summary!$M$7*Z230*AC230*(DAY(EOMONTH(A230,0))/2)))/(AK230*AB230*AE230)</f>
        <v>#VALUE!</v>
      </c>
      <c r="AG230" s="207" t="str">
        <f aca="false">IF($A231="","",Summary!$Q$7)</f>
        <v/>
      </c>
      <c r="AH230" s="207" t="str">
        <f aca="false">IF($A231="","",IF(Summary!$R$7="Y",(VLOOKUP($A230,Summary!$AD$6:$AF$9,3)+'Escalating commodity'!C243),'Escalating commodity'!C243))</f>
        <v/>
      </c>
      <c r="AI230" s="207" t="str">
        <f aca="false">IF($A231="","",AH230)</f>
        <v/>
      </c>
      <c r="AJ230" s="208" t="e">
        <f aca="false">A230+DAY(EOMONTH(A230,0))/2-1</f>
        <v>#VALUE!</v>
      </c>
      <c r="AK230" s="209" t="str">
        <f aca="false">IF($A231="","",$A230-$E$1)</f>
        <v/>
      </c>
      <c r="AL230" s="182" t="str">
        <f aca="false">IF($A231="","",SPRDOPT(P230,X230,AI230,0,AB230,AE230,AF230,AK230,$AJ$2,0))</f>
        <v/>
      </c>
      <c r="AM230" s="210" t="str">
        <f aca="false">IF($A231="","",MAX(0,O230-W230-AI230))</f>
        <v/>
      </c>
      <c r="AN230" s="211" t="str">
        <f aca="false">IF($A231="","",AL230-AM230)</f>
        <v/>
      </c>
      <c r="AO230" s="137" t="str">
        <f aca="false">IF(A231="","",A231-A230)</f>
        <v/>
      </c>
      <c r="AP230" s="212" t="str">
        <f aca="false">IF(A231="","",CHOOSE(F$3,A231+24,A230))</f>
        <v/>
      </c>
      <c r="AQ230" s="209" t="str">
        <f aca="false">IF(A231="","",AP230-$E$1)</f>
        <v/>
      </c>
      <c r="AR230" s="185" t="n">
        <f aca="false">IF(Summary!$H$2=1,VLOOKUP('ANR OK vs ML7'!A230,Curves!$C$17:$AR$273,MATCH('ANR OK vs ML7'!$AR$4,Curves!$C$8:$AQ$8,0)),0.1)</f>
        <v>0.1</v>
      </c>
      <c r="AS230" s="213" t="str">
        <f aca="false">IF(A231="","",1/(1+CHOOSE(F$3,(AR231+($I$3/10000))/2,(AR230+($I$3/10000))/2))^(2*AQ230/365.25))</f>
        <v/>
      </c>
      <c r="AT230" s="137" t="str">
        <f aca="false">IF(A231="","",IF(AND(mthbeg&lt;=A230,mthend&gt;=A230),1,0))</f>
        <v/>
      </c>
      <c r="AU230" s="137" t="str">
        <f aca="false">IF(A231="","",AO230*AT230)</f>
        <v/>
      </c>
      <c r="AW230" s="195" t="str">
        <f aca="false">IF($A231="","",AL230*$E230)</f>
        <v/>
      </c>
      <c r="AX230" s="195" t="str">
        <f aca="false">IF($A231="","",AM230*$E230)</f>
        <v/>
      </c>
      <c r="AY230" s="195" t="str">
        <f aca="false">IF($A231="","",AN230*$E230)</f>
        <v/>
      </c>
      <c r="BA230" s="195" t="str">
        <f aca="false">IF($A231="","",F230*Summary!$Q$7)</f>
        <v/>
      </c>
    </row>
    <row r="231" customFormat="false" ht="12" hidden="false" customHeight="true" outlineLevel="0" collapsed="false">
      <c r="A231" s="196" t="str">
        <f aca="false">IF(A230&lt;mthend,EDATE(A230,1),"")</f>
        <v/>
      </c>
      <c r="B231" s="197" t="str">
        <f aca="false">IF(A231&lt;mthend,B230,"")</f>
        <v/>
      </c>
      <c r="C231" s="215"/>
      <c r="D231" s="197" t="str">
        <f aca="false">IF(A232&lt;&gt;"",B231+C231,"")</f>
        <v/>
      </c>
      <c r="E231" s="199" t="str">
        <f aca="false">IF(A232="","",IF(AND(AT231=1,$H$3=1),D231*AO231,IF($H$3=2,D231,"N/A")))</f>
        <v/>
      </c>
      <c r="F231" s="199" t="str">
        <f aca="false">IF(A232="","",E231*AS231)</f>
        <v/>
      </c>
      <c r="G231" s="200" t="str">
        <f aca="false">IF($A232="","",VLOOKUP($A231,Table,MATCH(G$4,Curves,0)))</f>
        <v/>
      </c>
      <c r="H231" s="201" t="str">
        <f aca="false">IF(A232="","",G231)</f>
        <v/>
      </c>
      <c r="I231" s="202"/>
      <c r="J231" s="200" t="str">
        <f aca="false">IF($A232="","",VLOOKUP($A231,Table,MATCH(J$4,Curves,0)))</f>
        <v/>
      </c>
      <c r="K231" s="201" t="str">
        <f aca="false">IF(A232="","",J231)</f>
        <v/>
      </c>
      <c r="L231" s="200" t="str">
        <f aca="false">IF($A232="","",VLOOKUP($A231,Table,MATCH(L$4,Curves,0)))</f>
        <v/>
      </c>
      <c r="M231" s="201" t="str">
        <f aca="false">IF(A232="","",L231)</f>
        <v/>
      </c>
      <c r="N231" s="203"/>
      <c r="O231" s="200" t="str">
        <f aca="false">IF(A232="","",L231+J231+G231)</f>
        <v/>
      </c>
      <c r="P231" s="200" t="str">
        <f aca="false">IF(A232="","",M231+K231+H231)</f>
        <v/>
      </c>
      <c r="Q231" s="204"/>
      <c r="R231" s="200" t="str">
        <f aca="false">IF($A232="","",VLOOKUP($A231,Table,MATCH(R$4,Curves,0)))</f>
        <v/>
      </c>
      <c r="S231" s="201" t="str">
        <f aca="false">IF(A232="","",R231)</f>
        <v/>
      </c>
      <c r="T231" s="200" t="str">
        <f aca="false">IF($A232="","",VLOOKUP($A231,Table,MATCH(T$4,Curves,0)))</f>
        <v/>
      </c>
      <c r="U231" s="201" t="str">
        <f aca="false">IF(A232="","",T231)</f>
        <v/>
      </c>
      <c r="V231" s="183" t="str">
        <f aca="false">IF($A232="","",IF(AND(MONTH(A231)&gt;3,MONTH(A231)&lt;11),(T231+R231+G231)*Summary!$T$7/(1-Summary!$T$7),(T231+R231+G231)*Summary!$U$7/(1-Summary!$U$7)))</f>
        <v/>
      </c>
      <c r="W231" s="200" t="str">
        <f aca="false">IF($A232="","",(T231+R231+G231+V231))</f>
        <v/>
      </c>
      <c r="X231" s="200" t="str">
        <f aca="false">IF($A232="","",(U231+S231+H231+V231))</f>
        <v/>
      </c>
      <c r="Y231" s="202"/>
      <c r="Z231" s="185" t="str">
        <f aca="false">IF($A232="","",VLOOKUP($A231,Table,MATCH(Z$4,Curves,0)))</f>
        <v/>
      </c>
      <c r="AA231" s="185" t="str">
        <f aca="false">IF($A232="","",VLOOKUP($A231,Table,MATCH(AA$4,Curves,0)))</f>
        <v/>
      </c>
      <c r="AB231" s="185" t="e">
        <f aca="false">SQRT((AA231^2*(A231-$D$3)+Z231^2*(DAY(EOMONTH(A231,0))/2))/AK231)</f>
        <v>#VALUE!</v>
      </c>
      <c r="AC231" s="185" t="str">
        <f aca="false">IF($A232="","",VLOOKUP($A231,Table,MATCH(AC$4,Curves,0)))</f>
        <v/>
      </c>
      <c r="AD231" s="185" t="str">
        <f aca="false">IF($A232="","",VLOOKUP($A231,Table,MATCH(AD$4,Curves,0)))</f>
        <v/>
      </c>
      <c r="AE231" s="185" t="e">
        <f aca="false">SQRT((AD231^2*(A231-$D$3)+AC231^2*(DAY(EOMONTH(A231,0))/2))/AK231)</f>
        <v>#VALUE!</v>
      </c>
      <c r="AF231" s="206" t="e">
        <f aca="false">((Summary!$N$7*(AA231*AD231)*(A231-$D$3))+(Summary!$M$7*Z231*AC231*(DAY(EOMONTH(A231,0))/2)))/(AK231*AB231*AE231)</f>
        <v>#VALUE!</v>
      </c>
      <c r="AG231" s="207" t="str">
        <f aca="false">IF($A232="","",Summary!$Q$7)</f>
        <v/>
      </c>
      <c r="AH231" s="207" t="str">
        <f aca="false">IF($A232="","",IF(Summary!$R$7="Y",(VLOOKUP($A231,Summary!$AD$6:$AF$9,3)+'Escalating commodity'!C244),'Escalating commodity'!C244))</f>
        <v/>
      </c>
      <c r="AI231" s="207" t="str">
        <f aca="false">IF($A232="","",AH231)</f>
        <v/>
      </c>
      <c r="AJ231" s="208" t="e">
        <f aca="false">A231+DAY(EOMONTH(A231,0))/2-1</f>
        <v>#VALUE!</v>
      </c>
      <c r="AK231" s="209" t="str">
        <f aca="false">IF($A232="","",$A231-$E$1)</f>
        <v/>
      </c>
      <c r="AL231" s="182" t="str">
        <f aca="false">IF($A232="","",SPRDOPT(P231,X231,AI231,0,AB231,AE231,AF231,AK231,$AJ$2,0))</f>
        <v/>
      </c>
      <c r="AM231" s="210" t="str">
        <f aca="false">IF($A232="","",MAX(0,O231-W231-AI231))</f>
        <v/>
      </c>
      <c r="AN231" s="211" t="str">
        <f aca="false">IF($A232="","",AL231-AM231)</f>
        <v/>
      </c>
      <c r="AO231" s="137" t="str">
        <f aca="false">IF(A232="","",A232-A231)</f>
        <v/>
      </c>
      <c r="AP231" s="212" t="str">
        <f aca="false">IF(A232="","",CHOOSE(F$3,A232+24,A231))</f>
        <v/>
      </c>
      <c r="AQ231" s="209" t="str">
        <f aca="false">IF(A232="","",AP231-$E$1)</f>
        <v/>
      </c>
      <c r="AR231" s="185" t="n">
        <f aca="false">IF(Summary!$H$2=1,VLOOKUP('ANR OK vs ML7'!A231,Curves!$C$17:$AR$273,MATCH('ANR OK vs ML7'!$AR$4,Curves!$C$8:$AQ$8,0)),0.1)</f>
        <v>0.1</v>
      </c>
      <c r="AS231" s="213" t="str">
        <f aca="false">IF(A232="","",1/(1+CHOOSE(F$3,(AR232+($I$3/10000))/2,(AR231+($I$3/10000))/2))^(2*AQ231/365.25))</f>
        <v/>
      </c>
      <c r="AT231" s="137" t="str">
        <f aca="false">IF(A232="","",IF(AND(mthbeg&lt;=A231,mthend&gt;=A231),1,0))</f>
        <v/>
      </c>
      <c r="AU231" s="137" t="str">
        <f aca="false">IF(A232="","",AO231*AT231)</f>
        <v/>
      </c>
      <c r="AW231" s="195" t="str">
        <f aca="false">IF($A232="","",AL231*$E231)</f>
        <v/>
      </c>
      <c r="AX231" s="195" t="str">
        <f aca="false">IF($A232="","",AM231*$E231)</f>
        <v/>
      </c>
      <c r="AY231" s="195" t="str">
        <f aca="false">IF($A232="","",AN231*$E231)</f>
        <v/>
      </c>
      <c r="BA231" s="195" t="str">
        <f aca="false">IF($A232="","",F231*Summary!$Q$7)</f>
        <v/>
      </c>
    </row>
    <row r="232" customFormat="false" ht="12" hidden="false" customHeight="true" outlineLevel="0" collapsed="false">
      <c r="A232" s="196" t="str">
        <f aca="false">IF(A231&lt;mthend,EDATE(A231,1),"")</f>
        <v/>
      </c>
      <c r="B232" s="197" t="str">
        <f aca="false">IF(A232&lt;mthend,B231,"")</f>
        <v/>
      </c>
      <c r="C232" s="215"/>
      <c r="D232" s="197" t="str">
        <f aca="false">IF(A233&lt;&gt;"",B232+C232,"")</f>
        <v/>
      </c>
      <c r="E232" s="199" t="str">
        <f aca="false">IF(A233="","",IF(AND(AT232=1,$H$3=1),D232*AO232,IF($H$3=2,D232,"N/A")))</f>
        <v/>
      </c>
      <c r="F232" s="199" t="str">
        <f aca="false">IF(A233="","",E232*AS232)</f>
        <v/>
      </c>
      <c r="G232" s="200" t="str">
        <f aca="false">IF($A233="","",VLOOKUP($A232,Table,MATCH(G$4,Curves,0)))</f>
        <v/>
      </c>
      <c r="H232" s="201" t="str">
        <f aca="false">IF(A233="","",G232)</f>
        <v/>
      </c>
      <c r="I232" s="202"/>
      <c r="J232" s="200" t="str">
        <f aca="false">IF($A233="","",VLOOKUP($A232,Table,MATCH(J$4,Curves,0)))</f>
        <v/>
      </c>
      <c r="K232" s="201" t="str">
        <f aca="false">IF(A233="","",J232)</f>
        <v/>
      </c>
      <c r="L232" s="200" t="str">
        <f aca="false">IF($A233="","",VLOOKUP($A232,Table,MATCH(L$4,Curves,0)))</f>
        <v/>
      </c>
      <c r="M232" s="201" t="str">
        <f aca="false">IF(A233="","",L232)</f>
        <v/>
      </c>
      <c r="N232" s="203"/>
      <c r="O232" s="200" t="str">
        <f aca="false">IF(A233="","",L232+J232+G232)</f>
        <v/>
      </c>
      <c r="P232" s="200" t="str">
        <f aca="false">IF(A233="","",M232+K232+H232)</f>
        <v/>
      </c>
      <c r="Q232" s="204"/>
      <c r="R232" s="200" t="str">
        <f aca="false">IF($A233="","",VLOOKUP($A232,Table,MATCH(R$4,Curves,0)))</f>
        <v/>
      </c>
      <c r="S232" s="201" t="str">
        <f aca="false">IF(A233="","",R232)</f>
        <v/>
      </c>
      <c r="T232" s="200" t="str">
        <f aca="false">IF($A233="","",VLOOKUP($A232,Table,MATCH(T$4,Curves,0)))</f>
        <v/>
      </c>
      <c r="U232" s="201" t="str">
        <f aca="false">IF(A233="","",T232)</f>
        <v/>
      </c>
      <c r="V232" s="183" t="str">
        <f aca="false">IF($A233="","",IF(AND(MONTH(A232)&gt;3,MONTH(A232)&lt;11),(T232+R232+G232)*Summary!$T$7/(1-Summary!$T$7),(T232+R232+G232)*Summary!$U$7/(1-Summary!$U$7)))</f>
        <v/>
      </c>
      <c r="W232" s="200" t="str">
        <f aca="false">IF($A233="","",(T232+R232+G232+V232))</f>
        <v/>
      </c>
      <c r="X232" s="200" t="str">
        <f aca="false">IF($A233="","",(U232+S232+H232+V232))</f>
        <v/>
      </c>
      <c r="Y232" s="202"/>
      <c r="Z232" s="185" t="str">
        <f aca="false">IF($A233="","",VLOOKUP($A232,Table,MATCH(Z$4,Curves,0)))</f>
        <v/>
      </c>
      <c r="AA232" s="185" t="str">
        <f aca="false">IF($A233="","",VLOOKUP($A232,Table,MATCH(AA$4,Curves,0)))</f>
        <v/>
      </c>
      <c r="AB232" s="185" t="e">
        <f aca="false">SQRT((AA232^2*(A232-$D$3)+Z232^2*(DAY(EOMONTH(A232,0))/2))/AK232)</f>
        <v>#VALUE!</v>
      </c>
      <c r="AC232" s="185" t="str">
        <f aca="false">IF($A233="","",VLOOKUP($A232,Table,MATCH(AC$4,Curves,0)))</f>
        <v/>
      </c>
      <c r="AD232" s="185" t="str">
        <f aca="false">IF($A233="","",VLOOKUP($A232,Table,MATCH(AD$4,Curves,0)))</f>
        <v/>
      </c>
      <c r="AE232" s="185" t="e">
        <f aca="false">SQRT((AD232^2*(A232-$D$3)+AC232^2*(DAY(EOMONTH(A232,0))/2))/AK232)</f>
        <v>#VALUE!</v>
      </c>
      <c r="AF232" s="206" t="e">
        <f aca="false">((Summary!$N$7*(AA232*AD232)*(A232-$D$3))+(Summary!$M$7*Z232*AC232*(DAY(EOMONTH(A232,0))/2)))/(AK232*AB232*AE232)</f>
        <v>#VALUE!</v>
      </c>
      <c r="AG232" s="207" t="str">
        <f aca="false">IF($A233="","",Summary!$Q$7)</f>
        <v/>
      </c>
      <c r="AH232" s="207" t="str">
        <f aca="false">IF($A233="","",IF(Summary!$R$7="Y",(VLOOKUP($A232,Summary!$AD$6:$AF$9,3)+'Escalating commodity'!C245),'Escalating commodity'!C245))</f>
        <v/>
      </c>
      <c r="AI232" s="207" t="str">
        <f aca="false">IF($A233="","",AH232)</f>
        <v/>
      </c>
      <c r="AJ232" s="208" t="e">
        <f aca="false">A232+DAY(EOMONTH(A232,0))/2-1</f>
        <v>#VALUE!</v>
      </c>
      <c r="AK232" s="209" t="str">
        <f aca="false">IF($A233="","",$A232-$E$1)</f>
        <v/>
      </c>
      <c r="AL232" s="182" t="str">
        <f aca="false">IF($A233="","",SPRDOPT(P232,X232,AI232,0,AB232,AE232,AF232,AK232,$AJ$2,0))</f>
        <v/>
      </c>
      <c r="AM232" s="210" t="str">
        <f aca="false">IF($A233="","",MAX(0,O232-W232-AI232))</f>
        <v/>
      </c>
      <c r="AN232" s="211" t="str">
        <f aca="false">IF($A233="","",AL232-AM232)</f>
        <v/>
      </c>
      <c r="AO232" s="137" t="str">
        <f aca="false">IF(A233="","",A233-A232)</f>
        <v/>
      </c>
      <c r="AP232" s="212" t="str">
        <f aca="false">IF(A233="","",CHOOSE(F$3,A233+24,A232))</f>
        <v/>
      </c>
      <c r="AQ232" s="209" t="str">
        <f aca="false">IF(A233="","",AP232-$E$1)</f>
        <v/>
      </c>
      <c r="AR232" s="185" t="n">
        <f aca="false">IF(Summary!$H$2=1,VLOOKUP('ANR OK vs ML7'!A232,Curves!$C$17:$AR$273,MATCH('ANR OK vs ML7'!$AR$4,Curves!$C$8:$AQ$8,0)),0.1)</f>
        <v>0.1</v>
      </c>
      <c r="AS232" s="213" t="str">
        <f aca="false">IF(A233="","",1/(1+CHOOSE(F$3,(AR233+($I$3/10000))/2,(AR232+($I$3/10000))/2))^(2*AQ232/365.25))</f>
        <v/>
      </c>
      <c r="AT232" s="137" t="str">
        <f aca="false">IF(A233="","",IF(AND(mthbeg&lt;=A232,mthend&gt;=A232),1,0))</f>
        <v/>
      </c>
      <c r="AU232" s="137" t="str">
        <f aca="false">IF(A233="","",AO232*AT232)</f>
        <v/>
      </c>
      <c r="AW232" s="195" t="str">
        <f aca="false">IF($A233="","",AL232*$E232)</f>
        <v/>
      </c>
      <c r="AX232" s="195" t="str">
        <f aca="false">IF($A233="","",AM232*$E232)</f>
        <v/>
      </c>
      <c r="AY232" s="195" t="str">
        <f aca="false">IF($A233="","",AN232*$E232)</f>
        <v/>
      </c>
      <c r="BA232" s="195" t="str">
        <f aca="false">IF($A233="","",F232*Summary!$Q$7)</f>
        <v/>
      </c>
    </row>
    <row r="233" customFormat="false" ht="12" hidden="false" customHeight="true" outlineLevel="0" collapsed="false">
      <c r="A233" s="196" t="str">
        <f aca="false">IF(A232&lt;mthend,EDATE(A232,1),"")</f>
        <v/>
      </c>
      <c r="B233" s="197" t="str">
        <f aca="false">IF(A233&lt;mthend,B232,"")</f>
        <v/>
      </c>
      <c r="C233" s="215"/>
      <c r="D233" s="197" t="str">
        <f aca="false">IF(A234&lt;&gt;"",B233+C233,"")</f>
        <v/>
      </c>
      <c r="E233" s="199" t="str">
        <f aca="false">IF(A234="","",IF(AND(AT233=1,$H$3=1),D233*AO233,IF($H$3=2,D233,"N/A")))</f>
        <v/>
      </c>
      <c r="F233" s="199" t="str">
        <f aca="false">IF(A234="","",E233*AS233)</f>
        <v/>
      </c>
      <c r="G233" s="200" t="str">
        <f aca="false">IF($A234="","",VLOOKUP($A233,Table,MATCH(G$4,Curves,0)))</f>
        <v/>
      </c>
      <c r="H233" s="201" t="str">
        <f aca="false">IF(A234="","",G233)</f>
        <v/>
      </c>
      <c r="I233" s="202"/>
      <c r="J233" s="200" t="str">
        <f aca="false">IF($A234="","",VLOOKUP($A233,Table,MATCH(J$4,Curves,0)))</f>
        <v/>
      </c>
      <c r="K233" s="201" t="str">
        <f aca="false">IF(A234="","",J233)</f>
        <v/>
      </c>
      <c r="L233" s="200" t="str">
        <f aca="false">IF($A234="","",VLOOKUP($A233,Table,MATCH(L$4,Curves,0)))</f>
        <v/>
      </c>
      <c r="M233" s="201" t="str">
        <f aca="false">IF(A234="","",L233)</f>
        <v/>
      </c>
      <c r="N233" s="203"/>
      <c r="O233" s="200" t="str">
        <f aca="false">IF(A234="","",L233+J233+G233)</f>
        <v/>
      </c>
      <c r="P233" s="200" t="str">
        <f aca="false">IF(A234="","",M233+K233+H233)</f>
        <v/>
      </c>
      <c r="Q233" s="204"/>
      <c r="R233" s="200" t="str">
        <f aca="false">IF($A234="","",VLOOKUP($A233,Table,MATCH(R$4,Curves,0)))</f>
        <v/>
      </c>
      <c r="S233" s="201" t="str">
        <f aca="false">IF(A234="","",R233)</f>
        <v/>
      </c>
      <c r="T233" s="200" t="str">
        <f aca="false">IF($A234="","",VLOOKUP($A233,Table,MATCH(T$4,Curves,0)))</f>
        <v/>
      </c>
      <c r="U233" s="201" t="str">
        <f aca="false">IF(A234="","",T233)</f>
        <v/>
      </c>
      <c r="V233" s="183" t="str">
        <f aca="false">IF($A234="","",IF(AND(MONTH(A233)&gt;3,MONTH(A233)&lt;11),(T233+R233+G233)*Summary!$T$7/(1-Summary!$T$7),(T233+R233+G233)*Summary!$U$7/(1-Summary!$U$7)))</f>
        <v/>
      </c>
      <c r="W233" s="200" t="str">
        <f aca="false">IF($A234="","",(T233+R233+G233+V233))</f>
        <v/>
      </c>
      <c r="X233" s="200" t="str">
        <f aca="false">IF($A234="","",(U233+S233+H233+V233))</f>
        <v/>
      </c>
      <c r="Y233" s="202"/>
      <c r="Z233" s="185" t="str">
        <f aca="false">IF($A234="","",VLOOKUP($A233,Table,MATCH(Z$4,Curves,0)))</f>
        <v/>
      </c>
      <c r="AA233" s="185" t="str">
        <f aca="false">IF($A234="","",VLOOKUP($A233,Table,MATCH(AA$4,Curves,0)))</f>
        <v/>
      </c>
      <c r="AB233" s="185" t="e">
        <f aca="false">SQRT((AA233^2*(A233-$D$3)+Z233^2*(DAY(EOMONTH(A233,0))/2))/AK233)</f>
        <v>#VALUE!</v>
      </c>
      <c r="AC233" s="185" t="str">
        <f aca="false">IF($A234="","",VLOOKUP($A233,Table,MATCH(AC$4,Curves,0)))</f>
        <v/>
      </c>
      <c r="AD233" s="185" t="str">
        <f aca="false">IF($A234="","",VLOOKUP($A233,Table,MATCH(AD$4,Curves,0)))</f>
        <v/>
      </c>
      <c r="AE233" s="185" t="e">
        <f aca="false">SQRT((AD233^2*(A233-$D$3)+AC233^2*(DAY(EOMONTH(A233,0))/2))/AK233)</f>
        <v>#VALUE!</v>
      </c>
      <c r="AF233" s="206" t="e">
        <f aca="false">((Summary!$N$7*(AA233*AD233)*(A233-$D$3))+(Summary!$M$7*Z233*AC233*(DAY(EOMONTH(A233,0))/2)))/(AK233*AB233*AE233)</f>
        <v>#VALUE!</v>
      </c>
      <c r="AG233" s="207" t="str">
        <f aca="false">IF($A234="","",Summary!$Q$7)</f>
        <v/>
      </c>
      <c r="AH233" s="207" t="str">
        <f aca="false">IF($A234="","",IF(Summary!$R$7="Y",(VLOOKUP($A233,Summary!$AD$6:$AF$9,3)+'Escalating commodity'!C246),'Escalating commodity'!C246))</f>
        <v/>
      </c>
      <c r="AI233" s="207" t="str">
        <f aca="false">IF($A234="","",AH233)</f>
        <v/>
      </c>
      <c r="AJ233" s="208" t="e">
        <f aca="false">A233+DAY(EOMONTH(A233,0))/2-1</f>
        <v>#VALUE!</v>
      </c>
      <c r="AK233" s="209" t="str">
        <f aca="false">IF($A234="","",$A233-$E$1)</f>
        <v/>
      </c>
      <c r="AL233" s="182" t="str">
        <f aca="false">IF($A234="","",SPRDOPT(P233,X233,AI233,0,AB233,AE233,AF233,AK233,$AJ$2,0))</f>
        <v/>
      </c>
      <c r="AM233" s="210" t="str">
        <f aca="false">IF($A234="","",MAX(0,O233-W233-AI233))</f>
        <v/>
      </c>
      <c r="AN233" s="211" t="str">
        <f aca="false">IF($A234="","",AL233-AM233)</f>
        <v/>
      </c>
      <c r="AO233" s="137" t="str">
        <f aca="false">IF(A234="","",A234-A233)</f>
        <v/>
      </c>
      <c r="AP233" s="212" t="str">
        <f aca="false">IF(A234="","",CHOOSE(F$3,A234+24,A233))</f>
        <v/>
      </c>
      <c r="AQ233" s="209" t="str">
        <f aca="false">IF(A234="","",AP233-$E$1)</f>
        <v/>
      </c>
      <c r="AR233" s="185" t="n">
        <f aca="false">IF(Summary!$H$2=1,VLOOKUP('ANR OK vs ML7'!A233,Curves!$C$17:$AR$273,MATCH('ANR OK vs ML7'!$AR$4,Curves!$C$8:$AQ$8,0)),0.1)</f>
        <v>0.1</v>
      </c>
      <c r="AS233" s="213" t="str">
        <f aca="false">IF(A234="","",1/(1+CHOOSE(F$3,(AR234+($I$3/10000))/2,(AR233+($I$3/10000))/2))^(2*AQ233/365.25))</f>
        <v/>
      </c>
      <c r="AT233" s="137" t="str">
        <f aca="false">IF(A234="","",IF(AND(mthbeg&lt;=A233,mthend&gt;=A233),1,0))</f>
        <v/>
      </c>
      <c r="AU233" s="137" t="str">
        <f aca="false">IF(A234="","",AO233*AT233)</f>
        <v/>
      </c>
      <c r="AW233" s="195" t="str">
        <f aca="false">IF($A234="","",AL233*$E233)</f>
        <v/>
      </c>
      <c r="AX233" s="195" t="str">
        <f aca="false">IF($A234="","",AM233*$E233)</f>
        <v/>
      </c>
      <c r="AY233" s="195" t="str">
        <f aca="false">IF($A234="","",AN233*$E233)</f>
        <v/>
      </c>
      <c r="BA233" s="195" t="str">
        <f aca="false">IF($A234="","",F233*Summary!$Q$7)</f>
        <v/>
      </c>
    </row>
    <row r="234" customFormat="false" ht="12" hidden="false" customHeight="true" outlineLevel="0" collapsed="false">
      <c r="A234" s="196" t="str">
        <f aca="false">IF(A233&lt;mthend,EDATE(A233,1),"")</f>
        <v/>
      </c>
      <c r="B234" s="197" t="str">
        <f aca="false">IF(A234&lt;mthend,B233,"")</f>
        <v/>
      </c>
      <c r="C234" s="215"/>
      <c r="D234" s="197" t="str">
        <f aca="false">IF(A235&lt;&gt;"",B234+C234,"")</f>
        <v/>
      </c>
      <c r="E234" s="199" t="str">
        <f aca="false">IF(A235="","",IF(AND(AT234=1,$H$3=1),D234*AO234,IF($H$3=2,D234,"N/A")))</f>
        <v/>
      </c>
      <c r="F234" s="199" t="str">
        <f aca="false">IF(A235="","",E234*AS234)</f>
        <v/>
      </c>
      <c r="G234" s="200" t="str">
        <f aca="false">IF($A235="","",VLOOKUP($A234,Table,MATCH(G$4,Curves,0)))</f>
        <v/>
      </c>
      <c r="H234" s="201" t="str">
        <f aca="false">IF(A235="","",G234)</f>
        <v/>
      </c>
      <c r="I234" s="202"/>
      <c r="J234" s="200" t="str">
        <f aca="false">IF($A235="","",VLOOKUP($A234,Table,MATCH(J$4,Curves,0)))</f>
        <v/>
      </c>
      <c r="K234" s="201" t="str">
        <f aca="false">IF(A235="","",J234)</f>
        <v/>
      </c>
      <c r="L234" s="200" t="str">
        <f aca="false">IF($A235="","",VLOOKUP($A234,Table,MATCH(L$4,Curves,0)))</f>
        <v/>
      </c>
      <c r="M234" s="201" t="str">
        <f aca="false">IF(A235="","",L234)</f>
        <v/>
      </c>
      <c r="N234" s="203"/>
      <c r="O234" s="200" t="str">
        <f aca="false">IF(A235="","",L234+J234+G234)</f>
        <v/>
      </c>
      <c r="P234" s="200" t="str">
        <f aca="false">IF(A235="","",M234+K234+H234)</f>
        <v/>
      </c>
      <c r="Q234" s="204"/>
      <c r="R234" s="200" t="str">
        <f aca="false">IF($A235="","",VLOOKUP($A234,Table,MATCH(R$4,Curves,0)))</f>
        <v/>
      </c>
      <c r="S234" s="201" t="str">
        <f aca="false">IF(A235="","",R234)</f>
        <v/>
      </c>
      <c r="T234" s="200" t="str">
        <f aca="false">IF($A235="","",VLOOKUP($A234,Table,MATCH(T$4,Curves,0)))</f>
        <v/>
      </c>
      <c r="U234" s="201" t="str">
        <f aca="false">IF(A235="","",T234)</f>
        <v/>
      </c>
      <c r="V234" s="183" t="str">
        <f aca="false">IF($A235="","",IF(AND(MONTH(A234)&gt;3,MONTH(A234)&lt;11),(T234+R234+G234)*Summary!$T$7/(1-Summary!$T$7),(T234+R234+G234)*Summary!$U$7/(1-Summary!$U$7)))</f>
        <v/>
      </c>
      <c r="W234" s="200" t="str">
        <f aca="false">IF($A235="","",(T234+R234+G234+V234))</f>
        <v/>
      </c>
      <c r="X234" s="200" t="str">
        <f aca="false">IF($A235="","",(U234+S234+H234+V234))</f>
        <v/>
      </c>
      <c r="Y234" s="202"/>
      <c r="Z234" s="185" t="str">
        <f aca="false">IF($A235="","",VLOOKUP($A234,Table,MATCH(Z$4,Curves,0)))</f>
        <v/>
      </c>
      <c r="AA234" s="185" t="str">
        <f aca="false">IF($A235="","",VLOOKUP($A234,Table,MATCH(AA$4,Curves,0)))</f>
        <v/>
      </c>
      <c r="AB234" s="185" t="e">
        <f aca="false">SQRT((AA234^2*(A234-$D$3)+Z234^2*(DAY(EOMONTH(A234,0))/2))/AK234)</f>
        <v>#VALUE!</v>
      </c>
      <c r="AC234" s="185" t="str">
        <f aca="false">IF($A235="","",VLOOKUP($A234,Table,MATCH(AC$4,Curves,0)))</f>
        <v/>
      </c>
      <c r="AD234" s="185" t="str">
        <f aca="false">IF($A235="","",VLOOKUP($A234,Table,MATCH(AD$4,Curves,0)))</f>
        <v/>
      </c>
      <c r="AE234" s="185" t="e">
        <f aca="false">SQRT((AD234^2*(A234-$D$3)+AC234^2*(DAY(EOMONTH(A234,0))/2))/AK234)</f>
        <v>#VALUE!</v>
      </c>
      <c r="AF234" s="206" t="e">
        <f aca="false">((Summary!$N$7*(AA234*AD234)*(A234-$D$3))+(Summary!$M$7*Z234*AC234*(DAY(EOMONTH(A234,0))/2)))/(AK234*AB234*AE234)</f>
        <v>#VALUE!</v>
      </c>
      <c r="AG234" s="207" t="str">
        <f aca="false">IF($A235="","",Summary!$Q$7)</f>
        <v/>
      </c>
      <c r="AH234" s="207" t="str">
        <f aca="false">IF($A235="","",IF(Summary!$R$7="Y",(VLOOKUP($A234,Summary!$AD$6:$AF$9,3)+'Escalating commodity'!C247),'Escalating commodity'!C247))</f>
        <v/>
      </c>
      <c r="AI234" s="207" t="str">
        <f aca="false">IF($A235="","",AH234)</f>
        <v/>
      </c>
      <c r="AJ234" s="208" t="e">
        <f aca="false">A234+DAY(EOMONTH(A234,0))/2-1</f>
        <v>#VALUE!</v>
      </c>
      <c r="AK234" s="209" t="str">
        <f aca="false">IF($A235="","",$A234-$E$1)</f>
        <v/>
      </c>
      <c r="AL234" s="182" t="str">
        <f aca="false">IF($A235="","",SPRDOPT(P234,X234,AI234,0,AB234,AE234,AF234,AK234,$AJ$2,0))</f>
        <v/>
      </c>
      <c r="AM234" s="210" t="str">
        <f aca="false">IF($A235="","",MAX(0,O234-W234-AI234))</f>
        <v/>
      </c>
      <c r="AN234" s="211" t="str">
        <f aca="false">IF($A235="","",AL234-AM234)</f>
        <v/>
      </c>
      <c r="AO234" s="137" t="str">
        <f aca="false">IF(A235="","",A235-A234)</f>
        <v/>
      </c>
      <c r="AP234" s="212" t="str">
        <f aca="false">IF(A235="","",CHOOSE(F$3,A235+24,A234))</f>
        <v/>
      </c>
      <c r="AQ234" s="209" t="str">
        <f aca="false">IF(A235="","",AP234-$E$1)</f>
        <v/>
      </c>
      <c r="AR234" s="185" t="n">
        <f aca="false">IF(Summary!$H$2=1,VLOOKUP('ANR OK vs ML7'!A234,Curves!$C$17:$AR$273,MATCH('ANR OK vs ML7'!$AR$4,Curves!$C$8:$AQ$8,0)),0.1)</f>
        <v>0.1</v>
      </c>
      <c r="AS234" s="213" t="str">
        <f aca="false">IF(A235="","",1/(1+CHOOSE(F$3,(AR235+($I$3/10000))/2,(AR234+($I$3/10000))/2))^(2*AQ234/365.25))</f>
        <v/>
      </c>
      <c r="AT234" s="137" t="str">
        <f aca="false">IF(A235="","",IF(AND(mthbeg&lt;=A234,mthend&gt;=A234),1,0))</f>
        <v/>
      </c>
      <c r="AU234" s="137" t="str">
        <f aca="false">IF(A235="","",AO234*AT234)</f>
        <v/>
      </c>
      <c r="AW234" s="195" t="str">
        <f aca="false">IF($A235="","",AL234*$E234)</f>
        <v/>
      </c>
      <c r="AX234" s="195" t="str">
        <f aca="false">IF($A235="","",AM234*$E234)</f>
        <v/>
      </c>
      <c r="AY234" s="195" t="str">
        <f aca="false">IF($A235="","",AN234*$E234)</f>
        <v/>
      </c>
      <c r="BA234" s="195" t="str">
        <f aca="false">IF($A235="","",F234*Summary!$Q$7)</f>
        <v/>
      </c>
    </row>
    <row r="235" customFormat="false" ht="12" hidden="false" customHeight="true" outlineLevel="0" collapsed="false">
      <c r="A235" s="196" t="str">
        <f aca="false">IF(A234&lt;mthend,EDATE(A234,1),"")</f>
        <v/>
      </c>
      <c r="B235" s="197" t="str">
        <f aca="false">IF(A235&lt;mthend,B234,"")</f>
        <v/>
      </c>
      <c r="C235" s="215"/>
      <c r="D235" s="197" t="str">
        <f aca="false">IF(A236&lt;&gt;"",B235+C235,"")</f>
        <v/>
      </c>
      <c r="E235" s="199" t="str">
        <f aca="false">IF(A236="","",IF(AND(AT235=1,$H$3=1),D235*AO235,IF($H$3=2,D235,"N/A")))</f>
        <v/>
      </c>
      <c r="F235" s="199" t="str">
        <f aca="false">IF(A236="","",E235*AS235)</f>
        <v/>
      </c>
      <c r="G235" s="200" t="str">
        <f aca="false">IF($A236="","",VLOOKUP($A235,Table,MATCH(G$4,Curves,0)))</f>
        <v/>
      </c>
      <c r="H235" s="201" t="str">
        <f aca="false">IF(A236="","",G235)</f>
        <v/>
      </c>
      <c r="I235" s="202"/>
      <c r="J235" s="200" t="str">
        <f aca="false">IF($A236="","",VLOOKUP($A235,Table,MATCH(J$4,Curves,0)))</f>
        <v/>
      </c>
      <c r="K235" s="201" t="str">
        <f aca="false">IF(A236="","",J235)</f>
        <v/>
      </c>
      <c r="L235" s="200" t="str">
        <f aca="false">IF($A236="","",VLOOKUP($A235,Table,MATCH(L$4,Curves,0)))</f>
        <v/>
      </c>
      <c r="M235" s="201" t="str">
        <f aca="false">IF(A236="","",L235)</f>
        <v/>
      </c>
      <c r="N235" s="203"/>
      <c r="O235" s="200" t="str">
        <f aca="false">IF(A236="","",L235+J235+G235)</f>
        <v/>
      </c>
      <c r="P235" s="200" t="str">
        <f aca="false">IF(A236="","",M235+K235+H235)</f>
        <v/>
      </c>
      <c r="Q235" s="204"/>
      <c r="R235" s="200" t="str">
        <f aca="false">IF($A236="","",VLOOKUP($A235,Table,MATCH(R$4,Curves,0)))</f>
        <v/>
      </c>
      <c r="S235" s="201" t="str">
        <f aca="false">IF(A236="","",R235)</f>
        <v/>
      </c>
      <c r="T235" s="200" t="str">
        <f aca="false">IF($A236="","",VLOOKUP($A235,Table,MATCH(T$4,Curves,0)))</f>
        <v/>
      </c>
      <c r="U235" s="201" t="str">
        <f aca="false">IF(A236="","",T235)</f>
        <v/>
      </c>
      <c r="V235" s="183" t="str">
        <f aca="false">IF($A236="","",IF(AND(MONTH(A235)&gt;3,MONTH(A235)&lt;11),(T235+R235+G235)*Summary!$T$7/(1-Summary!$T$7),(T235+R235+G235)*Summary!$U$7/(1-Summary!$U$7)))</f>
        <v/>
      </c>
      <c r="W235" s="200" t="str">
        <f aca="false">IF($A236="","",(T235+R235+G235+V235))</f>
        <v/>
      </c>
      <c r="X235" s="200" t="str">
        <f aca="false">IF($A236="","",(U235+S235+H235+V235))</f>
        <v/>
      </c>
      <c r="Y235" s="202"/>
      <c r="Z235" s="185" t="str">
        <f aca="false">IF($A236="","",VLOOKUP($A235,Table,MATCH(Z$4,Curves,0)))</f>
        <v/>
      </c>
      <c r="AA235" s="185" t="str">
        <f aca="false">IF($A236="","",VLOOKUP($A235,Table,MATCH(AA$4,Curves,0)))</f>
        <v/>
      </c>
      <c r="AB235" s="185" t="e">
        <f aca="false">SQRT((AA235^2*(A235-$D$3)+Z235^2*(DAY(EOMONTH(A235,0))/2))/AK235)</f>
        <v>#VALUE!</v>
      </c>
      <c r="AC235" s="185" t="str">
        <f aca="false">IF($A236="","",VLOOKUP($A235,Table,MATCH(AC$4,Curves,0)))</f>
        <v/>
      </c>
      <c r="AD235" s="185" t="str">
        <f aca="false">IF($A236="","",VLOOKUP($A235,Table,MATCH(AD$4,Curves,0)))</f>
        <v/>
      </c>
      <c r="AE235" s="185" t="e">
        <f aca="false">SQRT((AD235^2*(A235-$D$3)+AC235^2*(DAY(EOMONTH(A235,0))/2))/AK235)</f>
        <v>#VALUE!</v>
      </c>
      <c r="AF235" s="206" t="e">
        <f aca="false">((Summary!$N$7*(AA235*AD235)*(A235-$D$3))+(Summary!$M$7*Z235*AC235*(DAY(EOMONTH(A235,0))/2)))/(AK235*AB235*AE235)</f>
        <v>#VALUE!</v>
      </c>
      <c r="AG235" s="207" t="str">
        <f aca="false">IF($A236="","",Summary!$Q$7)</f>
        <v/>
      </c>
      <c r="AH235" s="207" t="str">
        <f aca="false">IF($A236="","",IF(Summary!$R$7="Y",(VLOOKUP($A235,Summary!$AD$6:$AF$9,3)+'Escalating commodity'!C248),'Escalating commodity'!C248))</f>
        <v/>
      </c>
      <c r="AI235" s="207" t="str">
        <f aca="false">IF($A236="","",AH235)</f>
        <v/>
      </c>
      <c r="AJ235" s="208" t="e">
        <f aca="false">A235+DAY(EOMONTH(A235,0))/2-1</f>
        <v>#VALUE!</v>
      </c>
      <c r="AK235" s="209" t="str">
        <f aca="false">IF($A236="","",$A235-$E$1)</f>
        <v/>
      </c>
      <c r="AL235" s="182" t="str">
        <f aca="false">IF($A236="","",SPRDOPT(P235,X235,AI235,0,AB235,AE235,AF235,AK235,$AJ$2,0))</f>
        <v/>
      </c>
      <c r="AM235" s="210" t="str">
        <f aca="false">IF($A236="","",MAX(0,O235-W235-AI235))</f>
        <v/>
      </c>
      <c r="AN235" s="211" t="str">
        <f aca="false">IF($A236="","",AL235-AM235)</f>
        <v/>
      </c>
      <c r="AO235" s="137" t="str">
        <f aca="false">IF(A236="","",A236-A235)</f>
        <v/>
      </c>
      <c r="AP235" s="212" t="str">
        <f aca="false">IF(A236="","",CHOOSE(F$3,A236+24,A235))</f>
        <v/>
      </c>
      <c r="AQ235" s="209" t="str">
        <f aca="false">IF(A236="","",AP235-$E$1)</f>
        <v/>
      </c>
      <c r="AR235" s="185" t="n">
        <f aca="false">IF(Summary!$H$2=1,VLOOKUP('ANR OK vs ML7'!A235,Curves!$C$17:$AR$273,MATCH('ANR OK vs ML7'!$AR$4,Curves!$C$8:$AQ$8,0)),0.1)</f>
        <v>0.1</v>
      </c>
      <c r="AS235" s="213" t="str">
        <f aca="false">IF(A236="","",1/(1+CHOOSE(F$3,(AR236+($I$3/10000))/2,(AR235+($I$3/10000))/2))^(2*AQ235/365.25))</f>
        <v/>
      </c>
      <c r="AT235" s="137" t="str">
        <f aca="false">IF(A236="","",IF(AND(mthbeg&lt;=A235,mthend&gt;=A235),1,0))</f>
        <v/>
      </c>
      <c r="AU235" s="137" t="str">
        <f aca="false">IF(A236="","",AO235*AT235)</f>
        <v/>
      </c>
      <c r="AW235" s="195" t="str">
        <f aca="false">IF($A236="","",AL235*$E235)</f>
        <v/>
      </c>
      <c r="AX235" s="195" t="str">
        <f aca="false">IF($A236="","",AM235*$E235)</f>
        <v/>
      </c>
      <c r="AY235" s="195" t="str">
        <f aca="false">IF($A236="","",AN235*$E235)</f>
        <v/>
      </c>
      <c r="BA235" s="195" t="str">
        <f aca="false">IF($A236="","",F235*Summary!$Q$7)</f>
        <v/>
      </c>
    </row>
    <row r="236" customFormat="false" ht="12" hidden="false" customHeight="true" outlineLevel="0" collapsed="false">
      <c r="A236" s="196" t="str">
        <f aca="false">IF(A235&lt;mthend,EDATE(A235,1),"")</f>
        <v/>
      </c>
      <c r="B236" s="197" t="str">
        <f aca="false">IF(A236&lt;mthend,B235,"")</f>
        <v/>
      </c>
      <c r="C236" s="215"/>
      <c r="D236" s="197" t="str">
        <f aca="false">IF(A237&lt;&gt;"",B236+C236,"")</f>
        <v/>
      </c>
      <c r="E236" s="199" t="str">
        <f aca="false">IF(A237="","",IF(AND(AT236=1,$H$3=1),D236*AO236,IF($H$3=2,D236,"N/A")))</f>
        <v/>
      </c>
      <c r="F236" s="199" t="str">
        <f aca="false">IF(A237="","",E236*AS236)</f>
        <v/>
      </c>
      <c r="G236" s="200" t="str">
        <f aca="false">IF($A237="","",VLOOKUP($A236,Table,MATCH(G$4,Curves,0)))</f>
        <v/>
      </c>
      <c r="H236" s="201" t="str">
        <f aca="false">IF(A237="","",G236)</f>
        <v/>
      </c>
      <c r="I236" s="202"/>
      <c r="J236" s="200" t="str">
        <f aca="false">IF($A237="","",VLOOKUP($A236,Table,MATCH(J$4,Curves,0)))</f>
        <v/>
      </c>
      <c r="K236" s="201" t="str">
        <f aca="false">IF(A237="","",J236)</f>
        <v/>
      </c>
      <c r="L236" s="200" t="str">
        <f aca="false">IF($A237="","",VLOOKUP($A236,Table,MATCH(L$4,Curves,0)))</f>
        <v/>
      </c>
      <c r="M236" s="201" t="str">
        <f aca="false">IF(A237="","",L236)</f>
        <v/>
      </c>
      <c r="N236" s="203"/>
      <c r="O236" s="200" t="str">
        <f aca="false">IF(A237="","",L236+J236+G236)</f>
        <v/>
      </c>
      <c r="P236" s="200" t="str">
        <f aca="false">IF(A237="","",M236+K236+H236)</f>
        <v/>
      </c>
      <c r="Q236" s="204"/>
      <c r="R236" s="200" t="str">
        <f aca="false">IF($A237="","",VLOOKUP($A236,Table,MATCH(R$4,Curves,0)))</f>
        <v/>
      </c>
      <c r="S236" s="201" t="str">
        <f aca="false">IF(A237="","",R236)</f>
        <v/>
      </c>
      <c r="T236" s="200" t="str">
        <f aca="false">IF($A237="","",VLOOKUP($A236,Table,MATCH(T$4,Curves,0)))</f>
        <v/>
      </c>
      <c r="U236" s="201" t="str">
        <f aca="false">IF(A237="","",T236)</f>
        <v/>
      </c>
      <c r="V236" s="183" t="str">
        <f aca="false">IF($A237="","",IF(AND(MONTH(A236)&gt;3,MONTH(A236)&lt;11),(T236+R236+G236)*Summary!$T$7/(1-Summary!$T$7),(T236+R236+G236)*Summary!$U$7/(1-Summary!$U$7)))</f>
        <v/>
      </c>
      <c r="W236" s="200" t="str">
        <f aca="false">IF($A237="","",(T236+R236+G236+V236))</f>
        <v/>
      </c>
      <c r="X236" s="200" t="str">
        <f aca="false">IF($A237="","",(U236+S236+H236+V236))</f>
        <v/>
      </c>
      <c r="Y236" s="202"/>
      <c r="Z236" s="185" t="str">
        <f aca="false">IF($A237="","",VLOOKUP($A236,Table,MATCH(Z$4,Curves,0)))</f>
        <v/>
      </c>
      <c r="AA236" s="185" t="str">
        <f aca="false">IF($A237="","",VLOOKUP($A236,Table,MATCH(AA$4,Curves,0)))</f>
        <v/>
      </c>
      <c r="AB236" s="185" t="e">
        <f aca="false">SQRT((AA236^2*(A236-$D$3)+Z236^2*(DAY(EOMONTH(A236,0))/2))/AK236)</f>
        <v>#VALUE!</v>
      </c>
      <c r="AC236" s="185" t="str">
        <f aca="false">IF($A237="","",VLOOKUP($A236,Table,MATCH(AC$4,Curves,0)))</f>
        <v/>
      </c>
      <c r="AD236" s="185" t="str">
        <f aca="false">IF($A237="","",VLOOKUP($A236,Table,MATCH(AD$4,Curves,0)))</f>
        <v/>
      </c>
      <c r="AE236" s="185" t="e">
        <f aca="false">SQRT((AD236^2*(A236-$D$3)+AC236^2*(DAY(EOMONTH(A236,0))/2))/AK236)</f>
        <v>#VALUE!</v>
      </c>
      <c r="AF236" s="206" t="e">
        <f aca="false">((Summary!$N$7*(AA236*AD236)*(A236-$D$3))+(Summary!$M$7*Z236*AC236*(DAY(EOMONTH(A236,0))/2)))/(AK236*AB236*AE236)</f>
        <v>#VALUE!</v>
      </c>
      <c r="AG236" s="207" t="str">
        <f aca="false">IF($A237="","",Summary!$Q$7)</f>
        <v/>
      </c>
      <c r="AH236" s="207" t="str">
        <f aca="false">IF($A237="","",IF(Summary!$R$7="Y",(VLOOKUP($A236,Summary!$AD$6:$AF$9,3)+'Escalating commodity'!C249),'Escalating commodity'!C249))</f>
        <v/>
      </c>
      <c r="AI236" s="207" t="str">
        <f aca="false">IF($A237="","",AH236)</f>
        <v/>
      </c>
      <c r="AJ236" s="208" t="e">
        <f aca="false">A236+DAY(EOMONTH(A236,0))/2-1</f>
        <v>#VALUE!</v>
      </c>
      <c r="AK236" s="209" t="str">
        <f aca="false">IF($A237="","",$A236-$E$1)</f>
        <v/>
      </c>
      <c r="AL236" s="182" t="str">
        <f aca="false">IF($A237="","",SPRDOPT(P236,X236,AI236,0,AB236,AE236,AF236,AK236,$AJ$2,0))</f>
        <v/>
      </c>
      <c r="AM236" s="210" t="str">
        <f aca="false">IF($A237="","",MAX(0,O236-W236-AI236))</f>
        <v/>
      </c>
      <c r="AN236" s="211" t="str">
        <f aca="false">IF($A237="","",AL236-AM236)</f>
        <v/>
      </c>
      <c r="AO236" s="137" t="str">
        <f aca="false">IF(A237="","",A237-A236)</f>
        <v/>
      </c>
      <c r="AP236" s="212" t="str">
        <f aca="false">IF(A237="","",CHOOSE(F$3,A237+24,A236))</f>
        <v/>
      </c>
      <c r="AQ236" s="209" t="str">
        <f aca="false">IF(A237="","",AP236-$E$1)</f>
        <v/>
      </c>
      <c r="AR236" s="185" t="n">
        <f aca="false">IF(Summary!$H$2=1,VLOOKUP('ANR OK vs ML7'!A236,Curves!$C$17:$AR$273,MATCH('ANR OK vs ML7'!$AR$4,Curves!$C$8:$AQ$8,0)),0.1)</f>
        <v>0.1</v>
      </c>
      <c r="AS236" s="213" t="str">
        <f aca="false">IF(A237="","",1/(1+CHOOSE(F$3,(AR237+($I$3/10000))/2,(AR236+($I$3/10000))/2))^(2*AQ236/365.25))</f>
        <v/>
      </c>
      <c r="AT236" s="137" t="str">
        <f aca="false">IF(A237="","",IF(AND(mthbeg&lt;=A236,mthend&gt;=A236),1,0))</f>
        <v/>
      </c>
      <c r="AU236" s="137" t="str">
        <f aca="false">IF(A237="","",AO236*AT236)</f>
        <v/>
      </c>
      <c r="AW236" s="195" t="str">
        <f aca="false">IF($A237="","",AL236*$E236)</f>
        <v/>
      </c>
      <c r="AX236" s="195" t="str">
        <f aca="false">IF($A237="","",AM236*$E236)</f>
        <v/>
      </c>
      <c r="AY236" s="195" t="str">
        <f aca="false">IF($A237="","",AN236*$E236)</f>
        <v/>
      </c>
      <c r="BA236" s="195" t="str">
        <f aca="false">IF($A237="","",F236*Summary!$Q$7)</f>
        <v/>
      </c>
    </row>
    <row r="237" customFormat="false" ht="12" hidden="false" customHeight="true" outlineLevel="0" collapsed="false">
      <c r="A237" s="196" t="str">
        <f aca="false">IF(A236&lt;mthend,EDATE(A236,1),"")</f>
        <v/>
      </c>
      <c r="B237" s="197" t="str">
        <f aca="false">IF(A237&lt;mthend,B236,"")</f>
        <v/>
      </c>
      <c r="C237" s="215"/>
      <c r="D237" s="197" t="str">
        <f aca="false">IF(A238&lt;&gt;"",B237+C237,"")</f>
        <v/>
      </c>
      <c r="E237" s="199" t="str">
        <f aca="false">IF(A238="","",IF(AND(AT237=1,$H$3=1),D237*AO237,IF($H$3=2,D237,"N/A")))</f>
        <v/>
      </c>
      <c r="F237" s="199" t="str">
        <f aca="false">IF(A238="","",E237*AS237)</f>
        <v/>
      </c>
      <c r="G237" s="200" t="str">
        <f aca="false">IF($A238="","",VLOOKUP($A237,Table,MATCH(G$4,Curves,0)))</f>
        <v/>
      </c>
      <c r="H237" s="201" t="str">
        <f aca="false">IF(A238="","",G237)</f>
        <v/>
      </c>
      <c r="I237" s="202"/>
      <c r="J237" s="200" t="str">
        <f aca="false">IF($A238="","",VLOOKUP($A237,Table,MATCH(J$4,Curves,0)))</f>
        <v/>
      </c>
      <c r="K237" s="201" t="str">
        <f aca="false">IF(A238="","",J237)</f>
        <v/>
      </c>
      <c r="L237" s="200" t="str">
        <f aca="false">IF($A238="","",VLOOKUP($A237,Table,MATCH(L$4,Curves,0)))</f>
        <v/>
      </c>
      <c r="M237" s="201" t="str">
        <f aca="false">IF(A238="","",L237)</f>
        <v/>
      </c>
      <c r="N237" s="203"/>
      <c r="O237" s="200" t="str">
        <f aca="false">IF(A238="","",L237+J237+G237)</f>
        <v/>
      </c>
      <c r="P237" s="200" t="str">
        <f aca="false">IF(A238="","",M237+K237+H237)</f>
        <v/>
      </c>
      <c r="Q237" s="204"/>
      <c r="R237" s="200" t="str">
        <f aca="false">IF($A238="","",VLOOKUP($A237,Table,MATCH(R$4,Curves,0)))</f>
        <v/>
      </c>
      <c r="S237" s="201" t="str">
        <f aca="false">IF(A238="","",R237)</f>
        <v/>
      </c>
      <c r="T237" s="200" t="str">
        <f aca="false">IF($A238="","",VLOOKUP($A237,Table,MATCH(T$4,Curves,0)))</f>
        <v/>
      </c>
      <c r="U237" s="201" t="str">
        <f aca="false">IF(A238="","",T237)</f>
        <v/>
      </c>
      <c r="V237" s="183" t="str">
        <f aca="false">IF($A238="","",IF(AND(MONTH(A237)&gt;3,MONTH(A237)&lt;11),(T237+R237+G237)*Summary!$T$7/(1-Summary!$T$7),(T237+R237+G237)*Summary!$U$7/(1-Summary!$U$7)))</f>
        <v/>
      </c>
      <c r="W237" s="200" t="str">
        <f aca="false">IF($A238="","",(T237+R237+G237+V237))</f>
        <v/>
      </c>
      <c r="X237" s="200" t="str">
        <f aca="false">IF($A238="","",(U237+S237+H237+V237))</f>
        <v/>
      </c>
      <c r="Y237" s="202"/>
      <c r="Z237" s="185" t="str">
        <f aca="false">IF($A238="","",VLOOKUP($A237,Table,MATCH(Z$4,Curves,0)))</f>
        <v/>
      </c>
      <c r="AA237" s="185" t="str">
        <f aca="false">IF($A238="","",VLOOKUP($A237,Table,MATCH(AA$4,Curves,0)))</f>
        <v/>
      </c>
      <c r="AB237" s="185" t="e">
        <f aca="false">SQRT((AA237^2*(A237-$D$3)+Z237^2*(DAY(EOMONTH(A237,0))/2))/AK237)</f>
        <v>#VALUE!</v>
      </c>
      <c r="AC237" s="185" t="str">
        <f aca="false">IF($A238="","",VLOOKUP($A237,Table,MATCH(AC$4,Curves,0)))</f>
        <v/>
      </c>
      <c r="AD237" s="185" t="str">
        <f aca="false">IF($A238="","",VLOOKUP($A237,Table,MATCH(AD$4,Curves,0)))</f>
        <v/>
      </c>
      <c r="AE237" s="185" t="e">
        <f aca="false">SQRT((AD237^2*(A237-$D$3)+AC237^2*(DAY(EOMONTH(A237,0))/2))/AK237)</f>
        <v>#VALUE!</v>
      </c>
      <c r="AF237" s="206" t="e">
        <f aca="false">((Summary!$N$7*(AA237*AD237)*(A237-$D$3))+(Summary!$M$7*Z237*AC237*(DAY(EOMONTH(A237,0))/2)))/(AK237*AB237*AE237)</f>
        <v>#VALUE!</v>
      </c>
      <c r="AG237" s="207" t="str">
        <f aca="false">IF($A238="","",Summary!$Q$7)</f>
        <v/>
      </c>
      <c r="AH237" s="207" t="str">
        <f aca="false">IF($A238="","",IF(Summary!$R$7="Y",(VLOOKUP($A237,Summary!$AD$6:$AF$9,3)+'Escalating commodity'!C250),'Escalating commodity'!C250))</f>
        <v/>
      </c>
      <c r="AI237" s="207" t="str">
        <f aca="false">IF($A238="","",AH237)</f>
        <v/>
      </c>
      <c r="AJ237" s="208" t="e">
        <f aca="false">A237+DAY(EOMONTH(A237,0))/2-1</f>
        <v>#VALUE!</v>
      </c>
      <c r="AK237" s="209" t="str">
        <f aca="false">IF($A238="","",$A237-$E$1)</f>
        <v/>
      </c>
      <c r="AL237" s="182" t="str">
        <f aca="false">IF($A238="","",SPRDOPT(P237,X237,AI237,0,AB237,AE237,AF237,AK237,$AJ$2,0))</f>
        <v/>
      </c>
      <c r="AM237" s="210" t="str">
        <f aca="false">IF($A238="","",MAX(0,O237-W237-AI237))</f>
        <v/>
      </c>
      <c r="AN237" s="211" t="str">
        <f aca="false">IF($A238="","",AL237-AM237)</f>
        <v/>
      </c>
      <c r="AO237" s="137" t="str">
        <f aca="false">IF(A238="","",A238-A237)</f>
        <v/>
      </c>
      <c r="AP237" s="212" t="str">
        <f aca="false">IF(A238="","",CHOOSE(F$3,A238+24,A237))</f>
        <v/>
      </c>
      <c r="AQ237" s="209" t="str">
        <f aca="false">IF(A238="","",AP237-$E$1)</f>
        <v/>
      </c>
      <c r="AR237" s="185" t="n">
        <f aca="false">IF(Summary!$H$2=1,VLOOKUP('ANR OK vs ML7'!A237,Curves!$C$17:$AR$273,MATCH('ANR OK vs ML7'!$AR$4,Curves!$C$8:$AQ$8,0)),0.1)</f>
        <v>0.1</v>
      </c>
      <c r="AS237" s="213" t="str">
        <f aca="false">IF(A238="","",1/(1+CHOOSE(F$3,(AR238+($I$3/10000))/2,(AR237+($I$3/10000))/2))^(2*AQ237/365.25))</f>
        <v/>
      </c>
      <c r="AT237" s="137" t="str">
        <f aca="false">IF(A238="","",IF(AND(mthbeg&lt;=A237,mthend&gt;=A237),1,0))</f>
        <v/>
      </c>
      <c r="AU237" s="137" t="str">
        <f aca="false">IF(A238="","",AO237*AT237)</f>
        <v/>
      </c>
      <c r="AW237" s="195" t="str">
        <f aca="false">IF($A238="","",AL237*$E237)</f>
        <v/>
      </c>
      <c r="AX237" s="195" t="str">
        <f aca="false">IF($A238="","",AM237*$E237)</f>
        <v/>
      </c>
      <c r="AY237" s="195" t="str">
        <f aca="false">IF($A238="","",AN237*$E237)</f>
        <v/>
      </c>
      <c r="BA237" s="195" t="str">
        <f aca="false">IF($A238="","",F237*Summary!$Q$7)</f>
        <v/>
      </c>
    </row>
    <row r="238" customFormat="false" ht="12" hidden="false" customHeight="true" outlineLevel="0" collapsed="false">
      <c r="A238" s="196" t="str">
        <f aca="false">IF(A237&lt;mthend,EDATE(A237,1),"")</f>
        <v/>
      </c>
      <c r="B238" s="197" t="str">
        <f aca="false">IF(A238&lt;mthend,B237,"")</f>
        <v/>
      </c>
      <c r="C238" s="215"/>
      <c r="D238" s="197" t="str">
        <f aca="false">IF(A239&lt;&gt;"",B238+C238,"")</f>
        <v/>
      </c>
      <c r="E238" s="199" t="str">
        <f aca="false">IF(A239="","",IF(AND(AT238=1,$H$3=1),D238*AO238,IF($H$3=2,D238,"N/A")))</f>
        <v/>
      </c>
      <c r="F238" s="199" t="str">
        <f aca="false">IF(A239="","",E238*AS238)</f>
        <v/>
      </c>
      <c r="G238" s="200" t="str">
        <f aca="false">IF($A239="","",VLOOKUP($A238,Table,MATCH(G$4,Curves,0)))</f>
        <v/>
      </c>
      <c r="H238" s="201" t="str">
        <f aca="false">IF(A239="","",G238)</f>
        <v/>
      </c>
      <c r="I238" s="202"/>
      <c r="J238" s="200" t="str">
        <f aca="false">IF($A239="","",VLOOKUP($A238,Table,MATCH(J$4,Curves,0)))</f>
        <v/>
      </c>
      <c r="K238" s="201" t="str">
        <f aca="false">IF(A239="","",J238)</f>
        <v/>
      </c>
      <c r="L238" s="200" t="str">
        <f aca="false">IF($A239="","",VLOOKUP($A238,Table,MATCH(L$4,Curves,0)))</f>
        <v/>
      </c>
      <c r="M238" s="201" t="str">
        <f aca="false">IF(A239="","",L238)</f>
        <v/>
      </c>
      <c r="N238" s="203"/>
      <c r="O238" s="200" t="str">
        <f aca="false">IF(A239="","",L238+J238+G238)</f>
        <v/>
      </c>
      <c r="P238" s="200" t="str">
        <f aca="false">IF(A239="","",M238+K238+H238)</f>
        <v/>
      </c>
      <c r="Q238" s="204"/>
      <c r="R238" s="200" t="str">
        <f aca="false">IF($A239="","",VLOOKUP($A238,Table,MATCH(R$4,Curves,0)))</f>
        <v/>
      </c>
      <c r="S238" s="201" t="str">
        <f aca="false">IF(A239="","",R238)</f>
        <v/>
      </c>
      <c r="T238" s="200" t="str">
        <f aca="false">IF($A239="","",VLOOKUP($A238,Table,MATCH(T$4,Curves,0)))</f>
        <v/>
      </c>
      <c r="U238" s="201" t="str">
        <f aca="false">IF(A239="","",T238)</f>
        <v/>
      </c>
      <c r="V238" s="183" t="str">
        <f aca="false">IF($A239="","",IF(AND(MONTH(A238)&gt;3,MONTH(A238)&lt;11),(T238+R238+G238)*Summary!$T$7/(1-Summary!$T$7),(T238+R238+G238)*Summary!$U$7/(1-Summary!$U$7)))</f>
        <v/>
      </c>
      <c r="W238" s="200" t="str">
        <f aca="false">IF($A239="","",(T238+R238+G238+V238))</f>
        <v/>
      </c>
      <c r="X238" s="200" t="str">
        <f aca="false">IF($A239="","",(U238+S238+H238+V238))</f>
        <v/>
      </c>
      <c r="Y238" s="202"/>
      <c r="Z238" s="185" t="str">
        <f aca="false">IF($A239="","",VLOOKUP($A238,Table,MATCH(Z$4,Curves,0)))</f>
        <v/>
      </c>
      <c r="AA238" s="185" t="str">
        <f aca="false">IF($A239="","",VLOOKUP($A238,Table,MATCH(AA$4,Curves,0)))</f>
        <v/>
      </c>
      <c r="AB238" s="185" t="e">
        <f aca="false">SQRT((AA238^2*(A238-$D$3)+Z238^2*(DAY(EOMONTH(A238,0))/2))/AK238)</f>
        <v>#VALUE!</v>
      </c>
      <c r="AC238" s="185" t="str">
        <f aca="false">IF($A239="","",VLOOKUP($A238,Table,MATCH(AC$4,Curves,0)))</f>
        <v/>
      </c>
      <c r="AD238" s="185" t="str">
        <f aca="false">IF($A239="","",VLOOKUP($A238,Table,MATCH(AD$4,Curves,0)))</f>
        <v/>
      </c>
      <c r="AE238" s="185" t="e">
        <f aca="false">SQRT((AD238^2*(A238-$D$3)+AC238^2*(DAY(EOMONTH(A238,0))/2))/AK238)</f>
        <v>#VALUE!</v>
      </c>
      <c r="AF238" s="206" t="e">
        <f aca="false">((Summary!$N$7*(AA238*AD238)*(A238-$D$3))+(Summary!$M$7*Z238*AC238*(DAY(EOMONTH(A238,0))/2)))/(AK238*AB238*AE238)</f>
        <v>#VALUE!</v>
      </c>
      <c r="AG238" s="207" t="str">
        <f aca="false">IF($A239="","",Summary!$Q$7)</f>
        <v/>
      </c>
      <c r="AH238" s="207" t="str">
        <f aca="false">IF($A239="","",IF(Summary!$R$7="Y",(VLOOKUP($A238,Summary!$AD$6:$AF$9,3)+'Escalating commodity'!C251),'Escalating commodity'!C251))</f>
        <v/>
      </c>
      <c r="AI238" s="207" t="str">
        <f aca="false">IF($A239="","",AH238)</f>
        <v/>
      </c>
      <c r="AJ238" s="208" t="e">
        <f aca="false">A238+DAY(EOMONTH(A238,0))/2-1</f>
        <v>#VALUE!</v>
      </c>
      <c r="AK238" s="209" t="str">
        <f aca="false">IF($A239="","",$A238-$E$1)</f>
        <v/>
      </c>
      <c r="AL238" s="182" t="str">
        <f aca="false">IF($A239="","",SPRDOPT(P238,X238,AI238,0,AB238,AE238,AF238,AK238,$AJ$2,0))</f>
        <v/>
      </c>
      <c r="AM238" s="210" t="str">
        <f aca="false">IF($A239="","",MAX(0,O238-W238-AI238))</f>
        <v/>
      </c>
      <c r="AN238" s="211" t="str">
        <f aca="false">IF($A239="","",AL238-AM238)</f>
        <v/>
      </c>
      <c r="AO238" s="137" t="str">
        <f aca="false">IF(A239="","",A239-A238)</f>
        <v/>
      </c>
      <c r="AP238" s="212" t="str">
        <f aca="false">IF(A239="","",CHOOSE(F$3,A239+24,A238))</f>
        <v/>
      </c>
      <c r="AQ238" s="209" t="str">
        <f aca="false">IF(A239="","",AP238-$E$1)</f>
        <v/>
      </c>
      <c r="AR238" s="185" t="n">
        <f aca="false">IF(Summary!$H$2=1,VLOOKUP('ANR OK vs ML7'!A238,Curves!$C$17:$AR$273,MATCH('ANR OK vs ML7'!$AR$4,Curves!$C$8:$AQ$8,0)),0.1)</f>
        <v>0.1</v>
      </c>
      <c r="AS238" s="213" t="str">
        <f aca="false">IF(A239="","",1/(1+CHOOSE(F$3,(AR239+($I$3/10000))/2,(AR238+($I$3/10000))/2))^(2*AQ238/365.25))</f>
        <v/>
      </c>
      <c r="AT238" s="137" t="str">
        <f aca="false">IF(A239="","",IF(AND(mthbeg&lt;=A238,mthend&gt;=A238),1,0))</f>
        <v/>
      </c>
      <c r="AU238" s="137" t="str">
        <f aca="false">IF(A239="","",AO238*AT238)</f>
        <v/>
      </c>
      <c r="AW238" s="195" t="str">
        <f aca="false">IF($A239="","",AL238*$E238)</f>
        <v/>
      </c>
      <c r="AX238" s="195" t="str">
        <f aca="false">IF($A239="","",AM238*$E238)</f>
        <v/>
      </c>
      <c r="AY238" s="195" t="str">
        <f aca="false">IF($A239="","",AN238*$E238)</f>
        <v/>
      </c>
      <c r="BA238" s="195" t="str">
        <f aca="false">IF($A239="","",F238*Summary!$Q$7)</f>
        <v/>
      </c>
    </row>
    <row r="239" customFormat="false" ht="12" hidden="false" customHeight="true" outlineLevel="0" collapsed="false">
      <c r="A239" s="196" t="str">
        <f aca="false">IF(A238&lt;mthend,EDATE(A238,1),"")</f>
        <v/>
      </c>
      <c r="B239" s="197" t="str">
        <f aca="false">IF(A239&lt;mthend,B238,"")</f>
        <v/>
      </c>
      <c r="C239" s="215"/>
      <c r="D239" s="197" t="str">
        <f aca="false">IF(A240&lt;&gt;"",B239+C239,"")</f>
        <v/>
      </c>
      <c r="E239" s="199" t="str">
        <f aca="false">IF(A240="","",IF(AND(AT239=1,$H$3=1),D239*AO239,IF($H$3=2,D239,"N/A")))</f>
        <v/>
      </c>
      <c r="F239" s="199" t="str">
        <f aca="false">IF(A240="","",E239*AS239)</f>
        <v/>
      </c>
      <c r="G239" s="200" t="str">
        <f aca="false">IF($A240="","",VLOOKUP($A239,Table,MATCH(G$4,Curves,0)))</f>
        <v/>
      </c>
      <c r="H239" s="201" t="str">
        <f aca="false">IF(A240="","",G239)</f>
        <v/>
      </c>
      <c r="I239" s="202"/>
      <c r="J239" s="200" t="str">
        <f aca="false">IF($A240="","",VLOOKUP($A239,Table,MATCH(J$4,Curves,0)))</f>
        <v/>
      </c>
      <c r="K239" s="201" t="str">
        <f aca="false">IF(A240="","",J239)</f>
        <v/>
      </c>
      <c r="L239" s="200" t="str">
        <f aca="false">IF($A240="","",VLOOKUP($A239,Table,MATCH(L$4,Curves,0)))</f>
        <v/>
      </c>
      <c r="M239" s="201" t="str">
        <f aca="false">IF(A240="","",L239)</f>
        <v/>
      </c>
      <c r="N239" s="203"/>
      <c r="O239" s="200" t="str">
        <f aca="false">IF(A240="","",L239+J239+G239)</f>
        <v/>
      </c>
      <c r="P239" s="200" t="str">
        <f aca="false">IF(A240="","",M239+K239+H239)</f>
        <v/>
      </c>
      <c r="Q239" s="204"/>
      <c r="R239" s="200" t="str">
        <f aca="false">IF($A240="","",VLOOKUP($A239,Table,MATCH(R$4,Curves,0)))</f>
        <v/>
      </c>
      <c r="S239" s="201" t="str">
        <f aca="false">IF(A240="","",R239)</f>
        <v/>
      </c>
      <c r="T239" s="200" t="str">
        <f aca="false">IF($A240="","",VLOOKUP($A239,Table,MATCH(T$4,Curves,0)))</f>
        <v/>
      </c>
      <c r="U239" s="201" t="str">
        <f aca="false">IF(A240="","",T239)</f>
        <v/>
      </c>
      <c r="V239" s="183" t="str">
        <f aca="false">IF($A240="","",IF(AND(MONTH(A239)&gt;3,MONTH(A239)&lt;11),(T239+R239+G239)*Summary!$T$7/(1-Summary!$T$7),(T239+R239+G239)*Summary!$U$7/(1-Summary!$U$7)))</f>
        <v/>
      </c>
      <c r="W239" s="200" t="str">
        <f aca="false">IF($A240="","",(T239+R239+G239+V239))</f>
        <v/>
      </c>
      <c r="X239" s="200" t="str">
        <f aca="false">IF($A240="","",(U239+S239+H239+V239))</f>
        <v/>
      </c>
      <c r="Y239" s="202"/>
      <c r="Z239" s="185" t="str">
        <f aca="false">IF($A240="","",VLOOKUP($A239,Table,MATCH(Z$4,Curves,0)))</f>
        <v/>
      </c>
      <c r="AA239" s="185" t="str">
        <f aca="false">IF($A240="","",VLOOKUP($A239,Table,MATCH(AA$4,Curves,0)))</f>
        <v/>
      </c>
      <c r="AB239" s="185" t="e">
        <f aca="false">SQRT((AA239^2*(A239-$D$3)+Z239^2*(DAY(EOMONTH(A239,0))/2))/AK239)</f>
        <v>#VALUE!</v>
      </c>
      <c r="AC239" s="185" t="str">
        <f aca="false">IF($A240="","",VLOOKUP($A239,Table,MATCH(AC$4,Curves,0)))</f>
        <v/>
      </c>
      <c r="AD239" s="185" t="str">
        <f aca="false">IF($A240="","",VLOOKUP($A239,Table,MATCH(AD$4,Curves,0)))</f>
        <v/>
      </c>
      <c r="AE239" s="185" t="e">
        <f aca="false">SQRT((AD239^2*(A239-$D$3)+AC239^2*(DAY(EOMONTH(A239,0))/2))/AK239)</f>
        <v>#VALUE!</v>
      </c>
      <c r="AF239" s="206" t="e">
        <f aca="false">((Summary!$N$7*(AA239*AD239)*(A239-$D$3))+(Summary!$M$7*Z239*AC239*(DAY(EOMONTH(A239,0))/2)))/(AK239*AB239*AE239)</f>
        <v>#VALUE!</v>
      </c>
      <c r="AG239" s="207" t="str">
        <f aca="false">IF($A240="","",Summary!$Q$7)</f>
        <v/>
      </c>
      <c r="AH239" s="207" t="str">
        <f aca="false">IF($A240="","",IF(Summary!$R$7="Y",(VLOOKUP($A239,Summary!$AD$6:$AF$9,3)+'Escalating commodity'!C252),'Escalating commodity'!C252))</f>
        <v/>
      </c>
      <c r="AI239" s="207" t="str">
        <f aca="false">IF($A240="","",AH239)</f>
        <v/>
      </c>
      <c r="AJ239" s="208" t="e">
        <f aca="false">A239+DAY(EOMONTH(A239,0))/2-1</f>
        <v>#VALUE!</v>
      </c>
      <c r="AK239" s="209" t="str">
        <f aca="false">IF($A240="","",$A239-$E$1)</f>
        <v/>
      </c>
      <c r="AL239" s="182" t="str">
        <f aca="false">IF($A240="","",SPRDOPT(P239,X239,AI239,0,AB239,AE239,AF239,AK239,$AJ$2,0))</f>
        <v/>
      </c>
      <c r="AM239" s="210" t="str">
        <f aca="false">IF($A240="","",MAX(0,O239-W239-AI239))</f>
        <v/>
      </c>
      <c r="AN239" s="211" t="str">
        <f aca="false">IF($A240="","",AL239-AM239)</f>
        <v/>
      </c>
      <c r="AO239" s="137" t="str">
        <f aca="false">IF(A240="","",A240-A239)</f>
        <v/>
      </c>
      <c r="AP239" s="212" t="str">
        <f aca="false">IF(A240="","",CHOOSE(F$3,A240+24,A239))</f>
        <v/>
      </c>
      <c r="AQ239" s="209" t="str">
        <f aca="false">IF(A240="","",AP239-$E$1)</f>
        <v/>
      </c>
      <c r="AR239" s="185" t="n">
        <f aca="false">IF(Summary!$H$2=1,VLOOKUP('ANR OK vs ML7'!A239,Curves!$C$17:$AR$273,MATCH('ANR OK vs ML7'!$AR$4,Curves!$C$8:$AQ$8,0)),0.1)</f>
        <v>0.1</v>
      </c>
      <c r="AS239" s="213" t="str">
        <f aca="false">IF(A240="","",1/(1+CHOOSE(F$3,(AR240+($I$3/10000))/2,(AR239+($I$3/10000))/2))^(2*AQ239/365.25))</f>
        <v/>
      </c>
      <c r="AT239" s="137" t="str">
        <f aca="false">IF(A240="","",IF(AND(mthbeg&lt;=A239,mthend&gt;=A239),1,0))</f>
        <v/>
      </c>
      <c r="AU239" s="137" t="str">
        <f aca="false">IF(A240="","",AO239*AT239)</f>
        <v/>
      </c>
      <c r="AW239" s="195" t="str">
        <f aca="false">IF($A240="","",AL239*$E239)</f>
        <v/>
      </c>
      <c r="AX239" s="195" t="str">
        <f aca="false">IF($A240="","",AM239*$E239)</f>
        <v/>
      </c>
      <c r="AY239" s="195" t="str">
        <f aca="false">IF($A240="","",AN239*$E239)</f>
        <v/>
      </c>
      <c r="BA239" s="195" t="str">
        <f aca="false">IF($A240="","",F239*Summary!$Q$7)</f>
        <v/>
      </c>
    </row>
    <row r="240" customFormat="false" ht="12" hidden="false" customHeight="true" outlineLevel="0" collapsed="false">
      <c r="A240" s="196" t="str">
        <f aca="false">IF(A239&lt;mthend,EDATE(A239,1),"")</f>
        <v/>
      </c>
      <c r="B240" s="197" t="str">
        <f aca="false">IF(A240&lt;mthend,B239,"")</f>
        <v/>
      </c>
      <c r="C240" s="215"/>
      <c r="D240" s="197" t="str">
        <f aca="false">IF(A241&lt;&gt;"",B240+C240,"")</f>
        <v/>
      </c>
      <c r="E240" s="199" t="str">
        <f aca="false">IF(A241="","",IF(AND(AT240=1,$H$3=1),D240*AO240,IF($H$3=2,D240,"N/A")))</f>
        <v/>
      </c>
      <c r="F240" s="199" t="str">
        <f aca="false">IF(A241="","",E240*AS240)</f>
        <v/>
      </c>
      <c r="G240" s="200" t="str">
        <f aca="false">IF($A241="","",VLOOKUP($A240,Table,MATCH(G$4,Curves,0)))</f>
        <v/>
      </c>
      <c r="H240" s="201" t="str">
        <f aca="false">IF(A241="","",G240)</f>
        <v/>
      </c>
      <c r="I240" s="202"/>
      <c r="J240" s="200" t="str">
        <f aca="false">IF($A241="","",VLOOKUP($A240,Table,MATCH(J$4,Curves,0)))</f>
        <v/>
      </c>
      <c r="K240" s="201" t="str">
        <f aca="false">IF(A241="","",J240)</f>
        <v/>
      </c>
      <c r="L240" s="200" t="str">
        <f aca="false">IF($A241="","",VLOOKUP($A240,Table,MATCH(L$4,Curves,0)))</f>
        <v/>
      </c>
      <c r="M240" s="201" t="str">
        <f aca="false">IF(A241="","",L240)</f>
        <v/>
      </c>
      <c r="N240" s="203"/>
      <c r="O240" s="200" t="str">
        <f aca="false">IF(A241="","",L240+J240+G240)</f>
        <v/>
      </c>
      <c r="P240" s="200" t="str">
        <f aca="false">IF(A241="","",M240+K240+H240)</f>
        <v/>
      </c>
      <c r="Q240" s="204"/>
      <c r="R240" s="200" t="str">
        <f aca="false">IF($A241="","",VLOOKUP($A240,Table,MATCH(R$4,Curves,0)))</f>
        <v/>
      </c>
      <c r="S240" s="201" t="str">
        <f aca="false">IF(A241="","",R240)</f>
        <v/>
      </c>
      <c r="T240" s="200" t="str">
        <f aca="false">IF($A241="","",VLOOKUP($A240,Table,MATCH(T$4,Curves,0)))</f>
        <v/>
      </c>
      <c r="U240" s="201" t="str">
        <f aca="false">IF(A241="","",T240)</f>
        <v/>
      </c>
      <c r="V240" s="183" t="str">
        <f aca="false">IF($A241="","",IF(AND(MONTH(A240)&gt;3,MONTH(A240)&lt;11),(T240+R240+G240)*Summary!$T$7/(1-Summary!$T$7),(T240+R240+G240)*Summary!$U$7/(1-Summary!$U$7)))</f>
        <v/>
      </c>
      <c r="W240" s="200" t="str">
        <f aca="false">IF($A241="","",(T240+R240+G240+V240))</f>
        <v/>
      </c>
      <c r="X240" s="200" t="str">
        <f aca="false">IF($A241="","",(U240+S240+H240+V240))</f>
        <v/>
      </c>
      <c r="Y240" s="202"/>
      <c r="Z240" s="185" t="str">
        <f aca="false">IF($A241="","",VLOOKUP($A240,Table,MATCH(Z$4,Curves,0)))</f>
        <v/>
      </c>
      <c r="AA240" s="185" t="str">
        <f aca="false">IF($A241="","",VLOOKUP($A240,Table,MATCH(AA$4,Curves,0)))</f>
        <v/>
      </c>
      <c r="AB240" s="185" t="e">
        <f aca="false">SQRT((AA240^2*(A240-$D$3)+Z240^2*(DAY(EOMONTH(A240,0))/2))/AK240)</f>
        <v>#VALUE!</v>
      </c>
      <c r="AC240" s="185" t="str">
        <f aca="false">IF($A241="","",VLOOKUP($A240,Table,MATCH(AC$4,Curves,0)))</f>
        <v/>
      </c>
      <c r="AD240" s="185" t="str">
        <f aca="false">IF($A241="","",VLOOKUP($A240,Table,MATCH(AD$4,Curves,0)))</f>
        <v/>
      </c>
      <c r="AE240" s="185" t="e">
        <f aca="false">SQRT((AD240^2*(A240-$D$3)+AC240^2*(DAY(EOMONTH(A240,0))/2))/AK240)</f>
        <v>#VALUE!</v>
      </c>
      <c r="AF240" s="206" t="e">
        <f aca="false">((Summary!$N$7*(AA240*AD240)*(A240-$D$3))+(Summary!$M$7*Z240*AC240*(DAY(EOMONTH(A240,0))/2)))/(AK240*AB240*AE240)</f>
        <v>#VALUE!</v>
      </c>
      <c r="AG240" s="207" t="str">
        <f aca="false">IF($A241="","",Summary!$Q$7)</f>
        <v/>
      </c>
      <c r="AH240" s="207" t="str">
        <f aca="false">IF($A241="","",IF(Summary!$R$7="Y",(VLOOKUP($A240,Summary!$AD$6:$AF$9,3)+'Escalating commodity'!C253),'Escalating commodity'!C253))</f>
        <v/>
      </c>
      <c r="AI240" s="207" t="str">
        <f aca="false">IF($A241="","",AH240)</f>
        <v/>
      </c>
      <c r="AJ240" s="208" t="e">
        <f aca="false">A240+DAY(EOMONTH(A240,0))/2-1</f>
        <v>#VALUE!</v>
      </c>
      <c r="AK240" s="209" t="str">
        <f aca="false">IF($A241="","",$A240-$E$1)</f>
        <v/>
      </c>
      <c r="AL240" s="182" t="str">
        <f aca="false">IF($A241="","",SPRDOPT(P240,X240,AI240,0,AB240,AE240,AF240,AK240,$AJ$2,0))</f>
        <v/>
      </c>
      <c r="AM240" s="210" t="str">
        <f aca="false">IF($A241="","",MAX(0,O240-W240-AI240))</f>
        <v/>
      </c>
      <c r="AN240" s="211" t="str">
        <f aca="false">IF($A241="","",AL240-AM240)</f>
        <v/>
      </c>
      <c r="AO240" s="137" t="str">
        <f aca="false">IF(A241="","",A241-A240)</f>
        <v/>
      </c>
      <c r="AP240" s="212" t="str">
        <f aca="false">IF(A241="","",CHOOSE(F$3,A241+24,A240))</f>
        <v/>
      </c>
      <c r="AQ240" s="209" t="str">
        <f aca="false">IF(A241="","",AP240-$E$1)</f>
        <v/>
      </c>
      <c r="AR240" s="185" t="n">
        <f aca="false">IF(Summary!$H$2=1,VLOOKUP('ANR OK vs ML7'!A240,Curves!$C$17:$AR$273,MATCH('ANR OK vs ML7'!$AR$4,Curves!$C$8:$AQ$8,0)),0.1)</f>
        <v>0.1</v>
      </c>
      <c r="AS240" s="213" t="str">
        <f aca="false">IF(A241="","",1/(1+CHOOSE(F$3,(AR241+($I$3/10000))/2,(AR240+($I$3/10000))/2))^(2*AQ240/365.25))</f>
        <v/>
      </c>
      <c r="AT240" s="137" t="str">
        <f aca="false">IF(A241="","",IF(AND(mthbeg&lt;=A240,mthend&gt;=A240),1,0))</f>
        <v/>
      </c>
      <c r="AU240" s="137" t="str">
        <f aca="false">IF(A241="","",AO240*AT240)</f>
        <v/>
      </c>
      <c r="AW240" s="195" t="str">
        <f aca="false">IF($A241="","",AL240*$E240)</f>
        <v/>
      </c>
      <c r="AX240" s="195" t="str">
        <f aca="false">IF($A241="","",AM240*$E240)</f>
        <v/>
      </c>
      <c r="AY240" s="195" t="str">
        <f aca="false">IF($A241="","",AN240*$E240)</f>
        <v/>
      </c>
      <c r="BA240" s="195" t="str">
        <f aca="false">IF($A241="","",F240*Summary!$Q$7)</f>
        <v/>
      </c>
    </row>
    <row r="241" customFormat="false" ht="12" hidden="false" customHeight="true" outlineLevel="0" collapsed="false">
      <c r="A241" s="196" t="str">
        <f aca="false">IF(A240&lt;mthend,EDATE(A240,1),"")</f>
        <v/>
      </c>
      <c r="B241" s="197" t="str">
        <f aca="false">IF(A241&lt;mthend,B240,"")</f>
        <v/>
      </c>
      <c r="C241" s="215"/>
      <c r="D241" s="197" t="str">
        <f aca="false">IF(A242&lt;&gt;"",B241+C241,"")</f>
        <v/>
      </c>
      <c r="E241" s="199" t="str">
        <f aca="false">IF(A242="","",IF(AND(AT241=1,$H$3=1),D241*AO241,IF($H$3=2,D241,"N/A")))</f>
        <v/>
      </c>
      <c r="F241" s="199" t="str">
        <f aca="false">IF(A242="","",E241*AS241)</f>
        <v/>
      </c>
      <c r="G241" s="200" t="str">
        <f aca="false">IF($A242="","",VLOOKUP($A241,Table,MATCH(G$4,Curves,0)))</f>
        <v/>
      </c>
      <c r="H241" s="201" t="str">
        <f aca="false">IF(A242="","",G241)</f>
        <v/>
      </c>
      <c r="I241" s="202"/>
      <c r="J241" s="200" t="str">
        <f aca="false">IF($A242="","",VLOOKUP($A241,Table,MATCH(J$4,Curves,0)))</f>
        <v/>
      </c>
      <c r="K241" s="201" t="str">
        <f aca="false">IF(A242="","",J241)</f>
        <v/>
      </c>
      <c r="L241" s="200" t="str">
        <f aca="false">IF($A242="","",VLOOKUP($A241,Table,MATCH(L$4,Curves,0)))</f>
        <v/>
      </c>
      <c r="M241" s="201" t="str">
        <f aca="false">IF(A242="","",L241)</f>
        <v/>
      </c>
      <c r="N241" s="203"/>
      <c r="O241" s="200" t="str">
        <f aca="false">IF(A242="","",L241+J241+G241)</f>
        <v/>
      </c>
      <c r="P241" s="200" t="str">
        <f aca="false">IF(A242="","",M241+K241+H241)</f>
        <v/>
      </c>
      <c r="Q241" s="204"/>
      <c r="R241" s="200" t="str">
        <f aca="false">IF($A242="","",VLOOKUP($A241,Table,MATCH(R$4,Curves,0)))</f>
        <v/>
      </c>
      <c r="S241" s="201" t="str">
        <f aca="false">IF(A242="","",R241)</f>
        <v/>
      </c>
      <c r="T241" s="200" t="str">
        <f aca="false">IF($A242="","",VLOOKUP($A241,Table,MATCH(T$4,Curves,0)))</f>
        <v/>
      </c>
      <c r="U241" s="201" t="str">
        <f aca="false">IF(A242="","",T241)</f>
        <v/>
      </c>
      <c r="V241" s="183" t="str">
        <f aca="false">IF($A242="","",IF(AND(MONTH(A241)&gt;3,MONTH(A241)&lt;11),(T241+R241+G241)*Summary!$T$7/(1-Summary!$T$7),(T241+R241+G241)*Summary!$U$7/(1-Summary!$U$7)))</f>
        <v/>
      </c>
      <c r="W241" s="200" t="str">
        <f aca="false">IF($A242="","",(T241+R241+G241+V241))</f>
        <v/>
      </c>
      <c r="X241" s="200" t="str">
        <f aca="false">IF($A242="","",(U241+S241+H241+V241))</f>
        <v/>
      </c>
      <c r="Y241" s="202"/>
      <c r="Z241" s="185" t="str">
        <f aca="false">IF($A242="","",VLOOKUP($A241,Table,MATCH(Z$4,Curves,0)))</f>
        <v/>
      </c>
      <c r="AA241" s="185" t="str">
        <f aca="false">IF($A242="","",VLOOKUP($A241,Table,MATCH(AA$4,Curves,0)))</f>
        <v/>
      </c>
      <c r="AB241" s="185" t="e">
        <f aca="false">SQRT((AA241^2*(A241-$D$3)+Z241^2*(DAY(EOMONTH(A241,0))/2))/AK241)</f>
        <v>#VALUE!</v>
      </c>
      <c r="AC241" s="185" t="str">
        <f aca="false">IF($A242="","",VLOOKUP($A241,Table,MATCH(AC$4,Curves,0)))</f>
        <v/>
      </c>
      <c r="AD241" s="185" t="str">
        <f aca="false">IF($A242="","",VLOOKUP($A241,Table,MATCH(AD$4,Curves,0)))</f>
        <v/>
      </c>
      <c r="AE241" s="185" t="e">
        <f aca="false">SQRT((AD241^2*(A241-$D$3)+AC241^2*(DAY(EOMONTH(A241,0))/2))/AK241)</f>
        <v>#VALUE!</v>
      </c>
      <c r="AF241" s="206" t="e">
        <f aca="false">((Summary!$N$7*(AA241*AD241)*(A241-$D$3))+(Summary!$M$7*Z241*AC241*(DAY(EOMONTH(A241,0))/2)))/(AK241*AB241*AE241)</f>
        <v>#VALUE!</v>
      </c>
      <c r="AG241" s="207" t="str">
        <f aca="false">IF($A242="","",Summary!$Q$7)</f>
        <v/>
      </c>
      <c r="AH241" s="207" t="str">
        <f aca="false">IF($A242="","",IF(Summary!$R$7="Y",(VLOOKUP($A241,Summary!$AD$6:$AF$9,3)+'Escalating commodity'!C254),'Escalating commodity'!C254))</f>
        <v/>
      </c>
      <c r="AI241" s="207" t="str">
        <f aca="false">IF($A242="","",AH241)</f>
        <v/>
      </c>
      <c r="AJ241" s="208" t="e">
        <f aca="false">A241+DAY(EOMONTH(A241,0))/2-1</f>
        <v>#VALUE!</v>
      </c>
      <c r="AK241" s="209" t="str">
        <f aca="false">IF($A242="","",$A241-$E$1)</f>
        <v/>
      </c>
      <c r="AL241" s="182" t="str">
        <f aca="false">IF($A242="","",SPRDOPT(P241,X241,AI241,0,AB241,AE241,AF241,AK241,$AJ$2,0))</f>
        <v/>
      </c>
      <c r="AM241" s="210" t="str">
        <f aca="false">IF($A242="","",MAX(0,O241-W241-AI241))</f>
        <v/>
      </c>
      <c r="AN241" s="211" t="str">
        <f aca="false">IF($A242="","",AL241-AM241)</f>
        <v/>
      </c>
      <c r="AO241" s="137" t="str">
        <f aca="false">IF(A242="","",A242-A241)</f>
        <v/>
      </c>
      <c r="AP241" s="212" t="str">
        <f aca="false">IF(A242="","",CHOOSE(F$3,A242+24,A241))</f>
        <v/>
      </c>
      <c r="AQ241" s="209" t="str">
        <f aca="false">IF(A242="","",AP241-$E$1)</f>
        <v/>
      </c>
      <c r="AR241" s="185" t="n">
        <f aca="false">IF(Summary!$H$2=1,VLOOKUP('ANR OK vs ML7'!A241,Curves!$C$17:$AR$273,MATCH('ANR OK vs ML7'!$AR$4,Curves!$C$8:$AQ$8,0)),0.1)</f>
        <v>0.1</v>
      </c>
      <c r="AS241" s="213" t="str">
        <f aca="false">IF(A242="","",1/(1+CHOOSE(F$3,(AR242+($I$3/10000))/2,(AR241+($I$3/10000))/2))^(2*AQ241/365.25))</f>
        <v/>
      </c>
      <c r="AT241" s="137" t="str">
        <f aca="false">IF(A242="","",IF(AND(mthbeg&lt;=A241,mthend&gt;=A241),1,0))</f>
        <v/>
      </c>
      <c r="AU241" s="137" t="str">
        <f aca="false">IF(A242="","",AO241*AT241)</f>
        <v/>
      </c>
      <c r="AW241" s="195" t="str">
        <f aca="false">IF($A242="","",AL241*$E241)</f>
        <v/>
      </c>
      <c r="AX241" s="195" t="str">
        <f aca="false">IF($A242="","",AM241*$E241)</f>
        <v/>
      </c>
      <c r="AY241" s="195" t="str">
        <f aca="false">IF($A242="","",AN241*$E241)</f>
        <v/>
      </c>
      <c r="BA241" s="195" t="str">
        <f aca="false">IF($A242="","",F241*Summary!$Q$7)</f>
        <v/>
      </c>
    </row>
    <row r="242" customFormat="false" ht="12" hidden="false" customHeight="true" outlineLevel="0" collapsed="false">
      <c r="A242" s="196" t="str">
        <f aca="false">IF(A241&lt;mthend,EDATE(A241,1),"")</f>
        <v/>
      </c>
      <c r="B242" s="197" t="str">
        <f aca="false">IF(A242&lt;mthend,B241,"")</f>
        <v/>
      </c>
      <c r="C242" s="215"/>
      <c r="D242" s="197" t="str">
        <f aca="false">IF(A243&lt;&gt;"",B242+C242,"")</f>
        <v/>
      </c>
      <c r="E242" s="199" t="str">
        <f aca="false">IF(A243="","",IF(AND(AT242=1,$H$3=1),D242*AO242,IF($H$3=2,D242,"N/A")))</f>
        <v/>
      </c>
      <c r="F242" s="199" t="str">
        <f aca="false">IF(A243="","",E242*AS242)</f>
        <v/>
      </c>
      <c r="G242" s="200" t="str">
        <f aca="false">IF($A243="","",VLOOKUP($A242,Table,MATCH(G$4,Curves,0)))</f>
        <v/>
      </c>
      <c r="H242" s="201" t="str">
        <f aca="false">IF(A243="","",G242)</f>
        <v/>
      </c>
      <c r="I242" s="202"/>
      <c r="J242" s="200" t="str">
        <f aca="false">IF($A243="","",VLOOKUP($A242,Table,MATCH(J$4,Curves,0)))</f>
        <v/>
      </c>
      <c r="K242" s="201" t="str">
        <f aca="false">IF(A243="","",J242)</f>
        <v/>
      </c>
      <c r="L242" s="200" t="str">
        <f aca="false">IF($A243="","",VLOOKUP($A242,Table,MATCH(L$4,Curves,0)))</f>
        <v/>
      </c>
      <c r="M242" s="201" t="str">
        <f aca="false">IF(A243="","",L242)</f>
        <v/>
      </c>
      <c r="N242" s="203"/>
      <c r="O242" s="200" t="str">
        <f aca="false">IF(A243="","",L242+J242+G242)</f>
        <v/>
      </c>
      <c r="P242" s="200" t="str">
        <f aca="false">IF(A243="","",M242+K242+H242)</f>
        <v/>
      </c>
      <c r="Q242" s="204"/>
      <c r="R242" s="200" t="str">
        <f aca="false">IF($A243="","",VLOOKUP($A242,Table,MATCH(R$4,Curves,0)))</f>
        <v/>
      </c>
      <c r="S242" s="201" t="str">
        <f aca="false">IF(A243="","",R242)</f>
        <v/>
      </c>
      <c r="T242" s="200" t="str">
        <f aca="false">IF($A243="","",VLOOKUP($A242,Table,MATCH(T$4,Curves,0)))</f>
        <v/>
      </c>
      <c r="U242" s="201" t="str">
        <f aca="false">IF(A243="","",T242)</f>
        <v/>
      </c>
      <c r="V242" s="183" t="str">
        <f aca="false">IF($A243="","",IF(AND(MONTH(A242)&gt;3,MONTH(A242)&lt;11),(T242+R242+G242)*Summary!$T$7/(1-Summary!$T$7),(T242+R242+G242)*Summary!$U$7/(1-Summary!$U$7)))</f>
        <v/>
      </c>
      <c r="W242" s="200" t="str">
        <f aca="false">IF($A243="","",(T242+R242+G242+V242))</f>
        <v/>
      </c>
      <c r="X242" s="200" t="str">
        <f aca="false">IF($A243="","",(U242+S242+H242+V242))</f>
        <v/>
      </c>
      <c r="Y242" s="202"/>
      <c r="Z242" s="185" t="str">
        <f aca="false">IF($A243="","",VLOOKUP($A242,Table,MATCH(Z$4,Curves,0)))</f>
        <v/>
      </c>
      <c r="AA242" s="185" t="str">
        <f aca="false">IF($A243="","",VLOOKUP($A242,Table,MATCH(AA$4,Curves,0)))</f>
        <v/>
      </c>
      <c r="AB242" s="185" t="e">
        <f aca="false">SQRT((AA242^2*(A242-$D$3)+Z242^2*(DAY(EOMONTH(A242,0))/2))/AK242)</f>
        <v>#VALUE!</v>
      </c>
      <c r="AC242" s="185" t="str">
        <f aca="false">IF($A243="","",VLOOKUP($A242,Table,MATCH(AC$4,Curves,0)))</f>
        <v/>
      </c>
      <c r="AD242" s="185" t="str">
        <f aca="false">IF($A243="","",VLOOKUP($A242,Table,MATCH(AD$4,Curves,0)))</f>
        <v/>
      </c>
      <c r="AE242" s="185" t="e">
        <f aca="false">SQRT((AD242^2*(A242-$D$3)+AC242^2*(DAY(EOMONTH(A242,0))/2))/AK242)</f>
        <v>#VALUE!</v>
      </c>
      <c r="AF242" s="206" t="e">
        <f aca="false">((Summary!$N$7*(AA242*AD242)*(A242-$D$3))+(Summary!$M$7*Z242*AC242*(DAY(EOMONTH(A242,0))/2)))/(AK242*AB242*AE242)</f>
        <v>#VALUE!</v>
      </c>
      <c r="AG242" s="207" t="str">
        <f aca="false">IF($A243="","",Summary!$Q$7)</f>
        <v/>
      </c>
      <c r="AH242" s="207" t="str">
        <f aca="false">IF($A243="","",IF(Summary!$R$7="Y",(VLOOKUP($A242,Summary!$AD$6:$AF$9,3)+'Escalating commodity'!C255),'Escalating commodity'!C255))</f>
        <v/>
      </c>
      <c r="AI242" s="207" t="str">
        <f aca="false">IF($A243="","",AH242)</f>
        <v/>
      </c>
      <c r="AJ242" s="208" t="e">
        <f aca="false">A242+DAY(EOMONTH(A242,0))/2-1</f>
        <v>#VALUE!</v>
      </c>
      <c r="AK242" s="209" t="str">
        <f aca="false">IF($A243="","",$A242-$E$1)</f>
        <v/>
      </c>
      <c r="AL242" s="182" t="str">
        <f aca="false">IF($A243="","",SPRDOPT(P242,X242,AI242,0,AB242,AE242,AF242,AK242,$AJ$2,0))</f>
        <v/>
      </c>
      <c r="AM242" s="210" t="str">
        <f aca="false">IF($A243="","",MAX(0,O242-W242-AI242))</f>
        <v/>
      </c>
      <c r="AN242" s="211" t="str">
        <f aca="false">IF($A243="","",AL242-AM242)</f>
        <v/>
      </c>
      <c r="AO242" s="137" t="str">
        <f aca="false">IF(A243="","",A243-A242)</f>
        <v/>
      </c>
      <c r="AP242" s="212" t="str">
        <f aca="false">IF(A243="","",CHOOSE(F$3,A243+24,A242))</f>
        <v/>
      </c>
      <c r="AQ242" s="209" t="str">
        <f aca="false">IF(A243="","",AP242-$E$1)</f>
        <v/>
      </c>
      <c r="AR242" s="185" t="n">
        <f aca="false">IF(Summary!$H$2=1,VLOOKUP('ANR OK vs ML7'!A242,Curves!$C$17:$AR$273,MATCH('ANR OK vs ML7'!$AR$4,Curves!$C$8:$AQ$8,0)),0.1)</f>
        <v>0.1</v>
      </c>
      <c r="AS242" s="213" t="str">
        <f aca="false">IF(A243="","",1/(1+CHOOSE(F$3,(AR243+($I$3/10000))/2,(AR242+($I$3/10000))/2))^(2*AQ242/365.25))</f>
        <v/>
      </c>
      <c r="AT242" s="137" t="str">
        <f aca="false">IF(A243="","",IF(AND(mthbeg&lt;=A242,mthend&gt;=A242),1,0))</f>
        <v/>
      </c>
      <c r="AU242" s="137" t="str">
        <f aca="false">IF(A243="","",AO242*AT242)</f>
        <v/>
      </c>
      <c r="AW242" s="195" t="str">
        <f aca="false">IF($A243="","",AL242*$E242)</f>
        <v/>
      </c>
      <c r="AX242" s="195" t="str">
        <f aca="false">IF($A243="","",AM242*$E242)</f>
        <v/>
      </c>
      <c r="AY242" s="195" t="str">
        <f aca="false">IF($A243="","",AN242*$E242)</f>
        <v/>
      </c>
      <c r="BA242" s="195" t="str">
        <f aca="false">IF($A243="","",F242*Summary!$Q$7)</f>
        <v/>
      </c>
    </row>
    <row r="243" customFormat="false" ht="12" hidden="false" customHeight="true" outlineLevel="0" collapsed="false">
      <c r="A243" s="196" t="str">
        <f aca="false">IF(A242&lt;mthend,EDATE(A242,1),"")</f>
        <v/>
      </c>
      <c r="B243" s="197" t="str">
        <f aca="false">IF(A243&lt;mthend,B242,"")</f>
        <v/>
      </c>
      <c r="C243" s="215"/>
      <c r="D243" s="197" t="str">
        <f aca="false">IF(A244&lt;&gt;"",B243+C243,"")</f>
        <v/>
      </c>
      <c r="E243" s="199" t="str">
        <f aca="false">IF(A244="","",IF(AND(AT243=1,$H$3=1),D243*AO243,IF($H$3=2,D243,"N/A")))</f>
        <v/>
      </c>
      <c r="F243" s="199" t="str">
        <f aca="false">IF(A244="","",E243*AS243)</f>
        <v/>
      </c>
      <c r="G243" s="200" t="str">
        <f aca="false">IF($A244="","",VLOOKUP($A243,Table,MATCH(G$4,Curves,0)))</f>
        <v/>
      </c>
      <c r="H243" s="201" t="str">
        <f aca="false">IF(A244="","",G243)</f>
        <v/>
      </c>
      <c r="I243" s="202"/>
      <c r="J243" s="200" t="str">
        <f aca="false">IF($A244="","",VLOOKUP($A243,Table,MATCH(J$4,Curves,0)))</f>
        <v/>
      </c>
      <c r="K243" s="201" t="str">
        <f aca="false">IF(A244="","",J243)</f>
        <v/>
      </c>
      <c r="L243" s="200" t="str">
        <f aca="false">IF($A244="","",VLOOKUP($A243,Table,MATCH(L$4,Curves,0)))</f>
        <v/>
      </c>
      <c r="M243" s="201" t="str">
        <f aca="false">IF(A244="","",L243)</f>
        <v/>
      </c>
      <c r="N243" s="203"/>
      <c r="O243" s="200" t="str">
        <f aca="false">IF(A244="","",L243+J243+G243)</f>
        <v/>
      </c>
      <c r="P243" s="200" t="str">
        <f aca="false">IF(A244="","",M243+K243+H243)</f>
        <v/>
      </c>
      <c r="Q243" s="204"/>
      <c r="R243" s="200" t="str">
        <f aca="false">IF($A244="","",VLOOKUP($A243,Table,MATCH(R$4,Curves,0)))</f>
        <v/>
      </c>
      <c r="S243" s="201" t="str">
        <f aca="false">IF(A244="","",R243)</f>
        <v/>
      </c>
      <c r="T243" s="200" t="str">
        <f aca="false">IF($A244="","",VLOOKUP($A243,Table,MATCH(T$4,Curves,0)))</f>
        <v/>
      </c>
      <c r="U243" s="201" t="str">
        <f aca="false">IF(A244="","",T243)</f>
        <v/>
      </c>
      <c r="V243" s="183" t="str">
        <f aca="false">IF($A244="","",IF(AND(MONTH(A243)&gt;3,MONTH(A243)&lt;11),(T243+R243+G243)*Summary!$T$7/(1-Summary!$T$7),(T243+R243+G243)*Summary!$U$7/(1-Summary!$U$7)))</f>
        <v/>
      </c>
      <c r="W243" s="200" t="str">
        <f aca="false">IF($A244="","",(T243+R243+G243+V243))</f>
        <v/>
      </c>
      <c r="X243" s="200" t="str">
        <f aca="false">IF($A244="","",(U243+S243+H243+V243))</f>
        <v/>
      </c>
      <c r="Y243" s="202"/>
      <c r="Z243" s="185" t="str">
        <f aca="false">IF($A244="","",VLOOKUP($A243,Table,MATCH(Z$4,Curves,0)))</f>
        <v/>
      </c>
      <c r="AA243" s="185" t="str">
        <f aca="false">IF($A244="","",VLOOKUP($A243,Table,MATCH(AA$4,Curves,0)))</f>
        <v/>
      </c>
      <c r="AB243" s="185" t="e">
        <f aca="false">SQRT((AA243^2*(A243-$D$3)+Z243^2*(DAY(EOMONTH(A243,0))/2))/AK243)</f>
        <v>#VALUE!</v>
      </c>
      <c r="AC243" s="185" t="str">
        <f aca="false">IF($A244="","",VLOOKUP($A243,Table,MATCH(AC$4,Curves,0)))</f>
        <v/>
      </c>
      <c r="AD243" s="185" t="str">
        <f aca="false">IF($A244="","",VLOOKUP($A243,Table,MATCH(AD$4,Curves,0)))</f>
        <v/>
      </c>
      <c r="AE243" s="185" t="e">
        <f aca="false">SQRT((AD243^2*(A243-$D$3)+AC243^2*(DAY(EOMONTH(A243,0))/2))/AK243)</f>
        <v>#VALUE!</v>
      </c>
      <c r="AF243" s="206" t="e">
        <f aca="false">((Summary!$N$7*(AA243*AD243)*(A243-$D$3))+(Summary!$M$7*Z243*AC243*(DAY(EOMONTH(A243,0))/2)))/(AK243*AB243*AE243)</f>
        <v>#VALUE!</v>
      </c>
      <c r="AG243" s="207" t="str">
        <f aca="false">IF($A244="","",Summary!$Q$7)</f>
        <v/>
      </c>
      <c r="AH243" s="207" t="str">
        <f aca="false">IF($A244="","",IF(Summary!$R$7="Y",(VLOOKUP($A243,Summary!$AD$6:$AF$9,3)+'Escalating commodity'!C256),'Escalating commodity'!C256))</f>
        <v/>
      </c>
      <c r="AI243" s="207" t="str">
        <f aca="false">IF($A244="","",AH243)</f>
        <v/>
      </c>
      <c r="AJ243" s="208" t="e">
        <f aca="false">A243+DAY(EOMONTH(A243,0))/2-1</f>
        <v>#VALUE!</v>
      </c>
      <c r="AK243" s="209" t="str">
        <f aca="false">IF($A244="","",$A243-$E$1)</f>
        <v/>
      </c>
      <c r="AL243" s="182" t="str">
        <f aca="false">IF($A244="","",SPRDOPT(P243,X243,AI243,0,AB243,AE243,AF243,AK243,$AJ$2,0))</f>
        <v/>
      </c>
      <c r="AM243" s="210" t="str">
        <f aca="false">IF($A244="","",MAX(0,O243-W243-AI243))</f>
        <v/>
      </c>
      <c r="AN243" s="211" t="str">
        <f aca="false">IF($A244="","",AL243-AM243)</f>
        <v/>
      </c>
      <c r="AO243" s="137" t="str">
        <f aca="false">IF(A244="","",A244-A243)</f>
        <v/>
      </c>
      <c r="AP243" s="212" t="str">
        <f aca="false">IF(A244="","",CHOOSE(F$3,A244+24,A243))</f>
        <v/>
      </c>
      <c r="AQ243" s="209" t="str">
        <f aca="false">IF(A244="","",AP243-$E$1)</f>
        <v/>
      </c>
      <c r="AR243" s="185" t="n">
        <f aca="false">IF(Summary!$H$2=1,VLOOKUP('ANR OK vs ML7'!A243,Curves!$C$17:$AR$273,MATCH('ANR OK vs ML7'!$AR$4,Curves!$C$8:$AQ$8,0)),0.1)</f>
        <v>0.1</v>
      </c>
      <c r="AS243" s="213" t="str">
        <f aca="false">IF(A244="","",1/(1+CHOOSE(F$3,(AR244+($I$3/10000))/2,(AR243+($I$3/10000))/2))^(2*AQ243/365.25))</f>
        <v/>
      </c>
      <c r="AT243" s="137" t="str">
        <f aca="false">IF(A244="","",IF(AND(mthbeg&lt;=A243,mthend&gt;=A243),1,0))</f>
        <v/>
      </c>
      <c r="AU243" s="137" t="str">
        <f aca="false">IF(A244="","",AO243*AT243)</f>
        <v/>
      </c>
      <c r="AW243" s="195" t="str">
        <f aca="false">IF($A244="","",AL243*$E243)</f>
        <v/>
      </c>
      <c r="AX243" s="195" t="str">
        <f aca="false">IF($A244="","",AM243*$E243)</f>
        <v/>
      </c>
      <c r="AY243" s="195" t="str">
        <f aca="false">IF($A244="","",AN243*$E243)</f>
        <v/>
      </c>
      <c r="BA243" s="195" t="str">
        <f aca="false">IF($A244="","",F243*Summary!$Q$7)</f>
        <v/>
      </c>
    </row>
    <row r="244" customFormat="false" ht="12" hidden="false" customHeight="true" outlineLevel="0" collapsed="false">
      <c r="A244" s="196" t="str">
        <f aca="false">IF(A243&lt;mthend,EDATE(A243,1),"")</f>
        <v/>
      </c>
      <c r="B244" s="197" t="str">
        <f aca="false">IF(A244&lt;mthend,B243,"")</f>
        <v/>
      </c>
      <c r="C244" s="215"/>
      <c r="D244" s="197" t="str">
        <f aca="false">IF(A245&lt;&gt;"",B244+C244,"")</f>
        <v/>
      </c>
      <c r="E244" s="199" t="str">
        <f aca="false">IF(A245="","",IF(AND(AT244=1,$H$3=1),D244*AO244,IF($H$3=2,D244,"N/A")))</f>
        <v/>
      </c>
      <c r="F244" s="199" t="str">
        <f aca="false">IF(A245="","",E244*AS244)</f>
        <v/>
      </c>
      <c r="G244" s="200" t="str">
        <f aca="false">IF($A245="","",VLOOKUP($A244,Table,MATCH(G$4,Curves,0)))</f>
        <v/>
      </c>
      <c r="H244" s="201" t="str">
        <f aca="false">IF(A245="","",G244)</f>
        <v/>
      </c>
      <c r="I244" s="202"/>
      <c r="J244" s="200" t="str">
        <f aca="false">IF($A245="","",VLOOKUP($A244,Table,MATCH(J$4,Curves,0)))</f>
        <v/>
      </c>
      <c r="K244" s="201" t="str">
        <f aca="false">IF(A245="","",J244)</f>
        <v/>
      </c>
      <c r="L244" s="200" t="str">
        <f aca="false">IF($A245="","",VLOOKUP($A244,Table,MATCH(L$4,Curves,0)))</f>
        <v/>
      </c>
      <c r="M244" s="201" t="str">
        <f aca="false">IF(A245="","",L244)</f>
        <v/>
      </c>
      <c r="N244" s="203"/>
      <c r="O244" s="200" t="str">
        <f aca="false">IF(A245="","",L244+J244+G244)</f>
        <v/>
      </c>
      <c r="P244" s="200" t="str">
        <f aca="false">IF(A245="","",M244+K244+H244)</f>
        <v/>
      </c>
      <c r="Q244" s="204"/>
      <c r="R244" s="200" t="str">
        <f aca="false">IF($A245="","",VLOOKUP($A244,Table,MATCH(R$4,Curves,0)))</f>
        <v/>
      </c>
      <c r="S244" s="201" t="str">
        <f aca="false">IF(A245="","",R244)</f>
        <v/>
      </c>
      <c r="T244" s="200" t="str">
        <f aca="false">IF($A245="","",VLOOKUP($A244,Table,MATCH(T$4,Curves,0)))</f>
        <v/>
      </c>
      <c r="U244" s="201" t="str">
        <f aca="false">IF(A245="","",T244)</f>
        <v/>
      </c>
      <c r="V244" s="183" t="str">
        <f aca="false">IF($A245="","",IF(AND(MONTH(A244)&gt;3,MONTH(A244)&lt;11),(T244+R244+G244)*Summary!$T$7/(1-Summary!$T$7),(T244+R244+G244)*Summary!$U$7/(1-Summary!$U$7)))</f>
        <v/>
      </c>
      <c r="W244" s="200" t="str">
        <f aca="false">IF($A245="","",(T244+R244+G244+V244))</f>
        <v/>
      </c>
      <c r="X244" s="200" t="str">
        <f aca="false">IF($A245="","",(U244+S244+H244+V244))</f>
        <v/>
      </c>
      <c r="Y244" s="202"/>
      <c r="Z244" s="185" t="str">
        <f aca="false">IF($A245="","",VLOOKUP($A244,Table,MATCH(Z$4,Curves,0)))</f>
        <v/>
      </c>
      <c r="AA244" s="185" t="str">
        <f aca="false">IF($A245="","",VLOOKUP($A244,Table,MATCH(AA$4,Curves,0)))</f>
        <v/>
      </c>
      <c r="AB244" s="185" t="e">
        <f aca="false">SQRT((AA244^2*(A244-$D$3)+Z244^2*(DAY(EOMONTH(A244,0))/2))/AK244)</f>
        <v>#VALUE!</v>
      </c>
      <c r="AC244" s="185" t="str">
        <f aca="false">IF($A245="","",VLOOKUP($A244,Table,MATCH(AC$4,Curves,0)))</f>
        <v/>
      </c>
      <c r="AD244" s="185" t="str">
        <f aca="false">IF($A245="","",VLOOKUP($A244,Table,MATCH(AD$4,Curves,0)))</f>
        <v/>
      </c>
      <c r="AE244" s="185" t="e">
        <f aca="false">SQRT((AD244^2*(A244-$D$3)+AC244^2*(DAY(EOMONTH(A244,0))/2))/AK244)</f>
        <v>#VALUE!</v>
      </c>
      <c r="AF244" s="206" t="e">
        <f aca="false">((Summary!$N$7*(AA244*AD244)*(A244-$D$3))+(Summary!$M$7*Z244*AC244*(DAY(EOMONTH(A244,0))/2)))/(AK244*AB244*AE244)</f>
        <v>#VALUE!</v>
      </c>
      <c r="AG244" s="207" t="str">
        <f aca="false">IF($A245="","",Summary!$Q$7)</f>
        <v/>
      </c>
      <c r="AH244" s="207" t="str">
        <f aca="false">IF($A245="","",IF(Summary!$R$7="Y",(VLOOKUP($A244,Summary!$AD$6:$AF$9,3)+'Escalating commodity'!C257),'Escalating commodity'!C257))</f>
        <v/>
      </c>
      <c r="AI244" s="207" t="str">
        <f aca="false">IF($A245="","",AH244)</f>
        <v/>
      </c>
      <c r="AJ244" s="208" t="e">
        <f aca="false">A244+DAY(EOMONTH(A244,0))/2-1</f>
        <v>#VALUE!</v>
      </c>
      <c r="AK244" s="209" t="str">
        <f aca="false">IF($A245="","",$A244-$E$1)</f>
        <v/>
      </c>
      <c r="AL244" s="182" t="str">
        <f aca="false">IF($A245="","",SPRDOPT(P244,X244,AI244,0,AB244,AE244,AF244,AK244,$AJ$2,0))</f>
        <v/>
      </c>
      <c r="AM244" s="210" t="str">
        <f aca="false">IF($A245="","",MAX(0,O244-W244-AI244))</f>
        <v/>
      </c>
      <c r="AN244" s="211" t="str">
        <f aca="false">IF($A245="","",AL244-AM244)</f>
        <v/>
      </c>
      <c r="AO244" s="137" t="str">
        <f aca="false">IF(A245="","",A245-A244)</f>
        <v/>
      </c>
      <c r="AP244" s="212" t="str">
        <f aca="false">IF(A245="","",CHOOSE(F$3,A245+24,A244))</f>
        <v/>
      </c>
      <c r="AQ244" s="209" t="str">
        <f aca="false">IF(A245="","",AP244-$E$1)</f>
        <v/>
      </c>
      <c r="AR244" s="185" t="n">
        <f aca="false">IF(Summary!$H$2=1,VLOOKUP('ANR OK vs ML7'!A244,Curves!$C$17:$AR$273,MATCH('ANR OK vs ML7'!$AR$4,Curves!$C$8:$AQ$8,0)),0.1)</f>
        <v>0.1</v>
      </c>
      <c r="AS244" s="213" t="str">
        <f aca="false">IF(A245="","",1/(1+CHOOSE(F$3,(AR245+($I$3/10000))/2,(AR244+($I$3/10000))/2))^(2*AQ244/365.25))</f>
        <v/>
      </c>
      <c r="AT244" s="137" t="str">
        <f aca="false">IF(A245="","",IF(AND(mthbeg&lt;=A244,mthend&gt;=A244),1,0))</f>
        <v/>
      </c>
      <c r="AU244" s="137" t="str">
        <f aca="false">IF(A245="","",AO244*AT244)</f>
        <v/>
      </c>
      <c r="AW244" s="195" t="str">
        <f aca="false">IF($A245="","",AL244*$E244)</f>
        <v/>
      </c>
      <c r="AX244" s="195" t="str">
        <f aca="false">IF($A245="","",AM244*$E244)</f>
        <v/>
      </c>
      <c r="AY244" s="195" t="str">
        <f aca="false">IF($A245="","",AN244*$E244)</f>
        <v/>
      </c>
      <c r="BA244" s="195" t="str">
        <f aca="false">IF($A245="","",F244*Summary!$Q$7)</f>
        <v/>
      </c>
    </row>
    <row r="245" customFormat="false" ht="12" hidden="false" customHeight="true" outlineLevel="0" collapsed="false">
      <c r="A245" s="196" t="str">
        <f aca="false">IF(A244&lt;mthend,EDATE(A244,1),"")</f>
        <v/>
      </c>
      <c r="B245" s="197" t="str">
        <f aca="false">IF(A245&lt;mthend,B244,"")</f>
        <v/>
      </c>
      <c r="C245" s="215"/>
      <c r="D245" s="197" t="str">
        <f aca="false">IF(A246&lt;&gt;"",B245+C245,"")</f>
        <v/>
      </c>
      <c r="E245" s="199" t="str">
        <f aca="false">IF(A246="","",IF(AND(AT245=1,$H$3=1),D245*AO245,IF($H$3=2,D245,"N/A")))</f>
        <v/>
      </c>
      <c r="F245" s="199" t="str">
        <f aca="false">IF(A246="","",E245*AS245)</f>
        <v/>
      </c>
      <c r="G245" s="200" t="str">
        <f aca="false">IF($A246="","",VLOOKUP($A245,Table,MATCH(G$4,Curves,0)))</f>
        <v/>
      </c>
      <c r="H245" s="201" t="str">
        <f aca="false">IF(A246="","",G245)</f>
        <v/>
      </c>
      <c r="I245" s="202"/>
      <c r="J245" s="200" t="str">
        <f aca="false">IF($A246="","",VLOOKUP($A245,Table,MATCH(J$4,Curves,0)))</f>
        <v/>
      </c>
      <c r="K245" s="201" t="str">
        <f aca="false">IF(A246="","",J245)</f>
        <v/>
      </c>
      <c r="L245" s="200" t="str">
        <f aca="false">IF($A246="","",VLOOKUP($A245,Table,MATCH(L$4,Curves,0)))</f>
        <v/>
      </c>
      <c r="M245" s="201" t="str">
        <f aca="false">IF(A246="","",L245)</f>
        <v/>
      </c>
      <c r="N245" s="203"/>
      <c r="O245" s="200" t="str">
        <f aca="false">IF(A246="","",L245+J245+G245)</f>
        <v/>
      </c>
      <c r="P245" s="200" t="str">
        <f aca="false">IF(A246="","",M245+K245+H245)</f>
        <v/>
      </c>
      <c r="Q245" s="204"/>
      <c r="R245" s="200" t="str">
        <f aca="false">IF($A246="","",VLOOKUP($A245,Table,MATCH(R$4,Curves,0)))</f>
        <v/>
      </c>
      <c r="S245" s="201" t="str">
        <f aca="false">IF(A246="","",R245)</f>
        <v/>
      </c>
      <c r="T245" s="200" t="str">
        <f aca="false">IF($A246="","",VLOOKUP($A245,Table,MATCH(T$4,Curves,0)))</f>
        <v/>
      </c>
      <c r="U245" s="201" t="str">
        <f aca="false">IF(A246="","",T245)</f>
        <v/>
      </c>
      <c r="V245" s="183" t="str">
        <f aca="false">IF($A246="","",IF(AND(MONTH(A245)&gt;3,MONTH(A245)&lt;11),(T245+R245+G245)*Summary!$T$7/(1-Summary!$T$7),(T245+R245+G245)*Summary!$U$7/(1-Summary!$U$7)))</f>
        <v/>
      </c>
      <c r="W245" s="200" t="str">
        <f aca="false">IF($A246="","",(T245+R245+G245+V245))</f>
        <v/>
      </c>
      <c r="X245" s="200" t="str">
        <f aca="false">IF($A246="","",(U245+S245+H245+V245))</f>
        <v/>
      </c>
      <c r="Y245" s="202"/>
      <c r="Z245" s="185" t="str">
        <f aca="false">IF($A246="","",VLOOKUP($A245,Table,MATCH(Z$4,Curves,0)))</f>
        <v/>
      </c>
      <c r="AA245" s="185" t="str">
        <f aca="false">IF($A246="","",VLOOKUP($A245,Table,MATCH(AA$4,Curves,0)))</f>
        <v/>
      </c>
      <c r="AB245" s="185" t="e">
        <f aca="false">SQRT((AA245^2*(A245-$D$3)+Z245^2*(DAY(EOMONTH(A245,0))/2))/AK245)</f>
        <v>#VALUE!</v>
      </c>
      <c r="AC245" s="185" t="str">
        <f aca="false">IF($A246="","",VLOOKUP($A245,Table,MATCH(AC$4,Curves,0)))</f>
        <v/>
      </c>
      <c r="AD245" s="185" t="str">
        <f aca="false">IF($A246="","",VLOOKUP($A245,Table,MATCH(AD$4,Curves,0)))</f>
        <v/>
      </c>
      <c r="AE245" s="185" t="e">
        <f aca="false">SQRT((AD245^2*(A245-$D$3)+AC245^2*(DAY(EOMONTH(A245,0))/2))/AK245)</f>
        <v>#VALUE!</v>
      </c>
      <c r="AF245" s="206" t="e">
        <f aca="false">((Summary!$N$7*(AA245*AD245)*(A245-$D$3))+(Summary!$M$7*Z245*AC245*(DAY(EOMONTH(A245,0))/2)))/(AK245*AB245*AE245)</f>
        <v>#VALUE!</v>
      </c>
      <c r="AG245" s="207" t="str">
        <f aca="false">IF($A246="","",Summary!$Q$7)</f>
        <v/>
      </c>
      <c r="AH245" s="207" t="str">
        <f aca="false">IF($A246="","",IF(Summary!$R$7="Y",(VLOOKUP($A245,Summary!$AD$6:$AF$9,3)+'Escalating commodity'!C258),'Escalating commodity'!C258))</f>
        <v/>
      </c>
      <c r="AI245" s="207" t="str">
        <f aca="false">IF($A246="","",AH245)</f>
        <v/>
      </c>
      <c r="AJ245" s="208" t="e">
        <f aca="false">A245+DAY(EOMONTH(A245,0))/2-1</f>
        <v>#VALUE!</v>
      </c>
      <c r="AK245" s="209" t="str">
        <f aca="false">IF($A246="","",$A245-$E$1)</f>
        <v/>
      </c>
      <c r="AL245" s="182" t="str">
        <f aca="false">IF($A246="","",SPRDOPT(P245,X245,AI245,0,AB245,AE245,AF245,AK245,$AJ$2,0))</f>
        <v/>
      </c>
      <c r="AM245" s="210" t="str">
        <f aca="false">IF($A246="","",MAX(0,O245-W245-AI245))</f>
        <v/>
      </c>
      <c r="AN245" s="211" t="str">
        <f aca="false">IF($A246="","",AL245-AM245)</f>
        <v/>
      </c>
      <c r="AO245" s="137" t="str">
        <f aca="false">IF(A246="","",A246-A245)</f>
        <v/>
      </c>
      <c r="AP245" s="212" t="str">
        <f aca="false">IF(A246="","",CHOOSE(F$3,A246+24,A245))</f>
        <v/>
      </c>
      <c r="AQ245" s="209" t="str">
        <f aca="false">IF(A246="","",AP245-$E$1)</f>
        <v/>
      </c>
      <c r="AR245" s="185" t="n">
        <f aca="false">IF(Summary!$H$2=1,VLOOKUP('ANR OK vs ML7'!A245,Curves!$C$17:$AR$273,MATCH('ANR OK vs ML7'!$AR$4,Curves!$C$8:$AQ$8,0)),0.1)</f>
        <v>0.1</v>
      </c>
      <c r="AS245" s="213" t="str">
        <f aca="false">IF(A246="","",1/(1+CHOOSE(F$3,(AR246+($I$3/10000))/2,(AR245+($I$3/10000))/2))^(2*AQ245/365.25))</f>
        <v/>
      </c>
      <c r="AT245" s="137" t="str">
        <f aca="false">IF(A246="","",IF(AND(mthbeg&lt;=A245,mthend&gt;=A245),1,0))</f>
        <v/>
      </c>
      <c r="AU245" s="137" t="str">
        <f aca="false">IF(A246="","",AO245*AT245)</f>
        <v/>
      </c>
      <c r="AW245" s="195" t="str">
        <f aca="false">IF($A246="","",AL245*$E245)</f>
        <v/>
      </c>
      <c r="AX245" s="195" t="str">
        <f aca="false">IF($A246="","",AM245*$E245)</f>
        <v/>
      </c>
      <c r="AY245" s="195" t="str">
        <f aca="false">IF($A246="","",AN245*$E245)</f>
        <v/>
      </c>
      <c r="BA245" s="195" t="str">
        <f aca="false">IF($A246="","",F245*Summary!$Q$7)</f>
        <v/>
      </c>
    </row>
    <row r="246" customFormat="false" ht="12" hidden="false" customHeight="true" outlineLevel="0" collapsed="false">
      <c r="A246" s="196" t="str">
        <f aca="false">IF(A245&lt;mthend,EDATE(A245,1),"")</f>
        <v/>
      </c>
      <c r="B246" s="197" t="str">
        <f aca="false">IF(A246&lt;mthend,B245,"")</f>
        <v/>
      </c>
      <c r="C246" s="215"/>
      <c r="D246" s="197" t="str">
        <f aca="false">IF(A247&lt;&gt;"",B246+C246,"")</f>
        <v/>
      </c>
      <c r="E246" s="199" t="str">
        <f aca="false">IF(A247="","",IF(AND(AT246=1,$H$3=1),D246*AO246,IF($H$3=2,D246,"N/A")))</f>
        <v/>
      </c>
      <c r="F246" s="199" t="str">
        <f aca="false">IF(A247="","",E246*AS246)</f>
        <v/>
      </c>
      <c r="G246" s="200" t="str">
        <f aca="false">IF($A247="","",VLOOKUP($A246,Table,MATCH(G$4,Curves,0)))</f>
        <v/>
      </c>
      <c r="H246" s="201" t="str">
        <f aca="false">IF(A247="","",G246)</f>
        <v/>
      </c>
      <c r="I246" s="202"/>
      <c r="J246" s="200" t="str">
        <f aca="false">IF($A247="","",VLOOKUP($A246,Table,MATCH(J$4,Curves,0)))</f>
        <v/>
      </c>
      <c r="K246" s="201" t="str">
        <f aca="false">IF(A247="","",J246)</f>
        <v/>
      </c>
      <c r="L246" s="200" t="str">
        <f aca="false">IF($A247="","",VLOOKUP($A246,Table,MATCH(L$4,Curves,0)))</f>
        <v/>
      </c>
      <c r="M246" s="201" t="str">
        <f aca="false">IF(A247="","",L246)</f>
        <v/>
      </c>
      <c r="N246" s="203"/>
      <c r="O246" s="200" t="str">
        <f aca="false">IF(A247="","",L246+J246+G246)</f>
        <v/>
      </c>
      <c r="P246" s="200" t="str">
        <f aca="false">IF(A247="","",M246+K246+H246)</f>
        <v/>
      </c>
      <c r="Q246" s="204"/>
      <c r="R246" s="200" t="str">
        <f aca="false">IF($A247="","",VLOOKUP($A246,Table,MATCH(R$4,Curves,0)))</f>
        <v/>
      </c>
      <c r="S246" s="201" t="str">
        <f aca="false">IF(A247="","",R246)</f>
        <v/>
      </c>
      <c r="T246" s="200" t="str">
        <f aca="false">IF($A247="","",VLOOKUP($A246,Table,MATCH(T$4,Curves,0)))</f>
        <v/>
      </c>
      <c r="U246" s="201" t="str">
        <f aca="false">IF(A247="","",T246)</f>
        <v/>
      </c>
      <c r="V246" s="183" t="str">
        <f aca="false">IF($A247="","",IF(AND(MONTH(A246)&gt;3,MONTH(A246)&lt;11),(T246+R246+G246)*Summary!$T$7/(1-Summary!$T$7),(T246+R246+G246)*Summary!$U$7/(1-Summary!$U$7)))</f>
        <v/>
      </c>
      <c r="W246" s="200" t="str">
        <f aca="false">IF($A247="","",(T246+R246+G246+V246))</f>
        <v/>
      </c>
      <c r="X246" s="200" t="str">
        <f aca="false">IF($A247="","",(U246+S246+H246+V246))</f>
        <v/>
      </c>
      <c r="Y246" s="202"/>
      <c r="Z246" s="185" t="str">
        <f aca="false">IF($A247="","",VLOOKUP($A246,Table,MATCH(Z$4,Curves,0)))</f>
        <v/>
      </c>
      <c r="AA246" s="185" t="str">
        <f aca="false">IF($A247="","",VLOOKUP($A246,Table,MATCH(AA$4,Curves,0)))</f>
        <v/>
      </c>
      <c r="AB246" s="185" t="e">
        <f aca="false">SQRT((AA246^2*(A246-$D$3)+Z246^2*(DAY(EOMONTH(A246,0))/2))/AK246)</f>
        <v>#VALUE!</v>
      </c>
      <c r="AC246" s="185" t="str">
        <f aca="false">IF($A247="","",VLOOKUP($A246,Table,MATCH(AC$4,Curves,0)))</f>
        <v/>
      </c>
      <c r="AD246" s="185" t="str">
        <f aca="false">IF($A247="","",VLOOKUP($A246,Table,MATCH(AD$4,Curves,0)))</f>
        <v/>
      </c>
      <c r="AE246" s="185" t="e">
        <f aca="false">SQRT((AD246^2*(A246-$D$3)+AC246^2*(DAY(EOMONTH(A246,0))/2))/AK246)</f>
        <v>#VALUE!</v>
      </c>
      <c r="AF246" s="206" t="e">
        <f aca="false">((Summary!$N$7*(AA246*AD246)*(A246-$D$3))+(Summary!$M$7*Z246*AC246*(DAY(EOMONTH(A246,0))/2)))/(AK246*AB246*AE246)</f>
        <v>#VALUE!</v>
      </c>
      <c r="AG246" s="207" t="str">
        <f aca="false">IF($A247="","",Summary!$Q$7)</f>
        <v/>
      </c>
      <c r="AH246" s="207" t="str">
        <f aca="false">IF($A247="","",IF(Summary!$R$7="Y",(VLOOKUP($A246,Summary!$AD$6:$AF$9,3)+'Escalating commodity'!C259),'Escalating commodity'!C259))</f>
        <v/>
      </c>
      <c r="AI246" s="207" t="str">
        <f aca="false">IF($A247="","",AH246)</f>
        <v/>
      </c>
      <c r="AJ246" s="208" t="e">
        <f aca="false">A246+DAY(EOMONTH(A246,0))/2-1</f>
        <v>#VALUE!</v>
      </c>
      <c r="AK246" s="209" t="str">
        <f aca="false">IF($A247="","",$A246-$E$1)</f>
        <v/>
      </c>
      <c r="AL246" s="182" t="str">
        <f aca="false">IF($A247="","",SPRDOPT(P246,X246,AI246,0,AB246,AE246,AF246,AK246,$AJ$2,0))</f>
        <v/>
      </c>
      <c r="AM246" s="210" t="str">
        <f aca="false">IF($A247="","",MAX(0,O246-W246-AI246))</f>
        <v/>
      </c>
      <c r="AN246" s="211" t="str">
        <f aca="false">IF($A247="","",AL246-AM246)</f>
        <v/>
      </c>
      <c r="AO246" s="137" t="str">
        <f aca="false">IF(A247="","",A247-A246)</f>
        <v/>
      </c>
      <c r="AP246" s="212" t="str">
        <f aca="false">IF(A247="","",CHOOSE(F$3,A247+24,A246))</f>
        <v/>
      </c>
      <c r="AQ246" s="209" t="str">
        <f aca="false">IF(A247="","",AP246-$E$1)</f>
        <v/>
      </c>
      <c r="AR246" s="185" t="n">
        <f aca="false">IF(Summary!$H$2=1,VLOOKUP('ANR OK vs ML7'!A246,Curves!$C$17:$AR$273,MATCH('ANR OK vs ML7'!$AR$4,Curves!$C$8:$AQ$8,0)),0.1)</f>
        <v>0.1</v>
      </c>
      <c r="AS246" s="213" t="str">
        <f aca="false">IF(A247="","",1/(1+CHOOSE(F$3,(AR247+($I$3/10000))/2,(AR246+($I$3/10000))/2))^(2*AQ246/365.25))</f>
        <v/>
      </c>
      <c r="AT246" s="137" t="str">
        <f aca="false">IF(A247="","",IF(AND(mthbeg&lt;=A246,mthend&gt;=A246),1,0))</f>
        <v/>
      </c>
      <c r="AU246" s="137" t="str">
        <f aca="false">IF(A247="","",AO246*AT246)</f>
        <v/>
      </c>
      <c r="AW246" s="195" t="str">
        <f aca="false">IF($A247="","",AL246*$E246)</f>
        <v/>
      </c>
      <c r="AX246" s="195" t="str">
        <f aca="false">IF($A247="","",AM246*$E246)</f>
        <v/>
      </c>
      <c r="AY246" s="195" t="str">
        <f aca="false">IF($A247="","",AN246*$E246)</f>
        <v/>
      </c>
      <c r="BA246" s="195" t="str">
        <f aca="false">IF($A247="","",F246*Summary!$Q$7)</f>
        <v/>
      </c>
    </row>
    <row r="247" customFormat="false" ht="12" hidden="false" customHeight="true" outlineLevel="0" collapsed="false">
      <c r="A247" s="196" t="str">
        <f aca="false">IF(A246&lt;mthend,EDATE(A246,1),"")</f>
        <v/>
      </c>
      <c r="B247" s="197" t="str">
        <f aca="false">IF(A247&lt;mthend,B246,"")</f>
        <v/>
      </c>
      <c r="C247" s="215"/>
      <c r="D247" s="197" t="str">
        <f aca="false">IF(A248&lt;&gt;"",B247+C247,"")</f>
        <v/>
      </c>
      <c r="E247" s="199" t="str">
        <f aca="false">IF(A248="","",IF(AND(AT247=1,$H$3=1),D247*AO247,IF($H$3=2,D247,"N/A")))</f>
        <v/>
      </c>
      <c r="F247" s="199" t="str">
        <f aca="false">IF(A248="","",E247*AS247)</f>
        <v/>
      </c>
      <c r="G247" s="200" t="str">
        <f aca="false">IF($A248="","",VLOOKUP($A247,Table,MATCH(G$4,Curves,0)))</f>
        <v/>
      </c>
      <c r="H247" s="201" t="str">
        <f aca="false">IF(A248="","",G247)</f>
        <v/>
      </c>
      <c r="I247" s="202"/>
      <c r="J247" s="200" t="str">
        <f aca="false">IF($A248="","",VLOOKUP($A247,Table,MATCH(J$4,Curves,0)))</f>
        <v/>
      </c>
      <c r="K247" s="201" t="str">
        <f aca="false">IF(A248="","",J247)</f>
        <v/>
      </c>
      <c r="L247" s="200" t="str">
        <f aca="false">IF($A248="","",VLOOKUP($A247,Table,MATCH(L$4,Curves,0)))</f>
        <v/>
      </c>
      <c r="M247" s="201" t="str">
        <f aca="false">IF(A248="","",L247)</f>
        <v/>
      </c>
      <c r="N247" s="203"/>
      <c r="O247" s="200" t="str">
        <f aca="false">IF(A248="","",L247+J247+G247)</f>
        <v/>
      </c>
      <c r="P247" s="200" t="str">
        <f aca="false">IF(A248="","",M247+K247+H247)</f>
        <v/>
      </c>
      <c r="Q247" s="204"/>
      <c r="R247" s="200" t="str">
        <f aca="false">IF($A248="","",VLOOKUP($A247,Table,MATCH(R$4,Curves,0)))</f>
        <v/>
      </c>
      <c r="S247" s="201" t="str">
        <f aca="false">IF(A248="","",R247)</f>
        <v/>
      </c>
      <c r="T247" s="200" t="str">
        <f aca="false">IF($A248="","",VLOOKUP($A247,Table,MATCH(T$4,Curves,0)))</f>
        <v/>
      </c>
      <c r="U247" s="201" t="str">
        <f aca="false">IF(A248="","",T247)</f>
        <v/>
      </c>
      <c r="V247" s="183" t="str">
        <f aca="false">IF($A248="","",IF(AND(MONTH(A247)&gt;3,MONTH(A247)&lt;11),(T247+R247+G247)*Summary!$T$7/(1-Summary!$T$7),(T247+R247+G247)*Summary!$U$7/(1-Summary!$U$7)))</f>
        <v/>
      </c>
      <c r="W247" s="200" t="str">
        <f aca="false">IF($A248="","",(T247+R247+G247+V247))</f>
        <v/>
      </c>
      <c r="X247" s="200" t="str">
        <f aca="false">IF($A248="","",(U247+S247+H247+V247))</f>
        <v/>
      </c>
      <c r="Y247" s="202"/>
      <c r="Z247" s="185" t="str">
        <f aca="false">IF($A248="","",VLOOKUP($A247,Table,MATCH(Z$4,Curves,0)))</f>
        <v/>
      </c>
      <c r="AA247" s="185" t="str">
        <f aca="false">IF($A248="","",VLOOKUP($A247,Table,MATCH(AA$4,Curves,0)))</f>
        <v/>
      </c>
      <c r="AB247" s="185" t="e">
        <f aca="false">SQRT((AA247^2*(A247-$D$3)+Z247^2*(DAY(EOMONTH(A247,0))/2))/AK247)</f>
        <v>#VALUE!</v>
      </c>
      <c r="AC247" s="185" t="str">
        <f aca="false">IF($A248="","",VLOOKUP($A247,Table,MATCH(AC$4,Curves,0)))</f>
        <v/>
      </c>
      <c r="AD247" s="185" t="str">
        <f aca="false">IF($A248="","",VLOOKUP($A247,Table,MATCH(AD$4,Curves,0)))</f>
        <v/>
      </c>
      <c r="AE247" s="185" t="e">
        <f aca="false">SQRT((AD247^2*(A247-$D$3)+AC247^2*(DAY(EOMONTH(A247,0))/2))/AK247)</f>
        <v>#VALUE!</v>
      </c>
      <c r="AF247" s="206" t="e">
        <f aca="false">((Summary!$N$7*(AA247*AD247)*(A247-$D$3))+(Summary!$M$7*Z247*AC247*(DAY(EOMONTH(A247,0))/2)))/(AK247*AB247*AE247)</f>
        <v>#VALUE!</v>
      </c>
      <c r="AG247" s="207" t="str">
        <f aca="false">IF($A248="","",Summary!$Q$7)</f>
        <v/>
      </c>
      <c r="AH247" s="207" t="str">
        <f aca="false">IF($A248="","",IF(Summary!$R$7="Y",(VLOOKUP($A247,Summary!$AD$6:$AF$9,3)+'Escalating commodity'!C260),'Escalating commodity'!C260))</f>
        <v/>
      </c>
      <c r="AI247" s="207" t="str">
        <f aca="false">IF($A248="","",AH247)</f>
        <v/>
      </c>
      <c r="AJ247" s="208" t="e">
        <f aca="false">A247+DAY(EOMONTH(A247,0))/2-1</f>
        <v>#VALUE!</v>
      </c>
      <c r="AK247" s="209" t="str">
        <f aca="false">IF($A248="","",$A247-$E$1)</f>
        <v/>
      </c>
      <c r="AL247" s="182" t="str">
        <f aca="false">IF($A248="","",SPRDOPT(P247,X247,AI247,0,AB247,AE247,AF247,AK247,$AJ$2,0))</f>
        <v/>
      </c>
      <c r="AM247" s="210" t="str">
        <f aca="false">IF($A248="","",MAX(0,O247-W247-AI247))</f>
        <v/>
      </c>
      <c r="AN247" s="211" t="str">
        <f aca="false">IF($A248="","",AL247-AM247)</f>
        <v/>
      </c>
      <c r="AO247" s="137" t="str">
        <f aca="false">IF(A248="","",A248-A247)</f>
        <v/>
      </c>
      <c r="AP247" s="212" t="str">
        <f aca="false">IF(A248="","",CHOOSE(F$3,A248+24,A247))</f>
        <v/>
      </c>
      <c r="AQ247" s="209" t="str">
        <f aca="false">IF(A248="","",AP247-$E$1)</f>
        <v/>
      </c>
      <c r="AR247" s="185" t="n">
        <f aca="false">IF(Summary!$H$2=1,VLOOKUP('ANR OK vs ML7'!A247,Curves!$C$17:$AR$273,MATCH('ANR OK vs ML7'!$AR$4,Curves!$C$8:$AQ$8,0)),0.1)</f>
        <v>0.1</v>
      </c>
      <c r="AS247" s="213" t="str">
        <f aca="false">IF(A248="","",1/(1+CHOOSE(F$3,(AR248+($I$3/10000))/2,(AR247+($I$3/10000))/2))^(2*AQ247/365.25))</f>
        <v/>
      </c>
      <c r="AT247" s="137" t="str">
        <f aca="false">IF(A248="","",IF(AND(mthbeg&lt;=A247,mthend&gt;=A247),1,0))</f>
        <v/>
      </c>
      <c r="AU247" s="137" t="str">
        <f aca="false">IF(A248="","",AO247*AT247)</f>
        <v/>
      </c>
      <c r="AW247" s="195" t="str">
        <f aca="false">IF($A248="","",AL247*$E247)</f>
        <v/>
      </c>
      <c r="AX247" s="195" t="str">
        <f aca="false">IF($A248="","",AM247*$E247)</f>
        <v/>
      </c>
      <c r="AY247" s="195" t="str">
        <f aca="false">IF($A248="","",AN247*$E247)</f>
        <v/>
      </c>
      <c r="BA247" s="195" t="str">
        <f aca="false">IF($A248="","",F247*Summary!$Q$7)</f>
        <v/>
      </c>
    </row>
    <row r="248" customFormat="false" ht="12" hidden="false" customHeight="true" outlineLevel="0" collapsed="false">
      <c r="A248" s="196" t="str">
        <f aca="false">IF(A247&lt;mthend,EDATE(A247,1),"")</f>
        <v/>
      </c>
      <c r="B248" s="197" t="str">
        <f aca="false">IF(A248&lt;mthend,B247,"")</f>
        <v/>
      </c>
      <c r="C248" s="215"/>
      <c r="D248" s="197" t="str">
        <f aca="false">IF(A249&lt;&gt;"",B248+C248,"")</f>
        <v/>
      </c>
      <c r="E248" s="199" t="str">
        <f aca="false">IF(A249="","",IF(AND(AT248=1,$H$3=1),D248*AO248,IF($H$3=2,D248,"N/A")))</f>
        <v/>
      </c>
      <c r="F248" s="199" t="str">
        <f aca="false">IF(A249="","",E248*AS248)</f>
        <v/>
      </c>
      <c r="G248" s="200" t="str">
        <f aca="false">IF($A249="","",VLOOKUP($A248,Table,MATCH(G$4,Curves,0)))</f>
        <v/>
      </c>
      <c r="H248" s="201" t="str">
        <f aca="false">IF(A249="","",G248)</f>
        <v/>
      </c>
      <c r="I248" s="202"/>
      <c r="J248" s="200" t="str">
        <f aca="false">IF($A249="","",VLOOKUP($A248,Table,MATCH(J$4,Curves,0)))</f>
        <v/>
      </c>
      <c r="K248" s="201" t="str">
        <f aca="false">IF(A249="","",J248)</f>
        <v/>
      </c>
      <c r="L248" s="200" t="str">
        <f aca="false">IF($A249="","",VLOOKUP($A248,Table,MATCH(L$4,Curves,0)))</f>
        <v/>
      </c>
      <c r="M248" s="201" t="str">
        <f aca="false">IF(A249="","",L248)</f>
        <v/>
      </c>
      <c r="N248" s="203"/>
      <c r="O248" s="200" t="str">
        <f aca="false">IF(A249="","",L248+J248+G248)</f>
        <v/>
      </c>
      <c r="P248" s="200" t="str">
        <f aca="false">IF(A249="","",M248+K248+H248)</f>
        <v/>
      </c>
      <c r="Q248" s="204"/>
      <c r="R248" s="200" t="str">
        <f aca="false">IF($A249="","",VLOOKUP($A248,Table,MATCH(R$4,Curves,0)))</f>
        <v/>
      </c>
      <c r="S248" s="201" t="str">
        <f aca="false">IF(A249="","",R248)</f>
        <v/>
      </c>
      <c r="T248" s="200" t="str">
        <f aca="false">IF($A249="","",VLOOKUP($A248,Table,MATCH(T$4,Curves,0)))</f>
        <v/>
      </c>
      <c r="U248" s="201" t="str">
        <f aca="false">IF(A249="","",T248)</f>
        <v/>
      </c>
      <c r="V248" s="183" t="str">
        <f aca="false">IF($A249="","",IF(AND(MONTH(A248)&gt;3,MONTH(A248)&lt;11),(T248+R248+G248)*Summary!$T$7/(1-Summary!$T$7),(T248+R248+G248)*Summary!$U$7/(1-Summary!$U$7)))</f>
        <v/>
      </c>
      <c r="W248" s="200" t="str">
        <f aca="false">IF($A249="","",(T248+R248+G248+V248))</f>
        <v/>
      </c>
      <c r="X248" s="200" t="str">
        <f aca="false">IF($A249="","",(U248+S248+H248+V248))</f>
        <v/>
      </c>
      <c r="Y248" s="202"/>
      <c r="Z248" s="185" t="str">
        <f aca="false">IF($A249="","",VLOOKUP($A248,Table,MATCH(Z$4,Curves,0)))</f>
        <v/>
      </c>
      <c r="AA248" s="185" t="str">
        <f aca="false">IF($A249="","",VLOOKUP($A248,Table,MATCH(AA$4,Curves,0)))</f>
        <v/>
      </c>
      <c r="AB248" s="185" t="e">
        <f aca="false">SQRT((AA248^2*(A248-$D$3)+Z248^2*(DAY(EOMONTH(A248,0))/2))/AK248)</f>
        <v>#VALUE!</v>
      </c>
      <c r="AC248" s="185" t="str">
        <f aca="false">IF($A249="","",VLOOKUP($A248,Table,MATCH(AC$4,Curves,0)))</f>
        <v/>
      </c>
      <c r="AD248" s="185" t="str">
        <f aca="false">IF($A249="","",VLOOKUP($A248,Table,MATCH(AD$4,Curves,0)))</f>
        <v/>
      </c>
      <c r="AE248" s="185" t="e">
        <f aca="false">SQRT((AD248^2*(A248-$D$3)+AC248^2*(DAY(EOMONTH(A248,0))/2))/AK248)</f>
        <v>#VALUE!</v>
      </c>
      <c r="AF248" s="206" t="e">
        <f aca="false">((Summary!$N$7*(AA248*AD248)*(A248-$D$3))+(Summary!$M$7*Z248*AC248*(DAY(EOMONTH(A248,0))/2)))/(AK248*AB248*AE248)</f>
        <v>#VALUE!</v>
      </c>
      <c r="AG248" s="207" t="str">
        <f aca="false">IF($A249="","",Summary!$Q$7)</f>
        <v/>
      </c>
      <c r="AH248" s="207" t="str">
        <f aca="false">IF($A249="","",IF(Summary!$R$7="Y",(VLOOKUP($A248,Summary!$AD$6:$AF$9,3)+'Escalating commodity'!C261),'Escalating commodity'!C261))</f>
        <v/>
      </c>
      <c r="AI248" s="207" t="str">
        <f aca="false">IF($A249="","",AH248)</f>
        <v/>
      </c>
      <c r="AJ248" s="208" t="e">
        <f aca="false">A248+DAY(EOMONTH(A248,0))/2-1</f>
        <v>#VALUE!</v>
      </c>
      <c r="AK248" s="209" t="str">
        <f aca="false">IF($A249="","",$A248-$E$1)</f>
        <v/>
      </c>
      <c r="AL248" s="182" t="str">
        <f aca="false">IF($A249="","",SPRDOPT(P248,X248,AI248,0,AB248,AE248,AF248,AK248,$AJ$2,0))</f>
        <v/>
      </c>
      <c r="AM248" s="210" t="str">
        <f aca="false">IF($A249="","",MAX(0,O248-W248-AI248))</f>
        <v/>
      </c>
      <c r="AN248" s="211" t="str">
        <f aca="false">IF($A249="","",AL248-AM248)</f>
        <v/>
      </c>
      <c r="AO248" s="137" t="str">
        <f aca="false">IF(A249="","",A249-A248)</f>
        <v/>
      </c>
      <c r="AP248" s="212" t="str">
        <f aca="false">IF(A249="","",CHOOSE(F$3,A249+24,A248))</f>
        <v/>
      </c>
      <c r="AQ248" s="209" t="str">
        <f aca="false">IF(A249="","",AP248-$E$1)</f>
        <v/>
      </c>
      <c r="AR248" s="185" t="n">
        <f aca="false">IF(Summary!$H$2=1,VLOOKUP('ANR OK vs ML7'!A248,Curves!$C$17:$AR$273,MATCH('ANR OK vs ML7'!$AR$4,Curves!$C$8:$AQ$8,0)),0.1)</f>
        <v>0.1</v>
      </c>
      <c r="AS248" s="213" t="str">
        <f aca="false">IF(A249="","",1/(1+CHOOSE(F$3,(AR249+($I$3/10000))/2,(AR248+($I$3/10000))/2))^(2*AQ248/365.25))</f>
        <v/>
      </c>
      <c r="AT248" s="137" t="str">
        <f aca="false">IF(A249="","",IF(AND(mthbeg&lt;=A248,mthend&gt;=A248),1,0))</f>
        <v/>
      </c>
      <c r="AU248" s="137" t="str">
        <f aca="false">IF(A249="","",AO248*AT248)</f>
        <v/>
      </c>
      <c r="AW248" s="195" t="str">
        <f aca="false">IF($A249="","",AL248*$E248)</f>
        <v/>
      </c>
      <c r="AX248" s="195" t="str">
        <f aca="false">IF($A249="","",AM248*$E248)</f>
        <v/>
      </c>
      <c r="AY248" s="195" t="str">
        <f aca="false">IF($A249="","",AN248*$E248)</f>
        <v/>
      </c>
      <c r="BA248" s="195" t="str">
        <f aca="false">IF($A249="","",F248*Summary!$Q$7)</f>
        <v/>
      </c>
    </row>
    <row r="249" customFormat="false" ht="12" hidden="false" customHeight="true" outlineLevel="0" collapsed="false">
      <c r="A249" s="196" t="str">
        <f aca="false">IF(A248&lt;mthend,EDATE(A248,1),"")</f>
        <v/>
      </c>
      <c r="B249" s="197" t="str">
        <f aca="false">IF(A249&lt;mthend,B248,"")</f>
        <v/>
      </c>
      <c r="C249" s="215"/>
      <c r="D249" s="197" t="str">
        <f aca="false">IF(A250&lt;&gt;"",B249+C249,"")</f>
        <v/>
      </c>
      <c r="E249" s="199" t="str">
        <f aca="false">IF(A250="","",IF(AND(AT249=1,$H$3=1),D249*AO249,IF($H$3=2,D249,"N/A")))</f>
        <v/>
      </c>
      <c r="F249" s="199" t="str">
        <f aca="false">IF(A250="","",E249*AS249)</f>
        <v/>
      </c>
      <c r="G249" s="200" t="str">
        <f aca="false">IF($A250="","",VLOOKUP($A249,Table,MATCH(G$4,Curves,0)))</f>
        <v/>
      </c>
      <c r="H249" s="201" t="str">
        <f aca="false">IF(A250="","",G249)</f>
        <v/>
      </c>
      <c r="I249" s="202"/>
      <c r="J249" s="200" t="str">
        <f aca="false">IF($A250="","",VLOOKUP($A249,Table,MATCH(J$4,Curves,0)))</f>
        <v/>
      </c>
      <c r="K249" s="201" t="str">
        <f aca="false">IF(A250="","",J249)</f>
        <v/>
      </c>
      <c r="L249" s="200" t="str">
        <f aca="false">IF($A250="","",VLOOKUP($A249,Table,MATCH(L$4,Curves,0)))</f>
        <v/>
      </c>
      <c r="M249" s="201" t="str">
        <f aca="false">IF(A250="","",L249)</f>
        <v/>
      </c>
      <c r="N249" s="203"/>
      <c r="O249" s="200" t="str">
        <f aca="false">IF(A250="","",L249+J249+G249)</f>
        <v/>
      </c>
      <c r="P249" s="200" t="str">
        <f aca="false">IF(A250="","",M249+K249+H249)</f>
        <v/>
      </c>
      <c r="Q249" s="204"/>
      <c r="R249" s="200" t="str">
        <f aca="false">IF($A250="","",VLOOKUP($A249,Table,MATCH(R$4,Curves,0)))</f>
        <v/>
      </c>
      <c r="S249" s="201" t="str">
        <f aca="false">IF(A250="","",R249)</f>
        <v/>
      </c>
      <c r="T249" s="200" t="str">
        <f aca="false">IF($A250="","",VLOOKUP($A249,Table,MATCH(T$4,Curves,0)))</f>
        <v/>
      </c>
      <c r="U249" s="201" t="str">
        <f aca="false">IF(A250="","",T249)</f>
        <v/>
      </c>
      <c r="V249" s="183" t="str">
        <f aca="false">IF($A250="","",IF(AND(MONTH(A249)&gt;3,MONTH(A249)&lt;11),(T249+R249+G249)*Summary!$T$7/(1-Summary!$T$7),(T249+R249+G249)*Summary!$U$7/(1-Summary!$U$7)))</f>
        <v/>
      </c>
      <c r="W249" s="200" t="str">
        <f aca="false">IF($A250="","",(T249+R249+G249+V249))</f>
        <v/>
      </c>
      <c r="X249" s="200" t="str">
        <f aca="false">IF($A250="","",(U249+S249+H249+V249))</f>
        <v/>
      </c>
      <c r="Y249" s="202"/>
      <c r="Z249" s="185" t="str">
        <f aca="false">IF($A250="","",VLOOKUP($A249,Table,MATCH(Z$4,Curves,0)))</f>
        <v/>
      </c>
      <c r="AA249" s="185" t="str">
        <f aca="false">IF($A250="","",VLOOKUP($A249,Table,MATCH(AA$4,Curves,0)))</f>
        <v/>
      </c>
      <c r="AB249" s="185" t="e">
        <f aca="false">SQRT((AA249^2*(A249-$D$3)+Z249^2*(DAY(EOMONTH(A249,0))/2))/AK249)</f>
        <v>#VALUE!</v>
      </c>
      <c r="AC249" s="185" t="str">
        <f aca="false">IF($A250="","",VLOOKUP($A249,Table,MATCH(AC$4,Curves,0)))</f>
        <v/>
      </c>
      <c r="AD249" s="185" t="str">
        <f aca="false">IF($A250="","",VLOOKUP($A249,Table,MATCH(AD$4,Curves,0)))</f>
        <v/>
      </c>
      <c r="AE249" s="185" t="e">
        <f aca="false">SQRT((AD249^2*(A249-$D$3)+AC249^2*(DAY(EOMONTH(A249,0))/2))/AK249)</f>
        <v>#VALUE!</v>
      </c>
      <c r="AF249" s="206" t="e">
        <f aca="false">((Summary!$N$7*(AA249*AD249)*(A249-$D$3))+(Summary!$M$7*Z249*AC249*(DAY(EOMONTH(A249,0))/2)))/(AK249*AB249*AE249)</f>
        <v>#VALUE!</v>
      </c>
      <c r="AG249" s="207" t="str">
        <f aca="false">IF($A250="","",Summary!$Q$7)</f>
        <v/>
      </c>
      <c r="AH249" s="207" t="str">
        <f aca="false">IF($A250="","",IF(Summary!$R$7="Y",(VLOOKUP($A249,Summary!$AD$6:$AF$9,3)+'Escalating commodity'!C262),'Escalating commodity'!C262))</f>
        <v/>
      </c>
      <c r="AI249" s="207" t="str">
        <f aca="false">IF($A250="","",AH249)</f>
        <v/>
      </c>
      <c r="AJ249" s="208" t="e">
        <f aca="false">A249+DAY(EOMONTH(A249,0))/2-1</f>
        <v>#VALUE!</v>
      </c>
      <c r="AK249" s="209" t="str">
        <f aca="false">IF($A250="","",$A249-$E$1)</f>
        <v/>
      </c>
      <c r="AL249" s="182" t="str">
        <f aca="false">IF($A250="","",SPRDOPT(P249,X249,AI249,0,AB249,AE249,AF249,AK249,$AJ$2,0))</f>
        <v/>
      </c>
      <c r="AM249" s="210" t="str">
        <f aca="false">IF($A250="","",MAX(0,O249-W249-AI249))</f>
        <v/>
      </c>
      <c r="AN249" s="211" t="str">
        <f aca="false">IF($A250="","",AL249-AM249)</f>
        <v/>
      </c>
      <c r="AO249" s="137" t="str">
        <f aca="false">IF(A250="","",A250-A249)</f>
        <v/>
      </c>
      <c r="AP249" s="212" t="str">
        <f aca="false">IF(A250="","",CHOOSE(F$3,A250+24,A249))</f>
        <v/>
      </c>
      <c r="AQ249" s="209" t="str">
        <f aca="false">IF(A250="","",AP249-$E$1)</f>
        <v/>
      </c>
      <c r="AR249" s="185" t="n">
        <f aca="false">IF(Summary!$H$2=1,VLOOKUP('ANR OK vs ML7'!A249,Curves!$C$17:$AR$273,MATCH('ANR OK vs ML7'!$AR$4,Curves!$C$8:$AQ$8,0)),0.1)</f>
        <v>0.1</v>
      </c>
      <c r="AS249" s="213" t="str">
        <f aca="false">IF(A250="","",1/(1+CHOOSE(F$3,(AR250+($I$3/10000))/2,(AR249+($I$3/10000))/2))^(2*AQ249/365.25))</f>
        <v/>
      </c>
      <c r="AT249" s="137" t="str">
        <f aca="false">IF(A250="","",IF(AND(mthbeg&lt;=A249,mthend&gt;=A249),1,0))</f>
        <v/>
      </c>
      <c r="AU249" s="137" t="str">
        <f aca="false">IF(A250="","",AO249*AT249)</f>
        <v/>
      </c>
      <c r="AW249" s="195" t="str">
        <f aca="false">IF($A250="","",AL249*$E249)</f>
        <v/>
      </c>
      <c r="AX249" s="195" t="str">
        <f aca="false">IF($A250="","",AM249*$E249)</f>
        <v/>
      </c>
      <c r="AY249" s="195" t="str">
        <f aca="false">IF($A250="","",AN249*$E249)</f>
        <v/>
      </c>
      <c r="BA249" s="195" t="str">
        <f aca="false">IF($A250="","",F249*Summary!$Q$7)</f>
        <v/>
      </c>
    </row>
    <row r="250" customFormat="false" ht="12" hidden="false" customHeight="true" outlineLevel="0" collapsed="false">
      <c r="A250" s="196" t="str">
        <f aca="false">IF(A249&lt;mthend,EDATE(A249,1),"")</f>
        <v/>
      </c>
      <c r="B250" s="197" t="str">
        <f aca="false">IF(A250&lt;mthend,B249,"")</f>
        <v/>
      </c>
      <c r="C250" s="215"/>
      <c r="D250" s="197" t="str">
        <f aca="false">IF(A251&lt;&gt;"",B250+C250,"")</f>
        <v/>
      </c>
      <c r="E250" s="199" t="str">
        <f aca="false">IF(A251="","",IF(AND(AT250=1,$H$3=1),D250*AO250,IF($H$3=2,D250,"N/A")))</f>
        <v/>
      </c>
      <c r="F250" s="199" t="str">
        <f aca="false">IF(A251="","",E250*AS250)</f>
        <v/>
      </c>
      <c r="G250" s="200" t="str">
        <f aca="false">IF($A251="","",VLOOKUP($A250,Table,MATCH(G$4,Curves,0)))</f>
        <v/>
      </c>
      <c r="H250" s="201" t="str">
        <f aca="false">IF(A251="","",G250)</f>
        <v/>
      </c>
      <c r="I250" s="202"/>
      <c r="J250" s="200" t="str">
        <f aca="false">IF($A251="","",VLOOKUP($A250,Table,MATCH(J$4,Curves,0)))</f>
        <v/>
      </c>
      <c r="K250" s="201" t="str">
        <f aca="false">IF(A251="","",J250)</f>
        <v/>
      </c>
      <c r="L250" s="200" t="str">
        <f aca="false">IF($A251="","",VLOOKUP($A250,Table,MATCH(L$4,Curves,0)))</f>
        <v/>
      </c>
      <c r="M250" s="201" t="str">
        <f aca="false">IF(A251="","",L250)</f>
        <v/>
      </c>
      <c r="N250" s="203"/>
      <c r="O250" s="200" t="str">
        <f aca="false">IF(A251="","",L250+J250+G250)</f>
        <v/>
      </c>
      <c r="P250" s="200" t="str">
        <f aca="false">IF(A251="","",M250+K250+H250)</f>
        <v/>
      </c>
      <c r="Q250" s="204"/>
      <c r="R250" s="200" t="str">
        <f aca="false">IF($A251="","",VLOOKUP($A250,Table,MATCH(R$4,Curves,0)))</f>
        <v/>
      </c>
      <c r="S250" s="201" t="str">
        <f aca="false">IF(A251="","",R250)</f>
        <v/>
      </c>
      <c r="T250" s="200" t="str">
        <f aca="false">IF($A251="","",VLOOKUP($A250,Table,MATCH(T$4,Curves,0)))</f>
        <v/>
      </c>
      <c r="U250" s="201" t="str">
        <f aca="false">IF(A251="","",T250)</f>
        <v/>
      </c>
      <c r="V250" s="183" t="str">
        <f aca="false">IF($A251="","",IF(AND(MONTH(A250)&gt;3,MONTH(A250)&lt;11),(T250+R250+G250)*Summary!$T$7/(1-Summary!$T$7),(T250+R250+G250)*Summary!$U$7/(1-Summary!$U$7)))</f>
        <v/>
      </c>
      <c r="W250" s="200" t="str">
        <f aca="false">IF($A251="","",(T250+R250+G250+V250))</f>
        <v/>
      </c>
      <c r="X250" s="200" t="str">
        <f aca="false">IF($A251="","",(U250+S250+H250+V250))</f>
        <v/>
      </c>
      <c r="Y250" s="202"/>
      <c r="Z250" s="185" t="str">
        <f aca="false">IF($A251="","",VLOOKUP($A250,Table,MATCH(Z$4,Curves,0)))</f>
        <v/>
      </c>
      <c r="AA250" s="185" t="str">
        <f aca="false">IF($A251="","",VLOOKUP($A250,Table,MATCH(AA$4,Curves,0)))</f>
        <v/>
      </c>
      <c r="AB250" s="185" t="e">
        <f aca="false">SQRT((AA250^2*(A250-$D$3)+Z250^2*(DAY(EOMONTH(A250,0))/2))/AK250)</f>
        <v>#VALUE!</v>
      </c>
      <c r="AC250" s="185" t="str">
        <f aca="false">IF($A251="","",VLOOKUP($A250,Table,MATCH(AC$4,Curves,0)))</f>
        <v/>
      </c>
      <c r="AD250" s="185" t="str">
        <f aca="false">IF($A251="","",VLOOKUP($A250,Table,MATCH(AD$4,Curves,0)))</f>
        <v/>
      </c>
      <c r="AE250" s="185" t="e">
        <f aca="false">SQRT((AD250^2*(A250-$D$3)+AC250^2*(DAY(EOMONTH(A250,0))/2))/AK250)</f>
        <v>#VALUE!</v>
      </c>
      <c r="AF250" s="206" t="e">
        <f aca="false">((Summary!$N$7*(AA250*AD250)*(A250-$D$3))+(Summary!$M$7*Z250*AC250*(DAY(EOMONTH(A250,0))/2)))/(AK250*AB250*AE250)</f>
        <v>#VALUE!</v>
      </c>
      <c r="AG250" s="207" t="str">
        <f aca="false">IF($A251="","",Summary!$Q$7)</f>
        <v/>
      </c>
      <c r="AH250" s="207" t="str">
        <f aca="false">IF($A251="","",IF(Summary!$R$7="Y",(VLOOKUP($A250,Summary!$AD$6:$AF$9,3)+'Escalating commodity'!C263),'Escalating commodity'!C263))</f>
        <v/>
      </c>
      <c r="AI250" s="207" t="str">
        <f aca="false">IF($A251="","",AH250)</f>
        <v/>
      </c>
      <c r="AJ250" s="208" t="e">
        <f aca="false">A250+DAY(EOMONTH(A250,0))/2-1</f>
        <v>#VALUE!</v>
      </c>
      <c r="AK250" s="209" t="str">
        <f aca="false">IF($A251="","",$A250-$E$1)</f>
        <v/>
      </c>
      <c r="AL250" s="182" t="str">
        <f aca="false">IF($A251="","",SPRDOPT(P250,X250,AI250,0,AB250,AE250,AF250,AK250,$AJ$2,0))</f>
        <v/>
      </c>
      <c r="AM250" s="210" t="str">
        <f aca="false">IF($A251="","",MAX(0,O250-W250-AI250))</f>
        <v/>
      </c>
      <c r="AN250" s="211" t="str">
        <f aca="false">IF($A251="","",AL250-AM250)</f>
        <v/>
      </c>
      <c r="AO250" s="137" t="str">
        <f aca="false">IF(A251="","",A251-A250)</f>
        <v/>
      </c>
      <c r="AP250" s="212" t="str">
        <f aca="false">IF(A251="","",CHOOSE(F$3,A251+24,A250))</f>
        <v/>
      </c>
      <c r="AQ250" s="209" t="str">
        <f aca="false">IF(A251="","",AP250-$E$1)</f>
        <v/>
      </c>
      <c r="AR250" s="185" t="n">
        <f aca="false">IF(Summary!$H$2=1,VLOOKUP('ANR OK vs ML7'!A250,Curves!$C$17:$AR$273,MATCH('ANR OK vs ML7'!$AR$4,Curves!$C$8:$AQ$8,0)),0.1)</f>
        <v>0.1</v>
      </c>
      <c r="AS250" s="213" t="str">
        <f aca="false">IF(A251="","",1/(1+CHOOSE(F$3,(AR251+($I$3/10000))/2,(AR250+($I$3/10000))/2))^(2*AQ250/365.25))</f>
        <v/>
      </c>
      <c r="AT250" s="137" t="str">
        <f aca="false">IF(A251="","",IF(AND(mthbeg&lt;=A250,mthend&gt;=A250),1,0))</f>
        <v/>
      </c>
      <c r="AU250" s="137" t="str">
        <f aca="false">IF(A251="","",AO250*AT250)</f>
        <v/>
      </c>
      <c r="AW250" s="195" t="str">
        <f aca="false">IF($A251="","",AL250*$E250)</f>
        <v/>
      </c>
      <c r="AX250" s="195" t="str">
        <f aca="false">IF($A251="","",AM250*$E250)</f>
        <v/>
      </c>
      <c r="AY250" s="195" t="str">
        <f aca="false">IF($A251="","",AN250*$E250)</f>
        <v/>
      </c>
      <c r="BA250" s="195" t="str">
        <f aca="false">IF($A251="","",F250*Summary!$Q$7)</f>
        <v/>
      </c>
    </row>
    <row r="251" customFormat="false" ht="12" hidden="false" customHeight="true" outlineLevel="0" collapsed="false">
      <c r="A251" s="196" t="str">
        <f aca="false">IF(A250&lt;mthend,EDATE(A250,1),"")</f>
        <v/>
      </c>
      <c r="B251" s="197" t="str">
        <f aca="false">IF(A251&lt;mthend,B250,"")</f>
        <v/>
      </c>
      <c r="C251" s="215"/>
      <c r="D251" s="197" t="str">
        <f aca="false">IF(A252&lt;&gt;"",B251+C251,"")</f>
        <v/>
      </c>
      <c r="E251" s="199" t="str">
        <f aca="false">IF(A252="","",IF(AND(AT251=1,$H$3=1),D251*AO251,IF($H$3=2,D251,"N/A")))</f>
        <v/>
      </c>
      <c r="F251" s="199" t="str">
        <f aca="false">IF(A252="","",E251*AS251)</f>
        <v/>
      </c>
      <c r="G251" s="200" t="str">
        <f aca="false">IF($A252="","",VLOOKUP($A251,Table,MATCH(G$4,Curves,0)))</f>
        <v/>
      </c>
      <c r="H251" s="201" t="str">
        <f aca="false">IF(A252="","",G251)</f>
        <v/>
      </c>
      <c r="I251" s="202"/>
      <c r="J251" s="200" t="str">
        <f aca="false">IF($A252="","",VLOOKUP($A251,Table,MATCH(J$4,Curves,0)))</f>
        <v/>
      </c>
      <c r="K251" s="201" t="str">
        <f aca="false">IF(A252="","",J251)</f>
        <v/>
      </c>
      <c r="L251" s="200" t="str">
        <f aca="false">IF($A252="","",VLOOKUP($A251,Table,MATCH(L$4,Curves,0)))</f>
        <v/>
      </c>
      <c r="M251" s="201" t="str">
        <f aca="false">IF(A252="","",L251)</f>
        <v/>
      </c>
      <c r="N251" s="203"/>
      <c r="O251" s="200" t="str">
        <f aca="false">IF(A252="","",L251+J251+G251)</f>
        <v/>
      </c>
      <c r="P251" s="200" t="str">
        <f aca="false">IF(A252="","",M251+K251+H251)</f>
        <v/>
      </c>
      <c r="Q251" s="204"/>
      <c r="R251" s="200" t="str">
        <f aca="false">IF($A252="","",VLOOKUP($A251,Table,MATCH(R$4,Curves,0)))</f>
        <v/>
      </c>
      <c r="S251" s="201" t="str">
        <f aca="false">IF(A252="","",R251)</f>
        <v/>
      </c>
      <c r="T251" s="200" t="str">
        <f aca="false">IF($A252="","",VLOOKUP($A251,Table,MATCH(T$4,Curves,0)))</f>
        <v/>
      </c>
      <c r="U251" s="201" t="str">
        <f aca="false">IF(A252="","",T251)</f>
        <v/>
      </c>
      <c r="V251" s="183" t="str">
        <f aca="false">IF($A252="","",IF(AND(MONTH(A251)&gt;3,MONTH(A251)&lt;11),(T251+R251+G251)*Summary!$T$7/(1-Summary!$T$7),(T251+R251+G251)*Summary!$U$7/(1-Summary!$U$7)))</f>
        <v/>
      </c>
      <c r="W251" s="200" t="str">
        <f aca="false">IF($A252="","",(T251+R251+G251+V251))</f>
        <v/>
      </c>
      <c r="X251" s="200" t="str">
        <f aca="false">IF($A252="","",(U251+S251+H251+V251))</f>
        <v/>
      </c>
      <c r="Y251" s="202"/>
      <c r="Z251" s="185" t="str">
        <f aca="false">IF($A252="","",VLOOKUP($A251,Table,MATCH(Z$4,Curves,0)))</f>
        <v/>
      </c>
      <c r="AA251" s="185" t="str">
        <f aca="false">IF($A252="","",VLOOKUP($A251,Table,MATCH(AA$4,Curves,0)))</f>
        <v/>
      </c>
      <c r="AB251" s="185" t="e">
        <f aca="false">SQRT((AA251^2*(A251-$D$3)+Z251^2*(DAY(EOMONTH(A251,0))/2))/AK251)</f>
        <v>#VALUE!</v>
      </c>
      <c r="AC251" s="185" t="str">
        <f aca="false">IF($A252="","",VLOOKUP($A251,Table,MATCH(AC$4,Curves,0)))</f>
        <v/>
      </c>
      <c r="AD251" s="185" t="str">
        <f aca="false">IF($A252="","",VLOOKUP($A251,Table,MATCH(AD$4,Curves,0)))</f>
        <v/>
      </c>
      <c r="AE251" s="185" t="e">
        <f aca="false">SQRT((AD251^2*(A251-$D$3)+AC251^2*(DAY(EOMONTH(A251,0))/2))/AK251)</f>
        <v>#VALUE!</v>
      </c>
      <c r="AF251" s="206" t="e">
        <f aca="false">((Summary!$N$7*(AA251*AD251)*(A251-$D$3))+(Summary!$M$7*Z251*AC251*(DAY(EOMONTH(A251,0))/2)))/(AK251*AB251*AE251)</f>
        <v>#VALUE!</v>
      </c>
      <c r="AG251" s="207" t="str">
        <f aca="false">IF($A252="","",Summary!$Q$7)</f>
        <v/>
      </c>
      <c r="AH251" s="207" t="str">
        <f aca="false">IF($A252="","",IF(Summary!$R$7="Y",(VLOOKUP($A251,Summary!$AD$6:$AF$9,3)+'Escalating commodity'!C264),'Escalating commodity'!C264))</f>
        <v/>
      </c>
      <c r="AI251" s="207" t="str">
        <f aca="false">IF($A252="","",AH251)</f>
        <v/>
      </c>
      <c r="AJ251" s="208" t="e">
        <f aca="false">A251+DAY(EOMONTH(A251,0))/2-1</f>
        <v>#VALUE!</v>
      </c>
      <c r="AK251" s="209" t="str">
        <f aca="false">IF($A252="","",$A251-$E$1)</f>
        <v/>
      </c>
      <c r="AL251" s="182" t="str">
        <f aca="false">IF($A252="","",SPRDOPT(P251,X251,AI251,0,AB251,AE251,AF251,AK251,$AJ$2,0))</f>
        <v/>
      </c>
      <c r="AM251" s="210" t="str">
        <f aca="false">IF($A252="","",MAX(0,O251-W251-AI251))</f>
        <v/>
      </c>
      <c r="AN251" s="211" t="str">
        <f aca="false">IF($A252="","",AL251-AM251)</f>
        <v/>
      </c>
      <c r="AO251" s="137" t="str">
        <f aca="false">IF(A252="","",A252-A251)</f>
        <v/>
      </c>
      <c r="AP251" s="212" t="str">
        <f aca="false">IF(A252="","",CHOOSE(F$3,A252+24,A251))</f>
        <v/>
      </c>
      <c r="AQ251" s="209" t="str">
        <f aca="false">IF(A252="","",AP251-$E$1)</f>
        <v/>
      </c>
      <c r="AR251" s="185" t="n">
        <f aca="false">IF(Summary!$H$2=1,VLOOKUP('ANR OK vs ML7'!A251,Curves!$C$17:$AR$273,MATCH('ANR OK vs ML7'!$AR$4,Curves!$C$8:$AQ$8,0)),0.1)</f>
        <v>0.1</v>
      </c>
      <c r="AS251" s="213" t="str">
        <f aca="false">IF(A252="","",1/(1+CHOOSE(F$3,(AR252+($I$3/10000))/2,(AR251+($I$3/10000))/2))^(2*AQ251/365.25))</f>
        <v/>
      </c>
      <c r="AT251" s="137" t="str">
        <f aca="false">IF(A252="","",IF(AND(mthbeg&lt;=A251,mthend&gt;=A251),1,0))</f>
        <v/>
      </c>
      <c r="AU251" s="137" t="str">
        <f aca="false">IF(A252="","",AO251*AT251)</f>
        <v/>
      </c>
      <c r="AW251" s="195" t="str">
        <f aca="false">IF($A252="","",AL251*$E251)</f>
        <v/>
      </c>
      <c r="AX251" s="195" t="str">
        <f aca="false">IF($A252="","",AM251*$E251)</f>
        <v/>
      </c>
      <c r="AY251" s="195" t="str">
        <f aca="false">IF($A252="","",AN251*$E251)</f>
        <v/>
      </c>
      <c r="BA251" s="195" t="str">
        <f aca="false">IF($A252="","",F251*Summary!$Q$7)</f>
        <v/>
      </c>
    </row>
    <row r="252" customFormat="false" ht="12" hidden="false" customHeight="true" outlineLevel="0" collapsed="false">
      <c r="A252" s="196" t="str">
        <f aca="false">IF(A251&lt;mthend,EDATE(A251,1),"")</f>
        <v/>
      </c>
      <c r="B252" s="197" t="str">
        <f aca="false">IF(A252&lt;mthend,B251,"")</f>
        <v/>
      </c>
      <c r="C252" s="215"/>
      <c r="D252" s="197" t="str">
        <f aca="false">IF(A253&lt;&gt;"",B252+C252,"")</f>
        <v/>
      </c>
      <c r="E252" s="199" t="str">
        <f aca="false">IF(A253="","",IF(AND(AT252=1,$H$3=1),D252*AO252,IF($H$3=2,D252,"N/A")))</f>
        <v/>
      </c>
      <c r="F252" s="199" t="str">
        <f aca="false">IF(A253="","",E252*AS252)</f>
        <v/>
      </c>
      <c r="G252" s="200" t="str">
        <f aca="false">IF($A253="","",VLOOKUP($A252,Table,MATCH(G$4,Curves,0)))</f>
        <v/>
      </c>
      <c r="H252" s="201" t="str">
        <f aca="false">IF(A253="","",G252)</f>
        <v/>
      </c>
      <c r="I252" s="202"/>
      <c r="J252" s="200" t="str">
        <f aca="false">IF($A253="","",VLOOKUP($A252,Table,MATCH(J$4,Curves,0)))</f>
        <v/>
      </c>
      <c r="K252" s="201" t="str">
        <f aca="false">IF(A253="","",J252)</f>
        <v/>
      </c>
      <c r="L252" s="200" t="str">
        <f aca="false">IF($A253="","",VLOOKUP($A252,Table,MATCH(L$4,Curves,0)))</f>
        <v/>
      </c>
      <c r="M252" s="201" t="str">
        <f aca="false">IF(A253="","",L252)</f>
        <v/>
      </c>
      <c r="N252" s="203"/>
      <c r="O252" s="200" t="str">
        <f aca="false">IF(A253="","",L252+J252+G252)</f>
        <v/>
      </c>
      <c r="P252" s="200" t="str">
        <f aca="false">IF(A253="","",M252+K252+H252)</f>
        <v/>
      </c>
      <c r="Q252" s="204"/>
      <c r="R252" s="200" t="str">
        <f aca="false">IF($A253="","",VLOOKUP($A252,Table,MATCH(R$4,Curves,0)))</f>
        <v/>
      </c>
      <c r="S252" s="201" t="str">
        <f aca="false">IF(A253="","",R252)</f>
        <v/>
      </c>
      <c r="T252" s="200" t="str">
        <f aca="false">IF($A253="","",VLOOKUP($A252,Table,MATCH(T$4,Curves,0)))</f>
        <v/>
      </c>
      <c r="U252" s="201" t="str">
        <f aca="false">IF(A253="","",T252)</f>
        <v/>
      </c>
      <c r="V252" s="183" t="str">
        <f aca="false">IF($A253="","",IF(AND(MONTH(A252)&gt;3,MONTH(A252)&lt;11),(T252+R252+G252)*Summary!$T$7/(1-Summary!$T$7),(T252+R252+G252)*Summary!$U$7/(1-Summary!$U$7)))</f>
        <v/>
      </c>
      <c r="W252" s="200" t="str">
        <f aca="false">IF($A253="","",(T252+R252+G252+V252))</f>
        <v/>
      </c>
      <c r="X252" s="200" t="str">
        <f aca="false">IF($A253="","",(U252+S252+H252+V252))</f>
        <v/>
      </c>
      <c r="Y252" s="202"/>
      <c r="Z252" s="185" t="str">
        <f aca="false">IF($A253="","",VLOOKUP($A252,Table,MATCH(Z$4,Curves,0)))</f>
        <v/>
      </c>
      <c r="AA252" s="185" t="str">
        <f aca="false">IF($A253="","",VLOOKUP($A252,Table,MATCH(AA$4,Curves,0)))</f>
        <v/>
      </c>
      <c r="AB252" s="185" t="e">
        <f aca="false">SQRT((AA252^2*(A252-$D$3)+Z252^2*(DAY(EOMONTH(A252,0))/2))/AK252)</f>
        <v>#VALUE!</v>
      </c>
      <c r="AC252" s="185" t="str">
        <f aca="false">IF($A253="","",VLOOKUP($A252,Table,MATCH(AC$4,Curves,0)))</f>
        <v/>
      </c>
      <c r="AD252" s="185" t="str">
        <f aca="false">IF($A253="","",VLOOKUP($A252,Table,MATCH(AD$4,Curves,0)))</f>
        <v/>
      </c>
      <c r="AE252" s="185" t="e">
        <f aca="false">SQRT((AD252^2*(A252-$D$3)+AC252^2*(DAY(EOMONTH(A252,0))/2))/AK252)</f>
        <v>#VALUE!</v>
      </c>
      <c r="AF252" s="206" t="e">
        <f aca="false">((Summary!$N$7*(AA252*AD252)*(A252-$D$3))+(Summary!$M$7*Z252*AC252*(DAY(EOMONTH(A252,0))/2)))/(AK252*AB252*AE252)</f>
        <v>#VALUE!</v>
      </c>
      <c r="AG252" s="207" t="str">
        <f aca="false">IF($A253="","",Summary!$Q$7)</f>
        <v/>
      </c>
      <c r="AH252" s="207" t="str">
        <f aca="false">IF($A253="","",IF(Summary!$R$7="Y",(VLOOKUP($A252,Summary!$AD$6:$AF$9,3)+'Escalating commodity'!C265),'Escalating commodity'!C265))</f>
        <v/>
      </c>
      <c r="AI252" s="207" t="str">
        <f aca="false">IF($A253="","",AH252)</f>
        <v/>
      </c>
      <c r="AJ252" s="208" t="e">
        <f aca="false">A252+DAY(EOMONTH(A252,0))/2-1</f>
        <v>#VALUE!</v>
      </c>
      <c r="AK252" s="209" t="str">
        <f aca="false">IF($A253="","",$A252-$E$1)</f>
        <v/>
      </c>
      <c r="AL252" s="182" t="str">
        <f aca="false">IF($A253="","",SPRDOPT(P252,X252,AI252,0,AB252,AE252,AF252,AK252,$AJ$2,0))</f>
        <v/>
      </c>
      <c r="AM252" s="210" t="str">
        <f aca="false">IF($A253="","",MAX(0,O252-W252-AI252))</f>
        <v/>
      </c>
      <c r="AN252" s="211" t="str">
        <f aca="false">IF($A253="","",AL252-AM252)</f>
        <v/>
      </c>
      <c r="AO252" s="137" t="str">
        <f aca="false">IF(A253="","",A253-A252)</f>
        <v/>
      </c>
      <c r="AP252" s="212" t="str">
        <f aca="false">IF(A253="","",CHOOSE(F$3,A253+24,A252))</f>
        <v/>
      </c>
      <c r="AQ252" s="209" t="str">
        <f aca="false">IF(A253="","",AP252-$E$1)</f>
        <v/>
      </c>
      <c r="AR252" s="185" t="n">
        <f aca="false">IF(Summary!$H$2=1,VLOOKUP('ANR OK vs ML7'!A252,Curves!$C$17:$AR$273,MATCH('ANR OK vs ML7'!$AR$4,Curves!$C$8:$AQ$8,0)),0.1)</f>
        <v>0.1</v>
      </c>
      <c r="AS252" s="213" t="str">
        <f aca="false">IF(A253="","",1/(1+CHOOSE(F$3,(AR253+($I$3/10000))/2,(AR252+($I$3/10000))/2))^(2*AQ252/365.25))</f>
        <v/>
      </c>
      <c r="AT252" s="137" t="str">
        <f aca="false">IF(A253="","",IF(AND(mthbeg&lt;=A252,mthend&gt;=A252),1,0))</f>
        <v/>
      </c>
      <c r="AU252" s="137" t="str">
        <f aca="false">IF(A253="","",AO252*AT252)</f>
        <v/>
      </c>
      <c r="AW252" s="195" t="str">
        <f aca="false">IF($A253="","",AL252*$E252)</f>
        <v/>
      </c>
      <c r="AX252" s="195" t="str">
        <f aca="false">IF($A253="","",AM252*$E252)</f>
        <v/>
      </c>
      <c r="AY252" s="195" t="str">
        <f aca="false">IF($A253="","",AN252*$E252)</f>
        <v/>
      </c>
      <c r="BA252" s="195" t="str">
        <f aca="false">IF($A253="","",F252*Summary!$Q$7)</f>
        <v/>
      </c>
    </row>
    <row r="253" customFormat="false" ht="12" hidden="false" customHeight="true" outlineLevel="0" collapsed="false">
      <c r="A253" s="196" t="str">
        <f aca="false">IF(A252&lt;mthend,EDATE(A252,1),"")</f>
        <v/>
      </c>
      <c r="B253" s="197" t="str">
        <f aca="false">IF(A253&lt;mthend,B252,"")</f>
        <v/>
      </c>
      <c r="C253" s="215"/>
      <c r="D253" s="197" t="str">
        <f aca="false">IF(A254&lt;&gt;"",B253+C253,"")</f>
        <v/>
      </c>
      <c r="E253" s="199" t="str">
        <f aca="false">IF(A254="","",IF(AND(AT253=1,$H$3=1),D253*AO253,IF($H$3=2,D253,"N/A")))</f>
        <v/>
      </c>
      <c r="F253" s="199" t="str">
        <f aca="false">IF(A254="","",E253*AS253)</f>
        <v/>
      </c>
      <c r="G253" s="200" t="str">
        <f aca="false">IF($A254="","",VLOOKUP($A253,Table,MATCH(G$4,Curves,0)))</f>
        <v/>
      </c>
      <c r="H253" s="201" t="str">
        <f aca="false">IF(A254="","",G253)</f>
        <v/>
      </c>
      <c r="I253" s="202"/>
      <c r="J253" s="200" t="str">
        <f aca="false">IF($A254="","",VLOOKUP($A253,Table,MATCH(J$4,Curves,0)))</f>
        <v/>
      </c>
      <c r="K253" s="201" t="str">
        <f aca="false">IF(A254="","",J253)</f>
        <v/>
      </c>
      <c r="L253" s="200" t="str">
        <f aca="false">IF($A254="","",VLOOKUP($A253,Table,MATCH(L$4,Curves,0)))</f>
        <v/>
      </c>
      <c r="M253" s="201" t="str">
        <f aca="false">IF(A254="","",L253)</f>
        <v/>
      </c>
      <c r="N253" s="203"/>
      <c r="O253" s="200" t="str">
        <f aca="false">IF(A254="","",L253+J253+G253)</f>
        <v/>
      </c>
      <c r="P253" s="200" t="str">
        <f aca="false">IF(A254="","",M253+K253+H253)</f>
        <v/>
      </c>
      <c r="Q253" s="204"/>
      <c r="R253" s="200" t="str">
        <f aca="false">IF($A254="","",VLOOKUP($A253,Table,MATCH(R$4,Curves,0)))</f>
        <v/>
      </c>
      <c r="S253" s="201" t="str">
        <f aca="false">IF(A254="","",R253)</f>
        <v/>
      </c>
      <c r="T253" s="200" t="str">
        <f aca="false">IF($A254="","",VLOOKUP($A253,Table,MATCH(T$4,Curves,0)))</f>
        <v/>
      </c>
      <c r="U253" s="201" t="str">
        <f aca="false">IF(A254="","",T253)</f>
        <v/>
      </c>
      <c r="V253" s="183" t="str">
        <f aca="false">IF($A254="","",IF(AND(MONTH(A253)&gt;3,MONTH(A253)&lt;11),(T253+R253+G253)*Summary!$T$7/(1-Summary!$T$7),(T253+R253+G253)*Summary!$U$7/(1-Summary!$U$7)))</f>
        <v/>
      </c>
      <c r="W253" s="200" t="str">
        <f aca="false">IF($A254="","",(T253+R253+G253+V253))</f>
        <v/>
      </c>
      <c r="X253" s="200" t="str">
        <f aca="false">IF($A254="","",(U253+S253+H253+V253))</f>
        <v/>
      </c>
      <c r="Y253" s="202"/>
      <c r="Z253" s="185" t="str">
        <f aca="false">IF($A254="","",VLOOKUP($A253,Table,MATCH(Z$4,Curves,0)))</f>
        <v/>
      </c>
      <c r="AA253" s="185" t="str">
        <f aca="false">IF($A254="","",VLOOKUP($A253,Table,MATCH(AA$4,Curves,0)))</f>
        <v/>
      </c>
      <c r="AB253" s="185" t="e">
        <f aca="false">SQRT((AA253^2*(A253-$D$3)+Z253^2*(DAY(EOMONTH(A253,0))/2))/AK253)</f>
        <v>#VALUE!</v>
      </c>
      <c r="AC253" s="185" t="str">
        <f aca="false">IF($A254="","",VLOOKUP($A253,Table,MATCH(AC$4,Curves,0)))</f>
        <v/>
      </c>
      <c r="AD253" s="185" t="str">
        <f aca="false">IF($A254="","",VLOOKUP($A253,Table,MATCH(AD$4,Curves,0)))</f>
        <v/>
      </c>
      <c r="AE253" s="185" t="e">
        <f aca="false">SQRT((AD253^2*(A253-$D$3)+AC253^2*(DAY(EOMONTH(A253,0))/2))/AK253)</f>
        <v>#VALUE!</v>
      </c>
      <c r="AF253" s="206" t="e">
        <f aca="false">((Summary!$N$7*(AA253*AD253)*(A253-$D$3))+(Summary!$M$7*Z253*AC253*(DAY(EOMONTH(A253,0))/2)))/(AK253*AB253*AE253)</f>
        <v>#VALUE!</v>
      </c>
      <c r="AG253" s="207" t="str">
        <f aca="false">IF($A254="","",Summary!$Q$7)</f>
        <v/>
      </c>
      <c r="AH253" s="207" t="str">
        <f aca="false">IF($A254="","",IF(Summary!$R$7="Y",(VLOOKUP($A253,Summary!$AD$6:$AF$9,3)+'Escalating commodity'!C266),'Escalating commodity'!C266))</f>
        <v/>
      </c>
      <c r="AI253" s="207" t="str">
        <f aca="false">IF($A254="","",AH253)</f>
        <v/>
      </c>
      <c r="AJ253" s="208" t="e">
        <f aca="false">A253+DAY(EOMONTH(A253,0))/2-1</f>
        <v>#VALUE!</v>
      </c>
      <c r="AK253" s="209" t="str">
        <f aca="false">IF($A254="","",$A253-$E$1)</f>
        <v/>
      </c>
      <c r="AL253" s="182" t="str">
        <f aca="false">IF($A254="","",SPRDOPT(P253,X253,AI253,0,AB253,AE253,AF253,AK253,$AJ$2,0))</f>
        <v/>
      </c>
      <c r="AM253" s="210" t="str">
        <f aca="false">IF($A254="","",MAX(0,O253-W253-AI253))</f>
        <v/>
      </c>
      <c r="AN253" s="211" t="str">
        <f aca="false">IF($A254="","",AL253-AM253)</f>
        <v/>
      </c>
      <c r="AO253" s="137" t="str">
        <f aca="false">IF(A254="","",A254-A253)</f>
        <v/>
      </c>
      <c r="AP253" s="212" t="str">
        <f aca="false">IF(A254="","",CHOOSE(F$3,A254+24,A253))</f>
        <v/>
      </c>
      <c r="AQ253" s="209" t="str">
        <f aca="false">IF(A254="","",AP253-$E$1)</f>
        <v/>
      </c>
      <c r="AR253" s="185" t="n">
        <f aca="false">IF(Summary!$H$2=1,VLOOKUP('ANR OK vs ML7'!A253,Curves!$C$17:$AR$273,MATCH('ANR OK vs ML7'!$AR$4,Curves!$C$8:$AQ$8,0)),0.1)</f>
        <v>0.1</v>
      </c>
      <c r="AS253" s="213" t="str">
        <f aca="false">IF(A254="","",1/(1+CHOOSE(F$3,(AR254+($I$3/10000))/2,(AR253+($I$3/10000))/2))^(2*AQ253/365.25))</f>
        <v/>
      </c>
      <c r="AT253" s="137" t="str">
        <f aca="false">IF(A254="","",IF(AND(mthbeg&lt;=A253,mthend&gt;=A253),1,0))</f>
        <v/>
      </c>
      <c r="AU253" s="137" t="str">
        <f aca="false">IF(A254="","",AO253*AT253)</f>
        <v/>
      </c>
      <c r="AW253" s="195" t="str">
        <f aca="false">IF($A254="","",AL253*$E253)</f>
        <v/>
      </c>
      <c r="AX253" s="195" t="str">
        <f aca="false">IF($A254="","",AM253*$E253)</f>
        <v/>
      </c>
      <c r="AY253" s="195" t="str">
        <f aca="false">IF($A254="","",AN253*$E253)</f>
        <v/>
      </c>
      <c r="BA253" s="195" t="str">
        <f aca="false">IF($A254="","",F253*Summary!$Q$7)</f>
        <v/>
      </c>
    </row>
    <row r="254" customFormat="false" ht="12" hidden="false" customHeight="true" outlineLevel="0" collapsed="false">
      <c r="A254" s="196" t="str">
        <f aca="false">IF(A253&lt;mthend,EDATE(A253,1),"")</f>
        <v/>
      </c>
      <c r="B254" s="197" t="str">
        <f aca="false">IF(A254&lt;mthend,B253,"")</f>
        <v/>
      </c>
      <c r="C254" s="215"/>
      <c r="D254" s="197" t="str">
        <f aca="false">IF(A255&lt;&gt;"",B254+C254,"")</f>
        <v/>
      </c>
      <c r="E254" s="199" t="str">
        <f aca="false">IF(A255="","",IF(AND(AT254=1,$H$3=1),D254*AO254,IF($H$3=2,D254,"N/A")))</f>
        <v/>
      </c>
      <c r="F254" s="199" t="str">
        <f aca="false">IF(A255="","",E254*AS254)</f>
        <v/>
      </c>
      <c r="G254" s="200" t="str">
        <f aca="false">IF($A255="","",VLOOKUP($A254,Table,MATCH(G$4,Curves,0)))</f>
        <v/>
      </c>
      <c r="H254" s="201" t="str">
        <f aca="false">IF(A255="","",G254)</f>
        <v/>
      </c>
      <c r="I254" s="202"/>
      <c r="J254" s="200" t="str">
        <f aca="false">IF($A255="","",VLOOKUP($A254,Table,MATCH(J$4,Curves,0)))</f>
        <v/>
      </c>
      <c r="K254" s="201" t="str">
        <f aca="false">IF(A255="","",J254)</f>
        <v/>
      </c>
      <c r="L254" s="200" t="str">
        <f aca="false">IF($A255="","",VLOOKUP($A254,Table,MATCH(L$4,Curves,0)))</f>
        <v/>
      </c>
      <c r="M254" s="201" t="str">
        <f aca="false">IF(A255="","",L254)</f>
        <v/>
      </c>
      <c r="N254" s="203"/>
      <c r="O254" s="200" t="str">
        <f aca="false">IF(A255="","",L254+J254+G254)</f>
        <v/>
      </c>
      <c r="P254" s="200" t="str">
        <f aca="false">IF(A255="","",M254+K254+H254)</f>
        <v/>
      </c>
      <c r="Q254" s="204"/>
      <c r="R254" s="200" t="str">
        <f aca="false">IF($A255="","",VLOOKUP($A254,Table,MATCH(R$4,Curves,0)))</f>
        <v/>
      </c>
      <c r="S254" s="201" t="str">
        <f aca="false">IF(A255="","",R254)</f>
        <v/>
      </c>
      <c r="T254" s="200" t="str">
        <f aca="false">IF($A255="","",VLOOKUP($A254,Table,MATCH(T$4,Curves,0)))</f>
        <v/>
      </c>
      <c r="U254" s="201" t="str">
        <f aca="false">IF(A255="","",T254)</f>
        <v/>
      </c>
      <c r="V254" s="183" t="str">
        <f aca="false">IF($A255="","",IF(AND(MONTH(A254)&gt;3,MONTH(A254)&lt;11),(T254+R254+G254)*Summary!$T$7/(1-Summary!$T$7),(T254+R254+G254)*Summary!$U$7/(1-Summary!$U$7)))</f>
        <v/>
      </c>
      <c r="W254" s="200" t="str">
        <f aca="false">IF($A255="","",(T254+R254+G254+V254))</f>
        <v/>
      </c>
      <c r="X254" s="200" t="str">
        <f aca="false">IF($A255="","",(U254+S254+H254+V254))</f>
        <v/>
      </c>
      <c r="Y254" s="202"/>
      <c r="Z254" s="185" t="str">
        <f aca="false">IF($A255="","",VLOOKUP($A254,Table,MATCH(Z$4,Curves,0)))</f>
        <v/>
      </c>
      <c r="AA254" s="185" t="str">
        <f aca="false">IF($A255="","",VLOOKUP($A254,Table,MATCH(AA$4,Curves,0)))</f>
        <v/>
      </c>
      <c r="AB254" s="185" t="e">
        <f aca="false">SQRT((AA254^2*(A254-$D$3)+Z254^2*(DAY(EOMONTH(A254,0))/2))/AK254)</f>
        <v>#VALUE!</v>
      </c>
      <c r="AC254" s="185" t="str">
        <f aca="false">IF($A255="","",VLOOKUP($A254,Table,MATCH(AC$4,Curves,0)))</f>
        <v/>
      </c>
      <c r="AD254" s="185" t="str">
        <f aca="false">IF($A255="","",VLOOKUP($A254,Table,MATCH(AD$4,Curves,0)))</f>
        <v/>
      </c>
      <c r="AE254" s="185" t="e">
        <f aca="false">SQRT((AD254^2*(A254-$D$3)+AC254^2*(DAY(EOMONTH(A254,0))/2))/AK254)</f>
        <v>#VALUE!</v>
      </c>
      <c r="AF254" s="206" t="e">
        <f aca="false">((Summary!$N$7*(AA254*AD254)*(A254-$D$3))+(Summary!$M$7*Z254*AC254*(DAY(EOMONTH(A254,0))/2)))/(AK254*AB254*AE254)</f>
        <v>#VALUE!</v>
      </c>
      <c r="AG254" s="207" t="str">
        <f aca="false">IF($A255="","",Summary!$Q$7)</f>
        <v/>
      </c>
      <c r="AH254" s="207" t="str">
        <f aca="false">IF($A255="","",IF(Summary!$R$7="Y",(VLOOKUP($A254,Summary!$AD$6:$AF$9,3)+'Escalating commodity'!C267),'Escalating commodity'!C267))</f>
        <v/>
      </c>
      <c r="AI254" s="207" t="str">
        <f aca="false">IF($A255="","",AH254)</f>
        <v/>
      </c>
      <c r="AJ254" s="208" t="e">
        <f aca="false">A254+DAY(EOMONTH(A254,0))/2-1</f>
        <v>#VALUE!</v>
      </c>
      <c r="AK254" s="209" t="str">
        <f aca="false">IF($A255="","",$A254-$E$1)</f>
        <v/>
      </c>
      <c r="AL254" s="182" t="str">
        <f aca="false">IF($A255="","",SPRDOPT(P254,X254,AI254,0,AB254,AE254,AF254,AK254,$AJ$2,0))</f>
        <v/>
      </c>
      <c r="AM254" s="210" t="str">
        <f aca="false">IF($A255="","",MAX(0,O254-W254-AI254))</f>
        <v/>
      </c>
      <c r="AN254" s="211" t="str">
        <f aca="false">IF($A255="","",AL254-AM254)</f>
        <v/>
      </c>
      <c r="AO254" s="137" t="str">
        <f aca="false">IF(A255="","",A255-A254)</f>
        <v/>
      </c>
      <c r="AP254" s="212" t="str">
        <f aca="false">IF(A255="","",CHOOSE(F$3,A255+24,A254))</f>
        <v/>
      </c>
      <c r="AQ254" s="209" t="str">
        <f aca="false">IF(A255="","",AP254-$E$1)</f>
        <v/>
      </c>
      <c r="AR254" s="185" t="n">
        <f aca="false">IF(Summary!$H$2=1,VLOOKUP('ANR OK vs ML7'!A254,Curves!$C$17:$AR$273,MATCH('ANR OK vs ML7'!$AR$4,Curves!$C$8:$AQ$8,0)),0.1)</f>
        <v>0.1</v>
      </c>
      <c r="AS254" s="213" t="str">
        <f aca="false">IF(A255="","",1/(1+CHOOSE(F$3,(AR255+($I$3/10000))/2,(AR254+($I$3/10000))/2))^(2*AQ254/365.25))</f>
        <v/>
      </c>
      <c r="AT254" s="137" t="str">
        <f aca="false">IF(A255="","",IF(AND(mthbeg&lt;=A254,mthend&gt;=A254),1,0))</f>
        <v/>
      </c>
      <c r="AU254" s="137" t="str">
        <f aca="false">IF(A255="","",AO254*AT254)</f>
        <v/>
      </c>
      <c r="AW254" s="195" t="str">
        <f aca="false">IF($A255="","",AL254*$E254)</f>
        <v/>
      </c>
      <c r="AX254" s="195" t="str">
        <f aca="false">IF($A255="","",AM254*$E254)</f>
        <v/>
      </c>
      <c r="AY254" s="195" t="str">
        <f aca="false">IF($A255="","",AN254*$E254)</f>
        <v/>
      </c>
      <c r="BA254" s="195" t="str">
        <f aca="false">IF($A255="","",F254*Summary!$Q$7)</f>
        <v/>
      </c>
    </row>
    <row r="255" customFormat="false" ht="12" hidden="false" customHeight="true" outlineLevel="0" collapsed="false">
      <c r="A255" s="196" t="str">
        <f aca="false">IF(A254&lt;mthend,EDATE(A254,1),"")</f>
        <v/>
      </c>
      <c r="B255" s="197" t="str">
        <f aca="false">IF(A255&lt;mthend,B254,"")</f>
        <v/>
      </c>
      <c r="C255" s="215"/>
      <c r="D255" s="197" t="str">
        <f aca="false">IF(A256&lt;&gt;"",B255+C255,"")</f>
        <v/>
      </c>
      <c r="E255" s="199" t="str">
        <f aca="false">IF(A256="","",IF(AND(AT255=1,$H$3=1),D255*AO255,IF($H$3=2,D255,"N/A")))</f>
        <v/>
      </c>
      <c r="F255" s="199" t="str">
        <f aca="false">IF(A256="","",E255*AS255)</f>
        <v/>
      </c>
      <c r="G255" s="200" t="str">
        <f aca="false">IF($A256="","",VLOOKUP($A255,Table,MATCH(G$4,Curves,0)))</f>
        <v/>
      </c>
      <c r="H255" s="201" t="str">
        <f aca="false">IF(A256="","",G255)</f>
        <v/>
      </c>
      <c r="I255" s="202"/>
      <c r="J255" s="200" t="str">
        <f aca="false">IF($A256="","",VLOOKUP($A255,Table,MATCH(J$4,Curves,0)))</f>
        <v/>
      </c>
      <c r="K255" s="201" t="str">
        <f aca="false">IF(A256="","",J255)</f>
        <v/>
      </c>
      <c r="L255" s="200" t="str">
        <f aca="false">IF($A256="","",VLOOKUP($A255,Table,MATCH(L$4,Curves,0)))</f>
        <v/>
      </c>
      <c r="M255" s="201" t="str">
        <f aca="false">IF(A256="","",L255)</f>
        <v/>
      </c>
      <c r="N255" s="203"/>
      <c r="O255" s="200" t="str">
        <f aca="false">IF(A256="","",L255+J255+G255)</f>
        <v/>
      </c>
      <c r="P255" s="200" t="str">
        <f aca="false">IF(A256="","",M255+K255+H255)</f>
        <v/>
      </c>
      <c r="Q255" s="204"/>
      <c r="R255" s="200" t="str">
        <f aca="false">IF($A256="","",VLOOKUP($A255,Table,MATCH(R$4,Curves,0)))</f>
        <v/>
      </c>
      <c r="S255" s="201" t="str">
        <f aca="false">IF(A256="","",R255)</f>
        <v/>
      </c>
      <c r="T255" s="200" t="str">
        <f aca="false">IF($A256="","",VLOOKUP($A255,Table,MATCH(T$4,Curves,0)))</f>
        <v/>
      </c>
      <c r="U255" s="201" t="str">
        <f aca="false">IF(A256="","",T255)</f>
        <v/>
      </c>
      <c r="V255" s="183" t="str">
        <f aca="false">IF($A256="","",IF(AND(MONTH(A255)&gt;3,MONTH(A255)&lt;11),(T255+R255+G255)*Summary!$T$7/(1-Summary!$T$7),(T255+R255+G255)*Summary!$U$7/(1-Summary!$U$7)))</f>
        <v/>
      </c>
      <c r="W255" s="200" t="str">
        <f aca="false">IF($A256="","",(T255+R255+G255+V255))</f>
        <v/>
      </c>
      <c r="X255" s="200" t="str">
        <f aca="false">IF($A256="","",(U255+S255+H255+V255))</f>
        <v/>
      </c>
      <c r="Y255" s="202"/>
      <c r="Z255" s="185" t="str">
        <f aca="false">IF($A256="","",VLOOKUP($A255,Table,MATCH(Z$4,Curves,0)))</f>
        <v/>
      </c>
      <c r="AA255" s="185" t="str">
        <f aca="false">IF($A256="","",VLOOKUP($A255,Table,MATCH(AA$4,Curves,0)))</f>
        <v/>
      </c>
      <c r="AB255" s="185" t="e">
        <f aca="false">SQRT((AA255^2*(A255-$D$3)+Z255^2*(DAY(EOMONTH(A255,0))/2))/AK255)</f>
        <v>#VALUE!</v>
      </c>
      <c r="AC255" s="185" t="str">
        <f aca="false">IF($A256="","",VLOOKUP($A255,Table,MATCH(AC$4,Curves,0)))</f>
        <v/>
      </c>
      <c r="AD255" s="185" t="str">
        <f aca="false">IF($A256="","",VLOOKUP($A255,Table,MATCH(AD$4,Curves,0)))</f>
        <v/>
      </c>
      <c r="AE255" s="185" t="e">
        <f aca="false">SQRT((AD255^2*(A255-$D$3)+AC255^2*(DAY(EOMONTH(A255,0))/2))/AK255)</f>
        <v>#VALUE!</v>
      </c>
      <c r="AF255" s="206" t="e">
        <f aca="false">((Summary!$N$7*(AA255*AD255)*(A255-$D$3))+(Summary!$M$7*Z255*AC255*(DAY(EOMONTH(A255,0))/2)))/(AK255*AB255*AE255)</f>
        <v>#VALUE!</v>
      </c>
      <c r="AG255" s="207" t="str">
        <f aca="false">IF($A256="","",Summary!$Q$7)</f>
        <v/>
      </c>
      <c r="AH255" s="207" t="str">
        <f aca="false">IF($A256="","",IF(Summary!$R$7="Y",(VLOOKUP($A255,Summary!$AD$6:$AF$9,3)+'Escalating commodity'!C268),'Escalating commodity'!C268))</f>
        <v/>
      </c>
      <c r="AI255" s="207" t="str">
        <f aca="false">IF($A256="","",AH255)</f>
        <v/>
      </c>
      <c r="AJ255" s="208" t="e">
        <f aca="false">A255+DAY(EOMONTH(A255,0))/2-1</f>
        <v>#VALUE!</v>
      </c>
      <c r="AK255" s="209" t="str">
        <f aca="false">IF($A256="","",$A255-$E$1)</f>
        <v/>
      </c>
      <c r="AL255" s="182" t="str">
        <f aca="false">IF($A256="","",SPRDOPT(P255,X255,AI255,0,AB255,AE255,AF255,AK255,$AJ$2,0))</f>
        <v/>
      </c>
      <c r="AM255" s="210" t="str">
        <f aca="false">IF($A256="","",MAX(0,O255-W255-AI255))</f>
        <v/>
      </c>
      <c r="AN255" s="211" t="str">
        <f aca="false">IF($A256="","",AL255-AM255)</f>
        <v/>
      </c>
      <c r="AO255" s="137" t="str">
        <f aca="false">IF(A256="","",A256-A255)</f>
        <v/>
      </c>
      <c r="AP255" s="212" t="str">
        <f aca="false">IF(A256="","",CHOOSE(F$3,A256+24,A255))</f>
        <v/>
      </c>
      <c r="AQ255" s="209" t="str">
        <f aca="false">IF(A256="","",AP255-$E$1)</f>
        <v/>
      </c>
      <c r="AR255" s="185" t="n">
        <f aca="false">IF(Summary!$H$2=1,VLOOKUP('ANR OK vs ML7'!A255,Curves!$C$17:$AR$273,MATCH('ANR OK vs ML7'!$AR$4,Curves!$C$8:$AQ$8,0)),0.1)</f>
        <v>0.1</v>
      </c>
      <c r="AS255" s="213" t="str">
        <f aca="false">IF(A256="","",1/(1+CHOOSE(F$3,(AR256+($I$3/10000))/2,(AR255+($I$3/10000))/2))^(2*AQ255/365.25))</f>
        <v/>
      </c>
      <c r="AT255" s="137" t="str">
        <f aca="false">IF(A256="","",IF(AND(mthbeg&lt;=A255,mthend&gt;=A255),1,0))</f>
        <v/>
      </c>
      <c r="AU255" s="137" t="str">
        <f aca="false">IF(A256="","",AO255*AT255)</f>
        <v/>
      </c>
      <c r="AW255" s="195" t="str">
        <f aca="false">IF($A256="","",AL255*$E255)</f>
        <v/>
      </c>
      <c r="AX255" s="195" t="str">
        <f aca="false">IF($A256="","",AM255*$E255)</f>
        <v/>
      </c>
      <c r="AY255" s="195" t="str">
        <f aca="false">IF($A256="","",AN255*$E255)</f>
        <v/>
      </c>
      <c r="BA255" s="195" t="str">
        <f aca="false">IF($A256="","",F255*Summary!$Q$7)</f>
        <v/>
      </c>
    </row>
    <row r="256" customFormat="false" ht="12" hidden="false" customHeight="true" outlineLevel="0" collapsed="false">
      <c r="A256" s="196" t="str">
        <f aca="false">IF(A255&lt;mthend,EDATE(A255,1),"")</f>
        <v/>
      </c>
      <c r="B256" s="197" t="str">
        <f aca="false">IF(A256&lt;mthend,B255,"")</f>
        <v/>
      </c>
      <c r="C256" s="215"/>
      <c r="D256" s="197" t="str">
        <f aca="false">IF(A257&lt;&gt;"",B256+C256,"")</f>
        <v/>
      </c>
      <c r="E256" s="199" t="str">
        <f aca="false">IF(A257="","",IF(AND(AT256=1,$H$3=1),D256*AO256,IF($H$3=2,D256,"N/A")))</f>
        <v/>
      </c>
      <c r="F256" s="199" t="str">
        <f aca="false">IF(A257="","",E256*AS256)</f>
        <v/>
      </c>
      <c r="G256" s="200" t="str">
        <f aca="false">IF($A257="","",VLOOKUP($A256,Table,MATCH(G$4,Curves,0)))</f>
        <v/>
      </c>
      <c r="H256" s="201" t="str">
        <f aca="false">IF(A257="","",G256)</f>
        <v/>
      </c>
      <c r="I256" s="202"/>
      <c r="J256" s="200" t="str">
        <f aca="false">IF($A257="","",VLOOKUP($A256,Table,MATCH(J$4,Curves,0)))</f>
        <v/>
      </c>
      <c r="K256" s="201" t="str">
        <f aca="false">IF(A257="","",J256)</f>
        <v/>
      </c>
      <c r="L256" s="200" t="str">
        <f aca="false">IF($A257="","",VLOOKUP($A256,Table,MATCH(L$4,Curves,0)))</f>
        <v/>
      </c>
      <c r="M256" s="201" t="str">
        <f aca="false">IF(A257="","",L256)</f>
        <v/>
      </c>
      <c r="N256" s="203"/>
      <c r="O256" s="200" t="str">
        <f aca="false">IF(A257="","",L256+J256+G256)</f>
        <v/>
      </c>
      <c r="P256" s="200" t="str">
        <f aca="false">IF(A257="","",M256+K256+H256)</f>
        <v/>
      </c>
      <c r="Q256" s="204"/>
      <c r="R256" s="200" t="str">
        <f aca="false">IF($A257="","",VLOOKUP($A256,Table,MATCH(R$4,Curves,0)))</f>
        <v/>
      </c>
      <c r="S256" s="201" t="str">
        <f aca="false">IF(A257="","",R256)</f>
        <v/>
      </c>
      <c r="T256" s="200" t="str">
        <f aca="false">IF($A257="","",VLOOKUP($A256,Table,MATCH(T$4,Curves,0)))</f>
        <v/>
      </c>
      <c r="U256" s="201" t="str">
        <f aca="false">IF(A257="","",T256)</f>
        <v/>
      </c>
      <c r="V256" s="183" t="str">
        <f aca="false">IF($A257="","",IF(AND(MONTH(A256)&gt;3,MONTH(A256)&lt;11),(T256+R256+G256)*Summary!$T$7/(1-Summary!$T$7),(T256+R256+G256)*Summary!$U$7/(1-Summary!$U$7)))</f>
        <v/>
      </c>
      <c r="W256" s="200" t="str">
        <f aca="false">IF($A257="","",(T256+R256+G256+V256))</f>
        <v/>
      </c>
      <c r="X256" s="200" t="str">
        <f aca="false">IF($A257="","",(U256+S256+H256+V256))</f>
        <v/>
      </c>
      <c r="Y256" s="202"/>
      <c r="Z256" s="185" t="str">
        <f aca="false">IF($A257="","",VLOOKUP($A256,Table,MATCH(Z$4,Curves,0)))</f>
        <v/>
      </c>
      <c r="AA256" s="185" t="str">
        <f aca="false">IF($A257="","",VLOOKUP($A256,Table,MATCH(AA$4,Curves,0)))</f>
        <v/>
      </c>
      <c r="AB256" s="185" t="e">
        <f aca="false">SQRT((AA256^2*(A256-$D$3)+Z256^2*(DAY(EOMONTH(A256,0))/2))/AK256)</f>
        <v>#VALUE!</v>
      </c>
      <c r="AC256" s="185" t="str">
        <f aca="false">IF($A257="","",VLOOKUP($A256,Table,MATCH(AC$4,Curves,0)))</f>
        <v/>
      </c>
      <c r="AD256" s="185" t="str">
        <f aca="false">IF($A257="","",VLOOKUP($A256,Table,MATCH(AD$4,Curves,0)))</f>
        <v/>
      </c>
      <c r="AE256" s="185" t="e">
        <f aca="false">SQRT((AD256^2*(A256-$D$3)+AC256^2*(DAY(EOMONTH(A256,0))/2))/AK256)</f>
        <v>#VALUE!</v>
      </c>
      <c r="AF256" s="206" t="e">
        <f aca="false">((Summary!$N$7*(AA256*AD256)*(A256-$D$3))+(Summary!$M$7*Z256*AC256*(DAY(EOMONTH(A256,0))/2)))/(AK256*AB256*AE256)</f>
        <v>#VALUE!</v>
      </c>
      <c r="AG256" s="207" t="str">
        <f aca="false">IF($A257="","",Summary!$Q$7)</f>
        <v/>
      </c>
      <c r="AH256" s="207" t="str">
        <f aca="false">IF($A257="","",IF(Summary!$R$7="Y",(VLOOKUP($A256,Summary!$AD$6:$AF$9,3)+'Escalating commodity'!C269),'Escalating commodity'!C269))</f>
        <v/>
      </c>
      <c r="AI256" s="207" t="str">
        <f aca="false">IF($A257="","",AH256)</f>
        <v/>
      </c>
      <c r="AJ256" s="208" t="e">
        <f aca="false">A256+DAY(EOMONTH(A256,0))/2-1</f>
        <v>#VALUE!</v>
      </c>
      <c r="AK256" s="209" t="str">
        <f aca="false">IF($A257="","",$A256-$E$1)</f>
        <v/>
      </c>
      <c r="AL256" s="182" t="str">
        <f aca="false">IF($A257="","",SPRDOPT(P256,X256,AI256,0,AB256,AE256,AF256,AK256,$AJ$2,0))</f>
        <v/>
      </c>
      <c r="AM256" s="210" t="str">
        <f aca="false">IF($A257="","",MAX(0,O256-W256-AI256))</f>
        <v/>
      </c>
      <c r="AN256" s="211" t="str">
        <f aca="false">IF($A257="","",AL256-AM256)</f>
        <v/>
      </c>
      <c r="AO256" s="137" t="str">
        <f aca="false">IF(A257="","",A257-A256)</f>
        <v/>
      </c>
      <c r="AP256" s="212" t="str">
        <f aca="false">IF(A257="","",CHOOSE(F$3,A257+24,A256))</f>
        <v/>
      </c>
      <c r="AQ256" s="209" t="str">
        <f aca="false">IF(A257="","",AP256-$E$1)</f>
        <v/>
      </c>
      <c r="AR256" s="185" t="n">
        <f aca="false">IF(Summary!$H$2=1,VLOOKUP('ANR OK vs ML7'!A256,Curves!$C$17:$AR$273,MATCH('ANR OK vs ML7'!$AR$4,Curves!$C$8:$AQ$8,0)),0.1)</f>
        <v>0.1</v>
      </c>
      <c r="AS256" s="213" t="str">
        <f aca="false">IF(A257="","",1/(1+CHOOSE(F$3,(AR257+($I$3/10000))/2,(AR256+($I$3/10000))/2))^(2*AQ256/365.25))</f>
        <v/>
      </c>
      <c r="AT256" s="137" t="str">
        <f aca="false">IF(A257="","",IF(AND(mthbeg&lt;=A256,mthend&gt;=A256),1,0))</f>
        <v/>
      </c>
      <c r="AU256" s="137" t="str">
        <f aca="false">IF(A257="","",AO256*AT256)</f>
        <v/>
      </c>
      <c r="AW256" s="195" t="str">
        <f aca="false">IF($A257="","",AL256*$E256)</f>
        <v/>
      </c>
      <c r="AX256" s="195" t="str">
        <f aca="false">IF($A257="","",AM256*$E256)</f>
        <v/>
      </c>
      <c r="AY256" s="195" t="str">
        <f aca="false">IF($A257="","",AN256*$E256)</f>
        <v/>
      </c>
      <c r="BA256" s="195" t="str">
        <f aca="false">IF($A257="","",F256*Summary!$Q$7)</f>
        <v/>
      </c>
    </row>
    <row r="257" customFormat="false" ht="12" hidden="false" customHeight="true" outlineLevel="0" collapsed="false">
      <c r="A257" s="196" t="str">
        <f aca="false">IF(A256&lt;mthend,EDATE(A256,1),"")</f>
        <v/>
      </c>
      <c r="B257" s="197" t="str">
        <f aca="false">IF(A257&lt;mthend,B256,"")</f>
        <v/>
      </c>
      <c r="C257" s="215"/>
      <c r="D257" s="197" t="str">
        <f aca="false">IF(A258&lt;&gt;"",B257+C257,"")</f>
        <v/>
      </c>
      <c r="E257" s="199" t="str">
        <f aca="false">IF(A258="","",IF(AND(AT257=1,$H$3=1),D257*AO257,IF($H$3=2,D257,"N/A")))</f>
        <v/>
      </c>
      <c r="F257" s="199" t="str">
        <f aca="false">IF(A258="","",E257*AS257)</f>
        <v/>
      </c>
      <c r="G257" s="200" t="str">
        <f aca="false">IF($A258="","",VLOOKUP($A257,Table,MATCH(G$4,Curves,0)))</f>
        <v/>
      </c>
      <c r="H257" s="201" t="str">
        <f aca="false">IF(A258="","",G257)</f>
        <v/>
      </c>
      <c r="I257" s="202"/>
      <c r="J257" s="200" t="str">
        <f aca="false">IF($A258="","",VLOOKUP($A257,Table,MATCH(J$4,Curves,0)))</f>
        <v/>
      </c>
      <c r="K257" s="201" t="str">
        <f aca="false">IF(A258="","",J257)</f>
        <v/>
      </c>
      <c r="L257" s="200" t="str">
        <f aca="false">IF($A258="","",VLOOKUP($A257,Table,MATCH(L$4,Curves,0)))</f>
        <v/>
      </c>
      <c r="M257" s="201" t="str">
        <f aca="false">IF(A258="","",L257)</f>
        <v/>
      </c>
      <c r="N257" s="203"/>
      <c r="O257" s="200" t="str">
        <f aca="false">IF(A258="","",L257+J257+G257)</f>
        <v/>
      </c>
      <c r="P257" s="200" t="str">
        <f aca="false">IF(A258="","",M257+K257+H257)</f>
        <v/>
      </c>
      <c r="Q257" s="204"/>
      <c r="R257" s="200" t="str">
        <f aca="false">IF($A258="","",VLOOKUP($A257,Table,MATCH(R$4,Curves,0)))</f>
        <v/>
      </c>
      <c r="S257" s="201" t="str">
        <f aca="false">IF(A258="","",R257)</f>
        <v/>
      </c>
      <c r="T257" s="200" t="str">
        <f aca="false">IF($A258="","",VLOOKUP($A257,Table,MATCH(T$4,Curves,0)))</f>
        <v/>
      </c>
      <c r="U257" s="201" t="str">
        <f aca="false">IF(A258="","",T257)</f>
        <v/>
      </c>
      <c r="V257" s="183" t="str">
        <f aca="false">IF($A258="","",IF(AND(MONTH(A257)&gt;3,MONTH(A257)&lt;11),(T257+R257+G257)*Summary!$T$7/(1-Summary!$T$7),(T257+R257+G257)*Summary!$U$7/(1-Summary!$U$7)))</f>
        <v/>
      </c>
      <c r="W257" s="200" t="str">
        <f aca="false">IF($A258="","",(T257+R257+G257+V257))</f>
        <v/>
      </c>
      <c r="X257" s="200" t="str">
        <f aca="false">IF($A258="","",(U257+S257+H257+V257))</f>
        <v/>
      </c>
      <c r="Y257" s="202"/>
      <c r="Z257" s="185" t="str">
        <f aca="false">IF($A258="","",VLOOKUP($A257,Table,MATCH(Z$4,Curves,0)))</f>
        <v/>
      </c>
      <c r="AA257" s="185" t="str">
        <f aca="false">IF($A258="","",VLOOKUP($A257,Table,MATCH(AA$4,Curves,0)))</f>
        <v/>
      </c>
      <c r="AB257" s="185" t="e">
        <f aca="false">SQRT((AA257^2*(A257-$D$3)+Z257^2*(DAY(EOMONTH(A257,0))/2))/AK257)</f>
        <v>#VALUE!</v>
      </c>
      <c r="AC257" s="185" t="str">
        <f aca="false">IF($A258="","",VLOOKUP($A257,Table,MATCH(AC$4,Curves,0)))</f>
        <v/>
      </c>
      <c r="AD257" s="185" t="str">
        <f aca="false">IF($A258="","",VLOOKUP($A257,Table,MATCH(AD$4,Curves,0)))</f>
        <v/>
      </c>
      <c r="AE257" s="185" t="e">
        <f aca="false">SQRT((AD257^2*(A257-$D$3)+AC257^2*(DAY(EOMONTH(A257,0))/2))/AK257)</f>
        <v>#VALUE!</v>
      </c>
      <c r="AF257" s="206" t="e">
        <f aca="false">((Summary!$N$7*(AA257*AD257)*(A257-$D$3))+(Summary!$M$7*Z257*AC257*(DAY(EOMONTH(A257,0))/2)))/(AK257*AB257*AE257)</f>
        <v>#VALUE!</v>
      </c>
      <c r="AG257" s="207" t="str">
        <f aca="false">IF($A258="","",Summary!$Q$7)</f>
        <v/>
      </c>
      <c r="AH257" s="207" t="str">
        <f aca="false">IF($A258="","",IF(Summary!$R$7="Y",(VLOOKUP($A257,Summary!$AD$6:$AF$9,3)+'Escalating commodity'!C270),'Escalating commodity'!C270))</f>
        <v/>
      </c>
      <c r="AI257" s="207" t="str">
        <f aca="false">IF($A258="","",AH257)</f>
        <v/>
      </c>
      <c r="AJ257" s="208" t="e">
        <f aca="false">A257+DAY(EOMONTH(A257,0))/2-1</f>
        <v>#VALUE!</v>
      </c>
      <c r="AK257" s="209" t="str">
        <f aca="false">IF($A258="","",$A257-$E$1)</f>
        <v/>
      </c>
      <c r="AL257" s="182" t="str">
        <f aca="false">IF($A258="","",SPRDOPT(P257,X257,AI257,0,AB257,AE257,AF257,AK257,$AJ$2,0))</f>
        <v/>
      </c>
      <c r="AM257" s="210" t="str">
        <f aca="false">IF($A258="","",MAX(0,O257-W257-AI257))</f>
        <v/>
      </c>
      <c r="AN257" s="211" t="str">
        <f aca="false">IF($A258="","",AL257-AM257)</f>
        <v/>
      </c>
      <c r="AO257" s="137" t="str">
        <f aca="false">IF(A258="","",A258-A257)</f>
        <v/>
      </c>
      <c r="AP257" s="212" t="str">
        <f aca="false">IF(A258="","",CHOOSE(F$3,A258+24,A257))</f>
        <v/>
      </c>
      <c r="AQ257" s="209" t="str">
        <f aca="false">IF(A258="","",AP257-$E$1)</f>
        <v/>
      </c>
      <c r="AR257" s="185" t="n">
        <f aca="false">IF(Summary!$H$2=1,VLOOKUP('ANR OK vs ML7'!A257,Curves!$C$17:$AR$273,MATCH('ANR OK vs ML7'!$AR$4,Curves!$C$8:$AQ$8,0)),0.1)</f>
        <v>0.1</v>
      </c>
      <c r="AS257" s="213" t="str">
        <f aca="false">IF(A258="","",1/(1+CHOOSE(F$3,(AR258+($I$3/10000))/2,(AR257+($I$3/10000))/2))^(2*AQ257/365.25))</f>
        <v/>
      </c>
      <c r="AT257" s="137" t="str">
        <f aca="false">IF(A258="","",IF(AND(mthbeg&lt;=A257,mthend&gt;=A257),1,0))</f>
        <v/>
      </c>
      <c r="AU257" s="137" t="str">
        <f aca="false">IF(A258="","",AO257*AT257)</f>
        <v/>
      </c>
      <c r="AW257" s="195" t="str">
        <f aca="false">IF($A258="","",AL257*$E257)</f>
        <v/>
      </c>
      <c r="AX257" s="195" t="str">
        <f aca="false">IF($A258="","",AM257*$E257)</f>
        <v/>
      </c>
      <c r="AY257" s="195" t="str">
        <f aca="false">IF($A258="","",AN257*$E257)</f>
        <v/>
      </c>
      <c r="BA257" s="195" t="str">
        <f aca="false">IF($A258="","",F257*Summary!$Q$7)</f>
        <v/>
      </c>
    </row>
    <row r="258" customFormat="false" ht="12" hidden="false" customHeight="true" outlineLevel="0" collapsed="false">
      <c r="A258" s="196" t="str">
        <f aca="false">IF(A257&lt;mthend,EDATE(A257,1),"")</f>
        <v/>
      </c>
      <c r="B258" s="197" t="str">
        <f aca="false">IF(A258&lt;mthend,B257,"")</f>
        <v/>
      </c>
      <c r="C258" s="215"/>
      <c r="D258" s="197" t="str">
        <f aca="false">IF(A259&lt;&gt;"",B258+C258,"")</f>
        <v/>
      </c>
      <c r="E258" s="199" t="str">
        <f aca="false">IF(A259="","",IF(AND(AT258=1,$H$3=1),D258*AO258,IF($H$3=2,D258,"N/A")))</f>
        <v/>
      </c>
      <c r="F258" s="199" t="str">
        <f aca="false">IF(A259="","",E258*AS258)</f>
        <v/>
      </c>
      <c r="G258" s="200" t="str">
        <f aca="false">IF($A259="","",VLOOKUP($A258,Table,MATCH(G$4,Curves,0)))</f>
        <v/>
      </c>
      <c r="H258" s="201" t="str">
        <f aca="false">IF(A259="","",G258)</f>
        <v/>
      </c>
      <c r="I258" s="202"/>
      <c r="J258" s="200" t="str">
        <f aca="false">IF($A259="","",VLOOKUP($A258,Table,MATCH(J$4,Curves,0)))</f>
        <v/>
      </c>
      <c r="K258" s="201" t="str">
        <f aca="false">IF(A259="","",J258)</f>
        <v/>
      </c>
      <c r="L258" s="200" t="str">
        <f aca="false">IF($A259="","",VLOOKUP($A258,Table,MATCH(L$4,Curves,0)))</f>
        <v/>
      </c>
      <c r="M258" s="201" t="str">
        <f aca="false">IF(A259="","",L258)</f>
        <v/>
      </c>
      <c r="N258" s="203"/>
      <c r="O258" s="200" t="str">
        <f aca="false">IF(A259="","",L258+J258+G258)</f>
        <v/>
      </c>
      <c r="P258" s="200" t="str">
        <f aca="false">IF(A259="","",M258+K258+H258)</f>
        <v/>
      </c>
      <c r="Q258" s="204"/>
      <c r="R258" s="200" t="str">
        <f aca="false">IF($A259="","",VLOOKUP($A258,Table,MATCH(R$4,Curves,0)))</f>
        <v/>
      </c>
      <c r="S258" s="201" t="str">
        <f aca="false">IF(A259="","",R258)</f>
        <v/>
      </c>
      <c r="T258" s="200" t="str">
        <f aca="false">IF($A259="","",VLOOKUP($A258,Table,MATCH(T$4,Curves,0)))</f>
        <v/>
      </c>
      <c r="U258" s="201" t="str">
        <f aca="false">IF(A259="","",T258)</f>
        <v/>
      </c>
      <c r="V258" s="183" t="str">
        <f aca="false">IF($A259="","",IF(AND(MONTH(A258)&gt;3,MONTH(A258)&lt;11),(T258+R258+G258)*Summary!$T$7/(1-Summary!$T$7),(T258+R258+G258)*Summary!$U$7/(1-Summary!$U$7)))</f>
        <v/>
      </c>
      <c r="W258" s="200" t="str">
        <f aca="false">IF($A259="","",(T258+R258+G258+V258))</f>
        <v/>
      </c>
      <c r="X258" s="200" t="str">
        <f aca="false">IF($A259="","",(U258+S258+H258+V258))</f>
        <v/>
      </c>
      <c r="Y258" s="202"/>
      <c r="Z258" s="185" t="str">
        <f aca="false">IF($A259="","",VLOOKUP($A258,Table,MATCH(Z$4,Curves,0)))</f>
        <v/>
      </c>
      <c r="AA258" s="185" t="str">
        <f aca="false">IF($A259="","",VLOOKUP($A258,Table,MATCH(AA$4,Curves,0)))</f>
        <v/>
      </c>
      <c r="AB258" s="185" t="e">
        <f aca="false">SQRT((AA258^2*(A258-$D$3)+Z258^2*(DAY(EOMONTH(A258,0))/2))/AK258)</f>
        <v>#VALUE!</v>
      </c>
      <c r="AC258" s="185" t="str">
        <f aca="false">IF($A259="","",VLOOKUP($A258,Table,MATCH(AC$4,Curves,0)))</f>
        <v/>
      </c>
      <c r="AD258" s="185" t="str">
        <f aca="false">IF($A259="","",VLOOKUP($A258,Table,MATCH(AD$4,Curves,0)))</f>
        <v/>
      </c>
      <c r="AE258" s="185" t="e">
        <f aca="false">SQRT((AD258^2*(A258-$D$3)+AC258^2*(DAY(EOMONTH(A258,0))/2))/AK258)</f>
        <v>#VALUE!</v>
      </c>
      <c r="AF258" s="206" t="e">
        <f aca="false">((Summary!$N$7*(AA258*AD258)*(A258-$D$3))+(Summary!$M$7*Z258*AC258*(DAY(EOMONTH(A258,0))/2)))/(AK258*AB258*AE258)</f>
        <v>#VALUE!</v>
      </c>
      <c r="AG258" s="207" t="str">
        <f aca="false">IF($A259="","",Summary!$Q$7)</f>
        <v/>
      </c>
      <c r="AH258" s="207" t="str">
        <f aca="false">IF($A259="","",IF(Summary!$R$7="Y",(VLOOKUP($A258,Summary!$AD$6:$AF$9,3)+'Escalating commodity'!C271),'Escalating commodity'!C271))</f>
        <v/>
      </c>
      <c r="AI258" s="207" t="str">
        <f aca="false">IF($A259="","",AH258)</f>
        <v/>
      </c>
      <c r="AJ258" s="208" t="e">
        <f aca="false">A258+DAY(EOMONTH(A258,0))/2-1</f>
        <v>#VALUE!</v>
      </c>
      <c r="AK258" s="209" t="str">
        <f aca="false">IF($A259="","",$A258-$E$1)</f>
        <v/>
      </c>
      <c r="AL258" s="182" t="str">
        <f aca="false">IF($A259="","",SPRDOPT(P258,X258,AI258,0,AB258,AE258,AF258,AK258,$AJ$2,0))</f>
        <v/>
      </c>
      <c r="AM258" s="210" t="str">
        <f aca="false">IF($A259="","",MAX(0,O258-W258-AI258))</f>
        <v/>
      </c>
      <c r="AN258" s="211" t="str">
        <f aca="false">IF($A259="","",AL258-AM258)</f>
        <v/>
      </c>
      <c r="AO258" s="137" t="str">
        <f aca="false">IF(A259="","",A259-A258)</f>
        <v/>
      </c>
      <c r="AP258" s="212" t="str">
        <f aca="false">IF(A259="","",CHOOSE(F$3,A259+24,A258))</f>
        <v/>
      </c>
      <c r="AQ258" s="209" t="str">
        <f aca="false">IF(A259="","",AP258-$E$1)</f>
        <v/>
      </c>
      <c r="AR258" s="185" t="n">
        <f aca="false">IF(Summary!$H$2=1,VLOOKUP('ANR OK vs ML7'!A258,Curves!$C$17:$AR$273,MATCH('ANR OK vs ML7'!$AR$4,Curves!$C$8:$AQ$8,0)),0.1)</f>
        <v>0.1</v>
      </c>
      <c r="AS258" s="213" t="str">
        <f aca="false">IF(A259="","",1/(1+CHOOSE(F$3,(AR259+($I$3/10000))/2,(AR258+($I$3/10000))/2))^(2*AQ258/365.25))</f>
        <v/>
      </c>
      <c r="AT258" s="137" t="str">
        <f aca="false">IF(A259="","",IF(AND(mthbeg&lt;=A258,mthend&gt;=A258),1,0))</f>
        <v/>
      </c>
      <c r="AU258" s="137" t="str">
        <f aca="false">IF(A259="","",AO258*AT258)</f>
        <v/>
      </c>
      <c r="AW258" s="195" t="str">
        <f aca="false">IF($A259="","",AL258*$E258)</f>
        <v/>
      </c>
      <c r="AX258" s="195" t="str">
        <f aca="false">IF($A259="","",AM258*$E258)</f>
        <v/>
      </c>
      <c r="AY258" s="195" t="str">
        <f aca="false">IF($A259="","",AN258*$E258)</f>
        <v/>
      </c>
      <c r="BA258" s="195" t="str">
        <f aca="false">IF($A259="","",F258*Summary!$Q$7)</f>
        <v/>
      </c>
    </row>
    <row r="259" customFormat="false" ht="12" hidden="false" customHeight="true" outlineLevel="0" collapsed="false">
      <c r="A259" s="196" t="str">
        <f aca="false">IF(A258&lt;mthend,EDATE(A258,1),"")</f>
        <v/>
      </c>
      <c r="B259" s="197" t="str">
        <f aca="false">IF(A259&lt;mthend,B258,"")</f>
        <v/>
      </c>
      <c r="C259" s="215"/>
      <c r="D259" s="197" t="str">
        <f aca="false">IF(A260&lt;&gt;"",B259+C259,"")</f>
        <v/>
      </c>
      <c r="E259" s="199" t="str">
        <f aca="false">IF(A260="","",IF(AND(AT259=1,$H$3=1),D259*AO259,IF($H$3=2,D259,"N/A")))</f>
        <v/>
      </c>
      <c r="F259" s="199" t="str">
        <f aca="false">IF(A260="","",E259*AS259)</f>
        <v/>
      </c>
      <c r="G259" s="200" t="str">
        <f aca="false">IF($A260="","",VLOOKUP($A259,Table,MATCH(G$4,Curves,0)))</f>
        <v/>
      </c>
      <c r="H259" s="201" t="str">
        <f aca="false">IF(A260="","",G259)</f>
        <v/>
      </c>
      <c r="I259" s="202"/>
      <c r="J259" s="200" t="str">
        <f aca="false">IF($A260="","",VLOOKUP($A259,Table,MATCH(J$4,Curves,0)))</f>
        <v/>
      </c>
      <c r="K259" s="201" t="str">
        <f aca="false">IF(A260="","",J259)</f>
        <v/>
      </c>
      <c r="L259" s="200" t="str">
        <f aca="false">IF($A260="","",VLOOKUP($A259,Table,MATCH(L$4,Curves,0)))</f>
        <v/>
      </c>
      <c r="M259" s="201" t="str">
        <f aca="false">IF(A260="","",L259)</f>
        <v/>
      </c>
      <c r="N259" s="203"/>
      <c r="O259" s="200" t="str">
        <f aca="false">IF(A260="","",L259+J259+G259)</f>
        <v/>
      </c>
      <c r="P259" s="200" t="str">
        <f aca="false">IF(A260="","",M259+K259+H259)</f>
        <v/>
      </c>
      <c r="Q259" s="204"/>
      <c r="R259" s="200" t="str">
        <f aca="false">IF($A260="","",VLOOKUP($A259,Table,MATCH(R$4,Curves,0)))</f>
        <v/>
      </c>
      <c r="S259" s="201" t="str">
        <f aca="false">IF(A260="","",R259)</f>
        <v/>
      </c>
      <c r="T259" s="200" t="str">
        <f aca="false">IF($A260="","",VLOOKUP($A259,Table,MATCH(T$4,Curves,0)))</f>
        <v/>
      </c>
      <c r="U259" s="201" t="str">
        <f aca="false">IF(A260="","",T259)</f>
        <v/>
      </c>
      <c r="V259" s="183" t="str">
        <f aca="false">IF($A260="","",IF(AND(MONTH(A259)&gt;3,MONTH(A259)&lt;11),(T259+R259+G259)*Summary!$T$7/(1-Summary!$T$7),(T259+R259+G259)*Summary!$U$7/(1-Summary!$U$7)))</f>
        <v/>
      </c>
      <c r="W259" s="200" t="str">
        <f aca="false">IF($A260="","",(T259+R259+G259+V259))</f>
        <v/>
      </c>
      <c r="X259" s="200" t="str">
        <f aca="false">IF($A260="","",(U259+S259+H259+V259))</f>
        <v/>
      </c>
      <c r="Y259" s="202"/>
      <c r="Z259" s="185" t="str">
        <f aca="false">IF($A260="","",VLOOKUP($A259,Table,MATCH(Z$4,Curves,0)))</f>
        <v/>
      </c>
      <c r="AA259" s="185" t="str">
        <f aca="false">IF($A260="","",VLOOKUP($A259,Table,MATCH(AA$4,Curves,0)))</f>
        <v/>
      </c>
      <c r="AB259" s="185" t="e">
        <f aca="false">SQRT((AA259^2*(A259-$D$3)+Z259^2*(DAY(EOMONTH(A259,0))/2))/AK259)</f>
        <v>#VALUE!</v>
      </c>
      <c r="AC259" s="185" t="str">
        <f aca="false">IF($A260="","",VLOOKUP($A259,Table,MATCH(AC$4,Curves,0)))</f>
        <v/>
      </c>
      <c r="AD259" s="185" t="str">
        <f aca="false">IF($A260="","",VLOOKUP($A259,Table,MATCH(AD$4,Curves,0)))</f>
        <v/>
      </c>
      <c r="AE259" s="185" t="e">
        <f aca="false">SQRT((AD259^2*(A259-$D$3)+AC259^2*(DAY(EOMONTH(A259,0))/2))/AK259)</f>
        <v>#VALUE!</v>
      </c>
      <c r="AF259" s="206" t="e">
        <f aca="false">((Summary!$N$7*(AA259*AD259)*(A259-$D$3))+(Summary!$M$7*Z259*AC259*(DAY(EOMONTH(A259,0))/2)))/(AK259*AB259*AE259)</f>
        <v>#VALUE!</v>
      </c>
      <c r="AG259" s="207" t="str">
        <f aca="false">IF($A260="","",Summary!$Q$7)</f>
        <v/>
      </c>
      <c r="AH259" s="207" t="str">
        <f aca="false">IF($A260="","",IF(Summary!$R$7="Y",(VLOOKUP($A259,Summary!$AD$6:$AF$9,3)+'Escalating commodity'!C272),'Escalating commodity'!C272))</f>
        <v/>
      </c>
      <c r="AI259" s="207" t="str">
        <f aca="false">IF($A260="","",AH259)</f>
        <v/>
      </c>
      <c r="AJ259" s="208" t="e">
        <f aca="false">A259+DAY(EOMONTH(A259,0))/2-1</f>
        <v>#VALUE!</v>
      </c>
      <c r="AK259" s="209" t="str">
        <f aca="false">IF($A260="","",$A259-$E$1)</f>
        <v/>
      </c>
      <c r="AL259" s="182" t="str">
        <f aca="false">IF($A260="","",SPRDOPT(P259,X259,AI259,0,AB259,AE259,AF259,AK259,$AJ$2,0))</f>
        <v/>
      </c>
      <c r="AM259" s="210" t="str">
        <f aca="false">IF($A260="","",MAX(0,O259-W259-AI259))</f>
        <v/>
      </c>
      <c r="AN259" s="211" t="str">
        <f aca="false">IF($A260="","",AL259-AM259)</f>
        <v/>
      </c>
      <c r="AO259" s="137" t="str">
        <f aca="false">IF(A260="","",A260-A259)</f>
        <v/>
      </c>
      <c r="AP259" s="212" t="str">
        <f aca="false">IF(A260="","",CHOOSE(F$3,A260+24,A259))</f>
        <v/>
      </c>
      <c r="AQ259" s="209" t="str">
        <f aca="false">IF(A260="","",AP259-$E$1)</f>
        <v/>
      </c>
      <c r="AR259" s="185" t="n">
        <f aca="false">IF(Summary!$H$2=1,VLOOKUP('ANR OK vs ML7'!A259,Curves!$C$17:$AR$273,MATCH('ANR OK vs ML7'!$AR$4,Curves!$C$8:$AQ$8,0)),0.1)</f>
        <v>0.1</v>
      </c>
      <c r="AS259" s="213" t="str">
        <f aca="false">IF(A260="","",1/(1+CHOOSE(F$3,(AR260+($I$3/10000))/2,(AR259+($I$3/10000))/2))^(2*AQ259/365.25))</f>
        <v/>
      </c>
      <c r="AT259" s="137" t="str">
        <f aca="false">IF(A260="","",IF(AND(mthbeg&lt;=A259,mthend&gt;=A259),1,0))</f>
        <v/>
      </c>
      <c r="AU259" s="137" t="str">
        <f aca="false">IF(A260="","",AO259*AT259)</f>
        <v/>
      </c>
      <c r="AW259" s="195" t="str">
        <f aca="false">IF($A260="","",AL259*$E259)</f>
        <v/>
      </c>
      <c r="AX259" s="195" t="str">
        <f aca="false">IF($A260="","",AM259*$E259)</f>
        <v/>
      </c>
      <c r="AY259" s="195" t="str">
        <f aca="false">IF($A260="","",AN259*$E259)</f>
        <v/>
      </c>
      <c r="BA259" s="195" t="str">
        <f aca="false">IF($A260="","",F259*Summary!$Q$7)</f>
        <v/>
      </c>
    </row>
    <row r="260" customFormat="false" ht="12" hidden="false" customHeight="true" outlineLevel="0" collapsed="false">
      <c r="A260" s="196" t="str">
        <f aca="false">IF(A259&lt;mthend,EDATE(A259,1),"")</f>
        <v/>
      </c>
      <c r="B260" s="197" t="str">
        <f aca="false">IF(A260&lt;mthend,B259,"")</f>
        <v/>
      </c>
      <c r="C260" s="215"/>
      <c r="D260" s="197" t="str">
        <f aca="false">IF(A261&lt;&gt;"",B260+C260,"")</f>
        <v/>
      </c>
      <c r="E260" s="199" t="str">
        <f aca="false">IF(A261="","",IF(AND(AT260=1,$H$3=1),D260*AO260,IF($H$3=2,D260,"N/A")))</f>
        <v/>
      </c>
      <c r="F260" s="199" t="str">
        <f aca="false">IF(A261="","",E260*AS260)</f>
        <v/>
      </c>
      <c r="G260" s="200" t="str">
        <f aca="false">IF($A261="","",VLOOKUP($A260,Table,MATCH(G$4,Curves,0)))</f>
        <v/>
      </c>
      <c r="H260" s="201" t="str">
        <f aca="false">IF(A261="","",G260)</f>
        <v/>
      </c>
      <c r="I260" s="202"/>
      <c r="J260" s="200" t="str">
        <f aca="false">IF($A261="","",VLOOKUP($A260,Table,MATCH(J$4,Curves,0)))</f>
        <v/>
      </c>
      <c r="K260" s="201" t="str">
        <f aca="false">IF(A261="","",J260)</f>
        <v/>
      </c>
      <c r="L260" s="200" t="str">
        <f aca="false">IF($A261="","",VLOOKUP($A260,Table,MATCH(L$4,Curves,0)))</f>
        <v/>
      </c>
      <c r="M260" s="201" t="str">
        <f aca="false">IF(A261="","",L260)</f>
        <v/>
      </c>
      <c r="N260" s="203"/>
      <c r="O260" s="200" t="str">
        <f aca="false">IF(A261="","",L260+J260+G260)</f>
        <v/>
      </c>
      <c r="P260" s="200" t="str">
        <f aca="false">IF(A261="","",M260+K260+H260)</f>
        <v/>
      </c>
      <c r="Q260" s="204"/>
      <c r="R260" s="200" t="str">
        <f aca="false">IF($A261="","",VLOOKUP($A260,Table,MATCH(R$4,Curves,0)))</f>
        <v/>
      </c>
      <c r="S260" s="201" t="str">
        <f aca="false">IF(A261="","",R260)</f>
        <v/>
      </c>
      <c r="T260" s="200" t="str">
        <f aca="false">IF($A261="","",VLOOKUP($A260,Table,MATCH(T$4,Curves,0)))</f>
        <v/>
      </c>
      <c r="U260" s="201" t="str">
        <f aca="false">IF(A261="","",T260)</f>
        <v/>
      </c>
      <c r="V260" s="183" t="str">
        <f aca="false">IF($A261="","",IF(AND(MONTH(A260)&gt;3,MONTH(A260)&lt;11),(T260+R260+G260)*Summary!$T$7/(1-Summary!$T$7),(T260+R260+G260)*Summary!$U$7/(1-Summary!$U$7)))</f>
        <v/>
      </c>
      <c r="W260" s="200" t="str">
        <f aca="false">IF($A261="","",(T260+R260+G260+V260))</f>
        <v/>
      </c>
      <c r="X260" s="200" t="str">
        <f aca="false">IF($A261="","",(U260+S260+H260+V260))</f>
        <v/>
      </c>
      <c r="Y260" s="202"/>
      <c r="Z260" s="185" t="str">
        <f aca="false">IF($A261="","",VLOOKUP($A260,Table,MATCH(Z$4,Curves,0)))</f>
        <v/>
      </c>
      <c r="AA260" s="185" t="str">
        <f aca="false">IF($A261="","",VLOOKUP($A260,Table,MATCH(AA$4,Curves,0)))</f>
        <v/>
      </c>
      <c r="AB260" s="185" t="e">
        <f aca="false">SQRT((AA260^2*(A260-$D$3)+Z260^2*(DAY(EOMONTH(A260,0))/2))/AK260)</f>
        <v>#VALUE!</v>
      </c>
      <c r="AC260" s="185" t="str">
        <f aca="false">IF($A261="","",VLOOKUP($A260,Table,MATCH(AC$4,Curves,0)))</f>
        <v/>
      </c>
      <c r="AD260" s="185" t="str">
        <f aca="false">IF($A261="","",VLOOKUP($A260,Table,MATCH(AD$4,Curves,0)))</f>
        <v/>
      </c>
      <c r="AE260" s="185" t="e">
        <f aca="false">SQRT((AD260^2*(A260-$D$3)+AC260^2*(DAY(EOMONTH(A260,0))/2))/AK260)</f>
        <v>#VALUE!</v>
      </c>
      <c r="AF260" s="206" t="e">
        <f aca="false">((Summary!$N$7*(AA260*AD260)*(A260-$D$3))+(Summary!$M$7*Z260*AC260*(DAY(EOMONTH(A260,0))/2)))/(AK260*AB260*AE260)</f>
        <v>#VALUE!</v>
      </c>
      <c r="AG260" s="207" t="str">
        <f aca="false">IF($A261="","",Summary!$Q$7)</f>
        <v/>
      </c>
      <c r="AH260" s="207" t="str">
        <f aca="false">IF($A261="","",IF(Summary!$R$7="Y",(VLOOKUP($A260,Summary!$AD$6:$AF$9,3)+'Escalating commodity'!C273),'Escalating commodity'!C273))</f>
        <v/>
      </c>
      <c r="AI260" s="207" t="str">
        <f aca="false">IF($A261="","",AH260)</f>
        <v/>
      </c>
      <c r="AJ260" s="208" t="e">
        <f aca="false">A260+DAY(EOMONTH(A260,0))/2-1</f>
        <v>#VALUE!</v>
      </c>
      <c r="AK260" s="209" t="str">
        <f aca="false">IF($A261="","",$A260-$E$1)</f>
        <v/>
      </c>
      <c r="AL260" s="182" t="str">
        <f aca="false">IF($A261="","",SPRDOPT(P260,X260,AI260,0,AB260,AE260,AF260,AK260,$AJ$2,0))</f>
        <v/>
      </c>
      <c r="AM260" s="210" t="str">
        <f aca="false">IF($A261="","",MAX(0,O260-W260-AI260))</f>
        <v/>
      </c>
      <c r="AN260" s="211" t="str">
        <f aca="false">IF($A261="","",AL260-AM260)</f>
        <v/>
      </c>
      <c r="AO260" s="137" t="str">
        <f aca="false">IF(A261="","",A261-A260)</f>
        <v/>
      </c>
      <c r="AP260" s="212" t="str">
        <f aca="false">IF(A261="","",CHOOSE(F$3,A261+24,A260))</f>
        <v/>
      </c>
      <c r="AQ260" s="209" t="str">
        <f aca="false">IF(A261="","",AP260-$E$1)</f>
        <v/>
      </c>
      <c r="AR260" s="185" t="n">
        <f aca="false">IF(Summary!$H$2=1,VLOOKUP('ANR OK vs ML7'!A260,Curves!$C$17:$AR$273,MATCH('ANR OK vs ML7'!$AR$4,Curves!$C$8:$AQ$8,0)),0.1)</f>
        <v>0.1</v>
      </c>
      <c r="AS260" s="213" t="str">
        <f aca="false">IF(A261="","",1/(1+CHOOSE(F$3,(AR261+($I$3/10000))/2,(AR260+($I$3/10000))/2))^(2*AQ260/365.25))</f>
        <v/>
      </c>
      <c r="AT260" s="137" t="str">
        <f aca="false">IF(A261="","",IF(AND(mthbeg&lt;=A260,mthend&gt;=A260),1,0))</f>
        <v/>
      </c>
      <c r="AU260" s="137" t="str">
        <f aca="false">IF(A261="","",AO260*AT260)</f>
        <v/>
      </c>
      <c r="AW260" s="195" t="str">
        <f aca="false">IF($A261="","",AL260*$E260)</f>
        <v/>
      </c>
      <c r="AX260" s="195" t="str">
        <f aca="false">IF($A261="","",AM260*$E260)</f>
        <v/>
      </c>
      <c r="AY260" s="195" t="str">
        <f aca="false">IF($A261="","",AN260*$E260)</f>
        <v/>
      </c>
      <c r="BA260" s="195" t="str">
        <f aca="false">IF($A261="","",F260*Summary!$Q$7)</f>
        <v/>
      </c>
    </row>
    <row r="261" customFormat="false" ht="12" hidden="false" customHeight="true" outlineLevel="0" collapsed="false">
      <c r="A261" s="196" t="str">
        <f aca="false">IF(A260&lt;mthend,EDATE(A260,1),"")</f>
        <v/>
      </c>
      <c r="B261" s="197" t="str">
        <f aca="false">IF(A261&lt;mthend,B260,"")</f>
        <v/>
      </c>
      <c r="C261" s="215"/>
      <c r="D261" s="197" t="str">
        <f aca="false">IF(A262&lt;&gt;"",B261+C261,"")</f>
        <v/>
      </c>
      <c r="E261" s="199" t="str">
        <f aca="false">IF(A262="","",IF(AND(AT261=1,$H$3=1),D261*AO261,IF($H$3=2,D261,"N/A")))</f>
        <v/>
      </c>
      <c r="F261" s="199" t="str">
        <f aca="false">IF(A262="","",E261*AS261)</f>
        <v/>
      </c>
      <c r="G261" s="200" t="str">
        <f aca="false">IF($A262="","",VLOOKUP($A261,Table,MATCH(G$4,Curves,0)))</f>
        <v/>
      </c>
      <c r="H261" s="201" t="str">
        <f aca="false">IF(A262="","",G261)</f>
        <v/>
      </c>
      <c r="I261" s="202"/>
      <c r="J261" s="200" t="str">
        <f aca="false">IF($A262="","",VLOOKUP($A261,Table,MATCH(J$4,Curves,0)))</f>
        <v/>
      </c>
      <c r="K261" s="201" t="str">
        <f aca="false">IF(A262="","",J261)</f>
        <v/>
      </c>
      <c r="L261" s="200" t="str">
        <f aca="false">IF($A262="","",VLOOKUP($A261,Table,MATCH(L$4,Curves,0)))</f>
        <v/>
      </c>
      <c r="M261" s="201" t="str">
        <f aca="false">IF(A262="","",L261)</f>
        <v/>
      </c>
      <c r="N261" s="203"/>
      <c r="O261" s="200" t="str">
        <f aca="false">IF(A262="","",L261+J261+G261)</f>
        <v/>
      </c>
      <c r="P261" s="200" t="str">
        <f aca="false">IF(A262="","",M261+K261+H261)</f>
        <v/>
      </c>
      <c r="Q261" s="204"/>
      <c r="R261" s="200" t="str">
        <f aca="false">IF($A262="","",VLOOKUP($A261,Table,MATCH(R$4,Curves,0)))</f>
        <v/>
      </c>
      <c r="S261" s="201" t="str">
        <f aca="false">IF(A262="","",R261)</f>
        <v/>
      </c>
      <c r="T261" s="200" t="str">
        <f aca="false">IF($A262="","",VLOOKUP($A261,Table,MATCH(T$4,Curves,0)))</f>
        <v/>
      </c>
      <c r="U261" s="201" t="str">
        <f aca="false">IF(A262="","",T261)</f>
        <v/>
      </c>
      <c r="V261" s="183" t="str">
        <f aca="false">IF($A262="","",IF(AND(MONTH(A261)&gt;3,MONTH(A261)&lt;11),(T261+R261+G261)*Summary!$T$7/(1-Summary!$T$7),(T261+R261+G261)*Summary!$U$7/(1-Summary!$U$7)))</f>
        <v/>
      </c>
      <c r="W261" s="200" t="str">
        <f aca="false">IF($A262="","",(T261+R261+G261+V261))</f>
        <v/>
      </c>
      <c r="X261" s="200" t="str">
        <f aca="false">IF($A262="","",(U261+S261+H261+V261))</f>
        <v/>
      </c>
      <c r="Y261" s="202"/>
      <c r="Z261" s="185" t="str">
        <f aca="false">IF($A262="","",VLOOKUP($A261,Table,MATCH(Z$4,Curves,0)))</f>
        <v/>
      </c>
      <c r="AA261" s="185" t="str">
        <f aca="false">IF($A262="","",VLOOKUP($A261,Table,MATCH(AA$4,Curves,0)))</f>
        <v/>
      </c>
      <c r="AB261" s="185" t="e">
        <f aca="false">SQRT((AA261^2*(A261-$D$3)+Z261^2*(DAY(EOMONTH(A261,0))/2))/AK261)</f>
        <v>#VALUE!</v>
      </c>
      <c r="AC261" s="185" t="str">
        <f aca="false">IF($A262="","",VLOOKUP($A261,Table,MATCH(AC$4,Curves,0)))</f>
        <v/>
      </c>
      <c r="AD261" s="185" t="str">
        <f aca="false">IF($A262="","",VLOOKUP($A261,Table,MATCH(AD$4,Curves,0)))</f>
        <v/>
      </c>
      <c r="AE261" s="185" t="e">
        <f aca="false">SQRT((AD261^2*(A261-$D$3)+AC261^2*(DAY(EOMONTH(A261,0))/2))/AK261)</f>
        <v>#VALUE!</v>
      </c>
      <c r="AF261" s="206" t="e">
        <f aca="false">((Summary!$N$7*(AA261*AD261)*(A261-$D$3))+(Summary!$M$7*Z261*AC261*(DAY(EOMONTH(A261,0))/2)))/(AK261*AB261*AE261)</f>
        <v>#VALUE!</v>
      </c>
      <c r="AG261" s="207" t="str">
        <f aca="false">IF($A262="","",Summary!$Q$7)</f>
        <v/>
      </c>
      <c r="AH261" s="207" t="str">
        <f aca="false">IF($A262="","",IF(Summary!$R$7="Y",(VLOOKUP($A261,Summary!$AD$6:$AF$9,3)+'Escalating commodity'!C274),'Escalating commodity'!C274))</f>
        <v/>
      </c>
      <c r="AI261" s="207" t="str">
        <f aca="false">IF($A262="","",AH261)</f>
        <v/>
      </c>
      <c r="AJ261" s="208" t="e">
        <f aca="false">A261+DAY(EOMONTH(A261,0))/2-1</f>
        <v>#VALUE!</v>
      </c>
      <c r="AK261" s="209" t="str">
        <f aca="false">IF($A262="","",$A261-$E$1)</f>
        <v/>
      </c>
      <c r="AL261" s="182" t="str">
        <f aca="false">IF($A262="","",SPRDOPT(P261,X261,AI261,0,AB261,AE261,AF261,AK261,$AJ$2,0))</f>
        <v/>
      </c>
      <c r="AM261" s="210" t="str">
        <f aca="false">IF($A262="","",MAX(0,O261-W261-AI261))</f>
        <v/>
      </c>
      <c r="AN261" s="211" t="str">
        <f aca="false">IF($A262="","",AL261-AM261)</f>
        <v/>
      </c>
      <c r="AO261" s="137" t="str">
        <f aca="false">IF(A262="","",A262-A261)</f>
        <v/>
      </c>
      <c r="AP261" s="212" t="str">
        <f aca="false">IF(A262="","",CHOOSE(F$3,A262+24,A261))</f>
        <v/>
      </c>
      <c r="AQ261" s="209" t="str">
        <f aca="false">IF(A262="","",AP261-$E$1)</f>
        <v/>
      </c>
      <c r="AR261" s="185" t="n">
        <f aca="false">IF(Summary!$H$2=1,VLOOKUP('ANR OK vs ML7'!A261,Curves!$C$17:$AR$273,MATCH('ANR OK vs ML7'!$AR$4,Curves!$C$8:$AQ$8,0)),0.1)</f>
        <v>0.1</v>
      </c>
      <c r="AS261" s="213" t="str">
        <f aca="false">IF(A262="","",1/(1+CHOOSE(F$3,(AR262+($I$3/10000))/2,(AR261+($I$3/10000))/2))^(2*AQ261/365.25))</f>
        <v/>
      </c>
      <c r="AT261" s="137" t="str">
        <f aca="false">IF(A262="","",IF(AND(mthbeg&lt;=A261,mthend&gt;=A261),1,0))</f>
        <v/>
      </c>
      <c r="AU261" s="137" t="str">
        <f aca="false">IF(A262="","",AO261*AT261)</f>
        <v/>
      </c>
      <c r="AW261" s="195" t="str">
        <f aca="false">IF($A262="","",AL261*$E261)</f>
        <v/>
      </c>
      <c r="AX261" s="195" t="str">
        <f aca="false">IF($A262="","",AM261*$E261)</f>
        <v/>
      </c>
      <c r="AY261" s="195" t="str">
        <f aca="false">IF($A262="","",AN261*$E261)</f>
        <v/>
      </c>
      <c r="BA261" s="195" t="str">
        <f aca="false">IF($A262="","",F261*Summary!$Q$7)</f>
        <v/>
      </c>
    </row>
    <row r="262" customFormat="false" ht="12" hidden="false" customHeight="true" outlineLevel="0" collapsed="false">
      <c r="A262" s="196" t="str">
        <f aca="false">IF(A261&lt;mthend,EDATE(A261,1),"")</f>
        <v/>
      </c>
      <c r="B262" s="197" t="str">
        <f aca="false">IF(A262&lt;mthend,B261,"")</f>
        <v/>
      </c>
      <c r="C262" s="215"/>
      <c r="D262" s="197" t="str">
        <f aca="false">IF(A263&lt;&gt;"",B262+C262,"")</f>
        <v/>
      </c>
      <c r="E262" s="199" t="str">
        <f aca="false">IF(A263="","",IF(AND(AT262=1,$H$3=1),D262*AO262,IF($H$3=2,D262,"N/A")))</f>
        <v/>
      </c>
      <c r="F262" s="199" t="str">
        <f aca="false">IF(A263="","",E262*AS262)</f>
        <v/>
      </c>
      <c r="G262" s="200" t="str">
        <f aca="false">IF($A263="","",VLOOKUP($A262,Table,MATCH(G$4,Curves,0)))</f>
        <v/>
      </c>
      <c r="H262" s="201" t="str">
        <f aca="false">IF(A263="","",G262)</f>
        <v/>
      </c>
      <c r="I262" s="202"/>
      <c r="J262" s="200" t="str">
        <f aca="false">IF($A263="","",VLOOKUP($A262,Table,MATCH(J$4,Curves,0)))</f>
        <v/>
      </c>
      <c r="K262" s="201" t="str">
        <f aca="false">IF(A263="","",J262)</f>
        <v/>
      </c>
      <c r="L262" s="200" t="str">
        <f aca="false">IF($A263="","",VLOOKUP($A262,Table,MATCH(L$4,Curves,0)))</f>
        <v/>
      </c>
      <c r="M262" s="201" t="str">
        <f aca="false">IF(A263="","",L262)</f>
        <v/>
      </c>
      <c r="N262" s="203"/>
      <c r="O262" s="200" t="str">
        <f aca="false">IF(A263="","",L262+J262+G262)</f>
        <v/>
      </c>
      <c r="P262" s="200" t="str">
        <f aca="false">IF(A263="","",M262+K262+H262)</f>
        <v/>
      </c>
      <c r="Q262" s="204"/>
      <c r="R262" s="200" t="str">
        <f aca="false">IF($A263="","",VLOOKUP($A262,Table,MATCH(R$4,Curves,0)))</f>
        <v/>
      </c>
      <c r="S262" s="201" t="str">
        <f aca="false">IF(A263="","",R262)</f>
        <v/>
      </c>
      <c r="T262" s="200" t="str">
        <f aca="false">IF($A263="","",VLOOKUP($A262,Table,MATCH(T$4,Curves,0)))</f>
        <v/>
      </c>
      <c r="U262" s="201" t="str">
        <f aca="false">IF(A263="","",T262)</f>
        <v/>
      </c>
      <c r="V262" s="183" t="str">
        <f aca="false">IF($A263="","",IF(AND(MONTH(A262)&gt;3,MONTH(A262)&lt;11),(T262+R262+G262)*Summary!$T$7/(1-Summary!$T$7),(T262+R262+G262)*Summary!$U$7/(1-Summary!$U$7)))</f>
        <v/>
      </c>
      <c r="W262" s="200" t="str">
        <f aca="false">IF($A263="","",(T262+R262+G262+V262))</f>
        <v/>
      </c>
      <c r="X262" s="200" t="str">
        <f aca="false">IF($A263="","",(U262+S262+H262+V262))</f>
        <v/>
      </c>
      <c r="Y262" s="202"/>
      <c r="Z262" s="185" t="str">
        <f aca="false">IF($A263="","",VLOOKUP($A262,Table,MATCH(Z$4,Curves,0)))</f>
        <v/>
      </c>
      <c r="AA262" s="185" t="str">
        <f aca="false">IF($A263="","",VLOOKUP($A262,Table,MATCH(AA$4,Curves,0)))</f>
        <v/>
      </c>
      <c r="AB262" s="185" t="e">
        <f aca="false">SQRT((AA262^2*(A262-$D$3)+Z262^2*(DAY(EOMONTH(A262,0))/2))/AK262)</f>
        <v>#VALUE!</v>
      </c>
      <c r="AC262" s="185" t="str">
        <f aca="false">IF($A263="","",VLOOKUP($A262,Table,MATCH(AC$4,Curves,0)))</f>
        <v/>
      </c>
      <c r="AD262" s="185" t="str">
        <f aca="false">IF($A263="","",VLOOKUP($A262,Table,MATCH(AD$4,Curves,0)))</f>
        <v/>
      </c>
      <c r="AE262" s="185" t="e">
        <f aca="false">SQRT((AD262^2*(A262-$D$3)+AC262^2*(DAY(EOMONTH(A262,0))/2))/AK262)</f>
        <v>#VALUE!</v>
      </c>
      <c r="AF262" s="206" t="e">
        <f aca="false">((Summary!$N$7*(AA262*AD262)*(A262-$D$3))+(Summary!$M$7*Z262*AC262*(DAY(EOMONTH(A262,0))/2)))/(AK262*AB262*AE262)</f>
        <v>#VALUE!</v>
      </c>
      <c r="AG262" s="207" t="str">
        <f aca="false">IF($A263="","",Summary!$Q$7)</f>
        <v/>
      </c>
      <c r="AH262" s="207" t="str">
        <f aca="false">IF($A263="","",IF(Summary!$R$7="Y",(VLOOKUP($A262,Summary!$AD$6:$AF$9,3)+'Escalating commodity'!C275),'Escalating commodity'!C275))</f>
        <v/>
      </c>
      <c r="AI262" s="207" t="str">
        <f aca="false">IF($A263="","",AH262)</f>
        <v/>
      </c>
      <c r="AJ262" s="208" t="e">
        <f aca="false">A262+DAY(EOMONTH(A262,0))/2-1</f>
        <v>#VALUE!</v>
      </c>
      <c r="AK262" s="209" t="str">
        <f aca="false">IF($A263="","",$A262-$E$1)</f>
        <v/>
      </c>
      <c r="AL262" s="182" t="str">
        <f aca="false">IF($A263="","",SPRDOPT(P262,X262,AI262,0,AB262,AE262,AF262,AK262,$AJ$2,0))</f>
        <v/>
      </c>
      <c r="AM262" s="210" t="str">
        <f aca="false">IF($A263="","",MAX(0,O262-W262-AI262))</f>
        <v/>
      </c>
      <c r="AN262" s="211" t="str">
        <f aca="false">IF($A263="","",AL262-AM262)</f>
        <v/>
      </c>
      <c r="AO262" s="137" t="str">
        <f aca="false">IF(A263="","",A263-A262)</f>
        <v/>
      </c>
      <c r="AP262" s="212" t="str">
        <f aca="false">IF(A263="","",CHOOSE(F$3,A263+24,A262))</f>
        <v/>
      </c>
      <c r="AQ262" s="209" t="str">
        <f aca="false">IF(A263="","",AP262-$E$1)</f>
        <v/>
      </c>
      <c r="AR262" s="185" t="n">
        <f aca="false">IF(Summary!$H$2=1,VLOOKUP('ANR OK vs ML7'!A262,Curves!$C$17:$AR$273,MATCH('ANR OK vs ML7'!$AR$4,Curves!$C$8:$AQ$8,0)),0.1)</f>
        <v>0.1</v>
      </c>
      <c r="AS262" s="213" t="str">
        <f aca="false">IF(A263="","",1/(1+CHOOSE(F$3,(AR263+($I$3/10000))/2,(AR262+($I$3/10000))/2))^(2*AQ262/365.25))</f>
        <v/>
      </c>
      <c r="AT262" s="137" t="str">
        <f aca="false">IF(A263="","",IF(AND(mthbeg&lt;=A262,mthend&gt;=A262),1,0))</f>
        <v/>
      </c>
      <c r="AU262" s="137" t="str">
        <f aca="false">IF(A263="","",AO262*AT262)</f>
        <v/>
      </c>
      <c r="AW262" s="195" t="str">
        <f aca="false">IF($A263="","",AL262*$E262)</f>
        <v/>
      </c>
      <c r="AX262" s="195" t="str">
        <f aca="false">IF($A263="","",AM262*$E262)</f>
        <v/>
      </c>
      <c r="AY262" s="195" t="str">
        <f aca="false">IF($A263="","",AN262*$E262)</f>
        <v/>
      </c>
      <c r="BA262" s="195" t="str">
        <f aca="false">IF($A263="","",F262*Summary!$Q$7)</f>
        <v/>
      </c>
    </row>
    <row r="263" customFormat="false" ht="12" hidden="false" customHeight="true" outlineLevel="0" collapsed="false">
      <c r="A263" s="196" t="str">
        <f aca="false">IF(A262&lt;mthend,EDATE(A262,1),"")</f>
        <v/>
      </c>
      <c r="B263" s="197" t="str">
        <f aca="false">IF(A263&lt;mthend,B262,"")</f>
        <v/>
      </c>
      <c r="C263" s="215"/>
      <c r="D263" s="197" t="str">
        <f aca="false">IF(A264&lt;&gt;"",B263+C263,"")</f>
        <v/>
      </c>
      <c r="E263" s="199" t="str">
        <f aca="false">IF(A264="","",IF(AND(AT263=1,$H$3=1),D263*AO263,IF($H$3=2,D263,"N/A")))</f>
        <v/>
      </c>
      <c r="F263" s="199" t="str">
        <f aca="false">IF(A264="","",E263*AS263)</f>
        <v/>
      </c>
      <c r="G263" s="200" t="str">
        <f aca="false">IF($A264="","",VLOOKUP($A263,Table,MATCH(G$4,Curves,0)))</f>
        <v/>
      </c>
      <c r="H263" s="201" t="str">
        <f aca="false">IF(A264="","",G263)</f>
        <v/>
      </c>
      <c r="I263" s="202"/>
      <c r="J263" s="200" t="str">
        <f aca="false">IF($A264="","",VLOOKUP($A263,Table,MATCH(J$4,Curves,0)))</f>
        <v/>
      </c>
      <c r="K263" s="201" t="str">
        <f aca="false">IF(A264="","",J263)</f>
        <v/>
      </c>
      <c r="L263" s="200" t="str">
        <f aca="false">IF($A264="","",VLOOKUP($A263,Table,MATCH(L$4,Curves,0)))</f>
        <v/>
      </c>
      <c r="M263" s="201" t="str">
        <f aca="false">IF(A264="","",L263)</f>
        <v/>
      </c>
      <c r="N263" s="203"/>
      <c r="O263" s="200" t="str">
        <f aca="false">IF(A264="","",L263+J263+G263)</f>
        <v/>
      </c>
      <c r="P263" s="200" t="str">
        <f aca="false">IF(A264="","",M263+K263+H263)</f>
        <v/>
      </c>
      <c r="Q263" s="204"/>
      <c r="R263" s="200" t="str">
        <f aca="false">IF($A264="","",VLOOKUP($A263,Table,MATCH(R$4,Curves,0)))</f>
        <v/>
      </c>
      <c r="S263" s="201" t="str">
        <f aca="false">IF(A264="","",R263)</f>
        <v/>
      </c>
      <c r="T263" s="200" t="str">
        <f aca="false">IF($A264="","",VLOOKUP($A263,Table,MATCH(T$4,Curves,0)))</f>
        <v/>
      </c>
      <c r="U263" s="201" t="str">
        <f aca="false">IF(A264="","",T263)</f>
        <v/>
      </c>
      <c r="V263" s="183" t="str">
        <f aca="false">IF($A264="","",IF(AND(MONTH(A263)&gt;3,MONTH(A263)&lt;11),(T263+R263+G263)*Summary!$T$7/(1-Summary!$T$7),(T263+R263+G263)*Summary!$U$7/(1-Summary!$U$7)))</f>
        <v/>
      </c>
      <c r="W263" s="200" t="str">
        <f aca="false">IF($A264="","",(T263+R263+G263+V263))</f>
        <v/>
      </c>
      <c r="X263" s="200" t="str">
        <f aca="false">IF($A264="","",(U263+S263+H263+V263))</f>
        <v/>
      </c>
      <c r="Y263" s="202"/>
      <c r="Z263" s="185" t="str">
        <f aca="false">IF($A264="","",VLOOKUP($A263,Table,MATCH(Z$4,Curves,0)))</f>
        <v/>
      </c>
      <c r="AA263" s="185" t="str">
        <f aca="false">IF($A264="","",VLOOKUP($A263,Table,MATCH(AA$4,Curves,0)))</f>
        <v/>
      </c>
      <c r="AB263" s="185" t="e">
        <f aca="false">SQRT((AA263^2*(A263-$D$3)+Z263^2*(DAY(EOMONTH(A263,0))/2))/AK263)</f>
        <v>#VALUE!</v>
      </c>
      <c r="AC263" s="185" t="str">
        <f aca="false">IF($A264="","",VLOOKUP($A263,Table,MATCH(AC$4,Curves,0)))</f>
        <v/>
      </c>
      <c r="AD263" s="185" t="str">
        <f aca="false">IF($A264="","",VLOOKUP($A263,Table,MATCH(AD$4,Curves,0)))</f>
        <v/>
      </c>
      <c r="AE263" s="185" t="e">
        <f aca="false">SQRT((AD263^2*(A263-$D$3)+AC263^2*(DAY(EOMONTH(A263,0))/2))/AK263)</f>
        <v>#VALUE!</v>
      </c>
      <c r="AF263" s="206" t="e">
        <f aca="false">((Summary!$N$7*(AA263*AD263)*(A263-$D$3))+(Summary!$M$7*Z263*AC263*(DAY(EOMONTH(A263,0))/2)))/(AK263*AB263*AE263)</f>
        <v>#VALUE!</v>
      </c>
      <c r="AG263" s="207" t="str">
        <f aca="false">IF($A264="","",Summary!$Q$7)</f>
        <v/>
      </c>
      <c r="AH263" s="207" t="str">
        <f aca="false">IF($A264="","",IF(Summary!$R$7="Y",(VLOOKUP($A263,Summary!$AD$6:$AF$9,3)+'Escalating commodity'!C276),'Escalating commodity'!C276))</f>
        <v/>
      </c>
      <c r="AI263" s="207" t="str">
        <f aca="false">IF($A264="","",AH263)</f>
        <v/>
      </c>
      <c r="AJ263" s="208" t="e">
        <f aca="false">A263+DAY(EOMONTH(A263,0))/2-1</f>
        <v>#VALUE!</v>
      </c>
      <c r="AK263" s="209" t="str">
        <f aca="false">IF($A264="","",$A263-$E$1)</f>
        <v/>
      </c>
      <c r="AL263" s="182" t="str">
        <f aca="false">IF($A264="","",SPRDOPT(P263,X263,AI263,0,AB263,AE263,AF263,AK263,$AJ$2,0))</f>
        <v/>
      </c>
      <c r="AM263" s="210" t="str">
        <f aca="false">IF($A264="","",MAX(0,O263-W263-AI263))</f>
        <v/>
      </c>
      <c r="AN263" s="211" t="str">
        <f aca="false">IF($A264="","",AL263-AM263)</f>
        <v/>
      </c>
      <c r="AO263" s="137" t="str">
        <f aca="false">IF(A264="","",A264-A263)</f>
        <v/>
      </c>
      <c r="AP263" s="212" t="str">
        <f aca="false">IF(A264="","",CHOOSE(F$3,A264+24,A263))</f>
        <v/>
      </c>
      <c r="AQ263" s="209" t="str">
        <f aca="false">IF(A264="","",AP263-$E$1)</f>
        <v/>
      </c>
      <c r="AR263" s="185" t="n">
        <f aca="false">IF(Summary!$H$2=1,VLOOKUP('ANR OK vs ML7'!A263,Curves!$C$17:$AR$273,MATCH('ANR OK vs ML7'!$AR$4,Curves!$C$8:$AQ$8,0)),0.1)</f>
        <v>0.1</v>
      </c>
      <c r="AS263" s="213" t="str">
        <f aca="false">IF(A264="","",1/(1+CHOOSE(F$3,(AR264+($I$3/10000))/2,(AR263+($I$3/10000))/2))^(2*AQ263/365.25))</f>
        <v/>
      </c>
      <c r="AT263" s="137" t="str">
        <f aca="false">IF(A264="","",IF(AND(mthbeg&lt;=A263,mthend&gt;=A263),1,0))</f>
        <v/>
      </c>
      <c r="AU263" s="137" t="str">
        <f aca="false">IF(A264="","",AO263*AT263)</f>
        <v/>
      </c>
      <c r="AW263" s="195" t="str">
        <f aca="false">IF($A264="","",AL263*$E263)</f>
        <v/>
      </c>
      <c r="AX263" s="195" t="str">
        <f aca="false">IF($A264="","",AM263*$E263)</f>
        <v/>
      </c>
      <c r="AY263" s="195" t="str">
        <f aca="false">IF($A264="","",AN263*$E263)</f>
        <v/>
      </c>
      <c r="BA263" s="195" t="str">
        <f aca="false">IF($A264="","",F263*Summary!$Q$7)</f>
        <v/>
      </c>
    </row>
    <row r="264" customFormat="false" ht="12" hidden="false" customHeight="true" outlineLevel="0" collapsed="false">
      <c r="A264" s="196" t="str">
        <f aca="false">IF(A263&lt;mthend,EDATE(A263,1),"")</f>
        <v/>
      </c>
      <c r="B264" s="197" t="str">
        <f aca="false">IF(A264&lt;mthend,B263,"")</f>
        <v/>
      </c>
      <c r="C264" s="215"/>
      <c r="D264" s="197" t="str">
        <f aca="false">IF(A265&lt;&gt;"",B264+C264,"")</f>
        <v/>
      </c>
      <c r="E264" s="199" t="str">
        <f aca="false">IF(A265="","",IF(AND(AT264=1,$H$3=1),D264*AO264,IF($H$3=2,D264,"N/A")))</f>
        <v/>
      </c>
      <c r="F264" s="199" t="str">
        <f aca="false">IF(A265="","",E264*AS264)</f>
        <v/>
      </c>
      <c r="G264" s="200" t="str">
        <f aca="false">IF($A265="","",VLOOKUP($A264,Table,MATCH(G$4,Curves,0)))</f>
        <v/>
      </c>
      <c r="H264" s="201" t="str">
        <f aca="false">IF(A265="","",G264)</f>
        <v/>
      </c>
      <c r="I264" s="202"/>
      <c r="J264" s="200" t="str">
        <f aca="false">IF($A265="","",VLOOKUP($A264,Table,MATCH(J$4,Curves,0)))</f>
        <v/>
      </c>
      <c r="K264" s="201" t="str">
        <f aca="false">IF(A265="","",J264)</f>
        <v/>
      </c>
      <c r="L264" s="200" t="str">
        <f aca="false">IF($A265="","",VLOOKUP($A264,Table,MATCH(L$4,Curves,0)))</f>
        <v/>
      </c>
      <c r="M264" s="201" t="str">
        <f aca="false">IF(A265="","",L264)</f>
        <v/>
      </c>
      <c r="N264" s="203"/>
      <c r="O264" s="200" t="str">
        <f aca="false">IF(A265="","",L264+J264+G264)</f>
        <v/>
      </c>
      <c r="P264" s="200" t="str">
        <f aca="false">IF(A265="","",M264+K264+H264)</f>
        <v/>
      </c>
      <c r="Q264" s="204"/>
      <c r="R264" s="200" t="str">
        <f aca="false">IF($A265="","",VLOOKUP($A264,Table,MATCH(R$4,Curves,0)))</f>
        <v/>
      </c>
      <c r="S264" s="201" t="str">
        <f aca="false">IF(A265="","",R264)</f>
        <v/>
      </c>
      <c r="T264" s="200" t="str">
        <f aca="false">IF($A265="","",VLOOKUP($A264,Table,MATCH(T$4,Curves,0)))</f>
        <v/>
      </c>
      <c r="U264" s="201" t="str">
        <f aca="false">IF(A265="","",T264)</f>
        <v/>
      </c>
      <c r="V264" s="183" t="str">
        <f aca="false">IF($A265="","",IF(AND(MONTH(A264)&gt;3,MONTH(A264)&lt;11),(T264+R264+G264)*Summary!$T$7/(1-Summary!$T$7),(T264+R264+G264)*Summary!$U$7/(1-Summary!$U$7)))</f>
        <v/>
      </c>
      <c r="W264" s="200" t="str">
        <f aca="false">IF($A265="","",(T264+R264+G264+V264))</f>
        <v/>
      </c>
      <c r="X264" s="200" t="str">
        <f aca="false">IF($A265="","",(U264+S264+H264+V264))</f>
        <v/>
      </c>
      <c r="Y264" s="202"/>
      <c r="Z264" s="185" t="str">
        <f aca="false">IF($A265="","",VLOOKUP($A264,Table,MATCH(Z$4,Curves,0)))</f>
        <v/>
      </c>
      <c r="AA264" s="185" t="str">
        <f aca="false">IF($A265="","",VLOOKUP($A264,Table,MATCH(AA$4,Curves,0)))</f>
        <v/>
      </c>
      <c r="AB264" s="185" t="e">
        <f aca="false">SQRT((AA264^2*(A264-$D$3)+Z264^2*(DAY(EOMONTH(A264,0))/2))/AK264)</f>
        <v>#VALUE!</v>
      </c>
      <c r="AC264" s="185" t="str">
        <f aca="false">IF($A265="","",VLOOKUP($A264,Table,MATCH(AC$4,Curves,0)))</f>
        <v/>
      </c>
      <c r="AD264" s="185" t="str">
        <f aca="false">IF($A265="","",VLOOKUP($A264,Table,MATCH(AD$4,Curves,0)))</f>
        <v/>
      </c>
      <c r="AE264" s="185" t="e">
        <f aca="false">SQRT((AD264^2*(A264-$D$3)+AC264^2*(DAY(EOMONTH(A264,0))/2))/AK264)</f>
        <v>#VALUE!</v>
      </c>
      <c r="AF264" s="206" t="e">
        <f aca="false">((Summary!$N$7*(AA264*AD264)*(A264-$D$3))+(Summary!$M$7*Z264*AC264*(DAY(EOMONTH(A264,0))/2)))/(AK264*AB264*AE264)</f>
        <v>#VALUE!</v>
      </c>
      <c r="AG264" s="207" t="str">
        <f aca="false">IF($A265="","",Summary!$Q$7)</f>
        <v/>
      </c>
      <c r="AH264" s="207" t="str">
        <f aca="false">IF($A265="","",IF(Summary!$R$7="Y",(VLOOKUP($A264,Summary!$AD$6:$AF$9,3)+'Escalating commodity'!C277),'Escalating commodity'!C277))</f>
        <v/>
      </c>
      <c r="AI264" s="207" t="str">
        <f aca="false">IF($A265="","",AH264)</f>
        <v/>
      </c>
      <c r="AJ264" s="208" t="e">
        <f aca="false">A264+DAY(EOMONTH(A264,0))/2-1</f>
        <v>#VALUE!</v>
      </c>
      <c r="AK264" s="209" t="str">
        <f aca="false">IF($A265="","",$A264-$E$1)</f>
        <v/>
      </c>
      <c r="AL264" s="182" t="str">
        <f aca="false">IF($A265="","",SPRDOPT(P264,X264,AI264,0,AB264,AE264,AF264,AK264,$AJ$2,0))</f>
        <v/>
      </c>
      <c r="AM264" s="210" t="str">
        <f aca="false">IF($A265="","",MAX(0,O264-W264-AI264))</f>
        <v/>
      </c>
      <c r="AN264" s="211" t="str">
        <f aca="false">IF($A265="","",AL264-AM264)</f>
        <v/>
      </c>
      <c r="AO264" s="137" t="str">
        <f aca="false">IF(A265="","",A265-A264)</f>
        <v/>
      </c>
      <c r="AP264" s="212" t="str">
        <f aca="false">IF(A265="","",CHOOSE(F$3,A265+24,A264))</f>
        <v/>
      </c>
      <c r="AQ264" s="209" t="str">
        <f aca="false">IF(A265="","",AP264-$E$1)</f>
        <v/>
      </c>
      <c r="AR264" s="185" t="n">
        <f aca="false">IF(Summary!$H$2=1,VLOOKUP('ANR OK vs ML7'!A264,Curves!$C$17:$AR$273,MATCH('ANR OK vs ML7'!$AR$4,Curves!$C$8:$AQ$8,0)),0.1)</f>
        <v>0.1</v>
      </c>
      <c r="AS264" s="213" t="str">
        <f aca="false">IF(A265="","",1/(1+CHOOSE(F$3,(AR265+($I$3/10000))/2,(AR264+($I$3/10000))/2))^(2*AQ264/365.25))</f>
        <v/>
      </c>
      <c r="AT264" s="137" t="str">
        <f aca="false">IF(A265="","",IF(AND(mthbeg&lt;=A264,mthend&gt;=A264),1,0))</f>
        <v/>
      </c>
      <c r="AU264" s="137" t="str">
        <f aca="false">IF(A265="","",AO264*AT264)</f>
        <v/>
      </c>
      <c r="AW264" s="195" t="str">
        <f aca="false">IF($A265="","",AL264*$E264)</f>
        <v/>
      </c>
      <c r="AX264" s="195" t="str">
        <f aca="false">IF($A265="","",AM264*$E264)</f>
        <v/>
      </c>
      <c r="AY264" s="195" t="str">
        <f aca="false">IF($A265="","",AN264*$E264)</f>
        <v/>
      </c>
      <c r="BA264" s="195" t="str">
        <f aca="false">IF($A265="","",F264*Summary!$Q$7)</f>
        <v/>
      </c>
    </row>
    <row r="265" customFormat="false" ht="12" hidden="false" customHeight="true" outlineLevel="0" collapsed="false">
      <c r="A265" s="196" t="str">
        <f aca="false">IF(A264&lt;mthend,EDATE(A264,1),"")</f>
        <v/>
      </c>
      <c r="B265" s="197" t="str">
        <f aca="false">IF(A265&lt;mthend,B264,"")</f>
        <v/>
      </c>
      <c r="C265" s="215"/>
      <c r="D265" s="197" t="str">
        <f aca="false">IF(A266&lt;&gt;"",B265+C265,"")</f>
        <v/>
      </c>
      <c r="E265" s="199" t="str">
        <f aca="false">IF(A266="","",IF(AND(AT265=1,$H$3=1),D265*AO265,IF($H$3=2,D265,"N/A")))</f>
        <v/>
      </c>
      <c r="F265" s="199" t="str">
        <f aca="false">IF(A266="","",E265*AS265)</f>
        <v/>
      </c>
      <c r="G265" s="200" t="str">
        <f aca="false">IF($A266="","",VLOOKUP($A265,Table,MATCH(G$4,Curves,0)))</f>
        <v/>
      </c>
      <c r="H265" s="201" t="str">
        <f aca="false">IF(A266="","",G265)</f>
        <v/>
      </c>
      <c r="I265" s="202"/>
      <c r="J265" s="200" t="str">
        <f aca="false">IF($A266="","",VLOOKUP($A265,Table,MATCH(J$4,Curves,0)))</f>
        <v/>
      </c>
      <c r="K265" s="201" t="str">
        <f aca="false">IF(A266="","",J265)</f>
        <v/>
      </c>
      <c r="L265" s="200" t="str">
        <f aca="false">IF($A266="","",VLOOKUP($A265,Table,MATCH(L$4,Curves,0)))</f>
        <v/>
      </c>
      <c r="M265" s="201" t="str">
        <f aca="false">IF(A266="","",L265)</f>
        <v/>
      </c>
      <c r="N265" s="203"/>
      <c r="O265" s="200" t="str">
        <f aca="false">IF(A266="","",L265+J265+G265)</f>
        <v/>
      </c>
      <c r="P265" s="200" t="str">
        <f aca="false">IF(A266="","",M265+K265+H265)</f>
        <v/>
      </c>
      <c r="Q265" s="204"/>
      <c r="R265" s="200" t="str">
        <f aca="false">IF($A266="","",VLOOKUP($A265,Table,MATCH(R$4,Curves,0)))</f>
        <v/>
      </c>
      <c r="S265" s="201" t="str">
        <f aca="false">IF(A266="","",R265)</f>
        <v/>
      </c>
      <c r="T265" s="200" t="str">
        <f aca="false">IF($A266="","",VLOOKUP($A265,Table,MATCH(T$4,Curves,0)))</f>
        <v/>
      </c>
      <c r="U265" s="201" t="str">
        <f aca="false">IF(A266="","",T265)</f>
        <v/>
      </c>
      <c r="V265" s="183" t="str">
        <f aca="false">IF($A266="","",IF(AND(MONTH(A265)&gt;3,MONTH(A265)&lt;11),(T265+R265+G265)*Summary!$T$7/(1-Summary!$T$7),(T265+R265+G265)*Summary!$U$7/(1-Summary!$U$7)))</f>
        <v/>
      </c>
      <c r="W265" s="200" t="str">
        <f aca="false">IF($A266="","",(T265+R265+G265+V265))</f>
        <v/>
      </c>
      <c r="X265" s="200" t="str">
        <f aca="false">IF($A266="","",(U265+S265+H265+V265))</f>
        <v/>
      </c>
      <c r="Y265" s="202"/>
      <c r="Z265" s="185" t="str">
        <f aca="false">IF($A266="","",VLOOKUP($A265,Table,MATCH(Z$4,Curves,0)))</f>
        <v/>
      </c>
      <c r="AA265" s="185" t="str">
        <f aca="false">IF($A266="","",VLOOKUP($A265,Table,MATCH(AA$4,Curves,0)))</f>
        <v/>
      </c>
      <c r="AB265" s="185" t="e">
        <f aca="false">SQRT((AA265^2*(A265-$D$3)+Z265^2*(DAY(EOMONTH(A265,0))/2))/AK265)</f>
        <v>#VALUE!</v>
      </c>
      <c r="AC265" s="185" t="str">
        <f aca="false">IF($A266="","",VLOOKUP($A265,Table,MATCH(AC$4,Curves,0)))</f>
        <v/>
      </c>
      <c r="AD265" s="185" t="str">
        <f aca="false">IF($A266="","",VLOOKUP($A265,Table,MATCH(AD$4,Curves,0)))</f>
        <v/>
      </c>
      <c r="AE265" s="185" t="e">
        <f aca="false">SQRT((AD265^2*(A265-$D$3)+AC265^2*(DAY(EOMONTH(A265,0))/2))/AK265)</f>
        <v>#VALUE!</v>
      </c>
      <c r="AF265" s="206" t="e">
        <f aca="false">((Summary!$N$7*(AA265*AD265)*(A265-$D$3))+(Summary!$M$7*Z265*AC265*(DAY(EOMONTH(A265,0))/2)))/(AK265*AB265*AE265)</f>
        <v>#VALUE!</v>
      </c>
      <c r="AG265" s="207" t="str">
        <f aca="false">IF($A266="","",Summary!$Q$7)</f>
        <v/>
      </c>
      <c r="AH265" s="207" t="str">
        <f aca="false">IF($A266="","",IF(Summary!$R$7="Y",(VLOOKUP($A265,Summary!$AD$6:$AF$9,3)+'Escalating commodity'!C278),'Escalating commodity'!C278))</f>
        <v/>
      </c>
      <c r="AI265" s="207" t="str">
        <f aca="false">IF($A266="","",AH265)</f>
        <v/>
      </c>
      <c r="AJ265" s="208" t="e">
        <f aca="false">A265+DAY(EOMONTH(A265,0))/2-1</f>
        <v>#VALUE!</v>
      </c>
      <c r="AK265" s="209" t="str">
        <f aca="false">IF($A266="","",$A265-$E$1)</f>
        <v/>
      </c>
      <c r="AL265" s="182" t="str">
        <f aca="false">IF($A266="","",SPRDOPT(P265,X265,AI265,0,AB265,AE265,AF265,AK265,$AJ$2,0))</f>
        <v/>
      </c>
      <c r="AM265" s="210" t="str">
        <f aca="false">IF($A266="","",MAX(0,O265-W265-AI265))</f>
        <v/>
      </c>
      <c r="AN265" s="211" t="str">
        <f aca="false">IF($A266="","",AL265-AM265)</f>
        <v/>
      </c>
      <c r="AO265" s="137" t="str">
        <f aca="false">IF(A266="","",A266-A265)</f>
        <v/>
      </c>
      <c r="AP265" s="212" t="str">
        <f aca="false">IF(A266="","",CHOOSE(F$3,A266+24,A265))</f>
        <v/>
      </c>
      <c r="AQ265" s="209" t="str">
        <f aca="false">IF(A266="","",AP265-$E$1)</f>
        <v/>
      </c>
      <c r="AR265" s="185" t="n">
        <f aca="false">IF(Summary!$H$2=1,VLOOKUP('ANR OK vs ML7'!A265,Curves!$C$17:$AR$273,MATCH('ANR OK vs ML7'!$AR$4,Curves!$C$8:$AQ$8,0)),0.1)</f>
        <v>0.1</v>
      </c>
      <c r="AS265" s="213" t="str">
        <f aca="false">IF(A266="","",1/(1+CHOOSE(F$3,(AR266+($I$3/10000))/2,(AR265+($I$3/10000))/2))^(2*AQ265/365.25))</f>
        <v/>
      </c>
      <c r="AT265" s="137" t="str">
        <f aca="false">IF(A266="","",IF(AND(mthbeg&lt;=A265,mthend&gt;=A265),1,0))</f>
        <v/>
      </c>
      <c r="AU265" s="137" t="str">
        <f aca="false">IF(A266="","",AO265*AT265)</f>
        <v/>
      </c>
      <c r="AW265" s="195" t="str">
        <f aca="false">IF($A266="","",AL265*$E265)</f>
        <v/>
      </c>
      <c r="AX265" s="195" t="str">
        <f aca="false">IF($A266="","",AM265*$E265)</f>
        <v/>
      </c>
      <c r="AY265" s="195" t="str">
        <f aca="false">IF($A266="","",AN265*$E265)</f>
        <v/>
      </c>
      <c r="BA265" s="195" t="str">
        <f aca="false">IF($A266="","",F265*Summary!$Q$7)</f>
        <v/>
      </c>
    </row>
    <row r="266" customFormat="false" ht="12" hidden="false" customHeight="true" outlineLevel="0" collapsed="false">
      <c r="A266" s="196" t="str">
        <f aca="false">IF(A265&lt;mthend,EDATE(A265,1),"")</f>
        <v/>
      </c>
      <c r="B266" s="197" t="str">
        <f aca="false">IF(A266&lt;mthend,B265,"")</f>
        <v/>
      </c>
      <c r="C266" s="215"/>
      <c r="D266" s="197" t="str">
        <f aca="false">IF(A267&lt;&gt;"",B266+C266,"")</f>
        <v/>
      </c>
      <c r="E266" s="199" t="str">
        <f aca="false">IF(A267="","",IF(AND(AT266=1,$H$3=1),D266*AO266,IF($H$3=2,D266,"N/A")))</f>
        <v/>
      </c>
      <c r="F266" s="199" t="str">
        <f aca="false">IF(A267="","",E266*AS266)</f>
        <v/>
      </c>
      <c r="G266" s="200" t="str">
        <f aca="false">IF($A267="","",VLOOKUP($A266,Table,MATCH(G$4,Curves,0)))</f>
        <v/>
      </c>
      <c r="H266" s="201" t="str">
        <f aca="false">IF(A267="","",G266)</f>
        <v/>
      </c>
      <c r="I266" s="202"/>
      <c r="J266" s="200" t="str">
        <f aca="false">IF($A267="","",VLOOKUP($A266,Table,MATCH(J$4,Curves,0)))</f>
        <v/>
      </c>
      <c r="K266" s="201" t="str">
        <f aca="false">IF(A267="","",J266)</f>
        <v/>
      </c>
      <c r="L266" s="200" t="str">
        <f aca="false">IF($A267="","",VLOOKUP($A266,Table,MATCH(L$4,Curves,0)))</f>
        <v/>
      </c>
      <c r="M266" s="201" t="str">
        <f aca="false">IF(A267="","",L266)</f>
        <v/>
      </c>
      <c r="N266" s="203"/>
      <c r="O266" s="200" t="str">
        <f aca="false">IF(A267="","",L266+J266+G266)</f>
        <v/>
      </c>
      <c r="P266" s="200" t="str">
        <f aca="false">IF(A267="","",M266+K266+H266)</f>
        <v/>
      </c>
      <c r="Q266" s="204"/>
      <c r="R266" s="200" t="str">
        <f aca="false">IF($A267="","",VLOOKUP($A266,Table,MATCH(R$4,Curves,0)))</f>
        <v/>
      </c>
      <c r="S266" s="201" t="str">
        <f aca="false">IF(A267="","",R266)</f>
        <v/>
      </c>
      <c r="T266" s="200" t="str">
        <f aca="false">IF($A267="","",VLOOKUP($A266,Table,MATCH(T$4,Curves,0)))</f>
        <v/>
      </c>
      <c r="U266" s="201" t="str">
        <f aca="false">IF(A267="","",T266)</f>
        <v/>
      </c>
      <c r="V266" s="183" t="str">
        <f aca="false">IF($A267="","",IF(AND(MONTH(A266)&gt;3,MONTH(A266)&lt;11),(T266+R266+G266)*Summary!$T$7/(1-Summary!$T$7),(T266+R266+G266)*Summary!$U$7/(1-Summary!$U$7)))</f>
        <v/>
      </c>
      <c r="W266" s="200" t="str">
        <f aca="false">IF($A267="","",(T266+R266+G266+V266))</f>
        <v/>
      </c>
      <c r="X266" s="200" t="str">
        <f aca="false">IF($A267="","",(U266+S266+H266+V266))</f>
        <v/>
      </c>
      <c r="Y266" s="202"/>
      <c r="Z266" s="185" t="str">
        <f aca="false">IF($A267="","",VLOOKUP($A266,Table,MATCH(Z$4,Curves,0)))</f>
        <v/>
      </c>
      <c r="AA266" s="185" t="str">
        <f aca="false">IF($A267="","",VLOOKUP($A266,Table,MATCH(AA$4,Curves,0)))</f>
        <v/>
      </c>
      <c r="AB266" s="185" t="e">
        <f aca="false">SQRT((AA266^2*(A266-$D$3)+Z266^2*(DAY(EOMONTH(A266,0))/2))/AK266)</f>
        <v>#VALUE!</v>
      </c>
      <c r="AC266" s="185" t="str">
        <f aca="false">IF($A267="","",VLOOKUP($A266,Table,MATCH(AC$4,Curves,0)))</f>
        <v/>
      </c>
      <c r="AD266" s="185" t="str">
        <f aca="false">IF($A267="","",VLOOKUP($A266,Table,MATCH(AD$4,Curves,0)))</f>
        <v/>
      </c>
      <c r="AE266" s="185" t="e">
        <f aca="false">SQRT((AD266^2*(A266-$D$3)+AC266^2*(DAY(EOMONTH(A266,0))/2))/AK266)</f>
        <v>#VALUE!</v>
      </c>
      <c r="AF266" s="206" t="e">
        <f aca="false">((Summary!$N$7*(AA266*AD266)*(A266-$D$3))+(Summary!$M$7*Z266*AC266*(DAY(EOMONTH(A266,0))/2)))/(AK266*AB266*AE266)</f>
        <v>#VALUE!</v>
      </c>
      <c r="AG266" s="207" t="str">
        <f aca="false">IF($A267="","",Summary!$Q$7)</f>
        <v/>
      </c>
      <c r="AH266" s="207" t="str">
        <f aca="false">IF($A267="","",IF(Summary!$R$7="Y",(VLOOKUP($A266,Summary!$AD$6:$AF$9,3)+'Escalating commodity'!C279),'Escalating commodity'!C279))</f>
        <v/>
      </c>
      <c r="AI266" s="207" t="str">
        <f aca="false">IF($A267="","",AH266)</f>
        <v/>
      </c>
      <c r="AJ266" s="208" t="e">
        <f aca="false">A266+DAY(EOMONTH(A266,0))/2-1</f>
        <v>#VALUE!</v>
      </c>
      <c r="AK266" s="209" t="str">
        <f aca="false">IF($A267="","",$A266-$E$1)</f>
        <v/>
      </c>
      <c r="AL266" s="182" t="str">
        <f aca="false">IF($A267="","",SPRDOPT(P266,X266,AI266,0,AB266,AE266,AF266,AK266,$AJ$2,0))</f>
        <v/>
      </c>
      <c r="AM266" s="210" t="str">
        <f aca="false">IF($A267="","",MAX(0,O266-W266-AI266))</f>
        <v/>
      </c>
      <c r="AN266" s="211" t="str">
        <f aca="false">IF($A267="","",AL266-AM266)</f>
        <v/>
      </c>
      <c r="AO266" s="137" t="str">
        <f aca="false">IF(A267="","",A267-A266)</f>
        <v/>
      </c>
      <c r="AP266" s="212" t="str">
        <f aca="false">IF(A267="","",CHOOSE(F$3,A267+24,A266))</f>
        <v/>
      </c>
      <c r="AQ266" s="209" t="str">
        <f aca="false">IF(A267="","",AP266-$E$1)</f>
        <v/>
      </c>
      <c r="AR266" s="185" t="n">
        <f aca="false">IF(Summary!$H$2=1,VLOOKUP('ANR OK vs ML7'!A266,Curves!$C$17:$AR$273,MATCH('ANR OK vs ML7'!$AR$4,Curves!$C$8:$AQ$8,0)),0.1)</f>
        <v>0.1</v>
      </c>
      <c r="AS266" s="213" t="str">
        <f aca="false">IF(A267="","",1/(1+CHOOSE(F$3,(AR267+($I$3/10000))/2,(AR266+($I$3/10000))/2))^(2*AQ266/365.25))</f>
        <v/>
      </c>
      <c r="AT266" s="137" t="str">
        <f aca="false">IF(A267="","",IF(AND(mthbeg&lt;=A266,mthend&gt;=A266),1,0))</f>
        <v/>
      </c>
      <c r="AU266" s="137" t="str">
        <f aca="false">IF(A267="","",AO266*AT266)</f>
        <v/>
      </c>
      <c r="AW266" s="195" t="str">
        <f aca="false">IF($A267="","",AL266*$E266)</f>
        <v/>
      </c>
      <c r="AX266" s="195" t="str">
        <f aca="false">IF($A267="","",AM266*$E266)</f>
        <v/>
      </c>
      <c r="AY266" s="195" t="str">
        <f aca="false">IF($A267="","",AN266*$E266)</f>
        <v/>
      </c>
      <c r="BA266" s="195" t="str">
        <f aca="false">IF($A267="","",F266*Summary!$Q$7)</f>
        <v/>
      </c>
    </row>
    <row r="267" customFormat="false" ht="12" hidden="false" customHeight="true" outlineLevel="0" collapsed="false">
      <c r="A267" s="196" t="str">
        <f aca="false">IF(A266&lt;mthend,EDATE(A266,1),"")</f>
        <v/>
      </c>
      <c r="B267" s="197" t="str">
        <f aca="false">IF(A267&lt;mthend,B266,"")</f>
        <v/>
      </c>
      <c r="C267" s="215"/>
      <c r="D267" s="197" t="str">
        <f aca="false">IF(A268&lt;&gt;"",B267+C267,"")</f>
        <v/>
      </c>
      <c r="E267" s="199" t="str">
        <f aca="false">IF(A268="","",IF(AND(AT267=1,$H$3=1),D267*AO267,IF($H$3=2,D267,"N/A")))</f>
        <v/>
      </c>
      <c r="F267" s="199" t="str">
        <f aca="false">IF(A268="","",E267*AS267)</f>
        <v/>
      </c>
      <c r="G267" s="200" t="str">
        <f aca="false">IF($A268="","",VLOOKUP($A267,Table,MATCH(G$4,Curves,0)))</f>
        <v/>
      </c>
      <c r="H267" s="201" t="str">
        <f aca="false">IF(A268="","",G267)</f>
        <v/>
      </c>
      <c r="I267" s="202"/>
      <c r="J267" s="200" t="str">
        <f aca="false">IF($A268="","",VLOOKUP($A267,Table,MATCH(J$4,Curves,0)))</f>
        <v/>
      </c>
      <c r="K267" s="201" t="str">
        <f aca="false">IF(A268="","",J267)</f>
        <v/>
      </c>
      <c r="L267" s="200" t="str">
        <f aca="false">IF($A268="","",VLOOKUP($A267,Table,MATCH(L$4,Curves,0)))</f>
        <v/>
      </c>
      <c r="M267" s="201" t="str">
        <f aca="false">IF(A268="","",L267)</f>
        <v/>
      </c>
      <c r="N267" s="203"/>
      <c r="O267" s="200" t="str">
        <f aca="false">IF(A268="","",L267+J267+G267)</f>
        <v/>
      </c>
      <c r="P267" s="200" t="str">
        <f aca="false">IF(A268="","",M267+K267+H267)</f>
        <v/>
      </c>
      <c r="Q267" s="204"/>
      <c r="R267" s="200" t="str">
        <f aca="false">IF($A268="","",VLOOKUP($A267,Table,MATCH(R$4,Curves,0)))</f>
        <v/>
      </c>
      <c r="S267" s="201" t="str">
        <f aca="false">IF(A268="","",R267)</f>
        <v/>
      </c>
      <c r="T267" s="200" t="str">
        <f aca="false">IF($A268="","",VLOOKUP($A267,Table,MATCH(T$4,Curves,0)))</f>
        <v/>
      </c>
      <c r="U267" s="201" t="str">
        <f aca="false">IF(A268="","",T267)</f>
        <v/>
      </c>
      <c r="V267" s="183" t="str">
        <f aca="false">IF($A268="","",IF(AND(MONTH(A267)&gt;3,MONTH(A267)&lt;11),(T267+R267+G267)*Summary!$T$7/(1-Summary!$T$7),(T267+R267+G267)*Summary!$U$7/(1-Summary!$U$7)))</f>
        <v/>
      </c>
      <c r="W267" s="200" t="str">
        <f aca="false">IF($A268="","",(T267+R267+G267+V267))</f>
        <v/>
      </c>
      <c r="X267" s="200" t="str">
        <f aca="false">IF($A268="","",(U267+S267+H267+V267))</f>
        <v/>
      </c>
      <c r="Y267" s="202"/>
      <c r="Z267" s="185" t="str">
        <f aca="false">IF($A268="","",VLOOKUP($A267,Table,MATCH(Z$4,Curves,0)))</f>
        <v/>
      </c>
      <c r="AA267" s="185" t="str">
        <f aca="false">IF($A268="","",VLOOKUP($A267,Table,MATCH(AA$4,Curves,0)))</f>
        <v/>
      </c>
      <c r="AB267" s="185" t="e">
        <f aca="false">SQRT((AA267^2*(A267-$D$3)+Z267^2*(DAY(EOMONTH(A267,0))/2))/AK267)</f>
        <v>#VALUE!</v>
      </c>
      <c r="AC267" s="185" t="str">
        <f aca="false">IF($A268="","",VLOOKUP($A267,Table,MATCH(AC$4,Curves,0)))</f>
        <v/>
      </c>
      <c r="AD267" s="185" t="str">
        <f aca="false">IF($A268="","",VLOOKUP($A267,Table,MATCH(AD$4,Curves,0)))</f>
        <v/>
      </c>
      <c r="AE267" s="185" t="e">
        <f aca="false">SQRT((AD267^2*(A267-$D$3)+AC267^2*(DAY(EOMONTH(A267,0))/2))/AK267)</f>
        <v>#VALUE!</v>
      </c>
      <c r="AF267" s="206" t="e">
        <f aca="false">((Summary!$N$7*(AA267*AD267)*(A267-$D$3))+(Summary!$M$7*Z267*AC267*(DAY(EOMONTH(A267,0))/2)))/(AK267*AB267*AE267)</f>
        <v>#VALUE!</v>
      </c>
      <c r="AG267" s="207" t="str">
        <f aca="false">IF($A268="","",Summary!$Q$7)</f>
        <v/>
      </c>
      <c r="AH267" s="207" t="str">
        <f aca="false">IF($A268="","",IF(Summary!$R$7="Y",(VLOOKUP($A267,Summary!$AD$6:$AF$9,3)+'Escalating commodity'!C280),'Escalating commodity'!C280))</f>
        <v/>
      </c>
      <c r="AI267" s="207" t="str">
        <f aca="false">IF($A268="","",AH267)</f>
        <v/>
      </c>
      <c r="AJ267" s="208" t="e">
        <f aca="false">A267+DAY(EOMONTH(A267,0))/2-1</f>
        <v>#VALUE!</v>
      </c>
      <c r="AK267" s="209" t="str">
        <f aca="false">IF($A268="","",$A267-$E$1)</f>
        <v/>
      </c>
      <c r="AL267" s="182" t="str">
        <f aca="false">IF($A268="","",SPRDOPT(P267,X267,AI267,0,AB267,AE267,AF267,AK267,$AJ$2,0))</f>
        <v/>
      </c>
      <c r="AM267" s="210" t="str">
        <f aca="false">IF($A268="","",MAX(0,O267-W267-AI267))</f>
        <v/>
      </c>
      <c r="AN267" s="211" t="str">
        <f aca="false">IF($A268="","",AL267-AM267)</f>
        <v/>
      </c>
      <c r="AO267" s="137" t="str">
        <f aca="false">IF(A268="","",A268-A267)</f>
        <v/>
      </c>
      <c r="AP267" s="212" t="str">
        <f aca="false">IF(A268="","",CHOOSE(F$3,A268+24,A267))</f>
        <v/>
      </c>
      <c r="AQ267" s="209" t="str">
        <f aca="false">IF(A268="","",AP267-$E$1)</f>
        <v/>
      </c>
      <c r="AR267" s="185" t="n">
        <f aca="false">IF(Summary!$H$2=1,VLOOKUP('ANR OK vs ML7'!A267,Curves!$C$17:$AR$273,MATCH('ANR OK vs ML7'!$AR$4,Curves!$C$8:$AQ$8,0)),0.1)</f>
        <v>0.1</v>
      </c>
      <c r="AS267" s="213" t="str">
        <f aca="false">IF(A268="","",1/(1+CHOOSE(F$3,(AR268+($I$3/10000))/2,(AR267+($I$3/10000))/2))^(2*AQ267/365.25))</f>
        <v/>
      </c>
      <c r="AT267" s="137" t="str">
        <f aca="false">IF(A268="","",IF(AND(mthbeg&lt;=A267,mthend&gt;=A267),1,0))</f>
        <v/>
      </c>
      <c r="AU267" s="137" t="str">
        <f aca="false">IF(A268="","",AO267*AT267)</f>
        <v/>
      </c>
      <c r="AW267" s="195" t="str">
        <f aca="false">IF($A268="","",AL267*$E267)</f>
        <v/>
      </c>
      <c r="AX267" s="195" t="str">
        <f aca="false">IF($A268="","",AM267*$E267)</f>
        <v/>
      </c>
      <c r="AY267" s="195" t="str">
        <f aca="false">IF($A268="","",AN267*$E267)</f>
        <v/>
      </c>
      <c r="BA267" s="195" t="str">
        <f aca="false">IF($A268="","",F267*Summary!$Q$7)</f>
        <v/>
      </c>
    </row>
    <row r="268" customFormat="false" ht="12" hidden="false" customHeight="true" outlineLevel="0" collapsed="false">
      <c r="A268" s="196" t="str">
        <f aca="false">IF(A267&lt;mthend,EDATE(A267,1),"")</f>
        <v/>
      </c>
      <c r="B268" s="197" t="str">
        <f aca="false">IF(A268&lt;mthend,B267,"")</f>
        <v/>
      </c>
      <c r="C268" s="215"/>
      <c r="D268" s="197" t="str">
        <f aca="false">IF(A269&lt;&gt;"",B268+C268,"")</f>
        <v/>
      </c>
      <c r="E268" s="199" t="str">
        <f aca="false">IF(A269="","",IF(AND(AT268=1,$H$3=1),D268*AO268,IF($H$3=2,D268,"N/A")))</f>
        <v/>
      </c>
      <c r="F268" s="199" t="str">
        <f aca="false">IF(A269="","",E268*AS268)</f>
        <v/>
      </c>
      <c r="G268" s="200" t="str">
        <f aca="false">IF($A269="","",VLOOKUP($A268,Table,MATCH(G$4,Curves,0)))</f>
        <v/>
      </c>
      <c r="H268" s="201" t="str">
        <f aca="false">IF(A269="","",G268)</f>
        <v/>
      </c>
      <c r="I268" s="202"/>
      <c r="J268" s="200" t="str">
        <f aca="false">IF($A269="","",VLOOKUP($A268,Table,MATCH(J$4,Curves,0)))</f>
        <v/>
      </c>
      <c r="K268" s="201" t="str">
        <f aca="false">IF(A269="","",J268)</f>
        <v/>
      </c>
      <c r="L268" s="200" t="str">
        <f aca="false">IF($A269="","",VLOOKUP($A268,Table,MATCH(L$4,Curves,0)))</f>
        <v/>
      </c>
      <c r="M268" s="201" t="str">
        <f aca="false">IF(A269="","",L268)</f>
        <v/>
      </c>
      <c r="N268" s="203"/>
      <c r="O268" s="200" t="str">
        <f aca="false">IF(A269="","",L268+J268+G268)</f>
        <v/>
      </c>
      <c r="P268" s="200" t="str">
        <f aca="false">IF(A269="","",M268+K268+H268)</f>
        <v/>
      </c>
      <c r="Q268" s="204"/>
      <c r="R268" s="200" t="str">
        <f aca="false">IF($A269="","",VLOOKUP($A268,Table,MATCH(R$4,Curves,0)))</f>
        <v/>
      </c>
      <c r="S268" s="201" t="str">
        <f aca="false">IF(A269="","",R268)</f>
        <v/>
      </c>
      <c r="T268" s="200" t="str">
        <f aca="false">IF($A269="","",VLOOKUP($A268,Table,MATCH(T$4,Curves,0)))</f>
        <v/>
      </c>
      <c r="U268" s="201" t="str">
        <f aca="false">IF(A269="","",T268)</f>
        <v/>
      </c>
      <c r="V268" s="183" t="str">
        <f aca="false">IF($A269="","",IF(AND(MONTH(A268)&gt;3,MONTH(A268)&lt;11),(T268+R268+G268)*Summary!$T$7/(1-Summary!$T$7),(T268+R268+G268)*Summary!$U$7/(1-Summary!$U$7)))</f>
        <v/>
      </c>
      <c r="W268" s="200" t="str">
        <f aca="false">IF($A269="","",(T268+R268+G268+V268))</f>
        <v/>
      </c>
      <c r="X268" s="200" t="str">
        <f aca="false">IF($A269="","",(U268+S268+H268+V268))</f>
        <v/>
      </c>
      <c r="Y268" s="202"/>
      <c r="Z268" s="185" t="str">
        <f aca="false">IF($A269="","",VLOOKUP($A268,Table,MATCH(Z$4,Curves,0)))</f>
        <v/>
      </c>
      <c r="AA268" s="185" t="str">
        <f aca="false">IF($A269="","",VLOOKUP($A268,Table,MATCH(AA$4,Curves,0)))</f>
        <v/>
      </c>
      <c r="AB268" s="185" t="e">
        <f aca="false">SQRT((AA268^2*(A268-$D$3)+Z268^2*(DAY(EOMONTH(A268,0))/2))/AK268)</f>
        <v>#VALUE!</v>
      </c>
      <c r="AC268" s="185" t="str">
        <f aca="false">IF($A269="","",VLOOKUP($A268,Table,MATCH(AC$4,Curves,0)))</f>
        <v/>
      </c>
      <c r="AD268" s="185" t="str">
        <f aca="false">IF($A269="","",VLOOKUP($A268,Table,MATCH(AD$4,Curves,0)))</f>
        <v/>
      </c>
      <c r="AE268" s="185" t="e">
        <f aca="false">SQRT((AD268^2*(A268-$D$3)+AC268^2*(DAY(EOMONTH(A268,0))/2))/AK268)</f>
        <v>#VALUE!</v>
      </c>
      <c r="AF268" s="206" t="e">
        <f aca="false">((Summary!$N$7*(AA268*AD268)*(A268-$D$3))+(Summary!$M$7*Z268*AC268*(DAY(EOMONTH(A268,0))/2)))/(AK268*AB268*AE268)</f>
        <v>#VALUE!</v>
      </c>
      <c r="AG268" s="207" t="str">
        <f aca="false">IF($A269="","",Summary!$Q$7)</f>
        <v/>
      </c>
      <c r="AH268" s="207" t="str">
        <f aca="false">IF($A269="","",IF(Summary!$R$7="Y",(VLOOKUP($A268,Summary!$AD$6:$AF$9,3)+'Escalating commodity'!C281),'Escalating commodity'!C281))</f>
        <v/>
      </c>
      <c r="AI268" s="207" t="str">
        <f aca="false">IF($A269="","",AH268)</f>
        <v/>
      </c>
      <c r="AJ268" s="208" t="e">
        <f aca="false">A268+DAY(EOMONTH(A268,0))/2-1</f>
        <v>#VALUE!</v>
      </c>
      <c r="AK268" s="209" t="str">
        <f aca="false">IF($A269="","",$A268-$E$1)</f>
        <v/>
      </c>
      <c r="AL268" s="182" t="str">
        <f aca="false">IF($A269="","",SPRDOPT(P268,X268,AI268,0,AB268,AE268,AF268,AK268,$AJ$2,0))</f>
        <v/>
      </c>
      <c r="AM268" s="210" t="str">
        <f aca="false">IF($A269="","",MAX(0,O268-W268-AI268))</f>
        <v/>
      </c>
      <c r="AN268" s="211" t="str">
        <f aca="false">IF($A269="","",AL268-AM268)</f>
        <v/>
      </c>
      <c r="AO268" s="137" t="str">
        <f aca="false">IF(A269="","",A269-A268)</f>
        <v/>
      </c>
      <c r="AP268" s="212" t="str">
        <f aca="false">IF(A269="","",CHOOSE(F$3,A269+24,A268))</f>
        <v/>
      </c>
      <c r="AQ268" s="209" t="str">
        <f aca="false">IF(A269="","",AP268-$E$1)</f>
        <v/>
      </c>
      <c r="AR268" s="185" t="n">
        <f aca="false">IF(Summary!$H$2=1,VLOOKUP('ANR OK vs ML7'!A268,Curves!$C$17:$AR$273,MATCH('ANR OK vs ML7'!$AR$4,Curves!$C$8:$AQ$8,0)),0.1)</f>
        <v>0.1</v>
      </c>
      <c r="AS268" s="213" t="str">
        <f aca="false">IF(A269="","",1/(1+CHOOSE(F$3,(AR269+($I$3/10000))/2,(AR268+($I$3/10000))/2))^(2*AQ268/365.25))</f>
        <v/>
      </c>
      <c r="AT268" s="137" t="str">
        <f aca="false">IF(A269="","",IF(AND(mthbeg&lt;=A268,mthend&gt;=A268),1,0))</f>
        <v/>
      </c>
      <c r="AU268" s="137" t="str">
        <f aca="false">IF(A269="","",AO268*AT268)</f>
        <v/>
      </c>
      <c r="AW268" s="195" t="str">
        <f aca="false">IF($A269="","",AL268*$E268)</f>
        <v/>
      </c>
      <c r="AX268" s="195" t="str">
        <f aca="false">IF($A269="","",AM268*$E268)</f>
        <v/>
      </c>
      <c r="AY268" s="195" t="str">
        <f aca="false">IF($A269="","",AN268*$E268)</f>
        <v/>
      </c>
      <c r="BA268" s="195" t="str">
        <f aca="false">IF($A269="","",F268*Summary!$Q$7)</f>
        <v/>
      </c>
    </row>
    <row r="269" customFormat="false" ht="12" hidden="false" customHeight="true" outlineLevel="0" collapsed="false">
      <c r="A269" s="196" t="str">
        <f aca="false">IF(A268&lt;mthend,EDATE(A268,1),"")</f>
        <v/>
      </c>
      <c r="B269" s="197" t="str">
        <f aca="false">IF(A269&lt;mthend,B268,"")</f>
        <v/>
      </c>
      <c r="C269" s="215"/>
      <c r="D269" s="197" t="str">
        <f aca="false">IF(A270&lt;&gt;"",B269+C269,"")</f>
        <v/>
      </c>
      <c r="E269" s="199" t="str">
        <f aca="false">IF(A270="","",IF(AND(AT269=1,$H$3=1),D269*AO269,IF($H$3=2,D269,"N/A")))</f>
        <v/>
      </c>
      <c r="F269" s="199" t="str">
        <f aca="false">IF(A270="","",E269*AS269)</f>
        <v/>
      </c>
      <c r="G269" s="200" t="str">
        <f aca="false">IF($A270="","",VLOOKUP($A269,Table,MATCH(G$4,Curves,0)))</f>
        <v/>
      </c>
      <c r="H269" s="201" t="str">
        <f aca="false">IF(A270="","",G269)</f>
        <v/>
      </c>
      <c r="I269" s="202"/>
      <c r="J269" s="200" t="str">
        <f aca="false">IF($A270="","",VLOOKUP($A269,Table,MATCH(J$4,Curves,0)))</f>
        <v/>
      </c>
      <c r="K269" s="201" t="str">
        <f aca="false">IF(A270="","",J269)</f>
        <v/>
      </c>
      <c r="L269" s="200" t="str">
        <f aca="false">IF($A270="","",VLOOKUP($A269,Table,MATCH(L$4,Curves,0)))</f>
        <v/>
      </c>
      <c r="M269" s="201" t="str">
        <f aca="false">IF(A270="","",L269)</f>
        <v/>
      </c>
      <c r="N269" s="203"/>
      <c r="O269" s="200" t="str">
        <f aca="false">IF(A270="","",L269+J269+G269)</f>
        <v/>
      </c>
      <c r="P269" s="200" t="str">
        <f aca="false">IF(A270="","",M269+K269+H269)</f>
        <v/>
      </c>
      <c r="Q269" s="204"/>
      <c r="R269" s="200" t="str">
        <f aca="false">IF($A270="","",VLOOKUP($A269,Table,MATCH(R$4,Curves,0)))</f>
        <v/>
      </c>
      <c r="S269" s="201" t="str">
        <f aca="false">IF(A270="","",R269)</f>
        <v/>
      </c>
      <c r="T269" s="200" t="str">
        <f aca="false">IF($A270="","",VLOOKUP($A269,Table,MATCH(T$4,Curves,0)))</f>
        <v/>
      </c>
      <c r="U269" s="201" t="str">
        <f aca="false">IF(A270="","",T269)</f>
        <v/>
      </c>
      <c r="V269" s="183" t="str">
        <f aca="false">IF($A270="","",IF(AND(MONTH(A269)&gt;3,MONTH(A269)&lt;11),(T269+R269+G269)*Summary!$T$7/(1-Summary!$T$7),(T269+R269+G269)*Summary!$U$7/(1-Summary!$U$7)))</f>
        <v/>
      </c>
      <c r="W269" s="200" t="str">
        <f aca="false">IF($A270="","",(T269+R269+G269+V269))</f>
        <v/>
      </c>
      <c r="X269" s="200" t="str">
        <f aca="false">IF($A270="","",(U269+S269+H269+V269))</f>
        <v/>
      </c>
      <c r="Y269" s="202"/>
      <c r="Z269" s="185" t="str">
        <f aca="false">IF($A270="","",VLOOKUP($A269,Table,MATCH(Z$4,Curves,0)))</f>
        <v/>
      </c>
      <c r="AA269" s="185" t="str">
        <f aca="false">IF($A270="","",VLOOKUP($A269,Table,MATCH(AA$4,Curves,0)))</f>
        <v/>
      </c>
      <c r="AB269" s="185" t="e">
        <f aca="false">SQRT((AA269^2*(A269-$D$3)+Z269^2*(DAY(EOMONTH(A269,0))/2))/AK269)</f>
        <v>#VALUE!</v>
      </c>
      <c r="AC269" s="185" t="str">
        <f aca="false">IF($A270="","",VLOOKUP($A269,Table,MATCH(AC$4,Curves,0)))</f>
        <v/>
      </c>
      <c r="AD269" s="185" t="str">
        <f aca="false">IF($A270="","",VLOOKUP($A269,Table,MATCH(AD$4,Curves,0)))</f>
        <v/>
      </c>
      <c r="AE269" s="185" t="e">
        <f aca="false">SQRT((AD269^2*(A269-$D$3)+AC269^2*(DAY(EOMONTH(A269,0))/2))/AK269)</f>
        <v>#VALUE!</v>
      </c>
      <c r="AF269" s="206" t="e">
        <f aca="false">((Summary!$N$7*(AA269*AD269)*(A269-$D$3))+(Summary!$M$7*Z269*AC269*(DAY(EOMONTH(A269,0))/2)))/(AK269*AB269*AE269)</f>
        <v>#VALUE!</v>
      </c>
      <c r="AG269" s="207" t="str">
        <f aca="false">IF($A270="","",Summary!$Q$7)</f>
        <v/>
      </c>
      <c r="AH269" s="207" t="str">
        <f aca="false">IF($A270="","",IF(Summary!$R$7="Y",(VLOOKUP($A269,Summary!$AD$6:$AF$9,3)+'Escalating commodity'!C282),'Escalating commodity'!C282))</f>
        <v/>
      </c>
      <c r="AI269" s="207" t="str">
        <f aca="false">IF($A270="","",AH269)</f>
        <v/>
      </c>
      <c r="AJ269" s="208" t="e">
        <f aca="false">A269+DAY(EOMONTH(A269,0))/2-1</f>
        <v>#VALUE!</v>
      </c>
      <c r="AK269" s="209" t="str">
        <f aca="false">IF($A270="","",$A269-$E$1)</f>
        <v/>
      </c>
      <c r="AL269" s="182" t="str">
        <f aca="false">IF($A270="","",SPRDOPT(P269,X269,AI269,0,AB269,AE269,AF269,AK269,$AJ$2,0))</f>
        <v/>
      </c>
      <c r="AM269" s="210" t="str">
        <f aca="false">IF($A270="","",MAX(0,O269-W269-AI269))</f>
        <v/>
      </c>
      <c r="AN269" s="211" t="str">
        <f aca="false">IF($A270="","",AL269-AM269)</f>
        <v/>
      </c>
      <c r="AO269" s="137" t="str">
        <f aca="false">IF(A270="","",A270-A269)</f>
        <v/>
      </c>
      <c r="AP269" s="212" t="str">
        <f aca="false">IF(A270="","",CHOOSE(F$3,A270+24,A269))</f>
        <v/>
      </c>
      <c r="AQ269" s="209" t="str">
        <f aca="false">IF(A270="","",AP269-$E$1)</f>
        <v/>
      </c>
      <c r="AR269" s="185" t="n">
        <f aca="false">IF(Summary!$H$2=1,VLOOKUP('ANR OK vs ML7'!A269,Curves!$C$17:$AR$273,MATCH('ANR OK vs ML7'!$AR$4,Curves!$C$8:$AQ$8,0)),0.1)</f>
        <v>0.1</v>
      </c>
      <c r="AS269" s="213" t="str">
        <f aca="false">IF(A270="","",1/(1+CHOOSE(F$3,(AR270+($I$3/10000))/2,(AR269+($I$3/10000))/2))^(2*AQ269/365.25))</f>
        <v/>
      </c>
      <c r="AT269" s="137" t="str">
        <f aca="false">IF(A270="","",IF(AND(mthbeg&lt;=A269,mthend&gt;=A269),1,0))</f>
        <v/>
      </c>
      <c r="AU269" s="137" t="str">
        <f aca="false">IF(A270="","",AO269*AT269)</f>
        <v/>
      </c>
      <c r="AW269" s="195" t="str">
        <f aca="false">IF($A270="","",AL269*$E269)</f>
        <v/>
      </c>
      <c r="AX269" s="195" t="str">
        <f aca="false">IF($A270="","",AM269*$E269)</f>
        <v/>
      </c>
      <c r="AY269" s="195" t="str">
        <f aca="false">IF($A270="","",AN269*$E269)</f>
        <v/>
      </c>
      <c r="BA269" s="195" t="str">
        <f aca="false">IF($A270="","",F269*Summary!$Q$7)</f>
        <v/>
      </c>
    </row>
    <row r="270" customFormat="false" ht="12" hidden="false" customHeight="true" outlineLevel="0" collapsed="false">
      <c r="A270" s="196" t="str">
        <f aca="false">IF(A269&lt;mthend,EDATE(A269,1),"")</f>
        <v/>
      </c>
      <c r="B270" s="197" t="str">
        <f aca="false">IF(A270&lt;mthend,B269,"")</f>
        <v/>
      </c>
      <c r="C270" s="215"/>
      <c r="D270" s="197" t="str">
        <f aca="false">IF(A271&lt;&gt;"",B270+C270,"")</f>
        <v/>
      </c>
      <c r="E270" s="199" t="str">
        <f aca="false">IF(A271="","",IF(AND(AT270=1,$H$3=1),D270*AO270,IF($H$3=2,D270,"N/A")))</f>
        <v/>
      </c>
      <c r="F270" s="199" t="str">
        <f aca="false">IF(A271="","",E270*AS270)</f>
        <v/>
      </c>
      <c r="G270" s="200" t="str">
        <f aca="false">IF($A271="","",VLOOKUP($A270,Table,MATCH(G$4,Curves,0)))</f>
        <v/>
      </c>
      <c r="H270" s="201" t="str">
        <f aca="false">IF(A271="","",G270)</f>
        <v/>
      </c>
      <c r="I270" s="202"/>
      <c r="J270" s="200" t="str">
        <f aca="false">IF($A271="","",VLOOKUP($A270,Table,MATCH(J$4,Curves,0)))</f>
        <v/>
      </c>
      <c r="K270" s="201" t="str">
        <f aca="false">IF(A271="","",J270)</f>
        <v/>
      </c>
      <c r="L270" s="200" t="str">
        <f aca="false">IF($A271="","",VLOOKUP($A270,Table,MATCH(L$4,Curves,0)))</f>
        <v/>
      </c>
      <c r="M270" s="201" t="str">
        <f aca="false">IF(A271="","",L270)</f>
        <v/>
      </c>
      <c r="N270" s="203"/>
      <c r="O270" s="200" t="str">
        <f aca="false">IF(A271="","",L270+J270+G270)</f>
        <v/>
      </c>
      <c r="P270" s="200" t="str">
        <f aca="false">IF(A271="","",M270+K270+H270)</f>
        <v/>
      </c>
      <c r="Q270" s="204"/>
      <c r="R270" s="200" t="str">
        <f aca="false">IF($A271="","",VLOOKUP($A270,Table,MATCH(R$4,Curves,0)))</f>
        <v/>
      </c>
      <c r="S270" s="201" t="str">
        <f aca="false">IF(A271="","",R270)</f>
        <v/>
      </c>
      <c r="T270" s="200" t="str">
        <f aca="false">IF($A271="","",VLOOKUP($A270,Table,MATCH(T$4,Curves,0)))</f>
        <v/>
      </c>
      <c r="U270" s="201" t="str">
        <f aca="false">IF(A271="","",T270)</f>
        <v/>
      </c>
      <c r="V270" s="183" t="str">
        <f aca="false">IF($A271="","",IF(AND(MONTH(A270)&gt;3,MONTH(A270)&lt;11),(T270+R270+G270)*Summary!$T$7/(1-Summary!$T$7),(T270+R270+G270)*Summary!$U$7/(1-Summary!$U$7)))</f>
        <v/>
      </c>
      <c r="W270" s="200" t="str">
        <f aca="false">IF($A271="","",(T270+R270+G270+V270))</f>
        <v/>
      </c>
      <c r="X270" s="200" t="str">
        <f aca="false">IF($A271="","",(U270+S270+H270+V270))</f>
        <v/>
      </c>
      <c r="Y270" s="202"/>
      <c r="Z270" s="185" t="str">
        <f aca="false">IF($A271="","",VLOOKUP($A270,Table,MATCH(Z$4,Curves,0)))</f>
        <v/>
      </c>
      <c r="AA270" s="185" t="str">
        <f aca="false">IF($A271="","",VLOOKUP($A270,Table,MATCH(AA$4,Curves,0)))</f>
        <v/>
      </c>
      <c r="AB270" s="185" t="e">
        <f aca="false">SQRT((AA270^2*(A270-$D$3)+Z270^2*(DAY(EOMONTH(A270,0))/2))/AK270)</f>
        <v>#VALUE!</v>
      </c>
      <c r="AC270" s="185" t="str">
        <f aca="false">IF($A271="","",VLOOKUP($A270,Table,MATCH(AC$4,Curves,0)))</f>
        <v/>
      </c>
      <c r="AD270" s="185" t="str">
        <f aca="false">IF($A271="","",VLOOKUP($A270,Table,MATCH(AD$4,Curves,0)))</f>
        <v/>
      </c>
      <c r="AE270" s="185" t="e">
        <f aca="false">SQRT((AD270^2*(A270-$D$3)+AC270^2*(DAY(EOMONTH(A270,0))/2))/AK270)</f>
        <v>#VALUE!</v>
      </c>
      <c r="AF270" s="206" t="e">
        <f aca="false">((Summary!$N$7*(AA270*AD270)*(A270-$D$3))+(Summary!$M$7*Z270*AC270*(DAY(EOMONTH(A270,0))/2)))/(AK270*AB270*AE270)</f>
        <v>#VALUE!</v>
      </c>
      <c r="AG270" s="207" t="str">
        <f aca="false">IF($A271="","",Summary!$Q$7)</f>
        <v/>
      </c>
      <c r="AH270" s="207" t="str">
        <f aca="false">IF($A271="","",IF(Summary!$R$7="Y",(VLOOKUP($A270,Summary!$AD$6:$AF$9,3)+'Escalating commodity'!C283),'Escalating commodity'!C283))</f>
        <v/>
      </c>
      <c r="AI270" s="207" t="str">
        <f aca="false">IF($A271="","",AH270)</f>
        <v/>
      </c>
      <c r="AJ270" s="208" t="e">
        <f aca="false">A270+DAY(EOMONTH(A270,0))/2-1</f>
        <v>#VALUE!</v>
      </c>
      <c r="AK270" s="209" t="str">
        <f aca="false">IF($A271="","",$A270-$E$1)</f>
        <v/>
      </c>
      <c r="AL270" s="182" t="str">
        <f aca="false">IF($A271="","",SPRDOPT(P270,X270,AI270,0,AB270,AE270,AF270,AK270,$AJ$2,0))</f>
        <v/>
      </c>
      <c r="AM270" s="210" t="str">
        <f aca="false">IF($A271="","",MAX(0,O270-W270-AI270))</f>
        <v/>
      </c>
      <c r="AN270" s="211" t="str">
        <f aca="false">IF($A271="","",AL270-AM270)</f>
        <v/>
      </c>
      <c r="AO270" s="137" t="str">
        <f aca="false">IF(A271="","",A271-A270)</f>
        <v/>
      </c>
      <c r="AP270" s="212" t="str">
        <f aca="false">IF(A271="","",CHOOSE(F$3,A271+24,A270))</f>
        <v/>
      </c>
      <c r="AQ270" s="209" t="str">
        <f aca="false">IF(A271="","",AP270-$E$1)</f>
        <v/>
      </c>
      <c r="AR270" s="185" t="n">
        <f aca="false">IF(Summary!$H$2=1,VLOOKUP('ANR OK vs ML7'!A270,Curves!$C$17:$AR$273,MATCH('ANR OK vs ML7'!$AR$4,Curves!$C$8:$AQ$8,0)),0.1)</f>
        <v>0.1</v>
      </c>
      <c r="AS270" s="213" t="str">
        <f aca="false">IF(A271="","",1/(1+CHOOSE(F$3,(AR271+($I$3/10000))/2,(AR270+($I$3/10000))/2))^(2*AQ270/365.25))</f>
        <v/>
      </c>
      <c r="AT270" s="137" t="str">
        <f aca="false">IF(A271="","",IF(AND(mthbeg&lt;=A270,mthend&gt;=A270),1,0))</f>
        <v/>
      </c>
      <c r="AU270" s="137" t="str">
        <f aca="false">IF(A271="","",AO270*AT270)</f>
        <v/>
      </c>
      <c r="AW270" s="195" t="str">
        <f aca="false">IF($A271="","",AL270*$E270)</f>
        <v/>
      </c>
      <c r="AX270" s="195" t="str">
        <f aca="false">IF($A271="","",AM270*$E270)</f>
        <v/>
      </c>
      <c r="AY270" s="195" t="str">
        <f aca="false">IF($A271="","",AN270*$E270)</f>
        <v/>
      </c>
      <c r="BA270" s="195" t="str">
        <f aca="false">IF($A271="","",F270*Summary!$Q$7)</f>
        <v/>
      </c>
    </row>
    <row r="271" customFormat="false" ht="12" hidden="false" customHeight="true" outlineLevel="0" collapsed="false">
      <c r="A271" s="196" t="str">
        <f aca="false">IF(A270&lt;mthend,EDATE(A270,1),"")</f>
        <v/>
      </c>
      <c r="B271" s="197" t="str">
        <f aca="false">IF(A271&lt;mthend,B270,"")</f>
        <v/>
      </c>
      <c r="C271" s="215"/>
      <c r="D271" s="197" t="str">
        <f aca="false">IF(A272&lt;&gt;"",B271+C271,"")</f>
        <v/>
      </c>
      <c r="E271" s="199" t="str">
        <f aca="false">IF(A272="","",IF(AND(AT271=1,$H$3=1),D271*AO271,IF($H$3=2,D271,"N/A")))</f>
        <v/>
      </c>
      <c r="F271" s="199" t="str">
        <f aca="false">IF(A272="","",E271*AS271)</f>
        <v/>
      </c>
      <c r="G271" s="200" t="str">
        <f aca="false">IF($A272="","",VLOOKUP($A271,Table,MATCH(G$4,Curves,0)))</f>
        <v/>
      </c>
      <c r="H271" s="201" t="str">
        <f aca="false">IF(A272="","",G271)</f>
        <v/>
      </c>
      <c r="I271" s="202"/>
      <c r="J271" s="200" t="str">
        <f aca="false">IF($A272="","",VLOOKUP($A271,Table,MATCH(J$4,Curves,0)))</f>
        <v/>
      </c>
      <c r="K271" s="201" t="str">
        <f aca="false">IF(A272="","",J271)</f>
        <v/>
      </c>
      <c r="L271" s="200" t="str">
        <f aca="false">IF($A272="","",VLOOKUP($A271,Table,MATCH(L$4,Curves,0)))</f>
        <v/>
      </c>
      <c r="M271" s="201" t="str">
        <f aca="false">IF(A272="","",L271)</f>
        <v/>
      </c>
      <c r="N271" s="203"/>
      <c r="O271" s="200" t="str">
        <f aca="false">IF(A272="","",L271+J271+G271)</f>
        <v/>
      </c>
      <c r="P271" s="200" t="str">
        <f aca="false">IF(A272="","",M271+K271+H271)</f>
        <v/>
      </c>
      <c r="Q271" s="204"/>
      <c r="R271" s="200" t="str">
        <f aca="false">IF($A272="","",VLOOKUP($A271,Table,MATCH(R$4,Curves,0)))</f>
        <v/>
      </c>
      <c r="S271" s="201" t="str">
        <f aca="false">IF(A272="","",R271)</f>
        <v/>
      </c>
      <c r="T271" s="200" t="str">
        <f aca="false">IF($A272="","",VLOOKUP($A271,Table,MATCH(T$4,Curves,0)))</f>
        <v/>
      </c>
      <c r="U271" s="201" t="str">
        <f aca="false">IF(A272="","",T271)</f>
        <v/>
      </c>
      <c r="V271" s="183" t="str">
        <f aca="false">IF($A272="","",IF(AND(MONTH(A271)&gt;3,MONTH(A271)&lt;11),(T271+R271+G271)*Summary!$T$7/(1-Summary!$T$7),(T271+R271+G271)*Summary!$U$7/(1-Summary!$U$7)))</f>
        <v/>
      </c>
      <c r="W271" s="200" t="str">
        <f aca="false">IF($A272="","",(T271+R271+G271+V271))</f>
        <v/>
      </c>
      <c r="X271" s="200" t="str">
        <f aca="false">IF($A272="","",(U271+S271+H271+V271))</f>
        <v/>
      </c>
      <c r="Y271" s="202"/>
      <c r="Z271" s="185" t="str">
        <f aca="false">IF($A272="","",VLOOKUP($A271,Table,MATCH(Z$4,Curves,0)))</f>
        <v/>
      </c>
      <c r="AA271" s="185" t="str">
        <f aca="false">IF($A272="","",VLOOKUP($A271,Table,MATCH(AA$4,Curves,0)))</f>
        <v/>
      </c>
      <c r="AB271" s="185" t="e">
        <f aca="false">SQRT((AA271^2*(A271-$D$3)+Z271^2*(DAY(EOMONTH(A271,0))/2))/AK271)</f>
        <v>#VALUE!</v>
      </c>
      <c r="AC271" s="185" t="str">
        <f aca="false">IF($A272="","",VLOOKUP($A271,Table,MATCH(AC$4,Curves,0)))</f>
        <v/>
      </c>
      <c r="AD271" s="185" t="str">
        <f aca="false">IF($A272="","",VLOOKUP($A271,Table,MATCH(AD$4,Curves,0)))</f>
        <v/>
      </c>
      <c r="AE271" s="185" t="e">
        <f aca="false">SQRT((AD271^2*(A271-$D$3)+AC271^2*(DAY(EOMONTH(A271,0))/2))/AK271)</f>
        <v>#VALUE!</v>
      </c>
      <c r="AF271" s="206" t="e">
        <f aca="false">((Summary!$N$7*(AA271*AD271)*(A271-$D$3))+(Summary!$M$7*Z271*AC271*(DAY(EOMONTH(A271,0))/2)))/(AK271*AB271*AE271)</f>
        <v>#VALUE!</v>
      </c>
      <c r="AG271" s="207" t="str">
        <f aca="false">IF($A272="","",Summary!$Q$7)</f>
        <v/>
      </c>
      <c r="AH271" s="207" t="str">
        <f aca="false">IF($A272="","",IF(Summary!$R$7="Y",(VLOOKUP($A271,Summary!$AD$6:$AF$9,3)+'Escalating commodity'!C284),'Escalating commodity'!C284))</f>
        <v/>
      </c>
      <c r="AI271" s="207" t="str">
        <f aca="false">IF($A272="","",AH271)</f>
        <v/>
      </c>
      <c r="AJ271" s="208" t="e">
        <f aca="false">A271+DAY(EOMONTH(A271,0))/2-1</f>
        <v>#VALUE!</v>
      </c>
      <c r="AK271" s="209" t="str">
        <f aca="false">IF($A272="","",$A271-$E$1)</f>
        <v/>
      </c>
      <c r="AL271" s="182" t="str">
        <f aca="false">IF($A272="","",SPRDOPT(P271,X271,AI271,0,AB271,AE271,AF271,AK271,$AJ$2,0))</f>
        <v/>
      </c>
      <c r="AM271" s="210" t="str">
        <f aca="false">IF($A272="","",MAX(0,O271-W271-AI271))</f>
        <v/>
      </c>
      <c r="AN271" s="211" t="str">
        <f aca="false">IF($A272="","",AL271-AM271)</f>
        <v/>
      </c>
      <c r="AO271" s="137" t="str">
        <f aca="false">IF(A272="","",A272-A271)</f>
        <v/>
      </c>
      <c r="AP271" s="212" t="str">
        <f aca="false">IF(A272="","",CHOOSE(F$3,A272+24,A271))</f>
        <v/>
      </c>
      <c r="AQ271" s="209" t="str">
        <f aca="false">IF(A272="","",AP271-$E$1)</f>
        <v/>
      </c>
      <c r="AR271" s="185" t="n">
        <f aca="false">IF(Summary!$H$2=1,VLOOKUP('ANR OK vs ML7'!A271,Curves!$C$17:$AR$273,MATCH('ANR OK vs ML7'!$AR$4,Curves!$C$8:$AQ$8,0)),0.1)</f>
        <v>0.1</v>
      </c>
      <c r="AS271" s="213" t="str">
        <f aca="false">IF(A272="","",1/(1+CHOOSE(F$3,(AR272+($I$3/10000))/2,(AR271+($I$3/10000))/2))^(2*AQ271/365.25))</f>
        <v/>
      </c>
      <c r="AT271" s="137" t="str">
        <f aca="false">IF(A272="","",IF(AND(mthbeg&lt;=A271,mthend&gt;=A271),1,0))</f>
        <v/>
      </c>
      <c r="AU271" s="137" t="str">
        <f aca="false">IF(A272="","",AO271*AT271)</f>
        <v/>
      </c>
      <c r="AW271" s="195" t="str">
        <f aca="false">IF($A272="","",AL271*$E271)</f>
        <v/>
      </c>
      <c r="AX271" s="195" t="str">
        <f aca="false">IF($A272="","",AM271*$E271)</f>
        <v/>
      </c>
      <c r="AY271" s="195" t="str">
        <f aca="false">IF($A272="","",AN271*$E271)</f>
        <v/>
      </c>
      <c r="BA271" s="195" t="str">
        <f aca="false">IF($A272="","",F271*Summary!$Q$7)</f>
        <v/>
      </c>
    </row>
    <row r="272" customFormat="false" ht="12" hidden="false" customHeight="true" outlineLevel="0" collapsed="false">
      <c r="A272" s="196" t="str">
        <f aca="false">IF(A271&lt;mthend,EDATE(A271,1),"")</f>
        <v/>
      </c>
      <c r="B272" s="197" t="str">
        <f aca="false">IF(A272&lt;mthend,B271,"")</f>
        <v/>
      </c>
      <c r="C272" s="215"/>
      <c r="D272" s="197" t="str">
        <f aca="false">IF(A273&lt;&gt;"",B272+C272,"")</f>
        <v/>
      </c>
      <c r="E272" s="199" t="str">
        <f aca="false">IF(A273="","",IF(AND(AT272=1,$H$3=1),D272*AO272,IF($H$3=2,D272,"N/A")))</f>
        <v/>
      </c>
      <c r="F272" s="199" t="str">
        <f aca="false">IF(A273="","",E272*AS272)</f>
        <v/>
      </c>
      <c r="G272" s="200" t="str">
        <f aca="false">IF($A273="","",VLOOKUP($A272,Table,MATCH(G$4,Curves,0)))</f>
        <v/>
      </c>
      <c r="H272" s="201" t="str">
        <f aca="false">IF(A273="","",G272)</f>
        <v/>
      </c>
      <c r="I272" s="202"/>
      <c r="J272" s="200" t="str">
        <f aca="false">IF($A273="","",VLOOKUP($A272,Table,MATCH(J$4,Curves,0)))</f>
        <v/>
      </c>
      <c r="K272" s="201" t="str">
        <f aca="false">IF(A273="","",J272)</f>
        <v/>
      </c>
      <c r="L272" s="200" t="str">
        <f aca="false">IF($A273="","",VLOOKUP($A272,Table,MATCH(L$4,Curves,0)))</f>
        <v/>
      </c>
      <c r="M272" s="201" t="str">
        <f aca="false">IF(A273="","",L272)</f>
        <v/>
      </c>
      <c r="N272" s="203"/>
      <c r="O272" s="200" t="str">
        <f aca="false">IF(A273="","",L272+J272+G272)</f>
        <v/>
      </c>
      <c r="P272" s="200" t="str">
        <f aca="false">IF(A273="","",M272+K272+H272)</f>
        <v/>
      </c>
      <c r="Q272" s="204"/>
      <c r="R272" s="200" t="str">
        <f aca="false">IF($A273="","",VLOOKUP($A272,Table,MATCH(R$4,Curves,0)))</f>
        <v/>
      </c>
      <c r="S272" s="201" t="str">
        <f aca="false">IF(A273="","",R272)</f>
        <v/>
      </c>
      <c r="T272" s="200" t="str">
        <f aca="false">IF($A273="","",VLOOKUP($A272,Table,MATCH(T$4,Curves,0)))</f>
        <v/>
      </c>
      <c r="U272" s="201" t="str">
        <f aca="false">IF(A273="","",T272)</f>
        <v/>
      </c>
      <c r="V272" s="183" t="str">
        <f aca="false">IF($A273="","",IF(AND(MONTH(A272)&gt;3,MONTH(A272)&lt;11),(T272+R272+G272)*Summary!$T$7/(1-Summary!$T$7),(T272+R272+G272)*Summary!$U$7/(1-Summary!$U$7)))</f>
        <v/>
      </c>
      <c r="W272" s="200" t="str">
        <f aca="false">IF($A273="","",(T272+R272+G272+V272))</f>
        <v/>
      </c>
      <c r="X272" s="200" t="str">
        <f aca="false">IF($A273="","",(U272+S272+H272+V272))</f>
        <v/>
      </c>
      <c r="Y272" s="202"/>
      <c r="Z272" s="185" t="str">
        <f aca="false">IF($A273="","",VLOOKUP($A272,Table,MATCH(Z$4,Curves,0)))</f>
        <v/>
      </c>
      <c r="AA272" s="185" t="str">
        <f aca="false">IF($A273="","",VLOOKUP($A272,Table,MATCH(AA$4,Curves,0)))</f>
        <v/>
      </c>
      <c r="AB272" s="185" t="e">
        <f aca="false">SQRT((AA272^2*(A272-$D$3)+Z272^2*(DAY(EOMONTH(A272,0))/2))/AK272)</f>
        <v>#VALUE!</v>
      </c>
      <c r="AC272" s="185" t="str">
        <f aca="false">IF($A273="","",VLOOKUP($A272,Table,MATCH(AC$4,Curves,0)))</f>
        <v/>
      </c>
      <c r="AD272" s="185" t="str">
        <f aca="false">IF($A273="","",VLOOKUP($A272,Table,MATCH(AD$4,Curves,0)))</f>
        <v/>
      </c>
      <c r="AE272" s="185" t="e">
        <f aca="false">SQRT((AD272^2*(A272-$D$3)+AC272^2*(DAY(EOMONTH(A272,0))/2))/AK272)</f>
        <v>#VALUE!</v>
      </c>
      <c r="AF272" s="206" t="e">
        <f aca="false">((Summary!$N$7*(AA272*AD272)*(A272-$D$3))+(Summary!$M$7*Z272*AC272*(DAY(EOMONTH(A272,0))/2)))/(AK272*AB272*AE272)</f>
        <v>#VALUE!</v>
      </c>
      <c r="AG272" s="207" t="str">
        <f aca="false">IF($A273="","",Summary!$Q$7)</f>
        <v/>
      </c>
      <c r="AH272" s="207" t="str">
        <f aca="false">IF($A273="","",IF(Summary!$R$7="Y",(VLOOKUP($A272,Summary!$AD$6:$AF$9,3)+'Escalating commodity'!C285),'Escalating commodity'!C285))</f>
        <v/>
      </c>
      <c r="AI272" s="207" t="str">
        <f aca="false">IF($A273="","",AH272)</f>
        <v/>
      </c>
      <c r="AJ272" s="208" t="e">
        <f aca="false">A272+DAY(EOMONTH(A272,0))/2-1</f>
        <v>#VALUE!</v>
      </c>
      <c r="AK272" s="209" t="str">
        <f aca="false">IF($A273="","",$A272-$E$1)</f>
        <v/>
      </c>
      <c r="AL272" s="182" t="str">
        <f aca="false">IF($A273="","",SPRDOPT(P272,X272,AI272,0,AB272,AE272,AF272,AK272,$AJ$2,0))</f>
        <v/>
      </c>
      <c r="AM272" s="210" t="str">
        <f aca="false">IF($A273="","",MAX(0,O272-W272-AI272))</f>
        <v/>
      </c>
      <c r="AN272" s="211" t="str">
        <f aca="false">IF($A273="","",AL272-AM272)</f>
        <v/>
      </c>
      <c r="AO272" s="137" t="str">
        <f aca="false">IF(A273="","",A273-A272)</f>
        <v/>
      </c>
      <c r="AP272" s="212" t="str">
        <f aca="false">IF(A273="","",CHOOSE(F$3,A273+24,A272))</f>
        <v/>
      </c>
      <c r="AQ272" s="209" t="str">
        <f aca="false">IF(A273="","",AP272-$E$1)</f>
        <v/>
      </c>
      <c r="AR272" s="185" t="n">
        <f aca="false">IF(Summary!$H$2=1,VLOOKUP('ANR OK vs ML7'!A272,Curves!$C$17:$AR$273,MATCH('ANR OK vs ML7'!$AR$4,Curves!$C$8:$AQ$8,0)),0.1)</f>
        <v>0.1</v>
      </c>
      <c r="AS272" s="213" t="str">
        <f aca="false">IF(A273="","",1/(1+CHOOSE(F$3,(AR273+($I$3/10000))/2,(AR272+($I$3/10000))/2))^(2*AQ272/365.25))</f>
        <v/>
      </c>
      <c r="AT272" s="137" t="str">
        <f aca="false">IF(A273="","",IF(AND(mthbeg&lt;=A272,mthend&gt;=A272),1,0))</f>
        <v/>
      </c>
      <c r="AU272" s="137" t="str">
        <f aca="false">IF(A273="","",AO272*AT272)</f>
        <v/>
      </c>
      <c r="AW272" s="195" t="str">
        <f aca="false">IF($A273="","",AL272*$E272)</f>
        <v/>
      </c>
      <c r="AX272" s="195" t="str">
        <f aca="false">IF($A273="","",AM272*$E272)</f>
        <v/>
      </c>
      <c r="AY272" s="195" t="str">
        <f aca="false">IF($A273="","",AN272*$E272)</f>
        <v/>
      </c>
      <c r="BA272" s="195" t="str">
        <f aca="false">IF($A273="","",F272*Summary!$Q$7)</f>
        <v/>
      </c>
    </row>
    <row r="273" customFormat="false" ht="12" hidden="false" customHeight="true" outlineLevel="0" collapsed="false">
      <c r="A273" s="196" t="str">
        <f aca="false">IF(A272&lt;mthend,EDATE(A272,1),"")</f>
        <v/>
      </c>
      <c r="B273" s="197" t="str">
        <f aca="false">IF(A273&lt;mthend,B272,"")</f>
        <v/>
      </c>
      <c r="C273" s="215"/>
      <c r="D273" s="197" t="str">
        <f aca="false">IF(A274&lt;&gt;"",B273+C273,"")</f>
        <v/>
      </c>
      <c r="E273" s="199" t="str">
        <f aca="false">IF(A274="","",IF(AND(AT273=1,$H$3=1),D273*AO273,IF($H$3=2,D273,"N/A")))</f>
        <v/>
      </c>
      <c r="F273" s="199" t="str">
        <f aca="false">IF(A274="","",E273*AS273)</f>
        <v/>
      </c>
      <c r="G273" s="200" t="str">
        <f aca="false">IF($A274="","",VLOOKUP($A273,Table,MATCH(G$4,Curves,0)))</f>
        <v/>
      </c>
      <c r="H273" s="201" t="str">
        <f aca="false">IF(A274="","",G273)</f>
        <v/>
      </c>
      <c r="I273" s="202"/>
      <c r="J273" s="200" t="str">
        <f aca="false">IF($A274="","",VLOOKUP($A273,Table,MATCH(J$4,Curves,0)))</f>
        <v/>
      </c>
      <c r="K273" s="201" t="str">
        <f aca="false">IF(A274="","",J273)</f>
        <v/>
      </c>
      <c r="L273" s="200" t="str">
        <f aca="false">IF($A274="","",VLOOKUP($A273,Table,MATCH(L$4,Curves,0)))</f>
        <v/>
      </c>
      <c r="M273" s="201" t="str">
        <f aca="false">IF(A274="","",L273)</f>
        <v/>
      </c>
      <c r="N273" s="203"/>
      <c r="O273" s="200" t="str">
        <f aca="false">IF(A274="","",L273+J273+G273)</f>
        <v/>
      </c>
      <c r="P273" s="200" t="str">
        <f aca="false">IF(A274="","",M273+K273+H273)</f>
        <v/>
      </c>
      <c r="Q273" s="204"/>
      <c r="R273" s="200" t="str">
        <f aca="false">IF($A274="","",VLOOKUP($A273,Table,MATCH(R$4,Curves,0)))</f>
        <v/>
      </c>
      <c r="S273" s="201" t="str">
        <f aca="false">IF(A274="","",R273)</f>
        <v/>
      </c>
      <c r="T273" s="200" t="str">
        <f aca="false">IF($A274="","",VLOOKUP($A273,Table,MATCH(T$4,Curves,0)))</f>
        <v/>
      </c>
      <c r="U273" s="201" t="str">
        <f aca="false">IF(A274="","",T273)</f>
        <v/>
      </c>
      <c r="V273" s="183" t="str">
        <f aca="false">IF($A274="","",IF(AND(MONTH(A273)&gt;3,MONTH(A273)&lt;11),(T273+R273+G273)*Summary!$T$7/(1-Summary!$T$7),(T273+R273+G273)*Summary!$U$7/(1-Summary!$U$7)))</f>
        <v/>
      </c>
      <c r="W273" s="200" t="str">
        <f aca="false">IF($A274="","",(T273+R273+G273+V273))</f>
        <v/>
      </c>
      <c r="X273" s="200" t="str">
        <f aca="false">IF($A274="","",(U273+S273+H273+V273))</f>
        <v/>
      </c>
      <c r="Y273" s="202"/>
      <c r="Z273" s="185" t="str">
        <f aca="false">IF($A274="","",VLOOKUP($A273,Table,MATCH(Z$4,Curves,0)))</f>
        <v/>
      </c>
      <c r="AA273" s="185" t="str">
        <f aca="false">IF($A274="","",VLOOKUP($A273,Table,MATCH(AA$4,Curves,0)))</f>
        <v/>
      </c>
      <c r="AB273" s="185" t="e">
        <f aca="false">SQRT((AA273^2*(A273-$D$3)+Z273^2*(DAY(EOMONTH(A273,0))/2))/AK273)</f>
        <v>#VALUE!</v>
      </c>
      <c r="AC273" s="185" t="str">
        <f aca="false">IF($A274="","",VLOOKUP($A273,Table,MATCH(AC$4,Curves,0)))</f>
        <v/>
      </c>
      <c r="AD273" s="185" t="str">
        <f aca="false">IF($A274="","",VLOOKUP($A273,Table,MATCH(AD$4,Curves,0)))</f>
        <v/>
      </c>
      <c r="AE273" s="185" t="e">
        <f aca="false">SQRT((AD273^2*(A273-$D$3)+AC273^2*(DAY(EOMONTH(A273,0))/2))/AK273)</f>
        <v>#VALUE!</v>
      </c>
      <c r="AF273" s="206" t="e">
        <f aca="false">((Summary!$N$7*(AA273*AD273)*(A273-$D$3))+(Summary!$M$7*Z273*AC273*(DAY(EOMONTH(A273,0))/2)))/(AK273*AB273*AE273)</f>
        <v>#VALUE!</v>
      </c>
      <c r="AG273" s="207" t="str">
        <f aca="false">IF($A274="","",Summary!$Q$7)</f>
        <v/>
      </c>
      <c r="AH273" s="207" t="str">
        <f aca="false">IF($A274="","",IF(Summary!$R$7="Y",(VLOOKUP($A273,Summary!$AD$6:$AF$9,3)+'Escalating commodity'!C286),'Escalating commodity'!C286))</f>
        <v/>
      </c>
      <c r="AI273" s="207" t="str">
        <f aca="false">IF($A274="","",AH273)</f>
        <v/>
      </c>
      <c r="AJ273" s="208" t="e">
        <f aca="false">A273+DAY(EOMONTH(A273,0))/2-1</f>
        <v>#VALUE!</v>
      </c>
      <c r="AK273" s="209" t="str">
        <f aca="false">IF($A274="","",$A273-$E$1)</f>
        <v/>
      </c>
      <c r="AL273" s="182" t="str">
        <f aca="false">IF($A274="","",SPRDOPT(P273,X273,AI273,0,AB273,AE273,AF273,AK273,$AJ$2,0))</f>
        <v/>
      </c>
      <c r="AM273" s="210" t="str">
        <f aca="false">IF($A274="","",MAX(0,O273-W273-AI273))</f>
        <v/>
      </c>
      <c r="AN273" s="211" t="str">
        <f aca="false">IF($A274="","",AL273-AM273)</f>
        <v/>
      </c>
      <c r="AO273" s="137" t="str">
        <f aca="false">IF(A274="","",A274-A273)</f>
        <v/>
      </c>
      <c r="AP273" s="212" t="str">
        <f aca="false">IF(A274="","",CHOOSE(F$3,A274+24,A273))</f>
        <v/>
      </c>
      <c r="AQ273" s="209" t="str">
        <f aca="false">IF(A274="","",AP273-$E$1)</f>
        <v/>
      </c>
      <c r="AR273" s="185" t="n">
        <f aca="false">IF(Summary!$H$2=1,VLOOKUP('ANR OK vs ML7'!A273,Curves!$C$17:$AR$273,MATCH('ANR OK vs ML7'!$AR$4,Curves!$C$8:$AQ$8,0)),0.1)</f>
        <v>0.1</v>
      </c>
      <c r="AS273" s="213" t="str">
        <f aca="false">IF(A274="","",1/(1+CHOOSE(F$3,(AR274+($I$3/10000))/2,(AR273+($I$3/10000))/2))^(2*AQ273/365.25))</f>
        <v/>
      </c>
      <c r="AT273" s="137" t="str">
        <f aca="false">IF(A274="","",IF(AND(mthbeg&lt;=A273,mthend&gt;=A273),1,0))</f>
        <v/>
      </c>
      <c r="AU273" s="137" t="str">
        <f aca="false">IF(A274="","",AO273*AT273)</f>
        <v/>
      </c>
      <c r="AW273" s="195" t="str">
        <f aca="false">IF($A274="","",AL273*$E273)</f>
        <v/>
      </c>
      <c r="AX273" s="195" t="str">
        <f aca="false">IF($A274="","",AM273*$E273)</f>
        <v/>
      </c>
      <c r="AY273" s="195" t="str">
        <f aca="false">IF($A274="","",AN273*$E273)</f>
        <v/>
      </c>
      <c r="BA273" s="195" t="str">
        <f aca="false">IF($A274="","",F273*Summary!$Q$7)</f>
        <v/>
      </c>
    </row>
    <row r="274" customFormat="false" ht="12" hidden="false" customHeight="true" outlineLevel="0" collapsed="false">
      <c r="A274" s="196" t="str">
        <f aca="false">IF(A273&lt;mthend,EDATE(A273,1),"")</f>
        <v/>
      </c>
      <c r="B274" s="197" t="str">
        <f aca="false">IF(A274&lt;mthend,B273,"")</f>
        <v/>
      </c>
      <c r="C274" s="215"/>
      <c r="D274" s="197" t="str">
        <f aca="false">IF(A275&lt;&gt;"",B274+C274,"")</f>
        <v/>
      </c>
      <c r="E274" s="199" t="str">
        <f aca="false">IF(A275="","",IF(AND(AT274=1,$H$3=1),D274*AO274,IF($H$3=2,D274,"N/A")))</f>
        <v/>
      </c>
      <c r="F274" s="199" t="str">
        <f aca="false">IF(A275="","",E274*AS274)</f>
        <v/>
      </c>
      <c r="G274" s="200" t="str">
        <f aca="false">IF($A275="","",VLOOKUP($A274,Table,MATCH(G$4,Curves,0)))</f>
        <v/>
      </c>
      <c r="H274" s="201" t="str">
        <f aca="false">IF(A275="","",G274)</f>
        <v/>
      </c>
      <c r="I274" s="202"/>
      <c r="J274" s="200" t="str">
        <f aca="false">IF($A275="","",VLOOKUP($A274,Table,MATCH(J$4,Curves,0)))</f>
        <v/>
      </c>
      <c r="K274" s="201" t="str">
        <f aca="false">IF(A275="","",J274)</f>
        <v/>
      </c>
      <c r="L274" s="200" t="str">
        <f aca="false">IF($A275="","",VLOOKUP($A274,Table,MATCH(L$4,Curves,0)))</f>
        <v/>
      </c>
      <c r="M274" s="201" t="str">
        <f aca="false">IF(A275="","",L274)</f>
        <v/>
      </c>
      <c r="N274" s="203"/>
      <c r="O274" s="200" t="str">
        <f aca="false">IF(A275="","",L274+J274+G274)</f>
        <v/>
      </c>
      <c r="P274" s="200" t="str">
        <f aca="false">IF(A275="","",M274+K274+H274)</f>
        <v/>
      </c>
      <c r="Q274" s="204"/>
      <c r="R274" s="200" t="str">
        <f aca="false">IF($A275="","",VLOOKUP($A274,Table,MATCH(R$4,Curves,0)))</f>
        <v/>
      </c>
      <c r="S274" s="201" t="str">
        <f aca="false">IF(A275="","",R274)</f>
        <v/>
      </c>
      <c r="T274" s="200" t="str">
        <f aca="false">IF($A275="","",VLOOKUP($A274,Table,MATCH(T$4,Curves,0)))</f>
        <v/>
      </c>
      <c r="U274" s="201" t="str">
        <f aca="false">IF(A275="","",T274)</f>
        <v/>
      </c>
      <c r="V274" s="183" t="str">
        <f aca="false">IF($A275="","",IF(AND(MONTH(A274)&gt;3,MONTH(A274)&lt;11),(T274+R274+G274)*Summary!$T$7/(1-Summary!$T$7),(T274+R274+G274)*Summary!$U$7/(1-Summary!$U$7)))</f>
        <v/>
      </c>
      <c r="W274" s="200" t="str">
        <f aca="false">IF($A275="","",(T274+R274+G274+V274))</f>
        <v/>
      </c>
      <c r="X274" s="200" t="str">
        <f aca="false">IF($A275="","",(U274+S274+H274+V274))</f>
        <v/>
      </c>
      <c r="Y274" s="202"/>
      <c r="Z274" s="185" t="str">
        <f aca="false">IF($A275="","",VLOOKUP($A274,Table,MATCH(Z$4,Curves,0)))</f>
        <v/>
      </c>
      <c r="AA274" s="185" t="str">
        <f aca="false">IF($A275="","",VLOOKUP($A274,Table,MATCH(AA$4,Curves,0)))</f>
        <v/>
      </c>
      <c r="AB274" s="185" t="e">
        <f aca="false">SQRT((AA274^2*(A274-$D$3)+Z274^2*(DAY(EOMONTH(A274,0))/2))/AK274)</f>
        <v>#VALUE!</v>
      </c>
      <c r="AC274" s="185" t="str">
        <f aca="false">IF($A275="","",VLOOKUP($A274,Table,MATCH(AC$4,Curves,0)))</f>
        <v/>
      </c>
      <c r="AD274" s="185" t="str">
        <f aca="false">IF($A275="","",VLOOKUP($A274,Table,MATCH(AD$4,Curves,0)))</f>
        <v/>
      </c>
      <c r="AE274" s="185" t="e">
        <f aca="false">SQRT((AD274^2*(A274-$D$3)+AC274^2*(DAY(EOMONTH(A274,0))/2))/AK274)</f>
        <v>#VALUE!</v>
      </c>
      <c r="AF274" s="206" t="e">
        <f aca="false">((Summary!$N$7*(AA274*AD274)*(A274-$D$3))+(Summary!$M$7*Z274*AC274*(DAY(EOMONTH(A274,0))/2)))/(AK274*AB274*AE274)</f>
        <v>#VALUE!</v>
      </c>
      <c r="AG274" s="207" t="str">
        <f aca="false">IF($A275="","",Summary!$Q$7)</f>
        <v/>
      </c>
      <c r="AH274" s="207" t="str">
        <f aca="false">IF($A275="","",IF(Summary!$R$7="Y",(VLOOKUP($A274,Summary!$AD$6:$AF$9,3)+'Escalating commodity'!C287),'Escalating commodity'!C287))</f>
        <v/>
      </c>
      <c r="AI274" s="207" t="str">
        <f aca="false">IF($A275="","",AH274)</f>
        <v/>
      </c>
      <c r="AJ274" s="208" t="e">
        <f aca="false">A274+DAY(EOMONTH(A274,0))/2-1</f>
        <v>#VALUE!</v>
      </c>
      <c r="AK274" s="209" t="str">
        <f aca="false">IF($A275="","",$A274-$E$1)</f>
        <v/>
      </c>
      <c r="AL274" s="182" t="str">
        <f aca="false">IF($A275="","",SPRDOPT(P274,X274,AI274,0,AB274,AE274,AF274,AK274,$AJ$2,0))</f>
        <v/>
      </c>
      <c r="AM274" s="210" t="str">
        <f aca="false">IF($A275="","",MAX(0,O274-W274-AI274))</f>
        <v/>
      </c>
      <c r="AN274" s="211" t="str">
        <f aca="false">IF($A275="","",AL274-AM274)</f>
        <v/>
      </c>
      <c r="AO274" s="137" t="str">
        <f aca="false">IF(A275="","",A275-A274)</f>
        <v/>
      </c>
      <c r="AP274" s="212" t="str">
        <f aca="false">IF(A275="","",CHOOSE(F$3,A275+24,A274))</f>
        <v/>
      </c>
      <c r="AQ274" s="209" t="str">
        <f aca="false">IF(A275="","",AP274-$E$1)</f>
        <v/>
      </c>
      <c r="AR274" s="185" t="n">
        <f aca="false">IF(Summary!$H$2=1,VLOOKUP('ANR OK vs ML7'!A274,Curves!$C$17:$AR$273,MATCH('ANR OK vs ML7'!$AR$4,Curves!$C$8:$AQ$8,0)),0.1)</f>
        <v>0.1</v>
      </c>
      <c r="AS274" s="213" t="str">
        <f aca="false">IF(A275="","",1/(1+CHOOSE(F$3,(AR275+($I$3/10000))/2,(AR274+($I$3/10000))/2))^(2*AQ274/365.25))</f>
        <v/>
      </c>
      <c r="AT274" s="137" t="str">
        <f aca="false">IF(A275="","",IF(AND(mthbeg&lt;=A274,mthend&gt;=A274),1,0))</f>
        <v/>
      </c>
      <c r="AU274" s="137" t="str">
        <f aca="false">IF(A275="","",AO274*AT274)</f>
        <v/>
      </c>
      <c r="AW274" s="195" t="str">
        <f aca="false">IF($A275="","",AL274*$E274)</f>
        <v/>
      </c>
      <c r="AX274" s="195" t="str">
        <f aca="false">IF($A275="","",AM274*$E274)</f>
        <v/>
      </c>
      <c r="AY274" s="195" t="str">
        <f aca="false">IF($A275="","",AN274*$E274)</f>
        <v/>
      </c>
      <c r="BA274" s="195" t="str">
        <f aca="false">IF($A275="","",F274*Summary!$Q$7)</f>
        <v/>
      </c>
    </row>
    <row r="275" customFormat="false" ht="12" hidden="false" customHeight="true" outlineLevel="0" collapsed="false">
      <c r="A275" s="196" t="str">
        <f aca="false">IF(A274&lt;mthend,EDATE(A274,1),"")</f>
        <v/>
      </c>
      <c r="B275" s="197" t="str">
        <f aca="false">IF(A275&lt;mthend,B274,"")</f>
        <v/>
      </c>
      <c r="C275" s="215"/>
      <c r="D275" s="197" t="str">
        <f aca="false">IF(A276&lt;&gt;"",B275+C275,"")</f>
        <v/>
      </c>
      <c r="E275" s="199" t="str">
        <f aca="false">IF(A276="","",IF(AND(AT275=1,$H$3=1),D275*AO275,IF($H$3=2,D275,"N/A")))</f>
        <v/>
      </c>
      <c r="F275" s="199" t="str">
        <f aca="false">IF(A276="","",E275*AS275)</f>
        <v/>
      </c>
      <c r="G275" s="200" t="str">
        <f aca="false">IF($A276="","",VLOOKUP($A275,Table,MATCH(G$4,Curves,0)))</f>
        <v/>
      </c>
      <c r="H275" s="201" t="str">
        <f aca="false">IF(A276="","",G275)</f>
        <v/>
      </c>
      <c r="I275" s="202"/>
      <c r="J275" s="200" t="str">
        <f aca="false">IF($A276="","",VLOOKUP($A275,Table,MATCH(J$4,Curves,0)))</f>
        <v/>
      </c>
      <c r="K275" s="201" t="str">
        <f aca="false">IF(A276="","",J275)</f>
        <v/>
      </c>
      <c r="L275" s="200" t="str">
        <f aca="false">IF($A276="","",VLOOKUP($A275,Table,MATCH(L$4,Curves,0)))</f>
        <v/>
      </c>
      <c r="M275" s="201" t="str">
        <f aca="false">IF(A276="","",L275)</f>
        <v/>
      </c>
      <c r="N275" s="203"/>
      <c r="O275" s="200" t="str">
        <f aca="false">IF(A276="","",L275+J275+G275)</f>
        <v/>
      </c>
      <c r="P275" s="200" t="str">
        <f aca="false">IF(A276="","",M275+K275+H275)</f>
        <v/>
      </c>
      <c r="Q275" s="204"/>
      <c r="R275" s="200" t="str">
        <f aca="false">IF($A276="","",VLOOKUP($A275,Table,MATCH(R$4,Curves,0)))</f>
        <v/>
      </c>
      <c r="S275" s="201" t="str">
        <f aca="false">IF(A276="","",R275)</f>
        <v/>
      </c>
      <c r="T275" s="200" t="str">
        <f aca="false">IF($A276="","",VLOOKUP($A275,Table,MATCH(T$4,Curves,0)))</f>
        <v/>
      </c>
      <c r="U275" s="201" t="str">
        <f aca="false">IF(A276="","",T275)</f>
        <v/>
      </c>
      <c r="V275" s="183" t="str">
        <f aca="false">IF($A276="","",IF(AND(MONTH(A275)&gt;3,MONTH(A275)&lt;11),(T275+R275+G275)*Summary!$T$7/(1-Summary!$T$7),(T275+R275+G275)*Summary!$U$7/(1-Summary!$U$7)))</f>
        <v/>
      </c>
      <c r="W275" s="200" t="str">
        <f aca="false">IF($A276="","",(T275+R275+G275+V275))</f>
        <v/>
      </c>
      <c r="X275" s="200" t="str">
        <f aca="false">IF($A276="","",(U275+S275+H275+V275))</f>
        <v/>
      </c>
      <c r="Y275" s="202"/>
      <c r="Z275" s="185" t="str">
        <f aca="false">IF($A276="","",VLOOKUP($A275,Table,MATCH(Z$4,Curves,0)))</f>
        <v/>
      </c>
      <c r="AA275" s="185" t="str">
        <f aca="false">IF($A276="","",VLOOKUP($A275,Table,MATCH(AA$4,Curves,0)))</f>
        <v/>
      </c>
      <c r="AB275" s="185" t="e">
        <f aca="false">SQRT((AA275^2*(A275-$D$3)+Z275^2*(DAY(EOMONTH(A275,0))/2))/AK275)</f>
        <v>#VALUE!</v>
      </c>
      <c r="AC275" s="185" t="str">
        <f aca="false">IF($A276="","",VLOOKUP($A275,Table,MATCH(AC$4,Curves,0)))</f>
        <v/>
      </c>
      <c r="AD275" s="185" t="str">
        <f aca="false">IF($A276="","",VLOOKUP($A275,Table,MATCH(AD$4,Curves,0)))</f>
        <v/>
      </c>
      <c r="AE275" s="185" t="e">
        <f aca="false">SQRT((AD275^2*(A275-$D$3)+AC275^2*(DAY(EOMONTH(A275,0))/2))/AK275)</f>
        <v>#VALUE!</v>
      </c>
      <c r="AF275" s="206" t="e">
        <f aca="false">((Summary!$N$7*(AA275*AD275)*(A275-$D$3))+(Summary!$M$7*Z275*AC275*(DAY(EOMONTH(A275,0))/2)))/(AK275*AB275*AE275)</f>
        <v>#VALUE!</v>
      </c>
      <c r="AG275" s="207" t="str">
        <f aca="false">IF($A276="","",Summary!$Q$7)</f>
        <v/>
      </c>
      <c r="AH275" s="207" t="str">
        <f aca="false">IF($A276="","",IF(Summary!$R$7="Y",(VLOOKUP($A275,Summary!$AD$6:$AF$9,3)+'Escalating commodity'!C288),'Escalating commodity'!C288))</f>
        <v/>
      </c>
      <c r="AI275" s="207" t="str">
        <f aca="false">IF($A276="","",AH275)</f>
        <v/>
      </c>
      <c r="AJ275" s="208" t="e">
        <f aca="false">A275+DAY(EOMONTH(A275,0))/2-1</f>
        <v>#VALUE!</v>
      </c>
      <c r="AK275" s="209" t="str">
        <f aca="false">IF($A276="","",$A275-$E$1)</f>
        <v/>
      </c>
      <c r="AL275" s="182" t="str">
        <f aca="false">IF($A276="","",SPRDOPT(P275,X275,AI275,0,AB275,AE275,AF275,AK275,$AJ$2,0))</f>
        <v/>
      </c>
      <c r="AM275" s="210" t="str">
        <f aca="false">IF($A276="","",MAX(0,O275-W275-AI275))</f>
        <v/>
      </c>
      <c r="AN275" s="211" t="str">
        <f aca="false">IF($A276="","",AL275-AM275)</f>
        <v/>
      </c>
      <c r="AO275" s="137" t="str">
        <f aca="false">IF(A276="","",A276-A275)</f>
        <v/>
      </c>
      <c r="AP275" s="212" t="str">
        <f aca="false">IF(A276="","",CHOOSE(F$3,A276+24,A275))</f>
        <v/>
      </c>
      <c r="AQ275" s="209" t="str">
        <f aca="false">IF(A276="","",AP275-$E$1)</f>
        <v/>
      </c>
      <c r="AR275" s="185" t="n">
        <f aca="false">IF(Summary!$H$2=1,VLOOKUP('ANR OK vs ML7'!A275,Curves!$C$17:$AR$273,MATCH('ANR OK vs ML7'!$AR$4,Curves!$C$8:$AQ$8,0)),0.1)</f>
        <v>0.1</v>
      </c>
      <c r="AS275" s="213" t="str">
        <f aca="false">IF(A276="","",1/(1+CHOOSE(F$3,(AR276+($I$3/10000))/2,(AR275+($I$3/10000))/2))^(2*AQ275/365.25))</f>
        <v/>
      </c>
      <c r="AT275" s="137" t="str">
        <f aca="false">IF(A276="","",IF(AND(mthbeg&lt;=A275,mthend&gt;=A275),1,0))</f>
        <v/>
      </c>
      <c r="AU275" s="137" t="str">
        <f aca="false">IF(A276="","",AO275*AT275)</f>
        <v/>
      </c>
      <c r="AW275" s="195" t="str">
        <f aca="false">IF($A276="","",AL275*$E275)</f>
        <v/>
      </c>
      <c r="AX275" s="195" t="str">
        <f aca="false">IF($A276="","",AM275*$E275)</f>
        <v/>
      </c>
      <c r="AY275" s="195" t="str">
        <f aca="false">IF($A276="","",AN275*$E275)</f>
        <v/>
      </c>
      <c r="BA275" s="195" t="str">
        <f aca="false">IF($A276="","",F275*Summary!$Q$7)</f>
        <v/>
      </c>
    </row>
    <row r="276" customFormat="false" ht="12" hidden="false" customHeight="true" outlineLevel="0" collapsed="false">
      <c r="A276" s="196" t="str">
        <f aca="false">IF(A275&lt;mthend,EDATE(A275,1),"")</f>
        <v/>
      </c>
      <c r="B276" s="197" t="str">
        <f aca="false">IF(A276&lt;mthend,B275,"")</f>
        <v/>
      </c>
      <c r="C276" s="215"/>
      <c r="D276" s="197" t="str">
        <f aca="false">IF(A277&lt;&gt;"",B276+C276,"")</f>
        <v/>
      </c>
      <c r="E276" s="199" t="str">
        <f aca="false">IF(A277="","",IF(AND(AT276=1,$H$3=1),D276*AO276,IF($H$3=2,D276,"N/A")))</f>
        <v/>
      </c>
      <c r="F276" s="199" t="str">
        <f aca="false">IF(A277="","",E276*AS276)</f>
        <v/>
      </c>
      <c r="G276" s="200" t="str">
        <f aca="false">IF($A277="","",VLOOKUP($A276,Table,MATCH(G$4,Curves,0)))</f>
        <v/>
      </c>
      <c r="H276" s="201" t="str">
        <f aca="false">IF(A277="","",G276)</f>
        <v/>
      </c>
      <c r="I276" s="202"/>
      <c r="J276" s="200" t="str">
        <f aca="false">IF($A277="","",VLOOKUP($A276,Table,MATCH(J$4,Curves,0)))</f>
        <v/>
      </c>
      <c r="K276" s="201" t="str">
        <f aca="false">IF(A277="","",J276)</f>
        <v/>
      </c>
      <c r="L276" s="200" t="str">
        <f aca="false">IF($A277="","",VLOOKUP($A276,Table,MATCH(L$4,Curves,0)))</f>
        <v/>
      </c>
      <c r="M276" s="201" t="str">
        <f aca="false">IF(A277="","",L276)</f>
        <v/>
      </c>
      <c r="N276" s="203"/>
      <c r="O276" s="200" t="str">
        <f aca="false">IF(A277="","",L276+J276+G276)</f>
        <v/>
      </c>
      <c r="P276" s="200" t="str">
        <f aca="false">IF(A277="","",M276+K276+H276)</f>
        <v/>
      </c>
      <c r="Q276" s="204"/>
      <c r="R276" s="200" t="str">
        <f aca="false">IF($A277="","",VLOOKUP($A276,Table,MATCH(R$4,Curves,0)))</f>
        <v/>
      </c>
      <c r="S276" s="201" t="str">
        <f aca="false">IF(A277="","",R276)</f>
        <v/>
      </c>
      <c r="T276" s="200" t="str">
        <f aca="false">IF($A277="","",VLOOKUP($A276,Table,MATCH(T$4,Curves,0)))</f>
        <v/>
      </c>
      <c r="U276" s="201" t="str">
        <f aca="false">IF(A277="","",T276)</f>
        <v/>
      </c>
      <c r="V276" s="183" t="str">
        <f aca="false">IF($A277="","",IF(AND(MONTH(A276)&gt;3,MONTH(A276)&lt;11),(T276+R276+G276)*Summary!$T$7/(1-Summary!$T$7),(T276+R276+G276)*Summary!$U$7/(1-Summary!$U$7)))</f>
        <v/>
      </c>
      <c r="W276" s="200" t="str">
        <f aca="false">IF($A277="","",(T276+R276+G276+V276))</f>
        <v/>
      </c>
      <c r="X276" s="200" t="str">
        <f aca="false">IF($A277="","",(U276+S276+H276+V276))</f>
        <v/>
      </c>
      <c r="Y276" s="202"/>
      <c r="Z276" s="185" t="str">
        <f aca="false">IF($A277="","",VLOOKUP($A276,Table,MATCH(Z$4,Curves,0)))</f>
        <v/>
      </c>
      <c r="AA276" s="185" t="str">
        <f aca="false">IF($A277="","",VLOOKUP($A276,Table,MATCH(AA$4,Curves,0)))</f>
        <v/>
      </c>
      <c r="AB276" s="185" t="e">
        <f aca="false">SQRT((AA276^2*(A276-$D$3)+Z276^2*(DAY(EOMONTH(A276,0))/2))/AK276)</f>
        <v>#VALUE!</v>
      </c>
      <c r="AC276" s="185" t="str">
        <f aca="false">IF($A277="","",VLOOKUP($A276,Table,MATCH(AC$4,Curves,0)))</f>
        <v/>
      </c>
      <c r="AD276" s="185" t="str">
        <f aca="false">IF($A277="","",VLOOKUP($A276,Table,MATCH(AD$4,Curves,0)))</f>
        <v/>
      </c>
      <c r="AE276" s="185" t="e">
        <f aca="false">SQRT((AD276^2*(A276-$D$3)+AC276^2*(DAY(EOMONTH(A276,0))/2))/AK276)</f>
        <v>#VALUE!</v>
      </c>
      <c r="AF276" s="206" t="e">
        <f aca="false">((Summary!$N$7*(AA276*AD276)*(A276-$D$3))+(Summary!$M$7*Z276*AC276*(DAY(EOMONTH(A276,0))/2)))/(AK276*AB276*AE276)</f>
        <v>#VALUE!</v>
      </c>
      <c r="AG276" s="207" t="str">
        <f aca="false">IF($A277="","",Summary!$Q$7)</f>
        <v/>
      </c>
      <c r="AH276" s="207" t="str">
        <f aca="false">IF($A277="","",IF(Summary!$R$7="Y",(VLOOKUP($A276,Summary!$AD$6:$AF$9,3)+'Escalating commodity'!C289),'Escalating commodity'!C289))</f>
        <v/>
      </c>
      <c r="AI276" s="207" t="str">
        <f aca="false">IF($A277="","",AH276)</f>
        <v/>
      </c>
      <c r="AJ276" s="208" t="e">
        <f aca="false">A276+DAY(EOMONTH(A276,0))/2-1</f>
        <v>#VALUE!</v>
      </c>
      <c r="AK276" s="209" t="str">
        <f aca="false">IF($A277="","",$A276-$E$1)</f>
        <v/>
      </c>
      <c r="AL276" s="182" t="str">
        <f aca="false">IF($A277="","",SPRDOPT(P276,X276,AI276,0,AB276,AE276,AF276,AK276,$AJ$2,0))</f>
        <v/>
      </c>
      <c r="AM276" s="210" t="str">
        <f aca="false">IF($A277="","",MAX(0,O276-W276-AI276))</f>
        <v/>
      </c>
      <c r="AN276" s="211" t="str">
        <f aca="false">IF($A277="","",AL276-AM276)</f>
        <v/>
      </c>
      <c r="AO276" s="137" t="str">
        <f aca="false">IF(A277="","",A277-A276)</f>
        <v/>
      </c>
      <c r="AP276" s="212" t="str">
        <f aca="false">IF(A277="","",CHOOSE(F$3,A277+24,A276))</f>
        <v/>
      </c>
      <c r="AQ276" s="209" t="str">
        <f aca="false">IF(A277="","",AP276-$E$1)</f>
        <v/>
      </c>
      <c r="AR276" s="185" t="n">
        <f aca="false">IF(Summary!$H$2=1,VLOOKUP('ANR OK vs ML7'!A276,Curves!$C$17:$AR$273,MATCH('ANR OK vs ML7'!$AR$4,Curves!$C$8:$AQ$8,0)),0.1)</f>
        <v>0.1</v>
      </c>
      <c r="AS276" s="213" t="str">
        <f aca="false">IF(A277="","",1/(1+CHOOSE(F$3,(AR277+($I$3/10000))/2,(AR276+($I$3/10000))/2))^(2*AQ276/365.25))</f>
        <v/>
      </c>
      <c r="AT276" s="137" t="str">
        <f aca="false">IF(A277="","",IF(AND(mthbeg&lt;=A276,mthend&gt;=A276),1,0))</f>
        <v/>
      </c>
      <c r="AU276" s="137" t="str">
        <f aca="false">IF(A277="","",AO276*AT276)</f>
        <v/>
      </c>
      <c r="AW276" s="195" t="str">
        <f aca="false">IF($A277="","",AL276*$E276)</f>
        <v/>
      </c>
      <c r="AX276" s="195" t="str">
        <f aca="false">IF($A277="","",AM276*$E276)</f>
        <v/>
      </c>
      <c r="AY276" s="195" t="str">
        <f aca="false">IF($A277="","",AN276*$E276)</f>
        <v/>
      </c>
      <c r="BA276" s="195" t="str">
        <f aca="false">IF($A277="","",F276*Summary!$Q$7)</f>
        <v/>
      </c>
    </row>
    <row r="277" customFormat="false" ht="12" hidden="false" customHeight="true" outlineLevel="0" collapsed="false">
      <c r="A277" s="196" t="str">
        <f aca="false">IF(A276&lt;mthend,EDATE(A276,1),"")</f>
        <v/>
      </c>
      <c r="B277" s="197" t="str">
        <f aca="false">IF(A277&lt;mthend,B276,"")</f>
        <v/>
      </c>
      <c r="C277" s="215"/>
      <c r="D277" s="197" t="str">
        <f aca="false">IF(A278&lt;&gt;"",B277+C277,"")</f>
        <v/>
      </c>
      <c r="E277" s="199" t="str">
        <f aca="false">IF(A278="","",IF(AND(AT277=1,$H$3=1),D277*AO277,IF($H$3=2,D277,"N/A")))</f>
        <v/>
      </c>
      <c r="F277" s="199" t="str">
        <f aca="false">IF(A278="","",E277*AS277)</f>
        <v/>
      </c>
      <c r="G277" s="200" t="str">
        <f aca="false">IF($A278="","",VLOOKUP($A277,Table,MATCH(G$4,Curves,0)))</f>
        <v/>
      </c>
      <c r="H277" s="201" t="str">
        <f aca="false">IF(A278="","",G277)</f>
        <v/>
      </c>
      <c r="I277" s="202"/>
      <c r="J277" s="200" t="str">
        <f aca="false">IF($A278="","",VLOOKUP($A277,Table,MATCH(J$4,Curves,0)))</f>
        <v/>
      </c>
      <c r="K277" s="201" t="str">
        <f aca="false">IF(A278="","",J277)</f>
        <v/>
      </c>
      <c r="L277" s="200" t="str">
        <f aca="false">IF($A278="","",VLOOKUP($A277,Table,MATCH(L$4,Curves,0)))</f>
        <v/>
      </c>
      <c r="M277" s="201" t="str">
        <f aca="false">IF(A278="","",L277)</f>
        <v/>
      </c>
      <c r="N277" s="203"/>
      <c r="O277" s="200" t="str">
        <f aca="false">IF(A278="","",L277+J277+G277)</f>
        <v/>
      </c>
      <c r="P277" s="200" t="str">
        <f aca="false">IF(A278="","",M277+K277+H277)</f>
        <v/>
      </c>
      <c r="Q277" s="204"/>
      <c r="R277" s="200" t="str">
        <f aca="false">IF($A278="","",VLOOKUP($A277,Table,MATCH(R$4,Curves,0)))</f>
        <v/>
      </c>
      <c r="S277" s="201" t="str">
        <f aca="false">IF(A278="","",R277)</f>
        <v/>
      </c>
      <c r="T277" s="200" t="str">
        <f aca="false">IF($A278="","",VLOOKUP($A277,Table,MATCH(T$4,Curves,0)))</f>
        <v/>
      </c>
      <c r="U277" s="201" t="str">
        <f aca="false">IF(A278="","",T277)</f>
        <v/>
      </c>
      <c r="V277" s="183" t="str">
        <f aca="false">IF($A278="","",IF(AND(MONTH(A277)&gt;3,MONTH(A277)&lt;11),(T277+R277+G277)*Summary!$T$7/(1-Summary!$T$7),(T277+R277+G277)*Summary!$U$7/(1-Summary!$U$7)))</f>
        <v/>
      </c>
      <c r="W277" s="200" t="str">
        <f aca="false">IF($A278="","",(T277+R277+G277+V277))</f>
        <v/>
      </c>
      <c r="X277" s="200" t="str">
        <f aca="false">IF($A278="","",(U277+S277+H277+V277))</f>
        <v/>
      </c>
      <c r="Y277" s="202"/>
      <c r="Z277" s="185" t="str">
        <f aca="false">IF($A278="","",VLOOKUP($A277,Table,MATCH(Z$4,Curves,0)))</f>
        <v/>
      </c>
      <c r="AA277" s="185" t="str">
        <f aca="false">IF($A278="","",VLOOKUP($A277,Table,MATCH(AA$4,Curves,0)))</f>
        <v/>
      </c>
      <c r="AB277" s="185" t="e">
        <f aca="false">SQRT((AA277^2*(A277-$D$3)+Z277^2*(DAY(EOMONTH(A277,0))/2))/AK277)</f>
        <v>#VALUE!</v>
      </c>
      <c r="AC277" s="185" t="str">
        <f aca="false">IF($A278="","",VLOOKUP($A277,Table,MATCH(AC$4,Curves,0)))</f>
        <v/>
      </c>
      <c r="AD277" s="185" t="str">
        <f aca="false">IF($A278="","",VLOOKUP($A277,Table,MATCH(AD$4,Curves,0)))</f>
        <v/>
      </c>
      <c r="AE277" s="185" t="e">
        <f aca="false">SQRT((AD277^2*(A277-$D$3)+AC277^2*(DAY(EOMONTH(A277,0))/2))/AK277)</f>
        <v>#VALUE!</v>
      </c>
      <c r="AF277" s="206" t="e">
        <f aca="false">((Summary!$N$7*(AA277*AD277)*(A277-$D$3))+(Summary!$M$7*Z277*AC277*(DAY(EOMONTH(A277,0))/2)))/(AK277*AB277*AE277)</f>
        <v>#VALUE!</v>
      </c>
      <c r="AG277" s="207" t="str">
        <f aca="false">IF($A278="","",Summary!$Q$7)</f>
        <v/>
      </c>
      <c r="AH277" s="207" t="str">
        <f aca="false">IF($A278="","",IF(Summary!$R$7="Y",(VLOOKUP($A277,Summary!$AD$6:$AF$9,3)+'Escalating commodity'!C290),'Escalating commodity'!C290))</f>
        <v/>
      </c>
      <c r="AI277" s="207" t="str">
        <f aca="false">IF($A278="","",AH277)</f>
        <v/>
      </c>
      <c r="AJ277" s="208" t="e">
        <f aca="false">A277+DAY(EOMONTH(A277,0))/2-1</f>
        <v>#VALUE!</v>
      </c>
      <c r="AK277" s="209" t="str">
        <f aca="false">IF($A278="","",$A277-$E$1)</f>
        <v/>
      </c>
      <c r="AL277" s="182" t="str">
        <f aca="false">IF($A278="","",SPRDOPT(P277,X277,AI277,0,AB277,AE277,AF277,AK277,$AJ$2,0))</f>
        <v/>
      </c>
      <c r="AM277" s="210" t="str">
        <f aca="false">IF($A278="","",MAX(0,O277-W277-AI277))</f>
        <v/>
      </c>
      <c r="AN277" s="211" t="str">
        <f aca="false">IF($A278="","",AL277-AM277)</f>
        <v/>
      </c>
      <c r="AO277" s="137" t="str">
        <f aca="false">IF(A278="","",A278-A277)</f>
        <v/>
      </c>
      <c r="AP277" s="212" t="str">
        <f aca="false">IF(A278="","",CHOOSE(F$3,A278+24,A277))</f>
        <v/>
      </c>
      <c r="AQ277" s="209" t="str">
        <f aca="false">IF(A278="","",AP277-$E$1)</f>
        <v/>
      </c>
      <c r="AR277" s="185" t="n">
        <f aca="false">IF(Summary!$H$2=1,VLOOKUP('ANR OK vs ML7'!A277,Curves!$C$17:$AR$273,MATCH('ANR OK vs ML7'!$AR$4,Curves!$C$8:$AQ$8,0)),0.1)</f>
        <v>0.1</v>
      </c>
      <c r="AS277" s="213" t="str">
        <f aca="false">IF(A278="","",1/(1+CHOOSE(F$3,(AR278+($I$3/10000))/2,(AR277+($I$3/10000))/2))^(2*AQ277/365.25))</f>
        <v/>
      </c>
      <c r="AT277" s="137" t="str">
        <f aca="false">IF(A278="","",IF(AND(mthbeg&lt;=A277,mthend&gt;=A277),1,0))</f>
        <v/>
      </c>
      <c r="AU277" s="137" t="str">
        <f aca="false">IF(A278="","",AO277*AT277)</f>
        <v/>
      </c>
      <c r="AW277" s="195" t="str">
        <f aca="false">IF($A278="","",AL277*$E277)</f>
        <v/>
      </c>
      <c r="AX277" s="195" t="str">
        <f aca="false">IF($A278="","",AM277*$E277)</f>
        <v/>
      </c>
      <c r="AY277" s="195" t="str">
        <f aca="false">IF($A278="","",AN277*$E277)</f>
        <v/>
      </c>
      <c r="BA277" s="195" t="str">
        <f aca="false">IF($A278="","",F277*Summary!$Q$7)</f>
        <v/>
      </c>
    </row>
    <row r="278" customFormat="false" ht="12" hidden="false" customHeight="true" outlineLevel="0" collapsed="false">
      <c r="A278" s="196" t="str">
        <f aca="false">IF(A277&lt;mthend,EDATE(A277,1),"")</f>
        <v/>
      </c>
      <c r="B278" s="197" t="str">
        <f aca="false">IF(A278&lt;mthend,B277,"")</f>
        <v/>
      </c>
      <c r="C278" s="215"/>
      <c r="D278" s="197" t="str">
        <f aca="false">IF(A279&lt;&gt;"",B278+C278,"")</f>
        <v/>
      </c>
      <c r="E278" s="199" t="str">
        <f aca="false">IF(A279="","",IF(AND(AT278=1,$H$3=1),D278*AO278,IF($H$3=2,D278,"N/A")))</f>
        <v/>
      </c>
      <c r="F278" s="199" t="str">
        <f aca="false">IF(A279="","",E278*AS278)</f>
        <v/>
      </c>
      <c r="G278" s="200" t="str">
        <f aca="false">IF($A279="","",VLOOKUP($A278,Table,MATCH(G$4,Curves,0)))</f>
        <v/>
      </c>
      <c r="H278" s="201" t="str">
        <f aca="false">IF(A279="","",G278)</f>
        <v/>
      </c>
      <c r="I278" s="202"/>
      <c r="J278" s="200" t="str">
        <f aca="false">IF($A279="","",VLOOKUP($A278,Table,MATCH(J$4,Curves,0)))</f>
        <v/>
      </c>
      <c r="K278" s="201" t="str">
        <f aca="false">IF(A279="","",J278)</f>
        <v/>
      </c>
      <c r="L278" s="200" t="str">
        <f aca="false">IF($A279="","",VLOOKUP($A278,Table,MATCH(L$4,Curves,0)))</f>
        <v/>
      </c>
      <c r="M278" s="201" t="str">
        <f aca="false">IF(A279="","",L278)</f>
        <v/>
      </c>
      <c r="N278" s="203"/>
      <c r="O278" s="200" t="str">
        <f aca="false">IF(A279="","",L278+J278+G278)</f>
        <v/>
      </c>
      <c r="P278" s="200" t="str">
        <f aca="false">IF(A279="","",M278+K278+H278)</f>
        <v/>
      </c>
      <c r="Q278" s="204"/>
      <c r="R278" s="200" t="str">
        <f aca="false">IF($A279="","",VLOOKUP($A278,Table,MATCH(R$4,Curves,0)))</f>
        <v/>
      </c>
      <c r="S278" s="201" t="str">
        <f aca="false">IF(A279="","",R278)</f>
        <v/>
      </c>
      <c r="T278" s="200" t="str">
        <f aca="false">IF($A279="","",VLOOKUP($A278,Table,MATCH(T$4,Curves,0)))</f>
        <v/>
      </c>
      <c r="U278" s="201" t="str">
        <f aca="false">IF(A279="","",T278)</f>
        <v/>
      </c>
      <c r="V278" s="183" t="str">
        <f aca="false">IF($A279="","",IF(AND(MONTH(A278)&gt;3,MONTH(A278)&lt;11),(T278+R278+G278)*Summary!$T$7/(1-Summary!$T$7),(T278+R278+G278)*Summary!$U$7/(1-Summary!$U$7)))</f>
        <v/>
      </c>
      <c r="W278" s="200" t="str">
        <f aca="false">IF($A279="","",(T278+R278+G278+V278))</f>
        <v/>
      </c>
      <c r="X278" s="200" t="str">
        <f aca="false">IF($A279="","",(U278+S278+H278+V278))</f>
        <v/>
      </c>
      <c r="Y278" s="202"/>
      <c r="Z278" s="185" t="str">
        <f aca="false">IF($A279="","",VLOOKUP($A278,Table,MATCH(Z$4,Curves,0)))</f>
        <v/>
      </c>
      <c r="AA278" s="185" t="str">
        <f aca="false">IF($A279="","",VLOOKUP($A278,Table,MATCH(AA$4,Curves,0)))</f>
        <v/>
      </c>
      <c r="AB278" s="185" t="e">
        <f aca="false">SQRT((AA278^2*(A278-$D$3)+Z278^2*(DAY(EOMONTH(A278,0))/2))/AK278)</f>
        <v>#VALUE!</v>
      </c>
      <c r="AC278" s="185" t="str">
        <f aca="false">IF($A279="","",VLOOKUP($A278,Table,MATCH(AC$4,Curves,0)))</f>
        <v/>
      </c>
      <c r="AD278" s="185" t="str">
        <f aca="false">IF($A279="","",VLOOKUP($A278,Table,MATCH(AD$4,Curves,0)))</f>
        <v/>
      </c>
      <c r="AE278" s="185" t="e">
        <f aca="false">SQRT((AD278^2*(A278-$D$3)+AC278^2*(DAY(EOMONTH(A278,0))/2))/AK278)</f>
        <v>#VALUE!</v>
      </c>
      <c r="AF278" s="206" t="e">
        <f aca="false">((Summary!$N$7*(AA278*AD278)*(A278-$D$3))+(Summary!$M$7*Z278*AC278*(DAY(EOMONTH(A278,0))/2)))/(AK278*AB278*AE278)</f>
        <v>#VALUE!</v>
      </c>
      <c r="AG278" s="207" t="str">
        <f aca="false">IF($A279="","",Summary!$Q$7)</f>
        <v/>
      </c>
      <c r="AH278" s="207" t="str">
        <f aca="false">IF($A279="","",IF(Summary!$R$7="Y",(VLOOKUP($A278,Summary!$AD$6:$AF$9,3)+'Escalating commodity'!C291),'Escalating commodity'!C291))</f>
        <v/>
      </c>
      <c r="AI278" s="207" t="str">
        <f aca="false">IF($A279="","",AH278)</f>
        <v/>
      </c>
      <c r="AJ278" s="208" t="e">
        <f aca="false">A278+DAY(EOMONTH(A278,0))/2-1</f>
        <v>#VALUE!</v>
      </c>
      <c r="AK278" s="209" t="str">
        <f aca="false">IF($A279="","",$A278-$E$1)</f>
        <v/>
      </c>
      <c r="AL278" s="182" t="str">
        <f aca="false">IF($A279="","",SPRDOPT(P278,X278,AI278,0,AB278,AE278,AF278,AK278,$AJ$2,0))</f>
        <v/>
      </c>
      <c r="AM278" s="210" t="str">
        <f aca="false">IF($A279="","",MAX(0,O278-W278-AI278))</f>
        <v/>
      </c>
      <c r="AN278" s="211" t="str">
        <f aca="false">IF($A279="","",AL278-AM278)</f>
        <v/>
      </c>
      <c r="AO278" s="137" t="str">
        <f aca="false">IF(A279="","",A279-A278)</f>
        <v/>
      </c>
      <c r="AP278" s="212" t="str">
        <f aca="false">IF(A279="","",CHOOSE(F$3,A279+24,A278))</f>
        <v/>
      </c>
      <c r="AQ278" s="209" t="str">
        <f aca="false">IF(A279="","",AP278-$E$1)</f>
        <v/>
      </c>
      <c r="AR278" s="185" t="n">
        <f aca="false">IF(Summary!$H$2=1,VLOOKUP('ANR OK vs ML7'!A278,Curves!$C$17:$AR$273,MATCH('ANR OK vs ML7'!$AR$4,Curves!$C$8:$AQ$8,0)),0.1)</f>
        <v>0.1</v>
      </c>
      <c r="AS278" s="213" t="str">
        <f aca="false">IF(A279="","",1/(1+CHOOSE(F$3,(AR279+($I$3/10000))/2,(AR278+($I$3/10000))/2))^(2*AQ278/365.25))</f>
        <v/>
      </c>
      <c r="AT278" s="137" t="str">
        <f aca="false">IF(A279="","",IF(AND(mthbeg&lt;=A278,mthend&gt;=A278),1,0))</f>
        <v/>
      </c>
      <c r="AU278" s="137" t="str">
        <f aca="false">IF(A279="","",AO278*AT278)</f>
        <v/>
      </c>
      <c r="AW278" s="195" t="str">
        <f aca="false">IF($A279="","",AL278*$E278)</f>
        <v/>
      </c>
      <c r="AX278" s="195" t="str">
        <f aca="false">IF($A279="","",AM278*$E278)</f>
        <v/>
      </c>
      <c r="AY278" s="195" t="str">
        <f aca="false">IF($A279="","",AN278*$E278)</f>
        <v/>
      </c>
      <c r="BA278" s="195" t="str">
        <f aca="false">IF($A279="","",F278*Summary!$Q$7)</f>
        <v/>
      </c>
    </row>
    <row r="279" customFormat="false" ht="12" hidden="false" customHeight="true" outlineLevel="0" collapsed="false">
      <c r="A279" s="196" t="str">
        <f aca="false">IF(A278&lt;mthend,EDATE(A278,1),"")</f>
        <v/>
      </c>
      <c r="B279" s="197" t="str">
        <f aca="false">IF(A279&lt;mthend,B278,"")</f>
        <v/>
      </c>
      <c r="C279" s="215"/>
      <c r="D279" s="197" t="str">
        <f aca="false">IF(A280&lt;&gt;"",B279+C279,"")</f>
        <v/>
      </c>
      <c r="E279" s="199" t="str">
        <f aca="false">IF(A280="","",IF(AND(AT279=1,$H$3=1),D279*AO279,IF($H$3=2,D279,"N/A")))</f>
        <v/>
      </c>
      <c r="F279" s="199" t="str">
        <f aca="false">IF(A280="","",E279*AS279)</f>
        <v/>
      </c>
      <c r="G279" s="200" t="str">
        <f aca="false">IF($A280="","",VLOOKUP($A279,Table,MATCH(G$4,Curves,0)))</f>
        <v/>
      </c>
      <c r="H279" s="201" t="str">
        <f aca="false">IF(A280="","",G279)</f>
        <v/>
      </c>
      <c r="I279" s="202"/>
      <c r="J279" s="200" t="str">
        <f aca="false">IF($A280="","",VLOOKUP($A279,Table,MATCH(J$4,Curves,0)))</f>
        <v/>
      </c>
      <c r="K279" s="201" t="str">
        <f aca="false">IF(A280="","",J279)</f>
        <v/>
      </c>
      <c r="L279" s="200" t="str">
        <f aca="false">IF($A280="","",VLOOKUP($A279,Table,MATCH(L$4,Curves,0)))</f>
        <v/>
      </c>
      <c r="M279" s="201" t="str">
        <f aca="false">IF(A280="","",L279)</f>
        <v/>
      </c>
      <c r="N279" s="203"/>
      <c r="O279" s="200" t="str">
        <f aca="false">IF(A280="","",L279+J279+G279)</f>
        <v/>
      </c>
      <c r="P279" s="200" t="str">
        <f aca="false">IF(A280="","",M279+K279+H279)</f>
        <v/>
      </c>
      <c r="Q279" s="204"/>
      <c r="R279" s="200" t="str">
        <f aca="false">IF($A280="","",VLOOKUP($A279,Table,MATCH(R$4,Curves,0)))</f>
        <v/>
      </c>
      <c r="S279" s="201" t="str">
        <f aca="false">IF(A280="","",R279)</f>
        <v/>
      </c>
      <c r="T279" s="200" t="str">
        <f aca="false">IF($A280="","",VLOOKUP($A279,Table,MATCH(T$4,Curves,0)))</f>
        <v/>
      </c>
      <c r="U279" s="201" t="str">
        <f aca="false">IF(A280="","",T279)</f>
        <v/>
      </c>
      <c r="V279" s="183" t="str">
        <f aca="false">IF($A280="","",IF(AND(MONTH(A279)&gt;3,MONTH(A279)&lt;11),(T279+R279+G279)*Summary!$T$7/(1-Summary!$T$7),(T279+R279+G279)*Summary!$U$7/(1-Summary!$U$7)))</f>
        <v/>
      </c>
      <c r="W279" s="200" t="str">
        <f aca="false">IF($A280="","",(T279+R279+G279+V279))</f>
        <v/>
      </c>
      <c r="X279" s="200" t="str">
        <f aca="false">IF($A280="","",(U279+S279+H279+V279))</f>
        <v/>
      </c>
      <c r="Y279" s="202"/>
      <c r="Z279" s="185" t="str">
        <f aca="false">IF($A280="","",VLOOKUP($A279,Table,MATCH(Z$4,Curves,0)))</f>
        <v/>
      </c>
      <c r="AA279" s="185" t="str">
        <f aca="false">IF($A280="","",VLOOKUP($A279,Table,MATCH(AA$4,Curves,0)))</f>
        <v/>
      </c>
      <c r="AB279" s="185" t="e">
        <f aca="false">SQRT((AA279^2*(A279-$D$3)+Z279^2*(DAY(EOMONTH(A279,0))/2))/AK279)</f>
        <v>#VALUE!</v>
      </c>
      <c r="AC279" s="185" t="str">
        <f aca="false">IF($A280="","",VLOOKUP($A279,Table,MATCH(AC$4,Curves,0)))</f>
        <v/>
      </c>
      <c r="AD279" s="185" t="str">
        <f aca="false">IF($A280="","",VLOOKUP($A279,Table,MATCH(AD$4,Curves,0)))</f>
        <v/>
      </c>
      <c r="AE279" s="185" t="e">
        <f aca="false">SQRT((AD279^2*(A279-$D$3)+AC279^2*(DAY(EOMONTH(A279,0))/2))/AK279)</f>
        <v>#VALUE!</v>
      </c>
      <c r="AF279" s="206" t="e">
        <f aca="false">((Summary!$N$7*(AA279*AD279)*(A279-$D$3))+(Summary!$M$7*Z279*AC279*(DAY(EOMONTH(A279,0))/2)))/(AK279*AB279*AE279)</f>
        <v>#VALUE!</v>
      </c>
      <c r="AG279" s="207" t="str">
        <f aca="false">IF($A280="","",Summary!$Q$7)</f>
        <v/>
      </c>
      <c r="AH279" s="207" t="str">
        <f aca="false">IF($A280="","",IF(Summary!$R$7="Y",(VLOOKUP($A279,Summary!$AD$6:$AF$9,3)+'Escalating commodity'!C292),'Escalating commodity'!C292))</f>
        <v/>
      </c>
      <c r="AI279" s="207" t="str">
        <f aca="false">IF($A280="","",AH279)</f>
        <v/>
      </c>
      <c r="AJ279" s="208" t="e">
        <f aca="false">A279+DAY(EOMONTH(A279,0))/2-1</f>
        <v>#VALUE!</v>
      </c>
      <c r="AK279" s="209" t="str">
        <f aca="false">IF($A280="","",$A279-$E$1)</f>
        <v/>
      </c>
      <c r="AL279" s="182" t="str">
        <f aca="false">IF($A280="","",SPRDOPT(P279,X279,AI279,0,AB279,AE279,AF279,AK279,$AJ$2,0))</f>
        <v/>
      </c>
      <c r="AM279" s="210" t="str">
        <f aca="false">IF($A280="","",MAX(0,O279-W279-AI279))</f>
        <v/>
      </c>
      <c r="AN279" s="211" t="str">
        <f aca="false">IF($A280="","",AL279-AM279)</f>
        <v/>
      </c>
      <c r="AO279" s="137" t="str">
        <f aca="false">IF(A280="","",A280-A279)</f>
        <v/>
      </c>
      <c r="AP279" s="212" t="str">
        <f aca="false">IF(A280="","",CHOOSE(F$3,A280+24,A279))</f>
        <v/>
      </c>
      <c r="AQ279" s="209" t="str">
        <f aca="false">IF(A280="","",AP279-$E$1)</f>
        <v/>
      </c>
      <c r="AR279" s="185" t="n">
        <f aca="false">IF(Summary!$H$2=1,VLOOKUP('ANR OK vs ML7'!A279,Curves!$C$17:$AR$273,MATCH('ANR OK vs ML7'!$AR$4,Curves!$C$8:$AQ$8,0)),0.1)</f>
        <v>0.1</v>
      </c>
      <c r="AS279" s="213" t="str">
        <f aca="false">IF(A280="","",1/(1+CHOOSE(F$3,(AR280+($I$3/10000))/2,(AR279+($I$3/10000))/2))^(2*AQ279/365.25))</f>
        <v/>
      </c>
      <c r="AT279" s="137" t="str">
        <f aca="false">IF(A280="","",IF(AND(mthbeg&lt;=A279,mthend&gt;=A279),1,0))</f>
        <v/>
      </c>
      <c r="AU279" s="137" t="str">
        <f aca="false">IF(A280="","",AO279*AT279)</f>
        <v/>
      </c>
      <c r="AW279" s="195" t="str">
        <f aca="false">IF($A280="","",AL279*$E279)</f>
        <v/>
      </c>
      <c r="AX279" s="195" t="str">
        <f aca="false">IF($A280="","",AM279*$E279)</f>
        <v/>
      </c>
      <c r="AY279" s="195" t="str">
        <f aca="false">IF($A280="","",AN279*$E279)</f>
        <v/>
      </c>
      <c r="BA279" s="195" t="str">
        <f aca="false">IF($A280="","",F279*Summary!$Q$7)</f>
        <v/>
      </c>
    </row>
    <row r="280" customFormat="false" ht="12" hidden="false" customHeight="true" outlineLevel="0" collapsed="false">
      <c r="A280" s="196" t="str">
        <f aca="false">IF(A279&lt;mthend,EDATE(A279,1),"")</f>
        <v/>
      </c>
      <c r="B280" s="197" t="str">
        <f aca="false">IF(A280&lt;mthend,B279,"")</f>
        <v/>
      </c>
      <c r="C280" s="215"/>
      <c r="D280" s="197" t="str">
        <f aca="false">IF(A281&lt;&gt;"",B280+C280,"")</f>
        <v/>
      </c>
      <c r="E280" s="199" t="str">
        <f aca="false">IF(A281="","",IF(AND(AT280=1,$H$3=1),D280*AO280,IF($H$3=2,D280,"N/A")))</f>
        <v/>
      </c>
      <c r="F280" s="199" t="str">
        <f aca="false">IF(A281="","",E280*AS280)</f>
        <v/>
      </c>
      <c r="G280" s="200" t="str">
        <f aca="false">IF($A281="","",VLOOKUP($A280,Table,MATCH(G$4,Curves,0)))</f>
        <v/>
      </c>
      <c r="H280" s="201" t="str">
        <f aca="false">IF(A281="","",G280)</f>
        <v/>
      </c>
      <c r="I280" s="202"/>
      <c r="J280" s="200" t="str">
        <f aca="false">IF($A281="","",VLOOKUP($A280,Table,MATCH(J$4,Curves,0)))</f>
        <v/>
      </c>
      <c r="K280" s="201" t="str">
        <f aca="false">IF(A281="","",J280)</f>
        <v/>
      </c>
      <c r="L280" s="200" t="str">
        <f aca="false">IF($A281="","",VLOOKUP($A280,Table,MATCH(L$4,Curves,0)))</f>
        <v/>
      </c>
      <c r="M280" s="201" t="str">
        <f aca="false">IF(A281="","",L280)</f>
        <v/>
      </c>
      <c r="N280" s="203"/>
      <c r="O280" s="200" t="str">
        <f aca="false">IF(A281="","",L280+J280+G280)</f>
        <v/>
      </c>
      <c r="P280" s="200" t="str">
        <f aca="false">IF(A281="","",M280+K280+H280)</f>
        <v/>
      </c>
      <c r="Q280" s="204"/>
      <c r="R280" s="200" t="str">
        <f aca="false">IF($A281="","",VLOOKUP($A280,Table,MATCH(R$4,Curves,0)))</f>
        <v/>
      </c>
      <c r="S280" s="201" t="str">
        <f aca="false">IF(A281="","",R280)</f>
        <v/>
      </c>
      <c r="T280" s="200" t="str">
        <f aca="false">IF($A281="","",VLOOKUP($A280,Table,MATCH(T$4,Curves,0)))</f>
        <v/>
      </c>
      <c r="U280" s="201" t="str">
        <f aca="false">IF(A281="","",T280)</f>
        <v/>
      </c>
      <c r="V280" s="183" t="str">
        <f aca="false">IF($A281="","",IF(AND(MONTH(A280)&gt;3,MONTH(A280)&lt;11),(T280+R280+G280)*Summary!$T$7/(1-Summary!$T$7),(T280+R280+G280)*Summary!$U$7/(1-Summary!$U$7)))</f>
        <v/>
      </c>
      <c r="W280" s="200" t="str">
        <f aca="false">IF($A281="","",(T280+R280+G280+V280))</f>
        <v/>
      </c>
      <c r="X280" s="200" t="str">
        <f aca="false">IF($A281="","",(U280+S280+H280+V280))</f>
        <v/>
      </c>
      <c r="Y280" s="202"/>
      <c r="Z280" s="185" t="str">
        <f aca="false">IF($A281="","",VLOOKUP($A280,Table,MATCH(Z$4,Curves,0)))</f>
        <v/>
      </c>
      <c r="AA280" s="185" t="str">
        <f aca="false">IF($A281="","",VLOOKUP($A280,Table,MATCH(AA$4,Curves,0)))</f>
        <v/>
      </c>
      <c r="AB280" s="185" t="e">
        <f aca="false">SQRT((AA280^2*(A280-$D$3)+Z280^2*(DAY(EOMONTH(A280,0))/2))/AK280)</f>
        <v>#VALUE!</v>
      </c>
      <c r="AC280" s="185" t="str">
        <f aca="false">IF($A281="","",VLOOKUP($A280,Table,MATCH(AC$4,Curves,0)))</f>
        <v/>
      </c>
      <c r="AD280" s="185" t="str">
        <f aca="false">IF($A281="","",VLOOKUP($A280,Table,MATCH(AD$4,Curves,0)))</f>
        <v/>
      </c>
      <c r="AE280" s="185" t="e">
        <f aca="false">SQRT((AD280^2*(A280-$D$3)+AC280^2*(DAY(EOMONTH(A280,0))/2))/AK280)</f>
        <v>#VALUE!</v>
      </c>
      <c r="AF280" s="206" t="e">
        <f aca="false">((Summary!$N$7*(AA280*AD280)*(A280-$D$3))+(Summary!$M$7*Z280*AC280*(DAY(EOMONTH(A280,0))/2)))/(AK280*AB280*AE280)</f>
        <v>#VALUE!</v>
      </c>
      <c r="AG280" s="207" t="str">
        <f aca="false">IF($A281="","",Summary!$Q$7)</f>
        <v/>
      </c>
      <c r="AH280" s="207" t="str">
        <f aca="false">IF($A281="","",IF(Summary!$R$7="Y",(VLOOKUP($A280,Summary!$AD$6:$AF$9,3)+'Escalating commodity'!C293),'Escalating commodity'!C293))</f>
        <v/>
      </c>
      <c r="AI280" s="207" t="str">
        <f aca="false">IF($A281="","",AH280)</f>
        <v/>
      </c>
      <c r="AJ280" s="208" t="e">
        <f aca="false">A280+DAY(EOMONTH(A280,0))/2-1</f>
        <v>#VALUE!</v>
      </c>
      <c r="AK280" s="209" t="str">
        <f aca="false">IF($A281="","",$A280-$E$1)</f>
        <v/>
      </c>
      <c r="AL280" s="182" t="str">
        <f aca="false">IF($A281="","",SPRDOPT(P280,X280,AI280,0,AB280,AE280,AF280,AK280,$AJ$2,0))</f>
        <v/>
      </c>
      <c r="AM280" s="210" t="str">
        <f aca="false">IF($A281="","",MAX(0,O280-W280-AI280))</f>
        <v/>
      </c>
      <c r="AN280" s="211" t="str">
        <f aca="false">IF($A281="","",AL280-AM280)</f>
        <v/>
      </c>
      <c r="AO280" s="137" t="str">
        <f aca="false">IF(A281="","",A281-A280)</f>
        <v/>
      </c>
      <c r="AP280" s="212" t="str">
        <f aca="false">IF(A281="","",CHOOSE(F$3,A281+24,A280))</f>
        <v/>
      </c>
      <c r="AQ280" s="209" t="str">
        <f aca="false">IF(A281="","",AP280-$E$1)</f>
        <v/>
      </c>
      <c r="AR280" s="185" t="n">
        <f aca="false">IF(Summary!$H$2=1,VLOOKUP('ANR OK vs ML7'!A280,Curves!$C$17:$AR$273,MATCH('ANR OK vs ML7'!$AR$4,Curves!$C$8:$AQ$8,0)),0.1)</f>
        <v>0.1</v>
      </c>
      <c r="AS280" s="213" t="str">
        <f aca="false">IF(A281="","",1/(1+CHOOSE(F$3,(AR281+($I$3/10000))/2,(AR280+($I$3/10000))/2))^(2*AQ280/365.25))</f>
        <v/>
      </c>
      <c r="AT280" s="137" t="str">
        <f aca="false">IF(A281="","",IF(AND(mthbeg&lt;=A280,mthend&gt;=A280),1,0))</f>
        <v/>
      </c>
      <c r="AU280" s="137" t="str">
        <f aca="false">IF(A281="","",AO280*AT280)</f>
        <v/>
      </c>
      <c r="AW280" s="195" t="str">
        <f aca="false">IF($A281="","",AL280*$E280)</f>
        <v/>
      </c>
      <c r="AX280" s="195" t="str">
        <f aca="false">IF($A281="","",AM280*$E280)</f>
        <v/>
      </c>
      <c r="AY280" s="195" t="str">
        <f aca="false">IF($A281="","",AN280*$E280)</f>
        <v/>
      </c>
      <c r="BA280" s="195" t="str">
        <f aca="false">IF($A281="","",F280*Summary!$Q$7)</f>
        <v/>
      </c>
    </row>
    <row r="281" customFormat="false" ht="12" hidden="false" customHeight="true" outlineLevel="0" collapsed="false">
      <c r="A281" s="196" t="str">
        <f aca="false">IF(A280&lt;mthend,EDATE(A280,1),"")</f>
        <v/>
      </c>
      <c r="B281" s="197" t="str">
        <f aca="false">IF(A281&lt;mthend,B280,"")</f>
        <v/>
      </c>
      <c r="C281" s="215"/>
      <c r="D281" s="197" t="str">
        <f aca="false">IF(A282&lt;&gt;"",B281+C281,"")</f>
        <v/>
      </c>
      <c r="E281" s="199" t="str">
        <f aca="false">IF(A282="","",IF(AND(AT281=1,$H$3=1),D281*AO281,IF($H$3=2,D281,"N/A")))</f>
        <v/>
      </c>
      <c r="F281" s="199" t="str">
        <f aca="false">IF(A282="","",E281*AS281)</f>
        <v/>
      </c>
      <c r="G281" s="200" t="str">
        <f aca="false">IF($A282="","",VLOOKUP($A281,Table,MATCH(G$4,Curves,0)))</f>
        <v/>
      </c>
      <c r="H281" s="201" t="str">
        <f aca="false">IF(A282="","",G281)</f>
        <v/>
      </c>
      <c r="I281" s="202"/>
      <c r="J281" s="200" t="str">
        <f aca="false">IF($A282="","",VLOOKUP($A281,Table,MATCH(J$4,Curves,0)))</f>
        <v/>
      </c>
      <c r="K281" s="201" t="str">
        <f aca="false">IF(A282="","",J281)</f>
        <v/>
      </c>
      <c r="L281" s="200" t="str">
        <f aca="false">IF($A282="","",VLOOKUP($A281,Table,MATCH(L$4,Curves,0)))</f>
        <v/>
      </c>
      <c r="M281" s="201" t="str">
        <f aca="false">IF(A282="","",L281)</f>
        <v/>
      </c>
      <c r="N281" s="203"/>
      <c r="O281" s="200" t="str">
        <f aca="false">IF(A282="","",L281+J281+G281)</f>
        <v/>
      </c>
      <c r="P281" s="200" t="str">
        <f aca="false">IF(A282="","",M281+K281+H281)</f>
        <v/>
      </c>
      <c r="Q281" s="204"/>
      <c r="R281" s="200" t="str">
        <f aca="false">IF($A282="","",VLOOKUP($A281,Table,MATCH(R$4,Curves,0)))</f>
        <v/>
      </c>
      <c r="S281" s="201" t="str">
        <f aca="false">IF(A282="","",R281)</f>
        <v/>
      </c>
      <c r="T281" s="200" t="str">
        <f aca="false">IF($A282="","",VLOOKUP($A281,Table,MATCH(T$4,Curves,0)))</f>
        <v/>
      </c>
      <c r="U281" s="201" t="str">
        <f aca="false">IF(A282="","",T281)</f>
        <v/>
      </c>
      <c r="V281" s="183" t="str">
        <f aca="false">IF($A282="","",IF(AND(MONTH(A281)&gt;3,MONTH(A281)&lt;11),(T281+R281+G281)*Summary!$T$7/(1-Summary!$T$7),(T281+R281+G281)*Summary!$U$7/(1-Summary!$U$7)))</f>
        <v/>
      </c>
      <c r="W281" s="200" t="str">
        <f aca="false">IF($A282="","",(T281+R281+G281+V281))</f>
        <v/>
      </c>
      <c r="X281" s="200" t="str">
        <f aca="false">IF($A282="","",(U281+S281+H281+V281))</f>
        <v/>
      </c>
      <c r="Y281" s="202"/>
      <c r="Z281" s="185" t="str">
        <f aca="false">IF($A282="","",VLOOKUP($A281,Table,MATCH(Z$4,Curves,0)))</f>
        <v/>
      </c>
      <c r="AA281" s="185" t="str">
        <f aca="false">IF($A282="","",VLOOKUP($A281,Table,MATCH(AA$4,Curves,0)))</f>
        <v/>
      </c>
      <c r="AB281" s="185" t="e">
        <f aca="false">SQRT((AA281^2*(A281-$D$3)+Z281^2*(DAY(EOMONTH(A281,0))/2))/AK281)</f>
        <v>#VALUE!</v>
      </c>
      <c r="AC281" s="185" t="str">
        <f aca="false">IF($A282="","",VLOOKUP($A281,Table,MATCH(AC$4,Curves,0)))</f>
        <v/>
      </c>
      <c r="AD281" s="185" t="str">
        <f aca="false">IF($A282="","",VLOOKUP($A281,Table,MATCH(AD$4,Curves,0)))</f>
        <v/>
      </c>
      <c r="AE281" s="185" t="e">
        <f aca="false">SQRT((AD281^2*(A281-$D$3)+AC281^2*(DAY(EOMONTH(A281,0))/2))/AK281)</f>
        <v>#VALUE!</v>
      </c>
      <c r="AF281" s="206" t="e">
        <f aca="false">((Summary!$N$7*(AA281*AD281)*(A281-$D$3))+(Summary!$M$7*Z281*AC281*(DAY(EOMONTH(A281,0))/2)))/(AK281*AB281*AE281)</f>
        <v>#VALUE!</v>
      </c>
      <c r="AG281" s="207" t="str">
        <f aca="false">IF($A282="","",Summary!$Q$7)</f>
        <v/>
      </c>
      <c r="AH281" s="207" t="str">
        <f aca="false">IF($A282="","",IF(Summary!$R$7="Y",(VLOOKUP($A281,Summary!$AD$6:$AF$9,3)+'Escalating commodity'!C294),'Escalating commodity'!C294))</f>
        <v/>
      </c>
      <c r="AI281" s="207" t="str">
        <f aca="false">IF($A282="","",AH281)</f>
        <v/>
      </c>
      <c r="AJ281" s="208" t="e">
        <f aca="false">A281+DAY(EOMONTH(A281,0))/2-1</f>
        <v>#VALUE!</v>
      </c>
      <c r="AK281" s="209" t="str">
        <f aca="false">IF($A282="","",$A281-$E$1)</f>
        <v/>
      </c>
      <c r="AL281" s="182" t="str">
        <f aca="false">IF($A282="","",SPRDOPT(P281,X281,AI281,0,AB281,AE281,AF281,AK281,$AJ$2,0))</f>
        <v/>
      </c>
      <c r="AM281" s="210" t="str">
        <f aca="false">IF($A282="","",MAX(0,O281-W281-AI281))</f>
        <v/>
      </c>
      <c r="AN281" s="211" t="str">
        <f aca="false">IF($A282="","",AL281-AM281)</f>
        <v/>
      </c>
      <c r="AO281" s="137" t="str">
        <f aca="false">IF(A282="","",A282-A281)</f>
        <v/>
      </c>
      <c r="AP281" s="212" t="str">
        <f aca="false">IF(A282="","",CHOOSE(F$3,A282+24,A281))</f>
        <v/>
      </c>
      <c r="AQ281" s="209" t="str">
        <f aca="false">IF(A282="","",AP281-$E$1)</f>
        <v/>
      </c>
      <c r="AR281" s="185" t="n">
        <f aca="false">IF(Summary!$H$2=1,VLOOKUP('ANR OK vs ML7'!A281,Curves!$C$17:$AR$273,MATCH('ANR OK vs ML7'!$AR$4,Curves!$C$8:$AQ$8,0)),0.1)</f>
        <v>0.1</v>
      </c>
      <c r="AS281" s="213" t="str">
        <f aca="false">IF(A282="","",1/(1+CHOOSE(F$3,(AR282+($I$3/10000))/2,(AR281+($I$3/10000))/2))^(2*AQ281/365.25))</f>
        <v/>
      </c>
      <c r="AT281" s="137" t="str">
        <f aca="false">IF(A282="","",IF(AND(mthbeg&lt;=A281,mthend&gt;=A281),1,0))</f>
        <v/>
      </c>
      <c r="AU281" s="137" t="str">
        <f aca="false">IF(A282="","",AO281*AT281)</f>
        <v/>
      </c>
      <c r="AW281" s="195" t="str">
        <f aca="false">IF($A282="","",AL281*$E281)</f>
        <v/>
      </c>
      <c r="AX281" s="195" t="str">
        <f aca="false">IF($A282="","",AM281*$E281)</f>
        <v/>
      </c>
      <c r="AY281" s="195" t="str">
        <f aca="false">IF($A282="","",AN281*$E281)</f>
        <v/>
      </c>
      <c r="BA281" s="195" t="str">
        <f aca="false">IF($A282="","",F281*Summary!$Q$7)</f>
        <v/>
      </c>
    </row>
    <row r="282" customFormat="false" ht="12" hidden="false" customHeight="true" outlineLevel="0" collapsed="false">
      <c r="A282" s="196" t="str">
        <f aca="false">IF(A281&lt;mthend,EDATE(A281,1),"")</f>
        <v/>
      </c>
      <c r="B282" s="197" t="str">
        <f aca="false">IF(A282&lt;mthend,B281,"")</f>
        <v/>
      </c>
      <c r="C282" s="215"/>
      <c r="D282" s="197" t="str">
        <f aca="false">IF(A283&lt;&gt;"",B282+C282,"")</f>
        <v/>
      </c>
      <c r="E282" s="199" t="str">
        <f aca="false">IF(A283="","",IF(AND(AT282=1,$H$3=1),D282*AO282,IF($H$3=2,D282,"N/A")))</f>
        <v/>
      </c>
      <c r="F282" s="199" t="str">
        <f aca="false">IF(A283="","",E282*AS282)</f>
        <v/>
      </c>
      <c r="G282" s="200" t="str">
        <f aca="false">IF($A283="","",VLOOKUP($A282,Table,MATCH(G$4,Curves,0)))</f>
        <v/>
      </c>
      <c r="H282" s="201" t="str">
        <f aca="false">IF(A283="","",G282)</f>
        <v/>
      </c>
      <c r="I282" s="202"/>
      <c r="J282" s="200" t="str">
        <f aca="false">IF($A283="","",VLOOKUP($A282,Table,MATCH(J$4,Curves,0)))</f>
        <v/>
      </c>
      <c r="K282" s="201" t="str">
        <f aca="false">IF(A283="","",J282)</f>
        <v/>
      </c>
      <c r="L282" s="200" t="str">
        <f aca="false">IF($A283="","",VLOOKUP($A282,Table,MATCH(L$4,Curves,0)))</f>
        <v/>
      </c>
      <c r="M282" s="201" t="str">
        <f aca="false">IF(A283="","",L282)</f>
        <v/>
      </c>
      <c r="N282" s="203"/>
      <c r="O282" s="200" t="str">
        <f aca="false">IF(A283="","",L282+J282+G282)</f>
        <v/>
      </c>
      <c r="P282" s="200" t="str">
        <f aca="false">IF(A283="","",M282+K282+H282)</f>
        <v/>
      </c>
      <c r="Q282" s="204"/>
      <c r="R282" s="200" t="str">
        <f aca="false">IF($A283="","",VLOOKUP($A282,Table,MATCH(R$4,Curves,0)))</f>
        <v/>
      </c>
      <c r="S282" s="201" t="str">
        <f aca="false">IF(A283="","",R282)</f>
        <v/>
      </c>
      <c r="T282" s="200" t="str">
        <f aca="false">IF($A283="","",VLOOKUP($A282,Table,MATCH(T$4,Curves,0)))</f>
        <v/>
      </c>
      <c r="U282" s="201" t="str">
        <f aca="false">IF(A283="","",T282)</f>
        <v/>
      </c>
      <c r="V282" s="183" t="str">
        <f aca="false">IF($A283="","",IF(AND(MONTH(A282)&gt;3,MONTH(A282)&lt;11),(T282+R282+G282)*Summary!$T$7/(1-Summary!$T$7),(T282+R282+G282)*Summary!$U$7/(1-Summary!$U$7)))</f>
        <v/>
      </c>
      <c r="W282" s="200" t="str">
        <f aca="false">IF($A283="","",(T282+R282+G282+V282))</f>
        <v/>
      </c>
      <c r="X282" s="200" t="str">
        <f aca="false">IF($A283="","",(U282+S282+H282+V282))</f>
        <v/>
      </c>
      <c r="Y282" s="202"/>
      <c r="Z282" s="185" t="str">
        <f aca="false">IF($A283="","",VLOOKUP($A282,Table,MATCH(Z$4,Curves,0)))</f>
        <v/>
      </c>
      <c r="AA282" s="185" t="str">
        <f aca="false">IF($A283="","",VLOOKUP($A282,Table,MATCH(AA$4,Curves,0)))</f>
        <v/>
      </c>
      <c r="AB282" s="185" t="e">
        <f aca="false">SQRT((AA282^2*(A282-$D$3)+Z282^2*(DAY(EOMONTH(A282,0))/2))/AK282)</f>
        <v>#VALUE!</v>
      </c>
      <c r="AC282" s="185" t="str">
        <f aca="false">IF($A283="","",VLOOKUP($A282,Table,MATCH(AC$4,Curves,0)))</f>
        <v/>
      </c>
      <c r="AD282" s="185" t="str">
        <f aca="false">IF($A283="","",VLOOKUP($A282,Table,MATCH(AD$4,Curves,0)))</f>
        <v/>
      </c>
      <c r="AE282" s="185" t="e">
        <f aca="false">SQRT((AD282^2*(A282-$D$3)+AC282^2*(DAY(EOMONTH(A282,0))/2))/AK282)</f>
        <v>#VALUE!</v>
      </c>
      <c r="AF282" s="206" t="e">
        <f aca="false">((Summary!$N$7*(AA282*AD282)*(A282-$D$3))+(Summary!$M$7*Z282*AC282*(DAY(EOMONTH(A282,0))/2)))/(AK282*AB282*AE282)</f>
        <v>#VALUE!</v>
      </c>
      <c r="AG282" s="207" t="str">
        <f aca="false">IF($A283="","",Summary!$Q$7)</f>
        <v/>
      </c>
      <c r="AH282" s="207" t="str">
        <f aca="false">IF($A283="","",IF(Summary!$R$7="Y",(VLOOKUP($A282,Summary!$AD$6:$AF$9,3)+'Escalating commodity'!C295),'Escalating commodity'!C295))</f>
        <v/>
      </c>
      <c r="AI282" s="207" t="str">
        <f aca="false">IF($A283="","",AH282)</f>
        <v/>
      </c>
      <c r="AJ282" s="208" t="e">
        <f aca="false">A282+DAY(EOMONTH(A282,0))/2-1</f>
        <v>#VALUE!</v>
      </c>
      <c r="AK282" s="209" t="str">
        <f aca="false">IF($A283="","",$A282-$E$1)</f>
        <v/>
      </c>
      <c r="AL282" s="182" t="str">
        <f aca="false">IF($A283="","",SPRDOPT(P282,X282,AI282,0,AB282,AE282,AF282,AK282,$AJ$2,0))</f>
        <v/>
      </c>
      <c r="AM282" s="210" t="str">
        <f aca="false">IF($A283="","",MAX(0,O282-W282-AI282))</f>
        <v/>
      </c>
      <c r="AN282" s="211" t="str">
        <f aca="false">IF($A283="","",AL282-AM282)</f>
        <v/>
      </c>
      <c r="AO282" s="137" t="str">
        <f aca="false">IF(A283="","",A283-A282)</f>
        <v/>
      </c>
      <c r="AP282" s="212" t="str">
        <f aca="false">IF(A283="","",CHOOSE(F$3,A283+24,A282))</f>
        <v/>
      </c>
      <c r="AQ282" s="209" t="str">
        <f aca="false">IF(A283="","",AP282-$E$1)</f>
        <v/>
      </c>
      <c r="AR282" s="185" t="n">
        <f aca="false">IF(Summary!$H$2=1,VLOOKUP('ANR OK vs ML7'!A282,Curves!$C$17:$AR$273,MATCH('ANR OK vs ML7'!$AR$4,Curves!$C$8:$AQ$8,0)),0.1)</f>
        <v>0.1</v>
      </c>
      <c r="AS282" s="213" t="str">
        <f aca="false">IF(A283="","",1/(1+CHOOSE(F$3,(AR283+($I$3/10000))/2,(AR282+($I$3/10000))/2))^(2*AQ282/365.25))</f>
        <v/>
      </c>
      <c r="AT282" s="137" t="str">
        <f aca="false">IF(A283="","",IF(AND(mthbeg&lt;=A282,mthend&gt;=A282),1,0))</f>
        <v/>
      </c>
      <c r="AU282" s="137" t="str">
        <f aca="false">IF(A283="","",AO282*AT282)</f>
        <v/>
      </c>
      <c r="AW282" s="195" t="str">
        <f aca="false">IF($A283="","",AL282*$E282)</f>
        <v/>
      </c>
      <c r="AX282" s="195" t="str">
        <f aca="false">IF($A283="","",AM282*$E282)</f>
        <v/>
      </c>
      <c r="AY282" s="195" t="str">
        <f aca="false">IF($A283="","",AN282*$E282)</f>
        <v/>
      </c>
      <c r="BA282" s="195" t="str">
        <f aca="false">IF($A283="","",F282*Summary!$Q$7)</f>
        <v/>
      </c>
    </row>
    <row r="283" customFormat="false" ht="12" hidden="false" customHeight="true" outlineLevel="0" collapsed="false">
      <c r="A283" s="196" t="str">
        <f aca="false">IF(A282&lt;mthend,EDATE(A282,1),"")</f>
        <v/>
      </c>
      <c r="B283" s="197" t="str">
        <f aca="false">IF(A283&lt;mthend,B282,"")</f>
        <v/>
      </c>
      <c r="C283" s="215"/>
      <c r="D283" s="197" t="str">
        <f aca="false">IF(A284&lt;&gt;"",B283+C283,"")</f>
        <v/>
      </c>
      <c r="E283" s="199" t="str">
        <f aca="false">IF(A284="","",IF(AND(AT283=1,$H$3=1),D283*AO283,IF($H$3=2,D283,"N/A")))</f>
        <v/>
      </c>
      <c r="F283" s="199" t="str">
        <f aca="false">IF(A284="","",E283*AS283)</f>
        <v/>
      </c>
      <c r="G283" s="200" t="str">
        <f aca="false">IF($A284="","",VLOOKUP($A283,Table,MATCH(G$4,Curves,0)))</f>
        <v/>
      </c>
      <c r="H283" s="201" t="str">
        <f aca="false">IF(A284="","",G283)</f>
        <v/>
      </c>
      <c r="I283" s="202"/>
      <c r="J283" s="200" t="str">
        <f aca="false">IF($A284="","",VLOOKUP($A283,Table,MATCH(J$4,Curves,0)))</f>
        <v/>
      </c>
      <c r="K283" s="201" t="str">
        <f aca="false">IF(A284="","",J283)</f>
        <v/>
      </c>
      <c r="L283" s="200" t="str">
        <f aca="false">IF($A284="","",VLOOKUP($A283,Table,MATCH(L$4,Curves,0)))</f>
        <v/>
      </c>
      <c r="M283" s="201" t="str">
        <f aca="false">IF(A284="","",L283)</f>
        <v/>
      </c>
      <c r="N283" s="203"/>
      <c r="O283" s="200" t="str">
        <f aca="false">IF(A284="","",L283+J283+G283)</f>
        <v/>
      </c>
      <c r="P283" s="200" t="str">
        <f aca="false">IF(A284="","",M283+K283+H283)</f>
        <v/>
      </c>
      <c r="Q283" s="204"/>
      <c r="R283" s="200" t="str">
        <f aca="false">IF($A284="","",VLOOKUP($A283,Table,MATCH(R$4,Curves,0)))</f>
        <v/>
      </c>
      <c r="S283" s="201" t="str">
        <f aca="false">IF(A284="","",R283)</f>
        <v/>
      </c>
      <c r="T283" s="200" t="str">
        <f aca="false">IF($A284="","",VLOOKUP($A283,Table,MATCH(T$4,Curves,0)))</f>
        <v/>
      </c>
      <c r="U283" s="201" t="str">
        <f aca="false">IF(A284="","",T283)</f>
        <v/>
      </c>
      <c r="V283" s="183" t="str">
        <f aca="false">IF($A284="","",IF(AND(MONTH(A283)&gt;3,MONTH(A283)&lt;11),(T283+R283+G283)*Summary!$T$7/(1-Summary!$T$7),(T283+R283+G283)*Summary!$U$7/(1-Summary!$U$7)))</f>
        <v/>
      </c>
      <c r="W283" s="200" t="str">
        <f aca="false">IF($A284="","",(T283+R283+G283+V283))</f>
        <v/>
      </c>
      <c r="X283" s="200" t="str">
        <f aca="false">IF($A284="","",(U283+S283+H283+V283))</f>
        <v/>
      </c>
      <c r="Y283" s="202"/>
      <c r="Z283" s="185" t="str">
        <f aca="false">IF($A284="","",VLOOKUP($A283,Table,MATCH(Z$4,Curves,0)))</f>
        <v/>
      </c>
      <c r="AA283" s="185" t="str">
        <f aca="false">IF($A284="","",VLOOKUP($A283,Table,MATCH(AA$4,Curves,0)))</f>
        <v/>
      </c>
      <c r="AB283" s="185" t="e">
        <f aca="false">SQRT((AA283^2*(A283-$D$3)+Z283^2*(DAY(EOMONTH(A283,0))/2))/AK283)</f>
        <v>#VALUE!</v>
      </c>
      <c r="AC283" s="185" t="str">
        <f aca="false">IF($A284="","",VLOOKUP($A283,Table,MATCH(AC$4,Curves,0)))</f>
        <v/>
      </c>
      <c r="AD283" s="185" t="str">
        <f aca="false">IF($A284="","",VLOOKUP($A283,Table,MATCH(AD$4,Curves,0)))</f>
        <v/>
      </c>
      <c r="AE283" s="185" t="e">
        <f aca="false">SQRT((AD283^2*(A283-$D$3)+AC283^2*(DAY(EOMONTH(A283,0))/2))/AK283)</f>
        <v>#VALUE!</v>
      </c>
      <c r="AF283" s="206" t="e">
        <f aca="false">((Summary!$N$7*(AA283*AD283)*(A283-$D$3))+(Summary!$M$7*Z283*AC283*(DAY(EOMONTH(A283,0))/2)))/(AK283*AB283*AE283)</f>
        <v>#VALUE!</v>
      </c>
      <c r="AG283" s="207" t="str">
        <f aca="false">IF($A284="","",Summary!$Q$7)</f>
        <v/>
      </c>
      <c r="AH283" s="207" t="str">
        <f aca="false">IF($A284="","",IF(Summary!$R$7="Y",(VLOOKUP($A283,Summary!$AD$6:$AF$9,3)+'Escalating commodity'!C296),'Escalating commodity'!C296))</f>
        <v/>
      </c>
      <c r="AI283" s="207" t="str">
        <f aca="false">IF($A284="","",AH283)</f>
        <v/>
      </c>
      <c r="AJ283" s="208" t="e">
        <f aca="false">A283+DAY(EOMONTH(A283,0))/2-1</f>
        <v>#VALUE!</v>
      </c>
      <c r="AK283" s="209" t="str">
        <f aca="false">IF($A284="","",$A283-$E$1)</f>
        <v/>
      </c>
      <c r="AL283" s="182" t="str">
        <f aca="false">IF($A284="","",SPRDOPT(P283,X283,AI283,0,AB283,AE283,AF283,AK283,$AJ$2,0))</f>
        <v/>
      </c>
      <c r="AM283" s="210" t="str">
        <f aca="false">IF($A284="","",MAX(0,O283-W283-AI283))</f>
        <v/>
      </c>
      <c r="AN283" s="211" t="str">
        <f aca="false">IF($A284="","",AL283-AM283)</f>
        <v/>
      </c>
      <c r="AO283" s="137" t="str">
        <f aca="false">IF(A284="","",A284-A283)</f>
        <v/>
      </c>
      <c r="AP283" s="212" t="str">
        <f aca="false">IF(A284="","",CHOOSE(F$3,A284+24,A283))</f>
        <v/>
      </c>
      <c r="AQ283" s="209" t="str">
        <f aca="false">IF(A284="","",AP283-$E$1)</f>
        <v/>
      </c>
      <c r="AR283" s="185" t="n">
        <f aca="false">IF(Summary!$H$2=1,VLOOKUP('ANR OK vs ML7'!A283,Curves!$C$17:$AR$273,MATCH('ANR OK vs ML7'!$AR$4,Curves!$C$8:$AQ$8,0)),0.1)</f>
        <v>0.1</v>
      </c>
      <c r="AS283" s="213" t="str">
        <f aca="false">IF(A284="","",1/(1+CHOOSE(F$3,(AR284+($I$3/10000))/2,(AR283+($I$3/10000))/2))^(2*AQ283/365.25))</f>
        <v/>
      </c>
      <c r="AT283" s="137" t="str">
        <f aca="false">IF(A284="","",IF(AND(mthbeg&lt;=A283,mthend&gt;=A283),1,0))</f>
        <v/>
      </c>
      <c r="AU283" s="137" t="str">
        <f aca="false">IF(A284="","",AO283*AT283)</f>
        <v/>
      </c>
      <c r="AW283" s="195" t="str">
        <f aca="false">IF($A284="","",AL283*$E283)</f>
        <v/>
      </c>
      <c r="AX283" s="195" t="str">
        <f aca="false">IF($A284="","",AM283*$E283)</f>
        <v/>
      </c>
      <c r="AY283" s="195" t="str">
        <f aca="false">IF($A284="","",AN283*$E283)</f>
        <v/>
      </c>
      <c r="BA283" s="195" t="str">
        <f aca="false">IF($A284="","",F283*Summary!$Q$7)</f>
        <v/>
      </c>
    </row>
    <row r="284" customFormat="false" ht="12" hidden="false" customHeight="true" outlineLevel="0" collapsed="false">
      <c r="A284" s="196" t="str">
        <f aca="false">IF(A283&lt;mthend,EDATE(A283,1),"")</f>
        <v/>
      </c>
      <c r="B284" s="197" t="str">
        <f aca="false">IF(A284&lt;mthend,B283,"")</f>
        <v/>
      </c>
      <c r="C284" s="215"/>
      <c r="D284" s="197" t="str">
        <f aca="false">IF(A285&lt;&gt;"",B284+C284,"")</f>
        <v/>
      </c>
      <c r="E284" s="199" t="str">
        <f aca="false">IF(A285="","",IF(AND(AT284=1,$H$3=1),D284*AO284,IF($H$3=2,D284,"N/A")))</f>
        <v/>
      </c>
      <c r="F284" s="199" t="str">
        <f aca="false">IF(A285="","",E284*AS284)</f>
        <v/>
      </c>
      <c r="G284" s="200" t="str">
        <f aca="false">IF($A285="","",VLOOKUP($A284,Table,MATCH(G$4,Curves,0)))</f>
        <v/>
      </c>
      <c r="H284" s="201" t="str">
        <f aca="false">IF(A285="","",G284)</f>
        <v/>
      </c>
      <c r="I284" s="202"/>
      <c r="J284" s="200" t="str">
        <f aca="false">IF($A285="","",VLOOKUP($A284,Table,MATCH(J$4,Curves,0)))</f>
        <v/>
      </c>
      <c r="K284" s="201" t="str">
        <f aca="false">IF(A285="","",J284)</f>
        <v/>
      </c>
      <c r="L284" s="200" t="str">
        <f aca="false">IF($A285="","",VLOOKUP($A284,Table,MATCH(L$4,Curves,0)))</f>
        <v/>
      </c>
      <c r="M284" s="201" t="str">
        <f aca="false">IF(A285="","",L284)</f>
        <v/>
      </c>
      <c r="N284" s="203"/>
      <c r="O284" s="200" t="str">
        <f aca="false">IF(A285="","",L284+J284+G284)</f>
        <v/>
      </c>
      <c r="P284" s="200" t="str">
        <f aca="false">IF(A285="","",M284+K284+H284)</f>
        <v/>
      </c>
      <c r="Q284" s="204"/>
      <c r="R284" s="200" t="str">
        <f aca="false">IF($A285="","",VLOOKUP($A284,Table,MATCH(R$4,Curves,0)))</f>
        <v/>
      </c>
      <c r="S284" s="201" t="str">
        <f aca="false">IF(A285="","",R284)</f>
        <v/>
      </c>
      <c r="T284" s="200" t="str">
        <f aca="false">IF($A285="","",VLOOKUP($A284,Table,MATCH(T$4,Curves,0)))</f>
        <v/>
      </c>
      <c r="U284" s="201" t="str">
        <f aca="false">IF(A285="","",T284)</f>
        <v/>
      </c>
      <c r="V284" s="183" t="str">
        <f aca="false">IF($A285="","",IF(AND(MONTH(A284)&gt;3,MONTH(A284)&lt;11),(T284+R284+G284)*Summary!$T$7/(1-Summary!$T$7),(T284+R284+G284)*Summary!$U$7/(1-Summary!$U$7)))</f>
        <v/>
      </c>
      <c r="W284" s="200" t="str">
        <f aca="false">IF($A285="","",(T284+R284+G284+V284))</f>
        <v/>
      </c>
      <c r="X284" s="200" t="str">
        <f aca="false">IF($A285="","",(U284+S284+H284+V284))</f>
        <v/>
      </c>
      <c r="Y284" s="202"/>
      <c r="Z284" s="185" t="str">
        <f aca="false">IF($A285="","",VLOOKUP($A284,Table,MATCH(Z$4,Curves,0)))</f>
        <v/>
      </c>
      <c r="AA284" s="185" t="str">
        <f aca="false">IF($A285="","",VLOOKUP($A284,Table,MATCH(AA$4,Curves,0)))</f>
        <v/>
      </c>
      <c r="AB284" s="185" t="e">
        <f aca="false">SQRT((AA284^2*(A284-$D$3)+Z284^2*(DAY(EOMONTH(A284,0))/2))/AK284)</f>
        <v>#VALUE!</v>
      </c>
      <c r="AC284" s="185" t="str">
        <f aca="false">IF($A285="","",VLOOKUP($A284,Table,MATCH(AC$4,Curves,0)))</f>
        <v/>
      </c>
      <c r="AD284" s="185" t="str">
        <f aca="false">IF($A285="","",VLOOKUP($A284,Table,MATCH(AD$4,Curves,0)))</f>
        <v/>
      </c>
      <c r="AE284" s="185" t="e">
        <f aca="false">SQRT((AD284^2*(A284-$D$3)+AC284^2*(DAY(EOMONTH(A284,0))/2))/AK284)</f>
        <v>#VALUE!</v>
      </c>
      <c r="AF284" s="206" t="e">
        <f aca="false">((Summary!$N$7*(AA284*AD284)*(A284-$D$3))+(Summary!$M$7*Z284*AC284*(DAY(EOMONTH(A284,0))/2)))/(AK284*AB284*AE284)</f>
        <v>#VALUE!</v>
      </c>
      <c r="AG284" s="207" t="str">
        <f aca="false">IF($A285="","",Summary!$Q$7)</f>
        <v/>
      </c>
      <c r="AH284" s="207" t="str">
        <f aca="false">IF($A285="","",IF(Summary!$R$7="Y",(VLOOKUP($A284,Summary!$AD$6:$AF$9,3)+'Escalating commodity'!C297),'Escalating commodity'!C297))</f>
        <v/>
      </c>
      <c r="AI284" s="207" t="str">
        <f aca="false">IF($A285="","",AH284)</f>
        <v/>
      </c>
      <c r="AJ284" s="208" t="e">
        <f aca="false">A284+DAY(EOMONTH(A284,0))/2-1</f>
        <v>#VALUE!</v>
      </c>
      <c r="AK284" s="209" t="str">
        <f aca="false">IF($A285="","",$A284-$E$1)</f>
        <v/>
      </c>
      <c r="AL284" s="182" t="str">
        <f aca="false">IF($A285="","",SPRDOPT(P284,X284,AI284,0,AB284,AE284,AF284,AK284,$AJ$2,0))</f>
        <v/>
      </c>
      <c r="AM284" s="210" t="str">
        <f aca="false">IF($A285="","",MAX(0,O284-W284-AI284))</f>
        <v/>
      </c>
      <c r="AN284" s="211" t="str">
        <f aca="false">IF($A285="","",AL284-AM284)</f>
        <v/>
      </c>
      <c r="AO284" s="137" t="str">
        <f aca="false">IF(A285="","",A285-A284)</f>
        <v/>
      </c>
      <c r="AP284" s="212" t="str">
        <f aca="false">IF(A285="","",CHOOSE(F$3,A285+24,A284))</f>
        <v/>
      </c>
      <c r="AQ284" s="209" t="str">
        <f aca="false">IF(A285="","",AP284-$E$1)</f>
        <v/>
      </c>
      <c r="AR284" s="185" t="n">
        <f aca="false">IF(Summary!$H$2=1,VLOOKUP('ANR OK vs ML7'!A284,Curves!$C$17:$AR$273,MATCH('ANR OK vs ML7'!$AR$4,Curves!$C$8:$AQ$8,0)),0.1)</f>
        <v>0.1</v>
      </c>
      <c r="AS284" s="213" t="str">
        <f aca="false">IF(A285="","",1/(1+CHOOSE(F$3,(AR285+($I$3/10000))/2,(AR284+($I$3/10000))/2))^(2*AQ284/365.25))</f>
        <v/>
      </c>
      <c r="AT284" s="137" t="str">
        <f aca="false">IF(A285="","",IF(AND(mthbeg&lt;=A284,mthend&gt;=A284),1,0))</f>
        <v/>
      </c>
      <c r="AU284" s="137" t="str">
        <f aca="false">IF(A285="","",AO284*AT284)</f>
        <v/>
      </c>
      <c r="AW284" s="195" t="str">
        <f aca="false">IF($A285="","",AL284*$E284)</f>
        <v/>
      </c>
      <c r="AX284" s="195" t="str">
        <f aca="false">IF($A285="","",AM284*$E284)</f>
        <v/>
      </c>
      <c r="AY284" s="195" t="str">
        <f aca="false">IF($A285="","",AN284*$E284)</f>
        <v/>
      </c>
      <c r="BA284" s="195" t="str">
        <f aca="false">IF($A285="","",F284*Summary!$Q$7)</f>
        <v/>
      </c>
    </row>
    <row r="285" customFormat="false" ht="12" hidden="false" customHeight="true" outlineLevel="0" collapsed="false">
      <c r="A285" s="196" t="str">
        <f aca="false">IF(A284&lt;mthend,EDATE(A284,1),"")</f>
        <v/>
      </c>
      <c r="B285" s="197" t="str">
        <f aca="false">IF(A285&lt;mthend,B284,"")</f>
        <v/>
      </c>
      <c r="C285" s="215"/>
      <c r="D285" s="197" t="str">
        <f aca="false">IF(A286&lt;&gt;"",B285+C285,"")</f>
        <v/>
      </c>
      <c r="E285" s="199" t="str">
        <f aca="false">IF(A286="","",IF(AND(AT285=1,$H$3=1),D285*AO285,IF($H$3=2,D285,"N/A")))</f>
        <v/>
      </c>
      <c r="F285" s="199" t="str">
        <f aca="false">IF(A286="","",E285*AS285)</f>
        <v/>
      </c>
      <c r="G285" s="200" t="str">
        <f aca="false">IF($A286="","",VLOOKUP($A285,Table,MATCH(G$4,Curves,0)))</f>
        <v/>
      </c>
      <c r="H285" s="201" t="str">
        <f aca="false">IF(A286="","",G285)</f>
        <v/>
      </c>
      <c r="I285" s="202"/>
      <c r="J285" s="200" t="str">
        <f aca="false">IF($A286="","",VLOOKUP($A285,Table,MATCH(J$4,Curves,0)))</f>
        <v/>
      </c>
      <c r="K285" s="201" t="str">
        <f aca="false">IF(A286="","",J285)</f>
        <v/>
      </c>
      <c r="L285" s="200" t="str">
        <f aca="false">IF($A286="","",VLOOKUP($A285,Table,MATCH(L$4,Curves,0)))</f>
        <v/>
      </c>
      <c r="M285" s="201" t="str">
        <f aca="false">IF(A286="","",L285)</f>
        <v/>
      </c>
      <c r="N285" s="203"/>
      <c r="O285" s="200" t="str">
        <f aca="false">IF(A286="","",L285+J285+G285)</f>
        <v/>
      </c>
      <c r="P285" s="200" t="str">
        <f aca="false">IF(A286="","",M285+K285+H285)</f>
        <v/>
      </c>
      <c r="Q285" s="204"/>
      <c r="R285" s="200" t="str">
        <f aca="false">IF($A286="","",VLOOKUP($A285,Table,MATCH(R$4,Curves,0)))</f>
        <v/>
      </c>
      <c r="S285" s="201" t="str">
        <f aca="false">IF(A286="","",R285)</f>
        <v/>
      </c>
      <c r="T285" s="200" t="str">
        <f aca="false">IF($A286="","",VLOOKUP($A285,Table,MATCH(T$4,Curves,0)))</f>
        <v/>
      </c>
      <c r="U285" s="201" t="str">
        <f aca="false">IF(A286="","",T285)</f>
        <v/>
      </c>
      <c r="V285" s="183" t="str">
        <f aca="false">IF($A286="","",IF(AND(MONTH(A285)&gt;3,MONTH(A285)&lt;11),(T285+R285+G285)*Summary!$T$7/(1-Summary!$T$7),(T285+R285+G285)*Summary!$U$7/(1-Summary!$U$7)))</f>
        <v/>
      </c>
      <c r="W285" s="200" t="str">
        <f aca="false">IF($A286="","",(T285+R285+G285+V285))</f>
        <v/>
      </c>
      <c r="X285" s="200" t="str">
        <f aca="false">IF($A286="","",(U285+S285+H285+V285))</f>
        <v/>
      </c>
      <c r="Y285" s="202"/>
      <c r="Z285" s="185" t="str">
        <f aca="false">IF($A286="","",VLOOKUP($A285,Table,MATCH(Z$4,Curves,0)))</f>
        <v/>
      </c>
      <c r="AA285" s="185" t="str">
        <f aca="false">IF($A286="","",VLOOKUP($A285,Table,MATCH(AA$4,Curves,0)))</f>
        <v/>
      </c>
      <c r="AB285" s="185" t="e">
        <f aca="false">SQRT((AA285^2*(A285-$D$3)+Z285^2*(DAY(EOMONTH(A285,0))/2))/AK285)</f>
        <v>#VALUE!</v>
      </c>
      <c r="AC285" s="185" t="str">
        <f aca="false">IF($A286="","",VLOOKUP($A285,Table,MATCH(AC$4,Curves,0)))</f>
        <v/>
      </c>
      <c r="AD285" s="185" t="str">
        <f aca="false">IF($A286="","",VLOOKUP($A285,Table,MATCH(AD$4,Curves,0)))</f>
        <v/>
      </c>
      <c r="AE285" s="185" t="e">
        <f aca="false">SQRT((AD285^2*(A285-$D$3)+AC285^2*(DAY(EOMONTH(A285,0))/2))/AK285)</f>
        <v>#VALUE!</v>
      </c>
      <c r="AF285" s="206" t="e">
        <f aca="false">((Summary!$N$7*(AA285*AD285)*(A285-$D$3))+(Summary!$M$7*Z285*AC285*(DAY(EOMONTH(A285,0))/2)))/(AK285*AB285*AE285)</f>
        <v>#VALUE!</v>
      </c>
      <c r="AG285" s="207" t="str">
        <f aca="false">IF($A286="","",Summary!$Q$7)</f>
        <v/>
      </c>
      <c r="AH285" s="207" t="str">
        <f aca="false">IF($A286="","",IF(Summary!$R$7="Y",(VLOOKUP($A285,Summary!$AD$6:$AF$9,3)+'Escalating commodity'!C298),'Escalating commodity'!C298))</f>
        <v/>
      </c>
      <c r="AI285" s="207" t="str">
        <f aca="false">IF($A286="","",AH285)</f>
        <v/>
      </c>
      <c r="AJ285" s="208" t="e">
        <f aca="false">A285+DAY(EOMONTH(A285,0))/2-1</f>
        <v>#VALUE!</v>
      </c>
      <c r="AK285" s="209" t="str">
        <f aca="false">IF($A286="","",$A285-$E$1)</f>
        <v/>
      </c>
      <c r="AL285" s="182" t="str">
        <f aca="false">IF($A286="","",SPRDOPT(P285,X285,AI285,0,AB285,AE285,AF285,AK285,$AJ$2,0))</f>
        <v/>
      </c>
      <c r="AM285" s="210" t="str">
        <f aca="false">IF($A286="","",MAX(0,O285-W285-AI285))</f>
        <v/>
      </c>
      <c r="AN285" s="211" t="str">
        <f aca="false">IF($A286="","",AL285-AM285)</f>
        <v/>
      </c>
      <c r="AO285" s="137" t="str">
        <f aca="false">IF(A286="","",A286-A285)</f>
        <v/>
      </c>
      <c r="AP285" s="212" t="str">
        <f aca="false">IF(A286="","",CHOOSE(F$3,A286+24,A285))</f>
        <v/>
      </c>
      <c r="AQ285" s="209" t="str">
        <f aca="false">IF(A286="","",AP285-$E$1)</f>
        <v/>
      </c>
      <c r="AR285" s="185" t="n">
        <f aca="false">IF(Summary!$H$2=1,VLOOKUP('ANR OK vs ML7'!A285,Curves!$C$17:$AR$273,MATCH('ANR OK vs ML7'!$AR$4,Curves!$C$8:$AQ$8,0)),0.1)</f>
        <v>0.1</v>
      </c>
      <c r="AS285" s="213" t="str">
        <f aca="false">IF(A286="","",1/(1+CHOOSE(F$3,(AR286+($I$3/10000))/2,(AR285+($I$3/10000))/2))^(2*AQ285/365.25))</f>
        <v/>
      </c>
      <c r="AT285" s="137" t="str">
        <f aca="false">IF(A286="","",IF(AND(mthbeg&lt;=A285,mthend&gt;=A285),1,0))</f>
        <v/>
      </c>
      <c r="AU285" s="137" t="str">
        <f aca="false">IF(A286="","",AO285*AT285)</f>
        <v/>
      </c>
      <c r="AW285" s="195" t="str">
        <f aca="false">IF($A286="","",AL285*$E285)</f>
        <v/>
      </c>
      <c r="AX285" s="195" t="str">
        <f aca="false">IF($A286="","",AM285*$E285)</f>
        <v/>
      </c>
      <c r="AY285" s="195" t="str">
        <f aca="false">IF($A286="","",AN285*$E285)</f>
        <v/>
      </c>
      <c r="BA285" s="195" t="str">
        <f aca="false">IF($A286="","",F285*Summary!$Q$7)</f>
        <v/>
      </c>
    </row>
    <row r="286" customFormat="false" ht="12" hidden="false" customHeight="true" outlineLevel="0" collapsed="false">
      <c r="A286" s="196" t="str">
        <f aca="false">IF(A285&lt;mthend,EDATE(A285,1),"")</f>
        <v/>
      </c>
      <c r="B286" s="197" t="str">
        <f aca="false">IF(A286&lt;mthend,B285,"")</f>
        <v/>
      </c>
      <c r="C286" s="215"/>
      <c r="D286" s="197" t="str">
        <f aca="false">IF(A287&lt;&gt;"",B286+C286,"")</f>
        <v/>
      </c>
      <c r="E286" s="199" t="str">
        <f aca="false">IF(A287="","",IF(AND(AT286=1,$H$3=1),D286*AO286,IF($H$3=2,D286,"N/A")))</f>
        <v/>
      </c>
      <c r="F286" s="199" t="str">
        <f aca="false">IF(A287="","",E286*AS286)</f>
        <v/>
      </c>
      <c r="G286" s="200" t="str">
        <f aca="false">IF($A287="","",VLOOKUP($A286,Table,MATCH(G$4,Curves,0)))</f>
        <v/>
      </c>
      <c r="H286" s="201" t="str">
        <f aca="false">IF(A287="","",G286)</f>
        <v/>
      </c>
      <c r="I286" s="202"/>
      <c r="J286" s="200" t="str">
        <f aca="false">IF($A287="","",VLOOKUP($A286,Table,MATCH(J$4,Curves,0)))</f>
        <v/>
      </c>
      <c r="K286" s="201" t="str">
        <f aca="false">IF(A287="","",J286)</f>
        <v/>
      </c>
      <c r="L286" s="200" t="str">
        <f aca="false">IF($A287="","",VLOOKUP($A286,Table,MATCH(L$4,Curves,0)))</f>
        <v/>
      </c>
      <c r="M286" s="201" t="str">
        <f aca="false">IF(A287="","",L286)</f>
        <v/>
      </c>
      <c r="N286" s="203"/>
      <c r="O286" s="200" t="str">
        <f aca="false">IF(A287="","",L286+J286+G286)</f>
        <v/>
      </c>
      <c r="P286" s="200" t="str">
        <f aca="false">IF(A287="","",M286+K286+H286)</f>
        <v/>
      </c>
      <c r="Q286" s="204"/>
      <c r="R286" s="200" t="str">
        <f aca="false">IF($A287="","",VLOOKUP($A286,Table,MATCH(R$4,Curves,0)))</f>
        <v/>
      </c>
      <c r="S286" s="201" t="str">
        <f aca="false">IF(A287="","",R286)</f>
        <v/>
      </c>
      <c r="T286" s="200" t="str">
        <f aca="false">IF($A287="","",VLOOKUP($A286,Table,MATCH(T$4,Curves,0)))</f>
        <v/>
      </c>
      <c r="U286" s="201" t="str">
        <f aca="false">IF(A287="","",T286)</f>
        <v/>
      </c>
      <c r="V286" s="183" t="str">
        <f aca="false">IF($A287="","",IF(AND(MONTH(A286)&gt;3,MONTH(A286)&lt;11),(T286+R286+G286)*Summary!$T$7/(1-Summary!$T$7),(T286+R286+G286)*Summary!$U$7/(1-Summary!$U$7)))</f>
        <v/>
      </c>
      <c r="W286" s="200" t="str">
        <f aca="false">IF($A287="","",(T286+R286+G286+V286))</f>
        <v/>
      </c>
      <c r="X286" s="200" t="str">
        <f aca="false">IF($A287="","",(U286+S286+H286+V286))</f>
        <v/>
      </c>
      <c r="Y286" s="202"/>
      <c r="Z286" s="185" t="str">
        <f aca="false">IF($A287="","",VLOOKUP($A286,Table,MATCH(Z$4,Curves,0)))</f>
        <v/>
      </c>
      <c r="AA286" s="185" t="str">
        <f aca="false">IF($A287="","",VLOOKUP($A286,Table,MATCH(AA$4,Curves,0)))</f>
        <v/>
      </c>
      <c r="AB286" s="185" t="e">
        <f aca="false">SQRT((AA286^2*(A286-$D$3)+Z286^2*(DAY(EOMONTH(A286,0))/2))/AK286)</f>
        <v>#VALUE!</v>
      </c>
      <c r="AC286" s="185" t="str">
        <f aca="false">IF($A287="","",VLOOKUP($A286,Table,MATCH(AC$4,Curves,0)))</f>
        <v/>
      </c>
      <c r="AD286" s="185" t="str">
        <f aca="false">IF($A287="","",VLOOKUP($A286,Table,MATCH(AD$4,Curves,0)))</f>
        <v/>
      </c>
      <c r="AE286" s="185" t="e">
        <f aca="false">SQRT((AD286^2*(A286-$D$3)+AC286^2*(DAY(EOMONTH(A286,0))/2))/AK286)</f>
        <v>#VALUE!</v>
      </c>
      <c r="AF286" s="206" t="e">
        <f aca="false">((Summary!$N$7*(AA286*AD286)*(A286-$D$3))+(Summary!$M$7*Z286*AC286*(DAY(EOMONTH(A286,0))/2)))/(AK286*AB286*AE286)</f>
        <v>#VALUE!</v>
      </c>
      <c r="AG286" s="207" t="str">
        <f aca="false">IF($A287="","",Summary!$Q$7)</f>
        <v/>
      </c>
      <c r="AH286" s="207" t="str">
        <f aca="false">IF($A287="","",IF(Summary!$R$7="Y",(VLOOKUP($A286,Summary!$AD$6:$AF$9,3)+'Escalating commodity'!C299),'Escalating commodity'!C299))</f>
        <v/>
      </c>
      <c r="AI286" s="207" t="str">
        <f aca="false">IF($A287="","",AH286)</f>
        <v/>
      </c>
      <c r="AJ286" s="208" t="e">
        <f aca="false">A286+DAY(EOMONTH(A286,0))/2-1</f>
        <v>#VALUE!</v>
      </c>
      <c r="AK286" s="209" t="str">
        <f aca="false">IF($A287="","",$A286-$E$1)</f>
        <v/>
      </c>
      <c r="AL286" s="182" t="str">
        <f aca="false">IF($A287="","",SPRDOPT(P286,X286,AI286,0,AB286,AE286,AF286,AK286,$AJ$2,0))</f>
        <v/>
      </c>
      <c r="AM286" s="210" t="str">
        <f aca="false">IF($A287="","",MAX(0,O286-W286-AI286))</f>
        <v/>
      </c>
      <c r="AN286" s="211" t="str">
        <f aca="false">IF($A287="","",AL286-AM286)</f>
        <v/>
      </c>
      <c r="AO286" s="137" t="str">
        <f aca="false">IF(A287="","",A287-A286)</f>
        <v/>
      </c>
      <c r="AP286" s="212" t="str">
        <f aca="false">IF(A287="","",CHOOSE(F$3,A287+24,A286))</f>
        <v/>
      </c>
      <c r="AQ286" s="209" t="str">
        <f aca="false">IF(A287="","",AP286-$E$1)</f>
        <v/>
      </c>
      <c r="AR286" s="185" t="n">
        <f aca="false">IF(Summary!$H$2=1,VLOOKUP('ANR OK vs ML7'!A286,Curves!$C$17:$AR$273,MATCH('ANR OK vs ML7'!$AR$4,Curves!$C$8:$AQ$8,0)),0.1)</f>
        <v>0.1</v>
      </c>
      <c r="AS286" s="213" t="str">
        <f aca="false">IF(A287="","",1/(1+CHOOSE(F$3,(AR287+($I$3/10000))/2,(AR286+($I$3/10000))/2))^(2*AQ286/365.25))</f>
        <v/>
      </c>
      <c r="AT286" s="137" t="str">
        <f aca="false">IF(A287="","",IF(AND(mthbeg&lt;=A286,mthend&gt;=A286),1,0))</f>
        <v/>
      </c>
      <c r="AU286" s="137" t="str">
        <f aca="false">IF(A287="","",AO286*AT286)</f>
        <v/>
      </c>
      <c r="AW286" s="195" t="str">
        <f aca="false">IF($A287="","",AL286*$E286)</f>
        <v/>
      </c>
      <c r="AX286" s="195" t="str">
        <f aca="false">IF($A287="","",AM286*$E286)</f>
        <v/>
      </c>
      <c r="AY286" s="195" t="str">
        <f aca="false">IF($A287="","",AN286*$E286)</f>
        <v/>
      </c>
      <c r="BA286" s="195" t="str">
        <f aca="false">IF($A287="","",F286*Summary!$Q$7)</f>
        <v/>
      </c>
    </row>
    <row r="287" customFormat="false" ht="12" hidden="false" customHeight="true" outlineLevel="0" collapsed="false">
      <c r="A287" s="196" t="str">
        <f aca="false">IF(A286&lt;mthend,EDATE(A286,1),"")</f>
        <v/>
      </c>
      <c r="B287" s="197" t="str">
        <f aca="false">IF(A287&lt;mthend,B286,"")</f>
        <v/>
      </c>
      <c r="C287" s="215"/>
      <c r="D287" s="197" t="str">
        <f aca="false">IF(A288&lt;&gt;"",B287+C287,"")</f>
        <v/>
      </c>
      <c r="E287" s="199" t="str">
        <f aca="false">IF(A288="","",IF(AND(AT287=1,$H$3=1),D287*AO287,IF($H$3=2,D287,"N/A")))</f>
        <v/>
      </c>
      <c r="F287" s="199" t="str">
        <f aca="false">IF(A288="","",E287*AS287)</f>
        <v/>
      </c>
      <c r="G287" s="200" t="str">
        <f aca="false">IF($A288="","",VLOOKUP($A287,Table,MATCH(G$4,Curves,0)))</f>
        <v/>
      </c>
      <c r="H287" s="201" t="str">
        <f aca="false">IF(A288="","",G287)</f>
        <v/>
      </c>
      <c r="I287" s="202"/>
      <c r="J287" s="200" t="str">
        <f aca="false">IF($A288="","",VLOOKUP($A287,Table,MATCH(J$4,Curves,0)))</f>
        <v/>
      </c>
      <c r="K287" s="201" t="str">
        <f aca="false">IF(A288="","",J287)</f>
        <v/>
      </c>
      <c r="L287" s="200" t="str">
        <f aca="false">IF($A288="","",VLOOKUP($A287,Table,MATCH(L$4,Curves,0)))</f>
        <v/>
      </c>
      <c r="M287" s="201" t="str">
        <f aca="false">IF(A288="","",L287)</f>
        <v/>
      </c>
      <c r="N287" s="203"/>
      <c r="O287" s="200" t="str">
        <f aca="false">IF(A288="","",L287+J287+G287)</f>
        <v/>
      </c>
      <c r="P287" s="200" t="str">
        <f aca="false">IF(A288="","",M287+K287+H287)</f>
        <v/>
      </c>
      <c r="Q287" s="204"/>
      <c r="R287" s="200" t="str">
        <f aca="false">IF($A288="","",VLOOKUP($A287,Table,MATCH(R$4,Curves,0)))</f>
        <v/>
      </c>
      <c r="S287" s="201" t="str">
        <f aca="false">IF(A288="","",R287)</f>
        <v/>
      </c>
      <c r="T287" s="200" t="str">
        <f aca="false">IF($A288="","",VLOOKUP($A287,Table,MATCH(T$4,Curves,0)))</f>
        <v/>
      </c>
      <c r="U287" s="201" t="str">
        <f aca="false">IF(A288="","",T287)</f>
        <v/>
      </c>
      <c r="V287" s="183" t="str">
        <f aca="false">IF($A288="","",IF(AND(MONTH(A287)&gt;3,MONTH(A287)&lt;11),(T287+R287+G287)*Summary!$T$7/(1-Summary!$T$7),(T287+R287+G287)*Summary!$U$7/(1-Summary!$U$7)))</f>
        <v/>
      </c>
      <c r="W287" s="200" t="str">
        <f aca="false">IF($A288="","",(T287+R287+G287+V287))</f>
        <v/>
      </c>
      <c r="X287" s="200" t="str">
        <f aca="false">IF($A288="","",(U287+S287+H287+V287))</f>
        <v/>
      </c>
      <c r="Y287" s="202"/>
      <c r="Z287" s="185" t="str">
        <f aca="false">IF($A288="","",VLOOKUP($A287,Table,MATCH(Z$4,Curves,0)))</f>
        <v/>
      </c>
      <c r="AA287" s="185" t="str">
        <f aca="false">IF($A288="","",VLOOKUP($A287,Table,MATCH(AA$4,Curves,0)))</f>
        <v/>
      </c>
      <c r="AB287" s="185" t="e">
        <f aca="false">SQRT((AA287^2*(A287-$D$3)+Z287^2*(DAY(EOMONTH(A287,0))/2))/AK287)</f>
        <v>#VALUE!</v>
      </c>
      <c r="AC287" s="185" t="str">
        <f aca="false">IF($A288="","",VLOOKUP($A287,Table,MATCH(AC$4,Curves,0)))</f>
        <v/>
      </c>
      <c r="AD287" s="185" t="str">
        <f aca="false">IF($A288="","",VLOOKUP($A287,Table,MATCH(AD$4,Curves,0)))</f>
        <v/>
      </c>
      <c r="AE287" s="185" t="e">
        <f aca="false">SQRT((AD287^2*(A287-$D$3)+AC287^2*(DAY(EOMONTH(A287,0))/2))/AK287)</f>
        <v>#VALUE!</v>
      </c>
      <c r="AF287" s="206" t="e">
        <f aca="false">((Summary!$N$7*(AA287*AD287)*(A287-$D$3))+(Summary!$M$7*Z287*AC287*(DAY(EOMONTH(A287,0))/2)))/(AK287*AB287*AE287)</f>
        <v>#VALUE!</v>
      </c>
      <c r="AG287" s="207" t="str">
        <f aca="false">IF($A288="","",Summary!$Q$7)</f>
        <v/>
      </c>
      <c r="AH287" s="207" t="str">
        <f aca="false">IF($A288="","",IF(Summary!$R$7="Y",(VLOOKUP($A287,Summary!$AD$6:$AF$9,3)+'Escalating commodity'!C300),'Escalating commodity'!C300))</f>
        <v/>
      </c>
      <c r="AI287" s="207" t="str">
        <f aca="false">IF($A288="","",AH287)</f>
        <v/>
      </c>
      <c r="AJ287" s="208" t="e">
        <f aca="false">A287+DAY(EOMONTH(A287,0))/2-1</f>
        <v>#VALUE!</v>
      </c>
      <c r="AK287" s="209" t="str">
        <f aca="false">IF($A288="","",$A287-$E$1)</f>
        <v/>
      </c>
      <c r="AL287" s="182" t="str">
        <f aca="false">IF($A288="","",SPRDOPT(P287,X287,AI287,0,AB287,AE287,AF287,AK287,$AJ$2,0))</f>
        <v/>
      </c>
      <c r="AM287" s="210" t="str">
        <f aca="false">IF($A288="","",MAX(0,O287-W287-AI287))</f>
        <v/>
      </c>
      <c r="AN287" s="211" t="str">
        <f aca="false">IF($A288="","",AL287-AM287)</f>
        <v/>
      </c>
      <c r="AO287" s="137" t="str">
        <f aca="false">IF(A288="","",A288-A287)</f>
        <v/>
      </c>
      <c r="AP287" s="212" t="str">
        <f aca="false">IF(A288="","",CHOOSE(F$3,A288+24,A287))</f>
        <v/>
      </c>
      <c r="AQ287" s="209" t="str">
        <f aca="false">IF(A288="","",AP287-$E$1)</f>
        <v/>
      </c>
      <c r="AR287" s="185" t="n">
        <f aca="false">IF(Summary!$H$2=1,VLOOKUP('ANR OK vs ML7'!A287,Curves!$C$17:$AR$273,MATCH('ANR OK vs ML7'!$AR$4,Curves!$C$8:$AQ$8,0)),0.1)</f>
        <v>0.1</v>
      </c>
      <c r="AS287" s="213" t="str">
        <f aca="false">IF(A288="","",1/(1+CHOOSE(F$3,(AR288+($I$3/10000))/2,(AR287+($I$3/10000))/2))^(2*AQ287/365.25))</f>
        <v/>
      </c>
      <c r="AT287" s="137" t="str">
        <f aca="false">IF(A288="","",IF(AND(mthbeg&lt;=A287,mthend&gt;=A287),1,0))</f>
        <v/>
      </c>
      <c r="AU287" s="137" t="str">
        <f aca="false">IF(A288="","",AO287*AT287)</f>
        <v/>
      </c>
      <c r="AW287" s="195" t="str">
        <f aca="false">IF($A288="","",AL287*$E287)</f>
        <v/>
      </c>
      <c r="AX287" s="195" t="str">
        <f aca="false">IF($A288="","",AM287*$E287)</f>
        <v/>
      </c>
      <c r="AY287" s="195" t="str">
        <f aca="false">IF($A288="","",AN287*$E287)</f>
        <v/>
      </c>
      <c r="BA287" s="195" t="str">
        <f aca="false">IF($A288="","",F287*Summary!$Q$7)</f>
        <v/>
      </c>
    </row>
    <row r="288" customFormat="false" ht="12" hidden="false" customHeight="true" outlineLevel="0" collapsed="false">
      <c r="A288" s="196" t="str">
        <f aca="false">IF(A287&lt;mthend,EDATE(A287,1),"")</f>
        <v/>
      </c>
      <c r="B288" s="197" t="str">
        <f aca="false">IF(A288&lt;mthend,B287,"")</f>
        <v/>
      </c>
      <c r="C288" s="215"/>
      <c r="D288" s="197" t="str">
        <f aca="false">IF(A289&lt;&gt;"",B288+C288,"")</f>
        <v/>
      </c>
      <c r="E288" s="199" t="str">
        <f aca="false">IF(A289="","",IF(AND(AT288=1,$H$3=1),D288*AO288,IF($H$3=2,D288,"N/A")))</f>
        <v/>
      </c>
      <c r="F288" s="199" t="str">
        <f aca="false">IF(A289="","",E288*AS288)</f>
        <v/>
      </c>
      <c r="G288" s="200" t="str">
        <f aca="false">IF($A289="","",VLOOKUP($A288,Table,MATCH(G$4,Curves,0)))</f>
        <v/>
      </c>
      <c r="H288" s="201" t="str">
        <f aca="false">IF(A289="","",G288)</f>
        <v/>
      </c>
      <c r="I288" s="202"/>
      <c r="J288" s="200" t="str">
        <f aca="false">IF($A289="","",VLOOKUP($A288,Table,MATCH(J$4,Curves,0)))</f>
        <v/>
      </c>
      <c r="K288" s="201" t="str">
        <f aca="false">IF(A289="","",J288)</f>
        <v/>
      </c>
      <c r="L288" s="200" t="str">
        <f aca="false">IF($A289="","",VLOOKUP($A288,Table,MATCH(L$4,Curves,0)))</f>
        <v/>
      </c>
      <c r="M288" s="201" t="str">
        <f aca="false">IF(A289="","",L288)</f>
        <v/>
      </c>
      <c r="N288" s="203"/>
      <c r="O288" s="200" t="str">
        <f aca="false">IF(A289="","",L288+J288+G288)</f>
        <v/>
      </c>
      <c r="P288" s="200" t="str">
        <f aca="false">IF(A289="","",M288+K288+H288)</f>
        <v/>
      </c>
      <c r="Q288" s="204"/>
      <c r="R288" s="200" t="str">
        <f aca="false">IF($A289="","",VLOOKUP($A288,Table,MATCH(R$4,Curves,0)))</f>
        <v/>
      </c>
      <c r="S288" s="201" t="str">
        <f aca="false">IF(A289="","",R288)</f>
        <v/>
      </c>
      <c r="T288" s="200" t="str">
        <f aca="false">IF($A289="","",VLOOKUP($A288,Table,MATCH(T$4,Curves,0)))</f>
        <v/>
      </c>
      <c r="U288" s="201" t="str">
        <f aca="false">IF(A289="","",T288)</f>
        <v/>
      </c>
      <c r="V288" s="183" t="str">
        <f aca="false">IF($A289="","",IF(AND(MONTH(A288)&gt;3,MONTH(A288)&lt;11),(T288+R288+G288)*Summary!$T$7/(1-Summary!$T$7),(T288+R288+G288)*Summary!$U$7/(1-Summary!$U$7)))</f>
        <v/>
      </c>
      <c r="W288" s="200" t="str">
        <f aca="false">IF($A289="","",(T288+R288+G288+V288))</f>
        <v/>
      </c>
      <c r="X288" s="200" t="str">
        <f aca="false">IF($A289="","",(U288+S288+H288+V288))</f>
        <v/>
      </c>
      <c r="Y288" s="202"/>
      <c r="Z288" s="185" t="str">
        <f aca="false">IF($A289="","",VLOOKUP($A288,Table,MATCH(Z$4,Curves,0)))</f>
        <v/>
      </c>
      <c r="AA288" s="185" t="str">
        <f aca="false">IF($A289="","",VLOOKUP($A288,Table,MATCH(AA$4,Curves,0)))</f>
        <v/>
      </c>
      <c r="AB288" s="185" t="e">
        <f aca="false">SQRT((AA288^2*(A288-$D$3)+Z288^2*(DAY(EOMONTH(A288,0))/2))/AK288)</f>
        <v>#VALUE!</v>
      </c>
      <c r="AC288" s="185" t="str">
        <f aca="false">IF($A289="","",VLOOKUP($A288,Table,MATCH(AC$4,Curves,0)))</f>
        <v/>
      </c>
      <c r="AD288" s="185" t="str">
        <f aca="false">IF($A289="","",VLOOKUP($A288,Table,MATCH(AD$4,Curves,0)))</f>
        <v/>
      </c>
      <c r="AE288" s="185" t="e">
        <f aca="false">SQRT((AD288^2*(A288-$D$3)+AC288^2*(DAY(EOMONTH(A288,0))/2))/AK288)</f>
        <v>#VALUE!</v>
      </c>
      <c r="AF288" s="206" t="e">
        <f aca="false">((Summary!$N$7*(AA288*AD288)*(A288-$D$3))+(Summary!$M$7*Z288*AC288*(DAY(EOMONTH(A288,0))/2)))/(AK288*AB288*AE288)</f>
        <v>#VALUE!</v>
      </c>
      <c r="AG288" s="207" t="str">
        <f aca="false">IF($A289="","",Summary!$Q$7)</f>
        <v/>
      </c>
      <c r="AH288" s="207" t="str">
        <f aca="false">IF($A289="","",IF(Summary!$R$7="Y",(VLOOKUP($A288,Summary!$AD$6:$AF$9,3)+'Escalating commodity'!C301),'Escalating commodity'!C301))</f>
        <v/>
      </c>
      <c r="AI288" s="207" t="str">
        <f aca="false">IF($A289="","",AH288)</f>
        <v/>
      </c>
      <c r="AJ288" s="208" t="e">
        <f aca="false">A288+DAY(EOMONTH(A288,0))/2-1</f>
        <v>#VALUE!</v>
      </c>
      <c r="AK288" s="209" t="str">
        <f aca="false">IF($A289="","",$A288-$E$1)</f>
        <v/>
      </c>
      <c r="AL288" s="182" t="str">
        <f aca="false">IF($A289="","",SPRDOPT(P288,X288,AI288,0,AB288,AE288,AF288,AK288,$AJ$2,0))</f>
        <v/>
      </c>
      <c r="AM288" s="210" t="str">
        <f aca="false">IF($A289="","",MAX(0,O288-W288-AI288))</f>
        <v/>
      </c>
      <c r="AN288" s="211" t="str">
        <f aca="false">IF($A289="","",AL288-AM288)</f>
        <v/>
      </c>
      <c r="AO288" s="137" t="str">
        <f aca="false">IF(A289="","",A289-A288)</f>
        <v/>
      </c>
      <c r="AP288" s="212" t="str">
        <f aca="false">IF(A289="","",CHOOSE(F$3,A289+24,A288))</f>
        <v/>
      </c>
      <c r="AQ288" s="209" t="str">
        <f aca="false">IF(A289="","",AP288-$E$1)</f>
        <v/>
      </c>
      <c r="AR288" s="185" t="n">
        <f aca="false">IF(Summary!$H$2=1,VLOOKUP('ANR OK vs ML7'!A288,Curves!$C$17:$AR$273,MATCH('ANR OK vs ML7'!$AR$4,Curves!$C$8:$AQ$8,0)),0.1)</f>
        <v>0.1</v>
      </c>
      <c r="AS288" s="213" t="str">
        <f aca="false">IF(A289="","",1/(1+CHOOSE(F$3,(AR289+($I$3/10000))/2,(AR288+($I$3/10000))/2))^(2*AQ288/365.25))</f>
        <v/>
      </c>
      <c r="AT288" s="137" t="str">
        <f aca="false">IF(A289="","",IF(AND(mthbeg&lt;=A288,mthend&gt;=A288),1,0))</f>
        <v/>
      </c>
      <c r="AU288" s="137" t="str">
        <f aca="false">IF(A289="","",AO288*AT288)</f>
        <v/>
      </c>
      <c r="AW288" s="195" t="str">
        <f aca="false">IF($A289="","",AL288*$E288)</f>
        <v/>
      </c>
      <c r="AX288" s="195" t="str">
        <f aca="false">IF($A289="","",AM288*$E288)</f>
        <v/>
      </c>
      <c r="AY288" s="195" t="str">
        <f aca="false">IF($A289="","",AN288*$E288)</f>
        <v/>
      </c>
      <c r="BA288" s="195" t="str">
        <f aca="false">IF($A289="","",F288*Summary!$Q$7)</f>
        <v/>
      </c>
    </row>
    <row r="289" customFormat="false" ht="12" hidden="false" customHeight="true" outlineLevel="0" collapsed="false">
      <c r="A289" s="196" t="str">
        <f aca="false">IF(A288&lt;mthend,EDATE(A288,1),"")</f>
        <v/>
      </c>
      <c r="B289" s="197" t="str">
        <f aca="false">IF(A289&lt;mthend,B288,"")</f>
        <v/>
      </c>
      <c r="C289" s="215"/>
      <c r="D289" s="197" t="str">
        <f aca="false">IF(A290&lt;&gt;"",B289+C289,"")</f>
        <v/>
      </c>
      <c r="E289" s="199" t="str">
        <f aca="false">IF(A290="","",IF(AND(AT289=1,$H$3=1),D289*AO289,IF($H$3=2,D289,"N/A")))</f>
        <v/>
      </c>
      <c r="F289" s="199" t="str">
        <f aca="false">IF(A290="","",E289*AS289)</f>
        <v/>
      </c>
      <c r="G289" s="200" t="str">
        <f aca="false">IF($A290="","",VLOOKUP($A289,Table,MATCH(G$4,Curves,0)))</f>
        <v/>
      </c>
      <c r="H289" s="201" t="str">
        <f aca="false">IF(A290="","",G289)</f>
        <v/>
      </c>
      <c r="I289" s="202"/>
      <c r="J289" s="200" t="str">
        <f aca="false">IF($A290="","",VLOOKUP($A289,Table,MATCH(J$4,Curves,0)))</f>
        <v/>
      </c>
      <c r="K289" s="201" t="str">
        <f aca="false">IF(A290="","",J289)</f>
        <v/>
      </c>
      <c r="L289" s="200" t="str">
        <f aca="false">IF($A290="","",VLOOKUP($A289,Table,MATCH(L$4,Curves,0)))</f>
        <v/>
      </c>
      <c r="M289" s="201" t="str">
        <f aca="false">IF(A290="","",L289)</f>
        <v/>
      </c>
      <c r="N289" s="203"/>
      <c r="O289" s="200" t="str">
        <f aca="false">IF(A290="","",L289+J289+G289)</f>
        <v/>
      </c>
      <c r="P289" s="200" t="str">
        <f aca="false">IF(A290="","",M289+K289+H289)</f>
        <v/>
      </c>
      <c r="Q289" s="204"/>
      <c r="R289" s="200" t="str">
        <f aca="false">IF($A290="","",VLOOKUP($A289,Table,MATCH(R$4,Curves,0)))</f>
        <v/>
      </c>
      <c r="S289" s="201" t="str">
        <f aca="false">IF(A290="","",R289)</f>
        <v/>
      </c>
      <c r="T289" s="200" t="str">
        <f aca="false">IF($A290="","",VLOOKUP($A289,Table,MATCH(T$4,Curves,0)))</f>
        <v/>
      </c>
      <c r="U289" s="201" t="str">
        <f aca="false">IF(A290="","",T289)</f>
        <v/>
      </c>
      <c r="V289" s="183" t="str">
        <f aca="false">IF($A290="","",IF(AND(MONTH(A289)&gt;3,MONTH(A289)&lt;11),(T289+R289+G289)*Summary!$T$7/(1-Summary!$T$7),(T289+R289+G289)*Summary!$U$7/(1-Summary!$U$7)))</f>
        <v/>
      </c>
      <c r="W289" s="200" t="str">
        <f aca="false">IF($A290="","",(T289+R289+G289+V289))</f>
        <v/>
      </c>
      <c r="X289" s="200" t="str">
        <f aca="false">IF($A290="","",(U289+S289+H289+V289))</f>
        <v/>
      </c>
      <c r="Y289" s="202"/>
      <c r="Z289" s="185" t="str">
        <f aca="false">IF($A290="","",VLOOKUP($A289,Table,MATCH(Z$4,Curves,0)))</f>
        <v/>
      </c>
      <c r="AA289" s="185" t="str">
        <f aca="false">IF($A290="","",VLOOKUP($A289,Table,MATCH(AA$4,Curves,0)))</f>
        <v/>
      </c>
      <c r="AB289" s="185" t="e">
        <f aca="false">SQRT((AA289^2*(A289-$D$3)+Z289^2*(DAY(EOMONTH(A289,0))/2))/AK289)</f>
        <v>#VALUE!</v>
      </c>
      <c r="AC289" s="185" t="str">
        <f aca="false">IF($A290="","",VLOOKUP($A289,Table,MATCH(AC$4,Curves,0)))</f>
        <v/>
      </c>
      <c r="AD289" s="185" t="str">
        <f aca="false">IF($A290="","",VLOOKUP($A289,Table,MATCH(AD$4,Curves,0)))</f>
        <v/>
      </c>
      <c r="AE289" s="185" t="e">
        <f aca="false">SQRT((AD289^2*(A289-$D$3)+AC289^2*(DAY(EOMONTH(A289,0))/2))/AK289)</f>
        <v>#VALUE!</v>
      </c>
      <c r="AF289" s="206" t="e">
        <f aca="false">((Summary!$N$7*(AA289*AD289)*(A289-$D$3))+(Summary!$M$7*Z289*AC289*(DAY(EOMONTH(A289,0))/2)))/(AK289*AB289*AE289)</f>
        <v>#VALUE!</v>
      </c>
      <c r="AG289" s="207" t="str">
        <f aca="false">IF($A290="","",Summary!$Q$7)</f>
        <v/>
      </c>
      <c r="AH289" s="207" t="str">
        <f aca="false">IF($A290="","",IF(Summary!$R$7="Y",(VLOOKUP($A289,Summary!$AD$6:$AF$9,3)+'Escalating commodity'!C302),'Escalating commodity'!C302))</f>
        <v/>
      </c>
      <c r="AI289" s="207" t="str">
        <f aca="false">IF($A290="","",AH289)</f>
        <v/>
      </c>
      <c r="AJ289" s="208" t="e">
        <f aca="false">A289+DAY(EOMONTH(A289,0))/2-1</f>
        <v>#VALUE!</v>
      </c>
      <c r="AK289" s="209" t="str">
        <f aca="false">IF($A290="","",$A289-$E$1)</f>
        <v/>
      </c>
      <c r="AL289" s="182" t="str">
        <f aca="false">IF($A290="","",SPRDOPT(P289,X289,AI289,0,AB289,AE289,AF289,AK289,$AJ$2,0))</f>
        <v/>
      </c>
      <c r="AM289" s="210" t="str">
        <f aca="false">IF($A290="","",MAX(0,O289-W289-AI289))</f>
        <v/>
      </c>
      <c r="AN289" s="211" t="str">
        <f aca="false">IF($A290="","",AL289-AM289)</f>
        <v/>
      </c>
      <c r="AO289" s="137" t="str">
        <f aca="false">IF(A290="","",A290-A289)</f>
        <v/>
      </c>
      <c r="AP289" s="212" t="str">
        <f aca="false">IF(A290="","",CHOOSE(F$3,A290+24,A289))</f>
        <v/>
      </c>
      <c r="AQ289" s="209" t="str">
        <f aca="false">IF(A290="","",AP289-$E$1)</f>
        <v/>
      </c>
      <c r="AR289" s="185" t="n">
        <f aca="false">IF(Summary!$H$2=1,VLOOKUP('ANR OK vs ML7'!A289,Curves!$C$17:$AR$273,MATCH('ANR OK vs ML7'!$AR$4,Curves!$C$8:$AQ$8,0)),0.1)</f>
        <v>0.1</v>
      </c>
      <c r="AS289" s="213" t="str">
        <f aca="false">IF(A290="","",1/(1+CHOOSE(F$3,(AR290+($I$3/10000))/2,(AR289+($I$3/10000))/2))^(2*AQ289/365.25))</f>
        <v/>
      </c>
      <c r="AT289" s="137" t="str">
        <f aca="false">IF(A290="","",IF(AND(mthbeg&lt;=A289,mthend&gt;=A289),1,0))</f>
        <v/>
      </c>
      <c r="AU289" s="137" t="str">
        <f aca="false">IF(A290="","",AO289*AT289)</f>
        <v/>
      </c>
      <c r="AW289" s="195" t="str">
        <f aca="false">IF($A290="","",AL289*$E289)</f>
        <v/>
      </c>
      <c r="AX289" s="195" t="str">
        <f aca="false">IF($A290="","",AM289*$E289)</f>
        <v/>
      </c>
      <c r="AY289" s="195" t="str">
        <f aca="false">IF($A290="","",AN289*$E289)</f>
        <v/>
      </c>
      <c r="BA289" s="195" t="str">
        <f aca="false">IF($A290="","",F289*Summary!$Q$7)</f>
        <v/>
      </c>
    </row>
    <row r="290" customFormat="false" ht="12" hidden="false" customHeight="true" outlineLevel="0" collapsed="false">
      <c r="A290" s="196" t="str">
        <f aca="false">IF(A289&lt;mthend,EDATE(A289,1),"")</f>
        <v/>
      </c>
      <c r="B290" s="197" t="str">
        <f aca="false">IF(A290&lt;mthend,B289,"")</f>
        <v/>
      </c>
      <c r="C290" s="215"/>
      <c r="D290" s="197" t="str">
        <f aca="false">IF(A291&lt;&gt;"",B290+C290,"")</f>
        <v/>
      </c>
      <c r="E290" s="199" t="str">
        <f aca="false">IF(A291="","",IF(AND(AT290=1,$H$3=1),D290*AO290,IF($H$3=2,D290,"N/A")))</f>
        <v/>
      </c>
      <c r="F290" s="199" t="str">
        <f aca="false">IF(A291="","",E290*AS290)</f>
        <v/>
      </c>
      <c r="G290" s="200" t="str">
        <f aca="false">IF($A291="","",VLOOKUP($A290,Table,MATCH(G$4,Curves,0)))</f>
        <v/>
      </c>
      <c r="H290" s="201" t="str">
        <f aca="false">IF(A291="","",G290)</f>
        <v/>
      </c>
      <c r="I290" s="202"/>
      <c r="J290" s="200" t="str">
        <f aca="false">IF($A291="","",VLOOKUP($A290,Table,MATCH(J$4,Curves,0)))</f>
        <v/>
      </c>
      <c r="K290" s="201" t="str">
        <f aca="false">IF(A291="","",J290)</f>
        <v/>
      </c>
      <c r="L290" s="200" t="str">
        <f aca="false">IF($A291="","",VLOOKUP($A290,Table,MATCH(L$4,Curves,0)))</f>
        <v/>
      </c>
      <c r="M290" s="201" t="str">
        <f aca="false">IF(A291="","",L290)</f>
        <v/>
      </c>
      <c r="N290" s="203"/>
      <c r="O290" s="200" t="str">
        <f aca="false">IF(A291="","",L290+J290+G290)</f>
        <v/>
      </c>
      <c r="P290" s="200" t="str">
        <f aca="false">IF(A291="","",M290+K290+H290)</f>
        <v/>
      </c>
      <c r="Q290" s="204"/>
      <c r="R290" s="200" t="str">
        <f aca="false">IF($A291="","",VLOOKUP($A290,Table,MATCH(R$4,Curves,0)))</f>
        <v/>
      </c>
      <c r="S290" s="201" t="str">
        <f aca="false">IF(A291="","",R290)</f>
        <v/>
      </c>
      <c r="T290" s="200" t="str">
        <f aca="false">IF($A291="","",VLOOKUP($A290,Table,MATCH(T$4,Curves,0)))</f>
        <v/>
      </c>
      <c r="U290" s="201" t="str">
        <f aca="false">IF(A291="","",T290)</f>
        <v/>
      </c>
      <c r="V290" s="183" t="str">
        <f aca="false">IF($A291="","",IF(AND(MONTH(A290)&gt;3,MONTH(A290)&lt;11),(T290+R290+G290)*Summary!$T$7/(1-Summary!$T$7),(T290+R290+G290)*Summary!$U$7/(1-Summary!$U$7)))</f>
        <v/>
      </c>
      <c r="W290" s="200" t="str">
        <f aca="false">IF($A291="","",(T290+R290+G290+V290))</f>
        <v/>
      </c>
      <c r="X290" s="200" t="str">
        <f aca="false">IF($A291="","",(U290+S290+H290+V290))</f>
        <v/>
      </c>
      <c r="Y290" s="202"/>
      <c r="Z290" s="185" t="str">
        <f aca="false">IF($A291="","",VLOOKUP($A290,Table,MATCH(Z$4,Curves,0)))</f>
        <v/>
      </c>
      <c r="AA290" s="185" t="str">
        <f aca="false">IF($A291="","",VLOOKUP($A290,Table,MATCH(AA$4,Curves,0)))</f>
        <v/>
      </c>
      <c r="AB290" s="185" t="e">
        <f aca="false">SQRT((AA290^2*(A290-$D$3)+Z290^2*(DAY(EOMONTH(A290,0))/2))/AK290)</f>
        <v>#VALUE!</v>
      </c>
      <c r="AC290" s="185" t="str">
        <f aca="false">IF($A291="","",VLOOKUP($A290,Table,MATCH(AC$4,Curves,0)))</f>
        <v/>
      </c>
      <c r="AD290" s="185" t="str">
        <f aca="false">IF($A291="","",VLOOKUP($A290,Table,MATCH(AD$4,Curves,0)))</f>
        <v/>
      </c>
      <c r="AE290" s="185" t="e">
        <f aca="false">SQRT((AD290^2*(A290-$D$3)+AC290^2*(DAY(EOMONTH(A290,0))/2))/AK290)</f>
        <v>#VALUE!</v>
      </c>
      <c r="AF290" s="206" t="e">
        <f aca="false">((Summary!$N$7*(AA290*AD290)*(A290-$D$3))+(Summary!$M$7*Z290*AC290*(DAY(EOMONTH(A290,0))/2)))/(AK290*AB290*AE290)</f>
        <v>#VALUE!</v>
      </c>
      <c r="AG290" s="207" t="str">
        <f aca="false">IF($A291="","",Summary!$Q$7)</f>
        <v/>
      </c>
      <c r="AH290" s="207" t="str">
        <f aca="false">IF($A291="","",IF(Summary!$R$7="Y",(VLOOKUP($A290,Summary!$AD$6:$AF$9,3)+'Escalating commodity'!C303),'Escalating commodity'!C303))</f>
        <v/>
      </c>
      <c r="AI290" s="207" t="str">
        <f aca="false">IF($A291="","",AH290)</f>
        <v/>
      </c>
      <c r="AJ290" s="208" t="e">
        <f aca="false">A290+DAY(EOMONTH(A290,0))/2-1</f>
        <v>#VALUE!</v>
      </c>
      <c r="AK290" s="209" t="str">
        <f aca="false">IF($A291="","",$A290-$E$1)</f>
        <v/>
      </c>
      <c r="AL290" s="182" t="str">
        <f aca="false">IF($A291="","",SPRDOPT(P290,X290,AI290,0,AB290,AE290,AF290,AK290,$AJ$2,0))</f>
        <v/>
      </c>
      <c r="AM290" s="210" t="str">
        <f aca="false">IF($A291="","",MAX(0,O290-W290-AI290))</f>
        <v/>
      </c>
      <c r="AN290" s="211" t="str">
        <f aca="false">IF($A291="","",AL290-AM290)</f>
        <v/>
      </c>
      <c r="AO290" s="137" t="str">
        <f aca="false">IF(A291="","",A291-A290)</f>
        <v/>
      </c>
      <c r="AP290" s="212" t="str">
        <f aca="false">IF(A291="","",CHOOSE(F$3,A291+24,A290))</f>
        <v/>
      </c>
      <c r="AQ290" s="209" t="str">
        <f aca="false">IF(A291="","",AP290-$E$1)</f>
        <v/>
      </c>
      <c r="AR290" s="185" t="n">
        <f aca="false">IF(Summary!$H$2=1,VLOOKUP('ANR OK vs ML7'!A290,Curves!$C$17:$AR$273,MATCH('ANR OK vs ML7'!$AR$4,Curves!$C$8:$AQ$8,0)),0.1)</f>
        <v>0.1</v>
      </c>
      <c r="AS290" s="213" t="str">
        <f aca="false">IF(A291="","",1/(1+CHOOSE(F$3,(AR291+($I$3/10000))/2,(AR290+($I$3/10000))/2))^(2*AQ290/365.25))</f>
        <v/>
      </c>
      <c r="AT290" s="137" t="str">
        <f aca="false">IF(A291="","",IF(AND(mthbeg&lt;=A290,mthend&gt;=A290),1,0))</f>
        <v/>
      </c>
      <c r="AU290" s="137" t="str">
        <f aca="false">IF(A291="","",AO290*AT290)</f>
        <v/>
      </c>
      <c r="AW290" s="195" t="str">
        <f aca="false">IF($A291="","",AL290*$E290)</f>
        <v/>
      </c>
      <c r="AX290" s="195" t="str">
        <f aca="false">IF($A291="","",AM290*$E290)</f>
        <v/>
      </c>
      <c r="AY290" s="195" t="str">
        <f aca="false">IF($A291="","",AN290*$E290)</f>
        <v/>
      </c>
      <c r="BA290" s="195" t="str">
        <f aca="false">IF($A291="","",F290*Summary!$Q$7)</f>
        <v/>
      </c>
    </row>
    <row r="291" customFormat="false" ht="12" hidden="false" customHeight="true" outlineLevel="0" collapsed="false">
      <c r="A291" s="196" t="str">
        <f aca="false">IF(A290&lt;mthend,EDATE(A290,1),"")</f>
        <v/>
      </c>
      <c r="B291" s="197" t="str">
        <f aca="false">IF(A291&lt;mthend,B290,"")</f>
        <v/>
      </c>
      <c r="C291" s="215"/>
      <c r="D291" s="197" t="str">
        <f aca="false">IF(A292&lt;&gt;"",B291+C291,"")</f>
        <v/>
      </c>
      <c r="E291" s="199" t="str">
        <f aca="false">IF(A292="","",IF(AND(AT291=1,$H$3=1),D291*AO291,IF($H$3=2,D291,"N/A")))</f>
        <v/>
      </c>
      <c r="F291" s="199" t="str">
        <f aca="false">IF(A292="","",E291*AS291)</f>
        <v/>
      </c>
      <c r="G291" s="200" t="str">
        <f aca="false">IF($A292="","",VLOOKUP($A291,Table,MATCH(G$4,Curves,0)))</f>
        <v/>
      </c>
      <c r="H291" s="201" t="str">
        <f aca="false">IF(A292="","",G291)</f>
        <v/>
      </c>
      <c r="I291" s="202"/>
      <c r="J291" s="200" t="str">
        <f aca="false">IF($A292="","",VLOOKUP($A291,Table,MATCH(J$4,Curves,0)))</f>
        <v/>
      </c>
      <c r="K291" s="201" t="str">
        <f aca="false">IF(A292="","",J291)</f>
        <v/>
      </c>
      <c r="L291" s="200" t="str">
        <f aca="false">IF($A292="","",VLOOKUP($A291,Table,MATCH(L$4,Curves,0)))</f>
        <v/>
      </c>
      <c r="M291" s="201" t="str">
        <f aca="false">IF(A292="","",L291)</f>
        <v/>
      </c>
      <c r="N291" s="203"/>
      <c r="O291" s="200" t="str">
        <f aca="false">IF(A292="","",L291+J291+G291)</f>
        <v/>
      </c>
      <c r="P291" s="200" t="str">
        <f aca="false">IF(A292="","",M291+K291+H291)</f>
        <v/>
      </c>
      <c r="Q291" s="204"/>
      <c r="R291" s="200" t="str">
        <f aca="false">IF($A292="","",VLOOKUP($A291,Table,MATCH(R$4,Curves,0)))</f>
        <v/>
      </c>
      <c r="S291" s="201" t="str">
        <f aca="false">IF(A292="","",R291)</f>
        <v/>
      </c>
      <c r="T291" s="200" t="str">
        <f aca="false">IF($A292="","",VLOOKUP($A291,Table,MATCH(T$4,Curves,0)))</f>
        <v/>
      </c>
      <c r="U291" s="201" t="str">
        <f aca="false">IF(A292="","",T291)</f>
        <v/>
      </c>
      <c r="V291" s="183" t="str">
        <f aca="false">IF($A292="","",IF(AND(MONTH(A291)&gt;3,MONTH(A291)&lt;11),(T291+R291+G291)*Summary!$T$7/(1-Summary!$T$7),(T291+R291+G291)*Summary!$U$7/(1-Summary!$U$7)))</f>
        <v/>
      </c>
      <c r="W291" s="200" t="str">
        <f aca="false">IF($A292="","",(T291+R291+G291+V291))</f>
        <v/>
      </c>
      <c r="X291" s="200" t="str">
        <f aca="false">IF($A292="","",(U291+S291+H291+V291))</f>
        <v/>
      </c>
      <c r="Y291" s="202"/>
      <c r="Z291" s="185" t="str">
        <f aca="false">IF($A292="","",VLOOKUP($A291,Table,MATCH(Z$4,Curves,0)))</f>
        <v/>
      </c>
      <c r="AA291" s="185" t="str">
        <f aca="false">IF($A292="","",VLOOKUP($A291,Table,MATCH(AA$4,Curves,0)))</f>
        <v/>
      </c>
      <c r="AB291" s="185" t="e">
        <f aca="false">SQRT((AA291^2*(A291-$D$3)+Z291^2*(DAY(EOMONTH(A291,0))/2))/AK291)</f>
        <v>#VALUE!</v>
      </c>
      <c r="AC291" s="185" t="str">
        <f aca="false">IF($A292="","",VLOOKUP($A291,Table,MATCH(AC$4,Curves,0)))</f>
        <v/>
      </c>
      <c r="AD291" s="185" t="str">
        <f aca="false">IF($A292="","",VLOOKUP($A291,Table,MATCH(AD$4,Curves,0)))</f>
        <v/>
      </c>
      <c r="AE291" s="185" t="e">
        <f aca="false">SQRT((AD291^2*(A291-$D$3)+AC291^2*(DAY(EOMONTH(A291,0))/2))/AK291)</f>
        <v>#VALUE!</v>
      </c>
      <c r="AF291" s="206" t="e">
        <f aca="false">((Summary!$N$7*(AA291*AD291)*(A291-$D$3))+(Summary!$M$7*Z291*AC291*(DAY(EOMONTH(A291,0))/2)))/(AK291*AB291*AE291)</f>
        <v>#VALUE!</v>
      </c>
      <c r="AG291" s="207" t="str">
        <f aca="false">IF($A292="","",Summary!$Q$7)</f>
        <v/>
      </c>
      <c r="AH291" s="207" t="str">
        <f aca="false">IF($A292="","",IF(Summary!$R$7="Y",(VLOOKUP($A291,Summary!$AD$6:$AF$9,3)+'Escalating commodity'!C304),'Escalating commodity'!C304))</f>
        <v/>
      </c>
      <c r="AI291" s="207" t="str">
        <f aca="false">IF($A292="","",AH291)</f>
        <v/>
      </c>
      <c r="AJ291" s="208" t="e">
        <f aca="false">A291+DAY(EOMONTH(A291,0))/2-1</f>
        <v>#VALUE!</v>
      </c>
      <c r="AK291" s="209" t="str">
        <f aca="false">IF($A292="","",$A291-$E$1)</f>
        <v/>
      </c>
      <c r="AL291" s="182" t="str">
        <f aca="false">IF($A292="","",SPRDOPT(P291,X291,AI291,0,AB291,AE291,AF291,AK291,$AJ$2,0))</f>
        <v/>
      </c>
      <c r="AM291" s="210" t="str">
        <f aca="false">IF($A292="","",MAX(0,O291-W291-AI291))</f>
        <v/>
      </c>
      <c r="AN291" s="211" t="str">
        <f aca="false">IF($A292="","",AL291-AM291)</f>
        <v/>
      </c>
      <c r="AO291" s="137" t="str">
        <f aca="false">IF(A292="","",A292-A291)</f>
        <v/>
      </c>
      <c r="AP291" s="212" t="str">
        <f aca="false">IF(A292="","",CHOOSE(F$3,A292+24,A291))</f>
        <v/>
      </c>
      <c r="AQ291" s="209" t="str">
        <f aca="false">IF(A292="","",AP291-$E$1)</f>
        <v/>
      </c>
      <c r="AR291" s="185" t="n">
        <f aca="false">IF(Summary!$H$2=1,VLOOKUP('ANR OK vs ML7'!A291,Curves!$C$17:$AR$273,MATCH('ANR OK vs ML7'!$AR$4,Curves!$C$8:$AQ$8,0)),0.1)</f>
        <v>0.1</v>
      </c>
      <c r="AS291" s="213" t="str">
        <f aca="false">IF(A292="","",1/(1+CHOOSE(F$3,(AR292+($I$3/10000))/2,(AR291+($I$3/10000))/2))^(2*AQ291/365.25))</f>
        <v/>
      </c>
      <c r="AT291" s="137" t="str">
        <f aca="false">IF(A292="","",IF(AND(mthbeg&lt;=A291,mthend&gt;=A291),1,0))</f>
        <v/>
      </c>
      <c r="AU291" s="137" t="str">
        <f aca="false">IF(A292="","",AO291*AT291)</f>
        <v/>
      </c>
      <c r="AW291" s="195" t="str">
        <f aca="false">IF($A292="","",AL291*$E291)</f>
        <v/>
      </c>
      <c r="AX291" s="195" t="str">
        <f aca="false">IF($A292="","",AM291*$E291)</f>
        <v/>
      </c>
      <c r="AY291" s="195" t="str">
        <f aca="false">IF($A292="","",AN291*$E291)</f>
        <v/>
      </c>
      <c r="BA291" s="195" t="str">
        <f aca="false">IF($A292="","",F291*Summary!$Q$7)</f>
        <v/>
      </c>
    </row>
    <row r="292" customFormat="false" ht="12" hidden="false" customHeight="true" outlineLevel="0" collapsed="false">
      <c r="A292" s="196" t="str">
        <f aca="false">IF(A291&lt;mthend,EDATE(A291,1),"")</f>
        <v/>
      </c>
      <c r="B292" s="197" t="str">
        <f aca="false">IF(A292&lt;mthend,B291,"")</f>
        <v/>
      </c>
      <c r="C292" s="215"/>
      <c r="D292" s="197" t="str">
        <f aca="false">IF(A293&lt;&gt;"",B292+C292,"")</f>
        <v/>
      </c>
      <c r="E292" s="199" t="str">
        <f aca="false">IF(A293="","",IF(AND(AT292=1,$H$3=1),D292*AO292,IF($H$3=2,D292,"N/A")))</f>
        <v/>
      </c>
      <c r="F292" s="199" t="str">
        <f aca="false">IF(A293="","",E292*AS292)</f>
        <v/>
      </c>
      <c r="G292" s="200" t="str">
        <f aca="false">IF($A293="","",VLOOKUP($A292,Table,MATCH(G$4,Curves,0)))</f>
        <v/>
      </c>
      <c r="H292" s="201" t="str">
        <f aca="false">IF(A293="","",G292)</f>
        <v/>
      </c>
      <c r="I292" s="202"/>
      <c r="J292" s="200" t="str">
        <f aca="false">IF($A293="","",VLOOKUP($A292,Table,MATCH(J$4,Curves,0)))</f>
        <v/>
      </c>
      <c r="K292" s="201" t="str">
        <f aca="false">IF(A293="","",J292)</f>
        <v/>
      </c>
      <c r="L292" s="200" t="str">
        <f aca="false">IF($A293="","",VLOOKUP($A292,Table,MATCH(L$4,Curves,0)))</f>
        <v/>
      </c>
      <c r="M292" s="201" t="str">
        <f aca="false">IF(A293="","",L292)</f>
        <v/>
      </c>
      <c r="N292" s="203"/>
      <c r="O292" s="200" t="str">
        <f aca="false">IF(A293="","",L292+J292+G292)</f>
        <v/>
      </c>
      <c r="P292" s="200" t="str">
        <f aca="false">IF(A293="","",M292+K292+H292)</f>
        <v/>
      </c>
      <c r="Q292" s="204"/>
      <c r="R292" s="200" t="str">
        <f aca="false">IF($A293="","",VLOOKUP($A292,Table,MATCH(R$4,Curves,0)))</f>
        <v/>
      </c>
      <c r="S292" s="201" t="str">
        <f aca="false">IF(A293="","",R292)</f>
        <v/>
      </c>
      <c r="T292" s="200" t="str">
        <f aca="false">IF($A293="","",VLOOKUP($A292,Table,MATCH(T$4,Curves,0)))</f>
        <v/>
      </c>
      <c r="U292" s="201" t="str">
        <f aca="false">IF(A293="","",T292)</f>
        <v/>
      </c>
      <c r="V292" s="183" t="str">
        <f aca="false">IF($A293="","",IF(AND(MONTH(A292)&gt;3,MONTH(A292)&lt;11),(T292+R292+G292)*Summary!$T$7/(1-Summary!$T$7),(T292+R292+G292)*Summary!$U$7/(1-Summary!$U$7)))</f>
        <v/>
      </c>
      <c r="W292" s="200" t="str">
        <f aca="false">IF($A293="","",(T292+R292+G292+V292))</f>
        <v/>
      </c>
      <c r="X292" s="200" t="str">
        <f aca="false">IF($A293="","",(U292+S292+H292+V292))</f>
        <v/>
      </c>
      <c r="Y292" s="202"/>
      <c r="Z292" s="185" t="str">
        <f aca="false">IF($A293="","",VLOOKUP($A292,Table,MATCH(Z$4,Curves,0)))</f>
        <v/>
      </c>
      <c r="AA292" s="185" t="str">
        <f aca="false">IF($A293="","",VLOOKUP($A292,Table,MATCH(AA$4,Curves,0)))</f>
        <v/>
      </c>
      <c r="AB292" s="185" t="e">
        <f aca="false">SQRT((AA292^2*(A292-$D$3)+Z292^2*(DAY(EOMONTH(A292,0))/2))/AK292)</f>
        <v>#VALUE!</v>
      </c>
      <c r="AC292" s="185" t="str">
        <f aca="false">IF($A293="","",VLOOKUP($A292,Table,MATCH(AC$4,Curves,0)))</f>
        <v/>
      </c>
      <c r="AD292" s="185" t="str">
        <f aca="false">IF($A293="","",VLOOKUP($A292,Table,MATCH(AD$4,Curves,0)))</f>
        <v/>
      </c>
      <c r="AE292" s="185" t="e">
        <f aca="false">SQRT((AD292^2*(A292-$D$3)+AC292^2*(DAY(EOMONTH(A292,0))/2))/AK292)</f>
        <v>#VALUE!</v>
      </c>
      <c r="AF292" s="206" t="e">
        <f aca="false">((Summary!$N$7*(AA292*AD292)*(A292-$D$3))+(Summary!$M$7*Z292*AC292*(DAY(EOMONTH(A292,0))/2)))/(AK292*AB292*AE292)</f>
        <v>#VALUE!</v>
      </c>
      <c r="AG292" s="207" t="str">
        <f aca="false">IF($A293="","",Summary!$Q$7)</f>
        <v/>
      </c>
      <c r="AH292" s="207" t="str">
        <f aca="false">IF($A293="","",IF(Summary!$R$7="Y",(VLOOKUP($A292,Summary!$AD$6:$AF$9,3)+'Escalating commodity'!C305),'Escalating commodity'!C305))</f>
        <v/>
      </c>
      <c r="AI292" s="207" t="str">
        <f aca="false">IF($A293="","",AH292)</f>
        <v/>
      </c>
      <c r="AJ292" s="208" t="e">
        <f aca="false">A292+DAY(EOMONTH(A292,0))/2-1</f>
        <v>#VALUE!</v>
      </c>
      <c r="AK292" s="209" t="str">
        <f aca="false">IF($A293="","",$A292-$E$1)</f>
        <v/>
      </c>
      <c r="AL292" s="182" t="str">
        <f aca="false">IF($A293="","",SPRDOPT(P292,X292,AI292,0,AB292,AE292,AF292,AK292,$AJ$2,0))</f>
        <v/>
      </c>
      <c r="AM292" s="210" t="str">
        <f aca="false">IF($A293="","",MAX(0,O292-W292-AI292))</f>
        <v/>
      </c>
      <c r="AN292" s="211" t="str">
        <f aca="false">IF($A293="","",AL292-AM292)</f>
        <v/>
      </c>
      <c r="AO292" s="137" t="str">
        <f aca="false">IF(A293="","",A293-A292)</f>
        <v/>
      </c>
      <c r="AP292" s="212" t="str">
        <f aca="false">IF(A293="","",CHOOSE(F$3,A293+24,A292))</f>
        <v/>
      </c>
      <c r="AQ292" s="209" t="str">
        <f aca="false">IF(A293="","",AP292-$E$1)</f>
        <v/>
      </c>
      <c r="AR292" s="185" t="n">
        <f aca="false">IF(Summary!$H$2=1,VLOOKUP('ANR OK vs ML7'!A292,Curves!$C$17:$AR$273,MATCH('ANR OK vs ML7'!$AR$4,Curves!$C$8:$AQ$8,0)),0.1)</f>
        <v>0.1</v>
      </c>
      <c r="AS292" s="213" t="str">
        <f aca="false">IF(A293="","",1/(1+CHOOSE(F$3,(AR293+($I$3/10000))/2,(AR292+($I$3/10000))/2))^(2*AQ292/365.25))</f>
        <v/>
      </c>
      <c r="AT292" s="137" t="str">
        <f aca="false">IF(A293="","",IF(AND(mthbeg&lt;=A292,mthend&gt;=A292),1,0))</f>
        <v/>
      </c>
      <c r="AU292" s="137" t="str">
        <f aca="false">IF(A293="","",AO292*AT292)</f>
        <v/>
      </c>
      <c r="AW292" s="195" t="str">
        <f aca="false">IF($A293="","",AL292*$E292)</f>
        <v/>
      </c>
      <c r="AX292" s="195" t="str">
        <f aca="false">IF($A293="","",AM292*$E292)</f>
        <v/>
      </c>
      <c r="AY292" s="195" t="str">
        <f aca="false">IF($A293="","",AN292*$E292)</f>
        <v/>
      </c>
      <c r="BA292" s="195" t="str">
        <f aca="false">IF($A293="","",F292*Summary!$Q$7)</f>
        <v/>
      </c>
    </row>
    <row r="293" customFormat="false" ht="12" hidden="false" customHeight="true" outlineLevel="0" collapsed="false">
      <c r="A293" s="196" t="str">
        <f aca="false">IF(A292&lt;mthend,EDATE(A292,1),"")</f>
        <v/>
      </c>
      <c r="B293" s="197" t="str">
        <f aca="false">IF(A293&lt;mthend,B292,"")</f>
        <v/>
      </c>
      <c r="C293" s="215"/>
      <c r="D293" s="197" t="str">
        <f aca="false">IF(A294&lt;&gt;"",B293+C293,"")</f>
        <v/>
      </c>
      <c r="E293" s="199" t="str">
        <f aca="false">IF(A294="","",IF(AND(AT293=1,$H$3=1),D293*AO293,IF($H$3=2,D293,"N/A")))</f>
        <v/>
      </c>
      <c r="F293" s="199" t="str">
        <f aca="false">IF(A294="","",E293*AS293)</f>
        <v/>
      </c>
      <c r="G293" s="200" t="str">
        <f aca="false">IF($A294="","",VLOOKUP($A293,Table,MATCH(G$4,Curves,0)))</f>
        <v/>
      </c>
      <c r="H293" s="201" t="str">
        <f aca="false">IF(A294="","",G293)</f>
        <v/>
      </c>
      <c r="I293" s="202"/>
      <c r="J293" s="200" t="str">
        <f aca="false">IF($A294="","",VLOOKUP($A293,Table,MATCH(J$4,Curves,0)))</f>
        <v/>
      </c>
      <c r="K293" s="201" t="str">
        <f aca="false">IF(A294="","",J293)</f>
        <v/>
      </c>
      <c r="L293" s="200" t="str">
        <f aca="false">IF($A294="","",VLOOKUP($A293,Table,MATCH(L$4,Curves,0)))</f>
        <v/>
      </c>
      <c r="M293" s="201" t="str">
        <f aca="false">IF(A294="","",L293)</f>
        <v/>
      </c>
      <c r="N293" s="203"/>
      <c r="O293" s="200" t="str">
        <f aca="false">IF(A294="","",L293+J293+G293)</f>
        <v/>
      </c>
      <c r="P293" s="200" t="str">
        <f aca="false">IF(A294="","",M293+K293+H293)</f>
        <v/>
      </c>
      <c r="Q293" s="204"/>
      <c r="R293" s="200" t="str">
        <f aca="false">IF($A294="","",VLOOKUP($A293,Table,MATCH(R$4,Curves,0)))</f>
        <v/>
      </c>
      <c r="S293" s="201" t="str">
        <f aca="false">IF(A294="","",R293)</f>
        <v/>
      </c>
      <c r="T293" s="200" t="str">
        <f aca="false">IF($A294="","",VLOOKUP($A293,Table,MATCH(T$4,Curves,0)))</f>
        <v/>
      </c>
      <c r="U293" s="201" t="str">
        <f aca="false">IF(A294="","",T293)</f>
        <v/>
      </c>
      <c r="V293" s="183" t="str">
        <f aca="false">IF($A294="","",IF(AND(MONTH(A293)&gt;3,MONTH(A293)&lt;11),(T293+R293+G293)*Summary!$T$7/(1-Summary!$T$7),(T293+R293+G293)*Summary!$U$7/(1-Summary!$U$7)))</f>
        <v/>
      </c>
      <c r="W293" s="200" t="str">
        <f aca="false">IF($A294="","",(T293+R293+G293+V293))</f>
        <v/>
      </c>
      <c r="X293" s="200" t="str">
        <f aca="false">IF($A294="","",(U293+S293+H293+V293))</f>
        <v/>
      </c>
      <c r="Y293" s="202"/>
      <c r="Z293" s="185" t="str">
        <f aca="false">IF($A294="","",VLOOKUP($A293,Table,MATCH(Z$4,Curves,0)))</f>
        <v/>
      </c>
      <c r="AA293" s="185" t="str">
        <f aca="false">IF($A294="","",VLOOKUP($A293,Table,MATCH(AA$4,Curves,0)))</f>
        <v/>
      </c>
      <c r="AB293" s="185" t="e">
        <f aca="false">SQRT((AA293^2*(A293-$D$3)+Z293^2*(DAY(EOMONTH(A293,0))/2))/AK293)</f>
        <v>#VALUE!</v>
      </c>
      <c r="AC293" s="185" t="str">
        <f aca="false">IF($A294="","",VLOOKUP($A293,Table,MATCH(AC$4,Curves,0)))</f>
        <v/>
      </c>
      <c r="AD293" s="185" t="str">
        <f aca="false">IF($A294="","",VLOOKUP($A293,Table,MATCH(AD$4,Curves,0)))</f>
        <v/>
      </c>
      <c r="AE293" s="185" t="e">
        <f aca="false">SQRT((AD293^2*(A293-$D$3)+AC293^2*(DAY(EOMONTH(A293,0))/2))/AK293)</f>
        <v>#VALUE!</v>
      </c>
      <c r="AF293" s="206" t="e">
        <f aca="false">((Summary!$N$7*(AA293*AD293)*(A293-$D$3))+(Summary!$M$7*Z293*AC293*(DAY(EOMONTH(A293,0))/2)))/(AK293*AB293*AE293)</f>
        <v>#VALUE!</v>
      </c>
      <c r="AG293" s="207" t="str">
        <f aca="false">IF($A294="","",Summary!$Q$7)</f>
        <v/>
      </c>
      <c r="AH293" s="207" t="str">
        <f aca="false">IF($A294="","",IF(Summary!$R$7="Y",(VLOOKUP($A293,Summary!$AD$6:$AF$9,3)+'Escalating commodity'!C306),'Escalating commodity'!C306))</f>
        <v/>
      </c>
      <c r="AI293" s="207" t="str">
        <f aca="false">IF($A294="","",AH293)</f>
        <v/>
      </c>
      <c r="AJ293" s="208" t="e">
        <f aca="false">A293+DAY(EOMONTH(A293,0))/2-1</f>
        <v>#VALUE!</v>
      </c>
      <c r="AK293" s="209" t="str">
        <f aca="false">IF($A294="","",$A293-$E$1)</f>
        <v/>
      </c>
      <c r="AL293" s="182" t="str">
        <f aca="false">IF($A294="","",SPRDOPT(P293,X293,AI293,0,AB293,AE293,AF293,AK293,$AJ$2,0))</f>
        <v/>
      </c>
      <c r="AM293" s="210" t="str">
        <f aca="false">IF($A294="","",MAX(0,O293-W293-AI293))</f>
        <v/>
      </c>
      <c r="AN293" s="211" t="str">
        <f aca="false">IF($A294="","",AL293-AM293)</f>
        <v/>
      </c>
      <c r="AO293" s="137" t="str">
        <f aca="false">IF(A294="","",A294-A293)</f>
        <v/>
      </c>
      <c r="AP293" s="212" t="str">
        <f aca="false">IF(A294="","",CHOOSE(F$3,A294+24,A293))</f>
        <v/>
      </c>
      <c r="AQ293" s="209" t="str">
        <f aca="false">IF(A294="","",AP293-$E$1)</f>
        <v/>
      </c>
      <c r="AR293" s="185" t="n">
        <f aca="false">IF(Summary!$H$2=1,VLOOKUP('ANR OK vs ML7'!A293,Curves!$C$17:$AR$273,MATCH('ANR OK vs ML7'!$AR$4,Curves!$C$8:$AQ$8,0)),0.1)</f>
        <v>0.1</v>
      </c>
      <c r="AS293" s="213" t="str">
        <f aca="false">IF(A294="","",1/(1+CHOOSE(F$3,(AR294+($I$3/10000))/2,(AR293+($I$3/10000))/2))^(2*AQ293/365.25))</f>
        <v/>
      </c>
      <c r="AT293" s="137" t="str">
        <f aca="false">IF(A294="","",IF(AND(mthbeg&lt;=A293,mthend&gt;=A293),1,0))</f>
        <v/>
      </c>
      <c r="AU293" s="137" t="str">
        <f aca="false">IF(A294="","",AO293*AT293)</f>
        <v/>
      </c>
      <c r="AW293" s="195" t="str">
        <f aca="false">IF($A294="","",AL293*$E293)</f>
        <v/>
      </c>
      <c r="AX293" s="195" t="str">
        <f aca="false">IF($A294="","",AM293*$E293)</f>
        <v/>
      </c>
      <c r="AY293" s="195" t="str">
        <f aca="false">IF($A294="","",AN293*$E293)</f>
        <v/>
      </c>
      <c r="BA293" s="195" t="str">
        <f aca="false">IF($A294="","",F293*Summary!$Q$7)</f>
        <v/>
      </c>
    </row>
    <row r="294" customFormat="false" ht="12" hidden="false" customHeight="true" outlineLevel="0" collapsed="false">
      <c r="A294" s="196" t="str">
        <f aca="false">IF(A293&lt;mthend,EDATE(A293,1),"")</f>
        <v/>
      </c>
      <c r="B294" s="197" t="str">
        <f aca="false">IF(A294&lt;mthend,B293,"")</f>
        <v/>
      </c>
      <c r="C294" s="215"/>
      <c r="D294" s="197" t="str">
        <f aca="false">IF(A295&lt;&gt;"",B294+C294,"")</f>
        <v/>
      </c>
      <c r="E294" s="199" t="str">
        <f aca="false">IF(A295="","",IF(AND(AT294=1,$H$3=1),D294*AO294,IF($H$3=2,D294,"N/A")))</f>
        <v/>
      </c>
      <c r="F294" s="199" t="str">
        <f aca="false">IF(A295="","",E294*AS294)</f>
        <v/>
      </c>
      <c r="G294" s="200" t="str">
        <f aca="false">IF($A295="","",VLOOKUP($A294,Table,MATCH(G$4,Curves,0)))</f>
        <v/>
      </c>
      <c r="H294" s="201" t="str">
        <f aca="false">IF(A295="","",G294)</f>
        <v/>
      </c>
      <c r="I294" s="202"/>
      <c r="J294" s="200" t="str">
        <f aca="false">IF($A295="","",VLOOKUP($A294,Table,MATCH(J$4,Curves,0)))</f>
        <v/>
      </c>
      <c r="K294" s="201" t="str">
        <f aca="false">IF(A295="","",J294)</f>
        <v/>
      </c>
      <c r="L294" s="200" t="str">
        <f aca="false">IF($A295="","",VLOOKUP($A294,Table,MATCH(L$4,Curves,0)))</f>
        <v/>
      </c>
      <c r="M294" s="201" t="str">
        <f aca="false">IF(A295="","",L294)</f>
        <v/>
      </c>
      <c r="N294" s="203"/>
      <c r="O294" s="200" t="str">
        <f aca="false">IF(A295="","",L294+J294+G294)</f>
        <v/>
      </c>
      <c r="P294" s="200" t="str">
        <f aca="false">IF(A295="","",M294+K294+H294)</f>
        <v/>
      </c>
      <c r="Q294" s="204"/>
      <c r="R294" s="200" t="str">
        <f aca="false">IF($A295="","",VLOOKUP($A294,Table,MATCH(R$4,Curves,0)))</f>
        <v/>
      </c>
      <c r="S294" s="201" t="str">
        <f aca="false">IF(A295="","",R294)</f>
        <v/>
      </c>
      <c r="T294" s="200" t="str">
        <f aca="false">IF($A295="","",VLOOKUP($A294,Table,MATCH(T$4,Curves,0)))</f>
        <v/>
      </c>
      <c r="U294" s="201" t="str">
        <f aca="false">IF(A295="","",T294)</f>
        <v/>
      </c>
      <c r="V294" s="183" t="str">
        <f aca="false">IF($A295="","",IF(AND(MONTH(A294)&gt;3,MONTH(A294)&lt;11),(T294+R294+G294)*Summary!$T$7/(1-Summary!$T$7),(T294+R294+G294)*Summary!$U$7/(1-Summary!$U$7)))</f>
        <v/>
      </c>
      <c r="W294" s="200" t="str">
        <f aca="false">IF($A295="","",(T294+R294+G294+V294))</f>
        <v/>
      </c>
      <c r="X294" s="200" t="str">
        <f aca="false">IF($A295="","",(U294+S294+H294+V294))</f>
        <v/>
      </c>
      <c r="Y294" s="202"/>
      <c r="Z294" s="185" t="str">
        <f aca="false">IF($A295="","",VLOOKUP($A294,Table,MATCH(Z$4,Curves,0)))</f>
        <v/>
      </c>
      <c r="AA294" s="185" t="str">
        <f aca="false">IF($A295="","",VLOOKUP($A294,Table,MATCH(AA$4,Curves,0)))</f>
        <v/>
      </c>
      <c r="AB294" s="185" t="e">
        <f aca="false">SQRT((AA294^2*(A294-$D$3)+Z294^2*(DAY(EOMONTH(A294,0))/2))/AK294)</f>
        <v>#VALUE!</v>
      </c>
      <c r="AC294" s="185" t="str">
        <f aca="false">IF($A295="","",VLOOKUP($A294,Table,MATCH(AC$4,Curves,0)))</f>
        <v/>
      </c>
      <c r="AD294" s="185" t="str">
        <f aca="false">IF($A295="","",VLOOKUP($A294,Table,MATCH(AD$4,Curves,0)))</f>
        <v/>
      </c>
      <c r="AE294" s="185" t="e">
        <f aca="false">SQRT((AD294^2*(A294-$D$3)+AC294^2*(DAY(EOMONTH(A294,0))/2))/AK294)</f>
        <v>#VALUE!</v>
      </c>
      <c r="AF294" s="206" t="e">
        <f aca="false">((Summary!$N$7*(AA294*AD294)*(A294-$D$3))+(Summary!$M$7*Z294*AC294*(DAY(EOMONTH(A294,0))/2)))/(AK294*AB294*AE294)</f>
        <v>#VALUE!</v>
      </c>
      <c r="AG294" s="207" t="str">
        <f aca="false">IF($A295="","",Summary!$Q$7)</f>
        <v/>
      </c>
      <c r="AH294" s="207" t="str">
        <f aca="false">IF($A295="","",IF(Summary!$R$7="Y",(VLOOKUP($A294,Summary!$AD$6:$AF$9,3)+'Escalating commodity'!C307),'Escalating commodity'!C307))</f>
        <v/>
      </c>
      <c r="AI294" s="207" t="str">
        <f aca="false">IF($A295="","",AH294)</f>
        <v/>
      </c>
      <c r="AJ294" s="208" t="e">
        <f aca="false">A294+DAY(EOMONTH(A294,0))/2-1</f>
        <v>#VALUE!</v>
      </c>
      <c r="AK294" s="209" t="str">
        <f aca="false">IF($A295="","",$A294-$E$1)</f>
        <v/>
      </c>
      <c r="AL294" s="182" t="str">
        <f aca="false">IF($A295="","",SPRDOPT(P294,X294,AI294,0,AB294,AE294,AF294,AK294,$AJ$2,0))</f>
        <v/>
      </c>
      <c r="AM294" s="210" t="str">
        <f aca="false">IF($A295="","",MAX(0,O294-W294-AI294))</f>
        <v/>
      </c>
      <c r="AN294" s="211" t="str">
        <f aca="false">IF($A295="","",AL294-AM294)</f>
        <v/>
      </c>
      <c r="AO294" s="137" t="str">
        <f aca="false">IF(A295="","",A295-A294)</f>
        <v/>
      </c>
      <c r="AP294" s="212" t="str">
        <f aca="false">IF(A295="","",CHOOSE(F$3,A295+24,A294))</f>
        <v/>
      </c>
      <c r="AQ294" s="209" t="str">
        <f aca="false">IF(A295="","",AP294-$E$1)</f>
        <v/>
      </c>
      <c r="AR294" s="185" t="n">
        <f aca="false">IF(Summary!$H$2=1,VLOOKUP('ANR OK vs ML7'!A294,Curves!$C$17:$AR$273,MATCH('ANR OK vs ML7'!$AR$4,Curves!$C$8:$AQ$8,0)),0.1)</f>
        <v>0.1</v>
      </c>
      <c r="AS294" s="213" t="str">
        <f aca="false">IF(A295="","",1/(1+CHOOSE(F$3,(AR295+($I$3/10000))/2,(AR294+($I$3/10000))/2))^(2*AQ294/365.25))</f>
        <v/>
      </c>
      <c r="AT294" s="137" t="str">
        <f aca="false">IF(A295="","",IF(AND(mthbeg&lt;=A294,mthend&gt;=A294),1,0))</f>
        <v/>
      </c>
      <c r="AU294" s="137" t="str">
        <f aca="false">IF(A295="","",AO294*AT294)</f>
        <v/>
      </c>
      <c r="AW294" s="195" t="str">
        <f aca="false">IF($A295="","",AL294*$E294)</f>
        <v/>
      </c>
      <c r="AX294" s="195" t="str">
        <f aca="false">IF($A295="","",AM294*$E294)</f>
        <v/>
      </c>
      <c r="AY294" s="195" t="str">
        <f aca="false">IF($A295="","",AN294*$E294)</f>
        <v/>
      </c>
      <c r="BA294" s="195" t="str">
        <f aca="false">IF($A295="","",F294*Summary!$Q$7)</f>
        <v/>
      </c>
    </row>
    <row r="295" customFormat="false" ht="12" hidden="false" customHeight="true" outlineLevel="0" collapsed="false">
      <c r="A295" s="196" t="str">
        <f aca="false">IF(A294&lt;mthend,EDATE(A294,1),"")</f>
        <v/>
      </c>
      <c r="B295" s="197" t="str">
        <f aca="false">IF(A295&lt;mthend,B294,"")</f>
        <v/>
      </c>
      <c r="C295" s="215"/>
      <c r="D295" s="197" t="str">
        <f aca="false">IF(A296&lt;&gt;"",B295+C295,"")</f>
        <v/>
      </c>
      <c r="E295" s="199" t="str">
        <f aca="false">IF(A296="","",IF(AND(AT295=1,$H$3=1),D295*AO295,IF($H$3=2,D295,"N/A")))</f>
        <v/>
      </c>
      <c r="F295" s="199" t="str">
        <f aca="false">IF(A296="","",E295*AS295)</f>
        <v/>
      </c>
      <c r="G295" s="200" t="str">
        <f aca="false">IF($A296="","",VLOOKUP($A295,Table,MATCH(G$4,Curves,0)))</f>
        <v/>
      </c>
      <c r="H295" s="201" t="str">
        <f aca="false">IF(A296="","",G295)</f>
        <v/>
      </c>
      <c r="I295" s="202"/>
      <c r="J295" s="200" t="str">
        <f aca="false">IF($A296="","",VLOOKUP($A295,Table,MATCH(J$4,Curves,0)))</f>
        <v/>
      </c>
      <c r="K295" s="201" t="str">
        <f aca="false">IF(A296="","",J295)</f>
        <v/>
      </c>
      <c r="L295" s="200" t="str">
        <f aca="false">IF($A296="","",VLOOKUP($A295,Table,MATCH(L$4,Curves,0)))</f>
        <v/>
      </c>
      <c r="M295" s="201" t="str">
        <f aca="false">IF(A296="","",L295)</f>
        <v/>
      </c>
      <c r="N295" s="203"/>
      <c r="O295" s="200" t="str">
        <f aca="false">IF(A296="","",L295+J295+G295)</f>
        <v/>
      </c>
      <c r="P295" s="200" t="str">
        <f aca="false">IF(A296="","",M295+K295+H295)</f>
        <v/>
      </c>
      <c r="Q295" s="204"/>
      <c r="R295" s="200" t="str">
        <f aca="false">IF($A296="","",VLOOKUP($A295,Table,MATCH(R$4,Curves,0)))</f>
        <v/>
      </c>
      <c r="S295" s="201" t="str">
        <f aca="false">IF(A296="","",R295)</f>
        <v/>
      </c>
      <c r="T295" s="200" t="str">
        <f aca="false">IF($A296="","",VLOOKUP($A295,Table,MATCH(T$4,Curves,0)))</f>
        <v/>
      </c>
      <c r="U295" s="201" t="str">
        <f aca="false">IF(A296="","",T295)</f>
        <v/>
      </c>
      <c r="V295" s="183" t="str">
        <f aca="false">IF($A296="","",IF(AND(MONTH(A295)&gt;3,MONTH(A295)&lt;11),(T295+R295+G295)*Summary!$T$7/(1-Summary!$T$7),(T295+R295+G295)*Summary!$U$7/(1-Summary!$U$7)))</f>
        <v/>
      </c>
      <c r="W295" s="200" t="str">
        <f aca="false">IF($A296="","",(T295+R295+G295+V295))</f>
        <v/>
      </c>
      <c r="X295" s="200" t="str">
        <f aca="false">IF($A296="","",(U295+S295+H295+V295))</f>
        <v/>
      </c>
      <c r="Y295" s="202"/>
      <c r="Z295" s="185" t="str">
        <f aca="false">IF($A296="","",VLOOKUP($A295,Table,MATCH(Z$4,Curves,0)))</f>
        <v/>
      </c>
      <c r="AA295" s="185" t="str">
        <f aca="false">IF($A296="","",VLOOKUP($A295,Table,MATCH(AA$4,Curves,0)))</f>
        <v/>
      </c>
      <c r="AB295" s="185" t="e">
        <f aca="false">SQRT((AA295^2*(A295-$D$3)+Z295^2*(DAY(EOMONTH(A295,0))/2))/AK295)</f>
        <v>#VALUE!</v>
      </c>
      <c r="AC295" s="185" t="str">
        <f aca="false">IF($A296="","",VLOOKUP($A295,Table,MATCH(AC$4,Curves,0)))</f>
        <v/>
      </c>
      <c r="AD295" s="185" t="str">
        <f aca="false">IF($A296="","",VLOOKUP($A295,Table,MATCH(AD$4,Curves,0)))</f>
        <v/>
      </c>
      <c r="AE295" s="185" t="e">
        <f aca="false">SQRT((AD295^2*(A295-$D$3)+AC295^2*(DAY(EOMONTH(A295,0))/2))/AK295)</f>
        <v>#VALUE!</v>
      </c>
      <c r="AF295" s="206" t="e">
        <f aca="false">((Summary!$N$7*(AA295*AD295)*(A295-$D$3))+(Summary!$M$7*Z295*AC295*(DAY(EOMONTH(A295,0))/2)))/(AK295*AB295*AE295)</f>
        <v>#VALUE!</v>
      </c>
      <c r="AG295" s="207" t="str">
        <f aca="false">IF($A296="","",Summary!$Q$7)</f>
        <v/>
      </c>
      <c r="AH295" s="207" t="str">
        <f aca="false">IF($A296="","",IF(Summary!$R$7="Y",(VLOOKUP($A295,Summary!$AD$6:$AF$9,3)+'Escalating commodity'!C308),'Escalating commodity'!C308))</f>
        <v/>
      </c>
      <c r="AI295" s="207" t="str">
        <f aca="false">IF($A296="","",AH295)</f>
        <v/>
      </c>
      <c r="AJ295" s="208" t="e">
        <f aca="false">A295+DAY(EOMONTH(A295,0))/2-1</f>
        <v>#VALUE!</v>
      </c>
      <c r="AK295" s="209" t="str">
        <f aca="false">IF($A296="","",$A295-$E$1)</f>
        <v/>
      </c>
      <c r="AL295" s="182" t="str">
        <f aca="false">IF($A296="","",SPRDOPT(P295,X295,AI295,0,AB295,AE295,AF295,AK295,$AJ$2,0))</f>
        <v/>
      </c>
      <c r="AM295" s="210" t="str">
        <f aca="false">IF($A296="","",MAX(0,O295-W295-AI295))</f>
        <v/>
      </c>
      <c r="AN295" s="211" t="str">
        <f aca="false">IF($A296="","",AL295-AM295)</f>
        <v/>
      </c>
      <c r="AO295" s="137" t="str">
        <f aca="false">IF(A296="","",A296-A295)</f>
        <v/>
      </c>
      <c r="AP295" s="212" t="str">
        <f aca="false">IF(A296="","",CHOOSE(F$3,A296+24,A295))</f>
        <v/>
      </c>
      <c r="AQ295" s="209" t="str">
        <f aca="false">IF(A296="","",AP295-$E$1)</f>
        <v/>
      </c>
      <c r="AR295" s="185" t="n">
        <f aca="false">IF(Summary!$H$2=1,VLOOKUP('ANR OK vs ML7'!A295,Curves!$C$17:$AR$273,MATCH('ANR OK vs ML7'!$AR$4,Curves!$C$8:$AQ$8,0)),0.1)</f>
        <v>0.1</v>
      </c>
      <c r="AS295" s="213" t="str">
        <f aca="false">IF(A296="","",1/(1+CHOOSE(F$3,(AR296+($I$3/10000))/2,(AR295+($I$3/10000))/2))^(2*AQ295/365.25))</f>
        <v/>
      </c>
      <c r="AT295" s="137" t="str">
        <f aca="false">IF(A296="","",IF(AND(mthbeg&lt;=A295,mthend&gt;=A295),1,0))</f>
        <v/>
      </c>
      <c r="AU295" s="137" t="str">
        <f aca="false">IF(A296="","",AO295*AT295)</f>
        <v/>
      </c>
      <c r="AW295" s="195" t="str">
        <f aca="false">IF($A296="","",AL295*$E295)</f>
        <v/>
      </c>
      <c r="AX295" s="195" t="str">
        <f aca="false">IF($A296="","",AM295*$E295)</f>
        <v/>
      </c>
      <c r="AY295" s="195" t="str">
        <f aca="false">IF($A296="","",AN295*$E295)</f>
        <v/>
      </c>
      <c r="BA295" s="195" t="str">
        <f aca="false">IF($A296="","",F295*Summary!$Q$7)</f>
        <v/>
      </c>
    </row>
    <row r="296" customFormat="false" ht="12" hidden="false" customHeight="true" outlineLevel="0" collapsed="false">
      <c r="A296" s="196" t="str">
        <f aca="false">IF(A295&lt;mthend,EDATE(A295,1),"")</f>
        <v/>
      </c>
      <c r="B296" s="197" t="str">
        <f aca="false">IF(A296&lt;mthend,B295,"")</f>
        <v/>
      </c>
      <c r="C296" s="215"/>
      <c r="D296" s="197" t="str">
        <f aca="false">IF(A297&lt;&gt;"",B296+C296,"")</f>
        <v/>
      </c>
      <c r="E296" s="199" t="str">
        <f aca="false">IF(A297="","",IF(AND(AT296=1,$H$3=1),D296*AO296,IF($H$3=2,D296,"N/A")))</f>
        <v/>
      </c>
      <c r="F296" s="199" t="str">
        <f aca="false">IF(A297="","",E296*AS296)</f>
        <v/>
      </c>
      <c r="G296" s="200" t="str">
        <f aca="false">IF($A297="","",VLOOKUP($A296,Table,MATCH(G$4,Curves,0)))</f>
        <v/>
      </c>
      <c r="H296" s="201" t="str">
        <f aca="false">IF(A297="","",G296)</f>
        <v/>
      </c>
      <c r="I296" s="202"/>
      <c r="J296" s="200" t="str">
        <f aca="false">IF($A297="","",VLOOKUP($A296,Table,MATCH(J$4,Curves,0)))</f>
        <v/>
      </c>
      <c r="K296" s="201" t="str">
        <f aca="false">IF(A297="","",J296)</f>
        <v/>
      </c>
      <c r="L296" s="200" t="str">
        <f aca="false">IF($A297="","",VLOOKUP($A296,Table,MATCH(L$4,Curves,0)))</f>
        <v/>
      </c>
      <c r="M296" s="201" t="str">
        <f aca="false">IF(A297="","",L296)</f>
        <v/>
      </c>
      <c r="N296" s="203"/>
      <c r="O296" s="200" t="str">
        <f aca="false">IF(A297="","",L296+J296+G296)</f>
        <v/>
      </c>
      <c r="P296" s="200" t="str">
        <f aca="false">IF(A297="","",M296+K296+H296)</f>
        <v/>
      </c>
      <c r="Q296" s="204"/>
      <c r="R296" s="200" t="str">
        <f aca="false">IF($A297="","",VLOOKUP($A296,Table,MATCH(R$4,Curves,0)))</f>
        <v/>
      </c>
      <c r="S296" s="201" t="str">
        <f aca="false">IF(A297="","",R296)</f>
        <v/>
      </c>
      <c r="T296" s="200" t="str">
        <f aca="false">IF($A297="","",VLOOKUP($A296,Table,MATCH(T$4,Curves,0)))</f>
        <v/>
      </c>
      <c r="U296" s="201" t="str">
        <f aca="false">IF(A297="","",T296)</f>
        <v/>
      </c>
      <c r="V296" s="183" t="str">
        <f aca="false">IF($A297="","",IF(AND(MONTH(A296)&gt;3,MONTH(A296)&lt;11),(T296+R296+G296)*Summary!$T$7/(1-Summary!$T$7),(T296+R296+G296)*Summary!$U$7/(1-Summary!$U$7)))</f>
        <v/>
      </c>
      <c r="W296" s="200" t="str">
        <f aca="false">IF($A297="","",(T296+R296+G296+V296))</f>
        <v/>
      </c>
      <c r="X296" s="200" t="str">
        <f aca="false">IF($A297="","",(U296+S296+H296+V296))</f>
        <v/>
      </c>
      <c r="Y296" s="202"/>
      <c r="Z296" s="185" t="str">
        <f aca="false">IF($A297="","",VLOOKUP($A296,Table,MATCH(Z$4,Curves,0)))</f>
        <v/>
      </c>
      <c r="AA296" s="185" t="str">
        <f aca="false">IF($A297="","",VLOOKUP($A296,Table,MATCH(AA$4,Curves,0)))</f>
        <v/>
      </c>
      <c r="AB296" s="185" t="e">
        <f aca="false">SQRT((AA296^2*(A296-$D$3)+Z296^2*(DAY(EOMONTH(A296,0))/2))/AK296)</f>
        <v>#VALUE!</v>
      </c>
      <c r="AC296" s="185" t="str">
        <f aca="false">IF($A297="","",VLOOKUP($A296,Table,MATCH(AC$4,Curves,0)))</f>
        <v/>
      </c>
      <c r="AD296" s="185" t="str">
        <f aca="false">IF($A297="","",VLOOKUP($A296,Table,MATCH(AD$4,Curves,0)))</f>
        <v/>
      </c>
      <c r="AE296" s="185" t="e">
        <f aca="false">SQRT((AD296^2*(A296-$D$3)+AC296^2*(DAY(EOMONTH(A296,0))/2))/AK296)</f>
        <v>#VALUE!</v>
      </c>
      <c r="AF296" s="206" t="e">
        <f aca="false">((Summary!$N$7*(AA296*AD296)*(A296-$D$3))+(Summary!$M$7*Z296*AC296*(DAY(EOMONTH(A296,0))/2)))/(AK296*AB296*AE296)</f>
        <v>#VALUE!</v>
      </c>
      <c r="AG296" s="207" t="str">
        <f aca="false">IF($A297="","",Summary!$Q$7)</f>
        <v/>
      </c>
      <c r="AH296" s="207" t="str">
        <f aca="false">IF($A297="","",IF(Summary!$R$7="Y",(VLOOKUP($A296,Summary!$AD$6:$AF$9,3)+'Escalating commodity'!C309),'Escalating commodity'!C309))</f>
        <v/>
      </c>
      <c r="AI296" s="207" t="str">
        <f aca="false">IF($A297="","",AH296)</f>
        <v/>
      </c>
      <c r="AJ296" s="208" t="e">
        <f aca="false">A296+DAY(EOMONTH(A296,0))/2-1</f>
        <v>#VALUE!</v>
      </c>
      <c r="AK296" s="209" t="str">
        <f aca="false">IF($A297="","",$A296-$E$1)</f>
        <v/>
      </c>
      <c r="AL296" s="182" t="str">
        <f aca="false">IF($A297="","",SPRDOPT(P296,X296,AI296,0,AB296,AE296,AF296,AK296,$AJ$2,0))</f>
        <v/>
      </c>
      <c r="AM296" s="210" t="str">
        <f aca="false">IF($A297="","",MAX(0,O296-W296-AI296))</f>
        <v/>
      </c>
      <c r="AN296" s="211" t="str">
        <f aca="false">IF($A297="","",AL296-AM296)</f>
        <v/>
      </c>
      <c r="AO296" s="137" t="str">
        <f aca="false">IF(A297="","",A297-A296)</f>
        <v/>
      </c>
      <c r="AP296" s="212" t="str">
        <f aca="false">IF(A297="","",CHOOSE(F$3,A297+24,A296))</f>
        <v/>
      </c>
      <c r="AQ296" s="209" t="str">
        <f aca="false">IF(A297="","",AP296-$E$1)</f>
        <v/>
      </c>
      <c r="AR296" s="185" t="n">
        <f aca="false">IF(Summary!$H$2=1,VLOOKUP('ANR OK vs ML7'!A296,Curves!$C$17:$AR$273,MATCH('ANR OK vs ML7'!$AR$4,Curves!$C$8:$AQ$8,0)),0.1)</f>
        <v>0.1</v>
      </c>
      <c r="AS296" s="213" t="str">
        <f aca="false">IF(A297="","",1/(1+CHOOSE(F$3,(AR297+($I$3/10000))/2,(AR296+($I$3/10000))/2))^(2*AQ296/365.25))</f>
        <v/>
      </c>
      <c r="AT296" s="137" t="str">
        <f aca="false">IF(A297="","",IF(AND(mthbeg&lt;=A296,mthend&gt;=A296),1,0))</f>
        <v/>
      </c>
      <c r="AU296" s="137" t="str">
        <f aca="false">IF(A297="","",AO296*AT296)</f>
        <v/>
      </c>
      <c r="AW296" s="195" t="str">
        <f aca="false">IF($A297="","",AL296*$E296)</f>
        <v/>
      </c>
      <c r="AX296" s="195" t="str">
        <f aca="false">IF($A297="","",AM296*$E296)</f>
        <v/>
      </c>
      <c r="AY296" s="195" t="str">
        <f aca="false">IF($A297="","",AN296*$E296)</f>
        <v/>
      </c>
      <c r="BA296" s="195" t="str">
        <f aca="false">IF($A297="","",F296*Summary!$Q$7)</f>
        <v/>
      </c>
    </row>
    <row r="297" customFormat="false" ht="12" hidden="false" customHeight="true" outlineLevel="0" collapsed="false">
      <c r="A297" s="196" t="str">
        <f aca="false">IF(A296&lt;mthend,EDATE(A296,1),"")</f>
        <v/>
      </c>
      <c r="B297" s="197" t="str">
        <f aca="false">IF(A297&lt;mthend,B296,"")</f>
        <v/>
      </c>
      <c r="C297" s="215"/>
      <c r="D297" s="197" t="str">
        <f aca="false">IF(A298&lt;&gt;"",B297+C297,"")</f>
        <v/>
      </c>
      <c r="E297" s="199" t="str">
        <f aca="false">IF(A298="","",IF(AND(AT297=1,$H$3=1),D297*AO297,IF($H$3=2,D297,"N/A")))</f>
        <v/>
      </c>
      <c r="F297" s="199" t="str">
        <f aca="false">IF(A298="","",E297*AS297)</f>
        <v/>
      </c>
      <c r="G297" s="200" t="str">
        <f aca="false">IF($A298="","",VLOOKUP($A297,Table,MATCH(G$4,Curves,0)))</f>
        <v/>
      </c>
      <c r="H297" s="201" t="str">
        <f aca="false">IF(A298="","",G297)</f>
        <v/>
      </c>
      <c r="I297" s="202"/>
      <c r="J297" s="200" t="str">
        <f aca="false">IF($A298="","",VLOOKUP($A297,Table,MATCH(J$4,Curves,0)))</f>
        <v/>
      </c>
      <c r="K297" s="201" t="str">
        <f aca="false">IF(A298="","",J297)</f>
        <v/>
      </c>
      <c r="L297" s="200" t="str">
        <f aca="false">IF($A298="","",VLOOKUP($A297,Table,MATCH(L$4,Curves,0)))</f>
        <v/>
      </c>
      <c r="M297" s="201" t="str">
        <f aca="false">IF(A298="","",L297)</f>
        <v/>
      </c>
      <c r="N297" s="203"/>
      <c r="O297" s="200" t="str">
        <f aca="false">IF(A298="","",L297+J297+G297)</f>
        <v/>
      </c>
      <c r="P297" s="200" t="str">
        <f aca="false">IF(A298="","",M297+K297+H297)</f>
        <v/>
      </c>
      <c r="Q297" s="204"/>
      <c r="R297" s="200" t="str">
        <f aca="false">IF($A298="","",VLOOKUP($A297,Table,MATCH(R$4,Curves,0)))</f>
        <v/>
      </c>
      <c r="S297" s="201" t="str">
        <f aca="false">IF(A298="","",R297)</f>
        <v/>
      </c>
      <c r="T297" s="200" t="str">
        <f aca="false">IF($A298="","",VLOOKUP($A297,Table,MATCH(T$4,Curves,0)))</f>
        <v/>
      </c>
      <c r="U297" s="201" t="str">
        <f aca="false">IF(A298="","",T297)</f>
        <v/>
      </c>
      <c r="V297" s="183" t="str">
        <f aca="false">IF($A298="","",IF(AND(MONTH(A297)&gt;3,MONTH(A297)&lt;11),(T297+R297+G297)*Summary!$T$7/(1-Summary!$T$7),(T297+R297+G297)*Summary!$U$7/(1-Summary!$U$7)))</f>
        <v/>
      </c>
      <c r="W297" s="200" t="str">
        <f aca="false">IF($A298="","",(T297+R297+G297+V297))</f>
        <v/>
      </c>
      <c r="X297" s="200" t="str">
        <f aca="false">IF($A298="","",(U297+S297+H297+V297))</f>
        <v/>
      </c>
      <c r="Y297" s="202"/>
      <c r="Z297" s="185" t="str">
        <f aca="false">IF($A298="","",VLOOKUP($A297,Table,MATCH(Z$4,Curves,0)))</f>
        <v/>
      </c>
      <c r="AA297" s="185" t="str">
        <f aca="false">IF($A298="","",VLOOKUP($A297,Table,MATCH(AA$4,Curves,0)))</f>
        <v/>
      </c>
      <c r="AB297" s="185" t="e">
        <f aca="false">SQRT((AA297^2*(A297-$D$3)+Z297^2*(DAY(EOMONTH(A297,0))/2))/AK297)</f>
        <v>#VALUE!</v>
      </c>
      <c r="AC297" s="185" t="str">
        <f aca="false">IF($A298="","",VLOOKUP($A297,Table,MATCH(AC$4,Curves,0)))</f>
        <v/>
      </c>
      <c r="AD297" s="185" t="str">
        <f aca="false">IF($A298="","",VLOOKUP($A297,Table,MATCH(AD$4,Curves,0)))</f>
        <v/>
      </c>
      <c r="AE297" s="185" t="e">
        <f aca="false">SQRT((AD297^2*(A297-$D$3)+AC297^2*(DAY(EOMONTH(A297,0))/2))/AK297)</f>
        <v>#VALUE!</v>
      </c>
      <c r="AF297" s="206" t="e">
        <f aca="false">((Summary!$N$7*(AA297*AD297)*(A297-$D$3))+(Summary!$M$7*Z297*AC297*(DAY(EOMONTH(A297,0))/2)))/(AK297*AB297*AE297)</f>
        <v>#VALUE!</v>
      </c>
      <c r="AG297" s="207" t="str">
        <f aca="false">IF($A298="","",Summary!$Q$7)</f>
        <v/>
      </c>
      <c r="AH297" s="207" t="str">
        <f aca="false">IF($A298="","",IF(Summary!$R$7="Y",(VLOOKUP($A297,Summary!$AD$6:$AF$9,3)+'Escalating commodity'!C310),'Escalating commodity'!C310))</f>
        <v/>
      </c>
      <c r="AI297" s="207" t="str">
        <f aca="false">IF($A298="","",AH297)</f>
        <v/>
      </c>
      <c r="AJ297" s="208" t="e">
        <f aca="false">A297+DAY(EOMONTH(A297,0))/2-1</f>
        <v>#VALUE!</v>
      </c>
      <c r="AK297" s="209" t="str">
        <f aca="false">IF($A298="","",$A297-$E$1)</f>
        <v/>
      </c>
      <c r="AL297" s="182" t="str">
        <f aca="false">IF($A298="","",SPRDOPT(P297,X297,AI297,0,AB297,AE297,AF297,AK297,$AJ$2,0))</f>
        <v/>
      </c>
      <c r="AM297" s="210" t="str">
        <f aca="false">IF($A298="","",MAX(0,O297-W297-AI297))</f>
        <v/>
      </c>
      <c r="AN297" s="211" t="str">
        <f aca="false">IF($A298="","",AL297-AM297)</f>
        <v/>
      </c>
      <c r="AO297" s="137" t="str">
        <f aca="false">IF(A298="","",A298-A297)</f>
        <v/>
      </c>
      <c r="AP297" s="212" t="str">
        <f aca="false">IF(A298="","",CHOOSE(F$3,A298+24,A297))</f>
        <v/>
      </c>
      <c r="AQ297" s="209" t="str">
        <f aca="false">IF(A298="","",AP297-$E$1)</f>
        <v/>
      </c>
      <c r="AR297" s="185" t="n">
        <f aca="false">IF(Summary!$H$2=1,VLOOKUP('ANR OK vs ML7'!A297,Curves!$C$17:$AR$273,MATCH('ANR OK vs ML7'!$AR$4,Curves!$C$8:$AQ$8,0)),0.1)</f>
        <v>0.1</v>
      </c>
      <c r="AS297" s="213" t="str">
        <f aca="false">IF(A298="","",1/(1+CHOOSE(F$3,(AR298+($I$3/10000))/2,(AR297+($I$3/10000))/2))^(2*AQ297/365.25))</f>
        <v/>
      </c>
      <c r="AT297" s="137" t="str">
        <f aca="false">IF(A298="","",IF(AND(mthbeg&lt;=A297,mthend&gt;=A297),1,0))</f>
        <v/>
      </c>
      <c r="AU297" s="137" t="str">
        <f aca="false">IF(A298="","",AO297*AT297)</f>
        <v/>
      </c>
      <c r="AW297" s="195" t="str">
        <f aca="false">IF($A298="","",AL297*$E297)</f>
        <v/>
      </c>
      <c r="AX297" s="195" t="str">
        <f aca="false">IF($A298="","",AM297*$E297)</f>
        <v/>
      </c>
      <c r="AY297" s="195" t="str">
        <f aca="false">IF($A298="","",AN297*$E297)</f>
        <v/>
      </c>
      <c r="BA297" s="195" t="str">
        <f aca="false">IF($A298="","",F297*Summary!$Q$7)</f>
        <v/>
      </c>
    </row>
    <row r="298" customFormat="false" ht="12" hidden="false" customHeight="true" outlineLevel="0" collapsed="false">
      <c r="A298" s="196" t="str">
        <f aca="false">IF(A297&lt;mthend,EDATE(A297,1),"")</f>
        <v/>
      </c>
      <c r="B298" s="197" t="str">
        <f aca="false">IF(A298&lt;mthend,B297,"")</f>
        <v/>
      </c>
      <c r="C298" s="215"/>
      <c r="D298" s="197" t="str">
        <f aca="false">IF(A299&lt;&gt;"",B298+C298,"")</f>
        <v/>
      </c>
      <c r="E298" s="199" t="str">
        <f aca="false">IF(A299="","",IF(AND(AT298=1,$H$3=1),D298*AO298,IF($H$3=2,D298,"N/A")))</f>
        <v/>
      </c>
      <c r="F298" s="199" t="str">
        <f aca="false">IF(A299="","",E298*AS298)</f>
        <v/>
      </c>
      <c r="G298" s="200" t="str">
        <f aca="false">IF($A299="","",VLOOKUP($A298,Table,MATCH(G$4,Curves,0)))</f>
        <v/>
      </c>
      <c r="H298" s="201" t="str">
        <f aca="false">IF(A299="","",G298)</f>
        <v/>
      </c>
      <c r="I298" s="202"/>
      <c r="J298" s="200" t="str">
        <f aca="false">IF($A299="","",VLOOKUP($A298,Table,MATCH(J$4,Curves,0)))</f>
        <v/>
      </c>
      <c r="K298" s="201" t="str">
        <f aca="false">IF(A299="","",J298)</f>
        <v/>
      </c>
      <c r="L298" s="200" t="str">
        <f aca="false">IF($A299="","",VLOOKUP($A298,Table,MATCH(L$4,Curves,0)))</f>
        <v/>
      </c>
      <c r="M298" s="201" t="str">
        <f aca="false">IF(A299="","",L298)</f>
        <v/>
      </c>
      <c r="N298" s="203"/>
      <c r="O298" s="200" t="str">
        <f aca="false">IF(A299="","",L298+J298+G298)</f>
        <v/>
      </c>
      <c r="P298" s="200" t="str">
        <f aca="false">IF(A299="","",M298+K298+H298)</f>
        <v/>
      </c>
      <c r="Q298" s="204"/>
      <c r="R298" s="200" t="str">
        <f aca="false">IF($A299="","",VLOOKUP($A298,Table,MATCH(R$4,Curves,0)))</f>
        <v/>
      </c>
      <c r="S298" s="201" t="str">
        <f aca="false">IF(A299="","",R298)</f>
        <v/>
      </c>
      <c r="T298" s="200" t="str">
        <f aca="false">IF($A299="","",VLOOKUP($A298,Table,MATCH(T$4,Curves,0)))</f>
        <v/>
      </c>
      <c r="U298" s="201" t="str">
        <f aca="false">IF(A299="","",T298)</f>
        <v/>
      </c>
      <c r="V298" s="183" t="str">
        <f aca="false">IF($A299="","",IF(AND(MONTH(A298)&gt;3,MONTH(A298)&lt;11),(T298+R298+G298)*Summary!$T$7/(1-Summary!$T$7),(T298+R298+G298)*Summary!$U$7/(1-Summary!$U$7)))</f>
        <v/>
      </c>
      <c r="W298" s="200" t="str">
        <f aca="false">IF($A299="","",(T298+R298+G298+V298))</f>
        <v/>
      </c>
      <c r="X298" s="200" t="str">
        <f aca="false">IF($A299="","",(U298+S298+H298+V298))</f>
        <v/>
      </c>
      <c r="Y298" s="202"/>
      <c r="Z298" s="185" t="str">
        <f aca="false">IF($A299="","",VLOOKUP($A298,Table,MATCH(Z$4,Curves,0)))</f>
        <v/>
      </c>
      <c r="AA298" s="185" t="str">
        <f aca="false">IF($A299="","",VLOOKUP($A298,Table,MATCH(AA$4,Curves,0)))</f>
        <v/>
      </c>
      <c r="AB298" s="185" t="e">
        <f aca="false">SQRT((AA298^2*(A298-$D$3)+Z298^2*(DAY(EOMONTH(A298,0))/2))/AK298)</f>
        <v>#VALUE!</v>
      </c>
      <c r="AC298" s="185" t="str">
        <f aca="false">IF($A299="","",VLOOKUP($A298,Table,MATCH(AC$4,Curves,0)))</f>
        <v/>
      </c>
      <c r="AD298" s="185" t="str">
        <f aca="false">IF($A299="","",VLOOKUP($A298,Table,MATCH(AD$4,Curves,0)))</f>
        <v/>
      </c>
      <c r="AE298" s="185" t="e">
        <f aca="false">SQRT((AD298^2*(A298-$D$3)+AC298^2*(DAY(EOMONTH(A298,0))/2))/AK298)</f>
        <v>#VALUE!</v>
      </c>
      <c r="AF298" s="206" t="e">
        <f aca="false">((Summary!$N$7*(AA298*AD298)*(A298-$D$3))+(Summary!$M$7*Z298*AC298*(DAY(EOMONTH(A298,0))/2)))/(AK298*AB298*AE298)</f>
        <v>#VALUE!</v>
      </c>
      <c r="AG298" s="207" t="str">
        <f aca="false">IF($A299="","",Summary!$Q$7)</f>
        <v/>
      </c>
      <c r="AH298" s="207" t="str">
        <f aca="false">IF($A299="","",IF(Summary!$R$7="Y",(VLOOKUP($A298,Summary!$AD$6:$AF$9,3)+'Escalating commodity'!C311),'Escalating commodity'!C311))</f>
        <v/>
      </c>
      <c r="AI298" s="207" t="str">
        <f aca="false">IF($A299="","",AH298)</f>
        <v/>
      </c>
      <c r="AJ298" s="208" t="e">
        <f aca="false">A298+DAY(EOMONTH(A298,0))/2-1</f>
        <v>#VALUE!</v>
      </c>
      <c r="AK298" s="209" t="str">
        <f aca="false">IF($A299="","",$A298-$E$1)</f>
        <v/>
      </c>
      <c r="AL298" s="182" t="str">
        <f aca="false">IF($A299="","",SPRDOPT(P298,X298,AI298,0,AB298,AE298,AF298,AK298,$AJ$2,0))</f>
        <v/>
      </c>
      <c r="AM298" s="210" t="str">
        <f aca="false">IF($A299="","",MAX(0,O298-W298-AI298))</f>
        <v/>
      </c>
      <c r="AN298" s="211" t="str">
        <f aca="false">IF($A299="","",AL298-AM298)</f>
        <v/>
      </c>
      <c r="AO298" s="137" t="str">
        <f aca="false">IF(A299="","",A299-A298)</f>
        <v/>
      </c>
      <c r="AP298" s="212" t="str">
        <f aca="false">IF(A299="","",CHOOSE(F$3,A299+24,A298))</f>
        <v/>
      </c>
      <c r="AQ298" s="209" t="str">
        <f aca="false">IF(A299="","",AP298-$E$1)</f>
        <v/>
      </c>
      <c r="AR298" s="185" t="n">
        <f aca="false">IF(Summary!$H$2=1,VLOOKUP('ANR OK vs ML7'!A298,Curves!$C$17:$AR$273,MATCH('ANR OK vs ML7'!$AR$4,Curves!$C$8:$AQ$8,0)),0.1)</f>
        <v>0.1</v>
      </c>
      <c r="AS298" s="213" t="str">
        <f aca="false">IF(A299="","",1/(1+CHOOSE(F$3,(AR299+($I$3/10000))/2,(AR298+($I$3/10000))/2))^(2*AQ298/365.25))</f>
        <v/>
      </c>
      <c r="AT298" s="137" t="str">
        <f aca="false">IF(A299="","",IF(AND(mthbeg&lt;=A298,mthend&gt;=A298),1,0))</f>
        <v/>
      </c>
      <c r="AU298" s="137" t="str">
        <f aca="false">IF(A299="","",AO298*AT298)</f>
        <v/>
      </c>
      <c r="AW298" s="195" t="str">
        <f aca="false">IF($A299="","",AL298*$E298)</f>
        <v/>
      </c>
      <c r="AX298" s="195" t="str">
        <f aca="false">IF($A299="","",AM298*$E298)</f>
        <v/>
      </c>
      <c r="AY298" s="195" t="str">
        <f aca="false">IF($A299="","",AN298*$E298)</f>
        <v/>
      </c>
      <c r="BA298" s="195" t="str">
        <f aca="false">IF($A299="","",F298*Summary!$Q$7)</f>
        <v/>
      </c>
    </row>
    <row r="299" customFormat="false" ht="12" hidden="false" customHeight="true" outlineLevel="0" collapsed="false">
      <c r="A299" s="196" t="str">
        <f aca="false">IF(A298&lt;mthend,EDATE(A298,1),"")</f>
        <v/>
      </c>
      <c r="B299" s="197" t="str">
        <f aca="false">IF(A299&lt;mthend,B298,"")</f>
        <v/>
      </c>
      <c r="C299" s="215"/>
      <c r="D299" s="197" t="str">
        <f aca="false">IF(A300&lt;&gt;"",B299+C299,"")</f>
        <v/>
      </c>
      <c r="E299" s="199" t="str">
        <f aca="false">IF(A300="","",IF(AND(AT299=1,$H$3=1),D299*AO299,IF($H$3=2,D299,"N/A")))</f>
        <v/>
      </c>
      <c r="F299" s="199" t="str">
        <f aca="false">IF(A300="","",E299*AS299)</f>
        <v/>
      </c>
      <c r="G299" s="200" t="str">
        <f aca="false">IF($A300="","",VLOOKUP($A299,Table,MATCH(G$4,Curves,0)))</f>
        <v/>
      </c>
      <c r="H299" s="201" t="str">
        <f aca="false">IF(A300="","",G299)</f>
        <v/>
      </c>
      <c r="I299" s="202"/>
      <c r="J299" s="200" t="str">
        <f aca="false">IF($A300="","",VLOOKUP($A299,Table,MATCH(J$4,Curves,0)))</f>
        <v/>
      </c>
      <c r="K299" s="201" t="str">
        <f aca="false">IF(A300="","",J299)</f>
        <v/>
      </c>
      <c r="L299" s="200" t="str">
        <f aca="false">IF($A300="","",VLOOKUP($A299,Table,MATCH(L$4,Curves,0)))</f>
        <v/>
      </c>
      <c r="M299" s="201" t="str">
        <f aca="false">IF(A300="","",L299)</f>
        <v/>
      </c>
      <c r="N299" s="203"/>
      <c r="O299" s="200" t="str">
        <f aca="false">IF(A300="","",L299+J299+G299)</f>
        <v/>
      </c>
      <c r="P299" s="200" t="str">
        <f aca="false">IF(A300="","",M299+K299+H299)</f>
        <v/>
      </c>
      <c r="Q299" s="204"/>
      <c r="R299" s="200" t="str">
        <f aca="false">IF($A300="","",VLOOKUP($A299,Table,MATCH(R$4,Curves,0)))</f>
        <v/>
      </c>
      <c r="S299" s="201" t="str">
        <f aca="false">IF(A300="","",R299)</f>
        <v/>
      </c>
      <c r="T299" s="200" t="str">
        <f aca="false">IF($A300="","",VLOOKUP($A299,Table,MATCH(T$4,Curves,0)))</f>
        <v/>
      </c>
      <c r="U299" s="201" t="str">
        <f aca="false">IF(A300="","",T299)</f>
        <v/>
      </c>
      <c r="V299" s="183" t="str">
        <f aca="false">IF($A300="","",IF(AND(MONTH(A299)&gt;3,MONTH(A299)&lt;11),(T299+R299+G299)*Summary!$T$7/(1-Summary!$T$7),(T299+R299+G299)*Summary!$U$7/(1-Summary!$U$7)))</f>
        <v/>
      </c>
      <c r="W299" s="200" t="str">
        <f aca="false">IF($A300="","",(T299+R299+G299+V299))</f>
        <v/>
      </c>
      <c r="X299" s="200" t="str">
        <f aca="false">IF($A300="","",(U299+S299+H299+V299))</f>
        <v/>
      </c>
      <c r="Y299" s="202"/>
      <c r="Z299" s="185" t="str">
        <f aca="false">IF($A300="","",VLOOKUP($A299,Table,MATCH(Z$4,Curves,0)))</f>
        <v/>
      </c>
      <c r="AA299" s="185" t="str">
        <f aca="false">IF($A300="","",VLOOKUP($A299,Table,MATCH(AA$4,Curves,0)))</f>
        <v/>
      </c>
      <c r="AB299" s="185" t="e">
        <f aca="false">SQRT((AA299^2*(A299-$D$3)+Z299^2*(DAY(EOMONTH(A299,0))/2))/AK299)</f>
        <v>#VALUE!</v>
      </c>
      <c r="AC299" s="185" t="str">
        <f aca="false">IF($A300="","",VLOOKUP($A299,Table,MATCH(AC$4,Curves,0)))</f>
        <v/>
      </c>
      <c r="AD299" s="185" t="str">
        <f aca="false">IF($A300="","",VLOOKUP($A299,Table,MATCH(AD$4,Curves,0)))</f>
        <v/>
      </c>
      <c r="AE299" s="185" t="e">
        <f aca="false">SQRT((AD299^2*(A299-$D$3)+AC299^2*(DAY(EOMONTH(A299,0))/2))/AK299)</f>
        <v>#VALUE!</v>
      </c>
      <c r="AF299" s="206" t="e">
        <f aca="false">((Summary!$N$7*(AA299*AD299)*(A299-$D$3))+(Summary!$M$7*Z299*AC299*(DAY(EOMONTH(A299,0))/2)))/(AK299*AB299*AE299)</f>
        <v>#VALUE!</v>
      </c>
      <c r="AG299" s="207" t="str">
        <f aca="false">IF($A300="","",Summary!$Q$7)</f>
        <v/>
      </c>
      <c r="AH299" s="207" t="str">
        <f aca="false">IF($A300="","",IF(Summary!$R$7="Y",(VLOOKUP($A299,Summary!$AD$6:$AF$9,3)+'Escalating commodity'!C312),'Escalating commodity'!C312))</f>
        <v/>
      </c>
      <c r="AI299" s="207" t="str">
        <f aca="false">IF($A300="","",AH299)</f>
        <v/>
      </c>
      <c r="AJ299" s="208" t="e">
        <f aca="false">A299+DAY(EOMONTH(A299,0))/2-1</f>
        <v>#VALUE!</v>
      </c>
      <c r="AK299" s="209" t="str">
        <f aca="false">IF($A300="","",$A299-$E$1)</f>
        <v/>
      </c>
      <c r="AL299" s="182" t="str">
        <f aca="false">IF($A300="","",SPRDOPT(P299,X299,AI299,0,AB299,AE299,AF299,AK299,$AJ$2,0))</f>
        <v/>
      </c>
      <c r="AM299" s="210" t="str">
        <f aca="false">IF($A300="","",MAX(0,O299-W299-AI299))</f>
        <v/>
      </c>
      <c r="AN299" s="211" t="str">
        <f aca="false">IF($A300="","",AL299-AM299)</f>
        <v/>
      </c>
      <c r="AO299" s="137" t="str">
        <f aca="false">IF(A300="","",A300-A299)</f>
        <v/>
      </c>
      <c r="AP299" s="212" t="str">
        <f aca="false">IF(A300="","",CHOOSE(F$3,A300+24,A299))</f>
        <v/>
      </c>
      <c r="AQ299" s="209" t="str">
        <f aca="false">IF(A300="","",AP299-$E$1)</f>
        <v/>
      </c>
      <c r="AR299" s="185" t="n">
        <f aca="false">IF(Summary!$H$2=1,VLOOKUP('ANR OK vs ML7'!A299,Curves!$C$17:$AR$273,MATCH('ANR OK vs ML7'!$AR$4,Curves!$C$8:$AQ$8,0)),0.1)</f>
        <v>0.1</v>
      </c>
      <c r="AS299" s="213" t="str">
        <f aca="false">IF(A300="","",1/(1+CHOOSE(F$3,(AR300+($I$3/10000))/2,(AR299+($I$3/10000))/2))^(2*AQ299/365.25))</f>
        <v/>
      </c>
      <c r="AT299" s="137" t="str">
        <f aca="false">IF(A300="","",IF(AND(mthbeg&lt;=A299,mthend&gt;=A299),1,0))</f>
        <v/>
      </c>
      <c r="AU299" s="137" t="str">
        <f aca="false">IF(A300="","",AO299*AT299)</f>
        <v/>
      </c>
      <c r="AW299" s="195" t="str">
        <f aca="false">IF($A300="","",AL299*$E299)</f>
        <v/>
      </c>
      <c r="AX299" s="195" t="str">
        <f aca="false">IF($A300="","",AM299*$E299)</f>
        <v/>
      </c>
      <c r="AY299" s="195" t="str">
        <f aca="false">IF($A300="","",AN299*$E299)</f>
        <v/>
      </c>
      <c r="BA299" s="195" t="str">
        <f aca="false">IF($A300="","",F299*Summary!$Q$7)</f>
        <v/>
      </c>
    </row>
    <row r="300" customFormat="false" ht="12" hidden="false" customHeight="true" outlineLevel="0" collapsed="false">
      <c r="A300" s="196" t="str">
        <f aca="false">IF(A299&lt;mthend,EDATE(A299,1),"")</f>
        <v/>
      </c>
      <c r="B300" s="197" t="str">
        <f aca="false">IF(A300&lt;mthend,B299,"")</f>
        <v/>
      </c>
      <c r="C300" s="215"/>
      <c r="D300" s="197" t="str">
        <f aca="false">IF(A301&lt;&gt;"",B300+C300,"")</f>
        <v/>
      </c>
      <c r="E300" s="199" t="str">
        <f aca="false">IF(A301="","",IF(AND(AT300=1,$H$3=1),D300*AO300,IF($H$3=2,D300,"N/A")))</f>
        <v/>
      </c>
      <c r="F300" s="199" t="str">
        <f aca="false">IF(A301="","",E300*AS300)</f>
        <v/>
      </c>
      <c r="G300" s="200" t="str">
        <f aca="false">IF($A301="","",VLOOKUP($A300,Table,MATCH(G$4,Curves,0)))</f>
        <v/>
      </c>
      <c r="H300" s="201" t="str">
        <f aca="false">IF(A301="","",G300)</f>
        <v/>
      </c>
      <c r="I300" s="202"/>
      <c r="J300" s="200" t="str">
        <f aca="false">IF($A301="","",VLOOKUP($A300,Table,MATCH(J$4,Curves,0)))</f>
        <v/>
      </c>
      <c r="K300" s="201" t="str">
        <f aca="false">IF(A301="","",J300)</f>
        <v/>
      </c>
      <c r="L300" s="200" t="str">
        <f aca="false">IF($A301="","",VLOOKUP($A300,Table,MATCH(L$4,Curves,0)))</f>
        <v/>
      </c>
      <c r="M300" s="201" t="str">
        <f aca="false">IF(A301="","",L300)</f>
        <v/>
      </c>
      <c r="N300" s="203"/>
      <c r="O300" s="200" t="str">
        <f aca="false">IF(A301="","",L300+J300+G300)</f>
        <v/>
      </c>
      <c r="P300" s="200" t="str">
        <f aca="false">IF(A301="","",M300+K300+H300)</f>
        <v/>
      </c>
      <c r="Q300" s="204"/>
      <c r="R300" s="200" t="str">
        <f aca="false">IF($A301="","",VLOOKUP($A300,Table,MATCH(R$4,Curves,0)))</f>
        <v/>
      </c>
      <c r="S300" s="201" t="str">
        <f aca="false">IF(A301="","",R300)</f>
        <v/>
      </c>
      <c r="T300" s="200" t="str">
        <f aca="false">IF($A301="","",VLOOKUP($A300,Table,MATCH(T$4,Curves,0)))</f>
        <v/>
      </c>
      <c r="U300" s="201" t="str">
        <f aca="false">IF(A301="","",T300)</f>
        <v/>
      </c>
      <c r="V300" s="183" t="str">
        <f aca="false">IF($A301="","",IF(AND(MONTH(A300)&gt;3,MONTH(A300)&lt;11),(T300+R300+G300)*Summary!$T$7/(1-Summary!$T$7),(T300+R300+G300)*Summary!$U$7/(1-Summary!$U$7)))</f>
        <v/>
      </c>
      <c r="W300" s="200" t="str">
        <f aca="false">IF($A301="","",(T300+R300+G300+V300))</f>
        <v/>
      </c>
      <c r="X300" s="200" t="str">
        <f aca="false">IF($A301="","",(U300+S300+H300+V300))</f>
        <v/>
      </c>
      <c r="Y300" s="202"/>
      <c r="Z300" s="185" t="str">
        <f aca="false">IF($A301="","",VLOOKUP($A300,Table,MATCH(Z$4,Curves,0)))</f>
        <v/>
      </c>
      <c r="AA300" s="185" t="str">
        <f aca="false">IF($A301="","",VLOOKUP($A300,Table,MATCH(AA$4,Curves,0)))</f>
        <v/>
      </c>
      <c r="AB300" s="185" t="e">
        <f aca="false">SQRT((AA300^2*(A300-$D$3)+Z300^2*(DAY(EOMONTH(A300,0))/2))/AK300)</f>
        <v>#VALUE!</v>
      </c>
      <c r="AC300" s="185" t="str">
        <f aca="false">IF($A301="","",VLOOKUP($A300,Table,MATCH(AC$4,Curves,0)))</f>
        <v/>
      </c>
      <c r="AD300" s="185" t="str">
        <f aca="false">IF($A301="","",VLOOKUP($A300,Table,MATCH(AD$4,Curves,0)))</f>
        <v/>
      </c>
      <c r="AE300" s="185" t="e">
        <f aca="false">SQRT((AD300^2*(A300-$D$3)+AC300^2*(DAY(EOMONTH(A300,0))/2))/AK300)</f>
        <v>#VALUE!</v>
      </c>
      <c r="AF300" s="206" t="e">
        <f aca="false">((Summary!$N$7*(AA300*AD300)*(A300-$D$3))+(Summary!$M$7*Z300*AC300*(DAY(EOMONTH(A300,0))/2)))/(AK300*AB300*AE300)</f>
        <v>#VALUE!</v>
      </c>
      <c r="AG300" s="207" t="str">
        <f aca="false">IF($A301="","",Summary!$Q$7)</f>
        <v/>
      </c>
      <c r="AH300" s="207" t="str">
        <f aca="false">IF($A301="","",IF(Summary!$R$7="Y",(VLOOKUP($A300,Summary!$AD$6:$AF$9,3)+'Escalating commodity'!C313),'Escalating commodity'!C313))</f>
        <v/>
      </c>
      <c r="AI300" s="207" t="str">
        <f aca="false">IF($A301="","",AH300)</f>
        <v/>
      </c>
      <c r="AJ300" s="208" t="e">
        <f aca="false">A300+DAY(EOMONTH(A300,0))/2-1</f>
        <v>#VALUE!</v>
      </c>
      <c r="AK300" s="209" t="str">
        <f aca="false">IF($A301="","",$A300-$E$1)</f>
        <v/>
      </c>
      <c r="AL300" s="182" t="str">
        <f aca="false">IF($A301="","",SPRDOPT(P300,X300,AI300,0,AB300,AE300,AF300,AK300,$AJ$2,0))</f>
        <v/>
      </c>
      <c r="AM300" s="210" t="str">
        <f aca="false">IF($A301="","",MAX(0,O300-W300-AI300))</f>
        <v/>
      </c>
      <c r="AN300" s="211" t="str">
        <f aca="false">IF($A301="","",AL300-AM300)</f>
        <v/>
      </c>
      <c r="AO300" s="137" t="str">
        <f aca="false">IF(A301="","",A301-A300)</f>
        <v/>
      </c>
      <c r="AP300" s="212" t="str">
        <f aca="false">IF(A301="","",CHOOSE(F$3,A301+24,A300))</f>
        <v/>
      </c>
      <c r="AQ300" s="209" t="str">
        <f aca="false">IF(A301="","",AP300-$E$1)</f>
        <v/>
      </c>
      <c r="AR300" s="185" t="n">
        <f aca="false">IF(Summary!$H$2=1,VLOOKUP('ANR OK vs ML7'!A300,Curves!$C$17:$AR$273,MATCH('ANR OK vs ML7'!$AR$4,Curves!$C$8:$AQ$8,0)),0.1)</f>
        <v>0.1</v>
      </c>
      <c r="AS300" s="213" t="str">
        <f aca="false">IF(A301="","",1/(1+CHOOSE(F$3,(AR301+($I$3/10000))/2,(AR300+($I$3/10000))/2))^(2*AQ300/365.25))</f>
        <v/>
      </c>
      <c r="AT300" s="137" t="str">
        <f aca="false">IF(A301="","",IF(AND(mthbeg&lt;=A300,mthend&gt;=A300),1,0))</f>
        <v/>
      </c>
      <c r="AU300" s="137" t="str">
        <f aca="false">IF(A301="","",AO300*AT300)</f>
        <v/>
      </c>
      <c r="AW300" s="195" t="str">
        <f aca="false">IF($A301="","",AL300*$E300)</f>
        <v/>
      </c>
      <c r="AX300" s="195" t="str">
        <f aca="false">IF($A301="","",AM300*$E300)</f>
        <v/>
      </c>
      <c r="AY300" s="195" t="str">
        <f aca="false">IF($A301="","",AN300*$E300)</f>
        <v/>
      </c>
      <c r="BA300" s="195" t="str">
        <f aca="false">IF($A301="","",F300*Summary!$Q$7)</f>
        <v/>
      </c>
    </row>
    <row r="301" customFormat="false" ht="12" hidden="false" customHeight="true" outlineLevel="0" collapsed="false">
      <c r="A301" s="196" t="str">
        <f aca="false">IF(A300&lt;mthend,EDATE(A300,1),"")</f>
        <v/>
      </c>
      <c r="B301" s="197" t="str">
        <f aca="false">IF(A301&lt;mthend,B300,"")</f>
        <v/>
      </c>
      <c r="C301" s="215"/>
      <c r="D301" s="197" t="str">
        <f aca="false">IF(A302&lt;&gt;"",B301+C301,"")</f>
        <v/>
      </c>
      <c r="E301" s="199" t="str">
        <f aca="false">IF(A302="","",IF(AND(AT301=1,$H$3=1),D301*AO301,IF($H$3=2,D301,"N/A")))</f>
        <v/>
      </c>
      <c r="F301" s="199" t="str">
        <f aca="false">IF(A302="","",E301*AS301)</f>
        <v/>
      </c>
      <c r="G301" s="200" t="str">
        <f aca="false">IF($A302="","",VLOOKUP($A301,Table,MATCH(G$4,Curves,0)))</f>
        <v/>
      </c>
      <c r="H301" s="201" t="str">
        <f aca="false">IF(A302="","",G301)</f>
        <v/>
      </c>
      <c r="I301" s="202"/>
      <c r="J301" s="200" t="str">
        <f aca="false">IF($A302="","",VLOOKUP($A301,Table,MATCH(J$4,Curves,0)))</f>
        <v/>
      </c>
      <c r="K301" s="201" t="str">
        <f aca="false">IF(A302="","",J301)</f>
        <v/>
      </c>
      <c r="L301" s="200" t="str">
        <f aca="false">IF($A302="","",VLOOKUP($A301,Table,MATCH(L$4,Curves,0)))</f>
        <v/>
      </c>
      <c r="M301" s="201" t="str">
        <f aca="false">IF(A302="","",L301)</f>
        <v/>
      </c>
      <c r="N301" s="203"/>
      <c r="O301" s="200" t="str">
        <f aca="false">IF(A302="","",L301+J301+G301)</f>
        <v/>
      </c>
      <c r="P301" s="200" t="str">
        <f aca="false">IF(A302="","",M301+K301+H301)</f>
        <v/>
      </c>
      <c r="Q301" s="204"/>
      <c r="R301" s="200" t="str">
        <f aca="false">IF($A302="","",VLOOKUP($A301,Table,MATCH(R$4,Curves,0)))</f>
        <v/>
      </c>
      <c r="S301" s="201" t="str">
        <f aca="false">IF(A302="","",R301)</f>
        <v/>
      </c>
      <c r="T301" s="200" t="str">
        <f aca="false">IF($A302="","",VLOOKUP($A301,Table,MATCH(T$4,Curves,0)))</f>
        <v/>
      </c>
      <c r="U301" s="201" t="str">
        <f aca="false">IF(A302="","",T301)</f>
        <v/>
      </c>
      <c r="V301" s="183" t="str">
        <f aca="false">IF($A302="","",IF(AND(MONTH(A301)&gt;3,MONTH(A301)&lt;11),(T301+R301+G301)*Summary!$T$7/(1-Summary!$T$7),(T301+R301+G301)*Summary!$U$7/(1-Summary!$U$7)))</f>
        <v/>
      </c>
      <c r="W301" s="200" t="str">
        <f aca="false">IF($A302="","",(T301+R301+G301+V301))</f>
        <v/>
      </c>
      <c r="X301" s="200" t="str">
        <f aca="false">IF($A302="","",(U301+S301+H301+V301))</f>
        <v/>
      </c>
      <c r="Y301" s="202"/>
      <c r="Z301" s="185" t="str">
        <f aca="false">IF($A302="","",VLOOKUP($A301,Table,MATCH(Z$4,Curves,0)))</f>
        <v/>
      </c>
      <c r="AA301" s="185" t="str">
        <f aca="false">IF($A302="","",VLOOKUP($A301,Table,MATCH(AA$4,Curves,0)))</f>
        <v/>
      </c>
      <c r="AB301" s="185" t="e">
        <f aca="false">SQRT((AA301^2*(A301-$D$3)+Z301^2*(DAY(EOMONTH(A301,0))/2))/AK301)</f>
        <v>#VALUE!</v>
      </c>
      <c r="AC301" s="185" t="str">
        <f aca="false">IF($A302="","",VLOOKUP($A301,Table,MATCH(AC$4,Curves,0)))</f>
        <v/>
      </c>
      <c r="AD301" s="185" t="str">
        <f aca="false">IF($A302="","",VLOOKUP($A301,Table,MATCH(AD$4,Curves,0)))</f>
        <v/>
      </c>
      <c r="AE301" s="185" t="e">
        <f aca="false">SQRT((AD301^2*(A301-$D$3)+AC301^2*(DAY(EOMONTH(A301,0))/2))/AK301)</f>
        <v>#VALUE!</v>
      </c>
      <c r="AF301" s="206" t="e">
        <f aca="false">((Summary!$N$7*(AA301*AD301)*(A301-$D$3))+(Summary!$M$7*Z301*AC301*(DAY(EOMONTH(A301,0))/2)))/(AK301*AB301*AE301)</f>
        <v>#VALUE!</v>
      </c>
      <c r="AG301" s="207" t="str">
        <f aca="false">IF($A302="","",Summary!$Q$7)</f>
        <v/>
      </c>
      <c r="AH301" s="207" t="str">
        <f aca="false">IF($A302="","",IF(Summary!$R$7="Y",(VLOOKUP($A301,Summary!$AD$6:$AF$9,3)+'Escalating commodity'!C314),'Escalating commodity'!C314))</f>
        <v/>
      </c>
      <c r="AI301" s="207" t="str">
        <f aca="false">IF($A302="","",AH301)</f>
        <v/>
      </c>
      <c r="AJ301" s="208" t="e">
        <f aca="false">A301+DAY(EOMONTH(A301,0))/2-1</f>
        <v>#VALUE!</v>
      </c>
      <c r="AK301" s="209" t="str">
        <f aca="false">IF($A302="","",$A301-$E$1)</f>
        <v/>
      </c>
      <c r="AL301" s="182" t="str">
        <f aca="false">IF($A302="","",SPRDOPT(P301,X301,AI301,0,AB301,AE301,AF301,AK301,$AJ$2,0))</f>
        <v/>
      </c>
      <c r="AM301" s="210" t="str">
        <f aca="false">IF($A302="","",MAX(0,O301-W301-AI301))</f>
        <v/>
      </c>
      <c r="AN301" s="211" t="str">
        <f aca="false">IF($A302="","",AL301-AM301)</f>
        <v/>
      </c>
      <c r="AO301" s="137" t="str">
        <f aca="false">IF(A302="","",A302-A301)</f>
        <v/>
      </c>
      <c r="AP301" s="212" t="str">
        <f aca="false">IF(A302="","",CHOOSE(F$3,A302+24,A301))</f>
        <v/>
      </c>
      <c r="AQ301" s="209" t="str">
        <f aca="false">IF(A302="","",AP301-$E$1)</f>
        <v/>
      </c>
      <c r="AR301" s="185" t="n">
        <f aca="false">IF(Summary!$H$2=1,VLOOKUP('ANR OK vs ML7'!A301,Curves!$C$17:$AR$273,MATCH('ANR OK vs ML7'!$AR$4,Curves!$C$8:$AQ$8,0)),0.1)</f>
        <v>0.1</v>
      </c>
      <c r="AS301" s="213" t="str">
        <f aca="false">IF(A302="","",1/(1+CHOOSE(F$3,(AR302+($I$3/10000))/2,(AR301+($I$3/10000))/2))^(2*AQ301/365.25))</f>
        <v/>
      </c>
      <c r="AT301" s="137" t="str">
        <f aca="false">IF(A302="","",IF(AND(mthbeg&lt;=A301,mthend&gt;=A301),1,0))</f>
        <v/>
      </c>
      <c r="AU301" s="137" t="str">
        <f aca="false">IF(A302="","",AO301*AT301)</f>
        <v/>
      </c>
      <c r="AW301" s="195" t="str">
        <f aca="false">IF($A302="","",AL301*$E301)</f>
        <v/>
      </c>
      <c r="AX301" s="195" t="str">
        <f aca="false">IF($A302="","",AM301*$E301)</f>
        <v/>
      </c>
      <c r="AY301" s="195" t="str">
        <f aca="false">IF($A302="","",AN301*$E301)</f>
        <v/>
      </c>
      <c r="BA301" s="195" t="str">
        <f aca="false">IF($A302="","",F301*Summary!$Q$7)</f>
        <v/>
      </c>
    </row>
    <row r="302" customFormat="false" ht="12" hidden="false" customHeight="true" outlineLevel="0" collapsed="false">
      <c r="A302" s="196" t="str">
        <f aca="false">IF(A301&lt;mthend,EDATE(A301,1),"")</f>
        <v/>
      </c>
      <c r="B302" s="197" t="str">
        <f aca="false">IF(A302&lt;mthend,B301,"")</f>
        <v/>
      </c>
      <c r="C302" s="215"/>
      <c r="D302" s="197" t="str">
        <f aca="false">IF(A303&lt;&gt;"",B302+C302,"")</f>
        <v/>
      </c>
      <c r="E302" s="199" t="str">
        <f aca="false">IF(A303="","",IF(AND(AT302=1,$H$3=1),D302*AO302,IF($H$3=2,D302,"N/A")))</f>
        <v/>
      </c>
      <c r="F302" s="199" t="str">
        <f aca="false">IF(A303="","",E302*AS302)</f>
        <v/>
      </c>
      <c r="G302" s="200" t="str">
        <f aca="false">IF($A303="","",VLOOKUP($A302,Table,MATCH(G$4,Curves,0)))</f>
        <v/>
      </c>
      <c r="H302" s="201" t="str">
        <f aca="false">IF(A303="","",G302)</f>
        <v/>
      </c>
      <c r="I302" s="202"/>
      <c r="J302" s="200" t="str">
        <f aca="false">IF($A303="","",VLOOKUP($A302,Table,MATCH(J$4,Curves,0)))</f>
        <v/>
      </c>
      <c r="K302" s="201" t="str">
        <f aca="false">IF(A303="","",J302)</f>
        <v/>
      </c>
      <c r="L302" s="200" t="str">
        <f aca="false">IF($A303="","",VLOOKUP($A302,Table,MATCH(L$4,Curves,0)))</f>
        <v/>
      </c>
      <c r="M302" s="201" t="str">
        <f aca="false">IF(A303="","",L302)</f>
        <v/>
      </c>
      <c r="N302" s="203"/>
      <c r="O302" s="200" t="str">
        <f aca="false">IF(A303="","",L302+J302+G302)</f>
        <v/>
      </c>
      <c r="P302" s="200" t="str">
        <f aca="false">IF(A303="","",M302+K302+H302)</f>
        <v/>
      </c>
      <c r="Q302" s="204"/>
      <c r="R302" s="200" t="str">
        <f aca="false">IF($A303="","",VLOOKUP($A302,Table,MATCH(R$4,Curves,0)))</f>
        <v/>
      </c>
      <c r="S302" s="201" t="str">
        <f aca="false">IF(A303="","",R302)</f>
        <v/>
      </c>
      <c r="T302" s="200" t="str">
        <f aca="false">IF($A303="","",VLOOKUP($A302,Table,MATCH(T$4,Curves,0)))</f>
        <v/>
      </c>
      <c r="U302" s="201" t="str">
        <f aca="false">IF(A303="","",T302)</f>
        <v/>
      </c>
      <c r="V302" s="183" t="str">
        <f aca="false">IF($A303="","",IF(AND(MONTH(A302)&gt;3,MONTH(A302)&lt;11),(T302+R302+G302)*Summary!$T$7/(1-Summary!$T$7),(T302+R302+G302)*Summary!$U$7/(1-Summary!$U$7)))</f>
        <v/>
      </c>
      <c r="W302" s="200" t="str">
        <f aca="false">IF($A303="","",(T302+R302+G302+V302))</f>
        <v/>
      </c>
      <c r="X302" s="200" t="str">
        <f aca="false">IF($A303="","",(U302+S302+H302+V302))</f>
        <v/>
      </c>
      <c r="Y302" s="202"/>
      <c r="Z302" s="185" t="str">
        <f aca="false">IF($A303="","",VLOOKUP($A302,Table,MATCH(Z$4,Curves,0)))</f>
        <v/>
      </c>
      <c r="AA302" s="185" t="str">
        <f aca="false">IF($A303="","",VLOOKUP($A302,Table,MATCH(AA$4,Curves,0)))</f>
        <v/>
      </c>
      <c r="AB302" s="185" t="e">
        <f aca="false">SQRT((AA302^2*(A302-$D$3)+Z302^2*(DAY(EOMONTH(A302,0))/2))/AK302)</f>
        <v>#VALUE!</v>
      </c>
      <c r="AC302" s="185" t="str">
        <f aca="false">IF($A303="","",VLOOKUP($A302,Table,MATCH(AC$4,Curves,0)))</f>
        <v/>
      </c>
      <c r="AD302" s="185" t="str">
        <f aca="false">IF($A303="","",VLOOKUP($A302,Table,MATCH(AD$4,Curves,0)))</f>
        <v/>
      </c>
      <c r="AE302" s="185" t="e">
        <f aca="false">SQRT((AD302^2*(A302-$D$3)+AC302^2*(DAY(EOMONTH(A302,0))/2))/AK302)</f>
        <v>#VALUE!</v>
      </c>
      <c r="AF302" s="206" t="e">
        <f aca="false">((Summary!$N$7*(AA302*AD302)*(A302-$D$3))+(Summary!$M$7*Z302*AC302*(DAY(EOMONTH(A302,0))/2)))/(AK302*AB302*AE302)</f>
        <v>#VALUE!</v>
      </c>
      <c r="AG302" s="207" t="str">
        <f aca="false">IF($A303="","",Summary!$Q$7)</f>
        <v/>
      </c>
      <c r="AH302" s="207" t="str">
        <f aca="false">IF($A303="","",IF(Summary!$R$7="Y",(VLOOKUP($A302,Summary!$AD$6:$AF$9,3)+'Escalating commodity'!C315),'Escalating commodity'!C315))</f>
        <v/>
      </c>
      <c r="AI302" s="207" t="str">
        <f aca="false">IF($A303="","",AH302)</f>
        <v/>
      </c>
      <c r="AJ302" s="208" t="e">
        <f aca="false">A302+DAY(EOMONTH(A302,0))/2-1</f>
        <v>#VALUE!</v>
      </c>
      <c r="AK302" s="209" t="str">
        <f aca="false">IF($A303="","",$A302-$E$1)</f>
        <v/>
      </c>
      <c r="AL302" s="182" t="str">
        <f aca="false">IF($A303="","",SPRDOPT(P302,X302,AI302,0,AB302,AE302,AF302,AK302,$AJ$2,0))</f>
        <v/>
      </c>
      <c r="AM302" s="210" t="str">
        <f aca="false">IF($A303="","",MAX(0,O302-W302-AI302))</f>
        <v/>
      </c>
      <c r="AN302" s="211" t="str">
        <f aca="false">IF($A303="","",AL302-AM302)</f>
        <v/>
      </c>
      <c r="AO302" s="137" t="str">
        <f aca="false">IF(A303="","",A303-A302)</f>
        <v/>
      </c>
      <c r="AP302" s="212" t="str">
        <f aca="false">IF(A303="","",CHOOSE(F$3,A303+24,A302))</f>
        <v/>
      </c>
      <c r="AQ302" s="209" t="str">
        <f aca="false">IF(A303="","",AP302-$E$1)</f>
        <v/>
      </c>
      <c r="AR302" s="185" t="n">
        <f aca="false">IF(Summary!$H$2=1,VLOOKUP('ANR OK vs ML7'!A302,Curves!$C$17:$AR$273,MATCH('ANR OK vs ML7'!$AR$4,Curves!$C$8:$AQ$8,0)),0.1)</f>
        <v>0.1</v>
      </c>
      <c r="AS302" s="213" t="str">
        <f aca="false">IF(A303="","",1/(1+CHOOSE(F$3,(AR303+($I$3/10000))/2,(AR302+($I$3/10000))/2))^(2*AQ302/365.25))</f>
        <v/>
      </c>
      <c r="AT302" s="137" t="str">
        <f aca="false">IF(A303="","",IF(AND(mthbeg&lt;=A302,mthend&gt;=A302),1,0))</f>
        <v/>
      </c>
      <c r="AU302" s="137" t="str">
        <f aca="false">IF(A303="","",AO302*AT302)</f>
        <v/>
      </c>
      <c r="AW302" s="195" t="str">
        <f aca="false">IF($A303="","",AL302*$E302)</f>
        <v/>
      </c>
      <c r="AX302" s="195" t="str">
        <f aca="false">IF($A303="","",AM302*$E302)</f>
        <v/>
      </c>
      <c r="AY302" s="195" t="str">
        <f aca="false">IF($A303="","",AN302*$E302)</f>
        <v/>
      </c>
      <c r="BA302" s="195" t="str">
        <f aca="false">IF($A303="","",F302*Summary!$Q$7)</f>
        <v/>
      </c>
    </row>
    <row r="303" customFormat="false" ht="12" hidden="false" customHeight="true" outlineLevel="0" collapsed="false">
      <c r="A303" s="196" t="str">
        <f aca="false">IF(A302&lt;mthend,EDATE(A302,1),"")</f>
        <v/>
      </c>
      <c r="B303" s="197" t="str">
        <f aca="false">IF(A303&lt;mthend,B302,"")</f>
        <v/>
      </c>
      <c r="C303" s="215"/>
      <c r="D303" s="197" t="str">
        <f aca="false">IF(A304&lt;&gt;"",B303+C303,"")</f>
        <v/>
      </c>
      <c r="E303" s="199" t="str">
        <f aca="false">IF(A304="","",IF(AND(AT303=1,$H$3=1),D303*AO303,IF($H$3=2,D303,"N/A")))</f>
        <v/>
      </c>
      <c r="F303" s="199" t="str">
        <f aca="false">IF(A304="","",E303*AS303)</f>
        <v/>
      </c>
      <c r="G303" s="200" t="str">
        <f aca="false">IF($A304="","",VLOOKUP($A303,Table,MATCH(G$4,Curves,0)))</f>
        <v/>
      </c>
      <c r="H303" s="201" t="str">
        <f aca="false">IF(A304="","",G303)</f>
        <v/>
      </c>
      <c r="I303" s="202"/>
      <c r="J303" s="200" t="str">
        <f aca="false">IF($A304="","",VLOOKUP($A303,Table,MATCH(J$4,Curves,0)))</f>
        <v/>
      </c>
      <c r="K303" s="201" t="str">
        <f aca="false">IF(A304="","",J303)</f>
        <v/>
      </c>
      <c r="L303" s="200" t="str">
        <f aca="false">IF($A304="","",VLOOKUP($A303,Table,MATCH(L$4,Curves,0)))</f>
        <v/>
      </c>
      <c r="M303" s="201" t="str">
        <f aca="false">IF(A304="","",L303)</f>
        <v/>
      </c>
      <c r="N303" s="203"/>
      <c r="O303" s="200" t="str">
        <f aca="false">IF(A304="","",L303+J303+G303)</f>
        <v/>
      </c>
      <c r="P303" s="200" t="str">
        <f aca="false">IF(A304="","",M303+K303+H303)</f>
        <v/>
      </c>
      <c r="Q303" s="204"/>
      <c r="R303" s="200" t="str">
        <f aca="false">IF($A304="","",VLOOKUP($A303,Table,MATCH(R$4,Curves,0)))</f>
        <v/>
      </c>
      <c r="S303" s="201" t="str">
        <f aca="false">IF(A304="","",R303)</f>
        <v/>
      </c>
      <c r="T303" s="200" t="str">
        <f aca="false">IF($A304="","",VLOOKUP($A303,Table,MATCH(T$4,Curves,0)))</f>
        <v/>
      </c>
      <c r="U303" s="201" t="str">
        <f aca="false">IF(A304="","",T303)</f>
        <v/>
      </c>
      <c r="V303" s="183" t="str">
        <f aca="false">IF($A304="","",IF(AND(MONTH(A303)&gt;3,MONTH(A303)&lt;11),(T303+R303+G303)*Summary!$T$7/(1-Summary!$T$7),(T303+R303+G303)*Summary!$U$7/(1-Summary!$U$7)))</f>
        <v/>
      </c>
      <c r="W303" s="200" t="str">
        <f aca="false">IF($A304="","",(T303+R303+G303+V303))</f>
        <v/>
      </c>
      <c r="X303" s="200" t="str">
        <f aca="false">IF($A304="","",(U303+S303+H303+V303))</f>
        <v/>
      </c>
      <c r="Y303" s="202"/>
      <c r="Z303" s="185" t="str">
        <f aca="false">IF($A304="","",VLOOKUP($A303,Table,MATCH(Z$4,Curves,0)))</f>
        <v/>
      </c>
      <c r="AA303" s="185" t="str">
        <f aca="false">IF($A304="","",VLOOKUP($A303,Table,MATCH(AA$4,Curves,0)))</f>
        <v/>
      </c>
      <c r="AB303" s="185" t="e">
        <f aca="false">SQRT((AA303^2*(A303-$D$3)+Z303^2*(DAY(EOMONTH(A303,0))/2))/AK303)</f>
        <v>#VALUE!</v>
      </c>
      <c r="AC303" s="185" t="str">
        <f aca="false">IF($A304="","",VLOOKUP($A303,Table,MATCH(AC$4,Curves,0)))</f>
        <v/>
      </c>
      <c r="AD303" s="185" t="str">
        <f aca="false">IF($A304="","",VLOOKUP($A303,Table,MATCH(AD$4,Curves,0)))</f>
        <v/>
      </c>
      <c r="AE303" s="185" t="e">
        <f aca="false">SQRT((AD303^2*(A303-$D$3)+AC303^2*(DAY(EOMONTH(A303,0))/2))/AK303)</f>
        <v>#VALUE!</v>
      </c>
      <c r="AF303" s="206" t="e">
        <f aca="false">((Summary!$N$7*(AA303*AD303)*(A303-$D$3))+(Summary!$M$7*Z303*AC303*(DAY(EOMONTH(A303,0))/2)))/(AK303*AB303*AE303)</f>
        <v>#VALUE!</v>
      </c>
      <c r="AG303" s="207" t="str">
        <f aca="false">IF($A304="","",Summary!$Q$7)</f>
        <v/>
      </c>
      <c r="AH303" s="207" t="str">
        <f aca="false">IF($A304="","",IF(Summary!$R$7="Y",(VLOOKUP($A303,Summary!$AD$6:$AF$9,3)+'Escalating commodity'!C316),'Escalating commodity'!C316))</f>
        <v/>
      </c>
      <c r="AI303" s="207" t="str">
        <f aca="false">IF($A304="","",AH303)</f>
        <v/>
      </c>
      <c r="AJ303" s="208" t="e">
        <f aca="false">A303+DAY(EOMONTH(A303,0))/2-1</f>
        <v>#VALUE!</v>
      </c>
      <c r="AK303" s="209" t="str">
        <f aca="false">IF($A304="","",$A303-$E$1)</f>
        <v/>
      </c>
      <c r="AL303" s="182" t="str">
        <f aca="false">IF($A304="","",SPRDOPT(P303,X303,AI303,0,AB303,AE303,AF303,AK303,$AJ$2,0))</f>
        <v/>
      </c>
      <c r="AM303" s="210" t="str">
        <f aca="false">IF($A304="","",MAX(0,O303-W303-AI303))</f>
        <v/>
      </c>
      <c r="AN303" s="211" t="str">
        <f aca="false">IF($A304="","",AL303-AM303)</f>
        <v/>
      </c>
      <c r="AO303" s="137" t="str">
        <f aca="false">IF(A304="","",A304-A303)</f>
        <v/>
      </c>
      <c r="AP303" s="212" t="str">
        <f aca="false">IF(A304="","",CHOOSE(F$3,A304+24,A303))</f>
        <v/>
      </c>
      <c r="AQ303" s="209" t="str">
        <f aca="false">IF(A304="","",AP303-$E$1)</f>
        <v/>
      </c>
      <c r="AR303" s="185" t="n">
        <f aca="false">IF(Summary!$H$2=1,VLOOKUP('ANR OK vs ML7'!A303,Curves!$C$17:$AR$273,MATCH('ANR OK vs ML7'!$AR$4,Curves!$C$8:$AQ$8,0)),0.1)</f>
        <v>0.1</v>
      </c>
      <c r="AS303" s="213" t="str">
        <f aca="false">IF(A304="","",1/(1+CHOOSE(F$3,(AR304+($I$3/10000))/2,(AR303+($I$3/10000))/2))^(2*AQ303/365.25))</f>
        <v/>
      </c>
      <c r="AT303" s="137" t="str">
        <f aca="false">IF(A304="","",IF(AND(mthbeg&lt;=A303,mthend&gt;=A303),1,0))</f>
        <v/>
      </c>
      <c r="AU303" s="137" t="str">
        <f aca="false">IF(A304="","",AO303*AT303)</f>
        <v/>
      </c>
      <c r="AW303" s="195" t="str">
        <f aca="false">IF($A304="","",AL303*$E303)</f>
        <v/>
      </c>
      <c r="AX303" s="195" t="str">
        <f aca="false">IF($A304="","",AM303*$E303)</f>
        <v/>
      </c>
      <c r="AY303" s="195" t="str">
        <f aca="false">IF($A304="","",AN303*$E303)</f>
        <v/>
      </c>
      <c r="BA303" s="195" t="str">
        <f aca="false">IF($A304="","",F303*Summary!$Q$7)</f>
        <v/>
      </c>
    </row>
    <row r="304" customFormat="false" ht="12" hidden="false" customHeight="true" outlineLevel="0" collapsed="false">
      <c r="A304" s="196" t="str">
        <f aca="false">IF(A303&lt;mthend,EDATE(A303,1),"")</f>
        <v/>
      </c>
      <c r="B304" s="197" t="str">
        <f aca="false">IF(A304&lt;mthend,B303,"")</f>
        <v/>
      </c>
      <c r="C304" s="215"/>
      <c r="D304" s="197" t="str">
        <f aca="false">IF(A305&lt;&gt;"",B304+C304,"")</f>
        <v/>
      </c>
      <c r="E304" s="199" t="str">
        <f aca="false">IF(A305="","",IF(AND(AT304=1,$H$3=1),D304*AO304,IF($H$3=2,D304,"N/A")))</f>
        <v/>
      </c>
      <c r="F304" s="199" t="str">
        <f aca="false">IF(A305="","",E304*AS304)</f>
        <v/>
      </c>
      <c r="G304" s="200" t="str">
        <f aca="false">IF($A305="","",VLOOKUP($A304,Table,MATCH(G$4,Curves,0)))</f>
        <v/>
      </c>
      <c r="H304" s="201" t="str">
        <f aca="false">IF(A305="","",G304)</f>
        <v/>
      </c>
      <c r="I304" s="202"/>
      <c r="J304" s="200" t="str">
        <f aca="false">IF($A305="","",VLOOKUP($A304,Table,MATCH(J$4,Curves,0)))</f>
        <v/>
      </c>
      <c r="K304" s="201" t="str">
        <f aca="false">IF(A305="","",J304)</f>
        <v/>
      </c>
      <c r="L304" s="200" t="str">
        <f aca="false">IF($A305="","",VLOOKUP($A304,Table,MATCH(L$4,Curves,0)))</f>
        <v/>
      </c>
      <c r="M304" s="201" t="str">
        <f aca="false">IF(A305="","",L304)</f>
        <v/>
      </c>
      <c r="N304" s="203"/>
      <c r="O304" s="200" t="str">
        <f aca="false">IF(A305="","",L304+J304+G304)</f>
        <v/>
      </c>
      <c r="P304" s="200" t="str">
        <f aca="false">IF(A305="","",M304+K304+H304)</f>
        <v/>
      </c>
      <c r="Q304" s="204"/>
      <c r="R304" s="200" t="str">
        <f aca="false">IF($A305="","",VLOOKUP($A304,Table,MATCH(R$4,Curves,0)))</f>
        <v/>
      </c>
      <c r="S304" s="201" t="str">
        <f aca="false">IF(A305="","",R304)</f>
        <v/>
      </c>
      <c r="T304" s="200" t="str">
        <f aca="false">IF($A305="","",VLOOKUP($A304,Table,MATCH(T$4,Curves,0)))</f>
        <v/>
      </c>
      <c r="U304" s="201" t="str">
        <f aca="false">IF(A305="","",T304)</f>
        <v/>
      </c>
      <c r="V304" s="183" t="str">
        <f aca="false">IF($A305="","",IF(AND(MONTH(A304)&gt;3,MONTH(A304)&lt;11),(T304+R304+G304)*Summary!$T$7/(1-Summary!$T$7),(T304+R304+G304)*Summary!$U$7/(1-Summary!$U$7)))</f>
        <v/>
      </c>
      <c r="W304" s="200" t="str">
        <f aca="false">IF($A305="","",(T304+R304+G304+V304))</f>
        <v/>
      </c>
      <c r="X304" s="200" t="str">
        <f aca="false">IF($A305="","",(U304+S304+H304+V304))</f>
        <v/>
      </c>
      <c r="Y304" s="202"/>
      <c r="Z304" s="185" t="str">
        <f aca="false">IF($A305="","",VLOOKUP($A304,Table,MATCH(Z$4,Curves,0)))</f>
        <v/>
      </c>
      <c r="AA304" s="185" t="str">
        <f aca="false">IF($A305="","",VLOOKUP($A304,Table,MATCH(AA$4,Curves,0)))</f>
        <v/>
      </c>
      <c r="AB304" s="185" t="e">
        <f aca="false">SQRT((AA304^2*(A304-$D$3)+Z304^2*(DAY(EOMONTH(A304,0))/2))/AK304)</f>
        <v>#VALUE!</v>
      </c>
      <c r="AC304" s="185" t="str">
        <f aca="false">IF($A305="","",VLOOKUP($A304,Table,MATCH(AC$4,Curves,0)))</f>
        <v/>
      </c>
      <c r="AD304" s="185" t="str">
        <f aca="false">IF($A305="","",VLOOKUP($A304,Table,MATCH(AD$4,Curves,0)))</f>
        <v/>
      </c>
      <c r="AE304" s="185" t="e">
        <f aca="false">SQRT((AD304^2*(A304-$D$3)+AC304^2*(DAY(EOMONTH(A304,0))/2))/AK304)</f>
        <v>#VALUE!</v>
      </c>
      <c r="AF304" s="206" t="e">
        <f aca="false">((Summary!$N$7*(AA304*AD304)*(A304-$D$3))+(Summary!$M$7*Z304*AC304*(DAY(EOMONTH(A304,0))/2)))/(AK304*AB304*AE304)</f>
        <v>#VALUE!</v>
      </c>
      <c r="AG304" s="207" t="str">
        <f aca="false">IF($A305="","",Summary!$Q$7)</f>
        <v/>
      </c>
      <c r="AH304" s="207" t="str">
        <f aca="false">IF($A305="","",IF(Summary!$R$7="Y",(VLOOKUP($A304,Summary!$AD$6:$AF$9,3)+'Escalating commodity'!C317),'Escalating commodity'!C317))</f>
        <v/>
      </c>
      <c r="AI304" s="207" t="str">
        <f aca="false">IF($A305="","",AH304)</f>
        <v/>
      </c>
      <c r="AJ304" s="208" t="e">
        <f aca="false">A304+DAY(EOMONTH(A304,0))/2-1</f>
        <v>#VALUE!</v>
      </c>
      <c r="AK304" s="209" t="str">
        <f aca="false">IF($A305="","",$A304-$E$1)</f>
        <v/>
      </c>
      <c r="AL304" s="182" t="str">
        <f aca="false">IF($A305="","",SPRDOPT(P304,X304,AI304,0,AB304,AE304,AF304,AK304,$AJ$2,0))</f>
        <v/>
      </c>
      <c r="AM304" s="210" t="str">
        <f aca="false">IF($A305="","",MAX(0,O304-W304-AI304))</f>
        <v/>
      </c>
      <c r="AN304" s="211" t="str">
        <f aca="false">IF($A305="","",AL304-AM304)</f>
        <v/>
      </c>
      <c r="AO304" s="137" t="str">
        <f aca="false">IF(A305="","",A305-A304)</f>
        <v/>
      </c>
      <c r="AP304" s="212" t="str">
        <f aca="false">IF(A305="","",CHOOSE(F$3,A305+24,A304))</f>
        <v/>
      </c>
      <c r="AQ304" s="209" t="str">
        <f aca="false">IF(A305="","",AP304-$E$1)</f>
        <v/>
      </c>
      <c r="AR304" s="185" t="n">
        <f aca="false">IF(Summary!$H$2=1,VLOOKUP('ANR OK vs ML7'!A304,Curves!$C$17:$AR$273,MATCH('ANR OK vs ML7'!$AR$4,Curves!$C$8:$AQ$8,0)),0.1)</f>
        <v>0.1</v>
      </c>
      <c r="AS304" s="213" t="str">
        <f aca="false">IF(A305="","",1/(1+CHOOSE(F$3,(AR305+($I$3/10000))/2,(AR304+($I$3/10000))/2))^(2*AQ304/365.25))</f>
        <v/>
      </c>
      <c r="AT304" s="137" t="str">
        <f aca="false">IF(A305="","",IF(AND(mthbeg&lt;=A304,mthend&gt;=A304),1,0))</f>
        <v/>
      </c>
      <c r="AU304" s="137" t="str">
        <f aca="false">IF(A305="","",AO304*AT304)</f>
        <v/>
      </c>
      <c r="AW304" s="195" t="str">
        <f aca="false">IF($A305="","",AL304*$E304)</f>
        <v/>
      </c>
      <c r="AX304" s="195" t="str">
        <f aca="false">IF($A305="","",AM304*$E304)</f>
        <v/>
      </c>
      <c r="AY304" s="195" t="str">
        <f aca="false">IF($A305="","",AN304*$E304)</f>
        <v/>
      </c>
      <c r="BA304" s="195" t="str">
        <f aca="false">IF($A305="","",F304*Summary!$Q$7)</f>
        <v/>
      </c>
    </row>
    <row r="305" customFormat="false" ht="12" hidden="false" customHeight="true" outlineLevel="0" collapsed="false">
      <c r="A305" s="196" t="str">
        <f aca="false">IF(A304&lt;mthend,EDATE(A304,1),"")</f>
        <v/>
      </c>
      <c r="B305" s="197" t="str">
        <f aca="false">IF(A305&lt;mthend,B304,"")</f>
        <v/>
      </c>
      <c r="C305" s="215"/>
      <c r="D305" s="197" t="str">
        <f aca="false">IF(A306&lt;&gt;"",B305+C305,"")</f>
        <v/>
      </c>
      <c r="E305" s="199" t="str">
        <f aca="false">IF(A306="","",IF(AND(AT305=1,$H$3=1),D305*AO305,IF($H$3=2,D305,"N/A")))</f>
        <v/>
      </c>
      <c r="F305" s="199" t="str">
        <f aca="false">IF(A306="","",E305*AS305)</f>
        <v/>
      </c>
      <c r="G305" s="200" t="str">
        <f aca="false">IF($A306="","",VLOOKUP($A305,Table,MATCH(G$4,Curves,0)))</f>
        <v/>
      </c>
      <c r="H305" s="201" t="str">
        <f aca="false">IF(A306="","",G305)</f>
        <v/>
      </c>
      <c r="I305" s="202"/>
      <c r="J305" s="200" t="str">
        <f aca="false">IF($A306="","",VLOOKUP($A305,Table,MATCH(J$4,Curves,0)))</f>
        <v/>
      </c>
      <c r="K305" s="201" t="str">
        <f aca="false">IF(A306="","",J305)</f>
        <v/>
      </c>
      <c r="L305" s="200" t="str">
        <f aca="false">IF($A306="","",VLOOKUP($A305,Table,MATCH(L$4,Curves,0)))</f>
        <v/>
      </c>
      <c r="M305" s="201" t="str">
        <f aca="false">IF(A306="","",L305)</f>
        <v/>
      </c>
      <c r="N305" s="203"/>
      <c r="O305" s="200" t="str">
        <f aca="false">IF(A306="","",L305+J305+G305)</f>
        <v/>
      </c>
      <c r="P305" s="200" t="str">
        <f aca="false">IF(A306="","",M305+K305+H305)</f>
        <v/>
      </c>
      <c r="Q305" s="204"/>
      <c r="R305" s="200" t="str">
        <f aca="false">IF($A306="","",VLOOKUP($A305,Table,MATCH(R$4,Curves,0)))</f>
        <v/>
      </c>
      <c r="S305" s="201" t="str">
        <f aca="false">IF(A306="","",R305)</f>
        <v/>
      </c>
      <c r="T305" s="200" t="str">
        <f aca="false">IF($A306="","",VLOOKUP($A305,Table,MATCH(T$4,Curves,0)))</f>
        <v/>
      </c>
      <c r="U305" s="201" t="str">
        <f aca="false">IF(A306="","",T305)</f>
        <v/>
      </c>
      <c r="V305" s="183" t="str">
        <f aca="false">IF($A306="","",IF(AND(MONTH(A305)&gt;3,MONTH(A305)&lt;11),(T305+R305+G305)*Summary!$T$7/(1-Summary!$T$7),(T305+R305+G305)*Summary!$U$7/(1-Summary!$U$7)))</f>
        <v/>
      </c>
      <c r="W305" s="200" t="str">
        <f aca="false">IF($A306="","",(T305+R305+G305+V305))</f>
        <v/>
      </c>
      <c r="X305" s="200" t="str">
        <f aca="false">IF($A306="","",(U305+S305+H305+V305))</f>
        <v/>
      </c>
      <c r="Y305" s="202"/>
      <c r="Z305" s="185" t="str">
        <f aca="false">IF($A306="","",VLOOKUP($A305,Table,MATCH(Z$4,Curves,0)))</f>
        <v/>
      </c>
      <c r="AA305" s="185" t="str">
        <f aca="false">IF($A306="","",VLOOKUP($A305,Table,MATCH(AA$4,Curves,0)))</f>
        <v/>
      </c>
      <c r="AB305" s="185" t="e">
        <f aca="false">SQRT((AA305^2*(A305-$D$3)+Z305^2*(DAY(EOMONTH(A305,0))/2))/AK305)</f>
        <v>#VALUE!</v>
      </c>
      <c r="AC305" s="185" t="str">
        <f aca="false">IF($A306="","",VLOOKUP($A305,Table,MATCH(AC$4,Curves,0)))</f>
        <v/>
      </c>
      <c r="AD305" s="185" t="str">
        <f aca="false">IF($A306="","",VLOOKUP($A305,Table,MATCH(AD$4,Curves,0)))</f>
        <v/>
      </c>
      <c r="AE305" s="185" t="e">
        <f aca="false">SQRT((AD305^2*(A305-$D$3)+AC305^2*(DAY(EOMONTH(A305,0))/2))/AK305)</f>
        <v>#VALUE!</v>
      </c>
      <c r="AF305" s="206" t="e">
        <f aca="false">((Summary!$N$7*(AA305*AD305)*(A305-$D$3))+(Summary!$M$7*Z305*AC305*(DAY(EOMONTH(A305,0))/2)))/(AK305*AB305*AE305)</f>
        <v>#VALUE!</v>
      </c>
      <c r="AG305" s="207" t="str">
        <f aca="false">IF($A306="","",Summary!$Q$7)</f>
        <v/>
      </c>
      <c r="AH305" s="207" t="str">
        <f aca="false">IF($A306="","",IF(Summary!$R$7="Y",(VLOOKUP($A305,Summary!$AD$6:$AF$9,3)+'Escalating commodity'!C318),'Escalating commodity'!C318))</f>
        <v/>
      </c>
      <c r="AI305" s="207" t="str">
        <f aca="false">IF($A306="","",AH305)</f>
        <v/>
      </c>
      <c r="AJ305" s="208" t="e">
        <f aca="false">A305+DAY(EOMONTH(A305,0))/2-1</f>
        <v>#VALUE!</v>
      </c>
      <c r="AK305" s="209" t="str">
        <f aca="false">IF($A306="","",$A305-$E$1)</f>
        <v/>
      </c>
      <c r="AL305" s="182" t="str">
        <f aca="false">IF($A306="","",SPRDOPT(P305,X305,AI305,0,AB305,AE305,AF305,AK305,$AJ$2,0))</f>
        <v/>
      </c>
      <c r="AM305" s="210" t="str">
        <f aca="false">IF($A306="","",MAX(0,O305-W305-AI305))</f>
        <v/>
      </c>
      <c r="AN305" s="211" t="str">
        <f aca="false">IF($A306="","",AL305-AM305)</f>
        <v/>
      </c>
      <c r="AO305" s="137" t="str">
        <f aca="false">IF(A306="","",A306-A305)</f>
        <v/>
      </c>
      <c r="AP305" s="212" t="str">
        <f aca="false">IF(A306="","",CHOOSE(F$3,A306+24,A305))</f>
        <v/>
      </c>
      <c r="AQ305" s="209" t="str">
        <f aca="false">IF(A306="","",AP305-$E$1)</f>
        <v/>
      </c>
      <c r="AR305" s="185" t="n">
        <f aca="false">IF(Summary!$H$2=1,VLOOKUP('ANR OK vs ML7'!A305,Curves!$C$17:$AR$273,MATCH('ANR OK vs ML7'!$AR$4,Curves!$C$8:$AQ$8,0)),0.1)</f>
        <v>0.1</v>
      </c>
      <c r="AS305" s="213" t="str">
        <f aca="false">IF(A306="","",1/(1+CHOOSE(F$3,(AR306+($I$3/10000))/2,(AR305+($I$3/10000))/2))^(2*AQ305/365.25))</f>
        <v/>
      </c>
      <c r="AT305" s="137" t="str">
        <f aca="false">IF(A306="","",IF(AND(mthbeg&lt;=A305,mthend&gt;=A305),1,0))</f>
        <v/>
      </c>
      <c r="AU305" s="137" t="str">
        <f aca="false">IF(A306="","",AO305*AT305)</f>
        <v/>
      </c>
      <c r="AW305" s="195" t="str">
        <f aca="false">IF($A306="","",AL305*$E305)</f>
        <v/>
      </c>
      <c r="AX305" s="195" t="str">
        <f aca="false">IF($A306="","",AM305*$E305)</f>
        <v/>
      </c>
      <c r="AY305" s="195" t="str">
        <f aca="false">IF($A306="","",AN305*$E305)</f>
        <v/>
      </c>
      <c r="BA305" s="195" t="str">
        <f aca="false">IF($A306="","",F305*Summary!$Q$7)</f>
        <v/>
      </c>
    </row>
    <row r="306" customFormat="false" ht="12" hidden="false" customHeight="true" outlineLevel="0" collapsed="false">
      <c r="A306" s="196" t="str">
        <f aca="false">IF(A305&lt;mthend,EDATE(A305,1),"")</f>
        <v/>
      </c>
      <c r="B306" s="197" t="str">
        <f aca="false">IF(A306&lt;mthend,B305,"")</f>
        <v/>
      </c>
      <c r="C306" s="215"/>
      <c r="D306" s="197" t="str">
        <f aca="false">IF(A307&lt;&gt;"",B306+C306,"")</f>
        <v/>
      </c>
      <c r="E306" s="199" t="str">
        <f aca="false">IF(A307="","",IF(AND(AT306=1,$H$3=1),D306*AO306,IF($H$3=2,D306,"N/A")))</f>
        <v/>
      </c>
      <c r="F306" s="199" t="str">
        <f aca="false">IF(A307="","",E306*AS306)</f>
        <v/>
      </c>
      <c r="G306" s="200" t="str">
        <f aca="false">IF($A307="","",VLOOKUP($A306,Table,MATCH(G$4,Curves,0)))</f>
        <v/>
      </c>
      <c r="H306" s="201" t="str">
        <f aca="false">IF(A307="","",G306)</f>
        <v/>
      </c>
      <c r="I306" s="202"/>
      <c r="J306" s="200" t="str">
        <f aca="false">IF($A307="","",VLOOKUP($A306,Table,MATCH(J$4,Curves,0)))</f>
        <v/>
      </c>
      <c r="K306" s="201" t="str">
        <f aca="false">IF(A307="","",J306)</f>
        <v/>
      </c>
      <c r="L306" s="200" t="str">
        <f aca="false">IF($A307="","",VLOOKUP($A306,Table,MATCH(L$4,Curves,0)))</f>
        <v/>
      </c>
      <c r="M306" s="201" t="str">
        <f aca="false">IF(A307="","",L306)</f>
        <v/>
      </c>
      <c r="N306" s="203"/>
      <c r="O306" s="200" t="str">
        <f aca="false">IF(A307="","",L306+J306+G306)</f>
        <v/>
      </c>
      <c r="P306" s="200" t="str">
        <f aca="false">IF(A307="","",M306+K306+H306)</f>
        <v/>
      </c>
      <c r="Q306" s="204"/>
      <c r="R306" s="200" t="str">
        <f aca="false">IF($A307="","",VLOOKUP($A306,Table,MATCH(R$4,Curves,0)))</f>
        <v/>
      </c>
      <c r="S306" s="201" t="str">
        <f aca="false">IF(A307="","",R306)</f>
        <v/>
      </c>
      <c r="T306" s="200" t="str">
        <f aca="false">IF($A307="","",VLOOKUP($A306,Table,MATCH(T$4,Curves,0)))</f>
        <v/>
      </c>
      <c r="U306" s="201" t="str">
        <f aca="false">IF(A307="","",T306)</f>
        <v/>
      </c>
      <c r="V306" s="183" t="str">
        <f aca="false">IF($A307="","",IF(AND(MONTH(A306)&gt;3,MONTH(A306)&lt;11),(T306+R306+G306)*Summary!$T$7/(1-Summary!$T$7),(T306+R306+G306)*Summary!$U$7/(1-Summary!$U$7)))</f>
        <v/>
      </c>
      <c r="W306" s="200" t="str">
        <f aca="false">IF($A307="","",(T306+R306+G306+V306))</f>
        <v/>
      </c>
      <c r="X306" s="200" t="str">
        <f aca="false">IF($A307="","",(U306+S306+H306+V306))</f>
        <v/>
      </c>
      <c r="Y306" s="202"/>
      <c r="Z306" s="185" t="str">
        <f aca="false">IF($A307="","",VLOOKUP($A306,Table,MATCH(Z$4,Curves,0)))</f>
        <v/>
      </c>
      <c r="AA306" s="185" t="str">
        <f aca="false">IF($A307="","",VLOOKUP($A306,Table,MATCH(AA$4,Curves,0)))</f>
        <v/>
      </c>
      <c r="AB306" s="185" t="e">
        <f aca="false">SQRT((AA306^2*(A306-$D$3)+Z306^2*(DAY(EOMONTH(A306,0))/2))/AK306)</f>
        <v>#VALUE!</v>
      </c>
      <c r="AC306" s="185" t="str">
        <f aca="false">IF($A307="","",VLOOKUP($A306,Table,MATCH(AC$4,Curves,0)))</f>
        <v/>
      </c>
      <c r="AD306" s="185" t="str">
        <f aca="false">IF($A307="","",VLOOKUP($A306,Table,MATCH(AD$4,Curves,0)))</f>
        <v/>
      </c>
      <c r="AE306" s="185" t="e">
        <f aca="false">SQRT((AD306^2*(A306-$D$3)+AC306^2*(DAY(EOMONTH(A306,0))/2))/AK306)</f>
        <v>#VALUE!</v>
      </c>
      <c r="AF306" s="206" t="e">
        <f aca="false">((Summary!$N$7*(AA306*AD306)*(A306-$D$3))+(Summary!$M$7*Z306*AC306*(DAY(EOMONTH(A306,0))/2)))/(AK306*AB306*AE306)</f>
        <v>#VALUE!</v>
      </c>
      <c r="AG306" s="207" t="str">
        <f aca="false">IF($A307="","",Summary!$Q$7)</f>
        <v/>
      </c>
      <c r="AH306" s="207" t="str">
        <f aca="false">IF($A307="","",IF(Summary!$R$7="Y",(VLOOKUP($A306,Summary!$AD$6:$AF$9,3)+'Escalating commodity'!C319),'Escalating commodity'!C319))</f>
        <v/>
      </c>
      <c r="AI306" s="207" t="str">
        <f aca="false">IF($A307="","",AH306)</f>
        <v/>
      </c>
      <c r="AJ306" s="208" t="e">
        <f aca="false">A306+DAY(EOMONTH(A306,0))/2-1</f>
        <v>#VALUE!</v>
      </c>
      <c r="AK306" s="209" t="str">
        <f aca="false">IF($A307="","",$A306-$E$1)</f>
        <v/>
      </c>
      <c r="AL306" s="182" t="str">
        <f aca="false">IF($A307="","",SPRDOPT(P306,X306,AI306,0,AB306,AE306,AF306,AK306,$AJ$2,0))</f>
        <v/>
      </c>
      <c r="AM306" s="210" t="str">
        <f aca="false">IF($A307="","",MAX(0,O306-W306-AI306))</f>
        <v/>
      </c>
      <c r="AN306" s="211" t="str">
        <f aca="false">IF($A307="","",AL306-AM306)</f>
        <v/>
      </c>
      <c r="AO306" s="137" t="str">
        <f aca="false">IF(A307="","",A307-A306)</f>
        <v/>
      </c>
      <c r="AP306" s="212" t="str">
        <f aca="false">IF(A307="","",CHOOSE(F$3,A307+24,A306))</f>
        <v/>
      </c>
      <c r="AQ306" s="209" t="str">
        <f aca="false">IF(A307="","",AP306-$E$1)</f>
        <v/>
      </c>
      <c r="AR306" s="185" t="n">
        <f aca="false">IF(Summary!$H$2=1,VLOOKUP('ANR OK vs ML7'!A306,Curves!$C$17:$AR$273,MATCH('ANR OK vs ML7'!$AR$4,Curves!$C$8:$AQ$8,0)),0.1)</f>
        <v>0.1</v>
      </c>
      <c r="AS306" s="213" t="str">
        <f aca="false">IF(A307="","",1/(1+CHOOSE(F$3,(AR307+($I$3/10000))/2,(AR306+($I$3/10000))/2))^(2*AQ306/365.25))</f>
        <v/>
      </c>
      <c r="AT306" s="137" t="str">
        <f aca="false">IF(A307="","",IF(AND(mthbeg&lt;=A306,mthend&gt;=A306),1,0))</f>
        <v/>
      </c>
      <c r="AU306" s="137" t="str">
        <f aca="false">IF(A307="","",AO306*AT306)</f>
        <v/>
      </c>
      <c r="AW306" s="195" t="str">
        <f aca="false">IF($A307="","",AL306*$E306)</f>
        <v/>
      </c>
      <c r="AX306" s="195" t="str">
        <f aca="false">IF($A307="","",AM306*$E306)</f>
        <v/>
      </c>
      <c r="AY306" s="195" t="str">
        <f aca="false">IF($A307="","",AN306*$E306)</f>
        <v/>
      </c>
      <c r="BA306" s="195" t="str">
        <f aca="false">IF($A307="","",F306*Summary!$Q$7)</f>
        <v/>
      </c>
    </row>
    <row r="307" customFormat="false" ht="12" hidden="false" customHeight="true" outlineLevel="0" collapsed="false">
      <c r="A307" s="196" t="str">
        <f aca="false">IF(A306&lt;mthend,EDATE(A306,1),"")</f>
        <v/>
      </c>
      <c r="B307" s="197" t="str">
        <f aca="false">IF(A307&lt;mthend,B306,"")</f>
        <v/>
      </c>
      <c r="C307" s="215"/>
      <c r="D307" s="197" t="str">
        <f aca="false">IF(A308&lt;&gt;"",B307+C307,"")</f>
        <v/>
      </c>
      <c r="E307" s="199" t="str">
        <f aca="false">IF(A308="","",IF(AND(AT307=1,$H$3=1),D307*AO307,IF($H$3=2,D307,"N/A")))</f>
        <v/>
      </c>
      <c r="F307" s="199" t="str">
        <f aca="false">IF(A308="","",E307*AS307)</f>
        <v/>
      </c>
      <c r="G307" s="200" t="str">
        <f aca="false">IF($A308="","",VLOOKUP($A307,Table,MATCH(G$4,Curves,0)))</f>
        <v/>
      </c>
      <c r="H307" s="201" t="str">
        <f aca="false">IF(A308="","",G307)</f>
        <v/>
      </c>
      <c r="I307" s="202"/>
      <c r="J307" s="200" t="str">
        <f aca="false">IF($A308="","",VLOOKUP($A307,Table,MATCH(J$4,Curves,0)))</f>
        <v/>
      </c>
      <c r="K307" s="201" t="str">
        <f aca="false">IF(A308="","",J307)</f>
        <v/>
      </c>
      <c r="L307" s="200" t="str">
        <f aca="false">IF($A308="","",VLOOKUP($A307,Table,MATCH(L$4,Curves,0)))</f>
        <v/>
      </c>
      <c r="M307" s="201" t="str">
        <f aca="false">IF(A308="","",L307)</f>
        <v/>
      </c>
      <c r="N307" s="203"/>
      <c r="O307" s="200" t="str">
        <f aca="false">IF(A308="","",L307+J307+G307)</f>
        <v/>
      </c>
      <c r="P307" s="200" t="str">
        <f aca="false">IF(A308="","",M307+K307+H307)</f>
        <v/>
      </c>
      <c r="Q307" s="204"/>
      <c r="R307" s="200" t="str">
        <f aca="false">IF($A308="","",VLOOKUP($A307,Table,MATCH(R$4,Curves,0)))</f>
        <v/>
      </c>
      <c r="S307" s="201" t="str">
        <f aca="false">IF(A308="","",R307)</f>
        <v/>
      </c>
      <c r="T307" s="200" t="str">
        <f aca="false">IF($A308="","",VLOOKUP($A307,Table,MATCH(T$4,Curves,0)))</f>
        <v/>
      </c>
      <c r="U307" s="201" t="str">
        <f aca="false">IF(A308="","",T307)</f>
        <v/>
      </c>
      <c r="V307" s="183" t="str">
        <f aca="false">IF($A308="","",IF(AND(MONTH(A307)&gt;3,MONTH(A307)&lt;11),(T307+R307+G307)*Summary!$T$7/(1-Summary!$T$7),(T307+R307+G307)*Summary!$U$7/(1-Summary!$U$7)))</f>
        <v/>
      </c>
      <c r="W307" s="200" t="str">
        <f aca="false">IF($A308="","",(T307+R307+G307+V307))</f>
        <v/>
      </c>
      <c r="X307" s="200" t="str">
        <f aca="false">IF($A308="","",(U307+S307+H307+V307))</f>
        <v/>
      </c>
      <c r="Y307" s="202"/>
      <c r="Z307" s="185" t="str">
        <f aca="false">IF($A308="","",VLOOKUP($A307,Table,MATCH(Z$4,Curves,0)))</f>
        <v/>
      </c>
      <c r="AA307" s="185" t="str">
        <f aca="false">IF($A308="","",VLOOKUP($A307,Table,MATCH(AA$4,Curves,0)))</f>
        <v/>
      </c>
      <c r="AB307" s="185" t="e">
        <f aca="false">SQRT((AA307^2*(A307-$D$3)+Z307^2*(DAY(EOMONTH(A307,0))/2))/AK307)</f>
        <v>#VALUE!</v>
      </c>
      <c r="AC307" s="185" t="str">
        <f aca="false">IF($A308="","",VLOOKUP($A307,Table,MATCH(AC$4,Curves,0)))</f>
        <v/>
      </c>
      <c r="AD307" s="185" t="str">
        <f aca="false">IF($A308="","",VLOOKUP($A307,Table,MATCH(AD$4,Curves,0)))</f>
        <v/>
      </c>
      <c r="AE307" s="185" t="e">
        <f aca="false">SQRT((AD307^2*(A307-$D$3)+AC307^2*(DAY(EOMONTH(A307,0))/2))/AK307)</f>
        <v>#VALUE!</v>
      </c>
      <c r="AF307" s="206" t="e">
        <f aca="false">((Summary!$N$7*(AA307*AD307)*(A307-$D$3))+(Summary!$M$7*Z307*AC307*(DAY(EOMONTH(A307,0))/2)))/(AK307*AB307*AE307)</f>
        <v>#VALUE!</v>
      </c>
      <c r="AG307" s="207" t="str">
        <f aca="false">IF($A308="","",Summary!$Q$7)</f>
        <v/>
      </c>
      <c r="AH307" s="207" t="str">
        <f aca="false">IF($A308="","",IF(Summary!$R$7="Y",(VLOOKUP($A307,Summary!$AD$6:$AF$9,3)+'Escalating commodity'!C320),'Escalating commodity'!C320))</f>
        <v/>
      </c>
      <c r="AI307" s="207" t="str">
        <f aca="false">IF($A308="","",AH307)</f>
        <v/>
      </c>
      <c r="AJ307" s="208" t="e">
        <f aca="false">A307+DAY(EOMONTH(A307,0))/2-1</f>
        <v>#VALUE!</v>
      </c>
      <c r="AK307" s="209" t="str">
        <f aca="false">IF($A308="","",$A307-$E$1)</f>
        <v/>
      </c>
      <c r="AL307" s="182" t="str">
        <f aca="false">IF($A308="","",SPRDOPT(P307,X307,AI307,0,AB307,AE307,AF307,AK307,$AJ$2,0))</f>
        <v/>
      </c>
      <c r="AM307" s="210" t="str">
        <f aca="false">IF($A308="","",MAX(0,O307-W307-AI307))</f>
        <v/>
      </c>
      <c r="AN307" s="211" t="str">
        <f aca="false">IF($A308="","",AL307-AM307)</f>
        <v/>
      </c>
      <c r="AO307" s="137" t="str">
        <f aca="false">IF(A308="","",A308-A307)</f>
        <v/>
      </c>
      <c r="AP307" s="212" t="str">
        <f aca="false">IF(A308="","",CHOOSE(F$3,A308+24,A307))</f>
        <v/>
      </c>
      <c r="AQ307" s="209" t="str">
        <f aca="false">IF(A308="","",AP307-$E$1)</f>
        <v/>
      </c>
      <c r="AR307" s="185" t="n">
        <f aca="false">IF(Summary!$H$2=1,VLOOKUP('ANR OK vs ML7'!A307,Curves!$C$17:$AR$273,MATCH('ANR OK vs ML7'!$AR$4,Curves!$C$8:$AQ$8,0)),0.1)</f>
        <v>0.1</v>
      </c>
      <c r="AS307" s="213" t="str">
        <f aca="false">IF(A308="","",1/(1+CHOOSE(F$3,(AR308+($I$3/10000))/2,(AR307+($I$3/10000))/2))^(2*AQ307/365.25))</f>
        <v/>
      </c>
      <c r="AT307" s="137" t="str">
        <f aca="false">IF(A308="","",IF(AND(mthbeg&lt;=A307,mthend&gt;=A307),1,0))</f>
        <v/>
      </c>
      <c r="AU307" s="137" t="str">
        <f aca="false">IF(A308="","",AO307*AT307)</f>
        <v/>
      </c>
      <c r="AW307" s="195" t="str">
        <f aca="false">IF($A308="","",AL307*$E307)</f>
        <v/>
      </c>
      <c r="AX307" s="195" t="str">
        <f aca="false">IF($A308="","",AM307*$E307)</f>
        <v/>
      </c>
      <c r="AY307" s="195" t="str">
        <f aca="false">IF($A308="","",AN307*$E307)</f>
        <v/>
      </c>
      <c r="BA307" s="195" t="str">
        <f aca="false">IF($A308="","",F307*Summary!$Q$7)</f>
        <v/>
      </c>
    </row>
    <row r="308" customFormat="false" ht="12" hidden="false" customHeight="true" outlineLevel="0" collapsed="false">
      <c r="A308" s="196" t="str">
        <f aca="false">IF(A307&lt;mthend,EDATE(A307,1),"")</f>
        <v/>
      </c>
      <c r="B308" s="197" t="str">
        <f aca="false">IF(A308&lt;mthend,B307,"")</f>
        <v/>
      </c>
      <c r="C308" s="215"/>
      <c r="D308" s="197" t="str">
        <f aca="false">IF(A309&lt;&gt;"",B308+C308,"")</f>
        <v/>
      </c>
      <c r="E308" s="199" t="str">
        <f aca="false">IF(A309="","",IF(AND(AT308=1,$H$3=1),D308*AO308,IF($H$3=2,D308,"N/A")))</f>
        <v/>
      </c>
      <c r="F308" s="199" t="str">
        <f aca="false">IF(A309="","",E308*AS308)</f>
        <v/>
      </c>
      <c r="G308" s="200" t="str">
        <f aca="false">IF($A309="","",VLOOKUP($A308,Table,MATCH(G$4,Curves,0)))</f>
        <v/>
      </c>
      <c r="H308" s="201" t="str">
        <f aca="false">IF(A309="","",G308)</f>
        <v/>
      </c>
      <c r="I308" s="202"/>
      <c r="J308" s="200" t="str">
        <f aca="false">IF($A309="","",VLOOKUP($A308,Table,MATCH(J$4,Curves,0)))</f>
        <v/>
      </c>
      <c r="K308" s="201" t="str">
        <f aca="false">IF(A309="","",J308)</f>
        <v/>
      </c>
      <c r="L308" s="200" t="str">
        <f aca="false">IF($A309="","",VLOOKUP($A308,Table,MATCH(L$4,Curves,0)))</f>
        <v/>
      </c>
      <c r="M308" s="201" t="str">
        <f aca="false">IF(A309="","",L308)</f>
        <v/>
      </c>
      <c r="N308" s="203"/>
      <c r="O308" s="200" t="str">
        <f aca="false">IF(A309="","",L308+J308+G308)</f>
        <v/>
      </c>
      <c r="P308" s="200" t="str">
        <f aca="false">IF(A309="","",M308+K308+H308)</f>
        <v/>
      </c>
      <c r="Q308" s="204"/>
      <c r="R308" s="200" t="str">
        <f aca="false">IF($A309="","",VLOOKUP($A308,Table,MATCH(R$4,Curves,0)))</f>
        <v/>
      </c>
      <c r="S308" s="201" t="str">
        <f aca="false">IF(A309="","",R308)</f>
        <v/>
      </c>
      <c r="T308" s="200" t="str">
        <f aca="false">IF($A309="","",VLOOKUP($A308,Table,MATCH(T$4,Curves,0)))</f>
        <v/>
      </c>
      <c r="U308" s="201" t="str">
        <f aca="false">IF(A309="","",T308)</f>
        <v/>
      </c>
      <c r="V308" s="183" t="str">
        <f aca="false">IF($A309="","",IF(AND(MONTH(A308)&gt;3,MONTH(A308)&lt;11),(T308+R308+G308)*Summary!$T$7/(1-Summary!$T$7),(T308+R308+G308)*Summary!$U$7/(1-Summary!$U$7)))</f>
        <v/>
      </c>
      <c r="W308" s="200" t="str">
        <f aca="false">IF($A309="","",(T308+R308+G308+V308))</f>
        <v/>
      </c>
      <c r="X308" s="200" t="str">
        <f aca="false">IF($A309="","",(U308+S308+H308+V308))</f>
        <v/>
      </c>
      <c r="Y308" s="202"/>
      <c r="Z308" s="185" t="str">
        <f aca="false">IF($A309="","",VLOOKUP($A308,Table,MATCH(Z$4,Curves,0)))</f>
        <v/>
      </c>
      <c r="AA308" s="185" t="str">
        <f aca="false">IF($A309="","",VLOOKUP($A308,Table,MATCH(AA$4,Curves,0)))</f>
        <v/>
      </c>
      <c r="AB308" s="185" t="e">
        <f aca="false">SQRT((AA308^2*(A308-$D$3)+Z308^2*(DAY(EOMONTH(A308,0))/2))/AK308)</f>
        <v>#VALUE!</v>
      </c>
      <c r="AC308" s="185" t="str">
        <f aca="false">IF($A309="","",VLOOKUP($A308,Table,MATCH(AC$4,Curves,0)))</f>
        <v/>
      </c>
      <c r="AD308" s="185" t="str">
        <f aca="false">IF($A309="","",VLOOKUP($A308,Table,MATCH(AD$4,Curves,0)))</f>
        <v/>
      </c>
      <c r="AE308" s="185" t="e">
        <f aca="false">SQRT((AD308^2*(A308-$D$3)+AC308^2*(DAY(EOMONTH(A308,0))/2))/AK308)</f>
        <v>#VALUE!</v>
      </c>
      <c r="AF308" s="206" t="e">
        <f aca="false">((Summary!$N$7*(AA308*AD308)*(A308-$D$3))+(Summary!$M$7*Z308*AC308*(DAY(EOMONTH(A308,0))/2)))/(AK308*AB308*AE308)</f>
        <v>#VALUE!</v>
      </c>
      <c r="AG308" s="207" t="str">
        <f aca="false">IF($A309="","",Summary!$Q$7)</f>
        <v/>
      </c>
      <c r="AH308" s="207" t="str">
        <f aca="false">IF($A309="","",IF(Summary!$R$7="Y",(VLOOKUP($A308,Summary!$AD$6:$AF$9,3)+'Escalating commodity'!C321),'Escalating commodity'!C321))</f>
        <v/>
      </c>
      <c r="AI308" s="207" t="str">
        <f aca="false">IF($A309="","",AH308)</f>
        <v/>
      </c>
      <c r="AJ308" s="208" t="e">
        <f aca="false">A308+DAY(EOMONTH(A308,0))/2-1</f>
        <v>#VALUE!</v>
      </c>
      <c r="AK308" s="209" t="str">
        <f aca="false">IF($A309="","",$A308-$E$1)</f>
        <v/>
      </c>
      <c r="AL308" s="182" t="str">
        <f aca="false">IF($A309="","",SPRDOPT(P308,X308,AI308,0,AB308,AE308,AF308,AK308,$AJ$2,0))</f>
        <v/>
      </c>
      <c r="AM308" s="210" t="str">
        <f aca="false">IF($A309="","",MAX(0,O308-W308-AI308))</f>
        <v/>
      </c>
      <c r="AN308" s="211" t="str">
        <f aca="false">IF($A309="","",AL308-AM308)</f>
        <v/>
      </c>
      <c r="AO308" s="137" t="str">
        <f aca="false">IF(A309="","",A309-A308)</f>
        <v/>
      </c>
      <c r="AP308" s="212" t="str">
        <f aca="false">IF(A309="","",CHOOSE(F$3,A309+24,A308))</f>
        <v/>
      </c>
      <c r="AQ308" s="209" t="str">
        <f aca="false">IF(A309="","",AP308-$E$1)</f>
        <v/>
      </c>
      <c r="AR308" s="185" t="n">
        <f aca="false">IF(Summary!$H$2=1,VLOOKUP('ANR OK vs ML7'!A308,Curves!$C$17:$AR$273,MATCH('ANR OK vs ML7'!$AR$4,Curves!$C$8:$AQ$8,0)),0.1)</f>
        <v>0.1</v>
      </c>
      <c r="AS308" s="213" t="str">
        <f aca="false">IF(A309="","",1/(1+CHOOSE(F$3,(AR309+($I$3/10000))/2,(AR308+($I$3/10000))/2))^(2*AQ308/365.25))</f>
        <v/>
      </c>
      <c r="AT308" s="137" t="str">
        <f aca="false">IF(A309="","",IF(AND(mthbeg&lt;=A308,mthend&gt;=A308),1,0))</f>
        <v/>
      </c>
      <c r="AU308" s="137" t="str">
        <f aca="false">IF(A309="","",AO308*AT308)</f>
        <v/>
      </c>
      <c r="AW308" s="195" t="str">
        <f aca="false">IF($A309="","",AL308*$E308)</f>
        <v/>
      </c>
      <c r="AX308" s="195" t="str">
        <f aca="false">IF($A309="","",AM308*$E308)</f>
        <v/>
      </c>
      <c r="AY308" s="195" t="str">
        <f aca="false">IF($A309="","",AN308*$E308)</f>
        <v/>
      </c>
      <c r="BA308" s="195" t="str">
        <f aca="false">IF($A309="","",F308*Summary!$Q$7)</f>
        <v/>
      </c>
    </row>
    <row r="309" customFormat="false" ht="12" hidden="false" customHeight="true" outlineLevel="0" collapsed="false">
      <c r="A309" s="196" t="str">
        <f aca="false">IF(A308&lt;mthend,EDATE(A308,1),"")</f>
        <v/>
      </c>
      <c r="B309" s="197" t="str">
        <f aca="false">IF(A309&lt;mthend,B308,"")</f>
        <v/>
      </c>
      <c r="C309" s="215"/>
      <c r="D309" s="197" t="str">
        <f aca="false">IF(A310&lt;&gt;"",B309+C309,"")</f>
        <v/>
      </c>
      <c r="E309" s="199" t="str">
        <f aca="false">IF(A310="","",IF(AND(AT309=1,$H$3=1),D309*AO309,IF($H$3=2,D309,"N/A")))</f>
        <v/>
      </c>
      <c r="F309" s="199" t="str">
        <f aca="false">IF(A310="","",E309*AS309)</f>
        <v/>
      </c>
      <c r="G309" s="200" t="str">
        <f aca="false">IF($A310="","",VLOOKUP($A309,Table,MATCH(G$4,Curves,0)))</f>
        <v/>
      </c>
      <c r="H309" s="201" t="str">
        <f aca="false">IF(A310="","",G309)</f>
        <v/>
      </c>
      <c r="I309" s="202"/>
      <c r="J309" s="200" t="str">
        <f aca="false">IF($A310="","",VLOOKUP($A309,Table,MATCH(J$4,Curves,0)))</f>
        <v/>
      </c>
      <c r="K309" s="201" t="str">
        <f aca="false">IF(A310="","",J309)</f>
        <v/>
      </c>
      <c r="L309" s="200" t="str">
        <f aca="false">IF($A310="","",VLOOKUP($A309,Table,MATCH(L$4,Curves,0)))</f>
        <v/>
      </c>
      <c r="M309" s="201" t="str">
        <f aca="false">IF(A310="","",L309)</f>
        <v/>
      </c>
      <c r="N309" s="203"/>
      <c r="O309" s="200" t="str">
        <f aca="false">IF(A310="","",L309+J309+G309)</f>
        <v/>
      </c>
      <c r="P309" s="200" t="str">
        <f aca="false">IF(A310="","",M309+K309+H309)</f>
        <v/>
      </c>
      <c r="Q309" s="204"/>
      <c r="R309" s="200" t="str">
        <f aca="false">IF($A310="","",VLOOKUP($A309,Table,MATCH(R$4,Curves,0)))</f>
        <v/>
      </c>
      <c r="S309" s="201" t="str">
        <f aca="false">IF(A310="","",R309)</f>
        <v/>
      </c>
      <c r="T309" s="200" t="str">
        <f aca="false">IF($A310="","",VLOOKUP($A309,Table,MATCH(T$4,Curves,0)))</f>
        <v/>
      </c>
      <c r="U309" s="201" t="str">
        <f aca="false">IF(A310="","",T309)</f>
        <v/>
      </c>
      <c r="V309" s="183" t="str">
        <f aca="false">IF($A310="","",IF(AND(MONTH(A309)&gt;3,MONTH(A309)&lt;11),(T309+R309+G309)*Summary!$T$7/(1-Summary!$T$7),(T309+R309+G309)*Summary!$U$7/(1-Summary!$U$7)))</f>
        <v/>
      </c>
      <c r="W309" s="200" t="str">
        <f aca="false">IF($A310="","",(T309+R309+G309+V309))</f>
        <v/>
      </c>
      <c r="X309" s="200" t="str">
        <f aca="false">IF($A310="","",(U309+S309+H309+V309))</f>
        <v/>
      </c>
      <c r="Y309" s="202"/>
      <c r="Z309" s="185" t="str">
        <f aca="false">IF($A310="","",VLOOKUP($A309,Table,MATCH(Z$4,Curves,0)))</f>
        <v/>
      </c>
      <c r="AA309" s="185" t="str">
        <f aca="false">IF($A310="","",VLOOKUP($A309,Table,MATCH(AA$4,Curves,0)))</f>
        <v/>
      </c>
      <c r="AB309" s="185" t="e">
        <f aca="false">SQRT((AA309^2*(A309-$D$3)+Z309^2*(DAY(EOMONTH(A309,0))/2))/AK309)</f>
        <v>#VALUE!</v>
      </c>
      <c r="AC309" s="185" t="str">
        <f aca="false">IF($A310="","",VLOOKUP($A309,Table,MATCH(AC$4,Curves,0)))</f>
        <v/>
      </c>
      <c r="AD309" s="185" t="str">
        <f aca="false">IF($A310="","",VLOOKUP($A309,Table,MATCH(AD$4,Curves,0)))</f>
        <v/>
      </c>
      <c r="AE309" s="185" t="e">
        <f aca="false">SQRT((AD309^2*(A309-$D$3)+AC309^2*(DAY(EOMONTH(A309,0))/2))/AK309)</f>
        <v>#VALUE!</v>
      </c>
      <c r="AF309" s="206" t="e">
        <f aca="false">((Summary!$N$7*(AA309*AD309)*(A309-$D$3))+(Summary!$M$7*Z309*AC309*(DAY(EOMONTH(A309,0))/2)))/(AK309*AB309*AE309)</f>
        <v>#VALUE!</v>
      </c>
      <c r="AG309" s="207" t="str">
        <f aca="false">IF($A310="","",Summary!$Q$7)</f>
        <v/>
      </c>
      <c r="AH309" s="207" t="str">
        <f aca="false">IF($A310="","",IF(Summary!$R$7="Y",(VLOOKUP($A309,Summary!$AD$6:$AF$9,3)+'Escalating commodity'!C322),'Escalating commodity'!C322))</f>
        <v/>
      </c>
      <c r="AI309" s="207" t="str">
        <f aca="false">IF($A310="","",AH309)</f>
        <v/>
      </c>
      <c r="AJ309" s="208" t="e">
        <f aca="false">A309+DAY(EOMONTH(A309,0))/2-1</f>
        <v>#VALUE!</v>
      </c>
      <c r="AK309" s="209" t="str">
        <f aca="false">IF($A310="","",$A309-$E$1)</f>
        <v/>
      </c>
      <c r="AL309" s="182" t="str">
        <f aca="false">IF($A310="","",SPRDOPT(P309,X309,AI309,0,AB309,AE309,AF309,AK309,$AJ$2,0))</f>
        <v/>
      </c>
      <c r="AM309" s="210" t="str">
        <f aca="false">IF($A310="","",MAX(0,O309-W309-AI309))</f>
        <v/>
      </c>
      <c r="AN309" s="211" t="str">
        <f aca="false">IF($A310="","",AL309-AM309)</f>
        <v/>
      </c>
      <c r="AO309" s="137" t="str">
        <f aca="false">IF(A310="","",A310-A309)</f>
        <v/>
      </c>
      <c r="AP309" s="212" t="str">
        <f aca="false">IF(A310="","",CHOOSE(F$3,A310+24,A309))</f>
        <v/>
      </c>
      <c r="AQ309" s="209" t="str">
        <f aca="false">IF(A310="","",AP309-$E$1)</f>
        <v/>
      </c>
      <c r="AR309" s="185" t="n">
        <f aca="false">IF(Summary!$H$2=1,VLOOKUP('ANR OK vs ML7'!A309,Curves!$C$17:$AR$273,MATCH('ANR OK vs ML7'!$AR$4,Curves!$C$8:$AQ$8,0)),0.1)</f>
        <v>0.1</v>
      </c>
      <c r="AS309" s="213" t="str">
        <f aca="false">IF(A310="","",1/(1+CHOOSE(F$3,(AR310+($I$3/10000))/2,(AR309+($I$3/10000))/2))^(2*AQ309/365.25))</f>
        <v/>
      </c>
      <c r="AT309" s="137" t="str">
        <f aca="false">IF(A310="","",IF(AND(mthbeg&lt;=A309,mthend&gt;=A309),1,0))</f>
        <v/>
      </c>
      <c r="AU309" s="137" t="str">
        <f aca="false">IF(A310="","",AO309*AT309)</f>
        <v/>
      </c>
      <c r="AW309" s="195" t="str">
        <f aca="false">IF($A310="","",AL309*$E309)</f>
        <v/>
      </c>
      <c r="AX309" s="195" t="str">
        <f aca="false">IF($A310="","",AM309*$E309)</f>
        <v/>
      </c>
      <c r="AY309" s="195" t="str">
        <f aca="false">IF($A310="","",AN309*$E309)</f>
        <v/>
      </c>
      <c r="BA309" s="195" t="str">
        <f aca="false">IF($A310="","",F309*Summary!$Q$7)</f>
        <v/>
      </c>
    </row>
    <row r="310" customFormat="false" ht="12" hidden="false" customHeight="true" outlineLevel="0" collapsed="false">
      <c r="A310" s="196" t="str">
        <f aca="false">IF(A309&lt;mthend,EDATE(A309,1),"")</f>
        <v/>
      </c>
      <c r="B310" s="197" t="str">
        <f aca="false">IF(A310&lt;mthend,B309,"")</f>
        <v/>
      </c>
      <c r="C310" s="215"/>
      <c r="D310" s="197" t="str">
        <f aca="false">IF(A311&lt;&gt;"",B310+C310,"")</f>
        <v/>
      </c>
      <c r="E310" s="199" t="str">
        <f aca="false">IF(A311="","",IF(AND(AT310=1,$H$3=1),D310*AO310,IF($H$3=2,D310,"N/A")))</f>
        <v/>
      </c>
      <c r="F310" s="199" t="str">
        <f aca="false">IF(A311="","",E310*AS310)</f>
        <v/>
      </c>
      <c r="G310" s="200" t="str">
        <f aca="false">IF($A311="","",VLOOKUP($A310,Table,MATCH(G$4,Curves,0)))</f>
        <v/>
      </c>
      <c r="H310" s="201" t="str">
        <f aca="false">IF(A311="","",G310)</f>
        <v/>
      </c>
      <c r="I310" s="202"/>
      <c r="J310" s="200" t="str">
        <f aca="false">IF($A311="","",VLOOKUP($A310,Table,MATCH(J$4,Curves,0)))</f>
        <v/>
      </c>
      <c r="K310" s="201" t="str">
        <f aca="false">IF(A311="","",J310)</f>
        <v/>
      </c>
      <c r="L310" s="200" t="str">
        <f aca="false">IF($A311="","",VLOOKUP($A310,Table,MATCH(L$4,Curves,0)))</f>
        <v/>
      </c>
      <c r="M310" s="201" t="str">
        <f aca="false">IF(A311="","",L310)</f>
        <v/>
      </c>
      <c r="N310" s="203"/>
      <c r="O310" s="200" t="str">
        <f aca="false">IF(A311="","",L310+J310+G310)</f>
        <v/>
      </c>
      <c r="P310" s="200" t="str">
        <f aca="false">IF(A311="","",M310+K310+H310)</f>
        <v/>
      </c>
      <c r="Q310" s="204"/>
      <c r="R310" s="200" t="str">
        <f aca="false">IF($A311="","",VLOOKUP($A310,Table,MATCH(R$4,Curves,0)))</f>
        <v/>
      </c>
      <c r="S310" s="201" t="str">
        <f aca="false">IF(A311="","",R310)</f>
        <v/>
      </c>
      <c r="T310" s="200" t="str">
        <f aca="false">IF($A311="","",VLOOKUP($A310,Table,MATCH(T$4,Curves,0)))</f>
        <v/>
      </c>
      <c r="U310" s="201" t="str">
        <f aca="false">IF(A311="","",T310)</f>
        <v/>
      </c>
      <c r="V310" s="183" t="str">
        <f aca="false">IF($A311="","",IF(AND(MONTH(A310)&gt;3,MONTH(A310)&lt;11),(T310+R310+G310)*Summary!$T$7/(1-Summary!$T$7),(T310+R310+G310)*Summary!$U$7/(1-Summary!$U$7)))</f>
        <v/>
      </c>
      <c r="W310" s="200" t="str">
        <f aca="false">IF($A311="","",(T310+R310+G310+V310))</f>
        <v/>
      </c>
      <c r="X310" s="200" t="str">
        <f aca="false">IF($A311="","",(U310+S310+H310+V310))</f>
        <v/>
      </c>
      <c r="Y310" s="202"/>
      <c r="Z310" s="185" t="str">
        <f aca="false">IF($A311="","",VLOOKUP($A310,Table,MATCH(Z$4,Curves,0)))</f>
        <v/>
      </c>
      <c r="AA310" s="185" t="str">
        <f aca="false">IF($A311="","",VLOOKUP($A310,Table,MATCH(AA$4,Curves,0)))</f>
        <v/>
      </c>
      <c r="AB310" s="185" t="e">
        <f aca="false">SQRT((AA310^2*(A310-$D$3)+Z310^2*(DAY(EOMONTH(A310,0))/2))/AK310)</f>
        <v>#VALUE!</v>
      </c>
      <c r="AC310" s="185" t="str">
        <f aca="false">IF($A311="","",VLOOKUP($A310,Table,MATCH(AC$4,Curves,0)))</f>
        <v/>
      </c>
      <c r="AD310" s="185" t="str">
        <f aca="false">IF($A311="","",VLOOKUP($A310,Table,MATCH(AD$4,Curves,0)))</f>
        <v/>
      </c>
      <c r="AE310" s="185" t="e">
        <f aca="false">SQRT((AD310^2*(A310-$D$3)+AC310^2*(DAY(EOMONTH(A310,0))/2))/AK310)</f>
        <v>#VALUE!</v>
      </c>
      <c r="AF310" s="206" t="e">
        <f aca="false">((Summary!$N$7*(AA310*AD310)*(A310-$D$3))+(Summary!$M$7*Z310*AC310*(DAY(EOMONTH(A310,0))/2)))/(AK310*AB310*AE310)</f>
        <v>#VALUE!</v>
      </c>
      <c r="AG310" s="207" t="str">
        <f aca="false">IF($A311="","",Summary!$Q$7)</f>
        <v/>
      </c>
      <c r="AH310" s="207" t="str">
        <f aca="false">IF($A311="","",IF(Summary!$R$7="Y",(VLOOKUP($A310,Summary!$AD$6:$AF$9,3)+'Escalating commodity'!C323),'Escalating commodity'!C323))</f>
        <v/>
      </c>
      <c r="AI310" s="207" t="str">
        <f aca="false">IF($A311="","",AH310)</f>
        <v/>
      </c>
      <c r="AJ310" s="208" t="e">
        <f aca="false">A310+DAY(EOMONTH(A310,0))/2-1</f>
        <v>#VALUE!</v>
      </c>
      <c r="AK310" s="209" t="str">
        <f aca="false">IF($A311="","",$A310-$E$1)</f>
        <v/>
      </c>
      <c r="AL310" s="182" t="str">
        <f aca="false">IF($A311="","",SPRDOPT(P310,X310,AI310,0,AB310,AE310,AF310,AK310,$AJ$2,0))</f>
        <v/>
      </c>
      <c r="AM310" s="210" t="str">
        <f aca="false">IF($A311="","",MAX(0,O310-W310-AI310))</f>
        <v/>
      </c>
      <c r="AN310" s="211" t="str">
        <f aca="false">IF($A311="","",AL310-AM310)</f>
        <v/>
      </c>
      <c r="AO310" s="137" t="str">
        <f aca="false">IF(A311="","",A311-A310)</f>
        <v/>
      </c>
      <c r="AP310" s="212" t="str">
        <f aca="false">IF(A311="","",CHOOSE(F$3,A311+24,A310))</f>
        <v/>
      </c>
      <c r="AQ310" s="209" t="str">
        <f aca="false">IF(A311="","",AP310-$E$1)</f>
        <v/>
      </c>
      <c r="AR310" s="185" t="n">
        <f aca="false">IF(Summary!$H$2=1,VLOOKUP('ANR OK vs ML7'!A310,Curves!$C$17:$AR$273,MATCH('ANR OK vs ML7'!$AR$4,Curves!$C$8:$AQ$8,0)),0.1)</f>
        <v>0.1</v>
      </c>
      <c r="AS310" s="213" t="str">
        <f aca="false">IF(A311="","",1/(1+CHOOSE(F$3,(AR311+($I$3/10000))/2,(AR310+($I$3/10000))/2))^(2*AQ310/365.25))</f>
        <v/>
      </c>
      <c r="AT310" s="137" t="str">
        <f aca="false">IF(A311="","",IF(AND(mthbeg&lt;=A310,mthend&gt;=A310),1,0))</f>
        <v/>
      </c>
      <c r="AU310" s="137" t="str">
        <f aca="false">IF(A311="","",AO310*AT310)</f>
        <v/>
      </c>
      <c r="AW310" s="195" t="str">
        <f aca="false">IF($A311="","",AL310*$E310)</f>
        <v/>
      </c>
      <c r="AX310" s="195" t="str">
        <f aca="false">IF($A311="","",AM310*$E310)</f>
        <v/>
      </c>
      <c r="AY310" s="195" t="str">
        <f aca="false">IF($A311="","",AN310*$E310)</f>
        <v/>
      </c>
      <c r="BA310" s="195" t="str">
        <f aca="false">IF($A311="","",F310*Summary!$Q$7)</f>
        <v/>
      </c>
    </row>
    <row r="311" customFormat="false" ht="12" hidden="false" customHeight="true" outlineLevel="0" collapsed="false">
      <c r="A311" s="196" t="str">
        <f aca="false">IF(A310&lt;mthend,EDATE(A310,1),"")</f>
        <v/>
      </c>
      <c r="B311" s="197" t="str">
        <f aca="false">IF(A311&lt;mthend,B310,"")</f>
        <v/>
      </c>
      <c r="C311" s="215"/>
      <c r="D311" s="197" t="str">
        <f aca="false">IF(A312&lt;&gt;"",B311+C311,"")</f>
        <v/>
      </c>
      <c r="E311" s="199" t="str">
        <f aca="false">IF(A312="","",IF(AND(AT311=1,$H$3=1),D311*AO311,IF($H$3=2,D311,"N/A")))</f>
        <v/>
      </c>
      <c r="F311" s="199" t="str">
        <f aca="false">IF(A312="","",E311*AS311)</f>
        <v/>
      </c>
      <c r="G311" s="200" t="str">
        <f aca="false">IF($A312="","",VLOOKUP($A311,Table,MATCH(G$4,Curves,0)))</f>
        <v/>
      </c>
      <c r="H311" s="201" t="str">
        <f aca="false">IF(A312="","",G311)</f>
        <v/>
      </c>
      <c r="I311" s="202"/>
      <c r="J311" s="200" t="str">
        <f aca="false">IF($A312="","",VLOOKUP($A311,Table,MATCH(J$4,Curves,0)))</f>
        <v/>
      </c>
      <c r="K311" s="201" t="str">
        <f aca="false">IF(A312="","",J311)</f>
        <v/>
      </c>
      <c r="L311" s="200" t="str">
        <f aca="false">IF($A312="","",VLOOKUP($A311,Table,MATCH(L$4,Curves,0)))</f>
        <v/>
      </c>
      <c r="M311" s="201" t="str">
        <f aca="false">IF(A312="","",L311)</f>
        <v/>
      </c>
      <c r="N311" s="203"/>
      <c r="O311" s="200" t="str">
        <f aca="false">IF(A312="","",L311+J311+G311)</f>
        <v/>
      </c>
      <c r="P311" s="200" t="str">
        <f aca="false">IF(A312="","",M311+K311+H311)</f>
        <v/>
      </c>
      <c r="Q311" s="204"/>
      <c r="R311" s="200" t="str">
        <f aca="false">IF($A312="","",VLOOKUP($A311,Table,MATCH(R$4,Curves,0)))</f>
        <v/>
      </c>
      <c r="S311" s="201" t="str">
        <f aca="false">IF(A312="","",R311)</f>
        <v/>
      </c>
      <c r="T311" s="200" t="str">
        <f aca="false">IF($A312="","",VLOOKUP($A311,Table,MATCH(T$4,Curves,0)))</f>
        <v/>
      </c>
      <c r="U311" s="201" t="str">
        <f aca="false">IF(A312="","",T311)</f>
        <v/>
      </c>
      <c r="V311" s="183" t="str">
        <f aca="false">IF($A312="","",IF(AND(MONTH(A311)&gt;3,MONTH(A311)&lt;11),(T311+R311+G311)*Summary!$T$7/(1-Summary!$T$7),(T311+R311+G311)*Summary!$U$7/(1-Summary!$U$7)))</f>
        <v/>
      </c>
      <c r="W311" s="200" t="str">
        <f aca="false">IF($A312="","",(T311+R311+G311+V311))</f>
        <v/>
      </c>
      <c r="X311" s="200" t="str">
        <f aca="false">IF($A312="","",(U311+S311+H311+V311))</f>
        <v/>
      </c>
      <c r="Y311" s="202"/>
      <c r="Z311" s="185" t="str">
        <f aca="false">IF($A312="","",VLOOKUP($A311,Table,MATCH(Z$4,Curves,0)))</f>
        <v/>
      </c>
      <c r="AA311" s="185" t="str">
        <f aca="false">IF($A312="","",VLOOKUP($A311,Table,MATCH(AA$4,Curves,0)))</f>
        <v/>
      </c>
      <c r="AB311" s="185" t="e">
        <f aca="false">SQRT((AA311^2*(A311-$D$3)+Z311^2*(DAY(EOMONTH(A311,0))/2))/AK311)</f>
        <v>#VALUE!</v>
      </c>
      <c r="AC311" s="185" t="str">
        <f aca="false">IF($A312="","",VLOOKUP($A311,Table,MATCH(AC$4,Curves,0)))</f>
        <v/>
      </c>
      <c r="AD311" s="185" t="str">
        <f aca="false">IF($A312="","",VLOOKUP($A311,Table,MATCH(AD$4,Curves,0)))</f>
        <v/>
      </c>
      <c r="AE311" s="185" t="e">
        <f aca="false">SQRT((AD311^2*(A311-$D$3)+AC311^2*(DAY(EOMONTH(A311,0))/2))/AK311)</f>
        <v>#VALUE!</v>
      </c>
      <c r="AF311" s="206" t="e">
        <f aca="false">((Summary!$N$7*(AA311*AD311)*(A311-$D$3))+(Summary!$M$7*Z311*AC311*(DAY(EOMONTH(A311,0))/2)))/(AK311*AB311*AE311)</f>
        <v>#VALUE!</v>
      </c>
      <c r="AG311" s="207" t="str">
        <f aca="false">IF($A312="","",Summary!$Q$7)</f>
        <v/>
      </c>
      <c r="AH311" s="207" t="str">
        <f aca="false">IF($A312="","",IF(Summary!$R$7="Y",(VLOOKUP($A311,Summary!$AD$6:$AF$9,3)+'Escalating commodity'!C324),'Escalating commodity'!C324))</f>
        <v/>
      </c>
      <c r="AI311" s="207" t="str">
        <f aca="false">IF($A312="","",AH311)</f>
        <v/>
      </c>
      <c r="AJ311" s="208" t="e">
        <f aca="false">A311+DAY(EOMONTH(A311,0))/2-1</f>
        <v>#VALUE!</v>
      </c>
      <c r="AK311" s="209" t="str">
        <f aca="false">IF($A312="","",$A311-$E$1)</f>
        <v/>
      </c>
      <c r="AL311" s="182" t="str">
        <f aca="false">IF($A312="","",SPRDOPT(P311,X311,AI311,0,AB311,AE311,AF311,AK311,$AJ$2,0))</f>
        <v/>
      </c>
      <c r="AM311" s="210" t="str">
        <f aca="false">IF($A312="","",MAX(0,O311-W311-AI311))</f>
        <v/>
      </c>
      <c r="AN311" s="211" t="str">
        <f aca="false">IF($A312="","",AL311-AM311)</f>
        <v/>
      </c>
      <c r="AO311" s="137" t="str">
        <f aca="false">IF(A312="","",A312-A311)</f>
        <v/>
      </c>
      <c r="AP311" s="212" t="str">
        <f aca="false">IF(A312="","",CHOOSE(F$3,A312+24,A311))</f>
        <v/>
      </c>
      <c r="AQ311" s="209" t="str">
        <f aca="false">IF(A312="","",AP311-$E$1)</f>
        <v/>
      </c>
      <c r="AR311" s="185" t="n">
        <f aca="false">IF(Summary!$H$2=1,VLOOKUP('ANR OK vs ML7'!A311,Curves!$C$17:$AR$273,MATCH('ANR OK vs ML7'!$AR$4,Curves!$C$8:$AQ$8,0)),0.1)</f>
        <v>0.1</v>
      </c>
      <c r="AS311" s="213" t="str">
        <f aca="false">IF(A312="","",1/(1+CHOOSE(F$3,(AR312+($I$3/10000))/2,(AR311+($I$3/10000))/2))^(2*AQ311/365.25))</f>
        <v/>
      </c>
      <c r="AT311" s="137" t="str">
        <f aca="false">IF(A312="","",IF(AND(mthbeg&lt;=A311,mthend&gt;=A311),1,0))</f>
        <v/>
      </c>
      <c r="AU311" s="137" t="str">
        <f aca="false">IF(A312="","",AO311*AT311)</f>
        <v/>
      </c>
      <c r="AW311" s="195" t="str">
        <f aca="false">IF($A312="","",AL311*$E311)</f>
        <v/>
      </c>
      <c r="AX311" s="195" t="str">
        <f aca="false">IF($A312="","",AM311*$E311)</f>
        <v/>
      </c>
      <c r="AY311" s="195" t="str">
        <f aca="false">IF($A312="","",AN311*$E311)</f>
        <v/>
      </c>
      <c r="BA311" s="195" t="str">
        <f aca="false">IF($A312="","",F311*Summary!$Q$7)</f>
        <v/>
      </c>
    </row>
    <row r="312" customFormat="false" ht="12" hidden="false" customHeight="true" outlineLevel="0" collapsed="false">
      <c r="A312" s="196" t="str">
        <f aca="false">IF(A311&lt;mthend,EDATE(A311,1),"")</f>
        <v/>
      </c>
      <c r="B312" s="197" t="str">
        <f aca="false">IF(A312&lt;mthend,B311,"")</f>
        <v/>
      </c>
      <c r="C312" s="215"/>
      <c r="D312" s="197" t="str">
        <f aca="false">IF(A313&lt;&gt;"",B312+C312,"")</f>
        <v/>
      </c>
      <c r="E312" s="199" t="str">
        <f aca="false">IF(A313="","",IF(AND(AT312=1,$H$3=1),D312*AO312,IF($H$3=2,D312,"N/A")))</f>
        <v/>
      </c>
      <c r="F312" s="199" t="str">
        <f aca="false">IF(A313="","",E312*AS312)</f>
        <v/>
      </c>
      <c r="G312" s="200" t="str">
        <f aca="false">IF($A313="","",VLOOKUP($A312,Table,MATCH(G$4,Curves,0)))</f>
        <v/>
      </c>
      <c r="H312" s="201" t="str">
        <f aca="false">IF(A313="","",G312)</f>
        <v/>
      </c>
      <c r="I312" s="202"/>
      <c r="J312" s="200" t="str">
        <f aca="false">IF($A313="","",VLOOKUP($A312,Table,MATCH(J$4,Curves,0)))</f>
        <v/>
      </c>
      <c r="K312" s="201" t="str">
        <f aca="false">IF(A313="","",J312)</f>
        <v/>
      </c>
      <c r="L312" s="200" t="str">
        <f aca="false">IF($A313="","",VLOOKUP($A312,Table,MATCH(L$4,Curves,0)))</f>
        <v/>
      </c>
      <c r="M312" s="201" t="str">
        <f aca="false">IF(A313="","",L312)</f>
        <v/>
      </c>
      <c r="N312" s="203"/>
      <c r="O312" s="200" t="str">
        <f aca="false">IF(A313="","",L312+J312+G312)</f>
        <v/>
      </c>
      <c r="P312" s="200" t="str">
        <f aca="false">IF(A313="","",M312+K312+H312)</f>
        <v/>
      </c>
      <c r="Q312" s="204"/>
      <c r="R312" s="200" t="str">
        <f aca="false">IF($A313="","",VLOOKUP($A312,Table,MATCH(R$4,Curves,0)))</f>
        <v/>
      </c>
      <c r="S312" s="201" t="str">
        <f aca="false">IF(A313="","",R312)</f>
        <v/>
      </c>
      <c r="T312" s="200" t="str">
        <f aca="false">IF($A313="","",VLOOKUP($A312,Table,MATCH(T$4,Curves,0)))</f>
        <v/>
      </c>
      <c r="U312" s="201" t="str">
        <f aca="false">IF(A313="","",T312)</f>
        <v/>
      </c>
      <c r="V312" s="183" t="str">
        <f aca="false">IF($A313="","",IF(AND(MONTH(A312)&gt;3,MONTH(A312)&lt;11),(T312+R312+G312)*Summary!$T$7/(1-Summary!$T$7),(T312+R312+G312)*Summary!$U$7/(1-Summary!$U$7)))</f>
        <v/>
      </c>
      <c r="W312" s="200" t="str">
        <f aca="false">IF($A313="","",(T312+R312+G312+V312))</f>
        <v/>
      </c>
      <c r="X312" s="200" t="str">
        <f aca="false">IF($A313="","",(U312+S312+H312+V312))</f>
        <v/>
      </c>
      <c r="Y312" s="202"/>
      <c r="Z312" s="185" t="str">
        <f aca="false">IF($A313="","",VLOOKUP($A312,Table,MATCH(Z$4,Curves,0)))</f>
        <v/>
      </c>
      <c r="AA312" s="185" t="str">
        <f aca="false">IF($A313="","",VLOOKUP($A312,Table,MATCH(AA$4,Curves,0)))</f>
        <v/>
      </c>
      <c r="AB312" s="185" t="e">
        <f aca="false">SQRT((AA312^2*(A312-$D$3)+Z312^2*(DAY(EOMONTH(A312,0))/2))/AK312)</f>
        <v>#VALUE!</v>
      </c>
      <c r="AC312" s="185" t="str">
        <f aca="false">IF($A313="","",VLOOKUP($A312,Table,MATCH(AC$4,Curves,0)))</f>
        <v/>
      </c>
      <c r="AD312" s="185" t="str">
        <f aca="false">IF($A313="","",VLOOKUP($A312,Table,MATCH(AD$4,Curves,0)))</f>
        <v/>
      </c>
      <c r="AE312" s="185" t="e">
        <f aca="false">SQRT((AD312^2*(A312-$D$3)+AC312^2*(DAY(EOMONTH(A312,0))/2))/AK312)</f>
        <v>#VALUE!</v>
      </c>
      <c r="AF312" s="206" t="e">
        <f aca="false">((Summary!$N$7*(AA312*AD312)*(A312-$D$3))+(Summary!$M$7*Z312*AC312*(DAY(EOMONTH(A312,0))/2)))/(AK312*AB312*AE312)</f>
        <v>#VALUE!</v>
      </c>
      <c r="AG312" s="207" t="str">
        <f aca="false">IF($A313="","",Summary!$Q$7)</f>
        <v/>
      </c>
      <c r="AH312" s="207" t="str">
        <f aca="false">IF($A313="","",IF(Summary!$R$7="Y",(VLOOKUP($A312,Summary!$AD$6:$AF$9,3)+'Escalating commodity'!C325),'Escalating commodity'!C325))</f>
        <v/>
      </c>
      <c r="AI312" s="207" t="str">
        <f aca="false">IF($A313="","",AH312)</f>
        <v/>
      </c>
      <c r="AJ312" s="208" t="e">
        <f aca="false">A312+DAY(EOMONTH(A312,0))/2-1</f>
        <v>#VALUE!</v>
      </c>
      <c r="AK312" s="209" t="str">
        <f aca="false">IF($A313="","",$A312-$E$1)</f>
        <v/>
      </c>
      <c r="AL312" s="182" t="str">
        <f aca="false">IF($A313="","",SPRDOPT(P312,X312,AI312,0,AB312,AE312,AF312,AK312,$AJ$2,0))</f>
        <v/>
      </c>
      <c r="AM312" s="210" t="str">
        <f aca="false">IF($A313="","",MAX(0,O312-W312-AI312))</f>
        <v/>
      </c>
      <c r="AN312" s="211" t="str">
        <f aca="false">IF($A313="","",AL312-AM312)</f>
        <v/>
      </c>
      <c r="AO312" s="137" t="str">
        <f aca="false">IF(A313="","",A313-A312)</f>
        <v/>
      </c>
      <c r="AP312" s="212" t="str">
        <f aca="false">IF(A313="","",CHOOSE(F$3,A313+24,A312))</f>
        <v/>
      </c>
      <c r="AQ312" s="209" t="str">
        <f aca="false">IF(A313="","",AP312-$E$1)</f>
        <v/>
      </c>
      <c r="AR312" s="185" t="n">
        <f aca="false">IF(Summary!$H$2=1,VLOOKUP('ANR OK vs ML7'!A312,Curves!$C$17:$AR$273,MATCH('ANR OK vs ML7'!$AR$4,Curves!$C$8:$AQ$8,0)),0.1)</f>
        <v>0.1</v>
      </c>
      <c r="AS312" s="213" t="str">
        <f aca="false">IF(A313="","",1/(1+CHOOSE(F$3,(AR313+($I$3/10000))/2,(AR312+($I$3/10000))/2))^(2*AQ312/365.25))</f>
        <v/>
      </c>
      <c r="AT312" s="137" t="str">
        <f aca="false">IF(A313="","",IF(AND(mthbeg&lt;=A312,mthend&gt;=A312),1,0))</f>
        <v/>
      </c>
      <c r="AU312" s="137" t="str">
        <f aca="false">IF(A313="","",AO312*AT312)</f>
        <v/>
      </c>
      <c r="AW312" s="195" t="str">
        <f aca="false">IF($A313="","",AL312*$E312)</f>
        <v/>
      </c>
      <c r="AX312" s="195" t="str">
        <f aca="false">IF($A313="","",AM312*$E312)</f>
        <v/>
      </c>
      <c r="AY312" s="195" t="str">
        <f aca="false">IF($A313="","",AN312*$E312)</f>
        <v/>
      </c>
      <c r="BA312" s="195" t="str">
        <f aca="false">IF($A313="","",F312*Summary!$Q$7)</f>
        <v/>
      </c>
    </row>
    <row r="313" customFormat="false" ht="12" hidden="false" customHeight="true" outlineLevel="0" collapsed="false">
      <c r="A313" s="196" t="str">
        <f aca="false">IF(A312&lt;mthend,EDATE(A312,1),"")</f>
        <v/>
      </c>
      <c r="B313" s="197" t="str">
        <f aca="false">IF(A313&lt;mthend,B312,"")</f>
        <v/>
      </c>
      <c r="C313" s="215"/>
      <c r="D313" s="197" t="str">
        <f aca="false">IF(A314&lt;&gt;"",B313+C313,"")</f>
        <v/>
      </c>
      <c r="E313" s="199" t="str">
        <f aca="false">IF(A314="","",IF(AND(AT313=1,$H$3=1),D313*AO313,IF($H$3=2,D313,"N/A")))</f>
        <v/>
      </c>
      <c r="F313" s="199" t="str">
        <f aca="false">IF(A314="","",E313*AS313)</f>
        <v/>
      </c>
      <c r="G313" s="200" t="str">
        <f aca="false">IF($A314="","",VLOOKUP($A313,Table,MATCH(G$4,Curves,0)))</f>
        <v/>
      </c>
      <c r="H313" s="201" t="str">
        <f aca="false">IF(A314="","",G313)</f>
        <v/>
      </c>
      <c r="I313" s="202"/>
      <c r="J313" s="200" t="str">
        <f aca="false">IF($A314="","",VLOOKUP($A313,Table,MATCH(J$4,Curves,0)))</f>
        <v/>
      </c>
      <c r="K313" s="201" t="str">
        <f aca="false">IF(A314="","",J313)</f>
        <v/>
      </c>
      <c r="L313" s="200" t="str">
        <f aca="false">IF($A314="","",VLOOKUP($A313,Table,MATCH(L$4,Curves,0)))</f>
        <v/>
      </c>
      <c r="M313" s="201" t="str">
        <f aca="false">IF(A314="","",L313)</f>
        <v/>
      </c>
      <c r="N313" s="203"/>
      <c r="O313" s="200" t="str">
        <f aca="false">IF(A314="","",L313+J313+G313)</f>
        <v/>
      </c>
      <c r="P313" s="200" t="str">
        <f aca="false">IF(A314="","",M313+K313+H313)</f>
        <v/>
      </c>
      <c r="Q313" s="204"/>
      <c r="R313" s="200" t="str">
        <f aca="false">IF($A314="","",VLOOKUP($A313,Table,MATCH(R$4,Curves,0)))</f>
        <v/>
      </c>
      <c r="S313" s="201" t="str">
        <f aca="false">IF(A314="","",R313)</f>
        <v/>
      </c>
      <c r="T313" s="200" t="str">
        <f aca="false">IF($A314="","",VLOOKUP($A313,Table,MATCH(T$4,Curves,0)))</f>
        <v/>
      </c>
      <c r="U313" s="201" t="str">
        <f aca="false">IF(A314="","",T313)</f>
        <v/>
      </c>
      <c r="V313" s="183" t="str">
        <f aca="false">IF($A314="","",IF(AND(MONTH(A313)&gt;3,MONTH(A313)&lt;11),(T313+R313+G313)*Summary!$T$7/(1-Summary!$T$7),(T313+R313+G313)*Summary!$U$7/(1-Summary!$U$7)))</f>
        <v/>
      </c>
      <c r="W313" s="200" t="str">
        <f aca="false">IF($A314="","",(T313+R313+G313+V313))</f>
        <v/>
      </c>
      <c r="X313" s="200" t="str">
        <f aca="false">IF($A314="","",(U313+S313+H313+V313))</f>
        <v/>
      </c>
      <c r="Y313" s="202"/>
      <c r="Z313" s="185" t="str">
        <f aca="false">IF($A314="","",VLOOKUP($A313,Table,MATCH(Z$4,Curves,0)))</f>
        <v/>
      </c>
      <c r="AA313" s="185" t="str">
        <f aca="false">IF($A314="","",VLOOKUP($A313,Table,MATCH(AA$4,Curves,0)))</f>
        <v/>
      </c>
      <c r="AB313" s="185" t="e">
        <f aca="false">SQRT((AA313^2*(A313-$D$3)+Z313^2*(DAY(EOMONTH(A313,0))/2))/AK313)</f>
        <v>#VALUE!</v>
      </c>
      <c r="AC313" s="185" t="str">
        <f aca="false">IF($A314="","",VLOOKUP($A313,Table,MATCH(AC$4,Curves,0)))</f>
        <v/>
      </c>
      <c r="AD313" s="185" t="str">
        <f aca="false">IF($A314="","",VLOOKUP($A313,Table,MATCH(AD$4,Curves,0)))</f>
        <v/>
      </c>
      <c r="AE313" s="185" t="e">
        <f aca="false">SQRT((AD313^2*(A313-$D$3)+AC313^2*(DAY(EOMONTH(A313,0))/2))/AK313)</f>
        <v>#VALUE!</v>
      </c>
      <c r="AF313" s="206" t="e">
        <f aca="false">((Summary!$N$7*(AA313*AD313)*(A313-$D$3))+(Summary!$M$7*Z313*AC313*(DAY(EOMONTH(A313,0))/2)))/(AK313*AB313*AE313)</f>
        <v>#VALUE!</v>
      </c>
      <c r="AG313" s="207" t="str">
        <f aca="false">IF($A314="","",Summary!$Q$7)</f>
        <v/>
      </c>
      <c r="AH313" s="207" t="str">
        <f aca="false">IF($A314="","",IF(Summary!$R$7="Y",(VLOOKUP($A313,Summary!$AD$6:$AF$9,3)+'Escalating commodity'!C326),'Escalating commodity'!C326))</f>
        <v/>
      </c>
      <c r="AI313" s="207" t="str">
        <f aca="false">IF($A314="","",AH313)</f>
        <v/>
      </c>
      <c r="AJ313" s="208" t="e">
        <f aca="false">A313+DAY(EOMONTH(A313,0))/2-1</f>
        <v>#VALUE!</v>
      </c>
      <c r="AK313" s="209" t="str">
        <f aca="false">IF($A314="","",$A313-$E$1)</f>
        <v/>
      </c>
      <c r="AL313" s="182" t="str">
        <f aca="false">IF($A314="","",SPRDOPT(P313,X313,AI313,0,AB313,AE313,AF313,AK313,$AJ$2,0))</f>
        <v/>
      </c>
      <c r="AM313" s="210" t="str">
        <f aca="false">IF($A314="","",MAX(0,O313-W313-AI313))</f>
        <v/>
      </c>
      <c r="AN313" s="211" t="str">
        <f aca="false">IF($A314="","",AL313-AM313)</f>
        <v/>
      </c>
      <c r="AO313" s="137" t="str">
        <f aca="false">IF(A314="","",A314-A313)</f>
        <v/>
      </c>
      <c r="AP313" s="212" t="str">
        <f aca="false">IF(A314="","",CHOOSE(F$3,A314+24,A313))</f>
        <v/>
      </c>
      <c r="AQ313" s="209" t="str">
        <f aca="false">IF(A314="","",AP313-$E$1)</f>
        <v/>
      </c>
      <c r="AR313" s="185" t="n">
        <f aca="false">IF(Summary!$H$2=1,VLOOKUP('ANR OK vs ML7'!A313,Curves!$C$17:$AR$273,MATCH('ANR OK vs ML7'!$AR$4,Curves!$C$8:$AQ$8,0)),0.1)</f>
        <v>0.1</v>
      </c>
      <c r="AS313" s="213" t="str">
        <f aca="false">IF(A314="","",1/(1+CHOOSE(F$3,(AR314+($I$3/10000))/2,(AR313+($I$3/10000))/2))^(2*AQ313/365.25))</f>
        <v/>
      </c>
      <c r="AT313" s="137" t="str">
        <f aca="false">IF(A314="","",IF(AND(mthbeg&lt;=A313,mthend&gt;=A313),1,0))</f>
        <v/>
      </c>
      <c r="AU313" s="137" t="str">
        <f aca="false">IF(A314="","",AO313*AT313)</f>
        <v/>
      </c>
      <c r="AW313" s="195" t="str">
        <f aca="false">IF($A314="","",AL313*$E313)</f>
        <v/>
      </c>
      <c r="AX313" s="195" t="str">
        <f aca="false">IF($A314="","",AM313*$E313)</f>
        <v/>
      </c>
      <c r="AY313" s="195" t="str">
        <f aca="false">IF($A314="","",AN313*$E313)</f>
        <v/>
      </c>
      <c r="BA313" s="195" t="str">
        <f aca="false">IF($A314="","",F313*Summary!$Q$7)</f>
        <v/>
      </c>
    </row>
    <row r="314" customFormat="false" ht="12" hidden="false" customHeight="true" outlineLevel="0" collapsed="false">
      <c r="A314" s="196" t="str">
        <f aca="false">IF(A313&lt;mthend,EDATE(A313,1),"")</f>
        <v/>
      </c>
      <c r="B314" s="197" t="str">
        <f aca="false">IF(A314&lt;mthend,B313,"")</f>
        <v/>
      </c>
      <c r="C314" s="215"/>
      <c r="D314" s="197" t="str">
        <f aca="false">IF(A315&lt;&gt;"",B314+C314,"")</f>
        <v/>
      </c>
      <c r="E314" s="199" t="str">
        <f aca="false">IF(A315="","",IF(AND(AT314=1,$H$3=1),D314*AO314,IF($H$3=2,D314,"N/A")))</f>
        <v/>
      </c>
      <c r="F314" s="199" t="str">
        <f aca="false">IF(A315="","",E314*AS314)</f>
        <v/>
      </c>
      <c r="G314" s="200" t="str">
        <f aca="false">IF($A315="","",VLOOKUP($A314,Table,MATCH(G$4,Curves,0)))</f>
        <v/>
      </c>
      <c r="H314" s="201" t="str">
        <f aca="false">IF(A315="","",G314)</f>
        <v/>
      </c>
      <c r="I314" s="202"/>
      <c r="J314" s="200" t="str">
        <f aca="false">IF($A315="","",VLOOKUP($A314,Table,MATCH(J$4,Curves,0)))</f>
        <v/>
      </c>
      <c r="K314" s="201" t="str">
        <f aca="false">IF(A315="","",J314)</f>
        <v/>
      </c>
      <c r="L314" s="200" t="str">
        <f aca="false">IF($A315="","",VLOOKUP($A314,Table,MATCH(L$4,Curves,0)))</f>
        <v/>
      </c>
      <c r="M314" s="201" t="str">
        <f aca="false">IF(A315="","",L314)</f>
        <v/>
      </c>
      <c r="N314" s="203"/>
      <c r="O314" s="200" t="str">
        <f aca="false">IF(A315="","",L314+J314+G314)</f>
        <v/>
      </c>
      <c r="P314" s="200" t="str">
        <f aca="false">IF(A315="","",M314+K314+H314)</f>
        <v/>
      </c>
      <c r="Q314" s="204"/>
      <c r="R314" s="200" t="str">
        <f aca="false">IF($A315="","",VLOOKUP($A314,Table,MATCH(R$4,Curves,0)))</f>
        <v/>
      </c>
      <c r="S314" s="201" t="str">
        <f aca="false">IF(A315="","",R314)</f>
        <v/>
      </c>
      <c r="T314" s="200" t="str">
        <f aca="false">IF($A315="","",VLOOKUP($A314,Table,MATCH(T$4,Curves,0)))</f>
        <v/>
      </c>
      <c r="U314" s="201" t="str">
        <f aca="false">IF(A315="","",T314)</f>
        <v/>
      </c>
      <c r="V314" s="183" t="str">
        <f aca="false">IF($A315="","",IF(AND(MONTH(A314)&gt;3,MONTH(A314)&lt;11),(T314+R314+G314)*Summary!$T$7/(1-Summary!$T$7),(T314+R314+G314)*Summary!$U$7/(1-Summary!$U$7)))</f>
        <v/>
      </c>
      <c r="W314" s="200" t="str">
        <f aca="false">IF($A315="","",(T314+R314+G314+V314))</f>
        <v/>
      </c>
      <c r="X314" s="200" t="str">
        <f aca="false">IF($A315="","",(U314+S314+H314+V314))</f>
        <v/>
      </c>
      <c r="Y314" s="202"/>
      <c r="Z314" s="185" t="str">
        <f aca="false">IF($A315="","",VLOOKUP($A314,Table,MATCH(Z$4,Curves,0)))</f>
        <v/>
      </c>
      <c r="AA314" s="185" t="str">
        <f aca="false">IF($A315="","",VLOOKUP($A314,Table,MATCH(AA$4,Curves,0)))</f>
        <v/>
      </c>
      <c r="AB314" s="185" t="e">
        <f aca="false">SQRT((AA314^2*(A314-$D$3)+Z314^2*(DAY(EOMONTH(A314,0))/2))/AK314)</f>
        <v>#VALUE!</v>
      </c>
      <c r="AC314" s="185" t="str">
        <f aca="false">IF($A315="","",VLOOKUP($A314,Table,MATCH(AC$4,Curves,0)))</f>
        <v/>
      </c>
      <c r="AD314" s="185" t="str">
        <f aca="false">IF($A315="","",VLOOKUP($A314,Table,MATCH(AD$4,Curves,0)))</f>
        <v/>
      </c>
      <c r="AE314" s="185" t="e">
        <f aca="false">SQRT((AD314^2*(A314-$D$3)+AC314^2*(DAY(EOMONTH(A314,0))/2))/AK314)</f>
        <v>#VALUE!</v>
      </c>
      <c r="AF314" s="206" t="e">
        <f aca="false">((Summary!$N$7*(AA314*AD314)*(A314-$D$3))+(Summary!$M$7*Z314*AC314*(DAY(EOMONTH(A314,0))/2)))/(AK314*AB314*AE314)</f>
        <v>#VALUE!</v>
      </c>
      <c r="AG314" s="207" t="str">
        <f aca="false">IF($A315="","",Summary!$Q$7)</f>
        <v/>
      </c>
      <c r="AH314" s="207" t="str">
        <f aca="false">IF($A315="","",IF(Summary!$R$7="Y",(VLOOKUP($A314,Summary!$AD$6:$AF$9,3)+'Escalating commodity'!C327),'Escalating commodity'!C327))</f>
        <v/>
      </c>
      <c r="AI314" s="207" t="str">
        <f aca="false">IF($A315="","",AH314)</f>
        <v/>
      </c>
      <c r="AJ314" s="208" t="e">
        <f aca="false">A314+DAY(EOMONTH(A314,0))/2-1</f>
        <v>#VALUE!</v>
      </c>
      <c r="AK314" s="209" t="str">
        <f aca="false">IF($A315="","",$A314-$E$1)</f>
        <v/>
      </c>
      <c r="AL314" s="182" t="str">
        <f aca="false">IF($A315="","",SPRDOPT(P314,X314,AI314,0,AB314,AE314,AF314,AK314,$AJ$2,0))</f>
        <v/>
      </c>
      <c r="AM314" s="210" t="str">
        <f aca="false">IF($A315="","",MAX(0,O314-W314-AI314))</f>
        <v/>
      </c>
      <c r="AN314" s="211" t="str">
        <f aca="false">IF($A315="","",AL314-AM314)</f>
        <v/>
      </c>
      <c r="AO314" s="137" t="str">
        <f aca="false">IF(A315="","",A315-A314)</f>
        <v/>
      </c>
      <c r="AP314" s="212" t="str">
        <f aca="false">IF(A315="","",CHOOSE(F$3,A315+24,A314))</f>
        <v/>
      </c>
      <c r="AQ314" s="209" t="str">
        <f aca="false">IF(A315="","",AP314-$E$1)</f>
        <v/>
      </c>
      <c r="AR314" s="185" t="n">
        <f aca="false">IF(Summary!$H$2=1,VLOOKUP('ANR OK vs ML7'!A314,Curves!$C$17:$AR$273,MATCH('ANR OK vs ML7'!$AR$4,Curves!$C$8:$AQ$8,0)),0.1)</f>
        <v>0.1</v>
      </c>
      <c r="AS314" s="213" t="str">
        <f aca="false">IF(A315="","",1/(1+CHOOSE(F$3,(AR315+($I$3/10000))/2,(AR314+($I$3/10000))/2))^(2*AQ314/365.25))</f>
        <v/>
      </c>
      <c r="AT314" s="137" t="str">
        <f aca="false">IF(A315="","",IF(AND(mthbeg&lt;=A314,mthend&gt;=A314),1,0))</f>
        <v/>
      </c>
      <c r="AU314" s="137" t="str">
        <f aca="false">IF(A315="","",AO314*AT314)</f>
        <v/>
      </c>
      <c r="AW314" s="195" t="str">
        <f aca="false">IF($A315="","",AL314*$E314)</f>
        <v/>
      </c>
      <c r="AX314" s="195" t="str">
        <f aca="false">IF($A315="","",AM314*$E314)</f>
        <v/>
      </c>
      <c r="AY314" s="195" t="str">
        <f aca="false">IF($A315="","",AN314*$E314)</f>
        <v/>
      </c>
      <c r="BA314" s="195" t="str">
        <f aca="false">IF($A315="","",F314*Summary!$Q$7)</f>
        <v/>
      </c>
    </row>
    <row r="315" customFormat="false" ht="12" hidden="false" customHeight="true" outlineLevel="0" collapsed="false">
      <c r="A315" s="196" t="str">
        <f aca="false">IF(A314&lt;mthend,EDATE(A314,1),"")</f>
        <v/>
      </c>
      <c r="B315" s="197" t="str">
        <f aca="false">IF(A315&lt;mthend,B314,"")</f>
        <v/>
      </c>
      <c r="C315" s="215"/>
      <c r="D315" s="197" t="str">
        <f aca="false">IF(A316&lt;&gt;"",B315+C315,"")</f>
        <v/>
      </c>
      <c r="E315" s="199" t="str">
        <f aca="false">IF(A316="","",IF(AND(AT315=1,$H$3=1),D315*AO315,IF($H$3=2,D315,"N/A")))</f>
        <v/>
      </c>
      <c r="F315" s="199" t="str">
        <f aca="false">IF(A316="","",E315*AS315)</f>
        <v/>
      </c>
      <c r="G315" s="200" t="str">
        <f aca="false">IF($A316="","",VLOOKUP($A315,Table,MATCH(G$4,Curves,0)))</f>
        <v/>
      </c>
      <c r="H315" s="201" t="str">
        <f aca="false">IF(A316="","",G315)</f>
        <v/>
      </c>
      <c r="I315" s="202"/>
      <c r="J315" s="200" t="str">
        <f aca="false">IF($A316="","",VLOOKUP($A315,Table,MATCH(J$4,Curves,0)))</f>
        <v/>
      </c>
      <c r="K315" s="201" t="str">
        <f aca="false">IF(A316="","",J315)</f>
        <v/>
      </c>
      <c r="L315" s="200" t="str">
        <f aca="false">IF($A316="","",VLOOKUP($A315,Table,MATCH(L$4,Curves,0)))</f>
        <v/>
      </c>
      <c r="M315" s="201" t="str">
        <f aca="false">IF(A316="","",L315)</f>
        <v/>
      </c>
      <c r="N315" s="203"/>
      <c r="O315" s="200" t="str">
        <f aca="false">IF(A316="","",L315+J315+G315)</f>
        <v/>
      </c>
      <c r="P315" s="200" t="str">
        <f aca="false">IF(A316="","",M315+K315+H315)</f>
        <v/>
      </c>
      <c r="Q315" s="204"/>
      <c r="R315" s="200" t="str">
        <f aca="false">IF($A316="","",VLOOKUP($A315,Table,MATCH(R$4,Curves,0)))</f>
        <v/>
      </c>
      <c r="S315" s="201" t="str">
        <f aca="false">IF(A316="","",R315)</f>
        <v/>
      </c>
      <c r="T315" s="200" t="str">
        <f aca="false">IF($A316="","",VLOOKUP($A315,Table,MATCH(T$4,Curves,0)))</f>
        <v/>
      </c>
      <c r="U315" s="201" t="str">
        <f aca="false">IF(A316="","",T315)</f>
        <v/>
      </c>
      <c r="V315" s="183" t="str">
        <f aca="false">IF($A316="","",IF(AND(MONTH(A315)&gt;3,MONTH(A315)&lt;11),(T315+R315+G315)*Summary!$T$7/(1-Summary!$T$7),(T315+R315+G315)*Summary!$U$7/(1-Summary!$U$7)))</f>
        <v/>
      </c>
      <c r="W315" s="200" t="str">
        <f aca="false">IF($A316="","",(T315+R315+G315+V315))</f>
        <v/>
      </c>
      <c r="X315" s="200" t="str">
        <f aca="false">IF($A316="","",(U315+S315+H315+V315))</f>
        <v/>
      </c>
      <c r="Y315" s="202"/>
      <c r="Z315" s="185" t="str">
        <f aca="false">IF($A316="","",VLOOKUP($A315,Table,MATCH(Z$4,Curves,0)))</f>
        <v/>
      </c>
      <c r="AA315" s="185" t="str">
        <f aca="false">IF($A316="","",VLOOKUP($A315,Table,MATCH(AA$4,Curves,0)))</f>
        <v/>
      </c>
      <c r="AB315" s="185" t="e">
        <f aca="false">SQRT((AA315^2*(A315-$D$3)+Z315^2*(DAY(EOMONTH(A315,0))/2))/AK315)</f>
        <v>#VALUE!</v>
      </c>
      <c r="AC315" s="185" t="str">
        <f aca="false">IF($A316="","",VLOOKUP($A315,Table,MATCH(AC$4,Curves,0)))</f>
        <v/>
      </c>
      <c r="AD315" s="185" t="str">
        <f aca="false">IF($A316="","",VLOOKUP($A315,Table,MATCH(AD$4,Curves,0)))</f>
        <v/>
      </c>
      <c r="AE315" s="185" t="e">
        <f aca="false">SQRT((AD315^2*(A315-$D$3)+AC315^2*(DAY(EOMONTH(A315,0))/2))/AK315)</f>
        <v>#VALUE!</v>
      </c>
      <c r="AF315" s="206" t="e">
        <f aca="false">((Summary!$N$7*(AA315*AD315)*(A315-$D$3))+(Summary!$M$7*Z315*AC315*(DAY(EOMONTH(A315,0))/2)))/(AK315*AB315*AE315)</f>
        <v>#VALUE!</v>
      </c>
      <c r="AG315" s="207" t="str">
        <f aca="false">IF($A316="","",Summary!$Q$7)</f>
        <v/>
      </c>
      <c r="AH315" s="207" t="str">
        <f aca="false">IF($A316="","",IF(Summary!$R$7="Y",(VLOOKUP($A315,Summary!$AD$6:$AF$9,3)+'Escalating commodity'!C328),'Escalating commodity'!C328))</f>
        <v/>
      </c>
      <c r="AI315" s="207" t="str">
        <f aca="false">IF($A316="","",AH315)</f>
        <v/>
      </c>
      <c r="AJ315" s="208" t="e">
        <f aca="false">A315+DAY(EOMONTH(A315,0))/2-1</f>
        <v>#VALUE!</v>
      </c>
      <c r="AK315" s="209" t="str">
        <f aca="false">IF($A316="","",$A315-$E$1)</f>
        <v/>
      </c>
      <c r="AL315" s="182" t="str">
        <f aca="false">IF($A316="","",SPRDOPT(P315,X315,AI315,0,AB315,AE315,AF315,AK315,$AJ$2,0))</f>
        <v/>
      </c>
      <c r="AM315" s="210" t="str">
        <f aca="false">IF($A316="","",MAX(0,O315-W315-AI315))</f>
        <v/>
      </c>
      <c r="AN315" s="211" t="str">
        <f aca="false">IF($A316="","",AL315-AM315)</f>
        <v/>
      </c>
      <c r="AO315" s="137" t="str">
        <f aca="false">IF(A316="","",A316-A315)</f>
        <v/>
      </c>
      <c r="AP315" s="212" t="str">
        <f aca="false">IF(A316="","",CHOOSE(F$3,A316+24,A315))</f>
        <v/>
      </c>
      <c r="AQ315" s="209" t="str">
        <f aca="false">IF(A316="","",AP315-$E$1)</f>
        <v/>
      </c>
      <c r="AR315" s="185" t="n">
        <f aca="false">IF(Summary!$H$2=1,VLOOKUP('ANR OK vs ML7'!A315,Curves!$C$17:$AR$273,MATCH('ANR OK vs ML7'!$AR$4,Curves!$C$8:$AQ$8,0)),0.1)</f>
        <v>0.1</v>
      </c>
      <c r="AS315" s="213" t="str">
        <f aca="false">IF(A316="","",1/(1+CHOOSE(F$3,(AR316+($I$3/10000))/2,(AR315+($I$3/10000))/2))^(2*AQ315/365.25))</f>
        <v/>
      </c>
      <c r="AT315" s="137" t="str">
        <f aca="false">IF(A316="","",IF(AND(mthbeg&lt;=A315,mthend&gt;=A315),1,0))</f>
        <v/>
      </c>
      <c r="AU315" s="137" t="str">
        <f aca="false">IF(A316="","",AO315*AT315)</f>
        <v/>
      </c>
      <c r="AW315" s="195" t="str">
        <f aca="false">IF($A316="","",AL315*$E315)</f>
        <v/>
      </c>
      <c r="AX315" s="195" t="str">
        <f aca="false">IF($A316="","",AM315*$E315)</f>
        <v/>
      </c>
      <c r="AY315" s="195" t="str">
        <f aca="false">IF($A316="","",AN315*$E315)</f>
        <v/>
      </c>
      <c r="BA315" s="195" t="str">
        <f aca="false">IF($A316="","",F315*Summary!$Q$7)</f>
        <v/>
      </c>
    </row>
    <row r="316" customFormat="false" ht="12" hidden="false" customHeight="true" outlineLevel="0" collapsed="false">
      <c r="A316" s="196" t="str">
        <f aca="false">IF(A315&lt;mthend,EDATE(A315,1),"")</f>
        <v/>
      </c>
      <c r="B316" s="197" t="str">
        <f aca="false">IF(A316&lt;mthend,B315,"")</f>
        <v/>
      </c>
      <c r="C316" s="215"/>
      <c r="D316" s="197" t="str">
        <f aca="false">IF(A317&lt;&gt;"",B316+C316,"")</f>
        <v/>
      </c>
      <c r="E316" s="199" t="str">
        <f aca="false">IF(A317="","",IF(AND(AT316=1,$H$3=1),D316*AO316,IF($H$3=2,D316,"N/A")))</f>
        <v/>
      </c>
      <c r="F316" s="199" t="str">
        <f aca="false">IF(A317="","",E316*AS316)</f>
        <v/>
      </c>
      <c r="G316" s="200" t="str">
        <f aca="false">IF($A317="","",VLOOKUP($A316,Table,MATCH(G$4,Curves,0)))</f>
        <v/>
      </c>
      <c r="H316" s="201" t="str">
        <f aca="false">IF(A317="","",G316)</f>
        <v/>
      </c>
      <c r="I316" s="202"/>
      <c r="J316" s="200" t="str">
        <f aca="false">IF($A317="","",VLOOKUP($A316,Table,MATCH(J$4,Curves,0)))</f>
        <v/>
      </c>
      <c r="K316" s="201" t="str">
        <f aca="false">IF(A317="","",J316)</f>
        <v/>
      </c>
      <c r="L316" s="200" t="str">
        <f aca="false">IF($A317="","",VLOOKUP($A316,Table,MATCH(L$4,Curves,0)))</f>
        <v/>
      </c>
      <c r="M316" s="201" t="str">
        <f aca="false">IF(A317="","",L316)</f>
        <v/>
      </c>
      <c r="N316" s="203"/>
      <c r="O316" s="200" t="str">
        <f aca="false">IF(A317="","",L316+J316+G316)</f>
        <v/>
      </c>
      <c r="P316" s="200" t="str">
        <f aca="false">IF(A317="","",M316+K316+H316)</f>
        <v/>
      </c>
      <c r="Q316" s="204"/>
      <c r="R316" s="200" t="str">
        <f aca="false">IF($A317="","",VLOOKUP($A316,Table,MATCH(R$4,Curves,0)))</f>
        <v/>
      </c>
      <c r="S316" s="201" t="str">
        <f aca="false">IF(A317="","",R316)</f>
        <v/>
      </c>
      <c r="T316" s="200" t="str">
        <f aca="false">IF($A317="","",VLOOKUP($A316,Table,MATCH(T$4,Curves,0)))</f>
        <v/>
      </c>
      <c r="U316" s="201" t="str">
        <f aca="false">IF(A317="","",T316)</f>
        <v/>
      </c>
      <c r="V316" s="183" t="str">
        <f aca="false">IF($A317="","",IF(AND(MONTH(A316)&gt;3,MONTH(A316)&lt;11),(T316+R316+G316)*Summary!$T$7/(1-Summary!$T$7),(T316+R316+G316)*Summary!$U$7/(1-Summary!$U$7)))</f>
        <v/>
      </c>
      <c r="W316" s="200" t="str">
        <f aca="false">IF($A317="","",(T316+R316+G316+V316))</f>
        <v/>
      </c>
      <c r="X316" s="200" t="str">
        <f aca="false">IF($A317="","",(U316+S316+H316+V316))</f>
        <v/>
      </c>
      <c r="Y316" s="202"/>
      <c r="Z316" s="185" t="str">
        <f aca="false">IF($A317="","",VLOOKUP($A316,Table,MATCH(Z$4,Curves,0)))</f>
        <v/>
      </c>
      <c r="AA316" s="185" t="str">
        <f aca="false">IF($A317="","",VLOOKUP($A316,Table,MATCH(AA$4,Curves,0)))</f>
        <v/>
      </c>
      <c r="AB316" s="185" t="e">
        <f aca="false">SQRT((AA316^2*(A316-$D$3)+Z316^2*(DAY(EOMONTH(A316,0))/2))/AK316)</f>
        <v>#VALUE!</v>
      </c>
      <c r="AC316" s="185" t="str">
        <f aca="false">IF($A317="","",VLOOKUP($A316,Table,MATCH(AC$4,Curves,0)))</f>
        <v/>
      </c>
      <c r="AD316" s="185" t="str">
        <f aca="false">IF($A317="","",VLOOKUP($A316,Table,MATCH(AD$4,Curves,0)))</f>
        <v/>
      </c>
      <c r="AE316" s="185" t="e">
        <f aca="false">SQRT((AD316^2*(A316-$D$3)+AC316^2*(DAY(EOMONTH(A316,0))/2))/AK316)</f>
        <v>#VALUE!</v>
      </c>
      <c r="AF316" s="206" t="e">
        <f aca="false">((Summary!$N$7*(AA316*AD316)*(A316-$D$3))+(Summary!$M$7*Z316*AC316*(DAY(EOMONTH(A316,0))/2)))/(AK316*AB316*AE316)</f>
        <v>#VALUE!</v>
      </c>
      <c r="AG316" s="207" t="str">
        <f aca="false">IF($A317="","",Summary!$Q$7)</f>
        <v/>
      </c>
      <c r="AH316" s="207" t="str">
        <f aca="false">IF($A317="","",IF(Summary!$R$7="Y",(VLOOKUP($A316,Summary!$AD$6:$AF$9,3)+'Escalating commodity'!C329),'Escalating commodity'!C329))</f>
        <v/>
      </c>
      <c r="AI316" s="207" t="str">
        <f aca="false">IF($A317="","",AH316)</f>
        <v/>
      </c>
      <c r="AJ316" s="208" t="e">
        <f aca="false">A316+DAY(EOMONTH(A316,0))/2-1</f>
        <v>#VALUE!</v>
      </c>
      <c r="AK316" s="209" t="str">
        <f aca="false">IF($A317="","",$A316-$E$1)</f>
        <v/>
      </c>
      <c r="AL316" s="182" t="str">
        <f aca="false">IF($A317="","",SPRDOPT(P316,X316,AI316,0,AB316,AE316,AF316,AK316,$AJ$2,0))</f>
        <v/>
      </c>
      <c r="AM316" s="210" t="str">
        <f aca="false">IF($A317="","",MAX(0,O316-W316-AI316))</f>
        <v/>
      </c>
      <c r="AN316" s="211" t="str">
        <f aca="false">IF($A317="","",AL316-AM316)</f>
        <v/>
      </c>
      <c r="AO316" s="137" t="str">
        <f aca="false">IF(A317="","",A317-A316)</f>
        <v/>
      </c>
      <c r="AP316" s="212" t="str">
        <f aca="false">IF(A317="","",CHOOSE(F$3,A317+24,A316))</f>
        <v/>
      </c>
      <c r="AQ316" s="209" t="str">
        <f aca="false">IF(A317="","",AP316-$E$1)</f>
        <v/>
      </c>
      <c r="AR316" s="185" t="n">
        <f aca="false">IF(Summary!$H$2=1,VLOOKUP('ANR OK vs ML7'!A316,Curves!$C$17:$AR$273,MATCH('ANR OK vs ML7'!$AR$4,Curves!$C$8:$AQ$8,0)),0.1)</f>
        <v>0.1</v>
      </c>
      <c r="AS316" s="213" t="str">
        <f aca="false">IF(A317="","",1/(1+CHOOSE(F$3,(AR317+($I$3/10000))/2,(AR316+($I$3/10000))/2))^(2*AQ316/365.25))</f>
        <v/>
      </c>
      <c r="AT316" s="137" t="str">
        <f aca="false">IF(A317="","",IF(AND(mthbeg&lt;=A316,mthend&gt;=A316),1,0))</f>
        <v/>
      </c>
      <c r="AU316" s="137" t="str">
        <f aca="false">IF(A317="","",AO316*AT316)</f>
        <v/>
      </c>
      <c r="AW316" s="195" t="str">
        <f aca="false">IF($A317="","",AL316*$E316)</f>
        <v/>
      </c>
      <c r="AX316" s="195" t="str">
        <f aca="false">IF($A317="","",AM316*$E316)</f>
        <v/>
      </c>
      <c r="AY316" s="195" t="str">
        <f aca="false">IF($A317="","",AN316*$E316)</f>
        <v/>
      </c>
      <c r="BA316" s="195" t="str">
        <f aca="false">IF($A317="","",F316*Summary!$Q$7)</f>
        <v/>
      </c>
    </row>
    <row r="317" customFormat="false" ht="12" hidden="false" customHeight="true" outlineLevel="0" collapsed="false">
      <c r="A317" s="196" t="str">
        <f aca="false">IF(A316&lt;mthend,EDATE(A316,1),"")</f>
        <v/>
      </c>
      <c r="B317" s="197" t="str">
        <f aca="false">IF(A317&lt;mthend,B316,"")</f>
        <v/>
      </c>
      <c r="C317" s="215"/>
      <c r="D317" s="197" t="str">
        <f aca="false">IF(A318&lt;&gt;"",B317+C317,"")</f>
        <v/>
      </c>
      <c r="E317" s="199" t="str">
        <f aca="false">IF(A318="","",IF(AND(AT317=1,$H$3=1),D317*AO317,IF($H$3=2,D317,"N/A")))</f>
        <v/>
      </c>
      <c r="F317" s="199" t="str">
        <f aca="false">IF(A318="","",E317*AS317)</f>
        <v/>
      </c>
      <c r="G317" s="200" t="str">
        <f aca="false">IF($A318="","",VLOOKUP($A317,Table,MATCH(G$4,Curves,0)))</f>
        <v/>
      </c>
      <c r="H317" s="201" t="str">
        <f aca="false">IF(A318="","",G317)</f>
        <v/>
      </c>
      <c r="I317" s="202"/>
      <c r="J317" s="200" t="str">
        <f aca="false">IF($A318="","",VLOOKUP($A317,Table,MATCH(J$4,Curves,0)))</f>
        <v/>
      </c>
      <c r="K317" s="201" t="str">
        <f aca="false">IF(A318="","",J317)</f>
        <v/>
      </c>
      <c r="L317" s="200" t="str">
        <f aca="false">IF($A318="","",VLOOKUP($A317,Table,MATCH(L$4,Curves,0)))</f>
        <v/>
      </c>
      <c r="M317" s="201" t="str">
        <f aca="false">IF(A318="","",L317)</f>
        <v/>
      </c>
      <c r="N317" s="203"/>
      <c r="O317" s="200" t="str">
        <f aca="false">IF(A318="","",L317+J317+G317)</f>
        <v/>
      </c>
      <c r="P317" s="200" t="str">
        <f aca="false">IF(A318="","",M317+K317+H317)</f>
        <v/>
      </c>
      <c r="Q317" s="204"/>
      <c r="R317" s="200" t="str">
        <f aca="false">IF($A318="","",VLOOKUP($A317,Table,MATCH(R$4,Curves,0)))</f>
        <v/>
      </c>
      <c r="S317" s="201" t="str">
        <f aca="false">IF(A318="","",R317)</f>
        <v/>
      </c>
      <c r="T317" s="200" t="str">
        <f aca="false">IF($A318="","",VLOOKUP($A317,Table,MATCH(T$4,Curves,0)))</f>
        <v/>
      </c>
      <c r="U317" s="201" t="str">
        <f aca="false">IF(A318="","",T317)</f>
        <v/>
      </c>
      <c r="V317" s="183" t="str">
        <f aca="false">IF($A318="","",IF(AND(MONTH(A317)&gt;3,MONTH(A317)&lt;11),(T317+R317+G317)*Summary!$T$7/(1-Summary!$T$7),(T317+R317+G317)*Summary!$U$7/(1-Summary!$U$7)))</f>
        <v/>
      </c>
      <c r="W317" s="200" t="str">
        <f aca="false">IF($A318="","",(T317+R317+G317+V317))</f>
        <v/>
      </c>
      <c r="X317" s="200" t="str">
        <f aca="false">IF($A318="","",(U317+S317+H317+V317))</f>
        <v/>
      </c>
      <c r="Y317" s="202"/>
      <c r="Z317" s="185" t="str">
        <f aca="false">IF($A318="","",VLOOKUP($A317,Table,MATCH(Z$4,Curves,0)))</f>
        <v/>
      </c>
      <c r="AA317" s="185" t="str">
        <f aca="false">IF($A318="","",VLOOKUP($A317,Table,MATCH(AA$4,Curves,0)))</f>
        <v/>
      </c>
      <c r="AB317" s="185" t="e">
        <f aca="false">SQRT((AA317^2*(A317-$D$3)+Z317^2*(DAY(EOMONTH(A317,0))/2))/AK317)</f>
        <v>#VALUE!</v>
      </c>
      <c r="AC317" s="185" t="str">
        <f aca="false">IF($A318="","",VLOOKUP($A317,Table,MATCH(AC$4,Curves,0)))</f>
        <v/>
      </c>
      <c r="AD317" s="185" t="str">
        <f aca="false">IF($A318="","",VLOOKUP($A317,Table,MATCH(AD$4,Curves,0)))</f>
        <v/>
      </c>
      <c r="AE317" s="185" t="e">
        <f aca="false">SQRT((AD317^2*(A317-$D$3)+AC317^2*(DAY(EOMONTH(A317,0))/2))/AK317)</f>
        <v>#VALUE!</v>
      </c>
      <c r="AF317" s="206" t="e">
        <f aca="false">((Summary!$N$7*(AA317*AD317)*(A317-$D$3))+(Summary!$M$7*Z317*AC317*(DAY(EOMONTH(A317,0))/2)))/(AK317*AB317*AE317)</f>
        <v>#VALUE!</v>
      </c>
      <c r="AG317" s="207" t="str">
        <f aca="false">IF($A318="","",Summary!$Q$7)</f>
        <v/>
      </c>
      <c r="AH317" s="207" t="str">
        <f aca="false">IF($A318="","",IF(Summary!$R$7="Y",(VLOOKUP($A317,Summary!$AD$6:$AF$9,3)+'Escalating commodity'!C330),'Escalating commodity'!C330))</f>
        <v/>
      </c>
      <c r="AI317" s="207" t="str">
        <f aca="false">IF($A318="","",AH317)</f>
        <v/>
      </c>
      <c r="AJ317" s="208" t="e">
        <f aca="false">A317+DAY(EOMONTH(A317,0))/2-1</f>
        <v>#VALUE!</v>
      </c>
      <c r="AK317" s="209" t="str">
        <f aca="false">IF($A318="","",$A317-$E$1)</f>
        <v/>
      </c>
      <c r="AL317" s="182" t="str">
        <f aca="false">IF($A318="","",SPRDOPT(P317,X317,AI317,0,AB317,AE317,AF317,AK317,$AJ$2,0))</f>
        <v/>
      </c>
      <c r="AM317" s="210" t="str">
        <f aca="false">IF($A318="","",MAX(0,O317-W317-AI317))</f>
        <v/>
      </c>
      <c r="AN317" s="211" t="str">
        <f aca="false">IF($A318="","",AL317-AM317)</f>
        <v/>
      </c>
      <c r="AO317" s="137" t="str">
        <f aca="false">IF(A318="","",A318-A317)</f>
        <v/>
      </c>
      <c r="AP317" s="212" t="str">
        <f aca="false">IF(A318="","",CHOOSE(F$3,A318+24,A317))</f>
        <v/>
      </c>
      <c r="AQ317" s="209" t="str">
        <f aca="false">IF(A318="","",AP317-$E$1)</f>
        <v/>
      </c>
      <c r="AR317" s="185" t="n">
        <f aca="false">IF(Summary!$H$2=1,VLOOKUP('ANR OK vs ML7'!A317,Curves!$C$17:$AR$273,MATCH('ANR OK vs ML7'!$AR$4,Curves!$C$8:$AQ$8,0)),0.1)</f>
        <v>0.1</v>
      </c>
      <c r="AS317" s="213" t="str">
        <f aca="false">IF(A318="","",1/(1+CHOOSE(F$3,(AR318+($I$3/10000))/2,(AR317+($I$3/10000))/2))^(2*AQ317/365.25))</f>
        <v/>
      </c>
      <c r="AT317" s="137" t="str">
        <f aca="false">IF(A318="","",IF(AND(mthbeg&lt;=A317,mthend&gt;=A317),1,0))</f>
        <v/>
      </c>
      <c r="AU317" s="137" t="str">
        <f aca="false">IF(A318="","",AO317*AT317)</f>
        <v/>
      </c>
      <c r="AW317" s="195" t="str">
        <f aca="false">IF($A318="","",AL317*$E317)</f>
        <v/>
      </c>
      <c r="AX317" s="195" t="str">
        <f aca="false">IF($A318="","",AM317*$E317)</f>
        <v/>
      </c>
      <c r="AY317" s="195" t="str">
        <f aca="false">IF($A318="","",AN317*$E317)</f>
        <v/>
      </c>
      <c r="BA317" s="195" t="str">
        <f aca="false">IF($A318="","",F317*Summary!$Q$7)</f>
        <v/>
      </c>
    </row>
    <row r="318" customFormat="false" ht="12" hidden="false" customHeight="true" outlineLevel="0" collapsed="false">
      <c r="A318" s="196" t="str">
        <f aca="false">IF(A317&lt;mthend,EDATE(A317,1),"")</f>
        <v/>
      </c>
      <c r="B318" s="197" t="str">
        <f aca="false">IF(A318&lt;mthend,B317,"")</f>
        <v/>
      </c>
      <c r="C318" s="215"/>
      <c r="D318" s="197" t="str">
        <f aca="false">IF(A319&lt;&gt;"",B318+C318,"")</f>
        <v/>
      </c>
      <c r="E318" s="199" t="str">
        <f aca="false">IF(A319="","",IF(AND(AT318=1,$H$3=1),D318*AO318,IF($H$3=2,D318,"N/A")))</f>
        <v/>
      </c>
      <c r="F318" s="199" t="str">
        <f aca="false">IF(A319="","",E318*AS318)</f>
        <v/>
      </c>
      <c r="G318" s="200" t="str">
        <f aca="false">IF($A319="","",VLOOKUP($A318,Table,MATCH(G$4,Curves,0)))</f>
        <v/>
      </c>
      <c r="H318" s="201" t="str">
        <f aca="false">IF(A319="","",G318)</f>
        <v/>
      </c>
      <c r="I318" s="202"/>
      <c r="J318" s="200" t="str">
        <f aca="false">IF($A319="","",VLOOKUP($A318,Table,MATCH(J$4,Curves,0)))</f>
        <v/>
      </c>
      <c r="K318" s="201" t="str">
        <f aca="false">IF(A319="","",J318)</f>
        <v/>
      </c>
      <c r="L318" s="200" t="str">
        <f aca="false">IF($A319="","",VLOOKUP($A318,Table,MATCH(L$4,Curves,0)))</f>
        <v/>
      </c>
      <c r="M318" s="201" t="str">
        <f aca="false">IF(A319="","",L318)</f>
        <v/>
      </c>
      <c r="N318" s="203"/>
      <c r="O318" s="200" t="str">
        <f aca="false">IF(A319="","",L318+J318+G318)</f>
        <v/>
      </c>
      <c r="P318" s="200" t="str">
        <f aca="false">IF(A319="","",M318+K318+H318)</f>
        <v/>
      </c>
      <c r="Q318" s="204"/>
      <c r="R318" s="200" t="str">
        <f aca="false">IF($A319="","",VLOOKUP($A318,Table,MATCH(R$4,Curves,0)))</f>
        <v/>
      </c>
      <c r="S318" s="201" t="str">
        <f aca="false">IF(A319="","",R318)</f>
        <v/>
      </c>
      <c r="T318" s="200" t="str">
        <f aca="false">IF($A319="","",VLOOKUP($A318,Table,MATCH(T$4,Curves,0)))</f>
        <v/>
      </c>
      <c r="U318" s="201" t="str">
        <f aca="false">IF(A319="","",T318)</f>
        <v/>
      </c>
      <c r="V318" s="183" t="str">
        <f aca="false">IF($A319="","",IF(AND(MONTH(A318)&gt;3,MONTH(A318)&lt;11),(T318+R318+G318)*Summary!$T$7/(1-Summary!$T$7),(T318+R318+G318)*Summary!$U$7/(1-Summary!$U$7)))</f>
        <v/>
      </c>
      <c r="W318" s="200" t="str">
        <f aca="false">IF($A319="","",(T318+R318+G318+V318))</f>
        <v/>
      </c>
      <c r="X318" s="200" t="str">
        <f aca="false">IF($A319="","",(U318+S318+H318+V318))</f>
        <v/>
      </c>
      <c r="Y318" s="202"/>
      <c r="Z318" s="185" t="str">
        <f aca="false">IF($A319="","",VLOOKUP($A318,Table,MATCH(Z$4,Curves,0)))</f>
        <v/>
      </c>
      <c r="AA318" s="185" t="str">
        <f aca="false">IF($A319="","",VLOOKUP($A318,Table,MATCH(AA$4,Curves,0)))</f>
        <v/>
      </c>
      <c r="AB318" s="185" t="e">
        <f aca="false">SQRT((AA318^2*(A318-$D$3)+Z318^2*(DAY(EOMONTH(A318,0))/2))/AK318)</f>
        <v>#VALUE!</v>
      </c>
      <c r="AC318" s="185" t="str">
        <f aca="false">IF($A319="","",VLOOKUP($A318,Table,MATCH(AC$4,Curves,0)))</f>
        <v/>
      </c>
      <c r="AD318" s="185" t="str">
        <f aca="false">IF($A319="","",VLOOKUP($A318,Table,MATCH(AD$4,Curves,0)))</f>
        <v/>
      </c>
      <c r="AE318" s="185" t="e">
        <f aca="false">SQRT((AD318^2*(A318-$D$3)+AC318^2*(DAY(EOMONTH(A318,0))/2))/AK318)</f>
        <v>#VALUE!</v>
      </c>
      <c r="AF318" s="206" t="e">
        <f aca="false">((Summary!$N$7*(AA318*AD318)*(A318-$D$3))+(Summary!$M$7*Z318*AC318*(DAY(EOMONTH(A318,0))/2)))/(AK318*AB318*AE318)</f>
        <v>#VALUE!</v>
      </c>
      <c r="AG318" s="207" t="str">
        <f aca="false">IF($A319="","",Summary!$Q$7)</f>
        <v/>
      </c>
      <c r="AH318" s="207" t="str">
        <f aca="false">IF($A319="","",IF(Summary!$R$7="Y",(VLOOKUP($A318,Summary!$AD$6:$AF$9,3)+'Escalating commodity'!C331),'Escalating commodity'!C331))</f>
        <v/>
      </c>
      <c r="AI318" s="207" t="str">
        <f aca="false">IF($A319="","",AH318)</f>
        <v/>
      </c>
      <c r="AJ318" s="208" t="e">
        <f aca="false">A318+DAY(EOMONTH(A318,0))/2-1</f>
        <v>#VALUE!</v>
      </c>
      <c r="AK318" s="209" t="str">
        <f aca="false">IF($A319="","",$A318-$E$1)</f>
        <v/>
      </c>
      <c r="AL318" s="182" t="str">
        <f aca="false">IF($A319="","",SPRDOPT(P318,X318,AI318,0,AB318,AE318,AF318,AK318,$AJ$2,0))</f>
        <v/>
      </c>
      <c r="AM318" s="210" t="str">
        <f aca="false">IF($A319="","",MAX(0,O318-W318-AI318))</f>
        <v/>
      </c>
      <c r="AN318" s="211" t="str">
        <f aca="false">IF($A319="","",AL318-AM318)</f>
        <v/>
      </c>
      <c r="AO318" s="137" t="str">
        <f aca="false">IF(A319="","",A319-A318)</f>
        <v/>
      </c>
      <c r="AP318" s="212" t="str">
        <f aca="false">IF(A319="","",CHOOSE(F$3,A319+24,A318))</f>
        <v/>
      </c>
      <c r="AQ318" s="209" t="str">
        <f aca="false">IF(A319="","",AP318-$E$1)</f>
        <v/>
      </c>
      <c r="AR318" s="185" t="n">
        <f aca="false">IF(Summary!$H$2=1,VLOOKUP('ANR OK vs ML7'!A318,Curves!$C$17:$AR$273,MATCH('ANR OK vs ML7'!$AR$4,Curves!$C$8:$AQ$8,0)),0.1)</f>
        <v>0.1</v>
      </c>
      <c r="AS318" s="213" t="str">
        <f aca="false">IF(A319="","",1/(1+CHOOSE(F$3,(AR319+($I$3/10000))/2,(AR318+($I$3/10000))/2))^(2*AQ318/365.25))</f>
        <v/>
      </c>
      <c r="AT318" s="137" t="str">
        <f aca="false">IF(A319="","",IF(AND(mthbeg&lt;=A318,mthend&gt;=A318),1,0))</f>
        <v/>
      </c>
      <c r="AU318" s="137" t="str">
        <f aca="false">IF(A319="","",AO318*AT318)</f>
        <v/>
      </c>
      <c r="AW318" s="195" t="str">
        <f aca="false">IF($A319="","",AL318*$E318)</f>
        <v/>
      </c>
      <c r="AX318" s="195" t="str">
        <f aca="false">IF($A319="","",AM318*$E318)</f>
        <v/>
      </c>
      <c r="AY318" s="195" t="str">
        <f aca="false">IF($A319="","",AN318*$E318)</f>
        <v/>
      </c>
      <c r="BA318" s="195" t="str">
        <f aca="false">IF($A319="","",F318*Summary!$Q$7)</f>
        <v/>
      </c>
    </row>
    <row r="319" customFormat="false" ht="12" hidden="false" customHeight="true" outlineLevel="0" collapsed="false">
      <c r="A319" s="196" t="str">
        <f aca="false">IF(A318&lt;mthend,EDATE(A318,1),"")</f>
        <v/>
      </c>
      <c r="B319" s="197" t="str">
        <f aca="false">IF(A319&lt;mthend,B318,"")</f>
        <v/>
      </c>
      <c r="C319" s="215"/>
      <c r="D319" s="197" t="str">
        <f aca="false">IF(A320&lt;&gt;"",B319+C319,"")</f>
        <v/>
      </c>
      <c r="E319" s="199" t="str">
        <f aca="false">IF(A320="","",IF(AND(AT319=1,$H$3=1),D319*AO319,IF($H$3=2,D319,"N/A")))</f>
        <v/>
      </c>
      <c r="F319" s="199" t="str">
        <f aca="false">IF(A320="","",E319*AS319)</f>
        <v/>
      </c>
      <c r="G319" s="200" t="str">
        <f aca="false">IF($A320="","",VLOOKUP($A319,Table,MATCH(G$4,Curves,0)))</f>
        <v/>
      </c>
      <c r="H319" s="201" t="str">
        <f aca="false">IF(A320="","",G319)</f>
        <v/>
      </c>
      <c r="I319" s="202"/>
      <c r="J319" s="200" t="str">
        <f aca="false">IF($A320="","",VLOOKUP($A319,Table,MATCH(J$4,Curves,0)))</f>
        <v/>
      </c>
      <c r="K319" s="201" t="str">
        <f aca="false">IF(A320="","",J319)</f>
        <v/>
      </c>
      <c r="L319" s="200" t="str">
        <f aca="false">IF($A320="","",VLOOKUP($A319,Table,MATCH(L$4,Curves,0)))</f>
        <v/>
      </c>
      <c r="M319" s="201" t="str">
        <f aca="false">IF(A320="","",L319)</f>
        <v/>
      </c>
      <c r="N319" s="203"/>
      <c r="O319" s="200" t="str">
        <f aca="false">IF(A320="","",L319+J319+G319)</f>
        <v/>
      </c>
      <c r="P319" s="200" t="str">
        <f aca="false">IF(A320="","",M319+K319+H319)</f>
        <v/>
      </c>
      <c r="Q319" s="204"/>
      <c r="R319" s="200" t="str">
        <f aca="false">IF($A320="","",VLOOKUP($A319,Table,MATCH(R$4,Curves,0)))</f>
        <v/>
      </c>
      <c r="S319" s="201" t="str">
        <f aca="false">IF(A320="","",R319)</f>
        <v/>
      </c>
      <c r="T319" s="200" t="str">
        <f aca="false">IF($A320="","",VLOOKUP($A319,Table,MATCH(T$4,Curves,0)))</f>
        <v/>
      </c>
      <c r="U319" s="201" t="str">
        <f aca="false">IF(A320="","",T319)</f>
        <v/>
      </c>
      <c r="V319" s="183" t="str">
        <f aca="false">IF($A320="","",IF(AND(MONTH(A319)&gt;3,MONTH(A319)&lt;11),(T319+R319+G319)*Summary!$T$7/(1-Summary!$T$7),(T319+R319+G319)*Summary!$U$7/(1-Summary!$U$7)))</f>
        <v/>
      </c>
      <c r="W319" s="200" t="str">
        <f aca="false">IF($A320="","",(T319+R319+G319+V319))</f>
        <v/>
      </c>
      <c r="X319" s="200" t="str">
        <f aca="false">IF($A320="","",(U319+S319+H319+V319))</f>
        <v/>
      </c>
      <c r="Y319" s="202"/>
      <c r="Z319" s="185" t="str">
        <f aca="false">IF($A320="","",VLOOKUP($A319,Table,MATCH(Z$4,Curves,0)))</f>
        <v/>
      </c>
      <c r="AA319" s="185" t="str">
        <f aca="false">IF($A320="","",VLOOKUP($A319,Table,MATCH(AA$4,Curves,0)))</f>
        <v/>
      </c>
      <c r="AB319" s="185" t="e">
        <f aca="false">SQRT((AA319^2*(A319-$D$3)+Z319^2*(DAY(EOMONTH(A319,0))/2))/AK319)</f>
        <v>#VALUE!</v>
      </c>
      <c r="AC319" s="185" t="str">
        <f aca="false">IF($A320="","",VLOOKUP($A319,Table,MATCH(AC$4,Curves,0)))</f>
        <v/>
      </c>
      <c r="AD319" s="185" t="str">
        <f aca="false">IF($A320="","",VLOOKUP($A319,Table,MATCH(AD$4,Curves,0)))</f>
        <v/>
      </c>
      <c r="AE319" s="185" t="e">
        <f aca="false">SQRT((AD319^2*(A319-$D$3)+AC319^2*(DAY(EOMONTH(A319,0))/2))/AK319)</f>
        <v>#VALUE!</v>
      </c>
      <c r="AF319" s="206" t="e">
        <f aca="false">((Summary!$N$7*(AA319*AD319)*(A319-$D$3))+(Summary!$M$7*Z319*AC319*(DAY(EOMONTH(A319,0))/2)))/(AK319*AB319*AE319)</f>
        <v>#VALUE!</v>
      </c>
      <c r="AG319" s="207" t="str">
        <f aca="false">IF($A320="","",Summary!$Q$7)</f>
        <v/>
      </c>
      <c r="AH319" s="207" t="str">
        <f aca="false">IF($A320="","",IF(Summary!$R$7="Y",(VLOOKUP($A319,Summary!$AD$6:$AF$9,3)+'Escalating commodity'!C332),'Escalating commodity'!C332))</f>
        <v/>
      </c>
      <c r="AI319" s="207" t="str">
        <f aca="false">IF($A320="","",AH319)</f>
        <v/>
      </c>
      <c r="AJ319" s="208" t="e">
        <f aca="false">A319+DAY(EOMONTH(A319,0))/2-1</f>
        <v>#VALUE!</v>
      </c>
      <c r="AK319" s="209" t="str">
        <f aca="false">IF($A320="","",$A319-$E$1)</f>
        <v/>
      </c>
      <c r="AL319" s="182" t="str">
        <f aca="false">IF($A320="","",SPRDOPT(P319,X319,AI319,0,AB319,AE319,AF319,AK319,$AJ$2,0))</f>
        <v/>
      </c>
      <c r="AM319" s="210" t="str">
        <f aca="false">IF($A320="","",MAX(0,O319-W319-AI319))</f>
        <v/>
      </c>
      <c r="AN319" s="211" t="str">
        <f aca="false">IF($A320="","",AL319-AM319)</f>
        <v/>
      </c>
      <c r="AO319" s="137" t="str">
        <f aca="false">IF(A320="","",A320-A319)</f>
        <v/>
      </c>
      <c r="AP319" s="212" t="str">
        <f aca="false">IF(A320="","",CHOOSE(F$3,A320+24,A319))</f>
        <v/>
      </c>
      <c r="AQ319" s="209" t="str">
        <f aca="false">IF(A320="","",AP319-$E$1)</f>
        <v/>
      </c>
      <c r="AR319" s="185" t="n">
        <f aca="false">IF(Summary!$H$2=1,VLOOKUP('ANR OK vs ML7'!A319,Curves!$C$17:$AR$273,MATCH('ANR OK vs ML7'!$AR$4,Curves!$C$8:$AQ$8,0)),0.1)</f>
        <v>0.1</v>
      </c>
      <c r="AS319" s="213" t="str">
        <f aca="false">IF(A320="","",1/(1+CHOOSE(F$3,(AR320+($I$3/10000))/2,(AR319+($I$3/10000))/2))^(2*AQ319/365.25))</f>
        <v/>
      </c>
      <c r="AT319" s="137" t="str">
        <f aca="false">IF(A320="","",IF(AND(mthbeg&lt;=A319,mthend&gt;=A319),1,0))</f>
        <v/>
      </c>
      <c r="AU319" s="137" t="str">
        <f aca="false">IF(A320="","",AO319*AT319)</f>
        <v/>
      </c>
      <c r="AW319" s="195" t="str">
        <f aca="false">IF($A320="","",AL319*$E319)</f>
        <v/>
      </c>
      <c r="AX319" s="195" t="str">
        <f aca="false">IF($A320="","",AM319*$E319)</f>
        <v/>
      </c>
      <c r="AY319" s="195" t="str">
        <f aca="false">IF($A320="","",AN319*$E319)</f>
        <v/>
      </c>
      <c r="BA319" s="195" t="str">
        <f aca="false">IF($A320="","",F319*Summary!$Q$7)</f>
        <v/>
      </c>
    </row>
    <row r="320" customFormat="false" ht="12" hidden="false" customHeight="true" outlineLevel="0" collapsed="false">
      <c r="A320" s="196" t="str">
        <f aca="false">IF(A319&lt;mthend,EDATE(A319,1),"")</f>
        <v/>
      </c>
      <c r="B320" s="197" t="str">
        <f aca="false">IF(A320&lt;mthend,B319,"")</f>
        <v/>
      </c>
      <c r="C320" s="215"/>
      <c r="D320" s="197" t="str">
        <f aca="false">IF(A321&lt;&gt;"",B320+C320,"")</f>
        <v/>
      </c>
      <c r="E320" s="199" t="str">
        <f aca="false">IF(A321="","",IF(AND(AT320=1,$H$3=1),D320*AO320,IF($H$3=2,D320,"N/A")))</f>
        <v/>
      </c>
      <c r="F320" s="199" t="str">
        <f aca="false">IF(A321="","",E320*AS320)</f>
        <v/>
      </c>
      <c r="G320" s="200" t="str">
        <f aca="false">IF($A321="","",VLOOKUP($A320,Table,MATCH(G$4,Curves,0)))</f>
        <v/>
      </c>
      <c r="H320" s="201" t="str">
        <f aca="false">IF(A321="","",G320)</f>
        <v/>
      </c>
      <c r="I320" s="202"/>
      <c r="J320" s="200" t="str">
        <f aca="false">IF($A321="","",VLOOKUP($A320,Table,MATCH(J$4,Curves,0)))</f>
        <v/>
      </c>
      <c r="K320" s="201" t="str">
        <f aca="false">IF(A321="","",J320)</f>
        <v/>
      </c>
      <c r="L320" s="200" t="str">
        <f aca="false">IF($A321="","",VLOOKUP($A320,Table,MATCH(L$4,Curves,0)))</f>
        <v/>
      </c>
      <c r="M320" s="201" t="str">
        <f aca="false">IF(A321="","",L320)</f>
        <v/>
      </c>
      <c r="N320" s="203"/>
      <c r="O320" s="200" t="str">
        <f aca="false">IF(A321="","",L320+J320+G320)</f>
        <v/>
      </c>
      <c r="P320" s="200" t="str">
        <f aca="false">IF(A321="","",M320+K320+H320)</f>
        <v/>
      </c>
      <c r="Q320" s="204"/>
      <c r="R320" s="200" t="str">
        <f aca="false">IF($A321="","",VLOOKUP($A320,Table,MATCH(R$4,Curves,0)))</f>
        <v/>
      </c>
      <c r="S320" s="201" t="str">
        <f aca="false">IF(A321="","",R320)</f>
        <v/>
      </c>
      <c r="T320" s="200" t="str">
        <f aca="false">IF($A321="","",VLOOKUP($A320,Table,MATCH(T$4,Curves,0)))</f>
        <v/>
      </c>
      <c r="U320" s="201" t="str">
        <f aca="false">IF(A321="","",T320)</f>
        <v/>
      </c>
      <c r="V320" s="183" t="str">
        <f aca="false">IF($A321="","",IF(AND(MONTH(A320)&gt;3,MONTH(A320)&lt;11),(T320+R320+G320)*Summary!$T$7/(1-Summary!$T$7),(T320+R320+G320)*Summary!$U$7/(1-Summary!$U$7)))</f>
        <v/>
      </c>
      <c r="W320" s="200" t="str">
        <f aca="false">IF($A321="","",(T320+R320+G320+V320))</f>
        <v/>
      </c>
      <c r="X320" s="200" t="str">
        <f aca="false">IF($A321="","",(U320+S320+H320+V320))</f>
        <v/>
      </c>
      <c r="Y320" s="202"/>
      <c r="Z320" s="185" t="str">
        <f aca="false">IF($A321="","",VLOOKUP($A320,Table,MATCH(Z$4,Curves,0)))</f>
        <v/>
      </c>
      <c r="AA320" s="185" t="str">
        <f aca="false">IF($A321="","",VLOOKUP($A320,Table,MATCH(AA$4,Curves,0)))</f>
        <v/>
      </c>
      <c r="AB320" s="185" t="e">
        <f aca="false">SQRT((AA320^2*(A320-$D$3)+Z320^2*(DAY(EOMONTH(A320,0))/2))/AK320)</f>
        <v>#VALUE!</v>
      </c>
      <c r="AC320" s="185" t="str">
        <f aca="false">IF($A321="","",VLOOKUP($A320,Table,MATCH(AC$4,Curves,0)))</f>
        <v/>
      </c>
      <c r="AD320" s="185" t="str">
        <f aca="false">IF($A321="","",VLOOKUP($A320,Table,MATCH(AD$4,Curves,0)))</f>
        <v/>
      </c>
      <c r="AE320" s="185" t="e">
        <f aca="false">SQRT((AD320^2*(A320-$D$3)+AC320^2*(DAY(EOMONTH(A320,0))/2))/AK320)</f>
        <v>#VALUE!</v>
      </c>
      <c r="AF320" s="206" t="e">
        <f aca="false">((Summary!$N$7*(AA320*AD320)*(A320-$D$3))+(Summary!$M$7*Z320*AC320*(DAY(EOMONTH(A320,0))/2)))/(AK320*AB320*AE320)</f>
        <v>#VALUE!</v>
      </c>
      <c r="AG320" s="207" t="str">
        <f aca="false">IF($A321="","",Summary!$Q$7)</f>
        <v/>
      </c>
      <c r="AH320" s="207" t="str">
        <f aca="false">IF($A321="","",IF(Summary!$R$7="Y",(VLOOKUP($A320,Summary!$AD$6:$AF$9,3)+'Escalating commodity'!C333),'Escalating commodity'!C333))</f>
        <v/>
      </c>
      <c r="AI320" s="207" t="str">
        <f aca="false">IF($A321="","",AH320)</f>
        <v/>
      </c>
      <c r="AJ320" s="208" t="e">
        <f aca="false">A320+DAY(EOMONTH(A320,0))/2-1</f>
        <v>#VALUE!</v>
      </c>
      <c r="AK320" s="209" t="str">
        <f aca="false">IF($A321="","",$A320-$E$1)</f>
        <v/>
      </c>
      <c r="AL320" s="182" t="str">
        <f aca="false">IF($A321="","",SPRDOPT(P320,X320,AI320,0,AB320,AE320,AF320,AK320,$AJ$2,0))</f>
        <v/>
      </c>
      <c r="AM320" s="210" t="str">
        <f aca="false">IF($A321="","",MAX(0,O320-W320-AI320))</f>
        <v/>
      </c>
      <c r="AN320" s="211" t="str">
        <f aca="false">IF($A321="","",AL320-AM320)</f>
        <v/>
      </c>
      <c r="AO320" s="137" t="str">
        <f aca="false">IF(A321="","",A321-A320)</f>
        <v/>
      </c>
      <c r="AP320" s="212" t="str">
        <f aca="false">IF(A321="","",CHOOSE(F$3,A321+24,A320))</f>
        <v/>
      </c>
      <c r="AQ320" s="209" t="str">
        <f aca="false">IF(A321="","",AP320-$E$1)</f>
        <v/>
      </c>
      <c r="AR320" s="185" t="n">
        <f aca="false">IF(Summary!$H$2=1,VLOOKUP('ANR OK vs ML7'!A320,Curves!$C$17:$AR$273,MATCH('ANR OK vs ML7'!$AR$4,Curves!$C$8:$AQ$8,0)),0.1)</f>
        <v>0.1</v>
      </c>
      <c r="AS320" s="213" t="str">
        <f aca="false">IF(A321="","",1/(1+CHOOSE(F$3,(AR321+($I$3/10000))/2,(AR320+($I$3/10000))/2))^(2*AQ320/365.25))</f>
        <v/>
      </c>
      <c r="AT320" s="137" t="str">
        <f aca="false">IF(A321="","",IF(AND(mthbeg&lt;=A320,mthend&gt;=A320),1,0))</f>
        <v/>
      </c>
      <c r="AU320" s="137" t="str">
        <f aca="false">IF(A321="","",AO320*AT320)</f>
        <v/>
      </c>
      <c r="AW320" s="195" t="str">
        <f aca="false">IF($A321="","",AL320*$E320)</f>
        <v/>
      </c>
      <c r="AX320" s="195" t="str">
        <f aca="false">IF($A321="","",AM320*$E320)</f>
        <v/>
      </c>
      <c r="AY320" s="195" t="str">
        <f aca="false">IF($A321="","",AN320*$E320)</f>
        <v/>
      </c>
      <c r="BA320" s="195" t="str">
        <f aca="false">IF($A321="","",F320*Summary!$Q$7)</f>
        <v/>
      </c>
    </row>
    <row r="321" customFormat="false" ht="12" hidden="false" customHeight="true" outlineLevel="0" collapsed="false">
      <c r="A321" s="196" t="str">
        <f aca="false">IF(A320&lt;mthend,EDATE(A320,1),"")</f>
        <v/>
      </c>
      <c r="B321" s="197" t="str">
        <f aca="false">IF(A321&lt;mthend,B320,"")</f>
        <v/>
      </c>
      <c r="C321" s="215"/>
      <c r="D321" s="197" t="str">
        <f aca="false">IF(A322&lt;&gt;"",B321+C321,"")</f>
        <v/>
      </c>
      <c r="E321" s="199" t="str">
        <f aca="false">IF(A322="","",IF(AND(AT321=1,$H$3=1),D321*AO321,IF($H$3=2,D321,"N/A")))</f>
        <v/>
      </c>
      <c r="F321" s="199" t="str">
        <f aca="false">IF(A322="","",E321*AS321)</f>
        <v/>
      </c>
      <c r="G321" s="200" t="str">
        <f aca="false">IF($A322="","",VLOOKUP($A321,Table,MATCH(G$4,Curves,0)))</f>
        <v/>
      </c>
      <c r="H321" s="201" t="str">
        <f aca="false">IF(A322="","",G321)</f>
        <v/>
      </c>
      <c r="I321" s="202"/>
      <c r="J321" s="200" t="str">
        <f aca="false">IF($A322="","",VLOOKUP($A321,Table,MATCH(J$4,Curves,0)))</f>
        <v/>
      </c>
      <c r="K321" s="201" t="str">
        <f aca="false">IF(A322="","",J321)</f>
        <v/>
      </c>
      <c r="L321" s="200" t="str">
        <f aca="false">IF($A322="","",VLOOKUP($A321,Table,MATCH(L$4,Curves,0)))</f>
        <v/>
      </c>
      <c r="M321" s="201" t="str">
        <f aca="false">IF(A322="","",L321)</f>
        <v/>
      </c>
      <c r="N321" s="203"/>
      <c r="O321" s="200" t="str">
        <f aca="false">IF(A322="","",L321+J321+G321)</f>
        <v/>
      </c>
      <c r="P321" s="200" t="str">
        <f aca="false">IF(A322="","",M321+K321+H321)</f>
        <v/>
      </c>
      <c r="Q321" s="204"/>
      <c r="R321" s="200" t="str">
        <f aca="false">IF($A322="","",VLOOKUP($A321,Table,MATCH(R$4,Curves,0)))</f>
        <v/>
      </c>
      <c r="S321" s="201" t="str">
        <f aca="false">IF(A322="","",R321)</f>
        <v/>
      </c>
      <c r="T321" s="200" t="str">
        <f aca="false">IF($A322="","",VLOOKUP($A321,Table,MATCH(T$4,Curves,0)))</f>
        <v/>
      </c>
      <c r="U321" s="201" t="str">
        <f aca="false">IF(A322="","",T321)</f>
        <v/>
      </c>
      <c r="V321" s="183" t="str">
        <f aca="false">IF($A322="","",IF(AND(MONTH(A321)&gt;3,MONTH(A321)&lt;11),(T321+R321+G321)*Summary!$T$7/(1-Summary!$T$7),(T321+R321+G321)*Summary!$U$7/(1-Summary!$U$7)))</f>
        <v/>
      </c>
      <c r="W321" s="200" t="str">
        <f aca="false">IF($A322="","",(T321+R321+G321+V321))</f>
        <v/>
      </c>
      <c r="X321" s="200" t="str">
        <f aca="false">IF($A322="","",(U321+S321+H321+V321))</f>
        <v/>
      </c>
      <c r="Y321" s="202"/>
      <c r="Z321" s="185" t="str">
        <f aca="false">IF($A322="","",VLOOKUP($A321,Table,MATCH(Z$4,Curves,0)))</f>
        <v/>
      </c>
      <c r="AA321" s="185" t="str">
        <f aca="false">IF($A322="","",VLOOKUP($A321,Table,MATCH(AA$4,Curves,0)))</f>
        <v/>
      </c>
      <c r="AB321" s="185" t="e">
        <f aca="false">SQRT((AA321^2*(A321-$D$3)+Z321^2*(DAY(EOMONTH(A321,0))/2))/AK321)</f>
        <v>#VALUE!</v>
      </c>
      <c r="AC321" s="185" t="str">
        <f aca="false">IF($A322="","",VLOOKUP($A321,Table,MATCH(AC$4,Curves,0)))</f>
        <v/>
      </c>
      <c r="AD321" s="185" t="str">
        <f aca="false">IF($A322="","",VLOOKUP($A321,Table,MATCH(AD$4,Curves,0)))</f>
        <v/>
      </c>
      <c r="AE321" s="185" t="e">
        <f aca="false">SQRT((AD321^2*(A321-$D$3)+AC321^2*(DAY(EOMONTH(A321,0))/2))/AK321)</f>
        <v>#VALUE!</v>
      </c>
      <c r="AF321" s="206" t="e">
        <f aca="false">((Summary!$N$7*(AA321*AD321)*(A321-$D$3))+(Summary!$M$7*Z321*AC321*(DAY(EOMONTH(A321,0))/2)))/(AK321*AB321*AE321)</f>
        <v>#VALUE!</v>
      </c>
      <c r="AG321" s="207" t="str">
        <f aca="false">IF($A322="","",Summary!$Q$7)</f>
        <v/>
      </c>
      <c r="AH321" s="207" t="str">
        <f aca="false">IF($A322="","",IF(Summary!$R$7="Y",(VLOOKUP($A321,Summary!$AD$6:$AF$9,3)+'Escalating commodity'!C334),'Escalating commodity'!C334))</f>
        <v/>
      </c>
      <c r="AI321" s="207" t="str">
        <f aca="false">IF($A322="","",AH321)</f>
        <v/>
      </c>
      <c r="AJ321" s="208" t="e">
        <f aca="false">A321+DAY(EOMONTH(A321,0))/2-1</f>
        <v>#VALUE!</v>
      </c>
      <c r="AK321" s="209" t="str">
        <f aca="false">IF($A322="","",$A321-$E$1)</f>
        <v/>
      </c>
      <c r="AL321" s="182" t="str">
        <f aca="false">IF($A322="","",SPRDOPT(P321,X321,AI321,0,AB321,AE321,AF321,AK321,$AJ$2,0))</f>
        <v/>
      </c>
      <c r="AM321" s="210" t="str">
        <f aca="false">IF($A322="","",MAX(0,O321-W321-AI321))</f>
        <v/>
      </c>
      <c r="AN321" s="211" t="str">
        <f aca="false">IF($A322="","",AL321-AM321)</f>
        <v/>
      </c>
      <c r="AO321" s="137" t="str">
        <f aca="false">IF(A322="","",A322-A321)</f>
        <v/>
      </c>
      <c r="AP321" s="212" t="str">
        <f aca="false">IF(A322="","",CHOOSE(F$3,A322+24,A321))</f>
        <v/>
      </c>
      <c r="AQ321" s="209" t="str">
        <f aca="false">IF(A322="","",AP321-$E$1)</f>
        <v/>
      </c>
      <c r="AR321" s="185" t="n">
        <f aca="false">IF(Summary!$H$2=1,VLOOKUP('ANR OK vs ML7'!A321,Curves!$C$17:$AR$273,MATCH('ANR OK vs ML7'!$AR$4,Curves!$C$8:$AQ$8,0)),0.1)</f>
        <v>0.1</v>
      </c>
      <c r="AS321" s="213" t="str">
        <f aca="false">IF(A322="","",1/(1+CHOOSE(F$3,(AR322+($I$3/10000))/2,(AR321+($I$3/10000))/2))^(2*AQ321/365.25))</f>
        <v/>
      </c>
      <c r="AT321" s="137" t="str">
        <f aca="false">IF(A322="","",IF(AND(mthbeg&lt;=A321,mthend&gt;=A321),1,0))</f>
        <v/>
      </c>
      <c r="AU321" s="137" t="str">
        <f aca="false">IF(A322="","",AO321*AT321)</f>
        <v/>
      </c>
      <c r="AW321" s="195" t="str">
        <f aca="false">IF($A322="","",AL321*$E321)</f>
        <v/>
      </c>
      <c r="AX321" s="195" t="str">
        <f aca="false">IF($A322="","",AM321*$E321)</f>
        <v/>
      </c>
      <c r="AY321" s="195" t="str">
        <f aca="false">IF($A322="","",AN321*$E321)</f>
        <v/>
      </c>
      <c r="BA321" s="195" t="str">
        <f aca="false">IF($A322="","",F321*Summary!$Q$7)</f>
        <v/>
      </c>
    </row>
    <row r="322" customFormat="false" ht="12" hidden="false" customHeight="true" outlineLevel="0" collapsed="false">
      <c r="A322" s="196" t="str">
        <f aca="false">IF(A321&lt;mthend,EDATE(A321,1),"")</f>
        <v/>
      </c>
      <c r="B322" s="197" t="str">
        <f aca="false">IF(A322&lt;mthend,B321,"")</f>
        <v/>
      </c>
      <c r="C322" s="215"/>
      <c r="D322" s="197" t="str">
        <f aca="false">IF(A323&lt;&gt;"",B322+C322,"")</f>
        <v/>
      </c>
      <c r="E322" s="199" t="str">
        <f aca="false">IF(A323="","",IF(AND(AT322=1,$H$3=1),D322*AO322,IF($H$3=2,D322,"N/A")))</f>
        <v/>
      </c>
      <c r="F322" s="199" t="str">
        <f aca="false">IF(A323="","",E322*AS322)</f>
        <v/>
      </c>
      <c r="G322" s="200" t="str">
        <f aca="false">IF($A323="","",VLOOKUP($A322,Table,MATCH(G$4,Curves,0)))</f>
        <v/>
      </c>
      <c r="H322" s="201" t="str">
        <f aca="false">IF(A323="","",G322)</f>
        <v/>
      </c>
      <c r="I322" s="202"/>
      <c r="J322" s="200" t="str">
        <f aca="false">IF($A323="","",VLOOKUP($A322,Table,MATCH(J$4,Curves,0)))</f>
        <v/>
      </c>
      <c r="K322" s="201" t="str">
        <f aca="false">IF(A323="","",J322)</f>
        <v/>
      </c>
      <c r="L322" s="200" t="str">
        <f aca="false">IF($A323="","",VLOOKUP($A322,Table,MATCH(L$4,Curves,0)))</f>
        <v/>
      </c>
      <c r="M322" s="201" t="str">
        <f aca="false">IF(A323="","",L322)</f>
        <v/>
      </c>
      <c r="N322" s="203"/>
      <c r="O322" s="200" t="str">
        <f aca="false">IF(A323="","",L322+J322+G322)</f>
        <v/>
      </c>
      <c r="P322" s="200" t="str">
        <f aca="false">IF(A323="","",M322+K322+H322)</f>
        <v/>
      </c>
      <c r="Q322" s="204"/>
      <c r="R322" s="200" t="str">
        <f aca="false">IF($A323="","",VLOOKUP($A322,Table,MATCH(R$4,Curves,0)))</f>
        <v/>
      </c>
      <c r="S322" s="201" t="str">
        <f aca="false">IF(A323="","",R322)</f>
        <v/>
      </c>
      <c r="T322" s="200" t="str">
        <f aca="false">IF($A323="","",VLOOKUP($A322,Table,MATCH(T$4,Curves,0)))</f>
        <v/>
      </c>
      <c r="U322" s="201" t="str">
        <f aca="false">IF(A323="","",T322)</f>
        <v/>
      </c>
      <c r="V322" s="183" t="str">
        <f aca="false">IF($A323="","",IF(AND(MONTH(A322)&gt;3,MONTH(A322)&lt;11),(T322+R322+G322)*Summary!$T$7/(1-Summary!$T$7),(T322+R322+G322)*Summary!$U$7/(1-Summary!$U$7)))</f>
        <v/>
      </c>
      <c r="W322" s="200" t="str">
        <f aca="false">IF($A323="","",(T322+R322+G322+V322))</f>
        <v/>
      </c>
      <c r="X322" s="200" t="str">
        <f aca="false">IF($A323="","",(U322+S322+H322+V322))</f>
        <v/>
      </c>
      <c r="Y322" s="202"/>
      <c r="Z322" s="185" t="str">
        <f aca="false">IF($A323="","",VLOOKUP($A322,Table,MATCH(Z$4,Curves,0)))</f>
        <v/>
      </c>
      <c r="AA322" s="185" t="str">
        <f aca="false">IF($A323="","",VLOOKUP($A322,Table,MATCH(AA$4,Curves,0)))</f>
        <v/>
      </c>
      <c r="AB322" s="185" t="e">
        <f aca="false">SQRT((AA322^2*(A322-$D$3)+Z322^2*(DAY(EOMONTH(A322,0))/2))/AK322)</f>
        <v>#VALUE!</v>
      </c>
      <c r="AC322" s="185" t="str">
        <f aca="false">IF($A323="","",VLOOKUP($A322,Table,MATCH(AC$4,Curves,0)))</f>
        <v/>
      </c>
      <c r="AD322" s="185" t="str">
        <f aca="false">IF($A323="","",VLOOKUP($A322,Table,MATCH(AD$4,Curves,0)))</f>
        <v/>
      </c>
      <c r="AE322" s="185" t="e">
        <f aca="false">SQRT((AD322^2*(A322-$D$3)+AC322^2*(DAY(EOMONTH(A322,0))/2))/AK322)</f>
        <v>#VALUE!</v>
      </c>
      <c r="AF322" s="206" t="e">
        <f aca="false">((Summary!$N$7*(AA322*AD322)*(A322-$D$3))+(Summary!$M$7*Z322*AC322*(DAY(EOMONTH(A322,0))/2)))/(AK322*AB322*AE322)</f>
        <v>#VALUE!</v>
      </c>
      <c r="AG322" s="207" t="str">
        <f aca="false">IF($A323="","",Summary!$Q$7)</f>
        <v/>
      </c>
      <c r="AH322" s="207" t="str">
        <f aca="false">IF($A323="","",IF(Summary!$R$7="Y",(VLOOKUP($A322,Summary!$AD$6:$AF$9,3)+'Escalating commodity'!C335),'Escalating commodity'!C335))</f>
        <v/>
      </c>
      <c r="AI322" s="207" t="str">
        <f aca="false">IF($A323="","",AH322)</f>
        <v/>
      </c>
      <c r="AJ322" s="208" t="e">
        <f aca="false">A322+DAY(EOMONTH(A322,0))/2-1</f>
        <v>#VALUE!</v>
      </c>
      <c r="AK322" s="209" t="str">
        <f aca="false">IF($A323="","",$A322-$E$1)</f>
        <v/>
      </c>
      <c r="AL322" s="182" t="str">
        <f aca="false">IF($A323="","",SPRDOPT(P322,X322,AI322,0,AB322,AE322,AF322,AK322,$AJ$2,0))</f>
        <v/>
      </c>
      <c r="AM322" s="210" t="str">
        <f aca="false">IF($A323="","",MAX(0,O322-W322-AI322))</f>
        <v/>
      </c>
      <c r="AN322" s="211" t="str">
        <f aca="false">IF($A323="","",AL322-AM322)</f>
        <v/>
      </c>
      <c r="AO322" s="137" t="str">
        <f aca="false">IF(A323="","",A323-A322)</f>
        <v/>
      </c>
      <c r="AP322" s="212" t="str">
        <f aca="false">IF(A323="","",CHOOSE(F$3,A323+24,A322))</f>
        <v/>
      </c>
      <c r="AQ322" s="209" t="str">
        <f aca="false">IF(A323="","",AP322-$E$1)</f>
        <v/>
      </c>
      <c r="AR322" s="185" t="n">
        <f aca="false">IF(Summary!$H$2=1,VLOOKUP('ANR OK vs ML7'!A322,Curves!$C$17:$AR$273,MATCH('ANR OK vs ML7'!$AR$4,Curves!$C$8:$AQ$8,0)),0.1)</f>
        <v>0.1</v>
      </c>
      <c r="AS322" s="213" t="str">
        <f aca="false">IF(A323="","",1/(1+CHOOSE(F$3,(AR323+($I$3/10000))/2,(AR322+($I$3/10000))/2))^(2*AQ322/365.25))</f>
        <v/>
      </c>
      <c r="AT322" s="137" t="str">
        <f aca="false">IF(A323="","",IF(AND(mthbeg&lt;=A322,mthend&gt;=A322),1,0))</f>
        <v/>
      </c>
      <c r="AU322" s="137" t="str">
        <f aca="false">IF(A323="","",AO322*AT322)</f>
        <v/>
      </c>
      <c r="AW322" s="195" t="str">
        <f aca="false">IF($A323="","",AL322*$E322)</f>
        <v/>
      </c>
      <c r="AX322" s="195" t="str">
        <f aca="false">IF($A323="","",AM322*$E322)</f>
        <v/>
      </c>
      <c r="AY322" s="195" t="str">
        <f aca="false">IF($A323="","",AN322*$E322)</f>
        <v/>
      </c>
      <c r="BA322" s="195" t="str">
        <f aca="false">IF($A323="","",F322*Summary!$Q$7)</f>
        <v/>
      </c>
    </row>
    <row r="323" customFormat="false" ht="12" hidden="false" customHeight="true" outlineLevel="0" collapsed="false">
      <c r="A323" s="196" t="str">
        <f aca="false">IF(A322&lt;mthend,EDATE(A322,1),"")</f>
        <v/>
      </c>
      <c r="B323" s="197" t="str">
        <f aca="false">IF(A323&lt;mthend,B322,"")</f>
        <v/>
      </c>
      <c r="C323" s="215"/>
      <c r="D323" s="197" t="str">
        <f aca="false">IF(A324&lt;&gt;"",B323+C323,"")</f>
        <v/>
      </c>
      <c r="E323" s="199" t="str">
        <f aca="false">IF(A324="","",IF(AND(AT323=1,$H$3=1),D323*AO323,IF($H$3=2,D323,"N/A")))</f>
        <v/>
      </c>
      <c r="F323" s="199" t="str">
        <f aca="false">IF(A324="","",E323*AS323)</f>
        <v/>
      </c>
      <c r="G323" s="200" t="str">
        <f aca="false">IF($A324="","",VLOOKUP($A323,Table,MATCH(G$4,Curves,0)))</f>
        <v/>
      </c>
      <c r="H323" s="201" t="str">
        <f aca="false">IF(A324="","",G323)</f>
        <v/>
      </c>
      <c r="I323" s="202"/>
      <c r="J323" s="200" t="str">
        <f aca="false">IF($A324="","",VLOOKUP($A323,Table,MATCH(J$4,Curves,0)))</f>
        <v/>
      </c>
      <c r="K323" s="201" t="str">
        <f aca="false">IF(A324="","",J323)</f>
        <v/>
      </c>
      <c r="L323" s="200" t="str">
        <f aca="false">IF($A324="","",VLOOKUP($A323,Table,MATCH(L$4,Curves,0)))</f>
        <v/>
      </c>
      <c r="M323" s="201" t="str">
        <f aca="false">IF(A324="","",L323)</f>
        <v/>
      </c>
      <c r="N323" s="203"/>
      <c r="O323" s="200" t="str">
        <f aca="false">IF(A324="","",L323+J323+G323)</f>
        <v/>
      </c>
      <c r="P323" s="200" t="str">
        <f aca="false">IF(A324="","",M323+K323+H323)</f>
        <v/>
      </c>
      <c r="Q323" s="204"/>
      <c r="R323" s="200" t="str">
        <f aca="false">IF($A324="","",VLOOKUP($A323,Table,MATCH(R$4,Curves,0)))</f>
        <v/>
      </c>
      <c r="S323" s="201" t="str">
        <f aca="false">IF(A324="","",R323)</f>
        <v/>
      </c>
      <c r="T323" s="200" t="str">
        <f aca="false">IF($A324="","",VLOOKUP($A323,Table,MATCH(T$4,Curves,0)))</f>
        <v/>
      </c>
      <c r="U323" s="201" t="str">
        <f aca="false">IF(A324="","",T323)</f>
        <v/>
      </c>
      <c r="V323" s="183" t="str">
        <f aca="false">IF($A324="","",IF(AND(MONTH(A323)&gt;3,MONTH(A323)&lt;11),(T323+R323+G323)*Summary!$T$7/(1-Summary!$T$7),(T323+R323+G323)*Summary!$U$7/(1-Summary!$U$7)))</f>
        <v/>
      </c>
      <c r="W323" s="200" t="str">
        <f aca="false">IF($A324="","",(T323+R323+G323+V323))</f>
        <v/>
      </c>
      <c r="X323" s="200" t="str">
        <f aca="false">IF($A324="","",(U323+S323+H323+V323))</f>
        <v/>
      </c>
      <c r="Y323" s="202"/>
      <c r="Z323" s="185" t="str">
        <f aca="false">IF($A324="","",VLOOKUP($A323,Table,MATCH(Z$4,Curves,0)))</f>
        <v/>
      </c>
      <c r="AA323" s="185" t="str">
        <f aca="false">IF($A324="","",VLOOKUP($A323,Table,MATCH(AA$4,Curves,0)))</f>
        <v/>
      </c>
      <c r="AB323" s="185" t="e">
        <f aca="false">SQRT((AA323^2*(A323-$D$3)+Z323^2*(DAY(EOMONTH(A323,0))/2))/AK323)</f>
        <v>#VALUE!</v>
      </c>
      <c r="AC323" s="185" t="str">
        <f aca="false">IF($A324="","",VLOOKUP($A323,Table,MATCH(AC$4,Curves,0)))</f>
        <v/>
      </c>
      <c r="AD323" s="185" t="str">
        <f aca="false">IF($A324="","",VLOOKUP($A323,Table,MATCH(AD$4,Curves,0)))</f>
        <v/>
      </c>
      <c r="AE323" s="185" t="e">
        <f aca="false">SQRT((AD323^2*(A323-$D$3)+AC323^2*(DAY(EOMONTH(A323,0))/2))/AK323)</f>
        <v>#VALUE!</v>
      </c>
      <c r="AF323" s="206" t="e">
        <f aca="false">((Summary!$N$7*(AA323*AD323)*(A323-$D$3))+(Summary!$M$7*Z323*AC323*(DAY(EOMONTH(A323,0))/2)))/(AK323*AB323*AE323)</f>
        <v>#VALUE!</v>
      </c>
      <c r="AG323" s="207" t="str">
        <f aca="false">IF($A324="","",Summary!$Q$7)</f>
        <v/>
      </c>
      <c r="AH323" s="207" t="str">
        <f aca="false">IF($A324="","",IF(Summary!$R$7="Y",(VLOOKUP($A323,Summary!$AD$6:$AF$9,3)+'Escalating commodity'!C336),'Escalating commodity'!C336))</f>
        <v/>
      </c>
      <c r="AI323" s="207" t="str">
        <f aca="false">IF($A324="","",AH323)</f>
        <v/>
      </c>
      <c r="AJ323" s="208" t="e">
        <f aca="false">A323+DAY(EOMONTH(A323,0))/2-1</f>
        <v>#VALUE!</v>
      </c>
      <c r="AK323" s="209" t="str">
        <f aca="false">IF($A324="","",$A323-$E$1)</f>
        <v/>
      </c>
      <c r="AL323" s="182" t="str">
        <f aca="false">IF($A324="","",SPRDOPT(P323,X323,AI323,0,AB323,AE323,AF323,AK323,$AJ$2,0))</f>
        <v/>
      </c>
      <c r="AM323" s="210" t="str">
        <f aca="false">IF($A324="","",MAX(0,O323-W323-AI323))</f>
        <v/>
      </c>
      <c r="AN323" s="211" t="str">
        <f aca="false">IF($A324="","",AL323-AM323)</f>
        <v/>
      </c>
      <c r="AO323" s="137" t="str">
        <f aca="false">IF(A324="","",A324-A323)</f>
        <v/>
      </c>
      <c r="AP323" s="212" t="str">
        <f aca="false">IF(A324="","",CHOOSE(F$3,A324+24,A323))</f>
        <v/>
      </c>
      <c r="AQ323" s="209" t="str">
        <f aca="false">IF(A324="","",AP323-$E$1)</f>
        <v/>
      </c>
      <c r="AR323" s="185" t="n">
        <f aca="false">IF(Summary!$H$2=1,VLOOKUP('ANR OK vs ML7'!A323,Curves!$C$17:$AR$273,MATCH('ANR OK vs ML7'!$AR$4,Curves!$C$8:$AQ$8,0)),0.1)</f>
        <v>0.1</v>
      </c>
      <c r="AS323" s="213" t="str">
        <f aca="false">IF(A324="","",1/(1+CHOOSE(F$3,(AR324+($I$3/10000))/2,(AR323+($I$3/10000))/2))^(2*AQ323/365.25))</f>
        <v/>
      </c>
      <c r="AT323" s="137" t="str">
        <f aca="false">IF(A324="","",IF(AND(mthbeg&lt;=A323,mthend&gt;=A323),1,0))</f>
        <v/>
      </c>
      <c r="AU323" s="137" t="str">
        <f aca="false">IF(A324="","",AO323*AT323)</f>
        <v/>
      </c>
      <c r="AW323" s="195" t="str">
        <f aca="false">IF($A324="","",AL323*$E323)</f>
        <v/>
      </c>
      <c r="AX323" s="195" t="str">
        <f aca="false">IF($A324="","",AM323*$E323)</f>
        <v/>
      </c>
      <c r="AY323" s="195" t="str">
        <f aca="false">IF($A324="","",AN323*$E323)</f>
        <v/>
      </c>
      <c r="BA323" s="195" t="str">
        <f aca="false">IF($A324="","",F323*Summary!$Q$7)</f>
        <v/>
      </c>
    </row>
    <row r="324" customFormat="false" ht="12" hidden="false" customHeight="true" outlineLevel="0" collapsed="false">
      <c r="A324" s="196" t="str">
        <f aca="false">IF(A323&lt;mthend,EDATE(A323,1),"")</f>
        <v/>
      </c>
      <c r="B324" s="197" t="str">
        <f aca="false">IF(A324&lt;mthend,B323,"")</f>
        <v/>
      </c>
      <c r="C324" s="215"/>
      <c r="D324" s="197" t="str">
        <f aca="false">IF(A325&lt;&gt;"",B324+C324,"")</f>
        <v/>
      </c>
      <c r="E324" s="199" t="str">
        <f aca="false">IF(A325="","",IF(AND(AT324=1,$H$3=1),D324*AO324,IF($H$3=2,D324,"N/A")))</f>
        <v/>
      </c>
      <c r="F324" s="199" t="str">
        <f aca="false">IF(A325="","",E324*AS324)</f>
        <v/>
      </c>
      <c r="G324" s="200" t="str">
        <f aca="false">IF($A325="","",VLOOKUP($A324,Table,MATCH(G$4,Curves,0)))</f>
        <v/>
      </c>
      <c r="H324" s="201" t="str">
        <f aca="false">IF(A325="","",G324)</f>
        <v/>
      </c>
      <c r="I324" s="202"/>
      <c r="J324" s="200" t="str">
        <f aca="false">IF($A325="","",VLOOKUP($A324,Table,MATCH(J$4,Curves,0)))</f>
        <v/>
      </c>
      <c r="K324" s="201" t="str">
        <f aca="false">IF(A325="","",J324)</f>
        <v/>
      </c>
      <c r="L324" s="200" t="str">
        <f aca="false">IF($A325="","",VLOOKUP($A324,Table,MATCH(L$4,Curves,0)))</f>
        <v/>
      </c>
      <c r="M324" s="201" t="str">
        <f aca="false">IF(A325="","",L324)</f>
        <v/>
      </c>
      <c r="N324" s="203"/>
      <c r="O324" s="200" t="str">
        <f aca="false">IF(A325="","",L324+J324+G324)</f>
        <v/>
      </c>
      <c r="P324" s="200" t="str">
        <f aca="false">IF(A325="","",M324+K324+H324)</f>
        <v/>
      </c>
      <c r="Q324" s="204"/>
      <c r="R324" s="200" t="str">
        <f aca="false">IF($A325="","",VLOOKUP($A324,Table,MATCH(R$4,Curves,0)))</f>
        <v/>
      </c>
      <c r="S324" s="201" t="str">
        <f aca="false">IF(A325="","",R324)</f>
        <v/>
      </c>
      <c r="T324" s="200" t="str">
        <f aca="false">IF($A325="","",VLOOKUP($A324,Table,MATCH(T$4,Curves,0)))</f>
        <v/>
      </c>
      <c r="U324" s="201" t="str">
        <f aca="false">IF(A325="","",T324)</f>
        <v/>
      </c>
      <c r="V324" s="183" t="str">
        <f aca="false">IF($A325="","",IF(AND(MONTH(A324)&gt;3,MONTH(A324)&lt;11),(T324+R324+G324)*Summary!$T$7/(1-Summary!$T$7),(T324+R324+G324)*Summary!$U$7/(1-Summary!$U$7)))</f>
        <v/>
      </c>
      <c r="W324" s="200" t="str">
        <f aca="false">IF($A325="","",(T324+R324+G324+V324))</f>
        <v/>
      </c>
      <c r="X324" s="200" t="str">
        <f aca="false">IF($A325="","",(U324+S324+H324+V324))</f>
        <v/>
      </c>
      <c r="Y324" s="202"/>
      <c r="Z324" s="185" t="str">
        <f aca="false">IF($A325="","",VLOOKUP($A324,Table,MATCH(Z$4,Curves,0)))</f>
        <v/>
      </c>
      <c r="AA324" s="185" t="str">
        <f aca="false">IF($A325="","",VLOOKUP($A324,Table,MATCH(AA$4,Curves,0)))</f>
        <v/>
      </c>
      <c r="AB324" s="185" t="e">
        <f aca="false">SQRT((AA324^2*(A324-$D$3)+Z324^2*(DAY(EOMONTH(A324,0))/2))/AK324)</f>
        <v>#VALUE!</v>
      </c>
      <c r="AC324" s="185" t="str">
        <f aca="false">IF($A325="","",VLOOKUP($A324,Table,MATCH(AC$4,Curves,0)))</f>
        <v/>
      </c>
      <c r="AD324" s="185" t="str">
        <f aca="false">IF($A325="","",VLOOKUP($A324,Table,MATCH(AD$4,Curves,0)))</f>
        <v/>
      </c>
      <c r="AE324" s="185" t="e">
        <f aca="false">SQRT((AD324^2*(A324-$D$3)+AC324^2*(DAY(EOMONTH(A324,0))/2))/AK324)</f>
        <v>#VALUE!</v>
      </c>
      <c r="AF324" s="206" t="e">
        <f aca="false">((Summary!$N$7*(AA324*AD324)*(A324-$D$3))+(Summary!$M$7*Z324*AC324*(DAY(EOMONTH(A324,0))/2)))/(AK324*AB324*AE324)</f>
        <v>#VALUE!</v>
      </c>
      <c r="AG324" s="207" t="str">
        <f aca="false">IF($A325="","",Summary!$Q$7)</f>
        <v/>
      </c>
      <c r="AH324" s="207" t="str">
        <f aca="false">IF($A325="","",IF(Summary!$R$7="Y",(VLOOKUP($A324,Summary!$AD$6:$AF$9,3)+'Escalating commodity'!C337),'Escalating commodity'!C337))</f>
        <v/>
      </c>
      <c r="AI324" s="207" t="str">
        <f aca="false">IF($A325="","",AH324)</f>
        <v/>
      </c>
      <c r="AJ324" s="208" t="e">
        <f aca="false">A324+DAY(EOMONTH(A324,0))/2-1</f>
        <v>#VALUE!</v>
      </c>
      <c r="AK324" s="209" t="str">
        <f aca="false">IF($A325="","",$A324-$E$1)</f>
        <v/>
      </c>
      <c r="AL324" s="182" t="str">
        <f aca="false">IF($A325="","",SPRDOPT(P324,X324,AI324,0,AB324,AE324,AF324,AK324,$AJ$2,0))</f>
        <v/>
      </c>
      <c r="AM324" s="210" t="str">
        <f aca="false">IF($A325="","",MAX(0,O324-W324-AI324))</f>
        <v/>
      </c>
      <c r="AN324" s="211" t="str">
        <f aca="false">IF($A325="","",AL324-AM324)</f>
        <v/>
      </c>
      <c r="AO324" s="137" t="str">
        <f aca="false">IF(A325="","",A325-A324)</f>
        <v/>
      </c>
      <c r="AP324" s="212" t="str">
        <f aca="false">IF(A325="","",CHOOSE(F$3,A325+24,A324))</f>
        <v/>
      </c>
      <c r="AQ324" s="209" t="str">
        <f aca="false">IF(A325="","",AP324-$E$1)</f>
        <v/>
      </c>
      <c r="AR324" s="185" t="n">
        <f aca="false">IF(Summary!$H$2=1,VLOOKUP('ANR OK vs ML7'!A324,Curves!$C$17:$AR$273,MATCH('ANR OK vs ML7'!$AR$4,Curves!$C$8:$AQ$8,0)),0.1)</f>
        <v>0.1</v>
      </c>
      <c r="AS324" s="213" t="str">
        <f aca="false">IF(A325="","",1/(1+CHOOSE(F$3,(AR325+($I$3/10000))/2,(AR324+($I$3/10000))/2))^(2*AQ324/365.25))</f>
        <v/>
      </c>
      <c r="AT324" s="137" t="str">
        <f aca="false">IF(A325="","",IF(AND(mthbeg&lt;=A324,mthend&gt;=A324),1,0))</f>
        <v/>
      </c>
      <c r="AU324" s="137" t="str">
        <f aca="false">IF(A325="","",AO324*AT324)</f>
        <v/>
      </c>
      <c r="AW324" s="195" t="str">
        <f aca="false">IF($A325="","",AL324*$E324)</f>
        <v/>
      </c>
      <c r="AX324" s="195" t="str">
        <f aca="false">IF($A325="","",AM324*$E324)</f>
        <v/>
      </c>
      <c r="AY324" s="195" t="str">
        <f aca="false">IF($A325="","",AN324*$E324)</f>
        <v/>
      </c>
      <c r="BA324" s="195" t="str">
        <f aca="false">IF($A325="","",F324*Summary!$Q$7)</f>
        <v/>
      </c>
    </row>
    <row r="325" customFormat="false" ht="12" hidden="false" customHeight="true" outlineLevel="0" collapsed="false">
      <c r="A325" s="196" t="str">
        <f aca="false">IF(A324&lt;mthend,EDATE(A324,1),"")</f>
        <v/>
      </c>
      <c r="B325" s="197" t="str">
        <f aca="false">IF(A325&lt;mthend,B324,"")</f>
        <v/>
      </c>
      <c r="C325" s="215"/>
      <c r="D325" s="197" t="str">
        <f aca="false">IF(A326&lt;&gt;"",B325+C325,"")</f>
        <v/>
      </c>
      <c r="E325" s="199" t="str">
        <f aca="false">IF(A326="","",IF(AND(AT325=1,$H$3=1),D325*AO325,IF($H$3=2,D325,"N/A")))</f>
        <v/>
      </c>
      <c r="F325" s="199" t="str">
        <f aca="false">IF(A326="","",E325*AS325)</f>
        <v/>
      </c>
      <c r="G325" s="200" t="str">
        <f aca="false">IF($A326="","",VLOOKUP($A325,Table,MATCH(G$4,Curves,0)))</f>
        <v/>
      </c>
      <c r="H325" s="201" t="str">
        <f aca="false">IF(A326="","",G325)</f>
        <v/>
      </c>
      <c r="I325" s="202"/>
      <c r="J325" s="200" t="str">
        <f aca="false">IF($A326="","",VLOOKUP($A325,Table,MATCH(J$4,Curves,0)))</f>
        <v/>
      </c>
      <c r="K325" s="201" t="str">
        <f aca="false">IF(A326="","",J325)</f>
        <v/>
      </c>
      <c r="L325" s="200" t="str">
        <f aca="false">IF($A326="","",VLOOKUP($A325,Table,MATCH(L$4,Curves,0)))</f>
        <v/>
      </c>
      <c r="M325" s="201" t="str">
        <f aca="false">IF(A326="","",L325)</f>
        <v/>
      </c>
      <c r="N325" s="203"/>
      <c r="O325" s="200" t="str">
        <f aca="false">IF(A326="","",L325+J325+G325)</f>
        <v/>
      </c>
      <c r="P325" s="200" t="str">
        <f aca="false">IF(A326="","",M325+K325+H325)</f>
        <v/>
      </c>
      <c r="Q325" s="204"/>
      <c r="R325" s="200" t="str">
        <f aca="false">IF($A326="","",VLOOKUP($A325,Table,MATCH(R$4,Curves,0)))</f>
        <v/>
      </c>
      <c r="S325" s="201" t="str">
        <f aca="false">IF(A326="","",R325)</f>
        <v/>
      </c>
      <c r="T325" s="200" t="str">
        <f aca="false">IF($A326="","",VLOOKUP($A325,Table,MATCH(T$4,Curves,0)))</f>
        <v/>
      </c>
      <c r="U325" s="201" t="str">
        <f aca="false">IF(A326="","",T325)</f>
        <v/>
      </c>
      <c r="V325" s="183" t="str">
        <f aca="false">IF($A326="","",IF(AND(MONTH(A325)&gt;3,MONTH(A325)&lt;11),(T325+R325+G325)*Summary!$T$7/(1-Summary!$T$7),(T325+R325+G325)*Summary!$U$7/(1-Summary!$U$7)))</f>
        <v/>
      </c>
      <c r="W325" s="200" t="str">
        <f aca="false">IF($A326="","",(T325+R325+G325+V325))</f>
        <v/>
      </c>
      <c r="X325" s="200" t="str">
        <f aca="false">IF($A326="","",(U325+S325+H325+V325))</f>
        <v/>
      </c>
      <c r="Y325" s="202"/>
      <c r="Z325" s="185" t="str">
        <f aca="false">IF($A326="","",VLOOKUP($A325,Table,MATCH(Z$4,Curves,0)))</f>
        <v/>
      </c>
      <c r="AA325" s="185" t="str">
        <f aca="false">IF($A326="","",VLOOKUP($A325,Table,MATCH(AA$4,Curves,0)))</f>
        <v/>
      </c>
      <c r="AB325" s="185" t="e">
        <f aca="false">SQRT((AA325^2*(A325-$D$3)+Z325^2*(DAY(EOMONTH(A325,0))/2))/AK325)</f>
        <v>#VALUE!</v>
      </c>
      <c r="AC325" s="185" t="str">
        <f aca="false">IF($A326="","",VLOOKUP($A325,Table,MATCH(AC$4,Curves,0)))</f>
        <v/>
      </c>
      <c r="AD325" s="185" t="str">
        <f aca="false">IF($A326="","",VLOOKUP($A325,Table,MATCH(AD$4,Curves,0)))</f>
        <v/>
      </c>
      <c r="AE325" s="185" t="e">
        <f aca="false">SQRT((AD325^2*(A325-$D$3)+AC325^2*(DAY(EOMONTH(A325,0))/2))/AK325)</f>
        <v>#VALUE!</v>
      </c>
      <c r="AF325" s="206" t="e">
        <f aca="false">((Summary!$N$7*(AA325*AD325)*(A325-$D$3))+(Summary!$M$7*Z325*AC325*(DAY(EOMONTH(A325,0))/2)))/(AK325*AB325*AE325)</f>
        <v>#VALUE!</v>
      </c>
      <c r="AG325" s="207" t="str">
        <f aca="false">IF($A326="","",Summary!$Q$7)</f>
        <v/>
      </c>
      <c r="AH325" s="207" t="str">
        <f aca="false">IF($A326="","",IF(Summary!$R$7="Y",(VLOOKUP($A325,Summary!$AD$6:$AF$9,3)+'Escalating commodity'!C338),'Escalating commodity'!C338))</f>
        <v/>
      </c>
      <c r="AI325" s="207" t="str">
        <f aca="false">IF($A326="","",AH325)</f>
        <v/>
      </c>
      <c r="AJ325" s="208" t="e">
        <f aca="false">A325+DAY(EOMONTH(A325,0))/2-1</f>
        <v>#VALUE!</v>
      </c>
      <c r="AK325" s="209" t="str">
        <f aca="false">IF($A326="","",$A325-$E$1)</f>
        <v/>
      </c>
      <c r="AL325" s="182" t="str">
        <f aca="false">IF($A326="","",SPRDOPT(P325,X325,AI325,0,AB325,AE325,AF325,AK325,$AJ$2,0))</f>
        <v/>
      </c>
      <c r="AM325" s="210" t="str">
        <f aca="false">IF($A326="","",MAX(0,O325-W325-AI325))</f>
        <v/>
      </c>
      <c r="AN325" s="211" t="str">
        <f aca="false">IF($A326="","",AL325-AM325)</f>
        <v/>
      </c>
      <c r="AO325" s="137" t="str">
        <f aca="false">IF(A326="","",A326-A325)</f>
        <v/>
      </c>
      <c r="AP325" s="212" t="str">
        <f aca="false">IF(A326="","",CHOOSE(F$3,A326+24,A325))</f>
        <v/>
      </c>
      <c r="AQ325" s="209" t="str">
        <f aca="false">IF(A326="","",AP325-$E$1)</f>
        <v/>
      </c>
      <c r="AR325" s="185" t="n">
        <f aca="false">IF(Summary!$H$2=1,VLOOKUP('ANR OK vs ML7'!A325,Curves!$C$17:$AR$273,MATCH('ANR OK vs ML7'!$AR$4,Curves!$C$8:$AQ$8,0)),0.1)</f>
        <v>0.1</v>
      </c>
      <c r="AS325" s="213" t="str">
        <f aca="false">IF(A326="","",1/(1+CHOOSE(F$3,(AR326+($I$3/10000))/2,(AR325+($I$3/10000))/2))^(2*AQ325/365.25))</f>
        <v/>
      </c>
      <c r="AT325" s="137" t="str">
        <f aca="false">IF(A326="","",IF(AND(mthbeg&lt;=A325,mthend&gt;=A325),1,0))</f>
        <v/>
      </c>
      <c r="AU325" s="137" t="str">
        <f aca="false">IF(A326="","",AO325*AT325)</f>
        <v/>
      </c>
      <c r="AW325" s="195" t="str">
        <f aca="false">IF($A326="","",AL325*$E325)</f>
        <v/>
      </c>
      <c r="AX325" s="195" t="str">
        <f aca="false">IF($A326="","",AM325*$E325)</f>
        <v/>
      </c>
      <c r="AY325" s="195" t="str">
        <f aca="false">IF($A326="","",AN325*$E325)</f>
        <v/>
      </c>
      <c r="BA325" s="195" t="str">
        <f aca="false">IF($A326="","",F325*Summary!$Q$7)</f>
        <v/>
      </c>
    </row>
    <row r="326" customFormat="false" ht="12" hidden="false" customHeight="true" outlineLevel="0" collapsed="false">
      <c r="A326" s="196" t="str">
        <f aca="false">IF(A325&lt;mthend,EDATE(A325,1),"")</f>
        <v/>
      </c>
      <c r="B326" s="197" t="str">
        <f aca="false">IF(A326&lt;mthend,B325,"")</f>
        <v/>
      </c>
      <c r="C326" s="215"/>
      <c r="D326" s="197" t="str">
        <f aca="false">IF(A327&lt;&gt;"",B326+C326,"")</f>
        <v/>
      </c>
      <c r="E326" s="199" t="str">
        <f aca="false">IF(A327="","",IF(AND(AT326=1,$H$3=1),D326*AO326,IF($H$3=2,D326,"N/A")))</f>
        <v/>
      </c>
      <c r="F326" s="199" t="str">
        <f aca="false">IF(A327="","",E326*AS326)</f>
        <v/>
      </c>
      <c r="G326" s="200" t="str">
        <f aca="false">IF($A327="","",VLOOKUP($A326,Table,MATCH(G$4,Curves,0)))</f>
        <v/>
      </c>
      <c r="H326" s="201" t="str">
        <f aca="false">IF(A327="","",G326)</f>
        <v/>
      </c>
      <c r="I326" s="202"/>
      <c r="J326" s="200" t="str">
        <f aca="false">IF($A327="","",VLOOKUP($A326,Table,MATCH(J$4,Curves,0)))</f>
        <v/>
      </c>
      <c r="K326" s="201" t="str">
        <f aca="false">IF(A327="","",J326)</f>
        <v/>
      </c>
      <c r="L326" s="200" t="str">
        <f aca="false">IF($A327="","",VLOOKUP($A326,Table,MATCH(L$4,Curves,0)))</f>
        <v/>
      </c>
      <c r="M326" s="201" t="str">
        <f aca="false">IF(A327="","",L326)</f>
        <v/>
      </c>
      <c r="N326" s="203"/>
      <c r="O326" s="200" t="str">
        <f aca="false">IF(A327="","",L326+J326+G326)</f>
        <v/>
      </c>
      <c r="P326" s="200" t="str">
        <f aca="false">IF(A327="","",M326+K326+H326)</f>
        <v/>
      </c>
      <c r="Q326" s="204"/>
      <c r="R326" s="200" t="str">
        <f aca="false">IF($A327="","",VLOOKUP($A326,Table,MATCH(R$4,Curves,0)))</f>
        <v/>
      </c>
      <c r="S326" s="201" t="str">
        <f aca="false">IF(A327="","",R326)</f>
        <v/>
      </c>
      <c r="T326" s="200" t="str">
        <f aca="false">IF($A327="","",VLOOKUP($A326,Table,MATCH(T$4,Curves,0)))</f>
        <v/>
      </c>
      <c r="U326" s="201" t="str">
        <f aca="false">IF(A327="","",T326)</f>
        <v/>
      </c>
      <c r="V326" s="183" t="str">
        <f aca="false">IF($A327="","",IF(AND(MONTH(A326)&gt;3,MONTH(A326)&lt;11),(T326+R326+G326)*Summary!$T$7/(1-Summary!$T$7),(T326+R326+G326)*Summary!$U$7/(1-Summary!$U$7)))</f>
        <v/>
      </c>
      <c r="W326" s="200" t="str">
        <f aca="false">IF($A327="","",(T326+R326+G326+V326))</f>
        <v/>
      </c>
      <c r="X326" s="200" t="str">
        <f aca="false">IF($A327="","",(U326+S326+H326+V326))</f>
        <v/>
      </c>
      <c r="Y326" s="202"/>
      <c r="Z326" s="185" t="str">
        <f aca="false">IF($A327="","",VLOOKUP($A326,Table,MATCH(Z$4,Curves,0)))</f>
        <v/>
      </c>
      <c r="AA326" s="185" t="str">
        <f aca="false">IF($A327="","",VLOOKUP($A326,Table,MATCH(AA$4,Curves,0)))</f>
        <v/>
      </c>
      <c r="AB326" s="185" t="e">
        <f aca="false">SQRT((AA326^2*(A326-$D$3)+Z326^2*(DAY(EOMONTH(A326,0))/2))/AK326)</f>
        <v>#VALUE!</v>
      </c>
      <c r="AC326" s="185" t="str">
        <f aca="false">IF($A327="","",VLOOKUP($A326,Table,MATCH(AC$4,Curves,0)))</f>
        <v/>
      </c>
      <c r="AD326" s="185" t="str">
        <f aca="false">IF($A327="","",VLOOKUP($A326,Table,MATCH(AD$4,Curves,0)))</f>
        <v/>
      </c>
      <c r="AE326" s="185" t="e">
        <f aca="false">SQRT((AD326^2*(A326-$D$3)+AC326^2*(DAY(EOMONTH(A326,0))/2))/AK326)</f>
        <v>#VALUE!</v>
      </c>
      <c r="AF326" s="206" t="e">
        <f aca="false">((Summary!$N$7*(AA326*AD326)*(A326-$D$3))+(Summary!$M$7*Z326*AC326*(DAY(EOMONTH(A326,0))/2)))/(AK326*AB326*AE326)</f>
        <v>#VALUE!</v>
      </c>
      <c r="AG326" s="207" t="str">
        <f aca="false">IF($A327="","",Summary!$Q$7)</f>
        <v/>
      </c>
      <c r="AH326" s="207" t="str">
        <f aca="false">IF($A327="","",IF(Summary!$R$7="Y",(VLOOKUP($A326,Summary!$AD$6:$AF$9,3)+'Escalating commodity'!C339),'Escalating commodity'!C339))</f>
        <v/>
      </c>
      <c r="AI326" s="207" t="str">
        <f aca="false">IF($A327="","",AH326)</f>
        <v/>
      </c>
      <c r="AJ326" s="208" t="e">
        <f aca="false">A326+DAY(EOMONTH(A326,0))/2-1</f>
        <v>#VALUE!</v>
      </c>
      <c r="AK326" s="209" t="str">
        <f aca="false">IF($A327="","",$A326-$E$1)</f>
        <v/>
      </c>
      <c r="AL326" s="182" t="str">
        <f aca="false">IF($A327="","",SPRDOPT(P326,X326,AI326,0,AB326,AE326,AF326,AK326,$AJ$2,0))</f>
        <v/>
      </c>
      <c r="AM326" s="210" t="str">
        <f aca="false">IF($A327="","",MAX(0,O326-W326-AI326))</f>
        <v/>
      </c>
      <c r="AN326" s="211" t="str">
        <f aca="false">IF($A327="","",AL326-AM326)</f>
        <v/>
      </c>
      <c r="AO326" s="137" t="str">
        <f aca="false">IF(A327="","",A327-A326)</f>
        <v/>
      </c>
      <c r="AP326" s="212" t="str">
        <f aca="false">IF(A327="","",CHOOSE(F$3,A327+24,A326))</f>
        <v/>
      </c>
      <c r="AQ326" s="209" t="str">
        <f aca="false">IF(A327="","",AP326-$E$1)</f>
        <v/>
      </c>
      <c r="AR326" s="185" t="n">
        <f aca="false">IF(Summary!$H$2=1,VLOOKUP('ANR OK vs ML7'!A326,Curves!$C$17:$AR$273,MATCH('ANR OK vs ML7'!$AR$4,Curves!$C$8:$AQ$8,0)),0.1)</f>
        <v>0.1</v>
      </c>
      <c r="AS326" s="213" t="str">
        <f aca="false">IF(A327="","",1/(1+CHOOSE(F$3,(AR327+($I$3/10000))/2,(AR326+($I$3/10000))/2))^(2*AQ326/365.25))</f>
        <v/>
      </c>
      <c r="AT326" s="137" t="str">
        <f aca="false">IF(A327="","",IF(AND(mthbeg&lt;=A326,mthend&gt;=A326),1,0))</f>
        <v/>
      </c>
      <c r="AU326" s="137" t="str">
        <f aca="false">IF(A327="","",AO326*AT326)</f>
        <v/>
      </c>
      <c r="AW326" s="195" t="str">
        <f aca="false">IF($A327="","",AL326*$E326)</f>
        <v/>
      </c>
      <c r="AX326" s="195" t="str">
        <f aca="false">IF($A327="","",AM326*$E326)</f>
        <v/>
      </c>
      <c r="AY326" s="195" t="str">
        <f aca="false">IF($A327="","",AN326*$E326)</f>
        <v/>
      </c>
      <c r="BA326" s="195" t="str">
        <f aca="false">IF($A327="","",F326*Summary!$Q$7)</f>
        <v/>
      </c>
    </row>
    <row r="327" customFormat="false" ht="12" hidden="false" customHeight="true" outlineLevel="0" collapsed="false">
      <c r="A327" s="196" t="str">
        <f aca="false">IF(A326&lt;mthend,EDATE(A326,1),"")</f>
        <v/>
      </c>
      <c r="B327" s="197" t="str">
        <f aca="false">IF(A327&lt;mthend,B326,"")</f>
        <v/>
      </c>
      <c r="C327" s="215"/>
      <c r="D327" s="197" t="str">
        <f aca="false">IF(A328&lt;&gt;"",B327+C327,"")</f>
        <v/>
      </c>
      <c r="E327" s="199" t="str">
        <f aca="false">IF(A328="","",IF(AND(AT327=1,$H$3=1),D327*AO327,IF($H$3=2,D327,"N/A")))</f>
        <v/>
      </c>
      <c r="F327" s="199" t="str">
        <f aca="false">IF(A328="","",E327*AS327)</f>
        <v/>
      </c>
      <c r="G327" s="200" t="str">
        <f aca="false">IF($A328="","",VLOOKUP($A327,Table,MATCH(G$4,Curves,0)))</f>
        <v/>
      </c>
      <c r="H327" s="201" t="str">
        <f aca="false">IF(A328="","",G327)</f>
        <v/>
      </c>
      <c r="I327" s="202"/>
      <c r="J327" s="200" t="str">
        <f aca="false">IF($A328="","",VLOOKUP($A327,Table,MATCH(J$4,Curves,0)))</f>
        <v/>
      </c>
      <c r="K327" s="201" t="str">
        <f aca="false">IF(A328="","",J327)</f>
        <v/>
      </c>
      <c r="L327" s="200" t="str">
        <f aca="false">IF($A328="","",VLOOKUP($A327,Table,MATCH(L$4,Curves,0)))</f>
        <v/>
      </c>
      <c r="M327" s="201" t="str">
        <f aca="false">IF(A328="","",L327)</f>
        <v/>
      </c>
      <c r="N327" s="203"/>
      <c r="O327" s="200" t="str">
        <f aca="false">IF(A328="","",L327+J327+G327)</f>
        <v/>
      </c>
      <c r="P327" s="200" t="str">
        <f aca="false">IF(A328="","",M327+K327+H327)</f>
        <v/>
      </c>
      <c r="Q327" s="204"/>
      <c r="R327" s="200" t="str">
        <f aca="false">IF($A328="","",VLOOKUP($A327,Table,MATCH(R$4,Curves,0)))</f>
        <v/>
      </c>
      <c r="S327" s="201" t="str">
        <f aca="false">IF(A328="","",R327)</f>
        <v/>
      </c>
      <c r="T327" s="200" t="str">
        <f aca="false">IF($A328="","",VLOOKUP($A327,Table,MATCH(T$4,Curves,0)))</f>
        <v/>
      </c>
      <c r="U327" s="201" t="str">
        <f aca="false">IF(A328="","",T327)</f>
        <v/>
      </c>
      <c r="V327" s="183" t="str">
        <f aca="false">IF($A328="","",IF(AND(MONTH(A327)&gt;3,MONTH(A327)&lt;11),(T327+R327+G327)*Summary!$T$7/(1-Summary!$T$7),(T327+R327+G327)*Summary!$U$7/(1-Summary!$U$7)))</f>
        <v/>
      </c>
      <c r="W327" s="200" t="str">
        <f aca="false">IF($A328="","",(T327+R327+G327+V327))</f>
        <v/>
      </c>
      <c r="X327" s="200" t="str">
        <f aca="false">IF($A328="","",(U327+S327+H327+V327))</f>
        <v/>
      </c>
      <c r="Y327" s="202"/>
      <c r="Z327" s="185" t="str">
        <f aca="false">IF($A328="","",VLOOKUP($A327,Table,MATCH(Z$4,Curves,0)))</f>
        <v/>
      </c>
      <c r="AA327" s="185" t="str">
        <f aca="false">IF($A328="","",VLOOKUP($A327,Table,MATCH(AA$4,Curves,0)))</f>
        <v/>
      </c>
      <c r="AB327" s="185" t="e">
        <f aca="false">SQRT((AA327^2*(A327-$D$3)+Z327^2*(DAY(EOMONTH(A327,0))/2))/AK327)</f>
        <v>#VALUE!</v>
      </c>
      <c r="AC327" s="185" t="str">
        <f aca="false">IF($A328="","",VLOOKUP($A327,Table,MATCH(AC$4,Curves,0)))</f>
        <v/>
      </c>
      <c r="AD327" s="185" t="str">
        <f aca="false">IF($A328="","",VLOOKUP($A327,Table,MATCH(AD$4,Curves,0)))</f>
        <v/>
      </c>
      <c r="AE327" s="185" t="e">
        <f aca="false">SQRT((AD327^2*(A327-$D$3)+AC327^2*(DAY(EOMONTH(A327,0))/2))/AK327)</f>
        <v>#VALUE!</v>
      </c>
      <c r="AF327" s="206" t="e">
        <f aca="false">((Summary!$N$7*(AA327*AD327)*(A327-$D$3))+(Summary!$M$7*Z327*AC327*(DAY(EOMONTH(A327,0))/2)))/(AK327*AB327*AE327)</f>
        <v>#VALUE!</v>
      </c>
      <c r="AG327" s="207" t="str">
        <f aca="false">IF($A328="","",Summary!$Q$7)</f>
        <v/>
      </c>
      <c r="AH327" s="207" t="str">
        <f aca="false">IF($A328="","",IF(Summary!$R$7="Y",(VLOOKUP($A327,Summary!$AD$6:$AF$9,3)+'Escalating commodity'!C340),'Escalating commodity'!C340))</f>
        <v/>
      </c>
      <c r="AI327" s="207" t="str">
        <f aca="false">IF($A328="","",AH327)</f>
        <v/>
      </c>
      <c r="AJ327" s="208" t="e">
        <f aca="false">A327+DAY(EOMONTH(A327,0))/2-1</f>
        <v>#VALUE!</v>
      </c>
      <c r="AK327" s="209" t="str">
        <f aca="false">IF($A328="","",$A327-$E$1)</f>
        <v/>
      </c>
      <c r="AL327" s="182" t="str">
        <f aca="false">IF($A328="","",SPRDOPT(P327,X327,AI327,0,AB327,AE327,AF327,AK327,$AJ$2,0))</f>
        <v/>
      </c>
      <c r="AM327" s="210" t="str">
        <f aca="false">IF($A328="","",MAX(0,O327-W327-AI327))</f>
        <v/>
      </c>
      <c r="AN327" s="211" t="str">
        <f aca="false">IF($A328="","",AL327-AM327)</f>
        <v/>
      </c>
      <c r="AO327" s="137" t="str">
        <f aca="false">IF(A328="","",A328-A327)</f>
        <v/>
      </c>
      <c r="AP327" s="212" t="str">
        <f aca="false">IF(A328="","",CHOOSE(F$3,A328+24,A327))</f>
        <v/>
      </c>
      <c r="AQ327" s="209" t="str">
        <f aca="false">IF(A328="","",AP327-$E$1)</f>
        <v/>
      </c>
      <c r="AR327" s="185" t="n">
        <f aca="false">IF(Summary!$H$2=1,VLOOKUP('ANR OK vs ML7'!A327,Curves!$C$17:$AR$273,MATCH('ANR OK vs ML7'!$AR$4,Curves!$C$8:$AQ$8,0)),0.1)</f>
        <v>0.1</v>
      </c>
      <c r="AS327" s="213" t="str">
        <f aca="false">IF(A328="","",1/(1+CHOOSE(F$3,(AR328+($I$3/10000))/2,(AR327+($I$3/10000))/2))^(2*AQ327/365.25))</f>
        <v/>
      </c>
      <c r="AT327" s="137" t="str">
        <f aca="false">IF(A328="","",IF(AND(mthbeg&lt;=A327,mthend&gt;=A327),1,0))</f>
        <v/>
      </c>
      <c r="AU327" s="137" t="str">
        <f aca="false">IF(A328="","",AO327*AT327)</f>
        <v/>
      </c>
      <c r="AW327" s="195" t="str">
        <f aca="false">IF($A328="","",AL327*$E327)</f>
        <v/>
      </c>
      <c r="AX327" s="195" t="str">
        <f aca="false">IF($A328="","",AM327*$E327)</f>
        <v/>
      </c>
      <c r="AY327" s="195" t="str">
        <f aca="false">IF($A328="","",AN327*$E327)</f>
        <v/>
      </c>
      <c r="BA327" s="195" t="str">
        <f aca="false">IF($A328="","",F327*Summary!$Q$7)</f>
        <v/>
      </c>
    </row>
    <row r="328" customFormat="false" ht="12" hidden="false" customHeight="true" outlineLevel="0" collapsed="false">
      <c r="A328" s="196" t="str">
        <f aca="false">IF(A327&lt;mthend,EDATE(A327,1),"")</f>
        <v/>
      </c>
      <c r="B328" s="197" t="str">
        <f aca="false">IF(A328&lt;mthend,B327,"")</f>
        <v/>
      </c>
      <c r="C328" s="215"/>
      <c r="D328" s="197" t="str">
        <f aca="false">IF(A329&lt;&gt;"",B328+C328,"")</f>
        <v/>
      </c>
      <c r="E328" s="199" t="str">
        <f aca="false">IF(A329="","",IF(AND(AT328=1,$H$3=1),D328*AO328,IF($H$3=2,D328,"N/A")))</f>
        <v/>
      </c>
      <c r="F328" s="199" t="str">
        <f aca="false">IF(A329="","",E328*AS328)</f>
        <v/>
      </c>
      <c r="G328" s="200" t="str">
        <f aca="false">IF($A329="","",VLOOKUP($A328,Table,MATCH(G$4,Curves,0)))</f>
        <v/>
      </c>
      <c r="H328" s="201" t="str">
        <f aca="false">IF(A329="","",G328)</f>
        <v/>
      </c>
      <c r="I328" s="202"/>
      <c r="J328" s="200" t="str">
        <f aca="false">IF($A329="","",VLOOKUP($A328,Table,MATCH(J$4,Curves,0)))</f>
        <v/>
      </c>
      <c r="K328" s="201" t="str">
        <f aca="false">IF(A329="","",J328)</f>
        <v/>
      </c>
      <c r="L328" s="200" t="str">
        <f aca="false">IF($A329="","",VLOOKUP($A328,Table,MATCH(L$4,Curves,0)))</f>
        <v/>
      </c>
      <c r="M328" s="201" t="str">
        <f aca="false">IF(A329="","",L328)</f>
        <v/>
      </c>
      <c r="N328" s="203"/>
      <c r="O328" s="200" t="str">
        <f aca="false">IF(A329="","",L328+J328+G328)</f>
        <v/>
      </c>
      <c r="P328" s="200" t="str">
        <f aca="false">IF(A329="","",M328+K328+H328)</f>
        <v/>
      </c>
      <c r="Q328" s="204"/>
      <c r="R328" s="200" t="str">
        <f aca="false">IF($A329="","",VLOOKUP($A328,Table,MATCH(R$4,Curves,0)))</f>
        <v/>
      </c>
      <c r="S328" s="201" t="str">
        <f aca="false">IF(A329="","",R328)</f>
        <v/>
      </c>
      <c r="T328" s="200" t="str">
        <f aca="false">IF($A329="","",VLOOKUP($A328,Table,MATCH(T$4,Curves,0)))</f>
        <v/>
      </c>
      <c r="U328" s="201" t="str">
        <f aca="false">IF(A329="","",T328)</f>
        <v/>
      </c>
      <c r="V328" s="183" t="str">
        <f aca="false">IF($A329="","",IF(AND(MONTH(A328)&gt;3,MONTH(A328)&lt;11),(T328+R328+G328)*Summary!$T$7/(1-Summary!$T$7),(T328+R328+G328)*Summary!$U$7/(1-Summary!$U$7)))</f>
        <v/>
      </c>
      <c r="W328" s="200" t="str">
        <f aca="false">IF($A329="","",(T328+R328+G328+V328))</f>
        <v/>
      </c>
      <c r="X328" s="200" t="str">
        <f aca="false">IF($A329="","",(U328+S328+H328+V328))</f>
        <v/>
      </c>
      <c r="Y328" s="202"/>
      <c r="Z328" s="185" t="str">
        <f aca="false">IF($A329="","",VLOOKUP($A328,Table,MATCH(Z$4,Curves,0)))</f>
        <v/>
      </c>
      <c r="AA328" s="185" t="str">
        <f aca="false">IF($A329="","",VLOOKUP($A328,Table,MATCH(AA$4,Curves,0)))</f>
        <v/>
      </c>
      <c r="AB328" s="185" t="e">
        <f aca="false">SQRT((AA328^2*(A328-$D$3)+Z328^2*(DAY(EOMONTH(A328,0))/2))/AK328)</f>
        <v>#VALUE!</v>
      </c>
      <c r="AC328" s="185" t="str">
        <f aca="false">IF($A329="","",VLOOKUP($A328,Table,MATCH(AC$4,Curves,0)))</f>
        <v/>
      </c>
      <c r="AD328" s="185" t="str">
        <f aca="false">IF($A329="","",VLOOKUP($A328,Table,MATCH(AD$4,Curves,0)))</f>
        <v/>
      </c>
      <c r="AE328" s="185" t="e">
        <f aca="false">SQRT((AD328^2*(A328-$D$3)+AC328^2*(DAY(EOMONTH(A328,0))/2))/AK328)</f>
        <v>#VALUE!</v>
      </c>
      <c r="AF328" s="206" t="e">
        <f aca="false">((Summary!$N$7*(AA328*AD328)*(A328-$D$3))+(Summary!$M$7*Z328*AC328*(DAY(EOMONTH(A328,0))/2)))/(AK328*AB328*AE328)</f>
        <v>#VALUE!</v>
      </c>
      <c r="AG328" s="207" t="str">
        <f aca="false">IF($A329="","",Summary!$Q$7)</f>
        <v/>
      </c>
      <c r="AH328" s="207" t="str">
        <f aca="false">IF($A329="","",IF(Summary!$R$7="Y",(VLOOKUP($A328,Summary!$AD$6:$AF$9,3)+'Escalating commodity'!C341),'Escalating commodity'!C341))</f>
        <v/>
      </c>
      <c r="AI328" s="207" t="str">
        <f aca="false">IF($A329="","",AH328)</f>
        <v/>
      </c>
      <c r="AJ328" s="208" t="e">
        <f aca="false">A328+DAY(EOMONTH(A328,0))/2-1</f>
        <v>#VALUE!</v>
      </c>
      <c r="AK328" s="209" t="str">
        <f aca="false">IF($A329="","",$A328-$E$1)</f>
        <v/>
      </c>
      <c r="AL328" s="182" t="str">
        <f aca="false">IF($A329="","",SPRDOPT(P328,X328,AI328,0,AB328,AE328,AF328,AK328,$AJ$2,0))</f>
        <v/>
      </c>
      <c r="AM328" s="210" t="str">
        <f aca="false">IF($A329="","",MAX(0,O328-W328-AI328))</f>
        <v/>
      </c>
      <c r="AN328" s="211" t="str">
        <f aca="false">IF($A329="","",AL328-AM328)</f>
        <v/>
      </c>
      <c r="AO328" s="137" t="str">
        <f aca="false">IF(A329="","",A329-A328)</f>
        <v/>
      </c>
      <c r="AP328" s="212" t="str">
        <f aca="false">IF(A329="","",CHOOSE(F$3,A329+24,A328))</f>
        <v/>
      </c>
      <c r="AQ328" s="209" t="str">
        <f aca="false">IF(A329="","",AP328-$E$1)</f>
        <v/>
      </c>
      <c r="AR328" s="185" t="n">
        <f aca="false">IF(Summary!$H$2=1,VLOOKUP('ANR OK vs ML7'!A328,Curves!$C$17:$AR$273,MATCH('ANR OK vs ML7'!$AR$4,Curves!$C$8:$AQ$8,0)),0.1)</f>
        <v>0.1</v>
      </c>
      <c r="AS328" s="213" t="str">
        <f aca="false">IF(A329="","",1/(1+CHOOSE(F$3,(AR329+($I$3/10000))/2,(AR328+($I$3/10000))/2))^(2*AQ328/365.25))</f>
        <v/>
      </c>
      <c r="AT328" s="137" t="str">
        <f aca="false">IF(A329="","",IF(AND(mthbeg&lt;=A328,mthend&gt;=A328),1,0))</f>
        <v/>
      </c>
      <c r="AU328" s="137" t="str">
        <f aca="false">IF(A329="","",AO328*AT328)</f>
        <v/>
      </c>
      <c r="AW328" s="195" t="str">
        <f aca="false">IF($A329="","",AL328*$E328)</f>
        <v/>
      </c>
      <c r="AX328" s="195" t="str">
        <f aca="false">IF($A329="","",AM328*$E328)</f>
        <v/>
      </c>
      <c r="AY328" s="195" t="str">
        <f aca="false">IF($A329="","",AN328*$E328)</f>
        <v/>
      </c>
      <c r="BA328" s="195" t="str">
        <f aca="false">IF($A329="","",F328*Summary!$Q$7)</f>
        <v/>
      </c>
    </row>
    <row r="329" customFormat="false" ht="12" hidden="false" customHeight="true" outlineLevel="0" collapsed="false">
      <c r="A329" s="196" t="str">
        <f aca="false">IF(A328&lt;mthend,EDATE(A328,1),"")</f>
        <v/>
      </c>
      <c r="B329" s="197" t="str">
        <f aca="false">IF(A329&lt;mthend,B328,"")</f>
        <v/>
      </c>
      <c r="C329" s="215"/>
      <c r="D329" s="197" t="str">
        <f aca="false">IF(A330&lt;&gt;"",B329+C329,"")</f>
        <v/>
      </c>
      <c r="E329" s="199" t="str">
        <f aca="false">IF(A330="","",IF(AND(AT329=1,$H$3=1),D329*AO329,IF($H$3=2,D329,"N/A")))</f>
        <v/>
      </c>
      <c r="F329" s="199" t="str">
        <f aca="false">IF(A330="","",E329*AS329)</f>
        <v/>
      </c>
      <c r="G329" s="200" t="str">
        <f aca="false">IF($A330="","",VLOOKUP($A329,Table,MATCH(G$4,Curves,0)))</f>
        <v/>
      </c>
      <c r="H329" s="201" t="str">
        <f aca="false">IF(A330="","",G329)</f>
        <v/>
      </c>
      <c r="I329" s="202"/>
      <c r="J329" s="200" t="str">
        <f aca="false">IF($A330="","",VLOOKUP($A329,Table,MATCH(J$4,Curves,0)))</f>
        <v/>
      </c>
      <c r="K329" s="201" t="str">
        <f aca="false">IF(A330="","",J329)</f>
        <v/>
      </c>
      <c r="L329" s="200" t="str">
        <f aca="false">IF($A330="","",VLOOKUP($A329,Table,MATCH(L$4,Curves,0)))</f>
        <v/>
      </c>
      <c r="M329" s="201" t="str">
        <f aca="false">IF(A330="","",L329)</f>
        <v/>
      </c>
      <c r="N329" s="203"/>
      <c r="O329" s="200" t="str">
        <f aca="false">IF(A330="","",L329+J329+G329)</f>
        <v/>
      </c>
      <c r="P329" s="200" t="str">
        <f aca="false">IF(A330="","",M329+K329+H329)</f>
        <v/>
      </c>
      <c r="Q329" s="204"/>
      <c r="R329" s="200" t="str">
        <f aca="false">IF($A330="","",VLOOKUP($A329,Table,MATCH(R$4,Curves,0)))</f>
        <v/>
      </c>
      <c r="S329" s="201" t="str">
        <f aca="false">IF(A330="","",R329)</f>
        <v/>
      </c>
      <c r="T329" s="200" t="str">
        <f aca="false">IF($A330="","",VLOOKUP($A329,Table,MATCH(T$4,Curves,0)))</f>
        <v/>
      </c>
      <c r="U329" s="201" t="str">
        <f aca="false">IF(A330="","",T329)</f>
        <v/>
      </c>
      <c r="V329" s="183" t="str">
        <f aca="false">IF($A330="","",IF(AND(MONTH(A329)&gt;3,MONTH(A329)&lt;11),(T329+R329+G329)*Summary!$T$7/(1-Summary!$T$7),(T329+R329+G329)*Summary!$U$7/(1-Summary!$U$7)))</f>
        <v/>
      </c>
      <c r="W329" s="200" t="str">
        <f aca="false">IF($A330="","",(T329+R329+G329+V329))</f>
        <v/>
      </c>
      <c r="X329" s="200" t="str">
        <f aca="false">IF($A330="","",(U329+S329+H329+V329))</f>
        <v/>
      </c>
      <c r="Y329" s="202"/>
      <c r="Z329" s="185" t="str">
        <f aca="false">IF($A330="","",VLOOKUP($A329,Table,MATCH(Z$4,Curves,0)))</f>
        <v/>
      </c>
      <c r="AA329" s="185" t="str">
        <f aca="false">IF($A330="","",VLOOKUP($A329,Table,MATCH(AA$4,Curves,0)))</f>
        <v/>
      </c>
      <c r="AB329" s="185" t="e">
        <f aca="false">SQRT((AA329^2*(A329-$D$3)+Z329^2*(DAY(EOMONTH(A329,0))/2))/AK329)</f>
        <v>#VALUE!</v>
      </c>
      <c r="AC329" s="185" t="str">
        <f aca="false">IF($A330="","",VLOOKUP($A329,Table,MATCH(AC$4,Curves,0)))</f>
        <v/>
      </c>
      <c r="AD329" s="185" t="str">
        <f aca="false">IF($A330="","",VLOOKUP($A329,Table,MATCH(AD$4,Curves,0)))</f>
        <v/>
      </c>
      <c r="AE329" s="185" t="e">
        <f aca="false">SQRT((AD329^2*(A329-$D$3)+AC329^2*(DAY(EOMONTH(A329,0))/2))/AK329)</f>
        <v>#VALUE!</v>
      </c>
      <c r="AF329" s="206" t="e">
        <f aca="false">((Summary!$N$7*(AA329*AD329)*(A329-$D$3))+(Summary!$M$7*Z329*AC329*(DAY(EOMONTH(A329,0))/2)))/(AK329*AB329*AE329)</f>
        <v>#VALUE!</v>
      </c>
      <c r="AG329" s="207" t="str">
        <f aca="false">IF($A330="","",Summary!$Q$7)</f>
        <v/>
      </c>
      <c r="AH329" s="207" t="str">
        <f aca="false">IF($A330="","",IF(Summary!$R$7="Y",(VLOOKUP($A329,Summary!$AD$6:$AF$9,3)+'Escalating commodity'!C342),'Escalating commodity'!C342))</f>
        <v/>
      </c>
      <c r="AI329" s="207" t="str">
        <f aca="false">IF($A330="","",AH329)</f>
        <v/>
      </c>
      <c r="AJ329" s="208" t="e">
        <f aca="false">A329+DAY(EOMONTH(A329,0))/2-1</f>
        <v>#VALUE!</v>
      </c>
      <c r="AK329" s="209" t="str">
        <f aca="false">IF($A330="","",$A329-$E$1)</f>
        <v/>
      </c>
      <c r="AL329" s="182" t="str">
        <f aca="false">IF($A330="","",SPRDOPT(P329,X329,AI329,0,AB329,AE329,AF329,AK329,$AJ$2,0))</f>
        <v/>
      </c>
      <c r="AM329" s="210" t="str">
        <f aca="false">IF($A330="","",MAX(0,O329-W329-AI329))</f>
        <v/>
      </c>
      <c r="AN329" s="211" t="str">
        <f aca="false">IF($A330="","",AL329-AM329)</f>
        <v/>
      </c>
      <c r="AO329" s="137" t="str">
        <f aca="false">IF(A330="","",A330-A329)</f>
        <v/>
      </c>
      <c r="AP329" s="212" t="str">
        <f aca="false">IF(A330="","",CHOOSE(F$3,A330+24,A329))</f>
        <v/>
      </c>
      <c r="AQ329" s="209" t="str">
        <f aca="false">IF(A330="","",AP329-$E$1)</f>
        <v/>
      </c>
      <c r="AR329" s="185" t="n">
        <f aca="false">IF(Summary!$H$2=1,VLOOKUP('ANR OK vs ML7'!A329,Curves!$C$17:$AR$273,MATCH('ANR OK vs ML7'!$AR$4,Curves!$C$8:$AQ$8,0)),0.1)</f>
        <v>0.1</v>
      </c>
      <c r="AS329" s="213" t="str">
        <f aca="false">IF(A330="","",1/(1+CHOOSE(F$3,(AR330+($I$3/10000))/2,(AR329+($I$3/10000))/2))^(2*AQ329/365.25))</f>
        <v/>
      </c>
      <c r="AT329" s="137" t="str">
        <f aca="false">IF(A330="","",IF(AND(mthbeg&lt;=A329,mthend&gt;=A329),1,0))</f>
        <v/>
      </c>
      <c r="AU329" s="137" t="str">
        <f aca="false">IF(A330="","",AO329*AT329)</f>
        <v/>
      </c>
      <c r="AW329" s="195" t="str">
        <f aca="false">IF($A330="","",AL329*$E329)</f>
        <v/>
      </c>
      <c r="AX329" s="195" t="str">
        <f aca="false">IF($A330="","",AM329*$E329)</f>
        <v/>
      </c>
      <c r="AY329" s="195" t="str">
        <f aca="false">IF($A330="","",AN329*$E329)</f>
        <v/>
      </c>
      <c r="BA329" s="195" t="str">
        <f aca="false">IF($A330="","",F329*Summary!$Q$7)</f>
        <v/>
      </c>
    </row>
    <row r="330" customFormat="false" ht="12" hidden="false" customHeight="true" outlineLevel="0" collapsed="false">
      <c r="A330" s="196" t="str">
        <f aca="false">IF(A329&lt;mthend,EDATE(A329,1),"")</f>
        <v/>
      </c>
      <c r="B330" s="197" t="str">
        <f aca="false">IF(A330&lt;mthend,B329,"")</f>
        <v/>
      </c>
      <c r="C330" s="215"/>
      <c r="D330" s="197" t="str">
        <f aca="false">IF(A331&lt;&gt;"",B330+C330,"")</f>
        <v/>
      </c>
      <c r="E330" s="199" t="str">
        <f aca="false">IF(A331="","",IF(AND(AT330=1,$H$3=1),D330*AO330,IF($H$3=2,D330,"N/A")))</f>
        <v/>
      </c>
      <c r="F330" s="199" t="str">
        <f aca="false">IF(A331="","",E330*AS330)</f>
        <v/>
      </c>
      <c r="G330" s="200" t="str">
        <f aca="false">IF($A331="","",VLOOKUP($A330,Table,MATCH(G$4,Curves,0)))</f>
        <v/>
      </c>
      <c r="H330" s="201" t="str">
        <f aca="false">IF(A331="","",G330)</f>
        <v/>
      </c>
      <c r="I330" s="202"/>
      <c r="J330" s="200" t="str">
        <f aca="false">IF($A331="","",VLOOKUP($A330,Table,MATCH(J$4,Curves,0)))</f>
        <v/>
      </c>
      <c r="K330" s="201" t="str">
        <f aca="false">IF(A331="","",J330)</f>
        <v/>
      </c>
      <c r="L330" s="200" t="str">
        <f aca="false">IF($A331="","",VLOOKUP($A330,Table,MATCH(L$4,Curves,0)))</f>
        <v/>
      </c>
      <c r="M330" s="201" t="str">
        <f aca="false">IF(A331="","",L330)</f>
        <v/>
      </c>
      <c r="N330" s="203"/>
      <c r="O330" s="200" t="str">
        <f aca="false">IF(A331="","",L330+J330+G330)</f>
        <v/>
      </c>
      <c r="P330" s="200" t="str">
        <f aca="false">IF(A331="","",M330+K330+H330)</f>
        <v/>
      </c>
      <c r="Q330" s="204"/>
      <c r="R330" s="200" t="str">
        <f aca="false">IF($A331="","",VLOOKUP($A330,Table,MATCH(R$4,Curves,0)))</f>
        <v/>
      </c>
      <c r="S330" s="201" t="str">
        <f aca="false">IF(A331="","",R330)</f>
        <v/>
      </c>
      <c r="T330" s="200" t="str">
        <f aca="false">IF($A331="","",VLOOKUP($A330,Table,MATCH(T$4,Curves,0)))</f>
        <v/>
      </c>
      <c r="U330" s="201" t="str">
        <f aca="false">IF(A331="","",T330)</f>
        <v/>
      </c>
      <c r="V330" s="183" t="str">
        <f aca="false">IF($A331="","",IF(AND(MONTH(A330)&gt;3,MONTH(A330)&lt;11),(T330+R330+G330)*Summary!$T$7/(1-Summary!$T$7),(T330+R330+G330)*Summary!$U$7/(1-Summary!$U$7)))</f>
        <v/>
      </c>
      <c r="W330" s="200" t="str">
        <f aca="false">IF($A331="","",(T330+R330+G330+V330))</f>
        <v/>
      </c>
      <c r="X330" s="200" t="str">
        <f aca="false">IF($A331="","",(U330+S330+H330+V330))</f>
        <v/>
      </c>
      <c r="Y330" s="202"/>
      <c r="Z330" s="185" t="str">
        <f aca="false">IF($A331="","",VLOOKUP($A330,Table,MATCH(Z$4,Curves,0)))</f>
        <v/>
      </c>
      <c r="AA330" s="185" t="str">
        <f aca="false">IF($A331="","",VLOOKUP($A330,Table,MATCH(AA$4,Curves,0)))</f>
        <v/>
      </c>
      <c r="AB330" s="185" t="e">
        <f aca="false">SQRT((AA330^2*(A330-$D$3)+Z330^2*(DAY(EOMONTH(A330,0))/2))/AK330)</f>
        <v>#VALUE!</v>
      </c>
      <c r="AC330" s="185" t="str">
        <f aca="false">IF($A331="","",VLOOKUP($A330,Table,MATCH(AC$4,Curves,0)))</f>
        <v/>
      </c>
      <c r="AD330" s="185" t="str">
        <f aca="false">IF($A331="","",VLOOKUP($A330,Table,MATCH(AD$4,Curves,0)))</f>
        <v/>
      </c>
      <c r="AE330" s="185" t="e">
        <f aca="false">SQRT((AD330^2*(A330-$D$3)+AC330^2*(DAY(EOMONTH(A330,0))/2))/AK330)</f>
        <v>#VALUE!</v>
      </c>
      <c r="AF330" s="206" t="e">
        <f aca="false">((Summary!$N$7*(AA330*AD330)*(A330-$D$3))+(Summary!$M$7*Z330*AC330*(DAY(EOMONTH(A330,0))/2)))/(AK330*AB330*AE330)</f>
        <v>#VALUE!</v>
      </c>
      <c r="AG330" s="207" t="str">
        <f aca="false">IF($A331="","",Summary!$Q$7)</f>
        <v/>
      </c>
      <c r="AH330" s="207" t="str">
        <f aca="false">IF($A331="","",IF(Summary!$R$7="Y",(VLOOKUP($A330,Summary!$AD$6:$AF$9,3)+'Escalating commodity'!C343),'Escalating commodity'!C343))</f>
        <v/>
      </c>
      <c r="AI330" s="207" t="str">
        <f aca="false">IF($A331="","",AH330)</f>
        <v/>
      </c>
      <c r="AJ330" s="208" t="e">
        <f aca="false">A330+DAY(EOMONTH(A330,0))/2-1</f>
        <v>#VALUE!</v>
      </c>
      <c r="AK330" s="209" t="str">
        <f aca="false">IF($A331="","",$A330-$E$1)</f>
        <v/>
      </c>
      <c r="AL330" s="182" t="str">
        <f aca="false">IF($A331="","",SPRDOPT(P330,X330,AI330,0,AB330,AE330,AF330,AK330,$AJ$2,0))</f>
        <v/>
      </c>
      <c r="AM330" s="210" t="str">
        <f aca="false">IF($A331="","",MAX(0,O330-W330-AI330))</f>
        <v/>
      </c>
      <c r="AN330" s="211" t="str">
        <f aca="false">IF($A331="","",AL330-AM330)</f>
        <v/>
      </c>
      <c r="AO330" s="137" t="str">
        <f aca="false">IF(A331="","",A331-A330)</f>
        <v/>
      </c>
      <c r="AP330" s="212" t="str">
        <f aca="false">IF(A331="","",CHOOSE(F$3,A331+24,A330))</f>
        <v/>
      </c>
      <c r="AQ330" s="209" t="str">
        <f aca="false">IF(A331="","",AP330-$E$1)</f>
        <v/>
      </c>
      <c r="AR330" s="185" t="n">
        <f aca="false">IF(Summary!$H$2=1,VLOOKUP('ANR OK vs ML7'!A330,Curves!$C$17:$AR$273,MATCH('ANR OK vs ML7'!$AR$4,Curves!$C$8:$AQ$8,0)),0.1)</f>
        <v>0.1</v>
      </c>
      <c r="AS330" s="213" t="str">
        <f aca="false">IF(A331="","",1/(1+CHOOSE(F$3,(AR331+($I$3/10000))/2,(AR330+($I$3/10000))/2))^(2*AQ330/365.25))</f>
        <v/>
      </c>
      <c r="AT330" s="137" t="str">
        <f aca="false">IF(A331="","",IF(AND(mthbeg&lt;=A330,mthend&gt;=A330),1,0))</f>
        <v/>
      </c>
      <c r="AU330" s="137" t="str">
        <f aca="false">IF(A331="","",AO330*AT330)</f>
        <v/>
      </c>
      <c r="AW330" s="195" t="str">
        <f aca="false">IF($A331="","",AL330*$E330)</f>
        <v/>
      </c>
      <c r="AX330" s="195" t="str">
        <f aca="false">IF($A331="","",AM330*$E330)</f>
        <v/>
      </c>
      <c r="AY330" s="195" t="str">
        <f aca="false">IF($A331="","",AN330*$E330)</f>
        <v/>
      </c>
      <c r="BA330" s="195" t="str">
        <f aca="false">IF($A331="","",F330*Summary!$Q$7)</f>
        <v/>
      </c>
    </row>
    <row r="331" customFormat="false" ht="12" hidden="false" customHeight="true" outlineLevel="0" collapsed="false">
      <c r="A331" s="196" t="str">
        <f aca="false">IF(A330&lt;mthend,EDATE(A330,1),"")</f>
        <v/>
      </c>
      <c r="B331" s="197" t="str">
        <f aca="false">IF(A331&lt;mthend,B330,"")</f>
        <v/>
      </c>
      <c r="C331" s="215"/>
      <c r="D331" s="197" t="str">
        <f aca="false">IF(A332&lt;&gt;"",B331+C331,"")</f>
        <v/>
      </c>
      <c r="E331" s="199" t="str">
        <f aca="false">IF(A332="","",IF(AND(AT331=1,$H$3=1),D331*AO331,IF($H$3=2,D331,"N/A")))</f>
        <v/>
      </c>
      <c r="F331" s="199" t="str">
        <f aca="false">IF(A332="","",E331*AS331)</f>
        <v/>
      </c>
      <c r="G331" s="200" t="str">
        <f aca="false">IF($A332="","",VLOOKUP($A331,Table,MATCH(G$4,Curves,0)))</f>
        <v/>
      </c>
      <c r="H331" s="201" t="str">
        <f aca="false">IF(A332="","",G331)</f>
        <v/>
      </c>
      <c r="I331" s="202"/>
      <c r="J331" s="200" t="str">
        <f aca="false">IF($A332="","",VLOOKUP($A331,Table,MATCH(J$4,Curves,0)))</f>
        <v/>
      </c>
      <c r="K331" s="201" t="str">
        <f aca="false">IF(A332="","",J331)</f>
        <v/>
      </c>
      <c r="L331" s="200" t="str">
        <f aca="false">IF($A332="","",VLOOKUP($A331,Table,MATCH(L$4,Curves,0)))</f>
        <v/>
      </c>
      <c r="M331" s="201" t="str">
        <f aca="false">IF(A332="","",L331)</f>
        <v/>
      </c>
      <c r="N331" s="203"/>
      <c r="O331" s="200" t="str">
        <f aca="false">IF(A332="","",L331+J331+G331)</f>
        <v/>
      </c>
      <c r="P331" s="200" t="str">
        <f aca="false">IF(A332="","",M331+K331+H331)</f>
        <v/>
      </c>
      <c r="Q331" s="204"/>
      <c r="R331" s="200" t="str">
        <f aca="false">IF($A332="","",VLOOKUP($A331,Table,MATCH(R$4,Curves,0)))</f>
        <v/>
      </c>
      <c r="S331" s="201" t="str">
        <f aca="false">IF(A332="","",R331)</f>
        <v/>
      </c>
      <c r="T331" s="200" t="str">
        <f aca="false">IF($A332="","",VLOOKUP($A331,Table,MATCH(T$4,Curves,0)))</f>
        <v/>
      </c>
      <c r="U331" s="201" t="str">
        <f aca="false">IF(A332="","",T331)</f>
        <v/>
      </c>
      <c r="V331" s="183" t="str">
        <f aca="false">IF($A332="","",IF(AND(MONTH(A331)&gt;3,MONTH(A331)&lt;11),(T331+R331+G331)*Summary!$T$7/(1-Summary!$T$7),(T331+R331+G331)*Summary!$U$7/(1-Summary!$U$7)))</f>
        <v/>
      </c>
      <c r="W331" s="200" t="str">
        <f aca="false">IF($A332="","",(T331+R331+G331+V331))</f>
        <v/>
      </c>
      <c r="X331" s="200" t="str">
        <f aca="false">IF($A332="","",(U331+S331+H331+V331))</f>
        <v/>
      </c>
      <c r="Y331" s="202"/>
      <c r="Z331" s="185" t="str">
        <f aca="false">IF($A332="","",VLOOKUP($A331,Table,MATCH(Z$4,Curves,0)))</f>
        <v/>
      </c>
      <c r="AA331" s="185" t="str">
        <f aca="false">IF($A332="","",VLOOKUP($A331,Table,MATCH(AA$4,Curves,0)))</f>
        <v/>
      </c>
      <c r="AB331" s="185" t="e">
        <f aca="false">SQRT((AA331^2*(A331-$D$3)+Z331^2*(DAY(EOMONTH(A331,0))/2))/AK331)</f>
        <v>#VALUE!</v>
      </c>
      <c r="AC331" s="185" t="str">
        <f aca="false">IF($A332="","",VLOOKUP($A331,Table,MATCH(AC$4,Curves,0)))</f>
        <v/>
      </c>
      <c r="AD331" s="185" t="str">
        <f aca="false">IF($A332="","",VLOOKUP($A331,Table,MATCH(AD$4,Curves,0)))</f>
        <v/>
      </c>
      <c r="AE331" s="185" t="e">
        <f aca="false">SQRT((AD331^2*(A331-$D$3)+AC331^2*(DAY(EOMONTH(A331,0))/2))/AK331)</f>
        <v>#VALUE!</v>
      </c>
      <c r="AF331" s="206" t="e">
        <f aca="false">((Summary!$N$7*(AA331*AD331)*(A331-$D$3))+(Summary!$M$7*Z331*AC331*(DAY(EOMONTH(A331,0))/2)))/(AK331*AB331*AE331)</f>
        <v>#VALUE!</v>
      </c>
      <c r="AG331" s="207" t="str">
        <f aca="false">IF($A332="","",Summary!$Q$7)</f>
        <v/>
      </c>
      <c r="AH331" s="207" t="str">
        <f aca="false">IF($A332="","",IF(Summary!$R$7="Y",(VLOOKUP($A331,Summary!$AD$6:$AF$9,3)+'Escalating commodity'!C344),'Escalating commodity'!C344))</f>
        <v/>
      </c>
      <c r="AI331" s="207" t="str">
        <f aca="false">IF($A332="","",AH331)</f>
        <v/>
      </c>
      <c r="AJ331" s="208" t="e">
        <f aca="false">A331+DAY(EOMONTH(A331,0))/2-1</f>
        <v>#VALUE!</v>
      </c>
      <c r="AK331" s="209" t="str">
        <f aca="false">IF($A332="","",$A331-$E$1)</f>
        <v/>
      </c>
      <c r="AL331" s="182" t="str">
        <f aca="false">IF($A332="","",SPRDOPT(P331,X331,AI331,0,AB331,AE331,AF331,AK331,$AJ$2,0))</f>
        <v/>
      </c>
      <c r="AM331" s="210" t="str">
        <f aca="false">IF($A332="","",MAX(0,O331-W331-AI331))</f>
        <v/>
      </c>
      <c r="AN331" s="211" t="str">
        <f aca="false">IF($A332="","",AL331-AM331)</f>
        <v/>
      </c>
      <c r="AO331" s="137" t="str">
        <f aca="false">IF(A332="","",A332-A331)</f>
        <v/>
      </c>
      <c r="AP331" s="212" t="str">
        <f aca="false">IF(A332="","",CHOOSE(F$3,A332+24,A331))</f>
        <v/>
      </c>
      <c r="AQ331" s="209" t="str">
        <f aca="false">IF(A332="","",AP331-$E$1)</f>
        <v/>
      </c>
      <c r="AR331" s="185" t="n">
        <f aca="false">IF(Summary!$H$2=1,VLOOKUP('ANR OK vs ML7'!A331,Curves!$C$17:$AR$273,MATCH('ANR OK vs ML7'!$AR$4,Curves!$C$8:$AQ$8,0)),0.1)</f>
        <v>0.1</v>
      </c>
      <c r="AS331" s="213" t="str">
        <f aca="false">IF(A332="","",1/(1+CHOOSE(F$3,(AR332+($I$3/10000))/2,(AR331+($I$3/10000))/2))^(2*AQ331/365.25))</f>
        <v/>
      </c>
      <c r="AT331" s="137" t="str">
        <f aca="false">IF(A332="","",IF(AND(mthbeg&lt;=A331,mthend&gt;=A331),1,0))</f>
        <v/>
      </c>
      <c r="AU331" s="137" t="str">
        <f aca="false">IF(A332="","",AO331*AT331)</f>
        <v/>
      </c>
      <c r="AW331" s="195" t="str">
        <f aca="false">IF($A332="","",AL331*$E331)</f>
        <v/>
      </c>
      <c r="AX331" s="195" t="str">
        <f aca="false">IF($A332="","",AM331*$E331)</f>
        <v/>
      </c>
      <c r="AY331" s="195" t="str">
        <f aca="false">IF($A332="","",AN331*$E331)</f>
        <v/>
      </c>
      <c r="BA331" s="195" t="str">
        <f aca="false">IF($A332="","",F331*Summary!$Q$7)</f>
        <v/>
      </c>
    </row>
    <row r="332" customFormat="false" ht="12" hidden="false" customHeight="true" outlineLevel="0" collapsed="false">
      <c r="A332" s="196" t="str">
        <f aca="false">IF(A331&lt;mthend,EDATE(A331,1),"")</f>
        <v/>
      </c>
      <c r="B332" s="197" t="str">
        <f aca="false">IF(A332&lt;mthend,B331,"")</f>
        <v/>
      </c>
      <c r="C332" s="215"/>
      <c r="D332" s="197" t="str">
        <f aca="false">IF(A333&lt;&gt;"",B332+C332,"")</f>
        <v/>
      </c>
      <c r="E332" s="199" t="str">
        <f aca="false">IF(A333="","",IF(AND(AT332=1,$H$3=1),D332*AO332,IF($H$3=2,D332,"N/A")))</f>
        <v/>
      </c>
      <c r="F332" s="199" t="str">
        <f aca="false">IF(A333="","",E332*AS332)</f>
        <v/>
      </c>
      <c r="G332" s="200" t="str">
        <f aca="false">IF($A333="","",VLOOKUP($A332,Table,MATCH(G$4,Curves,0)))</f>
        <v/>
      </c>
      <c r="H332" s="201" t="str">
        <f aca="false">IF(A333="","",G332)</f>
        <v/>
      </c>
      <c r="I332" s="202"/>
      <c r="J332" s="200" t="str">
        <f aca="false">IF($A333="","",VLOOKUP($A332,Table,MATCH(J$4,Curves,0)))</f>
        <v/>
      </c>
      <c r="K332" s="201" t="str">
        <f aca="false">IF(A333="","",J332)</f>
        <v/>
      </c>
      <c r="L332" s="200" t="str">
        <f aca="false">IF($A333="","",VLOOKUP($A332,Table,MATCH(L$4,Curves,0)))</f>
        <v/>
      </c>
      <c r="M332" s="201" t="str">
        <f aca="false">IF(A333="","",L332)</f>
        <v/>
      </c>
      <c r="N332" s="203"/>
      <c r="O332" s="200" t="str">
        <f aca="false">IF(A333="","",L332+J332+G332)</f>
        <v/>
      </c>
      <c r="P332" s="200" t="str">
        <f aca="false">IF(A333="","",M332+K332+H332)</f>
        <v/>
      </c>
      <c r="Q332" s="204"/>
      <c r="R332" s="200" t="str">
        <f aca="false">IF($A333="","",VLOOKUP($A332,Table,MATCH(R$4,Curves,0)))</f>
        <v/>
      </c>
      <c r="S332" s="201" t="str">
        <f aca="false">IF(A333="","",R332)</f>
        <v/>
      </c>
      <c r="T332" s="200" t="str">
        <f aca="false">IF($A333="","",VLOOKUP($A332,Table,MATCH(T$4,Curves,0)))</f>
        <v/>
      </c>
      <c r="U332" s="201" t="str">
        <f aca="false">IF(A333="","",T332)</f>
        <v/>
      </c>
      <c r="V332" s="183" t="str">
        <f aca="false">IF($A333="","",IF(AND(MONTH(A332)&gt;3,MONTH(A332)&lt;11),(T332+R332+G332)*Summary!$T$7/(1-Summary!$T$7),(T332+R332+G332)*Summary!$U$7/(1-Summary!$U$7)))</f>
        <v/>
      </c>
      <c r="W332" s="200" t="str">
        <f aca="false">IF($A333="","",(T332+R332+G332+V332))</f>
        <v/>
      </c>
      <c r="X332" s="200" t="str">
        <f aca="false">IF($A333="","",(U332+S332+H332+V332))</f>
        <v/>
      </c>
      <c r="Y332" s="202"/>
      <c r="Z332" s="185" t="str">
        <f aca="false">IF($A333="","",VLOOKUP($A332,Table,MATCH(Z$4,Curves,0)))</f>
        <v/>
      </c>
      <c r="AA332" s="185" t="str">
        <f aca="false">IF($A333="","",VLOOKUP($A332,Table,MATCH(AA$4,Curves,0)))</f>
        <v/>
      </c>
      <c r="AB332" s="185" t="e">
        <f aca="false">SQRT((AA332^2*(A332-$D$3)+Z332^2*(DAY(EOMONTH(A332,0))/2))/AK332)</f>
        <v>#VALUE!</v>
      </c>
      <c r="AC332" s="185" t="str">
        <f aca="false">IF($A333="","",VLOOKUP($A332,Table,MATCH(AC$4,Curves,0)))</f>
        <v/>
      </c>
      <c r="AD332" s="185" t="str">
        <f aca="false">IF($A333="","",VLOOKUP($A332,Table,MATCH(AD$4,Curves,0)))</f>
        <v/>
      </c>
      <c r="AE332" s="185" t="e">
        <f aca="false">SQRT((AD332^2*(A332-$D$3)+AC332^2*(DAY(EOMONTH(A332,0))/2))/AK332)</f>
        <v>#VALUE!</v>
      </c>
      <c r="AF332" s="206" t="e">
        <f aca="false">((Summary!$N$7*(AA332*AD332)*(A332-$D$3))+(Summary!$M$7*Z332*AC332*(DAY(EOMONTH(A332,0))/2)))/(AK332*AB332*AE332)</f>
        <v>#VALUE!</v>
      </c>
      <c r="AG332" s="207" t="str">
        <f aca="false">IF($A333="","",Summary!$Q$7)</f>
        <v/>
      </c>
      <c r="AH332" s="207" t="str">
        <f aca="false">IF($A333="","",IF(Summary!$R$7="Y",(VLOOKUP($A332,Summary!$AD$6:$AF$9,3)+'Escalating commodity'!C345),'Escalating commodity'!C345))</f>
        <v/>
      </c>
      <c r="AI332" s="207" t="str">
        <f aca="false">IF($A333="","",AH332)</f>
        <v/>
      </c>
      <c r="AJ332" s="208" t="e">
        <f aca="false">A332+DAY(EOMONTH(A332,0))/2-1</f>
        <v>#VALUE!</v>
      </c>
      <c r="AK332" s="209" t="str">
        <f aca="false">IF($A333="","",$A332-$E$1)</f>
        <v/>
      </c>
      <c r="AL332" s="182" t="str">
        <f aca="false">IF($A333="","",SPRDOPT(P332,X332,AI332,0,AB332,AE332,AF332,AK332,$AJ$2,0))</f>
        <v/>
      </c>
      <c r="AM332" s="210" t="str">
        <f aca="false">IF($A333="","",MAX(0,O332-W332-AI332))</f>
        <v/>
      </c>
      <c r="AN332" s="211" t="str">
        <f aca="false">IF($A333="","",AL332-AM332)</f>
        <v/>
      </c>
      <c r="AO332" s="137" t="str">
        <f aca="false">IF(A333="","",A333-A332)</f>
        <v/>
      </c>
      <c r="AP332" s="212" t="str">
        <f aca="false">IF(A333="","",CHOOSE(F$3,A333+24,A332))</f>
        <v/>
      </c>
      <c r="AQ332" s="209" t="str">
        <f aca="false">IF(A333="","",AP332-$E$1)</f>
        <v/>
      </c>
      <c r="AR332" s="185" t="n">
        <f aca="false">IF(Summary!$H$2=1,VLOOKUP('ANR OK vs ML7'!A332,Curves!$C$17:$AR$273,MATCH('ANR OK vs ML7'!$AR$4,Curves!$C$8:$AQ$8,0)),0.1)</f>
        <v>0.1</v>
      </c>
      <c r="AS332" s="213" t="str">
        <f aca="false">IF(A333="","",1/(1+CHOOSE(F$3,(AR333+($I$3/10000))/2,(AR332+($I$3/10000))/2))^(2*AQ332/365.25))</f>
        <v/>
      </c>
      <c r="AT332" s="137" t="str">
        <f aca="false">IF(A333="","",IF(AND(mthbeg&lt;=A332,mthend&gt;=A332),1,0))</f>
        <v/>
      </c>
      <c r="AU332" s="137" t="str">
        <f aca="false">IF(A333="","",AO332*AT332)</f>
        <v/>
      </c>
      <c r="AW332" s="195" t="str">
        <f aca="false">IF($A333="","",AL332*$E332)</f>
        <v/>
      </c>
      <c r="AX332" s="195" t="str">
        <f aca="false">IF($A333="","",AM332*$E332)</f>
        <v/>
      </c>
      <c r="AY332" s="195" t="str">
        <f aca="false">IF($A333="","",AN332*$E332)</f>
        <v/>
      </c>
      <c r="BA332" s="195" t="str">
        <f aca="false">IF($A333="","",F332*Summary!$Q$7)</f>
        <v/>
      </c>
    </row>
    <row r="333" customFormat="false" ht="12" hidden="false" customHeight="true" outlineLevel="0" collapsed="false">
      <c r="A333" s="196" t="str">
        <f aca="false">IF(A332&lt;mthend,EDATE(A332,1),"")</f>
        <v/>
      </c>
      <c r="B333" s="197" t="str">
        <f aca="false">IF(A333&lt;mthend,B332,"")</f>
        <v/>
      </c>
      <c r="C333" s="215"/>
      <c r="D333" s="197" t="str">
        <f aca="false">IF(A334&lt;&gt;"",B333+C333,"")</f>
        <v/>
      </c>
      <c r="E333" s="199" t="str">
        <f aca="false">IF(A334="","",IF(AND(AT333=1,$H$3=1),D333*AO333,IF($H$3=2,D333,"N/A")))</f>
        <v/>
      </c>
      <c r="F333" s="199" t="str">
        <f aca="false">IF(A334="","",E333*AS333)</f>
        <v/>
      </c>
      <c r="G333" s="200" t="str">
        <f aca="false">IF($A334="","",VLOOKUP($A333,Table,MATCH(G$4,Curves,0)))</f>
        <v/>
      </c>
      <c r="H333" s="201" t="str">
        <f aca="false">IF(A334="","",G333)</f>
        <v/>
      </c>
      <c r="I333" s="202"/>
      <c r="J333" s="200" t="str">
        <f aca="false">IF($A334="","",VLOOKUP($A333,Table,MATCH(J$4,Curves,0)))</f>
        <v/>
      </c>
      <c r="K333" s="201" t="str">
        <f aca="false">IF(A334="","",J333)</f>
        <v/>
      </c>
      <c r="L333" s="200" t="str">
        <f aca="false">IF($A334="","",VLOOKUP($A333,Table,MATCH(L$4,Curves,0)))</f>
        <v/>
      </c>
      <c r="M333" s="201" t="str">
        <f aca="false">IF(A334="","",L333)</f>
        <v/>
      </c>
      <c r="N333" s="203"/>
      <c r="O333" s="200" t="str">
        <f aca="false">IF(A334="","",L333+J333+G333)</f>
        <v/>
      </c>
      <c r="P333" s="200" t="str">
        <f aca="false">IF(A334="","",M333+K333+H333)</f>
        <v/>
      </c>
      <c r="Q333" s="204"/>
      <c r="R333" s="200" t="str">
        <f aca="false">IF($A334="","",VLOOKUP($A333,Table,MATCH(R$4,Curves,0)))</f>
        <v/>
      </c>
      <c r="S333" s="201" t="str">
        <f aca="false">IF(A334="","",R333)</f>
        <v/>
      </c>
      <c r="T333" s="200" t="str">
        <f aca="false">IF($A334="","",VLOOKUP($A333,Table,MATCH(T$4,Curves,0)))</f>
        <v/>
      </c>
      <c r="U333" s="201" t="str">
        <f aca="false">IF(A334="","",T333)</f>
        <v/>
      </c>
      <c r="V333" s="183" t="str">
        <f aca="false">IF($A334="","",IF(AND(MONTH(A333)&gt;3,MONTH(A333)&lt;11),(T333+R333+G333)*Summary!$T$7/(1-Summary!$T$7),(T333+R333+G333)*Summary!$U$7/(1-Summary!$U$7)))</f>
        <v/>
      </c>
      <c r="W333" s="200" t="str">
        <f aca="false">IF($A334="","",(T333+R333+G333+V333))</f>
        <v/>
      </c>
      <c r="X333" s="200" t="str">
        <f aca="false">IF($A334="","",(U333+S333+H333+V333))</f>
        <v/>
      </c>
      <c r="Y333" s="202"/>
      <c r="Z333" s="185" t="str">
        <f aca="false">IF($A334="","",VLOOKUP($A333,Table,MATCH(Z$4,Curves,0)))</f>
        <v/>
      </c>
      <c r="AA333" s="185" t="str">
        <f aca="false">IF($A334="","",VLOOKUP($A333,Table,MATCH(AA$4,Curves,0)))</f>
        <v/>
      </c>
      <c r="AB333" s="185" t="e">
        <f aca="false">SQRT((AA333^2*(A333-$D$3)+Z333^2*(DAY(EOMONTH(A333,0))/2))/AK333)</f>
        <v>#VALUE!</v>
      </c>
      <c r="AC333" s="185" t="str">
        <f aca="false">IF($A334="","",VLOOKUP($A333,Table,MATCH(AC$4,Curves,0)))</f>
        <v/>
      </c>
      <c r="AD333" s="185" t="str">
        <f aca="false">IF($A334="","",VLOOKUP($A333,Table,MATCH(AD$4,Curves,0)))</f>
        <v/>
      </c>
      <c r="AE333" s="185" t="e">
        <f aca="false">SQRT((AD333^2*(A333-$D$3)+AC333^2*(DAY(EOMONTH(A333,0))/2))/AK333)</f>
        <v>#VALUE!</v>
      </c>
      <c r="AF333" s="206" t="e">
        <f aca="false">((Summary!$N$7*(AA333*AD333)*(A333-$D$3))+(Summary!$M$7*Z333*AC333*(DAY(EOMONTH(A333,0))/2)))/(AK333*AB333*AE333)</f>
        <v>#VALUE!</v>
      </c>
      <c r="AG333" s="207" t="str">
        <f aca="false">IF($A334="","",Summary!$Q$7)</f>
        <v/>
      </c>
      <c r="AH333" s="207" t="str">
        <f aca="false">IF($A334="","",IF(Summary!$R$7="Y",(VLOOKUP($A333,Summary!$AD$6:$AF$9,3)+'Escalating commodity'!C346),'Escalating commodity'!C346))</f>
        <v/>
      </c>
      <c r="AI333" s="207" t="str">
        <f aca="false">IF($A334="","",AH333)</f>
        <v/>
      </c>
      <c r="AJ333" s="208" t="e">
        <f aca="false">A333+DAY(EOMONTH(A333,0))/2-1</f>
        <v>#VALUE!</v>
      </c>
      <c r="AK333" s="209" t="str">
        <f aca="false">IF($A334="","",$A333-$E$1)</f>
        <v/>
      </c>
      <c r="AL333" s="182" t="str">
        <f aca="false">IF($A334="","",SPRDOPT(P333,X333,AI333,0,AB333,AE333,AF333,AK333,$AJ$2,0))</f>
        <v/>
      </c>
      <c r="AM333" s="210" t="str">
        <f aca="false">IF($A334="","",MAX(0,O333-W333-AI333))</f>
        <v/>
      </c>
      <c r="AN333" s="211" t="str">
        <f aca="false">IF($A334="","",AL333-AM333)</f>
        <v/>
      </c>
      <c r="AO333" s="137" t="str">
        <f aca="false">IF(A334="","",A334-A333)</f>
        <v/>
      </c>
      <c r="AP333" s="212" t="str">
        <f aca="false">IF(A334="","",CHOOSE(F$3,A334+24,A333))</f>
        <v/>
      </c>
      <c r="AQ333" s="209" t="str">
        <f aca="false">IF(A334="","",AP333-$E$1)</f>
        <v/>
      </c>
      <c r="AR333" s="185" t="n">
        <f aca="false">IF(Summary!$H$2=1,VLOOKUP('ANR OK vs ML7'!A333,Curves!$C$17:$AR$273,MATCH('ANR OK vs ML7'!$AR$4,Curves!$C$8:$AQ$8,0)),0.1)</f>
        <v>0.1</v>
      </c>
      <c r="AS333" s="213" t="str">
        <f aca="false">IF(A334="","",1/(1+CHOOSE(F$3,(AR334+($I$3/10000))/2,(AR333+($I$3/10000))/2))^(2*AQ333/365.25))</f>
        <v/>
      </c>
      <c r="AT333" s="137" t="str">
        <f aca="false">IF(A334="","",IF(AND(mthbeg&lt;=A333,mthend&gt;=A333),1,0))</f>
        <v/>
      </c>
      <c r="AU333" s="137" t="str">
        <f aca="false">IF(A334="","",AO333*AT333)</f>
        <v/>
      </c>
      <c r="AW333" s="195" t="str">
        <f aca="false">IF($A334="","",AL333*$E333)</f>
        <v/>
      </c>
      <c r="AX333" s="195" t="str">
        <f aca="false">IF($A334="","",AM333*$E333)</f>
        <v/>
      </c>
      <c r="AY333" s="195" t="str">
        <f aca="false">IF($A334="","",AN333*$E333)</f>
        <v/>
      </c>
      <c r="BA333" s="195" t="str">
        <f aca="false">IF($A334="","",F333*Summary!$Q$7)</f>
        <v/>
      </c>
    </row>
    <row r="334" customFormat="false" ht="12" hidden="false" customHeight="true" outlineLevel="0" collapsed="false">
      <c r="A334" s="196" t="str">
        <f aca="false">IF(A333&lt;mthend,EDATE(A333,1),"")</f>
        <v/>
      </c>
      <c r="B334" s="197" t="str">
        <f aca="false">IF(A334&lt;mthend,B333,"")</f>
        <v/>
      </c>
      <c r="C334" s="215"/>
      <c r="D334" s="197" t="str">
        <f aca="false">IF(A335&lt;&gt;"",B334+C334,"")</f>
        <v/>
      </c>
      <c r="E334" s="199" t="str">
        <f aca="false">IF(A335="","",IF(AND(AT334=1,$H$3=1),D334*AO334,IF($H$3=2,D334,"N/A")))</f>
        <v/>
      </c>
      <c r="F334" s="199" t="str">
        <f aca="false">IF(A335="","",E334*AS334)</f>
        <v/>
      </c>
      <c r="G334" s="200" t="str">
        <f aca="false">IF($A335="","",VLOOKUP($A334,Table,MATCH(G$4,Curves,0)))</f>
        <v/>
      </c>
      <c r="H334" s="201" t="str">
        <f aca="false">IF(A335="","",G334)</f>
        <v/>
      </c>
      <c r="I334" s="202"/>
      <c r="J334" s="200" t="str">
        <f aca="false">IF($A335="","",VLOOKUP($A334,Table,MATCH(J$4,Curves,0)))</f>
        <v/>
      </c>
      <c r="K334" s="201" t="str">
        <f aca="false">IF(A335="","",J334)</f>
        <v/>
      </c>
      <c r="L334" s="200" t="str">
        <f aca="false">IF($A335="","",VLOOKUP($A334,Table,MATCH(L$4,Curves,0)))</f>
        <v/>
      </c>
      <c r="M334" s="201" t="str">
        <f aca="false">IF(A335="","",L334)</f>
        <v/>
      </c>
      <c r="N334" s="203"/>
      <c r="O334" s="200" t="str">
        <f aca="false">IF(A335="","",L334+J334+G334)</f>
        <v/>
      </c>
      <c r="P334" s="200" t="str">
        <f aca="false">IF(A335="","",M334+K334+H334)</f>
        <v/>
      </c>
      <c r="Q334" s="204"/>
      <c r="R334" s="200" t="str">
        <f aca="false">IF($A335="","",VLOOKUP($A334,Table,MATCH(R$4,Curves,0)))</f>
        <v/>
      </c>
      <c r="S334" s="201" t="str">
        <f aca="false">IF(A335="","",R334)</f>
        <v/>
      </c>
      <c r="T334" s="200" t="str">
        <f aca="false">IF($A335="","",VLOOKUP($A334,Table,MATCH(T$4,Curves,0)))</f>
        <v/>
      </c>
      <c r="U334" s="201" t="str">
        <f aca="false">IF(A335="","",T334)</f>
        <v/>
      </c>
      <c r="V334" s="183" t="str">
        <f aca="false">IF($A335="","",IF(AND(MONTH(A334)&gt;3,MONTH(A334)&lt;11),(T334+R334+G334)*Summary!$T$7/(1-Summary!$T$7),(T334+R334+G334)*Summary!$U$7/(1-Summary!$U$7)))</f>
        <v/>
      </c>
      <c r="W334" s="200" t="str">
        <f aca="false">IF($A335="","",(T334+R334+G334+V334))</f>
        <v/>
      </c>
      <c r="X334" s="200" t="str">
        <f aca="false">IF($A335="","",(U334+S334+H334+V334))</f>
        <v/>
      </c>
      <c r="Y334" s="202"/>
      <c r="Z334" s="185" t="str">
        <f aca="false">IF($A335="","",VLOOKUP($A334,Table,MATCH(Z$4,Curves,0)))</f>
        <v/>
      </c>
      <c r="AA334" s="185" t="str">
        <f aca="false">IF($A335="","",VLOOKUP($A334,Table,MATCH(AA$4,Curves,0)))</f>
        <v/>
      </c>
      <c r="AB334" s="185" t="e">
        <f aca="false">SQRT((AA334^2*(A334-$D$3)+Z334^2*(DAY(EOMONTH(A334,0))/2))/AK334)</f>
        <v>#VALUE!</v>
      </c>
      <c r="AC334" s="185" t="str">
        <f aca="false">IF($A335="","",VLOOKUP($A334,Table,MATCH(AC$4,Curves,0)))</f>
        <v/>
      </c>
      <c r="AD334" s="185" t="str">
        <f aca="false">IF($A335="","",VLOOKUP($A334,Table,MATCH(AD$4,Curves,0)))</f>
        <v/>
      </c>
      <c r="AE334" s="185" t="e">
        <f aca="false">SQRT((AD334^2*(A334-$D$3)+AC334^2*(DAY(EOMONTH(A334,0))/2))/AK334)</f>
        <v>#VALUE!</v>
      </c>
      <c r="AF334" s="206" t="e">
        <f aca="false">((Summary!$N$7*(AA334*AD334)*(A334-$D$3))+(Summary!$M$7*Z334*AC334*(DAY(EOMONTH(A334,0))/2)))/(AK334*AB334*AE334)</f>
        <v>#VALUE!</v>
      </c>
      <c r="AG334" s="207" t="str">
        <f aca="false">IF($A335="","",Summary!$Q$7)</f>
        <v/>
      </c>
      <c r="AH334" s="207" t="str">
        <f aca="false">IF($A335="","",IF(Summary!$R$7="Y",(VLOOKUP($A334,Summary!$AD$6:$AF$9,3)+'Escalating commodity'!C347),'Escalating commodity'!C347))</f>
        <v/>
      </c>
      <c r="AI334" s="207" t="str">
        <f aca="false">IF($A335="","",AH334)</f>
        <v/>
      </c>
      <c r="AJ334" s="208" t="e">
        <f aca="false">A334+DAY(EOMONTH(A334,0))/2-1</f>
        <v>#VALUE!</v>
      </c>
      <c r="AK334" s="209" t="str">
        <f aca="false">IF($A335="","",$A334-$E$1)</f>
        <v/>
      </c>
      <c r="AL334" s="182" t="str">
        <f aca="false">IF($A335="","",SPRDOPT(P334,X334,AI334,0,AB334,AE334,AF334,AK334,$AJ$2,0))</f>
        <v/>
      </c>
      <c r="AM334" s="210" t="str">
        <f aca="false">IF($A335="","",MAX(0,O334-W334-AI334))</f>
        <v/>
      </c>
      <c r="AN334" s="211" t="str">
        <f aca="false">IF($A335="","",AL334-AM334)</f>
        <v/>
      </c>
      <c r="AO334" s="137" t="str">
        <f aca="false">IF(A335="","",A335-A334)</f>
        <v/>
      </c>
      <c r="AP334" s="212" t="str">
        <f aca="false">IF(A335="","",CHOOSE(F$3,A335+24,A334))</f>
        <v/>
      </c>
      <c r="AQ334" s="209" t="str">
        <f aca="false">IF(A335="","",AP334-$E$1)</f>
        <v/>
      </c>
      <c r="AR334" s="185" t="n">
        <f aca="false">IF(Summary!$H$2=1,VLOOKUP('ANR OK vs ML7'!A334,Curves!$C$17:$AR$273,MATCH('ANR OK vs ML7'!$AR$4,Curves!$C$8:$AQ$8,0)),0.1)</f>
        <v>0.1</v>
      </c>
      <c r="AS334" s="213" t="str">
        <f aca="false">IF(A335="","",1/(1+CHOOSE(F$3,(AR335+($I$3/10000))/2,(AR334+($I$3/10000))/2))^(2*AQ334/365.25))</f>
        <v/>
      </c>
      <c r="AT334" s="137" t="str">
        <f aca="false">IF(A335="","",IF(AND(mthbeg&lt;=A334,mthend&gt;=A334),1,0))</f>
        <v/>
      </c>
      <c r="AU334" s="137" t="str">
        <f aca="false">IF(A335="","",AO334*AT334)</f>
        <v/>
      </c>
      <c r="AW334" s="195" t="str">
        <f aca="false">IF($A335="","",AL334*$E334)</f>
        <v/>
      </c>
      <c r="AX334" s="195" t="str">
        <f aca="false">IF($A335="","",AM334*$E334)</f>
        <v/>
      </c>
      <c r="AY334" s="195" t="str">
        <f aca="false">IF($A335="","",AN334*$E334)</f>
        <v/>
      </c>
      <c r="BA334" s="195" t="str">
        <f aca="false">IF($A335="","",F334*Summary!$Q$7)</f>
        <v/>
      </c>
    </row>
    <row r="335" customFormat="false" ht="12" hidden="false" customHeight="true" outlineLevel="0" collapsed="false">
      <c r="A335" s="196" t="str">
        <f aca="false">IF(A334&lt;mthend,EDATE(A334,1),"")</f>
        <v/>
      </c>
      <c r="B335" s="197" t="str">
        <f aca="false">IF(A335&lt;mthend,B334,"")</f>
        <v/>
      </c>
      <c r="C335" s="215"/>
      <c r="D335" s="197" t="str">
        <f aca="false">IF(A336&lt;&gt;"",B335+C335,"")</f>
        <v/>
      </c>
      <c r="E335" s="199" t="str">
        <f aca="false">IF(A336="","",IF(AND(AT335=1,$H$3=1),D335*AO335,IF($H$3=2,D335,"N/A")))</f>
        <v/>
      </c>
      <c r="F335" s="199" t="str">
        <f aca="false">IF(A336="","",E335*AS335)</f>
        <v/>
      </c>
      <c r="G335" s="200" t="str">
        <f aca="false">IF($A336="","",VLOOKUP($A335,Table,MATCH(G$4,Curves,0)))</f>
        <v/>
      </c>
      <c r="H335" s="201" t="str">
        <f aca="false">IF(A336="","",G335)</f>
        <v/>
      </c>
      <c r="I335" s="202"/>
      <c r="J335" s="200" t="str">
        <f aca="false">IF($A336="","",VLOOKUP($A335,Table,MATCH(J$4,Curves,0)))</f>
        <v/>
      </c>
      <c r="K335" s="201" t="str">
        <f aca="false">IF(A336="","",J335)</f>
        <v/>
      </c>
      <c r="L335" s="200" t="str">
        <f aca="false">IF($A336="","",VLOOKUP($A335,Table,MATCH(L$4,Curves,0)))</f>
        <v/>
      </c>
      <c r="M335" s="201" t="str">
        <f aca="false">IF(A336="","",L335)</f>
        <v/>
      </c>
      <c r="N335" s="203"/>
      <c r="O335" s="200" t="str">
        <f aca="false">IF(A336="","",L335+J335+G335)</f>
        <v/>
      </c>
      <c r="P335" s="200" t="str">
        <f aca="false">IF(A336="","",M335+K335+H335)</f>
        <v/>
      </c>
      <c r="Q335" s="204"/>
      <c r="R335" s="200" t="str">
        <f aca="false">IF($A336="","",VLOOKUP($A335,Table,MATCH(R$4,Curves,0)))</f>
        <v/>
      </c>
      <c r="S335" s="201" t="str">
        <f aca="false">IF(A336="","",R335)</f>
        <v/>
      </c>
      <c r="T335" s="200" t="str">
        <f aca="false">IF($A336="","",VLOOKUP($A335,Table,MATCH(T$4,Curves,0)))</f>
        <v/>
      </c>
      <c r="U335" s="201" t="str">
        <f aca="false">IF(A336="","",T335)</f>
        <v/>
      </c>
      <c r="V335" s="183" t="str">
        <f aca="false">IF($A336="","",IF(AND(MONTH(A335)&gt;3,MONTH(A335)&lt;11),(T335+R335+G335)*Summary!$T$7/(1-Summary!$T$7),(T335+R335+G335)*Summary!$U$7/(1-Summary!$U$7)))</f>
        <v/>
      </c>
      <c r="W335" s="200" t="str">
        <f aca="false">IF($A336="","",(T335+R335+G335+V335))</f>
        <v/>
      </c>
      <c r="X335" s="200" t="str">
        <f aca="false">IF($A336="","",(U335+S335+H335+V335))</f>
        <v/>
      </c>
      <c r="Y335" s="202"/>
      <c r="Z335" s="185" t="str">
        <f aca="false">IF($A336="","",VLOOKUP($A335,Table,MATCH(Z$4,Curves,0)))</f>
        <v/>
      </c>
      <c r="AA335" s="185" t="str">
        <f aca="false">IF($A336="","",VLOOKUP($A335,Table,MATCH(AA$4,Curves,0)))</f>
        <v/>
      </c>
      <c r="AB335" s="185" t="e">
        <f aca="false">SQRT((AA335^2*(A335-$D$3)+Z335^2*(DAY(EOMONTH(A335,0))/2))/AK335)</f>
        <v>#VALUE!</v>
      </c>
      <c r="AC335" s="185" t="str">
        <f aca="false">IF($A336="","",VLOOKUP($A335,Table,MATCH(AC$4,Curves,0)))</f>
        <v/>
      </c>
      <c r="AD335" s="185" t="str">
        <f aca="false">IF($A336="","",VLOOKUP($A335,Table,MATCH(AD$4,Curves,0)))</f>
        <v/>
      </c>
      <c r="AE335" s="185" t="e">
        <f aca="false">SQRT((AD335^2*(A335-$D$3)+AC335^2*(DAY(EOMONTH(A335,0))/2))/AK335)</f>
        <v>#VALUE!</v>
      </c>
      <c r="AF335" s="206" t="e">
        <f aca="false">((Summary!$N$7*(AA335*AD335)*(A335-$D$3))+(Summary!$M$7*Z335*AC335*(DAY(EOMONTH(A335,0))/2)))/(AK335*AB335*AE335)</f>
        <v>#VALUE!</v>
      </c>
      <c r="AG335" s="207" t="str">
        <f aca="false">IF($A336="","",Summary!$Q$7)</f>
        <v/>
      </c>
      <c r="AH335" s="207" t="str">
        <f aca="false">IF($A336="","",IF(Summary!$R$7="Y",(VLOOKUP($A335,Summary!$AD$6:$AF$9,3)+'Escalating commodity'!C348),'Escalating commodity'!C348))</f>
        <v/>
      </c>
      <c r="AI335" s="207" t="str">
        <f aca="false">IF($A336="","",AH335)</f>
        <v/>
      </c>
      <c r="AJ335" s="208" t="e">
        <f aca="false">A335+DAY(EOMONTH(A335,0))/2-1</f>
        <v>#VALUE!</v>
      </c>
      <c r="AK335" s="209" t="str">
        <f aca="false">IF($A336="","",$A335-$E$1)</f>
        <v/>
      </c>
      <c r="AL335" s="182" t="str">
        <f aca="false">IF($A336="","",SPRDOPT(P335,X335,AI335,0,AB335,AE335,AF335,AK335,$AJ$2,0))</f>
        <v/>
      </c>
      <c r="AM335" s="210" t="str">
        <f aca="false">IF($A336="","",MAX(0,O335-W335-AI335))</f>
        <v/>
      </c>
      <c r="AN335" s="211" t="str">
        <f aca="false">IF($A336="","",AL335-AM335)</f>
        <v/>
      </c>
      <c r="AO335" s="137" t="str">
        <f aca="false">IF(A336="","",A336-A335)</f>
        <v/>
      </c>
      <c r="AP335" s="212" t="str">
        <f aca="false">IF(A336="","",CHOOSE(F$3,A336+24,A335))</f>
        <v/>
      </c>
      <c r="AQ335" s="209" t="str">
        <f aca="false">IF(A336="","",AP335-$E$1)</f>
        <v/>
      </c>
      <c r="AR335" s="185" t="n">
        <f aca="false">IF(Summary!$H$2=1,VLOOKUP('ANR OK vs ML7'!A335,Curves!$C$17:$AR$273,MATCH('ANR OK vs ML7'!$AR$4,Curves!$C$8:$AQ$8,0)),0.1)</f>
        <v>0.1</v>
      </c>
      <c r="AS335" s="213" t="str">
        <f aca="false">IF(A336="","",1/(1+CHOOSE(F$3,(AR336+($I$3/10000))/2,(AR335+($I$3/10000))/2))^(2*AQ335/365.25))</f>
        <v/>
      </c>
      <c r="AT335" s="137" t="str">
        <f aca="false">IF(A336="","",IF(AND(mthbeg&lt;=A335,mthend&gt;=A335),1,0))</f>
        <v/>
      </c>
      <c r="AU335" s="137" t="str">
        <f aca="false">IF(A336="","",AO335*AT335)</f>
        <v/>
      </c>
      <c r="AW335" s="195" t="str">
        <f aca="false">IF($A336="","",AL335*$E335)</f>
        <v/>
      </c>
      <c r="AX335" s="195" t="str">
        <f aca="false">IF($A336="","",AM335*$E335)</f>
        <v/>
      </c>
      <c r="AY335" s="195" t="str">
        <f aca="false">IF($A336="","",AN335*$E335)</f>
        <v/>
      </c>
      <c r="BA335" s="195" t="str">
        <f aca="false">IF($A336="","",F335*Summary!$Q$7)</f>
        <v/>
      </c>
    </row>
    <row r="336" customFormat="false" ht="12" hidden="false" customHeight="true" outlineLevel="0" collapsed="false">
      <c r="A336" s="196" t="str">
        <f aca="false">IF(A335&lt;mthend,EDATE(A335,1),"")</f>
        <v/>
      </c>
      <c r="B336" s="197" t="str">
        <f aca="false">IF(A336&lt;mthend,B335,"")</f>
        <v/>
      </c>
      <c r="C336" s="215"/>
      <c r="D336" s="197" t="str">
        <f aca="false">IF(A337&lt;&gt;"",B336+C336,"")</f>
        <v/>
      </c>
      <c r="E336" s="199" t="str">
        <f aca="false">IF(A337="","",IF(AND(AT336=1,$H$3=1),D336*AO336,IF($H$3=2,D336,"N/A")))</f>
        <v/>
      </c>
      <c r="F336" s="199" t="str">
        <f aca="false">IF(A337="","",E336*AS336)</f>
        <v/>
      </c>
      <c r="G336" s="200" t="str">
        <f aca="false">IF($A337="","",VLOOKUP($A336,Table,MATCH(G$4,Curves,0)))</f>
        <v/>
      </c>
      <c r="H336" s="201" t="str">
        <f aca="false">IF(A337="","",G336)</f>
        <v/>
      </c>
      <c r="I336" s="202"/>
      <c r="J336" s="200" t="str">
        <f aca="false">IF($A337="","",VLOOKUP($A336,Table,MATCH(J$4,Curves,0)))</f>
        <v/>
      </c>
      <c r="K336" s="201" t="str">
        <f aca="false">IF(A337="","",J336)</f>
        <v/>
      </c>
      <c r="L336" s="200" t="str">
        <f aca="false">IF($A337="","",VLOOKUP($A336,Table,MATCH(L$4,Curves,0)))</f>
        <v/>
      </c>
      <c r="M336" s="201" t="str">
        <f aca="false">IF(A337="","",L336)</f>
        <v/>
      </c>
      <c r="N336" s="203"/>
      <c r="O336" s="200" t="str">
        <f aca="false">IF(A337="","",L336+J336+G336)</f>
        <v/>
      </c>
      <c r="P336" s="200" t="str">
        <f aca="false">IF(A337="","",M336+K336+H336)</f>
        <v/>
      </c>
      <c r="Q336" s="204"/>
      <c r="R336" s="200" t="str">
        <f aca="false">IF($A337="","",VLOOKUP($A336,Table,MATCH(R$4,Curves,0)))</f>
        <v/>
      </c>
      <c r="S336" s="201" t="str">
        <f aca="false">IF(A337="","",R336)</f>
        <v/>
      </c>
      <c r="T336" s="200" t="str">
        <f aca="false">IF($A337="","",VLOOKUP($A336,Table,MATCH(T$4,Curves,0)))</f>
        <v/>
      </c>
      <c r="U336" s="201" t="str">
        <f aca="false">IF(A337="","",T336)</f>
        <v/>
      </c>
      <c r="V336" s="183" t="str">
        <f aca="false">IF($A337="","",IF(AND(MONTH(A336)&gt;3,MONTH(A336)&lt;11),(T336+R336+G336)*Summary!$T$7/(1-Summary!$T$7),(T336+R336+G336)*Summary!$U$7/(1-Summary!$U$7)))</f>
        <v/>
      </c>
      <c r="W336" s="200" t="str">
        <f aca="false">IF($A337="","",(T336+R336+G336+V336))</f>
        <v/>
      </c>
      <c r="X336" s="200" t="str">
        <f aca="false">IF($A337="","",(U336+S336+H336+V336))</f>
        <v/>
      </c>
      <c r="Y336" s="202"/>
      <c r="Z336" s="185" t="str">
        <f aca="false">IF($A337="","",VLOOKUP($A336,Table,MATCH(Z$4,Curves,0)))</f>
        <v/>
      </c>
      <c r="AA336" s="185" t="str">
        <f aca="false">IF($A337="","",VLOOKUP($A336,Table,MATCH(AA$4,Curves,0)))</f>
        <v/>
      </c>
      <c r="AB336" s="185" t="e">
        <f aca="false">SQRT((AA336^2*(A336-$D$3)+Z336^2*(DAY(EOMONTH(A336,0))/2))/AK336)</f>
        <v>#VALUE!</v>
      </c>
      <c r="AC336" s="185" t="str">
        <f aca="false">IF($A337="","",VLOOKUP($A336,Table,MATCH(AC$4,Curves,0)))</f>
        <v/>
      </c>
      <c r="AD336" s="185" t="str">
        <f aca="false">IF($A337="","",VLOOKUP($A336,Table,MATCH(AD$4,Curves,0)))</f>
        <v/>
      </c>
      <c r="AE336" s="185" t="e">
        <f aca="false">SQRT((AD336^2*(A336-$D$3)+AC336^2*(DAY(EOMONTH(A336,0))/2))/AK336)</f>
        <v>#VALUE!</v>
      </c>
      <c r="AF336" s="206" t="e">
        <f aca="false">((Summary!$N$7*(AA336*AD336)*(A336-$D$3))+(Summary!$M$7*Z336*AC336*(DAY(EOMONTH(A336,0))/2)))/(AK336*AB336*AE336)</f>
        <v>#VALUE!</v>
      </c>
      <c r="AG336" s="207" t="str">
        <f aca="false">IF($A337="","",Summary!$Q$7)</f>
        <v/>
      </c>
      <c r="AH336" s="207" t="str">
        <f aca="false">IF($A337="","",IF(Summary!$R$7="Y",(VLOOKUP($A336,Summary!$AD$6:$AF$9,3)+'Escalating commodity'!C349),'Escalating commodity'!C349))</f>
        <v/>
      </c>
      <c r="AI336" s="207" t="str">
        <f aca="false">IF($A337="","",AH336)</f>
        <v/>
      </c>
      <c r="AJ336" s="208" t="e">
        <f aca="false">A336+DAY(EOMONTH(A336,0))/2-1</f>
        <v>#VALUE!</v>
      </c>
      <c r="AK336" s="209" t="str">
        <f aca="false">IF($A337="","",$A336-$E$1)</f>
        <v/>
      </c>
      <c r="AL336" s="182" t="str">
        <f aca="false">IF($A337="","",SPRDOPT(P336,X336,AI336,0,AB336,AE336,AF336,AK336,$AJ$2,0))</f>
        <v/>
      </c>
      <c r="AM336" s="210" t="str">
        <f aca="false">IF($A337="","",MAX(0,O336-W336-AI336))</f>
        <v/>
      </c>
      <c r="AN336" s="211" t="str">
        <f aca="false">IF($A337="","",AL336-AM336)</f>
        <v/>
      </c>
      <c r="AO336" s="137" t="str">
        <f aca="false">IF(A337="","",A337-A336)</f>
        <v/>
      </c>
      <c r="AP336" s="212" t="str">
        <f aca="false">IF(A337="","",CHOOSE(F$3,A337+24,A336))</f>
        <v/>
      </c>
      <c r="AQ336" s="209" t="str">
        <f aca="false">IF(A337="","",AP336-$E$1)</f>
        <v/>
      </c>
      <c r="AR336" s="185" t="n">
        <f aca="false">IF(Summary!$H$2=1,VLOOKUP('ANR OK vs ML7'!A336,Curves!$C$17:$AR$273,MATCH('ANR OK vs ML7'!$AR$4,Curves!$C$8:$AQ$8,0)),0.1)</f>
        <v>0.1</v>
      </c>
      <c r="AS336" s="213" t="str">
        <f aca="false">IF(A337="","",1/(1+CHOOSE(F$3,(AR337+($I$3/10000))/2,(AR336+($I$3/10000))/2))^(2*AQ336/365.25))</f>
        <v/>
      </c>
      <c r="AT336" s="137" t="str">
        <f aca="false">IF(A337="","",IF(AND(mthbeg&lt;=A336,mthend&gt;=A336),1,0))</f>
        <v/>
      </c>
      <c r="AU336" s="137" t="str">
        <f aca="false">IF(A337="","",AO336*AT336)</f>
        <v/>
      </c>
      <c r="AW336" s="195" t="str">
        <f aca="false">IF($A337="","",AL336*$E336)</f>
        <v/>
      </c>
      <c r="AX336" s="195" t="str">
        <f aca="false">IF($A337="","",AM336*$E336)</f>
        <v/>
      </c>
      <c r="AY336" s="195" t="str">
        <f aca="false">IF($A337="","",AN336*$E336)</f>
        <v/>
      </c>
      <c r="BA336" s="195" t="str">
        <f aca="false">IF($A337="","",F336*Summary!$Q$7)</f>
        <v/>
      </c>
    </row>
    <row r="337" customFormat="false" ht="12" hidden="false" customHeight="true" outlineLevel="0" collapsed="false">
      <c r="A337" s="196" t="str">
        <f aca="false">IF(A336&lt;mthend,EDATE(A336,1),"")</f>
        <v/>
      </c>
      <c r="B337" s="197" t="str">
        <f aca="false">IF(A337&lt;mthend,B336,"")</f>
        <v/>
      </c>
      <c r="C337" s="215"/>
      <c r="D337" s="197" t="str">
        <f aca="false">IF(A338&lt;&gt;"",B337+C337,"")</f>
        <v/>
      </c>
      <c r="E337" s="199" t="str">
        <f aca="false">IF(A338="","",IF(AND(AT337=1,$H$3=1),D337*AO337,IF($H$3=2,D337,"N/A")))</f>
        <v/>
      </c>
      <c r="F337" s="199" t="str">
        <f aca="false">IF(A338="","",E337*AS337)</f>
        <v/>
      </c>
      <c r="G337" s="200" t="str">
        <f aca="false">IF($A338="","",VLOOKUP($A337,Table,MATCH(G$4,Curves,0)))</f>
        <v/>
      </c>
      <c r="H337" s="201" t="str">
        <f aca="false">IF(A338="","",G337)</f>
        <v/>
      </c>
      <c r="I337" s="202"/>
      <c r="J337" s="200" t="str">
        <f aca="false">IF($A338="","",VLOOKUP($A337,Table,MATCH(J$4,Curves,0)))</f>
        <v/>
      </c>
      <c r="K337" s="201" t="str">
        <f aca="false">IF(A338="","",J337)</f>
        <v/>
      </c>
      <c r="L337" s="200" t="str">
        <f aca="false">IF($A338="","",VLOOKUP($A337,Table,MATCH(L$4,Curves,0)))</f>
        <v/>
      </c>
      <c r="M337" s="201" t="str">
        <f aca="false">IF(A338="","",L337)</f>
        <v/>
      </c>
      <c r="N337" s="203"/>
      <c r="O337" s="200" t="str">
        <f aca="false">IF(A338="","",L337+J337+G337)</f>
        <v/>
      </c>
      <c r="P337" s="200" t="str">
        <f aca="false">IF(A338="","",M337+K337+H337)</f>
        <v/>
      </c>
      <c r="Q337" s="204"/>
      <c r="R337" s="200" t="str">
        <f aca="false">IF($A338="","",VLOOKUP($A337,Table,MATCH(R$4,Curves,0)))</f>
        <v/>
      </c>
      <c r="S337" s="201" t="str">
        <f aca="false">IF(A338="","",R337)</f>
        <v/>
      </c>
      <c r="T337" s="200" t="str">
        <f aca="false">IF($A338="","",VLOOKUP($A337,Table,MATCH(T$4,Curves,0)))</f>
        <v/>
      </c>
      <c r="U337" s="201" t="str">
        <f aca="false">IF(A338="","",T337)</f>
        <v/>
      </c>
      <c r="V337" s="183" t="str">
        <f aca="false">IF($A338="","",IF(AND(MONTH(A337)&gt;3,MONTH(A337)&lt;11),(T337+R337+G337)*Summary!$T$7/(1-Summary!$T$7),(T337+R337+G337)*Summary!$U$7/(1-Summary!$U$7)))</f>
        <v/>
      </c>
      <c r="W337" s="200" t="str">
        <f aca="false">IF($A338="","",(T337+R337+G337+V337))</f>
        <v/>
      </c>
      <c r="X337" s="200" t="str">
        <f aca="false">IF($A338="","",(U337+S337+H337+V337))</f>
        <v/>
      </c>
      <c r="Y337" s="202"/>
      <c r="Z337" s="185" t="str">
        <f aca="false">IF($A338="","",VLOOKUP($A337,Table,MATCH(Z$4,Curves,0)))</f>
        <v/>
      </c>
      <c r="AA337" s="185" t="str">
        <f aca="false">IF($A338="","",VLOOKUP($A337,Table,MATCH(AA$4,Curves,0)))</f>
        <v/>
      </c>
      <c r="AB337" s="185" t="e">
        <f aca="false">SQRT((AA337^2*(A337-$D$3)+Z337^2*(DAY(EOMONTH(A337,0))/2))/AK337)</f>
        <v>#VALUE!</v>
      </c>
      <c r="AC337" s="185" t="str">
        <f aca="false">IF($A338="","",VLOOKUP($A337,Table,MATCH(AC$4,Curves,0)))</f>
        <v/>
      </c>
      <c r="AD337" s="185" t="str">
        <f aca="false">IF($A338="","",VLOOKUP($A337,Table,MATCH(AD$4,Curves,0)))</f>
        <v/>
      </c>
      <c r="AE337" s="185" t="e">
        <f aca="false">SQRT((AD337^2*(A337-$D$3)+AC337^2*(DAY(EOMONTH(A337,0))/2))/AK337)</f>
        <v>#VALUE!</v>
      </c>
      <c r="AF337" s="206" t="e">
        <f aca="false">((Summary!$N$7*(AA337*AD337)*(A337-$D$3))+(Summary!$M$7*Z337*AC337*(DAY(EOMONTH(A337,0))/2)))/(AK337*AB337*AE337)</f>
        <v>#VALUE!</v>
      </c>
      <c r="AG337" s="207" t="str">
        <f aca="false">IF($A338="","",Summary!$Q$7)</f>
        <v/>
      </c>
      <c r="AH337" s="207" t="str">
        <f aca="false">IF($A338="","",IF(Summary!$R$7="Y",(VLOOKUP($A337,Summary!$AD$6:$AF$9,3)+'Escalating commodity'!C350),'Escalating commodity'!C350))</f>
        <v/>
      </c>
      <c r="AI337" s="207" t="str">
        <f aca="false">IF($A338="","",AH337)</f>
        <v/>
      </c>
      <c r="AJ337" s="208" t="e">
        <f aca="false">A337+DAY(EOMONTH(A337,0))/2-1</f>
        <v>#VALUE!</v>
      </c>
      <c r="AK337" s="209" t="str">
        <f aca="false">IF($A338="","",$A337-$E$1)</f>
        <v/>
      </c>
      <c r="AL337" s="182" t="str">
        <f aca="false">IF($A338="","",SPRDOPT(P337,X337,AI337,0,AB337,AE337,AF337,AK337,$AJ$2,0))</f>
        <v/>
      </c>
      <c r="AM337" s="210" t="str">
        <f aca="false">IF($A338="","",MAX(0,O337-W337-AI337))</f>
        <v/>
      </c>
      <c r="AN337" s="211" t="str">
        <f aca="false">IF($A338="","",AL337-AM337)</f>
        <v/>
      </c>
      <c r="AO337" s="137" t="str">
        <f aca="false">IF(A338="","",A338-A337)</f>
        <v/>
      </c>
      <c r="AP337" s="212" t="str">
        <f aca="false">IF(A338="","",CHOOSE(F$3,A338+24,A337))</f>
        <v/>
      </c>
      <c r="AQ337" s="209" t="str">
        <f aca="false">IF(A338="","",AP337-$E$1)</f>
        <v/>
      </c>
      <c r="AR337" s="185" t="n">
        <f aca="false">IF(Summary!$H$2=1,VLOOKUP('ANR OK vs ML7'!A337,Curves!$C$17:$AR$273,MATCH('ANR OK vs ML7'!$AR$4,Curves!$C$8:$AQ$8,0)),0.1)</f>
        <v>0.1</v>
      </c>
      <c r="AS337" s="213" t="str">
        <f aca="false">IF(A338="","",1/(1+CHOOSE(F$3,(AR338+($I$3/10000))/2,(AR337+($I$3/10000))/2))^(2*AQ337/365.25))</f>
        <v/>
      </c>
      <c r="AT337" s="137" t="str">
        <f aca="false">IF(A338="","",IF(AND(mthbeg&lt;=A337,mthend&gt;=A337),1,0))</f>
        <v/>
      </c>
      <c r="AU337" s="137" t="str">
        <f aca="false">IF(A338="","",AO337*AT337)</f>
        <v/>
      </c>
      <c r="AW337" s="195" t="str">
        <f aca="false">IF($A338="","",AL337*$E337)</f>
        <v/>
      </c>
      <c r="AX337" s="195" t="str">
        <f aca="false">IF($A338="","",AM337*$E337)</f>
        <v/>
      </c>
      <c r="AY337" s="195" t="str">
        <f aca="false">IF($A338="","",AN337*$E337)</f>
        <v/>
      </c>
      <c r="BA337" s="195" t="str">
        <f aca="false">IF($A338="","",F337*Summary!$Q$7)</f>
        <v/>
      </c>
    </row>
    <row r="338" customFormat="false" ht="12" hidden="false" customHeight="true" outlineLevel="0" collapsed="false">
      <c r="A338" s="196" t="str">
        <f aca="false">IF(A337&lt;mthend,EDATE(A337,1),"")</f>
        <v/>
      </c>
      <c r="B338" s="197" t="str">
        <f aca="false">IF(A338&lt;mthend,B337,"")</f>
        <v/>
      </c>
      <c r="C338" s="215"/>
      <c r="D338" s="197" t="str">
        <f aca="false">IF(A339&lt;&gt;"",B338+C338,"")</f>
        <v/>
      </c>
      <c r="E338" s="199" t="str">
        <f aca="false">IF(A339="","",IF(AND(AT338=1,$H$3=1),D338*AO338,IF($H$3=2,D338,"N/A")))</f>
        <v/>
      </c>
      <c r="F338" s="199" t="str">
        <f aca="false">IF(A339="","",E338*AS338)</f>
        <v/>
      </c>
      <c r="G338" s="200" t="str">
        <f aca="false">IF($A339="","",VLOOKUP($A338,Table,MATCH(G$4,Curves,0)))</f>
        <v/>
      </c>
      <c r="H338" s="201" t="str">
        <f aca="false">IF(A339="","",G338)</f>
        <v/>
      </c>
      <c r="I338" s="202"/>
      <c r="J338" s="200" t="str">
        <f aca="false">IF($A339="","",VLOOKUP($A338,Table,MATCH(J$4,Curves,0)))</f>
        <v/>
      </c>
      <c r="K338" s="201" t="str">
        <f aca="false">IF(A339="","",J338)</f>
        <v/>
      </c>
      <c r="L338" s="200" t="str">
        <f aca="false">IF($A339="","",VLOOKUP($A338,Table,MATCH(L$4,Curves,0)))</f>
        <v/>
      </c>
      <c r="M338" s="201" t="str">
        <f aca="false">IF(A339="","",L338)</f>
        <v/>
      </c>
      <c r="N338" s="203"/>
      <c r="O338" s="200" t="str">
        <f aca="false">IF(A339="","",L338+J338+G338)</f>
        <v/>
      </c>
      <c r="P338" s="200" t="str">
        <f aca="false">IF(A339="","",M338+K338+H338)</f>
        <v/>
      </c>
      <c r="Q338" s="204"/>
      <c r="R338" s="200" t="str">
        <f aca="false">IF($A339="","",VLOOKUP($A338,Table,MATCH(R$4,Curves,0)))</f>
        <v/>
      </c>
      <c r="S338" s="201" t="str">
        <f aca="false">IF(A339="","",R338)</f>
        <v/>
      </c>
      <c r="T338" s="200" t="str">
        <f aca="false">IF($A339="","",VLOOKUP($A338,Table,MATCH(T$4,Curves,0)))</f>
        <v/>
      </c>
      <c r="U338" s="201" t="str">
        <f aca="false">IF(A339="","",T338)</f>
        <v/>
      </c>
      <c r="V338" s="183" t="str">
        <f aca="false">IF($A339="","",IF(AND(MONTH(A338)&gt;3,MONTH(A338)&lt;11),(T338+R338+G338)*Summary!$T$7/(1-Summary!$T$7),(T338+R338+G338)*Summary!$U$7/(1-Summary!$U$7)))</f>
        <v/>
      </c>
      <c r="W338" s="200" t="str">
        <f aca="false">IF($A339="","",(T338+R338+G338+V338))</f>
        <v/>
      </c>
      <c r="X338" s="200" t="str">
        <f aca="false">IF($A339="","",(U338+S338+H338+V338))</f>
        <v/>
      </c>
      <c r="Y338" s="202"/>
      <c r="Z338" s="185" t="str">
        <f aca="false">IF($A339="","",VLOOKUP($A338,Table,MATCH(Z$4,Curves,0)))</f>
        <v/>
      </c>
      <c r="AA338" s="185" t="str">
        <f aca="false">IF($A339="","",VLOOKUP($A338,Table,MATCH(AA$4,Curves,0)))</f>
        <v/>
      </c>
      <c r="AB338" s="185" t="e">
        <f aca="false">SQRT((AA338^2*(A338-$D$3)+Z338^2*(DAY(EOMONTH(A338,0))/2))/AK338)</f>
        <v>#VALUE!</v>
      </c>
      <c r="AC338" s="185" t="str">
        <f aca="false">IF($A339="","",VLOOKUP($A338,Table,MATCH(AC$4,Curves,0)))</f>
        <v/>
      </c>
      <c r="AD338" s="185" t="str">
        <f aca="false">IF($A339="","",VLOOKUP($A338,Table,MATCH(AD$4,Curves,0)))</f>
        <v/>
      </c>
      <c r="AE338" s="185" t="e">
        <f aca="false">SQRT((AD338^2*(A338-$D$3)+AC338^2*(DAY(EOMONTH(A338,0))/2))/AK338)</f>
        <v>#VALUE!</v>
      </c>
      <c r="AF338" s="206" t="e">
        <f aca="false">((Summary!$N$7*(AA338*AD338)*(A338-$D$3))+(Summary!$M$7*Z338*AC338*(DAY(EOMONTH(A338,0))/2)))/(AK338*AB338*AE338)</f>
        <v>#VALUE!</v>
      </c>
      <c r="AG338" s="207" t="str">
        <f aca="false">IF($A339="","",Summary!$Q$7)</f>
        <v/>
      </c>
      <c r="AH338" s="207" t="str">
        <f aca="false">IF($A339="","",IF(Summary!$R$7="Y",(VLOOKUP($A338,Summary!$AD$6:$AF$9,3)+'Escalating commodity'!C351),'Escalating commodity'!C351))</f>
        <v/>
      </c>
      <c r="AI338" s="207" t="str">
        <f aca="false">IF($A339="","",AH338)</f>
        <v/>
      </c>
      <c r="AJ338" s="208" t="e">
        <f aca="false">A338+DAY(EOMONTH(A338,0))/2-1</f>
        <v>#VALUE!</v>
      </c>
      <c r="AK338" s="209" t="str">
        <f aca="false">IF($A339="","",$A338-$E$1)</f>
        <v/>
      </c>
      <c r="AL338" s="182" t="str">
        <f aca="false">IF($A339="","",SPRDOPT(P338,X338,AI338,0,AB338,AE338,AF338,AK338,$AJ$2,0))</f>
        <v/>
      </c>
      <c r="AM338" s="210" t="str">
        <f aca="false">IF($A339="","",MAX(0,O338-W338-AI338))</f>
        <v/>
      </c>
      <c r="AN338" s="211" t="str">
        <f aca="false">IF($A339="","",AL338-AM338)</f>
        <v/>
      </c>
      <c r="AO338" s="137" t="str">
        <f aca="false">IF(A339="","",A339-A338)</f>
        <v/>
      </c>
      <c r="AP338" s="212" t="str">
        <f aca="false">IF(A339="","",CHOOSE(F$3,A339+24,A338))</f>
        <v/>
      </c>
      <c r="AQ338" s="209" t="str">
        <f aca="false">IF(A339="","",AP338-$E$1)</f>
        <v/>
      </c>
      <c r="AR338" s="185" t="n">
        <f aca="false">IF(Summary!$H$2=1,VLOOKUP('ANR OK vs ML7'!A338,Curves!$C$17:$AR$273,MATCH('ANR OK vs ML7'!$AR$4,Curves!$C$8:$AQ$8,0)),0.1)</f>
        <v>0.1</v>
      </c>
      <c r="AS338" s="213" t="str">
        <f aca="false">IF(A339="","",1/(1+CHOOSE(F$3,(AR339+($I$3/10000))/2,(AR338+($I$3/10000))/2))^(2*AQ338/365.25))</f>
        <v/>
      </c>
      <c r="AT338" s="137" t="str">
        <f aca="false">IF(A339="","",IF(AND(mthbeg&lt;=A338,mthend&gt;=A338),1,0))</f>
        <v/>
      </c>
      <c r="AU338" s="137" t="str">
        <f aca="false">IF(A339="","",AO338*AT338)</f>
        <v/>
      </c>
      <c r="AW338" s="195" t="str">
        <f aca="false">IF($A339="","",AL338*$E338)</f>
        <v/>
      </c>
      <c r="AX338" s="195" t="str">
        <f aca="false">IF($A339="","",AM338*$E338)</f>
        <v/>
      </c>
      <c r="AY338" s="195" t="str">
        <f aca="false">IF($A339="","",AN338*$E338)</f>
        <v/>
      </c>
      <c r="BA338" s="195" t="str">
        <f aca="false">IF($A339="","",F338*Summary!$Q$7)</f>
        <v/>
      </c>
    </row>
    <row r="339" customFormat="false" ht="12" hidden="false" customHeight="true" outlineLevel="0" collapsed="false">
      <c r="A339" s="196" t="str">
        <f aca="false">IF(A338&lt;mthend,EDATE(A338,1),"")</f>
        <v/>
      </c>
      <c r="B339" s="197" t="str">
        <f aca="false">IF(A339&lt;mthend,B338,"")</f>
        <v/>
      </c>
      <c r="C339" s="215"/>
      <c r="D339" s="197" t="str">
        <f aca="false">IF(A340&lt;&gt;"",B339+C339,"")</f>
        <v/>
      </c>
      <c r="E339" s="199" t="str">
        <f aca="false">IF(A340="","",IF(AND(AT339=1,$H$3=1),D339*AO339,IF($H$3=2,D339,"N/A")))</f>
        <v/>
      </c>
      <c r="F339" s="199" t="str">
        <f aca="false">IF(A340="","",E339*AS339)</f>
        <v/>
      </c>
      <c r="G339" s="200" t="str">
        <f aca="false">IF($A340="","",VLOOKUP($A339,Table,MATCH(G$4,Curves,0)))</f>
        <v/>
      </c>
      <c r="H339" s="201" t="str">
        <f aca="false">IF(A340="","",G339)</f>
        <v/>
      </c>
      <c r="I339" s="202"/>
      <c r="J339" s="200" t="str">
        <f aca="false">IF($A340="","",VLOOKUP($A339,Table,MATCH(J$4,Curves,0)))</f>
        <v/>
      </c>
      <c r="K339" s="201" t="str">
        <f aca="false">IF(A340="","",J339)</f>
        <v/>
      </c>
      <c r="L339" s="200" t="str">
        <f aca="false">IF($A340="","",VLOOKUP($A339,Table,MATCH(L$4,Curves,0)))</f>
        <v/>
      </c>
      <c r="M339" s="201" t="str">
        <f aca="false">IF(A340="","",L339)</f>
        <v/>
      </c>
      <c r="N339" s="203"/>
      <c r="O339" s="200" t="str">
        <f aca="false">IF(A340="","",L339+J339+G339)</f>
        <v/>
      </c>
      <c r="P339" s="200" t="str">
        <f aca="false">IF(A340="","",M339+K339+H339)</f>
        <v/>
      </c>
      <c r="Q339" s="204"/>
      <c r="R339" s="200" t="str">
        <f aca="false">IF($A340="","",VLOOKUP($A339,Table,MATCH(R$4,Curves,0)))</f>
        <v/>
      </c>
      <c r="S339" s="201" t="str">
        <f aca="false">IF(A340="","",R339)</f>
        <v/>
      </c>
      <c r="T339" s="200" t="str">
        <f aca="false">IF($A340="","",VLOOKUP($A339,Table,MATCH(T$4,Curves,0)))</f>
        <v/>
      </c>
      <c r="U339" s="201" t="str">
        <f aca="false">IF(A340="","",T339)</f>
        <v/>
      </c>
      <c r="V339" s="183" t="str">
        <f aca="false">IF($A340="","",IF(AND(MONTH(A339)&gt;3,MONTH(A339)&lt;11),(T339+R339+G339)*Summary!$T$7/(1-Summary!$T$7),(T339+R339+G339)*Summary!$U$7/(1-Summary!$U$7)))</f>
        <v/>
      </c>
      <c r="W339" s="200" t="str">
        <f aca="false">IF($A340="","",(T339+R339+G339+V339))</f>
        <v/>
      </c>
      <c r="X339" s="200" t="str">
        <f aca="false">IF($A340="","",(U339+S339+H339+V339))</f>
        <v/>
      </c>
      <c r="Y339" s="202"/>
      <c r="Z339" s="185" t="str">
        <f aca="false">IF($A340="","",VLOOKUP($A339,Table,MATCH(Z$4,Curves,0)))</f>
        <v/>
      </c>
      <c r="AA339" s="185" t="str">
        <f aca="false">IF($A340="","",VLOOKUP($A339,Table,MATCH(AA$4,Curves,0)))</f>
        <v/>
      </c>
      <c r="AB339" s="185" t="e">
        <f aca="false">SQRT((AA339^2*(A339-$D$3)+Z339^2*(DAY(EOMONTH(A339,0))/2))/AK339)</f>
        <v>#VALUE!</v>
      </c>
      <c r="AC339" s="185" t="str">
        <f aca="false">IF($A340="","",VLOOKUP($A339,Table,MATCH(AC$4,Curves,0)))</f>
        <v/>
      </c>
      <c r="AD339" s="185" t="str">
        <f aca="false">IF($A340="","",VLOOKUP($A339,Table,MATCH(AD$4,Curves,0)))</f>
        <v/>
      </c>
      <c r="AE339" s="185" t="e">
        <f aca="false">SQRT((AD339^2*(A339-$D$3)+AC339^2*(DAY(EOMONTH(A339,0))/2))/AK339)</f>
        <v>#VALUE!</v>
      </c>
      <c r="AF339" s="206" t="e">
        <f aca="false">((Summary!$N$7*(AA339*AD339)*(A339-$D$3))+(Summary!$M$7*Z339*AC339*(DAY(EOMONTH(A339,0))/2)))/(AK339*AB339*AE339)</f>
        <v>#VALUE!</v>
      </c>
      <c r="AG339" s="207" t="str">
        <f aca="false">IF($A340="","",Summary!$Q$7)</f>
        <v/>
      </c>
      <c r="AH339" s="207" t="str">
        <f aca="false">IF($A340="","",IF(Summary!$R$7="Y",(VLOOKUP($A339,Summary!$AD$6:$AF$9,3)+'Escalating commodity'!C352),'Escalating commodity'!C352))</f>
        <v/>
      </c>
      <c r="AI339" s="207" t="str">
        <f aca="false">IF($A340="","",AH339)</f>
        <v/>
      </c>
      <c r="AJ339" s="208" t="e">
        <f aca="false">A339+DAY(EOMONTH(A339,0))/2-1</f>
        <v>#VALUE!</v>
      </c>
      <c r="AK339" s="209" t="str">
        <f aca="false">IF($A340="","",$A339-$E$1)</f>
        <v/>
      </c>
      <c r="AL339" s="182" t="str">
        <f aca="false">IF($A340="","",SPRDOPT(P339,X339,AI339,0,AB339,AE339,AF339,AK339,$AJ$2,0))</f>
        <v/>
      </c>
      <c r="AM339" s="210" t="str">
        <f aca="false">IF($A340="","",MAX(0,O339-W339-AI339))</f>
        <v/>
      </c>
      <c r="AN339" s="211" t="str">
        <f aca="false">IF($A340="","",AL339-AM339)</f>
        <v/>
      </c>
      <c r="AO339" s="137" t="str">
        <f aca="false">IF(A340="","",A340-A339)</f>
        <v/>
      </c>
      <c r="AP339" s="212" t="str">
        <f aca="false">IF(A340="","",CHOOSE(F$3,A340+24,A339))</f>
        <v/>
      </c>
      <c r="AQ339" s="209" t="str">
        <f aca="false">IF(A340="","",AP339-$E$1)</f>
        <v/>
      </c>
      <c r="AR339" s="185" t="n">
        <f aca="false">IF(Summary!$H$2=1,VLOOKUP('ANR OK vs ML7'!A339,Curves!$C$17:$AR$273,MATCH('ANR OK vs ML7'!$AR$4,Curves!$C$8:$AQ$8,0)),0.1)</f>
        <v>0.1</v>
      </c>
      <c r="AS339" s="213" t="str">
        <f aca="false">IF(A340="","",1/(1+CHOOSE(F$3,(AR340+($I$3/10000))/2,(AR339+($I$3/10000))/2))^(2*AQ339/365.25))</f>
        <v/>
      </c>
      <c r="AT339" s="137" t="str">
        <f aca="false">IF(A340="","",IF(AND(mthbeg&lt;=A339,mthend&gt;=A339),1,0))</f>
        <v/>
      </c>
      <c r="AU339" s="137" t="str">
        <f aca="false">IF(A340="","",AO339*AT339)</f>
        <v/>
      </c>
      <c r="AW339" s="195" t="str">
        <f aca="false">IF($A340="","",AL339*$E339)</f>
        <v/>
      </c>
      <c r="AX339" s="195" t="str">
        <f aca="false">IF($A340="","",AM339*$E339)</f>
        <v/>
      </c>
      <c r="AY339" s="195" t="str">
        <f aca="false">IF($A340="","",AN339*$E339)</f>
        <v/>
      </c>
      <c r="BA339" s="195" t="str">
        <f aca="false">IF($A340="","",F339*Summary!$Q$7)</f>
        <v/>
      </c>
    </row>
    <row r="340" customFormat="false" ht="12" hidden="false" customHeight="true" outlineLevel="0" collapsed="false">
      <c r="A340" s="196" t="str">
        <f aca="false">IF(A339&lt;mthend,EDATE(A339,1),"")</f>
        <v/>
      </c>
      <c r="B340" s="197" t="str">
        <f aca="false">IF(A340&lt;mthend,B339,"")</f>
        <v/>
      </c>
      <c r="C340" s="215"/>
      <c r="D340" s="197" t="str">
        <f aca="false">IF(A341&lt;&gt;"",B340+C340,"")</f>
        <v/>
      </c>
      <c r="E340" s="199" t="str">
        <f aca="false">IF(A341="","",IF(AND(AT340=1,$H$3=1),D340*AO340,IF($H$3=2,D340,"N/A")))</f>
        <v/>
      </c>
      <c r="F340" s="199" t="str">
        <f aca="false">IF(A341="","",E340*AS340)</f>
        <v/>
      </c>
      <c r="G340" s="200" t="str">
        <f aca="false">IF($A341="","",VLOOKUP($A340,Table,MATCH(G$4,Curves,0)))</f>
        <v/>
      </c>
      <c r="H340" s="201" t="str">
        <f aca="false">IF(A341="","",G340)</f>
        <v/>
      </c>
      <c r="I340" s="202"/>
      <c r="J340" s="200" t="str">
        <f aca="false">IF($A341="","",VLOOKUP($A340,Table,MATCH(J$4,Curves,0)))</f>
        <v/>
      </c>
      <c r="K340" s="201" t="str">
        <f aca="false">IF(A341="","",J340)</f>
        <v/>
      </c>
      <c r="L340" s="200" t="str">
        <f aca="false">IF($A341="","",VLOOKUP($A340,Table,MATCH(L$4,Curves,0)))</f>
        <v/>
      </c>
      <c r="M340" s="201" t="str">
        <f aca="false">IF(A341="","",L340)</f>
        <v/>
      </c>
      <c r="N340" s="203"/>
      <c r="O340" s="200" t="str">
        <f aca="false">IF(A341="","",L340+J340+G340)</f>
        <v/>
      </c>
      <c r="P340" s="200" t="str">
        <f aca="false">IF(A341="","",M340+K340+H340)</f>
        <v/>
      </c>
      <c r="Q340" s="204"/>
      <c r="R340" s="200" t="str">
        <f aca="false">IF($A341="","",VLOOKUP($A340,Table,MATCH(R$4,Curves,0)))</f>
        <v/>
      </c>
      <c r="S340" s="201" t="str">
        <f aca="false">IF(A341="","",R340)</f>
        <v/>
      </c>
      <c r="T340" s="200" t="str">
        <f aca="false">IF($A341="","",VLOOKUP($A340,Table,MATCH(T$4,Curves,0)))</f>
        <v/>
      </c>
      <c r="U340" s="201" t="str">
        <f aca="false">IF(A341="","",T340)</f>
        <v/>
      </c>
      <c r="V340" s="183" t="str">
        <f aca="false">IF($A341="","",IF(AND(MONTH(A340)&gt;3,MONTH(A340)&lt;11),(T340+R340+G340)*Summary!$T$7/(1-Summary!$T$7),(T340+R340+G340)*Summary!$U$7/(1-Summary!$U$7)))</f>
        <v/>
      </c>
      <c r="W340" s="200" t="str">
        <f aca="false">IF($A341="","",(T340+R340+G340+V340))</f>
        <v/>
      </c>
      <c r="X340" s="200" t="str">
        <f aca="false">IF($A341="","",(U340+S340+H340+V340))</f>
        <v/>
      </c>
      <c r="Y340" s="202"/>
      <c r="Z340" s="185" t="str">
        <f aca="false">IF($A341="","",VLOOKUP($A340,Table,MATCH(Z$4,Curves,0)))</f>
        <v/>
      </c>
      <c r="AA340" s="185" t="str">
        <f aca="false">IF($A341="","",VLOOKUP($A340,Table,MATCH(AA$4,Curves,0)))</f>
        <v/>
      </c>
      <c r="AB340" s="185" t="e">
        <f aca="false">SQRT((AA340^2*(A340-$D$3)+Z340^2*(DAY(EOMONTH(A340,0))/2))/AK340)</f>
        <v>#VALUE!</v>
      </c>
      <c r="AC340" s="185" t="str">
        <f aca="false">IF($A341="","",VLOOKUP($A340,Table,MATCH(AC$4,Curves,0)))</f>
        <v/>
      </c>
      <c r="AD340" s="185" t="str">
        <f aca="false">IF($A341="","",VLOOKUP($A340,Table,MATCH(AD$4,Curves,0)))</f>
        <v/>
      </c>
      <c r="AE340" s="185" t="e">
        <f aca="false">SQRT((AD340^2*(A340-$D$3)+AC340^2*(DAY(EOMONTH(A340,0))/2))/AK340)</f>
        <v>#VALUE!</v>
      </c>
      <c r="AF340" s="206" t="e">
        <f aca="false">((Summary!$N$7*(AA340*AD340)*(A340-$D$3))+(Summary!$M$7*Z340*AC340*(DAY(EOMONTH(A340,0))/2)))/(AK340*AB340*AE340)</f>
        <v>#VALUE!</v>
      </c>
      <c r="AG340" s="207" t="str">
        <f aca="false">IF($A341="","",Summary!$Q$7)</f>
        <v/>
      </c>
      <c r="AH340" s="207" t="str">
        <f aca="false">IF($A341="","",IF(Summary!$R$7="Y",(VLOOKUP($A340,Summary!$AD$6:$AF$9,3)+'Escalating commodity'!C353),'Escalating commodity'!C353))</f>
        <v/>
      </c>
      <c r="AI340" s="207" t="str">
        <f aca="false">IF($A341="","",AH340)</f>
        <v/>
      </c>
      <c r="AJ340" s="208" t="e">
        <f aca="false">A340+DAY(EOMONTH(A340,0))/2-1</f>
        <v>#VALUE!</v>
      </c>
      <c r="AK340" s="209" t="str">
        <f aca="false">IF($A341="","",$A340-$E$1)</f>
        <v/>
      </c>
      <c r="AL340" s="182" t="str">
        <f aca="false">IF($A341="","",SPRDOPT(P340,X340,AI340,0,AB340,AE340,AF340,AK340,$AJ$2,0))</f>
        <v/>
      </c>
      <c r="AM340" s="210" t="str">
        <f aca="false">IF($A341="","",MAX(0,O340-W340-AI340))</f>
        <v/>
      </c>
      <c r="AN340" s="211" t="str">
        <f aca="false">IF($A341="","",AL340-AM340)</f>
        <v/>
      </c>
      <c r="AO340" s="137" t="str">
        <f aca="false">IF(A341="","",A341-A340)</f>
        <v/>
      </c>
      <c r="AP340" s="212" t="str">
        <f aca="false">IF(A341="","",CHOOSE(F$3,A341+24,A340))</f>
        <v/>
      </c>
      <c r="AQ340" s="209" t="str">
        <f aca="false">IF(A341="","",AP340-$E$1)</f>
        <v/>
      </c>
      <c r="AR340" s="185" t="n">
        <f aca="false">IF(Summary!$H$2=1,VLOOKUP('ANR OK vs ML7'!A340,Curves!$C$17:$AR$273,MATCH('ANR OK vs ML7'!$AR$4,Curves!$C$8:$AQ$8,0)),0.1)</f>
        <v>0.1</v>
      </c>
      <c r="AS340" s="213" t="str">
        <f aca="false">IF(A341="","",1/(1+CHOOSE(F$3,(AR341+($I$3/10000))/2,(AR340+($I$3/10000))/2))^(2*AQ340/365.25))</f>
        <v/>
      </c>
      <c r="AT340" s="137" t="str">
        <f aca="false">IF(A341="","",IF(AND(mthbeg&lt;=A340,mthend&gt;=A340),1,0))</f>
        <v/>
      </c>
      <c r="AU340" s="137" t="str">
        <f aca="false">IF(A341="","",AO340*AT340)</f>
        <v/>
      </c>
      <c r="AW340" s="195" t="str">
        <f aca="false">IF($A341="","",AL340*$E340)</f>
        <v/>
      </c>
      <c r="AX340" s="195" t="str">
        <f aca="false">IF($A341="","",AM340*$E340)</f>
        <v/>
      </c>
      <c r="AY340" s="195" t="str">
        <f aca="false">IF($A341="","",AN340*$E340)</f>
        <v/>
      </c>
      <c r="BA340" s="195" t="str">
        <f aca="false">IF($A341="","",F340*Summary!$Q$7)</f>
        <v/>
      </c>
    </row>
    <row r="341" customFormat="false" ht="12" hidden="false" customHeight="true" outlineLevel="0" collapsed="false">
      <c r="A341" s="196" t="str">
        <f aca="false">IF(A340&lt;mthend,EDATE(A340,1),"")</f>
        <v/>
      </c>
      <c r="B341" s="197" t="str">
        <f aca="false">IF(A341&lt;mthend,B340,"")</f>
        <v/>
      </c>
      <c r="C341" s="215"/>
      <c r="D341" s="197" t="str">
        <f aca="false">IF(A342&lt;&gt;"",B341+C341,"")</f>
        <v/>
      </c>
      <c r="E341" s="199" t="str">
        <f aca="false">IF(A342="","",IF(AND(AT341=1,$H$3=1),D341*AO341,IF($H$3=2,D341,"N/A")))</f>
        <v/>
      </c>
      <c r="F341" s="199" t="str">
        <f aca="false">IF(A342="","",E341*AS341)</f>
        <v/>
      </c>
      <c r="G341" s="200" t="str">
        <f aca="false">IF($A342="","",VLOOKUP($A341,Table,MATCH(G$4,Curves,0)))</f>
        <v/>
      </c>
      <c r="H341" s="201" t="str">
        <f aca="false">IF(A342="","",G341)</f>
        <v/>
      </c>
      <c r="I341" s="202"/>
      <c r="J341" s="200" t="str">
        <f aca="false">IF($A342="","",VLOOKUP($A341,Table,MATCH(J$4,Curves,0)))</f>
        <v/>
      </c>
      <c r="K341" s="201" t="str">
        <f aca="false">IF(A342="","",J341)</f>
        <v/>
      </c>
      <c r="L341" s="200" t="str">
        <f aca="false">IF($A342="","",VLOOKUP($A341,Table,MATCH(L$4,Curves,0)))</f>
        <v/>
      </c>
      <c r="M341" s="201" t="str">
        <f aca="false">IF(A342="","",L341)</f>
        <v/>
      </c>
      <c r="N341" s="203"/>
      <c r="O341" s="200" t="str">
        <f aca="false">IF(A342="","",L341+J341+G341)</f>
        <v/>
      </c>
      <c r="P341" s="200" t="str">
        <f aca="false">IF(A342="","",M341+K341+H341)</f>
        <v/>
      </c>
      <c r="Q341" s="204"/>
      <c r="R341" s="200" t="str">
        <f aca="false">IF($A342="","",VLOOKUP($A341,Table,MATCH(R$4,Curves,0)))</f>
        <v/>
      </c>
      <c r="S341" s="201" t="str">
        <f aca="false">IF(A342="","",R341)</f>
        <v/>
      </c>
      <c r="T341" s="200" t="str">
        <f aca="false">IF($A342="","",VLOOKUP($A341,Table,MATCH(T$4,Curves,0)))</f>
        <v/>
      </c>
      <c r="U341" s="201" t="str">
        <f aca="false">IF(A342="","",T341)</f>
        <v/>
      </c>
      <c r="V341" s="183" t="str">
        <f aca="false">IF($A342="","",IF(AND(MONTH(A341)&gt;3,MONTH(A341)&lt;11),(T341+R341+G341)*Summary!$T$7/(1-Summary!$T$7),(T341+R341+G341)*Summary!$U$7/(1-Summary!$U$7)))</f>
        <v/>
      </c>
      <c r="W341" s="200" t="str">
        <f aca="false">IF($A342="","",(T341+R341+G341+V341))</f>
        <v/>
      </c>
      <c r="X341" s="200" t="str">
        <f aca="false">IF($A342="","",(U341+S341+H341+V341))</f>
        <v/>
      </c>
      <c r="Y341" s="202"/>
      <c r="Z341" s="185" t="str">
        <f aca="false">IF($A342="","",VLOOKUP($A341,Table,MATCH(Z$4,Curves,0)))</f>
        <v/>
      </c>
      <c r="AA341" s="185" t="str">
        <f aca="false">IF($A342="","",VLOOKUP($A341,Table,MATCH(AA$4,Curves,0)))</f>
        <v/>
      </c>
      <c r="AB341" s="185" t="e">
        <f aca="false">SQRT((AA341^2*(A341-$D$3)+Z341^2*(DAY(EOMONTH(A341,0))/2))/AK341)</f>
        <v>#VALUE!</v>
      </c>
      <c r="AC341" s="185" t="str">
        <f aca="false">IF($A342="","",VLOOKUP($A341,Table,MATCH(AC$4,Curves,0)))</f>
        <v/>
      </c>
      <c r="AD341" s="185" t="str">
        <f aca="false">IF($A342="","",VLOOKUP($A341,Table,MATCH(AD$4,Curves,0)))</f>
        <v/>
      </c>
      <c r="AE341" s="185" t="e">
        <f aca="false">SQRT((AD341^2*(A341-$D$3)+AC341^2*(DAY(EOMONTH(A341,0))/2))/AK341)</f>
        <v>#VALUE!</v>
      </c>
      <c r="AF341" s="206" t="e">
        <f aca="false">((Summary!$N$7*(AA341*AD341)*(A341-$D$3))+(Summary!$M$7*Z341*AC341*(DAY(EOMONTH(A341,0))/2)))/(AK341*AB341*AE341)</f>
        <v>#VALUE!</v>
      </c>
      <c r="AG341" s="207" t="str">
        <f aca="false">IF($A342="","",Summary!$Q$7)</f>
        <v/>
      </c>
      <c r="AH341" s="207" t="str">
        <f aca="false">IF($A342="","",IF(Summary!$R$7="Y",(VLOOKUP($A341,Summary!$AD$6:$AF$9,3)+'Escalating commodity'!C354),'Escalating commodity'!C354))</f>
        <v/>
      </c>
      <c r="AI341" s="207" t="str">
        <f aca="false">IF($A342="","",AH341)</f>
        <v/>
      </c>
      <c r="AJ341" s="208" t="e">
        <f aca="false">A341+DAY(EOMONTH(A341,0))/2-1</f>
        <v>#VALUE!</v>
      </c>
      <c r="AK341" s="209" t="str">
        <f aca="false">IF($A342="","",$A341-$E$1)</f>
        <v/>
      </c>
      <c r="AL341" s="182" t="str">
        <f aca="false">IF($A342="","",SPRDOPT(P341,X341,AI341,0,AB341,AE341,AF341,AK341,$AJ$2,0))</f>
        <v/>
      </c>
      <c r="AM341" s="210" t="str">
        <f aca="false">IF($A342="","",MAX(0,O341-W341-AI341))</f>
        <v/>
      </c>
      <c r="AN341" s="211" t="str">
        <f aca="false">IF($A342="","",AL341-AM341)</f>
        <v/>
      </c>
      <c r="AO341" s="137" t="str">
        <f aca="false">IF(A342="","",A342-A341)</f>
        <v/>
      </c>
      <c r="AP341" s="212" t="str">
        <f aca="false">IF(A342="","",CHOOSE(F$3,A342+24,A341))</f>
        <v/>
      </c>
      <c r="AQ341" s="209" t="str">
        <f aca="false">IF(A342="","",AP341-$E$1)</f>
        <v/>
      </c>
      <c r="AR341" s="185" t="n">
        <f aca="false">IF(Summary!$H$2=1,VLOOKUP('ANR OK vs ML7'!A341,Curves!$C$17:$AR$273,MATCH('ANR OK vs ML7'!$AR$4,Curves!$C$8:$AQ$8,0)),0.1)</f>
        <v>0.1</v>
      </c>
      <c r="AS341" s="213" t="str">
        <f aca="false">IF(A342="","",1/(1+CHOOSE(F$3,(AR342+($I$3/10000))/2,(AR341+($I$3/10000))/2))^(2*AQ341/365.25))</f>
        <v/>
      </c>
      <c r="AT341" s="137" t="str">
        <f aca="false">IF(A342="","",IF(AND(mthbeg&lt;=A341,mthend&gt;=A341),1,0))</f>
        <v/>
      </c>
      <c r="AU341" s="137" t="str">
        <f aca="false">IF(A342="","",AO341*AT341)</f>
        <v/>
      </c>
      <c r="AW341" s="195" t="str">
        <f aca="false">IF($A342="","",AL341*$E341)</f>
        <v/>
      </c>
      <c r="AX341" s="195" t="str">
        <f aca="false">IF($A342="","",AM341*$E341)</f>
        <v/>
      </c>
      <c r="AY341" s="195" t="str">
        <f aca="false">IF($A342="","",AN341*$E341)</f>
        <v/>
      </c>
      <c r="BA341" s="195" t="str">
        <f aca="false">IF($A342="","",F341*Summary!$Q$7)</f>
        <v/>
      </c>
    </row>
    <row r="342" customFormat="false" ht="12" hidden="false" customHeight="true" outlineLevel="0" collapsed="false">
      <c r="A342" s="196" t="str">
        <f aca="false">IF(A341&lt;mthend,EDATE(A341,1),"")</f>
        <v/>
      </c>
      <c r="B342" s="197" t="str">
        <f aca="false">IF(A342&lt;mthend,B341,"")</f>
        <v/>
      </c>
      <c r="C342" s="215"/>
      <c r="D342" s="197" t="str">
        <f aca="false">IF(A343&lt;&gt;"",B342+C342,"")</f>
        <v/>
      </c>
      <c r="E342" s="199" t="str">
        <f aca="false">IF(A343="","",IF(AND(AT342=1,$H$3=1),D342*AO342,IF($H$3=2,D342,"N/A")))</f>
        <v/>
      </c>
      <c r="F342" s="199" t="str">
        <f aca="false">IF(A343="","",E342*AS342)</f>
        <v/>
      </c>
      <c r="G342" s="200" t="str">
        <f aca="false">IF($A343="","",VLOOKUP($A342,Table,MATCH(G$4,Curves,0)))</f>
        <v/>
      </c>
      <c r="H342" s="201" t="str">
        <f aca="false">IF(A343="","",G342)</f>
        <v/>
      </c>
      <c r="I342" s="202"/>
      <c r="J342" s="200" t="str">
        <f aca="false">IF($A343="","",VLOOKUP($A342,Table,MATCH(J$4,Curves,0)))</f>
        <v/>
      </c>
      <c r="K342" s="201" t="str">
        <f aca="false">IF(A343="","",J342)</f>
        <v/>
      </c>
      <c r="L342" s="200" t="str">
        <f aca="false">IF($A343="","",VLOOKUP($A342,Table,MATCH(L$4,Curves,0)))</f>
        <v/>
      </c>
      <c r="M342" s="201" t="str">
        <f aca="false">IF(A343="","",L342)</f>
        <v/>
      </c>
      <c r="N342" s="203"/>
      <c r="O342" s="200" t="str">
        <f aca="false">IF(A343="","",L342+J342+G342)</f>
        <v/>
      </c>
      <c r="P342" s="200" t="str">
        <f aca="false">IF(A343="","",M342+K342+H342)</f>
        <v/>
      </c>
      <c r="Q342" s="204"/>
      <c r="R342" s="200" t="str">
        <f aca="false">IF($A343="","",VLOOKUP($A342,Table,MATCH(R$4,Curves,0)))</f>
        <v/>
      </c>
      <c r="S342" s="201" t="str">
        <f aca="false">IF(A343="","",R342)</f>
        <v/>
      </c>
      <c r="T342" s="200" t="str">
        <f aca="false">IF($A343="","",VLOOKUP($A342,Table,MATCH(T$4,Curves,0)))</f>
        <v/>
      </c>
      <c r="U342" s="201" t="str">
        <f aca="false">IF(A343="","",T342)</f>
        <v/>
      </c>
      <c r="V342" s="183" t="str">
        <f aca="false">IF($A343="","",IF(AND(MONTH(A342)&gt;3,MONTH(A342)&lt;11),(T342+R342+G342)*Summary!$T$7/(1-Summary!$T$7),(T342+R342+G342)*Summary!$U$7/(1-Summary!$U$7)))</f>
        <v/>
      </c>
      <c r="W342" s="200" t="str">
        <f aca="false">IF($A343="","",(T342+R342+G342+V342))</f>
        <v/>
      </c>
      <c r="X342" s="200" t="str">
        <f aca="false">IF($A343="","",(U342+S342+H342+V342))</f>
        <v/>
      </c>
      <c r="Y342" s="202"/>
      <c r="Z342" s="185" t="str">
        <f aca="false">IF($A343="","",VLOOKUP($A342,Table,MATCH(Z$4,Curves,0)))</f>
        <v/>
      </c>
      <c r="AA342" s="185" t="str">
        <f aca="false">IF($A343="","",VLOOKUP($A342,Table,MATCH(AA$4,Curves,0)))</f>
        <v/>
      </c>
      <c r="AB342" s="185" t="e">
        <f aca="false">SQRT((AA342^2*(A342-$D$3)+Z342^2*(DAY(EOMONTH(A342,0))/2))/AK342)</f>
        <v>#VALUE!</v>
      </c>
      <c r="AC342" s="185" t="str">
        <f aca="false">IF($A343="","",VLOOKUP($A342,Table,MATCH(AC$4,Curves,0)))</f>
        <v/>
      </c>
      <c r="AD342" s="185" t="str">
        <f aca="false">IF($A343="","",VLOOKUP($A342,Table,MATCH(AD$4,Curves,0)))</f>
        <v/>
      </c>
      <c r="AE342" s="185" t="e">
        <f aca="false">SQRT((AD342^2*(A342-$D$3)+AC342^2*(DAY(EOMONTH(A342,0))/2))/AK342)</f>
        <v>#VALUE!</v>
      </c>
      <c r="AF342" s="206" t="e">
        <f aca="false">((Summary!$N$7*(AA342*AD342)*(A342-$D$3))+(Summary!$M$7*Z342*AC342*(DAY(EOMONTH(A342,0))/2)))/(AK342*AB342*AE342)</f>
        <v>#VALUE!</v>
      </c>
      <c r="AG342" s="207" t="str">
        <f aca="false">IF($A343="","",Summary!$Q$7)</f>
        <v/>
      </c>
      <c r="AH342" s="207" t="str">
        <f aca="false">IF($A343="","",IF(Summary!$R$7="Y",(VLOOKUP($A342,Summary!$AD$6:$AF$9,3)+'Escalating commodity'!C355),'Escalating commodity'!C355))</f>
        <v/>
      </c>
      <c r="AI342" s="207" t="str">
        <f aca="false">IF($A343="","",AH342)</f>
        <v/>
      </c>
      <c r="AJ342" s="208" t="e">
        <f aca="false">A342+DAY(EOMONTH(A342,0))/2-1</f>
        <v>#VALUE!</v>
      </c>
      <c r="AK342" s="209" t="str">
        <f aca="false">IF($A343="","",$A342-$E$1)</f>
        <v/>
      </c>
      <c r="AL342" s="182" t="str">
        <f aca="false">IF($A343="","",SPRDOPT(P342,X342,AI342,0,AB342,AE342,AF342,AK342,$AJ$2,0))</f>
        <v/>
      </c>
      <c r="AM342" s="210" t="str">
        <f aca="false">IF($A343="","",MAX(0,O342-W342-AI342))</f>
        <v/>
      </c>
      <c r="AN342" s="211" t="str">
        <f aca="false">IF($A343="","",AL342-AM342)</f>
        <v/>
      </c>
      <c r="AO342" s="137" t="str">
        <f aca="false">IF(A343="","",A343-A342)</f>
        <v/>
      </c>
      <c r="AP342" s="212" t="str">
        <f aca="false">IF(A343="","",CHOOSE(F$3,A343+24,A342))</f>
        <v/>
      </c>
      <c r="AQ342" s="209" t="str">
        <f aca="false">IF(A343="","",AP342-$E$1)</f>
        <v/>
      </c>
      <c r="AR342" s="185" t="n">
        <f aca="false">IF(Summary!$H$2=1,VLOOKUP('ANR OK vs ML7'!A342,Curves!$C$17:$AR$273,MATCH('ANR OK vs ML7'!$AR$4,Curves!$C$8:$AQ$8,0)),0.1)</f>
        <v>0.1</v>
      </c>
      <c r="AS342" s="213" t="str">
        <f aca="false">IF(A343="","",1/(1+CHOOSE(F$3,(AR343+($I$3/10000))/2,(AR342+($I$3/10000))/2))^(2*AQ342/365.25))</f>
        <v/>
      </c>
      <c r="AT342" s="137" t="str">
        <f aca="false">IF(A343="","",IF(AND(mthbeg&lt;=A342,mthend&gt;=A342),1,0))</f>
        <v/>
      </c>
      <c r="AU342" s="137" t="str">
        <f aca="false">IF(A343="","",AO342*AT342)</f>
        <v/>
      </c>
      <c r="AW342" s="195" t="str">
        <f aca="false">IF($A343="","",AL342*$E342)</f>
        <v/>
      </c>
      <c r="AX342" s="195" t="str">
        <f aca="false">IF($A343="","",AM342*$E342)</f>
        <v/>
      </c>
      <c r="AY342" s="195" t="str">
        <f aca="false">IF($A343="","",AN342*$E342)</f>
        <v/>
      </c>
      <c r="BA342" s="195" t="str">
        <f aca="false">IF($A343="","",F342*Summary!$Q$7)</f>
        <v/>
      </c>
    </row>
    <row r="343" customFormat="false" ht="12" hidden="false" customHeight="true" outlineLevel="0" collapsed="false">
      <c r="A343" s="196" t="str">
        <f aca="false">IF(A342&lt;mthend,EDATE(A342,1),"")</f>
        <v/>
      </c>
      <c r="B343" s="197" t="str">
        <f aca="false">IF(A343&lt;mthend,B342,"")</f>
        <v/>
      </c>
      <c r="C343" s="215"/>
      <c r="D343" s="197" t="str">
        <f aca="false">IF(A344&lt;&gt;"",B343+C343,"")</f>
        <v/>
      </c>
      <c r="E343" s="199" t="str">
        <f aca="false">IF(A344="","",IF(AND(AT343=1,$H$3=1),D343*AO343,IF($H$3=2,D343,"N/A")))</f>
        <v/>
      </c>
      <c r="F343" s="199" t="str">
        <f aca="false">IF(A344="","",E343*AS343)</f>
        <v/>
      </c>
      <c r="G343" s="200" t="str">
        <f aca="false">IF($A344="","",VLOOKUP($A343,Table,MATCH(G$4,Curves,0)))</f>
        <v/>
      </c>
      <c r="H343" s="201" t="str">
        <f aca="false">IF(A344="","",G343)</f>
        <v/>
      </c>
      <c r="I343" s="202"/>
      <c r="J343" s="200" t="str">
        <f aca="false">IF($A344="","",VLOOKUP($A343,Table,MATCH(J$4,Curves,0)))</f>
        <v/>
      </c>
      <c r="K343" s="201" t="str">
        <f aca="false">IF(A344="","",J343)</f>
        <v/>
      </c>
      <c r="L343" s="200" t="str">
        <f aca="false">IF($A344="","",VLOOKUP($A343,Table,MATCH(L$4,Curves,0)))</f>
        <v/>
      </c>
      <c r="M343" s="201" t="str">
        <f aca="false">IF(A344="","",L343)</f>
        <v/>
      </c>
      <c r="N343" s="203"/>
      <c r="O343" s="200" t="str">
        <f aca="false">IF(A344="","",L343+J343+G343)</f>
        <v/>
      </c>
      <c r="P343" s="200" t="str">
        <f aca="false">IF(A344="","",M343+K343+H343)</f>
        <v/>
      </c>
      <c r="Q343" s="204"/>
      <c r="R343" s="200" t="str">
        <f aca="false">IF($A344="","",VLOOKUP($A343,Table,MATCH(R$4,Curves,0)))</f>
        <v/>
      </c>
      <c r="S343" s="201" t="str">
        <f aca="false">IF(A344="","",R343)</f>
        <v/>
      </c>
      <c r="T343" s="200" t="str">
        <f aca="false">IF($A344="","",VLOOKUP($A343,Table,MATCH(T$4,Curves,0)))</f>
        <v/>
      </c>
      <c r="U343" s="201" t="str">
        <f aca="false">IF(A344="","",T343)</f>
        <v/>
      </c>
      <c r="V343" s="183" t="str">
        <f aca="false">IF($A344="","",IF(AND(MONTH(A343)&gt;3,MONTH(A343)&lt;11),(T343+R343+G343)*Summary!$T$7/(1-Summary!$T$7),(T343+R343+G343)*Summary!$U$7/(1-Summary!$U$7)))</f>
        <v/>
      </c>
      <c r="W343" s="200" t="str">
        <f aca="false">IF($A344="","",(T343+R343+G343+V343))</f>
        <v/>
      </c>
      <c r="X343" s="200" t="str">
        <f aca="false">IF($A344="","",(U343+S343+H343+V343))</f>
        <v/>
      </c>
      <c r="Y343" s="202"/>
      <c r="Z343" s="185" t="str">
        <f aca="false">IF($A344="","",VLOOKUP($A343,Table,MATCH(Z$4,Curves,0)))</f>
        <v/>
      </c>
      <c r="AA343" s="185" t="str">
        <f aca="false">IF($A344="","",VLOOKUP($A343,Table,MATCH(AA$4,Curves,0)))</f>
        <v/>
      </c>
      <c r="AB343" s="185" t="e">
        <f aca="false">SQRT((AA343^2*(A343-$D$3)+Z343^2*(DAY(EOMONTH(A343,0))/2))/AK343)</f>
        <v>#VALUE!</v>
      </c>
      <c r="AC343" s="185" t="str">
        <f aca="false">IF($A344="","",VLOOKUP($A343,Table,MATCH(AC$4,Curves,0)))</f>
        <v/>
      </c>
      <c r="AD343" s="185" t="str">
        <f aca="false">IF($A344="","",VLOOKUP($A343,Table,MATCH(AD$4,Curves,0)))</f>
        <v/>
      </c>
      <c r="AE343" s="185" t="e">
        <f aca="false">SQRT((AD343^2*(A343-$D$3)+AC343^2*(DAY(EOMONTH(A343,0))/2))/AK343)</f>
        <v>#VALUE!</v>
      </c>
      <c r="AF343" s="206" t="e">
        <f aca="false">((Summary!$N$7*(AA343*AD343)*(A343-$D$3))+(Summary!$M$7*Z343*AC343*(DAY(EOMONTH(A343,0))/2)))/(AK343*AB343*AE343)</f>
        <v>#VALUE!</v>
      </c>
      <c r="AG343" s="207" t="str">
        <f aca="false">IF($A344="","",Summary!$Q$7)</f>
        <v/>
      </c>
      <c r="AH343" s="207" t="str">
        <f aca="false">IF($A344="","",IF(Summary!$R$7="Y",(VLOOKUP($A343,Summary!$AD$6:$AF$9,3)+'Escalating commodity'!C356),'Escalating commodity'!C356))</f>
        <v/>
      </c>
      <c r="AI343" s="207" t="str">
        <f aca="false">IF($A344="","",AH343)</f>
        <v/>
      </c>
      <c r="AJ343" s="208" t="e">
        <f aca="false">A343+DAY(EOMONTH(A343,0))/2-1</f>
        <v>#VALUE!</v>
      </c>
      <c r="AK343" s="209" t="str">
        <f aca="false">IF($A344="","",$A343-$E$1)</f>
        <v/>
      </c>
      <c r="AL343" s="182" t="str">
        <f aca="false">IF($A344="","",SPRDOPT(P343,X343,AI343,0,AB343,AE343,AF343,AK343,$AJ$2,0))</f>
        <v/>
      </c>
      <c r="AM343" s="210" t="str">
        <f aca="false">IF($A344="","",MAX(0,O343-W343-AI343))</f>
        <v/>
      </c>
      <c r="AN343" s="211" t="str">
        <f aca="false">IF($A344="","",AL343-AM343)</f>
        <v/>
      </c>
      <c r="AO343" s="137" t="str">
        <f aca="false">IF(A344="","",A344-A343)</f>
        <v/>
      </c>
      <c r="AP343" s="212" t="str">
        <f aca="false">IF(A344="","",CHOOSE(F$3,A344+24,A343))</f>
        <v/>
      </c>
      <c r="AQ343" s="209" t="str">
        <f aca="false">IF(A344="","",AP343-$E$1)</f>
        <v/>
      </c>
      <c r="AR343" s="185" t="n">
        <f aca="false">IF(Summary!$H$2=1,VLOOKUP('ANR OK vs ML7'!A343,Curves!$C$17:$AR$273,MATCH('ANR OK vs ML7'!$AR$4,Curves!$C$8:$AQ$8,0)),0.1)</f>
        <v>0.1</v>
      </c>
      <c r="AS343" s="213" t="str">
        <f aca="false">IF(A344="","",1/(1+CHOOSE(F$3,(AR344+($I$3/10000))/2,(AR343+($I$3/10000))/2))^(2*AQ343/365.25))</f>
        <v/>
      </c>
      <c r="AT343" s="137" t="str">
        <f aca="false">IF(A344="","",IF(AND(mthbeg&lt;=A343,mthend&gt;=A343),1,0))</f>
        <v/>
      </c>
      <c r="AU343" s="137" t="str">
        <f aca="false">IF(A344="","",AO343*AT343)</f>
        <v/>
      </c>
      <c r="AW343" s="195" t="str">
        <f aca="false">IF($A344="","",AL343*$E343)</f>
        <v/>
      </c>
      <c r="AX343" s="195" t="str">
        <f aca="false">IF($A344="","",AM343*$E343)</f>
        <v/>
      </c>
      <c r="AY343" s="195" t="str">
        <f aca="false">IF($A344="","",AN343*$E343)</f>
        <v/>
      </c>
      <c r="BA343" s="195" t="str">
        <f aca="false">IF($A344="","",F343*Summary!$Q$7)</f>
        <v/>
      </c>
    </row>
    <row r="344" customFormat="false" ht="12" hidden="false" customHeight="true" outlineLevel="0" collapsed="false">
      <c r="A344" s="196" t="str">
        <f aca="false">IF(A343&lt;mthend,EDATE(A343,1),"")</f>
        <v/>
      </c>
      <c r="B344" s="197" t="str">
        <f aca="false">IF(A344&lt;mthend,B343,"")</f>
        <v/>
      </c>
      <c r="C344" s="215"/>
      <c r="D344" s="197" t="str">
        <f aca="false">IF(A345&lt;&gt;"",B344+C344,"")</f>
        <v/>
      </c>
      <c r="E344" s="199" t="str">
        <f aca="false">IF(A345="","",IF(AND(AT344=1,$H$3=1),D344*AO344,IF($H$3=2,D344,"N/A")))</f>
        <v/>
      </c>
      <c r="F344" s="199" t="str">
        <f aca="false">IF(A345="","",E344*AS344)</f>
        <v/>
      </c>
      <c r="G344" s="200" t="str">
        <f aca="false">IF($A345="","",VLOOKUP($A344,Table,MATCH(G$4,Curves,0)))</f>
        <v/>
      </c>
      <c r="H344" s="201" t="str">
        <f aca="false">IF(A345="","",G344)</f>
        <v/>
      </c>
      <c r="I344" s="202"/>
      <c r="J344" s="200" t="str">
        <f aca="false">IF($A345="","",VLOOKUP($A344,Table,MATCH(J$4,Curves,0)))</f>
        <v/>
      </c>
      <c r="K344" s="201" t="str">
        <f aca="false">IF(A345="","",J344)</f>
        <v/>
      </c>
      <c r="L344" s="200" t="str">
        <f aca="false">IF($A345="","",VLOOKUP($A344,Table,MATCH(L$4,Curves,0)))</f>
        <v/>
      </c>
      <c r="M344" s="201" t="str">
        <f aca="false">IF(A345="","",L344)</f>
        <v/>
      </c>
      <c r="N344" s="203"/>
      <c r="O344" s="200" t="str">
        <f aca="false">IF(A345="","",L344+J344+G344)</f>
        <v/>
      </c>
      <c r="P344" s="200" t="str">
        <f aca="false">IF(A345="","",M344+K344+H344)</f>
        <v/>
      </c>
      <c r="Q344" s="204"/>
      <c r="R344" s="200" t="str">
        <f aca="false">IF($A345="","",VLOOKUP($A344,Table,MATCH(R$4,Curves,0)))</f>
        <v/>
      </c>
      <c r="S344" s="201" t="str">
        <f aca="false">IF(A345="","",R344)</f>
        <v/>
      </c>
      <c r="T344" s="200" t="str">
        <f aca="false">IF($A345="","",VLOOKUP($A344,Table,MATCH(T$4,Curves,0)))</f>
        <v/>
      </c>
      <c r="U344" s="201" t="str">
        <f aca="false">IF(A345="","",T344)</f>
        <v/>
      </c>
      <c r="V344" s="183" t="str">
        <f aca="false">IF($A345="","",IF(AND(MONTH(A344)&gt;3,MONTH(A344)&lt;11),(T344+R344+G344)*Summary!$T$7/(1-Summary!$T$7),(T344+R344+G344)*Summary!$U$7/(1-Summary!$U$7)))</f>
        <v/>
      </c>
      <c r="W344" s="200" t="str">
        <f aca="false">IF($A345="","",(T344+R344+G344+V344))</f>
        <v/>
      </c>
      <c r="X344" s="200" t="str">
        <f aca="false">IF($A345="","",(U344+S344+H344+V344))</f>
        <v/>
      </c>
      <c r="Y344" s="202"/>
      <c r="Z344" s="185" t="str">
        <f aca="false">IF($A345="","",VLOOKUP($A344,Table,MATCH(Z$4,Curves,0)))</f>
        <v/>
      </c>
      <c r="AA344" s="185" t="str">
        <f aca="false">IF($A345="","",VLOOKUP($A344,Table,MATCH(AA$4,Curves,0)))</f>
        <v/>
      </c>
      <c r="AB344" s="185" t="e">
        <f aca="false">SQRT((AA344^2*(A344-$D$3)+Z344^2*(DAY(EOMONTH(A344,0))/2))/AK344)</f>
        <v>#VALUE!</v>
      </c>
      <c r="AC344" s="185" t="str">
        <f aca="false">IF($A345="","",VLOOKUP($A344,Table,MATCH(AC$4,Curves,0)))</f>
        <v/>
      </c>
      <c r="AD344" s="185" t="str">
        <f aca="false">IF($A345="","",VLOOKUP($A344,Table,MATCH(AD$4,Curves,0)))</f>
        <v/>
      </c>
      <c r="AE344" s="185" t="e">
        <f aca="false">SQRT((AD344^2*(A344-$D$3)+AC344^2*(DAY(EOMONTH(A344,0))/2))/AK344)</f>
        <v>#VALUE!</v>
      </c>
      <c r="AF344" s="206" t="e">
        <f aca="false">((Summary!$N$7*(AA344*AD344)*(A344-$D$3))+(Summary!$M$7*Z344*AC344*(DAY(EOMONTH(A344,0))/2)))/(AK344*AB344*AE344)</f>
        <v>#VALUE!</v>
      </c>
      <c r="AG344" s="207" t="str">
        <f aca="false">IF($A345="","",Summary!$Q$7)</f>
        <v/>
      </c>
      <c r="AH344" s="207" t="str">
        <f aca="false">IF($A345="","",IF(Summary!$R$7="Y",(VLOOKUP($A344,Summary!$AD$6:$AF$9,3)+'Escalating commodity'!C357),'Escalating commodity'!C357))</f>
        <v/>
      </c>
      <c r="AI344" s="207" t="str">
        <f aca="false">IF($A345="","",AH344)</f>
        <v/>
      </c>
      <c r="AJ344" s="208" t="e">
        <f aca="false">A344+DAY(EOMONTH(A344,0))/2-1</f>
        <v>#VALUE!</v>
      </c>
      <c r="AK344" s="209" t="str">
        <f aca="false">IF($A345="","",$A344-$E$1)</f>
        <v/>
      </c>
      <c r="AL344" s="182" t="str">
        <f aca="false">IF($A345="","",SPRDOPT(P344,X344,AI344,0,AB344,AE344,AF344,AK344,$AJ$2,0))</f>
        <v/>
      </c>
      <c r="AM344" s="210" t="str">
        <f aca="false">IF($A345="","",MAX(0,O344-W344-AI344))</f>
        <v/>
      </c>
      <c r="AN344" s="211" t="str">
        <f aca="false">IF($A345="","",AL344-AM344)</f>
        <v/>
      </c>
      <c r="AO344" s="137" t="str">
        <f aca="false">IF(A345="","",A345-A344)</f>
        <v/>
      </c>
      <c r="AP344" s="212" t="str">
        <f aca="false">IF(A345="","",CHOOSE(F$3,A345+24,A344))</f>
        <v/>
      </c>
      <c r="AQ344" s="209" t="str">
        <f aca="false">IF(A345="","",AP344-$E$1)</f>
        <v/>
      </c>
      <c r="AR344" s="185" t="n">
        <f aca="false">IF(Summary!$H$2=1,VLOOKUP('ANR OK vs ML7'!A344,Curves!$C$17:$AR$273,MATCH('ANR OK vs ML7'!$AR$4,Curves!$C$8:$AQ$8,0)),0.1)</f>
        <v>0.1</v>
      </c>
      <c r="AS344" s="213" t="str">
        <f aca="false">IF(A345="","",1/(1+CHOOSE(F$3,(AR345+($I$3/10000))/2,(AR344+($I$3/10000))/2))^(2*AQ344/365.25))</f>
        <v/>
      </c>
      <c r="AT344" s="137" t="str">
        <f aca="false">IF(A345="","",IF(AND(mthbeg&lt;=A344,mthend&gt;=A344),1,0))</f>
        <v/>
      </c>
      <c r="AU344" s="137" t="str">
        <f aca="false">IF(A345="","",AO344*AT344)</f>
        <v/>
      </c>
      <c r="AW344" s="195" t="str">
        <f aca="false">IF($A345="","",AL344*$E344)</f>
        <v/>
      </c>
      <c r="AX344" s="195" t="str">
        <f aca="false">IF($A345="","",AM344*$E344)</f>
        <v/>
      </c>
      <c r="AY344" s="195" t="str">
        <f aca="false">IF($A345="","",AN344*$E344)</f>
        <v/>
      </c>
      <c r="BA344" s="195" t="str">
        <f aca="false">IF($A345="","",F344*Summary!$Q$7)</f>
        <v/>
      </c>
    </row>
    <row r="345" customFormat="false" ht="12" hidden="false" customHeight="true" outlineLevel="0" collapsed="false">
      <c r="A345" s="196" t="str">
        <f aca="false">IF(A344&lt;mthend,EDATE(A344,1),"")</f>
        <v/>
      </c>
      <c r="B345" s="197" t="str">
        <f aca="false">IF(A345&lt;mthend,B344,"")</f>
        <v/>
      </c>
      <c r="C345" s="215"/>
      <c r="D345" s="197" t="str">
        <f aca="false">IF(A346&lt;&gt;"",B345+C345,"")</f>
        <v/>
      </c>
      <c r="E345" s="199" t="str">
        <f aca="false">IF(A346="","",IF(AND(AT345=1,$H$3=1),D345*AO345,IF($H$3=2,D345,"N/A")))</f>
        <v/>
      </c>
      <c r="F345" s="199" t="str">
        <f aca="false">IF(A346="","",E345*AS345)</f>
        <v/>
      </c>
      <c r="G345" s="200" t="str">
        <f aca="false">IF($A346="","",VLOOKUP($A345,Table,MATCH(G$4,Curves,0)))</f>
        <v/>
      </c>
      <c r="H345" s="201" t="str">
        <f aca="false">IF(A346="","",G345)</f>
        <v/>
      </c>
      <c r="I345" s="202"/>
      <c r="J345" s="200" t="str">
        <f aca="false">IF($A346="","",VLOOKUP($A345,Table,MATCH(J$4,Curves,0)))</f>
        <v/>
      </c>
      <c r="K345" s="201" t="str">
        <f aca="false">IF(A346="","",J345)</f>
        <v/>
      </c>
      <c r="L345" s="200" t="str">
        <f aca="false">IF($A346="","",VLOOKUP($A345,Table,MATCH(L$4,Curves,0)))</f>
        <v/>
      </c>
      <c r="M345" s="201" t="str">
        <f aca="false">IF(A346="","",L345)</f>
        <v/>
      </c>
      <c r="N345" s="203"/>
      <c r="O345" s="200" t="str">
        <f aca="false">IF(A346="","",L345+J345+G345)</f>
        <v/>
      </c>
      <c r="P345" s="200" t="str">
        <f aca="false">IF(A346="","",M345+K345+H345)</f>
        <v/>
      </c>
      <c r="Q345" s="204"/>
      <c r="R345" s="200" t="str">
        <f aca="false">IF($A346="","",VLOOKUP($A345,Table,MATCH(R$4,Curves,0)))</f>
        <v/>
      </c>
      <c r="S345" s="201" t="str">
        <f aca="false">IF(A346="","",R345)</f>
        <v/>
      </c>
      <c r="T345" s="200" t="str">
        <f aca="false">IF($A346="","",VLOOKUP($A345,Table,MATCH(T$4,Curves,0)))</f>
        <v/>
      </c>
      <c r="U345" s="201" t="str">
        <f aca="false">IF(A346="","",T345)</f>
        <v/>
      </c>
      <c r="V345" s="183" t="str">
        <f aca="false">IF($A346="","",IF(AND(MONTH(A345)&gt;3,MONTH(A345)&lt;11),(T345+R345+G345)*Summary!$T$7/(1-Summary!$T$7),(T345+R345+G345)*Summary!$U$7/(1-Summary!$U$7)))</f>
        <v/>
      </c>
      <c r="W345" s="200" t="str">
        <f aca="false">IF($A346="","",(T345+R345+G345+V345))</f>
        <v/>
      </c>
      <c r="X345" s="200" t="str">
        <f aca="false">IF($A346="","",(U345+S345+H345+V345))</f>
        <v/>
      </c>
      <c r="Y345" s="202"/>
      <c r="Z345" s="185" t="str">
        <f aca="false">IF($A346="","",VLOOKUP($A345,Table,MATCH(Z$4,Curves,0)))</f>
        <v/>
      </c>
      <c r="AA345" s="185" t="str">
        <f aca="false">IF($A346="","",VLOOKUP($A345,Table,MATCH(AA$4,Curves,0)))</f>
        <v/>
      </c>
      <c r="AB345" s="185" t="e">
        <f aca="false">SQRT((AA345^2*(A345-$D$3)+Z345^2*(DAY(EOMONTH(A345,0))/2))/AK345)</f>
        <v>#VALUE!</v>
      </c>
      <c r="AC345" s="185" t="str">
        <f aca="false">IF($A346="","",VLOOKUP($A345,Table,MATCH(AC$4,Curves,0)))</f>
        <v/>
      </c>
      <c r="AD345" s="185" t="str">
        <f aca="false">IF($A346="","",VLOOKUP($A345,Table,MATCH(AD$4,Curves,0)))</f>
        <v/>
      </c>
      <c r="AE345" s="185" t="e">
        <f aca="false">SQRT((AD345^2*(A345-$D$3)+AC345^2*(DAY(EOMONTH(A345,0))/2))/AK345)</f>
        <v>#VALUE!</v>
      </c>
      <c r="AF345" s="206" t="e">
        <f aca="false">((Summary!$N$7*(AA345*AD345)*(A345-$D$3))+(Summary!$M$7*Z345*AC345*(DAY(EOMONTH(A345,0))/2)))/(AK345*AB345*AE345)</f>
        <v>#VALUE!</v>
      </c>
      <c r="AG345" s="207" t="str">
        <f aca="false">IF($A346="","",Summary!$Q$7)</f>
        <v/>
      </c>
      <c r="AH345" s="207" t="str">
        <f aca="false">IF($A346="","",IF(Summary!$R$7="Y",(VLOOKUP($A345,Summary!$AD$6:$AF$9,3)+'Escalating commodity'!C358),'Escalating commodity'!C358))</f>
        <v/>
      </c>
      <c r="AI345" s="207" t="str">
        <f aca="false">IF($A346="","",AH345)</f>
        <v/>
      </c>
      <c r="AJ345" s="208" t="e">
        <f aca="false">A345+DAY(EOMONTH(A345,0))/2-1</f>
        <v>#VALUE!</v>
      </c>
      <c r="AK345" s="209" t="str">
        <f aca="false">IF($A346="","",$A345-$E$1)</f>
        <v/>
      </c>
      <c r="AL345" s="182" t="str">
        <f aca="false">IF($A346="","",SPRDOPT(P345,X345,AI345,0,AB345,AE345,AF345,AK345,$AJ$2,0))</f>
        <v/>
      </c>
      <c r="AM345" s="210" t="str">
        <f aca="false">IF($A346="","",MAX(0,O345-W345-AI345))</f>
        <v/>
      </c>
      <c r="AN345" s="211" t="str">
        <f aca="false">IF($A346="","",AL345-AM345)</f>
        <v/>
      </c>
      <c r="AO345" s="137" t="str">
        <f aca="false">IF(A346="","",A346-A345)</f>
        <v/>
      </c>
      <c r="AP345" s="212" t="str">
        <f aca="false">IF(A346="","",CHOOSE(F$3,A346+24,A345))</f>
        <v/>
      </c>
      <c r="AQ345" s="209" t="str">
        <f aca="false">IF(A346="","",AP345-$E$1)</f>
        <v/>
      </c>
      <c r="AR345" s="185" t="n">
        <f aca="false">IF(Summary!$H$2=1,VLOOKUP('ANR OK vs ML7'!A345,Curves!$C$17:$AR$273,MATCH('ANR OK vs ML7'!$AR$4,Curves!$C$8:$AQ$8,0)),0.1)</f>
        <v>0.1</v>
      </c>
      <c r="AS345" s="213" t="str">
        <f aca="false">IF(A346="","",1/(1+CHOOSE(F$3,(AR346+($I$3/10000))/2,(AR345+($I$3/10000))/2))^(2*AQ345/365.25))</f>
        <v/>
      </c>
      <c r="AT345" s="137" t="str">
        <f aca="false">IF(A346="","",IF(AND(mthbeg&lt;=A345,mthend&gt;=A345),1,0))</f>
        <v/>
      </c>
      <c r="AU345" s="137" t="str">
        <f aca="false">IF(A346="","",AO345*AT345)</f>
        <v/>
      </c>
      <c r="AW345" s="195" t="str">
        <f aca="false">IF($A346="","",AL345*$E345)</f>
        <v/>
      </c>
      <c r="AX345" s="195" t="str">
        <f aca="false">IF($A346="","",AM345*$E345)</f>
        <v/>
      </c>
      <c r="AY345" s="195" t="str">
        <f aca="false">IF($A346="","",AN345*$E345)</f>
        <v/>
      </c>
      <c r="BA345" s="195" t="str">
        <f aca="false">IF($A346="","",F345*Summary!$Q$7)</f>
        <v/>
      </c>
    </row>
    <row r="346" customFormat="false" ht="12" hidden="false" customHeight="true" outlineLevel="0" collapsed="false">
      <c r="A346" s="196" t="str">
        <f aca="false">IF(A345&lt;mthend,EDATE(A345,1),"")</f>
        <v/>
      </c>
      <c r="B346" s="197" t="str">
        <f aca="false">IF(A346&lt;mthend,B345,"")</f>
        <v/>
      </c>
      <c r="C346" s="215"/>
      <c r="D346" s="197" t="str">
        <f aca="false">IF(A347&lt;&gt;"",B346+C346,"")</f>
        <v/>
      </c>
      <c r="E346" s="199" t="str">
        <f aca="false">IF(A347="","",IF(AND(AT346=1,$H$3=1),D346*AO346,IF($H$3=2,D346,"N/A")))</f>
        <v/>
      </c>
      <c r="F346" s="199" t="str">
        <f aca="false">IF(A347="","",E346*AS346)</f>
        <v/>
      </c>
      <c r="G346" s="200" t="str">
        <f aca="false">IF($A347="","",VLOOKUP($A346,Table,MATCH(G$4,Curves,0)))</f>
        <v/>
      </c>
      <c r="H346" s="201" t="str">
        <f aca="false">IF(A347="","",G346)</f>
        <v/>
      </c>
      <c r="I346" s="202"/>
      <c r="J346" s="200" t="str">
        <f aca="false">IF($A347="","",VLOOKUP($A346,Table,MATCH(J$4,Curves,0)))</f>
        <v/>
      </c>
      <c r="K346" s="201" t="str">
        <f aca="false">IF(A347="","",J346)</f>
        <v/>
      </c>
      <c r="L346" s="200" t="str">
        <f aca="false">IF($A347="","",VLOOKUP($A346,Table,MATCH(L$4,Curves,0)))</f>
        <v/>
      </c>
      <c r="M346" s="201" t="str">
        <f aca="false">IF(A347="","",L346)</f>
        <v/>
      </c>
      <c r="N346" s="203"/>
      <c r="O346" s="200" t="str">
        <f aca="false">IF(A347="","",L346+J346+G346)</f>
        <v/>
      </c>
      <c r="P346" s="200" t="str">
        <f aca="false">IF(A347="","",M346+K346+H346)</f>
        <v/>
      </c>
      <c r="Q346" s="204"/>
      <c r="R346" s="200" t="str">
        <f aca="false">IF($A347="","",VLOOKUP($A346,Table,MATCH(R$4,Curves,0)))</f>
        <v/>
      </c>
      <c r="S346" s="201" t="str">
        <f aca="false">IF(A347="","",R346)</f>
        <v/>
      </c>
      <c r="T346" s="200" t="str">
        <f aca="false">IF($A347="","",VLOOKUP($A346,Table,MATCH(T$4,Curves,0)))</f>
        <v/>
      </c>
      <c r="U346" s="201" t="str">
        <f aca="false">IF(A347="","",T346)</f>
        <v/>
      </c>
      <c r="V346" s="183" t="str">
        <f aca="false">IF($A347="","",IF(AND(MONTH(A346)&gt;3,MONTH(A346)&lt;11),(T346+R346+G346)*Summary!$T$7/(1-Summary!$T$7),(T346+R346+G346)*Summary!$U$7/(1-Summary!$U$7)))</f>
        <v/>
      </c>
      <c r="W346" s="200" t="str">
        <f aca="false">IF($A347="","",(T346+R346+G346+V346))</f>
        <v/>
      </c>
      <c r="X346" s="200" t="str">
        <f aca="false">IF($A347="","",(U346+S346+H346+V346))</f>
        <v/>
      </c>
      <c r="Y346" s="202"/>
      <c r="Z346" s="185" t="str">
        <f aca="false">IF($A347="","",VLOOKUP($A346,Table,MATCH(Z$4,Curves,0)))</f>
        <v/>
      </c>
      <c r="AA346" s="185" t="str">
        <f aca="false">IF($A347="","",VLOOKUP($A346,Table,MATCH(AA$4,Curves,0)))</f>
        <v/>
      </c>
      <c r="AB346" s="185" t="e">
        <f aca="false">SQRT((AA346^2*(A346-$D$3)+Z346^2*(DAY(EOMONTH(A346,0))/2))/AK346)</f>
        <v>#VALUE!</v>
      </c>
      <c r="AC346" s="185" t="str">
        <f aca="false">IF($A347="","",VLOOKUP($A346,Table,MATCH(AC$4,Curves,0)))</f>
        <v/>
      </c>
      <c r="AD346" s="185" t="str">
        <f aca="false">IF($A347="","",VLOOKUP($A346,Table,MATCH(AD$4,Curves,0)))</f>
        <v/>
      </c>
      <c r="AE346" s="185" t="e">
        <f aca="false">SQRT((AD346^2*(A346-$D$3)+AC346^2*(DAY(EOMONTH(A346,0))/2))/AK346)</f>
        <v>#VALUE!</v>
      </c>
      <c r="AF346" s="206" t="e">
        <f aca="false">((Summary!$N$7*(AA346*AD346)*(A346-$D$3))+(Summary!$M$7*Z346*AC346*(DAY(EOMONTH(A346,0))/2)))/(AK346*AB346*AE346)</f>
        <v>#VALUE!</v>
      </c>
      <c r="AG346" s="207" t="str">
        <f aca="false">IF($A347="","",Summary!$Q$7)</f>
        <v/>
      </c>
      <c r="AH346" s="207" t="str">
        <f aca="false">IF($A347="","",IF(Summary!$R$7="Y",(VLOOKUP($A346,Summary!$AD$6:$AF$9,3)+'Escalating commodity'!C359),'Escalating commodity'!C359))</f>
        <v/>
      </c>
      <c r="AI346" s="207" t="str">
        <f aca="false">IF($A347="","",AH346)</f>
        <v/>
      </c>
      <c r="AJ346" s="208" t="e">
        <f aca="false">A346+DAY(EOMONTH(A346,0))/2-1</f>
        <v>#VALUE!</v>
      </c>
      <c r="AK346" s="209" t="str">
        <f aca="false">IF($A347="","",$A346-$E$1)</f>
        <v/>
      </c>
      <c r="AL346" s="182" t="str">
        <f aca="false">IF($A347="","",SPRDOPT(P346,X346,AI346,0,AB346,AE346,AF346,AK346,$AJ$2,0))</f>
        <v/>
      </c>
      <c r="AM346" s="210" t="str">
        <f aca="false">IF($A347="","",MAX(0,O346-W346-AI346))</f>
        <v/>
      </c>
      <c r="AN346" s="211" t="str">
        <f aca="false">IF($A347="","",AL346-AM346)</f>
        <v/>
      </c>
      <c r="AO346" s="137" t="str">
        <f aca="false">IF(A347="","",A347-A346)</f>
        <v/>
      </c>
      <c r="AP346" s="212" t="str">
        <f aca="false">IF(A347="","",CHOOSE(F$3,A347+24,A346))</f>
        <v/>
      </c>
      <c r="AQ346" s="209" t="str">
        <f aca="false">IF(A347="","",AP346-$E$1)</f>
        <v/>
      </c>
      <c r="AR346" s="185" t="n">
        <f aca="false">IF(Summary!$H$2=1,VLOOKUP('ANR OK vs ML7'!A346,Curves!$C$17:$AR$273,MATCH('ANR OK vs ML7'!$AR$4,Curves!$C$8:$AQ$8,0)),0.1)</f>
        <v>0.1</v>
      </c>
      <c r="AS346" s="213" t="str">
        <f aca="false">IF(A347="","",1/(1+CHOOSE(F$3,(AR347+($I$3/10000))/2,(AR346+($I$3/10000))/2))^(2*AQ346/365.25))</f>
        <v/>
      </c>
      <c r="AT346" s="137" t="str">
        <f aca="false">IF(A347="","",IF(AND(mthbeg&lt;=A346,mthend&gt;=A346),1,0))</f>
        <v/>
      </c>
      <c r="AU346" s="137" t="str">
        <f aca="false">IF(A347="","",AO346*AT346)</f>
        <v/>
      </c>
      <c r="AW346" s="195" t="str">
        <f aca="false">IF($A347="","",AL346*$E346)</f>
        <v/>
      </c>
      <c r="AX346" s="195" t="str">
        <f aca="false">IF($A347="","",AM346*$E346)</f>
        <v/>
      </c>
      <c r="AY346" s="195" t="str">
        <f aca="false">IF($A347="","",AN346*$E346)</f>
        <v/>
      </c>
      <c r="BA346" s="195" t="str">
        <f aca="false">IF($A347="","",F346*Summary!$Q$7)</f>
        <v/>
      </c>
    </row>
    <row r="347" customFormat="false" ht="12" hidden="false" customHeight="true" outlineLevel="0" collapsed="false">
      <c r="A347" s="196" t="str">
        <f aca="false">IF(A346&lt;mthend,EDATE(A346,1),"")</f>
        <v/>
      </c>
      <c r="B347" s="197" t="str">
        <f aca="false">IF(A347&lt;mthend,B346,"")</f>
        <v/>
      </c>
      <c r="C347" s="215"/>
      <c r="D347" s="197" t="str">
        <f aca="false">IF(A348&lt;&gt;"",B347+C347,"")</f>
        <v/>
      </c>
      <c r="E347" s="199" t="str">
        <f aca="false">IF(A348="","",IF(AND(AT347=1,$H$3=1),D347*AO347,IF($H$3=2,D347,"N/A")))</f>
        <v/>
      </c>
      <c r="F347" s="199" t="str">
        <f aca="false">IF(A348="","",E347*AS347)</f>
        <v/>
      </c>
      <c r="G347" s="200" t="str">
        <f aca="false">IF($A348="","",VLOOKUP($A347,Table,MATCH(G$4,Curves,0)))</f>
        <v/>
      </c>
      <c r="H347" s="201" t="str">
        <f aca="false">IF(A348="","",G347)</f>
        <v/>
      </c>
      <c r="I347" s="202"/>
      <c r="J347" s="200" t="str">
        <f aca="false">IF($A348="","",VLOOKUP($A347,Table,MATCH(J$4,Curves,0)))</f>
        <v/>
      </c>
      <c r="K347" s="201" t="str">
        <f aca="false">IF(A348="","",J347)</f>
        <v/>
      </c>
      <c r="L347" s="200" t="str">
        <f aca="false">IF($A348="","",VLOOKUP($A347,Table,MATCH(L$4,Curves,0)))</f>
        <v/>
      </c>
      <c r="M347" s="201" t="str">
        <f aca="false">IF(A348="","",L347)</f>
        <v/>
      </c>
      <c r="N347" s="203"/>
      <c r="O347" s="200" t="str">
        <f aca="false">IF(A348="","",L347+J347+G347)</f>
        <v/>
      </c>
      <c r="P347" s="200" t="str">
        <f aca="false">IF(A348="","",M347+K347+H347)</f>
        <v/>
      </c>
      <c r="Q347" s="204"/>
      <c r="R347" s="200" t="str">
        <f aca="false">IF($A348="","",VLOOKUP($A347,Table,MATCH(R$4,Curves,0)))</f>
        <v/>
      </c>
      <c r="S347" s="201" t="str">
        <f aca="false">IF(A348="","",R347)</f>
        <v/>
      </c>
      <c r="T347" s="200" t="str">
        <f aca="false">IF($A348="","",VLOOKUP($A347,Table,MATCH(T$4,Curves,0)))</f>
        <v/>
      </c>
      <c r="U347" s="201" t="str">
        <f aca="false">IF(A348="","",T347)</f>
        <v/>
      </c>
      <c r="V347" s="183" t="str">
        <f aca="false">IF($A348="","",IF(AND(MONTH(A347)&gt;3,MONTH(A347)&lt;11),(T347+R347+G347)*Summary!$T$7/(1-Summary!$T$7),(T347+R347+G347)*Summary!$U$7/(1-Summary!$U$7)))</f>
        <v/>
      </c>
      <c r="W347" s="200" t="str">
        <f aca="false">IF($A348="","",(T347+R347+G347+V347))</f>
        <v/>
      </c>
      <c r="X347" s="200" t="str">
        <f aca="false">IF($A348="","",(U347+S347+H347+V347))</f>
        <v/>
      </c>
      <c r="Y347" s="202"/>
      <c r="Z347" s="185" t="str">
        <f aca="false">IF($A348="","",VLOOKUP($A347,Table,MATCH(Z$4,Curves,0)))</f>
        <v/>
      </c>
      <c r="AA347" s="185" t="str">
        <f aca="false">IF($A348="","",VLOOKUP($A347,Table,MATCH(AA$4,Curves,0)))</f>
        <v/>
      </c>
      <c r="AB347" s="185" t="e">
        <f aca="false">SQRT((AA347^2*(A347-$D$3)+Z347^2*(DAY(EOMONTH(A347,0))/2))/AK347)</f>
        <v>#VALUE!</v>
      </c>
      <c r="AC347" s="185" t="str">
        <f aca="false">IF($A348="","",VLOOKUP($A347,Table,MATCH(AC$4,Curves,0)))</f>
        <v/>
      </c>
      <c r="AD347" s="185" t="str">
        <f aca="false">IF($A348="","",VLOOKUP($A347,Table,MATCH(AD$4,Curves,0)))</f>
        <v/>
      </c>
      <c r="AE347" s="185" t="e">
        <f aca="false">SQRT((AD347^2*(A347-$D$3)+AC347^2*(DAY(EOMONTH(A347,0))/2))/AK347)</f>
        <v>#VALUE!</v>
      </c>
      <c r="AF347" s="206" t="e">
        <f aca="false">((Summary!$N$7*(AA347*AD347)*(A347-$D$3))+(Summary!$M$7*Z347*AC347*(DAY(EOMONTH(A347,0))/2)))/(AK347*AB347*AE347)</f>
        <v>#VALUE!</v>
      </c>
      <c r="AG347" s="207" t="str">
        <f aca="false">IF($A348="","",Summary!$Q$7)</f>
        <v/>
      </c>
      <c r="AH347" s="207" t="str">
        <f aca="false">IF($A348="","",IF(Summary!$R$7="Y",(VLOOKUP($A347,Summary!$AD$6:$AF$9,3)+'Escalating commodity'!C360),'Escalating commodity'!C360))</f>
        <v/>
      </c>
      <c r="AI347" s="207" t="str">
        <f aca="false">IF($A348="","",AH347)</f>
        <v/>
      </c>
      <c r="AJ347" s="208" t="e">
        <f aca="false">A347+DAY(EOMONTH(A347,0))/2-1</f>
        <v>#VALUE!</v>
      </c>
      <c r="AK347" s="209" t="str">
        <f aca="false">IF($A348="","",$A347-$E$1)</f>
        <v/>
      </c>
      <c r="AL347" s="182" t="str">
        <f aca="false">IF($A348="","",SPRDOPT(P347,X347,AI347,0,AB347,AE347,AF347,AK347,$AJ$2,0))</f>
        <v/>
      </c>
      <c r="AM347" s="210" t="str">
        <f aca="false">IF($A348="","",MAX(0,O347-W347-AI347))</f>
        <v/>
      </c>
      <c r="AN347" s="211" t="str">
        <f aca="false">IF($A348="","",AL347-AM347)</f>
        <v/>
      </c>
      <c r="AO347" s="137" t="str">
        <f aca="false">IF(A348="","",A348-A347)</f>
        <v/>
      </c>
      <c r="AP347" s="212" t="str">
        <f aca="false">IF(A348="","",CHOOSE(F$3,A348+24,A347))</f>
        <v/>
      </c>
      <c r="AQ347" s="209" t="str">
        <f aca="false">IF(A348="","",AP347-$E$1)</f>
        <v/>
      </c>
      <c r="AR347" s="185" t="n">
        <f aca="false">IF(Summary!$H$2=1,VLOOKUP('ANR OK vs ML7'!A347,Curves!$C$17:$AR$273,MATCH('ANR OK vs ML7'!$AR$4,Curves!$C$8:$AQ$8,0)),0.1)</f>
        <v>0.1</v>
      </c>
      <c r="AS347" s="213" t="str">
        <f aca="false">IF(A348="","",1/(1+CHOOSE(F$3,(AR348+($I$3/10000))/2,(AR347+($I$3/10000))/2))^(2*AQ347/365.25))</f>
        <v/>
      </c>
      <c r="AT347" s="137" t="str">
        <f aca="false">IF(A348="","",IF(AND(mthbeg&lt;=A347,mthend&gt;=A347),1,0))</f>
        <v/>
      </c>
      <c r="AU347" s="137" t="str">
        <f aca="false">IF(A348="","",AO347*AT347)</f>
        <v/>
      </c>
      <c r="AW347" s="195" t="str">
        <f aca="false">IF($A348="","",AL347*$E347)</f>
        <v/>
      </c>
      <c r="AX347" s="195" t="str">
        <f aca="false">IF($A348="","",AM347*$E347)</f>
        <v/>
      </c>
      <c r="AY347" s="195" t="str">
        <f aca="false">IF($A348="","",AN347*$E347)</f>
        <v/>
      </c>
      <c r="BA347" s="195" t="str">
        <f aca="false">IF($A348="","",F347*Summary!$Q$7)</f>
        <v/>
      </c>
    </row>
    <row r="348" customFormat="false" ht="12" hidden="false" customHeight="true" outlineLevel="0" collapsed="false">
      <c r="A348" s="196" t="str">
        <f aca="false">IF(A347&lt;mthend,EDATE(A347,1),"")</f>
        <v/>
      </c>
      <c r="B348" s="197" t="str">
        <f aca="false">IF(A348&lt;mthend,B347,"")</f>
        <v/>
      </c>
      <c r="C348" s="215"/>
      <c r="D348" s="197" t="str">
        <f aca="false">IF(A349&lt;&gt;"",B348+C348,"")</f>
        <v/>
      </c>
      <c r="E348" s="199" t="str">
        <f aca="false">IF(A349="","",IF(AND(AT348=1,$H$3=1),D348*AO348,IF($H$3=2,D348,"N/A")))</f>
        <v/>
      </c>
      <c r="F348" s="199" t="str">
        <f aca="false">IF(A349="","",E348*AS348)</f>
        <v/>
      </c>
      <c r="G348" s="200" t="str">
        <f aca="false">IF($A349="","",VLOOKUP($A348,Table,MATCH(G$4,Curves,0)))</f>
        <v/>
      </c>
      <c r="H348" s="201" t="str">
        <f aca="false">IF(A349="","",G348)</f>
        <v/>
      </c>
      <c r="I348" s="202"/>
      <c r="J348" s="200" t="str">
        <f aca="false">IF($A349="","",VLOOKUP($A348,Table,MATCH(J$4,Curves,0)))</f>
        <v/>
      </c>
      <c r="K348" s="201" t="str">
        <f aca="false">IF(A349="","",J348)</f>
        <v/>
      </c>
      <c r="L348" s="200" t="str">
        <f aca="false">IF($A349="","",VLOOKUP($A348,Table,MATCH(L$4,Curves,0)))</f>
        <v/>
      </c>
      <c r="M348" s="201" t="str">
        <f aca="false">IF(A349="","",L348)</f>
        <v/>
      </c>
      <c r="N348" s="203"/>
      <c r="O348" s="200" t="str">
        <f aca="false">IF(A349="","",L348+J348+G348)</f>
        <v/>
      </c>
      <c r="P348" s="200" t="str">
        <f aca="false">IF(A349="","",M348+K348+H348)</f>
        <v/>
      </c>
      <c r="Q348" s="204"/>
      <c r="R348" s="200" t="str">
        <f aca="false">IF($A349="","",VLOOKUP($A348,Table,MATCH(R$4,Curves,0)))</f>
        <v/>
      </c>
      <c r="S348" s="201" t="str">
        <f aca="false">IF(A349="","",R348)</f>
        <v/>
      </c>
      <c r="T348" s="200" t="str">
        <f aca="false">IF($A349="","",VLOOKUP($A348,Table,MATCH(T$4,Curves,0)))</f>
        <v/>
      </c>
      <c r="U348" s="201" t="str">
        <f aca="false">IF(A349="","",T348)</f>
        <v/>
      </c>
      <c r="V348" s="183" t="str">
        <f aca="false">IF($A349="","",IF(AND(MONTH(A348)&gt;3,MONTH(A348)&lt;11),(T348+R348+G348)*Summary!$T$7/(1-Summary!$T$7),(T348+R348+G348)*Summary!$U$7/(1-Summary!$U$7)))</f>
        <v/>
      </c>
      <c r="W348" s="200" t="str">
        <f aca="false">IF($A349="","",(T348+R348+G348+V348))</f>
        <v/>
      </c>
      <c r="X348" s="200" t="str">
        <f aca="false">IF($A349="","",(U348+S348+H348+V348))</f>
        <v/>
      </c>
      <c r="Y348" s="202"/>
      <c r="Z348" s="185" t="str">
        <f aca="false">IF($A349="","",VLOOKUP($A348,Table,MATCH(Z$4,Curves,0)))</f>
        <v/>
      </c>
      <c r="AA348" s="185" t="str">
        <f aca="false">IF($A349="","",VLOOKUP($A348,Table,MATCH(AA$4,Curves,0)))</f>
        <v/>
      </c>
      <c r="AB348" s="185" t="e">
        <f aca="false">SQRT((AA348^2*(A348-$D$3)+Z348^2*(DAY(EOMONTH(A348,0))/2))/AK348)</f>
        <v>#VALUE!</v>
      </c>
      <c r="AC348" s="185" t="str">
        <f aca="false">IF($A349="","",VLOOKUP($A348,Table,MATCH(AC$4,Curves,0)))</f>
        <v/>
      </c>
      <c r="AD348" s="185" t="str">
        <f aca="false">IF($A349="","",VLOOKUP($A348,Table,MATCH(AD$4,Curves,0)))</f>
        <v/>
      </c>
      <c r="AE348" s="185" t="e">
        <f aca="false">SQRT((AD348^2*(A348-$D$3)+AC348^2*(DAY(EOMONTH(A348,0))/2))/AK348)</f>
        <v>#VALUE!</v>
      </c>
      <c r="AF348" s="206" t="e">
        <f aca="false">((Summary!$N$7*(AA348*AD348)*(A348-$D$3))+(Summary!$M$7*Z348*AC348*(DAY(EOMONTH(A348,0))/2)))/(AK348*AB348*AE348)</f>
        <v>#VALUE!</v>
      </c>
      <c r="AG348" s="207" t="str">
        <f aca="false">IF($A349="","",Summary!$Q$7)</f>
        <v/>
      </c>
      <c r="AH348" s="207" t="str">
        <f aca="false">IF($A349="","",IF(Summary!$R$7="Y",(VLOOKUP($A348,Summary!$AD$6:$AF$9,3)+'Escalating commodity'!C361),'Escalating commodity'!C361))</f>
        <v/>
      </c>
      <c r="AI348" s="207" t="str">
        <f aca="false">IF($A349="","",AH348)</f>
        <v/>
      </c>
      <c r="AJ348" s="208" t="e">
        <f aca="false">A348+DAY(EOMONTH(A348,0))/2-1</f>
        <v>#VALUE!</v>
      </c>
      <c r="AK348" s="209" t="str">
        <f aca="false">IF($A349="","",$A348-$E$1)</f>
        <v/>
      </c>
      <c r="AL348" s="182" t="str">
        <f aca="false">IF($A349="","",SPRDOPT(P348,X348,AI348,0,AB348,AE348,AF348,AK348,$AJ$2,0))</f>
        <v/>
      </c>
      <c r="AM348" s="210" t="str">
        <f aca="false">IF($A349="","",MAX(0,O348-W348-AI348))</f>
        <v/>
      </c>
      <c r="AN348" s="211" t="str">
        <f aca="false">IF($A349="","",AL348-AM348)</f>
        <v/>
      </c>
      <c r="AO348" s="137" t="str">
        <f aca="false">IF(A349="","",A349-A348)</f>
        <v/>
      </c>
      <c r="AP348" s="212" t="str">
        <f aca="false">IF(A349="","",CHOOSE(F$3,A349+24,A348))</f>
        <v/>
      </c>
      <c r="AQ348" s="209" t="str">
        <f aca="false">IF(A349="","",AP348-$E$1)</f>
        <v/>
      </c>
      <c r="AR348" s="185" t="n">
        <f aca="false">IF(Summary!$H$2=1,VLOOKUP('ANR OK vs ML7'!A348,Curves!$C$17:$AR$273,MATCH('ANR OK vs ML7'!$AR$4,Curves!$C$8:$AQ$8,0)),0.1)</f>
        <v>0.1</v>
      </c>
      <c r="AS348" s="213" t="str">
        <f aca="false">IF(A349="","",1/(1+CHOOSE(F$3,(AR349+($I$3/10000))/2,(AR348+($I$3/10000))/2))^(2*AQ348/365.25))</f>
        <v/>
      </c>
      <c r="AT348" s="137" t="str">
        <f aca="false">IF(A349="","",IF(AND(mthbeg&lt;=A348,mthend&gt;=A348),1,0))</f>
        <v/>
      </c>
      <c r="AU348" s="137" t="str">
        <f aca="false">IF(A349="","",AO348*AT348)</f>
        <v/>
      </c>
      <c r="AW348" s="195" t="str">
        <f aca="false">IF($A349="","",AL348*$E348)</f>
        <v/>
      </c>
      <c r="AX348" s="195" t="str">
        <f aca="false">IF($A349="","",AM348*$E348)</f>
        <v/>
      </c>
      <c r="AY348" s="195" t="str">
        <f aca="false">IF($A349="","",AN348*$E348)</f>
        <v/>
      </c>
      <c r="BA348" s="195" t="str">
        <f aca="false">IF($A349="","",F348*Summary!$Q$7)</f>
        <v/>
      </c>
    </row>
    <row r="349" customFormat="false" ht="12" hidden="false" customHeight="true" outlineLevel="0" collapsed="false">
      <c r="A349" s="196" t="str">
        <f aca="false">IF(A348&lt;mthend,EDATE(A348,1),"")</f>
        <v/>
      </c>
      <c r="B349" s="197" t="str">
        <f aca="false">IF(A349&lt;mthend,B348,"")</f>
        <v/>
      </c>
      <c r="C349" s="215"/>
      <c r="D349" s="197" t="str">
        <f aca="false">IF(A350&lt;&gt;"",B349+C349,"")</f>
        <v/>
      </c>
      <c r="E349" s="199" t="str">
        <f aca="false">IF(A350="","",IF(AND(AT349=1,$H$3=1),D349*AO349,IF($H$3=2,D349,"N/A")))</f>
        <v/>
      </c>
      <c r="F349" s="199" t="str">
        <f aca="false">IF(A350="","",E349*AS349)</f>
        <v/>
      </c>
      <c r="G349" s="200" t="str">
        <f aca="false">IF($A350="","",VLOOKUP($A349,Table,MATCH(G$4,Curves,0)))</f>
        <v/>
      </c>
      <c r="H349" s="201" t="str">
        <f aca="false">IF(A350="","",G349)</f>
        <v/>
      </c>
      <c r="I349" s="202"/>
      <c r="J349" s="200" t="str">
        <f aca="false">IF($A350="","",VLOOKUP($A349,Table,MATCH(J$4,Curves,0)))</f>
        <v/>
      </c>
      <c r="K349" s="201" t="str">
        <f aca="false">IF(A350="","",J349)</f>
        <v/>
      </c>
      <c r="L349" s="200" t="str">
        <f aca="false">IF($A350="","",VLOOKUP($A349,Table,MATCH(L$4,Curves,0)))</f>
        <v/>
      </c>
      <c r="M349" s="201" t="str">
        <f aca="false">IF(A350="","",L349)</f>
        <v/>
      </c>
      <c r="N349" s="203"/>
      <c r="O349" s="200" t="str">
        <f aca="false">IF(A350="","",L349+J349+G349)</f>
        <v/>
      </c>
      <c r="P349" s="200" t="str">
        <f aca="false">IF(A350="","",M349+K349+H349)</f>
        <v/>
      </c>
      <c r="Q349" s="204"/>
      <c r="R349" s="200" t="str">
        <f aca="false">IF($A350="","",VLOOKUP($A349,Table,MATCH(R$4,Curves,0)))</f>
        <v/>
      </c>
      <c r="S349" s="201" t="str">
        <f aca="false">IF(A350="","",R349)</f>
        <v/>
      </c>
      <c r="T349" s="200" t="str">
        <f aca="false">IF($A350="","",VLOOKUP($A349,Table,MATCH(T$4,Curves,0)))</f>
        <v/>
      </c>
      <c r="U349" s="201" t="str">
        <f aca="false">IF(A350="","",T349)</f>
        <v/>
      </c>
      <c r="V349" s="183" t="str">
        <f aca="false">IF($A350="","",IF(AND(MONTH(A349)&gt;3,MONTH(A349)&lt;11),(T349+R349+G349)*Summary!$T$7/(1-Summary!$T$7),(T349+R349+G349)*Summary!$U$7/(1-Summary!$U$7)))</f>
        <v/>
      </c>
      <c r="W349" s="200" t="str">
        <f aca="false">IF($A350="","",(T349+R349+G349+V349))</f>
        <v/>
      </c>
      <c r="X349" s="200" t="str">
        <f aca="false">IF($A350="","",(U349+S349+H349+V349))</f>
        <v/>
      </c>
      <c r="Y349" s="202"/>
      <c r="Z349" s="185" t="str">
        <f aca="false">IF($A350="","",VLOOKUP($A349,Table,MATCH(Z$4,Curves,0)))</f>
        <v/>
      </c>
      <c r="AA349" s="185" t="str">
        <f aca="false">IF($A350="","",VLOOKUP($A349,Table,MATCH(AA$4,Curves,0)))</f>
        <v/>
      </c>
      <c r="AB349" s="185" t="e">
        <f aca="false">SQRT((AA349^2*(A349-$D$3)+Z349^2*(DAY(EOMONTH(A349,0))/2))/AK349)</f>
        <v>#VALUE!</v>
      </c>
      <c r="AC349" s="185" t="str">
        <f aca="false">IF($A350="","",VLOOKUP($A349,Table,MATCH(AC$4,Curves,0)))</f>
        <v/>
      </c>
      <c r="AD349" s="185" t="str">
        <f aca="false">IF($A350="","",VLOOKUP($A349,Table,MATCH(AD$4,Curves,0)))</f>
        <v/>
      </c>
      <c r="AE349" s="185" t="e">
        <f aca="false">SQRT((AD349^2*(A349-$D$3)+AC349^2*(DAY(EOMONTH(A349,0))/2))/AK349)</f>
        <v>#VALUE!</v>
      </c>
      <c r="AF349" s="206" t="e">
        <f aca="false">((Summary!$N$7*(AA349*AD349)*(A349-$D$3))+(Summary!$M$7*Z349*AC349*(DAY(EOMONTH(A349,0))/2)))/(AK349*AB349*AE349)</f>
        <v>#VALUE!</v>
      </c>
      <c r="AG349" s="207" t="str">
        <f aca="false">IF($A350="","",Summary!$Q$7)</f>
        <v/>
      </c>
      <c r="AH349" s="207" t="str">
        <f aca="false">IF($A350="","",IF(Summary!$R$7="Y",(VLOOKUP($A349,Summary!$AD$6:$AF$9,3)+'Escalating commodity'!C362),'Escalating commodity'!C362))</f>
        <v/>
      </c>
      <c r="AI349" s="207" t="str">
        <f aca="false">IF($A350="","",AH349)</f>
        <v/>
      </c>
      <c r="AJ349" s="208" t="e">
        <f aca="false">A349+DAY(EOMONTH(A349,0))/2-1</f>
        <v>#VALUE!</v>
      </c>
      <c r="AK349" s="209" t="str">
        <f aca="false">IF($A350="","",$A349-$E$1)</f>
        <v/>
      </c>
      <c r="AL349" s="182" t="str">
        <f aca="false">IF($A350="","",SPRDOPT(P349,X349,AI349,0,AB349,AE349,AF349,AK349,$AJ$2,0))</f>
        <v/>
      </c>
      <c r="AM349" s="210" t="str">
        <f aca="false">IF($A350="","",MAX(0,O349-W349-AI349))</f>
        <v/>
      </c>
      <c r="AN349" s="211" t="str">
        <f aca="false">IF($A350="","",AL349-AM349)</f>
        <v/>
      </c>
      <c r="AO349" s="137" t="str">
        <f aca="false">IF(A350="","",A350-A349)</f>
        <v/>
      </c>
      <c r="AP349" s="212" t="str">
        <f aca="false">IF(A350="","",CHOOSE(F$3,A350+24,A349))</f>
        <v/>
      </c>
      <c r="AQ349" s="209" t="str">
        <f aca="false">IF(A350="","",AP349-$E$1)</f>
        <v/>
      </c>
      <c r="AR349" s="185" t="n">
        <f aca="false">IF(Summary!$H$2=1,VLOOKUP('ANR OK vs ML7'!A349,Curves!$C$17:$AR$273,MATCH('ANR OK vs ML7'!$AR$4,Curves!$C$8:$AQ$8,0)),0.1)</f>
        <v>0.1</v>
      </c>
      <c r="AS349" s="213" t="str">
        <f aca="false">IF(A350="","",1/(1+CHOOSE(F$3,(AR350+($I$3/10000))/2,(AR349+($I$3/10000))/2))^(2*AQ349/365.25))</f>
        <v/>
      </c>
      <c r="AT349" s="137" t="str">
        <f aca="false">IF(A350="","",IF(AND(mthbeg&lt;=A349,mthend&gt;=A349),1,0))</f>
        <v/>
      </c>
      <c r="AU349" s="137" t="str">
        <f aca="false">IF(A350="","",AO349*AT349)</f>
        <v/>
      </c>
      <c r="AW349" s="195" t="str">
        <f aca="false">IF($A350="","",AL349*$E349)</f>
        <v/>
      </c>
      <c r="AX349" s="195" t="str">
        <f aca="false">IF($A350="","",AM349*$E349)</f>
        <v/>
      </c>
      <c r="AY349" s="195" t="str">
        <f aca="false">IF($A350="","",AN349*$E349)</f>
        <v/>
      </c>
      <c r="BA349" s="195" t="str">
        <f aca="false">IF($A350="","",F349*Summary!$Q$7)</f>
        <v/>
      </c>
    </row>
    <row r="350" customFormat="false" ht="12" hidden="false" customHeight="true" outlineLevel="0" collapsed="false">
      <c r="A350" s="196" t="str">
        <f aca="false">IF(A349&lt;mthend,EDATE(A349,1),"")</f>
        <v/>
      </c>
      <c r="B350" s="197" t="str">
        <f aca="false">IF(A350&lt;mthend,B349,"")</f>
        <v/>
      </c>
      <c r="C350" s="215"/>
      <c r="D350" s="197" t="str">
        <f aca="false">IF(A351&lt;&gt;"",B350+C350,"")</f>
        <v/>
      </c>
      <c r="E350" s="199" t="str">
        <f aca="false">IF(A351="","",IF(AND(AT350=1,$H$3=1),D350*AO350,IF($H$3=2,D350,"N/A")))</f>
        <v/>
      </c>
      <c r="F350" s="199" t="str">
        <f aca="false">IF(A351="","",E350*AS350)</f>
        <v/>
      </c>
      <c r="G350" s="200" t="str">
        <f aca="false">IF($A351="","",VLOOKUP($A350,Table,MATCH(G$4,Curves,0)))</f>
        <v/>
      </c>
      <c r="H350" s="201" t="str">
        <f aca="false">IF(A351="","",G350)</f>
        <v/>
      </c>
      <c r="I350" s="202"/>
      <c r="J350" s="200" t="str">
        <f aca="false">IF($A351="","",VLOOKUP($A350,Table,MATCH(J$4,Curves,0)))</f>
        <v/>
      </c>
      <c r="K350" s="201" t="str">
        <f aca="false">IF(A351="","",J350)</f>
        <v/>
      </c>
      <c r="L350" s="200" t="str">
        <f aca="false">IF($A351="","",VLOOKUP($A350,Table,MATCH(L$4,Curves,0)))</f>
        <v/>
      </c>
      <c r="M350" s="201" t="str">
        <f aca="false">IF(A351="","",L350)</f>
        <v/>
      </c>
      <c r="N350" s="203"/>
      <c r="O350" s="200" t="str">
        <f aca="false">IF(A351="","",L350+J350+G350)</f>
        <v/>
      </c>
      <c r="P350" s="200" t="str">
        <f aca="false">IF(A351="","",M350+K350+H350)</f>
        <v/>
      </c>
      <c r="Q350" s="204"/>
      <c r="R350" s="200" t="str">
        <f aca="false">IF($A351="","",VLOOKUP($A350,Table,MATCH(R$4,Curves,0)))</f>
        <v/>
      </c>
      <c r="S350" s="201" t="str">
        <f aca="false">IF(A351="","",R350)</f>
        <v/>
      </c>
      <c r="T350" s="200" t="str">
        <f aca="false">IF($A351="","",VLOOKUP($A350,Table,MATCH(T$4,Curves,0)))</f>
        <v/>
      </c>
      <c r="U350" s="201" t="str">
        <f aca="false">IF(A351="","",T350)</f>
        <v/>
      </c>
      <c r="V350" s="183" t="str">
        <f aca="false">IF($A351="","",IF(AND(MONTH(A350)&gt;3,MONTH(A350)&lt;11),(T350+R350+G350)*Summary!$T$7/(1-Summary!$T$7),(T350+R350+G350)*Summary!$U$7/(1-Summary!$U$7)))</f>
        <v/>
      </c>
      <c r="W350" s="200" t="str">
        <f aca="false">IF($A351="","",(T350+R350+G350+V350))</f>
        <v/>
      </c>
      <c r="X350" s="200" t="str">
        <f aca="false">IF($A351="","",(U350+S350+H350+V350))</f>
        <v/>
      </c>
      <c r="Y350" s="202"/>
      <c r="Z350" s="185" t="str">
        <f aca="false">IF($A351="","",VLOOKUP($A350,Table,MATCH(Z$4,Curves,0)))</f>
        <v/>
      </c>
      <c r="AA350" s="185" t="str">
        <f aca="false">IF($A351="","",VLOOKUP($A350,Table,MATCH(AA$4,Curves,0)))</f>
        <v/>
      </c>
      <c r="AB350" s="185" t="e">
        <f aca="false">SQRT((AA350^2*(A350-$D$3)+Z350^2*(DAY(EOMONTH(A350,0))/2))/AK350)</f>
        <v>#VALUE!</v>
      </c>
      <c r="AC350" s="185" t="str">
        <f aca="false">IF($A351="","",VLOOKUP($A350,Table,MATCH(AC$4,Curves,0)))</f>
        <v/>
      </c>
      <c r="AD350" s="185" t="str">
        <f aca="false">IF($A351="","",VLOOKUP($A350,Table,MATCH(AD$4,Curves,0)))</f>
        <v/>
      </c>
      <c r="AE350" s="185" t="e">
        <f aca="false">SQRT((AD350^2*(A350-$D$3)+AC350^2*(DAY(EOMONTH(A350,0))/2))/AK350)</f>
        <v>#VALUE!</v>
      </c>
      <c r="AF350" s="206" t="e">
        <f aca="false">((Summary!$N$7*(AA350*AD350)*(A350-$D$3))+(Summary!$M$7*Z350*AC350*(DAY(EOMONTH(A350,0))/2)))/(AK350*AB350*AE350)</f>
        <v>#VALUE!</v>
      </c>
      <c r="AG350" s="207" t="str">
        <f aca="false">IF($A351="","",Summary!$Q$7)</f>
        <v/>
      </c>
      <c r="AH350" s="207" t="str">
        <f aca="false">IF($A351="","",IF(Summary!$R$7="Y",(VLOOKUP($A350,Summary!$AD$6:$AF$9,3)+'Escalating commodity'!C363),'Escalating commodity'!C363))</f>
        <v/>
      </c>
      <c r="AI350" s="207" t="str">
        <f aca="false">IF($A351="","",AH350)</f>
        <v/>
      </c>
      <c r="AJ350" s="208" t="e">
        <f aca="false">A350+DAY(EOMONTH(A350,0))/2-1</f>
        <v>#VALUE!</v>
      </c>
      <c r="AK350" s="209" t="str">
        <f aca="false">IF($A351="","",$A350-$E$1)</f>
        <v/>
      </c>
      <c r="AL350" s="182" t="str">
        <f aca="false">IF($A351="","",SPRDOPT(P350,X350,AI350,0,AB350,AE350,AF350,AK350,$AJ$2,0))</f>
        <v/>
      </c>
      <c r="AM350" s="210" t="str">
        <f aca="false">IF($A351="","",MAX(0,O350-W350-AI350))</f>
        <v/>
      </c>
      <c r="AN350" s="211" t="str">
        <f aca="false">IF($A351="","",AL350-AM350)</f>
        <v/>
      </c>
      <c r="AO350" s="137" t="str">
        <f aca="false">IF(A351="","",A351-A350)</f>
        <v/>
      </c>
      <c r="AP350" s="212" t="str">
        <f aca="false">IF(A351="","",CHOOSE(F$3,A351+24,A350))</f>
        <v/>
      </c>
      <c r="AQ350" s="209" t="str">
        <f aca="false">IF(A351="","",AP350-$E$1)</f>
        <v/>
      </c>
      <c r="AR350" s="185" t="n">
        <f aca="false">IF(Summary!$H$2=1,VLOOKUP('ANR OK vs ML7'!A350,Curves!$C$17:$AR$273,MATCH('ANR OK vs ML7'!$AR$4,Curves!$C$8:$AQ$8,0)),0.1)</f>
        <v>0.1</v>
      </c>
      <c r="AS350" s="213" t="str">
        <f aca="false">IF(A351="","",1/(1+CHOOSE(F$3,(AR351+($I$3/10000))/2,(AR350+($I$3/10000))/2))^(2*AQ350/365.25))</f>
        <v/>
      </c>
      <c r="AT350" s="137" t="str">
        <f aca="false">IF(A351="","",IF(AND(mthbeg&lt;=A350,mthend&gt;=A350),1,0))</f>
        <v/>
      </c>
      <c r="AU350" s="137" t="str">
        <f aca="false">IF(A351="","",AO350*AT350)</f>
        <v/>
      </c>
      <c r="AW350" s="195" t="str">
        <f aca="false">IF($A351="","",AL350*$E350)</f>
        <v/>
      </c>
      <c r="AX350" s="195" t="str">
        <f aca="false">IF($A351="","",AM350*$E350)</f>
        <v/>
      </c>
      <c r="AY350" s="195" t="str">
        <f aca="false">IF($A351="","",AN350*$E350)</f>
        <v/>
      </c>
      <c r="BA350" s="195" t="str">
        <f aca="false">IF($A351="","",F350*Summary!$Q$7)</f>
        <v/>
      </c>
    </row>
    <row r="351" customFormat="false" ht="12" hidden="false" customHeight="true" outlineLevel="0" collapsed="false">
      <c r="A351" s="196" t="str">
        <f aca="false">IF(A350&lt;mthend,EDATE(A350,1),"")</f>
        <v/>
      </c>
      <c r="B351" s="197" t="str">
        <f aca="false">IF(A351&lt;mthend,B350,"")</f>
        <v/>
      </c>
      <c r="C351" s="215"/>
      <c r="D351" s="197" t="str">
        <f aca="false">IF(A352&lt;&gt;"",B351+C351,"")</f>
        <v/>
      </c>
      <c r="E351" s="199" t="str">
        <f aca="false">IF(A352="","",IF(AND(AT351=1,$H$3=1),D351*AO351,IF($H$3=2,D351,"N/A")))</f>
        <v/>
      </c>
      <c r="F351" s="199" t="str">
        <f aca="false">IF(A352="","",E351*AS351)</f>
        <v/>
      </c>
      <c r="G351" s="200" t="str">
        <f aca="false">IF($A352="","",VLOOKUP($A351,Table,MATCH(G$4,Curves,0)))</f>
        <v/>
      </c>
      <c r="H351" s="201" t="str">
        <f aca="false">IF(A352="","",G351)</f>
        <v/>
      </c>
      <c r="I351" s="202"/>
      <c r="J351" s="200" t="str">
        <f aca="false">IF($A352="","",VLOOKUP($A351,Table,MATCH(J$4,Curves,0)))</f>
        <v/>
      </c>
      <c r="K351" s="201" t="str">
        <f aca="false">IF(A352="","",J351)</f>
        <v/>
      </c>
      <c r="L351" s="200" t="str">
        <f aca="false">IF($A352="","",VLOOKUP($A351,Table,MATCH(L$4,Curves,0)))</f>
        <v/>
      </c>
      <c r="M351" s="201" t="str">
        <f aca="false">IF(A352="","",L351)</f>
        <v/>
      </c>
      <c r="N351" s="203"/>
      <c r="O351" s="200" t="str">
        <f aca="false">IF(A352="","",L351+J351+G351)</f>
        <v/>
      </c>
      <c r="P351" s="200" t="str">
        <f aca="false">IF(A352="","",M351+K351+H351)</f>
        <v/>
      </c>
      <c r="Q351" s="204"/>
      <c r="R351" s="200" t="str">
        <f aca="false">IF($A352="","",VLOOKUP($A351,Table,MATCH(R$4,Curves,0)))</f>
        <v/>
      </c>
      <c r="S351" s="201" t="str">
        <f aca="false">IF(A352="","",R351)</f>
        <v/>
      </c>
      <c r="T351" s="200" t="str">
        <f aca="false">IF($A352="","",VLOOKUP($A351,Table,MATCH(T$4,Curves,0)))</f>
        <v/>
      </c>
      <c r="U351" s="201" t="str">
        <f aca="false">IF(A352="","",T351)</f>
        <v/>
      </c>
      <c r="V351" s="183" t="str">
        <f aca="false">IF($A352="","",IF(AND(MONTH(A351)&gt;3,MONTH(A351)&lt;11),(T351+R351+G351)*Summary!$T$7/(1-Summary!$T$7),(T351+R351+G351)*Summary!$U$7/(1-Summary!$U$7)))</f>
        <v/>
      </c>
      <c r="W351" s="200" t="str">
        <f aca="false">IF($A352="","",(T351+R351+G351+V351))</f>
        <v/>
      </c>
      <c r="X351" s="200" t="str">
        <f aca="false">IF($A352="","",(U351+S351+H351+V351))</f>
        <v/>
      </c>
      <c r="Y351" s="202"/>
      <c r="Z351" s="185" t="str">
        <f aca="false">IF($A352="","",VLOOKUP($A351,Table,MATCH(Z$4,Curves,0)))</f>
        <v/>
      </c>
      <c r="AA351" s="185" t="str">
        <f aca="false">IF($A352="","",VLOOKUP($A351,Table,MATCH(AA$4,Curves,0)))</f>
        <v/>
      </c>
      <c r="AB351" s="185" t="e">
        <f aca="false">SQRT((AA351^2*(A351-$D$3)+Z351^2*(DAY(EOMONTH(A351,0))/2))/AK351)</f>
        <v>#VALUE!</v>
      </c>
      <c r="AC351" s="185" t="str">
        <f aca="false">IF($A352="","",VLOOKUP($A351,Table,MATCH(AC$4,Curves,0)))</f>
        <v/>
      </c>
      <c r="AD351" s="185" t="str">
        <f aca="false">IF($A352="","",VLOOKUP($A351,Table,MATCH(AD$4,Curves,0)))</f>
        <v/>
      </c>
      <c r="AE351" s="185" t="e">
        <f aca="false">SQRT((AD351^2*(A351-$D$3)+AC351^2*(DAY(EOMONTH(A351,0))/2))/AK351)</f>
        <v>#VALUE!</v>
      </c>
      <c r="AF351" s="206" t="e">
        <f aca="false">((Summary!$N$7*(AA351*AD351)*(A351-$D$3))+(Summary!$M$7*Z351*AC351*(DAY(EOMONTH(A351,0))/2)))/(AK351*AB351*AE351)</f>
        <v>#VALUE!</v>
      </c>
      <c r="AG351" s="207" t="str">
        <f aca="false">IF($A352="","",Summary!$Q$7)</f>
        <v/>
      </c>
      <c r="AH351" s="207" t="str">
        <f aca="false">IF($A352="","",IF(Summary!$R$7="Y",(VLOOKUP($A351,Summary!$AD$6:$AF$9,3)+'Escalating commodity'!C364),'Escalating commodity'!C364))</f>
        <v/>
      </c>
      <c r="AI351" s="207" t="str">
        <f aca="false">IF($A352="","",AH351)</f>
        <v/>
      </c>
      <c r="AJ351" s="208" t="e">
        <f aca="false">A351+DAY(EOMONTH(A351,0))/2-1</f>
        <v>#VALUE!</v>
      </c>
      <c r="AK351" s="209" t="str">
        <f aca="false">IF($A352="","",$A351-$E$1)</f>
        <v/>
      </c>
      <c r="AL351" s="182" t="str">
        <f aca="false">IF($A352="","",SPRDOPT(P351,X351,AI351,0,AB351,AE351,AF351,AK351,$AJ$2,0))</f>
        <v/>
      </c>
      <c r="AM351" s="210" t="str">
        <f aca="false">IF($A352="","",MAX(0,O351-W351-AI351))</f>
        <v/>
      </c>
      <c r="AN351" s="211" t="str">
        <f aca="false">IF($A352="","",AL351-AM351)</f>
        <v/>
      </c>
      <c r="AO351" s="137" t="str">
        <f aca="false">IF(A352="","",A352-A351)</f>
        <v/>
      </c>
      <c r="AP351" s="212" t="str">
        <f aca="false">IF(A352="","",CHOOSE(F$3,A352+24,A351))</f>
        <v/>
      </c>
      <c r="AQ351" s="209" t="str">
        <f aca="false">IF(A352="","",AP351-$E$1)</f>
        <v/>
      </c>
      <c r="AR351" s="185" t="n">
        <f aca="false">IF(Summary!$H$2=1,VLOOKUP('ANR OK vs ML7'!A351,Curves!$C$17:$AR$273,MATCH('ANR OK vs ML7'!$AR$4,Curves!$C$8:$AQ$8,0)),0.1)</f>
        <v>0.1</v>
      </c>
      <c r="AS351" s="213" t="str">
        <f aca="false">IF(A352="","",1/(1+CHOOSE(F$3,(AR352+($I$3/10000))/2,(AR351+($I$3/10000))/2))^(2*AQ351/365.25))</f>
        <v/>
      </c>
      <c r="AT351" s="137" t="str">
        <f aca="false">IF(A352="","",IF(AND(mthbeg&lt;=A351,mthend&gt;=A351),1,0))</f>
        <v/>
      </c>
      <c r="AU351" s="137" t="str">
        <f aca="false">IF(A352="","",AO351*AT351)</f>
        <v/>
      </c>
      <c r="AW351" s="195" t="str">
        <f aca="false">IF($A352="","",AL351*$E351)</f>
        <v/>
      </c>
      <c r="AX351" s="195" t="str">
        <f aca="false">IF($A352="","",AM351*$E351)</f>
        <v/>
      </c>
      <c r="AY351" s="195" t="str">
        <f aca="false">IF($A352="","",AN351*$E351)</f>
        <v/>
      </c>
      <c r="BA351" s="195" t="str">
        <f aca="false">IF($A352="","",F351*Summary!$Q$7)</f>
        <v/>
      </c>
    </row>
    <row r="352" customFormat="false" ht="12" hidden="false" customHeight="true" outlineLevel="0" collapsed="false">
      <c r="A352" s="196" t="str">
        <f aca="false">IF(A351&lt;mthend,EDATE(A351,1),"")</f>
        <v/>
      </c>
      <c r="B352" s="197" t="str">
        <f aca="false">IF(A352&lt;mthend,B351,"")</f>
        <v/>
      </c>
      <c r="C352" s="215"/>
      <c r="D352" s="197" t="str">
        <f aca="false">IF(A353&lt;&gt;"",B352+C352,"")</f>
        <v/>
      </c>
      <c r="E352" s="199" t="str">
        <f aca="false">IF(A353="","",IF(AND(AT352=1,$H$3=1),D352*AO352,IF($H$3=2,D352,"N/A")))</f>
        <v/>
      </c>
      <c r="F352" s="199" t="str">
        <f aca="false">IF(A353="","",E352*AS352)</f>
        <v/>
      </c>
      <c r="G352" s="200" t="str">
        <f aca="false">IF($A353="","",VLOOKUP($A352,Table,MATCH(G$4,Curves,0)))</f>
        <v/>
      </c>
      <c r="H352" s="201" t="str">
        <f aca="false">IF(A353="","",G352)</f>
        <v/>
      </c>
      <c r="I352" s="202"/>
      <c r="J352" s="200" t="str">
        <f aca="false">IF($A353="","",VLOOKUP($A352,Table,MATCH(J$4,Curves,0)))</f>
        <v/>
      </c>
      <c r="K352" s="201" t="str">
        <f aca="false">IF(A353="","",J352)</f>
        <v/>
      </c>
      <c r="L352" s="200" t="str">
        <f aca="false">IF($A353="","",VLOOKUP($A352,Table,MATCH(L$4,Curves,0)))</f>
        <v/>
      </c>
      <c r="M352" s="201" t="str">
        <f aca="false">IF(A353="","",L352)</f>
        <v/>
      </c>
      <c r="N352" s="203"/>
      <c r="O352" s="200" t="str">
        <f aca="false">IF(A353="","",L352+J352+G352)</f>
        <v/>
      </c>
      <c r="P352" s="200" t="str">
        <f aca="false">IF(A353="","",M352+K352+H352)</f>
        <v/>
      </c>
      <c r="Q352" s="204"/>
      <c r="R352" s="200" t="str">
        <f aca="false">IF($A353="","",VLOOKUP($A352,Table,MATCH(R$4,Curves,0)))</f>
        <v/>
      </c>
      <c r="S352" s="201" t="str">
        <f aca="false">IF(A353="","",R352)</f>
        <v/>
      </c>
      <c r="T352" s="200" t="str">
        <f aca="false">IF($A353="","",VLOOKUP($A352,Table,MATCH(T$4,Curves,0)))</f>
        <v/>
      </c>
      <c r="U352" s="201" t="str">
        <f aca="false">IF(A353="","",T352)</f>
        <v/>
      </c>
      <c r="V352" s="183" t="str">
        <f aca="false">IF($A353="","",IF(AND(MONTH(A352)&gt;3,MONTH(A352)&lt;11),(T352+R352+G352)*Summary!$T$7/(1-Summary!$T$7),(T352+R352+G352)*Summary!$U$7/(1-Summary!$U$7)))</f>
        <v/>
      </c>
      <c r="W352" s="200" t="str">
        <f aca="false">IF($A353="","",(T352+R352+G352+V352))</f>
        <v/>
      </c>
      <c r="X352" s="200" t="str">
        <f aca="false">IF($A353="","",(U352+S352+H352+V352))</f>
        <v/>
      </c>
      <c r="Y352" s="202"/>
      <c r="Z352" s="185" t="str">
        <f aca="false">IF($A353="","",VLOOKUP($A352,Table,MATCH(Z$4,Curves,0)))</f>
        <v/>
      </c>
      <c r="AA352" s="185" t="str">
        <f aca="false">IF($A353="","",VLOOKUP($A352,Table,MATCH(AA$4,Curves,0)))</f>
        <v/>
      </c>
      <c r="AB352" s="185" t="e">
        <f aca="false">SQRT((AA352^2*(A352-$D$3)+Z352^2*(DAY(EOMONTH(A352,0))/2))/AK352)</f>
        <v>#VALUE!</v>
      </c>
      <c r="AC352" s="185" t="str">
        <f aca="false">IF($A353="","",VLOOKUP($A352,Table,MATCH(AC$4,Curves,0)))</f>
        <v/>
      </c>
      <c r="AD352" s="185" t="str">
        <f aca="false">IF($A353="","",VLOOKUP($A352,Table,MATCH(AD$4,Curves,0)))</f>
        <v/>
      </c>
      <c r="AE352" s="185" t="e">
        <f aca="false">SQRT((AD352^2*(A352-$D$3)+AC352^2*(DAY(EOMONTH(A352,0))/2))/AK352)</f>
        <v>#VALUE!</v>
      </c>
      <c r="AF352" s="206" t="e">
        <f aca="false">((Summary!$N$7*(AA352*AD352)*(A352-$D$3))+(Summary!$M$7*Z352*AC352*(DAY(EOMONTH(A352,0))/2)))/(AK352*AB352*AE352)</f>
        <v>#VALUE!</v>
      </c>
      <c r="AG352" s="207" t="str">
        <f aca="false">IF($A353="","",Summary!$Q$7)</f>
        <v/>
      </c>
      <c r="AH352" s="207" t="str">
        <f aca="false">IF($A353="","",IF(Summary!$R$7="Y",(VLOOKUP($A352,Summary!$AD$6:$AF$9,3)+'Escalating commodity'!C365),'Escalating commodity'!C365))</f>
        <v/>
      </c>
      <c r="AI352" s="207" t="str">
        <f aca="false">IF($A353="","",AH352)</f>
        <v/>
      </c>
      <c r="AJ352" s="208" t="e">
        <f aca="false">A352+DAY(EOMONTH(A352,0))/2-1</f>
        <v>#VALUE!</v>
      </c>
      <c r="AK352" s="209" t="str">
        <f aca="false">IF($A353="","",$A352-$E$1)</f>
        <v/>
      </c>
      <c r="AL352" s="182" t="str">
        <f aca="false">IF($A353="","",SPRDOPT(P352,X352,AI352,0,AB352,AE352,AF352,AK352,$AJ$2,0))</f>
        <v/>
      </c>
      <c r="AM352" s="210" t="str">
        <f aca="false">IF($A353="","",MAX(0,O352-W352-AI352))</f>
        <v/>
      </c>
      <c r="AN352" s="211" t="str">
        <f aca="false">IF($A353="","",AL352-AM352)</f>
        <v/>
      </c>
      <c r="AO352" s="137" t="str">
        <f aca="false">IF(A353="","",A353-A352)</f>
        <v/>
      </c>
      <c r="AP352" s="212" t="str">
        <f aca="false">IF(A353="","",CHOOSE(F$3,A353+24,A352))</f>
        <v/>
      </c>
      <c r="AQ352" s="209" t="str">
        <f aca="false">IF(A353="","",AP352-$E$1)</f>
        <v/>
      </c>
      <c r="AR352" s="185" t="n">
        <f aca="false">IF(Summary!$H$2=1,VLOOKUP('ANR OK vs ML7'!A352,Curves!$C$17:$AR$273,MATCH('ANR OK vs ML7'!$AR$4,Curves!$C$8:$AQ$8,0)),0.1)</f>
        <v>0.1</v>
      </c>
      <c r="AS352" s="213" t="str">
        <f aca="false">IF(A353="","",1/(1+CHOOSE(F$3,(AR353+($I$3/10000))/2,(AR352+($I$3/10000))/2))^(2*AQ352/365.25))</f>
        <v/>
      </c>
      <c r="AT352" s="137" t="str">
        <f aca="false">IF(A353="","",IF(AND(mthbeg&lt;=A352,mthend&gt;=A352),1,0))</f>
        <v/>
      </c>
      <c r="AU352" s="137" t="str">
        <f aca="false">IF(A353="","",AO352*AT352)</f>
        <v/>
      </c>
      <c r="AW352" s="195" t="str">
        <f aca="false">IF($A353="","",AL352*$E352)</f>
        <v/>
      </c>
      <c r="AX352" s="195" t="str">
        <f aca="false">IF($A353="","",AM352*$E352)</f>
        <v/>
      </c>
      <c r="AY352" s="195" t="str">
        <f aca="false">IF($A353="","",AN352*$E352)</f>
        <v/>
      </c>
      <c r="BA352" s="195" t="str">
        <f aca="false">IF($A353="","",F352*Summary!$Q$7)</f>
        <v/>
      </c>
    </row>
    <row r="353" customFormat="false" ht="12" hidden="false" customHeight="true" outlineLevel="0" collapsed="false">
      <c r="A353" s="196" t="str">
        <f aca="false">IF(A352&lt;mthend,EDATE(A352,1),"")</f>
        <v/>
      </c>
      <c r="B353" s="197" t="str">
        <f aca="false">IF(A353&lt;mthend,B352,"")</f>
        <v/>
      </c>
      <c r="C353" s="215"/>
      <c r="D353" s="197" t="str">
        <f aca="false">IF(A354&lt;&gt;"",B353+C353,"")</f>
        <v/>
      </c>
      <c r="E353" s="199" t="str">
        <f aca="false">IF(A354="","",IF(AND(AT353=1,$H$3=1),D353*AO353,IF($H$3=2,D353,"N/A")))</f>
        <v/>
      </c>
      <c r="F353" s="199" t="str">
        <f aca="false">IF(A354="","",E353*AS353)</f>
        <v/>
      </c>
      <c r="G353" s="200" t="str">
        <f aca="false">IF($A354="","",VLOOKUP($A353,Table,MATCH(G$4,Curves,0)))</f>
        <v/>
      </c>
      <c r="H353" s="201" t="str">
        <f aca="false">IF(A354="","",G353)</f>
        <v/>
      </c>
      <c r="I353" s="202"/>
      <c r="J353" s="200" t="str">
        <f aca="false">IF($A354="","",VLOOKUP($A353,Table,MATCH(J$4,Curves,0)))</f>
        <v/>
      </c>
      <c r="K353" s="201" t="str">
        <f aca="false">IF(A354="","",J353)</f>
        <v/>
      </c>
      <c r="L353" s="200" t="str">
        <f aca="false">IF($A354="","",VLOOKUP($A353,Table,MATCH(L$4,Curves,0)))</f>
        <v/>
      </c>
      <c r="M353" s="201" t="str">
        <f aca="false">IF(A354="","",L353)</f>
        <v/>
      </c>
      <c r="N353" s="203"/>
      <c r="O353" s="200" t="str">
        <f aca="false">IF(A354="","",L353+J353+G353)</f>
        <v/>
      </c>
      <c r="P353" s="200" t="str">
        <f aca="false">IF(A354="","",M353+K353+H353)</f>
        <v/>
      </c>
      <c r="Q353" s="204"/>
      <c r="R353" s="200" t="str">
        <f aca="false">IF($A354="","",VLOOKUP($A353,Table,MATCH(R$4,Curves,0)))</f>
        <v/>
      </c>
      <c r="S353" s="201" t="str">
        <f aca="false">IF(A354="","",R353)</f>
        <v/>
      </c>
      <c r="T353" s="200" t="str">
        <f aca="false">IF($A354="","",VLOOKUP($A353,Table,MATCH(T$4,Curves,0)))</f>
        <v/>
      </c>
      <c r="U353" s="201" t="str">
        <f aca="false">IF(A354="","",T353)</f>
        <v/>
      </c>
      <c r="V353" s="183" t="str">
        <f aca="false">IF($A354="","",IF(AND(MONTH(A353)&gt;3,MONTH(A353)&lt;11),(T353+R353+G353)*Summary!$T$7/(1-Summary!$T$7),(T353+R353+G353)*Summary!$U$7/(1-Summary!$U$7)))</f>
        <v/>
      </c>
      <c r="W353" s="200" t="str">
        <f aca="false">IF($A354="","",(T353+R353+G353+V353))</f>
        <v/>
      </c>
      <c r="X353" s="200" t="str">
        <f aca="false">IF($A354="","",(U353+S353+H353+V353))</f>
        <v/>
      </c>
      <c r="Y353" s="202"/>
      <c r="Z353" s="185" t="str">
        <f aca="false">IF($A354="","",VLOOKUP($A353,Table,MATCH(Z$4,Curves,0)))</f>
        <v/>
      </c>
      <c r="AA353" s="185" t="str">
        <f aca="false">IF($A354="","",VLOOKUP($A353,Table,MATCH(AA$4,Curves,0)))</f>
        <v/>
      </c>
      <c r="AB353" s="185" t="e">
        <f aca="false">SQRT((AA353^2*(A353-$D$3)+Z353^2*(DAY(EOMONTH(A353,0))/2))/AK353)</f>
        <v>#VALUE!</v>
      </c>
      <c r="AC353" s="185" t="str">
        <f aca="false">IF($A354="","",VLOOKUP($A353,Table,MATCH(AC$4,Curves,0)))</f>
        <v/>
      </c>
      <c r="AD353" s="185" t="str">
        <f aca="false">IF($A354="","",VLOOKUP($A353,Table,MATCH(AD$4,Curves,0)))</f>
        <v/>
      </c>
      <c r="AE353" s="185" t="e">
        <f aca="false">SQRT((AD353^2*(A353-$D$3)+AC353^2*(DAY(EOMONTH(A353,0))/2))/AK353)</f>
        <v>#VALUE!</v>
      </c>
      <c r="AF353" s="206" t="e">
        <f aca="false">((Summary!$N$7*(AA353*AD353)*(A353-$D$3))+(Summary!$M$7*Z353*AC353*(DAY(EOMONTH(A353,0))/2)))/(AK353*AB353*AE353)</f>
        <v>#VALUE!</v>
      </c>
      <c r="AG353" s="207" t="str">
        <f aca="false">IF($A354="","",Summary!$Q$7)</f>
        <v/>
      </c>
      <c r="AH353" s="207" t="str">
        <f aca="false">IF($A354="","",IF(Summary!$R$7="Y",(VLOOKUP($A353,Summary!$AD$6:$AF$9,3)+'Escalating commodity'!C366),'Escalating commodity'!C366))</f>
        <v/>
      </c>
      <c r="AI353" s="207" t="str">
        <f aca="false">IF($A354="","",AH353)</f>
        <v/>
      </c>
      <c r="AJ353" s="208" t="e">
        <f aca="false">A353+DAY(EOMONTH(A353,0))/2-1</f>
        <v>#VALUE!</v>
      </c>
      <c r="AK353" s="209" t="str">
        <f aca="false">IF($A354="","",$A353-$E$1)</f>
        <v/>
      </c>
      <c r="AL353" s="182" t="str">
        <f aca="false">IF($A354="","",SPRDOPT(P353,X353,AI353,0,AB353,AE353,AF353,AK353,$AJ$2,0))</f>
        <v/>
      </c>
      <c r="AM353" s="210" t="str">
        <f aca="false">IF($A354="","",MAX(0,O353-W353-AI353))</f>
        <v/>
      </c>
      <c r="AN353" s="211" t="str">
        <f aca="false">IF($A354="","",AL353-AM353)</f>
        <v/>
      </c>
      <c r="AO353" s="137" t="str">
        <f aca="false">IF(A354="","",A354-A353)</f>
        <v/>
      </c>
      <c r="AP353" s="212" t="str">
        <f aca="false">IF(A354="","",CHOOSE(F$3,A354+24,A353))</f>
        <v/>
      </c>
      <c r="AQ353" s="209" t="str">
        <f aca="false">IF(A354="","",AP353-$E$1)</f>
        <v/>
      </c>
      <c r="AR353" s="185" t="n">
        <f aca="false">IF(Summary!$H$2=1,VLOOKUP('ANR OK vs ML7'!A353,Curves!$C$17:$AR$273,MATCH('ANR OK vs ML7'!$AR$4,Curves!$C$8:$AQ$8,0)),0.1)</f>
        <v>0.1</v>
      </c>
      <c r="AS353" s="213" t="str">
        <f aca="false">IF(A354="","",1/(1+CHOOSE(F$3,(AR354+($I$3/10000))/2,(AR353+($I$3/10000))/2))^(2*AQ353/365.25))</f>
        <v/>
      </c>
      <c r="AT353" s="137" t="str">
        <f aca="false">IF(A354="","",IF(AND(mthbeg&lt;=A353,mthend&gt;=A353),1,0))</f>
        <v/>
      </c>
      <c r="AU353" s="137" t="str">
        <f aca="false">IF(A354="","",AO353*AT353)</f>
        <v/>
      </c>
      <c r="AW353" s="195" t="str">
        <f aca="false">IF($A354="","",AL353*$E353)</f>
        <v/>
      </c>
      <c r="AX353" s="195" t="str">
        <f aca="false">IF($A354="","",AM353*$E353)</f>
        <v/>
      </c>
      <c r="AY353" s="195" t="str">
        <f aca="false">IF($A354="","",AN353*$E353)</f>
        <v/>
      </c>
      <c r="BA353" s="195" t="str">
        <f aca="false">IF($A354="","",F353*Summary!$Q$7)</f>
        <v/>
      </c>
    </row>
    <row r="354" customFormat="false" ht="12" hidden="false" customHeight="true" outlineLevel="0" collapsed="false">
      <c r="A354" s="196" t="str">
        <f aca="false">IF(A353&lt;mthend,EDATE(A353,1),"")</f>
        <v/>
      </c>
      <c r="B354" s="197" t="str">
        <f aca="false">IF(A354&lt;mthend,B353,"")</f>
        <v/>
      </c>
      <c r="C354" s="215"/>
      <c r="D354" s="197" t="str">
        <f aca="false">IF(A355&lt;&gt;"",B354+C354,"")</f>
        <v/>
      </c>
      <c r="E354" s="199" t="str">
        <f aca="false">IF(A355="","",IF(AND(AT354=1,$H$3=1),D354*AO354,IF($H$3=2,D354,"N/A")))</f>
        <v/>
      </c>
      <c r="F354" s="199" t="str">
        <f aca="false">IF(A355="","",E354*AS354)</f>
        <v/>
      </c>
      <c r="G354" s="200" t="str">
        <f aca="false">IF($A355="","",VLOOKUP($A354,Table,MATCH(G$4,Curves,0)))</f>
        <v/>
      </c>
      <c r="H354" s="201" t="str">
        <f aca="false">IF(A355="","",G354)</f>
        <v/>
      </c>
      <c r="I354" s="202"/>
      <c r="J354" s="200" t="str">
        <f aca="false">IF($A355="","",VLOOKUP($A354,Table,MATCH(J$4,Curves,0)))</f>
        <v/>
      </c>
      <c r="K354" s="201" t="str">
        <f aca="false">IF(A355="","",J354)</f>
        <v/>
      </c>
      <c r="L354" s="200" t="str">
        <f aca="false">IF($A355="","",VLOOKUP($A354,Table,MATCH(L$4,Curves,0)))</f>
        <v/>
      </c>
      <c r="M354" s="201" t="str">
        <f aca="false">IF(A355="","",L354)</f>
        <v/>
      </c>
      <c r="N354" s="203"/>
      <c r="O354" s="200" t="str">
        <f aca="false">IF(A355="","",L354+J354+G354)</f>
        <v/>
      </c>
      <c r="P354" s="200" t="str">
        <f aca="false">IF(A355="","",M354+K354+H354)</f>
        <v/>
      </c>
      <c r="Q354" s="204"/>
      <c r="R354" s="200" t="str">
        <f aca="false">IF($A355="","",VLOOKUP($A354,Table,MATCH(R$4,Curves,0)))</f>
        <v/>
      </c>
      <c r="S354" s="201" t="str">
        <f aca="false">IF(A355="","",R354)</f>
        <v/>
      </c>
      <c r="T354" s="200" t="str">
        <f aca="false">IF($A355="","",VLOOKUP($A354,Table,MATCH(T$4,Curves,0)))</f>
        <v/>
      </c>
      <c r="U354" s="201" t="str">
        <f aca="false">IF(A355="","",T354)</f>
        <v/>
      </c>
      <c r="V354" s="183" t="str">
        <f aca="false">IF($A355="","",IF(AND(MONTH(A354)&gt;3,MONTH(A354)&lt;11),(T354+R354+G354)*Summary!$T$7/(1-Summary!$T$7),(T354+R354+G354)*Summary!$U$7/(1-Summary!$U$7)))</f>
        <v/>
      </c>
      <c r="W354" s="200" t="str">
        <f aca="false">IF($A355="","",(T354+R354+G354+V354))</f>
        <v/>
      </c>
      <c r="X354" s="200" t="str">
        <f aca="false">IF($A355="","",(U354+S354+H354+V354))</f>
        <v/>
      </c>
      <c r="Y354" s="202"/>
      <c r="Z354" s="185" t="str">
        <f aca="false">IF($A355="","",VLOOKUP($A354,Table,MATCH(Z$4,Curves,0)))</f>
        <v/>
      </c>
      <c r="AA354" s="185" t="str">
        <f aca="false">IF($A355="","",VLOOKUP($A354,Table,MATCH(AA$4,Curves,0)))</f>
        <v/>
      </c>
      <c r="AB354" s="185" t="e">
        <f aca="false">SQRT((AA354^2*(A354-$D$3)+Z354^2*(DAY(EOMONTH(A354,0))/2))/AK354)</f>
        <v>#VALUE!</v>
      </c>
      <c r="AC354" s="185" t="str">
        <f aca="false">IF($A355="","",VLOOKUP($A354,Table,MATCH(AC$4,Curves,0)))</f>
        <v/>
      </c>
      <c r="AD354" s="185" t="str">
        <f aca="false">IF($A355="","",VLOOKUP($A354,Table,MATCH(AD$4,Curves,0)))</f>
        <v/>
      </c>
      <c r="AE354" s="185" t="e">
        <f aca="false">SQRT((AD354^2*(A354-$D$3)+AC354^2*(DAY(EOMONTH(A354,0))/2))/AK354)</f>
        <v>#VALUE!</v>
      </c>
      <c r="AF354" s="206" t="e">
        <f aca="false">((Summary!$N$7*(AA354*AD354)*(A354-$D$3))+(Summary!$M$7*Z354*AC354*(DAY(EOMONTH(A354,0))/2)))/(AK354*AB354*AE354)</f>
        <v>#VALUE!</v>
      </c>
      <c r="AG354" s="207" t="str">
        <f aca="false">IF($A355="","",Summary!$Q$7)</f>
        <v/>
      </c>
      <c r="AH354" s="207" t="str">
        <f aca="false">IF($A355="","",IF(Summary!$R$7="Y",(VLOOKUP($A354,Summary!$AD$6:$AF$9,3)+'Escalating commodity'!C367),'Escalating commodity'!C367))</f>
        <v/>
      </c>
      <c r="AI354" s="207" t="str">
        <f aca="false">IF($A355="","",AH354)</f>
        <v/>
      </c>
      <c r="AJ354" s="208" t="e">
        <f aca="false">A354+DAY(EOMONTH(A354,0))/2-1</f>
        <v>#VALUE!</v>
      </c>
      <c r="AK354" s="209" t="str">
        <f aca="false">IF($A355="","",$A354-$E$1)</f>
        <v/>
      </c>
      <c r="AL354" s="182" t="str">
        <f aca="false">IF($A355="","",SPRDOPT(P354,X354,AI354,0,AB354,AE354,AF354,AK354,$AJ$2,0))</f>
        <v/>
      </c>
      <c r="AM354" s="210" t="str">
        <f aca="false">IF($A355="","",MAX(0,O354-W354-AI354))</f>
        <v/>
      </c>
      <c r="AN354" s="211" t="str">
        <f aca="false">IF($A355="","",AL354-AM354)</f>
        <v/>
      </c>
      <c r="AO354" s="137" t="str">
        <f aca="false">IF(A355="","",A355-A354)</f>
        <v/>
      </c>
      <c r="AP354" s="212" t="str">
        <f aca="false">IF(A355="","",CHOOSE(F$3,A355+24,A354))</f>
        <v/>
      </c>
      <c r="AQ354" s="209" t="str">
        <f aca="false">IF(A355="","",AP354-$E$1)</f>
        <v/>
      </c>
      <c r="AR354" s="185" t="n">
        <f aca="false">IF(Summary!$H$2=1,VLOOKUP('ANR OK vs ML7'!A354,Curves!$C$17:$AR$273,MATCH('ANR OK vs ML7'!$AR$4,Curves!$C$8:$AQ$8,0)),0.1)</f>
        <v>0.1</v>
      </c>
      <c r="AS354" s="213" t="str">
        <f aca="false">IF(A355="","",1/(1+CHOOSE(F$3,(AR355+($I$3/10000))/2,(AR354+($I$3/10000))/2))^(2*AQ354/365.25))</f>
        <v/>
      </c>
      <c r="AT354" s="137" t="str">
        <f aca="false">IF(A355="","",IF(AND(mthbeg&lt;=A354,mthend&gt;=A354),1,0))</f>
        <v/>
      </c>
      <c r="AU354" s="137" t="str">
        <f aca="false">IF(A355="","",AO354*AT354)</f>
        <v/>
      </c>
      <c r="AW354" s="195" t="str">
        <f aca="false">IF($A355="","",AL354*$E354)</f>
        <v/>
      </c>
      <c r="AX354" s="195" t="str">
        <f aca="false">IF($A355="","",AM354*$E354)</f>
        <v/>
      </c>
      <c r="AY354" s="195" t="str">
        <f aca="false">IF($A355="","",AN354*$E354)</f>
        <v/>
      </c>
      <c r="BA354" s="195" t="str">
        <f aca="false">IF($A355="","",F354*Summary!$Q$7)</f>
        <v/>
      </c>
    </row>
    <row r="355" customFormat="false" ht="12" hidden="false" customHeight="true" outlineLevel="0" collapsed="false">
      <c r="A355" s="196" t="str">
        <f aca="false">IF(A354&lt;mthend,EDATE(A354,1),"")</f>
        <v/>
      </c>
      <c r="B355" s="197" t="str">
        <f aca="false">IF(A355&lt;mthend,B354,"")</f>
        <v/>
      </c>
      <c r="C355" s="215"/>
      <c r="D355" s="197" t="str">
        <f aca="false">IF(A356&lt;&gt;"",B355+C355,"")</f>
        <v/>
      </c>
      <c r="E355" s="199" t="str">
        <f aca="false">IF(A356="","",IF(AND(AT355=1,$H$3=1),D355*AO355,IF($H$3=2,D355,"N/A")))</f>
        <v/>
      </c>
      <c r="F355" s="199" t="str">
        <f aca="false">IF(A356="","",E355*AS355)</f>
        <v/>
      </c>
      <c r="G355" s="200" t="str">
        <f aca="false">IF($A356="","",VLOOKUP($A355,Table,MATCH(G$4,Curves,0)))</f>
        <v/>
      </c>
      <c r="H355" s="201" t="str">
        <f aca="false">IF(A356="","",G355)</f>
        <v/>
      </c>
      <c r="I355" s="202"/>
      <c r="J355" s="200" t="str">
        <f aca="false">IF($A356="","",VLOOKUP($A355,Table,MATCH(J$4,Curves,0)))</f>
        <v/>
      </c>
      <c r="K355" s="201" t="str">
        <f aca="false">IF(A356="","",J355)</f>
        <v/>
      </c>
      <c r="L355" s="200" t="str">
        <f aca="false">IF($A356="","",VLOOKUP($A355,Table,MATCH(L$4,Curves,0)))</f>
        <v/>
      </c>
      <c r="M355" s="201" t="str">
        <f aca="false">IF(A356="","",L355)</f>
        <v/>
      </c>
      <c r="N355" s="203"/>
      <c r="O355" s="200" t="str">
        <f aca="false">IF(A356="","",L355+J355+G355)</f>
        <v/>
      </c>
      <c r="P355" s="200" t="str">
        <f aca="false">IF(A356="","",M355+K355+H355)</f>
        <v/>
      </c>
      <c r="Q355" s="204"/>
      <c r="R355" s="200" t="str">
        <f aca="false">IF($A356="","",VLOOKUP($A355,Table,MATCH(R$4,Curves,0)))</f>
        <v/>
      </c>
      <c r="S355" s="201" t="str">
        <f aca="false">IF(A356="","",R355)</f>
        <v/>
      </c>
      <c r="T355" s="200" t="str">
        <f aca="false">IF($A356="","",VLOOKUP($A355,Table,MATCH(T$4,Curves,0)))</f>
        <v/>
      </c>
      <c r="U355" s="201" t="str">
        <f aca="false">IF(A356="","",T355)</f>
        <v/>
      </c>
      <c r="V355" s="183" t="str">
        <f aca="false">IF($A356="","",IF(AND(MONTH(A355)&gt;3,MONTH(A355)&lt;11),(T355+R355+G355)*Summary!$T$7/(1-Summary!$T$7),(T355+R355+G355)*Summary!$U$7/(1-Summary!$U$7)))</f>
        <v/>
      </c>
      <c r="W355" s="200" t="str">
        <f aca="false">IF($A356="","",(T355+R355+G355+V355))</f>
        <v/>
      </c>
      <c r="X355" s="200" t="str">
        <f aca="false">IF($A356="","",(U355+S355+H355+V355))</f>
        <v/>
      </c>
      <c r="Y355" s="202"/>
      <c r="Z355" s="185" t="str">
        <f aca="false">IF($A356="","",VLOOKUP($A355,Table,MATCH(Z$4,Curves,0)))</f>
        <v/>
      </c>
      <c r="AA355" s="185" t="str">
        <f aca="false">IF($A356="","",VLOOKUP($A355,Table,MATCH(AA$4,Curves,0)))</f>
        <v/>
      </c>
      <c r="AB355" s="185" t="e">
        <f aca="false">SQRT((AA355^2*(A355-$D$3)+Z355^2*(DAY(EOMONTH(A355,0))/2))/AK355)</f>
        <v>#VALUE!</v>
      </c>
      <c r="AC355" s="185" t="str">
        <f aca="false">IF($A356="","",VLOOKUP($A355,Table,MATCH(AC$4,Curves,0)))</f>
        <v/>
      </c>
      <c r="AD355" s="185" t="str">
        <f aca="false">IF($A356="","",VLOOKUP($A355,Table,MATCH(AD$4,Curves,0)))</f>
        <v/>
      </c>
      <c r="AE355" s="185" t="e">
        <f aca="false">SQRT((AD355^2*(A355-$D$3)+AC355^2*(DAY(EOMONTH(A355,0))/2))/AK355)</f>
        <v>#VALUE!</v>
      </c>
      <c r="AF355" s="206" t="e">
        <f aca="false">((Summary!$N$7*(AA355*AD355)*(A355-$D$3))+(Summary!$M$7*Z355*AC355*(DAY(EOMONTH(A355,0))/2)))/(AK355*AB355*AE355)</f>
        <v>#VALUE!</v>
      </c>
      <c r="AG355" s="207" t="str">
        <f aca="false">IF($A356="","",Summary!$Q$7)</f>
        <v/>
      </c>
      <c r="AH355" s="207" t="str">
        <f aca="false">IF($A356="","",IF(Summary!$R$7="Y",(VLOOKUP($A355,Summary!$AD$6:$AF$9,3)+'Escalating commodity'!C368),'Escalating commodity'!C368))</f>
        <v/>
      </c>
      <c r="AI355" s="207" t="str">
        <f aca="false">IF($A356="","",AH355)</f>
        <v/>
      </c>
      <c r="AJ355" s="208" t="e">
        <f aca="false">A355+DAY(EOMONTH(A355,0))/2-1</f>
        <v>#VALUE!</v>
      </c>
      <c r="AK355" s="209" t="str">
        <f aca="false">IF($A356="","",$A355-$E$1)</f>
        <v/>
      </c>
      <c r="AL355" s="182" t="str">
        <f aca="false">IF($A356="","",SPRDOPT(P355,X355,AI355,0,AB355,AE355,AF355,AK355,$AJ$2,0))</f>
        <v/>
      </c>
      <c r="AM355" s="210" t="str">
        <f aca="false">IF($A356="","",MAX(0,O355-W355-AI355))</f>
        <v/>
      </c>
      <c r="AN355" s="211" t="str">
        <f aca="false">IF($A356="","",AL355-AM355)</f>
        <v/>
      </c>
      <c r="AO355" s="137" t="str">
        <f aca="false">IF(A356="","",A356-A355)</f>
        <v/>
      </c>
      <c r="AP355" s="212" t="str">
        <f aca="false">IF(A356="","",CHOOSE(F$3,A356+24,A355))</f>
        <v/>
      </c>
      <c r="AQ355" s="209" t="str">
        <f aca="false">IF(A356="","",AP355-$E$1)</f>
        <v/>
      </c>
      <c r="AR355" s="185" t="n">
        <f aca="false">IF(Summary!$H$2=1,VLOOKUP('ANR OK vs ML7'!A355,Curves!$C$17:$AR$273,MATCH('ANR OK vs ML7'!$AR$4,Curves!$C$8:$AQ$8,0)),0.1)</f>
        <v>0.1</v>
      </c>
      <c r="AS355" s="213" t="str">
        <f aca="false">IF(A356="","",1/(1+CHOOSE(F$3,(AR356+($I$3/10000))/2,(AR355+($I$3/10000))/2))^(2*AQ355/365.25))</f>
        <v/>
      </c>
      <c r="AT355" s="137" t="str">
        <f aca="false">IF(A356="","",IF(AND(mthbeg&lt;=A355,mthend&gt;=A355),1,0))</f>
        <v/>
      </c>
      <c r="AU355" s="137" t="str">
        <f aca="false">IF(A356="","",AO355*AT355)</f>
        <v/>
      </c>
      <c r="AW355" s="195" t="str">
        <f aca="false">IF($A356="","",AL355*$E355)</f>
        <v/>
      </c>
      <c r="AX355" s="195" t="str">
        <f aca="false">IF($A356="","",AM355*$E355)</f>
        <v/>
      </c>
      <c r="AY355" s="195" t="str">
        <f aca="false">IF($A356="","",AN355*$E355)</f>
        <v/>
      </c>
      <c r="BA355" s="195" t="str">
        <f aca="false">IF($A356="","",F355*Summary!$Q$7)</f>
        <v/>
      </c>
    </row>
    <row r="356" customFormat="false" ht="12" hidden="false" customHeight="true" outlineLevel="0" collapsed="false">
      <c r="A356" s="196" t="str">
        <f aca="false">IF(A355&lt;mthend,EDATE(A355,1),"")</f>
        <v/>
      </c>
      <c r="B356" s="197" t="str">
        <f aca="false">IF(A356&lt;mthend,B355,"")</f>
        <v/>
      </c>
      <c r="C356" s="215"/>
      <c r="D356" s="197" t="str">
        <f aca="false">IF(A357&lt;&gt;"",B356+C356,"")</f>
        <v/>
      </c>
      <c r="E356" s="199" t="str">
        <f aca="false">IF(A357="","",IF(AND(AT356=1,$H$3=1),D356*AO356,IF($H$3=2,D356,"N/A")))</f>
        <v/>
      </c>
      <c r="F356" s="199" t="str">
        <f aca="false">IF(A357="","",E356*AS356)</f>
        <v/>
      </c>
      <c r="G356" s="200" t="str">
        <f aca="false">IF($A357="","",VLOOKUP($A356,Table,MATCH(G$4,Curves,0)))</f>
        <v/>
      </c>
      <c r="H356" s="201" t="str">
        <f aca="false">IF(A357="","",G356)</f>
        <v/>
      </c>
      <c r="I356" s="202"/>
      <c r="J356" s="200" t="str">
        <f aca="false">IF($A357="","",VLOOKUP($A356,Table,MATCH(J$4,Curves,0)))</f>
        <v/>
      </c>
      <c r="K356" s="201" t="str">
        <f aca="false">IF(A357="","",J356)</f>
        <v/>
      </c>
      <c r="L356" s="200" t="str">
        <f aca="false">IF($A357="","",VLOOKUP($A356,Table,MATCH(L$4,Curves,0)))</f>
        <v/>
      </c>
      <c r="M356" s="201" t="str">
        <f aca="false">IF(A357="","",L356)</f>
        <v/>
      </c>
      <c r="N356" s="203"/>
      <c r="O356" s="200" t="str">
        <f aca="false">IF(A357="","",L356+J356+G356)</f>
        <v/>
      </c>
      <c r="P356" s="200" t="str">
        <f aca="false">IF(A357="","",M356+K356+H356)</f>
        <v/>
      </c>
      <c r="Q356" s="204"/>
      <c r="R356" s="200" t="str">
        <f aca="false">IF($A357="","",VLOOKUP($A356,Table,MATCH(R$4,Curves,0)))</f>
        <v/>
      </c>
      <c r="S356" s="201" t="str">
        <f aca="false">IF(A357="","",R356)</f>
        <v/>
      </c>
      <c r="T356" s="200" t="str">
        <f aca="false">IF($A357="","",VLOOKUP($A356,Table,MATCH(T$4,Curves,0)))</f>
        <v/>
      </c>
      <c r="U356" s="201" t="str">
        <f aca="false">IF(A357="","",T356)</f>
        <v/>
      </c>
      <c r="V356" s="183" t="str">
        <f aca="false">IF($A357="","",IF(AND(MONTH(A356)&gt;3,MONTH(A356)&lt;11),(T356+R356+G356)*Summary!$T$7/(1-Summary!$T$7),(T356+R356+G356)*Summary!$U$7/(1-Summary!$U$7)))</f>
        <v/>
      </c>
      <c r="W356" s="200" t="str">
        <f aca="false">IF($A357="","",(T356+R356+G356+V356))</f>
        <v/>
      </c>
      <c r="X356" s="200" t="str">
        <f aca="false">IF($A357="","",(U356+S356+H356+V356))</f>
        <v/>
      </c>
      <c r="Y356" s="202"/>
      <c r="Z356" s="185" t="str">
        <f aca="false">IF($A357="","",VLOOKUP($A356,Table,MATCH(Z$4,Curves,0)))</f>
        <v/>
      </c>
      <c r="AA356" s="185" t="str">
        <f aca="false">IF($A357="","",VLOOKUP($A356,Table,MATCH(AA$4,Curves,0)))</f>
        <v/>
      </c>
      <c r="AB356" s="185" t="e">
        <f aca="false">SQRT((AA356^2*(A356-$D$3)+Z356^2*(DAY(EOMONTH(A356,0))/2))/AK356)</f>
        <v>#VALUE!</v>
      </c>
      <c r="AC356" s="185" t="str">
        <f aca="false">IF($A357="","",VLOOKUP($A356,Table,MATCH(AC$4,Curves,0)))</f>
        <v/>
      </c>
      <c r="AD356" s="185" t="str">
        <f aca="false">IF($A357="","",VLOOKUP($A356,Table,MATCH(AD$4,Curves,0)))</f>
        <v/>
      </c>
      <c r="AE356" s="185" t="e">
        <f aca="false">SQRT((AD356^2*(A356-$D$3)+AC356^2*(DAY(EOMONTH(A356,0))/2))/AK356)</f>
        <v>#VALUE!</v>
      </c>
      <c r="AF356" s="206" t="e">
        <f aca="false">((Summary!$N$7*(AA356*AD356)*(A356-$D$3))+(Summary!$M$7*Z356*AC356*(DAY(EOMONTH(A356,0))/2)))/(AK356*AB356*AE356)</f>
        <v>#VALUE!</v>
      </c>
      <c r="AG356" s="207" t="str">
        <f aca="false">IF($A357="","",Summary!$Q$7)</f>
        <v/>
      </c>
      <c r="AH356" s="207" t="str">
        <f aca="false">IF($A357="","",IF(Summary!$R$7="Y",(VLOOKUP($A356,Summary!$AD$6:$AF$9,3)+'Escalating commodity'!C369),'Escalating commodity'!C369))</f>
        <v/>
      </c>
      <c r="AI356" s="207" t="str">
        <f aca="false">IF($A357="","",AH356)</f>
        <v/>
      </c>
      <c r="AJ356" s="208" t="e">
        <f aca="false">A356+DAY(EOMONTH(A356,0))/2-1</f>
        <v>#VALUE!</v>
      </c>
      <c r="AK356" s="209" t="str">
        <f aca="false">IF($A357="","",$A356-$E$1)</f>
        <v/>
      </c>
      <c r="AL356" s="182" t="str">
        <f aca="false">IF($A357="","",SPRDOPT(P356,X356,AI356,0,AB356,AE356,AF356,AK356,$AJ$2,0))</f>
        <v/>
      </c>
      <c r="AM356" s="210" t="str">
        <f aca="false">IF($A357="","",MAX(0,O356-W356-AI356))</f>
        <v/>
      </c>
      <c r="AN356" s="211" t="str">
        <f aca="false">IF($A357="","",AL356-AM356)</f>
        <v/>
      </c>
      <c r="AO356" s="137" t="str">
        <f aca="false">IF(A357="","",A357-A356)</f>
        <v/>
      </c>
      <c r="AP356" s="212" t="str">
        <f aca="false">IF(A357="","",CHOOSE(F$3,A357+24,A356))</f>
        <v/>
      </c>
      <c r="AQ356" s="209" t="str">
        <f aca="false">IF(A357="","",AP356-$E$1)</f>
        <v/>
      </c>
      <c r="AR356" s="185" t="n">
        <f aca="false">IF(Summary!$H$2=1,VLOOKUP('ANR OK vs ML7'!A356,Curves!$C$17:$AR$273,MATCH('ANR OK vs ML7'!$AR$4,Curves!$C$8:$AQ$8,0)),0.1)</f>
        <v>0.1</v>
      </c>
      <c r="AS356" s="213" t="str">
        <f aca="false">IF(A357="","",1/(1+CHOOSE(F$3,(AR357+($I$3/10000))/2,(AR356+($I$3/10000))/2))^(2*AQ356/365.25))</f>
        <v/>
      </c>
      <c r="AT356" s="137" t="str">
        <f aca="false">IF(A357="","",IF(AND(mthbeg&lt;=A356,mthend&gt;=A356),1,0))</f>
        <v/>
      </c>
      <c r="AU356" s="137" t="str">
        <f aca="false">IF(A357="","",AO356*AT356)</f>
        <v/>
      </c>
      <c r="AW356" s="195" t="str">
        <f aca="false">IF($A357="","",AL356*$E356)</f>
        <v/>
      </c>
      <c r="AX356" s="195" t="str">
        <f aca="false">IF($A357="","",AM356*$E356)</f>
        <v/>
      </c>
      <c r="AY356" s="195" t="str">
        <f aca="false">IF($A357="","",AN356*$E356)</f>
        <v/>
      </c>
      <c r="BA356" s="195" t="str">
        <f aca="false">IF($A357="","",F356*Summary!$Q$7)</f>
        <v/>
      </c>
    </row>
    <row r="357" customFormat="false" ht="12" hidden="false" customHeight="true" outlineLevel="0" collapsed="false">
      <c r="A357" s="196" t="str">
        <f aca="false">IF(A356&lt;mthend,EDATE(A356,1),"")</f>
        <v/>
      </c>
      <c r="B357" s="197" t="str">
        <f aca="false">IF(A357&lt;mthend,B356,"")</f>
        <v/>
      </c>
      <c r="C357" s="215"/>
      <c r="D357" s="197" t="str">
        <f aca="false">IF(A358&lt;&gt;"",B357+C357,"")</f>
        <v/>
      </c>
      <c r="E357" s="199" t="str">
        <f aca="false">IF(A358="","",IF(AND(AT357=1,$H$3=1),D357*AO357,IF($H$3=2,D357,"N/A")))</f>
        <v/>
      </c>
      <c r="F357" s="199" t="str">
        <f aca="false">IF(A358="","",E357*AS357)</f>
        <v/>
      </c>
      <c r="G357" s="200" t="str">
        <f aca="false">IF($A358="","",VLOOKUP($A357,Table,MATCH(G$4,Curves,0)))</f>
        <v/>
      </c>
      <c r="H357" s="201" t="str">
        <f aca="false">IF(A358="","",G357)</f>
        <v/>
      </c>
      <c r="I357" s="202"/>
      <c r="J357" s="200" t="str">
        <f aca="false">IF($A358="","",VLOOKUP($A357,Table,MATCH(J$4,Curves,0)))</f>
        <v/>
      </c>
      <c r="K357" s="201" t="str">
        <f aca="false">IF(A358="","",J357)</f>
        <v/>
      </c>
      <c r="L357" s="200" t="str">
        <f aca="false">IF($A358="","",VLOOKUP($A357,Table,MATCH(L$4,Curves,0)))</f>
        <v/>
      </c>
      <c r="M357" s="201" t="str">
        <f aca="false">IF(A358="","",L357)</f>
        <v/>
      </c>
      <c r="N357" s="203"/>
      <c r="O357" s="200" t="str">
        <f aca="false">IF(A358="","",L357+J357+G357)</f>
        <v/>
      </c>
      <c r="P357" s="200" t="str">
        <f aca="false">IF(A358="","",M357+K357+H357)</f>
        <v/>
      </c>
      <c r="Q357" s="204"/>
      <c r="R357" s="200" t="str">
        <f aca="false">IF($A358="","",VLOOKUP($A357,Table,MATCH(R$4,Curves,0)))</f>
        <v/>
      </c>
      <c r="S357" s="201" t="str">
        <f aca="false">IF(A358="","",R357)</f>
        <v/>
      </c>
      <c r="T357" s="200" t="str">
        <f aca="false">IF($A358="","",VLOOKUP($A357,Table,MATCH(T$4,Curves,0)))</f>
        <v/>
      </c>
      <c r="U357" s="201" t="str">
        <f aca="false">IF(A358="","",T357)</f>
        <v/>
      </c>
      <c r="V357" s="183" t="str">
        <f aca="false">IF($A358="","",IF(AND(MONTH(A357)&gt;3,MONTH(A357)&lt;11),(T357+R357+G357)*Summary!$T$7/(1-Summary!$T$7),(T357+R357+G357)*Summary!$U$7/(1-Summary!$U$7)))</f>
        <v/>
      </c>
      <c r="W357" s="200" t="str">
        <f aca="false">IF($A358="","",(T357+R357+G357+V357))</f>
        <v/>
      </c>
      <c r="X357" s="200" t="str">
        <f aca="false">IF($A358="","",(U357+S357+H357+V357))</f>
        <v/>
      </c>
      <c r="Y357" s="202"/>
      <c r="Z357" s="185" t="str">
        <f aca="false">IF($A358="","",VLOOKUP($A357,Table,MATCH(Z$4,Curves,0)))</f>
        <v/>
      </c>
      <c r="AA357" s="185" t="str">
        <f aca="false">IF($A358="","",VLOOKUP($A357,Table,MATCH(AA$4,Curves,0)))</f>
        <v/>
      </c>
      <c r="AB357" s="185" t="e">
        <f aca="false">SQRT((AA357^2*(A357-$D$3)+Z357^2*(DAY(EOMONTH(A357,0))/2))/AK357)</f>
        <v>#VALUE!</v>
      </c>
      <c r="AC357" s="185" t="str">
        <f aca="false">IF($A358="","",VLOOKUP($A357,Table,MATCH(AC$4,Curves,0)))</f>
        <v/>
      </c>
      <c r="AD357" s="185" t="str">
        <f aca="false">IF($A358="","",VLOOKUP($A357,Table,MATCH(AD$4,Curves,0)))</f>
        <v/>
      </c>
      <c r="AE357" s="185" t="e">
        <f aca="false">SQRT((AD357^2*(A357-$D$3)+AC357^2*(DAY(EOMONTH(A357,0))/2))/AK357)</f>
        <v>#VALUE!</v>
      </c>
      <c r="AF357" s="206" t="e">
        <f aca="false">((Summary!$N$7*(AA357*AD357)*(A357-$D$3))+(Summary!$M$7*Z357*AC357*(DAY(EOMONTH(A357,0))/2)))/(AK357*AB357*AE357)</f>
        <v>#VALUE!</v>
      </c>
      <c r="AG357" s="207" t="str">
        <f aca="false">IF($A358="","",Summary!$Q$7)</f>
        <v/>
      </c>
      <c r="AH357" s="207" t="str">
        <f aca="false">IF($A358="","",IF(Summary!$R$7="Y",(VLOOKUP($A357,Summary!$AD$6:$AF$9,3)+'Escalating commodity'!C370),'Escalating commodity'!C370))</f>
        <v/>
      </c>
      <c r="AI357" s="207" t="str">
        <f aca="false">IF($A358="","",AH357)</f>
        <v/>
      </c>
      <c r="AJ357" s="208" t="e">
        <f aca="false">A357+DAY(EOMONTH(A357,0))/2-1</f>
        <v>#VALUE!</v>
      </c>
      <c r="AK357" s="209" t="str">
        <f aca="false">IF($A358="","",$A357-$E$1)</f>
        <v/>
      </c>
      <c r="AL357" s="182" t="str">
        <f aca="false">IF($A358="","",SPRDOPT(P357,X357,AI357,0,AB357,AE357,AF357,AK357,$AJ$2,0))</f>
        <v/>
      </c>
      <c r="AM357" s="210" t="str">
        <f aca="false">IF($A358="","",MAX(0,O357-W357-AI357))</f>
        <v/>
      </c>
      <c r="AN357" s="211" t="str">
        <f aca="false">IF($A358="","",AL357-AM357)</f>
        <v/>
      </c>
      <c r="AO357" s="137" t="str">
        <f aca="false">IF(A358="","",A358-A357)</f>
        <v/>
      </c>
      <c r="AP357" s="212" t="str">
        <f aca="false">IF(A358="","",CHOOSE(F$3,A358+24,A357))</f>
        <v/>
      </c>
      <c r="AQ357" s="209" t="str">
        <f aca="false">IF(A358="","",AP357-$E$1)</f>
        <v/>
      </c>
      <c r="AR357" s="185" t="n">
        <f aca="false">IF(Summary!$H$2=1,VLOOKUP('ANR OK vs ML7'!A357,Curves!$C$17:$AR$273,MATCH('ANR OK vs ML7'!$AR$4,Curves!$C$8:$AQ$8,0)),0.1)</f>
        <v>0.1</v>
      </c>
      <c r="AS357" s="213" t="str">
        <f aca="false">IF(A358="","",1/(1+CHOOSE(F$3,(AR358+($I$3/10000))/2,(AR357+($I$3/10000))/2))^(2*AQ357/365.25))</f>
        <v/>
      </c>
      <c r="AT357" s="137" t="str">
        <f aca="false">IF(A358="","",IF(AND(mthbeg&lt;=A357,mthend&gt;=A357),1,0))</f>
        <v/>
      </c>
      <c r="AU357" s="137" t="str">
        <f aca="false">IF(A358="","",AO357*AT357)</f>
        <v/>
      </c>
      <c r="AW357" s="195" t="str">
        <f aca="false">IF($A358="","",AL357*$E357)</f>
        <v/>
      </c>
      <c r="AX357" s="195" t="str">
        <f aca="false">IF($A358="","",AM357*$E357)</f>
        <v/>
      </c>
      <c r="AY357" s="195" t="str">
        <f aca="false">IF($A358="","",AN357*$E357)</f>
        <v/>
      </c>
      <c r="BA357" s="195" t="str">
        <f aca="false">IF($A358="","",F357*Summary!$Q$7)</f>
        <v/>
      </c>
    </row>
    <row r="358" customFormat="false" ht="12" hidden="false" customHeight="true" outlineLevel="0" collapsed="false">
      <c r="A358" s="196" t="str">
        <f aca="false">IF(A357&lt;mthend,EDATE(A357,1),"")</f>
        <v/>
      </c>
      <c r="B358" s="197" t="str">
        <f aca="false">IF(A358&lt;mthend,B357,"")</f>
        <v/>
      </c>
      <c r="C358" s="215"/>
      <c r="D358" s="197" t="str">
        <f aca="false">IF(A359&lt;&gt;"",B358+C358,"")</f>
        <v/>
      </c>
      <c r="E358" s="199" t="str">
        <f aca="false">IF(A359="","",IF(AND(AT358=1,$H$3=1),D358*AO358,IF($H$3=2,D358,"N/A")))</f>
        <v/>
      </c>
      <c r="F358" s="199" t="str">
        <f aca="false">IF(A359="","",E358*AS358)</f>
        <v/>
      </c>
      <c r="G358" s="200" t="str">
        <f aca="false">IF($A359="","",VLOOKUP($A358,Table,MATCH(G$4,Curves,0)))</f>
        <v/>
      </c>
      <c r="H358" s="201" t="str">
        <f aca="false">IF(A359="","",G358)</f>
        <v/>
      </c>
      <c r="I358" s="202"/>
      <c r="J358" s="200" t="str">
        <f aca="false">IF($A359="","",VLOOKUP($A358,Table,MATCH(J$4,Curves,0)))</f>
        <v/>
      </c>
      <c r="K358" s="201" t="str">
        <f aca="false">IF(A359="","",J358)</f>
        <v/>
      </c>
      <c r="L358" s="200" t="str">
        <f aca="false">IF($A359="","",VLOOKUP($A358,Table,MATCH(L$4,Curves,0)))</f>
        <v/>
      </c>
      <c r="M358" s="201" t="str">
        <f aca="false">IF(A359="","",L358)</f>
        <v/>
      </c>
      <c r="N358" s="203"/>
      <c r="O358" s="200" t="str">
        <f aca="false">IF(A359="","",L358+J358+G358)</f>
        <v/>
      </c>
      <c r="P358" s="200" t="str">
        <f aca="false">IF(A359="","",M358+K358+H358)</f>
        <v/>
      </c>
      <c r="Q358" s="204"/>
      <c r="R358" s="200" t="str">
        <f aca="false">IF($A359="","",VLOOKUP($A358,Table,MATCH(R$4,Curves,0)))</f>
        <v/>
      </c>
      <c r="S358" s="201" t="str">
        <f aca="false">IF(A359="","",R358)</f>
        <v/>
      </c>
      <c r="T358" s="200" t="str">
        <f aca="false">IF($A359="","",VLOOKUP($A358,Table,MATCH(T$4,Curves,0)))</f>
        <v/>
      </c>
      <c r="U358" s="201" t="str">
        <f aca="false">IF(A359="","",T358)</f>
        <v/>
      </c>
      <c r="V358" s="183" t="str">
        <f aca="false">IF($A359="","",IF(AND(MONTH(A358)&gt;3,MONTH(A358)&lt;11),(T358+R358+G358)*Summary!$T$7/(1-Summary!$T$7),(T358+R358+G358)*Summary!$U$7/(1-Summary!$U$7)))</f>
        <v/>
      </c>
      <c r="W358" s="200" t="str">
        <f aca="false">IF($A359="","",(T358+R358+G358+V358))</f>
        <v/>
      </c>
      <c r="X358" s="200" t="str">
        <f aca="false">IF($A359="","",(U358+S358+H358+V358))</f>
        <v/>
      </c>
      <c r="Y358" s="202"/>
      <c r="Z358" s="185" t="str">
        <f aca="false">IF($A359="","",VLOOKUP($A358,Table,MATCH(Z$4,Curves,0)))</f>
        <v/>
      </c>
      <c r="AA358" s="185" t="str">
        <f aca="false">IF($A359="","",VLOOKUP($A358,Table,MATCH(AA$4,Curves,0)))</f>
        <v/>
      </c>
      <c r="AB358" s="185" t="e">
        <f aca="false">SQRT((AA358^2*(A358-$D$3)+Z358^2*(DAY(EOMONTH(A358,0))/2))/AK358)</f>
        <v>#VALUE!</v>
      </c>
      <c r="AC358" s="185" t="str">
        <f aca="false">IF($A359="","",VLOOKUP($A358,Table,MATCH(AC$4,Curves,0)))</f>
        <v/>
      </c>
      <c r="AD358" s="185" t="str">
        <f aca="false">IF($A359="","",VLOOKUP($A358,Table,MATCH(AD$4,Curves,0)))</f>
        <v/>
      </c>
      <c r="AE358" s="185" t="e">
        <f aca="false">SQRT((AD358^2*(A358-$D$3)+AC358^2*(DAY(EOMONTH(A358,0))/2))/AK358)</f>
        <v>#VALUE!</v>
      </c>
      <c r="AF358" s="206" t="e">
        <f aca="false">((Summary!$N$7*(AA358*AD358)*(A358-$D$3))+(Summary!$M$7*Z358*AC358*(DAY(EOMONTH(A358,0))/2)))/(AK358*AB358*AE358)</f>
        <v>#VALUE!</v>
      </c>
      <c r="AG358" s="207" t="str">
        <f aca="false">IF($A359="","",Summary!$Q$7)</f>
        <v/>
      </c>
      <c r="AH358" s="207" t="str">
        <f aca="false">IF($A359="","",IF(Summary!$R$7="Y",(VLOOKUP($A358,Summary!$AD$6:$AF$9,3)+'Escalating commodity'!C371),'Escalating commodity'!C371))</f>
        <v/>
      </c>
      <c r="AI358" s="207" t="str">
        <f aca="false">IF($A359="","",AH358)</f>
        <v/>
      </c>
      <c r="AJ358" s="208" t="e">
        <f aca="false">A358+DAY(EOMONTH(A358,0))/2-1</f>
        <v>#VALUE!</v>
      </c>
      <c r="AK358" s="209" t="str">
        <f aca="false">IF($A359="","",$A358-$E$1)</f>
        <v/>
      </c>
      <c r="AL358" s="182" t="str">
        <f aca="false">IF($A359="","",SPRDOPT(P358,X358,AI358,0,AB358,AE358,AF358,AK358,$AJ$2,0))</f>
        <v/>
      </c>
      <c r="AM358" s="210" t="str">
        <f aca="false">IF($A359="","",MAX(0,O358-W358-AI358))</f>
        <v/>
      </c>
      <c r="AN358" s="211" t="str">
        <f aca="false">IF($A359="","",AL358-AM358)</f>
        <v/>
      </c>
      <c r="AO358" s="137" t="str">
        <f aca="false">IF(A359="","",A359-A358)</f>
        <v/>
      </c>
      <c r="AP358" s="212" t="str">
        <f aca="false">IF(A359="","",CHOOSE(F$3,A359+24,A358))</f>
        <v/>
      </c>
      <c r="AQ358" s="209" t="str">
        <f aca="false">IF(A359="","",AP358-$E$1)</f>
        <v/>
      </c>
      <c r="AR358" s="185" t="n">
        <f aca="false">IF(Summary!$H$2=1,VLOOKUP('ANR OK vs ML7'!A358,Curves!$C$17:$AR$273,MATCH('ANR OK vs ML7'!$AR$4,Curves!$C$8:$AQ$8,0)),0.1)</f>
        <v>0.1</v>
      </c>
      <c r="AS358" s="213" t="str">
        <f aca="false">IF(A359="","",1/(1+CHOOSE(F$3,(AR359+($I$3/10000))/2,(AR358+($I$3/10000))/2))^(2*AQ358/365.25))</f>
        <v/>
      </c>
      <c r="AT358" s="137" t="str">
        <f aca="false">IF(A359="","",IF(AND(mthbeg&lt;=A358,mthend&gt;=A358),1,0))</f>
        <v/>
      </c>
      <c r="AU358" s="137" t="str">
        <f aca="false">IF(A359="","",AO358*AT358)</f>
        <v/>
      </c>
      <c r="AW358" s="195" t="str">
        <f aca="false">IF($A359="","",AL358*$E358)</f>
        <v/>
      </c>
      <c r="AX358" s="195" t="str">
        <f aca="false">IF($A359="","",AM358*$E358)</f>
        <v/>
      </c>
      <c r="AY358" s="195" t="str">
        <f aca="false">IF($A359="","",AN358*$E358)</f>
        <v/>
      </c>
      <c r="BA358" s="195" t="str">
        <f aca="false">IF($A359="","",F358*Summary!$Q$7)</f>
        <v/>
      </c>
    </row>
    <row r="359" customFormat="false" ht="12" hidden="false" customHeight="true" outlineLevel="0" collapsed="false">
      <c r="A359" s="196" t="str">
        <f aca="false">IF(A358&lt;mthend,EDATE(A358,1),"")</f>
        <v/>
      </c>
      <c r="B359" s="197" t="str">
        <f aca="false">IF(A359&lt;mthend,B358,"")</f>
        <v/>
      </c>
      <c r="C359" s="215"/>
      <c r="D359" s="197" t="str">
        <f aca="false">IF(A360&lt;&gt;"",B359+C359,"")</f>
        <v/>
      </c>
      <c r="E359" s="199" t="str">
        <f aca="false">IF(A360="","",IF(AND(AT359=1,$H$3=1),D359*AO359,IF($H$3=2,D359,"N/A")))</f>
        <v/>
      </c>
      <c r="F359" s="199" t="str">
        <f aca="false">IF(A360="","",E359*AS359)</f>
        <v/>
      </c>
      <c r="G359" s="200" t="str">
        <f aca="false">IF($A360="","",VLOOKUP($A359,Table,MATCH(G$4,Curves,0)))</f>
        <v/>
      </c>
      <c r="H359" s="201" t="str">
        <f aca="false">IF(A360="","",G359)</f>
        <v/>
      </c>
      <c r="I359" s="202"/>
      <c r="J359" s="200" t="str">
        <f aca="false">IF($A360="","",VLOOKUP($A359,Table,MATCH(J$4,Curves,0)))</f>
        <v/>
      </c>
      <c r="K359" s="201" t="str">
        <f aca="false">IF(A360="","",J359)</f>
        <v/>
      </c>
      <c r="L359" s="200" t="str">
        <f aca="false">IF($A360="","",VLOOKUP($A359,Table,MATCH(L$4,Curves,0)))</f>
        <v/>
      </c>
      <c r="M359" s="201" t="str">
        <f aca="false">IF(A360="","",L359)</f>
        <v/>
      </c>
      <c r="N359" s="203"/>
      <c r="O359" s="200" t="str">
        <f aca="false">IF(A360="","",L359+J359+G359)</f>
        <v/>
      </c>
      <c r="P359" s="200" t="str">
        <f aca="false">IF(A360="","",M359+K359+H359)</f>
        <v/>
      </c>
      <c r="Q359" s="204"/>
      <c r="R359" s="200" t="str">
        <f aca="false">IF($A360="","",VLOOKUP($A359,Table,MATCH(R$4,Curves,0)))</f>
        <v/>
      </c>
      <c r="S359" s="201" t="str">
        <f aca="false">IF(A360="","",R359)</f>
        <v/>
      </c>
      <c r="T359" s="200" t="str">
        <f aca="false">IF($A360="","",VLOOKUP($A359,Table,MATCH(T$4,Curves,0)))</f>
        <v/>
      </c>
      <c r="U359" s="201" t="str">
        <f aca="false">IF(A360="","",T359)</f>
        <v/>
      </c>
      <c r="V359" s="183" t="str">
        <f aca="false">IF($A360="","",IF(AND(MONTH(A359)&gt;3,MONTH(A359)&lt;11),(T359+R359+G359)*Summary!$T$7/(1-Summary!$T$7),(T359+R359+G359)*Summary!$U$7/(1-Summary!$U$7)))</f>
        <v/>
      </c>
      <c r="W359" s="200" t="str">
        <f aca="false">IF($A360="","",(T359+R359+G359+V359))</f>
        <v/>
      </c>
      <c r="X359" s="200" t="str">
        <f aca="false">IF($A360="","",(U359+S359+H359+V359))</f>
        <v/>
      </c>
      <c r="Y359" s="202"/>
      <c r="Z359" s="185" t="str">
        <f aca="false">IF($A360="","",VLOOKUP($A359,Table,MATCH(Z$4,Curves,0)))</f>
        <v/>
      </c>
      <c r="AA359" s="185" t="str">
        <f aca="false">IF($A360="","",VLOOKUP($A359,Table,MATCH(AA$4,Curves,0)))</f>
        <v/>
      </c>
      <c r="AB359" s="185" t="e">
        <f aca="false">SQRT((AA359^2*(A359-$D$3)+Z359^2*(DAY(EOMONTH(A359,0))/2))/AK359)</f>
        <v>#VALUE!</v>
      </c>
      <c r="AC359" s="185" t="str">
        <f aca="false">IF($A360="","",VLOOKUP($A359,Table,MATCH(AC$4,Curves,0)))</f>
        <v/>
      </c>
      <c r="AD359" s="185" t="str">
        <f aca="false">IF($A360="","",VLOOKUP($A359,Table,MATCH(AD$4,Curves,0)))</f>
        <v/>
      </c>
      <c r="AE359" s="185" t="e">
        <f aca="false">SQRT((AD359^2*(A359-$D$3)+AC359^2*(DAY(EOMONTH(A359,0))/2))/AK359)</f>
        <v>#VALUE!</v>
      </c>
      <c r="AF359" s="206" t="e">
        <f aca="false">((Summary!$N$7*(AA359*AD359)*(A359-$D$3))+(Summary!$M$7*Z359*AC359*(DAY(EOMONTH(A359,0))/2)))/(AK359*AB359*AE359)</f>
        <v>#VALUE!</v>
      </c>
      <c r="AG359" s="207" t="str">
        <f aca="false">IF($A360="","",Summary!$Q$7)</f>
        <v/>
      </c>
      <c r="AH359" s="207" t="str">
        <f aca="false">IF($A360="","",IF(Summary!$R$7="Y",(VLOOKUP($A359,Summary!$AD$6:$AF$9,3)+'Escalating commodity'!C372),'Escalating commodity'!C372))</f>
        <v/>
      </c>
      <c r="AI359" s="207" t="str">
        <f aca="false">IF($A360="","",AH359)</f>
        <v/>
      </c>
      <c r="AJ359" s="208" t="e">
        <f aca="false">A359+DAY(EOMONTH(A359,0))/2-1</f>
        <v>#VALUE!</v>
      </c>
      <c r="AK359" s="209" t="str">
        <f aca="false">IF($A360="","",$A359-$E$1)</f>
        <v/>
      </c>
      <c r="AL359" s="182" t="str">
        <f aca="false">IF($A360="","",SPRDOPT(P359,X359,AI359,0,AB359,AE359,AF359,AK359,$AJ$2,0))</f>
        <v/>
      </c>
      <c r="AM359" s="210" t="str">
        <f aca="false">IF($A360="","",MAX(0,O359-W359-AI359))</f>
        <v/>
      </c>
      <c r="AN359" s="211" t="str">
        <f aca="false">IF($A360="","",AL359-AM359)</f>
        <v/>
      </c>
      <c r="AO359" s="137" t="str">
        <f aca="false">IF(A360="","",A360-A359)</f>
        <v/>
      </c>
      <c r="AP359" s="212" t="str">
        <f aca="false">IF(A360="","",CHOOSE(F$3,A360+24,A359))</f>
        <v/>
      </c>
      <c r="AQ359" s="209" t="str">
        <f aca="false">IF(A360="","",AP359-$E$1)</f>
        <v/>
      </c>
      <c r="AR359" s="185" t="n">
        <f aca="false">IF(Summary!$H$2=1,VLOOKUP('ANR OK vs ML7'!A359,Curves!$C$17:$AR$273,MATCH('ANR OK vs ML7'!$AR$4,Curves!$C$8:$AQ$8,0)),0.1)</f>
        <v>0.1</v>
      </c>
      <c r="AS359" s="213" t="str">
        <f aca="false">IF(A360="","",1/(1+CHOOSE(F$3,(AR360+($I$3/10000))/2,(AR359+($I$3/10000))/2))^(2*AQ359/365.25))</f>
        <v/>
      </c>
      <c r="AT359" s="137" t="str">
        <f aca="false">IF(A360="","",IF(AND(mthbeg&lt;=A359,mthend&gt;=A359),1,0))</f>
        <v/>
      </c>
      <c r="AU359" s="137" t="str">
        <f aca="false">IF(A360="","",AO359*AT359)</f>
        <v/>
      </c>
      <c r="AW359" s="195" t="str">
        <f aca="false">IF($A360="","",AL359*$E359)</f>
        <v/>
      </c>
      <c r="AX359" s="195" t="str">
        <f aca="false">IF($A360="","",AM359*$E359)</f>
        <v/>
      </c>
      <c r="AY359" s="195" t="str">
        <f aca="false">IF($A360="","",AN359*$E359)</f>
        <v/>
      </c>
      <c r="BA359" s="195" t="str">
        <f aca="false">IF($A360="","",F359*Summary!$Q$7)</f>
        <v/>
      </c>
    </row>
    <row r="360" customFormat="false" ht="12" hidden="false" customHeight="true" outlineLevel="0" collapsed="false">
      <c r="A360" s="196" t="str">
        <f aca="false">IF(A359&lt;mthend,EDATE(A359,1),"")</f>
        <v/>
      </c>
      <c r="B360" s="197" t="str">
        <f aca="false">IF(A360&lt;mthend,B359,"")</f>
        <v/>
      </c>
      <c r="C360" s="215"/>
      <c r="D360" s="197" t="str">
        <f aca="false">IF(A361&lt;&gt;"",B360+C360,"")</f>
        <v/>
      </c>
      <c r="E360" s="199" t="str">
        <f aca="false">IF(A361="","",IF(AND(AT360=1,$H$3=1),D360*AO360,IF($H$3=2,D360,"N/A")))</f>
        <v/>
      </c>
      <c r="F360" s="199" t="str">
        <f aca="false">IF(A361="","",E360*AS360)</f>
        <v/>
      </c>
      <c r="G360" s="200" t="str">
        <f aca="false">IF($A361="","",VLOOKUP($A360,Table,MATCH(G$4,Curves,0)))</f>
        <v/>
      </c>
      <c r="H360" s="201" t="str">
        <f aca="false">IF(A361="","",G360)</f>
        <v/>
      </c>
      <c r="I360" s="202"/>
      <c r="J360" s="200" t="str">
        <f aca="false">IF($A361="","",VLOOKUP($A360,Table,MATCH(J$4,Curves,0)))</f>
        <v/>
      </c>
      <c r="K360" s="201" t="str">
        <f aca="false">IF(A361="","",J360)</f>
        <v/>
      </c>
      <c r="L360" s="200" t="str">
        <f aca="false">IF($A361="","",VLOOKUP($A360,Table,MATCH(L$4,Curves,0)))</f>
        <v/>
      </c>
      <c r="M360" s="201" t="str">
        <f aca="false">IF(A361="","",L360)</f>
        <v/>
      </c>
      <c r="N360" s="203"/>
      <c r="O360" s="200" t="str">
        <f aca="false">IF(A361="","",L360+J360+G360)</f>
        <v/>
      </c>
      <c r="P360" s="200" t="str">
        <f aca="false">IF(A361="","",M360+K360+H360)</f>
        <v/>
      </c>
      <c r="Q360" s="204"/>
      <c r="R360" s="200" t="str">
        <f aca="false">IF($A361="","",VLOOKUP($A360,Table,MATCH(R$4,Curves,0)))</f>
        <v/>
      </c>
      <c r="S360" s="201" t="str">
        <f aca="false">IF(A361="","",R360)</f>
        <v/>
      </c>
      <c r="T360" s="200" t="str">
        <f aca="false">IF($A361="","",VLOOKUP($A360,Table,MATCH(T$4,Curves,0)))</f>
        <v/>
      </c>
      <c r="U360" s="201" t="str">
        <f aca="false">IF(A361="","",T360)</f>
        <v/>
      </c>
      <c r="V360" s="183" t="str">
        <f aca="false">IF($A361="","",IF(AND(MONTH(A360)&gt;3,MONTH(A360)&lt;11),(T360+R360+G360)*Summary!$T$7/(1-Summary!$T$7),(T360+R360+G360)*Summary!$U$7/(1-Summary!$U$7)))</f>
        <v/>
      </c>
      <c r="W360" s="200" t="str">
        <f aca="false">IF($A361="","",(T360+R360+G360+V360))</f>
        <v/>
      </c>
      <c r="X360" s="200" t="str">
        <f aca="false">IF($A361="","",(U360+S360+H360+V360))</f>
        <v/>
      </c>
      <c r="Y360" s="202"/>
      <c r="Z360" s="185" t="str">
        <f aca="false">IF($A361="","",VLOOKUP($A360,Table,MATCH(Z$4,Curves,0)))</f>
        <v/>
      </c>
      <c r="AA360" s="185" t="str">
        <f aca="false">IF($A361="","",VLOOKUP($A360,Table,MATCH(AA$4,Curves,0)))</f>
        <v/>
      </c>
      <c r="AB360" s="185" t="e">
        <f aca="false">SQRT((AA360^2*(A360-$D$3)+Z360^2*(DAY(EOMONTH(A360,0))/2))/AK360)</f>
        <v>#VALUE!</v>
      </c>
      <c r="AC360" s="185" t="str">
        <f aca="false">IF($A361="","",VLOOKUP($A360,Table,MATCH(AC$4,Curves,0)))</f>
        <v/>
      </c>
      <c r="AD360" s="185" t="str">
        <f aca="false">IF($A361="","",VLOOKUP($A360,Table,MATCH(AD$4,Curves,0)))</f>
        <v/>
      </c>
      <c r="AE360" s="185" t="e">
        <f aca="false">SQRT((AD360^2*(A360-$D$3)+AC360^2*(DAY(EOMONTH(A360,0))/2))/AK360)</f>
        <v>#VALUE!</v>
      </c>
      <c r="AF360" s="206" t="e">
        <f aca="false">((Summary!$N$7*(AA360*AD360)*(A360-$D$3))+(Summary!$M$7*Z360*AC360*(DAY(EOMONTH(A360,0))/2)))/(AK360*AB360*AE360)</f>
        <v>#VALUE!</v>
      </c>
      <c r="AG360" s="207" t="str">
        <f aca="false">IF($A361="","",Summary!$Q$7)</f>
        <v/>
      </c>
      <c r="AH360" s="207" t="str">
        <f aca="false">IF($A361="","",IF(Summary!$R$7="Y",(VLOOKUP($A360,Summary!$AD$6:$AF$9,3)+'Escalating commodity'!C373),'Escalating commodity'!C373))</f>
        <v/>
      </c>
      <c r="AI360" s="207" t="str">
        <f aca="false">IF($A361="","",AH360)</f>
        <v/>
      </c>
      <c r="AJ360" s="208" t="e">
        <f aca="false">A360+DAY(EOMONTH(A360,0))/2-1</f>
        <v>#VALUE!</v>
      </c>
      <c r="AK360" s="209" t="str">
        <f aca="false">IF($A361="","",$A360-$E$1)</f>
        <v/>
      </c>
      <c r="AL360" s="182" t="str">
        <f aca="false">IF($A361="","",SPRDOPT(P360,X360,AI360,0,AB360,AE360,AF360,AK360,$AJ$2,0))</f>
        <v/>
      </c>
      <c r="AM360" s="210" t="str">
        <f aca="false">IF($A361="","",MAX(0,O360-W360-AI360))</f>
        <v/>
      </c>
      <c r="AN360" s="211" t="str">
        <f aca="false">IF($A361="","",AL360-AM360)</f>
        <v/>
      </c>
      <c r="AO360" s="137" t="str">
        <f aca="false">IF(A361="","",A361-A360)</f>
        <v/>
      </c>
      <c r="AP360" s="212" t="str">
        <f aca="false">IF(A361="","",CHOOSE(F$3,A361+24,A360))</f>
        <v/>
      </c>
      <c r="AQ360" s="209" t="str">
        <f aca="false">IF(A361="","",AP360-$E$1)</f>
        <v/>
      </c>
      <c r="AR360" s="185" t="n">
        <f aca="false">IF(Summary!$H$2=1,VLOOKUP('ANR OK vs ML7'!A360,Curves!$C$17:$AR$273,MATCH('ANR OK vs ML7'!$AR$4,Curves!$C$8:$AQ$8,0)),0.1)</f>
        <v>0.1</v>
      </c>
      <c r="AS360" s="213" t="str">
        <f aca="false">IF(A361="","",1/(1+CHOOSE(F$3,(AR361+($I$3/10000))/2,(AR360+($I$3/10000))/2))^(2*AQ360/365.25))</f>
        <v/>
      </c>
      <c r="AT360" s="137" t="str">
        <f aca="false">IF(A361="","",IF(AND(mthbeg&lt;=A360,mthend&gt;=A360),1,0))</f>
        <v/>
      </c>
      <c r="AU360" s="137" t="str">
        <f aca="false">IF(A361="","",AO360*AT360)</f>
        <v/>
      </c>
      <c r="AW360" s="195" t="str">
        <f aca="false">IF($A361="","",AL360*$E360)</f>
        <v/>
      </c>
      <c r="AX360" s="195" t="str">
        <f aca="false">IF($A361="","",AM360*$E360)</f>
        <v/>
      </c>
      <c r="AY360" s="195" t="str">
        <f aca="false">IF($A361="","",AN360*$E360)</f>
        <v/>
      </c>
      <c r="BA360" s="195" t="str">
        <f aca="false">IF($A361="","",F360*Summary!$Q$7)</f>
        <v/>
      </c>
    </row>
    <row r="361" customFormat="false" ht="12" hidden="false" customHeight="true" outlineLevel="0" collapsed="false">
      <c r="A361" s="196" t="str">
        <f aca="false">IF(A360&lt;mthend,EDATE(A360,1),"")</f>
        <v/>
      </c>
      <c r="B361" s="197" t="str">
        <f aca="false">IF(A361&lt;mthend,B360,"")</f>
        <v/>
      </c>
      <c r="C361" s="215"/>
      <c r="D361" s="197" t="str">
        <f aca="false">IF(A362&lt;&gt;"",B361+C361,"")</f>
        <v/>
      </c>
      <c r="E361" s="199" t="str">
        <f aca="false">IF(A362="","",IF(AND(AT361=1,$H$3=1),D361*AO361,IF($H$3=2,D361,"N/A")))</f>
        <v/>
      </c>
      <c r="F361" s="199" t="str">
        <f aca="false">IF(A362="","",E361*AS361)</f>
        <v/>
      </c>
      <c r="G361" s="200" t="str">
        <f aca="false">IF($A362="","",VLOOKUP($A361,Table,MATCH(G$4,Curves,0)))</f>
        <v/>
      </c>
      <c r="H361" s="201" t="str">
        <f aca="false">IF(A362="","",G361)</f>
        <v/>
      </c>
      <c r="I361" s="202"/>
      <c r="J361" s="200" t="str">
        <f aca="false">IF($A362="","",VLOOKUP($A361,Table,MATCH(J$4,Curves,0)))</f>
        <v/>
      </c>
      <c r="K361" s="201" t="str">
        <f aca="false">IF(A362="","",J361)</f>
        <v/>
      </c>
      <c r="L361" s="200" t="str">
        <f aca="false">IF($A362="","",VLOOKUP($A361,Table,MATCH(L$4,Curves,0)))</f>
        <v/>
      </c>
      <c r="M361" s="201" t="str">
        <f aca="false">IF(A362="","",L361)</f>
        <v/>
      </c>
      <c r="N361" s="203"/>
      <c r="O361" s="200" t="str">
        <f aca="false">IF(A362="","",L361+J361+G361)</f>
        <v/>
      </c>
      <c r="P361" s="200" t="str">
        <f aca="false">IF(A362="","",M361+K361+H361)</f>
        <v/>
      </c>
      <c r="Q361" s="204"/>
      <c r="R361" s="200" t="str">
        <f aca="false">IF($A362="","",VLOOKUP($A361,Table,MATCH(R$4,Curves,0)))</f>
        <v/>
      </c>
      <c r="S361" s="201" t="str">
        <f aca="false">IF(A362="","",R361)</f>
        <v/>
      </c>
      <c r="T361" s="200" t="str">
        <f aca="false">IF($A362="","",VLOOKUP($A361,Table,MATCH(T$4,Curves,0)))</f>
        <v/>
      </c>
      <c r="U361" s="201" t="str">
        <f aca="false">IF(A362="","",T361)</f>
        <v/>
      </c>
      <c r="V361" s="183" t="str">
        <f aca="false">IF($A362="","",IF(AND(MONTH(A361)&gt;3,MONTH(A361)&lt;11),(T361+R361+G361)*Summary!$T$7/(1-Summary!$T$7),(T361+R361+G361)*Summary!$U$7/(1-Summary!$U$7)))</f>
        <v/>
      </c>
      <c r="W361" s="200" t="str">
        <f aca="false">IF($A362="","",(T361+R361+G361+V361))</f>
        <v/>
      </c>
      <c r="X361" s="200" t="str">
        <f aca="false">IF($A362="","",(U361+S361+H361+V361))</f>
        <v/>
      </c>
      <c r="Y361" s="202"/>
      <c r="Z361" s="185" t="str">
        <f aca="false">IF($A362="","",VLOOKUP($A361,Table,MATCH(Z$4,Curves,0)))</f>
        <v/>
      </c>
      <c r="AA361" s="185" t="str">
        <f aca="false">IF($A362="","",VLOOKUP($A361,Table,MATCH(AA$4,Curves,0)))</f>
        <v/>
      </c>
      <c r="AB361" s="185" t="e">
        <f aca="false">SQRT((AA361^2*(A361-$D$3)+Z361^2*(DAY(EOMONTH(A361,0))/2))/AK361)</f>
        <v>#VALUE!</v>
      </c>
      <c r="AC361" s="185" t="str">
        <f aca="false">IF($A362="","",VLOOKUP($A361,Table,MATCH(AC$4,Curves,0)))</f>
        <v/>
      </c>
      <c r="AD361" s="185" t="str">
        <f aca="false">IF($A362="","",VLOOKUP($A361,Table,MATCH(AD$4,Curves,0)))</f>
        <v/>
      </c>
      <c r="AE361" s="185" t="e">
        <f aca="false">SQRT((AD361^2*(A361-$D$3)+AC361^2*(DAY(EOMONTH(A361,0))/2))/AK361)</f>
        <v>#VALUE!</v>
      </c>
      <c r="AF361" s="206" t="e">
        <f aca="false">((Summary!$N$7*(AA361*AD361)*(A361-$D$3))+(Summary!$M$7*Z361*AC361*(DAY(EOMONTH(A361,0))/2)))/(AK361*AB361*AE361)</f>
        <v>#VALUE!</v>
      </c>
      <c r="AG361" s="207" t="str">
        <f aca="false">IF($A362="","",Summary!$Q$7)</f>
        <v/>
      </c>
      <c r="AH361" s="207" t="str">
        <f aca="false">IF($A362="","",IF(Summary!$R$7="Y",(VLOOKUP($A361,Summary!$AD$6:$AF$9,3)+'Escalating commodity'!C374),'Escalating commodity'!C374))</f>
        <v/>
      </c>
      <c r="AI361" s="207" t="str">
        <f aca="false">IF($A362="","",AH361)</f>
        <v/>
      </c>
      <c r="AJ361" s="208" t="e">
        <f aca="false">A361+DAY(EOMONTH(A361,0))/2-1</f>
        <v>#VALUE!</v>
      </c>
      <c r="AK361" s="209" t="str">
        <f aca="false">IF($A362="","",$A361-$E$1)</f>
        <v/>
      </c>
      <c r="AL361" s="182" t="str">
        <f aca="false">IF($A362="","",SPRDOPT(P361,X361,AI361,0,AB361,AE361,AF361,AK361,$AJ$2,0))</f>
        <v/>
      </c>
      <c r="AM361" s="210" t="str">
        <f aca="false">IF($A362="","",MAX(0,O361-W361-AI361))</f>
        <v/>
      </c>
      <c r="AN361" s="211" t="str">
        <f aca="false">IF($A362="","",AL361-AM361)</f>
        <v/>
      </c>
      <c r="AO361" s="137" t="str">
        <f aca="false">IF(A362="","",A362-A361)</f>
        <v/>
      </c>
      <c r="AP361" s="212" t="str">
        <f aca="false">IF(A362="","",CHOOSE(F$3,A362+24,A361))</f>
        <v/>
      </c>
      <c r="AQ361" s="209" t="str">
        <f aca="false">IF(A362="","",AP361-$E$1)</f>
        <v/>
      </c>
      <c r="AR361" s="185" t="n">
        <f aca="false">IF(Summary!$H$2=1,VLOOKUP('ANR OK vs ML7'!A361,Curves!$C$17:$AR$273,MATCH('ANR OK vs ML7'!$AR$4,Curves!$C$8:$AQ$8,0)),0.1)</f>
        <v>0.1</v>
      </c>
      <c r="AS361" s="213" t="str">
        <f aca="false">IF(A362="","",1/(1+CHOOSE(F$3,(AR362+($I$3/10000))/2,(AR361+($I$3/10000))/2))^(2*AQ361/365.25))</f>
        <v/>
      </c>
      <c r="AT361" s="137" t="str">
        <f aca="false">IF(A362="","",IF(AND(mthbeg&lt;=A361,mthend&gt;=A361),1,0))</f>
        <v/>
      </c>
      <c r="AU361" s="137" t="str">
        <f aca="false">IF(A362="","",AO361*AT361)</f>
        <v/>
      </c>
      <c r="AW361" s="195" t="str">
        <f aca="false">IF($A362="","",AL361*$E361)</f>
        <v/>
      </c>
      <c r="AX361" s="195" t="str">
        <f aca="false">IF($A362="","",AM361*$E361)</f>
        <v/>
      </c>
      <c r="AY361" s="195" t="str">
        <f aca="false">IF($A362="","",AN361*$E361)</f>
        <v/>
      </c>
      <c r="BA361" s="195" t="str">
        <f aca="false">IF($A362="","",F361*Summary!$Q$7)</f>
        <v/>
      </c>
    </row>
    <row r="362" customFormat="false" ht="12" hidden="false" customHeight="true" outlineLevel="0" collapsed="false">
      <c r="A362" s="196" t="str">
        <f aca="false">IF(A361&lt;mthend,EDATE(A361,1),"")</f>
        <v/>
      </c>
      <c r="B362" s="197" t="str">
        <f aca="false">IF(A362&lt;mthend,B361,"")</f>
        <v/>
      </c>
      <c r="C362" s="215"/>
      <c r="D362" s="197" t="str">
        <f aca="false">IF(A363&lt;&gt;"",B362+C362,"")</f>
        <v/>
      </c>
      <c r="E362" s="199" t="str">
        <f aca="false">IF(A363="","",IF(AND(AT362=1,$H$3=1),D362*AO362,IF($H$3=2,D362,"N/A")))</f>
        <v/>
      </c>
      <c r="F362" s="199" t="str">
        <f aca="false">IF(A363="","",E362*AS362)</f>
        <v/>
      </c>
      <c r="G362" s="200" t="str">
        <f aca="false">IF($A363="","",VLOOKUP($A362,Table,MATCH(G$4,Curves,0)))</f>
        <v/>
      </c>
      <c r="H362" s="201" t="str">
        <f aca="false">IF(A363="","",G362)</f>
        <v/>
      </c>
      <c r="I362" s="202"/>
      <c r="J362" s="200" t="str">
        <f aca="false">IF($A363="","",VLOOKUP($A362,Table,MATCH(J$4,Curves,0)))</f>
        <v/>
      </c>
      <c r="K362" s="201" t="str">
        <f aca="false">IF(A363="","",J362)</f>
        <v/>
      </c>
      <c r="L362" s="200" t="str">
        <f aca="false">IF($A363="","",VLOOKUP($A362,Table,MATCH(L$4,Curves,0)))</f>
        <v/>
      </c>
      <c r="M362" s="201" t="str">
        <f aca="false">IF(A363="","",L362)</f>
        <v/>
      </c>
      <c r="N362" s="203"/>
      <c r="O362" s="200" t="str">
        <f aca="false">IF(A363="","",L362+J362+G362)</f>
        <v/>
      </c>
      <c r="P362" s="200" t="str">
        <f aca="false">IF(A363="","",M362+K362+H362)</f>
        <v/>
      </c>
      <c r="Q362" s="204"/>
      <c r="R362" s="200" t="str">
        <f aca="false">IF($A363="","",VLOOKUP($A362,Table,MATCH(R$4,Curves,0)))</f>
        <v/>
      </c>
      <c r="S362" s="201" t="str">
        <f aca="false">IF(A363="","",R362)</f>
        <v/>
      </c>
      <c r="T362" s="200" t="str">
        <f aca="false">IF($A363="","",VLOOKUP($A362,Table,MATCH(T$4,Curves,0)))</f>
        <v/>
      </c>
      <c r="U362" s="201" t="str">
        <f aca="false">IF(A363="","",T362)</f>
        <v/>
      </c>
      <c r="V362" s="183" t="str">
        <f aca="false">IF($A363="","",IF(AND(MONTH(A362)&gt;3,MONTH(A362)&lt;11),(T362+R362+G362)*Summary!$T$7/(1-Summary!$T$7),(T362+R362+G362)*Summary!$U$7/(1-Summary!$U$7)))</f>
        <v/>
      </c>
      <c r="W362" s="200" t="str">
        <f aca="false">IF($A363="","",(T362+R362+G362+V362))</f>
        <v/>
      </c>
      <c r="X362" s="200" t="str">
        <f aca="false">IF($A363="","",(U362+S362+H362+V362))</f>
        <v/>
      </c>
      <c r="Y362" s="202"/>
      <c r="Z362" s="185" t="str">
        <f aca="false">IF($A363="","",VLOOKUP($A362,Table,MATCH(Z$4,Curves,0)))</f>
        <v/>
      </c>
      <c r="AA362" s="185" t="str">
        <f aca="false">IF($A363="","",VLOOKUP($A362,Table,MATCH(AA$4,Curves,0)))</f>
        <v/>
      </c>
      <c r="AB362" s="185" t="e">
        <f aca="false">SQRT((AA362^2*(A362-$D$3)+Z362^2*(DAY(EOMONTH(A362,0))/2))/AK362)</f>
        <v>#VALUE!</v>
      </c>
      <c r="AC362" s="185" t="str">
        <f aca="false">IF($A363="","",VLOOKUP($A362,Table,MATCH(AC$4,Curves,0)))</f>
        <v/>
      </c>
      <c r="AD362" s="185" t="str">
        <f aca="false">IF($A363="","",VLOOKUP($A362,Table,MATCH(AD$4,Curves,0)))</f>
        <v/>
      </c>
      <c r="AE362" s="185" t="e">
        <f aca="false">SQRT((AD362^2*(A362-$D$3)+AC362^2*(DAY(EOMONTH(A362,0))/2))/AK362)</f>
        <v>#VALUE!</v>
      </c>
      <c r="AF362" s="206" t="e">
        <f aca="false">((Summary!$N$7*(AA362*AD362)*(A362-$D$3))+(Summary!$M$7*Z362*AC362*(DAY(EOMONTH(A362,0))/2)))/(AK362*AB362*AE362)</f>
        <v>#VALUE!</v>
      </c>
      <c r="AG362" s="207" t="str">
        <f aca="false">IF($A363="","",Summary!$Q$7)</f>
        <v/>
      </c>
      <c r="AH362" s="207" t="str">
        <f aca="false">IF($A363="","",IF(Summary!$R$7="Y",(VLOOKUP($A362,Summary!$AD$6:$AF$9,3)+'Escalating commodity'!C375),'Escalating commodity'!C375))</f>
        <v/>
      </c>
      <c r="AI362" s="207" t="str">
        <f aca="false">IF($A363="","",AH362)</f>
        <v/>
      </c>
      <c r="AJ362" s="208" t="e">
        <f aca="false">A362+DAY(EOMONTH(A362,0))/2-1</f>
        <v>#VALUE!</v>
      </c>
      <c r="AK362" s="209" t="str">
        <f aca="false">IF($A363="","",$A362-$E$1)</f>
        <v/>
      </c>
      <c r="AL362" s="182" t="str">
        <f aca="false">IF($A363="","",SPRDOPT(P362,X362,AI362,0,AB362,AE362,AF362,AK362,$AJ$2,0))</f>
        <v/>
      </c>
      <c r="AM362" s="210" t="str">
        <f aca="false">IF($A363="","",MAX(0,O362-W362-AI362))</f>
        <v/>
      </c>
      <c r="AN362" s="211" t="str">
        <f aca="false">IF($A363="","",AL362-AM362)</f>
        <v/>
      </c>
      <c r="AO362" s="137" t="str">
        <f aca="false">IF(A363="","",A363-A362)</f>
        <v/>
      </c>
      <c r="AP362" s="212" t="str">
        <f aca="false">IF(A363="","",CHOOSE(F$3,A363+24,A362))</f>
        <v/>
      </c>
      <c r="AQ362" s="209" t="str">
        <f aca="false">IF(A363="","",AP362-$E$1)</f>
        <v/>
      </c>
      <c r="AR362" s="185" t="n">
        <f aca="false">IF(Summary!$H$2=1,VLOOKUP('ANR OK vs ML7'!A362,Curves!$C$17:$AR$273,MATCH('ANR OK vs ML7'!$AR$4,Curves!$C$8:$AQ$8,0)),0.1)</f>
        <v>0.1</v>
      </c>
      <c r="AS362" s="213" t="str">
        <f aca="false">IF(A363="","",1/(1+CHOOSE(F$3,(AR363+($I$3/10000))/2,(AR362+($I$3/10000))/2))^(2*AQ362/365.25))</f>
        <v/>
      </c>
      <c r="AT362" s="137" t="str">
        <f aca="false">IF(A363="","",IF(AND(mthbeg&lt;=A362,mthend&gt;=A362),1,0))</f>
        <v/>
      </c>
      <c r="AU362" s="137" t="str">
        <f aca="false">IF(A363="","",AO362*AT362)</f>
        <v/>
      </c>
      <c r="AW362" s="195" t="str">
        <f aca="false">IF($A363="","",AL362*$E362)</f>
        <v/>
      </c>
      <c r="AX362" s="195" t="str">
        <f aca="false">IF($A363="","",AM362*$E362)</f>
        <v/>
      </c>
      <c r="AY362" s="195" t="str">
        <f aca="false">IF($A363="","",AN362*$E362)</f>
        <v/>
      </c>
      <c r="BA362" s="195" t="str">
        <f aca="false">IF($A363="","",F362*Summary!$Q$7)</f>
        <v/>
      </c>
    </row>
    <row r="363" customFormat="false" ht="12" hidden="false" customHeight="true" outlineLevel="0" collapsed="false">
      <c r="A363" s="196" t="str">
        <f aca="false">IF(A362&lt;mthend,EDATE(A362,1),"")</f>
        <v/>
      </c>
      <c r="B363" s="197" t="str">
        <f aca="false">IF(A363&lt;mthend,B362,"")</f>
        <v/>
      </c>
      <c r="C363" s="215"/>
      <c r="D363" s="197" t="str">
        <f aca="false">IF(A364&lt;&gt;"",B363+C363,"")</f>
        <v/>
      </c>
      <c r="E363" s="199" t="str">
        <f aca="false">IF(A364="","",IF(AND(AT363=1,$H$3=1),D363*AO363,IF($H$3=2,D363,"N/A")))</f>
        <v/>
      </c>
      <c r="F363" s="199" t="str">
        <f aca="false">IF(A364="","",E363*AS363)</f>
        <v/>
      </c>
      <c r="G363" s="200" t="str">
        <f aca="false">IF($A364="","",VLOOKUP($A363,Table,MATCH(G$4,Curves,0)))</f>
        <v/>
      </c>
      <c r="H363" s="201" t="str">
        <f aca="false">IF(A364="","",G363)</f>
        <v/>
      </c>
      <c r="I363" s="202"/>
      <c r="J363" s="200" t="str">
        <f aca="false">IF($A364="","",VLOOKUP($A363,Table,MATCH(J$4,Curves,0)))</f>
        <v/>
      </c>
      <c r="K363" s="201" t="str">
        <f aca="false">IF(A364="","",J363)</f>
        <v/>
      </c>
      <c r="L363" s="200" t="str">
        <f aca="false">IF($A364="","",VLOOKUP($A363,Table,MATCH(L$4,Curves,0)))</f>
        <v/>
      </c>
      <c r="M363" s="201" t="str">
        <f aca="false">IF(A364="","",L363)</f>
        <v/>
      </c>
      <c r="N363" s="203"/>
      <c r="O363" s="200" t="str">
        <f aca="false">IF(A364="","",L363+J363+G363)</f>
        <v/>
      </c>
      <c r="P363" s="200" t="str">
        <f aca="false">IF(A364="","",M363+K363+H363)</f>
        <v/>
      </c>
      <c r="Q363" s="204"/>
      <c r="R363" s="200" t="str">
        <f aca="false">IF($A364="","",VLOOKUP($A363,Table,MATCH(R$4,Curves,0)))</f>
        <v/>
      </c>
      <c r="S363" s="201" t="str">
        <f aca="false">IF(A364="","",R363)</f>
        <v/>
      </c>
      <c r="T363" s="200" t="str">
        <f aca="false">IF($A364="","",VLOOKUP($A363,Table,MATCH(T$4,Curves,0)))</f>
        <v/>
      </c>
      <c r="U363" s="201" t="str">
        <f aca="false">IF(A364="","",T363)</f>
        <v/>
      </c>
      <c r="V363" s="183" t="str">
        <f aca="false">IF($A364="","",IF(AND(MONTH(A363)&gt;3,MONTH(A363)&lt;11),(T363+R363+G363)*Summary!$T$7/(1-Summary!$T$7),(T363+R363+G363)*Summary!$U$7/(1-Summary!$U$7)))</f>
        <v/>
      </c>
      <c r="W363" s="200" t="str">
        <f aca="false">IF($A364="","",(T363+R363+G363+V363))</f>
        <v/>
      </c>
      <c r="X363" s="200" t="str">
        <f aca="false">IF($A364="","",(U363+S363+H363+V363))</f>
        <v/>
      </c>
      <c r="Y363" s="202"/>
      <c r="Z363" s="185" t="str">
        <f aca="false">IF($A364="","",VLOOKUP($A363,Table,MATCH(Z$4,Curves,0)))</f>
        <v/>
      </c>
      <c r="AA363" s="185" t="str">
        <f aca="false">IF($A364="","",VLOOKUP($A363,Table,MATCH(AA$4,Curves,0)))</f>
        <v/>
      </c>
      <c r="AB363" s="185" t="e">
        <f aca="false">SQRT((AA363^2*(A363-$D$3)+Z363^2*(DAY(EOMONTH(A363,0))/2))/AK363)</f>
        <v>#VALUE!</v>
      </c>
      <c r="AC363" s="185" t="str">
        <f aca="false">IF($A364="","",VLOOKUP($A363,Table,MATCH(AC$4,Curves,0)))</f>
        <v/>
      </c>
      <c r="AD363" s="185" t="str">
        <f aca="false">IF($A364="","",VLOOKUP($A363,Table,MATCH(AD$4,Curves,0)))</f>
        <v/>
      </c>
      <c r="AE363" s="185" t="e">
        <f aca="false">SQRT((AD363^2*(A363-$D$3)+AC363^2*(DAY(EOMONTH(A363,0))/2))/AK363)</f>
        <v>#VALUE!</v>
      </c>
      <c r="AF363" s="206" t="e">
        <f aca="false">((Summary!$N$7*(AA363*AD363)*(A363-$D$3))+(Summary!$M$7*Z363*AC363*(DAY(EOMONTH(A363,0))/2)))/(AK363*AB363*AE363)</f>
        <v>#VALUE!</v>
      </c>
      <c r="AG363" s="207" t="str">
        <f aca="false">IF($A364="","",Summary!$Q$7)</f>
        <v/>
      </c>
      <c r="AH363" s="207" t="str">
        <f aca="false">IF($A364="","",IF(Summary!$R$7="Y",(VLOOKUP($A363,Summary!$AD$6:$AF$9,3)+'Escalating commodity'!C376),'Escalating commodity'!C376))</f>
        <v/>
      </c>
      <c r="AI363" s="207" t="str">
        <f aca="false">IF($A364="","",AH363)</f>
        <v/>
      </c>
      <c r="AJ363" s="208" t="e">
        <f aca="false">A363+DAY(EOMONTH(A363,0))/2-1</f>
        <v>#VALUE!</v>
      </c>
      <c r="AK363" s="209" t="str">
        <f aca="false">IF($A364="","",$A363-$E$1)</f>
        <v/>
      </c>
      <c r="AL363" s="182" t="str">
        <f aca="false">IF($A364="","",SPRDOPT(P363,X363,AI363,0,AB363,AE363,AF363,AK363,$AJ$2,0))</f>
        <v/>
      </c>
      <c r="AM363" s="210" t="str">
        <f aca="false">IF($A364="","",MAX(0,O363-W363-AI363))</f>
        <v/>
      </c>
      <c r="AN363" s="211" t="str">
        <f aca="false">IF($A364="","",AL363-AM363)</f>
        <v/>
      </c>
      <c r="AO363" s="137" t="str">
        <f aca="false">IF(A364="","",A364-A363)</f>
        <v/>
      </c>
      <c r="AP363" s="212" t="str">
        <f aca="false">IF(A364="","",CHOOSE(F$3,A364+24,A363))</f>
        <v/>
      </c>
      <c r="AQ363" s="209" t="str">
        <f aca="false">IF(A364="","",AP363-$E$1)</f>
        <v/>
      </c>
      <c r="AR363" s="185" t="n">
        <f aca="false">IF(Summary!$H$2=1,VLOOKUP('ANR OK vs ML7'!A363,Curves!$C$17:$AR$273,MATCH('ANR OK vs ML7'!$AR$4,Curves!$C$8:$AQ$8,0)),0.1)</f>
        <v>0.1</v>
      </c>
      <c r="AS363" s="213" t="str">
        <f aca="false">IF(A364="","",1/(1+CHOOSE(F$3,(AR364+($I$3/10000))/2,(AR363+($I$3/10000))/2))^(2*AQ363/365.25))</f>
        <v/>
      </c>
      <c r="AT363" s="137" t="str">
        <f aca="false">IF(A364="","",IF(AND(mthbeg&lt;=A363,mthend&gt;=A363),1,0))</f>
        <v/>
      </c>
      <c r="AU363" s="137" t="str">
        <f aca="false">IF(A364="","",AO363*AT363)</f>
        <v/>
      </c>
      <c r="AW363" s="195" t="str">
        <f aca="false">IF($A364="","",AL363*$E363)</f>
        <v/>
      </c>
      <c r="AX363" s="195" t="str">
        <f aca="false">IF($A364="","",AM363*$E363)</f>
        <v/>
      </c>
      <c r="AY363" s="195" t="str">
        <f aca="false">IF($A364="","",AN363*$E363)</f>
        <v/>
      </c>
      <c r="BA363" s="195" t="str">
        <f aca="false">IF($A364="","",F363*Summary!$Q$7)</f>
        <v/>
      </c>
    </row>
    <row r="364" customFormat="false" ht="12" hidden="false" customHeight="true" outlineLevel="0" collapsed="false">
      <c r="A364" s="196" t="str">
        <f aca="false">IF(A363&lt;mthend,EDATE(A363,1),"")</f>
        <v/>
      </c>
      <c r="B364" s="197" t="str">
        <f aca="false">IF(A364&lt;mthend,B363,"")</f>
        <v/>
      </c>
      <c r="C364" s="215"/>
      <c r="D364" s="197" t="str">
        <f aca="false">IF(A365&lt;&gt;"",B364+C364,"")</f>
        <v/>
      </c>
      <c r="E364" s="199" t="str">
        <f aca="false">IF(A365="","",IF(AND(AT364=1,$H$3=1),D364*AO364,IF($H$3=2,D364,"N/A")))</f>
        <v/>
      </c>
      <c r="F364" s="199" t="str">
        <f aca="false">IF(A365="","",E364*AS364)</f>
        <v/>
      </c>
      <c r="G364" s="200" t="str">
        <f aca="false">IF($A365="","",VLOOKUP($A364,Table,MATCH(G$4,Curves,0)))</f>
        <v/>
      </c>
      <c r="H364" s="201" t="str">
        <f aca="false">IF(A365="","",G364)</f>
        <v/>
      </c>
      <c r="I364" s="202"/>
      <c r="J364" s="200" t="str">
        <f aca="false">IF($A365="","",VLOOKUP($A364,Table,MATCH(J$4,Curves,0)))</f>
        <v/>
      </c>
      <c r="K364" s="201" t="str">
        <f aca="false">IF(A365="","",J364)</f>
        <v/>
      </c>
      <c r="L364" s="200" t="str">
        <f aca="false">IF($A365="","",VLOOKUP($A364,Table,MATCH(L$4,Curves,0)))</f>
        <v/>
      </c>
      <c r="M364" s="201" t="str">
        <f aca="false">IF(A365="","",L364)</f>
        <v/>
      </c>
      <c r="N364" s="203"/>
      <c r="O364" s="200" t="str">
        <f aca="false">IF(A365="","",L364+J364+G364)</f>
        <v/>
      </c>
      <c r="P364" s="200" t="str">
        <f aca="false">IF(A365="","",M364+K364+H364)</f>
        <v/>
      </c>
      <c r="Q364" s="204"/>
      <c r="R364" s="200" t="str">
        <f aca="false">IF($A365="","",VLOOKUP($A364,Table,MATCH(R$4,Curves,0)))</f>
        <v/>
      </c>
      <c r="S364" s="201" t="str">
        <f aca="false">IF(A365="","",R364)</f>
        <v/>
      </c>
      <c r="T364" s="200" t="str">
        <f aca="false">IF($A365="","",VLOOKUP($A364,Table,MATCH(T$4,Curves,0)))</f>
        <v/>
      </c>
      <c r="U364" s="201" t="str">
        <f aca="false">IF(A365="","",T364)</f>
        <v/>
      </c>
      <c r="V364" s="183" t="str">
        <f aca="false">IF($A365="","",IF(AND(MONTH(A364)&gt;3,MONTH(A364)&lt;11),(T364+R364+G364)*Summary!$T$7/(1-Summary!$T$7),(T364+R364+G364)*Summary!$U$7/(1-Summary!$U$7)))</f>
        <v/>
      </c>
      <c r="W364" s="200" t="str">
        <f aca="false">IF($A365="","",(T364+R364+G364+V364))</f>
        <v/>
      </c>
      <c r="X364" s="200" t="str">
        <f aca="false">IF($A365="","",(U364+S364+H364+V364))</f>
        <v/>
      </c>
      <c r="Y364" s="202"/>
      <c r="Z364" s="185" t="str">
        <f aca="false">IF($A365="","",VLOOKUP($A364,Table,MATCH(Z$4,Curves,0)))</f>
        <v/>
      </c>
      <c r="AA364" s="185" t="str">
        <f aca="false">IF($A365="","",VLOOKUP($A364,Table,MATCH(AA$4,Curves,0)))</f>
        <v/>
      </c>
      <c r="AB364" s="185" t="e">
        <f aca="false">SQRT((AA364^2*(A364-$D$3)+Z364^2*(DAY(EOMONTH(A364,0))/2))/AK364)</f>
        <v>#VALUE!</v>
      </c>
      <c r="AC364" s="185" t="str">
        <f aca="false">IF($A365="","",VLOOKUP($A364,Table,MATCH(AC$4,Curves,0)))</f>
        <v/>
      </c>
      <c r="AD364" s="185" t="str">
        <f aca="false">IF($A365="","",VLOOKUP($A364,Table,MATCH(AD$4,Curves,0)))</f>
        <v/>
      </c>
      <c r="AE364" s="185" t="e">
        <f aca="false">SQRT((AD364^2*(A364-$D$3)+AC364^2*(DAY(EOMONTH(A364,0))/2))/AK364)</f>
        <v>#VALUE!</v>
      </c>
      <c r="AF364" s="206" t="e">
        <f aca="false">((Summary!$N$7*(AA364*AD364)*(A364-$D$3))+(Summary!$M$7*Z364*AC364*(DAY(EOMONTH(A364,0))/2)))/(AK364*AB364*AE364)</f>
        <v>#VALUE!</v>
      </c>
      <c r="AG364" s="207" t="str">
        <f aca="false">IF($A365="","",Summary!$Q$7)</f>
        <v/>
      </c>
      <c r="AH364" s="207" t="str">
        <f aca="false">IF($A365="","",IF(Summary!$R$7="Y",(VLOOKUP($A364,Summary!$AD$6:$AF$9,3)+'Escalating commodity'!C377),'Escalating commodity'!C377))</f>
        <v/>
      </c>
      <c r="AI364" s="207" t="str">
        <f aca="false">IF($A365="","",AH364)</f>
        <v/>
      </c>
      <c r="AJ364" s="208" t="e">
        <f aca="false">A364+DAY(EOMONTH(A364,0))/2-1</f>
        <v>#VALUE!</v>
      </c>
      <c r="AK364" s="209" t="str">
        <f aca="false">IF($A365="","",$A364-$E$1)</f>
        <v/>
      </c>
      <c r="AL364" s="182" t="str">
        <f aca="false">IF($A365="","",SPRDOPT(P364,X364,AI364,0,AB364,AE364,AF364,AK364,$AJ$2,0))</f>
        <v/>
      </c>
      <c r="AM364" s="210" t="str">
        <f aca="false">IF($A365="","",MAX(0,O364-W364-AI364))</f>
        <v/>
      </c>
      <c r="AN364" s="211" t="str">
        <f aca="false">IF($A365="","",AL364-AM364)</f>
        <v/>
      </c>
      <c r="AO364" s="137" t="str">
        <f aca="false">IF(A365="","",A365-A364)</f>
        <v/>
      </c>
      <c r="AP364" s="212" t="str">
        <f aca="false">IF(A365="","",CHOOSE(F$3,A365+24,A364))</f>
        <v/>
      </c>
      <c r="AQ364" s="209" t="str">
        <f aca="false">IF(A365="","",AP364-$E$1)</f>
        <v/>
      </c>
      <c r="AR364" s="185" t="n">
        <f aca="false">IF(Summary!$H$2=1,VLOOKUP('ANR OK vs ML7'!A364,Curves!$C$17:$AR$273,MATCH('ANR OK vs ML7'!$AR$4,Curves!$C$8:$AQ$8,0)),0.1)</f>
        <v>0.1</v>
      </c>
      <c r="AS364" s="213" t="str">
        <f aca="false">IF(A365="","",1/(1+CHOOSE(F$3,(AR365+($I$3/10000))/2,(AR364+($I$3/10000))/2))^(2*AQ364/365.25))</f>
        <v/>
      </c>
      <c r="AT364" s="137" t="str">
        <f aca="false">IF(A365="","",IF(AND(mthbeg&lt;=A364,mthend&gt;=A364),1,0))</f>
        <v/>
      </c>
      <c r="AU364" s="137" t="str">
        <f aca="false">IF(A365="","",AO364*AT364)</f>
        <v/>
      </c>
      <c r="AW364" s="195" t="str">
        <f aca="false">IF($A365="","",AL364*$E364)</f>
        <v/>
      </c>
      <c r="AX364" s="195" t="str">
        <f aca="false">IF($A365="","",AM364*$E364)</f>
        <v/>
      </c>
      <c r="AY364" s="195" t="str">
        <f aca="false">IF($A365="","",AN364*$E364)</f>
        <v/>
      </c>
      <c r="BA364" s="195" t="str">
        <f aca="false">IF($A365="","",F364*Summary!$Q$7)</f>
        <v/>
      </c>
    </row>
    <row r="365" customFormat="false" ht="12" hidden="false" customHeight="true" outlineLevel="0" collapsed="false">
      <c r="A365" s="196" t="str">
        <f aca="false">IF(A364&lt;mthend,EDATE(A364,1),"")</f>
        <v/>
      </c>
      <c r="B365" s="197" t="str">
        <f aca="false">IF(A365&lt;mthend,B364,"")</f>
        <v/>
      </c>
      <c r="C365" s="215"/>
      <c r="D365" s="197" t="str">
        <f aca="false">IF(A366&lt;&gt;"",B365+C365,"")</f>
        <v/>
      </c>
      <c r="E365" s="199" t="str">
        <f aca="false">IF(A366="","",IF(AND(AT365=1,$H$3=1),D365*AO365,IF($H$3=2,D365,"N/A")))</f>
        <v/>
      </c>
      <c r="F365" s="199" t="str">
        <f aca="false">IF(A366="","",E365*AS365)</f>
        <v/>
      </c>
      <c r="G365" s="200" t="str">
        <f aca="false">IF($A366="","",VLOOKUP($A365,Table,MATCH(G$4,Curves,0)))</f>
        <v/>
      </c>
      <c r="H365" s="201" t="str">
        <f aca="false">IF(A366="","",G365)</f>
        <v/>
      </c>
      <c r="I365" s="202"/>
      <c r="J365" s="200" t="str">
        <f aca="false">IF($A366="","",VLOOKUP($A365,Table,MATCH(J$4,Curves,0)))</f>
        <v/>
      </c>
      <c r="K365" s="201" t="str">
        <f aca="false">IF(A366="","",J365)</f>
        <v/>
      </c>
      <c r="L365" s="200" t="str">
        <f aca="false">IF($A366="","",VLOOKUP($A365,Table,MATCH(L$4,Curves,0)))</f>
        <v/>
      </c>
      <c r="M365" s="201" t="str">
        <f aca="false">IF(A366="","",L365)</f>
        <v/>
      </c>
      <c r="N365" s="203"/>
      <c r="O365" s="200" t="str">
        <f aca="false">IF(A366="","",L365+J365+G365)</f>
        <v/>
      </c>
      <c r="P365" s="200" t="str">
        <f aca="false">IF(A366="","",M365+K365+H365)</f>
        <v/>
      </c>
      <c r="Q365" s="204"/>
      <c r="R365" s="200" t="str">
        <f aca="false">IF($A366="","",VLOOKUP($A365,Table,MATCH(R$4,Curves,0)))</f>
        <v/>
      </c>
      <c r="S365" s="201" t="str">
        <f aca="false">IF(A366="","",R365)</f>
        <v/>
      </c>
      <c r="T365" s="200" t="str">
        <f aca="false">IF($A366="","",VLOOKUP($A365,Table,MATCH(T$4,Curves,0)))</f>
        <v/>
      </c>
      <c r="U365" s="201" t="str">
        <f aca="false">IF(A366="","",T365)</f>
        <v/>
      </c>
      <c r="V365" s="183" t="str">
        <f aca="false">IF($A366="","",IF(AND(MONTH(A365)&gt;3,MONTH(A365)&lt;11),(T365+R365+G365)*Summary!$T$7/(1-Summary!$T$7),(T365+R365+G365)*Summary!$U$7/(1-Summary!$U$7)))</f>
        <v/>
      </c>
      <c r="W365" s="200" t="str">
        <f aca="false">IF($A366="","",(T365+R365+G365+V365))</f>
        <v/>
      </c>
      <c r="X365" s="200" t="str">
        <f aca="false">IF($A366="","",(U365+S365+H365+V365))</f>
        <v/>
      </c>
      <c r="Y365" s="202"/>
      <c r="Z365" s="185" t="str">
        <f aca="false">IF($A366="","",VLOOKUP($A365,Table,MATCH(Z$4,Curves,0)))</f>
        <v/>
      </c>
      <c r="AA365" s="185" t="str">
        <f aca="false">IF($A366="","",VLOOKUP($A365,Table,MATCH(AA$4,Curves,0)))</f>
        <v/>
      </c>
      <c r="AB365" s="185" t="e">
        <f aca="false">SQRT((AA365^2*(A365-$D$3)+Z365^2*(DAY(EOMONTH(A365,0))/2))/AK365)</f>
        <v>#VALUE!</v>
      </c>
      <c r="AC365" s="185" t="str">
        <f aca="false">IF($A366="","",VLOOKUP($A365,Table,MATCH(AC$4,Curves,0)))</f>
        <v/>
      </c>
      <c r="AD365" s="185" t="str">
        <f aca="false">IF($A366="","",VLOOKUP($A365,Table,MATCH(AD$4,Curves,0)))</f>
        <v/>
      </c>
      <c r="AE365" s="185" t="e">
        <f aca="false">SQRT((AD365^2*(A365-$D$3)+AC365^2*(DAY(EOMONTH(A365,0))/2))/AK365)</f>
        <v>#VALUE!</v>
      </c>
      <c r="AF365" s="206" t="e">
        <f aca="false">((Summary!$N$7*(AA365*AD365)*(A365-$D$3))+(Summary!$M$7*Z365*AC365*(DAY(EOMONTH(A365,0))/2)))/(AK365*AB365*AE365)</f>
        <v>#VALUE!</v>
      </c>
      <c r="AG365" s="207" t="str">
        <f aca="false">IF($A366="","",Summary!$Q$7)</f>
        <v/>
      </c>
      <c r="AH365" s="207" t="str">
        <f aca="false">IF($A366="","",IF(Summary!$R$7="Y",(VLOOKUP($A365,Summary!$AD$6:$AF$9,3)+'Escalating commodity'!C378),'Escalating commodity'!C378))</f>
        <v/>
      </c>
      <c r="AI365" s="207" t="str">
        <f aca="false">IF($A366="","",AH365)</f>
        <v/>
      </c>
      <c r="AJ365" s="208" t="e">
        <f aca="false">A365+DAY(EOMONTH(A365,0))/2-1</f>
        <v>#VALUE!</v>
      </c>
      <c r="AK365" s="209" t="str">
        <f aca="false">IF($A366="","",$A365-$E$1)</f>
        <v/>
      </c>
      <c r="AL365" s="182" t="str">
        <f aca="false">IF($A366="","",SPRDOPT(P365,X365,AI365,0,AB365,AE365,AF365,AK365,$AJ$2,0))</f>
        <v/>
      </c>
      <c r="AM365" s="210" t="str">
        <f aca="false">IF($A366="","",MAX(0,O365-W365-AI365))</f>
        <v/>
      </c>
      <c r="AN365" s="211" t="str">
        <f aca="false">IF($A366="","",AL365-AM365)</f>
        <v/>
      </c>
      <c r="AO365" s="137" t="str">
        <f aca="false">IF(A366="","",A366-A365)</f>
        <v/>
      </c>
      <c r="AP365" s="212" t="str">
        <f aca="false">IF(A366="","",CHOOSE(F$3,A366+24,A365))</f>
        <v/>
      </c>
      <c r="AQ365" s="209" t="str">
        <f aca="false">IF(A366="","",AP365-$E$1)</f>
        <v/>
      </c>
      <c r="AR365" s="185" t="n">
        <f aca="false">IF(Summary!$H$2=1,VLOOKUP('ANR OK vs ML7'!A365,Curves!$C$17:$AR$273,MATCH('ANR OK vs ML7'!$AR$4,Curves!$C$8:$AQ$8,0)),0.1)</f>
        <v>0.1</v>
      </c>
      <c r="AS365" s="213" t="str">
        <f aca="false">IF(A366="","",1/(1+CHOOSE(F$3,(AR366+($I$3/10000))/2,(AR365+($I$3/10000))/2))^(2*AQ365/365.25))</f>
        <v/>
      </c>
      <c r="AT365" s="137" t="str">
        <f aca="false">IF(A366="","",IF(AND(mthbeg&lt;=A365,mthend&gt;=A365),1,0))</f>
        <v/>
      </c>
      <c r="AU365" s="137" t="str">
        <f aca="false">IF(A366="","",AO365*AT365)</f>
        <v/>
      </c>
      <c r="AW365" s="195" t="str">
        <f aca="false">IF($A366="","",AL365*$E365)</f>
        <v/>
      </c>
      <c r="AX365" s="195" t="str">
        <f aca="false">IF($A366="","",AM365*$E365)</f>
        <v/>
      </c>
      <c r="AY365" s="195" t="str">
        <f aca="false">IF($A366="","",AN365*$E365)</f>
        <v/>
      </c>
      <c r="BA365" s="195" t="str">
        <f aca="false">IF($A366="","",F365*Summary!$Q$7)</f>
        <v/>
      </c>
    </row>
    <row r="366" customFormat="false" ht="12" hidden="false" customHeight="true" outlineLevel="0" collapsed="false">
      <c r="A366" s="196" t="str">
        <f aca="false">IF(A365&lt;mthend,EDATE(A365,1),"")</f>
        <v/>
      </c>
      <c r="B366" s="197" t="str">
        <f aca="false">IF(A366&lt;mthend,B365,"")</f>
        <v/>
      </c>
      <c r="C366" s="215"/>
      <c r="D366" s="197" t="str">
        <f aca="false">IF(A367&lt;&gt;"",B366+C366,"")</f>
        <v/>
      </c>
      <c r="E366" s="199" t="str">
        <f aca="false">IF(A367="","",IF(AND(AT366=1,$H$3=1),D366*AO366,IF($H$3=2,D366,"N/A")))</f>
        <v/>
      </c>
      <c r="F366" s="199" t="str">
        <f aca="false">IF(A367="","",E366*AS366)</f>
        <v/>
      </c>
      <c r="G366" s="200" t="str">
        <f aca="false">IF($A367="","",VLOOKUP($A366,Table,MATCH(G$4,Curves,0)))</f>
        <v/>
      </c>
      <c r="H366" s="201" t="str">
        <f aca="false">IF(A367="","",G366)</f>
        <v/>
      </c>
      <c r="I366" s="202"/>
      <c r="J366" s="200" t="str">
        <f aca="false">IF($A367="","",VLOOKUP($A366,Table,MATCH(J$4,Curves,0)))</f>
        <v/>
      </c>
      <c r="K366" s="201" t="str">
        <f aca="false">IF(A367="","",J366)</f>
        <v/>
      </c>
      <c r="L366" s="200" t="str">
        <f aca="false">IF($A367="","",VLOOKUP($A366,Table,MATCH(L$4,Curves,0)))</f>
        <v/>
      </c>
      <c r="M366" s="201" t="str">
        <f aca="false">IF(A367="","",L366)</f>
        <v/>
      </c>
      <c r="N366" s="203"/>
      <c r="O366" s="200" t="str">
        <f aca="false">IF(A367="","",L366+J366+G366)</f>
        <v/>
      </c>
      <c r="P366" s="200" t="str">
        <f aca="false">IF(A367="","",M366+K366+H366)</f>
        <v/>
      </c>
      <c r="Q366" s="204"/>
      <c r="R366" s="200" t="str">
        <f aca="false">IF($A367="","",VLOOKUP($A366,Table,MATCH(R$4,Curves,0)))</f>
        <v/>
      </c>
      <c r="S366" s="201" t="str">
        <f aca="false">IF(A367="","",R366)</f>
        <v/>
      </c>
      <c r="T366" s="200" t="str">
        <f aca="false">IF($A367="","",VLOOKUP($A366,Table,MATCH(T$4,Curves,0)))</f>
        <v/>
      </c>
      <c r="U366" s="201" t="str">
        <f aca="false">IF(A367="","",T366)</f>
        <v/>
      </c>
      <c r="V366" s="183" t="str">
        <f aca="false">IF($A367="","",IF(AND(MONTH(A366)&gt;3,MONTH(A366)&lt;11),(T366+R366+G366)*Summary!$T$7/(1-Summary!$T$7),(T366+R366+G366)*Summary!$U$7/(1-Summary!$U$7)))</f>
        <v/>
      </c>
      <c r="W366" s="200" t="str">
        <f aca="false">IF($A367="","",(T366+R366+G366+V366))</f>
        <v/>
      </c>
      <c r="X366" s="200" t="str">
        <f aca="false">IF($A367="","",(U366+S366+H366+V366))</f>
        <v/>
      </c>
      <c r="Y366" s="202"/>
      <c r="Z366" s="185" t="str">
        <f aca="false">IF($A367="","",VLOOKUP($A366,Table,MATCH(Z$4,Curves,0)))</f>
        <v/>
      </c>
      <c r="AA366" s="185" t="str">
        <f aca="false">IF($A367="","",VLOOKUP($A366,Table,MATCH(AA$4,Curves,0)))</f>
        <v/>
      </c>
      <c r="AB366" s="185" t="e">
        <f aca="false">SQRT((AA366^2*(A366-$D$3)+Z366^2*(DAY(EOMONTH(A366,0))/2))/AK366)</f>
        <v>#VALUE!</v>
      </c>
      <c r="AC366" s="185" t="str">
        <f aca="false">IF($A367="","",VLOOKUP($A366,Table,MATCH(AC$4,Curves,0)))</f>
        <v/>
      </c>
      <c r="AD366" s="185" t="str">
        <f aca="false">IF($A367="","",VLOOKUP($A366,Table,MATCH(AD$4,Curves,0)))</f>
        <v/>
      </c>
      <c r="AE366" s="185" t="e">
        <f aca="false">SQRT((AD366^2*(A366-$D$3)+AC366^2*(DAY(EOMONTH(A366,0))/2))/AK366)</f>
        <v>#VALUE!</v>
      </c>
      <c r="AF366" s="206" t="e">
        <f aca="false">((Summary!$N$7*(AA366*AD366)*(A366-$D$3))+(Summary!$M$7*Z366*AC366*(DAY(EOMONTH(A366,0))/2)))/(AK366*AB366*AE366)</f>
        <v>#VALUE!</v>
      </c>
      <c r="AG366" s="207" t="str">
        <f aca="false">IF($A367="","",Summary!$Q$7)</f>
        <v/>
      </c>
      <c r="AH366" s="207" t="str">
        <f aca="false">IF($A367="","",IF(Summary!$R$7="Y",(VLOOKUP($A366,Summary!$AD$6:$AF$9,3)+'Escalating commodity'!C379),'Escalating commodity'!C379))</f>
        <v/>
      </c>
      <c r="AI366" s="207" t="str">
        <f aca="false">IF($A367="","",AH366)</f>
        <v/>
      </c>
      <c r="AJ366" s="208" t="e">
        <f aca="false">A366+DAY(EOMONTH(A366,0))/2-1</f>
        <v>#VALUE!</v>
      </c>
      <c r="AK366" s="209" t="str">
        <f aca="false">IF($A367="","",$A366-$E$1)</f>
        <v/>
      </c>
      <c r="AL366" s="182" t="str">
        <f aca="false">IF($A367="","",SPRDOPT(P366,X366,AI366,0,AB366,AE366,AF366,AK366,$AJ$2,0))</f>
        <v/>
      </c>
      <c r="AM366" s="210" t="str">
        <f aca="false">IF($A367="","",MAX(0,O366-W366-AI366))</f>
        <v/>
      </c>
      <c r="AN366" s="211" t="str">
        <f aca="false">IF($A367="","",AL366-AM366)</f>
        <v/>
      </c>
      <c r="AO366" s="137" t="str">
        <f aca="false">IF(A367="","",A367-A366)</f>
        <v/>
      </c>
      <c r="AP366" s="212" t="str">
        <f aca="false">IF(A367="","",CHOOSE(F$3,A367+24,A366))</f>
        <v/>
      </c>
      <c r="AQ366" s="209" t="str">
        <f aca="false">IF(A367="","",AP366-$E$1)</f>
        <v/>
      </c>
      <c r="AR366" s="185" t="n">
        <f aca="false">IF(Summary!$H$2=1,VLOOKUP('ANR OK vs ML7'!A366,Curves!$C$17:$AR$273,MATCH('ANR OK vs ML7'!$AR$4,Curves!$C$8:$AQ$8,0)),0.1)</f>
        <v>0.1</v>
      </c>
      <c r="AS366" s="213" t="str">
        <f aca="false">IF(A367="","",1/(1+CHOOSE(F$3,(AR367+($I$3/10000))/2,(AR366+($I$3/10000))/2))^(2*AQ366/365.25))</f>
        <v/>
      </c>
      <c r="AT366" s="137" t="str">
        <f aca="false">IF(A367="","",IF(AND(mthbeg&lt;=A366,mthend&gt;=A366),1,0))</f>
        <v/>
      </c>
      <c r="AU366" s="137" t="str">
        <f aca="false">IF(A367="","",AO366*AT366)</f>
        <v/>
      </c>
      <c r="AW366" s="195" t="str">
        <f aca="false">IF($A367="","",AL366*$E366)</f>
        <v/>
      </c>
      <c r="AX366" s="195" t="str">
        <f aca="false">IF($A367="","",AM366*$E366)</f>
        <v/>
      </c>
      <c r="AY366" s="195" t="str">
        <f aca="false">IF($A367="","",AN366*$E366)</f>
        <v/>
      </c>
      <c r="BA366" s="195" t="str">
        <f aca="false">IF($A367="","",F366*Summary!$Q$7)</f>
        <v/>
      </c>
    </row>
    <row r="367" customFormat="false" ht="12" hidden="false" customHeight="true" outlineLevel="0" collapsed="false">
      <c r="A367" s="196" t="str">
        <f aca="false">IF(A366&lt;mthend,EDATE(A366,1),"")</f>
        <v/>
      </c>
      <c r="B367" s="197" t="str">
        <f aca="false">IF(A367&lt;mthend,B366,"")</f>
        <v/>
      </c>
      <c r="C367" s="215"/>
      <c r="D367" s="197" t="str">
        <f aca="false">IF(A368&lt;&gt;"",B367+C367,"")</f>
        <v/>
      </c>
      <c r="E367" s="199" t="str">
        <f aca="false">IF(A368="","",IF(AND(AT367=1,$H$3=1),D367*AO367,IF($H$3=2,D367,"N/A")))</f>
        <v/>
      </c>
      <c r="F367" s="199" t="str">
        <f aca="false">IF(A368="","",E367*AS367)</f>
        <v/>
      </c>
      <c r="G367" s="200" t="str">
        <f aca="false">IF($A368="","",VLOOKUP($A367,Table,MATCH(G$4,Curves,0)))</f>
        <v/>
      </c>
      <c r="H367" s="201" t="str">
        <f aca="false">IF(A368="","",G367)</f>
        <v/>
      </c>
      <c r="I367" s="202"/>
      <c r="J367" s="200" t="str">
        <f aca="false">IF($A368="","",VLOOKUP($A367,Table,MATCH(J$4,Curves,0)))</f>
        <v/>
      </c>
      <c r="K367" s="201" t="str">
        <f aca="false">IF(A368="","",J367)</f>
        <v/>
      </c>
      <c r="L367" s="200" t="str">
        <f aca="false">IF($A368="","",VLOOKUP($A367,Table,MATCH(L$4,Curves,0)))</f>
        <v/>
      </c>
      <c r="M367" s="201" t="str">
        <f aca="false">IF(A368="","",L367)</f>
        <v/>
      </c>
      <c r="N367" s="203"/>
      <c r="O367" s="200" t="str">
        <f aca="false">IF(A368="","",L367+J367+G367)</f>
        <v/>
      </c>
      <c r="P367" s="200" t="str">
        <f aca="false">IF(A368="","",M367+K367+H367)</f>
        <v/>
      </c>
      <c r="Q367" s="204"/>
      <c r="R367" s="200" t="str">
        <f aca="false">IF($A368="","",VLOOKUP($A367,Table,MATCH(R$4,Curves,0)))</f>
        <v/>
      </c>
      <c r="S367" s="201" t="str">
        <f aca="false">IF(A368="","",R367)</f>
        <v/>
      </c>
      <c r="T367" s="200" t="str">
        <f aca="false">IF($A368="","",VLOOKUP($A367,Table,MATCH(T$4,Curves,0)))</f>
        <v/>
      </c>
      <c r="U367" s="201" t="str">
        <f aca="false">IF(A368="","",T367)</f>
        <v/>
      </c>
      <c r="V367" s="183" t="str">
        <f aca="false">IF($A368="","",IF(AND(MONTH(A367)&gt;3,MONTH(A367)&lt;11),(T367+R367+G367)*Summary!$T$7/(1-Summary!$T$7),(T367+R367+G367)*Summary!$U$7/(1-Summary!$U$7)))</f>
        <v/>
      </c>
      <c r="W367" s="200" t="str">
        <f aca="false">IF($A368="","",(T367+R367+G367+V367))</f>
        <v/>
      </c>
      <c r="X367" s="200" t="str">
        <f aca="false">IF($A368="","",(U367+S367+H367+V367))</f>
        <v/>
      </c>
      <c r="Y367" s="202"/>
      <c r="Z367" s="185" t="str">
        <f aca="false">IF($A368="","",VLOOKUP($A367,Table,MATCH(Z$4,Curves,0)))</f>
        <v/>
      </c>
      <c r="AA367" s="185" t="str">
        <f aca="false">IF($A368="","",VLOOKUP($A367,Table,MATCH(AA$4,Curves,0)))</f>
        <v/>
      </c>
      <c r="AB367" s="185" t="e">
        <f aca="false">SQRT((AA367^2*(A367-$D$3)+Z367^2*(DAY(EOMONTH(A367,0))/2))/AK367)</f>
        <v>#VALUE!</v>
      </c>
      <c r="AC367" s="185" t="str">
        <f aca="false">IF($A368="","",VLOOKUP($A367,Table,MATCH(AC$4,Curves,0)))</f>
        <v/>
      </c>
      <c r="AD367" s="185" t="str">
        <f aca="false">IF($A368="","",VLOOKUP($A367,Table,MATCH(AD$4,Curves,0)))</f>
        <v/>
      </c>
      <c r="AE367" s="185" t="e">
        <f aca="false">SQRT((AD367^2*(A367-$D$3)+AC367^2*(DAY(EOMONTH(A367,0))/2))/AK367)</f>
        <v>#VALUE!</v>
      </c>
      <c r="AF367" s="206" t="e">
        <f aca="false">((Summary!$N$7*(AA367*AD367)*(A367-$D$3))+(Summary!$M$7*Z367*AC367*(DAY(EOMONTH(A367,0))/2)))/(AK367*AB367*AE367)</f>
        <v>#VALUE!</v>
      </c>
      <c r="AG367" s="207" t="str">
        <f aca="false">IF($A368="","",Summary!$Q$7)</f>
        <v/>
      </c>
      <c r="AH367" s="207" t="str">
        <f aca="false">IF($A368="","",IF(Summary!$R$7="Y",(VLOOKUP($A367,Summary!$AD$6:$AF$9,3)+'Escalating commodity'!C380),'Escalating commodity'!C380))</f>
        <v/>
      </c>
      <c r="AI367" s="207" t="str">
        <f aca="false">IF($A368="","",AH367)</f>
        <v/>
      </c>
      <c r="AJ367" s="208" t="e">
        <f aca="false">A367+DAY(EOMONTH(A367,0))/2-1</f>
        <v>#VALUE!</v>
      </c>
      <c r="AK367" s="209" t="str">
        <f aca="false">IF($A368="","",$A367-$E$1)</f>
        <v/>
      </c>
      <c r="AL367" s="182" t="str">
        <f aca="false">IF($A368="","",SPRDOPT(P367,X367,AI367,0,AB367,AE367,AF367,AK367,$AJ$2,0))</f>
        <v/>
      </c>
      <c r="AM367" s="210" t="str">
        <f aca="false">IF($A368="","",MAX(0,O367-W367-AI367))</f>
        <v/>
      </c>
      <c r="AN367" s="211" t="str">
        <f aca="false">IF($A368="","",AL367-AM367)</f>
        <v/>
      </c>
      <c r="AO367" s="137" t="str">
        <f aca="false">IF(A368="","",A368-A367)</f>
        <v/>
      </c>
      <c r="AP367" s="212" t="str">
        <f aca="false">IF(A368="","",CHOOSE(F$3,A368+24,A367))</f>
        <v/>
      </c>
      <c r="AQ367" s="209" t="str">
        <f aca="false">IF(A368="","",AP367-$E$1)</f>
        <v/>
      </c>
      <c r="AR367" s="185" t="n">
        <f aca="false">IF(Summary!$H$2=1,VLOOKUP('ANR OK vs ML7'!A367,Curves!$C$17:$AR$273,MATCH('ANR OK vs ML7'!$AR$4,Curves!$C$8:$AQ$8,0)),0.1)</f>
        <v>0.1</v>
      </c>
      <c r="AS367" s="213" t="str">
        <f aca="false">IF(A368="","",1/(1+CHOOSE(F$3,(AR368+($I$3/10000))/2,(AR367+($I$3/10000))/2))^(2*AQ367/365.25))</f>
        <v/>
      </c>
      <c r="AT367" s="137" t="str">
        <f aca="false">IF(A368="","",IF(AND(mthbeg&lt;=A367,mthend&gt;=A367),1,0))</f>
        <v/>
      </c>
      <c r="AU367" s="137" t="str">
        <f aca="false">IF(A368="","",AO367*AT367)</f>
        <v/>
      </c>
      <c r="AW367" s="195" t="str">
        <f aca="false">IF($A368="","",AL367*$E367)</f>
        <v/>
      </c>
      <c r="AX367" s="195" t="str">
        <f aca="false">IF($A368="","",AM367*$E367)</f>
        <v/>
      </c>
      <c r="AY367" s="195" t="str">
        <f aca="false">IF($A368="","",AN367*$E367)</f>
        <v/>
      </c>
      <c r="BA367" s="195" t="str">
        <f aca="false">IF($A368="","",F367*Summary!$Q$7)</f>
        <v/>
      </c>
    </row>
    <row r="368" customFormat="false" ht="12" hidden="false" customHeight="true" outlineLevel="0" collapsed="false">
      <c r="A368" s="196" t="str">
        <f aca="false">IF(A367&lt;mthend,EDATE(A367,1),"")</f>
        <v/>
      </c>
      <c r="B368" s="197" t="str">
        <f aca="false">IF(A368&lt;mthend,B367,"")</f>
        <v/>
      </c>
      <c r="C368" s="215"/>
      <c r="D368" s="197" t="str">
        <f aca="false">IF(A369&lt;&gt;"",B368+C368,"")</f>
        <v/>
      </c>
      <c r="E368" s="199" t="str">
        <f aca="false">IF(A369="","",IF(AND(AT368=1,$H$3=1),D368*AO368,IF($H$3=2,D368,"N/A")))</f>
        <v/>
      </c>
      <c r="F368" s="199" t="str">
        <f aca="false">IF(A369="","",E368*AS368)</f>
        <v/>
      </c>
      <c r="G368" s="200" t="str">
        <f aca="false">IF($A369="","",VLOOKUP($A368,Table,MATCH(G$4,Curves,0)))</f>
        <v/>
      </c>
      <c r="H368" s="201" t="str">
        <f aca="false">IF(A369="","",G368)</f>
        <v/>
      </c>
      <c r="I368" s="202"/>
      <c r="J368" s="200" t="str">
        <f aca="false">IF($A369="","",VLOOKUP($A368,Table,MATCH(J$4,Curves,0)))</f>
        <v/>
      </c>
      <c r="K368" s="201" t="str">
        <f aca="false">IF(A369="","",J368)</f>
        <v/>
      </c>
      <c r="L368" s="200" t="str">
        <f aca="false">IF($A369="","",VLOOKUP($A368,Table,MATCH(L$4,Curves,0)))</f>
        <v/>
      </c>
      <c r="M368" s="201" t="str">
        <f aca="false">IF(A369="","",L368)</f>
        <v/>
      </c>
      <c r="N368" s="203"/>
      <c r="O368" s="200" t="str">
        <f aca="false">IF(A369="","",L368+J368+G368)</f>
        <v/>
      </c>
      <c r="P368" s="200" t="str">
        <f aca="false">IF(A369="","",M368+K368+H368)</f>
        <v/>
      </c>
      <c r="Q368" s="204"/>
      <c r="R368" s="200" t="str">
        <f aca="false">IF($A369="","",VLOOKUP($A368,Table,MATCH(R$4,Curves,0)))</f>
        <v/>
      </c>
      <c r="S368" s="201" t="str">
        <f aca="false">IF(A369="","",R368)</f>
        <v/>
      </c>
      <c r="T368" s="200" t="str">
        <f aca="false">IF($A369="","",VLOOKUP($A368,Table,MATCH(T$4,Curves,0)))</f>
        <v/>
      </c>
      <c r="U368" s="201" t="str">
        <f aca="false">IF(A369="","",T368)</f>
        <v/>
      </c>
      <c r="V368" s="183" t="str">
        <f aca="false">IF($A369="","",IF(AND(MONTH(A368)&gt;3,MONTH(A368)&lt;11),(T368+R368+G368)*Summary!$T$7/(1-Summary!$T$7),(T368+R368+G368)*Summary!$U$7/(1-Summary!$U$7)))</f>
        <v/>
      </c>
      <c r="W368" s="200" t="str">
        <f aca="false">IF($A369="","",(T368+R368+G368+V368))</f>
        <v/>
      </c>
      <c r="X368" s="200" t="str">
        <f aca="false">IF($A369="","",(U368+S368+H368+V368))</f>
        <v/>
      </c>
      <c r="Y368" s="202"/>
      <c r="Z368" s="185" t="str">
        <f aca="false">IF($A369="","",VLOOKUP($A368,Table,MATCH(Z$4,Curves,0)))</f>
        <v/>
      </c>
      <c r="AA368" s="185" t="str">
        <f aca="false">IF($A369="","",VLOOKUP($A368,Table,MATCH(AA$4,Curves,0)))</f>
        <v/>
      </c>
      <c r="AB368" s="185" t="e">
        <f aca="false">SQRT((AA368^2*(A368-$D$3)+Z368^2*(DAY(EOMONTH(A368,0))/2))/AK368)</f>
        <v>#VALUE!</v>
      </c>
      <c r="AC368" s="185" t="str">
        <f aca="false">IF($A369="","",VLOOKUP($A368,Table,MATCH(AC$4,Curves,0)))</f>
        <v/>
      </c>
      <c r="AD368" s="185" t="str">
        <f aca="false">IF($A369="","",VLOOKUP($A368,Table,MATCH(AD$4,Curves,0)))</f>
        <v/>
      </c>
      <c r="AE368" s="185" t="e">
        <f aca="false">SQRT((AD368^2*(A368-$D$3)+AC368^2*(DAY(EOMONTH(A368,0))/2))/AK368)</f>
        <v>#VALUE!</v>
      </c>
      <c r="AF368" s="206" t="e">
        <f aca="false">((Summary!$N$7*(AA368*AD368)*(A368-$D$3))+(Summary!$M$7*Z368*AC368*(DAY(EOMONTH(A368,0))/2)))/(AK368*AB368*AE368)</f>
        <v>#VALUE!</v>
      </c>
      <c r="AG368" s="207" t="str">
        <f aca="false">IF($A369="","",Summary!$Q$7)</f>
        <v/>
      </c>
      <c r="AH368" s="207" t="str">
        <f aca="false">IF($A369="","",IF(Summary!$R$7="Y",(VLOOKUP($A368,Summary!$AD$6:$AF$9,3)+'Escalating commodity'!C381),'Escalating commodity'!C381))</f>
        <v/>
      </c>
      <c r="AI368" s="207" t="str">
        <f aca="false">IF($A369="","",AH368)</f>
        <v/>
      </c>
      <c r="AJ368" s="208" t="e">
        <f aca="false">A368+DAY(EOMONTH(A368,0))/2-1</f>
        <v>#VALUE!</v>
      </c>
      <c r="AK368" s="209" t="str">
        <f aca="false">IF($A369="","",$A368-$E$1)</f>
        <v/>
      </c>
      <c r="AL368" s="182" t="str">
        <f aca="false">IF($A369="","",SPRDOPT(P368,X368,AI368,0,AB368,AE368,AF368,AK368,$AJ$2,0))</f>
        <v/>
      </c>
      <c r="AM368" s="210" t="str">
        <f aca="false">IF($A369="","",MAX(0,O368-W368-AI368))</f>
        <v/>
      </c>
      <c r="AN368" s="211" t="str">
        <f aca="false">IF($A369="","",AL368-AM368)</f>
        <v/>
      </c>
      <c r="AO368" s="137" t="str">
        <f aca="false">IF(A369="","",A369-A368)</f>
        <v/>
      </c>
      <c r="AP368" s="212" t="str">
        <f aca="false">IF(A369="","",CHOOSE(F$3,A369+24,A368))</f>
        <v/>
      </c>
      <c r="AQ368" s="209" t="str">
        <f aca="false">IF(A369="","",AP368-$E$1)</f>
        <v/>
      </c>
      <c r="AR368" s="185" t="n">
        <f aca="false">IF(Summary!$H$2=1,VLOOKUP('ANR OK vs ML7'!A368,Curves!$C$17:$AR$273,MATCH('ANR OK vs ML7'!$AR$4,Curves!$C$8:$AQ$8,0)),0.1)</f>
        <v>0.1</v>
      </c>
      <c r="AS368" s="213" t="str">
        <f aca="false">IF(A369="","",1/(1+CHOOSE(F$3,(AR369+($I$3/10000))/2,(AR368+($I$3/10000))/2))^(2*AQ368/365.25))</f>
        <v/>
      </c>
      <c r="AT368" s="137" t="str">
        <f aca="false">IF(A369="","",IF(AND(mthbeg&lt;=A368,mthend&gt;=A368),1,0))</f>
        <v/>
      </c>
      <c r="AU368" s="137" t="str">
        <f aca="false">IF(A369="","",AO368*AT368)</f>
        <v/>
      </c>
      <c r="AW368" s="195" t="str">
        <f aca="false">IF($A369="","",AL368*$E368)</f>
        <v/>
      </c>
      <c r="AX368" s="195" t="str">
        <f aca="false">IF($A369="","",AM368*$E368)</f>
        <v/>
      </c>
      <c r="AY368" s="195" t="str">
        <f aca="false">IF($A369="","",AN368*$E368)</f>
        <v/>
      </c>
      <c r="BA368" s="195" t="str">
        <f aca="false">IF($A369="","",F368*Summary!$Q$7)</f>
        <v/>
      </c>
    </row>
    <row r="369" customFormat="false" ht="12" hidden="false" customHeight="true" outlineLevel="0" collapsed="false">
      <c r="A369" s="196" t="str">
        <f aca="false">IF(A368&lt;mthend,EDATE(A368,1),"")</f>
        <v/>
      </c>
      <c r="B369" s="197" t="str">
        <f aca="false">IF(A369&lt;mthend,B368,"")</f>
        <v/>
      </c>
      <c r="C369" s="215"/>
      <c r="D369" s="197" t="str">
        <f aca="false">IF(A370&lt;&gt;"",B369+C369,"")</f>
        <v/>
      </c>
      <c r="E369" s="199" t="str">
        <f aca="false">IF(A370="","",IF(AND(AT369=1,$H$3=1),D369*AO369,IF($H$3=2,D369,"N/A")))</f>
        <v/>
      </c>
      <c r="F369" s="199" t="str">
        <f aca="false">IF(A370="","",E369*AS369)</f>
        <v/>
      </c>
      <c r="G369" s="200" t="str">
        <f aca="false">IF($A370="","",VLOOKUP($A369,Table,MATCH(G$4,Curves,0)))</f>
        <v/>
      </c>
      <c r="H369" s="201" t="str">
        <f aca="false">IF(A370="","",G369)</f>
        <v/>
      </c>
      <c r="I369" s="202"/>
      <c r="J369" s="200" t="str">
        <f aca="false">IF($A370="","",VLOOKUP($A369,Table,MATCH(J$4,Curves,0)))</f>
        <v/>
      </c>
      <c r="K369" s="201" t="str">
        <f aca="false">IF(A370="","",J369)</f>
        <v/>
      </c>
      <c r="L369" s="200" t="str">
        <f aca="false">IF($A370="","",VLOOKUP($A369,Table,MATCH(L$4,Curves,0)))</f>
        <v/>
      </c>
      <c r="M369" s="201" t="str">
        <f aca="false">IF(A370="","",L369)</f>
        <v/>
      </c>
      <c r="N369" s="203"/>
      <c r="O369" s="200" t="str">
        <f aca="false">IF(A370="","",L369+J369+G369)</f>
        <v/>
      </c>
      <c r="P369" s="200" t="str">
        <f aca="false">IF(A370="","",M369+K369+H369)</f>
        <v/>
      </c>
      <c r="Q369" s="204"/>
      <c r="R369" s="200" t="str">
        <f aca="false">IF($A370="","",VLOOKUP($A369,Table,MATCH(R$4,Curves,0)))</f>
        <v/>
      </c>
      <c r="S369" s="201" t="str">
        <f aca="false">IF(A370="","",R369)</f>
        <v/>
      </c>
      <c r="T369" s="200" t="str">
        <f aca="false">IF($A370="","",VLOOKUP($A369,Table,MATCH(T$4,Curves,0)))</f>
        <v/>
      </c>
      <c r="U369" s="201" t="str">
        <f aca="false">IF(A370="","",T369)</f>
        <v/>
      </c>
      <c r="V369" s="183" t="str">
        <f aca="false">IF($A370="","",IF(AND(MONTH(A369)&gt;3,MONTH(A369)&lt;11),(T369+R369+G369)*Summary!$T$7/(1-Summary!$T$7),(T369+R369+G369)*Summary!$U$7/(1-Summary!$U$7)))</f>
        <v/>
      </c>
      <c r="W369" s="200" t="str">
        <f aca="false">IF($A370="","",(T369+R369+G369+V369))</f>
        <v/>
      </c>
      <c r="X369" s="200" t="str">
        <f aca="false">IF($A370="","",(U369+S369+H369+V369))</f>
        <v/>
      </c>
      <c r="Y369" s="202"/>
      <c r="Z369" s="185" t="str">
        <f aca="false">IF($A370="","",VLOOKUP($A369,Table,MATCH(Z$4,Curves,0)))</f>
        <v/>
      </c>
      <c r="AA369" s="185" t="str">
        <f aca="false">IF($A370="","",VLOOKUP($A369,Table,MATCH(AA$4,Curves,0)))</f>
        <v/>
      </c>
      <c r="AB369" s="185" t="e">
        <f aca="false">SQRT((AA369^2*(A369-$D$3)+Z369^2*(DAY(EOMONTH(A369,0))/2))/AK369)</f>
        <v>#VALUE!</v>
      </c>
      <c r="AC369" s="185" t="str">
        <f aca="false">IF($A370="","",VLOOKUP($A369,Table,MATCH(AC$4,Curves,0)))</f>
        <v/>
      </c>
      <c r="AD369" s="185" t="str">
        <f aca="false">IF($A370="","",VLOOKUP($A369,Table,MATCH(AD$4,Curves,0)))</f>
        <v/>
      </c>
      <c r="AE369" s="185" t="e">
        <f aca="false">SQRT((AD369^2*(A369-$D$3)+AC369^2*(DAY(EOMONTH(A369,0))/2))/AK369)</f>
        <v>#VALUE!</v>
      </c>
      <c r="AF369" s="206" t="e">
        <f aca="false">((Summary!$N$7*(AA369*AD369)*(A369-$D$3))+(Summary!$M$7*Z369*AC369*(DAY(EOMONTH(A369,0))/2)))/(AK369*AB369*AE369)</f>
        <v>#VALUE!</v>
      </c>
      <c r="AG369" s="207" t="str">
        <f aca="false">IF($A370="","",Summary!$Q$7)</f>
        <v/>
      </c>
      <c r="AH369" s="207" t="str">
        <f aca="false">IF($A370="","",IF(Summary!$R$7="Y",(VLOOKUP($A369,Summary!$AD$6:$AF$9,3)+'Escalating commodity'!C382),'Escalating commodity'!C382))</f>
        <v/>
      </c>
      <c r="AI369" s="207" t="str">
        <f aca="false">IF($A370="","",AH369)</f>
        <v/>
      </c>
      <c r="AJ369" s="208" t="e">
        <f aca="false">A369+DAY(EOMONTH(A369,0))/2-1</f>
        <v>#VALUE!</v>
      </c>
      <c r="AK369" s="209" t="str">
        <f aca="false">IF($A370="","",$A369-$E$1)</f>
        <v/>
      </c>
      <c r="AL369" s="182" t="str">
        <f aca="false">IF($A370="","",SPRDOPT(P369,X369,AI369,0,AB369,AE369,AF369,AK369,$AJ$2,0))</f>
        <v/>
      </c>
      <c r="AM369" s="210" t="str">
        <f aca="false">IF($A370="","",MAX(0,O369-W369-AI369))</f>
        <v/>
      </c>
      <c r="AN369" s="211" t="str">
        <f aca="false">IF($A370="","",AL369-AM369)</f>
        <v/>
      </c>
      <c r="AO369" s="137" t="str">
        <f aca="false">IF(A370="","",A370-A369)</f>
        <v/>
      </c>
      <c r="AP369" s="212" t="str">
        <f aca="false">IF(A370="","",CHOOSE(F$3,A370+24,A369))</f>
        <v/>
      </c>
      <c r="AQ369" s="209" t="str">
        <f aca="false">IF(A370="","",AP369-$E$1)</f>
        <v/>
      </c>
      <c r="AR369" s="185" t="n">
        <f aca="false">IF(Summary!$H$2=1,VLOOKUP('ANR OK vs ML7'!A369,Curves!$C$17:$AR$273,MATCH('ANR OK vs ML7'!$AR$4,Curves!$C$8:$AQ$8,0)),0.1)</f>
        <v>0.1</v>
      </c>
      <c r="AS369" s="213" t="str">
        <f aca="false">IF(A370="","",1/(1+CHOOSE(F$3,(AR370+($I$3/10000))/2,(AR369+($I$3/10000))/2))^(2*AQ369/365.25))</f>
        <v/>
      </c>
      <c r="AT369" s="137" t="str">
        <f aca="false">IF(A370="","",IF(AND(mthbeg&lt;=A369,mthend&gt;=A369),1,0))</f>
        <v/>
      </c>
      <c r="AU369" s="137" t="str">
        <f aca="false">IF(A370="","",AO369*AT369)</f>
        <v/>
      </c>
      <c r="AW369" s="195" t="str">
        <f aca="false">IF($A370="","",AL369*$E369)</f>
        <v/>
      </c>
      <c r="AX369" s="195" t="str">
        <f aca="false">IF($A370="","",AM369*$E369)</f>
        <v/>
      </c>
      <c r="AY369" s="195" t="str">
        <f aca="false">IF($A370="","",AN369*$E369)</f>
        <v/>
      </c>
      <c r="BA369" s="195" t="str">
        <f aca="false">IF($A370="","",F369*Summary!$Q$7)</f>
        <v/>
      </c>
    </row>
    <row r="370" customFormat="false" ht="12.75" hidden="false" customHeight="false" outlineLevel="0" collapsed="false">
      <c r="A370" s="196" t="str">
        <f aca="false">IF(A369&lt;mthend,EDATE(A369,1),"")</f>
        <v/>
      </c>
      <c r="B370" s="197" t="str">
        <f aca="false">IF(A370&lt;mthend,B369,"")</f>
        <v/>
      </c>
      <c r="C370" s="216"/>
      <c r="D370" s="197" t="str">
        <f aca="false">IF(A371&lt;&gt;"",B370+C370,"")</f>
        <v/>
      </c>
      <c r="E370" s="199" t="str">
        <f aca="false">IF(A371="","",IF(AND(AT370=1,$H$3=1),D370*AO370,IF($H$3=2,D370,"N/A")))</f>
        <v/>
      </c>
      <c r="F370" s="199" t="str">
        <f aca="false">IF(A371="","",E370*AS370)</f>
        <v/>
      </c>
      <c r="G370" s="200" t="str">
        <f aca="false">IF($A371="","",VLOOKUP($A370,Table,MATCH(G$4,Curves,0)))</f>
        <v/>
      </c>
      <c r="H370" s="201" t="str">
        <f aca="false">IF(A371="","",G370)</f>
        <v/>
      </c>
      <c r="J370" s="200" t="str">
        <f aca="false">IF($A371="","",VLOOKUP($A370,Table,MATCH(J$4,Curves,0)))</f>
        <v/>
      </c>
      <c r="K370" s="201" t="str">
        <f aca="false">IF(A371="","",J370)</f>
        <v/>
      </c>
      <c r="L370" s="200" t="str">
        <f aca="false">IF($A371="","",VLOOKUP($A370,Table,MATCH(L$4,Curves,0)))</f>
        <v/>
      </c>
      <c r="M370" s="201" t="str">
        <f aca="false">IF(A371="","",L370)</f>
        <v/>
      </c>
      <c r="O370" s="200" t="str">
        <f aca="false">IF(A371="","",L370+J370+G370)</f>
        <v/>
      </c>
      <c r="P370" s="200" t="str">
        <f aca="false">IF(A371="","",M370+K370+H370)</f>
        <v/>
      </c>
      <c r="R370" s="200" t="str">
        <f aca="false">IF($A371="","",VLOOKUP($A370,Table,MATCH(R$4,Curves,0)))</f>
        <v/>
      </c>
      <c r="S370" s="201" t="str">
        <f aca="false">IF(A371="","",R370)</f>
        <v/>
      </c>
      <c r="T370" s="200" t="str">
        <f aca="false">IF($A371="","",VLOOKUP($A370,Table,MATCH(T$4,Curves,0)))</f>
        <v/>
      </c>
      <c r="U370" s="201" t="str">
        <f aca="false">IF(A371="","",T370)</f>
        <v/>
      </c>
      <c r="V370" s="183" t="str">
        <f aca="false">IF($A371="","",IF(AND(MONTH(A370)&gt;3,MONTH(A370)&lt;11),(T370+R370+G370)*Summary!$T$7/(1-Summary!$T$7),(T370+R370+G370)*Summary!$U$7/(1-Summary!$U$7)))</f>
        <v/>
      </c>
      <c r="W370" s="200" t="str">
        <f aca="false">IF($A371="","",(T370+R370+G370+V370))</f>
        <v/>
      </c>
      <c r="X370" s="200" t="str">
        <f aca="false">IF($A371="","",(U370+S370+H370+V370))</f>
        <v/>
      </c>
      <c r="Y370" s="202"/>
      <c r="Z370" s="185"/>
      <c r="AA370" s="21"/>
      <c r="AB370" s="21"/>
      <c r="AC370" s="21"/>
      <c r="AD370" s="21"/>
      <c r="AE370" s="21"/>
      <c r="AF370" s="21"/>
      <c r="AG370" s="182"/>
      <c r="AH370" s="182"/>
      <c r="AI370" s="182"/>
      <c r="AO370" s="137" t="str">
        <f aca="false">IF(A371="","",A371-A370)</f>
        <v/>
      </c>
      <c r="AP370" s="212" t="str">
        <f aca="false">IF(A371="","",CHOOSE(F$3,A371+24,A370))</f>
        <v/>
      </c>
      <c r="AQ370" s="209" t="str">
        <f aca="false">IF(A371="","",AP370-$E$1)</f>
        <v/>
      </c>
      <c r="AR370" s="185" t="n">
        <f aca="false">IF(Summary!$H$2=1,VLOOKUP('ANR OK vs ML7'!A370,Curves!$C$17:$AR$273,MATCH('ANR OK vs ML7'!$AR$4,Curves!$C$8:$AQ$8,0)),0.1)</f>
        <v>0.1</v>
      </c>
      <c r="AS370" s="213" t="str">
        <f aca="false">IF(A371="","",1/(1+CHOOSE(F$3,(AR371+($I$3/10000))/2,(AR370+($I$3/10000))/2))^(2*AQ370/365.25))</f>
        <v/>
      </c>
      <c r="AT370" s="137" t="str">
        <f aca="false">IF(A371="","",IF(AND(mthbeg&lt;=A370,mthend&gt;=A370),1,0))</f>
        <v/>
      </c>
      <c r="AU370" s="137" t="str">
        <f aca="false">IF(A371="","",AO370*AT370)</f>
        <v/>
      </c>
      <c r="AW370" s="195" t="str">
        <f aca="false">IF($A371="","",AL370*$E370)</f>
        <v/>
      </c>
      <c r="AX370" s="195" t="str">
        <f aca="false">IF($A371="","",AM370*$E370)</f>
        <v/>
      </c>
      <c r="AY370" s="195" t="str">
        <f aca="false">IF($A371="","",AN370*$E370)</f>
        <v/>
      </c>
      <c r="BA370" s="195" t="str">
        <f aca="false">IF($A371="","",F370*Summary!$Q$7)</f>
        <v/>
      </c>
    </row>
    <row r="371" customFormat="false" ht="12.75" hidden="false" customHeight="false" outlineLevel="0" collapsed="false">
      <c r="A371" s="196" t="str">
        <f aca="false">IF(A370&lt;mthend,EDATE(A370,1),"")</f>
        <v/>
      </c>
      <c r="B371" s="197" t="str">
        <f aca="false">IF(A371&lt;mthend,B370,"")</f>
        <v/>
      </c>
      <c r="D371" s="197" t="str">
        <f aca="false">IF(A372&lt;&gt;"",B371+C371,"")</f>
        <v/>
      </c>
      <c r="E371" s="199" t="str">
        <f aca="false">IF(A372="","",IF(AND(AT371=1,$H$3=1),D371*AO371,IF($H$3=2,D371,"N/A")))</f>
        <v/>
      </c>
      <c r="F371" s="199" t="str">
        <f aca="false">IF(A372="","",E371*AS371)</f>
        <v/>
      </c>
      <c r="G371" s="200" t="str">
        <f aca="false">IF($A372="","",VLOOKUP($A371,Table,MATCH(G$4,Curves,0)))</f>
        <v/>
      </c>
      <c r="H371" s="201" t="str">
        <f aca="false">IF(A372="","",G371)</f>
        <v/>
      </c>
      <c r="J371" s="200" t="str">
        <f aca="false">IF($A372="","",VLOOKUP($A371,Table,MATCH(J$4,Curves,0)))</f>
        <v/>
      </c>
      <c r="K371" s="201" t="str">
        <f aca="false">IF(A372="","",J371)</f>
        <v/>
      </c>
      <c r="L371" s="200" t="str">
        <f aca="false">IF($A372="","",VLOOKUP($A371,Table,MATCH(L$4,Curves,0)))</f>
        <v/>
      </c>
      <c r="M371" s="201" t="str">
        <f aca="false">IF(A372="","",L371)</f>
        <v/>
      </c>
      <c r="O371" s="200" t="str">
        <f aca="false">IF(A372="","",L371+J371+G371)</f>
        <v/>
      </c>
      <c r="P371" s="200" t="str">
        <f aca="false">IF(A372="","",M371+K371+H371)</f>
        <v/>
      </c>
      <c r="R371" s="200" t="str">
        <f aca="false">IF($A372="","",VLOOKUP($A371,Table,MATCH(R$4,Curves,0)))</f>
        <v/>
      </c>
      <c r="S371" s="201" t="str">
        <f aca="false">IF(A372="","",R371)</f>
        <v/>
      </c>
      <c r="T371" s="200" t="str">
        <f aca="false">IF($A372="","",VLOOKUP($A371,Table,MATCH(T$4,Curves,0)))</f>
        <v/>
      </c>
      <c r="U371" s="201" t="str">
        <f aca="false">IF(A372="","",T371)</f>
        <v/>
      </c>
      <c r="V371" s="183" t="str">
        <f aca="false">IF($A372="","",IF(AND(MONTH(A371)&gt;3,MONTH(A371)&lt;11),(T371+R371+G371)*Summary!$T$7/(1-Summary!$T$7),(T371+R371+G371)*Summary!$U$7/(1-Summary!$U$7)))</f>
        <v/>
      </c>
      <c r="W371" s="200" t="str">
        <f aca="false">IF($A372="","",(T371+R371+G371+V371))</f>
        <v/>
      </c>
      <c r="X371" s="200" t="str">
        <f aca="false">IF($A372="","",(U371+S371+H371+V371))</f>
        <v/>
      </c>
      <c r="Y371" s="202"/>
      <c r="Z371" s="185"/>
      <c r="AG371" s="182"/>
      <c r="AH371" s="182"/>
      <c r="AI371" s="182"/>
      <c r="AJ371" s="217"/>
      <c r="AK371" s="217"/>
      <c r="AL371" s="217"/>
      <c r="AM371" s="217"/>
      <c r="AN371" s="217"/>
      <c r="AO371" s="137" t="str">
        <f aca="false">IF(A372="","",A372-A371)</f>
        <v/>
      </c>
      <c r="AP371" s="212" t="str">
        <f aca="false">IF(A372="","",CHOOSE(F$3,A372+24,A371))</f>
        <v/>
      </c>
      <c r="AQ371" s="209" t="str">
        <f aca="false">IF(A372="","",AP371-$E$1)</f>
        <v/>
      </c>
      <c r="AR371" s="185" t="n">
        <f aca="false">IF(Summary!$H$2=1,VLOOKUP('ANR OK vs ML7'!A371,Curves!$C$17:$AR$273,MATCH('ANR OK vs ML7'!$AR$4,Curves!$C$8:$AQ$8,0)),0.1)</f>
        <v>0.1</v>
      </c>
      <c r="AS371" s="213" t="str">
        <f aca="false">IF(A372="","",1/(1+CHOOSE(F$3,(AR372+($I$3/10000))/2,(AR371+($I$3/10000))/2))^(2*AQ371/365.25))</f>
        <v/>
      </c>
      <c r="AT371" s="137" t="str">
        <f aca="false">IF(A372="","",IF(AND(mthbeg&lt;=A371,mthend&gt;=A371),1,0))</f>
        <v/>
      </c>
      <c r="AU371" s="137" t="str">
        <f aca="false">IF(A372="","",AO371*AT371)</f>
        <v/>
      </c>
      <c r="AW371" s="195" t="str">
        <f aca="false">IF($A372="","",AL371*$E371)</f>
        <v/>
      </c>
      <c r="AX371" s="195" t="str">
        <f aca="false">IF($A372="","",AM371*$E371)</f>
        <v/>
      </c>
      <c r="AY371" s="195" t="str">
        <f aca="false">IF($A372="","",AN371*$E371)</f>
        <v/>
      </c>
      <c r="BA371" s="195" t="str">
        <f aca="false">IF($A372="","",F371*Summary!$Q$7)</f>
        <v/>
      </c>
    </row>
    <row r="372" customFormat="false" ht="12.75" hidden="false" customHeight="false" outlineLevel="0" collapsed="false">
      <c r="A372" s="196" t="str">
        <f aca="false">IF(A371&lt;mthend,EDATE(A371,1),"")</f>
        <v/>
      </c>
      <c r="B372" s="197" t="str">
        <f aca="false">IF(A372&lt;mthend,B371,"")</f>
        <v/>
      </c>
      <c r="D372" s="197" t="str">
        <f aca="false">IF(A373&lt;&gt;"",B372+C372,"")</f>
        <v/>
      </c>
      <c r="E372" s="199" t="str">
        <f aca="false">IF(A373="","",IF(AND(AT372=1,$H$3=1),D372*AO372,IF($H$3=2,D372,"N/A")))</f>
        <v/>
      </c>
      <c r="F372" s="199" t="str">
        <f aca="false">IF(A373="","",E372*AS372)</f>
        <v/>
      </c>
      <c r="G372" s="200" t="str">
        <f aca="false">IF($A373="","",VLOOKUP($A372,Table,MATCH(G$4,Curves,0)))</f>
        <v/>
      </c>
      <c r="H372" s="201" t="str">
        <f aca="false">IF(A373="","",G372)</f>
        <v/>
      </c>
      <c r="J372" s="200" t="str">
        <f aca="false">IF($A373="","",VLOOKUP($A372,Table,MATCH(J$4,Curves,0)))</f>
        <v/>
      </c>
      <c r="K372" s="201" t="str">
        <f aca="false">IF(A373="","",J372)</f>
        <v/>
      </c>
      <c r="L372" s="200" t="str">
        <f aca="false">IF($A373="","",VLOOKUP($A372,Table,MATCH(L$4,Curves,0)))</f>
        <v/>
      </c>
      <c r="M372" s="201" t="str">
        <f aca="false">IF(A373="","",L372)</f>
        <v/>
      </c>
      <c r="O372" s="200" t="str">
        <f aca="false">IF(A373="","",L372+J372+G372)</f>
        <v/>
      </c>
      <c r="P372" s="200" t="str">
        <f aca="false">IF(A373="","",M372+K372+H372)</f>
        <v/>
      </c>
      <c r="R372" s="200" t="str">
        <f aca="false">IF($A373="","",VLOOKUP($A372,Table,MATCH(R$4,Curves,0)))</f>
        <v/>
      </c>
      <c r="S372" s="201" t="str">
        <f aca="false">IF(A373="","",R372)</f>
        <v/>
      </c>
      <c r="T372" s="200" t="str">
        <f aca="false">IF($A373="","",VLOOKUP($A372,Table,MATCH(T$4,Curves,0)))</f>
        <v/>
      </c>
      <c r="U372" s="201" t="str">
        <f aca="false">IF(A373="","",T372)</f>
        <v/>
      </c>
      <c r="V372" s="183" t="str">
        <f aca="false">IF($A373="","",IF(AND(MONTH(A372)&gt;3,MONTH(A372)&lt;11),(T372+R372+G372)*Summary!$T$7/(1-Summary!$T$7),(T372+R372+G372)*Summary!$U$7/(1-Summary!$U$7)))</f>
        <v/>
      </c>
      <c r="W372" s="200" t="str">
        <f aca="false">IF($A373="","",(T372+R372+G372+V372))</f>
        <v/>
      </c>
      <c r="X372" s="200" t="str">
        <f aca="false">IF($A373="","",(U372+S372+H372+V372))</f>
        <v/>
      </c>
      <c r="Y372" s="202"/>
      <c r="Z372" s="185"/>
      <c r="AG372" s="182"/>
      <c r="AH372" s="182"/>
      <c r="AI372" s="182"/>
      <c r="AJ372" s="218"/>
      <c r="AK372" s="218"/>
      <c r="AL372" s="218"/>
      <c r="AM372" s="218"/>
      <c r="AN372" s="218"/>
      <c r="AO372" s="137" t="str">
        <f aca="false">IF(A373="","",A373-A372)</f>
        <v/>
      </c>
      <c r="AP372" s="212" t="str">
        <f aca="false">IF(A373="","",CHOOSE(F$3,A373+24,A372))</f>
        <v/>
      </c>
      <c r="AQ372" s="209" t="str">
        <f aca="false">IF(A373="","",AP372-$E$1)</f>
        <v/>
      </c>
      <c r="AR372" s="185" t="n">
        <f aca="false">IF(Summary!$H$2=1,VLOOKUP('ANR OK vs ML7'!A372,Curves!$C$17:$AR$273,MATCH('ANR OK vs ML7'!$AR$4,Curves!$C$8:$AQ$8,0)),0.1)</f>
        <v>0.1</v>
      </c>
      <c r="AS372" s="213" t="str">
        <f aca="false">IF(A373="","",1/(1+CHOOSE(F$3,(AR373+($I$3/10000))/2,(AR372+($I$3/10000))/2))^(2*AQ372/365.25))</f>
        <v/>
      </c>
      <c r="AT372" s="137" t="str">
        <f aca="false">IF(A373="","",IF(AND(mthbeg&lt;=A372,mthend&gt;=A372),1,0))</f>
        <v/>
      </c>
      <c r="AU372" s="137" t="str">
        <f aca="false">IF(A373="","",AO372*AT372)</f>
        <v/>
      </c>
      <c r="AW372" s="195" t="str">
        <f aca="false">IF($A373="","",AL372*$E372)</f>
        <v/>
      </c>
      <c r="AX372" s="195" t="str">
        <f aca="false">IF($A373="","",AM372*$E372)</f>
        <v/>
      </c>
      <c r="AY372" s="195" t="str">
        <f aca="false">IF($A373="","",AN372*$E372)</f>
        <v/>
      </c>
      <c r="BA372" s="195" t="str">
        <f aca="false">IF($A373="","",F372*Summary!$Q$7)</f>
        <v/>
      </c>
    </row>
    <row r="373" customFormat="false" ht="12.75" hidden="false" customHeight="false" outlineLevel="0" collapsed="false">
      <c r="A373" s="196" t="str">
        <f aca="false">IF(A372&lt;mthend,EDATE(A372,1),"")</f>
        <v/>
      </c>
      <c r="B373" s="197" t="str">
        <f aca="false">IF(A373&lt;mthend,B372,"")</f>
        <v/>
      </c>
      <c r="D373" s="197" t="str">
        <f aca="false">IF(A374&lt;&gt;"",B373+C373,"")</f>
        <v/>
      </c>
      <c r="E373" s="199" t="str">
        <f aca="false">IF(A374="","",IF(AND(AT373=1,$H$3=1),D373*AO373,IF($H$3=2,D373,"N/A")))</f>
        <v/>
      </c>
      <c r="F373" s="199" t="str">
        <f aca="false">IF(A374="","",E373*AS373)</f>
        <v/>
      </c>
      <c r="G373" s="200" t="str">
        <f aca="false">IF($A374="","",VLOOKUP($A373,Table,MATCH(G$4,Curves,0)))</f>
        <v/>
      </c>
      <c r="H373" s="201" t="str">
        <f aca="false">IF(A374="","",G373)</f>
        <v/>
      </c>
      <c r="J373" s="200" t="str">
        <f aca="false">IF($A374="","",VLOOKUP($A373,Table,MATCH(J$4,Curves,0)))</f>
        <v/>
      </c>
      <c r="K373" s="201" t="str">
        <f aca="false">IF(A374="","",J373)</f>
        <v/>
      </c>
      <c r="L373" s="200" t="str">
        <f aca="false">IF($A374="","",VLOOKUP($A373,Table,MATCH(L$4,Curves,0)))</f>
        <v/>
      </c>
      <c r="M373" s="201" t="str">
        <f aca="false">IF(A374="","",L373)</f>
        <v/>
      </c>
      <c r="O373" s="200" t="str">
        <f aca="false">IF(A374="","",L373+J373+G373)</f>
        <v/>
      </c>
      <c r="P373" s="200" t="str">
        <f aca="false">IF(A374="","",M373+K373+H373)</f>
        <v/>
      </c>
      <c r="R373" s="200" t="str">
        <f aca="false">IF($A374="","",VLOOKUP($A373,Table,MATCH(R$4,Curves,0)))</f>
        <v/>
      </c>
      <c r="S373" s="201" t="str">
        <f aca="false">IF(A374="","",R373)</f>
        <v/>
      </c>
      <c r="T373" s="200" t="str">
        <f aca="false">IF($A374="","",VLOOKUP($A373,Table,MATCH(T$4,Curves,0)))</f>
        <v/>
      </c>
      <c r="U373" s="201" t="str">
        <f aca="false">IF(A374="","",T373)</f>
        <v/>
      </c>
      <c r="V373" s="183" t="str">
        <f aca="false">IF($A374="","",IF(AND(MONTH(A373)&gt;3,MONTH(A373)&lt;11),(T373+R373+G373)*Summary!$T$7/(1-Summary!$T$7),(T373+R373+G373)*Summary!$U$7/(1-Summary!$U$7)))</f>
        <v/>
      </c>
      <c r="W373" s="200" t="str">
        <f aca="false">IF($A374="","",(T373+R373+G373+V373))</f>
        <v/>
      </c>
      <c r="X373" s="200" t="str">
        <f aca="false">IF($A374="","",(U373+S373+H373+V373))</f>
        <v/>
      </c>
      <c r="Y373" s="202"/>
      <c r="Z373" s="185"/>
      <c r="AG373" s="182"/>
      <c r="AH373" s="182"/>
      <c r="AI373" s="182"/>
      <c r="AJ373" s="218"/>
      <c r="AK373" s="218"/>
      <c r="AL373" s="218"/>
      <c r="AM373" s="218"/>
      <c r="AN373" s="218"/>
      <c r="AO373" s="137" t="str">
        <f aca="false">IF(A374="","",A374-A373)</f>
        <v/>
      </c>
      <c r="AP373" s="212" t="str">
        <f aca="false">IF(A374="","",CHOOSE(F$3,A374+24,A373))</f>
        <v/>
      </c>
      <c r="AQ373" s="209" t="str">
        <f aca="false">IF(A374="","",AP373-$E$1)</f>
        <v/>
      </c>
      <c r="AR373" s="185" t="n">
        <f aca="false">IF(Summary!$H$2=1,VLOOKUP('ANR OK vs ML7'!A373,Curves!$C$17:$AR$273,MATCH('ANR OK vs ML7'!$AR$4,Curves!$C$8:$AQ$8,0)),0.1)</f>
        <v>0.1</v>
      </c>
      <c r="AS373" s="213" t="str">
        <f aca="false">IF(A374="","",1/(1+CHOOSE(F$3,(AR374+($I$3/10000))/2,(AR373+($I$3/10000))/2))^(2*AQ373/365.25))</f>
        <v/>
      </c>
      <c r="AT373" s="137" t="str">
        <f aca="false">IF(A374="","",IF(AND(mthbeg&lt;=A373,mthend&gt;=A373),1,0))</f>
        <v/>
      </c>
      <c r="AU373" s="137" t="str">
        <f aca="false">IF(A374="","",AO373*AT373)</f>
        <v/>
      </c>
      <c r="AW373" s="195" t="str">
        <f aca="false">IF($A374="","",AL373*$E373)</f>
        <v/>
      </c>
      <c r="AX373" s="195" t="str">
        <f aca="false">IF($A374="","",AM373*$E373)</f>
        <v/>
      </c>
      <c r="AY373" s="195" t="str">
        <f aca="false">IF($A374="","",AN373*$E373)</f>
        <v/>
      </c>
      <c r="BA373" s="195" t="str">
        <f aca="false">IF($A374="","",F373*Summary!$Q$7)</f>
        <v/>
      </c>
    </row>
    <row r="374" customFormat="false" ht="12.75" hidden="false" customHeight="false" outlineLevel="0" collapsed="false">
      <c r="A374" s="196" t="str">
        <f aca="false">IF(A373&lt;mthend,EDATE(A373,1),"")</f>
        <v/>
      </c>
      <c r="B374" s="197" t="str">
        <f aca="false">IF(A374&lt;mthend,B373,"")</f>
        <v/>
      </c>
      <c r="D374" s="197" t="str">
        <f aca="false">IF(A375&lt;&gt;"",B374+C374,"")</f>
        <v/>
      </c>
      <c r="E374" s="199" t="str">
        <f aca="false">IF(A375="","",IF(AND(AT374=1,$H$3=1),D374*AO374,IF($H$3=2,D374,"N/A")))</f>
        <v/>
      </c>
      <c r="F374" s="199" t="str">
        <f aca="false">IF(A375="","",E374*AS374)</f>
        <v/>
      </c>
      <c r="G374" s="200" t="str">
        <f aca="false">IF($A375="","",VLOOKUP($A374,Table,MATCH(G$4,Curves,0)))</f>
        <v/>
      </c>
      <c r="H374" s="201" t="str">
        <f aca="false">IF(A375="","",G374)</f>
        <v/>
      </c>
      <c r="J374" s="200" t="str">
        <f aca="false">IF($A375="","",VLOOKUP($A374,Table,MATCH(J$4,Curves,0)))</f>
        <v/>
      </c>
      <c r="K374" s="201" t="str">
        <f aca="false">IF(A375="","",J374)</f>
        <v/>
      </c>
      <c r="L374" s="200" t="str">
        <f aca="false">IF($A375="","",VLOOKUP($A374,Table,MATCH(L$4,Curves,0)))</f>
        <v/>
      </c>
      <c r="M374" s="201" t="str">
        <f aca="false">IF(A375="","",L374)</f>
        <v/>
      </c>
      <c r="O374" s="200" t="str">
        <f aca="false">IF(A375="","",L374+J374+G374)</f>
        <v/>
      </c>
      <c r="P374" s="200" t="str">
        <f aca="false">IF(A375="","",M374+K374+H374)</f>
        <v/>
      </c>
      <c r="R374" s="200" t="str">
        <f aca="false">IF($A375="","",VLOOKUP($A374,Table,MATCH(R$4,Curves,0)))</f>
        <v/>
      </c>
      <c r="S374" s="201" t="str">
        <f aca="false">IF(A375="","",R374)</f>
        <v/>
      </c>
      <c r="T374" s="200" t="str">
        <f aca="false">IF($A375="","",VLOOKUP($A374,Table,MATCH(T$4,Curves,0)))</f>
        <v/>
      </c>
      <c r="U374" s="201" t="str">
        <f aca="false">IF(A375="","",T374)</f>
        <v/>
      </c>
      <c r="V374" s="183" t="str">
        <f aca="false">IF($A375="","",IF(AND(MONTH(A374)&gt;3,MONTH(A374)&lt;11),(T374+R374+G374)*Summary!$T$7/(1-Summary!$T$7),(T374+R374+G374)*Summary!$U$7/(1-Summary!$U$7)))</f>
        <v/>
      </c>
      <c r="W374" s="200" t="str">
        <f aca="false">IF($A375="","",(T374+R374+G374+V374))</f>
        <v/>
      </c>
      <c r="X374" s="200" t="str">
        <f aca="false">IF($A375="","",(U374+S374+H374+V374))</f>
        <v/>
      </c>
      <c r="Y374" s="202"/>
      <c r="Z374" s="185"/>
      <c r="AG374" s="182"/>
      <c r="AH374" s="182"/>
      <c r="AI374" s="182"/>
      <c r="AJ374" s="218"/>
      <c r="AK374" s="218"/>
      <c r="AL374" s="218"/>
      <c r="AM374" s="218"/>
      <c r="AN374" s="218"/>
      <c r="AO374" s="137" t="str">
        <f aca="false">IF(A375="","",A375-A374)</f>
        <v/>
      </c>
      <c r="AP374" s="212" t="str">
        <f aca="false">IF(A375="","",CHOOSE(F$3,A375+24,A374))</f>
        <v/>
      </c>
      <c r="AQ374" s="209" t="str">
        <f aca="false">IF(A375="","",AP374-$E$1)</f>
        <v/>
      </c>
      <c r="AR374" s="185" t="n">
        <f aca="false">IF(Summary!$H$2=1,VLOOKUP('ANR OK vs ML7'!A374,Curves!$C$17:$AR$273,MATCH('ANR OK vs ML7'!$AR$4,Curves!$C$8:$AQ$8,0)),0.1)</f>
        <v>0.1</v>
      </c>
      <c r="AS374" s="213" t="str">
        <f aca="false">IF(A375="","",1/(1+CHOOSE(F$3,(AR375+($I$3/10000))/2,(AR374+($I$3/10000))/2))^(2*AQ374/365.25))</f>
        <v/>
      </c>
      <c r="AT374" s="137" t="str">
        <f aca="false">IF(A375="","",IF(AND(mthbeg&lt;=A374,mthend&gt;=A374),1,0))</f>
        <v/>
      </c>
      <c r="AU374" s="137" t="str">
        <f aca="false">IF(A375="","",AO374*AT374)</f>
        <v/>
      </c>
      <c r="AW374" s="195" t="str">
        <f aca="false">IF($A375="","",AL374*$E374)</f>
        <v/>
      </c>
      <c r="AX374" s="195" t="str">
        <f aca="false">IF($A375="","",AM374*$E374)</f>
        <v/>
      </c>
      <c r="AY374" s="195" t="str">
        <f aca="false">IF($A375="","",AN374*$E374)</f>
        <v/>
      </c>
      <c r="BA374" s="195" t="str">
        <f aca="false">IF($A375="","",F374*Summary!$Q$7)</f>
        <v/>
      </c>
    </row>
    <row r="375" customFormat="false" ht="12.75" hidden="false" customHeight="false" outlineLevel="0" collapsed="false">
      <c r="A375" s="196" t="str">
        <f aca="false">IF(A374&lt;mthend,EDATE(A374,1),"")</f>
        <v/>
      </c>
      <c r="B375" s="197" t="str">
        <f aca="false">IF(A375&lt;mthend,B374,"")</f>
        <v/>
      </c>
      <c r="D375" s="197" t="str">
        <f aca="false">IF(A376&lt;&gt;"",B375+C375,"")</f>
        <v/>
      </c>
      <c r="E375" s="199" t="str">
        <f aca="false">IF(A376="","",IF(AND(AT375=1,$H$3=1),D375*AO375,IF($H$3=2,D375,"N/A")))</f>
        <v/>
      </c>
      <c r="F375" s="199" t="str">
        <f aca="false">IF(A376="","",E375*AS375)</f>
        <v/>
      </c>
      <c r="G375" s="200" t="str">
        <f aca="false">IF($A376="","",VLOOKUP($A375,Table,MATCH(G$4,Curves,0)))</f>
        <v/>
      </c>
      <c r="H375" s="201" t="str">
        <f aca="false">IF(A376="","",G375)</f>
        <v/>
      </c>
      <c r="J375" s="200" t="str">
        <f aca="false">IF($A376="","",VLOOKUP($A375,Table,MATCH(J$4,Curves,0)))</f>
        <v/>
      </c>
      <c r="K375" s="201" t="str">
        <f aca="false">IF(A376="","",J375)</f>
        <v/>
      </c>
      <c r="L375" s="200" t="str">
        <f aca="false">IF($A376="","",VLOOKUP($A375,Table,MATCH(L$4,Curves,0)))</f>
        <v/>
      </c>
      <c r="M375" s="201" t="str">
        <f aca="false">IF(A376="","",L375)</f>
        <v/>
      </c>
      <c r="O375" s="200" t="str">
        <f aca="false">IF(A376="","",L375+J375+G375)</f>
        <v/>
      </c>
      <c r="P375" s="200" t="str">
        <f aca="false">IF(A376="","",M375+K375+H375)</f>
        <v/>
      </c>
      <c r="R375" s="200" t="str">
        <f aca="false">IF($A376="","",VLOOKUP($A375,Table,MATCH(R$4,Curves,0)))</f>
        <v/>
      </c>
      <c r="S375" s="201" t="str">
        <f aca="false">IF(A376="","",R375)</f>
        <v/>
      </c>
      <c r="T375" s="200" t="str">
        <f aca="false">IF($A376="","",VLOOKUP($A375,Table,MATCH(T$4,Curves,0)))</f>
        <v/>
      </c>
      <c r="U375" s="201" t="str">
        <f aca="false">IF(A376="","",T375)</f>
        <v/>
      </c>
      <c r="V375" s="183" t="str">
        <f aca="false">IF($A376="","",IF(AND(MONTH(A375)&gt;3,MONTH(A375)&lt;11),(T375+R375+G375)*Summary!$T$7/(1-Summary!$T$7),(T375+R375+G375)*Summary!$U$7/(1-Summary!$U$7)))</f>
        <v/>
      </c>
      <c r="W375" s="200" t="str">
        <f aca="false">IF($A376="","",(T375+R375+G375+V375))</f>
        <v/>
      </c>
      <c r="X375" s="200" t="str">
        <f aca="false">IF($A376="","",(U375+S375+H375+V375))</f>
        <v/>
      </c>
      <c r="Y375" s="202"/>
      <c r="Z375" s="185"/>
      <c r="AG375" s="182"/>
      <c r="AH375" s="182"/>
      <c r="AI375" s="182"/>
      <c r="AJ375" s="218"/>
      <c r="AK375" s="218"/>
      <c r="AL375" s="218"/>
      <c r="AM375" s="218"/>
      <c r="AN375" s="218"/>
      <c r="AO375" s="137" t="str">
        <f aca="false">IF(A376="","",A376-A375)</f>
        <v/>
      </c>
      <c r="AP375" s="212" t="str">
        <f aca="false">IF(A376="","",CHOOSE(F$3,A376+24,A375))</f>
        <v/>
      </c>
      <c r="AQ375" s="209" t="str">
        <f aca="false">IF(A376="","",AP375-$E$1)</f>
        <v/>
      </c>
      <c r="AR375" s="185" t="n">
        <f aca="false">IF(Summary!$H$2=1,VLOOKUP('ANR OK vs ML7'!A375,Curves!$C$17:$AR$273,MATCH('ANR OK vs ML7'!$AR$4,Curves!$C$8:$AQ$8,0)),0.1)</f>
        <v>0.1</v>
      </c>
      <c r="AS375" s="213" t="str">
        <f aca="false">IF(A376="","",1/(1+CHOOSE(F$3,(AR376+($I$3/10000))/2,(AR375+($I$3/10000))/2))^(2*AQ375/365.25))</f>
        <v/>
      </c>
      <c r="AT375" s="137" t="str">
        <f aca="false">IF(A376="","",IF(AND(mthbeg&lt;=A375,mthend&gt;=A375),1,0))</f>
        <v/>
      </c>
      <c r="AU375" s="137" t="str">
        <f aca="false">IF(A376="","",AO375*AT375)</f>
        <v/>
      </c>
      <c r="AW375" s="195" t="str">
        <f aca="false">IF($A376="","",AL375*$E375)</f>
        <v/>
      </c>
      <c r="AX375" s="195" t="str">
        <f aca="false">IF($A376="","",AM375*$E375)</f>
        <v/>
      </c>
      <c r="AY375" s="195" t="str">
        <f aca="false">IF($A376="","",AN375*$E375)</f>
        <v/>
      </c>
      <c r="BA375" s="195" t="str">
        <f aca="false">IF($A376="","",F375*Summary!$Q$7)</f>
        <v/>
      </c>
    </row>
    <row r="376" customFormat="false" ht="12.75" hidden="false" customHeight="false" outlineLevel="0" collapsed="false">
      <c r="A376" s="196" t="str">
        <f aca="false">IF(A375&lt;mthend,EDATE(A375,1),"")</f>
        <v/>
      </c>
      <c r="B376" s="197" t="str">
        <f aca="false">IF(A376&lt;mthend,B375,"")</f>
        <v/>
      </c>
      <c r="D376" s="197" t="str">
        <f aca="false">IF(A377&lt;&gt;"",B376+C376,"")</f>
        <v/>
      </c>
      <c r="E376" s="199" t="str">
        <f aca="false">IF(A377="","",IF(AND(AT376=1,$H$3=1),D376*AO376,IF($H$3=2,D376,"N/A")))</f>
        <v/>
      </c>
      <c r="F376" s="199" t="str">
        <f aca="false">IF(A377="","",E376*AS376)</f>
        <v/>
      </c>
      <c r="G376" s="200" t="str">
        <f aca="false">IF($A377="","",VLOOKUP($A376,Table,MATCH(G$4,Curves,0)))</f>
        <v/>
      </c>
      <c r="H376" s="201" t="str">
        <f aca="false">IF(A377="","",G376)</f>
        <v/>
      </c>
      <c r="J376" s="200" t="str">
        <f aca="false">IF($A377="","",VLOOKUP($A376,Table,MATCH(J$4,Curves,0)))</f>
        <v/>
      </c>
      <c r="K376" s="201" t="str">
        <f aca="false">IF(A377="","",J376)</f>
        <v/>
      </c>
      <c r="L376" s="200" t="str">
        <f aca="false">IF($A377="","",VLOOKUP($A376,Table,MATCH(L$4,Curves,0)))</f>
        <v/>
      </c>
      <c r="M376" s="201" t="str">
        <f aca="false">IF(A377="","",L376)</f>
        <v/>
      </c>
      <c r="O376" s="200" t="str">
        <f aca="false">IF(A377="","",L376+J376+G376)</f>
        <v/>
      </c>
      <c r="P376" s="200" t="str">
        <f aca="false">IF(A377="","",M376+K376+H376)</f>
        <v/>
      </c>
      <c r="R376" s="200" t="str">
        <f aca="false">IF($A377="","",VLOOKUP($A376,Table,MATCH(R$4,Curves,0)))</f>
        <v/>
      </c>
      <c r="S376" s="201" t="str">
        <f aca="false">IF(A377="","",R376)</f>
        <v/>
      </c>
      <c r="T376" s="200" t="str">
        <f aca="false">IF($A377="","",VLOOKUP($A376,Table,MATCH(T$4,Curves,0)))</f>
        <v/>
      </c>
      <c r="U376" s="201" t="str">
        <f aca="false">IF(A377="","",T376)</f>
        <v/>
      </c>
      <c r="V376" s="183" t="str">
        <f aca="false">IF($A377="","",IF(AND(MONTH(A376)&gt;3,MONTH(A376)&lt;11),(T376+R376+G376)*Summary!$T$7/(1-Summary!$T$7),(T376+R376+G376)*Summary!$U$7/(1-Summary!$U$7)))</f>
        <v/>
      </c>
      <c r="W376" s="200" t="str">
        <f aca="false">IF($A377="","",(T376+R376+G376+V376))</f>
        <v/>
      </c>
      <c r="X376" s="200" t="str">
        <f aca="false">IF($A377="","",(U376+S376+H376+V376))</f>
        <v/>
      </c>
      <c r="Y376" s="202"/>
      <c r="Z376" s="185"/>
      <c r="AG376" s="182"/>
      <c r="AH376" s="182"/>
      <c r="AI376" s="182"/>
      <c r="AJ376" s="218"/>
      <c r="AK376" s="218"/>
      <c r="AL376" s="218"/>
      <c r="AM376" s="218"/>
      <c r="AN376" s="218"/>
      <c r="AO376" s="137" t="str">
        <f aca="false">IF(A377="","",A377-A376)</f>
        <v/>
      </c>
      <c r="AP376" s="212" t="str">
        <f aca="false">IF(A377="","",CHOOSE(F$3,A377+24,A376))</f>
        <v/>
      </c>
      <c r="AQ376" s="209" t="str">
        <f aca="false">IF(A377="","",AP376-$E$1)</f>
        <v/>
      </c>
      <c r="AR376" s="185" t="n">
        <f aca="false">IF(Summary!$H$2=1,VLOOKUP('ANR OK vs ML7'!A376,Curves!$C$17:$AR$273,MATCH('ANR OK vs ML7'!$AR$4,Curves!$C$8:$AQ$8,0)),0.1)</f>
        <v>0.1</v>
      </c>
      <c r="AS376" s="213" t="str">
        <f aca="false">IF(A377="","",1/(1+CHOOSE(F$3,(AR377+($I$3/10000))/2,(AR376+($I$3/10000))/2))^(2*AQ376/365.25))</f>
        <v/>
      </c>
      <c r="AT376" s="137" t="str">
        <f aca="false">IF(A377="","",IF(AND(mthbeg&lt;=A376,mthend&gt;=A376),1,0))</f>
        <v/>
      </c>
      <c r="AU376" s="137" t="str">
        <f aca="false">IF(A377="","",AO376*AT376)</f>
        <v/>
      </c>
      <c r="AW376" s="195" t="str">
        <f aca="false">IF($A377="","",AL376*$E376)</f>
        <v/>
      </c>
      <c r="AX376" s="195" t="str">
        <f aca="false">IF($A377="","",AM376*$E376)</f>
        <v/>
      </c>
      <c r="AY376" s="195" t="str">
        <f aca="false">IF($A377="","",AN376*$E376)</f>
        <v/>
      </c>
      <c r="BA376" s="195" t="str">
        <f aca="false">IF($A377="","",F376*Summary!$Q$7)</f>
        <v/>
      </c>
    </row>
    <row r="377" customFormat="false" ht="12.75" hidden="false" customHeight="false" outlineLevel="0" collapsed="false">
      <c r="A377" s="196" t="str">
        <f aca="false">IF(A376&lt;mthend,EDATE(A376,1),"")</f>
        <v/>
      </c>
      <c r="B377" s="197" t="str">
        <f aca="false">IF(A377&lt;mthend,B376,"")</f>
        <v/>
      </c>
      <c r="D377" s="197" t="str">
        <f aca="false">IF(A378&lt;&gt;"",B377+C377,"")</f>
        <v/>
      </c>
      <c r="E377" s="199" t="str">
        <f aca="false">IF(A378="","",IF(AND(AT377=1,$H$3=1),D377*AO377,IF($H$3=2,D377,"N/A")))</f>
        <v/>
      </c>
      <c r="F377" s="199" t="str">
        <f aca="false">IF(A378="","",E377*AS377)</f>
        <v/>
      </c>
      <c r="G377" s="200" t="str">
        <f aca="false">IF($A378="","",VLOOKUP($A377,Table,MATCH(G$4,Curves,0)))</f>
        <v/>
      </c>
      <c r="H377" s="201" t="str">
        <f aca="false">IF(A378="","",G377)</f>
        <v/>
      </c>
      <c r="J377" s="200" t="str">
        <f aca="false">IF($A378="","",VLOOKUP($A377,Table,MATCH(J$4,Curves,0)))</f>
        <v/>
      </c>
      <c r="K377" s="201" t="str">
        <f aca="false">IF(A378="","",J377)</f>
        <v/>
      </c>
      <c r="L377" s="200" t="str">
        <f aca="false">IF($A378="","",VLOOKUP($A377,Table,MATCH(L$4,Curves,0)))</f>
        <v/>
      </c>
      <c r="M377" s="201" t="str">
        <f aca="false">IF(A378="","",L377)</f>
        <v/>
      </c>
      <c r="O377" s="200" t="str">
        <f aca="false">IF(A378="","",L377+J377+G377)</f>
        <v/>
      </c>
      <c r="P377" s="200" t="str">
        <f aca="false">IF(A378="","",M377+K377+H377)</f>
        <v/>
      </c>
      <c r="R377" s="200" t="str">
        <f aca="false">IF($A378="","",VLOOKUP($A377,Table,MATCH(R$4,Curves,0)))</f>
        <v/>
      </c>
      <c r="S377" s="201" t="str">
        <f aca="false">IF(A378="","",R377)</f>
        <v/>
      </c>
      <c r="T377" s="200" t="str">
        <f aca="false">IF($A378="","",VLOOKUP($A377,Table,MATCH(T$4,Curves,0)))</f>
        <v/>
      </c>
      <c r="U377" s="201" t="str">
        <f aca="false">IF(A378="","",T377)</f>
        <v/>
      </c>
      <c r="V377" s="183" t="str">
        <f aca="false">IF($A378="","",IF(AND(MONTH(A377)&gt;3,MONTH(A377)&lt;11),(T377+R377+G377)*Summary!$T$7/(1-Summary!$T$7),(T377+R377+G377)*Summary!$U$7/(1-Summary!$U$7)))</f>
        <v/>
      </c>
      <c r="W377" s="200" t="str">
        <f aca="false">IF($A378="","",(T377+R377+G377+V377))</f>
        <v/>
      </c>
      <c r="X377" s="200" t="str">
        <f aca="false">IF($A378="","",(U377+S377+H377+V377))</f>
        <v/>
      </c>
      <c r="Y377" s="202"/>
      <c r="Z377" s="185"/>
      <c r="AG377" s="182"/>
      <c r="AH377" s="182"/>
      <c r="AI377" s="182"/>
      <c r="AJ377" s="218"/>
      <c r="AK377" s="218"/>
      <c r="AL377" s="218"/>
      <c r="AM377" s="218"/>
      <c r="AN377" s="218"/>
      <c r="AO377" s="137" t="str">
        <f aca="false">IF(A378="","",A378-A377)</f>
        <v/>
      </c>
      <c r="AP377" s="212" t="str">
        <f aca="false">IF(A378="","",CHOOSE(F$3,A378+24,A377))</f>
        <v/>
      </c>
      <c r="AQ377" s="209" t="str">
        <f aca="false">IF(A378="","",AP377-$E$1)</f>
        <v/>
      </c>
      <c r="AR377" s="185" t="n">
        <f aca="false">IF(Summary!$H$2=1,VLOOKUP('ANR OK vs ML7'!A377,Curves!$C$17:$AR$273,MATCH('ANR OK vs ML7'!$AR$4,Curves!$C$8:$AQ$8,0)),0.1)</f>
        <v>0.1</v>
      </c>
      <c r="AS377" s="213" t="str">
        <f aca="false">IF(A378="","",1/(1+CHOOSE(F$3,(AR378+($I$3/10000))/2,(AR377+($I$3/10000))/2))^(2*AQ377/365.25))</f>
        <v/>
      </c>
      <c r="AT377" s="137" t="str">
        <f aca="false">IF(A378="","",IF(AND(mthbeg&lt;=A377,mthend&gt;=A377),1,0))</f>
        <v/>
      </c>
      <c r="AU377" s="137" t="str">
        <f aca="false">IF(A378="","",AO377*AT377)</f>
        <v/>
      </c>
      <c r="AW377" s="195" t="str">
        <f aca="false">IF($A378="","",AL377*$E377)</f>
        <v/>
      </c>
      <c r="AX377" s="195" t="str">
        <f aca="false">IF($A378="","",AM377*$E377)</f>
        <v/>
      </c>
      <c r="AY377" s="195" t="str">
        <f aca="false">IF($A378="","",AN377*$E377)</f>
        <v/>
      </c>
      <c r="BA377" s="195" t="str">
        <f aca="false">IF($A378="","",F377*Summary!$Q$7)</f>
        <v/>
      </c>
    </row>
    <row r="378" customFormat="false" ht="12.75" hidden="false" customHeight="false" outlineLevel="0" collapsed="false">
      <c r="A378" s="196" t="str">
        <f aca="false">IF(A377&lt;mthend,EDATE(A377,1),"")</f>
        <v/>
      </c>
      <c r="B378" s="197" t="str">
        <f aca="false">IF(A378&lt;mthend,B377,"")</f>
        <v/>
      </c>
      <c r="D378" s="197" t="str">
        <f aca="false">IF(A379&lt;&gt;"",B378+C378,"")</f>
        <v/>
      </c>
      <c r="E378" s="199" t="str">
        <f aca="false">IF(A379="","",IF(AND(AT378=1,$H$3=1),D378*AO378,IF($H$3=2,D378,"N/A")))</f>
        <v/>
      </c>
      <c r="F378" s="199" t="str">
        <f aca="false">IF(A379="","",E378*AS378)</f>
        <v/>
      </c>
      <c r="G378" s="200" t="str">
        <f aca="false">IF($A379="","",VLOOKUP($A378,Table,MATCH(G$4,Curves,0)))</f>
        <v/>
      </c>
      <c r="H378" s="201" t="str">
        <f aca="false">IF(A379="","",G378)</f>
        <v/>
      </c>
      <c r="J378" s="200" t="str">
        <f aca="false">IF($A379="","",VLOOKUP($A378,Table,MATCH(J$4,Curves,0)))</f>
        <v/>
      </c>
      <c r="K378" s="201" t="str">
        <f aca="false">IF(A379="","",J378)</f>
        <v/>
      </c>
      <c r="L378" s="200" t="str">
        <f aca="false">IF($A379="","",VLOOKUP($A378,Table,MATCH(L$4,Curves,0)))</f>
        <v/>
      </c>
      <c r="M378" s="201" t="str">
        <f aca="false">IF(A379="","",L378)</f>
        <v/>
      </c>
      <c r="O378" s="200" t="str">
        <f aca="false">IF(A379="","",L378+J378+G378)</f>
        <v/>
      </c>
      <c r="P378" s="200" t="str">
        <f aca="false">IF(A379="","",M378+K378+H378)</f>
        <v/>
      </c>
      <c r="R378" s="200" t="str">
        <f aca="false">IF($A379="","",VLOOKUP($A378,Table,MATCH(R$4,Curves,0)))</f>
        <v/>
      </c>
      <c r="S378" s="201" t="str">
        <f aca="false">IF(A379="","",R378)</f>
        <v/>
      </c>
      <c r="T378" s="200" t="str">
        <f aca="false">IF($A379="","",VLOOKUP($A378,Table,MATCH(T$4,Curves,0)))</f>
        <v/>
      </c>
      <c r="U378" s="201" t="str">
        <f aca="false">IF(A379="","",T378)</f>
        <v/>
      </c>
      <c r="V378" s="183" t="str">
        <f aca="false">IF($A379="","",IF(AND(MONTH(A378)&gt;3,MONTH(A378)&lt;11),(T378+R378+G378)*Summary!$T$7/(1-Summary!$T$7),(T378+R378+G378)*Summary!$U$7/(1-Summary!$U$7)))</f>
        <v/>
      </c>
      <c r="W378" s="200" t="str">
        <f aca="false">IF($A379="","",(T378+R378+G378+V378))</f>
        <v/>
      </c>
      <c r="X378" s="200" t="str">
        <f aca="false">IF($A379="","",(U378+S378+H378+V378))</f>
        <v/>
      </c>
      <c r="Y378" s="202"/>
      <c r="Z378" s="185"/>
      <c r="AG378" s="182"/>
      <c r="AH378" s="182"/>
      <c r="AI378" s="182"/>
      <c r="AJ378" s="218"/>
      <c r="AK378" s="218"/>
      <c r="AL378" s="218"/>
      <c r="AM378" s="218"/>
      <c r="AN378" s="218"/>
      <c r="AO378" s="137" t="str">
        <f aca="false">IF(A379="","",A379-A378)</f>
        <v/>
      </c>
      <c r="AP378" s="212" t="str">
        <f aca="false">IF(A379="","",CHOOSE(F$3,A379+24,A378))</f>
        <v/>
      </c>
      <c r="AQ378" s="209" t="str">
        <f aca="false">IF(A379="","",AP378-$E$1)</f>
        <v/>
      </c>
      <c r="AR378" s="185" t="n">
        <f aca="false">IF(Summary!$H$2=1,VLOOKUP('ANR OK vs ML7'!A378,Curves!$C$17:$AR$273,MATCH('ANR OK vs ML7'!$AR$4,Curves!$C$8:$AQ$8,0)),0.1)</f>
        <v>0.1</v>
      </c>
      <c r="AS378" s="213" t="str">
        <f aca="false">IF(A379="","",1/(1+CHOOSE(F$3,(AR379+($I$3/10000))/2,(AR378+($I$3/10000))/2))^(2*AQ378/365.25))</f>
        <v/>
      </c>
      <c r="AT378" s="137" t="str">
        <f aca="false">IF(A379="","",IF(AND(mthbeg&lt;=A378,mthend&gt;=A378),1,0))</f>
        <v/>
      </c>
      <c r="AU378" s="137" t="str">
        <f aca="false">IF(A379="","",AO378*AT378)</f>
        <v/>
      </c>
      <c r="AW378" s="195" t="str">
        <f aca="false">IF($A379="","",AL378*$E378)</f>
        <v/>
      </c>
      <c r="AX378" s="195" t="str">
        <f aca="false">IF($A379="","",AM378*$E378)</f>
        <v/>
      </c>
      <c r="AY378" s="195" t="str">
        <f aca="false">IF($A379="","",AN378*$E378)</f>
        <v/>
      </c>
      <c r="BA378" s="195" t="str">
        <f aca="false">IF($A379="","",F378*Summary!$Q$7)</f>
        <v/>
      </c>
    </row>
    <row r="379" customFormat="false" ht="12.75" hidden="false" customHeight="false" outlineLevel="0" collapsed="false">
      <c r="A379" s="196" t="str">
        <f aca="false">IF(A378&lt;mthend,EDATE(A378,1),"")</f>
        <v/>
      </c>
      <c r="B379" s="197" t="str">
        <f aca="false">IF(A379&lt;mthend,B378,"")</f>
        <v/>
      </c>
      <c r="D379" s="197" t="str">
        <f aca="false">IF(A380&lt;&gt;"",B379+C379,"")</f>
        <v/>
      </c>
      <c r="E379" s="199" t="str">
        <f aca="false">IF(A380="","",IF(AND(AT379=1,$H$3=1),D379*AO379,IF($H$3=2,D379,"N/A")))</f>
        <v/>
      </c>
      <c r="F379" s="199" t="str">
        <f aca="false">IF(A380="","",E379*AS379)</f>
        <v/>
      </c>
      <c r="G379" s="200" t="str">
        <f aca="false">IF($A380="","",VLOOKUP($A379,Table,MATCH(G$4,Curves,0)))</f>
        <v/>
      </c>
      <c r="H379" s="201" t="str">
        <f aca="false">IF(A380="","",G379)</f>
        <v/>
      </c>
      <c r="J379" s="200" t="str">
        <f aca="false">IF($A380="","",VLOOKUP($A379,Table,MATCH(J$4,Curves,0)))</f>
        <v/>
      </c>
      <c r="K379" s="201" t="str">
        <f aca="false">IF(A380="","",J379)</f>
        <v/>
      </c>
      <c r="L379" s="200" t="str">
        <f aca="false">IF($A380="","",VLOOKUP($A379,Table,MATCH(L$4,Curves,0)))</f>
        <v/>
      </c>
      <c r="M379" s="201" t="str">
        <f aca="false">IF(A380="","",L379)</f>
        <v/>
      </c>
      <c r="O379" s="200" t="str">
        <f aca="false">IF(A380="","",L379+J379+G379)</f>
        <v/>
      </c>
      <c r="P379" s="200" t="str">
        <f aca="false">IF(A380="","",M379+K379+H379)</f>
        <v/>
      </c>
      <c r="R379" s="200" t="str">
        <f aca="false">IF($A380="","",VLOOKUP($A379,Table,MATCH(R$4,Curves,0)))</f>
        <v/>
      </c>
      <c r="S379" s="201" t="str">
        <f aca="false">IF(A380="","",R379)</f>
        <v/>
      </c>
      <c r="T379" s="200" t="str">
        <f aca="false">IF($A380="","",VLOOKUP($A379,Table,MATCH(T$4,Curves,0)))</f>
        <v/>
      </c>
      <c r="U379" s="201" t="str">
        <f aca="false">IF(A380="","",T379)</f>
        <v/>
      </c>
      <c r="V379" s="183" t="str">
        <f aca="false">IF($A380="","",IF(AND(MONTH(A379)&gt;3,MONTH(A379)&lt;11),(T379+R379+G379)*Summary!$T$7/(1-Summary!$T$7),(T379+R379+G379)*Summary!$U$7/(1-Summary!$U$7)))</f>
        <v/>
      </c>
      <c r="W379" s="200" t="str">
        <f aca="false">IF($A380="","",(T379+R379+G379+V379))</f>
        <v/>
      </c>
      <c r="X379" s="200" t="str">
        <f aca="false">IF($A380="","",(U379+S379+H379+V379))</f>
        <v/>
      </c>
      <c r="Y379" s="202"/>
      <c r="Z379" s="185"/>
      <c r="AG379" s="182"/>
      <c r="AH379" s="182"/>
      <c r="AI379" s="182"/>
      <c r="AJ379" s="218"/>
      <c r="AK379" s="218"/>
      <c r="AL379" s="218"/>
      <c r="AM379" s="218"/>
      <c r="AN379" s="218"/>
      <c r="AO379" s="137" t="str">
        <f aca="false">IF(A380="","",A380-A379)</f>
        <v/>
      </c>
      <c r="AP379" s="212" t="str">
        <f aca="false">IF(A380="","",CHOOSE(F$3,A380+24,A379))</f>
        <v/>
      </c>
      <c r="AQ379" s="209" t="str">
        <f aca="false">IF(A380="","",AP379-$E$1)</f>
        <v/>
      </c>
      <c r="AR379" s="185" t="n">
        <f aca="false">IF(Summary!$H$2=1,VLOOKUP('ANR OK vs ML7'!A379,Curves!$C$17:$AR$273,MATCH('ANR OK vs ML7'!$AR$4,Curves!$C$8:$AQ$8,0)),0.1)</f>
        <v>0.1</v>
      </c>
      <c r="AS379" s="213" t="str">
        <f aca="false">IF(A380="","",1/(1+CHOOSE(F$3,(AR380+($I$3/10000))/2,(AR379+($I$3/10000))/2))^(2*AQ379/365.25))</f>
        <v/>
      </c>
      <c r="AT379" s="137" t="str">
        <f aca="false">IF(A380="","",IF(AND(mthbeg&lt;=A379,mthend&gt;=A379),1,0))</f>
        <v/>
      </c>
      <c r="AU379" s="137" t="str">
        <f aca="false">IF(A380="","",AO379*AT379)</f>
        <v/>
      </c>
      <c r="AW379" s="195" t="str">
        <f aca="false">IF($A380="","",AL379*$E379)</f>
        <v/>
      </c>
      <c r="AX379" s="195" t="str">
        <f aca="false">IF($A380="","",AM379*$E379)</f>
        <v/>
      </c>
      <c r="AY379" s="195" t="str">
        <f aca="false">IF($A380="","",AN379*$E379)</f>
        <v/>
      </c>
      <c r="BA379" s="195" t="str">
        <f aca="false">IF($A380="","",F379*Summary!$Q$7)</f>
        <v/>
      </c>
    </row>
    <row r="380" customFormat="false" ht="12.75" hidden="false" customHeight="false" outlineLevel="0" collapsed="false">
      <c r="A380" s="196" t="str">
        <f aca="false">IF(A379&lt;mthend,EDATE(A379,1),"")</f>
        <v/>
      </c>
      <c r="B380" s="197" t="str">
        <f aca="false">IF(A380&lt;mthend,B379,"")</f>
        <v/>
      </c>
      <c r="D380" s="197" t="str">
        <f aca="false">IF(A381&lt;&gt;"",B380+C380,"")</f>
        <v/>
      </c>
      <c r="E380" s="199" t="str">
        <f aca="false">IF(A381="","",IF(AND(AT380=1,$H$3=1),D380*AO380,IF($H$3=2,D380,"N/A")))</f>
        <v/>
      </c>
      <c r="F380" s="199" t="str">
        <f aca="false">IF(A381="","",E380*AS380)</f>
        <v/>
      </c>
      <c r="G380" s="200" t="str">
        <f aca="false">IF($A381="","",VLOOKUP($A380,Table,MATCH(G$4,Curves,0)))</f>
        <v/>
      </c>
      <c r="H380" s="201" t="str">
        <f aca="false">IF(A381="","",G380)</f>
        <v/>
      </c>
      <c r="J380" s="200" t="str">
        <f aca="false">IF($A381="","",VLOOKUP($A380,Table,MATCH(J$4,Curves,0)))</f>
        <v/>
      </c>
      <c r="K380" s="201" t="str">
        <f aca="false">IF(A381="","",J380)</f>
        <v/>
      </c>
      <c r="L380" s="200" t="str">
        <f aca="false">IF($A381="","",VLOOKUP($A380,Table,MATCH(L$4,Curves,0)))</f>
        <v/>
      </c>
      <c r="M380" s="201" t="str">
        <f aca="false">IF(A381="","",L380)</f>
        <v/>
      </c>
      <c r="O380" s="200" t="str">
        <f aca="false">IF(A381="","",L380+J380+G380)</f>
        <v/>
      </c>
      <c r="P380" s="200" t="str">
        <f aca="false">IF(A381="","",M380+K380+H380)</f>
        <v/>
      </c>
      <c r="R380" s="200" t="str">
        <f aca="false">IF($A381="","",VLOOKUP($A380,Table,MATCH(R$4,Curves,0)))</f>
        <v/>
      </c>
      <c r="S380" s="201" t="str">
        <f aca="false">IF(A381="","",R380)</f>
        <v/>
      </c>
      <c r="T380" s="200" t="str">
        <f aca="false">IF($A381="","",VLOOKUP($A380,Table,MATCH(T$4,Curves,0)))</f>
        <v/>
      </c>
      <c r="U380" s="201" t="str">
        <f aca="false">IF(A381="","",T380)</f>
        <v/>
      </c>
      <c r="V380" s="183" t="str">
        <f aca="false">IF($A381="","",IF(AND(MONTH(A380)&gt;3,MONTH(A380)&lt;11),(T380+R380+G380)*Summary!$T$7/(1-Summary!$T$7),(T380+R380+G380)*Summary!$U$7/(1-Summary!$U$7)))</f>
        <v/>
      </c>
      <c r="W380" s="200" t="str">
        <f aca="false">IF($A381="","",(T380+R380+G380+V380))</f>
        <v/>
      </c>
      <c r="X380" s="200" t="str">
        <f aca="false">IF($A381="","",(U380+S380+H380+V380))</f>
        <v/>
      </c>
      <c r="Y380" s="202"/>
      <c r="Z380" s="185"/>
      <c r="AG380" s="182"/>
      <c r="AH380" s="182"/>
      <c r="AI380" s="182"/>
      <c r="AJ380" s="218"/>
      <c r="AK380" s="218"/>
      <c r="AL380" s="218"/>
      <c r="AM380" s="218"/>
      <c r="AN380" s="218"/>
      <c r="AO380" s="137" t="str">
        <f aca="false">IF(A381="","",A381-A380)</f>
        <v/>
      </c>
      <c r="AP380" s="212" t="str">
        <f aca="false">IF(A381="","",CHOOSE(F$3,A381+24,A380))</f>
        <v/>
      </c>
      <c r="AQ380" s="209" t="str">
        <f aca="false">IF(A381="","",AP380-$E$1)</f>
        <v/>
      </c>
      <c r="AR380" s="185" t="n">
        <f aca="false">IF(Summary!$H$2=1,VLOOKUP('ANR OK vs ML7'!A380,Curves!$C$17:$AR$273,MATCH('ANR OK vs ML7'!$AR$4,Curves!$C$8:$AQ$8,0)),0.1)</f>
        <v>0.1</v>
      </c>
      <c r="AS380" s="213" t="str">
        <f aca="false">IF(A381="","",1/(1+CHOOSE(F$3,(AR381+($I$3/10000))/2,(AR380+($I$3/10000))/2))^(2*AQ380/365.25))</f>
        <v/>
      </c>
      <c r="AT380" s="137" t="str">
        <f aca="false">IF(A381="","",IF(AND(mthbeg&lt;=A380,mthend&gt;=A380),1,0))</f>
        <v/>
      </c>
      <c r="AU380" s="137" t="str">
        <f aca="false">IF(A381="","",AO380*AT380)</f>
        <v/>
      </c>
      <c r="AW380" s="195" t="str">
        <f aca="false">IF($A381="","",AL380*$E380)</f>
        <v/>
      </c>
      <c r="AX380" s="195" t="str">
        <f aca="false">IF($A381="","",AM380*$E380)</f>
        <v/>
      </c>
      <c r="AY380" s="195" t="str">
        <f aca="false">IF($A381="","",AN380*$E380)</f>
        <v/>
      </c>
      <c r="BA380" s="195" t="str">
        <f aca="false">IF($A381="","",F380*Summary!$Q$7)</f>
        <v/>
      </c>
    </row>
    <row r="381" customFormat="false" ht="12.75" hidden="false" customHeight="false" outlineLevel="0" collapsed="false">
      <c r="A381" s="196" t="str">
        <f aca="false">IF(A380&lt;mthend,EDATE(A380,1),"")</f>
        <v/>
      </c>
      <c r="B381" s="197" t="str">
        <f aca="false">IF(A381&lt;mthend,B380,"")</f>
        <v/>
      </c>
      <c r="D381" s="197" t="str">
        <f aca="false">IF(A382&lt;&gt;"",B381+C381,"")</f>
        <v/>
      </c>
      <c r="E381" s="199" t="str">
        <f aca="false">IF(A382="","",IF(AND(AT381=1,$H$3=1),D381*AO381,IF($H$3=2,D381,"N/A")))</f>
        <v/>
      </c>
      <c r="F381" s="199" t="str">
        <f aca="false">IF(A382="","",E381*AS381)</f>
        <v/>
      </c>
      <c r="G381" s="200" t="str">
        <f aca="false">IF($A382="","",VLOOKUP($A381,Table,MATCH(G$4,Curves,0)))</f>
        <v/>
      </c>
      <c r="H381" s="201" t="str">
        <f aca="false">IF(A382="","",G381)</f>
        <v/>
      </c>
      <c r="J381" s="200" t="str">
        <f aca="false">IF($A382="","",VLOOKUP($A381,Table,MATCH(J$4,Curves,0)))</f>
        <v/>
      </c>
      <c r="K381" s="201" t="str">
        <f aca="false">IF(A382="","",J381)</f>
        <v/>
      </c>
      <c r="L381" s="200" t="str">
        <f aca="false">IF($A382="","",VLOOKUP($A381,Table,MATCH(L$4,Curves,0)))</f>
        <v/>
      </c>
      <c r="M381" s="201" t="str">
        <f aca="false">IF(A382="","",L381)</f>
        <v/>
      </c>
      <c r="O381" s="200" t="str">
        <f aca="false">IF(A382="","",L381+J381+G381)</f>
        <v/>
      </c>
      <c r="P381" s="200" t="str">
        <f aca="false">IF(A382="","",M381+K381+H381)</f>
        <v/>
      </c>
      <c r="R381" s="200" t="str">
        <f aca="false">IF($A382="","",VLOOKUP($A381,Table,MATCH(R$4,Curves,0)))</f>
        <v/>
      </c>
      <c r="S381" s="201" t="str">
        <f aca="false">IF(A382="","",R381)</f>
        <v/>
      </c>
      <c r="T381" s="200" t="str">
        <f aca="false">IF($A382="","",VLOOKUP($A381,Table,MATCH(T$4,Curves,0)))</f>
        <v/>
      </c>
      <c r="U381" s="201" t="str">
        <f aca="false">IF(A382="","",T381)</f>
        <v/>
      </c>
      <c r="V381" s="183" t="str">
        <f aca="false">IF($A382="","",IF(AND(MONTH(A381)&gt;3,MONTH(A381)&lt;11),(T381+R381+G381)*Summary!$T$7/(1-Summary!$T$7),(T381+R381+G381)*Summary!$U$7/(1-Summary!$U$7)))</f>
        <v/>
      </c>
      <c r="W381" s="200" t="str">
        <f aca="false">IF($A382="","",(T381+R381+G381+V381))</f>
        <v/>
      </c>
      <c r="X381" s="200" t="str">
        <f aca="false">IF($A382="","",(U381+S381+H381+V381))</f>
        <v/>
      </c>
      <c r="Y381" s="202"/>
      <c r="Z381" s="185"/>
      <c r="AG381" s="182"/>
      <c r="AH381" s="182"/>
      <c r="AI381" s="182"/>
      <c r="AJ381" s="218"/>
      <c r="AK381" s="218"/>
      <c r="AL381" s="218"/>
      <c r="AM381" s="218"/>
      <c r="AN381" s="218"/>
      <c r="AO381" s="137" t="str">
        <f aca="false">IF(A382="","",A382-A381)</f>
        <v/>
      </c>
      <c r="AP381" s="212" t="str">
        <f aca="false">IF(A382="","",CHOOSE(F$3,A382+24,A381))</f>
        <v/>
      </c>
      <c r="AQ381" s="209" t="str">
        <f aca="false">IF(A382="","",AP381-$E$1)</f>
        <v/>
      </c>
      <c r="AR381" s="185" t="n">
        <f aca="false">IF(Summary!$H$2=1,VLOOKUP('ANR OK vs ML7'!A381,Curves!$C$17:$AR$273,MATCH('ANR OK vs ML7'!$AR$4,Curves!$C$8:$AQ$8,0)),0.1)</f>
        <v>0.1</v>
      </c>
      <c r="AS381" s="213" t="str">
        <f aca="false">IF(A382="","",1/(1+CHOOSE(F$3,(AR382+($I$3/10000))/2,(AR381+($I$3/10000))/2))^(2*AQ381/365.25))</f>
        <v/>
      </c>
      <c r="AT381" s="137" t="str">
        <f aca="false">IF(A382="","",IF(AND(mthbeg&lt;=A381,mthend&gt;=A381),1,0))</f>
        <v/>
      </c>
      <c r="AU381" s="137" t="str">
        <f aca="false">IF(A382="","",AO381*AT381)</f>
        <v/>
      </c>
      <c r="AW381" s="195" t="str">
        <f aca="false">IF($A382="","",AL381*$E381)</f>
        <v/>
      </c>
      <c r="AX381" s="195" t="str">
        <f aca="false">IF($A382="","",AM381*$E381)</f>
        <v/>
      </c>
      <c r="AY381" s="195" t="str">
        <f aca="false">IF($A382="","",AN381*$E381)</f>
        <v/>
      </c>
      <c r="BA381" s="195" t="str">
        <f aca="false">IF($A382="","",F381*Summary!$Q$7)</f>
        <v/>
      </c>
    </row>
    <row r="382" customFormat="false" ht="12.75" hidden="false" customHeight="false" outlineLevel="0" collapsed="false">
      <c r="A382" s="196" t="str">
        <f aca="false">IF(A381&lt;mthend,EDATE(A381,1),"")</f>
        <v/>
      </c>
      <c r="B382" s="197" t="str">
        <f aca="false">IF(A382&lt;mthend,B381,"")</f>
        <v/>
      </c>
      <c r="D382" s="197" t="str">
        <f aca="false">IF(A383&lt;&gt;"",B382+C382,"")</f>
        <v/>
      </c>
      <c r="E382" s="199" t="str">
        <f aca="false">IF(A383="","",IF(AND(AT382=1,$H$3=1),D382*AO382,IF($H$3=2,D382,"N/A")))</f>
        <v/>
      </c>
      <c r="F382" s="199" t="str">
        <f aca="false">IF(A383="","",E382*AS382)</f>
        <v/>
      </c>
      <c r="G382" s="200" t="str">
        <f aca="false">IF($A383="","",VLOOKUP($A382,Table,MATCH(G$4,Curves,0)))</f>
        <v/>
      </c>
      <c r="H382" s="201" t="str">
        <f aca="false">IF(A383="","",G382)</f>
        <v/>
      </c>
      <c r="J382" s="200" t="str">
        <f aca="false">IF($A383="","",VLOOKUP($A382,Table,MATCH(J$4,Curves,0)))</f>
        <v/>
      </c>
      <c r="K382" s="201" t="str">
        <f aca="false">IF(A383="","",J382)</f>
        <v/>
      </c>
      <c r="L382" s="200" t="str">
        <f aca="false">IF($A383="","",VLOOKUP($A382,Table,MATCH(L$4,Curves,0)))</f>
        <v/>
      </c>
      <c r="M382" s="201" t="str">
        <f aca="false">IF(A383="","",L382)</f>
        <v/>
      </c>
      <c r="O382" s="200" t="str">
        <f aca="false">IF(A383="","",L382+J382+G382)</f>
        <v/>
      </c>
      <c r="P382" s="200" t="str">
        <f aca="false">IF(A383="","",M382+K382+H382)</f>
        <v/>
      </c>
      <c r="R382" s="200" t="str">
        <f aca="false">IF($A383="","",VLOOKUP($A382,Table,MATCH(R$4,Curves,0)))</f>
        <v/>
      </c>
      <c r="S382" s="201" t="str">
        <f aca="false">IF(A383="","",R382)</f>
        <v/>
      </c>
      <c r="T382" s="200" t="str">
        <f aca="false">IF($A383="","",VLOOKUP($A382,Table,MATCH(T$4,Curves,0)))</f>
        <v/>
      </c>
      <c r="U382" s="201" t="str">
        <f aca="false">IF(A383="","",T382)</f>
        <v/>
      </c>
      <c r="V382" s="183" t="str">
        <f aca="false">IF($A383="","",IF(AND(MONTH(A382)&gt;3,MONTH(A382)&lt;11),(T382+R382+G382)*Summary!$T$7/(1-Summary!$T$7),(T382+R382+G382)*Summary!$U$7/(1-Summary!$U$7)))</f>
        <v/>
      </c>
      <c r="W382" s="200" t="str">
        <f aca="false">IF($A383="","",(T382+R382+G382+V382))</f>
        <v/>
      </c>
      <c r="X382" s="200" t="str">
        <f aca="false">IF($A383="","",(U382+S382+H382+V382))</f>
        <v/>
      </c>
      <c r="Y382" s="202"/>
      <c r="Z382" s="185"/>
      <c r="AG382" s="182"/>
      <c r="AH382" s="182"/>
      <c r="AI382" s="182"/>
      <c r="AJ382" s="218"/>
      <c r="AK382" s="218"/>
      <c r="AL382" s="218"/>
      <c r="AM382" s="218"/>
      <c r="AN382" s="218"/>
      <c r="AO382" s="137" t="str">
        <f aca="false">IF(A383="","",A383-A382)</f>
        <v/>
      </c>
      <c r="AP382" s="212" t="str">
        <f aca="false">IF(A383="","",CHOOSE(F$3,A383+24,A382))</f>
        <v/>
      </c>
      <c r="AQ382" s="209" t="str">
        <f aca="false">IF(A383="","",AP382-$E$1)</f>
        <v/>
      </c>
      <c r="AR382" s="185" t="n">
        <f aca="false">IF(Summary!$H$2=1,VLOOKUP('ANR OK vs ML7'!A382,Curves!$C$17:$AR$273,MATCH('ANR OK vs ML7'!$AR$4,Curves!$C$8:$AQ$8,0)),0.1)</f>
        <v>0.1</v>
      </c>
      <c r="AS382" s="213" t="str">
        <f aca="false">IF(A383="","",1/(1+CHOOSE(F$3,(AR383+($I$3/10000))/2,(AR382+($I$3/10000))/2))^(2*AQ382/365.25))</f>
        <v/>
      </c>
      <c r="AT382" s="137" t="str">
        <f aca="false">IF(A383="","",IF(AND(mthbeg&lt;=A382,mthend&gt;=A382),1,0))</f>
        <v/>
      </c>
      <c r="AU382" s="137" t="str">
        <f aca="false">IF(A383="","",AO382*AT382)</f>
        <v/>
      </c>
      <c r="AW382" s="195" t="str">
        <f aca="false">IF($A383="","",AL382*$E382)</f>
        <v/>
      </c>
      <c r="AX382" s="195" t="str">
        <f aca="false">IF($A383="","",AM382*$E382)</f>
        <v/>
      </c>
      <c r="AY382" s="195" t="str">
        <f aca="false">IF($A383="","",AN382*$E382)</f>
        <v/>
      </c>
      <c r="BA382" s="195" t="str">
        <f aca="false">IF($A383="","",F382*Summary!$Q$7)</f>
        <v/>
      </c>
    </row>
    <row r="383" customFormat="false" ht="12.75" hidden="false" customHeight="false" outlineLevel="0" collapsed="false">
      <c r="A383" s="196" t="str">
        <f aca="false">IF(A382&lt;mthend,EDATE(A382,1),"")</f>
        <v/>
      </c>
      <c r="B383" s="197" t="str">
        <f aca="false">IF(A383&lt;mthend,B382,"")</f>
        <v/>
      </c>
      <c r="D383" s="197" t="str">
        <f aca="false">IF(A384&lt;&gt;"",B383+C383,"")</f>
        <v/>
      </c>
      <c r="E383" s="199" t="str">
        <f aca="false">IF(A384="","",IF(AND(AT383=1,$H$3=1),D383*AO383,IF($H$3=2,D383,"N/A")))</f>
        <v/>
      </c>
      <c r="F383" s="199" t="str">
        <f aca="false">IF(A384="","",E383*AS383)</f>
        <v/>
      </c>
      <c r="G383" s="200" t="str">
        <f aca="false">IF($A384="","",VLOOKUP($A383,Table,MATCH(G$4,Curves,0)))</f>
        <v/>
      </c>
      <c r="H383" s="201" t="str">
        <f aca="false">IF(A384="","",G383)</f>
        <v/>
      </c>
      <c r="J383" s="200" t="str">
        <f aca="false">IF($A384="","",VLOOKUP($A383,Table,MATCH(J$4,Curves,0)))</f>
        <v/>
      </c>
      <c r="K383" s="201" t="str">
        <f aca="false">IF(A384="","",J383)</f>
        <v/>
      </c>
      <c r="L383" s="200" t="str">
        <f aca="false">IF($A384="","",VLOOKUP($A383,Table,MATCH(L$4,Curves,0)))</f>
        <v/>
      </c>
      <c r="M383" s="201" t="str">
        <f aca="false">IF(A384="","",L383)</f>
        <v/>
      </c>
      <c r="O383" s="200" t="str">
        <f aca="false">IF(A384="","",L383+J383+G383)</f>
        <v/>
      </c>
      <c r="P383" s="200" t="str">
        <f aca="false">IF(A384="","",M383+K383+H383)</f>
        <v/>
      </c>
      <c r="R383" s="200" t="str">
        <f aca="false">IF($A384="","",VLOOKUP($A383,Table,MATCH(R$4,Curves,0)))</f>
        <v/>
      </c>
      <c r="S383" s="201" t="str">
        <f aca="false">IF(A384="","",R383)</f>
        <v/>
      </c>
      <c r="T383" s="200" t="str">
        <f aca="false">IF($A384="","",VLOOKUP($A383,Table,MATCH(T$4,Curves,0)))</f>
        <v/>
      </c>
      <c r="U383" s="201" t="str">
        <f aca="false">IF(A384="","",T383)</f>
        <v/>
      </c>
      <c r="V383" s="183" t="str">
        <f aca="false">IF($A384="","",IF(AND(MONTH(A383)&gt;3,MONTH(A383)&lt;11),(T383+R383+G383)*Summary!$T$7/(1-Summary!$T$7),(T383+R383+G383)*Summary!$U$7/(1-Summary!$U$7)))</f>
        <v/>
      </c>
      <c r="W383" s="200" t="str">
        <f aca="false">IF($A384="","",(T383+R383+G383+V383))</f>
        <v/>
      </c>
      <c r="X383" s="200" t="str">
        <f aca="false">IF($A384="","",(U383+S383+H383+V383))</f>
        <v/>
      </c>
      <c r="Y383" s="202"/>
      <c r="Z383" s="185"/>
      <c r="AG383" s="182"/>
      <c r="AH383" s="182"/>
      <c r="AI383" s="182"/>
      <c r="AJ383" s="218"/>
      <c r="AK383" s="218"/>
      <c r="AL383" s="218"/>
      <c r="AM383" s="218"/>
      <c r="AN383" s="218"/>
      <c r="AO383" s="137" t="str">
        <f aca="false">IF(A384="","",A384-A383)</f>
        <v/>
      </c>
      <c r="AP383" s="212" t="str">
        <f aca="false">IF(A384="","",CHOOSE(F$3,A384+24,A383))</f>
        <v/>
      </c>
      <c r="AQ383" s="209" t="str">
        <f aca="false">IF(A384="","",AP383-$E$1)</f>
        <v/>
      </c>
      <c r="AR383" s="185" t="n">
        <f aca="false">IF(Summary!$H$2=1,VLOOKUP('ANR OK vs ML7'!A383,Curves!$C$17:$AR$273,MATCH('ANR OK vs ML7'!$AR$4,Curves!$C$8:$AQ$8,0)),0.1)</f>
        <v>0.1</v>
      </c>
      <c r="AS383" s="213" t="str">
        <f aca="false">IF(A384="","",1/(1+CHOOSE(F$3,(AR384+($I$3/10000))/2,(AR383+($I$3/10000))/2))^(2*AQ383/365.25))</f>
        <v/>
      </c>
      <c r="AT383" s="137" t="str">
        <f aca="false">IF(A384="","",IF(AND(mthbeg&lt;=A383,mthend&gt;=A383),1,0))</f>
        <v/>
      </c>
      <c r="AU383" s="137" t="str">
        <f aca="false">IF(A384="","",AO383*AT383)</f>
        <v/>
      </c>
      <c r="AW383" s="195" t="str">
        <f aca="false">IF($A384="","",AL383*$E383)</f>
        <v/>
      </c>
      <c r="AX383" s="195" t="str">
        <f aca="false">IF($A384="","",AM383*$E383)</f>
        <v/>
      </c>
      <c r="AY383" s="195" t="str">
        <f aca="false">IF($A384="","",AN383*$E383)</f>
        <v/>
      </c>
      <c r="BA383" s="195" t="str">
        <f aca="false">IF($A384="","",F383*Summary!$Q$7)</f>
        <v/>
      </c>
    </row>
    <row r="384" customFormat="false" ht="12.75" hidden="false" customHeight="false" outlineLevel="0" collapsed="false">
      <c r="A384" s="196" t="str">
        <f aca="false">IF(A383&lt;mthend,EDATE(A383,1),"")</f>
        <v/>
      </c>
      <c r="B384" s="197" t="str">
        <f aca="false">IF(A384&lt;mthend,B383,"")</f>
        <v/>
      </c>
      <c r="D384" s="197" t="str">
        <f aca="false">IF(A385&lt;&gt;"",B384+C384,"")</f>
        <v/>
      </c>
      <c r="E384" s="199" t="str">
        <f aca="false">IF(A385="","",IF(AND(AT384=1,$H$3=1),D384*AO384,IF($H$3=2,D384,"N/A")))</f>
        <v/>
      </c>
      <c r="F384" s="199" t="str">
        <f aca="false">IF(A385="","",E384*AS384)</f>
        <v/>
      </c>
      <c r="G384" s="200" t="str">
        <f aca="false">IF($A385="","",VLOOKUP($A384,Table,MATCH(G$4,Curves,0)))</f>
        <v/>
      </c>
      <c r="H384" s="201" t="str">
        <f aca="false">IF(A385="","",G384)</f>
        <v/>
      </c>
      <c r="J384" s="200" t="str">
        <f aca="false">IF($A385="","",VLOOKUP($A384,Table,MATCH(J$4,Curves,0)))</f>
        <v/>
      </c>
      <c r="K384" s="201" t="str">
        <f aca="false">IF(A385="","",J384)</f>
        <v/>
      </c>
      <c r="L384" s="200" t="str">
        <f aca="false">IF($A385="","",VLOOKUP($A384,Table,MATCH(L$4,Curves,0)))</f>
        <v/>
      </c>
      <c r="M384" s="201" t="str">
        <f aca="false">IF(A385="","",L384)</f>
        <v/>
      </c>
      <c r="O384" s="200" t="str">
        <f aca="false">IF(A385="","",L384+J384+G384)</f>
        <v/>
      </c>
      <c r="P384" s="200" t="str">
        <f aca="false">IF(A385="","",M384+K384+H384)</f>
        <v/>
      </c>
      <c r="R384" s="200" t="str">
        <f aca="false">IF($A385="","",VLOOKUP($A384,Table,MATCH(R$4,Curves,0)))</f>
        <v/>
      </c>
      <c r="S384" s="201" t="str">
        <f aca="false">IF(A385="","",R384)</f>
        <v/>
      </c>
      <c r="T384" s="200" t="str">
        <f aca="false">IF($A385="","",VLOOKUP($A384,Table,MATCH(T$4,Curves,0)))</f>
        <v/>
      </c>
      <c r="U384" s="201" t="str">
        <f aca="false">IF(A385="","",T384)</f>
        <v/>
      </c>
      <c r="V384" s="183" t="str">
        <f aca="false">IF($A385="","",IF(AND(MONTH(A384)&gt;3,MONTH(A384)&lt;11),(T384+R384+G384)*Summary!$T$7/(1-Summary!$T$7),(T384+R384+G384)*Summary!$U$7/(1-Summary!$U$7)))</f>
        <v/>
      </c>
      <c r="W384" s="200" t="str">
        <f aca="false">IF($A385="","",(T384+R384+G384+V384))</f>
        <v/>
      </c>
      <c r="X384" s="200" t="str">
        <f aca="false">IF($A385="","",(U384+S384+H384+V384))</f>
        <v/>
      </c>
      <c r="Y384" s="202"/>
      <c r="Z384" s="185"/>
      <c r="AG384" s="182"/>
      <c r="AH384" s="182"/>
      <c r="AI384" s="182"/>
      <c r="AJ384" s="218"/>
      <c r="AK384" s="218"/>
      <c r="AL384" s="218"/>
      <c r="AM384" s="218"/>
      <c r="AN384" s="218"/>
      <c r="AO384" s="137" t="str">
        <f aca="false">IF(A385="","",A385-A384)</f>
        <v/>
      </c>
      <c r="AP384" s="212" t="str">
        <f aca="false">IF(A385="","",CHOOSE(F$3,A385+24,A384))</f>
        <v/>
      </c>
      <c r="AQ384" s="209" t="str">
        <f aca="false">IF(A385="","",AP384-$E$1)</f>
        <v/>
      </c>
      <c r="AR384" s="185" t="n">
        <f aca="false">IF(Summary!$H$2=1,VLOOKUP('ANR OK vs ML7'!A384,Curves!$C$17:$AR$273,MATCH('ANR OK vs ML7'!$AR$4,Curves!$C$8:$AQ$8,0)),0.1)</f>
        <v>0.1</v>
      </c>
      <c r="AS384" s="213" t="str">
        <f aca="false">IF(A385="","",1/(1+CHOOSE(F$3,(AR385+($I$3/10000))/2,(AR384+($I$3/10000))/2))^(2*AQ384/365.25))</f>
        <v/>
      </c>
      <c r="AT384" s="137" t="str">
        <f aca="false">IF(A385="","",IF(AND(mthbeg&lt;=A384,mthend&gt;=A384),1,0))</f>
        <v/>
      </c>
      <c r="AU384" s="137" t="str">
        <f aca="false">IF(A385="","",AO384*AT384)</f>
        <v/>
      </c>
      <c r="AW384" s="195" t="str">
        <f aca="false">IF($A385="","",AL384*$E384)</f>
        <v/>
      </c>
      <c r="AX384" s="195" t="str">
        <f aca="false">IF($A385="","",AM384*$E384)</f>
        <v/>
      </c>
      <c r="AY384" s="195" t="str">
        <f aca="false">IF($A385="","",AN384*$E384)</f>
        <v/>
      </c>
      <c r="BA384" s="195" t="str">
        <f aca="false">IF($A385="","",F384*Summary!$Q$7)</f>
        <v/>
      </c>
    </row>
    <row r="385" customFormat="false" ht="12.75" hidden="false" customHeight="false" outlineLevel="0" collapsed="false">
      <c r="A385" s="196" t="str">
        <f aca="false">IF(A384&lt;mthend,EDATE(A384,1),"")</f>
        <v/>
      </c>
      <c r="B385" s="197" t="str">
        <f aca="false">IF(A385&lt;mthend,B384,"")</f>
        <v/>
      </c>
      <c r="D385" s="197" t="str">
        <f aca="false">IF(A386&lt;&gt;"",B385+C385,"")</f>
        <v/>
      </c>
      <c r="E385" s="199" t="str">
        <f aca="false">IF(A386="","",IF(AND(AT385=1,$H$3=1),D385*AO385,IF($H$3=2,D385,"N/A")))</f>
        <v/>
      </c>
      <c r="F385" s="199" t="str">
        <f aca="false">IF(A386="","",E385*AS385)</f>
        <v/>
      </c>
      <c r="G385" s="200" t="str">
        <f aca="false">IF($A386="","",VLOOKUP($A385,Table,MATCH(G$4,Curves,0)))</f>
        <v/>
      </c>
      <c r="H385" s="201" t="str">
        <f aca="false">IF(A386="","",G385)</f>
        <v/>
      </c>
      <c r="J385" s="200" t="str">
        <f aca="false">IF($A386="","",VLOOKUP($A385,Table,MATCH(J$4,Curves,0)))</f>
        <v/>
      </c>
      <c r="K385" s="201" t="str">
        <f aca="false">IF(A386="","",J385)</f>
        <v/>
      </c>
      <c r="L385" s="200" t="str">
        <f aca="false">IF($A386="","",VLOOKUP($A385,Table,MATCH(L$4,Curves,0)))</f>
        <v/>
      </c>
      <c r="M385" s="201" t="str">
        <f aca="false">IF(A386="","",L385)</f>
        <v/>
      </c>
      <c r="O385" s="200" t="str">
        <f aca="false">IF(A386="","",L385+J385+G385)</f>
        <v/>
      </c>
      <c r="P385" s="200" t="str">
        <f aca="false">IF(A386="","",M385+K385+H385)</f>
        <v/>
      </c>
      <c r="R385" s="200" t="str">
        <f aca="false">IF($A386="","",VLOOKUP($A385,Table,MATCH(R$4,Curves,0)))</f>
        <v/>
      </c>
      <c r="S385" s="201" t="str">
        <f aca="false">IF(A386="","",R385)</f>
        <v/>
      </c>
      <c r="T385" s="200" t="str">
        <f aca="false">IF($A386="","",VLOOKUP($A385,Table,MATCH(T$4,Curves,0)))</f>
        <v/>
      </c>
      <c r="U385" s="201" t="str">
        <f aca="false">IF(A386="","",T385)</f>
        <v/>
      </c>
      <c r="V385" s="183" t="str">
        <f aca="false">IF($A386="","",IF(AND(MONTH(A385)&gt;3,MONTH(A385)&lt;11),(T385+R385+G385)*Summary!$T$7/(1-Summary!$T$7),(T385+R385+G385)*Summary!$U$7/(1-Summary!$U$7)))</f>
        <v/>
      </c>
      <c r="W385" s="200" t="str">
        <f aca="false">IF($A386="","",(T385+R385+G385+V385))</f>
        <v/>
      </c>
      <c r="X385" s="200" t="str">
        <f aca="false">IF($A386="","",(U385+S385+H385+V385))</f>
        <v/>
      </c>
      <c r="Y385" s="202"/>
      <c r="Z385" s="185"/>
      <c r="AG385" s="182"/>
      <c r="AH385" s="182"/>
      <c r="AI385" s="182"/>
      <c r="AJ385" s="218"/>
      <c r="AK385" s="218"/>
      <c r="AL385" s="218"/>
      <c r="AM385" s="218"/>
      <c r="AN385" s="218"/>
      <c r="AO385" s="137" t="str">
        <f aca="false">IF(A386="","",A386-A385)</f>
        <v/>
      </c>
      <c r="AP385" s="212" t="str">
        <f aca="false">IF(A386="","",CHOOSE(F$3,A386+24,A385))</f>
        <v/>
      </c>
      <c r="AQ385" s="209" t="str">
        <f aca="false">IF(A386="","",AP385-$E$1)</f>
        <v/>
      </c>
      <c r="AR385" s="185" t="n">
        <f aca="false">IF(Summary!$H$2=1,VLOOKUP('ANR OK vs ML7'!A385,Curves!$C$17:$AR$273,MATCH('ANR OK vs ML7'!$AR$4,Curves!$C$8:$AQ$8,0)),0.1)</f>
        <v>0.1</v>
      </c>
      <c r="AS385" s="213" t="str">
        <f aca="false">IF(A386="","",1/(1+CHOOSE(F$3,(AR386+($I$3/10000))/2,(AR385+($I$3/10000))/2))^(2*AQ385/365.25))</f>
        <v/>
      </c>
      <c r="AT385" s="137" t="str">
        <f aca="false">IF(A386="","",IF(AND(mthbeg&lt;=A385,mthend&gt;=A385),1,0))</f>
        <v/>
      </c>
      <c r="AU385" s="137" t="str">
        <f aca="false">IF(A386="","",AO385*AT385)</f>
        <v/>
      </c>
      <c r="AW385" s="195" t="str">
        <f aca="false">IF($A386="","",AL385*$E385)</f>
        <v/>
      </c>
      <c r="AX385" s="195" t="str">
        <f aca="false">IF($A386="","",AM385*$E385)</f>
        <v/>
      </c>
      <c r="AY385" s="195" t="str">
        <f aca="false">IF($A386="","",AN385*$E385)</f>
        <v/>
      </c>
      <c r="BA385" s="195" t="str">
        <f aca="false">IF($A386="","",F385*Summary!$Q$7)</f>
        <v/>
      </c>
    </row>
    <row r="386" customFormat="false" ht="12.75" hidden="false" customHeight="false" outlineLevel="0" collapsed="false">
      <c r="A386" s="196" t="str">
        <f aca="false">IF(A385&lt;mthend,EDATE(A385,1),"")</f>
        <v/>
      </c>
      <c r="B386" s="197" t="str">
        <f aca="false">IF(A386&lt;mthend,B385,"")</f>
        <v/>
      </c>
      <c r="D386" s="197" t="str">
        <f aca="false">IF(A387&lt;&gt;"",B386+C386,"")</f>
        <v/>
      </c>
      <c r="E386" s="199" t="str">
        <f aca="false">IF(A387="","",IF(AND(AT386=1,$H$3=1),D386*AO386,IF($H$3=2,D386,"N/A")))</f>
        <v/>
      </c>
      <c r="F386" s="199" t="str">
        <f aca="false">IF(A387="","",E386*AS386)</f>
        <v/>
      </c>
      <c r="G386" s="200" t="str">
        <f aca="false">IF($A387="","",VLOOKUP($A386,Table,MATCH(G$4,Curves,0)))</f>
        <v/>
      </c>
      <c r="H386" s="201" t="str">
        <f aca="false">IF(A387="","",G386)</f>
        <v/>
      </c>
      <c r="J386" s="200" t="str">
        <f aca="false">IF($A387="","",VLOOKUP($A386,Table,MATCH(J$4,Curves,0)))</f>
        <v/>
      </c>
      <c r="K386" s="201" t="str">
        <f aca="false">IF(A387="","",J386)</f>
        <v/>
      </c>
      <c r="L386" s="200" t="str">
        <f aca="false">IF($A387="","",VLOOKUP($A386,Table,MATCH(L$4,Curves,0)))</f>
        <v/>
      </c>
      <c r="M386" s="201" t="str">
        <f aca="false">IF(A387="","",L386)</f>
        <v/>
      </c>
      <c r="O386" s="200" t="str">
        <f aca="false">IF(A387="","",L386+J386+G386)</f>
        <v/>
      </c>
      <c r="P386" s="200" t="str">
        <f aca="false">IF(A387="","",M386+K386+H386)</f>
        <v/>
      </c>
      <c r="R386" s="200" t="str">
        <f aca="false">IF($A387="","",VLOOKUP($A386,Table,MATCH(R$4,Curves,0)))</f>
        <v/>
      </c>
      <c r="S386" s="201" t="str">
        <f aca="false">IF(A387="","",R386)</f>
        <v/>
      </c>
      <c r="T386" s="200" t="str">
        <f aca="false">IF($A387="","",VLOOKUP($A386,Table,MATCH(T$4,Curves,0)))</f>
        <v/>
      </c>
      <c r="U386" s="201" t="str">
        <f aca="false">IF(A387="","",T386)</f>
        <v/>
      </c>
      <c r="V386" s="183" t="str">
        <f aca="false">IF($A387="","",IF(AND(MONTH(A386)&gt;3,MONTH(A386)&lt;11),(T386+R386+G386)*Summary!$T$7/(1-Summary!$T$7),(T386+R386+G386)*Summary!$U$7/(1-Summary!$U$7)))</f>
        <v/>
      </c>
      <c r="W386" s="200" t="str">
        <f aca="false">IF($A387="","",(T386+R386+G386+V386))</f>
        <v/>
      </c>
      <c r="X386" s="200" t="str">
        <f aca="false">IF($A387="","",(U386+S386+H386+V386))</f>
        <v/>
      </c>
      <c r="Y386" s="202"/>
      <c r="Z386" s="185"/>
      <c r="AG386" s="182"/>
      <c r="AH386" s="182"/>
      <c r="AI386" s="182"/>
      <c r="AJ386" s="218"/>
      <c r="AK386" s="218"/>
      <c r="AL386" s="218"/>
      <c r="AM386" s="218"/>
      <c r="AN386" s="218"/>
      <c r="AO386" s="137" t="str">
        <f aca="false">IF(A387="","",A387-A386)</f>
        <v/>
      </c>
      <c r="AP386" s="212" t="str">
        <f aca="false">IF(A387="","",CHOOSE(F$3,A387+24,A386))</f>
        <v/>
      </c>
      <c r="AQ386" s="209" t="str">
        <f aca="false">IF(A387="","",AP386-$E$1)</f>
        <v/>
      </c>
      <c r="AR386" s="185" t="n">
        <f aca="false">IF(Summary!$H$2=1,VLOOKUP('ANR OK vs ML7'!A386,Curves!$C$17:$AR$273,MATCH('ANR OK vs ML7'!$AR$4,Curves!$C$8:$AQ$8,0)),0.1)</f>
        <v>0.1</v>
      </c>
      <c r="AS386" s="213" t="str">
        <f aca="false">IF(A387="","",1/(1+CHOOSE(F$3,(AR387+($I$3/10000))/2,(AR386+($I$3/10000))/2))^(2*AQ386/365.25))</f>
        <v/>
      </c>
      <c r="AT386" s="137" t="str">
        <f aca="false">IF(A387="","",IF(AND(mthbeg&lt;=A386,mthend&gt;=A386),1,0))</f>
        <v/>
      </c>
      <c r="AU386" s="137" t="str">
        <f aca="false">IF(A387="","",AO386*AT386)</f>
        <v/>
      </c>
      <c r="AW386" s="195" t="str">
        <f aca="false">IF($A387="","",AL386*$E386)</f>
        <v/>
      </c>
      <c r="AX386" s="195" t="str">
        <f aca="false">IF($A387="","",AM386*$E386)</f>
        <v/>
      </c>
      <c r="AY386" s="195" t="str">
        <f aca="false">IF($A387="","",AN386*$E386)</f>
        <v/>
      </c>
      <c r="BA386" s="195" t="str">
        <f aca="false">IF($A387="","",F386*Summary!$Q$7)</f>
        <v/>
      </c>
    </row>
    <row r="387" customFormat="false" ht="12.75" hidden="false" customHeight="false" outlineLevel="0" collapsed="false">
      <c r="A387" s="196" t="str">
        <f aca="false">IF(A386&lt;mthend,EDATE(A386,1),"")</f>
        <v/>
      </c>
      <c r="B387" s="197" t="str">
        <f aca="false">IF(A387&lt;mthend,B386,"")</f>
        <v/>
      </c>
      <c r="D387" s="197" t="str">
        <f aca="false">IF(A388&lt;&gt;"",B387+C387,"")</f>
        <v/>
      </c>
      <c r="E387" s="199" t="str">
        <f aca="false">IF(A388="","",IF(AND(AT387=1,$H$3=1),D387*AO387,IF($H$3=2,D387,"N/A")))</f>
        <v/>
      </c>
      <c r="F387" s="199" t="str">
        <f aca="false">IF(A388="","",E387*AS387)</f>
        <v/>
      </c>
      <c r="G387" s="200" t="str">
        <f aca="false">IF($A388="","",VLOOKUP($A387,Table,MATCH(G$4,Curves,0)))</f>
        <v/>
      </c>
      <c r="H387" s="201" t="str">
        <f aca="false">IF(A388="","",G387)</f>
        <v/>
      </c>
      <c r="J387" s="200" t="str">
        <f aca="false">IF($A388="","",VLOOKUP($A387,Table,MATCH(J$4,Curves,0)))</f>
        <v/>
      </c>
      <c r="K387" s="201" t="str">
        <f aca="false">IF(A388="","",J387)</f>
        <v/>
      </c>
      <c r="L387" s="200" t="str">
        <f aca="false">IF($A388="","",VLOOKUP($A387,Table,MATCH(L$4,Curves,0)))</f>
        <v/>
      </c>
      <c r="M387" s="201" t="str">
        <f aca="false">IF(A388="","",L387)</f>
        <v/>
      </c>
      <c r="O387" s="200" t="str">
        <f aca="false">IF(A388="","",L387+J387+G387)</f>
        <v/>
      </c>
      <c r="P387" s="200" t="str">
        <f aca="false">IF(A388="","",M387+K387+H387)</f>
        <v/>
      </c>
      <c r="R387" s="200" t="str">
        <f aca="false">IF($A388="","",VLOOKUP($A387,Table,MATCH(R$4,Curves,0)))</f>
        <v/>
      </c>
      <c r="S387" s="201" t="str">
        <f aca="false">IF(A388="","",R387)</f>
        <v/>
      </c>
      <c r="T387" s="200" t="str">
        <f aca="false">IF($A388="","",VLOOKUP($A387,Table,MATCH(T$4,Curves,0)))</f>
        <v/>
      </c>
      <c r="U387" s="201" t="str">
        <f aca="false">IF(A388="","",T387)</f>
        <v/>
      </c>
      <c r="V387" s="183" t="str">
        <f aca="false">IF($A388="","",IF(AND(MONTH(A387)&gt;3,MONTH(A387)&lt;11),(T387+R387+G387)*Summary!$T$7/(1-Summary!$T$7),(T387+R387+G387)*Summary!$U$7/(1-Summary!$U$7)))</f>
        <v/>
      </c>
      <c r="W387" s="200" t="str">
        <f aca="false">IF($A388="","",(T387+R387+G387+V387))</f>
        <v/>
      </c>
      <c r="X387" s="200" t="str">
        <f aca="false">IF($A388="","",(U387+S387+H387+V387))</f>
        <v/>
      </c>
      <c r="Y387" s="202"/>
      <c r="Z387" s="185"/>
      <c r="AG387" s="182"/>
      <c r="AH387" s="182"/>
      <c r="AI387" s="182"/>
      <c r="AJ387" s="218"/>
      <c r="AK387" s="218"/>
      <c r="AL387" s="218"/>
      <c r="AM387" s="218"/>
      <c r="AN387" s="218"/>
      <c r="AO387" s="137" t="str">
        <f aca="false">IF(A388="","",A388-A387)</f>
        <v/>
      </c>
      <c r="AP387" s="212" t="str">
        <f aca="false">IF(A388="","",CHOOSE(F$3,A388+24,A387))</f>
        <v/>
      </c>
      <c r="AQ387" s="209" t="str">
        <f aca="false">IF(A388="","",AP387-$E$1)</f>
        <v/>
      </c>
      <c r="AR387" s="185" t="n">
        <f aca="false">IF(Summary!$H$2=1,VLOOKUP('ANR OK vs ML7'!A387,Curves!$C$17:$AR$273,MATCH('ANR OK vs ML7'!$AR$4,Curves!$C$8:$AQ$8,0)),0.1)</f>
        <v>0.1</v>
      </c>
      <c r="AS387" s="213" t="str">
        <f aca="false">IF(A388="","",1/(1+CHOOSE(F$3,(AR388+($I$3/10000))/2,(AR387+($I$3/10000))/2))^(2*AQ387/365.25))</f>
        <v/>
      </c>
      <c r="AT387" s="137" t="str">
        <f aca="false">IF(A388="","",IF(AND(mthbeg&lt;=A387,mthend&gt;=A387),1,0))</f>
        <v/>
      </c>
      <c r="AU387" s="137" t="str">
        <f aca="false">IF(A388="","",AO387*AT387)</f>
        <v/>
      </c>
      <c r="AW387" s="195" t="str">
        <f aca="false">IF($A388="","",AL387*$E387)</f>
        <v/>
      </c>
      <c r="AX387" s="195" t="str">
        <f aca="false">IF($A388="","",AM387*$E387)</f>
        <v/>
      </c>
      <c r="AY387" s="195" t="str">
        <f aca="false">IF($A388="","",AN387*$E387)</f>
        <v/>
      </c>
      <c r="BA387" s="195" t="str">
        <f aca="false">IF($A388="","",F387*Summary!$Q$7)</f>
        <v/>
      </c>
    </row>
    <row r="388" customFormat="false" ht="12.75" hidden="false" customHeight="false" outlineLevel="0" collapsed="false">
      <c r="A388" s="196" t="str">
        <f aca="false">IF(A387&lt;mthend,EDATE(A387,1),"")</f>
        <v/>
      </c>
      <c r="B388" s="197" t="str">
        <f aca="false">IF(A388&lt;mthend,B387,"")</f>
        <v/>
      </c>
      <c r="D388" s="197" t="str">
        <f aca="false">IF(A389&lt;&gt;"",B388+C388,"")</f>
        <v/>
      </c>
      <c r="E388" s="199" t="str">
        <f aca="false">IF(A389="","",IF(AND(AT388=1,$H$3=1),D388*AO388,IF($H$3=2,D388,"N/A")))</f>
        <v/>
      </c>
      <c r="F388" s="199" t="str">
        <f aca="false">IF(A389="","",E388*AS388)</f>
        <v/>
      </c>
      <c r="G388" s="200" t="str">
        <f aca="false">IF($A389="","",VLOOKUP($A388,Table,MATCH(G$4,Curves,0)))</f>
        <v/>
      </c>
      <c r="H388" s="201" t="str">
        <f aca="false">IF(A389="","",G388)</f>
        <v/>
      </c>
      <c r="J388" s="200" t="str">
        <f aca="false">IF($A389="","",VLOOKUP($A388,Table,MATCH(J$4,Curves,0)))</f>
        <v/>
      </c>
      <c r="K388" s="201" t="str">
        <f aca="false">IF(A389="","",J388)</f>
        <v/>
      </c>
      <c r="L388" s="200" t="str">
        <f aca="false">IF($A389="","",VLOOKUP($A388,Table,MATCH(L$4,Curves,0)))</f>
        <v/>
      </c>
      <c r="M388" s="201" t="str">
        <f aca="false">IF(A389="","",L388)</f>
        <v/>
      </c>
      <c r="O388" s="200" t="str">
        <f aca="false">IF(A389="","",L388+J388+G388)</f>
        <v/>
      </c>
      <c r="P388" s="200" t="str">
        <f aca="false">IF(A389="","",M388+K388+H388)</f>
        <v/>
      </c>
      <c r="R388" s="200" t="str">
        <f aca="false">IF($A389="","",VLOOKUP($A388,Table,MATCH(R$4,Curves,0)))</f>
        <v/>
      </c>
      <c r="S388" s="201" t="str">
        <f aca="false">IF(A389="","",R388)</f>
        <v/>
      </c>
      <c r="T388" s="200" t="str">
        <f aca="false">IF($A389="","",VLOOKUP($A388,Table,MATCH(T$4,Curves,0)))</f>
        <v/>
      </c>
      <c r="U388" s="201" t="str">
        <f aca="false">IF(A389="","",T388)</f>
        <v/>
      </c>
      <c r="V388" s="183" t="str">
        <f aca="false">IF($A389="","",IF(AND(MONTH(A388)&gt;3,MONTH(A388)&lt;11),(T388+R388+G388)*Summary!$T$7/(1-Summary!$T$7),(T388+R388+G388)*Summary!$U$7/(1-Summary!$U$7)))</f>
        <v/>
      </c>
      <c r="W388" s="200" t="str">
        <f aca="false">IF($A389="","",(T388+R388+G388+V388))</f>
        <v/>
      </c>
      <c r="X388" s="200" t="str">
        <f aca="false">IF($A389="","",(U388+S388+H388+V388))</f>
        <v/>
      </c>
      <c r="Y388" s="202"/>
      <c r="Z388" s="185"/>
      <c r="AG388" s="182"/>
      <c r="AH388" s="182"/>
      <c r="AI388" s="182"/>
      <c r="AJ388" s="218"/>
      <c r="AK388" s="218"/>
      <c r="AL388" s="218"/>
      <c r="AM388" s="218"/>
      <c r="AN388" s="218"/>
      <c r="AO388" s="137" t="str">
        <f aca="false">IF(A389="","",A389-A388)</f>
        <v/>
      </c>
      <c r="AP388" s="212" t="str">
        <f aca="false">IF(A389="","",CHOOSE(F$3,A389+24,A388))</f>
        <v/>
      </c>
      <c r="AQ388" s="209" t="str">
        <f aca="false">IF(A389="","",AP388-$E$1)</f>
        <v/>
      </c>
      <c r="AR388" s="185" t="n">
        <f aca="false">IF(Summary!$H$2=1,VLOOKUP('ANR OK vs ML7'!A388,Curves!$C$17:$AR$273,MATCH('ANR OK vs ML7'!$AR$4,Curves!$C$8:$AQ$8,0)),0.1)</f>
        <v>0.1</v>
      </c>
      <c r="AS388" s="213" t="str">
        <f aca="false">IF(A389="","",1/(1+CHOOSE(F$3,(AR389+($I$3/10000))/2,(AR388+($I$3/10000))/2))^(2*AQ388/365.25))</f>
        <v/>
      </c>
      <c r="AT388" s="137" t="str">
        <f aca="false">IF(A389="","",IF(AND(mthbeg&lt;=A388,mthend&gt;=A388),1,0))</f>
        <v/>
      </c>
      <c r="AU388" s="137" t="str">
        <f aca="false">IF(A389="","",AO388*AT388)</f>
        <v/>
      </c>
      <c r="AW388" s="195" t="str">
        <f aca="false">IF($A389="","",AL388*$E388)</f>
        <v/>
      </c>
      <c r="AX388" s="195" t="str">
        <f aca="false">IF($A389="","",AM388*$E388)</f>
        <v/>
      </c>
      <c r="AY388" s="195" t="str">
        <f aca="false">IF($A389="","",AN388*$E388)</f>
        <v/>
      </c>
      <c r="BA388" s="195" t="str">
        <f aca="false">IF($A389="","",F388*Summary!$Q$7)</f>
        <v/>
      </c>
    </row>
    <row r="389" customFormat="false" ht="12.75" hidden="false" customHeight="false" outlineLevel="0" collapsed="false">
      <c r="A389" s="196" t="str">
        <f aca="false">IF(A388&lt;mthend,EDATE(A388,1),"")</f>
        <v/>
      </c>
      <c r="B389" s="197" t="str">
        <f aca="false">IF(A389&lt;mthend,B388,"")</f>
        <v/>
      </c>
      <c r="D389" s="197" t="str">
        <f aca="false">IF(A390&lt;&gt;"",B389+C389,"")</f>
        <v/>
      </c>
      <c r="E389" s="199" t="str">
        <f aca="false">IF(A390="","",IF(AND(AT389=1,$H$3=1),D389*AO389,IF($H$3=2,D389,"N/A")))</f>
        <v/>
      </c>
      <c r="F389" s="199" t="str">
        <f aca="false">IF(A390="","",E389*AS389)</f>
        <v/>
      </c>
      <c r="G389" s="200" t="str">
        <f aca="false">IF($A390="","",VLOOKUP($A389,Table,MATCH(G$4,Curves,0)))</f>
        <v/>
      </c>
      <c r="H389" s="201" t="str">
        <f aca="false">IF(A390="","",G389)</f>
        <v/>
      </c>
      <c r="J389" s="200" t="str">
        <f aca="false">IF($A390="","",VLOOKUP($A389,Table,MATCH(J$4,Curves,0)))</f>
        <v/>
      </c>
      <c r="K389" s="201" t="str">
        <f aca="false">IF(A390="","",J389)</f>
        <v/>
      </c>
      <c r="L389" s="200" t="str">
        <f aca="false">IF($A390="","",VLOOKUP($A389,Table,MATCH(L$4,Curves,0)))</f>
        <v/>
      </c>
      <c r="M389" s="201" t="str">
        <f aca="false">IF(A390="","",L389)</f>
        <v/>
      </c>
      <c r="O389" s="200" t="str">
        <f aca="false">IF(A390="","",L389+J389+G389)</f>
        <v/>
      </c>
      <c r="P389" s="200" t="str">
        <f aca="false">IF(A390="","",M389+K389+H389)</f>
        <v/>
      </c>
      <c r="R389" s="200" t="str">
        <f aca="false">IF($A390="","",VLOOKUP($A389,Table,MATCH(R$4,Curves,0)))</f>
        <v/>
      </c>
      <c r="S389" s="201" t="str">
        <f aca="false">IF(A390="","",R389)</f>
        <v/>
      </c>
      <c r="T389" s="200" t="str">
        <f aca="false">IF($A390="","",VLOOKUP($A389,Table,MATCH(T$4,Curves,0)))</f>
        <v/>
      </c>
      <c r="U389" s="201" t="str">
        <f aca="false">IF(A390="","",T389)</f>
        <v/>
      </c>
      <c r="V389" s="183" t="str">
        <f aca="false">IF($A390="","",IF(AND(MONTH(A389)&gt;3,MONTH(A389)&lt;11),(T389+R389+G389)*Summary!$T$7/(1-Summary!$T$7),(T389+R389+G389)*Summary!$U$7/(1-Summary!$U$7)))</f>
        <v/>
      </c>
      <c r="W389" s="200" t="str">
        <f aca="false">IF($A390="","",(T389+R389+G389+V389))</f>
        <v/>
      </c>
      <c r="X389" s="200" t="str">
        <f aca="false">IF($A390="","",(U389+S389+H389+V389))</f>
        <v/>
      </c>
      <c r="Y389" s="202"/>
      <c r="Z389" s="185"/>
      <c r="AG389" s="182"/>
      <c r="AH389" s="182"/>
      <c r="AI389" s="182"/>
      <c r="AJ389" s="218"/>
      <c r="AK389" s="218"/>
      <c r="AL389" s="218"/>
      <c r="AM389" s="218"/>
      <c r="AN389" s="218"/>
      <c r="AO389" s="137" t="str">
        <f aca="false">IF(A390="","",A390-A389)</f>
        <v/>
      </c>
      <c r="AP389" s="212" t="str">
        <f aca="false">IF(A390="","",CHOOSE(F$3,A390+24,A389))</f>
        <v/>
      </c>
      <c r="AQ389" s="209" t="str">
        <f aca="false">IF(A390="","",AP389-$E$1)</f>
        <v/>
      </c>
      <c r="AR389" s="185" t="n">
        <f aca="false">IF(Summary!$H$2=1,VLOOKUP('ANR OK vs ML7'!A389,Curves!$C$17:$AR$273,MATCH('ANR OK vs ML7'!$AR$4,Curves!$C$8:$AQ$8,0)),0.1)</f>
        <v>0.1</v>
      </c>
      <c r="AS389" s="213" t="str">
        <f aca="false">IF(A390="","",1/(1+CHOOSE(F$3,(AR390+($I$3/10000))/2,(AR389+($I$3/10000))/2))^(2*AQ389/365.25))</f>
        <v/>
      </c>
      <c r="AT389" s="137" t="str">
        <f aca="false">IF(A390="","",IF(AND(mthbeg&lt;=A389,mthend&gt;=A389),1,0))</f>
        <v/>
      </c>
      <c r="AU389" s="137" t="str">
        <f aca="false">IF(A390="","",AO389*AT389)</f>
        <v/>
      </c>
      <c r="AW389" s="195" t="str">
        <f aca="false">IF($A390="","",AL389*$E389)</f>
        <v/>
      </c>
      <c r="AX389" s="195" t="str">
        <f aca="false">IF($A390="","",AM389*$E389)</f>
        <v/>
      </c>
      <c r="AY389" s="195" t="str">
        <f aca="false">IF($A390="","",AN389*$E389)</f>
        <v/>
      </c>
      <c r="BA389" s="195" t="str">
        <f aca="false">IF($A390="","",F389*Summary!$Q$7)</f>
        <v/>
      </c>
    </row>
    <row r="390" customFormat="false" ht="12.75" hidden="false" customHeight="false" outlineLevel="0" collapsed="false">
      <c r="A390" s="196" t="str">
        <f aca="false">IF(A389&lt;mthend,EDATE(A389,1),"")</f>
        <v/>
      </c>
      <c r="B390" s="197" t="str">
        <f aca="false">IF(A390&lt;mthend,B389,"")</f>
        <v/>
      </c>
      <c r="D390" s="197" t="str">
        <f aca="false">IF(A391&lt;&gt;"",B390+C390,"")</f>
        <v/>
      </c>
      <c r="E390" s="199" t="str">
        <f aca="false">IF(A391="","",IF(AND(AT390=1,$H$3=1),D390*AO390,IF($H$3=2,D390,"N/A")))</f>
        <v/>
      </c>
      <c r="F390" s="199" t="str">
        <f aca="false">IF(A391="","",E390*AS390)</f>
        <v/>
      </c>
      <c r="G390" s="200" t="str">
        <f aca="false">IF($A391="","",VLOOKUP($A390,Table,MATCH(G$4,Curves,0)))</f>
        <v/>
      </c>
      <c r="H390" s="201" t="str">
        <f aca="false">IF(A391="","",G390)</f>
        <v/>
      </c>
      <c r="J390" s="200" t="str">
        <f aca="false">IF($A391="","",VLOOKUP($A390,Table,MATCH(J$4,Curves,0)))</f>
        <v/>
      </c>
      <c r="K390" s="201" t="str">
        <f aca="false">IF(A391="","",J390)</f>
        <v/>
      </c>
      <c r="L390" s="200" t="str">
        <f aca="false">IF($A391="","",VLOOKUP($A390,Table,MATCH(L$4,Curves,0)))</f>
        <v/>
      </c>
      <c r="M390" s="201" t="str">
        <f aca="false">IF(A391="","",L390)</f>
        <v/>
      </c>
      <c r="O390" s="200" t="str">
        <f aca="false">IF(A391="","",L390+J390+G390)</f>
        <v/>
      </c>
      <c r="P390" s="200" t="str">
        <f aca="false">IF(A391="","",M390+K390+H390)</f>
        <v/>
      </c>
      <c r="R390" s="200" t="str">
        <f aca="false">IF($A391="","",VLOOKUP($A390,Table,MATCH(R$4,Curves,0)))</f>
        <v/>
      </c>
      <c r="S390" s="201" t="str">
        <f aca="false">IF(A391="","",R390)</f>
        <v/>
      </c>
      <c r="T390" s="200" t="str">
        <f aca="false">IF($A391="","",VLOOKUP($A390,Table,MATCH(T$4,Curves,0)))</f>
        <v/>
      </c>
      <c r="U390" s="201" t="str">
        <f aca="false">IF(A391="","",T390)</f>
        <v/>
      </c>
      <c r="V390" s="183" t="str">
        <f aca="false">IF($A391="","",IF(AND(MONTH(A390)&gt;3,MONTH(A390)&lt;11),(T390+R390+G390)*Summary!$T$7/(1-Summary!$T$7),(T390+R390+G390)*Summary!$U$7/(1-Summary!$U$7)))</f>
        <v/>
      </c>
      <c r="W390" s="200" t="str">
        <f aca="false">IF($A391="","",(T390+R390+G390+V390))</f>
        <v/>
      </c>
      <c r="X390" s="200" t="str">
        <f aca="false">IF($A391="","",(U390+S390+H390+V390))</f>
        <v/>
      </c>
      <c r="Y390" s="202"/>
      <c r="Z390" s="185"/>
      <c r="AG390" s="182"/>
      <c r="AH390" s="182"/>
      <c r="AI390" s="182"/>
      <c r="AJ390" s="218"/>
      <c r="AK390" s="218"/>
      <c r="AL390" s="218"/>
      <c r="AM390" s="218"/>
      <c r="AN390" s="218"/>
      <c r="AO390" s="137" t="str">
        <f aca="false">IF(A391="","",A391-A390)</f>
        <v/>
      </c>
      <c r="AP390" s="212" t="str">
        <f aca="false">IF(A391="","",CHOOSE(F$3,A391+24,A390))</f>
        <v/>
      </c>
      <c r="AQ390" s="209" t="str">
        <f aca="false">IF(A391="","",AP390-$E$1)</f>
        <v/>
      </c>
      <c r="AR390" s="185" t="n">
        <f aca="false">IF(Summary!$H$2=1,VLOOKUP('ANR OK vs ML7'!A390,Curves!$C$17:$AR$273,MATCH('ANR OK vs ML7'!$AR$4,Curves!$C$8:$AQ$8,0)),0.1)</f>
        <v>0.1</v>
      </c>
      <c r="AS390" s="213" t="str">
        <f aca="false">IF(A391="","",1/(1+CHOOSE(F$3,(AR391+($I$3/10000))/2,(AR390+($I$3/10000))/2))^(2*AQ390/365.25))</f>
        <v/>
      </c>
      <c r="AT390" s="137" t="str">
        <f aca="false">IF(A391="","",IF(AND(mthbeg&lt;=A390,mthend&gt;=A390),1,0))</f>
        <v/>
      </c>
      <c r="AU390" s="137" t="str">
        <f aca="false">IF(A391="","",AO390*AT390)</f>
        <v/>
      </c>
      <c r="AW390" s="195" t="str">
        <f aca="false">IF($A391="","",AL390*$E390)</f>
        <v/>
      </c>
      <c r="AX390" s="195" t="str">
        <f aca="false">IF($A391="","",AM390*$E390)</f>
        <v/>
      </c>
      <c r="AY390" s="195" t="str">
        <f aca="false">IF($A391="","",AN390*$E390)</f>
        <v/>
      </c>
      <c r="BA390" s="195" t="str">
        <f aca="false">IF($A391="","",F390*Summary!$Q$7)</f>
        <v/>
      </c>
    </row>
    <row r="391" customFormat="false" ht="12.75" hidden="false" customHeight="false" outlineLevel="0" collapsed="false">
      <c r="A391" s="196" t="str">
        <f aca="false">IF(A390&lt;mthend,EDATE(A390,1),"")</f>
        <v/>
      </c>
      <c r="B391" s="197" t="str">
        <f aca="false">IF(A391&lt;mthend,B390,"")</f>
        <v/>
      </c>
      <c r="D391" s="197" t="str">
        <f aca="false">IF(A392&lt;&gt;"",B391+C391,"")</f>
        <v/>
      </c>
      <c r="E391" s="199" t="str">
        <f aca="false">IF(A392="","",IF(AND(AT391=1,$H$3=1),D391*AO391,IF($H$3=2,D391,"N/A")))</f>
        <v/>
      </c>
      <c r="F391" s="199" t="str">
        <f aca="false">IF(A392="","",E391*AS391)</f>
        <v/>
      </c>
      <c r="G391" s="200" t="str">
        <f aca="false">IF($A392="","",VLOOKUP($A391,Table,MATCH(G$4,Curves,0)))</f>
        <v/>
      </c>
      <c r="H391" s="201" t="str">
        <f aca="false">IF(A392="","",G391)</f>
        <v/>
      </c>
      <c r="J391" s="200" t="str">
        <f aca="false">IF($A392="","",VLOOKUP($A391,Table,MATCH(J$4,Curves,0)))</f>
        <v/>
      </c>
      <c r="K391" s="201" t="str">
        <f aca="false">IF(A392="","",J391)</f>
        <v/>
      </c>
      <c r="L391" s="200" t="str">
        <f aca="false">IF($A392="","",VLOOKUP($A391,Table,MATCH(L$4,Curves,0)))</f>
        <v/>
      </c>
      <c r="M391" s="201" t="str">
        <f aca="false">IF(A392="","",L391)</f>
        <v/>
      </c>
      <c r="O391" s="200" t="str">
        <f aca="false">IF(A392="","",L391+J391+G391)</f>
        <v/>
      </c>
      <c r="P391" s="200" t="str">
        <f aca="false">IF(A392="","",M391+K391+H391)</f>
        <v/>
      </c>
      <c r="R391" s="200" t="str">
        <f aca="false">IF($A392="","",VLOOKUP($A391,Table,MATCH(R$4,Curves,0)))</f>
        <v/>
      </c>
      <c r="S391" s="201" t="str">
        <f aca="false">IF(A392="","",R391)</f>
        <v/>
      </c>
      <c r="T391" s="200" t="str">
        <f aca="false">IF($A392="","",VLOOKUP($A391,Table,MATCH(T$4,Curves,0)))</f>
        <v/>
      </c>
      <c r="U391" s="201" t="str">
        <f aca="false">IF(A392="","",T391)</f>
        <v/>
      </c>
      <c r="V391" s="183" t="str">
        <f aca="false">IF($A392="","",IF(AND(MONTH(A391)&gt;3,MONTH(A391)&lt;11),(T391+R391+G391)*Summary!$T$7/(1-Summary!$T$7),(T391+R391+G391)*Summary!$U$7/(1-Summary!$U$7)))</f>
        <v/>
      </c>
      <c r="W391" s="200" t="str">
        <f aca="false">IF($A392="","",(T391+R391+G391+V391))</f>
        <v/>
      </c>
      <c r="X391" s="200" t="str">
        <f aca="false">IF($A392="","",(U391+S391+H391+V391))</f>
        <v/>
      </c>
      <c r="Y391" s="202"/>
      <c r="Z391" s="185"/>
      <c r="AG391" s="182"/>
      <c r="AH391" s="182"/>
      <c r="AI391" s="182"/>
      <c r="AJ391" s="218"/>
      <c r="AK391" s="218"/>
      <c r="AL391" s="218"/>
      <c r="AM391" s="218"/>
      <c r="AN391" s="218"/>
      <c r="AO391" s="137" t="str">
        <f aca="false">IF(A392="","",A392-A391)</f>
        <v/>
      </c>
      <c r="AP391" s="212" t="str">
        <f aca="false">IF(A392="","",CHOOSE(F$3,A392+24,A391))</f>
        <v/>
      </c>
      <c r="AQ391" s="209" t="str">
        <f aca="false">IF(A392="","",AP391-$E$1)</f>
        <v/>
      </c>
      <c r="AR391" s="185" t="n">
        <f aca="false">IF(Summary!$H$2=1,VLOOKUP('ANR OK vs ML7'!A391,Curves!$C$17:$AR$273,MATCH('ANR OK vs ML7'!$AR$4,Curves!$C$8:$AQ$8,0)),0.1)</f>
        <v>0.1</v>
      </c>
      <c r="AS391" s="213" t="str">
        <f aca="false">IF(A392="","",1/(1+CHOOSE(F$3,(AR392+($I$3/10000))/2,(AR391+($I$3/10000))/2))^(2*AQ391/365.25))</f>
        <v/>
      </c>
      <c r="AT391" s="137" t="str">
        <f aca="false">IF(A392="","",IF(AND(mthbeg&lt;=A391,mthend&gt;=A391),1,0))</f>
        <v/>
      </c>
      <c r="AU391" s="137" t="str">
        <f aca="false">IF(A392="","",AO391*AT391)</f>
        <v/>
      </c>
      <c r="AW391" s="195" t="str">
        <f aca="false">IF($A392="","",AL391*$E391)</f>
        <v/>
      </c>
      <c r="AX391" s="195" t="str">
        <f aca="false">IF($A392="","",AM391*$E391)</f>
        <v/>
      </c>
      <c r="AY391" s="195" t="str">
        <f aca="false">IF($A392="","",AN391*$E391)</f>
        <v/>
      </c>
      <c r="BA391" s="195" t="str">
        <f aca="false">IF($A392="","",F391*Summary!$Q$7)</f>
        <v/>
      </c>
    </row>
    <row r="392" customFormat="false" ht="12.75" hidden="false" customHeight="false" outlineLevel="0" collapsed="false">
      <c r="A392" s="196" t="str">
        <f aca="false">IF(A391&lt;mthend,EDATE(A391,1),"")</f>
        <v/>
      </c>
      <c r="B392" s="197" t="str">
        <f aca="false">IF(A392&lt;mthend,B391,"")</f>
        <v/>
      </c>
      <c r="D392" s="197" t="str">
        <f aca="false">IF(A393&lt;&gt;"",B392+C392,"")</f>
        <v/>
      </c>
      <c r="E392" s="199" t="str">
        <f aca="false">IF(A393="","",IF(AND(AT392=1,$H$3=1),D392*AO392,IF($H$3=2,D392,"N/A")))</f>
        <v/>
      </c>
      <c r="F392" s="199" t="str">
        <f aca="false">IF(A393="","",E392*AS392)</f>
        <v/>
      </c>
      <c r="G392" s="200" t="str">
        <f aca="false">IF($A393="","",VLOOKUP($A392,Table,MATCH(G$4,Curves,0)))</f>
        <v/>
      </c>
      <c r="H392" s="201" t="str">
        <f aca="false">IF(A393="","",G392)</f>
        <v/>
      </c>
      <c r="J392" s="200" t="str">
        <f aca="false">IF($A393="","",VLOOKUP($A392,Table,MATCH(J$4,Curves,0)))</f>
        <v/>
      </c>
      <c r="K392" s="201" t="str">
        <f aca="false">IF(A393="","",J392)</f>
        <v/>
      </c>
      <c r="L392" s="200" t="str">
        <f aca="false">IF($A393="","",VLOOKUP($A392,Table,MATCH(L$4,Curves,0)))</f>
        <v/>
      </c>
      <c r="M392" s="201" t="str">
        <f aca="false">IF(A393="","",L392)</f>
        <v/>
      </c>
      <c r="O392" s="200" t="str">
        <f aca="false">IF(A393="","",L392+J392+G392)</f>
        <v/>
      </c>
      <c r="P392" s="200" t="str">
        <f aca="false">IF(A393="","",M392+K392+H392)</f>
        <v/>
      </c>
      <c r="R392" s="200" t="str">
        <f aca="false">IF($A393="","",VLOOKUP($A392,Table,MATCH(R$4,Curves,0)))</f>
        <v/>
      </c>
      <c r="S392" s="201" t="str">
        <f aca="false">IF(A393="","",R392)</f>
        <v/>
      </c>
      <c r="T392" s="200" t="str">
        <f aca="false">IF($A393="","",VLOOKUP($A392,Table,MATCH(T$4,Curves,0)))</f>
        <v/>
      </c>
      <c r="U392" s="201" t="str">
        <f aca="false">IF(A393="","",T392)</f>
        <v/>
      </c>
      <c r="V392" s="183" t="str">
        <f aca="false">IF($A393="","",IF(AND(MONTH(A392)&gt;3,MONTH(A392)&lt;11),(T392+R392+G392)*Summary!$T$7/(1-Summary!$T$7),(T392+R392+G392)*Summary!$U$7/(1-Summary!$U$7)))</f>
        <v/>
      </c>
      <c r="W392" s="200" t="str">
        <f aca="false">IF($A393="","",(T392+R392+G392+V392))</f>
        <v/>
      </c>
      <c r="X392" s="200" t="str">
        <f aca="false">IF($A393="","",(U392+S392+H392+V392))</f>
        <v/>
      </c>
      <c r="Y392" s="202"/>
      <c r="Z392" s="185"/>
      <c r="AG392" s="182"/>
      <c r="AH392" s="182"/>
      <c r="AI392" s="182"/>
      <c r="AJ392" s="218"/>
      <c r="AK392" s="218"/>
      <c r="AL392" s="218"/>
      <c r="AM392" s="218"/>
      <c r="AN392" s="218"/>
      <c r="AO392" s="137" t="str">
        <f aca="false">IF(A393="","",A393-A392)</f>
        <v/>
      </c>
      <c r="AP392" s="212" t="str">
        <f aca="false">IF(A393="","",CHOOSE(F$3,A393+24,A392))</f>
        <v/>
      </c>
      <c r="AQ392" s="209" t="str">
        <f aca="false">IF(A393="","",AP392-$E$1)</f>
        <v/>
      </c>
      <c r="AR392" s="185" t="n">
        <f aca="false">IF(Summary!$H$2=1,VLOOKUP('ANR OK vs ML7'!A392,Curves!$C$17:$AR$273,MATCH('ANR OK vs ML7'!$AR$4,Curves!$C$8:$AQ$8,0)),0.1)</f>
        <v>0.1</v>
      </c>
      <c r="AS392" s="213" t="str">
        <f aca="false">IF(A393="","",1/(1+CHOOSE(F$3,(AR393+($I$3/10000))/2,(AR392+($I$3/10000))/2))^(2*AQ392/365.25))</f>
        <v/>
      </c>
      <c r="AT392" s="137" t="str">
        <f aca="false">IF(A393="","",IF(AND(mthbeg&lt;=A392,mthend&gt;=A392),1,0))</f>
        <v/>
      </c>
      <c r="AU392" s="137" t="str">
        <f aca="false">IF(A393="","",AO392*AT392)</f>
        <v/>
      </c>
      <c r="AW392" s="195" t="str">
        <f aca="false">IF($A393="","",AL392*$E392)</f>
        <v/>
      </c>
      <c r="AX392" s="195" t="str">
        <f aca="false">IF($A393="","",AM392*$E392)</f>
        <v/>
      </c>
      <c r="AY392" s="195" t="str">
        <f aca="false">IF($A393="","",AN392*$E392)</f>
        <v/>
      </c>
      <c r="BA392" s="195" t="str">
        <f aca="false">IF($A393="","",F392*Summary!$Q$7)</f>
        <v/>
      </c>
    </row>
    <row r="393" customFormat="false" ht="12.75" hidden="false" customHeight="false" outlineLevel="0" collapsed="false">
      <c r="A393" s="196" t="str">
        <f aca="false">IF(A392&lt;mthend,EDATE(A392,1),"")</f>
        <v/>
      </c>
      <c r="B393" s="197" t="str">
        <f aca="false">IF(A393&lt;mthend,B392,"")</f>
        <v/>
      </c>
      <c r="D393" s="197" t="str">
        <f aca="false">IF(A394&lt;&gt;"",B393+C393,"")</f>
        <v/>
      </c>
      <c r="E393" s="199" t="str">
        <f aca="false">IF(A394="","",IF(AND(AT393=1,$H$3=1),D393*AO393,IF($H$3=2,D393,"N/A")))</f>
        <v/>
      </c>
      <c r="F393" s="199" t="str">
        <f aca="false">IF(A394="","",E393*AS393)</f>
        <v/>
      </c>
      <c r="G393" s="200" t="str">
        <f aca="false">IF($A394="","",VLOOKUP($A393,Table,MATCH(G$4,Curves,0)))</f>
        <v/>
      </c>
      <c r="H393" s="201" t="str">
        <f aca="false">IF(A394="","",G393)</f>
        <v/>
      </c>
      <c r="J393" s="200" t="str">
        <f aca="false">IF($A394="","",VLOOKUP($A393,Table,MATCH(J$4,Curves,0)))</f>
        <v/>
      </c>
      <c r="K393" s="201" t="str">
        <f aca="false">IF(A394="","",J393)</f>
        <v/>
      </c>
      <c r="L393" s="200" t="str">
        <f aca="false">IF($A394="","",VLOOKUP($A393,Table,MATCH(L$4,Curves,0)))</f>
        <v/>
      </c>
      <c r="M393" s="201" t="str">
        <f aca="false">IF(A394="","",L393)</f>
        <v/>
      </c>
      <c r="O393" s="200" t="str">
        <f aca="false">IF(A394="","",L393+J393+G393)</f>
        <v/>
      </c>
      <c r="P393" s="200" t="str">
        <f aca="false">IF(A394="","",M393+K393+H393)</f>
        <v/>
      </c>
      <c r="R393" s="200" t="str">
        <f aca="false">IF($A394="","",VLOOKUP($A393,Table,MATCH(R$4,Curves,0)))</f>
        <v/>
      </c>
      <c r="S393" s="201" t="str">
        <f aca="false">IF(A394="","",R393)</f>
        <v/>
      </c>
      <c r="T393" s="200" t="str">
        <f aca="false">IF($A394="","",VLOOKUP($A393,Table,MATCH(T$4,Curves,0)))</f>
        <v/>
      </c>
      <c r="U393" s="201" t="str">
        <f aca="false">IF(A394="","",T393)</f>
        <v/>
      </c>
      <c r="V393" s="183" t="str">
        <f aca="false">IF($A394="","",IF(AND(MONTH(A393)&gt;3,MONTH(A393)&lt;11),(T393+R393+G393)*Summary!$T$7/(1-Summary!$T$7),(T393+R393+G393)*Summary!$U$7/(1-Summary!$U$7)))</f>
        <v/>
      </c>
      <c r="W393" s="200" t="str">
        <f aca="false">IF($A394="","",(T393+R393+G393+V393))</f>
        <v/>
      </c>
      <c r="X393" s="200" t="str">
        <f aca="false">IF($A394="","",(U393+S393+H393+V393))</f>
        <v/>
      </c>
      <c r="Y393" s="202"/>
      <c r="Z393" s="185"/>
      <c r="AG393" s="182"/>
      <c r="AH393" s="182"/>
      <c r="AI393" s="182"/>
      <c r="AJ393" s="218"/>
      <c r="AK393" s="218"/>
      <c r="AL393" s="218"/>
      <c r="AM393" s="218"/>
      <c r="AN393" s="218"/>
      <c r="AO393" s="137" t="str">
        <f aca="false">IF(A394="","",A394-A393)</f>
        <v/>
      </c>
      <c r="AP393" s="212" t="str">
        <f aca="false">IF(A394="","",CHOOSE(F$3,A394+24,A393))</f>
        <v/>
      </c>
      <c r="AQ393" s="209" t="str">
        <f aca="false">IF(A394="","",AP393-$E$1)</f>
        <v/>
      </c>
      <c r="AR393" s="185" t="n">
        <f aca="false">IF(Summary!$H$2=1,VLOOKUP('ANR OK vs ML7'!A393,Curves!$C$17:$AR$273,MATCH('ANR OK vs ML7'!$AR$4,Curves!$C$8:$AQ$8,0)),0.1)</f>
        <v>0.1</v>
      </c>
      <c r="AS393" s="213" t="str">
        <f aca="false">IF(A394="","",1/(1+CHOOSE(F$3,(AR394+($I$3/10000))/2,(AR393+($I$3/10000))/2))^(2*AQ393/365.25))</f>
        <v/>
      </c>
      <c r="AT393" s="137" t="str">
        <f aca="false">IF(A394="","",IF(AND(mthbeg&lt;=A393,mthend&gt;=A393),1,0))</f>
        <v/>
      </c>
      <c r="AU393" s="137" t="str">
        <f aca="false">IF(A394="","",AO393*AT393)</f>
        <v/>
      </c>
      <c r="AW393" s="195" t="str">
        <f aca="false">IF($A394="","",AL393*$E393)</f>
        <v/>
      </c>
      <c r="AX393" s="195" t="str">
        <f aca="false">IF($A394="","",AM393*$E393)</f>
        <v/>
      </c>
      <c r="AY393" s="195" t="str">
        <f aca="false">IF($A394="","",AN393*$E393)</f>
        <v/>
      </c>
      <c r="BA393" s="195" t="str">
        <f aca="false">IF($A394="","",F393*Summary!$Q$7)</f>
        <v/>
      </c>
    </row>
    <row r="394" customFormat="false" ht="12.75" hidden="false" customHeight="false" outlineLevel="0" collapsed="false">
      <c r="A394" s="196" t="str">
        <f aca="false">IF(A393&lt;mthend,EDATE(A393,1),"")</f>
        <v/>
      </c>
      <c r="B394" s="197" t="str">
        <f aca="false">IF(A394&lt;mthend,B393,"")</f>
        <v/>
      </c>
      <c r="D394" s="197" t="str">
        <f aca="false">IF(A395&lt;&gt;"",B394+C394,"")</f>
        <v/>
      </c>
      <c r="E394" s="199" t="str">
        <f aca="false">IF(A395="","",IF(AND(AT394=1,$H$3=1),D394*AO394,IF($H$3=2,D394,"N/A")))</f>
        <v/>
      </c>
      <c r="F394" s="199" t="str">
        <f aca="false">IF(A395="","",E394*AS394)</f>
        <v/>
      </c>
      <c r="G394" s="200" t="str">
        <f aca="false">IF($A395="","",VLOOKUP($A394,Table,MATCH(G$4,Curves,0)))</f>
        <v/>
      </c>
      <c r="H394" s="201" t="str">
        <f aca="false">IF(A395="","",G394)</f>
        <v/>
      </c>
      <c r="J394" s="200" t="str">
        <f aca="false">IF($A395="","",VLOOKUP($A394,Table,MATCH(J$4,Curves,0)))</f>
        <v/>
      </c>
      <c r="K394" s="201" t="str">
        <f aca="false">IF(A395="","",J394)</f>
        <v/>
      </c>
      <c r="L394" s="200" t="str">
        <f aca="false">IF($A395="","",VLOOKUP($A394,Table,MATCH(L$4,Curves,0)))</f>
        <v/>
      </c>
      <c r="M394" s="201" t="str">
        <f aca="false">IF(A395="","",L394)</f>
        <v/>
      </c>
      <c r="O394" s="200" t="str">
        <f aca="false">IF(A395="","",L394+J394+G394)</f>
        <v/>
      </c>
      <c r="P394" s="200" t="str">
        <f aca="false">IF(A395="","",M394+K394+H394)</f>
        <v/>
      </c>
      <c r="R394" s="200" t="str">
        <f aca="false">IF($A395="","",VLOOKUP($A394,Table,MATCH(R$4,Curves,0)))</f>
        <v/>
      </c>
      <c r="S394" s="201" t="str">
        <f aca="false">IF(A395="","",R394)</f>
        <v/>
      </c>
      <c r="T394" s="200" t="str">
        <f aca="false">IF($A395="","",VLOOKUP($A394,Table,MATCH(T$4,Curves,0)))</f>
        <v/>
      </c>
      <c r="U394" s="201" t="str">
        <f aca="false">IF(A395="","",T394)</f>
        <v/>
      </c>
      <c r="V394" s="183" t="str">
        <f aca="false">IF($A395="","",IF(AND(MONTH(A394)&gt;3,MONTH(A394)&lt;11),(T394+R394+G394)*Summary!$T$7/(1-Summary!$T$7),(T394+R394+G394)*Summary!$U$7/(1-Summary!$U$7)))</f>
        <v/>
      </c>
      <c r="W394" s="200" t="str">
        <f aca="false">IF($A395="","",(T394+R394+G394+V394))</f>
        <v/>
      </c>
      <c r="X394" s="200" t="str">
        <f aca="false">IF($A395="","",(U394+S394+H394+V394))</f>
        <v/>
      </c>
      <c r="Y394" s="202"/>
      <c r="Z394" s="185"/>
      <c r="AG394" s="182"/>
      <c r="AH394" s="182"/>
      <c r="AI394" s="182"/>
      <c r="AJ394" s="218"/>
      <c r="AK394" s="218"/>
      <c r="AL394" s="218"/>
      <c r="AM394" s="218"/>
      <c r="AN394" s="218"/>
      <c r="AO394" s="137" t="str">
        <f aca="false">IF(A395="","",A395-A394)</f>
        <v/>
      </c>
      <c r="AP394" s="212" t="str">
        <f aca="false">IF(A395="","",CHOOSE(F$3,A395+24,A394))</f>
        <v/>
      </c>
      <c r="AQ394" s="209" t="str">
        <f aca="false">IF(A395="","",AP394-$E$1)</f>
        <v/>
      </c>
      <c r="AR394" s="185" t="n">
        <f aca="false">IF(Summary!$H$2=1,VLOOKUP('ANR OK vs ML7'!A394,Curves!$C$17:$AR$273,MATCH('ANR OK vs ML7'!$AR$4,Curves!$C$8:$AQ$8,0)),0.1)</f>
        <v>0.1</v>
      </c>
      <c r="AS394" s="213" t="str">
        <f aca="false">IF(A395="","",1/(1+CHOOSE(F$3,(AR395+($I$3/10000))/2,(AR394+($I$3/10000))/2))^(2*AQ394/365.25))</f>
        <v/>
      </c>
      <c r="AT394" s="137" t="str">
        <f aca="false">IF(A395="","",IF(AND(mthbeg&lt;=A394,mthend&gt;=A394),1,0))</f>
        <v/>
      </c>
      <c r="AU394" s="137" t="str">
        <f aca="false">IF(A395="","",AO394*AT394)</f>
        <v/>
      </c>
      <c r="AW394" s="195" t="str">
        <f aca="false">IF($A395="","",AL394*$E394)</f>
        <v/>
      </c>
      <c r="AX394" s="195" t="str">
        <f aca="false">IF($A395="","",AM394*$E394)</f>
        <v/>
      </c>
      <c r="AY394" s="195" t="str">
        <f aca="false">IF($A395="","",AN394*$E394)</f>
        <v/>
      </c>
      <c r="BA394" s="195" t="str">
        <f aca="false">IF($A395="","",F394*Summary!$Q$7)</f>
        <v/>
      </c>
    </row>
    <row r="395" customFormat="false" ht="12.75" hidden="false" customHeight="false" outlineLevel="0" collapsed="false">
      <c r="A395" s="196" t="str">
        <f aca="false">IF(A394&lt;mthend,EDATE(A394,1),"")</f>
        <v/>
      </c>
      <c r="B395" s="197" t="str">
        <f aca="false">IF(A395&lt;mthend,B394,"")</f>
        <v/>
      </c>
      <c r="D395" s="197" t="str">
        <f aca="false">IF(A396&lt;&gt;"",B395+C395,"")</f>
        <v/>
      </c>
      <c r="E395" s="199" t="str">
        <f aca="false">IF(A396="","",IF(AND(AT395=1,$H$3=1),D395*AO395,IF($H$3=2,D395,"N/A")))</f>
        <v/>
      </c>
      <c r="F395" s="199" t="str">
        <f aca="false">IF(A396="","",E395*AS395)</f>
        <v/>
      </c>
      <c r="G395" s="200" t="str">
        <f aca="false">IF($A396="","",VLOOKUP($A395,Table,MATCH(G$4,Curves,0)))</f>
        <v/>
      </c>
      <c r="H395" s="201" t="str">
        <f aca="false">IF(A396="","",G395)</f>
        <v/>
      </c>
      <c r="J395" s="200" t="str">
        <f aca="false">IF($A396="","",VLOOKUP($A395,Table,MATCH(J$4,Curves,0)))</f>
        <v/>
      </c>
      <c r="K395" s="201" t="str">
        <f aca="false">IF(A396="","",J395)</f>
        <v/>
      </c>
      <c r="L395" s="200" t="str">
        <f aca="false">IF($A396="","",VLOOKUP($A395,Table,MATCH(L$4,Curves,0)))</f>
        <v/>
      </c>
      <c r="M395" s="201" t="str">
        <f aca="false">IF(A396="","",L395)</f>
        <v/>
      </c>
      <c r="O395" s="200" t="str">
        <f aca="false">IF(A396="","",L395+J395+G395)</f>
        <v/>
      </c>
      <c r="P395" s="200" t="str">
        <f aca="false">IF(A396="","",M395+K395+H395)</f>
        <v/>
      </c>
      <c r="R395" s="200" t="str">
        <f aca="false">IF($A396="","",VLOOKUP($A395,Table,MATCH(R$4,Curves,0)))</f>
        <v/>
      </c>
      <c r="S395" s="201" t="str">
        <f aca="false">IF(A396="","",R395)</f>
        <v/>
      </c>
      <c r="T395" s="200" t="str">
        <f aca="false">IF($A396="","",VLOOKUP($A395,Table,MATCH(T$4,Curves,0)))</f>
        <v/>
      </c>
      <c r="U395" s="201" t="str">
        <f aca="false">IF(A396="","",T395)</f>
        <v/>
      </c>
      <c r="V395" s="183" t="str">
        <f aca="false">IF($A396="","",IF(AND(MONTH(A395)&gt;3,MONTH(A395)&lt;11),(T395+R395+G395)*Summary!$T$7/(1-Summary!$T$7),(T395+R395+G395)*Summary!$U$7/(1-Summary!$U$7)))</f>
        <v/>
      </c>
      <c r="W395" s="200" t="str">
        <f aca="false">IF($A396="","",(T395+R395+G395+V395))</f>
        <v/>
      </c>
      <c r="X395" s="200" t="str">
        <f aca="false">IF($A396="","",(U395+S395+H395+V395))</f>
        <v/>
      </c>
      <c r="Y395" s="202"/>
      <c r="Z395" s="185"/>
      <c r="AG395" s="182"/>
      <c r="AH395" s="182"/>
      <c r="AI395" s="182"/>
      <c r="AJ395" s="218"/>
      <c r="AK395" s="218"/>
      <c r="AL395" s="218"/>
      <c r="AM395" s="218"/>
      <c r="AN395" s="218"/>
      <c r="AO395" s="137" t="str">
        <f aca="false">IF(A396="","",A396-A395)</f>
        <v/>
      </c>
      <c r="AP395" s="212" t="str">
        <f aca="false">IF(A396="","",CHOOSE(F$3,A396+24,A395))</f>
        <v/>
      </c>
      <c r="AQ395" s="209" t="str">
        <f aca="false">IF(A396="","",AP395-$E$1)</f>
        <v/>
      </c>
      <c r="AR395" s="185" t="n">
        <f aca="false">IF(Summary!$H$2=1,VLOOKUP('ANR OK vs ML7'!A395,Curves!$C$17:$AR$273,MATCH('ANR OK vs ML7'!$AR$4,Curves!$C$8:$AQ$8,0)),0.1)</f>
        <v>0.1</v>
      </c>
      <c r="AS395" s="213" t="str">
        <f aca="false">IF(A396="","",1/(1+CHOOSE(F$3,(AR396+($I$3/10000))/2,(AR395+($I$3/10000))/2))^(2*AQ395/365.25))</f>
        <v/>
      </c>
      <c r="AT395" s="137" t="str">
        <f aca="false">IF(A396="","",IF(AND(mthbeg&lt;=A395,mthend&gt;=A395),1,0))</f>
        <v/>
      </c>
      <c r="AU395" s="137" t="str">
        <f aca="false">IF(A396="","",AO395*AT395)</f>
        <v/>
      </c>
      <c r="AW395" s="195" t="str">
        <f aca="false">IF($A396="","",AL395*$E395)</f>
        <v/>
      </c>
      <c r="AX395" s="195" t="str">
        <f aca="false">IF($A396="","",AM395*$E395)</f>
        <v/>
      </c>
      <c r="AY395" s="195" t="str">
        <f aca="false">IF($A396="","",AN395*$E395)</f>
        <v/>
      </c>
      <c r="BA395" s="195" t="str">
        <f aca="false">IF($A396="","",F395*Summary!$Q$7)</f>
        <v/>
      </c>
    </row>
    <row r="396" customFormat="false" ht="12.75" hidden="false" customHeight="false" outlineLevel="0" collapsed="false">
      <c r="A396" s="196" t="str">
        <f aca="false">IF(A395&lt;mthend,EDATE(A395,1),"")</f>
        <v/>
      </c>
      <c r="B396" s="197" t="str">
        <f aca="false">IF(A396&lt;mthend,B395,"")</f>
        <v/>
      </c>
      <c r="D396" s="197" t="str">
        <f aca="false">IF(A397&lt;&gt;"",B396+C396,"")</f>
        <v/>
      </c>
      <c r="E396" s="199" t="str">
        <f aca="false">IF(A397="","",IF(AND(AT396=1,$H$3=1),D396*AO396,IF($H$3=2,D396,"N/A")))</f>
        <v/>
      </c>
      <c r="F396" s="199" t="str">
        <f aca="false">IF(A397="","",E396*AS396)</f>
        <v/>
      </c>
      <c r="G396" s="200" t="str">
        <f aca="false">IF($A397="","",VLOOKUP($A396,Table,MATCH(G$4,Curves,0)))</f>
        <v/>
      </c>
      <c r="H396" s="201" t="str">
        <f aca="false">IF(A397="","",G396)</f>
        <v/>
      </c>
      <c r="J396" s="200" t="str">
        <f aca="false">IF($A397="","",VLOOKUP($A396,Table,MATCH(J$4,Curves,0)))</f>
        <v/>
      </c>
      <c r="K396" s="201" t="str">
        <f aca="false">IF(A397="","",J396)</f>
        <v/>
      </c>
      <c r="L396" s="200" t="str">
        <f aca="false">IF($A397="","",VLOOKUP($A396,Table,MATCH(L$4,Curves,0)))</f>
        <v/>
      </c>
      <c r="M396" s="201" t="str">
        <f aca="false">IF(A397="","",L396)</f>
        <v/>
      </c>
      <c r="O396" s="200" t="str">
        <f aca="false">IF(A397="","",L396+J396+G396)</f>
        <v/>
      </c>
      <c r="P396" s="200" t="str">
        <f aca="false">IF(A397="","",M396+K396+H396)</f>
        <v/>
      </c>
      <c r="R396" s="200" t="str">
        <f aca="false">IF($A397="","",VLOOKUP($A396,Table,MATCH(R$4,Curves,0)))</f>
        <v/>
      </c>
      <c r="S396" s="201" t="str">
        <f aca="false">IF(A397="","",R396)</f>
        <v/>
      </c>
      <c r="T396" s="200" t="str">
        <f aca="false">IF($A397="","",VLOOKUP($A396,Table,MATCH(T$4,Curves,0)))</f>
        <v/>
      </c>
      <c r="U396" s="201" t="str">
        <f aca="false">IF(A397="","",T396)</f>
        <v/>
      </c>
      <c r="V396" s="183" t="str">
        <f aca="false">IF($A397="","",IF(AND(MONTH(A396)&gt;3,MONTH(A396)&lt;11),(T396+R396+G396)*Summary!$T$7/(1-Summary!$T$7),(T396+R396+G396)*Summary!$U$7/(1-Summary!$U$7)))</f>
        <v/>
      </c>
      <c r="W396" s="200" t="str">
        <f aca="false">IF($A397="","",(T396+R396+G396+V396))</f>
        <v/>
      </c>
      <c r="X396" s="200" t="str">
        <f aca="false">IF($A397="","",(U396+S396+H396+V396))</f>
        <v/>
      </c>
      <c r="Y396" s="202"/>
      <c r="Z396" s="185"/>
      <c r="AG396" s="182"/>
      <c r="AH396" s="182"/>
      <c r="AI396" s="182"/>
      <c r="AJ396" s="218"/>
      <c r="AK396" s="218"/>
      <c r="AL396" s="218"/>
      <c r="AM396" s="218"/>
      <c r="AN396" s="218"/>
      <c r="AO396" s="137" t="str">
        <f aca="false">IF(A397="","",A397-A396)</f>
        <v/>
      </c>
      <c r="AP396" s="212" t="str">
        <f aca="false">IF(A397="","",CHOOSE(F$3,A397+24,A396))</f>
        <v/>
      </c>
      <c r="AQ396" s="209" t="str">
        <f aca="false">IF(A397="","",AP396-$E$1)</f>
        <v/>
      </c>
      <c r="AR396" s="185" t="n">
        <f aca="false">IF(Summary!$H$2=1,VLOOKUP('ANR OK vs ML7'!A396,Curves!$C$17:$AR$273,MATCH('ANR OK vs ML7'!$AR$4,Curves!$C$8:$AQ$8,0)),0.1)</f>
        <v>0.1</v>
      </c>
      <c r="AS396" s="213" t="str">
        <f aca="false">IF(A397="","",1/(1+CHOOSE(F$3,(AR397+($I$3/10000))/2,(AR396+($I$3/10000))/2))^(2*AQ396/365.25))</f>
        <v/>
      </c>
      <c r="AT396" s="137" t="str">
        <f aca="false">IF(A397="","",IF(AND(mthbeg&lt;=A396,mthend&gt;=A396),1,0))</f>
        <v/>
      </c>
      <c r="AU396" s="137" t="str">
        <f aca="false">IF(A397="","",AO396*AT396)</f>
        <v/>
      </c>
      <c r="AW396" s="195" t="str">
        <f aca="false">IF($A397="","",AL396*$E396)</f>
        <v/>
      </c>
      <c r="AX396" s="195" t="str">
        <f aca="false">IF($A397="","",AM396*$E396)</f>
        <v/>
      </c>
      <c r="AY396" s="195" t="str">
        <f aca="false">IF($A397="","",AN396*$E396)</f>
        <v/>
      </c>
      <c r="BA396" s="195" t="str">
        <f aca="false">IF($A397="","",F396*Summary!$Q$7)</f>
        <v/>
      </c>
    </row>
    <row r="397" customFormat="false" ht="12.75" hidden="false" customHeight="false" outlineLevel="0" collapsed="false">
      <c r="A397" s="196" t="str">
        <f aca="false">IF(A396&lt;mthend,EDATE(A396,1),"")</f>
        <v/>
      </c>
      <c r="B397" s="197" t="str">
        <f aca="false">IF(A397&lt;mthend,B396,"")</f>
        <v/>
      </c>
      <c r="D397" s="197" t="str">
        <f aca="false">IF(A398&lt;&gt;"",B397+C397,"")</f>
        <v/>
      </c>
      <c r="E397" s="199" t="str">
        <f aca="false">IF(A398="","",IF(AND(AT397=1,$H$3=1),D397*AO397,IF($H$3=2,D397,"N/A")))</f>
        <v/>
      </c>
      <c r="F397" s="199" t="str">
        <f aca="false">IF(A398="","",E397*AS397)</f>
        <v/>
      </c>
      <c r="G397" s="200" t="str">
        <f aca="false">IF($A398="","",VLOOKUP($A397,Table,MATCH(G$4,Curves,0)))</f>
        <v/>
      </c>
      <c r="H397" s="201" t="str">
        <f aca="false">IF(A398="","",G397)</f>
        <v/>
      </c>
      <c r="J397" s="200" t="str">
        <f aca="false">IF($A398="","",VLOOKUP($A397,Table,MATCH(J$4,Curves,0)))</f>
        <v/>
      </c>
      <c r="K397" s="201" t="str">
        <f aca="false">IF(A398="","",J397)</f>
        <v/>
      </c>
      <c r="L397" s="200" t="str">
        <f aca="false">IF($A398="","",VLOOKUP($A397,Table,MATCH(L$4,Curves,0)))</f>
        <v/>
      </c>
      <c r="M397" s="201" t="str">
        <f aca="false">IF(A398="","",L397)</f>
        <v/>
      </c>
      <c r="O397" s="200" t="str">
        <f aca="false">IF(A398="","",L397+J397+G397)</f>
        <v/>
      </c>
      <c r="P397" s="200" t="str">
        <f aca="false">IF(A398="","",M397+K397+H397)</f>
        <v/>
      </c>
      <c r="R397" s="200" t="str">
        <f aca="false">IF($A398="","",VLOOKUP($A397,Table,MATCH(R$4,Curves,0)))</f>
        <v/>
      </c>
      <c r="S397" s="201" t="str">
        <f aca="false">IF(A398="","",R397)</f>
        <v/>
      </c>
      <c r="T397" s="200" t="str">
        <f aca="false">IF($A398="","",VLOOKUP($A397,Table,MATCH(T$4,Curves,0)))</f>
        <v/>
      </c>
      <c r="U397" s="201" t="str">
        <f aca="false">IF(A398="","",T397)</f>
        <v/>
      </c>
      <c r="V397" s="183" t="str">
        <f aca="false">IF($A398="","",IF(AND(MONTH(A397)&gt;3,MONTH(A397)&lt;11),(T397+R397+G397)*Summary!$T$7/(1-Summary!$T$7),(T397+R397+G397)*Summary!$U$7/(1-Summary!$U$7)))</f>
        <v/>
      </c>
      <c r="W397" s="200" t="str">
        <f aca="false">IF($A398="","",(T397+R397+G397+V397))</f>
        <v/>
      </c>
      <c r="X397" s="200" t="str">
        <f aca="false">IF($A398="","",(U397+S397+H397+V397))</f>
        <v/>
      </c>
      <c r="Y397" s="202"/>
      <c r="Z397" s="185"/>
      <c r="AJ397" s="218"/>
      <c r="AK397" s="218"/>
      <c r="AL397" s="218"/>
      <c r="AM397" s="218"/>
      <c r="AN397" s="218"/>
      <c r="AO397" s="137" t="str">
        <f aca="false">IF(A398="","",A398-A397)</f>
        <v/>
      </c>
      <c r="AP397" s="212" t="str">
        <f aca="false">IF(A398="","",CHOOSE(F$3,A398+24,A397))</f>
        <v/>
      </c>
      <c r="AQ397" s="209" t="str">
        <f aca="false">IF(A398="","",AP397-$E$1)</f>
        <v/>
      </c>
      <c r="AR397" s="185" t="n">
        <f aca="false">IF(Summary!$H$2=1,VLOOKUP('ANR OK vs ML7'!A397,Curves!$C$17:$AR$273,MATCH('ANR OK vs ML7'!$AR$4,Curves!$C$8:$AQ$8,0)),0.1)</f>
        <v>0.1</v>
      </c>
      <c r="AS397" s="213" t="str">
        <f aca="false">IF(A398="","",1/(1+CHOOSE(F$3,(AR398+($I$3/10000))/2,(AR397+($I$3/10000))/2))^(2*AQ397/365.25))</f>
        <v/>
      </c>
      <c r="AT397" s="137" t="str">
        <f aca="false">IF(A398="","",IF(AND(mthbeg&lt;=A397,mthend&gt;=A397),1,0))</f>
        <v/>
      </c>
      <c r="AU397" s="137" t="str">
        <f aca="false">IF(A398="","",AO397*AT397)</f>
        <v/>
      </c>
      <c r="AW397" s="195" t="str">
        <f aca="false">IF($A398="","",AL397*$E397)</f>
        <v/>
      </c>
      <c r="AX397" s="195" t="str">
        <f aca="false">IF($A398="","",AM397*$E397)</f>
        <v/>
      </c>
      <c r="AY397" s="195" t="str">
        <f aca="false">IF($A398="","",AN397*$E397)</f>
        <v/>
      </c>
      <c r="BA397" s="195" t="str">
        <f aca="false">IF($A398="","",F397*Summary!$Q$7)</f>
        <v/>
      </c>
    </row>
    <row r="398" customFormat="false" ht="12.75" hidden="false" customHeight="false" outlineLevel="0" collapsed="false">
      <c r="A398" s="196" t="str">
        <f aca="false">IF(A397&lt;mthend,EDATE(A397,1),"")</f>
        <v/>
      </c>
      <c r="B398" s="197" t="str">
        <f aca="false">IF(A398&lt;mthend,B397,"")</f>
        <v/>
      </c>
      <c r="D398" s="197" t="str">
        <f aca="false">IF(A399&lt;&gt;"",B398+C398,"")</f>
        <v/>
      </c>
      <c r="E398" s="199" t="str">
        <f aca="false">IF(A399="","",IF(AND(AT398=1,$H$3=1),D398*AO398,IF($H$3=2,D398,"N/A")))</f>
        <v/>
      </c>
      <c r="F398" s="199" t="str">
        <f aca="false">IF(A399="","",E398*AS398)</f>
        <v/>
      </c>
      <c r="G398" s="200" t="str">
        <f aca="false">IF($A399="","",VLOOKUP($A398,Table,MATCH(G$4,Curves,0)))</f>
        <v/>
      </c>
      <c r="H398" s="201" t="str">
        <f aca="false">IF(A399="","",G398)</f>
        <v/>
      </c>
      <c r="J398" s="200" t="str">
        <f aca="false">IF($A399="","",VLOOKUP($A398,Table,MATCH(J$4,Curves,0)))</f>
        <v/>
      </c>
      <c r="K398" s="201" t="str">
        <f aca="false">IF(A399="","",J398)</f>
        <v/>
      </c>
      <c r="L398" s="200" t="str">
        <f aca="false">IF($A399="","",VLOOKUP($A398,Table,MATCH(L$4,Curves,0)))</f>
        <v/>
      </c>
      <c r="M398" s="201" t="str">
        <f aca="false">IF(A399="","",L398)</f>
        <v/>
      </c>
      <c r="O398" s="200" t="str">
        <f aca="false">IF(A399="","",L398+J398+G398)</f>
        <v/>
      </c>
      <c r="P398" s="200" t="str">
        <f aca="false">IF(A399="","",M398+K398+H398)</f>
        <v/>
      </c>
      <c r="R398" s="200" t="str">
        <f aca="false">IF($A399="","",VLOOKUP($A398,Table,MATCH(R$4,Curves,0)))</f>
        <v/>
      </c>
      <c r="S398" s="201" t="str">
        <f aca="false">IF(A399="","",R398)</f>
        <v/>
      </c>
      <c r="T398" s="200" t="str">
        <f aca="false">IF($A399="","",VLOOKUP($A398,Table,MATCH(T$4,Curves,0)))</f>
        <v/>
      </c>
      <c r="U398" s="201" t="str">
        <f aca="false">IF(A399="","",T398)</f>
        <v/>
      </c>
      <c r="V398" s="183" t="str">
        <f aca="false">IF($A399="","",IF(AND(MONTH(A398)&gt;3,MONTH(A398)&lt;11),(T398+R398+G398)*Summary!$T$7/(1-Summary!$T$7),(T398+R398+G398)*Summary!$U$7/(1-Summary!$U$7)))</f>
        <v/>
      </c>
      <c r="W398" s="200" t="str">
        <f aca="false">IF($A399="","",(T398+R398+G398+V398))</f>
        <v/>
      </c>
      <c r="X398" s="200" t="str">
        <f aca="false">IF($A399="","",(U398+S398+H398+V398))</f>
        <v/>
      </c>
      <c r="Y398" s="202"/>
      <c r="Z398" s="185"/>
      <c r="AJ398" s="218"/>
      <c r="AK398" s="218"/>
      <c r="AL398" s="218"/>
      <c r="AM398" s="218"/>
      <c r="AN398" s="218"/>
      <c r="AO398" s="137" t="str">
        <f aca="false">IF(A399="","",A399-A398)</f>
        <v/>
      </c>
      <c r="AP398" s="212" t="str">
        <f aca="false">IF(A399="","",CHOOSE(F$3,A399+24,A398))</f>
        <v/>
      </c>
      <c r="AQ398" s="209" t="str">
        <f aca="false">IF(A399="","",AP398-$E$1)</f>
        <v/>
      </c>
      <c r="AR398" s="185" t="n">
        <f aca="false">IF(Summary!$H$2=1,VLOOKUP('ANR OK vs ML7'!A398,Curves!$C$17:$AR$273,MATCH('ANR OK vs ML7'!$AR$4,Curves!$C$8:$AQ$8,0)),0.1)</f>
        <v>0.1</v>
      </c>
      <c r="AS398" s="213" t="str">
        <f aca="false">IF(A399="","",1/(1+CHOOSE(F$3,(AR399+($I$3/10000))/2,(AR398+($I$3/10000))/2))^(2*AQ398/365.25))</f>
        <v/>
      </c>
      <c r="AT398" s="137" t="str">
        <f aca="false">IF(A399="","",IF(AND(mthbeg&lt;=A398,mthend&gt;=A398),1,0))</f>
        <v/>
      </c>
      <c r="AU398" s="137" t="str">
        <f aca="false">IF(A399="","",AO398*AT398)</f>
        <v/>
      </c>
      <c r="AW398" s="195" t="str">
        <f aca="false">IF($A399="","",AL398*$E398)</f>
        <v/>
      </c>
      <c r="AX398" s="195" t="str">
        <f aca="false">IF($A399="","",AM398*$E398)</f>
        <v/>
      </c>
      <c r="AY398" s="195" t="str">
        <f aca="false">IF($A399="","",AN398*$E398)</f>
        <v/>
      </c>
      <c r="BA398" s="195" t="str">
        <f aca="false">IF($A399="","",F398*Summary!$Q$7)</f>
        <v/>
      </c>
    </row>
    <row r="399" customFormat="false" ht="12.75" hidden="false" customHeight="false" outlineLevel="0" collapsed="false">
      <c r="A399" s="196" t="str">
        <f aca="false">IF(A398&lt;mthend,EDATE(A398,1),"")</f>
        <v/>
      </c>
      <c r="B399" s="197" t="str">
        <f aca="false">IF(A399&lt;mthend,B398,"")</f>
        <v/>
      </c>
      <c r="D399" s="197" t="str">
        <f aca="false">IF(A400&lt;&gt;"",B399+C399,"")</f>
        <v/>
      </c>
      <c r="E399" s="199" t="str">
        <f aca="false">IF(A400="","",IF(AND(AT399=1,$H$3=1),D399*AO399,IF($H$3=2,D399,"N/A")))</f>
        <v/>
      </c>
      <c r="F399" s="199" t="str">
        <f aca="false">IF(A400="","",E399*AS399)</f>
        <v/>
      </c>
      <c r="G399" s="200" t="str">
        <f aca="false">IF($A400="","",VLOOKUP($A399,Table,MATCH(G$4,Curves,0)))</f>
        <v/>
      </c>
      <c r="H399" s="201" t="str">
        <f aca="false">IF(A400="","",G399)</f>
        <v/>
      </c>
      <c r="J399" s="200" t="str">
        <f aca="false">IF($A400="","",VLOOKUP($A399,Table,MATCH(J$4,Curves,0)))</f>
        <v/>
      </c>
      <c r="K399" s="201" t="str">
        <f aca="false">IF(A400="","",J399)</f>
        <v/>
      </c>
      <c r="L399" s="200" t="str">
        <f aca="false">IF($A400="","",VLOOKUP($A399,Table,MATCH(L$4,Curves,0)))</f>
        <v/>
      </c>
      <c r="M399" s="201" t="str">
        <f aca="false">IF(A400="","",L399)</f>
        <v/>
      </c>
      <c r="O399" s="200" t="str">
        <f aca="false">IF(A400="","",L399+J399+G399)</f>
        <v/>
      </c>
      <c r="P399" s="200" t="str">
        <f aca="false">IF(A400="","",M399+K399+H399)</f>
        <v/>
      </c>
      <c r="R399" s="200" t="str">
        <f aca="false">IF($A400="","",VLOOKUP($A399,Table,MATCH(R$4,Curves,0)))</f>
        <v/>
      </c>
      <c r="S399" s="201" t="str">
        <f aca="false">IF(A400="","",R399)</f>
        <v/>
      </c>
      <c r="T399" s="200" t="str">
        <f aca="false">IF($A400="","",VLOOKUP($A399,Table,MATCH(T$4,Curves,0)))</f>
        <v/>
      </c>
      <c r="U399" s="201" t="str">
        <f aca="false">IF(A400="","",T399)</f>
        <v/>
      </c>
      <c r="V399" s="183" t="str">
        <f aca="false">IF($A400="","",IF(AND(MONTH(A399)&gt;3,MONTH(A399)&lt;11),(T399+R399+G399)*Summary!$T$7/(1-Summary!$T$7),(T399+R399+G399)*Summary!$U$7/(1-Summary!$U$7)))</f>
        <v/>
      </c>
      <c r="W399" s="200" t="str">
        <f aca="false">IF($A400="","",(T399+R399+G399+V399))</f>
        <v/>
      </c>
      <c r="X399" s="200" t="str">
        <f aca="false">IF($A400="","",(U399+S399+H399+V399))</f>
        <v/>
      </c>
      <c r="Y399" s="202"/>
      <c r="Z399" s="185"/>
      <c r="AJ399" s="218"/>
      <c r="AK399" s="218"/>
      <c r="AL399" s="218"/>
      <c r="AM399" s="218"/>
      <c r="AN399" s="218"/>
      <c r="AO399" s="137" t="str">
        <f aca="false">IF(A400="","",A400-A399)</f>
        <v/>
      </c>
      <c r="AP399" s="212" t="str">
        <f aca="false">IF(A400="","",CHOOSE(F$3,A400+24,A399))</f>
        <v/>
      </c>
      <c r="AQ399" s="209" t="str">
        <f aca="false">IF(A400="","",AP399-$E$1)</f>
        <v/>
      </c>
      <c r="AR399" s="185" t="n">
        <f aca="false">IF(Summary!$H$2=1,VLOOKUP('ANR OK vs ML7'!A399,Curves!$C$17:$AR$273,MATCH('ANR OK vs ML7'!$AR$4,Curves!$C$8:$AQ$8,0)),0.1)</f>
        <v>0.1</v>
      </c>
      <c r="AS399" s="213" t="str">
        <f aca="false">IF(A400="","",1/(1+CHOOSE(F$3,(AR400+($I$3/10000))/2,(AR399+($I$3/10000))/2))^(2*AQ399/365.25))</f>
        <v/>
      </c>
      <c r="AT399" s="137" t="str">
        <f aca="false">IF(A400="","",IF(AND(mthbeg&lt;=A399,mthend&gt;=A399),1,0))</f>
        <v/>
      </c>
      <c r="AU399" s="137" t="str">
        <f aca="false">IF(A400="","",AO399*AT399)</f>
        <v/>
      </c>
      <c r="AW399" s="195" t="str">
        <f aca="false">IF($A400="","",AL399*$E399)</f>
        <v/>
      </c>
      <c r="AX399" s="195" t="str">
        <f aca="false">IF($A400="","",AM399*$E399)</f>
        <v/>
      </c>
      <c r="AY399" s="195" t="str">
        <f aca="false">IF($A400="","",AN399*$E399)</f>
        <v/>
      </c>
      <c r="BA399" s="195" t="str">
        <f aca="false">IF($A400="","",F399*Summary!$Q$7)</f>
        <v/>
      </c>
    </row>
    <row r="400" customFormat="false" ht="12.75" hidden="false" customHeight="false" outlineLevel="0" collapsed="false">
      <c r="A400" s="196" t="str">
        <f aca="false">IF(A399&lt;mthend,EDATE(A399,1),"")</f>
        <v/>
      </c>
      <c r="B400" s="197" t="str">
        <f aca="false">IF(A400&lt;mthend,B399,"")</f>
        <v/>
      </c>
      <c r="D400" s="197" t="str">
        <f aca="false">IF(A401&lt;&gt;"",B400+C400,"")</f>
        <v/>
      </c>
      <c r="E400" s="199" t="str">
        <f aca="false">IF(A401="","",IF(AND(AT400=1,$H$3=1),D400*AO400,IF($H$3=2,D400,"N/A")))</f>
        <v/>
      </c>
      <c r="F400" s="199" t="str">
        <f aca="false">IF(A401="","",E400*AS400)</f>
        <v/>
      </c>
      <c r="G400" s="200" t="str">
        <f aca="false">IF($A401="","",VLOOKUP($A400,Table,MATCH(G$4,Curves,0)))</f>
        <v/>
      </c>
      <c r="H400" s="201" t="str">
        <f aca="false">IF(A401="","",G400)</f>
        <v/>
      </c>
      <c r="J400" s="200" t="str">
        <f aca="false">IF($A401="","",VLOOKUP($A400,Table,MATCH(J$4,Curves,0)))</f>
        <v/>
      </c>
      <c r="K400" s="201" t="str">
        <f aca="false">IF(A401="","",J400)</f>
        <v/>
      </c>
      <c r="L400" s="200" t="str">
        <f aca="false">IF($A401="","",VLOOKUP($A400,Table,MATCH(L$4,Curves,0)))</f>
        <v/>
      </c>
      <c r="M400" s="201" t="str">
        <f aca="false">IF(A401="","",L400)</f>
        <v/>
      </c>
      <c r="O400" s="200" t="str">
        <f aca="false">IF(A401="","",L400+J400+G400)</f>
        <v/>
      </c>
      <c r="P400" s="200" t="str">
        <f aca="false">IF(A401="","",M400+K400+H400)</f>
        <v/>
      </c>
      <c r="R400" s="200" t="str">
        <f aca="false">IF($A401="","",VLOOKUP($A400,Table,MATCH(R$4,Curves,0)))</f>
        <v/>
      </c>
      <c r="S400" s="201" t="str">
        <f aca="false">IF(A401="","",R400)</f>
        <v/>
      </c>
      <c r="T400" s="200" t="str">
        <f aca="false">IF($A401="","",VLOOKUP($A400,Table,MATCH(T$4,Curves,0)))</f>
        <v/>
      </c>
      <c r="U400" s="201" t="str">
        <f aca="false">IF(A401="","",T400)</f>
        <v/>
      </c>
      <c r="V400" s="183" t="str">
        <f aca="false">IF($A401="","",IF(AND(MONTH(A400)&gt;3,MONTH(A400)&lt;11),(T400+R400+G400)*Summary!$T$7/(1-Summary!$T$7),(T400+R400+G400)*Summary!$U$7/(1-Summary!$U$7)))</f>
        <v/>
      </c>
      <c r="W400" s="200" t="str">
        <f aca="false">IF($A401="","",(T400+R400+G400+V400))</f>
        <v/>
      </c>
      <c r="X400" s="200" t="str">
        <f aca="false">IF($A401="","",(U400+S400+H400+V400))</f>
        <v/>
      </c>
      <c r="Y400" s="202"/>
      <c r="Z400" s="185"/>
      <c r="AJ400" s="218"/>
      <c r="AK400" s="218"/>
      <c r="AL400" s="218"/>
      <c r="AM400" s="218"/>
      <c r="AN400" s="218"/>
      <c r="AO400" s="137" t="str">
        <f aca="false">IF(A401="","",A401-A400)</f>
        <v/>
      </c>
      <c r="AP400" s="212" t="str">
        <f aca="false">IF(A401="","",CHOOSE(F$3,A401+24,A400))</f>
        <v/>
      </c>
      <c r="AQ400" s="209" t="str">
        <f aca="false">IF(A401="","",AP400-$E$1)</f>
        <v/>
      </c>
      <c r="AR400" s="185" t="n">
        <f aca="false">IF(Summary!$H$2=1,VLOOKUP('ANR OK vs ML7'!A400,Curves!$C$17:$AR$273,MATCH('ANR OK vs ML7'!$AR$4,Curves!$C$8:$AQ$8,0)),0.1)</f>
        <v>0.1</v>
      </c>
      <c r="AS400" s="213" t="str">
        <f aca="false">IF(A401="","",1/(1+CHOOSE(F$3,(AR401+($I$3/10000))/2,(AR400+($I$3/10000))/2))^(2*AQ400/365.25))</f>
        <v/>
      </c>
      <c r="AT400" s="137" t="str">
        <f aca="false">IF(A401="","",IF(AND(mthbeg&lt;=A400,mthend&gt;=A400),1,0))</f>
        <v/>
      </c>
      <c r="AU400" s="137" t="str">
        <f aca="false">IF(A401="","",AO400*AT400)</f>
        <v/>
      </c>
      <c r="AW400" s="195" t="str">
        <f aca="false">IF($A401="","",AL400*$E400)</f>
        <v/>
      </c>
      <c r="AX400" s="195" t="str">
        <f aca="false">IF($A401="","",AM400*$E400)</f>
        <v/>
      </c>
      <c r="AY400" s="195" t="str">
        <f aca="false">IF($A401="","",AN400*$E400)</f>
        <v/>
      </c>
      <c r="BA400" s="195" t="str">
        <f aca="false">IF($A401="","",F400*Summary!$Q$7)</f>
        <v/>
      </c>
    </row>
    <row r="401" customFormat="false" ht="12.75" hidden="false" customHeight="false" outlineLevel="0" collapsed="false">
      <c r="A401" s="196" t="str">
        <f aca="false">IF(A400&lt;mthend,EDATE(A400,1),"")</f>
        <v/>
      </c>
      <c r="B401" s="197" t="str">
        <f aca="false">IF(A401&lt;mthend,B400,"")</f>
        <v/>
      </c>
      <c r="D401" s="197" t="str">
        <f aca="false">IF(A402&lt;&gt;"",B401+C401,"")</f>
        <v/>
      </c>
      <c r="E401" s="199" t="str">
        <f aca="false">IF(A402="","",IF(AND(AT401=1,$H$3=1),D401*AO401,IF($H$3=2,D401,"N/A")))</f>
        <v/>
      </c>
      <c r="F401" s="199" t="str">
        <f aca="false">IF(A402="","",E401*AS401)</f>
        <v/>
      </c>
      <c r="G401" s="200" t="str">
        <f aca="false">IF($A402="","",VLOOKUP($A401,Table,MATCH(G$4,Curves,0)))</f>
        <v/>
      </c>
      <c r="H401" s="201" t="str">
        <f aca="false">IF(A402="","",G401)</f>
        <v/>
      </c>
      <c r="J401" s="200" t="str">
        <f aca="false">IF($A402="","",VLOOKUP($A401,Table,MATCH(J$4,Curves,0)))</f>
        <v/>
      </c>
      <c r="K401" s="201" t="str">
        <f aca="false">IF(A402="","",J401)</f>
        <v/>
      </c>
      <c r="L401" s="200" t="str">
        <f aca="false">IF($A402="","",VLOOKUP($A401,Table,MATCH(L$4,Curves,0)))</f>
        <v/>
      </c>
      <c r="M401" s="201" t="str">
        <f aca="false">IF(A402="","",L401)</f>
        <v/>
      </c>
      <c r="O401" s="200" t="str">
        <f aca="false">IF(A402="","",L401+J401+G401)</f>
        <v/>
      </c>
      <c r="P401" s="200" t="str">
        <f aca="false">IF(A402="","",M401+K401+H401)</f>
        <v/>
      </c>
      <c r="R401" s="200" t="str">
        <f aca="false">IF($A402="","",VLOOKUP($A401,Table,MATCH(R$4,Curves,0)))</f>
        <v/>
      </c>
      <c r="S401" s="201" t="str">
        <f aca="false">IF(A402="","",R401)</f>
        <v/>
      </c>
      <c r="T401" s="200" t="str">
        <f aca="false">IF($A402="","",VLOOKUP($A401,Table,MATCH(T$4,Curves,0)))</f>
        <v/>
      </c>
      <c r="U401" s="201" t="str">
        <f aca="false">IF(A402="","",T401)</f>
        <v/>
      </c>
      <c r="V401" s="183" t="str">
        <f aca="false">IF($A402="","",IF(AND(MONTH(A401)&gt;3,MONTH(A401)&lt;11),(T401+R401+G401)*Summary!$T$7/(1-Summary!$T$7),(T401+R401+G401)*Summary!$U$7/(1-Summary!$U$7)))</f>
        <v/>
      </c>
      <c r="W401" s="200" t="str">
        <f aca="false">IF($A402="","",(T401+R401+G401+V401))</f>
        <v/>
      </c>
      <c r="X401" s="200" t="str">
        <f aca="false">IF($A402="","",(U401+S401+H401+V401))</f>
        <v/>
      </c>
      <c r="Y401" s="202"/>
      <c r="Z401" s="185"/>
      <c r="AJ401" s="218"/>
      <c r="AK401" s="218"/>
      <c r="AL401" s="218"/>
      <c r="AM401" s="218"/>
      <c r="AN401" s="218"/>
      <c r="AO401" s="137" t="str">
        <f aca="false">IF(A402="","",A402-A401)</f>
        <v/>
      </c>
      <c r="AP401" s="212" t="str">
        <f aca="false">IF(A402="","",CHOOSE(F$3,A402+24,A401))</f>
        <v/>
      </c>
      <c r="AQ401" s="209" t="str">
        <f aca="false">IF(A402="","",AP401-$E$1)</f>
        <v/>
      </c>
      <c r="AR401" s="185" t="n">
        <f aca="false">IF(Summary!$H$2=1,VLOOKUP('ANR OK vs ML7'!A401,Curves!$C$17:$AR$273,MATCH('ANR OK vs ML7'!$AR$4,Curves!$C$8:$AQ$8,0)),0.1)</f>
        <v>0.1</v>
      </c>
      <c r="AS401" s="213" t="str">
        <f aca="false">IF(A402="","",1/(1+CHOOSE(F$3,(AR402+($I$3/10000))/2,(AR401+($I$3/10000))/2))^(2*AQ401/365.25))</f>
        <v/>
      </c>
      <c r="AT401" s="137" t="str">
        <f aca="false">IF(A402="","",IF(AND(mthbeg&lt;=A401,mthend&gt;=A401),1,0))</f>
        <v/>
      </c>
      <c r="AU401" s="137" t="str">
        <f aca="false">IF(A402="","",AO401*AT401)</f>
        <v/>
      </c>
      <c r="AW401" s="195" t="str">
        <f aca="false">IF($A402="","",AL401*$E401)</f>
        <v/>
      </c>
      <c r="AX401" s="195" t="str">
        <f aca="false">IF($A402="","",AM401*$E401)</f>
        <v/>
      </c>
      <c r="AY401" s="195" t="str">
        <f aca="false">IF($A402="","",AN401*$E401)</f>
        <v/>
      </c>
      <c r="BA401" s="195" t="str">
        <f aca="false">IF($A402="","",F401*Summary!$Q$7)</f>
        <v/>
      </c>
    </row>
    <row r="402" customFormat="false" ht="12.75" hidden="false" customHeight="false" outlineLevel="0" collapsed="false">
      <c r="A402" s="196" t="str">
        <f aca="false">IF(A401&lt;mthend,EDATE(A401,1),"")</f>
        <v/>
      </c>
      <c r="B402" s="197" t="str">
        <f aca="false">IF(A402&lt;mthend,B401,"")</f>
        <v/>
      </c>
      <c r="D402" s="197" t="str">
        <f aca="false">IF(A403&lt;&gt;"",B402+C402,"")</f>
        <v/>
      </c>
      <c r="E402" s="199" t="str">
        <f aca="false">IF(A403="","",IF(AND(AT402=1,$H$3=1),D402*AO402,IF($H$3=2,D402,"N/A")))</f>
        <v/>
      </c>
      <c r="F402" s="199" t="str">
        <f aca="false">IF(A403="","",E402*AS402)</f>
        <v/>
      </c>
      <c r="G402" s="200" t="str">
        <f aca="false">IF($A403="","",VLOOKUP($A402,Table,MATCH(G$4,Curves,0)))</f>
        <v/>
      </c>
      <c r="H402" s="201" t="str">
        <f aca="false">IF(A403="","",G402)</f>
        <v/>
      </c>
      <c r="J402" s="200" t="str">
        <f aca="false">IF($A403="","",VLOOKUP($A402,Table,MATCH(J$4,Curves,0)))</f>
        <v/>
      </c>
      <c r="K402" s="201" t="str">
        <f aca="false">IF(A403="","",J402)</f>
        <v/>
      </c>
      <c r="L402" s="200" t="str">
        <f aca="false">IF($A403="","",VLOOKUP($A402,Table,MATCH(L$4,Curves,0)))</f>
        <v/>
      </c>
      <c r="M402" s="201" t="str">
        <f aca="false">IF(A403="","",L402)</f>
        <v/>
      </c>
      <c r="O402" s="200" t="str">
        <f aca="false">IF(A403="","",L402+J402+G402)</f>
        <v/>
      </c>
      <c r="P402" s="200" t="str">
        <f aca="false">IF(A403="","",M402+K402+H402)</f>
        <v/>
      </c>
      <c r="R402" s="200" t="str">
        <f aca="false">IF($A403="","",VLOOKUP($A402,Table,MATCH(R$4,Curves,0)))</f>
        <v/>
      </c>
      <c r="S402" s="201" t="str">
        <f aca="false">IF(A403="","",R402)</f>
        <v/>
      </c>
      <c r="T402" s="200" t="str">
        <f aca="false">IF($A403="","",VLOOKUP($A402,Table,MATCH(T$4,Curves,0)))</f>
        <v/>
      </c>
      <c r="U402" s="201" t="str">
        <f aca="false">IF(A403="","",T402)</f>
        <v/>
      </c>
      <c r="V402" s="183" t="str">
        <f aca="false">IF($A403="","",IF(AND(MONTH(A402)&gt;3,MONTH(A402)&lt;11),(T402+R402+G402)*Summary!$T$7/(1-Summary!$T$7),(T402+R402+G402)*Summary!$U$7/(1-Summary!$U$7)))</f>
        <v/>
      </c>
      <c r="W402" s="200" t="str">
        <f aca="false">IF($A403="","",(T402+R402+G402+V402))</f>
        <v/>
      </c>
      <c r="X402" s="200" t="str">
        <f aca="false">IF($A403="","",(U402+S402+H402+V402))</f>
        <v/>
      </c>
      <c r="Y402" s="202"/>
      <c r="Z402" s="185"/>
      <c r="AJ402" s="218"/>
      <c r="AK402" s="218"/>
      <c r="AL402" s="218"/>
      <c r="AM402" s="218"/>
      <c r="AN402" s="218"/>
      <c r="AO402" s="137" t="str">
        <f aca="false">IF(A403="","",A403-A402)</f>
        <v/>
      </c>
      <c r="AP402" s="212" t="str">
        <f aca="false">IF(A403="","",CHOOSE(F$3,A403+24,A402))</f>
        <v/>
      </c>
      <c r="AQ402" s="209" t="str">
        <f aca="false">IF(A403="","",AP402-$E$1)</f>
        <v/>
      </c>
      <c r="AR402" s="185" t="n">
        <f aca="false">IF(Summary!$H$2=1,VLOOKUP('ANR OK vs ML7'!A402,Curves!$C$17:$AR$273,MATCH('ANR OK vs ML7'!$AR$4,Curves!$C$8:$AQ$8,0)),0.1)</f>
        <v>0.1</v>
      </c>
      <c r="AS402" s="213" t="str">
        <f aca="false">IF(A403="","",1/(1+CHOOSE(F$3,(AR403+($I$3/10000))/2,(AR402+($I$3/10000))/2))^(2*AQ402/365.25))</f>
        <v/>
      </c>
      <c r="AT402" s="137" t="str">
        <f aca="false">IF(A403="","",IF(AND(mthbeg&lt;=A402,mthend&gt;=A402),1,0))</f>
        <v/>
      </c>
      <c r="AU402" s="137" t="str">
        <f aca="false">IF(A403="","",AO402*AT402)</f>
        <v/>
      </c>
      <c r="AW402" s="195" t="str">
        <f aca="false">IF($A403="","",AL402*$E402)</f>
        <v/>
      </c>
      <c r="AX402" s="195" t="str">
        <f aca="false">IF($A403="","",AM402*$E402)</f>
        <v/>
      </c>
      <c r="AY402" s="195" t="str">
        <f aca="false">IF($A403="","",AN402*$E402)</f>
        <v/>
      </c>
      <c r="BA402" s="195" t="str">
        <f aca="false">IF($A403="","",F402*Summary!$Q$7)</f>
        <v/>
      </c>
    </row>
    <row r="403" customFormat="false" ht="12.75" hidden="false" customHeight="false" outlineLevel="0" collapsed="false">
      <c r="A403" s="196" t="str">
        <f aca="false">IF(A402&lt;mthend,EDATE(A402,1),"")</f>
        <v/>
      </c>
      <c r="B403" s="197" t="str">
        <f aca="false">IF(A403&lt;mthend,B402,"")</f>
        <v/>
      </c>
      <c r="D403" s="197" t="str">
        <f aca="false">IF(A404&lt;&gt;"",B403+C403,"")</f>
        <v/>
      </c>
      <c r="E403" s="199" t="str">
        <f aca="false">IF(A404="","",IF(AND(AT403=1,$H$3=1),D403*AO403,IF($H$3=2,D403,"N/A")))</f>
        <v/>
      </c>
      <c r="F403" s="199" t="str">
        <f aca="false">IF(A404="","",E403*AS403)</f>
        <v/>
      </c>
      <c r="G403" s="200" t="str">
        <f aca="false">IF($A404="","",VLOOKUP($A403,Table,MATCH(G$4,Curves,0)))</f>
        <v/>
      </c>
      <c r="H403" s="201" t="str">
        <f aca="false">IF(A404="","",G403)</f>
        <v/>
      </c>
      <c r="J403" s="200" t="str">
        <f aca="false">IF($A404="","",VLOOKUP($A403,Table,MATCH(J$4,Curves,0)))</f>
        <v/>
      </c>
      <c r="K403" s="201" t="str">
        <f aca="false">IF(A404="","",J403)</f>
        <v/>
      </c>
      <c r="L403" s="200" t="str">
        <f aca="false">IF($A404="","",VLOOKUP($A403,Table,MATCH(L$4,Curves,0)))</f>
        <v/>
      </c>
      <c r="M403" s="201" t="str">
        <f aca="false">IF(A404="","",L403)</f>
        <v/>
      </c>
      <c r="O403" s="200" t="str">
        <f aca="false">IF(A404="","",L403+J403+G403)</f>
        <v/>
      </c>
      <c r="P403" s="200" t="str">
        <f aca="false">IF(A404="","",M403+K403+H403)</f>
        <v/>
      </c>
      <c r="R403" s="200" t="str">
        <f aca="false">IF($A404="","",VLOOKUP($A403,Table,MATCH(R$4,Curves,0)))</f>
        <v/>
      </c>
      <c r="S403" s="201" t="str">
        <f aca="false">IF(A404="","",R403)</f>
        <v/>
      </c>
      <c r="T403" s="200" t="str">
        <f aca="false">IF($A404="","",VLOOKUP($A403,Table,MATCH(T$4,Curves,0)))</f>
        <v/>
      </c>
      <c r="U403" s="201" t="str">
        <f aca="false">IF(A404="","",T403)</f>
        <v/>
      </c>
      <c r="V403" s="183" t="str">
        <f aca="false">IF($A404="","",IF(AND(MONTH(A403)&gt;3,MONTH(A403)&lt;11),(T403+R403+G403)*Summary!$T$7/(1-Summary!$T$7),(T403+R403+G403)*Summary!$U$7/(1-Summary!$U$7)))</f>
        <v/>
      </c>
      <c r="W403" s="200" t="str">
        <f aca="false">IF($A404="","",(T403+R403+G403+V403))</f>
        <v/>
      </c>
      <c r="X403" s="200" t="str">
        <f aca="false">IF($A404="","",(U403+S403+H403+V403))</f>
        <v/>
      </c>
      <c r="Y403" s="202"/>
      <c r="Z403" s="185"/>
      <c r="AJ403" s="77"/>
      <c r="AK403" s="77"/>
      <c r="AL403" s="77"/>
      <c r="AM403" s="77"/>
      <c r="AN403" s="77"/>
      <c r="AO403" s="137" t="str">
        <f aca="false">IF(A404="","",A404-A403)</f>
        <v/>
      </c>
      <c r="AP403" s="212" t="str">
        <f aca="false">IF(A404="","",CHOOSE(F$3,A404+24,A403))</f>
        <v/>
      </c>
      <c r="AQ403" s="209" t="str">
        <f aca="false">IF(A404="","",AP403-$E$1)</f>
        <v/>
      </c>
      <c r="AR403" s="185" t="n">
        <f aca="false">IF(Summary!$H$2=1,VLOOKUP('ANR OK vs ML7'!A403,Curves!$C$17:$AR$273,MATCH('ANR OK vs ML7'!$AR$4,Curves!$C$8:$AQ$8,0)),0.1)</f>
        <v>0.1</v>
      </c>
      <c r="AS403" s="213" t="str">
        <f aca="false">IF(A404="","",1/(1+CHOOSE(F$3,(AR404+($I$3/10000))/2,(AR403+($I$3/10000))/2))^(2*AQ403/365.25))</f>
        <v/>
      </c>
      <c r="AT403" s="137" t="str">
        <f aca="false">IF(A404="","",IF(AND(mthbeg&lt;=A403,mthend&gt;=A403),1,0))</f>
        <v/>
      </c>
      <c r="AU403" s="137" t="str">
        <f aca="false">IF(A404="","",AO403*AT403)</f>
        <v/>
      </c>
      <c r="AW403" s="195" t="str">
        <f aca="false">IF($A404="","",AL403*$E403)</f>
        <v/>
      </c>
      <c r="AX403" s="195" t="str">
        <f aca="false">IF($A404="","",AM403*$E403)</f>
        <v/>
      </c>
      <c r="AY403" s="195" t="str">
        <f aca="false">IF($A404="","",AN403*$E403)</f>
        <v/>
      </c>
      <c r="BA403" s="195" t="str">
        <f aca="false">IF($A404="","",F403*Summary!$Q$7)</f>
        <v/>
      </c>
    </row>
    <row r="404" customFormat="false" ht="12.75" hidden="false" customHeight="false" outlineLevel="0" collapsed="false">
      <c r="A404" s="196" t="str">
        <f aca="false">IF(A403&lt;mthend,EDATE(A403,1),"")</f>
        <v/>
      </c>
      <c r="B404" s="197" t="str">
        <f aca="false">IF(A404&lt;mthend,B403,"")</f>
        <v/>
      </c>
      <c r="D404" s="197" t="str">
        <f aca="false">IF(A405&lt;&gt;"",B404+C404,"")</f>
        <v/>
      </c>
      <c r="E404" s="199" t="str">
        <f aca="false">IF(A405="","",IF(AND(AT404=1,$H$3=1),D404*AO404,IF($H$3=2,D404,"N/A")))</f>
        <v/>
      </c>
      <c r="F404" s="199" t="str">
        <f aca="false">IF(A405="","",E404*AS404)</f>
        <v/>
      </c>
      <c r="G404" s="200" t="str">
        <f aca="false">IF($A405="","",VLOOKUP($A404,Table,MATCH(G$4,Curves,0)))</f>
        <v/>
      </c>
      <c r="H404" s="201" t="str">
        <f aca="false">IF(A405="","",G404)</f>
        <v/>
      </c>
      <c r="J404" s="200" t="str">
        <f aca="false">IF($A405="","",VLOOKUP($A404,Table,MATCH(J$4,Curves,0)))</f>
        <v/>
      </c>
      <c r="K404" s="201" t="str">
        <f aca="false">IF(A405="","",J404)</f>
        <v/>
      </c>
      <c r="L404" s="200" t="str">
        <f aca="false">IF($A405="","",VLOOKUP($A404,Table,MATCH(L$4,Curves,0)))</f>
        <v/>
      </c>
      <c r="M404" s="201" t="str">
        <f aca="false">IF(A405="","",L404)</f>
        <v/>
      </c>
      <c r="O404" s="200" t="str">
        <f aca="false">IF(A405="","",L404+J404+G404)</f>
        <v/>
      </c>
      <c r="P404" s="200" t="str">
        <f aca="false">IF(A405="","",M404+K404+H404)</f>
        <v/>
      </c>
      <c r="R404" s="200" t="str">
        <f aca="false">IF($A405="","",VLOOKUP($A404,Table,MATCH(R$4,Curves,0)))</f>
        <v/>
      </c>
      <c r="S404" s="201" t="str">
        <f aca="false">IF(A405="","",R404)</f>
        <v/>
      </c>
      <c r="T404" s="200" t="str">
        <f aca="false">IF($A405="","",VLOOKUP($A404,Table,MATCH(T$4,Curves,0)))</f>
        <v/>
      </c>
      <c r="U404" s="201" t="str">
        <f aca="false">IF(A405="","",T404)</f>
        <v/>
      </c>
      <c r="V404" s="183" t="str">
        <f aca="false">IF($A405="","",IF(AND(MONTH(A404)&gt;3,MONTH(A404)&lt;11),(T404+R404+G404)*Summary!$T$7/(1-Summary!$T$7),(T404+R404+G404)*Summary!$U$7/(1-Summary!$U$7)))</f>
        <v/>
      </c>
      <c r="W404" s="200" t="str">
        <f aca="false">IF($A405="","",(T404+R404+G404+V404))</f>
        <v/>
      </c>
      <c r="X404" s="200" t="str">
        <f aca="false">IF($A405="","",(U404+S404+H404+V404))</f>
        <v/>
      </c>
      <c r="Y404" s="202"/>
      <c r="Z404" s="185"/>
      <c r="AJ404" s="77"/>
      <c r="AK404" s="77"/>
      <c r="AL404" s="77"/>
      <c r="AM404" s="77"/>
      <c r="AN404" s="77"/>
      <c r="AO404" s="137" t="str">
        <f aca="false">IF(A405="","",A405-A404)</f>
        <v/>
      </c>
      <c r="AP404" s="212" t="str">
        <f aca="false">IF(A405="","",CHOOSE(F$3,A405+24,A404))</f>
        <v/>
      </c>
      <c r="AQ404" s="209" t="str">
        <f aca="false">IF(A405="","",AP404-$E$1)</f>
        <v/>
      </c>
      <c r="AR404" s="185" t="n">
        <f aca="false">IF(Summary!$H$2=1,VLOOKUP('ANR OK vs ML7'!A404,Curves!$C$17:$AR$273,MATCH('ANR OK vs ML7'!$AR$4,Curves!$C$8:$AQ$8,0)),0.1)</f>
        <v>0.1</v>
      </c>
      <c r="AS404" s="213" t="str">
        <f aca="false">IF(A405="","",1/(1+CHOOSE(F$3,(AR405+($I$3/10000))/2,(AR404+($I$3/10000))/2))^(2*AQ404/365.25))</f>
        <v/>
      </c>
      <c r="AT404" s="137" t="str">
        <f aca="false">IF(A405="","",IF(AND(mthbeg&lt;=A404,mthend&gt;=A404),1,0))</f>
        <v/>
      </c>
      <c r="AU404" s="137" t="str">
        <f aca="false">IF(A405="","",AO404*AT404)</f>
        <v/>
      </c>
      <c r="AW404" s="195" t="str">
        <f aca="false">IF($A405="","",AL404*$E404)</f>
        <v/>
      </c>
      <c r="AX404" s="195" t="str">
        <f aca="false">IF($A405="","",AM404*$E404)</f>
        <v/>
      </c>
      <c r="AY404" s="195" t="str">
        <f aca="false">IF($A405="","",AN404*$E404)</f>
        <v/>
      </c>
      <c r="BA404" s="195" t="str">
        <f aca="false">IF($A405="","",F404*Summary!$Q$7)</f>
        <v/>
      </c>
    </row>
    <row r="405" customFormat="false" ht="12.75" hidden="false" customHeight="false" outlineLevel="0" collapsed="false">
      <c r="A405" s="196" t="str">
        <f aca="false">IF(A404&lt;mthend,EDATE(A404,1),"")</f>
        <v/>
      </c>
      <c r="B405" s="197" t="str">
        <f aca="false">IF(A405&lt;mthend,B404,"")</f>
        <v/>
      </c>
      <c r="D405" s="197" t="str">
        <f aca="false">IF(A406&lt;&gt;"",B405+C405,"")</f>
        <v/>
      </c>
      <c r="E405" s="199" t="str">
        <f aca="false">IF(A406="","",IF(AND(AT405=1,$H$3=1),D405*AO405,IF($H$3=2,D405,"N/A")))</f>
        <v/>
      </c>
      <c r="F405" s="199" t="str">
        <f aca="false">IF(A406="","",E405*AS405)</f>
        <v/>
      </c>
      <c r="G405" s="200" t="str">
        <f aca="false">IF($A406="","",VLOOKUP($A405,Table,MATCH(G$4,Curves,0)))</f>
        <v/>
      </c>
      <c r="H405" s="201" t="str">
        <f aca="false">IF(A406="","",G405)</f>
        <v/>
      </c>
      <c r="J405" s="200" t="str">
        <f aca="false">IF($A406="","",VLOOKUP($A405,Table,MATCH(J$4,Curves,0)))</f>
        <v/>
      </c>
      <c r="K405" s="201" t="str">
        <f aca="false">IF(A406="","",J405)</f>
        <v/>
      </c>
      <c r="L405" s="200" t="str">
        <f aca="false">IF($A406="","",VLOOKUP($A405,Table,MATCH(L$4,Curves,0)))</f>
        <v/>
      </c>
      <c r="M405" s="201" t="str">
        <f aca="false">IF(A406="","",L405)</f>
        <v/>
      </c>
      <c r="O405" s="200" t="str">
        <f aca="false">IF(A406="","",L405+J405+G405)</f>
        <v/>
      </c>
      <c r="P405" s="200" t="str">
        <f aca="false">IF(A406="","",M405+K405+H405)</f>
        <v/>
      </c>
      <c r="R405" s="200" t="str">
        <f aca="false">IF($A406="","",VLOOKUP($A405,Table,MATCH(R$4,Curves,0)))</f>
        <v/>
      </c>
      <c r="S405" s="201" t="str">
        <f aca="false">IF(A406="","",R405)</f>
        <v/>
      </c>
      <c r="T405" s="200" t="str">
        <f aca="false">IF($A406="","",VLOOKUP($A405,Table,MATCH(T$4,Curves,0)))</f>
        <v/>
      </c>
      <c r="U405" s="201" t="str">
        <f aca="false">IF(A406="","",T405)</f>
        <v/>
      </c>
      <c r="V405" s="183" t="str">
        <f aca="false">IF($A406="","",IF(AND(MONTH(A405)&gt;3,MONTH(A405)&lt;11),(T405+R405+G405)*Summary!$T$7/(1-Summary!$T$7),(T405+R405+G405)*Summary!$U$7/(1-Summary!$U$7)))</f>
        <v/>
      </c>
      <c r="W405" s="200" t="str">
        <f aca="false">IF($A406="","",(T405+R405+G405+V405))</f>
        <v/>
      </c>
      <c r="X405" s="200" t="str">
        <f aca="false">IF($A406="","",(U405+S405+H405+V405))</f>
        <v/>
      </c>
      <c r="Y405" s="202"/>
      <c r="Z405" s="185"/>
      <c r="AJ405" s="77"/>
      <c r="AK405" s="77"/>
      <c r="AL405" s="77"/>
      <c r="AM405" s="77"/>
      <c r="AN405" s="77"/>
      <c r="AO405" s="137" t="str">
        <f aca="false">IF(A406="","",A406-A405)</f>
        <v/>
      </c>
      <c r="AP405" s="212" t="str">
        <f aca="false">IF(A406="","",CHOOSE(F$3,A406+24,A405))</f>
        <v/>
      </c>
      <c r="AQ405" s="209" t="str">
        <f aca="false">IF(A406="","",AP405-$E$1)</f>
        <v/>
      </c>
      <c r="AR405" s="185" t="n">
        <f aca="false">IF(Summary!$H$2=1,VLOOKUP('ANR OK vs ML7'!A405,Curves!$C$17:$AR$273,MATCH('ANR OK vs ML7'!$AR$4,Curves!$C$8:$AQ$8,0)),0.1)</f>
        <v>0.1</v>
      </c>
      <c r="AS405" s="213" t="str">
        <f aca="false">IF(A406="","",1/(1+CHOOSE(F$3,(AR406+($I$3/10000))/2,(AR405+($I$3/10000))/2))^(2*AQ405/365.25))</f>
        <v/>
      </c>
      <c r="AT405" s="137" t="str">
        <f aca="false">IF(A406="","",IF(AND(mthbeg&lt;=A405,mthend&gt;=A405),1,0))</f>
        <v/>
      </c>
      <c r="AU405" s="137" t="str">
        <f aca="false">IF(A406="","",AO405*AT405)</f>
        <v/>
      </c>
      <c r="AW405" s="195" t="str">
        <f aca="false">IF($A406="","",AL405*$E405)</f>
        <v/>
      </c>
      <c r="AX405" s="195" t="str">
        <f aca="false">IF($A406="","",AM405*$E405)</f>
        <v/>
      </c>
      <c r="AY405" s="195" t="str">
        <f aca="false">IF($A406="","",AN405*$E405)</f>
        <v/>
      </c>
      <c r="BA405" s="195" t="str">
        <f aca="false">IF($A406="","",F405*Summary!$Q$7)</f>
        <v/>
      </c>
    </row>
    <row r="406" customFormat="false" ht="12.75" hidden="false" customHeight="false" outlineLevel="0" collapsed="false">
      <c r="A406" s="196" t="str">
        <f aca="false">IF(A405&lt;mthend,EDATE(A405,1),"")</f>
        <v/>
      </c>
      <c r="B406" s="197" t="str">
        <f aca="false">IF(A406&lt;mthend,B405,"")</f>
        <v/>
      </c>
      <c r="D406" s="197" t="str">
        <f aca="false">IF(A407&lt;&gt;"",B406+C406,"")</f>
        <v/>
      </c>
      <c r="E406" s="199" t="str">
        <f aca="false">IF(A407="","",IF(AND(AT406=1,$H$3=1),D406*AO406,IF($H$3=2,D406,"N/A")))</f>
        <v/>
      </c>
      <c r="F406" s="199" t="str">
        <f aca="false">IF(A407="","",E406*AS406)</f>
        <v/>
      </c>
      <c r="G406" s="200" t="str">
        <f aca="false">IF($A407="","",VLOOKUP($A406,Table,MATCH(G$4,Curves,0)))</f>
        <v/>
      </c>
      <c r="H406" s="201" t="str">
        <f aca="false">IF(A407="","",G406)</f>
        <v/>
      </c>
      <c r="J406" s="200" t="str">
        <f aca="false">IF($A407="","",VLOOKUP($A406,Table,MATCH(J$4,Curves,0)))</f>
        <v/>
      </c>
      <c r="K406" s="201" t="str">
        <f aca="false">IF(A407="","",J406)</f>
        <v/>
      </c>
      <c r="L406" s="200" t="str">
        <f aca="false">IF($A407="","",VLOOKUP($A406,Table,MATCH(L$4,Curves,0)))</f>
        <v/>
      </c>
      <c r="M406" s="201" t="str">
        <f aca="false">IF(A407="","",L406)</f>
        <v/>
      </c>
      <c r="O406" s="200" t="str">
        <f aca="false">IF(A407="","",L406+J406+G406)</f>
        <v/>
      </c>
      <c r="P406" s="200" t="str">
        <f aca="false">IF(A407="","",M406+K406+H406)</f>
        <v/>
      </c>
      <c r="R406" s="200" t="str">
        <f aca="false">IF($A407="","",VLOOKUP($A406,Table,MATCH(R$4,Curves,0)))</f>
        <v/>
      </c>
      <c r="S406" s="201" t="str">
        <f aca="false">IF(A407="","",R406)</f>
        <v/>
      </c>
      <c r="T406" s="200" t="str">
        <f aca="false">IF($A407="","",VLOOKUP($A406,Table,MATCH(T$4,Curves,0)))</f>
        <v/>
      </c>
      <c r="U406" s="201" t="str">
        <f aca="false">IF(A407="","",T406)</f>
        <v/>
      </c>
      <c r="V406" s="183" t="str">
        <f aca="false">IF($A407="","",IF(AND(MONTH(A406)&gt;3,MONTH(A406)&lt;11),(T406+R406+G406)*Summary!$T$7/(1-Summary!$T$7),(T406+R406+G406)*Summary!$U$7/(1-Summary!$U$7)))</f>
        <v/>
      </c>
      <c r="W406" s="200" t="str">
        <f aca="false">IF($A407="","",(T406+R406+G406+V406))</f>
        <v/>
      </c>
      <c r="X406" s="200" t="str">
        <f aca="false">IF($A407="","",(U406+S406+H406+V406))</f>
        <v/>
      </c>
      <c r="Y406" s="202"/>
      <c r="Z406" s="185"/>
      <c r="AJ406" s="77"/>
      <c r="AK406" s="77"/>
      <c r="AL406" s="77"/>
      <c r="AM406" s="77"/>
      <c r="AN406" s="77"/>
      <c r="AO406" s="137" t="str">
        <f aca="false">IF(A407="","",A407-A406)</f>
        <v/>
      </c>
      <c r="AP406" s="212" t="str">
        <f aca="false">IF(A407="","",CHOOSE(F$3,A407+24,A406))</f>
        <v/>
      </c>
      <c r="AQ406" s="209" t="str">
        <f aca="false">IF(A407="","",AP406-$E$1)</f>
        <v/>
      </c>
      <c r="AR406" s="185" t="n">
        <f aca="false">IF(Summary!$H$2=1,VLOOKUP('ANR OK vs ML7'!A406,Curves!$C$17:$AR$273,MATCH('ANR OK vs ML7'!$AR$4,Curves!$C$8:$AQ$8,0)),0.1)</f>
        <v>0.1</v>
      </c>
      <c r="AS406" s="213" t="str">
        <f aca="false">IF(A407="","",1/(1+CHOOSE(F$3,(AR407+($I$3/10000))/2,(AR406+($I$3/10000))/2))^(2*AQ406/365.25))</f>
        <v/>
      </c>
      <c r="AT406" s="137" t="str">
        <f aca="false">IF(A407="","",IF(AND(mthbeg&lt;=A406,mthend&gt;=A406),1,0))</f>
        <v/>
      </c>
      <c r="AU406" s="137" t="str">
        <f aca="false">IF(A407="","",AO406*AT406)</f>
        <v/>
      </c>
      <c r="AW406" s="195" t="str">
        <f aca="false">IF($A407="","",AL406*$E406)</f>
        <v/>
      </c>
      <c r="AX406" s="195" t="str">
        <f aca="false">IF($A407="","",AM406*$E406)</f>
        <v/>
      </c>
      <c r="AY406" s="195" t="str">
        <f aca="false">IF($A407="","",AN406*$E406)</f>
        <v/>
      </c>
      <c r="BA406" s="195" t="str">
        <f aca="false">IF($A407="","",F406*Summary!$Q$7)</f>
        <v/>
      </c>
    </row>
    <row r="407" customFormat="false" ht="12.75" hidden="false" customHeight="false" outlineLevel="0" collapsed="false">
      <c r="A407" s="196" t="str">
        <f aca="false">IF(A406&lt;mthend,EDATE(A406,1),"")</f>
        <v/>
      </c>
      <c r="B407" s="197" t="str">
        <f aca="false">IF(A407&lt;mthend,B406,"")</f>
        <v/>
      </c>
      <c r="D407" s="197" t="str">
        <f aca="false">IF(A408&lt;&gt;"",B407+C407,"")</f>
        <v/>
      </c>
      <c r="E407" s="199" t="str">
        <f aca="false">IF(A408="","",IF(AND(AT407=1,$H$3=1),D407*AO407,IF($H$3=2,D407,"N/A")))</f>
        <v/>
      </c>
      <c r="F407" s="199" t="str">
        <f aca="false">IF(A408="","",E407*AS407)</f>
        <v/>
      </c>
      <c r="G407" s="200" t="str">
        <f aca="false">IF($A408="","",VLOOKUP($A407,Table,MATCH(G$4,Curves,0)))</f>
        <v/>
      </c>
      <c r="H407" s="201" t="str">
        <f aca="false">IF(A408="","",G407)</f>
        <v/>
      </c>
      <c r="J407" s="200" t="str">
        <f aca="false">IF($A408="","",VLOOKUP($A407,Table,MATCH(J$4,Curves,0)))</f>
        <v/>
      </c>
      <c r="K407" s="201" t="str">
        <f aca="false">IF(A408="","",J407)</f>
        <v/>
      </c>
      <c r="L407" s="200" t="str">
        <f aca="false">IF($A408="","",VLOOKUP($A407,Table,MATCH(L$4,Curves,0)))</f>
        <v/>
      </c>
      <c r="M407" s="201" t="str">
        <f aca="false">IF(A408="","",L407)</f>
        <v/>
      </c>
      <c r="O407" s="200" t="str">
        <f aca="false">IF(A408="","",L407+J407+G407)</f>
        <v/>
      </c>
      <c r="P407" s="200" t="str">
        <f aca="false">IF(A408="","",M407+K407+H407)</f>
        <v/>
      </c>
      <c r="R407" s="200" t="str">
        <f aca="false">IF($A408="","",VLOOKUP($A407,Table,MATCH(R$4,Curves,0)))</f>
        <v/>
      </c>
      <c r="S407" s="201" t="str">
        <f aca="false">IF(A408="","",R407)</f>
        <v/>
      </c>
      <c r="T407" s="200" t="str">
        <f aca="false">IF($A408="","",VLOOKUP($A407,Table,MATCH(T$4,Curves,0)))</f>
        <v/>
      </c>
      <c r="U407" s="201" t="str">
        <f aca="false">IF(A408="","",T407)</f>
        <v/>
      </c>
      <c r="V407" s="183" t="str">
        <f aca="false">IF($A408="","",IF(AND(MONTH(A407)&gt;3,MONTH(A407)&lt;11),(T407+R407+G407)*Summary!$T$7/(1-Summary!$T$7),(T407+R407+G407)*Summary!$U$7/(1-Summary!$U$7)))</f>
        <v/>
      </c>
      <c r="W407" s="200" t="str">
        <f aca="false">IF($A408="","",(T407+R407+G407+V407))</f>
        <v/>
      </c>
      <c r="X407" s="200" t="str">
        <f aca="false">IF($A408="","",(U407+S407+H407+V407))</f>
        <v/>
      </c>
      <c r="Y407" s="202"/>
      <c r="Z407" s="185"/>
      <c r="AJ407" s="77"/>
      <c r="AK407" s="77"/>
      <c r="AL407" s="77"/>
      <c r="AM407" s="77"/>
      <c r="AN407" s="77"/>
      <c r="AO407" s="137" t="str">
        <f aca="false">IF(A408="","",A408-A407)</f>
        <v/>
      </c>
      <c r="AP407" s="212" t="str">
        <f aca="false">IF(A408="","",CHOOSE(F$3,A408+24,A407))</f>
        <v/>
      </c>
      <c r="AQ407" s="209" t="str">
        <f aca="false">IF(A408="","",AP407-$E$1)</f>
        <v/>
      </c>
      <c r="AR407" s="185" t="n">
        <f aca="false">IF(Summary!$H$2=1,VLOOKUP('ANR OK vs ML7'!A407,Curves!$C$17:$AR$273,MATCH('ANR OK vs ML7'!$AR$4,Curves!$C$8:$AQ$8,0)),0.1)</f>
        <v>0.1</v>
      </c>
      <c r="AS407" s="213" t="str">
        <f aca="false">IF(A408="","",1/(1+CHOOSE(F$3,(AR408+($I$3/10000))/2,(AR407+($I$3/10000))/2))^(2*AQ407/365.25))</f>
        <v/>
      </c>
      <c r="AT407" s="137" t="str">
        <f aca="false">IF(A408="","",IF(AND(mthbeg&lt;=A407,mthend&gt;=A407),1,0))</f>
        <v/>
      </c>
      <c r="AU407" s="137" t="str">
        <f aca="false">IF(A408="","",AO407*AT407)</f>
        <v/>
      </c>
      <c r="AW407" s="195" t="str">
        <f aca="false">IF($A408="","",AL407*$E407)</f>
        <v/>
      </c>
      <c r="AX407" s="195" t="str">
        <f aca="false">IF($A408="","",AM407*$E407)</f>
        <v/>
      </c>
      <c r="AY407" s="195" t="str">
        <f aca="false">IF($A408="","",AN407*$E407)</f>
        <v/>
      </c>
      <c r="BA407" s="195" t="str">
        <f aca="false">IF($A408="","",F407*Summary!$Q$7)</f>
        <v/>
      </c>
    </row>
    <row r="408" customFormat="false" ht="12.75" hidden="false" customHeight="false" outlineLevel="0" collapsed="false">
      <c r="A408" s="196" t="str">
        <f aca="false">IF(A407&lt;mthend,EDATE(A407,1),"")</f>
        <v/>
      </c>
      <c r="B408" s="197" t="str">
        <f aca="false">IF(A408&lt;mthend,B407,"")</f>
        <v/>
      </c>
      <c r="D408" s="197" t="str">
        <f aca="false">IF(A409&lt;&gt;"",B408+C408,"")</f>
        <v/>
      </c>
      <c r="E408" s="199" t="str">
        <f aca="false">IF(A409="","",IF(AND(AT408=1,$H$3=1),D408*AO408,IF($H$3=2,D408,"N/A")))</f>
        <v/>
      </c>
      <c r="F408" s="199" t="str">
        <f aca="false">IF(A409="","",E408*AS408)</f>
        <v/>
      </c>
      <c r="G408" s="200" t="str">
        <f aca="false">IF($A409="","",VLOOKUP($A408,Table,MATCH(G$4,Curves,0)))</f>
        <v/>
      </c>
      <c r="H408" s="201" t="str">
        <f aca="false">IF(A409="","",G408)</f>
        <v/>
      </c>
      <c r="J408" s="200" t="str">
        <f aca="false">IF($A409="","",VLOOKUP($A408,Table,MATCH(J$4,Curves,0)))</f>
        <v/>
      </c>
      <c r="K408" s="201" t="str">
        <f aca="false">IF(A409="","",J408)</f>
        <v/>
      </c>
      <c r="L408" s="200" t="str">
        <f aca="false">IF($A409="","",VLOOKUP($A408,Table,MATCH(L$4,Curves,0)))</f>
        <v/>
      </c>
      <c r="M408" s="201" t="str">
        <f aca="false">IF(A409="","",L408)</f>
        <v/>
      </c>
      <c r="O408" s="200" t="str">
        <f aca="false">IF(A409="","",L408+J408+G408)</f>
        <v/>
      </c>
      <c r="P408" s="200" t="str">
        <f aca="false">IF(A409="","",M408+K408+H408)</f>
        <v/>
      </c>
      <c r="R408" s="200" t="str">
        <f aca="false">IF($A409="","",VLOOKUP($A408,Table,MATCH(R$4,Curves,0)))</f>
        <v/>
      </c>
      <c r="S408" s="201" t="str">
        <f aca="false">IF(A409="","",R408)</f>
        <v/>
      </c>
      <c r="T408" s="200" t="str">
        <f aca="false">IF($A409="","",VLOOKUP($A408,Table,MATCH(T$4,Curves,0)))</f>
        <v/>
      </c>
      <c r="U408" s="201" t="str">
        <f aca="false">IF(A409="","",T408)</f>
        <v/>
      </c>
      <c r="V408" s="183" t="str">
        <f aca="false">IF($A409="","",IF(AND(MONTH(A408)&gt;3,MONTH(A408)&lt;11),(T408+R408+G408)*Summary!$T$7/(1-Summary!$T$7),(T408+R408+G408)*Summary!$U$7/(1-Summary!$U$7)))</f>
        <v/>
      </c>
      <c r="W408" s="200" t="str">
        <f aca="false">IF($A409="","",(T408+R408+G408+V408))</f>
        <v/>
      </c>
      <c r="X408" s="200" t="str">
        <f aca="false">IF($A409="","",(U408+S408+H408+V408))</f>
        <v/>
      </c>
      <c r="Y408" s="202"/>
      <c r="Z408" s="185"/>
      <c r="AJ408" s="77"/>
      <c r="AK408" s="77"/>
      <c r="AL408" s="77"/>
      <c r="AM408" s="77"/>
      <c r="AN408" s="77"/>
      <c r="AO408" s="137" t="str">
        <f aca="false">IF(A409="","",A409-A408)</f>
        <v/>
      </c>
      <c r="AP408" s="212" t="str">
        <f aca="false">IF(A409="","",CHOOSE(F$3,A409+24,A408))</f>
        <v/>
      </c>
      <c r="AQ408" s="209" t="str">
        <f aca="false">IF(A409="","",AP408-$E$1)</f>
        <v/>
      </c>
      <c r="AR408" s="185" t="n">
        <f aca="false">IF(Summary!$H$2=1,VLOOKUP('ANR OK vs ML7'!A408,Curves!$C$17:$AR$273,MATCH('ANR OK vs ML7'!$AR$4,Curves!$C$8:$AQ$8,0)),0.1)</f>
        <v>0.1</v>
      </c>
      <c r="AS408" s="213" t="str">
        <f aca="false">IF(A409="","",1/(1+CHOOSE(F$3,(AR409+($I$3/10000))/2,(AR408+($I$3/10000))/2))^(2*AQ408/365.25))</f>
        <v/>
      </c>
      <c r="AT408" s="137" t="str">
        <f aca="false">IF(A409="","",IF(AND(mthbeg&lt;=A408,mthend&gt;=A408),1,0))</f>
        <v/>
      </c>
      <c r="AU408" s="137" t="str">
        <f aca="false">IF(A409="","",AO408*AT408)</f>
        <v/>
      </c>
      <c r="AW408" s="195" t="str">
        <f aca="false">IF($A409="","",AL408*$E408)</f>
        <v/>
      </c>
      <c r="AX408" s="195" t="str">
        <f aca="false">IF($A409="","",AM408*$E408)</f>
        <v/>
      </c>
      <c r="AY408" s="195" t="str">
        <f aca="false">IF($A409="","",AN408*$E408)</f>
        <v/>
      </c>
      <c r="BA408" s="195" t="str">
        <f aca="false">IF($A409="","",F408*Summary!$Q$7)</f>
        <v/>
      </c>
    </row>
    <row r="409" customFormat="false" ht="12.75" hidden="false" customHeight="false" outlineLevel="0" collapsed="false">
      <c r="A409" s="196" t="str">
        <f aca="false">IF(A408&lt;mthend,EDATE(A408,1),"")</f>
        <v/>
      </c>
      <c r="B409" s="197" t="str">
        <f aca="false">IF(A409&lt;mthend,B408,"")</f>
        <v/>
      </c>
      <c r="D409" s="197" t="str">
        <f aca="false">IF(A410&lt;&gt;"",B409+C409,"")</f>
        <v/>
      </c>
      <c r="E409" s="199" t="str">
        <f aca="false">IF(A410="","",IF(AND(AT409=1,$H$3=1),D409*AO409,IF($H$3=2,D409,"N/A")))</f>
        <v/>
      </c>
      <c r="F409" s="199" t="str">
        <f aca="false">IF(A410="","",E409*AS409)</f>
        <v/>
      </c>
      <c r="G409" s="200" t="str">
        <f aca="false">IF($A410="","",VLOOKUP($A409,Table,MATCH(G$4,Curves,0)))</f>
        <v/>
      </c>
      <c r="H409" s="201" t="str">
        <f aca="false">IF(A410="","",G409)</f>
        <v/>
      </c>
      <c r="J409" s="200" t="str">
        <f aca="false">IF($A410="","",VLOOKUP($A409,Table,MATCH(J$4,Curves,0)))</f>
        <v/>
      </c>
      <c r="K409" s="201" t="str">
        <f aca="false">IF(A410="","",J409)</f>
        <v/>
      </c>
      <c r="L409" s="200" t="str">
        <f aca="false">IF($A410="","",VLOOKUP($A409,Table,MATCH(L$4,Curves,0)))</f>
        <v/>
      </c>
      <c r="M409" s="201" t="str">
        <f aca="false">IF(A410="","",L409)</f>
        <v/>
      </c>
      <c r="O409" s="200" t="str">
        <f aca="false">IF(A410="","",L409+J409+G409)</f>
        <v/>
      </c>
      <c r="P409" s="200" t="str">
        <f aca="false">IF(A410="","",M409+K409+H409)</f>
        <v/>
      </c>
      <c r="R409" s="200" t="str">
        <f aca="false">IF($A410="","",VLOOKUP($A409,Table,MATCH(R$4,Curves,0)))</f>
        <v/>
      </c>
      <c r="S409" s="201" t="str">
        <f aca="false">IF(A410="","",R409)</f>
        <v/>
      </c>
      <c r="T409" s="200" t="str">
        <f aca="false">IF($A410="","",VLOOKUP($A409,Table,MATCH(T$4,Curves,0)))</f>
        <v/>
      </c>
      <c r="U409" s="201" t="str">
        <f aca="false">IF(A410="","",T409)</f>
        <v/>
      </c>
      <c r="V409" s="183" t="str">
        <f aca="false">IF($A410="","",IF(AND(MONTH(A409)&gt;3,MONTH(A409)&lt;11),(T409+R409+G409)*Summary!$T$7/(1-Summary!$T$7),(T409+R409+G409)*Summary!$U$7/(1-Summary!$U$7)))</f>
        <v/>
      </c>
      <c r="W409" s="200" t="str">
        <f aca="false">IF($A410="","",(T409+R409+G409+V409))</f>
        <v/>
      </c>
      <c r="X409" s="200" t="str">
        <f aca="false">IF($A410="","",(U409+S409+H409+V409))</f>
        <v/>
      </c>
      <c r="Y409" s="202"/>
      <c r="Z409" s="185"/>
      <c r="AJ409" s="77"/>
      <c r="AK409" s="77"/>
      <c r="AL409" s="77"/>
      <c r="AM409" s="77"/>
      <c r="AN409" s="77"/>
      <c r="AO409" s="137" t="str">
        <f aca="false">IF(A410="","",A410-A409)</f>
        <v/>
      </c>
      <c r="AP409" s="212" t="str">
        <f aca="false">IF(A410="","",CHOOSE(F$3,A410+24,A409))</f>
        <v/>
      </c>
      <c r="AQ409" s="209" t="str">
        <f aca="false">IF(A410="","",AP409-$E$1)</f>
        <v/>
      </c>
      <c r="AR409" s="185" t="n">
        <f aca="false">IF(Summary!$H$2=1,VLOOKUP('ANR OK vs ML7'!A409,Curves!$C$17:$AR$273,MATCH('ANR OK vs ML7'!$AR$4,Curves!$C$8:$AQ$8,0)),0.1)</f>
        <v>0.1</v>
      </c>
      <c r="AS409" s="213" t="str">
        <f aca="false">IF(A410="","",1/(1+CHOOSE(F$3,(AR410+($I$3/10000))/2,(AR409+($I$3/10000))/2))^(2*AQ409/365.25))</f>
        <v/>
      </c>
      <c r="AT409" s="137" t="str">
        <f aca="false">IF(A410="","",IF(AND(mthbeg&lt;=A409,mthend&gt;=A409),1,0))</f>
        <v/>
      </c>
      <c r="AU409" s="137" t="str">
        <f aca="false">IF(A410="","",AO409*AT409)</f>
        <v/>
      </c>
      <c r="AW409" s="195" t="str">
        <f aca="false">IF($A410="","",AL409*$E409)</f>
        <v/>
      </c>
      <c r="AX409" s="195" t="str">
        <f aca="false">IF($A410="","",AM409*$E409)</f>
        <v/>
      </c>
      <c r="AY409" s="195" t="str">
        <f aca="false">IF($A410="","",AN409*$E409)</f>
        <v/>
      </c>
      <c r="BA409" s="195" t="str">
        <f aca="false">IF($A410="","",F409*Summary!$Q$7)</f>
        <v/>
      </c>
    </row>
    <row r="410" customFormat="false" ht="12.75" hidden="false" customHeight="false" outlineLevel="0" collapsed="false">
      <c r="A410" s="196" t="str">
        <f aca="false">IF(A409&lt;mthend,EDATE(A409,1),"")</f>
        <v/>
      </c>
      <c r="B410" s="197" t="str">
        <f aca="false">IF(A410&lt;mthend,B409,"")</f>
        <v/>
      </c>
      <c r="D410" s="197" t="str">
        <f aca="false">IF(A411&lt;&gt;"",B410+C410,"")</f>
        <v/>
      </c>
      <c r="E410" s="199" t="str">
        <f aca="false">IF(A411="","",IF(AND(AT410=1,$H$3=1),D410*AO410,IF($H$3=2,D410,"N/A")))</f>
        <v/>
      </c>
      <c r="F410" s="199" t="str">
        <f aca="false">IF(A411="","",E410*AS410)</f>
        <v/>
      </c>
      <c r="G410" s="200" t="str">
        <f aca="false">IF($A411="","",VLOOKUP($A410,Table,MATCH(G$4,Curves,0)))</f>
        <v/>
      </c>
      <c r="H410" s="201" t="str">
        <f aca="false">IF(A411="","",G410)</f>
        <v/>
      </c>
      <c r="J410" s="200" t="str">
        <f aca="false">IF($A411="","",VLOOKUP($A410,Table,MATCH(J$4,Curves,0)))</f>
        <v/>
      </c>
      <c r="K410" s="201" t="str">
        <f aca="false">IF(A411="","",J410)</f>
        <v/>
      </c>
      <c r="L410" s="200" t="str">
        <f aca="false">IF($A411="","",VLOOKUP($A410,Table,MATCH(L$4,Curves,0)))</f>
        <v/>
      </c>
      <c r="M410" s="201" t="str">
        <f aca="false">IF(A411="","",L410)</f>
        <v/>
      </c>
      <c r="O410" s="200" t="str">
        <f aca="false">IF(A411="","",L410+J410+G410)</f>
        <v/>
      </c>
      <c r="P410" s="200" t="str">
        <f aca="false">IF(A411="","",M410+K410+H410)</f>
        <v/>
      </c>
      <c r="R410" s="200" t="str">
        <f aca="false">IF($A411="","",VLOOKUP($A410,Table,MATCH(R$4,Curves,0)))</f>
        <v/>
      </c>
      <c r="S410" s="201" t="str">
        <f aca="false">IF(A411="","",R410)</f>
        <v/>
      </c>
      <c r="T410" s="200" t="str">
        <f aca="false">IF($A411="","",VLOOKUP($A410,Table,MATCH(T$4,Curves,0)))</f>
        <v/>
      </c>
      <c r="U410" s="201" t="str">
        <f aca="false">IF(A411="","",T410)</f>
        <v/>
      </c>
      <c r="V410" s="183" t="str">
        <f aca="false">IF($A411="","",IF(AND(MONTH(A410)&gt;3,MONTH(A410)&lt;11),(T410+R410+G410)*Summary!$T$7/(1-Summary!$T$7),(T410+R410+G410)*Summary!$U$7/(1-Summary!$U$7)))</f>
        <v/>
      </c>
      <c r="W410" s="200" t="str">
        <f aca="false">IF($A411="","",(T410+R410+G410+V410))</f>
        <v/>
      </c>
      <c r="X410" s="200" t="str">
        <f aca="false">IF($A411="","",(U410+S410+H410+V410))</f>
        <v/>
      </c>
      <c r="Y410" s="202"/>
      <c r="Z410" s="185"/>
      <c r="AJ410" s="77"/>
      <c r="AK410" s="77"/>
      <c r="AL410" s="77"/>
      <c r="AM410" s="77"/>
      <c r="AN410" s="77"/>
      <c r="AO410" s="137" t="str">
        <f aca="false">IF(A411="","",A411-A410)</f>
        <v/>
      </c>
      <c r="AP410" s="212" t="str">
        <f aca="false">IF(A411="","",CHOOSE(F$3,A411+24,A410))</f>
        <v/>
      </c>
      <c r="AQ410" s="209" t="str">
        <f aca="false">IF(A411="","",AP410-$E$1)</f>
        <v/>
      </c>
      <c r="AR410" s="185" t="n">
        <f aca="false">IF(Summary!$H$2=1,VLOOKUP('ANR OK vs ML7'!A410,Curves!$C$17:$AR$273,MATCH('ANR OK vs ML7'!$AR$4,Curves!$C$8:$AQ$8,0)),0.1)</f>
        <v>0.1</v>
      </c>
      <c r="AS410" s="213" t="str">
        <f aca="false">IF(A411="","",1/(1+CHOOSE(F$3,(AR411+($I$3/10000))/2,(AR410+($I$3/10000))/2))^(2*AQ410/365.25))</f>
        <v/>
      </c>
      <c r="AT410" s="137" t="str">
        <f aca="false">IF(A411="","",IF(AND(mthbeg&lt;=A410,mthend&gt;=A410),1,0))</f>
        <v/>
      </c>
      <c r="AU410" s="137" t="str">
        <f aca="false">IF(A411="","",AO410*AT410)</f>
        <v/>
      </c>
      <c r="AW410" s="195" t="str">
        <f aca="false">IF($A411="","",AL410*$E410)</f>
        <v/>
      </c>
      <c r="AX410" s="195" t="str">
        <f aca="false">IF($A411="","",AM410*$E410)</f>
        <v/>
      </c>
      <c r="AY410" s="195" t="str">
        <f aca="false">IF($A411="","",AN410*$E410)</f>
        <v/>
      </c>
      <c r="BA410" s="195" t="str">
        <f aca="false">IF($A411="","",F410*Summary!$Q$7)</f>
        <v/>
      </c>
    </row>
    <row r="411" customFormat="false" ht="12.75" hidden="false" customHeight="false" outlineLevel="0" collapsed="false">
      <c r="A411" s="196" t="str">
        <f aca="false">IF(A410&lt;mthend,EDATE(A410,1),"")</f>
        <v/>
      </c>
      <c r="B411" s="197" t="str">
        <f aca="false">IF(A411&lt;mthend,B410,"")</f>
        <v/>
      </c>
      <c r="D411" s="197" t="str">
        <f aca="false">IF(A412&lt;&gt;"",B411+C411,"")</f>
        <v/>
      </c>
      <c r="E411" s="199" t="str">
        <f aca="false">IF(A412="","",IF(AND(AT411=1,$H$3=1),D411*AO411,IF($H$3=2,D411,"N/A")))</f>
        <v/>
      </c>
      <c r="F411" s="199" t="str">
        <f aca="false">IF(A412="","",E411*AS411)</f>
        <v/>
      </c>
      <c r="G411" s="200" t="str">
        <f aca="false">IF($A412="","",VLOOKUP($A411,Table,MATCH(G$4,Curves,0)))</f>
        <v/>
      </c>
      <c r="H411" s="201" t="str">
        <f aca="false">IF(A412="","",G411)</f>
        <v/>
      </c>
      <c r="J411" s="200" t="str">
        <f aca="false">IF($A412="","",VLOOKUP($A411,Table,MATCH(J$4,Curves,0)))</f>
        <v/>
      </c>
      <c r="K411" s="201" t="str">
        <f aca="false">IF(A412="","",J411)</f>
        <v/>
      </c>
      <c r="L411" s="200" t="str">
        <f aca="false">IF($A412="","",VLOOKUP($A411,Table,MATCH(L$4,Curves,0)))</f>
        <v/>
      </c>
      <c r="M411" s="201" t="str">
        <f aca="false">IF(A412="","",L411)</f>
        <v/>
      </c>
      <c r="O411" s="200" t="str">
        <f aca="false">IF(A412="","",L411+J411+G411)</f>
        <v/>
      </c>
      <c r="P411" s="200" t="str">
        <f aca="false">IF(A412="","",M411+K411+H411)</f>
        <v/>
      </c>
      <c r="R411" s="200" t="str">
        <f aca="false">IF($A412="","",VLOOKUP($A411,Table,MATCH(R$4,Curves,0)))</f>
        <v/>
      </c>
      <c r="S411" s="201" t="str">
        <f aca="false">IF(A412="","",R411)</f>
        <v/>
      </c>
      <c r="T411" s="200" t="str">
        <f aca="false">IF($A412="","",VLOOKUP($A411,Table,MATCH(T$4,Curves,0)))</f>
        <v/>
      </c>
      <c r="U411" s="201" t="str">
        <f aca="false">IF(A412="","",T411)</f>
        <v/>
      </c>
      <c r="V411" s="183" t="str">
        <f aca="false">IF($A412="","",IF(AND(MONTH(A411)&gt;3,MONTH(A411)&lt;11),(T411+R411+G411)*Summary!$T$7/(1-Summary!$T$7),(T411+R411+G411)*Summary!$U$7/(1-Summary!$U$7)))</f>
        <v/>
      </c>
      <c r="W411" s="200" t="str">
        <f aca="false">IF($A412="","",(T411+R411+G411+V411))</f>
        <v/>
      </c>
      <c r="X411" s="200" t="str">
        <f aca="false">IF($A412="","",(U411+S411+H411+V411))</f>
        <v/>
      </c>
      <c r="Y411" s="202"/>
      <c r="Z411" s="185"/>
      <c r="AJ411" s="77"/>
      <c r="AK411" s="77"/>
      <c r="AL411" s="77"/>
      <c r="AM411" s="77"/>
      <c r="AN411" s="77"/>
      <c r="AO411" s="137" t="str">
        <f aca="false">IF(A412="","",A412-A411)</f>
        <v/>
      </c>
      <c r="AP411" s="212" t="str">
        <f aca="false">IF(A412="","",CHOOSE(F$3,A412+24,A411))</f>
        <v/>
      </c>
      <c r="AQ411" s="209" t="str">
        <f aca="false">IF(A412="","",AP411-$E$1)</f>
        <v/>
      </c>
      <c r="AR411" s="185" t="n">
        <f aca="false">IF(Summary!$H$2=1,VLOOKUP('ANR OK vs ML7'!A411,Curves!$C$17:$AR$273,MATCH('ANR OK vs ML7'!$AR$4,Curves!$C$8:$AQ$8,0)),0.1)</f>
        <v>0.1</v>
      </c>
      <c r="AS411" s="213" t="str">
        <f aca="false">IF(A412="","",1/(1+CHOOSE(F$3,(AR412+($I$3/10000))/2,(AR411+($I$3/10000))/2))^(2*AQ411/365.25))</f>
        <v/>
      </c>
      <c r="AT411" s="137" t="str">
        <f aca="false">IF(A412="","",IF(AND(mthbeg&lt;=A411,mthend&gt;=A411),1,0))</f>
        <v/>
      </c>
      <c r="AU411" s="137" t="str">
        <f aca="false">IF(A412="","",AO411*AT411)</f>
        <v/>
      </c>
      <c r="AW411" s="195" t="str">
        <f aca="false">IF($A412="","",AL411*$E411)</f>
        <v/>
      </c>
      <c r="AX411" s="195" t="str">
        <f aca="false">IF($A412="","",AM411*$E411)</f>
        <v/>
      </c>
      <c r="AY411" s="195" t="str">
        <f aca="false">IF($A412="","",AN411*$E411)</f>
        <v/>
      </c>
      <c r="BA411" s="195" t="str">
        <f aca="false">IF($A412="","",F411*Summary!$Q$7)</f>
        <v/>
      </c>
    </row>
    <row r="412" customFormat="false" ht="12.75" hidden="false" customHeight="false" outlineLevel="0" collapsed="false">
      <c r="A412" s="196" t="str">
        <f aca="false">IF(A411&lt;mthend,EDATE(A411,1),"")</f>
        <v/>
      </c>
      <c r="B412" s="197" t="str">
        <f aca="false">IF(A412&lt;mthend,B411,"")</f>
        <v/>
      </c>
      <c r="D412" s="197" t="str">
        <f aca="false">IF(A413&lt;&gt;"",B412+C412,"")</f>
        <v/>
      </c>
      <c r="E412" s="199" t="str">
        <f aca="false">IF(A413="","",IF(AND(AT412=1,$H$3=1),D412*AO412,IF($H$3=2,D412,"N/A")))</f>
        <v/>
      </c>
      <c r="F412" s="199" t="str">
        <f aca="false">IF(A413="","",E412*AS412)</f>
        <v/>
      </c>
      <c r="G412" s="200" t="str">
        <f aca="false">IF($A413="","",VLOOKUP($A412,Table,MATCH(G$4,Curves,0)))</f>
        <v/>
      </c>
      <c r="H412" s="201" t="str">
        <f aca="false">IF(A413="","",G412)</f>
        <v/>
      </c>
      <c r="J412" s="200" t="str">
        <f aca="false">IF($A413="","",VLOOKUP($A412,Table,MATCH(J$4,Curves,0)))</f>
        <v/>
      </c>
      <c r="K412" s="201" t="str">
        <f aca="false">IF(A413="","",J412)</f>
        <v/>
      </c>
      <c r="L412" s="200" t="str">
        <f aca="false">IF($A413="","",VLOOKUP($A412,Table,MATCH(L$4,Curves,0)))</f>
        <v/>
      </c>
      <c r="M412" s="201" t="str">
        <f aca="false">IF(A413="","",L412)</f>
        <v/>
      </c>
      <c r="O412" s="200" t="str">
        <f aca="false">IF(A413="","",L412+J412+G412)</f>
        <v/>
      </c>
      <c r="P412" s="200" t="str">
        <f aca="false">IF(A413="","",M412+K412+H412)</f>
        <v/>
      </c>
      <c r="R412" s="200" t="str">
        <f aca="false">IF($A413="","",VLOOKUP($A412,Table,MATCH(R$4,Curves,0)))</f>
        <v/>
      </c>
      <c r="S412" s="201" t="str">
        <f aca="false">IF(A413="","",R412)</f>
        <v/>
      </c>
      <c r="T412" s="200" t="str">
        <f aca="false">IF($A413="","",VLOOKUP($A412,Table,MATCH(T$4,Curves,0)))</f>
        <v/>
      </c>
      <c r="U412" s="201" t="str">
        <f aca="false">IF(A413="","",T412)</f>
        <v/>
      </c>
      <c r="V412" s="183" t="str">
        <f aca="false">IF($A413="","",IF(AND(MONTH(A412)&gt;3,MONTH(A412)&lt;11),(T412+R412+G412)*Summary!$T$7/(1-Summary!$T$7),(T412+R412+G412)*Summary!$U$7/(1-Summary!$U$7)))</f>
        <v/>
      </c>
      <c r="W412" s="200" t="str">
        <f aca="false">IF($A413="","",(T412+R412+G412+V412))</f>
        <v/>
      </c>
      <c r="X412" s="200" t="str">
        <f aca="false">IF($A413="","",(U412+S412+H412+V412))</f>
        <v/>
      </c>
      <c r="Y412" s="202"/>
      <c r="Z412" s="185"/>
      <c r="AJ412" s="77"/>
      <c r="AK412" s="77"/>
      <c r="AL412" s="77"/>
      <c r="AM412" s="77"/>
      <c r="AN412" s="77"/>
      <c r="AO412" s="137" t="str">
        <f aca="false">IF(A413="","",A413-A412)</f>
        <v/>
      </c>
      <c r="AP412" s="212" t="str">
        <f aca="false">IF(A413="","",CHOOSE(F$3,A413+24,A412))</f>
        <v/>
      </c>
      <c r="AQ412" s="209" t="str">
        <f aca="false">IF(A413="","",AP412-$E$1)</f>
        <v/>
      </c>
      <c r="AR412" s="185" t="n">
        <f aca="false">IF(Summary!$H$2=1,VLOOKUP('ANR OK vs ML7'!A412,Curves!$C$17:$AR$273,MATCH('ANR OK vs ML7'!$AR$4,Curves!$C$8:$AQ$8,0)),0.1)</f>
        <v>0.1</v>
      </c>
      <c r="AS412" s="213" t="str">
        <f aca="false">IF(A413="","",1/(1+CHOOSE(F$3,(AR413+($I$3/10000))/2,(AR412+($I$3/10000))/2))^(2*AQ412/365.25))</f>
        <v/>
      </c>
      <c r="AT412" s="137" t="str">
        <f aca="false">IF(A413="","",IF(AND(mthbeg&lt;=A412,mthend&gt;=A412),1,0))</f>
        <v/>
      </c>
      <c r="AU412" s="137" t="str">
        <f aca="false">IF(A413="","",AO412*AT412)</f>
        <v/>
      </c>
      <c r="AW412" s="195" t="str">
        <f aca="false">IF($A413="","",AL412*$E412)</f>
        <v/>
      </c>
      <c r="AX412" s="195" t="str">
        <f aca="false">IF($A413="","",AM412*$E412)</f>
        <v/>
      </c>
      <c r="AY412" s="195" t="str">
        <f aca="false">IF($A413="","",AN412*$E412)</f>
        <v/>
      </c>
      <c r="BA412" s="195" t="str">
        <f aca="false">IF($A413="","",F412*Summary!$Q$7)</f>
        <v/>
      </c>
    </row>
    <row r="413" customFormat="false" ht="12.75" hidden="false" customHeight="false" outlineLevel="0" collapsed="false">
      <c r="A413" s="196" t="str">
        <f aca="false">IF(A412&lt;mthend,EDATE(A412,1),"")</f>
        <v/>
      </c>
      <c r="B413" s="197" t="str">
        <f aca="false">IF(A413&lt;mthend,B412,"")</f>
        <v/>
      </c>
      <c r="D413" s="197" t="str">
        <f aca="false">IF(A414&lt;&gt;"",B413+C413,"")</f>
        <v/>
      </c>
      <c r="E413" s="199" t="str">
        <f aca="false">IF(A414="","",IF(AND(AT413=1,$H$3=1),D413*AO413,IF($H$3=2,D413,"N/A")))</f>
        <v/>
      </c>
      <c r="F413" s="199" t="str">
        <f aca="false">IF(A414="","",E413*AS413)</f>
        <v/>
      </c>
      <c r="G413" s="200" t="str">
        <f aca="false">IF($A414="","",VLOOKUP($A413,Table,MATCH(G$4,Curves,0)))</f>
        <v/>
      </c>
      <c r="H413" s="201" t="str">
        <f aca="false">IF(A414="","",G413)</f>
        <v/>
      </c>
      <c r="J413" s="200" t="str">
        <f aca="false">IF($A414="","",VLOOKUP($A413,Table,MATCH(J$4,Curves,0)))</f>
        <v/>
      </c>
      <c r="K413" s="201" t="str">
        <f aca="false">IF(A414="","",J413)</f>
        <v/>
      </c>
      <c r="L413" s="200" t="str">
        <f aca="false">IF($A414="","",VLOOKUP($A413,Table,MATCH(L$4,Curves,0)))</f>
        <v/>
      </c>
      <c r="M413" s="201" t="str">
        <f aca="false">IF(A414="","",L413)</f>
        <v/>
      </c>
      <c r="O413" s="200" t="str">
        <f aca="false">IF(A414="","",L413+J413+G413)</f>
        <v/>
      </c>
      <c r="P413" s="200" t="str">
        <f aca="false">IF(A414="","",M413+K413+H413)</f>
        <v/>
      </c>
      <c r="R413" s="200" t="str">
        <f aca="false">IF($A414="","",VLOOKUP($A413,Table,MATCH(R$4,Curves,0)))</f>
        <v/>
      </c>
      <c r="S413" s="201" t="str">
        <f aca="false">IF(A414="","",R413)</f>
        <v/>
      </c>
      <c r="T413" s="200" t="str">
        <f aca="false">IF($A414="","",VLOOKUP($A413,Table,MATCH(T$4,Curves,0)))</f>
        <v/>
      </c>
      <c r="U413" s="201" t="str">
        <f aca="false">IF(A414="","",T413)</f>
        <v/>
      </c>
      <c r="V413" s="183" t="str">
        <f aca="false">IF($A414="","",IF(AND(MONTH(A413)&gt;3,MONTH(A413)&lt;11),(T413+R413+G413)*Summary!$T$7/(1-Summary!$T$7),(T413+R413+G413)*Summary!$U$7/(1-Summary!$U$7)))</f>
        <v/>
      </c>
      <c r="W413" s="200" t="str">
        <f aca="false">IF($A414="","",(T413+R413+G413+V413))</f>
        <v/>
      </c>
      <c r="X413" s="200" t="str">
        <f aca="false">IF($A414="","",(U413+S413+H413+V413))</f>
        <v/>
      </c>
      <c r="Y413" s="202"/>
      <c r="Z413" s="185"/>
      <c r="AJ413" s="77"/>
      <c r="AK413" s="77"/>
      <c r="AL413" s="77"/>
      <c r="AM413" s="77"/>
      <c r="AN413" s="77"/>
      <c r="AO413" s="137" t="str">
        <f aca="false">IF(A414="","",A414-A413)</f>
        <v/>
      </c>
      <c r="AP413" s="212" t="str">
        <f aca="false">IF(A414="","",CHOOSE(F$3,A414+24,A413))</f>
        <v/>
      </c>
      <c r="AQ413" s="209" t="str">
        <f aca="false">IF(A414="","",AP413-$E$1)</f>
        <v/>
      </c>
      <c r="AR413" s="185" t="n">
        <f aca="false">IF(Summary!$H$2=1,VLOOKUP('ANR OK vs ML7'!A413,Curves!$C$17:$AR$273,MATCH('ANR OK vs ML7'!$AR$4,Curves!$C$8:$AQ$8,0)),0.1)</f>
        <v>0.1</v>
      </c>
      <c r="AS413" s="213" t="str">
        <f aca="false">IF(A414="","",1/(1+CHOOSE(F$3,(AR414+($I$3/10000))/2,(AR413+($I$3/10000))/2))^(2*AQ413/365.25))</f>
        <v/>
      </c>
      <c r="AT413" s="137" t="str">
        <f aca="false">IF(A414="","",IF(AND(mthbeg&lt;=A413,mthend&gt;=A413),1,0))</f>
        <v/>
      </c>
      <c r="AU413" s="137" t="str">
        <f aca="false">IF(A414="","",AO413*AT413)</f>
        <v/>
      </c>
      <c r="AW413" s="195" t="str">
        <f aca="false">IF($A414="","",AL413*$E413)</f>
        <v/>
      </c>
      <c r="AX413" s="195" t="str">
        <f aca="false">IF($A414="","",AM413*$E413)</f>
        <v/>
      </c>
      <c r="AY413" s="195" t="str">
        <f aca="false">IF($A414="","",AN413*$E413)</f>
        <v/>
      </c>
      <c r="BA413" s="195" t="str">
        <f aca="false">IF($A414="","",F413*Summary!$Q$7)</f>
        <v/>
      </c>
    </row>
    <row r="414" customFormat="false" ht="12.75" hidden="false" customHeight="false" outlineLevel="0" collapsed="false">
      <c r="A414" s="196" t="str">
        <f aca="false">IF(A413&lt;mthend,EDATE(A413,1),"")</f>
        <v/>
      </c>
      <c r="B414" s="197" t="str">
        <f aca="false">IF(A414&lt;mthend,B413,"")</f>
        <v/>
      </c>
      <c r="D414" s="197" t="str">
        <f aca="false">IF(A415&lt;&gt;"",B414+C414,"")</f>
        <v/>
      </c>
      <c r="E414" s="199" t="str">
        <f aca="false">IF(A415="","",IF(AND(AT414=1,$H$3=1),D414*AO414,IF($H$3=2,D414,"N/A")))</f>
        <v/>
      </c>
      <c r="F414" s="199" t="str">
        <f aca="false">IF(A415="","",E414*AS414)</f>
        <v/>
      </c>
      <c r="G414" s="200" t="str">
        <f aca="false">IF($A415="","",VLOOKUP($A414,Table,MATCH(G$4,Curves,0)))</f>
        <v/>
      </c>
      <c r="H414" s="201" t="str">
        <f aca="false">IF(A415="","",G414)</f>
        <v/>
      </c>
      <c r="J414" s="200" t="str">
        <f aca="false">IF($A415="","",VLOOKUP($A414,Table,MATCH(J$4,Curves,0)))</f>
        <v/>
      </c>
      <c r="K414" s="201" t="str">
        <f aca="false">IF(A415="","",J414)</f>
        <v/>
      </c>
      <c r="L414" s="200" t="str">
        <f aca="false">IF($A415="","",VLOOKUP($A414,Table,MATCH(L$4,Curves,0)))</f>
        <v/>
      </c>
      <c r="M414" s="201" t="str">
        <f aca="false">IF(A415="","",L414)</f>
        <v/>
      </c>
      <c r="O414" s="200" t="str">
        <f aca="false">IF(A415="","",L414+J414+G414)</f>
        <v/>
      </c>
      <c r="P414" s="200" t="str">
        <f aca="false">IF(A415="","",M414+K414+H414)</f>
        <v/>
      </c>
      <c r="R414" s="200" t="str">
        <f aca="false">IF($A415="","",VLOOKUP($A414,Table,MATCH(R$4,Curves,0)))</f>
        <v/>
      </c>
      <c r="S414" s="201" t="str">
        <f aca="false">IF(A415="","",R414)</f>
        <v/>
      </c>
      <c r="T414" s="200" t="str">
        <f aca="false">IF($A415="","",VLOOKUP($A414,Table,MATCH(T$4,Curves,0)))</f>
        <v/>
      </c>
      <c r="U414" s="201" t="str">
        <f aca="false">IF(A415="","",T414)</f>
        <v/>
      </c>
      <c r="V414" s="183" t="str">
        <f aca="false">IF($A415="","",IF(AND(MONTH(A414)&gt;3,MONTH(A414)&lt;11),(T414+R414+G414)*Summary!$T$7/(1-Summary!$T$7),(T414+R414+G414)*Summary!$U$7/(1-Summary!$U$7)))</f>
        <v/>
      </c>
      <c r="W414" s="200" t="str">
        <f aca="false">IF($A415="","",(T414+R414+G414+V414))</f>
        <v/>
      </c>
      <c r="X414" s="200" t="str">
        <f aca="false">IF($A415="","",(U414+S414+H414+V414))</f>
        <v/>
      </c>
      <c r="Y414" s="202"/>
      <c r="Z414" s="185"/>
      <c r="AJ414" s="77"/>
      <c r="AK414" s="77"/>
      <c r="AL414" s="77"/>
      <c r="AM414" s="77"/>
      <c r="AN414" s="77"/>
      <c r="AO414" s="137" t="str">
        <f aca="false">IF(A415="","",A415-A414)</f>
        <v/>
      </c>
      <c r="AP414" s="212" t="str">
        <f aca="false">IF(A415="","",CHOOSE(F$3,A415+24,A414))</f>
        <v/>
      </c>
      <c r="AQ414" s="209" t="str">
        <f aca="false">IF(A415="","",AP414-$E$1)</f>
        <v/>
      </c>
      <c r="AR414" s="185" t="n">
        <f aca="false">IF(Summary!$H$2=1,VLOOKUP('ANR OK vs ML7'!A414,Curves!$C$17:$AR$273,MATCH('ANR OK vs ML7'!$AR$4,Curves!$C$8:$AQ$8,0)),0.1)</f>
        <v>0.1</v>
      </c>
      <c r="AS414" s="213" t="str">
        <f aca="false">IF(A415="","",1/(1+CHOOSE(F$3,(AR415+($I$3/10000))/2,(AR414+($I$3/10000))/2))^(2*AQ414/365.25))</f>
        <v/>
      </c>
      <c r="AT414" s="137" t="str">
        <f aca="false">IF(A415="","",IF(AND(mthbeg&lt;=A414,mthend&gt;=A414),1,0))</f>
        <v/>
      </c>
      <c r="AU414" s="137" t="str">
        <f aca="false">IF(A415="","",AO414*AT414)</f>
        <v/>
      </c>
      <c r="AW414" s="195" t="str">
        <f aca="false">IF($A415="","",AL414*$E414)</f>
        <v/>
      </c>
      <c r="AX414" s="195" t="str">
        <f aca="false">IF($A415="","",AM414*$E414)</f>
        <v/>
      </c>
      <c r="AY414" s="195" t="str">
        <f aca="false">IF($A415="","",AN414*$E414)</f>
        <v/>
      </c>
      <c r="BA414" s="195" t="str">
        <f aca="false">IF($A415="","",F414*Summary!$Q$7)</f>
        <v/>
      </c>
    </row>
    <row r="415" customFormat="false" ht="12.75" hidden="false" customHeight="false" outlineLevel="0" collapsed="false">
      <c r="A415" s="196" t="str">
        <f aca="false">IF(A414&lt;mthend,EDATE(A414,1),"")</f>
        <v/>
      </c>
      <c r="B415" s="197" t="str">
        <f aca="false">IF(A415&lt;mthend,B414,"")</f>
        <v/>
      </c>
      <c r="D415" s="197" t="str">
        <f aca="false">IF(A416&lt;&gt;"",B415+C415,"")</f>
        <v/>
      </c>
      <c r="E415" s="199" t="str">
        <f aca="false">IF(A416="","",IF(AND(AT415=1,$H$3=1),D415*AO415,IF($H$3=2,D415,"N/A")))</f>
        <v/>
      </c>
      <c r="F415" s="199" t="str">
        <f aca="false">IF(A416="","",E415*AS415)</f>
        <v/>
      </c>
      <c r="G415" s="200" t="str">
        <f aca="false">IF($A416="","",VLOOKUP($A415,Table,MATCH(G$4,Curves,0)))</f>
        <v/>
      </c>
      <c r="H415" s="201" t="str">
        <f aca="false">IF(A416="","",G415)</f>
        <v/>
      </c>
      <c r="J415" s="200" t="str">
        <f aca="false">IF($A416="","",VLOOKUP($A415,Table,MATCH(J$4,Curves,0)))</f>
        <v/>
      </c>
      <c r="K415" s="201" t="str">
        <f aca="false">IF(A416="","",J415)</f>
        <v/>
      </c>
      <c r="L415" s="200" t="str">
        <f aca="false">IF($A416="","",VLOOKUP($A415,Table,MATCH(L$4,Curves,0)))</f>
        <v/>
      </c>
      <c r="M415" s="201" t="str">
        <f aca="false">IF(A416="","",L415)</f>
        <v/>
      </c>
      <c r="O415" s="200" t="str">
        <f aca="false">IF(A416="","",L415+J415+G415)</f>
        <v/>
      </c>
      <c r="P415" s="200" t="str">
        <f aca="false">IF(A416="","",M415+K415+H415)</f>
        <v/>
      </c>
      <c r="R415" s="200" t="str">
        <f aca="false">IF($A416="","",VLOOKUP($A415,Table,MATCH(R$4,Curves,0)))</f>
        <v/>
      </c>
      <c r="S415" s="201" t="str">
        <f aca="false">IF(A416="","",R415)</f>
        <v/>
      </c>
      <c r="T415" s="200" t="str">
        <f aca="false">IF($A416="","",VLOOKUP($A415,Table,MATCH(T$4,Curves,0)))</f>
        <v/>
      </c>
      <c r="U415" s="201" t="str">
        <f aca="false">IF(A416="","",T415)</f>
        <v/>
      </c>
      <c r="V415" s="183" t="str">
        <f aca="false">IF($A416="","",IF(AND(MONTH(A415)&gt;3,MONTH(A415)&lt;11),(T415+R415+G415)*Summary!$T$7/(1-Summary!$T$7),(T415+R415+G415)*Summary!$U$7/(1-Summary!$U$7)))</f>
        <v/>
      </c>
      <c r="W415" s="200" t="str">
        <f aca="false">IF($A416="","",(T415+R415+G415+V415))</f>
        <v/>
      </c>
      <c r="X415" s="200" t="str">
        <f aca="false">IF($A416="","",(U415+S415+H415+V415))</f>
        <v/>
      </c>
      <c r="Y415" s="202"/>
      <c r="Z415" s="185"/>
      <c r="AJ415" s="77"/>
      <c r="AK415" s="77"/>
      <c r="AL415" s="77"/>
      <c r="AM415" s="77"/>
      <c r="AN415" s="77"/>
      <c r="AO415" s="137" t="str">
        <f aca="false">IF(A416="","",A416-A415)</f>
        <v/>
      </c>
      <c r="AP415" s="212" t="str">
        <f aca="false">IF(A416="","",CHOOSE(F$3,A416+24,A415))</f>
        <v/>
      </c>
      <c r="AQ415" s="209" t="str">
        <f aca="false">IF(A416="","",AP415-$E$1)</f>
        <v/>
      </c>
      <c r="AR415" s="185" t="n">
        <f aca="false">IF(Summary!$H$2=1,VLOOKUP('ANR OK vs ML7'!A415,Curves!$C$17:$AR$273,MATCH('ANR OK vs ML7'!$AR$4,Curves!$C$8:$AQ$8,0)),0.1)</f>
        <v>0.1</v>
      </c>
      <c r="AS415" s="213" t="str">
        <f aca="false">IF(A416="","",1/(1+CHOOSE(F$3,(AR416+($I$3/10000))/2,(AR415+($I$3/10000))/2))^(2*AQ415/365.25))</f>
        <v/>
      </c>
      <c r="AT415" s="137" t="str">
        <f aca="false">IF(A416="","",IF(AND(mthbeg&lt;=A415,mthend&gt;=A415),1,0))</f>
        <v/>
      </c>
      <c r="AU415" s="137" t="str">
        <f aca="false">IF(A416="","",AO415*AT415)</f>
        <v/>
      </c>
      <c r="AW415" s="195" t="str">
        <f aca="false">IF($A416="","",AL415*$E415)</f>
        <v/>
      </c>
      <c r="AX415" s="195" t="str">
        <f aca="false">IF($A416="","",AM415*$E415)</f>
        <v/>
      </c>
      <c r="AY415" s="195" t="str">
        <f aca="false">IF($A416="","",AN415*$E415)</f>
        <v/>
      </c>
      <c r="BA415" s="195" t="str">
        <f aca="false">IF($A416="","",F415*Summary!$Q$7)</f>
        <v/>
      </c>
    </row>
    <row r="416" customFormat="false" ht="12.75" hidden="false" customHeight="false" outlineLevel="0" collapsed="false">
      <c r="A416" s="196" t="str">
        <f aca="false">IF(A415&lt;mthend,EDATE(A415,1),"")</f>
        <v/>
      </c>
      <c r="B416" s="197" t="str">
        <f aca="false">IF(A416&lt;mthend,B415,"")</f>
        <v/>
      </c>
      <c r="D416" s="197" t="str">
        <f aca="false">IF(A417&lt;&gt;"",B416+C416,"")</f>
        <v/>
      </c>
      <c r="E416" s="199" t="str">
        <f aca="false">IF(A417="","",IF(AND(AT416=1,$H$3=1),D416*AO416,IF($H$3=2,D416,"N/A")))</f>
        <v/>
      </c>
      <c r="F416" s="199" t="str">
        <f aca="false">IF(A417="","",E416*AS416)</f>
        <v/>
      </c>
      <c r="G416" s="200" t="str">
        <f aca="false">IF($A417="","",VLOOKUP($A416,Table,MATCH(G$4,Curves,0)))</f>
        <v/>
      </c>
      <c r="H416" s="201" t="str">
        <f aca="false">IF(A417="","",G416)</f>
        <v/>
      </c>
      <c r="J416" s="200" t="str">
        <f aca="false">IF($A417="","",VLOOKUP($A416,Table,MATCH(J$4,Curves,0)))</f>
        <v/>
      </c>
      <c r="K416" s="201" t="str">
        <f aca="false">IF(A417="","",J416)</f>
        <v/>
      </c>
      <c r="L416" s="200" t="str">
        <f aca="false">IF($A417="","",VLOOKUP($A416,Table,MATCH(L$4,Curves,0)))</f>
        <v/>
      </c>
      <c r="M416" s="201" t="str">
        <f aca="false">IF(A417="","",L416)</f>
        <v/>
      </c>
      <c r="O416" s="200" t="str">
        <f aca="false">IF(A417="","",L416+J416+G416)</f>
        <v/>
      </c>
      <c r="P416" s="200" t="str">
        <f aca="false">IF(A417="","",M416+K416+H416)</f>
        <v/>
      </c>
      <c r="R416" s="200" t="str">
        <f aca="false">IF($A417="","",VLOOKUP($A416,Table,MATCH(R$4,Curves,0)))</f>
        <v/>
      </c>
      <c r="S416" s="201" t="str">
        <f aca="false">IF(A417="","",R416)</f>
        <v/>
      </c>
      <c r="T416" s="200" t="str">
        <f aca="false">IF($A417="","",VLOOKUP($A416,Table,MATCH(T$4,Curves,0)))</f>
        <v/>
      </c>
      <c r="U416" s="201" t="str">
        <f aca="false">IF(A417="","",T416)</f>
        <v/>
      </c>
      <c r="V416" s="183" t="str">
        <f aca="false">IF($A417="","",IF(AND(MONTH(A416)&gt;3,MONTH(A416)&lt;11),(T416+R416+G416)*Summary!$T$7/(1-Summary!$T$7),(T416+R416+G416)*Summary!$U$7/(1-Summary!$U$7)))</f>
        <v/>
      </c>
      <c r="W416" s="200" t="str">
        <f aca="false">IF($A417="","",(T416+R416+G416+V416))</f>
        <v/>
      </c>
      <c r="X416" s="200" t="str">
        <f aca="false">IF($A417="","",(U416+S416+H416+V416))</f>
        <v/>
      </c>
      <c r="Y416" s="202"/>
      <c r="Z416" s="185"/>
      <c r="AJ416" s="77"/>
      <c r="AK416" s="77"/>
      <c r="AL416" s="77"/>
      <c r="AM416" s="77"/>
      <c r="AN416" s="77"/>
      <c r="AO416" s="137" t="str">
        <f aca="false">IF(A417="","",A417-A416)</f>
        <v/>
      </c>
      <c r="AP416" s="212" t="str">
        <f aca="false">IF(A417="","",CHOOSE(F$3,A417+24,A416))</f>
        <v/>
      </c>
      <c r="AQ416" s="209" t="str">
        <f aca="false">IF(A417="","",AP416-$E$1)</f>
        <v/>
      </c>
      <c r="AR416" s="185" t="n">
        <f aca="false">IF(Summary!$H$2=1,VLOOKUP('ANR OK vs ML7'!A416,Curves!$C$17:$AR$273,MATCH('ANR OK vs ML7'!$AR$4,Curves!$C$8:$AQ$8,0)),0.1)</f>
        <v>0.1</v>
      </c>
      <c r="AS416" s="213" t="str">
        <f aca="false">IF(A417="","",1/(1+CHOOSE(F$3,(AR417+($I$3/10000))/2,(AR416+($I$3/10000))/2))^(2*AQ416/365.25))</f>
        <v/>
      </c>
      <c r="AT416" s="137" t="str">
        <f aca="false">IF(A417="","",IF(AND(mthbeg&lt;=A416,mthend&gt;=A416),1,0))</f>
        <v/>
      </c>
      <c r="AU416" s="137" t="str">
        <f aca="false">IF(A417="","",AO416*AT416)</f>
        <v/>
      </c>
      <c r="AW416" s="195" t="str">
        <f aca="false">IF($A417="","",AL416*$E416)</f>
        <v/>
      </c>
      <c r="AX416" s="195" t="str">
        <f aca="false">IF($A417="","",AM416*$E416)</f>
        <v/>
      </c>
      <c r="AY416" s="195" t="str">
        <f aca="false">IF($A417="","",AN416*$E416)</f>
        <v/>
      </c>
      <c r="BA416" s="195" t="str">
        <f aca="false">IF($A417="","",F416*Summary!$Q$7)</f>
        <v/>
      </c>
    </row>
    <row r="417" customFormat="false" ht="12.75" hidden="false" customHeight="false" outlineLevel="0" collapsed="false">
      <c r="A417" s="196" t="str">
        <f aca="false">IF(A416&lt;mthend,EDATE(A416,1),"")</f>
        <v/>
      </c>
      <c r="B417" s="197" t="str">
        <f aca="false">IF(A417&lt;mthend,B416,"")</f>
        <v/>
      </c>
      <c r="D417" s="197" t="str">
        <f aca="false">IF(A418&lt;&gt;"",B417+C417,"")</f>
        <v/>
      </c>
      <c r="E417" s="199" t="str">
        <f aca="false">IF(A418="","",IF(AND(AT417=1,$H$3=1),D417*AO417,IF($H$3=2,D417,"N/A")))</f>
        <v/>
      </c>
      <c r="F417" s="199" t="str">
        <f aca="false">IF(A418="","",E417*AS417)</f>
        <v/>
      </c>
      <c r="G417" s="200" t="str">
        <f aca="false">IF($A418="","",VLOOKUP($A417,Table,MATCH(G$4,Curves,0)))</f>
        <v/>
      </c>
      <c r="H417" s="201" t="str">
        <f aca="false">IF(A418="","",G417)</f>
        <v/>
      </c>
      <c r="J417" s="200" t="str">
        <f aca="false">IF($A418="","",VLOOKUP($A417,Table,MATCH(J$4,Curves,0)))</f>
        <v/>
      </c>
      <c r="K417" s="201" t="str">
        <f aca="false">IF(A418="","",J417)</f>
        <v/>
      </c>
      <c r="L417" s="200" t="str">
        <f aca="false">IF($A418="","",VLOOKUP($A417,Table,MATCH(L$4,Curves,0)))</f>
        <v/>
      </c>
      <c r="M417" s="201" t="str">
        <f aca="false">IF(A418="","",L417)</f>
        <v/>
      </c>
      <c r="O417" s="200" t="str">
        <f aca="false">IF(A418="","",L417+J417+G417)</f>
        <v/>
      </c>
      <c r="P417" s="200" t="str">
        <f aca="false">IF(A418="","",M417+K417+H417)</f>
        <v/>
      </c>
      <c r="R417" s="200" t="str">
        <f aca="false">IF($A418="","",VLOOKUP($A417,Table,MATCH(R$4,Curves,0)))</f>
        <v/>
      </c>
      <c r="S417" s="201" t="str">
        <f aca="false">IF(A418="","",R417)</f>
        <v/>
      </c>
      <c r="T417" s="200" t="str">
        <f aca="false">IF($A418="","",VLOOKUP($A417,Table,MATCH(T$4,Curves,0)))</f>
        <v/>
      </c>
      <c r="U417" s="201" t="str">
        <f aca="false">IF(A418="","",T417)</f>
        <v/>
      </c>
      <c r="V417" s="183" t="str">
        <f aca="false">IF($A418="","",IF(AND(MONTH(A417)&gt;3,MONTH(A417)&lt;11),(T417+R417+G417)*Summary!$T$7/(1-Summary!$T$7),(T417+R417+G417)*Summary!$U$7/(1-Summary!$U$7)))</f>
        <v/>
      </c>
      <c r="W417" s="200" t="str">
        <f aca="false">IF($A418="","",(T417+R417+G417+V417))</f>
        <v/>
      </c>
      <c r="X417" s="200" t="str">
        <f aca="false">IF($A418="","",(U417+S417+H417+V417))</f>
        <v/>
      </c>
      <c r="Y417" s="202"/>
      <c r="Z417" s="185"/>
      <c r="AJ417" s="77"/>
      <c r="AK417" s="77"/>
      <c r="AL417" s="77"/>
      <c r="AM417" s="77"/>
      <c r="AN417" s="77"/>
      <c r="AO417" s="137" t="str">
        <f aca="false">IF(A418="","",A418-A417)</f>
        <v/>
      </c>
      <c r="AP417" s="212" t="str">
        <f aca="false">IF(A418="","",CHOOSE(F$3,A418+24,A417))</f>
        <v/>
      </c>
      <c r="AQ417" s="209" t="str">
        <f aca="false">IF(A418="","",AP417-$E$1)</f>
        <v/>
      </c>
      <c r="AR417" s="185" t="n">
        <f aca="false">IF(Summary!$H$2=1,VLOOKUP('ANR OK vs ML7'!A417,Curves!$C$17:$AR$273,MATCH('ANR OK vs ML7'!$AR$4,Curves!$C$8:$AQ$8,0)),0.1)</f>
        <v>0.1</v>
      </c>
      <c r="AS417" s="213" t="str">
        <f aca="false">IF(A418="","",1/(1+CHOOSE(F$3,(AR418+($I$3/10000))/2,(AR417+($I$3/10000))/2))^(2*AQ417/365.25))</f>
        <v/>
      </c>
      <c r="AT417" s="137" t="str">
        <f aca="false">IF(A418="","",IF(AND(mthbeg&lt;=A417,mthend&gt;=A417),1,0))</f>
        <v/>
      </c>
      <c r="AU417" s="137" t="str">
        <f aca="false">IF(A418="","",AO417*AT417)</f>
        <v/>
      </c>
      <c r="AW417" s="195" t="str">
        <f aca="false">IF($A418="","",AL417*$E417)</f>
        <v/>
      </c>
      <c r="AX417" s="195" t="str">
        <f aca="false">IF($A418="","",AM417*$E417)</f>
        <v/>
      </c>
      <c r="AY417" s="195" t="str">
        <f aca="false">IF($A418="","",AN417*$E417)</f>
        <v/>
      </c>
      <c r="BA417" s="195" t="str">
        <f aca="false">IF($A418="","",F417*Summary!$Q$7)</f>
        <v/>
      </c>
    </row>
    <row r="418" customFormat="false" ht="12.75" hidden="false" customHeight="false" outlineLevel="0" collapsed="false">
      <c r="A418" s="196" t="str">
        <f aca="false">IF(A417&lt;mthend,EDATE(A417,1),"")</f>
        <v/>
      </c>
      <c r="B418" s="197" t="str">
        <f aca="false">IF(A418&lt;mthend,B417,"")</f>
        <v/>
      </c>
      <c r="D418" s="197" t="str">
        <f aca="false">IF(A419&lt;&gt;"",B418+C418,"")</f>
        <v/>
      </c>
      <c r="E418" s="199" t="str">
        <f aca="false">IF(A419="","",IF(AND(AT418=1,$H$3=1),D418*AO418,IF($H$3=2,D418,"N/A")))</f>
        <v/>
      </c>
      <c r="F418" s="199" t="str">
        <f aca="false">IF(A419="","",E418*AS418)</f>
        <v/>
      </c>
      <c r="G418" s="200" t="str">
        <f aca="false">IF($A419="","",VLOOKUP($A418,Table,MATCH(G$4,Curves,0)))</f>
        <v/>
      </c>
      <c r="H418" s="201" t="str">
        <f aca="false">IF(A419="","",G418)</f>
        <v/>
      </c>
      <c r="J418" s="200" t="str">
        <f aca="false">IF($A419="","",VLOOKUP($A418,Table,MATCH(J$4,Curves,0)))</f>
        <v/>
      </c>
      <c r="K418" s="201" t="str">
        <f aca="false">IF(A419="","",J418)</f>
        <v/>
      </c>
      <c r="L418" s="200" t="str">
        <f aca="false">IF($A419="","",VLOOKUP($A418,Table,MATCH(L$4,Curves,0)))</f>
        <v/>
      </c>
      <c r="M418" s="201" t="str">
        <f aca="false">IF(A419="","",L418)</f>
        <v/>
      </c>
      <c r="O418" s="200" t="str">
        <f aca="false">IF(A419="","",L418+J418+G418)</f>
        <v/>
      </c>
      <c r="P418" s="200" t="str">
        <f aca="false">IF(A419="","",M418+K418+H418)</f>
        <v/>
      </c>
      <c r="R418" s="200" t="str">
        <f aca="false">IF($A419="","",VLOOKUP($A418,Table,MATCH(R$4,Curves,0)))</f>
        <v/>
      </c>
      <c r="S418" s="201" t="str">
        <f aca="false">IF(A419="","",R418)</f>
        <v/>
      </c>
      <c r="T418" s="200" t="str">
        <f aca="false">IF($A419="","",VLOOKUP($A418,Table,MATCH(T$4,Curves,0)))</f>
        <v/>
      </c>
      <c r="U418" s="201" t="str">
        <f aca="false">IF(A419="","",T418)</f>
        <v/>
      </c>
      <c r="V418" s="183" t="str">
        <f aca="false">IF($A419="","",IF(AND(MONTH(A418)&gt;3,MONTH(A418)&lt;11),(T418+R418+G418)*Summary!$T$7/(1-Summary!$T$7),(T418+R418+G418)*Summary!$U$7/(1-Summary!$U$7)))</f>
        <v/>
      </c>
      <c r="W418" s="200" t="str">
        <f aca="false">IF($A419="","",(T418+R418+G418+V418))</f>
        <v/>
      </c>
      <c r="X418" s="200" t="str">
        <f aca="false">IF($A419="","",(U418+S418+H418+V418))</f>
        <v/>
      </c>
      <c r="Y418" s="202"/>
      <c r="Z418" s="185"/>
      <c r="AJ418" s="77"/>
      <c r="AK418" s="77"/>
      <c r="AL418" s="77"/>
      <c r="AM418" s="77"/>
      <c r="AN418" s="77"/>
      <c r="AO418" s="137" t="str">
        <f aca="false">IF(A419="","",A419-A418)</f>
        <v/>
      </c>
      <c r="AP418" s="212" t="str">
        <f aca="false">IF(A419="","",CHOOSE(F$3,A419+24,A418))</f>
        <v/>
      </c>
      <c r="AQ418" s="209" t="str">
        <f aca="false">IF(A419="","",AP418-$E$1)</f>
        <v/>
      </c>
      <c r="AR418" s="185" t="n">
        <f aca="false">IF(Summary!$H$2=1,VLOOKUP('ANR OK vs ML7'!A418,Curves!$C$17:$AR$273,MATCH('ANR OK vs ML7'!$AR$4,Curves!$C$8:$AQ$8,0)),0.1)</f>
        <v>0.1</v>
      </c>
      <c r="AS418" s="213" t="str">
        <f aca="false">IF(A419="","",1/(1+CHOOSE(F$3,(AR419+($I$3/10000))/2,(AR418+($I$3/10000))/2))^(2*AQ418/365.25))</f>
        <v/>
      </c>
      <c r="AT418" s="137" t="str">
        <f aca="false">IF(A419="","",IF(AND(mthbeg&lt;=A418,mthend&gt;=A418),1,0))</f>
        <v/>
      </c>
      <c r="AU418" s="137" t="str">
        <f aca="false">IF(A419="","",AO418*AT418)</f>
        <v/>
      </c>
      <c r="AW418" s="195" t="str">
        <f aca="false">IF($A419="","",AL418*$E418)</f>
        <v/>
      </c>
      <c r="AX418" s="195" t="str">
        <f aca="false">IF($A419="","",AM418*$E418)</f>
        <v/>
      </c>
      <c r="AY418" s="195" t="str">
        <f aca="false">IF($A419="","",AN418*$E418)</f>
        <v/>
      </c>
      <c r="BA418" s="195" t="str">
        <f aca="false">IF($A419="","",F418*Summary!$Q$7)</f>
        <v/>
      </c>
    </row>
    <row r="419" customFormat="false" ht="12.75" hidden="false" customHeight="false" outlineLevel="0" collapsed="false">
      <c r="A419" s="196" t="str">
        <f aca="false">IF(A418&lt;mthend,EDATE(A418,1),"")</f>
        <v/>
      </c>
      <c r="B419" s="197" t="str">
        <f aca="false">IF(A419&lt;mthend,B418,"")</f>
        <v/>
      </c>
      <c r="D419" s="197" t="str">
        <f aca="false">IF(A420&lt;&gt;"",B419+C419,"")</f>
        <v/>
      </c>
      <c r="E419" s="199" t="str">
        <f aca="false">IF(A420="","",IF(AND(AT419=1,$H$3=1),D419*AO419,IF($H$3=2,D419,"N/A")))</f>
        <v/>
      </c>
      <c r="F419" s="199" t="str">
        <f aca="false">IF(A420="","",E419*AS419)</f>
        <v/>
      </c>
      <c r="G419" s="200" t="str">
        <f aca="false">IF($A420="","",VLOOKUP($A419,Table,MATCH(G$4,Curves,0)))</f>
        <v/>
      </c>
      <c r="H419" s="201" t="str">
        <f aca="false">IF(A420="","",G419)</f>
        <v/>
      </c>
      <c r="J419" s="200" t="str">
        <f aca="false">IF($A420="","",VLOOKUP($A419,Table,MATCH(J$4,Curves,0)))</f>
        <v/>
      </c>
      <c r="K419" s="201" t="str">
        <f aca="false">IF(A420="","",J419)</f>
        <v/>
      </c>
      <c r="L419" s="200" t="str">
        <f aca="false">IF($A420="","",VLOOKUP($A419,Table,MATCH(L$4,Curves,0)))</f>
        <v/>
      </c>
      <c r="M419" s="201" t="str">
        <f aca="false">IF(A420="","",L419)</f>
        <v/>
      </c>
      <c r="O419" s="200" t="str">
        <f aca="false">IF(A420="","",L419+J419+G419)</f>
        <v/>
      </c>
      <c r="P419" s="200" t="str">
        <f aca="false">IF(A420="","",M419+K419+H419)</f>
        <v/>
      </c>
      <c r="R419" s="200" t="str">
        <f aca="false">IF($A420="","",VLOOKUP($A419,Table,MATCH(R$4,Curves,0)))</f>
        <v/>
      </c>
      <c r="S419" s="201" t="str">
        <f aca="false">IF(A420="","",R419)</f>
        <v/>
      </c>
      <c r="T419" s="200" t="str">
        <f aca="false">IF($A420="","",VLOOKUP($A419,Table,MATCH(T$4,Curves,0)))</f>
        <v/>
      </c>
      <c r="U419" s="201" t="str">
        <f aca="false">IF(A420="","",T419)</f>
        <v/>
      </c>
      <c r="V419" s="183" t="str">
        <f aca="false">IF($A420="","",IF(AND(MONTH(A419)&gt;3,MONTH(A419)&lt;11),(T419+R419+G419)*Summary!$T$7/(1-Summary!$T$7),(T419+R419+G419)*Summary!$U$7/(1-Summary!$U$7)))</f>
        <v/>
      </c>
      <c r="W419" s="200" t="str">
        <f aca="false">IF($A420="","",(T419+R419+G419+V419))</f>
        <v/>
      </c>
      <c r="X419" s="200" t="str">
        <f aca="false">IF($A420="","",(U419+S419+H419+V419))</f>
        <v/>
      </c>
      <c r="Y419" s="202"/>
      <c r="Z419" s="185"/>
      <c r="AJ419" s="77"/>
      <c r="AK419" s="77"/>
      <c r="AL419" s="77"/>
      <c r="AM419" s="77"/>
      <c r="AN419" s="77"/>
      <c r="AO419" s="137" t="str">
        <f aca="false">IF(A420="","",A420-A419)</f>
        <v/>
      </c>
      <c r="AP419" s="212" t="str">
        <f aca="false">IF(A420="","",CHOOSE(F$3,A420+24,A419))</f>
        <v/>
      </c>
      <c r="AQ419" s="209" t="str">
        <f aca="false">IF(A420="","",AP419-$E$1)</f>
        <v/>
      </c>
      <c r="AR419" s="185" t="n">
        <f aca="false">IF(Summary!$H$2=1,VLOOKUP('ANR OK vs ML7'!A419,Curves!$C$17:$AR$273,MATCH('ANR OK vs ML7'!$AR$4,Curves!$C$8:$AQ$8,0)),0.1)</f>
        <v>0.1</v>
      </c>
      <c r="AS419" s="213" t="str">
        <f aca="false">IF(A420="","",1/(1+CHOOSE(F$3,(AR420+($I$3/10000))/2,(AR419+($I$3/10000))/2))^(2*AQ419/365.25))</f>
        <v/>
      </c>
      <c r="AT419" s="137" t="str">
        <f aca="false">IF(A420="","",IF(AND(mthbeg&lt;=A419,mthend&gt;=A419),1,0))</f>
        <v/>
      </c>
      <c r="AU419" s="137" t="str">
        <f aca="false">IF(A420="","",AO419*AT419)</f>
        <v/>
      </c>
      <c r="AW419" s="195" t="str">
        <f aca="false">IF($A420="","",AL419*$E419)</f>
        <v/>
      </c>
      <c r="AX419" s="195" t="str">
        <f aca="false">IF($A420="","",AM419*$E419)</f>
        <v/>
      </c>
      <c r="AY419" s="195" t="str">
        <f aca="false">IF($A420="","",AN419*$E419)</f>
        <v/>
      </c>
      <c r="BA419" s="195" t="str">
        <f aca="false">IF($A420="","",F419*Summary!$Q$7)</f>
        <v/>
      </c>
    </row>
    <row r="420" customFormat="false" ht="12.75" hidden="false" customHeight="false" outlineLevel="0" collapsed="false">
      <c r="A420" s="196" t="str">
        <f aca="false">IF(A419&lt;mthend,EDATE(A419,1),"")</f>
        <v/>
      </c>
      <c r="B420" s="197" t="str">
        <f aca="false">IF(A420&lt;mthend,B419,"")</f>
        <v/>
      </c>
      <c r="D420" s="197" t="str">
        <f aca="false">IF(A421&lt;&gt;"",B420+C420,"")</f>
        <v/>
      </c>
      <c r="E420" s="199" t="str">
        <f aca="false">IF(A421="","",IF(AND(AT420=1,$H$3=1),D420*AO420,IF($H$3=2,D420,"N/A")))</f>
        <v/>
      </c>
      <c r="F420" s="199" t="str">
        <f aca="false">IF(A421="","",E420*AS420)</f>
        <v/>
      </c>
      <c r="G420" s="200" t="str">
        <f aca="false">IF($A421="","",VLOOKUP($A420,Table,MATCH(G$4,Curves,0)))</f>
        <v/>
      </c>
      <c r="H420" s="201" t="str">
        <f aca="false">IF(A421="","",G420)</f>
        <v/>
      </c>
      <c r="J420" s="200" t="str">
        <f aca="false">IF($A421="","",VLOOKUP($A420,Table,MATCH(J$4,Curves,0)))</f>
        <v/>
      </c>
      <c r="K420" s="201" t="str">
        <f aca="false">IF(A421="","",J420)</f>
        <v/>
      </c>
      <c r="L420" s="200" t="str">
        <f aca="false">IF($A421="","",VLOOKUP($A420,Table,MATCH(L$4,Curves,0)))</f>
        <v/>
      </c>
      <c r="M420" s="201" t="str">
        <f aca="false">IF(A421="","",L420)</f>
        <v/>
      </c>
      <c r="O420" s="200" t="str">
        <f aca="false">IF(A421="","",L420+J420+G420)</f>
        <v/>
      </c>
      <c r="P420" s="200" t="str">
        <f aca="false">IF(A421="","",M420+K420+H420)</f>
        <v/>
      </c>
      <c r="R420" s="200" t="str">
        <f aca="false">IF($A421="","",VLOOKUP($A420,Table,MATCH(R$4,Curves,0)))</f>
        <v/>
      </c>
      <c r="S420" s="201" t="str">
        <f aca="false">IF(A421="","",R420)</f>
        <v/>
      </c>
      <c r="T420" s="200" t="str">
        <f aca="false">IF($A421="","",VLOOKUP($A420,Table,MATCH(T$4,Curves,0)))</f>
        <v/>
      </c>
      <c r="U420" s="201" t="str">
        <f aca="false">IF(A421="","",T420)</f>
        <v/>
      </c>
      <c r="V420" s="183" t="str">
        <f aca="false">IF($A421="","",IF(AND(MONTH(A420)&gt;3,MONTH(A420)&lt;11),(T420+R420+G420)*Summary!$T$7/(1-Summary!$T$7),(T420+R420+G420)*Summary!$U$7/(1-Summary!$U$7)))</f>
        <v/>
      </c>
      <c r="W420" s="200" t="str">
        <f aca="false">IF($A421="","",(T420+R420+G420+V420))</f>
        <v/>
      </c>
      <c r="X420" s="200" t="str">
        <f aca="false">IF($A421="","",(U420+S420+H420+V420))</f>
        <v/>
      </c>
      <c r="Y420" s="202"/>
      <c r="Z420" s="185"/>
      <c r="AJ420" s="77"/>
      <c r="AK420" s="77"/>
      <c r="AL420" s="77"/>
      <c r="AM420" s="77"/>
      <c r="AN420" s="77"/>
      <c r="AO420" s="137" t="str">
        <f aca="false">IF(A421="","",A421-A420)</f>
        <v/>
      </c>
      <c r="AP420" s="212" t="str">
        <f aca="false">IF(A421="","",CHOOSE(F$3,A421+24,A420))</f>
        <v/>
      </c>
      <c r="AQ420" s="209" t="str">
        <f aca="false">IF(A421="","",AP420-$E$1)</f>
        <v/>
      </c>
      <c r="AR420" s="185" t="n">
        <f aca="false">IF(Summary!$H$2=1,VLOOKUP('ANR OK vs ML7'!A420,Curves!$C$17:$AR$273,MATCH('ANR OK vs ML7'!$AR$4,Curves!$C$8:$AQ$8,0)),0.1)</f>
        <v>0.1</v>
      </c>
      <c r="AS420" s="213" t="str">
        <f aca="false">IF(A421="","",1/(1+CHOOSE(F$3,(AR421+($I$3/10000))/2,(AR420+($I$3/10000))/2))^(2*AQ420/365.25))</f>
        <v/>
      </c>
      <c r="AT420" s="137" t="str">
        <f aca="false">IF(A421="","",IF(AND(mthbeg&lt;=A420,mthend&gt;=A420),1,0))</f>
        <v/>
      </c>
      <c r="AU420" s="137" t="str">
        <f aca="false">IF(A421="","",AO420*AT420)</f>
        <v/>
      </c>
      <c r="AW420" s="195" t="str">
        <f aca="false">IF($A421="","",AL420*$E420)</f>
        <v/>
      </c>
      <c r="AX420" s="195" t="str">
        <f aca="false">IF($A421="","",AM420*$E420)</f>
        <v/>
      </c>
      <c r="AY420" s="195" t="str">
        <f aca="false">IF($A421="","",AN420*$E420)</f>
        <v/>
      </c>
      <c r="BA420" s="195" t="str">
        <f aca="false">IF($A421="","",F420*Summary!$Q$7)</f>
        <v/>
      </c>
    </row>
    <row r="421" customFormat="false" ht="12.75" hidden="false" customHeight="false" outlineLevel="0" collapsed="false">
      <c r="A421" s="196" t="str">
        <f aca="false">IF(A420&lt;mthend,EDATE(A420,1),"")</f>
        <v/>
      </c>
      <c r="B421" s="197" t="str">
        <f aca="false">IF(A421&lt;mthend,B420,"")</f>
        <v/>
      </c>
      <c r="D421" s="197" t="str">
        <f aca="false">IF(A422&lt;&gt;"",B421+C421,"")</f>
        <v/>
      </c>
      <c r="E421" s="199" t="str">
        <f aca="false">IF(A422="","",IF(AND(AT421=1,$H$3=1),D421*AO421,IF($H$3=2,D421,"N/A")))</f>
        <v/>
      </c>
      <c r="F421" s="199" t="str">
        <f aca="false">IF(A422="","",E421*AS421)</f>
        <v/>
      </c>
      <c r="G421" s="200" t="str">
        <f aca="false">IF($A422="","",VLOOKUP($A421,Table,MATCH(G$4,Curves,0)))</f>
        <v/>
      </c>
      <c r="H421" s="201" t="str">
        <f aca="false">IF(A422="","",G421)</f>
        <v/>
      </c>
      <c r="J421" s="200" t="str">
        <f aca="false">IF($A422="","",VLOOKUP($A421,Table,MATCH(J$4,Curves,0)))</f>
        <v/>
      </c>
      <c r="K421" s="201" t="str">
        <f aca="false">IF(A422="","",J421)</f>
        <v/>
      </c>
      <c r="L421" s="200" t="str">
        <f aca="false">IF($A422="","",VLOOKUP($A421,Table,MATCH(L$4,Curves,0)))</f>
        <v/>
      </c>
      <c r="M421" s="201" t="str">
        <f aca="false">IF(A422="","",L421)</f>
        <v/>
      </c>
      <c r="O421" s="200" t="str">
        <f aca="false">IF(A422="","",L421+J421+G421)</f>
        <v/>
      </c>
      <c r="P421" s="200" t="str">
        <f aca="false">IF(A422="","",M421+K421+H421)</f>
        <v/>
      </c>
      <c r="R421" s="200" t="str">
        <f aca="false">IF($A422="","",VLOOKUP($A421,Table,MATCH(R$4,Curves,0)))</f>
        <v/>
      </c>
      <c r="S421" s="201" t="str">
        <f aca="false">IF(A422="","",R421)</f>
        <v/>
      </c>
      <c r="T421" s="200" t="str">
        <f aca="false">IF($A422="","",VLOOKUP($A421,Table,MATCH(T$4,Curves,0)))</f>
        <v/>
      </c>
      <c r="U421" s="201" t="str">
        <f aca="false">IF(A422="","",T421)</f>
        <v/>
      </c>
      <c r="V421" s="183" t="str">
        <f aca="false">IF($A422="","",IF(AND(MONTH(A421)&gt;3,MONTH(A421)&lt;11),(T421+R421+G421)*Summary!$T$7/(1-Summary!$T$7),(T421+R421+G421)*Summary!$U$7/(1-Summary!$U$7)))</f>
        <v/>
      </c>
      <c r="W421" s="200" t="str">
        <f aca="false">IF($A422="","",(T421+R421+G421+V421))</f>
        <v/>
      </c>
      <c r="X421" s="200" t="str">
        <f aca="false">IF($A422="","",(U421+S421+H421+V421))</f>
        <v/>
      </c>
      <c r="Y421" s="202"/>
      <c r="Z421" s="185"/>
      <c r="AJ421" s="77"/>
      <c r="AK421" s="77"/>
      <c r="AL421" s="77"/>
      <c r="AM421" s="77"/>
      <c r="AN421" s="77"/>
      <c r="AO421" s="137" t="str">
        <f aca="false">IF(A422="","",A422-A421)</f>
        <v/>
      </c>
      <c r="AP421" s="212" t="str">
        <f aca="false">IF(A422="","",CHOOSE(F$3,A422+24,A421))</f>
        <v/>
      </c>
      <c r="AQ421" s="209" t="str">
        <f aca="false">IF(A422="","",AP421-$E$1)</f>
        <v/>
      </c>
      <c r="AR421" s="185" t="n">
        <f aca="false">IF(Summary!$H$2=1,VLOOKUP('ANR OK vs ML7'!A421,Curves!$C$17:$AR$273,MATCH('ANR OK vs ML7'!$AR$4,Curves!$C$8:$AQ$8,0)),0.1)</f>
        <v>0.1</v>
      </c>
      <c r="AS421" s="213" t="str">
        <f aca="false">IF(A422="","",1/(1+CHOOSE(F$3,(AR422+($I$3/10000))/2,(AR421+($I$3/10000))/2))^(2*AQ421/365.25))</f>
        <v/>
      </c>
      <c r="AT421" s="137" t="str">
        <f aca="false">IF(A422="","",IF(AND(mthbeg&lt;=A421,mthend&gt;=A421),1,0))</f>
        <v/>
      </c>
      <c r="AU421" s="137" t="str">
        <f aca="false">IF(A422="","",AO421*AT421)</f>
        <v/>
      </c>
      <c r="AW421" s="195" t="str">
        <f aca="false">IF($A422="","",AL421*$E421)</f>
        <v/>
      </c>
      <c r="AX421" s="195" t="str">
        <f aca="false">IF($A422="","",AM421*$E421)</f>
        <v/>
      </c>
      <c r="AY421" s="195" t="str">
        <f aca="false">IF($A422="","",AN421*$E421)</f>
        <v/>
      </c>
      <c r="BA421" s="195" t="str">
        <f aca="false">IF($A422="","",F421*Summary!$Q$7)</f>
        <v/>
      </c>
    </row>
    <row r="422" customFormat="false" ht="12.75" hidden="false" customHeight="false" outlineLevel="0" collapsed="false">
      <c r="A422" s="196" t="str">
        <f aca="false">IF(A421&lt;mthend,EDATE(A421,1),"")</f>
        <v/>
      </c>
      <c r="B422" s="197" t="str">
        <f aca="false">IF(A422&lt;mthend,B421,"")</f>
        <v/>
      </c>
      <c r="D422" s="197" t="str">
        <f aca="false">IF(A423&lt;&gt;"",B422+C422,"")</f>
        <v/>
      </c>
      <c r="E422" s="199" t="str">
        <f aca="false">IF(A423="","",IF(AND(AT422=1,$H$3=1),D422*AO422,IF($H$3=2,D422,"N/A")))</f>
        <v/>
      </c>
      <c r="F422" s="199" t="str">
        <f aca="false">IF(A423="","",E422*AS422)</f>
        <v/>
      </c>
      <c r="G422" s="200" t="str">
        <f aca="false">IF($A423="","",VLOOKUP($A422,Table,MATCH(G$4,Curves,0)))</f>
        <v/>
      </c>
      <c r="H422" s="201" t="str">
        <f aca="false">IF(A423="","",G422)</f>
        <v/>
      </c>
      <c r="J422" s="200" t="str">
        <f aca="false">IF($A423="","",VLOOKUP($A422,Table,MATCH(J$4,Curves,0)))</f>
        <v/>
      </c>
      <c r="K422" s="201" t="str">
        <f aca="false">IF(A423="","",J422)</f>
        <v/>
      </c>
      <c r="L422" s="200" t="str">
        <f aca="false">IF($A423="","",VLOOKUP($A422,Table,MATCH(L$4,Curves,0)))</f>
        <v/>
      </c>
      <c r="M422" s="201" t="str">
        <f aca="false">IF(A423="","",L422)</f>
        <v/>
      </c>
      <c r="O422" s="200" t="str">
        <f aca="false">IF(A423="","",L422+J422+G422)</f>
        <v/>
      </c>
      <c r="P422" s="200" t="str">
        <f aca="false">IF(A423="","",M422+K422+H422)</f>
        <v/>
      </c>
      <c r="R422" s="200" t="str">
        <f aca="false">IF($A423="","",VLOOKUP($A422,Table,MATCH(R$4,Curves,0)))</f>
        <v/>
      </c>
      <c r="S422" s="201" t="str">
        <f aca="false">IF(A423="","",R422)</f>
        <v/>
      </c>
      <c r="T422" s="200" t="str">
        <f aca="false">IF($A423="","",VLOOKUP($A422,Table,MATCH(T$4,Curves,0)))</f>
        <v/>
      </c>
      <c r="U422" s="201" t="str">
        <f aca="false">IF(A423="","",T422)</f>
        <v/>
      </c>
      <c r="V422" s="183" t="str">
        <f aca="false">IF($A423="","",IF(AND(MONTH(A422)&gt;3,MONTH(A422)&lt;11),(T422+R422+G422)*Summary!$T$7/(1-Summary!$T$7),(T422+R422+G422)*Summary!$U$7/(1-Summary!$U$7)))</f>
        <v/>
      </c>
      <c r="W422" s="200" t="str">
        <f aca="false">IF($A423="","",(T422+R422+G422+V422))</f>
        <v/>
      </c>
      <c r="X422" s="200" t="str">
        <f aca="false">IF($A423="","",(U422+S422+H422+V422))</f>
        <v/>
      </c>
      <c r="Y422" s="202"/>
      <c r="Z422" s="185"/>
      <c r="AJ422" s="77"/>
      <c r="AK422" s="77"/>
      <c r="AL422" s="77"/>
      <c r="AM422" s="77"/>
      <c r="AN422" s="77"/>
      <c r="AO422" s="137" t="str">
        <f aca="false">IF(A423="","",A423-A422)</f>
        <v/>
      </c>
      <c r="AP422" s="212" t="str">
        <f aca="false">IF(A423="","",CHOOSE(F$3,A423+24,A422))</f>
        <v/>
      </c>
      <c r="AQ422" s="209" t="str">
        <f aca="false">IF(A423="","",AP422-$E$1)</f>
        <v/>
      </c>
      <c r="AR422" s="185" t="n">
        <f aca="false">IF(Summary!$H$2=1,VLOOKUP('ANR OK vs ML7'!A422,Curves!$C$17:$AR$273,MATCH('ANR OK vs ML7'!$AR$4,Curves!$C$8:$AQ$8,0)),0.1)</f>
        <v>0.1</v>
      </c>
      <c r="AS422" s="213" t="str">
        <f aca="false">IF(A423="","",1/(1+CHOOSE(F$3,(AR423+($I$3/10000))/2,(AR422+($I$3/10000))/2))^(2*AQ422/365.25))</f>
        <v/>
      </c>
      <c r="AT422" s="137" t="str">
        <f aca="false">IF(A423="","",IF(AND(mthbeg&lt;=A422,mthend&gt;=A422),1,0))</f>
        <v/>
      </c>
      <c r="AU422" s="137" t="str">
        <f aca="false">IF(A423="","",AO422*AT422)</f>
        <v/>
      </c>
      <c r="AW422" s="195" t="str">
        <f aca="false">IF($A423="","",AL422*$E422)</f>
        <v/>
      </c>
      <c r="AX422" s="195" t="str">
        <f aca="false">IF($A423="","",AM422*$E422)</f>
        <v/>
      </c>
      <c r="AY422" s="195" t="str">
        <f aca="false">IF($A423="","",AN422*$E422)</f>
        <v/>
      </c>
      <c r="BA422" s="195" t="str">
        <f aca="false">IF($A423="","",F422*Summary!$Q$7)</f>
        <v/>
      </c>
    </row>
    <row r="423" customFormat="false" ht="12.75" hidden="false" customHeight="false" outlineLevel="0" collapsed="false">
      <c r="A423" s="196" t="str">
        <f aca="false">IF(A422&lt;mthend,EDATE(A422,1),"")</f>
        <v/>
      </c>
      <c r="B423" s="197" t="str">
        <f aca="false">IF(A423&lt;mthend,B422,"")</f>
        <v/>
      </c>
      <c r="D423" s="197" t="str">
        <f aca="false">IF(A424&lt;&gt;"",B423+C423,"")</f>
        <v/>
      </c>
      <c r="E423" s="199" t="str">
        <f aca="false">IF(A424="","",IF(AND(AT423=1,$H$3=1),D423*AO423,IF($H$3=2,D423,"N/A")))</f>
        <v/>
      </c>
      <c r="F423" s="199" t="str">
        <f aca="false">IF(A424="","",E423*AS423)</f>
        <v/>
      </c>
      <c r="G423" s="200" t="str">
        <f aca="false">IF($A424="","",VLOOKUP($A423,Table,MATCH(G$4,Curves,0)))</f>
        <v/>
      </c>
      <c r="H423" s="201" t="str">
        <f aca="false">IF(A424="","",G423)</f>
        <v/>
      </c>
      <c r="J423" s="200" t="str">
        <f aca="false">IF($A424="","",VLOOKUP($A423,Table,MATCH(J$4,Curves,0)))</f>
        <v/>
      </c>
      <c r="K423" s="201" t="str">
        <f aca="false">IF(A424="","",J423)</f>
        <v/>
      </c>
      <c r="L423" s="200" t="str">
        <f aca="false">IF($A424="","",VLOOKUP($A423,Table,MATCH(L$4,Curves,0)))</f>
        <v/>
      </c>
      <c r="M423" s="201" t="str">
        <f aca="false">IF(A424="","",L423)</f>
        <v/>
      </c>
      <c r="O423" s="200" t="str">
        <f aca="false">IF(A424="","",L423+J423+G423)</f>
        <v/>
      </c>
      <c r="P423" s="200" t="str">
        <f aca="false">IF(A424="","",M423+K423+H423)</f>
        <v/>
      </c>
      <c r="R423" s="200" t="str">
        <f aca="false">IF($A424="","",VLOOKUP($A423,Table,MATCH(R$4,Curves,0)))</f>
        <v/>
      </c>
      <c r="S423" s="201" t="str">
        <f aca="false">IF(A424="","",R423)</f>
        <v/>
      </c>
      <c r="T423" s="200" t="str">
        <f aca="false">IF($A424="","",VLOOKUP($A423,Table,MATCH(T$4,Curves,0)))</f>
        <v/>
      </c>
      <c r="U423" s="201" t="str">
        <f aca="false">IF(A424="","",T423)</f>
        <v/>
      </c>
      <c r="V423" s="183" t="str">
        <f aca="false">IF($A424="","",IF(AND(MONTH(A423)&gt;3,MONTH(A423)&lt;11),(T423+R423+G423)*Summary!$T$7/(1-Summary!$T$7),(T423+R423+G423)*Summary!$U$7/(1-Summary!$U$7)))</f>
        <v/>
      </c>
      <c r="W423" s="200" t="str">
        <f aca="false">IF($A424="","",(T423+R423+G423+V423))</f>
        <v/>
      </c>
      <c r="X423" s="200" t="str">
        <f aca="false">IF($A424="","",(U423+S423+H423+V423))</f>
        <v/>
      </c>
      <c r="Y423" s="202"/>
      <c r="Z423" s="185"/>
      <c r="AJ423" s="77"/>
      <c r="AK423" s="77"/>
      <c r="AL423" s="77"/>
      <c r="AM423" s="77"/>
      <c r="AN423" s="77"/>
      <c r="AO423" s="137" t="str">
        <f aca="false">IF(A424="","",A424-A423)</f>
        <v/>
      </c>
      <c r="AP423" s="212" t="str">
        <f aca="false">IF(A424="","",CHOOSE(F$3,A424+24,A423))</f>
        <v/>
      </c>
      <c r="AQ423" s="209" t="str">
        <f aca="false">IF(A424="","",AP423-$E$1)</f>
        <v/>
      </c>
      <c r="AR423" s="185" t="n">
        <f aca="false">IF(Summary!$H$2=1,VLOOKUP('ANR OK vs ML7'!A423,Curves!$C$17:$AR$273,MATCH('ANR OK vs ML7'!$AR$4,Curves!$C$8:$AQ$8,0)),0.1)</f>
        <v>0.1</v>
      </c>
      <c r="AS423" s="213" t="str">
        <f aca="false">IF(A424="","",1/(1+CHOOSE(F$3,(AR424+($I$3/10000))/2,(AR423+($I$3/10000))/2))^(2*AQ423/365.25))</f>
        <v/>
      </c>
      <c r="AT423" s="137" t="str">
        <f aca="false">IF(A424="","",IF(AND(mthbeg&lt;=A423,mthend&gt;=A423),1,0))</f>
        <v/>
      </c>
      <c r="AU423" s="137" t="str">
        <f aca="false">IF(A424="","",AO423*AT423)</f>
        <v/>
      </c>
      <c r="AW423" s="195" t="str">
        <f aca="false">IF($A424="","",AL423*$E423)</f>
        <v/>
      </c>
      <c r="AX423" s="195" t="str">
        <f aca="false">IF($A424="","",AM423*$E423)</f>
        <v/>
      </c>
      <c r="AY423" s="195" t="str">
        <f aca="false">IF($A424="","",AN423*$E423)</f>
        <v/>
      </c>
      <c r="BA423" s="195" t="str">
        <f aca="false">IF($A424="","",F423*Summary!$Q$7)</f>
        <v/>
      </c>
    </row>
    <row r="424" customFormat="false" ht="12.75" hidden="false" customHeight="false" outlineLevel="0" collapsed="false">
      <c r="A424" s="196" t="str">
        <f aca="false">IF(A423&lt;mthend,EDATE(A423,1),"")</f>
        <v/>
      </c>
      <c r="B424" s="197" t="str">
        <f aca="false">IF(A424&lt;mthend,B423,"")</f>
        <v/>
      </c>
      <c r="D424" s="197" t="str">
        <f aca="false">IF(A425&lt;&gt;"",B424+C424,"")</f>
        <v/>
      </c>
      <c r="E424" s="199" t="str">
        <f aca="false">IF(A425="","",IF(AND(AT424=1,$H$3=1),D424*AO424,IF($H$3=2,D424,"N/A")))</f>
        <v/>
      </c>
      <c r="F424" s="199" t="str">
        <f aca="false">IF(A425="","",E424*AS424)</f>
        <v/>
      </c>
      <c r="G424" s="200" t="str">
        <f aca="false">IF($A425="","",VLOOKUP($A424,Table,MATCH(G$4,Curves,0)))</f>
        <v/>
      </c>
      <c r="H424" s="201" t="str">
        <f aca="false">IF(A425="","",G424)</f>
        <v/>
      </c>
      <c r="J424" s="200" t="str">
        <f aca="false">IF($A425="","",VLOOKUP($A424,Table,MATCH(J$4,Curves,0)))</f>
        <v/>
      </c>
      <c r="K424" s="201" t="str">
        <f aca="false">IF(A425="","",J424)</f>
        <v/>
      </c>
      <c r="L424" s="200" t="str">
        <f aca="false">IF($A425="","",VLOOKUP($A424,Table,MATCH(L$4,Curves,0)))</f>
        <v/>
      </c>
      <c r="M424" s="201" t="str">
        <f aca="false">IF(A425="","",L424)</f>
        <v/>
      </c>
      <c r="O424" s="200" t="str">
        <f aca="false">IF(A425="","",L424+J424+G424)</f>
        <v/>
      </c>
      <c r="P424" s="200" t="str">
        <f aca="false">IF(A425="","",M424+K424+H424)</f>
        <v/>
      </c>
      <c r="R424" s="200" t="str">
        <f aca="false">IF($A425="","",VLOOKUP($A424,Table,MATCH(R$4,Curves,0)))</f>
        <v/>
      </c>
      <c r="S424" s="201" t="str">
        <f aca="false">IF(A425="","",R424)</f>
        <v/>
      </c>
      <c r="T424" s="200" t="str">
        <f aca="false">IF($A425="","",VLOOKUP($A424,Table,MATCH(T$4,Curves,0)))</f>
        <v/>
      </c>
      <c r="U424" s="201" t="str">
        <f aca="false">IF(A425="","",T424)</f>
        <v/>
      </c>
      <c r="V424" s="183" t="str">
        <f aca="false">IF($A425="","",IF(AND(MONTH(A424)&gt;3,MONTH(A424)&lt;11),(T424+R424+G424)*Summary!$T$7/(1-Summary!$T$7),(T424+R424+G424)*Summary!$U$7/(1-Summary!$U$7)))</f>
        <v/>
      </c>
      <c r="W424" s="200" t="str">
        <f aca="false">IF($A425="","",(T424+R424+G424+V424))</f>
        <v/>
      </c>
      <c r="X424" s="200" t="str">
        <f aca="false">IF($A425="","",(U424+S424+H424+V424))</f>
        <v/>
      </c>
      <c r="Y424" s="202"/>
      <c r="Z424" s="185"/>
      <c r="AJ424" s="77"/>
      <c r="AK424" s="77"/>
      <c r="AL424" s="77"/>
      <c r="AM424" s="77"/>
      <c r="AN424" s="77"/>
      <c r="AO424" s="137" t="str">
        <f aca="false">IF(A425="","",A425-A424)</f>
        <v/>
      </c>
      <c r="AP424" s="212" t="str">
        <f aca="false">IF(A425="","",CHOOSE(F$3,A425+24,A424))</f>
        <v/>
      </c>
      <c r="AQ424" s="209" t="str">
        <f aca="false">IF(A425="","",AP424-$E$1)</f>
        <v/>
      </c>
      <c r="AR424" s="185" t="n">
        <f aca="false">IF(Summary!$H$2=1,VLOOKUP('ANR OK vs ML7'!A424,Curves!$C$17:$AR$273,MATCH('ANR OK vs ML7'!$AR$4,Curves!$C$8:$AQ$8,0)),0.1)</f>
        <v>0.1</v>
      </c>
      <c r="AS424" s="213" t="str">
        <f aca="false">IF(A425="","",1/(1+CHOOSE(F$3,(AR425+($I$3/10000))/2,(AR424+($I$3/10000))/2))^(2*AQ424/365.25))</f>
        <v/>
      </c>
      <c r="AT424" s="137" t="str">
        <f aca="false">IF(A425="","",IF(AND(mthbeg&lt;=A424,mthend&gt;=A424),1,0))</f>
        <v/>
      </c>
      <c r="AU424" s="137" t="str">
        <f aca="false">IF(A425="","",AO424*AT424)</f>
        <v/>
      </c>
      <c r="AW424" s="195" t="str">
        <f aca="false">IF($A425="","",AL424*$E424)</f>
        <v/>
      </c>
      <c r="AX424" s="195" t="str">
        <f aca="false">IF($A425="","",AM424*$E424)</f>
        <v/>
      </c>
      <c r="AY424" s="195" t="str">
        <f aca="false">IF($A425="","",AN424*$E424)</f>
        <v/>
      </c>
      <c r="BA424" s="195" t="str">
        <f aca="false">IF($A425="","",F424*Summary!$Q$7)</f>
        <v/>
      </c>
    </row>
    <row r="425" customFormat="false" ht="12.75" hidden="false" customHeight="false" outlineLevel="0" collapsed="false">
      <c r="A425" s="196" t="str">
        <f aca="false">IF(A424&lt;mthend,EDATE(A424,1),"")</f>
        <v/>
      </c>
      <c r="B425" s="197" t="str">
        <f aca="false">IF(A425&lt;mthend,B424,"")</f>
        <v/>
      </c>
      <c r="D425" s="197" t="str">
        <f aca="false">IF(A426&lt;&gt;"",B425+C425,"")</f>
        <v/>
      </c>
      <c r="E425" s="199" t="str">
        <f aca="false">IF(A426="","",IF(AND(AT425=1,$H$3=1),D425*AO425,IF($H$3=2,D425,"N/A")))</f>
        <v/>
      </c>
      <c r="F425" s="199" t="str">
        <f aca="false">IF(A426="","",E425*AS425)</f>
        <v/>
      </c>
      <c r="G425" s="200" t="str">
        <f aca="false">IF($A426="","",VLOOKUP($A425,Table,MATCH(G$4,Curves,0)))</f>
        <v/>
      </c>
      <c r="H425" s="201" t="str">
        <f aca="false">IF(A426="","",G425)</f>
        <v/>
      </c>
      <c r="J425" s="200" t="str">
        <f aca="false">IF($A426="","",VLOOKUP($A425,Table,MATCH(J$4,Curves,0)))</f>
        <v/>
      </c>
      <c r="K425" s="201" t="str">
        <f aca="false">IF(A426="","",J425)</f>
        <v/>
      </c>
      <c r="L425" s="200" t="str">
        <f aca="false">IF($A426="","",VLOOKUP($A425,Table,MATCH(L$4,Curves,0)))</f>
        <v/>
      </c>
      <c r="M425" s="201" t="str">
        <f aca="false">IF(A426="","",L425)</f>
        <v/>
      </c>
      <c r="O425" s="200" t="str">
        <f aca="false">IF(A426="","",L425+J425+G425)</f>
        <v/>
      </c>
      <c r="P425" s="200" t="str">
        <f aca="false">IF(A426="","",M425+K425+H425)</f>
        <v/>
      </c>
      <c r="R425" s="200" t="str">
        <f aca="false">IF($A426="","",VLOOKUP($A425,Table,MATCH(R$4,Curves,0)))</f>
        <v/>
      </c>
      <c r="S425" s="201" t="str">
        <f aca="false">IF(A426="","",R425)</f>
        <v/>
      </c>
      <c r="T425" s="200" t="str">
        <f aca="false">IF($A426="","",VLOOKUP($A425,Table,MATCH(T$4,Curves,0)))</f>
        <v/>
      </c>
      <c r="U425" s="201" t="str">
        <f aca="false">IF(A426="","",T425)</f>
        <v/>
      </c>
      <c r="V425" s="183" t="str">
        <f aca="false">IF($A426="","",IF(AND(MONTH(A425)&gt;3,MONTH(A425)&lt;11),(T425+R425+G425)*Summary!$T$7/(1-Summary!$T$7),(T425+R425+G425)*Summary!$U$7/(1-Summary!$U$7)))</f>
        <v/>
      </c>
      <c r="W425" s="200" t="str">
        <f aca="false">IF($A426="","",(T425+R425+G425+V425))</f>
        <v/>
      </c>
      <c r="X425" s="200" t="str">
        <f aca="false">IF($A426="","",(U425+S425+H425+V425))</f>
        <v/>
      </c>
      <c r="Y425" s="202"/>
      <c r="Z425" s="185"/>
      <c r="AJ425" s="77"/>
      <c r="AK425" s="77"/>
      <c r="AL425" s="77"/>
      <c r="AM425" s="77"/>
      <c r="AN425" s="77"/>
      <c r="AO425" s="137" t="str">
        <f aca="false">IF(A426="","",A426-A425)</f>
        <v/>
      </c>
      <c r="AP425" s="212" t="str">
        <f aca="false">IF(A426="","",CHOOSE(F$3,A426+24,A425))</f>
        <v/>
      </c>
      <c r="AQ425" s="209" t="str">
        <f aca="false">IF(A426="","",AP425-$E$1)</f>
        <v/>
      </c>
      <c r="AR425" s="185" t="n">
        <f aca="false">IF(Summary!$H$2=1,VLOOKUP('ANR OK vs ML7'!A425,Curves!$C$17:$AR$273,MATCH('ANR OK vs ML7'!$AR$4,Curves!$C$8:$AQ$8,0)),0.1)</f>
        <v>0.1</v>
      </c>
      <c r="AS425" s="213" t="str">
        <f aca="false">IF(A426="","",1/(1+CHOOSE(F$3,(AR426+($I$3/10000))/2,(AR425+($I$3/10000))/2))^(2*AQ425/365.25))</f>
        <v/>
      </c>
      <c r="AT425" s="137" t="str">
        <f aca="false">IF(A426="","",IF(AND(mthbeg&lt;=A425,mthend&gt;=A425),1,0))</f>
        <v/>
      </c>
      <c r="AU425" s="137" t="str">
        <f aca="false">IF(A426="","",AO425*AT425)</f>
        <v/>
      </c>
      <c r="AW425" s="195" t="str">
        <f aca="false">IF($A426="","",AL425*$E425)</f>
        <v/>
      </c>
      <c r="AX425" s="195" t="str">
        <f aca="false">IF($A426="","",AM425*$E425)</f>
        <v/>
      </c>
      <c r="AY425" s="195" t="str">
        <f aca="false">IF($A426="","",AN425*$E425)</f>
        <v/>
      </c>
      <c r="BA425" s="195" t="str">
        <f aca="false">IF($A426="","",F425*Summary!$Q$7)</f>
        <v/>
      </c>
    </row>
    <row r="426" customFormat="false" ht="12.75" hidden="false" customHeight="false" outlineLevel="0" collapsed="false">
      <c r="A426" s="196" t="str">
        <f aca="false">IF(A425&lt;mthend,EDATE(A425,1),"")</f>
        <v/>
      </c>
      <c r="B426" s="197" t="str">
        <f aca="false">IF(A426&lt;mthend,B425,"")</f>
        <v/>
      </c>
      <c r="D426" s="197" t="str">
        <f aca="false">IF(A427&lt;&gt;"",B426+C426,"")</f>
        <v/>
      </c>
      <c r="E426" s="199" t="str">
        <f aca="false">IF(A427="","",IF(AND(AT426=1,$H$3=1),D426*AO426,IF($H$3=2,D426,"N/A")))</f>
        <v/>
      </c>
      <c r="F426" s="199" t="str">
        <f aca="false">IF(A427="","",E426*AS426)</f>
        <v/>
      </c>
      <c r="G426" s="200" t="str">
        <f aca="false">IF($A427="","",VLOOKUP($A426,Table,MATCH(G$4,Curves,0)))</f>
        <v/>
      </c>
      <c r="H426" s="201" t="str">
        <f aca="false">IF(A427="","",G426)</f>
        <v/>
      </c>
      <c r="J426" s="200" t="str">
        <f aca="false">IF($A427="","",VLOOKUP($A426,Table,MATCH(J$4,Curves,0)))</f>
        <v/>
      </c>
      <c r="K426" s="201" t="str">
        <f aca="false">IF(A427="","",J426)</f>
        <v/>
      </c>
      <c r="L426" s="200" t="str">
        <f aca="false">IF($A427="","",VLOOKUP($A426,Table,MATCH(L$4,Curves,0)))</f>
        <v/>
      </c>
      <c r="M426" s="201" t="str">
        <f aca="false">IF(A427="","",L426)</f>
        <v/>
      </c>
      <c r="O426" s="200" t="str">
        <f aca="false">IF(A427="","",L426+J426+G426)</f>
        <v/>
      </c>
      <c r="P426" s="200" t="str">
        <f aca="false">IF(A427="","",M426+K426+H426)</f>
        <v/>
      </c>
      <c r="R426" s="200" t="str">
        <f aca="false">IF($A427="","",VLOOKUP($A426,Table,MATCH(R$4,Curves,0)))</f>
        <v/>
      </c>
      <c r="S426" s="201" t="str">
        <f aca="false">IF(A427="","",R426)</f>
        <v/>
      </c>
      <c r="T426" s="200" t="str">
        <f aca="false">IF($A427="","",VLOOKUP($A426,Table,MATCH(T$4,Curves,0)))</f>
        <v/>
      </c>
      <c r="U426" s="201" t="str">
        <f aca="false">IF(A427="","",T426)</f>
        <v/>
      </c>
      <c r="V426" s="183" t="str">
        <f aca="false">IF($A427="","",IF(AND(MONTH(A426)&gt;3,MONTH(A426)&lt;11),(T426+R426+G426)*Summary!$T$7/(1-Summary!$T$7),(T426+R426+G426)*Summary!$U$7/(1-Summary!$U$7)))</f>
        <v/>
      </c>
      <c r="W426" s="200" t="str">
        <f aca="false">IF($A427="","",(T426+R426+G426+V426))</f>
        <v/>
      </c>
      <c r="X426" s="200" t="str">
        <f aca="false">IF($A427="","",(U426+S426+H426+V426))</f>
        <v/>
      </c>
      <c r="Y426" s="202"/>
      <c r="Z426" s="185"/>
      <c r="AJ426" s="77"/>
      <c r="AK426" s="77"/>
      <c r="AL426" s="77"/>
      <c r="AM426" s="77"/>
      <c r="AN426" s="77"/>
      <c r="AO426" s="137" t="str">
        <f aca="false">IF(A427="","",A427-A426)</f>
        <v/>
      </c>
      <c r="AP426" s="212" t="str">
        <f aca="false">IF(A427="","",CHOOSE(F$3,A427+24,A426))</f>
        <v/>
      </c>
      <c r="AQ426" s="209" t="str">
        <f aca="false">IF(A427="","",AP426-$E$1)</f>
        <v/>
      </c>
      <c r="AR426" s="185" t="n">
        <f aca="false">IF(Summary!$H$2=1,VLOOKUP('ANR OK vs ML7'!A426,Curves!$C$17:$AR$273,MATCH('ANR OK vs ML7'!$AR$4,Curves!$C$8:$AQ$8,0)),0.1)</f>
        <v>0.1</v>
      </c>
      <c r="AS426" s="213" t="str">
        <f aca="false">IF(A427="","",1/(1+CHOOSE(F$3,(AR427+($I$3/10000))/2,(AR426+($I$3/10000))/2))^(2*AQ426/365.25))</f>
        <v/>
      </c>
      <c r="AT426" s="137" t="str">
        <f aca="false">IF(A427="","",IF(AND(mthbeg&lt;=A426,mthend&gt;=A426),1,0))</f>
        <v/>
      </c>
      <c r="AU426" s="137" t="str">
        <f aca="false">IF(A427="","",AO426*AT426)</f>
        <v/>
      </c>
      <c r="AW426" s="195" t="str">
        <f aca="false">IF($A427="","",AL426*$E426)</f>
        <v/>
      </c>
      <c r="AX426" s="195" t="str">
        <f aca="false">IF($A427="","",AM426*$E426)</f>
        <v/>
      </c>
      <c r="AY426" s="195" t="str">
        <f aca="false">IF($A427="","",AN426*$E426)</f>
        <v/>
      </c>
      <c r="BA426" s="195" t="str">
        <f aca="false">IF($A427="","",F426*Summary!$Q$7)</f>
        <v/>
      </c>
    </row>
    <row r="427" customFormat="false" ht="12.75" hidden="false" customHeight="false" outlineLevel="0" collapsed="false">
      <c r="A427" s="196" t="str">
        <f aca="false">IF(A426&lt;mthend,EDATE(A426,1),"")</f>
        <v/>
      </c>
      <c r="B427" s="197" t="str">
        <f aca="false">IF(A427&lt;mthend,B426,"")</f>
        <v/>
      </c>
      <c r="D427" s="197" t="str">
        <f aca="false">IF(A428&lt;&gt;"",B427+C427,"")</f>
        <v/>
      </c>
      <c r="E427" s="199" t="str">
        <f aca="false">IF(A428="","",IF(AND(AT427=1,$H$3=1),D427*AO427,IF($H$3=2,D427,"N/A")))</f>
        <v/>
      </c>
      <c r="F427" s="199" t="str">
        <f aca="false">IF(A428="","",E427*AS427)</f>
        <v/>
      </c>
      <c r="G427" s="200" t="str">
        <f aca="false">IF($A428="","",VLOOKUP($A427,Table,MATCH(G$4,Curves,0)))</f>
        <v/>
      </c>
      <c r="H427" s="201" t="str">
        <f aca="false">IF(A428="","",G427)</f>
        <v/>
      </c>
      <c r="J427" s="200" t="str">
        <f aca="false">IF($A428="","",VLOOKUP($A427,Table,MATCH(J$4,Curves,0)))</f>
        <v/>
      </c>
      <c r="K427" s="201" t="str">
        <f aca="false">IF(A428="","",J427)</f>
        <v/>
      </c>
      <c r="L427" s="200" t="str">
        <f aca="false">IF($A428="","",VLOOKUP($A427,Table,MATCH(L$4,Curves,0)))</f>
        <v/>
      </c>
      <c r="M427" s="201" t="str">
        <f aca="false">IF(A428="","",L427)</f>
        <v/>
      </c>
      <c r="O427" s="200" t="str">
        <f aca="false">IF(A428="","",L427+J427+G427)</f>
        <v/>
      </c>
      <c r="P427" s="200" t="str">
        <f aca="false">IF(A428="","",M427+K427+H427)</f>
        <v/>
      </c>
      <c r="R427" s="200" t="str">
        <f aca="false">IF($A428="","",VLOOKUP($A427,Table,MATCH(R$4,Curves,0)))</f>
        <v/>
      </c>
      <c r="S427" s="201" t="str">
        <f aca="false">IF(A428="","",R427)</f>
        <v/>
      </c>
      <c r="T427" s="200" t="str">
        <f aca="false">IF($A428="","",VLOOKUP($A427,Table,MATCH(T$4,Curves,0)))</f>
        <v/>
      </c>
      <c r="U427" s="201" t="str">
        <f aca="false">IF(A428="","",T427)</f>
        <v/>
      </c>
      <c r="V427" s="183" t="str">
        <f aca="false">IF($A428="","",IF(AND(MONTH(A427)&gt;3,MONTH(A427)&lt;11),(T427+R427+G427)*Summary!$T$7/(1-Summary!$T$7),(T427+R427+G427)*Summary!$U$7/(1-Summary!$U$7)))</f>
        <v/>
      </c>
      <c r="W427" s="200" t="str">
        <f aca="false">IF($A428="","",(T427+R427+G427+V427))</f>
        <v/>
      </c>
      <c r="X427" s="200" t="str">
        <f aca="false">IF($A428="","",(U427+S427+H427+V427))</f>
        <v/>
      </c>
      <c r="Y427" s="202"/>
      <c r="Z427" s="185"/>
      <c r="AJ427" s="77"/>
      <c r="AK427" s="77"/>
      <c r="AL427" s="77"/>
      <c r="AM427" s="77"/>
      <c r="AN427" s="77"/>
      <c r="AO427" s="137" t="str">
        <f aca="false">IF(A428="","",A428-A427)</f>
        <v/>
      </c>
      <c r="AP427" s="212" t="str">
        <f aca="false">IF(A428="","",CHOOSE(F$3,A428+24,A427))</f>
        <v/>
      </c>
      <c r="AQ427" s="209" t="str">
        <f aca="false">IF(A428="","",AP427-$E$1)</f>
        <v/>
      </c>
      <c r="AR427" s="185" t="n">
        <f aca="false">IF(Summary!$H$2=1,VLOOKUP('ANR OK vs ML7'!A427,Curves!$C$17:$AR$273,MATCH('ANR OK vs ML7'!$AR$4,Curves!$C$8:$AQ$8,0)),0.1)</f>
        <v>0.1</v>
      </c>
      <c r="AS427" s="213" t="str">
        <f aca="false">IF(A428="","",1/(1+CHOOSE(F$3,(AR428+($I$3/10000))/2,(AR427+($I$3/10000))/2))^(2*AQ427/365.25))</f>
        <v/>
      </c>
      <c r="AT427" s="137" t="str">
        <f aca="false">IF(A428="","",IF(AND(mthbeg&lt;=A427,mthend&gt;=A427),1,0))</f>
        <v/>
      </c>
      <c r="AU427" s="137" t="str">
        <f aca="false">IF(A428="","",AO427*AT427)</f>
        <v/>
      </c>
      <c r="AW427" s="195" t="str">
        <f aca="false">IF($A428="","",AL427*$E427)</f>
        <v/>
      </c>
      <c r="AX427" s="195" t="str">
        <f aca="false">IF($A428="","",AM427*$E427)</f>
        <v/>
      </c>
      <c r="AY427" s="195" t="str">
        <f aca="false">IF($A428="","",AN427*$E427)</f>
        <v/>
      </c>
      <c r="BA427" s="195" t="str">
        <f aca="false">IF($A428="","",F427*Summary!$Q$7)</f>
        <v/>
      </c>
    </row>
    <row r="428" customFormat="false" ht="12.75" hidden="false" customHeight="false" outlineLevel="0" collapsed="false">
      <c r="A428" s="196" t="str">
        <f aca="false">IF(A427&lt;mthend,EDATE(A427,1),"")</f>
        <v/>
      </c>
      <c r="B428" s="197" t="str">
        <f aca="false">IF(A428&lt;mthend,B427,"")</f>
        <v/>
      </c>
      <c r="D428" s="197" t="str">
        <f aca="false">IF(A429&lt;&gt;"",B428+C428,"")</f>
        <v/>
      </c>
      <c r="E428" s="199" t="str">
        <f aca="false">IF(A429="","",IF(AND(AT428=1,$H$3=1),D428*AO428,IF($H$3=2,D428,"N/A")))</f>
        <v/>
      </c>
      <c r="F428" s="199" t="str">
        <f aca="false">IF(A429="","",E428*AS428)</f>
        <v/>
      </c>
      <c r="G428" s="200" t="str">
        <f aca="false">IF($A429="","",VLOOKUP($A428,Table,MATCH(G$4,Curves,0)))</f>
        <v/>
      </c>
      <c r="H428" s="201" t="str">
        <f aca="false">IF(A429="","",G428)</f>
        <v/>
      </c>
      <c r="J428" s="200" t="str">
        <f aca="false">IF($A429="","",VLOOKUP($A428,Table,MATCH(J$4,Curves,0)))</f>
        <v/>
      </c>
      <c r="K428" s="201" t="str">
        <f aca="false">IF(A429="","",J428)</f>
        <v/>
      </c>
      <c r="L428" s="200" t="str">
        <f aca="false">IF($A429="","",VLOOKUP($A428,Table,MATCH(L$4,Curves,0)))</f>
        <v/>
      </c>
      <c r="M428" s="201" t="str">
        <f aca="false">IF(A429="","",L428)</f>
        <v/>
      </c>
      <c r="O428" s="200" t="str">
        <f aca="false">IF(A429="","",L428+J428+G428)</f>
        <v/>
      </c>
      <c r="P428" s="200" t="str">
        <f aca="false">IF(A429="","",M428+K428+H428)</f>
        <v/>
      </c>
      <c r="R428" s="200" t="str">
        <f aca="false">IF($A429="","",VLOOKUP($A428,Table,MATCH(R$4,Curves,0)))</f>
        <v/>
      </c>
      <c r="S428" s="201" t="str">
        <f aca="false">IF(A429="","",R428)</f>
        <v/>
      </c>
      <c r="T428" s="200" t="str">
        <f aca="false">IF($A429="","",VLOOKUP($A428,Table,MATCH(T$4,Curves,0)))</f>
        <v/>
      </c>
      <c r="U428" s="201" t="str">
        <f aca="false">IF(A429="","",T428)</f>
        <v/>
      </c>
      <c r="V428" s="183" t="str">
        <f aca="false">IF($A429="","",IF(AND(MONTH(A428)&gt;3,MONTH(A428)&lt;11),(T428+R428+G428)*Summary!$T$7/(1-Summary!$T$7),(T428+R428+G428)*Summary!$U$7/(1-Summary!$U$7)))</f>
        <v/>
      </c>
      <c r="W428" s="200" t="str">
        <f aca="false">IF($A429="","",(T428+R428+G428+V428))</f>
        <v/>
      </c>
      <c r="X428" s="200" t="str">
        <f aca="false">IF($A429="","",(U428+S428+H428+V428))</f>
        <v/>
      </c>
      <c r="Y428" s="202"/>
      <c r="Z428" s="185"/>
      <c r="AJ428" s="77"/>
      <c r="AK428" s="77"/>
      <c r="AL428" s="77"/>
      <c r="AM428" s="77"/>
      <c r="AN428" s="77"/>
      <c r="AO428" s="137" t="str">
        <f aca="false">IF(A429="","",A429-A428)</f>
        <v/>
      </c>
      <c r="AP428" s="212" t="str">
        <f aca="false">IF(A429="","",CHOOSE(F$3,A429+24,A428))</f>
        <v/>
      </c>
      <c r="AQ428" s="209" t="str">
        <f aca="false">IF(A429="","",AP428-$E$1)</f>
        <v/>
      </c>
      <c r="AR428" s="185" t="n">
        <f aca="false">IF(Summary!$H$2=1,VLOOKUP('ANR OK vs ML7'!A428,Curves!$C$17:$AR$273,MATCH('ANR OK vs ML7'!$AR$4,Curves!$C$8:$AQ$8,0)),0.1)</f>
        <v>0.1</v>
      </c>
      <c r="AS428" s="213" t="str">
        <f aca="false">IF(A429="","",1/(1+CHOOSE(F$3,(AR429+($I$3/10000))/2,(AR428+($I$3/10000))/2))^(2*AQ428/365.25))</f>
        <v/>
      </c>
      <c r="AT428" s="137" t="str">
        <f aca="false">IF(A429="","",IF(AND(mthbeg&lt;=A428,mthend&gt;=A428),1,0))</f>
        <v/>
      </c>
      <c r="AU428" s="137" t="str">
        <f aca="false">IF(A429="","",AO428*AT428)</f>
        <v/>
      </c>
      <c r="AW428" s="195" t="str">
        <f aca="false">IF($A429="","",AL428*$E428)</f>
        <v/>
      </c>
      <c r="AX428" s="195" t="str">
        <f aca="false">IF($A429="","",AM428*$E428)</f>
        <v/>
      </c>
      <c r="AY428" s="195" t="str">
        <f aca="false">IF($A429="","",AN428*$E428)</f>
        <v/>
      </c>
      <c r="BA428" s="195" t="str">
        <f aca="false">IF($A429="","",F428*Summary!$Q$7)</f>
        <v/>
      </c>
    </row>
    <row r="429" customFormat="false" ht="12.75" hidden="false" customHeight="false" outlineLevel="0" collapsed="false">
      <c r="A429" s="196" t="str">
        <f aca="false">IF(A428&lt;mthend,EDATE(A428,1),"")</f>
        <v/>
      </c>
      <c r="B429" s="197" t="str">
        <f aca="false">IF(A429&lt;mthend,B428,"")</f>
        <v/>
      </c>
      <c r="D429" s="197" t="str">
        <f aca="false">IF(A430&lt;&gt;"",B429+C429,"")</f>
        <v/>
      </c>
      <c r="E429" s="199" t="str">
        <f aca="false">IF(A430="","",IF(AND(AT429=1,$H$3=1),D429*AO429,IF($H$3=2,D429,"N/A")))</f>
        <v/>
      </c>
      <c r="F429" s="199" t="str">
        <f aca="false">IF(A430="","",E429*AS429)</f>
        <v/>
      </c>
      <c r="G429" s="200" t="str">
        <f aca="false">IF($A430="","",VLOOKUP($A429,Table,MATCH(G$4,Curves,0)))</f>
        <v/>
      </c>
      <c r="H429" s="201" t="str">
        <f aca="false">IF(A430="","",G429)</f>
        <v/>
      </c>
      <c r="J429" s="200" t="str">
        <f aca="false">IF($A430="","",VLOOKUP($A429,Table,MATCH(J$4,Curves,0)))</f>
        <v/>
      </c>
      <c r="K429" s="201" t="str">
        <f aca="false">IF(A430="","",J429)</f>
        <v/>
      </c>
      <c r="L429" s="200" t="str">
        <f aca="false">IF($A430="","",VLOOKUP($A429,Table,MATCH(L$4,Curves,0)))</f>
        <v/>
      </c>
      <c r="M429" s="201" t="str">
        <f aca="false">IF(A430="","",L429)</f>
        <v/>
      </c>
      <c r="O429" s="200" t="str">
        <f aca="false">IF(A430="","",L429+J429+G429)</f>
        <v/>
      </c>
      <c r="P429" s="200" t="str">
        <f aca="false">IF(A430="","",M429+K429+H429)</f>
        <v/>
      </c>
      <c r="R429" s="200" t="str">
        <f aca="false">IF($A430="","",VLOOKUP($A429,Table,MATCH(R$4,Curves,0)))</f>
        <v/>
      </c>
      <c r="S429" s="201" t="str">
        <f aca="false">IF(A430="","",R429)</f>
        <v/>
      </c>
      <c r="T429" s="200" t="str">
        <f aca="false">IF($A430="","",VLOOKUP($A429,Table,MATCH(T$4,Curves,0)))</f>
        <v/>
      </c>
      <c r="U429" s="201" t="str">
        <f aca="false">IF(A430="","",T429)</f>
        <v/>
      </c>
      <c r="V429" s="183" t="str">
        <f aca="false">IF($A430="","",IF(AND(MONTH(A429)&gt;3,MONTH(A429)&lt;11),(T429+R429+G429)*Summary!$T$7/(1-Summary!$T$7),(T429+R429+G429)*Summary!$U$7/(1-Summary!$U$7)))</f>
        <v/>
      </c>
      <c r="W429" s="200" t="str">
        <f aca="false">IF($A430="","",(T429+R429+G429+V429))</f>
        <v/>
      </c>
      <c r="X429" s="200" t="str">
        <f aca="false">IF($A430="","",(U429+S429+H429+V429))</f>
        <v/>
      </c>
      <c r="Y429" s="202"/>
      <c r="Z429" s="185"/>
      <c r="AJ429" s="77"/>
      <c r="AK429" s="77"/>
      <c r="AL429" s="77"/>
      <c r="AM429" s="77"/>
      <c r="AN429" s="77"/>
      <c r="AO429" s="137" t="str">
        <f aca="false">IF(A430="","",A430-A429)</f>
        <v/>
      </c>
      <c r="AP429" s="212" t="str">
        <f aca="false">IF(A430="","",CHOOSE(F$3,A430+24,A429))</f>
        <v/>
      </c>
      <c r="AQ429" s="209" t="str">
        <f aca="false">IF(A430="","",AP429-$E$1)</f>
        <v/>
      </c>
      <c r="AR429" s="185" t="n">
        <f aca="false">IF(Summary!$H$2=1,VLOOKUP('ANR OK vs ML7'!A429,Curves!$C$17:$AR$273,MATCH('ANR OK vs ML7'!$AR$4,Curves!$C$8:$AQ$8,0)),0.1)</f>
        <v>0.1</v>
      </c>
      <c r="AS429" s="213" t="str">
        <f aca="false">IF(A430="","",1/(1+CHOOSE(F$3,(AR430+($I$3/10000))/2,(AR429+($I$3/10000))/2))^(2*AQ429/365.25))</f>
        <v/>
      </c>
      <c r="AT429" s="137" t="str">
        <f aca="false">IF(A430="","",IF(AND(mthbeg&lt;=A429,mthend&gt;=A429),1,0))</f>
        <v/>
      </c>
      <c r="AU429" s="137" t="str">
        <f aca="false">IF(A430="","",AO429*AT429)</f>
        <v/>
      </c>
      <c r="AW429" s="195" t="str">
        <f aca="false">IF($A430="","",AL429*$E429)</f>
        <v/>
      </c>
      <c r="AX429" s="195" t="str">
        <f aca="false">IF($A430="","",AM429*$E429)</f>
        <v/>
      </c>
      <c r="AY429" s="195" t="str">
        <f aca="false">IF($A430="","",AN429*$E429)</f>
        <v/>
      </c>
      <c r="BA429" s="195" t="str">
        <f aca="false">IF($A430="","",F429*Summary!$Q$7)</f>
        <v/>
      </c>
    </row>
    <row r="430" customFormat="false" ht="12.75" hidden="false" customHeight="false" outlineLevel="0" collapsed="false">
      <c r="A430" s="196" t="str">
        <f aca="false">IF(A429&lt;mthend,EDATE(A429,1),"")</f>
        <v/>
      </c>
      <c r="B430" s="197" t="str">
        <f aca="false">IF(A430&lt;mthend,B429,"")</f>
        <v/>
      </c>
      <c r="D430" s="197" t="str">
        <f aca="false">IF(A431&lt;&gt;"",B430+C430,"")</f>
        <v/>
      </c>
      <c r="E430" s="199" t="str">
        <f aca="false">IF(A431="","",IF(AND(AT430=1,$H$3=1),D430*AO430,IF($H$3=2,D430,"N/A")))</f>
        <v/>
      </c>
      <c r="F430" s="199" t="str">
        <f aca="false">IF(A431="","",E430*AS430)</f>
        <v/>
      </c>
      <c r="G430" s="200" t="str">
        <f aca="false">IF($A431="","",VLOOKUP($A430,Table,MATCH(G$4,Curves,0)))</f>
        <v/>
      </c>
      <c r="H430" s="201" t="str">
        <f aca="false">IF(A431="","",G430)</f>
        <v/>
      </c>
      <c r="J430" s="200" t="str">
        <f aca="false">IF($A431="","",VLOOKUP($A430,Table,MATCH(J$4,Curves,0)))</f>
        <v/>
      </c>
      <c r="K430" s="201" t="str">
        <f aca="false">IF(A431="","",J430)</f>
        <v/>
      </c>
      <c r="L430" s="200" t="str">
        <f aca="false">IF($A431="","",VLOOKUP($A430,Table,MATCH(L$4,Curves,0)))</f>
        <v/>
      </c>
      <c r="M430" s="201" t="str">
        <f aca="false">IF(A431="","",L430)</f>
        <v/>
      </c>
      <c r="O430" s="200" t="str">
        <f aca="false">IF(A431="","",L430+J430+G430)</f>
        <v/>
      </c>
      <c r="P430" s="200" t="str">
        <f aca="false">IF(A431="","",M430+K430+H430)</f>
        <v/>
      </c>
      <c r="R430" s="200" t="str">
        <f aca="false">IF($A431="","",VLOOKUP($A430,Table,MATCH(R$4,Curves,0)))</f>
        <v/>
      </c>
      <c r="S430" s="201" t="str">
        <f aca="false">IF(A431="","",R430)</f>
        <v/>
      </c>
      <c r="T430" s="200" t="str">
        <f aca="false">IF($A431="","",VLOOKUP($A430,Table,MATCH(T$4,Curves,0)))</f>
        <v/>
      </c>
      <c r="U430" s="201" t="str">
        <f aca="false">IF(A431="","",T430)</f>
        <v/>
      </c>
      <c r="V430" s="183" t="str">
        <f aca="false">IF($A431="","",IF(AND(MONTH(A430)&gt;3,MONTH(A430)&lt;11),(T430+R430+G430)*Summary!$T$7/(1-Summary!$T$7),(T430+R430+G430)*Summary!$U$7/(1-Summary!$U$7)))</f>
        <v/>
      </c>
      <c r="W430" s="200" t="str">
        <f aca="false">IF($A431="","",(T430+R430+G430+V430))</f>
        <v/>
      </c>
      <c r="X430" s="200" t="str">
        <f aca="false">IF($A431="","",(U430+S430+H430+V430))</f>
        <v/>
      </c>
      <c r="Y430" s="202"/>
      <c r="Z430" s="185"/>
      <c r="AJ430" s="77"/>
      <c r="AK430" s="77"/>
      <c r="AL430" s="77"/>
      <c r="AM430" s="77"/>
      <c r="AN430" s="77"/>
      <c r="AO430" s="137" t="str">
        <f aca="false">IF(A431="","",A431-A430)</f>
        <v/>
      </c>
      <c r="AP430" s="212" t="str">
        <f aca="false">IF(A431="","",CHOOSE(F$3,A431+24,A430))</f>
        <v/>
      </c>
      <c r="AQ430" s="209" t="str">
        <f aca="false">IF(A431="","",AP430-$E$1)</f>
        <v/>
      </c>
      <c r="AR430" s="185" t="n">
        <f aca="false">IF(Summary!$H$2=1,VLOOKUP('ANR OK vs ML7'!A430,Curves!$C$17:$AR$273,MATCH('ANR OK vs ML7'!$AR$4,Curves!$C$8:$AQ$8,0)),0.1)</f>
        <v>0.1</v>
      </c>
      <c r="AS430" s="213" t="str">
        <f aca="false">IF(A431="","",1/(1+CHOOSE(F$3,(AR431+($I$3/10000))/2,(AR430+($I$3/10000))/2))^(2*AQ430/365.25))</f>
        <v/>
      </c>
      <c r="AT430" s="137" t="str">
        <f aca="false">IF(A431="","",IF(AND(mthbeg&lt;=A430,mthend&gt;=A430),1,0))</f>
        <v/>
      </c>
      <c r="AU430" s="137" t="str">
        <f aca="false">IF(A431="","",AO430*AT430)</f>
        <v/>
      </c>
      <c r="AW430" s="195" t="str">
        <f aca="false">IF($A431="","",AL430*$E430)</f>
        <v/>
      </c>
      <c r="AX430" s="195" t="str">
        <f aca="false">IF($A431="","",AM430*$E430)</f>
        <v/>
      </c>
      <c r="AY430" s="195" t="str">
        <f aca="false">IF($A431="","",AN430*$E430)</f>
        <v/>
      </c>
      <c r="BA430" s="195" t="str">
        <f aca="false">IF($A431="","",F430*Summary!$Q$7)</f>
        <v/>
      </c>
    </row>
    <row r="431" customFormat="false" ht="12.75" hidden="false" customHeight="false" outlineLevel="0" collapsed="false">
      <c r="A431" s="196" t="str">
        <f aca="false">IF(A430&lt;mthend,EDATE(A430,1),"")</f>
        <v/>
      </c>
      <c r="B431" s="197" t="str">
        <f aca="false">IF(A431&lt;mthend,B430,"")</f>
        <v/>
      </c>
      <c r="D431" s="197" t="str">
        <f aca="false">IF(A432&lt;&gt;"",B431+C431,"")</f>
        <v/>
      </c>
      <c r="E431" s="199" t="str">
        <f aca="false">IF(A432="","",IF(AND(AT431=1,$H$3=1),D431*AO431,IF($H$3=2,D431,"N/A")))</f>
        <v/>
      </c>
      <c r="F431" s="199" t="str">
        <f aca="false">IF(A432="","",E431*AS431)</f>
        <v/>
      </c>
      <c r="G431" s="200" t="str">
        <f aca="false">IF($A432="","",VLOOKUP($A431,Table,MATCH(G$4,Curves,0)))</f>
        <v/>
      </c>
      <c r="H431" s="201" t="str">
        <f aca="false">IF(A432="","",G431)</f>
        <v/>
      </c>
      <c r="J431" s="200" t="str">
        <f aca="false">IF($A432="","",VLOOKUP($A431,Table,MATCH(J$4,Curves,0)))</f>
        <v/>
      </c>
      <c r="K431" s="201" t="str">
        <f aca="false">IF(A432="","",J431)</f>
        <v/>
      </c>
      <c r="L431" s="200" t="str">
        <f aca="false">IF($A432="","",VLOOKUP($A431,Table,MATCH(L$4,Curves,0)))</f>
        <v/>
      </c>
      <c r="M431" s="201" t="str">
        <f aca="false">IF(A432="","",L431)</f>
        <v/>
      </c>
      <c r="O431" s="200" t="str">
        <f aca="false">IF(A432="","",L431+J431+G431)</f>
        <v/>
      </c>
      <c r="P431" s="200" t="str">
        <f aca="false">IF(A432="","",M431+K431+H431)</f>
        <v/>
      </c>
      <c r="R431" s="200" t="str">
        <f aca="false">IF($A432="","",VLOOKUP($A431,Table,MATCH(R$4,Curves,0)))</f>
        <v/>
      </c>
      <c r="S431" s="201" t="str">
        <f aca="false">IF(A432="","",R431)</f>
        <v/>
      </c>
      <c r="T431" s="200" t="str">
        <f aca="false">IF($A432="","",VLOOKUP($A431,Table,MATCH(T$4,Curves,0)))</f>
        <v/>
      </c>
      <c r="U431" s="201" t="str">
        <f aca="false">IF(A432="","",T431)</f>
        <v/>
      </c>
      <c r="V431" s="183" t="str">
        <f aca="false">IF($A432="","",IF(AND(MONTH(A431)&gt;3,MONTH(A431)&lt;11),(T431+R431+G431)*Summary!$T$7/(1-Summary!$T$7),(T431+R431+G431)*Summary!$U$7/(1-Summary!$U$7)))</f>
        <v/>
      </c>
      <c r="W431" s="200" t="str">
        <f aca="false">IF($A432="","",(T431+R431+G431+V431))</f>
        <v/>
      </c>
      <c r="X431" s="200" t="str">
        <f aca="false">IF($A432="","",(U431+S431+H431+V431))</f>
        <v/>
      </c>
      <c r="Y431" s="202"/>
      <c r="Z431" s="185"/>
      <c r="AJ431" s="77"/>
      <c r="AK431" s="77"/>
      <c r="AL431" s="77"/>
      <c r="AM431" s="77"/>
      <c r="AN431" s="77"/>
      <c r="AO431" s="137" t="str">
        <f aca="false">IF(A432="","",A432-A431)</f>
        <v/>
      </c>
      <c r="AP431" s="212" t="str">
        <f aca="false">IF(A432="","",CHOOSE(F$3,A432+24,A431))</f>
        <v/>
      </c>
      <c r="AQ431" s="209" t="str">
        <f aca="false">IF(A432="","",AP431-$E$1)</f>
        <v/>
      </c>
      <c r="AR431" s="185" t="n">
        <f aca="false">IF(Summary!$H$2=1,VLOOKUP('ANR OK vs ML7'!A431,Curves!$C$17:$AR$273,MATCH('ANR OK vs ML7'!$AR$4,Curves!$C$8:$AQ$8,0)),0.1)</f>
        <v>0.1</v>
      </c>
      <c r="AS431" s="213" t="str">
        <f aca="false">IF(A432="","",1/(1+CHOOSE(F$3,(AR432+($I$3/10000))/2,(AR431+($I$3/10000))/2))^(2*AQ431/365.25))</f>
        <v/>
      </c>
      <c r="AT431" s="137" t="str">
        <f aca="false">IF(A432="","",IF(AND(mthbeg&lt;=A431,mthend&gt;=A431),1,0))</f>
        <v/>
      </c>
      <c r="AU431" s="137" t="str">
        <f aca="false">IF(A432="","",AO431*AT431)</f>
        <v/>
      </c>
      <c r="AW431" s="195" t="str">
        <f aca="false">IF($A432="","",AL431*$E431)</f>
        <v/>
      </c>
      <c r="AX431" s="195" t="str">
        <f aca="false">IF($A432="","",AM431*$E431)</f>
        <v/>
      </c>
      <c r="AY431" s="195" t="str">
        <f aca="false">IF($A432="","",AN431*$E431)</f>
        <v/>
      </c>
      <c r="BA431" s="195" t="str">
        <f aca="false">IF($A432="","",F431*Summary!$Q$7)</f>
        <v/>
      </c>
    </row>
    <row r="432" customFormat="false" ht="12.75" hidden="false" customHeight="false" outlineLevel="0" collapsed="false">
      <c r="A432" s="196" t="str">
        <f aca="false">IF(A431&lt;mthend,EDATE(A431,1),"")</f>
        <v/>
      </c>
      <c r="B432" s="197" t="str">
        <f aca="false">IF(A432&lt;mthend,B431,"")</f>
        <v/>
      </c>
      <c r="D432" s="197" t="str">
        <f aca="false">IF(A433&lt;&gt;"",B432+C432,"")</f>
        <v/>
      </c>
      <c r="E432" s="199" t="str">
        <f aca="false">IF(A433="","",IF(AND(AT432=1,$H$3=1),D432*AO432,IF($H$3=2,D432,"N/A")))</f>
        <v/>
      </c>
      <c r="F432" s="199" t="str">
        <f aca="false">IF(A433="","",E432*AS432)</f>
        <v/>
      </c>
      <c r="G432" s="200" t="str">
        <f aca="false">IF($A433="","",VLOOKUP($A432,Table,MATCH(G$4,Curves,0)))</f>
        <v/>
      </c>
      <c r="H432" s="201" t="str">
        <f aca="false">IF(A433="","",G432)</f>
        <v/>
      </c>
      <c r="J432" s="200" t="str">
        <f aca="false">IF($A433="","",VLOOKUP($A432,Table,MATCH(J$4,Curves,0)))</f>
        <v/>
      </c>
      <c r="K432" s="201" t="str">
        <f aca="false">IF(A433="","",J432)</f>
        <v/>
      </c>
      <c r="L432" s="200" t="str">
        <f aca="false">IF($A433="","",VLOOKUP($A432,Table,MATCH(L$4,Curves,0)))</f>
        <v/>
      </c>
      <c r="M432" s="201" t="str">
        <f aca="false">IF(A433="","",L432)</f>
        <v/>
      </c>
      <c r="O432" s="200" t="str">
        <f aca="false">IF(A433="","",L432+J432+G432)</f>
        <v/>
      </c>
      <c r="P432" s="200" t="str">
        <f aca="false">IF(A433="","",M432+K432+H432)</f>
        <v/>
      </c>
      <c r="R432" s="200" t="str">
        <f aca="false">IF($A433="","",VLOOKUP($A432,Table,MATCH(R$4,Curves,0)))</f>
        <v/>
      </c>
      <c r="S432" s="201" t="str">
        <f aca="false">IF(A433="","",R432)</f>
        <v/>
      </c>
      <c r="T432" s="200" t="str">
        <f aca="false">IF($A433="","",VLOOKUP($A432,Table,MATCH(T$4,Curves,0)))</f>
        <v/>
      </c>
      <c r="U432" s="201" t="str">
        <f aca="false">IF(A433="","",T432)</f>
        <v/>
      </c>
      <c r="V432" s="183" t="str">
        <f aca="false">IF($A433="","",IF(AND(MONTH(A432)&gt;3,MONTH(A432)&lt;11),(T432+R432+G432)*Summary!$T$7/(1-Summary!$T$7),(T432+R432+G432)*Summary!$U$7/(1-Summary!$U$7)))</f>
        <v/>
      </c>
      <c r="W432" s="200" t="str">
        <f aca="false">IF($A433="","",(T432+R432+G432+V432))</f>
        <v/>
      </c>
      <c r="X432" s="200" t="str">
        <f aca="false">IF($A433="","",(U432+S432+H432+V432))</f>
        <v/>
      </c>
      <c r="Y432" s="202"/>
      <c r="Z432" s="185"/>
      <c r="AJ432" s="77"/>
      <c r="AK432" s="77"/>
      <c r="AL432" s="77"/>
      <c r="AM432" s="77"/>
      <c r="AN432" s="77"/>
      <c r="AO432" s="137" t="str">
        <f aca="false">IF(A433="","",A433-A432)</f>
        <v/>
      </c>
      <c r="AP432" s="212" t="str">
        <f aca="false">IF(A433="","",CHOOSE(F$3,A433+24,A432))</f>
        <v/>
      </c>
      <c r="AQ432" s="209" t="str">
        <f aca="false">IF(A433="","",AP432-$E$1)</f>
        <v/>
      </c>
      <c r="AR432" s="185" t="n">
        <f aca="false">IF(Summary!$H$2=1,VLOOKUP('ANR OK vs ML7'!A432,Curves!$C$17:$AR$273,MATCH('ANR OK vs ML7'!$AR$4,Curves!$C$8:$AQ$8,0)),0.1)</f>
        <v>0.1</v>
      </c>
      <c r="AS432" s="213" t="str">
        <f aca="false">IF(A433="","",1/(1+CHOOSE(F$3,(AR433+($I$3/10000))/2,(AR432+($I$3/10000))/2))^(2*AQ432/365.25))</f>
        <v/>
      </c>
      <c r="AT432" s="137" t="str">
        <f aca="false">IF(A433="","",IF(AND(mthbeg&lt;=A432,mthend&gt;=A432),1,0))</f>
        <v/>
      </c>
      <c r="AU432" s="137" t="str">
        <f aca="false">IF(A433="","",AO432*AT432)</f>
        <v/>
      </c>
      <c r="AW432" s="195" t="str">
        <f aca="false">IF($A433="","",AL432*$E432)</f>
        <v/>
      </c>
      <c r="AX432" s="195" t="str">
        <f aca="false">IF($A433="","",AM432*$E432)</f>
        <v/>
      </c>
      <c r="AY432" s="195" t="str">
        <f aca="false">IF($A433="","",AN432*$E432)</f>
        <v/>
      </c>
      <c r="BA432" s="195" t="str">
        <f aca="false">IF($A433="","",F432*Summary!$Q$7)</f>
        <v/>
      </c>
    </row>
    <row r="433" customFormat="false" ht="12.75" hidden="false" customHeight="false" outlineLevel="0" collapsed="false">
      <c r="A433" s="196" t="str">
        <f aca="false">IF(A432&lt;mthend,EDATE(A432,1),"")</f>
        <v/>
      </c>
      <c r="B433" s="197" t="str">
        <f aca="false">IF(A433&lt;mthend,B432,"")</f>
        <v/>
      </c>
      <c r="D433" s="197" t="str">
        <f aca="false">IF(A434&lt;&gt;"",B433+C433,"")</f>
        <v/>
      </c>
      <c r="E433" s="199" t="str">
        <f aca="false">IF(A434="","",IF(AND(AT433=1,$H$3=1),D433*AO433,IF($H$3=2,D433,"N/A")))</f>
        <v/>
      </c>
      <c r="F433" s="199" t="str">
        <f aca="false">IF(A434="","",E433*AS433)</f>
        <v/>
      </c>
      <c r="G433" s="200" t="str">
        <f aca="false">IF($A434="","",VLOOKUP($A433,Table,MATCH(G$4,Curves,0)))</f>
        <v/>
      </c>
      <c r="H433" s="201" t="str">
        <f aca="false">IF(A434="","",G433)</f>
        <v/>
      </c>
      <c r="J433" s="200" t="str">
        <f aca="false">IF($A434="","",VLOOKUP($A433,Table,MATCH(J$4,Curves,0)))</f>
        <v/>
      </c>
      <c r="K433" s="201" t="str">
        <f aca="false">IF(A434="","",J433)</f>
        <v/>
      </c>
      <c r="L433" s="200" t="str">
        <f aca="false">IF($A434="","",VLOOKUP($A433,Table,MATCH(L$4,Curves,0)))</f>
        <v/>
      </c>
      <c r="M433" s="201" t="str">
        <f aca="false">IF(A434="","",L433)</f>
        <v/>
      </c>
      <c r="O433" s="200" t="str">
        <f aca="false">IF(A434="","",L433+J433+G433)</f>
        <v/>
      </c>
      <c r="P433" s="200" t="str">
        <f aca="false">IF(A434="","",M433+K433+H433)</f>
        <v/>
      </c>
      <c r="R433" s="200" t="str">
        <f aca="false">IF($A434="","",VLOOKUP($A433,Table,MATCH(R$4,Curves,0)))</f>
        <v/>
      </c>
      <c r="S433" s="201" t="str">
        <f aca="false">IF(A434="","",R433)</f>
        <v/>
      </c>
      <c r="T433" s="200" t="str">
        <f aca="false">IF($A434="","",VLOOKUP($A433,Table,MATCH(T$4,Curves,0)))</f>
        <v/>
      </c>
      <c r="U433" s="201" t="str">
        <f aca="false">IF(A434="","",T433)</f>
        <v/>
      </c>
      <c r="V433" s="183" t="str">
        <f aca="false">IF($A434="","",IF(AND(MONTH(A433)&gt;3,MONTH(A433)&lt;11),(T433+R433+G433)*Summary!$T$7/(1-Summary!$T$7),(T433+R433+G433)*Summary!$U$7/(1-Summary!$U$7)))</f>
        <v/>
      </c>
      <c r="W433" s="200" t="str">
        <f aca="false">IF($A434="","",(T433+R433+G433+V433))</f>
        <v/>
      </c>
      <c r="X433" s="200" t="str">
        <f aca="false">IF($A434="","",(U433+S433+H433+V433))</f>
        <v/>
      </c>
      <c r="Y433" s="202"/>
      <c r="Z433" s="185"/>
      <c r="AJ433" s="77"/>
      <c r="AK433" s="77"/>
      <c r="AL433" s="77"/>
      <c r="AM433" s="77"/>
      <c r="AN433" s="77"/>
      <c r="AO433" s="137" t="str">
        <f aca="false">IF(A434="","",A434-A433)</f>
        <v/>
      </c>
      <c r="AP433" s="212" t="str">
        <f aca="false">IF(A434="","",CHOOSE(F$3,A434+24,A433))</f>
        <v/>
      </c>
      <c r="AQ433" s="209" t="str">
        <f aca="false">IF(A434="","",AP433-$E$1)</f>
        <v/>
      </c>
      <c r="AR433" s="185" t="n">
        <f aca="false">IF(Summary!$H$2=1,VLOOKUP('ANR OK vs ML7'!A433,Curves!$C$17:$AR$273,MATCH('ANR OK vs ML7'!$AR$4,Curves!$C$8:$AQ$8,0)),0.1)</f>
        <v>0.1</v>
      </c>
      <c r="AS433" s="213" t="str">
        <f aca="false">IF(A434="","",1/(1+CHOOSE(F$3,(AR434+($I$3/10000))/2,(AR433+($I$3/10000))/2))^(2*AQ433/365.25))</f>
        <v/>
      </c>
      <c r="AT433" s="137" t="str">
        <f aca="false">IF(A434="","",IF(AND(mthbeg&lt;=A433,mthend&gt;=A433),1,0))</f>
        <v/>
      </c>
      <c r="AU433" s="137" t="str">
        <f aca="false">IF(A434="","",AO433*AT433)</f>
        <v/>
      </c>
      <c r="AW433" s="195" t="str">
        <f aca="false">IF($A434="","",AL433*$E433)</f>
        <v/>
      </c>
      <c r="AX433" s="195" t="str">
        <f aca="false">IF($A434="","",AM433*$E433)</f>
        <v/>
      </c>
      <c r="AY433" s="195" t="str">
        <f aca="false">IF($A434="","",AN433*$E433)</f>
        <v/>
      </c>
      <c r="BA433" s="195" t="str">
        <f aca="false">IF($A434="","",F433*Summary!$Q$7)</f>
        <v/>
      </c>
    </row>
    <row r="434" customFormat="false" ht="12.75" hidden="false" customHeight="false" outlineLevel="0" collapsed="false">
      <c r="A434" s="196" t="str">
        <f aca="false">IF(A433&lt;mthend,EDATE(A433,1),"")</f>
        <v/>
      </c>
      <c r="B434" s="197" t="str">
        <f aca="false">IF(A434&lt;mthend,B433,"")</f>
        <v/>
      </c>
      <c r="D434" s="197" t="str">
        <f aca="false">IF(A435&lt;&gt;"",B434+C434,"")</f>
        <v/>
      </c>
      <c r="E434" s="199" t="str">
        <f aca="false">IF(A435="","",IF(AND(AT434=1,$H$3=1),D434*AO434,IF($H$3=2,D434,"N/A")))</f>
        <v/>
      </c>
      <c r="F434" s="199" t="str">
        <f aca="false">IF(A435="","",E434*AS434)</f>
        <v/>
      </c>
      <c r="G434" s="200" t="str">
        <f aca="false">IF($A435="","",VLOOKUP($A434,Table,MATCH(G$4,Curves,0)))</f>
        <v/>
      </c>
      <c r="H434" s="201" t="str">
        <f aca="false">IF(A435="","",G434)</f>
        <v/>
      </c>
      <c r="J434" s="200" t="str">
        <f aca="false">IF($A435="","",VLOOKUP($A434,Table,MATCH(J$4,Curves,0)))</f>
        <v/>
      </c>
      <c r="K434" s="201" t="str">
        <f aca="false">IF(A435="","",J434)</f>
        <v/>
      </c>
      <c r="L434" s="200" t="str">
        <f aca="false">IF($A435="","",VLOOKUP($A434,Table,MATCH(L$4,Curves,0)))</f>
        <v/>
      </c>
      <c r="M434" s="201" t="str">
        <f aca="false">IF(A435="","",L434)</f>
        <v/>
      </c>
      <c r="O434" s="200" t="str">
        <f aca="false">IF(A435="","",L434+J434+G434)</f>
        <v/>
      </c>
      <c r="P434" s="200" t="str">
        <f aca="false">IF(A435="","",M434+K434+H434)</f>
        <v/>
      </c>
      <c r="R434" s="200" t="str">
        <f aca="false">IF($A435="","",VLOOKUP($A434,Table,MATCH(R$4,Curves,0)))</f>
        <v/>
      </c>
      <c r="S434" s="201" t="str">
        <f aca="false">IF(A435="","",R434)</f>
        <v/>
      </c>
      <c r="T434" s="200" t="str">
        <f aca="false">IF($A435="","",VLOOKUP($A434,Table,MATCH(T$4,Curves,0)))</f>
        <v/>
      </c>
      <c r="U434" s="201" t="str">
        <f aca="false">IF(A435="","",T434)</f>
        <v/>
      </c>
      <c r="V434" s="183" t="str">
        <f aca="false">IF($A435="","",IF(AND(MONTH(A434)&gt;3,MONTH(A434)&lt;11),(T434+R434+G434)*Summary!$T$7/(1-Summary!$T$7),(T434+R434+G434)*Summary!$U$7/(1-Summary!$U$7)))</f>
        <v/>
      </c>
      <c r="W434" s="200" t="str">
        <f aca="false">IF($A435="","",(T434+R434+G434+V434))</f>
        <v/>
      </c>
      <c r="X434" s="200" t="str">
        <f aca="false">IF($A435="","",(U434+S434+H434+V434))</f>
        <v/>
      </c>
      <c r="Y434" s="202"/>
      <c r="Z434" s="185"/>
      <c r="AJ434" s="77"/>
      <c r="AK434" s="77"/>
      <c r="AL434" s="77"/>
      <c r="AM434" s="77"/>
      <c r="AN434" s="77"/>
      <c r="AO434" s="137" t="str">
        <f aca="false">IF(A435="","",A435-A434)</f>
        <v/>
      </c>
      <c r="AP434" s="212" t="str">
        <f aca="false">IF(A435="","",CHOOSE(F$3,A435+24,A434))</f>
        <v/>
      </c>
      <c r="AQ434" s="209" t="str">
        <f aca="false">IF(A435="","",AP434-$E$1)</f>
        <v/>
      </c>
      <c r="AR434" s="185" t="n">
        <f aca="false">IF(Summary!$H$2=1,VLOOKUP('ANR OK vs ML7'!A434,Curves!$C$17:$AR$273,MATCH('ANR OK vs ML7'!$AR$4,Curves!$C$8:$AQ$8,0)),0.1)</f>
        <v>0.1</v>
      </c>
      <c r="AS434" s="213" t="str">
        <f aca="false">IF(A435="","",1/(1+CHOOSE(F$3,(AR435+($I$3/10000))/2,(AR434+($I$3/10000))/2))^(2*AQ434/365.25))</f>
        <v/>
      </c>
      <c r="AT434" s="137" t="str">
        <f aca="false">IF(A435="","",IF(AND(mthbeg&lt;=A434,mthend&gt;=A434),1,0))</f>
        <v/>
      </c>
      <c r="AU434" s="137" t="str">
        <f aca="false">IF(A435="","",AO434*AT434)</f>
        <v/>
      </c>
      <c r="AW434" s="195" t="str">
        <f aca="false">IF($A435="","",AL434*$E434)</f>
        <v/>
      </c>
      <c r="AX434" s="195" t="str">
        <f aca="false">IF($A435="","",AM434*$E434)</f>
        <v/>
      </c>
      <c r="AY434" s="195" t="str">
        <f aca="false">IF($A435="","",AN434*$E434)</f>
        <v/>
      </c>
      <c r="BA434" s="195" t="str">
        <f aca="false">IF($A435="","",F434*Summary!$Q$7)</f>
        <v/>
      </c>
    </row>
    <row r="435" customFormat="false" ht="12.75" hidden="false" customHeight="false" outlineLevel="0" collapsed="false">
      <c r="A435" s="196" t="str">
        <f aca="false">IF(A434&lt;mthend,EDATE(A434,1),"")</f>
        <v/>
      </c>
      <c r="B435" s="197" t="str">
        <f aca="false">IF(A435&lt;mthend,B434,"")</f>
        <v/>
      </c>
      <c r="D435" s="197" t="str">
        <f aca="false">IF(A436&lt;&gt;"",B435+C435,"")</f>
        <v/>
      </c>
      <c r="E435" s="199" t="str">
        <f aca="false">IF(A436="","",IF(AND(AT435=1,$H$3=1),D435*AO435,IF($H$3=2,D435,"N/A")))</f>
        <v/>
      </c>
      <c r="F435" s="199" t="str">
        <f aca="false">IF(A436="","",E435*AS435)</f>
        <v/>
      </c>
      <c r="G435" s="200" t="str">
        <f aca="false">IF($A436="","",VLOOKUP($A435,Table,MATCH(G$4,Curves,0)))</f>
        <v/>
      </c>
      <c r="H435" s="201" t="str">
        <f aca="false">IF(A436="","",G435)</f>
        <v/>
      </c>
      <c r="J435" s="200" t="str">
        <f aca="false">IF($A436="","",VLOOKUP($A435,Table,MATCH(J$4,Curves,0)))</f>
        <v/>
      </c>
      <c r="K435" s="201" t="str">
        <f aca="false">IF(A436="","",J435)</f>
        <v/>
      </c>
      <c r="L435" s="200" t="str">
        <f aca="false">IF($A436="","",VLOOKUP($A435,Table,MATCH(L$4,Curves,0)))</f>
        <v/>
      </c>
      <c r="M435" s="201" t="str">
        <f aca="false">IF(A436="","",L435)</f>
        <v/>
      </c>
      <c r="O435" s="200" t="str">
        <f aca="false">IF(A436="","",L435+J435+G435)</f>
        <v/>
      </c>
      <c r="P435" s="200" t="str">
        <f aca="false">IF(A436="","",M435+K435+H435)</f>
        <v/>
      </c>
      <c r="R435" s="200" t="str">
        <f aca="false">IF($A436="","",VLOOKUP($A435,Table,MATCH(R$4,Curves,0)))</f>
        <v/>
      </c>
      <c r="S435" s="201" t="str">
        <f aca="false">IF(A436="","",R435)</f>
        <v/>
      </c>
      <c r="T435" s="200" t="str">
        <f aca="false">IF($A436="","",VLOOKUP($A435,Table,MATCH(T$4,Curves,0)))</f>
        <v/>
      </c>
      <c r="U435" s="201" t="str">
        <f aca="false">IF(A436="","",T435)</f>
        <v/>
      </c>
      <c r="V435" s="183" t="str">
        <f aca="false">IF($A436="","",IF(AND(MONTH(A435)&gt;3,MONTH(A435)&lt;11),(T435+R435+G435)*Summary!$T$7/(1-Summary!$T$7),(T435+R435+G435)*Summary!$U$7/(1-Summary!$U$7)))</f>
        <v/>
      </c>
      <c r="W435" s="200" t="str">
        <f aca="false">IF($A436="","",(T435+R435+G435+V435))</f>
        <v/>
      </c>
      <c r="X435" s="200" t="str">
        <f aca="false">IF($A436="","",(U435+S435+H435+V435))</f>
        <v/>
      </c>
      <c r="Y435" s="202"/>
      <c r="Z435" s="185"/>
      <c r="AJ435" s="77"/>
      <c r="AK435" s="77"/>
      <c r="AL435" s="77"/>
      <c r="AM435" s="77"/>
      <c r="AN435" s="77"/>
      <c r="AO435" s="137" t="str">
        <f aca="false">IF(A436="","",A436-A435)</f>
        <v/>
      </c>
      <c r="AP435" s="212" t="str">
        <f aca="false">IF(A436="","",CHOOSE(F$3,A436+24,A435))</f>
        <v/>
      </c>
      <c r="AQ435" s="209" t="str">
        <f aca="false">IF(A436="","",AP435-$E$1)</f>
        <v/>
      </c>
      <c r="AR435" s="185" t="n">
        <f aca="false">IF(Summary!$H$2=1,VLOOKUP('ANR OK vs ML7'!A435,Curves!$C$17:$AR$273,MATCH('ANR OK vs ML7'!$AR$4,Curves!$C$8:$AQ$8,0)),0.1)</f>
        <v>0.1</v>
      </c>
      <c r="AS435" s="213" t="str">
        <f aca="false">IF(A436="","",1/(1+CHOOSE(F$3,(AR436+($I$3/10000))/2,(AR435+($I$3/10000))/2))^(2*AQ435/365.25))</f>
        <v/>
      </c>
      <c r="AT435" s="137" t="str">
        <f aca="false">IF(A436="","",IF(AND(mthbeg&lt;=A435,mthend&gt;=A435),1,0))</f>
        <v/>
      </c>
      <c r="AU435" s="137" t="str">
        <f aca="false">IF(A436="","",AO435*AT435)</f>
        <v/>
      </c>
      <c r="AW435" s="195" t="str">
        <f aca="false">IF($A436="","",AL435*$E435)</f>
        <v/>
      </c>
      <c r="AX435" s="195" t="str">
        <f aca="false">IF($A436="","",AM435*$E435)</f>
        <v/>
      </c>
      <c r="AY435" s="195" t="str">
        <f aca="false">IF($A436="","",AN435*$E435)</f>
        <v/>
      </c>
      <c r="BA435" s="195" t="str">
        <f aca="false">IF($A436="","",F435*Summary!$Q$7)</f>
        <v/>
      </c>
    </row>
    <row r="436" customFormat="false" ht="12.75" hidden="false" customHeight="false" outlineLevel="0" collapsed="false">
      <c r="A436" s="196" t="str">
        <f aca="false">IF(A435&lt;mthend,EDATE(A435,1),"")</f>
        <v/>
      </c>
      <c r="B436" s="197" t="str">
        <f aca="false">IF(A436&lt;mthend,B435,"")</f>
        <v/>
      </c>
      <c r="D436" s="197" t="str">
        <f aca="false">IF(A437&lt;&gt;"",B436+C436,"")</f>
        <v/>
      </c>
      <c r="E436" s="199" t="str">
        <f aca="false">IF(A437="","",IF(AND(AT436=1,$H$3=1),D436*AO436,IF($H$3=2,D436,"N/A")))</f>
        <v/>
      </c>
      <c r="F436" s="199" t="str">
        <f aca="false">IF(A437="","",E436*AS436)</f>
        <v/>
      </c>
      <c r="G436" s="200" t="str">
        <f aca="false">IF($A437="","",VLOOKUP($A436,Table,MATCH(G$4,Curves,0)))</f>
        <v/>
      </c>
      <c r="H436" s="201" t="str">
        <f aca="false">IF(A437="","",G436)</f>
        <v/>
      </c>
      <c r="J436" s="200" t="str">
        <f aca="false">IF($A437="","",VLOOKUP($A436,Table,MATCH(J$4,Curves,0)))</f>
        <v/>
      </c>
      <c r="K436" s="201" t="str">
        <f aca="false">IF(A437="","",J436)</f>
        <v/>
      </c>
      <c r="L436" s="200" t="str">
        <f aca="false">IF($A437="","",VLOOKUP($A436,Table,MATCH(L$4,Curves,0)))</f>
        <v/>
      </c>
      <c r="M436" s="201" t="str">
        <f aca="false">IF(A437="","",L436)</f>
        <v/>
      </c>
      <c r="O436" s="200" t="str">
        <f aca="false">IF(A437="","",L436+J436+G436)</f>
        <v/>
      </c>
      <c r="P436" s="200" t="str">
        <f aca="false">IF(A437="","",M436+K436+H436)</f>
        <v/>
      </c>
      <c r="R436" s="200" t="str">
        <f aca="false">IF($A437="","",VLOOKUP($A436,Table,MATCH(R$4,Curves,0)))</f>
        <v/>
      </c>
      <c r="S436" s="201" t="str">
        <f aca="false">IF(A437="","",R436)</f>
        <v/>
      </c>
      <c r="T436" s="200" t="str">
        <f aca="false">IF($A437="","",VLOOKUP($A436,Table,MATCH(T$4,Curves,0)))</f>
        <v/>
      </c>
      <c r="U436" s="201" t="str">
        <f aca="false">IF(A437="","",T436)</f>
        <v/>
      </c>
      <c r="V436" s="183" t="str">
        <f aca="false">IF($A437="","",IF(AND(MONTH(A436)&gt;3,MONTH(A436)&lt;11),(T436+R436+G436)*Summary!$T$7/(1-Summary!$T$7),(T436+R436+G436)*Summary!$U$7/(1-Summary!$U$7)))</f>
        <v/>
      </c>
      <c r="W436" s="200" t="str">
        <f aca="false">IF($A437="","",(T436+R436+G436+V436))</f>
        <v/>
      </c>
      <c r="X436" s="200" t="str">
        <f aca="false">IF($A437="","",(U436+S436+H436+V436))</f>
        <v/>
      </c>
      <c r="Y436" s="202"/>
      <c r="Z436" s="185"/>
      <c r="AJ436" s="77"/>
      <c r="AK436" s="77"/>
      <c r="AL436" s="77"/>
      <c r="AM436" s="77"/>
      <c r="AN436" s="77"/>
      <c r="AO436" s="137" t="str">
        <f aca="false">IF(A437="","",A437-A436)</f>
        <v/>
      </c>
      <c r="AP436" s="212" t="str">
        <f aca="false">IF(A437="","",CHOOSE(F$3,A437+24,A436))</f>
        <v/>
      </c>
      <c r="AQ436" s="209" t="str">
        <f aca="false">IF(A437="","",AP436-$E$1)</f>
        <v/>
      </c>
      <c r="AR436" s="185" t="n">
        <f aca="false">IF(Summary!$H$2=1,VLOOKUP('ANR OK vs ML7'!A436,Curves!$C$17:$AR$273,MATCH('ANR OK vs ML7'!$AR$4,Curves!$C$8:$AQ$8,0)),0.1)</f>
        <v>0.1</v>
      </c>
      <c r="AS436" s="213" t="str">
        <f aca="false">IF(A437="","",1/(1+CHOOSE(F$3,(AR437+($I$3/10000))/2,(AR436+($I$3/10000))/2))^(2*AQ436/365.25))</f>
        <v/>
      </c>
      <c r="AT436" s="137" t="str">
        <f aca="false">IF(A437="","",IF(AND(mthbeg&lt;=A436,mthend&gt;=A436),1,0))</f>
        <v/>
      </c>
      <c r="AU436" s="137" t="str">
        <f aca="false">IF(A437="","",AO436*AT436)</f>
        <v/>
      </c>
      <c r="AW436" s="195" t="str">
        <f aca="false">IF($A437="","",AL436*$E436)</f>
        <v/>
      </c>
      <c r="AX436" s="195" t="str">
        <f aca="false">IF($A437="","",AM436*$E436)</f>
        <v/>
      </c>
      <c r="AY436" s="195" t="str">
        <f aca="false">IF($A437="","",AN436*$E436)</f>
        <v/>
      </c>
      <c r="BA436" s="195" t="str">
        <f aca="false">IF($A437="","",F436*Summary!$Q$7)</f>
        <v/>
      </c>
    </row>
    <row r="437" customFormat="false" ht="12.75" hidden="false" customHeight="false" outlineLevel="0" collapsed="false">
      <c r="A437" s="196" t="str">
        <f aca="false">IF(A436&lt;mthend,EDATE(A436,1),"")</f>
        <v/>
      </c>
      <c r="B437" s="197" t="str">
        <f aca="false">IF(A437&lt;mthend,B436,"")</f>
        <v/>
      </c>
      <c r="D437" s="197" t="str">
        <f aca="false">IF(A438&lt;&gt;"",B437+C437,"")</f>
        <v/>
      </c>
      <c r="E437" s="199" t="str">
        <f aca="false">IF(A438="","",IF(AND(AT437=1,$H$3=1),D437*AO437,IF($H$3=2,D437,"N/A")))</f>
        <v/>
      </c>
      <c r="F437" s="199" t="str">
        <f aca="false">IF(A438="","",E437*AS437)</f>
        <v/>
      </c>
      <c r="G437" s="200" t="str">
        <f aca="false">IF($A438="","",VLOOKUP($A437,Table,MATCH(G$4,Curves,0)))</f>
        <v/>
      </c>
      <c r="H437" s="201" t="str">
        <f aca="false">IF(A438="","",G437)</f>
        <v/>
      </c>
      <c r="J437" s="200" t="str">
        <f aca="false">IF($A438="","",VLOOKUP($A437,Table,MATCH(J$4,Curves,0)))</f>
        <v/>
      </c>
      <c r="K437" s="201" t="str">
        <f aca="false">IF(A438="","",J437)</f>
        <v/>
      </c>
      <c r="L437" s="200" t="str">
        <f aca="false">IF($A438="","",VLOOKUP($A437,Table,MATCH(L$4,Curves,0)))</f>
        <v/>
      </c>
      <c r="M437" s="201" t="str">
        <f aca="false">IF(A438="","",L437)</f>
        <v/>
      </c>
      <c r="O437" s="200" t="str">
        <f aca="false">IF(A438="","",L437+J437+G437)</f>
        <v/>
      </c>
      <c r="P437" s="200" t="str">
        <f aca="false">IF(A438="","",M437+K437+H437)</f>
        <v/>
      </c>
      <c r="R437" s="200" t="str">
        <f aca="false">IF($A438="","",VLOOKUP($A437,Table,MATCH(R$4,Curves,0)))</f>
        <v/>
      </c>
      <c r="S437" s="201" t="str">
        <f aca="false">IF(A438="","",R437)</f>
        <v/>
      </c>
      <c r="T437" s="200" t="str">
        <f aca="false">IF($A438="","",VLOOKUP($A437,Table,MATCH(T$4,Curves,0)))</f>
        <v/>
      </c>
      <c r="U437" s="201" t="str">
        <f aca="false">IF(A438="","",T437)</f>
        <v/>
      </c>
      <c r="V437" s="183" t="str">
        <f aca="false">IF($A438="","",IF(AND(MONTH(A437)&gt;3,MONTH(A437)&lt;11),(T437+R437+G437)*Summary!$T$7/(1-Summary!$T$7),(T437+R437+G437)*Summary!$U$7/(1-Summary!$U$7)))</f>
        <v/>
      </c>
      <c r="W437" s="200" t="str">
        <f aca="false">IF($A438="","",(T437+R437+G437+V437))</f>
        <v/>
      </c>
      <c r="X437" s="200" t="str">
        <f aca="false">IF($A438="","",(U437+S437+H437+V437))</f>
        <v/>
      </c>
      <c r="Y437" s="202"/>
      <c r="Z437" s="185"/>
      <c r="AJ437" s="77"/>
      <c r="AK437" s="77"/>
      <c r="AL437" s="77"/>
      <c r="AM437" s="77"/>
      <c r="AN437" s="77"/>
      <c r="AO437" s="137" t="str">
        <f aca="false">IF(A438="","",A438-A437)</f>
        <v/>
      </c>
      <c r="AP437" s="212" t="str">
        <f aca="false">IF(A438="","",CHOOSE(F$3,A438+24,A437))</f>
        <v/>
      </c>
      <c r="AQ437" s="209" t="str">
        <f aca="false">IF(A438="","",AP437-$E$1)</f>
        <v/>
      </c>
      <c r="AR437" s="185" t="n">
        <f aca="false">IF(Summary!$H$2=1,VLOOKUP('ANR OK vs ML7'!A437,Curves!$C$17:$AR$273,MATCH('ANR OK vs ML7'!$AR$4,Curves!$C$8:$AQ$8,0)),0.1)</f>
        <v>0.1</v>
      </c>
      <c r="AS437" s="213" t="str">
        <f aca="false">IF(A438="","",1/(1+CHOOSE(F$3,(AR438+($I$3/10000))/2,(AR437+($I$3/10000))/2))^(2*AQ437/365.25))</f>
        <v/>
      </c>
      <c r="AT437" s="137" t="str">
        <f aca="false">IF(A438="","",IF(AND(mthbeg&lt;=A437,mthend&gt;=A437),1,0))</f>
        <v/>
      </c>
      <c r="AU437" s="137" t="str">
        <f aca="false">IF(A438="","",AO437*AT437)</f>
        <v/>
      </c>
      <c r="AW437" s="195" t="str">
        <f aca="false">IF($A438="","",AL437*$E437)</f>
        <v/>
      </c>
      <c r="AX437" s="195" t="str">
        <f aca="false">IF($A438="","",AM437*$E437)</f>
        <v/>
      </c>
      <c r="AY437" s="195" t="str">
        <f aca="false">IF($A438="","",AN437*$E437)</f>
        <v/>
      </c>
      <c r="BA437" s="195" t="str">
        <f aca="false">IF($A438="","",F437*Summary!$Q$7)</f>
        <v/>
      </c>
    </row>
    <row r="438" customFormat="false" ht="12.75" hidden="false" customHeight="false" outlineLevel="0" collapsed="false">
      <c r="A438" s="196" t="str">
        <f aca="false">IF(A437&lt;mthend,EDATE(A437,1),"")</f>
        <v/>
      </c>
      <c r="B438" s="197" t="str">
        <f aca="false">IF(A438&lt;mthend,B437,"")</f>
        <v/>
      </c>
      <c r="D438" s="197" t="str">
        <f aca="false">IF(A439&lt;&gt;"",B438+C438,"")</f>
        <v/>
      </c>
      <c r="E438" s="199" t="str">
        <f aca="false">IF(A439="","",IF(AND(AT438=1,$H$3=1),D438*AO438,IF($H$3=2,D438,"N/A")))</f>
        <v/>
      </c>
      <c r="F438" s="199" t="str">
        <f aca="false">IF(A439="","",E438*AS438)</f>
        <v/>
      </c>
      <c r="G438" s="200" t="str">
        <f aca="false">IF($A439="","",VLOOKUP($A438,Table,MATCH(G$4,Curves,0)))</f>
        <v/>
      </c>
      <c r="H438" s="201" t="str">
        <f aca="false">IF(A439="","",G438)</f>
        <v/>
      </c>
      <c r="J438" s="200" t="str">
        <f aca="false">IF($A439="","",VLOOKUP($A438,Table,MATCH(J$4,Curves,0)))</f>
        <v/>
      </c>
      <c r="K438" s="201" t="str">
        <f aca="false">IF(A439="","",J438)</f>
        <v/>
      </c>
      <c r="L438" s="200" t="str">
        <f aca="false">IF($A439="","",VLOOKUP($A438,Table,MATCH(L$4,Curves,0)))</f>
        <v/>
      </c>
      <c r="M438" s="201" t="str">
        <f aca="false">IF(A439="","",L438)</f>
        <v/>
      </c>
      <c r="O438" s="200" t="str">
        <f aca="false">IF(A439="","",L438+J438+G438)</f>
        <v/>
      </c>
      <c r="P438" s="200" t="str">
        <f aca="false">IF(A439="","",M438+K438+H438)</f>
        <v/>
      </c>
      <c r="R438" s="200" t="str">
        <f aca="false">IF($A439="","",VLOOKUP($A438,Table,MATCH(R$4,Curves,0)))</f>
        <v/>
      </c>
      <c r="S438" s="201" t="str">
        <f aca="false">IF(A439="","",R438)</f>
        <v/>
      </c>
      <c r="T438" s="200" t="str">
        <f aca="false">IF($A439="","",VLOOKUP($A438,Table,MATCH(T$4,Curves,0)))</f>
        <v/>
      </c>
      <c r="U438" s="201" t="str">
        <f aca="false">IF(A439="","",T438)</f>
        <v/>
      </c>
      <c r="V438" s="183" t="str">
        <f aca="false">IF($A439="","",IF(AND(MONTH(A438)&gt;3,MONTH(A438)&lt;11),(T438+R438+G438)*Summary!$T$7/(1-Summary!$T$7),(T438+R438+G438)*Summary!$U$7/(1-Summary!$U$7)))</f>
        <v/>
      </c>
      <c r="W438" s="200" t="str">
        <f aca="false">IF($A439="","",(T438+R438+G438+V438))</f>
        <v/>
      </c>
      <c r="X438" s="200" t="str">
        <f aca="false">IF($A439="","",(U438+S438+H438+V438))</f>
        <v/>
      </c>
      <c r="Y438" s="202"/>
      <c r="Z438" s="185"/>
      <c r="AJ438" s="77"/>
      <c r="AK438" s="77"/>
      <c r="AL438" s="77"/>
      <c r="AM438" s="77"/>
      <c r="AN438" s="77"/>
      <c r="AO438" s="137" t="str">
        <f aca="false">IF(A439="","",A439-A438)</f>
        <v/>
      </c>
      <c r="AP438" s="212" t="str">
        <f aca="false">IF(A439="","",CHOOSE(F$3,A439+24,A438))</f>
        <v/>
      </c>
      <c r="AQ438" s="209" t="str">
        <f aca="false">IF(A439="","",AP438-$E$1)</f>
        <v/>
      </c>
      <c r="AR438" s="185" t="n">
        <f aca="false">IF(Summary!$H$2=1,VLOOKUP('ANR OK vs ML7'!A438,Curves!$C$17:$AR$273,MATCH('ANR OK vs ML7'!$AR$4,Curves!$C$8:$AQ$8,0)),0.1)</f>
        <v>0.1</v>
      </c>
      <c r="AS438" s="213" t="str">
        <f aca="false">IF(A439="","",1/(1+CHOOSE(F$3,(AR439+($I$3/10000))/2,(AR438+($I$3/10000))/2))^(2*AQ438/365.25))</f>
        <v/>
      </c>
      <c r="AT438" s="137" t="str">
        <f aca="false">IF(A439="","",IF(AND(mthbeg&lt;=A438,mthend&gt;=A438),1,0))</f>
        <v/>
      </c>
      <c r="AU438" s="137" t="str">
        <f aca="false">IF(A439="","",AO438*AT438)</f>
        <v/>
      </c>
      <c r="AW438" s="195" t="str">
        <f aca="false">IF($A439="","",AL438*$E438)</f>
        <v/>
      </c>
      <c r="AX438" s="195" t="str">
        <f aca="false">IF($A439="","",AM438*$E438)</f>
        <v/>
      </c>
      <c r="AY438" s="195" t="str">
        <f aca="false">IF($A439="","",AN438*$E438)</f>
        <v/>
      </c>
      <c r="BA438" s="195" t="str">
        <f aca="false">IF($A439="","",F438*Summary!$Q$7)</f>
        <v/>
      </c>
    </row>
    <row r="439" customFormat="false" ht="12.75" hidden="false" customHeight="false" outlineLevel="0" collapsed="false">
      <c r="A439" s="196" t="str">
        <f aca="false">IF(A438&lt;mthend,EDATE(A438,1),"")</f>
        <v/>
      </c>
      <c r="B439" s="197" t="str">
        <f aca="false">IF(A439&lt;mthend,B438,"")</f>
        <v/>
      </c>
      <c r="D439" s="197" t="str">
        <f aca="false">IF(A440&lt;&gt;"",B439+C439,"")</f>
        <v/>
      </c>
      <c r="E439" s="199" t="str">
        <f aca="false">IF(A440="","",IF(AND(AT439=1,$H$3=1),D439*AO439,IF($H$3=2,D439,"N/A")))</f>
        <v/>
      </c>
      <c r="F439" s="199" t="str">
        <f aca="false">IF(A440="","",E439*AS439)</f>
        <v/>
      </c>
      <c r="G439" s="200" t="str">
        <f aca="false">IF($A440="","",VLOOKUP($A439,Table,MATCH(G$4,Curves,0)))</f>
        <v/>
      </c>
      <c r="H439" s="201" t="str">
        <f aca="false">IF(A440="","",G439)</f>
        <v/>
      </c>
      <c r="J439" s="200" t="str">
        <f aca="false">IF($A440="","",VLOOKUP($A439,Table,MATCH(J$4,Curves,0)))</f>
        <v/>
      </c>
      <c r="K439" s="201" t="str">
        <f aca="false">IF(A440="","",J439)</f>
        <v/>
      </c>
      <c r="L439" s="200" t="str">
        <f aca="false">IF($A440="","",VLOOKUP($A439,Table,MATCH(L$4,Curves,0)))</f>
        <v/>
      </c>
      <c r="M439" s="201" t="str">
        <f aca="false">IF(A440="","",L439)</f>
        <v/>
      </c>
      <c r="O439" s="200" t="str">
        <f aca="false">IF(A440="","",L439+J439+G439)</f>
        <v/>
      </c>
      <c r="P439" s="200" t="str">
        <f aca="false">IF(A440="","",M439+K439+H439)</f>
        <v/>
      </c>
      <c r="R439" s="200" t="str">
        <f aca="false">IF($A440="","",VLOOKUP($A439,Table,MATCH(R$4,Curves,0)))</f>
        <v/>
      </c>
      <c r="S439" s="201" t="str">
        <f aca="false">IF(A440="","",R439)</f>
        <v/>
      </c>
      <c r="T439" s="200" t="str">
        <f aca="false">IF($A440="","",VLOOKUP($A439,Table,MATCH(T$4,Curves,0)))</f>
        <v/>
      </c>
      <c r="U439" s="201" t="str">
        <f aca="false">IF(A440="","",T439)</f>
        <v/>
      </c>
      <c r="V439" s="183" t="str">
        <f aca="false">IF($A440="","",IF(AND(MONTH(A439)&gt;3,MONTH(A439)&lt;11),(T439+R439+G439)*Summary!$T$7/(1-Summary!$T$7),(T439+R439+G439)*Summary!$U$7/(1-Summary!$U$7)))</f>
        <v/>
      </c>
      <c r="W439" s="200" t="str">
        <f aca="false">IF($A440="","",(T439+R439+G439+V439))</f>
        <v/>
      </c>
      <c r="X439" s="200" t="str">
        <f aca="false">IF($A440="","",(U439+S439+H439+V439))</f>
        <v/>
      </c>
      <c r="Y439" s="202"/>
      <c r="Z439" s="185"/>
      <c r="AJ439" s="77"/>
      <c r="AK439" s="77"/>
      <c r="AL439" s="77"/>
      <c r="AM439" s="77"/>
      <c r="AN439" s="77"/>
      <c r="AO439" s="137" t="str">
        <f aca="false">IF(A440="","",A440-A439)</f>
        <v/>
      </c>
      <c r="AP439" s="212" t="str">
        <f aca="false">IF(A440="","",CHOOSE(F$3,A440+24,A439))</f>
        <v/>
      </c>
      <c r="AQ439" s="209" t="str">
        <f aca="false">IF(A440="","",AP439-$E$1)</f>
        <v/>
      </c>
      <c r="AR439" s="185" t="n">
        <f aca="false">IF(Summary!$H$2=1,VLOOKUP('ANR OK vs ML7'!A439,Curves!$C$17:$AR$273,MATCH('ANR OK vs ML7'!$AR$4,Curves!$C$8:$AQ$8,0)),0.1)</f>
        <v>0.1</v>
      </c>
      <c r="AS439" s="213" t="str">
        <f aca="false">IF(A440="","",1/(1+CHOOSE(F$3,(AR440+($I$3/10000))/2,(AR439+($I$3/10000))/2))^(2*AQ439/365.25))</f>
        <v/>
      </c>
      <c r="AT439" s="137" t="str">
        <f aca="false">IF(A440="","",IF(AND(mthbeg&lt;=A439,mthend&gt;=A439),1,0))</f>
        <v/>
      </c>
      <c r="AU439" s="137" t="str">
        <f aca="false">IF(A440="","",AO439*AT439)</f>
        <v/>
      </c>
      <c r="AW439" s="195" t="str">
        <f aca="false">IF($A440="","",AL439*$E439)</f>
        <v/>
      </c>
      <c r="AX439" s="195" t="str">
        <f aca="false">IF($A440="","",AM439*$E439)</f>
        <v/>
      </c>
      <c r="AY439" s="195" t="str">
        <f aca="false">IF($A440="","",AN439*$E439)</f>
        <v/>
      </c>
      <c r="BA439" s="195" t="str">
        <f aca="false">IF($A440="","",F439*Summary!$Q$7)</f>
        <v/>
      </c>
    </row>
    <row r="440" customFormat="false" ht="12.75" hidden="false" customHeight="false" outlineLevel="0" collapsed="false">
      <c r="A440" s="196" t="str">
        <f aca="false">IF(A439&lt;mthend,EDATE(A439,1),"")</f>
        <v/>
      </c>
      <c r="B440" s="197" t="str">
        <f aca="false">IF(A440&lt;mthend,B439,"")</f>
        <v/>
      </c>
      <c r="D440" s="197" t="str">
        <f aca="false">IF(A441&lt;&gt;"",B440+C440,"")</f>
        <v/>
      </c>
      <c r="E440" s="199" t="str">
        <f aca="false">IF(A441="","",IF(AND(AT440=1,$H$3=1),D440*AO440,IF($H$3=2,D440,"N/A")))</f>
        <v/>
      </c>
      <c r="F440" s="199" t="str">
        <f aca="false">IF(A441="","",E440*AS440)</f>
        <v/>
      </c>
      <c r="G440" s="200" t="str">
        <f aca="false">IF($A441="","",VLOOKUP($A440,Table,MATCH(G$4,Curves,0)))</f>
        <v/>
      </c>
      <c r="H440" s="201" t="str">
        <f aca="false">IF(A441="","",G440)</f>
        <v/>
      </c>
      <c r="J440" s="200" t="str">
        <f aca="false">IF($A441="","",VLOOKUP($A440,Table,MATCH(J$4,Curves,0)))</f>
        <v/>
      </c>
      <c r="K440" s="201" t="str">
        <f aca="false">IF(A441="","",J440)</f>
        <v/>
      </c>
      <c r="L440" s="200" t="str">
        <f aca="false">IF($A441="","",VLOOKUP($A440,Table,MATCH(L$4,Curves,0)))</f>
        <v/>
      </c>
      <c r="M440" s="201" t="str">
        <f aca="false">IF(A441="","",L440)</f>
        <v/>
      </c>
      <c r="O440" s="200" t="str">
        <f aca="false">IF(A441="","",L440+J440+G440)</f>
        <v/>
      </c>
      <c r="P440" s="200" t="str">
        <f aca="false">IF(A441="","",M440+K440+H440)</f>
        <v/>
      </c>
      <c r="R440" s="200" t="str">
        <f aca="false">IF($A441="","",VLOOKUP($A440,Table,MATCH(R$4,Curves,0)))</f>
        <v/>
      </c>
      <c r="S440" s="201" t="str">
        <f aca="false">IF(A441="","",R440)</f>
        <v/>
      </c>
      <c r="T440" s="200" t="str">
        <f aca="false">IF($A441="","",VLOOKUP($A440,Table,MATCH(T$4,Curves,0)))</f>
        <v/>
      </c>
      <c r="U440" s="201" t="str">
        <f aca="false">IF(A441="","",T440)</f>
        <v/>
      </c>
      <c r="V440" s="183" t="str">
        <f aca="false">IF($A441="","",IF(AND(MONTH(A440)&gt;3,MONTH(A440)&lt;11),(T440+R440+G440)*Summary!$T$7/(1-Summary!$T$7),(T440+R440+G440)*Summary!$U$7/(1-Summary!$U$7)))</f>
        <v/>
      </c>
      <c r="W440" s="200" t="str">
        <f aca="false">IF($A441="","",(T440+R440+G440+V440))</f>
        <v/>
      </c>
      <c r="X440" s="200" t="str">
        <f aca="false">IF($A441="","",(U440+S440+H440+V440))</f>
        <v/>
      </c>
      <c r="Y440" s="202"/>
      <c r="Z440" s="185"/>
      <c r="AJ440" s="77"/>
      <c r="AK440" s="77"/>
      <c r="AL440" s="77"/>
      <c r="AM440" s="77"/>
      <c r="AN440" s="77"/>
      <c r="AO440" s="137" t="str">
        <f aca="false">IF(A441="","",A441-A440)</f>
        <v/>
      </c>
      <c r="AP440" s="212" t="str">
        <f aca="false">IF(A441="","",CHOOSE(F$3,A441+24,A440))</f>
        <v/>
      </c>
      <c r="AQ440" s="209" t="str">
        <f aca="false">IF(A441="","",AP440-$E$1)</f>
        <v/>
      </c>
      <c r="AR440" s="185" t="n">
        <f aca="false">IF(Summary!$H$2=1,VLOOKUP('ANR OK vs ML7'!A440,Curves!$C$17:$AR$273,MATCH('ANR OK vs ML7'!$AR$4,Curves!$C$8:$AQ$8,0)),0.1)</f>
        <v>0.1</v>
      </c>
      <c r="AS440" s="213" t="str">
        <f aca="false">IF(A441="","",1/(1+CHOOSE(F$3,(AR441+($I$3/10000))/2,(AR440+($I$3/10000))/2))^(2*AQ440/365.25))</f>
        <v/>
      </c>
      <c r="AT440" s="137" t="str">
        <f aca="false">IF(A441="","",IF(AND(mthbeg&lt;=A440,mthend&gt;=A440),1,0))</f>
        <v/>
      </c>
      <c r="AU440" s="137" t="str">
        <f aca="false">IF(A441="","",AO440*AT440)</f>
        <v/>
      </c>
      <c r="AW440" s="195" t="str">
        <f aca="false">IF($A441="","",AL440*$E440)</f>
        <v/>
      </c>
      <c r="AX440" s="195" t="str">
        <f aca="false">IF($A441="","",AM440*$E440)</f>
        <v/>
      </c>
      <c r="AY440" s="195" t="str">
        <f aca="false">IF($A441="","",AN440*$E440)</f>
        <v/>
      </c>
      <c r="BA440" s="195" t="str">
        <f aca="false">IF($A441="","",F440*Summary!$Q$7)</f>
        <v/>
      </c>
    </row>
    <row r="441" customFormat="false" ht="12.75" hidden="false" customHeight="false" outlineLevel="0" collapsed="false">
      <c r="A441" s="196" t="str">
        <f aca="false">IF(A440&lt;mthend,EDATE(A440,1),"")</f>
        <v/>
      </c>
      <c r="B441" s="197" t="str">
        <f aca="false">IF(A441&lt;mthend,B440,"")</f>
        <v/>
      </c>
      <c r="D441" s="197" t="str">
        <f aca="false">IF(A442&lt;&gt;"",B441+C441,"")</f>
        <v/>
      </c>
      <c r="E441" s="199" t="str">
        <f aca="false">IF(A442="","",IF(AND(AT441=1,$H$3=1),D441*AO441,IF($H$3=2,D441,"N/A")))</f>
        <v/>
      </c>
      <c r="F441" s="199" t="str">
        <f aca="false">IF(A442="","",E441*AS441)</f>
        <v/>
      </c>
      <c r="G441" s="200" t="str">
        <f aca="false">IF($A442="","",VLOOKUP($A441,Table,MATCH(G$4,Curves,0)))</f>
        <v/>
      </c>
      <c r="H441" s="201" t="str">
        <f aca="false">IF(A442="","",G441)</f>
        <v/>
      </c>
      <c r="J441" s="200" t="str">
        <f aca="false">IF($A442="","",VLOOKUP($A441,Table,MATCH(J$4,Curves,0)))</f>
        <v/>
      </c>
      <c r="K441" s="201" t="str">
        <f aca="false">IF(A442="","",J441)</f>
        <v/>
      </c>
      <c r="L441" s="200" t="str">
        <f aca="false">IF($A442="","",VLOOKUP($A441,Table,MATCH(L$4,Curves,0)))</f>
        <v/>
      </c>
      <c r="M441" s="201" t="str">
        <f aca="false">IF(A442="","",L441)</f>
        <v/>
      </c>
      <c r="O441" s="200" t="str">
        <f aca="false">IF(A442="","",L441+J441+G441)</f>
        <v/>
      </c>
      <c r="P441" s="200" t="str">
        <f aca="false">IF(A442="","",M441+K441+H441)</f>
        <v/>
      </c>
      <c r="R441" s="200" t="str">
        <f aca="false">IF($A442="","",VLOOKUP($A441,Table,MATCH(R$4,Curves,0)))</f>
        <v/>
      </c>
      <c r="S441" s="201" t="str">
        <f aca="false">IF(A442="","",R441)</f>
        <v/>
      </c>
      <c r="T441" s="200" t="str">
        <f aca="false">IF($A442="","",VLOOKUP($A441,Table,MATCH(T$4,Curves,0)))</f>
        <v/>
      </c>
      <c r="U441" s="201" t="str">
        <f aca="false">IF(A442="","",T441)</f>
        <v/>
      </c>
      <c r="V441" s="183" t="str">
        <f aca="false">IF($A442="","",IF(AND(MONTH(A441)&gt;3,MONTH(A441)&lt;11),(T441+R441+G441)*Summary!$T$7/(1-Summary!$T$7),(T441+R441+G441)*Summary!$U$7/(1-Summary!$U$7)))</f>
        <v/>
      </c>
      <c r="W441" s="200" t="str">
        <f aca="false">IF($A442="","",(T441+R441+G441+V441))</f>
        <v/>
      </c>
      <c r="X441" s="200" t="str">
        <f aca="false">IF($A442="","",(U441+S441+H441+V441))</f>
        <v/>
      </c>
      <c r="Y441" s="202"/>
      <c r="Z441" s="185"/>
      <c r="AJ441" s="77"/>
      <c r="AK441" s="77"/>
      <c r="AL441" s="77"/>
      <c r="AM441" s="77"/>
      <c r="AN441" s="77"/>
      <c r="AO441" s="137" t="str">
        <f aca="false">IF(A442="","",A442-A441)</f>
        <v/>
      </c>
      <c r="AP441" s="212" t="str">
        <f aca="false">IF(A442="","",CHOOSE(F$3,A442+24,A441))</f>
        <v/>
      </c>
      <c r="AQ441" s="209" t="str">
        <f aca="false">IF(A442="","",AP441-$E$1)</f>
        <v/>
      </c>
      <c r="AR441" s="185" t="n">
        <f aca="false">IF(Summary!$H$2=1,VLOOKUP('ANR OK vs ML7'!A441,Curves!$C$17:$AR$273,MATCH('ANR OK vs ML7'!$AR$4,Curves!$C$8:$AQ$8,0)),0.1)</f>
        <v>0.1</v>
      </c>
      <c r="AS441" s="213" t="str">
        <f aca="false">IF(A442="","",1/(1+CHOOSE(F$3,(AR442+($I$3/10000))/2,(AR441+($I$3/10000))/2))^(2*AQ441/365.25))</f>
        <v/>
      </c>
      <c r="AT441" s="137" t="str">
        <f aca="false">IF(A442="","",IF(AND(mthbeg&lt;=A441,mthend&gt;=A441),1,0))</f>
        <v/>
      </c>
      <c r="AU441" s="137" t="str">
        <f aca="false">IF(A442="","",AO441*AT441)</f>
        <v/>
      </c>
      <c r="AW441" s="195" t="str">
        <f aca="false">IF($A442="","",AL441*$E441)</f>
        <v/>
      </c>
      <c r="AX441" s="195" t="str">
        <f aca="false">IF($A442="","",AM441*$E441)</f>
        <v/>
      </c>
      <c r="AY441" s="195" t="str">
        <f aca="false">IF($A442="","",AN441*$E441)</f>
        <v/>
      </c>
      <c r="BA441" s="195" t="str">
        <f aca="false">IF($A442="","",F441*Summary!$Q$7)</f>
        <v/>
      </c>
    </row>
    <row r="442" customFormat="false" ht="12.75" hidden="false" customHeight="false" outlineLevel="0" collapsed="false">
      <c r="A442" s="196" t="str">
        <f aca="false">IF(A441&lt;mthend,EDATE(A441,1),"")</f>
        <v/>
      </c>
      <c r="B442" s="197" t="str">
        <f aca="false">IF(A442&lt;mthend,B441,"")</f>
        <v/>
      </c>
      <c r="D442" s="197" t="str">
        <f aca="false">IF(A443&lt;&gt;"",B442+C442,"")</f>
        <v/>
      </c>
      <c r="E442" s="199" t="str">
        <f aca="false">IF(A443="","",IF(AND(AT442=1,$H$3=1),D442*AO442,IF($H$3=2,D442,"N/A")))</f>
        <v/>
      </c>
      <c r="F442" s="199" t="str">
        <f aca="false">IF(A443="","",E442*AS442)</f>
        <v/>
      </c>
      <c r="G442" s="200" t="str">
        <f aca="false">IF($A443="","",VLOOKUP($A442,Table,MATCH(G$4,Curves,0)))</f>
        <v/>
      </c>
      <c r="H442" s="201" t="str">
        <f aca="false">IF(A443="","",G442)</f>
        <v/>
      </c>
      <c r="J442" s="200" t="str">
        <f aca="false">IF($A443="","",VLOOKUP($A442,Table,MATCH(J$4,Curves,0)))</f>
        <v/>
      </c>
      <c r="K442" s="201" t="str">
        <f aca="false">IF(A443="","",J442)</f>
        <v/>
      </c>
      <c r="L442" s="200" t="str">
        <f aca="false">IF($A443="","",VLOOKUP($A442,Table,MATCH(L$4,Curves,0)))</f>
        <v/>
      </c>
      <c r="M442" s="201" t="str">
        <f aca="false">IF(A443="","",L442)</f>
        <v/>
      </c>
      <c r="O442" s="200" t="str">
        <f aca="false">IF(A443="","",L442+J442+G442)</f>
        <v/>
      </c>
      <c r="P442" s="200" t="str">
        <f aca="false">IF(A443="","",M442+K442+H442)</f>
        <v/>
      </c>
      <c r="R442" s="200" t="str">
        <f aca="false">IF($A443="","",VLOOKUP($A442,Table,MATCH(R$4,Curves,0)))</f>
        <v/>
      </c>
      <c r="S442" s="201" t="str">
        <f aca="false">IF(A443="","",R442)</f>
        <v/>
      </c>
      <c r="T442" s="200" t="str">
        <f aca="false">IF($A443="","",VLOOKUP($A442,Table,MATCH(T$4,Curves,0)))</f>
        <v/>
      </c>
      <c r="U442" s="201" t="str">
        <f aca="false">IF(A443="","",T442)</f>
        <v/>
      </c>
      <c r="V442" s="183" t="str">
        <f aca="false">IF($A443="","",IF(AND(MONTH(A442)&gt;3,MONTH(A442)&lt;11),(T442+R442+G442)*Summary!$T$7/(1-Summary!$T$7),(T442+R442+G442)*Summary!$U$7/(1-Summary!$U$7)))</f>
        <v/>
      </c>
      <c r="W442" s="200" t="str">
        <f aca="false">IF($A443="","",(T442+R442+G442+V442))</f>
        <v/>
      </c>
      <c r="X442" s="200" t="str">
        <f aca="false">IF($A443="","",(U442+S442+H442+V442))</f>
        <v/>
      </c>
      <c r="Y442" s="202"/>
      <c r="Z442" s="185"/>
      <c r="AJ442" s="77"/>
      <c r="AK442" s="77"/>
      <c r="AL442" s="77"/>
      <c r="AM442" s="77"/>
      <c r="AN442" s="77"/>
      <c r="AO442" s="137" t="str">
        <f aca="false">IF(A443="","",A443-A442)</f>
        <v/>
      </c>
      <c r="AP442" s="212" t="str">
        <f aca="false">IF(A443="","",CHOOSE(F$3,A443+24,A442))</f>
        <v/>
      </c>
      <c r="AQ442" s="209" t="str">
        <f aca="false">IF(A443="","",AP442-$E$1)</f>
        <v/>
      </c>
      <c r="AR442" s="185" t="n">
        <f aca="false">IF(Summary!$H$2=1,VLOOKUP('ANR OK vs ML7'!A442,Curves!$C$17:$AR$273,MATCH('ANR OK vs ML7'!$AR$4,Curves!$C$8:$AQ$8,0)),0.1)</f>
        <v>0.1</v>
      </c>
      <c r="AS442" s="213" t="str">
        <f aca="false">IF(A443="","",1/(1+CHOOSE(F$3,(AR443+($I$3/10000))/2,(AR442+($I$3/10000))/2))^(2*AQ442/365.25))</f>
        <v/>
      </c>
      <c r="AT442" s="137" t="str">
        <f aca="false">IF(A443="","",IF(AND(mthbeg&lt;=A442,mthend&gt;=A442),1,0))</f>
        <v/>
      </c>
      <c r="AU442" s="137" t="str">
        <f aca="false">IF(A443="","",AO442*AT442)</f>
        <v/>
      </c>
      <c r="AW442" s="195" t="str">
        <f aca="false">IF($A443="","",AL442*$E442)</f>
        <v/>
      </c>
      <c r="AX442" s="195" t="str">
        <f aca="false">IF($A443="","",AM442*$E442)</f>
        <v/>
      </c>
      <c r="AY442" s="195" t="str">
        <f aca="false">IF($A443="","",AN442*$E442)</f>
        <v/>
      </c>
      <c r="BA442" s="195" t="str">
        <f aca="false">IF($A443="","",F442*Summary!$Q$7)</f>
        <v/>
      </c>
    </row>
    <row r="443" customFormat="false" ht="12.75" hidden="false" customHeight="false" outlineLevel="0" collapsed="false">
      <c r="A443" s="196" t="str">
        <f aca="false">IF(A442&lt;mthend,EDATE(A442,1),"")</f>
        <v/>
      </c>
      <c r="B443" s="197" t="str">
        <f aca="false">IF(A443&lt;mthend,B442,"")</f>
        <v/>
      </c>
      <c r="D443" s="197" t="str">
        <f aca="false">IF(A444&lt;&gt;"",B443+C443,"")</f>
        <v/>
      </c>
      <c r="E443" s="199" t="str">
        <f aca="false">IF(A444="","",IF(AND(AT443=1,$H$3=1),D443*AO443,IF($H$3=2,D443,"N/A")))</f>
        <v/>
      </c>
      <c r="F443" s="199" t="str">
        <f aca="false">IF(A444="","",E443*AS443)</f>
        <v/>
      </c>
      <c r="G443" s="200" t="str">
        <f aca="false">IF($A444="","",VLOOKUP($A443,Table,MATCH(G$4,Curves,0)))</f>
        <v/>
      </c>
      <c r="H443" s="201" t="str">
        <f aca="false">IF(A444="","",G443)</f>
        <v/>
      </c>
      <c r="J443" s="200" t="str">
        <f aca="false">IF($A444="","",VLOOKUP($A443,Table,MATCH(J$4,Curves,0)))</f>
        <v/>
      </c>
      <c r="K443" s="201" t="str">
        <f aca="false">IF(A444="","",J443)</f>
        <v/>
      </c>
      <c r="L443" s="200" t="str">
        <f aca="false">IF($A444="","",VLOOKUP($A443,Table,MATCH(L$4,Curves,0)))</f>
        <v/>
      </c>
      <c r="M443" s="201" t="str">
        <f aca="false">IF(A444="","",L443)</f>
        <v/>
      </c>
      <c r="O443" s="200" t="str">
        <f aca="false">IF(A444="","",L443+J443+G443)</f>
        <v/>
      </c>
      <c r="P443" s="200" t="str">
        <f aca="false">IF(A444="","",M443+K443+H443)</f>
        <v/>
      </c>
      <c r="R443" s="200" t="str">
        <f aca="false">IF($A444="","",VLOOKUP($A443,Table,MATCH(R$4,Curves,0)))</f>
        <v/>
      </c>
      <c r="S443" s="201" t="str">
        <f aca="false">IF(A444="","",R443)</f>
        <v/>
      </c>
      <c r="T443" s="200" t="str">
        <f aca="false">IF($A444="","",VLOOKUP($A443,Table,MATCH(T$4,Curves,0)))</f>
        <v/>
      </c>
      <c r="U443" s="201" t="str">
        <f aca="false">IF(A444="","",T443)</f>
        <v/>
      </c>
      <c r="V443" s="183" t="str">
        <f aca="false">IF($A444="","",IF(AND(MONTH(A443)&gt;3,MONTH(A443)&lt;11),(T443+R443+G443)*Summary!$T$7/(1-Summary!$T$7),(T443+R443+G443)*Summary!$U$7/(1-Summary!$U$7)))</f>
        <v/>
      </c>
      <c r="W443" s="200" t="str">
        <f aca="false">IF($A444="","",(T443+R443+G443+V443))</f>
        <v/>
      </c>
      <c r="X443" s="200" t="str">
        <f aca="false">IF($A444="","",(U443+S443+H443+V443))</f>
        <v/>
      </c>
      <c r="Y443" s="202"/>
      <c r="Z443" s="185"/>
      <c r="AJ443" s="77"/>
      <c r="AK443" s="77"/>
      <c r="AL443" s="77"/>
      <c r="AM443" s="77"/>
      <c r="AN443" s="77"/>
      <c r="AO443" s="137" t="str">
        <f aca="false">IF(A444="","",A444-A443)</f>
        <v/>
      </c>
      <c r="AP443" s="212" t="str">
        <f aca="false">IF(A444="","",CHOOSE(F$3,A444+24,A443))</f>
        <v/>
      </c>
      <c r="AQ443" s="209" t="str">
        <f aca="false">IF(A444="","",AP443-$E$1)</f>
        <v/>
      </c>
      <c r="AR443" s="185" t="n">
        <f aca="false">IF(Summary!$H$2=1,VLOOKUP('ANR OK vs ML7'!A443,Curves!$C$17:$AR$273,MATCH('ANR OK vs ML7'!$AR$4,Curves!$C$8:$AQ$8,0)),0.1)</f>
        <v>0.1</v>
      </c>
      <c r="AS443" s="213" t="str">
        <f aca="false">IF(A444="","",1/(1+CHOOSE(F$3,(AR444+($I$3/10000))/2,(AR443+($I$3/10000))/2))^(2*AQ443/365.25))</f>
        <v/>
      </c>
      <c r="AT443" s="137" t="str">
        <f aca="false">IF(A444="","",IF(AND(mthbeg&lt;=A443,mthend&gt;=A443),1,0))</f>
        <v/>
      </c>
      <c r="AU443" s="137" t="str">
        <f aca="false">IF(A444="","",AO443*AT443)</f>
        <v/>
      </c>
      <c r="AW443" s="195" t="str">
        <f aca="false">IF($A444="","",AL443*$E443)</f>
        <v/>
      </c>
      <c r="AX443" s="195" t="str">
        <f aca="false">IF($A444="","",AM443*$E443)</f>
        <v/>
      </c>
      <c r="AY443" s="195" t="str">
        <f aca="false">IF($A444="","",AN443*$E443)</f>
        <v/>
      </c>
      <c r="BA443" s="195" t="str">
        <f aca="false">IF($A444="","",F443*Summary!$Q$7)</f>
        <v/>
      </c>
    </row>
    <row r="444" customFormat="false" ht="12.75" hidden="false" customHeight="false" outlineLevel="0" collapsed="false">
      <c r="A444" s="196" t="str">
        <f aca="false">IF(A443&lt;mthend,EDATE(A443,1),"")</f>
        <v/>
      </c>
      <c r="B444" s="197" t="str">
        <f aca="false">IF(A444&lt;mthend,B443,"")</f>
        <v/>
      </c>
      <c r="D444" s="197" t="str">
        <f aca="false">IF(A445&lt;&gt;"",B444+C444,"")</f>
        <v/>
      </c>
      <c r="E444" s="199" t="str">
        <f aca="false">IF(A445="","",IF(AND(AT444=1,$H$3=1),D444*AO444,IF($H$3=2,D444,"N/A")))</f>
        <v/>
      </c>
      <c r="F444" s="199" t="str">
        <f aca="false">IF(A445="","",E444*AS444)</f>
        <v/>
      </c>
      <c r="G444" s="200" t="str">
        <f aca="false">IF($A445="","",VLOOKUP($A444,Table,MATCH(G$4,Curves,0)))</f>
        <v/>
      </c>
      <c r="H444" s="201" t="str">
        <f aca="false">IF(A445="","",G444)</f>
        <v/>
      </c>
      <c r="J444" s="200" t="str">
        <f aca="false">IF($A445="","",VLOOKUP($A444,Table,MATCH(J$4,Curves,0)))</f>
        <v/>
      </c>
      <c r="K444" s="201" t="str">
        <f aca="false">IF(A445="","",J444)</f>
        <v/>
      </c>
      <c r="L444" s="200" t="str">
        <f aca="false">IF($A445="","",VLOOKUP($A444,Table,MATCH(L$4,Curves,0)))</f>
        <v/>
      </c>
      <c r="M444" s="201" t="str">
        <f aca="false">IF(A445="","",L444)</f>
        <v/>
      </c>
      <c r="O444" s="200" t="str">
        <f aca="false">IF(A445="","",L444+J444+G444)</f>
        <v/>
      </c>
      <c r="P444" s="200" t="str">
        <f aca="false">IF(A445="","",M444+K444+H444)</f>
        <v/>
      </c>
      <c r="R444" s="200" t="str">
        <f aca="false">IF($A445="","",VLOOKUP($A444,Table,MATCH(R$4,Curves,0)))</f>
        <v/>
      </c>
      <c r="S444" s="201" t="str">
        <f aca="false">IF(A445="","",R444)</f>
        <v/>
      </c>
      <c r="T444" s="200" t="str">
        <f aca="false">IF($A445="","",VLOOKUP($A444,Table,MATCH(T$4,Curves,0)))</f>
        <v/>
      </c>
      <c r="U444" s="201" t="str">
        <f aca="false">IF(A445="","",T444)</f>
        <v/>
      </c>
      <c r="V444" s="183" t="str">
        <f aca="false">IF($A445="","",IF(AND(MONTH(A444)&gt;3,MONTH(A444)&lt;11),(T444+R444+G444)*Summary!$T$7/(1-Summary!$T$7),(T444+R444+G444)*Summary!$U$7/(1-Summary!$U$7)))</f>
        <v/>
      </c>
      <c r="W444" s="200" t="str">
        <f aca="false">IF($A445="","",(T444+R444+G444+V444))</f>
        <v/>
      </c>
      <c r="X444" s="200" t="str">
        <f aca="false">IF($A445="","",(U444+S444+H444+V444))</f>
        <v/>
      </c>
      <c r="Y444" s="202"/>
      <c r="Z444" s="185"/>
      <c r="AJ444" s="77"/>
      <c r="AK444" s="77"/>
      <c r="AL444" s="77"/>
      <c r="AM444" s="77"/>
      <c r="AN444" s="77"/>
      <c r="AO444" s="137" t="str">
        <f aca="false">IF(A445="","",A445-A444)</f>
        <v/>
      </c>
      <c r="AP444" s="212" t="str">
        <f aca="false">IF(A445="","",CHOOSE(F$3,A445+24,A444))</f>
        <v/>
      </c>
      <c r="AQ444" s="209" t="str">
        <f aca="false">IF(A445="","",AP444-$E$1)</f>
        <v/>
      </c>
      <c r="AR444" s="185" t="n">
        <f aca="false">IF(Summary!$H$2=1,VLOOKUP('ANR OK vs ML7'!A444,Curves!$C$17:$AR$273,MATCH('ANR OK vs ML7'!$AR$4,Curves!$C$8:$AQ$8,0)),0.1)</f>
        <v>0.1</v>
      </c>
      <c r="AS444" s="213" t="str">
        <f aca="false">IF(A445="","",1/(1+CHOOSE(F$3,(AR445+($I$3/10000))/2,(AR444+($I$3/10000))/2))^(2*AQ444/365.25))</f>
        <v/>
      </c>
      <c r="AT444" s="137" t="str">
        <f aca="false">IF(A445="","",IF(AND(mthbeg&lt;=A444,mthend&gt;=A444),1,0))</f>
        <v/>
      </c>
      <c r="AU444" s="137" t="str">
        <f aca="false">IF(A445="","",AO444*AT444)</f>
        <v/>
      </c>
      <c r="AW444" s="195" t="str">
        <f aca="false">IF($A445="","",AL444*$E444)</f>
        <v/>
      </c>
      <c r="AX444" s="195" t="str">
        <f aca="false">IF($A445="","",AM444*$E444)</f>
        <v/>
      </c>
      <c r="AY444" s="195" t="str">
        <f aca="false">IF($A445="","",AN444*$E444)</f>
        <v/>
      </c>
      <c r="BA444" s="195" t="str">
        <f aca="false">IF($A445="","",F444*Summary!$Q$7)</f>
        <v/>
      </c>
    </row>
    <row r="445" customFormat="false" ht="12.75" hidden="false" customHeight="false" outlineLevel="0" collapsed="false">
      <c r="A445" s="196" t="str">
        <f aca="false">IF(A444&lt;mthend,EDATE(A444,1),"")</f>
        <v/>
      </c>
      <c r="B445" s="197" t="str">
        <f aca="false">IF(A445&lt;mthend,B444,"")</f>
        <v/>
      </c>
      <c r="D445" s="197" t="str">
        <f aca="false">IF(A446&lt;&gt;"",B445+C445,"")</f>
        <v/>
      </c>
      <c r="E445" s="199" t="str">
        <f aca="false">IF(A446="","",IF(AND(AT445=1,$H$3=1),D445*AO445,IF($H$3=2,D445,"N/A")))</f>
        <v/>
      </c>
      <c r="F445" s="199" t="str">
        <f aca="false">IF(A446="","",E445*AS445)</f>
        <v/>
      </c>
      <c r="G445" s="200" t="str">
        <f aca="false">IF($A446="","",VLOOKUP($A445,Table,MATCH(G$4,Curves,0)))</f>
        <v/>
      </c>
      <c r="H445" s="201" t="str">
        <f aca="false">IF(A446="","",G445)</f>
        <v/>
      </c>
      <c r="J445" s="200" t="str">
        <f aca="false">IF($A446="","",VLOOKUP($A445,Table,MATCH(J$4,Curves,0)))</f>
        <v/>
      </c>
      <c r="K445" s="201" t="str">
        <f aca="false">IF(A446="","",J445)</f>
        <v/>
      </c>
      <c r="L445" s="200" t="str">
        <f aca="false">IF($A446="","",VLOOKUP($A445,Table,MATCH(L$4,Curves,0)))</f>
        <v/>
      </c>
      <c r="M445" s="201" t="str">
        <f aca="false">IF(A446="","",L445)</f>
        <v/>
      </c>
      <c r="O445" s="200" t="str">
        <f aca="false">IF(A446="","",L445+J445+G445)</f>
        <v/>
      </c>
      <c r="P445" s="200" t="str">
        <f aca="false">IF(A446="","",M445+K445+H445)</f>
        <v/>
      </c>
      <c r="R445" s="200" t="str">
        <f aca="false">IF($A446="","",VLOOKUP($A445,Table,MATCH(R$4,Curves,0)))</f>
        <v/>
      </c>
      <c r="S445" s="201" t="str">
        <f aca="false">IF(A446="","",R445)</f>
        <v/>
      </c>
      <c r="T445" s="200" t="str">
        <f aca="false">IF($A446="","",VLOOKUP($A445,Table,MATCH(T$4,Curves,0)))</f>
        <v/>
      </c>
      <c r="U445" s="201" t="str">
        <f aca="false">IF(A446="","",T445)</f>
        <v/>
      </c>
      <c r="V445" s="183" t="str">
        <f aca="false">IF($A446="","",IF(AND(MONTH(A445)&gt;3,MONTH(A445)&lt;11),(T445+R445+G445)*Summary!$T$7/(1-Summary!$T$7),(T445+R445+G445)*Summary!$U$7/(1-Summary!$U$7)))</f>
        <v/>
      </c>
      <c r="W445" s="200" t="str">
        <f aca="false">IF($A446="","",(T445+R445+G445+V445))</f>
        <v/>
      </c>
      <c r="X445" s="200" t="str">
        <f aca="false">IF($A446="","",(U445+S445+H445+V445))</f>
        <v/>
      </c>
      <c r="Y445" s="202"/>
      <c r="Z445" s="185"/>
      <c r="AJ445" s="77"/>
      <c r="AK445" s="77"/>
      <c r="AL445" s="77"/>
      <c r="AM445" s="77"/>
      <c r="AN445" s="77"/>
      <c r="AO445" s="137" t="str">
        <f aca="false">IF(A446="","",A446-A445)</f>
        <v/>
      </c>
      <c r="AP445" s="212" t="str">
        <f aca="false">IF(A446="","",CHOOSE(F$3,A446+24,A445))</f>
        <v/>
      </c>
      <c r="AQ445" s="209" t="str">
        <f aca="false">IF(A446="","",AP445-$E$1)</f>
        <v/>
      </c>
      <c r="AR445" s="185" t="n">
        <f aca="false">IF(Summary!$H$2=1,VLOOKUP('ANR OK vs ML7'!A445,Curves!$C$17:$AR$273,MATCH('ANR OK vs ML7'!$AR$4,Curves!$C$8:$AQ$8,0)),0.1)</f>
        <v>0.1</v>
      </c>
      <c r="AS445" s="213" t="str">
        <f aca="false">IF(A446="","",1/(1+CHOOSE(F$3,(AR446+($I$3/10000))/2,(AR445+($I$3/10000))/2))^(2*AQ445/365.25))</f>
        <v/>
      </c>
      <c r="AT445" s="137" t="str">
        <f aca="false">IF(A446="","",IF(AND(mthbeg&lt;=A445,mthend&gt;=A445),1,0))</f>
        <v/>
      </c>
      <c r="AU445" s="137" t="str">
        <f aca="false">IF(A446="","",AO445*AT445)</f>
        <v/>
      </c>
      <c r="AW445" s="195" t="str">
        <f aca="false">IF($A446="","",AL445*$E445)</f>
        <v/>
      </c>
      <c r="AX445" s="195" t="str">
        <f aca="false">IF($A446="","",AM445*$E445)</f>
        <v/>
      </c>
      <c r="AY445" s="195" t="str">
        <f aca="false">IF($A446="","",AN445*$E445)</f>
        <v/>
      </c>
      <c r="BA445" s="195" t="str">
        <f aca="false">IF($A446="","",F445*Summary!$Q$7)</f>
        <v/>
      </c>
    </row>
    <row r="446" customFormat="false" ht="12.75" hidden="false" customHeight="false" outlineLevel="0" collapsed="false">
      <c r="A446" s="196" t="str">
        <f aca="false">IF(A445&lt;mthend,EDATE(A445,1),"")</f>
        <v/>
      </c>
      <c r="B446" s="197" t="str">
        <f aca="false">IF(A446&lt;mthend,B445,"")</f>
        <v/>
      </c>
      <c r="D446" s="197" t="str">
        <f aca="false">IF(A447&lt;&gt;"",B446+C446,"")</f>
        <v/>
      </c>
      <c r="E446" s="199" t="str">
        <f aca="false">IF(A447="","",IF(AND(AT446=1,$H$3=1),D446*AO446,IF($H$3=2,D446,"N/A")))</f>
        <v/>
      </c>
      <c r="F446" s="199" t="str">
        <f aca="false">IF(A447="","",E446*AS446)</f>
        <v/>
      </c>
      <c r="G446" s="200" t="str">
        <f aca="false">IF($A447="","",VLOOKUP($A446,Table,MATCH(G$4,Curves,0)))</f>
        <v/>
      </c>
      <c r="H446" s="201" t="str">
        <f aca="false">IF(A447="","",G446)</f>
        <v/>
      </c>
      <c r="J446" s="200" t="str">
        <f aca="false">IF($A447="","",VLOOKUP($A446,Table,MATCH(J$4,Curves,0)))</f>
        <v/>
      </c>
      <c r="K446" s="201" t="str">
        <f aca="false">IF(A447="","",J446)</f>
        <v/>
      </c>
      <c r="L446" s="200" t="str">
        <f aca="false">IF($A447="","",VLOOKUP($A446,Table,MATCH(L$4,Curves,0)))</f>
        <v/>
      </c>
      <c r="M446" s="201" t="str">
        <f aca="false">IF(A447="","",L446)</f>
        <v/>
      </c>
      <c r="O446" s="200" t="str">
        <f aca="false">IF(A447="","",L446+J446+G446)</f>
        <v/>
      </c>
      <c r="P446" s="200" t="str">
        <f aca="false">IF(A447="","",M446+K446+H446)</f>
        <v/>
      </c>
      <c r="R446" s="200" t="str">
        <f aca="false">IF($A447="","",VLOOKUP($A446,Table,MATCH(R$4,Curves,0)))</f>
        <v/>
      </c>
      <c r="S446" s="201" t="str">
        <f aca="false">IF(A447="","",R446)</f>
        <v/>
      </c>
      <c r="T446" s="200" t="str">
        <f aca="false">IF($A447="","",VLOOKUP($A446,Table,MATCH(T$4,Curves,0)))</f>
        <v/>
      </c>
      <c r="U446" s="201" t="str">
        <f aca="false">IF(A447="","",T446)</f>
        <v/>
      </c>
      <c r="V446" s="183" t="str">
        <f aca="false">IF($A447="","",IF(AND(MONTH(A446)&gt;3,MONTH(A446)&lt;11),(T446+R446+G446)*Summary!$T$7/(1-Summary!$T$7),(T446+R446+G446)*Summary!$U$7/(1-Summary!$U$7)))</f>
        <v/>
      </c>
      <c r="W446" s="200" t="str">
        <f aca="false">IF($A447="","",(T446+R446+G446+V446))</f>
        <v/>
      </c>
      <c r="X446" s="200" t="str">
        <f aca="false">IF($A447="","",(U446+S446+H446+V446))</f>
        <v/>
      </c>
      <c r="Y446" s="202"/>
      <c r="Z446" s="185"/>
      <c r="AJ446" s="77"/>
      <c r="AK446" s="77"/>
      <c r="AL446" s="77"/>
      <c r="AM446" s="77"/>
      <c r="AN446" s="77"/>
      <c r="AO446" s="137" t="str">
        <f aca="false">IF(A447="","",A447-A446)</f>
        <v/>
      </c>
      <c r="AP446" s="212" t="str">
        <f aca="false">IF(A447="","",CHOOSE(F$3,A447+24,A446))</f>
        <v/>
      </c>
      <c r="AQ446" s="209" t="str">
        <f aca="false">IF(A447="","",AP446-$E$1)</f>
        <v/>
      </c>
      <c r="AR446" s="185" t="n">
        <f aca="false">IF(Summary!$H$2=1,VLOOKUP('ANR OK vs ML7'!A446,Curves!$C$17:$AR$273,MATCH('ANR OK vs ML7'!$AR$4,Curves!$C$8:$AQ$8,0)),0.1)</f>
        <v>0.1</v>
      </c>
      <c r="AS446" s="213" t="str">
        <f aca="false">IF(A447="","",1/(1+CHOOSE(F$3,(AR447+($I$3/10000))/2,(AR446+($I$3/10000))/2))^(2*AQ446/365.25))</f>
        <v/>
      </c>
      <c r="AT446" s="137" t="str">
        <f aca="false">IF(A447="","",IF(AND(mthbeg&lt;=A446,mthend&gt;=A446),1,0))</f>
        <v/>
      </c>
      <c r="AU446" s="137" t="str">
        <f aca="false">IF(A447="","",AO446*AT446)</f>
        <v/>
      </c>
      <c r="AW446" s="195" t="str">
        <f aca="false">IF($A447="","",AL446*$E446)</f>
        <v/>
      </c>
      <c r="AX446" s="195" t="str">
        <f aca="false">IF($A447="","",AM446*$E446)</f>
        <v/>
      </c>
      <c r="AY446" s="195" t="str">
        <f aca="false">IF($A447="","",AN446*$E446)</f>
        <v/>
      </c>
      <c r="BA446" s="195" t="str">
        <f aca="false">IF($A447="","",F446*Summary!$Q$7)</f>
        <v/>
      </c>
    </row>
    <row r="447" customFormat="false" ht="12.75" hidden="false" customHeight="false" outlineLevel="0" collapsed="false">
      <c r="A447" s="196" t="str">
        <f aca="false">IF(A446&lt;mthend,EDATE(A446,1),"")</f>
        <v/>
      </c>
      <c r="B447" s="197" t="str">
        <f aca="false">IF(A447&lt;mthend,B446,"")</f>
        <v/>
      </c>
      <c r="D447" s="197" t="str">
        <f aca="false">IF(A448&lt;&gt;"",B447+C447,"")</f>
        <v/>
      </c>
      <c r="E447" s="199" t="str">
        <f aca="false">IF(A448="","",IF(AND(AT447=1,$H$3=1),D447*AO447,IF($H$3=2,D447,"N/A")))</f>
        <v/>
      </c>
      <c r="F447" s="199" t="str">
        <f aca="false">IF(A448="","",E447*AS447)</f>
        <v/>
      </c>
      <c r="G447" s="200" t="str">
        <f aca="false">IF($A448="","",VLOOKUP($A447,Table,MATCH(G$4,Curves,0)))</f>
        <v/>
      </c>
      <c r="H447" s="201" t="str">
        <f aca="false">IF(A448="","",G447)</f>
        <v/>
      </c>
      <c r="J447" s="200" t="str">
        <f aca="false">IF($A448="","",VLOOKUP($A447,Table,MATCH(J$4,Curves,0)))</f>
        <v/>
      </c>
      <c r="K447" s="201" t="str">
        <f aca="false">IF(A448="","",J447)</f>
        <v/>
      </c>
      <c r="L447" s="200" t="str">
        <f aca="false">IF($A448="","",VLOOKUP($A447,Table,MATCH(L$4,Curves,0)))</f>
        <v/>
      </c>
      <c r="M447" s="201" t="str">
        <f aca="false">IF(A448="","",L447)</f>
        <v/>
      </c>
      <c r="O447" s="200" t="str">
        <f aca="false">IF(A448="","",L447+J447+G447)</f>
        <v/>
      </c>
      <c r="P447" s="200" t="str">
        <f aca="false">IF(A448="","",M447+K447+H447)</f>
        <v/>
      </c>
      <c r="R447" s="200" t="str">
        <f aca="false">IF($A448="","",VLOOKUP($A447,Table,MATCH(R$4,Curves,0)))</f>
        <v/>
      </c>
      <c r="S447" s="201" t="str">
        <f aca="false">IF(A448="","",R447)</f>
        <v/>
      </c>
      <c r="T447" s="200" t="str">
        <f aca="false">IF($A448="","",VLOOKUP($A447,Table,MATCH(T$4,Curves,0)))</f>
        <v/>
      </c>
      <c r="U447" s="201" t="str">
        <f aca="false">IF(A448="","",T447)</f>
        <v/>
      </c>
      <c r="V447" s="183" t="str">
        <f aca="false">IF($A448="","",IF(AND(MONTH(A447)&gt;3,MONTH(A447)&lt;11),(T447+R447+G447)*Summary!$T$7/(1-Summary!$T$7),(T447+R447+G447)*Summary!$U$7/(1-Summary!$U$7)))</f>
        <v/>
      </c>
      <c r="W447" s="200" t="str">
        <f aca="false">IF($A448="","",(T447+R447+G447+V447))</f>
        <v/>
      </c>
      <c r="X447" s="200" t="str">
        <f aca="false">IF($A448="","",(U447+S447+H447+V447))</f>
        <v/>
      </c>
      <c r="Y447" s="202"/>
      <c r="Z447" s="185"/>
      <c r="AJ447" s="77"/>
      <c r="AK447" s="77"/>
      <c r="AL447" s="77"/>
      <c r="AM447" s="77"/>
      <c r="AN447" s="77"/>
      <c r="AO447" s="137" t="str">
        <f aca="false">IF(A448="","",A448-A447)</f>
        <v/>
      </c>
      <c r="AP447" s="212" t="str">
        <f aca="false">IF(A448="","",CHOOSE(F$3,A448+24,A447))</f>
        <v/>
      </c>
      <c r="AQ447" s="209" t="str">
        <f aca="false">IF(A448="","",AP447-$E$1)</f>
        <v/>
      </c>
      <c r="AR447" s="185" t="n">
        <f aca="false">IF(Summary!$H$2=1,VLOOKUP('ANR OK vs ML7'!A447,Curves!$C$17:$AR$273,MATCH('ANR OK vs ML7'!$AR$4,Curves!$C$8:$AQ$8,0)),0.1)</f>
        <v>0.1</v>
      </c>
      <c r="AS447" s="213" t="str">
        <f aca="false">IF(A448="","",1/(1+CHOOSE(F$3,(AR448+($I$3/10000))/2,(AR447+($I$3/10000))/2))^(2*AQ447/365.25))</f>
        <v/>
      </c>
      <c r="AT447" s="137" t="str">
        <f aca="false">IF(A448="","",IF(AND(mthbeg&lt;=A447,mthend&gt;=A447),1,0))</f>
        <v/>
      </c>
      <c r="AU447" s="137" t="str">
        <f aca="false">IF(A448="","",AO447*AT447)</f>
        <v/>
      </c>
      <c r="AW447" s="195" t="str">
        <f aca="false">IF($A448="","",AL447*$E447)</f>
        <v/>
      </c>
      <c r="AX447" s="195" t="str">
        <f aca="false">IF($A448="","",AM447*$E447)</f>
        <v/>
      </c>
      <c r="AY447" s="195" t="str">
        <f aca="false">IF($A448="","",AN447*$E447)</f>
        <v/>
      </c>
      <c r="BA447" s="195" t="str">
        <f aca="false">IF($A448="","",F447*Summary!$Q$7)</f>
        <v/>
      </c>
    </row>
    <row r="448" customFormat="false" ht="12.75" hidden="false" customHeight="false" outlineLevel="0" collapsed="false">
      <c r="A448" s="196" t="str">
        <f aca="false">IF(A447&lt;mthend,EDATE(A447,1),"")</f>
        <v/>
      </c>
      <c r="B448" s="197" t="str">
        <f aca="false">IF(A448&lt;mthend,B447,"")</f>
        <v/>
      </c>
      <c r="D448" s="197" t="str">
        <f aca="false">IF(A449&lt;&gt;"",B448+C448,"")</f>
        <v/>
      </c>
      <c r="E448" s="199" t="str">
        <f aca="false">IF(A449="","",IF(AND(AT448=1,$H$3=1),D448*AO448,IF($H$3=2,D448,"N/A")))</f>
        <v/>
      </c>
      <c r="F448" s="199" t="str">
        <f aca="false">IF(A449="","",E448*AS448)</f>
        <v/>
      </c>
      <c r="G448" s="200" t="str">
        <f aca="false">IF($A449="","",VLOOKUP($A448,Table,MATCH(G$4,Curves,0)))</f>
        <v/>
      </c>
      <c r="H448" s="201" t="str">
        <f aca="false">IF(A449="","",G448)</f>
        <v/>
      </c>
      <c r="J448" s="200" t="str">
        <f aca="false">IF($A449="","",VLOOKUP($A448,Table,MATCH(J$4,Curves,0)))</f>
        <v/>
      </c>
      <c r="K448" s="201" t="str">
        <f aca="false">IF(A449="","",J448)</f>
        <v/>
      </c>
      <c r="L448" s="200" t="str">
        <f aca="false">IF($A449="","",VLOOKUP($A448,Table,MATCH(L$4,Curves,0)))</f>
        <v/>
      </c>
      <c r="M448" s="201" t="str">
        <f aca="false">IF(A449="","",L448)</f>
        <v/>
      </c>
      <c r="O448" s="200" t="str">
        <f aca="false">IF(A449="","",L448+J448+G448)</f>
        <v/>
      </c>
      <c r="P448" s="200" t="str">
        <f aca="false">IF(A449="","",M448+K448+H448)</f>
        <v/>
      </c>
      <c r="R448" s="200" t="str">
        <f aca="false">IF($A449="","",VLOOKUP($A448,Table,MATCH(R$4,Curves,0)))</f>
        <v/>
      </c>
      <c r="S448" s="201" t="str">
        <f aca="false">IF(A449="","",R448)</f>
        <v/>
      </c>
      <c r="T448" s="200" t="str">
        <f aca="false">IF($A449="","",VLOOKUP($A448,Table,MATCH(T$4,Curves,0)))</f>
        <v/>
      </c>
      <c r="U448" s="201" t="str">
        <f aca="false">IF(A449="","",T448)</f>
        <v/>
      </c>
      <c r="V448" s="183" t="str">
        <f aca="false">IF($A449="","",IF(AND(MONTH(A448)&gt;3,MONTH(A448)&lt;11),(T448+R448+G448)*Summary!$T$7/(1-Summary!$T$7),(T448+R448+G448)*Summary!$U$7/(1-Summary!$U$7)))</f>
        <v/>
      </c>
      <c r="W448" s="200" t="str">
        <f aca="false">IF($A449="","",(T448+R448+G448+V448))</f>
        <v/>
      </c>
      <c r="X448" s="200" t="str">
        <f aca="false">IF($A449="","",(U448+S448+H448+V448))</f>
        <v/>
      </c>
      <c r="Y448" s="202"/>
      <c r="Z448" s="185"/>
      <c r="AJ448" s="77"/>
      <c r="AK448" s="77"/>
      <c r="AL448" s="77"/>
      <c r="AM448" s="77"/>
      <c r="AN448" s="77"/>
      <c r="AO448" s="137" t="str">
        <f aca="false">IF(A449="","",A449-A448)</f>
        <v/>
      </c>
      <c r="AP448" s="212" t="str">
        <f aca="false">IF(A449="","",CHOOSE(F$3,A449+24,A448))</f>
        <v/>
      </c>
      <c r="AQ448" s="209" t="str">
        <f aca="false">IF(A449="","",AP448-$E$1)</f>
        <v/>
      </c>
      <c r="AR448" s="185" t="n">
        <f aca="false">IF(Summary!$H$2=1,VLOOKUP('ANR OK vs ML7'!A448,Curves!$C$17:$AR$273,MATCH('ANR OK vs ML7'!$AR$4,Curves!$C$8:$AQ$8,0)),0.1)</f>
        <v>0.1</v>
      </c>
      <c r="AS448" s="213" t="str">
        <f aca="false">IF(A449="","",1/(1+CHOOSE(F$3,(AR449+($I$3/10000))/2,(AR448+($I$3/10000))/2))^(2*AQ448/365.25))</f>
        <v/>
      </c>
      <c r="AT448" s="137" t="str">
        <f aca="false">IF(A449="","",IF(AND(mthbeg&lt;=A448,mthend&gt;=A448),1,0))</f>
        <v/>
      </c>
      <c r="AU448" s="137" t="str">
        <f aca="false">IF(A449="","",AO448*AT448)</f>
        <v/>
      </c>
      <c r="AW448" s="195" t="str">
        <f aca="false">IF($A449="","",AL448*$E448)</f>
        <v/>
      </c>
      <c r="AX448" s="195" t="str">
        <f aca="false">IF($A449="","",AM448*$E448)</f>
        <v/>
      </c>
      <c r="AY448" s="195" t="str">
        <f aca="false">IF($A449="","",AN448*$E448)</f>
        <v/>
      </c>
      <c r="BA448" s="195" t="str">
        <f aca="false">IF($A449="","",F448*Summary!$Q$7)</f>
        <v/>
      </c>
    </row>
    <row r="449" customFormat="false" ht="12.75" hidden="false" customHeight="false" outlineLevel="0" collapsed="false">
      <c r="A449" s="196" t="str">
        <f aca="false">IF(A448&lt;mthend,EDATE(A448,1),"")</f>
        <v/>
      </c>
      <c r="B449" s="197" t="str">
        <f aca="false">IF(A449&lt;mthend,B448,"")</f>
        <v/>
      </c>
      <c r="D449" s="197" t="str">
        <f aca="false">IF(A450&lt;&gt;"",B449+C449,"")</f>
        <v/>
      </c>
      <c r="E449" s="199" t="str">
        <f aca="false">IF(A450="","",IF(AND(AT449=1,$H$3=1),D449*AO449,IF($H$3=2,D449,"N/A")))</f>
        <v/>
      </c>
      <c r="F449" s="199" t="str">
        <f aca="false">IF(A450="","",E449*AS449)</f>
        <v/>
      </c>
      <c r="G449" s="200" t="str">
        <f aca="false">IF($A450="","",VLOOKUP($A449,Table,MATCH(G$4,Curves,0)))</f>
        <v/>
      </c>
      <c r="H449" s="201" t="str">
        <f aca="false">IF(A450="","",G449)</f>
        <v/>
      </c>
      <c r="J449" s="200" t="str">
        <f aca="false">IF($A450="","",VLOOKUP($A449,Table,MATCH(J$4,Curves,0)))</f>
        <v/>
      </c>
      <c r="K449" s="201" t="str">
        <f aca="false">IF(A450="","",J449)</f>
        <v/>
      </c>
      <c r="L449" s="200" t="str">
        <f aca="false">IF($A450="","",VLOOKUP($A449,Table,MATCH(L$4,Curves,0)))</f>
        <v/>
      </c>
      <c r="M449" s="201" t="str">
        <f aca="false">IF(A450="","",L449)</f>
        <v/>
      </c>
      <c r="O449" s="200" t="str">
        <f aca="false">IF(A450="","",L449+J449+G449)</f>
        <v/>
      </c>
      <c r="P449" s="200" t="str">
        <f aca="false">IF(A450="","",M449+K449+H449)</f>
        <v/>
      </c>
      <c r="R449" s="200" t="str">
        <f aca="false">IF($A450="","",VLOOKUP($A449,Table,MATCH(R$4,Curves,0)))</f>
        <v/>
      </c>
      <c r="S449" s="201" t="str">
        <f aca="false">IF(A450="","",R449)</f>
        <v/>
      </c>
      <c r="T449" s="200" t="str">
        <f aca="false">IF($A450="","",VLOOKUP($A449,Table,MATCH(T$4,Curves,0)))</f>
        <v/>
      </c>
      <c r="U449" s="201" t="str">
        <f aca="false">IF(A450="","",T449)</f>
        <v/>
      </c>
      <c r="V449" s="183" t="str">
        <f aca="false">IF($A450="","",IF(AND(MONTH(A449)&gt;3,MONTH(A449)&lt;11),(T449+R449+G449)*Summary!$T$7/(1-Summary!$T$7),(T449+R449+G449)*Summary!$U$7/(1-Summary!$U$7)))</f>
        <v/>
      </c>
      <c r="W449" s="200" t="str">
        <f aca="false">IF($A450="","",(T449+R449+G449+V449))</f>
        <v/>
      </c>
      <c r="X449" s="200" t="str">
        <f aca="false">IF($A450="","",(U449+S449+H449+V449))</f>
        <v/>
      </c>
      <c r="Y449" s="202"/>
      <c r="Z449" s="185"/>
      <c r="AJ449" s="77"/>
      <c r="AK449" s="77"/>
      <c r="AL449" s="77"/>
      <c r="AM449" s="77"/>
      <c r="AN449" s="77"/>
      <c r="AO449" s="137" t="str">
        <f aca="false">IF(A450="","",A450-A449)</f>
        <v/>
      </c>
      <c r="AP449" s="212" t="str">
        <f aca="false">IF(A450="","",CHOOSE(F$3,A450+24,A449))</f>
        <v/>
      </c>
      <c r="AQ449" s="209" t="str">
        <f aca="false">IF(A450="","",AP449-$E$1)</f>
        <v/>
      </c>
      <c r="AR449" s="185" t="n">
        <f aca="false">IF(Summary!$H$2=1,VLOOKUP('ANR OK vs ML7'!A449,Curves!$C$17:$AR$273,MATCH('ANR OK vs ML7'!$AR$4,Curves!$C$8:$AQ$8,0)),0.1)</f>
        <v>0.1</v>
      </c>
      <c r="AS449" s="213" t="str">
        <f aca="false">IF(A450="","",1/(1+CHOOSE(F$3,(AR450+($I$3/10000))/2,(AR449+($I$3/10000))/2))^(2*AQ449/365.25))</f>
        <v/>
      </c>
      <c r="AT449" s="137" t="str">
        <f aca="false">IF(A450="","",IF(AND(mthbeg&lt;=A449,mthend&gt;=A449),1,0))</f>
        <v/>
      </c>
      <c r="AU449" s="137" t="str">
        <f aca="false">IF(A450="","",AO449*AT449)</f>
        <v/>
      </c>
      <c r="AW449" s="195" t="str">
        <f aca="false">IF($A450="","",AL449*$E449)</f>
        <v/>
      </c>
      <c r="AX449" s="195" t="str">
        <f aca="false">IF($A450="","",AM449*$E449)</f>
        <v/>
      </c>
      <c r="AY449" s="195" t="str">
        <f aca="false">IF($A450="","",AN449*$E449)</f>
        <v/>
      </c>
      <c r="BA449" s="195" t="str">
        <f aca="false">IF($A450="","",F449*Summary!$Q$7)</f>
        <v/>
      </c>
    </row>
    <row r="450" customFormat="false" ht="12.75" hidden="false" customHeight="false" outlineLevel="0" collapsed="false">
      <c r="A450" s="196" t="str">
        <f aca="false">IF(A449&lt;mthend,EDATE(A449,1),"")</f>
        <v/>
      </c>
      <c r="B450" s="197" t="str">
        <f aca="false">IF(A450&lt;mthend,B449,"")</f>
        <v/>
      </c>
      <c r="D450" s="197" t="str">
        <f aca="false">IF(A451&lt;&gt;"",B450+C450,"")</f>
        <v/>
      </c>
      <c r="E450" s="199" t="str">
        <f aca="false">IF(A451="","",IF(AND(AT450=1,$H$3=1),D450*AO450,IF($H$3=2,D450,"N/A")))</f>
        <v/>
      </c>
      <c r="F450" s="199" t="str">
        <f aca="false">IF(A451="","",E450*AS450)</f>
        <v/>
      </c>
      <c r="G450" s="200" t="str">
        <f aca="false">IF($A451="","",VLOOKUP($A450,Table,MATCH(G$4,Curves,0)))</f>
        <v/>
      </c>
      <c r="H450" s="201" t="str">
        <f aca="false">IF(A451="","",G450)</f>
        <v/>
      </c>
      <c r="J450" s="200" t="str">
        <f aca="false">IF($A451="","",VLOOKUP($A450,Table,MATCH(J$4,Curves,0)))</f>
        <v/>
      </c>
      <c r="K450" s="201" t="str">
        <f aca="false">IF(A451="","",J450)</f>
        <v/>
      </c>
      <c r="L450" s="200" t="str">
        <f aca="false">IF($A451="","",VLOOKUP($A450,Table,MATCH(L$4,Curves,0)))</f>
        <v/>
      </c>
      <c r="M450" s="201" t="str">
        <f aca="false">IF(A451="","",L450)</f>
        <v/>
      </c>
      <c r="O450" s="200" t="str">
        <f aca="false">IF(A451="","",L450+J450+G450)</f>
        <v/>
      </c>
      <c r="P450" s="200" t="str">
        <f aca="false">IF(A451="","",M450+K450+H450)</f>
        <v/>
      </c>
      <c r="R450" s="200" t="str">
        <f aca="false">IF($A451="","",VLOOKUP($A450,Table,MATCH(R$4,Curves,0)))</f>
        <v/>
      </c>
      <c r="S450" s="201" t="str">
        <f aca="false">IF(A451="","",R450)</f>
        <v/>
      </c>
      <c r="T450" s="200" t="str">
        <f aca="false">IF($A451="","",VLOOKUP($A450,Table,MATCH(T$4,Curves,0)))</f>
        <v/>
      </c>
      <c r="U450" s="201" t="str">
        <f aca="false">IF(A451="","",T450)</f>
        <v/>
      </c>
      <c r="V450" s="183" t="str">
        <f aca="false">IF($A451="","",IF(AND(MONTH(A450)&gt;3,MONTH(A450)&lt;11),(T450+R450+G450)*Summary!$T$7/(1-Summary!$T$7),(T450+R450+G450)*Summary!$U$7/(1-Summary!$U$7)))</f>
        <v/>
      </c>
      <c r="W450" s="200" t="str">
        <f aca="false">IF($A451="","",(T450+R450+G450+V450))</f>
        <v/>
      </c>
      <c r="X450" s="200" t="str">
        <f aca="false">IF($A451="","",(U450+S450+H450+V450))</f>
        <v/>
      </c>
      <c r="Y450" s="202"/>
      <c r="Z450" s="185"/>
      <c r="AJ450" s="77"/>
      <c r="AK450" s="77"/>
      <c r="AL450" s="77"/>
      <c r="AM450" s="77"/>
      <c r="AN450" s="77"/>
      <c r="AO450" s="137" t="str">
        <f aca="false">IF(A451="","",A451-A450)</f>
        <v/>
      </c>
      <c r="AP450" s="212" t="str">
        <f aca="false">IF(A451="","",CHOOSE(F$3,A451+24,A450))</f>
        <v/>
      </c>
      <c r="AQ450" s="209" t="str">
        <f aca="false">IF(A451="","",AP450-$E$1)</f>
        <v/>
      </c>
      <c r="AR450" s="185" t="n">
        <f aca="false">IF(Summary!$H$2=1,VLOOKUP('ANR OK vs ML7'!A450,Curves!$C$17:$AR$273,MATCH('ANR OK vs ML7'!$AR$4,Curves!$C$8:$AQ$8,0)),0.1)</f>
        <v>0.1</v>
      </c>
      <c r="AS450" s="213" t="str">
        <f aca="false">IF(A451="","",1/(1+CHOOSE(F$3,(AR451+($I$3/10000))/2,(AR450+($I$3/10000))/2))^(2*AQ450/365.25))</f>
        <v/>
      </c>
      <c r="AT450" s="137" t="str">
        <f aca="false">IF(A451="","",IF(AND(mthbeg&lt;=A450,mthend&gt;=A450),1,0))</f>
        <v/>
      </c>
      <c r="AU450" s="137" t="str">
        <f aca="false">IF(A451="","",AO450*AT450)</f>
        <v/>
      </c>
      <c r="AW450" s="195" t="str">
        <f aca="false">IF($A451="","",AL450*$E450)</f>
        <v/>
      </c>
      <c r="AX450" s="195" t="str">
        <f aca="false">IF($A451="","",AM450*$E450)</f>
        <v/>
      </c>
      <c r="AY450" s="195" t="str">
        <f aca="false">IF($A451="","",AN450*$E450)</f>
        <v/>
      </c>
      <c r="BA450" s="195" t="str">
        <f aca="false">IF($A451="","",F450*Summary!$Q$7)</f>
        <v/>
      </c>
    </row>
    <row r="451" customFormat="false" ht="12.75" hidden="false" customHeight="false" outlineLevel="0" collapsed="false">
      <c r="A451" s="196" t="str">
        <f aca="false">IF(A450&lt;mthend,EDATE(A450,1),"")</f>
        <v/>
      </c>
      <c r="B451" s="197" t="str">
        <f aca="false">IF(A451&lt;mthend,B450,"")</f>
        <v/>
      </c>
      <c r="D451" s="197" t="str">
        <f aca="false">IF(A452&lt;&gt;"",B451+C451,"")</f>
        <v/>
      </c>
      <c r="E451" s="199" t="str">
        <f aca="false">IF(A452="","",IF(AND(AT451=1,$H$3=1),D451*AO451,IF($H$3=2,D451,"N/A")))</f>
        <v/>
      </c>
      <c r="F451" s="199" t="str">
        <f aca="false">IF(A452="","",E451*AS451)</f>
        <v/>
      </c>
      <c r="G451" s="200" t="str">
        <f aca="false">IF($A452="","",VLOOKUP($A451,Table,MATCH(G$4,Curves,0)))</f>
        <v/>
      </c>
      <c r="H451" s="201" t="str">
        <f aca="false">IF(A452="","",G451)</f>
        <v/>
      </c>
      <c r="J451" s="200" t="str">
        <f aca="false">IF($A452="","",VLOOKUP($A451,Table,MATCH(J$4,Curves,0)))</f>
        <v/>
      </c>
      <c r="K451" s="201" t="str">
        <f aca="false">IF(A452="","",J451)</f>
        <v/>
      </c>
      <c r="L451" s="200" t="str">
        <f aca="false">IF($A452="","",VLOOKUP($A451,Table,MATCH(L$4,Curves,0)))</f>
        <v/>
      </c>
      <c r="M451" s="201" t="str">
        <f aca="false">IF(A452="","",L451)</f>
        <v/>
      </c>
      <c r="O451" s="200" t="str">
        <f aca="false">IF(A452="","",L451+J451+G451)</f>
        <v/>
      </c>
      <c r="P451" s="200" t="str">
        <f aca="false">IF(A452="","",M451+K451+H451)</f>
        <v/>
      </c>
      <c r="R451" s="200" t="str">
        <f aca="false">IF($A452="","",VLOOKUP($A451,Table,MATCH(R$4,Curves,0)))</f>
        <v/>
      </c>
      <c r="S451" s="201" t="str">
        <f aca="false">IF(A452="","",R451)</f>
        <v/>
      </c>
      <c r="T451" s="200" t="str">
        <f aca="false">IF($A452="","",VLOOKUP($A451,Table,MATCH(T$4,Curves,0)))</f>
        <v/>
      </c>
      <c r="U451" s="201" t="str">
        <f aca="false">IF(A452="","",T451)</f>
        <v/>
      </c>
      <c r="V451" s="183" t="str">
        <f aca="false">IF($A452="","",IF(AND(MONTH(A451)&gt;3,MONTH(A451)&lt;11),(T451+R451+G451)*Summary!$T$7/(1-Summary!$T$7),(T451+R451+G451)*Summary!$U$7/(1-Summary!$U$7)))</f>
        <v/>
      </c>
      <c r="W451" s="200" t="str">
        <f aca="false">IF($A452="","",(T451+R451+G451+V451))</f>
        <v/>
      </c>
      <c r="X451" s="200" t="str">
        <f aca="false">IF($A452="","",(U451+S451+H451+V451))</f>
        <v/>
      </c>
      <c r="Y451" s="202"/>
      <c r="Z451" s="185"/>
      <c r="AJ451" s="77"/>
      <c r="AK451" s="77"/>
      <c r="AL451" s="77"/>
      <c r="AM451" s="77"/>
      <c r="AN451" s="77"/>
      <c r="AO451" s="137" t="str">
        <f aca="false">IF(A452="","",A452-A451)</f>
        <v/>
      </c>
      <c r="AP451" s="212" t="str">
        <f aca="false">IF(A452="","",CHOOSE(F$3,A452+24,A451))</f>
        <v/>
      </c>
      <c r="AQ451" s="209" t="str">
        <f aca="false">IF(A452="","",AP451-$E$1)</f>
        <v/>
      </c>
      <c r="AR451" s="185" t="n">
        <f aca="false">IF(Summary!$H$2=1,VLOOKUP('ANR OK vs ML7'!A451,Curves!$C$17:$AR$273,MATCH('ANR OK vs ML7'!$AR$4,Curves!$C$8:$AQ$8,0)),0.1)</f>
        <v>0.1</v>
      </c>
      <c r="AS451" s="213" t="str">
        <f aca="false">IF(A452="","",1/(1+CHOOSE(F$3,(AR452+($I$3/10000))/2,(AR451+($I$3/10000))/2))^(2*AQ451/365.25))</f>
        <v/>
      </c>
      <c r="AT451" s="137" t="str">
        <f aca="false">IF(A452="","",IF(AND(mthbeg&lt;=A451,mthend&gt;=A451),1,0))</f>
        <v/>
      </c>
      <c r="AU451" s="137" t="str">
        <f aca="false">IF(A452="","",AO451*AT451)</f>
        <v/>
      </c>
      <c r="AW451" s="195" t="str">
        <f aca="false">IF($A452="","",AL451*$E451)</f>
        <v/>
      </c>
      <c r="AX451" s="195" t="str">
        <f aca="false">IF($A452="","",AM451*$E451)</f>
        <v/>
      </c>
      <c r="AY451" s="195" t="str">
        <f aca="false">IF($A452="","",AN451*$E451)</f>
        <v/>
      </c>
      <c r="BA451" s="195" t="str">
        <f aca="false">IF($A452="","",F451*Summary!$Q$7)</f>
        <v/>
      </c>
    </row>
    <row r="452" customFormat="false" ht="12.75" hidden="false" customHeight="false" outlineLevel="0" collapsed="false">
      <c r="A452" s="196" t="str">
        <f aca="false">IF(A451&lt;mthend,EDATE(A451,1),"")</f>
        <v/>
      </c>
      <c r="B452" s="197" t="str">
        <f aca="false">IF(A452&lt;mthend,B451,"")</f>
        <v/>
      </c>
      <c r="D452" s="197" t="str">
        <f aca="false">IF(A453&lt;&gt;"",B452+C452,"")</f>
        <v/>
      </c>
      <c r="E452" s="199" t="str">
        <f aca="false">IF(A453="","",IF(AND(AT452=1,$H$3=1),D452*AO452,IF($H$3=2,D452,"N/A")))</f>
        <v/>
      </c>
      <c r="F452" s="199" t="str">
        <f aca="false">IF(A453="","",E452*AS452)</f>
        <v/>
      </c>
      <c r="G452" s="200" t="str">
        <f aca="false">IF($A453="","",VLOOKUP($A452,Table,MATCH(G$4,Curves,0)))</f>
        <v/>
      </c>
      <c r="H452" s="201" t="str">
        <f aca="false">IF(A453="","",G452)</f>
        <v/>
      </c>
      <c r="J452" s="200" t="str">
        <f aca="false">IF($A453="","",VLOOKUP($A452,Table,MATCH(J$4,Curves,0)))</f>
        <v/>
      </c>
      <c r="K452" s="201" t="str">
        <f aca="false">IF(A453="","",J452)</f>
        <v/>
      </c>
      <c r="L452" s="200" t="str">
        <f aca="false">IF($A453="","",VLOOKUP($A452,Table,MATCH(L$4,Curves,0)))</f>
        <v/>
      </c>
      <c r="M452" s="201" t="str">
        <f aca="false">IF(A453="","",L452)</f>
        <v/>
      </c>
      <c r="O452" s="200" t="str">
        <f aca="false">IF(A453="","",L452+J452+G452)</f>
        <v/>
      </c>
      <c r="P452" s="200" t="str">
        <f aca="false">IF(A453="","",M452+K452+H452)</f>
        <v/>
      </c>
      <c r="R452" s="200" t="str">
        <f aca="false">IF($A453="","",VLOOKUP($A452,Table,MATCH(R$4,Curves,0)))</f>
        <v/>
      </c>
      <c r="S452" s="201" t="str">
        <f aca="false">IF(A453="","",R452)</f>
        <v/>
      </c>
      <c r="T452" s="200" t="str">
        <f aca="false">IF($A453="","",VLOOKUP($A452,Table,MATCH(T$4,Curves,0)))</f>
        <v/>
      </c>
      <c r="U452" s="201" t="str">
        <f aca="false">IF(A453="","",T452)</f>
        <v/>
      </c>
      <c r="V452" s="183" t="str">
        <f aca="false">IF($A453="","",IF(AND(MONTH(A452)&gt;3,MONTH(A452)&lt;11),(T452+R452+G452)*Summary!$T$7/(1-Summary!$T$7),(T452+R452+G452)*Summary!$U$7/(1-Summary!$U$7)))</f>
        <v/>
      </c>
      <c r="W452" s="200" t="str">
        <f aca="false">IF($A453="","",(T452+R452+G452+V452))</f>
        <v/>
      </c>
      <c r="X452" s="200" t="str">
        <f aca="false">IF($A453="","",(U452+S452+H452+V452))</f>
        <v/>
      </c>
      <c r="Y452" s="202"/>
      <c r="Z452" s="185"/>
      <c r="AJ452" s="77"/>
      <c r="AK452" s="77"/>
      <c r="AL452" s="77"/>
      <c r="AM452" s="77"/>
      <c r="AN452" s="77"/>
      <c r="AO452" s="137" t="str">
        <f aca="false">IF(A453="","",A453-A452)</f>
        <v/>
      </c>
      <c r="AP452" s="212" t="str">
        <f aca="false">IF(A453="","",CHOOSE(F$3,A453+24,A452))</f>
        <v/>
      </c>
      <c r="AQ452" s="209" t="str">
        <f aca="false">IF(A453="","",AP452-$E$1)</f>
        <v/>
      </c>
      <c r="AR452" s="185" t="n">
        <f aca="false">IF(Summary!$H$2=1,VLOOKUP('ANR OK vs ML7'!A452,Curves!$C$17:$AR$273,MATCH('ANR OK vs ML7'!$AR$4,Curves!$C$8:$AQ$8,0)),0.1)</f>
        <v>0.1</v>
      </c>
      <c r="AS452" s="213" t="str">
        <f aca="false">IF(A453="","",1/(1+CHOOSE(F$3,(AR453+($I$3/10000))/2,(AR452+($I$3/10000))/2))^(2*AQ452/365.25))</f>
        <v/>
      </c>
      <c r="AT452" s="137" t="str">
        <f aca="false">IF(A453="","",IF(AND(mthbeg&lt;=A452,mthend&gt;=A452),1,0))</f>
        <v/>
      </c>
      <c r="AU452" s="137" t="str">
        <f aca="false">IF(A453="","",AO452*AT452)</f>
        <v/>
      </c>
      <c r="AW452" s="195" t="str">
        <f aca="false">IF($A453="","",AL452*$E452)</f>
        <v/>
      </c>
      <c r="AX452" s="195" t="str">
        <f aca="false">IF($A453="","",AM452*$E452)</f>
        <v/>
      </c>
      <c r="AY452" s="195" t="str">
        <f aca="false">IF($A453="","",AN452*$E452)</f>
        <v/>
      </c>
      <c r="BA452" s="195" t="str">
        <f aca="false">IF($A453="","",F452*Summary!$Q$7)</f>
        <v/>
      </c>
    </row>
    <row r="453" customFormat="false" ht="12.75" hidden="false" customHeight="false" outlineLevel="0" collapsed="false">
      <c r="A453" s="196" t="str">
        <f aca="false">IF(A452&lt;mthend,EDATE(A452,1),"")</f>
        <v/>
      </c>
      <c r="B453" s="197" t="str">
        <f aca="false">IF(A453&lt;mthend,B452,"")</f>
        <v/>
      </c>
      <c r="D453" s="197" t="str">
        <f aca="false">IF(A454&lt;&gt;"",B453+C453,"")</f>
        <v/>
      </c>
      <c r="E453" s="199" t="str">
        <f aca="false">IF(A454="","",IF(AND(AT453=1,$H$3=1),D453*AO453,IF($H$3=2,D453,"N/A")))</f>
        <v/>
      </c>
      <c r="F453" s="199" t="str">
        <f aca="false">IF(A454="","",E453*AS453)</f>
        <v/>
      </c>
      <c r="G453" s="200" t="str">
        <f aca="false">IF($A454="","",VLOOKUP($A453,Table,MATCH(G$4,Curves,0)))</f>
        <v/>
      </c>
      <c r="H453" s="201" t="str">
        <f aca="false">IF(A454="","",G453)</f>
        <v/>
      </c>
      <c r="J453" s="200" t="str">
        <f aca="false">IF($A454="","",VLOOKUP($A453,Table,MATCH(J$4,Curves,0)))</f>
        <v/>
      </c>
      <c r="K453" s="201" t="str">
        <f aca="false">IF(A454="","",J453)</f>
        <v/>
      </c>
      <c r="L453" s="200" t="str">
        <f aca="false">IF($A454="","",VLOOKUP($A453,Table,MATCH(L$4,Curves,0)))</f>
        <v/>
      </c>
      <c r="M453" s="201" t="str">
        <f aca="false">IF(A454="","",L453)</f>
        <v/>
      </c>
      <c r="O453" s="200" t="str">
        <f aca="false">IF(A454="","",L453+J453+G453)</f>
        <v/>
      </c>
      <c r="P453" s="200" t="str">
        <f aca="false">IF(A454="","",M453+K453+H453)</f>
        <v/>
      </c>
      <c r="R453" s="200" t="str">
        <f aca="false">IF($A454="","",VLOOKUP($A453,Table,MATCH(R$4,Curves,0)))</f>
        <v/>
      </c>
      <c r="S453" s="201" t="str">
        <f aca="false">IF(A454="","",R453)</f>
        <v/>
      </c>
      <c r="T453" s="200" t="str">
        <f aca="false">IF($A454="","",VLOOKUP($A453,Table,MATCH(T$4,Curves,0)))</f>
        <v/>
      </c>
      <c r="U453" s="201" t="str">
        <f aca="false">IF(A454="","",T453)</f>
        <v/>
      </c>
      <c r="V453" s="183" t="str">
        <f aca="false">IF($A454="","",IF(AND(MONTH(A453)&gt;3,MONTH(A453)&lt;11),(T453+R453+G453)*Summary!$T$7/(1-Summary!$T$7),(T453+R453+G453)*Summary!$U$7/(1-Summary!$U$7)))</f>
        <v/>
      </c>
      <c r="W453" s="200" t="str">
        <f aca="false">IF($A454="","",(T453+R453+G453+V453))</f>
        <v/>
      </c>
      <c r="X453" s="200" t="str">
        <f aca="false">IF($A454="","",(U453+S453+H453+V453))</f>
        <v/>
      </c>
      <c r="Y453" s="202"/>
      <c r="Z453" s="185"/>
      <c r="AJ453" s="77"/>
      <c r="AK453" s="77"/>
      <c r="AL453" s="77"/>
      <c r="AM453" s="77"/>
      <c r="AN453" s="77"/>
      <c r="AO453" s="137" t="str">
        <f aca="false">IF(A454="","",A454-A453)</f>
        <v/>
      </c>
      <c r="AP453" s="212" t="str">
        <f aca="false">IF(A454="","",CHOOSE(F$3,A454+24,A453))</f>
        <v/>
      </c>
      <c r="AQ453" s="209" t="str">
        <f aca="false">IF(A454="","",AP453-$E$1)</f>
        <v/>
      </c>
      <c r="AR453" s="185" t="n">
        <f aca="false">IF(Summary!$H$2=1,VLOOKUP('ANR OK vs ML7'!A453,Curves!$C$17:$AR$273,MATCH('ANR OK vs ML7'!$AR$4,Curves!$C$8:$AQ$8,0)),0.1)</f>
        <v>0.1</v>
      </c>
      <c r="AS453" s="213" t="str">
        <f aca="false">IF(A454="","",1/(1+CHOOSE(F$3,(AR454+($I$3/10000))/2,(AR453+($I$3/10000))/2))^(2*AQ453/365.25))</f>
        <v/>
      </c>
      <c r="AT453" s="137" t="str">
        <f aca="false">IF(A454="","",IF(AND(mthbeg&lt;=A453,mthend&gt;=A453),1,0))</f>
        <v/>
      </c>
      <c r="AU453" s="137" t="str">
        <f aca="false">IF(A454="","",AO453*AT453)</f>
        <v/>
      </c>
      <c r="AW453" s="195" t="str">
        <f aca="false">IF($A454="","",AL453*$E453)</f>
        <v/>
      </c>
      <c r="AX453" s="195" t="str">
        <f aca="false">IF($A454="","",AM453*$E453)</f>
        <v/>
      </c>
      <c r="AY453" s="195" t="str">
        <f aca="false">IF($A454="","",AN453*$E453)</f>
        <v/>
      </c>
      <c r="BA453" s="195" t="str">
        <f aca="false">IF($A454="","",F453*Summary!$Q$7)</f>
        <v/>
      </c>
    </row>
    <row r="454" customFormat="false" ht="12.75" hidden="false" customHeight="false" outlineLevel="0" collapsed="false">
      <c r="A454" s="196" t="str">
        <f aca="false">IF(A453&lt;mthend,EDATE(A453,1),"")</f>
        <v/>
      </c>
      <c r="B454" s="197" t="str">
        <f aca="false">IF(A454&lt;mthend,B453,"")</f>
        <v/>
      </c>
      <c r="D454" s="197" t="str">
        <f aca="false">IF(A455&lt;&gt;"",B454+C454,"")</f>
        <v/>
      </c>
      <c r="E454" s="199" t="str">
        <f aca="false">IF(A455="","",IF(AND(AT454=1,$H$3=1),D454*AO454,IF($H$3=2,D454,"N/A")))</f>
        <v/>
      </c>
      <c r="F454" s="199" t="str">
        <f aca="false">IF(A455="","",E454*AS454)</f>
        <v/>
      </c>
      <c r="G454" s="200" t="str">
        <f aca="false">IF($A455="","",VLOOKUP($A454,Table,MATCH(G$4,Curves,0)))</f>
        <v/>
      </c>
      <c r="H454" s="201" t="str">
        <f aca="false">IF(A455="","",G454)</f>
        <v/>
      </c>
      <c r="J454" s="200" t="str">
        <f aca="false">IF($A455="","",VLOOKUP($A454,Table,MATCH(J$4,Curves,0)))</f>
        <v/>
      </c>
      <c r="K454" s="201" t="str">
        <f aca="false">IF(A455="","",J454)</f>
        <v/>
      </c>
      <c r="L454" s="200" t="str">
        <f aca="false">IF($A455="","",VLOOKUP($A454,Table,MATCH(L$4,Curves,0)))</f>
        <v/>
      </c>
      <c r="M454" s="201" t="str">
        <f aca="false">IF(A455="","",L454)</f>
        <v/>
      </c>
      <c r="O454" s="200" t="str">
        <f aca="false">IF(A455="","",L454+J454+G454)</f>
        <v/>
      </c>
      <c r="P454" s="200" t="str">
        <f aca="false">IF(A455="","",M454+K454+H454)</f>
        <v/>
      </c>
      <c r="R454" s="200" t="str">
        <f aca="false">IF($A455="","",VLOOKUP($A454,Table,MATCH(R$4,Curves,0)))</f>
        <v/>
      </c>
      <c r="S454" s="201" t="str">
        <f aca="false">IF(A455="","",R454)</f>
        <v/>
      </c>
      <c r="T454" s="200" t="str">
        <f aca="false">IF($A455="","",VLOOKUP($A454,Table,MATCH(T$4,Curves,0)))</f>
        <v/>
      </c>
      <c r="U454" s="201" t="str">
        <f aca="false">IF(A455="","",T454)</f>
        <v/>
      </c>
      <c r="V454" s="183" t="str">
        <f aca="false">IF($A455="","",IF(AND(MONTH(A454)&gt;3,MONTH(A454)&lt;11),(T454+R454+G454)*Summary!$T$7/(1-Summary!$T$7),(T454+R454+G454)*Summary!$U$7/(1-Summary!$U$7)))</f>
        <v/>
      </c>
      <c r="W454" s="200" t="str">
        <f aca="false">IF($A455="","",(T454+R454+G454+V454))</f>
        <v/>
      </c>
      <c r="X454" s="200" t="str">
        <f aca="false">IF($A455="","",(U454+S454+H454+V454))</f>
        <v/>
      </c>
      <c r="Y454" s="202"/>
      <c r="Z454" s="185"/>
      <c r="AJ454" s="77"/>
      <c r="AK454" s="77"/>
      <c r="AL454" s="77"/>
      <c r="AM454" s="77"/>
      <c r="AN454" s="77"/>
      <c r="AO454" s="137" t="str">
        <f aca="false">IF(A455="","",A455-A454)</f>
        <v/>
      </c>
      <c r="AP454" s="212" t="str">
        <f aca="false">IF(A455="","",CHOOSE(F$3,A455+24,A454))</f>
        <v/>
      </c>
      <c r="AQ454" s="209" t="str">
        <f aca="false">IF(A455="","",AP454-$E$1)</f>
        <v/>
      </c>
      <c r="AR454" s="185" t="n">
        <f aca="false">IF(Summary!$H$2=1,VLOOKUP('ANR OK vs ML7'!A454,Curves!$C$17:$AR$273,MATCH('ANR OK vs ML7'!$AR$4,Curves!$C$8:$AQ$8,0)),0.1)</f>
        <v>0.1</v>
      </c>
      <c r="AS454" s="213" t="str">
        <f aca="false">IF(A455="","",1/(1+CHOOSE(F$3,(AR455+($I$3/10000))/2,(AR454+($I$3/10000))/2))^(2*AQ454/365.25))</f>
        <v/>
      </c>
      <c r="AT454" s="137" t="str">
        <f aca="false">IF(A455="","",IF(AND(mthbeg&lt;=A454,mthend&gt;=A454),1,0))</f>
        <v/>
      </c>
      <c r="AU454" s="137" t="str">
        <f aca="false">IF(A455="","",AO454*AT454)</f>
        <v/>
      </c>
      <c r="AW454" s="195" t="str">
        <f aca="false">IF($A455="","",AL454*$E454)</f>
        <v/>
      </c>
      <c r="AX454" s="195" t="str">
        <f aca="false">IF($A455="","",AM454*$E454)</f>
        <v/>
      </c>
      <c r="AY454" s="195" t="str">
        <f aca="false">IF($A455="","",AN454*$E454)</f>
        <v/>
      </c>
      <c r="BA454" s="195" t="str">
        <f aca="false">IF($A455="","",F454*Summary!$Q$7)</f>
        <v/>
      </c>
    </row>
    <row r="455" customFormat="false" ht="12.75" hidden="false" customHeight="false" outlineLevel="0" collapsed="false">
      <c r="A455" s="196" t="str">
        <f aca="false">IF(A454&lt;mthend,EDATE(A454,1),"")</f>
        <v/>
      </c>
      <c r="B455" s="197" t="str">
        <f aca="false">IF(A455&lt;mthend,B454,"")</f>
        <v/>
      </c>
      <c r="D455" s="197" t="str">
        <f aca="false">IF(A456&lt;&gt;"",B455+C455,"")</f>
        <v/>
      </c>
      <c r="E455" s="199" t="str">
        <f aca="false">IF(A456="","",IF(AND(AT455=1,$H$3=1),D455*AO455,IF($H$3=2,D455,"N/A")))</f>
        <v/>
      </c>
      <c r="F455" s="199" t="str">
        <f aca="false">IF(A456="","",E455*AS455)</f>
        <v/>
      </c>
      <c r="G455" s="200" t="str">
        <f aca="false">IF($A456="","",VLOOKUP($A455,Table,MATCH(G$4,Curves,0)))</f>
        <v/>
      </c>
      <c r="H455" s="201" t="str">
        <f aca="false">IF(A456="","",G455)</f>
        <v/>
      </c>
      <c r="J455" s="200" t="str">
        <f aca="false">IF($A456="","",VLOOKUP($A455,Table,MATCH(J$4,Curves,0)))</f>
        <v/>
      </c>
      <c r="K455" s="201" t="str">
        <f aca="false">IF(A456="","",J455)</f>
        <v/>
      </c>
      <c r="L455" s="200" t="str">
        <f aca="false">IF($A456="","",VLOOKUP($A455,Table,MATCH(L$4,Curves,0)))</f>
        <v/>
      </c>
      <c r="M455" s="201" t="str">
        <f aca="false">IF(A456="","",L455)</f>
        <v/>
      </c>
      <c r="O455" s="200" t="str">
        <f aca="false">IF(A456="","",L455+J455+G455)</f>
        <v/>
      </c>
      <c r="P455" s="200" t="str">
        <f aca="false">IF(A456="","",M455+K455+H455)</f>
        <v/>
      </c>
      <c r="R455" s="200" t="str">
        <f aca="false">IF($A456="","",VLOOKUP($A455,Table,MATCH(R$4,Curves,0)))</f>
        <v/>
      </c>
      <c r="S455" s="201" t="str">
        <f aca="false">IF(A456="","",R455)</f>
        <v/>
      </c>
      <c r="T455" s="200" t="str">
        <f aca="false">IF($A456="","",VLOOKUP($A455,Table,MATCH(T$4,Curves,0)))</f>
        <v/>
      </c>
      <c r="U455" s="201" t="str">
        <f aca="false">IF(A456="","",T455)</f>
        <v/>
      </c>
      <c r="V455" s="183" t="str">
        <f aca="false">IF($A456="","",IF(AND(MONTH(A455)&gt;3,MONTH(A455)&lt;11),(T455+R455+G455)*Summary!$T$7/(1-Summary!$T$7),(T455+R455+G455)*Summary!$U$7/(1-Summary!$U$7)))</f>
        <v/>
      </c>
      <c r="W455" s="200" t="str">
        <f aca="false">IF($A456="","",(T455+R455+G455+V455))</f>
        <v/>
      </c>
      <c r="X455" s="200" t="str">
        <f aca="false">IF($A456="","",(U455+S455+H455+V455))</f>
        <v/>
      </c>
      <c r="Y455" s="202"/>
      <c r="Z455" s="185"/>
      <c r="AJ455" s="77"/>
      <c r="AK455" s="77"/>
      <c r="AL455" s="77"/>
      <c r="AM455" s="77"/>
      <c r="AN455" s="77"/>
      <c r="AO455" s="137" t="str">
        <f aca="false">IF(A456="","",A456-A455)</f>
        <v/>
      </c>
      <c r="AP455" s="212" t="str">
        <f aca="false">IF(A456="","",CHOOSE(F$3,A456+24,A455))</f>
        <v/>
      </c>
      <c r="AQ455" s="209" t="str">
        <f aca="false">IF(A456="","",AP455-$E$1)</f>
        <v/>
      </c>
      <c r="AR455" s="185" t="n">
        <f aca="false">IF(Summary!$H$2=1,VLOOKUP('ANR OK vs ML7'!A455,Curves!$C$17:$AR$273,MATCH('ANR OK vs ML7'!$AR$4,Curves!$C$8:$AQ$8,0)),0.1)</f>
        <v>0.1</v>
      </c>
      <c r="AS455" s="213" t="str">
        <f aca="false">IF(A456="","",1/(1+CHOOSE(F$3,(AR456+($I$3/10000))/2,(AR455+($I$3/10000))/2))^(2*AQ455/365.25))</f>
        <v/>
      </c>
      <c r="AT455" s="137" t="str">
        <f aca="false">IF(A456="","",IF(AND(mthbeg&lt;=A455,mthend&gt;=A455),1,0))</f>
        <v/>
      </c>
      <c r="AU455" s="137" t="str">
        <f aca="false">IF(A456="","",AO455*AT455)</f>
        <v/>
      </c>
      <c r="AW455" s="195" t="str">
        <f aca="false">IF($A456="","",AL455*$E455)</f>
        <v/>
      </c>
      <c r="AX455" s="195" t="str">
        <f aca="false">IF($A456="","",AM455*$E455)</f>
        <v/>
      </c>
      <c r="AY455" s="195" t="str">
        <f aca="false">IF($A456="","",AN455*$E455)</f>
        <v/>
      </c>
      <c r="BA455" s="195" t="str">
        <f aca="false">IF($A456="","",F455*Summary!$Q$7)</f>
        <v/>
      </c>
    </row>
    <row r="456" customFormat="false" ht="12.75" hidden="false" customHeight="false" outlineLevel="0" collapsed="false">
      <c r="A456" s="196" t="str">
        <f aca="false">IF(A455&lt;mthend,EDATE(A455,1),"")</f>
        <v/>
      </c>
      <c r="B456" s="197" t="str">
        <f aca="false">IF(A456&lt;mthend,B455,"")</f>
        <v/>
      </c>
      <c r="D456" s="197" t="str">
        <f aca="false">IF(A457&lt;&gt;"",B456+C456,"")</f>
        <v/>
      </c>
      <c r="E456" s="199" t="str">
        <f aca="false">IF(A457="","",IF(AND(AT456=1,$H$3=1),D456*AO456,IF($H$3=2,D456,"N/A")))</f>
        <v/>
      </c>
      <c r="F456" s="199" t="str">
        <f aca="false">IF(A457="","",E456*AS456)</f>
        <v/>
      </c>
      <c r="G456" s="200" t="str">
        <f aca="false">IF($A457="","",VLOOKUP($A456,Table,MATCH(G$4,Curves,0)))</f>
        <v/>
      </c>
      <c r="H456" s="201" t="str">
        <f aca="false">IF(A457="","",G456)</f>
        <v/>
      </c>
      <c r="J456" s="200" t="str">
        <f aca="false">IF($A457="","",VLOOKUP($A456,Table,MATCH(J$4,Curves,0)))</f>
        <v/>
      </c>
      <c r="K456" s="201" t="str">
        <f aca="false">IF(A457="","",J456)</f>
        <v/>
      </c>
      <c r="L456" s="200" t="str">
        <f aca="false">IF($A457="","",VLOOKUP($A456,Table,MATCH(L$4,Curves,0)))</f>
        <v/>
      </c>
      <c r="M456" s="201" t="str">
        <f aca="false">IF(A457="","",L456)</f>
        <v/>
      </c>
      <c r="O456" s="200" t="str">
        <f aca="false">IF(A457="","",L456+J456+G456)</f>
        <v/>
      </c>
      <c r="P456" s="200" t="str">
        <f aca="false">IF(A457="","",M456+K456+H456)</f>
        <v/>
      </c>
      <c r="R456" s="200" t="str">
        <f aca="false">IF($A457="","",VLOOKUP($A456,Table,MATCH(R$4,Curves,0)))</f>
        <v/>
      </c>
      <c r="S456" s="201" t="str">
        <f aca="false">IF(A457="","",R456)</f>
        <v/>
      </c>
      <c r="T456" s="200" t="str">
        <f aca="false">IF($A457="","",VLOOKUP($A456,Table,MATCH(T$4,Curves,0)))</f>
        <v/>
      </c>
      <c r="U456" s="201" t="str">
        <f aca="false">IF(A457="","",T456)</f>
        <v/>
      </c>
      <c r="V456" s="183" t="str">
        <f aca="false">IF($A457="","",IF(AND(MONTH(A456)&gt;3,MONTH(A456)&lt;11),(T456+R456+G456)*Summary!$T$7/(1-Summary!$T$7),(T456+R456+G456)*Summary!$U$7/(1-Summary!$U$7)))</f>
        <v/>
      </c>
      <c r="W456" s="200" t="str">
        <f aca="false">IF($A457="","",(T456+R456+G456+V456))</f>
        <v/>
      </c>
      <c r="X456" s="200" t="str">
        <f aca="false">IF($A457="","",(U456+S456+H456+V456))</f>
        <v/>
      </c>
      <c r="Y456" s="202"/>
      <c r="Z456" s="185"/>
      <c r="AJ456" s="77"/>
      <c r="AK456" s="77"/>
      <c r="AL456" s="77"/>
      <c r="AM456" s="77"/>
      <c r="AN456" s="77"/>
      <c r="AO456" s="137" t="str">
        <f aca="false">IF(A457="","",A457-A456)</f>
        <v/>
      </c>
      <c r="AP456" s="212" t="str">
        <f aca="false">IF(A457="","",CHOOSE(F$3,A457+24,A456))</f>
        <v/>
      </c>
      <c r="AQ456" s="209" t="str">
        <f aca="false">IF(A457="","",AP456-$E$1)</f>
        <v/>
      </c>
      <c r="AR456" s="185" t="n">
        <f aca="false">IF(Summary!$H$2=1,VLOOKUP('ANR OK vs ML7'!A456,Curves!$C$17:$AR$273,MATCH('ANR OK vs ML7'!$AR$4,Curves!$C$8:$AQ$8,0)),0.1)</f>
        <v>0.1</v>
      </c>
      <c r="AS456" s="213" t="str">
        <f aca="false">IF(A457="","",1/(1+CHOOSE(F$3,(AR457+($I$3/10000))/2,(AR456+($I$3/10000))/2))^(2*AQ456/365.25))</f>
        <v/>
      </c>
      <c r="AT456" s="137" t="str">
        <f aca="false">IF(A457="","",IF(AND(mthbeg&lt;=A456,mthend&gt;=A456),1,0))</f>
        <v/>
      </c>
      <c r="AU456" s="137" t="str">
        <f aca="false">IF(A457="","",AO456*AT456)</f>
        <v/>
      </c>
      <c r="AW456" s="195" t="str">
        <f aca="false">IF($A457="","",AL456*$E456)</f>
        <v/>
      </c>
      <c r="AX456" s="195" t="str">
        <f aca="false">IF($A457="","",AM456*$E456)</f>
        <v/>
      </c>
      <c r="AY456" s="195" t="str">
        <f aca="false">IF($A457="","",AN456*$E456)</f>
        <v/>
      </c>
      <c r="BA456" s="195" t="str">
        <f aca="false">IF($A457="","",F456*Summary!$Q$7)</f>
        <v/>
      </c>
    </row>
    <row r="457" customFormat="false" ht="12.75" hidden="false" customHeight="false" outlineLevel="0" collapsed="false">
      <c r="A457" s="196" t="str">
        <f aca="false">IF(A456&lt;mthend,EDATE(A456,1),"")</f>
        <v/>
      </c>
      <c r="B457" s="197" t="str">
        <f aca="false">IF(A457&lt;mthend,B456,"")</f>
        <v/>
      </c>
      <c r="D457" s="197" t="str">
        <f aca="false">IF(A458&lt;&gt;"",B457+C457,"")</f>
        <v/>
      </c>
      <c r="E457" s="199" t="str">
        <f aca="false">IF(A458="","",IF(AND(AT457=1,$H$3=1),D457*AO457,IF($H$3=2,D457,"N/A")))</f>
        <v/>
      </c>
      <c r="F457" s="199" t="str">
        <f aca="false">IF(A458="","",E457*AS457)</f>
        <v/>
      </c>
      <c r="G457" s="200" t="str">
        <f aca="false">IF($A458="","",VLOOKUP($A457,Table,MATCH(G$4,Curves,0)))</f>
        <v/>
      </c>
      <c r="H457" s="201" t="str">
        <f aca="false">IF(A458="","",G457)</f>
        <v/>
      </c>
      <c r="J457" s="200" t="str">
        <f aca="false">IF($A458="","",VLOOKUP($A457,Table,MATCH(J$4,Curves,0)))</f>
        <v/>
      </c>
      <c r="K457" s="201" t="str">
        <f aca="false">IF(A458="","",J457)</f>
        <v/>
      </c>
      <c r="L457" s="200" t="str">
        <f aca="false">IF($A458="","",VLOOKUP($A457,Table,MATCH(L$4,Curves,0)))</f>
        <v/>
      </c>
      <c r="M457" s="201" t="str">
        <f aca="false">IF(A458="","",L457)</f>
        <v/>
      </c>
      <c r="O457" s="200" t="str">
        <f aca="false">IF(A458="","",L457+J457+G457)</f>
        <v/>
      </c>
      <c r="P457" s="200" t="str">
        <f aca="false">IF(A458="","",M457+K457+H457)</f>
        <v/>
      </c>
      <c r="R457" s="200" t="str">
        <f aca="false">IF($A458="","",VLOOKUP($A457,Table,MATCH(R$4,Curves,0)))</f>
        <v/>
      </c>
      <c r="S457" s="201" t="str">
        <f aca="false">IF(A458="","",R457)</f>
        <v/>
      </c>
      <c r="T457" s="200" t="str">
        <f aca="false">IF($A458="","",VLOOKUP($A457,Table,MATCH(T$4,Curves,0)))</f>
        <v/>
      </c>
      <c r="U457" s="201" t="str">
        <f aca="false">IF(A458="","",T457)</f>
        <v/>
      </c>
      <c r="V457" s="183" t="str">
        <f aca="false">IF($A458="","",IF(AND(MONTH(A457)&gt;3,MONTH(A457)&lt;11),(T457+R457+G457)*Summary!$T$7/(1-Summary!$T$7),(T457+R457+G457)*Summary!$U$7/(1-Summary!$U$7)))</f>
        <v/>
      </c>
      <c r="W457" s="200" t="str">
        <f aca="false">IF($A458="","",(T457+R457+G457+V457))</f>
        <v/>
      </c>
      <c r="X457" s="200" t="str">
        <f aca="false">IF($A458="","",(U457+S457+H457+V457))</f>
        <v/>
      </c>
      <c r="Y457" s="202"/>
      <c r="Z457" s="185"/>
      <c r="AJ457" s="77"/>
      <c r="AK457" s="77"/>
      <c r="AL457" s="77"/>
      <c r="AM457" s="77"/>
      <c r="AN457" s="77"/>
      <c r="AO457" s="137" t="str">
        <f aca="false">IF(A458="","",A458-A457)</f>
        <v/>
      </c>
      <c r="AP457" s="212" t="str">
        <f aca="false">IF(A458="","",CHOOSE(F$3,A458+24,A457))</f>
        <v/>
      </c>
      <c r="AQ457" s="209" t="str">
        <f aca="false">IF(A458="","",AP457-$E$1)</f>
        <v/>
      </c>
      <c r="AR457" s="185" t="n">
        <f aca="false">IF(Summary!$H$2=1,VLOOKUP('ANR OK vs ML7'!A457,Curves!$C$17:$AR$273,MATCH('ANR OK vs ML7'!$AR$4,Curves!$C$8:$AQ$8,0)),0.1)</f>
        <v>0.1</v>
      </c>
      <c r="AS457" s="213" t="str">
        <f aca="false">IF(A458="","",1/(1+CHOOSE(F$3,(AR458+($I$3/10000))/2,(AR457+($I$3/10000))/2))^(2*AQ457/365.25))</f>
        <v/>
      </c>
      <c r="AT457" s="137" t="str">
        <f aca="false">IF(A458="","",IF(AND(mthbeg&lt;=A457,mthend&gt;=A457),1,0))</f>
        <v/>
      </c>
      <c r="AU457" s="137" t="str">
        <f aca="false">IF(A458="","",AO457*AT457)</f>
        <v/>
      </c>
      <c r="AW457" s="195" t="str">
        <f aca="false">IF($A458="","",AL457*$E457)</f>
        <v/>
      </c>
      <c r="AX457" s="195" t="str">
        <f aca="false">IF($A458="","",AM457*$E457)</f>
        <v/>
      </c>
      <c r="AY457" s="195" t="str">
        <f aca="false">IF($A458="","",AN457*$E457)</f>
        <v/>
      </c>
      <c r="BA457" s="195" t="str">
        <f aca="false">IF($A458="","",F457*Summary!$Q$7)</f>
        <v/>
      </c>
    </row>
    <row r="458" customFormat="false" ht="12.75" hidden="false" customHeight="false" outlineLevel="0" collapsed="false">
      <c r="A458" s="196" t="str">
        <f aca="false">IF(A457&lt;mthend,EDATE(A457,1),"")</f>
        <v/>
      </c>
      <c r="B458" s="197" t="str">
        <f aca="false">IF(A458&lt;mthend,B457,"")</f>
        <v/>
      </c>
      <c r="D458" s="197" t="str">
        <f aca="false">IF(A459&lt;&gt;"",B458+C458,"")</f>
        <v/>
      </c>
      <c r="E458" s="199" t="str">
        <f aca="false">IF(A459="","",IF(AND(AT458=1,$H$3=1),D458*AO458,IF($H$3=2,D458,"N/A")))</f>
        <v/>
      </c>
      <c r="F458" s="199" t="str">
        <f aca="false">IF(A459="","",E458*AS458)</f>
        <v/>
      </c>
      <c r="G458" s="200" t="str">
        <f aca="false">IF($A459="","",VLOOKUP($A458,Table,MATCH(G$4,Curves,0)))</f>
        <v/>
      </c>
      <c r="H458" s="201" t="str">
        <f aca="false">IF(A459="","",G458)</f>
        <v/>
      </c>
      <c r="J458" s="200" t="str">
        <f aca="false">IF($A459="","",VLOOKUP($A458,Table,MATCH(J$4,Curves,0)))</f>
        <v/>
      </c>
      <c r="K458" s="201" t="str">
        <f aca="false">IF(A459="","",J458)</f>
        <v/>
      </c>
      <c r="L458" s="200" t="str">
        <f aca="false">IF($A459="","",VLOOKUP($A458,Table,MATCH(L$4,Curves,0)))</f>
        <v/>
      </c>
      <c r="M458" s="201" t="str">
        <f aca="false">IF(A459="","",L458)</f>
        <v/>
      </c>
      <c r="O458" s="200" t="str">
        <f aca="false">IF(A459="","",L458+J458+G458)</f>
        <v/>
      </c>
      <c r="P458" s="200" t="str">
        <f aca="false">IF(A459="","",M458+K458+H458)</f>
        <v/>
      </c>
      <c r="R458" s="200" t="str">
        <f aca="false">IF($A459="","",VLOOKUP($A458,Table,MATCH(R$4,Curves,0)))</f>
        <v/>
      </c>
      <c r="S458" s="201" t="str">
        <f aca="false">IF(A459="","",R458)</f>
        <v/>
      </c>
      <c r="T458" s="200" t="str">
        <f aca="false">IF($A459="","",VLOOKUP($A458,Table,MATCH(T$4,Curves,0)))</f>
        <v/>
      </c>
      <c r="U458" s="201" t="str">
        <f aca="false">IF(A459="","",T458)</f>
        <v/>
      </c>
      <c r="V458" s="183" t="str">
        <f aca="false">IF($A459="","",IF(AND(MONTH(A458)&gt;3,MONTH(A458)&lt;11),(T458+R458+G458)*Summary!$T$7/(1-Summary!$T$7),(T458+R458+G458)*Summary!$U$7/(1-Summary!$U$7)))</f>
        <v/>
      </c>
      <c r="W458" s="200" t="str">
        <f aca="false">IF($A459="","",(T458+R458+G458+V458))</f>
        <v/>
      </c>
      <c r="X458" s="200" t="str">
        <f aca="false">IF($A459="","",(U458+S458+H458+V458))</f>
        <v/>
      </c>
      <c r="Y458" s="202"/>
      <c r="Z458" s="185"/>
      <c r="AJ458" s="77"/>
      <c r="AK458" s="77"/>
      <c r="AL458" s="77"/>
      <c r="AM458" s="77"/>
      <c r="AN458" s="77"/>
      <c r="AO458" s="137" t="str">
        <f aca="false">IF(A459="","",A459-A458)</f>
        <v/>
      </c>
      <c r="AP458" s="212" t="str">
        <f aca="false">IF(A459="","",CHOOSE(F$3,A459+24,A458))</f>
        <v/>
      </c>
      <c r="AQ458" s="209" t="str">
        <f aca="false">IF(A459="","",AP458-$E$1)</f>
        <v/>
      </c>
      <c r="AR458" s="185" t="n">
        <f aca="false">IF(Summary!$H$2=1,VLOOKUP('ANR OK vs ML7'!A458,Curves!$C$17:$AR$273,MATCH('ANR OK vs ML7'!$AR$4,Curves!$C$8:$AQ$8,0)),0.1)</f>
        <v>0.1</v>
      </c>
      <c r="AS458" s="213" t="str">
        <f aca="false">IF(A459="","",1/(1+CHOOSE(F$3,(AR459+($I$3/10000))/2,(AR458+($I$3/10000))/2))^(2*AQ458/365.25))</f>
        <v/>
      </c>
      <c r="AT458" s="137" t="str">
        <f aca="false">IF(A459="","",IF(AND(mthbeg&lt;=A458,mthend&gt;=A458),1,0))</f>
        <v/>
      </c>
      <c r="AU458" s="137" t="str">
        <f aca="false">IF(A459="","",AO458*AT458)</f>
        <v/>
      </c>
      <c r="AW458" s="195" t="str">
        <f aca="false">IF($A459="","",AL458*$E458)</f>
        <v/>
      </c>
      <c r="AX458" s="195" t="str">
        <f aca="false">IF($A459="","",AM458*$E458)</f>
        <v/>
      </c>
      <c r="AY458" s="195" t="str">
        <f aca="false">IF($A459="","",AN458*$E458)</f>
        <v/>
      </c>
      <c r="BA458" s="195" t="str">
        <f aca="false">IF($A459="","",F458*Summary!$Q$7)</f>
        <v/>
      </c>
    </row>
    <row r="459" customFormat="false" ht="12.75" hidden="false" customHeight="false" outlineLevel="0" collapsed="false">
      <c r="A459" s="196" t="str">
        <f aca="false">IF(A458&lt;mthend,EDATE(A458,1),"")</f>
        <v/>
      </c>
      <c r="B459" s="197" t="str">
        <f aca="false">IF(A459&lt;mthend,B458,"")</f>
        <v/>
      </c>
      <c r="D459" s="197" t="str">
        <f aca="false">IF(A460&lt;&gt;"",B459+C459,"")</f>
        <v/>
      </c>
      <c r="E459" s="199" t="str">
        <f aca="false">IF(A460="","",IF(AND(AT459=1,$H$3=1),D459*AO459,IF($H$3=2,D459,"N/A")))</f>
        <v/>
      </c>
      <c r="F459" s="199" t="str">
        <f aca="false">IF(A460="","",E459*AS459)</f>
        <v/>
      </c>
      <c r="G459" s="200" t="str">
        <f aca="false">IF($A460="","",VLOOKUP($A459,Table,MATCH(G$4,Curves,0)))</f>
        <v/>
      </c>
      <c r="H459" s="201" t="str">
        <f aca="false">IF(A460="","",G459)</f>
        <v/>
      </c>
      <c r="J459" s="200" t="str">
        <f aca="false">IF($A460="","",VLOOKUP($A459,Table,MATCH(J$4,Curves,0)))</f>
        <v/>
      </c>
      <c r="K459" s="201" t="str">
        <f aca="false">IF(A460="","",J459)</f>
        <v/>
      </c>
      <c r="L459" s="200" t="str">
        <f aca="false">IF($A460="","",VLOOKUP($A459,Table,MATCH(L$4,Curves,0)))</f>
        <v/>
      </c>
      <c r="M459" s="201" t="str">
        <f aca="false">IF(A460="","",L459)</f>
        <v/>
      </c>
      <c r="O459" s="200" t="str">
        <f aca="false">IF(A460="","",L459+J459+G459)</f>
        <v/>
      </c>
      <c r="P459" s="200" t="str">
        <f aca="false">IF(A460="","",M459+K459+H459)</f>
        <v/>
      </c>
      <c r="R459" s="200" t="str">
        <f aca="false">IF($A460="","",VLOOKUP($A459,Table,MATCH(R$4,Curves,0)))</f>
        <v/>
      </c>
      <c r="S459" s="201" t="str">
        <f aca="false">IF(A460="","",R459)</f>
        <v/>
      </c>
      <c r="T459" s="200" t="str">
        <f aca="false">IF($A460="","",VLOOKUP($A459,Table,MATCH(T$4,Curves,0)))</f>
        <v/>
      </c>
      <c r="U459" s="201" t="str">
        <f aca="false">IF(A460="","",T459)</f>
        <v/>
      </c>
      <c r="V459" s="183" t="str">
        <f aca="false">IF($A460="","",IF(AND(MONTH(A459)&gt;3,MONTH(A459)&lt;11),(T459+R459+G459)*Summary!$T$7/(1-Summary!$T$7),(T459+R459+G459)*Summary!$U$7/(1-Summary!$U$7)))</f>
        <v/>
      </c>
      <c r="W459" s="200" t="str">
        <f aca="false">IF($A460="","",(T459+R459+G459+V459))</f>
        <v/>
      </c>
      <c r="X459" s="200" t="str">
        <f aca="false">IF($A460="","",(U459+S459+H459+V459))</f>
        <v/>
      </c>
      <c r="Y459" s="202"/>
      <c r="Z459" s="185"/>
      <c r="AJ459" s="77"/>
      <c r="AK459" s="77"/>
      <c r="AL459" s="77"/>
      <c r="AM459" s="77"/>
      <c r="AN459" s="77"/>
      <c r="AO459" s="137" t="str">
        <f aca="false">IF(A460="","",A460-A459)</f>
        <v/>
      </c>
      <c r="AP459" s="212" t="str">
        <f aca="false">IF(A460="","",CHOOSE(F$3,A460+24,A459))</f>
        <v/>
      </c>
      <c r="AQ459" s="209" t="str">
        <f aca="false">IF(A460="","",AP459-$E$1)</f>
        <v/>
      </c>
      <c r="AR459" s="185" t="n">
        <f aca="false">IF(Summary!$H$2=1,VLOOKUP('ANR OK vs ML7'!A459,Curves!$C$17:$AR$273,MATCH('ANR OK vs ML7'!$AR$4,Curves!$C$8:$AQ$8,0)),0.1)</f>
        <v>0.1</v>
      </c>
      <c r="AS459" s="213" t="str">
        <f aca="false">IF(A460="","",1/(1+CHOOSE(F$3,(AR460+($I$3/10000))/2,(AR459+($I$3/10000))/2))^(2*AQ459/365.25))</f>
        <v/>
      </c>
      <c r="AT459" s="137" t="str">
        <f aca="false">IF(A460="","",IF(AND(mthbeg&lt;=A459,mthend&gt;=A459),1,0))</f>
        <v/>
      </c>
      <c r="AU459" s="137" t="str">
        <f aca="false">IF(A460="","",AO459*AT459)</f>
        <v/>
      </c>
      <c r="AW459" s="195" t="str">
        <f aca="false">IF($A460="","",AL459*$E459)</f>
        <v/>
      </c>
      <c r="AX459" s="195" t="str">
        <f aca="false">IF($A460="","",AM459*$E459)</f>
        <v/>
      </c>
      <c r="AY459" s="195" t="str">
        <f aca="false">IF($A460="","",AN459*$E459)</f>
        <v/>
      </c>
      <c r="BA459" s="195" t="str">
        <f aca="false">IF($A460="","",F459*Summary!$Q$7)</f>
        <v/>
      </c>
    </row>
    <row r="460" customFormat="false" ht="12.75" hidden="false" customHeight="false" outlineLevel="0" collapsed="false">
      <c r="A460" s="196" t="str">
        <f aca="false">IF(A459&lt;mthend,EDATE(A459,1),"")</f>
        <v/>
      </c>
      <c r="B460" s="197" t="str">
        <f aca="false">IF(A460&lt;mthend,B459,"")</f>
        <v/>
      </c>
      <c r="D460" s="197" t="str">
        <f aca="false">IF(A461&lt;&gt;"",B460+C460,"")</f>
        <v/>
      </c>
      <c r="E460" s="199" t="str">
        <f aca="false">IF(A461="","",IF(AND(AT460=1,$H$3=1),D460*AO460,IF($H$3=2,D460,"N/A")))</f>
        <v/>
      </c>
      <c r="F460" s="199" t="str">
        <f aca="false">IF(A461="","",E460*AS460)</f>
        <v/>
      </c>
      <c r="G460" s="200" t="str">
        <f aca="false">IF($A461="","",VLOOKUP($A460,Table,MATCH(G$4,Curves,0)))</f>
        <v/>
      </c>
      <c r="H460" s="201" t="str">
        <f aca="false">IF(A461="","",G460)</f>
        <v/>
      </c>
      <c r="J460" s="200" t="str">
        <f aca="false">IF($A461="","",VLOOKUP($A460,Table,MATCH(J$4,Curves,0)))</f>
        <v/>
      </c>
      <c r="K460" s="201" t="str">
        <f aca="false">IF(A461="","",J460)</f>
        <v/>
      </c>
      <c r="L460" s="200" t="str">
        <f aca="false">IF($A461="","",VLOOKUP($A460,Table,MATCH(L$4,Curves,0)))</f>
        <v/>
      </c>
      <c r="M460" s="201" t="str">
        <f aca="false">IF(A461="","",L460)</f>
        <v/>
      </c>
      <c r="O460" s="200" t="str">
        <f aca="false">IF(A461="","",L460+J460+G460)</f>
        <v/>
      </c>
      <c r="P460" s="200" t="str">
        <f aca="false">IF(A461="","",M460+K460+H460)</f>
        <v/>
      </c>
      <c r="R460" s="200" t="str">
        <f aca="false">IF($A461="","",VLOOKUP($A460,Table,MATCH(R$4,Curves,0)))</f>
        <v/>
      </c>
      <c r="S460" s="201" t="str">
        <f aca="false">IF(A461="","",R460)</f>
        <v/>
      </c>
      <c r="T460" s="200" t="str">
        <f aca="false">IF($A461="","",VLOOKUP($A460,Table,MATCH(T$4,Curves,0)))</f>
        <v/>
      </c>
      <c r="U460" s="201" t="str">
        <f aca="false">IF(A461="","",T460)</f>
        <v/>
      </c>
      <c r="V460" s="183" t="str">
        <f aca="false">IF($A461="","",IF(AND(MONTH(A460)&gt;3,MONTH(A460)&lt;11),(T460+R460+G460)*Summary!$T$7/(1-Summary!$T$7),(T460+R460+G460)*Summary!$U$7/(1-Summary!$U$7)))</f>
        <v/>
      </c>
      <c r="W460" s="200" t="str">
        <f aca="false">IF($A461="","",(T460+R460+G460+V460))</f>
        <v/>
      </c>
      <c r="X460" s="200" t="str">
        <f aca="false">IF($A461="","",(U460+S460+H460+V460))</f>
        <v/>
      </c>
      <c r="Y460" s="202"/>
      <c r="Z460" s="185"/>
      <c r="AJ460" s="77"/>
      <c r="AK460" s="77"/>
      <c r="AL460" s="77"/>
      <c r="AM460" s="77"/>
      <c r="AN460" s="77"/>
      <c r="AO460" s="137" t="str">
        <f aca="false">IF(A461="","",A461-A460)</f>
        <v/>
      </c>
      <c r="AP460" s="212" t="str">
        <f aca="false">IF(A461="","",CHOOSE(F$3,A461+24,A460))</f>
        <v/>
      </c>
      <c r="AQ460" s="209" t="str">
        <f aca="false">IF(A461="","",AP460-$E$1)</f>
        <v/>
      </c>
      <c r="AR460" s="185" t="n">
        <f aca="false">IF(Summary!$H$2=1,VLOOKUP('ANR OK vs ML7'!A460,Curves!$C$17:$AR$273,MATCH('ANR OK vs ML7'!$AR$4,Curves!$C$8:$AQ$8,0)),0.1)</f>
        <v>0.1</v>
      </c>
      <c r="AS460" s="213" t="str">
        <f aca="false">IF(A461="","",1/(1+CHOOSE(F$3,(AR461+($I$3/10000))/2,(AR460+($I$3/10000))/2))^(2*AQ460/365.25))</f>
        <v/>
      </c>
      <c r="AT460" s="137" t="str">
        <f aca="false">IF(A461="","",IF(AND(mthbeg&lt;=A460,mthend&gt;=A460),1,0))</f>
        <v/>
      </c>
      <c r="AU460" s="137" t="str">
        <f aca="false">IF(A461="","",AO460*AT460)</f>
        <v/>
      </c>
      <c r="AW460" s="195" t="str">
        <f aca="false">IF($A461="","",AL460*$E460)</f>
        <v/>
      </c>
      <c r="AX460" s="195" t="str">
        <f aca="false">IF($A461="","",AM460*$E460)</f>
        <v/>
      </c>
      <c r="AY460" s="195" t="str">
        <f aca="false">IF($A461="","",AN460*$E460)</f>
        <v/>
      </c>
      <c r="BA460" s="195" t="str">
        <f aca="false">IF($A461="","",F460*Summary!$Q$7)</f>
        <v/>
      </c>
    </row>
    <row r="461" customFormat="false" ht="12.75" hidden="false" customHeight="false" outlineLevel="0" collapsed="false">
      <c r="A461" s="196" t="str">
        <f aca="false">IF(A460&lt;mthend,EDATE(A460,1),"")</f>
        <v/>
      </c>
      <c r="B461" s="197" t="str">
        <f aca="false">IF(A461&lt;mthend,B460,"")</f>
        <v/>
      </c>
      <c r="D461" s="197" t="str">
        <f aca="false">IF(A462&lt;&gt;"",B461+C461,"")</f>
        <v/>
      </c>
      <c r="E461" s="199" t="str">
        <f aca="false">IF(A462="","",IF(AND(AT461=1,$H$3=1),D461*AO461,IF($H$3=2,D461,"N/A")))</f>
        <v/>
      </c>
      <c r="F461" s="199" t="str">
        <f aca="false">IF(A462="","",E461*AS461)</f>
        <v/>
      </c>
      <c r="G461" s="200" t="str">
        <f aca="false">IF($A462="","",VLOOKUP($A461,Table,MATCH(G$4,Curves,0)))</f>
        <v/>
      </c>
      <c r="H461" s="201" t="str">
        <f aca="false">IF(A462="","",G461)</f>
        <v/>
      </c>
      <c r="J461" s="200" t="str">
        <f aca="false">IF($A462="","",VLOOKUP($A461,Table,MATCH(J$4,Curves,0)))</f>
        <v/>
      </c>
      <c r="K461" s="201" t="str">
        <f aca="false">IF(A462="","",J461)</f>
        <v/>
      </c>
      <c r="L461" s="200" t="str">
        <f aca="false">IF($A462="","",VLOOKUP($A461,Table,MATCH(L$4,Curves,0)))</f>
        <v/>
      </c>
      <c r="M461" s="201" t="str">
        <f aca="false">IF(A462="","",L461)</f>
        <v/>
      </c>
      <c r="O461" s="200" t="str">
        <f aca="false">IF(A462="","",L461+J461+G461)</f>
        <v/>
      </c>
      <c r="P461" s="200" t="str">
        <f aca="false">IF(A462="","",M461+K461+H461)</f>
        <v/>
      </c>
      <c r="R461" s="200" t="str">
        <f aca="false">IF($A462="","",VLOOKUP($A461,Table,MATCH(R$4,Curves,0)))</f>
        <v/>
      </c>
      <c r="S461" s="201" t="str">
        <f aca="false">IF(A462="","",R461)</f>
        <v/>
      </c>
      <c r="T461" s="200" t="str">
        <f aca="false">IF($A462="","",VLOOKUP($A461,Table,MATCH(T$4,Curves,0)))</f>
        <v/>
      </c>
      <c r="U461" s="201" t="str">
        <f aca="false">IF(A462="","",T461)</f>
        <v/>
      </c>
      <c r="V461" s="183" t="str">
        <f aca="false">IF($A462="","",IF(AND(MONTH(A461)&gt;3,MONTH(A461)&lt;11),(T461+R461+G461)*Summary!$T$7/(1-Summary!$T$7),(T461+R461+G461)*Summary!$U$7/(1-Summary!$U$7)))</f>
        <v/>
      </c>
      <c r="W461" s="200" t="str">
        <f aca="false">IF($A462="","",(T461+R461+G461+V461))</f>
        <v/>
      </c>
      <c r="X461" s="200" t="str">
        <f aca="false">IF($A462="","",(U461+S461+H461+V461))</f>
        <v/>
      </c>
      <c r="Y461" s="202"/>
      <c r="Z461" s="185"/>
      <c r="AJ461" s="77"/>
      <c r="AK461" s="77"/>
      <c r="AL461" s="77"/>
      <c r="AM461" s="77"/>
      <c r="AN461" s="77"/>
      <c r="AO461" s="137" t="str">
        <f aca="false">IF(A462="","",A462-A461)</f>
        <v/>
      </c>
      <c r="AP461" s="212" t="str">
        <f aca="false">IF(A462="","",CHOOSE(F$3,A462+24,A461))</f>
        <v/>
      </c>
      <c r="AQ461" s="209" t="str">
        <f aca="false">IF(A462="","",AP461-$E$1)</f>
        <v/>
      </c>
      <c r="AR461" s="185" t="n">
        <f aca="false">IF(Summary!$H$2=1,VLOOKUP('ANR OK vs ML7'!A461,Curves!$C$17:$AR$273,MATCH('ANR OK vs ML7'!$AR$4,Curves!$C$8:$AQ$8,0)),0.1)</f>
        <v>0.1</v>
      </c>
      <c r="AS461" s="213" t="str">
        <f aca="false">IF(A462="","",1/(1+CHOOSE(F$3,(AR462+($I$3/10000))/2,(AR461+($I$3/10000))/2))^(2*AQ461/365.25))</f>
        <v/>
      </c>
      <c r="AT461" s="137" t="str">
        <f aca="false">IF(A462="","",IF(AND(mthbeg&lt;=A461,mthend&gt;=A461),1,0))</f>
        <v/>
      </c>
      <c r="AU461" s="137" t="str">
        <f aca="false">IF(A462="","",AO461*AT461)</f>
        <v/>
      </c>
      <c r="AW461" s="195" t="str">
        <f aca="false">IF($A462="","",AL461*$E461)</f>
        <v/>
      </c>
      <c r="AX461" s="195" t="str">
        <f aca="false">IF($A462="","",AM461*$E461)</f>
        <v/>
      </c>
      <c r="AY461" s="195" t="str">
        <f aca="false">IF($A462="","",AN461*$E461)</f>
        <v/>
      </c>
      <c r="BA461" s="195" t="str">
        <f aca="false">IF($A462="","",F461*Summary!$Q$7)</f>
        <v/>
      </c>
    </row>
    <row r="462" customFormat="false" ht="12.75" hidden="false" customHeight="false" outlineLevel="0" collapsed="false">
      <c r="A462" s="196" t="str">
        <f aca="false">IF(A461&lt;mthend,EDATE(A461,1),"")</f>
        <v/>
      </c>
      <c r="B462" s="197" t="str">
        <f aca="false">IF(A462&lt;mthend,B461,"")</f>
        <v/>
      </c>
      <c r="D462" s="197" t="str">
        <f aca="false">IF(A463&lt;&gt;"",B462+C462,"")</f>
        <v/>
      </c>
      <c r="E462" s="199" t="str">
        <f aca="false">IF(A463="","",IF(AND(AT462=1,$H$3=1),D462*AO462,IF($H$3=2,D462,"N/A")))</f>
        <v/>
      </c>
      <c r="F462" s="199" t="str">
        <f aca="false">IF(A463="","",E462*AS462)</f>
        <v/>
      </c>
      <c r="G462" s="200" t="str">
        <f aca="false">IF($A463="","",VLOOKUP($A462,Table,MATCH(G$4,Curves,0)))</f>
        <v/>
      </c>
      <c r="H462" s="201" t="str">
        <f aca="false">IF(A463="","",G462)</f>
        <v/>
      </c>
      <c r="J462" s="200" t="str">
        <f aca="false">IF($A463="","",VLOOKUP($A462,Table,MATCH(J$4,Curves,0)))</f>
        <v/>
      </c>
      <c r="K462" s="201" t="str">
        <f aca="false">IF(A463="","",J462)</f>
        <v/>
      </c>
      <c r="L462" s="200" t="str">
        <f aca="false">IF($A463="","",VLOOKUP($A462,Table,MATCH(L$4,Curves,0)))</f>
        <v/>
      </c>
      <c r="M462" s="201" t="str">
        <f aca="false">IF(A463="","",L462)</f>
        <v/>
      </c>
      <c r="O462" s="200" t="str">
        <f aca="false">IF(A463="","",L462+J462+G462)</f>
        <v/>
      </c>
      <c r="P462" s="200" t="str">
        <f aca="false">IF(A463="","",M462+K462+H462)</f>
        <v/>
      </c>
      <c r="R462" s="200" t="str">
        <f aca="false">IF($A463="","",VLOOKUP($A462,Table,MATCH(R$4,Curves,0)))</f>
        <v/>
      </c>
      <c r="S462" s="201" t="str">
        <f aca="false">IF(A463="","",R462)</f>
        <v/>
      </c>
      <c r="T462" s="200" t="str">
        <f aca="false">IF($A463="","",VLOOKUP($A462,Table,MATCH(T$4,Curves,0)))</f>
        <v/>
      </c>
      <c r="U462" s="201" t="str">
        <f aca="false">IF(A463="","",T462)</f>
        <v/>
      </c>
      <c r="V462" s="183" t="str">
        <f aca="false">IF($A463="","",IF(AND(MONTH(A462)&gt;3,MONTH(A462)&lt;11),(T462+R462+G462)*Summary!$T$7/(1-Summary!$T$7),(T462+R462+G462)*Summary!$U$7/(1-Summary!$U$7)))</f>
        <v/>
      </c>
      <c r="W462" s="200" t="str">
        <f aca="false">IF($A463="","",(T462+R462+G462+V462))</f>
        <v/>
      </c>
      <c r="X462" s="200" t="str">
        <f aca="false">IF($A463="","",(U462+S462+H462+V462))</f>
        <v/>
      </c>
      <c r="Y462" s="202"/>
      <c r="Z462" s="185"/>
      <c r="AJ462" s="77"/>
      <c r="AK462" s="77"/>
      <c r="AL462" s="77"/>
      <c r="AM462" s="77"/>
      <c r="AN462" s="77"/>
      <c r="AO462" s="137" t="str">
        <f aca="false">IF(A463="","",A463-A462)</f>
        <v/>
      </c>
      <c r="AP462" s="212" t="str">
        <f aca="false">IF(A463="","",CHOOSE(F$3,A463+24,A462))</f>
        <v/>
      </c>
      <c r="AQ462" s="209" t="str">
        <f aca="false">IF(A463="","",AP462-$E$1)</f>
        <v/>
      </c>
      <c r="AR462" s="185" t="n">
        <f aca="false">IF(Summary!$H$2=1,VLOOKUP('ANR OK vs ML7'!A462,Curves!$C$17:$AR$273,MATCH('ANR OK vs ML7'!$AR$4,Curves!$C$8:$AQ$8,0)),0.1)</f>
        <v>0.1</v>
      </c>
      <c r="AS462" s="213" t="str">
        <f aca="false">IF(A463="","",1/(1+CHOOSE(F$3,(AR463+($I$3/10000))/2,(AR462+($I$3/10000))/2))^(2*AQ462/365.25))</f>
        <v/>
      </c>
      <c r="AT462" s="137" t="str">
        <f aca="false">IF(A463="","",IF(AND(mthbeg&lt;=A462,mthend&gt;=A462),1,0))</f>
        <v/>
      </c>
      <c r="AU462" s="137" t="str">
        <f aca="false">IF(A463="","",AO462*AT462)</f>
        <v/>
      </c>
      <c r="AW462" s="195" t="str">
        <f aca="false">IF($A463="","",AL462*$E462)</f>
        <v/>
      </c>
      <c r="AX462" s="195" t="str">
        <f aca="false">IF($A463="","",AM462*$E462)</f>
        <v/>
      </c>
      <c r="AY462" s="195" t="str">
        <f aca="false">IF($A463="","",AN462*$E462)</f>
        <v/>
      </c>
      <c r="BA462" s="195" t="str">
        <f aca="false">IF($A463="","",F462*Summary!$Q$7)</f>
        <v/>
      </c>
    </row>
    <row r="463" customFormat="false" ht="12.75" hidden="false" customHeight="false" outlineLevel="0" collapsed="false">
      <c r="A463" s="196" t="str">
        <f aca="false">IF(A462&lt;mthend,EDATE(A462,1),"")</f>
        <v/>
      </c>
      <c r="B463" s="197" t="str">
        <f aca="false">IF(A463&lt;mthend,B462,"")</f>
        <v/>
      </c>
      <c r="D463" s="197" t="str">
        <f aca="false">IF(A464&lt;&gt;"",B463+C463,"")</f>
        <v/>
      </c>
      <c r="E463" s="199" t="str">
        <f aca="false">IF(A464="","",IF(AND(AT463=1,$H$3=1),D463*AO463,IF($H$3=2,D463,"N/A")))</f>
        <v/>
      </c>
      <c r="F463" s="199" t="str">
        <f aca="false">IF(A464="","",E463*AS463)</f>
        <v/>
      </c>
      <c r="G463" s="200" t="str">
        <f aca="false">IF($A464="","",VLOOKUP($A463,Table,MATCH(G$4,Curves,0)))</f>
        <v/>
      </c>
      <c r="H463" s="201" t="str">
        <f aca="false">IF(A464="","",G463)</f>
        <v/>
      </c>
      <c r="J463" s="200" t="str">
        <f aca="false">IF($A464="","",VLOOKUP($A463,Table,MATCH(J$4,Curves,0)))</f>
        <v/>
      </c>
      <c r="K463" s="201" t="str">
        <f aca="false">IF(A464="","",J463)</f>
        <v/>
      </c>
      <c r="L463" s="200" t="str">
        <f aca="false">IF($A464="","",VLOOKUP($A463,Table,MATCH(L$4,Curves,0)))</f>
        <v/>
      </c>
      <c r="M463" s="201" t="str">
        <f aca="false">IF(A464="","",L463)</f>
        <v/>
      </c>
      <c r="O463" s="200" t="str">
        <f aca="false">IF(A464="","",L463+J463+G463)</f>
        <v/>
      </c>
      <c r="P463" s="200" t="str">
        <f aca="false">IF(A464="","",M463+K463+H463)</f>
        <v/>
      </c>
      <c r="R463" s="200" t="str">
        <f aca="false">IF($A464="","",VLOOKUP($A463,Table,MATCH(R$4,Curves,0)))</f>
        <v/>
      </c>
      <c r="S463" s="201" t="str">
        <f aca="false">IF(A464="","",R463)</f>
        <v/>
      </c>
      <c r="T463" s="200" t="str">
        <f aca="false">IF($A464="","",VLOOKUP($A463,Table,MATCH(T$4,Curves,0)))</f>
        <v/>
      </c>
      <c r="U463" s="201" t="str">
        <f aca="false">IF(A464="","",T463)</f>
        <v/>
      </c>
      <c r="V463" s="183" t="str">
        <f aca="false">IF($A464="","",IF(AND(MONTH(A463)&gt;3,MONTH(A463)&lt;11),(T463+R463+G463)*Summary!$T$7/(1-Summary!$T$7),(T463+R463+G463)*Summary!$U$7/(1-Summary!$U$7)))</f>
        <v/>
      </c>
      <c r="W463" s="200" t="str">
        <f aca="false">IF($A464="","",(T463+R463+G463+V463))</f>
        <v/>
      </c>
      <c r="X463" s="200" t="str">
        <f aca="false">IF($A464="","",(U463+S463+H463+V463))</f>
        <v/>
      </c>
      <c r="Y463" s="202"/>
      <c r="Z463" s="185"/>
      <c r="AJ463" s="77"/>
      <c r="AK463" s="77"/>
      <c r="AL463" s="77"/>
      <c r="AM463" s="77"/>
      <c r="AN463" s="77"/>
      <c r="AO463" s="137" t="str">
        <f aca="false">IF(A464="","",A464-A463)</f>
        <v/>
      </c>
      <c r="AP463" s="212" t="str">
        <f aca="false">IF(A464="","",CHOOSE(F$3,A464+24,A463))</f>
        <v/>
      </c>
      <c r="AQ463" s="209" t="str">
        <f aca="false">IF(A464="","",AP463-$E$1)</f>
        <v/>
      </c>
      <c r="AR463" s="185" t="n">
        <f aca="false">IF(Summary!$H$2=1,VLOOKUP('ANR OK vs ML7'!A463,Curves!$C$17:$AR$273,MATCH('ANR OK vs ML7'!$AR$4,Curves!$C$8:$AQ$8,0)),0.1)</f>
        <v>0.1</v>
      </c>
      <c r="AS463" s="213" t="str">
        <f aca="false">IF(A464="","",1/(1+CHOOSE(F$3,(AR464+($I$3/10000))/2,(AR463+($I$3/10000))/2))^(2*AQ463/365.25))</f>
        <v/>
      </c>
      <c r="AT463" s="137" t="str">
        <f aca="false">IF(A464="","",IF(AND(mthbeg&lt;=A463,mthend&gt;=A463),1,0))</f>
        <v/>
      </c>
      <c r="AU463" s="137" t="str">
        <f aca="false">IF(A464="","",AO463*AT463)</f>
        <v/>
      </c>
      <c r="AW463" s="195" t="str">
        <f aca="false">IF($A464="","",AL463*$E463)</f>
        <v/>
      </c>
      <c r="AX463" s="195" t="str">
        <f aca="false">IF($A464="","",AM463*$E463)</f>
        <v/>
      </c>
      <c r="AY463" s="195" t="str">
        <f aca="false">IF($A464="","",AN463*$E463)</f>
        <v/>
      </c>
      <c r="BA463" s="195" t="str">
        <f aca="false">IF($A464="","",F463*Summary!$Q$7)</f>
        <v/>
      </c>
    </row>
    <row r="464" customFormat="false" ht="12.75" hidden="false" customHeight="false" outlineLevel="0" collapsed="false">
      <c r="A464" s="196" t="str">
        <f aca="false">IF(A463&lt;mthend,EDATE(A463,1),"")</f>
        <v/>
      </c>
      <c r="B464" s="197" t="str">
        <f aca="false">IF(A464&lt;mthend,B463,"")</f>
        <v/>
      </c>
      <c r="D464" s="197" t="str">
        <f aca="false">IF(A465&lt;&gt;"",B464+C464,"")</f>
        <v/>
      </c>
      <c r="E464" s="199" t="str">
        <f aca="false">IF(A465="","",IF(AND(AT464=1,$H$3=1),D464*AO464,IF($H$3=2,D464,"N/A")))</f>
        <v/>
      </c>
      <c r="F464" s="199" t="str">
        <f aca="false">IF(A465="","",E464*AS464)</f>
        <v/>
      </c>
      <c r="G464" s="200" t="str">
        <f aca="false">IF($A465="","",VLOOKUP($A464,Table,MATCH(G$4,Curves,0)))</f>
        <v/>
      </c>
      <c r="H464" s="201" t="str">
        <f aca="false">IF(A465="","",G464)</f>
        <v/>
      </c>
      <c r="J464" s="200" t="str">
        <f aca="false">IF($A465="","",VLOOKUP($A464,Table,MATCH(J$4,Curves,0)))</f>
        <v/>
      </c>
      <c r="K464" s="201" t="str">
        <f aca="false">IF(A465="","",J464)</f>
        <v/>
      </c>
      <c r="L464" s="200" t="str">
        <f aca="false">IF($A465="","",VLOOKUP($A464,Table,MATCH(L$4,Curves,0)))</f>
        <v/>
      </c>
      <c r="M464" s="201" t="str">
        <f aca="false">IF(A465="","",L464)</f>
        <v/>
      </c>
      <c r="O464" s="200" t="str">
        <f aca="false">IF(A465="","",L464+J464+G464)</f>
        <v/>
      </c>
      <c r="P464" s="200" t="str">
        <f aca="false">IF(A465="","",M464+K464+H464)</f>
        <v/>
      </c>
      <c r="R464" s="200" t="str">
        <f aca="false">IF($A465="","",VLOOKUP($A464,Table,MATCH(R$4,Curves,0)))</f>
        <v/>
      </c>
      <c r="S464" s="201" t="str">
        <f aca="false">IF(A465="","",R464)</f>
        <v/>
      </c>
      <c r="T464" s="200" t="str">
        <f aca="false">IF($A465="","",VLOOKUP($A464,Table,MATCH(T$4,Curves,0)))</f>
        <v/>
      </c>
      <c r="U464" s="201" t="str">
        <f aca="false">IF(A465="","",T464)</f>
        <v/>
      </c>
      <c r="V464" s="183" t="str">
        <f aca="false">IF($A465="","",IF(AND(MONTH(A464)&gt;3,MONTH(A464)&lt;11),(T464+R464+G464)*Summary!$T$7/(1-Summary!$T$7),(T464+R464+G464)*Summary!$U$7/(1-Summary!$U$7)))</f>
        <v/>
      </c>
      <c r="W464" s="200" t="str">
        <f aca="false">IF($A465="","",(T464+R464+G464+V464))</f>
        <v/>
      </c>
      <c r="X464" s="200" t="str">
        <f aca="false">IF($A465="","",(U464+S464+H464+V464))</f>
        <v/>
      </c>
      <c r="Y464" s="202"/>
      <c r="Z464" s="185"/>
      <c r="AJ464" s="77"/>
      <c r="AK464" s="77"/>
      <c r="AL464" s="77"/>
      <c r="AM464" s="77"/>
      <c r="AN464" s="77"/>
      <c r="AO464" s="137" t="str">
        <f aca="false">IF(A465="","",A465-A464)</f>
        <v/>
      </c>
      <c r="AP464" s="212" t="str">
        <f aca="false">IF(A465="","",CHOOSE(F$3,A465+24,A464))</f>
        <v/>
      </c>
      <c r="AQ464" s="209" t="str">
        <f aca="false">IF(A465="","",AP464-$E$1)</f>
        <v/>
      </c>
      <c r="AR464" s="185" t="n">
        <f aca="false">IF(Summary!$H$2=1,VLOOKUP('ANR OK vs ML7'!A464,Curves!$C$17:$AR$273,MATCH('ANR OK vs ML7'!$AR$4,Curves!$C$8:$AQ$8,0)),0.1)</f>
        <v>0.1</v>
      </c>
      <c r="AS464" s="213" t="str">
        <f aca="false">IF(A465="","",1/(1+CHOOSE(F$3,(AR465+($I$3/10000))/2,(AR464+($I$3/10000))/2))^(2*AQ464/365.25))</f>
        <v/>
      </c>
      <c r="AT464" s="137" t="str">
        <f aca="false">IF(A465="","",IF(AND(mthbeg&lt;=A464,mthend&gt;=A464),1,0))</f>
        <v/>
      </c>
      <c r="AU464" s="137" t="str">
        <f aca="false">IF(A465="","",AO464*AT464)</f>
        <v/>
      </c>
      <c r="AW464" s="195" t="str">
        <f aca="false">IF($A465="","",AL464*$E464)</f>
        <v/>
      </c>
      <c r="AX464" s="195" t="str">
        <f aca="false">IF($A465="","",AM464*$E464)</f>
        <v/>
      </c>
      <c r="AY464" s="195" t="str">
        <f aca="false">IF($A465="","",AN464*$E464)</f>
        <v/>
      </c>
      <c r="BA464" s="195" t="str">
        <f aca="false">IF($A465="","",F464*Summary!$Q$7)</f>
        <v/>
      </c>
    </row>
    <row r="465" customFormat="false" ht="12.75" hidden="false" customHeight="false" outlineLevel="0" collapsed="false">
      <c r="A465" s="196" t="str">
        <f aca="false">IF(A464&lt;mthend,EDATE(A464,1),"")</f>
        <v/>
      </c>
      <c r="B465" s="197" t="str">
        <f aca="false">IF(A465&lt;mthend,B464,"")</f>
        <v/>
      </c>
      <c r="D465" s="197" t="str">
        <f aca="false">IF(A466&lt;&gt;"",B465+C465,"")</f>
        <v/>
      </c>
      <c r="E465" s="199" t="str">
        <f aca="false">IF(A466="","",IF(AND(AT465=1,$H$3=1),D465*AO465,IF($H$3=2,D465,"N/A")))</f>
        <v/>
      </c>
      <c r="F465" s="199" t="str">
        <f aca="false">IF(A466="","",E465*AS465)</f>
        <v/>
      </c>
      <c r="G465" s="200" t="str">
        <f aca="false">IF($A466="","",VLOOKUP($A465,Table,MATCH(G$4,Curves,0)))</f>
        <v/>
      </c>
      <c r="H465" s="201" t="str">
        <f aca="false">IF(A466="","",G465)</f>
        <v/>
      </c>
      <c r="J465" s="200" t="str">
        <f aca="false">IF($A466="","",VLOOKUP($A465,Table,MATCH(J$4,Curves,0)))</f>
        <v/>
      </c>
      <c r="K465" s="201" t="str">
        <f aca="false">IF(A466="","",J465)</f>
        <v/>
      </c>
      <c r="L465" s="200" t="str">
        <f aca="false">IF($A466="","",VLOOKUP($A465,Table,MATCH(L$4,Curves,0)))</f>
        <v/>
      </c>
      <c r="M465" s="201" t="str">
        <f aca="false">IF(A466="","",L465)</f>
        <v/>
      </c>
      <c r="O465" s="200" t="str">
        <f aca="false">IF(A466="","",L465+J465+G465)</f>
        <v/>
      </c>
      <c r="P465" s="200" t="str">
        <f aca="false">IF(A466="","",M465+K465+H465)</f>
        <v/>
      </c>
      <c r="R465" s="200" t="str">
        <f aca="false">IF($A466="","",VLOOKUP($A465,Table,MATCH(R$4,Curves,0)))</f>
        <v/>
      </c>
      <c r="S465" s="201" t="str">
        <f aca="false">IF(A466="","",R465)</f>
        <v/>
      </c>
      <c r="T465" s="200" t="str">
        <f aca="false">IF($A466="","",VLOOKUP($A465,Table,MATCH(T$4,Curves,0)))</f>
        <v/>
      </c>
      <c r="U465" s="201" t="str">
        <f aca="false">IF(A466="","",T465)</f>
        <v/>
      </c>
      <c r="V465" s="183" t="str">
        <f aca="false">IF($A466="","",IF(AND(MONTH(A465)&gt;3,MONTH(A465)&lt;11),(T465+R465+G465)*Summary!$T$7/(1-Summary!$T$7),(T465+R465+G465)*Summary!$U$7/(1-Summary!$U$7)))</f>
        <v/>
      </c>
      <c r="W465" s="200" t="str">
        <f aca="false">IF($A466="","",(T465+R465+G465+V465))</f>
        <v/>
      </c>
      <c r="X465" s="200" t="str">
        <f aca="false">IF($A466="","",(U465+S465+H465+V465))</f>
        <v/>
      </c>
      <c r="Y465" s="202"/>
      <c r="Z465" s="185"/>
      <c r="AJ465" s="77"/>
      <c r="AK465" s="77"/>
      <c r="AL465" s="77"/>
      <c r="AM465" s="77"/>
      <c r="AN465" s="77"/>
      <c r="AO465" s="137" t="str">
        <f aca="false">IF(A466="","",A466-A465)</f>
        <v/>
      </c>
      <c r="AP465" s="212" t="str">
        <f aca="false">IF(A466="","",CHOOSE(F$3,A466+24,A465))</f>
        <v/>
      </c>
      <c r="AQ465" s="209" t="str">
        <f aca="false">IF(A466="","",AP465-$E$1)</f>
        <v/>
      </c>
      <c r="AR465" s="185" t="n">
        <f aca="false">IF(Summary!$H$2=1,VLOOKUP('ANR OK vs ML7'!A465,Curves!$C$17:$AR$273,MATCH('ANR OK vs ML7'!$AR$4,Curves!$C$8:$AQ$8,0)),0.1)</f>
        <v>0.1</v>
      </c>
      <c r="AS465" s="213" t="str">
        <f aca="false">IF(A466="","",1/(1+CHOOSE(F$3,(AR466+($I$3/10000))/2,(AR465+($I$3/10000))/2))^(2*AQ465/365.25))</f>
        <v/>
      </c>
      <c r="AT465" s="137" t="str">
        <f aca="false">IF(A466="","",IF(AND(mthbeg&lt;=A465,mthend&gt;=A465),1,0))</f>
        <v/>
      </c>
      <c r="AU465" s="137" t="str">
        <f aca="false">IF(A466="","",AO465*AT465)</f>
        <v/>
      </c>
      <c r="AW465" s="195" t="str">
        <f aca="false">IF($A466="","",AL465*$E465)</f>
        <v/>
      </c>
      <c r="AX465" s="195" t="str">
        <f aca="false">IF($A466="","",AM465*$E465)</f>
        <v/>
      </c>
      <c r="AY465" s="195" t="str">
        <f aca="false">IF($A466="","",AN465*$E465)</f>
        <v/>
      </c>
      <c r="BA465" s="195" t="str">
        <f aca="false">IF($A466="","",F465*Summary!$Q$7)</f>
        <v/>
      </c>
    </row>
    <row r="466" customFormat="false" ht="12.75" hidden="false" customHeight="false" outlineLevel="0" collapsed="false">
      <c r="A466" s="196" t="str">
        <f aca="false">IF(A465&lt;mthend,EDATE(A465,1),"")</f>
        <v/>
      </c>
      <c r="B466" s="197" t="str">
        <f aca="false">IF(A466&lt;mthend,B465,"")</f>
        <v/>
      </c>
      <c r="D466" s="197" t="str">
        <f aca="false">IF(A467&lt;&gt;"",B466+C466,"")</f>
        <v/>
      </c>
      <c r="E466" s="199" t="str">
        <f aca="false">IF(A467="","",IF(AND(AT466=1,$H$3=1),D466*AO466,IF($H$3=2,D466,"N/A")))</f>
        <v/>
      </c>
      <c r="F466" s="199" t="str">
        <f aca="false">IF(A467="","",E466*AS466)</f>
        <v/>
      </c>
      <c r="G466" s="200" t="str">
        <f aca="false">IF($A467="","",VLOOKUP($A466,Table,MATCH(G$4,Curves,0)))</f>
        <v/>
      </c>
      <c r="H466" s="201" t="str">
        <f aca="false">IF(A467="","",G466)</f>
        <v/>
      </c>
      <c r="J466" s="200" t="str">
        <f aca="false">IF($A467="","",VLOOKUP($A466,Table,MATCH(J$4,Curves,0)))</f>
        <v/>
      </c>
      <c r="K466" s="201" t="str">
        <f aca="false">IF(A467="","",J466)</f>
        <v/>
      </c>
      <c r="L466" s="200" t="str">
        <f aca="false">IF($A467="","",VLOOKUP($A466,Table,MATCH(L$4,Curves,0)))</f>
        <v/>
      </c>
      <c r="M466" s="201" t="str">
        <f aca="false">IF(A467="","",L466)</f>
        <v/>
      </c>
      <c r="O466" s="200" t="str">
        <f aca="false">IF(A467="","",L466+J466+G466)</f>
        <v/>
      </c>
      <c r="P466" s="200" t="str">
        <f aca="false">IF(A467="","",M466+K466+H466)</f>
        <v/>
      </c>
      <c r="R466" s="200" t="str">
        <f aca="false">IF($A467="","",VLOOKUP($A466,Table,MATCH(R$4,Curves,0)))</f>
        <v/>
      </c>
      <c r="S466" s="201" t="str">
        <f aca="false">IF(A467="","",R466)</f>
        <v/>
      </c>
      <c r="T466" s="200" t="str">
        <f aca="false">IF($A467="","",VLOOKUP($A466,Table,MATCH(T$4,Curves,0)))</f>
        <v/>
      </c>
      <c r="U466" s="201" t="str">
        <f aca="false">IF(A467="","",T466)</f>
        <v/>
      </c>
      <c r="V466" s="183" t="str">
        <f aca="false">IF($A467="","",IF(AND(MONTH(A466)&gt;3,MONTH(A466)&lt;11),(T466+R466+G466)*Summary!$T$7/(1-Summary!$T$7),(T466+R466+G466)*Summary!$U$7/(1-Summary!$U$7)))</f>
        <v/>
      </c>
      <c r="W466" s="200" t="str">
        <f aca="false">IF($A467="","",(T466+R466+G466+V466))</f>
        <v/>
      </c>
      <c r="X466" s="200" t="str">
        <f aca="false">IF($A467="","",(U466+S466+H466+V466))</f>
        <v/>
      </c>
      <c r="Y466" s="202"/>
      <c r="Z466" s="185"/>
      <c r="AJ466" s="77"/>
      <c r="AK466" s="77"/>
      <c r="AL466" s="77"/>
      <c r="AM466" s="77"/>
      <c r="AN466" s="77"/>
      <c r="AO466" s="137" t="str">
        <f aca="false">IF(A467="","",A467-A466)</f>
        <v/>
      </c>
      <c r="AP466" s="212" t="str">
        <f aca="false">IF(A467="","",CHOOSE(F$3,A467+24,A466))</f>
        <v/>
      </c>
      <c r="AQ466" s="209" t="str">
        <f aca="false">IF(A467="","",AP466-$E$1)</f>
        <v/>
      </c>
      <c r="AR466" s="185" t="n">
        <f aca="false">IF(Summary!$H$2=1,VLOOKUP('ANR OK vs ML7'!A466,Curves!$C$17:$AR$273,MATCH('ANR OK vs ML7'!$AR$4,Curves!$C$8:$AQ$8,0)),0.1)</f>
        <v>0.1</v>
      </c>
      <c r="AS466" s="213" t="str">
        <f aca="false">IF(A467="","",1/(1+CHOOSE(F$3,(AR467+($I$3/10000))/2,(AR466+($I$3/10000))/2))^(2*AQ466/365.25))</f>
        <v/>
      </c>
      <c r="AT466" s="137" t="str">
        <f aca="false">IF(A467="","",IF(AND(mthbeg&lt;=A466,mthend&gt;=A466),1,0))</f>
        <v/>
      </c>
      <c r="AU466" s="137" t="str">
        <f aca="false">IF(A467="","",AO466*AT466)</f>
        <v/>
      </c>
      <c r="AW466" s="195" t="str">
        <f aca="false">IF($A467="","",AL466*$E466)</f>
        <v/>
      </c>
      <c r="AX466" s="195" t="str">
        <f aca="false">IF($A467="","",AM466*$E466)</f>
        <v/>
      </c>
      <c r="AY466" s="195" t="str">
        <f aca="false">IF($A467="","",AN466*$E466)</f>
        <v/>
      </c>
      <c r="BA466" s="195" t="str">
        <f aca="false">IF($A467="","",F466*Summary!$Q$7)</f>
        <v/>
      </c>
    </row>
    <row r="467" customFormat="false" ht="12.75" hidden="false" customHeight="false" outlineLevel="0" collapsed="false">
      <c r="A467" s="196" t="str">
        <f aca="false">IF(A466&lt;mthend,EDATE(A466,1),"")</f>
        <v/>
      </c>
      <c r="B467" s="197" t="str">
        <f aca="false">IF(A467&lt;mthend,B466,"")</f>
        <v/>
      </c>
      <c r="D467" s="197" t="str">
        <f aca="false">IF(A468&lt;&gt;"",B467+C467,"")</f>
        <v/>
      </c>
      <c r="E467" s="199" t="str">
        <f aca="false">IF(A468="","",IF(AND(AT467=1,$H$3=1),D467*AO467,IF($H$3=2,D467,"N/A")))</f>
        <v/>
      </c>
      <c r="F467" s="199" t="str">
        <f aca="false">IF(A468="","",E467*AS467)</f>
        <v/>
      </c>
      <c r="G467" s="200" t="str">
        <f aca="false">IF($A468="","",VLOOKUP($A467,Table,MATCH(G$4,Curves,0)))</f>
        <v/>
      </c>
      <c r="H467" s="201" t="str">
        <f aca="false">IF(A468="","",G467)</f>
        <v/>
      </c>
      <c r="J467" s="200" t="str">
        <f aca="false">IF($A468="","",VLOOKUP($A467,Table,MATCH(J$4,Curves,0)))</f>
        <v/>
      </c>
      <c r="K467" s="201" t="str">
        <f aca="false">IF(A468="","",J467)</f>
        <v/>
      </c>
      <c r="L467" s="200" t="str">
        <f aca="false">IF($A468="","",VLOOKUP($A467,Table,MATCH(L$4,Curves,0)))</f>
        <v/>
      </c>
      <c r="M467" s="201" t="str">
        <f aca="false">IF(A468="","",L467)</f>
        <v/>
      </c>
      <c r="O467" s="200" t="str">
        <f aca="false">IF(A468="","",L467+J467+G467)</f>
        <v/>
      </c>
      <c r="P467" s="200" t="str">
        <f aca="false">IF(A468="","",M467+K467+H467)</f>
        <v/>
      </c>
      <c r="R467" s="200" t="str">
        <f aca="false">IF($A468="","",VLOOKUP($A467,Table,MATCH(R$4,Curves,0)))</f>
        <v/>
      </c>
      <c r="S467" s="201" t="str">
        <f aca="false">IF(A468="","",R467)</f>
        <v/>
      </c>
      <c r="T467" s="200" t="str">
        <f aca="false">IF($A468="","",VLOOKUP($A467,Table,MATCH(T$4,Curves,0)))</f>
        <v/>
      </c>
      <c r="U467" s="201" t="str">
        <f aca="false">IF(A468="","",T467)</f>
        <v/>
      </c>
      <c r="V467" s="183" t="str">
        <f aca="false">IF($A468="","",IF(AND(MONTH(A467)&gt;3,MONTH(A467)&lt;11),(T467+R467+G467)*Summary!$T$7/(1-Summary!$T$7),(T467+R467+G467)*Summary!$U$7/(1-Summary!$U$7)))</f>
        <v/>
      </c>
      <c r="W467" s="200" t="str">
        <f aca="false">IF($A468="","",(T467+R467+G467+V467))</f>
        <v/>
      </c>
      <c r="X467" s="200" t="str">
        <f aca="false">IF($A468="","",(U467+S467+H467+V467))</f>
        <v/>
      </c>
      <c r="Y467" s="202"/>
      <c r="Z467" s="185"/>
      <c r="AJ467" s="77"/>
      <c r="AK467" s="77"/>
      <c r="AL467" s="77"/>
      <c r="AM467" s="77"/>
      <c r="AN467" s="77"/>
      <c r="AO467" s="137" t="str">
        <f aca="false">IF(A468="","",A468-A467)</f>
        <v/>
      </c>
      <c r="AP467" s="212" t="str">
        <f aca="false">IF(A468="","",CHOOSE(F$3,A468+24,A467))</f>
        <v/>
      </c>
      <c r="AQ467" s="209" t="str">
        <f aca="false">IF(A468="","",AP467-$E$1)</f>
        <v/>
      </c>
      <c r="AR467" s="185" t="n">
        <f aca="false">IF(Summary!$H$2=1,VLOOKUP('ANR OK vs ML7'!A467,Curves!$C$17:$AR$273,MATCH('ANR OK vs ML7'!$AR$4,Curves!$C$8:$AQ$8,0)),0.1)</f>
        <v>0.1</v>
      </c>
      <c r="AS467" s="213" t="str">
        <f aca="false">IF(A468="","",1/(1+CHOOSE(F$3,(AR468+($I$3/10000))/2,(AR467+($I$3/10000))/2))^(2*AQ467/365.25))</f>
        <v/>
      </c>
      <c r="AT467" s="137" t="str">
        <f aca="false">IF(A468="","",IF(AND(mthbeg&lt;=A467,mthend&gt;=A467),1,0))</f>
        <v/>
      </c>
      <c r="AU467" s="137" t="str">
        <f aca="false">IF(A468="","",AO467*AT467)</f>
        <v/>
      </c>
      <c r="AW467" s="195" t="str">
        <f aca="false">IF($A468="","",AL467*$E467)</f>
        <v/>
      </c>
      <c r="AX467" s="195" t="str">
        <f aca="false">IF($A468="","",AM467*$E467)</f>
        <v/>
      </c>
      <c r="AY467" s="195" t="str">
        <f aca="false">IF($A468="","",AN467*$E467)</f>
        <v/>
      </c>
      <c r="BA467" s="195" t="str">
        <f aca="false">IF($A468="","",F467*Summary!$Q$7)</f>
        <v/>
      </c>
    </row>
    <row r="468" customFormat="false" ht="12.75" hidden="false" customHeight="false" outlineLevel="0" collapsed="false">
      <c r="A468" s="196" t="str">
        <f aca="false">IF(A467&lt;mthend,EDATE(A467,1),"")</f>
        <v/>
      </c>
      <c r="B468" s="197" t="str">
        <f aca="false">IF(A468&lt;mthend,B467,"")</f>
        <v/>
      </c>
      <c r="D468" s="197" t="str">
        <f aca="false">IF(A469&lt;&gt;"",B468+C468,"")</f>
        <v/>
      </c>
      <c r="E468" s="199" t="str">
        <f aca="false">IF(A469="","",IF(AND(AT468=1,$H$3=1),D468*AO468,IF($H$3=2,D468,"N/A")))</f>
        <v/>
      </c>
      <c r="F468" s="199" t="str">
        <f aca="false">IF(A469="","",E468*AS468)</f>
        <v/>
      </c>
      <c r="G468" s="200" t="str">
        <f aca="false">IF($A469="","",VLOOKUP($A468,Table,MATCH(G$4,Curves,0)))</f>
        <v/>
      </c>
      <c r="H468" s="201" t="str">
        <f aca="false">IF(A469="","",G468)</f>
        <v/>
      </c>
      <c r="J468" s="200" t="str">
        <f aca="false">IF($A469="","",VLOOKUP($A468,Table,MATCH(J$4,Curves,0)))</f>
        <v/>
      </c>
      <c r="K468" s="201" t="str">
        <f aca="false">IF(A469="","",J468)</f>
        <v/>
      </c>
      <c r="L468" s="200" t="str">
        <f aca="false">IF($A469="","",VLOOKUP($A468,Table,MATCH(L$4,Curves,0)))</f>
        <v/>
      </c>
      <c r="M468" s="201" t="str">
        <f aca="false">IF(A469="","",L468)</f>
        <v/>
      </c>
      <c r="O468" s="200" t="str">
        <f aca="false">IF(A469="","",L468+J468+G468)</f>
        <v/>
      </c>
      <c r="P468" s="200" t="str">
        <f aca="false">IF(A469="","",M468+K468+H468)</f>
        <v/>
      </c>
      <c r="R468" s="200" t="str">
        <f aca="false">IF($A469="","",VLOOKUP($A468,Table,MATCH(R$4,Curves,0)))</f>
        <v/>
      </c>
      <c r="S468" s="201" t="str">
        <f aca="false">IF(A469="","",R468)</f>
        <v/>
      </c>
      <c r="T468" s="200" t="str">
        <f aca="false">IF($A469="","",VLOOKUP($A468,Table,MATCH(T$4,Curves,0)))</f>
        <v/>
      </c>
      <c r="U468" s="201" t="str">
        <f aca="false">IF(A469="","",T468)</f>
        <v/>
      </c>
      <c r="V468" s="183" t="str">
        <f aca="false">IF($A469="","",IF(AND(MONTH(A468)&gt;3,MONTH(A468)&lt;11),(T468+R468+G468)*Summary!$T$7/(1-Summary!$T$7),(T468+R468+G468)*Summary!$U$7/(1-Summary!$U$7)))</f>
        <v/>
      </c>
      <c r="W468" s="200" t="str">
        <f aca="false">IF($A469="","",(T468+R468+G468+V468))</f>
        <v/>
      </c>
      <c r="X468" s="200" t="str">
        <f aca="false">IF($A469="","",(U468+S468+H468+V468))</f>
        <v/>
      </c>
      <c r="Y468" s="202"/>
      <c r="Z468" s="185"/>
      <c r="AJ468" s="77"/>
      <c r="AK468" s="77"/>
      <c r="AL468" s="77"/>
      <c r="AM468" s="77"/>
      <c r="AN468" s="77"/>
      <c r="AO468" s="137" t="str">
        <f aca="false">IF(A469="","",A469-A468)</f>
        <v/>
      </c>
      <c r="AP468" s="212" t="str">
        <f aca="false">IF(A469="","",CHOOSE(F$3,A469+24,A468))</f>
        <v/>
      </c>
      <c r="AQ468" s="209" t="str">
        <f aca="false">IF(A469="","",AP468-$E$1)</f>
        <v/>
      </c>
      <c r="AR468" s="185" t="n">
        <f aca="false">IF(Summary!$H$2=1,VLOOKUP('ANR OK vs ML7'!A468,Curves!$C$17:$AR$273,MATCH('ANR OK vs ML7'!$AR$4,Curves!$C$8:$AQ$8,0)),0.1)</f>
        <v>0.1</v>
      </c>
      <c r="AS468" s="213" t="str">
        <f aca="false">IF(A469="","",1/(1+CHOOSE(F$3,(AR469+($I$3/10000))/2,(AR468+($I$3/10000))/2))^(2*AQ468/365.25))</f>
        <v/>
      </c>
      <c r="AT468" s="137" t="str">
        <f aca="false">IF(A469="","",IF(AND(mthbeg&lt;=A468,mthend&gt;=A468),1,0))</f>
        <v/>
      </c>
      <c r="AU468" s="137" t="str">
        <f aca="false">IF(A469="","",AO468*AT468)</f>
        <v/>
      </c>
      <c r="AW468" s="195" t="str">
        <f aca="false">IF($A469="","",AL468*$E468)</f>
        <v/>
      </c>
      <c r="AX468" s="195" t="str">
        <f aca="false">IF($A469="","",AM468*$E468)</f>
        <v/>
      </c>
      <c r="AY468" s="195" t="str">
        <f aca="false">IF($A469="","",AN468*$E468)</f>
        <v/>
      </c>
      <c r="BA468" s="195" t="str">
        <f aca="false">IF($A469="","",F468*Summary!$Q$7)</f>
        <v/>
      </c>
    </row>
    <row r="469" customFormat="false" ht="12.75" hidden="false" customHeight="false" outlineLevel="0" collapsed="false">
      <c r="A469" s="196" t="str">
        <f aca="false">IF(A468&lt;mthend,EDATE(A468,1),"")</f>
        <v/>
      </c>
      <c r="B469" s="197" t="str">
        <f aca="false">IF(A469&lt;mthend,B468,"")</f>
        <v/>
      </c>
      <c r="D469" s="197" t="str">
        <f aca="false">IF(A470&lt;&gt;"",B469+C469,"")</f>
        <v/>
      </c>
      <c r="E469" s="199" t="str">
        <f aca="false">IF(A470="","",IF(AND(AT469=1,$H$3=1),D469*AO469,IF($H$3=2,D469,"N/A")))</f>
        <v/>
      </c>
      <c r="F469" s="199" t="str">
        <f aca="false">IF(A470="","",E469*AS469)</f>
        <v/>
      </c>
      <c r="G469" s="200" t="str">
        <f aca="false">IF($A470="","",VLOOKUP($A469,Table,MATCH(G$4,Curves,0)))</f>
        <v/>
      </c>
      <c r="H469" s="201" t="str">
        <f aca="false">IF(A470="","",G469)</f>
        <v/>
      </c>
      <c r="J469" s="200" t="str">
        <f aca="false">IF($A470="","",VLOOKUP($A469,Table,MATCH(J$4,Curves,0)))</f>
        <v/>
      </c>
      <c r="K469" s="201" t="str">
        <f aca="false">IF(A470="","",J469)</f>
        <v/>
      </c>
      <c r="L469" s="200" t="str">
        <f aca="false">IF($A470="","",VLOOKUP($A469,Table,MATCH(L$4,Curves,0)))</f>
        <v/>
      </c>
      <c r="M469" s="201" t="str">
        <f aca="false">IF(A470="","",L469)</f>
        <v/>
      </c>
      <c r="O469" s="200" t="str">
        <f aca="false">IF(A470="","",L469+J469+G469)</f>
        <v/>
      </c>
      <c r="P469" s="200" t="str">
        <f aca="false">IF(A470="","",M469+K469+H469)</f>
        <v/>
      </c>
      <c r="R469" s="200" t="str">
        <f aca="false">IF($A470="","",VLOOKUP($A469,Table,MATCH(R$4,Curves,0)))</f>
        <v/>
      </c>
      <c r="S469" s="201" t="str">
        <f aca="false">IF(A470="","",R469)</f>
        <v/>
      </c>
      <c r="T469" s="200" t="str">
        <f aca="false">IF($A470="","",VLOOKUP($A469,Table,MATCH(T$4,Curves,0)))</f>
        <v/>
      </c>
      <c r="U469" s="201" t="str">
        <f aca="false">IF(A470="","",T469)</f>
        <v/>
      </c>
      <c r="V469" s="183" t="str">
        <f aca="false">IF($A470="","",IF(AND(MONTH(A469)&gt;3,MONTH(A469)&lt;11),(T469+R469+G469)*Summary!$T$7/(1-Summary!$T$7),(T469+R469+G469)*Summary!$U$7/(1-Summary!$U$7)))</f>
        <v/>
      </c>
      <c r="W469" s="200" t="str">
        <f aca="false">IF($A470="","",(T469+R469+G469+V469))</f>
        <v/>
      </c>
      <c r="X469" s="200" t="str">
        <f aca="false">IF($A470="","",(U469+S469+H469+V469))</f>
        <v/>
      </c>
      <c r="Y469" s="202"/>
      <c r="Z469" s="185"/>
      <c r="AJ469" s="77"/>
      <c r="AK469" s="77"/>
      <c r="AL469" s="77"/>
      <c r="AM469" s="77"/>
      <c r="AN469" s="77"/>
      <c r="AO469" s="137" t="str">
        <f aca="false">IF(A470="","",A470-A469)</f>
        <v/>
      </c>
      <c r="AP469" s="212" t="str">
        <f aca="false">IF(A470="","",CHOOSE(F$3,A470+24,A469))</f>
        <v/>
      </c>
      <c r="AQ469" s="209" t="str">
        <f aca="false">IF(A470="","",AP469-$E$1)</f>
        <v/>
      </c>
      <c r="AR469" s="185" t="n">
        <f aca="false">IF(Summary!$H$2=1,VLOOKUP('ANR OK vs ML7'!A469,Curves!$C$17:$AR$273,MATCH('ANR OK vs ML7'!$AR$4,Curves!$C$8:$AQ$8,0)),0.1)</f>
        <v>0.1</v>
      </c>
      <c r="AS469" s="213" t="str">
        <f aca="false">IF(A470="","",1/(1+CHOOSE(F$3,(AR470+($I$3/10000))/2,(AR469+($I$3/10000))/2))^(2*AQ469/365.25))</f>
        <v/>
      </c>
      <c r="AT469" s="137" t="str">
        <f aca="false">IF(A470="","",IF(AND(mthbeg&lt;=A469,mthend&gt;=A469),1,0))</f>
        <v/>
      </c>
      <c r="AU469" s="137" t="str">
        <f aca="false">IF(A470="","",AO469*AT469)</f>
        <v/>
      </c>
      <c r="AW469" s="195" t="str">
        <f aca="false">IF($A470="","",AL469*$E469)</f>
        <v/>
      </c>
      <c r="AX469" s="195" t="str">
        <f aca="false">IF($A470="","",AM469*$E469)</f>
        <v/>
      </c>
      <c r="AY469" s="195" t="str">
        <f aca="false">IF($A470="","",AN469*$E469)</f>
        <v/>
      </c>
      <c r="BA469" s="195" t="str">
        <f aca="false">IF($A470="","",F469*Summary!$Q$7)</f>
        <v/>
      </c>
    </row>
    <row r="470" customFormat="false" ht="12.75" hidden="false" customHeight="false" outlineLevel="0" collapsed="false">
      <c r="A470" s="196" t="str">
        <f aca="false">IF(A469&lt;mthend,EDATE(A469,1),"")</f>
        <v/>
      </c>
      <c r="B470" s="197" t="str">
        <f aca="false">IF(A470&lt;mthend,B469,"")</f>
        <v/>
      </c>
      <c r="D470" s="197" t="str">
        <f aca="false">IF(A471&lt;&gt;"",B470+C470,"")</f>
        <v/>
      </c>
      <c r="E470" s="199" t="str">
        <f aca="false">IF(A471="","",IF(AND(AT470=1,$H$3=1),D470*AO470,IF($H$3=2,D470,"N/A")))</f>
        <v/>
      </c>
      <c r="F470" s="199" t="str">
        <f aca="false">IF(A471="","",E470*AS470)</f>
        <v/>
      </c>
      <c r="G470" s="200" t="str">
        <f aca="false">IF($A471="","",VLOOKUP($A470,Table,MATCH(G$4,Curves,0)))</f>
        <v/>
      </c>
      <c r="H470" s="201" t="str">
        <f aca="false">IF(A471="","",G470)</f>
        <v/>
      </c>
      <c r="J470" s="200" t="str">
        <f aca="false">IF($A471="","",VLOOKUP($A470,Table,MATCH(J$4,Curves,0)))</f>
        <v/>
      </c>
      <c r="K470" s="201" t="str">
        <f aca="false">IF(A471="","",J470)</f>
        <v/>
      </c>
      <c r="L470" s="200" t="str">
        <f aca="false">IF($A471="","",VLOOKUP($A470,Table,MATCH(L$4,Curves,0)))</f>
        <v/>
      </c>
      <c r="M470" s="201" t="str">
        <f aca="false">IF(A471="","",L470)</f>
        <v/>
      </c>
      <c r="O470" s="200" t="str">
        <f aca="false">IF(A471="","",L470+J470+G470)</f>
        <v/>
      </c>
      <c r="P470" s="200" t="str">
        <f aca="false">IF(A471="","",M470+K470+H470)</f>
        <v/>
      </c>
      <c r="R470" s="200" t="str">
        <f aca="false">IF($A471="","",VLOOKUP($A470,Table,MATCH(R$4,Curves,0)))</f>
        <v/>
      </c>
      <c r="S470" s="201" t="str">
        <f aca="false">IF(A471="","",R470)</f>
        <v/>
      </c>
      <c r="T470" s="200" t="str">
        <f aca="false">IF($A471="","",VLOOKUP($A470,Table,MATCH(T$4,Curves,0)))</f>
        <v/>
      </c>
      <c r="U470" s="201" t="str">
        <f aca="false">IF(A471="","",T470)</f>
        <v/>
      </c>
      <c r="V470" s="183" t="str">
        <f aca="false">IF($A471="","",IF(AND(MONTH(A470)&gt;3,MONTH(A470)&lt;11),(T470+R470+G470)*Summary!$T$7/(1-Summary!$T$7),(T470+R470+G470)*Summary!$U$7/(1-Summary!$U$7)))</f>
        <v/>
      </c>
      <c r="W470" s="200" t="str">
        <f aca="false">IF($A471="","",(T470+R470+G470+V470))</f>
        <v/>
      </c>
      <c r="X470" s="200" t="str">
        <f aca="false">IF($A471="","",(U470+S470+H470+V470))</f>
        <v/>
      </c>
      <c r="Y470" s="202"/>
      <c r="Z470" s="185"/>
      <c r="AJ470" s="77"/>
      <c r="AK470" s="77"/>
      <c r="AL470" s="77"/>
      <c r="AM470" s="77"/>
      <c r="AN470" s="77"/>
      <c r="AO470" s="137" t="str">
        <f aca="false">IF(A471="","",A471-A470)</f>
        <v/>
      </c>
      <c r="AP470" s="212" t="str">
        <f aca="false">IF(A471="","",CHOOSE(F$3,A471+24,A470))</f>
        <v/>
      </c>
      <c r="AQ470" s="209" t="str">
        <f aca="false">IF(A471="","",AP470-$E$1)</f>
        <v/>
      </c>
      <c r="AR470" s="185" t="n">
        <f aca="false">IF(Summary!$H$2=1,VLOOKUP('ANR OK vs ML7'!A470,Curves!$C$17:$AR$273,MATCH('ANR OK vs ML7'!$AR$4,Curves!$C$8:$AQ$8,0)),0.1)</f>
        <v>0.1</v>
      </c>
      <c r="AS470" s="213" t="str">
        <f aca="false">IF(A471="","",1/(1+CHOOSE(F$3,(AR471+($I$3/10000))/2,(AR470+($I$3/10000))/2))^(2*AQ470/365.25))</f>
        <v/>
      </c>
      <c r="AT470" s="137" t="str">
        <f aca="false">IF(A471="","",IF(AND(mthbeg&lt;=A470,mthend&gt;=A470),1,0))</f>
        <v/>
      </c>
      <c r="AU470" s="137" t="str">
        <f aca="false">IF(A471="","",AO470*AT470)</f>
        <v/>
      </c>
      <c r="AW470" s="195" t="str">
        <f aca="false">IF($A471="","",AL470*$E470)</f>
        <v/>
      </c>
      <c r="AX470" s="195" t="str">
        <f aca="false">IF($A471="","",AM470*$E470)</f>
        <v/>
      </c>
      <c r="AY470" s="195" t="str">
        <f aca="false">IF($A471="","",AN470*$E470)</f>
        <v/>
      </c>
      <c r="BA470" s="195" t="str">
        <f aca="false">IF($A471="","",F470*Summary!$Q$7)</f>
        <v/>
      </c>
    </row>
    <row r="471" customFormat="false" ht="12.75" hidden="false" customHeight="false" outlineLevel="0" collapsed="false">
      <c r="A471" s="196" t="str">
        <f aca="false">IF(A470&lt;mthend,EDATE(A470,1),"")</f>
        <v/>
      </c>
      <c r="B471" s="197" t="str">
        <f aca="false">IF(A471&lt;mthend,B470,"")</f>
        <v/>
      </c>
      <c r="D471" s="197" t="str">
        <f aca="false">IF(A472&lt;&gt;"",B471+C471,"")</f>
        <v/>
      </c>
      <c r="E471" s="199" t="str">
        <f aca="false">IF(A472="","",IF(AND(AT471=1,$H$3=1),D471*AO471,IF($H$3=2,D471,"N/A")))</f>
        <v/>
      </c>
      <c r="F471" s="199" t="str">
        <f aca="false">IF(A472="","",E471*AS471)</f>
        <v/>
      </c>
      <c r="G471" s="200" t="str">
        <f aca="false">IF($A472="","",VLOOKUP($A471,Table,MATCH(G$4,Curves,0)))</f>
        <v/>
      </c>
      <c r="H471" s="201" t="str">
        <f aca="false">IF(A472="","",G471)</f>
        <v/>
      </c>
      <c r="J471" s="200" t="str">
        <f aca="false">IF($A472="","",VLOOKUP($A471,Table,MATCH(J$4,Curves,0)))</f>
        <v/>
      </c>
      <c r="K471" s="201" t="str">
        <f aca="false">IF(A472="","",J471)</f>
        <v/>
      </c>
      <c r="L471" s="200" t="str">
        <f aca="false">IF($A472="","",VLOOKUP($A471,Table,MATCH(L$4,Curves,0)))</f>
        <v/>
      </c>
      <c r="M471" s="201" t="str">
        <f aca="false">IF(A472="","",L471)</f>
        <v/>
      </c>
      <c r="O471" s="200" t="str">
        <f aca="false">IF(A472="","",L471+J471+G471)</f>
        <v/>
      </c>
      <c r="P471" s="200" t="str">
        <f aca="false">IF(A472="","",M471+K471+H471)</f>
        <v/>
      </c>
      <c r="R471" s="200" t="str">
        <f aca="false">IF($A472="","",VLOOKUP($A471,Table,MATCH(R$4,Curves,0)))</f>
        <v/>
      </c>
      <c r="S471" s="201" t="str">
        <f aca="false">IF(A472="","",R471)</f>
        <v/>
      </c>
      <c r="T471" s="200" t="str">
        <f aca="false">IF($A472="","",VLOOKUP($A471,Table,MATCH(T$4,Curves,0)))</f>
        <v/>
      </c>
      <c r="U471" s="201" t="str">
        <f aca="false">IF(A472="","",T471)</f>
        <v/>
      </c>
      <c r="V471" s="183" t="str">
        <f aca="false">IF($A472="","",IF(AND(MONTH(A471)&gt;3,MONTH(A471)&lt;11),(T471+R471+G471)*Summary!$T$7/(1-Summary!$T$7),(T471+R471+G471)*Summary!$U$7/(1-Summary!$U$7)))</f>
        <v/>
      </c>
      <c r="W471" s="200" t="str">
        <f aca="false">IF($A472="","",(T471+R471+G471+V471))</f>
        <v/>
      </c>
      <c r="X471" s="200" t="str">
        <f aca="false">IF($A472="","",(U471+S471+H471+V471))</f>
        <v/>
      </c>
      <c r="Y471" s="202"/>
      <c r="Z471" s="21"/>
      <c r="AJ471" s="77"/>
      <c r="AK471" s="77"/>
      <c r="AL471" s="77"/>
      <c r="AM471" s="77"/>
      <c r="AN471" s="77"/>
      <c r="AO471" s="137" t="str">
        <f aca="false">IF(A472="","",A472-A471)</f>
        <v/>
      </c>
      <c r="AP471" s="212" t="str">
        <f aca="false">IF(A472="","",CHOOSE(F$3,A472+24,A471))</f>
        <v/>
      </c>
      <c r="AQ471" s="209" t="str">
        <f aca="false">IF(A472="","",AP471-$E$1)</f>
        <v/>
      </c>
      <c r="AR471" s="185" t="n">
        <f aca="false">IF(Summary!$H$2=1,VLOOKUP('ANR OK vs ML7'!A471,Curves!$C$17:$AR$273,MATCH('ANR OK vs ML7'!$AR$4,Curves!$C$8:$AQ$8,0)),0.1)</f>
        <v>0.1</v>
      </c>
      <c r="AS471" s="213" t="str">
        <f aca="false">IF(A472="","",1/(1+CHOOSE(F$3,(AR472+($I$3/10000))/2,(AR471+($I$3/10000))/2))^(2*AQ471/365.25))</f>
        <v/>
      </c>
      <c r="AT471" s="137" t="str">
        <f aca="false">IF(A472="","",IF(AND(mthbeg&lt;=A471,mthend&gt;=A471),1,0))</f>
        <v/>
      </c>
      <c r="AU471" s="137" t="str">
        <f aca="false">IF(A472="","",AO471*AT471)</f>
        <v/>
      </c>
      <c r="AW471" s="195" t="str">
        <f aca="false">IF($A472="","",AL471*$E471)</f>
        <v/>
      </c>
      <c r="AX471" s="195" t="str">
        <f aca="false">IF($A472="","",AM471*$E471)</f>
        <v/>
      </c>
      <c r="AY471" s="195" t="str">
        <f aca="false">IF($A472="","",AN471*$E471)</f>
        <v/>
      </c>
      <c r="BA471" s="195" t="str">
        <f aca="false">IF($A472="","",F471*Summary!$Q$7)</f>
        <v/>
      </c>
    </row>
    <row r="472" customFormat="false" ht="12.75" hidden="false" customHeight="false" outlineLevel="0" collapsed="false">
      <c r="A472" s="196" t="str">
        <f aca="false">IF(A471&lt;mthend,EDATE(A471,1),"")</f>
        <v/>
      </c>
      <c r="B472" s="197" t="str">
        <f aca="false">IF(A472&lt;mthend,B471,"")</f>
        <v/>
      </c>
      <c r="D472" s="197" t="str">
        <f aca="false">IF(A473&lt;&gt;"",B472+C472,"")</f>
        <v/>
      </c>
      <c r="E472" s="199" t="str">
        <f aca="false">IF(A473="","",IF(AND(AT472=1,$H$3=1),D472*AO472,IF($H$3=2,D472,"N/A")))</f>
        <v/>
      </c>
      <c r="F472" s="199" t="str">
        <f aca="false">IF(A473="","",E472*AS472)</f>
        <v/>
      </c>
      <c r="G472" s="200" t="str">
        <f aca="false">IF($A473="","",VLOOKUP($A472,Table,MATCH(G$4,Curves,0)))</f>
        <v/>
      </c>
      <c r="H472" s="201" t="str">
        <f aca="false">IF(A473="","",G472)</f>
        <v/>
      </c>
      <c r="J472" s="200" t="str">
        <f aca="false">IF($A473="","",VLOOKUP($A472,Table,MATCH(J$4,Curves,0)))</f>
        <v/>
      </c>
      <c r="K472" s="201" t="str">
        <f aca="false">IF(A473="","",J472)</f>
        <v/>
      </c>
      <c r="L472" s="200" t="str">
        <f aca="false">IF($A473="","",VLOOKUP($A472,Table,MATCH(L$4,Curves,0)))</f>
        <v/>
      </c>
      <c r="M472" s="201" t="str">
        <f aca="false">IF(A473="","",L472)</f>
        <v/>
      </c>
      <c r="O472" s="200" t="str">
        <f aca="false">IF(A473="","",L472+J472+G472)</f>
        <v/>
      </c>
      <c r="P472" s="200" t="str">
        <f aca="false">IF(A473="","",M472+K472+H472)</f>
        <v/>
      </c>
      <c r="R472" s="200" t="str">
        <f aca="false">IF($A473="","",VLOOKUP($A472,Table,MATCH(R$4,Curves,0)))</f>
        <v/>
      </c>
      <c r="S472" s="201" t="str">
        <f aca="false">IF(A473="","",R472)</f>
        <v/>
      </c>
      <c r="T472" s="200" t="str">
        <f aca="false">IF($A473="","",VLOOKUP($A472,Table,MATCH(T$4,Curves,0)))</f>
        <v/>
      </c>
      <c r="U472" s="201" t="str">
        <f aca="false">IF(A473="","",T472)</f>
        <v/>
      </c>
      <c r="V472" s="183" t="str">
        <f aca="false">IF($A473="","",IF(AND(MONTH(A472)&gt;3,MONTH(A472)&lt;11),(T472+R472+G472)*Summary!$T$7/(1-Summary!$T$7),(T472+R472+G472)*Summary!$U$7/(1-Summary!$U$7)))</f>
        <v/>
      </c>
      <c r="W472" s="200" t="str">
        <f aca="false">IF($A473="","",(T472+R472+G472+V472))</f>
        <v/>
      </c>
      <c r="X472" s="200" t="str">
        <f aca="false">IF($A473="","",(U472+S472+H472+V472))</f>
        <v/>
      </c>
      <c r="Y472" s="202"/>
      <c r="AJ472" s="77"/>
      <c r="AK472" s="77"/>
      <c r="AL472" s="77"/>
      <c r="AM472" s="77"/>
      <c r="AN472" s="77"/>
      <c r="AO472" s="137" t="str">
        <f aca="false">IF(A473="","",A473-A472)</f>
        <v/>
      </c>
      <c r="AP472" s="212" t="str">
        <f aca="false">IF(A473="","",CHOOSE(F$3,A473+24,A472))</f>
        <v/>
      </c>
      <c r="AQ472" s="209" t="str">
        <f aca="false">IF(A473="","",AP472-$E$1)</f>
        <v/>
      </c>
      <c r="AR472" s="185" t="n">
        <f aca="false">IF(Summary!$H$2=1,VLOOKUP('ANR OK vs ML7'!A472,Curves!$C$17:$AR$273,MATCH('ANR OK vs ML7'!$AR$4,Curves!$C$8:$AQ$8,0)),0.1)</f>
        <v>0.1</v>
      </c>
      <c r="AS472" s="213" t="str">
        <f aca="false">IF(A473="","",1/(1+CHOOSE(F$3,(AR473+($I$3/10000))/2,(AR472+($I$3/10000))/2))^(2*AQ472/365.25))</f>
        <v/>
      </c>
      <c r="AT472" s="137" t="str">
        <f aca="false">IF(A473="","",IF(AND(mthbeg&lt;=A472,mthend&gt;=A472),1,0))</f>
        <v/>
      </c>
      <c r="AU472" s="137" t="str">
        <f aca="false">IF(A473="","",AO472*AT472)</f>
        <v/>
      </c>
      <c r="AW472" s="195" t="str">
        <f aca="false">IF($A473="","",AL472*$E472)</f>
        <v/>
      </c>
      <c r="AX472" s="195" t="str">
        <f aca="false">IF($A473="","",AM472*$E472)</f>
        <v/>
      </c>
      <c r="AY472" s="195" t="str">
        <f aca="false">IF($A473="","",AN472*$E472)</f>
        <v/>
      </c>
      <c r="BA472" s="195" t="str">
        <f aca="false">IF($A473="","",F472*Summary!$Q$7)</f>
        <v/>
      </c>
    </row>
    <row r="473" customFormat="false" ht="12.75" hidden="false" customHeight="false" outlineLevel="0" collapsed="false">
      <c r="A473" s="196" t="str">
        <f aca="false">IF(A472&lt;mthend,EDATE(A472,1),"")</f>
        <v/>
      </c>
      <c r="B473" s="197" t="str">
        <f aca="false">IF(A473&lt;mthend,B472,"")</f>
        <v/>
      </c>
      <c r="D473" s="197" t="str">
        <f aca="false">IF(A474&lt;&gt;"",B473+C473,"")</f>
        <v/>
      </c>
      <c r="E473" s="199" t="str">
        <f aca="false">IF(A474="","",IF(AND(AT473=1,$H$3=1),D473*AO473,IF($H$3=2,D473,"N/A")))</f>
        <v/>
      </c>
      <c r="F473" s="199" t="str">
        <f aca="false">IF(A474="","",E473*AS473)</f>
        <v/>
      </c>
      <c r="G473" s="200" t="str">
        <f aca="false">IF($A474="","",VLOOKUP($A473,Table,MATCH(G$4,Curves,0)))</f>
        <v/>
      </c>
      <c r="H473" s="201" t="str">
        <f aca="false">IF(A474="","",G473)</f>
        <v/>
      </c>
      <c r="J473" s="200" t="str">
        <f aca="false">IF($A474="","",VLOOKUP($A473,Table,MATCH(J$4,Curves,0)))</f>
        <v/>
      </c>
      <c r="K473" s="201" t="str">
        <f aca="false">IF(A474="","",J473)</f>
        <v/>
      </c>
      <c r="L473" s="200" t="str">
        <f aca="false">IF($A474="","",VLOOKUP($A473,Table,MATCH(L$4,Curves,0)))</f>
        <v/>
      </c>
      <c r="M473" s="201" t="str">
        <f aca="false">IF(A474="","",L473)</f>
        <v/>
      </c>
      <c r="O473" s="200" t="str">
        <f aca="false">IF(A474="","",L473+J473+G473)</f>
        <v/>
      </c>
      <c r="P473" s="200" t="str">
        <f aca="false">IF(A474="","",M473+K473+H473)</f>
        <v/>
      </c>
      <c r="R473" s="200" t="str">
        <f aca="false">IF($A474="","",VLOOKUP($A473,Table,MATCH(R$4,Curves,0)))</f>
        <v/>
      </c>
      <c r="S473" s="201" t="str">
        <f aca="false">IF(A474="","",R473)</f>
        <v/>
      </c>
      <c r="T473" s="200" t="str">
        <f aca="false">IF($A474="","",VLOOKUP($A473,Table,MATCH(T$4,Curves,0)))</f>
        <v/>
      </c>
      <c r="U473" s="201" t="str">
        <f aca="false">IF(A474="","",T473)</f>
        <v/>
      </c>
      <c r="V473" s="183" t="str">
        <f aca="false">IF($A474="","",IF(AND(MONTH(A473)&gt;3,MONTH(A473)&lt;11),(T473+R473+G473)*Summary!$T$7/(1-Summary!$T$7),(T473+R473+G473)*Summary!$U$7/(1-Summary!$U$7)))</f>
        <v/>
      </c>
      <c r="W473" s="200" t="str">
        <f aca="false">IF($A474="","",(T473+R473+G473+V473))</f>
        <v/>
      </c>
      <c r="X473" s="200" t="str">
        <f aca="false">IF($A474="","",(U473+S473+H473+V473))</f>
        <v/>
      </c>
      <c r="Y473" s="202"/>
      <c r="AJ473" s="77"/>
      <c r="AK473" s="77"/>
      <c r="AL473" s="77"/>
      <c r="AM473" s="77"/>
      <c r="AN473" s="77"/>
      <c r="AO473" s="137" t="str">
        <f aca="false">IF(A474="","",A474-A473)</f>
        <v/>
      </c>
      <c r="AP473" s="212" t="str">
        <f aca="false">IF(A474="","",CHOOSE(F$3,A474+24,A473))</f>
        <v/>
      </c>
      <c r="AQ473" s="209" t="str">
        <f aca="false">IF(A474="","",AP473-$E$1)</f>
        <v/>
      </c>
      <c r="AR473" s="185" t="n">
        <f aca="false">IF(Summary!$H$2=1,VLOOKUP('ANR OK vs ML7'!A473,Curves!$C$17:$AR$273,MATCH('ANR OK vs ML7'!$AR$4,Curves!$C$8:$AQ$8,0)),0.1)</f>
        <v>0.1</v>
      </c>
      <c r="AS473" s="213" t="str">
        <f aca="false">IF(A474="","",1/(1+CHOOSE(F$3,(AR474+($I$3/10000))/2,(AR473+($I$3/10000))/2))^(2*AQ473/365.25))</f>
        <v/>
      </c>
      <c r="AT473" s="137" t="str">
        <f aca="false">IF(A474="","",IF(AND(mthbeg&lt;=A473,mthend&gt;=A473),1,0))</f>
        <v/>
      </c>
      <c r="AU473" s="137" t="str">
        <f aca="false">IF(A474="","",AO473*AT473)</f>
        <v/>
      </c>
      <c r="AW473" s="195" t="str">
        <f aca="false">IF($A474="","",AL473*$E473)</f>
        <v/>
      </c>
      <c r="AX473" s="195" t="str">
        <f aca="false">IF($A474="","",AM473*$E473)</f>
        <v/>
      </c>
      <c r="AY473" s="195" t="str">
        <f aca="false">IF($A474="","",AN473*$E473)</f>
        <v/>
      </c>
      <c r="BA473" s="195" t="str">
        <f aca="false">IF($A474="","",F473*Summary!$Q$7)</f>
        <v/>
      </c>
    </row>
    <row r="474" customFormat="false" ht="12.75" hidden="false" customHeight="false" outlineLevel="0" collapsed="false">
      <c r="A474" s="196" t="str">
        <f aca="false">IF(A473&lt;mthend,EDATE(A473,1),"")</f>
        <v/>
      </c>
      <c r="B474" s="197" t="str">
        <f aca="false">IF(A474&lt;mthend,B473,"")</f>
        <v/>
      </c>
      <c r="D474" s="197" t="str">
        <f aca="false">IF(A475&lt;&gt;"",B474+C474,"")</f>
        <v/>
      </c>
      <c r="E474" s="199" t="str">
        <f aca="false">IF(A475="","",IF(AND(AT474=1,$H$3=1),D474*AO474,IF($H$3=2,D474,"N/A")))</f>
        <v/>
      </c>
      <c r="F474" s="199" t="str">
        <f aca="false">IF(A475="","",E474*AS474)</f>
        <v/>
      </c>
      <c r="G474" s="200" t="str">
        <f aca="false">IF($A475="","",VLOOKUP($A474,Table,MATCH(G$4,Curves,0)))</f>
        <v/>
      </c>
      <c r="H474" s="201" t="str">
        <f aca="false">IF(A475="","",G474)</f>
        <v/>
      </c>
      <c r="J474" s="200" t="str">
        <f aca="false">IF($A475="","",VLOOKUP($A474,Table,MATCH(J$4,Curves,0)))</f>
        <v/>
      </c>
      <c r="K474" s="201" t="str">
        <f aca="false">IF(A475="","",J474)</f>
        <v/>
      </c>
      <c r="L474" s="200" t="str">
        <f aca="false">IF($A475="","",VLOOKUP($A474,Table,MATCH(L$4,Curves,0)))</f>
        <v/>
      </c>
      <c r="M474" s="201" t="str">
        <f aca="false">IF(A475="","",L474)</f>
        <v/>
      </c>
      <c r="O474" s="200" t="str">
        <f aca="false">IF(A475="","",L474+J474+G474)</f>
        <v/>
      </c>
      <c r="P474" s="200" t="str">
        <f aca="false">IF(A475="","",M474+K474+H474)</f>
        <v/>
      </c>
      <c r="R474" s="200" t="str">
        <f aca="false">IF($A475="","",VLOOKUP($A474,Table,MATCH(R$4,Curves,0)))</f>
        <v/>
      </c>
      <c r="S474" s="201" t="str">
        <f aca="false">IF(A475="","",R474)</f>
        <v/>
      </c>
      <c r="T474" s="200" t="str">
        <f aca="false">IF($A475="","",VLOOKUP($A474,Table,MATCH(T$4,Curves,0)))</f>
        <v/>
      </c>
      <c r="U474" s="201" t="str">
        <f aca="false">IF(A475="","",T474)</f>
        <v/>
      </c>
      <c r="V474" s="183" t="str">
        <f aca="false">IF($A475="","",IF(AND(MONTH(A474)&gt;3,MONTH(A474)&lt;11),(T474+R474+G474)*Summary!$T$7/(1-Summary!$T$7),(T474+R474+G474)*Summary!$U$7/(1-Summary!$U$7)))</f>
        <v/>
      </c>
      <c r="W474" s="200" t="str">
        <f aca="false">IF($A475="","",(T474+R474+G474+V474))</f>
        <v/>
      </c>
      <c r="X474" s="200" t="str">
        <f aca="false">IF($A475="","",(U474+S474+H474+V474))</f>
        <v/>
      </c>
      <c r="Y474" s="202"/>
      <c r="AJ474" s="77"/>
      <c r="AK474" s="77"/>
      <c r="AL474" s="77"/>
      <c r="AM474" s="77"/>
      <c r="AN474" s="77"/>
      <c r="AO474" s="137" t="str">
        <f aca="false">IF(A475="","",A475-A474)</f>
        <v/>
      </c>
      <c r="AP474" s="212" t="str">
        <f aca="false">IF(A475="","",CHOOSE(F$3,A475+24,A474))</f>
        <v/>
      </c>
      <c r="AQ474" s="209" t="str">
        <f aca="false">IF(A475="","",AP474-$E$1)</f>
        <v/>
      </c>
      <c r="AR474" s="185" t="n">
        <f aca="false">IF(Summary!$H$2=1,VLOOKUP('ANR OK vs ML7'!A474,Curves!$C$17:$AR$273,MATCH('ANR OK vs ML7'!$AR$4,Curves!$C$8:$AQ$8,0)),0.1)</f>
        <v>0.1</v>
      </c>
      <c r="AS474" s="213" t="str">
        <f aca="false">IF(A475="","",1/(1+CHOOSE(F$3,(AR475+($I$3/10000))/2,(AR474+($I$3/10000))/2))^(2*AQ474/365.25))</f>
        <v/>
      </c>
      <c r="AT474" s="137" t="str">
        <f aca="false">IF(A475="","",IF(AND(mthbeg&lt;=A474,mthend&gt;=A474),1,0))</f>
        <v/>
      </c>
      <c r="AU474" s="137" t="str">
        <f aca="false">IF(A475="","",AO474*AT474)</f>
        <v/>
      </c>
      <c r="AW474" s="195" t="str">
        <f aca="false">IF($A475="","",AL474*$E474)</f>
        <v/>
      </c>
      <c r="AX474" s="195" t="str">
        <f aca="false">IF($A475="","",AM474*$E474)</f>
        <v/>
      </c>
      <c r="AY474" s="195" t="str">
        <f aca="false">IF($A475="","",AN474*$E474)</f>
        <v/>
      </c>
      <c r="BA474" s="195" t="str">
        <f aca="false">IF($A475="","",F474*Summary!$Q$7)</f>
        <v/>
      </c>
    </row>
    <row r="475" customFormat="false" ht="12.75" hidden="false" customHeight="false" outlineLevel="0" collapsed="false">
      <c r="A475" s="196" t="str">
        <f aca="false">IF(A474&lt;mthend,EDATE(A474,1),"")</f>
        <v/>
      </c>
      <c r="B475" s="197" t="str">
        <f aca="false">IF(A475&lt;mthend,B474,"")</f>
        <v/>
      </c>
      <c r="D475" s="197" t="str">
        <f aca="false">IF(A476&lt;&gt;"",B475+C475,"")</f>
        <v/>
      </c>
      <c r="E475" s="199" t="str">
        <f aca="false">IF(A476="","",IF(AND(AT475=1,$H$3=1),D475*AO475,IF($H$3=2,D475,"N/A")))</f>
        <v/>
      </c>
      <c r="F475" s="199" t="str">
        <f aca="false">IF(A476="","",E475*AS475)</f>
        <v/>
      </c>
      <c r="G475" s="200" t="str">
        <f aca="false">IF($A476="","",VLOOKUP($A475,Table,MATCH(G$4,Curves,0)))</f>
        <v/>
      </c>
      <c r="H475" s="201" t="str">
        <f aca="false">IF(A476="","",G475)</f>
        <v/>
      </c>
      <c r="J475" s="200" t="str">
        <f aca="false">IF($A476="","",VLOOKUP($A475,Table,MATCH(J$4,Curves,0)))</f>
        <v/>
      </c>
      <c r="K475" s="201" t="str">
        <f aca="false">IF(A476="","",J475)</f>
        <v/>
      </c>
      <c r="L475" s="200" t="str">
        <f aca="false">IF($A476="","",VLOOKUP($A475,Table,MATCH(L$4,Curves,0)))</f>
        <v/>
      </c>
      <c r="M475" s="201" t="str">
        <f aca="false">IF(A476="","",L475)</f>
        <v/>
      </c>
      <c r="O475" s="200" t="str">
        <f aca="false">IF(A476="","",L475+J475+G475)</f>
        <v/>
      </c>
      <c r="P475" s="200" t="str">
        <f aca="false">IF(A476="","",M475+K475+H475)</f>
        <v/>
      </c>
      <c r="R475" s="200" t="str">
        <f aca="false">IF($A476="","",VLOOKUP($A475,Table,MATCH(R$4,Curves,0)))</f>
        <v/>
      </c>
      <c r="S475" s="201" t="str">
        <f aca="false">IF(A476="","",R475)</f>
        <v/>
      </c>
      <c r="T475" s="200" t="str">
        <f aca="false">IF($A476="","",VLOOKUP($A475,Table,MATCH(T$4,Curves,0)))</f>
        <v/>
      </c>
      <c r="U475" s="201" t="str">
        <f aca="false">IF(A476="","",T475)</f>
        <v/>
      </c>
      <c r="V475" s="183" t="str">
        <f aca="false">IF($A476="","",IF(AND(MONTH(A475)&gt;3,MONTH(A475)&lt;11),(T475+R475+G475)*Summary!$T$7/(1-Summary!$T$7),(T475+R475+G475)*Summary!$U$7/(1-Summary!$U$7)))</f>
        <v/>
      </c>
      <c r="W475" s="200" t="str">
        <f aca="false">IF($A476="","",(T475+R475+G475+V475))</f>
        <v/>
      </c>
      <c r="X475" s="200" t="str">
        <f aca="false">IF($A476="","",(U475+S475+H475+V475))</f>
        <v/>
      </c>
      <c r="Y475" s="202"/>
      <c r="AJ475" s="77"/>
      <c r="AK475" s="77"/>
      <c r="AL475" s="77"/>
      <c r="AM475" s="77"/>
      <c r="AN475" s="77"/>
      <c r="AO475" s="137" t="str">
        <f aca="false">IF(A476="","",A476-A475)</f>
        <v/>
      </c>
      <c r="AP475" s="212" t="str">
        <f aca="false">IF(A476="","",CHOOSE(F$3,A476+24,A475))</f>
        <v/>
      </c>
      <c r="AQ475" s="209" t="str">
        <f aca="false">IF(A476="","",AP475-$E$1)</f>
        <v/>
      </c>
      <c r="AR475" s="185" t="n">
        <f aca="false">IF(Summary!$H$2=1,VLOOKUP('ANR OK vs ML7'!A475,Curves!$C$17:$AR$273,MATCH('ANR OK vs ML7'!$AR$4,Curves!$C$8:$AQ$8,0)),0.1)</f>
        <v>0.1</v>
      </c>
      <c r="AS475" s="213" t="str">
        <f aca="false">IF(A476="","",1/(1+CHOOSE(F$3,(AR476+($I$3/10000))/2,(AR475+($I$3/10000))/2))^(2*AQ475/365.25))</f>
        <v/>
      </c>
      <c r="AT475" s="137" t="str">
        <f aca="false">IF(A476="","",IF(AND(mthbeg&lt;=A475,mthend&gt;=A475),1,0))</f>
        <v/>
      </c>
      <c r="AU475" s="137" t="str">
        <f aca="false">IF(A476="","",AO475*AT475)</f>
        <v/>
      </c>
      <c r="AW475" s="195" t="str">
        <f aca="false">IF($A476="","",AL475*$E475)</f>
        <v/>
      </c>
      <c r="AX475" s="195" t="str">
        <f aca="false">IF($A476="","",AM475*$E475)</f>
        <v/>
      </c>
      <c r="AY475" s="195" t="str">
        <f aca="false">IF($A476="","",AN475*$E475)</f>
        <v/>
      </c>
      <c r="BA475" s="195" t="str">
        <f aca="false">IF($A476="","",F475*Summary!$Q$7)</f>
        <v/>
      </c>
    </row>
    <row r="476" customFormat="false" ht="12.75" hidden="false" customHeight="false" outlineLevel="0" collapsed="false">
      <c r="A476" s="196" t="str">
        <f aca="false">IF(A475&lt;mthend,EDATE(A475,1),"")</f>
        <v/>
      </c>
      <c r="B476" s="197" t="str">
        <f aca="false">IF(A476&lt;mthend,B475,"")</f>
        <v/>
      </c>
      <c r="D476" s="197" t="str">
        <f aca="false">IF(A477&lt;&gt;"",B476+C476,"")</f>
        <v/>
      </c>
      <c r="E476" s="199" t="str">
        <f aca="false">IF(A477="","",IF(AND(AT476=1,$H$3=1),D476*AO476,IF($H$3=2,D476,"N/A")))</f>
        <v/>
      </c>
      <c r="F476" s="199" t="str">
        <f aca="false">IF(A477="","",E476*AS476)</f>
        <v/>
      </c>
      <c r="G476" s="200" t="str">
        <f aca="false">IF($A477="","",VLOOKUP($A476,Table,MATCH(G$4,Curves,0)))</f>
        <v/>
      </c>
      <c r="H476" s="201" t="str">
        <f aca="false">IF(A477="","",G476)</f>
        <v/>
      </c>
      <c r="J476" s="200" t="str">
        <f aca="false">IF($A477="","",VLOOKUP($A476,Table,MATCH(J$4,Curves,0)))</f>
        <v/>
      </c>
      <c r="K476" s="201" t="str">
        <f aca="false">IF(A477="","",J476)</f>
        <v/>
      </c>
      <c r="L476" s="200" t="str">
        <f aca="false">IF($A477="","",VLOOKUP($A476,Table,MATCH(L$4,Curves,0)))</f>
        <v/>
      </c>
      <c r="M476" s="201" t="str">
        <f aca="false">IF(A477="","",L476)</f>
        <v/>
      </c>
      <c r="O476" s="200" t="str">
        <f aca="false">IF(A477="","",L476+J476+G476)</f>
        <v/>
      </c>
      <c r="P476" s="200" t="str">
        <f aca="false">IF(A477="","",M476+K476+H476)</f>
        <v/>
      </c>
      <c r="R476" s="200" t="str">
        <f aca="false">IF($A477="","",VLOOKUP($A476,Table,MATCH(R$4,Curves,0)))</f>
        <v/>
      </c>
      <c r="S476" s="201" t="str">
        <f aca="false">IF(A477="","",R476)</f>
        <v/>
      </c>
      <c r="T476" s="200" t="str">
        <f aca="false">IF($A477="","",VLOOKUP($A476,Table,MATCH(T$4,Curves,0)))</f>
        <v/>
      </c>
      <c r="U476" s="201" t="str">
        <f aca="false">IF(A477="","",T476)</f>
        <v/>
      </c>
      <c r="V476" s="183" t="str">
        <f aca="false">IF($A477="","",IF(AND(MONTH(A476)&gt;3,MONTH(A476)&lt;11),(T476+R476+G476)*Summary!$T$7/(1-Summary!$T$7),(T476+R476+G476)*Summary!$U$7/(1-Summary!$U$7)))</f>
        <v/>
      </c>
      <c r="W476" s="200" t="str">
        <f aca="false">IF($A477="","",(T476+R476+G476+V476))</f>
        <v/>
      </c>
      <c r="X476" s="200" t="str">
        <f aca="false">IF($A477="","",(U476+S476+H476+V476))</f>
        <v/>
      </c>
      <c r="Y476" s="202"/>
      <c r="AJ476" s="77"/>
      <c r="AK476" s="77"/>
      <c r="AL476" s="77"/>
      <c r="AM476" s="77"/>
      <c r="AN476" s="77"/>
      <c r="AO476" s="137" t="str">
        <f aca="false">IF(A477="","",A477-A476)</f>
        <v/>
      </c>
      <c r="AP476" s="212" t="str">
        <f aca="false">IF(A477="","",CHOOSE(F$3,A477+24,A476))</f>
        <v/>
      </c>
      <c r="AQ476" s="209" t="str">
        <f aca="false">IF(A477="","",AP476-$E$1)</f>
        <v/>
      </c>
      <c r="AR476" s="185" t="n">
        <f aca="false">IF(Summary!$H$2=1,VLOOKUP('ANR OK vs ML7'!A476,Curves!$C$17:$AR$273,MATCH('ANR OK vs ML7'!$AR$4,Curves!$C$8:$AQ$8,0)),0.1)</f>
        <v>0.1</v>
      </c>
      <c r="AS476" s="213" t="str">
        <f aca="false">IF(A477="","",1/(1+CHOOSE(F$3,(AR477+($I$3/10000))/2,(AR476+($I$3/10000))/2))^(2*AQ476/365.25))</f>
        <v/>
      </c>
      <c r="AT476" s="137" t="str">
        <f aca="false">IF(A477="","",IF(AND(mthbeg&lt;=A476,mthend&gt;=A476),1,0))</f>
        <v/>
      </c>
      <c r="AU476" s="137" t="str">
        <f aca="false">IF(A477="","",AO476*AT476)</f>
        <v/>
      </c>
      <c r="AW476" s="195" t="str">
        <f aca="false">IF($A477="","",AL476*$E476)</f>
        <v/>
      </c>
      <c r="AX476" s="195" t="str">
        <f aca="false">IF($A477="","",AM476*$E476)</f>
        <v/>
      </c>
      <c r="AY476" s="195" t="str">
        <f aca="false">IF($A477="","",AN476*$E476)</f>
        <v/>
      </c>
      <c r="BA476" s="195" t="str">
        <f aca="false">IF($A477="","",F476*Summary!$Q$7)</f>
        <v/>
      </c>
    </row>
    <row r="477" customFormat="false" ht="12.75" hidden="false" customHeight="false" outlineLevel="0" collapsed="false">
      <c r="A477" s="196" t="str">
        <f aca="false">IF(A476&lt;mthend,EDATE(A476,1),"")</f>
        <v/>
      </c>
      <c r="B477" s="197" t="str">
        <f aca="false">IF(A477&lt;mthend,B476,"")</f>
        <v/>
      </c>
      <c r="D477" s="197" t="str">
        <f aca="false">IF(A478&lt;&gt;"",B477+C477,"")</f>
        <v/>
      </c>
      <c r="E477" s="199" t="str">
        <f aca="false">IF(A478="","",IF(AND(AT477=1,$H$3=1),D477*AO477,IF($H$3=2,D477,"N/A")))</f>
        <v/>
      </c>
      <c r="F477" s="199" t="str">
        <f aca="false">IF(A478="","",E477*AS477)</f>
        <v/>
      </c>
      <c r="G477" s="200" t="str">
        <f aca="false">IF($A478="","",VLOOKUP($A477,Table,MATCH(G$4,Curves,0)))</f>
        <v/>
      </c>
      <c r="H477" s="201" t="str">
        <f aca="false">IF(A478="","",G477)</f>
        <v/>
      </c>
      <c r="J477" s="200" t="str">
        <f aca="false">IF($A478="","",VLOOKUP($A477,Table,MATCH(J$4,Curves,0)))</f>
        <v/>
      </c>
      <c r="K477" s="201" t="str">
        <f aca="false">IF(A478="","",J477)</f>
        <v/>
      </c>
      <c r="L477" s="200" t="str">
        <f aca="false">IF($A478="","",VLOOKUP($A477,Table,MATCH(L$4,Curves,0)))</f>
        <v/>
      </c>
      <c r="M477" s="201" t="str">
        <f aca="false">IF(A478="","",L477)</f>
        <v/>
      </c>
      <c r="O477" s="200" t="str">
        <f aca="false">IF(A478="","",L477+J477+G477)</f>
        <v/>
      </c>
      <c r="P477" s="200" t="str">
        <f aca="false">IF(A478="","",M477+K477+H477)</f>
        <v/>
      </c>
      <c r="R477" s="200" t="str">
        <f aca="false">IF($A478="","",VLOOKUP($A477,Table,MATCH(R$4,Curves,0)))</f>
        <v/>
      </c>
      <c r="S477" s="201" t="str">
        <f aca="false">IF(A478="","",R477)</f>
        <v/>
      </c>
      <c r="T477" s="200" t="str">
        <f aca="false">IF($A478="","",VLOOKUP($A477,Table,MATCH(T$4,Curves,0)))</f>
        <v/>
      </c>
      <c r="U477" s="201" t="str">
        <f aca="false">IF(A478="","",T477)</f>
        <v/>
      </c>
      <c r="V477" s="183" t="str">
        <f aca="false">IF($A478="","",IF(AND(MONTH(A477)&gt;3,MONTH(A477)&lt;11),(T477+R477+G477)*Summary!$T$7/(1-Summary!$T$7),(T477+R477+G477)*Summary!$U$7/(1-Summary!$U$7)))</f>
        <v/>
      </c>
      <c r="W477" s="200" t="str">
        <f aca="false">IF($A478="","",(T477+R477+G477+V477))</f>
        <v/>
      </c>
      <c r="X477" s="200" t="str">
        <f aca="false">IF($A478="","",(U477+S477+H477+V477))</f>
        <v/>
      </c>
      <c r="Y477" s="202"/>
      <c r="AJ477" s="77"/>
      <c r="AK477" s="77"/>
      <c r="AL477" s="77"/>
      <c r="AM477" s="77"/>
      <c r="AN477" s="77"/>
      <c r="AO477" s="137" t="str">
        <f aca="false">IF(A478="","",A478-A477)</f>
        <v/>
      </c>
      <c r="AP477" s="212" t="str">
        <f aca="false">IF(A478="","",CHOOSE(F$3,A478+24,A477))</f>
        <v/>
      </c>
      <c r="AQ477" s="209" t="str">
        <f aca="false">IF(A478="","",AP477-$E$1)</f>
        <v/>
      </c>
      <c r="AR477" s="185" t="n">
        <f aca="false">IF(Summary!$H$2=1,VLOOKUP('ANR OK vs ML7'!A477,Curves!$C$17:$AR$273,MATCH('ANR OK vs ML7'!$AR$4,Curves!$C$8:$AQ$8,0)),0.1)</f>
        <v>0.1</v>
      </c>
      <c r="AS477" s="213" t="str">
        <f aca="false">IF(A478="","",1/(1+CHOOSE(F$3,(AR478+($I$3/10000))/2,(AR477+($I$3/10000))/2))^(2*AQ477/365.25))</f>
        <v/>
      </c>
      <c r="AT477" s="137" t="str">
        <f aca="false">IF(A478="","",IF(AND(mthbeg&lt;=A477,mthend&gt;=A477),1,0))</f>
        <v/>
      </c>
      <c r="AU477" s="137" t="str">
        <f aca="false">IF(A478="","",AO477*AT477)</f>
        <v/>
      </c>
      <c r="AW477" s="195" t="str">
        <f aca="false">IF($A478="","",AL477*$E477)</f>
        <v/>
      </c>
      <c r="AX477" s="195" t="str">
        <f aca="false">IF($A478="","",AM477*$E477)</f>
        <v/>
      </c>
      <c r="AY477" s="195" t="str">
        <f aca="false">IF($A478="","",AN477*$E477)</f>
        <v/>
      </c>
      <c r="BA477" s="195" t="str">
        <f aca="false">IF($A478="","",F477*Summary!$Q$7)</f>
        <v/>
      </c>
    </row>
    <row r="478" customFormat="false" ht="12.75" hidden="false" customHeight="false" outlineLevel="0" collapsed="false">
      <c r="A478" s="196" t="str">
        <f aca="false">IF(A477&lt;mthend,EDATE(A477,1),"")</f>
        <v/>
      </c>
      <c r="B478" s="197" t="str">
        <f aca="false">IF(A478&lt;mthend,B477,"")</f>
        <v/>
      </c>
      <c r="D478" s="197" t="str">
        <f aca="false">IF(A479&lt;&gt;"",B478+C478,"")</f>
        <v/>
      </c>
      <c r="E478" s="199" t="str">
        <f aca="false">IF(A479="","",IF(AND(AT478=1,$H$3=1),D478*AO478,IF($H$3=2,D478,"N/A")))</f>
        <v/>
      </c>
      <c r="F478" s="199" t="str">
        <f aca="false">IF(A479="","",E478*AS478)</f>
        <v/>
      </c>
      <c r="G478" s="200" t="str">
        <f aca="false">IF($A479="","",VLOOKUP($A478,Table,MATCH(G$4,Curves,0)))</f>
        <v/>
      </c>
      <c r="H478" s="201" t="str">
        <f aca="false">IF(A479="","",G478)</f>
        <v/>
      </c>
      <c r="J478" s="200" t="str">
        <f aca="false">IF($A479="","",VLOOKUP($A478,Table,MATCH(J$4,Curves,0)))</f>
        <v/>
      </c>
      <c r="K478" s="201" t="str">
        <f aca="false">IF(A479="","",J478)</f>
        <v/>
      </c>
      <c r="L478" s="200" t="str">
        <f aca="false">IF($A479="","",VLOOKUP($A478,Table,MATCH(L$4,Curves,0)))</f>
        <v/>
      </c>
      <c r="M478" s="201" t="str">
        <f aca="false">IF(A479="","",L478)</f>
        <v/>
      </c>
      <c r="O478" s="200" t="str">
        <f aca="false">IF(A479="","",L478+J478+G478)</f>
        <v/>
      </c>
      <c r="P478" s="200" t="str">
        <f aca="false">IF(A479="","",M478+K478+H478)</f>
        <v/>
      </c>
      <c r="R478" s="200" t="str">
        <f aca="false">IF($A479="","",VLOOKUP($A478,Table,MATCH(R$4,Curves,0)))</f>
        <v/>
      </c>
      <c r="S478" s="201" t="str">
        <f aca="false">IF(A479="","",R478)</f>
        <v/>
      </c>
      <c r="T478" s="200" t="str">
        <f aca="false">IF($A479="","",VLOOKUP($A478,Table,MATCH(T$4,Curves,0)))</f>
        <v/>
      </c>
      <c r="U478" s="201" t="str">
        <f aca="false">IF(A479="","",T478)</f>
        <v/>
      </c>
      <c r="V478" s="183" t="str">
        <f aca="false">IF($A479="","",IF(AND(MONTH(A478)&gt;3,MONTH(A478)&lt;11),(T478+R478+G478)*Summary!$T$7/(1-Summary!$T$7),(T478+R478+G478)*Summary!$U$7/(1-Summary!$U$7)))</f>
        <v/>
      </c>
      <c r="W478" s="200" t="str">
        <f aca="false">IF($A479="","",(T478+R478+G478+V478))</f>
        <v/>
      </c>
      <c r="X478" s="200" t="str">
        <f aca="false">IF($A479="","",(U478+S478+H478+V478))</f>
        <v/>
      </c>
      <c r="Y478" s="202"/>
      <c r="AJ478" s="77"/>
      <c r="AK478" s="77"/>
      <c r="AL478" s="77"/>
      <c r="AM478" s="77"/>
      <c r="AN478" s="77"/>
      <c r="AO478" s="137" t="str">
        <f aca="false">IF(A479="","",A479-A478)</f>
        <v/>
      </c>
      <c r="AP478" s="212" t="str">
        <f aca="false">IF(A479="","",CHOOSE(F$3,A479+24,A478))</f>
        <v/>
      </c>
      <c r="AQ478" s="209" t="str">
        <f aca="false">IF(A479="","",AP478-$E$1)</f>
        <v/>
      </c>
      <c r="AR478" s="185" t="n">
        <f aca="false">IF(Summary!$H$2=1,VLOOKUP('ANR OK vs ML7'!A478,Curves!$C$17:$AR$273,MATCH('ANR OK vs ML7'!$AR$4,Curves!$C$8:$AQ$8,0)),0.1)</f>
        <v>0.1</v>
      </c>
      <c r="AS478" s="213" t="str">
        <f aca="false">IF(A479="","",1/(1+CHOOSE(F$3,(AR479+($I$3/10000))/2,(AR478+($I$3/10000))/2))^(2*AQ478/365.25))</f>
        <v/>
      </c>
      <c r="AT478" s="137" t="str">
        <f aca="false">IF(A479="","",IF(AND(mthbeg&lt;=A478,mthend&gt;=A478),1,0))</f>
        <v/>
      </c>
      <c r="AU478" s="137" t="str">
        <f aca="false">IF(A479="","",AO478*AT478)</f>
        <v/>
      </c>
      <c r="AW478" s="195" t="str">
        <f aca="false">IF($A479="","",AL478*$E478)</f>
        <v/>
      </c>
      <c r="AX478" s="195" t="str">
        <f aca="false">IF($A479="","",AM478*$E478)</f>
        <v/>
      </c>
      <c r="AY478" s="195" t="str">
        <f aca="false">IF($A479="","",AN478*$E478)</f>
        <v/>
      </c>
      <c r="BA478" s="195" t="str">
        <f aca="false">IF($A479="","",F478*Summary!$Q$7)</f>
        <v/>
      </c>
    </row>
    <row r="479" customFormat="false" ht="12.75" hidden="false" customHeight="false" outlineLevel="0" collapsed="false">
      <c r="A479" s="196" t="str">
        <f aca="false">IF(A478&lt;mthend,EDATE(A478,1),"")</f>
        <v/>
      </c>
      <c r="B479" s="197" t="str">
        <f aca="false">IF(A479&lt;mthend,B478,"")</f>
        <v/>
      </c>
      <c r="D479" s="197" t="str">
        <f aca="false">IF(A480&lt;&gt;"",B479+C479,"")</f>
        <v/>
      </c>
      <c r="E479" s="199" t="str">
        <f aca="false">IF(A480="","",IF(AND(AT479=1,$H$3=1),D479*AO479,IF($H$3=2,D479,"N/A")))</f>
        <v/>
      </c>
      <c r="F479" s="199" t="str">
        <f aca="false">IF(A480="","",E479*AS479)</f>
        <v/>
      </c>
      <c r="G479" s="200" t="str">
        <f aca="false">IF($A480="","",VLOOKUP($A479,Table,MATCH(G$4,Curves,0)))</f>
        <v/>
      </c>
      <c r="H479" s="201" t="str">
        <f aca="false">IF(A480="","",G479)</f>
        <v/>
      </c>
      <c r="J479" s="200" t="str">
        <f aca="false">IF($A480="","",VLOOKUP($A479,Table,MATCH(J$4,Curves,0)))</f>
        <v/>
      </c>
      <c r="K479" s="201" t="str">
        <f aca="false">IF(A480="","",J479)</f>
        <v/>
      </c>
      <c r="L479" s="200" t="str">
        <f aca="false">IF($A480="","",VLOOKUP($A479,Table,MATCH(L$4,Curves,0)))</f>
        <v/>
      </c>
      <c r="M479" s="201" t="str">
        <f aca="false">IF(A480="","",L479)</f>
        <v/>
      </c>
      <c r="O479" s="200" t="str">
        <f aca="false">IF(A480="","",L479+J479+G479)</f>
        <v/>
      </c>
      <c r="P479" s="200" t="str">
        <f aca="false">IF(A480="","",M479+K479+H479)</f>
        <v/>
      </c>
      <c r="R479" s="200" t="str">
        <f aca="false">IF($A480="","",VLOOKUP($A479,Table,MATCH(R$4,Curves,0)))</f>
        <v/>
      </c>
      <c r="S479" s="201" t="str">
        <f aca="false">IF(A480="","",R479)</f>
        <v/>
      </c>
      <c r="T479" s="200" t="str">
        <f aca="false">IF($A480="","",VLOOKUP($A479,Table,MATCH(T$4,Curves,0)))</f>
        <v/>
      </c>
      <c r="U479" s="201" t="str">
        <f aca="false">IF(A480="","",T479)</f>
        <v/>
      </c>
      <c r="V479" s="183" t="str">
        <f aca="false">IF($A480="","",IF(AND(MONTH(A479)&gt;3,MONTH(A479)&lt;11),(T479+R479+G479)*Summary!$T$7/(1-Summary!$T$7),(T479+R479+G479)*Summary!$U$7/(1-Summary!$U$7)))</f>
        <v/>
      </c>
      <c r="W479" s="200" t="str">
        <f aca="false">IF($A480="","",(T479+R479+G479+V479))</f>
        <v/>
      </c>
      <c r="X479" s="200" t="str">
        <f aca="false">IF($A480="","",(U479+S479+H479+V479))</f>
        <v/>
      </c>
      <c r="Y479" s="202"/>
      <c r="AJ479" s="77"/>
      <c r="AK479" s="77"/>
      <c r="AL479" s="77"/>
      <c r="AM479" s="77"/>
      <c r="AN479" s="77"/>
      <c r="AO479" s="137" t="str">
        <f aca="false">IF(A480="","",A480-A479)</f>
        <v/>
      </c>
      <c r="AP479" s="212" t="str">
        <f aca="false">IF(A480="","",CHOOSE(F$3,A480+24,A479))</f>
        <v/>
      </c>
      <c r="AQ479" s="209" t="str">
        <f aca="false">IF(A480="","",AP479-$E$1)</f>
        <v/>
      </c>
      <c r="AR479" s="185" t="n">
        <f aca="false">IF(Summary!$H$2=1,VLOOKUP('ANR OK vs ML7'!A479,Curves!$C$17:$AR$273,MATCH('ANR OK vs ML7'!$AR$4,Curves!$C$8:$AQ$8,0)),0.1)</f>
        <v>0.1</v>
      </c>
      <c r="AS479" s="213" t="str">
        <f aca="false">IF(A480="","",1/(1+CHOOSE(F$3,(AR480+($I$3/10000))/2,(AR479+($I$3/10000))/2))^(2*AQ479/365.25))</f>
        <v/>
      </c>
      <c r="AT479" s="137" t="str">
        <f aca="false">IF(A480="","",IF(AND(mthbeg&lt;=A479,mthend&gt;=A479),1,0))</f>
        <v/>
      </c>
      <c r="AU479" s="137" t="str">
        <f aca="false">IF(A480="","",AO479*AT479)</f>
        <v/>
      </c>
      <c r="AW479" s="195" t="str">
        <f aca="false">IF($A480="","",AL479*$E479)</f>
        <v/>
      </c>
      <c r="AX479" s="195" t="str">
        <f aca="false">IF($A480="","",AM479*$E479)</f>
        <v/>
      </c>
      <c r="AY479" s="195" t="str">
        <f aca="false">IF($A480="","",AN479*$E479)</f>
        <v/>
      </c>
      <c r="BA479" s="195" t="str">
        <f aca="false">IF($A480="","",F479*Summary!$Q$7)</f>
        <v/>
      </c>
    </row>
    <row r="480" customFormat="false" ht="12.75" hidden="false" customHeight="false" outlineLevel="0" collapsed="false">
      <c r="A480" s="196" t="str">
        <f aca="false">IF(A479&lt;mthend,EDATE(A479,1),"")</f>
        <v/>
      </c>
      <c r="B480" s="197" t="str">
        <f aca="false">IF(A480&lt;mthend,B479,"")</f>
        <v/>
      </c>
      <c r="D480" s="197" t="str">
        <f aca="false">IF(A481&lt;&gt;"",B480+C480,"")</f>
        <v/>
      </c>
      <c r="E480" s="199" t="str">
        <f aca="false">IF(A481="","",IF(AND(AT480=1,$H$3=1),D480*AO480,IF($H$3=2,D480,"N/A")))</f>
        <v/>
      </c>
      <c r="F480" s="199" t="str">
        <f aca="false">IF(A481="","",E480*AS480)</f>
        <v/>
      </c>
      <c r="G480" s="200" t="str">
        <f aca="false">IF($A481="","",VLOOKUP($A480,Table,MATCH(G$4,Curves,0)))</f>
        <v/>
      </c>
      <c r="H480" s="201" t="str">
        <f aca="false">IF(A481="","",G480)</f>
        <v/>
      </c>
      <c r="J480" s="200" t="str">
        <f aca="false">IF($A481="","",VLOOKUP($A480,Table,MATCH(J$4,Curves,0)))</f>
        <v/>
      </c>
      <c r="K480" s="201" t="str">
        <f aca="false">IF(A481="","",J480)</f>
        <v/>
      </c>
      <c r="L480" s="200" t="str">
        <f aca="false">IF($A481="","",VLOOKUP($A480,Table,MATCH(L$4,Curves,0)))</f>
        <v/>
      </c>
      <c r="M480" s="201" t="str">
        <f aca="false">IF(A481="","",L480)</f>
        <v/>
      </c>
      <c r="O480" s="200" t="str">
        <f aca="false">IF(A481="","",L480+J480+G480)</f>
        <v/>
      </c>
      <c r="P480" s="200" t="str">
        <f aca="false">IF(A481="","",M480+K480+H480)</f>
        <v/>
      </c>
      <c r="R480" s="200" t="str">
        <f aca="false">IF($A481="","",VLOOKUP($A480,Table,MATCH(R$4,Curves,0)))</f>
        <v/>
      </c>
      <c r="S480" s="201" t="str">
        <f aca="false">IF(A481="","",R480)</f>
        <v/>
      </c>
      <c r="T480" s="200" t="str">
        <f aca="false">IF($A481="","",VLOOKUP($A480,Table,MATCH(T$4,Curves,0)))</f>
        <v/>
      </c>
      <c r="U480" s="201" t="str">
        <f aca="false">IF(A481="","",T480)</f>
        <v/>
      </c>
      <c r="V480" s="183" t="str">
        <f aca="false">IF($A481="","",IF(AND(MONTH(A480)&gt;3,MONTH(A480)&lt;11),(T480+R480+G480)*Summary!$T$7/(1-Summary!$T$7),(T480+R480+G480)*Summary!$U$7/(1-Summary!$U$7)))</f>
        <v/>
      </c>
      <c r="W480" s="200" t="str">
        <f aca="false">IF($A481="","",(T480+R480+G480+V480))</f>
        <v/>
      </c>
      <c r="X480" s="200" t="str">
        <f aca="false">IF($A481="","",(U480+S480+H480+V480))</f>
        <v/>
      </c>
      <c r="Y480" s="202"/>
      <c r="AJ480" s="77"/>
      <c r="AK480" s="77"/>
      <c r="AL480" s="77"/>
      <c r="AM480" s="77"/>
      <c r="AN480" s="77"/>
      <c r="AO480" s="137" t="str">
        <f aca="false">IF(A481="","",A481-A480)</f>
        <v/>
      </c>
      <c r="AP480" s="212" t="str">
        <f aca="false">IF(A481="","",CHOOSE(F$3,A481+24,A480))</f>
        <v/>
      </c>
      <c r="AQ480" s="209" t="str">
        <f aca="false">IF(A481="","",AP480-$E$1)</f>
        <v/>
      </c>
      <c r="AR480" s="185" t="n">
        <f aca="false">IF(Summary!$H$2=1,VLOOKUP('ANR OK vs ML7'!A480,Curves!$C$17:$AR$273,MATCH('ANR OK vs ML7'!$AR$4,Curves!$C$8:$AQ$8,0)),0.1)</f>
        <v>0.1</v>
      </c>
      <c r="AS480" s="213" t="str">
        <f aca="false">IF(A481="","",1/(1+CHOOSE(F$3,(AR481+($I$3/10000))/2,(AR480+($I$3/10000))/2))^(2*AQ480/365.25))</f>
        <v/>
      </c>
      <c r="AT480" s="137" t="str">
        <f aca="false">IF(A481="","",IF(AND(mthbeg&lt;=A480,mthend&gt;=A480),1,0))</f>
        <v/>
      </c>
      <c r="AU480" s="137" t="str">
        <f aca="false">IF(A481="","",AO480*AT480)</f>
        <v/>
      </c>
      <c r="AW480" s="195" t="str">
        <f aca="false">IF($A481="","",AL480*$E480)</f>
        <v/>
      </c>
      <c r="AX480" s="195" t="str">
        <f aca="false">IF($A481="","",AM480*$E480)</f>
        <v/>
      </c>
      <c r="AY480" s="195" t="str">
        <f aca="false">IF($A481="","",AN480*$E480)</f>
        <v/>
      </c>
      <c r="BA480" s="195" t="str">
        <f aca="false">IF($A481="","",F480*Summary!$Q$7)</f>
        <v/>
      </c>
    </row>
    <row r="481" customFormat="false" ht="12.75" hidden="false" customHeight="false" outlineLevel="0" collapsed="false">
      <c r="A481" s="196" t="str">
        <f aca="false">IF(A480&lt;mthend,EDATE(A480,1),"")</f>
        <v/>
      </c>
      <c r="B481" s="197" t="str">
        <f aca="false">IF(A481&lt;mthend,B480,"")</f>
        <v/>
      </c>
      <c r="D481" s="197" t="str">
        <f aca="false">IF(A482&lt;&gt;"",B481+C481,"")</f>
        <v/>
      </c>
      <c r="E481" s="199" t="str">
        <f aca="false">IF(A482="","",IF(AND(AT481=1,$H$3=1),D481*AO481,IF($H$3=2,D481,"N/A")))</f>
        <v/>
      </c>
      <c r="F481" s="199" t="str">
        <f aca="false">IF(A482="","",E481*AS481)</f>
        <v/>
      </c>
      <c r="G481" s="200" t="str">
        <f aca="false">IF($A482="","",VLOOKUP($A481,Table,MATCH(G$4,Curves,0)))</f>
        <v/>
      </c>
      <c r="H481" s="201" t="str">
        <f aca="false">IF(A482="","",G481)</f>
        <v/>
      </c>
      <c r="J481" s="200" t="str">
        <f aca="false">IF($A482="","",VLOOKUP($A481,Table,MATCH(J$4,Curves,0)))</f>
        <v/>
      </c>
      <c r="K481" s="201" t="str">
        <f aca="false">IF(A482="","",J481)</f>
        <v/>
      </c>
      <c r="L481" s="200" t="str">
        <f aca="false">IF($A482="","",VLOOKUP($A481,Table,MATCH(L$4,Curves,0)))</f>
        <v/>
      </c>
      <c r="M481" s="201" t="str">
        <f aca="false">IF(A482="","",L481)</f>
        <v/>
      </c>
      <c r="O481" s="200" t="str">
        <f aca="false">IF(A482="","",L481+J481+G481)</f>
        <v/>
      </c>
      <c r="P481" s="200" t="str">
        <f aca="false">IF(A482="","",M481+K481+H481)</f>
        <v/>
      </c>
      <c r="R481" s="200" t="str">
        <f aca="false">IF($A482="","",VLOOKUP($A481,Table,MATCH(R$4,Curves,0)))</f>
        <v/>
      </c>
      <c r="S481" s="201" t="str">
        <f aca="false">IF(A482="","",R481)</f>
        <v/>
      </c>
      <c r="T481" s="200" t="str">
        <f aca="false">IF($A482="","",VLOOKUP($A481,Table,MATCH(T$4,Curves,0)))</f>
        <v/>
      </c>
      <c r="U481" s="201" t="str">
        <f aca="false">IF(A482="","",T481)</f>
        <v/>
      </c>
      <c r="V481" s="183" t="str">
        <f aca="false">IF($A482="","",IF(AND(MONTH(A481)&gt;3,MONTH(A481)&lt;11),(T481+R481+G481)*Summary!$T$7/(1-Summary!$T$7),(T481+R481+G481)*Summary!$U$7/(1-Summary!$U$7)))</f>
        <v/>
      </c>
      <c r="W481" s="200" t="str">
        <f aca="false">IF($A482="","",(T481+R481+G481+V481))</f>
        <v/>
      </c>
      <c r="X481" s="200" t="str">
        <f aca="false">IF($A482="","",(U481+S481+H481+V481))</f>
        <v/>
      </c>
      <c r="Y481" s="202"/>
      <c r="AJ481" s="77"/>
      <c r="AK481" s="77"/>
      <c r="AL481" s="77"/>
      <c r="AM481" s="77"/>
      <c r="AN481" s="77"/>
      <c r="AO481" s="137" t="str">
        <f aca="false">IF(A482="","",A482-A481)</f>
        <v/>
      </c>
      <c r="AP481" s="212" t="str">
        <f aca="false">IF(A482="","",CHOOSE(F$3,A482+24,A481))</f>
        <v/>
      </c>
      <c r="AQ481" s="209" t="str">
        <f aca="false">IF(A482="","",AP481-$E$1)</f>
        <v/>
      </c>
      <c r="AR481" s="185" t="n">
        <f aca="false">IF(Summary!$H$2=1,VLOOKUP('ANR OK vs ML7'!A481,Curves!$C$17:$AR$273,MATCH('ANR OK vs ML7'!$AR$4,Curves!$C$8:$AQ$8,0)),0.1)</f>
        <v>0.1</v>
      </c>
      <c r="AS481" s="213" t="str">
        <f aca="false">IF(A482="","",1/(1+CHOOSE(F$3,(AR482+($I$3/10000))/2,(AR481+($I$3/10000))/2))^(2*AQ481/365.25))</f>
        <v/>
      </c>
      <c r="AT481" s="137" t="str">
        <f aca="false">IF(A482="","",IF(AND(mthbeg&lt;=A481,mthend&gt;=A481),1,0))</f>
        <v/>
      </c>
      <c r="AU481" s="137" t="str">
        <f aca="false">IF(A482="","",AO481*AT481)</f>
        <v/>
      </c>
      <c r="AW481" s="195" t="str">
        <f aca="false">IF($A482="","",AL481*$E481)</f>
        <v/>
      </c>
      <c r="AX481" s="195" t="str">
        <f aca="false">IF($A482="","",AM481*$E481)</f>
        <v/>
      </c>
      <c r="AY481" s="195" t="str">
        <f aca="false">IF($A482="","",AN481*$E481)</f>
        <v/>
      </c>
      <c r="BA481" s="195" t="str">
        <f aca="false">IF($A482="","",F481*Summary!$Q$7)</f>
        <v/>
      </c>
    </row>
    <row r="482" customFormat="false" ht="12.75" hidden="false" customHeight="false" outlineLevel="0" collapsed="false">
      <c r="A482" s="196" t="str">
        <f aca="false">IF(A481&lt;mthend,EDATE(A481,1),"")</f>
        <v/>
      </c>
      <c r="B482" s="197" t="str">
        <f aca="false">IF(A482&lt;mthend,B481,"")</f>
        <v/>
      </c>
      <c r="D482" s="197" t="str">
        <f aca="false">IF(A483&lt;&gt;"",B482+C482,"")</f>
        <v/>
      </c>
      <c r="E482" s="199" t="str">
        <f aca="false">IF(A483="","",IF(AND(AT482=1,$H$3=1),D482*AO482,IF($H$3=2,D482,"N/A")))</f>
        <v/>
      </c>
      <c r="F482" s="199" t="str">
        <f aca="false">IF(A483="","",E482*AS482)</f>
        <v/>
      </c>
      <c r="G482" s="200" t="str">
        <f aca="false">IF($A483="","",VLOOKUP($A482,Table,MATCH(G$4,Curves,0)))</f>
        <v/>
      </c>
      <c r="H482" s="201" t="str">
        <f aca="false">IF(A483="","",G482)</f>
        <v/>
      </c>
      <c r="J482" s="200" t="str">
        <f aca="false">IF($A483="","",VLOOKUP($A482,Table,MATCH(J$4,Curves,0)))</f>
        <v/>
      </c>
      <c r="K482" s="201" t="str">
        <f aca="false">IF(A483="","",J482)</f>
        <v/>
      </c>
      <c r="L482" s="200" t="str">
        <f aca="false">IF($A483="","",VLOOKUP($A482,Table,MATCH(L$4,Curves,0)))</f>
        <v/>
      </c>
      <c r="M482" s="201" t="str">
        <f aca="false">IF(A483="","",L482)</f>
        <v/>
      </c>
      <c r="O482" s="200" t="str">
        <f aca="false">IF(A483="","",L482+J482+G482)</f>
        <v/>
      </c>
      <c r="P482" s="200" t="str">
        <f aca="false">IF(A483="","",M482+K482+H482)</f>
        <v/>
      </c>
      <c r="R482" s="200" t="str">
        <f aca="false">IF($A483="","",VLOOKUP($A482,Table,MATCH(R$4,Curves,0)))</f>
        <v/>
      </c>
      <c r="S482" s="201" t="str">
        <f aca="false">IF(A483="","",R482)</f>
        <v/>
      </c>
      <c r="T482" s="200" t="str">
        <f aca="false">IF($A483="","",VLOOKUP($A482,Table,MATCH(T$4,Curves,0)))</f>
        <v/>
      </c>
      <c r="U482" s="201" t="str">
        <f aca="false">IF(A483="","",T482)</f>
        <v/>
      </c>
      <c r="V482" s="183" t="str">
        <f aca="false">IF($A483="","",IF(AND(MONTH(A482)&gt;3,MONTH(A482)&lt;11),(T482+R482+G482)*Summary!$T$7/(1-Summary!$T$7),(T482+R482+G482)*Summary!$U$7/(1-Summary!$U$7)))</f>
        <v/>
      </c>
      <c r="W482" s="200" t="str">
        <f aca="false">IF($A483="","",(T482+R482+G482+V482))</f>
        <v/>
      </c>
      <c r="X482" s="200" t="str">
        <f aca="false">IF($A483="","",(U482+S482+H482+V482))</f>
        <v/>
      </c>
      <c r="Y482" s="202"/>
      <c r="AJ482" s="77"/>
      <c r="AK482" s="77"/>
      <c r="AL482" s="77"/>
      <c r="AM482" s="77"/>
      <c r="AN482" s="77"/>
      <c r="AO482" s="137" t="str">
        <f aca="false">IF(A483="","",A483-A482)</f>
        <v/>
      </c>
      <c r="AP482" s="212" t="str">
        <f aca="false">IF(A483="","",CHOOSE(F$3,A483+24,A482))</f>
        <v/>
      </c>
      <c r="AQ482" s="209" t="str">
        <f aca="false">IF(A483="","",AP482-$E$1)</f>
        <v/>
      </c>
      <c r="AR482" s="185" t="n">
        <f aca="false">IF(Summary!$H$2=1,VLOOKUP('ANR OK vs ML7'!A482,Curves!$C$17:$AR$273,MATCH('ANR OK vs ML7'!$AR$4,Curves!$C$8:$AQ$8,0)),0.1)</f>
        <v>0.1</v>
      </c>
      <c r="AS482" s="213" t="str">
        <f aca="false">IF(A483="","",1/(1+CHOOSE(F$3,(AR483+($I$3/10000))/2,(AR482+($I$3/10000))/2))^(2*AQ482/365.25))</f>
        <v/>
      </c>
      <c r="AT482" s="137" t="str">
        <f aca="false">IF(A483="","",IF(AND(mthbeg&lt;=A482,mthend&gt;=A482),1,0))</f>
        <v/>
      </c>
      <c r="AU482" s="137" t="str">
        <f aca="false">IF(A483="","",AO482*AT482)</f>
        <v/>
      </c>
      <c r="AW482" s="195" t="str">
        <f aca="false">IF($A483="","",AL482*$E482)</f>
        <v/>
      </c>
      <c r="AX482" s="195" t="str">
        <f aca="false">IF($A483="","",AM482*$E482)</f>
        <v/>
      </c>
      <c r="AY482" s="195" t="str">
        <f aca="false">IF($A483="","",AN482*$E482)</f>
        <v/>
      </c>
      <c r="BA482" s="195" t="str">
        <f aca="false">IF($A483="","",F482*Summary!$Q$7)</f>
        <v/>
      </c>
    </row>
    <row r="483" customFormat="false" ht="12.75" hidden="false" customHeight="false" outlineLevel="0" collapsed="false">
      <c r="A483" s="196" t="str">
        <f aca="false">IF(A482&lt;mthend,EDATE(A482,1),"")</f>
        <v/>
      </c>
      <c r="B483" s="197" t="str">
        <f aca="false">IF(A483&lt;mthend,B482,"")</f>
        <v/>
      </c>
      <c r="D483" s="197" t="str">
        <f aca="false">IF(A484&lt;&gt;"",B483+C483,"")</f>
        <v/>
      </c>
      <c r="E483" s="199" t="str">
        <f aca="false">IF(A484="","",IF(AND(AT483=1,$H$3=1),D483*AO483,IF($H$3=2,D483,"N/A")))</f>
        <v/>
      </c>
      <c r="F483" s="199" t="str">
        <f aca="false">IF(A484="","",E483*AS483)</f>
        <v/>
      </c>
      <c r="G483" s="200" t="str">
        <f aca="false">IF($A484="","",VLOOKUP($A483,Table,MATCH(G$4,Curves,0)))</f>
        <v/>
      </c>
      <c r="H483" s="201" t="str">
        <f aca="false">IF(A484="","",G483)</f>
        <v/>
      </c>
      <c r="J483" s="200" t="str">
        <f aca="false">IF($A484="","",VLOOKUP($A483,Table,MATCH(J$4,Curves,0)))</f>
        <v/>
      </c>
      <c r="K483" s="201" t="str">
        <f aca="false">IF(A484="","",J483)</f>
        <v/>
      </c>
      <c r="L483" s="200" t="str">
        <f aca="false">IF($A484="","",VLOOKUP($A483,Table,MATCH(L$4,Curves,0)))</f>
        <v/>
      </c>
      <c r="M483" s="201" t="str">
        <f aca="false">IF(A484="","",L483)</f>
        <v/>
      </c>
      <c r="O483" s="200" t="str">
        <f aca="false">IF(A484="","",L483+J483+G483)</f>
        <v/>
      </c>
      <c r="P483" s="200" t="str">
        <f aca="false">IF(A484="","",M483+K483+H483)</f>
        <v/>
      </c>
      <c r="R483" s="200" t="str">
        <f aca="false">IF($A484="","",VLOOKUP($A483,Table,MATCH(R$4,Curves,0)))</f>
        <v/>
      </c>
      <c r="S483" s="201" t="str">
        <f aca="false">IF(A484="","",R483)</f>
        <v/>
      </c>
      <c r="T483" s="200" t="str">
        <f aca="false">IF($A484="","",VLOOKUP($A483,Table,MATCH(T$4,Curves,0)))</f>
        <v/>
      </c>
      <c r="U483" s="201" t="str">
        <f aca="false">IF(A484="","",T483)</f>
        <v/>
      </c>
      <c r="V483" s="183" t="str">
        <f aca="false">IF($A484="","",IF(AND(MONTH(A483)&gt;3,MONTH(A483)&lt;11),(T483+R483+G483)*Summary!$T$7/(1-Summary!$T$7),(T483+R483+G483)*Summary!$U$7/(1-Summary!$U$7)))</f>
        <v/>
      </c>
      <c r="W483" s="200" t="str">
        <f aca="false">IF($A484="","",(T483+R483+G483+V483))</f>
        <v/>
      </c>
      <c r="X483" s="200" t="str">
        <f aca="false">IF($A484="","",(U483+S483+H483+V483))</f>
        <v/>
      </c>
      <c r="Y483" s="202"/>
      <c r="AJ483" s="77"/>
      <c r="AK483" s="77"/>
      <c r="AL483" s="77"/>
      <c r="AM483" s="77"/>
      <c r="AN483" s="77"/>
      <c r="AO483" s="137" t="str">
        <f aca="false">IF(A484="","",A484-A483)</f>
        <v/>
      </c>
      <c r="AP483" s="212" t="str">
        <f aca="false">IF(A484="","",CHOOSE(F$3,A484+24,A483))</f>
        <v/>
      </c>
      <c r="AQ483" s="209" t="str">
        <f aca="false">IF(A484="","",AP483-$E$1)</f>
        <v/>
      </c>
      <c r="AR483" s="185" t="n">
        <f aca="false">IF(Summary!$H$2=1,VLOOKUP('ANR OK vs ML7'!A483,Curves!$C$17:$AR$273,MATCH('ANR OK vs ML7'!$AR$4,Curves!$C$8:$AQ$8,0)),0.1)</f>
        <v>0.1</v>
      </c>
      <c r="AS483" s="213" t="str">
        <f aca="false">IF(A484="","",1/(1+CHOOSE(F$3,(AR484+($I$3/10000))/2,(AR483+($I$3/10000))/2))^(2*AQ483/365.25))</f>
        <v/>
      </c>
      <c r="AT483" s="137" t="str">
        <f aca="false">IF(A484="","",IF(AND(mthbeg&lt;=A483,mthend&gt;=A483),1,0))</f>
        <v/>
      </c>
      <c r="AU483" s="137" t="str">
        <f aca="false">IF(A484="","",AO483*AT483)</f>
        <v/>
      </c>
      <c r="AW483" s="195" t="str">
        <f aca="false">IF($A484="","",AL483*$E483)</f>
        <v/>
      </c>
      <c r="AX483" s="195" t="str">
        <f aca="false">IF($A484="","",AM483*$E483)</f>
        <v/>
      </c>
      <c r="AY483" s="195" t="str">
        <f aca="false">IF($A484="","",AN483*$E483)</f>
        <v/>
      </c>
      <c r="BA483" s="195" t="str">
        <f aca="false">IF($A484="","",F483*Summary!$Q$7)</f>
        <v/>
      </c>
    </row>
    <row r="484" customFormat="false" ht="12.75" hidden="false" customHeight="false" outlineLevel="0" collapsed="false">
      <c r="A484" s="196" t="str">
        <f aca="false">IF(A483&lt;mthend,EDATE(A483,1),"")</f>
        <v/>
      </c>
      <c r="B484" s="197" t="str">
        <f aca="false">IF(A484&lt;mthend,B483,"")</f>
        <v/>
      </c>
      <c r="D484" s="197" t="str">
        <f aca="false">IF(A485&lt;&gt;"",B484+C484,"")</f>
        <v/>
      </c>
      <c r="E484" s="199" t="str">
        <f aca="false">IF(A485="","",IF(AND(AT484=1,$H$3=1),D484*AO484,IF($H$3=2,D484,"N/A")))</f>
        <v/>
      </c>
      <c r="F484" s="199" t="str">
        <f aca="false">IF(A485="","",E484*AS484)</f>
        <v/>
      </c>
      <c r="G484" s="200" t="str">
        <f aca="false">IF($A485="","",VLOOKUP($A484,Table,MATCH(G$4,Curves,0)))</f>
        <v/>
      </c>
      <c r="H484" s="201" t="str">
        <f aca="false">IF(A485="","",G484)</f>
        <v/>
      </c>
      <c r="J484" s="200" t="str">
        <f aca="false">IF($A485="","",VLOOKUP($A484,Table,MATCH(J$4,Curves,0)))</f>
        <v/>
      </c>
      <c r="K484" s="201" t="str">
        <f aca="false">IF(A485="","",J484)</f>
        <v/>
      </c>
      <c r="L484" s="200" t="str">
        <f aca="false">IF($A485="","",VLOOKUP($A484,Table,MATCH(L$4,Curves,0)))</f>
        <v/>
      </c>
      <c r="M484" s="201" t="str">
        <f aca="false">IF(A485="","",L484)</f>
        <v/>
      </c>
      <c r="O484" s="200" t="str">
        <f aca="false">IF(A485="","",L484+J484+G484)</f>
        <v/>
      </c>
      <c r="P484" s="200" t="str">
        <f aca="false">IF(A485="","",M484+K484+H484)</f>
        <v/>
      </c>
      <c r="R484" s="200" t="str">
        <f aca="false">IF($A485="","",VLOOKUP($A484,Table,MATCH(R$4,Curves,0)))</f>
        <v/>
      </c>
      <c r="S484" s="201" t="str">
        <f aca="false">IF(A485="","",R484)</f>
        <v/>
      </c>
      <c r="T484" s="200" t="str">
        <f aca="false">IF($A485="","",VLOOKUP($A484,Table,MATCH(T$4,Curves,0)))</f>
        <v/>
      </c>
      <c r="U484" s="201" t="str">
        <f aca="false">IF(A485="","",T484)</f>
        <v/>
      </c>
      <c r="V484" s="183" t="str">
        <f aca="false">IF($A485="","",IF(AND(MONTH(A484)&gt;3,MONTH(A484)&lt;11),(T484+R484+G484)*Summary!$T$7/(1-Summary!$T$7),(T484+R484+G484)*Summary!$U$7/(1-Summary!$U$7)))</f>
        <v/>
      </c>
      <c r="W484" s="200" t="str">
        <f aca="false">IF($A485="","",(T484+R484+G484+V484))</f>
        <v/>
      </c>
      <c r="X484" s="200" t="str">
        <f aca="false">IF($A485="","",(U484+S484+H484+V484))</f>
        <v/>
      </c>
      <c r="Y484" s="202"/>
      <c r="AJ484" s="77"/>
      <c r="AK484" s="77"/>
      <c r="AL484" s="77"/>
      <c r="AM484" s="77"/>
      <c r="AN484" s="77"/>
      <c r="AO484" s="137" t="str">
        <f aca="false">IF(A485="","",A485-A484)</f>
        <v/>
      </c>
      <c r="AP484" s="212" t="str">
        <f aca="false">IF(A485="","",CHOOSE(F$3,A485+24,A484))</f>
        <v/>
      </c>
      <c r="AQ484" s="209" t="str">
        <f aca="false">IF(A485="","",AP484-$E$1)</f>
        <v/>
      </c>
      <c r="AR484" s="185" t="n">
        <f aca="false">IF(Summary!$H$2=1,VLOOKUP('ANR OK vs ML7'!A484,Curves!$C$17:$AR$273,MATCH('ANR OK vs ML7'!$AR$4,Curves!$C$8:$AQ$8,0)),0.1)</f>
        <v>0.1</v>
      </c>
      <c r="AS484" s="213" t="str">
        <f aca="false">IF(A485="","",1/(1+CHOOSE(F$3,(AR485+($I$3/10000))/2,(AR484+($I$3/10000))/2))^(2*AQ484/365.25))</f>
        <v/>
      </c>
      <c r="AT484" s="137" t="str">
        <f aca="false">IF(A485="","",IF(AND(mthbeg&lt;=A484,mthend&gt;=A484),1,0))</f>
        <v/>
      </c>
      <c r="AU484" s="137" t="str">
        <f aca="false">IF(A485="","",AO484*AT484)</f>
        <v/>
      </c>
      <c r="AW484" s="195" t="str">
        <f aca="false">IF($A485="","",AL484*$E484)</f>
        <v/>
      </c>
      <c r="AX484" s="195" t="str">
        <f aca="false">IF($A485="","",AM484*$E484)</f>
        <v/>
      </c>
      <c r="AY484" s="195" t="str">
        <f aca="false">IF($A485="","",AN484*$E484)</f>
        <v/>
      </c>
      <c r="BA484" s="195" t="str">
        <f aca="false">IF($A485="","",F484*Summary!$Q$7)</f>
        <v/>
      </c>
    </row>
    <row r="485" customFormat="false" ht="12.75" hidden="false" customHeight="false" outlineLevel="0" collapsed="false">
      <c r="A485" s="196" t="str">
        <f aca="false">IF(A484&lt;mthend,EDATE(A484,1),"")</f>
        <v/>
      </c>
      <c r="B485" s="197" t="str">
        <f aca="false">IF(A485&lt;mthend,B484,"")</f>
        <v/>
      </c>
      <c r="D485" s="197" t="str">
        <f aca="false">IF(A486&lt;&gt;"",B485+C485,"")</f>
        <v/>
      </c>
      <c r="E485" s="199" t="str">
        <f aca="false">IF(A486="","",IF(AND(AT485=1,$H$3=1),D485*AO485,IF($H$3=2,D485,"N/A")))</f>
        <v/>
      </c>
      <c r="F485" s="199" t="str">
        <f aca="false">IF(A486="","",E485*AS485)</f>
        <v/>
      </c>
      <c r="G485" s="200" t="str">
        <f aca="false">IF($A486="","",VLOOKUP($A485,Table,MATCH(G$4,Curves,0)))</f>
        <v/>
      </c>
      <c r="H485" s="201" t="str">
        <f aca="false">IF(A486="","",G485)</f>
        <v/>
      </c>
      <c r="J485" s="200" t="str">
        <f aca="false">IF($A486="","",VLOOKUP($A485,Table,MATCH(J$4,Curves,0)))</f>
        <v/>
      </c>
      <c r="K485" s="201" t="str">
        <f aca="false">IF(A486="","",J485)</f>
        <v/>
      </c>
      <c r="L485" s="200" t="str">
        <f aca="false">IF($A486="","",VLOOKUP($A485,Table,MATCH(L$4,Curves,0)))</f>
        <v/>
      </c>
      <c r="M485" s="201" t="str">
        <f aca="false">IF(A486="","",L485)</f>
        <v/>
      </c>
      <c r="O485" s="200" t="str">
        <f aca="false">IF(A486="","",L485+J485+G485)</f>
        <v/>
      </c>
      <c r="P485" s="200" t="str">
        <f aca="false">IF(A486="","",M485+K485+H485)</f>
        <v/>
      </c>
      <c r="R485" s="200" t="str">
        <f aca="false">IF($A486="","",VLOOKUP($A485,Table,MATCH(R$4,Curves,0)))</f>
        <v/>
      </c>
      <c r="S485" s="201" t="str">
        <f aca="false">IF(A486="","",R485)</f>
        <v/>
      </c>
      <c r="T485" s="200" t="str">
        <f aca="false">IF($A486="","",VLOOKUP($A485,Table,MATCH(T$4,Curves,0)))</f>
        <v/>
      </c>
      <c r="U485" s="201" t="str">
        <f aca="false">IF(A486="","",T485)</f>
        <v/>
      </c>
      <c r="V485" s="183" t="str">
        <f aca="false">IF($A486="","",IF(AND(MONTH(A485)&gt;3,MONTH(A485)&lt;11),(T485+R485+G485)*Summary!$T$7/(1-Summary!$T$7),(T485+R485+G485)*Summary!$U$7/(1-Summary!$U$7)))</f>
        <v/>
      </c>
      <c r="W485" s="200" t="str">
        <f aca="false">IF($A486="","",(T485+R485+G485+V485))</f>
        <v/>
      </c>
      <c r="X485" s="200" t="str">
        <f aca="false">IF($A486="","",(U485+S485+H485+V485))</f>
        <v/>
      </c>
      <c r="Y485" s="202"/>
      <c r="AJ485" s="77"/>
      <c r="AK485" s="77"/>
      <c r="AL485" s="77"/>
      <c r="AM485" s="77"/>
      <c r="AN485" s="77"/>
      <c r="AO485" s="137" t="str">
        <f aca="false">IF(A486="","",A486-A485)</f>
        <v/>
      </c>
      <c r="AP485" s="212" t="str">
        <f aca="false">IF(A486="","",CHOOSE(F$3,A486+24,A485))</f>
        <v/>
      </c>
      <c r="AQ485" s="209" t="str">
        <f aca="false">IF(A486="","",AP485-$E$1)</f>
        <v/>
      </c>
      <c r="AR485" s="185" t="n">
        <f aca="false">IF(Summary!$H$2=1,VLOOKUP('ANR OK vs ML7'!A485,Curves!$C$17:$AR$273,MATCH('ANR OK vs ML7'!$AR$4,Curves!$C$8:$AQ$8,0)),0.1)</f>
        <v>0.1</v>
      </c>
      <c r="AS485" s="213" t="str">
        <f aca="false">IF(A486="","",1/(1+CHOOSE(F$3,(AR486+($I$3/10000))/2,(AR485+($I$3/10000))/2))^(2*AQ485/365.25))</f>
        <v/>
      </c>
      <c r="AT485" s="137" t="str">
        <f aca="false">IF(A486="","",IF(AND(mthbeg&lt;=A485,mthend&gt;=A485),1,0))</f>
        <v/>
      </c>
      <c r="AU485" s="137" t="str">
        <f aca="false">IF(A486="","",AO485*AT485)</f>
        <v/>
      </c>
      <c r="AW485" s="195" t="str">
        <f aca="false">IF($A486="","",AL485*$E485)</f>
        <v/>
      </c>
      <c r="AX485" s="195" t="str">
        <f aca="false">IF($A486="","",AM485*$E485)</f>
        <v/>
      </c>
      <c r="AY485" s="195" t="str">
        <f aca="false">IF($A486="","",AN485*$E485)</f>
        <v/>
      </c>
      <c r="BA485" s="195" t="str">
        <f aca="false">IF($A486="","",F485*Summary!$Q$7)</f>
        <v/>
      </c>
    </row>
    <row r="486" customFormat="false" ht="12.75" hidden="false" customHeight="false" outlineLevel="0" collapsed="false">
      <c r="A486" s="196" t="str">
        <f aca="false">IF(A485&lt;mthend,EDATE(A485,1),"")</f>
        <v/>
      </c>
      <c r="B486" s="197" t="str">
        <f aca="false">IF(A486&lt;mthend,B485,"")</f>
        <v/>
      </c>
      <c r="D486" s="197" t="str">
        <f aca="false">IF(A487&lt;&gt;"",B486+C486,"")</f>
        <v/>
      </c>
      <c r="E486" s="199" t="str">
        <f aca="false">IF(A487="","",IF(AND(AT486=1,$H$3=1),D486*AO486,IF($H$3=2,D486,"N/A")))</f>
        <v/>
      </c>
      <c r="F486" s="199" t="str">
        <f aca="false">IF(A487="","",E486*AS486)</f>
        <v/>
      </c>
      <c r="G486" s="200" t="str">
        <f aca="false">IF($A487="","",VLOOKUP($A486,Table,MATCH(G$4,Curves,0)))</f>
        <v/>
      </c>
      <c r="H486" s="201" t="str">
        <f aca="false">IF(A487="","",G486)</f>
        <v/>
      </c>
      <c r="J486" s="200" t="str">
        <f aca="false">IF($A487="","",VLOOKUP($A486,Table,MATCH(J$4,Curves,0)))</f>
        <v/>
      </c>
      <c r="K486" s="201" t="str">
        <f aca="false">IF(A487="","",J486)</f>
        <v/>
      </c>
      <c r="L486" s="200" t="str">
        <f aca="false">IF($A487="","",VLOOKUP($A486,Table,MATCH(L$4,Curves,0)))</f>
        <v/>
      </c>
      <c r="M486" s="201" t="str">
        <f aca="false">IF(A487="","",L486)</f>
        <v/>
      </c>
      <c r="O486" s="200" t="str">
        <f aca="false">IF(A487="","",L486+J486+G486)</f>
        <v/>
      </c>
      <c r="P486" s="200" t="str">
        <f aca="false">IF(A487="","",M486+K486+H486)</f>
        <v/>
      </c>
      <c r="R486" s="200" t="str">
        <f aca="false">IF($A487="","",VLOOKUP($A486,Table,MATCH(R$4,Curves,0)))</f>
        <v/>
      </c>
      <c r="S486" s="201" t="str">
        <f aca="false">IF(A487="","",R486)</f>
        <v/>
      </c>
      <c r="T486" s="200" t="str">
        <f aca="false">IF($A487="","",VLOOKUP($A486,Table,MATCH(T$4,Curves,0)))</f>
        <v/>
      </c>
      <c r="U486" s="201" t="str">
        <f aca="false">IF(A487="","",T486)</f>
        <v/>
      </c>
      <c r="V486" s="183" t="str">
        <f aca="false">IF($A487="","",IF(AND(MONTH(A486)&gt;3,MONTH(A486)&lt;11),(T486+R486+G486)*Summary!$T$7/(1-Summary!$T$7),(T486+R486+G486)*Summary!$U$7/(1-Summary!$U$7)))</f>
        <v/>
      </c>
      <c r="W486" s="200" t="str">
        <f aca="false">IF($A487="","",(T486+R486+G486+V486))</f>
        <v/>
      </c>
      <c r="X486" s="200" t="str">
        <f aca="false">IF($A487="","",(U486+S486+H486+V486))</f>
        <v/>
      </c>
      <c r="Y486" s="202"/>
      <c r="AJ486" s="77"/>
      <c r="AK486" s="77"/>
      <c r="AL486" s="77"/>
      <c r="AM486" s="77"/>
      <c r="AN486" s="77"/>
      <c r="AO486" s="137" t="str">
        <f aca="false">IF(A487="","",A487-A486)</f>
        <v/>
      </c>
      <c r="AP486" s="212" t="str">
        <f aca="false">IF(A487="","",CHOOSE(F$3,A487+24,A486))</f>
        <v/>
      </c>
      <c r="AQ486" s="209" t="str">
        <f aca="false">IF(A487="","",AP486-$E$1)</f>
        <v/>
      </c>
      <c r="AR486" s="185" t="n">
        <f aca="false">IF(Summary!$H$2=1,VLOOKUP('ANR OK vs ML7'!A486,Curves!$C$17:$AR$273,MATCH('ANR OK vs ML7'!$AR$4,Curves!$C$8:$AQ$8,0)),0.1)</f>
        <v>0.1</v>
      </c>
      <c r="AS486" s="213" t="str">
        <f aca="false">IF(A487="","",1/(1+CHOOSE(F$3,(AR487+($I$3/10000))/2,(AR486+($I$3/10000))/2))^(2*AQ486/365.25))</f>
        <v/>
      </c>
      <c r="AT486" s="137" t="str">
        <f aca="false">IF(A487="","",IF(AND(mthbeg&lt;=A486,mthend&gt;=A486),1,0))</f>
        <v/>
      </c>
      <c r="AU486" s="137" t="str">
        <f aca="false">IF(A487="","",AO486*AT486)</f>
        <v/>
      </c>
      <c r="AW486" s="195" t="str">
        <f aca="false">IF($A487="","",AL486*$E486)</f>
        <v/>
      </c>
      <c r="AX486" s="195" t="str">
        <f aca="false">IF($A487="","",AM486*$E486)</f>
        <v/>
      </c>
      <c r="AY486" s="195" t="str">
        <f aca="false">IF($A487="","",AN486*$E486)</f>
        <v/>
      </c>
      <c r="BA486" s="195" t="str">
        <f aca="false">IF($A487="","",F486*Summary!$Q$7)</f>
        <v/>
      </c>
    </row>
    <row r="487" customFormat="false" ht="12.75" hidden="false" customHeight="false" outlineLevel="0" collapsed="false">
      <c r="A487" s="196" t="str">
        <f aca="false">IF(A486&lt;mthend,EDATE(A486,1),"")</f>
        <v/>
      </c>
      <c r="B487" s="197" t="str">
        <f aca="false">IF(A487&lt;mthend,B486,"")</f>
        <v/>
      </c>
      <c r="D487" s="197" t="str">
        <f aca="false">IF(A488&lt;&gt;"",B487+C487,"")</f>
        <v/>
      </c>
      <c r="E487" s="199" t="str">
        <f aca="false">IF(A488="","",IF(AND(AT487=1,$H$3=1),D487*AO487,IF($H$3=2,D487,"N/A")))</f>
        <v/>
      </c>
      <c r="F487" s="199" t="str">
        <f aca="false">IF(A488="","",E487*AS487)</f>
        <v/>
      </c>
      <c r="G487" s="200" t="str">
        <f aca="false">IF($A488="","",VLOOKUP($A487,Table,MATCH(G$4,Curves,0)))</f>
        <v/>
      </c>
      <c r="H487" s="201" t="str">
        <f aca="false">IF(A488="","",G487)</f>
        <v/>
      </c>
      <c r="J487" s="200" t="str">
        <f aca="false">IF($A488="","",VLOOKUP($A487,Table,MATCH(J$4,Curves,0)))</f>
        <v/>
      </c>
      <c r="K487" s="201" t="str">
        <f aca="false">IF(A488="","",J487)</f>
        <v/>
      </c>
      <c r="L487" s="200" t="str">
        <f aca="false">IF($A488="","",VLOOKUP($A487,Table,MATCH(L$4,Curves,0)))</f>
        <v/>
      </c>
      <c r="M487" s="201" t="str">
        <f aca="false">IF(A488="","",L487)</f>
        <v/>
      </c>
      <c r="O487" s="200" t="str">
        <f aca="false">IF(A488="","",L487+J487+G487)</f>
        <v/>
      </c>
      <c r="P487" s="200" t="str">
        <f aca="false">IF(A488="","",M487+K487+H487)</f>
        <v/>
      </c>
      <c r="R487" s="200" t="str">
        <f aca="false">IF($A488="","",VLOOKUP($A487,Table,MATCH(R$4,Curves,0)))</f>
        <v/>
      </c>
      <c r="S487" s="201" t="str">
        <f aca="false">IF(A488="","",R487)</f>
        <v/>
      </c>
      <c r="T487" s="200" t="str">
        <f aca="false">IF($A488="","",VLOOKUP($A487,Table,MATCH(T$4,Curves,0)))</f>
        <v/>
      </c>
      <c r="U487" s="201" t="str">
        <f aca="false">IF(A488="","",T487)</f>
        <v/>
      </c>
      <c r="V487" s="183" t="str">
        <f aca="false">IF($A488="","",IF(AND(MONTH(A487)&gt;3,MONTH(A487)&lt;11),(T487+R487+G487)*Summary!$T$7/(1-Summary!$T$7),(T487+R487+G487)*Summary!$U$7/(1-Summary!$U$7)))</f>
        <v/>
      </c>
      <c r="W487" s="200" t="str">
        <f aca="false">IF($A488="","",(T487+R487+G487+V487))</f>
        <v/>
      </c>
      <c r="X487" s="200" t="str">
        <f aca="false">IF($A488="","",(U487+S487+H487+V487))</f>
        <v/>
      </c>
      <c r="Y487" s="202"/>
      <c r="AJ487" s="77"/>
      <c r="AK487" s="77"/>
      <c r="AL487" s="77"/>
      <c r="AM487" s="77"/>
      <c r="AN487" s="77"/>
      <c r="AO487" s="137" t="str">
        <f aca="false">IF(A488="","",A488-A487)</f>
        <v/>
      </c>
      <c r="AP487" s="212" t="str">
        <f aca="false">IF(A488="","",CHOOSE(F$3,A488+24,A487))</f>
        <v/>
      </c>
      <c r="AQ487" s="209" t="str">
        <f aca="false">IF(A488="","",AP487-$E$1)</f>
        <v/>
      </c>
      <c r="AR487" s="185" t="n">
        <f aca="false">IF(Summary!$H$2=1,VLOOKUP('ANR OK vs ML7'!A487,Curves!$C$17:$AR$273,MATCH('ANR OK vs ML7'!$AR$4,Curves!$C$8:$AQ$8,0)),0.1)</f>
        <v>0.1</v>
      </c>
      <c r="AS487" s="213" t="str">
        <f aca="false">IF(A488="","",1/(1+CHOOSE(F$3,(AR488+($I$3/10000))/2,(AR487+($I$3/10000))/2))^(2*AQ487/365.25))</f>
        <v/>
      </c>
      <c r="AT487" s="137" t="str">
        <f aca="false">IF(A488="","",IF(AND(mthbeg&lt;=A487,mthend&gt;=A487),1,0))</f>
        <v/>
      </c>
      <c r="AU487" s="137" t="str">
        <f aca="false">IF(A488="","",AO487*AT487)</f>
        <v/>
      </c>
      <c r="AW487" s="195" t="str">
        <f aca="false">IF($A488="","",AL487*$E487)</f>
        <v/>
      </c>
      <c r="AX487" s="195" t="str">
        <f aca="false">IF($A488="","",AM487*$E487)</f>
        <v/>
      </c>
      <c r="AY487" s="195" t="str">
        <f aca="false">IF($A488="","",AN487*$E487)</f>
        <v/>
      </c>
      <c r="BA487" s="195" t="str">
        <f aca="false">IF($A488="","",F487*Summary!$Q$7)</f>
        <v/>
      </c>
    </row>
    <row r="488" customFormat="false" ht="12.75" hidden="false" customHeight="false" outlineLevel="0" collapsed="false">
      <c r="A488" s="196" t="str">
        <f aca="false">IF(A487&lt;mthend,EDATE(A487,1),"")</f>
        <v/>
      </c>
      <c r="B488" s="197" t="str">
        <f aca="false">IF(A488&lt;mthend,B487,"")</f>
        <v/>
      </c>
      <c r="D488" s="197" t="str">
        <f aca="false">IF(A489&lt;&gt;"",B488+C488,"")</f>
        <v/>
      </c>
      <c r="E488" s="199" t="str">
        <f aca="false">IF(A489="","",IF(AND(AT488=1,$H$3=1),D488*AO488,IF($H$3=2,D488,"N/A")))</f>
        <v/>
      </c>
      <c r="F488" s="199" t="str">
        <f aca="false">IF(A489="","",E488*AS488)</f>
        <v/>
      </c>
      <c r="G488" s="200" t="str">
        <f aca="false">IF($A489="","",VLOOKUP($A488,Table,MATCH(G$4,Curves,0)))</f>
        <v/>
      </c>
      <c r="H488" s="201" t="str">
        <f aca="false">IF(A489="","",G488)</f>
        <v/>
      </c>
      <c r="J488" s="200" t="str">
        <f aca="false">IF($A489="","",VLOOKUP($A488,Table,MATCH(J$4,Curves,0)))</f>
        <v/>
      </c>
      <c r="K488" s="201" t="str">
        <f aca="false">IF(A489="","",J488)</f>
        <v/>
      </c>
      <c r="L488" s="200" t="str">
        <f aca="false">IF($A489="","",VLOOKUP($A488,Table,MATCH(L$4,Curves,0)))</f>
        <v/>
      </c>
      <c r="M488" s="201" t="str">
        <f aca="false">IF(A489="","",L488)</f>
        <v/>
      </c>
      <c r="O488" s="200" t="str">
        <f aca="false">IF(A489="","",L488+J488+G488)</f>
        <v/>
      </c>
      <c r="P488" s="200" t="str">
        <f aca="false">IF(A489="","",M488+K488+H488)</f>
        <v/>
      </c>
      <c r="R488" s="200" t="str">
        <f aca="false">IF($A489="","",VLOOKUP($A488,Table,MATCH(R$4,Curves,0)))</f>
        <v/>
      </c>
      <c r="S488" s="201" t="str">
        <f aca="false">IF(A489="","",R488)</f>
        <v/>
      </c>
      <c r="T488" s="200" t="str">
        <f aca="false">IF($A489="","",VLOOKUP($A488,Table,MATCH(T$4,Curves,0)))</f>
        <v/>
      </c>
      <c r="U488" s="201" t="str">
        <f aca="false">IF(A489="","",T488)</f>
        <v/>
      </c>
      <c r="V488" s="183" t="str">
        <f aca="false">IF($A489="","",IF(AND(MONTH(A488)&gt;3,MONTH(A488)&lt;11),(T488+R488+G488)*Summary!$T$7/(1-Summary!$T$7),(T488+R488+G488)*Summary!$U$7/(1-Summary!$U$7)))</f>
        <v/>
      </c>
      <c r="W488" s="200" t="str">
        <f aca="false">IF($A489="","",(T488+R488+G488+V488))</f>
        <v/>
      </c>
      <c r="X488" s="200" t="str">
        <f aca="false">IF($A489="","",(U488+S488+H488+V488))</f>
        <v/>
      </c>
      <c r="Y488" s="202"/>
      <c r="AJ488" s="77"/>
      <c r="AK488" s="77"/>
      <c r="AL488" s="77"/>
      <c r="AM488" s="77"/>
      <c r="AN488" s="77"/>
      <c r="AO488" s="137" t="str">
        <f aca="false">IF(A489="","",A489-A488)</f>
        <v/>
      </c>
      <c r="AP488" s="212" t="str">
        <f aca="false">IF(A489="","",CHOOSE(F$3,A489+24,A488))</f>
        <v/>
      </c>
      <c r="AQ488" s="209" t="str">
        <f aca="false">IF(A489="","",AP488-$E$1)</f>
        <v/>
      </c>
      <c r="AR488" s="185" t="n">
        <f aca="false">IF(Summary!$H$2=1,VLOOKUP('ANR OK vs ML7'!A488,Curves!$C$17:$AR$273,MATCH('ANR OK vs ML7'!$AR$4,Curves!$C$8:$AQ$8,0)),0.1)</f>
        <v>0.1</v>
      </c>
      <c r="AS488" s="213" t="str">
        <f aca="false">IF(A489="","",1/(1+CHOOSE(F$3,(AR489+($I$3/10000))/2,(AR488+($I$3/10000))/2))^(2*AQ488/365.25))</f>
        <v/>
      </c>
      <c r="AT488" s="137" t="str">
        <f aca="false">IF(A489="","",IF(AND(mthbeg&lt;=A488,mthend&gt;=A488),1,0))</f>
        <v/>
      </c>
      <c r="AU488" s="137" t="str">
        <f aca="false">IF(A489="","",AO488*AT488)</f>
        <v/>
      </c>
      <c r="AW488" s="195" t="str">
        <f aca="false">IF($A489="","",AL488*$E488)</f>
        <v/>
      </c>
      <c r="AX488" s="195" t="str">
        <f aca="false">IF($A489="","",AM488*$E488)</f>
        <v/>
      </c>
      <c r="AY488" s="195" t="str">
        <f aca="false">IF($A489="","",AN488*$E488)</f>
        <v/>
      </c>
      <c r="BA488" s="195" t="str">
        <f aca="false">IF($A489="","",F488*Summary!$Q$7)</f>
        <v/>
      </c>
    </row>
    <row r="489" customFormat="false" ht="12.75" hidden="false" customHeight="false" outlineLevel="0" collapsed="false">
      <c r="A489" s="196" t="str">
        <f aca="false">IF(A488&lt;mthend,EDATE(A488,1),"")</f>
        <v/>
      </c>
      <c r="B489" s="197" t="str">
        <f aca="false">IF(A489&lt;mthend,B488,"")</f>
        <v/>
      </c>
      <c r="D489" s="197" t="str">
        <f aca="false">IF(A490&lt;&gt;"",B489+C489,"")</f>
        <v/>
      </c>
      <c r="E489" s="199" t="str">
        <f aca="false">IF(A490="","",IF(AND(AT489=1,$H$3=1),D489*AO489,IF($H$3=2,D489,"N/A")))</f>
        <v/>
      </c>
      <c r="F489" s="199" t="str">
        <f aca="false">IF(A490="","",E489*AS489)</f>
        <v/>
      </c>
      <c r="G489" s="200" t="str">
        <f aca="false">IF($A490="","",VLOOKUP($A489,Table,MATCH(G$4,Curves,0)))</f>
        <v/>
      </c>
      <c r="H489" s="201" t="str">
        <f aca="false">IF(A490="","",G489)</f>
        <v/>
      </c>
      <c r="J489" s="200" t="str">
        <f aca="false">IF($A490="","",VLOOKUP($A489,Table,MATCH(J$4,Curves,0)))</f>
        <v/>
      </c>
      <c r="K489" s="201" t="str">
        <f aca="false">IF(A490="","",J489)</f>
        <v/>
      </c>
      <c r="L489" s="200" t="str">
        <f aca="false">IF($A490="","",VLOOKUP($A489,Table,MATCH(L$4,Curves,0)))</f>
        <v/>
      </c>
      <c r="M489" s="201" t="str">
        <f aca="false">IF(A490="","",L489)</f>
        <v/>
      </c>
      <c r="O489" s="200" t="str">
        <f aca="false">IF(A490="","",L489+J489+G489)</f>
        <v/>
      </c>
      <c r="P489" s="200" t="str">
        <f aca="false">IF(A490="","",M489+K489+H489)</f>
        <v/>
      </c>
      <c r="R489" s="200" t="str">
        <f aca="false">IF($A490="","",VLOOKUP($A489,Table,MATCH(R$4,Curves,0)))</f>
        <v/>
      </c>
      <c r="S489" s="201" t="str">
        <f aca="false">IF(A490="","",R489)</f>
        <v/>
      </c>
      <c r="T489" s="200" t="str">
        <f aca="false">IF($A490="","",VLOOKUP($A489,Table,MATCH(T$4,Curves,0)))</f>
        <v/>
      </c>
      <c r="U489" s="201" t="str">
        <f aca="false">IF(A490="","",T489)</f>
        <v/>
      </c>
      <c r="V489" s="183" t="str">
        <f aca="false">IF($A490="","",IF(AND(MONTH(A489)&gt;3,MONTH(A489)&lt;11),(T489+R489+G489)*Summary!$T$7/(1-Summary!$T$7),(T489+R489+G489)*Summary!$U$7/(1-Summary!$U$7)))</f>
        <v/>
      </c>
      <c r="W489" s="200" t="str">
        <f aca="false">IF($A490="","",(T489+R489+G489+V489))</f>
        <v/>
      </c>
      <c r="X489" s="200" t="str">
        <f aca="false">IF($A490="","",(U489+S489+H489+V489))</f>
        <v/>
      </c>
      <c r="Y489" s="202"/>
      <c r="AJ489" s="77"/>
      <c r="AK489" s="77"/>
      <c r="AL489" s="77"/>
      <c r="AM489" s="77"/>
      <c r="AN489" s="77"/>
      <c r="AO489" s="137" t="str">
        <f aca="false">IF(A490="","",A490-A489)</f>
        <v/>
      </c>
      <c r="AP489" s="212" t="str">
        <f aca="false">IF(A490="","",CHOOSE(F$3,A490+24,A489))</f>
        <v/>
      </c>
      <c r="AQ489" s="209" t="str">
        <f aca="false">IF(A490="","",AP489-$E$1)</f>
        <v/>
      </c>
      <c r="AR489" s="185" t="n">
        <f aca="false">IF(Summary!$H$2=1,VLOOKUP('ANR OK vs ML7'!A489,Curves!$C$17:$AR$273,MATCH('ANR OK vs ML7'!$AR$4,Curves!$C$8:$AQ$8,0)),0.1)</f>
        <v>0.1</v>
      </c>
      <c r="AS489" s="213" t="str">
        <f aca="false">IF(A490="","",1/(1+CHOOSE(F$3,(AR490+($I$3/10000))/2,(AR489+($I$3/10000))/2))^(2*AQ489/365.25))</f>
        <v/>
      </c>
      <c r="AT489" s="137" t="str">
        <f aca="false">IF(A490="","",IF(AND(mthbeg&lt;=A489,mthend&gt;=A489),1,0))</f>
        <v/>
      </c>
      <c r="AU489" s="137" t="str">
        <f aca="false">IF(A490="","",AO489*AT489)</f>
        <v/>
      </c>
      <c r="AW489" s="195" t="str">
        <f aca="false">IF($A490="","",AL489*$E489)</f>
        <v/>
      </c>
      <c r="AX489" s="195" t="str">
        <f aca="false">IF($A490="","",AM489*$E489)</f>
        <v/>
      </c>
      <c r="AY489" s="195" t="str">
        <f aca="false">IF($A490="","",AN489*$E489)</f>
        <v/>
      </c>
      <c r="BA489" s="195" t="str">
        <f aca="false">IF($A490="","",F489*Summary!$Q$7)</f>
        <v/>
      </c>
    </row>
    <row r="490" customFormat="false" ht="12.75" hidden="false" customHeight="false" outlineLevel="0" collapsed="false">
      <c r="A490" s="196" t="str">
        <f aca="false">IF(A489&lt;mthend,EDATE(A489,1),"")</f>
        <v/>
      </c>
      <c r="B490" s="197" t="str">
        <f aca="false">IF(A490&lt;mthend,B489,"")</f>
        <v/>
      </c>
      <c r="D490" s="197" t="str">
        <f aca="false">IF(A491&lt;&gt;"",B490+C490,"")</f>
        <v/>
      </c>
      <c r="E490" s="199" t="str">
        <f aca="false">IF(A491="","",IF(AND(AT490=1,$H$3=1),D490*AO490,IF($H$3=2,D490,"N/A")))</f>
        <v/>
      </c>
      <c r="F490" s="199" t="str">
        <f aca="false">IF(A491="","",E490*AS490)</f>
        <v/>
      </c>
      <c r="G490" s="200" t="str">
        <f aca="false">IF($A491="","",VLOOKUP($A490,Table,MATCH(G$4,Curves,0)))</f>
        <v/>
      </c>
      <c r="H490" s="201" t="str">
        <f aca="false">IF(A491="","",G490)</f>
        <v/>
      </c>
      <c r="J490" s="200" t="str">
        <f aca="false">IF($A491="","",VLOOKUP($A490,Table,MATCH(J$4,Curves,0)))</f>
        <v/>
      </c>
      <c r="K490" s="201" t="str">
        <f aca="false">IF(A491="","",J490)</f>
        <v/>
      </c>
      <c r="L490" s="200" t="str">
        <f aca="false">IF($A491="","",VLOOKUP($A490,Table,MATCH(L$4,Curves,0)))</f>
        <v/>
      </c>
      <c r="M490" s="201" t="str">
        <f aca="false">IF(A491="","",L490)</f>
        <v/>
      </c>
      <c r="O490" s="200" t="str">
        <f aca="false">IF(A491="","",L490+J490+G490)</f>
        <v/>
      </c>
      <c r="P490" s="200" t="str">
        <f aca="false">IF(A491="","",M490+K490+H490)</f>
        <v/>
      </c>
      <c r="R490" s="200" t="str">
        <f aca="false">IF($A491="","",VLOOKUP($A490,Table,MATCH(R$4,Curves,0)))</f>
        <v/>
      </c>
      <c r="S490" s="201" t="str">
        <f aca="false">IF(A491="","",R490)</f>
        <v/>
      </c>
      <c r="T490" s="200" t="str">
        <f aca="false">IF($A491="","",VLOOKUP($A490,Table,MATCH(T$4,Curves,0)))</f>
        <v/>
      </c>
      <c r="U490" s="201" t="str">
        <f aca="false">IF(A491="","",T490)</f>
        <v/>
      </c>
      <c r="V490" s="183" t="str">
        <f aca="false">IF($A491="","",IF(AND(MONTH(A490)&gt;3,MONTH(A490)&lt;11),(T490+R490+G490)*Summary!$T$7/(1-Summary!$T$7),(T490+R490+G490)*Summary!$U$7/(1-Summary!$U$7)))</f>
        <v/>
      </c>
      <c r="W490" s="200" t="str">
        <f aca="false">IF($A491="","",(T490+R490+G490+V490))</f>
        <v/>
      </c>
      <c r="X490" s="200" t="str">
        <f aca="false">IF($A491="","",(U490+S490+H490+V490))</f>
        <v/>
      </c>
      <c r="Y490" s="202"/>
      <c r="AJ490" s="77"/>
      <c r="AK490" s="77"/>
      <c r="AL490" s="77"/>
      <c r="AM490" s="77"/>
      <c r="AN490" s="77"/>
      <c r="AO490" s="137" t="str">
        <f aca="false">IF(A491="","",A491-A490)</f>
        <v/>
      </c>
      <c r="AP490" s="212" t="str">
        <f aca="false">IF(A491="","",CHOOSE(F$3,A491+24,A490))</f>
        <v/>
      </c>
      <c r="AQ490" s="209" t="str">
        <f aca="false">IF(A491="","",AP490-$E$1)</f>
        <v/>
      </c>
      <c r="AR490" s="185" t="n">
        <f aca="false">IF(Summary!$H$2=1,VLOOKUP('ANR OK vs ML7'!A490,Curves!$C$17:$AR$273,MATCH('ANR OK vs ML7'!$AR$4,Curves!$C$8:$AQ$8,0)),0.1)</f>
        <v>0.1</v>
      </c>
      <c r="AS490" s="213" t="str">
        <f aca="false">IF(A491="","",1/(1+CHOOSE(F$3,(AR491+($I$3/10000))/2,(AR490+($I$3/10000))/2))^(2*AQ490/365.25))</f>
        <v/>
      </c>
      <c r="AT490" s="137" t="str">
        <f aca="false">IF(A491="","",IF(AND(mthbeg&lt;=A490,mthend&gt;=A490),1,0))</f>
        <v/>
      </c>
      <c r="AU490" s="137" t="str">
        <f aca="false">IF(A491="","",AO490*AT490)</f>
        <v/>
      </c>
      <c r="AW490" s="195" t="str">
        <f aca="false">IF($A491="","",AL490*$E490)</f>
        <v/>
      </c>
      <c r="AX490" s="195" t="str">
        <f aca="false">IF($A491="","",AM490*$E490)</f>
        <v/>
      </c>
      <c r="AY490" s="195" t="str">
        <f aca="false">IF($A491="","",AN490*$E490)</f>
        <v/>
      </c>
      <c r="BA490" s="195" t="str">
        <f aca="false">IF($A491="","",F490*Summary!$Q$7)</f>
        <v/>
      </c>
    </row>
    <row r="491" customFormat="false" ht="12.75" hidden="false" customHeight="false" outlineLevel="0" collapsed="false">
      <c r="A491" s="196" t="str">
        <f aca="false">IF(A490&lt;mthend,EDATE(A490,1),"")</f>
        <v/>
      </c>
      <c r="B491" s="197" t="str">
        <f aca="false">IF(A491&lt;mthend,B490,"")</f>
        <v/>
      </c>
      <c r="D491" s="197" t="str">
        <f aca="false">IF(A492&lt;&gt;"",B491+C491,"")</f>
        <v/>
      </c>
      <c r="E491" s="199" t="str">
        <f aca="false">IF(A492="","",IF(AND(AT491=1,$H$3=1),D491*AO491,IF($H$3=2,D491,"N/A")))</f>
        <v/>
      </c>
      <c r="F491" s="199" t="str">
        <f aca="false">IF(A492="","",E491*AS491)</f>
        <v/>
      </c>
      <c r="G491" s="200" t="str">
        <f aca="false">IF($A492="","",VLOOKUP($A491,Table,MATCH(G$4,Curves,0)))</f>
        <v/>
      </c>
      <c r="H491" s="201" t="str">
        <f aca="false">IF(A492="","",G491)</f>
        <v/>
      </c>
      <c r="J491" s="200" t="str">
        <f aca="false">IF($A492="","",VLOOKUP($A491,Table,MATCH(J$4,Curves,0)))</f>
        <v/>
      </c>
      <c r="K491" s="201" t="str">
        <f aca="false">IF(A492="","",J491)</f>
        <v/>
      </c>
      <c r="L491" s="200" t="str">
        <f aca="false">IF($A492="","",VLOOKUP($A491,Table,MATCH(L$4,Curves,0)))</f>
        <v/>
      </c>
      <c r="M491" s="201" t="str">
        <f aca="false">IF(A492="","",L491)</f>
        <v/>
      </c>
      <c r="O491" s="200" t="str">
        <f aca="false">IF(A492="","",L491+J491+G491)</f>
        <v/>
      </c>
      <c r="P491" s="200" t="str">
        <f aca="false">IF(A492="","",M491+K491+H491)</f>
        <v/>
      </c>
      <c r="R491" s="200" t="str">
        <f aca="false">IF($A492="","",VLOOKUP($A491,Table,MATCH(R$4,Curves,0)))</f>
        <v/>
      </c>
      <c r="S491" s="201" t="str">
        <f aca="false">IF(A492="","",R491)</f>
        <v/>
      </c>
      <c r="T491" s="200" t="str">
        <f aca="false">IF($A492="","",VLOOKUP($A491,Table,MATCH(T$4,Curves,0)))</f>
        <v/>
      </c>
      <c r="U491" s="201" t="str">
        <f aca="false">IF(A492="","",T491)</f>
        <v/>
      </c>
      <c r="V491" s="183" t="str">
        <f aca="false">IF($A492="","",IF(AND(MONTH(A491)&gt;3,MONTH(A491)&lt;11),(T491+R491+G491)*Summary!$T$7/(1-Summary!$T$7),(T491+R491+G491)*Summary!$U$7/(1-Summary!$U$7)))</f>
        <v/>
      </c>
      <c r="W491" s="200" t="str">
        <f aca="false">IF($A492="","",(T491+R491+G491+V491))</f>
        <v/>
      </c>
      <c r="X491" s="200" t="str">
        <f aca="false">IF($A492="","",(U491+S491+H491+V491))</f>
        <v/>
      </c>
      <c r="Y491" s="202"/>
      <c r="AJ491" s="77"/>
      <c r="AK491" s="77"/>
      <c r="AL491" s="77"/>
      <c r="AM491" s="77"/>
      <c r="AN491" s="77"/>
      <c r="AO491" s="137" t="str">
        <f aca="false">IF(A492="","",A492-A491)</f>
        <v/>
      </c>
      <c r="AP491" s="212" t="str">
        <f aca="false">IF(A492="","",CHOOSE(F$3,A492+24,A491))</f>
        <v/>
      </c>
      <c r="AQ491" s="209" t="str">
        <f aca="false">IF(A492="","",AP491-$E$1)</f>
        <v/>
      </c>
      <c r="AR491" s="185" t="n">
        <f aca="false">IF(Summary!$H$2=1,VLOOKUP('ANR OK vs ML7'!A491,Curves!$C$17:$AR$273,MATCH('ANR OK vs ML7'!$AR$4,Curves!$C$8:$AQ$8,0)),0.1)</f>
        <v>0.1</v>
      </c>
      <c r="AS491" s="213" t="str">
        <f aca="false">IF(A492="","",1/(1+CHOOSE(F$3,(AR492+($I$3/10000))/2,(AR491+($I$3/10000))/2))^(2*AQ491/365.25))</f>
        <v/>
      </c>
      <c r="AT491" s="137" t="str">
        <f aca="false">IF(A492="","",IF(AND(mthbeg&lt;=A491,mthend&gt;=A491),1,0))</f>
        <v/>
      </c>
      <c r="AU491" s="137" t="str">
        <f aca="false">IF(A492="","",AO491*AT491)</f>
        <v/>
      </c>
      <c r="AW491" s="195" t="str">
        <f aca="false">IF($A492="","",AL491*$E491)</f>
        <v/>
      </c>
      <c r="AX491" s="195" t="str">
        <f aca="false">IF($A492="","",AM491*$E491)</f>
        <v/>
      </c>
      <c r="AY491" s="195" t="str">
        <f aca="false">IF($A492="","",AN491*$E491)</f>
        <v/>
      </c>
      <c r="BA491" s="195" t="str">
        <f aca="false">IF($A492="","",F491*Summary!$Q$7)</f>
        <v/>
      </c>
    </row>
    <row r="492" customFormat="false" ht="12.75" hidden="false" customHeight="false" outlineLevel="0" collapsed="false">
      <c r="A492" s="196" t="str">
        <f aca="false">IF(A491&lt;mthend,EDATE(A491,1),"")</f>
        <v/>
      </c>
      <c r="B492" s="197" t="str">
        <f aca="false">IF(A492&lt;mthend,B491,"")</f>
        <v/>
      </c>
      <c r="D492" s="197" t="str">
        <f aca="false">IF(A493&lt;&gt;"",B492+C492,"")</f>
        <v/>
      </c>
      <c r="E492" s="199" t="str">
        <f aca="false">IF(A493="","",IF(AND(AT492=1,$H$3=1),D492*AO492,IF($H$3=2,D492,"N/A")))</f>
        <v/>
      </c>
      <c r="F492" s="199" t="str">
        <f aca="false">IF(A493="","",E492*AS492)</f>
        <v/>
      </c>
      <c r="G492" s="200" t="str">
        <f aca="false">IF($A493="","",VLOOKUP($A492,Table,MATCH(G$4,Curves,0)))</f>
        <v/>
      </c>
      <c r="H492" s="201" t="str">
        <f aca="false">IF(A493="","",G492)</f>
        <v/>
      </c>
      <c r="J492" s="200" t="str">
        <f aca="false">IF($A493="","",VLOOKUP($A492,Table,MATCH(J$4,Curves,0)))</f>
        <v/>
      </c>
      <c r="K492" s="201" t="str">
        <f aca="false">IF(A493="","",J492)</f>
        <v/>
      </c>
      <c r="L492" s="200" t="str">
        <f aca="false">IF($A493="","",VLOOKUP($A492,Table,MATCH(L$4,Curves,0)))</f>
        <v/>
      </c>
      <c r="M492" s="201" t="str">
        <f aca="false">IF(A493="","",L492)</f>
        <v/>
      </c>
      <c r="O492" s="200" t="str">
        <f aca="false">IF(A493="","",L492+J492+G492)</f>
        <v/>
      </c>
      <c r="P492" s="200" t="str">
        <f aca="false">IF(A493="","",M492+K492+H492)</f>
        <v/>
      </c>
      <c r="R492" s="200" t="str">
        <f aca="false">IF($A493="","",VLOOKUP($A492,Table,MATCH(R$4,Curves,0)))</f>
        <v/>
      </c>
      <c r="S492" s="201" t="str">
        <f aca="false">IF(A493="","",R492)</f>
        <v/>
      </c>
      <c r="T492" s="200" t="str">
        <f aca="false">IF($A493="","",VLOOKUP($A492,Table,MATCH(T$4,Curves,0)))</f>
        <v/>
      </c>
      <c r="U492" s="201" t="str">
        <f aca="false">IF(A493="","",T492)</f>
        <v/>
      </c>
      <c r="V492" s="183" t="str">
        <f aca="false">IF($A493="","",IF(AND(MONTH(A492)&gt;3,MONTH(A492)&lt;11),(T492+R492+G492)*Summary!$T$7/(1-Summary!$T$7),(T492+R492+G492)*Summary!$U$7/(1-Summary!$U$7)))</f>
        <v/>
      </c>
      <c r="W492" s="200" t="str">
        <f aca="false">IF($A493="","",(T492+R492+G492+V492))</f>
        <v/>
      </c>
      <c r="X492" s="200" t="str">
        <f aca="false">IF($A493="","",(U492+S492+H492+V492))</f>
        <v/>
      </c>
      <c r="Y492" s="202"/>
      <c r="AJ492" s="77"/>
      <c r="AK492" s="77"/>
      <c r="AL492" s="77"/>
      <c r="AM492" s="77"/>
      <c r="AN492" s="77"/>
      <c r="AO492" s="137" t="str">
        <f aca="false">IF(A493="","",A493-A492)</f>
        <v/>
      </c>
      <c r="AP492" s="212" t="str">
        <f aca="false">IF(A493="","",CHOOSE(F$3,A493+24,A492))</f>
        <v/>
      </c>
      <c r="AQ492" s="209" t="str">
        <f aca="false">IF(A493="","",AP492-$E$1)</f>
        <v/>
      </c>
      <c r="AR492" s="185" t="n">
        <f aca="false">IF(Summary!$H$2=1,VLOOKUP('ANR OK vs ML7'!A492,Curves!$C$17:$AR$273,MATCH('ANR OK vs ML7'!$AR$4,Curves!$C$8:$AQ$8,0)),0.1)</f>
        <v>0.1</v>
      </c>
      <c r="AS492" s="213" t="str">
        <f aca="false">IF(A493="","",1/(1+CHOOSE(F$3,(AR493+($I$3/10000))/2,(AR492+($I$3/10000))/2))^(2*AQ492/365.25))</f>
        <v/>
      </c>
      <c r="AT492" s="137" t="str">
        <f aca="false">IF(A493="","",IF(AND(mthbeg&lt;=A492,mthend&gt;=A492),1,0))</f>
        <v/>
      </c>
      <c r="AU492" s="137" t="str">
        <f aca="false">IF(A493="","",AO492*AT492)</f>
        <v/>
      </c>
      <c r="AW492" s="195" t="str">
        <f aca="false">IF($A493="","",AL492*$E492)</f>
        <v/>
      </c>
      <c r="AX492" s="195" t="str">
        <f aca="false">IF($A493="","",AM492*$E492)</f>
        <v/>
      </c>
      <c r="AY492" s="195" t="str">
        <f aca="false">IF($A493="","",AN492*$E492)</f>
        <v/>
      </c>
      <c r="BA492" s="195" t="str">
        <f aca="false">IF($A493="","",F492*Summary!$Q$7)</f>
        <v/>
      </c>
    </row>
    <row r="493" customFormat="false" ht="12.75" hidden="false" customHeight="false" outlineLevel="0" collapsed="false">
      <c r="A493" s="196" t="str">
        <f aca="false">IF(A492&lt;mthend,EDATE(A492,1),"")</f>
        <v/>
      </c>
      <c r="B493" s="197" t="str">
        <f aca="false">IF(A493&lt;mthend,B492,"")</f>
        <v/>
      </c>
      <c r="D493" s="197" t="str">
        <f aca="false">IF(A494&lt;&gt;"",B493+C493,"")</f>
        <v/>
      </c>
      <c r="E493" s="199" t="str">
        <f aca="false">IF(A494="","",IF(AND(AT493=1,$H$3=1),D493*AO493,IF($H$3=2,D493,"N/A")))</f>
        <v/>
      </c>
      <c r="F493" s="199" t="str">
        <f aca="false">IF(A494="","",E493*AS493)</f>
        <v/>
      </c>
      <c r="G493" s="200" t="str">
        <f aca="false">IF($A494="","",VLOOKUP($A493,Table,MATCH(G$4,Curves,0)))</f>
        <v/>
      </c>
      <c r="H493" s="201" t="str">
        <f aca="false">IF(A494="","",G493)</f>
        <v/>
      </c>
      <c r="J493" s="200" t="str">
        <f aca="false">IF($A494="","",VLOOKUP($A493,Table,MATCH(J$4,Curves,0)))</f>
        <v/>
      </c>
      <c r="K493" s="201" t="str">
        <f aca="false">IF(A494="","",J493)</f>
        <v/>
      </c>
      <c r="L493" s="200" t="str">
        <f aca="false">IF($A494="","",VLOOKUP($A493,Table,MATCH(L$4,Curves,0)))</f>
        <v/>
      </c>
      <c r="M493" s="201" t="str">
        <f aca="false">IF(A494="","",L493)</f>
        <v/>
      </c>
      <c r="O493" s="200" t="str">
        <f aca="false">IF(A494="","",L493+J493+G493)</f>
        <v/>
      </c>
      <c r="P493" s="200" t="str">
        <f aca="false">IF(A494="","",M493+K493+H493)</f>
        <v/>
      </c>
      <c r="R493" s="200" t="str">
        <f aca="false">IF($A494="","",VLOOKUP($A493,Table,MATCH(R$4,Curves,0)))</f>
        <v/>
      </c>
      <c r="S493" s="201" t="str">
        <f aca="false">IF(A494="","",R493)</f>
        <v/>
      </c>
      <c r="T493" s="200" t="str">
        <f aca="false">IF($A494="","",VLOOKUP($A493,Table,MATCH(T$4,Curves,0)))</f>
        <v/>
      </c>
      <c r="U493" s="201" t="str">
        <f aca="false">IF(A494="","",T493)</f>
        <v/>
      </c>
      <c r="V493" s="183" t="str">
        <f aca="false">IF($A494="","",IF(AND(MONTH(A493)&gt;3,MONTH(A493)&lt;11),(T493+R493+G493)*Summary!$T$7/(1-Summary!$T$7),(T493+R493+G493)*Summary!$U$7/(1-Summary!$U$7)))</f>
        <v/>
      </c>
      <c r="W493" s="200" t="str">
        <f aca="false">IF($A494="","",(T493+R493+G493+V493))</f>
        <v/>
      </c>
      <c r="X493" s="200" t="str">
        <f aca="false">IF($A494="","",(U493+S493+H493+V493))</f>
        <v/>
      </c>
      <c r="Y493" s="202"/>
      <c r="AJ493" s="77"/>
      <c r="AK493" s="77"/>
      <c r="AL493" s="77"/>
      <c r="AM493" s="77"/>
      <c r="AN493" s="77"/>
      <c r="AO493" s="137" t="str">
        <f aca="false">IF(A494="","",A494-A493)</f>
        <v/>
      </c>
      <c r="AP493" s="212" t="str">
        <f aca="false">IF(A494="","",CHOOSE(F$3,A494+24,A493))</f>
        <v/>
      </c>
      <c r="AQ493" s="209" t="str">
        <f aca="false">IF(A494="","",AP493-$E$1)</f>
        <v/>
      </c>
      <c r="AR493" s="185" t="n">
        <f aca="false">IF(Summary!$H$2=1,VLOOKUP('ANR OK vs ML7'!A493,Curves!$C$17:$AR$273,MATCH('ANR OK vs ML7'!$AR$4,Curves!$C$8:$AQ$8,0)),0.1)</f>
        <v>0.1</v>
      </c>
      <c r="AS493" s="213" t="str">
        <f aca="false">IF(A494="","",1/(1+CHOOSE(F$3,(AR494+($I$3/10000))/2,(AR493+($I$3/10000))/2))^(2*AQ493/365.25))</f>
        <v/>
      </c>
      <c r="AT493" s="137" t="str">
        <f aca="false">IF(A494="","",IF(AND(mthbeg&lt;=A493,mthend&gt;=A493),1,0))</f>
        <v/>
      </c>
      <c r="AU493" s="137" t="str">
        <f aca="false">IF(A494="","",AO493*AT493)</f>
        <v/>
      </c>
      <c r="AW493" s="195" t="str">
        <f aca="false">IF($A494="","",AL493*$E493)</f>
        <v/>
      </c>
      <c r="AX493" s="195" t="str">
        <f aca="false">IF($A494="","",AM493*$E493)</f>
        <v/>
      </c>
      <c r="AY493" s="195" t="str">
        <f aca="false">IF($A494="","",AN493*$E493)</f>
        <v/>
      </c>
      <c r="BA493" s="195" t="str">
        <f aca="false">IF($A494="","",F493*Summary!$Q$7)</f>
        <v/>
      </c>
    </row>
    <row r="494" customFormat="false" ht="12.75" hidden="false" customHeight="false" outlineLevel="0" collapsed="false">
      <c r="A494" s="196" t="str">
        <f aca="false">IF(A493&lt;mthend,EDATE(A493,1),"")</f>
        <v/>
      </c>
      <c r="B494" s="197" t="str">
        <f aca="false">IF(A494&lt;mthend,B493,"")</f>
        <v/>
      </c>
      <c r="D494" s="197" t="str">
        <f aca="false">IF(A495&lt;&gt;"",B494+C494,"")</f>
        <v/>
      </c>
      <c r="E494" s="199" t="str">
        <f aca="false">IF(A495="","",IF(AND(AT494=1,$H$3=1),D494*AO494,IF($H$3=2,D494,"N/A")))</f>
        <v/>
      </c>
      <c r="F494" s="199" t="str">
        <f aca="false">IF(A495="","",E494*AS494)</f>
        <v/>
      </c>
      <c r="G494" s="200" t="str">
        <f aca="false">IF($A495="","",VLOOKUP($A494,Table,MATCH(G$4,Curves,0)))</f>
        <v/>
      </c>
      <c r="H494" s="201" t="str">
        <f aca="false">IF(A495="","",G494)</f>
        <v/>
      </c>
      <c r="J494" s="200" t="str">
        <f aca="false">IF($A495="","",VLOOKUP($A494,Table,MATCH(J$4,Curves,0)))</f>
        <v/>
      </c>
      <c r="K494" s="201" t="str">
        <f aca="false">IF(A495="","",J494)</f>
        <v/>
      </c>
      <c r="L494" s="200" t="str">
        <f aca="false">IF($A495="","",VLOOKUP($A494,Table,MATCH(L$4,Curves,0)))</f>
        <v/>
      </c>
      <c r="M494" s="201" t="str">
        <f aca="false">IF(A495="","",L494)</f>
        <v/>
      </c>
      <c r="O494" s="200" t="str">
        <f aca="false">IF(A495="","",L494+J494+G494)</f>
        <v/>
      </c>
      <c r="P494" s="200" t="str">
        <f aca="false">IF(A495="","",M494+K494+H494)</f>
        <v/>
      </c>
      <c r="R494" s="200" t="str">
        <f aca="false">IF($A495="","",VLOOKUP($A494,Table,MATCH(R$4,Curves,0)))</f>
        <v/>
      </c>
      <c r="S494" s="201" t="str">
        <f aca="false">IF(A495="","",R494)</f>
        <v/>
      </c>
      <c r="T494" s="200" t="str">
        <f aca="false">IF($A495="","",VLOOKUP($A494,Table,MATCH(T$4,Curves,0)))</f>
        <v/>
      </c>
      <c r="U494" s="201" t="str">
        <f aca="false">IF(A495="","",T494)</f>
        <v/>
      </c>
      <c r="V494" s="183" t="str">
        <f aca="false">IF($A495="","",IF(AND(MONTH(A494)&gt;3,MONTH(A494)&lt;11),(T494+R494+G494)*Summary!$T$7/(1-Summary!$T$7),(T494+R494+G494)*Summary!$U$7/(1-Summary!$U$7)))</f>
        <v/>
      </c>
      <c r="W494" s="200" t="str">
        <f aca="false">IF($A495="","",(T494+R494+G494+V494))</f>
        <v/>
      </c>
      <c r="X494" s="200" t="str">
        <f aca="false">IF($A495="","",(U494+S494+H494+V494))</f>
        <v/>
      </c>
      <c r="Y494" s="202"/>
      <c r="AJ494" s="77"/>
      <c r="AK494" s="77"/>
      <c r="AL494" s="77"/>
      <c r="AM494" s="77"/>
      <c r="AN494" s="77"/>
      <c r="AO494" s="137" t="str">
        <f aca="false">IF(A495="","",A495-A494)</f>
        <v/>
      </c>
      <c r="AP494" s="212" t="str">
        <f aca="false">IF(A495="","",CHOOSE(F$3,A495+24,A494))</f>
        <v/>
      </c>
      <c r="AQ494" s="209" t="str">
        <f aca="false">IF(A495="","",AP494-$E$1)</f>
        <v/>
      </c>
      <c r="AR494" s="185" t="n">
        <f aca="false">IF(Summary!$H$2=1,VLOOKUP('ANR OK vs ML7'!A494,Curves!$C$17:$AR$273,MATCH('ANR OK vs ML7'!$AR$4,Curves!$C$8:$AQ$8,0)),0.1)</f>
        <v>0.1</v>
      </c>
      <c r="AS494" s="213" t="str">
        <f aca="false">IF(A495="","",1/(1+CHOOSE(F$3,(AR495+($I$3/10000))/2,(AR494+($I$3/10000))/2))^(2*AQ494/365.25))</f>
        <v/>
      </c>
      <c r="AT494" s="137" t="str">
        <f aca="false">IF(A495="","",IF(AND(mthbeg&lt;=A494,mthend&gt;=A494),1,0))</f>
        <v/>
      </c>
      <c r="AU494" s="137" t="str">
        <f aca="false">IF(A495="","",AO494*AT494)</f>
        <v/>
      </c>
      <c r="AW494" s="195" t="str">
        <f aca="false">IF($A495="","",AL494*$E494)</f>
        <v/>
      </c>
      <c r="AX494" s="195" t="str">
        <f aca="false">IF($A495="","",AM494*$E494)</f>
        <v/>
      </c>
      <c r="AY494" s="195" t="str">
        <f aca="false">IF($A495="","",AN494*$E494)</f>
        <v/>
      </c>
      <c r="BA494" s="195" t="str">
        <f aca="false">IF($A495="","",F494*Summary!$Q$7)</f>
        <v/>
      </c>
    </row>
    <row r="495" customFormat="false" ht="12.75" hidden="false" customHeight="false" outlineLevel="0" collapsed="false">
      <c r="A495" s="196" t="str">
        <f aca="false">IF(A494&lt;mthend,EDATE(A494,1),"")</f>
        <v/>
      </c>
      <c r="B495" s="197" t="str">
        <f aca="false">IF(A495&lt;mthend,B494,"")</f>
        <v/>
      </c>
      <c r="D495" s="197" t="str">
        <f aca="false">IF(A496&lt;&gt;"",B495+C495,"")</f>
        <v/>
      </c>
      <c r="E495" s="199" t="str">
        <f aca="false">IF(A496="","",IF(AND(AT495=1,$H$3=1),D495*AO495,IF($H$3=2,D495,"N/A")))</f>
        <v/>
      </c>
      <c r="F495" s="199" t="str">
        <f aca="false">IF(A496="","",E495*AS495)</f>
        <v/>
      </c>
      <c r="G495" s="200" t="str">
        <f aca="false">IF($A496="","",VLOOKUP($A495,Table,MATCH(G$4,Curves,0)))</f>
        <v/>
      </c>
      <c r="H495" s="201" t="str">
        <f aca="false">IF(A496="","",G495)</f>
        <v/>
      </c>
      <c r="J495" s="200" t="str">
        <f aca="false">IF($A496="","",VLOOKUP($A495,Table,MATCH(J$4,Curves,0)))</f>
        <v/>
      </c>
      <c r="K495" s="201" t="str">
        <f aca="false">IF(A496="","",J495)</f>
        <v/>
      </c>
      <c r="L495" s="200" t="str">
        <f aca="false">IF($A496="","",VLOOKUP($A495,Table,MATCH(L$4,Curves,0)))</f>
        <v/>
      </c>
      <c r="M495" s="201" t="str">
        <f aca="false">IF(A496="","",L495)</f>
        <v/>
      </c>
      <c r="O495" s="200" t="str">
        <f aca="false">IF(A496="","",L495+J495+G495)</f>
        <v/>
      </c>
      <c r="P495" s="200" t="str">
        <f aca="false">IF(A496="","",M495+K495+H495)</f>
        <v/>
      </c>
      <c r="R495" s="200" t="str">
        <f aca="false">IF($A496="","",VLOOKUP($A495,Table,MATCH(R$4,Curves,0)))</f>
        <v/>
      </c>
      <c r="S495" s="201" t="str">
        <f aca="false">IF(A496="","",R495)</f>
        <v/>
      </c>
      <c r="T495" s="200" t="str">
        <f aca="false">IF($A496="","",VLOOKUP($A495,Table,MATCH(T$4,Curves,0)))</f>
        <v/>
      </c>
      <c r="U495" s="201" t="str">
        <f aca="false">IF(A496="","",T495)</f>
        <v/>
      </c>
      <c r="V495" s="183" t="str">
        <f aca="false">IF($A496="","",IF(AND(MONTH(A495)&gt;3,MONTH(A495)&lt;11),(T495+R495+G495)*Summary!$T$7/(1-Summary!$T$7),(T495+R495+G495)*Summary!$U$7/(1-Summary!$U$7)))</f>
        <v/>
      </c>
      <c r="W495" s="200" t="str">
        <f aca="false">IF($A496="","",(T495+R495+G495+V495))</f>
        <v/>
      </c>
      <c r="X495" s="200" t="str">
        <f aca="false">IF($A496="","",(U495+S495+H495+V495))</f>
        <v/>
      </c>
      <c r="Y495" s="202"/>
      <c r="AJ495" s="77"/>
      <c r="AK495" s="77"/>
      <c r="AL495" s="77"/>
      <c r="AM495" s="77"/>
      <c r="AN495" s="77"/>
      <c r="AO495" s="137" t="str">
        <f aca="false">IF(A496="","",A496-A495)</f>
        <v/>
      </c>
      <c r="AP495" s="212" t="str">
        <f aca="false">IF(A496="","",CHOOSE(F$3,A496+24,A495))</f>
        <v/>
      </c>
      <c r="AQ495" s="209" t="str">
        <f aca="false">IF(A496="","",AP495-$E$1)</f>
        <v/>
      </c>
      <c r="AR495" s="185" t="n">
        <f aca="false">IF(Summary!$H$2=1,VLOOKUP('ANR OK vs ML7'!A495,Curves!$C$17:$AR$273,MATCH('ANR OK vs ML7'!$AR$4,Curves!$C$8:$AQ$8,0)),0.1)</f>
        <v>0.1</v>
      </c>
      <c r="AS495" s="213" t="str">
        <f aca="false">IF(A496="","",1/(1+CHOOSE(F$3,(AR496+($I$3/10000))/2,(AR495+($I$3/10000))/2))^(2*AQ495/365.25))</f>
        <v/>
      </c>
      <c r="AT495" s="137" t="str">
        <f aca="false">IF(A496="","",IF(AND(mthbeg&lt;=A495,mthend&gt;=A495),1,0))</f>
        <v/>
      </c>
      <c r="AU495" s="137" t="str">
        <f aca="false">IF(A496="","",AO495*AT495)</f>
        <v/>
      </c>
      <c r="AW495" s="195" t="str">
        <f aca="false">IF($A496="","",AL495*$E495)</f>
        <v/>
      </c>
      <c r="AX495" s="195" t="str">
        <f aca="false">IF($A496="","",AM495*$E495)</f>
        <v/>
      </c>
      <c r="AY495" s="195" t="str">
        <f aca="false">IF($A496="","",AN495*$E495)</f>
        <v/>
      </c>
      <c r="BA495" s="195" t="str">
        <f aca="false">IF($A496="","",F495*Summary!$Q$7)</f>
        <v/>
      </c>
    </row>
    <row r="496" customFormat="false" ht="12.75" hidden="false" customHeight="false" outlineLevel="0" collapsed="false">
      <c r="A496" s="196" t="str">
        <f aca="false">IF(A495&lt;mthend,EDATE(A495,1),"")</f>
        <v/>
      </c>
      <c r="B496" s="197" t="str">
        <f aca="false">IF(A496&lt;mthend,B495,"")</f>
        <v/>
      </c>
      <c r="D496" s="197" t="str">
        <f aca="false">IF(A497&lt;&gt;"",B496+C496,"")</f>
        <v/>
      </c>
      <c r="E496" s="199" t="str">
        <f aca="false">IF(A497="","",IF(AND(AT496=1,$H$3=1),D496*AO496,IF($H$3=2,D496,"N/A")))</f>
        <v/>
      </c>
      <c r="F496" s="199" t="str">
        <f aca="false">IF(A497="","",E496*AS496)</f>
        <v/>
      </c>
      <c r="G496" s="200" t="str">
        <f aca="false">IF($A497="","",VLOOKUP($A496,Table,MATCH(G$4,Curves,0)))</f>
        <v/>
      </c>
      <c r="H496" s="201" t="str">
        <f aca="false">IF(A497="","",G496)</f>
        <v/>
      </c>
      <c r="J496" s="200" t="str">
        <f aca="false">IF($A497="","",VLOOKUP($A496,Table,MATCH(J$4,Curves,0)))</f>
        <v/>
      </c>
      <c r="K496" s="201" t="str">
        <f aca="false">IF(A497="","",J496)</f>
        <v/>
      </c>
      <c r="L496" s="200" t="str">
        <f aca="false">IF($A497="","",VLOOKUP($A496,Table,MATCH(L$4,Curves,0)))</f>
        <v/>
      </c>
      <c r="M496" s="201" t="str">
        <f aca="false">IF(A497="","",L496)</f>
        <v/>
      </c>
      <c r="O496" s="200" t="str">
        <f aca="false">IF(A497="","",L496+J496+G496)</f>
        <v/>
      </c>
      <c r="P496" s="200" t="str">
        <f aca="false">IF(A497="","",M496+K496+H496)</f>
        <v/>
      </c>
      <c r="R496" s="200" t="str">
        <f aca="false">IF($A497="","",VLOOKUP($A496,Table,MATCH(R$4,Curves,0)))</f>
        <v/>
      </c>
      <c r="S496" s="201" t="str">
        <f aca="false">IF(A497="","",R496)</f>
        <v/>
      </c>
      <c r="T496" s="200" t="str">
        <f aca="false">IF($A497="","",VLOOKUP($A496,Table,MATCH(T$4,Curves,0)))</f>
        <v/>
      </c>
      <c r="U496" s="201" t="str">
        <f aca="false">IF(A497="","",T496)</f>
        <v/>
      </c>
      <c r="V496" s="183" t="str">
        <f aca="false">IF($A497="","",IF(AND(MONTH(A496)&gt;3,MONTH(A496)&lt;11),(T496+R496+G496)*Summary!$T$7/(1-Summary!$T$7),(T496+R496+G496)*Summary!$U$7/(1-Summary!$U$7)))</f>
        <v/>
      </c>
      <c r="W496" s="200" t="str">
        <f aca="false">IF($A497="","",(T496+R496+G496+V496))</f>
        <v/>
      </c>
      <c r="X496" s="200" t="str">
        <f aca="false">IF($A497="","",(U496+S496+H496+V496))</f>
        <v/>
      </c>
      <c r="Y496" s="202"/>
      <c r="AJ496" s="77"/>
      <c r="AK496" s="77"/>
      <c r="AL496" s="77"/>
      <c r="AM496" s="77"/>
      <c r="AN496" s="77"/>
      <c r="AO496" s="137" t="str">
        <f aca="false">IF(A497="","",A497-A496)</f>
        <v/>
      </c>
      <c r="AP496" s="212" t="str">
        <f aca="false">IF(A497="","",CHOOSE(F$3,A497+24,A496))</f>
        <v/>
      </c>
      <c r="AQ496" s="209" t="str">
        <f aca="false">IF(A497="","",AP496-$E$1)</f>
        <v/>
      </c>
      <c r="AR496" s="185" t="n">
        <f aca="false">IF(Summary!$H$2=1,VLOOKUP('ANR OK vs ML7'!A496,Curves!$C$17:$AR$273,MATCH('ANR OK vs ML7'!$AR$4,Curves!$C$8:$AQ$8,0)),0.1)</f>
        <v>0.1</v>
      </c>
      <c r="AS496" s="213" t="str">
        <f aca="false">IF(A497="","",1/(1+CHOOSE(F$3,(AR497+($I$3/10000))/2,(AR496+($I$3/10000))/2))^(2*AQ496/365.25))</f>
        <v/>
      </c>
      <c r="AT496" s="137" t="str">
        <f aca="false">IF(A497="","",IF(AND(mthbeg&lt;=A496,mthend&gt;=A496),1,0))</f>
        <v/>
      </c>
      <c r="AU496" s="137" t="str">
        <f aca="false">IF(A497="","",AO496*AT496)</f>
        <v/>
      </c>
      <c r="AW496" s="195" t="str">
        <f aca="false">IF($A497="","",AL496*$E496)</f>
        <v/>
      </c>
      <c r="AX496" s="195" t="str">
        <f aca="false">IF($A497="","",AM496*$E496)</f>
        <v/>
      </c>
      <c r="AY496" s="195" t="str">
        <f aca="false">IF($A497="","",AN496*$E496)</f>
        <v/>
      </c>
      <c r="BA496" s="195" t="str">
        <f aca="false">IF($A497="","",F496*Summary!$Q$7)</f>
        <v/>
      </c>
    </row>
    <row r="497" customFormat="false" ht="12.75" hidden="false" customHeight="false" outlineLevel="0" collapsed="false">
      <c r="A497" s="196" t="str">
        <f aca="false">IF(A496&lt;mthend,EDATE(A496,1),"")</f>
        <v/>
      </c>
      <c r="B497" s="197" t="str">
        <f aca="false">IF(A497&lt;mthend,B496,"")</f>
        <v/>
      </c>
      <c r="D497" s="197" t="str">
        <f aca="false">IF(A498&lt;&gt;"",B497+C497,"")</f>
        <v/>
      </c>
      <c r="E497" s="199" t="str">
        <f aca="false">IF(A498="","",IF(AND(AT497=1,$H$3=1),D497*AO497,IF($H$3=2,D497,"N/A")))</f>
        <v/>
      </c>
      <c r="F497" s="199" t="str">
        <f aca="false">IF(A498="","",E497*AS497)</f>
        <v/>
      </c>
      <c r="G497" s="200" t="str">
        <f aca="false">IF($A498="","",VLOOKUP($A497,Table,MATCH(G$4,Curves,0)))</f>
        <v/>
      </c>
      <c r="H497" s="201" t="str">
        <f aca="false">IF(A498="","",G497)</f>
        <v/>
      </c>
      <c r="J497" s="200" t="str">
        <f aca="false">IF($A498="","",VLOOKUP($A497,Table,MATCH(J$4,Curves,0)))</f>
        <v/>
      </c>
      <c r="K497" s="201" t="str">
        <f aca="false">IF(A498="","",J497)</f>
        <v/>
      </c>
      <c r="L497" s="200" t="str">
        <f aca="false">IF($A498="","",VLOOKUP($A497,Table,MATCH(L$4,Curves,0)))</f>
        <v/>
      </c>
      <c r="M497" s="201" t="str">
        <f aca="false">IF(A498="","",L497)</f>
        <v/>
      </c>
      <c r="O497" s="200" t="str">
        <f aca="false">IF(A498="","",L497+J497+G497)</f>
        <v/>
      </c>
      <c r="P497" s="200" t="str">
        <f aca="false">IF(A498="","",M497+K497+H497)</f>
        <v/>
      </c>
      <c r="R497" s="200" t="str">
        <f aca="false">IF($A498="","",VLOOKUP($A497,Table,MATCH(R$4,Curves,0)))</f>
        <v/>
      </c>
      <c r="S497" s="201" t="str">
        <f aca="false">IF(A498="","",R497)</f>
        <v/>
      </c>
      <c r="T497" s="200" t="str">
        <f aca="false">IF($A498="","",VLOOKUP($A497,Table,MATCH(T$4,Curves,0)))</f>
        <v/>
      </c>
      <c r="U497" s="201" t="str">
        <f aca="false">IF(A498="","",T497)</f>
        <v/>
      </c>
      <c r="V497" s="183" t="str">
        <f aca="false">IF($A498="","",IF(AND(MONTH(A497)&gt;3,MONTH(A497)&lt;11),(T497+R497+G497)*Summary!$T$7/(1-Summary!$T$7),(T497+R497+G497)*Summary!$U$7/(1-Summary!$U$7)))</f>
        <v/>
      </c>
      <c r="W497" s="200" t="str">
        <f aca="false">IF($A498="","",(T497+R497+G497+V497))</f>
        <v/>
      </c>
      <c r="X497" s="200" t="str">
        <f aca="false">IF($A498="","",(U497+S497+H497+V497))</f>
        <v/>
      </c>
      <c r="Y497" s="202"/>
      <c r="AJ497" s="77"/>
      <c r="AK497" s="77"/>
      <c r="AL497" s="77"/>
      <c r="AM497" s="77"/>
      <c r="AN497" s="77"/>
      <c r="AO497" s="137" t="str">
        <f aca="false">IF(A498="","",A498-A497)</f>
        <v/>
      </c>
      <c r="AP497" s="212" t="str">
        <f aca="false">IF(A498="","",CHOOSE(F$3,A498+24,A497))</f>
        <v/>
      </c>
      <c r="AQ497" s="209" t="str">
        <f aca="false">IF(A498="","",AP497-$E$1)</f>
        <v/>
      </c>
      <c r="AR497" s="185" t="n">
        <f aca="false">IF(Summary!$H$2=1,VLOOKUP('ANR OK vs ML7'!A497,Curves!$C$17:$AR$273,MATCH('ANR OK vs ML7'!$AR$4,Curves!$C$8:$AQ$8,0)),0.1)</f>
        <v>0.1</v>
      </c>
      <c r="AS497" s="213" t="str">
        <f aca="false">IF(A498="","",1/(1+CHOOSE(F$3,(AR498+($I$3/10000))/2,(AR497+($I$3/10000))/2))^(2*AQ497/365.25))</f>
        <v/>
      </c>
      <c r="AT497" s="137" t="str">
        <f aca="false">IF(A498="","",IF(AND(mthbeg&lt;=A497,mthend&gt;=A497),1,0))</f>
        <v/>
      </c>
      <c r="AU497" s="137" t="str">
        <f aca="false">IF(A498="","",AO497*AT497)</f>
        <v/>
      </c>
      <c r="AW497" s="195" t="str">
        <f aca="false">IF($A498="","",AL497*$E497)</f>
        <v/>
      </c>
      <c r="AX497" s="195" t="str">
        <f aca="false">IF($A498="","",AM497*$E497)</f>
        <v/>
      </c>
      <c r="AY497" s="195" t="str">
        <f aca="false">IF($A498="","",AN497*$E497)</f>
        <v/>
      </c>
      <c r="BA497" s="195" t="str">
        <f aca="false">IF($A498="","",F497*Summary!$Q$7)</f>
        <v/>
      </c>
    </row>
    <row r="498" customFormat="false" ht="12.75" hidden="false" customHeight="false" outlineLevel="0" collapsed="false">
      <c r="A498" s="196" t="str">
        <f aca="false">IF(A497&lt;mthend,EDATE(A497,1),"")</f>
        <v/>
      </c>
      <c r="B498" s="197" t="str">
        <f aca="false">IF(A498&lt;mthend,B497,"")</f>
        <v/>
      </c>
      <c r="D498" s="197" t="str">
        <f aca="false">IF(A499&lt;&gt;"",B498+C498,"")</f>
        <v/>
      </c>
      <c r="E498" s="199" t="str">
        <f aca="false">IF(A499="","",IF(AND(AT498=1,$H$3=1),D498*AO498,IF($H$3=2,D498,"N/A")))</f>
        <v/>
      </c>
      <c r="F498" s="199" t="str">
        <f aca="false">IF(A499="","",E498*AS498)</f>
        <v/>
      </c>
      <c r="G498" s="200" t="str">
        <f aca="false">IF($A499="","",VLOOKUP($A498,Table,MATCH(G$4,Curves,0)))</f>
        <v/>
      </c>
      <c r="H498" s="201" t="str">
        <f aca="false">IF(A499="","",G498)</f>
        <v/>
      </c>
      <c r="J498" s="200" t="str">
        <f aca="false">IF($A499="","",VLOOKUP($A498,Table,MATCH(J$4,Curves,0)))</f>
        <v/>
      </c>
      <c r="K498" s="201" t="str">
        <f aca="false">IF(A499="","",J498)</f>
        <v/>
      </c>
      <c r="L498" s="200" t="str">
        <f aca="false">IF($A499="","",VLOOKUP($A498,Table,MATCH(L$4,Curves,0)))</f>
        <v/>
      </c>
      <c r="M498" s="201" t="str">
        <f aca="false">IF(A499="","",L498)</f>
        <v/>
      </c>
      <c r="O498" s="200" t="str">
        <f aca="false">IF(A499="","",L498+J498+G498)</f>
        <v/>
      </c>
      <c r="P498" s="200" t="str">
        <f aca="false">IF(A499="","",M498+K498+H498)</f>
        <v/>
      </c>
      <c r="R498" s="200" t="str">
        <f aca="false">IF($A499="","",VLOOKUP($A498,Table,MATCH(R$4,Curves,0)))</f>
        <v/>
      </c>
      <c r="S498" s="201" t="str">
        <f aca="false">IF(A499="","",R498)</f>
        <v/>
      </c>
      <c r="T498" s="200" t="str">
        <f aca="false">IF($A499="","",VLOOKUP($A498,Table,MATCH(T$4,Curves,0)))</f>
        <v/>
      </c>
      <c r="U498" s="201" t="str">
        <f aca="false">IF(A499="","",T498)</f>
        <v/>
      </c>
      <c r="V498" s="183" t="str">
        <f aca="false">IF($A499="","",IF(AND(MONTH(A498)&gt;3,MONTH(A498)&lt;11),(T498+R498+G498)*Summary!$T$7/(1-Summary!$T$7),(T498+R498+G498)*Summary!$U$7/(1-Summary!$U$7)))</f>
        <v/>
      </c>
      <c r="W498" s="200" t="str">
        <f aca="false">IF($A499="","",(T498+R498+G498+V498))</f>
        <v/>
      </c>
      <c r="X498" s="200" t="str">
        <f aca="false">IF($A499="","",(U498+S498+H498+V498))</f>
        <v/>
      </c>
      <c r="Y498" s="202"/>
      <c r="AJ498" s="77"/>
      <c r="AK498" s="77"/>
      <c r="AL498" s="77"/>
      <c r="AM498" s="77"/>
      <c r="AN498" s="77"/>
      <c r="AO498" s="137" t="str">
        <f aca="false">IF(A499="","",A499-A498)</f>
        <v/>
      </c>
      <c r="AP498" s="212" t="str">
        <f aca="false">IF(A499="","",CHOOSE(F$3,A499+24,A498))</f>
        <v/>
      </c>
      <c r="AQ498" s="209" t="str">
        <f aca="false">IF(A499="","",AP498-$E$1)</f>
        <v/>
      </c>
      <c r="AR498" s="185" t="n">
        <f aca="false">IF(Summary!$H$2=1,VLOOKUP('ANR OK vs ML7'!A498,Curves!$C$17:$AR$273,MATCH('ANR OK vs ML7'!$AR$4,Curves!$C$8:$AQ$8,0)),0.1)</f>
        <v>0.1</v>
      </c>
      <c r="AS498" s="213" t="str">
        <f aca="false">IF(A499="","",1/(1+CHOOSE(F$3,(AR499+($I$3/10000))/2,(AR498+($I$3/10000))/2))^(2*AQ498/365.25))</f>
        <v/>
      </c>
      <c r="AT498" s="137" t="str">
        <f aca="false">IF(A499="","",IF(AND(mthbeg&lt;=A498,mthend&gt;=A498),1,0))</f>
        <v/>
      </c>
      <c r="AU498" s="137" t="str">
        <f aca="false">IF(A499="","",AO498*AT498)</f>
        <v/>
      </c>
      <c r="AW498" s="195" t="str">
        <f aca="false">IF($A499="","",AL498*$E498)</f>
        <v/>
      </c>
      <c r="AX498" s="195" t="str">
        <f aca="false">IF($A499="","",AM498*$E498)</f>
        <v/>
      </c>
      <c r="AY498" s="195" t="str">
        <f aca="false">IF($A499="","",AN498*$E498)</f>
        <v/>
      </c>
      <c r="BA498" s="195" t="str">
        <f aca="false">IF($A499="","",F498*Summary!$Q$7)</f>
        <v/>
      </c>
    </row>
    <row r="499" customFormat="false" ht="12.75" hidden="false" customHeight="false" outlineLevel="0" collapsed="false">
      <c r="A499" s="196" t="str">
        <f aca="false">IF(A498&lt;mthend,EDATE(A498,1),"")</f>
        <v/>
      </c>
      <c r="B499" s="197" t="str">
        <f aca="false">IF(A499&lt;mthend,B498,"")</f>
        <v/>
      </c>
      <c r="D499" s="197" t="str">
        <f aca="false">IF(A500&lt;&gt;"",B499+C499,"")</f>
        <v/>
      </c>
      <c r="E499" s="199" t="str">
        <f aca="false">IF(A500="","",IF(AND(AT499=1,$H$3=1),D499*AO499,IF($H$3=2,D499,"N/A")))</f>
        <v/>
      </c>
      <c r="F499" s="199" t="str">
        <f aca="false">IF(A500="","",E499*AS499)</f>
        <v/>
      </c>
      <c r="G499" s="200" t="str">
        <f aca="false">IF($A500="","",VLOOKUP($A499,Table,MATCH(G$4,Curves,0)))</f>
        <v/>
      </c>
      <c r="H499" s="201" t="str">
        <f aca="false">IF(A500="","",G499)</f>
        <v/>
      </c>
      <c r="J499" s="200" t="str">
        <f aca="false">IF($A500="","",VLOOKUP($A499,Table,MATCH(J$4,Curves,0)))</f>
        <v/>
      </c>
      <c r="K499" s="201" t="str">
        <f aca="false">IF(A500="","",J499)</f>
        <v/>
      </c>
      <c r="L499" s="200" t="str">
        <f aca="false">IF($A500="","",VLOOKUP($A499,Table,MATCH(L$4,Curves,0)))</f>
        <v/>
      </c>
      <c r="M499" s="201" t="str">
        <f aca="false">IF(A500="","",L499)</f>
        <v/>
      </c>
      <c r="O499" s="200" t="str">
        <f aca="false">IF(A500="","",L499+J499+G499)</f>
        <v/>
      </c>
      <c r="P499" s="200" t="str">
        <f aca="false">IF(A500="","",M499+K499+H499)</f>
        <v/>
      </c>
      <c r="R499" s="200" t="str">
        <f aca="false">IF($A500="","",VLOOKUP($A499,Table,MATCH(R$4,Curves,0)))</f>
        <v/>
      </c>
      <c r="S499" s="201" t="str">
        <f aca="false">IF(A500="","",R499)</f>
        <v/>
      </c>
      <c r="T499" s="200" t="str">
        <f aca="false">IF($A500="","",VLOOKUP($A499,Table,MATCH(T$4,Curves,0)))</f>
        <v/>
      </c>
      <c r="U499" s="201" t="str">
        <f aca="false">IF(A500="","",T499)</f>
        <v/>
      </c>
      <c r="V499" s="183" t="str">
        <f aca="false">IF($A500="","",IF(AND(MONTH(A499)&gt;3,MONTH(A499)&lt;11),(T499+R499+G499)*Summary!$T$7/(1-Summary!$T$7),(T499+R499+G499)*Summary!$U$7/(1-Summary!$U$7)))</f>
        <v/>
      </c>
      <c r="W499" s="200" t="str">
        <f aca="false">IF($A500="","",(T499+R499+G499+V499))</f>
        <v/>
      </c>
      <c r="X499" s="200" t="str">
        <f aca="false">IF($A500="","",(U499+S499+H499+V499))</f>
        <v/>
      </c>
      <c r="Y499" s="202"/>
      <c r="AJ499" s="77"/>
      <c r="AK499" s="77"/>
      <c r="AL499" s="77"/>
      <c r="AM499" s="77"/>
      <c r="AN499" s="77"/>
      <c r="AO499" s="137" t="str">
        <f aca="false">IF(A500="","",A500-A499)</f>
        <v/>
      </c>
      <c r="AP499" s="212" t="str">
        <f aca="false">IF(A500="","",CHOOSE(F$3,A500+24,A499))</f>
        <v/>
      </c>
      <c r="AQ499" s="209" t="str">
        <f aca="false">IF(A500="","",AP499-$E$1)</f>
        <v/>
      </c>
      <c r="AR499" s="185" t="n">
        <f aca="false">IF(Summary!$H$2=1,VLOOKUP('ANR OK vs ML7'!A499,Curves!$C$17:$AR$273,MATCH('ANR OK vs ML7'!$AR$4,Curves!$C$8:$AQ$8,0)),0.1)</f>
        <v>0.1</v>
      </c>
      <c r="AS499" s="213" t="str">
        <f aca="false">IF(A500="","",1/(1+CHOOSE(F$3,(AR500+($I$3/10000))/2,(AR499+($I$3/10000))/2))^(2*AQ499/365.25))</f>
        <v/>
      </c>
      <c r="AT499" s="137" t="str">
        <f aca="false">IF(A500="","",IF(AND(mthbeg&lt;=A499,mthend&gt;=A499),1,0))</f>
        <v/>
      </c>
      <c r="AU499" s="137" t="str">
        <f aca="false">IF(A500="","",AO499*AT499)</f>
        <v/>
      </c>
      <c r="AW499" s="195" t="str">
        <f aca="false">IF($A500="","",AL499*$E499)</f>
        <v/>
      </c>
      <c r="AX499" s="195" t="str">
        <f aca="false">IF($A500="","",AM499*$E499)</f>
        <v/>
      </c>
      <c r="AY499" s="195" t="str">
        <f aca="false">IF($A500="","",AN499*$E499)</f>
        <v/>
      </c>
      <c r="BA499" s="195" t="str">
        <f aca="false">IF($A500="","",F499*Summary!$Q$7)</f>
        <v/>
      </c>
    </row>
    <row r="500" customFormat="false" ht="12.75" hidden="false" customHeight="false" outlineLevel="0" collapsed="false">
      <c r="A500" s="196" t="str">
        <f aca="false">IF(A499&lt;mthend,EDATE(A499,1),"")</f>
        <v/>
      </c>
      <c r="B500" s="197" t="str">
        <f aca="false">IF(A500&lt;mthend,B499,"")</f>
        <v/>
      </c>
      <c r="D500" s="197"/>
      <c r="E500" s="199"/>
      <c r="F500" s="199"/>
      <c r="G500" s="200"/>
      <c r="H500" s="201"/>
      <c r="J500" s="200"/>
      <c r="K500" s="201"/>
      <c r="L500" s="200"/>
      <c r="M500" s="201"/>
      <c r="O500" s="204"/>
      <c r="P500" s="204"/>
      <c r="R500" s="200"/>
      <c r="S500" s="201"/>
      <c r="T500" s="200"/>
      <c r="U500" s="201"/>
      <c r="W500" s="202"/>
      <c r="X500" s="202"/>
      <c r="Y500" s="202"/>
      <c r="AJ500" s="77"/>
      <c r="AK500" s="77"/>
      <c r="AL500" s="77"/>
      <c r="AM500" s="77"/>
      <c r="AN500" s="77"/>
      <c r="AP500" s="212"/>
      <c r="AQ500" s="209"/>
      <c r="AR500" s="185"/>
      <c r="AS500" s="213"/>
      <c r="AW500" s="195" t="n">
        <f aca="false">IF($A501="","",AL500*$E500)</f>
        <v>0</v>
      </c>
      <c r="AX500" s="195" t="n">
        <f aca="false">IF($A501="","",AM500*$E500)</f>
        <v>0</v>
      </c>
      <c r="AY500" s="195" t="n">
        <f aca="false">IF($A501="","",AN500*$E500)</f>
        <v>0</v>
      </c>
      <c r="BA500" s="195" t="n">
        <f aca="false">IF($A501="","",F500*Summary!$Q$7)</f>
        <v>0</v>
      </c>
    </row>
    <row r="501" customFormat="false" ht="12.75" hidden="false" customHeight="false" outlineLevel="0" collapsed="false">
      <c r="A501" s="21" t="n">
        <v>0</v>
      </c>
      <c r="B501" s="197" t="str">
        <f aca="false">IF(A501&lt;mthend,B500,"")</f>
        <v/>
      </c>
      <c r="C501" s="21" t="n">
        <v>0</v>
      </c>
      <c r="D501" s="21" t="n">
        <v>0</v>
      </c>
      <c r="E501" s="21" t="n">
        <v>0</v>
      </c>
      <c r="F501" s="21" t="n">
        <v>0</v>
      </c>
      <c r="G501" s="21" t="n">
        <v>0</v>
      </c>
      <c r="H501" s="21" t="n">
        <v>0</v>
      </c>
      <c r="I501" s="21" t="n">
        <v>0</v>
      </c>
      <c r="J501" s="21" t="n">
        <v>0</v>
      </c>
      <c r="K501" s="21" t="n">
        <v>0</v>
      </c>
      <c r="L501" s="21" t="n">
        <v>0</v>
      </c>
      <c r="M501" s="21" t="n">
        <v>0</v>
      </c>
      <c r="N501" s="21" t="n">
        <v>0</v>
      </c>
      <c r="O501" s="21" t="n">
        <v>0</v>
      </c>
      <c r="P501" s="21" t="n">
        <v>0</v>
      </c>
      <c r="Q501" s="21" t="n">
        <v>0</v>
      </c>
      <c r="R501" s="21" t="n">
        <v>0</v>
      </c>
      <c r="S501" s="21" t="n">
        <v>0</v>
      </c>
      <c r="T501" s="21" t="n">
        <v>0</v>
      </c>
      <c r="U501" s="21" t="n">
        <v>0</v>
      </c>
      <c r="V501" s="21" t="n">
        <v>0</v>
      </c>
      <c r="W501" s="21" t="n">
        <v>0</v>
      </c>
      <c r="X501" s="21" t="n">
        <v>0</v>
      </c>
      <c r="Y501" s="21" t="n">
        <v>0</v>
      </c>
      <c r="Z501" s="21" t="n">
        <v>0</v>
      </c>
      <c r="AA501" s="21" t="n">
        <v>0</v>
      </c>
      <c r="AB501" s="21"/>
      <c r="AC501" s="21" t="n">
        <v>0</v>
      </c>
      <c r="AD501" s="21"/>
      <c r="AE501" s="21"/>
      <c r="AF501" s="21" t="n">
        <v>0</v>
      </c>
      <c r="AG501" s="21" t="n">
        <v>0</v>
      </c>
      <c r="AH501" s="21" t="n">
        <v>0</v>
      </c>
      <c r="AI501" s="21" t="n">
        <v>0</v>
      </c>
      <c r="AJ501" s="77"/>
      <c r="AK501" s="77"/>
      <c r="AL501" s="77"/>
      <c r="AM501" s="77"/>
      <c r="AN501" s="77"/>
      <c r="AO501" s="21" t="n">
        <v>0</v>
      </c>
      <c r="AP501" s="21" t="n">
        <v>0</v>
      </c>
      <c r="AQ501" s="21" t="n">
        <v>0</v>
      </c>
      <c r="AR501" s="21" t="n">
        <v>0</v>
      </c>
      <c r="AS501" s="21" t="n">
        <v>0</v>
      </c>
      <c r="AT501" s="21" t="n">
        <v>0</v>
      </c>
      <c r="AU501" s="21" t="n">
        <v>0</v>
      </c>
      <c r="AV501" s="21" t="n">
        <v>0</v>
      </c>
      <c r="AW501" s="195" t="str">
        <f aca="false">IF($A502="","",AL501*$E501)</f>
        <v/>
      </c>
      <c r="AX501" s="195" t="str">
        <f aca="false">IF($A502="","",AM501*$E501)</f>
        <v/>
      </c>
      <c r="AY501" s="195" t="str">
        <f aca="false">IF($A502="","",AN501*$E501)</f>
        <v/>
      </c>
      <c r="AZ501" s="21" t="n">
        <v>0</v>
      </c>
      <c r="BA501" s="195" t="str">
        <f aca="false">IF($A502="","",F501*Summary!$Q$7)</f>
        <v/>
      </c>
      <c r="BB501" s="21" t="n">
        <v>0</v>
      </c>
      <c r="BC501" s="21" t="n">
        <v>0</v>
      </c>
      <c r="BD501" s="21" t="n">
        <v>0</v>
      </c>
      <c r="BE501" s="21" t="n">
        <v>0</v>
      </c>
      <c r="BF501" s="21" t="n">
        <v>0</v>
      </c>
      <c r="BG501" s="21" t="n">
        <v>0</v>
      </c>
      <c r="BH501" s="21" t="n">
        <v>0</v>
      </c>
      <c r="BI501" s="21" t="n">
        <v>0</v>
      </c>
      <c r="BJ501" s="21" t="n">
        <v>0</v>
      </c>
      <c r="BK501" s="21" t="n">
        <v>0</v>
      </c>
      <c r="BL501" s="21" t="n">
        <v>0</v>
      </c>
      <c r="BM501" s="21" t="n">
        <v>0</v>
      </c>
      <c r="BN501" s="21" t="n">
        <v>0</v>
      </c>
      <c r="BO501" s="21" t="n">
        <v>0</v>
      </c>
      <c r="BP501" s="21" t="n">
        <v>0</v>
      </c>
      <c r="BQ501" s="21" t="n">
        <v>0</v>
      </c>
      <c r="BR501" s="21" t="n">
        <v>0</v>
      </c>
      <c r="BS501" s="21" t="n">
        <v>0</v>
      </c>
      <c r="BT501" s="21" t="n">
        <v>0</v>
      </c>
      <c r="BU501" s="21" t="n">
        <v>0</v>
      </c>
      <c r="BV501" s="21" t="n">
        <v>0</v>
      </c>
      <c r="BW501" s="21" t="n">
        <v>0</v>
      </c>
      <c r="BX501" s="21" t="n">
        <v>0</v>
      </c>
      <c r="BY501" s="21" t="n">
        <v>0</v>
      </c>
      <c r="BZ501" s="21" t="n">
        <v>0</v>
      </c>
      <c r="CA501" s="21" t="n">
        <v>0</v>
      </c>
      <c r="CB501" s="21" t="n">
        <v>0</v>
      </c>
      <c r="CC501" s="21" t="n">
        <v>0</v>
      </c>
      <c r="CD501" s="21" t="n">
        <v>0</v>
      </c>
      <c r="CE501" s="21" t="n">
        <v>0</v>
      </c>
      <c r="CF501" s="21" t="n">
        <v>0</v>
      </c>
      <c r="CG501" s="21" t="n">
        <v>0</v>
      </c>
      <c r="CH501" s="21" t="n">
        <v>0</v>
      </c>
      <c r="CI501" s="21" t="n">
        <v>0</v>
      </c>
      <c r="CJ501" s="21" t="n">
        <v>0</v>
      </c>
      <c r="CK501" s="21" t="n">
        <v>0</v>
      </c>
      <c r="CL501" s="21" t="n">
        <v>0</v>
      </c>
      <c r="CM501" s="21" t="n">
        <v>0</v>
      </c>
      <c r="CN501" s="21" t="n">
        <v>0</v>
      </c>
      <c r="CO501" s="21" t="n">
        <v>0</v>
      </c>
      <c r="CP501" s="21" t="n">
        <v>0</v>
      </c>
      <c r="CQ501" s="21" t="n">
        <v>0</v>
      </c>
      <c r="CR501" s="21" t="n">
        <v>0</v>
      </c>
      <c r="CS501" s="21" t="n">
        <v>0</v>
      </c>
      <c r="CT501" s="21" t="n">
        <v>0</v>
      </c>
      <c r="CU501" s="21" t="n">
        <v>0</v>
      </c>
      <c r="CV501" s="21" t="n">
        <v>0</v>
      </c>
      <c r="CW501" s="21" t="n">
        <v>0</v>
      </c>
      <c r="CX501" s="21" t="n">
        <v>0</v>
      </c>
      <c r="CY501" s="21" t="n">
        <v>0</v>
      </c>
      <c r="CZ501" s="21" t="n">
        <v>0</v>
      </c>
      <c r="DA501" s="21" t="n">
        <v>0</v>
      </c>
      <c r="DB501" s="21" t="n">
        <v>0</v>
      </c>
      <c r="DC501" s="21" t="n">
        <v>0</v>
      </c>
      <c r="DD501" s="21" t="n">
        <v>0</v>
      </c>
      <c r="DE501" s="21" t="n">
        <v>0</v>
      </c>
      <c r="DF501" s="21" t="n">
        <v>0</v>
      </c>
      <c r="DG501" s="21" t="n">
        <v>0</v>
      </c>
      <c r="DH501" s="21" t="n">
        <v>0</v>
      </c>
      <c r="DI501" s="21" t="n">
        <v>0</v>
      </c>
      <c r="DJ501" s="21" t="n">
        <v>0</v>
      </c>
      <c r="DK501" s="21" t="n">
        <v>0</v>
      </c>
      <c r="DL501" s="21" t="n">
        <v>0</v>
      </c>
      <c r="DM501" s="21" t="n">
        <v>0</v>
      </c>
      <c r="DN501" s="21" t="n">
        <v>0</v>
      </c>
      <c r="DO501" s="21" t="n">
        <v>0</v>
      </c>
      <c r="DP501" s="21" t="n">
        <v>0</v>
      </c>
      <c r="DQ501" s="21" t="n">
        <v>0</v>
      </c>
      <c r="DR501" s="21" t="n">
        <v>0</v>
      </c>
      <c r="DS501" s="21" t="n">
        <v>0</v>
      </c>
      <c r="DT501" s="21" t="n">
        <v>0</v>
      </c>
      <c r="DU501" s="21" t="n">
        <v>0</v>
      </c>
      <c r="DV501" s="21" t="n">
        <v>0</v>
      </c>
      <c r="DW501" s="21" t="n">
        <v>0</v>
      </c>
      <c r="DX501" s="21" t="n">
        <v>0</v>
      </c>
      <c r="DY501" s="21" t="n">
        <v>0</v>
      </c>
      <c r="DZ501" s="21" t="n">
        <v>0</v>
      </c>
      <c r="EA501" s="21" t="n">
        <v>0</v>
      </c>
      <c r="EB501" s="21" t="n">
        <v>0</v>
      </c>
      <c r="EC501" s="21" t="n">
        <v>0</v>
      </c>
      <c r="ED501" s="21" t="n">
        <v>0</v>
      </c>
      <c r="EE501" s="21" t="n">
        <v>0</v>
      </c>
      <c r="EF501" s="21" t="n">
        <v>0</v>
      </c>
      <c r="EG501" s="21" t="n">
        <v>0</v>
      </c>
      <c r="EH501" s="21" t="n">
        <v>0</v>
      </c>
      <c r="EI501" s="21" t="n">
        <v>0</v>
      </c>
      <c r="EJ501" s="21" t="n">
        <v>0</v>
      </c>
      <c r="EK501" s="21" t="n">
        <v>0</v>
      </c>
      <c r="EL501" s="21" t="n">
        <v>0</v>
      </c>
      <c r="EM501" s="21" t="n">
        <v>0</v>
      </c>
      <c r="EN501" s="21" t="n">
        <v>0</v>
      </c>
      <c r="EO501" s="21" t="n">
        <v>0</v>
      </c>
      <c r="EP501" s="21" t="n">
        <v>0</v>
      </c>
      <c r="EQ501" s="21" t="n">
        <v>0</v>
      </c>
      <c r="ER501" s="21" t="n">
        <v>0</v>
      </c>
      <c r="ES501" s="21" t="n">
        <v>0</v>
      </c>
      <c r="ET501" s="21" t="n">
        <v>0</v>
      </c>
      <c r="EU501" s="21" t="n">
        <v>0</v>
      </c>
      <c r="EV501" s="21" t="n">
        <v>0</v>
      </c>
      <c r="EW501" s="21" t="n">
        <v>0</v>
      </c>
      <c r="EX501" s="21" t="n">
        <v>0</v>
      </c>
      <c r="EY501" s="21" t="n">
        <v>0</v>
      </c>
      <c r="EZ501" s="21" t="n">
        <v>0</v>
      </c>
      <c r="FA501" s="21" t="n">
        <v>0</v>
      </c>
      <c r="FB501" s="21" t="n">
        <v>0</v>
      </c>
      <c r="FC501" s="21" t="n">
        <v>0</v>
      </c>
      <c r="FD501" s="21" t="n">
        <v>0</v>
      </c>
      <c r="FE501" s="21" t="n">
        <v>0</v>
      </c>
      <c r="FF501" s="21" t="n">
        <v>0</v>
      </c>
      <c r="FG501" s="21" t="n">
        <v>0</v>
      </c>
      <c r="FH501" s="21" t="n">
        <v>0</v>
      </c>
      <c r="FI501" s="21" t="n">
        <v>0</v>
      </c>
      <c r="FJ501" s="21" t="n">
        <v>0</v>
      </c>
      <c r="FK501" s="21" t="n">
        <v>0</v>
      </c>
      <c r="FL501" s="21" t="n">
        <v>0</v>
      </c>
      <c r="FM501" s="21" t="n">
        <v>0</v>
      </c>
      <c r="FN501" s="21" t="n">
        <v>0</v>
      </c>
      <c r="FO501" s="21" t="n">
        <v>0</v>
      </c>
      <c r="FP501" s="21" t="n">
        <v>0</v>
      </c>
      <c r="FQ501" s="21" t="n">
        <v>0</v>
      </c>
      <c r="FR501" s="21" t="n">
        <v>0</v>
      </c>
      <c r="FS501" s="21" t="n">
        <v>0</v>
      </c>
      <c r="FT501" s="21" t="n">
        <v>0</v>
      </c>
      <c r="FU501" s="21" t="n">
        <v>0</v>
      </c>
      <c r="FV501" s="21" t="n">
        <v>0</v>
      </c>
      <c r="FW501" s="21" t="n">
        <v>0</v>
      </c>
      <c r="FX501" s="21" t="n">
        <v>0</v>
      </c>
      <c r="FY501" s="21" t="n">
        <v>0</v>
      </c>
      <c r="FZ501" s="21" t="n">
        <v>0</v>
      </c>
      <c r="GA501" s="21" t="n">
        <v>0</v>
      </c>
      <c r="GB501" s="21" t="n">
        <v>0</v>
      </c>
      <c r="GC501" s="21" t="n">
        <v>0</v>
      </c>
      <c r="GD501" s="21" t="n">
        <v>0</v>
      </c>
      <c r="GE501" s="21" t="n">
        <v>0</v>
      </c>
      <c r="GF501" s="21" t="n">
        <v>0</v>
      </c>
      <c r="GG501" s="21" t="n">
        <v>0</v>
      </c>
      <c r="GH501" s="21" t="n">
        <v>0</v>
      </c>
      <c r="GI501" s="21" t="n">
        <v>0</v>
      </c>
      <c r="GJ501" s="21" t="n">
        <v>0</v>
      </c>
      <c r="GK501" s="21" t="n">
        <v>0</v>
      </c>
      <c r="GL501" s="21" t="n">
        <v>0</v>
      </c>
      <c r="GM501" s="21" t="n">
        <v>0</v>
      </c>
      <c r="GN501" s="21" t="n">
        <v>0</v>
      </c>
      <c r="GO501" s="21" t="n">
        <v>0</v>
      </c>
      <c r="GP501" s="21" t="n">
        <v>0</v>
      </c>
      <c r="GQ501" s="21" t="n">
        <v>0</v>
      </c>
      <c r="GR501" s="21" t="n">
        <v>0</v>
      </c>
      <c r="GS501" s="21" t="n">
        <v>0</v>
      </c>
      <c r="GT501" s="21" t="n">
        <v>0</v>
      </c>
      <c r="GU501" s="21" t="n">
        <v>0</v>
      </c>
      <c r="GV501" s="21" t="n">
        <v>0</v>
      </c>
      <c r="GW501" s="21" t="n">
        <v>0</v>
      </c>
      <c r="GX501" s="21" t="n">
        <v>0</v>
      </c>
      <c r="GY501" s="21" t="n">
        <v>0</v>
      </c>
      <c r="GZ501" s="21" t="n">
        <v>0</v>
      </c>
      <c r="HA501" s="21" t="n">
        <v>0</v>
      </c>
      <c r="HB501" s="21" t="n">
        <v>0</v>
      </c>
      <c r="HC501" s="21" t="n">
        <v>0</v>
      </c>
      <c r="HD501" s="21" t="n">
        <v>0</v>
      </c>
      <c r="HE501" s="21" t="n">
        <v>0</v>
      </c>
      <c r="HF501" s="21" t="n">
        <v>0</v>
      </c>
      <c r="HG501" s="21" t="n">
        <v>0</v>
      </c>
      <c r="HH501" s="21" t="n">
        <v>0</v>
      </c>
      <c r="HI501" s="21" t="n">
        <v>0</v>
      </c>
      <c r="HJ501" s="21" t="n">
        <v>0</v>
      </c>
      <c r="HK501" s="21" t="n">
        <v>0</v>
      </c>
      <c r="HL501" s="21" t="n">
        <v>0</v>
      </c>
      <c r="HM501" s="21" t="n">
        <v>0</v>
      </c>
      <c r="HN501" s="21" t="n">
        <v>0</v>
      </c>
      <c r="HO501" s="21" t="n">
        <v>0</v>
      </c>
      <c r="HP501" s="21" t="n">
        <v>0</v>
      </c>
      <c r="HQ501" s="21" t="n">
        <v>0</v>
      </c>
      <c r="HR501" s="21" t="n">
        <v>0</v>
      </c>
      <c r="HS501" s="21" t="n">
        <v>0</v>
      </c>
      <c r="HT501" s="21" t="n">
        <v>0</v>
      </c>
      <c r="HU501" s="21" t="n">
        <v>0</v>
      </c>
      <c r="HV501" s="21" t="n">
        <v>0</v>
      </c>
      <c r="HW501" s="21" t="n">
        <v>0</v>
      </c>
      <c r="HX501" s="21" t="n">
        <v>0</v>
      </c>
      <c r="HY501" s="21" t="n">
        <v>0</v>
      </c>
      <c r="HZ501" s="21" t="n">
        <v>0</v>
      </c>
      <c r="IA501" s="21" t="n">
        <v>0</v>
      </c>
      <c r="IB501" s="21" t="n">
        <v>0</v>
      </c>
      <c r="IC501" s="21" t="n">
        <v>0</v>
      </c>
      <c r="ID501" s="21" t="n">
        <v>0</v>
      </c>
      <c r="IE501" s="21" t="n">
        <v>0</v>
      </c>
      <c r="IF501" s="21" t="n">
        <v>0</v>
      </c>
      <c r="IG501" s="21" t="n">
        <v>0</v>
      </c>
      <c r="IH501" s="21" t="n">
        <v>0</v>
      </c>
    </row>
    <row r="502" customFormat="false" ht="12.75" hidden="false" customHeight="false" outlineLevel="0" collapsed="false">
      <c r="AJ502" s="77"/>
      <c r="AK502" s="77"/>
      <c r="AL502" s="77"/>
      <c r="AM502" s="77"/>
      <c r="AN502" s="77"/>
    </row>
    <row r="503" customFormat="false" ht="12.75" hidden="false" customHeight="false" outlineLevel="0" collapsed="false">
      <c r="AJ503" s="77"/>
      <c r="AK503" s="77"/>
      <c r="AL503" s="77"/>
      <c r="AM503" s="77"/>
      <c r="AN503" s="77"/>
    </row>
    <row r="504" customFormat="false" ht="12.75" hidden="false" customHeight="false" outlineLevel="0" collapsed="false">
      <c r="AJ504" s="77"/>
      <c r="AK504" s="77"/>
      <c r="AL504" s="77"/>
      <c r="AM504" s="77"/>
      <c r="AN504" s="77"/>
    </row>
    <row r="505" customFormat="false" ht="12.75" hidden="false" customHeight="false" outlineLevel="0" collapsed="false">
      <c r="AJ505" s="77"/>
      <c r="AK505" s="77"/>
      <c r="AL505" s="77"/>
      <c r="AM505" s="77"/>
      <c r="AN505" s="77"/>
    </row>
    <row r="506" customFormat="false" ht="12.75" hidden="false" customHeight="false" outlineLevel="0" collapsed="false">
      <c r="AJ506" s="77"/>
      <c r="AK506" s="77"/>
      <c r="AL506" s="77"/>
      <c r="AM506" s="77"/>
      <c r="AN506" s="77"/>
    </row>
    <row r="507" customFormat="false" ht="12.75" hidden="false" customHeight="false" outlineLevel="0" collapsed="false">
      <c r="AJ507" s="77"/>
      <c r="AK507" s="77"/>
      <c r="AL507" s="77"/>
      <c r="AM507" s="77"/>
      <c r="AN507" s="77"/>
    </row>
    <row r="508" customFormat="false" ht="12.75" hidden="false" customHeight="false" outlineLevel="0" collapsed="false">
      <c r="AJ508" s="77"/>
      <c r="AK508" s="77"/>
      <c r="AL508" s="77"/>
      <c r="AM508" s="77"/>
      <c r="AN508" s="77"/>
    </row>
    <row r="509" customFormat="false" ht="12.75" hidden="false" customHeight="false" outlineLevel="0" collapsed="false">
      <c r="AJ509" s="77"/>
      <c r="AK509" s="77"/>
      <c r="AL509" s="77"/>
      <c r="AM509" s="77"/>
      <c r="AN509" s="77"/>
    </row>
    <row r="510" customFormat="false" ht="12.75" hidden="false" customHeight="false" outlineLevel="0" collapsed="false">
      <c r="AJ510" s="77"/>
      <c r="AK510" s="77"/>
      <c r="AL510" s="77"/>
      <c r="AM510" s="77"/>
      <c r="AN510" s="77"/>
    </row>
    <row r="511" customFormat="false" ht="12.75" hidden="false" customHeight="false" outlineLevel="0" collapsed="false">
      <c r="AJ511" s="77"/>
      <c r="AK511" s="77"/>
      <c r="AL511" s="77"/>
      <c r="AM511" s="77"/>
      <c r="AN511" s="77"/>
    </row>
    <row r="512" customFormat="false" ht="12.75" hidden="false" customHeight="false" outlineLevel="0" collapsed="false">
      <c r="AJ512" s="77"/>
      <c r="AK512" s="77"/>
      <c r="AL512" s="77"/>
      <c r="AM512" s="77"/>
      <c r="AN512" s="77"/>
    </row>
    <row r="513" customFormat="false" ht="12.75" hidden="false" customHeight="false" outlineLevel="0" collapsed="false">
      <c r="AJ513" s="77"/>
      <c r="AK513" s="77"/>
      <c r="AL513" s="77"/>
      <c r="AM513" s="77"/>
      <c r="AN513" s="77"/>
    </row>
    <row r="514" customFormat="false" ht="12.75" hidden="false" customHeight="false" outlineLevel="0" collapsed="false">
      <c r="AJ514" s="77"/>
      <c r="AK514" s="77"/>
      <c r="AL514" s="77"/>
      <c r="AM514" s="77"/>
      <c r="AN514" s="77"/>
    </row>
    <row r="515" customFormat="false" ht="12.75" hidden="false" customHeight="false" outlineLevel="0" collapsed="false">
      <c r="AJ515" s="77"/>
      <c r="AK515" s="77"/>
      <c r="AL515" s="77"/>
      <c r="AM515" s="77"/>
      <c r="AN515" s="77"/>
    </row>
    <row r="516" customFormat="false" ht="12.75" hidden="false" customHeight="false" outlineLevel="0" collapsed="false">
      <c r="AJ516" s="77"/>
      <c r="AK516" s="77"/>
      <c r="AL516" s="77"/>
      <c r="AM516" s="77"/>
      <c r="AN516" s="77"/>
    </row>
    <row r="517" customFormat="false" ht="12.75" hidden="false" customHeight="false" outlineLevel="0" collapsed="false">
      <c r="AJ517" s="77"/>
      <c r="AK517" s="77"/>
      <c r="AL517" s="77"/>
      <c r="AM517" s="77"/>
      <c r="AN517" s="77"/>
    </row>
    <row r="518" customFormat="false" ht="12.75" hidden="false" customHeight="false" outlineLevel="0" collapsed="false">
      <c r="AJ518" s="77"/>
      <c r="AK518" s="77"/>
      <c r="AL518" s="77"/>
      <c r="AM518" s="77"/>
      <c r="AN518" s="77"/>
    </row>
    <row r="519" customFormat="false" ht="12.75" hidden="false" customHeight="false" outlineLevel="0" collapsed="false">
      <c r="AJ519" s="77"/>
      <c r="AK519" s="77"/>
      <c r="AL519" s="77"/>
      <c r="AM519" s="77"/>
      <c r="AN519" s="77"/>
    </row>
    <row r="520" customFormat="false" ht="12.75" hidden="false" customHeight="false" outlineLevel="0" collapsed="false">
      <c r="AJ520" s="77"/>
      <c r="AK520" s="77"/>
      <c r="AL520" s="77"/>
      <c r="AM520" s="77"/>
      <c r="AN520" s="77"/>
    </row>
    <row r="521" customFormat="false" ht="12.75" hidden="false" customHeight="false" outlineLevel="0" collapsed="false">
      <c r="AJ521" s="77"/>
      <c r="AK521" s="77"/>
      <c r="AL521" s="77"/>
      <c r="AM521" s="77"/>
      <c r="AN521" s="77"/>
    </row>
    <row r="522" customFormat="false" ht="12.75" hidden="false" customHeight="false" outlineLevel="0" collapsed="false">
      <c r="AJ522" s="77"/>
      <c r="AK522" s="77"/>
      <c r="AL522" s="77"/>
      <c r="AM522" s="77"/>
      <c r="AN522" s="77"/>
    </row>
    <row r="523" customFormat="false" ht="12.75" hidden="false" customHeight="false" outlineLevel="0" collapsed="false">
      <c r="AJ523" s="77"/>
      <c r="AK523" s="77"/>
      <c r="AL523" s="77"/>
      <c r="AM523" s="77"/>
      <c r="AN523" s="77"/>
    </row>
    <row r="524" customFormat="false" ht="12.75" hidden="false" customHeight="false" outlineLevel="0" collapsed="false">
      <c r="AJ524" s="77"/>
      <c r="AK524" s="77"/>
      <c r="AL524" s="77"/>
      <c r="AM524" s="77"/>
      <c r="AN524" s="77"/>
    </row>
    <row r="525" customFormat="false" ht="12.75" hidden="false" customHeight="false" outlineLevel="0" collapsed="false">
      <c r="AJ525" s="77"/>
      <c r="AK525" s="77"/>
      <c r="AL525" s="77"/>
      <c r="AM525" s="77"/>
      <c r="AN525" s="77"/>
    </row>
    <row r="526" customFormat="false" ht="12.75" hidden="false" customHeight="false" outlineLevel="0" collapsed="false">
      <c r="AJ526" s="77"/>
      <c r="AK526" s="77"/>
      <c r="AL526" s="77"/>
      <c r="AM526" s="77"/>
      <c r="AN526" s="77"/>
    </row>
    <row r="527" customFormat="false" ht="12.75" hidden="false" customHeight="false" outlineLevel="0" collapsed="false">
      <c r="AJ527" s="77"/>
      <c r="AK527" s="77"/>
      <c r="AL527" s="77"/>
      <c r="AM527" s="77"/>
      <c r="AN527" s="77"/>
    </row>
    <row r="528" customFormat="false" ht="12.75" hidden="false" customHeight="false" outlineLevel="0" collapsed="false">
      <c r="AJ528" s="77"/>
      <c r="AK528" s="77"/>
      <c r="AL528" s="77"/>
      <c r="AM528" s="77"/>
      <c r="AN528" s="77"/>
    </row>
    <row r="529" customFormat="false" ht="12.75" hidden="false" customHeight="false" outlineLevel="0" collapsed="false">
      <c r="AJ529" s="77"/>
      <c r="AK529" s="77"/>
      <c r="AL529" s="77"/>
      <c r="AM529" s="77"/>
      <c r="AN529" s="77"/>
    </row>
    <row r="530" customFormat="false" ht="12.75" hidden="false" customHeight="false" outlineLevel="0" collapsed="false">
      <c r="AJ530" s="77"/>
      <c r="AK530" s="77"/>
      <c r="AL530" s="77"/>
      <c r="AM530" s="77"/>
      <c r="AN530" s="77"/>
    </row>
    <row r="531" customFormat="false" ht="12.75" hidden="false" customHeight="false" outlineLevel="0" collapsed="false">
      <c r="AJ531" s="77"/>
      <c r="AK531" s="77"/>
      <c r="AL531" s="77"/>
      <c r="AM531" s="77"/>
      <c r="AN531" s="77"/>
    </row>
    <row r="532" customFormat="false" ht="12.75" hidden="false" customHeight="false" outlineLevel="0" collapsed="false">
      <c r="AJ532" s="77"/>
      <c r="AK532" s="77"/>
      <c r="AL532" s="77"/>
      <c r="AM532" s="77"/>
      <c r="AN532" s="77"/>
    </row>
    <row r="533" customFormat="false" ht="12.75" hidden="false" customHeight="false" outlineLevel="0" collapsed="false">
      <c r="AJ533" s="77"/>
      <c r="AK533" s="77"/>
      <c r="AL533" s="77"/>
      <c r="AM533" s="77"/>
      <c r="AN533" s="77"/>
    </row>
    <row r="534" customFormat="false" ht="12.75" hidden="false" customHeight="false" outlineLevel="0" collapsed="false">
      <c r="AJ534" s="77"/>
      <c r="AK534" s="77"/>
      <c r="AL534" s="77"/>
      <c r="AM534" s="77"/>
      <c r="AN534" s="77"/>
    </row>
    <row r="535" customFormat="false" ht="12.75" hidden="false" customHeight="false" outlineLevel="0" collapsed="false">
      <c r="AJ535" s="77"/>
      <c r="AK535" s="77"/>
      <c r="AL535" s="77"/>
      <c r="AM535" s="77"/>
      <c r="AN535" s="77"/>
    </row>
    <row r="536" customFormat="false" ht="12.75" hidden="false" customHeight="false" outlineLevel="0" collapsed="false">
      <c r="AJ536" s="77"/>
      <c r="AK536" s="77"/>
      <c r="AL536" s="77"/>
      <c r="AM536" s="77"/>
      <c r="AN536" s="77"/>
    </row>
    <row r="537" customFormat="false" ht="12.75" hidden="false" customHeight="false" outlineLevel="0" collapsed="false">
      <c r="AJ537" s="77"/>
      <c r="AK537" s="77"/>
      <c r="AL537" s="77"/>
      <c r="AM537" s="77"/>
      <c r="AN537" s="77"/>
    </row>
    <row r="538" customFormat="false" ht="12.75" hidden="false" customHeight="false" outlineLevel="0" collapsed="false">
      <c r="AJ538" s="77"/>
      <c r="AK538" s="77"/>
      <c r="AL538" s="77"/>
      <c r="AM538" s="77"/>
      <c r="AN538" s="77"/>
    </row>
    <row r="539" customFormat="false" ht="12.75" hidden="false" customHeight="false" outlineLevel="0" collapsed="false">
      <c r="AJ539" s="77"/>
      <c r="AK539" s="77"/>
      <c r="AL539" s="77"/>
      <c r="AM539" s="77"/>
      <c r="AN539" s="77"/>
    </row>
    <row r="540" customFormat="false" ht="12.75" hidden="false" customHeight="false" outlineLevel="0" collapsed="false">
      <c r="AJ540" s="77"/>
      <c r="AK540" s="77"/>
      <c r="AL540" s="77"/>
      <c r="AM540" s="77"/>
      <c r="AN540" s="77"/>
    </row>
    <row r="541" customFormat="false" ht="12.75" hidden="false" customHeight="false" outlineLevel="0" collapsed="false">
      <c r="AJ541" s="77"/>
      <c r="AK541" s="77"/>
      <c r="AL541" s="77"/>
      <c r="AM541" s="77"/>
      <c r="AN541" s="77"/>
    </row>
    <row r="542" customFormat="false" ht="12.75" hidden="false" customHeight="false" outlineLevel="0" collapsed="false">
      <c r="AJ542" s="77"/>
      <c r="AK542" s="77"/>
      <c r="AL542" s="77"/>
      <c r="AM542" s="77"/>
      <c r="AN542" s="77"/>
    </row>
    <row r="543" customFormat="false" ht="12.75" hidden="false" customHeight="false" outlineLevel="0" collapsed="false">
      <c r="AJ543" s="77"/>
      <c r="AK543" s="77"/>
      <c r="AL543" s="77"/>
      <c r="AM543" s="77"/>
      <c r="AN543" s="77"/>
    </row>
    <row r="544" customFormat="false" ht="12.75" hidden="false" customHeight="false" outlineLevel="0" collapsed="false">
      <c r="AJ544" s="77"/>
      <c r="AK544" s="77"/>
      <c r="AL544" s="77"/>
      <c r="AM544" s="77"/>
      <c r="AN544" s="77"/>
    </row>
    <row r="545" customFormat="false" ht="12.75" hidden="false" customHeight="false" outlineLevel="0" collapsed="false">
      <c r="AJ545" s="77"/>
      <c r="AK545" s="77"/>
      <c r="AL545" s="77"/>
      <c r="AM545" s="77"/>
      <c r="AN545" s="77"/>
    </row>
    <row r="546" customFormat="false" ht="12.75" hidden="false" customHeight="false" outlineLevel="0" collapsed="false">
      <c r="AJ546" s="77"/>
      <c r="AK546" s="77"/>
      <c r="AL546" s="77"/>
      <c r="AM546" s="77"/>
      <c r="AN546" s="77"/>
    </row>
    <row r="547" customFormat="false" ht="12.75" hidden="false" customHeight="false" outlineLevel="0" collapsed="false">
      <c r="AJ547" s="77"/>
      <c r="AK547" s="77"/>
      <c r="AL547" s="77"/>
      <c r="AM547" s="77"/>
      <c r="AN547" s="77"/>
    </row>
    <row r="548" customFormat="false" ht="12.75" hidden="false" customHeight="false" outlineLevel="0" collapsed="false">
      <c r="AJ548" s="77"/>
      <c r="AK548" s="77"/>
      <c r="AL548" s="77"/>
      <c r="AM548" s="77"/>
      <c r="AN548" s="77"/>
    </row>
    <row r="549" customFormat="false" ht="12.75" hidden="false" customHeight="false" outlineLevel="0" collapsed="false">
      <c r="AJ549" s="77"/>
      <c r="AK549" s="77"/>
      <c r="AL549" s="77"/>
      <c r="AM549" s="77"/>
      <c r="AN549" s="77"/>
    </row>
    <row r="550" customFormat="false" ht="12.75" hidden="false" customHeight="false" outlineLevel="0" collapsed="false">
      <c r="AJ550" s="77"/>
      <c r="AK550" s="77"/>
      <c r="AL550" s="77"/>
      <c r="AM550" s="77"/>
      <c r="AN550" s="77"/>
    </row>
    <row r="551" customFormat="false" ht="12.75" hidden="false" customHeight="false" outlineLevel="0" collapsed="false">
      <c r="AJ551" s="77"/>
      <c r="AK551" s="77"/>
      <c r="AL551" s="77"/>
      <c r="AM551" s="77"/>
      <c r="AN551" s="77"/>
    </row>
    <row r="552" customFormat="false" ht="12.75" hidden="false" customHeight="false" outlineLevel="0" collapsed="false">
      <c r="AJ552" s="77"/>
      <c r="AK552" s="77"/>
      <c r="AL552" s="77"/>
      <c r="AM552" s="77"/>
      <c r="AN552" s="77"/>
    </row>
    <row r="553" customFormat="false" ht="12.75" hidden="false" customHeight="false" outlineLevel="0" collapsed="false">
      <c r="AJ553" s="77"/>
      <c r="AK553" s="77"/>
      <c r="AL553" s="77"/>
      <c r="AM553" s="77"/>
      <c r="AN553" s="77"/>
    </row>
    <row r="554" customFormat="false" ht="12.75" hidden="false" customHeight="false" outlineLevel="0" collapsed="false">
      <c r="AJ554" s="77"/>
      <c r="AK554" s="77"/>
      <c r="AL554" s="77"/>
      <c r="AM554" s="77"/>
      <c r="AN554" s="77"/>
    </row>
    <row r="555" customFormat="false" ht="12.75" hidden="false" customHeight="false" outlineLevel="0" collapsed="false">
      <c r="AJ555" s="77"/>
      <c r="AK555" s="77"/>
      <c r="AL555" s="77"/>
      <c r="AM555" s="77"/>
      <c r="AN555" s="77"/>
    </row>
    <row r="556" customFormat="false" ht="12.75" hidden="false" customHeight="false" outlineLevel="0" collapsed="false">
      <c r="AJ556" s="77"/>
      <c r="AK556" s="77"/>
      <c r="AL556" s="77"/>
      <c r="AM556" s="77"/>
      <c r="AN556" s="77"/>
    </row>
    <row r="557" customFormat="false" ht="12.75" hidden="false" customHeight="false" outlineLevel="0" collapsed="false">
      <c r="AJ557" s="77"/>
      <c r="AK557" s="77"/>
      <c r="AL557" s="77"/>
      <c r="AM557" s="77"/>
      <c r="AN557" s="77"/>
    </row>
    <row r="558" customFormat="false" ht="12.75" hidden="false" customHeight="false" outlineLevel="0" collapsed="false">
      <c r="AJ558" s="77"/>
      <c r="AK558" s="77"/>
      <c r="AL558" s="77"/>
      <c r="AM558" s="77"/>
      <c r="AN558" s="77"/>
    </row>
    <row r="559" customFormat="false" ht="12.75" hidden="false" customHeight="false" outlineLevel="0" collapsed="false">
      <c r="AJ559" s="77"/>
      <c r="AK559" s="77"/>
      <c r="AL559" s="77"/>
      <c r="AM559" s="77"/>
      <c r="AN559" s="77"/>
    </row>
    <row r="560" customFormat="false" ht="12.75" hidden="false" customHeight="false" outlineLevel="0" collapsed="false">
      <c r="AJ560" s="77"/>
      <c r="AK560" s="77"/>
      <c r="AL560" s="77"/>
      <c r="AM560" s="77"/>
      <c r="AN560" s="77"/>
    </row>
    <row r="561" customFormat="false" ht="12.75" hidden="false" customHeight="false" outlineLevel="0" collapsed="false">
      <c r="AJ561" s="77"/>
      <c r="AK561" s="77"/>
      <c r="AL561" s="77"/>
      <c r="AM561" s="77"/>
      <c r="AN561" s="77"/>
    </row>
    <row r="562" customFormat="false" ht="12.75" hidden="false" customHeight="false" outlineLevel="0" collapsed="false">
      <c r="AJ562" s="77"/>
      <c r="AK562" s="77"/>
      <c r="AL562" s="77"/>
      <c r="AM562" s="77"/>
      <c r="AN562" s="77"/>
    </row>
    <row r="563" customFormat="false" ht="12.75" hidden="false" customHeight="false" outlineLevel="0" collapsed="false">
      <c r="AJ563" s="77"/>
      <c r="AK563" s="77"/>
      <c r="AL563" s="77"/>
      <c r="AM563" s="77"/>
      <c r="AN563" s="77"/>
    </row>
    <row r="564" customFormat="false" ht="12.75" hidden="false" customHeight="false" outlineLevel="0" collapsed="false">
      <c r="AJ564" s="77"/>
      <c r="AK564" s="77"/>
      <c r="AL564" s="77"/>
      <c r="AM564" s="77"/>
      <c r="AN564" s="77"/>
    </row>
    <row r="565" customFormat="false" ht="12.75" hidden="false" customHeight="false" outlineLevel="0" collapsed="false">
      <c r="AJ565" s="77"/>
      <c r="AK565" s="77"/>
      <c r="AL565" s="77"/>
      <c r="AM565" s="77"/>
      <c r="AN565" s="77"/>
    </row>
    <row r="566" customFormat="false" ht="12.75" hidden="false" customHeight="false" outlineLevel="0" collapsed="false">
      <c r="AJ566" s="77"/>
      <c r="AK566" s="77"/>
      <c r="AL566" s="77"/>
      <c r="AM566" s="77"/>
      <c r="AN566" s="77"/>
    </row>
    <row r="567" customFormat="false" ht="12.75" hidden="false" customHeight="false" outlineLevel="0" collapsed="false">
      <c r="AJ567" s="77"/>
      <c r="AK567" s="77"/>
      <c r="AL567" s="77"/>
      <c r="AM567" s="77"/>
      <c r="AN567" s="77"/>
    </row>
    <row r="568" customFormat="false" ht="12.75" hidden="false" customHeight="false" outlineLevel="0" collapsed="false">
      <c r="AJ568" s="77"/>
      <c r="AK568" s="77"/>
      <c r="AL568" s="77"/>
      <c r="AM568" s="77"/>
      <c r="AN568" s="77"/>
    </row>
    <row r="569" customFormat="false" ht="12.75" hidden="false" customHeight="false" outlineLevel="0" collapsed="false">
      <c r="AJ569" s="77"/>
      <c r="AK569" s="77"/>
      <c r="AL569" s="77"/>
      <c r="AM569" s="77"/>
      <c r="AN569" s="77"/>
    </row>
    <row r="570" customFormat="false" ht="12.75" hidden="false" customHeight="false" outlineLevel="0" collapsed="false">
      <c r="AJ570" s="77"/>
      <c r="AK570" s="77"/>
      <c r="AL570" s="77"/>
      <c r="AM570" s="77"/>
      <c r="AN570" s="77"/>
    </row>
    <row r="571" customFormat="false" ht="12.75" hidden="false" customHeight="false" outlineLevel="0" collapsed="false">
      <c r="AJ571" s="77"/>
      <c r="AK571" s="77"/>
      <c r="AL571" s="77"/>
      <c r="AM571" s="77"/>
      <c r="AN571" s="77"/>
    </row>
    <row r="572" customFormat="false" ht="12.75" hidden="false" customHeight="false" outlineLevel="0" collapsed="false">
      <c r="AJ572" s="77"/>
      <c r="AK572" s="77"/>
      <c r="AL572" s="77"/>
      <c r="AM572" s="77"/>
      <c r="AN572" s="77"/>
    </row>
    <row r="573" customFormat="false" ht="12.75" hidden="false" customHeight="false" outlineLevel="0" collapsed="false">
      <c r="AJ573" s="77"/>
      <c r="AK573" s="77"/>
      <c r="AL573" s="77"/>
      <c r="AM573" s="77"/>
      <c r="AN573" s="77"/>
    </row>
    <row r="574" customFormat="false" ht="12.75" hidden="false" customHeight="false" outlineLevel="0" collapsed="false">
      <c r="AJ574" s="77"/>
      <c r="AK574" s="77"/>
      <c r="AL574" s="77"/>
      <c r="AM574" s="77"/>
      <c r="AN574" s="77"/>
    </row>
    <row r="575" customFormat="false" ht="12.75" hidden="false" customHeight="false" outlineLevel="0" collapsed="false">
      <c r="AJ575" s="77"/>
      <c r="AK575" s="77"/>
      <c r="AL575" s="77"/>
      <c r="AM575" s="77"/>
      <c r="AN575" s="77"/>
    </row>
    <row r="576" customFormat="false" ht="12.75" hidden="false" customHeight="false" outlineLevel="0" collapsed="false">
      <c r="AJ576" s="77"/>
      <c r="AK576" s="77"/>
      <c r="AL576" s="77"/>
      <c r="AM576" s="77"/>
      <c r="AN576" s="77"/>
    </row>
    <row r="577" customFormat="false" ht="12.75" hidden="false" customHeight="false" outlineLevel="0" collapsed="false">
      <c r="AJ577" s="77"/>
      <c r="AK577" s="77"/>
      <c r="AL577" s="77"/>
      <c r="AM577" s="77"/>
      <c r="AN577" s="77"/>
    </row>
    <row r="578" customFormat="false" ht="12.75" hidden="false" customHeight="false" outlineLevel="0" collapsed="false">
      <c r="AJ578" s="77"/>
      <c r="AK578" s="77"/>
      <c r="AL578" s="77"/>
      <c r="AM578" s="77"/>
      <c r="AN578" s="77"/>
    </row>
    <row r="579" customFormat="false" ht="12.75" hidden="false" customHeight="false" outlineLevel="0" collapsed="false">
      <c r="AJ579" s="77"/>
      <c r="AK579" s="77"/>
      <c r="AL579" s="77"/>
      <c r="AM579" s="77"/>
      <c r="AN579" s="77"/>
    </row>
    <row r="580" customFormat="false" ht="12.75" hidden="false" customHeight="false" outlineLevel="0" collapsed="false">
      <c r="AJ580" s="77"/>
      <c r="AK580" s="77"/>
      <c r="AL580" s="77"/>
      <c r="AM580" s="77"/>
      <c r="AN580" s="77"/>
    </row>
    <row r="581" customFormat="false" ht="12.75" hidden="false" customHeight="false" outlineLevel="0" collapsed="false">
      <c r="AJ581" s="77"/>
      <c r="AK581" s="77"/>
      <c r="AL581" s="77"/>
      <c r="AM581" s="77"/>
      <c r="AN581" s="77"/>
    </row>
    <row r="582" customFormat="false" ht="12.75" hidden="false" customHeight="false" outlineLevel="0" collapsed="false">
      <c r="AJ582" s="77"/>
      <c r="AK582" s="77"/>
      <c r="AL582" s="77"/>
      <c r="AM582" s="77"/>
      <c r="AN582" s="77"/>
    </row>
    <row r="583" customFormat="false" ht="12.75" hidden="false" customHeight="false" outlineLevel="0" collapsed="false">
      <c r="AJ583" s="77"/>
      <c r="AK583" s="77"/>
      <c r="AL583" s="77"/>
      <c r="AM583" s="77"/>
      <c r="AN583" s="77"/>
    </row>
    <row r="584" customFormat="false" ht="12.75" hidden="false" customHeight="false" outlineLevel="0" collapsed="false">
      <c r="AJ584" s="77"/>
      <c r="AK584" s="77"/>
      <c r="AL584" s="77"/>
      <c r="AM584" s="77"/>
      <c r="AN584" s="77"/>
    </row>
    <row r="585" customFormat="false" ht="12.75" hidden="false" customHeight="false" outlineLevel="0" collapsed="false">
      <c r="AJ585" s="77"/>
      <c r="AK585" s="77"/>
      <c r="AL585" s="77"/>
      <c r="AM585" s="77"/>
      <c r="AN585" s="77"/>
    </row>
    <row r="586" customFormat="false" ht="12.75" hidden="false" customHeight="false" outlineLevel="0" collapsed="false">
      <c r="AJ586" s="77"/>
      <c r="AK586" s="77"/>
      <c r="AL586" s="77"/>
      <c r="AM586" s="77"/>
      <c r="AN586" s="77"/>
    </row>
    <row r="587" customFormat="false" ht="12.75" hidden="false" customHeight="false" outlineLevel="0" collapsed="false">
      <c r="AJ587" s="77"/>
      <c r="AK587" s="77"/>
      <c r="AL587" s="77"/>
      <c r="AM587" s="77"/>
      <c r="AN587" s="77"/>
    </row>
    <row r="588" customFormat="false" ht="12.75" hidden="false" customHeight="false" outlineLevel="0" collapsed="false">
      <c r="AJ588" s="77"/>
      <c r="AK588" s="77"/>
      <c r="AL588" s="77"/>
      <c r="AM588" s="77"/>
      <c r="AN588" s="77"/>
    </row>
    <row r="589" customFormat="false" ht="12.75" hidden="false" customHeight="false" outlineLevel="0" collapsed="false">
      <c r="AJ589" s="77"/>
      <c r="AK589" s="77"/>
      <c r="AL589" s="77"/>
      <c r="AM589" s="77"/>
      <c r="AN589" s="77"/>
    </row>
    <row r="590" customFormat="false" ht="12.75" hidden="false" customHeight="false" outlineLevel="0" collapsed="false">
      <c r="AJ590" s="77"/>
      <c r="AK590" s="77"/>
      <c r="AL590" s="77"/>
      <c r="AM590" s="77"/>
      <c r="AN590" s="77"/>
    </row>
    <row r="591" customFormat="false" ht="12.75" hidden="false" customHeight="false" outlineLevel="0" collapsed="false">
      <c r="AJ591" s="77"/>
      <c r="AK591" s="77"/>
      <c r="AL591" s="77"/>
      <c r="AM591" s="77"/>
      <c r="AN591" s="77"/>
    </row>
    <row r="592" customFormat="false" ht="12.75" hidden="false" customHeight="false" outlineLevel="0" collapsed="false">
      <c r="AJ592" s="77"/>
      <c r="AK592" s="77"/>
      <c r="AL592" s="77"/>
      <c r="AM592" s="77"/>
      <c r="AN592" s="77"/>
    </row>
    <row r="593" customFormat="false" ht="12.75" hidden="false" customHeight="false" outlineLevel="0" collapsed="false">
      <c r="AJ593" s="77"/>
      <c r="AK593" s="77"/>
      <c r="AL593" s="77"/>
      <c r="AM593" s="77"/>
      <c r="AN593" s="77"/>
    </row>
    <row r="594" customFormat="false" ht="12.75" hidden="false" customHeight="false" outlineLevel="0" collapsed="false">
      <c r="AJ594" s="77"/>
      <c r="AK594" s="77"/>
      <c r="AL594" s="77"/>
      <c r="AM594" s="77"/>
      <c r="AN594" s="77"/>
    </row>
    <row r="595" customFormat="false" ht="12.75" hidden="false" customHeight="false" outlineLevel="0" collapsed="false">
      <c r="AJ595" s="77"/>
      <c r="AK595" s="77"/>
      <c r="AL595" s="77"/>
      <c r="AM595" s="77"/>
      <c r="AN595" s="77"/>
    </row>
    <row r="596" customFormat="false" ht="12.75" hidden="false" customHeight="false" outlineLevel="0" collapsed="false">
      <c r="AJ596" s="77"/>
      <c r="AK596" s="77"/>
      <c r="AL596" s="77"/>
      <c r="AM596" s="77"/>
      <c r="AN596" s="77"/>
    </row>
    <row r="597" customFormat="false" ht="12.75" hidden="false" customHeight="false" outlineLevel="0" collapsed="false">
      <c r="AJ597" s="77"/>
      <c r="AK597" s="77"/>
      <c r="AL597" s="77"/>
      <c r="AM597" s="77"/>
      <c r="AN597" s="77"/>
    </row>
    <row r="598" customFormat="false" ht="12.75" hidden="false" customHeight="false" outlineLevel="0" collapsed="false">
      <c r="AJ598" s="77"/>
      <c r="AK598" s="77"/>
      <c r="AL598" s="77"/>
      <c r="AM598" s="77"/>
      <c r="AN598" s="77"/>
    </row>
    <row r="599" customFormat="false" ht="12.75" hidden="false" customHeight="false" outlineLevel="0" collapsed="false">
      <c r="AJ599" s="77"/>
      <c r="AK599" s="77"/>
      <c r="AL599" s="77"/>
      <c r="AM599" s="77"/>
      <c r="AN599" s="77"/>
    </row>
    <row r="600" customFormat="false" ht="12.75" hidden="false" customHeight="false" outlineLevel="0" collapsed="false">
      <c r="AJ600" s="77"/>
      <c r="AK600" s="77"/>
      <c r="AL600" s="77"/>
      <c r="AM600" s="77"/>
      <c r="AN600" s="77"/>
    </row>
    <row r="601" customFormat="false" ht="12.75" hidden="false" customHeight="false" outlineLevel="0" collapsed="false">
      <c r="AJ601" s="77"/>
      <c r="AK601" s="77"/>
      <c r="AL601" s="77"/>
      <c r="AM601" s="77"/>
      <c r="AN601" s="77"/>
    </row>
    <row r="602" customFormat="false" ht="12.75" hidden="false" customHeight="false" outlineLevel="0" collapsed="false">
      <c r="AJ602" s="77"/>
      <c r="AK602" s="77"/>
      <c r="AL602" s="77"/>
      <c r="AM602" s="77"/>
      <c r="AN602" s="77"/>
    </row>
    <row r="603" customFormat="false" ht="12.75" hidden="false" customHeight="false" outlineLevel="0" collapsed="false">
      <c r="AJ603" s="77"/>
      <c r="AK603" s="77"/>
      <c r="AL603" s="77"/>
      <c r="AM603" s="77"/>
      <c r="AN603" s="77"/>
    </row>
    <row r="604" customFormat="false" ht="12.75" hidden="false" customHeight="false" outlineLevel="0" collapsed="false">
      <c r="AJ604" s="77"/>
      <c r="AK604" s="77"/>
      <c r="AL604" s="77"/>
      <c r="AM604" s="77"/>
      <c r="AN604" s="77"/>
    </row>
    <row r="605" customFormat="false" ht="12.75" hidden="false" customHeight="false" outlineLevel="0" collapsed="false">
      <c r="AJ605" s="77"/>
      <c r="AK605" s="77"/>
      <c r="AL605" s="77"/>
      <c r="AM605" s="77"/>
      <c r="AN605" s="77"/>
    </row>
    <row r="606" customFormat="false" ht="12.75" hidden="false" customHeight="false" outlineLevel="0" collapsed="false">
      <c r="AJ606" s="77"/>
      <c r="AK606" s="77"/>
      <c r="AL606" s="77"/>
      <c r="AM606" s="77"/>
      <c r="AN606" s="77"/>
    </row>
    <row r="607" customFormat="false" ht="12.75" hidden="false" customHeight="false" outlineLevel="0" collapsed="false">
      <c r="AJ607" s="77"/>
      <c r="AK607" s="77"/>
      <c r="AL607" s="77"/>
      <c r="AM607" s="77"/>
      <c r="AN607" s="77"/>
    </row>
    <row r="608" customFormat="false" ht="12.75" hidden="false" customHeight="false" outlineLevel="0" collapsed="false">
      <c r="AJ608" s="77"/>
      <c r="AK608" s="77"/>
      <c r="AL608" s="77"/>
      <c r="AM608" s="77"/>
      <c r="AN608" s="77"/>
    </row>
    <row r="609" customFormat="false" ht="12.75" hidden="false" customHeight="false" outlineLevel="0" collapsed="false">
      <c r="AJ609" s="77"/>
      <c r="AK609" s="77"/>
      <c r="AL609" s="77"/>
      <c r="AM609" s="77"/>
      <c r="AN609" s="77"/>
    </row>
    <row r="610" customFormat="false" ht="12.75" hidden="false" customHeight="false" outlineLevel="0" collapsed="false">
      <c r="AJ610" s="77"/>
      <c r="AK610" s="77"/>
      <c r="AL610" s="77"/>
      <c r="AM610" s="77"/>
      <c r="AN610" s="77"/>
    </row>
    <row r="611" customFormat="false" ht="12.75" hidden="false" customHeight="false" outlineLevel="0" collapsed="false">
      <c r="AJ611" s="77"/>
      <c r="AK611" s="77"/>
      <c r="AL611" s="77"/>
      <c r="AM611" s="77"/>
      <c r="AN611" s="77"/>
    </row>
    <row r="612" customFormat="false" ht="12.75" hidden="false" customHeight="false" outlineLevel="0" collapsed="false">
      <c r="AJ612" s="77"/>
      <c r="AK612" s="77"/>
      <c r="AL612" s="77"/>
      <c r="AM612" s="77"/>
      <c r="AN612" s="77"/>
    </row>
    <row r="613" customFormat="false" ht="12.75" hidden="false" customHeight="false" outlineLevel="0" collapsed="false">
      <c r="AJ613" s="77"/>
      <c r="AK613" s="77"/>
      <c r="AL613" s="77"/>
      <c r="AM613" s="77"/>
      <c r="AN613" s="77"/>
    </row>
    <row r="614" customFormat="false" ht="12.75" hidden="false" customHeight="false" outlineLevel="0" collapsed="false">
      <c r="AJ614" s="77"/>
      <c r="AK614" s="77"/>
      <c r="AL614" s="77"/>
      <c r="AM614" s="77"/>
      <c r="AN614" s="77"/>
    </row>
    <row r="615" customFormat="false" ht="12.75" hidden="false" customHeight="false" outlineLevel="0" collapsed="false">
      <c r="AJ615" s="77"/>
      <c r="AK615" s="77"/>
      <c r="AL615" s="77"/>
      <c r="AM615" s="77"/>
      <c r="AN615" s="77"/>
    </row>
    <row r="616" customFormat="false" ht="12.75" hidden="false" customHeight="false" outlineLevel="0" collapsed="false">
      <c r="AJ616" s="77"/>
      <c r="AK616" s="77"/>
      <c r="AL616" s="77"/>
      <c r="AM616" s="77"/>
      <c r="AN616" s="77"/>
    </row>
    <row r="617" customFormat="false" ht="12.75" hidden="false" customHeight="false" outlineLevel="0" collapsed="false">
      <c r="AJ617" s="77"/>
      <c r="AK617" s="77"/>
      <c r="AL617" s="77"/>
      <c r="AM617" s="77"/>
      <c r="AN617" s="77"/>
    </row>
    <row r="618" customFormat="false" ht="12.75" hidden="false" customHeight="false" outlineLevel="0" collapsed="false">
      <c r="AJ618" s="77"/>
      <c r="AK618" s="77"/>
      <c r="AL618" s="77"/>
      <c r="AM618" s="77"/>
      <c r="AN618" s="77"/>
    </row>
    <row r="619" customFormat="false" ht="12.75" hidden="false" customHeight="false" outlineLevel="0" collapsed="false">
      <c r="AJ619" s="77"/>
      <c r="AK619" s="77"/>
      <c r="AL619" s="77"/>
      <c r="AM619" s="77"/>
      <c r="AN619" s="77"/>
    </row>
    <row r="620" customFormat="false" ht="12.75" hidden="false" customHeight="false" outlineLevel="0" collapsed="false">
      <c r="AJ620" s="77"/>
      <c r="AK620" s="77"/>
      <c r="AL620" s="77"/>
      <c r="AM620" s="77"/>
      <c r="AN620" s="77"/>
    </row>
    <row r="621" customFormat="false" ht="12.75" hidden="false" customHeight="false" outlineLevel="0" collapsed="false">
      <c r="AJ621" s="77"/>
      <c r="AK621" s="77"/>
      <c r="AL621" s="77"/>
      <c r="AM621" s="77"/>
      <c r="AN621" s="77"/>
    </row>
    <row r="622" customFormat="false" ht="12.75" hidden="false" customHeight="false" outlineLevel="0" collapsed="false">
      <c r="AJ622" s="77"/>
      <c r="AK622" s="77"/>
      <c r="AL622" s="77"/>
      <c r="AM622" s="77"/>
      <c r="AN622" s="77"/>
    </row>
    <row r="623" customFormat="false" ht="12.75" hidden="false" customHeight="false" outlineLevel="0" collapsed="false">
      <c r="AJ623" s="77"/>
      <c r="AK623" s="77"/>
      <c r="AL623" s="77"/>
      <c r="AM623" s="77"/>
      <c r="AN623" s="77"/>
    </row>
    <row r="624" customFormat="false" ht="12.75" hidden="false" customHeight="false" outlineLevel="0" collapsed="false">
      <c r="AJ624" s="77"/>
      <c r="AK624" s="77"/>
      <c r="AL624" s="77"/>
      <c r="AM624" s="77"/>
      <c r="AN624" s="77"/>
    </row>
    <row r="625" customFormat="false" ht="12.75" hidden="false" customHeight="false" outlineLevel="0" collapsed="false">
      <c r="AJ625" s="77"/>
      <c r="AK625" s="77"/>
      <c r="AL625" s="77"/>
      <c r="AM625" s="77"/>
      <c r="AN625" s="77"/>
    </row>
    <row r="626" customFormat="false" ht="12.75" hidden="false" customHeight="false" outlineLevel="0" collapsed="false">
      <c r="AJ626" s="77"/>
      <c r="AK626" s="77"/>
      <c r="AL626" s="77"/>
      <c r="AM626" s="77"/>
      <c r="AN626" s="77"/>
    </row>
    <row r="627" customFormat="false" ht="12.75" hidden="false" customHeight="false" outlineLevel="0" collapsed="false">
      <c r="AJ627" s="77"/>
      <c r="AK627" s="77"/>
      <c r="AL627" s="77"/>
      <c r="AM627" s="77"/>
      <c r="AN627" s="77"/>
    </row>
    <row r="628" customFormat="false" ht="12.75" hidden="false" customHeight="false" outlineLevel="0" collapsed="false">
      <c r="AJ628" s="77"/>
      <c r="AK628" s="77"/>
      <c r="AL628" s="77"/>
      <c r="AM628" s="77"/>
      <c r="AN628" s="77"/>
    </row>
    <row r="629" customFormat="false" ht="12.75" hidden="false" customHeight="false" outlineLevel="0" collapsed="false">
      <c r="AJ629" s="77"/>
      <c r="AK629" s="77"/>
      <c r="AL629" s="77"/>
      <c r="AM629" s="77"/>
      <c r="AN629" s="77"/>
    </row>
    <row r="630" customFormat="false" ht="12.75" hidden="false" customHeight="false" outlineLevel="0" collapsed="false">
      <c r="AJ630" s="77"/>
      <c r="AK630" s="77"/>
      <c r="AL630" s="77"/>
      <c r="AM630" s="77"/>
      <c r="AN630" s="77"/>
    </row>
    <row r="631" customFormat="false" ht="12.75" hidden="false" customHeight="false" outlineLevel="0" collapsed="false">
      <c r="AJ631" s="77"/>
      <c r="AK631" s="77"/>
      <c r="AL631" s="77"/>
      <c r="AM631" s="77"/>
      <c r="AN631" s="77"/>
    </row>
    <row r="632" customFormat="false" ht="12.75" hidden="false" customHeight="false" outlineLevel="0" collapsed="false">
      <c r="AJ632" s="77"/>
      <c r="AK632" s="77"/>
      <c r="AL632" s="77"/>
      <c r="AM632" s="77"/>
      <c r="AN632" s="77"/>
    </row>
    <row r="633" customFormat="false" ht="12.75" hidden="false" customHeight="false" outlineLevel="0" collapsed="false">
      <c r="AJ633" s="77"/>
      <c r="AK633" s="77"/>
      <c r="AL633" s="77"/>
      <c r="AM633" s="77"/>
      <c r="AN633" s="77"/>
    </row>
    <row r="634" customFormat="false" ht="12.75" hidden="false" customHeight="false" outlineLevel="0" collapsed="false">
      <c r="AJ634" s="77"/>
      <c r="AK634" s="77"/>
      <c r="AL634" s="77"/>
      <c r="AM634" s="77"/>
      <c r="AN634" s="77"/>
    </row>
    <row r="635" customFormat="false" ht="12.75" hidden="false" customHeight="false" outlineLevel="0" collapsed="false">
      <c r="AJ635" s="77"/>
      <c r="AK635" s="77"/>
      <c r="AL635" s="77"/>
      <c r="AM635" s="77"/>
      <c r="AN635" s="77"/>
    </row>
    <row r="636" customFormat="false" ht="12.75" hidden="false" customHeight="false" outlineLevel="0" collapsed="false">
      <c r="AJ636" s="77"/>
      <c r="AK636" s="77"/>
      <c r="AL636" s="77"/>
      <c r="AM636" s="77"/>
      <c r="AN636" s="77"/>
    </row>
    <row r="637" customFormat="false" ht="12.75" hidden="false" customHeight="false" outlineLevel="0" collapsed="false">
      <c r="AJ637" s="77"/>
      <c r="AK637" s="77"/>
      <c r="AL637" s="77"/>
      <c r="AM637" s="77"/>
      <c r="AN637" s="77"/>
    </row>
    <row r="638" customFormat="false" ht="12.75" hidden="false" customHeight="false" outlineLevel="0" collapsed="false">
      <c r="AJ638" s="77"/>
      <c r="AK638" s="77"/>
      <c r="AL638" s="77"/>
      <c r="AM638" s="77"/>
      <c r="AN638" s="77"/>
    </row>
    <row r="639" customFormat="false" ht="12.75" hidden="false" customHeight="false" outlineLevel="0" collapsed="false">
      <c r="AJ639" s="77"/>
      <c r="AK639" s="77"/>
      <c r="AL639" s="77"/>
      <c r="AM639" s="77"/>
      <c r="AN639" s="77"/>
    </row>
    <row r="640" customFormat="false" ht="12.75" hidden="false" customHeight="false" outlineLevel="0" collapsed="false">
      <c r="AJ640" s="77"/>
      <c r="AK640" s="77"/>
      <c r="AL640" s="77"/>
      <c r="AM640" s="77"/>
      <c r="AN640" s="77"/>
    </row>
    <row r="641" customFormat="false" ht="12.75" hidden="false" customHeight="false" outlineLevel="0" collapsed="false">
      <c r="AJ641" s="77"/>
      <c r="AK641" s="77"/>
      <c r="AL641" s="77"/>
      <c r="AM641" s="77"/>
      <c r="AN641" s="77"/>
    </row>
    <row r="642" customFormat="false" ht="12.75" hidden="false" customHeight="false" outlineLevel="0" collapsed="false">
      <c r="AJ642" s="77"/>
      <c r="AK642" s="77"/>
      <c r="AL642" s="77"/>
      <c r="AM642" s="77"/>
      <c r="AN642" s="77"/>
    </row>
    <row r="643" customFormat="false" ht="12.75" hidden="false" customHeight="false" outlineLevel="0" collapsed="false">
      <c r="AJ643" s="77"/>
      <c r="AK643" s="77"/>
      <c r="AL643" s="77"/>
      <c r="AM643" s="77"/>
      <c r="AN643" s="77"/>
    </row>
    <row r="644" customFormat="false" ht="12.75" hidden="false" customHeight="false" outlineLevel="0" collapsed="false">
      <c r="AJ644" s="77"/>
      <c r="AK644" s="77"/>
      <c r="AL644" s="77"/>
      <c r="AM644" s="77"/>
      <c r="AN644" s="77"/>
    </row>
    <row r="645" customFormat="false" ht="12.75" hidden="false" customHeight="false" outlineLevel="0" collapsed="false">
      <c r="AJ645" s="77"/>
      <c r="AK645" s="77"/>
      <c r="AL645" s="77"/>
      <c r="AM645" s="77"/>
      <c r="AN645" s="77"/>
    </row>
    <row r="646" customFormat="false" ht="12.75" hidden="false" customHeight="false" outlineLevel="0" collapsed="false">
      <c r="AJ646" s="77"/>
      <c r="AK646" s="77"/>
      <c r="AL646" s="77"/>
      <c r="AM646" s="77"/>
      <c r="AN646" s="77"/>
    </row>
    <row r="647" customFormat="false" ht="12.75" hidden="false" customHeight="false" outlineLevel="0" collapsed="false">
      <c r="AJ647" s="77"/>
      <c r="AK647" s="77"/>
      <c r="AL647" s="77"/>
      <c r="AM647" s="77"/>
      <c r="AN647" s="77"/>
    </row>
    <row r="648" customFormat="false" ht="12.75" hidden="false" customHeight="false" outlineLevel="0" collapsed="false">
      <c r="AJ648" s="77"/>
      <c r="AK648" s="77"/>
      <c r="AL648" s="77"/>
      <c r="AM648" s="77"/>
      <c r="AN648" s="77"/>
    </row>
    <row r="649" customFormat="false" ht="12.75" hidden="false" customHeight="false" outlineLevel="0" collapsed="false">
      <c r="AJ649" s="77"/>
      <c r="AK649" s="77"/>
      <c r="AL649" s="77"/>
      <c r="AM649" s="77"/>
      <c r="AN649" s="77"/>
    </row>
    <row r="650" customFormat="false" ht="12.75" hidden="false" customHeight="false" outlineLevel="0" collapsed="false">
      <c r="AJ650" s="77"/>
      <c r="AK650" s="77"/>
      <c r="AL650" s="77"/>
      <c r="AM650" s="77"/>
      <c r="AN650" s="77"/>
    </row>
    <row r="651" customFormat="false" ht="12.75" hidden="false" customHeight="false" outlineLevel="0" collapsed="false">
      <c r="AJ651" s="77"/>
      <c r="AK651" s="77"/>
      <c r="AL651" s="77"/>
      <c r="AM651" s="77"/>
      <c r="AN651" s="77"/>
    </row>
    <row r="652" customFormat="false" ht="12.75" hidden="false" customHeight="false" outlineLevel="0" collapsed="false">
      <c r="AJ652" s="77"/>
      <c r="AK652" s="77"/>
      <c r="AL652" s="77"/>
      <c r="AM652" s="77"/>
      <c r="AN652" s="77"/>
    </row>
    <row r="653" customFormat="false" ht="12.75" hidden="false" customHeight="false" outlineLevel="0" collapsed="false">
      <c r="AJ653" s="77"/>
      <c r="AK653" s="77"/>
      <c r="AL653" s="77"/>
      <c r="AM653" s="77"/>
      <c r="AN653" s="77"/>
    </row>
    <row r="654" customFormat="false" ht="12.75" hidden="false" customHeight="false" outlineLevel="0" collapsed="false">
      <c r="AJ654" s="77"/>
      <c r="AK654" s="77"/>
      <c r="AL654" s="77"/>
      <c r="AM654" s="77"/>
      <c r="AN654" s="77"/>
    </row>
    <row r="655" customFormat="false" ht="12.75" hidden="false" customHeight="false" outlineLevel="0" collapsed="false">
      <c r="AJ655" s="77"/>
      <c r="AK655" s="77"/>
      <c r="AL655" s="77"/>
      <c r="AM655" s="77"/>
      <c r="AN655" s="77"/>
    </row>
    <row r="656" customFormat="false" ht="12.75" hidden="false" customHeight="false" outlineLevel="0" collapsed="false">
      <c r="AJ656" s="77"/>
      <c r="AK656" s="77"/>
      <c r="AL656" s="77"/>
      <c r="AM656" s="77"/>
      <c r="AN656" s="77"/>
    </row>
    <row r="657" customFormat="false" ht="12.75" hidden="false" customHeight="false" outlineLevel="0" collapsed="false">
      <c r="AJ657" s="77"/>
      <c r="AK657" s="77"/>
      <c r="AL657" s="77"/>
      <c r="AM657" s="77"/>
      <c r="AN657" s="77"/>
    </row>
    <row r="658" customFormat="false" ht="12.75" hidden="false" customHeight="false" outlineLevel="0" collapsed="false">
      <c r="AJ658" s="77"/>
      <c r="AK658" s="77"/>
      <c r="AL658" s="77"/>
      <c r="AM658" s="77"/>
      <c r="AN658" s="77"/>
    </row>
    <row r="659" customFormat="false" ht="12.75" hidden="false" customHeight="false" outlineLevel="0" collapsed="false">
      <c r="AJ659" s="77"/>
      <c r="AK659" s="77"/>
      <c r="AL659" s="77"/>
      <c r="AM659" s="77"/>
      <c r="AN659" s="77"/>
    </row>
    <row r="660" customFormat="false" ht="12.75" hidden="false" customHeight="false" outlineLevel="0" collapsed="false">
      <c r="AJ660" s="77"/>
      <c r="AK660" s="77"/>
      <c r="AL660" s="77"/>
      <c r="AM660" s="77"/>
      <c r="AN660" s="77"/>
    </row>
    <row r="661" customFormat="false" ht="12.75" hidden="false" customHeight="false" outlineLevel="0" collapsed="false">
      <c r="AJ661" s="77"/>
      <c r="AK661" s="77"/>
      <c r="AL661" s="77"/>
      <c r="AM661" s="77"/>
      <c r="AN661" s="77"/>
    </row>
    <row r="662" customFormat="false" ht="12.75" hidden="false" customHeight="false" outlineLevel="0" collapsed="false">
      <c r="AJ662" s="77"/>
      <c r="AK662" s="77"/>
      <c r="AL662" s="77"/>
      <c r="AM662" s="77"/>
      <c r="AN662" s="77"/>
    </row>
    <row r="663" customFormat="false" ht="12.75" hidden="false" customHeight="false" outlineLevel="0" collapsed="false">
      <c r="AJ663" s="77"/>
      <c r="AK663" s="77"/>
      <c r="AL663" s="77"/>
      <c r="AM663" s="77"/>
      <c r="AN663" s="77"/>
    </row>
    <row r="664" customFormat="false" ht="12.75" hidden="false" customHeight="false" outlineLevel="0" collapsed="false">
      <c r="AJ664" s="77"/>
      <c r="AK664" s="77"/>
      <c r="AL664" s="77"/>
      <c r="AM664" s="77"/>
      <c r="AN664" s="77"/>
    </row>
    <row r="665" customFormat="false" ht="12.75" hidden="false" customHeight="false" outlineLevel="0" collapsed="false">
      <c r="AJ665" s="77"/>
      <c r="AK665" s="77"/>
      <c r="AL665" s="77"/>
      <c r="AM665" s="77"/>
      <c r="AN665" s="77"/>
    </row>
    <row r="666" customFormat="false" ht="12.75" hidden="false" customHeight="false" outlineLevel="0" collapsed="false">
      <c r="AJ666" s="77"/>
      <c r="AK666" s="77"/>
      <c r="AL666" s="77"/>
      <c r="AM666" s="77"/>
      <c r="AN666" s="77"/>
    </row>
    <row r="667" customFormat="false" ht="12.75" hidden="false" customHeight="false" outlineLevel="0" collapsed="false">
      <c r="AJ667" s="77"/>
      <c r="AK667" s="77"/>
      <c r="AL667" s="77"/>
      <c r="AM667" s="77"/>
      <c r="AN667" s="77"/>
    </row>
    <row r="668" customFormat="false" ht="12.75" hidden="false" customHeight="false" outlineLevel="0" collapsed="false">
      <c r="AJ668" s="77"/>
      <c r="AK668" s="77"/>
      <c r="AL668" s="77"/>
      <c r="AM668" s="77"/>
      <c r="AN668" s="77"/>
    </row>
    <row r="669" customFormat="false" ht="12.75" hidden="false" customHeight="false" outlineLevel="0" collapsed="false">
      <c r="AJ669" s="77"/>
      <c r="AK669" s="77"/>
      <c r="AL669" s="77"/>
      <c r="AM669" s="77"/>
      <c r="AN669" s="77"/>
    </row>
    <row r="670" customFormat="false" ht="12.75" hidden="false" customHeight="false" outlineLevel="0" collapsed="false">
      <c r="AJ670" s="77"/>
      <c r="AK670" s="77"/>
      <c r="AL670" s="77"/>
      <c r="AM670" s="77"/>
      <c r="AN670" s="77"/>
    </row>
    <row r="671" customFormat="false" ht="12.75" hidden="false" customHeight="false" outlineLevel="0" collapsed="false">
      <c r="AJ671" s="77"/>
      <c r="AK671" s="77"/>
      <c r="AL671" s="77"/>
      <c r="AM671" s="77"/>
      <c r="AN671" s="77"/>
    </row>
    <row r="672" customFormat="false" ht="12.75" hidden="false" customHeight="false" outlineLevel="0" collapsed="false">
      <c r="AJ672" s="77"/>
      <c r="AK672" s="77"/>
      <c r="AL672" s="77"/>
      <c r="AM672" s="77"/>
      <c r="AN672" s="77"/>
    </row>
    <row r="673" customFormat="false" ht="12.75" hidden="false" customHeight="false" outlineLevel="0" collapsed="false">
      <c r="AJ673" s="77"/>
      <c r="AK673" s="77"/>
      <c r="AL673" s="77"/>
      <c r="AM673" s="77"/>
      <c r="AN673" s="77"/>
    </row>
    <row r="674" customFormat="false" ht="12.75" hidden="false" customHeight="false" outlineLevel="0" collapsed="false">
      <c r="AJ674" s="77"/>
      <c r="AK674" s="77"/>
      <c r="AL674" s="77"/>
      <c r="AM674" s="77"/>
      <c r="AN674" s="77"/>
    </row>
    <row r="675" customFormat="false" ht="12.75" hidden="false" customHeight="false" outlineLevel="0" collapsed="false">
      <c r="AJ675" s="77"/>
      <c r="AK675" s="77"/>
      <c r="AL675" s="77"/>
      <c r="AM675" s="77"/>
      <c r="AN675" s="77"/>
    </row>
    <row r="676" customFormat="false" ht="12.75" hidden="false" customHeight="false" outlineLevel="0" collapsed="false">
      <c r="AJ676" s="77"/>
      <c r="AK676" s="77"/>
      <c r="AL676" s="77"/>
      <c r="AM676" s="77"/>
      <c r="AN676" s="77"/>
    </row>
    <row r="677" customFormat="false" ht="12.75" hidden="false" customHeight="false" outlineLevel="0" collapsed="false">
      <c r="AJ677" s="77"/>
      <c r="AK677" s="77"/>
      <c r="AL677" s="77"/>
      <c r="AM677" s="77"/>
      <c r="AN677" s="77"/>
    </row>
    <row r="678" customFormat="false" ht="12.75" hidden="false" customHeight="false" outlineLevel="0" collapsed="false">
      <c r="AJ678" s="77"/>
      <c r="AK678" s="77"/>
      <c r="AL678" s="77"/>
      <c r="AM678" s="77"/>
      <c r="AN678" s="77"/>
    </row>
    <row r="679" customFormat="false" ht="12.75" hidden="false" customHeight="false" outlineLevel="0" collapsed="false">
      <c r="AJ679" s="77"/>
      <c r="AK679" s="77"/>
      <c r="AL679" s="77"/>
      <c r="AM679" s="77"/>
      <c r="AN679" s="77"/>
    </row>
    <row r="680" customFormat="false" ht="12.75" hidden="false" customHeight="false" outlineLevel="0" collapsed="false">
      <c r="AJ680" s="77"/>
      <c r="AK680" s="77"/>
      <c r="AL680" s="77"/>
      <c r="AM680" s="77"/>
      <c r="AN680" s="77"/>
    </row>
    <row r="681" customFormat="false" ht="12.75" hidden="false" customHeight="false" outlineLevel="0" collapsed="false">
      <c r="AJ681" s="77"/>
      <c r="AK681" s="77"/>
      <c r="AL681" s="77"/>
      <c r="AM681" s="77"/>
      <c r="AN681" s="77"/>
    </row>
    <row r="682" customFormat="false" ht="12.75" hidden="false" customHeight="false" outlineLevel="0" collapsed="false">
      <c r="AJ682" s="77"/>
      <c r="AK682" s="77"/>
      <c r="AL682" s="77"/>
      <c r="AM682" s="77"/>
      <c r="AN682" s="77"/>
    </row>
    <row r="683" customFormat="false" ht="12.75" hidden="false" customHeight="false" outlineLevel="0" collapsed="false">
      <c r="AJ683" s="77"/>
      <c r="AK683" s="77"/>
      <c r="AL683" s="77"/>
      <c r="AM683" s="77"/>
      <c r="AN683" s="77"/>
    </row>
    <row r="684" customFormat="false" ht="12.75" hidden="false" customHeight="false" outlineLevel="0" collapsed="false">
      <c r="AJ684" s="77"/>
      <c r="AK684" s="77"/>
      <c r="AL684" s="77"/>
      <c r="AM684" s="77"/>
      <c r="AN684" s="77"/>
    </row>
    <row r="685" customFormat="false" ht="12.75" hidden="false" customHeight="false" outlineLevel="0" collapsed="false">
      <c r="AJ685" s="77"/>
      <c r="AK685" s="77"/>
      <c r="AL685" s="77"/>
      <c r="AM685" s="77"/>
      <c r="AN685" s="77"/>
    </row>
    <row r="686" customFormat="false" ht="12.75" hidden="false" customHeight="false" outlineLevel="0" collapsed="false">
      <c r="AJ686" s="77"/>
      <c r="AK686" s="77"/>
      <c r="AL686" s="77"/>
      <c r="AM686" s="77"/>
      <c r="AN686" s="77"/>
    </row>
    <row r="687" customFormat="false" ht="12.75" hidden="false" customHeight="false" outlineLevel="0" collapsed="false">
      <c r="AJ687" s="77"/>
      <c r="AK687" s="77"/>
      <c r="AL687" s="77"/>
      <c r="AM687" s="77"/>
      <c r="AN687" s="77"/>
    </row>
    <row r="688" customFormat="false" ht="12.75" hidden="false" customHeight="false" outlineLevel="0" collapsed="false">
      <c r="AJ688" s="77"/>
      <c r="AK688" s="77"/>
      <c r="AL688" s="77"/>
      <c r="AM688" s="77"/>
      <c r="AN688" s="77"/>
    </row>
    <row r="689" customFormat="false" ht="12.75" hidden="false" customHeight="false" outlineLevel="0" collapsed="false">
      <c r="AJ689" s="77"/>
      <c r="AK689" s="77"/>
      <c r="AL689" s="77"/>
      <c r="AM689" s="77"/>
      <c r="AN689" s="77"/>
    </row>
    <row r="690" customFormat="false" ht="12.75" hidden="false" customHeight="false" outlineLevel="0" collapsed="false">
      <c r="AJ690" s="77"/>
      <c r="AK690" s="77"/>
      <c r="AL690" s="77"/>
      <c r="AM690" s="77"/>
      <c r="AN690" s="77"/>
    </row>
    <row r="691" customFormat="false" ht="12.75" hidden="false" customHeight="false" outlineLevel="0" collapsed="false">
      <c r="AJ691" s="77"/>
      <c r="AK691" s="77"/>
      <c r="AL691" s="77"/>
      <c r="AM691" s="77"/>
      <c r="AN691" s="77"/>
    </row>
    <row r="692" customFormat="false" ht="12.75" hidden="false" customHeight="false" outlineLevel="0" collapsed="false">
      <c r="AJ692" s="77"/>
      <c r="AK692" s="77"/>
      <c r="AL692" s="77"/>
      <c r="AM692" s="77"/>
      <c r="AN692" s="77"/>
    </row>
    <row r="693" customFormat="false" ht="12.75" hidden="false" customHeight="false" outlineLevel="0" collapsed="false">
      <c r="AJ693" s="77"/>
      <c r="AK693" s="77"/>
      <c r="AL693" s="77"/>
      <c r="AM693" s="77"/>
      <c r="AN693" s="77"/>
    </row>
    <row r="694" customFormat="false" ht="12.75" hidden="false" customHeight="false" outlineLevel="0" collapsed="false">
      <c r="AJ694" s="77"/>
      <c r="AK694" s="77"/>
      <c r="AL694" s="77"/>
      <c r="AM694" s="77"/>
      <c r="AN694" s="77"/>
    </row>
    <row r="695" customFormat="false" ht="12.75" hidden="false" customHeight="false" outlineLevel="0" collapsed="false">
      <c r="AJ695" s="77"/>
      <c r="AK695" s="77"/>
      <c r="AL695" s="77"/>
      <c r="AM695" s="77"/>
      <c r="AN695" s="77"/>
    </row>
    <row r="696" customFormat="false" ht="12.75" hidden="false" customHeight="false" outlineLevel="0" collapsed="false">
      <c r="AJ696" s="77"/>
      <c r="AK696" s="77"/>
      <c r="AL696" s="77"/>
      <c r="AM696" s="77"/>
      <c r="AN696" s="77"/>
    </row>
    <row r="697" customFormat="false" ht="12.75" hidden="false" customHeight="false" outlineLevel="0" collapsed="false">
      <c r="AJ697" s="77"/>
      <c r="AK697" s="77"/>
      <c r="AL697" s="77"/>
      <c r="AM697" s="77"/>
      <c r="AN697" s="77"/>
    </row>
    <row r="698" customFormat="false" ht="12.75" hidden="false" customHeight="false" outlineLevel="0" collapsed="false">
      <c r="AJ698" s="77"/>
      <c r="AK698" s="77"/>
      <c r="AL698" s="77"/>
      <c r="AM698" s="77"/>
      <c r="AN698" s="77"/>
    </row>
    <row r="699" customFormat="false" ht="12.75" hidden="false" customHeight="false" outlineLevel="0" collapsed="false">
      <c r="AJ699" s="77"/>
      <c r="AK699" s="77"/>
      <c r="AL699" s="77"/>
      <c r="AM699" s="77"/>
      <c r="AN699" s="77"/>
    </row>
    <row r="700" customFormat="false" ht="12.75" hidden="false" customHeight="false" outlineLevel="0" collapsed="false">
      <c r="AJ700" s="77"/>
      <c r="AK700" s="77"/>
      <c r="AL700" s="77"/>
      <c r="AM700" s="77"/>
      <c r="AN700" s="77"/>
    </row>
    <row r="701" customFormat="false" ht="12.75" hidden="false" customHeight="false" outlineLevel="0" collapsed="false">
      <c r="AJ701" s="77"/>
      <c r="AK701" s="77"/>
      <c r="AL701" s="77"/>
      <c r="AM701" s="77"/>
      <c r="AN701" s="77"/>
    </row>
    <row r="702" customFormat="false" ht="12.75" hidden="false" customHeight="false" outlineLevel="0" collapsed="false">
      <c r="AJ702" s="77"/>
      <c r="AK702" s="77"/>
      <c r="AL702" s="77"/>
      <c r="AM702" s="77"/>
      <c r="AN702" s="77"/>
    </row>
    <row r="703" customFormat="false" ht="12.75" hidden="false" customHeight="false" outlineLevel="0" collapsed="false">
      <c r="AJ703" s="77"/>
      <c r="AK703" s="77"/>
      <c r="AL703" s="77"/>
      <c r="AM703" s="77"/>
      <c r="AN703" s="77"/>
    </row>
    <row r="704" customFormat="false" ht="12.75" hidden="false" customHeight="false" outlineLevel="0" collapsed="false">
      <c r="AJ704" s="77"/>
      <c r="AK704" s="77"/>
      <c r="AL704" s="77"/>
      <c r="AM704" s="77"/>
      <c r="AN704" s="77"/>
    </row>
    <row r="705" customFormat="false" ht="12.75" hidden="false" customHeight="false" outlineLevel="0" collapsed="false">
      <c r="AJ705" s="77"/>
      <c r="AK705" s="77"/>
      <c r="AL705" s="77"/>
      <c r="AM705" s="77"/>
      <c r="AN705" s="77"/>
    </row>
    <row r="706" customFormat="false" ht="12.75" hidden="false" customHeight="false" outlineLevel="0" collapsed="false">
      <c r="AJ706" s="77"/>
      <c r="AK706" s="77"/>
      <c r="AL706" s="77"/>
      <c r="AM706" s="77"/>
      <c r="AN706" s="77"/>
    </row>
    <row r="707" customFormat="false" ht="12.75" hidden="false" customHeight="false" outlineLevel="0" collapsed="false">
      <c r="AJ707" s="77"/>
      <c r="AK707" s="77"/>
      <c r="AL707" s="77"/>
      <c r="AM707" s="77"/>
      <c r="AN707" s="77"/>
    </row>
    <row r="708" customFormat="false" ht="12.75" hidden="false" customHeight="false" outlineLevel="0" collapsed="false">
      <c r="AJ708" s="77"/>
      <c r="AK708" s="77"/>
      <c r="AL708" s="77"/>
      <c r="AM708" s="77"/>
      <c r="AN708" s="77"/>
    </row>
    <row r="709" customFormat="false" ht="12.75" hidden="false" customHeight="false" outlineLevel="0" collapsed="false">
      <c r="AJ709" s="77"/>
      <c r="AK709" s="77"/>
      <c r="AL709" s="77"/>
      <c r="AM709" s="77"/>
      <c r="AN709" s="77"/>
    </row>
    <row r="710" customFormat="false" ht="12.75" hidden="false" customHeight="false" outlineLevel="0" collapsed="false">
      <c r="AJ710" s="77"/>
      <c r="AK710" s="77"/>
      <c r="AL710" s="77"/>
      <c r="AM710" s="77"/>
      <c r="AN710" s="77"/>
    </row>
    <row r="711" customFormat="false" ht="12.75" hidden="false" customHeight="false" outlineLevel="0" collapsed="false">
      <c r="AJ711" s="77"/>
      <c r="AK711" s="77"/>
      <c r="AL711" s="77"/>
      <c r="AM711" s="77"/>
      <c r="AN711" s="77"/>
    </row>
    <row r="712" customFormat="false" ht="12.75" hidden="false" customHeight="false" outlineLevel="0" collapsed="false">
      <c r="AJ712" s="77"/>
      <c r="AK712" s="77"/>
      <c r="AL712" s="77"/>
      <c r="AM712" s="77"/>
      <c r="AN712" s="77"/>
    </row>
    <row r="713" customFormat="false" ht="12.75" hidden="false" customHeight="false" outlineLevel="0" collapsed="false">
      <c r="AJ713" s="77"/>
      <c r="AK713" s="77"/>
      <c r="AL713" s="77"/>
      <c r="AM713" s="77"/>
      <c r="AN713" s="77"/>
    </row>
    <row r="714" customFormat="false" ht="12.75" hidden="false" customHeight="false" outlineLevel="0" collapsed="false">
      <c r="AJ714" s="77"/>
      <c r="AK714" s="77"/>
      <c r="AL714" s="77"/>
      <c r="AM714" s="77"/>
      <c r="AN714" s="77"/>
    </row>
    <row r="715" customFormat="false" ht="12.75" hidden="false" customHeight="false" outlineLevel="0" collapsed="false">
      <c r="AJ715" s="77"/>
      <c r="AK715" s="77"/>
      <c r="AL715" s="77"/>
      <c r="AM715" s="77"/>
      <c r="AN715" s="77"/>
    </row>
    <row r="716" customFormat="false" ht="12.75" hidden="false" customHeight="false" outlineLevel="0" collapsed="false">
      <c r="AJ716" s="77"/>
      <c r="AK716" s="77"/>
      <c r="AL716" s="77"/>
      <c r="AM716" s="77"/>
      <c r="AN716" s="77"/>
    </row>
    <row r="717" customFormat="false" ht="12.75" hidden="false" customHeight="false" outlineLevel="0" collapsed="false">
      <c r="AJ717" s="77"/>
      <c r="AK717" s="77"/>
      <c r="AL717" s="77"/>
      <c r="AM717" s="77"/>
      <c r="AN717" s="77"/>
    </row>
    <row r="718" customFormat="false" ht="12.75" hidden="false" customHeight="false" outlineLevel="0" collapsed="false">
      <c r="AJ718" s="77"/>
      <c r="AK718" s="77"/>
      <c r="AL718" s="77"/>
      <c r="AM718" s="77"/>
      <c r="AN718" s="77"/>
    </row>
    <row r="719" customFormat="false" ht="12.75" hidden="false" customHeight="false" outlineLevel="0" collapsed="false">
      <c r="AJ719" s="77"/>
      <c r="AK719" s="77"/>
      <c r="AL719" s="77"/>
      <c r="AM719" s="77"/>
      <c r="AN719" s="77"/>
    </row>
    <row r="720" customFormat="false" ht="12.75" hidden="false" customHeight="false" outlineLevel="0" collapsed="false">
      <c r="AJ720" s="77"/>
      <c r="AK720" s="77"/>
      <c r="AL720" s="77"/>
      <c r="AM720" s="77"/>
      <c r="AN720" s="77"/>
    </row>
    <row r="721" customFormat="false" ht="12.75" hidden="false" customHeight="false" outlineLevel="0" collapsed="false">
      <c r="AJ721" s="77"/>
      <c r="AK721" s="77"/>
      <c r="AL721" s="77"/>
      <c r="AM721" s="77"/>
      <c r="AN721" s="77"/>
    </row>
    <row r="722" customFormat="false" ht="12.75" hidden="false" customHeight="false" outlineLevel="0" collapsed="false">
      <c r="AJ722" s="77"/>
      <c r="AK722" s="77"/>
      <c r="AL722" s="77"/>
      <c r="AM722" s="77"/>
      <c r="AN722" s="77"/>
    </row>
  </sheetData>
  <printOptions headings="false" gridLines="false" gridLinesSet="true" horizontalCentered="false" verticalCentered="false"/>
  <pageMargins left="0" right="0.270138888888889" top="0.75" bottom="0.5" header="0.511811023622047" footer="0.5"/>
  <pageSetup paperSize="5" scale="53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&amp;L&amp;F / &amp;A&amp;R&amp;D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H722"/>
  <sheetViews>
    <sheetView showFormulas="false" showGridLines="false" showRowColHeaders="true" showZeros="true" rightToLeft="false" tabSelected="false" showOutlineSymbols="true" defaultGridColor="true" view="normal" topLeftCell="P1" colorId="64" zoomScale="80" zoomScaleNormal="80" zoomScalePageLayoutView="100" workbookViewId="0">
      <selection pane="topLeft" activeCell="AH8" activeCellId="0" sqref="AH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3" min="3" style="21" width="5.13"/>
    <col collapsed="false" customWidth="true" hidden="false" outlineLevel="0" max="4" min="4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8" min="8" style="21" width="14.56"/>
    <col collapsed="false" customWidth="true" hidden="false" outlineLevel="0" max="9" min="9" style="21" width="9.99"/>
    <col collapsed="false" customWidth="true" hidden="false" outlineLevel="0" max="10" min="10" style="21" width="20.13"/>
    <col collapsed="false" customWidth="true" hidden="false" outlineLevel="0" max="11" min="11" style="21" width="17.85"/>
    <col collapsed="false" customWidth="true" hidden="false" outlineLevel="0" max="12" min="12" style="21" width="19.14"/>
    <col collapsed="false" customWidth="true" hidden="false" outlineLevel="0" max="13" min="13" style="21" width="14.99"/>
    <col collapsed="false" customWidth="true" hidden="false" outlineLevel="0" max="14" min="14" style="21" width="1.41"/>
    <col collapsed="false" customWidth="true" hidden="false" outlineLevel="0" max="15" min="15" style="21" width="14.99"/>
    <col collapsed="false" customWidth="true" hidden="false" outlineLevel="0" max="16" min="16" style="21" width="16.84"/>
    <col collapsed="false" customWidth="true" hidden="false" outlineLevel="0" max="17" min="17" style="21" width="2.99"/>
    <col collapsed="false" customWidth="true" hidden="false" outlineLevel="0" max="18" min="18" style="21" width="20.13"/>
    <col collapsed="false" customWidth="true" hidden="false" outlineLevel="0" max="19" min="19" style="21" width="17.85"/>
    <col collapsed="false" customWidth="true" hidden="false" outlineLevel="0" max="20" min="20" style="21" width="21.56"/>
    <col collapsed="false" customWidth="true" hidden="false" outlineLevel="0" max="21" min="21" style="21" width="14.99"/>
    <col collapsed="false" customWidth="true" hidden="false" outlineLevel="0" max="22" min="22" style="21" width="9.56"/>
    <col collapsed="false" customWidth="true" hidden="false" outlineLevel="0" max="23" min="23" style="21" width="14.99"/>
    <col collapsed="false" customWidth="true" hidden="false" outlineLevel="0" max="24" min="24" style="21" width="16.84"/>
    <col collapsed="false" customWidth="true" hidden="false" outlineLevel="0" max="25" min="25" style="21" width="1.99"/>
    <col collapsed="false" customWidth="true" hidden="false" outlineLevel="0" max="26" min="26" style="137" width="15.13"/>
    <col collapsed="false" customWidth="true" hidden="false" outlineLevel="0" max="27" min="27" style="137" width="19.28"/>
    <col collapsed="false" customWidth="true" hidden="false" outlineLevel="0" max="28" min="28" style="137" width="15.28"/>
    <col collapsed="false" customWidth="true" hidden="false" outlineLevel="0" max="29" min="29" style="137" width="20.28"/>
    <col collapsed="false" customWidth="true" hidden="false" outlineLevel="0" max="31" min="30" style="137" width="15.7"/>
    <col collapsed="false" customWidth="true" hidden="false" outlineLevel="0" max="32" min="32" style="137" width="16.7"/>
    <col collapsed="false" customWidth="true" hidden="false" outlineLevel="0" max="33" min="33" style="137" width="13.28"/>
    <col collapsed="false" customWidth="true" hidden="false" outlineLevel="0" max="34" min="34" style="137" width="14.7"/>
    <col collapsed="false" customWidth="true" hidden="false" outlineLevel="0" max="35" min="35" style="137" width="14.85"/>
    <col collapsed="false" customWidth="true" hidden="false" outlineLevel="0" max="36" min="36" style="21" width="12.56"/>
    <col collapsed="false" customWidth="true" hidden="false" outlineLevel="0" max="37" min="37" style="21" width="10.71"/>
    <col collapsed="false" customWidth="true" hidden="false" outlineLevel="0" max="38" min="38" style="21" width="9.99"/>
    <col collapsed="false" customWidth="false" hidden="false" outlineLevel="0" max="40" min="39" style="21" width="9.14"/>
    <col collapsed="false" customWidth="true" hidden="false" outlineLevel="0" max="41" min="41" style="137" width="8.28"/>
    <col collapsed="false" customWidth="true" hidden="false" outlineLevel="0" max="42" min="42" style="137" width="9.85"/>
    <col collapsed="false" customWidth="true" hidden="false" outlineLevel="0" max="43" min="43" style="137" width="8.56"/>
    <col collapsed="false" customWidth="true" hidden="false" outlineLevel="0" max="44" min="44" style="137" width="11.7"/>
    <col collapsed="false" customWidth="true" hidden="false" outlineLevel="0" max="45" min="45" style="137" width="10.28"/>
    <col collapsed="false" customWidth="true" hidden="false" outlineLevel="0" max="46" min="46" style="137" width="7.56"/>
    <col collapsed="false" customWidth="true" hidden="false" outlineLevel="0" max="47" min="47" style="137" width="6.41"/>
    <col collapsed="false" customWidth="true" hidden="false" outlineLevel="0" max="48" min="48" style="21" width="1.41"/>
    <col collapsed="false" customWidth="true" hidden="false" outlineLevel="0" max="49" min="49" style="138" width="14.28"/>
    <col collapsed="false" customWidth="true" hidden="false" outlineLevel="0" max="51" min="50" style="21" width="14.28"/>
    <col collapsed="false" customWidth="false" hidden="false" outlineLevel="0" max="52" min="52" style="21" width="9.14"/>
    <col collapsed="false" customWidth="true" hidden="false" outlineLevel="0" max="53" min="53" style="21" width="15.56"/>
    <col collapsed="false" customWidth="false" hidden="false" outlineLevel="0" max="54" min="54" style="21" width="9.14"/>
    <col collapsed="false" customWidth="true" hidden="false" outlineLevel="0" max="55" min="55" style="21" width="16.28"/>
    <col collapsed="false" customWidth="false" hidden="false" outlineLevel="0" max="257" min="56" style="21" width="9.14"/>
  </cols>
  <sheetData>
    <row r="1" customFormat="false" ht="13.5" hidden="false" customHeight="false" outlineLevel="0" collapsed="false">
      <c r="A1" s="139" t="s">
        <v>114</v>
      </c>
      <c r="C1" s="140"/>
      <c r="D1" s="140" t="s">
        <v>115</v>
      </c>
      <c r="E1" s="141" t="n">
        <f aca="false">Summary!D8</f>
        <v>45926</v>
      </c>
      <c r="H1" s="142" t="s">
        <v>116</v>
      </c>
      <c r="I1" s="143" t="s">
        <v>117</v>
      </c>
      <c r="J1" s="142" t="s">
        <v>118</v>
      </c>
      <c r="K1" s="143" t="s">
        <v>119</v>
      </c>
      <c r="R1" s="142" t="s">
        <v>118</v>
      </c>
      <c r="S1" s="143" t="s">
        <v>119</v>
      </c>
      <c r="Z1" s="144" t="str">
        <f aca="false">Summary!J8</f>
        <v>NG_OMICRON_11</v>
      </c>
      <c r="AA1" s="144" t="str">
        <f aca="false">Summary!L8</f>
        <v>MICH/CONS</v>
      </c>
      <c r="AC1" s="144" t="str">
        <f aca="false">Summary!I8</f>
        <v>NG_OMICRON_1</v>
      </c>
      <c r="AD1" s="144" t="str">
        <f aca="false">Summary!K8</f>
        <v>NG</v>
      </c>
      <c r="AJ1" s="83"/>
    </row>
    <row r="2" customFormat="false" ht="12.75" hidden="false" customHeight="false" outlineLevel="0" collapsed="false">
      <c r="A2" s="142" t="s">
        <v>120</v>
      </c>
      <c r="B2" s="145" t="s">
        <v>121</v>
      </c>
      <c r="C2" s="145"/>
      <c r="D2" s="146" t="s">
        <v>122</v>
      </c>
      <c r="E2" s="145" t="s">
        <v>98</v>
      </c>
      <c r="F2" s="145" t="s">
        <v>123</v>
      </c>
      <c r="G2" s="145" t="s">
        <v>124</v>
      </c>
      <c r="H2" s="147" t="s">
        <v>125</v>
      </c>
      <c r="I2" s="148" t="s">
        <v>126</v>
      </c>
      <c r="J2" s="149" t="s">
        <v>127</v>
      </c>
      <c r="K2" s="148" t="s">
        <v>127</v>
      </c>
      <c r="R2" s="149" t="s">
        <v>128</v>
      </c>
      <c r="S2" s="148" t="str">
        <f aca="false">R2</f>
        <v>Receipt Pt</v>
      </c>
      <c r="AI2" s="137" t="s">
        <v>129</v>
      </c>
      <c r="AJ2" s="21" t="n">
        <v>1</v>
      </c>
    </row>
    <row r="3" customFormat="false" ht="13.5" hidden="false" customHeight="false" outlineLevel="0" collapsed="false">
      <c r="A3" s="150" t="n">
        <f aca="false">Summary!E8</f>
        <v>37043</v>
      </c>
      <c r="B3" s="151" t="n">
        <f aca="false">Summary!F8</f>
        <v>42004</v>
      </c>
      <c r="C3" s="152"/>
      <c r="D3" s="152" t="n">
        <f aca="false">Summary!C8</f>
        <v>37025</v>
      </c>
      <c r="E3" s="153" t="str">
        <f aca="false">CONCATENATE(INT(AT8/12)," Y - ",AT8-INT(AT8/12)*12," M")</f>
        <v>13 Y - 7 M</v>
      </c>
      <c r="F3" s="154" t="n">
        <v>2</v>
      </c>
      <c r="G3" s="154" t="n">
        <v>1</v>
      </c>
      <c r="H3" s="155" t="n">
        <v>1</v>
      </c>
      <c r="I3" s="156" t="n">
        <f aca="false">Summary!P8</f>
        <v>0</v>
      </c>
      <c r="J3" s="157" t="str">
        <f aca="false">Summary!H8</f>
        <v>ML7/CG</v>
      </c>
      <c r="K3" s="156" t="str">
        <f aca="false">J3</f>
        <v>ML7/CG</v>
      </c>
      <c r="R3" s="157" t="str">
        <f aca="false">Summary!G8</f>
        <v>IF-ANR/LA</v>
      </c>
      <c r="S3" s="156" t="str">
        <f aca="false">R3</f>
        <v>IF-ANR/LA</v>
      </c>
      <c r="Z3" s="219" t="s">
        <v>130</v>
      </c>
      <c r="AA3" s="220" t="s">
        <v>130</v>
      </c>
      <c r="AB3" s="221" t="s">
        <v>130</v>
      </c>
      <c r="AC3" s="219" t="s">
        <v>131</v>
      </c>
      <c r="AD3" s="220" t="s">
        <v>131</v>
      </c>
      <c r="AE3" s="221" t="s">
        <v>131</v>
      </c>
      <c r="AH3" s="222"/>
    </row>
    <row r="4" customFormat="false" ht="12.75" hidden="false" customHeight="false" outlineLevel="0" collapsed="false">
      <c r="A4" s="158"/>
      <c r="B4" s="158"/>
      <c r="C4" s="158"/>
      <c r="D4" s="158" t="s">
        <v>132</v>
      </c>
      <c r="E4" s="158" t="s">
        <v>93</v>
      </c>
      <c r="F4" s="158" t="s">
        <v>94</v>
      </c>
      <c r="G4" s="159" t="s">
        <v>133</v>
      </c>
      <c r="H4" s="160"/>
      <c r="I4" s="158"/>
      <c r="J4" s="159" t="str">
        <f aca="false">CONCATENATE(J3,"-","D")</f>
        <v>ML7/CG-D</v>
      </c>
      <c r="K4" s="160" t="str">
        <f aca="false">J3</f>
        <v>ML7/CG</v>
      </c>
      <c r="L4" s="159" t="str">
        <f aca="false">CONCATENATE(K3,"-","I")</f>
        <v>ML7/CG-I</v>
      </c>
      <c r="M4" s="160" t="str">
        <f aca="false">K3</f>
        <v>ML7/CG</v>
      </c>
      <c r="O4" s="160" t="str">
        <f aca="false">K4</f>
        <v>ML7/CG</v>
      </c>
      <c r="P4" s="160" t="str">
        <f aca="false">J4</f>
        <v>ML7/CG-D</v>
      </c>
      <c r="Q4" s="158"/>
      <c r="R4" s="159" t="str">
        <f aca="false">CONCATENATE(R3,"-","D")</f>
        <v>IF-ANR/LA-D</v>
      </c>
      <c r="S4" s="160" t="str">
        <f aca="false">R3</f>
        <v>IF-ANR/LA</v>
      </c>
      <c r="T4" s="159" t="str">
        <f aca="false">CONCATENATE(S3,"-","I")</f>
        <v>IF-ANR/LA-I</v>
      </c>
      <c r="U4" s="160" t="str">
        <f aca="false">S3</f>
        <v>IF-ANR/LA</v>
      </c>
      <c r="V4" s="160" t="s">
        <v>134</v>
      </c>
      <c r="W4" s="160" t="str">
        <f aca="false">S4</f>
        <v>IF-ANR/LA</v>
      </c>
      <c r="X4" s="160" t="str">
        <f aca="false">R4</f>
        <v>IF-ANR/LA-D</v>
      </c>
      <c r="Z4" s="161" t="str">
        <f aca="false">IF(Z1="NG",CONCATENATE(Z1,"-","VO"),CONCATENATE(Z1,"-","P"))</f>
        <v>NG_OMICRON_11-P</v>
      </c>
      <c r="AA4" s="162" t="str">
        <f aca="false">IF(AA1="NG",CONCATENATE(AA1,"-","VO"),CONCATENATE(AA1,"-","P"))</f>
        <v>MICH/CONS-P</v>
      </c>
      <c r="AB4" s="162" t="s">
        <v>135</v>
      </c>
      <c r="AC4" s="161" t="str">
        <f aca="false">IF(AC1="NG",CONCATENATE(AC1,"-","VO"),CONCATENATE(AC1,"-","P"))</f>
        <v>NG_OMICRON_1-P</v>
      </c>
      <c r="AD4" s="162" t="str">
        <f aca="false">IF(AD1="NG",CONCATENATE(AD1,"-","VO"),CONCATENATE(AD1,"-","P"))</f>
        <v>NG-VO</v>
      </c>
      <c r="AE4" s="163" t="s">
        <v>136</v>
      </c>
      <c r="AF4" s="160" t="str">
        <f aca="false">J3</f>
        <v>ML7/CG</v>
      </c>
      <c r="AG4" s="160" t="s">
        <v>81</v>
      </c>
      <c r="AH4" s="158" t="s">
        <v>167</v>
      </c>
      <c r="AI4" s="160" t="s">
        <v>81</v>
      </c>
      <c r="AJ4" s="160"/>
      <c r="AK4" s="160"/>
      <c r="AL4" s="160"/>
      <c r="AM4" s="160"/>
      <c r="AN4" s="160"/>
      <c r="AO4" s="164"/>
      <c r="AP4" s="164"/>
      <c r="AQ4" s="164" t="s">
        <v>137</v>
      </c>
      <c r="AR4" s="159" t="s">
        <v>138</v>
      </c>
      <c r="AS4" s="164"/>
      <c r="AT4" s="164"/>
      <c r="AU4" s="164"/>
      <c r="AW4" s="164"/>
      <c r="AX4" s="164" t="s">
        <v>139</v>
      </c>
      <c r="AY4" s="164"/>
      <c r="BA4" s="164"/>
      <c r="BC4" s="165" t="s">
        <v>140</v>
      </c>
    </row>
    <row r="5" customFormat="false" ht="12.75" hidden="false" customHeight="false" outlineLevel="0" collapsed="false">
      <c r="A5" s="158" t="s">
        <v>141</v>
      </c>
      <c r="B5" s="158" t="s">
        <v>32</v>
      </c>
      <c r="C5" s="158"/>
      <c r="D5" s="158" t="s">
        <v>32</v>
      </c>
      <c r="E5" s="158" t="s">
        <v>32</v>
      </c>
      <c r="F5" s="158" t="s">
        <v>32</v>
      </c>
      <c r="G5" s="158" t="s">
        <v>142</v>
      </c>
      <c r="H5" s="158" t="s">
        <v>142</v>
      </c>
      <c r="I5" s="158"/>
      <c r="J5" s="158" t="s">
        <v>118</v>
      </c>
      <c r="K5" s="158" t="s">
        <v>118</v>
      </c>
      <c r="L5" s="158" t="s">
        <v>119</v>
      </c>
      <c r="M5" s="158" t="s">
        <v>119</v>
      </c>
      <c r="O5" s="158" t="s">
        <v>97</v>
      </c>
      <c r="P5" s="158" t="s">
        <v>97</v>
      </c>
      <c r="Q5" s="158"/>
      <c r="R5" s="158" t="s">
        <v>118</v>
      </c>
      <c r="S5" s="158" t="s">
        <v>118</v>
      </c>
      <c r="T5" s="158" t="s">
        <v>119</v>
      </c>
      <c r="U5" s="158" t="s">
        <v>119</v>
      </c>
      <c r="V5" s="158" t="s">
        <v>101</v>
      </c>
      <c r="W5" s="158" t="s">
        <v>97</v>
      </c>
      <c r="X5" s="158" t="s">
        <v>97</v>
      </c>
      <c r="Z5" s="166" t="s">
        <v>143</v>
      </c>
      <c r="AA5" s="158" t="s">
        <v>143</v>
      </c>
      <c r="AB5" s="167" t="s">
        <v>143</v>
      </c>
      <c r="AC5" s="166" t="s">
        <v>143</v>
      </c>
      <c r="AD5" s="158" t="s">
        <v>143</v>
      </c>
      <c r="AE5" s="167" t="s">
        <v>144</v>
      </c>
      <c r="AF5" s="158" t="str">
        <f aca="false">S3</f>
        <v>IF-ANR/LA</v>
      </c>
      <c r="AG5" s="158" t="s">
        <v>145</v>
      </c>
      <c r="AH5" s="223" t="s">
        <v>168</v>
      </c>
      <c r="AI5" s="158"/>
      <c r="AJ5" s="158" t="s">
        <v>146</v>
      </c>
      <c r="AK5" s="158" t="s">
        <v>146</v>
      </c>
      <c r="AL5" s="158" t="s">
        <v>146</v>
      </c>
      <c r="AM5" s="158" t="s">
        <v>86</v>
      </c>
      <c r="AN5" s="158" t="s">
        <v>96</v>
      </c>
      <c r="AO5" s="168" t="s">
        <v>147</v>
      </c>
      <c r="AP5" s="168" t="s">
        <v>148</v>
      </c>
      <c r="AQ5" s="168" t="s">
        <v>148</v>
      </c>
      <c r="AR5" s="169" t="s">
        <v>149</v>
      </c>
      <c r="AS5" s="168" t="s">
        <v>148</v>
      </c>
      <c r="AT5" s="168" t="s">
        <v>150</v>
      </c>
      <c r="AU5" s="168" t="s">
        <v>150</v>
      </c>
      <c r="AW5" s="168" t="s">
        <v>97</v>
      </c>
      <c r="AX5" s="168" t="s">
        <v>86</v>
      </c>
      <c r="AY5" s="168" t="s">
        <v>96</v>
      </c>
      <c r="BA5" s="168" t="s">
        <v>151</v>
      </c>
      <c r="BC5" s="170" t="s">
        <v>86</v>
      </c>
    </row>
    <row r="6" customFormat="false" ht="12.75" hidden="false" customHeight="false" outlineLevel="0" collapsed="false">
      <c r="A6" s="171" t="s">
        <v>152</v>
      </c>
      <c r="B6" s="171" t="s">
        <v>153</v>
      </c>
      <c r="C6" s="171"/>
      <c r="D6" s="171" t="s">
        <v>153</v>
      </c>
      <c r="E6" s="171" t="s">
        <v>154</v>
      </c>
      <c r="F6" s="171" t="s">
        <v>154</v>
      </c>
      <c r="G6" s="171" t="s">
        <v>155</v>
      </c>
      <c r="H6" s="171" t="str">
        <f aca="false">CHOOSE(G3,"Bid","Offer")</f>
        <v>Bid</v>
      </c>
      <c r="I6" s="171"/>
      <c r="J6" s="171" t="s">
        <v>155</v>
      </c>
      <c r="K6" s="171" t="str">
        <f aca="false">H6</f>
        <v>Bid</v>
      </c>
      <c r="L6" s="171" t="s">
        <v>155</v>
      </c>
      <c r="M6" s="171" t="str">
        <f aca="false">K6</f>
        <v>Bid</v>
      </c>
      <c r="O6" s="171" t="s">
        <v>155</v>
      </c>
      <c r="P6" s="171" t="str">
        <f aca="false">K6</f>
        <v>Bid</v>
      </c>
      <c r="Q6" s="158"/>
      <c r="R6" s="171" t="s">
        <v>155</v>
      </c>
      <c r="S6" s="171" t="str">
        <f aca="false">IF(K6="Offer","Bid","Offer")</f>
        <v>Offer</v>
      </c>
      <c r="T6" s="171" t="s">
        <v>155</v>
      </c>
      <c r="U6" s="171" t="str">
        <f aca="false">S6</f>
        <v>Offer</v>
      </c>
      <c r="V6" s="171"/>
      <c r="W6" s="171" t="s">
        <v>155</v>
      </c>
      <c r="X6" s="171" t="str">
        <f aca="false">S6</f>
        <v>Offer</v>
      </c>
      <c r="Z6" s="172" t="s">
        <v>155</v>
      </c>
      <c r="AA6" s="171" t="str">
        <f aca="false">P6</f>
        <v>Bid</v>
      </c>
      <c r="AB6" s="173" t="s">
        <v>156</v>
      </c>
      <c r="AC6" s="172" t="str">
        <f aca="false">U6</f>
        <v>Offer</v>
      </c>
      <c r="AD6" s="171" t="s">
        <v>157</v>
      </c>
      <c r="AE6" s="173" t="s">
        <v>157</v>
      </c>
      <c r="AF6" s="174" t="s">
        <v>48</v>
      </c>
      <c r="AG6" s="171" t="s">
        <v>101</v>
      </c>
      <c r="AH6" s="171" t="s">
        <v>101</v>
      </c>
      <c r="AI6" s="171" t="s">
        <v>158</v>
      </c>
      <c r="AJ6" s="171" t="s">
        <v>159</v>
      </c>
      <c r="AK6" s="171" t="s">
        <v>160</v>
      </c>
      <c r="AL6" s="171" t="s">
        <v>102</v>
      </c>
      <c r="AM6" s="171" t="s">
        <v>102</v>
      </c>
      <c r="AN6" s="171" t="s">
        <v>102</v>
      </c>
      <c r="AO6" s="175" t="s">
        <v>161</v>
      </c>
      <c r="AP6" s="175" t="s">
        <v>44</v>
      </c>
      <c r="AQ6" s="175" t="s">
        <v>161</v>
      </c>
      <c r="AR6" s="176" t="s">
        <v>162</v>
      </c>
      <c r="AS6" s="175" t="s">
        <v>163</v>
      </c>
      <c r="AT6" s="175" t="s">
        <v>164</v>
      </c>
      <c r="AU6" s="175" t="s">
        <v>161</v>
      </c>
      <c r="AW6" s="175" t="s">
        <v>102</v>
      </c>
      <c r="AX6" s="175" t="s">
        <v>165</v>
      </c>
      <c r="AY6" s="175" t="s">
        <v>165</v>
      </c>
      <c r="BA6" s="175" t="s">
        <v>101</v>
      </c>
      <c r="BC6" s="177" t="s">
        <v>165</v>
      </c>
    </row>
    <row r="7" customFormat="false" ht="13.5" hidden="false" customHeight="false" outlineLevel="0" collapsed="false">
      <c r="A7" s="178"/>
      <c r="B7" s="178"/>
      <c r="C7" s="178"/>
      <c r="D7" s="178"/>
      <c r="Z7" s="21"/>
      <c r="AA7" s="21"/>
      <c r="AB7" s="21"/>
      <c r="AC7" s="21"/>
      <c r="AD7" s="21"/>
      <c r="AE7" s="21"/>
      <c r="AF7" s="21"/>
      <c r="AG7" s="21"/>
      <c r="AH7" s="21"/>
      <c r="AI7" s="21"/>
      <c r="AQ7" s="144"/>
      <c r="BC7" s="179"/>
    </row>
    <row r="8" customFormat="false" ht="13.5" hidden="false" customHeight="false" outlineLevel="0" collapsed="false">
      <c r="A8" s="180" t="s">
        <v>166</v>
      </c>
      <c r="B8" s="181"/>
      <c r="C8" s="181"/>
      <c r="D8" s="181" t="n">
        <f aca="false">SUM(D10:D500)</f>
        <v>13040000</v>
      </c>
      <c r="E8" s="181" t="n">
        <f aca="false">SUM(E10:E500)</f>
        <v>396960000</v>
      </c>
      <c r="F8" s="181" t="n">
        <f aca="false">SUM(F10:F370)</f>
        <v>2369518533.68198</v>
      </c>
      <c r="G8" s="182" t="e">
        <f aca="false">SUMPRODUCT(G10:G499,$F$10:$F$499)/SUM($F$10:$F$499)</f>
        <v>#N/A</v>
      </c>
      <c r="H8" s="182" t="e">
        <f aca="false">SUMPRODUCT(H10:H499,$F$10:$F$499)/SUM($F$10:$F$499)</f>
        <v>#N/A</v>
      </c>
      <c r="I8" s="182"/>
      <c r="J8" s="182" t="e">
        <f aca="false">SUMPRODUCT(J10:J499,$F$10:$F$499)/SUM($F$10:$F$499)</f>
        <v>#N/A</v>
      </c>
      <c r="K8" s="182" t="e">
        <f aca="false">SUMPRODUCT(K10:K499,$F$10:$F$499)/SUM($F$10:$F$499)</f>
        <v>#N/A</v>
      </c>
      <c r="L8" s="182" t="e">
        <f aca="false">SUMPRODUCT(L10:L499,$F$10:$F$499)/SUM($F$10:$F$499)</f>
        <v>#N/A</v>
      </c>
      <c r="M8" s="182" t="e">
        <f aca="false">SUMPRODUCT(M10:M499,$F$10:$F$499)/SUM($F$10:$F$499)</f>
        <v>#N/A</v>
      </c>
      <c r="O8" s="182" t="e">
        <f aca="false">SUMPRODUCT(O10:O499,$F$10:$F$499)/SUM($F$10:$F$499)</f>
        <v>#N/A</v>
      </c>
      <c r="P8" s="182" t="e">
        <f aca="false">SUMPRODUCT(P10:P499,$F$10:$F$499)/SUM($F$10:$F$499)</f>
        <v>#N/A</v>
      </c>
      <c r="Q8" s="182"/>
      <c r="R8" s="182" t="e">
        <f aca="false">SUMPRODUCT(R10:R499,$F$10:$F$499)/SUM($F$10:$F$499)</f>
        <v>#N/A</v>
      </c>
      <c r="S8" s="182" t="e">
        <f aca="false">SUMPRODUCT(S10:S499,$F$10:$F$499)/SUM($F$10:$F$499)</f>
        <v>#N/A</v>
      </c>
      <c r="T8" s="182" t="e">
        <f aca="false">SUMPRODUCT(T10:T499,$F$10:$F$499)/SUM($F$10:$F$499)</f>
        <v>#N/A</v>
      </c>
      <c r="U8" s="182" t="e">
        <f aca="false">SUMPRODUCT(U10:U499,$F$10:$F$499)/SUM($F$10:$F$499)</f>
        <v>#N/A</v>
      </c>
      <c r="V8" s="183" t="e">
        <f aca="false">SUMPRODUCT(V10:V499,F10:F499)/F8</f>
        <v>#N/A</v>
      </c>
      <c r="W8" s="182" t="e">
        <f aca="false">SUMPRODUCT(W10:W499,$F$10:$F$499)/SUM($F$10:$F$499)</f>
        <v>#N/A</v>
      </c>
      <c r="X8" s="182" t="e">
        <f aca="false">SUMPRODUCT(X10:X499,$F$10:$F$499)/SUM($F$10:$F$499)</f>
        <v>#N/A</v>
      </c>
      <c r="Y8" s="182"/>
      <c r="Z8" s="184"/>
      <c r="AA8" s="185"/>
      <c r="AB8" s="185"/>
      <c r="AC8" s="185"/>
      <c r="AD8" s="185"/>
      <c r="AE8" s="185"/>
      <c r="AF8" s="182"/>
      <c r="AG8" s="182"/>
      <c r="AH8" s="182" t="n">
        <f aca="false">SUMPRODUCT(AH10:AH300,F10:F300)/F8</f>
        <v>0.0204760356170121</v>
      </c>
      <c r="AI8" s="182"/>
      <c r="AJ8" s="182"/>
      <c r="AK8" s="182"/>
      <c r="AL8" s="182" t="e">
        <f aca="false">AW8/$E8</f>
        <v>#NAME?</v>
      </c>
      <c r="AM8" s="182" t="e">
        <f aca="false">BC8/$F8</f>
        <v>#N/A</v>
      </c>
      <c r="AN8" s="182" t="e">
        <f aca="false">AY8/$E8</f>
        <v>#N/A</v>
      </c>
      <c r="AR8" s="186"/>
      <c r="AT8" s="187" t="n">
        <f aca="false">SUM(AT10:AT500)</f>
        <v>163</v>
      </c>
      <c r="AU8" s="187" t="n">
        <f aca="false">SUM(AU10:AU500)</f>
        <v>4962</v>
      </c>
      <c r="AW8" s="188" t="e">
        <f aca="false">SUM(AW10:AW501)</f>
        <v>#NAME?</v>
      </c>
      <c r="AX8" s="188" t="e">
        <f aca="false">SUM(AX10:AX501)</f>
        <v>#N/A</v>
      </c>
      <c r="AY8" s="188" t="e">
        <f aca="false">SUM(AY10:AY501)</f>
        <v>#N/A</v>
      </c>
      <c r="BA8" s="188" t="n">
        <f aca="false">SUM(BA10:BA501)</f>
        <v>0</v>
      </c>
      <c r="BC8" s="189" t="e">
        <f aca="false">SUM(BC10:BC501)</f>
        <v>#N/A</v>
      </c>
    </row>
    <row r="9" customFormat="false" ht="12.75" hidden="false" customHeight="false" outlineLevel="0" collapsed="false">
      <c r="B9" s="190"/>
      <c r="C9" s="190"/>
      <c r="D9" s="190"/>
      <c r="E9" s="190"/>
      <c r="F9" s="190"/>
      <c r="G9" s="191"/>
      <c r="H9" s="191"/>
      <c r="I9" s="191"/>
      <c r="J9" s="191"/>
      <c r="K9" s="191"/>
      <c r="L9" s="191"/>
      <c r="M9" s="191"/>
      <c r="O9" s="191"/>
      <c r="P9" s="191"/>
      <c r="Q9" s="191"/>
      <c r="R9" s="191"/>
      <c r="S9" s="191"/>
      <c r="T9" s="191"/>
      <c r="U9" s="191"/>
      <c r="W9" s="191"/>
      <c r="X9" s="191"/>
      <c r="Y9" s="191"/>
      <c r="Z9" s="193"/>
      <c r="AA9" s="185"/>
      <c r="AB9" s="185"/>
      <c r="AC9" s="185"/>
      <c r="AD9" s="185"/>
      <c r="AE9" s="185"/>
      <c r="AF9" s="194"/>
      <c r="AG9" s="182"/>
      <c r="AH9" s="182"/>
      <c r="AI9" s="182"/>
      <c r="AJ9" s="191"/>
      <c r="AK9" s="191"/>
      <c r="AL9" s="191"/>
      <c r="AM9" s="191"/>
      <c r="AN9" s="191"/>
      <c r="AW9" s="195"/>
      <c r="BC9" s="179"/>
    </row>
    <row r="10" customFormat="false" ht="12.75" hidden="false" customHeight="false" outlineLevel="0" collapsed="false">
      <c r="A10" s="196" t="n">
        <f aca="false">A3</f>
        <v>37043</v>
      </c>
      <c r="B10" s="197" t="n">
        <f aca="false">Summary!O8</f>
        <v>80000</v>
      </c>
      <c r="C10" s="198"/>
      <c r="D10" s="197" t="n">
        <f aca="false">IF(A11&lt;&gt;"",B10+C10,"")</f>
        <v>80000</v>
      </c>
      <c r="E10" s="199" t="n">
        <f aca="false">IF(A11="","",IF(AND(AT10=1,$H$3=1),D10*AO10,IF($H$3=2,D10,"N/A")))</f>
        <v>2400000</v>
      </c>
      <c r="F10" s="199" t="n">
        <f aca="false">IF(A11="","",E10*AS10)</f>
        <v>25755659.3050942</v>
      </c>
      <c r="G10" s="200" t="e">
        <f aca="false">IF($A11="","",VLOOKUP($A10,Table,MATCH(G$4,Curves,0)))</f>
        <v>#N/A</v>
      </c>
      <c r="H10" s="201" t="e">
        <f aca="false">IF(A11="","",G10)</f>
        <v>#N/A</v>
      </c>
      <c r="I10" s="202"/>
      <c r="J10" s="200" t="e">
        <f aca="false">IF($A11="","",VLOOKUP($A10,Table,MATCH(J$4,Curves,0)))</f>
        <v>#N/A</v>
      </c>
      <c r="K10" s="201" t="e">
        <f aca="false">IF(A11="","",J10)</f>
        <v>#N/A</v>
      </c>
      <c r="L10" s="200" t="e">
        <f aca="false">IF($A11="","",VLOOKUP($A10,Table,MATCH(L$4,Curves,0)))</f>
        <v>#N/A</v>
      </c>
      <c r="M10" s="201" t="e">
        <f aca="false">IF(A11="","",L10)</f>
        <v>#N/A</v>
      </c>
      <c r="N10" s="203"/>
      <c r="O10" s="200" t="e">
        <f aca="false">IF(A11="","",L10+J10+G10)</f>
        <v>#N/A</v>
      </c>
      <c r="P10" s="200" t="e">
        <f aca="false">IF(A11="","",M10+K10+H10)</f>
        <v>#N/A</v>
      </c>
      <c r="Q10" s="204"/>
      <c r="R10" s="200" t="e">
        <f aca="false">IF($A11="","",VLOOKUP($A10,Table,MATCH(R$4,Curves,0)))</f>
        <v>#N/A</v>
      </c>
      <c r="S10" s="201" t="e">
        <f aca="false">IF(A11="","",R10)</f>
        <v>#N/A</v>
      </c>
      <c r="T10" s="200" t="e">
        <f aca="false">IF($A11="","",VLOOKUP($A10,Table,MATCH(T$4,Curves,0)))</f>
        <v>#N/A</v>
      </c>
      <c r="U10" s="201" t="e">
        <f aca="false">IF(A11="","",T10)</f>
        <v>#N/A</v>
      </c>
      <c r="V10" s="183" t="e">
        <f aca="false">IF($A11="","",IF(AND(MONTH(A10)&gt;3,MONTH(A10)&lt;11),(T10+R10+G10)*Summary!$T$8/(1-Summary!$T$8),(T10+R10+G10)*Summary!$U$8/(1-Summary!$U$8)))</f>
        <v>#N/A</v>
      </c>
      <c r="W10" s="200" t="e">
        <f aca="false">IF($A11="","",(T10+R10+G10+V10))</f>
        <v>#N/A</v>
      </c>
      <c r="X10" s="200" t="e">
        <f aca="false">IF($A11="","",(U10+S10+H10+V10))</f>
        <v>#N/A</v>
      </c>
      <c r="Y10" s="202"/>
      <c r="Z10" s="185" t="e">
        <f aca="false">IF($A11="","",VLOOKUP($A10,Table,MATCH(Z$4,Curves,0)))</f>
        <v>#N/A</v>
      </c>
      <c r="AA10" s="185" t="e">
        <f aca="false">IF($A11="","",VLOOKUP($A10,Table,MATCH(AA$4,Curves,0)))</f>
        <v>#N/A</v>
      </c>
      <c r="AB10" s="185" t="e">
        <f aca="false">SQRT((AA10^2*(A10-$D$3)+Z10^2*(DAY(EOMONTH(A10,0))/2))/AK10)</f>
        <v>#N/A</v>
      </c>
      <c r="AC10" s="185" t="e">
        <f aca="false">IF($A11="","",VLOOKUP($A10,Table,MATCH(AC$4,Curves,0)))</f>
        <v>#N/A</v>
      </c>
      <c r="AD10" s="185" t="e">
        <f aca="false">IF($A11="","",VLOOKUP($A10,Table,MATCH(AD$4,Curves,0)))</f>
        <v>#N/A</v>
      </c>
      <c r="AE10" s="185" t="e">
        <f aca="false">SQRT((AD10^2*(A10-$D$3)+AC10^2*(DAY(EOMONTH(A10,0))/2))/AK10)</f>
        <v>#N/A</v>
      </c>
      <c r="AF10" s="224" t="e">
        <f aca="false">((Summary!$N$8*(AA10*AD10)*(A10-$D$3))+(Summary!$M$8*Z10*AC10*(AJ10-EOMONTH(EDATE(A10,-1),0))))/(AK10*AB10*AE10)</f>
        <v>#N/A</v>
      </c>
      <c r="AG10" s="207" t="n">
        <f aca="false">IF($A11="","",Summary!$Q$8)</f>
        <v>0</v>
      </c>
      <c r="AH10" s="207" t="n">
        <f aca="false">IF($A11="","",IF(Summary!$R$8="Y",(VLOOKUP($A10,Summary!$AD$6:$AF$9,3)+'Escalating commodity'!D23),'Escalating commodity'!D23))</f>
        <v>0.0232</v>
      </c>
      <c r="AI10" s="207" t="n">
        <f aca="false">IF($A11="","",AH10)</f>
        <v>0.0232</v>
      </c>
      <c r="AJ10" s="208" t="n">
        <f aca="false">A10+DAY(EOMONTH(A10,0))/2-1</f>
        <v>37057</v>
      </c>
      <c r="AK10" s="209" t="n">
        <f aca="false">IF($A11="","",$A10-$E$1)</f>
        <v>-8883</v>
      </c>
      <c r="AL10" s="182" t="e">
        <f aca="false">IF($A11="","",SPRDOPT(P10,X10,AI10,0,AB10,AE10,AF10,AK10,$AJ$2,0))</f>
        <v>#NAME?</v>
      </c>
      <c r="AM10" s="211" t="e">
        <f aca="false">IF($A11="","",MAX(0,O10-W10-AI10))</f>
        <v>#N/A</v>
      </c>
      <c r="AN10" s="211" t="e">
        <f aca="false">IF($A11="","",AL10-AM10)</f>
        <v>#N/A</v>
      </c>
      <c r="AO10" s="137" t="n">
        <f aca="false">IF(A11="","",A11-A10)</f>
        <v>30</v>
      </c>
      <c r="AP10" s="212" t="n">
        <f aca="false">IF(A11="","",CHOOSE(F$3,A11+24,A10))</f>
        <v>37043</v>
      </c>
      <c r="AQ10" s="209" t="n">
        <f aca="false">IF(A11="","",AP10-$E$1)</f>
        <v>-8883</v>
      </c>
      <c r="AR10" s="185" t="n">
        <f aca="false">'ANR OK vs ML7'!AR10</f>
        <v>0.1</v>
      </c>
      <c r="AS10" s="213" t="n">
        <f aca="false">IF(A11="","",1/(1+CHOOSE(F$3,(AR11+($I$3/10000))/2,(AR10+($I$3/10000))/2))^(2*AQ10/365.25))</f>
        <v>10.7315247104559</v>
      </c>
      <c r="AT10" s="137" t="n">
        <f aca="false">IF(A11="","",IF(AND(mthbeg&lt;=A10,mthend&gt;=A10),1,0))</f>
        <v>1</v>
      </c>
      <c r="AU10" s="137" t="n">
        <f aca="false">IF(A11="","",AO10*AT10)</f>
        <v>30</v>
      </c>
      <c r="AW10" s="195" t="e">
        <f aca="false">IF($A11="","",AL10*$E10)</f>
        <v>#NAME?</v>
      </c>
      <c r="AX10" s="195" t="e">
        <f aca="false">IF($A11="","",AM10*$E10)</f>
        <v>#N/A</v>
      </c>
      <c r="AY10" s="195" t="e">
        <f aca="false">IF($A11="","",AN10*$E10)</f>
        <v>#N/A</v>
      </c>
      <c r="AZ10" s="214"/>
      <c r="BA10" s="195" t="n">
        <f aca="false">IF($A11="","",F10*Summary!$Q$8)</f>
        <v>0</v>
      </c>
      <c r="BC10" s="179" t="e">
        <f aca="false">IF(A11="","",AM10*F10)</f>
        <v>#N/A</v>
      </c>
    </row>
    <row r="11" customFormat="false" ht="12.75" hidden="false" customHeight="false" outlineLevel="0" collapsed="false">
      <c r="A11" s="196" t="n">
        <f aca="false">IF(A10&lt;mthend,EDATE(A10,1),"")</f>
        <v>37073</v>
      </c>
      <c r="B11" s="197" t="n">
        <f aca="false">IF(A11&lt;mthend,B10,0)</f>
        <v>80000</v>
      </c>
      <c r="C11" s="215"/>
      <c r="D11" s="197" t="n">
        <f aca="false">IF(A12&lt;&gt;"",B11+C11,"")</f>
        <v>80000</v>
      </c>
      <c r="E11" s="199" t="n">
        <f aca="false">IF(A12="","",IF(AND(AT11=1,$H$3=1),D11*AO11,IF($H$3=2,D11,"N/A")))</f>
        <v>2480000</v>
      </c>
      <c r="F11" s="199" t="n">
        <f aca="false">IF(A12="","",E11*AS11)</f>
        <v>26401726.1705005</v>
      </c>
      <c r="G11" s="200" t="e">
        <f aca="false">IF($A12="","",VLOOKUP($A11,Table,MATCH(G$4,Curves,0)))</f>
        <v>#N/A</v>
      </c>
      <c r="H11" s="201" t="e">
        <f aca="false">IF(A12="","",G11)</f>
        <v>#N/A</v>
      </c>
      <c r="I11" s="202"/>
      <c r="J11" s="200" t="e">
        <f aca="false">IF($A12="","",VLOOKUP($A11,Table,MATCH(J$4,Curves,0)))</f>
        <v>#N/A</v>
      </c>
      <c r="K11" s="201" t="e">
        <f aca="false">IF(A12="","",J11)</f>
        <v>#N/A</v>
      </c>
      <c r="L11" s="200" t="e">
        <f aca="false">IF($A12="","",VLOOKUP($A11,Table,MATCH(L$4,Curves,0)))</f>
        <v>#N/A</v>
      </c>
      <c r="M11" s="201" t="e">
        <f aca="false">IF(A12="","",L11)</f>
        <v>#N/A</v>
      </c>
      <c r="N11" s="203"/>
      <c r="O11" s="200" t="e">
        <f aca="false">IF(A12="","",L11+J11+G11)</f>
        <v>#N/A</v>
      </c>
      <c r="P11" s="200" t="e">
        <f aca="false">IF(A12="","",M11+K11+H11)</f>
        <v>#N/A</v>
      </c>
      <c r="Q11" s="204"/>
      <c r="R11" s="200" t="e">
        <f aca="false">IF($A12="","",VLOOKUP($A11,Table,MATCH(R$4,Curves,0)))</f>
        <v>#N/A</v>
      </c>
      <c r="S11" s="201" t="e">
        <f aca="false">IF(A12="","",R11)</f>
        <v>#N/A</v>
      </c>
      <c r="T11" s="200" t="e">
        <f aca="false">IF($A12="","",VLOOKUP($A11,Table,MATCH(T$4,Curves,0)))</f>
        <v>#N/A</v>
      </c>
      <c r="U11" s="201" t="e">
        <f aca="false">IF(A12="","",T11)</f>
        <v>#N/A</v>
      </c>
      <c r="V11" s="183" t="e">
        <f aca="false">IF($A12="","",IF(AND(MONTH(A11)&gt;3,MONTH(A11)&lt;11),(T11+R11+G11)*Summary!$T$8/(1-Summary!$T$8),(T11+R11+G11)*Summary!$U$8/(1-Summary!$U$8)))</f>
        <v>#N/A</v>
      </c>
      <c r="W11" s="200" t="e">
        <f aca="false">IF($A12="","",(T11+R11+G11+V11))</f>
        <v>#N/A</v>
      </c>
      <c r="X11" s="200" t="e">
        <f aca="false">IF($A12="","",(U11+S11+H11+V11))</f>
        <v>#N/A</v>
      </c>
      <c r="Y11" s="202"/>
      <c r="Z11" s="185" t="e">
        <f aca="false">IF($A12="","",VLOOKUP($A11,Table,MATCH(Z$4,Curves,0)))</f>
        <v>#N/A</v>
      </c>
      <c r="AA11" s="185" t="e">
        <f aca="false">IF($A12="","",VLOOKUP($A11,Table,MATCH(AA$4,Curves,0)))</f>
        <v>#N/A</v>
      </c>
      <c r="AB11" s="185" t="e">
        <f aca="false">SQRT((AA11^2*(A11-$D$3)+Z11^2*(DAY(EOMONTH(A11,0))/2))/AK11)</f>
        <v>#N/A</v>
      </c>
      <c r="AC11" s="185" t="e">
        <f aca="false">IF($A12="","",VLOOKUP($A11,Table,MATCH(AC$4,Curves,0)))</f>
        <v>#N/A</v>
      </c>
      <c r="AD11" s="185" t="e">
        <f aca="false">IF($A12="","",VLOOKUP($A11,Table,MATCH(AD$4,Curves,0)))</f>
        <v>#N/A</v>
      </c>
      <c r="AE11" s="185" t="e">
        <f aca="false">SQRT((AD11^2*(A11-$D$3)+AC11^2*(DAY(EOMONTH(A11,0))/2))/AK11)</f>
        <v>#N/A</v>
      </c>
      <c r="AF11" s="224" t="e">
        <f aca="false">((Summary!$N$8*(AA11*AD11)*(A11-$D$3))+(Summary!$M$8*Z11*AC11*(AJ11-EOMONTH(EDATE(A11,-1),0))))/(AK11*AB11*AE11)</f>
        <v>#N/A</v>
      </c>
      <c r="AG11" s="207" t="n">
        <f aca="false">IF($A12="","",Summary!$Q$8)</f>
        <v>0</v>
      </c>
      <c r="AH11" s="207" t="n">
        <f aca="false">IF($A12="","",IF(Summary!$R$8="Y",(VLOOKUP($A11,Summary!$AD$6:$AF$9,3)+'Escalating commodity'!D24),'Escalating commodity'!D24))</f>
        <v>0.0232</v>
      </c>
      <c r="AI11" s="207" t="n">
        <f aca="false">IF($A12="","",AH11)</f>
        <v>0.0232</v>
      </c>
      <c r="AJ11" s="208" t="n">
        <f aca="false">A11+DAY(EOMONTH(A11,0))/2-1</f>
        <v>37087.5</v>
      </c>
      <c r="AK11" s="209" t="n">
        <f aca="false">IF($A12="","",$A11-$E$1)</f>
        <v>-8853</v>
      </c>
      <c r="AL11" s="182" t="e">
        <f aca="false">IF($A12="","",SPRDOPT(P11,X11,AI11,0,AB11,AE11,AF11,AK11,$AJ$2,0))</f>
        <v>#NAME?</v>
      </c>
      <c r="AM11" s="211" t="e">
        <f aca="false">IF($A12="","",MAX(0,O11-W11-AI11))</f>
        <v>#N/A</v>
      </c>
      <c r="AN11" s="211" t="e">
        <f aca="false">IF($A12="","",AL11-AM11)</f>
        <v>#N/A</v>
      </c>
      <c r="AO11" s="137" t="n">
        <f aca="false">IF(A12="","",A12-A11)</f>
        <v>31</v>
      </c>
      <c r="AP11" s="212" t="n">
        <f aca="false">IF(A12="","",CHOOSE(F$3,A12+24,A11))</f>
        <v>37073</v>
      </c>
      <c r="AQ11" s="209" t="n">
        <f aca="false">IF(A12="","",AP11-$E$1)</f>
        <v>-8853</v>
      </c>
      <c r="AR11" s="185" t="n">
        <f aca="false">'ANR OK vs ML7'!AR11</f>
        <v>0.1</v>
      </c>
      <c r="AS11" s="213" t="n">
        <f aca="false">IF(A12="","",1/(1+CHOOSE(F$3,(AR12+($I$3/10000))/2,(AR11+($I$3/10000))/2))^(2*AQ11/365.25))</f>
        <v>10.6458573268147</v>
      </c>
      <c r="AT11" s="137" t="n">
        <f aca="false">IF(A12="","",IF(AND(mthbeg&lt;=A11,mthend&gt;=A11),1,0))</f>
        <v>1</v>
      </c>
      <c r="AU11" s="137" t="n">
        <f aca="false">IF(A12="","",AO11*AT11)</f>
        <v>31</v>
      </c>
      <c r="AW11" s="195" t="e">
        <f aca="false">IF($A12="","",AL11*$E11)</f>
        <v>#NAME?</v>
      </c>
      <c r="AX11" s="195" t="e">
        <f aca="false">IF($A12="","",AM11*$E11)</f>
        <v>#N/A</v>
      </c>
      <c r="AY11" s="195" t="e">
        <f aca="false">IF($A12="","",AN11*$E11)</f>
        <v>#N/A</v>
      </c>
      <c r="BA11" s="195" t="n">
        <f aca="false">IF($A12="","",F11*Summary!$Q$8)</f>
        <v>0</v>
      </c>
      <c r="BC11" s="179" t="e">
        <f aca="false">IF(A12="","",AM11*F11)</f>
        <v>#N/A</v>
      </c>
    </row>
    <row r="12" customFormat="false" ht="12.75" hidden="false" customHeight="false" outlineLevel="0" collapsed="false">
      <c r="A12" s="196" t="n">
        <f aca="false">IF(A11&lt;mthend,EDATE(A11,1),"")</f>
        <v>37104</v>
      </c>
      <c r="B12" s="197" t="n">
        <f aca="false">IF(A12&lt;mthend,B11,0)</f>
        <v>80000</v>
      </c>
      <c r="C12" s="215"/>
      <c r="D12" s="197" t="n">
        <f aca="false">IF(A13&lt;&gt;"",B12+C12,"")</f>
        <v>80000</v>
      </c>
      <c r="E12" s="199" t="n">
        <f aca="false">IF(A13="","",IF(AND(AT12=1,$H$3=1),D12*AO12,IF($H$3=2,D12,"N/A")))</f>
        <v>2480000</v>
      </c>
      <c r="F12" s="199" t="n">
        <f aca="false">IF(A13="","",E12*AS12)</f>
        <v>26183970.7870725</v>
      </c>
      <c r="G12" s="200" t="e">
        <f aca="false">IF($A13="","",VLOOKUP($A12,Table,MATCH(G$4,Curves,0)))</f>
        <v>#N/A</v>
      </c>
      <c r="H12" s="201" t="e">
        <f aca="false">IF(A13="","",G12)</f>
        <v>#N/A</v>
      </c>
      <c r="I12" s="202"/>
      <c r="J12" s="200" t="e">
        <f aca="false">IF($A13="","",VLOOKUP($A12,Table,MATCH(J$4,Curves,0)))</f>
        <v>#N/A</v>
      </c>
      <c r="K12" s="201" t="e">
        <f aca="false">IF(A13="","",J12)</f>
        <v>#N/A</v>
      </c>
      <c r="L12" s="200" t="e">
        <f aca="false">IF($A13="","",VLOOKUP($A12,Table,MATCH(L$4,Curves,0)))</f>
        <v>#N/A</v>
      </c>
      <c r="M12" s="201" t="e">
        <f aca="false">IF(A13="","",L12)</f>
        <v>#N/A</v>
      </c>
      <c r="N12" s="203"/>
      <c r="O12" s="200" t="e">
        <f aca="false">IF(A13="","",L12+J12+G12)</f>
        <v>#N/A</v>
      </c>
      <c r="P12" s="200" t="e">
        <f aca="false">IF(A13="","",M12+K12+H12)</f>
        <v>#N/A</v>
      </c>
      <c r="Q12" s="204"/>
      <c r="R12" s="200" t="e">
        <f aca="false">IF($A13="","",VLOOKUP($A12,Table,MATCH(R$4,Curves,0)))</f>
        <v>#N/A</v>
      </c>
      <c r="S12" s="201" t="e">
        <f aca="false">IF(A13="","",R12)</f>
        <v>#N/A</v>
      </c>
      <c r="T12" s="200" t="e">
        <f aca="false">IF($A13="","",VLOOKUP($A12,Table,MATCH(T$4,Curves,0)))</f>
        <v>#N/A</v>
      </c>
      <c r="U12" s="201" t="e">
        <f aca="false">IF(A13="","",T12)</f>
        <v>#N/A</v>
      </c>
      <c r="V12" s="183" t="e">
        <f aca="false">IF($A13="","",IF(AND(MONTH(A12)&gt;3,MONTH(A12)&lt;11),(T12+R12+G12)*Summary!$T$8/(1-Summary!$T$8),(T12+R12+G12)*Summary!$U$8/(1-Summary!$U$8)))</f>
        <v>#N/A</v>
      </c>
      <c r="W12" s="200" t="e">
        <f aca="false">IF($A13="","",(T12+R12+G12+V12))</f>
        <v>#N/A</v>
      </c>
      <c r="X12" s="200" t="e">
        <f aca="false">IF($A13="","",(U12+S12+H12+V12))</f>
        <v>#N/A</v>
      </c>
      <c r="Y12" s="202"/>
      <c r="Z12" s="185" t="e">
        <f aca="false">IF($A13="","",VLOOKUP($A12,Table,MATCH(Z$4,Curves,0)))</f>
        <v>#N/A</v>
      </c>
      <c r="AA12" s="185" t="e">
        <f aca="false">IF($A13="","",VLOOKUP($A12,Table,MATCH(AA$4,Curves,0)))</f>
        <v>#N/A</v>
      </c>
      <c r="AB12" s="185" t="e">
        <f aca="false">SQRT((AA12^2*(A12-$D$3)+Z12^2*(DAY(EOMONTH(A12,0))/2))/AK12)</f>
        <v>#N/A</v>
      </c>
      <c r="AC12" s="185" t="e">
        <f aca="false">IF($A13="","",VLOOKUP($A12,Table,MATCH(AC$4,Curves,0)))</f>
        <v>#N/A</v>
      </c>
      <c r="AD12" s="185" t="e">
        <f aca="false">IF($A13="","",VLOOKUP($A12,Table,MATCH(AD$4,Curves,0)))</f>
        <v>#N/A</v>
      </c>
      <c r="AE12" s="185" t="e">
        <f aca="false">SQRT((AD12^2*(A12-$D$3)+AC12^2*(DAY(EOMONTH(A12,0))/2))/AK12)</f>
        <v>#N/A</v>
      </c>
      <c r="AF12" s="224" t="e">
        <f aca="false">((Summary!$N$8*(AA12*AD12)*(A12-$D$3))+(Summary!$M$8*Z12*AC12*(AJ12-EOMONTH(EDATE(A12,-1),0))))/(AK12*AB12*AE12)</f>
        <v>#N/A</v>
      </c>
      <c r="AG12" s="207" t="n">
        <f aca="false">IF($A13="","",Summary!$Q$8)</f>
        <v>0</v>
      </c>
      <c r="AH12" s="207" t="n">
        <f aca="false">IF($A13="","",IF(Summary!$R$8="Y",(VLOOKUP($A12,Summary!$AD$6:$AF$9,3)+'Escalating commodity'!D25),'Escalating commodity'!D25))</f>
        <v>0.0232</v>
      </c>
      <c r="AI12" s="207" t="n">
        <f aca="false">IF($A13="","",AH12)</f>
        <v>0.0232</v>
      </c>
      <c r="AJ12" s="208" t="n">
        <f aca="false">A12+DAY(EOMONTH(A12,0))/2-1</f>
        <v>37118.5</v>
      </c>
      <c r="AK12" s="209" t="n">
        <f aca="false">IF($A13="","",$A12-$E$1)</f>
        <v>-8822</v>
      </c>
      <c r="AL12" s="182" t="e">
        <f aca="false">IF($A13="","",SPRDOPT(P12,X12,AI12,0,AB12,AE12,AF12,AK12,$AJ$2,0))</f>
        <v>#NAME?</v>
      </c>
      <c r="AM12" s="211" t="e">
        <f aca="false">IF($A13="","",MAX(0,O12-W12-AI12))</f>
        <v>#N/A</v>
      </c>
      <c r="AN12" s="211" t="e">
        <f aca="false">IF($A13="","",AL12-AM12)</f>
        <v>#N/A</v>
      </c>
      <c r="AO12" s="137" t="n">
        <f aca="false">IF(A13="","",A13-A12)</f>
        <v>31</v>
      </c>
      <c r="AP12" s="212" t="n">
        <f aca="false">IF(A13="","",CHOOSE(F$3,A13+24,A12))</f>
        <v>37104</v>
      </c>
      <c r="AQ12" s="209" t="n">
        <f aca="false">IF(A13="","",AP12-$E$1)</f>
        <v>-8822</v>
      </c>
      <c r="AR12" s="185" t="n">
        <f aca="false">'ANR OK vs ML7'!AR12</f>
        <v>0.1</v>
      </c>
      <c r="AS12" s="213" t="n">
        <f aca="false">IF(A13="","",1/(1+CHOOSE(F$3,(AR13+($I$3/10000))/2,(AR12+($I$3/10000))/2))^(2*AQ12/365.25))</f>
        <v>10.5580527367228</v>
      </c>
      <c r="AT12" s="137" t="n">
        <f aca="false">IF(A13="","",IF(AND(mthbeg&lt;=A12,mthend&gt;=A12),1,0))</f>
        <v>1</v>
      </c>
      <c r="AU12" s="137" t="n">
        <f aca="false">IF(A13="","",AO12*AT12)</f>
        <v>31</v>
      </c>
      <c r="AW12" s="195" t="e">
        <f aca="false">IF($A13="","",AL12*$E12)</f>
        <v>#NAME?</v>
      </c>
      <c r="AX12" s="195" t="e">
        <f aca="false">IF($A13="","",AM12*$E12)</f>
        <v>#N/A</v>
      </c>
      <c r="AY12" s="195" t="e">
        <f aca="false">IF($A13="","",AN12*$E12)</f>
        <v>#N/A</v>
      </c>
      <c r="BA12" s="195" t="n">
        <f aca="false">IF($A13="","",F12*Summary!$Q$8)</f>
        <v>0</v>
      </c>
      <c r="BC12" s="179" t="e">
        <f aca="false">IF(A13="","",AM12*F12)</f>
        <v>#N/A</v>
      </c>
    </row>
    <row r="13" customFormat="false" ht="12.75" hidden="false" customHeight="false" outlineLevel="0" collapsed="false">
      <c r="A13" s="196" t="n">
        <f aca="false">IF(A12&lt;mthend,EDATE(A12,1),"")</f>
        <v>37135</v>
      </c>
      <c r="B13" s="197" t="n">
        <f aca="false">IF(A13&lt;mthend,B12,0)</f>
        <v>80000</v>
      </c>
      <c r="C13" s="215"/>
      <c r="D13" s="197" t="n">
        <f aca="false">IF(A14&lt;&gt;"",B13+C13,"")</f>
        <v>80000</v>
      </c>
      <c r="E13" s="199" t="n">
        <f aca="false">IF(A14="","",IF(AND(AT13=1,$H$3=1),D13*AO13,IF($H$3=2,D13,"N/A")))</f>
        <v>2400000</v>
      </c>
      <c r="F13" s="199" t="n">
        <f aca="false">IF(A14="","",E13*AS13)</f>
        <v>25130333.6130143</v>
      </c>
      <c r="G13" s="200" t="e">
        <f aca="false">IF($A14="","",VLOOKUP($A13,Table,MATCH(G$4,Curves,0)))</f>
        <v>#N/A</v>
      </c>
      <c r="H13" s="201" t="e">
        <f aca="false">IF(A14="","",G13)</f>
        <v>#N/A</v>
      </c>
      <c r="I13" s="202"/>
      <c r="J13" s="200" t="e">
        <f aca="false">IF($A14="","",VLOOKUP($A13,Table,MATCH(J$4,Curves,0)))</f>
        <v>#N/A</v>
      </c>
      <c r="K13" s="201" t="e">
        <f aca="false">IF(A14="","",J13)</f>
        <v>#N/A</v>
      </c>
      <c r="L13" s="200" t="e">
        <f aca="false">IF($A14="","",VLOOKUP($A13,Table,MATCH(L$4,Curves,0)))</f>
        <v>#N/A</v>
      </c>
      <c r="M13" s="201" t="e">
        <f aca="false">IF(A14="","",L13)</f>
        <v>#N/A</v>
      </c>
      <c r="N13" s="203"/>
      <c r="O13" s="200" t="e">
        <f aca="false">IF(A14="","",L13+J13+G13)</f>
        <v>#N/A</v>
      </c>
      <c r="P13" s="200" t="e">
        <f aca="false">IF(A14="","",M13+K13+H13)</f>
        <v>#N/A</v>
      </c>
      <c r="Q13" s="204"/>
      <c r="R13" s="200" t="e">
        <f aca="false">IF($A14="","",VLOOKUP($A13,Table,MATCH(R$4,Curves,0)))</f>
        <v>#N/A</v>
      </c>
      <c r="S13" s="201" t="e">
        <f aca="false">IF(A14="","",R13)</f>
        <v>#N/A</v>
      </c>
      <c r="T13" s="200" t="e">
        <f aca="false">IF($A14="","",VLOOKUP($A13,Table,MATCH(T$4,Curves,0)))</f>
        <v>#N/A</v>
      </c>
      <c r="U13" s="201" t="e">
        <f aca="false">IF(A14="","",T13)</f>
        <v>#N/A</v>
      </c>
      <c r="V13" s="183" t="e">
        <f aca="false">IF($A14="","",IF(AND(MONTH(A13)&gt;3,MONTH(A13)&lt;11),(T13+R13+G13)*Summary!$T$8/(1-Summary!$T$8),(T13+R13+G13)*Summary!$U$8/(1-Summary!$U$8)))</f>
        <v>#N/A</v>
      </c>
      <c r="W13" s="200" t="e">
        <f aca="false">IF($A14="","",(T13+R13+G13+V13))</f>
        <v>#N/A</v>
      </c>
      <c r="X13" s="200" t="e">
        <f aca="false">IF($A14="","",(U13+S13+H13+V13))</f>
        <v>#N/A</v>
      </c>
      <c r="Y13" s="202"/>
      <c r="Z13" s="185" t="e">
        <f aca="false">IF($A14="","",VLOOKUP($A13,Table,MATCH(Z$4,Curves,0)))</f>
        <v>#N/A</v>
      </c>
      <c r="AA13" s="185" t="e">
        <f aca="false">IF($A14="","",VLOOKUP($A13,Table,MATCH(AA$4,Curves,0)))</f>
        <v>#N/A</v>
      </c>
      <c r="AB13" s="185" t="e">
        <f aca="false">SQRT((AA13^2*(A13-$D$3)+Z13^2*(DAY(EOMONTH(A13,0))/2))/AK13)</f>
        <v>#N/A</v>
      </c>
      <c r="AC13" s="185" t="e">
        <f aca="false">IF($A14="","",VLOOKUP($A13,Table,MATCH(AC$4,Curves,0)))</f>
        <v>#N/A</v>
      </c>
      <c r="AD13" s="185" t="e">
        <f aca="false">IF($A14="","",VLOOKUP($A13,Table,MATCH(AD$4,Curves,0)))</f>
        <v>#N/A</v>
      </c>
      <c r="AE13" s="185" t="e">
        <f aca="false">SQRT((AD13^2*(A13-$D$3)+AC13^2*(DAY(EOMONTH(A13,0))/2))/AK13)</f>
        <v>#N/A</v>
      </c>
      <c r="AF13" s="224" t="e">
        <f aca="false">((Summary!$N$8*(AA13*AD13)*(A13-$D$3))+(Summary!$M$8*Z13*AC13*(AJ13-EOMONTH(EDATE(A13,-1),0))))/(AK13*AB13*AE13)</f>
        <v>#N/A</v>
      </c>
      <c r="AG13" s="207" t="n">
        <f aca="false">IF($A14="","",Summary!$Q$8)</f>
        <v>0</v>
      </c>
      <c r="AH13" s="207" t="n">
        <f aca="false">IF($A14="","",IF(Summary!$R$8="Y",(VLOOKUP($A13,Summary!$AD$6:$AF$9,3)+'Escalating commodity'!D26),'Escalating commodity'!D26))</f>
        <v>0.0232</v>
      </c>
      <c r="AI13" s="207" t="n">
        <f aca="false">IF($A14="","",AH13)</f>
        <v>0.0232</v>
      </c>
      <c r="AJ13" s="208" t="n">
        <f aca="false">A13+DAY(EOMONTH(A13,0))/2-1</f>
        <v>37149</v>
      </c>
      <c r="AK13" s="209" t="n">
        <f aca="false">IF($A14="","",$A13-$E$1)</f>
        <v>-8791</v>
      </c>
      <c r="AL13" s="182" t="e">
        <f aca="false">IF($A14="","",SPRDOPT(P13,X13,AI13,0,AB13,AE13,AF13,AK13,$AJ$2,0))</f>
        <v>#NAME?</v>
      </c>
      <c r="AM13" s="211" t="e">
        <f aca="false">IF($A14="","",MAX(0,O13-W13-AI13))</f>
        <v>#N/A</v>
      </c>
      <c r="AN13" s="211" t="e">
        <f aca="false">IF($A14="","",AL13-AM13)</f>
        <v>#N/A</v>
      </c>
      <c r="AO13" s="137" t="n">
        <f aca="false">IF(A14="","",A14-A13)</f>
        <v>30</v>
      </c>
      <c r="AP13" s="212" t="n">
        <f aca="false">IF(A14="","",CHOOSE(F$3,A14+24,A13))</f>
        <v>37135</v>
      </c>
      <c r="AQ13" s="209" t="n">
        <f aca="false">IF(A14="","",AP13-$E$1)</f>
        <v>-8791</v>
      </c>
      <c r="AR13" s="185" t="n">
        <f aca="false">'ANR OK vs ML7'!AR13</f>
        <v>0.1</v>
      </c>
      <c r="AS13" s="213" t="n">
        <f aca="false">IF(A14="","",1/(1+CHOOSE(F$3,(AR14+($I$3/10000))/2,(AR13+($I$3/10000))/2))^(2*AQ13/365.25))</f>
        <v>10.470972338756</v>
      </c>
      <c r="AT13" s="137" t="n">
        <f aca="false">IF(A14="","",IF(AND(mthbeg&lt;=A13,mthend&gt;=A13),1,0))</f>
        <v>1</v>
      </c>
      <c r="AU13" s="137" t="n">
        <f aca="false">IF(A14="","",AO13*AT13)</f>
        <v>30</v>
      </c>
      <c r="AW13" s="195" t="e">
        <f aca="false">IF($A14="","",AL13*$E13)</f>
        <v>#NAME?</v>
      </c>
      <c r="AX13" s="195" t="e">
        <f aca="false">IF($A14="","",AM13*$E13)</f>
        <v>#N/A</v>
      </c>
      <c r="AY13" s="195" t="e">
        <f aca="false">IF($A14="","",AN13*$E13)</f>
        <v>#N/A</v>
      </c>
      <c r="BA13" s="195" t="n">
        <f aca="false">IF($A14="","",F13*Summary!$Q$8)</f>
        <v>0</v>
      </c>
      <c r="BC13" s="179" t="e">
        <f aca="false">IF(A14="","",AM13*F13)</f>
        <v>#N/A</v>
      </c>
    </row>
    <row r="14" customFormat="false" ht="12.75" hidden="false" customHeight="false" outlineLevel="0" collapsed="false">
      <c r="A14" s="196" t="n">
        <f aca="false">IF(A13&lt;mthend,EDATE(A13,1),"")</f>
        <v>37165</v>
      </c>
      <c r="B14" s="197" t="n">
        <f aca="false">IF(A14&lt;mthend,B13,0)</f>
        <v>80000</v>
      </c>
      <c r="C14" s="215"/>
      <c r="D14" s="197" t="n">
        <f aca="false">IF(A15&lt;&gt;"",B14+C14,"")</f>
        <v>80000</v>
      </c>
      <c r="E14" s="199" t="n">
        <f aca="false">IF(A15="","",IF(AND(AT14=1,$H$3=1),D14*AO14,IF($H$3=2,D14,"N/A")))</f>
        <v>2480000</v>
      </c>
      <c r="F14" s="199" t="n">
        <f aca="false">IF(A15="","",E14*AS14)</f>
        <v>25760714.5196589</v>
      </c>
      <c r="G14" s="200" t="e">
        <f aca="false">IF($A15="","",VLOOKUP($A14,Table,MATCH(G$4,Curves,0)))</f>
        <v>#N/A</v>
      </c>
      <c r="H14" s="201" t="e">
        <f aca="false">IF(A15="","",G14)</f>
        <v>#N/A</v>
      </c>
      <c r="I14" s="202"/>
      <c r="J14" s="200" t="e">
        <f aca="false">IF($A15="","",VLOOKUP($A14,Table,MATCH(J$4,Curves,0)))</f>
        <v>#N/A</v>
      </c>
      <c r="K14" s="201" t="e">
        <f aca="false">IF(A15="","",J14)</f>
        <v>#N/A</v>
      </c>
      <c r="L14" s="200" t="e">
        <f aca="false">IF($A15="","",VLOOKUP($A14,Table,MATCH(L$4,Curves,0)))</f>
        <v>#N/A</v>
      </c>
      <c r="M14" s="201" t="e">
        <f aca="false">IF(A15="","",L14)</f>
        <v>#N/A</v>
      </c>
      <c r="N14" s="203"/>
      <c r="O14" s="200" t="e">
        <f aca="false">IF(A15="","",L14+J14+G14)</f>
        <v>#N/A</v>
      </c>
      <c r="P14" s="200" t="e">
        <f aca="false">IF(A15="","",M14+K14+H14)</f>
        <v>#N/A</v>
      </c>
      <c r="Q14" s="204"/>
      <c r="R14" s="200" t="e">
        <f aca="false">IF($A15="","",VLOOKUP($A14,Table,MATCH(R$4,Curves,0)))</f>
        <v>#N/A</v>
      </c>
      <c r="S14" s="201" t="e">
        <f aca="false">IF(A15="","",R14)</f>
        <v>#N/A</v>
      </c>
      <c r="T14" s="200" t="e">
        <f aca="false">IF($A15="","",VLOOKUP($A14,Table,MATCH(T$4,Curves,0)))</f>
        <v>#N/A</v>
      </c>
      <c r="U14" s="201" t="e">
        <f aca="false">IF(A15="","",T14)</f>
        <v>#N/A</v>
      </c>
      <c r="V14" s="183" t="e">
        <f aca="false">IF($A15="","",IF(AND(MONTH(A14)&gt;3,MONTH(A14)&lt;11),(T14+R14+G14)*Summary!$T$8/(1-Summary!$T$8),(T14+R14+G14)*Summary!$U$8/(1-Summary!$U$8)))</f>
        <v>#N/A</v>
      </c>
      <c r="W14" s="200" t="e">
        <f aca="false">IF($A15="","",(T14+R14+G14+V14))</f>
        <v>#N/A</v>
      </c>
      <c r="X14" s="200" t="e">
        <f aca="false">IF($A15="","",(U14+S14+H14+V14))</f>
        <v>#N/A</v>
      </c>
      <c r="Y14" s="202"/>
      <c r="Z14" s="185" t="e">
        <f aca="false">IF($A15="","",VLOOKUP($A14,Table,MATCH(Z$4,Curves,0)))</f>
        <v>#N/A</v>
      </c>
      <c r="AA14" s="185" t="e">
        <f aca="false">IF($A15="","",VLOOKUP($A14,Table,MATCH(AA$4,Curves,0)))</f>
        <v>#N/A</v>
      </c>
      <c r="AB14" s="185" t="e">
        <f aca="false">SQRT((AA14^2*(A14-$D$3)+Z14^2*(DAY(EOMONTH(A14,0))/2))/AK14)</f>
        <v>#N/A</v>
      </c>
      <c r="AC14" s="185" t="e">
        <f aca="false">IF($A15="","",VLOOKUP($A14,Table,MATCH(AC$4,Curves,0)))</f>
        <v>#N/A</v>
      </c>
      <c r="AD14" s="185" t="e">
        <f aca="false">IF($A15="","",VLOOKUP($A14,Table,MATCH(AD$4,Curves,0)))</f>
        <v>#N/A</v>
      </c>
      <c r="AE14" s="185" t="e">
        <f aca="false">SQRT((AD14^2*(A14-$D$3)+AC14^2*(DAY(EOMONTH(A14,0))/2))/AK14)</f>
        <v>#N/A</v>
      </c>
      <c r="AF14" s="224" t="e">
        <f aca="false">((Summary!$N$8*(AA14*AD14)*(A14-$D$3))+(Summary!$M$8*Z14*AC14*(AJ14-EOMONTH(EDATE(A14,-1),0))))/(AK14*AB14*AE14)</f>
        <v>#N/A</v>
      </c>
      <c r="AG14" s="207" t="n">
        <f aca="false">IF($A15="","",Summary!$Q$8)</f>
        <v>0</v>
      </c>
      <c r="AH14" s="207" t="n">
        <f aca="false">IF($A15="","",IF(Summary!$R$8="Y",(VLOOKUP($A14,Summary!$AD$6:$AF$9,3)+'Escalating commodity'!D27),'Escalating commodity'!D27))</f>
        <v>0.0232</v>
      </c>
      <c r="AI14" s="207" t="n">
        <f aca="false">IF($A15="","",AH14)</f>
        <v>0.0232</v>
      </c>
      <c r="AJ14" s="208" t="n">
        <f aca="false">A14+DAY(EOMONTH(A14,0))/2-1</f>
        <v>37179.5</v>
      </c>
      <c r="AK14" s="209" t="n">
        <f aca="false">IF($A15="","",$A14-$E$1)</f>
        <v>-8761</v>
      </c>
      <c r="AL14" s="182" t="e">
        <f aca="false">IF($A15="","",SPRDOPT(P14,X14,AI14,0,AB14,AE14,AF14,AK14,$AJ$2,0))</f>
        <v>#NAME?</v>
      </c>
      <c r="AM14" s="211" t="e">
        <f aca="false">IF($A15="","",MAX(0,O14-W14-AI14))</f>
        <v>#N/A</v>
      </c>
      <c r="AN14" s="211" t="e">
        <f aca="false">IF($A15="","",AL14-AM14)</f>
        <v>#N/A</v>
      </c>
      <c r="AO14" s="137" t="n">
        <f aca="false">IF(A15="","",A15-A14)</f>
        <v>31</v>
      </c>
      <c r="AP14" s="212" t="n">
        <f aca="false">IF(A15="","",CHOOSE(F$3,A15+24,A14))</f>
        <v>37165</v>
      </c>
      <c r="AQ14" s="209" t="n">
        <f aca="false">IF(A15="","",AP14-$E$1)</f>
        <v>-8761</v>
      </c>
      <c r="AR14" s="185" t="n">
        <f aca="false">'ANR OK vs ML7'!AR14</f>
        <v>0.1</v>
      </c>
      <c r="AS14" s="213" t="n">
        <f aca="false">IF(A15="","",1/(1+CHOOSE(F$3,(AR15+($I$3/10000))/2,(AR14+($I$3/10000))/2))^(2*AQ14/365.25))</f>
        <v>10.3873848869592</v>
      </c>
      <c r="AT14" s="137" t="n">
        <f aca="false">IF(A15="","",IF(AND(mthbeg&lt;=A14,mthend&gt;=A14),1,0))</f>
        <v>1</v>
      </c>
      <c r="AU14" s="137" t="n">
        <f aca="false">IF(A15="","",AO14*AT14)</f>
        <v>31</v>
      </c>
      <c r="AW14" s="195" t="e">
        <f aca="false">IF($A15="","",AL14*$E14)</f>
        <v>#NAME?</v>
      </c>
      <c r="AX14" s="195" t="e">
        <f aca="false">IF($A15="","",AM14*$E14)</f>
        <v>#N/A</v>
      </c>
      <c r="AY14" s="195" t="e">
        <f aca="false">IF($A15="","",AN14*$E14)</f>
        <v>#N/A</v>
      </c>
      <c r="BA14" s="195" t="n">
        <f aca="false">IF($A15="","",F14*Summary!$Q$8)</f>
        <v>0</v>
      </c>
      <c r="BC14" s="179" t="e">
        <f aca="false">IF(A15="","",AM14*F14)</f>
        <v>#N/A</v>
      </c>
    </row>
    <row r="15" customFormat="false" ht="12.75" hidden="false" customHeight="false" outlineLevel="0" collapsed="false">
      <c r="A15" s="196" t="n">
        <f aca="false">IF(A14&lt;mthend,EDATE(A14,1),"")</f>
        <v>37196</v>
      </c>
      <c r="B15" s="197" t="n">
        <f aca="false">IF(A15&lt;mthend,B14,0)</f>
        <v>80000</v>
      </c>
      <c r="C15" s="215"/>
      <c r="D15" s="197" t="n">
        <f aca="false">IF(A16&lt;&gt;"",B15+C15,"")</f>
        <v>80000</v>
      </c>
      <c r="E15" s="199" t="n">
        <f aca="false">IF(A16="","",IF(AND(AT15=1,$H$3=1),D15*AO15,IF($H$3=2,D15,"N/A")))</f>
        <v>2400000</v>
      </c>
      <c r="F15" s="199" t="n">
        <f aca="false">IF(A16="","",E15*AS15)</f>
        <v>24724109.0838778</v>
      </c>
      <c r="G15" s="200" t="e">
        <f aca="false">IF($A16="","",VLOOKUP($A15,Table,MATCH(G$4,Curves,0)))</f>
        <v>#N/A</v>
      </c>
      <c r="H15" s="201" t="e">
        <f aca="false">IF(A16="","",G15)</f>
        <v>#N/A</v>
      </c>
      <c r="I15" s="202"/>
      <c r="J15" s="200" t="e">
        <f aca="false">IF($A16="","",VLOOKUP($A15,Table,MATCH(J$4,Curves,0)))</f>
        <v>#N/A</v>
      </c>
      <c r="K15" s="201" t="e">
        <f aca="false">IF(A16="","",J15)</f>
        <v>#N/A</v>
      </c>
      <c r="L15" s="200" t="e">
        <f aca="false">IF($A16="","",VLOOKUP($A15,Table,MATCH(L$4,Curves,0)))</f>
        <v>#N/A</v>
      </c>
      <c r="M15" s="201" t="e">
        <f aca="false">IF(A16="","",L15)</f>
        <v>#N/A</v>
      </c>
      <c r="N15" s="203"/>
      <c r="O15" s="200" t="e">
        <f aca="false">IF(A16="","",L15+J15+G15)</f>
        <v>#N/A</v>
      </c>
      <c r="P15" s="200" t="e">
        <f aca="false">IF(A16="","",M15+K15+H15)</f>
        <v>#N/A</v>
      </c>
      <c r="Q15" s="204"/>
      <c r="R15" s="200" t="e">
        <f aca="false">IF($A16="","",VLOOKUP($A15,Table,MATCH(R$4,Curves,0)))</f>
        <v>#N/A</v>
      </c>
      <c r="S15" s="201" t="e">
        <f aca="false">IF(A16="","",R15)</f>
        <v>#N/A</v>
      </c>
      <c r="T15" s="200" t="e">
        <f aca="false">IF($A16="","",VLOOKUP($A15,Table,MATCH(T$4,Curves,0)))</f>
        <v>#N/A</v>
      </c>
      <c r="U15" s="201" t="e">
        <f aca="false">IF(A16="","",T15)</f>
        <v>#N/A</v>
      </c>
      <c r="V15" s="183" t="e">
        <f aca="false">IF($A16="","",IF(AND(MONTH(A15)&gt;3,MONTH(A15)&lt;11),(T15+R15+G15)*Summary!$T$8/(1-Summary!$T$8),(T15+R15+G15)*Summary!$U$8/(1-Summary!$U$8)))</f>
        <v>#N/A</v>
      </c>
      <c r="W15" s="200" t="e">
        <f aca="false">IF($A16="","",(T15+R15+G15+V15))</f>
        <v>#N/A</v>
      </c>
      <c r="X15" s="200" t="e">
        <f aca="false">IF($A16="","",(U15+S15+H15+V15))</f>
        <v>#N/A</v>
      </c>
      <c r="Y15" s="202"/>
      <c r="Z15" s="185" t="e">
        <f aca="false">IF($A16="","",VLOOKUP($A15,Table,MATCH(Z$4,Curves,0)))</f>
        <v>#N/A</v>
      </c>
      <c r="AA15" s="185" t="e">
        <f aca="false">IF($A16="","",VLOOKUP($A15,Table,MATCH(AA$4,Curves,0)))</f>
        <v>#N/A</v>
      </c>
      <c r="AB15" s="185" t="e">
        <f aca="false">SQRT((AA15^2*(A15-$D$3)+Z15^2*(DAY(EOMONTH(A15,0))/2))/AK15)</f>
        <v>#N/A</v>
      </c>
      <c r="AC15" s="185" t="e">
        <f aca="false">IF($A16="","",VLOOKUP($A15,Table,MATCH(AC$4,Curves,0)))</f>
        <v>#N/A</v>
      </c>
      <c r="AD15" s="185" t="e">
        <f aca="false">IF($A16="","",VLOOKUP($A15,Table,MATCH(AD$4,Curves,0)))</f>
        <v>#N/A</v>
      </c>
      <c r="AE15" s="185" t="e">
        <f aca="false">SQRT((AD15^2*(A15-$D$3)+AC15^2*(DAY(EOMONTH(A15,0))/2))/AK15)</f>
        <v>#N/A</v>
      </c>
      <c r="AF15" s="224" t="e">
        <f aca="false">((Summary!$N$8*(AA15*AD15)*(A15-$D$3))+(Summary!$M$8*Z15*AC15*(AJ15-EOMONTH(EDATE(A15,-1),0))))/(AK15*AB15*AE15)</f>
        <v>#N/A</v>
      </c>
      <c r="AG15" s="207" t="n">
        <f aca="false">IF($A16="","",Summary!$Q$8)</f>
        <v>0</v>
      </c>
      <c r="AH15" s="207" t="n">
        <f aca="false">IF($A16="","",IF(Summary!$R$8="Y",(VLOOKUP($A15,Summary!$AD$6:$AF$9,3)+'Escalating commodity'!D28),'Escalating commodity'!D28))</f>
        <v>0.0232</v>
      </c>
      <c r="AI15" s="207" t="n">
        <f aca="false">IF($A16="","",AH15)</f>
        <v>0.0232</v>
      </c>
      <c r="AJ15" s="208" t="n">
        <f aca="false">A15+DAY(EOMONTH(A15,0))/2-1</f>
        <v>37210</v>
      </c>
      <c r="AK15" s="209" t="n">
        <f aca="false">IF($A16="","",$A15-$E$1)</f>
        <v>-8730</v>
      </c>
      <c r="AL15" s="182" t="e">
        <f aca="false">IF($A16="","",SPRDOPT(P15,X15,AI15,0,AB15,AE15,AF15,AK15,$AJ$2,0))</f>
        <v>#NAME?</v>
      </c>
      <c r="AM15" s="211" t="e">
        <f aca="false">IF($A16="","",MAX(0,O15-W15-AI15))</f>
        <v>#N/A</v>
      </c>
      <c r="AN15" s="211" t="e">
        <f aca="false">IF($A16="","",AL15-AM15)</f>
        <v>#N/A</v>
      </c>
      <c r="AO15" s="137" t="n">
        <f aca="false">IF(A16="","",A16-A15)</f>
        <v>30</v>
      </c>
      <c r="AP15" s="212" t="n">
        <f aca="false">IF(A16="","",CHOOSE(F$3,A16+24,A15))</f>
        <v>37196</v>
      </c>
      <c r="AQ15" s="209" t="n">
        <f aca="false">IF(A16="","",AP15-$E$1)</f>
        <v>-8730</v>
      </c>
      <c r="AR15" s="185" t="n">
        <f aca="false">'ANR OK vs ML7'!AR15</f>
        <v>0.1</v>
      </c>
      <c r="AS15" s="213" t="n">
        <f aca="false">IF(A16="","",1/(1+CHOOSE(F$3,(AR16+($I$3/10000))/2,(AR15+($I$3/10000))/2))^(2*AQ15/365.25))</f>
        <v>10.3017121182824</v>
      </c>
      <c r="AT15" s="137" t="n">
        <f aca="false">IF(A16="","",IF(AND(mthbeg&lt;=A15,mthend&gt;=A15),1,0))</f>
        <v>1</v>
      </c>
      <c r="AU15" s="137" t="n">
        <f aca="false">IF(A16="","",AO15*AT15)</f>
        <v>30</v>
      </c>
      <c r="AW15" s="195" t="e">
        <f aca="false">IF($A16="","",AL15*$E15)</f>
        <v>#NAME?</v>
      </c>
      <c r="AX15" s="195" t="e">
        <f aca="false">IF($A16="","",AM15*$E15)</f>
        <v>#N/A</v>
      </c>
      <c r="AY15" s="195" t="e">
        <f aca="false">IF($A16="","",AN15*$E15)</f>
        <v>#N/A</v>
      </c>
      <c r="BA15" s="195" t="n">
        <f aca="false">IF($A16="","",F15*Summary!$Q$8)</f>
        <v>0</v>
      </c>
      <c r="BC15" s="179" t="e">
        <f aca="false">IF(A16="","",AM15*F15)</f>
        <v>#N/A</v>
      </c>
    </row>
    <row r="16" customFormat="false" ht="12.75" hidden="false" customHeight="false" outlineLevel="0" collapsed="false">
      <c r="A16" s="196" t="n">
        <f aca="false">IF(A15&lt;mthend,EDATE(A15,1),"")</f>
        <v>37226</v>
      </c>
      <c r="B16" s="197" t="n">
        <f aca="false">IF(A16&lt;mthend,B15,0)</f>
        <v>80000</v>
      </c>
      <c r="C16" s="215"/>
      <c r="D16" s="197" t="n">
        <f aca="false">IF(A17&lt;&gt;"",B16+C16,"")</f>
        <v>80000</v>
      </c>
      <c r="E16" s="199" t="n">
        <f aca="false">IF(A17="","",IF(AND(AT16=1,$H$3=1),D16*AO16,IF($H$3=2,D16,"N/A")))</f>
        <v>2480000</v>
      </c>
      <c r="F16" s="199" t="n">
        <f aca="false">IF(A17="","",E16*AS16)</f>
        <v>25344300.0666272</v>
      </c>
      <c r="G16" s="200" t="e">
        <f aca="false">IF($A17="","",VLOOKUP($A16,Table,MATCH(G$4,Curves,0)))</f>
        <v>#N/A</v>
      </c>
      <c r="H16" s="201" t="e">
        <f aca="false">IF(A17="","",G16)</f>
        <v>#N/A</v>
      </c>
      <c r="I16" s="202"/>
      <c r="J16" s="200" t="e">
        <f aca="false">IF($A17="","",VLOOKUP($A16,Table,MATCH(J$4,Curves,0)))</f>
        <v>#N/A</v>
      </c>
      <c r="K16" s="201" t="e">
        <f aca="false">IF(A17="","",J16)</f>
        <v>#N/A</v>
      </c>
      <c r="L16" s="200" t="e">
        <f aca="false">IF($A17="","",VLOOKUP($A16,Table,MATCH(L$4,Curves,0)))</f>
        <v>#N/A</v>
      </c>
      <c r="M16" s="201" t="e">
        <f aca="false">IF(A17="","",L16)</f>
        <v>#N/A</v>
      </c>
      <c r="N16" s="203"/>
      <c r="O16" s="200" t="e">
        <f aca="false">IF(A17="","",L16+J16+G16)</f>
        <v>#N/A</v>
      </c>
      <c r="P16" s="200" t="e">
        <f aca="false">IF(A17="","",M16+K16+H16)</f>
        <v>#N/A</v>
      </c>
      <c r="Q16" s="204"/>
      <c r="R16" s="200" t="e">
        <f aca="false">IF($A17="","",VLOOKUP($A16,Table,MATCH(R$4,Curves,0)))</f>
        <v>#N/A</v>
      </c>
      <c r="S16" s="201" t="e">
        <f aca="false">IF(A17="","",R16)</f>
        <v>#N/A</v>
      </c>
      <c r="T16" s="200" t="e">
        <f aca="false">IF($A17="","",VLOOKUP($A16,Table,MATCH(T$4,Curves,0)))</f>
        <v>#N/A</v>
      </c>
      <c r="U16" s="201" t="e">
        <f aca="false">IF(A17="","",T16)</f>
        <v>#N/A</v>
      </c>
      <c r="V16" s="183" t="e">
        <f aca="false">IF($A17="","",IF(AND(MONTH(A16)&gt;3,MONTH(A16)&lt;11),(T16+R16+G16)*Summary!$T$8/(1-Summary!$T$8),(T16+R16+G16)*Summary!$U$8/(1-Summary!$U$8)))</f>
        <v>#N/A</v>
      </c>
      <c r="W16" s="200" t="e">
        <f aca="false">IF($A17="","",(T16+R16+G16+V16))</f>
        <v>#N/A</v>
      </c>
      <c r="X16" s="200" t="e">
        <f aca="false">IF($A17="","",(U16+S16+H16+V16))</f>
        <v>#N/A</v>
      </c>
      <c r="Y16" s="202"/>
      <c r="Z16" s="185" t="e">
        <f aca="false">IF($A17="","",VLOOKUP($A16,Table,MATCH(Z$4,Curves,0)))</f>
        <v>#N/A</v>
      </c>
      <c r="AA16" s="185" t="e">
        <f aca="false">IF($A17="","",VLOOKUP($A16,Table,MATCH(AA$4,Curves,0)))</f>
        <v>#N/A</v>
      </c>
      <c r="AB16" s="185" t="e">
        <f aca="false">SQRT((AA16^2*(A16-$D$3)+Z16^2*(DAY(EOMONTH(A16,0))/2))/AK16)</f>
        <v>#N/A</v>
      </c>
      <c r="AC16" s="185" t="e">
        <f aca="false">IF($A17="","",VLOOKUP($A16,Table,MATCH(AC$4,Curves,0)))</f>
        <v>#N/A</v>
      </c>
      <c r="AD16" s="185" t="e">
        <f aca="false">IF($A17="","",VLOOKUP($A16,Table,MATCH(AD$4,Curves,0)))</f>
        <v>#N/A</v>
      </c>
      <c r="AE16" s="185" t="e">
        <f aca="false">SQRT((AD16^2*(A16-$D$3)+AC16^2*(DAY(EOMONTH(A16,0))/2))/AK16)</f>
        <v>#N/A</v>
      </c>
      <c r="AF16" s="224" t="e">
        <f aca="false">((Summary!$N$8*(AA16*AD16)*(A16-$D$3))+(Summary!$M$8*Z16*AC16*(AJ16-EOMONTH(EDATE(A16,-1),0))))/(AK16*AB16*AE16)</f>
        <v>#N/A</v>
      </c>
      <c r="AG16" s="207" t="n">
        <f aca="false">IF($A17="","",Summary!$Q$8)</f>
        <v>0</v>
      </c>
      <c r="AH16" s="207" t="n">
        <f aca="false">IF($A17="","",IF(Summary!$R$8="Y",(VLOOKUP($A16,Summary!$AD$6:$AF$9,3)+'Escalating commodity'!D29),'Escalating commodity'!D29))</f>
        <v>0.0232</v>
      </c>
      <c r="AI16" s="207" t="n">
        <f aca="false">IF($A17="","",AH16)</f>
        <v>0.0232</v>
      </c>
      <c r="AJ16" s="208" t="n">
        <f aca="false">A16+DAY(EOMONTH(A16,0))/2-1</f>
        <v>37240.5</v>
      </c>
      <c r="AK16" s="209" t="n">
        <f aca="false">IF($A17="","",$A16-$E$1)</f>
        <v>-8700</v>
      </c>
      <c r="AL16" s="182" t="e">
        <f aca="false">IF($A17="","",SPRDOPT(P16,X16,AI16,0,AB16,AE16,AF16,AK16,$AJ$2,0))</f>
        <v>#NAME?</v>
      </c>
      <c r="AM16" s="211" t="e">
        <f aca="false">IF($A17="","",MAX(0,O16-W16-AI16))</f>
        <v>#N/A</v>
      </c>
      <c r="AN16" s="211" t="e">
        <f aca="false">IF($A17="","",AL16-AM16)</f>
        <v>#N/A</v>
      </c>
      <c r="AO16" s="137" t="n">
        <f aca="false">IF(A17="","",A17-A16)</f>
        <v>31</v>
      </c>
      <c r="AP16" s="212" t="n">
        <f aca="false">IF(A17="","",CHOOSE(F$3,A17+24,A16))</f>
        <v>37226</v>
      </c>
      <c r="AQ16" s="209" t="n">
        <f aca="false">IF(A17="","",AP16-$E$1)</f>
        <v>-8700</v>
      </c>
      <c r="AR16" s="185" t="n">
        <f aca="false">'ANR OK vs ML7'!AR16</f>
        <v>0.1</v>
      </c>
      <c r="AS16" s="213" t="n">
        <f aca="false">IF(A17="","",1/(1+CHOOSE(F$3,(AR17+($I$3/10000))/2,(AR16+($I$3/10000))/2))^(2*AQ16/365.25))</f>
        <v>10.2194758333174</v>
      </c>
      <c r="AT16" s="137" t="n">
        <f aca="false">IF(A17="","",IF(AND(mthbeg&lt;=A16,mthend&gt;=A16),1,0))</f>
        <v>1</v>
      </c>
      <c r="AU16" s="137" t="n">
        <f aca="false">IF(A17="","",AO16*AT16)</f>
        <v>31</v>
      </c>
      <c r="AW16" s="195" t="e">
        <f aca="false">IF($A17="","",AL16*$E16)</f>
        <v>#NAME?</v>
      </c>
      <c r="AX16" s="195" t="e">
        <f aca="false">IF($A17="","",AM16*$E16)</f>
        <v>#N/A</v>
      </c>
      <c r="AY16" s="195" t="e">
        <f aca="false">IF($A17="","",AN16*$E16)</f>
        <v>#N/A</v>
      </c>
      <c r="BA16" s="195" t="n">
        <f aca="false">IF($A17="","",F16*Summary!$Q$8)</f>
        <v>0</v>
      </c>
      <c r="BC16" s="179" t="e">
        <f aca="false">IF(A17="","",AM16*F16)</f>
        <v>#N/A</v>
      </c>
    </row>
    <row r="17" customFormat="false" ht="12.75" hidden="false" customHeight="false" outlineLevel="0" collapsed="false">
      <c r="A17" s="196" t="n">
        <f aca="false">IF(A16&lt;mthend,EDATE(A16,1),"")</f>
        <v>37257</v>
      </c>
      <c r="B17" s="197" t="n">
        <f aca="false">IF(A17&lt;mthend,B16,0)</f>
        <v>80000</v>
      </c>
      <c r="C17" s="215"/>
      <c r="D17" s="197" t="n">
        <f aca="false">IF(A18&lt;&gt;"",B17+C17,"")</f>
        <v>80000</v>
      </c>
      <c r="E17" s="199" t="n">
        <f aca="false">IF(A18="","",IF(AND(AT17=1,$H$3=1),D17*AO17,IF($H$3=2,D17,"N/A")))</f>
        <v>2480000</v>
      </c>
      <c r="F17" s="199" t="n">
        <f aca="false">IF(A18="","",E17*AS17)</f>
        <v>25135266.0912317</v>
      </c>
      <c r="G17" s="200" t="e">
        <f aca="false">IF($A18="","",VLOOKUP($A17,Table,MATCH(G$4,Curves,0)))</f>
        <v>#N/A</v>
      </c>
      <c r="H17" s="201" t="e">
        <f aca="false">IF(A18="","",G17)</f>
        <v>#N/A</v>
      </c>
      <c r="I17" s="202"/>
      <c r="J17" s="200" t="e">
        <f aca="false">IF($A18="","",VLOOKUP($A17,Table,MATCH(J$4,Curves,0)))</f>
        <v>#N/A</v>
      </c>
      <c r="K17" s="201" t="e">
        <f aca="false">IF(A18="","",J17)</f>
        <v>#N/A</v>
      </c>
      <c r="L17" s="200" t="e">
        <f aca="false">IF($A18="","",VLOOKUP($A17,Table,MATCH(L$4,Curves,0)))</f>
        <v>#N/A</v>
      </c>
      <c r="M17" s="201" t="e">
        <f aca="false">IF(A18="","",L17)</f>
        <v>#N/A</v>
      </c>
      <c r="N17" s="203"/>
      <c r="O17" s="200" t="e">
        <f aca="false">IF(A18="","",L17+J17+G17)</f>
        <v>#N/A</v>
      </c>
      <c r="P17" s="200" t="e">
        <f aca="false">IF(A18="","",M17+K17+H17)</f>
        <v>#N/A</v>
      </c>
      <c r="Q17" s="204"/>
      <c r="R17" s="200" t="e">
        <f aca="false">IF($A18="","",VLOOKUP($A17,Table,MATCH(R$4,Curves,0)))</f>
        <v>#N/A</v>
      </c>
      <c r="S17" s="201" t="e">
        <f aca="false">IF(A18="","",R17)</f>
        <v>#N/A</v>
      </c>
      <c r="T17" s="200" t="e">
        <f aca="false">IF($A18="","",VLOOKUP($A17,Table,MATCH(T$4,Curves,0)))</f>
        <v>#N/A</v>
      </c>
      <c r="U17" s="201" t="e">
        <f aca="false">IF(A18="","",T17)</f>
        <v>#N/A</v>
      </c>
      <c r="V17" s="183" t="e">
        <f aca="false">IF($A18="","",IF(AND(MONTH(A17)&gt;3,MONTH(A17)&lt;11),(T17+R17+G17)*Summary!$T$8/(1-Summary!$T$8),(T17+R17+G17)*Summary!$U$8/(1-Summary!$U$8)))</f>
        <v>#N/A</v>
      </c>
      <c r="W17" s="200" t="e">
        <f aca="false">IF($A18="","",(T17+R17+G17+V17))</f>
        <v>#N/A</v>
      </c>
      <c r="X17" s="200" t="e">
        <f aca="false">IF($A18="","",(U17+S17+H17+V17))</f>
        <v>#N/A</v>
      </c>
      <c r="Y17" s="202"/>
      <c r="Z17" s="185" t="e">
        <f aca="false">IF($A18="","",VLOOKUP($A17,Table,MATCH(Z$4,Curves,0)))</f>
        <v>#N/A</v>
      </c>
      <c r="AA17" s="185" t="e">
        <f aca="false">IF($A18="","",VLOOKUP($A17,Table,MATCH(AA$4,Curves,0)))</f>
        <v>#N/A</v>
      </c>
      <c r="AB17" s="185" t="e">
        <f aca="false">SQRT((AA17^2*(A17-$D$3)+Z17^2*(DAY(EOMONTH(A17,0))/2))/AK17)</f>
        <v>#N/A</v>
      </c>
      <c r="AC17" s="185" t="e">
        <f aca="false">IF($A18="","",VLOOKUP($A17,Table,MATCH(AC$4,Curves,0)))</f>
        <v>#N/A</v>
      </c>
      <c r="AD17" s="185" t="e">
        <f aca="false">IF($A18="","",VLOOKUP($A17,Table,MATCH(AD$4,Curves,0)))</f>
        <v>#N/A</v>
      </c>
      <c r="AE17" s="185" t="e">
        <f aca="false">SQRT((AD17^2*(A17-$D$3)+AC17^2*(DAY(EOMONTH(A17,0))/2))/AK17)</f>
        <v>#N/A</v>
      </c>
      <c r="AF17" s="224" t="e">
        <f aca="false">((Summary!$N$8*(AA17*AD17)*(A17-$D$3))+(Summary!$M$8*Z17*AC17*(AJ17-EOMONTH(EDATE(A17,-1),0))))/(AK17*AB17*AE17)</f>
        <v>#N/A</v>
      </c>
      <c r="AG17" s="207" t="n">
        <f aca="false">IF($A18="","",Summary!$Q$8)</f>
        <v>0</v>
      </c>
      <c r="AH17" s="207" t="n">
        <f aca="false">IF($A18="","",IF(Summary!$R$8="Y",(VLOOKUP($A17,Summary!$AD$6:$AF$9,3)+'Escalating commodity'!D30),'Escalating commodity'!D30))</f>
        <v>0.0212</v>
      </c>
      <c r="AI17" s="207" t="n">
        <f aca="false">IF($A18="","",AH17)</f>
        <v>0.0212</v>
      </c>
      <c r="AJ17" s="208" t="n">
        <f aca="false">A17+DAY(EOMONTH(A17,0))/2-1</f>
        <v>37271.5</v>
      </c>
      <c r="AK17" s="209" t="n">
        <f aca="false">IF($A18="","",$A17-$E$1)</f>
        <v>-8669</v>
      </c>
      <c r="AL17" s="182" t="e">
        <f aca="false">IF($A18="","",SPRDOPT(P17,X17,AI17,0,AB17,AE17,AF17,AK17,$AJ$2,0))</f>
        <v>#NAME?</v>
      </c>
      <c r="AM17" s="211" t="e">
        <f aca="false">IF($A18="","",MAX(0,O17-W17-AI17))</f>
        <v>#N/A</v>
      </c>
      <c r="AN17" s="211" t="e">
        <f aca="false">IF($A18="","",AL17-AM17)</f>
        <v>#N/A</v>
      </c>
      <c r="AO17" s="137" t="n">
        <f aca="false">IF(A18="","",A18-A17)</f>
        <v>31</v>
      </c>
      <c r="AP17" s="212" t="n">
        <f aca="false">IF(A18="","",CHOOSE(F$3,A18+24,A17))</f>
        <v>37257</v>
      </c>
      <c r="AQ17" s="209" t="n">
        <f aca="false">IF(A18="","",AP17-$E$1)</f>
        <v>-8669</v>
      </c>
      <c r="AR17" s="185" t="n">
        <f aca="false">'ANR OK vs ML7'!AR17</f>
        <v>0.1</v>
      </c>
      <c r="AS17" s="213" t="n">
        <f aca="false">IF(A18="","",1/(1+CHOOSE(F$3,(AR18+($I$3/10000))/2,(AR17+($I$3/10000))/2))^(2*AQ17/365.25))</f>
        <v>10.1351879400128</v>
      </c>
      <c r="AT17" s="137" t="n">
        <f aca="false">IF(A18="","",IF(AND(mthbeg&lt;=A17,mthend&gt;=A17),1,0))</f>
        <v>1</v>
      </c>
      <c r="AU17" s="137" t="n">
        <f aca="false">IF(A18="","",AO17*AT17)</f>
        <v>31</v>
      </c>
      <c r="AW17" s="195" t="e">
        <f aca="false">IF($A18="","",AL17*$E17)</f>
        <v>#NAME?</v>
      </c>
      <c r="AX17" s="195" t="e">
        <f aca="false">IF($A18="","",AM17*$E17)</f>
        <v>#N/A</v>
      </c>
      <c r="AY17" s="195" t="e">
        <f aca="false">IF($A18="","",AN17*$E17)</f>
        <v>#N/A</v>
      </c>
      <c r="BA17" s="195" t="n">
        <f aca="false">IF($A18="","",F17*Summary!$Q$8)</f>
        <v>0</v>
      </c>
      <c r="BC17" s="179" t="e">
        <f aca="false">IF(A18="","",AM17*F17)</f>
        <v>#N/A</v>
      </c>
    </row>
    <row r="18" customFormat="false" ht="12.75" hidden="false" customHeight="false" outlineLevel="0" collapsed="false">
      <c r="A18" s="196" t="n">
        <f aca="false">IF(A17&lt;mthend,EDATE(A17,1),"")</f>
        <v>37288</v>
      </c>
      <c r="B18" s="197" t="n">
        <f aca="false">IF(A18&lt;mthend,B17,0)</f>
        <v>80000</v>
      </c>
      <c r="C18" s="215"/>
      <c r="D18" s="197" t="n">
        <f aca="false">IF(A19&lt;&gt;"",B18+C18,"")</f>
        <v>80000</v>
      </c>
      <c r="E18" s="199" t="n">
        <f aca="false">IF(A19="","",IF(AND(AT18=1,$H$3=1),D18*AO18,IF($H$3=2,D18,"N/A")))</f>
        <v>2240000</v>
      </c>
      <c r="F18" s="199" t="n">
        <f aca="false">IF(A19="","",E18*AS18)</f>
        <v>22515573.323991</v>
      </c>
      <c r="G18" s="200" t="e">
        <f aca="false">IF($A19="","",VLOOKUP($A18,Table,MATCH(G$4,Curves,0)))</f>
        <v>#N/A</v>
      </c>
      <c r="H18" s="201" t="e">
        <f aca="false">IF(A19="","",G18)</f>
        <v>#N/A</v>
      </c>
      <c r="I18" s="202"/>
      <c r="J18" s="200" t="e">
        <f aca="false">IF($A19="","",VLOOKUP($A18,Table,MATCH(J$4,Curves,0)))</f>
        <v>#N/A</v>
      </c>
      <c r="K18" s="201" t="e">
        <f aca="false">IF(A19="","",J18)</f>
        <v>#N/A</v>
      </c>
      <c r="L18" s="200" t="e">
        <f aca="false">IF($A19="","",VLOOKUP($A18,Table,MATCH(L$4,Curves,0)))</f>
        <v>#N/A</v>
      </c>
      <c r="M18" s="201" t="e">
        <f aca="false">IF(A19="","",L18)</f>
        <v>#N/A</v>
      </c>
      <c r="N18" s="203"/>
      <c r="O18" s="200" t="e">
        <f aca="false">IF(A19="","",L18+J18+G18)</f>
        <v>#N/A</v>
      </c>
      <c r="P18" s="200" t="e">
        <f aca="false">IF(A19="","",M18+K18+H18)</f>
        <v>#N/A</v>
      </c>
      <c r="Q18" s="204"/>
      <c r="R18" s="200" t="e">
        <f aca="false">IF($A19="","",VLOOKUP($A18,Table,MATCH(R$4,Curves,0)))</f>
        <v>#N/A</v>
      </c>
      <c r="S18" s="201" t="e">
        <f aca="false">IF(A19="","",R18)</f>
        <v>#N/A</v>
      </c>
      <c r="T18" s="200" t="e">
        <f aca="false">IF($A19="","",VLOOKUP($A18,Table,MATCH(T$4,Curves,0)))</f>
        <v>#N/A</v>
      </c>
      <c r="U18" s="201" t="e">
        <f aca="false">IF(A19="","",T18)</f>
        <v>#N/A</v>
      </c>
      <c r="V18" s="183" t="e">
        <f aca="false">IF($A19="","",IF(AND(MONTH(A18)&gt;3,MONTH(A18)&lt;11),(T18+R18+G18)*Summary!$T$8/(1-Summary!$T$8),(T18+R18+G18)*Summary!$U$8/(1-Summary!$U$8)))</f>
        <v>#N/A</v>
      </c>
      <c r="W18" s="200" t="e">
        <f aca="false">IF($A19="","",(T18+R18+G18+V18))</f>
        <v>#N/A</v>
      </c>
      <c r="X18" s="200" t="e">
        <f aca="false">IF($A19="","",(U18+S18+H18+V18))</f>
        <v>#N/A</v>
      </c>
      <c r="Y18" s="202"/>
      <c r="Z18" s="185" t="e">
        <f aca="false">IF($A19="","",VLOOKUP($A18,Table,MATCH(Z$4,Curves,0)))</f>
        <v>#N/A</v>
      </c>
      <c r="AA18" s="185" t="e">
        <f aca="false">IF($A19="","",VLOOKUP($A18,Table,MATCH(AA$4,Curves,0)))</f>
        <v>#N/A</v>
      </c>
      <c r="AB18" s="185" t="e">
        <f aca="false">SQRT((AA18^2*(A18-$D$3)+Z18^2*(DAY(EOMONTH(A18,0))/2))/AK18)</f>
        <v>#N/A</v>
      </c>
      <c r="AC18" s="185" t="e">
        <f aca="false">IF($A19="","",VLOOKUP($A18,Table,MATCH(AC$4,Curves,0)))</f>
        <v>#N/A</v>
      </c>
      <c r="AD18" s="185" t="e">
        <f aca="false">IF($A19="","",VLOOKUP($A18,Table,MATCH(AD$4,Curves,0)))</f>
        <v>#N/A</v>
      </c>
      <c r="AE18" s="185" t="e">
        <f aca="false">SQRT((AD18^2*(A18-$D$3)+AC18^2*(DAY(EOMONTH(A18,0))/2))/AK18)</f>
        <v>#N/A</v>
      </c>
      <c r="AF18" s="224" t="e">
        <f aca="false">((Summary!$N$8*(AA18*AD18)*(A18-$D$3))+(Summary!$M$8*Z18*AC18*(AJ18-EOMONTH(EDATE(A18,-1),0))))/(AK18*AB18*AE18)</f>
        <v>#N/A</v>
      </c>
      <c r="AG18" s="207" t="n">
        <f aca="false">IF($A19="","",Summary!$Q$8)</f>
        <v>0</v>
      </c>
      <c r="AH18" s="207" t="n">
        <f aca="false">IF($A19="","",IF(Summary!$R$8="Y",(VLOOKUP($A18,Summary!$AD$6:$AF$9,3)+'Escalating commodity'!D31),'Escalating commodity'!D31))</f>
        <v>0.0212</v>
      </c>
      <c r="AI18" s="207" t="n">
        <f aca="false">IF($A19="","",AH18)</f>
        <v>0.0212</v>
      </c>
      <c r="AJ18" s="208" t="n">
        <f aca="false">A18+DAY(EOMONTH(A18,0))/2-1</f>
        <v>37301</v>
      </c>
      <c r="AK18" s="209" t="n">
        <f aca="false">IF($A19="","",$A18-$E$1)</f>
        <v>-8638</v>
      </c>
      <c r="AL18" s="182" t="e">
        <f aca="false">IF($A19="","",SPRDOPT(P18,X18,AI18,0,AB18,AE18,AF18,AK18,$AJ$2,0))</f>
        <v>#NAME?</v>
      </c>
      <c r="AM18" s="211" t="e">
        <f aca="false">IF($A19="","",MAX(0,O18-W18-AI18))</f>
        <v>#N/A</v>
      </c>
      <c r="AN18" s="211" t="e">
        <f aca="false">IF($A19="","",AL18-AM18)</f>
        <v>#N/A</v>
      </c>
      <c r="AO18" s="137" t="n">
        <f aca="false">IF(A19="","",A19-A18)</f>
        <v>28</v>
      </c>
      <c r="AP18" s="212" t="n">
        <f aca="false">IF(A19="","",CHOOSE(F$3,A19+24,A18))</f>
        <v>37288</v>
      </c>
      <c r="AQ18" s="209" t="n">
        <f aca="false">IF(A19="","",AP18-$E$1)</f>
        <v>-8638</v>
      </c>
      <c r="AR18" s="185" t="n">
        <f aca="false">'ANR OK vs ML7'!AR18</f>
        <v>0.1</v>
      </c>
      <c r="AS18" s="213" t="n">
        <f aca="false">IF(A19="","",1/(1+CHOOSE(F$3,(AR19+($I$3/10000))/2,(AR18+($I$3/10000))/2))^(2*AQ18/365.25))</f>
        <v>10.0515952339246</v>
      </c>
      <c r="AT18" s="137" t="n">
        <f aca="false">IF(A19="","",IF(AND(mthbeg&lt;=A18,mthend&gt;=A18),1,0))</f>
        <v>1</v>
      </c>
      <c r="AU18" s="137" t="n">
        <f aca="false">IF(A19="","",AO18*AT18)</f>
        <v>28</v>
      </c>
      <c r="AW18" s="195" t="e">
        <f aca="false">IF($A19="","",AL18*$E18)</f>
        <v>#NAME?</v>
      </c>
      <c r="AX18" s="195" t="e">
        <f aca="false">IF($A19="","",AM18*$E18)</f>
        <v>#N/A</v>
      </c>
      <c r="AY18" s="195" t="e">
        <f aca="false">IF($A19="","",AN18*$E18)</f>
        <v>#N/A</v>
      </c>
      <c r="BA18" s="195" t="n">
        <f aca="false">IF($A19="","",F18*Summary!$Q$8)</f>
        <v>0</v>
      </c>
      <c r="BC18" s="179" t="e">
        <f aca="false">IF(A19="","",AM18*F18)</f>
        <v>#N/A</v>
      </c>
    </row>
    <row r="19" customFormat="false" ht="12.75" hidden="false" customHeight="false" outlineLevel="0" collapsed="false">
      <c r="A19" s="196" t="n">
        <f aca="false">IF(A18&lt;mthend,EDATE(A18,1),"")</f>
        <v>37316</v>
      </c>
      <c r="B19" s="197" t="n">
        <f aca="false">IF(A19&lt;mthend,B18,0)</f>
        <v>80000</v>
      </c>
      <c r="C19" s="215"/>
      <c r="D19" s="197" t="n">
        <f aca="false">IF(A20&lt;&gt;"",B19+C19,"")</f>
        <v>80000</v>
      </c>
      <c r="E19" s="199" t="n">
        <f aca="false">IF(A20="","",IF(AND(AT19=1,$H$3=1),D19*AO19,IF($H$3=2,D19,"N/A")))</f>
        <v>2480000</v>
      </c>
      <c r="F19" s="199" t="n">
        <f aca="false">IF(A20="","",E19*AS19)</f>
        <v>24742178.5583093</v>
      </c>
      <c r="G19" s="200" t="e">
        <f aca="false">IF($A20="","",VLOOKUP($A19,Table,MATCH(G$4,Curves,0)))</f>
        <v>#N/A</v>
      </c>
      <c r="H19" s="201" t="e">
        <f aca="false">IF(A20="","",G19)</f>
        <v>#N/A</v>
      </c>
      <c r="I19" s="202"/>
      <c r="J19" s="200" t="e">
        <f aca="false">IF($A20="","",VLOOKUP($A19,Table,MATCH(J$4,Curves,0)))</f>
        <v>#N/A</v>
      </c>
      <c r="K19" s="201" t="e">
        <f aca="false">IF(A20="","",J19)</f>
        <v>#N/A</v>
      </c>
      <c r="L19" s="200" t="e">
        <f aca="false">IF($A20="","",VLOOKUP($A19,Table,MATCH(L$4,Curves,0)))</f>
        <v>#N/A</v>
      </c>
      <c r="M19" s="201" t="e">
        <f aca="false">IF(A20="","",L19)</f>
        <v>#N/A</v>
      </c>
      <c r="N19" s="203"/>
      <c r="O19" s="200" t="e">
        <f aca="false">IF(A20="","",L19+J19+G19)</f>
        <v>#N/A</v>
      </c>
      <c r="P19" s="200" t="e">
        <f aca="false">IF(A20="","",M19+K19+H19)</f>
        <v>#N/A</v>
      </c>
      <c r="Q19" s="204"/>
      <c r="R19" s="200" t="e">
        <f aca="false">IF($A20="","",VLOOKUP($A19,Table,MATCH(R$4,Curves,0)))</f>
        <v>#N/A</v>
      </c>
      <c r="S19" s="201" t="e">
        <f aca="false">IF(A20="","",R19)</f>
        <v>#N/A</v>
      </c>
      <c r="T19" s="200" t="e">
        <f aca="false">IF($A20="","",VLOOKUP($A19,Table,MATCH(T$4,Curves,0)))</f>
        <v>#N/A</v>
      </c>
      <c r="U19" s="201" t="e">
        <f aca="false">IF(A20="","",T19)</f>
        <v>#N/A</v>
      </c>
      <c r="V19" s="183" t="e">
        <f aca="false">IF($A20="","",IF(AND(MONTH(A19)&gt;3,MONTH(A19)&lt;11),(T19+R19+G19)*Summary!$T$8/(1-Summary!$T$8),(T19+R19+G19)*Summary!$U$8/(1-Summary!$U$8)))</f>
        <v>#N/A</v>
      </c>
      <c r="W19" s="200" t="e">
        <f aca="false">IF($A20="","",(T19+R19+G19+V19))</f>
        <v>#N/A</v>
      </c>
      <c r="X19" s="200" t="e">
        <f aca="false">IF($A20="","",(U19+S19+H19+V19))</f>
        <v>#N/A</v>
      </c>
      <c r="Y19" s="202"/>
      <c r="Z19" s="185" t="e">
        <f aca="false">IF($A20="","",VLOOKUP($A19,Table,MATCH(Z$4,Curves,0)))</f>
        <v>#N/A</v>
      </c>
      <c r="AA19" s="185" t="e">
        <f aca="false">IF($A20="","",VLOOKUP($A19,Table,MATCH(AA$4,Curves,0)))</f>
        <v>#N/A</v>
      </c>
      <c r="AB19" s="185" t="e">
        <f aca="false">SQRT((AA19^2*(A19-$D$3)+Z19^2*(DAY(EOMONTH(A19,0))/2))/AK19)</f>
        <v>#N/A</v>
      </c>
      <c r="AC19" s="185" t="e">
        <f aca="false">IF($A20="","",VLOOKUP($A19,Table,MATCH(AC$4,Curves,0)))</f>
        <v>#N/A</v>
      </c>
      <c r="AD19" s="185" t="e">
        <f aca="false">IF($A20="","",VLOOKUP($A19,Table,MATCH(AD$4,Curves,0)))</f>
        <v>#N/A</v>
      </c>
      <c r="AE19" s="185" t="e">
        <f aca="false">SQRT((AD19^2*(A19-$D$3)+AC19^2*(DAY(EOMONTH(A19,0))/2))/AK19)</f>
        <v>#N/A</v>
      </c>
      <c r="AF19" s="224" t="e">
        <f aca="false">((Summary!$N$8*(AA19*AD19)*(A19-$D$3))+(Summary!$M$8*Z19*AC19*(AJ19-EOMONTH(EDATE(A19,-1),0))))/(AK19*AB19*AE19)</f>
        <v>#N/A</v>
      </c>
      <c r="AG19" s="207" t="n">
        <f aca="false">IF($A20="","",Summary!$Q$8)</f>
        <v>0</v>
      </c>
      <c r="AH19" s="207" t="n">
        <f aca="false">IF($A20="","",IF(Summary!$R$8="Y",(VLOOKUP($A19,Summary!$AD$6:$AF$9,3)+'Escalating commodity'!D32),'Escalating commodity'!D32))</f>
        <v>0.0212</v>
      </c>
      <c r="AI19" s="207" t="n">
        <f aca="false">IF($A20="","",AH19)</f>
        <v>0.0212</v>
      </c>
      <c r="AJ19" s="208" t="n">
        <f aca="false">A19+DAY(EOMONTH(A19,0))/2-1</f>
        <v>37330.5</v>
      </c>
      <c r="AK19" s="209" t="n">
        <f aca="false">IF($A20="","",$A19-$E$1)</f>
        <v>-8610</v>
      </c>
      <c r="AL19" s="182" t="e">
        <f aca="false">IF($A20="","",SPRDOPT(P19,X19,AI19,0,AB19,AE19,AF19,AK19,$AJ$2,0))</f>
        <v>#NAME?</v>
      </c>
      <c r="AM19" s="211" t="e">
        <f aca="false">IF($A20="","",MAX(0,O19-W19-AI19))</f>
        <v>#N/A</v>
      </c>
      <c r="AN19" s="211" t="e">
        <f aca="false">IF($A20="","",AL19-AM19)</f>
        <v>#N/A</v>
      </c>
      <c r="AO19" s="137" t="n">
        <f aca="false">IF(A20="","",A20-A19)</f>
        <v>31</v>
      </c>
      <c r="AP19" s="212" t="n">
        <f aca="false">IF(A20="","",CHOOSE(F$3,A20+24,A19))</f>
        <v>37316</v>
      </c>
      <c r="AQ19" s="209" t="n">
        <f aca="false">IF(A20="","",AP19-$E$1)</f>
        <v>-8610</v>
      </c>
      <c r="AR19" s="185" t="n">
        <f aca="false">'ANR OK vs ML7'!AR19</f>
        <v>0.1</v>
      </c>
      <c r="AS19" s="213" t="n">
        <f aca="false">IF(A20="","",1/(1+CHOOSE(F$3,(AR20+($I$3/10000))/2,(AR19+($I$3/10000))/2))^(2*AQ19/365.25))</f>
        <v>9.97668490254406</v>
      </c>
      <c r="AT19" s="137" t="n">
        <f aca="false">IF(A20="","",IF(AND(mthbeg&lt;=A19,mthend&gt;=A19),1,0))</f>
        <v>1</v>
      </c>
      <c r="AU19" s="137" t="n">
        <f aca="false">IF(A20="","",AO19*AT19)</f>
        <v>31</v>
      </c>
      <c r="AW19" s="195" t="e">
        <f aca="false">IF($A20="","",AL19*$E19)</f>
        <v>#NAME?</v>
      </c>
      <c r="AX19" s="195" t="e">
        <f aca="false">IF($A20="","",AM19*$E19)</f>
        <v>#N/A</v>
      </c>
      <c r="AY19" s="195" t="e">
        <f aca="false">IF($A20="","",AN19*$E19)</f>
        <v>#N/A</v>
      </c>
      <c r="BA19" s="195" t="n">
        <f aca="false">IF($A20="","",F19*Summary!$Q$8)</f>
        <v>0</v>
      </c>
      <c r="BC19" s="179" t="e">
        <f aca="false">IF(A20="","",AM19*F19)</f>
        <v>#N/A</v>
      </c>
    </row>
    <row r="20" customFormat="false" ht="12.75" hidden="false" customHeight="false" outlineLevel="0" collapsed="false">
      <c r="A20" s="196" t="n">
        <f aca="false">IF(A19&lt;mthend,EDATE(A19,1),"")</f>
        <v>37347</v>
      </c>
      <c r="B20" s="197" t="n">
        <f aca="false">IF(A20&lt;mthend,B19,0)</f>
        <v>80000</v>
      </c>
      <c r="C20" s="215"/>
      <c r="D20" s="197" t="n">
        <f aca="false">IF(A21&lt;&gt;"",B20+C20,"")</f>
        <v>80000</v>
      </c>
      <c r="E20" s="199" t="n">
        <f aca="false">IF(A21="","",IF(AND(AT20=1,$H$3=1),D20*AO20,IF($H$3=2,D20,"N/A")))</f>
        <v>2400000</v>
      </c>
      <c r="F20" s="199" t="n">
        <f aca="false">IF(A21="","",E20*AS20)</f>
        <v>23746558.7835923</v>
      </c>
      <c r="G20" s="200" t="e">
        <f aca="false">IF($A21="","",VLOOKUP($A20,Table,MATCH(G$4,Curves,0)))</f>
        <v>#N/A</v>
      </c>
      <c r="H20" s="201" t="e">
        <f aca="false">IF(A21="","",G20)</f>
        <v>#N/A</v>
      </c>
      <c r="I20" s="202"/>
      <c r="J20" s="200" t="e">
        <f aca="false">IF($A21="","",VLOOKUP($A20,Table,MATCH(J$4,Curves,0)))</f>
        <v>#N/A</v>
      </c>
      <c r="K20" s="201" t="e">
        <f aca="false">IF(A21="","",J20)</f>
        <v>#N/A</v>
      </c>
      <c r="L20" s="200" t="e">
        <f aca="false">IF($A21="","",VLOOKUP($A20,Table,MATCH(L$4,Curves,0)))</f>
        <v>#N/A</v>
      </c>
      <c r="M20" s="201" t="e">
        <f aca="false">IF(A21="","",L20)</f>
        <v>#N/A</v>
      </c>
      <c r="N20" s="203"/>
      <c r="O20" s="200" t="e">
        <f aca="false">IF(A21="","",L20+J20+G20)</f>
        <v>#N/A</v>
      </c>
      <c r="P20" s="200" t="e">
        <f aca="false">IF(A21="","",M20+K20+H20)</f>
        <v>#N/A</v>
      </c>
      <c r="Q20" s="204"/>
      <c r="R20" s="200" t="e">
        <f aca="false">IF($A21="","",VLOOKUP($A20,Table,MATCH(R$4,Curves,0)))</f>
        <v>#N/A</v>
      </c>
      <c r="S20" s="201" t="e">
        <f aca="false">IF(A21="","",R20)</f>
        <v>#N/A</v>
      </c>
      <c r="T20" s="200" t="e">
        <f aca="false">IF($A21="","",VLOOKUP($A20,Table,MATCH(T$4,Curves,0)))</f>
        <v>#N/A</v>
      </c>
      <c r="U20" s="201" t="e">
        <f aca="false">IF(A21="","",T20)</f>
        <v>#N/A</v>
      </c>
      <c r="V20" s="183" t="e">
        <f aca="false">IF($A21="","",IF(AND(MONTH(A20)&gt;3,MONTH(A20)&lt;11),(T20+R20+G20)*Summary!$T$8/(1-Summary!$T$8),(T20+R20+G20)*Summary!$U$8/(1-Summary!$U$8)))</f>
        <v>#N/A</v>
      </c>
      <c r="W20" s="200" t="e">
        <f aca="false">IF($A21="","",(T20+R20+G20+V20))</f>
        <v>#N/A</v>
      </c>
      <c r="X20" s="200" t="e">
        <f aca="false">IF($A21="","",(U20+S20+H20+V20))</f>
        <v>#N/A</v>
      </c>
      <c r="Y20" s="202"/>
      <c r="Z20" s="185" t="e">
        <f aca="false">IF($A21="","",VLOOKUP($A20,Table,MATCH(Z$4,Curves,0)))</f>
        <v>#N/A</v>
      </c>
      <c r="AA20" s="185" t="e">
        <f aca="false">IF($A21="","",VLOOKUP($A20,Table,MATCH(AA$4,Curves,0)))</f>
        <v>#N/A</v>
      </c>
      <c r="AB20" s="185" t="e">
        <f aca="false">SQRT((AA20^2*(A20-$D$3)+Z20^2*(DAY(EOMONTH(A20,0))/2))/AK20)</f>
        <v>#N/A</v>
      </c>
      <c r="AC20" s="185" t="e">
        <f aca="false">IF($A21="","",VLOOKUP($A20,Table,MATCH(AC$4,Curves,0)))</f>
        <v>#N/A</v>
      </c>
      <c r="AD20" s="185" t="e">
        <f aca="false">IF($A21="","",VLOOKUP($A20,Table,MATCH(AD$4,Curves,0)))</f>
        <v>#N/A</v>
      </c>
      <c r="AE20" s="185" t="e">
        <f aca="false">SQRT((AD20^2*(A20-$D$3)+AC20^2*(DAY(EOMONTH(A20,0))/2))/AK20)</f>
        <v>#N/A</v>
      </c>
      <c r="AF20" s="224" t="e">
        <f aca="false">((Summary!$N$8*(AA20*AD20)*(A20-$D$3))+(Summary!$M$8*Z20*AC20*(AJ20-EOMONTH(EDATE(A20,-1),0))))/(AK20*AB20*AE20)</f>
        <v>#N/A</v>
      </c>
      <c r="AG20" s="207" t="n">
        <f aca="false">IF($A21="","",Summary!$Q$8)</f>
        <v>0</v>
      </c>
      <c r="AH20" s="207" t="n">
        <f aca="false">IF($A21="","",IF(Summary!$R$8="Y",(VLOOKUP($A20,Summary!$AD$6:$AF$9,3)+'Escalating commodity'!D33),'Escalating commodity'!D33))</f>
        <v>0.0212</v>
      </c>
      <c r="AI20" s="207" t="n">
        <f aca="false">IF($A21="","",AH20)</f>
        <v>0.0212</v>
      </c>
      <c r="AJ20" s="208" t="n">
        <f aca="false">A20+DAY(EOMONTH(A20,0))/2-1</f>
        <v>37361</v>
      </c>
      <c r="AK20" s="209" t="n">
        <f aca="false">IF($A21="","",$A20-$E$1)</f>
        <v>-8579</v>
      </c>
      <c r="AL20" s="182" t="e">
        <f aca="false">IF($A21="","",SPRDOPT(P20,X20,AI20,0,AB20,AE20,AF20,AK20,$AJ$2,0))</f>
        <v>#NAME?</v>
      </c>
      <c r="AM20" s="211" t="e">
        <f aca="false">IF($A21="","",MAX(0,O20-W20-AI20))</f>
        <v>#N/A</v>
      </c>
      <c r="AN20" s="211" t="e">
        <f aca="false">IF($A21="","",AL20-AM20)</f>
        <v>#N/A</v>
      </c>
      <c r="AO20" s="137" t="n">
        <f aca="false">IF(A21="","",A21-A20)</f>
        <v>30</v>
      </c>
      <c r="AP20" s="212" t="n">
        <f aca="false">IF(A21="","",CHOOSE(F$3,A21+24,A20))</f>
        <v>37347</v>
      </c>
      <c r="AQ20" s="209" t="n">
        <f aca="false">IF(A21="","",AP20-$E$1)</f>
        <v>-8579</v>
      </c>
      <c r="AR20" s="185" t="n">
        <f aca="false">'ANR OK vs ML7'!AR20</f>
        <v>0.1</v>
      </c>
      <c r="AS20" s="213" t="n">
        <f aca="false">IF(A21="","",1/(1+CHOOSE(F$3,(AR21+($I$3/10000))/2,(AR20+($I$3/10000))/2))^(2*AQ20/365.25))</f>
        <v>9.89439949316346</v>
      </c>
      <c r="AT20" s="137" t="n">
        <f aca="false">IF(A21="","",IF(AND(mthbeg&lt;=A20,mthend&gt;=A20),1,0))</f>
        <v>1</v>
      </c>
      <c r="AU20" s="137" t="n">
        <f aca="false">IF(A21="","",AO20*AT20)</f>
        <v>30</v>
      </c>
      <c r="AW20" s="195" t="e">
        <f aca="false">IF($A21="","",AL20*$E20)</f>
        <v>#NAME?</v>
      </c>
      <c r="AX20" s="195" t="e">
        <f aca="false">IF($A21="","",AM20*$E20)</f>
        <v>#N/A</v>
      </c>
      <c r="AY20" s="195" t="e">
        <f aca="false">IF($A21="","",AN20*$E20)</f>
        <v>#N/A</v>
      </c>
      <c r="BA20" s="195" t="n">
        <f aca="false">IF($A21="","",F20*Summary!$Q$8)</f>
        <v>0</v>
      </c>
      <c r="BC20" s="179" t="e">
        <f aca="false">IF(A21="","",AM20*F20)</f>
        <v>#N/A</v>
      </c>
    </row>
    <row r="21" customFormat="false" ht="12.75" hidden="false" customHeight="false" outlineLevel="0" collapsed="false">
      <c r="A21" s="196" t="n">
        <f aca="false">IF(A20&lt;mthend,EDATE(A20,1),"")</f>
        <v>37377</v>
      </c>
      <c r="B21" s="197" t="n">
        <f aca="false">IF(A21&lt;mthend,B20,0)</f>
        <v>80000</v>
      </c>
      <c r="C21" s="215"/>
      <c r="D21" s="197" t="n">
        <f aca="false">IF(A22&lt;&gt;"",B21+C21,"")</f>
        <v>80000</v>
      </c>
      <c r="E21" s="199" t="n">
        <f aca="false">IF(A22="","",IF(AND(AT21=1,$H$3=1),D21*AO21,IF($H$3=2,D21,"N/A")))</f>
        <v>2480000</v>
      </c>
      <c r="F21" s="199" t="n">
        <f aca="false">IF(A22="","",E21*AS21)</f>
        <v>24342228.4426667</v>
      </c>
      <c r="G21" s="200" t="e">
        <f aca="false">IF($A22="","",VLOOKUP($A21,Table,MATCH(G$4,Curves,0)))</f>
        <v>#N/A</v>
      </c>
      <c r="H21" s="201" t="e">
        <f aca="false">IF(A22="","",G21)</f>
        <v>#N/A</v>
      </c>
      <c r="I21" s="202"/>
      <c r="J21" s="200" t="e">
        <f aca="false">IF($A22="","",VLOOKUP($A21,Table,MATCH(J$4,Curves,0)))</f>
        <v>#N/A</v>
      </c>
      <c r="K21" s="201" t="e">
        <f aca="false">IF(A22="","",J21)</f>
        <v>#N/A</v>
      </c>
      <c r="L21" s="200" t="e">
        <f aca="false">IF($A22="","",VLOOKUP($A21,Table,MATCH(L$4,Curves,0)))</f>
        <v>#N/A</v>
      </c>
      <c r="M21" s="201" t="e">
        <f aca="false">IF(A22="","",L21)</f>
        <v>#N/A</v>
      </c>
      <c r="N21" s="203"/>
      <c r="O21" s="200" t="e">
        <f aca="false">IF(A22="","",L21+J21+G21)</f>
        <v>#N/A</v>
      </c>
      <c r="P21" s="200" t="e">
        <f aca="false">IF(A22="","",M21+K21+H21)</f>
        <v>#N/A</v>
      </c>
      <c r="Q21" s="204"/>
      <c r="R21" s="200" t="e">
        <f aca="false">IF($A22="","",VLOOKUP($A21,Table,MATCH(R$4,Curves,0)))</f>
        <v>#N/A</v>
      </c>
      <c r="S21" s="201" t="e">
        <f aca="false">IF(A22="","",R21)</f>
        <v>#N/A</v>
      </c>
      <c r="T21" s="200" t="e">
        <f aca="false">IF($A22="","",VLOOKUP($A21,Table,MATCH(T$4,Curves,0)))</f>
        <v>#N/A</v>
      </c>
      <c r="U21" s="201" t="e">
        <f aca="false">IF(A22="","",T21)</f>
        <v>#N/A</v>
      </c>
      <c r="V21" s="183" t="e">
        <f aca="false">IF($A22="","",IF(AND(MONTH(A21)&gt;3,MONTH(A21)&lt;11),(T21+R21+G21)*Summary!$T$8/(1-Summary!$T$8),(T21+R21+G21)*Summary!$U$8/(1-Summary!$U$8)))</f>
        <v>#N/A</v>
      </c>
      <c r="W21" s="200" t="e">
        <f aca="false">IF($A22="","",(T21+R21+G21+V21))</f>
        <v>#N/A</v>
      </c>
      <c r="X21" s="200" t="e">
        <f aca="false">IF($A22="","",(U21+S21+H21+V21))</f>
        <v>#N/A</v>
      </c>
      <c r="Y21" s="202"/>
      <c r="Z21" s="185" t="e">
        <f aca="false">IF($A22="","",VLOOKUP($A21,Table,MATCH(Z$4,Curves,0)))</f>
        <v>#N/A</v>
      </c>
      <c r="AA21" s="185" t="e">
        <f aca="false">IF($A22="","",VLOOKUP($A21,Table,MATCH(AA$4,Curves,0)))</f>
        <v>#N/A</v>
      </c>
      <c r="AB21" s="185" t="e">
        <f aca="false">SQRT((AA21^2*(A21-$D$3)+Z21^2*(DAY(EOMONTH(A21,0))/2))/AK21)</f>
        <v>#N/A</v>
      </c>
      <c r="AC21" s="185" t="e">
        <f aca="false">IF($A22="","",VLOOKUP($A21,Table,MATCH(AC$4,Curves,0)))</f>
        <v>#N/A</v>
      </c>
      <c r="AD21" s="185" t="e">
        <f aca="false">IF($A22="","",VLOOKUP($A21,Table,MATCH(AD$4,Curves,0)))</f>
        <v>#N/A</v>
      </c>
      <c r="AE21" s="185" t="e">
        <f aca="false">SQRT((AD21^2*(A21-$D$3)+AC21^2*(DAY(EOMONTH(A21,0))/2))/AK21)</f>
        <v>#N/A</v>
      </c>
      <c r="AF21" s="224" t="e">
        <f aca="false">((Summary!$N$8*(AA21*AD21)*(A21-$D$3))+(Summary!$M$8*Z21*AC21*(AJ21-EOMONTH(EDATE(A21,-1),0))))/(AK21*AB21*AE21)</f>
        <v>#N/A</v>
      </c>
      <c r="AG21" s="207" t="n">
        <f aca="false">IF($A22="","",Summary!$Q$8)</f>
        <v>0</v>
      </c>
      <c r="AH21" s="207" t="n">
        <f aca="false">IF($A22="","",IF(Summary!$R$8="Y",(VLOOKUP($A21,Summary!$AD$6:$AF$9,3)+'Escalating commodity'!D34),'Escalating commodity'!D34))</f>
        <v>0.0212</v>
      </c>
      <c r="AI21" s="207" t="n">
        <f aca="false">IF($A22="","",AH21)</f>
        <v>0.0212</v>
      </c>
      <c r="AJ21" s="208" t="n">
        <f aca="false">A21+DAY(EOMONTH(A21,0))/2-1</f>
        <v>37391.5</v>
      </c>
      <c r="AK21" s="209" t="n">
        <f aca="false">IF($A22="","",$A21-$E$1)</f>
        <v>-8549</v>
      </c>
      <c r="AL21" s="182" t="e">
        <f aca="false">IF($A22="","",SPRDOPT(P21,X21,AI21,0,AB21,AE21,AF21,AK21,$AJ$2,0))</f>
        <v>#NAME?</v>
      </c>
      <c r="AM21" s="211" t="e">
        <f aca="false">IF($A22="","",MAX(0,O21-W21-AI21))</f>
        <v>#N/A</v>
      </c>
      <c r="AN21" s="211" t="e">
        <f aca="false">IF($A22="","",AL21-AM21)</f>
        <v>#N/A</v>
      </c>
      <c r="AO21" s="137" t="n">
        <f aca="false">IF(A22="","",A22-A21)</f>
        <v>31</v>
      </c>
      <c r="AP21" s="212" t="n">
        <f aca="false">IF(A22="","",CHOOSE(F$3,A22+24,A21))</f>
        <v>37377</v>
      </c>
      <c r="AQ21" s="209" t="n">
        <f aca="false">IF(A22="","",AP21-$E$1)</f>
        <v>-8549</v>
      </c>
      <c r="AR21" s="185" t="n">
        <f aca="false">'ANR OK vs ML7'!AR21</f>
        <v>0.1</v>
      </c>
      <c r="AS21" s="213" t="n">
        <f aca="false">IF(A22="","",1/(1+CHOOSE(F$3,(AR22+($I$3/10000))/2,(AR21+($I$3/10000))/2))^(2*AQ21/365.25))</f>
        <v>9.81541469462368</v>
      </c>
      <c r="AT21" s="137" t="n">
        <f aca="false">IF(A22="","",IF(AND(mthbeg&lt;=A21,mthend&gt;=A21),1,0))</f>
        <v>1</v>
      </c>
      <c r="AU21" s="137" t="n">
        <f aca="false">IF(A22="","",AO21*AT21)</f>
        <v>31</v>
      </c>
      <c r="AW21" s="195" t="e">
        <f aca="false">IF($A22="","",AL21*$E21)</f>
        <v>#NAME?</v>
      </c>
      <c r="AX21" s="195" t="e">
        <f aca="false">IF($A22="","",AM21*$E21)</f>
        <v>#N/A</v>
      </c>
      <c r="AY21" s="195" t="e">
        <f aca="false">IF($A22="","",AN21*$E21)</f>
        <v>#N/A</v>
      </c>
      <c r="BA21" s="195" t="n">
        <f aca="false">IF($A22="","",F21*Summary!$Q$8)</f>
        <v>0</v>
      </c>
      <c r="BC21" s="179" t="e">
        <f aca="false">IF(A22="","",AM21*F21)</f>
        <v>#N/A</v>
      </c>
    </row>
    <row r="22" customFormat="false" ht="12.75" hidden="false" customHeight="false" outlineLevel="0" collapsed="false">
      <c r="A22" s="196" t="n">
        <f aca="false">IF(A21&lt;mthend,EDATE(A21,1),"")</f>
        <v>37408</v>
      </c>
      <c r="B22" s="197" t="n">
        <f aca="false">IF(A22&lt;mthend,B21,0)</f>
        <v>80000</v>
      </c>
      <c r="C22" s="215"/>
      <c r="D22" s="197" t="n">
        <f aca="false">IF(A23&lt;&gt;"",B22+C22,"")</f>
        <v>80000</v>
      </c>
      <c r="E22" s="199" t="n">
        <f aca="false">IF(A23="","",IF(AND(AT22=1,$H$3=1),D22*AO22,IF($H$3=2,D22,"N/A")))</f>
        <v>2400000</v>
      </c>
      <c r="F22" s="199" t="n">
        <f aca="false">IF(A23="","",E22*AS22)</f>
        <v>23362702.5718514</v>
      </c>
      <c r="G22" s="200" t="e">
        <f aca="false">IF($A23="","",VLOOKUP($A22,Table,MATCH(G$4,Curves,0)))</f>
        <v>#N/A</v>
      </c>
      <c r="H22" s="201" t="e">
        <f aca="false">IF(A23="","",G22)</f>
        <v>#N/A</v>
      </c>
      <c r="I22" s="202"/>
      <c r="J22" s="200" t="e">
        <f aca="false">IF($A23="","",VLOOKUP($A22,Table,MATCH(J$4,Curves,0)))</f>
        <v>#N/A</v>
      </c>
      <c r="K22" s="201" t="e">
        <f aca="false">IF(A23="","",J22)</f>
        <v>#N/A</v>
      </c>
      <c r="L22" s="200" t="e">
        <f aca="false">IF($A23="","",VLOOKUP($A22,Table,MATCH(L$4,Curves,0)))</f>
        <v>#N/A</v>
      </c>
      <c r="M22" s="201" t="e">
        <f aca="false">IF(A23="","",L22)</f>
        <v>#N/A</v>
      </c>
      <c r="N22" s="203"/>
      <c r="O22" s="200" t="e">
        <f aca="false">IF(A23="","",L22+J22+G22)</f>
        <v>#N/A</v>
      </c>
      <c r="P22" s="200" t="e">
        <f aca="false">IF(A23="","",M22+K22+H22)</f>
        <v>#N/A</v>
      </c>
      <c r="Q22" s="204"/>
      <c r="R22" s="200" t="e">
        <f aca="false">IF($A23="","",VLOOKUP($A22,Table,MATCH(R$4,Curves,0)))</f>
        <v>#N/A</v>
      </c>
      <c r="S22" s="201" t="e">
        <f aca="false">IF(A23="","",R22)</f>
        <v>#N/A</v>
      </c>
      <c r="T22" s="200" t="e">
        <f aca="false">IF($A23="","",VLOOKUP($A22,Table,MATCH(T$4,Curves,0)))</f>
        <v>#N/A</v>
      </c>
      <c r="U22" s="201" t="e">
        <f aca="false">IF(A23="","",T22)</f>
        <v>#N/A</v>
      </c>
      <c r="V22" s="183" t="e">
        <f aca="false">IF($A23="","",IF(AND(MONTH(A22)&gt;3,MONTH(A22)&lt;11),(T22+R22+G22)*Summary!$T$8/(1-Summary!$T$8),(T22+R22+G22)*Summary!$U$8/(1-Summary!$U$8)))</f>
        <v>#N/A</v>
      </c>
      <c r="W22" s="200" t="e">
        <f aca="false">IF($A23="","",(T22+R22+G22+V22))</f>
        <v>#N/A</v>
      </c>
      <c r="X22" s="200" t="e">
        <f aca="false">IF($A23="","",(U22+S22+H22+V22))</f>
        <v>#N/A</v>
      </c>
      <c r="Y22" s="202"/>
      <c r="Z22" s="185" t="e">
        <f aca="false">IF($A23="","",VLOOKUP($A22,Table,MATCH(Z$4,Curves,0)))</f>
        <v>#N/A</v>
      </c>
      <c r="AA22" s="185" t="e">
        <f aca="false">IF($A23="","",VLOOKUP($A22,Table,MATCH(AA$4,Curves,0)))</f>
        <v>#N/A</v>
      </c>
      <c r="AB22" s="185" t="e">
        <f aca="false">SQRT((AA22^2*(A22-$D$3)+Z22^2*(DAY(EOMONTH(A22,0))/2))/AK22)</f>
        <v>#N/A</v>
      </c>
      <c r="AC22" s="185" t="e">
        <f aca="false">IF($A23="","",VLOOKUP($A22,Table,MATCH(AC$4,Curves,0)))</f>
        <v>#N/A</v>
      </c>
      <c r="AD22" s="185" t="e">
        <f aca="false">IF($A23="","",VLOOKUP($A22,Table,MATCH(AD$4,Curves,0)))</f>
        <v>#N/A</v>
      </c>
      <c r="AE22" s="185" t="e">
        <f aca="false">SQRT((AD22^2*(A22-$D$3)+AC22^2*(DAY(EOMONTH(A22,0))/2))/AK22)</f>
        <v>#N/A</v>
      </c>
      <c r="AF22" s="224" t="e">
        <f aca="false">((Summary!$N$8*(AA22*AD22)*(A22-$D$3))+(Summary!$M$8*Z22*AC22*(AJ22-EOMONTH(EDATE(A22,-1),0))))/(AK22*AB22*AE22)</f>
        <v>#N/A</v>
      </c>
      <c r="AG22" s="207" t="n">
        <f aca="false">IF($A23="","",Summary!$Q$8)</f>
        <v>0</v>
      </c>
      <c r="AH22" s="207" t="n">
        <f aca="false">IF($A23="","",IF(Summary!$R$8="Y",(VLOOKUP($A22,Summary!$AD$6:$AF$9,3)+'Escalating commodity'!D35),'Escalating commodity'!D35))</f>
        <v>0.0212</v>
      </c>
      <c r="AI22" s="207" t="n">
        <f aca="false">IF($A23="","",AH22)</f>
        <v>0.0212</v>
      </c>
      <c r="AJ22" s="208" t="n">
        <f aca="false">A22+DAY(EOMONTH(A22,0))/2-1</f>
        <v>37422</v>
      </c>
      <c r="AK22" s="209" t="n">
        <f aca="false">IF($A23="","",$A22-$E$1)</f>
        <v>-8518</v>
      </c>
      <c r="AL22" s="182" t="e">
        <f aca="false">IF($A23="","",SPRDOPT(P22,X22,AI22,0,AB22,AE22,AF22,AK22,$AJ$2,0))</f>
        <v>#NAME?</v>
      </c>
      <c r="AM22" s="211" t="e">
        <f aca="false">IF($A23="","",MAX(0,O22-W22-AI22))</f>
        <v>#N/A</v>
      </c>
      <c r="AN22" s="211" t="e">
        <f aca="false">IF($A23="","",AL22-AM22)</f>
        <v>#N/A</v>
      </c>
      <c r="AO22" s="137" t="n">
        <f aca="false">IF(A23="","",A23-A22)</f>
        <v>30</v>
      </c>
      <c r="AP22" s="212" t="n">
        <f aca="false">IF(A23="","",CHOOSE(F$3,A23+24,A22))</f>
        <v>37408</v>
      </c>
      <c r="AQ22" s="209" t="n">
        <f aca="false">IF(A23="","",AP22-$E$1)</f>
        <v>-8518</v>
      </c>
      <c r="AR22" s="185" t="n">
        <f aca="false">'ANR OK vs ML7'!AR22</f>
        <v>0.1</v>
      </c>
      <c r="AS22" s="213" t="n">
        <f aca="false">IF(A23="","",1/(1+CHOOSE(F$3,(AR23+($I$3/10000))/2,(AR22+($I$3/10000))/2))^(2*AQ22/365.25))</f>
        <v>9.73445940493808</v>
      </c>
      <c r="AT22" s="137" t="n">
        <f aca="false">IF(A23="","",IF(AND(mthbeg&lt;=A22,mthend&gt;=A22),1,0))</f>
        <v>1</v>
      </c>
      <c r="AU22" s="137" t="n">
        <f aca="false">IF(A23="","",AO22*AT22)</f>
        <v>30</v>
      </c>
      <c r="AW22" s="195" t="e">
        <f aca="false">IF($A23="","",AL22*$E22)</f>
        <v>#NAME?</v>
      </c>
      <c r="AX22" s="195" t="e">
        <f aca="false">IF($A23="","",AM22*$E22)</f>
        <v>#N/A</v>
      </c>
      <c r="AY22" s="195" t="e">
        <f aca="false">IF($A23="","",AN22*$E22)</f>
        <v>#N/A</v>
      </c>
      <c r="BA22" s="195" t="n">
        <f aca="false">IF($A23="","",F22*Summary!$Q$8)</f>
        <v>0</v>
      </c>
      <c r="BC22" s="179" t="e">
        <f aca="false">IF(A23="","",AM22*F22)</f>
        <v>#N/A</v>
      </c>
    </row>
    <row r="23" customFormat="false" ht="12.75" hidden="false" customHeight="false" outlineLevel="0" collapsed="false">
      <c r="A23" s="196" t="n">
        <f aca="false">IF(A22&lt;mthend,EDATE(A22,1),"")</f>
        <v>37438</v>
      </c>
      <c r="B23" s="197" t="n">
        <f aca="false">IF(A23&lt;mthend,B22,0)</f>
        <v>80000</v>
      </c>
      <c r="C23" s="215"/>
      <c r="D23" s="197" t="n">
        <f aca="false">IF(A24&lt;&gt;"",B23+C23,"")</f>
        <v>80000</v>
      </c>
      <c r="E23" s="199" t="n">
        <f aca="false">IF(A24="","",IF(AND(AT23=1,$H$3=1),D23*AO23,IF($H$3=2,D23,"N/A")))</f>
        <v>2480000</v>
      </c>
      <c r="F23" s="199" t="n">
        <f aca="false">IF(A24="","",E23*AS23)</f>
        <v>23948743.4042455</v>
      </c>
      <c r="G23" s="200" t="e">
        <f aca="false">IF($A24="","",VLOOKUP($A23,Table,MATCH(G$4,Curves,0)))</f>
        <v>#N/A</v>
      </c>
      <c r="H23" s="201" t="e">
        <f aca="false">IF(A24="","",G23)</f>
        <v>#N/A</v>
      </c>
      <c r="I23" s="202"/>
      <c r="J23" s="200" t="e">
        <f aca="false">IF($A24="","",VLOOKUP($A23,Table,MATCH(J$4,Curves,0)))</f>
        <v>#N/A</v>
      </c>
      <c r="K23" s="201" t="e">
        <f aca="false">IF(A24="","",J23)</f>
        <v>#N/A</v>
      </c>
      <c r="L23" s="200" t="e">
        <f aca="false">IF($A24="","",VLOOKUP($A23,Table,MATCH(L$4,Curves,0)))</f>
        <v>#N/A</v>
      </c>
      <c r="M23" s="201" t="e">
        <f aca="false">IF(A24="","",L23)</f>
        <v>#N/A</v>
      </c>
      <c r="N23" s="203"/>
      <c r="O23" s="200" t="e">
        <f aca="false">IF(A24="","",L23+J23+G23)</f>
        <v>#N/A</v>
      </c>
      <c r="P23" s="200" t="e">
        <f aca="false">IF(A24="","",M23+K23+H23)</f>
        <v>#N/A</v>
      </c>
      <c r="Q23" s="204"/>
      <c r="R23" s="200" t="e">
        <f aca="false">IF($A24="","",VLOOKUP($A23,Table,MATCH(R$4,Curves,0)))</f>
        <v>#N/A</v>
      </c>
      <c r="S23" s="201" t="e">
        <f aca="false">IF(A24="","",R23)</f>
        <v>#N/A</v>
      </c>
      <c r="T23" s="200" t="e">
        <f aca="false">IF($A24="","",VLOOKUP($A23,Table,MATCH(T$4,Curves,0)))</f>
        <v>#N/A</v>
      </c>
      <c r="U23" s="201" t="e">
        <f aca="false">IF(A24="","",T23)</f>
        <v>#N/A</v>
      </c>
      <c r="V23" s="183" t="e">
        <f aca="false">IF($A24="","",IF(AND(MONTH(A23)&gt;3,MONTH(A23)&lt;11),(T23+R23+G23)*Summary!$T$8/(1-Summary!$T$8),(T23+R23+G23)*Summary!$U$8/(1-Summary!$U$8)))</f>
        <v>#N/A</v>
      </c>
      <c r="W23" s="200" t="e">
        <f aca="false">IF($A24="","",(T23+R23+G23+V23))</f>
        <v>#N/A</v>
      </c>
      <c r="X23" s="200" t="e">
        <f aca="false">IF($A24="","",(U23+S23+H23+V23))</f>
        <v>#N/A</v>
      </c>
      <c r="Y23" s="202"/>
      <c r="Z23" s="185" t="e">
        <f aca="false">IF($A24="","",VLOOKUP($A23,Table,MATCH(Z$4,Curves,0)))</f>
        <v>#N/A</v>
      </c>
      <c r="AA23" s="185" t="e">
        <f aca="false">IF($A24="","",VLOOKUP($A23,Table,MATCH(AA$4,Curves,0)))</f>
        <v>#N/A</v>
      </c>
      <c r="AB23" s="185" t="e">
        <f aca="false">SQRT((AA23^2*(A23-$D$3)+Z23^2*(DAY(EOMONTH(A23,0))/2))/AK23)</f>
        <v>#N/A</v>
      </c>
      <c r="AC23" s="185" t="e">
        <f aca="false">IF($A24="","",VLOOKUP($A23,Table,MATCH(AC$4,Curves,0)))</f>
        <v>#N/A</v>
      </c>
      <c r="AD23" s="185" t="e">
        <f aca="false">IF($A24="","",VLOOKUP($A23,Table,MATCH(AD$4,Curves,0)))</f>
        <v>#N/A</v>
      </c>
      <c r="AE23" s="185" t="e">
        <f aca="false">SQRT((AD23^2*(A23-$D$3)+AC23^2*(DAY(EOMONTH(A23,0))/2))/AK23)</f>
        <v>#N/A</v>
      </c>
      <c r="AF23" s="224" t="e">
        <f aca="false">((Summary!$N$8*(AA23*AD23)*(A23-$D$3))+(Summary!$M$8*Z23*AC23*(AJ23-EOMONTH(EDATE(A23,-1),0))))/(AK23*AB23*AE23)</f>
        <v>#N/A</v>
      </c>
      <c r="AG23" s="207" t="n">
        <f aca="false">IF($A24="","",Summary!$Q$8)</f>
        <v>0</v>
      </c>
      <c r="AH23" s="207" t="n">
        <f aca="false">IF($A24="","",IF(Summary!$R$8="Y",(VLOOKUP($A23,Summary!$AD$6:$AF$9,3)+'Escalating commodity'!D36),'Escalating commodity'!D36))</f>
        <v>0.0212</v>
      </c>
      <c r="AI23" s="207" t="n">
        <f aca="false">IF($A24="","",AH23)</f>
        <v>0.0212</v>
      </c>
      <c r="AJ23" s="208" t="n">
        <f aca="false">A23+DAY(EOMONTH(A23,0))/2-1</f>
        <v>37452.5</v>
      </c>
      <c r="AK23" s="209" t="n">
        <f aca="false">IF($A24="","",$A23-$E$1)</f>
        <v>-8488</v>
      </c>
      <c r="AL23" s="182" t="e">
        <f aca="false">IF($A24="","",SPRDOPT(P23,X23,AI23,0,AB23,AE23,AF23,AK23,$AJ$2,0))</f>
        <v>#NAME?</v>
      </c>
      <c r="AM23" s="211" t="e">
        <f aca="false">IF($A24="","",MAX(0,O23-W23-AI23))</f>
        <v>#N/A</v>
      </c>
      <c r="AN23" s="211" t="e">
        <f aca="false">IF($A24="","",AL23-AM23)</f>
        <v>#N/A</v>
      </c>
      <c r="AO23" s="137" t="n">
        <f aca="false">IF(A24="","",A24-A23)</f>
        <v>31</v>
      </c>
      <c r="AP23" s="212" t="n">
        <f aca="false">IF(A24="","",CHOOSE(F$3,A24+24,A23))</f>
        <v>37438</v>
      </c>
      <c r="AQ23" s="209" t="n">
        <f aca="false">IF(A24="","",AP23-$E$1)</f>
        <v>-8488</v>
      </c>
      <c r="AR23" s="185" t="n">
        <f aca="false">'ANR OK vs ML7'!AR23</f>
        <v>0.1</v>
      </c>
      <c r="AS23" s="213" t="n">
        <f aca="false">IF(A24="","",1/(1+CHOOSE(F$3,(AR24+($I$3/10000))/2,(AR23+($I$3/10000))/2))^(2*AQ23/365.25))</f>
        <v>9.65675137267963</v>
      </c>
      <c r="AT23" s="137" t="n">
        <f aca="false">IF(A24="","",IF(AND(mthbeg&lt;=A23,mthend&gt;=A23),1,0))</f>
        <v>1</v>
      </c>
      <c r="AU23" s="137" t="n">
        <f aca="false">IF(A24="","",AO23*AT23)</f>
        <v>31</v>
      </c>
      <c r="AW23" s="195" t="e">
        <f aca="false">IF($A24="","",AL23*$E23)</f>
        <v>#NAME?</v>
      </c>
      <c r="AX23" s="195" t="e">
        <f aca="false">IF($A24="","",AM23*$E23)</f>
        <v>#N/A</v>
      </c>
      <c r="AY23" s="195" t="e">
        <f aca="false">IF($A24="","",AN23*$E23)</f>
        <v>#N/A</v>
      </c>
      <c r="BA23" s="195" t="n">
        <f aca="false">IF($A24="","",F23*Summary!$Q$8)</f>
        <v>0</v>
      </c>
      <c r="BC23" s="179" t="e">
        <f aca="false">IF(A24="","",AM23*F23)</f>
        <v>#N/A</v>
      </c>
    </row>
    <row r="24" customFormat="false" ht="12.75" hidden="false" customHeight="false" outlineLevel="0" collapsed="false">
      <c r="A24" s="196" t="n">
        <f aca="false">IF(A23&lt;mthend,EDATE(A23,1),"")</f>
        <v>37469</v>
      </c>
      <c r="B24" s="197" t="n">
        <f aca="false">IF(A24&lt;mthend,B23,0)</f>
        <v>80000</v>
      </c>
      <c r="C24" s="215"/>
      <c r="D24" s="197" t="n">
        <f aca="false">IF(A25&lt;&gt;"",B24+C24,"")</f>
        <v>80000</v>
      </c>
      <c r="E24" s="199" t="n">
        <f aca="false">IF(A25="","",IF(AND(AT24=1,$H$3=1),D24*AO24,IF($H$3=2,D24,"N/A")))</f>
        <v>2480000</v>
      </c>
      <c r="F24" s="199" t="n">
        <f aca="false">IF(A25="","",E24*AS24)</f>
        <v>23751219.6601943</v>
      </c>
      <c r="G24" s="200" t="e">
        <f aca="false">IF($A25="","",VLOOKUP($A24,Table,MATCH(G$4,Curves,0)))</f>
        <v>#N/A</v>
      </c>
      <c r="H24" s="201" t="e">
        <f aca="false">IF(A25="","",G24)</f>
        <v>#N/A</v>
      </c>
      <c r="I24" s="202"/>
      <c r="J24" s="200" t="e">
        <f aca="false">IF($A25="","",VLOOKUP($A24,Table,MATCH(J$4,Curves,0)))</f>
        <v>#N/A</v>
      </c>
      <c r="K24" s="201" t="e">
        <f aca="false">IF(A25="","",J24)</f>
        <v>#N/A</v>
      </c>
      <c r="L24" s="200" t="e">
        <f aca="false">IF($A25="","",VLOOKUP($A24,Table,MATCH(L$4,Curves,0)))</f>
        <v>#N/A</v>
      </c>
      <c r="M24" s="201" t="e">
        <f aca="false">IF(A25="","",L24)</f>
        <v>#N/A</v>
      </c>
      <c r="N24" s="203"/>
      <c r="O24" s="200" t="e">
        <f aca="false">IF(A25="","",L24+J24+G24)</f>
        <v>#N/A</v>
      </c>
      <c r="P24" s="200" t="e">
        <f aca="false">IF(A25="","",M24+K24+H24)</f>
        <v>#N/A</v>
      </c>
      <c r="Q24" s="204"/>
      <c r="R24" s="200" t="e">
        <f aca="false">IF($A25="","",VLOOKUP($A24,Table,MATCH(R$4,Curves,0)))</f>
        <v>#N/A</v>
      </c>
      <c r="S24" s="201" t="e">
        <f aca="false">IF(A25="","",R24)</f>
        <v>#N/A</v>
      </c>
      <c r="T24" s="200" t="e">
        <f aca="false">IF($A25="","",VLOOKUP($A24,Table,MATCH(T$4,Curves,0)))</f>
        <v>#N/A</v>
      </c>
      <c r="U24" s="201" t="e">
        <f aca="false">IF(A25="","",T24)</f>
        <v>#N/A</v>
      </c>
      <c r="V24" s="183" t="e">
        <f aca="false">IF($A25="","",IF(AND(MONTH(A24)&gt;3,MONTH(A24)&lt;11),(T24+R24+G24)*Summary!$T$8/(1-Summary!$T$8),(T24+R24+G24)*Summary!$U$8/(1-Summary!$U$8)))</f>
        <v>#N/A</v>
      </c>
      <c r="W24" s="200" t="e">
        <f aca="false">IF($A25="","",(T24+R24+G24+V24))</f>
        <v>#N/A</v>
      </c>
      <c r="X24" s="200" t="e">
        <f aca="false">IF($A25="","",(U24+S24+H24+V24))</f>
        <v>#N/A</v>
      </c>
      <c r="Y24" s="202"/>
      <c r="Z24" s="185" t="e">
        <f aca="false">IF($A25="","",VLOOKUP($A24,Table,MATCH(Z$4,Curves,0)))</f>
        <v>#N/A</v>
      </c>
      <c r="AA24" s="185" t="e">
        <f aca="false">IF($A25="","",VLOOKUP($A24,Table,MATCH(AA$4,Curves,0)))</f>
        <v>#N/A</v>
      </c>
      <c r="AB24" s="185" t="e">
        <f aca="false">SQRT((AA24^2*(A24-$D$3)+Z24^2*(DAY(EOMONTH(A24,0))/2))/AK24)</f>
        <v>#N/A</v>
      </c>
      <c r="AC24" s="185" t="e">
        <f aca="false">IF($A25="","",VLOOKUP($A24,Table,MATCH(AC$4,Curves,0)))</f>
        <v>#N/A</v>
      </c>
      <c r="AD24" s="185" t="e">
        <f aca="false">IF($A25="","",VLOOKUP($A24,Table,MATCH(AD$4,Curves,0)))</f>
        <v>#N/A</v>
      </c>
      <c r="AE24" s="185" t="e">
        <f aca="false">SQRT((AD24^2*(A24-$D$3)+AC24^2*(DAY(EOMONTH(A24,0))/2))/AK24)</f>
        <v>#N/A</v>
      </c>
      <c r="AF24" s="224" t="e">
        <f aca="false">((Summary!$N$8*(AA24*AD24)*(A24-$D$3))+(Summary!$M$8*Z24*AC24*(AJ24-EOMONTH(EDATE(A24,-1),0))))/(AK24*AB24*AE24)</f>
        <v>#N/A</v>
      </c>
      <c r="AG24" s="207" t="n">
        <f aca="false">IF($A25="","",Summary!$Q$8)</f>
        <v>0</v>
      </c>
      <c r="AH24" s="207" t="n">
        <f aca="false">IF($A25="","",IF(Summary!$R$8="Y",(VLOOKUP($A24,Summary!$AD$6:$AF$9,3)+'Escalating commodity'!D37),'Escalating commodity'!D37))</f>
        <v>0.0212</v>
      </c>
      <c r="AI24" s="207" t="n">
        <f aca="false">IF($A25="","",AH24)</f>
        <v>0.0212</v>
      </c>
      <c r="AJ24" s="208" t="n">
        <f aca="false">A24+DAY(EOMONTH(A24,0))/2-1</f>
        <v>37483.5</v>
      </c>
      <c r="AK24" s="209" t="n">
        <f aca="false">IF($A25="","",$A24-$E$1)</f>
        <v>-8457</v>
      </c>
      <c r="AL24" s="182" t="e">
        <f aca="false">IF($A25="","",SPRDOPT(P24,X24,AI24,0,AB24,AE24,AF24,AK24,$AJ$2,0))</f>
        <v>#NAME?</v>
      </c>
      <c r="AM24" s="211" t="e">
        <f aca="false">IF($A25="","",MAX(0,O24-W24-AI24))</f>
        <v>#N/A</v>
      </c>
      <c r="AN24" s="211" t="e">
        <f aca="false">IF($A25="","",AL24-AM24)</f>
        <v>#N/A</v>
      </c>
      <c r="AO24" s="137" t="n">
        <f aca="false">IF(A25="","",A25-A24)</f>
        <v>31</v>
      </c>
      <c r="AP24" s="212" t="n">
        <f aca="false">IF(A25="","",CHOOSE(F$3,A25+24,A24))</f>
        <v>37469</v>
      </c>
      <c r="AQ24" s="209" t="n">
        <f aca="false">IF(A25="","",AP24-$E$1)</f>
        <v>-8457</v>
      </c>
      <c r="AR24" s="185" t="n">
        <f aca="false">'ANR OK vs ML7'!AR24</f>
        <v>0.1</v>
      </c>
      <c r="AS24" s="213" t="n">
        <f aca="false">IF(A25="","",1/(1+CHOOSE(F$3,(AR25+($I$3/10000))/2,(AR24+($I$3/10000))/2))^(2*AQ24/365.25))</f>
        <v>9.57710470169126</v>
      </c>
      <c r="AT24" s="137" t="n">
        <f aca="false">IF(A25="","",IF(AND(mthbeg&lt;=A24,mthend&gt;=A24),1,0))</f>
        <v>1</v>
      </c>
      <c r="AU24" s="137" t="n">
        <f aca="false">IF(A25="","",AO24*AT24)</f>
        <v>31</v>
      </c>
      <c r="AW24" s="195" t="e">
        <f aca="false">IF($A25="","",AL24*$E24)</f>
        <v>#NAME?</v>
      </c>
      <c r="AX24" s="195" t="e">
        <f aca="false">IF($A25="","",AM24*$E24)</f>
        <v>#N/A</v>
      </c>
      <c r="AY24" s="195" t="e">
        <f aca="false">IF($A25="","",AN24*$E24)</f>
        <v>#N/A</v>
      </c>
      <c r="BA24" s="195" t="n">
        <f aca="false">IF($A25="","",F24*Summary!$Q$8)</f>
        <v>0</v>
      </c>
      <c r="BC24" s="179" t="e">
        <f aca="false">IF(A25="","",AM24*F24)</f>
        <v>#N/A</v>
      </c>
    </row>
    <row r="25" customFormat="false" ht="12.75" hidden="false" customHeight="false" outlineLevel="0" collapsed="false">
      <c r="A25" s="196" t="n">
        <f aca="false">IF(A24&lt;mthend,EDATE(A24,1),"")</f>
        <v>37500</v>
      </c>
      <c r="B25" s="197" t="n">
        <f aca="false">IF(A25&lt;mthend,B24,0)</f>
        <v>80000</v>
      </c>
      <c r="C25" s="215"/>
      <c r="D25" s="197" t="n">
        <f aca="false">IF(A26&lt;&gt;"",B25+C25,"")</f>
        <v>80000</v>
      </c>
      <c r="E25" s="199" t="n">
        <f aca="false">IF(A26="","",IF(AND(AT25=1,$H$3=1),D25*AO25,IF($H$3=2,D25,"N/A")))</f>
        <v>2400000</v>
      </c>
      <c r="F25" s="199" t="n">
        <f aca="false">IF(A26="","",E25*AS25)</f>
        <v>22795475.8516365</v>
      </c>
      <c r="G25" s="200" t="e">
        <f aca="false">IF($A26="","",VLOOKUP($A25,Table,MATCH(G$4,Curves,0)))</f>
        <v>#N/A</v>
      </c>
      <c r="H25" s="201" t="e">
        <f aca="false">IF(A26="","",G25)</f>
        <v>#N/A</v>
      </c>
      <c r="I25" s="202"/>
      <c r="J25" s="200" t="e">
        <f aca="false">IF($A26="","",VLOOKUP($A25,Table,MATCH(J$4,Curves,0)))</f>
        <v>#N/A</v>
      </c>
      <c r="K25" s="201" t="e">
        <f aca="false">IF(A26="","",J25)</f>
        <v>#N/A</v>
      </c>
      <c r="L25" s="200" t="e">
        <f aca="false">IF($A26="","",VLOOKUP($A25,Table,MATCH(L$4,Curves,0)))</f>
        <v>#N/A</v>
      </c>
      <c r="M25" s="201" t="e">
        <f aca="false">IF(A26="","",L25)</f>
        <v>#N/A</v>
      </c>
      <c r="N25" s="203"/>
      <c r="O25" s="200" t="e">
        <f aca="false">IF(A26="","",L25+J25+G25)</f>
        <v>#N/A</v>
      </c>
      <c r="P25" s="200" t="e">
        <f aca="false">IF(A26="","",M25+K25+H25)</f>
        <v>#N/A</v>
      </c>
      <c r="Q25" s="204"/>
      <c r="R25" s="200" t="e">
        <f aca="false">IF($A26="","",VLOOKUP($A25,Table,MATCH(R$4,Curves,0)))</f>
        <v>#N/A</v>
      </c>
      <c r="S25" s="201" t="e">
        <f aca="false">IF(A26="","",R25)</f>
        <v>#N/A</v>
      </c>
      <c r="T25" s="200" t="e">
        <f aca="false">IF($A26="","",VLOOKUP($A25,Table,MATCH(T$4,Curves,0)))</f>
        <v>#N/A</v>
      </c>
      <c r="U25" s="201" t="e">
        <f aca="false">IF(A26="","",T25)</f>
        <v>#N/A</v>
      </c>
      <c r="V25" s="183" t="e">
        <f aca="false">IF($A26="","",IF(AND(MONTH(A25)&gt;3,MONTH(A25)&lt;11),(T25+R25+G25)*Summary!$T$8/(1-Summary!$T$8),(T25+R25+G25)*Summary!$U$8/(1-Summary!$U$8)))</f>
        <v>#N/A</v>
      </c>
      <c r="W25" s="200" t="e">
        <f aca="false">IF($A26="","",(T25+R25+G25+V25))</f>
        <v>#N/A</v>
      </c>
      <c r="X25" s="200" t="e">
        <f aca="false">IF($A26="","",(U25+S25+H25+V25))</f>
        <v>#N/A</v>
      </c>
      <c r="Y25" s="202"/>
      <c r="Z25" s="185" t="e">
        <f aca="false">IF($A26="","",VLOOKUP($A25,Table,MATCH(Z$4,Curves,0)))</f>
        <v>#N/A</v>
      </c>
      <c r="AA25" s="185" t="e">
        <f aca="false">IF($A26="","",VLOOKUP($A25,Table,MATCH(AA$4,Curves,0)))</f>
        <v>#N/A</v>
      </c>
      <c r="AB25" s="185" t="e">
        <f aca="false">SQRT((AA25^2*(A25-$D$3)+Z25^2*(DAY(EOMONTH(A25,0))/2))/AK25)</f>
        <v>#N/A</v>
      </c>
      <c r="AC25" s="185" t="e">
        <f aca="false">IF($A26="","",VLOOKUP($A25,Table,MATCH(AC$4,Curves,0)))</f>
        <v>#N/A</v>
      </c>
      <c r="AD25" s="185" t="e">
        <f aca="false">IF($A26="","",VLOOKUP($A25,Table,MATCH(AD$4,Curves,0)))</f>
        <v>#N/A</v>
      </c>
      <c r="AE25" s="185" t="e">
        <f aca="false">SQRT((AD25^2*(A25-$D$3)+AC25^2*(DAY(EOMONTH(A25,0))/2))/AK25)</f>
        <v>#N/A</v>
      </c>
      <c r="AF25" s="224" t="e">
        <f aca="false">((Summary!$N$8*(AA25*AD25)*(A25-$D$3))+(Summary!$M$8*Z25*AC25*(AJ25-EOMONTH(EDATE(A25,-1),0))))/(AK25*AB25*AE25)</f>
        <v>#N/A</v>
      </c>
      <c r="AG25" s="207" t="n">
        <f aca="false">IF($A26="","",Summary!$Q$8)</f>
        <v>0</v>
      </c>
      <c r="AH25" s="207" t="n">
        <f aca="false">IF($A26="","",IF(Summary!$R$8="Y",(VLOOKUP($A25,Summary!$AD$6:$AF$9,3)+'Escalating commodity'!D38),'Escalating commodity'!D38))</f>
        <v>0.0212</v>
      </c>
      <c r="AI25" s="207" t="n">
        <f aca="false">IF($A26="","",AH25)</f>
        <v>0.0212</v>
      </c>
      <c r="AJ25" s="208" t="n">
        <f aca="false">A25+DAY(EOMONTH(A25,0))/2-1</f>
        <v>37514</v>
      </c>
      <c r="AK25" s="209" t="n">
        <f aca="false">IF($A26="","",$A25-$E$1)</f>
        <v>-8426</v>
      </c>
      <c r="AL25" s="182" t="e">
        <f aca="false">IF($A26="","",SPRDOPT(P25,X25,AI25,0,AB25,AE25,AF25,AK25,$AJ$2,0))</f>
        <v>#NAME?</v>
      </c>
      <c r="AM25" s="211" t="e">
        <f aca="false">IF($A26="","",MAX(0,O25-W25-AI25))</f>
        <v>#N/A</v>
      </c>
      <c r="AN25" s="211" t="e">
        <f aca="false">IF($A26="","",AL25-AM25)</f>
        <v>#N/A</v>
      </c>
      <c r="AO25" s="137" t="n">
        <f aca="false">IF(A26="","",A26-A25)</f>
        <v>30</v>
      </c>
      <c r="AP25" s="212" t="n">
        <f aca="false">IF(A26="","",CHOOSE(F$3,A26+24,A25))</f>
        <v>37500</v>
      </c>
      <c r="AQ25" s="209" t="n">
        <f aca="false">IF(A26="","",AP25-$E$1)</f>
        <v>-8426</v>
      </c>
      <c r="AR25" s="185" t="n">
        <f aca="false">'ANR OK vs ML7'!AR25</f>
        <v>0.1</v>
      </c>
      <c r="AS25" s="213" t="n">
        <f aca="false">IF(A26="","",1/(1+CHOOSE(F$3,(AR26+($I$3/10000))/2,(AR25+($I$3/10000))/2))^(2*AQ25/365.25))</f>
        <v>9.49811493818189</v>
      </c>
      <c r="AT25" s="137" t="n">
        <f aca="false">IF(A26="","",IF(AND(mthbeg&lt;=A25,mthend&gt;=A25),1,0))</f>
        <v>1</v>
      </c>
      <c r="AU25" s="137" t="n">
        <f aca="false">IF(A26="","",AO25*AT25)</f>
        <v>30</v>
      </c>
      <c r="AW25" s="195" t="e">
        <f aca="false">IF($A26="","",AL25*$E25)</f>
        <v>#NAME?</v>
      </c>
      <c r="AX25" s="195" t="e">
        <f aca="false">IF($A26="","",AM25*$E25)</f>
        <v>#N/A</v>
      </c>
      <c r="AY25" s="195" t="e">
        <f aca="false">IF($A26="","",AN25*$E25)</f>
        <v>#N/A</v>
      </c>
      <c r="BA25" s="195" t="n">
        <f aca="false">IF($A26="","",F25*Summary!$Q$8)</f>
        <v>0</v>
      </c>
      <c r="BC25" s="179" t="e">
        <f aca="false">IF(A26="","",AM25*F25)</f>
        <v>#N/A</v>
      </c>
    </row>
    <row r="26" customFormat="false" ht="12.75" hidden="false" customHeight="false" outlineLevel="0" collapsed="false">
      <c r="A26" s="196" t="n">
        <f aca="false">IF(A25&lt;mthend,EDATE(A25,1),"")</f>
        <v>37530</v>
      </c>
      <c r="B26" s="197" t="n">
        <f aca="false">IF(A26&lt;mthend,B25,0)</f>
        <v>80000</v>
      </c>
      <c r="C26" s="215"/>
      <c r="D26" s="197" t="n">
        <f aca="false">IF(A27&lt;&gt;"",B26+C26,"")</f>
        <v>80000</v>
      </c>
      <c r="E26" s="199" t="n">
        <f aca="false">IF(A27="","",IF(AND(AT26=1,$H$3=1),D26*AO26,IF($H$3=2,D26,"N/A")))</f>
        <v>2480000</v>
      </c>
      <c r="F26" s="199" t="n">
        <f aca="false">IF(A27="","",E26*AS26)</f>
        <v>23367288.1067396</v>
      </c>
      <c r="G26" s="200" t="e">
        <f aca="false">IF($A27="","",VLOOKUP($A26,Table,MATCH(G$4,Curves,0)))</f>
        <v>#N/A</v>
      </c>
      <c r="H26" s="201" t="e">
        <f aca="false">IF(A27="","",G26)</f>
        <v>#N/A</v>
      </c>
      <c r="I26" s="202"/>
      <c r="J26" s="200" t="e">
        <f aca="false">IF($A27="","",VLOOKUP($A26,Table,MATCH(J$4,Curves,0)))</f>
        <v>#N/A</v>
      </c>
      <c r="K26" s="201" t="e">
        <f aca="false">IF(A27="","",J26)</f>
        <v>#N/A</v>
      </c>
      <c r="L26" s="200" t="e">
        <f aca="false">IF($A27="","",VLOOKUP($A26,Table,MATCH(L$4,Curves,0)))</f>
        <v>#N/A</v>
      </c>
      <c r="M26" s="201" t="e">
        <f aca="false">IF(A27="","",L26)</f>
        <v>#N/A</v>
      </c>
      <c r="N26" s="203"/>
      <c r="O26" s="200" t="e">
        <f aca="false">IF(A27="","",L26+J26+G26)</f>
        <v>#N/A</v>
      </c>
      <c r="P26" s="200" t="e">
        <f aca="false">IF(A27="","",M26+K26+H26)</f>
        <v>#N/A</v>
      </c>
      <c r="Q26" s="204"/>
      <c r="R26" s="200" t="e">
        <f aca="false">IF($A27="","",VLOOKUP($A26,Table,MATCH(R$4,Curves,0)))</f>
        <v>#N/A</v>
      </c>
      <c r="S26" s="201" t="e">
        <f aca="false">IF(A27="","",R26)</f>
        <v>#N/A</v>
      </c>
      <c r="T26" s="200" t="e">
        <f aca="false">IF($A27="","",VLOOKUP($A26,Table,MATCH(T$4,Curves,0)))</f>
        <v>#N/A</v>
      </c>
      <c r="U26" s="201" t="e">
        <f aca="false">IF(A27="","",T26)</f>
        <v>#N/A</v>
      </c>
      <c r="V26" s="183" t="e">
        <f aca="false">IF($A27="","",IF(AND(MONTH(A26)&gt;3,MONTH(A26)&lt;11),(T26+R26+G26)*Summary!$T$8/(1-Summary!$T$8),(T26+R26+G26)*Summary!$U$8/(1-Summary!$U$8)))</f>
        <v>#N/A</v>
      </c>
      <c r="W26" s="200" t="e">
        <f aca="false">IF($A27="","",(T26+R26+G26+V26))</f>
        <v>#N/A</v>
      </c>
      <c r="X26" s="200" t="e">
        <f aca="false">IF($A27="","",(U26+S26+H26+V26))</f>
        <v>#N/A</v>
      </c>
      <c r="Y26" s="202"/>
      <c r="Z26" s="185" t="e">
        <f aca="false">IF($A27="","",VLOOKUP($A26,Table,MATCH(Z$4,Curves,0)))</f>
        <v>#N/A</v>
      </c>
      <c r="AA26" s="185" t="e">
        <f aca="false">IF($A27="","",VLOOKUP($A26,Table,MATCH(AA$4,Curves,0)))</f>
        <v>#N/A</v>
      </c>
      <c r="AB26" s="185" t="e">
        <f aca="false">SQRT((AA26^2*(A26-$D$3)+Z26^2*(DAY(EOMONTH(A26,0))/2))/AK26)</f>
        <v>#N/A</v>
      </c>
      <c r="AC26" s="185" t="e">
        <f aca="false">IF($A27="","",VLOOKUP($A26,Table,MATCH(AC$4,Curves,0)))</f>
        <v>#N/A</v>
      </c>
      <c r="AD26" s="185" t="e">
        <f aca="false">IF($A27="","",VLOOKUP($A26,Table,MATCH(AD$4,Curves,0)))</f>
        <v>#N/A</v>
      </c>
      <c r="AE26" s="185" t="e">
        <f aca="false">SQRT((AD26^2*(A26-$D$3)+AC26^2*(DAY(EOMONTH(A26,0))/2))/AK26)</f>
        <v>#N/A</v>
      </c>
      <c r="AF26" s="224" t="e">
        <f aca="false">((Summary!$N$8*(AA26*AD26)*(A26-$D$3))+(Summary!$M$8*Z26*AC26*(AJ26-EOMONTH(EDATE(A26,-1),0))))/(AK26*AB26*AE26)</f>
        <v>#N/A</v>
      </c>
      <c r="AG26" s="207" t="n">
        <f aca="false">IF($A27="","",Summary!$Q$8)</f>
        <v>0</v>
      </c>
      <c r="AH26" s="207" t="n">
        <f aca="false">IF($A27="","",IF(Summary!$R$8="Y",(VLOOKUP($A26,Summary!$AD$6:$AF$9,3)+'Escalating commodity'!D39),'Escalating commodity'!D39))</f>
        <v>0.0212</v>
      </c>
      <c r="AI26" s="207" t="n">
        <f aca="false">IF($A27="","",AH26)</f>
        <v>0.0212</v>
      </c>
      <c r="AJ26" s="208" t="n">
        <f aca="false">A26+DAY(EOMONTH(A26,0))/2-1</f>
        <v>37544.5</v>
      </c>
      <c r="AK26" s="209" t="n">
        <f aca="false">IF($A27="","",$A26-$E$1)</f>
        <v>-8396</v>
      </c>
      <c r="AL26" s="182" t="e">
        <f aca="false">IF($A27="","",SPRDOPT(P26,X26,AI26,0,AB26,AE26,AF26,AK26,$AJ$2,0))</f>
        <v>#NAME?</v>
      </c>
      <c r="AM26" s="211" t="e">
        <f aca="false">IF($A27="","",MAX(0,O26-W26-AI26))</f>
        <v>#N/A</v>
      </c>
      <c r="AN26" s="211" t="e">
        <f aca="false">IF($A27="","",AL26-AM26)</f>
        <v>#N/A</v>
      </c>
      <c r="AO26" s="137" t="n">
        <f aca="false">IF(A27="","",A27-A26)</f>
        <v>31</v>
      </c>
      <c r="AP26" s="212" t="n">
        <f aca="false">IF(A27="","",CHOOSE(F$3,A27+24,A26))</f>
        <v>37530</v>
      </c>
      <c r="AQ26" s="209" t="n">
        <f aca="false">IF(A27="","",AP26-$E$1)</f>
        <v>-8396</v>
      </c>
      <c r="AR26" s="185" t="n">
        <f aca="false">'ANR OK vs ML7'!AR26</f>
        <v>0.1</v>
      </c>
      <c r="AS26" s="213" t="n">
        <f aca="false">IF(A27="","",1/(1+CHOOSE(F$3,(AR27+($I$3/10000))/2,(AR26+($I$3/10000))/2))^(2*AQ26/365.25))</f>
        <v>9.42229359142726</v>
      </c>
      <c r="AT26" s="137" t="n">
        <f aca="false">IF(A27="","",IF(AND(mthbeg&lt;=A26,mthend&gt;=A26),1,0))</f>
        <v>1</v>
      </c>
      <c r="AU26" s="137" t="n">
        <f aca="false">IF(A27="","",AO26*AT26)</f>
        <v>31</v>
      </c>
      <c r="AW26" s="195" t="e">
        <f aca="false">IF($A27="","",AL26*$E26)</f>
        <v>#NAME?</v>
      </c>
      <c r="AX26" s="195" t="e">
        <f aca="false">IF($A27="","",AM26*$E26)</f>
        <v>#N/A</v>
      </c>
      <c r="AY26" s="195" t="e">
        <f aca="false">IF($A27="","",AN26*$E26)</f>
        <v>#N/A</v>
      </c>
      <c r="BA26" s="195" t="n">
        <f aca="false">IF($A27="","",F26*Summary!$Q$8)</f>
        <v>0</v>
      </c>
      <c r="BC26" s="179" t="e">
        <f aca="false">IF(A27="","",AM26*F26)</f>
        <v>#N/A</v>
      </c>
    </row>
    <row r="27" customFormat="false" ht="12.75" hidden="false" customHeight="false" outlineLevel="0" collapsed="false">
      <c r="A27" s="196" t="n">
        <f aca="false">IF(A26&lt;mthend,EDATE(A26,1),"")</f>
        <v>37561</v>
      </c>
      <c r="B27" s="197" t="n">
        <f aca="false">IF(A27&lt;mthend,B26,0)</f>
        <v>80000</v>
      </c>
      <c r="C27" s="215"/>
      <c r="D27" s="197" t="n">
        <f aca="false">IF(A28&lt;&gt;"",B27+C27,"")</f>
        <v>80000</v>
      </c>
      <c r="E27" s="199" t="n">
        <f aca="false">IF(A28="","",IF(AND(AT27=1,$H$3=1),D27*AO27,IF($H$3=2,D27,"N/A")))</f>
        <v>2400000</v>
      </c>
      <c r="F27" s="199" t="n">
        <f aca="false">IF(A28="","",E27*AS27)</f>
        <v>22426993.6186956</v>
      </c>
      <c r="G27" s="200" t="e">
        <f aca="false">IF($A28="","",VLOOKUP($A27,Table,MATCH(G$4,Curves,0)))</f>
        <v>#N/A</v>
      </c>
      <c r="H27" s="201" t="e">
        <f aca="false">IF(A28="","",G27)</f>
        <v>#N/A</v>
      </c>
      <c r="I27" s="202"/>
      <c r="J27" s="200" t="e">
        <f aca="false">IF($A28="","",VLOOKUP($A27,Table,MATCH(J$4,Curves,0)))</f>
        <v>#N/A</v>
      </c>
      <c r="K27" s="201" t="e">
        <f aca="false">IF(A28="","",J27)</f>
        <v>#N/A</v>
      </c>
      <c r="L27" s="200" t="e">
        <f aca="false">IF($A28="","",VLOOKUP($A27,Table,MATCH(L$4,Curves,0)))</f>
        <v>#N/A</v>
      </c>
      <c r="M27" s="201" t="e">
        <f aca="false">IF(A28="","",L27)</f>
        <v>#N/A</v>
      </c>
      <c r="N27" s="203"/>
      <c r="O27" s="200" t="e">
        <f aca="false">IF(A28="","",L27+J27+G27)</f>
        <v>#N/A</v>
      </c>
      <c r="P27" s="200" t="e">
        <f aca="false">IF(A28="","",M27+K27+H27)</f>
        <v>#N/A</v>
      </c>
      <c r="Q27" s="204"/>
      <c r="R27" s="200" t="e">
        <f aca="false">IF($A28="","",VLOOKUP($A27,Table,MATCH(R$4,Curves,0)))</f>
        <v>#N/A</v>
      </c>
      <c r="S27" s="201" t="e">
        <f aca="false">IF(A28="","",R27)</f>
        <v>#N/A</v>
      </c>
      <c r="T27" s="200" t="e">
        <f aca="false">IF($A28="","",VLOOKUP($A27,Table,MATCH(T$4,Curves,0)))</f>
        <v>#N/A</v>
      </c>
      <c r="U27" s="201" t="e">
        <f aca="false">IF(A28="","",T27)</f>
        <v>#N/A</v>
      </c>
      <c r="V27" s="183" t="e">
        <f aca="false">IF($A28="","",IF(AND(MONTH(A27)&gt;3,MONTH(A27)&lt;11),(T27+R27+G27)*Summary!$T$8/(1-Summary!$T$8),(T27+R27+G27)*Summary!$U$8/(1-Summary!$U$8)))</f>
        <v>#N/A</v>
      </c>
      <c r="W27" s="200" t="e">
        <f aca="false">IF($A28="","",(T27+R27+G27+V27))</f>
        <v>#N/A</v>
      </c>
      <c r="X27" s="200" t="e">
        <f aca="false">IF($A28="","",(U27+S27+H27+V27))</f>
        <v>#N/A</v>
      </c>
      <c r="Y27" s="202"/>
      <c r="Z27" s="185" t="e">
        <f aca="false">IF($A28="","",VLOOKUP($A27,Table,MATCH(Z$4,Curves,0)))</f>
        <v>#N/A</v>
      </c>
      <c r="AA27" s="185" t="e">
        <f aca="false">IF($A28="","",VLOOKUP($A27,Table,MATCH(AA$4,Curves,0)))</f>
        <v>#N/A</v>
      </c>
      <c r="AB27" s="185" t="e">
        <f aca="false">SQRT((AA27^2*(A27-$D$3)+Z27^2*(DAY(EOMONTH(A27,0))/2))/AK27)</f>
        <v>#N/A</v>
      </c>
      <c r="AC27" s="185" t="e">
        <f aca="false">IF($A28="","",VLOOKUP($A27,Table,MATCH(AC$4,Curves,0)))</f>
        <v>#N/A</v>
      </c>
      <c r="AD27" s="185" t="e">
        <f aca="false">IF($A28="","",VLOOKUP($A27,Table,MATCH(AD$4,Curves,0)))</f>
        <v>#N/A</v>
      </c>
      <c r="AE27" s="185" t="e">
        <f aca="false">SQRT((AD27^2*(A27-$D$3)+AC27^2*(DAY(EOMONTH(A27,0))/2))/AK27)</f>
        <v>#N/A</v>
      </c>
      <c r="AF27" s="224" t="e">
        <f aca="false">((Summary!$N$8*(AA27*AD27)*(A27-$D$3))+(Summary!$M$8*Z27*AC27*(AJ27-EOMONTH(EDATE(A27,-1),0))))/(AK27*AB27*AE27)</f>
        <v>#N/A</v>
      </c>
      <c r="AG27" s="207" t="n">
        <f aca="false">IF($A28="","",Summary!$Q$8)</f>
        <v>0</v>
      </c>
      <c r="AH27" s="207" t="n">
        <f aca="false">IF($A28="","",IF(Summary!$R$8="Y",(VLOOKUP($A27,Summary!$AD$6:$AF$9,3)+'Escalating commodity'!D40),'Escalating commodity'!D40))</f>
        <v>0.0212</v>
      </c>
      <c r="AI27" s="207" t="n">
        <f aca="false">IF($A28="","",AH27)</f>
        <v>0.0212</v>
      </c>
      <c r="AJ27" s="208" t="n">
        <f aca="false">A27+DAY(EOMONTH(A27,0))/2-1</f>
        <v>37575</v>
      </c>
      <c r="AK27" s="209" t="n">
        <f aca="false">IF($A28="","",$A27-$E$1)</f>
        <v>-8365</v>
      </c>
      <c r="AL27" s="182" t="e">
        <f aca="false">IF($A28="","",SPRDOPT(P27,X27,AI27,0,AB27,AE27,AF27,AK27,$AJ$2,0))</f>
        <v>#NAME?</v>
      </c>
      <c r="AM27" s="211" t="e">
        <f aca="false">IF($A28="","",MAX(0,O27-W27-AI27))</f>
        <v>#N/A</v>
      </c>
      <c r="AN27" s="211" t="e">
        <f aca="false">IF($A28="","",AL27-AM27)</f>
        <v>#N/A</v>
      </c>
      <c r="AO27" s="137" t="n">
        <f aca="false">IF(A28="","",A28-A27)</f>
        <v>30</v>
      </c>
      <c r="AP27" s="212" t="n">
        <f aca="false">IF(A28="","",CHOOSE(F$3,A28+24,A27))</f>
        <v>37561</v>
      </c>
      <c r="AQ27" s="209" t="n">
        <f aca="false">IF(A28="","",AP27-$E$1)</f>
        <v>-8365</v>
      </c>
      <c r="AR27" s="185" t="n">
        <f aca="false">'ANR OK vs ML7'!AR27</f>
        <v>0.1</v>
      </c>
      <c r="AS27" s="213" t="n">
        <f aca="false">IF(A28="","",1/(1+CHOOSE(F$3,(AR28+($I$3/10000))/2,(AR27+($I$3/10000))/2))^(2*AQ27/365.25))</f>
        <v>9.34458067445651</v>
      </c>
      <c r="AT27" s="137" t="n">
        <f aca="false">IF(A28="","",IF(AND(mthbeg&lt;=A27,mthend&gt;=A27),1,0))</f>
        <v>1</v>
      </c>
      <c r="AU27" s="137" t="n">
        <f aca="false">IF(A28="","",AO27*AT27)</f>
        <v>30</v>
      </c>
      <c r="AW27" s="195" t="e">
        <f aca="false">IF($A28="","",AL27*$E27)</f>
        <v>#NAME?</v>
      </c>
      <c r="AX27" s="195" t="e">
        <f aca="false">IF($A28="","",AM27*$E27)</f>
        <v>#N/A</v>
      </c>
      <c r="AY27" s="195" t="e">
        <f aca="false">IF($A28="","",AN27*$E27)</f>
        <v>#N/A</v>
      </c>
      <c r="BA27" s="195" t="n">
        <f aca="false">IF($A28="","",F27*Summary!$Q$8)</f>
        <v>0</v>
      </c>
      <c r="BC27" s="179" t="e">
        <f aca="false">IF(A28="","",AM27*F27)</f>
        <v>#N/A</v>
      </c>
    </row>
    <row r="28" customFormat="false" ht="12.75" hidden="false" customHeight="false" outlineLevel="0" collapsed="false">
      <c r="A28" s="196" t="n">
        <f aca="false">IF(A27&lt;mthend,EDATE(A27,1),"")</f>
        <v>37591</v>
      </c>
      <c r="B28" s="197" t="n">
        <f aca="false">IF(A28&lt;mthend,B27,0)</f>
        <v>80000</v>
      </c>
      <c r="C28" s="215"/>
      <c r="D28" s="197" t="n">
        <f aca="false">IF(A29&lt;&gt;"",B28+C28,"")</f>
        <v>80000</v>
      </c>
      <c r="E28" s="199" t="n">
        <f aca="false">IF(A29="","",IF(AND(AT28=1,$H$3=1),D28*AO28,IF($H$3=2,D28,"N/A")))</f>
        <v>2480000</v>
      </c>
      <c r="F28" s="199" t="n">
        <f aca="false">IF(A29="","",E28*AS28)</f>
        <v>22989562.6951103</v>
      </c>
      <c r="G28" s="200" t="e">
        <f aca="false">IF($A29="","",VLOOKUP($A28,Table,MATCH(G$4,Curves,0)))</f>
        <v>#N/A</v>
      </c>
      <c r="H28" s="201" t="e">
        <f aca="false">IF(A29="","",G28)</f>
        <v>#N/A</v>
      </c>
      <c r="I28" s="202"/>
      <c r="J28" s="200" t="e">
        <f aca="false">IF($A29="","",VLOOKUP($A28,Table,MATCH(J$4,Curves,0)))</f>
        <v>#N/A</v>
      </c>
      <c r="K28" s="201" t="e">
        <f aca="false">IF(A29="","",J28)</f>
        <v>#N/A</v>
      </c>
      <c r="L28" s="200" t="e">
        <f aca="false">IF($A29="","",VLOOKUP($A28,Table,MATCH(L$4,Curves,0)))</f>
        <v>#N/A</v>
      </c>
      <c r="M28" s="201" t="e">
        <f aca="false">IF(A29="","",L28)</f>
        <v>#N/A</v>
      </c>
      <c r="N28" s="203"/>
      <c r="O28" s="200" t="e">
        <f aca="false">IF(A29="","",L28+J28+G28)</f>
        <v>#N/A</v>
      </c>
      <c r="P28" s="200" t="e">
        <f aca="false">IF(A29="","",M28+K28+H28)</f>
        <v>#N/A</v>
      </c>
      <c r="Q28" s="204"/>
      <c r="R28" s="200" t="e">
        <f aca="false">IF($A29="","",VLOOKUP($A28,Table,MATCH(R$4,Curves,0)))</f>
        <v>#N/A</v>
      </c>
      <c r="S28" s="201" t="e">
        <f aca="false">IF(A29="","",R28)</f>
        <v>#N/A</v>
      </c>
      <c r="T28" s="200" t="e">
        <f aca="false">IF($A29="","",VLOOKUP($A28,Table,MATCH(T$4,Curves,0)))</f>
        <v>#N/A</v>
      </c>
      <c r="U28" s="201" t="e">
        <f aca="false">IF(A29="","",T28)</f>
        <v>#N/A</v>
      </c>
      <c r="V28" s="183" t="e">
        <f aca="false">IF($A29="","",IF(AND(MONTH(A28)&gt;3,MONTH(A28)&lt;11),(T28+R28+G28)*Summary!$T$8/(1-Summary!$T$8),(T28+R28+G28)*Summary!$U$8/(1-Summary!$U$8)))</f>
        <v>#N/A</v>
      </c>
      <c r="W28" s="200" t="e">
        <f aca="false">IF($A29="","",(T28+R28+G28+V28))</f>
        <v>#N/A</v>
      </c>
      <c r="X28" s="200" t="e">
        <f aca="false">IF($A29="","",(U28+S28+H28+V28))</f>
        <v>#N/A</v>
      </c>
      <c r="Y28" s="202"/>
      <c r="Z28" s="185" t="e">
        <f aca="false">IF($A29="","",VLOOKUP($A28,Table,MATCH(Z$4,Curves,0)))</f>
        <v>#N/A</v>
      </c>
      <c r="AA28" s="185" t="e">
        <f aca="false">IF($A29="","",VLOOKUP($A28,Table,MATCH(AA$4,Curves,0)))</f>
        <v>#N/A</v>
      </c>
      <c r="AB28" s="185" t="e">
        <f aca="false">SQRT((AA28^2*(A28-$D$3)+Z28^2*(DAY(EOMONTH(A28,0))/2))/AK28)</f>
        <v>#N/A</v>
      </c>
      <c r="AC28" s="185" t="e">
        <f aca="false">IF($A29="","",VLOOKUP($A28,Table,MATCH(AC$4,Curves,0)))</f>
        <v>#N/A</v>
      </c>
      <c r="AD28" s="185" t="e">
        <f aca="false">IF($A29="","",VLOOKUP($A28,Table,MATCH(AD$4,Curves,0)))</f>
        <v>#N/A</v>
      </c>
      <c r="AE28" s="185" t="e">
        <f aca="false">SQRT((AD28^2*(A28-$D$3)+AC28^2*(DAY(EOMONTH(A28,0))/2))/AK28)</f>
        <v>#N/A</v>
      </c>
      <c r="AF28" s="224" t="e">
        <f aca="false">((Summary!$N$8*(AA28*AD28)*(A28-$D$3))+(Summary!$M$8*Z28*AC28*(AJ28-EOMONTH(EDATE(A28,-1),0))))/(AK28*AB28*AE28)</f>
        <v>#N/A</v>
      </c>
      <c r="AG28" s="207" t="n">
        <f aca="false">IF($A29="","",Summary!$Q$8)</f>
        <v>0</v>
      </c>
      <c r="AH28" s="207" t="n">
        <f aca="false">IF($A29="","",IF(Summary!$R$8="Y",(VLOOKUP($A28,Summary!$AD$6:$AF$9,3)+'Escalating commodity'!D41),'Escalating commodity'!D41))</f>
        <v>0.0212</v>
      </c>
      <c r="AI28" s="207" t="n">
        <f aca="false">IF($A29="","",AH28)</f>
        <v>0.0212</v>
      </c>
      <c r="AJ28" s="208" t="n">
        <f aca="false">A28+DAY(EOMONTH(A28,0))/2-1</f>
        <v>37605.5</v>
      </c>
      <c r="AK28" s="209" t="n">
        <f aca="false">IF($A29="","",$A28-$E$1)</f>
        <v>-8335</v>
      </c>
      <c r="AL28" s="182" t="e">
        <f aca="false">IF($A29="","",SPRDOPT(P28,X28,AI28,0,AB28,AE28,AF28,AK28,$AJ$2,0))</f>
        <v>#NAME?</v>
      </c>
      <c r="AM28" s="211" t="e">
        <f aca="false">IF($A29="","",MAX(0,O28-W28-AI28))</f>
        <v>#N/A</v>
      </c>
      <c r="AN28" s="211" t="e">
        <f aca="false">IF($A29="","",AL28-AM28)</f>
        <v>#N/A</v>
      </c>
      <c r="AO28" s="137" t="n">
        <f aca="false">IF(A29="","",A29-A28)</f>
        <v>31</v>
      </c>
      <c r="AP28" s="212" t="n">
        <f aca="false">IF(A29="","",CHOOSE(F$3,A29+24,A28))</f>
        <v>37591</v>
      </c>
      <c r="AQ28" s="209" t="n">
        <f aca="false">IF(A29="","",AP28-$E$1)</f>
        <v>-8335</v>
      </c>
      <c r="AR28" s="185" t="n">
        <f aca="false">'ANR OK vs ML7'!AR28</f>
        <v>0.1</v>
      </c>
      <c r="AS28" s="213" t="n">
        <f aca="false">IF(A29="","",1/(1+CHOOSE(F$3,(AR29+($I$3/10000))/2,(AR28+($I$3/10000))/2))^(2*AQ28/365.25))</f>
        <v>9.26998495770576</v>
      </c>
      <c r="AT28" s="137" t="n">
        <f aca="false">IF(A29="","",IF(AND(mthbeg&lt;=A28,mthend&gt;=A28),1,0))</f>
        <v>1</v>
      </c>
      <c r="AU28" s="137" t="n">
        <f aca="false">IF(A29="","",AO28*AT28)</f>
        <v>31</v>
      </c>
      <c r="AW28" s="195" t="e">
        <f aca="false">IF($A29="","",AL28*$E28)</f>
        <v>#NAME?</v>
      </c>
      <c r="AX28" s="195" t="e">
        <f aca="false">IF($A29="","",AM28*$E28)</f>
        <v>#N/A</v>
      </c>
      <c r="AY28" s="195" t="e">
        <f aca="false">IF($A29="","",AN28*$E28)</f>
        <v>#N/A</v>
      </c>
      <c r="BA28" s="195" t="n">
        <f aca="false">IF($A29="","",F28*Summary!$Q$8)</f>
        <v>0</v>
      </c>
      <c r="BC28" s="179" t="e">
        <f aca="false">IF(A29="","",AM28*F28)</f>
        <v>#N/A</v>
      </c>
    </row>
    <row r="29" customFormat="false" ht="12.75" hidden="false" customHeight="false" outlineLevel="0" collapsed="false">
      <c r="A29" s="196" t="n">
        <f aca="false">IF(A28&lt;mthend,EDATE(A28,1),"")</f>
        <v>37622</v>
      </c>
      <c r="B29" s="197" t="n">
        <f aca="false">IF(A29&lt;mthend,B28,0)</f>
        <v>80000</v>
      </c>
      <c r="C29" s="215"/>
      <c r="D29" s="197" t="n">
        <f aca="false">IF(A30&lt;&gt;"",B29+C29,"")</f>
        <v>80000</v>
      </c>
      <c r="E29" s="199" t="n">
        <f aca="false">IF(A30="","",IF(AND(AT29=1,$H$3=1),D29*AO29,IF($H$3=2,D29,"N/A")))</f>
        <v>2480000</v>
      </c>
      <c r="F29" s="199" t="n">
        <f aca="false">IF(A30="","",E29*AS29)</f>
        <v>22799950.0536039</v>
      </c>
      <c r="G29" s="200" t="e">
        <f aca="false">IF($A30="","",VLOOKUP($A29,Table,MATCH(G$4,Curves,0)))</f>
        <v>#N/A</v>
      </c>
      <c r="H29" s="201" t="e">
        <f aca="false">IF(A30="","",G29)</f>
        <v>#N/A</v>
      </c>
      <c r="I29" s="202"/>
      <c r="J29" s="200" t="e">
        <f aca="false">IF($A30="","",VLOOKUP($A29,Table,MATCH(J$4,Curves,0)))</f>
        <v>#N/A</v>
      </c>
      <c r="K29" s="201" t="e">
        <f aca="false">IF(A30="","",J29)</f>
        <v>#N/A</v>
      </c>
      <c r="L29" s="200" t="e">
        <f aca="false">IF($A30="","",VLOOKUP($A29,Table,MATCH(L$4,Curves,0)))</f>
        <v>#N/A</v>
      </c>
      <c r="M29" s="201" t="e">
        <f aca="false">IF(A30="","",L29)</f>
        <v>#N/A</v>
      </c>
      <c r="N29" s="203"/>
      <c r="O29" s="200" t="e">
        <f aca="false">IF(A30="","",L29+J29+G29)</f>
        <v>#N/A</v>
      </c>
      <c r="P29" s="200" t="e">
        <f aca="false">IF(A30="","",M29+K29+H29)</f>
        <v>#N/A</v>
      </c>
      <c r="Q29" s="204"/>
      <c r="R29" s="200" t="e">
        <f aca="false">IF($A30="","",VLOOKUP($A29,Table,MATCH(R$4,Curves,0)))</f>
        <v>#N/A</v>
      </c>
      <c r="S29" s="201" t="e">
        <f aca="false">IF(A30="","",R29)</f>
        <v>#N/A</v>
      </c>
      <c r="T29" s="200" t="e">
        <f aca="false">IF($A30="","",VLOOKUP($A29,Table,MATCH(T$4,Curves,0)))</f>
        <v>#N/A</v>
      </c>
      <c r="U29" s="201" t="e">
        <f aca="false">IF(A30="","",T29)</f>
        <v>#N/A</v>
      </c>
      <c r="V29" s="183" t="e">
        <f aca="false">IF($A30="","",IF(AND(MONTH(A29)&gt;3,MONTH(A29)&lt;11),(T29+R29+G29)*Summary!$T$8/(1-Summary!$T$8),(T29+R29+G29)*Summary!$U$8/(1-Summary!$U$8)))</f>
        <v>#N/A</v>
      </c>
      <c r="W29" s="200" t="e">
        <f aca="false">IF($A30="","",(T29+R29+G29+V29))</f>
        <v>#N/A</v>
      </c>
      <c r="X29" s="200" t="e">
        <f aca="false">IF($A30="","",(U29+S29+H29+V29))</f>
        <v>#N/A</v>
      </c>
      <c r="Y29" s="202"/>
      <c r="Z29" s="185" t="e">
        <f aca="false">IF($A30="","",VLOOKUP($A29,Table,MATCH(Z$4,Curves,0)))</f>
        <v>#N/A</v>
      </c>
      <c r="AA29" s="185" t="e">
        <f aca="false">IF($A30="","",VLOOKUP($A29,Table,MATCH(AA$4,Curves,0)))</f>
        <v>#N/A</v>
      </c>
      <c r="AB29" s="185" t="e">
        <f aca="false">SQRT((AA29^2*(A29-$D$3)+Z29^2*(DAY(EOMONTH(A29,0))/2))/AK29)</f>
        <v>#N/A</v>
      </c>
      <c r="AC29" s="185" t="e">
        <f aca="false">IF($A30="","",VLOOKUP($A29,Table,MATCH(AC$4,Curves,0)))</f>
        <v>#N/A</v>
      </c>
      <c r="AD29" s="185" t="e">
        <f aca="false">IF($A30="","",VLOOKUP($A29,Table,MATCH(AD$4,Curves,0)))</f>
        <v>#N/A</v>
      </c>
      <c r="AE29" s="185" t="e">
        <f aca="false">SQRT((AD29^2*(A29-$D$3)+AC29^2*(DAY(EOMONTH(A29,0))/2))/AK29)</f>
        <v>#N/A</v>
      </c>
      <c r="AF29" s="224" t="e">
        <f aca="false">((Summary!$N$8*(AA29*AD29)*(A29-$D$3))+(Summary!$M$8*Z29*AC29*(AJ29-EOMONTH(EDATE(A29,-1),0))))/(AK29*AB29*AE29)</f>
        <v>#N/A</v>
      </c>
      <c r="AG29" s="207" t="n">
        <f aca="false">IF($A30="","",Summary!$Q$8)</f>
        <v>0</v>
      </c>
      <c r="AH29" s="207" t="n">
        <f aca="false">IF($A30="","",IF(Summary!$R$8="Y",(VLOOKUP($A29,Summary!$AD$6:$AF$9,3)+'Escalating commodity'!D42),'Escalating commodity'!D42))</f>
        <v>0.020686</v>
      </c>
      <c r="AI29" s="207" t="n">
        <f aca="false">IF($A30="","",AH29)</f>
        <v>0.020686</v>
      </c>
      <c r="AJ29" s="208" t="n">
        <f aca="false">A29+DAY(EOMONTH(A29,0))/2-1</f>
        <v>37636.5</v>
      </c>
      <c r="AK29" s="209" t="n">
        <f aca="false">IF($A30="","",$A29-$E$1)</f>
        <v>-8304</v>
      </c>
      <c r="AL29" s="182" t="e">
        <f aca="false">IF($A30="","",SPRDOPT(P29,X29,AI29,0,AB29,AE29,AF29,AK29,$AJ$2,0))</f>
        <v>#NAME?</v>
      </c>
      <c r="AM29" s="211" t="e">
        <f aca="false">IF($A30="","",MAX(0,O29-W29-AI29))</f>
        <v>#N/A</v>
      </c>
      <c r="AN29" s="211" t="e">
        <f aca="false">IF($A30="","",AL29-AM29)</f>
        <v>#N/A</v>
      </c>
      <c r="AO29" s="137" t="n">
        <f aca="false">IF(A30="","",A30-A29)</f>
        <v>31</v>
      </c>
      <c r="AP29" s="212" t="n">
        <f aca="false">IF(A30="","",CHOOSE(F$3,A30+24,A29))</f>
        <v>37622</v>
      </c>
      <c r="AQ29" s="209" t="n">
        <f aca="false">IF(A30="","",AP29-$E$1)</f>
        <v>-8304</v>
      </c>
      <c r="AR29" s="185" t="n">
        <f aca="false">'ANR OK vs ML7'!AR29</f>
        <v>0.1</v>
      </c>
      <c r="AS29" s="213" t="n">
        <f aca="false">IF(A30="","",1/(1+CHOOSE(F$3,(AR30+($I$3/10000))/2,(AR29+($I$3/10000))/2))^(2*AQ29/365.25))</f>
        <v>9.19352824742094</v>
      </c>
      <c r="AT29" s="137" t="n">
        <f aca="false">IF(A30="","",IF(AND(mthbeg&lt;=A29,mthend&gt;=A29),1,0))</f>
        <v>1</v>
      </c>
      <c r="AU29" s="137" t="n">
        <f aca="false">IF(A30="","",AO29*AT29)</f>
        <v>31</v>
      </c>
      <c r="AW29" s="195" t="e">
        <f aca="false">IF($A30="","",AL29*$E29)</f>
        <v>#NAME?</v>
      </c>
      <c r="AX29" s="195" t="e">
        <f aca="false">IF($A30="","",AM29*$E29)</f>
        <v>#N/A</v>
      </c>
      <c r="AY29" s="195" t="e">
        <f aca="false">IF($A30="","",AN29*$E29)</f>
        <v>#N/A</v>
      </c>
      <c r="BA29" s="195" t="n">
        <f aca="false">IF($A30="","",F29*Summary!$Q$8)</f>
        <v>0</v>
      </c>
      <c r="BC29" s="179" t="e">
        <f aca="false">IF(A30="","",AM29*F29)</f>
        <v>#N/A</v>
      </c>
    </row>
    <row r="30" customFormat="false" ht="12.75" hidden="false" customHeight="false" outlineLevel="0" collapsed="false">
      <c r="A30" s="196" t="n">
        <f aca="false">IF(A29&lt;mthend,EDATE(A29,1),"")</f>
        <v>37653</v>
      </c>
      <c r="B30" s="197" t="n">
        <f aca="false">IF(A30&lt;mthend,B29,0)</f>
        <v>80000</v>
      </c>
      <c r="C30" s="215"/>
      <c r="D30" s="197" t="n">
        <f aca="false">IF(A31&lt;&gt;"",B30+C30,"")</f>
        <v>80000</v>
      </c>
      <c r="E30" s="199" t="n">
        <f aca="false">IF(A31="","",IF(AND(AT30=1,$H$3=1),D30*AO30,IF($H$3=2,D30,"N/A")))</f>
        <v>2240000</v>
      </c>
      <c r="F30" s="199" t="n">
        <f aca="false">IF(A31="","",E30*AS30)</f>
        <v>20423652.7813936</v>
      </c>
      <c r="G30" s="200" t="e">
        <f aca="false">IF($A31="","",VLOOKUP($A30,Table,MATCH(G$4,Curves,0)))</f>
        <v>#N/A</v>
      </c>
      <c r="H30" s="201" t="e">
        <f aca="false">IF(A31="","",G30)</f>
        <v>#N/A</v>
      </c>
      <c r="I30" s="202"/>
      <c r="J30" s="200" t="e">
        <f aca="false">IF($A31="","",VLOOKUP($A30,Table,MATCH(J$4,Curves,0)))</f>
        <v>#N/A</v>
      </c>
      <c r="K30" s="201" t="e">
        <f aca="false">IF(A31="","",J30)</f>
        <v>#N/A</v>
      </c>
      <c r="L30" s="200" t="e">
        <f aca="false">IF($A31="","",VLOOKUP($A30,Table,MATCH(L$4,Curves,0)))</f>
        <v>#N/A</v>
      </c>
      <c r="M30" s="201" t="e">
        <f aca="false">IF(A31="","",L30)</f>
        <v>#N/A</v>
      </c>
      <c r="N30" s="203"/>
      <c r="O30" s="200" t="e">
        <f aca="false">IF(A31="","",L30+J30+G30)</f>
        <v>#N/A</v>
      </c>
      <c r="P30" s="200" t="e">
        <f aca="false">IF(A31="","",M30+K30+H30)</f>
        <v>#N/A</v>
      </c>
      <c r="Q30" s="204"/>
      <c r="R30" s="200" t="e">
        <f aca="false">IF($A31="","",VLOOKUP($A30,Table,MATCH(R$4,Curves,0)))</f>
        <v>#N/A</v>
      </c>
      <c r="S30" s="201" t="e">
        <f aca="false">IF(A31="","",R30)</f>
        <v>#N/A</v>
      </c>
      <c r="T30" s="200" t="e">
        <f aca="false">IF($A31="","",VLOOKUP($A30,Table,MATCH(T$4,Curves,0)))</f>
        <v>#N/A</v>
      </c>
      <c r="U30" s="201" t="e">
        <f aca="false">IF(A31="","",T30)</f>
        <v>#N/A</v>
      </c>
      <c r="V30" s="183" t="e">
        <f aca="false">IF($A31="","",IF(AND(MONTH(A30)&gt;3,MONTH(A30)&lt;11),(T30+R30+G30)*Summary!$T$8/(1-Summary!$T$8),(T30+R30+G30)*Summary!$U$8/(1-Summary!$U$8)))</f>
        <v>#N/A</v>
      </c>
      <c r="W30" s="200" t="e">
        <f aca="false">IF($A31="","",(T30+R30+G30+V30))</f>
        <v>#N/A</v>
      </c>
      <c r="X30" s="200" t="e">
        <f aca="false">IF($A31="","",(U30+S30+H30+V30))</f>
        <v>#N/A</v>
      </c>
      <c r="Y30" s="202"/>
      <c r="Z30" s="185" t="e">
        <f aca="false">IF($A31="","",VLOOKUP($A30,Table,MATCH(Z$4,Curves,0)))</f>
        <v>#N/A</v>
      </c>
      <c r="AA30" s="185" t="e">
        <f aca="false">IF($A31="","",VLOOKUP($A30,Table,MATCH(AA$4,Curves,0)))</f>
        <v>#N/A</v>
      </c>
      <c r="AB30" s="185" t="e">
        <f aca="false">SQRT((AA30^2*(A30-$D$3)+Z30^2*(DAY(EOMONTH(A30,0))/2))/AK30)</f>
        <v>#N/A</v>
      </c>
      <c r="AC30" s="185" t="e">
        <f aca="false">IF($A31="","",VLOOKUP($A30,Table,MATCH(AC$4,Curves,0)))</f>
        <v>#N/A</v>
      </c>
      <c r="AD30" s="185" t="e">
        <f aca="false">IF($A31="","",VLOOKUP($A30,Table,MATCH(AD$4,Curves,0)))</f>
        <v>#N/A</v>
      </c>
      <c r="AE30" s="185" t="e">
        <f aca="false">SQRT((AD30^2*(A30-$D$3)+AC30^2*(DAY(EOMONTH(A30,0))/2))/AK30)</f>
        <v>#N/A</v>
      </c>
      <c r="AF30" s="224" t="e">
        <f aca="false">((Summary!$N$8*(AA30*AD30)*(A30-$D$3))+(Summary!$M$8*Z30*AC30*(AJ30-EOMONTH(EDATE(A30,-1),0))))/(AK30*AB30*AE30)</f>
        <v>#N/A</v>
      </c>
      <c r="AG30" s="207" t="n">
        <f aca="false">IF($A31="","",Summary!$Q$8)</f>
        <v>0</v>
      </c>
      <c r="AH30" s="207" t="n">
        <f aca="false">IF($A31="","",IF(Summary!$R$8="Y",(VLOOKUP($A30,Summary!$AD$6:$AF$9,3)+'Escalating commodity'!D43),'Escalating commodity'!D43))</f>
        <v>0.020686</v>
      </c>
      <c r="AI30" s="207" t="n">
        <f aca="false">IF($A31="","",AH30)</f>
        <v>0.020686</v>
      </c>
      <c r="AJ30" s="208" t="n">
        <f aca="false">A30+DAY(EOMONTH(A30,0))/2-1</f>
        <v>37666</v>
      </c>
      <c r="AK30" s="209" t="n">
        <f aca="false">IF($A31="","",$A30-$E$1)</f>
        <v>-8273</v>
      </c>
      <c r="AL30" s="182" t="e">
        <f aca="false">IF($A31="","",SPRDOPT(P30,X30,AI30,0,AB30,AE30,AF30,AK30,$AJ$2,0))</f>
        <v>#NAME?</v>
      </c>
      <c r="AM30" s="211" t="e">
        <f aca="false">IF($A31="","",MAX(0,O30-W30-AI30))</f>
        <v>#N/A</v>
      </c>
      <c r="AN30" s="211" t="e">
        <f aca="false">IF($A31="","",AL30-AM30)</f>
        <v>#N/A</v>
      </c>
      <c r="AO30" s="137" t="n">
        <f aca="false">IF(A31="","",A31-A30)</f>
        <v>28</v>
      </c>
      <c r="AP30" s="212" t="n">
        <f aca="false">IF(A31="","",CHOOSE(F$3,A31+24,A30))</f>
        <v>37653</v>
      </c>
      <c r="AQ30" s="209" t="n">
        <f aca="false">IF(A31="","",AP30-$E$1)</f>
        <v>-8273</v>
      </c>
      <c r="AR30" s="185" t="n">
        <f aca="false">'ANR OK vs ML7'!AR30</f>
        <v>0.1</v>
      </c>
      <c r="AS30" s="213" t="n">
        <f aca="false">IF(A31="","",1/(1+CHOOSE(F$3,(AR31+($I$3/10000))/2,(AR30+($I$3/10000))/2))^(2*AQ30/365.25))</f>
        <v>9.11770213455071</v>
      </c>
      <c r="AT30" s="137" t="n">
        <f aca="false">IF(A31="","",IF(AND(mthbeg&lt;=A30,mthend&gt;=A30),1,0))</f>
        <v>1</v>
      </c>
      <c r="AU30" s="137" t="n">
        <f aca="false">IF(A31="","",AO30*AT30)</f>
        <v>28</v>
      </c>
      <c r="AW30" s="195" t="e">
        <f aca="false">IF($A31="","",AL30*$E30)</f>
        <v>#NAME?</v>
      </c>
      <c r="AX30" s="195" t="e">
        <f aca="false">IF($A31="","",AM30*$E30)</f>
        <v>#N/A</v>
      </c>
      <c r="AY30" s="195" t="e">
        <f aca="false">IF($A31="","",AN30*$E30)</f>
        <v>#N/A</v>
      </c>
      <c r="BA30" s="195" t="n">
        <f aca="false">IF($A31="","",F30*Summary!$Q$8)</f>
        <v>0</v>
      </c>
      <c r="BC30" s="179" t="e">
        <f aca="false">IF(A31="","",AM30*F30)</f>
        <v>#N/A</v>
      </c>
    </row>
    <row r="31" customFormat="false" ht="12.75" hidden="false" customHeight="false" outlineLevel="0" collapsed="false">
      <c r="A31" s="196" t="n">
        <f aca="false">IF(A30&lt;mthend,EDATE(A30,1),"")</f>
        <v>37681</v>
      </c>
      <c r="B31" s="197" t="n">
        <f aca="false">IF(A31&lt;mthend,B30,0)</f>
        <v>80000</v>
      </c>
      <c r="C31" s="215"/>
      <c r="D31" s="197" t="n">
        <f aca="false">IF(A32&lt;&gt;"",B31+C31,"")</f>
        <v>80000</v>
      </c>
      <c r="E31" s="199" t="n">
        <f aca="false">IF(A32="","",IF(AND(AT31=1,$H$3=1),D31*AO31,IF($H$3=2,D31,"N/A")))</f>
        <v>2480000</v>
      </c>
      <c r="F31" s="199" t="n">
        <f aca="false">IF(A32="","",E31*AS31)</f>
        <v>22443384.2593611</v>
      </c>
      <c r="G31" s="200" t="e">
        <f aca="false">IF($A32="","",VLOOKUP($A31,Table,MATCH(G$4,Curves,0)))</f>
        <v>#N/A</v>
      </c>
      <c r="H31" s="201" t="e">
        <f aca="false">IF(A32="","",G31)</f>
        <v>#N/A</v>
      </c>
      <c r="I31" s="202"/>
      <c r="J31" s="200" t="e">
        <f aca="false">IF($A32="","",VLOOKUP($A31,Table,MATCH(J$4,Curves,0)))</f>
        <v>#N/A</v>
      </c>
      <c r="K31" s="201" t="e">
        <f aca="false">IF(A32="","",J31)</f>
        <v>#N/A</v>
      </c>
      <c r="L31" s="200" t="e">
        <f aca="false">IF($A32="","",VLOOKUP($A31,Table,MATCH(L$4,Curves,0)))</f>
        <v>#N/A</v>
      </c>
      <c r="M31" s="201" t="e">
        <f aca="false">IF(A32="","",L31)</f>
        <v>#N/A</v>
      </c>
      <c r="N31" s="203"/>
      <c r="O31" s="200" t="e">
        <f aca="false">IF(A32="","",L31+J31+G31)</f>
        <v>#N/A</v>
      </c>
      <c r="P31" s="200" t="e">
        <f aca="false">IF(A32="","",M31+K31+H31)</f>
        <v>#N/A</v>
      </c>
      <c r="Q31" s="204"/>
      <c r="R31" s="200" t="e">
        <f aca="false">IF($A32="","",VLOOKUP($A31,Table,MATCH(R$4,Curves,0)))</f>
        <v>#N/A</v>
      </c>
      <c r="S31" s="201" t="e">
        <f aca="false">IF(A32="","",R31)</f>
        <v>#N/A</v>
      </c>
      <c r="T31" s="200" t="e">
        <f aca="false">IF($A32="","",VLOOKUP($A31,Table,MATCH(T$4,Curves,0)))</f>
        <v>#N/A</v>
      </c>
      <c r="U31" s="201" t="e">
        <f aca="false">IF(A32="","",T31)</f>
        <v>#N/A</v>
      </c>
      <c r="V31" s="183" t="e">
        <f aca="false">IF($A32="","",IF(AND(MONTH(A31)&gt;3,MONTH(A31)&lt;11),(T31+R31+G31)*Summary!$T$8/(1-Summary!$T$8),(T31+R31+G31)*Summary!$U$8/(1-Summary!$U$8)))</f>
        <v>#N/A</v>
      </c>
      <c r="W31" s="200" t="e">
        <f aca="false">IF($A32="","",(T31+R31+G31+V31))</f>
        <v>#N/A</v>
      </c>
      <c r="X31" s="200" t="e">
        <f aca="false">IF($A32="","",(U31+S31+H31+V31))</f>
        <v>#N/A</v>
      </c>
      <c r="Y31" s="202"/>
      <c r="Z31" s="185" t="e">
        <f aca="false">IF($A32="","",VLOOKUP($A31,Table,MATCH(Z$4,Curves,0)))</f>
        <v>#N/A</v>
      </c>
      <c r="AA31" s="185" t="e">
        <f aca="false">IF($A32="","",VLOOKUP($A31,Table,MATCH(AA$4,Curves,0)))</f>
        <v>#N/A</v>
      </c>
      <c r="AB31" s="185" t="e">
        <f aca="false">SQRT((AA31^2*(A31-$D$3)+Z31^2*(DAY(EOMONTH(A31,0))/2))/AK31)</f>
        <v>#N/A</v>
      </c>
      <c r="AC31" s="185" t="e">
        <f aca="false">IF($A32="","",VLOOKUP($A31,Table,MATCH(AC$4,Curves,0)))</f>
        <v>#N/A</v>
      </c>
      <c r="AD31" s="185" t="e">
        <f aca="false">IF($A32="","",VLOOKUP($A31,Table,MATCH(AD$4,Curves,0)))</f>
        <v>#N/A</v>
      </c>
      <c r="AE31" s="185" t="e">
        <f aca="false">SQRT((AD31^2*(A31-$D$3)+AC31^2*(DAY(EOMONTH(A31,0))/2))/AK31)</f>
        <v>#N/A</v>
      </c>
      <c r="AF31" s="224" t="e">
        <f aca="false">((Summary!$N$8*(AA31*AD31)*(A31-$D$3))+(Summary!$M$8*Z31*AC31*(AJ31-EOMONTH(EDATE(A31,-1),0))))/(AK31*AB31*AE31)</f>
        <v>#N/A</v>
      </c>
      <c r="AG31" s="207" t="n">
        <f aca="false">IF($A32="","",Summary!$Q$8)</f>
        <v>0</v>
      </c>
      <c r="AH31" s="207" t="n">
        <f aca="false">IF($A32="","",IF(Summary!$R$8="Y",(VLOOKUP($A31,Summary!$AD$6:$AF$9,3)+'Escalating commodity'!D44),'Escalating commodity'!D44))</f>
        <v>0.020686</v>
      </c>
      <c r="AI31" s="207" t="n">
        <f aca="false">IF($A32="","",AH31)</f>
        <v>0.020686</v>
      </c>
      <c r="AJ31" s="208" t="n">
        <f aca="false">A31+DAY(EOMONTH(A31,0))/2-1</f>
        <v>37695.5</v>
      </c>
      <c r="AK31" s="209" t="n">
        <f aca="false">IF($A32="","",$A31-$E$1)</f>
        <v>-8245</v>
      </c>
      <c r="AL31" s="182" t="e">
        <f aca="false">IF($A32="","",SPRDOPT(P31,X31,AI31,0,AB31,AE31,AF31,AK31,$AJ$2,0))</f>
        <v>#NAME?</v>
      </c>
      <c r="AM31" s="211" t="e">
        <f aca="false">IF($A32="","",MAX(0,O31-W31-AI31))</f>
        <v>#N/A</v>
      </c>
      <c r="AN31" s="211" t="e">
        <f aca="false">IF($A32="","",AL31-AM31)</f>
        <v>#N/A</v>
      </c>
      <c r="AO31" s="137" t="n">
        <f aca="false">IF(A32="","",A32-A31)</f>
        <v>31</v>
      </c>
      <c r="AP31" s="212" t="n">
        <f aca="false">IF(A32="","",CHOOSE(F$3,A32+24,A31))</f>
        <v>37681</v>
      </c>
      <c r="AQ31" s="209" t="n">
        <f aca="false">IF(A32="","",AP31-$E$1)</f>
        <v>-8245</v>
      </c>
      <c r="AR31" s="185" t="n">
        <f aca="false">'ANR OK vs ML7'!AR31</f>
        <v>0.1</v>
      </c>
      <c r="AS31" s="213" t="n">
        <f aca="false">IF(A32="","",1/(1+CHOOSE(F$3,(AR32+($I$3/10000))/2,(AR31+($I$3/10000))/2))^(2*AQ31/365.25))</f>
        <v>9.0497517174843</v>
      </c>
      <c r="AT31" s="137" t="n">
        <f aca="false">IF(A32="","",IF(AND(mthbeg&lt;=A31,mthend&gt;=A31),1,0))</f>
        <v>1</v>
      </c>
      <c r="AU31" s="137" t="n">
        <f aca="false">IF(A32="","",AO31*AT31)</f>
        <v>31</v>
      </c>
      <c r="AW31" s="195" t="e">
        <f aca="false">IF($A32="","",AL31*$E31)</f>
        <v>#NAME?</v>
      </c>
      <c r="AX31" s="195" t="e">
        <f aca="false">IF($A32="","",AM31*$E31)</f>
        <v>#N/A</v>
      </c>
      <c r="AY31" s="195" t="e">
        <f aca="false">IF($A32="","",AN31*$E31)</f>
        <v>#N/A</v>
      </c>
      <c r="BA31" s="195" t="n">
        <f aca="false">IF($A32="","",F31*Summary!$Q$8)</f>
        <v>0</v>
      </c>
      <c r="BC31" s="179" t="e">
        <f aca="false">IF(A32="","",AM31*F31)</f>
        <v>#N/A</v>
      </c>
    </row>
    <row r="32" customFormat="false" ht="12.75" hidden="false" customHeight="false" outlineLevel="0" collapsed="false">
      <c r="A32" s="196" t="n">
        <f aca="false">IF(A31&lt;mthend,EDATE(A31,1),"")</f>
        <v>37712</v>
      </c>
      <c r="B32" s="197" t="n">
        <f aca="false">IF(A32&lt;mthend,B31,0)</f>
        <v>80000</v>
      </c>
      <c r="C32" s="215"/>
      <c r="D32" s="197" t="n">
        <f aca="false">IF(A33&lt;&gt;"",B32+C32,"")</f>
        <v>80000</v>
      </c>
      <c r="E32" s="199" t="n">
        <f aca="false">IF(A33="","",IF(AND(AT32=1,$H$3=1),D32*AO32,IF($H$3=2,D32,"N/A")))</f>
        <v>2400000</v>
      </c>
      <c r="F32" s="199" t="n">
        <f aca="false">IF(A33="","",E32*AS32)</f>
        <v>21540267.4571146</v>
      </c>
      <c r="G32" s="200" t="e">
        <f aca="false">IF($A33="","",VLOOKUP($A32,Table,MATCH(G$4,Curves,0)))</f>
        <v>#N/A</v>
      </c>
      <c r="H32" s="201" t="e">
        <f aca="false">IF(A33="","",G32)</f>
        <v>#N/A</v>
      </c>
      <c r="I32" s="202"/>
      <c r="J32" s="200" t="e">
        <f aca="false">IF($A33="","",VLOOKUP($A32,Table,MATCH(J$4,Curves,0)))</f>
        <v>#N/A</v>
      </c>
      <c r="K32" s="201" t="e">
        <f aca="false">IF(A33="","",J32)</f>
        <v>#N/A</v>
      </c>
      <c r="L32" s="200" t="e">
        <f aca="false">IF($A33="","",VLOOKUP($A32,Table,MATCH(L$4,Curves,0)))</f>
        <v>#N/A</v>
      </c>
      <c r="M32" s="201" t="e">
        <f aca="false">IF(A33="","",L32)</f>
        <v>#N/A</v>
      </c>
      <c r="N32" s="203"/>
      <c r="O32" s="200" t="e">
        <f aca="false">IF(A33="","",L32+J32+G32)</f>
        <v>#N/A</v>
      </c>
      <c r="P32" s="200" t="e">
        <f aca="false">IF(A33="","",M32+K32+H32)</f>
        <v>#N/A</v>
      </c>
      <c r="Q32" s="204"/>
      <c r="R32" s="200" t="e">
        <f aca="false">IF($A33="","",VLOOKUP($A32,Table,MATCH(R$4,Curves,0)))</f>
        <v>#N/A</v>
      </c>
      <c r="S32" s="201" t="e">
        <f aca="false">IF(A33="","",R32)</f>
        <v>#N/A</v>
      </c>
      <c r="T32" s="200" t="e">
        <f aca="false">IF($A33="","",VLOOKUP($A32,Table,MATCH(T$4,Curves,0)))</f>
        <v>#N/A</v>
      </c>
      <c r="U32" s="201" t="e">
        <f aca="false">IF(A33="","",T32)</f>
        <v>#N/A</v>
      </c>
      <c r="V32" s="183" t="e">
        <f aca="false">IF($A33="","",IF(AND(MONTH(A32)&gt;3,MONTH(A32)&lt;11),(T32+R32+G32)*Summary!$T$8/(1-Summary!$T$8),(T32+R32+G32)*Summary!$U$8/(1-Summary!$U$8)))</f>
        <v>#N/A</v>
      </c>
      <c r="W32" s="200" t="e">
        <f aca="false">IF($A33="","",(T32+R32+G32+V32))</f>
        <v>#N/A</v>
      </c>
      <c r="X32" s="200" t="e">
        <f aca="false">IF($A33="","",(U32+S32+H32+V32))</f>
        <v>#N/A</v>
      </c>
      <c r="Y32" s="202"/>
      <c r="Z32" s="185" t="e">
        <f aca="false">IF($A33="","",VLOOKUP($A32,Table,MATCH(Z$4,Curves,0)))</f>
        <v>#N/A</v>
      </c>
      <c r="AA32" s="185" t="e">
        <f aca="false">IF($A33="","",VLOOKUP($A32,Table,MATCH(AA$4,Curves,0)))</f>
        <v>#N/A</v>
      </c>
      <c r="AB32" s="185" t="e">
        <f aca="false">SQRT((AA32^2*(A32-$D$3)+Z32^2*(DAY(EOMONTH(A32,0))/2))/AK32)</f>
        <v>#N/A</v>
      </c>
      <c r="AC32" s="185" t="e">
        <f aca="false">IF($A33="","",VLOOKUP($A32,Table,MATCH(AC$4,Curves,0)))</f>
        <v>#N/A</v>
      </c>
      <c r="AD32" s="185" t="e">
        <f aca="false">IF($A33="","",VLOOKUP($A32,Table,MATCH(AD$4,Curves,0)))</f>
        <v>#N/A</v>
      </c>
      <c r="AE32" s="185" t="e">
        <f aca="false">SQRT((AD32^2*(A32-$D$3)+AC32^2*(DAY(EOMONTH(A32,0))/2))/AK32)</f>
        <v>#N/A</v>
      </c>
      <c r="AF32" s="224" t="e">
        <f aca="false">((Summary!$N$8*(AA32*AD32)*(A32-$D$3))+(Summary!$M$8*Z32*AC32*(AJ32-EOMONTH(EDATE(A32,-1),0))))/(AK32*AB32*AE32)</f>
        <v>#N/A</v>
      </c>
      <c r="AG32" s="207" t="n">
        <f aca="false">IF($A33="","",Summary!$Q$8)</f>
        <v>0</v>
      </c>
      <c r="AH32" s="207" t="n">
        <f aca="false">IF($A33="","",IF(Summary!$R$8="Y",(VLOOKUP($A32,Summary!$AD$6:$AF$9,3)+'Escalating commodity'!D45),'Escalating commodity'!D45))</f>
        <v>0.020686</v>
      </c>
      <c r="AI32" s="207" t="n">
        <f aca="false">IF($A33="","",AH32)</f>
        <v>0.020686</v>
      </c>
      <c r="AJ32" s="208" t="n">
        <f aca="false">A32+DAY(EOMONTH(A32,0))/2-1</f>
        <v>37726</v>
      </c>
      <c r="AK32" s="209" t="n">
        <f aca="false">IF($A33="","",$A32-$E$1)</f>
        <v>-8214</v>
      </c>
      <c r="AL32" s="182" t="e">
        <f aca="false">IF($A33="","",SPRDOPT(P32,X32,AI32,0,AB32,AE32,AF32,AK32,$AJ$2,0))</f>
        <v>#NAME?</v>
      </c>
      <c r="AM32" s="211" t="e">
        <f aca="false">IF($A33="","",MAX(0,O32-W32-AI32))</f>
        <v>#N/A</v>
      </c>
      <c r="AN32" s="211" t="e">
        <f aca="false">IF($A33="","",AL32-AM32)</f>
        <v>#N/A</v>
      </c>
      <c r="AO32" s="137" t="n">
        <f aca="false">IF(A33="","",A33-A32)</f>
        <v>30</v>
      </c>
      <c r="AP32" s="212" t="n">
        <f aca="false">IF(A33="","",CHOOSE(F$3,A33+24,A32))</f>
        <v>37712</v>
      </c>
      <c r="AQ32" s="209" t="n">
        <f aca="false">IF(A33="","",AP32-$E$1)</f>
        <v>-8214</v>
      </c>
      <c r="AR32" s="185" t="n">
        <f aca="false">'ANR OK vs ML7'!AR32</f>
        <v>0.1</v>
      </c>
      <c r="AS32" s="213" t="n">
        <f aca="false">IF(A33="","",1/(1+CHOOSE(F$3,(AR33+($I$3/10000))/2,(AR32+($I$3/10000))/2))^(2*AQ32/365.25))</f>
        <v>8.97511144046442</v>
      </c>
      <c r="AT32" s="137" t="n">
        <f aca="false">IF(A33="","",IF(AND(mthbeg&lt;=A32,mthend&gt;=A32),1,0))</f>
        <v>1</v>
      </c>
      <c r="AU32" s="137" t="n">
        <f aca="false">IF(A33="","",AO32*AT32)</f>
        <v>30</v>
      </c>
      <c r="AW32" s="195" t="e">
        <f aca="false">IF($A33="","",AL32*$E32)</f>
        <v>#NAME?</v>
      </c>
      <c r="AX32" s="195" t="e">
        <f aca="false">IF($A33="","",AM32*$E32)</f>
        <v>#N/A</v>
      </c>
      <c r="AY32" s="195" t="e">
        <f aca="false">IF($A33="","",AN32*$E32)</f>
        <v>#N/A</v>
      </c>
      <c r="BA32" s="195" t="n">
        <f aca="false">IF($A33="","",F32*Summary!$Q$8)</f>
        <v>0</v>
      </c>
      <c r="BC32" s="179" t="e">
        <f aca="false">IF(A33="","",AM32*F32)</f>
        <v>#N/A</v>
      </c>
    </row>
    <row r="33" customFormat="false" ht="12.75" hidden="false" customHeight="false" outlineLevel="0" collapsed="false">
      <c r="A33" s="196" t="n">
        <f aca="false">IF(A32&lt;mthend,EDATE(A32,1),"")</f>
        <v>37742</v>
      </c>
      <c r="B33" s="197" t="n">
        <f aca="false">IF(A33&lt;mthend,B32,0)</f>
        <v>80000</v>
      </c>
      <c r="C33" s="215"/>
      <c r="D33" s="197" t="n">
        <f aca="false">IF(A34&lt;&gt;"",B33+C33,"")</f>
        <v>80000</v>
      </c>
      <c r="E33" s="199" t="n">
        <f aca="false">IF(A34="","",IF(AND(AT33=1,$H$3=1),D33*AO33,IF($H$3=2,D33,"N/A")))</f>
        <v>2480000</v>
      </c>
      <c r="F33" s="199" t="n">
        <f aca="false">IF(A34="","",E33*AS33)</f>
        <v>22080593.4845396</v>
      </c>
      <c r="G33" s="200" t="e">
        <f aca="false">IF($A34="","",VLOOKUP($A33,Table,MATCH(G$4,Curves,0)))</f>
        <v>#N/A</v>
      </c>
      <c r="H33" s="201" t="e">
        <f aca="false">IF(A34="","",G33)</f>
        <v>#N/A</v>
      </c>
      <c r="I33" s="202"/>
      <c r="J33" s="200" t="e">
        <f aca="false">IF($A34="","",VLOOKUP($A33,Table,MATCH(J$4,Curves,0)))</f>
        <v>#N/A</v>
      </c>
      <c r="K33" s="201" t="e">
        <f aca="false">IF(A34="","",J33)</f>
        <v>#N/A</v>
      </c>
      <c r="L33" s="200" t="e">
        <f aca="false">IF($A34="","",VLOOKUP($A33,Table,MATCH(L$4,Curves,0)))</f>
        <v>#N/A</v>
      </c>
      <c r="M33" s="201" t="e">
        <f aca="false">IF(A34="","",L33)</f>
        <v>#N/A</v>
      </c>
      <c r="N33" s="203"/>
      <c r="O33" s="200" t="e">
        <f aca="false">IF(A34="","",L33+J33+G33)</f>
        <v>#N/A</v>
      </c>
      <c r="P33" s="200" t="e">
        <f aca="false">IF(A34="","",M33+K33+H33)</f>
        <v>#N/A</v>
      </c>
      <c r="Q33" s="204"/>
      <c r="R33" s="200" t="e">
        <f aca="false">IF($A34="","",VLOOKUP($A33,Table,MATCH(R$4,Curves,0)))</f>
        <v>#N/A</v>
      </c>
      <c r="S33" s="201" t="e">
        <f aca="false">IF(A34="","",R33)</f>
        <v>#N/A</v>
      </c>
      <c r="T33" s="200" t="e">
        <f aca="false">IF($A34="","",VLOOKUP($A33,Table,MATCH(T$4,Curves,0)))</f>
        <v>#N/A</v>
      </c>
      <c r="U33" s="201" t="e">
        <f aca="false">IF(A34="","",T33)</f>
        <v>#N/A</v>
      </c>
      <c r="V33" s="183" t="e">
        <f aca="false">IF($A34="","",IF(AND(MONTH(A33)&gt;3,MONTH(A33)&lt;11),(T33+R33+G33)*Summary!$T$8/(1-Summary!$T$8),(T33+R33+G33)*Summary!$U$8/(1-Summary!$U$8)))</f>
        <v>#N/A</v>
      </c>
      <c r="W33" s="200" t="e">
        <f aca="false">IF($A34="","",(T33+R33+G33+V33))</f>
        <v>#N/A</v>
      </c>
      <c r="X33" s="200" t="e">
        <f aca="false">IF($A34="","",(U33+S33+H33+V33))</f>
        <v>#N/A</v>
      </c>
      <c r="Y33" s="202"/>
      <c r="Z33" s="185" t="e">
        <f aca="false">IF($A34="","",VLOOKUP($A33,Table,MATCH(Z$4,Curves,0)))</f>
        <v>#N/A</v>
      </c>
      <c r="AA33" s="185" t="e">
        <f aca="false">IF($A34="","",VLOOKUP($A33,Table,MATCH(AA$4,Curves,0)))</f>
        <v>#N/A</v>
      </c>
      <c r="AB33" s="185" t="e">
        <f aca="false">SQRT((AA33^2*(A33-$D$3)+Z33^2*(DAY(EOMONTH(A33,0))/2))/AK33)</f>
        <v>#N/A</v>
      </c>
      <c r="AC33" s="185" t="e">
        <f aca="false">IF($A34="","",VLOOKUP($A33,Table,MATCH(AC$4,Curves,0)))</f>
        <v>#N/A</v>
      </c>
      <c r="AD33" s="185" t="e">
        <f aca="false">IF($A34="","",VLOOKUP($A33,Table,MATCH(AD$4,Curves,0)))</f>
        <v>#N/A</v>
      </c>
      <c r="AE33" s="185" t="e">
        <f aca="false">SQRT((AD33^2*(A33-$D$3)+AC33^2*(DAY(EOMONTH(A33,0))/2))/AK33)</f>
        <v>#N/A</v>
      </c>
      <c r="AF33" s="224" t="e">
        <f aca="false">((Summary!$N$8*(AA33*AD33)*(A33-$D$3))+(Summary!$M$8*Z33*AC33*(AJ33-EOMONTH(EDATE(A33,-1),0))))/(AK33*AB33*AE33)</f>
        <v>#N/A</v>
      </c>
      <c r="AG33" s="207" t="n">
        <f aca="false">IF($A34="","",Summary!$Q$8)</f>
        <v>0</v>
      </c>
      <c r="AH33" s="207" t="n">
        <f aca="false">IF($A34="","",IF(Summary!$R$8="Y",(VLOOKUP($A33,Summary!$AD$6:$AF$9,3)+'Escalating commodity'!D46),'Escalating commodity'!D46))</f>
        <v>0.020686</v>
      </c>
      <c r="AI33" s="207" t="n">
        <f aca="false">IF($A34="","",AH33)</f>
        <v>0.020686</v>
      </c>
      <c r="AJ33" s="208" t="n">
        <f aca="false">A33+DAY(EOMONTH(A33,0))/2-1</f>
        <v>37756.5</v>
      </c>
      <c r="AK33" s="209" t="n">
        <f aca="false">IF($A34="","",$A33-$E$1)</f>
        <v>-8184</v>
      </c>
      <c r="AL33" s="182" t="e">
        <f aca="false">IF($A34="","",SPRDOPT(P33,X33,AI33,0,AB33,AE33,AF33,AK33,$AJ$2,0))</f>
        <v>#NAME?</v>
      </c>
      <c r="AM33" s="211" t="e">
        <f aca="false">IF($A34="","",MAX(0,O33-W33-AI33))</f>
        <v>#N/A</v>
      </c>
      <c r="AN33" s="211" t="e">
        <f aca="false">IF($A34="","",AL33-AM33)</f>
        <v>#N/A</v>
      </c>
      <c r="AO33" s="137" t="n">
        <f aca="false">IF(A34="","",A34-A33)</f>
        <v>31</v>
      </c>
      <c r="AP33" s="212" t="n">
        <f aca="false">IF(A34="","",CHOOSE(F$3,A34+24,A33))</f>
        <v>37742</v>
      </c>
      <c r="AQ33" s="209" t="n">
        <f aca="false">IF(A34="","",AP33-$E$1)</f>
        <v>-8184</v>
      </c>
      <c r="AR33" s="185" t="n">
        <f aca="false">'ANR OK vs ML7'!AR33</f>
        <v>0.1</v>
      </c>
      <c r="AS33" s="213" t="n">
        <f aca="false">IF(A34="","",1/(1+CHOOSE(F$3,(AR34+($I$3/10000))/2,(AR33+($I$3/10000))/2))^(2*AQ33/365.25))</f>
        <v>8.90346511473369</v>
      </c>
      <c r="AT33" s="137" t="n">
        <f aca="false">IF(A34="","",IF(AND(mthbeg&lt;=A33,mthend&gt;=A33),1,0))</f>
        <v>1</v>
      </c>
      <c r="AU33" s="137" t="n">
        <f aca="false">IF(A34="","",AO33*AT33)</f>
        <v>31</v>
      </c>
      <c r="AW33" s="195" t="e">
        <f aca="false">IF($A34="","",AL33*$E33)</f>
        <v>#NAME?</v>
      </c>
      <c r="AX33" s="195" t="e">
        <f aca="false">IF($A34="","",AM33*$E33)</f>
        <v>#N/A</v>
      </c>
      <c r="AY33" s="195" t="e">
        <f aca="false">IF($A34="","",AN33*$E33)</f>
        <v>#N/A</v>
      </c>
      <c r="BA33" s="195" t="n">
        <f aca="false">IF($A34="","",F33*Summary!$Q$8)</f>
        <v>0</v>
      </c>
      <c r="BC33" s="179" t="e">
        <f aca="false">IF(A34="","",AM33*F33)</f>
        <v>#N/A</v>
      </c>
    </row>
    <row r="34" customFormat="false" ht="12.75" hidden="false" customHeight="false" outlineLevel="0" collapsed="false">
      <c r="A34" s="196" t="n">
        <f aca="false">IF(A33&lt;mthend,EDATE(A33,1),"")</f>
        <v>37773</v>
      </c>
      <c r="B34" s="197" t="n">
        <f aca="false">IF(A34&lt;mthend,B33,0)</f>
        <v>80000</v>
      </c>
      <c r="C34" s="215"/>
      <c r="D34" s="197" t="n">
        <f aca="false">IF(A35&lt;&gt;"",B34+C34,"")</f>
        <v>80000</v>
      </c>
      <c r="E34" s="199" t="n">
        <f aca="false">IF(A35="","",IF(AND(AT34=1,$H$3=1),D34*AO34,IF($H$3=2,D34,"N/A")))</f>
        <v>2400000</v>
      </c>
      <c r="F34" s="199" t="n">
        <f aca="false">IF(A35="","",E34*AS34)</f>
        <v>21192075.302566</v>
      </c>
      <c r="G34" s="200" t="e">
        <f aca="false">IF($A35="","",VLOOKUP($A34,Table,MATCH(G$4,Curves,0)))</f>
        <v>#N/A</v>
      </c>
      <c r="H34" s="201" t="e">
        <f aca="false">IF(A35="","",G34)</f>
        <v>#N/A</v>
      </c>
      <c r="I34" s="202"/>
      <c r="J34" s="200" t="e">
        <f aca="false">IF($A35="","",VLOOKUP($A34,Table,MATCH(J$4,Curves,0)))</f>
        <v>#N/A</v>
      </c>
      <c r="K34" s="201" t="e">
        <f aca="false">IF(A35="","",J34)</f>
        <v>#N/A</v>
      </c>
      <c r="L34" s="200" t="e">
        <f aca="false">IF($A35="","",VLOOKUP($A34,Table,MATCH(L$4,Curves,0)))</f>
        <v>#N/A</v>
      </c>
      <c r="M34" s="201" t="e">
        <f aca="false">IF(A35="","",L34)</f>
        <v>#N/A</v>
      </c>
      <c r="N34" s="203"/>
      <c r="O34" s="200" t="e">
        <f aca="false">IF(A35="","",L34+J34+G34)</f>
        <v>#N/A</v>
      </c>
      <c r="P34" s="200" t="e">
        <f aca="false">IF(A35="","",M34+K34+H34)</f>
        <v>#N/A</v>
      </c>
      <c r="Q34" s="204"/>
      <c r="R34" s="200" t="e">
        <f aca="false">IF($A35="","",VLOOKUP($A34,Table,MATCH(R$4,Curves,0)))</f>
        <v>#N/A</v>
      </c>
      <c r="S34" s="201" t="e">
        <f aca="false">IF(A35="","",R34)</f>
        <v>#N/A</v>
      </c>
      <c r="T34" s="200" t="e">
        <f aca="false">IF($A35="","",VLOOKUP($A34,Table,MATCH(T$4,Curves,0)))</f>
        <v>#N/A</v>
      </c>
      <c r="U34" s="201" t="e">
        <f aca="false">IF(A35="","",T34)</f>
        <v>#N/A</v>
      </c>
      <c r="V34" s="183" t="e">
        <f aca="false">IF($A35="","",IF(AND(MONTH(A34)&gt;3,MONTH(A34)&lt;11),(T34+R34+G34)*Summary!$T$8/(1-Summary!$T$8),(T34+R34+G34)*Summary!$U$8/(1-Summary!$U$8)))</f>
        <v>#N/A</v>
      </c>
      <c r="W34" s="200" t="e">
        <f aca="false">IF($A35="","",(T34+R34+G34+V34))</f>
        <v>#N/A</v>
      </c>
      <c r="X34" s="200" t="e">
        <f aca="false">IF($A35="","",(U34+S34+H34+V34))</f>
        <v>#N/A</v>
      </c>
      <c r="Y34" s="202"/>
      <c r="Z34" s="185" t="e">
        <f aca="false">IF($A35="","",VLOOKUP($A34,Table,MATCH(Z$4,Curves,0)))</f>
        <v>#N/A</v>
      </c>
      <c r="AA34" s="185" t="e">
        <f aca="false">IF($A35="","",VLOOKUP($A34,Table,MATCH(AA$4,Curves,0)))</f>
        <v>#N/A</v>
      </c>
      <c r="AB34" s="185" t="e">
        <f aca="false">SQRT((AA34^2*(A34-$D$3)+Z34^2*(DAY(EOMONTH(A34,0))/2))/AK34)</f>
        <v>#N/A</v>
      </c>
      <c r="AC34" s="185" t="e">
        <f aca="false">IF($A35="","",VLOOKUP($A34,Table,MATCH(AC$4,Curves,0)))</f>
        <v>#N/A</v>
      </c>
      <c r="AD34" s="185" t="e">
        <f aca="false">IF($A35="","",VLOOKUP($A34,Table,MATCH(AD$4,Curves,0)))</f>
        <v>#N/A</v>
      </c>
      <c r="AE34" s="185" t="e">
        <f aca="false">SQRT((AD34^2*(A34-$D$3)+AC34^2*(DAY(EOMONTH(A34,0))/2))/AK34)</f>
        <v>#N/A</v>
      </c>
      <c r="AF34" s="224" t="e">
        <f aca="false">((Summary!$N$8*(AA34*AD34)*(A34-$D$3))+(Summary!$M$8*Z34*AC34*(AJ34-EOMONTH(EDATE(A34,-1),0))))/(AK34*AB34*AE34)</f>
        <v>#N/A</v>
      </c>
      <c r="AG34" s="207" t="n">
        <f aca="false">IF($A35="","",Summary!$Q$8)</f>
        <v>0</v>
      </c>
      <c r="AH34" s="207" t="n">
        <f aca="false">IF($A35="","",IF(Summary!$R$8="Y",(VLOOKUP($A34,Summary!$AD$6:$AF$9,3)+'Escalating commodity'!D47),'Escalating commodity'!D47))</f>
        <v>0.020686</v>
      </c>
      <c r="AI34" s="207" t="n">
        <f aca="false">IF($A35="","",AH34)</f>
        <v>0.020686</v>
      </c>
      <c r="AJ34" s="208" t="n">
        <f aca="false">A34+DAY(EOMONTH(A34,0))/2-1</f>
        <v>37787</v>
      </c>
      <c r="AK34" s="209" t="n">
        <f aca="false">IF($A35="","",$A34-$E$1)</f>
        <v>-8153</v>
      </c>
      <c r="AL34" s="182" t="e">
        <f aca="false">IF($A35="","",SPRDOPT(P34,X34,AI34,0,AB34,AE34,AF34,AK34,$AJ$2,0))</f>
        <v>#NAME?</v>
      </c>
      <c r="AM34" s="211" t="e">
        <f aca="false">IF($A35="","",MAX(0,O34-W34-AI34))</f>
        <v>#N/A</v>
      </c>
      <c r="AN34" s="211" t="e">
        <f aca="false">IF($A35="","",AL34-AM34)</f>
        <v>#N/A</v>
      </c>
      <c r="AO34" s="137" t="n">
        <f aca="false">IF(A35="","",A35-A34)</f>
        <v>30</v>
      </c>
      <c r="AP34" s="212" t="n">
        <f aca="false">IF(A35="","",CHOOSE(F$3,A35+24,A34))</f>
        <v>37773</v>
      </c>
      <c r="AQ34" s="209" t="n">
        <f aca="false">IF(A35="","",AP34-$E$1)</f>
        <v>-8153</v>
      </c>
      <c r="AR34" s="185" t="n">
        <f aca="false">'ANR OK vs ML7'!AR34</f>
        <v>0.1</v>
      </c>
      <c r="AS34" s="213" t="n">
        <f aca="false">IF(A35="","",1/(1+CHOOSE(F$3,(AR35+($I$3/10000))/2,(AR34+($I$3/10000))/2))^(2*AQ34/365.25))</f>
        <v>8.83003137606917</v>
      </c>
      <c r="AT34" s="137" t="n">
        <f aca="false">IF(A35="","",IF(AND(mthbeg&lt;=A34,mthend&gt;=A34),1,0))</f>
        <v>1</v>
      </c>
      <c r="AU34" s="137" t="n">
        <f aca="false">IF(A35="","",AO34*AT34)</f>
        <v>30</v>
      </c>
      <c r="AW34" s="195" t="e">
        <f aca="false">IF($A35="","",AL34*$E34)</f>
        <v>#NAME?</v>
      </c>
      <c r="AX34" s="195" t="e">
        <f aca="false">IF($A35="","",AM34*$E34)</f>
        <v>#N/A</v>
      </c>
      <c r="AY34" s="195" t="e">
        <f aca="false">IF($A35="","",AN34*$E34)</f>
        <v>#N/A</v>
      </c>
      <c r="BA34" s="195" t="n">
        <f aca="false">IF($A35="","",F34*Summary!$Q$8)</f>
        <v>0</v>
      </c>
      <c r="BC34" s="179" t="e">
        <f aca="false">IF(A35="","",AM34*F34)</f>
        <v>#N/A</v>
      </c>
    </row>
    <row r="35" customFormat="false" ht="12.75" hidden="false" customHeight="false" outlineLevel="0" collapsed="false">
      <c r="A35" s="196" t="n">
        <f aca="false">IF(A34&lt;mthend,EDATE(A34,1),"")</f>
        <v>37803</v>
      </c>
      <c r="B35" s="197" t="n">
        <f aca="false">IF(A35&lt;mthend,B34,0)</f>
        <v>80000</v>
      </c>
      <c r="C35" s="215"/>
      <c r="D35" s="197" t="n">
        <f aca="false">IF(A36&lt;&gt;"",B35+C35,"")</f>
        <v>80000</v>
      </c>
      <c r="E35" s="199" t="n">
        <f aca="false">IF(A36="","",IF(AND(AT35=1,$H$3=1),D35*AO35,IF($H$3=2,D35,"N/A")))</f>
        <v>2480000</v>
      </c>
      <c r="F35" s="199" t="n">
        <f aca="false">IF(A36="","",E35*AS35)</f>
        <v>21723667.1170095</v>
      </c>
      <c r="G35" s="200" t="e">
        <f aca="false">IF($A36="","",VLOOKUP($A35,Table,MATCH(G$4,Curves,0)))</f>
        <v>#N/A</v>
      </c>
      <c r="H35" s="201" t="e">
        <f aca="false">IF(A36="","",G35)</f>
        <v>#N/A</v>
      </c>
      <c r="I35" s="202"/>
      <c r="J35" s="200" t="e">
        <f aca="false">IF($A36="","",VLOOKUP($A35,Table,MATCH(J$4,Curves,0)))</f>
        <v>#N/A</v>
      </c>
      <c r="K35" s="201" t="e">
        <f aca="false">IF(A36="","",J35)</f>
        <v>#N/A</v>
      </c>
      <c r="L35" s="200" t="e">
        <f aca="false">IF($A36="","",VLOOKUP($A35,Table,MATCH(L$4,Curves,0)))</f>
        <v>#N/A</v>
      </c>
      <c r="M35" s="201" t="e">
        <f aca="false">IF(A36="","",L35)</f>
        <v>#N/A</v>
      </c>
      <c r="N35" s="203"/>
      <c r="O35" s="200" t="e">
        <f aca="false">IF(A36="","",L35+J35+G35)</f>
        <v>#N/A</v>
      </c>
      <c r="P35" s="200" t="e">
        <f aca="false">IF(A36="","",M35+K35+H35)</f>
        <v>#N/A</v>
      </c>
      <c r="Q35" s="204"/>
      <c r="R35" s="200" t="e">
        <f aca="false">IF($A36="","",VLOOKUP($A35,Table,MATCH(R$4,Curves,0)))</f>
        <v>#N/A</v>
      </c>
      <c r="S35" s="201" t="e">
        <f aca="false">IF(A36="","",R35)</f>
        <v>#N/A</v>
      </c>
      <c r="T35" s="200" t="e">
        <f aca="false">IF($A36="","",VLOOKUP($A35,Table,MATCH(T$4,Curves,0)))</f>
        <v>#N/A</v>
      </c>
      <c r="U35" s="201" t="e">
        <f aca="false">IF(A36="","",T35)</f>
        <v>#N/A</v>
      </c>
      <c r="V35" s="183" t="e">
        <f aca="false">IF($A36="","",IF(AND(MONTH(A35)&gt;3,MONTH(A35)&lt;11),(T35+R35+G35)*Summary!$T$8/(1-Summary!$T$8),(T35+R35+G35)*Summary!$U$8/(1-Summary!$U$8)))</f>
        <v>#N/A</v>
      </c>
      <c r="W35" s="200" t="e">
        <f aca="false">IF($A36="","",(T35+R35+G35+V35))</f>
        <v>#N/A</v>
      </c>
      <c r="X35" s="200" t="e">
        <f aca="false">IF($A36="","",(U35+S35+H35+V35))</f>
        <v>#N/A</v>
      </c>
      <c r="Y35" s="202"/>
      <c r="Z35" s="185" t="e">
        <f aca="false">IF($A36="","",VLOOKUP($A35,Table,MATCH(Z$4,Curves,0)))</f>
        <v>#N/A</v>
      </c>
      <c r="AA35" s="185" t="e">
        <f aca="false">IF($A36="","",VLOOKUP($A35,Table,MATCH(AA$4,Curves,0)))</f>
        <v>#N/A</v>
      </c>
      <c r="AB35" s="185" t="e">
        <f aca="false">SQRT((AA35^2*(A35-$D$3)+Z35^2*(DAY(EOMONTH(A35,0))/2))/AK35)</f>
        <v>#N/A</v>
      </c>
      <c r="AC35" s="185" t="e">
        <f aca="false">IF($A36="","",VLOOKUP($A35,Table,MATCH(AC$4,Curves,0)))</f>
        <v>#N/A</v>
      </c>
      <c r="AD35" s="185" t="e">
        <f aca="false">IF($A36="","",VLOOKUP($A35,Table,MATCH(AD$4,Curves,0)))</f>
        <v>#N/A</v>
      </c>
      <c r="AE35" s="185" t="e">
        <f aca="false">SQRT((AD35^2*(A35-$D$3)+AC35^2*(DAY(EOMONTH(A35,0))/2))/AK35)</f>
        <v>#N/A</v>
      </c>
      <c r="AF35" s="224" t="e">
        <f aca="false">((Summary!$N$8*(AA35*AD35)*(A35-$D$3))+(Summary!$M$8*Z35*AC35*(AJ35-EOMONTH(EDATE(A35,-1),0))))/(AK35*AB35*AE35)</f>
        <v>#N/A</v>
      </c>
      <c r="AG35" s="207" t="n">
        <f aca="false">IF($A36="","",Summary!$Q$8)</f>
        <v>0</v>
      </c>
      <c r="AH35" s="207" t="n">
        <f aca="false">IF($A36="","",IF(Summary!$R$8="Y",(VLOOKUP($A35,Summary!$AD$6:$AF$9,3)+'Escalating commodity'!D48),'Escalating commodity'!D48))</f>
        <v>0.020686</v>
      </c>
      <c r="AI35" s="207" t="n">
        <f aca="false">IF($A36="","",AH35)</f>
        <v>0.020686</v>
      </c>
      <c r="AJ35" s="208" t="n">
        <f aca="false">A35+DAY(EOMONTH(A35,0))/2-1</f>
        <v>37817.5</v>
      </c>
      <c r="AK35" s="209" t="n">
        <f aca="false">IF($A36="","",$A35-$E$1)</f>
        <v>-8123</v>
      </c>
      <c r="AL35" s="182" t="e">
        <f aca="false">IF($A36="","",SPRDOPT(P35,X35,AI35,0,AB35,AE35,AF35,AK35,$AJ$2,0))</f>
        <v>#NAME?</v>
      </c>
      <c r="AM35" s="211" t="e">
        <f aca="false">IF($A36="","",MAX(0,O35-W35-AI35))</f>
        <v>#N/A</v>
      </c>
      <c r="AN35" s="211" t="e">
        <f aca="false">IF($A36="","",AL35-AM35)</f>
        <v>#N/A</v>
      </c>
      <c r="AO35" s="137" t="n">
        <f aca="false">IF(A36="","",A36-A35)</f>
        <v>31</v>
      </c>
      <c r="AP35" s="212" t="n">
        <f aca="false">IF(A36="","",CHOOSE(F$3,A36+24,A35))</f>
        <v>37803</v>
      </c>
      <c r="AQ35" s="209" t="n">
        <f aca="false">IF(A36="","",AP35-$E$1)</f>
        <v>-8123</v>
      </c>
      <c r="AR35" s="185" t="n">
        <f aca="false">'ANR OK vs ML7'!AR35</f>
        <v>0.1</v>
      </c>
      <c r="AS35" s="213" t="n">
        <f aca="false">IF(A36="","",1/(1+CHOOSE(F$3,(AR36+($I$3/10000))/2,(AR35+($I$3/10000))/2))^(2*AQ35/365.25))</f>
        <v>8.75954319234254</v>
      </c>
      <c r="AT35" s="137" t="n">
        <f aca="false">IF(A36="","",IF(AND(mthbeg&lt;=A35,mthend&gt;=A35),1,0))</f>
        <v>1</v>
      </c>
      <c r="AU35" s="137" t="n">
        <f aca="false">IF(A36="","",AO35*AT35)</f>
        <v>31</v>
      </c>
      <c r="AW35" s="195" t="e">
        <f aca="false">IF($A36="","",AL35*$E35)</f>
        <v>#NAME?</v>
      </c>
      <c r="AX35" s="195" t="e">
        <f aca="false">IF($A36="","",AM35*$E35)</f>
        <v>#N/A</v>
      </c>
      <c r="AY35" s="195" t="e">
        <f aca="false">IF($A36="","",AN35*$E35)</f>
        <v>#N/A</v>
      </c>
      <c r="BA35" s="195" t="n">
        <f aca="false">IF($A36="","",F35*Summary!$Q$8)</f>
        <v>0</v>
      </c>
      <c r="BC35" s="179" t="e">
        <f aca="false">IF(A36="","",AM35*F35)</f>
        <v>#N/A</v>
      </c>
    </row>
    <row r="36" customFormat="false" ht="12.75" hidden="false" customHeight="false" outlineLevel="0" collapsed="false">
      <c r="A36" s="196" t="n">
        <f aca="false">IF(A35&lt;mthend,EDATE(A35,1),"")</f>
        <v>37834</v>
      </c>
      <c r="B36" s="197" t="n">
        <f aca="false">IF(A36&lt;mthend,B35,0)</f>
        <v>80000</v>
      </c>
      <c r="C36" s="215"/>
      <c r="D36" s="197" t="n">
        <f aca="false">IF(A37&lt;&gt;"",B36+C36,"")</f>
        <v>80000</v>
      </c>
      <c r="E36" s="199" t="n">
        <f aca="false">IF(A37="","",IF(AND(AT36=1,$H$3=1),D36*AO36,IF($H$3=2,D36,"N/A")))</f>
        <v>2480000</v>
      </c>
      <c r="F36" s="199" t="n">
        <f aca="false">IF(A37="","",E36*AS36)</f>
        <v>21544495.2919562</v>
      </c>
      <c r="G36" s="200" t="e">
        <f aca="false">IF($A37="","",VLOOKUP($A36,Table,MATCH(G$4,Curves,0)))</f>
        <v>#N/A</v>
      </c>
      <c r="H36" s="201" t="e">
        <f aca="false">IF(A37="","",G36)</f>
        <v>#N/A</v>
      </c>
      <c r="I36" s="202"/>
      <c r="J36" s="200" t="e">
        <f aca="false">IF($A37="","",VLOOKUP($A36,Table,MATCH(J$4,Curves,0)))</f>
        <v>#N/A</v>
      </c>
      <c r="K36" s="201" t="e">
        <f aca="false">IF(A37="","",J36)</f>
        <v>#N/A</v>
      </c>
      <c r="L36" s="200" t="e">
        <f aca="false">IF($A37="","",VLOOKUP($A36,Table,MATCH(L$4,Curves,0)))</f>
        <v>#N/A</v>
      </c>
      <c r="M36" s="201" t="e">
        <f aca="false">IF(A37="","",L36)</f>
        <v>#N/A</v>
      </c>
      <c r="N36" s="203"/>
      <c r="O36" s="200" t="e">
        <f aca="false">IF(A37="","",L36+J36+G36)</f>
        <v>#N/A</v>
      </c>
      <c r="P36" s="200" t="e">
        <f aca="false">IF(A37="","",M36+K36+H36)</f>
        <v>#N/A</v>
      </c>
      <c r="Q36" s="204"/>
      <c r="R36" s="200" t="e">
        <f aca="false">IF($A37="","",VLOOKUP($A36,Table,MATCH(R$4,Curves,0)))</f>
        <v>#N/A</v>
      </c>
      <c r="S36" s="201" t="e">
        <f aca="false">IF(A37="","",R36)</f>
        <v>#N/A</v>
      </c>
      <c r="T36" s="200" t="e">
        <f aca="false">IF($A37="","",VLOOKUP($A36,Table,MATCH(T$4,Curves,0)))</f>
        <v>#N/A</v>
      </c>
      <c r="U36" s="201" t="e">
        <f aca="false">IF(A37="","",T36)</f>
        <v>#N/A</v>
      </c>
      <c r="V36" s="183" t="e">
        <f aca="false">IF($A37="","",IF(AND(MONTH(A36)&gt;3,MONTH(A36)&lt;11),(T36+R36+G36)*Summary!$T$8/(1-Summary!$T$8),(T36+R36+G36)*Summary!$U$8/(1-Summary!$U$8)))</f>
        <v>#N/A</v>
      </c>
      <c r="W36" s="200" t="e">
        <f aca="false">IF($A37="","",(T36+R36+G36+V36))</f>
        <v>#N/A</v>
      </c>
      <c r="X36" s="200" t="e">
        <f aca="false">IF($A37="","",(U36+S36+H36+V36))</f>
        <v>#N/A</v>
      </c>
      <c r="Y36" s="202"/>
      <c r="Z36" s="185" t="e">
        <f aca="false">IF($A37="","",VLOOKUP($A36,Table,MATCH(Z$4,Curves,0)))</f>
        <v>#N/A</v>
      </c>
      <c r="AA36" s="185" t="e">
        <f aca="false">IF($A37="","",VLOOKUP($A36,Table,MATCH(AA$4,Curves,0)))</f>
        <v>#N/A</v>
      </c>
      <c r="AB36" s="185" t="e">
        <f aca="false">SQRT((AA36^2*(A36-$D$3)+Z36^2*(DAY(EOMONTH(A36,0))/2))/AK36)</f>
        <v>#N/A</v>
      </c>
      <c r="AC36" s="185" t="e">
        <f aca="false">IF($A37="","",VLOOKUP($A36,Table,MATCH(AC$4,Curves,0)))</f>
        <v>#N/A</v>
      </c>
      <c r="AD36" s="185" t="e">
        <f aca="false">IF($A37="","",VLOOKUP($A36,Table,MATCH(AD$4,Curves,0)))</f>
        <v>#N/A</v>
      </c>
      <c r="AE36" s="185" t="e">
        <f aca="false">SQRT((AD36^2*(A36-$D$3)+AC36^2*(DAY(EOMONTH(A36,0))/2))/AK36)</f>
        <v>#N/A</v>
      </c>
      <c r="AF36" s="224" t="e">
        <f aca="false">((Summary!$N$8*(AA36*AD36)*(A36-$D$3))+(Summary!$M$8*Z36*AC36*(AJ36-EOMONTH(EDATE(A36,-1),0))))/(AK36*AB36*AE36)</f>
        <v>#N/A</v>
      </c>
      <c r="AG36" s="207" t="n">
        <f aca="false">IF($A37="","",Summary!$Q$8)</f>
        <v>0</v>
      </c>
      <c r="AH36" s="207" t="n">
        <f aca="false">IF($A37="","",IF(Summary!$R$8="Y",(VLOOKUP($A36,Summary!$AD$6:$AF$9,3)+'Escalating commodity'!D49),'Escalating commodity'!D49))</f>
        <v>0.020686</v>
      </c>
      <c r="AI36" s="207" t="n">
        <f aca="false">IF($A37="","",AH36)</f>
        <v>0.020686</v>
      </c>
      <c r="AJ36" s="208" t="n">
        <f aca="false">A36+DAY(EOMONTH(A36,0))/2-1</f>
        <v>37848.5</v>
      </c>
      <c r="AK36" s="209" t="n">
        <f aca="false">IF($A37="","",$A36-$E$1)</f>
        <v>-8092</v>
      </c>
      <c r="AL36" s="182" t="e">
        <f aca="false">IF($A37="","",SPRDOPT(P36,X36,AI36,0,AB36,AE36,AF36,AK36,$AJ$2,0))</f>
        <v>#NAME?</v>
      </c>
      <c r="AM36" s="211" t="e">
        <f aca="false">IF($A37="","",MAX(0,O36-W36-AI36))</f>
        <v>#N/A</v>
      </c>
      <c r="AN36" s="211" t="e">
        <f aca="false">IF($A37="","",AL36-AM36)</f>
        <v>#N/A</v>
      </c>
      <c r="AO36" s="137" t="n">
        <f aca="false">IF(A37="","",A37-A36)</f>
        <v>31</v>
      </c>
      <c r="AP36" s="212" t="n">
        <f aca="false">IF(A37="","",CHOOSE(F$3,A37+24,A36))</f>
        <v>37834</v>
      </c>
      <c r="AQ36" s="209" t="n">
        <f aca="false">IF(A37="","",AP36-$E$1)</f>
        <v>-8092</v>
      </c>
      <c r="AR36" s="185" t="n">
        <f aca="false">'ANR OK vs ML7'!AR36</f>
        <v>0.1</v>
      </c>
      <c r="AS36" s="213" t="n">
        <f aca="false">IF(A37="","",1/(1+CHOOSE(F$3,(AR37+($I$3/10000))/2,(AR36+($I$3/10000))/2))^(2*AQ36/365.25))</f>
        <v>8.687296488692</v>
      </c>
      <c r="AT36" s="137" t="n">
        <f aca="false">IF(A37="","",IF(AND(mthbeg&lt;=A36,mthend&gt;=A36),1,0))</f>
        <v>1</v>
      </c>
      <c r="AU36" s="137" t="n">
        <f aca="false">IF(A37="","",AO36*AT36)</f>
        <v>31</v>
      </c>
      <c r="AW36" s="195" t="e">
        <f aca="false">IF($A37="","",AL36*$E36)</f>
        <v>#NAME?</v>
      </c>
      <c r="AX36" s="195" t="e">
        <f aca="false">IF($A37="","",AM36*$E36)</f>
        <v>#N/A</v>
      </c>
      <c r="AY36" s="195" t="e">
        <f aca="false">IF($A37="","",AN36*$E36)</f>
        <v>#N/A</v>
      </c>
      <c r="BA36" s="195" t="n">
        <f aca="false">IF($A37="","",F36*Summary!$Q$8)</f>
        <v>0</v>
      </c>
      <c r="BC36" s="179" t="e">
        <f aca="false">IF(A37="","",AM36*F36)</f>
        <v>#N/A</v>
      </c>
    </row>
    <row r="37" customFormat="false" ht="12.75" hidden="false" customHeight="false" outlineLevel="0" collapsed="false">
      <c r="A37" s="196" t="n">
        <f aca="false">IF(A36&lt;mthend,EDATE(A36,1),"")</f>
        <v>37865</v>
      </c>
      <c r="B37" s="197" t="n">
        <f aca="false">IF(A37&lt;mthend,B36,0)</f>
        <v>80000</v>
      </c>
      <c r="C37" s="215"/>
      <c r="D37" s="197" t="n">
        <f aca="false">IF(A38&lt;&gt;"",B37+C37,"")</f>
        <v>80000</v>
      </c>
      <c r="E37" s="199" t="n">
        <f aca="false">IF(A38="","",IF(AND(AT37=1,$H$3=1),D37*AO37,IF($H$3=2,D37,"N/A")))</f>
        <v>2400000</v>
      </c>
      <c r="F37" s="199" t="n">
        <f aca="false">IF(A38="","",E37*AS37)</f>
        <v>20677549.5822881</v>
      </c>
      <c r="G37" s="200" t="e">
        <f aca="false">IF($A38="","",VLOOKUP($A37,Table,MATCH(G$4,Curves,0)))</f>
        <v>#N/A</v>
      </c>
      <c r="H37" s="201" t="e">
        <f aca="false">IF(A38="","",G37)</f>
        <v>#N/A</v>
      </c>
      <c r="I37" s="202"/>
      <c r="J37" s="200" t="e">
        <f aca="false">IF($A38="","",VLOOKUP($A37,Table,MATCH(J$4,Curves,0)))</f>
        <v>#N/A</v>
      </c>
      <c r="K37" s="201" t="e">
        <f aca="false">IF(A38="","",J37)</f>
        <v>#N/A</v>
      </c>
      <c r="L37" s="200" t="e">
        <f aca="false">IF($A38="","",VLOOKUP($A37,Table,MATCH(L$4,Curves,0)))</f>
        <v>#N/A</v>
      </c>
      <c r="M37" s="201" t="e">
        <f aca="false">IF(A38="","",L37)</f>
        <v>#N/A</v>
      </c>
      <c r="N37" s="203"/>
      <c r="O37" s="200" t="e">
        <f aca="false">IF(A38="","",L37+J37+G37)</f>
        <v>#N/A</v>
      </c>
      <c r="P37" s="200" t="e">
        <f aca="false">IF(A38="","",M37+K37+H37)</f>
        <v>#N/A</v>
      </c>
      <c r="Q37" s="204"/>
      <c r="R37" s="200" t="e">
        <f aca="false">IF($A38="","",VLOOKUP($A37,Table,MATCH(R$4,Curves,0)))</f>
        <v>#N/A</v>
      </c>
      <c r="S37" s="201" t="e">
        <f aca="false">IF(A38="","",R37)</f>
        <v>#N/A</v>
      </c>
      <c r="T37" s="200" t="e">
        <f aca="false">IF($A38="","",VLOOKUP($A37,Table,MATCH(T$4,Curves,0)))</f>
        <v>#N/A</v>
      </c>
      <c r="U37" s="201" t="e">
        <f aca="false">IF(A38="","",T37)</f>
        <v>#N/A</v>
      </c>
      <c r="V37" s="183" t="e">
        <f aca="false">IF($A38="","",IF(AND(MONTH(A37)&gt;3,MONTH(A37)&lt;11),(T37+R37+G37)*Summary!$T$8/(1-Summary!$T$8),(T37+R37+G37)*Summary!$U$8/(1-Summary!$U$8)))</f>
        <v>#N/A</v>
      </c>
      <c r="W37" s="200" t="e">
        <f aca="false">IF($A38="","",(T37+R37+G37+V37))</f>
        <v>#N/A</v>
      </c>
      <c r="X37" s="200" t="e">
        <f aca="false">IF($A38="","",(U37+S37+H37+V37))</f>
        <v>#N/A</v>
      </c>
      <c r="Y37" s="202"/>
      <c r="Z37" s="185" t="e">
        <f aca="false">IF($A38="","",VLOOKUP($A37,Table,MATCH(Z$4,Curves,0)))</f>
        <v>#N/A</v>
      </c>
      <c r="AA37" s="185" t="e">
        <f aca="false">IF($A38="","",VLOOKUP($A37,Table,MATCH(AA$4,Curves,0)))</f>
        <v>#N/A</v>
      </c>
      <c r="AB37" s="185" t="e">
        <f aca="false">SQRT((AA37^2*(A37-$D$3)+Z37^2*(DAY(EOMONTH(A37,0))/2))/AK37)</f>
        <v>#N/A</v>
      </c>
      <c r="AC37" s="185" t="e">
        <f aca="false">IF($A38="","",VLOOKUP($A37,Table,MATCH(AC$4,Curves,0)))</f>
        <v>#N/A</v>
      </c>
      <c r="AD37" s="185" t="e">
        <f aca="false">IF($A38="","",VLOOKUP($A37,Table,MATCH(AD$4,Curves,0)))</f>
        <v>#N/A</v>
      </c>
      <c r="AE37" s="185" t="e">
        <f aca="false">SQRT((AD37^2*(A37-$D$3)+AC37^2*(DAY(EOMONTH(A37,0))/2))/AK37)</f>
        <v>#N/A</v>
      </c>
      <c r="AF37" s="224" t="e">
        <f aca="false">((Summary!$N$8*(AA37*AD37)*(A37-$D$3))+(Summary!$M$8*Z37*AC37*(AJ37-EOMONTH(EDATE(A37,-1),0))))/(AK37*AB37*AE37)</f>
        <v>#N/A</v>
      </c>
      <c r="AG37" s="207" t="n">
        <f aca="false">IF($A38="","",Summary!$Q$8)</f>
        <v>0</v>
      </c>
      <c r="AH37" s="207" t="n">
        <f aca="false">IF($A38="","",IF(Summary!$R$8="Y",(VLOOKUP($A37,Summary!$AD$6:$AF$9,3)+'Escalating commodity'!D50),'Escalating commodity'!D50))</f>
        <v>0.020686</v>
      </c>
      <c r="AI37" s="207" t="n">
        <f aca="false">IF($A38="","",AH37)</f>
        <v>0.020686</v>
      </c>
      <c r="AJ37" s="208" t="n">
        <f aca="false">A37+DAY(EOMONTH(A37,0))/2-1</f>
        <v>37879</v>
      </c>
      <c r="AK37" s="209" t="n">
        <f aca="false">IF($A38="","",$A37-$E$1)</f>
        <v>-8061</v>
      </c>
      <c r="AL37" s="182" t="e">
        <f aca="false">IF($A38="","",SPRDOPT(P37,X37,AI37,0,AB37,AE37,AF37,AK37,$AJ$2,0))</f>
        <v>#NAME?</v>
      </c>
      <c r="AM37" s="211" t="e">
        <f aca="false">IF($A38="","",MAX(0,O37-W37-AI37))</f>
        <v>#N/A</v>
      </c>
      <c r="AN37" s="211" t="e">
        <f aca="false">IF($A38="","",AL37-AM37)</f>
        <v>#N/A</v>
      </c>
      <c r="AO37" s="137" t="n">
        <f aca="false">IF(A38="","",A38-A37)</f>
        <v>30</v>
      </c>
      <c r="AP37" s="212" t="n">
        <f aca="false">IF(A38="","",CHOOSE(F$3,A38+24,A37))</f>
        <v>37865</v>
      </c>
      <c r="AQ37" s="209" t="n">
        <f aca="false">IF(A38="","",AP37-$E$1)</f>
        <v>-8061</v>
      </c>
      <c r="AR37" s="185" t="n">
        <f aca="false">'ANR OK vs ML7'!AR37</f>
        <v>0.1</v>
      </c>
      <c r="AS37" s="213" t="n">
        <f aca="false">IF(A38="","",1/(1+CHOOSE(F$3,(AR38+($I$3/10000))/2,(AR37+($I$3/10000))/2))^(2*AQ37/365.25))</f>
        <v>8.6156456592867</v>
      </c>
      <c r="AT37" s="137" t="n">
        <f aca="false">IF(A38="","",IF(AND(mthbeg&lt;=A37,mthend&gt;=A37),1,0))</f>
        <v>1</v>
      </c>
      <c r="AU37" s="137" t="n">
        <f aca="false">IF(A38="","",AO37*AT37)</f>
        <v>30</v>
      </c>
      <c r="AW37" s="195" t="e">
        <f aca="false">IF($A38="","",AL37*$E37)</f>
        <v>#NAME?</v>
      </c>
      <c r="AX37" s="195" t="e">
        <f aca="false">IF($A38="","",AM37*$E37)</f>
        <v>#N/A</v>
      </c>
      <c r="AY37" s="195" t="e">
        <f aca="false">IF($A38="","",AN37*$E37)</f>
        <v>#N/A</v>
      </c>
      <c r="BA37" s="195" t="n">
        <f aca="false">IF($A38="","",F37*Summary!$Q$8)</f>
        <v>0</v>
      </c>
      <c r="BC37" s="179" t="e">
        <f aca="false">IF(A38="","",AM37*F37)</f>
        <v>#N/A</v>
      </c>
    </row>
    <row r="38" customFormat="false" ht="12.75" hidden="false" customHeight="false" outlineLevel="0" collapsed="false">
      <c r="A38" s="196" t="n">
        <f aca="false">IF(A37&lt;mthend,EDATE(A37,1),"")</f>
        <v>37895</v>
      </c>
      <c r="B38" s="197" t="n">
        <f aca="false">IF(A38&lt;mthend,B37,0)</f>
        <v>80000</v>
      </c>
      <c r="C38" s="215"/>
      <c r="D38" s="197" t="n">
        <f aca="false">IF(A39&lt;&gt;"",B38+C38,"")</f>
        <v>80000</v>
      </c>
      <c r="E38" s="199" t="n">
        <f aca="false">IF(A39="","",IF(AND(AT38=1,$H$3=1),D38*AO38,IF($H$3=2,D38,"N/A")))</f>
        <v>2480000</v>
      </c>
      <c r="F38" s="199" t="n">
        <f aca="false">IF(A39="","",E38*AS38)</f>
        <v>21196234.7956878</v>
      </c>
      <c r="G38" s="200" t="e">
        <f aca="false">IF($A39="","",VLOOKUP($A38,Table,MATCH(G$4,Curves,0)))</f>
        <v>#N/A</v>
      </c>
      <c r="H38" s="201" t="e">
        <f aca="false">IF(A39="","",G38)</f>
        <v>#N/A</v>
      </c>
      <c r="I38" s="202"/>
      <c r="J38" s="200" t="e">
        <f aca="false">IF($A39="","",VLOOKUP($A38,Table,MATCH(J$4,Curves,0)))</f>
        <v>#N/A</v>
      </c>
      <c r="K38" s="201" t="e">
        <f aca="false">IF(A39="","",J38)</f>
        <v>#N/A</v>
      </c>
      <c r="L38" s="200" t="e">
        <f aca="false">IF($A39="","",VLOOKUP($A38,Table,MATCH(L$4,Curves,0)))</f>
        <v>#N/A</v>
      </c>
      <c r="M38" s="201" t="e">
        <f aca="false">IF(A39="","",L38)</f>
        <v>#N/A</v>
      </c>
      <c r="N38" s="203"/>
      <c r="O38" s="200" t="e">
        <f aca="false">IF(A39="","",L38+J38+G38)</f>
        <v>#N/A</v>
      </c>
      <c r="P38" s="200" t="e">
        <f aca="false">IF(A39="","",M38+K38+H38)</f>
        <v>#N/A</v>
      </c>
      <c r="Q38" s="204"/>
      <c r="R38" s="200" t="e">
        <f aca="false">IF($A39="","",VLOOKUP($A38,Table,MATCH(R$4,Curves,0)))</f>
        <v>#N/A</v>
      </c>
      <c r="S38" s="201" t="e">
        <f aca="false">IF(A39="","",R38)</f>
        <v>#N/A</v>
      </c>
      <c r="T38" s="200" t="e">
        <f aca="false">IF($A39="","",VLOOKUP($A38,Table,MATCH(T$4,Curves,0)))</f>
        <v>#N/A</v>
      </c>
      <c r="U38" s="201" t="e">
        <f aca="false">IF(A39="","",T38)</f>
        <v>#N/A</v>
      </c>
      <c r="V38" s="183" t="e">
        <f aca="false">IF($A39="","",IF(AND(MONTH(A38)&gt;3,MONTH(A38)&lt;11),(T38+R38+G38)*Summary!$T$8/(1-Summary!$T$8),(T38+R38+G38)*Summary!$U$8/(1-Summary!$U$8)))</f>
        <v>#N/A</v>
      </c>
      <c r="W38" s="200" t="e">
        <f aca="false">IF($A39="","",(T38+R38+G38+V38))</f>
        <v>#N/A</v>
      </c>
      <c r="X38" s="200" t="e">
        <f aca="false">IF($A39="","",(U38+S38+H38+V38))</f>
        <v>#N/A</v>
      </c>
      <c r="Y38" s="202"/>
      <c r="Z38" s="185" t="e">
        <f aca="false">IF($A39="","",VLOOKUP($A38,Table,MATCH(Z$4,Curves,0)))</f>
        <v>#N/A</v>
      </c>
      <c r="AA38" s="185" t="e">
        <f aca="false">IF($A39="","",VLOOKUP($A38,Table,MATCH(AA$4,Curves,0)))</f>
        <v>#N/A</v>
      </c>
      <c r="AB38" s="185" t="e">
        <f aca="false">SQRT((AA38^2*(A38-$D$3)+Z38^2*(DAY(EOMONTH(A38,0))/2))/AK38)</f>
        <v>#N/A</v>
      </c>
      <c r="AC38" s="185" t="e">
        <f aca="false">IF($A39="","",VLOOKUP($A38,Table,MATCH(AC$4,Curves,0)))</f>
        <v>#N/A</v>
      </c>
      <c r="AD38" s="185" t="e">
        <f aca="false">IF($A39="","",VLOOKUP($A38,Table,MATCH(AD$4,Curves,0)))</f>
        <v>#N/A</v>
      </c>
      <c r="AE38" s="185" t="e">
        <f aca="false">SQRT((AD38^2*(A38-$D$3)+AC38^2*(DAY(EOMONTH(A38,0))/2))/AK38)</f>
        <v>#N/A</v>
      </c>
      <c r="AF38" s="224" t="e">
        <f aca="false">((Summary!$N$8*(AA38*AD38)*(A38-$D$3))+(Summary!$M$8*Z38*AC38*(AJ38-EOMONTH(EDATE(A38,-1),0))))/(AK38*AB38*AE38)</f>
        <v>#N/A</v>
      </c>
      <c r="AG38" s="207" t="n">
        <f aca="false">IF($A39="","",Summary!$Q$8)</f>
        <v>0</v>
      </c>
      <c r="AH38" s="207" t="n">
        <f aca="false">IF($A39="","",IF(Summary!$R$8="Y",(VLOOKUP($A38,Summary!$AD$6:$AF$9,3)+'Escalating commodity'!D51),'Escalating commodity'!D51))</f>
        <v>0.020686</v>
      </c>
      <c r="AI38" s="207" t="n">
        <f aca="false">IF($A39="","",AH38)</f>
        <v>0.020686</v>
      </c>
      <c r="AJ38" s="208" t="n">
        <f aca="false">A38+DAY(EOMONTH(A38,0))/2-1</f>
        <v>37909.5</v>
      </c>
      <c r="AK38" s="209" t="n">
        <f aca="false">IF($A39="","",$A38-$E$1)</f>
        <v>-8031</v>
      </c>
      <c r="AL38" s="182" t="e">
        <f aca="false">IF($A39="","",SPRDOPT(P38,X38,AI38,0,AB38,AE38,AF38,AK38,$AJ$2,0))</f>
        <v>#NAME?</v>
      </c>
      <c r="AM38" s="211" t="e">
        <f aca="false">IF($A39="","",MAX(0,O38-W38-AI38))</f>
        <v>#N/A</v>
      </c>
      <c r="AN38" s="211" t="e">
        <f aca="false">IF($A39="","",AL38-AM38)</f>
        <v>#N/A</v>
      </c>
      <c r="AO38" s="137" t="n">
        <f aca="false">IF(A39="","",A39-A38)</f>
        <v>31</v>
      </c>
      <c r="AP38" s="212" t="n">
        <f aca="false">IF(A39="","",CHOOSE(F$3,A39+24,A38))</f>
        <v>37895</v>
      </c>
      <c r="AQ38" s="209" t="n">
        <f aca="false">IF(A39="","",AP38-$E$1)</f>
        <v>-8031</v>
      </c>
      <c r="AR38" s="185" t="n">
        <f aca="false">'ANR OK vs ML7'!AR38</f>
        <v>0.1</v>
      </c>
      <c r="AS38" s="213" t="n">
        <f aca="false">IF(A39="","",1/(1+CHOOSE(F$3,(AR39+($I$3/10000))/2,(AR38+($I$3/10000))/2))^(2*AQ38/365.25))</f>
        <v>8.54686886922894</v>
      </c>
      <c r="AT38" s="137" t="n">
        <f aca="false">IF(A39="","",IF(AND(mthbeg&lt;=A38,mthend&gt;=A38),1,0))</f>
        <v>1</v>
      </c>
      <c r="AU38" s="137" t="n">
        <f aca="false">IF(A39="","",AO38*AT38)</f>
        <v>31</v>
      </c>
      <c r="AW38" s="195" t="e">
        <f aca="false">IF($A39="","",AL38*$E38)</f>
        <v>#NAME?</v>
      </c>
      <c r="AX38" s="195" t="e">
        <f aca="false">IF($A39="","",AM38*$E38)</f>
        <v>#N/A</v>
      </c>
      <c r="AY38" s="195" t="e">
        <f aca="false">IF($A39="","",AN38*$E38)</f>
        <v>#N/A</v>
      </c>
      <c r="BA38" s="195" t="n">
        <f aca="false">IF($A39="","",F38*Summary!$Q$8)</f>
        <v>0</v>
      </c>
      <c r="BC38" s="179" t="e">
        <f aca="false">IF(A39="","",AM38*F38)</f>
        <v>#N/A</v>
      </c>
    </row>
    <row r="39" customFormat="false" ht="12.75" hidden="false" customHeight="false" outlineLevel="0" collapsed="false">
      <c r="A39" s="196" t="n">
        <f aca="false">IF(A38&lt;mthend,EDATE(A38,1),"")</f>
        <v>37926</v>
      </c>
      <c r="B39" s="197" t="n">
        <f aca="false">IF(A39&lt;mthend,B38,0)</f>
        <v>80000</v>
      </c>
      <c r="C39" s="215"/>
      <c r="D39" s="197" t="n">
        <f aca="false">IF(A40&lt;&gt;"",B39+C39,"")</f>
        <v>80000</v>
      </c>
      <c r="E39" s="199" t="n">
        <f aca="false">IF(A40="","",IF(AND(AT39=1,$H$3=1),D39*AO39,IF($H$3=2,D39,"N/A")))</f>
        <v>2400000</v>
      </c>
      <c r="F39" s="199" t="n">
        <f aca="false">IF(A40="","",E39*AS39)</f>
        <v>20343303.011108</v>
      </c>
      <c r="G39" s="200" t="e">
        <f aca="false">IF($A40="","",VLOOKUP($A39,Table,MATCH(G$4,Curves,0)))</f>
        <v>#N/A</v>
      </c>
      <c r="H39" s="201" t="e">
        <f aca="false">IF(A40="","",G39)</f>
        <v>#N/A</v>
      </c>
      <c r="I39" s="202"/>
      <c r="J39" s="200" t="e">
        <f aca="false">IF($A40="","",VLOOKUP($A39,Table,MATCH(J$4,Curves,0)))</f>
        <v>#N/A</v>
      </c>
      <c r="K39" s="201" t="e">
        <f aca="false">IF(A40="","",J39)</f>
        <v>#N/A</v>
      </c>
      <c r="L39" s="200" t="e">
        <f aca="false">IF($A40="","",VLOOKUP($A39,Table,MATCH(L$4,Curves,0)))</f>
        <v>#N/A</v>
      </c>
      <c r="M39" s="201" t="e">
        <f aca="false">IF(A40="","",L39)</f>
        <v>#N/A</v>
      </c>
      <c r="N39" s="203"/>
      <c r="O39" s="200" t="e">
        <f aca="false">IF(A40="","",L39+J39+G39)</f>
        <v>#N/A</v>
      </c>
      <c r="P39" s="200" t="e">
        <f aca="false">IF(A40="","",M39+K39+H39)</f>
        <v>#N/A</v>
      </c>
      <c r="Q39" s="204"/>
      <c r="R39" s="200" t="e">
        <f aca="false">IF($A40="","",VLOOKUP($A39,Table,MATCH(R$4,Curves,0)))</f>
        <v>#N/A</v>
      </c>
      <c r="S39" s="201" t="e">
        <f aca="false">IF(A40="","",R39)</f>
        <v>#N/A</v>
      </c>
      <c r="T39" s="200" t="e">
        <f aca="false">IF($A40="","",VLOOKUP($A39,Table,MATCH(T$4,Curves,0)))</f>
        <v>#N/A</v>
      </c>
      <c r="U39" s="201" t="e">
        <f aca="false">IF(A40="","",T39)</f>
        <v>#N/A</v>
      </c>
      <c r="V39" s="183" t="e">
        <f aca="false">IF($A40="","",IF(AND(MONTH(A39)&gt;3,MONTH(A39)&lt;11),(T39+R39+G39)*Summary!$T$8/(1-Summary!$T$8),(T39+R39+G39)*Summary!$U$8/(1-Summary!$U$8)))</f>
        <v>#N/A</v>
      </c>
      <c r="W39" s="200" t="e">
        <f aca="false">IF($A40="","",(T39+R39+G39+V39))</f>
        <v>#N/A</v>
      </c>
      <c r="X39" s="200" t="e">
        <f aca="false">IF($A40="","",(U39+S39+H39+V39))</f>
        <v>#N/A</v>
      </c>
      <c r="Y39" s="202"/>
      <c r="Z39" s="185" t="e">
        <f aca="false">IF($A40="","",VLOOKUP($A39,Table,MATCH(Z$4,Curves,0)))</f>
        <v>#N/A</v>
      </c>
      <c r="AA39" s="185" t="e">
        <f aca="false">IF($A40="","",VLOOKUP($A39,Table,MATCH(AA$4,Curves,0)))</f>
        <v>#N/A</v>
      </c>
      <c r="AB39" s="185" t="e">
        <f aca="false">SQRT((AA39^2*(A39-$D$3)+Z39^2*(DAY(EOMONTH(A39,0))/2))/AK39)</f>
        <v>#N/A</v>
      </c>
      <c r="AC39" s="185" t="e">
        <f aca="false">IF($A40="","",VLOOKUP($A39,Table,MATCH(AC$4,Curves,0)))</f>
        <v>#N/A</v>
      </c>
      <c r="AD39" s="185" t="e">
        <f aca="false">IF($A40="","",VLOOKUP($A39,Table,MATCH(AD$4,Curves,0)))</f>
        <v>#N/A</v>
      </c>
      <c r="AE39" s="185" t="e">
        <f aca="false">SQRT((AD39^2*(A39-$D$3)+AC39^2*(DAY(EOMONTH(A39,0))/2))/AK39)</f>
        <v>#N/A</v>
      </c>
      <c r="AF39" s="224" t="e">
        <f aca="false">((Summary!$N$8*(AA39*AD39)*(A39-$D$3))+(Summary!$M$8*Z39*AC39*(AJ39-EOMONTH(EDATE(A39,-1),0))))/(AK39*AB39*AE39)</f>
        <v>#N/A</v>
      </c>
      <c r="AG39" s="207" t="n">
        <f aca="false">IF($A40="","",Summary!$Q$8)</f>
        <v>0</v>
      </c>
      <c r="AH39" s="207" t="n">
        <f aca="false">IF($A40="","",IF(Summary!$R$8="Y",(VLOOKUP($A39,Summary!$AD$6:$AF$9,3)+'Escalating commodity'!D52),'Escalating commodity'!D52))</f>
        <v>0.020686</v>
      </c>
      <c r="AI39" s="207" t="n">
        <f aca="false">IF($A40="","",AH39)</f>
        <v>0.020686</v>
      </c>
      <c r="AJ39" s="208" t="n">
        <f aca="false">A39+DAY(EOMONTH(A39,0))/2-1</f>
        <v>37940</v>
      </c>
      <c r="AK39" s="209" t="n">
        <f aca="false">IF($A40="","",$A39-$E$1)</f>
        <v>-8000</v>
      </c>
      <c r="AL39" s="182" t="e">
        <f aca="false">IF($A40="","",SPRDOPT(P39,X39,AI39,0,AB39,AE39,AF39,AK39,$AJ$2,0))</f>
        <v>#NAME?</v>
      </c>
      <c r="AM39" s="211" t="e">
        <f aca="false">IF($A40="","",MAX(0,O39-W39-AI39))</f>
        <v>#N/A</v>
      </c>
      <c r="AN39" s="211" t="e">
        <f aca="false">IF($A40="","",AL39-AM39)</f>
        <v>#N/A</v>
      </c>
      <c r="AO39" s="137" t="n">
        <f aca="false">IF(A40="","",A40-A39)</f>
        <v>30</v>
      </c>
      <c r="AP39" s="212" t="n">
        <f aca="false">IF(A40="","",CHOOSE(F$3,A40+24,A39))</f>
        <v>37926</v>
      </c>
      <c r="AQ39" s="209" t="n">
        <f aca="false">IF(A40="","",AP39-$E$1)</f>
        <v>-8000</v>
      </c>
      <c r="AR39" s="185" t="n">
        <f aca="false">'ANR OK vs ML7'!AR39</f>
        <v>0.1</v>
      </c>
      <c r="AS39" s="213" t="n">
        <f aca="false">IF(A40="","",1/(1+CHOOSE(F$3,(AR40+($I$3/10000))/2,(AR39+($I$3/10000))/2))^(2*AQ39/365.25))</f>
        <v>8.47637625462833</v>
      </c>
      <c r="AT39" s="137" t="n">
        <f aca="false">IF(A40="","",IF(AND(mthbeg&lt;=A39,mthend&gt;=A39),1,0))</f>
        <v>1</v>
      </c>
      <c r="AU39" s="137" t="n">
        <f aca="false">IF(A40="","",AO39*AT39)</f>
        <v>30</v>
      </c>
      <c r="AW39" s="195" t="e">
        <f aca="false">IF($A40="","",AL39*$E39)</f>
        <v>#NAME?</v>
      </c>
      <c r="AX39" s="195" t="e">
        <f aca="false">IF($A40="","",AM39*$E39)</f>
        <v>#N/A</v>
      </c>
      <c r="AY39" s="195" t="e">
        <f aca="false">IF($A40="","",AN39*$E39)</f>
        <v>#N/A</v>
      </c>
      <c r="BA39" s="195" t="n">
        <f aca="false">IF($A40="","",F39*Summary!$Q$8)</f>
        <v>0</v>
      </c>
      <c r="BC39" s="179" t="e">
        <f aca="false">IF(A40="","",AM39*F39)</f>
        <v>#N/A</v>
      </c>
    </row>
    <row r="40" customFormat="false" ht="12.75" hidden="false" customHeight="false" outlineLevel="0" collapsed="false">
      <c r="A40" s="196" t="n">
        <f aca="false">IF(A39&lt;mthend,EDATE(A39,1),"")</f>
        <v>37956</v>
      </c>
      <c r="B40" s="197" t="n">
        <f aca="false">IF(A40&lt;mthend,B39,0)</f>
        <v>80000</v>
      </c>
      <c r="C40" s="215"/>
      <c r="D40" s="197" t="n">
        <f aca="false">IF(A41&lt;&gt;"",B40+C40,"")</f>
        <v>80000</v>
      </c>
      <c r="E40" s="199" t="n">
        <f aca="false">IF(A41="","",IF(AND(AT40=1,$H$3=1),D40*AO40,IF($H$3=2,D40,"N/A")))</f>
        <v>2480000</v>
      </c>
      <c r="F40" s="199" t="n">
        <f aca="false">IF(A41="","",E40*AS40)</f>
        <v>20853603.8289868</v>
      </c>
      <c r="G40" s="200" t="e">
        <f aca="false">IF($A41="","",VLOOKUP($A40,Table,MATCH(G$4,Curves,0)))</f>
        <v>#N/A</v>
      </c>
      <c r="H40" s="201" t="e">
        <f aca="false">IF(A41="","",G40)</f>
        <v>#N/A</v>
      </c>
      <c r="I40" s="202"/>
      <c r="J40" s="200" t="e">
        <f aca="false">IF($A41="","",VLOOKUP($A40,Table,MATCH(J$4,Curves,0)))</f>
        <v>#N/A</v>
      </c>
      <c r="K40" s="201" t="e">
        <f aca="false">IF(A41="","",J40)</f>
        <v>#N/A</v>
      </c>
      <c r="L40" s="200" t="e">
        <f aca="false">IF($A41="","",VLOOKUP($A40,Table,MATCH(L$4,Curves,0)))</f>
        <v>#N/A</v>
      </c>
      <c r="M40" s="201" t="e">
        <f aca="false">IF(A41="","",L40)</f>
        <v>#N/A</v>
      </c>
      <c r="N40" s="203"/>
      <c r="O40" s="200" t="e">
        <f aca="false">IF(A41="","",L40+J40+G40)</f>
        <v>#N/A</v>
      </c>
      <c r="P40" s="200" t="e">
        <f aca="false">IF(A41="","",M40+K40+H40)</f>
        <v>#N/A</v>
      </c>
      <c r="Q40" s="204"/>
      <c r="R40" s="200" t="e">
        <f aca="false">IF($A41="","",VLOOKUP($A40,Table,MATCH(R$4,Curves,0)))</f>
        <v>#N/A</v>
      </c>
      <c r="S40" s="201" t="e">
        <f aca="false">IF(A41="","",R40)</f>
        <v>#N/A</v>
      </c>
      <c r="T40" s="200" t="e">
        <f aca="false">IF($A41="","",VLOOKUP($A40,Table,MATCH(T$4,Curves,0)))</f>
        <v>#N/A</v>
      </c>
      <c r="U40" s="201" t="e">
        <f aca="false">IF(A41="","",T40)</f>
        <v>#N/A</v>
      </c>
      <c r="V40" s="183" t="e">
        <f aca="false">IF($A41="","",IF(AND(MONTH(A40)&gt;3,MONTH(A40)&lt;11),(T40+R40+G40)*Summary!$T$8/(1-Summary!$T$8),(T40+R40+G40)*Summary!$U$8/(1-Summary!$U$8)))</f>
        <v>#N/A</v>
      </c>
      <c r="W40" s="200" t="e">
        <f aca="false">IF($A41="","",(T40+R40+G40+V40))</f>
        <v>#N/A</v>
      </c>
      <c r="X40" s="200" t="e">
        <f aca="false">IF($A41="","",(U40+S40+H40+V40))</f>
        <v>#N/A</v>
      </c>
      <c r="Y40" s="202"/>
      <c r="Z40" s="185" t="e">
        <f aca="false">IF($A41="","",VLOOKUP($A40,Table,MATCH(Z$4,Curves,0)))</f>
        <v>#N/A</v>
      </c>
      <c r="AA40" s="185" t="e">
        <f aca="false">IF($A41="","",VLOOKUP($A40,Table,MATCH(AA$4,Curves,0)))</f>
        <v>#N/A</v>
      </c>
      <c r="AB40" s="185" t="e">
        <f aca="false">SQRT((AA40^2*(A40-$D$3)+Z40^2*(DAY(EOMONTH(A40,0))/2))/AK40)</f>
        <v>#N/A</v>
      </c>
      <c r="AC40" s="185" t="e">
        <f aca="false">IF($A41="","",VLOOKUP($A40,Table,MATCH(AC$4,Curves,0)))</f>
        <v>#N/A</v>
      </c>
      <c r="AD40" s="185" t="e">
        <f aca="false">IF($A41="","",VLOOKUP($A40,Table,MATCH(AD$4,Curves,0)))</f>
        <v>#N/A</v>
      </c>
      <c r="AE40" s="185" t="e">
        <f aca="false">SQRT((AD40^2*(A40-$D$3)+AC40^2*(DAY(EOMONTH(A40,0))/2))/AK40)</f>
        <v>#N/A</v>
      </c>
      <c r="AF40" s="224" t="e">
        <f aca="false">((Summary!$N$8*(AA40*AD40)*(A40-$D$3))+(Summary!$M$8*Z40*AC40*(AJ40-EOMONTH(EDATE(A40,-1),0))))/(AK40*AB40*AE40)</f>
        <v>#N/A</v>
      </c>
      <c r="AG40" s="207" t="n">
        <f aca="false">IF($A41="","",Summary!$Q$8)</f>
        <v>0</v>
      </c>
      <c r="AH40" s="207" t="n">
        <f aca="false">IF($A41="","",IF(Summary!$R$8="Y",(VLOOKUP($A40,Summary!$AD$6:$AF$9,3)+'Escalating commodity'!D53),'Escalating commodity'!D53))</f>
        <v>0.020686</v>
      </c>
      <c r="AI40" s="207" t="n">
        <f aca="false">IF($A41="","",AH40)</f>
        <v>0.020686</v>
      </c>
      <c r="AJ40" s="208" t="n">
        <f aca="false">A40+DAY(EOMONTH(A40,0))/2-1</f>
        <v>37970.5</v>
      </c>
      <c r="AK40" s="209" t="n">
        <f aca="false">IF($A41="","",$A40-$E$1)</f>
        <v>-7970</v>
      </c>
      <c r="AL40" s="182" t="e">
        <f aca="false">IF($A41="","",SPRDOPT(P40,X40,AI40,0,AB40,AE40,AF40,AK40,$AJ$2,0))</f>
        <v>#NAME?</v>
      </c>
      <c r="AM40" s="211" t="e">
        <f aca="false">IF($A41="","",MAX(0,O40-W40-AI40))</f>
        <v>#N/A</v>
      </c>
      <c r="AN40" s="211" t="e">
        <f aca="false">IF($A41="","",AL40-AM40)</f>
        <v>#N/A</v>
      </c>
      <c r="AO40" s="137" t="n">
        <f aca="false">IF(A41="","",A41-A40)</f>
        <v>31</v>
      </c>
      <c r="AP40" s="212" t="n">
        <f aca="false">IF(A41="","",CHOOSE(F$3,A41+24,A40))</f>
        <v>37956</v>
      </c>
      <c r="AQ40" s="209" t="n">
        <f aca="false">IF(A41="","",AP40-$E$1)</f>
        <v>-7970</v>
      </c>
      <c r="AR40" s="185" t="n">
        <f aca="false">'ANR OK vs ML7'!AR40</f>
        <v>0.1</v>
      </c>
      <c r="AS40" s="213" t="n">
        <f aca="false">IF(A41="","",1/(1+CHOOSE(F$3,(AR41+($I$3/10000))/2,(AR40+($I$3/10000))/2))^(2*AQ40/365.25))</f>
        <v>8.40871122136564</v>
      </c>
      <c r="AT40" s="137" t="n">
        <f aca="false">IF(A41="","",IF(AND(mthbeg&lt;=A40,mthend&gt;=A40),1,0))</f>
        <v>1</v>
      </c>
      <c r="AU40" s="137" t="n">
        <f aca="false">IF(A41="","",AO40*AT40)</f>
        <v>31</v>
      </c>
      <c r="AW40" s="195" t="e">
        <f aca="false">IF($A41="","",AL40*$E40)</f>
        <v>#NAME?</v>
      </c>
      <c r="AX40" s="195" t="e">
        <f aca="false">IF($A41="","",AM40*$E40)</f>
        <v>#N/A</v>
      </c>
      <c r="AY40" s="195" t="e">
        <f aca="false">IF($A41="","",AN40*$E40)</f>
        <v>#N/A</v>
      </c>
      <c r="BA40" s="195" t="n">
        <f aca="false">IF($A41="","",F40*Summary!$Q$8)</f>
        <v>0</v>
      </c>
      <c r="BC40" s="179" t="e">
        <f aca="false">IF(A41="","",AM40*F40)</f>
        <v>#N/A</v>
      </c>
    </row>
    <row r="41" customFormat="false" ht="12.75" hidden="false" customHeight="false" outlineLevel="0" collapsed="false">
      <c r="A41" s="196" t="n">
        <f aca="false">IF(A40&lt;mthend,EDATE(A40,1),"")</f>
        <v>37987</v>
      </c>
      <c r="B41" s="197" t="n">
        <f aca="false">IF(A41&lt;mthend,B40,0)</f>
        <v>80000</v>
      </c>
      <c r="C41" s="215"/>
      <c r="D41" s="197" t="n">
        <f aca="false">IF(A42&lt;&gt;"",B41+C41,"")</f>
        <v>80000</v>
      </c>
      <c r="E41" s="199" t="n">
        <f aca="false">IF(A42="","",IF(AND(AT41=1,$H$3=1),D41*AO41,IF($H$3=2,D41,"N/A")))</f>
        <v>2480000</v>
      </c>
      <c r="F41" s="199" t="n">
        <f aca="false">IF(A42="","",E41*AS41)</f>
        <v>20681608.0864239</v>
      </c>
      <c r="G41" s="200" t="e">
        <f aca="false">IF($A42="","",VLOOKUP($A41,Table,MATCH(G$4,Curves,0)))</f>
        <v>#N/A</v>
      </c>
      <c r="H41" s="201" t="e">
        <f aca="false">IF(A42="","",G41)</f>
        <v>#N/A</v>
      </c>
      <c r="I41" s="202"/>
      <c r="J41" s="200" t="e">
        <f aca="false">IF($A42="","",VLOOKUP($A41,Table,MATCH(J$4,Curves,0)))</f>
        <v>#N/A</v>
      </c>
      <c r="K41" s="201" t="e">
        <f aca="false">IF(A42="","",J41)</f>
        <v>#N/A</v>
      </c>
      <c r="L41" s="200" t="e">
        <f aca="false">IF($A42="","",VLOOKUP($A41,Table,MATCH(L$4,Curves,0)))</f>
        <v>#N/A</v>
      </c>
      <c r="M41" s="201" t="e">
        <f aca="false">IF(A42="","",L41)</f>
        <v>#N/A</v>
      </c>
      <c r="N41" s="203"/>
      <c r="O41" s="200" t="e">
        <f aca="false">IF(A42="","",L41+J41+G41)</f>
        <v>#N/A</v>
      </c>
      <c r="P41" s="200" t="e">
        <f aca="false">IF(A42="","",M41+K41+H41)</f>
        <v>#N/A</v>
      </c>
      <c r="Q41" s="204"/>
      <c r="R41" s="200" t="e">
        <f aca="false">IF($A42="","",VLOOKUP($A41,Table,MATCH(R$4,Curves,0)))</f>
        <v>#N/A</v>
      </c>
      <c r="S41" s="201" t="e">
        <f aca="false">IF(A42="","",R41)</f>
        <v>#N/A</v>
      </c>
      <c r="T41" s="200" t="e">
        <f aca="false">IF($A42="","",VLOOKUP($A41,Table,MATCH(T$4,Curves,0)))</f>
        <v>#N/A</v>
      </c>
      <c r="U41" s="201" t="e">
        <f aca="false">IF(A42="","",T41)</f>
        <v>#N/A</v>
      </c>
      <c r="V41" s="183" t="e">
        <f aca="false">IF($A42="","",IF(AND(MONTH(A41)&gt;3,MONTH(A41)&lt;11),(T41+R41+G41)*Summary!$T$8/(1-Summary!$T$8),(T41+R41+G41)*Summary!$U$8/(1-Summary!$U$8)))</f>
        <v>#N/A</v>
      </c>
      <c r="W41" s="200" t="e">
        <f aca="false">IF($A42="","",(T41+R41+G41+V41))</f>
        <v>#N/A</v>
      </c>
      <c r="X41" s="200" t="e">
        <f aca="false">IF($A42="","",(U41+S41+H41+V41))</f>
        <v>#N/A</v>
      </c>
      <c r="Y41" s="202"/>
      <c r="Z41" s="185" t="e">
        <f aca="false">IF($A42="","",VLOOKUP($A41,Table,MATCH(Z$4,Curves,0)))</f>
        <v>#N/A</v>
      </c>
      <c r="AA41" s="185" t="e">
        <f aca="false">IF($A42="","",VLOOKUP($A41,Table,MATCH(AA$4,Curves,0)))</f>
        <v>#N/A</v>
      </c>
      <c r="AB41" s="185" t="e">
        <f aca="false">SQRT((AA41^2*(A41-$D$3)+Z41^2*(DAY(EOMONTH(A41,0))/2))/AK41)</f>
        <v>#N/A</v>
      </c>
      <c r="AC41" s="185" t="e">
        <f aca="false">IF($A42="","",VLOOKUP($A41,Table,MATCH(AC$4,Curves,0)))</f>
        <v>#N/A</v>
      </c>
      <c r="AD41" s="185" t="e">
        <f aca="false">IF($A42="","",VLOOKUP($A41,Table,MATCH(AD$4,Curves,0)))</f>
        <v>#N/A</v>
      </c>
      <c r="AE41" s="185" t="e">
        <f aca="false">SQRT((AD41^2*(A41-$D$3)+AC41^2*(DAY(EOMONTH(A41,0))/2))/AK41)</f>
        <v>#N/A</v>
      </c>
      <c r="AF41" s="224" t="e">
        <f aca="false">((Summary!$N$8*(AA41*AD41)*(A41-$D$3))+(Summary!$M$8*Z41*AC41*(AJ41-EOMONTH(EDATE(A41,-1),0))))/(AK41*AB41*AE41)</f>
        <v>#N/A</v>
      </c>
      <c r="AG41" s="207" t="n">
        <f aca="false">IF($A42="","",Summary!$Q$8)</f>
        <v>0</v>
      </c>
      <c r="AH41" s="207" t="n">
        <f aca="false">IF($A42="","",IF(Summary!$R$8="Y",(VLOOKUP($A41,Summary!$AD$6:$AF$9,3)+'Escalating commodity'!D54),'Escalating commodity'!D54))</f>
        <v>0.0200232</v>
      </c>
      <c r="AI41" s="207" t="n">
        <f aca="false">IF($A42="","",AH41)</f>
        <v>0.0200232</v>
      </c>
      <c r="AJ41" s="208" t="n">
        <f aca="false">A41+DAY(EOMONTH(A41,0))/2-1</f>
        <v>38001.5</v>
      </c>
      <c r="AK41" s="209" t="n">
        <f aca="false">IF($A42="","",$A41-$E$1)</f>
        <v>-7939</v>
      </c>
      <c r="AL41" s="182" t="e">
        <f aca="false">IF($A42="","",SPRDOPT(P41,X41,AI41,0,AB41,AE41,AF41,AK41,$AJ$2,0))</f>
        <v>#NAME?</v>
      </c>
      <c r="AM41" s="211" t="e">
        <f aca="false">IF($A42="","",MAX(0,O41-W41-AI41))</f>
        <v>#N/A</v>
      </c>
      <c r="AN41" s="211" t="e">
        <f aca="false">IF($A42="","",AL41-AM41)</f>
        <v>#N/A</v>
      </c>
      <c r="AO41" s="137" t="n">
        <f aca="false">IF(A42="","",A42-A41)</f>
        <v>31</v>
      </c>
      <c r="AP41" s="212" t="n">
        <f aca="false">IF(A42="","",CHOOSE(F$3,A42+24,A41))</f>
        <v>37987</v>
      </c>
      <c r="AQ41" s="209" t="n">
        <f aca="false">IF(A42="","",AP41-$E$1)</f>
        <v>-7939</v>
      </c>
      <c r="AR41" s="185" t="n">
        <f aca="false">'ANR OK vs ML7'!AR41</f>
        <v>0.1</v>
      </c>
      <c r="AS41" s="213" t="n">
        <f aca="false">IF(A42="","",1/(1+CHOOSE(F$3,(AR42+($I$3/10000))/2,(AR41+($I$3/10000))/2))^(2*AQ41/365.25))</f>
        <v>8.33935809936448</v>
      </c>
      <c r="AT41" s="137" t="n">
        <f aca="false">IF(A42="","",IF(AND(mthbeg&lt;=A41,mthend&gt;=A41),1,0))</f>
        <v>1</v>
      </c>
      <c r="AU41" s="137" t="n">
        <f aca="false">IF(A42="","",AO41*AT41)</f>
        <v>31</v>
      </c>
      <c r="AW41" s="195" t="e">
        <f aca="false">IF($A42="","",AL41*$E41)</f>
        <v>#NAME?</v>
      </c>
      <c r="AX41" s="195" t="e">
        <f aca="false">IF($A42="","",AM41*$E41)</f>
        <v>#N/A</v>
      </c>
      <c r="AY41" s="195" t="e">
        <f aca="false">IF($A42="","",AN41*$E41)</f>
        <v>#N/A</v>
      </c>
      <c r="BA41" s="195" t="n">
        <f aca="false">IF($A42="","",F41*Summary!$Q$8)</f>
        <v>0</v>
      </c>
      <c r="BC41" s="179" t="e">
        <f aca="false">IF(A42="","",AM41*F41)</f>
        <v>#N/A</v>
      </c>
    </row>
    <row r="42" customFormat="false" ht="12.75" hidden="false" customHeight="false" outlineLevel="0" collapsed="false">
      <c r="A42" s="196" t="n">
        <f aca="false">IF(A41&lt;mthend,EDATE(A41,1),"")</f>
        <v>38018</v>
      </c>
      <c r="B42" s="197" t="n">
        <f aca="false">IF(A42&lt;mthend,B41,0)</f>
        <v>80000</v>
      </c>
      <c r="C42" s="215"/>
      <c r="D42" s="197" t="n">
        <f aca="false">IF(A43&lt;&gt;"",B42+C42,"")</f>
        <v>80000</v>
      </c>
      <c r="E42" s="199" t="n">
        <f aca="false">IF(A43="","",IF(AND(AT42=1,$H$3=1),D42*AO42,IF($H$3=2,D42,"N/A")))</f>
        <v>2320000</v>
      </c>
      <c r="F42" s="199" t="n">
        <f aca="false">IF(A43="","",E42*AS42)</f>
        <v>19187738.6075447</v>
      </c>
      <c r="G42" s="200" t="e">
        <f aca="false">IF($A43="","",VLOOKUP($A42,Table,MATCH(G$4,Curves,0)))</f>
        <v>#N/A</v>
      </c>
      <c r="H42" s="201" t="e">
        <f aca="false">IF(A43="","",G42)</f>
        <v>#N/A</v>
      </c>
      <c r="I42" s="202"/>
      <c r="J42" s="200" t="e">
        <f aca="false">IF($A43="","",VLOOKUP($A42,Table,MATCH(J$4,Curves,0)))</f>
        <v>#N/A</v>
      </c>
      <c r="K42" s="201" t="e">
        <f aca="false">IF(A43="","",J42)</f>
        <v>#N/A</v>
      </c>
      <c r="L42" s="200" t="e">
        <f aca="false">IF($A43="","",VLOOKUP($A42,Table,MATCH(L$4,Curves,0)))</f>
        <v>#N/A</v>
      </c>
      <c r="M42" s="201" t="e">
        <f aca="false">IF(A43="","",L42)</f>
        <v>#N/A</v>
      </c>
      <c r="N42" s="203"/>
      <c r="O42" s="200" t="e">
        <f aca="false">IF(A43="","",L42+J42+G42)</f>
        <v>#N/A</v>
      </c>
      <c r="P42" s="200" t="e">
        <f aca="false">IF(A43="","",M42+K42+H42)</f>
        <v>#N/A</v>
      </c>
      <c r="Q42" s="204"/>
      <c r="R42" s="200" t="e">
        <f aca="false">IF($A43="","",VLOOKUP($A42,Table,MATCH(R$4,Curves,0)))</f>
        <v>#N/A</v>
      </c>
      <c r="S42" s="201" t="e">
        <f aca="false">IF(A43="","",R42)</f>
        <v>#N/A</v>
      </c>
      <c r="T42" s="200" t="e">
        <f aca="false">IF($A43="","",VLOOKUP($A42,Table,MATCH(T$4,Curves,0)))</f>
        <v>#N/A</v>
      </c>
      <c r="U42" s="201" t="e">
        <f aca="false">IF(A43="","",T42)</f>
        <v>#N/A</v>
      </c>
      <c r="V42" s="183" t="e">
        <f aca="false">IF($A43="","",IF(AND(MONTH(A42)&gt;3,MONTH(A42)&lt;11),(T42+R42+G42)*Summary!$T$8/(1-Summary!$T$8),(T42+R42+G42)*Summary!$U$8/(1-Summary!$U$8)))</f>
        <v>#N/A</v>
      </c>
      <c r="W42" s="200" t="e">
        <f aca="false">IF($A43="","",(T42+R42+G42+V42))</f>
        <v>#N/A</v>
      </c>
      <c r="X42" s="200" t="e">
        <f aca="false">IF($A43="","",(U42+S42+H42+V42))</f>
        <v>#N/A</v>
      </c>
      <c r="Y42" s="202"/>
      <c r="Z42" s="185" t="e">
        <f aca="false">IF($A43="","",VLOOKUP($A42,Table,MATCH(Z$4,Curves,0)))</f>
        <v>#N/A</v>
      </c>
      <c r="AA42" s="185" t="e">
        <f aca="false">IF($A43="","",VLOOKUP($A42,Table,MATCH(AA$4,Curves,0)))</f>
        <v>#N/A</v>
      </c>
      <c r="AB42" s="185" t="e">
        <f aca="false">SQRT((AA42^2*(A42-$D$3)+Z42^2*(DAY(EOMONTH(A42,0))/2))/AK42)</f>
        <v>#N/A</v>
      </c>
      <c r="AC42" s="185" t="e">
        <f aca="false">IF($A43="","",VLOOKUP($A42,Table,MATCH(AC$4,Curves,0)))</f>
        <v>#N/A</v>
      </c>
      <c r="AD42" s="185" t="e">
        <f aca="false">IF($A43="","",VLOOKUP($A42,Table,MATCH(AD$4,Curves,0)))</f>
        <v>#N/A</v>
      </c>
      <c r="AE42" s="185" t="e">
        <f aca="false">SQRT((AD42^2*(A42-$D$3)+AC42^2*(DAY(EOMONTH(A42,0))/2))/AK42)</f>
        <v>#N/A</v>
      </c>
      <c r="AF42" s="224" t="e">
        <f aca="false">((Summary!$N$8*(AA42*AD42)*(A42-$D$3))+(Summary!$M$8*Z42*AC42*(AJ42-EOMONTH(EDATE(A42,-1),0))))/(AK42*AB42*AE42)</f>
        <v>#N/A</v>
      </c>
      <c r="AG42" s="207" t="n">
        <f aca="false">IF($A43="","",Summary!$Q$8)</f>
        <v>0</v>
      </c>
      <c r="AH42" s="207" t="n">
        <f aca="false">IF($A43="","",IF(Summary!$R$8="Y",(VLOOKUP($A42,Summary!$AD$6:$AF$9,3)+'Escalating commodity'!D55),'Escalating commodity'!D55))</f>
        <v>0.0200232</v>
      </c>
      <c r="AI42" s="207" t="n">
        <f aca="false">IF($A43="","",AH42)</f>
        <v>0.0200232</v>
      </c>
      <c r="AJ42" s="208" t="n">
        <f aca="false">A42+DAY(EOMONTH(A42,0))/2-1</f>
        <v>38031.5</v>
      </c>
      <c r="AK42" s="209" t="n">
        <f aca="false">IF($A43="","",$A42-$E$1)</f>
        <v>-7908</v>
      </c>
      <c r="AL42" s="182" t="e">
        <f aca="false">IF($A43="","",SPRDOPT(P42,X42,AI42,0,AB42,AE42,AF42,AK42,$AJ$2,0))</f>
        <v>#NAME?</v>
      </c>
      <c r="AM42" s="211" t="e">
        <f aca="false">IF($A43="","",MAX(0,O42-W42-AI42))</f>
        <v>#N/A</v>
      </c>
      <c r="AN42" s="211" t="e">
        <f aca="false">IF($A43="","",AL42-AM42)</f>
        <v>#N/A</v>
      </c>
      <c r="AO42" s="137" t="n">
        <f aca="false">IF(A43="","",A43-A42)</f>
        <v>29</v>
      </c>
      <c r="AP42" s="212" t="n">
        <f aca="false">IF(A43="","",CHOOSE(F$3,A43+24,A42))</f>
        <v>38018</v>
      </c>
      <c r="AQ42" s="209" t="n">
        <f aca="false">IF(A43="","",AP42-$E$1)</f>
        <v>-7908</v>
      </c>
      <c r="AR42" s="185" t="n">
        <f aca="false">'ANR OK vs ML7'!AR42</f>
        <v>0.1</v>
      </c>
      <c r="AS42" s="213" t="n">
        <f aca="false">IF(A43="","",1/(1+CHOOSE(F$3,(AR43+($I$3/10000))/2,(AR42+($I$3/10000))/2))^(2*AQ42/365.25))</f>
        <v>8.27057698601063</v>
      </c>
      <c r="AT42" s="137" t="n">
        <f aca="false">IF(A43="","",IF(AND(mthbeg&lt;=A42,mthend&gt;=A42),1,0))</f>
        <v>1</v>
      </c>
      <c r="AU42" s="137" t="n">
        <f aca="false">IF(A43="","",AO42*AT42)</f>
        <v>29</v>
      </c>
      <c r="AW42" s="195" t="e">
        <f aca="false">IF($A43="","",AL42*$E42)</f>
        <v>#NAME?</v>
      </c>
      <c r="AX42" s="195" t="e">
        <f aca="false">IF($A43="","",AM42*$E42)</f>
        <v>#N/A</v>
      </c>
      <c r="AY42" s="195" t="e">
        <f aca="false">IF($A43="","",AN42*$E42)</f>
        <v>#N/A</v>
      </c>
      <c r="BA42" s="195" t="n">
        <f aca="false">IF($A43="","",F42*Summary!$Q$8)</f>
        <v>0</v>
      </c>
      <c r="BC42" s="179" t="e">
        <f aca="false">IF(A43="","",AM42*F42)</f>
        <v>#N/A</v>
      </c>
    </row>
    <row r="43" customFormat="false" ht="12.75" hidden="false" customHeight="false" outlineLevel="0" collapsed="false">
      <c r="A43" s="196" t="n">
        <f aca="false">IF(A42&lt;mthend,EDATE(A42,1),"")</f>
        <v>38047</v>
      </c>
      <c r="B43" s="197" t="n">
        <f aca="false">IF(A43&lt;mthend,B42,0)</f>
        <v>80000</v>
      </c>
      <c r="C43" s="215"/>
      <c r="D43" s="197" t="n">
        <f aca="false">IF(A44&lt;&gt;"",B43+C43,"")</f>
        <v>80000</v>
      </c>
      <c r="E43" s="199" t="n">
        <f aca="false">IF(A44="","",IF(AND(AT43=1,$H$3=1),D43*AO43,IF($H$3=2,D43,"N/A")))</f>
        <v>2480000</v>
      </c>
      <c r="F43" s="199" t="n">
        <f aca="false">IF(A44="","",E43*AS43)</f>
        <v>20352732.6281931</v>
      </c>
      <c r="G43" s="200" t="e">
        <f aca="false">IF($A44="","",VLOOKUP($A43,Table,MATCH(G$4,Curves,0)))</f>
        <v>#N/A</v>
      </c>
      <c r="H43" s="201" t="e">
        <f aca="false">IF(A44="","",G43)</f>
        <v>#N/A</v>
      </c>
      <c r="I43" s="202"/>
      <c r="J43" s="200" t="e">
        <f aca="false">IF($A44="","",VLOOKUP($A43,Table,MATCH(J$4,Curves,0)))</f>
        <v>#N/A</v>
      </c>
      <c r="K43" s="201" t="e">
        <f aca="false">IF(A44="","",J43)</f>
        <v>#N/A</v>
      </c>
      <c r="L43" s="200" t="e">
        <f aca="false">IF($A44="","",VLOOKUP($A43,Table,MATCH(L$4,Curves,0)))</f>
        <v>#N/A</v>
      </c>
      <c r="M43" s="201" t="e">
        <f aca="false">IF(A44="","",L43)</f>
        <v>#N/A</v>
      </c>
      <c r="N43" s="203"/>
      <c r="O43" s="200" t="e">
        <f aca="false">IF(A44="","",L43+J43+G43)</f>
        <v>#N/A</v>
      </c>
      <c r="P43" s="200" t="e">
        <f aca="false">IF(A44="","",M43+K43+H43)</f>
        <v>#N/A</v>
      </c>
      <c r="Q43" s="204"/>
      <c r="R43" s="200" t="e">
        <f aca="false">IF($A44="","",VLOOKUP($A43,Table,MATCH(R$4,Curves,0)))</f>
        <v>#N/A</v>
      </c>
      <c r="S43" s="201" t="e">
        <f aca="false">IF(A44="","",R43)</f>
        <v>#N/A</v>
      </c>
      <c r="T43" s="200" t="e">
        <f aca="false">IF($A44="","",VLOOKUP($A43,Table,MATCH(T$4,Curves,0)))</f>
        <v>#N/A</v>
      </c>
      <c r="U43" s="201" t="e">
        <f aca="false">IF(A44="","",T43)</f>
        <v>#N/A</v>
      </c>
      <c r="V43" s="183" t="e">
        <f aca="false">IF($A44="","",IF(AND(MONTH(A43)&gt;3,MONTH(A43)&lt;11),(T43+R43+G43)*Summary!$T$8/(1-Summary!$T$8),(T43+R43+G43)*Summary!$U$8/(1-Summary!$U$8)))</f>
        <v>#N/A</v>
      </c>
      <c r="W43" s="200" t="e">
        <f aca="false">IF($A44="","",(T43+R43+G43+V43))</f>
        <v>#N/A</v>
      </c>
      <c r="X43" s="200" t="e">
        <f aca="false">IF($A44="","",(U43+S43+H43+V43))</f>
        <v>#N/A</v>
      </c>
      <c r="Y43" s="202"/>
      <c r="Z43" s="185" t="e">
        <f aca="false">IF($A44="","",VLOOKUP($A43,Table,MATCH(Z$4,Curves,0)))</f>
        <v>#N/A</v>
      </c>
      <c r="AA43" s="185" t="e">
        <f aca="false">IF($A44="","",VLOOKUP($A43,Table,MATCH(AA$4,Curves,0)))</f>
        <v>#N/A</v>
      </c>
      <c r="AB43" s="185" t="e">
        <f aca="false">SQRT((AA43^2*(A43-$D$3)+Z43^2*(DAY(EOMONTH(A43,0))/2))/AK43)</f>
        <v>#N/A</v>
      </c>
      <c r="AC43" s="185" t="e">
        <f aca="false">IF($A44="","",VLOOKUP($A43,Table,MATCH(AC$4,Curves,0)))</f>
        <v>#N/A</v>
      </c>
      <c r="AD43" s="185" t="e">
        <f aca="false">IF($A44="","",VLOOKUP($A43,Table,MATCH(AD$4,Curves,0)))</f>
        <v>#N/A</v>
      </c>
      <c r="AE43" s="185" t="e">
        <f aca="false">SQRT((AD43^2*(A43-$D$3)+AC43^2*(DAY(EOMONTH(A43,0))/2))/AK43)</f>
        <v>#N/A</v>
      </c>
      <c r="AF43" s="224" t="e">
        <f aca="false">((Summary!$N$8*(AA43*AD43)*(A43-$D$3))+(Summary!$M$8*Z43*AC43*(AJ43-EOMONTH(EDATE(A43,-1),0))))/(AK43*AB43*AE43)</f>
        <v>#N/A</v>
      </c>
      <c r="AG43" s="207" t="n">
        <f aca="false">IF($A44="","",Summary!$Q$8)</f>
        <v>0</v>
      </c>
      <c r="AH43" s="207" t="n">
        <f aca="false">IF($A44="","",IF(Summary!$R$8="Y",(VLOOKUP($A43,Summary!$AD$6:$AF$9,3)+'Escalating commodity'!D56),'Escalating commodity'!D56))</f>
        <v>0.0200232</v>
      </c>
      <c r="AI43" s="207" t="n">
        <f aca="false">IF($A44="","",AH43)</f>
        <v>0.0200232</v>
      </c>
      <c r="AJ43" s="208" t="n">
        <f aca="false">A43+DAY(EOMONTH(A43,0))/2-1</f>
        <v>38061.5</v>
      </c>
      <c r="AK43" s="209" t="n">
        <f aca="false">IF($A44="","",$A43-$E$1)</f>
        <v>-7879</v>
      </c>
      <c r="AL43" s="182" t="e">
        <f aca="false">IF($A44="","",SPRDOPT(P43,X43,AI43,0,AB43,AE43,AF43,AK43,$AJ$2,0))</f>
        <v>#NAME?</v>
      </c>
      <c r="AM43" s="211" t="e">
        <f aca="false">IF($A44="","",MAX(0,O43-W43-AI43))</f>
        <v>#N/A</v>
      </c>
      <c r="AN43" s="211" t="e">
        <f aca="false">IF($A44="","",AL43-AM43)</f>
        <v>#N/A</v>
      </c>
      <c r="AO43" s="137" t="n">
        <f aca="false">IF(A44="","",A44-A43)</f>
        <v>31</v>
      </c>
      <c r="AP43" s="212" t="n">
        <f aca="false">IF(A44="","",CHOOSE(F$3,A44+24,A43))</f>
        <v>38047</v>
      </c>
      <c r="AQ43" s="209" t="n">
        <f aca="false">IF(A44="","",AP43-$E$1)</f>
        <v>-7879</v>
      </c>
      <c r="AR43" s="185" t="n">
        <f aca="false">'ANR OK vs ML7'!AR43</f>
        <v>0.1</v>
      </c>
      <c r="AS43" s="213" t="n">
        <f aca="false">IF(A44="","",1/(1+CHOOSE(F$3,(AR44+($I$3/10000))/2,(AR43+($I$3/10000))/2))^(2*AQ43/365.25))</f>
        <v>8.20674702749722</v>
      </c>
      <c r="AT43" s="137" t="n">
        <f aca="false">IF(A44="","",IF(AND(mthbeg&lt;=A43,mthend&gt;=A43),1,0))</f>
        <v>1</v>
      </c>
      <c r="AU43" s="137" t="n">
        <f aca="false">IF(A44="","",AO43*AT43)</f>
        <v>31</v>
      </c>
      <c r="AW43" s="195" t="e">
        <f aca="false">IF($A44="","",AL43*$E43)</f>
        <v>#NAME?</v>
      </c>
      <c r="AX43" s="195" t="e">
        <f aca="false">IF($A44="","",AM43*$E43)</f>
        <v>#N/A</v>
      </c>
      <c r="AY43" s="195" t="e">
        <f aca="false">IF($A44="","",AN43*$E43)</f>
        <v>#N/A</v>
      </c>
      <c r="BA43" s="195" t="n">
        <f aca="false">IF($A44="","",F43*Summary!$Q$8)</f>
        <v>0</v>
      </c>
      <c r="BC43" s="179" t="e">
        <f aca="false">IF(A44="","",AM43*F43)</f>
        <v>#N/A</v>
      </c>
    </row>
    <row r="44" customFormat="false" ht="12.75" hidden="false" customHeight="false" outlineLevel="0" collapsed="false">
      <c r="A44" s="196" t="n">
        <f aca="false">IF(A43&lt;mthend,EDATE(A43,1),"")</f>
        <v>38078</v>
      </c>
      <c r="B44" s="197" t="n">
        <f aca="false">IF(A44&lt;mthend,B43,0)</f>
        <v>80000</v>
      </c>
      <c r="C44" s="215"/>
      <c r="D44" s="197" t="n">
        <f aca="false">IF(A45&lt;&gt;"",B44+C44,"")</f>
        <v>80000</v>
      </c>
      <c r="E44" s="199" t="n">
        <f aca="false">IF(A45="","",IF(AND(AT44=1,$H$3=1),D44*AO44,IF($H$3=2,D44,"N/A")))</f>
        <v>2400000</v>
      </c>
      <c r="F44" s="199" t="n">
        <f aca="false">IF(A45="","",E44*AS44)</f>
        <v>19533743.183654</v>
      </c>
      <c r="G44" s="200" t="e">
        <f aca="false">IF($A45="","",VLOOKUP($A44,Table,MATCH(G$4,Curves,0)))</f>
        <v>#N/A</v>
      </c>
      <c r="H44" s="201" t="e">
        <f aca="false">IF(A45="","",G44)</f>
        <v>#N/A</v>
      </c>
      <c r="I44" s="202"/>
      <c r="J44" s="200" t="e">
        <f aca="false">IF($A45="","",VLOOKUP($A44,Table,MATCH(J$4,Curves,0)))</f>
        <v>#N/A</v>
      </c>
      <c r="K44" s="201" t="e">
        <f aca="false">IF(A45="","",J44)</f>
        <v>#N/A</v>
      </c>
      <c r="L44" s="200" t="e">
        <f aca="false">IF($A45="","",VLOOKUP($A44,Table,MATCH(L$4,Curves,0)))</f>
        <v>#N/A</v>
      </c>
      <c r="M44" s="201" t="e">
        <f aca="false">IF(A45="","",L44)</f>
        <v>#N/A</v>
      </c>
      <c r="N44" s="203"/>
      <c r="O44" s="200" t="e">
        <f aca="false">IF(A45="","",L44+J44+G44)</f>
        <v>#N/A</v>
      </c>
      <c r="P44" s="200" t="e">
        <f aca="false">IF(A45="","",M44+K44+H44)</f>
        <v>#N/A</v>
      </c>
      <c r="Q44" s="204"/>
      <c r="R44" s="200" t="e">
        <f aca="false">IF($A45="","",VLOOKUP($A44,Table,MATCH(R$4,Curves,0)))</f>
        <v>#N/A</v>
      </c>
      <c r="S44" s="201" t="e">
        <f aca="false">IF(A45="","",R44)</f>
        <v>#N/A</v>
      </c>
      <c r="T44" s="200" t="e">
        <f aca="false">IF($A45="","",VLOOKUP($A44,Table,MATCH(T$4,Curves,0)))</f>
        <v>#N/A</v>
      </c>
      <c r="U44" s="201" t="e">
        <f aca="false">IF(A45="","",T44)</f>
        <v>#N/A</v>
      </c>
      <c r="V44" s="183" t="e">
        <f aca="false">IF($A45="","",IF(AND(MONTH(A44)&gt;3,MONTH(A44)&lt;11),(T44+R44+G44)*Summary!$T$8/(1-Summary!$T$8),(T44+R44+G44)*Summary!$U$8/(1-Summary!$U$8)))</f>
        <v>#N/A</v>
      </c>
      <c r="W44" s="200" t="e">
        <f aca="false">IF($A45="","",(T44+R44+G44+V44))</f>
        <v>#N/A</v>
      </c>
      <c r="X44" s="200" t="e">
        <f aca="false">IF($A45="","",(U44+S44+H44+V44))</f>
        <v>#N/A</v>
      </c>
      <c r="Y44" s="202"/>
      <c r="Z44" s="185" t="e">
        <f aca="false">IF($A45="","",VLOOKUP($A44,Table,MATCH(Z$4,Curves,0)))</f>
        <v>#N/A</v>
      </c>
      <c r="AA44" s="185" t="e">
        <f aca="false">IF($A45="","",VLOOKUP($A44,Table,MATCH(AA$4,Curves,0)))</f>
        <v>#N/A</v>
      </c>
      <c r="AB44" s="185" t="e">
        <f aca="false">SQRT((AA44^2*(A44-$D$3)+Z44^2*(DAY(EOMONTH(A44,0))/2))/AK44)</f>
        <v>#N/A</v>
      </c>
      <c r="AC44" s="185" t="e">
        <f aca="false">IF($A45="","",VLOOKUP($A44,Table,MATCH(AC$4,Curves,0)))</f>
        <v>#N/A</v>
      </c>
      <c r="AD44" s="185" t="e">
        <f aca="false">IF($A45="","",VLOOKUP($A44,Table,MATCH(AD$4,Curves,0)))</f>
        <v>#N/A</v>
      </c>
      <c r="AE44" s="185" t="e">
        <f aca="false">SQRT((AD44^2*(A44-$D$3)+AC44^2*(DAY(EOMONTH(A44,0))/2))/AK44)</f>
        <v>#N/A</v>
      </c>
      <c r="AF44" s="224" t="e">
        <f aca="false">((Summary!$N$8*(AA44*AD44)*(A44-$D$3))+(Summary!$M$8*Z44*AC44*(AJ44-EOMONTH(EDATE(A44,-1),0))))/(AK44*AB44*AE44)</f>
        <v>#N/A</v>
      </c>
      <c r="AG44" s="207" t="n">
        <f aca="false">IF($A45="","",Summary!$Q$8)</f>
        <v>0</v>
      </c>
      <c r="AH44" s="207" t="n">
        <f aca="false">IF($A45="","",IF(Summary!$R$8="Y",(VLOOKUP($A44,Summary!$AD$6:$AF$9,3)+'Escalating commodity'!D57),'Escalating commodity'!D57))</f>
        <v>0.0200232</v>
      </c>
      <c r="AI44" s="207" t="n">
        <f aca="false">IF($A45="","",AH44)</f>
        <v>0.0200232</v>
      </c>
      <c r="AJ44" s="208" t="n">
        <f aca="false">A44+DAY(EOMONTH(A44,0))/2-1</f>
        <v>38092</v>
      </c>
      <c r="AK44" s="209" t="n">
        <f aca="false">IF($A45="","",$A44-$E$1)</f>
        <v>-7848</v>
      </c>
      <c r="AL44" s="182" t="e">
        <f aca="false">IF($A45="","",SPRDOPT(P44,X44,AI44,0,AB44,AE44,AF44,AK44,$AJ$2,0))</f>
        <v>#NAME?</v>
      </c>
      <c r="AM44" s="211" t="e">
        <f aca="false">IF($A45="","",MAX(0,O44-W44-AI44))</f>
        <v>#N/A</v>
      </c>
      <c r="AN44" s="211" t="e">
        <f aca="false">IF($A45="","",AL44-AM44)</f>
        <v>#N/A</v>
      </c>
      <c r="AO44" s="137" t="n">
        <f aca="false">IF(A45="","",A45-A44)</f>
        <v>30</v>
      </c>
      <c r="AP44" s="212" t="n">
        <f aca="false">IF(A45="","",CHOOSE(F$3,A45+24,A44))</f>
        <v>38078</v>
      </c>
      <c r="AQ44" s="209" t="n">
        <f aca="false">IF(A45="","",AP44-$E$1)</f>
        <v>-7848</v>
      </c>
      <c r="AR44" s="185" t="n">
        <f aca="false">'ANR OK vs ML7'!AR44</f>
        <v>0.1</v>
      </c>
      <c r="AS44" s="213" t="n">
        <f aca="false">IF(A45="","",1/(1+CHOOSE(F$3,(AR45+($I$3/10000))/2,(AR44+($I$3/10000))/2))^(2*AQ44/365.25))</f>
        <v>8.13905965985585</v>
      </c>
      <c r="AT44" s="137" t="n">
        <f aca="false">IF(A45="","",IF(AND(mthbeg&lt;=A44,mthend&gt;=A44),1,0))</f>
        <v>1</v>
      </c>
      <c r="AU44" s="137" t="n">
        <f aca="false">IF(A45="","",AO44*AT44)</f>
        <v>30</v>
      </c>
      <c r="AW44" s="195" t="e">
        <f aca="false">IF($A45="","",AL44*$E44)</f>
        <v>#NAME?</v>
      </c>
      <c r="AX44" s="195" t="e">
        <f aca="false">IF($A45="","",AM44*$E44)</f>
        <v>#N/A</v>
      </c>
      <c r="AY44" s="195" t="e">
        <f aca="false">IF($A45="","",AN44*$E44)</f>
        <v>#N/A</v>
      </c>
      <c r="BA44" s="195" t="n">
        <f aca="false">IF($A45="","",F44*Summary!$Q$8)</f>
        <v>0</v>
      </c>
      <c r="BC44" s="179" t="e">
        <f aca="false">IF(A45="","",AM44*F44)</f>
        <v>#N/A</v>
      </c>
    </row>
    <row r="45" customFormat="false" ht="12.75" hidden="false" customHeight="false" outlineLevel="0" collapsed="false">
      <c r="A45" s="196" t="n">
        <f aca="false">IF(A44&lt;mthend,EDATE(A44,1),"")</f>
        <v>38108</v>
      </c>
      <c r="B45" s="197" t="n">
        <f aca="false">IF(A45&lt;mthend,B44,0)</f>
        <v>80000</v>
      </c>
      <c r="C45" s="215"/>
      <c r="D45" s="197" t="n">
        <f aca="false">IF(A46&lt;&gt;"",B45+C45,"")</f>
        <v>80000</v>
      </c>
      <c r="E45" s="199" t="n">
        <f aca="false">IF(A46="","",IF(AND(AT45=1,$H$3=1),D45*AO45,IF($H$3=2,D45,"N/A")))</f>
        <v>2480000</v>
      </c>
      <c r="F45" s="199" t="n">
        <f aca="false">IF(A46="","",E45*AS45)</f>
        <v>20023736.628544</v>
      </c>
      <c r="G45" s="200" t="e">
        <f aca="false">IF($A46="","",VLOOKUP($A45,Table,MATCH(G$4,Curves,0)))</f>
        <v>#N/A</v>
      </c>
      <c r="H45" s="201" t="e">
        <f aca="false">IF(A46="","",G45)</f>
        <v>#N/A</v>
      </c>
      <c r="I45" s="202"/>
      <c r="J45" s="200" t="e">
        <f aca="false">IF($A46="","",VLOOKUP($A45,Table,MATCH(J$4,Curves,0)))</f>
        <v>#N/A</v>
      </c>
      <c r="K45" s="201" t="e">
        <f aca="false">IF(A46="","",J45)</f>
        <v>#N/A</v>
      </c>
      <c r="L45" s="200" t="e">
        <f aca="false">IF($A46="","",VLOOKUP($A45,Table,MATCH(L$4,Curves,0)))</f>
        <v>#N/A</v>
      </c>
      <c r="M45" s="201" t="e">
        <f aca="false">IF(A46="","",L45)</f>
        <v>#N/A</v>
      </c>
      <c r="N45" s="203"/>
      <c r="O45" s="200" t="e">
        <f aca="false">IF(A46="","",L45+J45+G45)</f>
        <v>#N/A</v>
      </c>
      <c r="P45" s="200" t="e">
        <f aca="false">IF(A46="","",M45+K45+H45)</f>
        <v>#N/A</v>
      </c>
      <c r="Q45" s="204"/>
      <c r="R45" s="200" t="e">
        <f aca="false">IF($A46="","",VLOOKUP($A45,Table,MATCH(R$4,Curves,0)))</f>
        <v>#N/A</v>
      </c>
      <c r="S45" s="201" t="e">
        <f aca="false">IF(A46="","",R45)</f>
        <v>#N/A</v>
      </c>
      <c r="T45" s="200" t="e">
        <f aca="false">IF($A46="","",VLOOKUP($A45,Table,MATCH(T$4,Curves,0)))</f>
        <v>#N/A</v>
      </c>
      <c r="U45" s="201" t="e">
        <f aca="false">IF(A46="","",T45)</f>
        <v>#N/A</v>
      </c>
      <c r="V45" s="183" t="e">
        <f aca="false">IF($A46="","",IF(AND(MONTH(A45)&gt;3,MONTH(A45)&lt;11),(T45+R45+G45)*Summary!$T$8/(1-Summary!$T$8),(T45+R45+G45)*Summary!$U$8/(1-Summary!$U$8)))</f>
        <v>#N/A</v>
      </c>
      <c r="W45" s="200" t="e">
        <f aca="false">IF($A46="","",(T45+R45+G45+V45))</f>
        <v>#N/A</v>
      </c>
      <c r="X45" s="200" t="e">
        <f aca="false">IF($A46="","",(U45+S45+H45+V45))</f>
        <v>#N/A</v>
      </c>
      <c r="Y45" s="202"/>
      <c r="Z45" s="185" t="e">
        <f aca="false">IF($A46="","",VLOOKUP($A45,Table,MATCH(Z$4,Curves,0)))</f>
        <v>#N/A</v>
      </c>
      <c r="AA45" s="185" t="e">
        <f aca="false">IF($A46="","",VLOOKUP($A45,Table,MATCH(AA$4,Curves,0)))</f>
        <v>#N/A</v>
      </c>
      <c r="AB45" s="185" t="e">
        <f aca="false">SQRT((AA45^2*(A45-$D$3)+Z45^2*(DAY(EOMONTH(A45,0))/2))/AK45)</f>
        <v>#N/A</v>
      </c>
      <c r="AC45" s="185" t="e">
        <f aca="false">IF($A46="","",VLOOKUP($A45,Table,MATCH(AC$4,Curves,0)))</f>
        <v>#N/A</v>
      </c>
      <c r="AD45" s="185" t="e">
        <f aca="false">IF($A46="","",VLOOKUP($A45,Table,MATCH(AD$4,Curves,0)))</f>
        <v>#N/A</v>
      </c>
      <c r="AE45" s="185" t="e">
        <f aca="false">SQRT((AD45^2*(A45-$D$3)+AC45^2*(DAY(EOMONTH(A45,0))/2))/AK45)</f>
        <v>#N/A</v>
      </c>
      <c r="AF45" s="224" t="e">
        <f aca="false">((Summary!$N$8*(AA45*AD45)*(A45-$D$3))+(Summary!$M$8*Z45*AC45*(AJ45-EOMONTH(EDATE(A45,-1),0))))/(AK45*AB45*AE45)</f>
        <v>#N/A</v>
      </c>
      <c r="AG45" s="207" t="n">
        <f aca="false">IF($A46="","",Summary!$Q$8)</f>
        <v>0</v>
      </c>
      <c r="AH45" s="207" t="n">
        <f aca="false">IF($A46="","",IF(Summary!$R$8="Y",(VLOOKUP($A45,Summary!$AD$6:$AF$9,3)+'Escalating commodity'!D58),'Escalating commodity'!D58))</f>
        <v>0.0200232</v>
      </c>
      <c r="AI45" s="207" t="n">
        <f aca="false">IF($A46="","",AH45)</f>
        <v>0.0200232</v>
      </c>
      <c r="AJ45" s="208" t="n">
        <f aca="false">A45+DAY(EOMONTH(A45,0))/2-1</f>
        <v>38122.5</v>
      </c>
      <c r="AK45" s="209" t="n">
        <f aca="false">IF($A46="","",$A45-$E$1)</f>
        <v>-7818</v>
      </c>
      <c r="AL45" s="182" t="e">
        <f aca="false">IF($A46="","",SPRDOPT(P45,X45,AI45,0,AB45,AE45,AF45,AK45,$AJ$2,0))</f>
        <v>#NAME?</v>
      </c>
      <c r="AM45" s="211" t="e">
        <f aca="false">IF($A46="","",MAX(0,O45-W45-AI45))</f>
        <v>#N/A</v>
      </c>
      <c r="AN45" s="211" t="e">
        <f aca="false">IF($A46="","",AL45-AM45)</f>
        <v>#N/A</v>
      </c>
      <c r="AO45" s="137" t="n">
        <f aca="false">IF(A46="","",A46-A45)</f>
        <v>31</v>
      </c>
      <c r="AP45" s="212" t="n">
        <f aca="false">IF(A46="","",CHOOSE(F$3,A46+24,A45))</f>
        <v>38108</v>
      </c>
      <c r="AQ45" s="209" t="n">
        <f aca="false">IF(A46="","",AP45-$E$1)</f>
        <v>-7818</v>
      </c>
      <c r="AR45" s="185" t="n">
        <f aca="false">'ANR OK vs ML7'!AR45</f>
        <v>0.1</v>
      </c>
      <c r="AS45" s="213" t="n">
        <f aca="false">IF(A46="","",1/(1+CHOOSE(F$3,(AR46+($I$3/10000))/2,(AR45+($I$3/10000))/2))^(2*AQ45/365.25))</f>
        <v>8.07408735021935</v>
      </c>
      <c r="AT45" s="137" t="n">
        <f aca="false">IF(A46="","",IF(AND(mthbeg&lt;=A45,mthend&gt;=A45),1,0))</f>
        <v>1</v>
      </c>
      <c r="AU45" s="137" t="n">
        <f aca="false">IF(A46="","",AO45*AT45)</f>
        <v>31</v>
      </c>
      <c r="AW45" s="195" t="e">
        <f aca="false">IF($A46="","",AL45*$E45)</f>
        <v>#NAME?</v>
      </c>
      <c r="AX45" s="195" t="e">
        <f aca="false">IF($A46="","",AM45*$E45)</f>
        <v>#N/A</v>
      </c>
      <c r="AY45" s="195" t="e">
        <f aca="false">IF($A46="","",AN45*$E45)</f>
        <v>#N/A</v>
      </c>
      <c r="BA45" s="195" t="n">
        <f aca="false">IF($A46="","",F45*Summary!$Q$8)</f>
        <v>0</v>
      </c>
      <c r="BC45" s="179" t="e">
        <f aca="false">IF(A46="","",AM45*F45)</f>
        <v>#N/A</v>
      </c>
    </row>
    <row r="46" customFormat="false" ht="12.75" hidden="false" customHeight="false" outlineLevel="0" collapsed="false">
      <c r="A46" s="196" t="n">
        <f aca="false">IF(A45&lt;mthend,EDATE(A45,1),"")</f>
        <v>38139</v>
      </c>
      <c r="B46" s="197" t="n">
        <f aca="false">IF(A46&lt;mthend,B45,0)</f>
        <v>80000</v>
      </c>
      <c r="C46" s="215"/>
      <c r="D46" s="197" t="n">
        <f aca="false">IF(A47&lt;&gt;"",B46+C46,"")</f>
        <v>80000</v>
      </c>
      <c r="E46" s="199" t="n">
        <f aca="false">IF(A47="","",IF(AND(AT46=1,$H$3=1),D46*AO46,IF($H$3=2,D46,"N/A")))</f>
        <v>2400000</v>
      </c>
      <c r="F46" s="199" t="n">
        <f aca="false">IF(A47="","",E46*AS46)</f>
        <v>19217985.9100242</v>
      </c>
      <c r="G46" s="200" t="e">
        <f aca="false">IF($A47="","",VLOOKUP($A46,Table,MATCH(G$4,Curves,0)))</f>
        <v>#N/A</v>
      </c>
      <c r="H46" s="201" t="e">
        <f aca="false">IF(A47="","",G46)</f>
        <v>#N/A</v>
      </c>
      <c r="I46" s="202"/>
      <c r="J46" s="200" t="e">
        <f aca="false">IF($A47="","",VLOOKUP($A46,Table,MATCH(J$4,Curves,0)))</f>
        <v>#N/A</v>
      </c>
      <c r="K46" s="201" t="e">
        <f aca="false">IF(A47="","",J46)</f>
        <v>#N/A</v>
      </c>
      <c r="L46" s="200" t="e">
        <f aca="false">IF($A47="","",VLOOKUP($A46,Table,MATCH(L$4,Curves,0)))</f>
        <v>#N/A</v>
      </c>
      <c r="M46" s="201" t="e">
        <f aca="false">IF(A47="","",L46)</f>
        <v>#N/A</v>
      </c>
      <c r="N46" s="203"/>
      <c r="O46" s="200" t="e">
        <f aca="false">IF(A47="","",L46+J46+G46)</f>
        <v>#N/A</v>
      </c>
      <c r="P46" s="200" t="e">
        <f aca="false">IF(A47="","",M46+K46+H46)</f>
        <v>#N/A</v>
      </c>
      <c r="Q46" s="204"/>
      <c r="R46" s="200" t="e">
        <f aca="false">IF($A47="","",VLOOKUP($A46,Table,MATCH(R$4,Curves,0)))</f>
        <v>#N/A</v>
      </c>
      <c r="S46" s="201" t="e">
        <f aca="false">IF(A47="","",R46)</f>
        <v>#N/A</v>
      </c>
      <c r="T46" s="200" t="e">
        <f aca="false">IF($A47="","",VLOOKUP($A46,Table,MATCH(T$4,Curves,0)))</f>
        <v>#N/A</v>
      </c>
      <c r="U46" s="201" t="e">
        <f aca="false">IF(A47="","",T46)</f>
        <v>#N/A</v>
      </c>
      <c r="V46" s="183" t="e">
        <f aca="false">IF($A47="","",IF(AND(MONTH(A46)&gt;3,MONTH(A46)&lt;11),(T46+R46+G46)*Summary!$T$8/(1-Summary!$T$8),(T46+R46+G46)*Summary!$U$8/(1-Summary!$U$8)))</f>
        <v>#N/A</v>
      </c>
      <c r="W46" s="200" t="e">
        <f aca="false">IF($A47="","",(T46+R46+G46+V46))</f>
        <v>#N/A</v>
      </c>
      <c r="X46" s="200" t="e">
        <f aca="false">IF($A47="","",(U46+S46+H46+V46))</f>
        <v>#N/A</v>
      </c>
      <c r="Y46" s="202"/>
      <c r="Z46" s="185" t="e">
        <f aca="false">IF($A47="","",VLOOKUP($A46,Table,MATCH(Z$4,Curves,0)))</f>
        <v>#N/A</v>
      </c>
      <c r="AA46" s="185" t="e">
        <f aca="false">IF($A47="","",VLOOKUP($A46,Table,MATCH(AA$4,Curves,0)))</f>
        <v>#N/A</v>
      </c>
      <c r="AB46" s="185" t="e">
        <f aca="false">SQRT((AA46^2*(A46-$D$3)+Z46^2*(DAY(EOMONTH(A46,0))/2))/AK46)</f>
        <v>#N/A</v>
      </c>
      <c r="AC46" s="185" t="e">
        <f aca="false">IF($A47="","",VLOOKUP($A46,Table,MATCH(AC$4,Curves,0)))</f>
        <v>#N/A</v>
      </c>
      <c r="AD46" s="185" t="e">
        <f aca="false">IF($A47="","",VLOOKUP($A46,Table,MATCH(AD$4,Curves,0)))</f>
        <v>#N/A</v>
      </c>
      <c r="AE46" s="185" t="e">
        <f aca="false">SQRT((AD46^2*(A46-$D$3)+AC46^2*(DAY(EOMONTH(A46,0))/2))/AK46)</f>
        <v>#N/A</v>
      </c>
      <c r="AF46" s="224" t="e">
        <f aca="false">((Summary!$N$8*(AA46*AD46)*(A46-$D$3))+(Summary!$M$8*Z46*AC46*(AJ46-EOMONTH(EDATE(A46,-1),0))))/(AK46*AB46*AE46)</f>
        <v>#N/A</v>
      </c>
      <c r="AG46" s="207" t="n">
        <f aca="false">IF($A47="","",Summary!$Q$8)</f>
        <v>0</v>
      </c>
      <c r="AH46" s="207" t="n">
        <f aca="false">IF($A47="","",IF(Summary!$R$8="Y",(VLOOKUP($A46,Summary!$AD$6:$AF$9,3)+'Escalating commodity'!D59),'Escalating commodity'!D59))</f>
        <v>0.0200232</v>
      </c>
      <c r="AI46" s="207" t="n">
        <f aca="false">IF($A47="","",AH46)</f>
        <v>0.0200232</v>
      </c>
      <c r="AJ46" s="208" t="n">
        <f aca="false">A46+DAY(EOMONTH(A46,0))/2-1</f>
        <v>38153</v>
      </c>
      <c r="AK46" s="209" t="n">
        <f aca="false">IF($A47="","",$A46-$E$1)</f>
        <v>-7787</v>
      </c>
      <c r="AL46" s="182" t="e">
        <f aca="false">IF($A47="","",SPRDOPT(P46,X46,AI46,0,AB46,AE46,AF46,AK46,$AJ$2,0))</f>
        <v>#NAME?</v>
      </c>
      <c r="AM46" s="211" t="e">
        <f aca="false">IF($A47="","",MAX(0,O46-W46-AI46))</f>
        <v>#N/A</v>
      </c>
      <c r="AN46" s="211" t="e">
        <f aca="false">IF($A47="","",AL46-AM46)</f>
        <v>#N/A</v>
      </c>
      <c r="AO46" s="137" t="n">
        <f aca="false">IF(A47="","",A47-A46)</f>
        <v>30</v>
      </c>
      <c r="AP46" s="212" t="n">
        <f aca="false">IF(A47="","",CHOOSE(F$3,A47+24,A46))</f>
        <v>38139</v>
      </c>
      <c r="AQ46" s="209" t="n">
        <f aca="false">IF(A47="","",AP46-$E$1)</f>
        <v>-7787</v>
      </c>
      <c r="AR46" s="185" t="n">
        <f aca="false">'ANR OK vs ML7'!AR46</f>
        <v>0.1</v>
      </c>
      <c r="AS46" s="213" t="n">
        <f aca="false">IF(A47="","",1/(1+CHOOSE(F$3,(AR47+($I$3/10000))/2,(AR46+($I$3/10000))/2))^(2*AQ46/365.25))</f>
        <v>8.00749412917676</v>
      </c>
      <c r="AT46" s="137" t="n">
        <f aca="false">IF(A47="","",IF(AND(mthbeg&lt;=A46,mthend&gt;=A46),1,0))</f>
        <v>1</v>
      </c>
      <c r="AU46" s="137" t="n">
        <f aca="false">IF(A47="","",AO46*AT46)</f>
        <v>30</v>
      </c>
      <c r="AW46" s="195" t="e">
        <f aca="false">IF($A47="","",AL46*$E46)</f>
        <v>#NAME?</v>
      </c>
      <c r="AX46" s="195" t="e">
        <f aca="false">IF($A47="","",AM46*$E46)</f>
        <v>#N/A</v>
      </c>
      <c r="AY46" s="195" t="e">
        <f aca="false">IF($A47="","",AN46*$E46)</f>
        <v>#N/A</v>
      </c>
      <c r="BA46" s="195" t="n">
        <f aca="false">IF($A47="","",F46*Summary!$Q$8)</f>
        <v>0</v>
      </c>
      <c r="BC46" s="179" t="e">
        <f aca="false">IF(A47="","",AM46*F46)</f>
        <v>#N/A</v>
      </c>
    </row>
    <row r="47" customFormat="false" ht="12.75" hidden="false" customHeight="false" outlineLevel="0" collapsed="false">
      <c r="A47" s="196" t="n">
        <f aca="false">IF(A46&lt;mthend,EDATE(A46,1),"")</f>
        <v>38169</v>
      </c>
      <c r="B47" s="197" t="n">
        <f aca="false">IF(A47&lt;mthend,B46,0)</f>
        <v>80000</v>
      </c>
      <c r="C47" s="215"/>
      <c r="D47" s="197" t="n">
        <f aca="false">IF(A48&lt;&gt;"",B47+C47,"")</f>
        <v>80000</v>
      </c>
      <c r="E47" s="199" t="n">
        <f aca="false">IF(A48="","",IF(AND(AT47=1,$H$3=1),D47*AO47,IF($H$3=2,D47,"N/A")))</f>
        <v>2480000</v>
      </c>
      <c r="F47" s="199" t="n">
        <f aca="false">IF(A48="","",E47*AS47)</f>
        <v>19700058.753481</v>
      </c>
      <c r="G47" s="200" t="e">
        <f aca="false">IF($A48="","",VLOOKUP($A47,Table,MATCH(G$4,Curves,0)))</f>
        <v>#N/A</v>
      </c>
      <c r="H47" s="201" t="e">
        <f aca="false">IF(A48="","",G47)</f>
        <v>#N/A</v>
      </c>
      <c r="I47" s="202"/>
      <c r="J47" s="200" t="e">
        <f aca="false">IF($A48="","",VLOOKUP($A47,Table,MATCH(J$4,Curves,0)))</f>
        <v>#N/A</v>
      </c>
      <c r="K47" s="201" t="e">
        <f aca="false">IF(A48="","",J47)</f>
        <v>#N/A</v>
      </c>
      <c r="L47" s="200" t="e">
        <f aca="false">IF($A48="","",VLOOKUP($A47,Table,MATCH(L$4,Curves,0)))</f>
        <v>#N/A</v>
      </c>
      <c r="M47" s="201" t="e">
        <f aca="false">IF(A48="","",L47)</f>
        <v>#N/A</v>
      </c>
      <c r="N47" s="203"/>
      <c r="O47" s="200" t="e">
        <f aca="false">IF(A48="","",L47+J47+G47)</f>
        <v>#N/A</v>
      </c>
      <c r="P47" s="200" t="e">
        <f aca="false">IF(A48="","",M47+K47+H47)</f>
        <v>#N/A</v>
      </c>
      <c r="Q47" s="204"/>
      <c r="R47" s="200" t="e">
        <f aca="false">IF($A48="","",VLOOKUP($A47,Table,MATCH(R$4,Curves,0)))</f>
        <v>#N/A</v>
      </c>
      <c r="S47" s="201" t="e">
        <f aca="false">IF(A48="","",R47)</f>
        <v>#N/A</v>
      </c>
      <c r="T47" s="200" t="e">
        <f aca="false">IF($A48="","",VLOOKUP($A47,Table,MATCH(T$4,Curves,0)))</f>
        <v>#N/A</v>
      </c>
      <c r="U47" s="201" t="e">
        <f aca="false">IF(A48="","",T47)</f>
        <v>#N/A</v>
      </c>
      <c r="V47" s="183" t="e">
        <f aca="false">IF($A48="","",IF(AND(MONTH(A47)&gt;3,MONTH(A47)&lt;11),(T47+R47+G47)*Summary!$T$8/(1-Summary!$T$8),(T47+R47+G47)*Summary!$U$8/(1-Summary!$U$8)))</f>
        <v>#N/A</v>
      </c>
      <c r="W47" s="200" t="e">
        <f aca="false">IF($A48="","",(T47+R47+G47+V47))</f>
        <v>#N/A</v>
      </c>
      <c r="X47" s="200" t="e">
        <f aca="false">IF($A48="","",(U47+S47+H47+V47))</f>
        <v>#N/A</v>
      </c>
      <c r="Y47" s="202"/>
      <c r="Z47" s="185" t="e">
        <f aca="false">IF($A48="","",VLOOKUP($A47,Table,MATCH(Z$4,Curves,0)))</f>
        <v>#N/A</v>
      </c>
      <c r="AA47" s="185" t="e">
        <f aca="false">IF($A48="","",VLOOKUP($A47,Table,MATCH(AA$4,Curves,0)))</f>
        <v>#N/A</v>
      </c>
      <c r="AB47" s="185" t="e">
        <f aca="false">SQRT((AA47^2*(A47-$D$3)+Z47^2*(DAY(EOMONTH(A47,0))/2))/AK47)</f>
        <v>#N/A</v>
      </c>
      <c r="AC47" s="185" t="e">
        <f aca="false">IF($A48="","",VLOOKUP($A47,Table,MATCH(AC$4,Curves,0)))</f>
        <v>#N/A</v>
      </c>
      <c r="AD47" s="185" t="e">
        <f aca="false">IF($A48="","",VLOOKUP($A47,Table,MATCH(AD$4,Curves,0)))</f>
        <v>#N/A</v>
      </c>
      <c r="AE47" s="185" t="e">
        <f aca="false">SQRT((AD47^2*(A47-$D$3)+AC47^2*(DAY(EOMONTH(A47,0))/2))/AK47)</f>
        <v>#N/A</v>
      </c>
      <c r="AF47" s="224" t="e">
        <f aca="false">((Summary!$N$8*(AA47*AD47)*(A47-$D$3))+(Summary!$M$8*Z47*AC47*(AJ47-EOMONTH(EDATE(A47,-1),0))))/(AK47*AB47*AE47)</f>
        <v>#N/A</v>
      </c>
      <c r="AG47" s="207" t="n">
        <f aca="false">IF($A48="","",Summary!$Q$8)</f>
        <v>0</v>
      </c>
      <c r="AH47" s="207" t="n">
        <f aca="false">IF($A48="","",IF(Summary!$R$8="Y",(VLOOKUP($A47,Summary!$AD$6:$AF$9,3)+'Escalating commodity'!D60),'Escalating commodity'!D60))</f>
        <v>0.0200232</v>
      </c>
      <c r="AI47" s="207" t="n">
        <f aca="false">IF($A48="","",AH47)</f>
        <v>0.0200232</v>
      </c>
      <c r="AJ47" s="208" t="n">
        <f aca="false">A47+DAY(EOMONTH(A47,0))/2-1</f>
        <v>38183.5</v>
      </c>
      <c r="AK47" s="209" t="n">
        <f aca="false">IF($A48="","",$A47-$E$1)</f>
        <v>-7757</v>
      </c>
      <c r="AL47" s="182" t="e">
        <f aca="false">IF($A48="","",SPRDOPT(P47,X47,AI47,0,AB47,AE47,AF47,AK47,$AJ$2,0))</f>
        <v>#NAME?</v>
      </c>
      <c r="AM47" s="211" t="e">
        <f aca="false">IF($A48="","",MAX(0,O47-W47-AI47))</f>
        <v>#N/A</v>
      </c>
      <c r="AN47" s="211" t="e">
        <f aca="false">IF($A48="","",AL47-AM47)</f>
        <v>#N/A</v>
      </c>
      <c r="AO47" s="137" t="n">
        <f aca="false">IF(A48="","",A48-A47)</f>
        <v>31</v>
      </c>
      <c r="AP47" s="212" t="n">
        <f aca="false">IF(A48="","",CHOOSE(F$3,A48+24,A47))</f>
        <v>38169</v>
      </c>
      <c r="AQ47" s="209" t="n">
        <f aca="false">IF(A48="","",AP47-$E$1)</f>
        <v>-7757</v>
      </c>
      <c r="AR47" s="185" t="n">
        <f aca="false">'ANR OK vs ML7'!AR47</f>
        <v>0.1</v>
      </c>
      <c r="AS47" s="213" t="n">
        <f aca="false">IF(A48="","",1/(1+CHOOSE(F$3,(AR48+($I$3/10000))/2,(AR47+($I$3/10000))/2))^(2*AQ47/365.25))</f>
        <v>7.94357207801655</v>
      </c>
      <c r="AT47" s="137" t="n">
        <f aca="false">IF(A48="","",IF(AND(mthbeg&lt;=A47,mthend&gt;=A47),1,0))</f>
        <v>1</v>
      </c>
      <c r="AU47" s="137" t="n">
        <f aca="false">IF(A48="","",AO47*AT47)</f>
        <v>31</v>
      </c>
      <c r="AW47" s="195" t="e">
        <f aca="false">IF($A48="","",AL47*$E47)</f>
        <v>#NAME?</v>
      </c>
      <c r="AX47" s="195" t="e">
        <f aca="false">IF($A48="","",AM47*$E47)</f>
        <v>#N/A</v>
      </c>
      <c r="AY47" s="195" t="e">
        <f aca="false">IF($A48="","",AN47*$E47)</f>
        <v>#N/A</v>
      </c>
      <c r="BA47" s="195" t="n">
        <f aca="false">IF($A48="","",F47*Summary!$Q$8)</f>
        <v>0</v>
      </c>
      <c r="BC47" s="179" t="e">
        <f aca="false">IF(A48="","",AM47*F47)</f>
        <v>#N/A</v>
      </c>
    </row>
    <row r="48" customFormat="false" ht="12.75" hidden="false" customHeight="false" outlineLevel="0" collapsed="false">
      <c r="A48" s="196" t="n">
        <f aca="false">IF(A47&lt;mthend,EDATE(A47,1),"")</f>
        <v>38200</v>
      </c>
      <c r="B48" s="197" t="n">
        <f aca="false">IF(A48&lt;mthend,B47,0)</f>
        <v>80000</v>
      </c>
      <c r="C48" s="215"/>
      <c r="D48" s="197" t="n">
        <f aca="false">IF(A49&lt;&gt;"",B48+C48,"")</f>
        <v>80000</v>
      </c>
      <c r="E48" s="199" t="n">
        <f aca="false">IF(A49="","",IF(AND(AT48=1,$H$3=1),D48*AO48,IF($H$3=2,D48,"N/A")))</f>
        <v>2480000</v>
      </c>
      <c r="F48" s="199" t="n">
        <f aca="false">IF(A49="","",E48*AS48)</f>
        <v>19537577.1861882</v>
      </c>
      <c r="G48" s="200" t="e">
        <f aca="false">IF($A49="","",VLOOKUP($A48,Table,MATCH(G$4,Curves,0)))</f>
        <v>#N/A</v>
      </c>
      <c r="H48" s="201" t="e">
        <f aca="false">IF(A49="","",G48)</f>
        <v>#N/A</v>
      </c>
      <c r="I48" s="202"/>
      <c r="J48" s="200" t="e">
        <f aca="false">IF($A49="","",VLOOKUP($A48,Table,MATCH(J$4,Curves,0)))</f>
        <v>#N/A</v>
      </c>
      <c r="K48" s="201" t="e">
        <f aca="false">IF(A49="","",J48)</f>
        <v>#N/A</v>
      </c>
      <c r="L48" s="200" t="e">
        <f aca="false">IF($A49="","",VLOOKUP($A48,Table,MATCH(L$4,Curves,0)))</f>
        <v>#N/A</v>
      </c>
      <c r="M48" s="201" t="e">
        <f aca="false">IF(A49="","",L48)</f>
        <v>#N/A</v>
      </c>
      <c r="N48" s="203"/>
      <c r="O48" s="200" t="e">
        <f aca="false">IF(A49="","",L48+J48+G48)</f>
        <v>#N/A</v>
      </c>
      <c r="P48" s="200" t="e">
        <f aca="false">IF(A49="","",M48+K48+H48)</f>
        <v>#N/A</v>
      </c>
      <c r="Q48" s="204"/>
      <c r="R48" s="200" t="e">
        <f aca="false">IF($A49="","",VLOOKUP($A48,Table,MATCH(R$4,Curves,0)))</f>
        <v>#N/A</v>
      </c>
      <c r="S48" s="201" t="e">
        <f aca="false">IF(A49="","",R48)</f>
        <v>#N/A</v>
      </c>
      <c r="T48" s="200" t="e">
        <f aca="false">IF($A49="","",VLOOKUP($A48,Table,MATCH(T$4,Curves,0)))</f>
        <v>#N/A</v>
      </c>
      <c r="U48" s="201" t="e">
        <f aca="false">IF(A49="","",T48)</f>
        <v>#N/A</v>
      </c>
      <c r="V48" s="183" t="e">
        <f aca="false">IF($A49="","",IF(AND(MONTH(A48)&gt;3,MONTH(A48)&lt;11),(T48+R48+G48)*Summary!$T$8/(1-Summary!$T$8),(T48+R48+G48)*Summary!$U$8/(1-Summary!$U$8)))</f>
        <v>#N/A</v>
      </c>
      <c r="W48" s="200" t="e">
        <f aca="false">IF($A49="","",(T48+R48+G48+V48))</f>
        <v>#N/A</v>
      </c>
      <c r="X48" s="200" t="e">
        <f aca="false">IF($A49="","",(U48+S48+H48+V48))</f>
        <v>#N/A</v>
      </c>
      <c r="Y48" s="202"/>
      <c r="Z48" s="185" t="e">
        <f aca="false">IF($A49="","",VLOOKUP($A48,Table,MATCH(Z$4,Curves,0)))</f>
        <v>#N/A</v>
      </c>
      <c r="AA48" s="185" t="e">
        <f aca="false">IF($A49="","",VLOOKUP($A48,Table,MATCH(AA$4,Curves,0)))</f>
        <v>#N/A</v>
      </c>
      <c r="AB48" s="185" t="e">
        <f aca="false">SQRT((AA48^2*(A48-$D$3)+Z48^2*(DAY(EOMONTH(A48,0))/2))/AK48)</f>
        <v>#N/A</v>
      </c>
      <c r="AC48" s="185" t="e">
        <f aca="false">IF($A49="","",VLOOKUP($A48,Table,MATCH(AC$4,Curves,0)))</f>
        <v>#N/A</v>
      </c>
      <c r="AD48" s="185" t="e">
        <f aca="false">IF($A49="","",VLOOKUP($A48,Table,MATCH(AD$4,Curves,0)))</f>
        <v>#N/A</v>
      </c>
      <c r="AE48" s="185" t="e">
        <f aca="false">SQRT((AD48^2*(A48-$D$3)+AC48^2*(DAY(EOMONTH(A48,0))/2))/AK48)</f>
        <v>#N/A</v>
      </c>
      <c r="AF48" s="224" t="e">
        <f aca="false">((Summary!$N$8*(AA48*AD48)*(A48-$D$3))+(Summary!$M$8*Z48*AC48*(AJ48-EOMONTH(EDATE(A48,-1),0))))/(AK48*AB48*AE48)</f>
        <v>#N/A</v>
      </c>
      <c r="AG48" s="207" t="n">
        <f aca="false">IF($A49="","",Summary!$Q$8)</f>
        <v>0</v>
      </c>
      <c r="AH48" s="207" t="n">
        <f aca="false">IF($A49="","",IF(Summary!$R$8="Y",(VLOOKUP($A48,Summary!$AD$6:$AF$9,3)+'Escalating commodity'!D61),'Escalating commodity'!D61))</f>
        <v>0.0200232</v>
      </c>
      <c r="AI48" s="207" t="n">
        <f aca="false">IF($A49="","",AH48)</f>
        <v>0.0200232</v>
      </c>
      <c r="AJ48" s="208" t="n">
        <f aca="false">A48+DAY(EOMONTH(A48,0))/2-1</f>
        <v>38214.5</v>
      </c>
      <c r="AK48" s="209" t="n">
        <f aca="false">IF($A49="","",$A48-$E$1)</f>
        <v>-7726</v>
      </c>
      <c r="AL48" s="182" t="e">
        <f aca="false">IF($A49="","",SPRDOPT(P48,X48,AI48,0,AB48,AE48,AF48,AK48,$AJ$2,0))</f>
        <v>#NAME?</v>
      </c>
      <c r="AM48" s="211" t="e">
        <f aca="false">IF($A49="","",MAX(0,O48-W48-AI48))</f>
        <v>#N/A</v>
      </c>
      <c r="AN48" s="211" t="e">
        <f aca="false">IF($A49="","",AL48-AM48)</f>
        <v>#N/A</v>
      </c>
      <c r="AO48" s="137" t="n">
        <f aca="false">IF(A49="","",A49-A48)</f>
        <v>31</v>
      </c>
      <c r="AP48" s="212" t="n">
        <f aca="false">IF(A49="","",CHOOSE(F$3,A49+24,A48))</f>
        <v>38200</v>
      </c>
      <c r="AQ48" s="209" t="n">
        <f aca="false">IF(A49="","",AP48-$E$1)</f>
        <v>-7726</v>
      </c>
      <c r="AR48" s="185" t="n">
        <f aca="false">'ANR OK vs ML7'!AR48</f>
        <v>0.1</v>
      </c>
      <c r="AS48" s="213" t="n">
        <f aca="false">IF(A49="","",1/(1+CHOOSE(F$3,(AR49+($I$3/10000))/2,(AR48+($I$3/10000))/2))^(2*AQ48/365.25))</f>
        <v>7.87805531701138</v>
      </c>
      <c r="AT48" s="137" t="n">
        <f aca="false">IF(A49="","",IF(AND(mthbeg&lt;=A48,mthend&gt;=A48),1,0))</f>
        <v>1</v>
      </c>
      <c r="AU48" s="137" t="n">
        <f aca="false">IF(A49="","",AO48*AT48)</f>
        <v>31</v>
      </c>
      <c r="AW48" s="195" t="e">
        <f aca="false">IF($A49="","",AL48*$E48)</f>
        <v>#NAME?</v>
      </c>
      <c r="AX48" s="195" t="e">
        <f aca="false">IF($A49="","",AM48*$E48)</f>
        <v>#N/A</v>
      </c>
      <c r="AY48" s="195" t="e">
        <f aca="false">IF($A49="","",AN48*$E48)</f>
        <v>#N/A</v>
      </c>
      <c r="BA48" s="195" t="n">
        <f aca="false">IF($A49="","",F48*Summary!$Q$8)</f>
        <v>0</v>
      </c>
      <c r="BC48" s="179" t="e">
        <f aca="false">IF(A49="","",AM48*F48)</f>
        <v>#N/A</v>
      </c>
    </row>
    <row r="49" customFormat="false" ht="12.75" hidden="false" customHeight="false" outlineLevel="0" collapsed="false">
      <c r="A49" s="196" t="n">
        <f aca="false">IF(A48&lt;mthend,EDATE(A48,1),"")</f>
        <v>38231</v>
      </c>
      <c r="B49" s="197" t="n">
        <f aca="false">IF(A49&lt;mthend,B48,0)</f>
        <v>80000</v>
      </c>
      <c r="C49" s="215"/>
      <c r="D49" s="197" t="n">
        <f aca="false">IF(A50&lt;&gt;"",B49+C49,"")</f>
        <v>80000</v>
      </c>
      <c r="E49" s="199" t="n">
        <f aca="false">IF(A50="","",IF(AND(AT49=1,$H$3=1),D49*AO49,IF($H$3=2,D49,"N/A")))</f>
        <v>2400000</v>
      </c>
      <c r="F49" s="199" t="n">
        <f aca="false">IF(A50="","",E49*AS49)</f>
        <v>18751389.4157465</v>
      </c>
      <c r="G49" s="200" t="e">
        <f aca="false">IF($A50="","",VLOOKUP($A49,Table,MATCH(G$4,Curves,0)))</f>
        <v>#N/A</v>
      </c>
      <c r="H49" s="201" t="e">
        <f aca="false">IF(A50="","",G49)</f>
        <v>#N/A</v>
      </c>
      <c r="I49" s="202"/>
      <c r="J49" s="200" t="e">
        <f aca="false">IF($A50="","",VLOOKUP($A49,Table,MATCH(J$4,Curves,0)))</f>
        <v>#N/A</v>
      </c>
      <c r="K49" s="201" t="e">
        <f aca="false">IF(A50="","",J49)</f>
        <v>#N/A</v>
      </c>
      <c r="L49" s="200" t="e">
        <f aca="false">IF($A50="","",VLOOKUP($A49,Table,MATCH(L$4,Curves,0)))</f>
        <v>#N/A</v>
      </c>
      <c r="M49" s="201" t="e">
        <f aca="false">IF(A50="","",L49)</f>
        <v>#N/A</v>
      </c>
      <c r="N49" s="203"/>
      <c r="O49" s="200" t="e">
        <f aca="false">IF(A50="","",L49+J49+G49)</f>
        <v>#N/A</v>
      </c>
      <c r="P49" s="200" t="e">
        <f aca="false">IF(A50="","",M49+K49+H49)</f>
        <v>#N/A</v>
      </c>
      <c r="Q49" s="204"/>
      <c r="R49" s="200" t="e">
        <f aca="false">IF($A50="","",VLOOKUP($A49,Table,MATCH(R$4,Curves,0)))</f>
        <v>#N/A</v>
      </c>
      <c r="S49" s="201" t="e">
        <f aca="false">IF(A50="","",R49)</f>
        <v>#N/A</v>
      </c>
      <c r="T49" s="200" t="e">
        <f aca="false">IF($A50="","",VLOOKUP($A49,Table,MATCH(T$4,Curves,0)))</f>
        <v>#N/A</v>
      </c>
      <c r="U49" s="201" t="e">
        <f aca="false">IF(A50="","",T49)</f>
        <v>#N/A</v>
      </c>
      <c r="V49" s="183" t="e">
        <f aca="false">IF($A50="","",IF(AND(MONTH(A49)&gt;3,MONTH(A49)&lt;11),(T49+R49+G49)*Summary!$T$8/(1-Summary!$T$8),(T49+R49+G49)*Summary!$U$8/(1-Summary!$U$8)))</f>
        <v>#N/A</v>
      </c>
      <c r="W49" s="200" t="e">
        <f aca="false">IF($A50="","",(T49+R49+G49+V49))</f>
        <v>#N/A</v>
      </c>
      <c r="X49" s="200" t="e">
        <f aca="false">IF($A50="","",(U49+S49+H49+V49))</f>
        <v>#N/A</v>
      </c>
      <c r="Y49" s="202"/>
      <c r="Z49" s="185" t="e">
        <f aca="false">IF($A50="","",VLOOKUP($A49,Table,MATCH(Z$4,Curves,0)))</f>
        <v>#N/A</v>
      </c>
      <c r="AA49" s="185" t="e">
        <f aca="false">IF($A50="","",VLOOKUP($A49,Table,MATCH(AA$4,Curves,0)))</f>
        <v>#N/A</v>
      </c>
      <c r="AB49" s="185" t="e">
        <f aca="false">SQRT((AA49^2*(A49-$D$3)+Z49^2*(DAY(EOMONTH(A49,0))/2))/AK49)</f>
        <v>#N/A</v>
      </c>
      <c r="AC49" s="185" t="e">
        <f aca="false">IF($A50="","",VLOOKUP($A49,Table,MATCH(AC$4,Curves,0)))</f>
        <v>#N/A</v>
      </c>
      <c r="AD49" s="185" t="e">
        <f aca="false">IF($A50="","",VLOOKUP($A49,Table,MATCH(AD$4,Curves,0)))</f>
        <v>#N/A</v>
      </c>
      <c r="AE49" s="185" t="e">
        <f aca="false">SQRT((AD49^2*(A49-$D$3)+AC49^2*(DAY(EOMONTH(A49,0))/2))/AK49)</f>
        <v>#N/A</v>
      </c>
      <c r="AF49" s="224" t="e">
        <f aca="false">((Summary!$N$8*(AA49*AD49)*(A49-$D$3))+(Summary!$M$8*Z49*AC49*(AJ49-EOMONTH(EDATE(A49,-1),0))))/(AK49*AB49*AE49)</f>
        <v>#N/A</v>
      </c>
      <c r="AG49" s="207" t="n">
        <f aca="false">IF($A50="","",Summary!$Q$8)</f>
        <v>0</v>
      </c>
      <c r="AH49" s="207" t="n">
        <f aca="false">IF($A50="","",IF(Summary!$R$8="Y",(VLOOKUP($A49,Summary!$AD$6:$AF$9,3)+'Escalating commodity'!D62),'Escalating commodity'!D62))</f>
        <v>0.0200232</v>
      </c>
      <c r="AI49" s="207" t="n">
        <f aca="false">IF($A50="","",AH49)</f>
        <v>0.0200232</v>
      </c>
      <c r="AJ49" s="208" t="n">
        <f aca="false">A49+DAY(EOMONTH(A49,0))/2-1</f>
        <v>38245</v>
      </c>
      <c r="AK49" s="209" t="n">
        <f aca="false">IF($A50="","",$A49-$E$1)</f>
        <v>-7695</v>
      </c>
      <c r="AL49" s="182" t="e">
        <f aca="false">IF($A50="","",SPRDOPT(P49,X49,AI49,0,AB49,AE49,AF49,AK49,$AJ$2,0))</f>
        <v>#NAME?</v>
      </c>
      <c r="AM49" s="211" t="e">
        <f aca="false">IF($A50="","",MAX(0,O49-W49-AI49))</f>
        <v>#N/A</v>
      </c>
      <c r="AN49" s="211" t="e">
        <f aca="false">IF($A50="","",AL49-AM49)</f>
        <v>#N/A</v>
      </c>
      <c r="AO49" s="137" t="n">
        <f aca="false">IF(A50="","",A50-A49)</f>
        <v>30</v>
      </c>
      <c r="AP49" s="212" t="n">
        <f aca="false">IF(A50="","",CHOOSE(F$3,A50+24,A49))</f>
        <v>38231</v>
      </c>
      <c r="AQ49" s="209" t="n">
        <f aca="false">IF(A50="","",AP49-$E$1)</f>
        <v>-7695</v>
      </c>
      <c r="AR49" s="185" t="n">
        <f aca="false">'ANR OK vs ML7'!AR49</f>
        <v>0.1</v>
      </c>
      <c r="AS49" s="213" t="n">
        <f aca="false">IF(A50="","",1/(1+CHOOSE(F$3,(AR50+($I$3/10000))/2,(AR49+($I$3/10000))/2))^(2*AQ49/365.25))</f>
        <v>7.81307892322772</v>
      </c>
      <c r="AT49" s="137" t="n">
        <f aca="false">IF(A50="","",IF(AND(mthbeg&lt;=A49,mthend&gt;=A49),1,0))</f>
        <v>1</v>
      </c>
      <c r="AU49" s="137" t="n">
        <f aca="false">IF(A50="","",AO49*AT49)</f>
        <v>30</v>
      </c>
      <c r="AW49" s="195" t="e">
        <f aca="false">IF($A50="","",AL49*$E49)</f>
        <v>#NAME?</v>
      </c>
      <c r="AX49" s="195" t="e">
        <f aca="false">IF($A50="","",AM49*$E49)</f>
        <v>#N/A</v>
      </c>
      <c r="AY49" s="195" t="e">
        <f aca="false">IF($A50="","",AN49*$E49)</f>
        <v>#N/A</v>
      </c>
      <c r="BA49" s="195" t="n">
        <f aca="false">IF($A50="","",F49*Summary!$Q$8)</f>
        <v>0</v>
      </c>
      <c r="BC49" s="179" t="e">
        <f aca="false">IF(A50="","",AM49*F49)</f>
        <v>#N/A</v>
      </c>
    </row>
    <row r="50" customFormat="false" ht="12.75" hidden="false" customHeight="false" outlineLevel="0" collapsed="false">
      <c r="A50" s="196" t="n">
        <f aca="false">IF(A49&lt;mthend,EDATE(A49,1),"")</f>
        <v>38261</v>
      </c>
      <c r="B50" s="197" t="n">
        <f aca="false">IF(A50&lt;mthend,B49,0)</f>
        <v>80000</v>
      </c>
      <c r="C50" s="215"/>
      <c r="D50" s="197" t="n">
        <f aca="false">IF(A51&lt;&gt;"",B50+C50,"")</f>
        <v>80000</v>
      </c>
      <c r="E50" s="199" t="n">
        <f aca="false">IF(A51="","",IF(AND(AT50=1,$H$3=1),D50*AO50,IF($H$3=2,D50,"N/A")))</f>
        <v>2480000</v>
      </c>
      <c r="F50" s="199" t="n">
        <f aca="false">IF(A51="","",E50*AS50)</f>
        <v>19221757.9370233</v>
      </c>
      <c r="G50" s="200" t="e">
        <f aca="false">IF($A51="","",VLOOKUP($A50,Table,MATCH(G$4,Curves,0)))</f>
        <v>#N/A</v>
      </c>
      <c r="H50" s="201" t="e">
        <f aca="false">IF(A51="","",G50)</f>
        <v>#N/A</v>
      </c>
      <c r="I50" s="202"/>
      <c r="J50" s="200" t="e">
        <f aca="false">IF($A51="","",VLOOKUP($A50,Table,MATCH(J$4,Curves,0)))</f>
        <v>#N/A</v>
      </c>
      <c r="K50" s="201" t="e">
        <f aca="false">IF(A51="","",J50)</f>
        <v>#N/A</v>
      </c>
      <c r="L50" s="200" t="e">
        <f aca="false">IF($A51="","",VLOOKUP($A50,Table,MATCH(L$4,Curves,0)))</f>
        <v>#N/A</v>
      </c>
      <c r="M50" s="201" t="e">
        <f aca="false">IF(A51="","",L50)</f>
        <v>#N/A</v>
      </c>
      <c r="N50" s="203"/>
      <c r="O50" s="200" t="e">
        <f aca="false">IF(A51="","",L50+J50+G50)</f>
        <v>#N/A</v>
      </c>
      <c r="P50" s="200" t="e">
        <f aca="false">IF(A51="","",M50+K50+H50)</f>
        <v>#N/A</v>
      </c>
      <c r="Q50" s="204"/>
      <c r="R50" s="200" t="e">
        <f aca="false">IF($A51="","",VLOOKUP($A50,Table,MATCH(R$4,Curves,0)))</f>
        <v>#N/A</v>
      </c>
      <c r="S50" s="201" t="e">
        <f aca="false">IF(A51="","",R50)</f>
        <v>#N/A</v>
      </c>
      <c r="T50" s="200" t="e">
        <f aca="false">IF($A51="","",VLOOKUP($A50,Table,MATCH(T$4,Curves,0)))</f>
        <v>#N/A</v>
      </c>
      <c r="U50" s="201" t="e">
        <f aca="false">IF(A51="","",T50)</f>
        <v>#N/A</v>
      </c>
      <c r="V50" s="183" t="e">
        <f aca="false">IF($A51="","",IF(AND(MONTH(A50)&gt;3,MONTH(A50)&lt;11),(T50+R50+G50)*Summary!$T$8/(1-Summary!$T$8),(T50+R50+G50)*Summary!$U$8/(1-Summary!$U$8)))</f>
        <v>#N/A</v>
      </c>
      <c r="W50" s="200" t="e">
        <f aca="false">IF($A51="","",(T50+R50+G50+V50))</f>
        <v>#N/A</v>
      </c>
      <c r="X50" s="200" t="e">
        <f aca="false">IF($A51="","",(U50+S50+H50+V50))</f>
        <v>#N/A</v>
      </c>
      <c r="Y50" s="202"/>
      <c r="Z50" s="185" t="e">
        <f aca="false">IF($A51="","",VLOOKUP($A50,Table,MATCH(Z$4,Curves,0)))</f>
        <v>#N/A</v>
      </c>
      <c r="AA50" s="185" t="e">
        <f aca="false">IF($A51="","",VLOOKUP($A50,Table,MATCH(AA$4,Curves,0)))</f>
        <v>#N/A</v>
      </c>
      <c r="AB50" s="185" t="e">
        <f aca="false">SQRT((AA50^2*(A50-$D$3)+Z50^2*(DAY(EOMONTH(A50,0))/2))/AK50)</f>
        <v>#N/A</v>
      </c>
      <c r="AC50" s="185" t="e">
        <f aca="false">IF($A51="","",VLOOKUP($A50,Table,MATCH(AC$4,Curves,0)))</f>
        <v>#N/A</v>
      </c>
      <c r="AD50" s="185" t="e">
        <f aca="false">IF($A51="","",VLOOKUP($A50,Table,MATCH(AD$4,Curves,0)))</f>
        <v>#N/A</v>
      </c>
      <c r="AE50" s="185" t="e">
        <f aca="false">SQRT((AD50^2*(A50-$D$3)+AC50^2*(DAY(EOMONTH(A50,0))/2))/AK50)</f>
        <v>#N/A</v>
      </c>
      <c r="AF50" s="224" t="e">
        <f aca="false">((Summary!$N$8*(AA50*AD50)*(A50-$D$3))+(Summary!$M$8*Z50*AC50*(AJ50-EOMONTH(EDATE(A50,-1),0))))/(AK50*AB50*AE50)</f>
        <v>#N/A</v>
      </c>
      <c r="AG50" s="207" t="n">
        <f aca="false">IF($A51="","",Summary!$Q$8)</f>
        <v>0</v>
      </c>
      <c r="AH50" s="207" t="n">
        <f aca="false">IF($A51="","",IF(Summary!$R$8="Y",(VLOOKUP($A50,Summary!$AD$6:$AF$9,3)+'Escalating commodity'!D63),'Escalating commodity'!D63))</f>
        <v>0.0200232</v>
      </c>
      <c r="AI50" s="207" t="n">
        <f aca="false">IF($A51="","",AH50)</f>
        <v>0.0200232</v>
      </c>
      <c r="AJ50" s="208" t="n">
        <f aca="false">A50+DAY(EOMONTH(A50,0))/2-1</f>
        <v>38275.5</v>
      </c>
      <c r="AK50" s="209" t="n">
        <f aca="false">IF($A51="","",$A50-$E$1)</f>
        <v>-7665</v>
      </c>
      <c r="AL50" s="182" t="e">
        <f aca="false">IF($A51="","",SPRDOPT(P50,X50,AI50,0,AB50,AE50,AF50,AK50,$AJ$2,0))</f>
        <v>#NAME?</v>
      </c>
      <c r="AM50" s="211" t="e">
        <f aca="false">IF($A51="","",MAX(0,O50-W50-AI50))</f>
        <v>#N/A</v>
      </c>
      <c r="AN50" s="211" t="e">
        <f aca="false">IF($A51="","",AL50-AM50)</f>
        <v>#N/A</v>
      </c>
      <c r="AO50" s="137" t="n">
        <f aca="false">IF(A51="","",A51-A50)</f>
        <v>31</v>
      </c>
      <c r="AP50" s="212" t="n">
        <f aca="false">IF(A51="","",CHOOSE(F$3,A51+24,A50))</f>
        <v>38261</v>
      </c>
      <c r="AQ50" s="209" t="n">
        <f aca="false">IF(A51="","",AP50-$E$1)</f>
        <v>-7665</v>
      </c>
      <c r="AR50" s="185" t="n">
        <f aca="false">'ANR OK vs ML7'!AR50</f>
        <v>0.1</v>
      </c>
      <c r="AS50" s="213" t="n">
        <f aca="false">IF(A51="","",1/(1+CHOOSE(F$3,(AR51+($I$3/10000))/2,(AR50+($I$3/10000))/2))^(2*AQ50/365.25))</f>
        <v>7.75070884557389</v>
      </c>
      <c r="AT50" s="137" t="n">
        <f aca="false">IF(A51="","",IF(AND(mthbeg&lt;=A50,mthend&gt;=A50),1,0))</f>
        <v>1</v>
      </c>
      <c r="AU50" s="137" t="n">
        <f aca="false">IF(A51="","",AO50*AT50)</f>
        <v>31</v>
      </c>
      <c r="AW50" s="195" t="e">
        <f aca="false">IF($A51="","",AL50*$E50)</f>
        <v>#NAME?</v>
      </c>
      <c r="AX50" s="195" t="e">
        <f aca="false">IF($A51="","",AM50*$E50)</f>
        <v>#N/A</v>
      </c>
      <c r="AY50" s="195" t="e">
        <f aca="false">IF($A51="","",AN50*$E50)</f>
        <v>#N/A</v>
      </c>
      <c r="BA50" s="195" t="n">
        <f aca="false">IF($A51="","",F50*Summary!$Q$8)</f>
        <v>0</v>
      </c>
      <c r="BC50" s="179" t="e">
        <f aca="false">IF(A51="","",AM50*F50)</f>
        <v>#N/A</v>
      </c>
    </row>
    <row r="51" customFormat="false" ht="12.75" hidden="false" customHeight="false" outlineLevel="0" collapsed="false">
      <c r="A51" s="196" t="n">
        <f aca="false">IF(A50&lt;mthend,EDATE(A50,1),"")</f>
        <v>38292</v>
      </c>
      <c r="B51" s="197" t="n">
        <f aca="false">IF(A51&lt;mthend,B50,0)</f>
        <v>80000</v>
      </c>
      <c r="C51" s="215"/>
      <c r="D51" s="197" t="n">
        <f aca="false">IF(A52&lt;&gt;"",B51+C51,"")</f>
        <v>80000</v>
      </c>
      <c r="E51" s="199" t="n">
        <f aca="false">IF(A52="","",IF(AND(AT51=1,$H$3=1),D51*AO51,IF($H$3=2,D51,"N/A")))</f>
        <v>2400000</v>
      </c>
      <c r="F51" s="199" t="n">
        <f aca="false">IF(A52="","",E51*AS51)</f>
        <v>18448278.6630854</v>
      </c>
      <c r="G51" s="200" t="e">
        <f aca="false">IF($A52="","",VLOOKUP($A51,Table,MATCH(G$4,Curves,0)))</f>
        <v>#N/A</v>
      </c>
      <c r="H51" s="201" t="e">
        <f aca="false">IF(A52="","",G51)</f>
        <v>#N/A</v>
      </c>
      <c r="I51" s="202"/>
      <c r="J51" s="200" t="e">
        <f aca="false">IF($A52="","",VLOOKUP($A51,Table,MATCH(J$4,Curves,0)))</f>
        <v>#N/A</v>
      </c>
      <c r="K51" s="201" t="e">
        <f aca="false">IF(A52="","",J51)</f>
        <v>#N/A</v>
      </c>
      <c r="L51" s="200" t="e">
        <f aca="false">IF($A52="","",VLOOKUP($A51,Table,MATCH(L$4,Curves,0)))</f>
        <v>#N/A</v>
      </c>
      <c r="M51" s="201" t="e">
        <f aca="false">IF(A52="","",L51)</f>
        <v>#N/A</v>
      </c>
      <c r="N51" s="203"/>
      <c r="O51" s="200" t="e">
        <f aca="false">IF(A52="","",L51+J51+G51)</f>
        <v>#N/A</v>
      </c>
      <c r="P51" s="200" t="e">
        <f aca="false">IF(A52="","",M51+K51+H51)</f>
        <v>#N/A</v>
      </c>
      <c r="Q51" s="204"/>
      <c r="R51" s="200" t="e">
        <f aca="false">IF($A52="","",VLOOKUP($A51,Table,MATCH(R$4,Curves,0)))</f>
        <v>#N/A</v>
      </c>
      <c r="S51" s="201" t="e">
        <f aca="false">IF(A52="","",R51)</f>
        <v>#N/A</v>
      </c>
      <c r="T51" s="200" t="e">
        <f aca="false">IF($A52="","",VLOOKUP($A51,Table,MATCH(T$4,Curves,0)))</f>
        <v>#N/A</v>
      </c>
      <c r="U51" s="201" t="e">
        <f aca="false">IF(A52="","",T51)</f>
        <v>#N/A</v>
      </c>
      <c r="V51" s="183" t="e">
        <f aca="false">IF($A52="","",IF(AND(MONTH(A51)&gt;3,MONTH(A51)&lt;11),(T51+R51+G51)*Summary!$T$8/(1-Summary!$T$8),(T51+R51+G51)*Summary!$U$8/(1-Summary!$U$8)))</f>
        <v>#N/A</v>
      </c>
      <c r="W51" s="200" t="e">
        <f aca="false">IF($A52="","",(T51+R51+G51+V51))</f>
        <v>#N/A</v>
      </c>
      <c r="X51" s="200" t="e">
        <f aca="false">IF($A52="","",(U51+S51+H51+V51))</f>
        <v>#N/A</v>
      </c>
      <c r="Y51" s="202"/>
      <c r="Z51" s="185" t="e">
        <f aca="false">IF($A52="","",VLOOKUP($A51,Table,MATCH(Z$4,Curves,0)))</f>
        <v>#N/A</v>
      </c>
      <c r="AA51" s="185" t="e">
        <f aca="false">IF($A52="","",VLOOKUP($A51,Table,MATCH(AA$4,Curves,0)))</f>
        <v>#N/A</v>
      </c>
      <c r="AB51" s="185" t="e">
        <f aca="false">SQRT((AA51^2*(A51-$D$3)+Z51^2*(DAY(EOMONTH(A51,0))/2))/AK51)</f>
        <v>#N/A</v>
      </c>
      <c r="AC51" s="185" t="e">
        <f aca="false">IF($A52="","",VLOOKUP($A51,Table,MATCH(AC$4,Curves,0)))</f>
        <v>#N/A</v>
      </c>
      <c r="AD51" s="185" t="e">
        <f aca="false">IF($A52="","",VLOOKUP($A51,Table,MATCH(AD$4,Curves,0)))</f>
        <v>#N/A</v>
      </c>
      <c r="AE51" s="185" t="e">
        <f aca="false">SQRT((AD51^2*(A51-$D$3)+AC51^2*(DAY(EOMONTH(A51,0))/2))/AK51)</f>
        <v>#N/A</v>
      </c>
      <c r="AF51" s="224" t="e">
        <f aca="false">((Summary!$N$8*(AA51*AD51)*(A51-$D$3))+(Summary!$M$8*Z51*AC51*(AJ51-EOMONTH(EDATE(A51,-1),0))))/(AK51*AB51*AE51)</f>
        <v>#N/A</v>
      </c>
      <c r="AG51" s="207" t="n">
        <f aca="false">IF($A52="","",Summary!$Q$8)</f>
        <v>0</v>
      </c>
      <c r="AH51" s="207" t="n">
        <f aca="false">IF($A52="","",IF(Summary!$R$8="Y",(VLOOKUP($A51,Summary!$AD$6:$AF$9,3)+'Escalating commodity'!D64),'Escalating commodity'!D64))</f>
        <v>0.0200232</v>
      </c>
      <c r="AI51" s="207" t="n">
        <f aca="false">IF($A52="","",AH51)</f>
        <v>0.0200232</v>
      </c>
      <c r="AJ51" s="208" t="n">
        <f aca="false">A51+DAY(EOMONTH(A51,0))/2-1</f>
        <v>38306</v>
      </c>
      <c r="AK51" s="209" t="n">
        <f aca="false">IF($A52="","",$A51-$E$1)</f>
        <v>-7634</v>
      </c>
      <c r="AL51" s="182" t="e">
        <f aca="false">IF($A52="","",SPRDOPT(P51,X51,AI51,0,AB51,AE51,AF51,AK51,$AJ$2,0))</f>
        <v>#NAME?</v>
      </c>
      <c r="AM51" s="211" t="e">
        <f aca="false">IF($A52="","",MAX(0,O51-W51-AI51))</f>
        <v>#N/A</v>
      </c>
      <c r="AN51" s="211" t="e">
        <f aca="false">IF($A52="","",AL51-AM51)</f>
        <v>#N/A</v>
      </c>
      <c r="AO51" s="137" t="n">
        <f aca="false">IF(A52="","",A52-A51)</f>
        <v>30</v>
      </c>
      <c r="AP51" s="212" t="n">
        <f aca="false">IF(A52="","",CHOOSE(F$3,A52+24,A51))</f>
        <v>38292</v>
      </c>
      <c r="AQ51" s="209" t="n">
        <f aca="false">IF(A52="","",AP51-$E$1)</f>
        <v>-7634</v>
      </c>
      <c r="AR51" s="185" t="n">
        <f aca="false">'ANR OK vs ML7'!AR51</f>
        <v>0.1</v>
      </c>
      <c r="AS51" s="213" t="n">
        <f aca="false">IF(A52="","",1/(1+CHOOSE(F$3,(AR52+($I$3/10000))/2,(AR51+($I$3/10000))/2))^(2*AQ51/365.25))</f>
        <v>7.68678277628556</v>
      </c>
      <c r="AT51" s="137" t="n">
        <f aca="false">IF(A52="","",IF(AND(mthbeg&lt;=A51,mthend&gt;=A51),1,0))</f>
        <v>1</v>
      </c>
      <c r="AU51" s="137" t="n">
        <f aca="false">IF(A52="","",AO51*AT51)</f>
        <v>30</v>
      </c>
      <c r="AW51" s="195" t="e">
        <f aca="false">IF($A52="","",AL51*$E51)</f>
        <v>#NAME?</v>
      </c>
      <c r="AX51" s="195" t="e">
        <f aca="false">IF($A52="","",AM51*$E51)</f>
        <v>#N/A</v>
      </c>
      <c r="AY51" s="195" t="e">
        <f aca="false">IF($A52="","",AN51*$E51)</f>
        <v>#N/A</v>
      </c>
      <c r="BA51" s="195" t="n">
        <f aca="false">IF($A52="","",F51*Summary!$Q$8)</f>
        <v>0</v>
      </c>
      <c r="BC51" s="179" t="e">
        <f aca="false">IF(A52="","",AM51*F51)</f>
        <v>#N/A</v>
      </c>
    </row>
    <row r="52" customFormat="false" ht="12.75" hidden="false" customHeight="false" outlineLevel="0" collapsed="false">
      <c r="A52" s="196" t="n">
        <f aca="false">IF(A51&lt;mthend,EDATE(A51,1),"")</f>
        <v>38322</v>
      </c>
      <c r="B52" s="197" t="n">
        <f aca="false">IF(A52&lt;mthend,B51,0)</f>
        <v>80000</v>
      </c>
      <c r="C52" s="215"/>
      <c r="D52" s="197" t="n">
        <f aca="false">IF(A53&lt;&gt;"",B52+C52,"")</f>
        <v>80000</v>
      </c>
      <c r="E52" s="199" t="n">
        <f aca="false">IF(A53="","",IF(AND(AT52=1,$H$3=1),D52*AO52,IF($H$3=2,D52,"N/A")))</f>
        <v>2480000</v>
      </c>
      <c r="F52" s="199" t="n">
        <f aca="false">IF(A53="","",E52*AS52)</f>
        <v>18911043.8141077</v>
      </c>
      <c r="G52" s="200" t="e">
        <f aca="false">IF($A53="","",VLOOKUP($A52,Table,MATCH(G$4,Curves,0)))</f>
        <v>#N/A</v>
      </c>
      <c r="H52" s="201" t="e">
        <f aca="false">IF(A53="","",G52)</f>
        <v>#N/A</v>
      </c>
      <c r="I52" s="202"/>
      <c r="J52" s="200" t="e">
        <f aca="false">IF($A53="","",VLOOKUP($A52,Table,MATCH(J$4,Curves,0)))</f>
        <v>#N/A</v>
      </c>
      <c r="K52" s="201" t="e">
        <f aca="false">IF(A53="","",J52)</f>
        <v>#N/A</v>
      </c>
      <c r="L52" s="200" t="e">
        <f aca="false">IF($A53="","",VLOOKUP($A52,Table,MATCH(L$4,Curves,0)))</f>
        <v>#N/A</v>
      </c>
      <c r="M52" s="201" t="e">
        <f aca="false">IF(A53="","",L52)</f>
        <v>#N/A</v>
      </c>
      <c r="N52" s="203"/>
      <c r="O52" s="200" t="e">
        <f aca="false">IF(A53="","",L52+J52+G52)</f>
        <v>#N/A</v>
      </c>
      <c r="P52" s="200" t="e">
        <f aca="false">IF(A53="","",M52+K52+H52)</f>
        <v>#N/A</v>
      </c>
      <c r="Q52" s="204"/>
      <c r="R52" s="200" t="e">
        <f aca="false">IF($A53="","",VLOOKUP($A52,Table,MATCH(R$4,Curves,0)))</f>
        <v>#N/A</v>
      </c>
      <c r="S52" s="201" t="e">
        <f aca="false">IF(A53="","",R52)</f>
        <v>#N/A</v>
      </c>
      <c r="T52" s="200" t="e">
        <f aca="false">IF($A53="","",VLOOKUP($A52,Table,MATCH(T$4,Curves,0)))</f>
        <v>#N/A</v>
      </c>
      <c r="U52" s="201" t="e">
        <f aca="false">IF(A53="","",T52)</f>
        <v>#N/A</v>
      </c>
      <c r="V52" s="183" t="e">
        <f aca="false">IF($A53="","",IF(AND(MONTH(A52)&gt;3,MONTH(A52)&lt;11),(T52+R52+G52)*Summary!$T$8/(1-Summary!$T$8),(T52+R52+G52)*Summary!$U$8/(1-Summary!$U$8)))</f>
        <v>#N/A</v>
      </c>
      <c r="W52" s="200" t="e">
        <f aca="false">IF($A53="","",(T52+R52+G52+V52))</f>
        <v>#N/A</v>
      </c>
      <c r="X52" s="200" t="e">
        <f aca="false">IF($A53="","",(U52+S52+H52+V52))</f>
        <v>#N/A</v>
      </c>
      <c r="Y52" s="202"/>
      <c r="Z52" s="185" t="e">
        <f aca="false">IF($A53="","",VLOOKUP($A52,Table,MATCH(Z$4,Curves,0)))</f>
        <v>#N/A</v>
      </c>
      <c r="AA52" s="185" t="e">
        <f aca="false">IF($A53="","",VLOOKUP($A52,Table,MATCH(AA$4,Curves,0)))</f>
        <v>#N/A</v>
      </c>
      <c r="AB52" s="185" t="e">
        <f aca="false">SQRT((AA52^2*(A52-$D$3)+Z52^2*(DAY(EOMONTH(A52,0))/2))/AK52)</f>
        <v>#N/A</v>
      </c>
      <c r="AC52" s="185" t="e">
        <f aca="false">IF($A53="","",VLOOKUP($A52,Table,MATCH(AC$4,Curves,0)))</f>
        <v>#N/A</v>
      </c>
      <c r="AD52" s="185" t="e">
        <f aca="false">IF($A53="","",VLOOKUP($A52,Table,MATCH(AD$4,Curves,0)))</f>
        <v>#N/A</v>
      </c>
      <c r="AE52" s="185" t="e">
        <f aca="false">SQRT((AD52^2*(A52-$D$3)+AC52^2*(DAY(EOMONTH(A52,0))/2))/AK52)</f>
        <v>#N/A</v>
      </c>
      <c r="AF52" s="224" t="e">
        <f aca="false">((Summary!$N$8*(AA52*AD52)*(A52-$D$3))+(Summary!$M$8*Z52*AC52*(AJ52-EOMONTH(EDATE(A52,-1),0))))/(AK52*AB52*AE52)</f>
        <v>#N/A</v>
      </c>
      <c r="AG52" s="207" t="n">
        <f aca="false">IF($A53="","",Summary!$Q$8)</f>
        <v>0</v>
      </c>
      <c r="AH52" s="207" t="n">
        <f aca="false">IF($A53="","",IF(Summary!$R$8="Y",(VLOOKUP($A52,Summary!$AD$6:$AF$9,3)+'Escalating commodity'!D65),'Escalating commodity'!D65))</f>
        <v>0.0200232</v>
      </c>
      <c r="AI52" s="207" t="n">
        <f aca="false">IF($A53="","",AH52)</f>
        <v>0.0200232</v>
      </c>
      <c r="AJ52" s="208" t="n">
        <f aca="false">A52+DAY(EOMONTH(A52,0))/2-1</f>
        <v>38336.5</v>
      </c>
      <c r="AK52" s="209" t="n">
        <f aca="false">IF($A53="","",$A52-$E$1)</f>
        <v>-7604</v>
      </c>
      <c r="AL52" s="182" t="e">
        <f aca="false">IF($A53="","",SPRDOPT(P52,X52,AI52,0,AB52,AE52,AF52,AK52,$AJ$2,0))</f>
        <v>#NAME?</v>
      </c>
      <c r="AM52" s="211" t="e">
        <f aca="false">IF($A53="","",MAX(0,O52-W52-AI52))</f>
        <v>#N/A</v>
      </c>
      <c r="AN52" s="211" t="e">
        <f aca="false">IF($A53="","",AL52-AM52)</f>
        <v>#N/A</v>
      </c>
      <c r="AO52" s="137" t="n">
        <f aca="false">IF(A53="","",A53-A52)</f>
        <v>31</v>
      </c>
      <c r="AP52" s="212" t="n">
        <f aca="false">IF(A53="","",CHOOSE(F$3,A53+24,A52))</f>
        <v>38322</v>
      </c>
      <c r="AQ52" s="209" t="n">
        <f aca="false">IF(A53="","",AP52-$E$1)</f>
        <v>-7604</v>
      </c>
      <c r="AR52" s="185" t="n">
        <f aca="false">'ANR OK vs ML7'!AR52</f>
        <v>0.1</v>
      </c>
      <c r="AS52" s="213" t="n">
        <f aca="false">IF(A53="","",1/(1+CHOOSE(F$3,(AR53+($I$3/10000))/2,(AR52+($I$3/10000))/2))^(2*AQ52/365.25))</f>
        <v>7.62542089278536</v>
      </c>
      <c r="AT52" s="137" t="n">
        <f aca="false">IF(A53="","",IF(AND(mthbeg&lt;=A52,mthend&gt;=A52),1,0))</f>
        <v>1</v>
      </c>
      <c r="AU52" s="137" t="n">
        <f aca="false">IF(A53="","",AO52*AT52)</f>
        <v>31</v>
      </c>
      <c r="AW52" s="195" t="e">
        <f aca="false">IF($A53="","",AL52*$E52)</f>
        <v>#NAME?</v>
      </c>
      <c r="AX52" s="195" t="e">
        <f aca="false">IF($A53="","",AM52*$E52)</f>
        <v>#N/A</v>
      </c>
      <c r="AY52" s="195" t="e">
        <f aca="false">IF($A53="","",AN52*$E52)</f>
        <v>#N/A</v>
      </c>
      <c r="BA52" s="195" t="n">
        <f aca="false">IF($A53="","",F52*Summary!$Q$8)</f>
        <v>0</v>
      </c>
      <c r="BC52" s="179" t="e">
        <f aca="false">IF(A53="","",AM52*F52)</f>
        <v>#N/A</v>
      </c>
    </row>
    <row r="53" customFormat="false" ht="12.75" hidden="false" customHeight="false" outlineLevel="0" collapsed="false">
      <c r="A53" s="196" t="n">
        <f aca="false">IF(A52&lt;mthend,EDATE(A52,1),"")</f>
        <v>38353</v>
      </c>
      <c r="B53" s="197" t="n">
        <f aca="false">IF(A53&lt;mthend,B52,0)</f>
        <v>80000</v>
      </c>
      <c r="C53" s="215"/>
      <c r="D53" s="197" t="n">
        <f aca="false">IF(A54&lt;&gt;"",B53+C53,"")</f>
        <v>80000</v>
      </c>
      <c r="E53" s="199" t="n">
        <f aca="false">IF(A54="","",IF(AND(AT53=1,$H$3=1),D53*AO53,IF($H$3=2,D53,"N/A")))</f>
        <v>2480000</v>
      </c>
      <c r="F53" s="199" t="n">
        <f aca="false">IF(A54="","",E53*AS53)</f>
        <v>18755069.8611104</v>
      </c>
      <c r="G53" s="200" t="e">
        <f aca="false">IF($A54="","",VLOOKUP($A53,Table,MATCH(G$4,Curves,0)))</f>
        <v>#N/A</v>
      </c>
      <c r="H53" s="201" t="e">
        <f aca="false">IF(A54="","",G53)</f>
        <v>#N/A</v>
      </c>
      <c r="I53" s="202"/>
      <c r="J53" s="200" t="e">
        <f aca="false">IF($A54="","",VLOOKUP($A53,Table,MATCH(J$4,Curves,0)))</f>
        <v>#N/A</v>
      </c>
      <c r="K53" s="201" t="e">
        <f aca="false">IF(A54="","",J53)</f>
        <v>#N/A</v>
      </c>
      <c r="L53" s="200" t="e">
        <f aca="false">IF($A54="","",VLOOKUP($A53,Table,MATCH(L$4,Curves,0)))</f>
        <v>#N/A</v>
      </c>
      <c r="M53" s="201" t="e">
        <f aca="false">IF(A54="","",L53)</f>
        <v>#N/A</v>
      </c>
      <c r="N53" s="203"/>
      <c r="O53" s="200" t="e">
        <f aca="false">IF(A54="","",L53+J53+G53)</f>
        <v>#N/A</v>
      </c>
      <c r="P53" s="200" t="e">
        <f aca="false">IF(A54="","",M53+K53+H53)</f>
        <v>#N/A</v>
      </c>
      <c r="Q53" s="204"/>
      <c r="R53" s="200" t="e">
        <f aca="false">IF($A54="","",VLOOKUP($A53,Table,MATCH(R$4,Curves,0)))</f>
        <v>#N/A</v>
      </c>
      <c r="S53" s="201" t="e">
        <f aca="false">IF(A54="","",R53)</f>
        <v>#N/A</v>
      </c>
      <c r="T53" s="200" t="e">
        <f aca="false">IF($A54="","",VLOOKUP($A53,Table,MATCH(T$4,Curves,0)))</f>
        <v>#N/A</v>
      </c>
      <c r="U53" s="201" t="e">
        <f aca="false">IF(A54="","",T53)</f>
        <v>#N/A</v>
      </c>
      <c r="V53" s="183" t="e">
        <f aca="false">IF($A54="","",IF(AND(MONTH(A53)&gt;3,MONTH(A53)&lt;11),(T53+R53+G53)*Summary!$T$8/(1-Summary!$T$8),(T53+R53+G53)*Summary!$U$8/(1-Summary!$U$8)))</f>
        <v>#N/A</v>
      </c>
      <c r="W53" s="200" t="e">
        <f aca="false">IF($A54="","",(T53+R53+G53+V53))</f>
        <v>#N/A</v>
      </c>
      <c r="X53" s="200" t="e">
        <f aca="false">IF($A54="","",(U53+S53+H53+V53))</f>
        <v>#N/A</v>
      </c>
      <c r="Y53" s="202"/>
      <c r="Z53" s="185" t="e">
        <f aca="false">IF($A54="","",VLOOKUP($A53,Table,MATCH(Z$4,Curves,0)))</f>
        <v>#N/A</v>
      </c>
      <c r="AA53" s="185" t="e">
        <f aca="false">IF($A54="","",VLOOKUP($A53,Table,MATCH(AA$4,Curves,0)))</f>
        <v>#N/A</v>
      </c>
      <c r="AB53" s="185" t="e">
        <f aca="false">SQRT((AA53^2*(A53-$D$3)+Z53^2*(DAY(EOMONTH(A53,0))/2))/AK53)</f>
        <v>#N/A</v>
      </c>
      <c r="AC53" s="185" t="e">
        <f aca="false">IF($A54="","",VLOOKUP($A53,Table,MATCH(AC$4,Curves,0)))</f>
        <v>#N/A</v>
      </c>
      <c r="AD53" s="185" t="e">
        <f aca="false">IF($A54="","",VLOOKUP($A53,Table,MATCH(AD$4,Curves,0)))</f>
        <v>#N/A</v>
      </c>
      <c r="AE53" s="185" t="e">
        <f aca="false">SQRT((AD53^2*(A53-$D$3)+AC53^2*(DAY(EOMONTH(A53,0))/2))/AK53)</f>
        <v>#N/A</v>
      </c>
      <c r="AF53" s="224" t="e">
        <f aca="false">((Summary!$N$8*(AA53*AD53)*(A53-$D$3))+(Summary!$M$8*Z53*AC53*(AJ53-EOMONTH(EDATE(A53,-1),0))))/(AK53*AB53*AE53)</f>
        <v>#N/A</v>
      </c>
      <c r="AG53" s="207" t="n">
        <f aca="false">IF($A54="","",Summary!$Q$8)</f>
        <v>0</v>
      </c>
      <c r="AH53" s="207" t="n">
        <f aca="false">IF($A54="","",IF(Summary!$R$8="Y",(VLOOKUP($A53,Summary!$AD$6:$AF$9,3)+'Escalating commodity'!D66),'Escalating commodity'!D66))</f>
        <v>0.0200232</v>
      </c>
      <c r="AI53" s="207" t="n">
        <f aca="false">IF($A54="","",AH53)</f>
        <v>0.0200232</v>
      </c>
      <c r="AJ53" s="208" t="n">
        <f aca="false">A53+DAY(EOMONTH(A53,0))/2-1</f>
        <v>38367.5</v>
      </c>
      <c r="AK53" s="209" t="n">
        <f aca="false">IF($A54="","",$A53-$E$1)</f>
        <v>-7573</v>
      </c>
      <c r="AL53" s="182" t="e">
        <f aca="false">IF($A54="","",SPRDOPT(P53,X53,AI53,0,AB53,AE53,AF53,AK53,$AJ$2,0))</f>
        <v>#NAME?</v>
      </c>
      <c r="AM53" s="211" t="e">
        <f aca="false">IF($A54="","",MAX(0,O53-W53-AI53))</f>
        <v>#N/A</v>
      </c>
      <c r="AN53" s="211" t="e">
        <f aca="false">IF($A54="","",AL53-AM53)</f>
        <v>#N/A</v>
      </c>
      <c r="AO53" s="137" t="n">
        <f aca="false">IF(A54="","",A54-A53)</f>
        <v>31</v>
      </c>
      <c r="AP53" s="212" t="n">
        <f aca="false">IF(A54="","",CHOOSE(F$3,A54+24,A53))</f>
        <v>38353</v>
      </c>
      <c r="AQ53" s="209" t="n">
        <f aca="false">IF(A54="","",AP53-$E$1)</f>
        <v>-7573</v>
      </c>
      <c r="AR53" s="185" t="n">
        <f aca="false">'ANR OK vs ML7'!AR53</f>
        <v>0.1</v>
      </c>
      <c r="AS53" s="213" t="n">
        <f aca="false">IF(A54="","",1/(1+CHOOSE(F$3,(AR54+($I$3/10000))/2,(AR53+($I$3/10000))/2))^(2*AQ53/365.25))</f>
        <v>7.56252816980258</v>
      </c>
      <c r="AT53" s="137" t="n">
        <f aca="false">IF(A54="","",IF(AND(mthbeg&lt;=A53,mthend&gt;=A53),1,0))</f>
        <v>1</v>
      </c>
      <c r="AU53" s="137" t="n">
        <f aca="false">IF(A54="","",AO53*AT53)</f>
        <v>31</v>
      </c>
      <c r="AW53" s="195" t="e">
        <f aca="false">IF($A54="","",AL53*$E53)</f>
        <v>#NAME?</v>
      </c>
      <c r="AX53" s="195" t="e">
        <f aca="false">IF($A54="","",AM53*$E53)</f>
        <v>#N/A</v>
      </c>
      <c r="AY53" s="195" t="e">
        <f aca="false">IF($A54="","",AN53*$E53)</f>
        <v>#N/A</v>
      </c>
      <c r="BA53" s="195" t="n">
        <f aca="false">IF($A54="","",F53*Summary!$Q$8)</f>
        <v>0</v>
      </c>
      <c r="BC53" s="179" t="e">
        <f aca="false">IF(A54="","",AM53*F53)</f>
        <v>#N/A</v>
      </c>
    </row>
    <row r="54" customFormat="false" ht="12.75" hidden="false" customHeight="false" outlineLevel="0" collapsed="false">
      <c r="A54" s="196" t="n">
        <f aca="false">IF(A53&lt;mthend,EDATE(A53,1),"")</f>
        <v>38384</v>
      </c>
      <c r="B54" s="197" t="n">
        <f aca="false">IF(A54&lt;mthend,B53,0)</f>
        <v>80000</v>
      </c>
      <c r="C54" s="215"/>
      <c r="D54" s="197" t="n">
        <f aca="false">IF(A55&lt;&gt;"",B54+C54,"")</f>
        <v>80000</v>
      </c>
      <c r="E54" s="199" t="n">
        <f aca="false">IF(A55="","",IF(AND(AT54=1,$H$3=1),D54*AO54,IF($H$3=2,D54,"N/A")))</f>
        <v>2240000</v>
      </c>
      <c r="F54" s="199" t="n">
        <f aca="false">IF(A55="","",E54*AS54)</f>
        <v>16800345.3443334</v>
      </c>
      <c r="G54" s="200" t="e">
        <f aca="false">IF($A55="","",VLOOKUP($A54,Table,MATCH(G$4,Curves,0)))</f>
        <v>#N/A</v>
      </c>
      <c r="H54" s="201" t="e">
        <f aca="false">IF(A55="","",G54)</f>
        <v>#N/A</v>
      </c>
      <c r="I54" s="202"/>
      <c r="J54" s="200" t="e">
        <f aca="false">IF($A55="","",VLOOKUP($A54,Table,MATCH(J$4,Curves,0)))</f>
        <v>#N/A</v>
      </c>
      <c r="K54" s="201" t="e">
        <f aca="false">IF(A55="","",J54)</f>
        <v>#N/A</v>
      </c>
      <c r="L54" s="200" t="e">
        <f aca="false">IF($A55="","",VLOOKUP($A54,Table,MATCH(L$4,Curves,0)))</f>
        <v>#N/A</v>
      </c>
      <c r="M54" s="201" t="e">
        <f aca="false">IF(A55="","",L54)</f>
        <v>#N/A</v>
      </c>
      <c r="N54" s="203"/>
      <c r="O54" s="200" t="e">
        <f aca="false">IF(A55="","",L54+J54+G54)</f>
        <v>#N/A</v>
      </c>
      <c r="P54" s="200" t="e">
        <f aca="false">IF(A55="","",M54+K54+H54)</f>
        <v>#N/A</v>
      </c>
      <c r="Q54" s="204"/>
      <c r="R54" s="200" t="e">
        <f aca="false">IF($A55="","",VLOOKUP($A54,Table,MATCH(R$4,Curves,0)))</f>
        <v>#N/A</v>
      </c>
      <c r="S54" s="201" t="e">
        <f aca="false">IF(A55="","",R54)</f>
        <v>#N/A</v>
      </c>
      <c r="T54" s="200" t="e">
        <f aca="false">IF($A55="","",VLOOKUP($A54,Table,MATCH(T$4,Curves,0)))</f>
        <v>#N/A</v>
      </c>
      <c r="U54" s="201" t="e">
        <f aca="false">IF(A55="","",T54)</f>
        <v>#N/A</v>
      </c>
      <c r="V54" s="183" t="e">
        <f aca="false">IF($A55="","",IF(AND(MONTH(A54)&gt;3,MONTH(A54)&lt;11),(T54+R54+G54)*Summary!$T$8/(1-Summary!$T$8),(T54+R54+G54)*Summary!$U$8/(1-Summary!$U$8)))</f>
        <v>#N/A</v>
      </c>
      <c r="W54" s="200" t="e">
        <f aca="false">IF($A55="","",(T54+R54+G54+V54))</f>
        <v>#N/A</v>
      </c>
      <c r="X54" s="200" t="e">
        <f aca="false">IF($A55="","",(U54+S54+H54+V54))</f>
        <v>#N/A</v>
      </c>
      <c r="Y54" s="202"/>
      <c r="Z54" s="185" t="e">
        <f aca="false">IF($A55="","",VLOOKUP($A54,Table,MATCH(Z$4,Curves,0)))</f>
        <v>#N/A</v>
      </c>
      <c r="AA54" s="185" t="e">
        <f aca="false">IF($A55="","",VLOOKUP($A54,Table,MATCH(AA$4,Curves,0)))</f>
        <v>#N/A</v>
      </c>
      <c r="AB54" s="185" t="e">
        <f aca="false">SQRT((AA54^2*(A54-$D$3)+Z54^2*(DAY(EOMONTH(A54,0))/2))/AK54)</f>
        <v>#N/A</v>
      </c>
      <c r="AC54" s="185" t="e">
        <f aca="false">IF($A55="","",VLOOKUP($A54,Table,MATCH(AC$4,Curves,0)))</f>
        <v>#N/A</v>
      </c>
      <c r="AD54" s="185" t="e">
        <f aca="false">IF($A55="","",VLOOKUP($A54,Table,MATCH(AD$4,Curves,0)))</f>
        <v>#N/A</v>
      </c>
      <c r="AE54" s="185" t="e">
        <f aca="false">SQRT((AD54^2*(A54-$D$3)+AC54^2*(DAY(EOMONTH(A54,0))/2))/AK54)</f>
        <v>#N/A</v>
      </c>
      <c r="AF54" s="224" t="e">
        <f aca="false">((Summary!$N$8*(AA54*AD54)*(A54-$D$3))+(Summary!$M$8*Z54*AC54*(AJ54-EOMONTH(EDATE(A54,-1),0))))/(AK54*AB54*AE54)</f>
        <v>#N/A</v>
      </c>
      <c r="AG54" s="207" t="n">
        <f aca="false">IF($A55="","",Summary!$Q$8)</f>
        <v>0</v>
      </c>
      <c r="AH54" s="207" t="n">
        <f aca="false">IF($A55="","",IF(Summary!$R$8="Y",(VLOOKUP($A54,Summary!$AD$6:$AF$9,3)+'Escalating commodity'!D67),'Escalating commodity'!D67))</f>
        <v>0.0200232</v>
      </c>
      <c r="AI54" s="207" t="n">
        <f aca="false">IF($A55="","",AH54)</f>
        <v>0.0200232</v>
      </c>
      <c r="AJ54" s="208" t="n">
        <f aca="false">A54+DAY(EOMONTH(A54,0))/2-1</f>
        <v>38397</v>
      </c>
      <c r="AK54" s="209" t="n">
        <f aca="false">IF($A55="","",$A54-$E$1)</f>
        <v>-7542</v>
      </c>
      <c r="AL54" s="182" t="e">
        <f aca="false">IF($A55="","",SPRDOPT(P54,X54,AI54,0,AB54,AE54,AF54,AK54,$AJ$2,0))</f>
        <v>#NAME?</v>
      </c>
      <c r="AM54" s="211" t="e">
        <f aca="false">IF($A55="","",MAX(0,O54-W54-AI54))</f>
        <v>#N/A</v>
      </c>
      <c r="AN54" s="211" t="e">
        <f aca="false">IF($A55="","",AL54-AM54)</f>
        <v>#N/A</v>
      </c>
      <c r="AO54" s="137" t="n">
        <f aca="false">IF(A55="","",A55-A54)</f>
        <v>28</v>
      </c>
      <c r="AP54" s="212" t="n">
        <f aca="false">IF(A55="","",CHOOSE(F$3,A55+24,A54))</f>
        <v>38384</v>
      </c>
      <c r="AQ54" s="209" t="n">
        <f aca="false">IF(A55="","",AP54-$E$1)</f>
        <v>-7542</v>
      </c>
      <c r="AR54" s="185" t="n">
        <f aca="false">'ANR OK vs ML7'!AR54</f>
        <v>0.1</v>
      </c>
      <c r="AS54" s="213" t="n">
        <f aca="false">IF(A55="","",1/(1+CHOOSE(F$3,(AR55+($I$3/10000))/2,(AR54+($I$3/10000))/2))^(2*AQ54/365.25))</f>
        <v>7.5001541715774</v>
      </c>
      <c r="AT54" s="137" t="n">
        <f aca="false">IF(A55="","",IF(AND(mthbeg&lt;=A54,mthend&gt;=A54),1,0))</f>
        <v>1</v>
      </c>
      <c r="AU54" s="137" t="n">
        <f aca="false">IF(A55="","",AO54*AT54)</f>
        <v>28</v>
      </c>
      <c r="AW54" s="195" t="e">
        <f aca="false">IF($A55="","",AL54*$E54)</f>
        <v>#NAME?</v>
      </c>
      <c r="AX54" s="195" t="e">
        <f aca="false">IF($A55="","",AM54*$E54)</f>
        <v>#N/A</v>
      </c>
      <c r="AY54" s="195" t="e">
        <f aca="false">IF($A55="","",AN54*$E54)</f>
        <v>#N/A</v>
      </c>
      <c r="BA54" s="195" t="n">
        <f aca="false">IF($A55="","",F54*Summary!$Q$8)</f>
        <v>0</v>
      </c>
      <c r="BC54" s="179" t="e">
        <f aca="false">IF(A55="","",AM54*F54)</f>
        <v>#N/A</v>
      </c>
    </row>
    <row r="55" customFormat="false" ht="12.75" hidden="false" customHeight="false" outlineLevel="0" collapsed="false">
      <c r="A55" s="196" t="n">
        <f aca="false">IF(A54&lt;mthend,EDATE(A54,1),"")</f>
        <v>38412</v>
      </c>
      <c r="B55" s="197" t="n">
        <f aca="false">IF(A55&lt;mthend,B54,0)</f>
        <v>80000</v>
      </c>
      <c r="C55" s="215"/>
      <c r="D55" s="197" t="n">
        <f aca="false">IF(A56&lt;&gt;"",B55+C55,"")</f>
        <v>80000</v>
      </c>
      <c r="E55" s="199" t="n">
        <f aca="false">IF(A56="","",IF(AND(AT55=1,$H$3=1),D55*AO55,IF($H$3=2,D55,"N/A")))</f>
        <v>2480000</v>
      </c>
      <c r="F55" s="199" t="n">
        <f aca="false">IF(A56="","",E55*AS55)</f>
        <v>18461761.4825664</v>
      </c>
      <c r="G55" s="200" t="e">
        <f aca="false">IF($A56="","",VLOOKUP($A55,Table,MATCH(G$4,Curves,0)))</f>
        <v>#N/A</v>
      </c>
      <c r="H55" s="201" t="e">
        <f aca="false">IF(A56="","",G55)</f>
        <v>#N/A</v>
      </c>
      <c r="I55" s="202"/>
      <c r="J55" s="200" t="e">
        <f aca="false">IF($A56="","",VLOOKUP($A55,Table,MATCH(J$4,Curves,0)))</f>
        <v>#N/A</v>
      </c>
      <c r="K55" s="201" t="e">
        <f aca="false">IF(A56="","",J55)</f>
        <v>#N/A</v>
      </c>
      <c r="L55" s="200" t="e">
        <f aca="false">IF($A56="","",VLOOKUP($A55,Table,MATCH(L$4,Curves,0)))</f>
        <v>#N/A</v>
      </c>
      <c r="M55" s="201" t="e">
        <f aca="false">IF(A56="","",L55)</f>
        <v>#N/A</v>
      </c>
      <c r="N55" s="203"/>
      <c r="O55" s="200" t="e">
        <f aca="false">IF(A56="","",L55+J55+G55)</f>
        <v>#N/A</v>
      </c>
      <c r="P55" s="200" t="e">
        <f aca="false">IF(A56="","",M55+K55+H55)</f>
        <v>#N/A</v>
      </c>
      <c r="Q55" s="204"/>
      <c r="R55" s="200" t="e">
        <f aca="false">IF($A56="","",VLOOKUP($A55,Table,MATCH(R$4,Curves,0)))</f>
        <v>#N/A</v>
      </c>
      <c r="S55" s="201" t="e">
        <f aca="false">IF(A56="","",R55)</f>
        <v>#N/A</v>
      </c>
      <c r="T55" s="200" t="e">
        <f aca="false">IF($A56="","",VLOOKUP($A55,Table,MATCH(T$4,Curves,0)))</f>
        <v>#N/A</v>
      </c>
      <c r="U55" s="201" t="e">
        <f aca="false">IF(A56="","",T55)</f>
        <v>#N/A</v>
      </c>
      <c r="V55" s="183" t="e">
        <f aca="false">IF($A56="","",IF(AND(MONTH(A55)&gt;3,MONTH(A55)&lt;11),(T55+R55+G55)*Summary!$T$8/(1-Summary!$T$8),(T55+R55+G55)*Summary!$U$8/(1-Summary!$U$8)))</f>
        <v>#N/A</v>
      </c>
      <c r="W55" s="200" t="e">
        <f aca="false">IF($A56="","",(T55+R55+G55+V55))</f>
        <v>#N/A</v>
      </c>
      <c r="X55" s="200" t="e">
        <f aca="false">IF($A56="","",(U55+S55+H55+V55))</f>
        <v>#N/A</v>
      </c>
      <c r="Y55" s="202"/>
      <c r="Z55" s="185" t="e">
        <f aca="false">IF($A56="","",VLOOKUP($A55,Table,MATCH(Z$4,Curves,0)))</f>
        <v>#N/A</v>
      </c>
      <c r="AA55" s="185" t="e">
        <f aca="false">IF($A56="","",VLOOKUP($A55,Table,MATCH(AA$4,Curves,0)))</f>
        <v>#N/A</v>
      </c>
      <c r="AB55" s="185" t="e">
        <f aca="false">SQRT((AA55^2*(A55-$D$3)+Z55^2*(DAY(EOMONTH(A55,0))/2))/AK55)</f>
        <v>#N/A</v>
      </c>
      <c r="AC55" s="185" t="e">
        <f aca="false">IF($A56="","",VLOOKUP($A55,Table,MATCH(AC$4,Curves,0)))</f>
        <v>#N/A</v>
      </c>
      <c r="AD55" s="185" t="e">
        <f aca="false">IF($A56="","",VLOOKUP($A55,Table,MATCH(AD$4,Curves,0)))</f>
        <v>#N/A</v>
      </c>
      <c r="AE55" s="185" t="e">
        <f aca="false">SQRT((AD55^2*(A55-$D$3)+AC55^2*(DAY(EOMONTH(A55,0))/2))/AK55)</f>
        <v>#N/A</v>
      </c>
      <c r="AF55" s="224" t="e">
        <f aca="false">((Summary!$N$8*(AA55*AD55)*(A55-$D$3))+(Summary!$M$8*Z55*AC55*(AJ55-EOMONTH(EDATE(A55,-1),0))))/(AK55*AB55*AE55)</f>
        <v>#N/A</v>
      </c>
      <c r="AG55" s="207" t="n">
        <f aca="false">IF($A56="","",Summary!$Q$8)</f>
        <v>0</v>
      </c>
      <c r="AH55" s="207" t="n">
        <f aca="false">IF($A56="","",IF(Summary!$R$8="Y",(VLOOKUP($A55,Summary!$AD$6:$AF$9,3)+'Escalating commodity'!D68),'Escalating commodity'!D68))</f>
        <v>0.0200232</v>
      </c>
      <c r="AI55" s="207" t="n">
        <f aca="false">IF($A56="","",AH55)</f>
        <v>0.0200232</v>
      </c>
      <c r="AJ55" s="208" t="n">
        <f aca="false">A55+DAY(EOMONTH(A55,0))/2-1</f>
        <v>38426.5</v>
      </c>
      <c r="AK55" s="209" t="n">
        <f aca="false">IF($A56="","",$A55-$E$1)</f>
        <v>-7514</v>
      </c>
      <c r="AL55" s="182" t="e">
        <f aca="false">IF($A56="","",SPRDOPT(P55,X55,AI55,0,AB55,AE55,AF55,AK55,$AJ$2,0))</f>
        <v>#NAME?</v>
      </c>
      <c r="AM55" s="211" t="e">
        <f aca="false">IF($A56="","",MAX(0,O55-W55-AI55))</f>
        <v>#N/A</v>
      </c>
      <c r="AN55" s="211" t="e">
        <f aca="false">IF($A56="","",AL55-AM55)</f>
        <v>#N/A</v>
      </c>
      <c r="AO55" s="137" t="n">
        <f aca="false">IF(A56="","",A56-A55)</f>
        <v>31</v>
      </c>
      <c r="AP55" s="212" t="n">
        <f aca="false">IF(A56="","",CHOOSE(F$3,A56+24,A55))</f>
        <v>38412</v>
      </c>
      <c r="AQ55" s="209" t="n">
        <f aca="false">IF(A56="","",AP55-$E$1)</f>
        <v>-7514</v>
      </c>
      <c r="AR55" s="185" t="n">
        <f aca="false">'ANR OK vs ML7'!AR55</f>
        <v>0.1</v>
      </c>
      <c r="AS55" s="213" t="n">
        <f aca="false">IF(A56="","",1/(1+CHOOSE(F$3,(AR56+($I$3/10000))/2,(AR55+($I$3/10000))/2))^(2*AQ55/365.25))</f>
        <v>7.44425866232515</v>
      </c>
      <c r="AT55" s="137" t="n">
        <f aca="false">IF(A56="","",IF(AND(mthbeg&lt;=A55,mthend&gt;=A55),1,0))</f>
        <v>1</v>
      </c>
      <c r="AU55" s="137" t="n">
        <f aca="false">IF(A56="","",AO55*AT55)</f>
        <v>31</v>
      </c>
      <c r="AW55" s="195" t="e">
        <f aca="false">IF($A56="","",AL55*$E55)</f>
        <v>#NAME?</v>
      </c>
      <c r="AX55" s="195" t="e">
        <f aca="false">IF($A56="","",AM55*$E55)</f>
        <v>#N/A</v>
      </c>
      <c r="AY55" s="195" t="e">
        <f aca="false">IF($A56="","",AN55*$E55)</f>
        <v>#N/A</v>
      </c>
      <c r="BA55" s="195" t="n">
        <f aca="false">IF($A56="","",F55*Summary!$Q$8)</f>
        <v>0</v>
      </c>
      <c r="BC55" s="179" t="e">
        <f aca="false">IF(A56="","",AM55*F55)</f>
        <v>#N/A</v>
      </c>
    </row>
    <row r="56" customFormat="false" ht="12.75" hidden="false" customHeight="false" outlineLevel="0" collapsed="false">
      <c r="A56" s="196" t="n">
        <f aca="false">IF(A55&lt;mthend,EDATE(A55,1),"")</f>
        <v>38443</v>
      </c>
      <c r="B56" s="197" t="n">
        <f aca="false">IF(A56&lt;mthend,B55,0)</f>
        <v>80000</v>
      </c>
      <c r="C56" s="215"/>
      <c r="D56" s="197" t="n">
        <f aca="false">IF(A57&lt;&gt;"",B56+C56,"")</f>
        <v>80000</v>
      </c>
      <c r="E56" s="199" t="n">
        <f aca="false">IF(A57="","",IF(AND(AT56=1,$H$3=1),D56*AO56,IF($H$3=2,D56,"N/A")))</f>
        <v>2400000</v>
      </c>
      <c r="F56" s="199" t="n">
        <f aca="false">IF(A57="","",E56*AS56)</f>
        <v>17718864.2973071</v>
      </c>
      <c r="G56" s="200" t="e">
        <f aca="false">IF($A57="","",VLOOKUP($A56,Table,MATCH(G$4,Curves,0)))</f>
        <v>#N/A</v>
      </c>
      <c r="H56" s="201" t="e">
        <f aca="false">IF(A57="","",G56)</f>
        <v>#N/A</v>
      </c>
      <c r="I56" s="202"/>
      <c r="J56" s="200" t="e">
        <f aca="false">IF($A57="","",VLOOKUP($A56,Table,MATCH(J$4,Curves,0)))</f>
        <v>#N/A</v>
      </c>
      <c r="K56" s="201" t="e">
        <f aca="false">IF(A57="","",J56)</f>
        <v>#N/A</v>
      </c>
      <c r="L56" s="200" t="e">
        <f aca="false">IF($A57="","",VLOOKUP($A56,Table,MATCH(L$4,Curves,0)))</f>
        <v>#N/A</v>
      </c>
      <c r="M56" s="201" t="e">
        <f aca="false">IF(A57="","",L56)</f>
        <v>#N/A</v>
      </c>
      <c r="N56" s="203"/>
      <c r="O56" s="200" t="e">
        <f aca="false">IF(A57="","",L56+J56+G56)</f>
        <v>#N/A</v>
      </c>
      <c r="P56" s="200" t="e">
        <f aca="false">IF(A57="","",M56+K56+H56)</f>
        <v>#N/A</v>
      </c>
      <c r="Q56" s="204"/>
      <c r="R56" s="200" t="e">
        <f aca="false">IF($A57="","",VLOOKUP($A56,Table,MATCH(R$4,Curves,0)))</f>
        <v>#N/A</v>
      </c>
      <c r="S56" s="201" t="e">
        <f aca="false">IF(A57="","",R56)</f>
        <v>#N/A</v>
      </c>
      <c r="T56" s="200" t="e">
        <f aca="false">IF($A57="","",VLOOKUP($A56,Table,MATCH(T$4,Curves,0)))</f>
        <v>#N/A</v>
      </c>
      <c r="U56" s="201" t="e">
        <f aca="false">IF(A57="","",T56)</f>
        <v>#N/A</v>
      </c>
      <c r="V56" s="183" t="e">
        <f aca="false">IF($A57="","",IF(AND(MONTH(A56)&gt;3,MONTH(A56)&lt;11),(T56+R56+G56)*Summary!$T$8/(1-Summary!$T$8),(T56+R56+G56)*Summary!$U$8/(1-Summary!$U$8)))</f>
        <v>#N/A</v>
      </c>
      <c r="W56" s="200" t="e">
        <f aca="false">IF($A57="","",(T56+R56+G56+V56))</f>
        <v>#N/A</v>
      </c>
      <c r="X56" s="200" t="e">
        <f aca="false">IF($A57="","",(U56+S56+H56+V56))</f>
        <v>#N/A</v>
      </c>
      <c r="Y56" s="202"/>
      <c r="Z56" s="185" t="e">
        <f aca="false">IF($A57="","",VLOOKUP($A56,Table,MATCH(Z$4,Curves,0)))</f>
        <v>#N/A</v>
      </c>
      <c r="AA56" s="185" t="e">
        <f aca="false">IF($A57="","",VLOOKUP($A56,Table,MATCH(AA$4,Curves,0)))</f>
        <v>#N/A</v>
      </c>
      <c r="AB56" s="185" t="e">
        <f aca="false">SQRT((AA56^2*(A56-$D$3)+Z56^2*(DAY(EOMONTH(A56,0))/2))/AK56)</f>
        <v>#N/A</v>
      </c>
      <c r="AC56" s="185" t="e">
        <f aca="false">IF($A57="","",VLOOKUP($A56,Table,MATCH(AC$4,Curves,0)))</f>
        <v>#N/A</v>
      </c>
      <c r="AD56" s="185" t="e">
        <f aca="false">IF($A57="","",VLOOKUP($A56,Table,MATCH(AD$4,Curves,0)))</f>
        <v>#N/A</v>
      </c>
      <c r="AE56" s="185" t="e">
        <f aca="false">SQRT((AD56^2*(A56-$D$3)+AC56^2*(DAY(EOMONTH(A56,0))/2))/AK56)</f>
        <v>#N/A</v>
      </c>
      <c r="AF56" s="224" t="e">
        <f aca="false">((Summary!$N$8*(AA56*AD56)*(A56-$D$3))+(Summary!$M$8*Z56*AC56*(AJ56-EOMONTH(EDATE(A56,-1),0))))/(AK56*AB56*AE56)</f>
        <v>#N/A</v>
      </c>
      <c r="AG56" s="207" t="n">
        <f aca="false">IF($A57="","",Summary!$Q$8)</f>
        <v>0</v>
      </c>
      <c r="AH56" s="207" t="n">
        <f aca="false">IF($A57="","",IF(Summary!$R$8="Y",(VLOOKUP($A56,Summary!$AD$6:$AF$9,3)+'Escalating commodity'!D69),'Escalating commodity'!D69))</f>
        <v>0.0200232</v>
      </c>
      <c r="AI56" s="207" t="n">
        <f aca="false">IF($A57="","",AH56)</f>
        <v>0.0200232</v>
      </c>
      <c r="AJ56" s="208" t="n">
        <f aca="false">A56+DAY(EOMONTH(A56,0))/2-1</f>
        <v>38457</v>
      </c>
      <c r="AK56" s="209" t="n">
        <f aca="false">IF($A57="","",$A56-$E$1)</f>
        <v>-7483</v>
      </c>
      <c r="AL56" s="182" t="e">
        <f aca="false">IF($A57="","",SPRDOPT(P56,X56,AI56,0,AB56,AE56,AF56,AK56,$AJ$2,0))</f>
        <v>#NAME?</v>
      </c>
      <c r="AM56" s="211" t="e">
        <f aca="false">IF($A57="","",MAX(0,O56-W56-AI56))</f>
        <v>#N/A</v>
      </c>
      <c r="AN56" s="211" t="e">
        <f aca="false">IF($A57="","",AL56-AM56)</f>
        <v>#N/A</v>
      </c>
      <c r="AO56" s="137" t="n">
        <f aca="false">IF(A57="","",A57-A56)</f>
        <v>30</v>
      </c>
      <c r="AP56" s="212" t="n">
        <f aca="false">IF(A57="","",CHOOSE(F$3,A57+24,A56))</f>
        <v>38443</v>
      </c>
      <c r="AQ56" s="209" t="n">
        <f aca="false">IF(A57="","",AP56-$E$1)</f>
        <v>-7483</v>
      </c>
      <c r="AR56" s="185" t="n">
        <f aca="false">'ANR OK vs ML7'!AR56</f>
        <v>0.1</v>
      </c>
      <c r="AS56" s="213" t="n">
        <f aca="false">IF(A57="","",1/(1+CHOOSE(F$3,(AR57+($I$3/10000))/2,(AR56+($I$3/10000))/2))^(2*AQ56/365.25))</f>
        <v>7.38286012387795</v>
      </c>
      <c r="AT56" s="137" t="n">
        <f aca="false">IF(A57="","",IF(AND(mthbeg&lt;=A56,mthend&gt;=A56),1,0))</f>
        <v>1</v>
      </c>
      <c r="AU56" s="137" t="n">
        <f aca="false">IF(A57="","",AO56*AT56)</f>
        <v>30</v>
      </c>
      <c r="AW56" s="195" t="e">
        <f aca="false">IF($A57="","",AL56*$E56)</f>
        <v>#NAME?</v>
      </c>
      <c r="AX56" s="195" t="e">
        <f aca="false">IF($A57="","",AM56*$E56)</f>
        <v>#N/A</v>
      </c>
      <c r="AY56" s="195" t="e">
        <f aca="false">IF($A57="","",AN56*$E56)</f>
        <v>#N/A</v>
      </c>
      <c r="BA56" s="195" t="n">
        <f aca="false">IF($A57="","",F56*Summary!$Q$8)</f>
        <v>0</v>
      </c>
      <c r="BC56" s="179" t="e">
        <f aca="false">IF(A57="","",AM56*F56)</f>
        <v>#N/A</v>
      </c>
    </row>
    <row r="57" customFormat="false" ht="12.75" hidden="false" customHeight="false" outlineLevel="0" collapsed="false">
      <c r="A57" s="196" t="n">
        <f aca="false">IF(A56&lt;mthend,EDATE(A56,1),"")</f>
        <v>38473</v>
      </c>
      <c r="B57" s="197" t="n">
        <f aca="false">IF(A57&lt;mthend,B56,0)</f>
        <v>80000</v>
      </c>
      <c r="C57" s="215"/>
      <c r="D57" s="197" t="n">
        <f aca="false">IF(A58&lt;&gt;"",B57+C57,"")</f>
        <v>80000</v>
      </c>
      <c r="E57" s="199" t="n">
        <f aca="false">IF(A58="","",IF(AND(AT57=1,$H$3=1),D57*AO57,IF($H$3=2,D57,"N/A")))</f>
        <v>2480000</v>
      </c>
      <c r="F57" s="199" t="n">
        <f aca="false">IF(A58="","",E57*AS57)</f>
        <v>18163332.4811542</v>
      </c>
      <c r="G57" s="200" t="e">
        <f aca="false">IF($A58="","",VLOOKUP($A57,Table,MATCH(G$4,Curves,0)))</f>
        <v>#N/A</v>
      </c>
      <c r="H57" s="201" t="e">
        <f aca="false">IF(A58="","",G57)</f>
        <v>#N/A</v>
      </c>
      <c r="I57" s="202"/>
      <c r="J57" s="200" t="e">
        <f aca="false">IF($A58="","",VLOOKUP($A57,Table,MATCH(J$4,Curves,0)))</f>
        <v>#N/A</v>
      </c>
      <c r="K57" s="201" t="e">
        <f aca="false">IF(A58="","",J57)</f>
        <v>#N/A</v>
      </c>
      <c r="L57" s="200" t="e">
        <f aca="false">IF($A58="","",VLOOKUP($A57,Table,MATCH(L$4,Curves,0)))</f>
        <v>#N/A</v>
      </c>
      <c r="M57" s="201" t="e">
        <f aca="false">IF(A58="","",L57)</f>
        <v>#N/A</v>
      </c>
      <c r="N57" s="203"/>
      <c r="O57" s="200" t="e">
        <f aca="false">IF(A58="","",L57+J57+G57)</f>
        <v>#N/A</v>
      </c>
      <c r="P57" s="200" t="e">
        <f aca="false">IF(A58="","",M57+K57+H57)</f>
        <v>#N/A</v>
      </c>
      <c r="Q57" s="204"/>
      <c r="R57" s="200" t="e">
        <f aca="false">IF($A58="","",VLOOKUP($A57,Table,MATCH(R$4,Curves,0)))</f>
        <v>#N/A</v>
      </c>
      <c r="S57" s="201" t="e">
        <f aca="false">IF(A58="","",R57)</f>
        <v>#N/A</v>
      </c>
      <c r="T57" s="200" t="e">
        <f aca="false">IF($A58="","",VLOOKUP($A57,Table,MATCH(T$4,Curves,0)))</f>
        <v>#N/A</v>
      </c>
      <c r="U57" s="201" t="e">
        <f aca="false">IF(A58="","",T57)</f>
        <v>#N/A</v>
      </c>
      <c r="V57" s="183" t="e">
        <f aca="false">IF($A58="","",IF(AND(MONTH(A57)&gt;3,MONTH(A57)&lt;11),(T57+R57+G57)*Summary!$T$8/(1-Summary!$T$8),(T57+R57+G57)*Summary!$U$8/(1-Summary!$U$8)))</f>
        <v>#N/A</v>
      </c>
      <c r="W57" s="200" t="e">
        <f aca="false">IF($A58="","",(T57+R57+G57+V57))</f>
        <v>#N/A</v>
      </c>
      <c r="X57" s="200" t="e">
        <f aca="false">IF($A58="","",(U57+S57+H57+V57))</f>
        <v>#N/A</v>
      </c>
      <c r="Y57" s="202"/>
      <c r="Z57" s="185" t="e">
        <f aca="false">IF($A58="","",VLOOKUP($A57,Table,MATCH(Z$4,Curves,0)))</f>
        <v>#N/A</v>
      </c>
      <c r="AA57" s="185" t="e">
        <f aca="false">IF($A58="","",VLOOKUP($A57,Table,MATCH(AA$4,Curves,0)))</f>
        <v>#N/A</v>
      </c>
      <c r="AB57" s="185" t="e">
        <f aca="false">SQRT((AA57^2*(A57-$D$3)+Z57^2*(DAY(EOMONTH(A57,0))/2))/AK57)</f>
        <v>#N/A</v>
      </c>
      <c r="AC57" s="185" t="e">
        <f aca="false">IF($A58="","",VLOOKUP($A57,Table,MATCH(AC$4,Curves,0)))</f>
        <v>#N/A</v>
      </c>
      <c r="AD57" s="185" t="e">
        <f aca="false">IF($A58="","",VLOOKUP($A57,Table,MATCH(AD$4,Curves,0)))</f>
        <v>#N/A</v>
      </c>
      <c r="AE57" s="185" t="e">
        <f aca="false">SQRT((AD57^2*(A57-$D$3)+AC57^2*(DAY(EOMONTH(A57,0))/2))/AK57)</f>
        <v>#N/A</v>
      </c>
      <c r="AF57" s="224" t="e">
        <f aca="false">((Summary!$N$8*(AA57*AD57)*(A57-$D$3))+(Summary!$M$8*Z57*AC57*(AJ57-EOMONTH(EDATE(A57,-1),0))))/(AK57*AB57*AE57)</f>
        <v>#N/A</v>
      </c>
      <c r="AG57" s="207" t="n">
        <f aca="false">IF($A58="","",Summary!$Q$8)</f>
        <v>0</v>
      </c>
      <c r="AH57" s="207" t="n">
        <f aca="false">IF($A58="","",IF(Summary!$R$8="Y",(VLOOKUP($A57,Summary!$AD$6:$AF$9,3)+'Escalating commodity'!D70),'Escalating commodity'!D70))</f>
        <v>0.0200232</v>
      </c>
      <c r="AI57" s="207" t="n">
        <f aca="false">IF($A58="","",AH57)</f>
        <v>0.0200232</v>
      </c>
      <c r="AJ57" s="208" t="n">
        <f aca="false">A57+DAY(EOMONTH(A57,0))/2-1</f>
        <v>38487.5</v>
      </c>
      <c r="AK57" s="209" t="n">
        <f aca="false">IF($A58="","",$A57-$E$1)</f>
        <v>-7453</v>
      </c>
      <c r="AL57" s="182" t="e">
        <f aca="false">IF($A58="","",SPRDOPT(P57,X57,AI57,0,AB57,AE57,AF57,AK57,$AJ$2,0))</f>
        <v>#NAME?</v>
      </c>
      <c r="AM57" s="211" t="e">
        <f aca="false">IF($A58="","",MAX(0,O57-W57-AI57))</f>
        <v>#N/A</v>
      </c>
      <c r="AN57" s="211" t="e">
        <f aca="false">IF($A58="","",AL57-AM57)</f>
        <v>#N/A</v>
      </c>
      <c r="AO57" s="137" t="n">
        <f aca="false">IF(A58="","",A58-A57)</f>
        <v>31</v>
      </c>
      <c r="AP57" s="212" t="n">
        <f aca="false">IF(A58="","",CHOOSE(F$3,A58+24,A57))</f>
        <v>38473</v>
      </c>
      <c r="AQ57" s="209" t="n">
        <f aca="false">IF(A58="","",AP57-$E$1)</f>
        <v>-7453</v>
      </c>
      <c r="AR57" s="185" t="n">
        <f aca="false">'ANR OK vs ML7'!AR57</f>
        <v>0.1</v>
      </c>
      <c r="AS57" s="213" t="n">
        <f aca="false">IF(A58="","",1/(1+CHOOSE(F$3,(AR58+($I$3/10000))/2,(AR57+($I$3/10000))/2))^(2*AQ57/365.25))</f>
        <v>7.32392438756219</v>
      </c>
      <c r="AT57" s="137" t="n">
        <f aca="false">IF(A58="","",IF(AND(mthbeg&lt;=A57,mthend&gt;=A57),1,0))</f>
        <v>1</v>
      </c>
      <c r="AU57" s="137" t="n">
        <f aca="false">IF(A58="","",AO57*AT57)</f>
        <v>31</v>
      </c>
      <c r="AW57" s="195" t="e">
        <f aca="false">IF($A58="","",AL57*$E57)</f>
        <v>#NAME?</v>
      </c>
      <c r="AX57" s="195" t="e">
        <f aca="false">IF($A58="","",AM57*$E57)</f>
        <v>#N/A</v>
      </c>
      <c r="AY57" s="195" t="e">
        <f aca="false">IF($A58="","",AN57*$E57)</f>
        <v>#N/A</v>
      </c>
      <c r="BA57" s="195" t="n">
        <f aca="false">IF($A58="","",F57*Summary!$Q$8)</f>
        <v>0</v>
      </c>
      <c r="BC57" s="179" t="e">
        <f aca="false">IF(A58="","",AM57*F57)</f>
        <v>#N/A</v>
      </c>
    </row>
    <row r="58" customFormat="false" ht="12.75" hidden="false" customHeight="false" outlineLevel="0" collapsed="false">
      <c r="A58" s="196" t="n">
        <f aca="false">IF(A57&lt;mthend,EDATE(A57,1),"")</f>
        <v>38504</v>
      </c>
      <c r="B58" s="197" t="n">
        <f aca="false">IF(A58&lt;mthend,B57,0)</f>
        <v>80000</v>
      </c>
      <c r="C58" s="215"/>
      <c r="D58" s="197" t="n">
        <f aca="false">IF(A59&lt;&gt;"",B58+C58,"")</f>
        <v>80000</v>
      </c>
      <c r="E58" s="199" t="n">
        <f aca="false">IF(A59="","",IF(AND(AT58=1,$H$3=1),D58*AO58,IF($H$3=2,D58,"N/A")))</f>
        <v>2400000</v>
      </c>
      <c r="F58" s="199" t="n">
        <f aca="false">IF(A59="","",E58*AS58)</f>
        <v>17432444.0126882</v>
      </c>
      <c r="G58" s="200" t="e">
        <f aca="false">IF($A59="","",VLOOKUP($A58,Table,MATCH(G$4,Curves,0)))</f>
        <v>#N/A</v>
      </c>
      <c r="H58" s="201" t="e">
        <f aca="false">IF(A59="","",G58)</f>
        <v>#N/A</v>
      </c>
      <c r="I58" s="202"/>
      <c r="J58" s="200" t="e">
        <f aca="false">IF($A59="","",VLOOKUP($A58,Table,MATCH(J$4,Curves,0)))</f>
        <v>#N/A</v>
      </c>
      <c r="K58" s="201" t="e">
        <f aca="false">IF(A59="","",J58)</f>
        <v>#N/A</v>
      </c>
      <c r="L58" s="200" t="e">
        <f aca="false">IF($A59="","",VLOOKUP($A58,Table,MATCH(L$4,Curves,0)))</f>
        <v>#N/A</v>
      </c>
      <c r="M58" s="201" t="e">
        <f aca="false">IF(A59="","",L58)</f>
        <v>#N/A</v>
      </c>
      <c r="N58" s="203"/>
      <c r="O58" s="200" t="e">
        <f aca="false">IF(A59="","",L58+J58+G58)</f>
        <v>#N/A</v>
      </c>
      <c r="P58" s="200" t="e">
        <f aca="false">IF(A59="","",M58+K58+H58)</f>
        <v>#N/A</v>
      </c>
      <c r="Q58" s="204"/>
      <c r="R58" s="200" t="e">
        <f aca="false">IF($A59="","",VLOOKUP($A58,Table,MATCH(R$4,Curves,0)))</f>
        <v>#N/A</v>
      </c>
      <c r="S58" s="201" t="e">
        <f aca="false">IF(A59="","",R58)</f>
        <v>#N/A</v>
      </c>
      <c r="T58" s="200" t="e">
        <f aca="false">IF($A59="","",VLOOKUP($A58,Table,MATCH(T$4,Curves,0)))</f>
        <v>#N/A</v>
      </c>
      <c r="U58" s="201" t="e">
        <f aca="false">IF(A59="","",T58)</f>
        <v>#N/A</v>
      </c>
      <c r="V58" s="183" t="e">
        <f aca="false">IF($A59="","",IF(AND(MONTH(A58)&gt;3,MONTH(A58)&lt;11),(T58+R58+G58)*Summary!$T$8/(1-Summary!$T$8),(T58+R58+G58)*Summary!$U$8/(1-Summary!$U$8)))</f>
        <v>#N/A</v>
      </c>
      <c r="W58" s="200" t="e">
        <f aca="false">IF($A59="","",(T58+R58+G58+V58))</f>
        <v>#N/A</v>
      </c>
      <c r="X58" s="200" t="e">
        <f aca="false">IF($A59="","",(U58+S58+H58+V58))</f>
        <v>#N/A</v>
      </c>
      <c r="Y58" s="202"/>
      <c r="Z58" s="185" t="e">
        <f aca="false">IF($A59="","",VLOOKUP($A58,Table,MATCH(Z$4,Curves,0)))</f>
        <v>#N/A</v>
      </c>
      <c r="AA58" s="185" t="e">
        <f aca="false">IF($A59="","",VLOOKUP($A58,Table,MATCH(AA$4,Curves,0)))</f>
        <v>#N/A</v>
      </c>
      <c r="AB58" s="185" t="e">
        <f aca="false">SQRT((AA58^2*(A58-$D$3)+Z58^2*(DAY(EOMONTH(A58,0))/2))/AK58)</f>
        <v>#N/A</v>
      </c>
      <c r="AC58" s="185" t="e">
        <f aca="false">IF($A59="","",VLOOKUP($A58,Table,MATCH(AC$4,Curves,0)))</f>
        <v>#N/A</v>
      </c>
      <c r="AD58" s="185" t="e">
        <f aca="false">IF($A59="","",VLOOKUP($A58,Table,MATCH(AD$4,Curves,0)))</f>
        <v>#N/A</v>
      </c>
      <c r="AE58" s="185" t="e">
        <f aca="false">SQRT((AD58^2*(A58-$D$3)+AC58^2*(DAY(EOMONTH(A58,0))/2))/AK58)</f>
        <v>#N/A</v>
      </c>
      <c r="AF58" s="224" t="e">
        <f aca="false">((Summary!$N$8*(AA58*AD58)*(A58-$D$3))+(Summary!$M$8*Z58*AC58*(AJ58-EOMONTH(EDATE(A58,-1),0))))/(AK58*AB58*AE58)</f>
        <v>#N/A</v>
      </c>
      <c r="AG58" s="207" t="n">
        <f aca="false">IF($A59="","",Summary!$Q$8)</f>
        <v>0</v>
      </c>
      <c r="AH58" s="207" t="n">
        <f aca="false">IF($A59="","",IF(Summary!$R$8="Y",(VLOOKUP($A58,Summary!$AD$6:$AF$9,3)+'Escalating commodity'!D71),'Escalating commodity'!D71))</f>
        <v>0.0200232</v>
      </c>
      <c r="AI58" s="207" t="n">
        <f aca="false">IF($A59="","",AH58)</f>
        <v>0.0200232</v>
      </c>
      <c r="AJ58" s="208" t="n">
        <f aca="false">A58+DAY(EOMONTH(A58,0))/2-1</f>
        <v>38518</v>
      </c>
      <c r="AK58" s="209" t="n">
        <f aca="false">IF($A59="","",$A58-$E$1)</f>
        <v>-7422</v>
      </c>
      <c r="AL58" s="182" t="e">
        <f aca="false">IF($A59="","",SPRDOPT(P58,X58,AI58,0,AB58,AE58,AF58,AK58,$AJ$2,0))</f>
        <v>#NAME?</v>
      </c>
      <c r="AM58" s="211" t="e">
        <f aca="false">IF($A59="","",MAX(0,O58-W58-AI58))</f>
        <v>#N/A</v>
      </c>
      <c r="AN58" s="211" t="e">
        <f aca="false">IF($A59="","",AL58-AM58)</f>
        <v>#N/A</v>
      </c>
      <c r="AO58" s="137" t="n">
        <f aca="false">IF(A59="","",A59-A58)</f>
        <v>30</v>
      </c>
      <c r="AP58" s="212" t="n">
        <f aca="false">IF(A59="","",CHOOSE(F$3,A59+24,A58))</f>
        <v>38504</v>
      </c>
      <c r="AQ58" s="209" t="n">
        <f aca="false">IF(A59="","",AP58-$E$1)</f>
        <v>-7422</v>
      </c>
      <c r="AR58" s="185" t="n">
        <f aca="false">'ANR OK vs ML7'!AR58</f>
        <v>0.1</v>
      </c>
      <c r="AS58" s="213" t="n">
        <f aca="false">IF(A59="","",1/(1+CHOOSE(F$3,(AR59+($I$3/10000))/2,(AR58+($I$3/10000))/2))^(2*AQ58/365.25))</f>
        <v>7.26351833862008</v>
      </c>
      <c r="AT58" s="137" t="n">
        <f aca="false">IF(A59="","",IF(AND(mthbeg&lt;=A58,mthend&gt;=A58),1,0))</f>
        <v>1</v>
      </c>
      <c r="AU58" s="137" t="n">
        <f aca="false">IF(A59="","",AO58*AT58)</f>
        <v>30</v>
      </c>
      <c r="AW58" s="195" t="e">
        <f aca="false">IF($A59="","",AL58*$E58)</f>
        <v>#NAME?</v>
      </c>
      <c r="AX58" s="195" t="e">
        <f aca="false">IF($A59="","",AM58*$E58)</f>
        <v>#N/A</v>
      </c>
      <c r="AY58" s="195" t="e">
        <f aca="false">IF($A59="","",AN58*$E58)</f>
        <v>#N/A</v>
      </c>
      <c r="BA58" s="195" t="n">
        <f aca="false">IF($A59="","",F58*Summary!$Q$8)</f>
        <v>0</v>
      </c>
      <c r="BC58" s="179" t="e">
        <f aca="false">IF(A59="","",AM58*F58)</f>
        <v>#N/A</v>
      </c>
    </row>
    <row r="59" customFormat="false" ht="12.75" hidden="false" customHeight="false" outlineLevel="0" collapsed="false">
      <c r="A59" s="196" t="n">
        <f aca="false">IF(A58&lt;mthend,EDATE(A58,1),"")</f>
        <v>38534</v>
      </c>
      <c r="B59" s="197" t="n">
        <f aca="false">IF(A59&lt;mthend,B58,0)</f>
        <v>80000</v>
      </c>
      <c r="C59" s="215"/>
      <c r="D59" s="197" t="n">
        <f aca="false">IF(A60&lt;&gt;"",B59+C59,"")</f>
        <v>80000</v>
      </c>
      <c r="E59" s="199" t="n">
        <f aca="false">IF(A60="","",IF(AND(AT59=1,$H$3=1),D59*AO59,IF($H$3=2,D59,"N/A")))</f>
        <v>2480000</v>
      </c>
      <c r="F59" s="199" t="n">
        <f aca="false">IF(A60="","",E59*AS59)</f>
        <v>17869727.4976977</v>
      </c>
      <c r="G59" s="200" t="e">
        <f aca="false">IF($A60="","",VLOOKUP($A59,Table,MATCH(G$4,Curves,0)))</f>
        <v>#N/A</v>
      </c>
      <c r="H59" s="201" t="e">
        <f aca="false">IF(A60="","",G59)</f>
        <v>#N/A</v>
      </c>
      <c r="I59" s="202"/>
      <c r="J59" s="200" t="e">
        <f aca="false">IF($A60="","",VLOOKUP($A59,Table,MATCH(J$4,Curves,0)))</f>
        <v>#N/A</v>
      </c>
      <c r="K59" s="201" t="e">
        <f aca="false">IF(A60="","",J59)</f>
        <v>#N/A</v>
      </c>
      <c r="L59" s="200" t="e">
        <f aca="false">IF($A60="","",VLOOKUP($A59,Table,MATCH(L$4,Curves,0)))</f>
        <v>#N/A</v>
      </c>
      <c r="M59" s="201" t="e">
        <f aca="false">IF(A60="","",L59)</f>
        <v>#N/A</v>
      </c>
      <c r="N59" s="203"/>
      <c r="O59" s="200" t="e">
        <f aca="false">IF(A60="","",L59+J59+G59)</f>
        <v>#N/A</v>
      </c>
      <c r="P59" s="200" t="e">
        <f aca="false">IF(A60="","",M59+K59+H59)</f>
        <v>#N/A</v>
      </c>
      <c r="Q59" s="204"/>
      <c r="R59" s="200" t="e">
        <f aca="false">IF($A60="","",VLOOKUP($A59,Table,MATCH(R$4,Curves,0)))</f>
        <v>#N/A</v>
      </c>
      <c r="S59" s="201" t="e">
        <f aca="false">IF(A60="","",R59)</f>
        <v>#N/A</v>
      </c>
      <c r="T59" s="200" t="e">
        <f aca="false">IF($A60="","",VLOOKUP($A59,Table,MATCH(T$4,Curves,0)))</f>
        <v>#N/A</v>
      </c>
      <c r="U59" s="201" t="e">
        <f aca="false">IF(A60="","",T59)</f>
        <v>#N/A</v>
      </c>
      <c r="V59" s="183" t="e">
        <f aca="false">IF($A60="","",IF(AND(MONTH(A59)&gt;3,MONTH(A59)&lt;11),(T59+R59+G59)*Summary!$T$8/(1-Summary!$T$8),(T59+R59+G59)*Summary!$U$8/(1-Summary!$U$8)))</f>
        <v>#N/A</v>
      </c>
      <c r="W59" s="200" t="e">
        <f aca="false">IF($A60="","",(T59+R59+G59+V59))</f>
        <v>#N/A</v>
      </c>
      <c r="X59" s="200" t="e">
        <f aca="false">IF($A60="","",(U59+S59+H59+V59))</f>
        <v>#N/A</v>
      </c>
      <c r="Y59" s="202"/>
      <c r="Z59" s="185" t="e">
        <f aca="false">IF($A60="","",VLOOKUP($A59,Table,MATCH(Z$4,Curves,0)))</f>
        <v>#N/A</v>
      </c>
      <c r="AA59" s="185" t="e">
        <f aca="false">IF($A60="","",VLOOKUP($A59,Table,MATCH(AA$4,Curves,0)))</f>
        <v>#N/A</v>
      </c>
      <c r="AB59" s="185" t="e">
        <f aca="false">SQRT((AA59^2*(A59-$D$3)+Z59^2*(DAY(EOMONTH(A59,0))/2))/AK59)</f>
        <v>#N/A</v>
      </c>
      <c r="AC59" s="185" t="e">
        <f aca="false">IF($A60="","",VLOOKUP($A59,Table,MATCH(AC$4,Curves,0)))</f>
        <v>#N/A</v>
      </c>
      <c r="AD59" s="185" t="e">
        <f aca="false">IF($A60="","",VLOOKUP($A59,Table,MATCH(AD$4,Curves,0)))</f>
        <v>#N/A</v>
      </c>
      <c r="AE59" s="185" t="e">
        <f aca="false">SQRT((AD59^2*(A59-$D$3)+AC59^2*(DAY(EOMONTH(A59,0))/2))/AK59)</f>
        <v>#N/A</v>
      </c>
      <c r="AF59" s="224" t="e">
        <f aca="false">((Summary!$N$8*(AA59*AD59)*(A59-$D$3))+(Summary!$M$8*Z59*AC59*(AJ59-EOMONTH(EDATE(A59,-1),0))))/(AK59*AB59*AE59)</f>
        <v>#N/A</v>
      </c>
      <c r="AG59" s="207" t="n">
        <f aca="false">IF($A60="","",Summary!$Q$8)</f>
        <v>0</v>
      </c>
      <c r="AH59" s="207" t="n">
        <f aca="false">IF($A60="","",IF(Summary!$R$8="Y",(VLOOKUP($A59,Summary!$AD$6:$AF$9,3)+'Escalating commodity'!D72),'Escalating commodity'!D72))</f>
        <v>0.0200232</v>
      </c>
      <c r="AI59" s="207" t="n">
        <f aca="false">IF($A60="","",AH59)</f>
        <v>0.0200232</v>
      </c>
      <c r="AJ59" s="208" t="n">
        <f aca="false">A59+DAY(EOMONTH(A59,0))/2-1</f>
        <v>38548.5</v>
      </c>
      <c r="AK59" s="209" t="n">
        <f aca="false">IF($A60="","",$A59-$E$1)</f>
        <v>-7392</v>
      </c>
      <c r="AL59" s="182" t="e">
        <f aca="false">IF($A60="","",SPRDOPT(P59,X59,AI59,0,AB59,AE59,AF59,AK59,$AJ$2,0))</f>
        <v>#NAME?</v>
      </c>
      <c r="AM59" s="211" t="e">
        <f aca="false">IF($A60="","",MAX(0,O59-W59-AI59))</f>
        <v>#N/A</v>
      </c>
      <c r="AN59" s="211" t="e">
        <f aca="false">IF($A60="","",AL59-AM59)</f>
        <v>#N/A</v>
      </c>
      <c r="AO59" s="137" t="n">
        <f aca="false">IF(A60="","",A60-A59)</f>
        <v>31</v>
      </c>
      <c r="AP59" s="212" t="n">
        <f aca="false">IF(A60="","",CHOOSE(F$3,A60+24,A59))</f>
        <v>38534</v>
      </c>
      <c r="AQ59" s="209" t="n">
        <f aca="false">IF(A60="","",AP59-$E$1)</f>
        <v>-7392</v>
      </c>
      <c r="AR59" s="185" t="n">
        <f aca="false">'ANR OK vs ML7'!AR59</f>
        <v>0.1</v>
      </c>
      <c r="AS59" s="213" t="n">
        <f aca="false">IF(A60="","",1/(1+CHOOSE(F$3,(AR60+($I$3/10000))/2,(AR59+($I$3/10000))/2))^(2*AQ59/365.25))</f>
        <v>7.20553528132971</v>
      </c>
      <c r="AT59" s="137" t="n">
        <f aca="false">IF(A60="","",IF(AND(mthbeg&lt;=A59,mthend&gt;=A59),1,0))</f>
        <v>1</v>
      </c>
      <c r="AU59" s="137" t="n">
        <f aca="false">IF(A60="","",AO59*AT59)</f>
        <v>31</v>
      </c>
      <c r="AW59" s="195" t="e">
        <f aca="false">IF($A60="","",AL59*$E59)</f>
        <v>#NAME?</v>
      </c>
      <c r="AX59" s="195" t="e">
        <f aca="false">IF($A60="","",AM59*$E59)</f>
        <v>#N/A</v>
      </c>
      <c r="AY59" s="195" t="e">
        <f aca="false">IF($A60="","",AN59*$E59)</f>
        <v>#N/A</v>
      </c>
      <c r="BA59" s="195" t="n">
        <f aca="false">IF($A60="","",F59*Summary!$Q$8)</f>
        <v>0</v>
      </c>
      <c r="BC59" s="179" t="e">
        <f aca="false">IF(A60="","",AM59*F59)</f>
        <v>#N/A</v>
      </c>
    </row>
    <row r="60" customFormat="false" ht="12.75" hidden="false" customHeight="false" outlineLevel="0" collapsed="false">
      <c r="A60" s="196" t="n">
        <f aca="false">IF(A59&lt;mthend,EDATE(A59,1),"")</f>
        <v>38565</v>
      </c>
      <c r="B60" s="197" t="n">
        <f aca="false">IF(A60&lt;mthend,B59,0)</f>
        <v>80000</v>
      </c>
      <c r="C60" s="215"/>
      <c r="D60" s="197" t="n">
        <f aca="false">IF(A61&lt;&gt;"",B60+C60,"")</f>
        <v>80000</v>
      </c>
      <c r="E60" s="199" t="n">
        <f aca="false">IF(A61="","",IF(AND(AT60=1,$H$3=1),D60*AO60,IF($H$3=2,D60,"N/A")))</f>
        <v>2480000</v>
      </c>
      <c r="F60" s="199" t="n">
        <f aca="false">IF(A61="","",E60*AS60)</f>
        <v>17722342.0828999</v>
      </c>
      <c r="G60" s="200" t="e">
        <f aca="false">IF($A61="","",VLOOKUP($A60,Table,MATCH(G$4,Curves,0)))</f>
        <v>#N/A</v>
      </c>
      <c r="H60" s="201" t="e">
        <f aca="false">IF(A61="","",G60)</f>
        <v>#N/A</v>
      </c>
      <c r="I60" s="202"/>
      <c r="J60" s="200" t="e">
        <f aca="false">IF($A61="","",VLOOKUP($A60,Table,MATCH(J$4,Curves,0)))</f>
        <v>#N/A</v>
      </c>
      <c r="K60" s="201" t="e">
        <f aca="false">IF(A61="","",J60)</f>
        <v>#N/A</v>
      </c>
      <c r="L60" s="200" t="e">
        <f aca="false">IF($A61="","",VLOOKUP($A60,Table,MATCH(L$4,Curves,0)))</f>
        <v>#N/A</v>
      </c>
      <c r="M60" s="201" t="e">
        <f aca="false">IF(A61="","",L60)</f>
        <v>#N/A</v>
      </c>
      <c r="N60" s="203"/>
      <c r="O60" s="200" t="e">
        <f aca="false">IF(A61="","",L60+J60+G60)</f>
        <v>#N/A</v>
      </c>
      <c r="P60" s="200" t="e">
        <f aca="false">IF(A61="","",M60+K60+H60)</f>
        <v>#N/A</v>
      </c>
      <c r="Q60" s="204"/>
      <c r="R60" s="200" t="e">
        <f aca="false">IF($A61="","",VLOOKUP($A60,Table,MATCH(R$4,Curves,0)))</f>
        <v>#N/A</v>
      </c>
      <c r="S60" s="201" t="e">
        <f aca="false">IF(A61="","",R60)</f>
        <v>#N/A</v>
      </c>
      <c r="T60" s="200" t="e">
        <f aca="false">IF($A61="","",VLOOKUP($A60,Table,MATCH(T$4,Curves,0)))</f>
        <v>#N/A</v>
      </c>
      <c r="U60" s="201" t="e">
        <f aca="false">IF(A61="","",T60)</f>
        <v>#N/A</v>
      </c>
      <c r="V60" s="183" t="e">
        <f aca="false">IF($A61="","",IF(AND(MONTH(A60)&gt;3,MONTH(A60)&lt;11),(T60+R60+G60)*Summary!$T$8/(1-Summary!$T$8),(T60+R60+G60)*Summary!$U$8/(1-Summary!$U$8)))</f>
        <v>#N/A</v>
      </c>
      <c r="W60" s="200" t="e">
        <f aca="false">IF($A61="","",(T60+R60+G60+V60))</f>
        <v>#N/A</v>
      </c>
      <c r="X60" s="200" t="e">
        <f aca="false">IF($A61="","",(U60+S60+H60+V60))</f>
        <v>#N/A</v>
      </c>
      <c r="Y60" s="202"/>
      <c r="Z60" s="185" t="e">
        <f aca="false">IF($A61="","",VLOOKUP($A60,Table,MATCH(Z$4,Curves,0)))</f>
        <v>#N/A</v>
      </c>
      <c r="AA60" s="185" t="e">
        <f aca="false">IF($A61="","",VLOOKUP($A60,Table,MATCH(AA$4,Curves,0)))</f>
        <v>#N/A</v>
      </c>
      <c r="AB60" s="185" t="e">
        <f aca="false">SQRT((AA60^2*(A60-$D$3)+Z60^2*(DAY(EOMONTH(A60,0))/2))/AK60)</f>
        <v>#N/A</v>
      </c>
      <c r="AC60" s="185" t="e">
        <f aca="false">IF($A61="","",VLOOKUP($A60,Table,MATCH(AC$4,Curves,0)))</f>
        <v>#N/A</v>
      </c>
      <c r="AD60" s="185" t="e">
        <f aca="false">IF($A61="","",VLOOKUP($A60,Table,MATCH(AD$4,Curves,0)))</f>
        <v>#N/A</v>
      </c>
      <c r="AE60" s="185" t="e">
        <f aca="false">SQRT((AD60^2*(A60-$D$3)+AC60^2*(DAY(EOMONTH(A60,0))/2))/AK60)</f>
        <v>#N/A</v>
      </c>
      <c r="AF60" s="224" t="e">
        <f aca="false">((Summary!$N$8*(AA60*AD60)*(A60-$D$3))+(Summary!$M$8*Z60*AC60*(AJ60-EOMONTH(EDATE(A60,-1),0))))/(AK60*AB60*AE60)</f>
        <v>#N/A</v>
      </c>
      <c r="AG60" s="207" t="n">
        <f aca="false">IF($A61="","",Summary!$Q$8)</f>
        <v>0</v>
      </c>
      <c r="AH60" s="207" t="n">
        <f aca="false">IF($A61="","",IF(Summary!$R$8="Y",(VLOOKUP($A60,Summary!$AD$6:$AF$9,3)+'Escalating commodity'!D73),'Escalating commodity'!D73))</f>
        <v>0.0200232</v>
      </c>
      <c r="AI60" s="207" t="n">
        <f aca="false">IF($A61="","",AH60)</f>
        <v>0.0200232</v>
      </c>
      <c r="AJ60" s="208" t="n">
        <f aca="false">A60+DAY(EOMONTH(A60,0))/2-1</f>
        <v>38579.5</v>
      </c>
      <c r="AK60" s="209" t="n">
        <f aca="false">IF($A61="","",$A60-$E$1)</f>
        <v>-7361</v>
      </c>
      <c r="AL60" s="182" t="e">
        <f aca="false">IF($A61="","",SPRDOPT(P60,X60,AI60,0,AB60,AE60,AF60,AK60,$AJ$2,0))</f>
        <v>#NAME?</v>
      </c>
      <c r="AM60" s="211" t="e">
        <f aca="false">IF($A61="","",MAX(0,O60-W60-AI60))</f>
        <v>#N/A</v>
      </c>
      <c r="AN60" s="211" t="e">
        <f aca="false">IF($A61="","",AL60-AM60)</f>
        <v>#N/A</v>
      </c>
      <c r="AO60" s="137" t="n">
        <f aca="false">IF(A61="","",A61-A60)</f>
        <v>31</v>
      </c>
      <c r="AP60" s="212" t="n">
        <f aca="false">IF(A61="","",CHOOSE(F$3,A61+24,A60))</f>
        <v>38565</v>
      </c>
      <c r="AQ60" s="209" t="n">
        <f aca="false">IF(A61="","",AP60-$E$1)</f>
        <v>-7361</v>
      </c>
      <c r="AR60" s="185" t="n">
        <f aca="false">'ANR OK vs ML7'!AR60</f>
        <v>0.1</v>
      </c>
      <c r="AS60" s="213" t="n">
        <f aca="false">IF(A61="","",1/(1+CHOOSE(F$3,(AR61+($I$3/10000))/2,(AR60+($I$3/10000))/2))^(2*AQ60/365.25))</f>
        <v>7.14610567858869</v>
      </c>
      <c r="AT60" s="137" t="n">
        <f aca="false">IF(A61="","",IF(AND(mthbeg&lt;=A60,mthend&gt;=A60),1,0))</f>
        <v>1</v>
      </c>
      <c r="AU60" s="137" t="n">
        <f aca="false">IF(A61="","",AO60*AT60)</f>
        <v>31</v>
      </c>
      <c r="AW60" s="195" t="e">
        <f aca="false">IF($A61="","",AL60*$E60)</f>
        <v>#NAME?</v>
      </c>
      <c r="AX60" s="195" t="e">
        <f aca="false">IF($A61="","",AM60*$E60)</f>
        <v>#N/A</v>
      </c>
      <c r="AY60" s="195" t="e">
        <f aca="false">IF($A61="","",AN60*$E60)</f>
        <v>#N/A</v>
      </c>
      <c r="BA60" s="195" t="n">
        <f aca="false">IF($A61="","",F60*Summary!$Q$8)</f>
        <v>0</v>
      </c>
      <c r="BC60" s="179" t="e">
        <f aca="false">IF(A61="","",AM60*F60)</f>
        <v>#N/A</v>
      </c>
    </row>
    <row r="61" customFormat="false" ht="12.75" hidden="false" customHeight="false" outlineLevel="0" collapsed="false">
      <c r="A61" s="196" t="n">
        <f aca="false">IF(A60&lt;mthend,EDATE(A60,1),"")</f>
        <v>38596</v>
      </c>
      <c r="B61" s="197" t="n">
        <f aca="false">IF(A61&lt;mthend,B60,0)</f>
        <v>80000</v>
      </c>
      <c r="C61" s="215"/>
      <c r="D61" s="197" t="n">
        <f aca="false">IF(A62&lt;&gt;"",B61+C61,"")</f>
        <v>80000</v>
      </c>
      <c r="E61" s="199" t="n">
        <f aca="false">IF(A62="","",IF(AND(AT61=1,$H$3=1),D61*AO61,IF($H$3=2,D61,"N/A")))</f>
        <v>2400000</v>
      </c>
      <c r="F61" s="199" t="n">
        <f aca="false">IF(A62="","",E61*AS61)</f>
        <v>17009198.9702007</v>
      </c>
      <c r="G61" s="200" t="e">
        <f aca="false">IF($A62="","",VLOOKUP($A61,Table,MATCH(G$4,Curves,0)))</f>
        <v>#N/A</v>
      </c>
      <c r="H61" s="201" t="e">
        <f aca="false">IF(A62="","",G61)</f>
        <v>#N/A</v>
      </c>
      <c r="I61" s="202"/>
      <c r="J61" s="200" t="e">
        <f aca="false">IF($A62="","",VLOOKUP($A61,Table,MATCH(J$4,Curves,0)))</f>
        <v>#N/A</v>
      </c>
      <c r="K61" s="201" t="e">
        <f aca="false">IF(A62="","",J61)</f>
        <v>#N/A</v>
      </c>
      <c r="L61" s="200" t="e">
        <f aca="false">IF($A62="","",VLOOKUP($A61,Table,MATCH(L$4,Curves,0)))</f>
        <v>#N/A</v>
      </c>
      <c r="M61" s="201" t="e">
        <f aca="false">IF(A62="","",L61)</f>
        <v>#N/A</v>
      </c>
      <c r="N61" s="203"/>
      <c r="O61" s="200" t="e">
        <f aca="false">IF(A62="","",L61+J61+G61)</f>
        <v>#N/A</v>
      </c>
      <c r="P61" s="200" t="e">
        <f aca="false">IF(A62="","",M61+K61+H61)</f>
        <v>#N/A</v>
      </c>
      <c r="Q61" s="204"/>
      <c r="R61" s="200" t="e">
        <f aca="false">IF($A62="","",VLOOKUP($A61,Table,MATCH(R$4,Curves,0)))</f>
        <v>#N/A</v>
      </c>
      <c r="S61" s="201" t="e">
        <f aca="false">IF(A62="","",R61)</f>
        <v>#N/A</v>
      </c>
      <c r="T61" s="200" t="e">
        <f aca="false">IF($A62="","",VLOOKUP($A61,Table,MATCH(T$4,Curves,0)))</f>
        <v>#N/A</v>
      </c>
      <c r="U61" s="201" t="e">
        <f aca="false">IF(A62="","",T61)</f>
        <v>#N/A</v>
      </c>
      <c r="V61" s="183" t="e">
        <f aca="false">IF($A62="","",IF(AND(MONTH(A61)&gt;3,MONTH(A61)&lt;11),(T61+R61+G61)*Summary!$T$8/(1-Summary!$T$8),(T61+R61+G61)*Summary!$U$8/(1-Summary!$U$8)))</f>
        <v>#N/A</v>
      </c>
      <c r="W61" s="200" t="e">
        <f aca="false">IF($A62="","",(T61+R61+G61+V61))</f>
        <v>#N/A</v>
      </c>
      <c r="X61" s="200" t="e">
        <f aca="false">IF($A62="","",(U61+S61+H61+V61))</f>
        <v>#N/A</v>
      </c>
      <c r="Y61" s="202"/>
      <c r="Z61" s="185" t="e">
        <f aca="false">IF($A62="","",VLOOKUP($A61,Table,MATCH(Z$4,Curves,0)))</f>
        <v>#N/A</v>
      </c>
      <c r="AA61" s="185" t="e">
        <f aca="false">IF($A62="","",VLOOKUP($A61,Table,MATCH(AA$4,Curves,0)))</f>
        <v>#N/A</v>
      </c>
      <c r="AB61" s="185" t="e">
        <f aca="false">SQRT((AA61^2*(A61-$D$3)+Z61^2*(DAY(EOMONTH(A61,0))/2))/AK61)</f>
        <v>#N/A</v>
      </c>
      <c r="AC61" s="185" t="e">
        <f aca="false">IF($A62="","",VLOOKUP($A61,Table,MATCH(AC$4,Curves,0)))</f>
        <v>#N/A</v>
      </c>
      <c r="AD61" s="185" t="e">
        <f aca="false">IF($A62="","",VLOOKUP($A61,Table,MATCH(AD$4,Curves,0)))</f>
        <v>#N/A</v>
      </c>
      <c r="AE61" s="185" t="e">
        <f aca="false">SQRT((AD61^2*(A61-$D$3)+AC61^2*(DAY(EOMONTH(A61,0))/2))/AK61)</f>
        <v>#N/A</v>
      </c>
      <c r="AF61" s="224" t="e">
        <f aca="false">((Summary!$N$8*(AA61*AD61)*(A61-$D$3))+(Summary!$M$8*Z61*AC61*(AJ61-EOMONTH(EDATE(A61,-1),0))))/(AK61*AB61*AE61)</f>
        <v>#N/A</v>
      </c>
      <c r="AG61" s="207" t="n">
        <f aca="false">IF($A62="","",Summary!$Q$8)</f>
        <v>0</v>
      </c>
      <c r="AH61" s="207" t="n">
        <f aca="false">IF($A62="","",IF(Summary!$R$8="Y",(VLOOKUP($A61,Summary!$AD$6:$AF$9,3)+'Escalating commodity'!D74),'Escalating commodity'!D74))</f>
        <v>0.0200232</v>
      </c>
      <c r="AI61" s="207" t="n">
        <f aca="false">IF($A62="","",AH61)</f>
        <v>0.0200232</v>
      </c>
      <c r="AJ61" s="208" t="n">
        <f aca="false">A61+DAY(EOMONTH(A61,0))/2-1</f>
        <v>38610</v>
      </c>
      <c r="AK61" s="209" t="n">
        <f aca="false">IF($A62="","",$A61-$E$1)</f>
        <v>-7330</v>
      </c>
      <c r="AL61" s="182" t="e">
        <f aca="false">IF($A62="","",SPRDOPT(P61,X61,AI61,0,AB61,AE61,AF61,AK61,$AJ$2,0))</f>
        <v>#NAME?</v>
      </c>
      <c r="AM61" s="211" t="e">
        <f aca="false">IF($A62="","",MAX(0,O61-W61-AI61))</f>
        <v>#N/A</v>
      </c>
      <c r="AN61" s="211" t="e">
        <f aca="false">IF($A62="","",AL61-AM61)</f>
        <v>#N/A</v>
      </c>
      <c r="AO61" s="137" t="n">
        <f aca="false">IF(A62="","",A62-A61)</f>
        <v>30</v>
      </c>
      <c r="AP61" s="212" t="n">
        <f aca="false">IF(A62="","",CHOOSE(F$3,A62+24,A61))</f>
        <v>38596</v>
      </c>
      <c r="AQ61" s="209" t="n">
        <f aca="false">IF(A62="","",AP61-$E$1)</f>
        <v>-7330</v>
      </c>
      <c r="AR61" s="185" t="n">
        <f aca="false">'ANR OK vs ML7'!AR61</f>
        <v>0.1</v>
      </c>
      <c r="AS61" s="213" t="n">
        <f aca="false">IF(A62="","",1/(1+CHOOSE(F$3,(AR62+($I$3/10000))/2,(AR61+($I$3/10000))/2))^(2*AQ61/365.25))</f>
        <v>7.08716623758362</v>
      </c>
      <c r="AT61" s="137" t="n">
        <f aca="false">IF(A62="","",IF(AND(mthbeg&lt;=A61,mthend&gt;=A61),1,0))</f>
        <v>1</v>
      </c>
      <c r="AU61" s="137" t="n">
        <f aca="false">IF(A62="","",AO61*AT61)</f>
        <v>30</v>
      </c>
      <c r="AW61" s="195" t="e">
        <f aca="false">IF($A62="","",AL61*$E61)</f>
        <v>#NAME?</v>
      </c>
      <c r="AX61" s="195" t="e">
        <f aca="false">IF($A62="","",AM61*$E61)</f>
        <v>#N/A</v>
      </c>
      <c r="AY61" s="195" t="e">
        <f aca="false">IF($A62="","",AN61*$E61)</f>
        <v>#N/A</v>
      </c>
      <c r="BA61" s="195" t="n">
        <f aca="false">IF($A62="","",F61*Summary!$Q$8)</f>
        <v>0</v>
      </c>
      <c r="BC61" s="179" t="e">
        <f aca="false">IF(A62="","",AM61*F61)</f>
        <v>#N/A</v>
      </c>
    </row>
    <row r="62" customFormat="false" ht="12.75" hidden="false" customHeight="false" outlineLevel="0" collapsed="false">
      <c r="A62" s="196" t="n">
        <f aca="false">IF(A61&lt;mthend,EDATE(A61,1),"")</f>
        <v>38626</v>
      </c>
      <c r="B62" s="197" t="n">
        <f aca="false">IF(A62&lt;mthend,B61,0)</f>
        <v>80000</v>
      </c>
      <c r="C62" s="215"/>
      <c r="D62" s="197" t="n">
        <f aca="false">IF(A63&lt;&gt;"",B62+C62,"")</f>
        <v>80000</v>
      </c>
      <c r="E62" s="199" t="n">
        <f aca="false">IF(A63="","",IF(AND(AT62=1,$H$3=1),D62*AO62,IF($H$3=2,D62,"N/A")))</f>
        <v>2480000</v>
      </c>
      <c r="F62" s="199" t="n">
        <f aca="false">IF(A63="","",E62*AS62)</f>
        <v>17435865.5808891</v>
      </c>
      <c r="G62" s="200" t="e">
        <f aca="false">IF($A63="","",VLOOKUP($A62,Table,MATCH(G$4,Curves,0)))</f>
        <v>#N/A</v>
      </c>
      <c r="H62" s="201" t="e">
        <f aca="false">IF(A63="","",G62)</f>
        <v>#N/A</v>
      </c>
      <c r="I62" s="202"/>
      <c r="J62" s="200" t="e">
        <f aca="false">IF($A63="","",VLOOKUP($A62,Table,MATCH(J$4,Curves,0)))</f>
        <v>#N/A</v>
      </c>
      <c r="K62" s="201" t="e">
        <f aca="false">IF(A63="","",J62)</f>
        <v>#N/A</v>
      </c>
      <c r="L62" s="200" t="e">
        <f aca="false">IF($A63="","",VLOOKUP($A62,Table,MATCH(L$4,Curves,0)))</f>
        <v>#N/A</v>
      </c>
      <c r="M62" s="201" t="e">
        <f aca="false">IF(A63="","",L62)</f>
        <v>#N/A</v>
      </c>
      <c r="N62" s="203"/>
      <c r="O62" s="200" t="e">
        <f aca="false">IF(A63="","",L62+J62+G62)</f>
        <v>#N/A</v>
      </c>
      <c r="P62" s="200" t="e">
        <f aca="false">IF(A63="","",M62+K62+H62)</f>
        <v>#N/A</v>
      </c>
      <c r="Q62" s="204"/>
      <c r="R62" s="200" t="e">
        <f aca="false">IF($A63="","",VLOOKUP($A62,Table,MATCH(R$4,Curves,0)))</f>
        <v>#N/A</v>
      </c>
      <c r="S62" s="201" t="e">
        <f aca="false">IF(A63="","",R62)</f>
        <v>#N/A</v>
      </c>
      <c r="T62" s="200" t="e">
        <f aca="false">IF($A63="","",VLOOKUP($A62,Table,MATCH(T$4,Curves,0)))</f>
        <v>#N/A</v>
      </c>
      <c r="U62" s="201" t="e">
        <f aca="false">IF(A63="","",T62)</f>
        <v>#N/A</v>
      </c>
      <c r="V62" s="183" t="e">
        <f aca="false">IF($A63="","",IF(AND(MONTH(A62)&gt;3,MONTH(A62)&lt;11),(T62+R62+G62)*Summary!$T$8/(1-Summary!$T$8),(T62+R62+G62)*Summary!$U$8/(1-Summary!$U$8)))</f>
        <v>#N/A</v>
      </c>
      <c r="W62" s="200" t="e">
        <f aca="false">IF($A63="","",(T62+R62+G62+V62))</f>
        <v>#N/A</v>
      </c>
      <c r="X62" s="200" t="e">
        <f aca="false">IF($A63="","",(U62+S62+H62+V62))</f>
        <v>#N/A</v>
      </c>
      <c r="Y62" s="202"/>
      <c r="Z62" s="185" t="e">
        <f aca="false">IF($A63="","",VLOOKUP($A62,Table,MATCH(Z$4,Curves,0)))</f>
        <v>#N/A</v>
      </c>
      <c r="AA62" s="185" t="e">
        <f aca="false">IF($A63="","",VLOOKUP($A62,Table,MATCH(AA$4,Curves,0)))</f>
        <v>#N/A</v>
      </c>
      <c r="AB62" s="185" t="e">
        <f aca="false">SQRT((AA62^2*(A62-$D$3)+Z62^2*(DAY(EOMONTH(A62,0))/2))/AK62)</f>
        <v>#N/A</v>
      </c>
      <c r="AC62" s="185" t="e">
        <f aca="false">IF($A63="","",VLOOKUP($A62,Table,MATCH(AC$4,Curves,0)))</f>
        <v>#N/A</v>
      </c>
      <c r="AD62" s="185" t="e">
        <f aca="false">IF($A63="","",VLOOKUP($A62,Table,MATCH(AD$4,Curves,0)))</f>
        <v>#N/A</v>
      </c>
      <c r="AE62" s="185" t="e">
        <f aca="false">SQRT((AD62^2*(A62-$D$3)+AC62^2*(DAY(EOMONTH(A62,0))/2))/AK62)</f>
        <v>#N/A</v>
      </c>
      <c r="AF62" s="224" t="e">
        <f aca="false">((Summary!$N$8*(AA62*AD62)*(A62-$D$3))+(Summary!$M$8*Z62*AC62*(AJ62-EOMONTH(EDATE(A62,-1),0))))/(AK62*AB62*AE62)</f>
        <v>#N/A</v>
      </c>
      <c r="AG62" s="207" t="n">
        <f aca="false">IF($A63="","",Summary!$Q$8)</f>
        <v>0</v>
      </c>
      <c r="AH62" s="207" t="n">
        <f aca="false">IF($A63="","",IF(Summary!$R$8="Y",(VLOOKUP($A62,Summary!$AD$6:$AF$9,3)+'Escalating commodity'!D75),'Escalating commodity'!D75))</f>
        <v>0.0200232</v>
      </c>
      <c r="AI62" s="207" t="n">
        <f aca="false">IF($A63="","",AH62)</f>
        <v>0.0200232</v>
      </c>
      <c r="AJ62" s="208" t="n">
        <f aca="false">A62+DAY(EOMONTH(A62,0))/2-1</f>
        <v>38640.5</v>
      </c>
      <c r="AK62" s="209" t="n">
        <f aca="false">IF($A63="","",$A62-$E$1)</f>
        <v>-7300</v>
      </c>
      <c r="AL62" s="182" t="e">
        <f aca="false">IF($A63="","",SPRDOPT(P62,X62,AI62,0,AB62,AE62,AF62,AK62,$AJ$2,0))</f>
        <v>#NAME?</v>
      </c>
      <c r="AM62" s="211" t="e">
        <f aca="false">IF($A63="","",MAX(0,O62-W62-AI62))</f>
        <v>#N/A</v>
      </c>
      <c r="AN62" s="211" t="e">
        <f aca="false">IF($A63="","",AL62-AM62)</f>
        <v>#N/A</v>
      </c>
      <c r="AO62" s="137" t="n">
        <f aca="false">IF(A63="","",A63-A62)</f>
        <v>31</v>
      </c>
      <c r="AP62" s="212" t="n">
        <f aca="false">IF(A63="","",CHOOSE(F$3,A63+24,A62))</f>
        <v>38626</v>
      </c>
      <c r="AQ62" s="209" t="n">
        <f aca="false">IF(A63="","",AP62-$E$1)</f>
        <v>-7300</v>
      </c>
      <c r="AR62" s="185" t="n">
        <f aca="false">'ANR OK vs ML7'!AR62</f>
        <v>0.1</v>
      </c>
      <c r="AS62" s="213" t="n">
        <f aca="false">IF(A63="","",1/(1+CHOOSE(F$3,(AR63+($I$3/10000))/2,(AR62+($I$3/10000))/2))^(2*AQ62/365.25))</f>
        <v>7.03059096003592</v>
      </c>
      <c r="AT62" s="137" t="n">
        <f aca="false">IF(A63="","",IF(AND(mthbeg&lt;=A62,mthend&gt;=A62),1,0))</f>
        <v>1</v>
      </c>
      <c r="AU62" s="137" t="n">
        <f aca="false">IF(A63="","",AO62*AT62)</f>
        <v>31</v>
      </c>
      <c r="AW62" s="195" t="e">
        <f aca="false">IF($A63="","",AL62*$E62)</f>
        <v>#NAME?</v>
      </c>
      <c r="AX62" s="195" t="e">
        <f aca="false">IF($A63="","",AM62*$E62)</f>
        <v>#N/A</v>
      </c>
      <c r="AY62" s="195" t="e">
        <f aca="false">IF($A63="","",AN62*$E62)</f>
        <v>#N/A</v>
      </c>
      <c r="BA62" s="195" t="n">
        <f aca="false">IF($A63="","",F62*Summary!$Q$8)</f>
        <v>0</v>
      </c>
      <c r="BC62" s="179" t="e">
        <f aca="false">IF(A63="","",AM62*F62)</f>
        <v>#N/A</v>
      </c>
    </row>
    <row r="63" customFormat="false" ht="12.75" hidden="false" customHeight="false" outlineLevel="0" collapsed="false">
      <c r="A63" s="196" t="n">
        <f aca="false">IF(A62&lt;mthend,EDATE(A62,1),"")</f>
        <v>38657</v>
      </c>
      <c r="B63" s="197" t="n">
        <f aca="false">IF(A63&lt;mthend,B62,0)</f>
        <v>80000</v>
      </c>
      <c r="C63" s="215"/>
      <c r="D63" s="197" t="n">
        <f aca="false">IF(A64&lt;&gt;"",B63+C63,"")</f>
        <v>80000</v>
      </c>
      <c r="E63" s="199" t="n">
        <f aca="false">IF(A64="","",IF(AND(AT63=1,$H$3=1),D63*AO63,IF($H$3=2,D63,"N/A")))</f>
        <v>2400000</v>
      </c>
      <c r="F63" s="199" t="n">
        <f aca="false">IF(A64="","",E63*AS63)</f>
        <v>16734250.2190595</v>
      </c>
      <c r="G63" s="200" t="e">
        <f aca="false">IF($A64="","",VLOOKUP($A63,Table,MATCH(G$4,Curves,0)))</f>
        <v>#N/A</v>
      </c>
      <c r="H63" s="201" t="e">
        <f aca="false">IF(A64="","",G63)</f>
        <v>#N/A</v>
      </c>
      <c r="I63" s="202"/>
      <c r="J63" s="200" t="e">
        <f aca="false">IF($A64="","",VLOOKUP($A63,Table,MATCH(J$4,Curves,0)))</f>
        <v>#N/A</v>
      </c>
      <c r="K63" s="201" t="e">
        <f aca="false">IF(A64="","",J63)</f>
        <v>#N/A</v>
      </c>
      <c r="L63" s="200" t="e">
        <f aca="false">IF($A64="","",VLOOKUP($A63,Table,MATCH(L$4,Curves,0)))</f>
        <v>#N/A</v>
      </c>
      <c r="M63" s="201" t="e">
        <f aca="false">IF(A64="","",L63)</f>
        <v>#N/A</v>
      </c>
      <c r="N63" s="203"/>
      <c r="O63" s="200" t="e">
        <f aca="false">IF(A64="","",L63+J63+G63)</f>
        <v>#N/A</v>
      </c>
      <c r="P63" s="200" t="e">
        <f aca="false">IF(A64="","",M63+K63+H63)</f>
        <v>#N/A</v>
      </c>
      <c r="Q63" s="204"/>
      <c r="R63" s="200" t="e">
        <f aca="false">IF($A64="","",VLOOKUP($A63,Table,MATCH(R$4,Curves,0)))</f>
        <v>#N/A</v>
      </c>
      <c r="S63" s="201" t="e">
        <f aca="false">IF(A64="","",R63)</f>
        <v>#N/A</v>
      </c>
      <c r="T63" s="200" t="e">
        <f aca="false">IF($A64="","",VLOOKUP($A63,Table,MATCH(T$4,Curves,0)))</f>
        <v>#N/A</v>
      </c>
      <c r="U63" s="201" t="e">
        <f aca="false">IF(A64="","",T63)</f>
        <v>#N/A</v>
      </c>
      <c r="V63" s="183" t="e">
        <f aca="false">IF($A64="","",IF(AND(MONTH(A63)&gt;3,MONTH(A63)&lt;11),(T63+R63+G63)*Summary!$T$8/(1-Summary!$T$8),(T63+R63+G63)*Summary!$U$8/(1-Summary!$U$8)))</f>
        <v>#N/A</v>
      </c>
      <c r="W63" s="200" t="e">
        <f aca="false">IF($A64="","",(T63+R63+G63+V63))</f>
        <v>#N/A</v>
      </c>
      <c r="X63" s="200" t="e">
        <f aca="false">IF($A64="","",(U63+S63+H63+V63))</f>
        <v>#N/A</v>
      </c>
      <c r="Y63" s="202"/>
      <c r="Z63" s="185" t="e">
        <f aca="false">IF($A64="","",VLOOKUP($A63,Table,MATCH(Z$4,Curves,0)))</f>
        <v>#N/A</v>
      </c>
      <c r="AA63" s="185" t="e">
        <f aca="false">IF($A64="","",VLOOKUP($A63,Table,MATCH(AA$4,Curves,0)))</f>
        <v>#N/A</v>
      </c>
      <c r="AB63" s="185" t="e">
        <f aca="false">SQRT((AA63^2*(A63-$D$3)+Z63^2*(DAY(EOMONTH(A63,0))/2))/AK63)</f>
        <v>#N/A</v>
      </c>
      <c r="AC63" s="185" t="e">
        <f aca="false">IF($A64="","",VLOOKUP($A63,Table,MATCH(AC$4,Curves,0)))</f>
        <v>#N/A</v>
      </c>
      <c r="AD63" s="185" t="e">
        <f aca="false">IF($A64="","",VLOOKUP($A63,Table,MATCH(AD$4,Curves,0)))</f>
        <v>#N/A</v>
      </c>
      <c r="AE63" s="185" t="e">
        <f aca="false">SQRT((AD63^2*(A63-$D$3)+AC63^2*(DAY(EOMONTH(A63,0))/2))/AK63)</f>
        <v>#N/A</v>
      </c>
      <c r="AF63" s="224" t="e">
        <f aca="false">((Summary!$N$8*(AA63*AD63)*(A63-$D$3))+(Summary!$M$8*Z63*AC63*(AJ63-EOMONTH(EDATE(A63,-1),0))))/(AK63*AB63*AE63)</f>
        <v>#N/A</v>
      </c>
      <c r="AG63" s="207" t="n">
        <f aca="false">IF($A64="","",Summary!$Q$8)</f>
        <v>0</v>
      </c>
      <c r="AH63" s="207" t="n">
        <f aca="false">IF($A64="","",IF(Summary!$R$8="Y",(VLOOKUP($A63,Summary!$AD$6:$AF$9,3)+'Escalating commodity'!D76),'Escalating commodity'!D76))</f>
        <v>0.0200232</v>
      </c>
      <c r="AI63" s="207" t="n">
        <f aca="false">IF($A64="","",AH63)</f>
        <v>0.0200232</v>
      </c>
      <c r="AJ63" s="208" t="n">
        <f aca="false">A63+DAY(EOMONTH(A63,0))/2-1</f>
        <v>38671</v>
      </c>
      <c r="AK63" s="209" t="n">
        <f aca="false">IF($A64="","",$A63-$E$1)</f>
        <v>-7269</v>
      </c>
      <c r="AL63" s="182" t="e">
        <f aca="false">IF($A64="","",SPRDOPT(P63,X63,AI63,0,AB63,AE63,AF63,AK63,$AJ$2,0))</f>
        <v>#NAME?</v>
      </c>
      <c r="AM63" s="211" t="e">
        <f aca="false">IF($A64="","",MAX(0,O63-W63-AI63))</f>
        <v>#N/A</v>
      </c>
      <c r="AN63" s="211" t="e">
        <f aca="false">IF($A64="","",AL63-AM63)</f>
        <v>#N/A</v>
      </c>
      <c r="AO63" s="137" t="n">
        <f aca="false">IF(A64="","",A64-A63)</f>
        <v>30</v>
      </c>
      <c r="AP63" s="212" t="n">
        <f aca="false">IF(A64="","",CHOOSE(F$3,A64+24,A63))</f>
        <v>38657</v>
      </c>
      <c r="AQ63" s="209" t="n">
        <f aca="false">IF(A64="","",AP63-$E$1)</f>
        <v>-7269</v>
      </c>
      <c r="AR63" s="185" t="n">
        <f aca="false">'ANR OK vs ML7'!AR63</f>
        <v>0.1</v>
      </c>
      <c r="AS63" s="213" t="n">
        <f aca="false">IF(A64="","",1/(1+CHOOSE(F$3,(AR64+($I$3/10000))/2,(AR63+($I$3/10000))/2))^(2*AQ63/365.25))</f>
        <v>6.97260425794147</v>
      </c>
      <c r="AT63" s="137" t="n">
        <f aca="false">IF(A64="","",IF(AND(mthbeg&lt;=A63,mthend&gt;=A63),1,0))</f>
        <v>1</v>
      </c>
      <c r="AU63" s="137" t="n">
        <f aca="false">IF(A64="","",AO63*AT63)</f>
        <v>30</v>
      </c>
      <c r="AW63" s="195" t="e">
        <f aca="false">IF($A64="","",AL63*$E63)</f>
        <v>#NAME?</v>
      </c>
      <c r="AX63" s="195" t="e">
        <f aca="false">IF($A64="","",AM63*$E63)</f>
        <v>#N/A</v>
      </c>
      <c r="AY63" s="195" t="e">
        <f aca="false">IF($A64="","",AN63*$E63)</f>
        <v>#N/A</v>
      </c>
      <c r="BA63" s="195" t="n">
        <f aca="false">IF($A64="","",F63*Summary!$Q$8)</f>
        <v>0</v>
      </c>
      <c r="BC63" s="179" t="e">
        <f aca="false">IF(A64="","",AM63*F63)</f>
        <v>#N/A</v>
      </c>
    </row>
    <row r="64" customFormat="false" ht="12.75" hidden="false" customHeight="false" outlineLevel="0" collapsed="false">
      <c r="A64" s="196" t="n">
        <f aca="false">IF(A63&lt;mthend,EDATE(A63,1),"")</f>
        <v>38687</v>
      </c>
      <c r="B64" s="197" t="n">
        <f aca="false">IF(A64&lt;mthend,B63,0)</f>
        <v>80000</v>
      </c>
      <c r="C64" s="215"/>
      <c r="D64" s="197" t="n">
        <f aca="false">IF(A65&lt;&gt;"",B64+C64,"")</f>
        <v>80000</v>
      </c>
      <c r="E64" s="199" t="n">
        <f aca="false">IF(A65="","",IF(AND(AT64=1,$H$3=1),D64*AO64,IF($H$3=2,D64,"N/A")))</f>
        <v>2480000</v>
      </c>
      <c r="F64" s="199" t="n">
        <f aca="false">IF(A65="","",E64*AS64)</f>
        <v>17154019.8881596</v>
      </c>
      <c r="G64" s="200" t="e">
        <f aca="false">IF($A65="","",VLOOKUP($A64,Table,MATCH(G$4,Curves,0)))</f>
        <v>#N/A</v>
      </c>
      <c r="H64" s="201" t="e">
        <f aca="false">IF(A65="","",G64)</f>
        <v>#N/A</v>
      </c>
      <c r="I64" s="202"/>
      <c r="J64" s="200" t="e">
        <f aca="false">IF($A65="","",VLOOKUP($A64,Table,MATCH(J$4,Curves,0)))</f>
        <v>#N/A</v>
      </c>
      <c r="K64" s="201" t="e">
        <f aca="false">IF(A65="","",J64)</f>
        <v>#N/A</v>
      </c>
      <c r="L64" s="200" t="e">
        <f aca="false">IF($A65="","",VLOOKUP($A64,Table,MATCH(L$4,Curves,0)))</f>
        <v>#N/A</v>
      </c>
      <c r="M64" s="201" t="e">
        <f aca="false">IF(A65="","",L64)</f>
        <v>#N/A</v>
      </c>
      <c r="N64" s="203"/>
      <c r="O64" s="200" t="e">
        <f aca="false">IF(A65="","",L64+J64+G64)</f>
        <v>#N/A</v>
      </c>
      <c r="P64" s="200" t="e">
        <f aca="false">IF(A65="","",M64+K64+H64)</f>
        <v>#N/A</v>
      </c>
      <c r="Q64" s="204"/>
      <c r="R64" s="200" t="e">
        <f aca="false">IF($A65="","",VLOOKUP($A64,Table,MATCH(R$4,Curves,0)))</f>
        <v>#N/A</v>
      </c>
      <c r="S64" s="201" t="e">
        <f aca="false">IF(A65="","",R64)</f>
        <v>#N/A</v>
      </c>
      <c r="T64" s="200" t="e">
        <f aca="false">IF($A65="","",VLOOKUP($A64,Table,MATCH(T$4,Curves,0)))</f>
        <v>#N/A</v>
      </c>
      <c r="U64" s="201" t="e">
        <f aca="false">IF(A65="","",T64)</f>
        <v>#N/A</v>
      </c>
      <c r="V64" s="183" t="e">
        <f aca="false">IF($A65="","",IF(AND(MONTH(A64)&gt;3,MONTH(A64)&lt;11),(T64+R64+G64)*Summary!$T$8/(1-Summary!$T$8),(T64+R64+G64)*Summary!$U$8/(1-Summary!$U$8)))</f>
        <v>#N/A</v>
      </c>
      <c r="W64" s="200" t="e">
        <f aca="false">IF($A65="","",(T64+R64+G64+V64))</f>
        <v>#N/A</v>
      </c>
      <c r="X64" s="200" t="e">
        <f aca="false">IF($A65="","",(U64+S64+H64+V64))</f>
        <v>#N/A</v>
      </c>
      <c r="Y64" s="202"/>
      <c r="Z64" s="185" t="e">
        <f aca="false">IF($A65="","",VLOOKUP($A64,Table,MATCH(Z$4,Curves,0)))</f>
        <v>#N/A</v>
      </c>
      <c r="AA64" s="185" t="e">
        <f aca="false">IF($A65="","",VLOOKUP($A64,Table,MATCH(AA$4,Curves,0)))</f>
        <v>#N/A</v>
      </c>
      <c r="AB64" s="185" t="e">
        <f aca="false">SQRT((AA64^2*(A64-$D$3)+Z64^2*(DAY(EOMONTH(A64,0))/2))/AK64)</f>
        <v>#N/A</v>
      </c>
      <c r="AC64" s="185" t="e">
        <f aca="false">IF($A65="","",VLOOKUP($A64,Table,MATCH(AC$4,Curves,0)))</f>
        <v>#N/A</v>
      </c>
      <c r="AD64" s="185" t="e">
        <f aca="false">IF($A65="","",VLOOKUP($A64,Table,MATCH(AD$4,Curves,0)))</f>
        <v>#N/A</v>
      </c>
      <c r="AE64" s="185" t="e">
        <f aca="false">SQRT((AD64^2*(A64-$D$3)+AC64^2*(DAY(EOMONTH(A64,0))/2))/AK64)</f>
        <v>#N/A</v>
      </c>
      <c r="AF64" s="224" t="e">
        <f aca="false">((Summary!$N$8*(AA64*AD64)*(A64-$D$3))+(Summary!$M$8*Z64*AC64*(AJ64-EOMONTH(EDATE(A64,-1),0))))/(AK64*AB64*AE64)</f>
        <v>#N/A</v>
      </c>
      <c r="AG64" s="207" t="n">
        <f aca="false">IF($A65="","",Summary!$Q$8)</f>
        <v>0</v>
      </c>
      <c r="AH64" s="207" t="n">
        <f aca="false">IF($A65="","",IF(Summary!$R$8="Y",(VLOOKUP($A64,Summary!$AD$6:$AF$9,3)+'Escalating commodity'!D77),'Escalating commodity'!D77))</f>
        <v>0.0200232</v>
      </c>
      <c r="AI64" s="207" t="n">
        <f aca="false">IF($A65="","",AH64)</f>
        <v>0.0200232</v>
      </c>
      <c r="AJ64" s="208" t="n">
        <f aca="false">A64+DAY(EOMONTH(A64,0))/2-1</f>
        <v>38701.5</v>
      </c>
      <c r="AK64" s="209" t="n">
        <f aca="false">IF($A65="","",$A64-$E$1)</f>
        <v>-7239</v>
      </c>
      <c r="AL64" s="182" t="e">
        <f aca="false">IF($A65="","",SPRDOPT(P64,X64,AI64,0,AB64,AE64,AF64,AK64,$AJ$2,0))</f>
        <v>#NAME?</v>
      </c>
      <c r="AM64" s="211" t="e">
        <f aca="false">IF($A65="","",MAX(0,O64-W64-AI64))</f>
        <v>#N/A</v>
      </c>
      <c r="AN64" s="211" t="e">
        <f aca="false">IF($A65="","",AL64-AM64)</f>
        <v>#N/A</v>
      </c>
      <c r="AO64" s="137" t="n">
        <f aca="false">IF(A65="","",A65-A64)</f>
        <v>31</v>
      </c>
      <c r="AP64" s="212" t="n">
        <f aca="false">IF(A65="","",CHOOSE(F$3,A65+24,A64))</f>
        <v>38687</v>
      </c>
      <c r="AQ64" s="209" t="n">
        <f aca="false">IF(A65="","",AP64-$E$1)</f>
        <v>-7239</v>
      </c>
      <c r="AR64" s="185" t="n">
        <f aca="false">'ANR OK vs ML7'!AR64</f>
        <v>0.1</v>
      </c>
      <c r="AS64" s="213" t="n">
        <f aca="false">IF(A65="","",1/(1+CHOOSE(F$3,(AR65+($I$3/10000))/2,(AR64+($I$3/10000))/2))^(2*AQ64/365.25))</f>
        <v>6.91694350329014</v>
      </c>
      <c r="AT64" s="137" t="n">
        <f aca="false">IF(A65="","",IF(AND(mthbeg&lt;=A64,mthend&gt;=A64),1,0))</f>
        <v>1</v>
      </c>
      <c r="AU64" s="137" t="n">
        <f aca="false">IF(A65="","",AO64*AT64)</f>
        <v>31</v>
      </c>
      <c r="AW64" s="195" t="e">
        <f aca="false">IF($A65="","",AL64*$E64)</f>
        <v>#NAME?</v>
      </c>
      <c r="AX64" s="195" t="e">
        <f aca="false">IF($A65="","",AM64*$E64)</f>
        <v>#N/A</v>
      </c>
      <c r="AY64" s="195" t="e">
        <f aca="false">IF($A65="","",AN64*$E64)</f>
        <v>#N/A</v>
      </c>
      <c r="BA64" s="195" t="n">
        <f aca="false">IF($A65="","",F64*Summary!$Q$8)</f>
        <v>0</v>
      </c>
      <c r="BC64" s="179" t="e">
        <f aca="false">IF(A65="","",AM64*F64)</f>
        <v>#N/A</v>
      </c>
    </row>
    <row r="65" customFormat="false" ht="12.75" hidden="false" customHeight="false" outlineLevel="0" collapsed="false">
      <c r="A65" s="196" t="n">
        <f aca="false">IF(A64&lt;mthend,EDATE(A64,1),"")</f>
        <v>38718</v>
      </c>
      <c r="B65" s="197" t="n">
        <f aca="false">IF(A65&lt;mthend,B64,0)</f>
        <v>80000</v>
      </c>
      <c r="C65" s="215"/>
      <c r="D65" s="197" t="n">
        <f aca="false">IF(A66&lt;&gt;"",B65+C65,"")</f>
        <v>80000</v>
      </c>
      <c r="E65" s="199" t="n">
        <f aca="false">IF(A66="","",IF(AND(AT65=1,$H$3=1),D65*AO65,IF($H$3=2,D65,"N/A")))</f>
        <v>2480000</v>
      </c>
      <c r="F65" s="199" t="n">
        <f aca="false">IF(A66="","",E65*AS65)</f>
        <v>17012537.4656106</v>
      </c>
      <c r="G65" s="200" t="e">
        <f aca="false">IF($A66="","",VLOOKUP($A65,Table,MATCH(G$4,Curves,0)))</f>
        <v>#N/A</v>
      </c>
      <c r="H65" s="201" t="e">
        <f aca="false">IF(A66="","",G65)</f>
        <v>#N/A</v>
      </c>
      <c r="I65" s="202"/>
      <c r="J65" s="200" t="e">
        <f aca="false">IF($A66="","",VLOOKUP($A65,Table,MATCH(J$4,Curves,0)))</f>
        <v>#N/A</v>
      </c>
      <c r="K65" s="201" t="e">
        <f aca="false">IF(A66="","",J65)</f>
        <v>#N/A</v>
      </c>
      <c r="L65" s="200" t="e">
        <f aca="false">IF($A66="","",VLOOKUP($A65,Table,MATCH(L$4,Curves,0)))</f>
        <v>#N/A</v>
      </c>
      <c r="M65" s="201" t="e">
        <f aca="false">IF(A66="","",L65)</f>
        <v>#N/A</v>
      </c>
      <c r="N65" s="203"/>
      <c r="O65" s="200" t="e">
        <f aca="false">IF(A66="","",L65+J65+G65)</f>
        <v>#N/A</v>
      </c>
      <c r="P65" s="200" t="e">
        <f aca="false">IF(A66="","",M65+K65+H65)</f>
        <v>#N/A</v>
      </c>
      <c r="Q65" s="204"/>
      <c r="R65" s="200" t="e">
        <f aca="false">IF($A66="","",VLOOKUP($A65,Table,MATCH(R$4,Curves,0)))</f>
        <v>#N/A</v>
      </c>
      <c r="S65" s="201" t="e">
        <f aca="false">IF(A66="","",R65)</f>
        <v>#N/A</v>
      </c>
      <c r="T65" s="200" t="e">
        <f aca="false">IF($A66="","",VLOOKUP($A65,Table,MATCH(T$4,Curves,0)))</f>
        <v>#N/A</v>
      </c>
      <c r="U65" s="201" t="e">
        <f aca="false">IF(A66="","",T65)</f>
        <v>#N/A</v>
      </c>
      <c r="V65" s="183" t="e">
        <f aca="false">IF($A66="","",IF(AND(MONTH(A65)&gt;3,MONTH(A65)&lt;11),(T65+R65+G65)*Summary!$T$8/(1-Summary!$T$8),(T65+R65+G65)*Summary!$U$8/(1-Summary!$U$8)))</f>
        <v>#N/A</v>
      </c>
      <c r="W65" s="200" t="e">
        <f aca="false">IF($A66="","",(T65+R65+G65+V65))</f>
        <v>#N/A</v>
      </c>
      <c r="X65" s="200" t="e">
        <f aca="false">IF($A66="","",(U65+S65+H65+V65))</f>
        <v>#N/A</v>
      </c>
      <c r="Y65" s="202"/>
      <c r="Z65" s="185" t="e">
        <f aca="false">IF($A66="","",VLOOKUP($A65,Table,MATCH(Z$4,Curves,0)))</f>
        <v>#N/A</v>
      </c>
      <c r="AA65" s="185" t="e">
        <f aca="false">IF($A66="","",VLOOKUP($A65,Table,MATCH(AA$4,Curves,0)))</f>
        <v>#N/A</v>
      </c>
      <c r="AB65" s="185" t="e">
        <f aca="false">SQRT((AA65^2*(A65-$D$3)+Z65^2*(DAY(EOMONTH(A65,0))/2))/AK65)</f>
        <v>#N/A</v>
      </c>
      <c r="AC65" s="185" t="e">
        <f aca="false">IF($A66="","",VLOOKUP($A65,Table,MATCH(AC$4,Curves,0)))</f>
        <v>#N/A</v>
      </c>
      <c r="AD65" s="185" t="e">
        <f aca="false">IF($A66="","",VLOOKUP($A65,Table,MATCH(AD$4,Curves,0)))</f>
        <v>#N/A</v>
      </c>
      <c r="AE65" s="185" t="e">
        <f aca="false">SQRT((AD65^2*(A65-$D$3)+AC65^2*(DAY(EOMONTH(A65,0))/2))/AK65)</f>
        <v>#N/A</v>
      </c>
      <c r="AF65" s="224" t="e">
        <f aca="false">((Summary!$N$8*(AA65*AD65)*(A65-$D$3))+(Summary!$M$8*Z65*AC65*(AJ65-EOMONTH(EDATE(A65,-1),0))))/(AK65*AB65*AE65)</f>
        <v>#N/A</v>
      </c>
      <c r="AG65" s="207" t="n">
        <f aca="false">IF($A66="","",Summary!$Q$8)</f>
        <v>0</v>
      </c>
      <c r="AH65" s="207" t="n">
        <f aca="false">IF($A66="","",IF(Summary!$R$8="Y",(VLOOKUP($A65,Summary!$AD$6:$AF$9,3)+'Escalating commodity'!D78),'Escalating commodity'!D78))</f>
        <v>0.0200232</v>
      </c>
      <c r="AI65" s="207" t="n">
        <f aca="false">IF($A66="","",AH65)</f>
        <v>0.0200232</v>
      </c>
      <c r="AJ65" s="208" t="n">
        <f aca="false">A65+DAY(EOMONTH(A65,0))/2-1</f>
        <v>38732.5</v>
      </c>
      <c r="AK65" s="209" t="n">
        <f aca="false">IF($A66="","",$A65-$E$1)</f>
        <v>-7208</v>
      </c>
      <c r="AL65" s="182" t="e">
        <f aca="false">IF($A66="","",SPRDOPT(P65,X65,AI65,0,AB65,AE65,AF65,AK65,$AJ$2,0))</f>
        <v>#NAME?</v>
      </c>
      <c r="AM65" s="211" t="e">
        <f aca="false">IF($A66="","",MAX(0,O65-W65-AI65))</f>
        <v>#N/A</v>
      </c>
      <c r="AN65" s="211" t="e">
        <f aca="false">IF($A66="","",AL65-AM65)</f>
        <v>#N/A</v>
      </c>
      <c r="AO65" s="137" t="n">
        <f aca="false">IF(A66="","",A66-A65)</f>
        <v>31</v>
      </c>
      <c r="AP65" s="212" t="n">
        <f aca="false">IF(A66="","",CHOOSE(F$3,A66+24,A65))</f>
        <v>38718</v>
      </c>
      <c r="AQ65" s="209" t="n">
        <f aca="false">IF(A66="","",AP65-$E$1)</f>
        <v>-7208</v>
      </c>
      <c r="AR65" s="185" t="n">
        <f aca="false">'ANR OK vs ML7'!AR65</f>
        <v>0.1</v>
      </c>
      <c r="AS65" s="213" t="n">
        <f aca="false">IF(A66="","",1/(1+CHOOSE(F$3,(AR66+($I$3/10000))/2,(AR65+($I$3/10000))/2))^(2*AQ65/365.25))</f>
        <v>6.85989413935909</v>
      </c>
      <c r="AT65" s="137" t="n">
        <f aca="false">IF(A66="","",IF(AND(mthbeg&lt;=A65,mthend&gt;=A65),1,0))</f>
        <v>1</v>
      </c>
      <c r="AU65" s="137" t="n">
        <f aca="false">IF(A66="","",AO65*AT65)</f>
        <v>31</v>
      </c>
      <c r="AW65" s="195" t="e">
        <f aca="false">IF($A66="","",AL65*$E65)</f>
        <v>#NAME?</v>
      </c>
      <c r="AX65" s="195" t="e">
        <f aca="false">IF($A66="","",AM65*$E65)</f>
        <v>#N/A</v>
      </c>
      <c r="AY65" s="195" t="e">
        <f aca="false">IF($A66="","",AN65*$E65)</f>
        <v>#N/A</v>
      </c>
      <c r="BA65" s="195" t="n">
        <f aca="false">IF($A66="","",F65*Summary!$Q$8)</f>
        <v>0</v>
      </c>
      <c r="BC65" s="179" t="e">
        <f aca="false">IF(A66="","",AM65*F65)</f>
        <v>#N/A</v>
      </c>
    </row>
    <row r="66" customFormat="false" ht="12.75" hidden="false" customHeight="false" outlineLevel="0" collapsed="false">
      <c r="A66" s="196" t="n">
        <f aca="false">IF(A65&lt;mthend,EDATE(A65,1),"")</f>
        <v>38749</v>
      </c>
      <c r="B66" s="197" t="n">
        <f aca="false">IF(A66&lt;mthend,B65,0)</f>
        <v>80000</v>
      </c>
      <c r="C66" s="215"/>
      <c r="D66" s="197" t="n">
        <f aca="false">IF(A67&lt;&gt;"",B66+C66,"")</f>
        <v>80000</v>
      </c>
      <c r="E66" s="199" t="n">
        <f aca="false">IF(A67="","",IF(AND(AT66=1,$H$3=1),D66*AO66,IF($H$3=2,D66,"N/A")))</f>
        <v>2240000</v>
      </c>
      <c r="F66" s="199" t="n">
        <f aca="false">IF(A67="","",E66*AS66)</f>
        <v>15239426.2843202</v>
      </c>
      <c r="G66" s="200" t="e">
        <f aca="false">IF($A67="","",VLOOKUP($A66,Table,MATCH(G$4,Curves,0)))</f>
        <v>#N/A</v>
      </c>
      <c r="H66" s="201" t="e">
        <f aca="false">IF(A67="","",G66)</f>
        <v>#N/A</v>
      </c>
      <c r="I66" s="202"/>
      <c r="J66" s="200" t="e">
        <f aca="false">IF($A67="","",VLOOKUP($A66,Table,MATCH(J$4,Curves,0)))</f>
        <v>#N/A</v>
      </c>
      <c r="K66" s="201" t="e">
        <f aca="false">IF(A67="","",J66)</f>
        <v>#N/A</v>
      </c>
      <c r="L66" s="200" t="e">
        <f aca="false">IF($A67="","",VLOOKUP($A66,Table,MATCH(L$4,Curves,0)))</f>
        <v>#N/A</v>
      </c>
      <c r="M66" s="201" t="e">
        <f aca="false">IF(A67="","",L66)</f>
        <v>#N/A</v>
      </c>
      <c r="N66" s="203"/>
      <c r="O66" s="200" t="e">
        <f aca="false">IF(A67="","",L66+J66+G66)</f>
        <v>#N/A</v>
      </c>
      <c r="P66" s="200" t="e">
        <f aca="false">IF(A67="","",M66+K66+H66)</f>
        <v>#N/A</v>
      </c>
      <c r="Q66" s="204"/>
      <c r="R66" s="200" t="e">
        <f aca="false">IF($A67="","",VLOOKUP($A66,Table,MATCH(R$4,Curves,0)))</f>
        <v>#N/A</v>
      </c>
      <c r="S66" s="201" t="e">
        <f aca="false">IF(A67="","",R66)</f>
        <v>#N/A</v>
      </c>
      <c r="T66" s="200" t="e">
        <f aca="false">IF($A67="","",VLOOKUP($A66,Table,MATCH(T$4,Curves,0)))</f>
        <v>#N/A</v>
      </c>
      <c r="U66" s="201" t="e">
        <f aca="false">IF(A67="","",T66)</f>
        <v>#N/A</v>
      </c>
      <c r="V66" s="183" t="e">
        <f aca="false">IF($A67="","",IF(AND(MONTH(A66)&gt;3,MONTH(A66)&lt;11),(T66+R66+G66)*Summary!$T$8/(1-Summary!$T$8),(T66+R66+G66)*Summary!$U$8/(1-Summary!$U$8)))</f>
        <v>#N/A</v>
      </c>
      <c r="W66" s="200" t="e">
        <f aca="false">IF($A67="","",(T66+R66+G66+V66))</f>
        <v>#N/A</v>
      </c>
      <c r="X66" s="200" t="e">
        <f aca="false">IF($A67="","",(U66+S66+H66+V66))</f>
        <v>#N/A</v>
      </c>
      <c r="Y66" s="202"/>
      <c r="Z66" s="185" t="e">
        <f aca="false">IF($A67="","",VLOOKUP($A66,Table,MATCH(Z$4,Curves,0)))</f>
        <v>#N/A</v>
      </c>
      <c r="AA66" s="185" t="e">
        <f aca="false">IF($A67="","",VLOOKUP($A66,Table,MATCH(AA$4,Curves,0)))</f>
        <v>#N/A</v>
      </c>
      <c r="AB66" s="185" t="e">
        <f aca="false">SQRT((AA66^2*(A66-$D$3)+Z66^2*(DAY(EOMONTH(A66,0))/2))/AK66)</f>
        <v>#N/A</v>
      </c>
      <c r="AC66" s="185" t="e">
        <f aca="false">IF($A67="","",VLOOKUP($A66,Table,MATCH(AC$4,Curves,0)))</f>
        <v>#N/A</v>
      </c>
      <c r="AD66" s="185" t="e">
        <f aca="false">IF($A67="","",VLOOKUP($A66,Table,MATCH(AD$4,Curves,0)))</f>
        <v>#N/A</v>
      </c>
      <c r="AE66" s="185" t="e">
        <f aca="false">SQRT((AD66^2*(A66-$D$3)+AC66^2*(DAY(EOMONTH(A66,0))/2))/AK66)</f>
        <v>#N/A</v>
      </c>
      <c r="AF66" s="224" t="e">
        <f aca="false">((Summary!$N$8*(AA66*AD66)*(A66-$D$3))+(Summary!$M$8*Z66*AC66*(AJ66-EOMONTH(EDATE(A66,-1),0))))/(AK66*AB66*AE66)</f>
        <v>#N/A</v>
      </c>
      <c r="AG66" s="207" t="n">
        <f aca="false">IF($A67="","",Summary!$Q$8)</f>
        <v>0</v>
      </c>
      <c r="AH66" s="207" t="n">
        <f aca="false">IF($A67="","",IF(Summary!$R$8="Y",(VLOOKUP($A66,Summary!$AD$6:$AF$9,3)+'Escalating commodity'!D79),'Escalating commodity'!D79))</f>
        <v>0.0200232</v>
      </c>
      <c r="AI66" s="207" t="n">
        <f aca="false">IF($A67="","",AH66)</f>
        <v>0.0200232</v>
      </c>
      <c r="AJ66" s="208" t="n">
        <f aca="false">A66+DAY(EOMONTH(A66,0))/2-1</f>
        <v>38762</v>
      </c>
      <c r="AK66" s="209" t="n">
        <f aca="false">IF($A67="","",$A66-$E$1)</f>
        <v>-7177</v>
      </c>
      <c r="AL66" s="182" t="e">
        <f aca="false">IF($A67="","",SPRDOPT(P66,X66,AI66,0,AB66,AE66,AF66,AK66,$AJ$2,0))</f>
        <v>#NAME?</v>
      </c>
      <c r="AM66" s="211" t="e">
        <f aca="false">IF($A67="","",MAX(0,O66-W66-AI66))</f>
        <v>#N/A</v>
      </c>
      <c r="AN66" s="211" t="e">
        <f aca="false">IF($A67="","",AL66-AM66)</f>
        <v>#N/A</v>
      </c>
      <c r="AO66" s="137" t="n">
        <f aca="false">IF(A67="","",A67-A66)</f>
        <v>28</v>
      </c>
      <c r="AP66" s="212" t="n">
        <f aca="false">IF(A67="","",CHOOSE(F$3,A67+24,A66))</f>
        <v>38749</v>
      </c>
      <c r="AQ66" s="209" t="n">
        <f aca="false">IF(A67="","",AP66-$E$1)</f>
        <v>-7177</v>
      </c>
      <c r="AR66" s="185" t="n">
        <f aca="false">'ANR OK vs ML7'!AR66</f>
        <v>0.1</v>
      </c>
      <c r="AS66" s="213" t="n">
        <f aca="false">IF(A67="","",1/(1+CHOOSE(F$3,(AR67+($I$3/10000))/2,(AR66+($I$3/10000))/2))^(2*AQ66/365.25))</f>
        <v>6.80331530550009</v>
      </c>
      <c r="AT66" s="137" t="n">
        <f aca="false">IF(A67="","",IF(AND(mthbeg&lt;=A66,mthend&gt;=A66),1,0))</f>
        <v>1</v>
      </c>
      <c r="AU66" s="137" t="n">
        <f aca="false">IF(A67="","",AO66*AT66)</f>
        <v>28</v>
      </c>
      <c r="AW66" s="195" t="e">
        <f aca="false">IF($A67="","",AL66*$E66)</f>
        <v>#NAME?</v>
      </c>
      <c r="AX66" s="195" t="e">
        <f aca="false">IF($A67="","",AM66*$E66)</f>
        <v>#N/A</v>
      </c>
      <c r="AY66" s="195" t="e">
        <f aca="false">IF($A67="","",AN66*$E66)</f>
        <v>#N/A</v>
      </c>
      <c r="BA66" s="195" t="n">
        <f aca="false">IF($A67="","",F66*Summary!$Q$8)</f>
        <v>0</v>
      </c>
      <c r="BC66" s="179" t="e">
        <f aca="false">IF(A67="","",AM66*F66)</f>
        <v>#N/A</v>
      </c>
    </row>
    <row r="67" customFormat="false" ht="12.75" hidden="false" customHeight="false" outlineLevel="0" collapsed="false">
      <c r="A67" s="196" t="n">
        <f aca="false">IF(A66&lt;mthend,EDATE(A66,1),"")</f>
        <v>38777</v>
      </c>
      <c r="B67" s="197" t="n">
        <f aca="false">IF(A67&lt;mthend,B66,0)</f>
        <v>80000</v>
      </c>
      <c r="C67" s="215"/>
      <c r="D67" s="197" t="n">
        <f aca="false">IF(A68&lt;&gt;"",B67+C67,"")</f>
        <v>80000</v>
      </c>
      <c r="E67" s="199" t="n">
        <f aca="false">IF(A68="","",IF(AND(AT67=1,$H$3=1),D67*AO67,IF($H$3=2,D67,"N/A")))</f>
        <v>2480000</v>
      </c>
      <c r="F67" s="199" t="n">
        <f aca="false">IF(A68="","",E67*AS67)</f>
        <v>16746480.3506059</v>
      </c>
      <c r="G67" s="200" t="e">
        <f aca="false">IF($A68="","",VLOOKUP($A67,Table,MATCH(G$4,Curves,0)))</f>
        <v>#N/A</v>
      </c>
      <c r="H67" s="201" t="e">
        <f aca="false">IF(A68="","",G67)</f>
        <v>#N/A</v>
      </c>
      <c r="I67" s="202"/>
      <c r="J67" s="200" t="e">
        <f aca="false">IF($A68="","",VLOOKUP($A67,Table,MATCH(J$4,Curves,0)))</f>
        <v>#N/A</v>
      </c>
      <c r="K67" s="201" t="e">
        <f aca="false">IF(A68="","",J67)</f>
        <v>#N/A</v>
      </c>
      <c r="L67" s="200" t="e">
        <f aca="false">IF($A68="","",VLOOKUP($A67,Table,MATCH(L$4,Curves,0)))</f>
        <v>#N/A</v>
      </c>
      <c r="M67" s="201" t="e">
        <f aca="false">IF(A68="","",L67)</f>
        <v>#N/A</v>
      </c>
      <c r="N67" s="203"/>
      <c r="O67" s="200" t="e">
        <f aca="false">IF(A68="","",L67+J67+G67)</f>
        <v>#N/A</v>
      </c>
      <c r="P67" s="200" t="e">
        <f aca="false">IF(A68="","",M67+K67+H67)</f>
        <v>#N/A</v>
      </c>
      <c r="Q67" s="204"/>
      <c r="R67" s="200" t="e">
        <f aca="false">IF($A68="","",VLOOKUP($A67,Table,MATCH(R$4,Curves,0)))</f>
        <v>#N/A</v>
      </c>
      <c r="S67" s="201" t="e">
        <f aca="false">IF(A68="","",R67)</f>
        <v>#N/A</v>
      </c>
      <c r="T67" s="200" t="e">
        <f aca="false">IF($A68="","",VLOOKUP($A67,Table,MATCH(T$4,Curves,0)))</f>
        <v>#N/A</v>
      </c>
      <c r="U67" s="201" t="e">
        <f aca="false">IF(A68="","",T67)</f>
        <v>#N/A</v>
      </c>
      <c r="V67" s="183" t="e">
        <f aca="false">IF($A68="","",IF(AND(MONTH(A67)&gt;3,MONTH(A67)&lt;11),(T67+R67+G67)*Summary!$T$8/(1-Summary!$T$8),(T67+R67+G67)*Summary!$U$8/(1-Summary!$U$8)))</f>
        <v>#N/A</v>
      </c>
      <c r="W67" s="200" t="e">
        <f aca="false">IF($A68="","",(T67+R67+G67+V67))</f>
        <v>#N/A</v>
      </c>
      <c r="X67" s="200" t="e">
        <f aca="false">IF($A68="","",(U67+S67+H67+V67))</f>
        <v>#N/A</v>
      </c>
      <c r="Y67" s="202"/>
      <c r="Z67" s="185" t="e">
        <f aca="false">IF($A68="","",VLOOKUP($A67,Table,MATCH(Z$4,Curves,0)))</f>
        <v>#N/A</v>
      </c>
      <c r="AA67" s="185" t="e">
        <f aca="false">IF($A68="","",VLOOKUP($A67,Table,MATCH(AA$4,Curves,0)))</f>
        <v>#N/A</v>
      </c>
      <c r="AB67" s="185" t="e">
        <f aca="false">SQRT((AA67^2*(A67-$D$3)+Z67^2*(DAY(EOMONTH(A67,0))/2))/AK67)</f>
        <v>#N/A</v>
      </c>
      <c r="AC67" s="185" t="e">
        <f aca="false">IF($A68="","",VLOOKUP($A67,Table,MATCH(AC$4,Curves,0)))</f>
        <v>#N/A</v>
      </c>
      <c r="AD67" s="185" t="e">
        <f aca="false">IF($A68="","",VLOOKUP($A67,Table,MATCH(AD$4,Curves,0)))</f>
        <v>#N/A</v>
      </c>
      <c r="AE67" s="185" t="e">
        <f aca="false">SQRT((AD67^2*(A67-$D$3)+AC67^2*(DAY(EOMONTH(A67,0))/2))/AK67)</f>
        <v>#N/A</v>
      </c>
      <c r="AF67" s="224" t="e">
        <f aca="false">((Summary!$N$8*(AA67*AD67)*(A67-$D$3))+(Summary!$M$8*Z67*AC67*(AJ67-EOMONTH(EDATE(A67,-1),0))))/(AK67*AB67*AE67)</f>
        <v>#N/A</v>
      </c>
      <c r="AG67" s="207" t="n">
        <f aca="false">IF($A68="","",Summary!$Q$8)</f>
        <v>0</v>
      </c>
      <c r="AH67" s="207" t="n">
        <f aca="false">IF($A68="","",IF(Summary!$R$8="Y",(VLOOKUP($A67,Summary!$AD$6:$AF$9,3)+'Escalating commodity'!D80),'Escalating commodity'!D80))</f>
        <v>0.0200232</v>
      </c>
      <c r="AI67" s="207" t="n">
        <f aca="false">IF($A68="","",AH67)</f>
        <v>0.0200232</v>
      </c>
      <c r="AJ67" s="208" t="n">
        <f aca="false">A67+DAY(EOMONTH(A67,0))/2-1</f>
        <v>38791.5</v>
      </c>
      <c r="AK67" s="209" t="n">
        <f aca="false">IF($A68="","",$A67-$E$1)</f>
        <v>-7149</v>
      </c>
      <c r="AL67" s="182" t="e">
        <f aca="false">IF($A68="","",SPRDOPT(P67,X67,AI67,0,AB67,AE67,AF67,AK67,$AJ$2,0))</f>
        <v>#NAME?</v>
      </c>
      <c r="AM67" s="211" t="e">
        <f aca="false">IF($A68="","",MAX(0,O67-W67-AI67))</f>
        <v>#N/A</v>
      </c>
      <c r="AN67" s="211" t="e">
        <f aca="false">IF($A68="","",AL67-AM67)</f>
        <v>#N/A</v>
      </c>
      <c r="AO67" s="137" t="n">
        <f aca="false">IF(A68="","",A68-A67)</f>
        <v>31</v>
      </c>
      <c r="AP67" s="212" t="n">
        <f aca="false">IF(A68="","",CHOOSE(F$3,A68+24,A67))</f>
        <v>38777</v>
      </c>
      <c r="AQ67" s="209" t="n">
        <f aca="false">IF(A68="","",AP67-$E$1)</f>
        <v>-7149</v>
      </c>
      <c r="AR67" s="185" t="n">
        <f aca="false">'ANR OK vs ML7'!AR67</f>
        <v>0.1</v>
      </c>
      <c r="AS67" s="213" t="n">
        <f aca="false">IF(A68="","",1/(1+CHOOSE(F$3,(AR68+($I$3/10000))/2,(AR67+($I$3/10000))/2))^(2*AQ67/365.25))</f>
        <v>6.75261304459915</v>
      </c>
      <c r="AT67" s="137" t="n">
        <f aca="false">IF(A68="","",IF(AND(mthbeg&lt;=A67,mthend&gt;=A67),1,0))</f>
        <v>1</v>
      </c>
      <c r="AU67" s="137" t="n">
        <f aca="false">IF(A68="","",AO67*AT67)</f>
        <v>31</v>
      </c>
      <c r="AW67" s="195" t="e">
        <f aca="false">IF($A68="","",AL67*$E67)</f>
        <v>#NAME?</v>
      </c>
      <c r="AX67" s="195" t="e">
        <f aca="false">IF($A68="","",AM67*$E67)</f>
        <v>#N/A</v>
      </c>
      <c r="AY67" s="195" t="e">
        <f aca="false">IF($A68="","",AN67*$E67)</f>
        <v>#N/A</v>
      </c>
      <c r="BA67" s="195" t="n">
        <f aca="false">IF($A68="","",F67*Summary!$Q$8)</f>
        <v>0</v>
      </c>
      <c r="BC67" s="179" t="e">
        <f aca="false">IF(A68="","",AM67*F67)</f>
        <v>#N/A</v>
      </c>
    </row>
    <row r="68" customFormat="false" ht="12.75" hidden="false" customHeight="false" outlineLevel="0" collapsed="false">
      <c r="A68" s="196" t="n">
        <f aca="false">IF(A67&lt;mthend,EDATE(A67,1),"")</f>
        <v>38808</v>
      </c>
      <c r="B68" s="197" t="n">
        <f aca="false">IF(A68&lt;mthend,B67,0)</f>
        <v>80000</v>
      </c>
      <c r="C68" s="215"/>
      <c r="D68" s="197" t="n">
        <f aca="false">IF(A69&lt;&gt;"",B68+C68,"")</f>
        <v>80000</v>
      </c>
      <c r="E68" s="199" t="n">
        <f aca="false">IF(A69="","",IF(AND(AT68=1,$H$3=1),D68*AO68,IF($H$3=2,D68,"N/A")))</f>
        <v>2400000</v>
      </c>
      <c r="F68" s="199" t="n">
        <f aca="false">IF(A69="","",E68*AS68)</f>
        <v>16072605.6974633</v>
      </c>
      <c r="G68" s="200" t="e">
        <f aca="false">IF($A69="","",VLOOKUP($A68,Table,MATCH(G$4,Curves,0)))</f>
        <v>#N/A</v>
      </c>
      <c r="H68" s="201" t="e">
        <f aca="false">IF(A69="","",G68)</f>
        <v>#N/A</v>
      </c>
      <c r="I68" s="202"/>
      <c r="J68" s="200" t="e">
        <f aca="false">IF($A69="","",VLOOKUP($A68,Table,MATCH(J$4,Curves,0)))</f>
        <v>#N/A</v>
      </c>
      <c r="K68" s="201" t="e">
        <f aca="false">IF(A69="","",J68)</f>
        <v>#N/A</v>
      </c>
      <c r="L68" s="200" t="e">
        <f aca="false">IF($A69="","",VLOOKUP($A68,Table,MATCH(L$4,Curves,0)))</f>
        <v>#N/A</v>
      </c>
      <c r="M68" s="201" t="e">
        <f aca="false">IF(A69="","",L68)</f>
        <v>#N/A</v>
      </c>
      <c r="N68" s="203"/>
      <c r="O68" s="200" t="e">
        <f aca="false">IF(A69="","",L68+J68+G68)</f>
        <v>#N/A</v>
      </c>
      <c r="P68" s="200" t="e">
        <f aca="false">IF(A69="","",M68+K68+H68)</f>
        <v>#N/A</v>
      </c>
      <c r="Q68" s="204"/>
      <c r="R68" s="200" t="e">
        <f aca="false">IF($A69="","",VLOOKUP($A68,Table,MATCH(R$4,Curves,0)))</f>
        <v>#N/A</v>
      </c>
      <c r="S68" s="201" t="e">
        <f aca="false">IF(A69="","",R68)</f>
        <v>#N/A</v>
      </c>
      <c r="T68" s="200" t="e">
        <f aca="false">IF($A69="","",VLOOKUP($A68,Table,MATCH(T$4,Curves,0)))</f>
        <v>#N/A</v>
      </c>
      <c r="U68" s="201" t="e">
        <f aca="false">IF(A69="","",T68)</f>
        <v>#N/A</v>
      </c>
      <c r="V68" s="183" t="e">
        <f aca="false">IF($A69="","",IF(AND(MONTH(A68)&gt;3,MONTH(A68)&lt;11),(T68+R68+G68)*Summary!$T$8/(1-Summary!$T$8),(T68+R68+G68)*Summary!$U$8/(1-Summary!$U$8)))</f>
        <v>#N/A</v>
      </c>
      <c r="W68" s="200" t="e">
        <f aca="false">IF($A69="","",(T68+R68+G68+V68))</f>
        <v>#N/A</v>
      </c>
      <c r="X68" s="200" t="e">
        <f aca="false">IF($A69="","",(U68+S68+H68+V68))</f>
        <v>#N/A</v>
      </c>
      <c r="Y68" s="202"/>
      <c r="Z68" s="185" t="e">
        <f aca="false">IF($A69="","",VLOOKUP($A68,Table,MATCH(Z$4,Curves,0)))</f>
        <v>#N/A</v>
      </c>
      <c r="AA68" s="185" t="e">
        <f aca="false">IF($A69="","",VLOOKUP($A68,Table,MATCH(AA$4,Curves,0)))</f>
        <v>#N/A</v>
      </c>
      <c r="AB68" s="185" t="e">
        <f aca="false">SQRT((AA68^2*(A68-$D$3)+Z68^2*(DAY(EOMONTH(A68,0))/2))/AK68)</f>
        <v>#N/A</v>
      </c>
      <c r="AC68" s="185" t="e">
        <f aca="false">IF($A69="","",VLOOKUP($A68,Table,MATCH(AC$4,Curves,0)))</f>
        <v>#N/A</v>
      </c>
      <c r="AD68" s="185" t="e">
        <f aca="false">IF($A69="","",VLOOKUP($A68,Table,MATCH(AD$4,Curves,0)))</f>
        <v>#N/A</v>
      </c>
      <c r="AE68" s="185" t="e">
        <f aca="false">SQRT((AD68^2*(A68-$D$3)+AC68^2*(DAY(EOMONTH(A68,0))/2))/AK68)</f>
        <v>#N/A</v>
      </c>
      <c r="AF68" s="224" t="e">
        <f aca="false">((Summary!$N$8*(AA68*AD68)*(A68-$D$3))+(Summary!$M$8*Z68*AC68*(AJ68-EOMONTH(EDATE(A68,-1),0))))/(AK68*AB68*AE68)</f>
        <v>#N/A</v>
      </c>
      <c r="AG68" s="207" t="n">
        <f aca="false">IF($A69="","",Summary!$Q$8)</f>
        <v>0</v>
      </c>
      <c r="AH68" s="207" t="n">
        <f aca="false">IF($A69="","",IF(Summary!$R$8="Y",(VLOOKUP($A68,Summary!$AD$6:$AF$9,3)+'Escalating commodity'!D81),'Escalating commodity'!D81))</f>
        <v>0.0200232</v>
      </c>
      <c r="AI68" s="207" t="n">
        <f aca="false">IF($A69="","",AH68)</f>
        <v>0.0200232</v>
      </c>
      <c r="AJ68" s="208" t="n">
        <f aca="false">A68+DAY(EOMONTH(A68,0))/2-1</f>
        <v>38822</v>
      </c>
      <c r="AK68" s="209" t="n">
        <f aca="false">IF($A69="","",$A68-$E$1)</f>
        <v>-7118</v>
      </c>
      <c r="AL68" s="182" t="e">
        <f aca="false">IF($A69="","",SPRDOPT(P68,X68,AI68,0,AB68,AE68,AF68,AK68,$AJ$2,0))</f>
        <v>#NAME?</v>
      </c>
      <c r="AM68" s="211" t="e">
        <f aca="false">IF($A69="","",MAX(0,O68-W68-AI68))</f>
        <v>#N/A</v>
      </c>
      <c r="AN68" s="211" t="e">
        <f aca="false">IF($A69="","",AL68-AM68)</f>
        <v>#N/A</v>
      </c>
      <c r="AO68" s="137" t="n">
        <f aca="false">IF(A69="","",A69-A68)</f>
        <v>30</v>
      </c>
      <c r="AP68" s="212" t="n">
        <f aca="false">IF(A69="","",CHOOSE(F$3,A69+24,A68))</f>
        <v>38808</v>
      </c>
      <c r="AQ68" s="209" t="n">
        <f aca="false">IF(A69="","",AP68-$E$1)</f>
        <v>-7118</v>
      </c>
      <c r="AR68" s="185" t="n">
        <f aca="false">'ANR OK vs ML7'!AR68</f>
        <v>0.1</v>
      </c>
      <c r="AS68" s="213" t="n">
        <f aca="false">IF(A69="","",1/(1+CHOOSE(F$3,(AR69+($I$3/10000))/2,(AR68+($I$3/10000))/2))^(2*AQ68/365.25))</f>
        <v>6.69691904060972</v>
      </c>
      <c r="AT68" s="137" t="n">
        <f aca="false">IF(A69="","",IF(AND(mthbeg&lt;=A68,mthend&gt;=A68),1,0))</f>
        <v>1</v>
      </c>
      <c r="AU68" s="137" t="n">
        <f aca="false">IF(A69="","",AO68*AT68)</f>
        <v>30</v>
      </c>
      <c r="AW68" s="195" t="e">
        <f aca="false">IF($A69="","",AL68*$E68)</f>
        <v>#NAME?</v>
      </c>
      <c r="AX68" s="195" t="e">
        <f aca="false">IF($A69="","",AM68*$E68)</f>
        <v>#N/A</v>
      </c>
      <c r="AY68" s="195" t="e">
        <f aca="false">IF($A69="","",AN68*$E68)</f>
        <v>#N/A</v>
      </c>
      <c r="BA68" s="195" t="n">
        <f aca="false">IF($A69="","",F68*Summary!$Q$8)</f>
        <v>0</v>
      </c>
      <c r="BC68" s="179" t="e">
        <f aca="false">IF(A69="","",AM68*F68)</f>
        <v>#N/A</v>
      </c>
    </row>
    <row r="69" customFormat="false" ht="12.75" hidden="false" customHeight="false" outlineLevel="0" collapsed="false">
      <c r="A69" s="196" t="n">
        <f aca="false">IF(A68&lt;mthend,EDATE(A68,1),"")</f>
        <v>38838</v>
      </c>
      <c r="B69" s="197" t="n">
        <f aca="false">IF(A69&lt;mthend,B68,0)</f>
        <v>80000</v>
      </c>
      <c r="C69" s="215"/>
      <c r="D69" s="197" t="n">
        <f aca="false">IF(A70&lt;&gt;"",B69+C69,"")</f>
        <v>80000</v>
      </c>
      <c r="E69" s="199" t="n">
        <f aca="false">IF(A70="","",IF(AND(AT69=1,$H$3=1),D69*AO69,IF($H$3=2,D69,"N/A")))</f>
        <v>2480000</v>
      </c>
      <c r="F69" s="199" t="n">
        <f aca="false">IF(A70="","",E69*AS69)</f>
        <v>16475778.3694911</v>
      </c>
      <c r="G69" s="200" t="e">
        <f aca="false">IF($A70="","",VLOOKUP($A69,Table,MATCH(G$4,Curves,0)))</f>
        <v>#N/A</v>
      </c>
      <c r="H69" s="201" t="e">
        <f aca="false">IF(A70="","",G69)</f>
        <v>#N/A</v>
      </c>
      <c r="I69" s="202"/>
      <c r="J69" s="200" t="e">
        <f aca="false">IF($A70="","",VLOOKUP($A69,Table,MATCH(J$4,Curves,0)))</f>
        <v>#N/A</v>
      </c>
      <c r="K69" s="201" t="e">
        <f aca="false">IF(A70="","",J69)</f>
        <v>#N/A</v>
      </c>
      <c r="L69" s="200" t="e">
        <f aca="false">IF($A70="","",VLOOKUP($A69,Table,MATCH(L$4,Curves,0)))</f>
        <v>#N/A</v>
      </c>
      <c r="M69" s="201" t="e">
        <f aca="false">IF(A70="","",L69)</f>
        <v>#N/A</v>
      </c>
      <c r="N69" s="203"/>
      <c r="O69" s="200" t="e">
        <f aca="false">IF(A70="","",L69+J69+G69)</f>
        <v>#N/A</v>
      </c>
      <c r="P69" s="200" t="e">
        <f aca="false">IF(A70="","",M69+K69+H69)</f>
        <v>#N/A</v>
      </c>
      <c r="Q69" s="204"/>
      <c r="R69" s="200" t="e">
        <f aca="false">IF($A70="","",VLOOKUP($A69,Table,MATCH(R$4,Curves,0)))</f>
        <v>#N/A</v>
      </c>
      <c r="S69" s="201" t="e">
        <f aca="false">IF(A70="","",R69)</f>
        <v>#N/A</v>
      </c>
      <c r="T69" s="200" t="e">
        <f aca="false">IF($A70="","",VLOOKUP($A69,Table,MATCH(T$4,Curves,0)))</f>
        <v>#N/A</v>
      </c>
      <c r="U69" s="201" t="e">
        <f aca="false">IF(A70="","",T69)</f>
        <v>#N/A</v>
      </c>
      <c r="V69" s="183" t="e">
        <f aca="false">IF($A70="","",IF(AND(MONTH(A69)&gt;3,MONTH(A69)&lt;11),(T69+R69+G69)*Summary!$T$8/(1-Summary!$T$8),(T69+R69+G69)*Summary!$U$8/(1-Summary!$U$8)))</f>
        <v>#N/A</v>
      </c>
      <c r="W69" s="200" t="e">
        <f aca="false">IF($A70="","",(T69+R69+G69+V69))</f>
        <v>#N/A</v>
      </c>
      <c r="X69" s="200" t="e">
        <f aca="false">IF($A70="","",(U69+S69+H69+V69))</f>
        <v>#N/A</v>
      </c>
      <c r="Y69" s="202"/>
      <c r="Z69" s="185" t="e">
        <f aca="false">IF($A70="","",VLOOKUP($A69,Table,MATCH(Z$4,Curves,0)))</f>
        <v>#N/A</v>
      </c>
      <c r="AA69" s="185" t="e">
        <f aca="false">IF($A70="","",VLOOKUP($A69,Table,MATCH(AA$4,Curves,0)))</f>
        <v>#N/A</v>
      </c>
      <c r="AB69" s="185" t="e">
        <f aca="false">SQRT((AA69^2*(A69-$D$3)+Z69^2*(DAY(EOMONTH(A69,0))/2))/AK69)</f>
        <v>#N/A</v>
      </c>
      <c r="AC69" s="185" t="e">
        <f aca="false">IF($A70="","",VLOOKUP($A69,Table,MATCH(AC$4,Curves,0)))</f>
        <v>#N/A</v>
      </c>
      <c r="AD69" s="185" t="e">
        <f aca="false">IF($A70="","",VLOOKUP($A69,Table,MATCH(AD$4,Curves,0)))</f>
        <v>#N/A</v>
      </c>
      <c r="AE69" s="185" t="e">
        <f aca="false">SQRT((AD69^2*(A69-$D$3)+AC69^2*(DAY(EOMONTH(A69,0))/2))/AK69)</f>
        <v>#N/A</v>
      </c>
      <c r="AF69" s="224" t="e">
        <f aca="false">((Summary!$N$8*(AA69*AD69)*(A69-$D$3))+(Summary!$M$8*Z69*AC69*(AJ69-EOMONTH(EDATE(A69,-1),0))))/(AK69*AB69*AE69)</f>
        <v>#N/A</v>
      </c>
      <c r="AG69" s="207" t="n">
        <f aca="false">IF($A70="","",Summary!$Q$8)</f>
        <v>0</v>
      </c>
      <c r="AH69" s="207" t="n">
        <f aca="false">IF($A70="","",IF(Summary!$R$8="Y",(VLOOKUP($A69,Summary!$AD$6:$AF$9,3)+'Escalating commodity'!D82),'Escalating commodity'!D82))</f>
        <v>0.0200232</v>
      </c>
      <c r="AI69" s="207" t="n">
        <f aca="false">IF($A70="","",AH69)</f>
        <v>0.0200232</v>
      </c>
      <c r="AJ69" s="208" t="n">
        <f aca="false">A69+DAY(EOMONTH(A69,0))/2-1</f>
        <v>38852.5</v>
      </c>
      <c r="AK69" s="209" t="n">
        <f aca="false">IF($A70="","",$A69-$E$1)</f>
        <v>-7088</v>
      </c>
      <c r="AL69" s="182" t="e">
        <f aca="false">IF($A70="","",SPRDOPT(P69,X69,AI69,0,AB69,AE69,AF69,AK69,$AJ$2,0))</f>
        <v>#NAME?</v>
      </c>
      <c r="AM69" s="211" t="e">
        <f aca="false">IF($A70="","",MAX(0,O69-W69-AI69))</f>
        <v>#N/A</v>
      </c>
      <c r="AN69" s="211" t="e">
        <f aca="false">IF($A70="","",AL69-AM69)</f>
        <v>#N/A</v>
      </c>
      <c r="AO69" s="137" t="n">
        <f aca="false">IF(A70="","",A70-A69)</f>
        <v>31</v>
      </c>
      <c r="AP69" s="212" t="n">
        <f aca="false">IF(A70="","",CHOOSE(F$3,A70+24,A69))</f>
        <v>38838</v>
      </c>
      <c r="AQ69" s="209" t="n">
        <f aca="false">IF(A70="","",AP69-$E$1)</f>
        <v>-7088</v>
      </c>
      <c r="AR69" s="185" t="n">
        <f aca="false">'ANR OK vs ML7'!AR69</f>
        <v>0.1</v>
      </c>
      <c r="AS69" s="213" t="n">
        <f aca="false">IF(A70="","",1/(1+CHOOSE(F$3,(AR70+($I$3/10000))/2,(AR69+($I$3/10000))/2))^(2*AQ69/365.25))</f>
        <v>6.64345901995609</v>
      </c>
      <c r="AT69" s="137" t="n">
        <f aca="false">IF(A70="","",IF(AND(mthbeg&lt;=A69,mthend&gt;=A69),1,0))</f>
        <v>1</v>
      </c>
      <c r="AU69" s="137" t="n">
        <f aca="false">IF(A70="","",AO69*AT69)</f>
        <v>31</v>
      </c>
      <c r="AW69" s="195" t="e">
        <f aca="false">IF($A70="","",AL69*$E69)</f>
        <v>#NAME?</v>
      </c>
      <c r="AX69" s="195" t="e">
        <f aca="false">IF($A70="","",AM69*$E69)</f>
        <v>#N/A</v>
      </c>
      <c r="AY69" s="195" t="e">
        <f aca="false">IF($A70="","",AN69*$E69)</f>
        <v>#N/A</v>
      </c>
      <c r="BA69" s="195" t="n">
        <f aca="false">IF($A70="","",F69*Summary!$Q$8)</f>
        <v>0</v>
      </c>
      <c r="BC69" s="179" t="e">
        <f aca="false">IF(A70="","",AM69*F69)</f>
        <v>#N/A</v>
      </c>
    </row>
    <row r="70" customFormat="false" ht="12.75" hidden="false" customHeight="false" outlineLevel="0" collapsed="false">
      <c r="A70" s="196" t="n">
        <f aca="false">IF(A69&lt;mthend,EDATE(A69,1),"")</f>
        <v>38869</v>
      </c>
      <c r="B70" s="197" t="n">
        <f aca="false">IF(A70&lt;mthend,B69,0)</f>
        <v>80000</v>
      </c>
      <c r="C70" s="215"/>
      <c r="D70" s="197" t="n">
        <f aca="false">IF(A71&lt;&gt;"",B70+C70,"")</f>
        <v>80000</v>
      </c>
      <c r="E70" s="199" t="n">
        <f aca="false">IF(A71="","",IF(AND(AT70=1,$H$3=1),D70*AO70,IF($H$3=2,D70,"N/A")))</f>
        <v>2400000</v>
      </c>
      <c r="F70" s="199" t="n">
        <f aca="false">IF(A71="","",E70*AS70)</f>
        <v>15812796.7039979</v>
      </c>
      <c r="G70" s="200" t="e">
        <f aca="false">IF($A71="","",VLOOKUP($A70,Table,MATCH(G$4,Curves,0)))</f>
        <v>#N/A</v>
      </c>
      <c r="H70" s="201" t="e">
        <f aca="false">IF(A71="","",G70)</f>
        <v>#N/A</v>
      </c>
      <c r="I70" s="202"/>
      <c r="J70" s="200" t="e">
        <f aca="false">IF($A71="","",VLOOKUP($A70,Table,MATCH(J$4,Curves,0)))</f>
        <v>#N/A</v>
      </c>
      <c r="K70" s="201" t="e">
        <f aca="false">IF(A71="","",J70)</f>
        <v>#N/A</v>
      </c>
      <c r="L70" s="200" t="e">
        <f aca="false">IF($A71="","",VLOOKUP($A70,Table,MATCH(L$4,Curves,0)))</f>
        <v>#N/A</v>
      </c>
      <c r="M70" s="201" t="e">
        <f aca="false">IF(A71="","",L70)</f>
        <v>#N/A</v>
      </c>
      <c r="N70" s="203"/>
      <c r="O70" s="200" t="e">
        <f aca="false">IF(A71="","",L70+J70+G70)</f>
        <v>#N/A</v>
      </c>
      <c r="P70" s="200" t="e">
        <f aca="false">IF(A71="","",M70+K70+H70)</f>
        <v>#N/A</v>
      </c>
      <c r="Q70" s="204"/>
      <c r="R70" s="200" t="e">
        <f aca="false">IF($A71="","",VLOOKUP($A70,Table,MATCH(R$4,Curves,0)))</f>
        <v>#N/A</v>
      </c>
      <c r="S70" s="201" t="e">
        <f aca="false">IF(A71="","",R70)</f>
        <v>#N/A</v>
      </c>
      <c r="T70" s="200" t="e">
        <f aca="false">IF($A71="","",VLOOKUP($A70,Table,MATCH(T$4,Curves,0)))</f>
        <v>#N/A</v>
      </c>
      <c r="U70" s="201" t="e">
        <f aca="false">IF(A71="","",T70)</f>
        <v>#N/A</v>
      </c>
      <c r="V70" s="183" t="e">
        <f aca="false">IF($A71="","",IF(AND(MONTH(A70)&gt;3,MONTH(A70)&lt;11),(T70+R70+G70)*Summary!$T$8/(1-Summary!$T$8),(T70+R70+G70)*Summary!$U$8/(1-Summary!$U$8)))</f>
        <v>#N/A</v>
      </c>
      <c r="W70" s="200" t="e">
        <f aca="false">IF($A71="","",(T70+R70+G70+V70))</f>
        <v>#N/A</v>
      </c>
      <c r="X70" s="200" t="e">
        <f aca="false">IF($A71="","",(U70+S70+H70+V70))</f>
        <v>#N/A</v>
      </c>
      <c r="Y70" s="202"/>
      <c r="Z70" s="185" t="e">
        <f aca="false">IF($A71="","",VLOOKUP($A70,Table,MATCH(Z$4,Curves,0)))</f>
        <v>#N/A</v>
      </c>
      <c r="AA70" s="185" t="e">
        <f aca="false">IF($A71="","",VLOOKUP($A70,Table,MATCH(AA$4,Curves,0)))</f>
        <v>#N/A</v>
      </c>
      <c r="AB70" s="185" t="e">
        <f aca="false">SQRT((AA70^2*(A70-$D$3)+Z70^2*(DAY(EOMONTH(A70,0))/2))/AK70)</f>
        <v>#N/A</v>
      </c>
      <c r="AC70" s="185" t="e">
        <f aca="false">IF($A71="","",VLOOKUP($A70,Table,MATCH(AC$4,Curves,0)))</f>
        <v>#N/A</v>
      </c>
      <c r="AD70" s="185" t="e">
        <f aca="false">IF($A71="","",VLOOKUP($A70,Table,MATCH(AD$4,Curves,0)))</f>
        <v>#N/A</v>
      </c>
      <c r="AE70" s="185" t="e">
        <f aca="false">SQRT((AD70^2*(A70-$D$3)+AC70^2*(DAY(EOMONTH(A70,0))/2))/AK70)</f>
        <v>#N/A</v>
      </c>
      <c r="AF70" s="224" t="e">
        <f aca="false">((Summary!$N$8*(AA70*AD70)*(A70-$D$3))+(Summary!$M$8*Z70*AC70*(AJ70-EOMONTH(EDATE(A70,-1),0))))/(AK70*AB70*AE70)</f>
        <v>#N/A</v>
      </c>
      <c r="AG70" s="207" t="n">
        <f aca="false">IF($A71="","",Summary!$Q$8)</f>
        <v>0</v>
      </c>
      <c r="AH70" s="207" t="n">
        <f aca="false">IF($A71="","",IF(Summary!$R$8="Y",(VLOOKUP($A70,Summary!$AD$6:$AF$9,3)+'Escalating commodity'!D83),'Escalating commodity'!D83))</f>
        <v>0.0200232</v>
      </c>
      <c r="AI70" s="207" t="n">
        <f aca="false">IF($A71="","",AH70)</f>
        <v>0.0200232</v>
      </c>
      <c r="AJ70" s="208" t="n">
        <f aca="false">A70+DAY(EOMONTH(A70,0))/2-1</f>
        <v>38883</v>
      </c>
      <c r="AK70" s="209" t="n">
        <f aca="false">IF($A71="","",$A70-$E$1)</f>
        <v>-7057</v>
      </c>
      <c r="AL70" s="182" t="e">
        <f aca="false">IF($A71="","",SPRDOPT(P70,X70,AI70,0,AB70,AE70,AF70,AK70,$AJ$2,0))</f>
        <v>#NAME?</v>
      </c>
      <c r="AM70" s="211" t="e">
        <f aca="false">IF($A71="","",MAX(0,O70-W70-AI70))</f>
        <v>#N/A</v>
      </c>
      <c r="AN70" s="211" t="e">
        <f aca="false">IF($A71="","",AL70-AM70)</f>
        <v>#N/A</v>
      </c>
      <c r="AO70" s="137" t="n">
        <f aca="false">IF(A71="","",A71-A70)</f>
        <v>30</v>
      </c>
      <c r="AP70" s="212" t="n">
        <f aca="false">IF(A71="","",CHOOSE(F$3,A71+24,A70))</f>
        <v>38869</v>
      </c>
      <c r="AQ70" s="209" t="n">
        <f aca="false">IF(A71="","",AP70-$E$1)</f>
        <v>-7057</v>
      </c>
      <c r="AR70" s="185" t="n">
        <f aca="false">'ANR OK vs ML7'!AR70</f>
        <v>0.1</v>
      </c>
      <c r="AS70" s="213" t="n">
        <f aca="false">IF(A71="","",1/(1+CHOOSE(F$3,(AR71+($I$3/10000))/2,(AR70+($I$3/10000))/2))^(2*AQ70/365.25))</f>
        <v>6.58866529333244</v>
      </c>
      <c r="AT70" s="137" t="n">
        <f aca="false">IF(A71="","",IF(AND(mthbeg&lt;=A70,mthend&gt;=A70),1,0))</f>
        <v>1</v>
      </c>
      <c r="AU70" s="137" t="n">
        <f aca="false">IF(A71="","",AO70*AT70)</f>
        <v>30</v>
      </c>
      <c r="AW70" s="195" t="e">
        <f aca="false">IF($A71="","",AL70*$E70)</f>
        <v>#NAME?</v>
      </c>
      <c r="AX70" s="195" t="e">
        <f aca="false">IF($A71="","",AM70*$E70)</f>
        <v>#N/A</v>
      </c>
      <c r="AY70" s="195" t="e">
        <f aca="false">IF($A71="","",AN70*$E70)</f>
        <v>#N/A</v>
      </c>
      <c r="BA70" s="195" t="n">
        <f aca="false">IF($A71="","",F70*Summary!$Q$8)</f>
        <v>0</v>
      </c>
      <c r="BC70" s="179" t="e">
        <f aca="false">IF(A71="","",AM70*F70)</f>
        <v>#N/A</v>
      </c>
    </row>
    <row r="71" customFormat="false" ht="12.75" hidden="false" customHeight="false" outlineLevel="0" collapsed="false">
      <c r="A71" s="196" t="n">
        <f aca="false">IF(A70&lt;mthend,EDATE(A70,1),"")</f>
        <v>38899</v>
      </c>
      <c r="B71" s="197" t="n">
        <f aca="false">IF(A71&lt;mthend,B70,0)</f>
        <v>80000</v>
      </c>
      <c r="C71" s="215"/>
      <c r="D71" s="197" t="n">
        <f aca="false">IF(A72&lt;&gt;"",B71+C71,"")</f>
        <v>80000</v>
      </c>
      <c r="E71" s="199" t="n">
        <f aca="false">IF(A72="","",IF(AND(AT71=1,$H$3=1),D71*AO71,IF($H$3=2,D71,"N/A")))</f>
        <v>2480000</v>
      </c>
      <c r="F71" s="199" t="n">
        <f aca="false">IF(A72="","",E71*AS71)</f>
        <v>16209452.2071182</v>
      </c>
      <c r="G71" s="200" t="e">
        <f aca="false">IF($A72="","",VLOOKUP($A71,Table,MATCH(G$4,Curves,0)))</f>
        <v>#N/A</v>
      </c>
      <c r="H71" s="201" t="e">
        <f aca="false">IF(A72="","",G71)</f>
        <v>#N/A</v>
      </c>
      <c r="I71" s="202"/>
      <c r="J71" s="200" t="e">
        <f aca="false">IF($A72="","",VLOOKUP($A71,Table,MATCH(J$4,Curves,0)))</f>
        <v>#N/A</v>
      </c>
      <c r="K71" s="201" t="e">
        <f aca="false">IF(A72="","",J71)</f>
        <v>#N/A</v>
      </c>
      <c r="L71" s="200" t="e">
        <f aca="false">IF($A72="","",VLOOKUP($A71,Table,MATCH(L$4,Curves,0)))</f>
        <v>#N/A</v>
      </c>
      <c r="M71" s="201" t="e">
        <f aca="false">IF(A72="","",L71)</f>
        <v>#N/A</v>
      </c>
      <c r="N71" s="203"/>
      <c r="O71" s="200" t="e">
        <f aca="false">IF(A72="","",L71+J71+G71)</f>
        <v>#N/A</v>
      </c>
      <c r="P71" s="200" t="e">
        <f aca="false">IF(A72="","",M71+K71+H71)</f>
        <v>#N/A</v>
      </c>
      <c r="Q71" s="204"/>
      <c r="R71" s="200" t="e">
        <f aca="false">IF($A72="","",VLOOKUP($A71,Table,MATCH(R$4,Curves,0)))</f>
        <v>#N/A</v>
      </c>
      <c r="S71" s="201" t="e">
        <f aca="false">IF(A72="","",R71)</f>
        <v>#N/A</v>
      </c>
      <c r="T71" s="200" t="e">
        <f aca="false">IF($A72="","",VLOOKUP($A71,Table,MATCH(T$4,Curves,0)))</f>
        <v>#N/A</v>
      </c>
      <c r="U71" s="201" t="e">
        <f aca="false">IF(A72="","",T71)</f>
        <v>#N/A</v>
      </c>
      <c r="V71" s="183" t="e">
        <f aca="false">IF($A72="","",IF(AND(MONTH(A71)&gt;3,MONTH(A71)&lt;11),(T71+R71+G71)*Summary!$T$8/(1-Summary!$T$8),(T71+R71+G71)*Summary!$U$8/(1-Summary!$U$8)))</f>
        <v>#N/A</v>
      </c>
      <c r="W71" s="200" t="e">
        <f aca="false">IF($A72="","",(T71+R71+G71+V71))</f>
        <v>#N/A</v>
      </c>
      <c r="X71" s="200" t="e">
        <f aca="false">IF($A72="","",(U71+S71+H71+V71))</f>
        <v>#N/A</v>
      </c>
      <c r="Y71" s="202"/>
      <c r="Z71" s="185" t="e">
        <f aca="false">IF($A72="","",VLOOKUP($A71,Table,MATCH(Z$4,Curves,0)))</f>
        <v>#N/A</v>
      </c>
      <c r="AA71" s="185" t="e">
        <f aca="false">IF($A72="","",VLOOKUP($A71,Table,MATCH(AA$4,Curves,0)))</f>
        <v>#N/A</v>
      </c>
      <c r="AB71" s="185" t="e">
        <f aca="false">SQRT((AA71^2*(A71-$D$3)+Z71^2*(DAY(EOMONTH(A71,0))/2))/AK71)</f>
        <v>#N/A</v>
      </c>
      <c r="AC71" s="185" t="e">
        <f aca="false">IF($A72="","",VLOOKUP($A71,Table,MATCH(AC$4,Curves,0)))</f>
        <v>#N/A</v>
      </c>
      <c r="AD71" s="185" t="e">
        <f aca="false">IF($A72="","",VLOOKUP($A71,Table,MATCH(AD$4,Curves,0)))</f>
        <v>#N/A</v>
      </c>
      <c r="AE71" s="185" t="e">
        <f aca="false">SQRT((AD71^2*(A71-$D$3)+AC71^2*(DAY(EOMONTH(A71,0))/2))/AK71)</f>
        <v>#N/A</v>
      </c>
      <c r="AF71" s="224" t="e">
        <f aca="false">((Summary!$N$8*(AA71*AD71)*(A71-$D$3))+(Summary!$M$8*Z71*AC71*(AJ71-EOMONTH(EDATE(A71,-1),0))))/(AK71*AB71*AE71)</f>
        <v>#N/A</v>
      </c>
      <c r="AG71" s="207" t="n">
        <f aca="false">IF($A72="","",Summary!$Q$8)</f>
        <v>0</v>
      </c>
      <c r="AH71" s="207" t="n">
        <f aca="false">IF($A72="","",IF(Summary!$R$8="Y",(VLOOKUP($A71,Summary!$AD$6:$AF$9,3)+'Escalating commodity'!D84),'Escalating commodity'!D84))</f>
        <v>0.0200232</v>
      </c>
      <c r="AI71" s="207" t="n">
        <f aca="false">IF($A72="","",AH71)</f>
        <v>0.0200232</v>
      </c>
      <c r="AJ71" s="208" t="n">
        <f aca="false">A71+DAY(EOMONTH(A71,0))/2-1</f>
        <v>38913.5</v>
      </c>
      <c r="AK71" s="209" t="n">
        <f aca="false">IF($A72="","",$A71-$E$1)</f>
        <v>-7027</v>
      </c>
      <c r="AL71" s="182" t="e">
        <f aca="false">IF($A72="","",SPRDOPT(P71,X71,AI71,0,AB71,AE71,AF71,AK71,$AJ$2,0))</f>
        <v>#NAME?</v>
      </c>
      <c r="AM71" s="211" t="e">
        <f aca="false">IF($A72="","",MAX(0,O71-W71-AI71))</f>
        <v>#N/A</v>
      </c>
      <c r="AN71" s="211" t="e">
        <f aca="false">IF($A72="","",AL71-AM71)</f>
        <v>#N/A</v>
      </c>
      <c r="AO71" s="137" t="n">
        <f aca="false">IF(A72="","",A72-A71)</f>
        <v>31</v>
      </c>
      <c r="AP71" s="212" t="n">
        <f aca="false">IF(A72="","",CHOOSE(F$3,A72+24,A71))</f>
        <v>38899</v>
      </c>
      <c r="AQ71" s="209" t="n">
        <f aca="false">IF(A72="","",AP71-$E$1)</f>
        <v>-7027</v>
      </c>
      <c r="AR71" s="185" t="n">
        <f aca="false">'ANR OK vs ML7'!AR71</f>
        <v>0.1</v>
      </c>
      <c r="AS71" s="213" t="n">
        <f aca="false">IF(A72="","",1/(1+CHOOSE(F$3,(AR72+($I$3/10000))/2,(AR71+($I$3/10000))/2))^(2*AQ71/365.25))</f>
        <v>6.53606943835413</v>
      </c>
      <c r="AT71" s="137" t="n">
        <f aca="false">IF(A72="","",IF(AND(mthbeg&lt;=A71,mthend&gt;=A71),1,0))</f>
        <v>1</v>
      </c>
      <c r="AU71" s="137" t="n">
        <f aca="false">IF(A72="","",AO71*AT71)</f>
        <v>31</v>
      </c>
      <c r="AW71" s="195" t="e">
        <f aca="false">IF($A72="","",AL71*$E71)</f>
        <v>#NAME?</v>
      </c>
      <c r="AX71" s="195" t="e">
        <f aca="false">IF($A72="","",AM71*$E71)</f>
        <v>#N/A</v>
      </c>
      <c r="AY71" s="195" t="e">
        <f aca="false">IF($A72="","",AN71*$E71)</f>
        <v>#N/A</v>
      </c>
      <c r="BA71" s="195" t="n">
        <f aca="false">IF($A72="","",F71*Summary!$Q$8)</f>
        <v>0</v>
      </c>
      <c r="BC71" s="179" t="e">
        <f aca="false">IF(A72="","",AM71*F71)</f>
        <v>#N/A</v>
      </c>
    </row>
    <row r="72" customFormat="false" ht="12.75" hidden="false" customHeight="false" outlineLevel="0" collapsed="false">
      <c r="A72" s="196" t="n">
        <f aca="false">IF(A71&lt;mthend,EDATE(A71,1),"")</f>
        <v>38930</v>
      </c>
      <c r="B72" s="197" t="n">
        <f aca="false">IF(A72&lt;mthend,B71,0)</f>
        <v>80000</v>
      </c>
      <c r="C72" s="215"/>
      <c r="D72" s="197" t="n">
        <f aca="false">IF(A73&lt;&gt;"",B72+C72,"")</f>
        <v>80000</v>
      </c>
      <c r="E72" s="199" t="n">
        <f aca="false">IF(A73="","",IF(AND(AT72=1,$H$3=1),D72*AO72,IF($H$3=2,D72,"N/A")))</f>
        <v>2480000</v>
      </c>
      <c r="F72" s="199" t="n">
        <f aca="false">IF(A73="","",E72*AS72)</f>
        <v>16075760.3622091</v>
      </c>
      <c r="G72" s="200" t="e">
        <f aca="false">IF($A73="","",VLOOKUP($A72,Table,MATCH(G$4,Curves,0)))</f>
        <v>#N/A</v>
      </c>
      <c r="H72" s="201" t="e">
        <f aca="false">IF(A73="","",G72)</f>
        <v>#N/A</v>
      </c>
      <c r="I72" s="202"/>
      <c r="J72" s="200" t="e">
        <f aca="false">IF($A73="","",VLOOKUP($A72,Table,MATCH(J$4,Curves,0)))</f>
        <v>#N/A</v>
      </c>
      <c r="K72" s="201" t="e">
        <f aca="false">IF(A73="","",J72)</f>
        <v>#N/A</v>
      </c>
      <c r="L72" s="200" t="e">
        <f aca="false">IF($A73="","",VLOOKUP($A72,Table,MATCH(L$4,Curves,0)))</f>
        <v>#N/A</v>
      </c>
      <c r="M72" s="201" t="e">
        <f aca="false">IF(A73="","",L72)</f>
        <v>#N/A</v>
      </c>
      <c r="N72" s="203"/>
      <c r="O72" s="200" t="e">
        <f aca="false">IF(A73="","",L72+J72+G72)</f>
        <v>#N/A</v>
      </c>
      <c r="P72" s="200" t="e">
        <f aca="false">IF(A73="","",M72+K72+H72)</f>
        <v>#N/A</v>
      </c>
      <c r="Q72" s="204"/>
      <c r="R72" s="200" t="e">
        <f aca="false">IF($A73="","",VLOOKUP($A72,Table,MATCH(R$4,Curves,0)))</f>
        <v>#N/A</v>
      </c>
      <c r="S72" s="201" t="e">
        <f aca="false">IF(A73="","",R72)</f>
        <v>#N/A</v>
      </c>
      <c r="T72" s="200" t="e">
        <f aca="false">IF($A73="","",VLOOKUP($A72,Table,MATCH(T$4,Curves,0)))</f>
        <v>#N/A</v>
      </c>
      <c r="U72" s="201" t="e">
        <f aca="false">IF(A73="","",T72)</f>
        <v>#N/A</v>
      </c>
      <c r="V72" s="183" t="e">
        <f aca="false">IF($A73="","",IF(AND(MONTH(A72)&gt;3,MONTH(A72)&lt;11),(T72+R72+G72)*Summary!$T$8/(1-Summary!$T$8),(T72+R72+G72)*Summary!$U$8/(1-Summary!$U$8)))</f>
        <v>#N/A</v>
      </c>
      <c r="W72" s="200" t="e">
        <f aca="false">IF($A73="","",(T72+R72+G72+V72))</f>
        <v>#N/A</v>
      </c>
      <c r="X72" s="200" t="e">
        <f aca="false">IF($A73="","",(U72+S72+H72+V72))</f>
        <v>#N/A</v>
      </c>
      <c r="Y72" s="202"/>
      <c r="Z72" s="185" t="e">
        <f aca="false">IF($A73="","",VLOOKUP($A72,Table,MATCH(Z$4,Curves,0)))</f>
        <v>#N/A</v>
      </c>
      <c r="AA72" s="185" t="e">
        <f aca="false">IF($A73="","",VLOOKUP($A72,Table,MATCH(AA$4,Curves,0)))</f>
        <v>#N/A</v>
      </c>
      <c r="AB72" s="185" t="e">
        <f aca="false">SQRT((AA72^2*(A72-$D$3)+Z72^2*(DAY(EOMONTH(A72,0))/2))/AK72)</f>
        <v>#N/A</v>
      </c>
      <c r="AC72" s="185" t="e">
        <f aca="false">IF($A73="","",VLOOKUP($A72,Table,MATCH(AC$4,Curves,0)))</f>
        <v>#N/A</v>
      </c>
      <c r="AD72" s="185" t="e">
        <f aca="false">IF($A73="","",VLOOKUP($A72,Table,MATCH(AD$4,Curves,0)))</f>
        <v>#N/A</v>
      </c>
      <c r="AE72" s="185" t="e">
        <f aca="false">SQRT((AD72^2*(A72-$D$3)+AC72^2*(DAY(EOMONTH(A72,0))/2))/AK72)</f>
        <v>#N/A</v>
      </c>
      <c r="AF72" s="224" t="e">
        <f aca="false">((Summary!$N$8*(AA72*AD72)*(A72-$D$3))+(Summary!$M$8*Z72*AC72*(AJ72-EOMONTH(EDATE(A72,-1),0))))/(AK72*AB72*AE72)</f>
        <v>#N/A</v>
      </c>
      <c r="AG72" s="207" t="n">
        <f aca="false">IF($A73="","",Summary!$Q$8)</f>
        <v>0</v>
      </c>
      <c r="AH72" s="207" t="n">
        <f aca="false">IF($A73="","",IF(Summary!$R$8="Y",(VLOOKUP($A72,Summary!$AD$6:$AF$9,3)+'Escalating commodity'!D85),'Escalating commodity'!D85))</f>
        <v>0.0200232</v>
      </c>
      <c r="AI72" s="207" t="n">
        <f aca="false">IF($A73="","",AH72)</f>
        <v>0.0200232</v>
      </c>
      <c r="AJ72" s="208" t="n">
        <f aca="false">A72+DAY(EOMONTH(A72,0))/2-1</f>
        <v>38944.5</v>
      </c>
      <c r="AK72" s="209" t="n">
        <f aca="false">IF($A73="","",$A72-$E$1)</f>
        <v>-6996</v>
      </c>
      <c r="AL72" s="182" t="e">
        <f aca="false">IF($A73="","",SPRDOPT(P72,X72,AI72,0,AB72,AE72,AF72,AK72,$AJ$2,0))</f>
        <v>#NAME?</v>
      </c>
      <c r="AM72" s="211" t="e">
        <f aca="false">IF($A73="","",MAX(0,O72-W72-AI72))</f>
        <v>#N/A</v>
      </c>
      <c r="AN72" s="211" t="e">
        <f aca="false">IF($A73="","",AL72-AM72)</f>
        <v>#N/A</v>
      </c>
      <c r="AO72" s="137" t="n">
        <f aca="false">IF(A73="","",A73-A72)</f>
        <v>31</v>
      </c>
      <c r="AP72" s="212" t="n">
        <f aca="false">IF(A73="","",CHOOSE(F$3,A73+24,A72))</f>
        <v>38930</v>
      </c>
      <c r="AQ72" s="209" t="n">
        <f aca="false">IF(A73="","",AP72-$E$1)</f>
        <v>-6996</v>
      </c>
      <c r="AR72" s="185" t="n">
        <f aca="false">'ANR OK vs ML7'!AR72</f>
        <v>0.1</v>
      </c>
      <c r="AS72" s="213" t="n">
        <f aca="false">IF(A73="","",1/(1+CHOOSE(F$3,(AR73+($I$3/10000))/2,(AR72+($I$3/10000))/2))^(2*AQ72/365.25))</f>
        <v>6.48216143637465</v>
      </c>
      <c r="AT72" s="137" t="n">
        <f aca="false">IF(A73="","",IF(AND(mthbeg&lt;=A72,mthend&gt;=A72),1,0))</f>
        <v>1</v>
      </c>
      <c r="AU72" s="137" t="n">
        <f aca="false">IF(A73="","",AO72*AT72)</f>
        <v>31</v>
      </c>
      <c r="AW72" s="195" t="e">
        <f aca="false">IF($A73="","",AL72*$E72)</f>
        <v>#NAME?</v>
      </c>
      <c r="AX72" s="195" t="e">
        <f aca="false">IF($A73="","",AM72*$E72)</f>
        <v>#N/A</v>
      </c>
      <c r="AY72" s="195" t="e">
        <f aca="false">IF($A73="","",AN72*$E72)</f>
        <v>#N/A</v>
      </c>
      <c r="BA72" s="195" t="n">
        <f aca="false">IF($A73="","",F72*Summary!$Q$8)</f>
        <v>0</v>
      </c>
      <c r="BC72" s="179" t="e">
        <f aca="false">IF(A73="","",AM72*F72)</f>
        <v>#N/A</v>
      </c>
    </row>
    <row r="73" customFormat="false" ht="12.75" hidden="false" customHeight="false" outlineLevel="0" collapsed="false">
      <c r="A73" s="196" t="n">
        <f aca="false">IF(A72&lt;mthend,EDATE(A72,1),"")</f>
        <v>38961</v>
      </c>
      <c r="B73" s="197" t="n">
        <f aca="false">IF(A73&lt;mthend,B72,0)</f>
        <v>80000</v>
      </c>
      <c r="C73" s="215"/>
      <c r="D73" s="197" t="n">
        <f aca="false">IF(A74&lt;&gt;"",B73+C73,"")</f>
        <v>80000</v>
      </c>
      <c r="E73" s="199" t="n">
        <f aca="false">IF(A74="","",IF(AND(AT73=1,$H$3=1),D73*AO73,IF($H$3=2,D73,"N/A")))</f>
        <v>2400000</v>
      </c>
      <c r="F73" s="199" t="n">
        <f aca="false">IF(A74="","",E73*AS73)</f>
        <v>15428875.332562</v>
      </c>
      <c r="G73" s="200" t="e">
        <f aca="false">IF($A74="","",VLOOKUP($A73,Table,MATCH(G$4,Curves,0)))</f>
        <v>#N/A</v>
      </c>
      <c r="H73" s="201" t="e">
        <f aca="false">IF(A74="","",G73)</f>
        <v>#N/A</v>
      </c>
      <c r="I73" s="202"/>
      <c r="J73" s="200" t="e">
        <f aca="false">IF($A74="","",VLOOKUP($A73,Table,MATCH(J$4,Curves,0)))</f>
        <v>#N/A</v>
      </c>
      <c r="K73" s="201" t="e">
        <f aca="false">IF(A74="","",J73)</f>
        <v>#N/A</v>
      </c>
      <c r="L73" s="200" t="e">
        <f aca="false">IF($A74="","",VLOOKUP($A73,Table,MATCH(L$4,Curves,0)))</f>
        <v>#N/A</v>
      </c>
      <c r="M73" s="201" t="e">
        <f aca="false">IF(A74="","",L73)</f>
        <v>#N/A</v>
      </c>
      <c r="N73" s="203"/>
      <c r="O73" s="200" t="e">
        <f aca="false">IF(A74="","",L73+J73+G73)</f>
        <v>#N/A</v>
      </c>
      <c r="P73" s="200" t="e">
        <f aca="false">IF(A74="","",M73+K73+H73)</f>
        <v>#N/A</v>
      </c>
      <c r="Q73" s="204"/>
      <c r="R73" s="200" t="e">
        <f aca="false">IF($A74="","",VLOOKUP($A73,Table,MATCH(R$4,Curves,0)))</f>
        <v>#N/A</v>
      </c>
      <c r="S73" s="201" t="e">
        <f aca="false">IF(A74="","",R73)</f>
        <v>#N/A</v>
      </c>
      <c r="T73" s="200" t="e">
        <f aca="false">IF($A74="","",VLOOKUP($A73,Table,MATCH(T$4,Curves,0)))</f>
        <v>#N/A</v>
      </c>
      <c r="U73" s="201" t="e">
        <f aca="false">IF(A74="","",T73)</f>
        <v>#N/A</v>
      </c>
      <c r="V73" s="183" t="e">
        <f aca="false">IF($A74="","",IF(AND(MONTH(A73)&gt;3,MONTH(A73)&lt;11),(T73+R73+G73)*Summary!$T$8/(1-Summary!$T$8),(T73+R73+G73)*Summary!$U$8/(1-Summary!$U$8)))</f>
        <v>#N/A</v>
      </c>
      <c r="W73" s="200" t="e">
        <f aca="false">IF($A74="","",(T73+R73+G73+V73))</f>
        <v>#N/A</v>
      </c>
      <c r="X73" s="200" t="e">
        <f aca="false">IF($A74="","",(U73+S73+H73+V73))</f>
        <v>#N/A</v>
      </c>
      <c r="Y73" s="202"/>
      <c r="Z73" s="185" t="e">
        <f aca="false">IF($A74="","",VLOOKUP($A73,Table,MATCH(Z$4,Curves,0)))</f>
        <v>#N/A</v>
      </c>
      <c r="AA73" s="185" t="e">
        <f aca="false">IF($A74="","",VLOOKUP($A73,Table,MATCH(AA$4,Curves,0)))</f>
        <v>#N/A</v>
      </c>
      <c r="AB73" s="185" t="e">
        <f aca="false">SQRT((AA73^2*(A73-$D$3)+Z73^2*(DAY(EOMONTH(A73,0))/2))/AK73)</f>
        <v>#N/A</v>
      </c>
      <c r="AC73" s="185" t="e">
        <f aca="false">IF($A74="","",VLOOKUP($A73,Table,MATCH(AC$4,Curves,0)))</f>
        <v>#N/A</v>
      </c>
      <c r="AD73" s="185" t="e">
        <f aca="false">IF($A74="","",VLOOKUP($A73,Table,MATCH(AD$4,Curves,0)))</f>
        <v>#N/A</v>
      </c>
      <c r="AE73" s="185" t="e">
        <f aca="false">SQRT((AD73^2*(A73-$D$3)+AC73^2*(DAY(EOMONTH(A73,0))/2))/AK73)</f>
        <v>#N/A</v>
      </c>
      <c r="AF73" s="224" t="e">
        <f aca="false">((Summary!$N$8*(AA73*AD73)*(A73-$D$3))+(Summary!$M$8*Z73*AC73*(AJ73-EOMONTH(EDATE(A73,-1),0))))/(AK73*AB73*AE73)</f>
        <v>#N/A</v>
      </c>
      <c r="AG73" s="207" t="n">
        <f aca="false">IF($A74="","",Summary!$Q$8)</f>
        <v>0</v>
      </c>
      <c r="AH73" s="207" t="n">
        <f aca="false">IF($A74="","",IF(Summary!$R$8="Y",(VLOOKUP($A73,Summary!$AD$6:$AF$9,3)+'Escalating commodity'!D86),'Escalating commodity'!D86))</f>
        <v>0.0200232</v>
      </c>
      <c r="AI73" s="207" t="n">
        <f aca="false">IF($A74="","",AH73)</f>
        <v>0.0200232</v>
      </c>
      <c r="AJ73" s="208" t="n">
        <f aca="false">A73+DAY(EOMONTH(A73,0))/2-1</f>
        <v>38975</v>
      </c>
      <c r="AK73" s="209" t="n">
        <f aca="false">IF($A74="","",$A73-$E$1)</f>
        <v>-6965</v>
      </c>
      <c r="AL73" s="182" t="e">
        <f aca="false">IF($A74="","",SPRDOPT(P73,X73,AI73,0,AB73,AE73,AF73,AK73,$AJ$2,0))</f>
        <v>#NAME?</v>
      </c>
      <c r="AM73" s="211" t="e">
        <f aca="false">IF($A74="","",MAX(0,O73-W73-AI73))</f>
        <v>#N/A</v>
      </c>
      <c r="AN73" s="211" t="e">
        <f aca="false">IF($A74="","",AL73-AM73)</f>
        <v>#N/A</v>
      </c>
      <c r="AO73" s="137" t="n">
        <f aca="false">IF(A74="","",A74-A73)</f>
        <v>30</v>
      </c>
      <c r="AP73" s="212" t="n">
        <f aca="false">IF(A74="","",CHOOSE(F$3,A74+24,A73))</f>
        <v>38961</v>
      </c>
      <c r="AQ73" s="209" t="n">
        <f aca="false">IF(A74="","",AP73-$E$1)</f>
        <v>-6965</v>
      </c>
      <c r="AR73" s="185" t="n">
        <f aca="false">'ANR OK vs ML7'!AR73</f>
        <v>0.1</v>
      </c>
      <c r="AS73" s="213" t="n">
        <f aca="false">IF(A74="","",1/(1+CHOOSE(F$3,(AR74+($I$3/10000))/2,(AR73+($I$3/10000))/2))^(2*AQ73/365.25))</f>
        <v>6.42869805523417</v>
      </c>
      <c r="AT73" s="137" t="n">
        <f aca="false">IF(A74="","",IF(AND(mthbeg&lt;=A73,mthend&gt;=A73),1,0))</f>
        <v>1</v>
      </c>
      <c r="AU73" s="137" t="n">
        <f aca="false">IF(A74="","",AO73*AT73)</f>
        <v>30</v>
      </c>
      <c r="AW73" s="195" t="e">
        <f aca="false">IF($A74="","",AL73*$E73)</f>
        <v>#NAME?</v>
      </c>
      <c r="AX73" s="195" t="e">
        <f aca="false">IF($A74="","",AM73*$E73)</f>
        <v>#N/A</v>
      </c>
      <c r="AY73" s="195" t="e">
        <f aca="false">IF($A74="","",AN73*$E73)</f>
        <v>#N/A</v>
      </c>
      <c r="BA73" s="195" t="n">
        <f aca="false">IF($A74="","",F73*Summary!$Q$8)</f>
        <v>0</v>
      </c>
      <c r="BC73" s="179" t="e">
        <f aca="false">IF(A74="","",AM73*F73)</f>
        <v>#N/A</v>
      </c>
    </row>
    <row r="74" customFormat="false" ht="12.75" hidden="false" customHeight="false" outlineLevel="0" collapsed="false">
      <c r="A74" s="196" t="n">
        <f aca="false">IF(A73&lt;mthend,EDATE(A73,1),"")</f>
        <v>38991</v>
      </c>
      <c r="B74" s="197" t="n">
        <f aca="false">IF(A74&lt;mthend,B73,0)</f>
        <v>80000</v>
      </c>
      <c r="C74" s="215"/>
      <c r="D74" s="197" t="n">
        <f aca="false">IF(A75&lt;&gt;"",B74+C74,"")</f>
        <v>80000</v>
      </c>
      <c r="E74" s="199" t="n">
        <f aca="false">IF(A75="","",IF(AND(AT74=1,$H$3=1),D74*AO74,IF($H$3=2,D74,"N/A")))</f>
        <v>2480000</v>
      </c>
      <c r="F74" s="199" t="n">
        <f aca="false">IF(A75="","",E74*AS74)</f>
        <v>15815900.3745062</v>
      </c>
      <c r="G74" s="200" t="e">
        <f aca="false">IF($A75="","",VLOOKUP($A74,Table,MATCH(G$4,Curves,0)))</f>
        <v>#N/A</v>
      </c>
      <c r="H74" s="201" t="e">
        <f aca="false">IF(A75="","",G74)</f>
        <v>#N/A</v>
      </c>
      <c r="I74" s="202"/>
      <c r="J74" s="200" t="e">
        <f aca="false">IF($A75="","",VLOOKUP($A74,Table,MATCH(J$4,Curves,0)))</f>
        <v>#N/A</v>
      </c>
      <c r="K74" s="201" t="e">
        <f aca="false">IF(A75="","",J74)</f>
        <v>#N/A</v>
      </c>
      <c r="L74" s="200" t="e">
        <f aca="false">IF($A75="","",VLOOKUP($A74,Table,MATCH(L$4,Curves,0)))</f>
        <v>#N/A</v>
      </c>
      <c r="M74" s="201" t="e">
        <f aca="false">IF(A75="","",L74)</f>
        <v>#N/A</v>
      </c>
      <c r="N74" s="203"/>
      <c r="O74" s="200" t="e">
        <f aca="false">IF(A75="","",L74+J74+G74)</f>
        <v>#N/A</v>
      </c>
      <c r="P74" s="200" t="e">
        <f aca="false">IF(A75="","",M74+K74+H74)</f>
        <v>#N/A</v>
      </c>
      <c r="Q74" s="204"/>
      <c r="R74" s="200" t="e">
        <f aca="false">IF($A75="","",VLOOKUP($A74,Table,MATCH(R$4,Curves,0)))</f>
        <v>#N/A</v>
      </c>
      <c r="S74" s="201" t="e">
        <f aca="false">IF(A75="","",R74)</f>
        <v>#N/A</v>
      </c>
      <c r="T74" s="200" t="e">
        <f aca="false">IF($A75="","",VLOOKUP($A74,Table,MATCH(T$4,Curves,0)))</f>
        <v>#N/A</v>
      </c>
      <c r="U74" s="201" t="e">
        <f aca="false">IF(A75="","",T74)</f>
        <v>#N/A</v>
      </c>
      <c r="V74" s="183" t="e">
        <f aca="false">IF($A75="","",IF(AND(MONTH(A74)&gt;3,MONTH(A74)&lt;11),(T74+R74+G74)*Summary!$T$8/(1-Summary!$T$8),(T74+R74+G74)*Summary!$U$8/(1-Summary!$U$8)))</f>
        <v>#N/A</v>
      </c>
      <c r="W74" s="200" t="e">
        <f aca="false">IF($A75="","",(T74+R74+G74+V74))</f>
        <v>#N/A</v>
      </c>
      <c r="X74" s="200" t="e">
        <f aca="false">IF($A75="","",(U74+S74+H74+V74))</f>
        <v>#N/A</v>
      </c>
      <c r="Y74" s="202"/>
      <c r="Z74" s="185" t="e">
        <f aca="false">IF($A75="","",VLOOKUP($A74,Table,MATCH(Z$4,Curves,0)))</f>
        <v>#N/A</v>
      </c>
      <c r="AA74" s="185" t="e">
        <f aca="false">IF($A75="","",VLOOKUP($A74,Table,MATCH(AA$4,Curves,0)))</f>
        <v>#N/A</v>
      </c>
      <c r="AB74" s="185" t="e">
        <f aca="false">SQRT((AA74^2*(A74-$D$3)+Z74^2*(DAY(EOMONTH(A74,0))/2))/AK74)</f>
        <v>#N/A</v>
      </c>
      <c r="AC74" s="185" t="e">
        <f aca="false">IF($A75="","",VLOOKUP($A74,Table,MATCH(AC$4,Curves,0)))</f>
        <v>#N/A</v>
      </c>
      <c r="AD74" s="185" t="e">
        <f aca="false">IF($A75="","",VLOOKUP($A74,Table,MATCH(AD$4,Curves,0)))</f>
        <v>#N/A</v>
      </c>
      <c r="AE74" s="185" t="e">
        <f aca="false">SQRT((AD74^2*(A74-$D$3)+AC74^2*(DAY(EOMONTH(A74,0))/2))/AK74)</f>
        <v>#N/A</v>
      </c>
      <c r="AF74" s="224" t="e">
        <f aca="false">((Summary!$N$8*(AA74*AD74)*(A74-$D$3))+(Summary!$M$8*Z74*AC74*(AJ74-EOMONTH(EDATE(A74,-1),0))))/(AK74*AB74*AE74)</f>
        <v>#N/A</v>
      </c>
      <c r="AG74" s="207" t="n">
        <f aca="false">IF($A75="","",Summary!$Q$8)</f>
        <v>0</v>
      </c>
      <c r="AH74" s="207" t="n">
        <f aca="false">IF($A75="","",IF(Summary!$R$8="Y",(VLOOKUP($A74,Summary!$AD$6:$AF$9,3)+'Escalating commodity'!D87),'Escalating commodity'!D87))</f>
        <v>0.0200232</v>
      </c>
      <c r="AI74" s="207" t="n">
        <f aca="false">IF($A75="","",AH74)</f>
        <v>0.0200232</v>
      </c>
      <c r="AJ74" s="208" t="n">
        <f aca="false">A74+DAY(EOMONTH(A74,0))/2-1</f>
        <v>39005.5</v>
      </c>
      <c r="AK74" s="209" t="n">
        <f aca="false">IF($A75="","",$A74-$E$1)</f>
        <v>-6935</v>
      </c>
      <c r="AL74" s="182" t="e">
        <f aca="false">IF($A75="","",SPRDOPT(P74,X74,AI74,0,AB74,AE74,AF74,AK74,$AJ$2,0))</f>
        <v>#NAME?</v>
      </c>
      <c r="AM74" s="211" t="e">
        <f aca="false">IF($A75="","",MAX(0,O74-W74-AI74))</f>
        <v>#N/A</v>
      </c>
      <c r="AN74" s="211" t="e">
        <f aca="false">IF($A75="","",AL74-AM74)</f>
        <v>#N/A</v>
      </c>
      <c r="AO74" s="137" t="n">
        <f aca="false">IF(A75="","",A75-A74)</f>
        <v>31</v>
      </c>
      <c r="AP74" s="212" t="n">
        <f aca="false">IF(A75="","",CHOOSE(F$3,A75+24,A74))</f>
        <v>38991</v>
      </c>
      <c r="AQ74" s="209" t="n">
        <f aca="false">IF(A75="","",AP74-$E$1)</f>
        <v>-6935</v>
      </c>
      <c r="AR74" s="185" t="n">
        <f aca="false">'ANR OK vs ML7'!AR74</f>
        <v>0.1</v>
      </c>
      <c r="AS74" s="213" t="n">
        <f aca="false">IF(A75="","",1/(1+CHOOSE(F$3,(AR75+($I$3/10000))/2,(AR74+($I$3/10000))/2))^(2*AQ74/365.25))</f>
        <v>6.37737918326861</v>
      </c>
      <c r="AT74" s="137" t="n">
        <f aca="false">IF(A75="","",IF(AND(mthbeg&lt;=A74,mthend&gt;=A74),1,0))</f>
        <v>1</v>
      </c>
      <c r="AU74" s="137" t="n">
        <f aca="false">IF(A75="","",AO74*AT74)</f>
        <v>31</v>
      </c>
      <c r="AW74" s="195" t="e">
        <f aca="false">IF($A75="","",AL74*$E74)</f>
        <v>#NAME?</v>
      </c>
      <c r="AX74" s="195" t="e">
        <f aca="false">IF($A75="","",AM74*$E74)</f>
        <v>#N/A</v>
      </c>
      <c r="AY74" s="195" t="e">
        <f aca="false">IF($A75="","",AN74*$E74)</f>
        <v>#N/A</v>
      </c>
      <c r="BA74" s="195" t="n">
        <f aca="false">IF($A75="","",F74*Summary!$Q$8)</f>
        <v>0</v>
      </c>
      <c r="BC74" s="179" t="e">
        <f aca="false">IF(A75="","",AM74*F74)</f>
        <v>#N/A</v>
      </c>
    </row>
    <row r="75" customFormat="false" ht="12.75" hidden="false" customHeight="false" outlineLevel="0" collapsed="false">
      <c r="A75" s="196" t="n">
        <f aca="false">IF(A74&lt;mthend,EDATE(A74,1),"")</f>
        <v>39022</v>
      </c>
      <c r="B75" s="197" t="n">
        <f aca="false">IF(A75&lt;mthend,B74,0)</f>
        <v>80000</v>
      </c>
      <c r="C75" s="215"/>
      <c r="D75" s="197" t="n">
        <f aca="false">IF(A76&lt;&gt;"",B75+C75,"")</f>
        <v>80000</v>
      </c>
      <c r="E75" s="199" t="n">
        <f aca="false">IF(A76="","",IF(AND(AT75=1,$H$3=1),D75*AO75,IF($H$3=2,D75,"N/A")))</f>
        <v>2400000</v>
      </c>
      <c r="F75" s="199" t="n">
        <f aca="false">IF(A76="","",E75*AS75)</f>
        <v>15179472.0530994</v>
      </c>
      <c r="G75" s="200" t="e">
        <f aca="false">IF($A76="","",VLOOKUP($A75,Table,MATCH(G$4,Curves,0)))</f>
        <v>#N/A</v>
      </c>
      <c r="H75" s="201" t="e">
        <f aca="false">IF(A76="","",G75)</f>
        <v>#N/A</v>
      </c>
      <c r="I75" s="202"/>
      <c r="J75" s="200" t="e">
        <f aca="false">IF($A76="","",VLOOKUP($A75,Table,MATCH(J$4,Curves,0)))</f>
        <v>#N/A</v>
      </c>
      <c r="K75" s="201" t="e">
        <f aca="false">IF(A76="","",J75)</f>
        <v>#N/A</v>
      </c>
      <c r="L75" s="200" t="e">
        <f aca="false">IF($A76="","",VLOOKUP($A75,Table,MATCH(L$4,Curves,0)))</f>
        <v>#N/A</v>
      </c>
      <c r="M75" s="201" t="e">
        <f aca="false">IF(A76="","",L75)</f>
        <v>#N/A</v>
      </c>
      <c r="N75" s="203"/>
      <c r="O75" s="200" t="e">
        <f aca="false">IF(A76="","",L75+J75+G75)</f>
        <v>#N/A</v>
      </c>
      <c r="P75" s="200" t="e">
        <f aca="false">IF(A76="","",M75+K75+H75)</f>
        <v>#N/A</v>
      </c>
      <c r="Q75" s="204"/>
      <c r="R75" s="200" t="e">
        <f aca="false">IF($A76="","",VLOOKUP($A75,Table,MATCH(R$4,Curves,0)))</f>
        <v>#N/A</v>
      </c>
      <c r="S75" s="201" t="e">
        <f aca="false">IF(A76="","",R75)</f>
        <v>#N/A</v>
      </c>
      <c r="T75" s="200" t="e">
        <f aca="false">IF($A76="","",VLOOKUP($A75,Table,MATCH(T$4,Curves,0)))</f>
        <v>#N/A</v>
      </c>
      <c r="U75" s="201" t="e">
        <f aca="false">IF(A76="","",T75)</f>
        <v>#N/A</v>
      </c>
      <c r="V75" s="183" t="e">
        <f aca="false">IF($A76="","",IF(AND(MONTH(A75)&gt;3,MONTH(A75)&lt;11),(T75+R75+G75)*Summary!$T$8/(1-Summary!$T$8),(T75+R75+G75)*Summary!$U$8/(1-Summary!$U$8)))</f>
        <v>#N/A</v>
      </c>
      <c r="W75" s="200" t="e">
        <f aca="false">IF($A76="","",(T75+R75+G75+V75))</f>
        <v>#N/A</v>
      </c>
      <c r="X75" s="200" t="e">
        <f aca="false">IF($A76="","",(U75+S75+H75+V75))</f>
        <v>#N/A</v>
      </c>
      <c r="Y75" s="202"/>
      <c r="Z75" s="185" t="e">
        <f aca="false">IF($A76="","",VLOOKUP($A75,Table,MATCH(Z$4,Curves,0)))</f>
        <v>#N/A</v>
      </c>
      <c r="AA75" s="185" t="e">
        <f aca="false">IF($A76="","",VLOOKUP($A75,Table,MATCH(AA$4,Curves,0)))</f>
        <v>#N/A</v>
      </c>
      <c r="AB75" s="185" t="e">
        <f aca="false">SQRT((AA75^2*(A75-$D$3)+Z75^2*(DAY(EOMONTH(A75,0))/2))/AK75)</f>
        <v>#N/A</v>
      </c>
      <c r="AC75" s="185" t="e">
        <f aca="false">IF($A76="","",VLOOKUP($A75,Table,MATCH(AC$4,Curves,0)))</f>
        <v>#N/A</v>
      </c>
      <c r="AD75" s="185" t="e">
        <f aca="false">IF($A76="","",VLOOKUP($A75,Table,MATCH(AD$4,Curves,0)))</f>
        <v>#N/A</v>
      </c>
      <c r="AE75" s="185" t="e">
        <f aca="false">SQRT((AD75^2*(A75-$D$3)+AC75^2*(DAY(EOMONTH(A75,0))/2))/AK75)</f>
        <v>#N/A</v>
      </c>
      <c r="AF75" s="224" t="e">
        <f aca="false">((Summary!$N$8*(AA75*AD75)*(A75-$D$3))+(Summary!$M$8*Z75*AC75*(AJ75-EOMONTH(EDATE(A75,-1),0))))/(AK75*AB75*AE75)</f>
        <v>#N/A</v>
      </c>
      <c r="AG75" s="207" t="n">
        <f aca="false">IF($A76="","",Summary!$Q$8)</f>
        <v>0</v>
      </c>
      <c r="AH75" s="207" t="n">
        <f aca="false">IF($A76="","",IF(Summary!$R$8="Y",(VLOOKUP($A75,Summary!$AD$6:$AF$9,3)+'Escalating commodity'!D88),'Escalating commodity'!D88))</f>
        <v>0.0200232</v>
      </c>
      <c r="AI75" s="207" t="n">
        <f aca="false">IF($A76="","",AH75)</f>
        <v>0.0200232</v>
      </c>
      <c r="AJ75" s="208" t="n">
        <f aca="false">A75+DAY(EOMONTH(A75,0))/2-1</f>
        <v>39036</v>
      </c>
      <c r="AK75" s="209" t="n">
        <f aca="false">IF($A76="","",$A75-$E$1)</f>
        <v>-6904</v>
      </c>
      <c r="AL75" s="182" t="e">
        <f aca="false">IF($A76="","",SPRDOPT(P75,X75,AI75,0,AB75,AE75,AF75,AK75,$AJ$2,0))</f>
        <v>#NAME?</v>
      </c>
      <c r="AM75" s="211" t="e">
        <f aca="false">IF($A76="","",MAX(0,O75-W75-AI75))</f>
        <v>#N/A</v>
      </c>
      <c r="AN75" s="211" t="e">
        <f aca="false">IF($A76="","",AL75-AM75)</f>
        <v>#N/A</v>
      </c>
      <c r="AO75" s="137" t="n">
        <f aca="false">IF(A76="","",A76-A75)</f>
        <v>30</v>
      </c>
      <c r="AP75" s="212" t="n">
        <f aca="false">IF(A76="","",CHOOSE(F$3,A76+24,A75))</f>
        <v>39022</v>
      </c>
      <c r="AQ75" s="209" t="n">
        <f aca="false">IF(A76="","",AP75-$E$1)</f>
        <v>-6904</v>
      </c>
      <c r="AR75" s="185" t="n">
        <f aca="false">'ANR OK vs ML7'!AR75</f>
        <v>0.1</v>
      </c>
      <c r="AS75" s="213" t="n">
        <f aca="false">IF(A76="","",1/(1+CHOOSE(F$3,(AR76+($I$3/10000))/2,(AR75+($I$3/10000))/2))^(2*AQ75/365.25))</f>
        <v>6.32478002212474</v>
      </c>
      <c r="AT75" s="137" t="n">
        <f aca="false">IF(A76="","",IF(AND(mthbeg&lt;=A75,mthend&gt;=A75),1,0))</f>
        <v>1</v>
      </c>
      <c r="AU75" s="137" t="n">
        <f aca="false">IF(A76="","",AO75*AT75)</f>
        <v>30</v>
      </c>
      <c r="AW75" s="195" t="e">
        <f aca="false">IF($A76="","",AL75*$E75)</f>
        <v>#NAME?</v>
      </c>
      <c r="AX75" s="195" t="e">
        <f aca="false">IF($A76="","",AM75*$E75)</f>
        <v>#N/A</v>
      </c>
      <c r="AY75" s="195" t="e">
        <f aca="false">IF($A76="","",AN75*$E75)</f>
        <v>#N/A</v>
      </c>
      <c r="BA75" s="195" t="n">
        <f aca="false">IF($A76="","",F75*Summary!$Q$8)</f>
        <v>0</v>
      </c>
      <c r="BC75" s="179" t="e">
        <f aca="false">IF(A76="","",AM75*F75)</f>
        <v>#N/A</v>
      </c>
    </row>
    <row r="76" customFormat="false" ht="12.75" hidden="false" customHeight="false" outlineLevel="0" collapsed="false">
      <c r="A76" s="196" t="n">
        <f aca="false">IF(A75&lt;mthend,EDATE(A75,1),"")</f>
        <v>39052</v>
      </c>
      <c r="B76" s="197" t="n">
        <f aca="false">IF(A76&lt;mthend,B75,0)</f>
        <v>80000</v>
      </c>
      <c r="C76" s="215"/>
      <c r="D76" s="197" t="n">
        <f aca="false">IF(A77&lt;&gt;"",B76+C76,"")</f>
        <v>80000</v>
      </c>
      <c r="E76" s="199" t="n">
        <f aca="false">IF(A77="","",IF(AND(AT76=1,$H$3=1),D76*AO76,IF($H$3=2,D76,"N/A")))</f>
        <v>2480000</v>
      </c>
      <c r="F76" s="199" t="n">
        <f aca="false">IF(A77="","",E76*AS76)</f>
        <v>15560240.947877</v>
      </c>
      <c r="G76" s="200" t="e">
        <f aca="false">IF($A77="","",VLOOKUP($A76,Table,MATCH(G$4,Curves,0)))</f>
        <v>#N/A</v>
      </c>
      <c r="H76" s="201" t="e">
        <f aca="false">IF(A77="","",G76)</f>
        <v>#N/A</v>
      </c>
      <c r="I76" s="202"/>
      <c r="J76" s="200" t="e">
        <f aca="false">IF($A77="","",VLOOKUP($A76,Table,MATCH(J$4,Curves,0)))</f>
        <v>#N/A</v>
      </c>
      <c r="K76" s="201" t="e">
        <f aca="false">IF(A77="","",J76)</f>
        <v>#N/A</v>
      </c>
      <c r="L76" s="200" t="e">
        <f aca="false">IF($A77="","",VLOOKUP($A76,Table,MATCH(L$4,Curves,0)))</f>
        <v>#N/A</v>
      </c>
      <c r="M76" s="201" t="e">
        <f aca="false">IF(A77="","",L76)</f>
        <v>#N/A</v>
      </c>
      <c r="N76" s="203"/>
      <c r="O76" s="200" t="e">
        <f aca="false">IF(A77="","",L76+J76+G76)</f>
        <v>#N/A</v>
      </c>
      <c r="P76" s="200" t="e">
        <f aca="false">IF(A77="","",M76+K76+H76)</f>
        <v>#N/A</v>
      </c>
      <c r="Q76" s="204"/>
      <c r="R76" s="200" t="e">
        <f aca="false">IF($A77="","",VLOOKUP($A76,Table,MATCH(R$4,Curves,0)))</f>
        <v>#N/A</v>
      </c>
      <c r="S76" s="201" t="e">
        <f aca="false">IF(A77="","",R76)</f>
        <v>#N/A</v>
      </c>
      <c r="T76" s="200" t="e">
        <f aca="false">IF($A77="","",VLOOKUP($A76,Table,MATCH(T$4,Curves,0)))</f>
        <v>#N/A</v>
      </c>
      <c r="U76" s="201" t="e">
        <f aca="false">IF(A77="","",T76)</f>
        <v>#N/A</v>
      </c>
      <c r="V76" s="183" t="e">
        <f aca="false">IF($A77="","",IF(AND(MONTH(A76)&gt;3,MONTH(A76)&lt;11),(T76+R76+G76)*Summary!$T$8/(1-Summary!$T$8),(T76+R76+G76)*Summary!$U$8/(1-Summary!$U$8)))</f>
        <v>#N/A</v>
      </c>
      <c r="W76" s="200" t="e">
        <f aca="false">IF($A77="","",(T76+R76+G76+V76))</f>
        <v>#N/A</v>
      </c>
      <c r="X76" s="200" t="e">
        <f aca="false">IF($A77="","",(U76+S76+H76+V76))</f>
        <v>#N/A</v>
      </c>
      <c r="Y76" s="202"/>
      <c r="Z76" s="185" t="e">
        <f aca="false">IF($A77="","",VLOOKUP($A76,Table,MATCH(Z$4,Curves,0)))</f>
        <v>#N/A</v>
      </c>
      <c r="AA76" s="185" t="e">
        <f aca="false">IF($A77="","",VLOOKUP($A76,Table,MATCH(AA$4,Curves,0)))</f>
        <v>#N/A</v>
      </c>
      <c r="AB76" s="185" t="e">
        <f aca="false">SQRT((AA76^2*(A76-$D$3)+Z76^2*(DAY(EOMONTH(A76,0))/2))/AK76)</f>
        <v>#N/A</v>
      </c>
      <c r="AC76" s="185" t="e">
        <f aca="false">IF($A77="","",VLOOKUP($A76,Table,MATCH(AC$4,Curves,0)))</f>
        <v>#N/A</v>
      </c>
      <c r="AD76" s="185" t="e">
        <f aca="false">IF($A77="","",VLOOKUP($A76,Table,MATCH(AD$4,Curves,0)))</f>
        <v>#N/A</v>
      </c>
      <c r="AE76" s="185" t="e">
        <f aca="false">SQRT((AD76^2*(A76-$D$3)+AC76^2*(DAY(EOMONTH(A76,0))/2))/AK76)</f>
        <v>#N/A</v>
      </c>
      <c r="AF76" s="224" t="e">
        <f aca="false">((Summary!$N$8*(AA76*AD76)*(A76-$D$3))+(Summary!$M$8*Z76*AC76*(AJ76-EOMONTH(EDATE(A76,-1),0))))/(AK76*AB76*AE76)</f>
        <v>#N/A</v>
      </c>
      <c r="AG76" s="207" t="n">
        <f aca="false">IF($A77="","",Summary!$Q$8)</f>
        <v>0</v>
      </c>
      <c r="AH76" s="207" t="n">
        <f aca="false">IF($A77="","",IF(Summary!$R$8="Y",(VLOOKUP($A76,Summary!$AD$6:$AF$9,3)+'Escalating commodity'!D89),'Escalating commodity'!D89))</f>
        <v>0.0200232</v>
      </c>
      <c r="AI76" s="207" t="n">
        <f aca="false">IF($A77="","",AH76)</f>
        <v>0.0200232</v>
      </c>
      <c r="AJ76" s="208" t="n">
        <f aca="false">A76+DAY(EOMONTH(A76,0))/2-1</f>
        <v>39066.5</v>
      </c>
      <c r="AK76" s="209" t="n">
        <f aca="false">IF($A77="","",$A76-$E$1)</f>
        <v>-6874</v>
      </c>
      <c r="AL76" s="182" t="e">
        <f aca="false">IF($A77="","",SPRDOPT(P76,X76,AI76,0,AB76,AE76,AF76,AK76,$AJ$2,0))</f>
        <v>#NAME?</v>
      </c>
      <c r="AM76" s="211" t="e">
        <f aca="false">IF($A77="","",MAX(0,O76-W76-AI76))</f>
        <v>#N/A</v>
      </c>
      <c r="AN76" s="211" t="e">
        <f aca="false">IF($A77="","",AL76-AM76)</f>
        <v>#N/A</v>
      </c>
      <c r="AO76" s="137" t="n">
        <f aca="false">IF(A77="","",A77-A76)</f>
        <v>31</v>
      </c>
      <c r="AP76" s="212" t="n">
        <f aca="false">IF(A77="","",CHOOSE(F$3,A77+24,A76))</f>
        <v>39052</v>
      </c>
      <c r="AQ76" s="209" t="n">
        <f aca="false">IF(A77="","",AP76-$E$1)</f>
        <v>-6874</v>
      </c>
      <c r="AR76" s="185" t="n">
        <f aca="false">'ANR OK vs ML7'!AR76</f>
        <v>0.1</v>
      </c>
      <c r="AS76" s="213" t="n">
        <f aca="false">IF(A77="","",1/(1+CHOOSE(F$3,(AR77+($I$3/10000))/2,(AR76+($I$3/10000))/2))^(2*AQ76/365.25))</f>
        <v>6.27429070478909</v>
      </c>
      <c r="AT76" s="137" t="n">
        <f aca="false">IF(A77="","",IF(AND(mthbeg&lt;=A76,mthend&gt;=A76),1,0))</f>
        <v>1</v>
      </c>
      <c r="AU76" s="137" t="n">
        <f aca="false">IF(A77="","",AO76*AT76)</f>
        <v>31</v>
      </c>
      <c r="AW76" s="195" t="e">
        <f aca="false">IF($A77="","",AL76*$E76)</f>
        <v>#NAME?</v>
      </c>
      <c r="AX76" s="195" t="e">
        <f aca="false">IF($A77="","",AM76*$E76)</f>
        <v>#N/A</v>
      </c>
      <c r="AY76" s="195" t="e">
        <f aca="false">IF($A77="","",AN76*$E76)</f>
        <v>#N/A</v>
      </c>
      <c r="BA76" s="195" t="n">
        <f aca="false">IF($A77="","",F76*Summary!$Q$8)</f>
        <v>0</v>
      </c>
      <c r="BC76" s="179" t="e">
        <f aca="false">IF(A77="","",AM76*F76)</f>
        <v>#N/A</v>
      </c>
    </row>
    <row r="77" customFormat="false" ht="12.75" hidden="false" customHeight="false" outlineLevel="0" collapsed="false">
      <c r="A77" s="196" t="n">
        <f aca="false">IF(A76&lt;mthend,EDATE(A76,1),"")</f>
        <v>39083</v>
      </c>
      <c r="B77" s="197" t="n">
        <f aca="false">IF(A77&lt;mthend,B76,0)</f>
        <v>80000</v>
      </c>
      <c r="C77" s="215"/>
      <c r="D77" s="197" t="n">
        <f aca="false">IF(A78&lt;&gt;"",B77+C77,"")</f>
        <v>80000</v>
      </c>
      <c r="E77" s="199" t="n">
        <f aca="false">IF(A78="","",IF(AND(AT77=1,$H$3=1),D77*AO77,IF($H$3=2,D77,"N/A")))</f>
        <v>2480000</v>
      </c>
      <c r="F77" s="199" t="n">
        <f aca="false">IF(A78="","",E77*AS77)</f>
        <v>15431903.6485672</v>
      </c>
      <c r="G77" s="200" t="e">
        <f aca="false">IF($A78="","",VLOOKUP($A77,Table,MATCH(G$4,Curves,0)))</f>
        <v>#N/A</v>
      </c>
      <c r="H77" s="201" t="e">
        <f aca="false">IF(A78="","",G77)</f>
        <v>#N/A</v>
      </c>
      <c r="I77" s="202"/>
      <c r="J77" s="200" t="e">
        <f aca="false">IF($A78="","",VLOOKUP($A77,Table,MATCH(J$4,Curves,0)))</f>
        <v>#N/A</v>
      </c>
      <c r="K77" s="201" t="e">
        <f aca="false">IF(A78="","",J77)</f>
        <v>#N/A</v>
      </c>
      <c r="L77" s="200" t="e">
        <f aca="false">IF($A78="","",VLOOKUP($A77,Table,MATCH(L$4,Curves,0)))</f>
        <v>#N/A</v>
      </c>
      <c r="M77" s="201" t="e">
        <f aca="false">IF(A78="","",L77)</f>
        <v>#N/A</v>
      </c>
      <c r="N77" s="203"/>
      <c r="O77" s="200" t="e">
        <f aca="false">IF(A78="","",L77+J77+G77)</f>
        <v>#N/A</v>
      </c>
      <c r="P77" s="200" t="e">
        <f aca="false">IF(A78="","",M77+K77+H77)</f>
        <v>#N/A</v>
      </c>
      <c r="Q77" s="204"/>
      <c r="R77" s="200" t="e">
        <f aca="false">IF($A78="","",VLOOKUP($A77,Table,MATCH(R$4,Curves,0)))</f>
        <v>#N/A</v>
      </c>
      <c r="S77" s="201" t="e">
        <f aca="false">IF(A78="","",R77)</f>
        <v>#N/A</v>
      </c>
      <c r="T77" s="200" t="e">
        <f aca="false">IF($A78="","",VLOOKUP($A77,Table,MATCH(T$4,Curves,0)))</f>
        <v>#N/A</v>
      </c>
      <c r="U77" s="201" t="e">
        <f aca="false">IF(A78="","",T77)</f>
        <v>#N/A</v>
      </c>
      <c r="V77" s="183" t="e">
        <f aca="false">IF($A78="","",IF(AND(MONTH(A77)&gt;3,MONTH(A77)&lt;11),(T77+R77+G77)*Summary!$T$8/(1-Summary!$T$8),(T77+R77+G77)*Summary!$U$8/(1-Summary!$U$8)))</f>
        <v>#N/A</v>
      </c>
      <c r="W77" s="200" t="e">
        <f aca="false">IF($A78="","",(T77+R77+G77+V77))</f>
        <v>#N/A</v>
      </c>
      <c r="X77" s="200" t="e">
        <f aca="false">IF($A78="","",(U77+S77+H77+V77))</f>
        <v>#N/A</v>
      </c>
      <c r="Y77" s="202"/>
      <c r="Z77" s="185" t="e">
        <f aca="false">IF($A78="","",VLOOKUP($A77,Table,MATCH(Z$4,Curves,0)))</f>
        <v>#N/A</v>
      </c>
      <c r="AA77" s="185" t="e">
        <f aca="false">IF($A78="","",VLOOKUP($A77,Table,MATCH(AA$4,Curves,0)))</f>
        <v>#N/A</v>
      </c>
      <c r="AB77" s="185" t="e">
        <f aca="false">SQRT((AA77^2*(A77-$D$3)+Z77^2*(DAY(EOMONTH(A77,0))/2))/AK77)</f>
        <v>#N/A</v>
      </c>
      <c r="AC77" s="185" t="e">
        <f aca="false">IF($A78="","",VLOOKUP($A77,Table,MATCH(AC$4,Curves,0)))</f>
        <v>#N/A</v>
      </c>
      <c r="AD77" s="185" t="e">
        <f aca="false">IF($A78="","",VLOOKUP($A77,Table,MATCH(AD$4,Curves,0)))</f>
        <v>#N/A</v>
      </c>
      <c r="AE77" s="185" t="e">
        <f aca="false">SQRT((AD77^2*(A77-$D$3)+AC77^2*(DAY(EOMONTH(A77,0))/2))/AK77)</f>
        <v>#N/A</v>
      </c>
      <c r="AF77" s="224" t="e">
        <f aca="false">((Summary!$N$8*(AA77*AD77)*(A77-$D$3))+(Summary!$M$8*Z77*AC77*(AJ77-EOMONTH(EDATE(A77,-1),0))))/(AK77*AB77*AE77)</f>
        <v>#N/A</v>
      </c>
      <c r="AG77" s="207" t="n">
        <f aca="false">IF($A78="","",Summary!$Q$8)</f>
        <v>0</v>
      </c>
      <c r="AH77" s="207" t="n">
        <f aca="false">IF($A78="","",IF(Summary!$R$8="Y",(VLOOKUP($A77,Summary!$AD$6:$AF$9,3)+'Escalating commodity'!D90),'Escalating commodity'!D90))</f>
        <v>0.0200232</v>
      </c>
      <c r="AI77" s="207" t="n">
        <f aca="false">IF($A78="","",AH77)</f>
        <v>0.0200232</v>
      </c>
      <c r="AJ77" s="208" t="n">
        <f aca="false">A77+DAY(EOMONTH(A77,0))/2-1</f>
        <v>39097.5</v>
      </c>
      <c r="AK77" s="209" t="n">
        <f aca="false">IF($A78="","",$A77-$E$1)</f>
        <v>-6843</v>
      </c>
      <c r="AL77" s="182" t="e">
        <f aca="false">IF($A78="","",SPRDOPT(P77,X77,AI77,0,AB77,AE77,AF77,AK77,$AJ$2,0))</f>
        <v>#NAME?</v>
      </c>
      <c r="AM77" s="211" t="e">
        <f aca="false">IF($A78="","",MAX(0,O77-W77-AI77))</f>
        <v>#N/A</v>
      </c>
      <c r="AN77" s="211" t="e">
        <f aca="false">IF($A78="","",AL77-AM77)</f>
        <v>#N/A</v>
      </c>
      <c r="AO77" s="137" t="n">
        <f aca="false">IF(A78="","",A78-A77)</f>
        <v>31</v>
      </c>
      <c r="AP77" s="212" t="n">
        <f aca="false">IF(A78="","",CHOOSE(F$3,A78+24,A77))</f>
        <v>39083</v>
      </c>
      <c r="AQ77" s="209" t="n">
        <f aca="false">IF(A78="","",AP77-$E$1)</f>
        <v>-6843</v>
      </c>
      <c r="AR77" s="185" t="n">
        <f aca="false">'ANR OK vs ML7'!AR77</f>
        <v>0.1</v>
      </c>
      <c r="AS77" s="213" t="n">
        <f aca="false">IF(A78="","",1/(1+CHOOSE(F$3,(AR78+($I$3/10000))/2,(AR77+($I$3/10000))/2))^(2*AQ77/365.25))</f>
        <v>6.2225417937771</v>
      </c>
      <c r="AT77" s="137" t="n">
        <f aca="false">IF(A78="","",IF(AND(mthbeg&lt;=A77,mthend&gt;=A77),1,0))</f>
        <v>1</v>
      </c>
      <c r="AU77" s="137" t="n">
        <f aca="false">IF(A78="","",AO77*AT77)</f>
        <v>31</v>
      </c>
      <c r="AW77" s="195" t="e">
        <f aca="false">IF($A78="","",AL77*$E77)</f>
        <v>#NAME?</v>
      </c>
      <c r="AX77" s="195" t="e">
        <f aca="false">IF($A78="","",AM77*$E77)</f>
        <v>#N/A</v>
      </c>
      <c r="AY77" s="195" t="e">
        <f aca="false">IF($A78="","",AN77*$E77)</f>
        <v>#N/A</v>
      </c>
      <c r="BA77" s="195" t="n">
        <f aca="false">IF($A78="","",F77*Summary!$Q$8)</f>
        <v>0</v>
      </c>
      <c r="BC77" s="179" t="e">
        <f aca="false">IF(A78="","",AM77*F77)</f>
        <v>#N/A</v>
      </c>
    </row>
    <row r="78" customFormat="false" ht="12.75" hidden="false" customHeight="false" outlineLevel="0" collapsed="false">
      <c r="A78" s="196" t="n">
        <f aca="false">IF(A77&lt;mthend,EDATE(A77,1),"")</f>
        <v>39114</v>
      </c>
      <c r="B78" s="197" t="n">
        <f aca="false">IF(A78&lt;mthend,B77,0)</f>
        <v>80000</v>
      </c>
      <c r="C78" s="215"/>
      <c r="D78" s="197" t="n">
        <f aca="false">IF(A79&lt;&gt;"",B78+C78,"")</f>
        <v>80000</v>
      </c>
      <c r="E78" s="199" t="n">
        <f aca="false">IF(A79="","",IF(AND(AT78=1,$H$3=1),D78*AO78,IF($H$3=2,D78,"N/A")))</f>
        <v>2240000</v>
      </c>
      <c r="F78" s="199" t="n">
        <f aca="false">IF(A79="","",E78*AS78)</f>
        <v>13823532.1188539</v>
      </c>
      <c r="G78" s="200" t="e">
        <f aca="false">IF($A79="","",VLOOKUP($A78,Table,MATCH(G$4,Curves,0)))</f>
        <v>#N/A</v>
      </c>
      <c r="H78" s="201" t="e">
        <f aca="false">IF(A79="","",G78)</f>
        <v>#N/A</v>
      </c>
      <c r="I78" s="202"/>
      <c r="J78" s="200" t="e">
        <f aca="false">IF($A79="","",VLOOKUP($A78,Table,MATCH(J$4,Curves,0)))</f>
        <v>#N/A</v>
      </c>
      <c r="K78" s="201" t="e">
        <f aca="false">IF(A79="","",J78)</f>
        <v>#N/A</v>
      </c>
      <c r="L78" s="200" t="e">
        <f aca="false">IF($A79="","",VLOOKUP($A78,Table,MATCH(L$4,Curves,0)))</f>
        <v>#N/A</v>
      </c>
      <c r="M78" s="201" t="e">
        <f aca="false">IF(A79="","",L78)</f>
        <v>#N/A</v>
      </c>
      <c r="N78" s="203"/>
      <c r="O78" s="200" t="e">
        <f aca="false">IF(A79="","",L78+J78+G78)</f>
        <v>#N/A</v>
      </c>
      <c r="P78" s="200" t="e">
        <f aca="false">IF(A79="","",M78+K78+H78)</f>
        <v>#N/A</v>
      </c>
      <c r="Q78" s="204"/>
      <c r="R78" s="200" t="e">
        <f aca="false">IF($A79="","",VLOOKUP($A78,Table,MATCH(R$4,Curves,0)))</f>
        <v>#N/A</v>
      </c>
      <c r="S78" s="201" t="e">
        <f aca="false">IF(A79="","",R78)</f>
        <v>#N/A</v>
      </c>
      <c r="T78" s="200" t="e">
        <f aca="false">IF($A79="","",VLOOKUP($A78,Table,MATCH(T$4,Curves,0)))</f>
        <v>#N/A</v>
      </c>
      <c r="U78" s="201" t="e">
        <f aca="false">IF(A79="","",T78)</f>
        <v>#N/A</v>
      </c>
      <c r="V78" s="183" t="e">
        <f aca="false">IF($A79="","",IF(AND(MONTH(A78)&gt;3,MONTH(A78)&lt;11),(T78+R78+G78)*Summary!$T$8/(1-Summary!$T$8),(T78+R78+G78)*Summary!$U$8/(1-Summary!$U$8)))</f>
        <v>#N/A</v>
      </c>
      <c r="W78" s="200" t="e">
        <f aca="false">IF($A79="","",(T78+R78+G78+V78))</f>
        <v>#N/A</v>
      </c>
      <c r="X78" s="200" t="e">
        <f aca="false">IF($A79="","",(U78+S78+H78+V78))</f>
        <v>#N/A</v>
      </c>
      <c r="Y78" s="202"/>
      <c r="Z78" s="185" t="e">
        <f aca="false">IF($A79="","",VLOOKUP($A78,Table,MATCH(Z$4,Curves,0)))</f>
        <v>#N/A</v>
      </c>
      <c r="AA78" s="185" t="e">
        <f aca="false">IF($A79="","",VLOOKUP($A78,Table,MATCH(AA$4,Curves,0)))</f>
        <v>#N/A</v>
      </c>
      <c r="AB78" s="185" t="e">
        <f aca="false">SQRT((AA78^2*(A78-$D$3)+Z78^2*(DAY(EOMONTH(A78,0))/2))/AK78)</f>
        <v>#N/A</v>
      </c>
      <c r="AC78" s="185" t="e">
        <f aca="false">IF($A79="","",VLOOKUP($A78,Table,MATCH(AC$4,Curves,0)))</f>
        <v>#N/A</v>
      </c>
      <c r="AD78" s="185" t="e">
        <f aca="false">IF($A79="","",VLOOKUP($A78,Table,MATCH(AD$4,Curves,0)))</f>
        <v>#N/A</v>
      </c>
      <c r="AE78" s="185" t="e">
        <f aca="false">SQRT((AD78^2*(A78-$D$3)+AC78^2*(DAY(EOMONTH(A78,0))/2))/AK78)</f>
        <v>#N/A</v>
      </c>
      <c r="AF78" s="224" t="e">
        <f aca="false">((Summary!$N$8*(AA78*AD78)*(A78-$D$3))+(Summary!$M$8*Z78*AC78*(AJ78-EOMONTH(EDATE(A78,-1),0))))/(AK78*AB78*AE78)</f>
        <v>#N/A</v>
      </c>
      <c r="AG78" s="207" t="n">
        <f aca="false">IF($A79="","",Summary!$Q$8)</f>
        <v>0</v>
      </c>
      <c r="AH78" s="207" t="n">
        <f aca="false">IF($A79="","",IF(Summary!$R$8="Y",(VLOOKUP($A78,Summary!$AD$6:$AF$9,3)+'Escalating commodity'!D91),'Escalating commodity'!D91))</f>
        <v>0.0200232</v>
      </c>
      <c r="AI78" s="207" t="n">
        <f aca="false">IF($A79="","",AH78)</f>
        <v>0.0200232</v>
      </c>
      <c r="AJ78" s="208" t="n">
        <f aca="false">A78+DAY(EOMONTH(A78,0))/2-1</f>
        <v>39127</v>
      </c>
      <c r="AK78" s="209" t="n">
        <f aca="false">IF($A79="","",$A78-$E$1)</f>
        <v>-6812</v>
      </c>
      <c r="AL78" s="182" t="e">
        <f aca="false">IF($A79="","",SPRDOPT(P78,X78,AI78,0,AB78,AE78,AF78,AK78,$AJ$2,0))</f>
        <v>#NAME?</v>
      </c>
      <c r="AM78" s="211" t="e">
        <f aca="false">IF($A79="","",MAX(0,O78-W78-AI78))</f>
        <v>#N/A</v>
      </c>
      <c r="AN78" s="211" t="e">
        <f aca="false">IF($A79="","",AL78-AM78)</f>
        <v>#N/A</v>
      </c>
      <c r="AO78" s="137" t="n">
        <f aca="false">IF(A79="","",A79-A78)</f>
        <v>28</v>
      </c>
      <c r="AP78" s="212" t="n">
        <f aca="false">IF(A79="","",CHOOSE(F$3,A79+24,A78))</f>
        <v>39114</v>
      </c>
      <c r="AQ78" s="209" t="n">
        <f aca="false">IF(A79="","",AP78-$E$1)</f>
        <v>-6812</v>
      </c>
      <c r="AR78" s="185" t="n">
        <f aca="false">'ANR OK vs ML7'!AR78</f>
        <v>0.1</v>
      </c>
      <c r="AS78" s="213" t="n">
        <f aca="false">IF(A79="","",1/(1+CHOOSE(F$3,(AR79+($I$3/10000))/2,(AR78+($I$3/10000))/2))^(2*AQ78/365.25))</f>
        <v>6.1712196959169</v>
      </c>
      <c r="AT78" s="137" t="n">
        <f aca="false">IF(A79="","",IF(AND(mthbeg&lt;=A78,mthend&gt;=A78),1,0))</f>
        <v>1</v>
      </c>
      <c r="AU78" s="137" t="n">
        <f aca="false">IF(A79="","",AO78*AT78)</f>
        <v>28</v>
      </c>
      <c r="AW78" s="195" t="e">
        <f aca="false">IF($A79="","",AL78*$E78)</f>
        <v>#NAME?</v>
      </c>
      <c r="AX78" s="195" t="e">
        <f aca="false">IF($A79="","",AM78*$E78)</f>
        <v>#N/A</v>
      </c>
      <c r="AY78" s="195" t="e">
        <f aca="false">IF($A79="","",AN78*$E78)</f>
        <v>#N/A</v>
      </c>
      <c r="BA78" s="195" t="n">
        <f aca="false">IF($A79="","",F78*Summary!$Q$8)</f>
        <v>0</v>
      </c>
      <c r="BC78" s="179" t="e">
        <f aca="false">IF(A79="","",AM78*F78)</f>
        <v>#N/A</v>
      </c>
    </row>
    <row r="79" customFormat="false" ht="12.75" hidden="false" customHeight="false" outlineLevel="0" collapsed="false">
      <c r="A79" s="196" t="n">
        <f aca="false">IF(A78&lt;mthend,EDATE(A78,1),"")</f>
        <v>39142</v>
      </c>
      <c r="B79" s="197" t="n">
        <f aca="false">IF(A79&lt;mthend,B78,0)</f>
        <v>80000</v>
      </c>
      <c r="C79" s="215"/>
      <c r="D79" s="197" t="n">
        <f aca="false">IF(A80&lt;&gt;"",B79+C79,"")</f>
        <v>80000</v>
      </c>
      <c r="E79" s="199" t="n">
        <f aca="false">IF(A80="","",IF(AND(AT79=1,$H$3=1),D79*AO79,IF($H$3=2,D79,"N/A")))</f>
        <v>2480000</v>
      </c>
      <c r="F79" s="199" t="n">
        <f aca="false">IF(A80="","",E79*AS79)</f>
        <v>15190565.8838706</v>
      </c>
      <c r="G79" s="200" t="e">
        <f aca="false">IF($A80="","",VLOOKUP($A79,Table,MATCH(G$4,Curves,0)))</f>
        <v>#N/A</v>
      </c>
      <c r="H79" s="201" t="e">
        <f aca="false">IF(A80="","",G79)</f>
        <v>#N/A</v>
      </c>
      <c r="I79" s="202"/>
      <c r="J79" s="200" t="e">
        <f aca="false">IF($A80="","",VLOOKUP($A79,Table,MATCH(J$4,Curves,0)))</f>
        <v>#N/A</v>
      </c>
      <c r="K79" s="201" t="e">
        <f aca="false">IF(A80="","",J79)</f>
        <v>#N/A</v>
      </c>
      <c r="L79" s="200" t="e">
        <f aca="false">IF($A80="","",VLOOKUP($A79,Table,MATCH(L$4,Curves,0)))</f>
        <v>#N/A</v>
      </c>
      <c r="M79" s="201" t="e">
        <f aca="false">IF(A80="","",L79)</f>
        <v>#N/A</v>
      </c>
      <c r="N79" s="203"/>
      <c r="O79" s="200" t="e">
        <f aca="false">IF(A80="","",L79+J79+G79)</f>
        <v>#N/A</v>
      </c>
      <c r="P79" s="200" t="e">
        <f aca="false">IF(A80="","",M79+K79+H79)</f>
        <v>#N/A</v>
      </c>
      <c r="Q79" s="204"/>
      <c r="R79" s="200" t="e">
        <f aca="false">IF($A80="","",VLOOKUP($A79,Table,MATCH(R$4,Curves,0)))</f>
        <v>#N/A</v>
      </c>
      <c r="S79" s="201" t="e">
        <f aca="false">IF(A80="","",R79)</f>
        <v>#N/A</v>
      </c>
      <c r="T79" s="200" t="e">
        <f aca="false">IF($A80="","",VLOOKUP($A79,Table,MATCH(T$4,Curves,0)))</f>
        <v>#N/A</v>
      </c>
      <c r="U79" s="201" t="e">
        <f aca="false">IF(A80="","",T79)</f>
        <v>#N/A</v>
      </c>
      <c r="V79" s="183" t="e">
        <f aca="false">IF($A80="","",IF(AND(MONTH(A79)&gt;3,MONTH(A79)&lt;11),(T79+R79+G79)*Summary!$T$8/(1-Summary!$T$8),(T79+R79+G79)*Summary!$U$8/(1-Summary!$U$8)))</f>
        <v>#N/A</v>
      </c>
      <c r="W79" s="200" t="e">
        <f aca="false">IF($A80="","",(T79+R79+G79+V79))</f>
        <v>#N/A</v>
      </c>
      <c r="X79" s="200" t="e">
        <f aca="false">IF($A80="","",(U79+S79+H79+V79))</f>
        <v>#N/A</v>
      </c>
      <c r="Y79" s="202"/>
      <c r="Z79" s="185" t="e">
        <f aca="false">IF($A80="","",VLOOKUP($A79,Table,MATCH(Z$4,Curves,0)))</f>
        <v>#N/A</v>
      </c>
      <c r="AA79" s="185" t="e">
        <f aca="false">IF($A80="","",VLOOKUP($A79,Table,MATCH(AA$4,Curves,0)))</f>
        <v>#N/A</v>
      </c>
      <c r="AB79" s="185" t="e">
        <f aca="false">SQRT((AA79^2*(A79-$D$3)+Z79^2*(DAY(EOMONTH(A79,0))/2))/AK79)</f>
        <v>#N/A</v>
      </c>
      <c r="AC79" s="185" t="e">
        <f aca="false">IF($A80="","",VLOOKUP($A79,Table,MATCH(AC$4,Curves,0)))</f>
        <v>#N/A</v>
      </c>
      <c r="AD79" s="185" t="e">
        <f aca="false">IF($A80="","",VLOOKUP($A79,Table,MATCH(AD$4,Curves,0)))</f>
        <v>#N/A</v>
      </c>
      <c r="AE79" s="185" t="e">
        <f aca="false">SQRT((AD79^2*(A79-$D$3)+AC79^2*(DAY(EOMONTH(A79,0))/2))/AK79)</f>
        <v>#N/A</v>
      </c>
      <c r="AF79" s="224" t="e">
        <f aca="false">((Summary!$N$8*(AA79*AD79)*(A79-$D$3))+(Summary!$M$8*Z79*AC79*(AJ79-EOMONTH(EDATE(A79,-1),0))))/(AK79*AB79*AE79)</f>
        <v>#N/A</v>
      </c>
      <c r="AG79" s="207" t="n">
        <f aca="false">IF($A80="","",Summary!$Q$8)</f>
        <v>0</v>
      </c>
      <c r="AH79" s="207" t="n">
        <f aca="false">IF($A80="","",IF(Summary!$R$8="Y",(VLOOKUP($A79,Summary!$AD$6:$AF$9,3)+'Escalating commodity'!D92),'Escalating commodity'!D92))</f>
        <v>0.0200232</v>
      </c>
      <c r="AI79" s="207" t="n">
        <f aca="false">IF($A80="","",AH79)</f>
        <v>0.0200232</v>
      </c>
      <c r="AJ79" s="208" t="n">
        <f aca="false">A79+DAY(EOMONTH(A79,0))/2-1</f>
        <v>39156.5</v>
      </c>
      <c r="AK79" s="209" t="n">
        <f aca="false">IF($A80="","",$A79-$E$1)</f>
        <v>-6784</v>
      </c>
      <c r="AL79" s="182" t="e">
        <f aca="false">IF($A80="","",SPRDOPT(P79,X79,AI79,0,AB79,AE79,AF79,AK79,$AJ$2,0))</f>
        <v>#NAME?</v>
      </c>
      <c r="AM79" s="211" t="e">
        <f aca="false">IF($A80="","",MAX(0,O79-W79-AI79))</f>
        <v>#N/A</v>
      </c>
      <c r="AN79" s="211" t="e">
        <f aca="false">IF($A80="","",AL79-AM79)</f>
        <v>#N/A</v>
      </c>
      <c r="AO79" s="137" t="n">
        <f aca="false">IF(A80="","",A80-A79)</f>
        <v>31</v>
      </c>
      <c r="AP79" s="212" t="n">
        <f aca="false">IF(A80="","",CHOOSE(F$3,A80+24,A79))</f>
        <v>39142</v>
      </c>
      <c r="AQ79" s="209" t="n">
        <f aca="false">IF(A80="","",AP79-$E$1)</f>
        <v>-6784</v>
      </c>
      <c r="AR79" s="185" t="n">
        <f aca="false">'ANR OK vs ML7'!AR79</f>
        <v>0.1</v>
      </c>
      <c r="AS79" s="213" t="n">
        <f aca="false">IF(A80="","",1/(1+CHOOSE(F$3,(AR80+($I$3/10000))/2,(AR79+($I$3/10000))/2))^(2*AQ79/365.25))</f>
        <v>6.12522817898009</v>
      </c>
      <c r="AT79" s="137" t="n">
        <f aca="false">IF(A80="","",IF(AND(mthbeg&lt;=A79,mthend&gt;=A79),1,0))</f>
        <v>1</v>
      </c>
      <c r="AU79" s="137" t="n">
        <f aca="false">IF(A80="","",AO79*AT79)</f>
        <v>31</v>
      </c>
      <c r="AW79" s="195" t="e">
        <f aca="false">IF($A80="","",AL79*$E79)</f>
        <v>#NAME?</v>
      </c>
      <c r="AX79" s="195" t="e">
        <f aca="false">IF($A80="","",AM79*$E79)</f>
        <v>#N/A</v>
      </c>
      <c r="AY79" s="195" t="e">
        <f aca="false">IF($A80="","",AN79*$E79)</f>
        <v>#N/A</v>
      </c>
      <c r="BA79" s="195" t="n">
        <f aca="false">IF($A80="","",F79*Summary!$Q$8)</f>
        <v>0</v>
      </c>
      <c r="BC79" s="179" t="e">
        <f aca="false">IF(A80="","",AM79*F79)</f>
        <v>#N/A</v>
      </c>
    </row>
    <row r="80" customFormat="false" ht="12.75" hidden="false" customHeight="false" outlineLevel="0" collapsed="false">
      <c r="A80" s="196" t="n">
        <f aca="false">IF(A79&lt;mthend,EDATE(A79,1),"")</f>
        <v>39173</v>
      </c>
      <c r="B80" s="197" t="n">
        <f aca="false">IF(A80&lt;mthend,B79,0)</f>
        <v>80000</v>
      </c>
      <c r="C80" s="215"/>
      <c r="D80" s="197" t="n">
        <f aca="false">IF(A81&lt;&gt;"",B80+C80,"")</f>
        <v>80000</v>
      </c>
      <c r="E80" s="199" t="n">
        <f aca="false">IF(A81="","",IF(AND(AT80=1,$H$3=1),D80*AO80,IF($H$3=2,D80,"N/A")))</f>
        <v>2400000</v>
      </c>
      <c r="F80" s="199" t="n">
        <f aca="false">IF(A81="","",E80*AS80)</f>
        <v>14579300.8836007</v>
      </c>
      <c r="G80" s="200" t="e">
        <f aca="false">IF($A81="","",VLOOKUP($A80,Table,MATCH(G$4,Curves,0)))</f>
        <v>#N/A</v>
      </c>
      <c r="H80" s="201" t="e">
        <f aca="false">IF(A81="","",G80)</f>
        <v>#N/A</v>
      </c>
      <c r="I80" s="202"/>
      <c r="J80" s="200" t="e">
        <f aca="false">IF($A81="","",VLOOKUP($A80,Table,MATCH(J$4,Curves,0)))</f>
        <v>#N/A</v>
      </c>
      <c r="K80" s="201" t="e">
        <f aca="false">IF(A81="","",J80)</f>
        <v>#N/A</v>
      </c>
      <c r="L80" s="200" t="e">
        <f aca="false">IF($A81="","",VLOOKUP($A80,Table,MATCH(L$4,Curves,0)))</f>
        <v>#N/A</v>
      </c>
      <c r="M80" s="201" t="e">
        <f aca="false">IF(A81="","",L80)</f>
        <v>#N/A</v>
      </c>
      <c r="N80" s="203"/>
      <c r="O80" s="200" t="e">
        <f aca="false">IF(A81="","",L80+J80+G80)</f>
        <v>#N/A</v>
      </c>
      <c r="P80" s="200" t="e">
        <f aca="false">IF(A81="","",M80+K80+H80)</f>
        <v>#N/A</v>
      </c>
      <c r="Q80" s="204"/>
      <c r="R80" s="200" t="e">
        <f aca="false">IF($A81="","",VLOOKUP($A80,Table,MATCH(R$4,Curves,0)))</f>
        <v>#N/A</v>
      </c>
      <c r="S80" s="201" t="e">
        <f aca="false">IF(A81="","",R80)</f>
        <v>#N/A</v>
      </c>
      <c r="T80" s="200" t="e">
        <f aca="false">IF($A81="","",VLOOKUP($A80,Table,MATCH(T$4,Curves,0)))</f>
        <v>#N/A</v>
      </c>
      <c r="U80" s="201" t="e">
        <f aca="false">IF(A81="","",T80)</f>
        <v>#N/A</v>
      </c>
      <c r="V80" s="183" t="e">
        <f aca="false">IF($A81="","",IF(AND(MONTH(A80)&gt;3,MONTH(A80)&lt;11),(T80+R80+G80)*Summary!$T$8/(1-Summary!$T$8),(T80+R80+G80)*Summary!$U$8/(1-Summary!$U$8)))</f>
        <v>#N/A</v>
      </c>
      <c r="W80" s="200" t="e">
        <f aca="false">IF($A81="","",(T80+R80+G80+V80))</f>
        <v>#N/A</v>
      </c>
      <c r="X80" s="200" t="e">
        <f aca="false">IF($A81="","",(U80+S80+H80+V80))</f>
        <v>#N/A</v>
      </c>
      <c r="Y80" s="202"/>
      <c r="Z80" s="185" t="e">
        <f aca="false">IF($A81="","",VLOOKUP($A80,Table,MATCH(Z$4,Curves,0)))</f>
        <v>#N/A</v>
      </c>
      <c r="AA80" s="185" t="e">
        <f aca="false">IF($A81="","",VLOOKUP($A80,Table,MATCH(AA$4,Curves,0)))</f>
        <v>#N/A</v>
      </c>
      <c r="AB80" s="185" t="e">
        <f aca="false">SQRT((AA80^2*(A80-$D$3)+Z80^2*(DAY(EOMONTH(A80,0))/2))/AK80)</f>
        <v>#N/A</v>
      </c>
      <c r="AC80" s="185" t="e">
        <f aca="false">IF($A81="","",VLOOKUP($A80,Table,MATCH(AC$4,Curves,0)))</f>
        <v>#N/A</v>
      </c>
      <c r="AD80" s="185" t="e">
        <f aca="false">IF($A81="","",VLOOKUP($A80,Table,MATCH(AD$4,Curves,0)))</f>
        <v>#N/A</v>
      </c>
      <c r="AE80" s="185" t="e">
        <f aca="false">SQRT((AD80^2*(A80-$D$3)+AC80^2*(DAY(EOMONTH(A80,0))/2))/AK80)</f>
        <v>#N/A</v>
      </c>
      <c r="AF80" s="224" t="e">
        <f aca="false">((Summary!$N$8*(AA80*AD80)*(A80-$D$3))+(Summary!$M$8*Z80*AC80*(AJ80-EOMONTH(EDATE(A80,-1),0))))/(AK80*AB80*AE80)</f>
        <v>#N/A</v>
      </c>
      <c r="AG80" s="207" t="n">
        <f aca="false">IF($A81="","",Summary!$Q$8)</f>
        <v>0</v>
      </c>
      <c r="AH80" s="207" t="n">
        <f aca="false">IF($A81="","",IF(Summary!$R$8="Y",(VLOOKUP($A80,Summary!$AD$6:$AF$9,3)+'Escalating commodity'!D93),'Escalating commodity'!D93))</f>
        <v>0.0200232</v>
      </c>
      <c r="AI80" s="207" t="n">
        <f aca="false">IF($A81="","",AH80)</f>
        <v>0.0200232</v>
      </c>
      <c r="AJ80" s="208" t="n">
        <f aca="false">A80+DAY(EOMONTH(A80,0))/2-1</f>
        <v>39187</v>
      </c>
      <c r="AK80" s="209" t="n">
        <f aca="false">IF($A81="","",$A80-$E$1)</f>
        <v>-6753</v>
      </c>
      <c r="AL80" s="182" t="e">
        <f aca="false">IF($A81="","",SPRDOPT(P80,X80,AI80,0,AB80,AE80,AF80,AK80,$AJ$2,0))</f>
        <v>#NAME?</v>
      </c>
      <c r="AM80" s="211" t="e">
        <f aca="false">IF($A81="","",MAX(0,O80-W80-AI80))</f>
        <v>#N/A</v>
      </c>
      <c r="AN80" s="211" t="e">
        <f aca="false">IF($A81="","",AL80-AM80)</f>
        <v>#N/A</v>
      </c>
      <c r="AO80" s="137" t="n">
        <f aca="false">IF(A81="","",A81-A80)</f>
        <v>30</v>
      </c>
      <c r="AP80" s="212" t="n">
        <f aca="false">IF(A81="","",CHOOSE(F$3,A81+24,A80))</f>
        <v>39173</v>
      </c>
      <c r="AQ80" s="209" t="n">
        <f aca="false">IF(A81="","",AP80-$E$1)</f>
        <v>-6753</v>
      </c>
      <c r="AR80" s="185" t="n">
        <f aca="false">'ANR OK vs ML7'!AR80</f>
        <v>0.1</v>
      </c>
      <c r="AS80" s="213" t="n">
        <f aca="false">IF(A81="","",1/(1+CHOOSE(F$3,(AR81+($I$3/10000))/2,(AR80+($I$3/10000))/2))^(2*AQ80/365.25))</f>
        <v>6.07470870150031</v>
      </c>
      <c r="AT80" s="137" t="n">
        <f aca="false">IF(A81="","",IF(AND(mthbeg&lt;=A80,mthend&gt;=A80),1,0))</f>
        <v>1</v>
      </c>
      <c r="AU80" s="137" t="n">
        <f aca="false">IF(A81="","",AO80*AT80)</f>
        <v>30</v>
      </c>
      <c r="AW80" s="195" t="e">
        <f aca="false">IF($A81="","",AL80*$E80)</f>
        <v>#NAME?</v>
      </c>
      <c r="AX80" s="195" t="e">
        <f aca="false">IF($A81="","",AM80*$E80)</f>
        <v>#N/A</v>
      </c>
      <c r="AY80" s="195" t="e">
        <f aca="false">IF($A81="","",AN80*$E80)</f>
        <v>#N/A</v>
      </c>
      <c r="BA80" s="195" t="n">
        <f aca="false">IF($A81="","",F80*Summary!$Q$8)</f>
        <v>0</v>
      </c>
      <c r="BC80" s="179" t="e">
        <f aca="false">IF(A81="","",AM80*F80)</f>
        <v>#N/A</v>
      </c>
    </row>
    <row r="81" customFormat="false" ht="12.75" hidden="false" customHeight="false" outlineLevel="0" collapsed="false">
      <c r="A81" s="196" t="n">
        <f aca="false">IF(A80&lt;mthend,EDATE(A80,1),"")</f>
        <v>39203</v>
      </c>
      <c r="B81" s="197" t="n">
        <f aca="false">IF(A81&lt;mthend,B80,0)</f>
        <v>80000</v>
      </c>
      <c r="C81" s="215"/>
      <c r="D81" s="197" t="n">
        <f aca="false">IF(A82&lt;&gt;"",B81+C81,"")</f>
        <v>80000</v>
      </c>
      <c r="E81" s="199" t="n">
        <f aca="false">IF(A82="","",IF(AND(AT81=1,$H$3=1),D81*AO81,IF($H$3=2,D81,"N/A")))</f>
        <v>2480000</v>
      </c>
      <c r="F81" s="199" t="n">
        <f aca="false">IF(A82="","",E81*AS81)</f>
        <v>14945014.8072905</v>
      </c>
      <c r="G81" s="200" t="e">
        <f aca="false">IF($A82="","",VLOOKUP($A81,Table,MATCH(G$4,Curves,0)))</f>
        <v>#N/A</v>
      </c>
      <c r="H81" s="201" t="e">
        <f aca="false">IF(A82="","",G81)</f>
        <v>#N/A</v>
      </c>
      <c r="I81" s="202"/>
      <c r="J81" s="200" t="e">
        <f aca="false">IF($A82="","",VLOOKUP($A81,Table,MATCH(J$4,Curves,0)))</f>
        <v>#N/A</v>
      </c>
      <c r="K81" s="201" t="e">
        <f aca="false">IF(A82="","",J81)</f>
        <v>#N/A</v>
      </c>
      <c r="L81" s="200" t="e">
        <f aca="false">IF($A82="","",VLOOKUP($A81,Table,MATCH(L$4,Curves,0)))</f>
        <v>#N/A</v>
      </c>
      <c r="M81" s="201" t="e">
        <f aca="false">IF(A82="","",L81)</f>
        <v>#N/A</v>
      </c>
      <c r="N81" s="203"/>
      <c r="O81" s="200" t="e">
        <f aca="false">IF(A82="","",L81+J81+G81)</f>
        <v>#N/A</v>
      </c>
      <c r="P81" s="200" t="e">
        <f aca="false">IF(A82="","",M81+K81+H81)</f>
        <v>#N/A</v>
      </c>
      <c r="Q81" s="204"/>
      <c r="R81" s="200" t="e">
        <f aca="false">IF($A82="","",VLOOKUP($A81,Table,MATCH(R$4,Curves,0)))</f>
        <v>#N/A</v>
      </c>
      <c r="S81" s="201" t="e">
        <f aca="false">IF(A82="","",R81)</f>
        <v>#N/A</v>
      </c>
      <c r="T81" s="200" t="e">
        <f aca="false">IF($A82="","",VLOOKUP($A81,Table,MATCH(T$4,Curves,0)))</f>
        <v>#N/A</v>
      </c>
      <c r="U81" s="201" t="e">
        <f aca="false">IF(A82="","",T81)</f>
        <v>#N/A</v>
      </c>
      <c r="V81" s="183" t="e">
        <f aca="false">IF($A82="","",IF(AND(MONTH(A81)&gt;3,MONTH(A81)&lt;11),(T81+R81+G81)*Summary!$T$8/(1-Summary!$T$8),(T81+R81+G81)*Summary!$U$8/(1-Summary!$U$8)))</f>
        <v>#N/A</v>
      </c>
      <c r="W81" s="200" t="e">
        <f aca="false">IF($A82="","",(T81+R81+G81+V81))</f>
        <v>#N/A</v>
      </c>
      <c r="X81" s="200" t="e">
        <f aca="false">IF($A82="","",(U81+S81+H81+V81))</f>
        <v>#N/A</v>
      </c>
      <c r="Y81" s="202"/>
      <c r="Z81" s="185" t="e">
        <f aca="false">IF($A82="","",VLOOKUP($A81,Table,MATCH(Z$4,Curves,0)))</f>
        <v>#N/A</v>
      </c>
      <c r="AA81" s="185" t="e">
        <f aca="false">IF($A82="","",VLOOKUP($A81,Table,MATCH(AA$4,Curves,0)))</f>
        <v>#N/A</v>
      </c>
      <c r="AB81" s="185" t="e">
        <f aca="false">SQRT((AA81^2*(A81-$D$3)+Z81^2*(DAY(EOMONTH(A81,0))/2))/AK81)</f>
        <v>#N/A</v>
      </c>
      <c r="AC81" s="185" t="e">
        <f aca="false">IF($A82="","",VLOOKUP($A81,Table,MATCH(AC$4,Curves,0)))</f>
        <v>#N/A</v>
      </c>
      <c r="AD81" s="185" t="e">
        <f aca="false">IF($A82="","",VLOOKUP($A81,Table,MATCH(AD$4,Curves,0)))</f>
        <v>#N/A</v>
      </c>
      <c r="AE81" s="185" t="e">
        <f aca="false">SQRT((AD81^2*(A81-$D$3)+AC81^2*(DAY(EOMONTH(A81,0))/2))/AK81)</f>
        <v>#N/A</v>
      </c>
      <c r="AF81" s="224" t="e">
        <f aca="false">((Summary!$N$8*(AA81*AD81)*(A81-$D$3))+(Summary!$M$8*Z81*AC81*(AJ81-EOMONTH(EDATE(A81,-1),0))))/(AK81*AB81*AE81)</f>
        <v>#N/A</v>
      </c>
      <c r="AG81" s="207" t="n">
        <f aca="false">IF($A82="","",Summary!$Q$8)</f>
        <v>0</v>
      </c>
      <c r="AH81" s="207" t="n">
        <f aca="false">IF($A82="","",IF(Summary!$R$8="Y",(VLOOKUP($A81,Summary!$AD$6:$AF$9,3)+'Escalating commodity'!D94),'Escalating commodity'!D94))</f>
        <v>0.0200232</v>
      </c>
      <c r="AI81" s="207" t="n">
        <f aca="false">IF($A82="","",AH81)</f>
        <v>0.0200232</v>
      </c>
      <c r="AJ81" s="208" t="n">
        <f aca="false">A81+DAY(EOMONTH(A81,0))/2-1</f>
        <v>39217.5</v>
      </c>
      <c r="AK81" s="209" t="n">
        <f aca="false">IF($A82="","",$A81-$E$1)</f>
        <v>-6723</v>
      </c>
      <c r="AL81" s="182" t="e">
        <f aca="false">IF($A82="","",SPRDOPT(P81,X81,AI81,0,AB81,AE81,AF81,AK81,$AJ$2,0))</f>
        <v>#NAME?</v>
      </c>
      <c r="AM81" s="211" t="e">
        <f aca="false">IF($A82="","",MAX(0,O81-W81-AI81))</f>
        <v>#N/A</v>
      </c>
      <c r="AN81" s="211" t="e">
        <f aca="false">IF($A82="","",AL81-AM81)</f>
        <v>#N/A</v>
      </c>
      <c r="AO81" s="137" t="n">
        <f aca="false">IF(A82="","",A82-A81)</f>
        <v>31</v>
      </c>
      <c r="AP81" s="212" t="n">
        <f aca="false">IF(A82="","",CHOOSE(F$3,A82+24,A81))</f>
        <v>39203</v>
      </c>
      <c r="AQ81" s="209" t="n">
        <f aca="false">IF(A82="","",AP81-$E$1)</f>
        <v>-6723</v>
      </c>
      <c r="AR81" s="185" t="n">
        <f aca="false">'ANR OK vs ML7'!AR81</f>
        <v>0.1</v>
      </c>
      <c r="AS81" s="213" t="n">
        <f aca="false">IF(A82="","",1/(1+CHOOSE(F$3,(AR82+($I$3/10000))/2,(AR81+($I$3/10000))/2))^(2*AQ81/365.25))</f>
        <v>6.02621564810102</v>
      </c>
      <c r="AT81" s="137" t="n">
        <f aca="false">IF(A82="","",IF(AND(mthbeg&lt;=A81,mthend&gt;=A81),1,0))</f>
        <v>1</v>
      </c>
      <c r="AU81" s="137" t="n">
        <f aca="false">IF(A82="","",AO81*AT81)</f>
        <v>31</v>
      </c>
      <c r="AW81" s="195" t="e">
        <f aca="false">IF($A82="","",AL81*$E81)</f>
        <v>#NAME?</v>
      </c>
      <c r="AX81" s="195" t="e">
        <f aca="false">IF($A82="","",AM81*$E81)</f>
        <v>#N/A</v>
      </c>
      <c r="AY81" s="195" t="e">
        <f aca="false">IF($A82="","",AN81*$E81)</f>
        <v>#N/A</v>
      </c>
      <c r="BA81" s="195" t="n">
        <f aca="false">IF($A82="","",F81*Summary!$Q$8)</f>
        <v>0</v>
      </c>
      <c r="BC81" s="179" t="e">
        <f aca="false">IF(A82="","",AM81*F81)</f>
        <v>#N/A</v>
      </c>
    </row>
    <row r="82" customFormat="false" ht="12.75" hidden="false" customHeight="false" outlineLevel="0" collapsed="false">
      <c r="A82" s="196" t="n">
        <f aca="false">IF(A81&lt;mthend,EDATE(A81,1),"")</f>
        <v>39234</v>
      </c>
      <c r="B82" s="197" t="n">
        <f aca="false">IF(A82&lt;mthend,B81,0)</f>
        <v>80000</v>
      </c>
      <c r="C82" s="215"/>
      <c r="D82" s="197" t="n">
        <f aca="false">IF(A83&lt;&gt;"",B82+C82,"")</f>
        <v>80000</v>
      </c>
      <c r="E82" s="199" t="n">
        <f aca="false">IF(A83="","",IF(AND(AT82=1,$H$3=1),D82*AO82,IF($H$3=2,D82,"N/A")))</f>
        <v>2400000</v>
      </c>
      <c r="F82" s="199" t="n">
        <f aca="false">IF(A83="","",E82*AS82)</f>
        <v>14343630.7278527</v>
      </c>
      <c r="G82" s="200" t="e">
        <f aca="false">IF($A83="","",VLOOKUP($A82,Table,MATCH(G$4,Curves,0)))</f>
        <v>#N/A</v>
      </c>
      <c r="H82" s="201" t="e">
        <f aca="false">IF(A83="","",G82)</f>
        <v>#N/A</v>
      </c>
      <c r="I82" s="202"/>
      <c r="J82" s="200" t="e">
        <f aca="false">IF($A83="","",VLOOKUP($A82,Table,MATCH(J$4,Curves,0)))</f>
        <v>#N/A</v>
      </c>
      <c r="K82" s="201" t="e">
        <f aca="false">IF(A83="","",J82)</f>
        <v>#N/A</v>
      </c>
      <c r="L82" s="200" t="e">
        <f aca="false">IF($A83="","",VLOOKUP($A82,Table,MATCH(L$4,Curves,0)))</f>
        <v>#N/A</v>
      </c>
      <c r="M82" s="201" t="e">
        <f aca="false">IF(A83="","",L82)</f>
        <v>#N/A</v>
      </c>
      <c r="N82" s="203"/>
      <c r="O82" s="200" t="e">
        <f aca="false">IF(A83="","",L82+J82+G82)</f>
        <v>#N/A</v>
      </c>
      <c r="P82" s="200" t="e">
        <f aca="false">IF(A83="","",M82+K82+H82)</f>
        <v>#N/A</v>
      </c>
      <c r="Q82" s="204"/>
      <c r="R82" s="200" t="e">
        <f aca="false">IF($A83="","",VLOOKUP($A82,Table,MATCH(R$4,Curves,0)))</f>
        <v>#N/A</v>
      </c>
      <c r="S82" s="201" t="e">
        <f aca="false">IF(A83="","",R82)</f>
        <v>#N/A</v>
      </c>
      <c r="T82" s="200" t="e">
        <f aca="false">IF($A83="","",VLOOKUP($A82,Table,MATCH(T$4,Curves,0)))</f>
        <v>#N/A</v>
      </c>
      <c r="U82" s="201" t="e">
        <f aca="false">IF(A83="","",T82)</f>
        <v>#N/A</v>
      </c>
      <c r="V82" s="183" t="e">
        <f aca="false">IF($A83="","",IF(AND(MONTH(A82)&gt;3,MONTH(A82)&lt;11),(T82+R82+G82)*Summary!$T$8/(1-Summary!$T$8),(T82+R82+G82)*Summary!$U$8/(1-Summary!$U$8)))</f>
        <v>#N/A</v>
      </c>
      <c r="W82" s="200" t="e">
        <f aca="false">IF($A83="","",(T82+R82+G82+V82))</f>
        <v>#N/A</v>
      </c>
      <c r="X82" s="200" t="e">
        <f aca="false">IF($A83="","",(U82+S82+H82+V82))</f>
        <v>#N/A</v>
      </c>
      <c r="Y82" s="202"/>
      <c r="Z82" s="185" t="e">
        <f aca="false">IF($A83="","",VLOOKUP($A82,Table,MATCH(Z$4,Curves,0)))</f>
        <v>#N/A</v>
      </c>
      <c r="AA82" s="185" t="e">
        <f aca="false">IF($A83="","",VLOOKUP($A82,Table,MATCH(AA$4,Curves,0)))</f>
        <v>#N/A</v>
      </c>
      <c r="AB82" s="185" t="e">
        <f aca="false">SQRT((AA82^2*(A82-$D$3)+Z82^2*(DAY(EOMONTH(A82,0))/2))/AK82)</f>
        <v>#N/A</v>
      </c>
      <c r="AC82" s="185" t="e">
        <f aca="false">IF($A83="","",VLOOKUP($A82,Table,MATCH(AC$4,Curves,0)))</f>
        <v>#N/A</v>
      </c>
      <c r="AD82" s="185" t="e">
        <f aca="false">IF($A83="","",VLOOKUP($A82,Table,MATCH(AD$4,Curves,0)))</f>
        <v>#N/A</v>
      </c>
      <c r="AE82" s="185" t="e">
        <f aca="false">SQRT((AD82^2*(A82-$D$3)+AC82^2*(DAY(EOMONTH(A82,0))/2))/AK82)</f>
        <v>#N/A</v>
      </c>
      <c r="AF82" s="224" t="e">
        <f aca="false">((Summary!$N$8*(AA82*AD82)*(A82-$D$3))+(Summary!$M$8*Z82*AC82*(AJ82-EOMONTH(EDATE(A82,-1),0))))/(AK82*AB82*AE82)</f>
        <v>#N/A</v>
      </c>
      <c r="AG82" s="207" t="n">
        <f aca="false">IF($A83="","",Summary!$Q$8)</f>
        <v>0</v>
      </c>
      <c r="AH82" s="207" t="n">
        <f aca="false">IF($A83="","",IF(Summary!$R$8="Y",(VLOOKUP($A82,Summary!$AD$6:$AF$9,3)+'Escalating commodity'!D95),'Escalating commodity'!D95))</f>
        <v>0.0200232</v>
      </c>
      <c r="AI82" s="207" t="n">
        <f aca="false">IF($A83="","",AH82)</f>
        <v>0.0200232</v>
      </c>
      <c r="AJ82" s="208" t="n">
        <f aca="false">A82+DAY(EOMONTH(A82,0))/2-1</f>
        <v>39248</v>
      </c>
      <c r="AK82" s="209" t="n">
        <f aca="false">IF($A83="","",$A82-$E$1)</f>
        <v>-6692</v>
      </c>
      <c r="AL82" s="182" t="e">
        <f aca="false">IF($A83="","",SPRDOPT(P82,X82,AI82,0,AB82,AE82,AF82,AK82,$AJ$2,0))</f>
        <v>#NAME?</v>
      </c>
      <c r="AM82" s="211" t="e">
        <f aca="false">IF($A83="","",MAX(0,O82-W82-AI82))</f>
        <v>#N/A</v>
      </c>
      <c r="AN82" s="211" t="e">
        <f aca="false">IF($A83="","",AL82-AM82)</f>
        <v>#N/A</v>
      </c>
      <c r="AO82" s="137" t="n">
        <f aca="false">IF(A83="","",A83-A82)</f>
        <v>30</v>
      </c>
      <c r="AP82" s="212" t="n">
        <f aca="false">IF(A83="","",CHOOSE(F$3,A83+24,A82))</f>
        <v>39234</v>
      </c>
      <c r="AQ82" s="209" t="n">
        <f aca="false">IF(A83="","",AP82-$E$1)</f>
        <v>-6692</v>
      </c>
      <c r="AR82" s="185" t="n">
        <f aca="false">'ANR OK vs ML7'!AR82</f>
        <v>0.1</v>
      </c>
      <c r="AS82" s="213" t="n">
        <f aca="false">IF(A83="","",1/(1+CHOOSE(F$3,(AR83+($I$3/10000))/2,(AR82+($I$3/10000))/2))^(2*AQ82/365.25))</f>
        <v>5.97651280327195</v>
      </c>
      <c r="AT82" s="137" t="n">
        <f aca="false">IF(A83="","",IF(AND(mthbeg&lt;=A82,mthend&gt;=A82),1,0))</f>
        <v>1</v>
      </c>
      <c r="AU82" s="137" t="n">
        <f aca="false">IF(A83="","",AO82*AT82)</f>
        <v>30</v>
      </c>
      <c r="AW82" s="195" t="e">
        <f aca="false">IF($A83="","",AL82*$E82)</f>
        <v>#NAME?</v>
      </c>
      <c r="AX82" s="195" t="e">
        <f aca="false">IF($A83="","",AM82*$E82)</f>
        <v>#N/A</v>
      </c>
      <c r="AY82" s="195" t="e">
        <f aca="false">IF($A83="","",AN82*$E82)</f>
        <v>#N/A</v>
      </c>
      <c r="BA82" s="195" t="n">
        <f aca="false">IF($A83="","",F82*Summary!$Q$8)</f>
        <v>0</v>
      </c>
      <c r="BC82" s="179" t="e">
        <f aca="false">IF(A83="","",AM82*F82)</f>
        <v>#N/A</v>
      </c>
    </row>
    <row r="83" customFormat="false" ht="12.75" hidden="false" customHeight="false" outlineLevel="0" collapsed="false">
      <c r="A83" s="196" t="n">
        <f aca="false">IF(A82&lt;mthend,EDATE(A82,1),"")</f>
        <v>39264</v>
      </c>
      <c r="B83" s="197" t="n">
        <f aca="false">IF(A83&lt;mthend,B82,0)</f>
        <v>80000</v>
      </c>
      <c r="C83" s="215"/>
      <c r="D83" s="197" t="n">
        <f aca="false">IF(A84&lt;&gt;"",B83+C83,"")</f>
        <v>80000</v>
      </c>
      <c r="E83" s="199" t="n">
        <f aca="false">IF(A84="","",IF(AND(AT83=1,$H$3=1),D83*AO83,IF($H$3=2,D83,"N/A")))</f>
        <v>2480000</v>
      </c>
      <c r="F83" s="199" t="n">
        <f aca="false">IF(A84="","",E83*AS83)</f>
        <v>14703432.9924003</v>
      </c>
      <c r="G83" s="200" t="e">
        <f aca="false">IF($A84="","",VLOOKUP($A83,Table,MATCH(G$4,Curves,0)))</f>
        <v>#N/A</v>
      </c>
      <c r="H83" s="201" t="e">
        <f aca="false">IF(A84="","",G83)</f>
        <v>#N/A</v>
      </c>
      <c r="I83" s="202"/>
      <c r="J83" s="200" t="e">
        <f aca="false">IF($A84="","",VLOOKUP($A83,Table,MATCH(J$4,Curves,0)))</f>
        <v>#N/A</v>
      </c>
      <c r="K83" s="201" t="e">
        <f aca="false">IF(A84="","",J83)</f>
        <v>#N/A</v>
      </c>
      <c r="L83" s="200" t="e">
        <f aca="false">IF($A84="","",VLOOKUP($A83,Table,MATCH(L$4,Curves,0)))</f>
        <v>#N/A</v>
      </c>
      <c r="M83" s="201" t="e">
        <f aca="false">IF(A84="","",L83)</f>
        <v>#N/A</v>
      </c>
      <c r="N83" s="203"/>
      <c r="O83" s="200" t="e">
        <f aca="false">IF(A84="","",L83+J83+G83)</f>
        <v>#N/A</v>
      </c>
      <c r="P83" s="200" t="e">
        <f aca="false">IF(A84="","",M83+K83+H83)</f>
        <v>#N/A</v>
      </c>
      <c r="Q83" s="204"/>
      <c r="R83" s="200" t="e">
        <f aca="false">IF($A84="","",VLOOKUP($A83,Table,MATCH(R$4,Curves,0)))</f>
        <v>#N/A</v>
      </c>
      <c r="S83" s="201" t="e">
        <f aca="false">IF(A84="","",R83)</f>
        <v>#N/A</v>
      </c>
      <c r="T83" s="200" t="e">
        <f aca="false">IF($A84="","",VLOOKUP($A83,Table,MATCH(T$4,Curves,0)))</f>
        <v>#N/A</v>
      </c>
      <c r="U83" s="201" t="e">
        <f aca="false">IF(A84="","",T83)</f>
        <v>#N/A</v>
      </c>
      <c r="V83" s="183" t="e">
        <f aca="false">IF($A84="","",IF(AND(MONTH(A83)&gt;3,MONTH(A83)&lt;11),(T83+R83+G83)*Summary!$T$8/(1-Summary!$T$8),(T83+R83+G83)*Summary!$U$8/(1-Summary!$U$8)))</f>
        <v>#N/A</v>
      </c>
      <c r="W83" s="200" t="e">
        <f aca="false">IF($A84="","",(T83+R83+G83+V83))</f>
        <v>#N/A</v>
      </c>
      <c r="X83" s="200" t="e">
        <f aca="false">IF($A84="","",(U83+S83+H83+V83))</f>
        <v>#N/A</v>
      </c>
      <c r="Y83" s="202"/>
      <c r="Z83" s="185" t="e">
        <f aca="false">IF($A84="","",VLOOKUP($A83,Table,MATCH(Z$4,Curves,0)))</f>
        <v>#N/A</v>
      </c>
      <c r="AA83" s="185" t="e">
        <f aca="false">IF($A84="","",VLOOKUP($A83,Table,MATCH(AA$4,Curves,0)))</f>
        <v>#N/A</v>
      </c>
      <c r="AB83" s="185" t="e">
        <f aca="false">SQRT((AA83^2*(A83-$D$3)+Z83^2*(DAY(EOMONTH(A83,0))/2))/AK83)</f>
        <v>#N/A</v>
      </c>
      <c r="AC83" s="185" t="e">
        <f aca="false">IF($A84="","",VLOOKUP($A83,Table,MATCH(AC$4,Curves,0)))</f>
        <v>#N/A</v>
      </c>
      <c r="AD83" s="185" t="e">
        <f aca="false">IF($A84="","",VLOOKUP($A83,Table,MATCH(AD$4,Curves,0)))</f>
        <v>#N/A</v>
      </c>
      <c r="AE83" s="185" t="e">
        <f aca="false">SQRT((AD83^2*(A83-$D$3)+AC83^2*(DAY(EOMONTH(A83,0))/2))/AK83)</f>
        <v>#N/A</v>
      </c>
      <c r="AF83" s="224" t="e">
        <f aca="false">((Summary!$N$8*(AA83*AD83)*(A83-$D$3))+(Summary!$M$8*Z83*AC83*(AJ83-EOMONTH(EDATE(A83,-1),0))))/(AK83*AB83*AE83)</f>
        <v>#N/A</v>
      </c>
      <c r="AG83" s="207" t="n">
        <f aca="false">IF($A84="","",Summary!$Q$8)</f>
        <v>0</v>
      </c>
      <c r="AH83" s="207" t="n">
        <f aca="false">IF($A84="","",IF(Summary!$R$8="Y",(VLOOKUP($A83,Summary!$AD$6:$AF$9,3)+'Escalating commodity'!D96),'Escalating commodity'!D96))</f>
        <v>0.0200232</v>
      </c>
      <c r="AI83" s="207" t="n">
        <f aca="false">IF($A84="","",AH83)</f>
        <v>0.0200232</v>
      </c>
      <c r="AJ83" s="208" t="n">
        <f aca="false">A83+DAY(EOMONTH(A83,0))/2-1</f>
        <v>39278.5</v>
      </c>
      <c r="AK83" s="209" t="n">
        <f aca="false">IF($A84="","",$A83-$E$1)</f>
        <v>-6662</v>
      </c>
      <c r="AL83" s="182" t="e">
        <f aca="false">IF($A84="","",SPRDOPT(P83,X83,AI83,0,AB83,AE83,AF83,AK83,$AJ$2,0))</f>
        <v>#NAME?</v>
      </c>
      <c r="AM83" s="211" t="e">
        <f aca="false">IF($A84="","",MAX(0,O83-W83-AI83))</f>
        <v>#N/A</v>
      </c>
      <c r="AN83" s="211" t="e">
        <f aca="false">IF($A84="","",AL83-AM83)</f>
        <v>#N/A</v>
      </c>
      <c r="AO83" s="137" t="n">
        <f aca="false">IF(A84="","",A84-A83)</f>
        <v>31</v>
      </c>
      <c r="AP83" s="212" t="n">
        <f aca="false">IF(A84="","",CHOOSE(F$3,A84+24,A83))</f>
        <v>39264</v>
      </c>
      <c r="AQ83" s="209" t="n">
        <f aca="false">IF(A84="","",AP83-$E$1)</f>
        <v>-6662</v>
      </c>
      <c r="AR83" s="185" t="n">
        <f aca="false">'ANR OK vs ML7'!AR83</f>
        <v>0.1</v>
      </c>
      <c r="AS83" s="213" t="n">
        <f aca="false">IF(A84="","",1/(1+CHOOSE(F$3,(AR84+($I$3/10000))/2,(AR83+($I$3/10000))/2))^(2*AQ83/365.25))</f>
        <v>5.92880362596785</v>
      </c>
      <c r="AT83" s="137" t="n">
        <f aca="false">IF(A84="","",IF(AND(mthbeg&lt;=A83,mthend&gt;=A83),1,0))</f>
        <v>1</v>
      </c>
      <c r="AU83" s="137" t="n">
        <f aca="false">IF(A84="","",AO83*AT83)</f>
        <v>31</v>
      </c>
      <c r="AW83" s="195" t="e">
        <f aca="false">IF($A84="","",AL83*$E83)</f>
        <v>#NAME?</v>
      </c>
      <c r="AX83" s="195" t="e">
        <f aca="false">IF($A84="","",AM83*$E83)</f>
        <v>#N/A</v>
      </c>
      <c r="AY83" s="195" t="e">
        <f aca="false">IF($A84="","",AN83*$E83)</f>
        <v>#N/A</v>
      </c>
      <c r="BA83" s="195" t="n">
        <f aca="false">IF($A84="","",F83*Summary!$Q$8)</f>
        <v>0</v>
      </c>
      <c r="BC83" s="179" t="e">
        <f aca="false">IF(A84="","",AM83*F83)</f>
        <v>#N/A</v>
      </c>
    </row>
    <row r="84" customFormat="false" ht="12.75" hidden="false" customHeight="false" outlineLevel="0" collapsed="false">
      <c r="A84" s="196" t="n">
        <f aca="false">IF(A83&lt;mthend,EDATE(A83,1),"")</f>
        <v>39295</v>
      </c>
      <c r="B84" s="197" t="n">
        <f aca="false">IF(A84&lt;mthend,B83,0)</f>
        <v>80000</v>
      </c>
      <c r="C84" s="215"/>
      <c r="D84" s="197" t="n">
        <f aca="false">IF(A85&lt;&gt;"",B84+C84,"")</f>
        <v>80000</v>
      </c>
      <c r="E84" s="199" t="n">
        <f aca="false">IF(A85="","",IF(AND(AT84=1,$H$3=1),D84*AO84,IF($H$3=2,D84,"N/A")))</f>
        <v>2480000</v>
      </c>
      <c r="F84" s="199" t="n">
        <f aca="false">IF(A85="","",E84*AS84)</f>
        <v>14582162.4486377</v>
      </c>
      <c r="G84" s="200" t="e">
        <f aca="false">IF($A85="","",VLOOKUP($A84,Table,MATCH(G$4,Curves,0)))</f>
        <v>#N/A</v>
      </c>
      <c r="H84" s="201" t="e">
        <f aca="false">IF(A85="","",G84)</f>
        <v>#N/A</v>
      </c>
      <c r="I84" s="202"/>
      <c r="J84" s="200" t="e">
        <f aca="false">IF($A85="","",VLOOKUP($A84,Table,MATCH(J$4,Curves,0)))</f>
        <v>#N/A</v>
      </c>
      <c r="K84" s="201" t="e">
        <f aca="false">IF(A85="","",J84)</f>
        <v>#N/A</v>
      </c>
      <c r="L84" s="200" t="e">
        <f aca="false">IF($A85="","",VLOOKUP($A84,Table,MATCH(L$4,Curves,0)))</f>
        <v>#N/A</v>
      </c>
      <c r="M84" s="201" t="e">
        <f aca="false">IF(A85="","",L84)</f>
        <v>#N/A</v>
      </c>
      <c r="N84" s="203"/>
      <c r="O84" s="200" t="e">
        <f aca="false">IF(A85="","",L84+J84+G84)</f>
        <v>#N/A</v>
      </c>
      <c r="P84" s="200" t="e">
        <f aca="false">IF(A85="","",M84+K84+H84)</f>
        <v>#N/A</v>
      </c>
      <c r="Q84" s="204"/>
      <c r="R84" s="200" t="e">
        <f aca="false">IF($A85="","",VLOOKUP($A84,Table,MATCH(R$4,Curves,0)))</f>
        <v>#N/A</v>
      </c>
      <c r="S84" s="201" t="e">
        <f aca="false">IF(A85="","",R84)</f>
        <v>#N/A</v>
      </c>
      <c r="T84" s="200" t="e">
        <f aca="false">IF($A85="","",VLOOKUP($A84,Table,MATCH(T$4,Curves,0)))</f>
        <v>#N/A</v>
      </c>
      <c r="U84" s="201" t="e">
        <f aca="false">IF(A85="","",T84)</f>
        <v>#N/A</v>
      </c>
      <c r="V84" s="183" t="e">
        <f aca="false">IF($A85="","",IF(AND(MONTH(A84)&gt;3,MONTH(A84)&lt;11),(T84+R84+G84)*Summary!$T$8/(1-Summary!$T$8),(T84+R84+G84)*Summary!$U$8/(1-Summary!$U$8)))</f>
        <v>#N/A</v>
      </c>
      <c r="W84" s="200" t="e">
        <f aca="false">IF($A85="","",(T84+R84+G84+V84))</f>
        <v>#N/A</v>
      </c>
      <c r="X84" s="200" t="e">
        <f aca="false">IF($A85="","",(U84+S84+H84+V84))</f>
        <v>#N/A</v>
      </c>
      <c r="Y84" s="202"/>
      <c r="Z84" s="185" t="e">
        <f aca="false">IF($A85="","",VLOOKUP($A84,Table,MATCH(Z$4,Curves,0)))</f>
        <v>#N/A</v>
      </c>
      <c r="AA84" s="185" t="e">
        <f aca="false">IF($A85="","",VLOOKUP($A84,Table,MATCH(AA$4,Curves,0)))</f>
        <v>#N/A</v>
      </c>
      <c r="AB84" s="185" t="e">
        <f aca="false">SQRT((AA84^2*(A84-$D$3)+Z84^2*(DAY(EOMONTH(A84,0))/2))/AK84)</f>
        <v>#N/A</v>
      </c>
      <c r="AC84" s="185" t="e">
        <f aca="false">IF($A85="","",VLOOKUP($A84,Table,MATCH(AC$4,Curves,0)))</f>
        <v>#N/A</v>
      </c>
      <c r="AD84" s="185" t="e">
        <f aca="false">IF($A85="","",VLOOKUP($A84,Table,MATCH(AD$4,Curves,0)))</f>
        <v>#N/A</v>
      </c>
      <c r="AE84" s="185" t="e">
        <f aca="false">SQRT((AD84^2*(A84-$D$3)+AC84^2*(DAY(EOMONTH(A84,0))/2))/AK84)</f>
        <v>#N/A</v>
      </c>
      <c r="AF84" s="224" t="e">
        <f aca="false">((Summary!$N$8*(AA84*AD84)*(A84-$D$3))+(Summary!$M$8*Z84*AC84*(AJ84-EOMONTH(EDATE(A84,-1),0))))/(AK84*AB84*AE84)</f>
        <v>#N/A</v>
      </c>
      <c r="AG84" s="207" t="n">
        <f aca="false">IF($A85="","",Summary!$Q$8)</f>
        <v>0</v>
      </c>
      <c r="AH84" s="207" t="n">
        <f aca="false">IF($A85="","",IF(Summary!$R$8="Y",(VLOOKUP($A84,Summary!$AD$6:$AF$9,3)+'Escalating commodity'!D97),'Escalating commodity'!D97))</f>
        <v>0.0200232</v>
      </c>
      <c r="AI84" s="207" t="n">
        <f aca="false">IF($A85="","",AH84)</f>
        <v>0.0200232</v>
      </c>
      <c r="AJ84" s="208" t="n">
        <f aca="false">A84+DAY(EOMONTH(A84,0))/2-1</f>
        <v>39309.5</v>
      </c>
      <c r="AK84" s="209" t="n">
        <f aca="false">IF($A85="","",$A84-$E$1)</f>
        <v>-6631</v>
      </c>
      <c r="AL84" s="182" t="e">
        <f aca="false">IF($A85="","",SPRDOPT(P84,X84,AI84,0,AB84,AE84,AF84,AK84,$AJ$2,0))</f>
        <v>#NAME?</v>
      </c>
      <c r="AM84" s="211" t="e">
        <f aca="false">IF($A85="","",MAX(0,O84-W84-AI84))</f>
        <v>#N/A</v>
      </c>
      <c r="AN84" s="211" t="e">
        <f aca="false">IF($A85="","",AL84-AM84)</f>
        <v>#N/A</v>
      </c>
      <c r="AO84" s="137" t="n">
        <f aca="false">IF(A85="","",A85-A84)</f>
        <v>31</v>
      </c>
      <c r="AP84" s="212" t="n">
        <f aca="false">IF(A85="","",CHOOSE(F$3,A85+24,A84))</f>
        <v>39295</v>
      </c>
      <c r="AQ84" s="209" t="n">
        <f aca="false">IF(A85="","",AP84-$E$1)</f>
        <v>-6631</v>
      </c>
      <c r="AR84" s="185" t="n">
        <f aca="false">'ANR OK vs ML7'!AR84</f>
        <v>0.1</v>
      </c>
      <c r="AS84" s="213" t="n">
        <f aca="false">IF(A85="","",1/(1+CHOOSE(F$3,(AR85+($I$3/10000))/2,(AR84+($I$3/10000))/2))^(2*AQ84/365.25))</f>
        <v>5.87990421316034</v>
      </c>
      <c r="AT84" s="137" t="n">
        <f aca="false">IF(A85="","",IF(AND(mthbeg&lt;=A84,mthend&gt;=A84),1,0))</f>
        <v>1</v>
      </c>
      <c r="AU84" s="137" t="n">
        <f aca="false">IF(A85="","",AO84*AT84)</f>
        <v>31</v>
      </c>
      <c r="AW84" s="195" t="e">
        <f aca="false">IF($A85="","",AL84*$E84)</f>
        <v>#NAME?</v>
      </c>
      <c r="AX84" s="195" t="e">
        <f aca="false">IF($A85="","",AM84*$E84)</f>
        <v>#N/A</v>
      </c>
      <c r="AY84" s="195" t="e">
        <f aca="false">IF($A85="","",AN84*$E84)</f>
        <v>#N/A</v>
      </c>
      <c r="BA84" s="195" t="n">
        <f aca="false">IF($A85="","",F84*Summary!$Q$8)</f>
        <v>0</v>
      </c>
      <c r="BC84" s="179" t="e">
        <f aca="false">IF(A85="","",AM84*F84)</f>
        <v>#N/A</v>
      </c>
    </row>
    <row r="85" customFormat="false" ht="12.75" hidden="false" customHeight="false" outlineLevel="0" collapsed="false">
      <c r="A85" s="196" t="n">
        <f aca="false">IF(A84&lt;mthend,EDATE(A84,1),"")</f>
        <v>39326</v>
      </c>
      <c r="B85" s="197" t="n">
        <f aca="false">IF(A85&lt;mthend,B84,0)</f>
        <v>80000</v>
      </c>
      <c r="C85" s="215"/>
      <c r="D85" s="197" t="n">
        <f aca="false">IF(A86&lt;&gt;"",B85+C85,"")</f>
        <v>80000</v>
      </c>
      <c r="E85" s="199" t="n">
        <f aca="false">IF(A86="","",IF(AND(AT85=1,$H$3=1),D85*AO85,IF($H$3=2,D85,"N/A")))</f>
        <v>2400000</v>
      </c>
      <c r="F85" s="199" t="n">
        <f aca="false">IF(A86="","",E85*AS85)</f>
        <v>13995379.4675924</v>
      </c>
      <c r="G85" s="200" t="e">
        <f aca="false">IF($A86="","",VLOOKUP($A85,Table,MATCH(G$4,Curves,0)))</f>
        <v>#N/A</v>
      </c>
      <c r="H85" s="201" t="e">
        <f aca="false">IF(A86="","",G85)</f>
        <v>#N/A</v>
      </c>
      <c r="I85" s="202"/>
      <c r="J85" s="200" t="e">
        <f aca="false">IF($A86="","",VLOOKUP($A85,Table,MATCH(J$4,Curves,0)))</f>
        <v>#N/A</v>
      </c>
      <c r="K85" s="201" t="e">
        <f aca="false">IF(A86="","",J85)</f>
        <v>#N/A</v>
      </c>
      <c r="L85" s="200" t="e">
        <f aca="false">IF($A86="","",VLOOKUP($A85,Table,MATCH(L$4,Curves,0)))</f>
        <v>#N/A</v>
      </c>
      <c r="M85" s="201" t="e">
        <f aca="false">IF(A86="","",L85)</f>
        <v>#N/A</v>
      </c>
      <c r="N85" s="203"/>
      <c r="O85" s="200" t="e">
        <f aca="false">IF(A86="","",L85+J85+G85)</f>
        <v>#N/A</v>
      </c>
      <c r="P85" s="200" t="e">
        <f aca="false">IF(A86="","",M85+K85+H85)</f>
        <v>#N/A</v>
      </c>
      <c r="Q85" s="204"/>
      <c r="R85" s="200" t="e">
        <f aca="false">IF($A86="","",VLOOKUP($A85,Table,MATCH(R$4,Curves,0)))</f>
        <v>#N/A</v>
      </c>
      <c r="S85" s="201" t="e">
        <f aca="false">IF(A86="","",R85)</f>
        <v>#N/A</v>
      </c>
      <c r="T85" s="200" t="e">
        <f aca="false">IF($A86="","",VLOOKUP($A85,Table,MATCH(T$4,Curves,0)))</f>
        <v>#N/A</v>
      </c>
      <c r="U85" s="201" t="e">
        <f aca="false">IF(A86="","",T85)</f>
        <v>#N/A</v>
      </c>
      <c r="V85" s="183" t="e">
        <f aca="false">IF($A86="","",IF(AND(MONTH(A85)&gt;3,MONTH(A85)&lt;11),(T85+R85+G85)*Summary!$T$8/(1-Summary!$T$8),(T85+R85+G85)*Summary!$U$8/(1-Summary!$U$8)))</f>
        <v>#N/A</v>
      </c>
      <c r="W85" s="200" t="e">
        <f aca="false">IF($A86="","",(T85+R85+G85+V85))</f>
        <v>#N/A</v>
      </c>
      <c r="X85" s="200" t="e">
        <f aca="false">IF($A86="","",(U85+S85+H85+V85))</f>
        <v>#N/A</v>
      </c>
      <c r="Y85" s="202"/>
      <c r="Z85" s="185" t="e">
        <f aca="false">IF($A86="","",VLOOKUP($A85,Table,MATCH(Z$4,Curves,0)))</f>
        <v>#N/A</v>
      </c>
      <c r="AA85" s="185" t="e">
        <f aca="false">IF($A86="","",VLOOKUP($A85,Table,MATCH(AA$4,Curves,0)))</f>
        <v>#N/A</v>
      </c>
      <c r="AB85" s="185" t="e">
        <f aca="false">SQRT((AA85^2*(A85-$D$3)+Z85^2*(DAY(EOMONTH(A85,0))/2))/AK85)</f>
        <v>#N/A</v>
      </c>
      <c r="AC85" s="185" t="e">
        <f aca="false">IF($A86="","",VLOOKUP($A85,Table,MATCH(AC$4,Curves,0)))</f>
        <v>#N/A</v>
      </c>
      <c r="AD85" s="185" t="e">
        <f aca="false">IF($A86="","",VLOOKUP($A85,Table,MATCH(AD$4,Curves,0)))</f>
        <v>#N/A</v>
      </c>
      <c r="AE85" s="185" t="e">
        <f aca="false">SQRT((AD85^2*(A85-$D$3)+AC85^2*(DAY(EOMONTH(A85,0))/2))/AK85)</f>
        <v>#N/A</v>
      </c>
      <c r="AF85" s="224" t="e">
        <f aca="false">((Summary!$N$8*(AA85*AD85)*(A85-$D$3))+(Summary!$M$8*Z85*AC85*(AJ85-EOMONTH(EDATE(A85,-1),0))))/(AK85*AB85*AE85)</f>
        <v>#N/A</v>
      </c>
      <c r="AG85" s="207" t="n">
        <f aca="false">IF($A86="","",Summary!$Q$8)</f>
        <v>0</v>
      </c>
      <c r="AH85" s="207" t="n">
        <f aca="false">IF($A86="","",IF(Summary!$R$8="Y",(VLOOKUP($A85,Summary!$AD$6:$AF$9,3)+'Escalating commodity'!D98),'Escalating commodity'!D98))</f>
        <v>0.0200232</v>
      </c>
      <c r="AI85" s="207" t="n">
        <f aca="false">IF($A86="","",AH85)</f>
        <v>0.0200232</v>
      </c>
      <c r="AJ85" s="208" t="n">
        <f aca="false">A85+DAY(EOMONTH(A85,0))/2-1</f>
        <v>39340</v>
      </c>
      <c r="AK85" s="209" t="n">
        <f aca="false">IF($A86="","",$A85-$E$1)</f>
        <v>-6600</v>
      </c>
      <c r="AL85" s="182" t="e">
        <f aca="false">IF($A86="","",SPRDOPT(P85,X85,AI85,0,AB85,AE85,AF85,AK85,$AJ$2,0))</f>
        <v>#NAME?</v>
      </c>
      <c r="AM85" s="211" t="e">
        <f aca="false">IF($A86="","",MAX(0,O85-W85-AI85))</f>
        <v>#N/A</v>
      </c>
      <c r="AN85" s="211" t="e">
        <f aca="false">IF($A86="","",AL85-AM85)</f>
        <v>#N/A</v>
      </c>
      <c r="AO85" s="137" t="n">
        <f aca="false">IF(A86="","",A86-A85)</f>
        <v>30</v>
      </c>
      <c r="AP85" s="212" t="n">
        <f aca="false">IF(A86="","",CHOOSE(F$3,A86+24,A85))</f>
        <v>39326</v>
      </c>
      <c r="AQ85" s="209" t="n">
        <f aca="false">IF(A86="","",AP85-$E$1)</f>
        <v>-6600</v>
      </c>
      <c r="AR85" s="185" t="n">
        <f aca="false">'ANR OK vs ML7'!AR85</f>
        <v>0.1</v>
      </c>
      <c r="AS85" s="213" t="n">
        <f aca="false">IF(A86="","",1/(1+CHOOSE(F$3,(AR86+($I$3/10000))/2,(AR85+($I$3/10000))/2))^(2*AQ85/365.25))</f>
        <v>5.83140811149684</v>
      </c>
      <c r="AT85" s="137" t="n">
        <f aca="false">IF(A86="","",IF(AND(mthbeg&lt;=A85,mthend&gt;=A85),1,0))</f>
        <v>1</v>
      </c>
      <c r="AU85" s="137" t="n">
        <f aca="false">IF(A86="","",AO85*AT85)</f>
        <v>30</v>
      </c>
      <c r="AW85" s="195" t="e">
        <f aca="false">IF($A86="","",AL85*$E85)</f>
        <v>#NAME?</v>
      </c>
      <c r="AX85" s="195" t="e">
        <f aca="false">IF($A86="","",AM85*$E85)</f>
        <v>#N/A</v>
      </c>
      <c r="AY85" s="195" t="e">
        <f aca="false">IF($A86="","",AN85*$E85)</f>
        <v>#N/A</v>
      </c>
      <c r="BA85" s="195" t="n">
        <f aca="false">IF($A86="","",F85*Summary!$Q$8)</f>
        <v>0</v>
      </c>
      <c r="BC85" s="179" t="e">
        <f aca="false">IF(A86="","",AM85*F85)</f>
        <v>#N/A</v>
      </c>
    </row>
    <row r="86" customFormat="false" ht="12.75" hidden="false" customHeight="false" outlineLevel="0" collapsed="false">
      <c r="A86" s="196" t="n">
        <f aca="false">IF(A85&lt;mthend,EDATE(A85,1),"")</f>
        <v>39356</v>
      </c>
      <c r="B86" s="197" t="n">
        <f aca="false">IF(A86&lt;mthend,B85,0)</f>
        <v>80000</v>
      </c>
      <c r="C86" s="215"/>
      <c r="D86" s="197" t="n">
        <f aca="false">IF(A87&lt;&gt;"",B86+C86,"")</f>
        <v>80000</v>
      </c>
      <c r="E86" s="199" t="n">
        <f aca="false">IF(A87="","",IF(AND(AT86=1,$H$3=1),D86*AO86,IF($H$3=2,D86,"N/A")))</f>
        <v>2480000</v>
      </c>
      <c r="F86" s="199" t="n">
        <f aca="false">IF(A87="","",E86*AS86)</f>
        <v>14346446.0365236</v>
      </c>
      <c r="G86" s="200" t="e">
        <f aca="false">IF($A87="","",VLOOKUP($A86,Table,MATCH(G$4,Curves,0)))</f>
        <v>#N/A</v>
      </c>
      <c r="H86" s="201" t="e">
        <f aca="false">IF(A87="","",G86)</f>
        <v>#N/A</v>
      </c>
      <c r="I86" s="202"/>
      <c r="J86" s="200" t="e">
        <f aca="false">IF($A87="","",VLOOKUP($A86,Table,MATCH(J$4,Curves,0)))</f>
        <v>#N/A</v>
      </c>
      <c r="K86" s="201" t="e">
        <f aca="false">IF(A87="","",J86)</f>
        <v>#N/A</v>
      </c>
      <c r="L86" s="200" t="e">
        <f aca="false">IF($A87="","",VLOOKUP($A86,Table,MATCH(L$4,Curves,0)))</f>
        <v>#N/A</v>
      </c>
      <c r="M86" s="201" t="e">
        <f aca="false">IF(A87="","",L86)</f>
        <v>#N/A</v>
      </c>
      <c r="N86" s="203"/>
      <c r="O86" s="200" t="e">
        <f aca="false">IF(A87="","",L86+J86+G86)</f>
        <v>#N/A</v>
      </c>
      <c r="P86" s="200" t="e">
        <f aca="false">IF(A87="","",M86+K86+H86)</f>
        <v>#N/A</v>
      </c>
      <c r="Q86" s="204"/>
      <c r="R86" s="200" t="e">
        <f aca="false">IF($A87="","",VLOOKUP($A86,Table,MATCH(R$4,Curves,0)))</f>
        <v>#N/A</v>
      </c>
      <c r="S86" s="201" t="e">
        <f aca="false">IF(A87="","",R86)</f>
        <v>#N/A</v>
      </c>
      <c r="T86" s="200" t="e">
        <f aca="false">IF($A87="","",VLOOKUP($A86,Table,MATCH(T$4,Curves,0)))</f>
        <v>#N/A</v>
      </c>
      <c r="U86" s="201" t="e">
        <f aca="false">IF(A87="","",T86)</f>
        <v>#N/A</v>
      </c>
      <c r="V86" s="183" t="e">
        <f aca="false">IF($A87="","",IF(AND(MONTH(A86)&gt;3,MONTH(A86)&lt;11),(T86+R86+G86)*Summary!$T$8/(1-Summary!$T$8),(T86+R86+G86)*Summary!$U$8/(1-Summary!$U$8)))</f>
        <v>#N/A</v>
      </c>
      <c r="W86" s="200" t="e">
        <f aca="false">IF($A87="","",(T86+R86+G86+V86))</f>
        <v>#N/A</v>
      </c>
      <c r="X86" s="200" t="e">
        <f aca="false">IF($A87="","",(U86+S86+H86+V86))</f>
        <v>#N/A</v>
      </c>
      <c r="Y86" s="202"/>
      <c r="Z86" s="185" t="e">
        <f aca="false">IF($A87="","",VLOOKUP($A86,Table,MATCH(Z$4,Curves,0)))</f>
        <v>#N/A</v>
      </c>
      <c r="AA86" s="185" t="e">
        <f aca="false">IF($A87="","",VLOOKUP($A86,Table,MATCH(AA$4,Curves,0)))</f>
        <v>#N/A</v>
      </c>
      <c r="AB86" s="185" t="e">
        <f aca="false">SQRT((AA86^2*(A86-$D$3)+Z86^2*(DAY(EOMONTH(A86,0))/2))/AK86)</f>
        <v>#N/A</v>
      </c>
      <c r="AC86" s="185" t="e">
        <f aca="false">IF($A87="","",VLOOKUP($A86,Table,MATCH(AC$4,Curves,0)))</f>
        <v>#N/A</v>
      </c>
      <c r="AD86" s="185" t="e">
        <f aca="false">IF($A87="","",VLOOKUP($A86,Table,MATCH(AD$4,Curves,0)))</f>
        <v>#N/A</v>
      </c>
      <c r="AE86" s="185" t="e">
        <f aca="false">SQRT((AD86^2*(A86-$D$3)+AC86^2*(DAY(EOMONTH(A86,0))/2))/AK86)</f>
        <v>#N/A</v>
      </c>
      <c r="AF86" s="224" t="e">
        <f aca="false">((Summary!$N$8*(AA86*AD86)*(A86-$D$3))+(Summary!$M$8*Z86*AC86*(AJ86-EOMONTH(EDATE(A86,-1),0))))/(AK86*AB86*AE86)</f>
        <v>#N/A</v>
      </c>
      <c r="AG86" s="207" t="n">
        <f aca="false">IF($A87="","",Summary!$Q$8)</f>
        <v>0</v>
      </c>
      <c r="AH86" s="207" t="n">
        <f aca="false">IF($A87="","",IF(Summary!$R$8="Y",(VLOOKUP($A86,Summary!$AD$6:$AF$9,3)+'Escalating commodity'!D99),'Escalating commodity'!D99))</f>
        <v>0.0200232</v>
      </c>
      <c r="AI86" s="207" t="n">
        <f aca="false">IF($A87="","",AH86)</f>
        <v>0.0200232</v>
      </c>
      <c r="AJ86" s="208" t="n">
        <f aca="false">A86+DAY(EOMONTH(A86,0))/2-1</f>
        <v>39370.5</v>
      </c>
      <c r="AK86" s="209" t="n">
        <f aca="false">IF($A87="","",$A86-$E$1)</f>
        <v>-6570</v>
      </c>
      <c r="AL86" s="182" t="e">
        <f aca="false">IF($A87="","",SPRDOPT(P86,X86,AI86,0,AB86,AE86,AF86,AK86,$AJ$2,0))</f>
        <v>#NAME?</v>
      </c>
      <c r="AM86" s="211" t="e">
        <f aca="false">IF($A87="","",MAX(0,O86-W86-AI86))</f>
        <v>#N/A</v>
      </c>
      <c r="AN86" s="211" t="e">
        <f aca="false">IF($A87="","",AL86-AM86)</f>
        <v>#N/A</v>
      </c>
      <c r="AO86" s="137" t="n">
        <f aca="false">IF(A87="","",A87-A86)</f>
        <v>31</v>
      </c>
      <c r="AP86" s="212" t="n">
        <f aca="false">IF(A87="","",CHOOSE(F$3,A87+24,A86))</f>
        <v>39356</v>
      </c>
      <c r="AQ86" s="209" t="n">
        <f aca="false">IF(A87="","",AP86-$E$1)</f>
        <v>-6570</v>
      </c>
      <c r="AR86" s="185" t="n">
        <f aca="false">'ANR OK vs ML7'!AR86</f>
        <v>0.1</v>
      </c>
      <c r="AS86" s="213" t="n">
        <f aca="false">IF(A87="","",1/(1+CHOOSE(F$3,(AR87+($I$3/10000))/2,(AR86+($I$3/10000))/2))^(2*AQ86/365.25))</f>
        <v>5.78485727279176</v>
      </c>
      <c r="AT86" s="137" t="n">
        <f aca="false">IF(A87="","",IF(AND(mthbeg&lt;=A86,mthend&gt;=A86),1,0))</f>
        <v>1</v>
      </c>
      <c r="AU86" s="137" t="n">
        <f aca="false">IF(A87="","",AO86*AT86)</f>
        <v>31</v>
      </c>
      <c r="AW86" s="195" t="e">
        <f aca="false">IF($A87="","",AL86*$E86)</f>
        <v>#NAME?</v>
      </c>
      <c r="AX86" s="195" t="e">
        <f aca="false">IF($A87="","",AM86*$E86)</f>
        <v>#N/A</v>
      </c>
      <c r="AY86" s="195" t="e">
        <f aca="false">IF($A87="","",AN86*$E86)</f>
        <v>#N/A</v>
      </c>
      <c r="BA86" s="195" t="n">
        <f aca="false">IF($A87="","",F86*Summary!$Q$8)</f>
        <v>0</v>
      </c>
      <c r="BC86" s="179" t="e">
        <f aca="false">IF(A87="","",AM86*F86)</f>
        <v>#N/A</v>
      </c>
    </row>
    <row r="87" customFormat="false" ht="12.75" hidden="false" customHeight="false" outlineLevel="0" collapsed="false">
      <c r="A87" s="196" t="n">
        <f aca="false">IF(A86&lt;mthend,EDATE(A86,1),"")</f>
        <v>39387</v>
      </c>
      <c r="B87" s="197" t="n">
        <f aca="false">IF(A87&lt;mthend,B86,0)</f>
        <v>80000</v>
      </c>
      <c r="C87" s="215"/>
      <c r="D87" s="197" t="n">
        <f aca="false">IF(A88&lt;&gt;"",B87+C87,"")</f>
        <v>80000</v>
      </c>
      <c r="E87" s="199" t="n">
        <f aca="false">IF(A88="","",IF(AND(AT87=1,$H$3=1),D87*AO87,IF($H$3=2,D87,"N/A")))</f>
        <v>2400000</v>
      </c>
      <c r="F87" s="199" t="n">
        <f aca="false">IF(A88="","",E87*AS87)</f>
        <v>13769148.2315946</v>
      </c>
      <c r="G87" s="200" t="e">
        <f aca="false">IF($A88="","",VLOOKUP($A87,Table,MATCH(G$4,Curves,0)))</f>
        <v>#N/A</v>
      </c>
      <c r="H87" s="201" t="e">
        <f aca="false">IF(A88="","",G87)</f>
        <v>#N/A</v>
      </c>
      <c r="I87" s="202"/>
      <c r="J87" s="200" t="e">
        <f aca="false">IF($A88="","",VLOOKUP($A87,Table,MATCH(J$4,Curves,0)))</f>
        <v>#N/A</v>
      </c>
      <c r="K87" s="201" t="e">
        <f aca="false">IF(A88="","",J87)</f>
        <v>#N/A</v>
      </c>
      <c r="L87" s="200" t="e">
        <f aca="false">IF($A88="","",VLOOKUP($A87,Table,MATCH(L$4,Curves,0)))</f>
        <v>#N/A</v>
      </c>
      <c r="M87" s="201" t="e">
        <f aca="false">IF(A88="","",L87)</f>
        <v>#N/A</v>
      </c>
      <c r="N87" s="203"/>
      <c r="O87" s="200" t="e">
        <f aca="false">IF(A88="","",L87+J87+G87)</f>
        <v>#N/A</v>
      </c>
      <c r="P87" s="200" t="e">
        <f aca="false">IF(A88="","",M87+K87+H87)</f>
        <v>#N/A</v>
      </c>
      <c r="Q87" s="204"/>
      <c r="R87" s="200" t="e">
        <f aca="false">IF($A88="","",VLOOKUP($A87,Table,MATCH(R$4,Curves,0)))</f>
        <v>#N/A</v>
      </c>
      <c r="S87" s="201" t="e">
        <f aca="false">IF(A88="","",R87)</f>
        <v>#N/A</v>
      </c>
      <c r="T87" s="200" t="e">
        <f aca="false">IF($A88="","",VLOOKUP($A87,Table,MATCH(T$4,Curves,0)))</f>
        <v>#N/A</v>
      </c>
      <c r="U87" s="201" t="e">
        <f aca="false">IF(A88="","",T87)</f>
        <v>#N/A</v>
      </c>
      <c r="V87" s="183" t="e">
        <f aca="false">IF($A88="","",IF(AND(MONTH(A87)&gt;3,MONTH(A87)&lt;11),(T87+R87+G87)*Summary!$T$8/(1-Summary!$T$8),(T87+R87+G87)*Summary!$U$8/(1-Summary!$U$8)))</f>
        <v>#N/A</v>
      </c>
      <c r="W87" s="200" t="e">
        <f aca="false">IF($A88="","",(T87+R87+G87+V87))</f>
        <v>#N/A</v>
      </c>
      <c r="X87" s="200" t="e">
        <f aca="false">IF($A88="","",(U87+S87+H87+V87))</f>
        <v>#N/A</v>
      </c>
      <c r="Y87" s="202"/>
      <c r="Z87" s="185" t="e">
        <f aca="false">IF($A88="","",VLOOKUP($A87,Table,MATCH(Z$4,Curves,0)))</f>
        <v>#N/A</v>
      </c>
      <c r="AA87" s="185" t="e">
        <f aca="false">IF($A88="","",VLOOKUP($A87,Table,MATCH(AA$4,Curves,0)))</f>
        <v>#N/A</v>
      </c>
      <c r="AB87" s="185" t="e">
        <f aca="false">SQRT((AA87^2*(A87-$D$3)+Z87^2*(DAY(EOMONTH(A87,0))/2))/AK87)</f>
        <v>#N/A</v>
      </c>
      <c r="AC87" s="185" t="e">
        <f aca="false">IF($A88="","",VLOOKUP($A87,Table,MATCH(AC$4,Curves,0)))</f>
        <v>#N/A</v>
      </c>
      <c r="AD87" s="185" t="e">
        <f aca="false">IF($A88="","",VLOOKUP($A87,Table,MATCH(AD$4,Curves,0)))</f>
        <v>#N/A</v>
      </c>
      <c r="AE87" s="185" t="e">
        <f aca="false">SQRT((AD87^2*(A87-$D$3)+AC87^2*(DAY(EOMONTH(A87,0))/2))/AK87)</f>
        <v>#N/A</v>
      </c>
      <c r="AF87" s="224" t="e">
        <f aca="false">((Summary!$N$8*(AA87*AD87)*(A87-$D$3))+(Summary!$M$8*Z87*AC87*(AJ87-EOMONTH(EDATE(A87,-1),0))))/(AK87*AB87*AE87)</f>
        <v>#N/A</v>
      </c>
      <c r="AG87" s="207" t="n">
        <f aca="false">IF($A88="","",Summary!$Q$8)</f>
        <v>0</v>
      </c>
      <c r="AH87" s="207" t="n">
        <f aca="false">IF($A88="","",IF(Summary!$R$8="Y",(VLOOKUP($A87,Summary!$AD$6:$AF$9,3)+'Escalating commodity'!D100),'Escalating commodity'!D100))</f>
        <v>0.0200232</v>
      </c>
      <c r="AI87" s="207" t="n">
        <f aca="false">IF($A88="","",AH87)</f>
        <v>0.0200232</v>
      </c>
      <c r="AJ87" s="208" t="n">
        <f aca="false">A87+DAY(EOMONTH(A87,0))/2-1</f>
        <v>39401</v>
      </c>
      <c r="AK87" s="209" t="n">
        <f aca="false">IF($A88="","",$A87-$E$1)</f>
        <v>-6539</v>
      </c>
      <c r="AL87" s="182" t="e">
        <f aca="false">IF($A88="","",SPRDOPT(P87,X87,AI87,0,AB87,AE87,AF87,AK87,$AJ$2,0))</f>
        <v>#NAME?</v>
      </c>
      <c r="AM87" s="211" t="e">
        <f aca="false">IF($A88="","",MAX(0,O87-W87-AI87))</f>
        <v>#N/A</v>
      </c>
      <c r="AN87" s="211" t="e">
        <f aca="false">IF($A88="","",AL87-AM87)</f>
        <v>#N/A</v>
      </c>
      <c r="AO87" s="137" t="n">
        <f aca="false">IF(A88="","",A88-A87)</f>
        <v>30</v>
      </c>
      <c r="AP87" s="212" t="n">
        <f aca="false">IF(A88="","",CHOOSE(F$3,A88+24,A87))</f>
        <v>39387</v>
      </c>
      <c r="AQ87" s="209" t="n">
        <f aca="false">IF(A88="","",AP87-$E$1)</f>
        <v>-6539</v>
      </c>
      <c r="AR87" s="185" t="n">
        <f aca="false">'ANR OK vs ML7'!AR87</f>
        <v>0.1</v>
      </c>
      <c r="AS87" s="213" t="n">
        <f aca="false">IF(A88="","",1/(1+CHOOSE(F$3,(AR88+($I$3/10000))/2,(AR87+($I$3/10000))/2))^(2*AQ87/365.25))</f>
        <v>5.73714509649775</v>
      </c>
      <c r="AT87" s="137" t="n">
        <f aca="false">IF(A88="","",IF(AND(mthbeg&lt;=A87,mthend&gt;=A87),1,0))</f>
        <v>1</v>
      </c>
      <c r="AU87" s="137" t="n">
        <f aca="false">IF(A88="","",AO87*AT87)</f>
        <v>30</v>
      </c>
      <c r="AW87" s="195" t="e">
        <f aca="false">IF($A88="","",AL87*$E87)</f>
        <v>#NAME?</v>
      </c>
      <c r="AX87" s="195" t="e">
        <f aca="false">IF($A88="","",AM87*$E87)</f>
        <v>#N/A</v>
      </c>
      <c r="AY87" s="195" t="e">
        <f aca="false">IF($A88="","",AN87*$E87)</f>
        <v>#N/A</v>
      </c>
      <c r="BA87" s="195" t="n">
        <f aca="false">IF($A88="","",F87*Summary!$Q$8)</f>
        <v>0</v>
      </c>
      <c r="BC87" s="179" t="e">
        <f aca="false">IF(A88="","",AM87*F87)</f>
        <v>#N/A</v>
      </c>
    </row>
    <row r="88" customFormat="false" ht="12.75" hidden="false" customHeight="false" outlineLevel="0" collapsed="false">
      <c r="A88" s="196" t="n">
        <f aca="false">IF(A87&lt;mthend,EDATE(A87,1),"")</f>
        <v>39417</v>
      </c>
      <c r="B88" s="197" t="n">
        <f aca="false">IF(A88&lt;mthend,B87,0)</f>
        <v>80000</v>
      </c>
      <c r="C88" s="215"/>
      <c r="D88" s="197" t="n">
        <f aca="false">IF(A89&lt;&gt;"",B88+C88,"")</f>
        <v>80000</v>
      </c>
      <c r="E88" s="199" t="n">
        <f aca="false">IF(A89="","",IF(AND(AT88=1,$H$3=1),D88*AO88,IF($H$3=2,D88,"N/A")))</f>
        <v>2480000</v>
      </c>
      <c r="F88" s="199" t="n">
        <f aca="false">IF(A89="","",E88*AS88)</f>
        <v>14114539.9116104</v>
      </c>
      <c r="G88" s="200" t="e">
        <f aca="false">IF($A89="","",VLOOKUP($A88,Table,MATCH(G$4,Curves,0)))</f>
        <v>#N/A</v>
      </c>
      <c r="H88" s="201" t="e">
        <f aca="false">IF(A89="","",G88)</f>
        <v>#N/A</v>
      </c>
      <c r="I88" s="202"/>
      <c r="J88" s="200" t="e">
        <f aca="false">IF($A89="","",VLOOKUP($A88,Table,MATCH(J$4,Curves,0)))</f>
        <v>#N/A</v>
      </c>
      <c r="K88" s="201" t="e">
        <f aca="false">IF(A89="","",J88)</f>
        <v>#N/A</v>
      </c>
      <c r="L88" s="200" t="e">
        <f aca="false">IF($A89="","",VLOOKUP($A88,Table,MATCH(L$4,Curves,0)))</f>
        <v>#N/A</v>
      </c>
      <c r="M88" s="201" t="e">
        <f aca="false">IF(A89="","",L88)</f>
        <v>#N/A</v>
      </c>
      <c r="N88" s="203"/>
      <c r="O88" s="200" t="e">
        <f aca="false">IF(A89="","",L88+J88+G88)</f>
        <v>#N/A</v>
      </c>
      <c r="P88" s="200" t="e">
        <f aca="false">IF(A89="","",M88+K88+H88)</f>
        <v>#N/A</v>
      </c>
      <c r="Q88" s="204"/>
      <c r="R88" s="200" t="e">
        <f aca="false">IF($A89="","",VLOOKUP($A88,Table,MATCH(R$4,Curves,0)))</f>
        <v>#N/A</v>
      </c>
      <c r="S88" s="201" t="e">
        <f aca="false">IF(A89="","",R88)</f>
        <v>#N/A</v>
      </c>
      <c r="T88" s="200" t="e">
        <f aca="false">IF($A89="","",VLOOKUP($A88,Table,MATCH(T$4,Curves,0)))</f>
        <v>#N/A</v>
      </c>
      <c r="U88" s="201" t="e">
        <f aca="false">IF(A89="","",T88)</f>
        <v>#N/A</v>
      </c>
      <c r="V88" s="183" t="e">
        <f aca="false">IF($A89="","",IF(AND(MONTH(A88)&gt;3,MONTH(A88)&lt;11),(T88+R88+G88)*Summary!$T$8/(1-Summary!$T$8),(T88+R88+G88)*Summary!$U$8/(1-Summary!$U$8)))</f>
        <v>#N/A</v>
      </c>
      <c r="W88" s="200" t="e">
        <f aca="false">IF($A89="","",(T88+R88+G88+V88))</f>
        <v>#N/A</v>
      </c>
      <c r="X88" s="200" t="e">
        <f aca="false">IF($A89="","",(U88+S88+H88+V88))</f>
        <v>#N/A</v>
      </c>
      <c r="Y88" s="202"/>
      <c r="Z88" s="185" t="e">
        <f aca="false">IF($A89="","",VLOOKUP($A88,Table,MATCH(Z$4,Curves,0)))</f>
        <v>#N/A</v>
      </c>
      <c r="AA88" s="185" t="e">
        <f aca="false">IF($A89="","",VLOOKUP($A88,Table,MATCH(AA$4,Curves,0)))</f>
        <v>#N/A</v>
      </c>
      <c r="AB88" s="185" t="e">
        <f aca="false">SQRT((AA88^2*(A88-$D$3)+Z88^2*(DAY(EOMONTH(A88,0))/2))/AK88)</f>
        <v>#N/A</v>
      </c>
      <c r="AC88" s="185" t="e">
        <f aca="false">IF($A89="","",VLOOKUP($A88,Table,MATCH(AC$4,Curves,0)))</f>
        <v>#N/A</v>
      </c>
      <c r="AD88" s="185" t="e">
        <f aca="false">IF($A89="","",VLOOKUP($A88,Table,MATCH(AD$4,Curves,0)))</f>
        <v>#N/A</v>
      </c>
      <c r="AE88" s="185" t="e">
        <f aca="false">SQRT((AD88^2*(A88-$D$3)+AC88^2*(DAY(EOMONTH(A88,0))/2))/AK88)</f>
        <v>#N/A</v>
      </c>
      <c r="AF88" s="224" t="e">
        <f aca="false">((Summary!$N$8*(AA88*AD88)*(A88-$D$3))+(Summary!$M$8*Z88*AC88*(AJ88-EOMONTH(EDATE(A88,-1),0))))/(AK88*AB88*AE88)</f>
        <v>#N/A</v>
      </c>
      <c r="AG88" s="207" t="n">
        <f aca="false">IF($A89="","",Summary!$Q$8)</f>
        <v>0</v>
      </c>
      <c r="AH88" s="207" t="n">
        <f aca="false">IF($A89="","",IF(Summary!$R$8="Y",(VLOOKUP($A88,Summary!$AD$6:$AF$9,3)+'Escalating commodity'!D101),'Escalating commodity'!D101))</f>
        <v>0.0200232</v>
      </c>
      <c r="AI88" s="207" t="n">
        <f aca="false">IF($A89="","",AH88)</f>
        <v>0.0200232</v>
      </c>
      <c r="AJ88" s="208" t="n">
        <f aca="false">A88+DAY(EOMONTH(A88,0))/2-1</f>
        <v>39431.5</v>
      </c>
      <c r="AK88" s="209" t="n">
        <f aca="false">IF($A89="","",$A88-$E$1)</f>
        <v>-6509</v>
      </c>
      <c r="AL88" s="182" t="e">
        <f aca="false">IF($A89="","",SPRDOPT(P88,X88,AI88,0,AB88,AE88,AF88,AK88,$AJ$2,0))</f>
        <v>#NAME?</v>
      </c>
      <c r="AM88" s="211" t="e">
        <f aca="false">IF($A89="","",MAX(0,O88-W88-AI88))</f>
        <v>#N/A</v>
      </c>
      <c r="AN88" s="211" t="e">
        <f aca="false">IF($A89="","",AL88-AM88)</f>
        <v>#N/A</v>
      </c>
      <c r="AO88" s="137" t="n">
        <f aca="false">IF(A89="","",A89-A88)</f>
        <v>31</v>
      </c>
      <c r="AP88" s="212" t="n">
        <f aca="false">IF(A89="","",CHOOSE(F$3,A89+24,A88))</f>
        <v>39417</v>
      </c>
      <c r="AQ88" s="209" t="n">
        <f aca="false">IF(A89="","",AP88-$E$1)</f>
        <v>-6509</v>
      </c>
      <c r="AR88" s="185" t="n">
        <f aca="false">'ANR OK vs ML7'!AR88</f>
        <v>0.1</v>
      </c>
      <c r="AS88" s="213" t="n">
        <f aca="false">IF(A89="","",1/(1+CHOOSE(F$3,(AR89+($I$3/10000))/2,(AR88+($I$3/10000))/2))^(2*AQ88/365.25))</f>
        <v>5.69134673855258</v>
      </c>
      <c r="AT88" s="137" t="n">
        <f aca="false">IF(A89="","",IF(AND(mthbeg&lt;=A88,mthend&gt;=A88),1,0))</f>
        <v>1</v>
      </c>
      <c r="AU88" s="137" t="n">
        <f aca="false">IF(A89="","",AO88*AT88)</f>
        <v>31</v>
      </c>
      <c r="AW88" s="195" t="e">
        <f aca="false">IF($A89="","",AL88*$E88)</f>
        <v>#NAME?</v>
      </c>
      <c r="AX88" s="195" t="e">
        <f aca="false">IF($A89="","",AM88*$E88)</f>
        <v>#N/A</v>
      </c>
      <c r="AY88" s="195" t="e">
        <f aca="false">IF($A89="","",AN88*$E88)</f>
        <v>#N/A</v>
      </c>
      <c r="BA88" s="195" t="n">
        <f aca="false">IF($A89="","",F88*Summary!$Q$8)</f>
        <v>0</v>
      </c>
      <c r="BC88" s="179" t="e">
        <f aca="false">IF(A89="","",AM88*F88)</f>
        <v>#N/A</v>
      </c>
    </row>
    <row r="89" customFormat="false" ht="12.75" hidden="false" customHeight="false" outlineLevel="0" collapsed="false">
      <c r="A89" s="196" t="n">
        <f aca="false">IF(A88&lt;mthend,EDATE(A88,1),"")</f>
        <v>39448</v>
      </c>
      <c r="B89" s="197" t="n">
        <f aca="false">IF(A89&lt;mthend,B88,0)</f>
        <v>80000</v>
      </c>
      <c r="C89" s="215"/>
      <c r="D89" s="197" t="n">
        <f aca="false">IF(A90&lt;&gt;"",B89+C89,"")</f>
        <v>80000</v>
      </c>
      <c r="E89" s="199" t="n">
        <f aca="false">IF(A90="","",IF(AND(AT89=1,$H$3=1),D89*AO89,IF($H$3=2,D89,"N/A")))</f>
        <v>2480000</v>
      </c>
      <c r="F89" s="199" t="n">
        <f aca="false">IF(A90="","",E89*AS89)</f>
        <v>13998126.4229425</v>
      </c>
      <c r="G89" s="200" t="e">
        <f aca="false">IF($A90="","",VLOOKUP($A89,Table,MATCH(G$4,Curves,0)))</f>
        <v>#N/A</v>
      </c>
      <c r="H89" s="201" t="e">
        <f aca="false">IF(A90="","",G89)</f>
        <v>#N/A</v>
      </c>
      <c r="I89" s="202"/>
      <c r="J89" s="200" t="e">
        <f aca="false">IF($A90="","",VLOOKUP($A89,Table,MATCH(J$4,Curves,0)))</f>
        <v>#N/A</v>
      </c>
      <c r="K89" s="201" t="e">
        <f aca="false">IF(A90="","",J89)</f>
        <v>#N/A</v>
      </c>
      <c r="L89" s="200" t="e">
        <f aca="false">IF($A90="","",VLOOKUP($A89,Table,MATCH(L$4,Curves,0)))</f>
        <v>#N/A</v>
      </c>
      <c r="M89" s="201" t="e">
        <f aca="false">IF(A90="","",L89)</f>
        <v>#N/A</v>
      </c>
      <c r="N89" s="203"/>
      <c r="O89" s="200" t="e">
        <f aca="false">IF(A90="","",L89+J89+G89)</f>
        <v>#N/A</v>
      </c>
      <c r="P89" s="200" t="e">
        <f aca="false">IF(A90="","",M89+K89+H89)</f>
        <v>#N/A</v>
      </c>
      <c r="Q89" s="204"/>
      <c r="R89" s="200" t="e">
        <f aca="false">IF($A90="","",VLOOKUP($A89,Table,MATCH(R$4,Curves,0)))</f>
        <v>#N/A</v>
      </c>
      <c r="S89" s="201" t="e">
        <f aca="false">IF(A90="","",R89)</f>
        <v>#N/A</v>
      </c>
      <c r="T89" s="200" t="e">
        <f aca="false">IF($A90="","",VLOOKUP($A89,Table,MATCH(T$4,Curves,0)))</f>
        <v>#N/A</v>
      </c>
      <c r="U89" s="201" t="e">
        <f aca="false">IF(A90="","",T89)</f>
        <v>#N/A</v>
      </c>
      <c r="V89" s="183" t="e">
        <f aca="false">IF($A90="","",IF(AND(MONTH(A89)&gt;3,MONTH(A89)&lt;11),(T89+R89+G89)*Summary!$T$8/(1-Summary!$T$8),(T89+R89+G89)*Summary!$U$8/(1-Summary!$U$8)))</f>
        <v>#N/A</v>
      </c>
      <c r="W89" s="200" t="e">
        <f aca="false">IF($A90="","",(T89+R89+G89+V89))</f>
        <v>#N/A</v>
      </c>
      <c r="X89" s="200" t="e">
        <f aca="false">IF($A90="","",(U89+S89+H89+V89))</f>
        <v>#N/A</v>
      </c>
      <c r="Y89" s="202"/>
      <c r="Z89" s="185" t="e">
        <f aca="false">IF($A90="","",VLOOKUP($A89,Table,MATCH(Z$4,Curves,0)))</f>
        <v>#N/A</v>
      </c>
      <c r="AA89" s="185" t="e">
        <f aca="false">IF($A90="","",VLOOKUP($A89,Table,MATCH(AA$4,Curves,0)))</f>
        <v>#N/A</v>
      </c>
      <c r="AB89" s="185" t="e">
        <f aca="false">SQRT((AA89^2*(A89-$D$3)+Z89^2*(DAY(EOMONTH(A89,0))/2))/AK89)</f>
        <v>#N/A</v>
      </c>
      <c r="AC89" s="185" t="e">
        <f aca="false">IF($A90="","",VLOOKUP($A89,Table,MATCH(AC$4,Curves,0)))</f>
        <v>#N/A</v>
      </c>
      <c r="AD89" s="185" t="e">
        <f aca="false">IF($A90="","",VLOOKUP($A89,Table,MATCH(AD$4,Curves,0)))</f>
        <v>#N/A</v>
      </c>
      <c r="AE89" s="185" t="e">
        <f aca="false">SQRT((AD89^2*(A89-$D$3)+AC89^2*(DAY(EOMONTH(A89,0))/2))/AK89)</f>
        <v>#N/A</v>
      </c>
      <c r="AF89" s="224" t="e">
        <f aca="false">((Summary!$N$8*(AA89*AD89)*(A89-$D$3))+(Summary!$M$8*Z89*AC89*(AJ89-EOMONTH(EDATE(A89,-1),0))))/(AK89*AB89*AE89)</f>
        <v>#N/A</v>
      </c>
      <c r="AG89" s="207" t="n">
        <f aca="false">IF($A90="","",Summary!$Q$8)</f>
        <v>0</v>
      </c>
      <c r="AH89" s="207" t="n">
        <f aca="false">IF($A90="","",IF(Summary!$R$8="Y",(VLOOKUP($A89,Summary!$AD$6:$AF$9,3)+'Escalating commodity'!D102),'Escalating commodity'!D102))</f>
        <v>0.0200232</v>
      </c>
      <c r="AI89" s="207" t="n">
        <f aca="false">IF($A90="","",AH89)</f>
        <v>0.0200232</v>
      </c>
      <c r="AJ89" s="208" t="n">
        <f aca="false">A89+DAY(EOMONTH(A89,0))/2-1</f>
        <v>39462.5</v>
      </c>
      <c r="AK89" s="209" t="n">
        <f aca="false">IF($A90="","",$A89-$E$1)</f>
        <v>-6478</v>
      </c>
      <c r="AL89" s="182" t="e">
        <f aca="false">IF($A90="","",SPRDOPT(P89,X89,AI89,0,AB89,AE89,AF89,AK89,$AJ$2,0))</f>
        <v>#NAME?</v>
      </c>
      <c r="AM89" s="211" t="e">
        <f aca="false">IF($A90="","",MAX(0,O89-W89-AI89))</f>
        <v>#N/A</v>
      </c>
      <c r="AN89" s="211" t="e">
        <f aca="false">IF($A90="","",AL89-AM89)</f>
        <v>#N/A</v>
      </c>
      <c r="AO89" s="137" t="n">
        <f aca="false">IF(A90="","",A90-A89)</f>
        <v>31</v>
      </c>
      <c r="AP89" s="212" t="n">
        <f aca="false">IF(A90="","",CHOOSE(F$3,A90+24,A89))</f>
        <v>39448</v>
      </c>
      <c r="AQ89" s="209" t="n">
        <f aca="false">IF(A90="","",AP89-$E$1)</f>
        <v>-6478</v>
      </c>
      <c r="AR89" s="185" t="n">
        <f aca="false">'ANR OK vs ML7'!AR89</f>
        <v>0.1</v>
      </c>
      <c r="AS89" s="213" t="n">
        <f aca="false">IF(A90="","",1/(1+CHOOSE(F$3,(AR90+($I$3/10000))/2,(AR89+($I$3/10000))/2))^(2*AQ89/365.25))</f>
        <v>5.64440581570262</v>
      </c>
      <c r="AT89" s="137" t="n">
        <f aca="false">IF(A90="","",IF(AND(mthbeg&lt;=A89,mthend&gt;=A89),1,0))</f>
        <v>1</v>
      </c>
      <c r="AU89" s="137" t="n">
        <f aca="false">IF(A90="","",AO89*AT89)</f>
        <v>31</v>
      </c>
      <c r="AW89" s="195" t="e">
        <f aca="false">IF($A90="","",AL89*$E89)</f>
        <v>#NAME?</v>
      </c>
      <c r="AX89" s="195" t="e">
        <f aca="false">IF($A90="","",AM89*$E89)</f>
        <v>#N/A</v>
      </c>
      <c r="AY89" s="195" t="e">
        <f aca="false">IF($A90="","",AN89*$E89)</f>
        <v>#N/A</v>
      </c>
      <c r="BA89" s="195" t="n">
        <f aca="false">IF($A90="","",F89*Summary!$Q$8)</f>
        <v>0</v>
      </c>
      <c r="BC89" s="179" t="e">
        <f aca="false">IF(A90="","",AM89*F89)</f>
        <v>#N/A</v>
      </c>
    </row>
    <row r="90" customFormat="false" ht="12.75" hidden="false" customHeight="false" outlineLevel="0" collapsed="false">
      <c r="A90" s="196" t="n">
        <f aca="false">IF(A89&lt;mthend,EDATE(A89,1),"")</f>
        <v>39479</v>
      </c>
      <c r="B90" s="197" t="n">
        <f aca="false">IF(A90&lt;mthend,B89,0)</f>
        <v>80000</v>
      </c>
      <c r="C90" s="215"/>
      <c r="D90" s="197" t="n">
        <f aca="false">IF(A91&lt;&gt;"",B90+C90,"")</f>
        <v>80000</v>
      </c>
      <c r="E90" s="199" t="n">
        <f aca="false">IF(A91="","",IF(AND(AT90=1,$H$3=1),D90*AO90,IF($H$3=2,D90,"N/A")))</f>
        <v>2320000</v>
      </c>
      <c r="F90" s="199" t="n">
        <f aca="false">IF(A91="","",E90*AS90)</f>
        <v>12987016.7579037</v>
      </c>
      <c r="G90" s="200" t="e">
        <f aca="false">IF($A91="","",VLOOKUP($A90,Table,MATCH(G$4,Curves,0)))</f>
        <v>#N/A</v>
      </c>
      <c r="H90" s="201" t="e">
        <f aca="false">IF(A91="","",G90)</f>
        <v>#N/A</v>
      </c>
      <c r="I90" s="202"/>
      <c r="J90" s="200" t="e">
        <f aca="false">IF($A91="","",VLOOKUP($A90,Table,MATCH(J$4,Curves,0)))</f>
        <v>#N/A</v>
      </c>
      <c r="K90" s="201" t="e">
        <f aca="false">IF(A91="","",J90)</f>
        <v>#N/A</v>
      </c>
      <c r="L90" s="200" t="e">
        <f aca="false">IF($A91="","",VLOOKUP($A90,Table,MATCH(L$4,Curves,0)))</f>
        <v>#N/A</v>
      </c>
      <c r="M90" s="201" t="e">
        <f aca="false">IF(A91="","",L90)</f>
        <v>#N/A</v>
      </c>
      <c r="N90" s="203"/>
      <c r="O90" s="200" t="e">
        <f aca="false">IF(A91="","",L90+J90+G90)</f>
        <v>#N/A</v>
      </c>
      <c r="P90" s="200" t="e">
        <f aca="false">IF(A91="","",M90+K90+H90)</f>
        <v>#N/A</v>
      </c>
      <c r="Q90" s="204"/>
      <c r="R90" s="200" t="e">
        <f aca="false">IF($A91="","",VLOOKUP($A90,Table,MATCH(R$4,Curves,0)))</f>
        <v>#N/A</v>
      </c>
      <c r="S90" s="201" t="e">
        <f aca="false">IF(A91="","",R90)</f>
        <v>#N/A</v>
      </c>
      <c r="T90" s="200" t="e">
        <f aca="false">IF($A91="","",VLOOKUP($A90,Table,MATCH(T$4,Curves,0)))</f>
        <v>#N/A</v>
      </c>
      <c r="U90" s="201" t="e">
        <f aca="false">IF(A91="","",T90)</f>
        <v>#N/A</v>
      </c>
      <c r="V90" s="183" t="e">
        <f aca="false">IF($A91="","",IF(AND(MONTH(A90)&gt;3,MONTH(A90)&lt;11),(T90+R90+G90)*Summary!$T$8/(1-Summary!$T$8),(T90+R90+G90)*Summary!$U$8/(1-Summary!$U$8)))</f>
        <v>#N/A</v>
      </c>
      <c r="W90" s="200" t="e">
        <f aca="false">IF($A91="","",(T90+R90+G90+V90))</f>
        <v>#N/A</v>
      </c>
      <c r="X90" s="200" t="e">
        <f aca="false">IF($A91="","",(U90+S90+H90+V90))</f>
        <v>#N/A</v>
      </c>
      <c r="Y90" s="202"/>
      <c r="Z90" s="185" t="e">
        <f aca="false">IF($A91="","",VLOOKUP($A90,Table,MATCH(Z$4,Curves,0)))</f>
        <v>#N/A</v>
      </c>
      <c r="AA90" s="185" t="e">
        <f aca="false">IF($A91="","",VLOOKUP($A90,Table,MATCH(AA$4,Curves,0)))</f>
        <v>#N/A</v>
      </c>
      <c r="AB90" s="185" t="e">
        <f aca="false">SQRT((AA90^2*(A90-$D$3)+Z90^2*(DAY(EOMONTH(A90,0))/2))/AK90)</f>
        <v>#N/A</v>
      </c>
      <c r="AC90" s="185" t="e">
        <f aca="false">IF($A91="","",VLOOKUP($A90,Table,MATCH(AC$4,Curves,0)))</f>
        <v>#N/A</v>
      </c>
      <c r="AD90" s="185" t="e">
        <f aca="false">IF($A91="","",VLOOKUP($A90,Table,MATCH(AD$4,Curves,0)))</f>
        <v>#N/A</v>
      </c>
      <c r="AE90" s="185" t="e">
        <f aca="false">SQRT((AD90^2*(A90-$D$3)+AC90^2*(DAY(EOMONTH(A90,0))/2))/AK90)</f>
        <v>#N/A</v>
      </c>
      <c r="AF90" s="224" t="e">
        <f aca="false">((Summary!$N$8*(AA90*AD90)*(A90-$D$3))+(Summary!$M$8*Z90*AC90*(AJ90-EOMONTH(EDATE(A90,-1),0))))/(AK90*AB90*AE90)</f>
        <v>#N/A</v>
      </c>
      <c r="AG90" s="207" t="n">
        <f aca="false">IF($A91="","",Summary!$Q$8)</f>
        <v>0</v>
      </c>
      <c r="AH90" s="207" t="n">
        <f aca="false">IF($A91="","",IF(Summary!$R$8="Y",(VLOOKUP($A90,Summary!$AD$6:$AF$9,3)+'Escalating commodity'!D103),'Escalating commodity'!D103))</f>
        <v>0.0200232</v>
      </c>
      <c r="AI90" s="207" t="n">
        <f aca="false">IF($A91="","",AH90)</f>
        <v>0.0200232</v>
      </c>
      <c r="AJ90" s="208" t="n">
        <f aca="false">A90+DAY(EOMONTH(A90,0))/2-1</f>
        <v>39492.5</v>
      </c>
      <c r="AK90" s="209" t="n">
        <f aca="false">IF($A91="","",$A90-$E$1)</f>
        <v>-6447</v>
      </c>
      <c r="AL90" s="182" t="e">
        <f aca="false">IF($A91="","",SPRDOPT(P90,X90,AI90,0,AB90,AE90,AF90,AK90,$AJ$2,0))</f>
        <v>#NAME?</v>
      </c>
      <c r="AM90" s="211" t="e">
        <f aca="false">IF($A91="","",MAX(0,O90-W90-AI90))</f>
        <v>#N/A</v>
      </c>
      <c r="AN90" s="211" t="e">
        <f aca="false">IF($A91="","",AL90-AM90)</f>
        <v>#N/A</v>
      </c>
      <c r="AO90" s="137" t="n">
        <f aca="false">IF(A91="","",A91-A90)</f>
        <v>29</v>
      </c>
      <c r="AP90" s="212" t="n">
        <f aca="false">IF(A91="","",CHOOSE(F$3,A91+24,A90))</f>
        <v>39479</v>
      </c>
      <c r="AQ90" s="209" t="n">
        <f aca="false">IF(A91="","",AP90-$E$1)</f>
        <v>-6447</v>
      </c>
      <c r="AR90" s="185" t="n">
        <f aca="false">'ANR OK vs ML7'!AR90</f>
        <v>0.1</v>
      </c>
      <c r="AS90" s="213" t="n">
        <f aca="false">IF(A91="","",1/(1+CHOOSE(F$3,(AR91+($I$3/10000))/2,(AR90+($I$3/10000))/2))^(2*AQ90/365.25))</f>
        <v>5.59785205082057</v>
      </c>
      <c r="AT90" s="137" t="n">
        <f aca="false">IF(A91="","",IF(AND(mthbeg&lt;=A90,mthend&gt;=A90),1,0))</f>
        <v>1</v>
      </c>
      <c r="AU90" s="137" t="n">
        <f aca="false">IF(A91="","",AO90*AT90)</f>
        <v>29</v>
      </c>
      <c r="AW90" s="195" t="e">
        <f aca="false">IF($A91="","",AL90*$E90)</f>
        <v>#NAME?</v>
      </c>
      <c r="AX90" s="195" t="e">
        <f aca="false">IF($A91="","",AM90*$E90)</f>
        <v>#N/A</v>
      </c>
      <c r="AY90" s="195" t="e">
        <f aca="false">IF($A91="","",AN90*$E90)</f>
        <v>#N/A</v>
      </c>
      <c r="BA90" s="195" t="n">
        <f aca="false">IF($A91="","",F90*Summary!$Q$8)</f>
        <v>0</v>
      </c>
      <c r="BC90" s="179" t="e">
        <f aca="false">IF(A91="","",AM90*F90)</f>
        <v>#N/A</v>
      </c>
    </row>
    <row r="91" customFormat="false" ht="12.75" hidden="false" customHeight="false" outlineLevel="0" collapsed="false">
      <c r="A91" s="196" t="n">
        <f aca="false">IF(A90&lt;mthend,EDATE(A90,1),"")</f>
        <v>39508</v>
      </c>
      <c r="B91" s="197" t="n">
        <f aca="false">IF(A91&lt;mthend,B90,0)</f>
        <v>80000</v>
      </c>
      <c r="C91" s="215"/>
      <c r="D91" s="197" t="n">
        <f aca="false">IF(A92&lt;&gt;"",B91+C91,"")</f>
        <v>80000</v>
      </c>
      <c r="E91" s="199" t="n">
        <f aca="false">IF(A92="","",IF(AND(AT91=1,$H$3=1),D91*AO91,IF($H$3=2,D91,"N/A")))</f>
        <v>2480000</v>
      </c>
      <c r="F91" s="199" t="n">
        <f aca="false">IF(A92="","",E91*AS91)</f>
        <v>13775530.5676067</v>
      </c>
      <c r="G91" s="200" t="e">
        <f aca="false">IF($A92="","",VLOOKUP($A91,Table,MATCH(G$4,Curves,0)))</f>
        <v>#N/A</v>
      </c>
      <c r="H91" s="201" t="e">
        <f aca="false">IF(A92="","",G91)</f>
        <v>#N/A</v>
      </c>
      <c r="I91" s="202"/>
      <c r="J91" s="200" t="e">
        <f aca="false">IF($A92="","",VLOOKUP($A91,Table,MATCH(J$4,Curves,0)))</f>
        <v>#N/A</v>
      </c>
      <c r="K91" s="201" t="e">
        <f aca="false">IF(A92="","",J91)</f>
        <v>#N/A</v>
      </c>
      <c r="L91" s="200" t="e">
        <f aca="false">IF($A92="","",VLOOKUP($A91,Table,MATCH(L$4,Curves,0)))</f>
        <v>#N/A</v>
      </c>
      <c r="M91" s="201" t="e">
        <f aca="false">IF(A92="","",L91)</f>
        <v>#N/A</v>
      </c>
      <c r="N91" s="203"/>
      <c r="O91" s="200" t="e">
        <f aca="false">IF(A92="","",L91+J91+G91)</f>
        <v>#N/A</v>
      </c>
      <c r="P91" s="200" t="e">
        <f aca="false">IF(A92="","",M91+K91+H91)</f>
        <v>#N/A</v>
      </c>
      <c r="Q91" s="204"/>
      <c r="R91" s="200" t="e">
        <f aca="false">IF($A92="","",VLOOKUP($A91,Table,MATCH(R$4,Curves,0)))</f>
        <v>#N/A</v>
      </c>
      <c r="S91" s="201" t="e">
        <f aca="false">IF(A92="","",R91)</f>
        <v>#N/A</v>
      </c>
      <c r="T91" s="200" t="e">
        <f aca="false">IF($A92="","",VLOOKUP($A91,Table,MATCH(T$4,Curves,0)))</f>
        <v>#N/A</v>
      </c>
      <c r="U91" s="201" t="e">
        <f aca="false">IF(A92="","",T91)</f>
        <v>#N/A</v>
      </c>
      <c r="V91" s="183" t="e">
        <f aca="false">IF($A92="","",IF(AND(MONTH(A91)&gt;3,MONTH(A91)&lt;11),(T91+R91+G91)*Summary!$T$8/(1-Summary!$T$8),(T91+R91+G91)*Summary!$U$8/(1-Summary!$U$8)))</f>
        <v>#N/A</v>
      </c>
      <c r="W91" s="200" t="e">
        <f aca="false">IF($A92="","",(T91+R91+G91+V91))</f>
        <v>#N/A</v>
      </c>
      <c r="X91" s="200" t="e">
        <f aca="false">IF($A92="","",(U91+S91+H91+V91))</f>
        <v>#N/A</v>
      </c>
      <c r="Y91" s="202"/>
      <c r="Z91" s="185" t="e">
        <f aca="false">IF($A92="","",VLOOKUP($A91,Table,MATCH(Z$4,Curves,0)))</f>
        <v>#N/A</v>
      </c>
      <c r="AA91" s="185" t="e">
        <f aca="false">IF($A92="","",VLOOKUP($A91,Table,MATCH(AA$4,Curves,0)))</f>
        <v>#N/A</v>
      </c>
      <c r="AB91" s="185" t="e">
        <f aca="false">SQRT((AA91^2*(A91-$D$3)+Z91^2*(DAY(EOMONTH(A91,0))/2))/AK91)</f>
        <v>#N/A</v>
      </c>
      <c r="AC91" s="185" t="e">
        <f aca="false">IF($A92="","",VLOOKUP($A91,Table,MATCH(AC$4,Curves,0)))</f>
        <v>#N/A</v>
      </c>
      <c r="AD91" s="185" t="e">
        <f aca="false">IF($A92="","",VLOOKUP($A91,Table,MATCH(AD$4,Curves,0)))</f>
        <v>#N/A</v>
      </c>
      <c r="AE91" s="185" t="e">
        <f aca="false">SQRT((AD91^2*(A91-$D$3)+AC91^2*(DAY(EOMONTH(A91,0))/2))/AK91)</f>
        <v>#N/A</v>
      </c>
      <c r="AF91" s="224" t="e">
        <f aca="false">((Summary!$N$8*(AA91*AD91)*(A91-$D$3))+(Summary!$M$8*Z91*AC91*(AJ91-EOMONTH(EDATE(A91,-1),0))))/(AK91*AB91*AE91)</f>
        <v>#N/A</v>
      </c>
      <c r="AG91" s="207" t="n">
        <f aca="false">IF($A92="","",Summary!$Q$8)</f>
        <v>0</v>
      </c>
      <c r="AH91" s="207" t="n">
        <f aca="false">IF($A92="","",IF(Summary!$R$8="Y",(VLOOKUP($A91,Summary!$AD$6:$AF$9,3)+'Escalating commodity'!D104),'Escalating commodity'!D104))</f>
        <v>0.0200232</v>
      </c>
      <c r="AI91" s="207" t="n">
        <f aca="false">IF($A92="","",AH91)</f>
        <v>0.0200232</v>
      </c>
      <c r="AJ91" s="208" t="n">
        <f aca="false">A91+DAY(EOMONTH(A91,0))/2-1</f>
        <v>39522.5</v>
      </c>
      <c r="AK91" s="209" t="n">
        <f aca="false">IF($A92="","",$A91-$E$1)</f>
        <v>-6418</v>
      </c>
      <c r="AL91" s="182" t="e">
        <f aca="false">IF($A92="","",SPRDOPT(P91,X91,AI91,0,AB91,AE91,AF91,AK91,$AJ$2,0))</f>
        <v>#NAME?</v>
      </c>
      <c r="AM91" s="211" t="e">
        <f aca="false">IF($A92="","",MAX(0,O91-W91-AI91))</f>
        <v>#N/A</v>
      </c>
      <c r="AN91" s="211" t="e">
        <f aca="false">IF($A92="","",AL91-AM91)</f>
        <v>#N/A</v>
      </c>
      <c r="AO91" s="137" t="n">
        <f aca="false">IF(A92="","",A92-A91)</f>
        <v>31</v>
      </c>
      <c r="AP91" s="212" t="n">
        <f aca="false">IF(A92="","",CHOOSE(F$3,A92+24,A91))</f>
        <v>39508</v>
      </c>
      <c r="AQ91" s="209" t="n">
        <f aca="false">IF(A92="","",AP91-$E$1)</f>
        <v>-6418</v>
      </c>
      <c r="AR91" s="185" t="n">
        <f aca="false">'ANR OK vs ML7'!AR91</f>
        <v>0.1</v>
      </c>
      <c r="AS91" s="213" t="n">
        <f aca="false">IF(A92="","",1/(1+CHOOSE(F$3,(AR92+($I$3/10000))/2,(AR91+($I$3/10000))/2))^(2*AQ91/365.25))</f>
        <v>5.55464942242204</v>
      </c>
      <c r="AT91" s="137" t="n">
        <f aca="false">IF(A92="","",IF(AND(mthbeg&lt;=A91,mthend&gt;=A91),1,0))</f>
        <v>1</v>
      </c>
      <c r="AU91" s="137" t="n">
        <f aca="false">IF(A92="","",AO91*AT91)</f>
        <v>31</v>
      </c>
      <c r="AW91" s="195" t="e">
        <f aca="false">IF($A92="","",AL91*$E91)</f>
        <v>#NAME?</v>
      </c>
      <c r="AX91" s="195" t="e">
        <f aca="false">IF($A92="","",AM91*$E91)</f>
        <v>#N/A</v>
      </c>
      <c r="AY91" s="195" t="e">
        <f aca="false">IF($A92="","",AN91*$E91)</f>
        <v>#N/A</v>
      </c>
      <c r="BA91" s="195" t="n">
        <f aca="false">IF($A92="","",F91*Summary!$Q$8)</f>
        <v>0</v>
      </c>
      <c r="BC91" s="179" t="e">
        <f aca="false">IF(A92="","",AM91*F91)</f>
        <v>#N/A</v>
      </c>
    </row>
    <row r="92" customFormat="false" ht="12.75" hidden="false" customHeight="false" outlineLevel="0" collapsed="false">
      <c r="A92" s="196" t="n">
        <f aca="false">IF(A91&lt;mthend,EDATE(A91,1),"")</f>
        <v>39539</v>
      </c>
      <c r="B92" s="197" t="n">
        <f aca="false">IF(A92&lt;mthend,B91,0)</f>
        <v>80000</v>
      </c>
      <c r="C92" s="215"/>
      <c r="D92" s="197" t="n">
        <f aca="false">IF(A93&lt;&gt;"",B92+C92,"")</f>
        <v>80000</v>
      </c>
      <c r="E92" s="199" t="n">
        <f aca="false">IF(A93="","",IF(AND(AT92=1,$H$3=1),D92*AO92,IF($H$3=2,D92,"N/A")))</f>
        <v>2400000</v>
      </c>
      <c r="F92" s="199" t="n">
        <f aca="false">IF(A93="","",E92*AS92)</f>
        <v>13221206.2744566</v>
      </c>
      <c r="G92" s="200" t="e">
        <f aca="false">IF($A93="","",VLOOKUP($A92,Table,MATCH(G$4,Curves,0)))</f>
        <v>#N/A</v>
      </c>
      <c r="H92" s="201" t="e">
        <f aca="false">IF(A93="","",G92)</f>
        <v>#N/A</v>
      </c>
      <c r="I92" s="202"/>
      <c r="J92" s="200" t="e">
        <f aca="false">IF($A93="","",VLOOKUP($A92,Table,MATCH(J$4,Curves,0)))</f>
        <v>#N/A</v>
      </c>
      <c r="K92" s="201" t="e">
        <f aca="false">IF(A93="","",J92)</f>
        <v>#N/A</v>
      </c>
      <c r="L92" s="200" t="e">
        <f aca="false">IF($A93="","",VLOOKUP($A92,Table,MATCH(L$4,Curves,0)))</f>
        <v>#N/A</v>
      </c>
      <c r="M92" s="201" t="e">
        <f aca="false">IF(A93="","",L92)</f>
        <v>#N/A</v>
      </c>
      <c r="N92" s="203"/>
      <c r="O92" s="200" t="e">
        <f aca="false">IF(A93="","",L92+J92+G92)</f>
        <v>#N/A</v>
      </c>
      <c r="P92" s="200" t="e">
        <f aca="false">IF(A93="","",M92+K92+H92)</f>
        <v>#N/A</v>
      </c>
      <c r="Q92" s="204"/>
      <c r="R92" s="200" t="e">
        <f aca="false">IF($A93="","",VLOOKUP($A92,Table,MATCH(R$4,Curves,0)))</f>
        <v>#N/A</v>
      </c>
      <c r="S92" s="201" t="e">
        <f aca="false">IF(A93="","",R92)</f>
        <v>#N/A</v>
      </c>
      <c r="T92" s="200" t="e">
        <f aca="false">IF($A93="","",VLOOKUP($A92,Table,MATCH(T$4,Curves,0)))</f>
        <v>#N/A</v>
      </c>
      <c r="U92" s="201" t="e">
        <f aca="false">IF(A93="","",T92)</f>
        <v>#N/A</v>
      </c>
      <c r="V92" s="183" t="e">
        <f aca="false">IF($A93="","",IF(AND(MONTH(A92)&gt;3,MONTH(A92)&lt;11),(T92+R92+G92)*Summary!$T$8/(1-Summary!$T$8),(T92+R92+G92)*Summary!$U$8/(1-Summary!$U$8)))</f>
        <v>#N/A</v>
      </c>
      <c r="W92" s="200" t="e">
        <f aca="false">IF($A93="","",(T92+R92+G92+V92))</f>
        <v>#N/A</v>
      </c>
      <c r="X92" s="200" t="e">
        <f aca="false">IF($A93="","",(U92+S92+H92+V92))</f>
        <v>#N/A</v>
      </c>
      <c r="Y92" s="202"/>
      <c r="Z92" s="185" t="e">
        <f aca="false">IF($A93="","",VLOOKUP($A92,Table,MATCH(Z$4,Curves,0)))</f>
        <v>#N/A</v>
      </c>
      <c r="AA92" s="185" t="e">
        <f aca="false">IF($A93="","",VLOOKUP($A92,Table,MATCH(AA$4,Curves,0)))</f>
        <v>#N/A</v>
      </c>
      <c r="AB92" s="185" t="e">
        <f aca="false">SQRT((AA92^2*(A92-$D$3)+Z92^2*(DAY(EOMONTH(A92,0))/2))/AK92)</f>
        <v>#N/A</v>
      </c>
      <c r="AC92" s="185" t="e">
        <f aca="false">IF($A93="","",VLOOKUP($A92,Table,MATCH(AC$4,Curves,0)))</f>
        <v>#N/A</v>
      </c>
      <c r="AD92" s="185" t="e">
        <f aca="false">IF($A93="","",VLOOKUP($A92,Table,MATCH(AD$4,Curves,0)))</f>
        <v>#N/A</v>
      </c>
      <c r="AE92" s="185" t="e">
        <f aca="false">SQRT((AD92^2*(A92-$D$3)+AC92^2*(DAY(EOMONTH(A92,0))/2))/AK92)</f>
        <v>#N/A</v>
      </c>
      <c r="AF92" s="224" t="e">
        <f aca="false">((Summary!$N$8*(AA92*AD92)*(A92-$D$3))+(Summary!$M$8*Z92*AC92*(AJ92-EOMONTH(EDATE(A92,-1),0))))/(AK92*AB92*AE92)</f>
        <v>#N/A</v>
      </c>
      <c r="AG92" s="207" t="n">
        <f aca="false">IF($A93="","",Summary!$Q$8)</f>
        <v>0</v>
      </c>
      <c r="AH92" s="207" t="n">
        <f aca="false">IF($A93="","",IF(Summary!$R$8="Y",(VLOOKUP($A92,Summary!$AD$6:$AF$9,3)+'Escalating commodity'!D105),'Escalating commodity'!D105))</f>
        <v>0.0200232</v>
      </c>
      <c r="AI92" s="207" t="n">
        <f aca="false">IF($A93="","",AH92)</f>
        <v>0.0200232</v>
      </c>
      <c r="AJ92" s="208" t="n">
        <f aca="false">A92+DAY(EOMONTH(A92,0))/2-1</f>
        <v>39553</v>
      </c>
      <c r="AK92" s="209" t="n">
        <f aca="false">IF($A93="","",$A92-$E$1)</f>
        <v>-6387</v>
      </c>
      <c r="AL92" s="182" t="e">
        <f aca="false">IF($A93="","",SPRDOPT(P92,X92,AI92,0,AB92,AE92,AF92,AK92,$AJ$2,0))</f>
        <v>#NAME?</v>
      </c>
      <c r="AM92" s="211" t="e">
        <f aca="false">IF($A93="","",MAX(0,O92-W92-AI92))</f>
        <v>#N/A</v>
      </c>
      <c r="AN92" s="211" t="e">
        <f aca="false">IF($A93="","",AL92-AM92)</f>
        <v>#N/A</v>
      </c>
      <c r="AO92" s="137" t="n">
        <f aca="false">IF(A93="","",A93-A92)</f>
        <v>30</v>
      </c>
      <c r="AP92" s="212" t="n">
        <f aca="false">IF(A93="","",CHOOSE(F$3,A93+24,A92))</f>
        <v>39539</v>
      </c>
      <c r="AQ92" s="209" t="n">
        <f aca="false">IF(A93="","",AP92-$E$1)</f>
        <v>-6387</v>
      </c>
      <c r="AR92" s="185" t="n">
        <f aca="false">'ANR OK vs ML7'!AR92</f>
        <v>0.1</v>
      </c>
      <c r="AS92" s="213" t="n">
        <f aca="false">IF(A93="","",1/(1+CHOOSE(F$3,(AR93+($I$3/10000))/2,(AR92+($I$3/10000))/2))^(2*AQ92/365.25))</f>
        <v>5.50883594769026</v>
      </c>
      <c r="AT92" s="137" t="n">
        <f aca="false">IF(A93="","",IF(AND(mthbeg&lt;=A92,mthend&gt;=A92),1,0))</f>
        <v>1</v>
      </c>
      <c r="AU92" s="137" t="n">
        <f aca="false">IF(A93="","",AO92*AT92)</f>
        <v>30</v>
      </c>
      <c r="AW92" s="195" t="e">
        <f aca="false">IF($A93="","",AL92*$E92)</f>
        <v>#NAME?</v>
      </c>
      <c r="AX92" s="195" t="e">
        <f aca="false">IF($A93="","",AM92*$E92)</f>
        <v>#N/A</v>
      </c>
      <c r="AY92" s="195" t="e">
        <f aca="false">IF($A93="","",AN92*$E92)</f>
        <v>#N/A</v>
      </c>
      <c r="BA92" s="195" t="n">
        <f aca="false">IF($A93="","",F92*Summary!$Q$8)</f>
        <v>0</v>
      </c>
      <c r="BC92" s="179" t="e">
        <f aca="false">IF(A93="","",AM92*F92)</f>
        <v>#N/A</v>
      </c>
    </row>
    <row r="93" customFormat="false" ht="12.75" hidden="false" customHeight="false" outlineLevel="0" collapsed="false">
      <c r="A93" s="196" t="n">
        <f aca="false">IF(A92&lt;mthend,EDATE(A92,1),"")</f>
        <v>39569</v>
      </c>
      <c r="B93" s="197" t="n">
        <f aca="false">IF(A93&lt;mthend,B92,0)</f>
        <v>80000</v>
      </c>
      <c r="C93" s="215"/>
      <c r="D93" s="197" t="n">
        <f aca="false">IF(A94&lt;&gt;"",B93+C93,"")</f>
        <v>80000</v>
      </c>
      <c r="E93" s="199" t="n">
        <f aca="false">IF(A94="","",IF(AND(AT93=1,$H$3=1),D93*AO93,IF($H$3=2,D93,"N/A")))</f>
        <v>2480000</v>
      </c>
      <c r="F93" s="199" t="n">
        <f aca="false">IF(A94="","",E93*AS93)</f>
        <v>13552853.1250942</v>
      </c>
      <c r="G93" s="200" t="e">
        <f aca="false">IF($A94="","",VLOOKUP($A93,Table,MATCH(G$4,Curves,0)))</f>
        <v>#N/A</v>
      </c>
      <c r="H93" s="201" t="e">
        <f aca="false">IF(A94="","",G93)</f>
        <v>#N/A</v>
      </c>
      <c r="I93" s="202"/>
      <c r="J93" s="200" t="e">
        <f aca="false">IF($A94="","",VLOOKUP($A93,Table,MATCH(J$4,Curves,0)))</f>
        <v>#N/A</v>
      </c>
      <c r="K93" s="201" t="e">
        <f aca="false">IF(A94="","",J93)</f>
        <v>#N/A</v>
      </c>
      <c r="L93" s="200" t="e">
        <f aca="false">IF($A94="","",VLOOKUP($A93,Table,MATCH(L$4,Curves,0)))</f>
        <v>#N/A</v>
      </c>
      <c r="M93" s="201" t="e">
        <f aca="false">IF(A94="","",L93)</f>
        <v>#N/A</v>
      </c>
      <c r="N93" s="203"/>
      <c r="O93" s="200" t="e">
        <f aca="false">IF(A94="","",L93+J93+G93)</f>
        <v>#N/A</v>
      </c>
      <c r="P93" s="200" t="e">
        <f aca="false">IF(A94="","",M93+K93+H93)</f>
        <v>#N/A</v>
      </c>
      <c r="Q93" s="204"/>
      <c r="R93" s="200" t="e">
        <f aca="false">IF($A94="","",VLOOKUP($A93,Table,MATCH(R$4,Curves,0)))</f>
        <v>#N/A</v>
      </c>
      <c r="S93" s="201" t="e">
        <f aca="false">IF(A94="","",R93)</f>
        <v>#N/A</v>
      </c>
      <c r="T93" s="200" t="e">
        <f aca="false">IF($A94="","",VLOOKUP($A93,Table,MATCH(T$4,Curves,0)))</f>
        <v>#N/A</v>
      </c>
      <c r="U93" s="201" t="e">
        <f aca="false">IF(A94="","",T93)</f>
        <v>#N/A</v>
      </c>
      <c r="V93" s="183" t="e">
        <f aca="false">IF($A94="","",IF(AND(MONTH(A93)&gt;3,MONTH(A93)&lt;11),(T93+R93+G93)*Summary!$T$8/(1-Summary!$T$8),(T93+R93+G93)*Summary!$U$8/(1-Summary!$U$8)))</f>
        <v>#N/A</v>
      </c>
      <c r="W93" s="200" t="e">
        <f aca="false">IF($A94="","",(T93+R93+G93+V93))</f>
        <v>#N/A</v>
      </c>
      <c r="X93" s="200" t="e">
        <f aca="false">IF($A94="","",(U93+S93+H93+V93))</f>
        <v>#N/A</v>
      </c>
      <c r="Y93" s="202"/>
      <c r="Z93" s="185" t="e">
        <f aca="false">IF($A94="","",VLOOKUP($A93,Table,MATCH(Z$4,Curves,0)))</f>
        <v>#N/A</v>
      </c>
      <c r="AA93" s="185" t="e">
        <f aca="false">IF($A94="","",VLOOKUP($A93,Table,MATCH(AA$4,Curves,0)))</f>
        <v>#N/A</v>
      </c>
      <c r="AB93" s="185" t="e">
        <f aca="false">SQRT((AA93^2*(A93-$D$3)+Z93^2*(DAY(EOMONTH(A93,0))/2))/AK93)</f>
        <v>#N/A</v>
      </c>
      <c r="AC93" s="185" t="e">
        <f aca="false">IF($A94="","",VLOOKUP($A93,Table,MATCH(AC$4,Curves,0)))</f>
        <v>#N/A</v>
      </c>
      <c r="AD93" s="185" t="e">
        <f aca="false">IF($A94="","",VLOOKUP($A93,Table,MATCH(AD$4,Curves,0)))</f>
        <v>#N/A</v>
      </c>
      <c r="AE93" s="185" t="e">
        <f aca="false">SQRT((AD93^2*(A93-$D$3)+AC93^2*(DAY(EOMONTH(A93,0))/2))/AK93)</f>
        <v>#N/A</v>
      </c>
      <c r="AF93" s="224" t="e">
        <f aca="false">((Summary!$N$8*(AA93*AD93)*(A93-$D$3))+(Summary!$M$8*Z93*AC93*(AJ93-EOMONTH(EDATE(A93,-1),0))))/(AK93*AB93*AE93)</f>
        <v>#N/A</v>
      </c>
      <c r="AG93" s="207" t="n">
        <f aca="false">IF($A94="","",Summary!$Q$8)</f>
        <v>0</v>
      </c>
      <c r="AH93" s="207" t="n">
        <f aca="false">IF($A94="","",IF(Summary!$R$8="Y",(VLOOKUP($A93,Summary!$AD$6:$AF$9,3)+'Escalating commodity'!D106),'Escalating commodity'!D106))</f>
        <v>0.0200232</v>
      </c>
      <c r="AI93" s="207" t="n">
        <f aca="false">IF($A94="","",AH93)</f>
        <v>0.0200232</v>
      </c>
      <c r="AJ93" s="208" t="n">
        <f aca="false">A93+DAY(EOMONTH(A93,0))/2-1</f>
        <v>39583.5</v>
      </c>
      <c r="AK93" s="209" t="n">
        <f aca="false">IF($A94="","",$A93-$E$1)</f>
        <v>-6357</v>
      </c>
      <c r="AL93" s="182" t="e">
        <f aca="false">IF($A94="","",SPRDOPT(P93,X93,AI93,0,AB93,AE93,AF93,AK93,$AJ$2,0))</f>
        <v>#NAME?</v>
      </c>
      <c r="AM93" s="211" t="e">
        <f aca="false">IF($A94="","",MAX(0,O93-W93-AI93))</f>
        <v>#N/A</v>
      </c>
      <c r="AN93" s="211" t="e">
        <f aca="false">IF($A94="","",AL93-AM93)</f>
        <v>#N/A</v>
      </c>
      <c r="AO93" s="137" t="n">
        <f aca="false">IF(A94="","",A94-A93)</f>
        <v>31</v>
      </c>
      <c r="AP93" s="212" t="n">
        <f aca="false">IF(A94="","",CHOOSE(F$3,A94+24,A93))</f>
        <v>39569</v>
      </c>
      <c r="AQ93" s="209" t="n">
        <f aca="false">IF(A94="","",AP93-$E$1)</f>
        <v>-6357</v>
      </c>
      <c r="AR93" s="185" t="n">
        <f aca="false">'ANR OK vs ML7'!AR93</f>
        <v>0.1</v>
      </c>
      <c r="AS93" s="213" t="n">
        <f aca="false">IF(A94="","",1/(1+CHOOSE(F$3,(AR94+($I$3/10000))/2,(AR93+($I$3/10000))/2))^(2*AQ93/365.25))</f>
        <v>5.46486013108636</v>
      </c>
      <c r="AT93" s="137" t="n">
        <f aca="false">IF(A94="","",IF(AND(mthbeg&lt;=A93,mthend&gt;=A93),1,0))</f>
        <v>1</v>
      </c>
      <c r="AU93" s="137" t="n">
        <f aca="false">IF(A94="","",AO93*AT93)</f>
        <v>31</v>
      </c>
      <c r="AW93" s="195" t="e">
        <f aca="false">IF($A94="","",AL93*$E93)</f>
        <v>#NAME?</v>
      </c>
      <c r="AX93" s="195" t="e">
        <f aca="false">IF($A94="","",AM93*$E93)</f>
        <v>#N/A</v>
      </c>
      <c r="AY93" s="195" t="e">
        <f aca="false">IF($A94="","",AN93*$E93)</f>
        <v>#N/A</v>
      </c>
      <c r="BA93" s="195" t="n">
        <f aca="false">IF($A94="","",F93*Summary!$Q$8)</f>
        <v>0</v>
      </c>
      <c r="BC93" s="179" t="e">
        <f aca="false">IF(A94="","",AM93*F93)</f>
        <v>#N/A</v>
      </c>
    </row>
    <row r="94" customFormat="false" ht="12.75" hidden="false" customHeight="false" outlineLevel="0" collapsed="false">
      <c r="A94" s="196" t="n">
        <f aca="false">IF(A93&lt;mthend,EDATE(A93,1),"")</f>
        <v>39600</v>
      </c>
      <c r="B94" s="197" t="n">
        <f aca="false">IF(A94&lt;mthend,B93,0)</f>
        <v>80000</v>
      </c>
      <c r="C94" s="215"/>
      <c r="D94" s="197" t="n">
        <f aca="false">IF(A95&lt;&gt;"",B94+C94,"")</f>
        <v>80000</v>
      </c>
      <c r="E94" s="199" t="n">
        <f aca="false">IF(A95="","",IF(AND(AT94=1,$H$3=1),D94*AO94,IF($H$3=2,D94,"N/A")))</f>
        <v>2400000</v>
      </c>
      <c r="F94" s="199" t="n">
        <f aca="false">IF(A95="","",E94*AS94)</f>
        <v>13007489.3228171</v>
      </c>
      <c r="G94" s="200" t="e">
        <f aca="false">IF($A95="","",VLOOKUP($A94,Table,MATCH(G$4,Curves,0)))</f>
        <v>#N/A</v>
      </c>
      <c r="H94" s="201" t="e">
        <f aca="false">IF(A95="","",G94)</f>
        <v>#N/A</v>
      </c>
      <c r="I94" s="202"/>
      <c r="J94" s="200" t="e">
        <f aca="false">IF($A95="","",VLOOKUP($A94,Table,MATCH(J$4,Curves,0)))</f>
        <v>#N/A</v>
      </c>
      <c r="K94" s="201" t="e">
        <f aca="false">IF(A95="","",J94)</f>
        <v>#N/A</v>
      </c>
      <c r="L94" s="200" t="e">
        <f aca="false">IF($A95="","",VLOOKUP($A94,Table,MATCH(L$4,Curves,0)))</f>
        <v>#N/A</v>
      </c>
      <c r="M94" s="201" t="e">
        <f aca="false">IF(A95="","",L94)</f>
        <v>#N/A</v>
      </c>
      <c r="N94" s="203"/>
      <c r="O94" s="200" t="e">
        <f aca="false">IF(A95="","",L94+J94+G94)</f>
        <v>#N/A</v>
      </c>
      <c r="P94" s="200" t="e">
        <f aca="false">IF(A95="","",M94+K94+H94)</f>
        <v>#N/A</v>
      </c>
      <c r="Q94" s="204"/>
      <c r="R94" s="200" t="e">
        <f aca="false">IF($A95="","",VLOOKUP($A94,Table,MATCH(R$4,Curves,0)))</f>
        <v>#N/A</v>
      </c>
      <c r="S94" s="201" t="e">
        <f aca="false">IF(A95="","",R94)</f>
        <v>#N/A</v>
      </c>
      <c r="T94" s="200" t="e">
        <f aca="false">IF($A95="","",VLOOKUP($A94,Table,MATCH(T$4,Curves,0)))</f>
        <v>#N/A</v>
      </c>
      <c r="U94" s="201" t="e">
        <f aca="false">IF(A95="","",T94)</f>
        <v>#N/A</v>
      </c>
      <c r="V94" s="183" t="e">
        <f aca="false">IF($A95="","",IF(AND(MONTH(A94)&gt;3,MONTH(A94)&lt;11),(T94+R94+G94)*Summary!$T$8/(1-Summary!$T$8),(T94+R94+G94)*Summary!$U$8/(1-Summary!$U$8)))</f>
        <v>#N/A</v>
      </c>
      <c r="W94" s="200" t="e">
        <f aca="false">IF($A95="","",(T94+R94+G94+V94))</f>
        <v>#N/A</v>
      </c>
      <c r="X94" s="200" t="e">
        <f aca="false">IF($A95="","",(U94+S94+H94+V94))</f>
        <v>#N/A</v>
      </c>
      <c r="Y94" s="202"/>
      <c r="Z94" s="185" t="e">
        <f aca="false">IF($A95="","",VLOOKUP($A94,Table,MATCH(Z$4,Curves,0)))</f>
        <v>#N/A</v>
      </c>
      <c r="AA94" s="185" t="e">
        <f aca="false">IF($A95="","",VLOOKUP($A94,Table,MATCH(AA$4,Curves,0)))</f>
        <v>#N/A</v>
      </c>
      <c r="AB94" s="185" t="e">
        <f aca="false">SQRT((AA94^2*(A94-$D$3)+Z94^2*(DAY(EOMONTH(A94,0))/2))/AK94)</f>
        <v>#N/A</v>
      </c>
      <c r="AC94" s="185" t="e">
        <f aca="false">IF($A95="","",VLOOKUP($A94,Table,MATCH(AC$4,Curves,0)))</f>
        <v>#N/A</v>
      </c>
      <c r="AD94" s="185" t="e">
        <f aca="false">IF($A95="","",VLOOKUP($A94,Table,MATCH(AD$4,Curves,0)))</f>
        <v>#N/A</v>
      </c>
      <c r="AE94" s="185" t="e">
        <f aca="false">SQRT((AD94^2*(A94-$D$3)+AC94^2*(DAY(EOMONTH(A94,0))/2))/AK94)</f>
        <v>#N/A</v>
      </c>
      <c r="AF94" s="224" t="e">
        <f aca="false">((Summary!$N$8*(AA94*AD94)*(A94-$D$3))+(Summary!$M$8*Z94*AC94*(AJ94-EOMONTH(EDATE(A94,-1),0))))/(AK94*AB94*AE94)</f>
        <v>#N/A</v>
      </c>
      <c r="AG94" s="207" t="n">
        <f aca="false">IF($A95="","",Summary!$Q$8)</f>
        <v>0</v>
      </c>
      <c r="AH94" s="207" t="n">
        <f aca="false">IF($A95="","",IF(Summary!$R$8="Y",(VLOOKUP($A94,Summary!$AD$6:$AF$9,3)+'Escalating commodity'!D107),'Escalating commodity'!D107))</f>
        <v>0.0200232</v>
      </c>
      <c r="AI94" s="207" t="n">
        <f aca="false">IF($A95="","",AH94)</f>
        <v>0.0200232</v>
      </c>
      <c r="AJ94" s="208" t="n">
        <f aca="false">A94+DAY(EOMONTH(A94,0))/2-1</f>
        <v>39614</v>
      </c>
      <c r="AK94" s="209" t="n">
        <f aca="false">IF($A95="","",$A94-$E$1)</f>
        <v>-6326</v>
      </c>
      <c r="AL94" s="182" t="e">
        <f aca="false">IF($A95="","",SPRDOPT(P94,X94,AI94,0,AB94,AE94,AF94,AK94,$AJ$2,0))</f>
        <v>#NAME?</v>
      </c>
      <c r="AM94" s="211" t="e">
        <f aca="false">IF($A95="","",MAX(0,O94-W94-AI94))</f>
        <v>#N/A</v>
      </c>
      <c r="AN94" s="211" t="e">
        <f aca="false">IF($A95="","",AL94-AM94)</f>
        <v>#N/A</v>
      </c>
      <c r="AO94" s="137" t="n">
        <f aca="false">IF(A95="","",A95-A94)</f>
        <v>30</v>
      </c>
      <c r="AP94" s="212" t="n">
        <f aca="false">IF(A95="","",CHOOSE(F$3,A95+24,A94))</f>
        <v>39600</v>
      </c>
      <c r="AQ94" s="209" t="n">
        <f aca="false">IF(A95="","",AP94-$E$1)</f>
        <v>-6326</v>
      </c>
      <c r="AR94" s="185" t="n">
        <f aca="false">'ANR OK vs ML7'!AR94</f>
        <v>0.1</v>
      </c>
      <c r="AS94" s="213" t="n">
        <f aca="false">IF(A95="","",1/(1+CHOOSE(F$3,(AR95+($I$3/10000))/2,(AR94+($I$3/10000))/2))^(2*AQ94/365.25))</f>
        <v>5.41978721784045</v>
      </c>
      <c r="AT94" s="137" t="n">
        <f aca="false">IF(A95="","",IF(AND(mthbeg&lt;=A94,mthend&gt;=A94),1,0))</f>
        <v>1</v>
      </c>
      <c r="AU94" s="137" t="n">
        <f aca="false">IF(A95="","",AO94*AT94)</f>
        <v>30</v>
      </c>
      <c r="AW94" s="195" t="e">
        <f aca="false">IF($A95="","",AL94*$E94)</f>
        <v>#NAME?</v>
      </c>
      <c r="AX94" s="195" t="e">
        <f aca="false">IF($A95="","",AM94*$E94)</f>
        <v>#N/A</v>
      </c>
      <c r="AY94" s="195" t="e">
        <f aca="false">IF($A95="","",AN94*$E94)</f>
        <v>#N/A</v>
      </c>
      <c r="BA94" s="195" t="n">
        <f aca="false">IF($A95="","",F94*Summary!$Q$8)</f>
        <v>0</v>
      </c>
      <c r="BC94" s="179" t="e">
        <f aca="false">IF(A95="","",AM94*F94)</f>
        <v>#N/A</v>
      </c>
    </row>
    <row r="95" customFormat="false" ht="12.75" hidden="false" customHeight="false" outlineLevel="0" collapsed="false">
      <c r="A95" s="196" t="n">
        <f aca="false">IF(A94&lt;mthend,EDATE(A94,1),"")</f>
        <v>39630</v>
      </c>
      <c r="B95" s="197" t="n">
        <f aca="false">IF(A95&lt;mthend,B94,0)</f>
        <v>80000</v>
      </c>
      <c r="C95" s="215"/>
      <c r="D95" s="197" t="n">
        <f aca="false">IF(A96&lt;&gt;"",B95+C95,"")</f>
        <v>80000</v>
      </c>
      <c r="E95" s="199" t="n">
        <f aca="false">IF(A96="","",IF(AND(AT95=1,$H$3=1),D95*AO95,IF($H$3=2,D95,"N/A")))</f>
        <v>2480000</v>
      </c>
      <c r="F95" s="199" t="n">
        <f aca="false">IF(A96="","",E95*AS95)</f>
        <v>13333775.1986338</v>
      </c>
      <c r="G95" s="200" t="e">
        <f aca="false">IF($A96="","",VLOOKUP($A95,Table,MATCH(G$4,Curves,0)))</f>
        <v>#N/A</v>
      </c>
      <c r="H95" s="201" t="e">
        <f aca="false">IF(A96="","",G95)</f>
        <v>#N/A</v>
      </c>
      <c r="I95" s="202"/>
      <c r="J95" s="200" t="e">
        <f aca="false">IF($A96="","",VLOOKUP($A95,Table,MATCH(J$4,Curves,0)))</f>
        <v>#N/A</v>
      </c>
      <c r="K95" s="201" t="e">
        <f aca="false">IF(A96="","",J95)</f>
        <v>#N/A</v>
      </c>
      <c r="L95" s="200" t="e">
        <f aca="false">IF($A96="","",VLOOKUP($A95,Table,MATCH(L$4,Curves,0)))</f>
        <v>#N/A</v>
      </c>
      <c r="M95" s="201" t="e">
        <f aca="false">IF(A96="","",L95)</f>
        <v>#N/A</v>
      </c>
      <c r="N95" s="203"/>
      <c r="O95" s="200" t="e">
        <f aca="false">IF(A96="","",L95+J95+G95)</f>
        <v>#N/A</v>
      </c>
      <c r="P95" s="200" t="e">
        <f aca="false">IF(A96="","",M95+K95+H95)</f>
        <v>#N/A</v>
      </c>
      <c r="Q95" s="204"/>
      <c r="R95" s="200" t="e">
        <f aca="false">IF($A96="","",VLOOKUP($A95,Table,MATCH(R$4,Curves,0)))</f>
        <v>#N/A</v>
      </c>
      <c r="S95" s="201" t="e">
        <f aca="false">IF(A96="","",R95)</f>
        <v>#N/A</v>
      </c>
      <c r="T95" s="200" t="e">
        <f aca="false">IF($A96="","",VLOOKUP($A95,Table,MATCH(T$4,Curves,0)))</f>
        <v>#N/A</v>
      </c>
      <c r="U95" s="201" t="e">
        <f aca="false">IF(A96="","",T95)</f>
        <v>#N/A</v>
      </c>
      <c r="V95" s="183" t="e">
        <f aca="false">IF($A96="","",IF(AND(MONTH(A95)&gt;3,MONTH(A95)&lt;11),(T95+R95+G95)*Summary!$T$8/(1-Summary!$T$8),(T95+R95+G95)*Summary!$U$8/(1-Summary!$U$8)))</f>
        <v>#N/A</v>
      </c>
      <c r="W95" s="200" t="e">
        <f aca="false">IF($A96="","",(T95+R95+G95+V95))</f>
        <v>#N/A</v>
      </c>
      <c r="X95" s="200" t="e">
        <f aca="false">IF($A96="","",(U95+S95+H95+V95))</f>
        <v>#N/A</v>
      </c>
      <c r="Y95" s="202"/>
      <c r="Z95" s="185" t="e">
        <f aca="false">IF($A96="","",VLOOKUP($A95,Table,MATCH(Z$4,Curves,0)))</f>
        <v>#N/A</v>
      </c>
      <c r="AA95" s="185" t="e">
        <f aca="false">IF($A96="","",VLOOKUP($A95,Table,MATCH(AA$4,Curves,0)))</f>
        <v>#N/A</v>
      </c>
      <c r="AB95" s="185" t="e">
        <f aca="false">SQRT((AA95^2*(A95-$D$3)+Z95^2*(DAY(EOMONTH(A95,0))/2))/AK95)</f>
        <v>#N/A</v>
      </c>
      <c r="AC95" s="185" t="e">
        <f aca="false">IF($A96="","",VLOOKUP($A95,Table,MATCH(AC$4,Curves,0)))</f>
        <v>#N/A</v>
      </c>
      <c r="AD95" s="185" t="e">
        <f aca="false">IF($A96="","",VLOOKUP($A95,Table,MATCH(AD$4,Curves,0)))</f>
        <v>#N/A</v>
      </c>
      <c r="AE95" s="185" t="e">
        <f aca="false">SQRT((AD95^2*(A95-$D$3)+AC95^2*(DAY(EOMONTH(A95,0))/2))/AK95)</f>
        <v>#N/A</v>
      </c>
      <c r="AF95" s="224" t="e">
        <f aca="false">((Summary!$N$8*(AA95*AD95)*(A95-$D$3))+(Summary!$M$8*Z95*AC95*(AJ95-EOMONTH(EDATE(A95,-1),0))))/(AK95*AB95*AE95)</f>
        <v>#N/A</v>
      </c>
      <c r="AG95" s="207" t="n">
        <f aca="false">IF($A96="","",Summary!$Q$8)</f>
        <v>0</v>
      </c>
      <c r="AH95" s="207" t="n">
        <f aca="false">IF($A96="","",IF(Summary!$R$8="Y",(VLOOKUP($A95,Summary!$AD$6:$AF$9,3)+'Escalating commodity'!D108),'Escalating commodity'!D108))</f>
        <v>0.0200232</v>
      </c>
      <c r="AI95" s="207" t="n">
        <f aca="false">IF($A96="","",AH95)</f>
        <v>0.0200232</v>
      </c>
      <c r="AJ95" s="208" t="n">
        <f aca="false">A95+DAY(EOMONTH(A95,0))/2-1</f>
        <v>39644.5</v>
      </c>
      <c r="AK95" s="209" t="n">
        <f aca="false">IF($A96="","",$A95-$E$1)</f>
        <v>-6296</v>
      </c>
      <c r="AL95" s="182" t="e">
        <f aca="false">IF($A96="","",SPRDOPT(P95,X95,AI95,0,AB95,AE95,AF95,AK95,$AJ$2,0))</f>
        <v>#NAME?</v>
      </c>
      <c r="AM95" s="211" t="e">
        <f aca="false">IF($A96="","",MAX(0,O95-W95-AI95))</f>
        <v>#N/A</v>
      </c>
      <c r="AN95" s="211" t="e">
        <f aca="false">IF($A96="","",AL95-AM95)</f>
        <v>#N/A</v>
      </c>
      <c r="AO95" s="137" t="n">
        <f aca="false">IF(A96="","",A96-A95)</f>
        <v>31</v>
      </c>
      <c r="AP95" s="212" t="n">
        <f aca="false">IF(A96="","",CHOOSE(F$3,A96+24,A95))</f>
        <v>39630</v>
      </c>
      <c r="AQ95" s="209" t="n">
        <f aca="false">IF(A96="","",AP95-$E$1)</f>
        <v>-6296</v>
      </c>
      <c r="AR95" s="185" t="n">
        <f aca="false">'ANR OK vs ML7'!AR95</f>
        <v>0.1</v>
      </c>
      <c r="AS95" s="213" t="n">
        <f aca="false">IF(A96="","",1/(1+CHOOSE(F$3,(AR96+($I$3/10000))/2,(AR95+($I$3/10000))/2))^(2*AQ95/365.25))</f>
        <v>5.37652225751361</v>
      </c>
      <c r="AT95" s="137" t="n">
        <f aca="false">IF(A96="","",IF(AND(mthbeg&lt;=A95,mthend&gt;=A95),1,0))</f>
        <v>1</v>
      </c>
      <c r="AU95" s="137" t="n">
        <f aca="false">IF(A96="","",AO95*AT95)</f>
        <v>31</v>
      </c>
      <c r="AW95" s="195" t="e">
        <f aca="false">IF($A96="","",AL95*$E95)</f>
        <v>#NAME?</v>
      </c>
      <c r="AX95" s="195" t="e">
        <f aca="false">IF($A96="","",AM95*$E95)</f>
        <v>#N/A</v>
      </c>
      <c r="AY95" s="195" t="e">
        <f aca="false">IF($A96="","",AN95*$E95)</f>
        <v>#N/A</v>
      </c>
      <c r="BA95" s="195" t="n">
        <f aca="false">IF($A96="","",F95*Summary!$Q$8)</f>
        <v>0</v>
      </c>
      <c r="BC95" s="179" t="e">
        <f aca="false">IF(A96="","",AM95*F95)</f>
        <v>#N/A</v>
      </c>
    </row>
    <row r="96" customFormat="false" ht="12.75" hidden="false" customHeight="false" outlineLevel="0" collapsed="false">
      <c r="A96" s="196" t="n">
        <f aca="false">IF(A95&lt;mthend,EDATE(A95,1),"")</f>
        <v>39661</v>
      </c>
      <c r="B96" s="197" t="n">
        <f aca="false">IF(A96&lt;mthend,B95,0)</f>
        <v>80000</v>
      </c>
      <c r="C96" s="215"/>
      <c r="D96" s="197" t="n">
        <f aca="false">IF(A97&lt;&gt;"",B96+C96,"")</f>
        <v>80000</v>
      </c>
      <c r="E96" s="199" t="n">
        <f aca="false">IF(A97="","",IF(AND(AT96=1,$H$3=1),D96*AO96,IF($H$3=2,D96,"N/A")))</f>
        <v>2480000</v>
      </c>
      <c r="F96" s="199" t="n">
        <f aca="false">IF(A97="","",E96*AS96)</f>
        <v>13223801.2782859</v>
      </c>
      <c r="G96" s="200" t="e">
        <f aca="false">IF($A97="","",VLOOKUP($A96,Table,MATCH(G$4,Curves,0)))</f>
        <v>#N/A</v>
      </c>
      <c r="H96" s="201" t="e">
        <f aca="false">IF(A97="","",G96)</f>
        <v>#N/A</v>
      </c>
      <c r="I96" s="202"/>
      <c r="J96" s="200" t="e">
        <f aca="false">IF($A97="","",VLOOKUP($A96,Table,MATCH(J$4,Curves,0)))</f>
        <v>#N/A</v>
      </c>
      <c r="K96" s="201" t="e">
        <f aca="false">IF(A97="","",J96)</f>
        <v>#N/A</v>
      </c>
      <c r="L96" s="200" t="e">
        <f aca="false">IF($A97="","",VLOOKUP($A96,Table,MATCH(L$4,Curves,0)))</f>
        <v>#N/A</v>
      </c>
      <c r="M96" s="201" t="e">
        <f aca="false">IF(A97="","",L96)</f>
        <v>#N/A</v>
      </c>
      <c r="N96" s="203"/>
      <c r="O96" s="200" t="e">
        <f aca="false">IF(A97="","",L96+J96+G96)</f>
        <v>#N/A</v>
      </c>
      <c r="P96" s="200" t="e">
        <f aca="false">IF(A97="","",M96+K96+H96)</f>
        <v>#N/A</v>
      </c>
      <c r="Q96" s="204"/>
      <c r="R96" s="200" t="e">
        <f aca="false">IF($A97="","",VLOOKUP($A96,Table,MATCH(R$4,Curves,0)))</f>
        <v>#N/A</v>
      </c>
      <c r="S96" s="201" t="e">
        <f aca="false">IF(A97="","",R96)</f>
        <v>#N/A</v>
      </c>
      <c r="T96" s="200" t="e">
        <f aca="false">IF($A97="","",VLOOKUP($A96,Table,MATCH(T$4,Curves,0)))</f>
        <v>#N/A</v>
      </c>
      <c r="U96" s="201" t="e">
        <f aca="false">IF(A97="","",T96)</f>
        <v>#N/A</v>
      </c>
      <c r="V96" s="183" t="e">
        <f aca="false">IF($A97="","",IF(AND(MONTH(A96)&gt;3,MONTH(A96)&lt;11),(T96+R96+G96)*Summary!$T$8/(1-Summary!$T$8),(T96+R96+G96)*Summary!$U$8/(1-Summary!$U$8)))</f>
        <v>#N/A</v>
      </c>
      <c r="W96" s="200" t="e">
        <f aca="false">IF($A97="","",(T96+R96+G96+V96))</f>
        <v>#N/A</v>
      </c>
      <c r="X96" s="200" t="e">
        <f aca="false">IF($A97="","",(U96+S96+H96+V96))</f>
        <v>#N/A</v>
      </c>
      <c r="Y96" s="202"/>
      <c r="Z96" s="185" t="e">
        <f aca="false">IF($A97="","",VLOOKUP($A96,Table,MATCH(Z$4,Curves,0)))</f>
        <v>#N/A</v>
      </c>
      <c r="AA96" s="185" t="e">
        <f aca="false">IF($A97="","",VLOOKUP($A96,Table,MATCH(AA$4,Curves,0)))</f>
        <v>#N/A</v>
      </c>
      <c r="AB96" s="185" t="e">
        <f aca="false">SQRT((AA96^2*(A96-$D$3)+Z96^2*(DAY(EOMONTH(A96,0))/2))/AK96)</f>
        <v>#N/A</v>
      </c>
      <c r="AC96" s="185" t="e">
        <f aca="false">IF($A97="","",VLOOKUP($A96,Table,MATCH(AC$4,Curves,0)))</f>
        <v>#N/A</v>
      </c>
      <c r="AD96" s="185" t="e">
        <f aca="false">IF($A97="","",VLOOKUP($A96,Table,MATCH(AD$4,Curves,0)))</f>
        <v>#N/A</v>
      </c>
      <c r="AE96" s="185" t="e">
        <f aca="false">SQRT((AD96^2*(A96-$D$3)+AC96^2*(DAY(EOMONTH(A96,0))/2))/AK96)</f>
        <v>#N/A</v>
      </c>
      <c r="AF96" s="224" t="e">
        <f aca="false">((Summary!$N$8*(AA96*AD96)*(A96-$D$3))+(Summary!$M$8*Z96*AC96*(AJ96-EOMONTH(EDATE(A96,-1),0))))/(AK96*AB96*AE96)</f>
        <v>#N/A</v>
      </c>
      <c r="AG96" s="207" t="n">
        <f aca="false">IF($A97="","",Summary!$Q$8)</f>
        <v>0</v>
      </c>
      <c r="AH96" s="207" t="n">
        <f aca="false">IF($A97="","",IF(Summary!$R$8="Y",(VLOOKUP($A96,Summary!$AD$6:$AF$9,3)+'Escalating commodity'!D109),'Escalating commodity'!D109))</f>
        <v>0.0200232</v>
      </c>
      <c r="AI96" s="207" t="n">
        <f aca="false">IF($A97="","",AH96)</f>
        <v>0.0200232</v>
      </c>
      <c r="AJ96" s="208" t="n">
        <f aca="false">A96+DAY(EOMONTH(A96,0))/2-1</f>
        <v>39675.5</v>
      </c>
      <c r="AK96" s="209" t="n">
        <f aca="false">IF($A97="","",$A96-$E$1)</f>
        <v>-6265</v>
      </c>
      <c r="AL96" s="182" t="e">
        <f aca="false">IF($A97="","",SPRDOPT(P96,X96,AI96,0,AB96,AE96,AF96,AK96,$AJ$2,0))</f>
        <v>#NAME?</v>
      </c>
      <c r="AM96" s="211" t="e">
        <f aca="false">IF($A97="","",MAX(0,O96-W96-AI96))</f>
        <v>#N/A</v>
      </c>
      <c r="AN96" s="211" t="e">
        <f aca="false">IF($A97="","",AL96-AM96)</f>
        <v>#N/A</v>
      </c>
      <c r="AO96" s="137" t="n">
        <f aca="false">IF(A97="","",A97-A96)</f>
        <v>31</v>
      </c>
      <c r="AP96" s="212" t="n">
        <f aca="false">IF(A97="","",CHOOSE(F$3,A97+24,A96))</f>
        <v>39661</v>
      </c>
      <c r="AQ96" s="209" t="n">
        <f aca="false">IF(A97="","",AP96-$E$1)</f>
        <v>-6265</v>
      </c>
      <c r="AR96" s="185" t="n">
        <f aca="false">'ANR OK vs ML7'!AR96</f>
        <v>0.1</v>
      </c>
      <c r="AS96" s="213" t="n">
        <f aca="false">IF(A97="","",1/(1+CHOOSE(F$3,(AR97+($I$3/10000))/2,(AR96+($I$3/10000))/2))^(2*AQ96/365.25))</f>
        <v>5.33217793479269</v>
      </c>
      <c r="AT96" s="137" t="n">
        <f aca="false">IF(A97="","",IF(AND(mthbeg&lt;=A96,mthend&gt;=A96),1,0))</f>
        <v>1</v>
      </c>
      <c r="AU96" s="137" t="n">
        <f aca="false">IF(A97="","",AO96*AT96)</f>
        <v>31</v>
      </c>
      <c r="AW96" s="195" t="e">
        <f aca="false">IF($A97="","",AL96*$E96)</f>
        <v>#NAME?</v>
      </c>
      <c r="AX96" s="195" t="e">
        <f aca="false">IF($A97="","",AM96*$E96)</f>
        <v>#N/A</v>
      </c>
      <c r="AY96" s="195" t="e">
        <f aca="false">IF($A97="","",AN96*$E96)</f>
        <v>#N/A</v>
      </c>
      <c r="BA96" s="195" t="n">
        <f aca="false">IF($A97="","",F96*Summary!$Q$8)</f>
        <v>0</v>
      </c>
      <c r="BC96" s="179" t="e">
        <f aca="false">IF(A97="","",AM96*F96)</f>
        <v>#N/A</v>
      </c>
    </row>
    <row r="97" customFormat="false" ht="12.75" hidden="false" customHeight="false" outlineLevel="0" collapsed="false">
      <c r="A97" s="196" t="n">
        <f aca="false">IF(A96&lt;mthend,EDATE(A96,1),"")</f>
        <v>39692</v>
      </c>
      <c r="B97" s="197" t="n">
        <f aca="false">IF(A97&lt;mthend,B96,0)</f>
        <v>80000</v>
      </c>
      <c r="C97" s="215"/>
      <c r="D97" s="197" t="n">
        <f aca="false">IF(A98&lt;&gt;"",B97+C97,"")</f>
        <v>80000</v>
      </c>
      <c r="E97" s="199" t="n">
        <f aca="false">IF(A98="","",IF(AND(AT97=1,$H$3=1),D97*AO97,IF($H$3=2,D97,"N/A")))</f>
        <v>2400000</v>
      </c>
      <c r="F97" s="199" t="n">
        <f aca="false">IF(A98="","",E97*AS97)</f>
        <v>12691678.4493053</v>
      </c>
      <c r="G97" s="200" t="e">
        <f aca="false">IF($A98="","",VLOOKUP($A97,Table,MATCH(G$4,Curves,0)))</f>
        <v>#N/A</v>
      </c>
      <c r="H97" s="201" t="e">
        <f aca="false">IF(A98="","",G97)</f>
        <v>#N/A</v>
      </c>
      <c r="I97" s="202"/>
      <c r="J97" s="200" t="e">
        <f aca="false">IF($A98="","",VLOOKUP($A97,Table,MATCH(J$4,Curves,0)))</f>
        <v>#N/A</v>
      </c>
      <c r="K97" s="201" t="e">
        <f aca="false">IF(A98="","",J97)</f>
        <v>#N/A</v>
      </c>
      <c r="L97" s="200" t="e">
        <f aca="false">IF($A98="","",VLOOKUP($A97,Table,MATCH(L$4,Curves,0)))</f>
        <v>#N/A</v>
      </c>
      <c r="M97" s="201" t="e">
        <f aca="false">IF(A98="","",L97)</f>
        <v>#N/A</v>
      </c>
      <c r="N97" s="203"/>
      <c r="O97" s="200" t="e">
        <f aca="false">IF(A98="","",L97+J97+G97)</f>
        <v>#N/A</v>
      </c>
      <c r="P97" s="200" t="e">
        <f aca="false">IF(A98="","",M97+K97+H97)</f>
        <v>#N/A</v>
      </c>
      <c r="Q97" s="204"/>
      <c r="R97" s="200" t="e">
        <f aca="false">IF($A98="","",VLOOKUP($A97,Table,MATCH(R$4,Curves,0)))</f>
        <v>#N/A</v>
      </c>
      <c r="S97" s="201" t="e">
        <f aca="false">IF(A98="","",R97)</f>
        <v>#N/A</v>
      </c>
      <c r="T97" s="200" t="e">
        <f aca="false">IF($A98="","",VLOOKUP($A97,Table,MATCH(T$4,Curves,0)))</f>
        <v>#N/A</v>
      </c>
      <c r="U97" s="201" t="e">
        <f aca="false">IF(A98="","",T97)</f>
        <v>#N/A</v>
      </c>
      <c r="V97" s="183" t="e">
        <f aca="false">IF($A98="","",IF(AND(MONTH(A97)&gt;3,MONTH(A97)&lt;11),(T97+R97+G97)*Summary!$T$8/(1-Summary!$T$8),(T97+R97+G97)*Summary!$U$8/(1-Summary!$U$8)))</f>
        <v>#N/A</v>
      </c>
      <c r="W97" s="200" t="e">
        <f aca="false">IF($A98="","",(T97+R97+G97+V97))</f>
        <v>#N/A</v>
      </c>
      <c r="X97" s="200" t="e">
        <f aca="false">IF($A98="","",(U97+S97+H97+V97))</f>
        <v>#N/A</v>
      </c>
      <c r="Y97" s="202"/>
      <c r="Z97" s="185" t="e">
        <f aca="false">IF($A98="","",VLOOKUP($A97,Table,MATCH(Z$4,Curves,0)))</f>
        <v>#N/A</v>
      </c>
      <c r="AA97" s="185" t="e">
        <f aca="false">IF($A98="","",VLOOKUP($A97,Table,MATCH(AA$4,Curves,0)))</f>
        <v>#N/A</v>
      </c>
      <c r="AB97" s="185" t="e">
        <f aca="false">SQRT((AA97^2*(A97-$D$3)+Z97^2*(DAY(EOMONTH(A97,0))/2))/AK97)</f>
        <v>#N/A</v>
      </c>
      <c r="AC97" s="185" t="e">
        <f aca="false">IF($A98="","",VLOOKUP($A97,Table,MATCH(AC$4,Curves,0)))</f>
        <v>#N/A</v>
      </c>
      <c r="AD97" s="185" t="e">
        <f aca="false">IF($A98="","",VLOOKUP($A97,Table,MATCH(AD$4,Curves,0)))</f>
        <v>#N/A</v>
      </c>
      <c r="AE97" s="185" t="e">
        <f aca="false">SQRT((AD97^2*(A97-$D$3)+AC97^2*(DAY(EOMONTH(A97,0))/2))/AK97)</f>
        <v>#N/A</v>
      </c>
      <c r="AF97" s="224" t="e">
        <f aca="false">((Summary!$N$8*(AA97*AD97)*(A97-$D$3))+(Summary!$M$8*Z97*AC97*(AJ97-EOMONTH(EDATE(A97,-1),0))))/(AK97*AB97*AE97)</f>
        <v>#N/A</v>
      </c>
      <c r="AG97" s="207" t="n">
        <f aca="false">IF($A98="","",Summary!$Q$8)</f>
        <v>0</v>
      </c>
      <c r="AH97" s="207" t="n">
        <f aca="false">IF($A98="","",IF(Summary!$R$8="Y",(VLOOKUP($A97,Summary!$AD$6:$AF$9,3)+'Escalating commodity'!D110),'Escalating commodity'!D110))</f>
        <v>0.0200232</v>
      </c>
      <c r="AI97" s="207" t="n">
        <f aca="false">IF($A98="","",AH97)</f>
        <v>0.0200232</v>
      </c>
      <c r="AJ97" s="208" t="n">
        <f aca="false">A97+DAY(EOMONTH(A97,0))/2-1</f>
        <v>39706</v>
      </c>
      <c r="AK97" s="209" t="n">
        <f aca="false">IF($A98="","",$A97-$E$1)</f>
        <v>-6234</v>
      </c>
      <c r="AL97" s="182" t="e">
        <f aca="false">IF($A98="","",SPRDOPT(P97,X97,AI97,0,AB97,AE97,AF97,AK97,$AJ$2,0))</f>
        <v>#NAME?</v>
      </c>
      <c r="AM97" s="211" t="e">
        <f aca="false">IF($A98="","",MAX(0,O97-W97-AI97))</f>
        <v>#N/A</v>
      </c>
      <c r="AN97" s="211" t="e">
        <f aca="false">IF($A98="","",AL97-AM97)</f>
        <v>#N/A</v>
      </c>
      <c r="AO97" s="137" t="n">
        <f aca="false">IF(A98="","",A98-A97)</f>
        <v>30</v>
      </c>
      <c r="AP97" s="212" t="n">
        <f aca="false">IF(A98="","",CHOOSE(F$3,A98+24,A97))</f>
        <v>39692</v>
      </c>
      <c r="AQ97" s="209" t="n">
        <f aca="false">IF(A98="","",AP97-$E$1)</f>
        <v>-6234</v>
      </c>
      <c r="AR97" s="185" t="n">
        <f aca="false">'ANR OK vs ML7'!AR97</f>
        <v>0.1</v>
      </c>
      <c r="AS97" s="213" t="n">
        <f aca="false">IF(A98="","",1/(1+CHOOSE(F$3,(AR98+($I$3/10000))/2,(AR97+($I$3/10000))/2))^(2*AQ97/365.25))</f>
        <v>5.28819935387723</v>
      </c>
      <c r="AT97" s="137" t="n">
        <f aca="false">IF(A98="","",IF(AND(mthbeg&lt;=A97,mthend&gt;=A97),1,0))</f>
        <v>1</v>
      </c>
      <c r="AU97" s="137" t="n">
        <f aca="false">IF(A98="","",AO97*AT97)</f>
        <v>30</v>
      </c>
      <c r="AW97" s="195" t="e">
        <f aca="false">IF($A98="","",AL97*$E97)</f>
        <v>#NAME?</v>
      </c>
      <c r="AX97" s="195" t="e">
        <f aca="false">IF($A98="","",AM97*$E97)</f>
        <v>#N/A</v>
      </c>
      <c r="AY97" s="195" t="e">
        <f aca="false">IF($A98="","",AN97*$E97)</f>
        <v>#N/A</v>
      </c>
      <c r="BA97" s="195" t="n">
        <f aca="false">IF($A98="","",F97*Summary!$Q$8)</f>
        <v>0</v>
      </c>
      <c r="BC97" s="179" t="e">
        <f aca="false">IF(A98="","",AM97*F97)</f>
        <v>#N/A</v>
      </c>
    </row>
    <row r="98" customFormat="false" ht="12.75" hidden="false" customHeight="false" outlineLevel="0" collapsed="false">
      <c r="A98" s="196" t="n">
        <f aca="false">IF(A97&lt;mthend,EDATE(A97,1),"")</f>
        <v>39722</v>
      </c>
      <c r="B98" s="197" t="n">
        <f aca="false">IF(A98&lt;mthend,B97,0)</f>
        <v>80000</v>
      </c>
      <c r="C98" s="215"/>
      <c r="D98" s="197" t="n">
        <f aca="false">IF(A99&lt;&gt;"",B98+C98,"")</f>
        <v>80000</v>
      </c>
      <c r="E98" s="199" t="n">
        <f aca="false">IF(A99="","",IF(AND(AT98=1,$H$3=1),D98*AO98,IF($H$3=2,D98,"N/A")))</f>
        <v>2480000</v>
      </c>
      <c r="F98" s="199" t="n">
        <f aca="false">IF(A99="","",E98*AS98)</f>
        <v>13010042.3791647</v>
      </c>
      <c r="G98" s="200" t="e">
        <f aca="false">IF($A99="","",VLOOKUP($A98,Table,MATCH(G$4,Curves,0)))</f>
        <v>#N/A</v>
      </c>
      <c r="H98" s="201" t="e">
        <f aca="false">IF(A99="","",G98)</f>
        <v>#N/A</v>
      </c>
      <c r="I98" s="202"/>
      <c r="J98" s="200" t="e">
        <f aca="false">IF($A99="","",VLOOKUP($A98,Table,MATCH(J$4,Curves,0)))</f>
        <v>#N/A</v>
      </c>
      <c r="K98" s="201" t="e">
        <f aca="false">IF(A99="","",J98)</f>
        <v>#N/A</v>
      </c>
      <c r="L98" s="200" t="e">
        <f aca="false">IF($A99="","",VLOOKUP($A98,Table,MATCH(L$4,Curves,0)))</f>
        <v>#N/A</v>
      </c>
      <c r="M98" s="201" t="e">
        <f aca="false">IF(A99="","",L98)</f>
        <v>#N/A</v>
      </c>
      <c r="N98" s="203"/>
      <c r="O98" s="200" t="e">
        <f aca="false">IF(A99="","",L98+J98+G98)</f>
        <v>#N/A</v>
      </c>
      <c r="P98" s="200" t="e">
        <f aca="false">IF(A99="","",M98+K98+H98)</f>
        <v>#N/A</v>
      </c>
      <c r="Q98" s="204"/>
      <c r="R98" s="200" t="e">
        <f aca="false">IF($A99="","",VLOOKUP($A98,Table,MATCH(R$4,Curves,0)))</f>
        <v>#N/A</v>
      </c>
      <c r="S98" s="201" t="e">
        <f aca="false">IF(A99="","",R98)</f>
        <v>#N/A</v>
      </c>
      <c r="T98" s="200" t="e">
        <f aca="false">IF($A99="","",VLOOKUP($A98,Table,MATCH(T$4,Curves,0)))</f>
        <v>#N/A</v>
      </c>
      <c r="U98" s="201" t="e">
        <f aca="false">IF(A99="","",T98)</f>
        <v>#N/A</v>
      </c>
      <c r="V98" s="183" t="e">
        <f aca="false">IF($A99="","",IF(AND(MONTH(A98)&gt;3,MONTH(A98)&lt;11),(T98+R98+G98)*Summary!$T$8/(1-Summary!$T$8),(T98+R98+G98)*Summary!$U$8/(1-Summary!$U$8)))</f>
        <v>#N/A</v>
      </c>
      <c r="W98" s="200" t="e">
        <f aca="false">IF($A99="","",(T98+R98+G98+V98))</f>
        <v>#N/A</v>
      </c>
      <c r="X98" s="200" t="e">
        <f aca="false">IF($A99="","",(U98+S98+H98+V98))</f>
        <v>#N/A</v>
      </c>
      <c r="Y98" s="202"/>
      <c r="Z98" s="185" t="e">
        <f aca="false">IF($A99="","",VLOOKUP($A98,Table,MATCH(Z$4,Curves,0)))</f>
        <v>#N/A</v>
      </c>
      <c r="AA98" s="185" t="e">
        <f aca="false">IF($A99="","",VLOOKUP($A98,Table,MATCH(AA$4,Curves,0)))</f>
        <v>#N/A</v>
      </c>
      <c r="AB98" s="185" t="e">
        <f aca="false">SQRT((AA98^2*(A98-$D$3)+Z98^2*(DAY(EOMONTH(A98,0))/2))/AK98)</f>
        <v>#N/A</v>
      </c>
      <c r="AC98" s="185" t="e">
        <f aca="false">IF($A99="","",VLOOKUP($A98,Table,MATCH(AC$4,Curves,0)))</f>
        <v>#N/A</v>
      </c>
      <c r="AD98" s="185" t="e">
        <f aca="false">IF($A99="","",VLOOKUP($A98,Table,MATCH(AD$4,Curves,0)))</f>
        <v>#N/A</v>
      </c>
      <c r="AE98" s="185" t="e">
        <f aca="false">SQRT((AD98^2*(A98-$D$3)+AC98^2*(DAY(EOMONTH(A98,0))/2))/AK98)</f>
        <v>#N/A</v>
      </c>
      <c r="AF98" s="224" t="e">
        <f aca="false">((Summary!$N$8*(AA98*AD98)*(A98-$D$3))+(Summary!$M$8*Z98*AC98*(AJ98-EOMONTH(EDATE(A98,-1),0))))/(AK98*AB98*AE98)</f>
        <v>#N/A</v>
      </c>
      <c r="AG98" s="207" t="n">
        <f aca="false">IF($A99="","",Summary!$Q$8)</f>
        <v>0</v>
      </c>
      <c r="AH98" s="207" t="n">
        <f aca="false">IF($A99="","",IF(Summary!$R$8="Y",(VLOOKUP($A98,Summary!$AD$6:$AF$9,3)+'Escalating commodity'!D111),'Escalating commodity'!D111))</f>
        <v>0.0200232</v>
      </c>
      <c r="AI98" s="207" t="n">
        <f aca="false">IF($A99="","",AH98)</f>
        <v>0.0200232</v>
      </c>
      <c r="AJ98" s="208" t="n">
        <f aca="false">A98+DAY(EOMONTH(A98,0))/2-1</f>
        <v>39736.5</v>
      </c>
      <c r="AK98" s="209" t="n">
        <f aca="false">IF($A99="","",$A98-$E$1)</f>
        <v>-6204</v>
      </c>
      <c r="AL98" s="182" t="e">
        <f aca="false">IF($A99="","",SPRDOPT(P98,X98,AI98,0,AB98,AE98,AF98,AK98,$AJ$2,0))</f>
        <v>#NAME?</v>
      </c>
      <c r="AM98" s="211" t="e">
        <f aca="false">IF($A99="","",MAX(0,O98-W98-AI98))</f>
        <v>#N/A</v>
      </c>
      <c r="AN98" s="211" t="e">
        <f aca="false">IF($A99="","",AL98-AM98)</f>
        <v>#N/A</v>
      </c>
      <c r="AO98" s="137" t="n">
        <f aca="false">IF(A99="","",A99-A98)</f>
        <v>31</v>
      </c>
      <c r="AP98" s="212" t="n">
        <f aca="false">IF(A99="","",CHOOSE(F$3,A99+24,A98))</f>
        <v>39722</v>
      </c>
      <c r="AQ98" s="209" t="n">
        <f aca="false">IF(A99="","",AP98-$E$1)</f>
        <v>-6204</v>
      </c>
      <c r="AR98" s="185" t="n">
        <f aca="false">'ANR OK vs ML7'!AR98</f>
        <v>0.1</v>
      </c>
      <c r="AS98" s="213" t="n">
        <f aca="false">IF(A99="","",1/(1+CHOOSE(F$3,(AR99+($I$3/10000))/2,(AR98+($I$3/10000))/2))^(2*AQ98/365.25))</f>
        <v>5.24598483030833</v>
      </c>
      <c r="AT98" s="137" t="n">
        <f aca="false">IF(A99="","",IF(AND(mthbeg&lt;=A98,mthend&gt;=A98),1,0))</f>
        <v>1</v>
      </c>
      <c r="AU98" s="137" t="n">
        <f aca="false">IF(A99="","",AO98*AT98)</f>
        <v>31</v>
      </c>
      <c r="AW98" s="195" t="e">
        <f aca="false">IF($A99="","",AL98*$E98)</f>
        <v>#NAME?</v>
      </c>
      <c r="AX98" s="195" t="e">
        <f aca="false">IF($A99="","",AM98*$E98)</f>
        <v>#N/A</v>
      </c>
      <c r="AY98" s="195" t="e">
        <f aca="false">IF($A99="","",AN98*$E98)</f>
        <v>#N/A</v>
      </c>
      <c r="BA98" s="195" t="n">
        <f aca="false">IF($A99="","",F98*Summary!$Q$8)</f>
        <v>0</v>
      </c>
      <c r="BC98" s="179" t="e">
        <f aca="false">IF(A99="","",AM98*F98)</f>
        <v>#N/A</v>
      </c>
    </row>
    <row r="99" customFormat="false" ht="12.75" hidden="false" customHeight="false" outlineLevel="0" collapsed="false">
      <c r="A99" s="196" t="n">
        <f aca="false">IF(A98&lt;mthend,EDATE(A98,1),"")</f>
        <v>39753</v>
      </c>
      <c r="B99" s="197" t="n">
        <f aca="false">IF(A99&lt;mthend,B98,0)</f>
        <v>80000</v>
      </c>
      <c r="C99" s="215"/>
      <c r="D99" s="197" t="n">
        <f aca="false">IF(A100&lt;&gt;"",B99+C99,"")</f>
        <v>80000</v>
      </c>
      <c r="E99" s="199" t="n">
        <f aca="false">IF(A100="","",IF(AND(AT99=1,$H$3=1),D99*AO99,IF($H$3=2,D99,"N/A")))</f>
        <v>2400000</v>
      </c>
      <c r="F99" s="199" t="n">
        <f aca="false">IF(A100="","",E99*AS99)</f>
        <v>12486521.1608501</v>
      </c>
      <c r="G99" s="200" t="e">
        <f aca="false">IF($A100="","",VLOOKUP($A99,Table,MATCH(G$4,Curves,0)))</f>
        <v>#N/A</v>
      </c>
      <c r="H99" s="201" t="e">
        <f aca="false">IF(A100="","",G99)</f>
        <v>#N/A</v>
      </c>
      <c r="I99" s="202"/>
      <c r="J99" s="200" t="e">
        <f aca="false">IF($A100="","",VLOOKUP($A99,Table,MATCH(J$4,Curves,0)))</f>
        <v>#N/A</v>
      </c>
      <c r="K99" s="201" t="e">
        <f aca="false">IF(A100="","",J99)</f>
        <v>#N/A</v>
      </c>
      <c r="L99" s="200" t="e">
        <f aca="false">IF($A100="","",VLOOKUP($A99,Table,MATCH(L$4,Curves,0)))</f>
        <v>#N/A</v>
      </c>
      <c r="M99" s="201" t="e">
        <f aca="false">IF(A100="","",L99)</f>
        <v>#N/A</v>
      </c>
      <c r="N99" s="203"/>
      <c r="O99" s="200" t="e">
        <f aca="false">IF(A100="","",L99+J99+G99)</f>
        <v>#N/A</v>
      </c>
      <c r="P99" s="200" t="e">
        <f aca="false">IF(A100="","",M99+K99+H99)</f>
        <v>#N/A</v>
      </c>
      <c r="Q99" s="204"/>
      <c r="R99" s="200" t="e">
        <f aca="false">IF($A100="","",VLOOKUP($A99,Table,MATCH(R$4,Curves,0)))</f>
        <v>#N/A</v>
      </c>
      <c r="S99" s="201" t="e">
        <f aca="false">IF(A100="","",R99)</f>
        <v>#N/A</v>
      </c>
      <c r="T99" s="200" t="e">
        <f aca="false">IF($A100="","",VLOOKUP($A99,Table,MATCH(T$4,Curves,0)))</f>
        <v>#N/A</v>
      </c>
      <c r="U99" s="201" t="e">
        <f aca="false">IF(A100="","",T99)</f>
        <v>#N/A</v>
      </c>
      <c r="V99" s="183" t="e">
        <f aca="false">IF($A100="","",IF(AND(MONTH(A99)&gt;3,MONTH(A99)&lt;11),(T99+R99+G99)*Summary!$T$8/(1-Summary!$T$8),(T99+R99+G99)*Summary!$U$8/(1-Summary!$U$8)))</f>
        <v>#N/A</v>
      </c>
      <c r="W99" s="200" t="e">
        <f aca="false">IF($A100="","",(T99+R99+G99+V99))</f>
        <v>#N/A</v>
      </c>
      <c r="X99" s="200" t="e">
        <f aca="false">IF($A100="","",(U99+S99+H99+V99))</f>
        <v>#N/A</v>
      </c>
      <c r="Y99" s="202"/>
      <c r="Z99" s="185" t="e">
        <f aca="false">IF($A100="","",VLOOKUP($A99,Table,MATCH(Z$4,Curves,0)))</f>
        <v>#N/A</v>
      </c>
      <c r="AA99" s="185" t="e">
        <f aca="false">IF($A100="","",VLOOKUP($A99,Table,MATCH(AA$4,Curves,0)))</f>
        <v>#N/A</v>
      </c>
      <c r="AB99" s="185" t="e">
        <f aca="false">SQRT((AA99^2*(A99-$D$3)+Z99^2*(DAY(EOMONTH(A99,0))/2))/AK99)</f>
        <v>#N/A</v>
      </c>
      <c r="AC99" s="185" t="e">
        <f aca="false">IF($A100="","",VLOOKUP($A99,Table,MATCH(AC$4,Curves,0)))</f>
        <v>#N/A</v>
      </c>
      <c r="AD99" s="185" t="e">
        <f aca="false">IF($A100="","",VLOOKUP($A99,Table,MATCH(AD$4,Curves,0)))</f>
        <v>#N/A</v>
      </c>
      <c r="AE99" s="185" t="e">
        <f aca="false">SQRT((AD99^2*(A99-$D$3)+AC99^2*(DAY(EOMONTH(A99,0))/2))/AK99)</f>
        <v>#N/A</v>
      </c>
      <c r="AF99" s="224" t="e">
        <f aca="false">((Summary!$N$8*(AA99*AD99)*(A99-$D$3))+(Summary!$M$8*Z99*AC99*(AJ99-EOMONTH(EDATE(A99,-1),0))))/(AK99*AB99*AE99)</f>
        <v>#N/A</v>
      </c>
      <c r="AG99" s="207" t="n">
        <f aca="false">IF($A100="","",Summary!$Q$8)</f>
        <v>0</v>
      </c>
      <c r="AH99" s="207" t="n">
        <f aca="false">IF($A100="","",IF(Summary!$R$8="Y",(VLOOKUP($A99,Summary!$AD$6:$AF$9,3)+'Escalating commodity'!D112),'Escalating commodity'!D112))</f>
        <v>0.0200232</v>
      </c>
      <c r="AI99" s="207" t="n">
        <f aca="false">IF($A100="","",AH99)</f>
        <v>0.0200232</v>
      </c>
      <c r="AJ99" s="208" t="n">
        <f aca="false">A99+DAY(EOMONTH(A99,0))/2-1</f>
        <v>39767</v>
      </c>
      <c r="AK99" s="209" t="n">
        <f aca="false">IF($A100="","",$A99-$E$1)</f>
        <v>-6173</v>
      </c>
      <c r="AL99" s="182" t="e">
        <f aca="false">IF($A100="","",SPRDOPT(P99,X99,AI99,0,AB99,AE99,AF99,AK99,$AJ$2,0))</f>
        <v>#NAME?</v>
      </c>
      <c r="AM99" s="211" t="e">
        <f aca="false">IF($A100="","",MAX(0,O99-W99-AI99))</f>
        <v>#N/A</v>
      </c>
      <c r="AN99" s="211" t="e">
        <f aca="false">IF($A100="","",AL99-AM99)</f>
        <v>#N/A</v>
      </c>
      <c r="AO99" s="137" t="n">
        <f aca="false">IF(A100="","",A100-A99)</f>
        <v>30</v>
      </c>
      <c r="AP99" s="212" t="n">
        <f aca="false">IF(A100="","",CHOOSE(F$3,A100+24,A99))</f>
        <v>39753</v>
      </c>
      <c r="AQ99" s="209" t="n">
        <f aca="false">IF(A100="","",AP99-$E$1)</f>
        <v>-6173</v>
      </c>
      <c r="AR99" s="185" t="n">
        <f aca="false">'ANR OK vs ML7'!AR99</f>
        <v>0.1</v>
      </c>
      <c r="AS99" s="213" t="n">
        <f aca="false">IF(A100="","",1/(1+CHOOSE(F$3,(AR100+($I$3/10000))/2,(AR99+($I$3/10000))/2))^(2*AQ99/365.25))</f>
        <v>5.20271715035422</v>
      </c>
      <c r="AT99" s="137" t="n">
        <f aca="false">IF(A100="","",IF(AND(mthbeg&lt;=A99,mthend&gt;=A99),1,0))</f>
        <v>1</v>
      </c>
      <c r="AU99" s="137" t="n">
        <f aca="false">IF(A100="","",AO99*AT99)</f>
        <v>30</v>
      </c>
      <c r="AW99" s="195" t="e">
        <f aca="false">IF($A100="","",AL99*$E99)</f>
        <v>#NAME?</v>
      </c>
      <c r="AX99" s="195" t="e">
        <f aca="false">IF($A100="","",AM99*$E99)</f>
        <v>#N/A</v>
      </c>
      <c r="AY99" s="195" t="e">
        <f aca="false">IF($A100="","",AN99*$E99)</f>
        <v>#N/A</v>
      </c>
      <c r="BA99" s="195" t="n">
        <f aca="false">IF($A100="","",F99*Summary!$Q$8)</f>
        <v>0</v>
      </c>
      <c r="BC99" s="179" t="e">
        <f aca="false">IF(A100="","",AM99*F99)</f>
        <v>#N/A</v>
      </c>
    </row>
    <row r="100" customFormat="false" ht="12.75" hidden="false" customHeight="false" outlineLevel="0" collapsed="false">
      <c r="A100" s="196" t="n">
        <f aca="false">IF(A99&lt;mthend,EDATE(A99,1),"")</f>
        <v>39783</v>
      </c>
      <c r="B100" s="197" t="n">
        <f aca="false">IF(A100&lt;mthend,B99,0)</f>
        <v>80000</v>
      </c>
      <c r="C100" s="215"/>
      <c r="D100" s="197" t="n">
        <f aca="false">IF(A101&lt;&gt;"",B100+C100,"")</f>
        <v>80000</v>
      </c>
      <c r="E100" s="199" t="n">
        <f aca="false">IF(A101="","",IF(AND(AT100=1,$H$3=1),D100*AO100,IF($H$3=2,D100,"N/A")))</f>
        <v>2480000</v>
      </c>
      <c r="F100" s="199" t="n">
        <f aca="false">IF(A101="","",E100*AS100)</f>
        <v>12799738.8304372</v>
      </c>
      <c r="G100" s="200" t="e">
        <f aca="false">IF($A101="","",VLOOKUP($A100,Table,MATCH(G$4,Curves,0)))</f>
        <v>#N/A</v>
      </c>
      <c r="H100" s="201" t="e">
        <f aca="false">IF(A101="","",G100)</f>
        <v>#N/A</v>
      </c>
      <c r="I100" s="202"/>
      <c r="J100" s="200" t="e">
        <f aca="false">IF($A101="","",VLOOKUP($A100,Table,MATCH(J$4,Curves,0)))</f>
        <v>#N/A</v>
      </c>
      <c r="K100" s="201" t="e">
        <f aca="false">IF(A101="","",J100)</f>
        <v>#N/A</v>
      </c>
      <c r="L100" s="200" t="e">
        <f aca="false">IF($A101="","",VLOOKUP($A100,Table,MATCH(L$4,Curves,0)))</f>
        <v>#N/A</v>
      </c>
      <c r="M100" s="201" t="e">
        <f aca="false">IF(A101="","",L100)</f>
        <v>#N/A</v>
      </c>
      <c r="N100" s="203"/>
      <c r="O100" s="200" t="e">
        <f aca="false">IF(A101="","",L100+J100+G100)</f>
        <v>#N/A</v>
      </c>
      <c r="P100" s="200" t="e">
        <f aca="false">IF(A101="","",M100+K100+H100)</f>
        <v>#N/A</v>
      </c>
      <c r="Q100" s="204"/>
      <c r="R100" s="200" t="e">
        <f aca="false">IF($A101="","",VLOOKUP($A100,Table,MATCH(R$4,Curves,0)))</f>
        <v>#N/A</v>
      </c>
      <c r="S100" s="201" t="e">
        <f aca="false">IF(A101="","",R100)</f>
        <v>#N/A</v>
      </c>
      <c r="T100" s="200" t="e">
        <f aca="false">IF($A101="","",VLOOKUP($A100,Table,MATCH(T$4,Curves,0)))</f>
        <v>#N/A</v>
      </c>
      <c r="U100" s="201" t="e">
        <f aca="false">IF(A101="","",T100)</f>
        <v>#N/A</v>
      </c>
      <c r="V100" s="183" t="e">
        <f aca="false">IF($A101="","",IF(AND(MONTH(A100)&gt;3,MONTH(A100)&lt;11),(T100+R100+G100)*Summary!$T$8/(1-Summary!$T$8),(T100+R100+G100)*Summary!$U$8/(1-Summary!$U$8)))</f>
        <v>#N/A</v>
      </c>
      <c r="W100" s="200" t="e">
        <f aca="false">IF($A101="","",(T100+R100+G100+V100))</f>
        <v>#N/A</v>
      </c>
      <c r="X100" s="200" t="e">
        <f aca="false">IF($A101="","",(U100+S100+H100+V100))</f>
        <v>#N/A</v>
      </c>
      <c r="Y100" s="202"/>
      <c r="Z100" s="185" t="e">
        <f aca="false">IF($A101="","",VLOOKUP($A100,Table,MATCH(Z$4,Curves,0)))</f>
        <v>#N/A</v>
      </c>
      <c r="AA100" s="185" t="e">
        <f aca="false">IF($A101="","",VLOOKUP($A100,Table,MATCH(AA$4,Curves,0)))</f>
        <v>#N/A</v>
      </c>
      <c r="AB100" s="185" t="e">
        <f aca="false">SQRT((AA100^2*(A100-$D$3)+Z100^2*(DAY(EOMONTH(A100,0))/2))/AK100)</f>
        <v>#N/A</v>
      </c>
      <c r="AC100" s="185" t="e">
        <f aca="false">IF($A101="","",VLOOKUP($A100,Table,MATCH(AC$4,Curves,0)))</f>
        <v>#N/A</v>
      </c>
      <c r="AD100" s="185" t="e">
        <f aca="false">IF($A101="","",VLOOKUP($A100,Table,MATCH(AD$4,Curves,0)))</f>
        <v>#N/A</v>
      </c>
      <c r="AE100" s="185" t="e">
        <f aca="false">SQRT((AD100^2*(A100-$D$3)+AC100^2*(DAY(EOMONTH(A100,0))/2))/AK100)</f>
        <v>#N/A</v>
      </c>
      <c r="AF100" s="224" t="e">
        <f aca="false">((Summary!$N$8*(AA100*AD100)*(A100-$D$3))+(Summary!$M$8*Z100*AC100*(AJ100-EOMONTH(EDATE(A100,-1),0))))/(AK100*AB100*AE100)</f>
        <v>#N/A</v>
      </c>
      <c r="AG100" s="207" t="n">
        <f aca="false">IF($A101="","",Summary!$Q$8)</f>
        <v>0</v>
      </c>
      <c r="AH100" s="207" t="n">
        <f aca="false">IF($A101="","",IF(Summary!$R$8="Y",(VLOOKUP($A100,Summary!$AD$6:$AF$9,3)+'Escalating commodity'!D113),'Escalating commodity'!D113))</f>
        <v>0.0200232</v>
      </c>
      <c r="AI100" s="207" t="n">
        <f aca="false">IF($A101="","",AH100)</f>
        <v>0.0200232</v>
      </c>
      <c r="AJ100" s="208" t="n">
        <f aca="false">A100+DAY(EOMONTH(A100,0))/2-1</f>
        <v>39797.5</v>
      </c>
      <c r="AK100" s="209" t="n">
        <f aca="false">IF($A101="","",$A100-$E$1)</f>
        <v>-6143</v>
      </c>
      <c r="AL100" s="182" t="e">
        <f aca="false">IF($A101="","",SPRDOPT(P100,X100,AI100,0,AB100,AE100,AF100,AK100,$AJ$2,0))</f>
        <v>#NAME?</v>
      </c>
      <c r="AM100" s="211" t="e">
        <f aca="false">IF($A101="","",MAX(0,O100-W100-AI100))</f>
        <v>#N/A</v>
      </c>
      <c r="AN100" s="211" t="e">
        <f aca="false">IF($A101="","",AL100-AM100)</f>
        <v>#N/A</v>
      </c>
      <c r="AO100" s="137" t="n">
        <f aca="false">IF(A101="","",A101-A100)</f>
        <v>31</v>
      </c>
      <c r="AP100" s="212" t="n">
        <f aca="false">IF(A101="","",CHOOSE(F$3,A101+24,A100))</f>
        <v>39783</v>
      </c>
      <c r="AQ100" s="209" t="n">
        <f aca="false">IF(A101="","",AP100-$E$1)</f>
        <v>-6143</v>
      </c>
      <c r="AR100" s="185" t="n">
        <f aca="false">'ANR OK vs ML7'!AR100</f>
        <v>0.1</v>
      </c>
      <c r="AS100" s="213" t="n">
        <f aca="false">IF(A101="","",1/(1+CHOOSE(F$3,(AR101+($I$3/10000))/2,(AR100+($I$3/10000))/2))^(2*AQ100/365.25))</f>
        <v>5.16118501227306</v>
      </c>
      <c r="AT100" s="137" t="n">
        <f aca="false">IF(A101="","",IF(AND(mthbeg&lt;=A100,mthend&gt;=A100),1,0))</f>
        <v>1</v>
      </c>
      <c r="AU100" s="137" t="n">
        <f aca="false">IF(A101="","",AO100*AT100)</f>
        <v>31</v>
      </c>
      <c r="AW100" s="195" t="e">
        <f aca="false">IF($A101="","",AL100*$E100)</f>
        <v>#NAME?</v>
      </c>
      <c r="AX100" s="195" t="e">
        <f aca="false">IF($A101="","",AM100*$E100)</f>
        <v>#N/A</v>
      </c>
      <c r="AY100" s="195" t="e">
        <f aca="false">IF($A101="","",AN100*$E100)</f>
        <v>#N/A</v>
      </c>
      <c r="BA100" s="195" t="n">
        <f aca="false">IF($A101="","",F100*Summary!$Q$8)</f>
        <v>0</v>
      </c>
      <c r="BC100" s="179" t="e">
        <f aca="false">IF(A101="","",AM100*F100)</f>
        <v>#N/A</v>
      </c>
    </row>
    <row r="101" customFormat="false" ht="12.75" hidden="false" customHeight="false" outlineLevel="0" collapsed="false">
      <c r="A101" s="196" t="n">
        <f aca="false">IF(A100&lt;mthend,EDATE(A100,1),"")</f>
        <v>39814</v>
      </c>
      <c r="B101" s="197" t="n">
        <f aca="false">IF(A101&lt;mthend,B100,0)</f>
        <v>80000</v>
      </c>
      <c r="C101" s="215"/>
      <c r="D101" s="197" t="n">
        <f aca="false">IF(A102&lt;&gt;"",B101+C101,"")</f>
        <v>80000</v>
      </c>
      <c r="E101" s="199" t="n">
        <f aca="false">IF(A102="","",IF(AND(AT101=1,$H$3=1),D101*AO101,IF($H$3=2,D101,"N/A")))</f>
        <v>2480000</v>
      </c>
      <c r="F101" s="199" t="n">
        <f aca="false">IF(A102="","",E101*AS101)</f>
        <v>12694169.5195974</v>
      </c>
      <c r="G101" s="200" t="e">
        <f aca="false">IF($A102="","",VLOOKUP($A101,Table,MATCH(G$4,Curves,0)))</f>
        <v>#N/A</v>
      </c>
      <c r="H101" s="201" t="e">
        <f aca="false">IF(A102="","",G101)</f>
        <v>#N/A</v>
      </c>
      <c r="I101" s="202"/>
      <c r="J101" s="200" t="e">
        <f aca="false">IF($A102="","",VLOOKUP($A101,Table,MATCH(J$4,Curves,0)))</f>
        <v>#N/A</v>
      </c>
      <c r="K101" s="201" t="e">
        <f aca="false">IF(A102="","",J101)</f>
        <v>#N/A</v>
      </c>
      <c r="L101" s="200" t="e">
        <f aca="false">IF($A102="","",VLOOKUP($A101,Table,MATCH(L$4,Curves,0)))</f>
        <v>#N/A</v>
      </c>
      <c r="M101" s="201" t="e">
        <f aca="false">IF(A102="","",L101)</f>
        <v>#N/A</v>
      </c>
      <c r="N101" s="203"/>
      <c r="O101" s="200" t="e">
        <f aca="false">IF(A102="","",L101+J101+G101)</f>
        <v>#N/A</v>
      </c>
      <c r="P101" s="200" t="e">
        <f aca="false">IF(A102="","",M101+K101+H101)</f>
        <v>#N/A</v>
      </c>
      <c r="Q101" s="204"/>
      <c r="R101" s="200" t="e">
        <f aca="false">IF($A102="","",VLOOKUP($A101,Table,MATCH(R$4,Curves,0)))</f>
        <v>#N/A</v>
      </c>
      <c r="S101" s="201" t="e">
        <f aca="false">IF(A102="","",R101)</f>
        <v>#N/A</v>
      </c>
      <c r="T101" s="200" t="e">
        <f aca="false">IF($A102="","",VLOOKUP($A101,Table,MATCH(T$4,Curves,0)))</f>
        <v>#N/A</v>
      </c>
      <c r="U101" s="201" t="e">
        <f aca="false">IF(A102="","",T101)</f>
        <v>#N/A</v>
      </c>
      <c r="V101" s="183" t="e">
        <f aca="false">IF($A102="","",IF(AND(MONTH(A101)&gt;3,MONTH(A101)&lt;11),(T101+R101+G101)*Summary!$T$8/(1-Summary!$T$8),(T101+R101+G101)*Summary!$U$8/(1-Summary!$U$8)))</f>
        <v>#N/A</v>
      </c>
      <c r="W101" s="200" t="e">
        <f aca="false">IF($A102="","",(T101+R101+G101+V101))</f>
        <v>#N/A</v>
      </c>
      <c r="X101" s="200" t="e">
        <f aca="false">IF($A102="","",(U101+S101+H101+V101))</f>
        <v>#N/A</v>
      </c>
      <c r="Y101" s="202"/>
      <c r="Z101" s="185" t="e">
        <f aca="false">IF($A102="","",VLOOKUP($A101,Table,MATCH(Z$4,Curves,0)))</f>
        <v>#N/A</v>
      </c>
      <c r="AA101" s="185" t="e">
        <f aca="false">IF($A102="","",VLOOKUP($A101,Table,MATCH(AA$4,Curves,0)))</f>
        <v>#N/A</v>
      </c>
      <c r="AB101" s="185" t="e">
        <f aca="false">SQRT((AA101^2*(A101-$D$3)+Z101^2*(DAY(EOMONTH(A101,0))/2))/AK101)</f>
        <v>#N/A</v>
      </c>
      <c r="AC101" s="185" t="e">
        <f aca="false">IF($A102="","",VLOOKUP($A101,Table,MATCH(AC$4,Curves,0)))</f>
        <v>#N/A</v>
      </c>
      <c r="AD101" s="185" t="e">
        <f aca="false">IF($A102="","",VLOOKUP($A101,Table,MATCH(AD$4,Curves,0)))</f>
        <v>#N/A</v>
      </c>
      <c r="AE101" s="185" t="e">
        <f aca="false">SQRT((AD101^2*(A101-$D$3)+AC101^2*(DAY(EOMONTH(A101,0))/2))/AK101)</f>
        <v>#N/A</v>
      </c>
      <c r="AF101" s="224" t="e">
        <f aca="false">((Summary!$N$8*(AA101*AD101)*(A101-$D$3))+(Summary!$M$8*Z101*AC101*(AJ101-EOMONTH(EDATE(A101,-1),0))))/(AK101*AB101*AE101)</f>
        <v>#N/A</v>
      </c>
      <c r="AG101" s="207" t="n">
        <f aca="false">IF($A102="","",Summary!$Q$8)</f>
        <v>0</v>
      </c>
      <c r="AH101" s="207" t="n">
        <f aca="false">IF($A102="","",IF(Summary!$R$8="Y",(VLOOKUP($A101,Summary!$AD$6:$AF$9,3)+'Escalating commodity'!D114),'Escalating commodity'!D114))</f>
        <v>0.0200232</v>
      </c>
      <c r="AI101" s="207" t="n">
        <f aca="false">IF($A102="","",AH101)</f>
        <v>0.0200232</v>
      </c>
      <c r="AJ101" s="208" t="n">
        <f aca="false">A101+DAY(EOMONTH(A101,0))/2-1</f>
        <v>39828.5</v>
      </c>
      <c r="AK101" s="209" t="n">
        <f aca="false">IF($A102="","",$A101-$E$1)</f>
        <v>-6112</v>
      </c>
      <c r="AL101" s="182" t="e">
        <f aca="false">IF($A102="","",SPRDOPT(P101,X101,AI101,0,AB101,AE101,AF101,AK101,$AJ$2,0))</f>
        <v>#NAME?</v>
      </c>
      <c r="AM101" s="211" t="e">
        <f aca="false">IF($A102="","",MAX(0,O101-W101-AI101))</f>
        <v>#N/A</v>
      </c>
      <c r="AN101" s="211" t="e">
        <f aca="false">IF($A102="","",AL101-AM101)</f>
        <v>#N/A</v>
      </c>
      <c r="AO101" s="137" t="n">
        <f aca="false">IF(A102="","",A102-A101)</f>
        <v>31</v>
      </c>
      <c r="AP101" s="212" t="n">
        <f aca="false">IF(A102="","",CHOOSE(F$3,A102+24,A101))</f>
        <v>39814</v>
      </c>
      <c r="AQ101" s="209" t="n">
        <f aca="false">IF(A102="","",AP101-$E$1)</f>
        <v>-6112</v>
      </c>
      <c r="AR101" s="185" t="n">
        <f aca="false">'ANR OK vs ML7'!AR101</f>
        <v>0.1</v>
      </c>
      <c r="AS101" s="213" t="n">
        <f aca="false">IF(A102="","",1/(1+CHOOSE(F$3,(AR102+($I$3/10000))/2,(AR101+($I$3/10000))/2))^(2*AQ101/365.25))</f>
        <v>5.11861674177315</v>
      </c>
      <c r="AT101" s="137" t="n">
        <f aca="false">IF(A102="","",IF(AND(mthbeg&lt;=A101,mthend&gt;=A101),1,0))</f>
        <v>1</v>
      </c>
      <c r="AU101" s="137" t="n">
        <f aca="false">IF(A102="","",AO101*AT101)</f>
        <v>31</v>
      </c>
      <c r="AW101" s="195" t="e">
        <f aca="false">IF($A102="","",AL101*$E101)</f>
        <v>#NAME?</v>
      </c>
      <c r="AX101" s="195" t="e">
        <f aca="false">IF($A102="","",AM101*$E101)</f>
        <v>#N/A</v>
      </c>
      <c r="AY101" s="195" t="e">
        <f aca="false">IF($A102="","",AN101*$E101)</f>
        <v>#N/A</v>
      </c>
      <c r="BA101" s="195" t="n">
        <f aca="false">IF($A102="","",F101*Summary!$Q$8)</f>
        <v>0</v>
      </c>
      <c r="BC101" s="179" t="e">
        <f aca="false">IF(A102="","",AM101*F101)</f>
        <v>#N/A</v>
      </c>
    </row>
    <row r="102" customFormat="false" ht="12.75" hidden="false" customHeight="false" outlineLevel="0" collapsed="false">
      <c r="A102" s="196" t="n">
        <f aca="false">IF(A101&lt;mthend,EDATE(A101,1),"")</f>
        <v>39845</v>
      </c>
      <c r="B102" s="197" t="n">
        <f aca="false">IF(A102&lt;mthend,B101,0)</f>
        <v>80000</v>
      </c>
      <c r="C102" s="215"/>
      <c r="D102" s="197" t="n">
        <f aca="false">IF(A103&lt;&gt;"",B102+C102,"")</f>
        <v>80000</v>
      </c>
      <c r="E102" s="199" t="n">
        <f aca="false">IF(A103="","",IF(AND(AT102=1,$H$3=1),D102*AO102,IF($H$3=2,D102,"N/A")))</f>
        <v>2240000</v>
      </c>
      <c r="F102" s="199" t="n">
        <f aca="false">IF(A103="","",E102*AS102)</f>
        <v>11371135.0247202</v>
      </c>
      <c r="G102" s="200" t="e">
        <f aca="false">IF($A103="","",VLOOKUP($A102,Table,MATCH(G$4,Curves,0)))</f>
        <v>#N/A</v>
      </c>
      <c r="H102" s="201" t="e">
        <f aca="false">IF(A103="","",G102)</f>
        <v>#N/A</v>
      </c>
      <c r="I102" s="202"/>
      <c r="J102" s="200" t="e">
        <f aca="false">IF($A103="","",VLOOKUP($A102,Table,MATCH(J$4,Curves,0)))</f>
        <v>#N/A</v>
      </c>
      <c r="K102" s="201" t="e">
        <f aca="false">IF(A103="","",J102)</f>
        <v>#N/A</v>
      </c>
      <c r="L102" s="200" t="e">
        <f aca="false">IF($A103="","",VLOOKUP($A102,Table,MATCH(L$4,Curves,0)))</f>
        <v>#N/A</v>
      </c>
      <c r="M102" s="201" t="e">
        <f aca="false">IF(A103="","",L102)</f>
        <v>#N/A</v>
      </c>
      <c r="N102" s="203"/>
      <c r="O102" s="200" t="e">
        <f aca="false">IF(A103="","",L102+J102+G102)</f>
        <v>#N/A</v>
      </c>
      <c r="P102" s="200" t="e">
        <f aca="false">IF(A103="","",M102+K102+H102)</f>
        <v>#N/A</v>
      </c>
      <c r="Q102" s="204"/>
      <c r="R102" s="200" t="e">
        <f aca="false">IF($A103="","",VLOOKUP($A102,Table,MATCH(R$4,Curves,0)))</f>
        <v>#N/A</v>
      </c>
      <c r="S102" s="201" t="e">
        <f aca="false">IF(A103="","",R102)</f>
        <v>#N/A</v>
      </c>
      <c r="T102" s="200" t="e">
        <f aca="false">IF($A103="","",VLOOKUP($A102,Table,MATCH(T$4,Curves,0)))</f>
        <v>#N/A</v>
      </c>
      <c r="U102" s="201" t="e">
        <f aca="false">IF(A103="","",T102)</f>
        <v>#N/A</v>
      </c>
      <c r="V102" s="183" t="e">
        <f aca="false">IF($A103="","",IF(AND(MONTH(A102)&gt;3,MONTH(A102)&lt;11),(T102+R102+G102)*Summary!$T$8/(1-Summary!$T$8),(T102+R102+G102)*Summary!$U$8/(1-Summary!$U$8)))</f>
        <v>#N/A</v>
      </c>
      <c r="W102" s="200" t="e">
        <f aca="false">IF($A103="","",(T102+R102+G102+V102))</f>
        <v>#N/A</v>
      </c>
      <c r="X102" s="200" t="e">
        <f aca="false">IF($A103="","",(U102+S102+H102+V102))</f>
        <v>#N/A</v>
      </c>
      <c r="Y102" s="202"/>
      <c r="Z102" s="185" t="e">
        <f aca="false">IF($A103="","",VLOOKUP($A102,Table,MATCH(Z$4,Curves,0)))</f>
        <v>#N/A</v>
      </c>
      <c r="AA102" s="185" t="e">
        <f aca="false">IF($A103="","",VLOOKUP($A102,Table,MATCH(AA$4,Curves,0)))</f>
        <v>#N/A</v>
      </c>
      <c r="AB102" s="185" t="e">
        <f aca="false">SQRT((AA102^2*(A102-$D$3)+Z102^2*(DAY(EOMONTH(A102,0))/2))/AK102)</f>
        <v>#N/A</v>
      </c>
      <c r="AC102" s="185" t="e">
        <f aca="false">IF($A103="","",VLOOKUP($A102,Table,MATCH(AC$4,Curves,0)))</f>
        <v>#N/A</v>
      </c>
      <c r="AD102" s="185" t="e">
        <f aca="false">IF($A103="","",VLOOKUP($A102,Table,MATCH(AD$4,Curves,0)))</f>
        <v>#N/A</v>
      </c>
      <c r="AE102" s="185" t="e">
        <f aca="false">SQRT((AD102^2*(A102-$D$3)+AC102^2*(DAY(EOMONTH(A102,0))/2))/AK102)</f>
        <v>#N/A</v>
      </c>
      <c r="AF102" s="224" t="e">
        <f aca="false">((Summary!$N$8*(AA102*AD102)*(A102-$D$3))+(Summary!$M$8*Z102*AC102*(AJ102-EOMONTH(EDATE(A102,-1),0))))/(AK102*AB102*AE102)</f>
        <v>#N/A</v>
      </c>
      <c r="AG102" s="207" t="n">
        <f aca="false">IF($A103="","",Summary!$Q$8)</f>
        <v>0</v>
      </c>
      <c r="AH102" s="207" t="n">
        <f aca="false">IF($A103="","",IF(Summary!$R$8="Y",(VLOOKUP($A102,Summary!$AD$6:$AF$9,3)+'Escalating commodity'!D115),'Escalating commodity'!D115))</f>
        <v>0.0200232</v>
      </c>
      <c r="AI102" s="207" t="n">
        <f aca="false">IF($A103="","",AH102)</f>
        <v>0.0200232</v>
      </c>
      <c r="AJ102" s="208" t="n">
        <f aca="false">A102+DAY(EOMONTH(A102,0))/2-1</f>
        <v>39858</v>
      </c>
      <c r="AK102" s="209" t="n">
        <f aca="false">IF($A103="","",$A102-$E$1)</f>
        <v>-6081</v>
      </c>
      <c r="AL102" s="182" t="e">
        <f aca="false">IF($A103="","",SPRDOPT(P102,X102,AI102,0,AB102,AE102,AF102,AK102,$AJ$2,0))</f>
        <v>#NAME?</v>
      </c>
      <c r="AM102" s="211" t="e">
        <f aca="false">IF($A103="","",MAX(0,O102-W102-AI102))</f>
        <v>#N/A</v>
      </c>
      <c r="AN102" s="211" t="e">
        <f aca="false">IF($A103="","",AL102-AM102)</f>
        <v>#N/A</v>
      </c>
      <c r="AO102" s="137" t="n">
        <f aca="false">IF(A103="","",A103-A102)</f>
        <v>28</v>
      </c>
      <c r="AP102" s="212" t="n">
        <f aca="false">IF(A103="","",CHOOSE(F$3,A103+24,A102))</f>
        <v>39845</v>
      </c>
      <c r="AQ102" s="209" t="n">
        <f aca="false">IF(A103="","",AP102-$E$1)</f>
        <v>-6081</v>
      </c>
      <c r="AR102" s="185" t="n">
        <f aca="false">'ANR OK vs ML7'!AR102</f>
        <v>0.1</v>
      </c>
      <c r="AS102" s="213" t="n">
        <f aca="false">IF(A103="","",1/(1+CHOOSE(F$3,(AR103+($I$3/10000))/2,(AR102+($I$3/10000))/2))^(2*AQ102/365.25))</f>
        <v>5.07639956460724</v>
      </c>
      <c r="AT102" s="137" t="n">
        <f aca="false">IF(A103="","",IF(AND(mthbeg&lt;=A102,mthend&gt;=A102),1,0))</f>
        <v>1</v>
      </c>
      <c r="AU102" s="137" t="n">
        <f aca="false">IF(A103="","",AO102*AT102)</f>
        <v>28</v>
      </c>
      <c r="AW102" s="195" t="e">
        <f aca="false">IF($A103="","",AL102*$E102)</f>
        <v>#NAME?</v>
      </c>
      <c r="AX102" s="195" t="e">
        <f aca="false">IF($A103="","",AM102*$E102)</f>
        <v>#N/A</v>
      </c>
      <c r="AY102" s="195" t="e">
        <f aca="false">IF($A103="","",AN102*$E102)</f>
        <v>#N/A</v>
      </c>
      <c r="BA102" s="195" t="n">
        <f aca="false">IF($A103="","",F102*Summary!$Q$8)</f>
        <v>0</v>
      </c>
      <c r="BC102" s="179" t="e">
        <f aca="false">IF(A103="","",AM102*F102)</f>
        <v>#N/A</v>
      </c>
    </row>
    <row r="103" customFormat="false" ht="12.75" hidden="false" customHeight="false" outlineLevel="0" collapsed="false">
      <c r="A103" s="196" t="n">
        <f aca="false">IF(A102&lt;mthend,EDATE(A102,1),"")</f>
        <v>39873</v>
      </c>
      <c r="B103" s="197" t="n">
        <f aca="false">IF(A103&lt;mthend,B102,0)</f>
        <v>80000</v>
      </c>
      <c r="C103" s="215"/>
      <c r="D103" s="197" t="n">
        <f aca="false">IF(A104&lt;&gt;"",B103+C103,"")</f>
        <v>80000</v>
      </c>
      <c r="E103" s="199" t="n">
        <f aca="false">IF(A104="","",IF(AND(AT103=1,$H$3=1),D103*AO103,IF($H$3=2,D103,"N/A")))</f>
        <v>2480000</v>
      </c>
      <c r="F103" s="199" t="n">
        <f aca="false">IF(A104="","",E103*AS103)</f>
        <v>12495646.863786</v>
      </c>
      <c r="G103" s="200" t="e">
        <f aca="false">IF($A104="","",VLOOKUP($A103,Table,MATCH(G$4,Curves,0)))</f>
        <v>#N/A</v>
      </c>
      <c r="H103" s="201" t="e">
        <f aca="false">IF(A104="","",G103)</f>
        <v>#N/A</v>
      </c>
      <c r="I103" s="202"/>
      <c r="J103" s="200" t="e">
        <f aca="false">IF($A104="","",VLOOKUP($A103,Table,MATCH(J$4,Curves,0)))</f>
        <v>#N/A</v>
      </c>
      <c r="K103" s="201" t="e">
        <f aca="false">IF(A104="","",J103)</f>
        <v>#N/A</v>
      </c>
      <c r="L103" s="200" t="e">
        <f aca="false">IF($A104="","",VLOOKUP($A103,Table,MATCH(L$4,Curves,0)))</f>
        <v>#N/A</v>
      </c>
      <c r="M103" s="201" t="e">
        <f aca="false">IF(A104="","",L103)</f>
        <v>#N/A</v>
      </c>
      <c r="N103" s="203"/>
      <c r="O103" s="200" t="e">
        <f aca="false">IF(A104="","",L103+J103+G103)</f>
        <v>#N/A</v>
      </c>
      <c r="P103" s="200" t="e">
        <f aca="false">IF(A104="","",M103+K103+H103)</f>
        <v>#N/A</v>
      </c>
      <c r="Q103" s="204"/>
      <c r="R103" s="200" t="e">
        <f aca="false">IF($A104="","",VLOOKUP($A103,Table,MATCH(R$4,Curves,0)))</f>
        <v>#N/A</v>
      </c>
      <c r="S103" s="201" t="e">
        <f aca="false">IF(A104="","",R103)</f>
        <v>#N/A</v>
      </c>
      <c r="T103" s="200" t="e">
        <f aca="false">IF($A104="","",VLOOKUP($A103,Table,MATCH(T$4,Curves,0)))</f>
        <v>#N/A</v>
      </c>
      <c r="U103" s="201" t="e">
        <f aca="false">IF(A104="","",T103)</f>
        <v>#N/A</v>
      </c>
      <c r="V103" s="183" t="e">
        <f aca="false">IF($A104="","",IF(AND(MONTH(A103)&gt;3,MONTH(A103)&lt;11),(T103+R103+G103)*Summary!$T$8/(1-Summary!$T$8),(T103+R103+G103)*Summary!$U$8/(1-Summary!$U$8)))</f>
        <v>#N/A</v>
      </c>
      <c r="W103" s="200" t="e">
        <f aca="false">IF($A104="","",(T103+R103+G103+V103))</f>
        <v>#N/A</v>
      </c>
      <c r="X103" s="200" t="e">
        <f aca="false">IF($A104="","",(U103+S103+H103+V103))</f>
        <v>#N/A</v>
      </c>
      <c r="Y103" s="202"/>
      <c r="Z103" s="185" t="e">
        <f aca="false">IF($A104="","",VLOOKUP($A103,Table,MATCH(Z$4,Curves,0)))</f>
        <v>#N/A</v>
      </c>
      <c r="AA103" s="185" t="e">
        <f aca="false">IF($A104="","",VLOOKUP($A103,Table,MATCH(AA$4,Curves,0)))</f>
        <v>#N/A</v>
      </c>
      <c r="AB103" s="185" t="e">
        <f aca="false">SQRT((AA103^2*(A103-$D$3)+Z103^2*(DAY(EOMONTH(A103,0))/2))/AK103)</f>
        <v>#N/A</v>
      </c>
      <c r="AC103" s="185" t="e">
        <f aca="false">IF($A104="","",VLOOKUP($A103,Table,MATCH(AC$4,Curves,0)))</f>
        <v>#N/A</v>
      </c>
      <c r="AD103" s="185" t="e">
        <f aca="false">IF($A104="","",VLOOKUP($A103,Table,MATCH(AD$4,Curves,0)))</f>
        <v>#N/A</v>
      </c>
      <c r="AE103" s="185" t="e">
        <f aca="false">SQRT((AD103^2*(A103-$D$3)+AC103^2*(DAY(EOMONTH(A103,0))/2))/AK103)</f>
        <v>#N/A</v>
      </c>
      <c r="AF103" s="224" t="e">
        <f aca="false">((Summary!$N$8*(AA103*AD103)*(A103-$D$3))+(Summary!$M$8*Z103*AC103*(AJ103-EOMONTH(EDATE(A103,-1),0))))/(AK103*AB103*AE103)</f>
        <v>#N/A</v>
      </c>
      <c r="AG103" s="207" t="n">
        <f aca="false">IF($A104="","",Summary!$Q$8)</f>
        <v>0</v>
      </c>
      <c r="AH103" s="207" t="n">
        <f aca="false">IF($A104="","",IF(Summary!$R$8="Y",(VLOOKUP($A103,Summary!$AD$6:$AF$9,3)+'Escalating commodity'!D116),'Escalating commodity'!D116))</f>
        <v>0.0200232</v>
      </c>
      <c r="AI103" s="207" t="n">
        <f aca="false">IF($A104="","",AH103)</f>
        <v>0.0200232</v>
      </c>
      <c r="AJ103" s="208" t="n">
        <f aca="false">A103+DAY(EOMONTH(A103,0))/2-1</f>
        <v>39887.5</v>
      </c>
      <c r="AK103" s="209" t="n">
        <f aca="false">IF($A104="","",$A103-$E$1)</f>
        <v>-6053</v>
      </c>
      <c r="AL103" s="182" t="e">
        <f aca="false">IF($A104="","",SPRDOPT(P103,X103,AI103,0,AB103,AE103,AF103,AK103,$AJ$2,0))</f>
        <v>#NAME?</v>
      </c>
      <c r="AM103" s="211" t="e">
        <f aca="false">IF($A104="","",MAX(0,O103-W103-AI103))</f>
        <v>#N/A</v>
      </c>
      <c r="AN103" s="211" t="e">
        <f aca="false">IF($A104="","",AL103-AM103)</f>
        <v>#N/A</v>
      </c>
      <c r="AO103" s="137" t="n">
        <f aca="false">IF(A104="","",A104-A103)</f>
        <v>31</v>
      </c>
      <c r="AP103" s="212" t="n">
        <f aca="false">IF(A104="","",CHOOSE(F$3,A104+24,A103))</f>
        <v>39873</v>
      </c>
      <c r="AQ103" s="209" t="n">
        <f aca="false">IF(A104="","",AP103-$E$1)</f>
        <v>-6053</v>
      </c>
      <c r="AR103" s="185" t="n">
        <f aca="false">'ANR OK vs ML7'!AR103</f>
        <v>0.1</v>
      </c>
      <c r="AS103" s="213" t="n">
        <f aca="false">IF(A104="","",1/(1+CHOOSE(F$3,(AR104+($I$3/10000))/2,(AR103+($I$3/10000))/2))^(2*AQ103/365.25))</f>
        <v>5.03856728378468</v>
      </c>
      <c r="AT103" s="137" t="n">
        <f aca="false">IF(A104="","",IF(AND(mthbeg&lt;=A103,mthend&gt;=A103),1,0))</f>
        <v>1</v>
      </c>
      <c r="AU103" s="137" t="n">
        <f aca="false">IF(A104="","",AO103*AT103)</f>
        <v>31</v>
      </c>
      <c r="AW103" s="195" t="e">
        <f aca="false">IF($A104="","",AL103*$E103)</f>
        <v>#NAME?</v>
      </c>
      <c r="AX103" s="195" t="e">
        <f aca="false">IF($A104="","",AM103*$E103)</f>
        <v>#N/A</v>
      </c>
      <c r="AY103" s="195" t="e">
        <f aca="false">IF($A104="","",AN103*$E103)</f>
        <v>#N/A</v>
      </c>
      <c r="BA103" s="195" t="n">
        <f aca="false">IF($A104="","",F103*Summary!$Q$8)</f>
        <v>0</v>
      </c>
      <c r="BC103" s="179" t="e">
        <f aca="false">IF(A104="","",AM103*F103)</f>
        <v>#N/A</v>
      </c>
    </row>
    <row r="104" customFormat="false" ht="12.75" hidden="false" customHeight="false" outlineLevel="0" collapsed="false">
      <c r="A104" s="196" t="n">
        <f aca="false">IF(A103&lt;mthend,EDATE(A103,1),"")</f>
        <v>39904</v>
      </c>
      <c r="B104" s="197" t="n">
        <f aca="false">IF(A104&lt;mthend,B103,0)</f>
        <v>80000</v>
      </c>
      <c r="C104" s="215"/>
      <c r="D104" s="197" t="n">
        <f aca="false">IF(A105&lt;&gt;"",B104+C104,"")</f>
        <v>80000</v>
      </c>
      <c r="E104" s="199" t="n">
        <f aca="false">IF(A105="","",IF(AND(AT104=1,$H$3=1),D104*AO104,IF($H$3=2,D104,"N/A")))</f>
        <v>2400000</v>
      </c>
      <c r="F104" s="199" t="n">
        <f aca="false">IF(A105="","",E104*AS104)</f>
        <v>11992824.8068622</v>
      </c>
      <c r="G104" s="200" t="e">
        <f aca="false">IF($A105="","",VLOOKUP($A104,Table,MATCH(G$4,Curves,0)))</f>
        <v>#N/A</v>
      </c>
      <c r="H104" s="201" t="e">
        <f aca="false">IF(A105="","",G104)</f>
        <v>#N/A</v>
      </c>
      <c r="I104" s="202"/>
      <c r="J104" s="200" t="e">
        <f aca="false">IF($A105="","",VLOOKUP($A104,Table,MATCH(J$4,Curves,0)))</f>
        <v>#N/A</v>
      </c>
      <c r="K104" s="201" t="e">
        <f aca="false">IF(A105="","",J104)</f>
        <v>#N/A</v>
      </c>
      <c r="L104" s="200" t="e">
        <f aca="false">IF($A105="","",VLOOKUP($A104,Table,MATCH(L$4,Curves,0)))</f>
        <v>#N/A</v>
      </c>
      <c r="M104" s="201" t="e">
        <f aca="false">IF(A105="","",L104)</f>
        <v>#N/A</v>
      </c>
      <c r="N104" s="203"/>
      <c r="O104" s="200" t="e">
        <f aca="false">IF(A105="","",L104+J104+G104)</f>
        <v>#N/A</v>
      </c>
      <c r="P104" s="200" t="e">
        <f aca="false">IF(A105="","",M104+K104+H104)</f>
        <v>#N/A</v>
      </c>
      <c r="Q104" s="204"/>
      <c r="R104" s="200" t="e">
        <f aca="false">IF($A105="","",VLOOKUP($A104,Table,MATCH(R$4,Curves,0)))</f>
        <v>#N/A</v>
      </c>
      <c r="S104" s="201" t="e">
        <f aca="false">IF(A105="","",R104)</f>
        <v>#N/A</v>
      </c>
      <c r="T104" s="200" t="e">
        <f aca="false">IF($A105="","",VLOOKUP($A104,Table,MATCH(T$4,Curves,0)))</f>
        <v>#N/A</v>
      </c>
      <c r="U104" s="201" t="e">
        <f aca="false">IF(A105="","",T104)</f>
        <v>#N/A</v>
      </c>
      <c r="V104" s="183" t="e">
        <f aca="false">IF($A105="","",IF(AND(MONTH(A104)&gt;3,MONTH(A104)&lt;11),(T104+R104+G104)*Summary!$T$8/(1-Summary!$T$8),(T104+R104+G104)*Summary!$U$8/(1-Summary!$U$8)))</f>
        <v>#N/A</v>
      </c>
      <c r="W104" s="200" t="e">
        <f aca="false">IF($A105="","",(T104+R104+G104+V104))</f>
        <v>#N/A</v>
      </c>
      <c r="X104" s="200" t="e">
        <f aca="false">IF($A105="","",(U104+S104+H104+V104))</f>
        <v>#N/A</v>
      </c>
      <c r="Y104" s="202"/>
      <c r="Z104" s="185" t="e">
        <f aca="false">IF($A105="","",VLOOKUP($A104,Table,MATCH(Z$4,Curves,0)))</f>
        <v>#N/A</v>
      </c>
      <c r="AA104" s="185" t="e">
        <f aca="false">IF($A105="","",VLOOKUP($A104,Table,MATCH(AA$4,Curves,0)))</f>
        <v>#N/A</v>
      </c>
      <c r="AB104" s="185" t="e">
        <f aca="false">SQRT((AA104^2*(A104-$D$3)+Z104^2*(DAY(EOMONTH(A104,0))/2))/AK104)</f>
        <v>#N/A</v>
      </c>
      <c r="AC104" s="185" t="e">
        <f aca="false">IF($A105="","",VLOOKUP($A104,Table,MATCH(AC$4,Curves,0)))</f>
        <v>#N/A</v>
      </c>
      <c r="AD104" s="185" t="e">
        <f aca="false">IF($A105="","",VLOOKUP($A104,Table,MATCH(AD$4,Curves,0)))</f>
        <v>#N/A</v>
      </c>
      <c r="AE104" s="185" t="e">
        <f aca="false">SQRT((AD104^2*(A104-$D$3)+AC104^2*(DAY(EOMONTH(A104,0))/2))/AK104)</f>
        <v>#N/A</v>
      </c>
      <c r="AF104" s="224" t="e">
        <f aca="false">((Summary!$N$8*(AA104*AD104)*(A104-$D$3))+(Summary!$M$8*Z104*AC104*(AJ104-EOMONTH(EDATE(A104,-1),0))))/(AK104*AB104*AE104)</f>
        <v>#N/A</v>
      </c>
      <c r="AG104" s="207" t="n">
        <f aca="false">IF($A105="","",Summary!$Q$8)</f>
        <v>0</v>
      </c>
      <c r="AH104" s="207" t="n">
        <f aca="false">IF($A105="","",IF(Summary!$R$8="Y",(VLOOKUP($A104,Summary!$AD$6:$AF$9,3)+'Escalating commodity'!D117),'Escalating commodity'!D117))</f>
        <v>0.0200232</v>
      </c>
      <c r="AI104" s="207" t="n">
        <f aca="false">IF($A105="","",AH104)</f>
        <v>0.0200232</v>
      </c>
      <c r="AJ104" s="208" t="n">
        <f aca="false">A104+DAY(EOMONTH(A104,0))/2-1</f>
        <v>39918</v>
      </c>
      <c r="AK104" s="209" t="n">
        <f aca="false">IF($A105="","",$A104-$E$1)</f>
        <v>-6022</v>
      </c>
      <c r="AL104" s="182" t="e">
        <f aca="false">IF($A105="","",SPRDOPT(P104,X104,AI104,0,AB104,AE104,AF104,AK104,$AJ$2,0))</f>
        <v>#NAME?</v>
      </c>
      <c r="AM104" s="211" t="e">
        <f aca="false">IF($A105="","",MAX(0,O104-W104-AI104))</f>
        <v>#N/A</v>
      </c>
      <c r="AN104" s="211" t="e">
        <f aca="false">IF($A105="","",AL104-AM104)</f>
        <v>#N/A</v>
      </c>
      <c r="AO104" s="137" t="n">
        <f aca="false">IF(A105="","",A105-A104)</f>
        <v>30</v>
      </c>
      <c r="AP104" s="212" t="n">
        <f aca="false">IF(A105="","",CHOOSE(F$3,A105+24,A104))</f>
        <v>39904</v>
      </c>
      <c r="AQ104" s="209" t="n">
        <f aca="false">IF(A105="","",AP104-$E$1)</f>
        <v>-6022</v>
      </c>
      <c r="AR104" s="185" t="n">
        <f aca="false">'ANR OK vs ML7'!AR104</f>
        <v>0.1</v>
      </c>
      <c r="AS104" s="213" t="n">
        <f aca="false">IF(A105="","",1/(1+CHOOSE(F$3,(AR105+($I$3/10000))/2,(AR104+($I$3/10000))/2))^(2*AQ104/365.25))</f>
        <v>4.99701033619258</v>
      </c>
      <c r="AT104" s="137" t="n">
        <f aca="false">IF(A105="","",IF(AND(mthbeg&lt;=A104,mthend&gt;=A104),1,0))</f>
        <v>1</v>
      </c>
      <c r="AU104" s="137" t="n">
        <f aca="false">IF(A105="","",AO104*AT104)</f>
        <v>30</v>
      </c>
      <c r="AW104" s="195" t="e">
        <f aca="false">IF($A105="","",AL104*$E104)</f>
        <v>#NAME?</v>
      </c>
      <c r="AX104" s="195" t="e">
        <f aca="false">IF($A105="","",AM104*$E104)</f>
        <v>#N/A</v>
      </c>
      <c r="AY104" s="195" t="e">
        <f aca="false">IF($A105="","",AN104*$E104)</f>
        <v>#N/A</v>
      </c>
      <c r="BA104" s="195" t="n">
        <f aca="false">IF($A105="","",F104*Summary!$Q$8)</f>
        <v>0</v>
      </c>
      <c r="BC104" s="179" t="e">
        <f aca="false">IF(A105="","",AM104*F104)</f>
        <v>#N/A</v>
      </c>
    </row>
    <row r="105" customFormat="false" ht="12.75" hidden="false" customHeight="false" outlineLevel="0" collapsed="false">
      <c r="A105" s="196" t="n">
        <f aca="false">IF(A104&lt;mthend,EDATE(A104,1),"")</f>
        <v>39934</v>
      </c>
      <c r="B105" s="197" t="n">
        <f aca="false">IF(A105&lt;mthend,B104,0)</f>
        <v>80000</v>
      </c>
      <c r="C105" s="215"/>
      <c r="D105" s="197" t="n">
        <f aca="false">IF(A106&lt;&gt;"",B105+C105,"")</f>
        <v>80000</v>
      </c>
      <c r="E105" s="199" t="n">
        <f aca="false">IF(A106="","",IF(AND(AT105=1,$H$3=1),D105*AO105,IF($H$3=2,D105,"N/A")))</f>
        <v>2480000</v>
      </c>
      <c r="F105" s="199" t="n">
        <f aca="false">IF(A106="","",E105*AS105)</f>
        <v>12293658.3688594</v>
      </c>
      <c r="G105" s="200" t="e">
        <f aca="false">IF($A106="","",VLOOKUP($A105,Table,MATCH(G$4,Curves,0)))</f>
        <v>#N/A</v>
      </c>
      <c r="H105" s="201" t="e">
        <f aca="false">IF(A106="","",G105)</f>
        <v>#N/A</v>
      </c>
      <c r="I105" s="202"/>
      <c r="J105" s="200" t="e">
        <f aca="false">IF($A106="","",VLOOKUP($A105,Table,MATCH(J$4,Curves,0)))</f>
        <v>#N/A</v>
      </c>
      <c r="K105" s="201" t="e">
        <f aca="false">IF(A106="","",J105)</f>
        <v>#N/A</v>
      </c>
      <c r="L105" s="200" t="e">
        <f aca="false">IF($A106="","",VLOOKUP($A105,Table,MATCH(L$4,Curves,0)))</f>
        <v>#N/A</v>
      </c>
      <c r="M105" s="201" t="e">
        <f aca="false">IF(A106="","",L105)</f>
        <v>#N/A</v>
      </c>
      <c r="N105" s="203"/>
      <c r="O105" s="200" t="e">
        <f aca="false">IF(A106="","",L105+J105+G105)</f>
        <v>#N/A</v>
      </c>
      <c r="P105" s="200" t="e">
        <f aca="false">IF(A106="","",M105+K105+H105)</f>
        <v>#N/A</v>
      </c>
      <c r="Q105" s="204"/>
      <c r="R105" s="200" t="e">
        <f aca="false">IF($A106="","",VLOOKUP($A105,Table,MATCH(R$4,Curves,0)))</f>
        <v>#N/A</v>
      </c>
      <c r="S105" s="201" t="e">
        <f aca="false">IF(A106="","",R105)</f>
        <v>#N/A</v>
      </c>
      <c r="T105" s="200" t="e">
        <f aca="false">IF($A106="","",VLOOKUP($A105,Table,MATCH(T$4,Curves,0)))</f>
        <v>#N/A</v>
      </c>
      <c r="U105" s="201" t="e">
        <f aca="false">IF(A106="","",T105)</f>
        <v>#N/A</v>
      </c>
      <c r="V105" s="183" t="e">
        <f aca="false">IF($A106="","",IF(AND(MONTH(A105)&gt;3,MONTH(A105)&lt;11),(T105+R105+G105)*Summary!$T$8/(1-Summary!$T$8),(T105+R105+G105)*Summary!$U$8/(1-Summary!$U$8)))</f>
        <v>#N/A</v>
      </c>
      <c r="W105" s="200" t="e">
        <f aca="false">IF($A106="","",(T105+R105+G105+V105))</f>
        <v>#N/A</v>
      </c>
      <c r="X105" s="200" t="e">
        <f aca="false">IF($A106="","",(U105+S105+H105+V105))</f>
        <v>#N/A</v>
      </c>
      <c r="Y105" s="202"/>
      <c r="Z105" s="185" t="e">
        <f aca="false">IF($A106="","",VLOOKUP($A105,Table,MATCH(Z$4,Curves,0)))</f>
        <v>#N/A</v>
      </c>
      <c r="AA105" s="185" t="e">
        <f aca="false">IF($A106="","",VLOOKUP($A105,Table,MATCH(AA$4,Curves,0)))</f>
        <v>#N/A</v>
      </c>
      <c r="AB105" s="185" t="e">
        <f aca="false">SQRT((AA105^2*(A105-$D$3)+Z105^2*(DAY(EOMONTH(A105,0))/2))/AK105)</f>
        <v>#N/A</v>
      </c>
      <c r="AC105" s="185" t="e">
        <f aca="false">IF($A106="","",VLOOKUP($A105,Table,MATCH(AC$4,Curves,0)))</f>
        <v>#N/A</v>
      </c>
      <c r="AD105" s="185" t="e">
        <f aca="false">IF($A106="","",VLOOKUP($A105,Table,MATCH(AD$4,Curves,0)))</f>
        <v>#N/A</v>
      </c>
      <c r="AE105" s="185" t="e">
        <f aca="false">SQRT((AD105^2*(A105-$D$3)+AC105^2*(DAY(EOMONTH(A105,0))/2))/AK105)</f>
        <v>#N/A</v>
      </c>
      <c r="AF105" s="224" t="e">
        <f aca="false">((Summary!$N$8*(AA105*AD105)*(A105-$D$3))+(Summary!$M$8*Z105*AC105*(AJ105-EOMONTH(EDATE(A105,-1),0))))/(AK105*AB105*AE105)</f>
        <v>#N/A</v>
      </c>
      <c r="AG105" s="207" t="n">
        <f aca="false">IF($A106="","",Summary!$Q$8)</f>
        <v>0</v>
      </c>
      <c r="AH105" s="207" t="n">
        <f aca="false">IF($A106="","",IF(Summary!$R$8="Y",(VLOOKUP($A105,Summary!$AD$6:$AF$9,3)+'Escalating commodity'!D118),'Escalating commodity'!D118))</f>
        <v>0.0200232</v>
      </c>
      <c r="AI105" s="207" t="n">
        <f aca="false">IF($A106="","",AH105)</f>
        <v>0.0200232</v>
      </c>
      <c r="AJ105" s="208" t="n">
        <f aca="false">A105+DAY(EOMONTH(A105,0))/2-1</f>
        <v>39948.5</v>
      </c>
      <c r="AK105" s="209" t="n">
        <f aca="false">IF($A106="","",$A105-$E$1)</f>
        <v>-5992</v>
      </c>
      <c r="AL105" s="182" t="e">
        <f aca="false">IF($A106="","",SPRDOPT(P105,X105,AI105,0,AB105,AE105,AF105,AK105,$AJ$2,0))</f>
        <v>#NAME?</v>
      </c>
      <c r="AM105" s="211" t="e">
        <f aca="false">IF($A106="","",MAX(0,O105-W105-AI105))</f>
        <v>#N/A</v>
      </c>
      <c r="AN105" s="211" t="e">
        <f aca="false">IF($A106="","",AL105-AM105)</f>
        <v>#N/A</v>
      </c>
      <c r="AO105" s="137" t="n">
        <f aca="false">IF(A106="","",A106-A105)</f>
        <v>31</v>
      </c>
      <c r="AP105" s="212" t="n">
        <f aca="false">IF(A106="","",CHOOSE(F$3,A106+24,A105))</f>
        <v>39934</v>
      </c>
      <c r="AQ105" s="209" t="n">
        <f aca="false">IF(A106="","",AP105-$E$1)</f>
        <v>-5992</v>
      </c>
      <c r="AR105" s="185" t="n">
        <f aca="false">'ANR OK vs ML7'!AR105</f>
        <v>0.1</v>
      </c>
      <c r="AS105" s="213" t="n">
        <f aca="false">IF(A106="","",1/(1+CHOOSE(F$3,(AR106+($I$3/10000))/2,(AR105+($I$3/10000))/2))^(2*AQ105/365.25))</f>
        <v>4.95712031002393</v>
      </c>
      <c r="AT105" s="137" t="n">
        <f aca="false">IF(A106="","",IF(AND(mthbeg&lt;=A105,mthend&gt;=A105),1,0))</f>
        <v>1</v>
      </c>
      <c r="AU105" s="137" t="n">
        <f aca="false">IF(A106="","",AO105*AT105)</f>
        <v>31</v>
      </c>
      <c r="AW105" s="195" t="e">
        <f aca="false">IF($A106="","",AL105*$E105)</f>
        <v>#NAME?</v>
      </c>
      <c r="AX105" s="195" t="e">
        <f aca="false">IF($A106="","",AM105*$E105)</f>
        <v>#N/A</v>
      </c>
      <c r="AY105" s="195" t="e">
        <f aca="false">IF($A106="","",AN105*$E105)</f>
        <v>#N/A</v>
      </c>
      <c r="BA105" s="195" t="n">
        <f aca="false">IF($A106="","",F105*Summary!$Q$8)</f>
        <v>0</v>
      </c>
      <c r="BC105" s="179" t="e">
        <f aca="false">IF(A106="","",AM105*F105)</f>
        <v>#N/A</v>
      </c>
    </row>
    <row r="106" customFormat="false" ht="12.75" hidden="false" customHeight="false" outlineLevel="0" collapsed="false">
      <c r="A106" s="196" t="n">
        <f aca="false">IF(A105&lt;mthend,EDATE(A105,1),"")</f>
        <v>39965</v>
      </c>
      <c r="B106" s="197" t="n">
        <f aca="false">IF(A106&lt;mthend,B105,0)</f>
        <v>80000</v>
      </c>
      <c r="C106" s="215"/>
      <c r="D106" s="197" t="n">
        <f aca="false">IF(A107&lt;&gt;"",B106+C106,"")</f>
        <v>80000</v>
      </c>
      <c r="E106" s="199" t="n">
        <f aca="false">IF(A107="","",IF(AND(AT106=1,$H$3=1),D106*AO106,IF($H$3=2,D106,"N/A")))</f>
        <v>2400000</v>
      </c>
      <c r="F106" s="199" t="n">
        <f aca="false">IF(A107="","",E106*AS106)</f>
        <v>11798964.2841487</v>
      </c>
      <c r="G106" s="200" t="e">
        <f aca="false">IF($A107="","",VLOOKUP($A106,Table,MATCH(G$4,Curves,0)))</f>
        <v>#N/A</v>
      </c>
      <c r="H106" s="201" t="e">
        <f aca="false">IF(A107="","",G106)</f>
        <v>#N/A</v>
      </c>
      <c r="I106" s="202"/>
      <c r="J106" s="200" t="e">
        <f aca="false">IF($A107="","",VLOOKUP($A106,Table,MATCH(J$4,Curves,0)))</f>
        <v>#N/A</v>
      </c>
      <c r="K106" s="201" t="e">
        <f aca="false">IF(A107="","",J106)</f>
        <v>#N/A</v>
      </c>
      <c r="L106" s="200" t="e">
        <f aca="false">IF($A107="","",VLOOKUP($A106,Table,MATCH(L$4,Curves,0)))</f>
        <v>#N/A</v>
      </c>
      <c r="M106" s="201" t="e">
        <f aca="false">IF(A107="","",L106)</f>
        <v>#N/A</v>
      </c>
      <c r="N106" s="203"/>
      <c r="O106" s="200" t="e">
        <f aca="false">IF(A107="","",L106+J106+G106)</f>
        <v>#N/A</v>
      </c>
      <c r="P106" s="200" t="e">
        <f aca="false">IF(A107="","",M106+K106+H106)</f>
        <v>#N/A</v>
      </c>
      <c r="Q106" s="204"/>
      <c r="R106" s="200" t="e">
        <f aca="false">IF($A107="","",VLOOKUP($A106,Table,MATCH(R$4,Curves,0)))</f>
        <v>#N/A</v>
      </c>
      <c r="S106" s="201" t="e">
        <f aca="false">IF(A107="","",R106)</f>
        <v>#N/A</v>
      </c>
      <c r="T106" s="200" t="e">
        <f aca="false">IF($A107="","",VLOOKUP($A106,Table,MATCH(T$4,Curves,0)))</f>
        <v>#N/A</v>
      </c>
      <c r="U106" s="201" t="e">
        <f aca="false">IF(A107="","",T106)</f>
        <v>#N/A</v>
      </c>
      <c r="V106" s="183" t="e">
        <f aca="false">IF($A107="","",IF(AND(MONTH(A106)&gt;3,MONTH(A106)&lt;11),(T106+R106+G106)*Summary!$T$8/(1-Summary!$T$8),(T106+R106+G106)*Summary!$U$8/(1-Summary!$U$8)))</f>
        <v>#N/A</v>
      </c>
      <c r="W106" s="200" t="e">
        <f aca="false">IF($A107="","",(T106+R106+G106+V106))</f>
        <v>#N/A</v>
      </c>
      <c r="X106" s="200" t="e">
        <f aca="false">IF($A107="","",(U106+S106+H106+V106))</f>
        <v>#N/A</v>
      </c>
      <c r="Y106" s="202"/>
      <c r="Z106" s="185" t="e">
        <f aca="false">IF($A107="","",VLOOKUP($A106,Table,MATCH(Z$4,Curves,0)))</f>
        <v>#N/A</v>
      </c>
      <c r="AA106" s="185" t="e">
        <f aca="false">IF($A107="","",VLOOKUP($A106,Table,MATCH(AA$4,Curves,0)))</f>
        <v>#N/A</v>
      </c>
      <c r="AB106" s="185" t="e">
        <f aca="false">SQRT((AA106^2*(A106-$D$3)+Z106^2*(DAY(EOMONTH(A106,0))/2))/AK106)</f>
        <v>#N/A</v>
      </c>
      <c r="AC106" s="185" t="e">
        <f aca="false">IF($A107="","",VLOOKUP($A106,Table,MATCH(AC$4,Curves,0)))</f>
        <v>#N/A</v>
      </c>
      <c r="AD106" s="185" t="e">
        <f aca="false">IF($A107="","",VLOOKUP($A106,Table,MATCH(AD$4,Curves,0)))</f>
        <v>#N/A</v>
      </c>
      <c r="AE106" s="185" t="e">
        <f aca="false">SQRT((AD106^2*(A106-$D$3)+AC106^2*(DAY(EOMONTH(A106,0))/2))/AK106)</f>
        <v>#N/A</v>
      </c>
      <c r="AF106" s="224" t="e">
        <f aca="false">((Summary!$N$8*(AA106*AD106)*(A106-$D$3))+(Summary!$M$8*Z106*AC106*(AJ106-EOMONTH(EDATE(A106,-1),0))))/(AK106*AB106*AE106)</f>
        <v>#N/A</v>
      </c>
      <c r="AG106" s="207" t="n">
        <f aca="false">IF($A107="","",Summary!$Q$8)</f>
        <v>0</v>
      </c>
      <c r="AH106" s="207" t="n">
        <f aca="false">IF($A107="","",IF(Summary!$R$8="Y",(VLOOKUP($A106,Summary!$AD$6:$AF$9,3)+'Escalating commodity'!D119),'Escalating commodity'!D119))</f>
        <v>0.0200232</v>
      </c>
      <c r="AI106" s="207" t="n">
        <f aca="false">IF($A107="","",AH106)</f>
        <v>0.0200232</v>
      </c>
      <c r="AJ106" s="208" t="n">
        <f aca="false">A106+DAY(EOMONTH(A106,0))/2-1</f>
        <v>39979</v>
      </c>
      <c r="AK106" s="209" t="n">
        <f aca="false">IF($A107="","",$A106-$E$1)</f>
        <v>-5961</v>
      </c>
      <c r="AL106" s="182" t="e">
        <f aca="false">IF($A107="","",SPRDOPT(P106,X106,AI106,0,AB106,AE106,AF106,AK106,$AJ$2,0))</f>
        <v>#NAME?</v>
      </c>
      <c r="AM106" s="211" t="e">
        <f aca="false">IF($A107="","",MAX(0,O106-W106-AI106))</f>
        <v>#N/A</v>
      </c>
      <c r="AN106" s="211" t="e">
        <f aca="false">IF($A107="","",AL106-AM106)</f>
        <v>#N/A</v>
      </c>
      <c r="AO106" s="137" t="n">
        <f aca="false">IF(A107="","",A107-A106)</f>
        <v>30</v>
      </c>
      <c r="AP106" s="212" t="n">
        <f aca="false">IF(A107="","",CHOOSE(F$3,A107+24,A106))</f>
        <v>39965</v>
      </c>
      <c r="AQ106" s="209" t="n">
        <f aca="false">IF(A107="","",AP106-$E$1)</f>
        <v>-5961</v>
      </c>
      <c r="AR106" s="185" t="n">
        <f aca="false">'ANR OK vs ML7'!AR106</f>
        <v>0.1</v>
      </c>
      <c r="AS106" s="213" t="n">
        <f aca="false">IF(A107="","",1/(1+CHOOSE(F$3,(AR107+($I$3/10000))/2,(AR106+($I$3/10000))/2))^(2*AQ106/365.25))</f>
        <v>4.91623511839528</v>
      </c>
      <c r="AT106" s="137" t="n">
        <f aca="false">IF(A107="","",IF(AND(mthbeg&lt;=A106,mthend&gt;=A106),1,0))</f>
        <v>1</v>
      </c>
      <c r="AU106" s="137" t="n">
        <f aca="false">IF(A107="","",AO106*AT106)</f>
        <v>30</v>
      </c>
      <c r="AW106" s="195" t="e">
        <f aca="false">IF($A107="","",AL106*$E106)</f>
        <v>#NAME?</v>
      </c>
      <c r="AX106" s="195" t="e">
        <f aca="false">IF($A107="","",AM106*$E106)</f>
        <v>#N/A</v>
      </c>
      <c r="AY106" s="195" t="e">
        <f aca="false">IF($A107="","",AN106*$E106)</f>
        <v>#N/A</v>
      </c>
      <c r="BA106" s="195" t="n">
        <f aca="false">IF($A107="","",F106*Summary!$Q$8)</f>
        <v>0</v>
      </c>
      <c r="BC106" s="179" t="e">
        <f aca="false">IF(A107="","",AM106*F106)</f>
        <v>#N/A</v>
      </c>
    </row>
    <row r="107" customFormat="false" ht="12.75" hidden="false" customHeight="false" outlineLevel="0" collapsed="false">
      <c r="A107" s="196" t="n">
        <f aca="false">IF(A106&lt;mthend,EDATE(A106,1),"")</f>
        <v>39995</v>
      </c>
      <c r="B107" s="197" t="n">
        <f aca="false">IF(A107&lt;mthend,B106,0)</f>
        <v>80000</v>
      </c>
      <c r="C107" s="215"/>
      <c r="D107" s="197" t="n">
        <f aca="false">IF(A108&lt;&gt;"",B107+C107,"")</f>
        <v>80000</v>
      </c>
      <c r="E107" s="199" t="n">
        <f aca="false">IF(A108="","",IF(AND(AT107=1,$H$3=1),D107*AO107,IF($H$3=2,D107,"N/A")))</f>
        <v>2480000</v>
      </c>
      <c r="F107" s="199" t="n">
        <f aca="false">IF(A108="","",E107*AS107)</f>
        <v>12094934.9591682</v>
      </c>
      <c r="G107" s="200" t="e">
        <f aca="false">IF($A108="","",VLOOKUP($A107,Table,MATCH(G$4,Curves,0)))</f>
        <v>#N/A</v>
      </c>
      <c r="H107" s="201" t="e">
        <f aca="false">IF(A108="","",G107)</f>
        <v>#N/A</v>
      </c>
      <c r="I107" s="202"/>
      <c r="J107" s="200" t="e">
        <f aca="false">IF($A108="","",VLOOKUP($A107,Table,MATCH(J$4,Curves,0)))</f>
        <v>#N/A</v>
      </c>
      <c r="K107" s="201" t="e">
        <f aca="false">IF(A108="","",J107)</f>
        <v>#N/A</v>
      </c>
      <c r="L107" s="200" t="e">
        <f aca="false">IF($A108="","",VLOOKUP($A107,Table,MATCH(L$4,Curves,0)))</f>
        <v>#N/A</v>
      </c>
      <c r="M107" s="201" t="e">
        <f aca="false">IF(A108="","",L107)</f>
        <v>#N/A</v>
      </c>
      <c r="N107" s="203"/>
      <c r="O107" s="200" t="e">
        <f aca="false">IF(A108="","",L107+J107+G107)</f>
        <v>#N/A</v>
      </c>
      <c r="P107" s="200" t="e">
        <f aca="false">IF(A108="","",M107+K107+H107)</f>
        <v>#N/A</v>
      </c>
      <c r="Q107" s="204"/>
      <c r="R107" s="200" t="e">
        <f aca="false">IF($A108="","",VLOOKUP($A107,Table,MATCH(R$4,Curves,0)))</f>
        <v>#N/A</v>
      </c>
      <c r="S107" s="201" t="e">
        <f aca="false">IF(A108="","",R107)</f>
        <v>#N/A</v>
      </c>
      <c r="T107" s="200" t="e">
        <f aca="false">IF($A108="","",VLOOKUP($A107,Table,MATCH(T$4,Curves,0)))</f>
        <v>#N/A</v>
      </c>
      <c r="U107" s="201" t="e">
        <f aca="false">IF(A108="","",T107)</f>
        <v>#N/A</v>
      </c>
      <c r="V107" s="183" t="e">
        <f aca="false">IF($A108="","",IF(AND(MONTH(A107)&gt;3,MONTH(A107)&lt;11),(T107+R107+G107)*Summary!$T$8/(1-Summary!$T$8),(T107+R107+G107)*Summary!$U$8/(1-Summary!$U$8)))</f>
        <v>#N/A</v>
      </c>
      <c r="W107" s="200" t="e">
        <f aca="false">IF($A108="","",(T107+R107+G107+V107))</f>
        <v>#N/A</v>
      </c>
      <c r="X107" s="200" t="e">
        <f aca="false">IF($A108="","",(U107+S107+H107+V107))</f>
        <v>#N/A</v>
      </c>
      <c r="Y107" s="202"/>
      <c r="Z107" s="185" t="e">
        <f aca="false">IF($A108="","",VLOOKUP($A107,Table,MATCH(Z$4,Curves,0)))</f>
        <v>#N/A</v>
      </c>
      <c r="AA107" s="185" t="e">
        <f aca="false">IF($A108="","",VLOOKUP($A107,Table,MATCH(AA$4,Curves,0)))</f>
        <v>#N/A</v>
      </c>
      <c r="AB107" s="185" t="e">
        <f aca="false">SQRT((AA107^2*(A107-$D$3)+Z107^2*(DAY(EOMONTH(A107,0))/2))/AK107)</f>
        <v>#N/A</v>
      </c>
      <c r="AC107" s="185" t="e">
        <f aca="false">IF($A108="","",VLOOKUP($A107,Table,MATCH(AC$4,Curves,0)))</f>
        <v>#N/A</v>
      </c>
      <c r="AD107" s="185" t="e">
        <f aca="false">IF($A108="","",VLOOKUP($A107,Table,MATCH(AD$4,Curves,0)))</f>
        <v>#N/A</v>
      </c>
      <c r="AE107" s="185" t="e">
        <f aca="false">SQRT((AD107^2*(A107-$D$3)+AC107^2*(DAY(EOMONTH(A107,0))/2))/AK107)</f>
        <v>#N/A</v>
      </c>
      <c r="AF107" s="224" t="e">
        <f aca="false">((Summary!$N$8*(AA107*AD107)*(A107-$D$3))+(Summary!$M$8*Z107*AC107*(AJ107-EOMONTH(EDATE(A107,-1),0))))/(AK107*AB107*AE107)</f>
        <v>#N/A</v>
      </c>
      <c r="AG107" s="207" t="n">
        <f aca="false">IF($A108="","",Summary!$Q$8)</f>
        <v>0</v>
      </c>
      <c r="AH107" s="207" t="n">
        <f aca="false">IF($A108="","",IF(Summary!$R$8="Y",(VLOOKUP($A107,Summary!$AD$6:$AF$9,3)+'Escalating commodity'!D120),'Escalating commodity'!D120))</f>
        <v>0.0200232</v>
      </c>
      <c r="AI107" s="207" t="n">
        <f aca="false">IF($A108="","",AH107)</f>
        <v>0.0200232</v>
      </c>
      <c r="AJ107" s="208" t="n">
        <f aca="false">A107+DAY(EOMONTH(A107,0))/2-1</f>
        <v>40009.5</v>
      </c>
      <c r="AK107" s="209" t="n">
        <f aca="false">IF($A108="","",$A107-$E$1)</f>
        <v>-5931</v>
      </c>
      <c r="AL107" s="182" t="e">
        <f aca="false">IF($A108="","",SPRDOPT(P107,X107,AI107,0,AB107,AE107,AF107,AK107,$AJ$2,0))</f>
        <v>#NAME?</v>
      </c>
      <c r="AM107" s="211" t="e">
        <f aca="false">IF($A108="","",MAX(0,O107-W107-AI107))</f>
        <v>#N/A</v>
      </c>
      <c r="AN107" s="211" t="e">
        <f aca="false">IF($A108="","",AL107-AM107)</f>
        <v>#N/A</v>
      </c>
      <c r="AO107" s="137" t="n">
        <f aca="false">IF(A108="","",A108-A107)</f>
        <v>31</v>
      </c>
      <c r="AP107" s="212" t="n">
        <f aca="false">IF(A108="","",CHOOSE(F$3,A108+24,A107))</f>
        <v>39995</v>
      </c>
      <c r="AQ107" s="209" t="n">
        <f aca="false">IF(A108="","",AP107-$E$1)</f>
        <v>-5931</v>
      </c>
      <c r="AR107" s="185" t="n">
        <f aca="false">'ANR OK vs ML7'!AR107</f>
        <v>0.1</v>
      </c>
      <c r="AS107" s="213" t="n">
        <f aca="false">IF(A108="","",1/(1+CHOOSE(F$3,(AR108+($I$3/10000))/2,(AR107+($I$3/10000))/2))^(2*AQ107/365.25))</f>
        <v>4.87698990289039</v>
      </c>
      <c r="AT107" s="137" t="n">
        <f aca="false">IF(A108="","",IF(AND(mthbeg&lt;=A107,mthend&gt;=A107),1,0))</f>
        <v>1</v>
      </c>
      <c r="AU107" s="137" t="n">
        <f aca="false">IF(A108="","",AO107*AT107)</f>
        <v>31</v>
      </c>
      <c r="AW107" s="195" t="e">
        <f aca="false">IF($A108="","",AL107*$E107)</f>
        <v>#NAME?</v>
      </c>
      <c r="AX107" s="195" t="e">
        <f aca="false">IF($A108="","",AM107*$E107)</f>
        <v>#N/A</v>
      </c>
      <c r="AY107" s="195" t="e">
        <f aca="false">IF($A108="","",AN107*$E107)</f>
        <v>#N/A</v>
      </c>
      <c r="BA107" s="195" t="n">
        <f aca="false">IF($A108="","",F107*Summary!$Q$8)</f>
        <v>0</v>
      </c>
      <c r="BC107" s="179" t="e">
        <f aca="false">IF(A108="","",AM107*F107)</f>
        <v>#N/A</v>
      </c>
    </row>
    <row r="108" customFormat="false" ht="12.75" hidden="false" customHeight="false" outlineLevel="0" collapsed="false">
      <c r="A108" s="196" t="n">
        <f aca="false">IF(A107&lt;mthend,EDATE(A107,1),"")</f>
        <v>40026</v>
      </c>
      <c r="B108" s="197" t="n">
        <f aca="false">IF(A108&lt;mthend,B107,0)</f>
        <v>80000</v>
      </c>
      <c r="C108" s="215"/>
      <c r="D108" s="197" t="n">
        <f aca="false">IF(A109&lt;&gt;"",B108+C108,"")</f>
        <v>80000</v>
      </c>
      <c r="E108" s="199" t="n">
        <f aca="false">IF(A109="","",IF(AND(AT108=1,$H$3=1),D108*AO108,IF($H$3=2,D108,"N/A")))</f>
        <v>2480000</v>
      </c>
      <c r="F108" s="199" t="n">
        <f aca="false">IF(A109="","",E108*AS108)</f>
        <v>11995178.7090441</v>
      </c>
      <c r="G108" s="200" t="e">
        <f aca="false">IF($A109="","",VLOOKUP($A108,Table,MATCH(G$4,Curves,0)))</f>
        <v>#N/A</v>
      </c>
      <c r="H108" s="201" t="e">
        <f aca="false">IF(A109="","",G108)</f>
        <v>#N/A</v>
      </c>
      <c r="I108" s="202"/>
      <c r="J108" s="200" t="e">
        <f aca="false">IF($A109="","",VLOOKUP($A108,Table,MATCH(J$4,Curves,0)))</f>
        <v>#N/A</v>
      </c>
      <c r="K108" s="201" t="e">
        <f aca="false">IF(A109="","",J108)</f>
        <v>#N/A</v>
      </c>
      <c r="L108" s="200" t="e">
        <f aca="false">IF($A109="","",VLOOKUP($A108,Table,MATCH(L$4,Curves,0)))</f>
        <v>#N/A</v>
      </c>
      <c r="M108" s="201" t="e">
        <f aca="false">IF(A109="","",L108)</f>
        <v>#N/A</v>
      </c>
      <c r="N108" s="203"/>
      <c r="O108" s="200" t="e">
        <f aca="false">IF(A109="","",L108+J108+G108)</f>
        <v>#N/A</v>
      </c>
      <c r="P108" s="200" t="e">
        <f aca="false">IF(A109="","",M108+K108+H108)</f>
        <v>#N/A</v>
      </c>
      <c r="Q108" s="204"/>
      <c r="R108" s="200" t="e">
        <f aca="false">IF($A109="","",VLOOKUP($A108,Table,MATCH(R$4,Curves,0)))</f>
        <v>#N/A</v>
      </c>
      <c r="S108" s="201" t="e">
        <f aca="false">IF(A109="","",R108)</f>
        <v>#N/A</v>
      </c>
      <c r="T108" s="200" t="e">
        <f aca="false">IF($A109="","",VLOOKUP($A108,Table,MATCH(T$4,Curves,0)))</f>
        <v>#N/A</v>
      </c>
      <c r="U108" s="201" t="e">
        <f aca="false">IF(A109="","",T108)</f>
        <v>#N/A</v>
      </c>
      <c r="V108" s="183" t="e">
        <f aca="false">IF($A109="","",IF(AND(MONTH(A108)&gt;3,MONTH(A108)&lt;11),(T108+R108+G108)*Summary!$T$8/(1-Summary!$T$8),(T108+R108+G108)*Summary!$U$8/(1-Summary!$U$8)))</f>
        <v>#N/A</v>
      </c>
      <c r="W108" s="200" t="e">
        <f aca="false">IF($A109="","",(T108+R108+G108+V108))</f>
        <v>#N/A</v>
      </c>
      <c r="X108" s="200" t="e">
        <f aca="false">IF($A109="","",(U108+S108+H108+V108))</f>
        <v>#N/A</v>
      </c>
      <c r="Y108" s="202"/>
      <c r="Z108" s="185" t="e">
        <f aca="false">IF($A109="","",VLOOKUP($A108,Table,MATCH(Z$4,Curves,0)))</f>
        <v>#N/A</v>
      </c>
      <c r="AA108" s="185" t="e">
        <f aca="false">IF($A109="","",VLOOKUP($A108,Table,MATCH(AA$4,Curves,0)))</f>
        <v>#N/A</v>
      </c>
      <c r="AB108" s="185" t="e">
        <f aca="false">SQRT((AA108^2*(A108-$D$3)+Z108^2*(DAY(EOMONTH(A108,0))/2))/AK108)</f>
        <v>#N/A</v>
      </c>
      <c r="AC108" s="185" t="e">
        <f aca="false">IF($A109="","",VLOOKUP($A108,Table,MATCH(AC$4,Curves,0)))</f>
        <v>#N/A</v>
      </c>
      <c r="AD108" s="185" t="e">
        <f aca="false">IF($A109="","",VLOOKUP($A108,Table,MATCH(AD$4,Curves,0)))</f>
        <v>#N/A</v>
      </c>
      <c r="AE108" s="185" t="e">
        <f aca="false">SQRT((AD108^2*(A108-$D$3)+AC108^2*(DAY(EOMONTH(A108,0))/2))/AK108)</f>
        <v>#N/A</v>
      </c>
      <c r="AF108" s="224" t="e">
        <f aca="false">((Summary!$N$8*(AA108*AD108)*(A108-$D$3))+(Summary!$M$8*Z108*AC108*(AJ108-EOMONTH(EDATE(A108,-1),0))))/(AK108*AB108*AE108)</f>
        <v>#N/A</v>
      </c>
      <c r="AG108" s="207" t="n">
        <f aca="false">IF($A109="","",Summary!$Q$8)</f>
        <v>0</v>
      </c>
      <c r="AH108" s="207" t="n">
        <f aca="false">IF($A109="","",IF(Summary!$R$8="Y",(VLOOKUP($A108,Summary!$AD$6:$AF$9,3)+'Escalating commodity'!D121),'Escalating commodity'!D121))</f>
        <v>0.0200232</v>
      </c>
      <c r="AI108" s="207" t="n">
        <f aca="false">IF($A109="","",AH108)</f>
        <v>0.0200232</v>
      </c>
      <c r="AJ108" s="208" t="n">
        <f aca="false">A108+DAY(EOMONTH(A108,0))/2-1</f>
        <v>40040.5</v>
      </c>
      <c r="AK108" s="209" t="n">
        <f aca="false">IF($A109="","",$A108-$E$1)</f>
        <v>-5900</v>
      </c>
      <c r="AL108" s="182" t="e">
        <f aca="false">IF($A109="","",SPRDOPT(P108,X108,AI108,0,AB108,AE108,AF108,AK108,$AJ$2,0))</f>
        <v>#NAME?</v>
      </c>
      <c r="AM108" s="211" t="e">
        <f aca="false">IF($A109="","",MAX(0,O108-W108-AI108))</f>
        <v>#N/A</v>
      </c>
      <c r="AN108" s="211" t="e">
        <f aca="false">IF($A109="","",AL108-AM108)</f>
        <v>#N/A</v>
      </c>
      <c r="AO108" s="137" t="n">
        <f aca="false">IF(A109="","",A109-A108)</f>
        <v>31</v>
      </c>
      <c r="AP108" s="212" t="n">
        <f aca="false">IF(A109="","",CHOOSE(F$3,A109+24,A108))</f>
        <v>40026</v>
      </c>
      <c r="AQ108" s="209" t="n">
        <f aca="false">IF(A109="","",AP108-$E$1)</f>
        <v>-5900</v>
      </c>
      <c r="AR108" s="185" t="n">
        <f aca="false">'ANR OK vs ML7'!AR108</f>
        <v>0.1</v>
      </c>
      <c r="AS108" s="213" t="n">
        <f aca="false">IF(A109="","",1/(1+CHOOSE(F$3,(AR109+($I$3/10000))/2,(AR108+($I$3/10000))/2))^(2*AQ108/365.25))</f>
        <v>4.83676560848554</v>
      </c>
      <c r="AT108" s="137" t="n">
        <f aca="false">IF(A109="","",IF(AND(mthbeg&lt;=A108,mthend&gt;=A108),1,0))</f>
        <v>1</v>
      </c>
      <c r="AU108" s="137" t="n">
        <f aca="false">IF(A109="","",AO108*AT108)</f>
        <v>31</v>
      </c>
      <c r="AW108" s="195" t="e">
        <f aca="false">IF($A109="","",AL108*$E108)</f>
        <v>#NAME?</v>
      </c>
      <c r="AX108" s="195" t="e">
        <f aca="false">IF($A109="","",AM108*$E108)</f>
        <v>#N/A</v>
      </c>
      <c r="AY108" s="195" t="e">
        <f aca="false">IF($A109="","",AN108*$E108)</f>
        <v>#N/A</v>
      </c>
      <c r="BA108" s="195" t="n">
        <f aca="false">IF($A109="","",F108*Summary!$Q$8)</f>
        <v>0</v>
      </c>
      <c r="BC108" s="179" t="e">
        <f aca="false">IF(A109="","",AM108*F108)</f>
        <v>#N/A</v>
      </c>
    </row>
    <row r="109" customFormat="false" ht="12.75" hidden="false" customHeight="false" outlineLevel="0" collapsed="false">
      <c r="A109" s="196" t="n">
        <f aca="false">IF(A108&lt;mthend,EDATE(A108,1),"")</f>
        <v>40057</v>
      </c>
      <c r="B109" s="197" t="n">
        <f aca="false">IF(A109&lt;mthend,B108,0)</f>
        <v>80000</v>
      </c>
      <c r="C109" s="215"/>
      <c r="D109" s="197" t="n">
        <f aca="false">IF(A110&lt;&gt;"",B109+C109,"")</f>
        <v>80000</v>
      </c>
      <c r="E109" s="199" t="n">
        <f aca="false">IF(A110="","",IF(AND(AT109=1,$H$3=1),D109*AO109,IF($H$3=2,D109,"N/A")))</f>
        <v>2400000</v>
      </c>
      <c r="F109" s="199" t="n">
        <f aca="false">IF(A110="","",E109*AS109)</f>
        <v>11512495.3796096</v>
      </c>
      <c r="G109" s="200" t="e">
        <f aca="false">IF($A110="","",VLOOKUP($A109,Table,MATCH(G$4,Curves,0)))</f>
        <v>#N/A</v>
      </c>
      <c r="H109" s="201" t="e">
        <f aca="false">IF(A110="","",G109)</f>
        <v>#N/A</v>
      </c>
      <c r="I109" s="202"/>
      <c r="J109" s="200" t="e">
        <f aca="false">IF($A110="","",VLOOKUP($A109,Table,MATCH(J$4,Curves,0)))</f>
        <v>#N/A</v>
      </c>
      <c r="K109" s="201" t="e">
        <f aca="false">IF(A110="","",J109)</f>
        <v>#N/A</v>
      </c>
      <c r="L109" s="200" t="e">
        <f aca="false">IF($A110="","",VLOOKUP($A109,Table,MATCH(L$4,Curves,0)))</f>
        <v>#N/A</v>
      </c>
      <c r="M109" s="201" t="e">
        <f aca="false">IF(A110="","",L109)</f>
        <v>#N/A</v>
      </c>
      <c r="N109" s="203"/>
      <c r="O109" s="200" t="e">
        <f aca="false">IF(A110="","",L109+J109+G109)</f>
        <v>#N/A</v>
      </c>
      <c r="P109" s="200" t="e">
        <f aca="false">IF(A110="","",M109+K109+H109)</f>
        <v>#N/A</v>
      </c>
      <c r="Q109" s="204"/>
      <c r="R109" s="200" t="e">
        <f aca="false">IF($A110="","",VLOOKUP($A109,Table,MATCH(R$4,Curves,0)))</f>
        <v>#N/A</v>
      </c>
      <c r="S109" s="201" t="e">
        <f aca="false">IF(A110="","",R109)</f>
        <v>#N/A</v>
      </c>
      <c r="T109" s="200" t="e">
        <f aca="false">IF($A110="","",VLOOKUP($A109,Table,MATCH(T$4,Curves,0)))</f>
        <v>#N/A</v>
      </c>
      <c r="U109" s="201" t="e">
        <f aca="false">IF(A110="","",T109)</f>
        <v>#N/A</v>
      </c>
      <c r="V109" s="183" t="e">
        <f aca="false">IF($A110="","",IF(AND(MONTH(A109)&gt;3,MONTH(A109)&lt;11),(T109+R109+G109)*Summary!$T$8/(1-Summary!$T$8),(T109+R109+G109)*Summary!$U$8/(1-Summary!$U$8)))</f>
        <v>#N/A</v>
      </c>
      <c r="W109" s="200" t="e">
        <f aca="false">IF($A110="","",(T109+R109+G109+V109))</f>
        <v>#N/A</v>
      </c>
      <c r="X109" s="200" t="e">
        <f aca="false">IF($A110="","",(U109+S109+H109+V109))</f>
        <v>#N/A</v>
      </c>
      <c r="Y109" s="202"/>
      <c r="Z109" s="185" t="e">
        <f aca="false">IF($A110="","",VLOOKUP($A109,Table,MATCH(Z$4,Curves,0)))</f>
        <v>#N/A</v>
      </c>
      <c r="AA109" s="185" t="e">
        <f aca="false">IF($A110="","",VLOOKUP($A109,Table,MATCH(AA$4,Curves,0)))</f>
        <v>#N/A</v>
      </c>
      <c r="AB109" s="185" t="e">
        <f aca="false">SQRT((AA109^2*(A109-$D$3)+Z109^2*(DAY(EOMONTH(A109,0))/2))/AK109)</f>
        <v>#N/A</v>
      </c>
      <c r="AC109" s="185" t="e">
        <f aca="false">IF($A110="","",VLOOKUP($A109,Table,MATCH(AC$4,Curves,0)))</f>
        <v>#N/A</v>
      </c>
      <c r="AD109" s="185" t="e">
        <f aca="false">IF($A110="","",VLOOKUP($A109,Table,MATCH(AD$4,Curves,0)))</f>
        <v>#N/A</v>
      </c>
      <c r="AE109" s="185" t="e">
        <f aca="false">SQRT((AD109^2*(A109-$D$3)+AC109^2*(DAY(EOMONTH(A109,0))/2))/AK109)</f>
        <v>#N/A</v>
      </c>
      <c r="AF109" s="224" t="e">
        <f aca="false">((Summary!$N$8*(AA109*AD109)*(A109-$D$3))+(Summary!$M$8*Z109*AC109*(AJ109-EOMONTH(EDATE(A109,-1),0))))/(AK109*AB109*AE109)</f>
        <v>#N/A</v>
      </c>
      <c r="AG109" s="207" t="n">
        <f aca="false">IF($A110="","",Summary!$Q$8)</f>
        <v>0</v>
      </c>
      <c r="AH109" s="207" t="n">
        <f aca="false">IF($A110="","",IF(Summary!$R$8="Y",(VLOOKUP($A109,Summary!$AD$6:$AF$9,3)+'Escalating commodity'!D122),'Escalating commodity'!D122))</f>
        <v>0.0200232</v>
      </c>
      <c r="AI109" s="207" t="n">
        <f aca="false">IF($A110="","",AH109)</f>
        <v>0.0200232</v>
      </c>
      <c r="AJ109" s="208" t="n">
        <f aca="false">A109+DAY(EOMONTH(A109,0))/2-1</f>
        <v>40071</v>
      </c>
      <c r="AK109" s="209" t="n">
        <f aca="false">IF($A110="","",$A109-$E$1)</f>
        <v>-5869</v>
      </c>
      <c r="AL109" s="182" t="e">
        <f aca="false">IF($A110="","",SPRDOPT(P109,X109,AI109,0,AB109,AE109,AF109,AK109,$AJ$2,0))</f>
        <v>#NAME?</v>
      </c>
      <c r="AM109" s="211" t="e">
        <f aca="false">IF($A110="","",MAX(0,O109-W109-AI109))</f>
        <v>#N/A</v>
      </c>
      <c r="AN109" s="211" t="e">
        <f aca="false">IF($A110="","",AL109-AM109)</f>
        <v>#N/A</v>
      </c>
      <c r="AO109" s="137" t="n">
        <f aca="false">IF(A110="","",A110-A109)</f>
        <v>30</v>
      </c>
      <c r="AP109" s="212" t="n">
        <f aca="false">IF(A110="","",CHOOSE(F$3,A110+24,A109))</f>
        <v>40057</v>
      </c>
      <c r="AQ109" s="209" t="n">
        <f aca="false">IF(A110="","",AP109-$E$1)</f>
        <v>-5869</v>
      </c>
      <c r="AR109" s="185" t="n">
        <f aca="false">'ANR OK vs ML7'!AR109</f>
        <v>0.1</v>
      </c>
      <c r="AS109" s="213" t="n">
        <f aca="false">IF(A110="","",1/(1+CHOOSE(F$3,(AR110+($I$3/10000))/2,(AR109+($I$3/10000))/2))^(2*AQ109/365.25))</f>
        <v>4.79687307483734</v>
      </c>
      <c r="AT109" s="137" t="n">
        <f aca="false">IF(A110="","",IF(AND(mthbeg&lt;=A109,mthend&gt;=A109),1,0))</f>
        <v>1</v>
      </c>
      <c r="AU109" s="137" t="n">
        <f aca="false">IF(A110="","",AO109*AT109)</f>
        <v>30</v>
      </c>
      <c r="AW109" s="195" t="e">
        <f aca="false">IF($A110="","",AL109*$E109)</f>
        <v>#NAME?</v>
      </c>
      <c r="AX109" s="195" t="e">
        <f aca="false">IF($A110="","",AM109*$E109)</f>
        <v>#N/A</v>
      </c>
      <c r="AY109" s="195" t="e">
        <f aca="false">IF($A110="","",AN109*$E109)</f>
        <v>#N/A</v>
      </c>
      <c r="BA109" s="195" t="n">
        <f aca="false">IF($A110="","",F109*Summary!$Q$8)</f>
        <v>0</v>
      </c>
      <c r="BC109" s="179" t="e">
        <f aca="false">IF(A110="","",AM109*F109)</f>
        <v>#N/A</v>
      </c>
    </row>
    <row r="110" customFormat="false" ht="12.75" hidden="false" customHeight="false" outlineLevel="0" collapsed="false">
      <c r="A110" s="196" t="n">
        <f aca="false">IF(A109&lt;mthend,EDATE(A109,1),"")</f>
        <v>40087</v>
      </c>
      <c r="B110" s="197" t="n">
        <f aca="false">IF(A110&lt;mthend,B109,0)</f>
        <v>80000</v>
      </c>
      <c r="C110" s="215"/>
      <c r="D110" s="197" t="n">
        <f aca="false">IF(A111&lt;&gt;"",B110+C110,"")</f>
        <v>80000</v>
      </c>
      <c r="E110" s="199" t="n">
        <f aca="false">IF(A111="","",IF(AND(AT110=1,$H$3=1),D110*AO110,IF($H$3=2,D110,"N/A")))</f>
        <v>2480000</v>
      </c>
      <c r="F110" s="199" t="n">
        <f aca="false">IF(A111="","",E110*AS110)</f>
        <v>11801280.1361869</v>
      </c>
      <c r="G110" s="200" t="e">
        <f aca="false">IF($A111="","",VLOOKUP($A110,Table,MATCH(G$4,Curves,0)))</f>
        <v>#N/A</v>
      </c>
      <c r="H110" s="201" t="e">
        <f aca="false">IF(A111="","",G110)</f>
        <v>#N/A</v>
      </c>
      <c r="I110" s="202"/>
      <c r="J110" s="200" t="e">
        <f aca="false">IF($A111="","",VLOOKUP($A110,Table,MATCH(J$4,Curves,0)))</f>
        <v>#N/A</v>
      </c>
      <c r="K110" s="201" t="e">
        <f aca="false">IF(A111="","",J110)</f>
        <v>#N/A</v>
      </c>
      <c r="L110" s="200" t="e">
        <f aca="false">IF($A111="","",VLOOKUP($A110,Table,MATCH(L$4,Curves,0)))</f>
        <v>#N/A</v>
      </c>
      <c r="M110" s="201" t="e">
        <f aca="false">IF(A111="","",L110)</f>
        <v>#N/A</v>
      </c>
      <c r="N110" s="203"/>
      <c r="O110" s="200" t="e">
        <f aca="false">IF(A111="","",L110+J110+G110)</f>
        <v>#N/A</v>
      </c>
      <c r="P110" s="200" t="e">
        <f aca="false">IF(A111="","",M110+K110+H110)</f>
        <v>#N/A</v>
      </c>
      <c r="Q110" s="204"/>
      <c r="R110" s="200" t="e">
        <f aca="false">IF($A111="","",VLOOKUP($A110,Table,MATCH(R$4,Curves,0)))</f>
        <v>#N/A</v>
      </c>
      <c r="S110" s="201" t="e">
        <f aca="false">IF(A111="","",R110)</f>
        <v>#N/A</v>
      </c>
      <c r="T110" s="200" t="e">
        <f aca="false">IF($A111="","",VLOOKUP($A110,Table,MATCH(T$4,Curves,0)))</f>
        <v>#N/A</v>
      </c>
      <c r="U110" s="201" t="e">
        <f aca="false">IF(A111="","",T110)</f>
        <v>#N/A</v>
      </c>
      <c r="V110" s="183" t="e">
        <f aca="false">IF($A111="","",IF(AND(MONTH(A110)&gt;3,MONTH(A110)&lt;11),(T110+R110+G110)*Summary!$T$8/(1-Summary!$T$8),(T110+R110+G110)*Summary!$U$8/(1-Summary!$U$8)))</f>
        <v>#N/A</v>
      </c>
      <c r="W110" s="200" t="e">
        <f aca="false">IF($A111="","",(T110+R110+G110+V110))</f>
        <v>#N/A</v>
      </c>
      <c r="X110" s="200" t="e">
        <f aca="false">IF($A111="","",(U110+S110+H110+V110))</f>
        <v>#N/A</v>
      </c>
      <c r="Y110" s="202"/>
      <c r="Z110" s="185" t="e">
        <f aca="false">IF($A111="","",VLOOKUP($A110,Table,MATCH(Z$4,Curves,0)))</f>
        <v>#N/A</v>
      </c>
      <c r="AA110" s="185" t="e">
        <f aca="false">IF($A111="","",VLOOKUP($A110,Table,MATCH(AA$4,Curves,0)))</f>
        <v>#N/A</v>
      </c>
      <c r="AB110" s="185" t="e">
        <f aca="false">SQRT((AA110^2*(A110-$D$3)+Z110^2*(DAY(EOMONTH(A110,0))/2))/AK110)</f>
        <v>#N/A</v>
      </c>
      <c r="AC110" s="185" t="e">
        <f aca="false">IF($A111="","",VLOOKUP($A110,Table,MATCH(AC$4,Curves,0)))</f>
        <v>#N/A</v>
      </c>
      <c r="AD110" s="185" t="e">
        <f aca="false">IF($A111="","",VLOOKUP($A110,Table,MATCH(AD$4,Curves,0)))</f>
        <v>#N/A</v>
      </c>
      <c r="AE110" s="185" t="e">
        <f aca="false">SQRT((AD110^2*(A110-$D$3)+AC110^2*(DAY(EOMONTH(A110,0))/2))/AK110)</f>
        <v>#N/A</v>
      </c>
      <c r="AF110" s="224" t="e">
        <f aca="false">((Summary!$N$8*(AA110*AD110)*(A110-$D$3))+(Summary!$M$8*Z110*AC110*(AJ110-EOMONTH(EDATE(A110,-1),0))))/(AK110*AB110*AE110)</f>
        <v>#N/A</v>
      </c>
      <c r="AG110" s="207" t="n">
        <f aca="false">IF($A111="","",Summary!$Q$8)</f>
        <v>0</v>
      </c>
      <c r="AH110" s="207" t="n">
        <f aca="false">IF($A111="","",IF(Summary!$R$8="Y",(VLOOKUP($A110,Summary!$AD$6:$AF$9,3)+'Escalating commodity'!D123),'Escalating commodity'!D123))</f>
        <v>0.0200232</v>
      </c>
      <c r="AI110" s="207" t="n">
        <f aca="false">IF($A111="","",AH110)</f>
        <v>0.0200232</v>
      </c>
      <c r="AJ110" s="208" t="n">
        <f aca="false">A110+DAY(EOMONTH(A110,0))/2-1</f>
        <v>40101.5</v>
      </c>
      <c r="AK110" s="209" t="n">
        <f aca="false">IF($A111="","",$A110-$E$1)</f>
        <v>-5839</v>
      </c>
      <c r="AL110" s="182" t="e">
        <f aca="false">IF($A111="","",SPRDOPT(P110,X110,AI110,0,AB110,AE110,AF110,AK110,$AJ$2,0))</f>
        <v>#NAME?</v>
      </c>
      <c r="AM110" s="211" t="e">
        <f aca="false">IF($A111="","",MAX(0,O110-W110-AI110))</f>
        <v>#N/A</v>
      </c>
      <c r="AN110" s="211" t="e">
        <f aca="false">IF($A111="","",AL110-AM110)</f>
        <v>#N/A</v>
      </c>
      <c r="AO110" s="137" t="n">
        <f aca="false">IF(A111="","",A111-A110)</f>
        <v>31</v>
      </c>
      <c r="AP110" s="212" t="n">
        <f aca="false">IF(A111="","",CHOOSE(F$3,A111+24,A110))</f>
        <v>40087</v>
      </c>
      <c r="AQ110" s="209" t="n">
        <f aca="false">IF(A111="","",AP110-$E$1)</f>
        <v>-5839</v>
      </c>
      <c r="AR110" s="185" t="n">
        <f aca="false">'ANR OK vs ML7'!AR110</f>
        <v>0.1</v>
      </c>
      <c r="AS110" s="213" t="n">
        <f aca="false">IF(A111="","",1/(1+CHOOSE(F$3,(AR111+($I$3/10000))/2,(AR110+($I$3/10000))/2))^(2*AQ110/365.25))</f>
        <v>4.75858070007537</v>
      </c>
      <c r="AT110" s="137" t="n">
        <f aca="false">IF(A111="","",IF(AND(mthbeg&lt;=A110,mthend&gt;=A110),1,0))</f>
        <v>1</v>
      </c>
      <c r="AU110" s="137" t="n">
        <f aca="false">IF(A111="","",AO110*AT110)</f>
        <v>31</v>
      </c>
      <c r="AW110" s="195" t="e">
        <f aca="false">IF($A111="","",AL110*$E110)</f>
        <v>#NAME?</v>
      </c>
      <c r="AX110" s="195" t="e">
        <f aca="false">IF($A111="","",AM110*$E110)</f>
        <v>#N/A</v>
      </c>
      <c r="AY110" s="195" t="e">
        <f aca="false">IF($A111="","",AN110*$E110)</f>
        <v>#N/A</v>
      </c>
      <c r="BA110" s="195" t="n">
        <f aca="false">IF($A111="","",F110*Summary!$Q$8)</f>
        <v>0</v>
      </c>
      <c r="BC110" s="179" t="e">
        <f aca="false">IF(A111="","",AM110*F110)</f>
        <v>#N/A</v>
      </c>
    </row>
    <row r="111" customFormat="false" ht="12.75" hidden="false" customHeight="false" outlineLevel="0" collapsed="false">
      <c r="A111" s="196" t="n">
        <f aca="false">IF(A110&lt;mthend,EDATE(A110,1),"")</f>
        <v>40118</v>
      </c>
      <c r="B111" s="197" t="n">
        <f aca="false">IF(A111&lt;mthend,B110,0)</f>
        <v>80000</v>
      </c>
      <c r="C111" s="215"/>
      <c r="D111" s="197" t="n">
        <f aca="false">IF(A112&lt;&gt;"",B111+C111,"")</f>
        <v>80000</v>
      </c>
      <c r="E111" s="199" t="n">
        <f aca="false">IF(A112="","",IF(AND(AT111=1,$H$3=1),D111*AO111,IF($H$3=2,D111,"N/A")))</f>
        <v>2400000</v>
      </c>
      <c r="F111" s="199" t="n">
        <f aca="false">IF(A112="","",E111*AS111)</f>
        <v>11326399.2422967</v>
      </c>
      <c r="G111" s="200" t="e">
        <f aca="false">IF($A112="","",VLOOKUP($A111,Table,MATCH(G$4,Curves,0)))</f>
        <v>#N/A</v>
      </c>
      <c r="H111" s="201" t="e">
        <f aca="false">IF(A112="","",G111)</f>
        <v>#N/A</v>
      </c>
      <c r="I111" s="202"/>
      <c r="J111" s="200" t="e">
        <f aca="false">IF($A112="","",VLOOKUP($A111,Table,MATCH(J$4,Curves,0)))</f>
        <v>#N/A</v>
      </c>
      <c r="K111" s="201" t="e">
        <f aca="false">IF(A112="","",J111)</f>
        <v>#N/A</v>
      </c>
      <c r="L111" s="200" t="e">
        <f aca="false">IF($A112="","",VLOOKUP($A111,Table,MATCH(L$4,Curves,0)))</f>
        <v>#N/A</v>
      </c>
      <c r="M111" s="201" t="e">
        <f aca="false">IF(A112="","",L111)</f>
        <v>#N/A</v>
      </c>
      <c r="N111" s="203"/>
      <c r="O111" s="200" t="e">
        <f aca="false">IF(A112="","",L111+J111+G111)</f>
        <v>#N/A</v>
      </c>
      <c r="P111" s="200" t="e">
        <f aca="false">IF(A112="","",M111+K111+H111)</f>
        <v>#N/A</v>
      </c>
      <c r="Q111" s="204"/>
      <c r="R111" s="200" t="e">
        <f aca="false">IF($A112="","",VLOOKUP($A111,Table,MATCH(R$4,Curves,0)))</f>
        <v>#N/A</v>
      </c>
      <c r="S111" s="201" t="e">
        <f aca="false">IF(A112="","",R111)</f>
        <v>#N/A</v>
      </c>
      <c r="T111" s="200" t="e">
        <f aca="false">IF($A112="","",VLOOKUP($A111,Table,MATCH(T$4,Curves,0)))</f>
        <v>#N/A</v>
      </c>
      <c r="U111" s="201" t="e">
        <f aca="false">IF(A112="","",T111)</f>
        <v>#N/A</v>
      </c>
      <c r="V111" s="183" t="e">
        <f aca="false">IF($A112="","",IF(AND(MONTH(A111)&gt;3,MONTH(A111)&lt;11),(T111+R111+G111)*Summary!$T$8/(1-Summary!$T$8),(T111+R111+G111)*Summary!$U$8/(1-Summary!$U$8)))</f>
        <v>#N/A</v>
      </c>
      <c r="W111" s="200" t="e">
        <f aca="false">IF($A112="","",(T111+R111+G111+V111))</f>
        <v>#N/A</v>
      </c>
      <c r="X111" s="200" t="e">
        <f aca="false">IF($A112="","",(U111+S111+H111+V111))</f>
        <v>#N/A</v>
      </c>
      <c r="Y111" s="202"/>
      <c r="Z111" s="185" t="e">
        <f aca="false">IF($A112="","",VLOOKUP($A111,Table,MATCH(Z$4,Curves,0)))</f>
        <v>#N/A</v>
      </c>
      <c r="AA111" s="185" t="e">
        <f aca="false">IF($A112="","",VLOOKUP($A111,Table,MATCH(AA$4,Curves,0)))</f>
        <v>#N/A</v>
      </c>
      <c r="AB111" s="185" t="e">
        <f aca="false">SQRT((AA111^2*(A111-$D$3)+Z111^2*(DAY(EOMONTH(A111,0))/2))/AK111)</f>
        <v>#N/A</v>
      </c>
      <c r="AC111" s="185" t="e">
        <f aca="false">IF($A112="","",VLOOKUP($A111,Table,MATCH(AC$4,Curves,0)))</f>
        <v>#N/A</v>
      </c>
      <c r="AD111" s="185" t="e">
        <f aca="false">IF($A112="","",VLOOKUP($A111,Table,MATCH(AD$4,Curves,0)))</f>
        <v>#N/A</v>
      </c>
      <c r="AE111" s="185" t="e">
        <f aca="false">SQRT((AD111^2*(A111-$D$3)+AC111^2*(DAY(EOMONTH(A111,0))/2))/AK111)</f>
        <v>#N/A</v>
      </c>
      <c r="AF111" s="224" t="e">
        <f aca="false">((Summary!$N$8*(AA111*AD111)*(A111-$D$3))+(Summary!$M$8*Z111*AC111*(AJ111-EOMONTH(EDATE(A111,-1),0))))/(AK111*AB111*AE111)</f>
        <v>#N/A</v>
      </c>
      <c r="AG111" s="207" t="n">
        <f aca="false">IF($A112="","",Summary!$Q$8)</f>
        <v>0</v>
      </c>
      <c r="AH111" s="207" t="n">
        <f aca="false">IF($A112="","",IF(Summary!$R$8="Y",(VLOOKUP($A111,Summary!$AD$6:$AF$9,3)+'Escalating commodity'!D124),'Escalating commodity'!D124))</f>
        <v>0.0200232</v>
      </c>
      <c r="AI111" s="207" t="n">
        <f aca="false">IF($A112="","",AH111)</f>
        <v>0.0200232</v>
      </c>
      <c r="AJ111" s="208" t="n">
        <f aca="false">A111+DAY(EOMONTH(A111,0))/2-1</f>
        <v>40132</v>
      </c>
      <c r="AK111" s="209" t="n">
        <f aca="false">IF($A112="","",$A111-$E$1)</f>
        <v>-5808</v>
      </c>
      <c r="AL111" s="182" t="e">
        <f aca="false">IF($A112="","",SPRDOPT(P111,X111,AI111,0,AB111,AE111,AF111,AK111,$AJ$2,0))</f>
        <v>#NAME?</v>
      </c>
      <c r="AM111" s="211" t="e">
        <f aca="false">IF($A112="","",MAX(0,O111-W111-AI111))</f>
        <v>#N/A</v>
      </c>
      <c r="AN111" s="211" t="e">
        <f aca="false">IF($A112="","",AL111-AM111)</f>
        <v>#N/A</v>
      </c>
      <c r="AO111" s="137" t="n">
        <f aca="false">IF(A112="","",A112-A111)</f>
        <v>30</v>
      </c>
      <c r="AP111" s="212" t="n">
        <f aca="false">IF(A112="","",CHOOSE(F$3,A112+24,A111))</f>
        <v>40118</v>
      </c>
      <c r="AQ111" s="209" t="n">
        <f aca="false">IF(A112="","",AP111-$E$1)</f>
        <v>-5808</v>
      </c>
      <c r="AR111" s="185" t="n">
        <f aca="false">'ANR OK vs ML7'!AR111</f>
        <v>0.1</v>
      </c>
      <c r="AS111" s="213" t="n">
        <f aca="false">IF(A112="","",1/(1+CHOOSE(F$3,(AR112+($I$3/10000))/2,(AR111+($I$3/10000))/2))^(2*AQ111/365.25))</f>
        <v>4.71933301762361</v>
      </c>
      <c r="AT111" s="137" t="n">
        <f aca="false">IF(A112="","",IF(AND(mthbeg&lt;=A111,mthend&gt;=A111),1,0))</f>
        <v>1</v>
      </c>
      <c r="AU111" s="137" t="n">
        <f aca="false">IF(A112="","",AO111*AT111)</f>
        <v>30</v>
      </c>
      <c r="AW111" s="195" t="e">
        <f aca="false">IF($A112="","",AL111*$E111)</f>
        <v>#NAME?</v>
      </c>
      <c r="AX111" s="195" t="e">
        <f aca="false">IF($A112="","",AM111*$E111)</f>
        <v>#N/A</v>
      </c>
      <c r="AY111" s="195" t="e">
        <f aca="false">IF($A112="","",AN111*$E111)</f>
        <v>#N/A</v>
      </c>
      <c r="BA111" s="195" t="n">
        <f aca="false">IF($A112="","",F111*Summary!$Q$8)</f>
        <v>0</v>
      </c>
      <c r="BC111" s="179" t="e">
        <f aca="false">IF(A112="","",AM111*F111)</f>
        <v>#N/A</v>
      </c>
    </row>
    <row r="112" customFormat="false" ht="12.75" hidden="false" customHeight="false" outlineLevel="0" collapsed="false">
      <c r="A112" s="196" t="n">
        <f aca="false">IF(A111&lt;mthend,EDATE(A111,1),"")</f>
        <v>40148</v>
      </c>
      <c r="B112" s="197" t="n">
        <f aca="false">IF(A112&lt;mthend,B111,0)</f>
        <v>80000</v>
      </c>
      <c r="C112" s="215"/>
      <c r="D112" s="197" t="n">
        <f aca="false">IF(A113&lt;&gt;"",B112+C112,"")</f>
        <v>80000</v>
      </c>
      <c r="E112" s="199" t="n">
        <f aca="false">IF(A113="","",IF(AND(AT112=1,$H$3=1),D112*AO112,IF($H$3=2,D112,"N/A")))</f>
        <v>2480000</v>
      </c>
      <c r="F112" s="199" t="n">
        <f aca="false">IF(A113="","",E112*AS112)</f>
        <v>11610515.8773293</v>
      </c>
      <c r="G112" s="200" t="e">
        <f aca="false">IF($A113="","",VLOOKUP($A112,Table,MATCH(G$4,Curves,0)))</f>
        <v>#N/A</v>
      </c>
      <c r="H112" s="201" t="e">
        <f aca="false">IF(A113="","",G112)</f>
        <v>#N/A</v>
      </c>
      <c r="I112" s="202"/>
      <c r="J112" s="200" t="e">
        <f aca="false">IF($A113="","",VLOOKUP($A112,Table,MATCH(J$4,Curves,0)))</f>
        <v>#N/A</v>
      </c>
      <c r="K112" s="201" t="e">
        <f aca="false">IF(A113="","",J112)</f>
        <v>#N/A</v>
      </c>
      <c r="L112" s="200" t="e">
        <f aca="false">IF($A113="","",VLOOKUP($A112,Table,MATCH(L$4,Curves,0)))</f>
        <v>#N/A</v>
      </c>
      <c r="M112" s="201" t="e">
        <f aca="false">IF(A113="","",L112)</f>
        <v>#N/A</v>
      </c>
      <c r="N112" s="203"/>
      <c r="O112" s="200" t="e">
        <f aca="false">IF(A113="","",L112+J112+G112)</f>
        <v>#N/A</v>
      </c>
      <c r="P112" s="200" t="e">
        <f aca="false">IF(A113="","",M112+K112+H112)</f>
        <v>#N/A</v>
      </c>
      <c r="Q112" s="204"/>
      <c r="R112" s="200" t="e">
        <f aca="false">IF($A113="","",VLOOKUP($A112,Table,MATCH(R$4,Curves,0)))</f>
        <v>#N/A</v>
      </c>
      <c r="S112" s="201" t="e">
        <f aca="false">IF(A113="","",R112)</f>
        <v>#N/A</v>
      </c>
      <c r="T112" s="200" t="e">
        <f aca="false">IF($A113="","",VLOOKUP($A112,Table,MATCH(T$4,Curves,0)))</f>
        <v>#N/A</v>
      </c>
      <c r="U112" s="201" t="e">
        <f aca="false">IF(A113="","",T112)</f>
        <v>#N/A</v>
      </c>
      <c r="V112" s="183" t="e">
        <f aca="false">IF($A113="","",IF(AND(MONTH(A112)&gt;3,MONTH(A112)&lt;11),(T112+R112+G112)*Summary!$T$8/(1-Summary!$T$8),(T112+R112+G112)*Summary!$U$8/(1-Summary!$U$8)))</f>
        <v>#N/A</v>
      </c>
      <c r="W112" s="200" t="e">
        <f aca="false">IF($A113="","",(T112+R112+G112+V112))</f>
        <v>#N/A</v>
      </c>
      <c r="X112" s="200" t="e">
        <f aca="false">IF($A113="","",(U112+S112+H112+V112))</f>
        <v>#N/A</v>
      </c>
      <c r="Y112" s="202"/>
      <c r="Z112" s="185" t="e">
        <f aca="false">IF($A113="","",VLOOKUP($A112,Table,MATCH(Z$4,Curves,0)))</f>
        <v>#N/A</v>
      </c>
      <c r="AA112" s="185" t="e">
        <f aca="false">IF($A113="","",VLOOKUP($A112,Table,MATCH(AA$4,Curves,0)))</f>
        <v>#N/A</v>
      </c>
      <c r="AB112" s="185" t="e">
        <f aca="false">SQRT((AA112^2*(A112-$D$3)+Z112^2*(DAY(EOMONTH(A112,0))/2))/AK112)</f>
        <v>#N/A</v>
      </c>
      <c r="AC112" s="185" t="e">
        <f aca="false">IF($A113="","",VLOOKUP($A112,Table,MATCH(AC$4,Curves,0)))</f>
        <v>#N/A</v>
      </c>
      <c r="AD112" s="185" t="e">
        <f aca="false">IF($A113="","",VLOOKUP($A112,Table,MATCH(AD$4,Curves,0)))</f>
        <v>#N/A</v>
      </c>
      <c r="AE112" s="185" t="e">
        <f aca="false">SQRT((AD112^2*(A112-$D$3)+AC112^2*(DAY(EOMONTH(A112,0))/2))/AK112)</f>
        <v>#N/A</v>
      </c>
      <c r="AF112" s="224" t="e">
        <f aca="false">((Summary!$N$8*(AA112*AD112)*(A112-$D$3))+(Summary!$M$8*Z112*AC112*(AJ112-EOMONTH(EDATE(A112,-1),0))))/(AK112*AB112*AE112)</f>
        <v>#N/A</v>
      </c>
      <c r="AG112" s="207" t="n">
        <f aca="false">IF($A113="","",Summary!$Q$8)</f>
        <v>0</v>
      </c>
      <c r="AH112" s="207" t="n">
        <f aca="false">IF($A113="","",IF(Summary!$R$8="Y",(VLOOKUP($A112,Summary!$AD$6:$AF$9,3)+'Escalating commodity'!D125),'Escalating commodity'!D125))</f>
        <v>0.0200232</v>
      </c>
      <c r="AI112" s="207" t="n">
        <f aca="false">IF($A113="","",AH112)</f>
        <v>0.0200232</v>
      </c>
      <c r="AJ112" s="208" t="n">
        <f aca="false">A112+DAY(EOMONTH(A112,0))/2-1</f>
        <v>40162.5</v>
      </c>
      <c r="AK112" s="209" t="n">
        <f aca="false">IF($A113="","",$A112-$E$1)</f>
        <v>-5778</v>
      </c>
      <c r="AL112" s="182" t="e">
        <f aca="false">IF($A113="","",SPRDOPT(P112,X112,AI112,0,AB112,AE112,AF112,AK112,$AJ$2,0))</f>
        <v>#NAME?</v>
      </c>
      <c r="AM112" s="211" t="e">
        <f aca="false">IF($A113="","",MAX(0,O112-W112-AI112))</f>
        <v>#N/A</v>
      </c>
      <c r="AN112" s="211" t="e">
        <f aca="false">IF($A113="","",AL112-AM112)</f>
        <v>#N/A</v>
      </c>
      <c r="AO112" s="137" t="n">
        <f aca="false">IF(A113="","",A113-A112)</f>
        <v>31</v>
      </c>
      <c r="AP112" s="212" t="n">
        <f aca="false">IF(A113="","",CHOOSE(F$3,A113+24,A112))</f>
        <v>40148</v>
      </c>
      <c r="AQ112" s="209" t="n">
        <f aca="false">IF(A113="","",AP112-$E$1)</f>
        <v>-5778</v>
      </c>
      <c r="AR112" s="185" t="n">
        <f aca="false">'ANR OK vs ML7'!AR112</f>
        <v>0.1</v>
      </c>
      <c r="AS112" s="213" t="n">
        <f aca="false">IF(A113="","",1/(1+CHOOSE(F$3,(AR113+($I$3/10000))/2,(AR112+($I$3/10000))/2))^(2*AQ112/365.25))</f>
        <v>4.68165962795537</v>
      </c>
      <c r="AT112" s="137" t="n">
        <f aca="false">IF(A113="","",IF(AND(mthbeg&lt;=A112,mthend&gt;=A112),1,0))</f>
        <v>1</v>
      </c>
      <c r="AU112" s="137" t="n">
        <f aca="false">IF(A113="","",AO112*AT112)</f>
        <v>31</v>
      </c>
      <c r="AW112" s="195" t="e">
        <f aca="false">IF($A113="","",AL112*$E112)</f>
        <v>#NAME?</v>
      </c>
      <c r="AX112" s="195" t="e">
        <f aca="false">IF($A113="","",AM112*$E112)</f>
        <v>#N/A</v>
      </c>
      <c r="AY112" s="195" t="e">
        <f aca="false">IF($A113="","",AN112*$E112)</f>
        <v>#N/A</v>
      </c>
      <c r="BA112" s="195" t="n">
        <f aca="false">IF($A113="","",F112*Summary!$Q$8)</f>
        <v>0</v>
      </c>
      <c r="BC112" s="179" t="e">
        <f aca="false">IF(A113="","",AM112*F112)</f>
        <v>#N/A</v>
      </c>
    </row>
    <row r="113" customFormat="false" ht="12.75" hidden="false" customHeight="false" outlineLevel="0" collapsed="false">
      <c r="A113" s="196" t="n">
        <f aca="false">IF(A112&lt;mthend,EDATE(A112,1),"")</f>
        <v>40179</v>
      </c>
      <c r="B113" s="197" t="n">
        <f aca="false">IF(A113&lt;mthend,B112,0)</f>
        <v>80000</v>
      </c>
      <c r="C113" s="215"/>
      <c r="D113" s="197" t="n">
        <f aca="false">IF(A114&lt;&gt;"",B113+C113,"")</f>
        <v>80000</v>
      </c>
      <c r="E113" s="199" t="n">
        <f aca="false">IF(A114="","",IF(AND(AT113=1,$H$3=1),D113*AO113,IF($H$3=2,D113,"N/A")))</f>
        <v>2480000</v>
      </c>
      <c r="F113" s="199" t="n">
        <f aca="false">IF(A114="","",E113*AS113)</f>
        <v>11514755.004713</v>
      </c>
      <c r="G113" s="200" t="e">
        <f aca="false">IF($A114="","",VLOOKUP($A113,Table,MATCH(G$4,Curves,0)))</f>
        <v>#N/A</v>
      </c>
      <c r="H113" s="201" t="e">
        <f aca="false">IF(A114="","",G113)</f>
        <v>#N/A</v>
      </c>
      <c r="I113" s="202"/>
      <c r="J113" s="200" t="e">
        <f aca="false">IF($A114="","",VLOOKUP($A113,Table,MATCH(J$4,Curves,0)))</f>
        <v>#N/A</v>
      </c>
      <c r="K113" s="201" t="e">
        <f aca="false">IF(A114="","",J113)</f>
        <v>#N/A</v>
      </c>
      <c r="L113" s="200" t="e">
        <f aca="false">IF($A114="","",VLOOKUP($A113,Table,MATCH(L$4,Curves,0)))</f>
        <v>#N/A</v>
      </c>
      <c r="M113" s="201" t="e">
        <f aca="false">IF(A114="","",L113)</f>
        <v>#N/A</v>
      </c>
      <c r="N113" s="203"/>
      <c r="O113" s="200" t="e">
        <f aca="false">IF(A114="","",L113+J113+G113)</f>
        <v>#N/A</v>
      </c>
      <c r="P113" s="200" t="e">
        <f aca="false">IF(A114="","",M113+K113+H113)</f>
        <v>#N/A</v>
      </c>
      <c r="Q113" s="204"/>
      <c r="R113" s="200" t="e">
        <f aca="false">IF($A114="","",VLOOKUP($A113,Table,MATCH(R$4,Curves,0)))</f>
        <v>#N/A</v>
      </c>
      <c r="S113" s="201" t="e">
        <f aca="false">IF(A114="","",R113)</f>
        <v>#N/A</v>
      </c>
      <c r="T113" s="200" t="e">
        <f aca="false">IF($A114="","",VLOOKUP($A113,Table,MATCH(T$4,Curves,0)))</f>
        <v>#N/A</v>
      </c>
      <c r="U113" s="201" t="e">
        <f aca="false">IF(A114="","",T113)</f>
        <v>#N/A</v>
      </c>
      <c r="V113" s="183" t="e">
        <f aca="false">IF($A114="","",IF(AND(MONTH(A113)&gt;3,MONTH(A113)&lt;11),(T113+R113+G113)*Summary!$T$8/(1-Summary!$T$8),(T113+R113+G113)*Summary!$U$8/(1-Summary!$U$8)))</f>
        <v>#N/A</v>
      </c>
      <c r="W113" s="200" t="e">
        <f aca="false">IF($A114="","",(T113+R113+G113+V113))</f>
        <v>#N/A</v>
      </c>
      <c r="X113" s="200" t="e">
        <f aca="false">IF($A114="","",(U113+S113+H113+V113))</f>
        <v>#N/A</v>
      </c>
      <c r="Y113" s="202"/>
      <c r="Z113" s="185" t="e">
        <f aca="false">IF($A114="","",VLOOKUP($A113,Table,MATCH(Z$4,Curves,0)))</f>
        <v>#N/A</v>
      </c>
      <c r="AA113" s="185" t="e">
        <f aca="false">IF($A114="","",VLOOKUP($A113,Table,MATCH(AA$4,Curves,0)))</f>
        <v>#N/A</v>
      </c>
      <c r="AB113" s="185" t="e">
        <f aca="false">SQRT((AA113^2*(A113-$D$3)+Z113^2*(DAY(EOMONTH(A113,0))/2))/AK113)</f>
        <v>#N/A</v>
      </c>
      <c r="AC113" s="185" t="e">
        <f aca="false">IF($A114="","",VLOOKUP($A113,Table,MATCH(AC$4,Curves,0)))</f>
        <v>#N/A</v>
      </c>
      <c r="AD113" s="185" t="e">
        <f aca="false">IF($A114="","",VLOOKUP($A113,Table,MATCH(AD$4,Curves,0)))</f>
        <v>#N/A</v>
      </c>
      <c r="AE113" s="185" t="e">
        <f aca="false">SQRT((AD113^2*(A113-$D$3)+AC113^2*(DAY(EOMONTH(A113,0))/2))/AK113)</f>
        <v>#N/A</v>
      </c>
      <c r="AF113" s="224" t="e">
        <f aca="false">((Summary!$N$8*(AA113*AD113)*(A113-$D$3))+(Summary!$M$8*Z113*AC113*(AJ113-EOMONTH(EDATE(A113,-1),0))))/(AK113*AB113*AE113)</f>
        <v>#N/A</v>
      </c>
      <c r="AG113" s="207" t="n">
        <f aca="false">IF($A114="","",Summary!$Q$8)</f>
        <v>0</v>
      </c>
      <c r="AH113" s="207" t="n">
        <f aca="false">IF($A114="","",IF(Summary!$R$8="Y",(VLOOKUP($A113,Summary!$AD$6:$AF$9,3)+'Escalating commodity'!D126),'Escalating commodity'!D126))</f>
        <v>0.0200232</v>
      </c>
      <c r="AI113" s="207" t="n">
        <f aca="false">IF($A114="","",AH113)</f>
        <v>0.0200232</v>
      </c>
      <c r="AJ113" s="208" t="n">
        <f aca="false">A113+DAY(EOMONTH(A113,0))/2-1</f>
        <v>40193.5</v>
      </c>
      <c r="AK113" s="209" t="n">
        <f aca="false">IF($A114="","",$A113-$E$1)</f>
        <v>-5747</v>
      </c>
      <c r="AL113" s="182" t="e">
        <f aca="false">IF($A114="","",SPRDOPT(P113,X113,AI113,0,AB113,AE113,AF113,AK113,$AJ$2,0))</f>
        <v>#NAME?</v>
      </c>
      <c r="AM113" s="211" t="e">
        <f aca="false">IF($A114="","",MAX(0,O113-W113-AI113))</f>
        <v>#N/A</v>
      </c>
      <c r="AN113" s="211" t="e">
        <f aca="false">IF($A114="","",AL113-AM113)</f>
        <v>#N/A</v>
      </c>
      <c r="AO113" s="137" t="n">
        <f aca="false">IF(A114="","",A114-A113)</f>
        <v>31</v>
      </c>
      <c r="AP113" s="212" t="n">
        <f aca="false">IF(A114="","",CHOOSE(F$3,A114+24,A113))</f>
        <v>40179</v>
      </c>
      <c r="AQ113" s="209" t="n">
        <f aca="false">IF(A114="","",AP113-$E$1)</f>
        <v>-5747</v>
      </c>
      <c r="AR113" s="185" t="n">
        <f aca="false">'ANR OK vs ML7'!AR113</f>
        <v>0.1</v>
      </c>
      <c r="AS113" s="213" t="n">
        <f aca="false">IF(A114="","",1/(1+CHOOSE(F$3,(AR114+($I$3/10000))/2,(AR113+($I$3/10000))/2))^(2*AQ113/365.25))</f>
        <v>4.64304637286814</v>
      </c>
      <c r="AT113" s="137" t="n">
        <f aca="false">IF(A114="","",IF(AND(mthbeg&lt;=A113,mthend&gt;=A113),1,0))</f>
        <v>1</v>
      </c>
      <c r="AU113" s="137" t="n">
        <f aca="false">IF(A114="","",AO113*AT113)</f>
        <v>31</v>
      </c>
      <c r="AW113" s="195" t="e">
        <f aca="false">IF($A114="","",AL113*$E113)</f>
        <v>#NAME?</v>
      </c>
      <c r="AX113" s="195" t="e">
        <f aca="false">IF($A114="","",AM113*$E113)</f>
        <v>#N/A</v>
      </c>
      <c r="AY113" s="195" t="e">
        <f aca="false">IF($A114="","",AN113*$E113)</f>
        <v>#N/A</v>
      </c>
      <c r="BA113" s="195" t="n">
        <f aca="false">IF($A114="","",F113*Summary!$Q$8)</f>
        <v>0</v>
      </c>
      <c r="BC113" s="179" t="e">
        <f aca="false">IF(A114="","",AM113*F113)</f>
        <v>#N/A</v>
      </c>
    </row>
    <row r="114" customFormat="false" ht="12.75" hidden="false" customHeight="false" outlineLevel="0" collapsed="false">
      <c r="A114" s="196" t="n">
        <f aca="false">IF(A113&lt;mthend,EDATE(A113,1),"")</f>
        <v>40210</v>
      </c>
      <c r="B114" s="197" t="n">
        <f aca="false">IF(A114&lt;mthend,B113,0)</f>
        <v>80000</v>
      </c>
      <c r="C114" s="215"/>
      <c r="D114" s="197" t="n">
        <f aca="false">IF(A115&lt;&gt;"",B114+C114,"")</f>
        <v>80000</v>
      </c>
      <c r="E114" s="199" t="n">
        <f aca="false">IF(A115="","",IF(AND(AT114=1,$H$3=1),D114*AO114,IF($H$3=2,D114,"N/A")))</f>
        <v>2240000</v>
      </c>
      <c r="F114" s="199" t="n">
        <f aca="false">IF(A115="","",E114*AS114)</f>
        <v>10314643.5639625</v>
      </c>
      <c r="G114" s="200" t="e">
        <f aca="false">IF($A115="","",VLOOKUP($A114,Table,MATCH(G$4,Curves,0)))</f>
        <v>#N/A</v>
      </c>
      <c r="H114" s="201" t="e">
        <f aca="false">IF(A115="","",G114)</f>
        <v>#N/A</v>
      </c>
      <c r="I114" s="202"/>
      <c r="J114" s="200" t="e">
        <f aca="false">IF($A115="","",VLOOKUP($A114,Table,MATCH(J$4,Curves,0)))</f>
        <v>#N/A</v>
      </c>
      <c r="K114" s="201" t="e">
        <f aca="false">IF(A115="","",J114)</f>
        <v>#N/A</v>
      </c>
      <c r="L114" s="200" t="e">
        <f aca="false">IF($A115="","",VLOOKUP($A114,Table,MATCH(L$4,Curves,0)))</f>
        <v>#N/A</v>
      </c>
      <c r="M114" s="201" t="e">
        <f aca="false">IF(A115="","",L114)</f>
        <v>#N/A</v>
      </c>
      <c r="N114" s="203"/>
      <c r="O114" s="200" t="e">
        <f aca="false">IF(A115="","",L114+J114+G114)</f>
        <v>#N/A</v>
      </c>
      <c r="P114" s="200" t="e">
        <f aca="false">IF(A115="","",M114+K114+H114)</f>
        <v>#N/A</v>
      </c>
      <c r="Q114" s="204"/>
      <c r="R114" s="200" t="e">
        <f aca="false">IF($A115="","",VLOOKUP($A114,Table,MATCH(R$4,Curves,0)))</f>
        <v>#N/A</v>
      </c>
      <c r="S114" s="201" t="e">
        <f aca="false">IF(A115="","",R114)</f>
        <v>#N/A</v>
      </c>
      <c r="T114" s="200" t="e">
        <f aca="false">IF($A115="","",VLOOKUP($A114,Table,MATCH(T$4,Curves,0)))</f>
        <v>#N/A</v>
      </c>
      <c r="U114" s="201" t="e">
        <f aca="false">IF(A115="","",T114)</f>
        <v>#N/A</v>
      </c>
      <c r="V114" s="183" t="e">
        <f aca="false">IF($A115="","",IF(AND(MONTH(A114)&gt;3,MONTH(A114)&lt;11),(T114+R114+G114)*Summary!$T$8/(1-Summary!$T$8),(T114+R114+G114)*Summary!$U$8/(1-Summary!$U$8)))</f>
        <v>#N/A</v>
      </c>
      <c r="W114" s="200" t="e">
        <f aca="false">IF($A115="","",(T114+R114+G114+V114))</f>
        <v>#N/A</v>
      </c>
      <c r="X114" s="200" t="e">
        <f aca="false">IF($A115="","",(U114+S114+H114+V114))</f>
        <v>#N/A</v>
      </c>
      <c r="Y114" s="202"/>
      <c r="Z114" s="185" t="e">
        <f aca="false">IF($A115="","",VLOOKUP($A114,Table,MATCH(Z$4,Curves,0)))</f>
        <v>#N/A</v>
      </c>
      <c r="AA114" s="185" t="e">
        <f aca="false">IF($A115="","",VLOOKUP($A114,Table,MATCH(AA$4,Curves,0)))</f>
        <v>#N/A</v>
      </c>
      <c r="AB114" s="185" t="e">
        <f aca="false">SQRT((AA114^2*(A114-$D$3)+Z114^2*(DAY(EOMONTH(A114,0))/2))/AK114)</f>
        <v>#N/A</v>
      </c>
      <c r="AC114" s="185" t="e">
        <f aca="false">IF($A115="","",VLOOKUP($A114,Table,MATCH(AC$4,Curves,0)))</f>
        <v>#N/A</v>
      </c>
      <c r="AD114" s="185" t="e">
        <f aca="false">IF($A115="","",VLOOKUP($A114,Table,MATCH(AD$4,Curves,0)))</f>
        <v>#N/A</v>
      </c>
      <c r="AE114" s="185" t="e">
        <f aca="false">SQRT((AD114^2*(A114-$D$3)+AC114^2*(DAY(EOMONTH(A114,0))/2))/AK114)</f>
        <v>#N/A</v>
      </c>
      <c r="AF114" s="224" t="e">
        <f aca="false">((Summary!$N$8*(AA114*AD114)*(A114-$D$3))+(Summary!$M$8*Z114*AC114*(AJ114-EOMONTH(EDATE(A114,-1),0))))/(AK114*AB114*AE114)</f>
        <v>#N/A</v>
      </c>
      <c r="AG114" s="207" t="n">
        <f aca="false">IF($A115="","",Summary!$Q$8)</f>
        <v>0</v>
      </c>
      <c r="AH114" s="207" t="n">
        <f aca="false">IF($A115="","",IF(Summary!$R$8="Y",(VLOOKUP($A114,Summary!$AD$6:$AF$9,3)+'Escalating commodity'!D127),'Escalating commodity'!D127))</f>
        <v>0.0200232</v>
      </c>
      <c r="AI114" s="207" t="n">
        <f aca="false">IF($A115="","",AH114)</f>
        <v>0.0200232</v>
      </c>
      <c r="AJ114" s="208" t="n">
        <f aca="false">A114+DAY(EOMONTH(A114,0))/2-1</f>
        <v>40223</v>
      </c>
      <c r="AK114" s="209" t="n">
        <f aca="false">IF($A115="","",$A114-$E$1)</f>
        <v>-5716</v>
      </c>
      <c r="AL114" s="182" t="e">
        <f aca="false">IF($A115="","",SPRDOPT(P114,X114,AI114,0,AB114,AE114,AF114,AK114,$AJ$2,0))</f>
        <v>#NAME?</v>
      </c>
      <c r="AM114" s="211" t="e">
        <f aca="false">IF($A115="","",MAX(0,O114-W114-AI114))</f>
        <v>#N/A</v>
      </c>
      <c r="AN114" s="211" t="e">
        <f aca="false">IF($A115="","",AL114-AM114)</f>
        <v>#N/A</v>
      </c>
      <c r="AO114" s="137" t="n">
        <f aca="false">IF(A115="","",A115-A114)</f>
        <v>28</v>
      </c>
      <c r="AP114" s="212" t="n">
        <f aca="false">IF(A115="","",CHOOSE(F$3,A115+24,A114))</f>
        <v>40210</v>
      </c>
      <c r="AQ114" s="209" t="n">
        <f aca="false">IF(A115="","",AP114-$E$1)</f>
        <v>-5716</v>
      </c>
      <c r="AR114" s="185" t="n">
        <f aca="false">'ANR OK vs ML7'!AR114</f>
        <v>0.1</v>
      </c>
      <c r="AS114" s="213" t="n">
        <f aca="false">IF(A115="","",1/(1+CHOOSE(F$3,(AR115+($I$3/10000))/2,(AR114+($I$3/10000))/2))^(2*AQ114/365.25))</f>
        <v>4.60475159105468</v>
      </c>
      <c r="AT114" s="137" t="n">
        <f aca="false">IF(A115="","",IF(AND(mthbeg&lt;=A114,mthend&gt;=A114),1,0))</f>
        <v>1</v>
      </c>
      <c r="AU114" s="137" t="n">
        <f aca="false">IF(A115="","",AO114*AT114)</f>
        <v>28</v>
      </c>
      <c r="AW114" s="195" t="e">
        <f aca="false">IF($A115="","",AL114*$E114)</f>
        <v>#NAME?</v>
      </c>
      <c r="AX114" s="195" t="e">
        <f aca="false">IF($A115="","",AM114*$E114)</f>
        <v>#N/A</v>
      </c>
      <c r="AY114" s="195" t="e">
        <f aca="false">IF($A115="","",AN114*$E114)</f>
        <v>#N/A</v>
      </c>
      <c r="BA114" s="195" t="n">
        <f aca="false">IF($A115="","",F114*Summary!$Q$8)</f>
        <v>0</v>
      </c>
      <c r="BC114" s="179" t="e">
        <f aca="false">IF(A115="","",AM114*F114)</f>
        <v>#N/A</v>
      </c>
    </row>
    <row r="115" customFormat="false" ht="12.75" hidden="false" customHeight="false" outlineLevel="0" collapsed="false">
      <c r="A115" s="196" t="n">
        <f aca="false">IF(A114&lt;mthend,EDATE(A114,1),"")</f>
        <v>40238</v>
      </c>
      <c r="B115" s="197" t="n">
        <f aca="false">IF(A115&lt;mthend,B114,0)</f>
        <v>80000</v>
      </c>
      <c r="C115" s="215"/>
      <c r="D115" s="197" t="n">
        <f aca="false">IF(A116&lt;&gt;"",B115+C115,"")</f>
        <v>80000</v>
      </c>
      <c r="E115" s="199" t="n">
        <f aca="false">IF(A116="","",IF(AND(AT115=1,$H$3=1),D115*AO115,IF($H$3=2,D115,"N/A")))</f>
        <v>2480000</v>
      </c>
      <c r="F115" s="199" t="n">
        <f aca="false">IF(A116="","",E115*AS115)</f>
        <v>11334677.07673</v>
      </c>
      <c r="G115" s="200" t="e">
        <f aca="false">IF($A116="","",VLOOKUP($A115,Table,MATCH(G$4,Curves,0)))</f>
        <v>#N/A</v>
      </c>
      <c r="H115" s="201" t="e">
        <f aca="false">IF(A116="","",G115)</f>
        <v>#N/A</v>
      </c>
      <c r="I115" s="202"/>
      <c r="J115" s="200" t="e">
        <f aca="false">IF($A116="","",VLOOKUP($A115,Table,MATCH(J$4,Curves,0)))</f>
        <v>#N/A</v>
      </c>
      <c r="K115" s="201" t="e">
        <f aca="false">IF(A116="","",J115)</f>
        <v>#N/A</v>
      </c>
      <c r="L115" s="200" t="e">
        <f aca="false">IF($A116="","",VLOOKUP($A115,Table,MATCH(L$4,Curves,0)))</f>
        <v>#N/A</v>
      </c>
      <c r="M115" s="201" t="e">
        <f aca="false">IF(A116="","",L115)</f>
        <v>#N/A</v>
      </c>
      <c r="N115" s="203"/>
      <c r="O115" s="200" t="e">
        <f aca="false">IF(A116="","",L115+J115+G115)</f>
        <v>#N/A</v>
      </c>
      <c r="P115" s="200" t="e">
        <f aca="false">IF(A116="","",M115+K115+H115)</f>
        <v>#N/A</v>
      </c>
      <c r="Q115" s="204"/>
      <c r="R115" s="200" t="e">
        <f aca="false">IF($A116="","",VLOOKUP($A115,Table,MATCH(R$4,Curves,0)))</f>
        <v>#N/A</v>
      </c>
      <c r="S115" s="201" t="e">
        <f aca="false">IF(A116="","",R115)</f>
        <v>#N/A</v>
      </c>
      <c r="T115" s="200" t="e">
        <f aca="false">IF($A116="","",VLOOKUP($A115,Table,MATCH(T$4,Curves,0)))</f>
        <v>#N/A</v>
      </c>
      <c r="U115" s="201" t="e">
        <f aca="false">IF(A116="","",T115)</f>
        <v>#N/A</v>
      </c>
      <c r="V115" s="183" t="e">
        <f aca="false">IF($A116="","",IF(AND(MONTH(A115)&gt;3,MONTH(A115)&lt;11),(T115+R115+G115)*Summary!$T$8/(1-Summary!$T$8),(T115+R115+G115)*Summary!$U$8/(1-Summary!$U$8)))</f>
        <v>#N/A</v>
      </c>
      <c r="W115" s="200" t="e">
        <f aca="false">IF($A116="","",(T115+R115+G115+V115))</f>
        <v>#N/A</v>
      </c>
      <c r="X115" s="200" t="e">
        <f aca="false">IF($A116="","",(U115+S115+H115+V115))</f>
        <v>#N/A</v>
      </c>
      <c r="Y115" s="202"/>
      <c r="Z115" s="185" t="e">
        <f aca="false">IF($A116="","",VLOOKUP($A115,Table,MATCH(Z$4,Curves,0)))</f>
        <v>#N/A</v>
      </c>
      <c r="AA115" s="185" t="e">
        <f aca="false">IF($A116="","",VLOOKUP($A115,Table,MATCH(AA$4,Curves,0)))</f>
        <v>#N/A</v>
      </c>
      <c r="AB115" s="185" t="e">
        <f aca="false">SQRT((AA115^2*(A115-$D$3)+Z115^2*(DAY(EOMONTH(A115,0))/2))/AK115)</f>
        <v>#N/A</v>
      </c>
      <c r="AC115" s="185" t="e">
        <f aca="false">IF($A116="","",VLOOKUP($A115,Table,MATCH(AC$4,Curves,0)))</f>
        <v>#N/A</v>
      </c>
      <c r="AD115" s="185" t="e">
        <f aca="false">IF($A116="","",VLOOKUP($A115,Table,MATCH(AD$4,Curves,0)))</f>
        <v>#N/A</v>
      </c>
      <c r="AE115" s="185" t="e">
        <f aca="false">SQRT((AD115^2*(A115-$D$3)+AC115^2*(DAY(EOMONTH(A115,0))/2))/AK115)</f>
        <v>#N/A</v>
      </c>
      <c r="AF115" s="224" t="e">
        <f aca="false">((Summary!$N$8*(AA115*AD115)*(A115-$D$3))+(Summary!$M$8*Z115*AC115*(AJ115-EOMONTH(EDATE(A115,-1),0))))/(AK115*AB115*AE115)</f>
        <v>#N/A</v>
      </c>
      <c r="AG115" s="207" t="n">
        <f aca="false">IF($A116="","",Summary!$Q$8)</f>
        <v>0</v>
      </c>
      <c r="AH115" s="207" t="n">
        <f aca="false">IF($A116="","",IF(Summary!$R$8="Y",(VLOOKUP($A115,Summary!$AD$6:$AF$9,3)+'Escalating commodity'!D128),'Escalating commodity'!D128))</f>
        <v>0.0200232</v>
      </c>
      <c r="AI115" s="207" t="n">
        <f aca="false">IF($A116="","",AH115)</f>
        <v>0.0200232</v>
      </c>
      <c r="AJ115" s="208" t="n">
        <f aca="false">A115+DAY(EOMONTH(A115,0))/2-1</f>
        <v>40252.5</v>
      </c>
      <c r="AK115" s="209" t="n">
        <f aca="false">IF($A116="","",$A115-$E$1)</f>
        <v>-5688</v>
      </c>
      <c r="AL115" s="182" t="e">
        <f aca="false">IF($A116="","",SPRDOPT(P115,X115,AI115,0,AB115,AE115,AF115,AK115,$AJ$2,0))</f>
        <v>#NAME?</v>
      </c>
      <c r="AM115" s="211" t="e">
        <f aca="false">IF($A116="","",MAX(0,O115-W115-AI115))</f>
        <v>#N/A</v>
      </c>
      <c r="AN115" s="211" t="e">
        <f aca="false">IF($A116="","",AL115-AM115)</f>
        <v>#N/A</v>
      </c>
      <c r="AO115" s="137" t="n">
        <f aca="false">IF(A116="","",A116-A115)</f>
        <v>31</v>
      </c>
      <c r="AP115" s="212" t="n">
        <f aca="false">IF(A116="","",CHOOSE(F$3,A116+24,A115))</f>
        <v>40238</v>
      </c>
      <c r="AQ115" s="209" t="n">
        <f aca="false">IF(A116="","",AP115-$E$1)</f>
        <v>-5688</v>
      </c>
      <c r="AR115" s="185" t="n">
        <f aca="false">'ANR OK vs ML7'!AR115</f>
        <v>0.1</v>
      </c>
      <c r="AS115" s="213" t="n">
        <f aca="false">IF(A116="","",1/(1+CHOOSE(F$3,(AR116+($I$3/10000))/2,(AR115+($I$3/10000))/2))^(2*AQ115/365.25))</f>
        <v>4.57043430513308</v>
      </c>
      <c r="AT115" s="137" t="n">
        <f aca="false">IF(A116="","",IF(AND(mthbeg&lt;=A115,mthend&gt;=A115),1,0))</f>
        <v>1</v>
      </c>
      <c r="AU115" s="137" t="n">
        <f aca="false">IF(A116="","",AO115*AT115)</f>
        <v>31</v>
      </c>
      <c r="AW115" s="195" t="e">
        <f aca="false">IF($A116="","",AL115*$E115)</f>
        <v>#NAME?</v>
      </c>
      <c r="AX115" s="195" t="e">
        <f aca="false">IF($A116="","",AM115*$E115)</f>
        <v>#N/A</v>
      </c>
      <c r="AY115" s="195" t="e">
        <f aca="false">IF($A116="","",AN115*$E115)</f>
        <v>#N/A</v>
      </c>
      <c r="BA115" s="195" t="n">
        <f aca="false">IF($A116="","",F115*Summary!$Q$8)</f>
        <v>0</v>
      </c>
      <c r="BC115" s="179" t="e">
        <f aca="false">IF(A116="","",AM115*F115)</f>
        <v>#N/A</v>
      </c>
    </row>
    <row r="116" customFormat="false" ht="12.75" hidden="false" customHeight="false" outlineLevel="0" collapsed="false">
      <c r="A116" s="196" t="n">
        <f aca="false">IF(A115&lt;mthend,EDATE(A115,1),"")</f>
        <v>40269</v>
      </c>
      <c r="B116" s="197" t="n">
        <f aca="false">IF(A116&lt;mthend,B115,0)</f>
        <v>80000</v>
      </c>
      <c r="C116" s="215"/>
      <c r="D116" s="197" t="n">
        <f aca="false">IF(A117&lt;&gt;"",B116+C116,"")</f>
        <v>80000</v>
      </c>
      <c r="E116" s="199" t="n">
        <f aca="false">IF(A117="","",IF(AND(AT116=1,$H$3=1),D116*AO116,IF($H$3=2,D116,"N/A")))</f>
        <v>2400000</v>
      </c>
      <c r="F116" s="199" t="n">
        <f aca="false">IF(A117="","",E116*AS116)</f>
        <v>10878572.1864097</v>
      </c>
      <c r="G116" s="200" t="e">
        <f aca="false">IF($A117="","",VLOOKUP($A116,Table,MATCH(G$4,Curves,0)))</f>
        <v>#N/A</v>
      </c>
      <c r="H116" s="201" t="e">
        <f aca="false">IF(A117="","",G116)</f>
        <v>#N/A</v>
      </c>
      <c r="I116" s="202"/>
      <c r="J116" s="200" t="e">
        <f aca="false">IF($A117="","",VLOOKUP($A116,Table,MATCH(J$4,Curves,0)))</f>
        <v>#N/A</v>
      </c>
      <c r="K116" s="201" t="e">
        <f aca="false">IF(A117="","",J116)</f>
        <v>#N/A</v>
      </c>
      <c r="L116" s="200" t="e">
        <f aca="false">IF($A117="","",VLOOKUP($A116,Table,MATCH(L$4,Curves,0)))</f>
        <v>#N/A</v>
      </c>
      <c r="M116" s="201" t="e">
        <f aca="false">IF(A117="","",L116)</f>
        <v>#N/A</v>
      </c>
      <c r="N116" s="203"/>
      <c r="O116" s="200" t="e">
        <f aca="false">IF(A117="","",L116+J116+G116)</f>
        <v>#N/A</v>
      </c>
      <c r="P116" s="200" t="e">
        <f aca="false">IF(A117="","",M116+K116+H116)</f>
        <v>#N/A</v>
      </c>
      <c r="Q116" s="204"/>
      <c r="R116" s="200" t="e">
        <f aca="false">IF($A117="","",VLOOKUP($A116,Table,MATCH(R$4,Curves,0)))</f>
        <v>#N/A</v>
      </c>
      <c r="S116" s="201" t="e">
        <f aca="false">IF(A117="","",R116)</f>
        <v>#N/A</v>
      </c>
      <c r="T116" s="200" t="e">
        <f aca="false">IF($A117="","",VLOOKUP($A116,Table,MATCH(T$4,Curves,0)))</f>
        <v>#N/A</v>
      </c>
      <c r="U116" s="201" t="e">
        <f aca="false">IF(A117="","",T116)</f>
        <v>#N/A</v>
      </c>
      <c r="V116" s="183" t="e">
        <f aca="false">IF($A117="","",IF(AND(MONTH(A116)&gt;3,MONTH(A116)&lt;11),(T116+R116+G116)*Summary!$T$8/(1-Summary!$T$8),(T116+R116+G116)*Summary!$U$8/(1-Summary!$U$8)))</f>
        <v>#N/A</v>
      </c>
      <c r="W116" s="200" t="e">
        <f aca="false">IF($A117="","",(T116+R116+G116+V116))</f>
        <v>#N/A</v>
      </c>
      <c r="X116" s="200" t="e">
        <f aca="false">IF($A117="","",(U116+S116+H116+V116))</f>
        <v>#N/A</v>
      </c>
      <c r="Y116" s="202"/>
      <c r="Z116" s="185" t="e">
        <f aca="false">IF($A117="","",VLOOKUP($A116,Table,MATCH(Z$4,Curves,0)))</f>
        <v>#N/A</v>
      </c>
      <c r="AA116" s="185" t="e">
        <f aca="false">IF($A117="","",VLOOKUP($A116,Table,MATCH(AA$4,Curves,0)))</f>
        <v>#N/A</v>
      </c>
      <c r="AB116" s="185" t="e">
        <f aca="false">SQRT((AA116^2*(A116-$D$3)+Z116^2*(DAY(EOMONTH(A116,0))/2))/AK116)</f>
        <v>#N/A</v>
      </c>
      <c r="AC116" s="185" t="e">
        <f aca="false">IF($A117="","",VLOOKUP($A116,Table,MATCH(AC$4,Curves,0)))</f>
        <v>#N/A</v>
      </c>
      <c r="AD116" s="185" t="e">
        <f aca="false">IF($A117="","",VLOOKUP($A116,Table,MATCH(AD$4,Curves,0)))</f>
        <v>#N/A</v>
      </c>
      <c r="AE116" s="185" t="e">
        <f aca="false">SQRT((AD116^2*(A116-$D$3)+AC116^2*(DAY(EOMONTH(A116,0))/2))/AK116)</f>
        <v>#N/A</v>
      </c>
      <c r="AF116" s="224" t="e">
        <f aca="false">((Summary!$N$8*(AA116*AD116)*(A116-$D$3))+(Summary!$M$8*Z116*AC116*(AJ116-EOMONTH(EDATE(A116,-1),0))))/(AK116*AB116*AE116)</f>
        <v>#N/A</v>
      </c>
      <c r="AG116" s="207" t="n">
        <f aca="false">IF($A117="","",Summary!$Q$8)</f>
        <v>0</v>
      </c>
      <c r="AH116" s="207" t="n">
        <f aca="false">IF($A117="","",IF(Summary!$R$8="Y",(VLOOKUP($A116,Summary!$AD$6:$AF$9,3)+'Escalating commodity'!D129),'Escalating commodity'!D129))</f>
        <v>0.0200232</v>
      </c>
      <c r="AI116" s="207" t="n">
        <f aca="false">IF($A117="","",AH116)</f>
        <v>0.0200232</v>
      </c>
      <c r="AJ116" s="208" t="n">
        <f aca="false">A116+DAY(EOMONTH(A116,0))/2-1</f>
        <v>40283</v>
      </c>
      <c r="AK116" s="209" t="n">
        <f aca="false">IF($A117="","",$A116-$E$1)</f>
        <v>-5657</v>
      </c>
      <c r="AL116" s="182" t="e">
        <f aca="false">IF($A117="","",SPRDOPT(P116,X116,AI116,0,AB116,AE116,AF116,AK116,$AJ$2,0))</f>
        <v>#NAME?</v>
      </c>
      <c r="AM116" s="211" t="e">
        <f aca="false">IF($A117="","",MAX(0,O116-W116-AI116))</f>
        <v>#N/A</v>
      </c>
      <c r="AN116" s="211" t="e">
        <f aca="false">IF($A117="","",AL116-AM116)</f>
        <v>#N/A</v>
      </c>
      <c r="AO116" s="137" t="n">
        <f aca="false">IF(A117="","",A117-A116)</f>
        <v>30</v>
      </c>
      <c r="AP116" s="212" t="n">
        <f aca="false">IF(A117="","",CHOOSE(F$3,A117+24,A116))</f>
        <v>40269</v>
      </c>
      <c r="AQ116" s="209" t="n">
        <f aca="false">IF(A117="","",AP116-$E$1)</f>
        <v>-5657</v>
      </c>
      <c r="AR116" s="185" t="n">
        <f aca="false">'ANR OK vs ML7'!AR116</f>
        <v>0.1</v>
      </c>
      <c r="AS116" s="213" t="n">
        <f aca="false">IF(A117="","",1/(1+CHOOSE(F$3,(AR117+($I$3/10000))/2,(AR116+($I$3/10000))/2))^(2*AQ116/365.25))</f>
        <v>4.53273841100405</v>
      </c>
      <c r="AT116" s="137" t="n">
        <f aca="false">IF(A117="","",IF(AND(mthbeg&lt;=A116,mthend&gt;=A116),1,0))</f>
        <v>1</v>
      </c>
      <c r="AU116" s="137" t="n">
        <f aca="false">IF(A117="","",AO116*AT116)</f>
        <v>30</v>
      </c>
      <c r="AW116" s="195" t="e">
        <f aca="false">IF($A117="","",AL116*$E116)</f>
        <v>#NAME?</v>
      </c>
      <c r="AX116" s="195" t="e">
        <f aca="false">IF($A117="","",AM116*$E116)</f>
        <v>#N/A</v>
      </c>
      <c r="AY116" s="195" t="e">
        <f aca="false">IF($A117="","",AN116*$E116)</f>
        <v>#N/A</v>
      </c>
      <c r="BA116" s="195" t="n">
        <f aca="false">IF($A117="","",F116*Summary!$Q$8)</f>
        <v>0</v>
      </c>
      <c r="BC116" s="179" t="e">
        <f aca="false">IF(A117="","",AM116*F116)</f>
        <v>#N/A</v>
      </c>
    </row>
    <row r="117" customFormat="false" ht="12.75" hidden="false" customHeight="false" outlineLevel="0" collapsed="false">
      <c r="A117" s="196" t="n">
        <f aca="false">IF(A116&lt;mthend,EDATE(A116,1),"")</f>
        <v>40299</v>
      </c>
      <c r="B117" s="197" t="n">
        <f aca="false">IF(A117&lt;mthend,B116,0)</f>
        <v>80000</v>
      </c>
      <c r="C117" s="215"/>
      <c r="D117" s="197" t="n">
        <f aca="false">IF(A118&lt;&gt;"",B117+C117,"")</f>
        <v>80000</v>
      </c>
      <c r="E117" s="199" t="n">
        <f aca="false">IF(A118="","",IF(AND(AT117=1,$H$3=1),D117*AO117,IF($H$3=2,D117,"N/A")))</f>
        <v>2480000</v>
      </c>
      <c r="F117" s="199" t="n">
        <f aca="false">IF(A118="","",E117*AS117)</f>
        <v>11151455.3205324</v>
      </c>
      <c r="G117" s="200" t="e">
        <f aca="false">IF($A118="","",VLOOKUP($A117,Table,MATCH(G$4,Curves,0)))</f>
        <v>#N/A</v>
      </c>
      <c r="H117" s="201" t="e">
        <f aca="false">IF(A118="","",G117)</f>
        <v>#N/A</v>
      </c>
      <c r="I117" s="202"/>
      <c r="J117" s="200" t="e">
        <f aca="false">IF($A118="","",VLOOKUP($A117,Table,MATCH(J$4,Curves,0)))</f>
        <v>#N/A</v>
      </c>
      <c r="K117" s="201" t="e">
        <f aca="false">IF(A118="","",J117)</f>
        <v>#N/A</v>
      </c>
      <c r="L117" s="200" t="e">
        <f aca="false">IF($A118="","",VLOOKUP($A117,Table,MATCH(L$4,Curves,0)))</f>
        <v>#N/A</v>
      </c>
      <c r="M117" s="201" t="e">
        <f aca="false">IF(A118="","",L117)</f>
        <v>#N/A</v>
      </c>
      <c r="N117" s="203"/>
      <c r="O117" s="200" t="e">
        <f aca="false">IF(A118="","",L117+J117+G117)</f>
        <v>#N/A</v>
      </c>
      <c r="P117" s="200" t="e">
        <f aca="false">IF(A118="","",M117+K117+H117)</f>
        <v>#N/A</v>
      </c>
      <c r="Q117" s="204"/>
      <c r="R117" s="200" t="e">
        <f aca="false">IF($A118="","",VLOOKUP($A117,Table,MATCH(R$4,Curves,0)))</f>
        <v>#N/A</v>
      </c>
      <c r="S117" s="201" t="e">
        <f aca="false">IF(A118="","",R117)</f>
        <v>#N/A</v>
      </c>
      <c r="T117" s="200" t="e">
        <f aca="false">IF($A118="","",VLOOKUP($A117,Table,MATCH(T$4,Curves,0)))</f>
        <v>#N/A</v>
      </c>
      <c r="U117" s="201" t="e">
        <f aca="false">IF(A118="","",T117)</f>
        <v>#N/A</v>
      </c>
      <c r="V117" s="183" t="e">
        <f aca="false">IF($A118="","",IF(AND(MONTH(A117)&gt;3,MONTH(A117)&lt;11),(T117+R117+G117)*Summary!$T$8/(1-Summary!$T$8),(T117+R117+G117)*Summary!$U$8/(1-Summary!$U$8)))</f>
        <v>#N/A</v>
      </c>
      <c r="W117" s="200" t="e">
        <f aca="false">IF($A118="","",(T117+R117+G117+V117))</f>
        <v>#N/A</v>
      </c>
      <c r="X117" s="200" t="e">
        <f aca="false">IF($A118="","",(U117+S117+H117+V117))</f>
        <v>#N/A</v>
      </c>
      <c r="Y117" s="202"/>
      <c r="Z117" s="185" t="e">
        <f aca="false">IF($A118="","",VLOOKUP($A117,Table,MATCH(Z$4,Curves,0)))</f>
        <v>#N/A</v>
      </c>
      <c r="AA117" s="185" t="e">
        <f aca="false">IF($A118="","",VLOOKUP($A117,Table,MATCH(AA$4,Curves,0)))</f>
        <v>#N/A</v>
      </c>
      <c r="AB117" s="185" t="e">
        <f aca="false">SQRT((AA117^2*(A117-$D$3)+Z117^2*(DAY(EOMONTH(A117,0))/2))/AK117)</f>
        <v>#N/A</v>
      </c>
      <c r="AC117" s="185" t="e">
        <f aca="false">IF($A118="","",VLOOKUP($A117,Table,MATCH(AC$4,Curves,0)))</f>
        <v>#N/A</v>
      </c>
      <c r="AD117" s="185" t="e">
        <f aca="false">IF($A118="","",VLOOKUP($A117,Table,MATCH(AD$4,Curves,0)))</f>
        <v>#N/A</v>
      </c>
      <c r="AE117" s="185" t="e">
        <f aca="false">SQRT((AD117^2*(A117-$D$3)+AC117^2*(DAY(EOMONTH(A117,0))/2))/AK117)</f>
        <v>#N/A</v>
      </c>
      <c r="AF117" s="224" t="e">
        <f aca="false">((Summary!$N$8*(AA117*AD117)*(A117-$D$3))+(Summary!$M$8*Z117*AC117*(AJ117-EOMONTH(EDATE(A117,-1),0))))/(AK117*AB117*AE117)</f>
        <v>#N/A</v>
      </c>
      <c r="AG117" s="207" t="n">
        <f aca="false">IF($A118="","",Summary!$Q$8)</f>
        <v>0</v>
      </c>
      <c r="AH117" s="207" t="n">
        <f aca="false">IF($A118="","",IF(Summary!$R$8="Y",(VLOOKUP($A117,Summary!$AD$6:$AF$9,3)+'Escalating commodity'!D130),'Escalating commodity'!D130))</f>
        <v>0.0200232</v>
      </c>
      <c r="AI117" s="207" t="n">
        <f aca="false">IF($A118="","",AH117)</f>
        <v>0.0200232</v>
      </c>
      <c r="AJ117" s="208" t="n">
        <f aca="false">A117+DAY(EOMONTH(A117,0))/2-1</f>
        <v>40313.5</v>
      </c>
      <c r="AK117" s="209" t="n">
        <f aca="false">IF($A118="","",$A117-$E$1)</f>
        <v>-5627</v>
      </c>
      <c r="AL117" s="182" t="e">
        <f aca="false">IF($A118="","",SPRDOPT(P117,X117,AI117,0,AB117,AE117,AF117,AK117,$AJ$2,0))</f>
        <v>#NAME?</v>
      </c>
      <c r="AM117" s="211" t="e">
        <f aca="false">IF($A118="","",MAX(0,O117-W117-AI117))</f>
        <v>#N/A</v>
      </c>
      <c r="AN117" s="211" t="e">
        <f aca="false">IF($A118="","",AL117-AM117)</f>
        <v>#N/A</v>
      </c>
      <c r="AO117" s="137" t="n">
        <f aca="false">IF(A118="","",A118-A117)</f>
        <v>31</v>
      </c>
      <c r="AP117" s="212" t="n">
        <f aca="false">IF(A118="","",CHOOSE(F$3,A118+24,A117))</f>
        <v>40299</v>
      </c>
      <c r="AQ117" s="209" t="n">
        <f aca="false">IF(A118="","",AP117-$E$1)</f>
        <v>-5627</v>
      </c>
      <c r="AR117" s="185" t="n">
        <f aca="false">'ANR OK vs ML7'!AR117</f>
        <v>0.1</v>
      </c>
      <c r="AS117" s="213" t="n">
        <f aca="false">IF(A118="","",1/(1+CHOOSE(F$3,(AR118+($I$3/10000))/2,(AR117+($I$3/10000))/2))^(2*AQ117/365.25))</f>
        <v>4.49655456473081</v>
      </c>
      <c r="AT117" s="137" t="n">
        <f aca="false">IF(A118="","",IF(AND(mthbeg&lt;=A117,mthend&gt;=A117),1,0))</f>
        <v>1</v>
      </c>
      <c r="AU117" s="137" t="n">
        <f aca="false">IF(A118="","",AO117*AT117)</f>
        <v>31</v>
      </c>
      <c r="AW117" s="195" t="e">
        <f aca="false">IF($A118="","",AL117*$E117)</f>
        <v>#NAME?</v>
      </c>
      <c r="AX117" s="195" t="e">
        <f aca="false">IF($A118="","",AM117*$E117)</f>
        <v>#N/A</v>
      </c>
      <c r="AY117" s="195" t="e">
        <f aca="false">IF($A118="","",AN117*$E117)</f>
        <v>#N/A</v>
      </c>
      <c r="BA117" s="195" t="n">
        <f aca="false">IF($A118="","",F117*Summary!$Q$8)</f>
        <v>0</v>
      </c>
      <c r="BC117" s="179" t="e">
        <f aca="false">IF(A118="","",AM117*F117)</f>
        <v>#N/A</v>
      </c>
    </row>
    <row r="118" customFormat="false" ht="12.75" hidden="false" customHeight="false" outlineLevel="0" collapsed="false">
      <c r="A118" s="196" t="n">
        <f aca="false">IF(A117&lt;mthend,EDATE(A117,1),"")</f>
        <v>40330</v>
      </c>
      <c r="B118" s="197" t="n">
        <f aca="false">IF(A118&lt;mthend,B117,0)</f>
        <v>80000</v>
      </c>
      <c r="C118" s="215"/>
      <c r="D118" s="197" t="n">
        <f aca="false">IF(A119&lt;&gt;"",B118+C118,"")</f>
        <v>80000</v>
      </c>
      <c r="E118" s="199" t="n">
        <f aca="false">IF(A119="","",IF(AND(AT118=1,$H$3=1),D118*AO118,IF($H$3=2,D118,"N/A")))</f>
        <v>2400000</v>
      </c>
      <c r="F118" s="199" t="n">
        <f aca="false">IF(A119="","",E118*AS118)</f>
        <v>10702723.2330232</v>
      </c>
      <c r="G118" s="200" t="e">
        <f aca="false">IF($A119="","",VLOOKUP($A118,Table,MATCH(G$4,Curves,0)))</f>
        <v>#N/A</v>
      </c>
      <c r="H118" s="201" t="e">
        <f aca="false">IF(A119="","",G118)</f>
        <v>#N/A</v>
      </c>
      <c r="I118" s="202"/>
      <c r="J118" s="200" t="e">
        <f aca="false">IF($A119="","",VLOOKUP($A118,Table,MATCH(J$4,Curves,0)))</f>
        <v>#N/A</v>
      </c>
      <c r="K118" s="201" t="e">
        <f aca="false">IF(A119="","",J118)</f>
        <v>#N/A</v>
      </c>
      <c r="L118" s="200" t="e">
        <f aca="false">IF($A119="","",VLOOKUP($A118,Table,MATCH(L$4,Curves,0)))</f>
        <v>#N/A</v>
      </c>
      <c r="M118" s="201" t="e">
        <f aca="false">IF(A119="","",L118)</f>
        <v>#N/A</v>
      </c>
      <c r="N118" s="203"/>
      <c r="O118" s="200" t="e">
        <f aca="false">IF(A119="","",L118+J118+G118)</f>
        <v>#N/A</v>
      </c>
      <c r="P118" s="200" t="e">
        <f aca="false">IF(A119="","",M118+K118+H118)</f>
        <v>#N/A</v>
      </c>
      <c r="Q118" s="204"/>
      <c r="R118" s="200" t="e">
        <f aca="false">IF($A119="","",VLOOKUP($A118,Table,MATCH(R$4,Curves,0)))</f>
        <v>#N/A</v>
      </c>
      <c r="S118" s="201" t="e">
        <f aca="false">IF(A119="","",R118)</f>
        <v>#N/A</v>
      </c>
      <c r="T118" s="200" t="e">
        <f aca="false">IF($A119="","",VLOOKUP($A118,Table,MATCH(T$4,Curves,0)))</f>
        <v>#N/A</v>
      </c>
      <c r="U118" s="201" t="e">
        <f aca="false">IF(A119="","",T118)</f>
        <v>#N/A</v>
      </c>
      <c r="V118" s="183" t="e">
        <f aca="false">IF($A119="","",IF(AND(MONTH(A118)&gt;3,MONTH(A118)&lt;11),(T118+R118+G118)*Summary!$T$8/(1-Summary!$T$8),(T118+R118+G118)*Summary!$U$8/(1-Summary!$U$8)))</f>
        <v>#N/A</v>
      </c>
      <c r="W118" s="200" t="e">
        <f aca="false">IF($A119="","",(T118+R118+G118+V118))</f>
        <v>#N/A</v>
      </c>
      <c r="X118" s="200" t="e">
        <f aca="false">IF($A119="","",(U118+S118+H118+V118))</f>
        <v>#N/A</v>
      </c>
      <c r="Y118" s="202"/>
      <c r="Z118" s="185" t="e">
        <f aca="false">IF($A119="","",VLOOKUP($A118,Table,MATCH(Z$4,Curves,0)))</f>
        <v>#N/A</v>
      </c>
      <c r="AA118" s="185" t="e">
        <f aca="false">IF($A119="","",VLOOKUP($A118,Table,MATCH(AA$4,Curves,0)))</f>
        <v>#N/A</v>
      </c>
      <c r="AB118" s="185" t="e">
        <f aca="false">SQRT((AA118^2*(A118-$D$3)+Z118^2*(DAY(EOMONTH(A118,0))/2))/AK118)</f>
        <v>#N/A</v>
      </c>
      <c r="AC118" s="185" t="e">
        <f aca="false">IF($A119="","",VLOOKUP($A118,Table,MATCH(AC$4,Curves,0)))</f>
        <v>#N/A</v>
      </c>
      <c r="AD118" s="185" t="e">
        <f aca="false">IF($A119="","",VLOOKUP($A118,Table,MATCH(AD$4,Curves,0)))</f>
        <v>#N/A</v>
      </c>
      <c r="AE118" s="185" t="e">
        <f aca="false">SQRT((AD118^2*(A118-$D$3)+AC118^2*(DAY(EOMONTH(A118,0))/2))/AK118)</f>
        <v>#N/A</v>
      </c>
      <c r="AF118" s="224" t="e">
        <f aca="false">((Summary!$N$8*(AA118*AD118)*(A118-$D$3))+(Summary!$M$8*Z118*AC118*(AJ118-EOMONTH(EDATE(A118,-1),0))))/(AK118*AB118*AE118)</f>
        <v>#N/A</v>
      </c>
      <c r="AG118" s="207" t="n">
        <f aca="false">IF($A119="","",Summary!$Q$8)</f>
        <v>0</v>
      </c>
      <c r="AH118" s="207" t="n">
        <f aca="false">IF($A119="","",IF(Summary!$R$8="Y",(VLOOKUP($A118,Summary!$AD$6:$AF$9,3)+'Escalating commodity'!D131),'Escalating commodity'!D131))</f>
        <v>0.0200232</v>
      </c>
      <c r="AI118" s="207" t="n">
        <f aca="false">IF($A119="","",AH118)</f>
        <v>0.0200232</v>
      </c>
      <c r="AJ118" s="208" t="n">
        <f aca="false">A118+DAY(EOMONTH(A118,0))/2-1</f>
        <v>40344</v>
      </c>
      <c r="AK118" s="209" t="n">
        <f aca="false">IF($A119="","",$A118-$E$1)</f>
        <v>-5596</v>
      </c>
      <c r="AL118" s="182" t="e">
        <f aca="false">IF($A119="","",SPRDOPT(P118,X118,AI118,0,AB118,AE118,AF118,AK118,$AJ$2,0))</f>
        <v>#NAME?</v>
      </c>
      <c r="AM118" s="211" t="e">
        <f aca="false">IF($A119="","",MAX(0,O118-W118-AI118))</f>
        <v>#N/A</v>
      </c>
      <c r="AN118" s="211" t="e">
        <f aca="false">IF($A119="","",AL118-AM118)</f>
        <v>#N/A</v>
      </c>
      <c r="AO118" s="137" t="n">
        <f aca="false">IF(A119="","",A119-A118)</f>
        <v>30</v>
      </c>
      <c r="AP118" s="212" t="n">
        <f aca="false">IF(A119="","",CHOOSE(F$3,A119+24,A118))</f>
        <v>40330</v>
      </c>
      <c r="AQ118" s="209" t="n">
        <f aca="false">IF(A119="","",AP118-$E$1)</f>
        <v>-5596</v>
      </c>
      <c r="AR118" s="185" t="n">
        <f aca="false">'ANR OK vs ML7'!AR118</f>
        <v>0.1</v>
      </c>
      <c r="AS118" s="213" t="n">
        <f aca="false">IF(A119="","",1/(1+CHOOSE(F$3,(AR119+($I$3/10000))/2,(AR118+($I$3/10000))/2))^(2*AQ118/365.25))</f>
        <v>4.45946801375968</v>
      </c>
      <c r="AT118" s="137" t="n">
        <f aca="false">IF(A119="","",IF(AND(mthbeg&lt;=A118,mthend&gt;=A118),1,0))</f>
        <v>1</v>
      </c>
      <c r="AU118" s="137" t="n">
        <f aca="false">IF(A119="","",AO118*AT118)</f>
        <v>30</v>
      </c>
      <c r="AW118" s="195" t="e">
        <f aca="false">IF($A119="","",AL118*$E118)</f>
        <v>#NAME?</v>
      </c>
      <c r="AX118" s="195" t="e">
        <f aca="false">IF($A119="","",AM118*$E118)</f>
        <v>#N/A</v>
      </c>
      <c r="AY118" s="195" t="e">
        <f aca="false">IF($A119="","",AN118*$E118)</f>
        <v>#N/A</v>
      </c>
      <c r="BA118" s="195" t="n">
        <f aca="false">IF($A119="","",F118*Summary!$Q$8)</f>
        <v>0</v>
      </c>
      <c r="BC118" s="179" t="e">
        <f aca="false">IF(A119="","",AM118*F118)</f>
        <v>#N/A</v>
      </c>
    </row>
    <row r="119" customFormat="false" ht="12.75" hidden="false" customHeight="false" outlineLevel="0" collapsed="false">
      <c r="A119" s="196" t="n">
        <f aca="false">IF(A118&lt;mthend,EDATE(A118,1),"")</f>
        <v>40360</v>
      </c>
      <c r="B119" s="197" t="n">
        <f aca="false">IF(A119&lt;mthend,B118,0)</f>
        <v>80000</v>
      </c>
      <c r="C119" s="215"/>
      <c r="D119" s="197" t="n">
        <f aca="false">IF(A120&lt;&gt;"",B119+C119,"")</f>
        <v>80000</v>
      </c>
      <c r="E119" s="199" t="n">
        <f aca="false">IF(A120="","",IF(AND(AT119=1,$H$3=1),D119*AO119,IF($H$3=2,D119,"N/A")))</f>
        <v>2480000</v>
      </c>
      <c r="F119" s="199" t="n">
        <f aca="false">IF(A120="","",E119*AS119)</f>
        <v>10971195.2907004</v>
      </c>
      <c r="G119" s="200" t="e">
        <f aca="false">IF($A120="","",VLOOKUP($A119,Table,MATCH(G$4,Curves,0)))</f>
        <v>#N/A</v>
      </c>
      <c r="H119" s="201" t="e">
        <f aca="false">IF(A120="","",G119)</f>
        <v>#N/A</v>
      </c>
      <c r="I119" s="202"/>
      <c r="J119" s="200" t="e">
        <f aca="false">IF($A120="","",VLOOKUP($A119,Table,MATCH(J$4,Curves,0)))</f>
        <v>#N/A</v>
      </c>
      <c r="K119" s="201" t="e">
        <f aca="false">IF(A120="","",J119)</f>
        <v>#N/A</v>
      </c>
      <c r="L119" s="200" t="e">
        <f aca="false">IF($A120="","",VLOOKUP($A119,Table,MATCH(L$4,Curves,0)))</f>
        <v>#N/A</v>
      </c>
      <c r="M119" s="201" t="e">
        <f aca="false">IF(A120="","",L119)</f>
        <v>#N/A</v>
      </c>
      <c r="N119" s="203"/>
      <c r="O119" s="200" t="e">
        <f aca="false">IF(A120="","",L119+J119+G119)</f>
        <v>#N/A</v>
      </c>
      <c r="P119" s="200" t="e">
        <f aca="false">IF(A120="","",M119+K119+H119)</f>
        <v>#N/A</v>
      </c>
      <c r="Q119" s="204"/>
      <c r="R119" s="200" t="e">
        <f aca="false">IF($A120="","",VLOOKUP($A119,Table,MATCH(R$4,Curves,0)))</f>
        <v>#N/A</v>
      </c>
      <c r="S119" s="201" t="e">
        <f aca="false">IF(A120="","",R119)</f>
        <v>#N/A</v>
      </c>
      <c r="T119" s="200" t="e">
        <f aca="false">IF($A120="","",VLOOKUP($A119,Table,MATCH(T$4,Curves,0)))</f>
        <v>#N/A</v>
      </c>
      <c r="U119" s="201" t="e">
        <f aca="false">IF(A120="","",T119)</f>
        <v>#N/A</v>
      </c>
      <c r="V119" s="183" t="e">
        <f aca="false">IF($A120="","",IF(AND(MONTH(A119)&gt;3,MONTH(A119)&lt;11),(T119+R119+G119)*Summary!$T$8/(1-Summary!$T$8),(T119+R119+G119)*Summary!$U$8/(1-Summary!$U$8)))</f>
        <v>#N/A</v>
      </c>
      <c r="W119" s="200" t="e">
        <f aca="false">IF($A120="","",(T119+R119+G119+V119))</f>
        <v>#N/A</v>
      </c>
      <c r="X119" s="200" t="e">
        <f aca="false">IF($A120="","",(U119+S119+H119+V119))</f>
        <v>#N/A</v>
      </c>
      <c r="Y119" s="202"/>
      <c r="Z119" s="185" t="e">
        <f aca="false">IF($A120="","",VLOOKUP($A119,Table,MATCH(Z$4,Curves,0)))</f>
        <v>#N/A</v>
      </c>
      <c r="AA119" s="185" t="e">
        <f aca="false">IF($A120="","",VLOOKUP($A119,Table,MATCH(AA$4,Curves,0)))</f>
        <v>#N/A</v>
      </c>
      <c r="AB119" s="185" t="e">
        <f aca="false">SQRT((AA119^2*(A119-$D$3)+Z119^2*(DAY(EOMONTH(A119,0))/2))/AK119)</f>
        <v>#N/A</v>
      </c>
      <c r="AC119" s="185" t="e">
        <f aca="false">IF($A120="","",VLOOKUP($A119,Table,MATCH(AC$4,Curves,0)))</f>
        <v>#N/A</v>
      </c>
      <c r="AD119" s="185" t="e">
        <f aca="false">IF($A120="","",VLOOKUP($A119,Table,MATCH(AD$4,Curves,0)))</f>
        <v>#N/A</v>
      </c>
      <c r="AE119" s="185" t="e">
        <f aca="false">SQRT((AD119^2*(A119-$D$3)+AC119^2*(DAY(EOMONTH(A119,0))/2))/AK119)</f>
        <v>#N/A</v>
      </c>
      <c r="AF119" s="224" t="e">
        <f aca="false">((Summary!$N$8*(AA119*AD119)*(A119-$D$3))+(Summary!$M$8*Z119*AC119*(AJ119-EOMONTH(EDATE(A119,-1),0))))/(AK119*AB119*AE119)</f>
        <v>#N/A</v>
      </c>
      <c r="AG119" s="207" t="n">
        <f aca="false">IF($A120="","",Summary!$Q$8)</f>
        <v>0</v>
      </c>
      <c r="AH119" s="207" t="n">
        <f aca="false">IF($A120="","",IF(Summary!$R$8="Y",(VLOOKUP($A119,Summary!$AD$6:$AF$9,3)+'Escalating commodity'!D132),'Escalating commodity'!D132))</f>
        <v>0.0200232</v>
      </c>
      <c r="AI119" s="207" t="n">
        <f aca="false">IF($A120="","",AH119)</f>
        <v>0.0200232</v>
      </c>
      <c r="AJ119" s="208" t="n">
        <f aca="false">A119+DAY(EOMONTH(A119,0))/2-1</f>
        <v>40374.5</v>
      </c>
      <c r="AK119" s="209" t="n">
        <f aca="false">IF($A120="","",$A119-$E$1)</f>
        <v>-5566</v>
      </c>
      <c r="AL119" s="182" t="e">
        <f aca="false">IF($A120="","",SPRDOPT(P119,X119,AI119,0,AB119,AE119,AF119,AK119,$AJ$2,0))</f>
        <v>#NAME?</v>
      </c>
      <c r="AM119" s="211" t="e">
        <f aca="false">IF($A120="","",MAX(0,O119-W119-AI119))</f>
        <v>#N/A</v>
      </c>
      <c r="AN119" s="211" t="e">
        <f aca="false">IF($A120="","",AL119-AM119)</f>
        <v>#N/A</v>
      </c>
      <c r="AO119" s="137" t="n">
        <f aca="false">IF(A120="","",A120-A119)</f>
        <v>31</v>
      </c>
      <c r="AP119" s="212" t="n">
        <f aca="false">IF(A120="","",CHOOSE(F$3,A120+24,A119))</f>
        <v>40360</v>
      </c>
      <c r="AQ119" s="209" t="n">
        <f aca="false">IF(A120="","",AP119-$E$1)</f>
        <v>-5566</v>
      </c>
      <c r="AR119" s="185" t="n">
        <f aca="false">'ANR OK vs ML7'!AR119</f>
        <v>0.1</v>
      </c>
      <c r="AS119" s="213" t="n">
        <f aca="false">IF(A120="","",1/(1+CHOOSE(F$3,(AR120+($I$3/10000))/2,(AR119+($I$3/10000))/2))^(2*AQ119/365.25))</f>
        <v>4.42386906883081</v>
      </c>
      <c r="AT119" s="137" t="n">
        <f aca="false">IF(A120="","",IF(AND(mthbeg&lt;=A119,mthend&gt;=A119),1,0))</f>
        <v>1</v>
      </c>
      <c r="AU119" s="137" t="n">
        <f aca="false">IF(A120="","",AO119*AT119)</f>
        <v>31</v>
      </c>
      <c r="AW119" s="195" t="e">
        <f aca="false">IF($A120="","",AL119*$E119)</f>
        <v>#NAME?</v>
      </c>
      <c r="AX119" s="195" t="e">
        <f aca="false">IF($A120="","",AM119*$E119)</f>
        <v>#N/A</v>
      </c>
      <c r="AY119" s="195" t="e">
        <f aca="false">IF($A120="","",AN119*$E119)</f>
        <v>#N/A</v>
      </c>
      <c r="BA119" s="195" t="n">
        <f aca="false">IF($A120="","",F119*Summary!$Q$8)</f>
        <v>0</v>
      </c>
      <c r="BC119" s="179" t="e">
        <f aca="false">IF(A120="","",AM119*F119)</f>
        <v>#N/A</v>
      </c>
    </row>
    <row r="120" customFormat="false" ht="12.75" hidden="false" customHeight="false" outlineLevel="0" collapsed="false">
      <c r="A120" s="196" t="n">
        <f aca="false">IF(A119&lt;mthend,EDATE(A119,1),"")</f>
        <v>40391</v>
      </c>
      <c r="B120" s="197" t="n">
        <f aca="false">IF(A120&lt;mthend,B119,0)</f>
        <v>80000</v>
      </c>
      <c r="C120" s="215"/>
      <c r="D120" s="197" t="n">
        <f aca="false">IF(A121&lt;&gt;"",B120+C120,"")</f>
        <v>80000</v>
      </c>
      <c r="E120" s="199" t="n">
        <f aca="false">IF(A121="","",IF(AND(AT120=1,$H$3=1),D120*AO120,IF($H$3=2,D120,"N/A")))</f>
        <v>2480000</v>
      </c>
      <c r="F120" s="199" t="n">
        <f aca="false">IF(A121="","",E120*AS120)</f>
        <v>10880707.3876837</v>
      </c>
      <c r="G120" s="200" t="e">
        <f aca="false">IF($A121="","",VLOOKUP($A120,Table,MATCH(G$4,Curves,0)))</f>
        <v>#N/A</v>
      </c>
      <c r="H120" s="201" t="e">
        <f aca="false">IF(A121="","",G120)</f>
        <v>#N/A</v>
      </c>
      <c r="I120" s="202"/>
      <c r="J120" s="200" t="e">
        <f aca="false">IF($A121="","",VLOOKUP($A120,Table,MATCH(J$4,Curves,0)))</f>
        <v>#N/A</v>
      </c>
      <c r="K120" s="201" t="e">
        <f aca="false">IF(A121="","",J120)</f>
        <v>#N/A</v>
      </c>
      <c r="L120" s="200" t="e">
        <f aca="false">IF($A121="","",VLOOKUP($A120,Table,MATCH(L$4,Curves,0)))</f>
        <v>#N/A</v>
      </c>
      <c r="M120" s="201" t="e">
        <f aca="false">IF(A121="","",L120)</f>
        <v>#N/A</v>
      </c>
      <c r="N120" s="203"/>
      <c r="O120" s="200" t="e">
        <f aca="false">IF(A121="","",L120+J120+G120)</f>
        <v>#N/A</v>
      </c>
      <c r="P120" s="200" t="e">
        <f aca="false">IF(A121="","",M120+K120+H120)</f>
        <v>#N/A</v>
      </c>
      <c r="Q120" s="204"/>
      <c r="R120" s="200" t="e">
        <f aca="false">IF($A121="","",VLOOKUP($A120,Table,MATCH(R$4,Curves,0)))</f>
        <v>#N/A</v>
      </c>
      <c r="S120" s="201" t="e">
        <f aca="false">IF(A121="","",R120)</f>
        <v>#N/A</v>
      </c>
      <c r="T120" s="200" t="e">
        <f aca="false">IF($A121="","",VLOOKUP($A120,Table,MATCH(T$4,Curves,0)))</f>
        <v>#N/A</v>
      </c>
      <c r="U120" s="201" t="e">
        <f aca="false">IF(A121="","",T120)</f>
        <v>#N/A</v>
      </c>
      <c r="V120" s="183" t="e">
        <f aca="false">IF($A121="","",IF(AND(MONTH(A120)&gt;3,MONTH(A120)&lt;11),(T120+R120+G120)*Summary!$T$8/(1-Summary!$T$8),(T120+R120+G120)*Summary!$U$8/(1-Summary!$U$8)))</f>
        <v>#N/A</v>
      </c>
      <c r="W120" s="200" t="e">
        <f aca="false">IF($A121="","",(T120+R120+G120+V120))</f>
        <v>#N/A</v>
      </c>
      <c r="X120" s="200" t="e">
        <f aca="false">IF($A121="","",(U120+S120+H120+V120))</f>
        <v>#N/A</v>
      </c>
      <c r="Y120" s="202"/>
      <c r="Z120" s="185" t="e">
        <f aca="false">IF($A121="","",VLOOKUP($A120,Table,MATCH(Z$4,Curves,0)))</f>
        <v>#N/A</v>
      </c>
      <c r="AA120" s="185" t="e">
        <f aca="false">IF($A121="","",VLOOKUP($A120,Table,MATCH(AA$4,Curves,0)))</f>
        <v>#N/A</v>
      </c>
      <c r="AB120" s="185" t="e">
        <f aca="false">SQRT((AA120^2*(A120-$D$3)+Z120^2*(DAY(EOMONTH(A120,0))/2))/AK120)</f>
        <v>#N/A</v>
      </c>
      <c r="AC120" s="185" t="e">
        <f aca="false">IF($A121="","",VLOOKUP($A120,Table,MATCH(AC$4,Curves,0)))</f>
        <v>#N/A</v>
      </c>
      <c r="AD120" s="185" t="e">
        <f aca="false">IF($A121="","",VLOOKUP($A120,Table,MATCH(AD$4,Curves,0)))</f>
        <v>#N/A</v>
      </c>
      <c r="AE120" s="185" t="e">
        <f aca="false">SQRT((AD120^2*(A120-$D$3)+AC120^2*(DAY(EOMONTH(A120,0))/2))/AK120)</f>
        <v>#N/A</v>
      </c>
      <c r="AF120" s="224" t="e">
        <f aca="false">((Summary!$N$8*(AA120*AD120)*(A120-$D$3))+(Summary!$M$8*Z120*AC120*(AJ120-EOMONTH(EDATE(A120,-1),0))))/(AK120*AB120*AE120)</f>
        <v>#N/A</v>
      </c>
      <c r="AG120" s="207" t="n">
        <f aca="false">IF($A121="","",Summary!$Q$8)</f>
        <v>0</v>
      </c>
      <c r="AH120" s="207" t="n">
        <f aca="false">IF($A121="","",IF(Summary!$R$8="Y",(VLOOKUP($A120,Summary!$AD$6:$AF$9,3)+'Escalating commodity'!D133),'Escalating commodity'!D133))</f>
        <v>0.0200232</v>
      </c>
      <c r="AI120" s="207" t="n">
        <f aca="false">IF($A121="","",AH120)</f>
        <v>0.0200232</v>
      </c>
      <c r="AJ120" s="208" t="n">
        <f aca="false">A120+DAY(EOMONTH(A120,0))/2-1</f>
        <v>40405.5</v>
      </c>
      <c r="AK120" s="209" t="n">
        <f aca="false">IF($A121="","",$A120-$E$1)</f>
        <v>-5535</v>
      </c>
      <c r="AL120" s="182" t="e">
        <f aca="false">IF($A121="","",SPRDOPT(P120,X120,AI120,0,AB120,AE120,AF120,AK120,$AJ$2,0))</f>
        <v>#NAME?</v>
      </c>
      <c r="AM120" s="211" t="e">
        <f aca="false">IF($A121="","",MAX(0,O120-W120-AI120))</f>
        <v>#N/A</v>
      </c>
      <c r="AN120" s="211" t="e">
        <f aca="false">IF($A121="","",AL120-AM120)</f>
        <v>#N/A</v>
      </c>
      <c r="AO120" s="137" t="n">
        <f aca="false">IF(A121="","",A121-A120)</f>
        <v>31</v>
      </c>
      <c r="AP120" s="212" t="n">
        <f aca="false">IF(A121="","",CHOOSE(F$3,A121+24,A120))</f>
        <v>40391</v>
      </c>
      <c r="AQ120" s="209" t="n">
        <f aca="false">IF(A121="","",AP120-$E$1)</f>
        <v>-5535</v>
      </c>
      <c r="AR120" s="185" t="n">
        <f aca="false">'ANR OK vs ML7'!AR120</f>
        <v>0.1</v>
      </c>
      <c r="AS120" s="213" t="n">
        <f aca="false">IF(A121="","",1/(1+CHOOSE(F$3,(AR121+($I$3/10000))/2,(AR120+($I$3/10000))/2))^(2*AQ120/365.25))</f>
        <v>4.38738201116278</v>
      </c>
      <c r="AT120" s="137" t="n">
        <f aca="false">IF(A121="","",IF(AND(mthbeg&lt;=A120,mthend&gt;=A120),1,0))</f>
        <v>1</v>
      </c>
      <c r="AU120" s="137" t="n">
        <f aca="false">IF(A121="","",AO120*AT120)</f>
        <v>31</v>
      </c>
      <c r="AW120" s="195" t="e">
        <f aca="false">IF($A121="","",AL120*$E120)</f>
        <v>#NAME?</v>
      </c>
      <c r="AX120" s="195" t="e">
        <f aca="false">IF($A121="","",AM120*$E120)</f>
        <v>#N/A</v>
      </c>
      <c r="AY120" s="195" t="e">
        <f aca="false">IF($A121="","",AN120*$E120)</f>
        <v>#N/A</v>
      </c>
      <c r="BA120" s="195" t="n">
        <f aca="false">IF($A121="","",F120*Summary!$Q$8)</f>
        <v>0</v>
      </c>
      <c r="BC120" s="179" t="e">
        <f aca="false">IF(A121="","",AM120*F120)</f>
        <v>#N/A</v>
      </c>
    </row>
    <row r="121" customFormat="false" ht="12.75" hidden="false" customHeight="false" outlineLevel="0" collapsed="false">
      <c r="A121" s="196" t="n">
        <f aca="false">IF(A120&lt;mthend,EDATE(A120,1),"")</f>
        <v>40422</v>
      </c>
      <c r="B121" s="197" t="n">
        <f aca="false">IF(A121&lt;mthend,B120,0)</f>
        <v>80000</v>
      </c>
      <c r="C121" s="215"/>
      <c r="D121" s="197" t="n">
        <f aca="false">IF(A122&lt;&gt;"",B121+C121,"")</f>
        <v>80000</v>
      </c>
      <c r="E121" s="199" t="n">
        <f aca="false">IF(A122="","",IF(AND(AT121=1,$H$3=1),D121*AO121,IF($H$3=2,D121,"N/A")))</f>
        <v>2400000</v>
      </c>
      <c r="F121" s="199" t="n">
        <f aca="false">IF(A122="","",E121*AS121)</f>
        <v>10442870.1369114</v>
      </c>
      <c r="G121" s="200" t="e">
        <f aca="false">IF($A122="","",VLOOKUP($A121,Table,MATCH(G$4,Curves,0)))</f>
        <v>#N/A</v>
      </c>
      <c r="H121" s="201" t="e">
        <f aca="false">IF(A122="","",G121)</f>
        <v>#N/A</v>
      </c>
      <c r="I121" s="202"/>
      <c r="J121" s="200" t="e">
        <f aca="false">IF($A122="","",VLOOKUP($A121,Table,MATCH(J$4,Curves,0)))</f>
        <v>#N/A</v>
      </c>
      <c r="K121" s="201" t="e">
        <f aca="false">IF(A122="","",J121)</f>
        <v>#N/A</v>
      </c>
      <c r="L121" s="200" t="e">
        <f aca="false">IF($A122="","",VLOOKUP($A121,Table,MATCH(L$4,Curves,0)))</f>
        <v>#N/A</v>
      </c>
      <c r="M121" s="201" t="e">
        <f aca="false">IF(A122="","",L121)</f>
        <v>#N/A</v>
      </c>
      <c r="N121" s="203"/>
      <c r="O121" s="200" t="e">
        <f aca="false">IF(A122="","",L121+J121+G121)</f>
        <v>#N/A</v>
      </c>
      <c r="P121" s="200" t="e">
        <f aca="false">IF(A122="","",M121+K121+H121)</f>
        <v>#N/A</v>
      </c>
      <c r="Q121" s="204"/>
      <c r="R121" s="200" t="e">
        <f aca="false">IF($A122="","",VLOOKUP($A121,Table,MATCH(R$4,Curves,0)))</f>
        <v>#N/A</v>
      </c>
      <c r="S121" s="201" t="e">
        <f aca="false">IF(A122="","",R121)</f>
        <v>#N/A</v>
      </c>
      <c r="T121" s="200" t="e">
        <f aca="false">IF($A122="","",VLOOKUP($A121,Table,MATCH(T$4,Curves,0)))</f>
        <v>#N/A</v>
      </c>
      <c r="U121" s="201" t="e">
        <f aca="false">IF(A122="","",T121)</f>
        <v>#N/A</v>
      </c>
      <c r="V121" s="183" t="e">
        <f aca="false">IF($A122="","",IF(AND(MONTH(A121)&gt;3,MONTH(A121)&lt;11),(T121+R121+G121)*Summary!$T$8/(1-Summary!$T$8),(T121+R121+G121)*Summary!$U$8/(1-Summary!$U$8)))</f>
        <v>#N/A</v>
      </c>
      <c r="W121" s="200" t="e">
        <f aca="false">IF($A122="","",(T121+R121+G121+V121))</f>
        <v>#N/A</v>
      </c>
      <c r="X121" s="200" t="e">
        <f aca="false">IF($A122="","",(U121+S121+H121+V121))</f>
        <v>#N/A</v>
      </c>
      <c r="Y121" s="202"/>
      <c r="Z121" s="185" t="e">
        <f aca="false">IF($A122="","",VLOOKUP($A121,Table,MATCH(Z$4,Curves,0)))</f>
        <v>#N/A</v>
      </c>
      <c r="AA121" s="185" t="e">
        <f aca="false">IF($A122="","",VLOOKUP($A121,Table,MATCH(AA$4,Curves,0)))</f>
        <v>#N/A</v>
      </c>
      <c r="AB121" s="185" t="e">
        <f aca="false">SQRT((AA121^2*(A121-$D$3)+Z121^2*(DAY(EOMONTH(A121,0))/2))/AK121)</f>
        <v>#N/A</v>
      </c>
      <c r="AC121" s="185" t="e">
        <f aca="false">IF($A122="","",VLOOKUP($A121,Table,MATCH(AC$4,Curves,0)))</f>
        <v>#N/A</v>
      </c>
      <c r="AD121" s="185" t="e">
        <f aca="false">IF($A122="","",VLOOKUP($A121,Table,MATCH(AD$4,Curves,0)))</f>
        <v>#N/A</v>
      </c>
      <c r="AE121" s="185" t="e">
        <f aca="false">SQRT((AD121^2*(A121-$D$3)+AC121^2*(DAY(EOMONTH(A121,0))/2))/AK121)</f>
        <v>#N/A</v>
      </c>
      <c r="AF121" s="224" t="e">
        <f aca="false">((Summary!$N$8*(AA121*AD121)*(A121-$D$3))+(Summary!$M$8*Z121*AC121*(AJ121-EOMONTH(EDATE(A121,-1),0))))/(AK121*AB121*AE121)</f>
        <v>#N/A</v>
      </c>
      <c r="AG121" s="207" t="n">
        <f aca="false">IF($A122="","",Summary!$Q$8)</f>
        <v>0</v>
      </c>
      <c r="AH121" s="207" t="n">
        <f aca="false">IF($A122="","",IF(Summary!$R$8="Y",(VLOOKUP($A121,Summary!$AD$6:$AF$9,3)+'Escalating commodity'!D134),'Escalating commodity'!D134))</f>
        <v>0.0200232</v>
      </c>
      <c r="AI121" s="207" t="n">
        <f aca="false">IF($A122="","",AH121)</f>
        <v>0.0200232</v>
      </c>
      <c r="AJ121" s="208" t="n">
        <f aca="false">A121+DAY(EOMONTH(A121,0))/2-1</f>
        <v>40436</v>
      </c>
      <c r="AK121" s="209" t="n">
        <f aca="false">IF($A122="","",$A121-$E$1)</f>
        <v>-5504</v>
      </c>
      <c r="AL121" s="182" t="e">
        <f aca="false">IF($A122="","",SPRDOPT(P121,X121,AI121,0,AB121,AE121,AF121,AK121,$AJ$2,0))</f>
        <v>#NAME?</v>
      </c>
      <c r="AM121" s="211" t="e">
        <f aca="false">IF($A122="","",MAX(0,O121-W121-AI121))</f>
        <v>#N/A</v>
      </c>
      <c r="AN121" s="211" t="e">
        <f aca="false">IF($A122="","",AL121-AM121)</f>
        <v>#N/A</v>
      </c>
      <c r="AO121" s="137" t="n">
        <f aca="false">IF(A122="","",A122-A121)</f>
        <v>30</v>
      </c>
      <c r="AP121" s="212" t="n">
        <f aca="false">IF(A122="","",CHOOSE(F$3,A122+24,A121))</f>
        <v>40422</v>
      </c>
      <c r="AQ121" s="209" t="n">
        <f aca="false">IF(A122="","",AP121-$E$1)</f>
        <v>-5504</v>
      </c>
      <c r="AR121" s="185" t="n">
        <f aca="false">'ANR OK vs ML7'!AR121</f>
        <v>0.1</v>
      </c>
      <c r="AS121" s="213" t="n">
        <f aca="false">IF(A122="","",1/(1+CHOOSE(F$3,(AR122+($I$3/10000))/2,(AR121+($I$3/10000))/2))^(2*AQ121/365.25))</f>
        <v>4.35119589037976</v>
      </c>
      <c r="AT121" s="137" t="n">
        <f aca="false">IF(A122="","",IF(AND(mthbeg&lt;=A121,mthend&gt;=A121),1,0))</f>
        <v>1</v>
      </c>
      <c r="AU121" s="137" t="n">
        <f aca="false">IF(A122="","",AO121*AT121)</f>
        <v>30</v>
      </c>
      <c r="AW121" s="195" t="e">
        <f aca="false">IF($A122="","",AL121*$E121)</f>
        <v>#NAME?</v>
      </c>
      <c r="AX121" s="195" t="e">
        <f aca="false">IF($A122="","",AM121*$E121)</f>
        <v>#N/A</v>
      </c>
      <c r="AY121" s="195" t="e">
        <f aca="false">IF($A122="","",AN121*$E121)</f>
        <v>#N/A</v>
      </c>
      <c r="BA121" s="195" t="n">
        <f aca="false">IF($A122="","",F121*Summary!$Q$8)</f>
        <v>0</v>
      </c>
      <c r="BC121" s="179" t="e">
        <f aca="false">IF(A122="","",AM121*F121)</f>
        <v>#N/A</v>
      </c>
    </row>
    <row r="122" customFormat="false" ht="12.75" hidden="false" customHeight="false" outlineLevel="0" collapsed="false">
      <c r="A122" s="196" t="n">
        <f aca="false">IF(A121&lt;mthend,EDATE(A121,1),"")</f>
        <v>40452</v>
      </c>
      <c r="B122" s="197" t="n">
        <f aca="false">IF(A122&lt;mthend,B121,0)</f>
        <v>80000</v>
      </c>
      <c r="C122" s="215"/>
      <c r="D122" s="197" t="n">
        <f aca="false">IF(A123&lt;&gt;"",B122+C122,"")</f>
        <v>80000</v>
      </c>
      <c r="E122" s="199" t="n">
        <f aca="false">IF(A123="","",IF(AND(AT122=1,$H$3=1),D122*AO122,IF($H$3=2,D122,"N/A")))</f>
        <v>2480000</v>
      </c>
      <c r="F122" s="199" t="n">
        <f aca="false">IF(A123="","",E122*AS122)</f>
        <v>10704823.91939</v>
      </c>
      <c r="G122" s="200" t="e">
        <f aca="false">IF($A123="","",VLOOKUP($A122,Table,MATCH(G$4,Curves,0)))</f>
        <v>#N/A</v>
      </c>
      <c r="H122" s="201" t="e">
        <f aca="false">IF(A123="","",G122)</f>
        <v>#N/A</v>
      </c>
      <c r="I122" s="202"/>
      <c r="J122" s="200" t="e">
        <f aca="false">IF($A123="","",VLOOKUP($A122,Table,MATCH(J$4,Curves,0)))</f>
        <v>#N/A</v>
      </c>
      <c r="K122" s="201" t="e">
        <f aca="false">IF(A123="","",J122)</f>
        <v>#N/A</v>
      </c>
      <c r="L122" s="200" t="e">
        <f aca="false">IF($A123="","",VLOOKUP($A122,Table,MATCH(L$4,Curves,0)))</f>
        <v>#N/A</v>
      </c>
      <c r="M122" s="201" t="e">
        <f aca="false">IF(A123="","",L122)</f>
        <v>#N/A</v>
      </c>
      <c r="N122" s="203"/>
      <c r="O122" s="200" t="e">
        <f aca="false">IF(A123="","",L122+J122+G122)</f>
        <v>#N/A</v>
      </c>
      <c r="P122" s="200" t="e">
        <f aca="false">IF(A123="","",M122+K122+H122)</f>
        <v>#N/A</v>
      </c>
      <c r="Q122" s="204"/>
      <c r="R122" s="200" t="e">
        <f aca="false">IF($A123="","",VLOOKUP($A122,Table,MATCH(R$4,Curves,0)))</f>
        <v>#N/A</v>
      </c>
      <c r="S122" s="201" t="e">
        <f aca="false">IF(A123="","",R122)</f>
        <v>#N/A</v>
      </c>
      <c r="T122" s="200" t="e">
        <f aca="false">IF($A123="","",VLOOKUP($A122,Table,MATCH(T$4,Curves,0)))</f>
        <v>#N/A</v>
      </c>
      <c r="U122" s="201" t="e">
        <f aca="false">IF(A123="","",T122)</f>
        <v>#N/A</v>
      </c>
      <c r="V122" s="183" t="e">
        <f aca="false">IF($A123="","",IF(AND(MONTH(A122)&gt;3,MONTH(A122)&lt;11),(T122+R122+G122)*Summary!$T$8/(1-Summary!$T$8),(T122+R122+G122)*Summary!$U$8/(1-Summary!$U$8)))</f>
        <v>#N/A</v>
      </c>
      <c r="W122" s="200" t="e">
        <f aca="false">IF($A123="","",(T122+R122+G122+V122))</f>
        <v>#N/A</v>
      </c>
      <c r="X122" s="200" t="e">
        <f aca="false">IF($A123="","",(U122+S122+H122+V122))</f>
        <v>#N/A</v>
      </c>
      <c r="Y122" s="202"/>
      <c r="Z122" s="185" t="e">
        <f aca="false">IF($A123="","",VLOOKUP($A122,Table,MATCH(Z$4,Curves,0)))</f>
        <v>#N/A</v>
      </c>
      <c r="AA122" s="185" t="e">
        <f aca="false">IF($A123="","",VLOOKUP($A122,Table,MATCH(AA$4,Curves,0)))</f>
        <v>#N/A</v>
      </c>
      <c r="AB122" s="185" t="e">
        <f aca="false">SQRT((AA122^2*(A122-$D$3)+Z122^2*(DAY(EOMONTH(A122,0))/2))/AK122)</f>
        <v>#N/A</v>
      </c>
      <c r="AC122" s="185" t="e">
        <f aca="false">IF($A123="","",VLOOKUP($A122,Table,MATCH(AC$4,Curves,0)))</f>
        <v>#N/A</v>
      </c>
      <c r="AD122" s="185" t="e">
        <f aca="false">IF($A123="","",VLOOKUP($A122,Table,MATCH(AD$4,Curves,0)))</f>
        <v>#N/A</v>
      </c>
      <c r="AE122" s="185" t="e">
        <f aca="false">SQRT((AD122^2*(A122-$D$3)+AC122^2*(DAY(EOMONTH(A122,0))/2))/AK122)</f>
        <v>#N/A</v>
      </c>
      <c r="AF122" s="224" t="e">
        <f aca="false">((Summary!$N$8*(AA122*AD122)*(A122-$D$3))+(Summary!$M$8*Z122*AC122*(AJ122-EOMONTH(EDATE(A122,-1),0))))/(AK122*AB122*AE122)</f>
        <v>#N/A</v>
      </c>
      <c r="AG122" s="207" t="n">
        <f aca="false">IF($A123="","",Summary!$Q$8)</f>
        <v>0</v>
      </c>
      <c r="AH122" s="207" t="n">
        <f aca="false">IF($A123="","",IF(Summary!$R$8="Y",(VLOOKUP($A122,Summary!$AD$6:$AF$9,3)+'Escalating commodity'!D135),'Escalating commodity'!D135))</f>
        <v>0.0200232</v>
      </c>
      <c r="AI122" s="207" t="n">
        <f aca="false">IF($A123="","",AH122)</f>
        <v>0.0200232</v>
      </c>
      <c r="AJ122" s="208" t="n">
        <f aca="false">A122+DAY(EOMONTH(A122,0))/2-1</f>
        <v>40466.5</v>
      </c>
      <c r="AK122" s="209" t="n">
        <f aca="false">IF($A123="","",$A122-$E$1)</f>
        <v>-5474</v>
      </c>
      <c r="AL122" s="182" t="e">
        <f aca="false">IF($A123="","",SPRDOPT(P122,X122,AI122,0,AB122,AE122,AF122,AK122,$AJ$2,0))</f>
        <v>#NAME?</v>
      </c>
      <c r="AM122" s="211" t="e">
        <f aca="false">IF($A123="","",MAX(0,O122-W122-AI122))</f>
        <v>#N/A</v>
      </c>
      <c r="AN122" s="211" t="e">
        <f aca="false">IF($A123="","",AL122-AM122)</f>
        <v>#N/A</v>
      </c>
      <c r="AO122" s="137" t="n">
        <f aca="false">IF(A123="","",A123-A122)</f>
        <v>31</v>
      </c>
      <c r="AP122" s="212" t="n">
        <f aca="false">IF(A123="","",CHOOSE(F$3,A123+24,A122))</f>
        <v>40452</v>
      </c>
      <c r="AQ122" s="209" t="n">
        <f aca="false">IF(A123="","",AP122-$E$1)</f>
        <v>-5474</v>
      </c>
      <c r="AR122" s="185" t="n">
        <f aca="false">'ANR OK vs ML7'!AR122</f>
        <v>0.1</v>
      </c>
      <c r="AS122" s="213" t="n">
        <f aca="false">IF(A123="","",1/(1+CHOOSE(F$3,(AR123+($I$3/10000))/2,(AR122+($I$3/10000))/2))^(2*AQ122/365.25))</f>
        <v>4.31646125781855</v>
      </c>
      <c r="AT122" s="137" t="n">
        <f aca="false">IF(A123="","",IF(AND(mthbeg&lt;=A122,mthend&gt;=A122),1,0))</f>
        <v>1</v>
      </c>
      <c r="AU122" s="137" t="n">
        <f aca="false">IF(A123="","",AO122*AT122)</f>
        <v>31</v>
      </c>
      <c r="AW122" s="195" t="e">
        <f aca="false">IF($A123="","",AL122*$E122)</f>
        <v>#NAME?</v>
      </c>
      <c r="AX122" s="195" t="e">
        <f aca="false">IF($A123="","",AM122*$E122)</f>
        <v>#N/A</v>
      </c>
      <c r="AY122" s="195" t="e">
        <f aca="false">IF($A123="","",AN122*$E122)</f>
        <v>#N/A</v>
      </c>
      <c r="BA122" s="195" t="n">
        <f aca="false">IF($A123="","",F122*Summary!$Q$8)</f>
        <v>0</v>
      </c>
      <c r="BC122" s="179" t="e">
        <f aca="false">IF(A123="","",AM122*F122)</f>
        <v>#N/A</v>
      </c>
    </row>
    <row r="123" customFormat="false" ht="12.75" hidden="false" customHeight="false" outlineLevel="0" collapsed="false">
      <c r="A123" s="196" t="n">
        <f aca="false">IF(A122&lt;mthend,EDATE(A122,1),"")</f>
        <v>40483</v>
      </c>
      <c r="B123" s="197" t="n">
        <f aca="false">IF(A123&lt;mthend,B122,0)</f>
        <v>80000</v>
      </c>
      <c r="C123" s="215"/>
      <c r="D123" s="197" t="n">
        <f aca="false">IF(A124&lt;&gt;"",B123+C123,"")</f>
        <v>80000</v>
      </c>
      <c r="E123" s="199" t="n">
        <f aca="false">IF(A124="","",IF(AND(AT123=1,$H$3=1),D123*AO123,IF($H$3=2,D123,"N/A")))</f>
        <v>2400000</v>
      </c>
      <c r="F123" s="199" t="n">
        <f aca="false">IF(A124="","",E123*AS123)</f>
        <v>10274064.1803521</v>
      </c>
      <c r="G123" s="200" t="e">
        <f aca="false">IF($A124="","",VLOOKUP($A123,Table,MATCH(G$4,Curves,0)))</f>
        <v>#N/A</v>
      </c>
      <c r="H123" s="201" t="e">
        <f aca="false">IF(A124="","",G123)</f>
        <v>#N/A</v>
      </c>
      <c r="I123" s="202"/>
      <c r="J123" s="200" t="e">
        <f aca="false">IF($A124="","",VLOOKUP($A123,Table,MATCH(J$4,Curves,0)))</f>
        <v>#N/A</v>
      </c>
      <c r="K123" s="201" t="e">
        <f aca="false">IF(A124="","",J123)</f>
        <v>#N/A</v>
      </c>
      <c r="L123" s="200" t="e">
        <f aca="false">IF($A124="","",VLOOKUP($A123,Table,MATCH(L$4,Curves,0)))</f>
        <v>#N/A</v>
      </c>
      <c r="M123" s="201" t="e">
        <f aca="false">IF(A124="","",L123)</f>
        <v>#N/A</v>
      </c>
      <c r="N123" s="203"/>
      <c r="O123" s="200" t="e">
        <f aca="false">IF(A124="","",L123+J123+G123)</f>
        <v>#N/A</v>
      </c>
      <c r="P123" s="200" t="e">
        <f aca="false">IF(A124="","",M123+K123+H123)</f>
        <v>#N/A</v>
      </c>
      <c r="Q123" s="204"/>
      <c r="R123" s="200" t="e">
        <f aca="false">IF($A124="","",VLOOKUP($A123,Table,MATCH(R$4,Curves,0)))</f>
        <v>#N/A</v>
      </c>
      <c r="S123" s="201" t="e">
        <f aca="false">IF(A124="","",R123)</f>
        <v>#N/A</v>
      </c>
      <c r="T123" s="200" t="e">
        <f aca="false">IF($A124="","",VLOOKUP($A123,Table,MATCH(T$4,Curves,0)))</f>
        <v>#N/A</v>
      </c>
      <c r="U123" s="201" t="e">
        <f aca="false">IF(A124="","",T123)</f>
        <v>#N/A</v>
      </c>
      <c r="V123" s="183" t="e">
        <f aca="false">IF($A124="","",IF(AND(MONTH(A123)&gt;3,MONTH(A123)&lt;11),(T123+R123+G123)*Summary!$T$8/(1-Summary!$T$8),(T123+R123+G123)*Summary!$U$8/(1-Summary!$U$8)))</f>
        <v>#N/A</v>
      </c>
      <c r="W123" s="200" t="e">
        <f aca="false">IF($A124="","",(T123+R123+G123+V123))</f>
        <v>#N/A</v>
      </c>
      <c r="X123" s="200" t="e">
        <f aca="false">IF($A124="","",(U123+S123+H123+V123))</f>
        <v>#N/A</v>
      </c>
      <c r="Y123" s="202"/>
      <c r="Z123" s="185" t="e">
        <f aca="false">IF($A124="","",VLOOKUP($A123,Table,MATCH(Z$4,Curves,0)))</f>
        <v>#N/A</v>
      </c>
      <c r="AA123" s="185" t="e">
        <f aca="false">IF($A124="","",VLOOKUP($A123,Table,MATCH(AA$4,Curves,0)))</f>
        <v>#N/A</v>
      </c>
      <c r="AB123" s="185" t="e">
        <f aca="false">SQRT((AA123^2*(A123-$D$3)+Z123^2*(DAY(EOMONTH(A123,0))/2))/AK123)</f>
        <v>#N/A</v>
      </c>
      <c r="AC123" s="185" t="e">
        <f aca="false">IF($A124="","",VLOOKUP($A123,Table,MATCH(AC$4,Curves,0)))</f>
        <v>#N/A</v>
      </c>
      <c r="AD123" s="185" t="e">
        <f aca="false">IF($A124="","",VLOOKUP($A123,Table,MATCH(AD$4,Curves,0)))</f>
        <v>#N/A</v>
      </c>
      <c r="AE123" s="185" t="e">
        <f aca="false">SQRT((AD123^2*(A123-$D$3)+AC123^2*(DAY(EOMONTH(A123,0))/2))/AK123)</f>
        <v>#N/A</v>
      </c>
      <c r="AF123" s="224" t="e">
        <f aca="false">((Summary!$N$8*(AA123*AD123)*(A123-$D$3))+(Summary!$M$8*Z123*AC123*(AJ123-EOMONTH(EDATE(A123,-1),0))))/(AK123*AB123*AE123)</f>
        <v>#N/A</v>
      </c>
      <c r="AG123" s="207" t="n">
        <f aca="false">IF($A124="","",Summary!$Q$8)</f>
        <v>0</v>
      </c>
      <c r="AH123" s="207" t="n">
        <f aca="false">IF($A124="","",IF(Summary!$R$8="Y",(VLOOKUP($A123,Summary!$AD$6:$AF$9,3)+'Escalating commodity'!D136),'Escalating commodity'!D136))</f>
        <v>0.0200232</v>
      </c>
      <c r="AI123" s="207" t="n">
        <f aca="false">IF($A124="","",AH123)</f>
        <v>0.0200232</v>
      </c>
      <c r="AJ123" s="208" t="n">
        <f aca="false">A123+DAY(EOMONTH(A123,0))/2-1</f>
        <v>40497</v>
      </c>
      <c r="AK123" s="209" t="n">
        <f aca="false">IF($A124="","",$A123-$E$1)</f>
        <v>-5443</v>
      </c>
      <c r="AL123" s="182" t="e">
        <f aca="false">IF($A124="","",SPRDOPT(P123,X123,AI123,0,AB123,AE123,AF123,AK123,$AJ$2,0))</f>
        <v>#NAME?</v>
      </c>
      <c r="AM123" s="211" t="e">
        <f aca="false">IF($A124="","",MAX(0,O123-W123-AI123))</f>
        <v>#N/A</v>
      </c>
      <c r="AN123" s="211" t="e">
        <f aca="false">IF($A124="","",AL123-AM123)</f>
        <v>#N/A</v>
      </c>
      <c r="AO123" s="137" t="n">
        <f aca="false">IF(A124="","",A124-A123)</f>
        <v>30</v>
      </c>
      <c r="AP123" s="212" t="n">
        <f aca="false">IF(A124="","",CHOOSE(F$3,A124+24,A123))</f>
        <v>40483</v>
      </c>
      <c r="AQ123" s="209" t="n">
        <f aca="false">IF(A124="","",AP123-$E$1)</f>
        <v>-5443</v>
      </c>
      <c r="AR123" s="185" t="n">
        <f aca="false">'ANR OK vs ML7'!AR123</f>
        <v>0.1</v>
      </c>
      <c r="AS123" s="213" t="n">
        <f aca="false">IF(A124="","",1/(1+CHOOSE(F$3,(AR124+($I$3/10000))/2,(AR123+($I$3/10000))/2))^(2*AQ123/365.25))</f>
        <v>4.28086007514669</v>
      </c>
      <c r="AT123" s="137" t="n">
        <f aca="false">IF(A124="","",IF(AND(mthbeg&lt;=A123,mthend&gt;=A123),1,0))</f>
        <v>1</v>
      </c>
      <c r="AU123" s="137" t="n">
        <f aca="false">IF(A124="","",AO123*AT123)</f>
        <v>30</v>
      </c>
      <c r="AW123" s="195" t="e">
        <f aca="false">IF($A124="","",AL123*$E123)</f>
        <v>#NAME?</v>
      </c>
      <c r="AX123" s="195" t="e">
        <f aca="false">IF($A124="","",AM123*$E123)</f>
        <v>#N/A</v>
      </c>
      <c r="AY123" s="195" t="e">
        <f aca="false">IF($A124="","",AN123*$E123)</f>
        <v>#N/A</v>
      </c>
      <c r="BA123" s="195" t="n">
        <f aca="false">IF($A124="","",F123*Summary!$Q$8)</f>
        <v>0</v>
      </c>
      <c r="BC123" s="179" t="e">
        <f aca="false">IF(A124="","",AM123*F123)</f>
        <v>#N/A</v>
      </c>
    </row>
    <row r="124" customFormat="false" ht="12.75" hidden="false" customHeight="false" outlineLevel="0" collapsed="false">
      <c r="A124" s="196" t="n">
        <f aca="false">IF(A123&lt;mthend,EDATE(A123,1),"")</f>
        <v>40513</v>
      </c>
      <c r="B124" s="197" t="n">
        <f aca="false">IF(A124&lt;mthend,B123,0)</f>
        <v>80000</v>
      </c>
      <c r="C124" s="215"/>
      <c r="D124" s="197" t="n">
        <f aca="false">IF(A125&lt;&gt;"",B124+C124,"")</f>
        <v>80000</v>
      </c>
      <c r="E124" s="199" t="n">
        <f aca="false">IF(A125="","",IF(AND(AT124=1,$H$3=1),D124*AO124,IF($H$3=2,D124,"N/A")))</f>
        <v>2480000</v>
      </c>
      <c r="F124" s="199" t="n">
        <f aca="false">IF(A125="","",E124*AS124)</f>
        <v>10531783.5561737</v>
      </c>
      <c r="G124" s="200" t="e">
        <f aca="false">IF($A125="","",VLOOKUP($A124,Table,MATCH(G$4,Curves,0)))</f>
        <v>#N/A</v>
      </c>
      <c r="H124" s="201" t="e">
        <f aca="false">IF(A125="","",G124)</f>
        <v>#N/A</v>
      </c>
      <c r="I124" s="202"/>
      <c r="J124" s="200" t="e">
        <f aca="false">IF($A125="","",VLOOKUP($A124,Table,MATCH(J$4,Curves,0)))</f>
        <v>#N/A</v>
      </c>
      <c r="K124" s="201" t="e">
        <f aca="false">IF(A125="","",J124)</f>
        <v>#N/A</v>
      </c>
      <c r="L124" s="200" t="e">
        <f aca="false">IF($A125="","",VLOOKUP($A124,Table,MATCH(L$4,Curves,0)))</f>
        <v>#N/A</v>
      </c>
      <c r="M124" s="201" t="e">
        <f aca="false">IF(A125="","",L124)</f>
        <v>#N/A</v>
      </c>
      <c r="N124" s="203"/>
      <c r="O124" s="200" t="e">
        <f aca="false">IF(A125="","",L124+J124+G124)</f>
        <v>#N/A</v>
      </c>
      <c r="P124" s="200" t="e">
        <f aca="false">IF(A125="","",M124+K124+H124)</f>
        <v>#N/A</v>
      </c>
      <c r="Q124" s="204"/>
      <c r="R124" s="200" t="e">
        <f aca="false">IF($A125="","",VLOOKUP($A124,Table,MATCH(R$4,Curves,0)))</f>
        <v>#N/A</v>
      </c>
      <c r="S124" s="201" t="e">
        <f aca="false">IF(A125="","",R124)</f>
        <v>#N/A</v>
      </c>
      <c r="T124" s="200" t="e">
        <f aca="false">IF($A125="","",VLOOKUP($A124,Table,MATCH(T$4,Curves,0)))</f>
        <v>#N/A</v>
      </c>
      <c r="U124" s="201" t="e">
        <f aca="false">IF(A125="","",T124)</f>
        <v>#N/A</v>
      </c>
      <c r="V124" s="183" t="e">
        <f aca="false">IF($A125="","",IF(AND(MONTH(A124)&gt;3,MONTH(A124)&lt;11),(T124+R124+G124)*Summary!$T$8/(1-Summary!$T$8),(T124+R124+G124)*Summary!$U$8/(1-Summary!$U$8)))</f>
        <v>#N/A</v>
      </c>
      <c r="W124" s="200" t="e">
        <f aca="false">IF($A125="","",(T124+R124+G124+V124))</f>
        <v>#N/A</v>
      </c>
      <c r="X124" s="200" t="e">
        <f aca="false">IF($A125="","",(U124+S124+H124+V124))</f>
        <v>#N/A</v>
      </c>
      <c r="Y124" s="202"/>
      <c r="Z124" s="185" t="e">
        <f aca="false">IF($A125="","",VLOOKUP($A124,Table,MATCH(Z$4,Curves,0)))</f>
        <v>#N/A</v>
      </c>
      <c r="AA124" s="185" t="e">
        <f aca="false">IF($A125="","",VLOOKUP($A124,Table,MATCH(AA$4,Curves,0)))</f>
        <v>#N/A</v>
      </c>
      <c r="AB124" s="185" t="e">
        <f aca="false">SQRT((AA124^2*(A124-$D$3)+Z124^2*(DAY(EOMONTH(A124,0))/2))/AK124)</f>
        <v>#N/A</v>
      </c>
      <c r="AC124" s="185" t="e">
        <f aca="false">IF($A125="","",VLOOKUP($A124,Table,MATCH(AC$4,Curves,0)))</f>
        <v>#N/A</v>
      </c>
      <c r="AD124" s="185" t="e">
        <f aca="false">IF($A125="","",VLOOKUP($A124,Table,MATCH(AD$4,Curves,0)))</f>
        <v>#N/A</v>
      </c>
      <c r="AE124" s="185" t="e">
        <f aca="false">SQRT((AD124^2*(A124-$D$3)+AC124^2*(DAY(EOMONTH(A124,0))/2))/AK124)</f>
        <v>#N/A</v>
      </c>
      <c r="AF124" s="224" t="e">
        <f aca="false">((Summary!$N$8*(AA124*AD124)*(A124-$D$3))+(Summary!$M$8*Z124*AC124*(AJ124-EOMONTH(EDATE(A124,-1),0))))/(AK124*AB124*AE124)</f>
        <v>#N/A</v>
      </c>
      <c r="AG124" s="207" t="n">
        <f aca="false">IF($A125="","",Summary!$Q$8)</f>
        <v>0</v>
      </c>
      <c r="AH124" s="207" t="n">
        <f aca="false">IF($A125="","",IF(Summary!$R$8="Y",(VLOOKUP($A124,Summary!$AD$6:$AF$9,3)+'Escalating commodity'!D137),'Escalating commodity'!D137))</f>
        <v>0.0200232</v>
      </c>
      <c r="AI124" s="207" t="n">
        <f aca="false">IF($A125="","",AH124)</f>
        <v>0.0200232</v>
      </c>
      <c r="AJ124" s="208" t="n">
        <f aca="false">A124+DAY(EOMONTH(A124,0))/2-1</f>
        <v>40527.5</v>
      </c>
      <c r="AK124" s="209" t="n">
        <f aca="false">IF($A125="","",$A124-$E$1)</f>
        <v>-5413</v>
      </c>
      <c r="AL124" s="182" t="e">
        <f aca="false">IF($A125="","",SPRDOPT(P124,X124,AI124,0,AB124,AE124,AF124,AK124,$AJ$2,0))</f>
        <v>#NAME?</v>
      </c>
      <c r="AM124" s="211" t="e">
        <f aca="false">IF($A125="","",MAX(0,O124-W124-AI124))</f>
        <v>#N/A</v>
      </c>
      <c r="AN124" s="211" t="e">
        <f aca="false">IF($A125="","",AL124-AM124)</f>
        <v>#N/A</v>
      </c>
      <c r="AO124" s="137" t="n">
        <f aca="false">IF(A125="","",A125-A124)</f>
        <v>31</v>
      </c>
      <c r="AP124" s="212" t="n">
        <f aca="false">IF(A125="","",CHOOSE(F$3,A125+24,A124))</f>
        <v>40513</v>
      </c>
      <c r="AQ124" s="209" t="n">
        <f aca="false">IF(A125="","",AP124-$E$1)</f>
        <v>-5413</v>
      </c>
      <c r="AR124" s="185" t="n">
        <f aca="false">'ANR OK vs ML7'!AR124</f>
        <v>0.1</v>
      </c>
      <c r="AS124" s="213" t="n">
        <f aca="false">IF(A125="","",1/(1+CHOOSE(F$3,(AR125+($I$3/10000))/2,(AR124+($I$3/10000))/2))^(2*AQ124/365.25))</f>
        <v>4.24668691781197</v>
      </c>
      <c r="AT124" s="137" t="n">
        <f aca="false">IF(A125="","",IF(AND(mthbeg&lt;=A124,mthend&gt;=A124),1,0))</f>
        <v>1</v>
      </c>
      <c r="AU124" s="137" t="n">
        <f aca="false">IF(A125="","",AO124*AT124)</f>
        <v>31</v>
      </c>
      <c r="AW124" s="195" t="e">
        <f aca="false">IF($A125="","",AL124*$E124)</f>
        <v>#NAME?</v>
      </c>
      <c r="AX124" s="195" t="e">
        <f aca="false">IF($A125="","",AM124*$E124)</f>
        <v>#N/A</v>
      </c>
      <c r="AY124" s="195" t="e">
        <f aca="false">IF($A125="","",AN124*$E124)</f>
        <v>#N/A</v>
      </c>
      <c r="BA124" s="195" t="n">
        <f aca="false">IF($A125="","",F124*Summary!$Q$8)</f>
        <v>0</v>
      </c>
      <c r="BC124" s="179" t="e">
        <f aca="false">IF(A125="","",AM124*F124)</f>
        <v>#N/A</v>
      </c>
    </row>
    <row r="125" customFormat="false" ht="12.75" hidden="false" customHeight="false" outlineLevel="0" collapsed="false">
      <c r="A125" s="196" t="n">
        <f aca="false">IF(A124&lt;mthend,EDATE(A124,1),"")</f>
        <v>40544</v>
      </c>
      <c r="B125" s="197" t="n">
        <f aca="false">IF(A125&lt;mthend,B124,0)</f>
        <v>80000</v>
      </c>
      <c r="C125" s="215"/>
      <c r="D125" s="197" t="n">
        <f aca="false">IF(A126&lt;&gt;"",B125+C125,"")</f>
        <v>80000</v>
      </c>
      <c r="E125" s="199" t="n">
        <f aca="false">IF(A126="","",IF(AND(AT125=1,$H$3=1),D125*AO125,IF($H$3=2,D125,"N/A")))</f>
        <v>2480000</v>
      </c>
      <c r="F125" s="199" t="n">
        <f aca="false">IF(A126="","",E125*AS125)</f>
        <v>10444919.8203844</v>
      </c>
      <c r="G125" s="200" t="e">
        <f aca="false">IF($A126="","",VLOOKUP($A125,Table,MATCH(G$4,Curves,0)))</f>
        <v>#N/A</v>
      </c>
      <c r="H125" s="201" t="e">
        <f aca="false">IF(A126="","",G125)</f>
        <v>#N/A</v>
      </c>
      <c r="I125" s="202"/>
      <c r="J125" s="200" t="e">
        <f aca="false">IF($A126="","",VLOOKUP($A125,Table,MATCH(J$4,Curves,0)))</f>
        <v>#N/A</v>
      </c>
      <c r="K125" s="201" t="e">
        <f aca="false">IF(A126="","",J125)</f>
        <v>#N/A</v>
      </c>
      <c r="L125" s="200" t="e">
        <f aca="false">IF($A126="","",VLOOKUP($A125,Table,MATCH(L$4,Curves,0)))</f>
        <v>#N/A</v>
      </c>
      <c r="M125" s="201" t="e">
        <f aca="false">IF(A126="","",L125)</f>
        <v>#N/A</v>
      </c>
      <c r="N125" s="203"/>
      <c r="O125" s="200" t="e">
        <f aca="false">IF(A126="","",L125+J125+G125)</f>
        <v>#N/A</v>
      </c>
      <c r="P125" s="200" t="e">
        <f aca="false">IF(A126="","",M125+K125+H125)</f>
        <v>#N/A</v>
      </c>
      <c r="Q125" s="204"/>
      <c r="R125" s="200" t="e">
        <f aca="false">IF($A126="","",VLOOKUP($A125,Table,MATCH(R$4,Curves,0)))</f>
        <v>#N/A</v>
      </c>
      <c r="S125" s="201" t="e">
        <f aca="false">IF(A126="","",R125)</f>
        <v>#N/A</v>
      </c>
      <c r="T125" s="200" t="e">
        <f aca="false">IF($A126="","",VLOOKUP($A125,Table,MATCH(T$4,Curves,0)))</f>
        <v>#N/A</v>
      </c>
      <c r="U125" s="201" t="e">
        <f aca="false">IF(A126="","",T125)</f>
        <v>#N/A</v>
      </c>
      <c r="V125" s="183" t="e">
        <f aca="false">IF($A126="","",IF(AND(MONTH(A125)&gt;3,MONTH(A125)&lt;11),(T125+R125+G125)*Summary!$T$8/(1-Summary!$T$8),(T125+R125+G125)*Summary!$U$8/(1-Summary!$U$8)))</f>
        <v>#N/A</v>
      </c>
      <c r="W125" s="200" t="e">
        <f aca="false">IF($A126="","",(T125+R125+G125+V125))</f>
        <v>#N/A</v>
      </c>
      <c r="X125" s="200" t="e">
        <f aca="false">IF($A126="","",(U125+S125+H125+V125))</f>
        <v>#N/A</v>
      </c>
      <c r="Y125" s="202"/>
      <c r="Z125" s="185" t="e">
        <f aca="false">IF($A126="","",VLOOKUP($A125,Table,MATCH(Z$4,Curves,0)))</f>
        <v>#N/A</v>
      </c>
      <c r="AA125" s="185" t="e">
        <f aca="false">IF($A126="","",VLOOKUP($A125,Table,MATCH(AA$4,Curves,0)))</f>
        <v>#N/A</v>
      </c>
      <c r="AB125" s="185" t="e">
        <f aca="false">SQRT((AA125^2*(A125-$D$3)+Z125^2*(DAY(EOMONTH(A125,0))/2))/AK125)</f>
        <v>#N/A</v>
      </c>
      <c r="AC125" s="185" t="e">
        <f aca="false">IF($A126="","",VLOOKUP($A125,Table,MATCH(AC$4,Curves,0)))</f>
        <v>#N/A</v>
      </c>
      <c r="AD125" s="185" t="e">
        <f aca="false">IF($A126="","",VLOOKUP($A125,Table,MATCH(AD$4,Curves,0)))</f>
        <v>#N/A</v>
      </c>
      <c r="AE125" s="185" t="e">
        <f aca="false">SQRT((AD125^2*(A125-$D$3)+AC125^2*(DAY(EOMONTH(A125,0))/2))/AK125)</f>
        <v>#N/A</v>
      </c>
      <c r="AF125" s="224" t="e">
        <f aca="false">((Summary!$N$8*(AA125*AD125)*(A125-$D$3))+(Summary!$M$8*Z125*AC125*(AJ125-EOMONTH(EDATE(A125,-1),0))))/(AK125*AB125*AE125)</f>
        <v>#N/A</v>
      </c>
      <c r="AG125" s="207" t="n">
        <f aca="false">IF($A126="","",Summary!$Q$8)</f>
        <v>0</v>
      </c>
      <c r="AH125" s="207" t="n">
        <f aca="false">IF($A126="","",IF(Summary!$R$8="Y",(VLOOKUP($A125,Summary!$AD$6:$AF$9,3)+'Escalating commodity'!D138),'Escalating commodity'!D138))</f>
        <v>0.0200232</v>
      </c>
      <c r="AI125" s="207" t="n">
        <f aca="false">IF($A126="","",AH125)</f>
        <v>0.0200232</v>
      </c>
      <c r="AJ125" s="208" t="n">
        <f aca="false">A125+DAY(EOMONTH(A125,0))/2-1</f>
        <v>40558.5</v>
      </c>
      <c r="AK125" s="209" t="n">
        <f aca="false">IF($A126="","",$A125-$E$1)</f>
        <v>-5382</v>
      </c>
      <c r="AL125" s="182" t="e">
        <f aca="false">IF($A126="","",SPRDOPT(P125,X125,AI125,0,AB125,AE125,AF125,AK125,$AJ$2,0))</f>
        <v>#NAME?</v>
      </c>
      <c r="AM125" s="211" t="e">
        <f aca="false">IF($A126="","",MAX(0,O125-W125-AI125))</f>
        <v>#N/A</v>
      </c>
      <c r="AN125" s="211" t="e">
        <f aca="false">IF($A126="","",AL125-AM125)</f>
        <v>#N/A</v>
      </c>
      <c r="AO125" s="137" t="n">
        <f aca="false">IF(A126="","",A126-A125)</f>
        <v>31</v>
      </c>
      <c r="AP125" s="212" t="n">
        <f aca="false">IF(A126="","",CHOOSE(F$3,A126+24,A125))</f>
        <v>40544</v>
      </c>
      <c r="AQ125" s="209" t="n">
        <f aca="false">IF(A126="","",AP125-$E$1)</f>
        <v>-5382</v>
      </c>
      <c r="AR125" s="185" t="n">
        <f aca="false">'ANR OK vs ML7'!AR125</f>
        <v>0.1</v>
      </c>
      <c r="AS125" s="213" t="n">
        <f aca="false">IF(A126="","",1/(1+CHOOSE(F$3,(AR126+($I$3/10000))/2,(AR125+($I$3/10000))/2))^(2*AQ125/365.25))</f>
        <v>4.21166121789694</v>
      </c>
      <c r="AT125" s="137" t="n">
        <f aca="false">IF(A126="","",IF(AND(mthbeg&lt;=A125,mthend&gt;=A125),1,0))</f>
        <v>1</v>
      </c>
      <c r="AU125" s="137" t="n">
        <f aca="false">IF(A126="","",AO125*AT125)</f>
        <v>31</v>
      </c>
      <c r="AW125" s="195" t="e">
        <f aca="false">IF($A126="","",AL125*$E125)</f>
        <v>#NAME?</v>
      </c>
      <c r="AX125" s="195" t="e">
        <f aca="false">IF($A126="","",AM125*$E125)</f>
        <v>#N/A</v>
      </c>
      <c r="AY125" s="195" t="e">
        <f aca="false">IF($A126="","",AN125*$E125)</f>
        <v>#N/A</v>
      </c>
      <c r="BA125" s="195" t="n">
        <f aca="false">IF($A126="","",F125*Summary!$Q$8)</f>
        <v>0</v>
      </c>
      <c r="BC125" s="179" t="e">
        <f aca="false">IF(A126="","",AM125*F125)</f>
        <v>#N/A</v>
      </c>
    </row>
    <row r="126" customFormat="false" ht="12.75" hidden="false" customHeight="false" outlineLevel="0" collapsed="false">
      <c r="A126" s="196" t="n">
        <f aca="false">IF(A125&lt;mthend,EDATE(A125,1),"")</f>
        <v>40575</v>
      </c>
      <c r="B126" s="197" t="n">
        <f aca="false">IF(A126&lt;mthend,B125,0)</f>
        <v>80000</v>
      </c>
      <c r="C126" s="215"/>
      <c r="D126" s="197" t="n">
        <f aca="false">IF(A127&lt;&gt;"",B126+C126,"")</f>
        <v>80000</v>
      </c>
      <c r="E126" s="199" t="n">
        <f aca="false">IF(A127="","",IF(AND(AT126=1,$H$3=1),D126*AO126,IF($H$3=2,D126,"N/A")))</f>
        <v>2240000</v>
      </c>
      <c r="F126" s="199" t="n">
        <f aca="false">IF(A127="","",E126*AS126)</f>
        <v>9356310.66030811</v>
      </c>
      <c r="G126" s="200" t="e">
        <f aca="false">IF($A127="","",VLOOKUP($A126,Table,MATCH(G$4,Curves,0)))</f>
        <v>#N/A</v>
      </c>
      <c r="H126" s="201" t="e">
        <f aca="false">IF(A127="","",G126)</f>
        <v>#N/A</v>
      </c>
      <c r="I126" s="202"/>
      <c r="J126" s="200" t="e">
        <f aca="false">IF($A127="","",VLOOKUP($A126,Table,MATCH(J$4,Curves,0)))</f>
        <v>#N/A</v>
      </c>
      <c r="K126" s="201" t="e">
        <f aca="false">IF(A127="","",J126)</f>
        <v>#N/A</v>
      </c>
      <c r="L126" s="200" t="e">
        <f aca="false">IF($A127="","",VLOOKUP($A126,Table,MATCH(L$4,Curves,0)))</f>
        <v>#N/A</v>
      </c>
      <c r="M126" s="201" t="e">
        <f aca="false">IF(A127="","",L126)</f>
        <v>#N/A</v>
      </c>
      <c r="N126" s="203"/>
      <c r="O126" s="200" t="e">
        <f aca="false">IF(A127="","",L126+J126+G126)</f>
        <v>#N/A</v>
      </c>
      <c r="P126" s="200" t="e">
        <f aca="false">IF(A127="","",M126+K126+H126)</f>
        <v>#N/A</v>
      </c>
      <c r="Q126" s="204"/>
      <c r="R126" s="200" t="e">
        <f aca="false">IF($A127="","",VLOOKUP($A126,Table,MATCH(R$4,Curves,0)))</f>
        <v>#N/A</v>
      </c>
      <c r="S126" s="201" t="e">
        <f aca="false">IF(A127="","",R126)</f>
        <v>#N/A</v>
      </c>
      <c r="T126" s="200" t="e">
        <f aca="false">IF($A127="","",VLOOKUP($A126,Table,MATCH(T$4,Curves,0)))</f>
        <v>#N/A</v>
      </c>
      <c r="U126" s="201" t="e">
        <f aca="false">IF(A127="","",T126)</f>
        <v>#N/A</v>
      </c>
      <c r="V126" s="183" t="e">
        <f aca="false">IF($A127="","",IF(AND(MONTH(A126)&gt;3,MONTH(A126)&lt;11),(T126+R126+G126)*Summary!$T$8/(1-Summary!$T$8),(T126+R126+G126)*Summary!$U$8/(1-Summary!$U$8)))</f>
        <v>#N/A</v>
      </c>
      <c r="W126" s="200" t="e">
        <f aca="false">IF($A127="","",(T126+R126+G126+V126))</f>
        <v>#N/A</v>
      </c>
      <c r="X126" s="200" t="e">
        <f aca="false">IF($A127="","",(U126+S126+H126+V126))</f>
        <v>#N/A</v>
      </c>
      <c r="Y126" s="202"/>
      <c r="Z126" s="185" t="e">
        <f aca="false">IF($A127="","",VLOOKUP($A126,Table,MATCH(Z$4,Curves,0)))</f>
        <v>#N/A</v>
      </c>
      <c r="AA126" s="185" t="e">
        <f aca="false">IF($A127="","",VLOOKUP($A126,Table,MATCH(AA$4,Curves,0)))</f>
        <v>#N/A</v>
      </c>
      <c r="AB126" s="185" t="e">
        <f aca="false">SQRT((AA126^2*(A126-$D$3)+Z126^2*(DAY(EOMONTH(A126,0))/2))/AK126)</f>
        <v>#N/A</v>
      </c>
      <c r="AC126" s="185" t="e">
        <f aca="false">IF($A127="","",VLOOKUP($A126,Table,MATCH(AC$4,Curves,0)))</f>
        <v>#N/A</v>
      </c>
      <c r="AD126" s="185" t="e">
        <f aca="false">IF($A127="","",VLOOKUP($A126,Table,MATCH(AD$4,Curves,0)))</f>
        <v>#N/A</v>
      </c>
      <c r="AE126" s="185" t="e">
        <f aca="false">SQRT((AD126^2*(A126-$D$3)+AC126^2*(DAY(EOMONTH(A126,0))/2))/AK126)</f>
        <v>#N/A</v>
      </c>
      <c r="AF126" s="224" t="e">
        <f aca="false">((Summary!$N$8*(AA126*AD126)*(A126-$D$3))+(Summary!$M$8*Z126*AC126*(AJ126-EOMONTH(EDATE(A126,-1),0))))/(AK126*AB126*AE126)</f>
        <v>#N/A</v>
      </c>
      <c r="AG126" s="207" t="n">
        <f aca="false">IF($A127="","",Summary!$Q$8)</f>
        <v>0</v>
      </c>
      <c r="AH126" s="207" t="n">
        <f aca="false">IF($A127="","",IF(Summary!$R$8="Y",(VLOOKUP($A126,Summary!$AD$6:$AF$9,3)+'Escalating commodity'!D139),'Escalating commodity'!D139))</f>
        <v>0.0200232</v>
      </c>
      <c r="AI126" s="207" t="n">
        <f aca="false">IF($A127="","",AH126)</f>
        <v>0.0200232</v>
      </c>
      <c r="AJ126" s="208" t="n">
        <f aca="false">A126+DAY(EOMONTH(A126,0))/2-1</f>
        <v>40588</v>
      </c>
      <c r="AK126" s="209" t="n">
        <f aca="false">IF($A127="","",$A126-$E$1)</f>
        <v>-5351</v>
      </c>
      <c r="AL126" s="182" t="e">
        <f aca="false">IF($A127="","",SPRDOPT(P126,X126,AI126,0,AB126,AE126,AF126,AK126,$AJ$2,0))</f>
        <v>#NAME?</v>
      </c>
      <c r="AM126" s="211" t="e">
        <f aca="false">IF($A127="","",MAX(0,O126-W126-AI126))</f>
        <v>#N/A</v>
      </c>
      <c r="AN126" s="211" t="e">
        <f aca="false">IF($A127="","",AL126-AM126)</f>
        <v>#N/A</v>
      </c>
      <c r="AO126" s="137" t="n">
        <f aca="false">IF(A127="","",A127-A126)</f>
        <v>28</v>
      </c>
      <c r="AP126" s="212" t="n">
        <f aca="false">IF(A127="","",CHOOSE(F$3,A127+24,A126))</f>
        <v>40575</v>
      </c>
      <c r="AQ126" s="209" t="n">
        <f aca="false">IF(A127="","",AP126-$E$1)</f>
        <v>-5351</v>
      </c>
      <c r="AR126" s="185" t="n">
        <f aca="false">'ANR OK vs ML7'!AR126</f>
        <v>0.1</v>
      </c>
      <c r="AS126" s="213" t="n">
        <f aca="false">IF(A127="","",1/(1+CHOOSE(F$3,(AR127+($I$3/10000))/2,(AR126+($I$3/10000))/2))^(2*AQ126/365.25))</f>
        <v>4.17692440192326</v>
      </c>
      <c r="AT126" s="137" t="n">
        <f aca="false">IF(A127="","",IF(AND(mthbeg&lt;=A126,mthend&gt;=A126),1,0))</f>
        <v>1</v>
      </c>
      <c r="AU126" s="137" t="n">
        <f aca="false">IF(A127="","",AO126*AT126)</f>
        <v>28</v>
      </c>
      <c r="AW126" s="195" t="e">
        <f aca="false">IF($A127="","",AL126*$E126)</f>
        <v>#NAME?</v>
      </c>
      <c r="AX126" s="195" t="e">
        <f aca="false">IF($A127="","",AM126*$E126)</f>
        <v>#N/A</v>
      </c>
      <c r="AY126" s="195" t="e">
        <f aca="false">IF($A127="","",AN126*$E126)</f>
        <v>#N/A</v>
      </c>
      <c r="BA126" s="195" t="n">
        <f aca="false">IF($A127="","",F126*Summary!$Q$8)</f>
        <v>0</v>
      </c>
      <c r="BC126" s="179" t="e">
        <f aca="false">IF(A127="","",AM126*F126)</f>
        <v>#N/A</v>
      </c>
    </row>
    <row r="127" customFormat="false" ht="12.75" hidden="false" customHeight="false" outlineLevel="0" collapsed="false">
      <c r="A127" s="196" t="n">
        <f aca="false">IF(A126&lt;mthend,EDATE(A126,1),"")</f>
        <v>40603</v>
      </c>
      <c r="B127" s="197" t="n">
        <f aca="false">IF(A127&lt;mthend,B126,0)</f>
        <v>80000</v>
      </c>
      <c r="C127" s="215"/>
      <c r="D127" s="197" t="n">
        <f aca="false">IF(A128&lt;&gt;"",B127+C127,"")</f>
        <v>80000</v>
      </c>
      <c r="E127" s="199" t="n">
        <f aca="false">IF(A128="","",IF(AND(AT127=1,$H$3=1),D127*AO127,IF($H$3=2,D127,"N/A")))</f>
        <v>2480000</v>
      </c>
      <c r="F127" s="199" t="n">
        <f aca="false">IF(A128="","",E127*AS127)</f>
        <v>10281572.9216937</v>
      </c>
      <c r="G127" s="200" t="e">
        <f aca="false">IF($A128="","",VLOOKUP($A127,Table,MATCH(G$4,Curves,0)))</f>
        <v>#N/A</v>
      </c>
      <c r="H127" s="201" t="e">
        <f aca="false">IF(A128="","",G127)</f>
        <v>#N/A</v>
      </c>
      <c r="I127" s="202"/>
      <c r="J127" s="200" t="e">
        <f aca="false">IF($A128="","",VLOOKUP($A127,Table,MATCH(J$4,Curves,0)))</f>
        <v>#N/A</v>
      </c>
      <c r="K127" s="201" t="e">
        <f aca="false">IF(A128="","",J127)</f>
        <v>#N/A</v>
      </c>
      <c r="L127" s="200" t="e">
        <f aca="false">IF($A128="","",VLOOKUP($A127,Table,MATCH(L$4,Curves,0)))</f>
        <v>#N/A</v>
      </c>
      <c r="M127" s="201" t="e">
        <f aca="false">IF(A128="","",L127)</f>
        <v>#N/A</v>
      </c>
      <c r="N127" s="203"/>
      <c r="O127" s="200" t="e">
        <f aca="false">IF(A128="","",L127+J127+G127)</f>
        <v>#N/A</v>
      </c>
      <c r="P127" s="200" t="e">
        <f aca="false">IF(A128="","",M127+K127+H127)</f>
        <v>#N/A</v>
      </c>
      <c r="Q127" s="204"/>
      <c r="R127" s="200" t="e">
        <f aca="false">IF($A128="","",VLOOKUP($A127,Table,MATCH(R$4,Curves,0)))</f>
        <v>#N/A</v>
      </c>
      <c r="S127" s="201" t="e">
        <f aca="false">IF(A128="","",R127)</f>
        <v>#N/A</v>
      </c>
      <c r="T127" s="200" t="e">
        <f aca="false">IF($A128="","",VLOOKUP($A127,Table,MATCH(T$4,Curves,0)))</f>
        <v>#N/A</v>
      </c>
      <c r="U127" s="201" t="e">
        <f aca="false">IF(A128="","",T127)</f>
        <v>#N/A</v>
      </c>
      <c r="V127" s="183" t="e">
        <f aca="false">IF($A128="","",IF(AND(MONTH(A127)&gt;3,MONTH(A127)&lt;11),(T127+R127+G127)*Summary!$T$8/(1-Summary!$T$8),(T127+R127+G127)*Summary!$U$8/(1-Summary!$U$8)))</f>
        <v>#N/A</v>
      </c>
      <c r="W127" s="200" t="e">
        <f aca="false">IF($A128="","",(T127+R127+G127+V127))</f>
        <v>#N/A</v>
      </c>
      <c r="X127" s="200" t="e">
        <f aca="false">IF($A128="","",(U127+S127+H127+V127))</f>
        <v>#N/A</v>
      </c>
      <c r="Y127" s="202"/>
      <c r="Z127" s="185" t="e">
        <f aca="false">IF($A128="","",VLOOKUP($A127,Table,MATCH(Z$4,Curves,0)))</f>
        <v>#N/A</v>
      </c>
      <c r="AA127" s="185" t="e">
        <f aca="false">IF($A128="","",VLOOKUP($A127,Table,MATCH(AA$4,Curves,0)))</f>
        <v>#N/A</v>
      </c>
      <c r="AB127" s="185" t="e">
        <f aca="false">SQRT((AA127^2*(A127-$D$3)+Z127^2*(DAY(EOMONTH(A127,0))/2))/AK127)</f>
        <v>#N/A</v>
      </c>
      <c r="AC127" s="185" t="e">
        <f aca="false">IF($A128="","",VLOOKUP($A127,Table,MATCH(AC$4,Curves,0)))</f>
        <v>#N/A</v>
      </c>
      <c r="AD127" s="185" t="e">
        <f aca="false">IF($A128="","",VLOOKUP($A127,Table,MATCH(AD$4,Curves,0)))</f>
        <v>#N/A</v>
      </c>
      <c r="AE127" s="185" t="e">
        <f aca="false">SQRT((AD127^2*(A127-$D$3)+AC127^2*(DAY(EOMONTH(A127,0))/2))/AK127)</f>
        <v>#N/A</v>
      </c>
      <c r="AF127" s="224" t="e">
        <f aca="false">((Summary!$N$8*(AA127*AD127)*(A127-$D$3))+(Summary!$M$8*Z127*AC127*(AJ127-EOMONTH(EDATE(A127,-1),0))))/(AK127*AB127*AE127)</f>
        <v>#N/A</v>
      </c>
      <c r="AG127" s="207" t="n">
        <f aca="false">IF($A128="","",Summary!$Q$8)</f>
        <v>0</v>
      </c>
      <c r="AH127" s="207" t="n">
        <f aca="false">IF($A128="","",IF(Summary!$R$8="Y",(VLOOKUP($A127,Summary!$AD$6:$AF$9,3)+'Escalating commodity'!D140),'Escalating commodity'!D140))</f>
        <v>0.0200232</v>
      </c>
      <c r="AI127" s="207" t="n">
        <f aca="false">IF($A128="","",AH127)</f>
        <v>0.0200232</v>
      </c>
      <c r="AJ127" s="208" t="n">
        <f aca="false">A127+DAY(EOMONTH(A127,0))/2-1</f>
        <v>40617.5</v>
      </c>
      <c r="AK127" s="209" t="n">
        <f aca="false">IF($A128="","",$A127-$E$1)</f>
        <v>-5323</v>
      </c>
      <c r="AL127" s="182" t="e">
        <f aca="false">IF($A128="","",SPRDOPT(P127,X127,AI127,0,AB127,AE127,AF127,AK127,$AJ$2,0))</f>
        <v>#NAME?</v>
      </c>
      <c r="AM127" s="211" t="e">
        <f aca="false">IF($A128="","",MAX(0,O127-W127-AI127))</f>
        <v>#N/A</v>
      </c>
      <c r="AN127" s="211" t="e">
        <f aca="false">IF($A128="","",AL127-AM127)</f>
        <v>#N/A</v>
      </c>
      <c r="AO127" s="137" t="n">
        <f aca="false">IF(A128="","",A128-A127)</f>
        <v>31</v>
      </c>
      <c r="AP127" s="212" t="n">
        <f aca="false">IF(A128="","",CHOOSE(F$3,A128+24,A127))</f>
        <v>40603</v>
      </c>
      <c r="AQ127" s="209" t="n">
        <f aca="false">IF(A128="","",AP127-$E$1)</f>
        <v>-5323</v>
      </c>
      <c r="AR127" s="185" t="n">
        <f aca="false">'ANR OK vs ML7'!AR127</f>
        <v>0.1</v>
      </c>
      <c r="AS127" s="213" t="n">
        <f aca="false">IF(A128="","",1/(1+CHOOSE(F$3,(AR128+($I$3/10000))/2,(AR127+($I$3/10000))/2))^(2*AQ127/365.25))</f>
        <v>4.14579553294102</v>
      </c>
      <c r="AT127" s="137" t="n">
        <f aca="false">IF(A128="","",IF(AND(mthbeg&lt;=A127,mthend&gt;=A127),1,0))</f>
        <v>1</v>
      </c>
      <c r="AU127" s="137" t="n">
        <f aca="false">IF(A128="","",AO127*AT127)</f>
        <v>31</v>
      </c>
      <c r="AW127" s="195" t="e">
        <f aca="false">IF($A128="","",AL127*$E127)</f>
        <v>#NAME?</v>
      </c>
      <c r="AX127" s="195" t="e">
        <f aca="false">IF($A128="","",AM127*$E127)</f>
        <v>#N/A</v>
      </c>
      <c r="AY127" s="195" t="e">
        <f aca="false">IF($A128="","",AN127*$E127)</f>
        <v>#N/A</v>
      </c>
      <c r="BA127" s="195" t="n">
        <f aca="false">IF($A128="","",F127*Summary!$Q$8)</f>
        <v>0</v>
      </c>
      <c r="BC127" s="179" t="e">
        <f aca="false">IF(A128="","",AM127*F127)</f>
        <v>#N/A</v>
      </c>
    </row>
    <row r="128" customFormat="false" ht="12.75" hidden="false" customHeight="false" outlineLevel="0" collapsed="false">
      <c r="A128" s="196" t="n">
        <f aca="false">IF(A127&lt;mthend,EDATE(A127,1),"")</f>
        <v>40634</v>
      </c>
      <c r="B128" s="197" t="n">
        <f aca="false">IF(A128&lt;mthend,B127,0)</f>
        <v>80000</v>
      </c>
      <c r="C128" s="215"/>
      <c r="D128" s="197" t="n">
        <f aca="false">IF(A129&lt;&gt;"",B128+C128,"")</f>
        <v>80000</v>
      </c>
      <c r="E128" s="199" t="n">
        <f aca="false">IF(A129="","",IF(AND(AT128=1,$H$3=1),D128*AO128,IF($H$3=2,D128,"N/A")))</f>
        <v>2400000</v>
      </c>
      <c r="F128" s="199" t="n">
        <f aca="false">IF(A129="","",E128*AS128)</f>
        <v>9867844.7088806</v>
      </c>
      <c r="G128" s="200" t="e">
        <f aca="false">IF($A129="","",VLOOKUP($A128,Table,MATCH(G$4,Curves,0)))</f>
        <v>#N/A</v>
      </c>
      <c r="H128" s="201" t="e">
        <f aca="false">IF(A129="","",G128)</f>
        <v>#N/A</v>
      </c>
      <c r="I128" s="202"/>
      <c r="J128" s="200" t="e">
        <f aca="false">IF($A129="","",VLOOKUP($A128,Table,MATCH(J$4,Curves,0)))</f>
        <v>#N/A</v>
      </c>
      <c r="K128" s="201" t="e">
        <f aca="false">IF(A129="","",J128)</f>
        <v>#N/A</v>
      </c>
      <c r="L128" s="200" t="e">
        <f aca="false">IF($A129="","",VLOOKUP($A128,Table,MATCH(L$4,Curves,0)))</f>
        <v>#N/A</v>
      </c>
      <c r="M128" s="201" t="e">
        <f aca="false">IF(A129="","",L128)</f>
        <v>#N/A</v>
      </c>
      <c r="N128" s="203"/>
      <c r="O128" s="200" t="e">
        <f aca="false">IF(A129="","",L128+J128+G128)</f>
        <v>#N/A</v>
      </c>
      <c r="P128" s="200" t="e">
        <f aca="false">IF(A129="","",M128+K128+H128)</f>
        <v>#N/A</v>
      </c>
      <c r="Q128" s="204"/>
      <c r="R128" s="200" t="e">
        <f aca="false">IF($A129="","",VLOOKUP($A128,Table,MATCH(R$4,Curves,0)))</f>
        <v>#N/A</v>
      </c>
      <c r="S128" s="201" t="e">
        <f aca="false">IF(A129="","",R128)</f>
        <v>#N/A</v>
      </c>
      <c r="T128" s="200" t="e">
        <f aca="false">IF($A129="","",VLOOKUP($A128,Table,MATCH(T$4,Curves,0)))</f>
        <v>#N/A</v>
      </c>
      <c r="U128" s="201" t="e">
        <f aca="false">IF(A129="","",T128)</f>
        <v>#N/A</v>
      </c>
      <c r="V128" s="183" t="e">
        <f aca="false">IF($A129="","",IF(AND(MONTH(A128)&gt;3,MONTH(A128)&lt;11),(T128+R128+G128)*Summary!$T$8/(1-Summary!$T$8),(T128+R128+G128)*Summary!$U$8/(1-Summary!$U$8)))</f>
        <v>#N/A</v>
      </c>
      <c r="W128" s="200" t="e">
        <f aca="false">IF($A129="","",(T128+R128+G128+V128))</f>
        <v>#N/A</v>
      </c>
      <c r="X128" s="200" t="e">
        <f aca="false">IF($A129="","",(U128+S128+H128+V128))</f>
        <v>#N/A</v>
      </c>
      <c r="Y128" s="202"/>
      <c r="Z128" s="185" t="e">
        <f aca="false">IF($A129="","",VLOOKUP($A128,Table,MATCH(Z$4,Curves,0)))</f>
        <v>#N/A</v>
      </c>
      <c r="AA128" s="185" t="e">
        <f aca="false">IF($A129="","",VLOOKUP($A128,Table,MATCH(AA$4,Curves,0)))</f>
        <v>#N/A</v>
      </c>
      <c r="AB128" s="185" t="e">
        <f aca="false">SQRT((AA128^2*(A128-$D$3)+Z128^2*(DAY(EOMONTH(A128,0))/2))/AK128)</f>
        <v>#N/A</v>
      </c>
      <c r="AC128" s="185" t="e">
        <f aca="false">IF($A129="","",VLOOKUP($A128,Table,MATCH(AC$4,Curves,0)))</f>
        <v>#N/A</v>
      </c>
      <c r="AD128" s="185" t="e">
        <f aca="false">IF($A129="","",VLOOKUP($A128,Table,MATCH(AD$4,Curves,0)))</f>
        <v>#N/A</v>
      </c>
      <c r="AE128" s="185" t="e">
        <f aca="false">SQRT((AD128^2*(A128-$D$3)+AC128^2*(DAY(EOMONTH(A128,0))/2))/AK128)</f>
        <v>#N/A</v>
      </c>
      <c r="AF128" s="224" t="e">
        <f aca="false">((Summary!$N$8*(AA128*AD128)*(A128-$D$3))+(Summary!$M$8*Z128*AC128*(AJ128-EOMONTH(EDATE(A128,-1),0))))/(AK128*AB128*AE128)</f>
        <v>#N/A</v>
      </c>
      <c r="AG128" s="207" t="n">
        <f aca="false">IF($A129="","",Summary!$Q$8)</f>
        <v>0</v>
      </c>
      <c r="AH128" s="207" t="n">
        <f aca="false">IF($A129="","",IF(Summary!$R$8="Y",(VLOOKUP($A128,Summary!$AD$6:$AF$9,3)+'Escalating commodity'!D141),'Escalating commodity'!D141))</f>
        <v>0.0200232</v>
      </c>
      <c r="AI128" s="207" t="n">
        <f aca="false">IF($A129="","",AH128)</f>
        <v>0.0200232</v>
      </c>
      <c r="AJ128" s="208" t="n">
        <f aca="false">A128+DAY(EOMONTH(A128,0))/2-1</f>
        <v>40648</v>
      </c>
      <c r="AK128" s="209" t="n">
        <f aca="false">IF($A129="","",$A128-$E$1)</f>
        <v>-5292</v>
      </c>
      <c r="AL128" s="182" t="e">
        <f aca="false">IF($A129="","",SPRDOPT(P128,X128,AI128,0,AB128,AE128,AF128,AK128,$AJ$2,0))</f>
        <v>#NAME?</v>
      </c>
      <c r="AM128" s="211" t="e">
        <f aca="false">IF($A129="","",MAX(0,O128-W128-AI128))</f>
        <v>#N/A</v>
      </c>
      <c r="AN128" s="211" t="e">
        <f aca="false">IF($A129="","",AL128-AM128)</f>
        <v>#N/A</v>
      </c>
      <c r="AO128" s="137" t="n">
        <f aca="false">IF(A129="","",A129-A128)</f>
        <v>30</v>
      </c>
      <c r="AP128" s="212" t="n">
        <f aca="false">IF(A129="","",CHOOSE(F$3,A129+24,A128))</f>
        <v>40634</v>
      </c>
      <c r="AQ128" s="209" t="n">
        <f aca="false">IF(A129="","",AP128-$E$1)</f>
        <v>-5292</v>
      </c>
      <c r="AR128" s="185" t="n">
        <f aca="false">'ANR OK vs ML7'!AR128</f>
        <v>0.1</v>
      </c>
      <c r="AS128" s="213" t="n">
        <f aca="false">IF(A129="","",1/(1+CHOOSE(F$3,(AR129+($I$3/10000))/2,(AR128+($I$3/10000))/2))^(2*AQ128/365.25))</f>
        <v>4.11160196203358</v>
      </c>
      <c r="AT128" s="137" t="n">
        <f aca="false">IF(A129="","",IF(AND(mthbeg&lt;=A128,mthend&gt;=A128),1,0))</f>
        <v>1</v>
      </c>
      <c r="AU128" s="137" t="n">
        <f aca="false">IF(A129="","",AO128*AT128)</f>
        <v>30</v>
      </c>
      <c r="AW128" s="195" t="e">
        <f aca="false">IF($A129="","",AL128*$E128)</f>
        <v>#NAME?</v>
      </c>
      <c r="AX128" s="195" t="e">
        <f aca="false">IF($A129="","",AM128*$E128)</f>
        <v>#N/A</v>
      </c>
      <c r="AY128" s="195" t="e">
        <f aca="false">IF($A129="","",AN128*$E128)</f>
        <v>#N/A</v>
      </c>
      <c r="BA128" s="195" t="n">
        <f aca="false">IF($A129="","",F128*Summary!$Q$8)</f>
        <v>0</v>
      </c>
      <c r="BC128" s="179" t="e">
        <f aca="false">IF(A129="","",AM128*F128)</f>
        <v>#N/A</v>
      </c>
    </row>
    <row r="129" customFormat="false" ht="12.75" hidden="false" customHeight="false" outlineLevel="0" collapsed="false">
      <c r="A129" s="196" t="n">
        <f aca="false">IF(A128&lt;mthend,EDATE(A128,1),"")</f>
        <v>40664</v>
      </c>
      <c r="B129" s="197" t="n">
        <f aca="false">IF(A129&lt;mthend,B128,0)</f>
        <v>80000</v>
      </c>
      <c r="C129" s="215"/>
      <c r="D129" s="197" t="n">
        <f aca="false">IF(A130&lt;&gt;"",B129+C129,"")</f>
        <v>80000</v>
      </c>
      <c r="E129" s="199" t="n">
        <f aca="false">IF(A130="","",IF(AND(AT129=1,$H$3=1),D129*AO129,IF($H$3=2,D129,"N/A")))</f>
        <v>2480000</v>
      </c>
      <c r="F129" s="199" t="n">
        <f aca="false">IF(A130="","",E129*AS129)</f>
        <v>10115374.2876758</v>
      </c>
      <c r="G129" s="200" t="e">
        <f aca="false">IF($A130="","",VLOOKUP($A129,Table,MATCH(G$4,Curves,0)))</f>
        <v>#N/A</v>
      </c>
      <c r="H129" s="201" t="e">
        <f aca="false">IF(A130="","",G129)</f>
        <v>#N/A</v>
      </c>
      <c r="I129" s="202"/>
      <c r="J129" s="200" t="e">
        <f aca="false">IF($A130="","",VLOOKUP($A129,Table,MATCH(J$4,Curves,0)))</f>
        <v>#N/A</v>
      </c>
      <c r="K129" s="201" t="e">
        <f aca="false">IF(A130="","",J129)</f>
        <v>#N/A</v>
      </c>
      <c r="L129" s="200" t="e">
        <f aca="false">IF($A130="","",VLOOKUP($A129,Table,MATCH(L$4,Curves,0)))</f>
        <v>#N/A</v>
      </c>
      <c r="M129" s="201" t="e">
        <f aca="false">IF(A130="","",L129)</f>
        <v>#N/A</v>
      </c>
      <c r="N129" s="203"/>
      <c r="O129" s="200" t="e">
        <f aca="false">IF(A130="","",L129+J129+G129)</f>
        <v>#N/A</v>
      </c>
      <c r="P129" s="200" t="e">
        <f aca="false">IF(A130="","",M129+K129+H129)</f>
        <v>#N/A</v>
      </c>
      <c r="Q129" s="204"/>
      <c r="R129" s="200" t="e">
        <f aca="false">IF($A130="","",VLOOKUP($A129,Table,MATCH(R$4,Curves,0)))</f>
        <v>#N/A</v>
      </c>
      <c r="S129" s="201" t="e">
        <f aca="false">IF(A130="","",R129)</f>
        <v>#N/A</v>
      </c>
      <c r="T129" s="200" t="e">
        <f aca="false">IF($A130="","",VLOOKUP($A129,Table,MATCH(T$4,Curves,0)))</f>
        <v>#N/A</v>
      </c>
      <c r="U129" s="201" t="e">
        <f aca="false">IF(A130="","",T129)</f>
        <v>#N/A</v>
      </c>
      <c r="V129" s="183" t="e">
        <f aca="false">IF($A130="","",IF(AND(MONTH(A129)&gt;3,MONTH(A129)&lt;11),(T129+R129+G129)*Summary!$T$8/(1-Summary!$T$8),(T129+R129+G129)*Summary!$U$8/(1-Summary!$U$8)))</f>
        <v>#N/A</v>
      </c>
      <c r="W129" s="200" t="e">
        <f aca="false">IF($A130="","",(T129+R129+G129+V129))</f>
        <v>#N/A</v>
      </c>
      <c r="X129" s="200" t="e">
        <f aca="false">IF($A130="","",(U129+S129+H129+V129))</f>
        <v>#N/A</v>
      </c>
      <c r="Y129" s="202"/>
      <c r="Z129" s="185" t="e">
        <f aca="false">IF($A130="","",VLOOKUP($A129,Table,MATCH(Z$4,Curves,0)))</f>
        <v>#N/A</v>
      </c>
      <c r="AA129" s="185" t="e">
        <f aca="false">IF($A130="","",VLOOKUP($A129,Table,MATCH(AA$4,Curves,0)))</f>
        <v>#N/A</v>
      </c>
      <c r="AB129" s="185" t="e">
        <f aca="false">SQRT((AA129^2*(A129-$D$3)+Z129^2*(DAY(EOMONTH(A129,0))/2))/AK129)</f>
        <v>#N/A</v>
      </c>
      <c r="AC129" s="185" t="e">
        <f aca="false">IF($A130="","",VLOOKUP($A129,Table,MATCH(AC$4,Curves,0)))</f>
        <v>#N/A</v>
      </c>
      <c r="AD129" s="185" t="e">
        <f aca="false">IF($A130="","",VLOOKUP($A129,Table,MATCH(AD$4,Curves,0)))</f>
        <v>#N/A</v>
      </c>
      <c r="AE129" s="185" t="e">
        <f aca="false">SQRT((AD129^2*(A129-$D$3)+AC129^2*(DAY(EOMONTH(A129,0))/2))/AK129)</f>
        <v>#N/A</v>
      </c>
      <c r="AF129" s="224" t="e">
        <f aca="false">((Summary!$N$8*(AA129*AD129)*(A129-$D$3))+(Summary!$M$8*Z129*AC129*(AJ129-EOMONTH(EDATE(A129,-1),0))))/(AK129*AB129*AE129)</f>
        <v>#N/A</v>
      </c>
      <c r="AG129" s="207" t="n">
        <f aca="false">IF($A130="","",Summary!$Q$8)</f>
        <v>0</v>
      </c>
      <c r="AH129" s="207" t="n">
        <f aca="false">IF($A130="","",IF(Summary!$R$8="Y",(VLOOKUP($A129,Summary!$AD$6:$AF$9,3)+'Escalating commodity'!D142),'Escalating commodity'!D142))</f>
        <v>0.0200232</v>
      </c>
      <c r="AI129" s="207" t="n">
        <f aca="false">IF($A130="","",AH129)</f>
        <v>0.0200232</v>
      </c>
      <c r="AJ129" s="208" t="n">
        <f aca="false">A129+DAY(EOMONTH(A129,0))/2-1</f>
        <v>40678.5</v>
      </c>
      <c r="AK129" s="209" t="n">
        <f aca="false">IF($A130="","",$A129-$E$1)</f>
        <v>-5262</v>
      </c>
      <c r="AL129" s="182" t="e">
        <f aca="false">IF($A130="","",SPRDOPT(P129,X129,AI129,0,AB129,AE129,AF129,AK129,$AJ$2,0))</f>
        <v>#NAME?</v>
      </c>
      <c r="AM129" s="211" t="e">
        <f aca="false">IF($A130="","",MAX(0,O129-W129-AI129))</f>
        <v>#N/A</v>
      </c>
      <c r="AN129" s="211" t="e">
        <f aca="false">IF($A130="","",AL129-AM129)</f>
        <v>#N/A</v>
      </c>
      <c r="AO129" s="137" t="n">
        <f aca="false">IF(A130="","",A130-A129)</f>
        <v>31</v>
      </c>
      <c r="AP129" s="212" t="n">
        <f aca="false">IF(A130="","",CHOOSE(F$3,A130+24,A129))</f>
        <v>40664</v>
      </c>
      <c r="AQ129" s="209" t="n">
        <f aca="false">IF(A130="","",AP129-$E$1)</f>
        <v>-5262</v>
      </c>
      <c r="AR129" s="185" t="n">
        <f aca="false">'ANR OK vs ML7'!AR129</f>
        <v>0.1</v>
      </c>
      <c r="AS129" s="213" t="n">
        <f aca="false">IF(A130="","",1/(1+CHOOSE(F$3,(AR130+($I$3/10000))/2,(AR129+($I$3/10000))/2))^(2*AQ129/365.25))</f>
        <v>4.07877995470799</v>
      </c>
      <c r="AT129" s="137" t="n">
        <f aca="false">IF(A130="","",IF(AND(mthbeg&lt;=A129,mthend&gt;=A129),1,0))</f>
        <v>1</v>
      </c>
      <c r="AU129" s="137" t="n">
        <f aca="false">IF(A130="","",AO129*AT129)</f>
        <v>31</v>
      </c>
      <c r="AW129" s="195" t="e">
        <f aca="false">IF($A130="","",AL129*$E129)</f>
        <v>#NAME?</v>
      </c>
      <c r="AX129" s="195" t="e">
        <f aca="false">IF($A130="","",AM129*$E129)</f>
        <v>#N/A</v>
      </c>
      <c r="AY129" s="195" t="e">
        <f aca="false">IF($A130="","",AN129*$E129)</f>
        <v>#N/A</v>
      </c>
      <c r="BA129" s="195" t="n">
        <f aca="false">IF($A130="","",F129*Summary!$Q$8)</f>
        <v>0</v>
      </c>
      <c r="BC129" s="179" t="e">
        <f aca="false">IF(A130="","",AM129*F129)</f>
        <v>#N/A</v>
      </c>
    </row>
    <row r="130" customFormat="false" ht="12.75" hidden="false" customHeight="false" outlineLevel="0" collapsed="false">
      <c r="A130" s="196" t="n">
        <f aca="false">IF(A129&lt;mthend,EDATE(A129,1),"")</f>
        <v>40695</v>
      </c>
      <c r="B130" s="197" t="n">
        <f aca="false">IF(A130&lt;mthend,B129,0)</f>
        <v>80000</v>
      </c>
      <c r="C130" s="215"/>
      <c r="D130" s="197" t="n">
        <f aca="false">IF(A131&lt;&gt;"",B130+C130,"")</f>
        <v>80000</v>
      </c>
      <c r="E130" s="199" t="n">
        <f aca="false">IF(A131="","",IF(AND(AT130=1,$H$3=1),D130*AO130,IF($H$3=2,D130,"N/A")))</f>
        <v>2400000</v>
      </c>
      <c r="F130" s="199" t="n">
        <f aca="false">IF(A131="","",E130*AS130)</f>
        <v>9708333.87101487</v>
      </c>
      <c r="G130" s="200" t="e">
        <f aca="false">IF($A131="","",VLOOKUP($A130,Table,MATCH(G$4,Curves,0)))</f>
        <v>#N/A</v>
      </c>
      <c r="H130" s="201" t="e">
        <f aca="false">IF(A131="","",G130)</f>
        <v>#N/A</v>
      </c>
      <c r="I130" s="202"/>
      <c r="J130" s="200" t="e">
        <f aca="false">IF($A131="","",VLOOKUP($A130,Table,MATCH(J$4,Curves,0)))</f>
        <v>#N/A</v>
      </c>
      <c r="K130" s="201" t="e">
        <f aca="false">IF(A131="","",J130)</f>
        <v>#N/A</v>
      </c>
      <c r="L130" s="200" t="e">
        <f aca="false">IF($A131="","",VLOOKUP($A130,Table,MATCH(L$4,Curves,0)))</f>
        <v>#N/A</v>
      </c>
      <c r="M130" s="201" t="e">
        <f aca="false">IF(A131="","",L130)</f>
        <v>#N/A</v>
      </c>
      <c r="N130" s="203"/>
      <c r="O130" s="200" t="e">
        <f aca="false">IF(A131="","",L130+J130+G130)</f>
        <v>#N/A</v>
      </c>
      <c r="P130" s="200" t="e">
        <f aca="false">IF(A131="","",M130+K130+H130)</f>
        <v>#N/A</v>
      </c>
      <c r="Q130" s="204"/>
      <c r="R130" s="200" t="e">
        <f aca="false">IF($A131="","",VLOOKUP($A130,Table,MATCH(R$4,Curves,0)))</f>
        <v>#N/A</v>
      </c>
      <c r="S130" s="201" t="e">
        <f aca="false">IF(A131="","",R130)</f>
        <v>#N/A</v>
      </c>
      <c r="T130" s="200" t="e">
        <f aca="false">IF($A131="","",VLOOKUP($A130,Table,MATCH(T$4,Curves,0)))</f>
        <v>#N/A</v>
      </c>
      <c r="U130" s="201" t="e">
        <f aca="false">IF(A131="","",T130)</f>
        <v>#N/A</v>
      </c>
      <c r="V130" s="183" t="e">
        <f aca="false">IF($A131="","",IF(AND(MONTH(A130)&gt;3,MONTH(A130)&lt;11),(T130+R130+G130)*Summary!$T$8/(1-Summary!$T$8),(T130+R130+G130)*Summary!$U$8/(1-Summary!$U$8)))</f>
        <v>#N/A</v>
      </c>
      <c r="W130" s="200" t="e">
        <f aca="false">IF($A131="","",(T130+R130+G130+V130))</f>
        <v>#N/A</v>
      </c>
      <c r="X130" s="200" t="e">
        <f aca="false">IF($A131="","",(U130+S130+H130+V130))</f>
        <v>#N/A</v>
      </c>
      <c r="Y130" s="202"/>
      <c r="Z130" s="185" t="e">
        <f aca="false">IF($A131="","",VLOOKUP($A130,Table,MATCH(Z$4,Curves,0)))</f>
        <v>#N/A</v>
      </c>
      <c r="AA130" s="185" t="e">
        <f aca="false">IF($A131="","",VLOOKUP($A130,Table,MATCH(AA$4,Curves,0)))</f>
        <v>#N/A</v>
      </c>
      <c r="AB130" s="185" t="e">
        <f aca="false">SQRT((AA130^2*(A130-$D$3)+Z130^2*(DAY(EOMONTH(A130,0))/2))/AK130)</f>
        <v>#N/A</v>
      </c>
      <c r="AC130" s="185" t="e">
        <f aca="false">IF($A131="","",VLOOKUP($A130,Table,MATCH(AC$4,Curves,0)))</f>
        <v>#N/A</v>
      </c>
      <c r="AD130" s="185" t="e">
        <f aca="false">IF($A131="","",VLOOKUP($A130,Table,MATCH(AD$4,Curves,0)))</f>
        <v>#N/A</v>
      </c>
      <c r="AE130" s="185" t="e">
        <f aca="false">SQRT((AD130^2*(A130-$D$3)+AC130^2*(DAY(EOMONTH(A130,0))/2))/AK130)</f>
        <v>#N/A</v>
      </c>
      <c r="AF130" s="224" t="e">
        <f aca="false">((Summary!$N$8*(AA130*AD130)*(A130-$D$3))+(Summary!$M$8*Z130*AC130*(AJ130-EOMONTH(EDATE(A130,-1),0))))/(AK130*AB130*AE130)</f>
        <v>#N/A</v>
      </c>
      <c r="AG130" s="207" t="n">
        <f aca="false">IF($A131="","",Summary!$Q$8)</f>
        <v>0</v>
      </c>
      <c r="AH130" s="207" t="n">
        <f aca="false">IF($A131="","",IF(Summary!$R$8="Y",(VLOOKUP($A130,Summary!$AD$6:$AF$9,3)+'Escalating commodity'!D143),'Escalating commodity'!D143))</f>
        <v>0.0200232</v>
      </c>
      <c r="AI130" s="207" t="n">
        <f aca="false">IF($A131="","",AH130)</f>
        <v>0.0200232</v>
      </c>
      <c r="AJ130" s="208" t="n">
        <f aca="false">A130+DAY(EOMONTH(A130,0))/2-1</f>
        <v>40709</v>
      </c>
      <c r="AK130" s="209" t="n">
        <f aca="false">IF($A131="","",$A130-$E$1)</f>
        <v>-5231</v>
      </c>
      <c r="AL130" s="182" t="e">
        <f aca="false">IF($A131="","",SPRDOPT(P130,X130,AI130,0,AB130,AE130,AF130,AK130,$AJ$2,0))</f>
        <v>#NAME?</v>
      </c>
      <c r="AM130" s="211" t="e">
        <f aca="false">IF($A131="","",MAX(0,O130-W130-AI130))</f>
        <v>#N/A</v>
      </c>
      <c r="AN130" s="211" t="e">
        <f aca="false">IF($A131="","",AL130-AM130)</f>
        <v>#N/A</v>
      </c>
      <c r="AO130" s="137" t="n">
        <f aca="false">IF(A131="","",A131-A130)</f>
        <v>30</v>
      </c>
      <c r="AP130" s="212" t="n">
        <f aca="false">IF(A131="","",CHOOSE(F$3,A131+24,A130))</f>
        <v>40695</v>
      </c>
      <c r="AQ130" s="209" t="n">
        <f aca="false">IF(A131="","",AP130-$E$1)</f>
        <v>-5231</v>
      </c>
      <c r="AR130" s="185" t="n">
        <f aca="false">'ANR OK vs ML7'!AR130</f>
        <v>0.1</v>
      </c>
      <c r="AS130" s="213" t="n">
        <f aca="false">IF(A131="","",1/(1+CHOOSE(F$3,(AR131+($I$3/10000))/2,(AR130+($I$3/10000))/2))^(2*AQ130/365.25))</f>
        <v>4.04513911292286</v>
      </c>
      <c r="AT130" s="137" t="n">
        <f aca="false">IF(A131="","",IF(AND(mthbeg&lt;=A130,mthend&gt;=A130),1,0))</f>
        <v>1</v>
      </c>
      <c r="AU130" s="137" t="n">
        <f aca="false">IF(A131="","",AO130*AT130)</f>
        <v>30</v>
      </c>
      <c r="AW130" s="195" t="e">
        <f aca="false">IF($A131="","",AL130*$E130)</f>
        <v>#NAME?</v>
      </c>
      <c r="AX130" s="195" t="e">
        <f aca="false">IF($A131="","",AM130*$E130)</f>
        <v>#N/A</v>
      </c>
      <c r="AY130" s="195" t="e">
        <f aca="false">IF($A131="","",AN130*$E130)</f>
        <v>#N/A</v>
      </c>
      <c r="BA130" s="195" t="n">
        <f aca="false">IF($A131="","",F130*Summary!$Q$8)</f>
        <v>0</v>
      </c>
      <c r="BC130" s="179" t="e">
        <f aca="false">IF(A131="","",AM130*F130)</f>
        <v>#N/A</v>
      </c>
    </row>
    <row r="131" customFormat="false" ht="12.75" hidden="false" customHeight="false" outlineLevel="0" collapsed="false">
      <c r="A131" s="196" t="n">
        <f aca="false">IF(A130&lt;mthend,EDATE(A130,1),"")</f>
        <v>40725</v>
      </c>
      <c r="B131" s="197" t="n">
        <f aca="false">IF(A131&lt;mthend,B130,0)</f>
        <v>80000</v>
      </c>
      <c r="C131" s="215"/>
      <c r="D131" s="197" t="n">
        <f aca="false">IF(A132&lt;&gt;"",B131+C131,"")</f>
        <v>80000</v>
      </c>
      <c r="E131" s="199" t="n">
        <f aca="false">IF(A132="","",IF(AND(AT131=1,$H$3=1),D131*AO131,IF($H$3=2,D131,"N/A")))</f>
        <v>2480000</v>
      </c>
      <c r="F131" s="199" t="n">
        <f aca="false">IF(A132="","",E131*AS131)</f>
        <v>9951862.20620775</v>
      </c>
      <c r="G131" s="200" t="e">
        <f aca="false">IF($A132="","",VLOOKUP($A131,Table,MATCH(G$4,Curves,0)))</f>
        <v>#N/A</v>
      </c>
      <c r="H131" s="201" t="e">
        <f aca="false">IF(A132="","",G131)</f>
        <v>#N/A</v>
      </c>
      <c r="I131" s="202"/>
      <c r="J131" s="200" t="e">
        <f aca="false">IF($A132="","",VLOOKUP($A131,Table,MATCH(J$4,Curves,0)))</f>
        <v>#N/A</v>
      </c>
      <c r="K131" s="201" t="e">
        <f aca="false">IF(A132="","",J131)</f>
        <v>#N/A</v>
      </c>
      <c r="L131" s="200" t="e">
        <f aca="false">IF($A132="","",VLOOKUP($A131,Table,MATCH(L$4,Curves,0)))</f>
        <v>#N/A</v>
      </c>
      <c r="M131" s="201" t="e">
        <f aca="false">IF(A132="","",L131)</f>
        <v>#N/A</v>
      </c>
      <c r="N131" s="203"/>
      <c r="O131" s="200" t="e">
        <f aca="false">IF(A132="","",L131+J131+G131)</f>
        <v>#N/A</v>
      </c>
      <c r="P131" s="200" t="e">
        <f aca="false">IF(A132="","",M131+K131+H131)</f>
        <v>#N/A</v>
      </c>
      <c r="Q131" s="204"/>
      <c r="R131" s="200" t="e">
        <f aca="false">IF($A132="","",VLOOKUP($A131,Table,MATCH(R$4,Curves,0)))</f>
        <v>#N/A</v>
      </c>
      <c r="S131" s="201" t="e">
        <f aca="false">IF(A132="","",R131)</f>
        <v>#N/A</v>
      </c>
      <c r="T131" s="200" t="e">
        <f aca="false">IF($A132="","",VLOOKUP($A131,Table,MATCH(T$4,Curves,0)))</f>
        <v>#N/A</v>
      </c>
      <c r="U131" s="201" t="e">
        <f aca="false">IF(A132="","",T131)</f>
        <v>#N/A</v>
      </c>
      <c r="V131" s="183" t="e">
        <f aca="false">IF($A132="","",IF(AND(MONTH(A131)&gt;3,MONTH(A131)&lt;11),(T131+R131+G131)*Summary!$T$8/(1-Summary!$T$8),(T131+R131+G131)*Summary!$U$8/(1-Summary!$U$8)))</f>
        <v>#N/A</v>
      </c>
      <c r="W131" s="200" t="e">
        <f aca="false">IF($A132="","",(T131+R131+G131+V131))</f>
        <v>#N/A</v>
      </c>
      <c r="X131" s="200" t="e">
        <f aca="false">IF($A132="","",(U131+S131+H131+V131))</f>
        <v>#N/A</v>
      </c>
      <c r="Y131" s="202"/>
      <c r="Z131" s="185" t="e">
        <f aca="false">IF($A132="","",VLOOKUP($A131,Table,MATCH(Z$4,Curves,0)))</f>
        <v>#N/A</v>
      </c>
      <c r="AA131" s="185" t="e">
        <f aca="false">IF($A132="","",VLOOKUP($A131,Table,MATCH(AA$4,Curves,0)))</f>
        <v>#N/A</v>
      </c>
      <c r="AB131" s="185" t="e">
        <f aca="false">SQRT((AA131^2*(A131-$D$3)+Z131^2*(DAY(EOMONTH(A131,0))/2))/AK131)</f>
        <v>#N/A</v>
      </c>
      <c r="AC131" s="185" t="e">
        <f aca="false">IF($A132="","",VLOOKUP($A131,Table,MATCH(AC$4,Curves,0)))</f>
        <v>#N/A</v>
      </c>
      <c r="AD131" s="185" t="e">
        <f aca="false">IF($A132="","",VLOOKUP($A131,Table,MATCH(AD$4,Curves,0)))</f>
        <v>#N/A</v>
      </c>
      <c r="AE131" s="185" t="e">
        <f aca="false">SQRT((AD131^2*(A131-$D$3)+AC131^2*(DAY(EOMONTH(A131,0))/2))/AK131)</f>
        <v>#N/A</v>
      </c>
      <c r="AF131" s="224" t="e">
        <f aca="false">((Summary!$N$8*(AA131*AD131)*(A131-$D$3))+(Summary!$M$8*Z131*AC131*(AJ131-EOMONTH(EDATE(A131,-1),0))))/(AK131*AB131*AE131)</f>
        <v>#N/A</v>
      </c>
      <c r="AG131" s="207" t="n">
        <f aca="false">IF($A132="","",Summary!$Q$8)</f>
        <v>0</v>
      </c>
      <c r="AH131" s="207" t="n">
        <f aca="false">IF($A132="","",IF(Summary!$R$8="Y",(VLOOKUP($A131,Summary!$AD$6:$AF$9,3)+'Escalating commodity'!D144),'Escalating commodity'!D144))</f>
        <v>0.0200232</v>
      </c>
      <c r="AI131" s="207" t="n">
        <f aca="false">IF($A132="","",AH131)</f>
        <v>0.0200232</v>
      </c>
      <c r="AJ131" s="208" t="n">
        <f aca="false">A131+DAY(EOMONTH(A131,0))/2-1</f>
        <v>40739.5</v>
      </c>
      <c r="AK131" s="209" t="n">
        <f aca="false">IF($A132="","",$A131-$E$1)</f>
        <v>-5201</v>
      </c>
      <c r="AL131" s="182" t="e">
        <f aca="false">IF($A132="","",SPRDOPT(P131,X131,AI131,0,AB131,AE131,AF131,AK131,$AJ$2,0))</f>
        <v>#NAME?</v>
      </c>
      <c r="AM131" s="211" t="e">
        <f aca="false">IF($A132="","",MAX(0,O131-W131-AI131))</f>
        <v>#N/A</v>
      </c>
      <c r="AN131" s="211" t="e">
        <f aca="false">IF($A132="","",AL131-AM131)</f>
        <v>#N/A</v>
      </c>
      <c r="AO131" s="137" t="n">
        <f aca="false">IF(A132="","",A132-A131)</f>
        <v>31</v>
      </c>
      <c r="AP131" s="212" t="n">
        <f aca="false">IF(A132="","",CHOOSE(F$3,A132+24,A131))</f>
        <v>40725</v>
      </c>
      <c r="AQ131" s="209" t="n">
        <f aca="false">IF(A132="","",AP131-$E$1)</f>
        <v>-5201</v>
      </c>
      <c r="AR131" s="185" t="n">
        <f aca="false">'ANR OK vs ML7'!AR131</f>
        <v>0.1</v>
      </c>
      <c r="AS131" s="213" t="n">
        <f aca="false">IF(A132="","",1/(1+CHOOSE(F$3,(AR132+($I$3/10000))/2,(AR131+($I$3/10000))/2))^(2*AQ131/365.25))</f>
        <v>4.01284766379345</v>
      </c>
      <c r="AT131" s="137" t="n">
        <f aca="false">IF(A132="","",IF(AND(mthbeg&lt;=A131,mthend&gt;=A131),1,0))</f>
        <v>1</v>
      </c>
      <c r="AU131" s="137" t="n">
        <f aca="false">IF(A132="","",AO131*AT131)</f>
        <v>31</v>
      </c>
      <c r="AW131" s="195" t="e">
        <f aca="false">IF($A132="","",AL131*$E131)</f>
        <v>#NAME?</v>
      </c>
      <c r="AX131" s="195" t="e">
        <f aca="false">IF($A132="","",AM131*$E131)</f>
        <v>#N/A</v>
      </c>
      <c r="AY131" s="195" t="e">
        <f aca="false">IF($A132="","",AN131*$E131)</f>
        <v>#N/A</v>
      </c>
      <c r="BA131" s="195" t="n">
        <f aca="false">IF($A132="","",F131*Summary!$Q$8)</f>
        <v>0</v>
      </c>
      <c r="BC131" s="179" t="e">
        <f aca="false">IF(A132="","",AM131*F131)</f>
        <v>#N/A</v>
      </c>
    </row>
    <row r="132" customFormat="false" ht="12.75" hidden="false" customHeight="false" outlineLevel="0" collapsed="false">
      <c r="A132" s="196" t="n">
        <f aca="false">IF(A131&lt;mthend,EDATE(A131,1),"")</f>
        <v>40756</v>
      </c>
      <c r="B132" s="197" t="n">
        <f aca="false">IF(A132&lt;mthend,B131,0)</f>
        <v>80000</v>
      </c>
      <c r="C132" s="215"/>
      <c r="D132" s="197" t="n">
        <f aca="false">IF(A133&lt;&gt;"",B132+C132,"")</f>
        <v>80000</v>
      </c>
      <c r="E132" s="199" t="n">
        <f aca="false">IF(A133="","",IF(AND(AT132=1,$H$3=1),D132*AO132,IF($H$3=2,D132,"N/A")))</f>
        <v>2480000</v>
      </c>
      <c r="F132" s="199" t="n">
        <f aca="false">IF(A133="","",E132*AS132)</f>
        <v>9869781.52873459</v>
      </c>
      <c r="G132" s="200" t="e">
        <f aca="false">IF($A133="","",VLOOKUP($A132,Table,MATCH(G$4,Curves,0)))</f>
        <v>#N/A</v>
      </c>
      <c r="H132" s="201" t="e">
        <f aca="false">IF(A133="","",G132)</f>
        <v>#N/A</v>
      </c>
      <c r="I132" s="202"/>
      <c r="J132" s="200" t="e">
        <f aca="false">IF($A133="","",VLOOKUP($A132,Table,MATCH(J$4,Curves,0)))</f>
        <v>#N/A</v>
      </c>
      <c r="K132" s="201" t="e">
        <f aca="false">IF(A133="","",J132)</f>
        <v>#N/A</v>
      </c>
      <c r="L132" s="200" t="e">
        <f aca="false">IF($A133="","",VLOOKUP($A132,Table,MATCH(L$4,Curves,0)))</f>
        <v>#N/A</v>
      </c>
      <c r="M132" s="201" t="e">
        <f aca="false">IF(A133="","",L132)</f>
        <v>#N/A</v>
      </c>
      <c r="N132" s="203"/>
      <c r="O132" s="200" t="e">
        <f aca="false">IF(A133="","",L132+J132+G132)</f>
        <v>#N/A</v>
      </c>
      <c r="P132" s="200" t="e">
        <f aca="false">IF(A133="","",M132+K132+H132)</f>
        <v>#N/A</v>
      </c>
      <c r="Q132" s="204"/>
      <c r="R132" s="200" t="e">
        <f aca="false">IF($A133="","",VLOOKUP($A132,Table,MATCH(R$4,Curves,0)))</f>
        <v>#N/A</v>
      </c>
      <c r="S132" s="201" t="e">
        <f aca="false">IF(A133="","",R132)</f>
        <v>#N/A</v>
      </c>
      <c r="T132" s="200" t="e">
        <f aca="false">IF($A133="","",VLOOKUP($A132,Table,MATCH(T$4,Curves,0)))</f>
        <v>#N/A</v>
      </c>
      <c r="U132" s="201" t="e">
        <f aca="false">IF(A133="","",T132)</f>
        <v>#N/A</v>
      </c>
      <c r="V132" s="183" t="e">
        <f aca="false">IF($A133="","",IF(AND(MONTH(A132)&gt;3,MONTH(A132)&lt;11),(T132+R132+G132)*Summary!$T$8/(1-Summary!$T$8),(T132+R132+G132)*Summary!$U$8/(1-Summary!$U$8)))</f>
        <v>#N/A</v>
      </c>
      <c r="W132" s="200" t="e">
        <f aca="false">IF($A133="","",(T132+R132+G132+V132))</f>
        <v>#N/A</v>
      </c>
      <c r="X132" s="200" t="e">
        <f aca="false">IF($A133="","",(U132+S132+H132+V132))</f>
        <v>#N/A</v>
      </c>
      <c r="Y132" s="202"/>
      <c r="Z132" s="185" t="e">
        <f aca="false">IF($A133="","",VLOOKUP($A132,Table,MATCH(Z$4,Curves,0)))</f>
        <v>#N/A</v>
      </c>
      <c r="AA132" s="185" t="e">
        <f aca="false">IF($A133="","",VLOOKUP($A132,Table,MATCH(AA$4,Curves,0)))</f>
        <v>#N/A</v>
      </c>
      <c r="AB132" s="185" t="e">
        <f aca="false">SQRT((AA132^2*(A132-$D$3)+Z132^2*(DAY(EOMONTH(A132,0))/2))/AK132)</f>
        <v>#N/A</v>
      </c>
      <c r="AC132" s="185" t="e">
        <f aca="false">IF($A133="","",VLOOKUP($A132,Table,MATCH(AC$4,Curves,0)))</f>
        <v>#N/A</v>
      </c>
      <c r="AD132" s="185" t="e">
        <f aca="false">IF($A133="","",VLOOKUP($A132,Table,MATCH(AD$4,Curves,0)))</f>
        <v>#N/A</v>
      </c>
      <c r="AE132" s="185" t="e">
        <f aca="false">SQRT((AD132^2*(A132-$D$3)+AC132^2*(DAY(EOMONTH(A132,0))/2))/AK132)</f>
        <v>#N/A</v>
      </c>
      <c r="AF132" s="224" t="e">
        <f aca="false">((Summary!$N$8*(AA132*AD132)*(A132-$D$3))+(Summary!$M$8*Z132*AC132*(AJ132-EOMONTH(EDATE(A132,-1),0))))/(AK132*AB132*AE132)</f>
        <v>#N/A</v>
      </c>
      <c r="AG132" s="207" t="n">
        <f aca="false">IF($A133="","",Summary!$Q$8)</f>
        <v>0</v>
      </c>
      <c r="AH132" s="207" t="n">
        <f aca="false">IF($A133="","",IF(Summary!$R$8="Y",(VLOOKUP($A132,Summary!$AD$6:$AF$9,3)+'Escalating commodity'!D145),'Escalating commodity'!D145))</f>
        <v>0.0200232</v>
      </c>
      <c r="AI132" s="207" t="n">
        <f aca="false">IF($A133="","",AH132)</f>
        <v>0.0200232</v>
      </c>
      <c r="AJ132" s="208" t="n">
        <f aca="false">A132+DAY(EOMONTH(A132,0))/2-1</f>
        <v>40770.5</v>
      </c>
      <c r="AK132" s="209" t="n">
        <f aca="false">IF($A133="","",$A132-$E$1)</f>
        <v>-5170</v>
      </c>
      <c r="AL132" s="182" t="e">
        <f aca="false">IF($A133="","",SPRDOPT(P132,X132,AI132,0,AB132,AE132,AF132,AK132,$AJ$2,0))</f>
        <v>#NAME?</v>
      </c>
      <c r="AM132" s="211" t="e">
        <f aca="false">IF($A133="","",MAX(0,O132-W132-AI132))</f>
        <v>#N/A</v>
      </c>
      <c r="AN132" s="211" t="e">
        <f aca="false">IF($A133="","",AL132-AM132)</f>
        <v>#N/A</v>
      </c>
      <c r="AO132" s="137" t="n">
        <f aca="false">IF(A133="","",A133-A132)</f>
        <v>31</v>
      </c>
      <c r="AP132" s="212" t="n">
        <f aca="false">IF(A133="","",CHOOSE(F$3,A133+24,A132))</f>
        <v>40756</v>
      </c>
      <c r="AQ132" s="209" t="n">
        <f aca="false">IF(A133="","",AP132-$E$1)</f>
        <v>-5170</v>
      </c>
      <c r="AR132" s="185" t="n">
        <f aca="false">'ANR OK vs ML7'!AR132</f>
        <v>0.1</v>
      </c>
      <c r="AS132" s="213" t="n">
        <f aca="false">IF(A133="","",1/(1+CHOOSE(F$3,(AR133+($I$3/10000))/2,(AR132+($I$3/10000))/2))^(2*AQ132/365.25))</f>
        <v>3.97975061642524</v>
      </c>
      <c r="AT132" s="137" t="n">
        <f aca="false">IF(A133="","",IF(AND(mthbeg&lt;=A132,mthend&gt;=A132),1,0))</f>
        <v>1</v>
      </c>
      <c r="AU132" s="137" t="n">
        <f aca="false">IF(A133="","",AO132*AT132)</f>
        <v>31</v>
      </c>
      <c r="AW132" s="195" t="e">
        <f aca="false">IF($A133="","",AL132*$E132)</f>
        <v>#NAME?</v>
      </c>
      <c r="AX132" s="195" t="e">
        <f aca="false">IF($A133="","",AM132*$E132)</f>
        <v>#N/A</v>
      </c>
      <c r="AY132" s="195" t="e">
        <f aca="false">IF($A133="","",AN132*$E132)</f>
        <v>#N/A</v>
      </c>
      <c r="BA132" s="195" t="n">
        <f aca="false">IF($A133="","",F132*Summary!$Q$8)</f>
        <v>0</v>
      </c>
      <c r="BC132" s="179" t="e">
        <f aca="false">IF(A133="","",AM132*F132)</f>
        <v>#N/A</v>
      </c>
    </row>
    <row r="133" customFormat="false" ht="12.75" hidden="false" customHeight="false" outlineLevel="0" collapsed="false">
      <c r="A133" s="196" t="n">
        <f aca="false">IF(A132&lt;mthend,EDATE(A132,1),"")</f>
        <v>40787</v>
      </c>
      <c r="B133" s="197" t="n">
        <f aca="false">IF(A133&lt;mthend,B132,0)</f>
        <v>80000</v>
      </c>
      <c r="C133" s="215"/>
      <c r="D133" s="197" t="n">
        <f aca="false">IF(A134&lt;&gt;"",B133+C133,"")</f>
        <v>80000</v>
      </c>
      <c r="E133" s="199" t="n">
        <f aca="false">IF(A134="","",IF(AND(AT133=1,$H$3=1),D133*AO133,IF($H$3=2,D133,"N/A")))</f>
        <v>2400000</v>
      </c>
      <c r="F133" s="199" t="n">
        <f aca="false">IF(A134="","",E133*AS133)</f>
        <v>9472623.71019463</v>
      </c>
      <c r="G133" s="200" t="e">
        <f aca="false">IF($A134="","",VLOOKUP($A133,Table,MATCH(G$4,Curves,0)))</f>
        <v>#N/A</v>
      </c>
      <c r="H133" s="201" t="e">
        <f aca="false">IF(A134="","",G133)</f>
        <v>#N/A</v>
      </c>
      <c r="I133" s="202"/>
      <c r="J133" s="200" t="e">
        <f aca="false">IF($A134="","",VLOOKUP($A133,Table,MATCH(J$4,Curves,0)))</f>
        <v>#N/A</v>
      </c>
      <c r="K133" s="201" t="e">
        <f aca="false">IF(A134="","",J133)</f>
        <v>#N/A</v>
      </c>
      <c r="L133" s="200" t="e">
        <f aca="false">IF($A134="","",VLOOKUP($A133,Table,MATCH(L$4,Curves,0)))</f>
        <v>#N/A</v>
      </c>
      <c r="M133" s="201" t="e">
        <f aca="false">IF(A134="","",L133)</f>
        <v>#N/A</v>
      </c>
      <c r="N133" s="203"/>
      <c r="O133" s="200" t="e">
        <f aca="false">IF(A134="","",L133+J133+G133)</f>
        <v>#N/A</v>
      </c>
      <c r="P133" s="200" t="e">
        <f aca="false">IF(A134="","",M133+K133+H133)</f>
        <v>#N/A</v>
      </c>
      <c r="Q133" s="204"/>
      <c r="R133" s="200" t="e">
        <f aca="false">IF($A134="","",VLOOKUP($A133,Table,MATCH(R$4,Curves,0)))</f>
        <v>#N/A</v>
      </c>
      <c r="S133" s="201" t="e">
        <f aca="false">IF(A134="","",R133)</f>
        <v>#N/A</v>
      </c>
      <c r="T133" s="200" t="e">
        <f aca="false">IF($A134="","",VLOOKUP($A133,Table,MATCH(T$4,Curves,0)))</f>
        <v>#N/A</v>
      </c>
      <c r="U133" s="201" t="e">
        <f aca="false">IF(A134="","",T133)</f>
        <v>#N/A</v>
      </c>
      <c r="V133" s="183" t="e">
        <f aca="false">IF($A134="","",IF(AND(MONTH(A133)&gt;3,MONTH(A133)&lt;11),(T133+R133+G133)*Summary!$T$8/(1-Summary!$T$8),(T133+R133+G133)*Summary!$U$8/(1-Summary!$U$8)))</f>
        <v>#N/A</v>
      </c>
      <c r="W133" s="200" t="e">
        <f aca="false">IF($A134="","",(T133+R133+G133+V133))</f>
        <v>#N/A</v>
      </c>
      <c r="X133" s="200" t="e">
        <f aca="false">IF($A134="","",(U133+S133+H133+V133))</f>
        <v>#N/A</v>
      </c>
      <c r="Y133" s="202"/>
      <c r="Z133" s="185" t="e">
        <f aca="false">IF($A134="","",VLOOKUP($A133,Table,MATCH(Z$4,Curves,0)))</f>
        <v>#N/A</v>
      </c>
      <c r="AA133" s="185" t="e">
        <f aca="false">IF($A134="","",VLOOKUP($A133,Table,MATCH(AA$4,Curves,0)))</f>
        <v>#N/A</v>
      </c>
      <c r="AB133" s="185" t="e">
        <f aca="false">SQRT((AA133^2*(A133-$D$3)+Z133^2*(DAY(EOMONTH(A133,0))/2))/AK133)</f>
        <v>#N/A</v>
      </c>
      <c r="AC133" s="185" t="e">
        <f aca="false">IF($A134="","",VLOOKUP($A133,Table,MATCH(AC$4,Curves,0)))</f>
        <v>#N/A</v>
      </c>
      <c r="AD133" s="185" t="e">
        <f aca="false">IF($A134="","",VLOOKUP($A133,Table,MATCH(AD$4,Curves,0)))</f>
        <v>#N/A</v>
      </c>
      <c r="AE133" s="185" t="e">
        <f aca="false">SQRT((AD133^2*(A133-$D$3)+AC133^2*(DAY(EOMONTH(A133,0))/2))/AK133)</f>
        <v>#N/A</v>
      </c>
      <c r="AF133" s="224" t="e">
        <f aca="false">((Summary!$N$8*(AA133*AD133)*(A133-$D$3))+(Summary!$M$8*Z133*AC133*(AJ133-EOMONTH(EDATE(A133,-1),0))))/(AK133*AB133*AE133)</f>
        <v>#N/A</v>
      </c>
      <c r="AG133" s="207" t="n">
        <f aca="false">IF($A134="","",Summary!$Q$8)</f>
        <v>0</v>
      </c>
      <c r="AH133" s="207" t="n">
        <f aca="false">IF($A134="","",IF(Summary!$R$8="Y",(VLOOKUP($A133,Summary!$AD$6:$AF$9,3)+'Escalating commodity'!D146),'Escalating commodity'!D146))</f>
        <v>0.0200232</v>
      </c>
      <c r="AI133" s="207" t="n">
        <f aca="false">IF($A134="","",AH133)</f>
        <v>0.0200232</v>
      </c>
      <c r="AJ133" s="208" t="n">
        <f aca="false">A133+DAY(EOMONTH(A133,0))/2-1</f>
        <v>40801</v>
      </c>
      <c r="AK133" s="209" t="n">
        <f aca="false">IF($A134="","",$A133-$E$1)</f>
        <v>-5139</v>
      </c>
      <c r="AL133" s="182" t="e">
        <f aca="false">IF($A134="","",SPRDOPT(P133,X133,AI133,0,AB133,AE133,AF133,AK133,$AJ$2,0))</f>
        <v>#NAME?</v>
      </c>
      <c r="AM133" s="211" t="e">
        <f aca="false">IF($A134="","",MAX(0,O133-W133-AI133))</f>
        <v>#N/A</v>
      </c>
      <c r="AN133" s="211" t="e">
        <f aca="false">IF($A134="","",AL133-AM133)</f>
        <v>#N/A</v>
      </c>
      <c r="AO133" s="137" t="n">
        <f aca="false">IF(A134="","",A134-A133)</f>
        <v>30</v>
      </c>
      <c r="AP133" s="212" t="n">
        <f aca="false">IF(A134="","",CHOOSE(F$3,A134+24,A133))</f>
        <v>40787</v>
      </c>
      <c r="AQ133" s="209" t="n">
        <f aca="false">IF(A134="","",AP133-$E$1)</f>
        <v>-5139</v>
      </c>
      <c r="AR133" s="185" t="n">
        <f aca="false">'ANR OK vs ML7'!AR133</f>
        <v>0.1</v>
      </c>
      <c r="AS133" s="213" t="n">
        <f aca="false">IF(A134="","",1/(1+CHOOSE(F$3,(AR134+($I$3/10000))/2,(AR133+($I$3/10000))/2))^(2*AQ133/365.25))</f>
        <v>3.94692654591443</v>
      </c>
      <c r="AT133" s="137" t="n">
        <f aca="false">IF(A134="","",IF(AND(mthbeg&lt;=A133,mthend&gt;=A133),1,0))</f>
        <v>1</v>
      </c>
      <c r="AU133" s="137" t="n">
        <f aca="false">IF(A134="","",AO133*AT133)</f>
        <v>30</v>
      </c>
      <c r="AW133" s="195" t="e">
        <f aca="false">IF($A134="","",AL133*$E133)</f>
        <v>#NAME?</v>
      </c>
      <c r="AX133" s="195" t="e">
        <f aca="false">IF($A134="","",AM133*$E133)</f>
        <v>#N/A</v>
      </c>
      <c r="AY133" s="195" t="e">
        <f aca="false">IF($A134="","",AN133*$E133)</f>
        <v>#N/A</v>
      </c>
      <c r="BA133" s="195" t="n">
        <f aca="false">IF($A134="","",F133*Summary!$Q$8)</f>
        <v>0</v>
      </c>
      <c r="BC133" s="179" t="e">
        <f aca="false">IF(A134="","",AM133*F133)</f>
        <v>#N/A</v>
      </c>
    </row>
    <row r="134" customFormat="false" ht="12.75" hidden="false" customHeight="false" outlineLevel="0" collapsed="false">
      <c r="A134" s="196" t="n">
        <f aca="false">IF(A133&lt;mthend,EDATE(A133,1),"")</f>
        <v>40817</v>
      </c>
      <c r="B134" s="197" t="n">
        <f aca="false">IF(A134&lt;mthend,B133,0)</f>
        <v>80000</v>
      </c>
      <c r="C134" s="215"/>
      <c r="D134" s="197" t="n">
        <f aca="false">IF(A135&lt;&gt;"",B134+C134,"")</f>
        <v>80000</v>
      </c>
      <c r="E134" s="199" t="n">
        <f aca="false">IF(A135="","",IF(AND(AT134=1,$H$3=1),D134*AO134,IF($H$3=2,D134,"N/A")))</f>
        <v>2480000</v>
      </c>
      <c r="F134" s="199" t="n">
        <f aca="false">IF(A135="","",E134*AS134)</f>
        <v>9710239.38273959</v>
      </c>
      <c r="G134" s="200" t="e">
        <f aca="false">IF($A135="","",VLOOKUP($A134,Table,MATCH(G$4,Curves,0)))</f>
        <v>#N/A</v>
      </c>
      <c r="H134" s="201" t="e">
        <f aca="false">IF(A135="","",G134)</f>
        <v>#N/A</v>
      </c>
      <c r="I134" s="202"/>
      <c r="J134" s="200" t="e">
        <f aca="false">IF($A135="","",VLOOKUP($A134,Table,MATCH(J$4,Curves,0)))</f>
        <v>#N/A</v>
      </c>
      <c r="K134" s="201" t="e">
        <f aca="false">IF(A135="","",J134)</f>
        <v>#N/A</v>
      </c>
      <c r="L134" s="200" t="e">
        <f aca="false">IF($A135="","",VLOOKUP($A134,Table,MATCH(L$4,Curves,0)))</f>
        <v>#N/A</v>
      </c>
      <c r="M134" s="201" t="e">
        <f aca="false">IF(A135="","",L134)</f>
        <v>#N/A</v>
      </c>
      <c r="N134" s="203"/>
      <c r="O134" s="200" t="e">
        <f aca="false">IF(A135="","",L134+J134+G134)</f>
        <v>#N/A</v>
      </c>
      <c r="P134" s="200" t="e">
        <f aca="false">IF(A135="","",M134+K134+H134)</f>
        <v>#N/A</v>
      </c>
      <c r="Q134" s="204"/>
      <c r="R134" s="200" t="e">
        <f aca="false">IF($A135="","",VLOOKUP($A134,Table,MATCH(R$4,Curves,0)))</f>
        <v>#N/A</v>
      </c>
      <c r="S134" s="201" t="e">
        <f aca="false">IF(A135="","",R134)</f>
        <v>#N/A</v>
      </c>
      <c r="T134" s="200" t="e">
        <f aca="false">IF($A135="","",VLOOKUP($A134,Table,MATCH(T$4,Curves,0)))</f>
        <v>#N/A</v>
      </c>
      <c r="U134" s="201" t="e">
        <f aca="false">IF(A135="","",T134)</f>
        <v>#N/A</v>
      </c>
      <c r="V134" s="183" t="e">
        <f aca="false">IF($A135="","",IF(AND(MONTH(A134)&gt;3,MONTH(A134)&lt;11),(T134+R134+G134)*Summary!$T$8/(1-Summary!$T$8),(T134+R134+G134)*Summary!$U$8/(1-Summary!$U$8)))</f>
        <v>#N/A</v>
      </c>
      <c r="W134" s="200" t="e">
        <f aca="false">IF($A135="","",(T134+R134+G134+V134))</f>
        <v>#N/A</v>
      </c>
      <c r="X134" s="200" t="e">
        <f aca="false">IF($A135="","",(U134+S134+H134+V134))</f>
        <v>#N/A</v>
      </c>
      <c r="Y134" s="202"/>
      <c r="Z134" s="185" t="e">
        <f aca="false">IF($A135="","",VLOOKUP($A134,Table,MATCH(Z$4,Curves,0)))</f>
        <v>#N/A</v>
      </c>
      <c r="AA134" s="185" t="e">
        <f aca="false">IF($A135="","",VLOOKUP($A134,Table,MATCH(AA$4,Curves,0)))</f>
        <v>#N/A</v>
      </c>
      <c r="AB134" s="185" t="e">
        <f aca="false">SQRT((AA134^2*(A134-$D$3)+Z134^2*(DAY(EOMONTH(A134,0))/2))/AK134)</f>
        <v>#N/A</v>
      </c>
      <c r="AC134" s="185" t="e">
        <f aca="false">IF($A135="","",VLOOKUP($A134,Table,MATCH(AC$4,Curves,0)))</f>
        <v>#N/A</v>
      </c>
      <c r="AD134" s="185" t="e">
        <f aca="false">IF($A135="","",VLOOKUP($A134,Table,MATCH(AD$4,Curves,0)))</f>
        <v>#N/A</v>
      </c>
      <c r="AE134" s="185" t="e">
        <f aca="false">SQRT((AD134^2*(A134-$D$3)+AC134^2*(DAY(EOMONTH(A134,0))/2))/AK134)</f>
        <v>#N/A</v>
      </c>
      <c r="AF134" s="224" t="e">
        <f aca="false">((Summary!$N$8*(AA134*AD134)*(A134-$D$3))+(Summary!$M$8*Z134*AC134*(AJ134-EOMONTH(EDATE(A134,-1),0))))/(AK134*AB134*AE134)</f>
        <v>#N/A</v>
      </c>
      <c r="AG134" s="207" t="n">
        <f aca="false">IF($A135="","",Summary!$Q$8)</f>
        <v>0</v>
      </c>
      <c r="AH134" s="207" t="n">
        <f aca="false">IF($A135="","",IF(Summary!$R$8="Y",(VLOOKUP($A134,Summary!$AD$6:$AF$9,3)+'Escalating commodity'!D147),'Escalating commodity'!D147))</f>
        <v>0.0200232</v>
      </c>
      <c r="AI134" s="207" t="n">
        <f aca="false">IF($A135="","",AH134)</f>
        <v>0.0200232</v>
      </c>
      <c r="AJ134" s="208" t="n">
        <f aca="false">A134+DAY(EOMONTH(A134,0))/2-1</f>
        <v>40831.5</v>
      </c>
      <c r="AK134" s="209" t="n">
        <f aca="false">IF($A135="","",$A134-$E$1)</f>
        <v>-5109</v>
      </c>
      <c r="AL134" s="182" t="e">
        <f aca="false">IF($A135="","",SPRDOPT(P134,X134,AI134,0,AB134,AE134,AF134,AK134,$AJ$2,0))</f>
        <v>#NAME?</v>
      </c>
      <c r="AM134" s="211" t="e">
        <f aca="false">IF($A135="","",MAX(0,O134-W134-AI134))</f>
        <v>#N/A</v>
      </c>
      <c r="AN134" s="211" t="e">
        <f aca="false">IF($A135="","",AL134-AM134)</f>
        <v>#N/A</v>
      </c>
      <c r="AO134" s="137" t="n">
        <f aca="false">IF(A135="","",A135-A134)</f>
        <v>31</v>
      </c>
      <c r="AP134" s="212" t="n">
        <f aca="false">IF(A135="","",CHOOSE(F$3,A135+24,A134))</f>
        <v>40817</v>
      </c>
      <c r="AQ134" s="209" t="n">
        <f aca="false">IF(A135="","",AP134-$E$1)</f>
        <v>-5109</v>
      </c>
      <c r="AR134" s="185" t="n">
        <f aca="false">'ANR OK vs ML7'!AR134</f>
        <v>0.1</v>
      </c>
      <c r="AS134" s="213" t="n">
        <f aca="false">IF(A135="","",1/(1+CHOOSE(F$3,(AR135+($I$3/10000))/2,(AR134+($I$3/10000))/2))^(2*AQ134/365.25))</f>
        <v>3.91541910594338</v>
      </c>
      <c r="AT134" s="137" t="n">
        <f aca="false">IF(A135="","",IF(AND(mthbeg&lt;=A134,mthend&gt;=A134),1,0))</f>
        <v>1</v>
      </c>
      <c r="AU134" s="137" t="n">
        <f aca="false">IF(A135="","",AO134*AT134)</f>
        <v>31</v>
      </c>
      <c r="AW134" s="195" t="e">
        <f aca="false">IF($A135="","",AL134*$E134)</f>
        <v>#NAME?</v>
      </c>
      <c r="AX134" s="195" t="e">
        <f aca="false">IF($A135="","",AM134*$E134)</f>
        <v>#N/A</v>
      </c>
      <c r="AY134" s="195" t="e">
        <f aca="false">IF($A135="","",AN134*$E134)</f>
        <v>#N/A</v>
      </c>
      <c r="BA134" s="195" t="n">
        <f aca="false">IF($A135="","",F134*Summary!$Q$8)</f>
        <v>0</v>
      </c>
      <c r="BC134" s="179" t="e">
        <f aca="false">IF(A135="","",AM134*F134)</f>
        <v>#N/A</v>
      </c>
    </row>
    <row r="135" customFormat="false" ht="12.75" hidden="false" customHeight="false" outlineLevel="0" collapsed="false">
      <c r="A135" s="196" t="n">
        <f aca="false">IF(A134&lt;mthend,EDATE(A134,1),"")</f>
        <v>40848</v>
      </c>
      <c r="B135" s="197" t="n">
        <f aca="false">IF(A135&lt;mthend,B134,0)</f>
        <v>80000</v>
      </c>
      <c r="C135" s="215"/>
      <c r="D135" s="197" t="n">
        <f aca="false">IF(A136&lt;&gt;"",B135+C135,"")</f>
        <v>80000</v>
      </c>
      <c r="E135" s="199" t="n">
        <f aca="false">IF(A136="","",IF(AND(AT135=1,$H$3=1),D135*AO135,IF($H$3=2,D135,"N/A")))</f>
        <v>2400000</v>
      </c>
      <c r="F135" s="199" t="n">
        <f aca="false">IF(A136="","",E135*AS135)</f>
        <v>9319501.50475091</v>
      </c>
      <c r="G135" s="200" t="e">
        <f aca="false">IF($A136="","",VLOOKUP($A135,Table,MATCH(G$4,Curves,0)))</f>
        <v>#N/A</v>
      </c>
      <c r="H135" s="201" t="e">
        <f aca="false">IF(A136="","",G135)</f>
        <v>#N/A</v>
      </c>
      <c r="I135" s="202"/>
      <c r="J135" s="200" t="e">
        <f aca="false">IF($A136="","",VLOOKUP($A135,Table,MATCH(J$4,Curves,0)))</f>
        <v>#N/A</v>
      </c>
      <c r="K135" s="201" t="e">
        <f aca="false">IF(A136="","",J135)</f>
        <v>#N/A</v>
      </c>
      <c r="L135" s="200" t="e">
        <f aca="false">IF($A136="","",VLOOKUP($A135,Table,MATCH(L$4,Curves,0)))</f>
        <v>#N/A</v>
      </c>
      <c r="M135" s="201" t="e">
        <f aca="false">IF(A136="","",L135)</f>
        <v>#N/A</v>
      </c>
      <c r="N135" s="203"/>
      <c r="O135" s="200" t="e">
        <f aca="false">IF(A136="","",L135+J135+G135)</f>
        <v>#N/A</v>
      </c>
      <c r="P135" s="200" t="e">
        <f aca="false">IF(A136="","",M135+K135+H135)</f>
        <v>#N/A</v>
      </c>
      <c r="Q135" s="204"/>
      <c r="R135" s="200" t="e">
        <f aca="false">IF($A136="","",VLOOKUP($A135,Table,MATCH(R$4,Curves,0)))</f>
        <v>#N/A</v>
      </c>
      <c r="S135" s="201" t="e">
        <f aca="false">IF(A136="","",R135)</f>
        <v>#N/A</v>
      </c>
      <c r="T135" s="200" t="e">
        <f aca="false">IF($A136="","",VLOOKUP($A135,Table,MATCH(T$4,Curves,0)))</f>
        <v>#N/A</v>
      </c>
      <c r="U135" s="201" t="e">
        <f aca="false">IF(A136="","",T135)</f>
        <v>#N/A</v>
      </c>
      <c r="V135" s="183" t="e">
        <f aca="false">IF($A136="","",IF(AND(MONTH(A135)&gt;3,MONTH(A135)&lt;11),(T135+R135+G135)*Summary!$T$8/(1-Summary!$T$8),(T135+R135+G135)*Summary!$U$8/(1-Summary!$U$8)))</f>
        <v>#N/A</v>
      </c>
      <c r="W135" s="200" t="e">
        <f aca="false">IF($A136="","",(T135+R135+G135+V135))</f>
        <v>#N/A</v>
      </c>
      <c r="X135" s="200" t="e">
        <f aca="false">IF($A136="","",(U135+S135+H135+V135))</f>
        <v>#N/A</v>
      </c>
      <c r="Y135" s="202"/>
      <c r="Z135" s="185" t="e">
        <f aca="false">IF($A136="","",VLOOKUP($A135,Table,MATCH(Z$4,Curves,0)))</f>
        <v>#N/A</v>
      </c>
      <c r="AA135" s="185" t="e">
        <f aca="false">IF($A136="","",VLOOKUP($A135,Table,MATCH(AA$4,Curves,0)))</f>
        <v>#N/A</v>
      </c>
      <c r="AB135" s="185" t="e">
        <f aca="false">SQRT((AA135^2*(A135-$D$3)+Z135^2*(DAY(EOMONTH(A135,0))/2))/AK135)</f>
        <v>#N/A</v>
      </c>
      <c r="AC135" s="185" t="e">
        <f aca="false">IF($A136="","",VLOOKUP($A135,Table,MATCH(AC$4,Curves,0)))</f>
        <v>#N/A</v>
      </c>
      <c r="AD135" s="185" t="e">
        <f aca="false">IF($A136="","",VLOOKUP($A135,Table,MATCH(AD$4,Curves,0)))</f>
        <v>#N/A</v>
      </c>
      <c r="AE135" s="185" t="e">
        <f aca="false">SQRT((AD135^2*(A135-$D$3)+AC135^2*(DAY(EOMONTH(A135,0))/2))/AK135)</f>
        <v>#N/A</v>
      </c>
      <c r="AF135" s="224" t="e">
        <f aca="false">((Summary!$N$8*(AA135*AD135)*(A135-$D$3))+(Summary!$M$8*Z135*AC135*(AJ135-EOMONTH(EDATE(A135,-1),0))))/(AK135*AB135*AE135)</f>
        <v>#N/A</v>
      </c>
      <c r="AG135" s="207" t="n">
        <f aca="false">IF($A136="","",Summary!$Q$8)</f>
        <v>0</v>
      </c>
      <c r="AH135" s="207" t="n">
        <f aca="false">IF($A136="","",IF(Summary!$R$8="Y",(VLOOKUP($A135,Summary!$AD$6:$AF$9,3)+'Escalating commodity'!D148),'Escalating commodity'!D148))</f>
        <v>0.0200232</v>
      </c>
      <c r="AI135" s="207" t="n">
        <f aca="false">IF($A136="","",AH135)</f>
        <v>0.0200232</v>
      </c>
      <c r="AJ135" s="208" t="n">
        <f aca="false">A135+DAY(EOMONTH(A135,0))/2-1</f>
        <v>40862</v>
      </c>
      <c r="AK135" s="209" t="n">
        <f aca="false">IF($A136="","",$A135-$E$1)</f>
        <v>-5078</v>
      </c>
      <c r="AL135" s="182" t="e">
        <f aca="false">IF($A136="","",SPRDOPT(P135,X135,AI135,0,AB135,AE135,AF135,AK135,$AJ$2,0))</f>
        <v>#NAME?</v>
      </c>
      <c r="AM135" s="211" t="e">
        <f aca="false">IF($A136="","",MAX(0,O135-W135-AI135))</f>
        <v>#N/A</v>
      </c>
      <c r="AN135" s="211" t="e">
        <f aca="false">IF($A136="","",AL135-AM135)</f>
        <v>#N/A</v>
      </c>
      <c r="AO135" s="137" t="n">
        <f aca="false">IF(A136="","",A136-A135)</f>
        <v>30</v>
      </c>
      <c r="AP135" s="212" t="n">
        <f aca="false">IF(A136="","",CHOOSE(F$3,A136+24,A135))</f>
        <v>40848</v>
      </c>
      <c r="AQ135" s="209" t="n">
        <f aca="false">IF(A136="","",AP135-$E$1)</f>
        <v>-5078</v>
      </c>
      <c r="AR135" s="185" t="n">
        <f aca="false">'ANR OK vs ML7'!AR135</f>
        <v>0.1</v>
      </c>
      <c r="AS135" s="213" t="n">
        <f aca="false">IF(A136="","",1/(1+CHOOSE(F$3,(AR136+($I$3/10000))/2,(AR135+($I$3/10000))/2))^(2*AQ135/365.25))</f>
        <v>3.88312562697955</v>
      </c>
      <c r="AT135" s="137" t="n">
        <f aca="false">IF(A136="","",IF(AND(mthbeg&lt;=A135,mthend&gt;=A135),1,0))</f>
        <v>1</v>
      </c>
      <c r="AU135" s="137" t="n">
        <f aca="false">IF(A136="","",AO135*AT135)</f>
        <v>30</v>
      </c>
      <c r="AW135" s="195" t="e">
        <f aca="false">IF($A136="","",AL135*$E135)</f>
        <v>#NAME?</v>
      </c>
      <c r="AX135" s="195" t="e">
        <f aca="false">IF($A136="","",AM135*$E135)</f>
        <v>#N/A</v>
      </c>
      <c r="AY135" s="195" t="e">
        <f aca="false">IF($A136="","",AN135*$E135)</f>
        <v>#N/A</v>
      </c>
      <c r="BA135" s="195" t="n">
        <f aca="false">IF($A136="","",F135*Summary!$Q$8)</f>
        <v>0</v>
      </c>
      <c r="BC135" s="179" t="e">
        <f aca="false">IF(A136="","",AM135*F135)</f>
        <v>#N/A</v>
      </c>
    </row>
    <row r="136" customFormat="false" ht="12.75" hidden="false" customHeight="false" outlineLevel="0" collapsed="false">
      <c r="A136" s="196" t="n">
        <f aca="false">IF(A135&lt;mthend,EDATE(A135,1),"")</f>
        <v>40878</v>
      </c>
      <c r="B136" s="197" t="n">
        <f aca="false">IF(A136&lt;mthend,B135,0)</f>
        <v>80000</v>
      </c>
      <c r="C136" s="215"/>
      <c r="D136" s="197" t="n">
        <f aca="false">IF(A137&lt;&gt;"",B136+C136,"")</f>
        <v>80000</v>
      </c>
      <c r="E136" s="199" t="n">
        <f aca="false">IF(A137="","",IF(AND(AT136=1,$H$3=1),D136*AO136,IF($H$3=2,D136,"N/A")))</f>
        <v>2480000</v>
      </c>
      <c r="F136" s="199" t="n">
        <f aca="false">IF(A137="","",E136*AS136)</f>
        <v>9553276.18910282</v>
      </c>
      <c r="G136" s="200" t="e">
        <f aca="false">IF($A137="","",VLOOKUP($A136,Table,MATCH(G$4,Curves,0)))</f>
        <v>#N/A</v>
      </c>
      <c r="H136" s="201" t="e">
        <f aca="false">IF(A137="","",G136)</f>
        <v>#N/A</v>
      </c>
      <c r="I136" s="202"/>
      <c r="J136" s="200" t="e">
        <f aca="false">IF($A137="","",VLOOKUP($A136,Table,MATCH(J$4,Curves,0)))</f>
        <v>#N/A</v>
      </c>
      <c r="K136" s="201" t="e">
        <f aca="false">IF(A137="","",J136)</f>
        <v>#N/A</v>
      </c>
      <c r="L136" s="200" t="e">
        <f aca="false">IF($A137="","",VLOOKUP($A136,Table,MATCH(L$4,Curves,0)))</f>
        <v>#N/A</v>
      </c>
      <c r="M136" s="201" t="e">
        <f aca="false">IF(A137="","",L136)</f>
        <v>#N/A</v>
      </c>
      <c r="N136" s="203"/>
      <c r="O136" s="200" t="e">
        <f aca="false">IF(A137="","",L136+J136+G136)</f>
        <v>#N/A</v>
      </c>
      <c r="P136" s="200" t="e">
        <f aca="false">IF(A137="","",M136+K136+H136)</f>
        <v>#N/A</v>
      </c>
      <c r="Q136" s="204"/>
      <c r="R136" s="200" t="e">
        <f aca="false">IF($A137="","",VLOOKUP($A136,Table,MATCH(R$4,Curves,0)))</f>
        <v>#N/A</v>
      </c>
      <c r="S136" s="201" t="e">
        <f aca="false">IF(A137="","",R136)</f>
        <v>#N/A</v>
      </c>
      <c r="T136" s="200" t="e">
        <f aca="false">IF($A137="","",VLOOKUP($A136,Table,MATCH(T$4,Curves,0)))</f>
        <v>#N/A</v>
      </c>
      <c r="U136" s="201" t="e">
        <f aca="false">IF(A137="","",T136)</f>
        <v>#N/A</v>
      </c>
      <c r="V136" s="183" t="e">
        <f aca="false">IF($A137="","",IF(AND(MONTH(A136)&gt;3,MONTH(A136)&lt;11),(T136+R136+G136)*Summary!$T$8/(1-Summary!$T$8),(T136+R136+G136)*Summary!$U$8/(1-Summary!$U$8)))</f>
        <v>#N/A</v>
      </c>
      <c r="W136" s="200" t="e">
        <f aca="false">IF($A137="","",(T136+R136+G136+V136))</f>
        <v>#N/A</v>
      </c>
      <c r="X136" s="200" t="e">
        <f aca="false">IF($A137="","",(U136+S136+H136+V136))</f>
        <v>#N/A</v>
      </c>
      <c r="Y136" s="202"/>
      <c r="Z136" s="185" t="e">
        <f aca="false">IF($A137="","",VLOOKUP($A136,Table,MATCH(Z$4,Curves,0)))</f>
        <v>#N/A</v>
      </c>
      <c r="AA136" s="185" t="e">
        <f aca="false">IF($A137="","",VLOOKUP($A136,Table,MATCH(AA$4,Curves,0)))</f>
        <v>#N/A</v>
      </c>
      <c r="AB136" s="185" t="e">
        <f aca="false">SQRT((AA136^2*(A136-$D$3)+Z136^2*(DAY(EOMONTH(A136,0))/2))/AK136)</f>
        <v>#N/A</v>
      </c>
      <c r="AC136" s="185" t="e">
        <f aca="false">IF($A137="","",VLOOKUP($A136,Table,MATCH(AC$4,Curves,0)))</f>
        <v>#N/A</v>
      </c>
      <c r="AD136" s="185" t="e">
        <f aca="false">IF($A137="","",VLOOKUP($A136,Table,MATCH(AD$4,Curves,0)))</f>
        <v>#N/A</v>
      </c>
      <c r="AE136" s="185" t="e">
        <f aca="false">SQRT((AD136^2*(A136-$D$3)+AC136^2*(DAY(EOMONTH(A136,0))/2))/AK136)</f>
        <v>#N/A</v>
      </c>
      <c r="AF136" s="224" t="e">
        <f aca="false">((Summary!$N$8*(AA136*AD136)*(A136-$D$3))+(Summary!$M$8*Z136*AC136*(AJ136-EOMONTH(EDATE(A136,-1),0))))/(AK136*AB136*AE136)</f>
        <v>#N/A</v>
      </c>
      <c r="AG136" s="207" t="n">
        <f aca="false">IF($A137="","",Summary!$Q$8)</f>
        <v>0</v>
      </c>
      <c r="AH136" s="207" t="n">
        <f aca="false">IF($A137="","",IF(Summary!$R$8="Y",(VLOOKUP($A136,Summary!$AD$6:$AF$9,3)+'Escalating commodity'!D149),'Escalating commodity'!D149))</f>
        <v>0.0200232</v>
      </c>
      <c r="AI136" s="207" t="n">
        <f aca="false">IF($A137="","",AH136)</f>
        <v>0.0200232</v>
      </c>
      <c r="AJ136" s="208" t="n">
        <f aca="false">A136+DAY(EOMONTH(A136,0))/2-1</f>
        <v>40892.5</v>
      </c>
      <c r="AK136" s="209" t="n">
        <f aca="false">IF($A137="","",$A136-$E$1)</f>
        <v>-5048</v>
      </c>
      <c r="AL136" s="182" t="e">
        <f aca="false">IF($A137="","",SPRDOPT(P136,X136,AI136,0,AB136,AE136,AF136,AK136,$AJ$2,0))</f>
        <v>#NAME?</v>
      </c>
      <c r="AM136" s="211" t="e">
        <f aca="false">IF($A137="","",MAX(0,O136-W136-AI136))</f>
        <v>#N/A</v>
      </c>
      <c r="AN136" s="211" t="e">
        <f aca="false">IF($A137="","",AL136-AM136)</f>
        <v>#N/A</v>
      </c>
      <c r="AO136" s="137" t="n">
        <f aca="false">IF(A137="","",A137-A136)</f>
        <v>31</v>
      </c>
      <c r="AP136" s="212" t="n">
        <f aca="false">IF(A137="","",CHOOSE(F$3,A137+24,A136))</f>
        <v>40878</v>
      </c>
      <c r="AQ136" s="209" t="n">
        <f aca="false">IF(A137="","",AP136-$E$1)</f>
        <v>-5048</v>
      </c>
      <c r="AR136" s="185" t="n">
        <f aca="false">'ANR OK vs ML7'!AR136</f>
        <v>0.1</v>
      </c>
      <c r="AS136" s="213" t="n">
        <f aca="false">IF(A137="","",1/(1+CHOOSE(F$3,(AR137+($I$3/10000))/2,(AR136+($I$3/10000))/2))^(2*AQ136/365.25))</f>
        <v>3.85212749560598</v>
      </c>
      <c r="AT136" s="137" t="n">
        <f aca="false">IF(A137="","",IF(AND(mthbeg&lt;=A136,mthend&gt;=A136),1,0))</f>
        <v>1</v>
      </c>
      <c r="AU136" s="137" t="n">
        <f aca="false">IF(A137="","",AO136*AT136)</f>
        <v>31</v>
      </c>
      <c r="AW136" s="195" t="e">
        <f aca="false">IF($A137="","",AL136*$E136)</f>
        <v>#NAME?</v>
      </c>
      <c r="AX136" s="195" t="e">
        <f aca="false">IF($A137="","",AM136*$E136)</f>
        <v>#N/A</v>
      </c>
      <c r="AY136" s="195" t="e">
        <f aca="false">IF($A137="","",AN136*$E136)</f>
        <v>#N/A</v>
      </c>
      <c r="BA136" s="195" t="n">
        <f aca="false">IF($A137="","",F136*Summary!$Q$8)</f>
        <v>0</v>
      </c>
      <c r="BC136" s="179" t="e">
        <f aca="false">IF(A137="","",AM136*F136)</f>
        <v>#N/A</v>
      </c>
    </row>
    <row r="137" customFormat="false" ht="12.75" hidden="false" customHeight="false" outlineLevel="0" collapsed="false">
      <c r="A137" s="196" t="n">
        <f aca="false">IF(A136&lt;mthend,EDATE(A136,1),"")</f>
        <v>40909</v>
      </c>
      <c r="B137" s="197" t="n">
        <f aca="false">IF(A137&lt;mthend,B136,0)</f>
        <v>80000</v>
      </c>
      <c r="C137" s="215"/>
      <c r="D137" s="197" t="n">
        <f aca="false">IF(A138&lt;&gt;"",B137+C137,"")</f>
        <v>80000</v>
      </c>
      <c r="E137" s="199" t="n">
        <f aca="false">IF(A138="","",IF(AND(AT137=1,$H$3=1),D137*AO137,IF($H$3=2,D137,"N/A")))</f>
        <v>2480000</v>
      </c>
      <c r="F137" s="199" t="n">
        <f aca="false">IF(A138="","",E137*AS137)</f>
        <v>9474482.95770131</v>
      </c>
      <c r="G137" s="200" t="e">
        <f aca="false">IF($A138="","",VLOOKUP($A137,Table,MATCH(G$4,Curves,0)))</f>
        <v>#N/A</v>
      </c>
      <c r="H137" s="201" t="e">
        <f aca="false">IF(A138="","",G137)</f>
        <v>#N/A</v>
      </c>
      <c r="I137" s="202"/>
      <c r="J137" s="200" t="e">
        <f aca="false">IF($A138="","",VLOOKUP($A137,Table,MATCH(J$4,Curves,0)))</f>
        <v>#N/A</v>
      </c>
      <c r="K137" s="201" t="e">
        <f aca="false">IF(A138="","",J137)</f>
        <v>#N/A</v>
      </c>
      <c r="L137" s="200" t="e">
        <f aca="false">IF($A138="","",VLOOKUP($A137,Table,MATCH(L$4,Curves,0)))</f>
        <v>#N/A</v>
      </c>
      <c r="M137" s="201" t="e">
        <f aca="false">IF(A138="","",L137)</f>
        <v>#N/A</v>
      </c>
      <c r="N137" s="203"/>
      <c r="O137" s="200" t="e">
        <f aca="false">IF(A138="","",L137+J137+G137)</f>
        <v>#N/A</v>
      </c>
      <c r="P137" s="200" t="e">
        <f aca="false">IF(A138="","",M137+K137+H137)</f>
        <v>#N/A</v>
      </c>
      <c r="Q137" s="204"/>
      <c r="R137" s="200" t="e">
        <f aca="false">IF($A138="","",VLOOKUP($A137,Table,MATCH(R$4,Curves,0)))</f>
        <v>#N/A</v>
      </c>
      <c r="S137" s="201" t="e">
        <f aca="false">IF(A138="","",R137)</f>
        <v>#N/A</v>
      </c>
      <c r="T137" s="200" t="e">
        <f aca="false">IF($A138="","",VLOOKUP($A137,Table,MATCH(T$4,Curves,0)))</f>
        <v>#N/A</v>
      </c>
      <c r="U137" s="201" t="e">
        <f aca="false">IF(A138="","",T137)</f>
        <v>#N/A</v>
      </c>
      <c r="V137" s="183" t="e">
        <f aca="false">IF($A138="","",IF(AND(MONTH(A137)&gt;3,MONTH(A137)&lt;11),(T137+R137+G137)*Summary!$T$8/(1-Summary!$T$8),(T137+R137+G137)*Summary!$U$8/(1-Summary!$U$8)))</f>
        <v>#N/A</v>
      </c>
      <c r="W137" s="200" t="e">
        <f aca="false">IF($A138="","",(T137+R137+G137+V137))</f>
        <v>#N/A</v>
      </c>
      <c r="X137" s="200" t="e">
        <f aca="false">IF($A138="","",(U137+S137+H137+V137))</f>
        <v>#N/A</v>
      </c>
      <c r="Y137" s="202"/>
      <c r="Z137" s="185" t="e">
        <f aca="false">IF($A138="","",VLOOKUP($A137,Table,MATCH(Z$4,Curves,0)))</f>
        <v>#N/A</v>
      </c>
      <c r="AA137" s="185" t="e">
        <f aca="false">IF($A138="","",VLOOKUP($A137,Table,MATCH(AA$4,Curves,0)))</f>
        <v>#N/A</v>
      </c>
      <c r="AB137" s="185" t="e">
        <f aca="false">SQRT((AA137^2*(A137-$D$3)+Z137^2*(DAY(EOMONTH(A137,0))/2))/AK137)</f>
        <v>#N/A</v>
      </c>
      <c r="AC137" s="185" t="e">
        <f aca="false">IF($A138="","",VLOOKUP($A137,Table,MATCH(AC$4,Curves,0)))</f>
        <v>#N/A</v>
      </c>
      <c r="AD137" s="185" t="e">
        <f aca="false">IF($A138="","",VLOOKUP($A137,Table,MATCH(AD$4,Curves,0)))</f>
        <v>#N/A</v>
      </c>
      <c r="AE137" s="185" t="e">
        <f aca="false">SQRT((AD137^2*(A137-$D$3)+AC137^2*(DAY(EOMONTH(A137,0))/2))/AK137)</f>
        <v>#N/A</v>
      </c>
      <c r="AF137" s="224" t="e">
        <f aca="false">((Summary!$N$8*(AA137*AD137)*(A137-$D$3))+(Summary!$M$8*Z137*AC137*(AJ137-EOMONTH(EDATE(A137,-1),0))))/(AK137*AB137*AE137)</f>
        <v>#N/A</v>
      </c>
      <c r="AG137" s="207" t="n">
        <f aca="false">IF($A138="","",Summary!$Q$8)</f>
        <v>0</v>
      </c>
      <c r="AH137" s="207" t="n">
        <f aca="false">IF($A138="","",IF(Summary!$R$8="Y",(VLOOKUP($A137,Summary!$AD$6:$AF$9,3)+'Escalating commodity'!D150),'Escalating commodity'!D150))</f>
        <v>0.0200232</v>
      </c>
      <c r="AI137" s="207" t="n">
        <f aca="false">IF($A138="","",AH137)</f>
        <v>0.0200232</v>
      </c>
      <c r="AJ137" s="208" t="n">
        <f aca="false">A137+DAY(EOMONTH(A137,0))/2-1</f>
        <v>40923.5</v>
      </c>
      <c r="AK137" s="209" t="n">
        <f aca="false">IF($A138="","",$A137-$E$1)</f>
        <v>-5017</v>
      </c>
      <c r="AL137" s="182" t="e">
        <f aca="false">IF($A138="","",SPRDOPT(P137,X137,AI137,0,AB137,AE137,AF137,AK137,$AJ$2,0))</f>
        <v>#NAME?</v>
      </c>
      <c r="AM137" s="211" t="e">
        <f aca="false">IF($A138="","",MAX(0,O137-W137-AI137))</f>
        <v>#N/A</v>
      </c>
      <c r="AN137" s="211" t="e">
        <f aca="false">IF($A138="","",AL137-AM137)</f>
        <v>#N/A</v>
      </c>
      <c r="AO137" s="137" t="n">
        <f aca="false">IF(A138="","",A138-A137)</f>
        <v>31</v>
      </c>
      <c r="AP137" s="212" t="n">
        <f aca="false">IF(A138="","",CHOOSE(F$3,A138+24,A137))</f>
        <v>40909</v>
      </c>
      <c r="AQ137" s="209" t="n">
        <f aca="false">IF(A138="","",AP137-$E$1)</f>
        <v>-5017</v>
      </c>
      <c r="AR137" s="185" t="n">
        <f aca="false">'ANR OK vs ML7'!AR137</f>
        <v>0.1</v>
      </c>
      <c r="AS137" s="213" t="n">
        <f aca="false">IF(A138="","",1/(1+CHOOSE(F$3,(AR138+($I$3/10000))/2,(AR137+($I$3/10000))/2))^(2*AQ137/365.25))</f>
        <v>3.82035603133117</v>
      </c>
      <c r="AT137" s="137" t="n">
        <f aca="false">IF(A138="","",IF(AND(mthbeg&lt;=A137,mthend&gt;=A137),1,0))</f>
        <v>1</v>
      </c>
      <c r="AU137" s="137" t="n">
        <f aca="false">IF(A138="","",AO137*AT137)</f>
        <v>31</v>
      </c>
      <c r="AW137" s="195" t="e">
        <f aca="false">IF($A138="","",AL137*$E137)</f>
        <v>#NAME?</v>
      </c>
      <c r="AX137" s="195" t="e">
        <f aca="false">IF($A138="","",AM137*$E137)</f>
        <v>#N/A</v>
      </c>
      <c r="AY137" s="195" t="e">
        <f aca="false">IF($A138="","",AN137*$E137)</f>
        <v>#N/A</v>
      </c>
      <c r="BA137" s="195" t="n">
        <f aca="false">IF($A138="","",F137*Summary!$Q$8)</f>
        <v>0</v>
      </c>
      <c r="BC137" s="179" t="e">
        <f aca="false">IF(A138="","",AM137*F137)</f>
        <v>#N/A</v>
      </c>
    </row>
    <row r="138" customFormat="false" ht="12.75" hidden="false" customHeight="false" outlineLevel="0" collapsed="false">
      <c r="A138" s="196" t="n">
        <f aca="false">IF(A137&lt;mthend,EDATE(A137,1),"")</f>
        <v>40940</v>
      </c>
      <c r="B138" s="197" t="n">
        <f aca="false">IF(A138&lt;mthend,B137,0)</f>
        <v>80000</v>
      </c>
      <c r="C138" s="215"/>
      <c r="D138" s="197" t="n">
        <f aca="false">IF(A139&lt;&gt;"",B138+C138,"")</f>
        <v>80000</v>
      </c>
      <c r="E138" s="199" t="n">
        <f aca="false">IF(A139="","",IF(AND(AT138=1,$H$3=1),D138*AO138,IF($H$3=2,D138,"N/A")))</f>
        <v>2320000</v>
      </c>
      <c r="F138" s="199" t="n">
        <f aca="false">IF(A139="","",E138*AS138)</f>
        <v>8790124.13707543</v>
      </c>
      <c r="G138" s="200" t="e">
        <f aca="false">IF($A139="","",VLOOKUP($A138,Table,MATCH(G$4,Curves,0)))</f>
        <v>#N/A</v>
      </c>
      <c r="H138" s="201" t="e">
        <f aca="false">IF(A139="","",G138)</f>
        <v>#N/A</v>
      </c>
      <c r="I138" s="202"/>
      <c r="J138" s="200" t="e">
        <f aca="false">IF($A139="","",VLOOKUP($A138,Table,MATCH(J$4,Curves,0)))</f>
        <v>#N/A</v>
      </c>
      <c r="K138" s="201" t="e">
        <f aca="false">IF(A139="","",J138)</f>
        <v>#N/A</v>
      </c>
      <c r="L138" s="200" t="e">
        <f aca="false">IF($A139="","",VLOOKUP($A138,Table,MATCH(L$4,Curves,0)))</f>
        <v>#N/A</v>
      </c>
      <c r="M138" s="201" t="e">
        <f aca="false">IF(A139="","",L138)</f>
        <v>#N/A</v>
      </c>
      <c r="N138" s="203"/>
      <c r="O138" s="200" t="e">
        <f aca="false">IF(A139="","",L138+J138+G138)</f>
        <v>#N/A</v>
      </c>
      <c r="P138" s="200" t="e">
        <f aca="false">IF(A139="","",M138+K138+H138)</f>
        <v>#N/A</v>
      </c>
      <c r="Q138" s="204"/>
      <c r="R138" s="200" t="e">
        <f aca="false">IF($A139="","",VLOOKUP($A138,Table,MATCH(R$4,Curves,0)))</f>
        <v>#N/A</v>
      </c>
      <c r="S138" s="201" t="e">
        <f aca="false">IF(A139="","",R138)</f>
        <v>#N/A</v>
      </c>
      <c r="T138" s="200" t="e">
        <f aca="false">IF($A139="","",VLOOKUP($A138,Table,MATCH(T$4,Curves,0)))</f>
        <v>#N/A</v>
      </c>
      <c r="U138" s="201" t="e">
        <f aca="false">IF(A139="","",T138)</f>
        <v>#N/A</v>
      </c>
      <c r="V138" s="183" t="e">
        <f aca="false">IF($A139="","",IF(AND(MONTH(A138)&gt;3,MONTH(A138)&lt;11),(T138+R138+G138)*Summary!$T$8/(1-Summary!$T$8),(T138+R138+G138)*Summary!$U$8/(1-Summary!$U$8)))</f>
        <v>#N/A</v>
      </c>
      <c r="W138" s="200" t="e">
        <f aca="false">IF($A139="","",(T138+R138+G138+V138))</f>
        <v>#N/A</v>
      </c>
      <c r="X138" s="200" t="e">
        <f aca="false">IF($A139="","",(U138+S138+H138+V138))</f>
        <v>#N/A</v>
      </c>
      <c r="Y138" s="202"/>
      <c r="Z138" s="185" t="e">
        <f aca="false">IF($A139="","",VLOOKUP($A138,Table,MATCH(Z$4,Curves,0)))</f>
        <v>#N/A</v>
      </c>
      <c r="AA138" s="185" t="e">
        <f aca="false">IF($A139="","",VLOOKUP($A138,Table,MATCH(AA$4,Curves,0)))</f>
        <v>#N/A</v>
      </c>
      <c r="AB138" s="185" t="e">
        <f aca="false">SQRT((AA138^2*(A138-$D$3)+Z138^2*(DAY(EOMONTH(A138,0))/2))/AK138)</f>
        <v>#N/A</v>
      </c>
      <c r="AC138" s="185" t="e">
        <f aca="false">IF($A139="","",VLOOKUP($A138,Table,MATCH(AC$4,Curves,0)))</f>
        <v>#N/A</v>
      </c>
      <c r="AD138" s="185" t="e">
        <f aca="false">IF($A139="","",VLOOKUP($A138,Table,MATCH(AD$4,Curves,0)))</f>
        <v>#N/A</v>
      </c>
      <c r="AE138" s="185" t="e">
        <f aca="false">SQRT((AD138^2*(A138-$D$3)+AC138^2*(DAY(EOMONTH(A138,0))/2))/AK138)</f>
        <v>#N/A</v>
      </c>
      <c r="AF138" s="224" t="e">
        <f aca="false">((Summary!$N$8*(AA138*AD138)*(A138-$D$3))+(Summary!$M$8*Z138*AC138*(AJ138-EOMONTH(EDATE(A138,-1),0))))/(AK138*AB138*AE138)</f>
        <v>#N/A</v>
      </c>
      <c r="AG138" s="207" t="n">
        <f aca="false">IF($A139="","",Summary!$Q$8)</f>
        <v>0</v>
      </c>
      <c r="AH138" s="207" t="n">
        <f aca="false">IF($A139="","",IF(Summary!$R$8="Y",(VLOOKUP($A138,Summary!$AD$6:$AF$9,3)+'Escalating commodity'!D151),'Escalating commodity'!D151))</f>
        <v>0.0200232</v>
      </c>
      <c r="AI138" s="207" t="n">
        <f aca="false">IF($A139="","",AH138)</f>
        <v>0.0200232</v>
      </c>
      <c r="AJ138" s="208" t="n">
        <f aca="false">A138+DAY(EOMONTH(A138,0))/2-1</f>
        <v>40953.5</v>
      </c>
      <c r="AK138" s="209" t="n">
        <f aca="false">IF($A139="","",$A138-$E$1)</f>
        <v>-4986</v>
      </c>
      <c r="AL138" s="182" t="e">
        <f aca="false">IF($A139="","",SPRDOPT(P138,X138,AI138,0,AB138,AE138,AF138,AK138,$AJ$2,0))</f>
        <v>#NAME?</v>
      </c>
      <c r="AM138" s="211" t="e">
        <f aca="false">IF($A139="","",MAX(0,O138-W138-AI138))</f>
        <v>#N/A</v>
      </c>
      <c r="AN138" s="211" t="e">
        <f aca="false">IF($A139="","",AL138-AM138)</f>
        <v>#N/A</v>
      </c>
      <c r="AO138" s="137" t="n">
        <f aca="false">IF(A139="","",A139-A138)</f>
        <v>29</v>
      </c>
      <c r="AP138" s="212" t="n">
        <f aca="false">IF(A139="","",CHOOSE(F$3,A139+24,A138))</f>
        <v>40940</v>
      </c>
      <c r="AQ138" s="209" t="n">
        <f aca="false">IF(A139="","",AP138-$E$1)</f>
        <v>-4986</v>
      </c>
      <c r="AR138" s="185" t="n">
        <f aca="false">'ANR OK vs ML7'!AR138</f>
        <v>0.1</v>
      </c>
      <c r="AS138" s="213" t="n">
        <f aca="false">IF(A139="","",1/(1+CHOOSE(F$3,(AR139+($I$3/10000))/2,(AR138+($I$3/10000))/2))^(2*AQ138/365.25))</f>
        <v>3.78884661080837</v>
      </c>
      <c r="AT138" s="137" t="n">
        <f aca="false">IF(A139="","",IF(AND(mthbeg&lt;=A138,mthend&gt;=A138),1,0))</f>
        <v>1</v>
      </c>
      <c r="AU138" s="137" t="n">
        <f aca="false">IF(A139="","",AO138*AT138)</f>
        <v>29</v>
      </c>
      <c r="AW138" s="195" t="e">
        <f aca="false">IF($A139="","",AL138*$E138)</f>
        <v>#NAME?</v>
      </c>
      <c r="AX138" s="195" t="e">
        <f aca="false">IF($A139="","",AM138*$E138)</f>
        <v>#N/A</v>
      </c>
      <c r="AY138" s="195" t="e">
        <f aca="false">IF($A139="","",AN138*$E138)</f>
        <v>#N/A</v>
      </c>
      <c r="BA138" s="195" t="n">
        <f aca="false">IF($A139="","",F138*Summary!$Q$8)</f>
        <v>0</v>
      </c>
      <c r="BC138" s="179" t="e">
        <f aca="false">IF(A139="","",AM138*F138)</f>
        <v>#N/A</v>
      </c>
    </row>
    <row r="139" customFormat="false" ht="12.75" hidden="false" customHeight="false" outlineLevel="0" collapsed="false">
      <c r="A139" s="196" t="n">
        <f aca="false">IF(A138&lt;mthend,EDATE(A138,1),"")</f>
        <v>40969</v>
      </c>
      <c r="B139" s="197" t="n">
        <f aca="false">IF(A139&lt;mthend,B138,0)</f>
        <v>80000</v>
      </c>
      <c r="C139" s="215"/>
      <c r="D139" s="197" t="n">
        <f aca="false">IF(A140&lt;&gt;"",B139+C139,"")</f>
        <v>80000</v>
      </c>
      <c r="E139" s="199" t="n">
        <f aca="false">IF(A140="","",IF(AND(AT139=1,$H$3=1),D139*AO139,IF($H$3=2,D139,"N/A")))</f>
        <v>2480000</v>
      </c>
      <c r="F139" s="199" t="n">
        <f aca="false">IF(A140="","",E139*AS139)</f>
        <v>9323821.32098557</v>
      </c>
      <c r="G139" s="200" t="e">
        <f aca="false">IF($A140="","",VLOOKUP($A139,Table,MATCH(G$4,Curves,0)))</f>
        <v>#N/A</v>
      </c>
      <c r="H139" s="201" t="e">
        <f aca="false">IF(A140="","",G139)</f>
        <v>#N/A</v>
      </c>
      <c r="I139" s="202"/>
      <c r="J139" s="200" t="e">
        <f aca="false">IF($A140="","",VLOOKUP($A139,Table,MATCH(J$4,Curves,0)))</f>
        <v>#N/A</v>
      </c>
      <c r="K139" s="201" t="e">
        <f aca="false">IF(A140="","",J139)</f>
        <v>#N/A</v>
      </c>
      <c r="L139" s="200" t="e">
        <f aca="false">IF($A140="","",VLOOKUP($A139,Table,MATCH(L$4,Curves,0)))</f>
        <v>#N/A</v>
      </c>
      <c r="M139" s="201" t="e">
        <f aca="false">IF(A140="","",L139)</f>
        <v>#N/A</v>
      </c>
      <c r="N139" s="203"/>
      <c r="O139" s="200" t="e">
        <f aca="false">IF(A140="","",L139+J139+G139)</f>
        <v>#N/A</v>
      </c>
      <c r="P139" s="200" t="e">
        <f aca="false">IF(A140="","",M139+K139+H139)</f>
        <v>#N/A</v>
      </c>
      <c r="Q139" s="204"/>
      <c r="R139" s="200" t="e">
        <f aca="false">IF($A140="","",VLOOKUP($A139,Table,MATCH(R$4,Curves,0)))</f>
        <v>#N/A</v>
      </c>
      <c r="S139" s="201" t="e">
        <f aca="false">IF(A140="","",R139)</f>
        <v>#N/A</v>
      </c>
      <c r="T139" s="200" t="e">
        <f aca="false">IF($A140="","",VLOOKUP($A139,Table,MATCH(T$4,Curves,0)))</f>
        <v>#N/A</v>
      </c>
      <c r="U139" s="201" t="e">
        <f aca="false">IF(A140="","",T139)</f>
        <v>#N/A</v>
      </c>
      <c r="V139" s="183" t="e">
        <f aca="false">IF($A140="","",IF(AND(MONTH(A139)&gt;3,MONTH(A139)&lt;11),(T139+R139+G139)*Summary!$T$8/(1-Summary!$T$8),(T139+R139+G139)*Summary!$U$8/(1-Summary!$U$8)))</f>
        <v>#N/A</v>
      </c>
      <c r="W139" s="200" t="e">
        <f aca="false">IF($A140="","",(T139+R139+G139+V139))</f>
        <v>#N/A</v>
      </c>
      <c r="X139" s="200" t="e">
        <f aca="false">IF($A140="","",(U139+S139+H139+V139))</f>
        <v>#N/A</v>
      </c>
      <c r="Y139" s="202"/>
      <c r="Z139" s="185" t="e">
        <f aca="false">IF($A140="","",VLOOKUP($A139,Table,MATCH(Z$4,Curves,0)))</f>
        <v>#N/A</v>
      </c>
      <c r="AA139" s="185" t="e">
        <f aca="false">IF($A140="","",VLOOKUP($A139,Table,MATCH(AA$4,Curves,0)))</f>
        <v>#N/A</v>
      </c>
      <c r="AB139" s="185" t="e">
        <f aca="false">SQRT((AA139^2*(A139-$D$3)+Z139^2*(DAY(EOMONTH(A139,0))/2))/AK139)</f>
        <v>#N/A</v>
      </c>
      <c r="AC139" s="185" t="e">
        <f aca="false">IF($A140="","",VLOOKUP($A139,Table,MATCH(AC$4,Curves,0)))</f>
        <v>#N/A</v>
      </c>
      <c r="AD139" s="185" t="e">
        <f aca="false">IF($A140="","",VLOOKUP($A139,Table,MATCH(AD$4,Curves,0)))</f>
        <v>#N/A</v>
      </c>
      <c r="AE139" s="185" t="e">
        <f aca="false">SQRT((AD139^2*(A139-$D$3)+AC139^2*(DAY(EOMONTH(A139,0))/2))/AK139)</f>
        <v>#N/A</v>
      </c>
      <c r="AF139" s="224" t="e">
        <f aca="false">((Summary!$N$8*(AA139*AD139)*(A139-$D$3))+(Summary!$M$8*Z139*AC139*(AJ139-EOMONTH(EDATE(A139,-1),0))))/(AK139*AB139*AE139)</f>
        <v>#N/A</v>
      </c>
      <c r="AG139" s="207" t="n">
        <f aca="false">IF($A140="","",Summary!$Q$8)</f>
        <v>0</v>
      </c>
      <c r="AH139" s="207" t="n">
        <f aca="false">IF($A140="","",IF(Summary!$R$8="Y",(VLOOKUP($A139,Summary!$AD$6:$AF$9,3)+'Escalating commodity'!D152),'Escalating commodity'!D152))</f>
        <v>0.0200232</v>
      </c>
      <c r="AI139" s="207" t="n">
        <f aca="false">IF($A140="","",AH139)</f>
        <v>0.0200232</v>
      </c>
      <c r="AJ139" s="208" t="n">
        <f aca="false">A139+DAY(EOMONTH(A139,0))/2-1</f>
        <v>40983.5</v>
      </c>
      <c r="AK139" s="209" t="n">
        <f aca="false">IF($A140="","",$A139-$E$1)</f>
        <v>-4957</v>
      </c>
      <c r="AL139" s="182" t="e">
        <f aca="false">IF($A140="","",SPRDOPT(P139,X139,AI139,0,AB139,AE139,AF139,AK139,$AJ$2,0))</f>
        <v>#NAME?</v>
      </c>
      <c r="AM139" s="211" t="e">
        <f aca="false">IF($A140="","",MAX(0,O139-W139-AI139))</f>
        <v>#N/A</v>
      </c>
      <c r="AN139" s="211" t="e">
        <f aca="false">IF($A140="","",AL139-AM139)</f>
        <v>#N/A</v>
      </c>
      <c r="AO139" s="137" t="n">
        <f aca="false">IF(A140="","",A140-A139)</f>
        <v>31</v>
      </c>
      <c r="AP139" s="212" t="n">
        <f aca="false">IF(A140="","",CHOOSE(F$3,A140+24,A139))</f>
        <v>40969</v>
      </c>
      <c r="AQ139" s="209" t="n">
        <f aca="false">IF(A140="","",AP139-$E$1)</f>
        <v>-4957</v>
      </c>
      <c r="AR139" s="185" t="n">
        <f aca="false">'ANR OK vs ML7'!AR139</f>
        <v>0.1</v>
      </c>
      <c r="AS139" s="213" t="n">
        <f aca="false">IF(A140="","",1/(1+CHOOSE(F$3,(AR140+($I$3/10000))/2,(AR139+($I$3/10000))/2))^(2*AQ139/365.25))</f>
        <v>3.75960537136515</v>
      </c>
      <c r="AT139" s="137" t="n">
        <f aca="false">IF(A140="","",IF(AND(mthbeg&lt;=A139,mthend&gt;=A139),1,0))</f>
        <v>1</v>
      </c>
      <c r="AU139" s="137" t="n">
        <f aca="false">IF(A140="","",AO139*AT139)</f>
        <v>31</v>
      </c>
      <c r="AW139" s="195" t="e">
        <f aca="false">IF($A140="","",AL139*$E139)</f>
        <v>#NAME?</v>
      </c>
      <c r="AX139" s="195" t="e">
        <f aca="false">IF($A140="","",AM139*$E139)</f>
        <v>#N/A</v>
      </c>
      <c r="AY139" s="195" t="e">
        <f aca="false">IF($A140="","",AN139*$E139)</f>
        <v>#N/A</v>
      </c>
      <c r="BA139" s="195" t="n">
        <f aca="false">IF($A140="","",F139*Summary!$Q$8)</f>
        <v>0</v>
      </c>
      <c r="BC139" s="179" t="e">
        <f aca="false">IF(A140="","",AM139*F139)</f>
        <v>#N/A</v>
      </c>
    </row>
    <row r="140" customFormat="false" ht="12.75" hidden="false" customHeight="false" outlineLevel="0" collapsed="false">
      <c r="A140" s="196" t="n">
        <f aca="false">IF(A139&lt;mthend,EDATE(A139,1),"")</f>
        <v>41000</v>
      </c>
      <c r="B140" s="197" t="n">
        <f aca="false">IF(A140&lt;mthend,B139,0)</f>
        <v>80000</v>
      </c>
      <c r="C140" s="215"/>
      <c r="D140" s="197" t="n">
        <f aca="false">IF(A141&lt;&gt;"",B140+C140,"")</f>
        <v>80000</v>
      </c>
      <c r="E140" s="199" t="n">
        <f aca="false">IF(A141="","",IF(AND(AT140=1,$H$3=1),D140*AO140,IF($H$3=2,D140,"N/A")))</f>
        <v>2400000</v>
      </c>
      <c r="F140" s="199" t="n">
        <f aca="false">IF(A141="","",E140*AS140)</f>
        <v>8948632.82005289</v>
      </c>
      <c r="G140" s="200" t="e">
        <f aca="false">IF($A141="","",VLOOKUP($A140,Table,MATCH(G$4,Curves,0)))</f>
        <v>#N/A</v>
      </c>
      <c r="H140" s="201" t="e">
        <f aca="false">IF(A141="","",G140)</f>
        <v>#N/A</v>
      </c>
      <c r="I140" s="202"/>
      <c r="J140" s="200" t="e">
        <f aca="false">IF($A141="","",VLOOKUP($A140,Table,MATCH(J$4,Curves,0)))</f>
        <v>#N/A</v>
      </c>
      <c r="K140" s="201" t="e">
        <f aca="false">IF(A141="","",J140)</f>
        <v>#N/A</v>
      </c>
      <c r="L140" s="200" t="e">
        <f aca="false">IF($A141="","",VLOOKUP($A140,Table,MATCH(L$4,Curves,0)))</f>
        <v>#N/A</v>
      </c>
      <c r="M140" s="201" t="e">
        <f aca="false">IF(A141="","",L140)</f>
        <v>#N/A</v>
      </c>
      <c r="N140" s="203"/>
      <c r="O140" s="200" t="e">
        <f aca="false">IF(A141="","",L140+J140+G140)</f>
        <v>#N/A</v>
      </c>
      <c r="P140" s="200" t="e">
        <f aca="false">IF(A141="","",M140+K140+H140)</f>
        <v>#N/A</v>
      </c>
      <c r="Q140" s="204"/>
      <c r="R140" s="200" t="e">
        <f aca="false">IF($A141="","",VLOOKUP($A140,Table,MATCH(R$4,Curves,0)))</f>
        <v>#N/A</v>
      </c>
      <c r="S140" s="201" t="e">
        <f aca="false">IF(A141="","",R140)</f>
        <v>#N/A</v>
      </c>
      <c r="T140" s="200" t="e">
        <f aca="false">IF($A141="","",VLOOKUP($A140,Table,MATCH(T$4,Curves,0)))</f>
        <v>#N/A</v>
      </c>
      <c r="U140" s="201" t="e">
        <f aca="false">IF(A141="","",T140)</f>
        <v>#N/A</v>
      </c>
      <c r="V140" s="183" t="e">
        <f aca="false">IF($A141="","",IF(AND(MONTH(A140)&gt;3,MONTH(A140)&lt;11),(T140+R140+G140)*Summary!$T$8/(1-Summary!$T$8),(T140+R140+G140)*Summary!$U$8/(1-Summary!$U$8)))</f>
        <v>#N/A</v>
      </c>
      <c r="W140" s="200" t="e">
        <f aca="false">IF($A141="","",(T140+R140+G140+V140))</f>
        <v>#N/A</v>
      </c>
      <c r="X140" s="200" t="e">
        <f aca="false">IF($A141="","",(U140+S140+H140+V140))</f>
        <v>#N/A</v>
      </c>
      <c r="Y140" s="202"/>
      <c r="Z140" s="185" t="e">
        <f aca="false">IF($A141="","",VLOOKUP($A140,Table,MATCH(Z$4,Curves,0)))</f>
        <v>#N/A</v>
      </c>
      <c r="AA140" s="185" t="e">
        <f aca="false">IF($A141="","",VLOOKUP($A140,Table,MATCH(AA$4,Curves,0)))</f>
        <v>#N/A</v>
      </c>
      <c r="AB140" s="185" t="e">
        <f aca="false">SQRT((AA140^2*(A140-$D$3)+Z140^2*(DAY(EOMONTH(A140,0))/2))/AK140)</f>
        <v>#N/A</v>
      </c>
      <c r="AC140" s="185" t="e">
        <f aca="false">IF($A141="","",VLOOKUP($A140,Table,MATCH(AC$4,Curves,0)))</f>
        <v>#N/A</v>
      </c>
      <c r="AD140" s="185" t="e">
        <f aca="false">IF($A141="","",VLOOKUP($A140,Table,MATCH(AD$4,Curves,0)))</f>
        <v>#N/A</v>
      </c>
      <c r="AE140" s="185" t="e">
        <f aca="false">SQRT((AD140^2*(A140-$D$3)+AC140^2*(DAY(EOMONTH(A140,0))/2))/AK140)</f>
        <v>#N/A</v>
      </c>
      <c r="AF140" s="224" t="e">
        <f aca="false">((Summary!$N$8*(AA140*AD140)*(A140-$D$3))+(Summary!$M$8*Z140*AC140*(AJ140-EOMONTH(EDATE(A140,-1),0))))/(AK140*AB140*AE140)</f>
        <v>#N/A</v>
      </c>
      <c r="AG140" s="207" t="n">
        <f aca="false">IF($A141="","",Summary!$Q$8)</f>
        <v>0</v>
      </c>
      <c r="AH140" s="207" t="n">
        <f aca="false">IF($A141="","",IF(Summary!$R$8="Y",(VLOOKUP($A140,Summary!$AD$6:$AF$9,3)+'Escalating commodity'!D153),'Escalating commodity'!D153))</f>
        <v>0.0200232</v>
      </c>
      <c r="AI140" s="207" t="n">
        <f aca="false">IF($A141="","",AH140)</f>
        <v>0.0200232</v>
      </c>
      <c r="AJ140" s="208" t="n">
        <f aca="false">A140+DAY(EOMONTH(A140,0))/2-1</f>
        <v>41014</v>
      </c>
      <c r="AK140" s="209" t="n">
        <f aca="false">IF($A141="","",$A140-$E$1)</f>
        <v>-4926</v>
      </c>
      <c r="AL140" s="182" t="e">
        <f aca="false">IF($A141="","",SPRDOPT(P140,X140,AI140,0,AB140,AE140,AF140,AK140,$AJ$2,0))</f>
        <v>#NAME?</v>
      </c>
      <c r="AM140" s="211" t="e">
        <f aca="false">IF($A141="","",MAX(0,O140-W140-AI140))</f>
        <v>#N/A</v>
      </c>
      <c r="AN140" s="211" t="e">
        <f aca="false">IF($A141="","",AL140-AM140)</f>
        <v>#N/A</v>
      </c>
      <c r="AO140" s="137" t="n">
        <f aca="false">IF(A141="","",A141-A140)</f>
        <v>30</v>
      </c>
      <c r="AP140" s="212" t="n">
        <f aca="false">IF(A141="","",CHOOSE(F$3,A141+24,A140))</f>
        <v>41000</v>
      </c>
      <c r="AQ140" s="209" t="n">
        <f aca="false">IF(A141="","",AP140-$E$1)</f>
        <v>-4926</v>
      </c>
      <c r="AR140" s="185" t="n">
        <f aca="false">'ANR OK vs ML7'!AR140</f>
        <v>0.1</v>
      </c>
      <c r="AS140" s="213" t="n">
        <f aca="false">IF(A141="","",1/(1+CHOOSE(F$3,(AR141+($I$3/10000))/2,(AR140+($I$3/10000))/2))^(2*AQ140/365.25))</f>
        <v>3.72859700835537</v>
      </c>
      <c r="AT140" s="137" t="n">
        <f aca="false">IF(A141="","",IF(AND(mthbeg&lt;=A140,mthend&gt;=A140),1,0))</f>
        <v>1</v>
      </c>
      <c r="AU140" s="137" t="n">
        <f aca="false">IF(A141="","",AO140*AT140)</f>
        <v>30</v>
      </c>
      <c r="AW140" s="195" t="e">
        <f aca="false">IF($A141="","",AL140*$E140)</f>
        <v>#NAME?</v>
      </c>
      <c r="AX140" s="195" t="e">
        <f aca="false">IF($A141="","",AM140*$E140)</f>
        <v>#N/A</v>
      </c>
      <c r="AY140" s="195" t="e">
        <f aca="false">IF($A141="","",AN140*$E140)</f>
        <v>#N/A</v>
      </c>
      <c r="BA140" s="195" t="n">
        <f aca="false">IF($A141="","",F140*Summary!$Q$8)</f>
        <v>0</v>
      </c>
      <c r="BC140" s="179" t="e">
        <f aca="false">IF(A141="","",AM140*F140)</f>
        <v>#N/A</v>
      </c>
    </row>
    <row r="141" customFormat="false" ht="12.75" hidden="false" customHeight="false" outlineLevel="0" collapsed="false">
      <c r="A141" s="196" t="n">
        <f aca="false">IF(A140&lt;mthend,EDATE(A140,1),"")</f>
        <v>41030</v>
      </c>
      <c r="B141" s="197" t="n">
        <f aca="false">IF(A141&lt;mthend,B140,0)</f>
        <v>80000</v>
      </c>
      <c r="C141" s="215"/>
      <c r="D141" s="197" t="n">
        <f aca="false">IF(A142&lt;&gt;"",B141+C141,"")</f>
        <v>80000</v>
      </c>
      <c r="E141" s="199" t="n">
        <f aca="false">IF(A142="","",IF(AND(AT141=1,$H$3=1),D141*AO141,IF($H$3=2,D141,"N/A")))</f>
        <v>2480000</v>
      </c>
      <c r="F141" s="199" t="n">
        <f aca="false">IF(A142="","",E141*AS141)</f>
        <v>9173104.46285724</v>
      </c>
      <c r="G141" s="200" t="e">
        <f aca="false">IF($A142="","",VLOOKUP($A141,Table,MATCH(G$4,Curves,0)))</f>
        <v>#N/A</v>
      </c>
      <c r="H141" s="201" t="e">
        <f aca="false">IF(A142="","",G141)</f>
        <v>#N/A</v>
      </c>
      <c r="I141" s="202"/>
      <c r="J141" s="200" t="e">
        <f aca="false">IF($A142="","",VLOOKUP($A141,Table,MATCH(J$4,Curves,0)))</f>
        <v>#N/A</v>
      </c>
      <c r="K141" s="201" t="e">
        <f aca="false">IF(A142="","",J141)</f>
        <v>#N/A</v>
      </c>
      <c r="L141" s="200" t="e">
        <f aca="false">IF($A142="","",VLOOKUP($A141,Table,MATCH(L$4,Curves,0)))</f>
        <v>#N/A</v>
      </c>
      <c r="M141" s="201" t="e">
        <f aca="false">IF(A142="","",L141)</f>
        <v>#N/A</v>
      </c>
      <c r="N141" s="203"/>
      <c r="O141" s="200" t="e">
        <f aca="false">IF(A142="","",L141+J141+G141)</f>
        <v>#N/A</v>
      </c>
      <c r="P141" s="200" t="e">
        <f aca="false">IF(A142="","",M141+K141+H141)</f>
        <v>#N/A</v>
      </c>
      <c r="Q141" s="204"/>
      <c r="R141" s="200" t="e">
        <f aca="false">IF($A142="","",VLOOKUP($A141,Table,MATCH(R$4,Curves,0)))</f>
        <v>#N/A</v>
      </c>
      <c r="S141" s="201" t="e">
        <f aca="false">IF(A142="","",R141)</f>
        <v>#N/A</v>
      </c>
      <c r="T141" s="200" t="e">
        <f aca="false">IF($A142="","",VLOOKUP($A141,Table,MATCH(T$4,Curves,0)))</f>
        <v>#N/A</v>
      </c>
      <c r="U141" s="201" t="e">
        <f aca="false">IF(A142="","",T141)</f>
        <v>#N/A</v>
      </c>
      <c r="V141" s="183" t="e">
        <f aca="false">IF($A142="","",IF(AND(MONTH(A141)&gt;3,MONTH(A141)&lt;11),(T141+R141+G141)*Summary!$T$8/(1-Summary!$T$8),(T141+R141+G141)*Summary!$U$8/(1-Summary!$U$8)))</f>
        <v>#N/A</v>
      </c>
      <c r="W141" s="200" t="e">
        <f aca="false">IF($A142="","",(T141+R141+G141+V141))</f>
        <v>#N/A</v>
      </c>
      <c r="X141" s="200" t="e">
        <f aca="false">IF($A142="","",(U141+S141+H141+V141))</f>
        <v>#N/A</v>
      </c>
      <c r="Y141" s="202"/>
      <c r="Z141" s="185" t="e">
        <f aca="false">IF($A142="","",VLOOKUP($A141,Table,MATCH(Z$4,Curves,0)))</f>
        <v>#N/A</v>
      </c>
      <c r="AA141" s="185" t="e">
        <f aca="false">IF($A142="","",VLOOKUP($A141,Table,MATCH(AA$4,Curves,0)))</f>
        <v>#N/A</v>
      </c>
      <c r="AB141" s="185" t="e">
        <f aca="false">SQRT((AA141^2*(A141-$D$3)+Z141^2*(DAY(EOMONTH(A141,0))/2))/AK141)</f>
        <v>#N/A</v>
      </c>
      <c r="AC141" s="185" t="e">
        <f aca="false">IF($A142="","",VLOOKUP($A141,Table,MATCH(AC$4,Curves,0)))</f>
        <v>#N/A</v>
      </c>
      <c r="AD141" s="185" t="e">
        <f aca="false">IF($A142="","",VLOOKUP($A141,Table,MATCH(AD$4,Curves,0)))</f>
        <v>#N/A</v>
      </c>
      <c r="AE141" s="185" t="e">
        <f aca="false">SQRT((AD141^2*(A141-$D$3)+AC141^2*(DAY(EOMONTH(A141,0))/2))/AK141)</f>
        <v>#N/A</v>
      </c>
      <c r="AF141" s="224" t="e">
        <f aca="false">((Summary!$N$8*(AA141*AD141)*(A141-$D$3))+(Summary!$M$8*Z141*AC141*(AJ141-EOMONTH(EDATE(A141,-1),0))))/(AK141*AB141*AE141)</f>
        <v>#N/A</v>
      </c>
      <c r="AG141" s="207" t="n">
        <f aca="false">IF($A142="","",Summary!$Q$8)</f>
        <v>0</v>
      </c>
      <c r="AH141" s="207" t="n">
        <f aca="false">IF($A142="","",IF(Summary!$R$8="Y",(VLOOKUP($A141,Summary!$AD$6:$AF$9,3)+'Escalating commodity'!D154),'Escalating commodity'!D154))</f>
        <v>0.0200232</v>
      </c>
      <c r="AI141" s="207" t="n">
        <f aca="false">IF($A142="","",AH141)</f>
        <v>0.0200232</v>
      </c>
      <c r="AJ141" s="208" t="n">
        <f aca="false">A141+DAY(EOMONTH(A141,0))/2-1</f>
        <v>41044.5</v>
      </c>
      <c r="AK141" s="209" t="n">
        <f aca="false">IF($A142="","",$A141-$E$1)</f>
        <v>-4896</v>
      </c>
      <c r="AL141" s="182" t="e">
        <f aca="false">IF($A142="","",SPRDOPT(P141,X141,AI141,0,AB141,AE141,AF141,AK141,$AJ$2,0))</f>
        <v>#NAME?</v>
      </c>
      <c r="AM141" s="211" t="e">
        <f aca="false">IF($A142="","",MAX(0,O141-W141-AI141))</f>
        <v>#N/A</v>
      </c>
      <c r="AN141" s="211" t="e">
        <f aca="false">IF($A142="","",AL141-AM141)</f>
        <v>#N/A</v>
      </c>
      <c r="AO141" s="137" t="n">
        <f aca="false">IF(A142="","",A142-A141)</f>
        <v>31</v>
      </c>
      <c r="AP141" s="212" t="n">
        <f aca="false">IF(A142="","",CHOOSE(F$3,A142+24,A141))</f>
        <v>41030</v>
      </c>
      <c r="AQ141" s="209" t="n">
        <f aca="false">IF(A142="","",AP141-$E$1)</f>
        <v>-4896</v>
      </c>
      <c r="AR141" s="185" t="n">
        <f aca="false">'ANR OK vs ML7'!AR141</f>
        <v>0.1</v>
      </c>
      <c r="AS141" s="213" t="n">
        <f aca="false">IF(A142="","",1/(1+CHOOSE(F$3,(AR142+($I$3/10000))/2,(AR141+($I$3/10000))/2))^(2*AQ141/365.25))</f>
        <v>3.6988324447005</v>
      </c>
      <c r="AT141" s="137" t="n">
        <f aca="false">IF(A142="","",IF(AND(mthbeg&lt;=A141,mthend&gt;=A141),1,0))</f>
        <v>1</v>
      </c>
      <c r="AU141" s="137" t="n">
        <f aca="false">IF(A142="","",AO141*AT141)</f>
        <v>31</v>
      </c>
      <c r="AW141" s="195" t="e">
        <f aca="false">IF($A142="","",AL141*$E141)</f>
        <v>#NAME?</v>
      </c>
      <c r="AX141" s="195" t="e">
        <f aca="false">IF($A142="","",AM141*$E141)</f>
        <v>#N/A</v>
      </c>
      <c r="AY141" s="195" t="e">
        <f aca="false">IF($A142="","",AN141*$E141)</f>
        <v>#N/A</v>
      </c>
      <c r="BA141" s="195" t="n">
        <f aca="false">IF($A142="","",F141*Summary!$Q$8)</f>
        <v>0</v>
      </c>
      <c r="BC141" s="179" t="e">
        <f aca="false">IF(A142="","",AM141*F141)</f>
        <v>#N/A</v>
      </c>
    </row>
    <row r="142" customFormat="false" ht="12.75" hidden="false" customHeight="false" outlineLevel="0" collapsed="false">
      <c r="A142" s="196" t="n">
        <f aca="false">IF(A141&lt;mthend,EDATE(A141,1),"")</f>
        <v>41061</v>
      </c>
      <c r="B142" s="197" t="n">
        <f aca="false">IF(A142&lt;mthend,B141,0)</f>
        <v>80000</v>
      </c>
      <c r="C142" s="215"/>
      <c r="D142" s="197" t="n">
        <f aca="false">IF(A143&lt;&gt;"",B142+C142,"")</f>
        <v>80000</v>
      </c>
      <c r="E142" s="199" t="n">
        <f aca="false">IF(A143="","",IF(AND(AT142=1,$H$3=1),D142*AO142,IF($H$3=2,D142,"N/A")))</f>
        <v>2400000</v>
      </c>
      <c r="F142" s="199" t="n">
        <f aca="false">IF(A143="","",E142*AS142)</f>
        <v>8803980.77485048</v>
      </c>
      <c r="G142" s="200" t="e">
        <f aca="false">IF($A143="","",VLOOKUP($A142,Table,MATCH(G$4,Curves,0)))</f>
        <v>#N/A</v>
      </c>
      <c r="H142" s="201" t="e">
        <f aca="false">IF(A143="","",G142)</f>
        <v>#N/A</v>
      </c>
      <c r="I142" s="202"/>
      <c r="J142" s="200" t="e">
        <f aca="false">IF($A143="","",VLOOKUP($A142,Table,MATCH(J$4,Curves,0)))</f>
        <v>#N/A</v>
      </c>
      <c r="K142" s="201" t="e">
        <f aca="false">IF(A143="","",J142)</f>
        <v>#N/A</v>
      </c>
      <c r="L142" s="200" t="e">
        <f aca="false">IF($A143="","",VLOOKUP($A142,Table,MATCH(L$4,Curves,0)))</f>
        <v>#N/A</v>
      </c>
      <c r="M142" s="201" t="e">
        <f aca="false">IF(A143="","",L142)</f>
        <v>#N/A</v>
      </c>
      <c r="N142" s="203"/>
      <c r="O142" s="200" t="e">
        <f aca="false">IF(A143="","",L142+J142+G142)</f>
        <v>#N/A</v>
      </c>
      <c r="P142" s="200" t="e">
        <f aca="false">IF(A143="","",M142+K142+H142)</f>
        <v>#N/A</v>
      </c>
      <c r="Q142" s="204"/>
      <c r="R142" s="200" t="e">
        <f aca="false">IF($A143="","",VLOOKUP($A142,Table,MATCH(R$4,Curves,0)))</f>
        <v>#N/A</v>
      </c>
      <c r="S142" s="201" t="e">
        <f aca="false">IF(A143="","",R142)</f>
        <v>#N/A</v>
      </c>
      <c r="T142" s="200" t="e">
        <f aca="false">IF($A143="","",VLOOKUP($A142,Table,MATCH(T$4,Curves,0)))</f>
        <v>#N/A</v>
      </c>
      <c r="U142" s="201" t="e">
        <f aca="false">IF(A143="","",T142)</f>
        <v>#N/A</v>
      </c>
      <c r="V142" s="183" t="e">
        <f aca="false">IF($A143="","",IF(AND(MONTH(A142)&gt;3,MONTH(A142)&lt;11),(T142+R142+G142)*Summary!$T$8/(1-Summary!$T$8),(T142+R142+G142)*Summary!$U$8/(1-Summary!$U$8)))</f>
        <v>#N/A</v>
      </c>
      <c r="W142" s="200" t="e">
        <f aca="false">IF($A143="","",(T142+R142+G142+V142))</f>
        <v>#N/A</v>
      </c>
      <c r="X142" s="200" t="e">
        <f aca="false">IF($A143="","",(U142+S142+H142+V142))</f>
        <v>#N/A</v>
      </c>
      <c r="Y142" s="202"/>
      <c r="Z142" s="185" t="e">
        <f aca="false">IF($A143="","",VLOOKUP($A142,Table,MATCH(Z$4,Curves,0)))</f>
        <v>#N/A</v>
      </c>
      <c r="AA142" s="185" t="e">
        <f aca="false">IF($A143="","",VLOOKUP($A142,Table,MATCH(AA$4,Curves,0)))</f>
        <v>#N/A</v>
      </c>
      <c r="AB142" s="185" t="e">
        <f aca="false">SQRT((AA142^2*(A142-$D$3)+Z142^2*(DAY(EOMONTH(A142,0))/2))/AK142)</f>
        <v>#N/A</v>
      </c>
      <c r="AC142" s="185" t="e">
        <f aca="false">IF($A143="","",VLOOKUP($A142,Table,MATCH(AC$4,Curves,0)))</f>
        <v>#N/A</v>
      </c>
      <c r="AD142" s="185" t="e">
        <f aca="false">IF($A143="","",VLOOKUP($A142,Table,MATCH(AD$4,Curves,0)))</f>
        <v>#N/A</v>
      </c>
      <c r="AE142" s="185" t="e">
        <f aca="false">SQRT((AD142^2*(A142-$D$3)+AC142^2*(DAY(EOMONTH(A142,0))/2))/AK142)</f>
        <v>#N/A</v>
      </c>
      <c r="AF142" s="224" t="e">
        <f aca="false">((Summary!$N$8*(AA142*AD142)*(A142-$D$3))+(Summary!$M$8*Z142*AC142*(AJ142-EOMONTH(EDATE(A142,-1),0))))/(AK142*AB142*AE142)</f>
        <v>#N/A</v>
      </c>
      <c r="AG142" s="207" t="n">
        <f aca="false">IF($A143="","",Summary!$Q$8)</f>
        <v>0</v>
      </c>
      <c r="AH142" s="207" t="n">
        <f aca="false">IF($A143="","",IF(Summary!$R$8="Y",(VLOOKUP($A142,Summary!$AD$6:$AF$9,3)+'Escalating commodity'!D155),'Escalating commodity'!D155))</f>
        <v>0.0200232</v>
      </c>
      <c r="AI142" s="207" t="n">
        <f aca="false">IF($A143="","",AH142)</f>
        <v>0.0200232</v>
      </c>
      <c r="AJ142" s="208" t="n">
        <f aca="false">A142+DAY(EOMONTH(A142,0))/2-1</f>
        <v>41075</v>
      </c>
      <c r="AK142" s="209" t="n">
        <f aca="false">IF($A143="","",$A142-$E$1)</f>
        <v>-4865</v>
      </c>
      <c r="AL142" s="182" t="e">
        <f aca="false">IF($A143="","",SPRDOPT(P142,X142,AI142,0,AB142,AE142,AF142,AK142,$AJ$2,0))</f>
        <v>#NAME?</v>
      </c>
      <c r="AM142" s="211" t="e">
        <f aca="false">IF($A143="","",MAX(0,O142-W142-AI142))</f>
        <v>#N/A</v>
      </c>
      <c r="AN142" s="211" t="e">
        <f aca="false">IF($A143="","",AL142-AM142)</f>
        <v>#N/A</v>
      </c>
      <c r="AO142" s="137" t="n">
        <f aca="false">IF(A143="","",A143-A142)</f>
        <v>30</v>
      </c>
      <c r="AP142" s="212" t="n">
        <f aca="false">IF(A143="","",CHOOSE(F$3,A143+24,A142))</f>
        <v>41061</v>
      </c>
      <c r="AQ142" s="209" t="n">
        <f aca="false">IF(A143="","",AP142-$E$1)</f>
        <v>-4865</v>
      </c>
      <c r="AR142" s="185" t="n">
        <f aca="false">'ANR OK vs ML7'!AR142</f>
        <v>0.1</v>
      </c>
      <c r="AS142" s="213" t="n">
        <f aca="false">IF(A143="","",1/(1+CHOOSE(F$3,(AR143+($I$3/10000))/2,(AR142+($I$3/10000))/2))^(2*AQ142/365.25))</f>
        <v>3.66832532285436</v>
      </c>
      <c r="AT142" s="137" t="n">
        <f aca="false">IF(A143="","",IF(AND(mthbeg&lt;=A142,mthend&gt;=A142),1,0))</f>
        <v>1</v>
      </c>
      <c r="AU142" s="137" t="n">
        <f aca="false">IF(A143="","",AO142*AT142)</f>
        <v>30</v>
      </c>
      <c r="AW142" s="195" t="e">
        <f aca="false">IF($A143="","",AL142*$E142)</f>
        <v>#NAME?</v>
      </c>
      <c r="AX142" s="195" t="e">
        <f aca="false">IF($A143="","",AM142*$E142)</f>
        <v>#N/A</v>
      </c>
      <c r="AY142" s="195" t="e">
        <f aca="false">IF($A143="","",AN142*$E142)</f>
        <v>#N/A</v>
      </c>
      <c r="BA142" s="195" t="n">
        <f aca="false">IF($A143="","",F142*Summary!$Q$8)</f>
        <v>0</v>
      </c>
      <c r="BC142" s="179" t="e">
        <f aca="false">IF(A143="","",AM142*F142)</f>
        <v>#N/A</v>
      </c>
    </row>
    <row r="143" customFormat="false" ht="12.75" hidden="false" customHeight="false" outlineLevel="0" collapsed="false">
      <c r="A143" s="196" t="n">
        <f aca="false">IF(A142&lt;mthend,EDATE(A142,1),"")</f>
        <v>41091</v>
      </c>
      <c r="B143" s="197" t="n">
        <f aca="false">IF(A143&lt;mthend,B142,0)</f>
        <v>80000</v>
      </c>
      <c r="C143" s="215"/>
      <c r="D143" s="197" t="n">
        <f aca="false">IF(A144&lt;&gt;"",B143+C143,"")</f>
        <v>80000</v>
      </c>
      <c r="E143" s="199" t="n">
        <f aca="false">IF(A144="","",IF(AND(AT143=1,$H$3=1),D143*AO143,IF($H$3=2,D143,"N/A")))</f>
        <v>2480000</v>
      </c>
      <c r="F143" s="199" t="n">
        <f aca="false">IF(A144="","",E143*AS143)</f>
        <v>9024823.8988772</v>
      </c>
      <c r="G143" s="200" t="e">
        <f aca="false">IF($A144="","",VLOOKUP($A143,Table,MATCH(G$4,Curves,0)))</f>
        <v>#N/A</v>
      </c>
      <c r="H143" s="201" t="e">
        <f aca="false">IF(A144="","",G143)</f>
        <v>#N/A</v>
      </c>
      <c r="I143" s="202"/>
      <c r="J143" s="200" t="e">
        <f aca="false">IF($A144="","",VLOOKUP($A143,Table,MATCH(J$4,Curves,0)))</f>
        <v>#N/A</v>
      </c>
      <c r="K143" s="201" t="e">
        <f aca="false">IF(A144="","",J143)</f>
        <v>#N/A</v>
      </c>
      <c r="L143" s="200" t="e">
        <f aca="false">IF($A144="","",VLOOKUP($A143,Table,MATCH(L$4,Curves,0)))</f>
        <v>#N/A</v>
      </c>
      <c r="M143" s="201" t="e">
        <f aca="false">IF(A144="","",L143)</f>
        <v>#N/A</v>
      </c>
      <c r="N143" s="203"/>
      <c r="O143" s="200" t="e">
        <f aca="false">IF(A144="","",L143+J143+G143)</f>
        <v>#N/A</v>
      </c>
      <c r="P143" s="200" t="e">
        <f aca="false">IF(A144="","",M143+K143+H143)</f>
        <v>#N/A</v>
      </c>
      <c r="Q143" s="204"/>
      <c r="R143" s="200" t="e">
        <f aca="false">IF($A144="","",VLOOKUP($A143,Table,MATCH(R$4,Curves,0)))</f>
        <v>#N/A</v>
      </c>
      <c r="S143" s="201" t="e">
        <f aca="false">IF(A144="","",R143)</f>
        <v>#N/A</v>
      </c>
      <c r="T143" s="200" t="e">
        <f aca="false">IF($A144="","",VLOOKUP($A143,Table,MATCH(T$4,Curves,0)))</f>
        <v>#N/A</v>
      </c>
      <c r="U143" s="201" t="e">
        <f aca="false">IF(A144="","",T143)</f>
        <v>#N/A</v>
      </c>
      <c r="V143" s="183" t="e">
        <f aca="false">IF($A144="","",IF(AND(MONTH(A143)&gt;3,MONTH(A143)&lt;11),(T143+R143+G143)*Summary!$T$8/(1-Summary!$T$8),(T143+R143+G143)*Summary!$U$8/(1-Summary!$U$8)))</f>
        <v>#N/A</v>
      </c>
      <c r="W143" s="200" t="e">
        <f aca="false">IF($A144="","",(T143+R143+G143+V143))</f>
        <v>#N/A</v>
      </c>
      <c r="X143" s="200" t="e">
        <f aca="false">IF($A144="","",(U143+S143+H143+V143))</f>
        <v>#N/A</v>
      </c>
      <c r="Y143" s="202"/>
      <c r="Z143" s="185" t="e">
        <f aca="false">IF($A144="","",VLOOKUP($A143,Table,MATCH(Z$4,Curves,0)))</f>
        <v>#N/A</v>
      </c>
      <c r="AA143" s="185" t="e">
        <f aca="false">IF($A144="","",VLOOKUP($A143,Table,MATCH(AA$4,Curves,0)))</f>
        <v>#N/A</v>
      </c>
      <c r="AB143" s="185" t="e">
        <f aca="false">SQRT((AA143^2*(A143-$D$3)+Z143^2*(DAY(EOMONTH(A143,0))/2))/AK143)</f>
        <v>#N/A</v>
      </c>
      <c r="AC143" s="185" t="e">
        <f aca="false">IF($A144="","",VLOOKUP($A143,Table,MATCH(AC$4,Curves,0)))</f>
        <v>#N/A</v>
      </c>
      <c r="AD143" s="185" t="e">
        <f aca="false">IF($A144="","",VLOOKUP($A143,Table,MATCH(AD$4,Curves,0)))</f>
        <v>#N/A</v>
      </c>
      <c r="AE143" s="185" t="e">
        <f aca="false">SQRT((AD143^2*(A143-$D$3)+AC143^2*(DAY(EOMONTH(A143,0))/2))/AK143)</f>
        <v>#N/A</v>
      </c>
      <c r="AF143" s="224" t="e">
        <f aca="false">((Summary!$N$8*(AA143*AD143)*(A143-$D$3))+(Summary!$M$8*Z143*AC143*(AJ143-EOMONTH(EDATE(A143,-1),0))))/(AK143*AB143*AE143)</f>
        <v>#N/A</v>
      </c>
      <c r="AG143" s="207" t="n">
        <f aca="false">IF($A144="","",Summary!$Q$8)</f>
        <v>0</v>
      </c>
      <c r="AH143" s="207" t="n">
        <f aca="false">IF($A144="","",IF(Summary!$R$8="Y",(VLOOKUP($A143,Summary!$AD$6:$AF$9,3)+'Escalating commodity'!D156),'Escalating commodity'!D156))</f>
        <v>0.0200232</v>
      </c>
      <c r="AI143" s="207" t="n">
        <f aca="false">IF($A144="","",AH143)</f>
        <v>0.0200232</v>
      </c>
      <c r="AJ143" s="208" t="n">
        <f aca="false">A143+DAY(EOMONTH(A143,0))/2-1</f>
        <v>41105.5</v>
      </c>
      <c r="AK143" s="209" t="n">
        <f aca="false">IF($A144="","",$A143-$E$1)</f>
        <v>-4835</v>
      </c>
      <c r="AL143" s="182" t="e">
        <f aca="false">IF($A144="","",SPRDOPT(P143,X143,AI143,0,AB143,AE143,AF143,AK143,$AJ$2,0))</f>
        <v>#NAME?</v>
      </c>
      <c r="AM143" s="211" t="e">
        <f aca="false">IF($A144="","",MAX(0,O143-W143-AI143))</f>
        <v>#N/A</v>
      </c>
      <c r="AN143" s="211" t="e">
        <f aca="false">IF($A144="","",AL143-AM143)</f>
        <v>#N/A</v>
      </c>
      <c r="AO143" s="137" t="n">
        <f aca="false">IF(A144="","",A144-A143)</f>
        <v>31</v>
      </c>
      <c r="AP143" s="212" t="n">
        <f aca="false">IF(A144="","",CHOOSE(F$3,A144+24,A143))</f>
        <v>41091</v>
      </c>
      <c r="AQ143" s="209" t="n">
        <f aca="false">IF(A144="","",AP143-$E$1)</f>
        <v>-4835</v>
      </c>
      <c r="AR143" s="185" t="n">
        <f aca="false">'ANR OK vs ML7'!AR143</f>
        <v>0.1</v>
      </c>
      <c r="AS143" s="213" t="n">
        <f aca="false">IF(A144="","",1/(1+CHOOSE(F$3,(AR144+($I$3/10000))/2,(AR143+($I$3/10000))/2))^(2*AQ143/365.25))</f>
        <v>3.63904189470855</v>
      </c>
      <c r="AT143" s="137" t="n">
        <f aca="false">IF(A144="","",IF(AND(mthbeg&lt;=A143,mthend&gt;=A143),1,0))</f>
        <v>1</v>
      </c>
      <c r="AU143" s="137" t="n">
        <f aca="false">IF(A144="","",AO143*AT143)</f>
        <v>31</v>
      </c>
      <c r="AW143" s="195" t="e">
        <f aca="false">IF($A144="","",AL143*$E143)</f>
        <v>#NAME?</v>
      </c>
      <c r="AX143" s="195" t="e">
        <f aca="false">IF($A144="","",AM143*$E143)</f>
        <v>#N/A</v>
      </c>
      <c r="AY143" s="195" t="e">
        <f aca="false">IF($A144="","",AN143*$E143)</f>
        <v>#N/A</v>
      </c>
      <c r="BA143" s="195" t="n">
        <f aca="false">IF($A144="","",F143*Summary!$Q$8)</f>
        <v>0</v>
      </c>
      <c r="BC143" s="179" t="e">
        <f aca="false">IF(A144="","",AM143*F143)</f>
        <v>#N/A</v>
      </c>
    </row>
    <row r="144" customFormat="false" ht="12.75" hidden="false" customHeight="false" outlineLevel="0" collapsed="false">
      <c r="A144" s="196" t="n">
        <f aca="false">IF(A143&lt;mthend,EDATE(A143,1),"")</f>
        <v>41122</v>
      </c>
      <c r="B144" s="197" t="n">
        <f aca="false">IF(A144&lt;mthend,B143,0)</f>
        <v>80000</v>
      </c>
      <c r="C144" s="215"/>
      <c r="D144" s="197" t="n">
        <f aca="false">IF(A145&lt;&gt;"",B144+C144,"")</f>
        <v>80000</v>
      </c>
      <c r="E144" s="199" t="n">
        <f aca="false">IF(A145="","",IF(AND(AT144=1,$H$3=1),D144*AO144,IF($H$3=2,D144,"N/A")))</f>
        <v>2480000</v>
      </c>
      <c r="F144" s="199" t="n">
        <f aca="false">IF(A145="","",E144*AS144)</f>
        <v>8950389.22078914</v>
      </c>
      <c r="G144" s="200" t="e">
        <f aca="false">IF($A145="","",VLOOKUP($A144,Table,MATCH(G$4,Curves,0)))</f>
        <v>#N/A</v>
      </c>
      <c r="H144" s="201" t="e">
        <f aca="false">IF(A145="","",G144)</f>
        <v>#N/A</v>
      </c>
      <c r="I144" s="202"/>
      <c r="J144" s="200" t="e">
        <f aca="false">IF($A145="","",VLOOKUP($A144,Table,MATCH(J$4,Curves,0)))</f>
        <v>#N/A</v>
      </c>
      <c r="K144" s="201" t="e">
        <f aca="false">IF(A145="","",J144)</f>
        <v>#N/A</v>
      </c>
      <c r="L144" s="200" t="e">
        <f aca="false">IF($A145="","",VLOOKUP($A144,Table,MATCH(L$4,Curves,0)))</f>
        <v>#N/A</v>
      </c>
      <c r="M144" s="201" t="e">
        <f aca="false">IF(A145="","",L144)</f>
        <v>#N/A</v>
      </c>
      <c r="N144" s="203"/>
      <c r="O144" s="200" t="e">
        <f aca="false">IF(A145="","",L144+J144+G144)</f>
        <v>#N/A</v>
      </c>
      <c r="P144" s="200" t="e">
        <f aca="false">IF(A145="","",M144+K144+H144)</f>
        <v>#N/A</v>
      </c>
      <c r="Q144" s="204"/>
      <c r="R144" s="200" t="e">
        <f aca="false">IF($A145="","",VLOOKUP($A144,Table,MATCH(R$4,Curves,0)))</f>
        <v>#N/A</v>
      </c>
      <c r="S144" s="201" t="e">
        <f aca="false">IF(A145="","",R144)</f>
        <v>#N/A</v>
      </c>
      <c r="T144" s="200" t="e">
        <f aca="false">IF($A145="","",VLOOKUP($A144,Table,MATCH(T$4,Curves,0)))</f>
        <v>#N/A</v>
      </c>
      <c r="U144" s="201" t="e">
        <f aca="false">IF(A145="","",T144)</f>
        <v>#N/A</v>
      </c>
      <c r="V144" s="183" t="e">
        <f aca="false">IF($A145="","",IF(AND(MONTH(A144)&gt;3,MONTH(A144)&lt;11),(T144+R144+G144)*Summary!$T$8/(1-Summary!$T$8),(T144+R144+G144)*Summary!$U$8/(1-Summary!$U$8)))</f>
        <v>#N/A</v>
      </c>
      <c r="W144" s="200" t="e">
        <f aca="false">IF($A145="","",(T144+R144+G144+V144))</f>
        <v>#N/A</v>
      </c>
      <c r="X144" s="200" t="e">
        <f aca="false">IF($A145="","",(U144+S144+H144+V144))</f>
        <v>#N/A</v>
      </c>
      <c r="Y144" s="202"/>
      <c r="Z144" s="185" t="e">
        <f aca="false">IF($A145="","",VLOOKUP($A144,Table,MATCH(Z$4,Curves,0)))</f>
        <v>#N/A</v>
      </c>
      <c r="AA144" s="185" t="e">
        <f aca="false">IF($A145="","",VLOOKUP($A144,Table,MATCH(AA$4,Curves,0)))</f>
        <v>#N/A</v>
      </c>
      <c r="AB144" s="185" t="e">
        <f aca="false">SQRT((AA144^2*(A144-$D$3)+Z144^2*(DAY(EOMONTH(A144,0))/2))/AK144)</f>
        <v>#N/A</v>
      </c>
      <c r="AC144" s="185" t="e">
        <f aca="false">IF($A145="","",VLOOKUP($A144,Table,MATCH(AC$4,Curves,0)))</f>
        <v>#N/A</v>
      </c>
      <c r="AD144" s="185" t="e">
        <f aca="false">IF($A145="","",VLOOKUP($A144,Table,MATCH(AD$4,Curves,0)))</f>
        <v>#N/A</v>
      </c>
      <c r="AE144" s="185" t="e">
        <f aca="false">SQRT((AD144^2*(A144-$D$3)+AC144^2*(DAY(EOMONTH(A144,0))/2))/AK144)</f>
        <v>#N/A</v>
      </c>
      <c r="AF144" s="224" t="e">
        <f aca="false">((Summary!$N$8*(AA144*AD144)*(A144-$D$3))+(Summary!$M$8*Z144*AC144*(AJ144-EOMONTH(EDATE(A144,-1),0))))/(AK144*AB144*AE144)</f>
        <v>#N/A</v>
      </c>
      <c r="AG144" s="207" t="n">
        <f aca="false">IF($A145="","",Summary!$Q$8)</f>
        <v>0</v>
      </c>
      <c r="AH144" s="207" t="n">
        <f aca="false">IF($A145="","",IF(Summary!$R$8="Y",(VLOOKUP($A144,Summary!$AD$6:$AF$9,3)+'Escalating commodity'!D157),'Escalating commodity'!D157))</f>
        <v>0.0200232</v>
      </c>
      <c r="AI144" s="207" t="n">
        <f aca="false">IF($A145="","",AH144)</f>
        <v>0.0200232</v>
      </c>
      <c r="AJ144" s="208" t="n">
        <f aca="false">A144+DAY(EOMONTH(A144,0))/2-1</f>
        <v>41136.5</v>
      </c>
      <c r="AK144" s="209" t="n">
        <f aca="false">IF($A145="","",$A144-$E$1)</f>
        <v>-4804</v>
      </c>
      <c r="AL144" s="182" t="e">
        <f aca="false">IF($A145="","",SPRDOPT(P144,X144,AI144,0,AB144,AE144,AF144,AK144,$AJ$2,0))</f>
        <v>#NAME?</v>
      </c>
      <c r="AM144" s="211" t="e">
        <f aca="false">IF($A145="","",MAX(0,O144-W144-AI144))</f>
        <v>#N/A</v>
      </c>
      <c r="AN144" s="211" t="e">
        <f aca="false">IF($A145="","",AL144-AM144)</f>
        <v>#N/A</v>
      </c>
      <c r="AO144" s="137" t="n">
        <f aca="false">IF(A145="","",A145-A144)</f>
        <v>31</v>
      </c>
      <c r="AP144" s="212" t="n">
        <f aca="false">IF(A145="","",CHOOSE(F$3,A145+24,A144))</f>
        <v>41122</v>
      </c>
      <c r="AQ144" s="209" t="n">
        <f aca="false">IF(A145="","",AP144-$E$1)</f>
        <v>-4804</v>
      </c>
      <c r="AR144" s="185" t="n">
        <f aca="false">'ANR OK vs ML7'!AR144</f>
        <v>0.1</v>
      </c>
      <c r="AS144" s="213" t="n">
        <f aca="false">IF(A145="","",1/(1+CHOOSE(F$3,(AR145+($I$3/10000))/2,(AR144+($I$3/10000))/2))^(2*AQ144/365.25))</f>
        <v>3.60902791160853</v>
      </c>
      <c r="AT144" s="137" t="n">
        <f aca="false">IF(A145="","",IF(AND(mthbeg&lt;=A144,mthend&gt;=A144),1,0))</f>
        <v>1</v>
      </c>
      <c r="AU144" s="137" t="n">
        <f aca="false">IF(A145="","",AO144*AT144)</f>
        <v>31</v>
      </c>
      <c r="AW144" s="195" t="e">
        <f aca="false">IF($A145="","",AL144*$E144)</f>
        <v>#NAME?</v>
      </c>
      <c r="AX144" s="195" t="e">
        <f aca="false">IF($A145="","",AM144*$E144)</f>
        <v>#N/A</v>
      </c>
      <c r="AY144" s="195" t="e">
        <f aca="false">IF($A145="","",AN144*$E144)</f>
        <v>#N/A</v>
      </c>
      <c r="BA144" s="195" t="n">
        <f aca="false">IF($A145="","",F144*Summary!$Q$8)</f>
        <v>0</v>
      </c>
      <c r="BC144" s="179" t="e">
        <f aca="false">IF(A145="","",AM144*F144)</f>
        <v>#N/A</v>
      </c>
    </row>
    <row r="145" customFormat="false" ht="12.75" hidden="false" customHeight="false" outlineLevel="0" collapsed="false">
      <c r="A145" s="196" t="n">
        <f aca="false">IF(A144&lt;mthend,EDATE(A144,1),"")</f>
        <v>41153</v>
      </c>
      <c r="B145" s="197" t="n">
        <f aca="false">IF(A145&lt;mthend,B144,0)</f>
        <v>80000</v>
      </c>
      <c r="C145" s="215"/>
      <c r="D145" s="197" t="n">
        <f aca="false">IF(A146&lt;&gt;"",B145+C145,"")</f>
        <v>80000</v>
      </c>
      <c r="E145" s="199" t="n">
        <f aca="false">IF(A146="","",IF(AND(AT145=1,$H$3=1),D145*AO145,IF($H$3=2,D145,"N/A")))</f>
        <v>2400000</v>
      </c>
      <c r="F145" s="199" t="n">
        <f aca="false">IF(A146="","",E145*AS145)</f>
        <v>8590227.54470107</v>
      </c>
      <c r="G145" s="200" t="e">
        <f aca="false">IF($A146="","",VLOOKUP($A145,Table,MATCH(G$4,Curves,0)))</f>
        <v>#N/A</v>
      </c>
      <c r="H145" s="201" t="e">
        <f aca="false">IF(A146="","",G145)</f>
        <v>#N/A</v>
      </c>
      <c r="I145" s="202"/>
      <c r="J145" s="200" t="e">
        <f aca="false">IF($A146="","",VLOOKUP($A145,Table,MATCH(J$4,Curves,0)))</f>
        <v>#N/A</v>
      </c>
      <c r="K145" s="201" t="e">
        <f aca="false">IF(A146="","",J145)</f>
        <v>#N/A</v>
      </c>
      <c r="L145" s="200" t="e">
        <f aca="false">IF($A146="","",VLOOKUP($A145,Table,MATCH(L$4,Curves,0)))</f>
        <v>#N/A</v>
      </c>
      <c r="M145" s="201" t="e">
        <f aca="false">IF(A146="","",L145)</f>
        <v>#N/A</v>
      </c>
      <c r="N145" s="203"/>
      <c r="O145" s="200" t="e">
        <f aca="false">IF(A146="","",L145+J145+G145)</f>
        <v>#N/A</v>
      </c>
      <c r="P145" s="200" t="e">
        <f aca="false">IF(A146="","",M145+K145+H145)</f>
        <v>#N/A</v>
      </c>
      <c r="Q145" s="204"/>
      <c r="R145" s="200" t="e">
        <f aca="false">IF($A146="","",VLOOKUP($A145,Table,MATCH(R$4,Curves,0)))</f>
        <v>#N/A</v>
      </c>
      <c r="S145" s="201" t="e">
        <f aca="false">IF(A146="","",R145)</f>
        <v>#N/A</v>
      </c>
      <c r="T145" s="200" t="e">
        <f aca="false">IF($A146="","",VLOOKUP($A145,Table,MATCH(T$4,Curves,0)))</f>
        <v>#N/A</v>
      </c>
      <c r="U145" s="201" t="e">
        <f aca="false">IF(A146="","",T145)</f>
        <v>#N/A</v>
      </c>
      <c r="V145" s="183" t="e">
        <f aca="false">IF($A146="","",IF(AND(MONTH(A145)&gt;3,MONTH(A145)&lt;11),(T145+R145+G145)*Summary!$T$8/(1-Summary!$T$8),(T145+R145+G145)*Summary!$U$8/(1-Summary!$U$8)))</f>
        <v>#N/A</v>
      </c>
      <c r="W145" s="200" t="e">
        <f aca="false">IF($A146="","",(T145+R145+G145+V145))</f>
        <v>#N/A</v>
      </c>
      <c r="X145" s="200" t="e">
        <f aca="false">IF($A146="","",(U145+S145+H145+V145))</f>
        <v>#N/A</v>
      </c>
      <c r="Y145" s="202"/>
      <c r="Z145" s="185" t="e">
        <f aca="false">IF($A146="","",VLOOKUP($A145,Table,MATCH(Z$4,Curves,0)))</f>
        <v>#N/A</v>
      </c>
      <c r="AA145" s="185" t="e">
        <f aca="false">IF($A146="","",VLOOKUP($A145,Table,MATCH(AA$4,Curves,0)))</f>
        <v>#N/A</v>
      </c>
      <c r="AB145" s="185" t="e">
        <f aca="false">SQRT((AA145^2*(A145-$D$3)+Z145^2*(DAY(EOMONTH(A145,0))/2))/AK145)</f>
        <v>#N/A</v>
      </c>
      <c r="AC145" s="185" t="e">
        <f aca="false">IF($A146="","",VLOOKUP($A145,Table,MATCH(AC$4,Curves,0)))</f>
        <v>#N/A</v>
      </c>
      <c r="AD145" s="185" t="e">
        <f aca="false">IF($A146="","",VLOOKUP($A145,Table,MATCH(AD$4,Curves,0)))</f>
        <v>#N/A</v>
      </c>
      <c r="AE145" s="185" t="e">
        <f aca="false">SQRT((AD145^2*(A145-$D$3)+AC145^2*(DAY(EOMONTH(A145,0))/2))/AK145)</f>
        <v>#N/A</v>
      </c>
      <c r="AF145" s="224" t="e">
        <f aca="false">((Summary!$N$8*(AA145*AD145)*(A145-$D$3))+(Summary!$M$8*Z145*AC145*(AJ145-EOMONTH(EDATE(A145,-1),0))))/(AK145*AB145*AE145)</f>
        <v>#N/A</v>
      </c>
      <c r="AG145" s="207" t="n">
        <f aca="false">IF($A146="","",Summary!$Q$8)</f>
        <v>0</v>
      </c>
      <c r="AH145" s="207" t="n">
        <f aca="false">IF($A146="","",IF(Summary!$R$8="Y",(VLOOKUP($A145,Summary!$AD$6:$AF$9,3)+'Escalating commodity'!D158),'Escalating commodity'!D158))</f>
        <v>0.0200232</v>
      </c>
      <c r="AI145" s="207" t="n">
        <f aca="false">IF($A146="","",AH145)</f>
        <v>0.0200232</v>
      </c>
      <c r="AJ145" s="208" t="n">
        <f aca="false">A145+DAY(EOMONTH(A145,0))/2-1</f>
        <v>41167</v>
      </c>
      <c r="AK145" s="209" t="n">
        <f aca="false">IF($A146="","",$A145-$E$1)</f>
        <v>-4773</v>
      </c>
      <c r="AL145" s="182" t="e">
        <f aca="false">IF($A146="","",SPRDOPT(P145,X145,AI145,0,AB145,AE145,AF145,AK145,$AJ$2,0))</f>
        <v>#NAME?</v>
      </c>
      <c r="AM145" s="211" t="e">
        <f aca="false">IF($A146="","",MAX(0,O145-W145-AI145))</f>
        <v>#N/A</v>
      </c>
      <c r="AN145" s="211" t="e">
        <f aca="false">IF($A146="","",AL145-AM145)</f>
        <v>#N/A</v>
      </c>
      <c r="AO145" s="137" t="n">
        <f aca="false">IF(A146="","",A146-A145)</f>
        <v>30</v>
      </c>
      <c r="AP145" s="212" t="n">
        <f aca="false">IF(A146="","",CHOOSE(F$3,A146+24,A145))</f>
        <v>41153</v>
      </c>
      <c r="AQ145" s="209" t="n">
        <f aca="false">IF(A146="","",AP145-$E$1)</f>
        <v>-4773</v>
      </c>
      <c r="AR145" s="185" t="n">
        <f aca="false">'ANR OK vs ML7'!AR145</f>
        <v>0.1</v>
      </c>
      <c r="AS145" s="213" t="n">
        <f aca="false">IF(A146="","",1/(1+CHOOSE(F$3,(AR146+($I$3/10000))/2,(AR145+($I$3/10000))/2))^(2*AQ145/365.25))</f>
        <v>3.57926147695878</v>
      </c>
      <c r="AT145" s="137" t="n">
        <f aca="false">IF(A146="","",IF(AND(mthbeg&lt;=A145,mthend&gt;=A145),1,0))</f>
        <v>1</v>
      </c>
      <c r="AU145" s="137" t="n">
        <f aca="false">IF(A146="","",AO145*AT145)</f>
        <v>30</v>
      </c>
      <c r="AW145" s="195" t="e">
        <f aca="false">IF($A146="","",AL145*$E145)</f>
        <v>#NAME?</v>
      </c>
      <c r="AX145" s="195" t="e">
        <f aca="false">IF($A146="","",AM145*$E145)</f>
        <v>#N/A</v>
      </c>
      <c r="AY145" s="195" t="e">
        <f aca="false">IF($A146="","",AN145*$E145)</f>
        <v>#N/A</v>
      </c>
      <c r="BA145" s="195" t="n">
        <f aca="false">IF($A146="","",F145*Summary!$Q$8)</f>
        <v>0</v>
      </c>
      <c r="BC145" s="179" t="e">
        <f aca="false">IF(A146="","",AM145*F145)</f>
        <v>#N/A</v>
      </c>
    </row>
    <row r="146" customFormat="false" ht="12.75" hidden="false" customHeight="false" outlineLevel="0" collapsed="false">
      <c r="A146" s="196" t="n">
        <f aca="false">IF(A145&lt;mthend,EDATE(A145,1),"")</f>
        <v>41183</v>
      </c>
      <c r="B146" s="197" t="n">
        <f aca="false">IF(A146&lt;mthend,B145,0)</f>
        <v>80000</v>
      </c>
      <c r="C146" s="215"/>
      <c r="D146" s="197" t="n">
        <f aca="false">IF(A147&lt;&gt;"",B146+C146,"")</f>
        <v>80000</v>
      </c>
      <c r="E146" s="199" t="n">
        <f aca="false">IF(A147="","",IF(AND(AT146=1,$H$3=1),D146*AO146,IF($H$3=2,D146,"N/A")))</f>
        <v>2480000</v>
      </c>
      <c r="F146" s="199" t="n">
        <f aca="false">IF(A147="","",E146*AS146)</f>
        <v>8805708.78387999</v>
      </c>
      <c r="G146" s="200" t="e">
        <f aca="false">IF($A147="","",VLOOKUP($A146,Table,MATCH(G$4,Curves,0)))</f>
        <v>#N/A</v>
      </c>
      <c r="H146" s="201" t="e">
        <f aca="false">IF(A147="","",G146)</f>
        <v>#N/A</v>
      </c>
      <c r="I146" s="202"/>
      <c r="J146" s="200" t="e">
        <f aca="false">IF($A147="","",VLOOKUP($A146,Table,MATCH(J$4,Curves,0)))</f>
        <v>#N/A</v>
      </c>
      <c r="K146" s="201" t="e">
        <f aca="false">IF(A147="","",J146)</f>
        <v>#N/A</v>
      </c>
      <c r="L146" s="200" t="e">
        <f aca="false">IF($A147="","",VLOOKUP($A146,Table,MATCH(L$4,Curves,0)))</f>
        <v>#N/A</v>
      </c>
      <c r="M146" s="201" t="e">
        <f aca="false">IF(A147="","",L146)</f>
        <v>#N/A</v>
      </c>
      <c r="N146" s="203"/>
      <c r="O146" s="200" t="e">
        <f aca="false">IF(A147="","",L146+J146+G146)</f>
        <v>#N/A</v>
      </c>
      <c r="P146" s="200" t="e">
        <f aca="false">IF(A147="","",M146+K146+H146)</f>
        <v>#N/A</v>
      </c>
      <c r="Q146" s="204"/>
      <c r="R146" s="200" t="e">
        <f aca="false">IF($A147="","",VLOOKUP($A146,Table,MATCH(R$4,Curves,0)))</f>
        <v>#N/A</v>
      </c>
      <c r="S146" s="201" t="e">
        <f aca="false">IF(A147="","",R146)</f>
        <v>#N/A</v>
      </c>
      <c r="T146" s="200" t="e">
        <f aca="false">IF($A147="","",VLOOKUP($A146,Table,MATCH(T$4,Curves,0)))</f>
        <v>#N/A</v>
      </c>
      <c r="U146" s="201" t="e">
        <f aca="false">IF(A147="","",T146)</f>
        <v>#N/A</v>
      </c>
      <c r="V146" s="183" t="e">
        <f aca="false">IF($A147="","",IF(AND(MONTH(A146)&gt;3,MONTH(A146)&lt;11),(T146+R146+G146)*Summary!$T$8/(1-Summary!$T$8),(T146+R146+G146)*Summary!$U$8/(1-Summary!$U$8)))</f>
        <v>#N/A</v>
      </c>
      <c r="W146" s="200" t="e">
        <f aca="false">IF($A147="","",(T146+R146+G146+V146))</f>
        <v>#N/A</v>
      </c>
      <c r="X146" s="200" t="e">
        <f aca="false">IF($A147="","",(U146+S146+H146+V146))</f>
        <v>#N/A</v>
      </c>
      <c r="Y146" s="202"/>
      <c r="Z146" s="185" t="e">
        <f aca="false">IF($A147="","",VLOOKUP($A146,Table,MATCH(Z$4,Curves,0)))</f>
        <v>#N/A</v>
      </c>
      <c r="AA146" s="185" t="e">
        <f aca="false">IF($A147="","",VLOOKUP($A146,Table,MATCH(AA$4,Curves,0)))</f>
        <v>#N/A</v>
      </c>
      <c r="AB146" s="185" t="e">
        <f aca="false">SQRT((AA146^2*(A146-$D$3)+Z146^2*(DAY(EOMONTH(A146,0))/2))/AK146)</f>
        <v>#N/A</v>
      </c>
      <c r="AC146" s="185" t="e">
        <f aca="false">IF($A147="","",VLOOKUP($A146,Table,MATCH(AC$4,Curves,0)))</f>
        <v>#N/A</v>
      </c>
      <c r="AD146" s="185" t="e">
        <f aca="false">IF($A147="","",VLOOKUP($A146,Table,MATCH(AD$4,Curves,0)))</f>
        <v>#N/A</v>
      </c>
      <c r="AE146" s="185" t="e">
        <f aca="false">SQRT((AD146^2*(A146-$D$3)+AC146^2*(DAY(EOMONTH(A146,0))/2))/AK146)</f>
        <v>#N/A</v>
      </c>
      <c r="AF146" s="224" t="e">
        <f aca="false">((Summary!$N$8*(AA146*AD146)*(A146-$D$3))+(Summary!$M$8*Z146*AC146*(AJ146-EOMONTH(EDATE(A146,-1),0))))/(AK146*AB146*AE146)</f>
        <v>#N/A</v>
      </c>
      <c r="AG146" s="207" t="n">
        <f aca="false">IF($A147="","",Summary!$Q$8)</f>
        <v>0</v>
      </c>
      <c r="AH146" s="207" t="n">
        <f aca="false">IF($A147="","",IF(Summary!$R$8="Y",(VLOOKUP($A146,Summary!$AD$6:$AF$9,3)+'Escalating commodity'!D159),'Escalating commodity'!D159))</f>
        <v>0.0200232</v>
      </c>
      <c r="AI146" s="207" t="n">
        <f aca="false">IF($A147="","",AH146)</f>
        <v>0.0200232</v>
      </c>
      <c r="AJ146" s="208" t="n">
        <f aca="false">A146+DAY(EOMONTH(A146,0))/2-1</f>
        <v>41197.5</v>
      </c>
      <c r="AK146" s="209" t="n">
        <f aca="false">IF($A147="","",$A146-$E$1)</f>
        <v>-4743</v>
      </c>
      <c r="AL146" s="182" t="e">
        <f aca="false">IF($A147="","",SPRDOPT(P146,X146,AI146,0,AB146,AE146,AF146,AK146,$AJ$2,0))</f>
        <v>#NAME?</v>
      </c>
      <c r="AM146" s="211" t="e">
        <f aca="false">IF($A147="","",MAX(0,O146-W146-AI146))</f>
        <v>#N/A</v>
      </c>
      <c r="AN146" s="211" t="e">
        <f aca="false">IF($A147="","",AL146-AM146)</f>
        <v>#N/A</v>
      </c>
      <c r="AO146" s="137" t="n">
        <f aca="false">IF(A147="","",A147-A146)</f>
        <v>31</v>
      </c>
      <c r="AP146" s="212" t="n">
        <f aca="false">IF(A147="","",CHOOSE(F$3,A147+24,A146))</f>
        <v>41183</v>
      </c>
      <c r="AQ146" s="209" t="n">
        <f aca="false">IF(A147="","",AP146-$E$1)</f>
        <v>-4743</v>
      </c>
      <c r="AR146" s="185" t="n">
        <f aca="false">'ANR OK vs ML7'!AR146</f>
        <v>0.1</v>
      </c>
      <c r="AS146" s="213" t="n">
        <f aca="false">IF(A147="","",1/(1+CHOOSE(F$3,(AR147+($I$3/10000))/2,(AR146+($I$3/10000))/2))^(2*AQ146/365.25))</f>
        <v>3.55068902575806</v>
      </c>
      <c r="AT146" s="137" t="n">
        <f aca="false">IF(A147="","",IF(AND(mthbeg&lt;=A146,mthend&gt;=A146),1,0))</f>
        <v>1</v>
      </c>
      <c r="AU146" s="137" t="n">
        <f aca="false">IF(A147="","",AO146*AT146)</f>
        <v>31</v>
      </c>
      <c r="AW146" s="195" t="e">
        <f aca="false">IF($A147="","",AL146*$E146)</f>
        <v>#NAME?</v>
      </c>
      <c r="AX146" s="195" t="e">
        <f aca="false">IF($A147="","",AM146*$E146)</f>
        <v>#N/A</v>
      </c>
      <c r="AY146" s="195" t="e">
        <f aca="false">IF($A147="","",AN146*$E146)</f>
        <v>#N/A</v>
      </c>
      <c r="BA146" s="195" t="n">
        <f aca="false">IF($A147="","",F146*Summary!$Q$8)</f>
        <v>0</v>
      </c>
      <c r="BC146" s="179" t="e">
        <f aca="false">IF(A147="","",AM146*F146)</f>
        <v>#N/A</v>
      </c>
    </row>
    <row r="147" customFormat="false" ht="12.75" hidden="false" customHeight="false" outlineLevel="0" collapsed="false">
      <c r="A147" s="196" t="n">
        <f aca="false">IF(A146&lt;mthend,EDATE(A146,1),"")</f>
        <v>41214</v>
      </c>
      <c r="B147" s="197" t="n">
        <f aca="false">IF(A147&lt;mthend,B146,0)</f>
        <v>80000</v>
      </c>
      <c r="C147" s="215"/>
      <c r="D147" s="197" t="n">
        <f aca="false">IF(A148&lt;&gt;"",B147+C147,"")</f>
        <v>80000</v>
      </c>
      <c r="E147" s="199" t="n">
        <f aca="false">IF(A148="","",IF(AND(AT147=1,$H$3=1),D147*AO147,IF($H$3=2,D147,"N/A")))</f>
        <v>2400000</v>
      </c>
      <c r="F147" s="199" t="n">
        <f aca="false">IF(A148="","",E147*AS147)</f>
        <v>8451369.0164675</v>
      </c>
      <c r="G147" s="200" t="e">
        <f aca="false">IF($A148="","",VLOOKUP($A147,Table,MATCH(G$4,Curves,0)))</f>
        <v>#N/A</v>
      </c>
      <c r="H147" s="201" t="e">
        <f aca="false">IF(A148="","",G147)</f>
        <v>#N/A</v>
      </c>
      <c r="I147" s="202"/>
      <c r="J147" s="200" t="e">
        <f aca="false">IF($A148="","",VLOOKUP($A147,Table,MATCH(J$4,Curves,0)))</f>
        <v>#N/A</v>
      </c>
      <c r="K147" s="201" t="e">
        <f aca="false">IF(A148="","",J147)</f>
        <v>#N/A</v>
      </c>
      <c r="L147" s="200" t="e">
        <f aca="false">IF($A148="","",VLOOKUP($A147,Table,MATCH(L$4,Curves,0)))</f>
        <v>#N/A</v>
      </c>
      <c r="M147" s="201" t="e">
        <f aca="false">IF(A148="","",L147)</f>
        <v>#N/A</v>
      </c>
      <c r="N147" s="203"/>
      <c r="O147" s="200" t="e">
        <f aca="false">IF(A148="","",L147+J147+G147)</f>
        <v>#N/A</v>
      </c>
      <c r="P147" s="200" t="e">
        <f aca="false">IF(A148="","",M147+K147+H147)</f>
        <v>#N/A</v>
      </c>
      <c r="Q147" s="204"/>
      <c r="R147" s="200" t="e">
        <f aca="false">IF($A148="","",VLOOKUP($A147,Table,MATCH(R$4,Curves,0)))</f>
        <v>#N/A</v>
      </c>
      <c r="S147" s="201" t="e">
        <f aca="false">IF(A148="","",R147)</f>
        <v>#N/A</v>
      </c>
      <c r="T147" s="200" t="e">
        <f aca="false">IF($A148="","",VLOOKUP($A147,Table,MATCH(T$4,Curves,0)))</f>
        <v>#N/A</v>
      </c>
      <c r="U147" s="201" t="e">
        <f aca="false">IF(A148="","",T147)</f>
        <v>#N/A</v>
      </c>
      <c r="V147" s="183" t="e">
        <f aca="false">IF($A148="","",IF(AND(MONTH(A147)&gt;3,MONTH(A147)&lt;11),(T147+R147+G147)*Summary!$T$8/(1-Summary!$T$8),(T147+R147+G147)*Summary!$U$8/(1-Summary!$U$8)))</f>
        <v>#N/A</v>
      </c>
      <c r="W147" s="200" t="e">
        <f aca="false">IF($A148="","",(T147+R147+G147+V147))</f>
        <v>#N/A</v>
      </c>
      <c r="X147" s="200" t="e">
        <f aca="false">IF($A148="","",(U147+S147+H147+V147))</f>
        <v>#N/A</v>
      </c>
      <c r="Y147" s="202"/>
      <c r="Z147" s="185" t="e">
        <f aca="false">IF($A148="","",VLOOKUP($A147,Table,MATCH(Z$4,Curves,0)))</f>
        <v>#N/A</v>
      </c>
      <c r="AA147" s="185" t="e">
        <f aca="false">IF($A148="","",VLOOKUP($A147,Table,MATCH(AA$4,Curves,0)))</f>
        <v>#N/A</v>
      </c>
      <c r="AB147" s="185" t="e">
        <f aca="false">SQRT((AA147^2*(A147-$D$3)+Z147^2*(DAY(EOMONTH(A147,0))/2))/AK147)</f>
        <v>#N/A</v>
      </c>
      <c r="AC147" s="185" t="e">
        <f aca="false">IF($A148="","",VLOOKUP($A147,Table,MATCH(AC$4,Curves,0)))</f>
        <v>#N/A</v>
      </c>
      <c r="AD147" s="185" t="e">
        <f aca="false">IF($A148="","",VLOOKUP($A147,Table,MATCH(AD$4,Curves,0)))</f>
        <v>#N/A</v>
      </c>
      <c r="AE147" s="185" t="e">
        <f aca="false">SQRT((AD147^2*(A147-$D$3)+AC147^2*(DAY(EOMONTH(A147,0))/2))/AK147)</f>
        <v>#N/A</v>
      </c>
      <c r="AF147" s="224" t="e">
        <f aca="false">((Summary!$N$8*(AA147*AD147)*(A147-$D$3))+(Summary!$M$8*Z147*AC147*(AJ147-EOMONTH(EDATE(A147,-1),0))))/(AK147*AB147*AE147)</f>
        <v>#N/A</v>
      </c>
      <c r="AG147" s="207" t="n">
        <f aca="false">IF($A148="","",Summary!$Q$8)</f>
        <v>0</v>
      </c>
      <c r="AH147" s="207" t="n">
        <f aca="false">IF($A148="","",IF(Summary!$R$8="Y",(VLOOKUP($A147,Summary!$AD$6:$AF$9,3)+'Escalating commodity'!D160),'Escalating commodity'!D160))</f>
        <v>0.0200232</v>
      </c>
      <c r="AI147" s="207" t="n">
        <f aca="false">IF($A148="","",AH147)</f>
        <v>0.0200232</v>
      </c>
      <c r="AJ147" s="208" t="n">
        <f aca="false">A147+DAY(EOMONTH(A147,0))/2-1</f>
        <v>41228</v>
      </c>
      <c r="AK147" s="209" t="n">
        <f aca="false">IF($A148="","",$A147-$E$1)</f>
        <v>-4712</v>
      </c>
      <c r="AL147" s="182" t="e">
        <f aca="false">IF($A148="","",SPRDOPT(P147,X147,AI147,0,AB147,AE147,AF147,AK147,$AJ$2,0))</f>
        <v>#NAME?</v>
      </c>
      <c r="AM147" s="211" t="e">
        <f aca="false">IF($A148="","",MAX(0,O147-W147-AI147))</f>
        <v>#N/A</v>
      </c>
      <c r="AN147" s="211" t="e">
        <f aca="false">IF($A148="","",AL147-AM147)</f>
        <v>#N/A</v>
      </c>
      <c r="AO147" s="137" t="n">
        <f aca="false">IF(A148="","",A148-A147)</f>
        <v>30</v>
      </c>
      <c r="AP147" s="212" t="n">
        <f aca="false">IF(A148="","",CHOOSE(F$3,A148+24,A147))</f>
        <v>41214</v>
      </c>
      <c r="AQ147" s="209" t="n">
        <f aca="false">IF(A148="","",AP147-$E$1)</f>
        <v>-4712</v>
      </c>
      <c r="AR147" s="185" t="n">
        <f aca="false">'ANR OK vs ML7'!AR147</f>
        <v>0.1</v>
      </c>
      <c r="AS147" s="213" t="n">
        <f aca="false">IF(A148="","",1/(1+CHOOSE(F$3,(AR148+($I$3/10000))/2,(AR147+($I$3/10000))/2))^(2*AQ147/365.25))</f>
        <v>3.52140375686146</v>
      </c>
      <c r="AT147" s="137" t="n">
        <f aca="false">IF(A148="","",IF(AND(mthbeg&lt;=A147,mthend&gt;=A147),1,0))</f>
        <v>1</v>
      </c>
      <c r="AU147" s="137" t="n">
        <f aca="false">IF(A148="","",AO147*AT147)</f>
        <v>30</v>
      </c>
      <c r="AW147" s="195" t="e">
        <f aca="false">IF($A148="","",AL147*$E147)</f>
        <v>#NAME?</v>
      </c>
      <c r="AX147" s="195" t="e">
        <f aca="false">IF($A148="","",AM147*$E147)</f>
        <v>#N/A</v>
      </c>
      <c r="AY147" s="195" t="e">
        <f aca="false">IF($A148="","",AN147*$E147)</f>
        <v>#N/A</v>
      </c>
      <c r="BA147" s="195" t="n">
        <f aca="false">IF($A148="","",F147*Summary!$Q$8)</f>
        <v>0</v>
      </c>
      <c r="BC147" s="179" t="e">
        <f aca="false">IF(A148="","",AM147*F147)</f>
        <v>#N/A</v>
      </c>
    </row>
    <row r="148" customFormat="false" ht="12.75" hidden="false" customHeight="false" outlineLevel="0" collapsed="false">
      <c r="A148" s="196" t="n">
        <f aca="false">IF(A147&lt;mthend,EDATE(A147,1),"")</f>
        <v>41244</v>
      </c>
      <c r="B148" s="197" t="n">
        <f aca="false">IF(A148&lt;mthend,B147,0)</f>
        <v>80000</v>
      </c>
      <c r="C148" s="215"/>
      <c r="D148" s="197" t="n">
        <f aca="false">IF(A149&lt;&gt;"",B148+C148,"")</f>
        <v>80000</v>
      </c>
      <c r="E148" s="199" t="n">
        <f aca="false">IF(A149="","",IF(AND(AT148=1,$H$3=1),D148*AO148,IF($H$3=2,D148,"N/A")))</f>
        <v>2480000</v>
      </c>
      <c r="F148" s="199" t="n">
        <f aca="false">IF(A149="","",E148*AS148)</f>
        <v>8663367.06412692</v>
      </c>
      <c r="G148" s="200" t="e">
        <f aca="false">IF($A149="","",VLOOKUP($A148,Table,MATCH(G$4,Curves,0)))</f>
        <v>#N/A</v>
      </c>
      <c r="H148" s="201" t="e">
        <f aca="false">IF(A149="","",G148)</f>
        <v>#N/A</v>
      </c>
      <c r="I148" s="202"/>
      <c r="J148" s="200" t="e">
        <f aca="false">IF($A149="","",VLOOKUP($A148,Table,MATCH(J$4,Curves,0)))</f>
        <v>#N/A</v>
      </c>
      <c r="K148" s="201" t="e">
        <f aca="false">IF(A149="","",J148)</f>
        <v>#N/A</v>
      </c>
      <c r="L148" s="200" t="e">
        <f aca="false">IF($A149="","",VLOOKUP($A148,Table,MATCH(L$4,Curves,0)))</f>
        <v>#N/A</v>
      </c>
      <c r="M148" s="201" t="e">
        <f aca="false">IF(A149="","",L148)</f>
        <v>#N/A</v>
      </c>
      <c r="N148" s="203"/>
      <c r="O148" s="200" t="e">
        <f aca="false">IF(A149="","",L148+J148+G148)</f>
        <v>#N/A</v>
      </c>
      <c r="P148" s="200" t="e">
        <f aca="false">IF(A149="","",M148+K148+H148)</f>
        <v>#N/A</v>
      </c>
      <c r="Q148" s="204"/>
      <c r="R148" s="200" t="e">
        <f aca="false">IF($A149="","",VLOOKUP($A148,Table,MATCH(R$4,Curves,0)))</f>
        <v>#N/A</v>
      </c>
      <c r="S148" s="201" t="e">
        <f aca="false">IF(A149="","",R148)</f>
        <v>#N/A</v>
      </c>
      <c r="T148" s="200" t="e">
        <f aca="false">IF($A149="","",VLOOKUP($A148,Table,MATCH(T$4,Curves,0)))</f>
        <v>#N/A</v>
      </c>
      <c r="U148" s="201" t="e">
        <f aca="false">IF(A149="","",T148)</f>
        <v>#N/A</v>
      </c>
      <c r="V148" s="183" t="e">
        <f aca="false">IF($A149="","",IF(AND(MONTH(A148)&gt;3,MONTH(A148)&lt;11),(T148+R148+G148)*Summary!$T$8/(1-Summary!$T$8),(T148+R148+G148)*Summary!$U$8/(1-Summary!$U$8)))</f>
        <v>#N/A</v>
      </c>
      <c r="W148" s="200" t="e">
        <f aca="false">IF($A149="","",(T148+R148+G148+V148))</f>
        <v>#N/A</v>
      </c>
      <c r="X148" s="200" t="e">
        <f aca="false">IF($A149="","",(U148+S148+H148+V148))</f>
        <v>#N/A</v>
      </c>
      <c r="Y148" s="202"/>
      <c r="Z148" s="185" t="e">
        <f aca="false">IF($A149="","",VLOOKUP($A148,Table,MATCH(Z$4,Curves,0)))</f>
        <v>#N/A</v>
      </c>
      <c r="AA148" s="185" t="e">
        <f aca="false">IF($A149="","",VLOOKUP($A148,Table,MATCH(AA$4,Curves,0)))</f>
        <v>#N/A</v>
      </c>
      <c r="AB148" s="185" t="e">
        <f aca="false">SQRT((AA148^2*(A148-$D$3)+Z148^2*(DAY(EOMONTH(A148,0))/2))/AK148)</f>
        <v>#N/A</v>
      </c>
      <c r="AC148" s="185" t="e">
        <f aca="false">IF($A149="","",VLOOKUP($A148,Table,MATCH(AC$4,Curves,0)))</f>
        <v>#N/A</v>
      </c>
      <c r="AD148" s="185" t="e">
        <f aca="false">IF($A149="","",VLOOKUP($A148,Table,MATCH(AD$4,Curves,0)))</f>
        <v>#N/A</v>
      </c>
      <c r="AE148" s="185" t="e">
        <f aca="false">SQRT((AD148^2*(A148-$D$3)+AC148^2*(DAY(EOMONTH(A148,0))/2))/AK148)</f>
        <v>#N/A</v>
      </c>
      <c r="AF148" s="224" t="e">
        <f aca="false">((Summary!$N$8*(AA148*AD148)*(A148-$D$3))+(Summary!$M$8*Z148*AC148*(AJ148-EOMONTH(EDATE(A148,-1),0))))/(AK148*AB148*AE148)</f>
        <v>#N/A</v>
      </c>
      <c r="AG148" s="207" t="n">
        <f aca="false">IF($A149="","",Summary!$Q$8)</f>
        <v>0</v>
      </c>
      <c r="AH148" s="207" t="n">
        <f aca="false">IF($A149="","",IF(Summary!$R$8="Y",(VLOOKUP($A148,Summary!$AD$6:$AF$9,3)+'Escalating commodity'!D161),'Escalating commodity'!D161))</f>
        <v>0.0200232</v>
      </c>
      <c r="AI148" s="207" t="n">
        <f aca="false">IF($A149="","",AH148)</f>
        <v>0.0200232</v>
      </c>
      <c r="AJ148" s="208" t="n">
        <f aca="false">A148+DAY(EOMONTH(A148,0))/2-1</f>
        <v>41258.5</v>
      </c>
      <c r="AK148" s="209" t="n">
        <f aca="false">IF($A149="","",$A148-$E$1)</f>
        <v>-4682</v>
      </c>
      <c r="AL148" s="182" t="e">
        <f aca="false">IF($A149="","",SPRDOPT(P148,X148,AI148,0,AB148,AE148,AF148,AK148,$AJ$2,0))</f>
        <v>#NAME?</v>
      </c>
      <c r="AM148" s="211" t="e">
        <f aca="false">IF($A149="","",MAX(0,O148-W148-AI148))</f>
        <v>#N/A</v>
      </c>
      <c r="AN148" s="211" t="e">
        <f aca="false">IF($A149="","",AL148-AM148)</f>
        <v>#N/A</v>
      </c>
      <c r="AO148" s="137" t="n">
        <f aca="false">IF(A149="","",A149-A148)</f>
        <v>31</v>
      </c>
      <c r="AP148" s="212" t="n">
        <f aca="false">IF(A149="","",CHOOSE(F$3,A149+24,A148))</f>
        <v>41244</v>
      </c>
      <c r="AQ148" s="209" t="n">
        <f aca="false">IF(A149="","",AP148-$E$1)</f>
        <v>-4682</v>
      </c>
      <c r="AR148" s="185" t="n">
        <f aca="false">'ANR OK vs ML7'!AR148</f>
        <v>0.1</v>
      </c>
      <c r="AS148" s="213" t="n">
        <f aca="false">IF(A149="","",1/(1+CHOOSE(F$3,(AR149+($I$3/10000))/2,(AR148+($I$3/10000))/2))^(2*AQ148/365.25))</f>
        <v>3.49329317101892</v>
      </c>
      <c r="AT148" s="137" t="n">
        <f aca="false">IF(A149="","",IF(AND(mthbeg&lt;=A148,mthend&gt;=A148),1,0))</f>
        <v>1</v>
      </c>
      <c r="AU148" s="137" t="n">
        <f aca="false">IF(A149="","",AO148*AT148)</f>
        <v>31</v>
      </c>
      <c r="AW148" s="195" t="e">
        <f aca="false">IF($A149="","",AL148*$E148)</f>
        <v>#NAME?</v>
      </c>
      <c r="AX148" s="195" t="e">
        <f aca="false">IF($A149="","",AM148*$E148)</f>
        <v>#N/A</v>
      </c>
      <c r="AY148" s="195" t="e">
        <f aca="false">IF($A149="","",AN148*$E148)</f>
        <v>#N/A</v>
      </c>
      <c r="BA148" s="195" t="n">
        <f aca="false">IF($A149="","",F148*Summary!$Q$8)</f>
        <v>0</v>
      </c>
      <c r="BC148" s="179" t="e">
        <f aca="false">IF(A149="","",AM148*F148)</f>
        <v>#N/A</v>
      </c>
    </row>
    <row r="149" customFormat="false" ht="12.75" hidden="false" customHeight="false" outlineLevel="0" collapsed="false">
      <c r="A149" s="196" t="n">
        <f aca="false">IF(A148&lt;mthend,EDATE(A148,1),"")</f>
        <v>41275</v>
      </c>
      <c r="B149" s="197" t="n">
        <f aca="false">IF(A149&lt;mthend,B148,0)</f>
        <v>80000</v>
      </c>
      <c r="C149" s="215"/>
      <c r="D149" s="197" t="n">
        <f aca="false">IF(A150&lt;&gt;"",B149+C149,"")</f>
        <v>80000</v>
      </c>
      <c r="E149" s="199" t="n">
        <f aca="false">IF(A150="","",IF(AND(AT149=1,$H$3=1),D149*AO149,IF($H$3=2,D149,"N/A")))</f>
        <v>2480000</v>
      </c>
      <c r="F149" s="199" t="n">
        <f aca="false">IF(A150="","",E149*AS149)</f>
        <v>8591913.59912832</v>
      </c>
      <c r="G149" s="200" t="e">
        <f aca="false">IF($A150="","",VLOOKUP($A149,Table,MATCH(G$4,Curves,0)))</f>
        <v>#N/A</v>
      </c>
      <c r="H149" s="201" t="e">
        <f aca="false">IF(A150="","",G149)</f>
        <v>#N/A</v>
      </c>
      <c r="I149" s="202"/>
      <c r="J149" s="200" t="e">
        <f aca="false">IF($A150="","",VLOOKUP($A149,Table,MATCH(J$4,Curves,0)))</f>
        <v>#N/A</v>
      </c>
      <c r="K149" s="201" t="e">
        <f aca="false">IF(A150="","",J149)</f>
        <v>#N/A</v>
      </c>
      <c r="L149" s="200" t="e">
        <f aca="false">IF($A150="","",VLOOKUP($A149,Table,MATCH(L$4,Curves,0)))</f>
        <v>#N/A</v>
      </c>
      <c r="M149" s="201" t="e">
        <f aca="false">IF(A150="","",L149)</f>
        <v>#N/A</v>
      </c>
      <c r="N149" s="203"/>
      <c r="O149" s="200" t="e">
        <f aca="false">IF(A150="","",L149+J149+G149)</f>
        <v>#N/A</v>
      </c>
      <c r="P149" s="200" t="e">
        <f aca="false">IF(A150="","",M149+K149+H149)</f>
        <v>#N/A</v>
      </c>
      <c r="Q149" s="204"/>
      <c r="R149" s="200" t="e">
        <f aca="false">IF($A150="","",VLOOKUP($A149,Table,MATCH(R$4,Curves,0)))</f>
        <v>#N/A</v>
      </c>
      <c r="S149" s="201" t="e">
        <f aca="false">IF(A150="","",R149)</f>
        <v>#N/A</v>
      </c>
      <c r="T149" s="200" t="e">
        <f aca="false">IF($A150="","",VLOOKUP($A149,Table,MATCH(T$4,Curves,0)))</f>
        <v>#N/A</v>
      </c>
      <c r="U149" s="201" t="e">
        <f aca="false">IF(A150="","",T149)</f>
        <v>#N/A</v>
      </c>
      <c r="V149" s="183" t="e">
        <f aca="false">IF($A150="","",IF(AND(MONTH(A149)&gt;3,MONTH(A149)&lt;11),(T149+R149+G149)*Summary!$T$8/(1-Summary!$T$8),(T149+R149+G149)*Summary!$U$8/(1-Summary!$U$8)))</f>
        <v>#N/A</v>
      </c>
      <c r="W149" s="200" t="e">
        <f aca="false">IF($A150="","",(T149+R149+G149+V149))</f>
        <v>#N/A</v>
      </c>
      <c r="X149" s="200" t="e">
        <f aca="false">IF($A150="","",(U149+S149+H149+V149))</f>
        <v>#N/A</v>
      </c>
      <c r="Y149" s="202"/>
      <c r="Z149" s="185" t="e">
        <f aca="false">IF($A150="","",VLOOKUP($A149,Table,MATCH(Z$4,Curves,0)))</f>
        <v>#N/A</v>
      </c>
      <c r="AA149" s="185" t="e">
        <f aca="false">IF($A150="","",VLOOKUP($A149,Table,MATCH(AA$4,Curves,0)))</f>
        <v>#N/A</v>
      </c>
      <c r="AB149" s="185" t="e">
        <f aca="false">SQRT((AA149^2*(A149-$D$3)+Z149^2*(DAY(EOMONTH(A149,0))/2))/AK149)</f>
        <v>#N/A</v>
      </c>
      <c r="AC149" s="185" t="e">
        <f aca="false">IF($A150="","",VLOOKUP($A149,Table,MATCH(AC$4,Curves,0)))</f>
        <v>#N/A</v>
      </c>
      <c r="AD149" s="185" t="e">
        <f aca="false">IF($A150="","",VLOOKUP($A149,Table,MATCH(AD$4,Curves,0)))</f>
        <v>#N/A</v>
      </c>
      <c r="AE149" s="185" t="e">
        <f aca="false">SQRT((AD149^2*(A149-$D$3)+AC149^2*(DAY(EOMONTH(A149,0))/2))/AK149)</f>
        <v>#N/A</v>
      </c>
      <c r="AF149" s="224" t="e">
        <f aca="false">((Summary!$N$8*(AA149*AD149)*(A149-$D$3))+(Summary!$M$8*Z149*AC149*(AJ149-EOMONTH(EDATE(A149,-1),0))))/(AK149*AB149*AE149)</f>
        <v>#N/A</v>
      </c>
      <c r="AG149" s="207" t="n">
        <f aca="false">IF($A150="","",Summary!$Q$8)</f>
        <v>0</v>
      </c>
      <c r="AH149" s="207" t="n">
        <f aca="false">IF($A150="","",IF(Summary!$R$8="Y",(VLOOKUP($A149,Summary!$AD$6:$AF$9,3)+'Escalating commodity'!D162),'Escalating commodity'!D162))</f>
        <v>0.0200232</v>
      </c>
      <c r="AI149" s="207" t="n">
        <f aca="false">IF($A150="","",AH149)</f>
        <v>0.0200232</v>
      </c>
      <c r="AJ149" s="208" t="n">
        <f aca="false">A149+DAY(EOMONTH(A149,0))/2-1</f>
        <v>41289.5</v>
      </c>
      <c r="AK149" s="209" t="n">
        <f aca="false">IF($A150="","",$A149-$E$1)</f>
        <v>-4651</v>
      </c>
      <c r="AL149" s="182" t="e">
        <f aca="false">IF($A150="","",SPRDOPT(P149,X149,AI149,0,AB149,AE149,AF149,AK149,$AJ$2,0))</f>
        <v>#NAME?</v>
      </c>
      <c r="AM149" s="211" t="e">
        <f aca="false">IF($A150="","",MAX(0,O149-W149-AI149))</f>
        <v>#N/A</v>
      </c>
      <c r="AN149" s="211" t="e">
        <f aca="false">IF($A150="","",AL149-AM149)</f>
        <v>#N/A</v>
      </c>
      <c r="AO149" s="137" t="n">
        <f aca="false">IF(A150="","",A150-A149)</f>
        <v>31</v>
      </c>
      <c r="AP149" s="212" t="n">
        <f aca="false">IF(A150="","",CHOOSE(F$3,A150+24,A149))</f>
        <v>41275</v>
      </c>
      <c r="AQ149" s="209" t="n">
        <f aca="false">IF(A150="","",AP149-$E$1)</f>
        <v>-4651</v>
      </c>
      <c r="AR149" s="185" t="n">
        <f aca="false">'ANR OK vs ML7'!AR149</f>
        <v>0.1</v>
      </c>
      <c r="AS149" s="213" t="n">
        <f aca="false">IF(A150="","",1/(1+CHOOSE(F$3,(AR150+($I$3/10000))/2,(AR149+($I$3/10000))/2))^(2*AQ149/365.25))</f>
        <v>3.4644812899711</v>
      </c>
      <c r="AT149" s="137" t="n">
        <f aca="false">IF(A150="","",IF(AND(mthbeg&lt;=A149,mthend&gt;=A149),1,0))</f>
        <v>1</v>
      </c>
      <c r="AU149" s="137" t="n">
        <f aca="false">IF(A150="","",AO149*AT149)</f>
        <v>31</v>
      </c>
      <c r="AW149" s="195" t="e">
        <f aca="false">IF($A150="","",AL149*$E149)</f>
        <v>#NAME?</v>
      </c>
      <c r="AX149" s="195" t="e">
        <f aca="false">IF($A150="","",AM149*$E149)</f>
        <v>#N/A</v>
      </c>
      <c r="AY149" s="195" t="e">
        <f aca="false">IF($A150="","",AN149*$E149)</f>
        <v>#N/A</v>
      </c>
      <c r="BA149" s="195" t="n">
        <f aca="false">IF($A150="","",F149*Summary!$Q$8)</f>
        <v>0</v>
      </c>
      <c r="BC149" s="179" t="e">
        <f aca="false">IF(A150="","",AM149*F149)</f>
        <v>#N/A</v>
      </c>
    </row>
    <row r="150" customFormat="false" ht="12.75" hidden="false" customHeight="false" outlineLevel="0" collapsed="false">
      <c r="A150" s="196" t="n">
        <f aca="false">IF(A149&lt;mthend,EDATE(A149,1),"")</f>
        <v>41306</v>
      </c>
      <c r="B150" s="197" t="n">
        <f aca="false">IF(A150&lt;mthend,B149,0)</f>
        <v>80000</v>
      </c>
      <c r="C150" s="215"/>
      <c r="D150" s="197" t="n">
        <f aca="false">IF(A151&lt;&gt;"",B150+C150,"")</f>
        <v>80000</v>
      </c>
      <c r="E150" s="199" t="n">
        <f aca="false">IF(A151="","",IF(AND(AT150=1,$H$3=1),D150*AO150,IF($H$3=2,D150,"N/A")))</f>
        <v>2240000</v>
      </c>
      <c r="F150" s="199" t="n">
        <f aca="false">IF(A151="","",E150*AS150)</f>
        <v>7696431.77567369</v>
      </c>
      <c r="G150" s="200" t="e">
        <f aca="false">IF($A151="","",VLOOKUP($A150,Table,MATCH(G$4,Curves,0)))</f>
        <v>#N/A</v>
      </c>
      <c r="H150" s="201" t="e">
        <f aca="false">IF(A151="","",G150)</f>
        <v>#N/A</v>
      </c>
      <c r="I150" s="202"/>
      <c r="J150" s="200" t="e">
        <f aca="false">IF($A151="","",VLOOKUP($A150,Table,MATCH(J$4,Curves,0)))</f>
        <v>#N/A</v>
      </c>
      <c r="K150" s="201" t="e">
        <f aca="false">IF(A151="","",J150)</f>
        <v>#N/A</v>
      </c>
      <c r="L150" s="200" t="e">
        <f aca="false">IF($A151="","",VLOOKUP($A150,Table,MATCH(L$4,Curves,0)))</f>
        <v>#N/A</v>
      </c>
      <c r="M150" s="201" t="e">
        <f aca="false">IF(A151="","",L150)</f>
        <v>#N/A</v>
      </c>
      <c r="N150" s="203"/>
      <c r="O150" s="200" t="e">
        <f aca="false">IF(A151="","",L150+J150+G150)</f>
        <v>#N/A</v>
      </c>
      <c r="P150" s="200" t="e">
        <f aca="false">IF(A151="","",M150+K150+H150)</f>
        <v>#N/A</v>
      </c>
      <c r="Q150" s="204"/>
      <c r="R150" s="200" t="e">
        <f aca="false">IF($A151="","",VLOOKUP($A150,Table,MATCH(R$4,Curves,0)))</f>
        <v>#N/A</v>
      </c>
      <c r="S150" s="201" t="e">
        <f aca="false">IF(A151="","",R150)</f>
        <v>#N/A</v>
      </c>
      <c r="T150" s="200" t="e">
        <f aca="false">IF($A151="","",VLOOKUP($A150,Table,MATCH(T$4,Curves,0)))</f>
        <v>#N/A</v>
      </c>
      <c r="U150" s="201" t="e">
        <f aca="false">IF(A151="","",T150)</f>
        <v>#N/A</v>
      </c>
      <c r="V150" s="183" t="e">
        <f aca="false">IF($A151="","",IF(AND(MONTH(A150)&gt;3,MONTH(A150)&lt;11),(T150+R150+G150)*Summary!$T$8/(1-Summary!$T$8),(T150+R150+G150)*Summary!$U$8/(1-Summary!$U$8)))</f>
        <v>#N/A</v>
      </c>
      <c r="W150" s="200" t="e">
        <f aca="false">IF($A151="","",(T150+R150+G150+V150))</f>
        <v>#N/A</v>
      </c>
      <c r="X150" s="200" t="e">
        <f aca="false">IF($A151="","",(U150+S150+H150+V150))</f>
        <v>#N/A</v>
      </c>
      <c r="Y150" s="202"/>
      <c r="Z150" s="185" t="e">
        <f aca="false">IF($A151="","",VLOOKUP($A150,Table,MATCH(Z$4,Curves,0)))</f>
        <v>#N/A</v>
      </c>
      <c r="AA150" s="185" t="e">
        <f aca="false">IF($A151="","",VLOOKUP($A150,Table,MATCH(AA$4,Curves,0)))</f>
        <v>#N/A</v>
      </c>
      <c r="AB150" s="185" t="e">
        <f aca="false">SQRT((AA150^2*(A150-$D$3)+Z150^2*(DAY(EOMONTH(A150,0))/2))/AK150)</f>
        <v>#N/A</v>
      </c>
      <c r="AC150" s="185" t="e">
        <f aca="false">IF($A151="","",VLOOKUP($A150,Table,MATCH(AC$4,Curves,0)))</f>
        <v>#N/A</v>
      </c>
      <c r="AD150" s="185" t="e">
        <f aca="false">IF($A151="","",VLOOKUP($A150,Table,MATCH(AD$4,Curves,0)))</f>
        <v>#N/A</v>
      </c>
      <c r="AE150" s="185" t="e">
        <f aca="false">SQRT((AD150^2*(A150-$D$3)+AC150^2*(DAY(EOMONTH(A150,0))/2))/AK150)</f>
        <v>#N/A</v>
      </c>
      <c r="AF150" s="224" t="e">
        <f aca="false">((Summary!$N$8*(AA150*AD150)*(A150-$D$3))+(Summary!$M$8*Z150*AC150*(AJ150-EOMONTH(EDATE(A150,-1),0))))/(AK150*AB150*AE150)</f>
        <v>#N/A</v>
      </c>
      <c r="AG150" s="207" t="n">
        <f aca="false">IF($A151="","",Summary!$Q$8)</f>
        <v>0</v>
      </c>
      <c r="AH150" s="207" t="n">
        <f aca="false">IF($A151="","",IF(Summary!$R$8="Y",(VLOOKUP($A150,Summary!$AD$6:$AF$9,3)+'Escalating commodity'!D163),'Escalating commodity'!D163))</f>
        <v>0.0200232</v>
      </c>
      <c r="AI150" s="207" t="n">
        <f aca="false">IF($A151="","",AH150)</f>
        <v>0.0200232</v>
      </c>
      <c r="AJ150" s="208" t="n">
        <f aca="false">A150+DAY(EOMONTH(A150,0))/2-1</f>
        <v>41319</v>
      </c>
      <c r="AK150" s="209" t="n">
        <f aca="false">IF($A151="","",$A150-$E$1)</f>
        <v>-4620</v>
      </c>
      <c r="AL150" s="182" t="e">
        <f aca="false">IF($A151="","",SPRDOPT(P150,X150,AI150,0,AB150,AE150,AF150,AK150,$AJ$2,0))</f>
        <v>#NAME?</v>
      </c>
      <c r="AM150" s="211" t="e">
        <f aca="false">IF($A151="","",MAX(0,O150-W150-AI150))</f>
        <v>#N/A</v>
      </c>
      <c r="AN150" s="211" t="e">
        <f aca="false">IF($A151="","",AL150-AM150)</f>
        <v>#N/A</v>
      </c>
      <c r="AO150" s="137" t="n">
        <f aca="false">IF(A151="","",A151-A150)</f>
        <v>28</v>
      </c>
      <c r="AP150" s="212" t="n">
        <f aca="false">IF(A151="","",CHOOSE(F$3,A151+24,A150))</f>
        <v>41306</v>
      </c>
      <c r="AQ150" s="209" t="n">
        <f aca="false">IF(A151="","",AP150-$E$1)</f>
        <v>-4620</v>
      </c>
      <c r="AR150" s="185" t="n">
        <f aca="false">'ANR OK vs ML7'!AR150</f>
        <v>0.1</v>
      </c>
      <c r="AS150" s="213" t="n">
        <f aca="false">IF(A151="","",1/(1+CHOOSE(F$3,(AR151+($I$3/10000))/2,(AR150+($I$3/10000))/2))^(2*AQ150/365.25))</f>
        <v>3.43590704271147</v>
      </c>
      <c r="AT150" s="137" t="n">
        <f aca="false">IF(A151="","",IF(AND(mthbeg&lt;=A150,mthend&gt;=A150),1,0))</f>
        <v>1</v>
      </c>
      <c r="AU150" s="137" t="n">
        <f aca="false">IF(A151="","",AO150*AT150)</f>
        <v>28</v>
      </c>
      <c r="AW150" s="195" t="e">
        <f aca="false">IF($A151="","",AL150*$E150)</f>
        <v>#NAME?</v>
      </c>
      <c r="AX150" s="195" t="e">
        <f aca="false">IF($A151="","",AM150*$E150)</f>
        <v>#N/A</v>
      </c>
      <c r="AY150" s="195" t="e">
        <f aca="false">IF($A151="","",AN150*$E150)</f>
        <v>#N/A</v>
      </c>
      <c r="BA150" s="195" t="n">
        <f aca="false">IF($A151="","",F150*Summary!$Q$8)</f>
        <v>0</v>
      </c>
      <c r="BC150" s="179" t="e">
        <f aca="false">IF(A151="","",AM150*F150)</f>
        <v>#N/A</v>
      </c>
    </row>
    <row r="151" customFormat="false" ht="12.75" hidden="false" customHeight="false" outlineLevel="0" collapsed="false">
      <c r="A151" s="196" t="n">
        <f aca="false">IF(A150&lt;mthend,EDATE(A150,1),"")</f>
        <v>41334</v>
      </c>
      <c r="B151" s="197" t="n">
        <f aca="false">IF(A151&lt;mthend,B150,0)</f>
        <v>80000</v>
      </c>
      <c r="C151" s="215"/>
      <c r="D151" s="197" t="n">
        <f aca="false">IF(A152&lt;&gt;"",B151+C151,"")</f>
        <v>80000</v>
      </c>
      <c r="E151" s="199" t="n">
        <f aca="false">IF(A152="","",IF(AND(AT151=1,$H$3=1),D151*AO151,IF($H$3=2,D151,"N/A")))</f>
        <v>2480000</v>
      </c>
      <c r="F151" s="199" t="n">
        <f aca="false">IF(A152="","",E151*AS151)</f>
        <v>8457545.65142069</v>
      </c>
      <c r="G151" s="200" t="e">
        <f aca="false">IF($A152="","",VLOOKUP($A151,Table,MATCH(G$4,Curves,0)))</f>
        <v>#N/A</v>
      </c>
      <c r="H151" s="201" t="e">
        <f aca="false">IF(A152="","",G151)</f>
        <v>#N/A</v>
      </c>
      <c r="I151" s="202"/>
      <c r="J151" s="200" t="e">
        <f aca="false">IF($A152="","",VLOOKUP($A151,Table,MATCH(J$4,Curves,0)))</f>
        <v>#N/A</v>
      </c>
      <c r="K151" s="201" t="e">
        <f aca="false">IF(A152="","",J151)</f>
        <v>#N/A</v>
      </c>
      <c r="L151" s="200" t="e">
        <f aca="false">IF($A152="","",VLOOKUP($A151,Table,MATCH(L$4,Curves,0)))</f>
        <v>#N/A</v>
      </c>
      <c r="M151" s="201" t="e">
        <f aca="false">IF(A152="","",L151)</f>
        <v>#N/A</v>
      </c>
      <c r="N151" s="203"/>
      <c r="O151" s="200" t="e">
        <f aca="false">IF(A152="","",L151+J151+G151)</f>
        <v>#N/A</v>
      </c>
      <c r="P151" s="200" t="e">
        <f aca="false">IF(A152="","",M151+K151+H151)</f>
        <v>#N/A</v>
      </c>
      <c r="Q151" s="204"/>
      <c r="R151" s="200" t="e">
        <f aca="false">IF($A152="","",VLOOKUP($A151,Table,MATCH(R$4,Curves,0)))</f>
        <v>#N/A</v>
      </c>
      <c r="S151" s="201" t="e">
        <f aca="false">IF(A152="","",R151)</f>
        <v>#N/A</v>
      </c>
      <c r="T151" s="200" t="e">
        <f aca="false">IF($A152="","",VLOOKUP($A151,Table,MATCH(T$4,Curves,0)))</f>
        <v>#N/A</v>
      </c>
      <c r="U151" s="201" t="e">
        <f aca="false">IF(A152="","",T151)</f>
        <v>#N/A</v>
      </c>
      <c r="V151" s="183" t="e">
        <f aca="false">IF($A152="","",IF(AND(MONTH(A151)&gt;3,MONTH(A151)&lt;11),(T151+R151+G151)*Summary!$T$8/(1-Summary!$T$8),(T151+R151+G151)*Summary!$U$8/(1-Summary!$U$8)))</f>
        <v>#N/A</v>
      </c>
      <c r="W151" s="200" t="e">
        <f aca="false">IF($A152="","",(T151+R151+G151+V151))</f>
        <v>#N/A</v>
      </c>
      <c r="X151" s="200" t="e">
        <f aca="false">IF($A152="","",(U151+S151+H151+V151))</f>
        <v>#N/A</v>
      </c>
      <c r="Y151" s="202"/>
      <c r="Z151" s="185" t="e">
        <f aca="false">IF($A152="","",VLOOKUP($A151,Table,MATCH(Z$4,Curves,0)))</f>
        <v>#N/A</v>
      </c>
      <c r="AA151" s="185" t="e">
        <f aca="false">IF($A152="","",VLOOKUP($A151,Table,MATCH(AA$4,Curves,0)))</f>
        <v>#N/A</v>
      </c>
      <c r="AB151" s="185" t="e">
        <f aca="false">SQRT((AA151^2*(A151-$D$3)+Z151^2*(DAY(EOMONTH(A151,0))/2))/AK151)</f>
        <v>#N/A</v>
      </c>
      <c r="AC151" s="185" t="e">
        <f aca="false">IF($A152="","",VLOOKUP($A151,Table,MATCH(AC$4,Curves,0)))</f>
        <v>#N/A</v>
      </c>
      <c r="AD151" s="185" t="e">
        <f aca="false">IF($A152="","",VLOOKUP($A151,Table,MATCH(AD$4,Curves,0)))</f>
        <v>#N/A</v>
      </c>
      <c r="AE151" s="185" t="e">
        <f aca="false">SQRT((AD151^2*(A151-$D$3)+AC151^2*(DAY(EOMONTH(A151,0))/2))/AK151)</f>
        <v>#N/A</v>
      </c>
      <c r="AF151" s="224" t="e">
        <f aca="false">((Summary!$N$8*(AA151*AD151)*(A151-$D$3))+(Summary!$M$8*Z151*AC151*(AJ151-EOMONTH(EDATE(A151,-1),0))))/(AK151*AB151*AE151)</f>
        <v>#N/A</v>
      </c>
      <c r="AG151" s="207" t="n">
        <f aca="false">IF($A152="","",Summary!$Q$8)</f>
        <v>0</v>
      </c>
      <c r="AH151" s="207" t="n">
        <f aca="false">IF($A152="","",IF(Summary!$R$8="Y",(VLOOKUP($A151,Summary!$AD$6:$AF$9,3)+'Escalating commodity'!D164),'Escalating commodity'!D164))</f>
        <v>0.0200232</v>
      </c>
      <c r="AI151" s="207" t="n">
        <f aca="false">IF($A152="","",AH151)</f>
        <v>0.0200232</v>
      </c>
      <c r="AJ151" s="208" t="n">
        <f aca="false">A151+DAY(EOMONTH(A151,0))/2-1</f>
        <v>41348.5</v>
      </c>
      <c r="AK151" s="209" t="n">
        <f aca="false">IF($A152="","",$A151-$E$1)</f>
        <v>-4592</v>
      </c>
      <c r="AL151" s="182" t="e">
        <f aca="false">IF($A152="","",SPRDOPT(P151,X151,AI151,0,AB151,AE151,AF151,AK151,$AJ$2,0))</f>
        <v>#NAME?</v>
      </c>
      <c r="AM151" s="211" t="e">
        <f aca="false">IF($A152="","",MAX(0,O151-W151-AI151))</f>
        <v>#N/A</v>
      </c>
      <c r="AN151" s="211" t="e">
        <f aca="false">IF($A152="","",AL151-AM151)</f>
        <v>#N/A</v>
      </c>
      <c r="AO151" s="137" t="n">
        <f aca="false">IF(A152="","",A152-A151)</f>
        <v>31</v>
      </c>
      <c r="AP151" s="212" t="n">
        <f aca="false">IF(A152="","",CHOOSE(F$3,A152+24,A151))</f>
        <v>41334</v>
      </c>
      <c r="AQ151" s="209" t="n">
        <f aca="false">IF(A152="","",AP151-$E$1)</f>
        <v>-4592</v>
      </c>
      <c r="AR151" s="185" t="n">
        <f aca="false">'ANR OK vs ML7'!AR151</f>
        <v>0.1</v>
      </c>
      <c r="AS151" s="213" t="n">
        <f aca="false">IF(A152="","",1/(1+CHOOSE(F$3,(AR152+($I$3/10000))/2,(AR151+($I$3/10000))/2))^(2*AQ151/365.25))</f>
        <v>3.41030066589544</v>
      </c>
      <c r="AT151" s="137" t="n">
        <f aca="false">IF(A152="","",IF(AND(mthbeg&lt;=A151,mthend&gt;=A151),1,0))</f>
        <v>1</v>
      </c>
      <c r="AU151" s="137" t="n">
        <f aca="false">IF(A152="","",AO151*AT151)</f>
        <v>31</v>
      </c>
      <c r="AW151" s="195" t="e">
        <f aca="false">IF($A152="","",AL151*$E151)</f>
        <v>#NAME?</v>
      </c>
      <c r="AX151" s="195" t="e">
        <f aca="false">IF($A152="","",AM151*$E151)</f>
        <v>#N/A</v>
      </c>
      <c r="AY151" s="195" t="e">
        <f aca="false">IF($A152="","",AN151*$E151)</f>
        <v>#N/A</v>
      </c>
      <c r="BA151" s="195" t="n">
        <f aca="false">IF($A152="","",F151*Summary!$Q$8)</f>
        <v>0</v>
      </c>
      <c r="BC151" s="179" t="e">
        <f aca="false">IF(A152="","",AM151*F151)</f>
        <v>#N/A</v>
      </c>
    </row>
    <row r="152" customFormat="false" ht="12.75" hidden="false" customHeight="false" outlineLevel="0" collapsed="false">
      <c r="A152" s="196" t="n">
        <f aca="false">IF(A151&lt;mthend,EDATE(A151,1),"")</f>
        <v>41365</v>
      </c>
      <c r="B152" s="197" t="n">
        <f aca="false">IF(A152&lt;mthend,B151,0)</f>
        <v>80000</v>
      </c>
      <c r="C152" s="215"/>
      <c r="D152" s="197" t="n">
        <f aca="false">IF(A153&lt;&gt;"",B152+C152,"")</f>
        <v>80000</v>
      </c>
      <c r="E152" s="199" t="n">
        <f aca="false">IF(A153="","",IF(AND(AT152=1,$H$3=1),D152*AO152,IF($H$3=2,D152,"N/A")))</f>
        <v>2400000</v>
      </c>
      <c r="F152" s="199" t="n">
        <f aca="false">IF(A153="","",E152*AS152)</f>
        <v>8117215.89119842</v>
      </c>
      <c r="G152" s="200" t="e">
        <f aca="false">IF($A153="","",VLOOKUP($A152,Table,MATCH(G$4,Curves,0)))</f>
        <v>#N/A</v>
      </c>
      <c r="H152" s="201" t="e">
        <f aca="false">IF(A153="","",G152)</f>
        <v>#N/A</v>
      </c>
      <c r="I152" s="202"/>
      <c r="J152" s="200" t="e">
        <f aca="false">IF($A153="","",VLOOKUP($A152,Table,MATCH(J$4,Curves,0)))</f>
        <v>#N/A</v>
      </c>
      <c r="K152" s="201" t="e">
        <f aca="false">IF(A153="","",J152)</f>
        <v>#N/A</v>
      </c>
      <c r="L152" s="200" t="e">
        <f aca="false">IF($A153="","",VLOOKUP($A152,Table,MATCH(L$4,Curves,0)))</f>
        <v>#N/A</v>
      </c>
      <c r="M152" s="201" t="e">
        <f aca="false">IF(A153="","",L152)</f>
        <v>#N/A</v>
      </c>
      <c r="N152" s="203"/>
      <c r="O152" s="200" t="e">
        <f aca="false">IF(A153="","",L152+J152+G152)</f>
        <v>#N/A</v>
      </c>
      <c r="P152" s="200" t="e">
        <f aca="false">IF(A153="","",M152+K152+H152)</f>
        <v>#N/A</v>
      </c>
      <c r="Q152" s="204"/>
      <c r="R152" s="200" t="e">
        <f aca="false">IF($A153="","",VLOOKUP($A152,Table,MATCH(R$4,Curves,0)))</f>
        <v>#N/A</v>
      </c>
      <c r="S152" s="201" t="e">
        <f aca="false">IF(A153="","",R152)</f>
        <v>#N/A</v>
      </c>
      <c r="T152" s="200" t="e">
        <f aca="false">IF($A153="","",VLOOKUP($A152,Table,MATCH(T$4,Curves,0)))</f>
        <v>#N/A</v>
      </c>
      <c r="U152" s="201" t="e">
        <f aca="false">IF(A153="","",T152)</f>
        <v>#N/A</v>
      </c>
      <c r="V152" s="183" t="e">
        <f aca="false">IF($A153="","",IF(AND(MONTH(A152)&gt;3,MONTH(A152)&lt;11),(T152+R152+G152)*Summary!$T$8/(1-Summary!$T$8),(T152+R152+G152)*Summary!$U$8/(1-Summary!$U$8)))</f>
        <v>#N/A</v>
      </c>
      <c r="W152" s="200" t="e">
        <f aca="false">IF($A153="","",(T152+R152+G152+V152))</f>
        <v>#N/A</v>
      </c>
      <c r="X152" s="200" t="e">
        <f aca="false">IF($A153="","",(U152+S152+H152+V152))</f>
        <v>#N/A</v>
      </c>
      <c r="Y152" s="202"/>
      <c r="Z152" s="185" t="e">
        <f aca="false">IF($A153="","",VLOOKUP($A152,Table,MATCH(Z$4,Curves,0)))</f>
        <v>#N/A</v>
      </c>
      <c r="AA152" s="185" t="e">
        <f aca="false">IF($A153="","",VLOOKUP($A152,Table,MATCH(AA$4,Curves,0)))</f>
        <v>#N/A</v>
      </c>
      <c r="AB152" s="185" t="e">
        <f aca="false">SQRT((AA152^2*(A152-$D$3)+Z152^2*(DAY(EOMONTH(A152,0))/2))/AK152)</f>
        <v>#N/A</v>
      </c>
      <c r="AC152" s="185" t="e">
        <f aca="false">IF($A153="","",VLOOKUP($A152,Table,MATCH(AC$4,Curves,0)))</f>
        <v>#N/A</v>
      </c>
      <c r="AD152" s="185" t="e">
        <f aca="false">IF($A153="","",VLOOKUP($A152,Table,MATCH(AD$4,Curves,0)))</f>
        <v>#N/A</v>
      </c>
      <c r="AE152" s="185" t="e">
        <f aca="false">SQRT((AD152^2*(A152-$D$3)+AC152^2*(DAY(EOMONTH(A152,0))/2))/AK152)</f>
        <v>#N/A</v>
      </c>
      <c r="AF152" s="224" t="e">
        <f aca="false">((Summary!$N$8*(AA152*AD152)*(A152-$D$3))+(Summary!$M$8*Z152*AC152*(AJ152-EOMONTH(EDATE(A152,-1),0))))/(AK152*AB152*AE152)</f>
        <v>#N/A</v>
      </c>
      <c r="AG152" s="207" t="n">
        <f aca="false">IF($A153="","",Summary!$Q$8)</f>
        <v>0</v>
      </c>
      <c r="AH152" s="207" t="n">
        <f aca="false">IF($A153="","",IF(Summary!$R$8="Y",(VLOOKUP($A152,Summary!$AD$6:$AF$9,3)+'Escalating commodity'!D165),'Escalating commodity'!D165))</f>
        <v>0.0200232</v>
      </c>
      <c r="AI152" s="207" t="n">
        <f aca="false">IF($A153="","",AH152)</f>
        <v>0.0200232</v>
      </c>
      <c r="AJ152" s="208" t="n">
        <f aca="false">A152+DAY(EOMONTH(A152,0))/2-1</f>
        <v>41379</v>
      </c>
      <c r="AK152" s="209" t="n">
        <f aca="false">IF($A153="","",$A152-$E$1)</f>
        <v>-4561</v>
      </c>
      <c r="AL152" s="182" t="e">
        <f aca="false">IF($A153="","",SPRDOPT(P152,X152,AI152,0,AB152,AE152,AF152,AK152,$AJ$2,0))</f>
        <v>#NAME?</v>
      </c>
      <c r="AM152" s="211" t="e">
        <f aca="false">IF($A153="","",MAX(0,O152-W152-AI152))</f>
        <v>#N/A</v>
      </c>
      <c r="AN152" s="211" t="e">
        <f aca="false">IF($A153="","",AL152-AM152)</f>
        <v>#N/A</v>
      </c>
      <c r="AO152" s="137" t="n">
        <f aca="false">IF(A153="","",A153-A152)</f>
        <v>30</v>
      </c>
      <c r="AP152" s="212" t="n">
        <f aca="false">IF(A153="","",CHOOSE(F$3,A153+24,A152))</f>
        <v>41365</v>
      </c>
      <c r="AQ152" s="209" t="n">
        <f aca="false">IF(A153="","",AP152-$E$1)</f>
        <v>-4561</v>
      </c>
      <c r="AR152" s="185" t="n">
        <f aca="false">'ANR OK vs ML7'!AR152</f>
        <v>0.1</v>
      </c>
      <c r="AS152" s="213" t="n">
        <f aca="false">IF(A153="","",1/(1+CHOOSE(F$3,(AR153+($I$3/10000))/2,(AR152+($I$3/10000))/2))^(2*AQ152/365.25))</f>
        <v>3.38217328799934</v>
      </c>
      <c r="AT152" s="137" t="n">
        <f aca="false">IF(A153="","",IF(AND(mthbeg&lt;=A152,mthend&gt;=A152),1,0))</f>
        <v>1</v>
      </c>
      <c r="AU152" s="137" t="n">
        <f aca="false">IF(A153="","",AO152*AT152)</f>
        <v>30</v>
      </c>
      <c r="AW152" s="195" t="e">
        <f aca="false">IF($A153="","",AL152*$E152)</f>
        <v>#NAME?</v>
      </c>
      <c r="AX152" s="195" t="e">
        <f aca="false">IF($A153="","",AM152*$E152)</f>
        <v>#N/A</v>
      </c>
      <c r="AY152" s="195" t="e">
        <f aca="false">IF($A153="","",AN152*$E152)</f>
        <v>#N/A</v>
      </c>
      <c r="BA152" s="195" t="n">
        <f aca="false">IF($A153="","",F152*Summary!$Q$8)</f>
        <v>0</v>
      </c>
      <c r="BC152" s="179" t="e">
        <f aca="false">IF(A153="","",AM152*F152)</f>
        <v>#N/A</v>
      </c>
    </row>
    <row r="153" customFormat="false" ht="12.75" hidden="false" customHeight="false" outlineLevel="0" collapsed="false">
      <c r="A153" s="196" t="n">
        <f aca="false">IF(A152&lt;mthend,EDATE(A152,1),"")</f>
        <v>41395</v>
      </c>
      <c r="B153" s="197" t="n">
        <f aca="false">IF(A153&lt;mthend,B152,0)</f>
        <v>80000</v>
      </c>
      <c r="C153" s="215"/>
      <c r="D153" s="197" t="n">
        <f aca="false">IF(A154&lt;&gt;"",B153+C153,"")</f>
        <v>80000</v>
      </c>
      <c r="E153" s="199" t="n">
        <f aca="false">IF(A154="","",IF(AND(AT153=1,$H$3=1),D153*AO153,IF($H$3=2,D153,"N/A")))</f>
        <v>2480000</v>
      </c>
      <c r="F153" s="199" t="n">
        <f aca="false">IF(A154="","",E153*AS153)</f>
        <v>8320831.88737739</v>
      </c>
      <c r="G153" s="200" t="e">
        <f aca="false">IF($A154="","",VLOOKUP($A153,Table,MATCH(G$4,Curves,0)))</f>
        <v>#N/A</v>
      </c>
      <c r="H153" s="201" t="e">
        <f aca="false">IF(A154="","",G153)</f>
        <v>#N/A</v>
      </c>
      <c r="I153" s="202"/>
      <c r="J153" s="200" t="e">
        <f aca="false">IF($A154="","",VLOOKUP($A153,Table,MATCH(J$4,Curves,0)))</f>
        <v>#N/A</v>
      </c>
      <c r="K153" s="201" t="e">
        <f aca="false">IF(A154="","",J153)</f>
        <v>#N/A</v>
      </c>
      <c r="L153" s="200" t="e">
        <f aca="false">IF($A154="","",VLOOKUP($A153,Table,MATCH(L$4,Curves,0)))</f>
        <v>#N/A</v>
      </c>
      <c r="M153" s="201" t="e">
        <f aca="false">IF(A154="","",L153)</f>
        <v>#N/A</v>
      </c>
      <c r="N153" s="203"/>
      <c r="O153" s="200" t="e">
        <f aca="false">IF(A154="","",L153+J153+G153)</f>
        <v>#N/A</v>
      </c>
      <c r="P153" s="200" t="e">
        <f aca="false">IF(A154="","",M153+K153+H153)</f>
        <v>#N/A</v>
      </c>
      <c r="Q153" s="204"/>
      <c r="R153" s="200" t="e">
        <f aca="false">IF($A154="","",VLOOKUP($A153,Table,MATCH(R$4,Curves,0)))</f>
        <v>#N/A</v>
      </c>
      <c r="S153" s="201" t="e">
        <f aca="false">IF(A154="","",R153)</f>
        <v>#N/A</v>
      </c>
      <c r="T153" s="200" t="e">
        <f aca="false">IF($A154="","",VLOOKUP($A153,Table,MATCH(T$4,Curves,0)))</f>
        <v>#N/A</v>
      </c>
      <c r="U153" s="201" t="e">
        <f aca="false">IF(A154="","",T153)</f>
        <v>#N/A</v>
      </c>
      <c r="V153" s="183" t="e">
        <f aca="false">IF($A154="","",IF(AND(MONTH(A153)&gt;3,MONTH(A153)&lt;11),(T153+R153+G153)*Summary!$T$8/(1-Summary!$T$8),(T153+R153+G153)*Summary!$U$8/(1-Summary!$U$8)))</f>
        <v>#N/A</v>
      </c>
      <c r="W153" s="200" t="e">
        <f aca="false">IF($A154="","",(T153+R153+G153+V153))</f>
        <v>#N/A</v>
      </c>
      <c r="X153" s="200" t="e">
        <f aca="false">IF($A154="","",(U153+S153+H153+V153))</f>
        <v>#N/A</v>
      </c>
      <c r="Y153" s="202"/>
      <c r="Z153" s="185" t="e">
        <f aca="false">IF($A154="","",VLOOKUP($A153,Table,MATCH(Z$4,Curves,0)))</f>
        <v>#N/A</v>
      </c>
      <c r="AA153" s="185" t="e">
        <f aca="false">IF($A154="","",VLOOKUP($A153,Table,MATCH(AA$4,Curves,0)))</f>
        <v>#N/A</v>
      </c>
      <c r="AB153" s="185" t="e">
        <f aca="false">SQRT((AA153^2*(A153-$D$3)+Z153^2*(DAY(EOMONTH(A153,0))/2))/AK153)</f>
        <v>#N/A</v>
      </c>
      <c r="AC153" s="185" t="e">
        <f aca="false">IF($A154="","",VLOOKUP($A153,Table,MATCH(AC$4,Curves,0)))</f>
        <v>#N/A</v>
      </c>
      <c r="AD153" s="185" t="e">
        <f aca="false">IF($A154="","",VLOOKUP($A153,Table,MATCH(AD$4,Curves,0)))</f>
        <v>#N/A</v>
      </c>
      <c r="AE153" s="185" t="e">
        <f aca="false">SQRT((AD153^2*(A153-$D$3)+AC153^2*(DAY(EOMONTH(A153,0))/2))/AK153)</f>
        <v>#N/A</v>
      </c>
      <c r="AF153" s="224" t="e">
        <f aca="false">((Summary!$N$8*(AA153*AD153)*(A153-$D$3))+(Summary!$M$8*Z153*AC153*(AJ153-EOMONTH(EDATE(A153,-1),0))))/(AK153*AB153*AE153)</f>
        <v>#N/A</v>
      </c>
      <c r="AG153" s="207" t="n">
        <f aca="false">IF($A154="","",Summary!$Q$8)</f>
        <v>0</v>
      </c>
      <c r="AH153" s="207" t="n">
        <f aca="false">IF($A154="","",IF(Summary!$R$8="Y",(VLOOKUP($A153,Summary!$AD$6:$AF$9,3)+'Escalating commodity'!D166),'Escalating commodity'!D166))</f>
        <v>0.0200232</v>
      </c>
      <c r="AI153" s="207" t="n">
        <f aca="false">IF($A154="","",AH153)</f>
        <v>0.0200232</v>
      </c>
      <c r="AJ153" s="208" t="n">
        <f aca="false">A153+DAY(EOMONTH(A153,0))/2-1</f>
        <v>41409.5</v>
      </c>
      <c r="AK153" s="209" t="n">
        <f aca="false">IF($A154="","",$A153-$E$1)</f>
        <v>-4531</v>
      </c>
      <c r="AL153" s="182" t="e">
        <f aca="false">IF($A154="","",SPRDOPT(P153,X153,AI153,0,AB153,AE153,AF153,AK153,$AJ$2,0))</f>
        <v>#NAME?</v>
      </c>
      <c r="AM153" s="211" t="e">
        <f aca="false">IF($A154="","",MAX(0,O153-W153-AI153))</f>
        <v>#N/A</v>
      </c>
      <c r="AN153" s="211" t="e">
        <f aca="false">IF($A154="","",AL153-AM153)</f>
        <v>#N/A</v>
      </c>
      <c r="AO153" s="137" t="n">
        <f aca="false">IF(A154="","",A154-A153)</f>
        <v>31</v>
      </c>
      <c r="AP153" s="212" t="n">
        <f aca="false">IF(A154="","",CHOOSE(F$3,A154+24,A153))</f>
        <v>41395</v>
      </c>
      <c r="AQ153" s="209" t="n">
        <f aca="false">IF(A154="","",AP153-$E$1)</f>
        <v>-4531</v>
      </c>
      <c r="AR153" s="185" t="n">
        <f aca="false">'ANR OK vs ML7'!AR153</f>
        <v>0.1</v>
      </c>
      <c r="AS153" s="213" t="n">
        <f aca="false">IF(A154="","",1/(1+CHOOSE(F$3,(AR154+($I$3/10000))/2,(AR153+($I$3/10000))/2))^(2*AQ153/365.25))</f>
        <v>3.35517414813605</v>
      </c>
      <c r="AT153" s="137" t="n">
        <f aca="false">IF(A154="","",IF(AND(mthbeg&lt;=A153,mthend&gt;=A153),1,0))</f>
        <v>1</v>
      </c>
      <c r="AU153" s="137" t="n">
        <f aca="false">IF(A154="","",AO153*AT153)</f>
        <v>31</v>
      </c>
      <c r="AW153" s="195" t="e">
        <f aca="false">IF($A154="","",AL153*$E153)</f>
        <v>#NAME?</v>
      </c>
      <c r="AX153" s="195" t="e">
        <f aca="false">IF($A154="","",AM153*$E153)</f>
        <v>#N/A</v>
      </c>
      <c r="AY153" s="195" t="e">
        <f aca="false">IF($A154="","",AN153*$E153)</f>
        <v>#N/A</v>
      </c>
      <c r="BA153" s="195" t="n">
        <f aca="false">IF($A154="","",F153*Summary!$Q$8)</f>
        <v>0</v>
      </c>
      <c r="BC153" s="179" t="e">
        <f aca="false">IF(A154="","",AM153*F153)</f>
        <v>#N/A</v>
      </c>
    </row>
    <row r="154" customFormat="false" ht="12.75" hidden="false" customHeight="false" outlineLevel="0" collapsed="false">
      <c r="A154" s="196" t="n">
        <f aca="false">IF(A153&lt;mthend,EDATE(A153,1),"")</f>
        <v>41426</v>
      </c>
      <c r="B154" s="197" t="n">
        <f aca="false">IF(A154&lt;mthend,B153,0)</f>
        <v>80000</v>
      </c>
      <c r="C154" s="215"/>
      <c r="D154" s="197" t="n">
        <f aca="false">IF(A155&lt;&gt;"",B154+C154,"")</f>
        <v>80000</v>
      </c>
      <c r="E154" s="199" t="n">
        <f aca="false">IF(A155="","",IF(AND(AT154=1,$H$3=1),D154*AO154,IF($H$3=2,D154,"N/A")))</f>
        <v>2400000</v>
      </c>
      <c r="F154" s="199" t="n">
        <f aca="false">IF(A155="","",E154*AS154)</f>
        <v>7986003.45868245</v>
      </c>
      <c r="G154" s="200" t="e">
        <f aca="false">IF($A155="","",VLOOKUP($A154,Table,MATCH(G$4,Curves,0)))</f>
        <v>#N/A</v>
      </c>
      <c r="H154" s="201" t="e">
        <f aca="false">IF(A155="","",G154)</f>
        <v>#N/A</v>
      </c>
      <c r="I154" s="202"/>
      <c r="J154" s="200" t="e">
        <f aca="false">IF($A155="","",VLOOKUP($A154,Table,MATCH(J$4,Curves,0)))</f>
        <v>#N/A</v>
      </c>
      <c r="K154" s="201" t="e">
        <f aca="false">IF(A155="","",J154)</f>
        <v>#N/A</v>
      </c>
      <c r="L154" s="200" t="e">
        <f aca="false">IF($A155="","",VLOOKUP($A154,Table,MATCH(L$4,Curves,0)))</f>
        <v>#N/A</v>
      </c>
      <c r="M154" s="201" t="e">
        <f aca="false">IF(A155="","",L154)</f>
        <v>#N/A</v>
      </c>
      <c r="N154" s="203"/>
      <c r="O154" s="200" t="e">
        <f aca="false">IF(A155="","",L154+J154+G154)</f>
        <v>#N/A</v>
      </c>
      <c r="P154" s="200" t="e">
        <f aca="false">IF(A155="","",M154+K154+H154)</f>
        <v>#N/A</v>
      </c>
      <c r="Q154" s="204"/>
      <c r="R154" s="200" t="e">
        <f aca="false">IF($A155="","",VLOOKUP($A154,Table,MATCH(R$4,Curves,0)))</f>
        <v>#N/A</v>
      </c>
      <c r="S154" s="201" t="e">
        <f aca="false">IF(A155="","",R154)</f>
        <v>#N/A</v>
      </c>
      <c r="T154" s="200" t="e">
        <f aca="false">IF($A155="","",VLOOKUP($A154,Table,MATCH(T$4,Curves,0)))</f>
        <v>#N/A</v>
      </c>
      <c r="U154" s="201" t="e">
        <f aca="false">IF(A155="","",T154)</f>
        <v>#N/A</v>
      </c>
      <c r="V154" s="183" t="e">
        <f aca="false">IF($A155="","",IF(AND(MONTH(A154)&gt;3,MONTH(A154)&lt;11),(T154+R154+G154)*Summary!$T$8/(1-Summary!$T$8),(T154+R154+G154)*Summary!$U$8/(1-Summary!$U$8)))</f>
        <v>#N/A</v>
      </c>
      <c r="W154" s="200" t="e">
        <f aca="false">IF($A155="","",(T154+R154+G154+V154))</f>
        <v>#N/A</v>
      </c>
      <c r="X154" s="200" t="e">
        <f aca="false">IF($A155="","",(U154+S154+H154+V154))</f>
        <v>#N/A</v>
      </c>
      <c r="Y154" s="202"/>
      <c r="Z154" s="185" t="e">
        <f aca="false">IF($A155="","",VLOOKUP($A154,Table,MATCH(Z$4,Curves,0)))</f>
        <v>#N/A</v>
      </c>
      <c r="AA154" s="185" t="e">
        <f aca="false">IF($A155="","",VLOOKUP($A154,Table,MATCH(AA$4,Curves,0)))</f>
        <v>#N/A</v>
      </c>
      <c r="AB154" s="185" t="e">
        <f aca="false">SQRT((AA154^2*(A154-$D$3)+Z154^2*(DAY(EOMONTH(A154,0))/2))/AK154)</f>
        <v>#N/A</v>
      </c>
      <c r="AC154" s="185" t="e">
        <f aca="false">IF($A155="","",VLOOKUP($A154,Table,MATCH(AC$4,Curves,0)))</f>
        <v>#N/A</v>
      </c>
      <c r="AD154" s="185" t="e">
        <f aca="false">IF($A155="","",VLOOKUP($A154,Table,MATCH(AD$4,Curves,0)))</f>
        <v>#N/A</v>
      </c>
      <c r="AE154" s="185" t="e">
        <f aca="false">SQRT((AD154^2*(A154-$D$3)+AC154^2*(DAY(EOMONTH(A154,0))/2))/AK154)</f>
        <v>#N/A</v>
      </c>
      <c r="AF154" s="224" t="e">
        <f aca="false">((Summary!$N$8*(AA154*AD154)*(A154-$D$3))+(Summary!$M$8*Z154*AC154*(AJ154-EOMONTH(EDATE(A154,-1),0))))/(AK154*AB154*AE154)</f>
        <v>#N/A</v>
      </c>
      <c r="AG154" s="207" t="n">
        <f aca="false">IF($A155="","",Summary!$Q$8)</f>
        <v>0</v>
      </c>
      <c r="AH154" s="207" t="n">
        <f aca="false">IF($A155="","",IF(Summary!$R$8="Y",(VLOOKUP($A154,Summary!$AD$6:$AF$9,3)+'Escalating commodity'!D167),'Escalating commodity'!D167))</f>
        <v>0.0200232</v>
      </c>
      <c r="AI154" s="207" t="n">
        <f aca="false">IF($A155="","",AH154)</f>
        <v>0.0200232</v>
      </c>
      <c r="AJ154" s="208" t="n">
        <f aca="false">A154+DAY(EOMONTH(A154,0))/2-1</f>
        <v>41440</v>
      </c>
      <c r="AK154" s="209" t="n">
        <f aca="false">IF($A155="","",$A154-$E$1)</f>
        <v>-4500</v>
      </c>
      <c r="AL154" s="182" t="e">
        <f aca="false">IF($A155="","",SPRDOPT(P154,X154,AI154,0,AB154,AE154,AF154,AK154,$AJ$2,0))</f>
        <v>#NAME?</v>
      </c>
      <c r="AM154" s="211" t="e">
        <f aca="false">IF($A155="","",MAX(0,O154-W154-AI154))</f>
        <v>#N/A</v>
      </c>
      <c r="AN154" s="211" t="e">
        <f aca="false">IF($A155="","",AL154-AM154)</f>
        <v>#N/A</v>
      </c>
      <c r="AO154" s="137" t="n">
        <f aca="false">IF(A155="","",A155-A154)</f>
        <v>30</v>
      </c>
      <c r="AP154" s="212" t="n">
        <f aca="false">IF(A155="","",CHOOSE(F$3,A155+24,A154))</f>
        <v>41426</v>
      </c>
      <c r="AQ154" s="209" t="n">
        <f aca="false">IF(A155="","",AP154-$E$1)</f>
        <v>-4500</v>
      </c>
      <c r="AR154" s="185" t="n">
        <f aca="false">'ANR OK vs ML7'!AR154</f>
        <v>0.1</v>
      </c>
      <c r="AS154" s="213" t="n">
        <f aca="false">IF(A155="","",1/(1+CHOOSE(F$3,(AR155+($I$3/10000))/2,(AR154+($I$3/10000))/2))^(2*AQ154/365.25))</f>
        <v>3.32750144111769</v>
      </c>
      <c r="AT154" s="137" t="n">
        <f aca="false">IF(A155="","",IF(AND(mthbeg&lt;=A154,mthend&gt;=A154),1,0))</f>
        <v>1</v>
      </c>
      <c r="AU154" s="137" t="n">
        <f aca="false">IF(A155="","",AO154*AT154)</f>
        <v>30</v>
      </c>
      <c r="AW154" s="195" t="e">
        <f aca="false">IF($A155="","",AL154*$E154)</f>
        <v>#NAME?</v>
      </c>
      <c r="AX154" s="195" t="e">
        <f aca="false">IF($A155="","",AM154*$E154)</f>
        <v>#N/A</v>
      </c>
      <c r="AY154" s="195" t="e">
        <f aca="false">IF($A155="","",AN154*$E154)</f>
        <v>#N/A</v>
      </c>
      <c r="BA154" s="195" t="n">
        <f aca="false">IF($A155="","",F154*Summary!$Q$8)</f>
        <v>0</v>
      </c>
      <c r="BC154" s="179" t="e">
        <f aca="false">IF(A155="","",AM154*F154)</f>
        <v>#N/A</v>
      </c>
    </row>
    <row r="155" customFormat="false" ht="12.75" hidden="false" customHeight="false" outlineLevel="0" collapsed="false">
      <c r="A155" s="196" t="n">
        <f aca="false">IF(A154&lt;mthend,EDATE(A154,1),"")</f>
        <v>41456</v>
      </c>
      <c r="B155" s="197" t="n">
        <f aca="false">IF(A155&lt;mthend,B154,0)</f>
        <v>80000</v>
      </c>
      <c r="C155" s="215"/>
      <c r="D155" s="197" t="n">
        <f aca="false">IF(A156&lt;&gt;"",B155+C155,"")</f>
        <v>80000</v>
      </c>
      <c r="E155" s="199" t="n">
        <f aca="false">IF(A156="","",IF(AND(AT155=1,$H$3=1),D155*AO155,IF($H$3=2,D155,"N/A")))</f>
        <v>2480000</v>
      </c>
      <c r="F155" s="199" t="n">
        <f aca="false">IF(A156="","",E155*AS155)</f>
        <v>8186328.06154185</v>
      </c>
      <c r="G155" s="200" t="e">
        <f aca="false">IF($A156="","",VLOOKUP($A155,Table,MATCH(G$4,Curves,0)))</f>
        <v>#N/A</v>
      </c>
      <c r="H155" s="201" t="e">
        <f aca="false">IF(A156="","",G155)</f>
        <v>#N/A</v>
      </c>
      <c r="I155" s="202"/>
      <c r="J155" s="200" t="e">
        <f aca="false">IF($A156="","",VLOOKUP($A155,Table,MATCH(J$4,Curves,0)))</f>
        <v>#N/A</v>
      </c>
      <c r="K155" s="201" t="e">
        <f aca="false">IF(A156="","",J155)</f>
        <v>#N/A</v>
      </c>
      <c r="L155" s="200" t="e">
        <f aca="false">IF($A156="","",VLOOKUP($A155,Table,MATCH(L$4,Curves,0)))</f>
        <v>#N/A</v>
      </c>
      <c r="M155" s="201" t="e">
        <f aca="false">IF(A156="","",L155)</f>
        <v>#N/A</v>
      </c>
      <c r="N155" s="203"/>
      <c r="O155" s="200" t="e">
        <f aca="false">IF(A156="","",L155+J155+G155)</f>
        <v>#N/A</v>
      </c>
      <c r="P155" s="200" t="e">
        <f aca="false">IF(A156="","",M155+K155+H155)</f>
        <v>#N/A</v>
      </c>
      <c r="Q155" s="204"/>
      <c r="R155" s="200" t="e">
        <f aca="false">IF($A156="","",VLOOKUP($A155,Table,MATCH(R$4,Curves,0)))</f>
        <v>#N/A</v>
      </c>
      <c r="S155" s="201" t="e">
        <f aca="false">IF(A156="","",R155)</f>
        <v>#N/A</v>
      </c>
      <c r="T155" s="200" t="e">
        <f aca="false">IF($A156="","",VLOOKUP($A155,Table,MATCH(T$4,Curves,0)))</f>
        <v>#N/A</v>
      </c>
      <c r="U155" s="201" t="e">
        <f aca="false">IF(A156="","",T155)</f>
        <v>#N/A</v>
      </c>
      <c r="V155" s="183" t="e">
        <f aca="false">IF($A156="","",IF(AND(MONTH(A155)&gt;3,MONTH(A155)&lt;11),(T155+R155+G155)*Summary!$T$8/(1-Summary!$T$8),(T155+R155+G155)*Summary!$U$8/(1-Summary!$U$8)))</f>
        <v>#N/A</v>
      </c>
      <c r="W155" s="200" t="e">
        <f aca="false">IF($A156="","",(T155+R155+G155+V155))</f>
        <v>#N/A</v>
      </c>
      <c r="X155" s="200" t="e">
        <f aca="false">IF($A156="","",(U155+S155+H155+V155))</f>
        <v>#N/A</v>
      </c>
      <c r="Y155" s="202"/>
      <c r="Z155" s="185" t="e">
        <f aca="false">IF($A156="","",VLOOKUP($A155,Table,MATCH(Z$4,Curves,0)))</f>
        <v>#N/A</v>
      </c>
      <c r="AA155" s="185" t="e">
        <f aca="false">IF($A156="","",VLOOKUP($A155,Table,MATCH(AA$4,Curves,0)))</f>
        <v>#N/A</v>
      </c>
      <c r="AB155" s="185" t="e">
        <f aca="false">SQRT((AA155^2*(A155-$D$3)+Z155^2*(DAY(EOMONTH(A155,0))/2))/AK155)</f>
        <v>#N/A</v>
      </c>
      <c r="AC155" s="185" t="e">
        <f aca="false">IF($A156="","",VLOOKUP($A155,Table,MATCH(AC$4,Curves,0)))</f>
        <v>#N/A</v>
      </c>
      <c r="AD155" s="185" t="e">
        <f aca="false">IF($A156="","",VLOOKUP($A155,Table,MATCH(AD$4,Curves,0)))</f>
        <v>#N/A</v>
      </c>
      <c r="AE155" s="185" t="e">
        <f aca="false">SQRT((AD155^2*(A155-$D$3)+AC155^2*(DAY(EOMONTH(A155,0))/2))/AK155)</f>
        <v>#N/A</v>
      </c>
      <c r="AF155" s="224" t="e">
        <f aca="false">((Summary!$N$8*(AA155*AD155)*(A155-$D$3))+(Summary!$M$8*Z155*AC155*(AJ155-EOMONTH(EDATE(A155,-1),0))))/(AK155*AB155*AE155)</f>
        <v>#N/A</v>
      </c>
      <c r="AG155" s="207" t="n">
        <f aca="false">IF($A156="","",Summary!$Q$8)</f>
        <v>0</v>
      </c>
      <c r="AH155" s="207" t="n">
        <f aca="false">IF($A156="","",IF(Summary!$R$8="Y",(VLOOKUP($A155,Summary!$AD$6:$AF$9,3)+'Escalating commodity'!D168),'Escalating commodity'!D168))</f>
        <v>0.0200232</v>
      </c>
      <c r="AI155" s="207" t="n">
        <f aca="false">IF($A156="","",AH155)</f>
        <v>0.0200232</v>
      </c>
      <c r="AJ155" s="208" t="n">
        <f aca="false">A155+DAY(EOMONTH(A155,0))/2-1</f>
        <v>41470.5</v>
      </c>
      <c r="AK155" s="209" t="n">
        <f aca="false">IF($A156="","",$A155-$E$1)</f>
        <v>-4470</v>
      </c>
      <c r="AL155" s="182" t="e">
        <f aca="false">IF($A156="","",SPRDOPT(P155,X155,AI155,0,AB155,AE155,AF155,AK155,$AJ$2,0))</f>
        <v>#NAME?</v>
      </c>
      <c r="AM155" s="211" t="e">
        <f aca="false">IF($A156="","",MAX(0,O155-W155-AI155))</f>
        <v>#N/A</v>
      </c>
      <c r="AN155" s="211" t="e">
        <f aca="false">IF($A156="","",AL155-AM155)</f>
        <v>#N/A</v>
      </c>
      <c r="AO155" s="137" t="n">
        <f aca="false">IF(A156="","",A156-A155)</f>
        <v>31</v>
      </c>
      <c r="AP155" s="212" t="n">
        <f aca="false">IF(A156="","",CHOOSE(F$3,A156+24,A155))</f>
        <v>41456</v>
      </c>
      <c r="AQ155" s="209" t="n">
        <f aca="false">IF(A156="","",AP155-$E$1)</f>
        <v>-4470</v>
      </c>
      <c r="AR155" s="185" t="n">
        <f aca="false">'ANR OK vs ML7'!AR155</f>
        <v>0.1</v>
      </c>
      <c r="AS155" s="213" t="n">
        <f aca="false">IF(A156="","",1/(1+CHOOSE(F$3,(AR156+($I$3/10000))/2,(AR155+($I$3/10000))/2))^(2*AQ155/365.25))</f>
        <v>3.30093873449268</v>
      </c>
      <c r="AT155" s="137" t="n">
        <f aca="false">IF(A156="","",IF(AND(mthbeg&lt;=A155,mthend&gt;=A155),1,0))</f>
        <v>1</v>
      </c>
      <c r="AU155" s="137" t="n">
        <f aca="false">IF(A156="","",AO155*AT155)</f>
        <v>31</v>
      </c>
      <c r="AW155" s="195" t="e">
        <f aca="false">IF($A156="","",AL155*$E155)</f>
        <v>#NAME?</v>
      </c>
      <c r="AX155" s="195" t="e">
        <f aca="false">IF($A156="","",AM155*$E155)</f>
        <v>#N/A</v>
      </c>
      <c r="AY155" s="195" t="e">
        <f aca="false">IF($A156="","",AN155*$E155)</f>
        <v>#N/A</v>
      </c>
      <c r="BA155" s="195" t="n">
        <f aca="false">IF($A156="","",F155*Summary!$Q$8)</f>
        <v>0</v>
      </c>
      <c r="BC155" s="179" t="e">
        <f aca="false">IF(A156="","",AM155*F155)</f>
        <v>#N/A</v>
      </c>
    </row>
    <row r="156" customFormat="false" ht="12.75" hidden="false" customHeight="false" outlineLevel="0" collapsed="false">
      <c r="A156" s="196" t="n">
        <f aca="false">IF(A155&lt;mthend,EDATE(A155,1),"")</f>
        <v>41487</v>
      </c>
      <c r="B156" s="197" t="n">
        <f aca="false">IF(A156&lt;mthend,B155,0)</f>
        <v>80000</v>
      </c>
      <c r="C156" s="215"/>
      <c r="D156" s="197" t="n">
        <f aca="false">IF(A157&lt;&gt;"",B156+C156,"")</f>
        <v>80000</v>
      </c>
      <c r="E156" s="199" t="n">
        <f aca="false">IF(A157="","",IF(AND(AT156=1,$H$3=1),D156*AO156,IF($H$3=2,D156,"N/A")))</f>
        <v>2480000</v>
      </c>
      <c r="F156" s="199" t="n">
        <f aca="false">IF(A157="","",E156*AS156)</f>
        <v>8118809.10484953</v>
      </c>
      <c r="G156" s="200" t="e">
        <f aca="false">IF($A157="","",VLOOKUP($A156,Table,MATCH(G$4,Curves,0)))</f>
        <v>#N/A</v>
      </c>
      <c r="H156" s="201" t="e">
        <f aca="false">IF(A157="","",G156)</f>
        <v>#N/A</v>
      </c>
      <c r="I156" s="202"/>
      <c r="J156" s="200" t="e">
        <f aca="false">IF($A157="","",VLOOKUP($A156,Table,MATCH(J$4,Curves,0)))</f>
        <v>#N/A</v>
      </c>
      <c r="K156" s="201" t="e">
        <f aca="false">IF(A157="","",J156)</f>
        <v>#N/A</v>
      </c>
      <c r="L156" s="200" t="e">
        <f aca="false">IF($A157="","",VLOOKUP($A156,Table,MATCH(L$4,Curves,0)))</f>
        <v>#N/A</v>
      </c>
      <c r="M156" s="201" t="e">
        <f aca="false">IF(A157="","",L156)</f>
        <v>#N/A</v>
      </c>
      <c r="N156" s="203"/>
      <c r="O156" s="200" t="e">
        <f aca="false">IF(A157="","",L156+J156+G156)</f>
        <v>#N/A</v>
      </c>
      <c r="P156" s="200" t="e">
        <f aca="false">IF(A157="","",M156+K156+H156)</f>
        <v>#N/A</v>
      </c>
      <c r="Q156" s="204"/>
      <c r="R156" s="200" t="e">
        <f aca="false">IF($A157="","",VLOOKUP($A156,Table,MATCH(R$4,Curves,0)))</f>
        <v>#N/A</v>
      </c>
      <c r="S156" s="201" t="e">
        <f aca="false">IF(A157="","",R156)</f>
        <v>#N/A</v>
      </c>
      <c r="T156" s="200" t="e">
        <f aca="false">IF($A157="","",VLOOKUP($A156,Table,MATCH(T$4,Curves,0)))</f>
        <v>#N/A</v>
      </c>
      <c r="U156" s="201" t="e">
        <f aca="false">IF(A157="","",T156)</f>
        <v>#N/A</v>
      </c>
      <c r="V156" s="183" t="e">
        <f aca="false">IF($A157="","",IF(AND(MONTH(A156)&gt;3,MONTH(A156)&lt;11),(T156+R156+G156)*Summary!$T$8/(1-Summary!$T$8),(T156+R156+G156)*Summary!$U$8/(1-Summary!$U$8)))</f>
        <v>#N/A</v>
      </c>
      <c r="W156" s="200" t="e">
        <f aca="false">IF($A157="","",(T156+R156+G156+V156))</f>
        <v>#N/A</v>
      </c>
      <c r="X156" s="200" t="e">
        <f aca="false">IF($A157="","",(U156+S156+H156+V156))</f>
        <v>#N/A</v>
      </c>
      <c r="Y156" s="202"/>
      <c r="Z156" s="185" t="e">
        <f aca="false">IF($A157="","",VLOOKUP($A156,Table,MATCH(Z$4,Curves,0)))</f>
        <v>#N/A</v>
      </c>
      <c r="AA156" s="185" t="e">
        <f aca="false">IF($A157="","",VLOOKUP($A156,Table,MATCH(AA$4,Curves,0)))</f>
        <v>#N/A</v>
      </c>
      <c r="AB156" s="185" t="e">
        <f aca="false">SQRT((AA156^2*(A156-$D$3)+Z156^2*(DAY(EOMONTH(A156,0))/2))/AK156)</f>
        <v>#N/A</v>
      </c>
      <c r="AC156" s="185" t="e">
        <f aca="false">IF($A157="","",VLOOKUP($A156,Table,MATCH(AC$4,Curves,0)))</f>
        <v>#N/A</v>
      </c>
      <c r="AD156" s="185" t="e">
        <f aca="false">IF($A157="","",VLOOKUP($A156,Table,MATCH(AD$4,Curves,0)))</f>
        <v>#N/A</v>
      </c>
      <c r="AE156" s="185" t="e">
        <f aca="false">SQRT((AD156^2*(A156-$D$3)+AC156^2*(DAY(EOMONTH(A156,0))/2))/AK156)</f>
        <v>#N/A</v>
      </c>
      <c r="AF156" s="224" t="e">
        <f aca="false">((Summary!$N$8*(AA156*AD156)*(A156-$D$3))+(Summary!$M$8*Z156*AC156*(AJ156-EOMONTH(EDATE(A156,-1),0))))/(AK156*AB156*AE156)</f>
        <v>#N/A</v>
      </c>
      <c r="AG156" s="207" t="n">
        <f aca="false">IF($A157="","",Summary!$Q$8)</f>
        <v>0</v>
      </c>
      <c r="AH156" s="207" t="n">
        <f aca="false">IF($A157="","",IF(Summary!$R$8="Y",(VLOOKUP($A156,Summary!$AD$6:$AF$9,3)+'Escalating commodity'!D169),'Escalating commodity'!D169))</f>
        <v>0.0200232</v>
      </c>
      <c r="AI156" s="207" t="n">
        <f aca="false">IF($A157="","",AH156)</f>
        <v>0.0200232</v>
      </c>
      <c r="AJ156" s="208" t="n">
        <f aca="false">A156+DAY(EOMONTH(A156,0))/2-1</f>
        <v>41501.5</v>
      </c>
      <c r="AK156" s="209" t="n">
        <f aca="false">IF($A157="","",$A156-$E$1)</f>
        <v>-4439</v>
      </c>
      <c r="AL156" s="182" t="e">
        <f aca="false">IF($A157="","",SPRDOPT(P156,X156,AI156,0,AB156,AE156,AF156,AK156,$AJ$2,0))</f>
        <v>#NAME?</v>
      </c>
      <c r="AM156" s="211" t="e">
        <f aca="false">IF($A157="","",MAX(0,O156-W156-AI156))</f>
        <v>#N/A</v>
      </c>
      <c r="AN156" s="211" t="e">
        <f aca="false">IF($A157="","",AL156-AM156)</f>
        <v>#N/A</v>
      </c>
      <c r="AO156" s="137" t="n">
        <f aca="false">IF(A157="","",A157-A156)</f>
        <v>31</v>
      </c>
      <c r="AP156" s="212" t="n">
        <f aca="false">IF(A157="","",CHOOSE(F$3,A157+24,A156))</f>
        <v>41487</v>
      </c>
      <c r="AQ156" s="209" t="n">
        <f aca="false">IF(A157="","",AP156-$E$1)</f>
        <v>-4439</v>
      </c>
      <c r="AR156" s="185" t="n">
        <f aca="false">'ANR OK vs ML7'!AR156</f>
        <v>0.1</v>
      </c>
      <c r="AS156" s="213" t="n">
        <f aca="false">IF(A157="","",1/(1+CHOOSE(F$3,(AR157+($I$3/10000))/2,(AR156+($I$3/10000))/2))^(2*AQ156/365.25))</f>
        <v>3.27371334872965</v>
      </c>
      <c r="AT156" s="137" t="n">
        <f aca="false">IF(A157="","",IF(AND(mthbeg&lt;=A156,mthend&gt;=A156),1,0))</f>
        <v>1</v>
      </c>
      <c r="AU156" s="137" t="n">
        <f aca="false">IF(A157="","",AO156*AT156)</f>
        <v>31</v>
      </c>
      <c r="AW156" s="195" t="e">
        <f aca="false">IF($A157="","",AL156*$E156)</f>
        <v>#NAME?</v>
      </c>
      <c r="AX156" s="195" t="e">
        <f aca="false">IF($A157="","",AM156*$E156)</f>
        <v>#N/A</v>
      </c>
      <c r="AY156" s="195" t="e">
        <f aca="false">IF($A157="","",AN156*$E156)</f>
        <v>#N/A</v>
      </c>
      <c r="BA156" s="195" t="n">
        <f aca="false">IF($A157="","",F156*Summary!$Q$8)</f>
        <v>0</v>
      </c>
      <c r="BC156" s="179" t="e">
        <f aca="false">IF(A157="","",AM156*F156)</f>
        <v>#N/A</v>
      </c>
    </row>
    <row r="157" customFormat="false" ht="12.75" hidden="false" customHeight="false" outlineLevel="0" collapsed="false">
      <c r="A157" s="196" t="n">
        <f aca="false">IF(A156&lt;mthend,EDATE(A156,1),"")</f>
        <v>41518</v>
      </c>
      <c r="B157" s="197" t="n">
        <f aca="false">IF(A157&lt;mthend,B156,0)</f>
        <v>80000</v>
      </c>
      <c r="C157" s="215"/>
      <c r="D157" s="197" t="n">
        <f aca="false">IF(A158&lt;&gt;"",B157+C157,"")</f>
        <v>80000</v>
      </c>
      <c r="E157" s="199" t="n">
        <f aca="false">IF(A158="","",IF(AND(AT157=1,$H$3=1),D157*AO157,IF($H$3=2,D157,"N/A")))</f>
        <v>2400000</v>
      </c>
      <c r="F157" s="199" t="n">
        <f aca="false">IF(A158="","",E157*AS157)</f>
        <v>7792110.02809319</v>
      </c>
      <c r="G157" s="200" t="e">
        <f aca="false">IF($A158="","",VLOOKUP($A157,Table,MATCH(G$4,Curves,0)))</f>
        <v>#N/A</v>
      </c>
      <c r="H157" s="201" t="e">
        <f aca="false">IF(A158="","",G157)</f>
        <v>#N/A</v>
      </c>
      <c r="I157" s="202"/>
      <c r="J157" s="200" t="e">
        <f aca="false">IF($A158="","",VLOOKUP($A157,Table,MATCH(J$4,Curves,0)))</f>
        <v>#N/A</v>
      </c>
      <c r="K157" s="201" t="e">
        <f aca="false">IF(A158="","",J157)</f>
        <v>#N/A</v>
      </c>
      <c r="L157" s="200" t="e">
        <f aca="false">IF($A158="","",VLOOKUP($A157,Table,MATCH(L$4,Curves,0)))</f>
        <v>#N/A</v>
      </c>
      <c r="M157" s="201" t="e">
        <f aca="false">IF(A158="","",L157)</f>
        <v>#N/A</v>
      </c>
      <c r="N157" s="203"/>
      <c r="O157" s="200" t="e">
        <f aca="false">IF(A158="","",L157+J157+G157)</f>
        <v>#N/A</v>
      </c>
      <c r="P157" s="200" t="e">
        <f aca="false">IF(A158="","",M157+K157+H157)</f>
        <v>#N/A</v>
      </c>
      <c r="Q157" s="204"/>
      <c r="R157" s="200" t="e">
        <f aca="false">IF($A158="","",VLOOKUP($A157,Table,MATCH(R$4,Curves,0)))</f>
        <v>#N/A</v>
      </c>
      <c r="S157" s="201" t="e">
        <f aca="false">IF(A158="","",R157)</f>
        <v>#N/A</v>
      </c>
      <c r="T157" s="200" t="e">
        <f aca="false">IF($A158="","",VLOOKUP($A157,Table,MATCH(T$4,Curves,0)))</f>
        <v>#N/A</v>
      </c>
      <c r="U157" s="201" t="e">
        <f aca="false">IF(A158="","",T157)</f>
        <v>#N/A</v>
      </c>
      <c r="V157" s="183" t="e">
        <f aca="false">IF($A158="","",IF(AND(MONTH(A157)&gt;3,MONTH(A157)&lt;11),(T157+R157+G157)*Summary!$T$8/(1-Summary!$T$8),(T157+R157+G157)*Summary!$U$8/(1-Summary!$U$8)))</f>
        <v>#N/A</v>
      </c>
      <c r="W157" s="200" t="e">
        <f aca="false">IF($A158="","",(T157+R157+G157+V157))</f>
        <v>#N/A</v>
      </c>
      <c r="X157" s="200" t="e">
        <f aca="false">IF($A158="","",(U157+S157+H157+V157))</f>
        <v>#N/A</v>
      </c>
      <c r="Y157" s="202"/>
      <c r="Z157" s="185" t="e">
        <f aca="false">IF($A158="","",VLOOKUP($A157,Table,MATCH(Z$4,Curves,0)))</f>
        <v>#N/A</v>
      </c>
      <c r="AA157" s="185" t="e">
        <f aca="false">IF($A158="","",VLOOKUP($A157,Table,MATCH(AA$4,Curves,0)))</f>
        <v>#N/A</v>
      </c>
      <c r="AB157" s="185" t="e">
        <f aca="false">SQRT((AA157^2*(A157-$D$3)+Z157^2*(DAY(EOMONTH(A157,0))/2))/AK157)</f>
        <v>#N/A</v>
      </c>
      <c r="AC157" s="185" t="e">
        <f aca="false">IF($A158="","",VLOOKUP($A157,Table,MATCH(AC$4,Curves,0)))</f>
        <v>#N/A</v>
      </c>
      <c r="AD157" s="185" t="e">
        <f aca="false">IF($A158="","",VLOOKUP($A157,Table,MATCH(AD$4,Curves,0)))</f>
        <v>#N/A</v>
      </c>
      <c r="AE157" s="185" t="e">
        <f aca="false">SQRT((AD157^2*(A157-$D$3)+AC157^2*(DAY(EOMONTH(A157,0))/2))/AK157)</f>
        <v>#N/A</v>
      </c>
      <c r="AF157" s="224" t="e">
        <f aca="false">((Summary!$N$8*(AA157*AD157)*(A157-$D$3))+(Summary!$M$8*Z157*AC157*(AJ157-EOMONTH(EDATE(A157,-1),0))))/(AK157*AB157*AE157)</f>
        <v>#N/A</v>
      </c>
      <c r="AG157" s="207" t="n">
        <f aca="false">IF($A158="","",Summary!$Q$8)</f>
        <v>0</v>
      </c>
      <c r="AH157" s="207" t="n">
        <f aca="false">IF($A158="","",IF(Summary!$R$8="Y",(VLOOKUP($A157,Summary!$AD$6:$AF$9,3)+'Escalating commodity'!D170),'Escalating commodity'!D170))</f>
        <v>0.0200232</v>
      </c>
      <c r="AI157" s="207" t="n">
        <f aca="false">IF($A158="","",AH157)</f>
        <v>0.0200232</v>
      </c>
      <c r="AJ157" s="208" t="n">
        <f aca="false">A157+DAY(EOMONTH(A157,0))/2-1</f>
        <v>41532</v>
      </c>
      <c r="AK157" s="209" t="n">
        <f aca="false">IF($A158="","",$A157-$E$1)</f>
        <v>-4408</v>
      </c>
      <c r="AL157" s="182" t="e">
        <f aca="false">IF($A158="","",SPRDOPT(P157,X157,AI157,0,AB157,AE157,AF157,AK157,$AJ$2,0))</f>
        <v>#NAME?</v>
      </c>
      <c r="AM157" s="211" t="e">
        <f aca="false">IF($A158="","",MAX(0,O157-W157-AI157))</f>
        <v>#N/A</v>
      </c>
      <c r="AN157" s="211" t="e">
        <f aca="false">IF($A158="","",AL157-AM157)</f>
        <v>#N/A</v>
      </c>
      <c r="AO157" s="137" t="n">
        <f aca="false">IF(A158="","",A158-A157)</f>
        <v>30</v>
      </c>
      <c r="AP157" s="212" t="n">
        <f aca="false">IF(A158="","",CHOOSE(F$3,A158+24,A157))</f>
        <v>41518</v>
      </c>
      <c r="AQ157" s="209" t="n">
        <f aca="false">IF(A158="","",AP157-$E$1)</f>
        <v>-4408</v>
      </c>
      <c r="AR157" s="185" t="n">
        <f aca="false">'ANR OK vs ML7'!AR157</f>
        <v>0.1</v>
      </c>
      <c r="AS157" s="213" t="n">
        <f aca="false">IF(A158="","",1/(1+CHOOSE(F$3,(AR158+($I$3/10000))/2,(AR157+($I$3/10000))/2))^(2*AQ157/365.25))</f>
        <v>3.2467125117055</v>
      </c>
      <c r="AT157" s="137" t="n">
        <f aca="false">IF(A158="","",IF(AND(mthbeg&lt;=A157,mthend&gt;=A157),1,0))</f>
        <v>1</v>
      </c>
      <c r="AU157" s="137" t="n">
        <f aca="false">IF(A158="","",AO157*AT157)</f>
        <v>30</v>
      </c>
      <c r="AW157" s="195" t="e">
        <f aca="false">IF($A158="","",AL157*$E157)</f>
        <v>#NAME?</v>
      </c>
      <c r="AX157" s="195" t="e">
        <f aca="false">IF($A158="","",AM157*$E157)</f>
        <v>#N/A</v>
      </c>
      <c r="AY157" s="195" t="e">
        <f aca="false">IF($A158="","",AN157*$E157)</f>
        <v>#N/A</v>
      </c>
      <c r="BA157" s="195" t="n">
        <f aca="false">IF($A158="","",F157*Summary!$Q$8)</f>
        <v>0</v>
      </c>
      <c r="BC157" s="179" t="e">
        <f aca="false">IF(A158="","",AM157*F157)</f>
        <v>#N/A</v>
      </c>
    </row>
    <row r="158" customFormat="false" ht="12.75" hidden="false" customHeight="false" outlineLevel="0" collapsed="false">
      <c r="A158" s="196" t="n">
        <f aca="false">IF(A157&lt;mthend,EDATE(A157,1),"")</f>
        <v>41548</v>
      </c>
      <c r="B158" s="197" t="n">
        <f aca="false">IF(A158&lt;mthend,B157,0)</f>
        <v>80000</v>
      </c>
      <c r="C158" s="215"/>
      <c r="D158" s="197" t="n">
        <f aca="false">IF(A159&lt;&gt;"",B158+C158,"")</f>
        <v>80000</v>
      </c>
      <c r="E158" s="199" t="n">
        <f aca="false">IF(A159="","",IF(AND(AT158=1,$H$3=1),D158*AO158,IF($H$3=2,D158,"N/A")))</f>
        <v>2480000</v>
      </c>
      <c r="F158" s="199" t="n">
        <f aca="false">IF(A159="","",E158*AS158)</f>
        <v>7987570.91849856</v>
      </c>
      <c r="G158" s="200" t="e">
        <f aca="false">IF($A159="","",VLOOKUP($A158,Table,MATCH(G$4,Curves,0)))</f>
        <v>#N/A</v>
      </c>
      <c r="H158" s="201" t="e">
        <f aca="false">IF(A159="","",G158)</f>
        <v>#N/A</v>
      </c>
      <c r="I158" s="202"/>
      <c r="J158" s="200" t="e">
        <f aca="false">IF($A159="","",VLOOKUP($A158,Table,MATCH(J$4,Curves,0)))</f>
        <v>#N/A</v>
      </c>
      <c r="K158" s="201" t="e">
        <f aca="false">IF(A159="","",J158)</f>
        <v>#N/A</v>
      </c>
      <c r="L158" s="200" t="e">
        <f aca="false">IF($A159="","",VLOOKUP($A158,Table,MATCH(L$4,Curves,0)))</f>
        <v>#N/A</v>
      </c>
      <c r="M158" s="201" t="e">
        <f aca="false">IF(A159="","",L158)</f>
        <v>#N/A</v>
      </c>
      <c r="N158" s="203"/>
      <c r="O158" s="200" t="e">
        <f aca="false">IF(A159="","",L158+J158+G158)</f>
        <v>#N/A</v>
      </c>
      <c r="P158" s="200" t="e">
        <f aca="false">IF(A159="","",M158+K158+H158)</f>
        <v>#N/A</v>
      </c>
      <c r="Q158" s="204"/>
      <c r="R158" s="200" t="e">
        <f aca="false">IF($A159="","",VLOOKUP($A158,Table,MATCH(R$4,Curves,0)))</f>
        <v>#N/A</v>
      </c>
      <c r="S158" s="201" t="e">
        <f aca="false">IF(A159="","",R158)</f>
        <v>#N/A</v>
      </c>
      <c r="T158" s="200" t="e">
        <f aca="false">IF($A159="","",VLOOKUP($A158,Table,MATCH(T$4,Curves,0)))</f>
        <v>#N/A</v>
      </c>
      <c r="U158" s="201" t="e">
        <f aca="false">IF(A159="","",T158)</f>
        <v>#N/A</v>
      </c>
      <c r="V158" s="183" t="e">
        <f aca="false">IF($A159="","",IF(AND(MONTH(A158)&gt;3,MONTH(A158)&lt;11),(T158+R158+G158)*Summary!$T$8/(1-Summary!$T$8),(T158+R158+G158)*Summary!$U$8/(1-Summary!$U$8)))</f>
        <v>#N/A</v>
      </c>
      <c r="W158" s="200" t="e">
        <f aca="false">IF($A159="","",(T158+R158+G158+V158))</f>
        <v>#N/A</v>
      </c>
      <c r="X158" s="200" t="e">
        <f aca="false">IF($A159="","",(U158+S158+H158+V158))</f>
        <v>#N/A</v>
      </c>
      <c r="Y158" s="202"/>
      <c r="Z158" s="185" t="e">
        <f aca="false">IF($A159="","",VLOOKUP($A158,Table,MATCH(Z$4,Curves,0)))</f>
        <v>#N/A</v>
      </c>
      <c r="AA158" s="185" t="e">
        <f aca="false">IF($A159="","",VLOOKUP($A158,Table,MATCH(AA$4,Curves,0)))</f>
        <v>#N/A</v>
      </c>
      <c r="AB158" s="185" t="e">
        <f aca="false">SQRT((AA158^2*(A158-$D$3)+Z158^2*(DAY(EOMONTH(A158,0))/2))/AK158)</f>
        <v>#N/A</v>
      </c>
      <c r="AC158" s="185" t="e">
        <f aca="false">IF($A159="","",VLOOKUP($A158,Table,MATCH(AC$4,Curves,0)))</f>
        <v>#N/A</v>
      </c>
      <c r="AD158" s="185" t="e">
        <f aca="false">IF($A159="","",VLOOKUP($A158,Table,MATCH(AD$4,Curves,0)))</f>
        <v>#N/A</v>
      </c>
      <c r="AE158" s="185" t="e">
        <f aca="false">SQRT((AD158^2*(A158-$D$3)+AC158^2*(DAY(EOMONTH(A158,0))/2))/AK158)</f>
        <v>#N/A</v>
      </c>
      <c r="AF158" s="224" t="e">
        <f aca="false">((Summary!$N$8*(AA158*AD158)*(A158-$D$3))+(Summary!$M$8*Z158*AC158*(AJ158-EOMONTH(EDATE(A158,-1),0))))/(AK158*AB158*AE158)</f>
        <v>#N/A</v>
      </c>
      <c r="AG158" s="207" t="n">
        <f aca="false">IF($A159="","",Summary!$Q$8)</f>
        <v>0</v>
      </c>
      <c r="AH158" s="207" t="n">
        <f aca="false">IF($A159="","",IF(Summary!$R$8="Y",(VLOOKUP($A158,Summary!$AD$6:$AF$9,3)+'Escalating commodity'!D171),'Escalating commodity'!D171))</f>
        <v>0.0200232</v>
      </c>
      <c r="AI158" s="207" t="n">
        <f aca="false">IF($A159="","",AH158)</f>
        <v>0.0200232</v>
      </c>
      <c r="AJ158" s="208" t="n">
        <f aca="false">A158+DAY(EOMONTH(A158,0))/2-1</f>
        <v>41562.5</v>
      </c>
      <c r="AK158" s="209" t="n">
        <f aca="false">IF($A159="","",$A158-$E$1)</f>
        <v>-4378</v>
      </c>
      <c r="AL158" s="182" t="e">
        <f aca="false">IF($A159="","",SPRDOPT(P158,X158,AI158,0,AB158,AE158,AF158,AK158,$AJ$2,0))</f>
        <v>#NAME?</v>
      </c>
      <c r="AM158" s="211" t="e">
        <f aca="false">IF($A159="","",MAX(0,O158-W158-AI158))</f>
        <v>#N/A</v>
      </c>
      <c r="AN158" s="211" t="e">
        <f aca="false">IF($A159="","",AL158-AM158)</f>
        <v>#N/A</v>
      </c>
      <c r="AO158" s="137" t="n">
        <f aca="false">IF(A159="","",A159-A158)</f>
        <v>31</v>
      </c>
      <c r="AP158" s="212" t="n">
        <f aca="false">IF(A159="","",CHOOSE(F$3,A159+24,A158))</f>
        <v>41548</v>
      </c>
      <c r="AQ158" s="209" t="n">
        <f aca="false">IF(A159="","",AP158-$E$1)</f>
        <v>-4378</v>
      </c>
      <c r="AR158" s="185" t="n">
        <f aca="false">'ANR OK vs ML7'!AR158</f>
        <v>0.1</v>
      </c>
      <c r="AS158" s="213" t="n">
        <f aca="false">IF(A159="","",1/(1+CHOOSE(F$3,(AR159+($I$3/10000))/2,(AR158+($I$3/10000))/2))^(2*AQ158/365.25))</f>
        <v>3.22079472520103</v>
      </c>
      <c r="AT158" s="137" t="n">
        <f aca="false">IF(A159="","",IF(AND(mthbeg&lt;=A158,mthend&gt;=A158),1,0))</f>
        <v>1</v>
      </c>
      <c r="AU158" s="137" t="n">
        <f aca="false">IF(A159="","",AO158*AT158)</f>
        <v>31</v>
      </c>
      <c r="AW158" s="195" t="e">
        <f aca="false">IF($A159="","",AL158*$E158)</f>
        <v>#NAME?</v>
      </c>
      <c r="AX158" s="195" t="e">
        <f aca="false">IF($A159="","",AM158*$E158)</f>
        <v>#N/A</v>
      </c>
      <c r="AY158" s="195" t="e">
        <f aca="false">IF($A159="","",AN158*$E158)</f>
        <v>#N/A</v>
      </c>
      <c r="BA158" s="195" t="n">
        <f aca="false">IF($A159="","",F158*Summary!$Q$8)</f>
        <v>0</v>
      </c>
      <c r="BC158" s="179" t="e">
        <f aca="false">IF(A159="","",AM158*F158)</f>
        <v>#N/A</v>
      </c>
    </row>
    <row r="159" customFormat="false" ht="12.75" hidden="false" customHeight="false" outlineLevel="0" collapsed="false">
      <c r="A159" s="196" t="n">
        <f aca="false">IF(A158&lt;mthend,EDATE(A158,1),"")</f>
        <v>41579</v>
      </c>
      <c r="B159" s="197" t="n">
        <f aca="false">IF(A159&lt;mthend,B158,0)</f>
        <v>80000</v>
      </c>
      <c r="C159" s="215"/>
      <c r="D159" s="197" t="n">
        <f aca="false">IF(A160&lt;&gt;"",B159+C159,"")</f>
        <v>80000</v>
      </c>
      <c r="E159" s="199" t="n">
        <f aca="false">IF(A160="","",IF(AND(AT159=1,$H$3=1),D159*AO159,IF($H$3=2,D159,"N/A")))</f>
        <v>2400000</v>
      </c>
      <c r="F159" s="199" t="n">
        <f aca="false">IF(A160="","",E159*AS159)</f>
        <v>7666152.83723828</v>
      </c>
      <c r="G159" s="200" t="e">
        <f aca="false">IF($A160="","",VLOOKUP($A159,Table,MATCH(G$4,Curves,0)))</f>
        <v>#N/A</v>
      </c>
      <c r="H159" s="201" t="e">
        <f aca="false">IF(A160="","",G159)</f>
        <v>#N/A</v>
      </c>
      <c r="I159" s="202"/>
      <c r="J159" s="200" t="e">
        <f aca="false">IF($A160="","",VLOOKUP($A159,Table,MATCH(J$4,Curves,0)))</f>
        <v>#N/A</v>
      </c>
      <c r="K159" s="201" t="e">
        <f aca="false">IF(A160="","",J159)</f>
        <v>#N/A</v>
      </c>
      <c r="L159" s="200" t="e">
        <f aca="false">IF($A160="","",VLOOKUP($A159,Table,MATCH(L$4,Curves,0)))</f>
        <v>#N/A</v>
      </c>
      <c r="M159" s="201" t="e">
        <f aca="false">IF(A160="","",L159)</f>
        <v>#N/A</v>
      </c>
      <c r="N159" s="203"/>
      <c r="O159" s="200" t="e">
        <f aca="false">IF(A160="","",L159+J159+G159)</f>
        <v>#N/A</v>
      </c>
      <c r="P159" s="200" t="e">
        <f aca="false">IF(A160="","",M159+K159+H159)</f>
        <v>#N/A</v>
      </c>
      <c r="Q159" s="204"/>
      <c r="R159" s="200" t="e">
        <f aca="false">IF($A160="","",VLOOKUP($A159,Table,MATCH(R$4,Curves,0)))</f>
        <v>#N/A</v>
      </c>
      <c r="S159" s="201" t="e">
        <f aca="false">IF(A160="","",R159)</f>
        <v>#N/A</v>
      </c>
      <c r="T159" s="200" t="e">
        <f aca="false">IF($A160="","",VLOOKUP($A159,Table,MATCH(T$4,Curves,0)))</f>
        <v>#N/A</v>
      </c>
      <c r="U159" s="201" t="e">
        <f aca="false">IF(A160="","",T159)</f>
        <v>#N/A</v>
      </c>
      <c r="V159" s="183" t="e">
        <f aca="false">IF($A160="","",IF(AND(MONTH(A159)&gt;3,MONTH(A159)&lt;11),(T159+R159+G159)*Summary!$T$8/(1-Summary!$T$8),(T159+R159+G159)*Summary!$U$8/(1-Summary!$U$8)))</f>
        <v>#N/A</v>
      </c>
      <c r="W159" s="200" t="e">
        <f aca="false">IF($A160="","",(T159+R159+G159+V159))</f>
        <v>#N/A</v>
      </c>
      <c r="X159" s="200" t="e">
        <f aca="false">IF($A160="","",(U159+S159+H159+V159))</f>
        <v>#N/A</v>
      </c>
      <c r="Y159" s="202"/>
      <c r="Z159" s="185" t="e">
        <f aca="false">IF($A160="","",VLOOKUP($A159,Table,MATCH(Z$4,Curves,0)))</f>
        <v>#N/A</v>
      </c>
      <c r="AA159" s="185" t="e">
        <f aca="false">IF($A160="","",VLOOKUP($A159,Table,MATCH(AA$4,Curves,0)))</f>
        <v>#N/A</v>
      </c>
      <c r="AB159" s="185" t="e">
        <f aca="false">SQRT((AA159^2*(A159-$D$3)+Z159^2*(DAY(EOMONTH(A159,0))/2))/AK159)</f>
        <v>#N/A</v>
      </c>
      <c r="AC159" s="185" t="e">
        <f aca="false">IF($A160="","",VLOOKUP($A159,Table,MATCH(AC$4,Curves,0)))</f>
        <v>#N/A</v>
      </c>
      <c r="AD159" s="185" t="e">
        <f aca="false">IF($A160="","",VLOOKUP($A159,Table,MATCH(AD$4,Curves,0)))</f>
        <v>#N/A</v>
      </c>
      <c r="AE159" s="185" t="e">
        <f aca="false">SQRT((AD159^2*(A159-$D$3)+AC159^2*(DAY(EOMONTH(A159,0))/2))/AK159)</f>
        <v>#N/A</v>
      </c>
      <c r="AF159" s="224" t="e">
        <f aca="false">((Summary!$N$8*(AA159*AD159)*(A159-$D$3))+(Summary!$M$8*Z159*AC159*(AJ159-EOMONTH(EDATE(A159,-1),0))))/(AK159*AB159*AE159)</f>
        <v>#N/A</v>
      </c>
      <c r="AG159" s="207" t="n">
        <f aca="false">IF($A160="","",Summary!$Q$8)</f>
        <v>0</v>
      </c>
      <c r="AH159" s="207" t="n">
        <f aca="false">IF($A160="","",IF(Summary!$R$8="Y",(VLOOKUP($A159,Summary!$AD$6:$AF$9,3)+'Escalating commodity'!D172),'Escalating commodity'!D172))</f>
        <v>0.0200232</v>
      </c>
      <c r="AI159" s="207" t="n">
        <f aca="false">IF($A160="","",AH159)</f>
        <v>0.0200232</v>
      </c>
      <c r="AJ159" s="208" t="n">
        <f aca="false">A159+DAY(EOMONTH(A159,0))/2-1</f>
        <v>41593</v>
      </c>
      <c r="AK159" s="209" t="n">
        <f aca="false">IF($A160="","",$A159-$E$1)</f>
        <v>-4347</v>
      </c>
      <c r="AL159" s="182" t="e">
        <f aca="false">IF($A160="","",SPRDOPT(P159,X159,AI159,0,AB159,AE159,AF159,AK159,$AJ$2,0))</f>
        <v>#NAME?</v>
      </c>
      <c r="AM159" s="211" t="e">
        <f aca="false">IF($A160="","",MAX(0,O159-W159-AI159))</f>
        <v>#N/A</v>
      </c>
      <c r="AN159" s="211" t="e">
        <f aca="false">IF($A160="","",AL159-AM159)</f>
        <v>#N/A</v>
      </c>
      <c r="AO159" s="137" t="n">
        <f aca="false">IF(A160="","",A160-A159)</f>
        <v>30</v>
      </c>
      <c r="AP159" s="212" t="n">
        <f aca="false">IF(A160="","",CHOOSE(F$3,A160+24,A159))</f>
        <v>41579</v>
      </c>
      <c r="AQ159" s="209" t="n">
        <f aca="false">IF(A160="","",AP159-$E$1)</f>
        <v>-4347</v>
      </c>
      <c r="AR159" s="185" t="n">
        <f aca="false">'ANR OK vs ML7'!AR159</f>
        <v>0.1</v>
      </c>
      <c r="AS159" s="213" t="n">
        <f aca="false">IF(A160="","",1/(1+CHOOSE(F$3,(AR160+($I$3/10000))/2,(AR159+($I$3/10000))/2))^(2*AQ159/365.25))</f>
        <v>3.19423034884928</v>
      </c>
      <c r="AT159" s="137" t="n">
        <f aca="false">IF(A160="","",IF(AND(mthbeg&lt;=A159,mthend&gt;=A159),1,0))</f>
        <v>1</v>
      </c>
      <c r="AU159" s="137" t="n">
        <f aca="false">IF(A160="","",AO159*AT159)</f>
        <v>30</v>
      </c>
      <c r="AW159" s="195" t="e">
        <f aca="false">IF($A160="","",AL159*$E159)</f>
        <v>#NAME?</v>
      </c>
      <c r="AX159" s="195" t="e">
        <f aca="false">IF($A160="","",AM159*$E159)</f>
        <v>#N/A</v>
      </c>
      <c r="AY159" s="195" t="e">
        <f aca="false">IF($A160="","",AN159*$E159)</f>
        <v>#N/A</v>
      </c>
      <c r="BA159" s="195" t="n">
        <f aca="false">IF($A160="","",F159*Summary!$Q$8)</f>
        <v>0</v>
      </c>
      <c r="BC159" s="179" t="e">
        <f aca="false">IF(A160="","",AM159*F159)</f>
        <v>#N/A</v>
      </c>
    </row>
    <row r="160" customFormat="false" ht="12.75" hidden="false" customHeight="false" outlineLevel="0" collapsed="false">
      <c r="A160" s="196" t="n">
        <f aca="false">IF(A159&lt;mthend,EDATE(A159,1),"")</f>
        <v>41609</v>
      </c>
      <c r="B160" s="197" t="n">
        <f aca="false">IF(A160&lt;mthend,B159,0)</f>
        <v>80000</v>
      </c>
      <c r="C160" s="215"/>
      <c r="D160" s="197" t="n">
        <f aca="false">IF(A161&lt;&gt;"",B160+C160,"")</f>
        <v>80000</v>
      </c>
      <c r="E160" s="199" t="n">
        <f aca="false">IF(A161="","",IF(AND(AT160=1,$H$3=1),D160*AO160,IF($H$3=2,D160,"N/A")))</f>
        <v>2480000</v>
      </c>
      <c r="F160" s="199" t="n">
        <f aca="false">IF(A161="","",E160*AS160)</f>
        <v>7858454.15923552</v>
      </c>
      <c r="G160" s="200" t="e">
        <f aca="false">IF($A161="","",VLOOKUP($A160,Table,MATCH(G$4,Curves,0)))</f>
        <v>#N/A</v>
      </c>
      <c r="H160" s="201" t="e">
        <f aca="false">IF(A161="","",G160)</f>
        <v>#N/A</v>
      </c>
      <c r="I160" s="202"/>
      <c r="J160" s="200" t="e">
        <f aca="false">IF($A161="","",VLOOKUP($A160,Table,MATCH(J$4,Curves,0)))</f>
        <v>#N/A</v>
      </c>
      <c r="K160" s="201" t="e">
        <f aca="false">IF(A161="","",J160)</f>
        <v>#N/A</v>
      </c>
      <c r="L160" s="200" t="e">
        <f aca="false">IF($A161="","",VLOOKUP($A160,Table,MATCH(L$4,Curves,0)))</f>
        <v>#N/A</v>
      </c>
      <c r="M160" s="201" t="e">
        <f aca="false">IF(A161="","",L160)</f>
        <v>#N/A</v>
      </c>
      <c r="N160" s="203"/>
      <c r="O160" s="200" t="e">
        <f aca="false">IF(A161="","",L160+J160+G160)</f>
        <v>#N/A</v>
      </c>
      <c r="P160" s="200" t="e">
        <f aca="false">IF(A161="","",M160+K160+H160)</f>
        <v>#N/A</v>
      </c>
      <c r="Q160" s="204"/>
      <c r="R160" s="200" t="e">
        <f aca="false">IF($A161="","",VLOOKUP($A160,Table,MATCH(R$4,Curves,0)))</f>
        <v>#N/A</v>
      </c>
      <c r="S160" s="201" t="e">
        <f aca="false">IF(A161="","",R160)</f>
        <v>#N/A</v>
      </c>
      <c r="T160" s="200" t="e">
        <f aca="false">IF($A161="","",VLOOKUP($A160,Table,MATCH(T$4,Curves,0)))</f>
        <v>#N/A</v>
      </c>
      <c r="U160" s="201" t="e">
        <f aca="false">IF(A161="","",T160)</f>
        <v>#N/A</v>
      </c>
      <c r="V160" s="183" t="e">
        <f aca="false">IF($A161="","",IF(AND(MONTH(A160)&gt;3,MONTH(A160)&lt;11),(T160+R160+G160)*Summary!$T$8/(1-Summary!$T$8),(T160+R160+G160)*Summary!$U$8/(1-Summary!$U$8)))</f>
        <v>#N/A</v>
      </c>
      <c r="W160" s="200" t="e">
        <f aca="false">IF($A161="","",(T160+R160+G160+V160))</f>
        <v>#N/A</v>
      </c>
      <c r="X160" s="200" t="e">
        <f aca="false">IF($A161="","",(U160+S160+H160+V160))</f>
        <v>#N/A</v>
      </c>
      <c r="Y160" s="202"/>
      <c r="Z160" s="185" t="e">
        <f aca="false">IF($A161="","",VLOOKUP($A160,Table,MATCH(Z$4,Curves,0)))</f>
        <v>#N/A</v>
      </c>
      <c r="AA160" s="185" t="e">
        <f aca="false">IF($A161="","",VLOOKUP($A160,Table,MATCH(AA$4,Curves,0)))</f>
        <v>#N/A</v>
      </c>
      <c r="AB160" s="185" t="e">
        <f aca="false">SQRT((AA160^2*(A160-$D$3)+Z160^2*(DAY(EOMONTH(A160,0))/2))/AK160)</f>
        <v>#N/A</v>
      </c>
      <c r="AC160" s="185" t="e">
        <f aca="false">IF($A161="","",VLOOKUP($A160,Table,MATCH(AC$4,Curves,0)))</f>
        <v>#N/A</v>
      </c>
      <c r="AD160" s="185" t="e">
        <f aca="false">IF($A161="","",VLOOKUP($A160,Table,MATCH(AD$4,Curves,0)))</f>
        <v>#N/A</v>
      </c>
      <c r="AE160" s="185" t="e">
        <f aca="false">SQRT((AD160^2*(A160-$D$3)+AC160^2*(DAY(EOMONTH(A160,0))/2))/AK160)</f>
        <v>#N/A</v>
      </c>
      <c r="AF160" s="224" t="e">
        <f aca="false">((Summary!$N$8*(AA160*AD160)*(A160-$D$3))+(Summary!$M$8*Z160*AC160*(AJ160-EOMONTH(EDATE(A160,-1),0))))/(AK160*AB160*AE160)</f>
        <v>#N/A</v>
      </c>
      <c r="AG160" s="207" t="n">
        <f aca="false">IF($A161="","",Summary!$Q$8)</f>
        <v>0</v>
      </c>
      <c r="AH160" s="207" t="n">
        <f aca="false">IF($A161="","",IF(Summary!$R$8="Y",(VLOOKUP($A160,Summary!$AD$6:$AF$9,3)+'Escalating commodity'!D173),'Escalating commodity'!D173))</f>
        <v>0.0200232</v>
      </c>
      <c r="AI160" s="207" t="n">
        <f aca="false">IF($A161="","",AH160)</f>
        <v>0.0200232</v>
      </c>
      <c r="AJ160" s="208" t="n">
        <f aca="false">A160+DAY(EOMONTH(A160,0))/2-1</f>
        <v>41623.5</v>
      </c>
      <c r="AK160" s="209" t="n">
        <f aca="false">IF($A161="","",$A160-$E$1)</f>
        <v>-4317</v>
      </c>
      <c r="AL160" s="182" t="e">
        <f aca="false">IF($A161="","",SPRDOPT(P160,X160,AI160,0,AB160,AE160,AF160,AK160,$AJ$2,0))</f>
        <v>#NAME?</v>
      </c>
      <c r="AM160" s="211" t="e">
        <f aca="false">IF($A161="","",MAX(0,O160-W160-AI160))</f>
        <v>#N/A</v>
      </c>
      <c r="AN160" s="211" t="e">
        <f aca="false">IF($A161="","",AL160-AM160)</f>
        <v>#N/A</v>
      </c>
      <c r="AO160" s="137" t="n">
        <f aca="false">IF(A161="","",A161-A160)</f>
        <v>31</v>
      </c>
      <c r="AP160" s="212" t="n">
        <f aca="false">IF(A161="","",CHOOSE(F$3,A161+24,A160))</f>
        <v>41609</v>
      </c>
      <c r="AQ160" s="209" t="n">
        <f aca="false">IF(A161="","",AP160-$E$1)</f>
        <v>-4317</v>
      </c>
      <c r="AR160" s="185" t="n">
        <f aca="false">'ANR OK vs ML7'!AR160</f>
        <v>0.1</v>
      </c>
      <c r="AS160" s="213" t="n">
        <f aca="false">IF(A161="","",1/(1+CHOOSE(F$3,(AR161+($I$3/10000))/2,(AR160+($I$3/10000))/2))^(2*AQ160/365.25))</f>
        <v>3.16873151582077</v>
      </c>
      <c r="AT160" s="137" t="n">
        <f aca="false">IF(A161="","",IF(AND(mthbeg&lt;=A160,mthend&gt;=A160),1,0))</f>
        <v>1</v>
      </c>
      <c r="AU160" s="137" t="n">
        <f aca="false">IF(A161="","",AO160*AT160)</f>
        <v>31</v>
      </c>
      <c r="AW160" s="195" t="e">
        <f aca="false">IF($A161="","",AL160*$E160)</f>
        <v>#NAME?</v>
      </c>
      <c r="AX160" s="195" t="e">
        <f aca="false">IF($A161="","",AM160*$E160)</f>
        <v>#N/A</v>
      </c>
      <c r="AY160" s="195" t="e">
        <f aca="false">IF($A161="","",AN160*$E160)</f>
        <v>#N/A</v>
      </c>
      <c r="BA160" s="195" t="n">
        <f aca="false">IF($A161="","",F160*Summary!$Q$8)</f>
        <v>0</v>
      </c>
      <c r="BC160" s="179" t="e">
        <f aca="false">IF(A161="","",AM160*F160)</f>
        <v>#N/A</v>
      </c>
    </row>
    <row r="161" customFormat="false" ht="12.75" hidden="false" customHeight="false" outlineLevel="0" collapsed="false">
      <c r="A161" s="196" t="n">
        <f aca="false">IF(A160&lt;mthend,EDATE(A160,1),"")</f>
        <v>41640</v>
      </c>
      <c r="B161" s="197" t="n">
        <f aca="false">IF(A161&lt;mthend,B160,0)</f>
        <v>80000</v>
      </c>
      <c r="C161" s="215"/>
      <c r="D161" s="197" t="n">
        <f aca="false">IF(A162&lt;&gt;"",B161+C161,"")</f>
        <v>80000</v>
      </c>
      <c r="E161" s="199" t="n">
        <f aca="false">IF(A162="","",IF(AND(AT161=1,$H$3=1),D161*AO161,IF($H$3=2,D161,"N/A")))</f>
        <v>2480000</v>
      </c>
      <c r="F161" s="199" t="n">
        <f aca="false">IF(A162="","",E161*AS161)</f>
        <v>7793639.43130656</v>
      </c>
      <c r="G161" s="200" t="e">
        <f aca="false">IF($A162="","",VLOOKUP($A161,Table,MATCH(G$4,Curves,0)))</f>
        <v>#N/A</v>
      </c>
      <c r="H161" s="201" t="e">
        <f aca="false">IF(A162="","",G161)</f>
        <v>#N/A</v>
      </c>
      <c r="I161" s="202"/>
      <c r="J161" s="200" t="e">
        <f aca="false">IF($A162="","",VLOOKUP($A161,Table,MATCH(J$4,Curves,0)))</f>
        <v>#N/A</v>
      </c>
      <c r="K161" s="201" t="e">
        <f aca="false">IF(A162="","",J161)</f>
        <v>#N/A</v>
      </c>
      <c r="L161" s="200" t="e">
        <f aca="false">IF($A162="","",VLOOKUP($A161,Table,MATCH(L$4,Curves,0)))</f>
        <v>#N/A</v>
      </c>
      <c r="M161" s="201" t="e">
        <f aca="false">IF(A162="","",L161)</f>
        <v>#N/A</v>
      </c>
      <c r="N161" s="203"/>
      <c r="O161" s="200" t="e">
        <f aca="false">IF(A162="","",L161+J161+G161)</f>
        <v>#N/A</v>
      </c>
      <c r="P161" s="200" t="e">
        <f aca="false">IF(A162="","",M161+K161+H161)</f>
        <v>#N/A</v>
      </c>
      <c r="Q161" s="204"/>
      <c r="R161" s="200" t="e">
        <f aca="false">IF($A162="","",VLOOKUP($A161,Table,MATCH(R$4,Curves,0)))</f>
        <v>#N/A</v>
      </c>
      <c r="S161" s="201" t="e">
        <f aca="false">IF(A162="","",R161)</f>
        <v>#N/A</v>
      </c>
      <c r="T161" s="200" t="e">
        <f aca="false">IF($A162="","",VLOOKUP($A161,Table,MATCH(T$4,Curves,0)))</f>
        <v>#N/A</v>
      </c>
      <c r="U161" s="201" t="e">
        <f aca="false">IF(A162="","",T161)</f>
        <v>#N/A</v>
      </c>
      <c r="V161" s="183" t="e">
        <f aca="false">IF($A162="","",IF(AND(MONTH(A161)&gt;3,MONTH(A161)&lt;11),(T161+R161+G161)*Summary!$T$8/(1-Summary!$T$8),(T161+R161+G161)*Summary!$U$8/(1-Summary!$U$8)))</f>
        <v>#N/A</v>
      </c>
      <c r="W161" s="200" t="e">
        <f aca="false">IF($A162="","",(T161+R161+G161+V161))</f>
        <v>#N/A</v>
      </c>
      <c r="X161" s="200" t="e">
        <f aca="false">IF($A162="","",(U161+S161+H161+V161))</f>
        <v>#N/A</v>
      </c>
      <c r="Y161" s="202"/>
      <c r="Z161" s="185" t="e">
        <f aca="false">IF($A162="","",VLOOKUP($A161,Table,MATCH(Z$4,Curves,0)))</f>
        <v>#N/A</v>
      </c>
      <c r="AA161" s="185" t="e">
        <f aca="false">IF($A162="","",VLOOKUP($A161,Table,MATCH(AA$4,Curves,0)))</f>
        <v>#N/A</v>
      </c>
      <c r="AB161" s="185" t="e">
        <f aca="false">SQRT((AA161^2*(A161-$D$3)+Z161^2*(DAY(EOMONTH(A161,0))/2))/AK161)</f>
        <v>#N/A</v>
      </c>
      <c r="AC161" s="185" t="e">
        <f aca="false">IF($A162="","",VLOOKUP($A161,Table,MATCH(AC$4,Curves,0)))</f>
        <v>#N/A</v>
      </c>
      <c r="AD161" s="185" t="e">
        <f aca="false">IF($A162="","",VLOOKUP($A161,Table,MATCH(AD$4,Curves,0)))</f>
        <v>#N/A</v>
      </c>
      <c r="AE161" s="185" t="e">
        <f aca="false">SQRT((AD161^2*(A161-$D$3)+AC161^2*(DAY(EOMONTH(A161,0))/2))/AK161)</f>
        <v>#N/A</v>
      </c>
      <c r="AF161" s="224" t="e">
        <f aca="false">((Summary!$N$8*(AA161*AD161)*(A161-$D$3))+(Summary!$M$8*Z161*AC161*(AJ161-EOMONTH(EDATE(A161,-1),0))))/(AK161*AB161*AE161)</f>
        <v>#N/A</v>
      </c>
      <c r="AG161" s="207" t="n">
        <f aca="false">IF($A162="","",Summary!$Q$8)</f>
        <v>0</v>
      </c>
      <c r="AH161" s="207" t="n">
        <f aca="false">IF($A162="","",IF(Summary!$R$8="Y",(VLOOKUP($A161,Summary!$AD$6:$AF$9,3)+'Escalating commodity'!D174),'Escalating commodity'!D174))</f>
        <v>0.0200232</v>
      </c>
      <c r="AI161" s="207" t="n">
        <f aca="false">IF($A162="","",AH161)</f>
        <v>0.0200232</v>
      </c>
      <c r="AJ161" s="208" t="n">
        <f aca="false">A161+DAY(EOMONTH(A161,0))/2-1</f>
        <v>41654.5</v>
      </c>
      <c r="AK161" s="209" t="n">
        <f aca="false">IF($A162="","",$A161-$E$1)</f>
        <v>-4286</v>
      </c>
      <c r="AL161" s="182" t="e">
        <f aca="false">IF($A162="","",SPRDOPT(P161,X161,AI161,0,AB161,AE161,AF161,AK161,$AJ$2,0))</f>
        <v>#NAME?</v>
      </c>
      <c r="AM161" s="211" t="e">
        <f aca="false">IF($A162="","",MAX(0,O161-W161-AI161))</f>
        <v>#N/A</v>
      </c>
      <c r="AN161" s="211" t="e">
        <f aca="false">IF($A162="","",AL161-AM161)</f>
        <v>#N/A</v>
      </c>
      <c r="AO161" s="137" t="n">
        <f aca="false">IF(A162="","",A162-A161)</f>
        <v>31</v>
      </c>
      <c r="AP161" s="212" t="n">
        <f aca="false">IF(A162="","",CHOOSE(F$3,A162+24,A161))</f>
        <v>41640</v>
      </c>
      <c r="AQ161" s="209" t="n">
        <f aca="false">IF(A162="","",AP161-$E$1)</f>
        <v>-4286</v>
      </c>
      <c r="AR161" s="185" t="n">
        <f aca="false">'ANR OK vs ML7'!AR161</f>
        <v>0.1</v>
      </c>
      <c r="AS161" s="213" t="n">
        <f aca="false">IF(A162="","",1/(1+CHOOSE(F$3,(AR162+($I$3/10000))/2,(AR161+($I$3/10000))/2))^(2*AQ161/365.25))</f>
        <v>3.14259654488168</v>
      </c>
      <c r="AT161" s="137" t="n">
        <f aca="false">IF(A162="","",IF(AND(mthbeg&lt;=A161,mthend&gt;=A161),1,0))</f>
        <v>1</v>
      </c>
      <c r="AU161" s="137" t="n">
        <f aca="false">IF(A162="","",AO161*AT161)</f>
        <v>31</v>
      </c>
      <c r="AW161" s="195" t="e">
        <f aca="false">IF($A162="","",AL161*$E161)</f>
        <v>#NAME?</v>
      </c>
      <c r="AX161" s="195" t="e">
        <f aca="false">IF($A162="","",AM161*$E161)</f>
        <v>#N/A</v>
      </c>
      <c r="AY161" s="195" t="e">
        <f aca="false">IF($A162="","",AN161*$E161)</f>
        <v>#N/A</v>
      </c>
      <c r="BA161" s="195" t="n">
        <f aca="false">IF($A162="","",F161*Summary!$Q$8)</f>
        <v>0</v>
      </c>
      <c r="BC161" s="179" t="e">
        <f aca="false">IF(A162="","",AM161*F161)</f>
        <v>#N/A</v>
      </c>
    </row>
    <row r="162" customFormat="false" ht="12.75" hidden="false" customHeight="false" outlineLevel="0" collapsed="false">
      <c r="A162" s="196" t="n">
        <f aca="false">IF(A161&lt;mthend,EDATE(A161,1),"")</f>
        <v>41671</v>
      </c>
      <c r="B162" s="197" t="n">
        <f aca="false">IF(A162&lt;mthend,B161,0)</f>
        <v>80000</v>
      </c>
      <c r="C162" s="215"/>
      <c r="D162" s="197" t="n">
        <f aca="false">IF(A163&lt;&gt;"",B162+C162,"")</f>
        <v>80000</v>
      </c>
      <c r="E162" s="199" t="n">
        <f aca="false">IF(A163="","",IF(AND(AT162=1,$H$3=1),D162*AO162,IF($H$3=2,D162,"N/A")))</f>
        <v>2240000</v>
      </c>
      <c r="F162" s="199" t="n">
        <f aca="false">IF(A163="","",E162*AS162)</f>
        <v>6981356.76938567</v>
      </c>
      <c r="G162" s="200" t="e">
        <f aca="false">IF($A163="","",VLOOKUP($A162,Table,MATCH(G$4,Curves,0)))</f>
        <v>#N/A</v>
      </c>
      <c r="H162" s="201" t="e">
        <f aca="false">IF(A163="","",G162)</f>
        <v>#N/A</v>
      </c>
      <c r="I162" s="202"/>
      <c r="J162" s="200" t="e">
        <f aca="false">IF($A163="","",VLOOKUP($A162,Table,MATCH(J$4,Curves,0)))</f>
        <v>#N/A</v>
      </c>
      <c r="K162" s="201" t="e">
        <f aca="false">IF(A163="","",J162)</f>
        <v>#N/A</v>
      </c>
      <c r="L162" s="200" t="e">
        <f aca="false">IF($A163="","",VLOOKUP($A162,Table,MATCH(L$4,Curves,0)))</f>
        <v>#N/A</v>
      </c>
      <c r="M162" s="201" t="e">
        <f aca="false">IF(A163="","",L162)</f>
        <v>#N/A</v>
      </c>
      <c r="N162" s="203"/>
      <c r="O162" s="200" t="e">
        <f aca="false">IF(A163="","",L162+J162+G162)</f>
        <v>#N/A</v>
      </c>
      <c r="P162" s="200" t="e">
        <f aca="false">IF(A163="","",M162+K162+H162)</f>
        <v>#N/A</v>
      </c>
      <c r="Q162" s="204"/>
      <c r="R162" s="200" t="e">
        <f aca="false">IF($A163="","",VLOOKUP($A162,Table,MATCH(R$4,Curves,0)))</f>
        <v>#N/A</v>
      </c>
      <c r="S162" s="201" t="e">
        <f aca="false">IF(A163="","",R162)</f>
        <v>#N/A</v>
      </c>
      <c r="T162" s="200" t="e">
        <f aca="false">IF($A163="","",VLOOKUP($A162,Table,MATCH(T$4,Curves,0)))</f>
        <v>#N/A</v>
      </c>
      <c r="U162" s="201" t="e">
        <f aca="false">IF(A163="","",T162)</f>
        <v>#N/A</v>
      </c>
      <c r="V162" s="183" t="e">
        <f aca="false">IF($A163="","",IF(AND(MONTH(A162)&gt;3,MONTH(A162)&lt;11),(T162+R162+G162)*Summary!$T$8/(1-Summary!$T$8),(T162+R162+G162)*Summary!$U$8/(1-Summary!$U$8)))</f>
        <v>#N/A</v>
      </c>
      <c r="W162" s="200" t="e">
        <f aca="false">IF($A163="","",(T162+R162+G162+V162))</f>
        <v>#N/A</v>
      </c>
      <c r="X162" s="200" t="e">
        <f aca="false">IF($A163="","",(U162+S162+H162+V162))</f>
        <v>#N/A</v>
      </c>
      <c r="Y162" s="202"/>
      <c r="Z162" s="185" t="e">
        <f aca="false">IF($A163="","",VLOOKUP($A162,Table,MATCH(Z$4,Curves,0)))</f>
        <v>#N/A</v>
      </c>
      <c r="AA162" s="185" t="e">
        <f aca="false">IF($A163="","",VLOOKUP($A162,Table,MATCH(AA$4,Curves,0)))</f>
        <v>#N/A</v>
      </c>
      <c r="AB162" s="185" t="e">
        <f aca="false">SQRT((AA162^2*(A162-$D$3)+Z162^2*(DAY(EOMONTH(A162,0))/2))/AK162)</f>
        <v>#N/A</v>
      </c>
      <c r="AC162" s="185" t="e">
        <f aca="false">IF($A163="","",VLOOKUP($A162,Table,MATCH(AC$4,Curves,0)))</f>
        <v>#N/A</v>
      </c>
      <c r="AD162" s="185" t="e">
        <f aca="false">IF($A163="","",VLOOKUP($A162,Table,MATCH(AD$4,Curves,0)))</f>
        <v>#N/A</v>
      </c>
      <c r="AE162" s="185" t="e">
        <f aca="false">SQRT((AD162^2*(A162-$D$3)+AC162^2*(DAY(EOMONTH(A162,0))/2))/AK162)</f>
        <v>#N/A</v>
      </c>
      <c r="AF162" s="224" t="e">
        <f aca="false">((Summary!$N$8*(AA162*AD162)*(A162-$D$3))+(Summary!$M$8*Z162*AC162*(AJ162-EOMONTH(EDATE(A162,-1),0))))/(AK162*AB162*AE162)</f>
        <v>#N/A</v>
      </c>
      <c r="AG162" s="207" t="n">
        <f aca="false">IF($A163="","",Summary!$Q$8)</f>
        <v>0</v>
      </c>
      <c r="AH162" s="207" t="n">
        <f aca="false">IF($A163="","",IF(Summary!$R$8="Y",(VLOOKUP($A162,Summary!$AD$6:$AF$9,3)+'Escalating commodity'!D175),'Escalating commodity'!D175))</f>
        <v>0.0200232</v>
      </c>
      <c r="AI162" s="207" t="n">
        <f aca="false">IF($A163="","",AH162)</f>
        <v>0.0200232</v>
      </c>
      <c r="AJ162" s="208" t="n">
        <f aca="false">A162+DAY(EOMONTH(A162,0))/2-1</f>
        <v>41684</v>
      </c>
      <c r="AK162" s="209" t="n">
        <f aca="false">IF($A163="","",$A162-$E$1)</f>
        <v>-4255</v>
      </c>
      <c r="AL162" s="182" t="e">
        <f aca="false">IF($A163="","",SPRDOPT(P162,X162,AI162,0,AB162,AE162,AF162,AK162,$AJ$2,0))</f>
        <v>#NAME?</v>
      </c>
      <c r="AM162" s="211" t="e">
        <f aca="false">IF($A163="","",MAX(0,O162-W162-AI162))</f>
        <v>#N/A</v>
      </c>
      <c r="AN162" s="211" t="e">
        <f aca="false">IF($A163="","",AL162-AM162)</f>
        <v>#N/A</v>
      </c>
      <c r="AO162" s="137" t="n">
        <f aca="false">IF(A163="","",A163-A162)</f>
        <v>28</v>
      </c>
      <c r="AP162" s="212" t="n">
        <f aca="false">IF(A163="","",CHOOSE(F$3,A163+24,A162))</f>
        <v>41671</v>
      </c>
      <c r="AQ162" s="209" t="n">
        <f aca="false">IF(A163="","",AP162-$E$1)</f>
        <v>-4255</v>
      </c>
      <c r="AR162" s="185" t="n">
        <f aca="false">'ANR OK vs ML7'!AR162</f>
        <v>0.1</v>
      </c>
      <c r="AS162" s="213" t="n">
        <f aca="false">IF(A163="","",1/(1+CHOOSE(F$3,(AR163+($I$3/10000))/2,(AR162+($I$3/10000))/2))^(2*AQ162/365.25))</f>
        <v>3.11667712919003</v>
      </c>
      <c r="AT162" s="137" t="n">
        <f aca="false">IF(A163="","",IF(AND(mthbeg&lt;=A162,mthend&gt;=A162),1,0))</f>
        <v>1</v>
      </c>
      <c r="AU162" s="137" t="n">
        <f aca="false">IF(A163="","",AO162*AT162)</f>
        <v>28</v>
      </c>
      <c r="AW162" s="195" t="e">
        <f aca="false">IF($A163="","",AL162*$E162)</f>
        <v>#NAME?</v>
      </c>
      <c r="AX162" s="195" t="e">
        <f aca="false">IF($A163="","",AM162*$E162)</f>
        <v>#N/A</v>
      </c>
      <c r="AY162" s="195" t="e">
        <f aca="false">IF($A163="","",AN162*$E162)</f>
        <v>#N/A</v>
      </c>
      <c r="BA162" s="195" t="n">
        <f aca="false">IF($A163="","",F162*Summary!$Q$8)</f>
        <v>0</v>
      </c>
      <c r="BC162" s="179" t="e">
        <f aca="false">IF(A163="","",AM162*F162)</f>
        <v>#N/A</v>
      </c>
    </row>
    <row r="163" customFormat="false" ht="12.75" hidden="false" customHeight="false" outlineLevel="0" collapsed="false">
      <c r="A163" s="196" t="n">
        <f aca="false">IF(A162&lt;mthend,EDATE(A162,1),"")</f>
        <v>41699</v>
      </c>
      <c r="B163" s="197" t="n">
        <f aca="false">IF(A163&lt;mthend,B162,0)</f>
        <v>80000</v>
      </c>
      <c r="C163" s="215"/>
      <c r="D163" s="197" t="n">
        <f aca="false">IF(A164&lt;&gt;"",B163+C163,"")</f>
        <v>80000</v>
      </c>
      <c r="E163" s="199" t="n">
        <f aca="false">IF(A164="","",IF(AND(AT163=1,$H$3=1),D163*AO163,IF($H$3=2,D163,"N/A")))</f>
        <v>2480000</v>
      </c>
      <c r="F163" s="199" t="n">
        <f aca="false">IF(A164="","",E163*AS163)</f>
        <v>7671755.60141514</v>
      </c>
      <c r="G163" s="200" t="e">
        <f aca="false">IF($A164="","",VLOOKUP($A163,Table,MATCH(G$4,Curves,0)))</f>
        <v>#N/A</v>
      </c>
      <c r="H163" s="201" t="e">
        <f aca="false">IF(A164="","",G163)</f>
        <v>#N/A</v>
      </c>
      <c r="I163" s="202"/>
      <c r="J163" s="200" t="e">
        <f aca="false">IF($A164="","",VLOOKUP($A163,Table,MATCH(J$4,Curves,0)))</f>
        <v>#N/A</v>
      </c>
      <c r="K163" s="201" t="e">
        <f aca="false">IF(A164="","",J163)</f>
        <v>#N/A</v>
      </c>
      <c r="L163" s="200" t="e">
        <f aca="false">IF($A164="","",VLOOKUP($A163,Table,MATCH(L$4,Curves,0)))</f>
        <v>#N/A</v>
      </c>
      <c r="M163" s="201" t="e">
        <f aca="false">IF(A164="","",L163)</f>
        <v>#N/A</v>
      </c>
      <c r="N163" s="203"/>
      <c r="O163" s="200" t="e">
        <f aca="false">IF(A164="","",L163+J163+G163)</f>
        <v>#N/A</v>
      </c>
      <c r="P163" s="200" t="e">
        <f aca="false">IF(A164="","",M163+K163+H163)</f>
        <v>#N/A</v>
      </c>
      <c r="Q163" s="204"/>
      <c r="R163" s="200" t="e">
        <f aca="false">IF($A164="","",VLOOKUP($A163,Table,MATCH(R$4,Curves,0)))</f>
        <v>#N/A</v>
      </c>
      <c r="S163" s="201" t="e">
        <f aca="false">IF(A164="","",R163)</f>
        <v>#N/A</v>
      </c>
      <c r="T163" s="200" t="e">
        <f aca="false">IF($A164="","",VLOOKUP($A163,Table,MATCH(T$4,Curves,0)))</f>
        <v>#N/A</v>
      </c>
      <c r="U163" s="201" t="e">
        <f aca="false">IF(A164="","",T163)</f>
        <v>#N/A</v>
      </c>
      <c r="V163" s="183" t="e">
        <f aca="false">IF($A164="","",IF(AND(MONTH(A163)&gt;3,MONTH(A163)&lt;11),(T163+R163+G163)*Summary!$T$8/(1-Summary!$T$8),(T163+R163+G163)*Summary!$U$8/(1-Summary!$U$8)))</f>
        <v>#N/A</v>
      </c>
      <c r="W163" s="200" t="e">
        <f aca="false">IF($A164="","",(T163+R163+G163+V163))</f>
        <v>#N/A</v>
      </c>
      <c r="X163" s="200" t="e">
        <f aca="false">IF($A164="","",(U163+S163+H163+V163))</f>
        <v>#N/A</v>
      </c>
      <c r="Y163" s="202"/>
      <c r="Z163" s="185" t="e">
        <f aca="false">IF($A164="","",VLOOKUP($A163,Table,MATCH(Z$4,Curves,0)))</f>
        <v>#N/A</v>
      </c>
      <c r="AA163" s="185" t="e">
        <f aca="false">IF($A164="","",VLOOKUP($A163,Table,MATCH(AA$4,Curves,0)))</f>
        <v>#N/A</v>
      </c>
      <c r="AB163" s="185" t="e">
        <f aca="false">SQRT((AA163^2*(A163-$D$3)+Z163^2*(DAY(EOMONTH(A163,0))/2))/AK163)</f>
        <v>#N/A</v>
      </c>
      <c r="AC163" s="185" t="e">
        <f aca="false">IF($A164="","",VLOOKUP($A163,Table,MATCH(AC$4,Curves,0)))</f>
        <v>#N/A</v>
      </c>
      <c r="AD163" s="185" t="e">
        <f aca="false">IF($A164="","",VLOOKUP($A163,Table,MATCH(AD$4,Curves,0)))</f>
        <v>#N/A</v>
      </c>
      <c r="AE163" s="185" t="e">
        <f aca="false">SQRT((AD163^2*(A163-$D$3)+AC163^2*(DAY(EOMONTH(A163,0))/2))/AK163)</f>
        <v>#N/A</v>
      </c>
      <c r="AF163" s="224" t="e">
        <f aca="false">((Summary!$N$8*(AA163*AD163)*(A163-$D$3))+(Summary!$M$8*Z163*AC163*(AJ163-EOMONTH(EDATE(A163,-1),0))))/(AK163*AB163*AE163)</f>
        <v>#N/A</v>
      </c>
      <c r="AG163" s="207" t="n">
        <f aca="false">IF($A164="","",Summary!$Q$8)</f>
        <v>0</v>
      </c>
      <c r="AH163" s="207" t="n">
        <f aca="false">IF($A164="","",IF(Summary!$R$8="Y",(VLOOKUP($A163,Summary!$AD$6:$AF$9,3)+'Escalating commodity'!D176),'Escalating commodity'!D176))</f>
        <v>0.0200232</v>
      </c>
      <c r="AI163" s="207" t="n">
        <f aca="false">IF($A164="","",AH163)</f>
        <v>0.0200232</v>
      </c>
      <c r="AJ163" s="208" t="n">
        <f aca="false">A163+DAY(EOMONTH(A163,0))/2-1</f>
        <v>41713.5</v>
      </c>
      <c r="AK163" s="209" t="n">
        <f aca="false">IF($A164="","",$A163-$E$1)</f>
        <v>-4227</v>
      </c>
      <c r="AL163" s="182" t="e">
        <f aca="false">IF($A164="","",SPRDOPT(P163,X163,AI163,0,AB163,AE163,AF163,AK163,$AJ$2,0))</f>
        <v>#NAME?</v>
      </c>
      <c r="AM163" s="211" t="e">
        <f aca="false">IF($A164="","",MAX(0,O163-W163-AI163))</f>
        <v>#N/A</v>
      </c>
      <c r="AN163" s="211" t="e">
        <f aca="false">IF($A164="","",AL163-AM163)</f>
        <v>#N/A</v>
      </c>
      <c r="AO163" s="137" t="n">
        <f aca="false">IF(A164="","",A164-A163)</f>
        <v>31</v>
      </c>
      <c r="AP163" s="212" t="n">
        <f aca="false">IF(A164="","",CHOOSE(F$3,A164+24,A163))</f>
        <v>41699</v>
      </c>
      <c r="AQ163" s="209" t="n">
        <f aca="false">IF(A164="","",AP163-$E$1)</f>
        <v>-4227</v>
      </c>
      <c r="AR163" s="185" t="n">
        <f aca="false">'ANR OK vs ML7'!AR163</f>
        <v>0.1</v>
      </c>
      <c r="AS163" s="213" t="n">
        <f aca="false">IF(A164="","",1/(1+CHOOSE(F$3,(AR164+($I$3/10000))/2,(AR163+($I$3/10000))/2))^(2*AQ163/365.25))</f>
        <v>3.0934498392803</v>
      </c>
      <c r="AT163" s="137" t="n">
        <f aca="false">IF(A164="","",IF(AND(mthbeg&lt;=A163,mthend&gt;=A163),1,0))</f>
        <v>1</v>
      </c>
      <c r="AU163" s="137" t="n">
        <f aca="false">IF(A164="","",AO163*AT163)</f>
        <v>31</v>
      </c>
      <c r="AW163" s="195" t="e">
        <f aca="false">IF($A164="","",AL163*$E163)</f>
        <v>#NAME?</v>
      </c>
      <c r="AX163" s="195" t="e">
        <f aca="false">IF($A164="","",AM163*$E163)</f>
        <v>#N/A</v>
      </c>
      <c r="AY163" s="195" t="e">
        <f aca="false">IF($A164="","",AN163*$E163)</f>
        <v>#N/A</v>
      </c>
      <c r="BA163" s="195" t="n">
        <f aca="false">IF($A164="","",F163*Summary!$Q$8)</f>
        <v>0</v>
      </c>
      <c r="BC163" s="179" t="e">
        <f aca="false">IF(A164="","",AM163*F163)</f>
        <v>#N/A</v>
      </c>
    </row>
    <row r="164" customFormat="false" ht="12.75" hidden="false" customHeight="false" outlineLevel="0" collapsed="false">
      <c r="A164" s="196" t="n">
        <f aca="false">IF(A163&lt;mthend,EDATE(A163,1),"")</f>
        <v>41730</v>
      </c>
      <c r="B164" s="197" t="n">
        <f aca="false">IF(A164&lt;mthend,B163,0)</f>
        <v>80000</v>
      </c>
      <c r="C164" s="215"/>
      <c r="D164" s="197" t="n">
        <f aca="false">IF(A165&lt;&gt;"",B164+C164,"")</f>
        <v>80000</v>
      </c>
      <c r="E164" s="199" t="n">
        <f aca="false">IF(A165="","",IF(AND(AT164=1,$H$3=1),D164*AO164,IF($H$3=2,D164,"N/A")))</f>
        <v>2400000</v>
      </c>
      <c r="F164" s="199" t="n">
        <f aca="false">IF(A165="","",E164*AS164)</f>
        <v>7363045.85843257</v>
      </c>
      <c r="G164" s="200" t="e">
        <f aca="false">IF($A165="","",VLOOKUP($A164,Table,MATCH(G$4,Curves,0)))</f>
        <v>#N/A</v>
      </c>
      <c r="H164" s="201" t="e">
        <f aca="false">IF(A165="","",G164)</f>
        <v>#N/A</v>
      </c>
      <c r="I164" s="202"/>
      <c r="J164" s="200" t="e">
        <f aca="false">IF($A165="","",VLOOKUP($A164,Table,MATCH(J$4,Curves,0)))</f>
        <v>#N/A</v>
      </c>
      <c r="K164" s="201" t="e">
        <f aca="false">IF(A165="","",J164)</f>
        <v>#N/A</v>
      </c>
      <c r="L164" s="200" t="e">
        <f aca="false">IF($A165="","",VLOOKUP($A164,Table,MATCH(L$4,Curves,0)))</f>
        <v>#N/A</v>
      </c>
      <c r="M164" s="201" t="e">
        <f aca="false">IF(A165="","",L164)</f>
        <v>#N/A</v>
      </c>
      <c r="N164" s="203"/>
      <c r="O164" s="200" t="e">
        <f aca="false">IF(A165="","",L164+J164+G164)</f>
        <v>#N/A</v>
      </c>
      <c r="P164" s="200" t="e">
        <f aca="false">IF(A165="","",M164+K164+H164)</f>
        <v>#N/A</v>
      </c>
      <c r="Q164" s="204"/>
      <c r="R164" s="200" t="e">
        <f aca="false">IF($A165="","",VLOOKUP($A164,Table,MATCH(R$4,Curves,0)))</f>
        <v>#N/A</v>
      </c>
      <c r="S164" s="201" t="e">
        <f aca="false">IF(A165="","",R164)</f>
        <v>#N/A</v>
      </c>
      <c r="T164" s="200" t="e">
        <f aca="false">IF($A165="","",VLOOKUP($A164,Table,MATCH(T$4,Curves,0)))</f>
        <v>#N/A</v>
      </c>
      <c r="U164" s="201" t="e">
        <f aca="false">IF(A165="","",T164)</f>
        <v>#N/A</v>
      </c>
      <c r="V164" s="183" t="e">
        <f aca="false">IF($A165="","",IF(AND(MONTH(A164)&gt;3,MONTH(A164)&lt;11),(T164+R164+G164)*Summary!$T$8/(1-Summary!$T$8),(T164+R164+G164)*Summary!$U$8/(1-Summary!$U$8)))</f>
        <v>#N/A</v>
      </c>
      <c r="W164" s="200" t="e">
        <f aca="false">IF($A165="","",(T164+R164+G164+V164))</f>
        <v>#N/A</v>
      </c>
      <c r="X164" s="200" t="e">
        <f aca="false">IF($A165="","",(U164+S164+H164+V164))</f>
        <v>#N/A</v>
      </c>
      <c r="Y164" s="202"/>
      <c r="Z164" s="185" t="e">
        <f aca="false">IF($A165="","",VLOOKUP($A164,Table,MATCH(Z$4,Curves,0)))</f>
        <v>#N/A</v>
      </c>
      <c r="AA164" s="185" t="e">
        <f aca="false">IF($A165="","",VLOOKUP($A164,Table,MATCH(AA$4,Curves,0)))</f>
        <v>#N/A</v>
      </c>
      <c r="AB164" s="185" t="e">
        <f aca="false">SQRT((AA164^2*(A164-$D$3)+Z164^2*(DAY(EOMONTH(A164,0))/2))/AK164)</f>
        <v>#N/A</v>
      </c>
      <c r="AC164" s="185" t="e">
        <f aca="false">IF($A165="","",VLOOKUP($A164,Table,MATCH(AC$4,Curves,0)))</f>
        <v>#N/A</v>
      </c>
      <c r="AD164" s="185" t="e">
        <f aca="false">IF($A165="","",VLOOKUP($A164,Table,MATCH(AD$4,Curves,0)))</f>
        <v>#N/A</v>
      </c>
      <c r="AE164" s="185" t="e">
        <f aca="false">SQRT((AD164^2*(A164-$D$3)+AC164^2*(DAY(EOMONTH(A164,0))/2))/AK164)</f>
        <v>#N/A</v>
      </c>
      <c r="AF164" s="224" t="e">
        <f aca="false">((Summary!$N$8*(AA164*AD164)*(A164-$D$3))+(Summary!$M$8*Z164*AC164*(AJ164-EOMONTH(EDATE(A164,-1),0))))/(AK164*AB164*AE164)</f>
        <v>#N/A</v>
      </c>
      <c r="AG164" s="207" t="n">
        <f aca="false">IF($A165="","",Summary!$Q$8)</f>
        <v>0</v>
      </c>
      <c r="AH164" s="207" t="n">
        <f aca="false">IF($A165="","",IF(Summary!$R$8="Y",(VLOOKUP($A164,Summary!$AD$6:$AF$9,3)+'Escalating commodity'!D177),'Escalating commodity'!D177))</f>
        <v>0.0200232</v>
      </c>
      <c r="AI164" s="207" t="n">
        <f aca="false">IF($A165="","",AH164)</f>
        <v>0.0200232</v>
      </c>
      <c r="AJ164" s="208" t="n">
        <f aca="false">A164+DAY(EOMONTH(A164,0))/2-1</f>
        <v>41744</v>
      </c>
      <c r="AK164" s="209" t="n">
        <f aca="false">IF($A165="","",$A164-$E$1)</f>
        <v>-4196</v>
      </c>
      <c r="AL164" s="182" t="e">
        <f aca="false">IF($A165="","",SPRDOPT(P164,X164,AI164,0,AB164,AE164,AF164,AK164,$AJ$2,0))</f>
        <v>#NAME?</v>
      </c>
      <c r="AM164" s="211" t="e">
        <f aca="false">IF($A165="","",MAX(0,O164-W164-AI164))</f>
        <v>#N/A</v>
      </c>
      <c r="AN164" s="211" t="e">
        <f aca="false">IF($A165="","",AL164-AM164)</f>
        <v>#N/A</v>
      </c>
      <c r="AO164" s="137" t="n">
        <f aca="false">IF(A165="","",A165-A164)</f>
        <v>30</v>
      </c>
      <c r="AP164" s="212" t="n">
        <f aca="false">IF(A165="","",CHOOSE(F$3,A165+24,A164))</f>
        <v>41730</v>
      </c>
      <c r="AQ164" s="209" t="n">
        <f aca="false">IF(A165="","",AP164-$E$1)</f>
        <v>-4196</v>
      </c>
      <c r="AR164" s="185" t="n">
        <f aca="false">'ANR OK vs ML7'!AR164</f>
        <v>0.1</v>
      </c>
      <c r="AS164" s="213" t="n">
        <f aca="false">IF(A165="","",1/(1+CHOOSE(F$3,(AR165+($I$3/10000))/2,(AR164+($I$3/10000))/2))^(2*AQ164/365.25))</f>
        <v>3.06793577434691</v>
      </c>
      <c r="AT164" s="137" t="n">
        <f aca="false">IF(A165="","",IF(AND(mthbeg&lt;=A164,mthend&gt;=A164),1,0))</f>
        <v>1</v>
      </c>
      <c r="AU164" s="137" t="n">
        <f aca="false">IF(A165="","",AO164*AT164)</f>
        <v>30</v>
      </c>
      <c r="AW164" s="195" t="e">
        <f aca="false">IF($A165="","",AL164*$E164)</f>
        <v>#NAME?</v>
      </c>
      <c r="AX164" s="195" t="e">
        <f aca="false">IF($A165="","",AM164*$E164)</f>
        <v>#N/A</v>
      </c>
      <c r="AY164" s="195" t="e">
        <f aca="false">IF($A165="","",AN164*$E164)</f>
        <v>#N/A</v>
      </c>
      <c r="BA164" s="195" t="n">
        <f aca="false">IF($A165="","",F164*Summary!$Q$8)</f>
        <v>0</v>
      </c>
      <c r="BC164" s="179" t="e">
        <f aca="false">IF(A165="","",AM164*F164)</f>
        <v>#N/A</v>
      </c>
    </row>
    <row r="165" customFormat="false" ht="12.75" hidden="false" customHeight="false" outlineLevel="0" collapsed="false">
      <c r="A165" s="196" t="n">
        <f aca="false">IF(A164&lt;mthend,EDATE(A164,1),"")</f>
        <v>41760</v>
      </c>
      <c r="B165" s="197" t="n">
        <f aca="false">IF(A165&lt;mthend,B164,0)</f>
        <v>80000</v>
      </c>
      <c r="C165" s="215"/>
      <c r="D165" s="197" t="n">
        <f aca="false">IF(A166&lt;&gt;"",B165+C165,"")</f>
        <v>80000</v>
      </c>
      <c r="E165" s="199" t="n">
        <f aca="false">IF(A166="","",IF(AND(AT165=1,$H$3=1),D165*AO165,IF($H$3=2,D165,"N/A")))</f>
        <v>2480000</v>
      </c>
      <c r="F165" s="199" t="n">
        <f aca="false">IF(A166="","",E165*AS165)</f>
        <v>7547743.90484055</v>
      </c>
      <c r="G165" s="200" t="e">
        <f aca="false">IF($A166="","",VLOOKUP($A165,Table,MATCH(G$4,Curves,0)))</f>
        <v>#N/A</v>
      </c>
      <c r="H165" s="201" t="e">
        <f aca="false">IF(A166="","",G165)</f>
        <v>#N/A</v>
      </c>
      <c r="I165" s="202"/>
      <c r="J165" s="200" t="e">
        <f aca="false">IF($A166="","",VLOOKUP($A165,Table,MATCH(J$4,Curves,0)))</f>
        <v>#N/A</v>
      </c>
      <c r="K165" s="201" t="e">
        <f aca="false">IF(A166="","",J165)</f>
        <v>#N/A</v>
      </c>
      <c r="L165" s="200" t="e">
        <f aca="false">IF($A166="","",VLOOKUP($A165,Table,MATCH(L$4,Curves,0)))</f>
        <v>#N/A</v>
      </c>
      <c r="M165" s="201" t="e">
        <f aca="false">IF(A166="","",L165)</f>
        <v>#N/A</v>
      </c>
      <c r="N165" s="203"/>
      <c r="O165" s="200" t="e">
        <f aca="false">IF(A166="","",L165+J165+G165)</f>
        <v>#N/A</v>
      </c>
      <c r="P165" s="200" t="e">
        <f aca="false">IF(A166="","",M165+K165+H165)</f>
        <v>#N/A</v>
      </c>
      <c r="Q165" s="204"/>
      <c r="R165" s="200" t="e">
        <f aca="false">IF($A166="","",VLOOKUP($A165,Table,MATCH(R$4,Curves,0)))</f>
        <v>#N/A</v>
      </c>
      <c r="S165" s="201" t="e">
        <f aca="false">IF(A166="","",R165)</f>
        <v>#N/A</v>
      </c>
      <c r="T165" s="200" t="e">
        <f aca="false">IF($A166="","",VLOOKUP($A165,Table,MATCH(T$4,Curves,0)))</f>
        <v>#N/A</v>
      </c>
      <c r="U165" s="201" t="e">
        <f aca="false">IF(A166="","",T165)</f>
        <v>#N/A</v>
      </c>
      <c r="V165" s="183" t="e">
        <f aca="false">IF($A166="","",IF(AND(MONTH(A165)&gt;3,MONTH(A165)&lt;11),(T165+R165+G165)*Summary!$T$8/(1-Summary!$T$8),(T165+R165+G165)*Summary!$U$8/(1-Summary!$U$8)))</f>
        <v>#N/A</v>
      </c>
      <c r="W165" s="200" t="e">
        <f aca="false">IF($A166="","",(T165+R165+G165+V165))</f>
        <v>#N/A</v>
      </c>
      <c r="X165" s="200" t="e">
        <f aca="false">IF($A166="","",(U165+S165+H165+V165))</f>
        <v>#N/A</v>
      </c>
      <c r="Y165" s="202"/>
      <c r="Z165" s="185" t="e">
        <f aca="false">IF($A166="","",VLOOKUP($A165,Table,MATCH(Z$4,Curves,0)))</f>
        <v>#N/A</v>
      </c>
      <c r="AA165" s="185" t="e">
        <f aca="false">IF($A166="","",VLOOKUP($A165,Table,MATCH(AA$4,Curves,0)))</f>
        <v>#N/A</v>
      </c>
      <c r="AB165" s="185" t="e">
        <f aca="false">SQRT((AA165^2*(A165-$D$3)+Z165^2*(DAY(EOMONTH(A165,0))/2))/AK165)</f>
        <v>#N/A</v>
      </c>
      <c r="AC165" s="185" t="e">
        <f aca="false">IF($A166="","",VLOOKUP($A165,Table,MATCH(AC$4,Curves,0)))</f>
        <v>#N/A</v>
      </c>
      <c r="AD165" s="185" t="e">
        <f aca="false">IF($A166="","",VLOOKUP($A165,Table,MATCH(AD$4,Curves,0)))</f>
        <v>#N/A</v>
      </c>
      <c r="AE165" s="185" t="e">
        <f aca="false">SQRT((AD165^2*(A165-$D$3)+AC165^2*(DAY(EOMONTH(A165,0))/2))/AK165)</f>
        <v>#N/A</v>
      </c>
      <c r="AF165" s="224" t="e">
        <f aca="false">((Summary!$N$8*(AA165*AD165)*(A165-$D$3))+(Summary!$M$8*Z165*AC165*(AJ165-EOMONTH(EDATE(A165,-1),0))))/(AK165*AB165*AE165)</f>
        <v>#N/A</v>
      </c>
      <c r="AG165" s="207" t="n">
        <f aca="false">IF($A166="","",Summary!$Q$8)</f>
        <v>0</v>
      </c>
      <c r="AH165" s="207" t="n">
        <f aca="false">IF($A166="","",IF(Summary!$R$8="Y",(VLOOKUP($A165,Summary!$AD$6:$AF$9,3)+'Escalating commodity'!D178),'Escalating commodity'!D178))</f>
        <v>0.0200232</v>
      </c>
      <c r="AI165" s="207" t="n">
        <f aca="false">IF($A166="","",AH165)</f>
        <v>0.0200232</v>
      </c>
      <c r="AJ165" s="208" t="n">
        <f aca="false">A165+DAY(EOMONTH(A165,0))/2-1</f>
        <v>41774.5</v>
      </c>
      <c r="AK165" s="209" t="n">
        <f aca="false">IF($A166="","",$A165-$E$1)</f>
        <v>-4166</v>
      </c>
      <c r="AL165" s="182" t="e">
        <f aca="false">IF($A166="","",SPRDOPT(P165,X165,AI165,0,AB165,AE165,AF165,AK165,$AJ$2,0))</f>
        <v>#NAME?</v>
      </c>
      <c r="AM165" s="211" t="e">
        <f aca="false">IF($A166="","",MAX(0,O165-W165-AI165))</f>
        <v>#N/A</v>
      </c>
      <c r="AN165" s="211" t="e">
        <f aca="false">IF($A166="","",AL165-AM165)</f>
        <v>#N/A</v>
      </c>
      <c r="AO165" s="137" t="n">
        <f aca="false">IF(A166="","",A166-A165)</f>
        <v>31</v>
      </c>
      <c r="AP165" s="212" t="n">
        <f aca="false">IF(A166="","",CHOOSE(F$3,A166+24,A165))</f>
        <v>41760</v>
      </c>
      <c r="AQ165" s="209" t="n">
        <f aca="false">IF(A166="","",AP165-$E$1)</f>
        <v>-4166</v>
      </c>
      <c r="AR165" s="185" t="n">
        <f aca="false">'ANR OK vs ML7'!AR165</f>
        <v>0.1</v>
      </c>
      <c r="AS165" s="213" t="n">
        <f aca="false">IF(A166="","",1/(1+CHOOSE(F$3,(AR166+($I$3/10000))/2,(AR165+($I$3/10000))/2))^(2*AQ165/365.25))</f>
        <v>3.04344512291958</v>
      </c>
      <c r="AT165" s="137" t="n">
        <f aca="false">IF(A166="","",IF(AND(mthbeg&lt;=A165,mthend&gt;=A165),1,0))</f>
        <v>1</v>
      </c>
      <c r="AU165" s="137" t="n">
        <f aca="false">IF(A166="","",AO165*AT165)</f>
        <v>31</v>
      </c>
      <c r="AW165" s="195" t="e">
        <f aca="false">IF($A166="","",AL165*$E165)</f>
        <v>#NAME?</v>
      </c>
      <c r="AX165" s="195" t="e">
        <f aca="false">IF($A166="","",AM165*$E165)</f>
        <v>#N/A</v>
      </c>
      <c r="AY165" s="195" t="e">
        <f aca="false">IF($A166="","",AN165*$E165)</f>
        <v>#N/A</v>
      </c>
      <c r="BA165" s="195" t="n">
        <f aca="false">IF($A166="","",F165*Summary!$Q$8)</f>
        <v>0</v>
      </c>
      <c r="BC165" s="179" t="e">
        <f aca="false">IF(A166="","",AM165*F165)</f>
        <v>#N/A</v>
      </c>
    </row>
    <row r="166" customFormat="false" ht="12.75" hidden="false" customHeight="false" outlineLevel="0" collapsed="false">
      <c r="A166" s="196" t="n">
        <f aca="false">IF(A165&lt;mthend,EDATE(A165,1),"")</f>
        <v>41791</v>
      </c>
      <c r="B166" s="197" t="n">
        <f aca="false">IF(A166&lt;mthend,B165,0)</f>
        <v>80000</v>
      </c>
      <c r="C166" s="215"/>
      <c r="D166" s="197" t="n">
        <f aca="false">IF(A167&lt;&gt;"",B166+C166,"")</f>
        <v>80000</v>
      </c>
      <c r="E166" s="199" t="n">
        <f aca="false">IF(A167="","",IF(AND(AT166=1,$H$3=1),D166*AO166,IF($H$3=2,D166,"N/A")))</f>
        <v>2400000</v>
      </c>
      <c r="F166" s="199" t="n">
        <f aca="false">IF(A167="","",E166*AS166)</f>
        <v>7244024.36500905</v>
      </c>
      <c r="G166" s="200" t="e">
        <f aca="false">IF($A167="","",VLOOKUP($A166,Table,MATCH(G$4,Curves,0)))</f>
        <v>#N/A</v>
      </c>
      <c r="H166" s="201" t="e">
        <f aca="false">IF(A167="","",G166)</f>
        <v>#N/A</v>
      </c>
      <c r="I166" s="202"/>
      <c r="J166" s="200" t="e">
        <f aca="false">IF($A167="","",VLOOKUP($A166,Table,MATCH(J$4,Curves,0)))</f>
        <v>#N/A</v>
      </c>
      <c r="K166" s="201" t="e">
        <f aca="false">IF(A167="","",J166)</f>
        <v>#N/A</v>
      </c>
      <c r="L166" s="200" t="e">
        <f aca="false">IF($A167="","",VLOOKUP($A166,Table,MATCH(L$4,Curves,0)))</f>
        <v>#N/A</v>
      </c>
      <c r="M166" s="201" t="e">
        <f aca="false">IF(A167="","",L166)</f>
        <v>#N/A</v>
      </c>
      <c r="N166" s="203"/>
      <c r="O166" s="200" t="e">
        <f aca="false">IF(A167="","",L166+J166+G166)</f>
        <v>#N/A</v>
      </c>
      <c r="P166" s="200" t="e">
        <f aca="false">IF(A167="","",M166+K166+H166)</f>
        <v>#N/A</v>
      </c>
      <c r="Q166" s="204"/>
      <c r="R166" s="200" t="e">
        <f aca="false">IF($A167="","",VLOOKUP($A166,Table,MATCH(R$4,Curves,0)))</f>
        <v>#N/A</v>
      </c>
      <c r="S166" s="201" t="e">
        <f aca="false">IF(A167="","",R166)</f>
        <v>#N/A</v>
      </c>
      <c r="T166" s="200" t="e">
        <f aca="false">IF($A167="","",VLOOKUP($A166,Table,MATCH(T$4,Curves,0)))</f>
        <v>#N/A</v>
      </c>
      <c r="U166" s="201" t="e">
        <f aca="false">IF(A167="","",T166)</f>
        <v>#N/A</v>
      </c>
      <c r="V166" s="183" t="e">
        <f aca="false">IF($A167="","",IF(AND(MONTH(A166)&gt;3,MONTH(A166)&lt;11),(T166+R166+G166)*Summary!$T$8/(1-Summary!$T$8),(T166+R166+G166)*Summary!$U$8/(1-Summary!$U$8)))</f>
        <v>#N/A</v>
      </c>
      <c r="W166" s="200" t="e">
        <f aca="false">IF($A167="","",(T166+R166+G166+V166))</f>
        <v>#N/A</v>
      </c>
      <c r="X166" s="200" t="e">
        <f aca="false">IF($A167="","",(U166+S166+H166+V166))</f>
        <v>#N/A</v>
      </c>
      <c r="Y166" s="202"/>
      <c r="Z166" s="185" t="e">
        <f aca="false">IF($A167="","",VLOOKUP($A166,Table,MATCH(Z$4,Curves,0)))</f>
        <v>#N/A</v>
      </c>
      <c r="AA166" s="185" t="e">
        <f aca="false">IF($A167="","",VLOOKUP($A166,Table,MATCH(AA$4,Curves,0)))</f>
        <v>#N/A</v>
      </c>
      <c r="AB166" s="185" t="e">
        <f aca="false">SQRT((AA166^2*(A166-$D$3)+Z166^2*(DAY(EOMONTH(A166,0))/2))/AK166)</f>
        <v>#N/A</v>
      </c>
      <c r="AC166" s="185" t="e">
        <f aca="false">IF($A167="","",VLOOKUP($A166,Table,MATCH(AC$4,Curves,0)))</f>
        <v>#N/A</v>
      </c>
      <c r="AD166" s="185" t="e">
        <f aca="false">IF($A167="","",VLOOKUP($A166,Table,MATCH(AD$4,Curves,0)))</f>
        <v>#N/A</v>
      </c>
      <c r="AE166" s="185" t="e">
        <f aca="false">SQRT((AD166^2*(A166-$D$3)+AC166^2*(DAY(EOMONTH(A166,0))/2))/AK166)</f>
        <v>#N/A</v>
      </c>
      <c r="AF166" s="224" t="e">
        <f aca="false">((Summary!$N$8*(AA166*AD166)*(A166-$D$3))+(Summary!$M$8*Z166*AC166*(AJ166-EOMONTH(EDATE(A166,-1),0))))/(AK166*AB166*AE166)</f>
        <v>#N/A</v>
      </c>
      <c r="AG166" s="207" t="n">
        <f aca="false">IF($A167="","",Summary!$Q$8)</f>
        <v>0</v>
      </c>
      <c r="AH166" s="207" t="n">
        <f aca="false">IF($A167="","",IF(Summary!$R$8="Y",(VLOOKUP($A166,Summary!$AD$6:$AF$9,3)+'Escalating commodity'!D179),'Escalating commodity'!D179))</f>
        <v>0.0200232</v>
      </c>
      <c r="AI166" s="207" t="n">
        <f aca="false">IF($A167="","",AH166)</f>
        <v>0.0200232</v>
      </c>
      <c r="AJ166" s="208" t="n">
        <f aca="false">A166+DAY(EOMONTH(A166,0))/2-1</f>
        <v>41805</v>
      </c>
      <c r="AK166" s="209" t="n">
        <f aca="false">IF($A167="","",$A166-$E$1)</f>
        <v>-4135</v>
      </c>
      <c r="AL166" s="182" t="e">
        <f aca="false">IF($A167="","",SPRDOPT(P166,X166,AI166,0,AB166,AE166,AF166,AK166,$AJ$2,0))</f>
        <v>#NAME?</v>
      </c>
      <c r="AM166" s="211" t="e">
        <f aca="false">IF($A167="","",MAX(0,O166-W166-AI166))</f>
        <v>#N/A</v>
      </c>
      <c r="AN166" s="211" t="e">
        <f aca="false">IF($A167="","",AL166-AM166)</f>
        <v>#N/A</v>
      </c>
      <c r="AO166" s="137" t="n">
        <f aca="false">IF(A167="","",A167-A166)</f>
        <v>30</v>
      </c>
      <c r="AP166" s="212" t="n">
        <f aca="false">IF(A167="","",CHOOSE(F$3,A167+24,A166))</f>
        <v>41791</v>
      </c>
      <c r="AQ166" s="209" t="n">
        <f aca="false">IF(A167="","",AP166-$E$1)</f>
        <v>-4135</v>
      </c>
      <c r="AR166" s="185" t="n">
        <f aca="false">'ANR OK vs ML7'!AR166</f>
        <v>0.1</v>
      </c>
      <c r="AS166" s="213" t="n">
        <f aca="false">IF(A167="","",1/(1+CHOOSE(F$3,(AR167+($I$3/10000))/2,(AR166+($I$3/10000))/2))^(2*AQ166/365.25))</f>
        <v>3.01834348542044</v>
      </c>
      <c r="AT166" s="137" t="n">
        <f aca="false">IF(A167="","",IF(AND(mthbeg&lt;=A166,mthend&gt;=A166),1,0))</f>
        <v>1</v>
      </c>
      <c r="AU166" s="137" t="n">
        <f aca="false">IF(A167="","",AO166*AT166)</f>
        <v>30</v>
      </c>
      <c r="AW166" s="195" t="e">
        <f aca="false">IF($A167="","",AL166*$E166)</f>
        <v>#NAME?</v>
      </c>
      <c r="AX166" s="195" t="e">
        <f aca="false">IF($A167="","",AM166*$E166)</f>
        <v>#N/A</v>
      </c>
      <c r="AY166" s="195" t="e">
        <f aca="false">IF($A167="","",AN166*$E166)</f>
        <v>#N/A</v>
      </c>
      <c r="BA166" s="195" t="n">
        <f aca="false">IF($A167="","",F166*Summary!$Q$8)</f>
        <v>0</v>
      </c>
      <c r="BC166" s="179" t="e">
        <f aca="false">IF(A167="","",AM166*F166)</f>
        <v>#N/A</v>
      </c>
    </row>
    <row r="167" customFormat="false" ht="12.75" hidden="false" customHeight="false" outlineLevel="0" collapsed="false">
      <c r="A167" s="196" t="n">
        <f aca="false">IF(A166&lt;mthend,EDATE(A166,1),"")</f>
        <v>41821</v>
      </c>
      <c r="B167" s="197" t="n">
        <f aca="false">IF(A167&lt;mthend,B166,0)</f>
        <v>80000</v>
      </c>
      <c r="C167" s="215"/>
      <c r="D167" s="197" t="n">
        <f aca="false">IF(A168&lt;&gt;"",B167+C167,"")</f>
        <v>80000</v>
      </c>
      <c r="E167" s="199" t="n">
        <f aca="false">IF(A168="","",IF(AND(AT167=1,$H$3=1),D167*AO167,IF($H$3=2,D167,"N/A")))</f>
        <v>2480000</v>
      </c>
      <c r="F167" s="199" t="n">
        <f aca="false">IF(A168="","",E167*AS167)</f>
        <v>7425736.82124979</v>
      </c>
      <c r="G167" s="200" t="e">
        <f aca="false">IF($A168="","",VLOOKUP($A167,Table,MATCH(G$4,Curves,0)))</f>
        <v>#N/A</v>
      </c>
      <c r="H167" s="201" t="e">
        <f aca="false">IF(A168="","",G167)</f>
        <v>#N/A</v>
      </c>
      <c r="I167" s="202"/>
      <c r="J167" s="200" t="e">
        <f aca="false">IF($A168="","",VLOOKUP($A167,Table,MATCH(J$4,Curves,0)))</f>
        <v>#N/A</v>
      </c>
      <c r="K167" s="201" t="e">
        <f aca="false">IF(A168="","",J167)</f>
        <v>#N/A</v>
      </c>
      <c r="L167" s="200" t="e">
        <f aca="false">IF($A168="","",VLOOKUP($A167,Table,MATCH(L$4,Curves,0)))</f>
        <v>#N/A</v>
      </c>
      <c r="M167" s="201" t="e">
        <f aca="false">IF(A168="","",L167)</f>
        <v>#N/A</v>
      </c>
      <c r="N167" s="203"/>
      <c r="O167" s="200" t="e">
        <f aca="false">IF(A168="","",L167+J167+G167)</f>
        <v>#N/A</v>
      </c>
      <c r="P167" s="200" t="e">
        <f aca="false">IF(A168="","",M167+K167+H167)</f>
        <v>#N/A</v>
      </c>
      <c r="Q167" s="204"/>
      <c r="R167" s="200" t="e">
        <f aca="false">IF($A168="","",VLOOKUP($A167,Table,MATCH(R$4,Curves,0)))</f>
        <v>#N/A</v>
      </c>
      <c r="S167" s="201" t="e">
        <f aca="false">IF(A168="","",R167)</f>
        <v>#N/A</v>
      </c>
      <c r="T167" s="200" t="e">
        <f aca="false">IF($A168="","",VLOOKUP($A167,Table,MATCH(T$4,Curves,0)))</f>
        <v>#N/A</v>
      </c>
      <c r="U167" s="201" t="e">
        <f aca="false">IF(A168="","",T167)</f>
        <v>#N/A</v>
      </c>
      <c r="V167" s="183" t="e">
        <f aca="false">IF($A168="","",IF(AND(MONTH(A167)&gt;3,MONTH(A167)&lt;11),(T167+R167+G167)*Summary!$T$8/(1-Summary!$T$8),(T167+R167+G167)*Summary!$U$8/(1-Summary!$U$8)))</f>
        <v>#N/A</v>
      </c>
      <c r="W167" s="200" t="e">
        <f aca="false">IF($A168="","",(T167+R167+G167+V167))</f>
        <v>#N/A</v>
      </c>
      <c r="X167" s="200" t="e">
        <f aca="false">IF($A168="","",(U167+S167+H167+V167))</f>
        <v>#N/A</v>
      </c>
      <c r="Y167" s="202"/>
      <c r="Z167" s="185" t="e">
        <f aca="false">IF($A168="","",VLOOKUP($A167,Table,MATCH(Z$4,Curves,0)))</f>
        <v>#N/A</v>
      </c>
      <c r="AA167" s="185" t="e">
        <f aca="false">IF($A168="","",VLOOKUP($A167,Table,MATCH(AA$4,Curves,0)))</f>
        <v>#N/A</v>
      </c>
      <c r="AB167" s="185" t="e">
        <f aca="false">SQRT((AA167^2*(A167-$D$3)+Z167^2*(DAY(EOMONTH(A167,0))/2))/AK167)</f>
        <v>#N/A</v>
      </c>
      <c r="AC167" s="185" t="e">
        <f aca="false">IF($A168="","",VLOOKUP($A167,Table,MATCH(AC$4,Curves,0)))</f>
        <v>#N/A</v>
      </c>
      <c r="AD167" s="185" t="e">
        <f aca="false">IF($A168="","",VLOOKUP($A167,Table,MATCH(AD$4,Curves,0)))</f>
        <v>#N/A</v>
      </c>
      <c r="AE167" s="185" t="e">
        <f aca="false">SQRT((AD167^2*(A167-$D$3)+AC167^2*(DAY(EOMONTH(A167,0))/2))/AK167)</f>
        <v>#N/A</v>
      </c>
      <c r="AF167" s="224" t="e">
        <f aca="false">((Summary!$N$8*(AA167*AD167)*(A167-$D$3))+(Summary!$M$8*Z167*AC167*(AJ167-EOMONTH(EDATE(A167,-1),0))))/(AK167*AB167*AE167)</f>
        <v>#N/A</v>
      </c>
      <c r="AG167" s="207" t="n">
        <f aca="false">IF($A168="","",Summary!$Q$8)</f>
        <v>0</v>
      </c>
      <c r="AH167" s="207" t="n">
        <f aca="false">IF($A168="","",IF(Summary!$R$8="Y",(VLOOKUP($A167,Summary!$AD$6:$AF$9,3)+'Escalating commodity'!D180),'Escalating commodity'!D180))</f>
        <v>0.0200232</v>
      </c>
      <c r="AI167" s="207" t="n">
        <f aca="false">IF($A168="","",AH167)</f>
        <v>0.0200232</v>
      </c>
      <c r="AJ167" s="208" t="n">
        <f aca="false">A167+DAY(EOMONTH(A167,0))/2-1</f>
        <v>41835.5</v>
      </c>
      <c r="AK167" s="209" t="n">
        <f aca="false">IF($A168="","",$A167-$E$1)</f>
        <v>-4105</v>
      </c>
      <c r="AL167" s="182" t="e">
        <f aca="false">IF($A168="","",SPRDOPT(P167,X167,AI167,0,AB167,AE167,AF167,AK167,$AJ$2,0))</f>
        <v>#NAME?</v>
      </c>
      <c r="AM167" s="211" t="e">
        <f aca="false">IF($A168="","",MAX(0,O167-W167-AI167))</f>
        <v>#N/A</v>
      </c>
      <c r="AN167" s="211" t="e">
        <f aca="false">IF($A168="","",AL167-AM167)</f>
        <v>#N/A</v>
      </c>
      <c r="AO167" s="137" t="n">
        <f aca="false">IF(A168="","",A168-A167)</f>
        <v>31</v>
      </c>
      <c r="AP167" s="212" t="n">
        <f aca="false">IF(A168="","",CHOOSE(F$3,A168+24,A167))</f>
        <v>41821</v>
      </c>
      <c r="AQ167" s="209" t="n">
        <f aca="false">IF(A168="","",AP167-$E$1)</f>
        <v>-4105</v>
      </c>
      <c r="AR167" s="185" t="n">
        <f aca="false">'ANR OK vs ML7'!AR167</f>
        <v>0.1</v>
      </c>
      <c r="AS167" s="213" t="n">
        <f aca="false">IF(A168="","",1/(1+CHOOSE(F$3,(AR168+($I$3/10000))/2,(AR167+($I$3/10000))/2))^(2*AQ167/365.25))</f>
        <v>2.99424871824588</v>
      </c>
      <c r="AT167" s="137" t="n">
        <f aca="false">IF(A168="","",IF(AND(mthbeg&lt;=A167,mthend&gt;=A167),1,0))</f>
        <v>1</v>
      </c>
      <c r="AU167" s="137" t="n">
        <f aca="false">IF(A168="","",AO167*AT167)</f>
        <v>31</v>
      </c>
      <c r="AW167" s="195" t="e">
        <f aca="false">IF($A168="","",AL167*$E167)</f>
        <v>#NAME?</v>
      </c>
      <c r="AX167" s="195" t="e">
        <f aca="false">IF($A168="","",AM167*$E167)</f>
        <v>#N/A</v>
      </c>
      <c r="AY167" s="195" t="e">
        <f aca="false">IF($A168="","",AN167*$E167)</f>
        <v>#N/A</v>
      </c>
      <c r="BA167" s="195" t="n">
        <f aca="false">IF($A168="","",F167*Summary!$Q$8)</f>
        <v>0</v>
      </c>
      <c r="BC167" s="179" t="e">
        <f aca="false">IF(A168="","",AM167*F167)</f>
        <v>#N/A</v>
      </c>
    </row>
    <row r="168" customFormat="false" ht="12.75" hidden="false" customHeight="false" outlineLevel="0" collapsed="false">
      <c r="A168" s="196" t="n">
        <f aca="false">IF(A167&lt;mthend,EDATE(A167,1),"")</f>
        <v>41852</v>
      </c>
      <c r="B168" s="197" t="n">
        <f aca="false">IF(A168&lt;mthend,B167,0)</f>
        <v>80000</v>
      </c>
      <c r="C168" s="215"/>
      <c r="D168" s="197" t="n">
        <f aca="false">IF(A169&lt;&gt;"",B168+C168,"")</f>
        <v>80000</v>
      </c>
      <c r="E168" s="199" t="n">
        <f aca="false">IF(A169="","",IF(AND(AT168=1,$H$3=1),D168*AO168,IF($H$3=2,D168,"N/A")))</f>
        <v>2480000</v>
      </c>
      <c r="F168" s="199" t="n">
        <f aca="false">IF(A169="","",E168*AS168)</f>
        <v>7364491.04670065</v>
      </c>
      <c r="G168" s="200" t="e">
        <f aca="false">IF($A169="","",VLOOKUP($A168,Table,MATCH(G$4,Curves,0)))</f>
        <v>#N/A</v>
      </c>
      <c r="H168" s="201" t="e">
        <f aca="false">IF(A169="","",G168)</f>
        <v>#N/A</v>
      </c>
      <c r="I168" s="202"/>
      <c r="J168" s="200" t="e">
        <f aca="false">IF($A169="","",VLOOKUP($A168,Table,MATCH(J$4,Curves,0)))</f>
        <v>#N/A</v>
      </c>
      <c r="K168" s="201" t="e">
        <f aca="false">IF(A169="","",J168)</f>
        <v>#N/A</v>
      </c>
      <c r="L168" s="200" t="e">
        <f aca="false">IF($A169="","",VLOOKUP($A168,Table,MATCH(L$4,Curves,0)))</f>
        <v>#N/A</v>
      </c>
      <c r="M168" s="201" t="e">
        <f aca="false">IF(A169="","",L168)</f>
        <v>#N/A</v>
      </c>
      <c r="N168" s="203"/>
      <c r="O168" s="200" t="e">
        <f aca="false">IF(A169="","",L168+J168+G168)</f>
        <v>#N/A</v>
      </c>
      <c r="P168" s="200" t="e">
        <f aca="false">IF(A169="","",M168+K168+H168)</f>
        <v>#N/A</v>
      </c>
      <c r="Q168" s="204"/>
      <c r="R168" s="200" t="e">
        <f aca="false">IF($A169="","",VLOOKUP($A168,Table,MATCH(R$4,Curves,0)))</f>
        <v>#N/A</v>
      </c>
      <c r="S168" s="201" t="e">
        <f aca="false">IF(A169="","",R168)</f>
        <v>#N/A</v>
      </c>
      <c r="T168" s="200" t="e">
        <f aca="false">IF($A169="","",VLOOKUP($A168,Table,MATCH(T$4,Curves,0)))</f>
        <v>#N/A</v>
      </c>
      <c r="U168" s="201" t="e">
        <f aca="false">IF(A169="","",T168)</f>
        <v>#N/A</v>
      </c>
      <c r="V168" s="183" t="e">
        <f aca="false">IF($A169="","",IF(AND(MONTH(A168)&gt;3,MONTH(A168)&lt;11),(T168+R168+G168)*Summary!$T$8/(1-Summary!$T$8),(T168+R168+G168)*Summary!$U$8/(1-Summary!$U$8)))</f>
        <v>#N/A</v>
      </c>
      <c r="W168" s="200" t="e">
        <f aca="false">IF($A169="","",(T168+R168+G168+V168))</f>
        <v>#N/A</v>
      </c>
      <c r="X168" s="200" t="e">
        <f aca="false">IF($A169="","",(U168+S168+H168+V168))</f>
        <v>#N/A</v>
      </c>
      <c r="Y168" s="202"/>
      <c r="Z168" s="185" t="e">
        <f aca="false">IF($A169="","",VLOOKUP($A168,Table,MATCH(Z$4,Curves,0)))</f>
        <v>#N/A</v>
      </c>
      <c r="AA168" s="185" t="e">
        <f aca="false">IF($A169="","",VLOOKUP($A168,Table,MATCH(AA$4,Curves,0)))</f>
        <v>#N/A</v>
      </c>
      <c r="AB168" s="185" t="e">
        <f aca="false">SQRT((AA168^2*(A168-$D$3)+Z168^2*(DAY(EOMONTH(A168,0))/2))/AK168)</f>
        <v>#N/A</v>
      </c>
      <c r="AC168" s="185" t="e">
        <f aca="false">IF($A169="","",VLOOKUP($A168,Table,MATCH(AC$4,Curves,0)))</f>
        <v>#N/A</v>
      </c>
      <c r="AD168" s="185" t="e">
        <f aca="false">IF($A169="","",VLOOKUP($A168,Table,MATCH(AD$4,Curves,0)))</f>
        <v>#N/A</v>
      </c>
      <c r="AE168" s="185" t="e">
        <f aca="false">SQRT((AD168^2*(A168-$D$3)+AC168^2*(DAY(EOMONTH(A168,0))/2))/AK168)</f>
        <v>#N/A</v>
      </c>
      <c r="AF168" s="224" t="e">
        <f aca="false">((Summary!$N$8*(AA168*AD168)*(A168-$D$3))+(Summary!$M$8*Z168*AC168*(AJ168-EOMONTH(EDATE(A168,-1),0))))/(AK168*AB168*AE168)</f>
        <v>#N/A</v>
      </c>
      <c r="AG168" s="207" t="n">
        <f aca="false">IF($A169="","",Summary!$Q$8)</f>
        <v>0</v>
      </c>
      <c r="AH168" s="207" t="n">
        <f aca="false">IF($A169="","",IF(Summary!$R$8="Y",(VLOOKUP($A168,Summary!$AD$6:$AF$9,3)+'Escalating commodity'!D181),'Escalating commodity'!D181))</f>
        <v>0.0200232</v>
      </c>
      <c r="AI168" s="207" t="n">
        <f aca="false">IF($A169="","",AH168)</f>
        <v>0.0200232</v>
      </c>
      <c r="AJ168" s="208" t="n">
        <f aca="false">A168+DAY(EOMONTH(A168,0))/2-1</f>
        <v>41866.5</v>
      </c>
      <c r="AK168" s="209" t="n">
        <f aca="false">IF($A169="","",$A168-$E$1)</f>
        <v>-4074</v>
      </c>
      <c r="AL168" s="182" t="e">
        <f aca="false">IF($A169="","",SPRDOPT(P168,X168,AI168,0,AB168,AE168,AF168,AK168,$AJ$2,0))</f>
        <v>#NAME?</v>
      </c>
      <c r="AM168" s="211" t="e">
        <f aca="false">IF($A169="","",MAX(0,O168-W168-AI168))</f>
        <v>#N/A</v>
      </c>
      <c r="AN168" s="211" t="e">
        <f aca="false">IF($A169="","",AL168-AM168)</f>
        <v>#N/A</v>
      </c>
      <c r="AO168" s="137" t="n">
        <f aca="false">IF(A169="","",A169-A168)</f>
        <v>31</v>
      </c>
      <c r="AP168" s="212" t="n">
        <f aca="false">IF(A169="","",CHOOSE(F$3,A169+24,A168))</f>
        <v>41852</v>
      </c>
      <c r="AQ168" s="209" t="n">
        <f aca="false">IF(A169="","",AP168-$E$1)</f>
        <v>-4074</v>
      </c>
      <c r="AR168" s="185" t="n">
        <f aca="false">'ANR OK vs ML7'!AR168</f>
        <v>0.1</v>
      </c>
      <c r="AS168" s="213" t="n">
        <f aca="false">IF(A169="","",1/(1+CHOOSE(F$3,(AR169+($I$3/10000))/2,(AR168+($I$3/10000))/2))^(2*AQ168/365.25))</f>
        <v>2.96955284141155</v>
      </c>
      <c r="AT168" s="137" t="n">
        <f aca="false">IF(A169="","",IF(AND(mthbeg&lt;=A168,mthend&gt;=A168),1,0))</f>
        <v>1</v>
      </c>
      <c r="AU168" s="137" t="n">
        <f aca="false">IF(A169="","",AO168*AT168)</f>
        <v>31</v>
      </c>
      <c r="AW168" s="195" t="e">
        <f aca="false">IF($A169="","",AL168*$E168)</f>
        <v>#NAME?</v>
      </c>
      <c r="AX168" s="195" t="e">
        <f aca="false">IF($A169="","",AM168*$E168)</f>
        <v>#N/A</v>
      </c>
      <c r="AY168" s="195" t="e">
        <f aca="false">IF($A169="","",AN168*$E168)</f>
        <v>#N/A</v>
      </c>
      <c r="BA168" s="195" t="n">
        <f aca="false">IF($A169="","",F168*Summary!$Q$8)</f>
        <v>0</v>
      </c>
      <c r="BC168" s="179" t="e">
        <f aca="false">IF(A169="","",AM168*F168)</f>
        <v>#N/A</v>
      </c>
    </row>
    <row r="169" customFormat="false" ht="12.75" hidden="false" customHeight="false" outlineLevel="0" collapsed="false">
      <c r="A169" s="196" t="n">
        <f aca="false">IF(A168&lt;mthend,EDATE(A168,1),"")</f>
        <v>41883</v>
      </c>
      <c r="B169" s="197" t="n">
        <f aca="false">IF(A169&lt;mthend,B168,0)</f>
        <v>80000</v>
      </c>
      <c r="C169" s="215"/>
      <c r="D169" s="197" t="n">
        <f aca="false">IF(A170&lt;&gt;"",B169+C169,"")</f>
        <v>80000</v>
      </c>
      <c r="E169" s="199" t="n">
        <f aca="false">IF(A170="","",IF(AND(AT169=1,$H$3=1),D169*AO169,IF($H$3=2,D169,"N/A")))</f>
        <v>2400000</v>
      </c>
      <c r="F169" s="199" t="n">
        <f aca="false">IF(A170="","",E169*AS169)</f>
        <v>7068145.56121555</v>
      </c>
      <c r="G169" s="200" t="e">
        <f aca="false">IF($A170="","",VLOOKUP($A169,Table,MATCH(G$4,Curves,0)))</f>
        <v>#N/A</v>
      </c>
      <c r="H169" s="201" t="e">
        <f aca="false">IF(A170="","",G169)</f>
        <v>#N/A</v>
      </c>
      <c r="I169" s="202"/>
      <c r="J169" s="200" t="e">
        <f aca="false">IF($A170="","",VLOOKUP($A169,Table,MATCH(J$4,Curves,0)))</f>
        <v>#N/A</v>
      </c>
      <c r="K169" s="201" t="e">
        <f aca="false">IF(A170="","",J169)</f>
        <v>#N/A</v>
      </c>
      <c r="L169" s="200" t="e">
        <f aca="false">IF($A170="","",VLOOKUP($A169,Table,MATCH(L$4,Curves,0)))</f>
        <v>#N/A</v>
      </c>
      <c r="M169" s="201" t="e">
        <f aca="false">IF(A170="","",L169)</f>
        <v>#N/A</v>
      </c>
      <c r="N169" s="203"/>
      <c r="O169" s="200" t="e">
        <f aca="false">IF(A170="","",L169+J169+G169)</f>
        <v>#N/A</v>
      </c>
      <c r="P169" s="200" t="e">
        <f aca="false">IF(A170="","",M169+K169+H169)</f>
        <v>#N/A</v>
      </c>
      <c r="Q169" s="204"/>
      <c r="R169" s="200" t="e">
        <f aca="false">IF($A170="","",VLOOKUP($A169,Table,MATCH(R$4,Curves,0)))</f>
        <v>#N/A</v>
      </c>
      <c r="S169" s="201" t="e">
        <f aca="false">IF(A170="","",R169)</f>
        <v>#N/A</v>
      </c>
      <c r="T169" s="200" t="e">
        <f aca="false">IF($A170="","",VLOOKUP($A169,Table,MATCH(T$4,Curves,0)))</f>
        <v>#N/A</v>
      </c>
      <c r="U169" s="201" t="e">
        <f aca="false">IF(A170="","",T169)</f>
        <v>#N/A</v>
      </c>
      <c r="V169" s="183" t="e">
        <f aca="false">IF($A170="","",IF(AND(MONTH(A169)&gt;3,MONTH(A169)&lt;11),(T169+R169+G169)*Summary!$T$8/(1-Summary!$T$8),(T169+R169+G169)*Summary!$U$8/(1-Summary!$U$8)))</f>
        <v>#N/A</v>
      </c>
      <c r="W169" s="200" t="e">
        <f aca="false">IF($A170="","",(T169+R169+G169+V169))</f>
        <v>#N/A</v>
      </c>
      <c r="X169" s="200" t="e">
        <f aca="false">IF($A170="","",(U169+S169+H169+V169))</f>
        <v>#N/A</v>
      </c>
      <c r="Y169" s="202"/>
      <c r="Z169" s="185" t="e">
        <f aca="false">IF($A170="","",VLOOKUP($A169,Table,MATCH(Z$4,Curves,0)))</f>
        <v>#N/A</v>
      </c>
      <c r="AA169" s="185" t="e">
        <f aca="false">IF($A170="","",VLOOKUP($A169,Table,MATCH(AA$4,Curves,0)))</f>
        <v>#N/A</v>
      </c>
      <c r="AB169" s="185" t="e">
        <f aca="false">SQRT((AA169^2*(A169-$D$3)+Z169^2*(DAY(EOMONTH(A169,0))/2))/AK169)</f>
        <v>#N/A</v>
      </c>
      <c r="AC169" s="185" t="e">
        <f aca="false">IF($A170="","",VLOOKUP($A169,Table,MATCH(AC$4,Curves,0)))</f>
        <v>#N/A</v>
      </c>
      <c r="AD169" s="185" t="e">
        <f aca="false">IF($A170="","",VLOOKUP($A169,Table,MATCH(AD$4,Curves,0)))</f>
        <v>#N/A</v>
      </c>
      <c r="AE169" s="185" t="e">
        <f aca="false">SQRT((AD169^2*(A169-$D$3)+AC169^2*(DAY(EOMONTH(A169,0))/2))/AK169)</f>
        <v>#N/A</v>
      </c>
      <c r="AF169" s="224" t="e">
        <f aca="false">((Summary!$N$8*(AA169*AD169)*(A169-$D$3))+(Summary!$M$8*Z169*AC169*(AJ169-EOMONTH(EDATE(A169,-1),0))))/(AK169*AB169*AE169)</f>
        <v>#N/A</v>
      </c>
      <c r="AG169" s="207" t="n">
        <f aca="false">IF($A170="","",Summary!$Q$8)</f>
        <v>0</v>
      </c>
      <c r="AH169" s="207" t="n">
        <f aca="false">IF($A170="","",IF(Summary!$R$8="Y",(VLOOKUP($A169,Summary!$AD$6:$AF$9,3)+'Escalating commodity'!D182),'Escalating commodity'!D182))</f>
        <v>0.0200232</v>
      </c>
      <c r="AI169" s="207" t="n">
        <f aca="false">IF($A170="","",AH169)</f>
        <v>0.0200232</v>
      </c>
      <c r="AJ169" s="208" t="n">
        <f aca="false">A169+DAY(EOMONTH(A169,0))/2-1</f>
        <v>41897</v>
      </c>
      <c r="AK169" s="209" t="n">
        <f aca="false">IF($A170="","",$A169-$E$1)</f>
        <v>-4043</v>
      </c>
      <c r="AL169" s="182" t="e">
        <f aca="false">IF($A170="","",SPRDOPT(P169,X169,AI169,0,AB169,AE169,AF169,AK169,$AJ$2,0))</f>
        <v>#NAME?</v>
      </c>
      <c r="AM169" s="211" t="e">
        <f aca="false">IF($A170="","",MAX(0,O169-W169-AI169))</f>
        <v>#N/A</v>
      </c>
      <c r="AN169" s="211" t="e">
        <f aca="false">IF($A170="","",AL169-AM169)</f>
        <v>#N/A</v>
      </c>
      <c r="AO169" s="137" t="n">
        <f aca="false">IF(A170="","",A170-A169)</f>
        <v>30</v>
      </c>
      <c r="AP169" s="212" t="n">
        <f aca="false">IF(A170="","",CHOOSE(F$3,A170+24,A169))</f>
        <v>41883</v>
      </c>
      <c r="AQ169" s="209" t="n">
        <f aca="false">IF(A170="","",AP169-$E$1)</f>
        <v>-4043</v>
      </c>
      <c r="AR169" s="185" t="n">
        <f aca="false">'ANR OK vs ML7'!AR169</f>
        <v>0.1</v>
      </c>
      <c r="AS169" s="213" t="n">
        <f aca="false">IF(A170="","",1/(1+CHOOSE(F$3,(AR170+($I$3/10000))/2,(AR169+($I$3/10000))/2))^(2*AQ169/365.25))</f>
        <v>2.94506065050648</v>
      </c>
      <c r="AT169" s="137" t="n">
        <f aca="false">IF(A170="","",IF(AND(mthbeg&lt;=A169,mthend&gt;=A169),1,0))</f>
        <v>1</v>
      </c>
      <c r="AU169" s="137" t="n">
        <f aca="false">IF(A170="","",AO169*AT169)</f>
        <v>30</v>
      </c>
      <c r="AW169" s="195" t="e">
        <f aca="false">IF($A170="","",AL169*$E169)</f>
        <v>#NAME?</v>
      </c>
      <c r="AX169" s="195" t="e">
        <f aca="false">IF($A170="","",AM169*$E169)</f>
        <v>#N/A</v>
      </c>
      <c r="AY169" s="195" t="e">
        <f aca="false">IF($A170="","",AN169*$E169)</f>
        <v>#N/A</v>
      </c>
      <c r="BA169" s="195" t="n">
        <f aca="false">IF($A170="","",F169*Summary!$Q$8)</f>
        <v>0</v>
      </c>
      <c r="BC169" s="179" t="e">
        <f aca="false">IF(A170="","",AM169*F169)</f>
        <v>#N/A</v>
      </c>
    </row>
    <row r="170" customFormat="false" ht="12" hidden="false" customHeight="true" outlineLevel="0" collapsed="false">
      <c r="A170" s="196" t="n">
        <f aca="false">IF(A169&lt;mthend,EDATE(A169,1),"")</f>
        <v>41913</v>
      </c>
      <c r="B170" s="197" t="n">
        <f aca="false">IF(A170&lt;mthend,B169,0)</f>
        <v>80000</v>
      </c>
      <c r="C170" s="215"/>
      <c r="D170" s="197" t="n">
        <f aca="false">IF(A171&lt;&gt;"",B170+C170,"")</f>
        <v>80000</v>
      </c>
      <c r="E170" s="199" t="n">
        <f aca="false">IF(A171="","",IF(AND(AT170=1,$H$3=1),D170*AO170,IF($H$3=2,D170,"N/A")))</f>
        <v>2480000</v>
      </c>
      <c r="F170" s="199" t="n">
        <f aca="false">IF(A171="","",E170*AS170)</f>
        <v>7245446.19222937</v>
      </c>
      <c r="G170" s="200" t="e">
        <f aca="false">IF($A171="","",VLOOKUP($A170,Table,MATCH(G$4,Curves,0)))</f>
        <v>#N/A</v>
      </c>
      <c r="H170" s="201" t="e">
        <f aca="false">IF(A171="","",G170)</f>
        <v>#N/A</v>
      </c>
      <c r="I170" s="202"/>
      <c r="J170" s="200" t="e">
        <f aca="false">IF($A171="","",VLOOKUP($A170,Table,MATCH(J$4,Curves,0)))</f>
        <v>#N/A</v>
      </c>
      <c r="K170" s="201" t="e">
        <f aca="false">IF(A171="","",J170)</f>
        <v>#N/A</v>
      </c>
      <c r="L170" s="200" t="e">
        <f aca="false">IF($A171="","",VLOOKUP($A170,Table,MATCH(L$4,Curves,0)))</f>
        <v>#N/A</v>
      </c>
      <c r="M170" s="201" t="e">
        <f aca="false">IF(A171="","",L170)</f>
        <v>#N/A</v>
      </c>
      <c r="N170" s="203"/>
      <c r="O170" s="200" t="e">
        <f aca="false">IF(A171="","",L170+J170+G170)</f>
        <v>#N/A</v>
      </c>
      <c r="P170" s="200" t="e">
        <f aca="false">IF(A171="","",M170+K170+H170)</f>
        <v>#N/A</v>
      </c>
      <c r="Q170" s="204"/>
      <c r="R170" s="200" t="e">
        <f aca="false">IF($A171="","",VLOOKUP($A170,Table,MATCH(R$4,Curves,0)))</f>
        <v>#N/A</v>
      </c>
      <c r="S170" s="201" t="e">
        <f aca="false">IF(A171="","",R170)</f>
        <v>#N/A</v>
      </c>
      <c r="T170" s="200" t="e">
        <f aca="false">IF($A171="","",VLOOKUP($A170,Table,MATCH(T$4,Curves,0)))</f>
        <v>#N/A</v>
      </c>
      <c r="U170" s="201" t="e">
        <f aca="false">IF(A171="","",T170)</f>
        <v>#N/A</v>
      </c>
      <c r="V170" s="183" t="e">
        <f aca="false">IF($A171="","",IF(AND(MONTH(A170)&gt;3,MONTH(A170)&lt;11),(T170+R170+G170)*Summary!$T$8/(1-Summary!$T$8),(T170+R170+G170)*Summary!$U$8/(1-Summary!$U$8)))</f>
        <v>#N/A</v>
      </c>
      <c r="W170" s="200" t="e">
        <f aca="false">IF($A171="","",(T170+R170+G170+V170))</f>
        <v>#N/A</v>
      </c>
      <c r="X170" s="200" t="e">
        <f aca="false">IF($A171="","",(U170+S170+H170+V170))</f>
        <v>#N/A</v>
      </c>
      <c r="Y170" s="202"/>
      <c r="Z170" s="185" t="e">
        <f aca="false">IF($A171="","",VLOOKUP($A170,Table,MATCH(Z$4,Curves,0)))</f>
        <v>#N/A</v>
      </c>
      <c r="AA170" s="185" t="e">
        <f aca="false">IF($A171="","",VLOOKUP($A170,Table,MATCH(AA$4,Curves,0)))</f>
        <v>#N/A</v>
      </c>
      <c r="AB170" s="185" t="e">
        <f aca="false">SQRT((AA170^2*(A170-$D$3)+Z170^2*(DAY(EOMONTH(A170,0))/2))/AK170)</f>
        <v>#N/A</v>
      </c>
      <c r="AC170" s="185" t="e">
        <f aca="false">IF($A171="","",VLOOKUP($A170,Table,MATCH(AC$4,Curves,0)))</f>
        <v>#N/A</v>
      </c>
      <c r="AD170" s="185" t="e">
        <f aca="false">IF($A171="","",VLOOKUP($A170,Table,MATCH(AD$4,Curves,0)))</f>
        <v>#N/A</v>
      </c>
      <c r="AE170" s="185" t="e">
        <f aca="false">SQRT((AD170^2*(A170-$D$3)+AC170^2*(DAY(EOMONTH(A170,0))/2))/AK170)</f>
        <v>#N/A</v>
      </c>
      <c r="AF170" s="224" t="e">
        <f aca="false">((Summary!$N$8*(AA170*AD170)*(A170-$D$3))+(Summary!$M$8*Z170*AC170*(AJ170-EOMONTH(EDATE(A170,-1),0))))/(AK170*AB170*AE170)</f>
        <v>#N/A</v>
      </c>
      <c r="AG170" s="207" t="n">
        <f aca="false">IF($A171="","",Summary!$Q$8)</f>
        <v>0</v>
      </c>
      <c r="AH170" s="207" t="n">
        <f aca="false">IF($A171="","",IF(Summary!$R$8="Y",(VLOOKUP($A170,Summary!$AD$6:$AF$9,3)+'Escalating commodity'!D183),'Escalating commodity'!D183))</f>
        <v>0.0200232</v>
      </c>
      <c r="AI170" s="207" t="n">
        <f aca="false">IF($A171="","",AH170)</f>
        <v>0.0200232</v>
      </c>
      <c r="AJ170" s="208" t="n">
        <f aca="false">A170+DAY(EOMONTH(A170,0))/2-1</f>
        <v>41927.5</v>
      </c>
      <c r="AK170" s="209" t="n">
        <f aca="false">IF($A171="","",$A170-$E$1)</f>
        <v>-4013</v>
      </c>
      <c r="AL170" s="182" t="e">
        <f aca="false">IF($A171="","",SPRDOPT(P170,X170,AI170,0,AB170,AE170,AF170,AK170,$AJ$2,0))</f>
        <v>#NAME?</v>
      </c>
      <c r="AM170" s="211" t="e">
        <f aca="false">IF($A171="","",MAX(0,O170-W170-AI170))</f>
        <v>#N/A</v>
      </c>
      <c r="AN170" s="211" t="e">
        <f aca="false">IF($A171="","",AL170-AM170)</f>
        <v>#N/A</v>
      </c>
      <c r="AO170" s="137" t="n">
        <f aca="false">IF(A171="","",A171-A170)</f>
        <v>31</v>
      </c>
      <c r="AP170" s="212" t="n">
        <f aca="false">IF(A171="","",CHOOSE(F$3,A171+24,A170))</f>
        <v>41913</v>
      </c>
      <c r="AQ170" s="209" t="n">
        <f aca="false">IF(A171="","",AP170-$E$1)</f>
        <v>-4013</v>
      </c>
      <c r="AR170" s="185" t="n">
        <f aca="false">'ANR OK vs ML7'!AR170</f>
        <v>0.1</v>
      </c>
      <c r="AS170" s="213" t="n">
        <f aca="false">IF(A171="","",1/(1+CHOOSE(F$3,(AR171+($I$3/10000))/2,(AR170+($I$3/10000))/2))^(2*AQ170/365.25))</f>
        <v>2.92155088396345</v>
      </c>
      <c r="AT170" s="137" t="n">
        <f aca="false">IF(A171="","",IF(AND(mthbeg&lt;=A170,mthend&gt;=A170),1,0))</f>
        <v>1</v>
      </c>
      <c r="AU170" s="137" t="n">
        <f aca="false">IF(A171="","",AO170*AT170)</f>
        <v>31</v>
      </c>
      <c r="AW170" s="195" t="e">
        <f aca="false">IF($A171="","",AL170*$E170)</f>
        <v>#NAME?</v>
      </c>
      <c r="AX170" s="195" t="e">
        <f aca="false">IF($A171="","",AM170*$E170)</f>
        <v>#N/A</v>
      </c>
      <c r="AY170" s="195" t="e">
        <f aca="false">IF($A171="","",AN170*$E170)</f>
        <v>#N/A</v>
      </c>
      <c r="BA170" s="195" t="n">
        <f aca="false">IF($A171="","",F170*Summary!$Q$8)</f>
        <v>0</v>
      </c>
      <c r="BC170" s="179" t="e">
        <f aca="false">IF(A171="","",AM170*F170)</f>
        <v>#N/A</v>
      </c>
    </row>
    <row r="171" customFormat="false" ht="12" hidden="false" customHeight="true" outlineLevel="0" collapsed="false">
      <c r="A171" s="196" t="n">
        <f aca="false">IF(A170&lt;mthend,EDATE(A170,1),"")</f>
        <v>41944</v>
      </c>
      <c r="B171" s="197" t="n">
        <f aca="false">IF(A171&lt;mthend,B170,0)</f>
        <v>80000</v>
      </c>
      <c r="C171" s="215"/>
      <c r="D171" s="197" t="n">
        <f aca="false">IF(A172&lt;&gt;"",B171+C171,"")</f>
        <v>80000</v>
      </c>
      <c r="E171" s="199" t="n">
        <f aca="false">IF(A172="","",IF(AND(AT171=1,$H$3=1),D171*AO171,IF($H$3=2,D171,"N/A")))</f>
        <v>2400000</v>
      </c>
      <c r="F171" s="199" t="n">
        <f aca="false">IF(A172="","",E171*AS171)</f>
        <v>6953891.04527128</v>
      </c>
      <c r="G171" s="200" t="e">
        <f aca="false">IF($A172="","",VLOOKUP($A171,Table,MATCH(G$4,Curves,0)))</f>
        <v>#N/A</v>
      </c>
      <c r="H171" s="201" t="e">
        <f aca="false">IF(A172="","",G171)</f>
        <v>#N/A</v>
      </c>
      <c r="I171" s="202"/>
      <c r="J171" s="200" t="e">
        <f aca="false">IF($A172="","",VLOOKUP($A171,Table,MATCH(J$4,Curves,0)))</f>
        <v>#N/A</v>
      </c>
      <c r="K171" s="201" t="e">
        <f aca="false">IF(A172="","",J171)</f>
        <v>#N/A</v>
      </c>
      <c r="L171" s="200" t="e">
        <f aca="false">IF($A172="","",VLOOKUP($A171,Table,MATCH(L$4,Curves,0)))</f>
        <v>#N/A</v>
      </c>
      <c r="M171" s="201" t="e">
        <f aca="false">IF(A172="","",L171)</f>
        <v>#N/A</v>
      </c>
      <c r="N171" s="203"/>
      <c r="O171" s="200" t="e">
        <f aca="false">IF(A172="","",L171+J171+G171)</f>
        <v>#N/A</v>
      </c>
      <c r="P171" s="200" t="e">
        <f aca="false">IF(A172="","",M171+K171+H171)</f>
        <v>#N/A</v>
      </c>
      <c r="Q171" s="204"/>
      <c r="R171" s="200" t="e">
        <f aca="false">IF($A172="","",VLOOKUP($A171,Table,MATCH(R$4,Curves,0)))</f>
        <v>#N/A</v>
      </c>
      <c r="S171" s="201" t="e">
        <f aca="false">IF(A172="","",R171)</f>
        <v>#N/A</v>
      </c>
      <c r="T171" s="200" t="e">
        <f aca="false">IF($A172="","",VLOOKUP($A171,Table,MATCH(T$4,Curves,0)))</f>
        <v>#N/A</v>
      </c>
      <c r="U171" s="201" t="e">
        <f aca="false">IF(A172="","",T171)</f>
        <v>#N/A</v>
      </c>
      <c r="V171" s="183" t="e">
        <f aca="false">IF($A172="","",IF(AND(MONTH(A171)&gt;3,MONTH(A171)&lt;11),(T171+R171+G171)*Summary!$T$8/(1-Summary!$T$8),(T171+R171+G171)*Summary!$U$8/(1-Summary!$U$8)))</f>
        <v>#N/A</v>
      </c>
      <c r="W171" s="200" t="e">
        <f aca="false">IF($A172="","",(T171+R171+G171+V171))</f>
        <v>#N/A</v>
      </c>
      <c r="X171" s="200" t="e">
        <f aca="false">IF($A172="","",(U171+S171+H171+V171))</f>
        <v>#N/A</v>
      </c>
      <c r="Y171" s="202"/>
      <c r="Z171" s="185" t="e">
        <f aca="false">IF($A172="","",VLOOKUP($A171,Table,MATCH(Z$4,Curves,0)))</f>
        <v>#N/A</v>
      </c>
      <c r="AA171" s="185" t="e">
        <f aca="false">IF($A172="","",VLOOKUP($A171,Table,MATCH(AA$4,Curves,0)))</f>
        <v>#N/A</v>
      </c>
      <c r="AB171" s="185" t="e">
        <f aca="false">SQRT((AA171^2*(A171-$D$3)+Z171^2*(DAY(EOMONTH(A171,0))/2))/AK171)</f>
        <v>#N/A</v>
      </c>
      <c r="AC171" s="185" t="e">
        <f aca="false">IF($A172="","",VLOOKUP($A171,Table,MATCH(AC$4,Curves,0)))</f>
        <v>#N/A</v>
      </c>
      <c r="AD171" s="185" t="e">
        <f aca="false">IF($A172="","",VLOOKUP($A171,Table,MATCH(AD$4,Curves,0)))</f>
        <v>#N/A</v>
      </c>
      <c r="AE171" s="185" t="e">
        <f aca="false">SQRT((AD171^2*(A171-$D$3)+AC171^2*(DAY(EOMONTH(A171,0))/2))/AK171)</f>
        <v>#N/A</v>
      </c>
      <c r="AF171" s="224" t="e">
        <f aca="false">((Summary!$N$8*(AA171*AD171)*(A171-$D$3))+(Summary!$M$8*Z171*AC171*(AJ171-EOMONTH(EDATE(A171,-1),0))))/(AK171*AB171*AE171)</f>
        <v>#N/A</v>
      </c>
      <c r="AG171" s="207" t="n">
        <f aca="false">IF($A172="","",Summary!$Q$8)</f>
        <v>0</v>
      </c>
      <c r="AH171" s="207" t="n">
        <f aca="false">IF($A172="","",IF(Summary!$R$8="Y",(VLOOKUP($A171,Summary!$AD$6:$AF$9,3)+'Escalating commodity'!D184),'Escalating commodity'!D184))</f>
        <v>0.0200232</v>
      </c>
      <c r="AI171" s="207" t="n">
        <f aca="false">IF($A172="","",AH171)</f>
        <v>0.0200232</v>
      </c>
      <c r="AJ171" s="208" t="n">
        <f aca="false">A171+DAY(EOMONTH(A171,0))/2-1</f>
        <v>41958</v>
      </c>
      <c r="AK171" s="209" t="n">
        <f aca="false">IF($A172="","",$A171-$E$1)</f>
        <v>-3982</v>
      </c>
      <c r="AL171" s="182" t="e">
        <f aca="false">IF($A172="","",SPRDOPT(P171,X171,AI171,0,AB171,AE171,AF171,AK171,$AJ$2,0))</f>
        <v>#NAME?</v>
      </c>
      <c r="AM171" s="211" t="e">
        <f aca="false">IF($A172="","",MAX(0,O171-W171-AI171))</f>
        <v>#N/A</v>
      </c>
      <c r="AN171" s="211" t="e">
        <f aca="false">IF($A172="","",AL171-AM171)</f>
        <v>#N/A</v>
      </c>
      <c r="AO171" s="137" t="n">
        <f aca="false">IF(A172="","",A172-A171)</f>
        <v>30</v>
      </c>
      <c r="AP171" s="212" t="n">
        <f aca="false">IF(A172="","",CHOOSE(F$3,A172+24,A171))</f>
        <v>41944</v>
      </c>
      <c r="AQ171" s="209" t="n">
        <f aca="false">IF(A172="","",AP171-$E$1)</f>
        <v>-3982</v>
      </c>
      <c r="AR171" s="185" t="n">
        <f aca="false">'ANR OK vs ML7'!AR171</f>
        <v>0.1</v>
      </c>
      <c r="AS171" s="213" t="n">
        <f aca="false">IF(A172="","",1/(1+CHOOSE(F$3,(AR172+($I$3/10000))/2,(AR171+($I$3/10000))/2))^(2*AQ171/365.25))</f>
        <v>2.89745460219636</v>
      </c>
      <c r="AT171" s="137" t="n">
        <f aca="false">IF(A172="","",IF(AND(mthbeg&lt;=A171,mthend&gt;=A171),1,0))</f>
        <v>1</v>
      </c>
      <c r="AU171" s="137" t="n">
        <f aca="false">IF(A172="","",AO171*AT171)</f>
        <v>30</v>
      </c>
      <c r="AW171" s="195" t="e">
        <f aca="false">IF($A172="","",AL171*$E171)</f>
        <v>#NAME?</v>
      </c>
      <c r="AX171" s="195" t="e">
        <f aca="false">IF($A172="","",AM171*$E171)</f>
        <v>#N/A</v>
      </c>
      <c r="AY171" s="195" t="e">
        <f aca="false">IF($A172="","",AN171*$E171)</f>
        <v>#N/A</v>
      </c>
      <c r="BA171" s="195" t="n">
        <f aca="false">IF($A172="","",F171*Summary!$Q$8)</f>
        <v>0</v>
      </c>
      <c r="BC171" s="179" t="e">
        <f aca="false">IF(A172="","",AM171*F171)</f>
        <v>#N/A</v>
      </c>
    </row>
    <row r="172" customFormat="false" ht="12" hidden="false" customHeight="true" outlineLevel="0" collapsed="false">
      <c r="A172" s="196" t="n">
        <f aca="false">IF(A171&lt;mthend,EDATE(A171,1),"")</f>
        <v>41974</v>
      </c>
      <c r="B172" s="197" t="n">
        <f aca="false">IF(A172&lt;mthend,B171,0)</f>
        <v>80000</v>
      </c>
      <c r="C172" s="215"/>
      <c r="D172" s="197" t="n">
        <f aca="false">IF(A173&lt;&gt;"",B172+C172,"")</f>
        <v>80000</v>
      </c>
      <c r="E172" s="199" t="n">
        <f aca="false">IF(A173="","",IF(AND(AT172=1,$H$3=1),D172*AO172,IF($H$3=2,D172,"N/A")))</f>
        <v>2480000</v>
      </c>
      <c r="F172" s="199" t="n">
        <f aca="false">IF(A173="","",E172*AS172)</f>
        <v>7128325.66318482</v>
      </c>
      <c r="G172" s="200" t="e">
        <f aca="false">IF($A173="","",VLOOKUP($A172,Table,MATCH(G$4,Curves,0)))</f>
        <v>#N/A</v>
      </c>
      <c r="H172" s="201" t="e">
        <f aca="false">IF(A173="","",G172)</f>
        <v>#N/A</v>
      </c>
      <c r="I172" s="202"/>
      <c r="J172" s="200" t="e">
        <f aca="false">IF($A173="","",VLOOKUP($A172,Table,MATCH(J$4,Curves,0)))</f>
        <v>#N/A</v>
      </c>
      <c r="K172" s="201" t="e">
        <f aca="false">IF(A173="","",J172)</f>
        <v>#N/A</v>
      </c>
      <c r="L172" s="200" t="e">
        <f aca="false">IF($A173="","",VLOOKUP($A172,Table,MATCH(L$4,Curves,0)))</f>
        <v>#N/A</v>
      </c>
      <c r="M172" s="201" t="e">
        <f aca="false">IF(A173="","",L172)</f>
        <v>#N/A</v>
      </c>
      <c r="N172" s="203"/>
      <c r="O172" s="200" t="e">
        <f aca="false">IF(A173="","",L172+J172+G172)</f>
        <v>#N/A</v>
      </c>
      <c r="P172" s="200" t="e">
        <f aca="false">IF(A173="","",M172+K172+H172)</f>
        <v>#N/A</v>
      </c>
      <c r="Q172" s="204"/>
      <c r="R172" s="200" t="e">
        <f aca="false">IF($A173="","",VLOOKUP($A172,Table,MATCH(R$4,Curves,0)))</f>
        <v>#N/A</v>
      </c>
      <c r="S172" s="201" t="e">
        <f aca="false">IF(A173="","",R172)</f>
        <v>#N/A</v>
      </c>
      <c r="T172" s="200" t="e">
        <f aca="false">IF($A173="","",VLOOKUP($A172,Table,MATCH(T$4,Curves,0)))</f>
        <v>#N/A</v>
      </c>
      <c r="U172" s="201" t="e">
        <f aca="false">IF(A173="","",T172)</f>
        <v>#N/A</v>
      </c>
      <c r="V172" s="183" t="e">
        <f aca="false">IF($A173="","",IF(AND(MONTH(A172)&gt;3,MONTH(A172)&lt;11),(T172+R172+G172)*Summary!$T$8/(1-Summary!$T$8),(T172+R172+G172)*Summary!$U$8/(1-Summary!$U$8)))</f>
        <v>#N/A</v>
      </c>
      <c r="W172" s="200" t="e">
        <f aca="false">IF($A173="","",(T172+R172+G172+V172))</f>
        <v>#N/A</v>
      </c>
      <c r="X172" s="200" t="e">
        <f aca="false">IF($A173="","",(U172+S172+H172+V172))</f>
        <v>#N/A</v>
      </c>
      <c r="Y172" s="202"/>
      <c r="Z172" s="185" t="e">
        <f aca="false">IF($A173="","",VLOOKUP($A172,Table,MATCH(Z$4,Curves,0)))</f>
        <v>#N/A</v>
      </c>
      <c r="AA172" s="185" t="e">
        <f aca="false">IF($A173="","",VLOOKUP($A172,Table,MATCH(AA$4,Curves,0)))</f>
        <v>#N/A</v>
      </c>
      <c r="AB172" s="185" t="e">
        <f aca="false">SQRT((AA172^2*(A172-$D$3)+Z172^2*(DAY(EOMONTH(A172,0))/2))/AK172)</f>
        <v>#N/A</v>
      </c>
      <c r="AC172" s="185" t="e">
        <f aca="false">IF($A173="","",VLOOKUP($A172,Table,MATCH(AC$4,Curves,0)))</f>
        <v>#N/A</v>
      </c>
      <c r="AD172" s="185" t="e">
        <f aca="false">IF($A173="","",VLOOKUP($A172,Table,MATCH(AD$4,Curves,0)))</f>
        <v>#N/A</v>
      </c>
      <c r="AE172" s="185" t="e">
        <f aca="false">SQRT((AD172^2*(A172-$D$3)+AC172^2*(DAY(EOMONTH(A172,0))/2))/AK172)</f>
        <v>#N/A</v>
      </c>
      <c r="AF172" s="224" t="e">
        <f aca="false">((Summary!$N$8*(AA172*AD172)*(A172-$D$3))+(Summary!$M$8*Z172*AC172*(AJ172-EOMONTH(EDATE(A172,-1),0))))/(AK172*AB172*AE172)</f>
        <v>#N/A</v>
      </c>
      <c r="AG172" s="207" t="n">
        <f aca="false">IF($A173="","",Summary!$Q$8)</f>
        <v>0</v>
      </c>
      <c r="AH172" s="207" t="n">
        <f aca="false">IF($A173="","",IF(Summary!$R$8="Y",(VLOOKUP($A172,Summary!$AD$6:$AF$9,3)+'Escalating commodity'!D185),'Escalating commodity'!D185))</f>
        <v>0.0200232</v>
      </c>
      <c r="AI172" s="207" t="n">
        <f aca="false">IF($A173="","",AH172)</f>
        <v>0.0200232</v>
      </c>
      <c r="AJ172" s="208" t="n">
        <f aca="false">A172+DAY(EOMONTH(A172,0))/2-1</f>
        <v>41988.5</v>
      </c>
      <c r="AK172" s="209" t="n">
        <f aca="false">IF($A173="","",$A172-$E$1)</f>
        <v>-3952</v>
      </c>
      <c r="AL172" s="182" t="e">
        <f aca="false">IF($A173="","",SPRDOPT(P172,X172,AI172,0,AB172,AE172,AF172,AK172,$AJ$2,0))</f>
        <v>#NAME?</v>
      </c>
      <c r="AM172" s="211" t="e">
        <f aca="false">IF($A173="","",MAX(0,O172-W172-AI172))</f>
        <v>#N/A</v>
      </c>
      <c r="AN172" s="211" t="e">
        <f aca="false">IF($A173="","",AL172-AM172)</f>
        <v>#N/A</v>
      </c>
      <c r="AO172" s="137" t="n">
        <f aca="false">IF(A173="","",A173-A172)</f>
        <v>31</v>
      </c>
      <c r="AP172" s="212" t="n">
        <f aca="false">IF(A173="","",CHOOSE(F$3,A173+24,A172))</f>
        <v>41974</v>
      </c>
      <c r="AQ172" s="209" t="n">
        <f aca="false">IF(A173="","",AP172-$E$1)</f>
        <v>-3952</v>
      </c>
      <c r="AR172" s="185" t="n">
        <f aca="false">'ANR OK vs ML7'!AR172</f>
        <v>0.1</v>
      </c>
      <c r="AS172" s="213" t="n">
        <f aca="false">IF(A173="","",1/(1+CHOOSE(F$3,(AR173+($I$3/10000))/2,(AR172+($I$3/10000))/2))^(2*AQ172/365.25))</f>
        <v>2.87432486418743</v>
      </c>
      <c r="AT172" s="137" t="n">
        <f aca="false">IF(A173="","",IF(AND(mthbeg&lt;=A172,mthend&gt;=A172),1,0))</f>
        <v>1</v>
      </c>
      <c r="AU172" s="137" t="n">
        <f aca="false">IF(A173="","",AO172*AT172)</f>
        <v>31</v>
      </c>
      <c r="AW172" s="195" t="e">
        <f aca="false">IF($A173="","",AL172*$E172)</f>
        <v>#NAME?</v>
      </c>
      <c r="AX172" s="195" t="e">
        <f aca="false">IF($A173="","",AM172*$E172)</f>
        <v>#N/A</v>
      </c>
      <c r="AY172" s="195" t="e">
        <f aca="false">IF($A173="","",AN172*$E172)</f>
        <v>#N/A</v>
      </c>
      <c r="BA172" s="195" t="n">
        <f aca="false">IF($A173="","",F172*Summary!$Q$8)</f>
        <v>0</v>
      </c>
      <c r="BC172" s="179" t="e">
        <f aca="false">IF(A173="","",AM172*F172)</f>
        <v>#N/A</v>
      </c>
    </row>
    <row r="173" customFormat="false" ht="12" hidden="false" customHeight="true" outlineLevel="0" collapsed="false">
      <c r="A173" s="196" t="n">
        <f aca="false">IF(A172&lt;mthend,EDATE(A172,1),"")</f>
        <v>42005</v>
      </c>
      <c r="B173" s="197" t="n">
        <f aca="false">IF(A173&lt;mthend,B172,0)</f>
        <v>0</v>
      </c>
      <c r="C173" s="215"/>
      <c r="D173" s="197" t="str">
        <f aca="false">IF(A174&lt;&gt;"",B173+C173,"")</f>
        <v/>
      </c>
      <c r="E173" s="199" t="str">
        <f aca="false">IF(A174="","",IF(AND(AT173=1,$H$3=1),D173*AO173,IF($H$3=2,D173,"N/A")))</f>
        <v/>
      </c>
      <c r="F173" s="199" t="str">
        <f aca="false">IF(A174="","",E173*AS173)</f>
        <v/>
      </c>
      <c r="G173" s="200" t="str">
        <f aca="false">IF($A174="","",VLOOKUP($A173,Table,MATCH(G$4,Curves,0)))</f>
        <v/>
      </c>
      <c r="H173" s="201" t="str">
        <f aca="false">IF(A174="","",G173)</f>
        <v/>
      </c>
      <c r="I173" s="202"/>
      <c r="J173" s="200" t="str">
        <f aca="false">IF($A174="","",VLOOKUP($A173,Table,MATCH(J$4,Curves,0)))</f>
        <v/>
      </c>
      <c r="K173" s="201" t="str">
        <f aca="false">IF(A174="","",J173)</f>
        <v/>
      </c>
      <c r="L173" s="200" t="str">
        <f aca="false">IF($A174="","",VLOOKUP($A173,Table,MATCH(L$4,Curves,0)))</f>
        <v/>
      </c>
      <c r="M173" s="201" t="str">
        <f aca="false">IF(A174="","",L173)</f>
        <v/>
      </c>
      <c r="N173" s="203"/>
      <c r="O173" s="200" t="str">
        <f aca="false">IF(A174="","",L173+J173+G173)</f>
        <v/>
      </c>
      <c r="P173" s="200" t="str">
        <f aca="false">IF(A174="","",M173+K173+H173)</f>
        <v/>
      </c>
      <c r="Q173" s="204"/>
      <c r="R173" s="200" t="str">
        <f aca="false">IF($A174="","",VLOOKUP($A173,Table,MATCH(R$4,Curves,0)))</f>
        <v/>
      </c>
      <c r="S173" s="201" t="str">
        <f aca="false">IF(A174="","",R173)</f>
        <v/>
      </c>
      <c r="T173" s="200" t="str">
        <f aca="false">IF($A174="","",VLOOKUP($A173,Table,MATCH(T$4,Curves,0)))</f>
        <v/>
      </c>
      <c r="U173" s="201" t="str">
        <f aca="false">IF(A174="","",T173)</f>
        <v/>
      </c>
      <c r="V173" s="183" t="str">
        <f aca="false">IF($A174="","",IF(AND(MONTH(A173)&gt;3,MONTH(A173)&lt;11),(T173+R173+G173)*Summary!$T$8/(1-Summary!$T$8),(T173+R173+G173)*Summary!$U$8/(1-Summary!$U$8)))</f>
        <v/>
      </c>
      <c r="W173" s="200" t="str">
        <f aca="false">IF($A174="","",(T173+R173+G173+V173))</f>
        <v/>
      </c>
      <c r="X173" s="200" t="str">
        <f aca="false">IF($A174="","",(U173+S173+H173+V173))</f>
        <v/>
      </c>
      <c r="Y173" s="202"/>
      <c r="Z173" s="185" t="str">
        <f aca="false">IF($A174="","",VLOOKUP($A173,Table,MATCH(Z$4,Curves,0)))</f>
        <v/>
      </c>
      <c r="AA173" s="185" t="str">
        <f aca="false">IF($A174="","",VLOOKUP($A173,Table,MATCH(AA$4,Curves,0)))</f>
        <v/>
      </c>
      <c r="AB173" s="185" t="e">
        <f aca="false">SQRT((AA173^2*(A173-$D$3)+Z173^2*(DAY(EOMONTH(A173,0))/2))/AK173)</f>
        <v>#VALUE!</v>
      </c>
      <c r="AC173" s="185" t="str">
        <f aca="false">IF($A174="","",VLOOKUP($A173,Table,MATCH(AC$4,Curves,0)))</f>
        <v/>
      </c>
      <c r="AD173" s="185" t="str">
        <f aca="false">IF($A174="","",VLOOKUP($A173,Table,MATCH(AD$4,Curves,0)))</f>
        <v/>
      </c>
      <c r="AE173" s="185" t="e">
        <f aca="false">SQRT((AD173^2*(A173-$D$3)+AC173^2*(DAY(EOMONTH(A173,0))/2))/AK173)</f>
        <v>#VALUE!</v>
      </c>
      <c r="AF173" s="224" t="e">
        <f aca="false">((Summary!$N$8*(AA173*AD173)*(A173-$D$3))+(Summary!$M$8*Z173*AC173*(AJ173-EOMONTH(EDATE(A173,-1),0))))/(AK173*AB173*AE173)</f>
        <v>#VALUE!</v>
      </c>
      <c r="AG173" s="207" t="str">
        <f aca="false">IF($A174="","",Summary!$Q$8)</f>
        <v/>
      </c>
      <c r="AH173" s="207" t="str">
        <f aca="false">IF($A174="","",IF(Summary!$R$8="Y",(VLOOKUP($A173,Summary!$AD$6:$AF$9,3)+'Escalating commodity'!D186),'Escalating commodity'!D186))</f>
        <v/>
      </c>
      <c r="AI173" s="207" t="str">
        <f aca="false">IF($A174="","",AH173)</f>
        <v/>
      </c>
      <c r="AJ173" s="208" t="n">
        <f aca="false">A173+DAY(EOMONTH(A173,0))/2-1</f>
        <v>42019.5</v>
      </c>
      <c r="AK173" s="209" t="str">
        <f aca="false">IF($A174="","",$A173-$E$1)</f>
        <v/>
      </c>
      <c r="AL173" s="182" t="str">
        <f aca="false">IF($A174="","",SPRDOPT(P173,X173,AI173,0,AB173,AE173,AF173,AK173,$AJ$2,0))</f>
        <v/>
      </c>
      <c r="AM173" s="211" t="str">
        <f aca="false">IF($A174="","",MAX(0,O173-W173-AI173))</f>
        <v/>
      </c>
      <c r="AN173" s="211" t="str">
        <f aca="false">IF($A174="","",AL173-AM173)</f>
        <v/>
      </c>
      <c r="AO173" s="137" t="str">
        <f aca="false">IF(A174="","",A174-A173)</f>
        <v/>
      </c>
      <c r="AP173" s="212" t="str">
        <f aca="false">IF(A174="","",CHOOSE(F$3,A174+24,A173))</f>
        <v/>
      </c>
      <c r="AQ173" s="209" t="str">
        <f aca="false">IF(A174="","",AP173-$E$1)</f>
        <v/>
      </c>
      <c r="AR173" s="185" t="n">
        <f aca="false">'ANR OK vs ML7'!AR173</f>
        <v>0.1</v>
      </c>
      <c r="AS173" s="213" t="str">
        <f aca="false">IF(A174="","",1/(1+CHOOSE(F$3,(AR174+($I$3/10000))/2,(AR173+($I$3/10000))/2))^(2*AQ173/365.25))</f>
        <v/>
      </c>
      <c r="AT173" s="137" t="str">
        <f aca="false">IF(A174="","",IF(AND(mthbeg&lt;=A173,mthend&gt;=A173),1,0))</f>
        <v/>
      </c>
      <c r="AU173" s="137" t="str">
        <f aca="false">IF(A174="","",AO173*AT173)</f>
        <v/>
      </c>
      <c r="AW173" s="195" t="str">
        <f aca="false">IF($A174="","",AL173*$E173)</f>
        <v/>
      </c>
      <c r="AX173" s="195" t="str">
        <f aca="false">IF($A174="","",AM173*$E173)</f>
        <v/>
      </c>
      <c r="AY173" s="195" t="str">
        <f aca="false">IF($A174="","",AN173*$E173)</f>
        <v/>
      </c>
      <c r="BA173" s="195" t="str">
        <f aca="false">IF($A174="","",F173*Summary!$Q$8)</f>
        <v/>
      </c>
      <c r="BC173" s="179" t="str">
        <f aca="false">IF(A174="","",AM173*F173)</f>
        <v/>
      </c>
    </row>
    <row r="174" customFormat="false" ht="12" hidden="false" customHeight="true" outlineLevel="0" collapsed="false">
      <c r="A174" s="196" t="str">
        <f aca="false">IF(A173&lt;mthend,EDATE(A173,1),"")</f>
        <v/>
      </c>
      <c r="B174" s="197" t="n">
        <f aca="false">IF(A174&lt;mthend,B173,0)</f>
        <v>0</v>
      </c>
      <c r="C174" s="215"/>
      <c r="D174" s="197" t="str">
        <f aca="false">IF(A175&lt;&gt;"",B174+C174,"")</f>
        <v/>
      </c>
      <c r="E174" s="199" t="str">
        <f aca="false">IF(A175="","",IF(AND(AT174=1,$H$3=1),D174*AO174,IF($H$3=2,D174,"N/A")))</f>
        <v/>
      </c>
      <c r="F174" s="199" t="str">
        <f aca="false">IF(A175="","",E174*AS174)</f>
        <v/>
      </c>
      <c r="G174" s="200" t="str">
        <f aca="false">IF($A175="","",VLOOKUP($A174,Table,MATCH(G$4,Curves,0)))</f>
        <v/>
      </c>
      <c r="H174" s="201" t="str">
        <f aca="false">IF(A175="","",G174)</f>
        <v/>
      </c>
      <c r="I174" s="202"/>
      <c r="J174" s="200" t="str">
        <f aca="false">IF($A175="","",VLOOKUP($A174,Table,MATCH(J$4,Curves,0)))</f>
        <v/>
      </c>
      <c r="K174" s="201" t="str">
        <f aca="false">IF(A175="","",J174)</f>
        <v/>
      </c>
      <c r="L174" s="200" t="str">
        <f aca="false">IF($A175="","",VLOOKUP($A174,Table,MATCH(L$4,Curves,0)))</f>
        <v/>
      </c>
      <c r="M174" s="201" t="str">
        <f aca="false">IF(A175="","",L174)</f>
        <v/>
      </c>
      <c r="N174" s="203"/>
      <c r="O174" s="200" t="str">
        <f aca="false">IF(A175="","",L174+J174+G174)</f>
        <v/>
      </c>
      <c r="P174" s="200" t="str">
        <f aca="false">IF(A175="","",M174+K174+H174)</f>
        <v/>
      </c>
      <c r="Q174" s="204"/>
      <c r="R174" s="200" t="str">
        <f aca="false">IF($A175="","",VLOOKUP($A174,Table,MATCH(R$4,Curves,0)))</f>
        <v/>
      </c>
      <c r="S174" s="201" t="str">
        <f aca="false">IF(A175="","",R174)</f>
        <v/>
      </c>
      <c r="T174" s="200" t="str">
        <f aca="false">IF($A175="","",VLOOKUP($A174,Table,MATCH(T$4,Curves,0)))</f>
        <v/>
      </c>
      <c r="U174" s="201" t="str">
        <f aca="false">IF(A175="","",T174)</f>
        <v/>
      </c>
      <c r="V174" s="183" t="str">
        <f aca="false">IF($A175="","",IF(AND(MONTH(A174)&gt;3,MONTH(A174)&lt;11),(T174+R174+G174)*Summary!$T$8/(1-Summary!$T$8),(T174+R174+G174)*Summary!$U$8/(1-Summary!$U$8)))</f>
        <v/>
      </c>
      <c r="W174" s="200" t="str">
        <f aca="false">IF($A175="","",(T174+R174+G174+V174))</f>
        <v/>
      </c>
      <c r="X174" s="200" t="str">
        <f aca="false">IF($A175="","",(U174+S174+H174+V174))</f>
        <v/>
      </c>
      <c r="Y174" s="202"/>
      <c r="Z174" s="185" t="str">
        <f aca="false">IF($A175="","",VLOOKUP($A174,Table,MATCH(Z$4,Curves,0)))</f>
        <v/>
      </c>
      <c r="AA174" s="185" t="str">
        <f aca="false">IF($A175="","",VLOOKUP($A174,Table,MATCH(AA$4,Curves,0)))</f>
        <v/>
      </c>
      <c r="AB174" s="185" t="e">
        <f aca="false">SQRT((AA174^2*(A174-$D$3)+Z174^2*(DAY(EOMONTH(A174,0))/2))/AK174)</f>
        <v>#VALUE!</v>
      </c>
      <c r="AC174" s="185" t="str">
        <f aca="false">IF($A175="","",VLOOKUP($A174,Table,MATCH(AC$4,Curves,0)))</f>
        <v/>
      </c>
      <c r="AD174" s="185" t="str">
        <f aca="false">IF($A175="","",VLOOKUP($A174,Table,MATCH(AD$4,Curves,0)))</f>
        <v/>
      </c>
      <c r="AE174" s="185" t="e">
        <f aca="false">SQRT((AD174^2*(A174-$D$3)+AC174^2*(DAY(EOMONTH(A174,0))/2))/AK174)</f>
        <v>#VALUE!</v>
      </c>
      <c r="AF174" s="224" t="e">
        <f aca="false">((Summary!$N$8*(AA174*AD174)*(A174-$D$3))+(Summary!$M$8*Z174*AC174*(AJ174-EOMONTH(EDATE(A174,-1),0))))/(AK174*AB174*AE174)</f>
        <v>#VALUE!</v>
      </c>
      <c r="AG174" s="207" t="str">
        <f aca="false">IF($A175="","",Summary!$Q$8)</f>
        <v/>
      </c>
      <c r="AH174" s="207" t="str">
        <f aca="false">IF($A175="","",IF(Summary!$R$8="Y",(VLOOKUP($A174,Summary!$AD$6:$AF$9,3)+'Escalating commodity'!D187),'Escalating commodity'!D187))</f>
        <v/>
      </c>
      <c r="AI174" s="207" t="str">
        <f aca="false">IF($A175="","",AH174)</f>
        <v/>
      </c>
      <c r="AJ174" s="208" t="e">
        <f aca="false">A174+DAY(EOMONTH(A174,0))/2-1</f>
        <v>#VALUE!</v>
      </c>
      <c r="AK174" s="209" t="str">
        <f aca="false">IF($A175="","",$A174-$E$1)</f>
        <v/>
      </c>
      <c r="AL174" s="182" t="str">
        <f aca="false">IF($A175="","",SPRDOPT(P174,X174,AI174,0,AB174,AE174,AF174,AK174,$AJ$2,0))</f>
        <v/>
      </c>
      <c r="AM174" s="211" t="str">
        <f aca="false">IF($A175="","",MAX(0,O174-W174-AI174))</f>
        <v/>
      </c>
      <c r="AN174" s="211" t="str">
        <f aca="false">IF($A175="","",AL174-AM174)</f>
        <v/>
      </c>
      <c r="AO174" s="137" t="str">
        <f aca="false">IF(A175="","",A175-A174)</f>
        <v/>
      </c>
      <c r="AP174" s="212" t="str">
        <f aca="false">IF(A175="","",CHOOSE(F$3,A175+24,A174))</f>
        <v/>
      </c>
      <c r="AQ174" s="209" t="str">
        <f aca="false">IF(A175="","",AP174-$E$1)</f>
        <v/>
      </c>
      <c r="AR174" s="185" t="n">
        <f aca="false">'ANR OK vs ML7'!AR174</f>
        <v>0.1</v>
      </c>
      <c r="AS174" s="213" t="str">
        <f aca="false">IF(A175="","",1/(1+CHOOSE(F$3,(AR175+($I$3/10000))/2,(AR174+($I$3/10000))/2))^(2*AQ174/365.25))</f>
        <v/>
      </c>
      <c r="AT174" s="137" t="str">
        <f aca="false">IF(A175="","",IF(AND(mthbeg&lt;=A174,mthend&gt;=A174),1,0))</f>
        <v/>
      </c>
      <c r="AU174" s="137" t="str">
        <f aca="false">IF(A175="","",AO174*AT174)</f>
        <v/>
      </c>
      <c r="AW174" s="195" t="str">
        <f aca="false">IF($A175="","",AL174*$E174)</f>
        <v/>
      </c>
      <c r="AX174" s="195" t="str">
        <f aca="false">IF($A175="","",AM174*$E174)</f>
        <v/>
      </c>
      <c r="AY174" s="195" t="str">
        <f aca="false">IF($A175="","",AN174*$E174)</f>
        <v/>
      </c>
      <c r="BA174" s="195" t="str">
        <f aca="false">IF($A175="","",F174*Summary!$Q$8)</f>
        <v/>
      </c>
    </row>
    <row r="175" customFormat="false" ht="12" hidden="false" customHeight="true" outlineLevel="0" collapsed="false">
      <c r="A175" s="196" t="str">
        <f aca="false">IF(A174&lt;mthend,EDATE(A174,1),"")</f>
        <v/>
      </c>
      <c r="B175" s="197" t="n">
        <f aca="false">IF(A175&lt;mthend,B174,0)</f>
        <v>0</v>
      </c>
      <c r="C175" s="215"/>
      <c r="D175" s="197" t="str">
        <f aca="false">IF(A176&lt;&gt;"",B175+C175,"")</f>
        <v/>
      </c>
      <c r="E175" s="199" t="str">
        <f aca="false">IF(A176="","",IF(AND(AT175=1,$H$3=1),D175*AO175,IF($H$3=2,D175,"N/A")))</f>
        <v/>
      </c>
      <c r="F175" s="199" t="str">
        <f aca="false">IF(A176="","",E175*AS175)</f>
        <v/>
      </c>
      <c r="G175" s="200" t="str">
        <f aca="false">IF($A176="","",VLOOKUP($A175,Table,MATCH(G$4,Curves,0)))</f>
        <v/>
      </c>
      <c r="H175" s="201" t="str">
        <f aca="false">IF(A176="","",G175)</f>
        <v/>
      </c>
      <c r="I175" s="202"/>
      <c r="J175" s="200" t="str">
        <f aca="false">IF($A176="","",VLOOKUP($A175,Table,MATCH(J$4,Curves,0)))</f>
        <v/>
      </c>
      <c r="K175" s="201" t="str">
        <f aca="false">IF(A176="","",J175)</f>
        <v/>
      </c>
      <c r="L175" s="200" t="str">
        <f aca="false">IF($A176="","",VLOOKUP($A175,Table,MATCH(L$4,Curves,0)))</f>
        <v/>
      </c>
      <c r="M175" s="201" t="str">
        <f aca="false">IF(A176="","",L175)</f>
        <v/>
      </c>
      <c r="N175" s="203"/>
      <c r="O175" s="200" t="str">
        <f aca="false">IF(A176="","",L175+J175+G175)</f>
        <v/>
      </c>
      <c r="P175" s="200" t="str">
        <f aca="false">IF(A176="","",M175+K175+H175)</f>
        <v/>
      </c>
      <c r="Q175" s="204"/>
      <c r="R175" s="200" t="str">
        <f aca="false">IF($A176="","",VLOOKUP($A175,Table,MATCH(R$4,Curves,0)))</f>
        <v/>
      </c>
      <c r="S175" s="201" t="str">
        <f aca="false">IF(A176="","",R175)</f>
        <v/>
      </c>
      <c r="T175" s="200" t="str">
        <f aca="false">IF($A176="","",VLOOKUP($A175,Table,MATCH(T$4,Curves,0)))</f>
        <v/>
      </c>
      <c r="U175" s="201" t="str">
        <f aca="false">IF(A176="","",T175)</f>
        <v/>
      </c>
      <c r="V175" s="183" t="str">
        <f aca="false">IF($A176="","",IF(AND(MONTH(A175)&gt;3,MONTH(A175)&lt;11),(T175+R175+G175)*Summary!$T$8/(1-Summary!$T$8),(T175+R175+G175)*Summary!$U$8/(1-Summary!$U$8)))</f>
        <v/>
      </c>
      <c r="W175" s="200" t="str">
        <f aca="false">IF($A176="","",(T175+R175+G175+V175))</f>
        <v/>
      </c>
      <c r="X175" s="200" t="str">
        <f aca="false">IF($A176="","",(U175+S175+H175+V175))</f>
        <v/>
      </c>
      <c r="Y175" s="202"/>
      <c r="Z175" s="185" t="str">
        <f aca="false">IF($A176="","",VLOOKUP($A175,Table,MATCH(Z$4,Curves,0)))</f>
        <v/>
      </c>
      <c r="AA175" s="185" t="str">
        <f aca="false">IF($A176="","",VLOOKUP($A175,Table,MATCH(AA$4,Curves,0)))</f>
        <v/>
      </c>
      <c r="AB175" s="185" t="e">
        <f aca="false">SQRT((AA175^2*(A175-$D$3)+Z175^2*(DAY(EOMONTH(A175,0))/2))/AK175)</f>
        <v>#VALUE!</v>
      </c>
      <c r="AC175" s="185" t="str">
        <f aca="false">IF($A176="","",VLOOKUP($A175,Table,MATCH(AC$4,Curves,0)))</f>
        <v/>
      </c>
      <c r="AD175" s="185" t="str">
        <f aca="false">IF($A176="","",VLOOKUP($A175,Table,MATCH(AD$4,Curves,0)))</f>
        <v/>
      </c>
      <c r="AE175" s="185" t="e">
        <f aca="false">SQRT((AD175^2*(A175-$D$3)+AC175^2*(DAY(EOMONTH(A175,0))/2))/AK175)</f>
        <v>#VALUE!</v>
      </c>
      <c r="AF175" s="224" t="e">
        <f aca="false">((Summary!$N$8*(AA175*AD175)*(A175-$D$3))+(Summary!$M$8*Z175*AC175*(AJ175-EOMONTH(EDATE(A175,-1),0))))/(AK175*AB175*AE175)</f>
        <v>#VALUE!</v>
      </c>
      <c r="AG175" s="207" t="str">
        <f aca="false">IF($A176="","",Summary!$Q$8)</f>
        <v/>
      </c>
      <c r="AH175" s="207" t="str">
        <f aca="false">IF($A176="","",IF(Summary!$R$8="Y",(VLOOKUP($A175,Summary!$AD$6:$AF$9,3)+'Escalating commodity'!D188),'Escalating commodity'!D188))</f>
        <v/>
      </c>
      <c r="AI175" s="207" t="str">
        <f aca="false">IF($A176="","",AH175)</f>
        <v/>
      </c>
      <c r="AJ175" s="208" t="e">
        <f aca="false">A175+DAY(EOMONTH(A175,0))/2-1</f>
        <v>#VALUE!</v>
      </c>
      <c r="AK175" s="209" t="str">
        <f aca="false">IF($A176="","",$A175-$E$1)</f>
        <v/>
      </c>
      <c r="AL175" s="182" t="str">
        <f aca="false">IF($A176="","",SPRDOPT(P175,X175,AI175,0,AB175,AE175,AF175,AK175,$AJ$2,0))</f>
        <v/>
      </c>
      <c r="AM175" s="211" t="str">
        <f aca="false">IF($A176="","",MAX(0,O175-W175-AI175))</f>
        <v/>
      </c>
      <c r="AN175" s="211" t="str">
        <f aca="false">IF($A176="","",AL175-AM175)</f>
        <v/>
      </c>
      <c r="AO175" s="137" t="str">
        <f aca="false">IF(A176="","",A176-A175)</f>
        <v/>
      </c>
      <c r="AP175" s="212" t="str">
        <f aca="false">IF(A176="","",CHOOSE(F$3,A176+24,A175))</f>
        <v/>
      </c>
      <c r="AQ175" s="209" t="str">
        <f aca="false">IF(A176="","",AP175-$E$1)</f>
        <v/>
      </c>
      <c r="AR175" s="185" t="n">
        <f aca="false">'ANR OK vs ML7'!AR175</f>
        <v>0.1</v>
      </c>
      <c r="AS175" s="213" t="str">
        <f aca="false">IF(A176="","",1/(1+CHOOSE(F$3,(AR176+($I$3/10000))/2,(AR175+($I$3/10000))/2))^(2*AQ175/365.25))</f>
        <v/>
      </c>
      <c r="AT175" s="137" t="str">
        <f aca="false">IF(A176="","",IF(AND(mthbeg&lt;=A175,mthend&gt;=A175),1,0))</f>
        <v/>
      </c>
      <c r="AU175" s="137" t="str">
        <f aca="false">IF(A176="","",AO175*AT175)</f>
        <v/>
      </c>
      <c r="AW175" s="195" t="str">
        <f aca="false">IF($A176="","",AL175*$E175)</f>
        <v/>
      </c>
      <c r="AX175" s="195" t="str">
        <f aca="false">IF($A176="","",AM175*$E175)</f>
        <v/>
      </c>
      <c r="AY175" s="195" t="str">
        <f aca="false">IF($A176="","",AN175*$E175)</f>
        <v/>
      </c>
      <c r="BA175" s="195" t="str">
        <f aca="false">IF($A176="","",F175*Summary!$Q$8)</f>
        <v/>
      </c>
    </row>
    <row r="176" customFormat="false" ht="12" hidden="false" customHeight="true" outlineLevel="0" collapsed="false">
      <c r="A176" s="196" t="str">
        <f aca="false">IF(A175&lt;mthend,EDATE(A175,1),"")</f>
        <v/>
      </c>
      <c r="B176" s="197" t="n">
        <f aca="false">IF(A176&lt;mthend,B175,0)</f>
        <v>0</v>
      </c>
      <c r="C176" s="215"/>
      <c r="D176" s="197" t="str">
        <f aca="false">IF(A177&lt;&gt;"",B176+C176,"")</f>
        <v/>
      </c>
      <c r="E176" s="199" t="str">
        <f aca="false">IF(A177="","",IF(AND(AT176=1,$H$3=1),D176*AO176,IF($H$3=2,D176,"N/A")))</f>
        <v/>
      </c>
      <c r="F176" s="199" t="str">
        <f aca="false">IF(A177="","",E176*AS176)</f>
        <v/>
      </c>
      <c r="G176" s="200" t="str">
        <f aca="false">IF($A177="","",VLOOKUP($A176,Table,MATCH(G$4,Curves,0)))</f>
        <v/>
      </c>
      <c r="H176" s="201" t="str">
        <f aca="false">IF(A177="","",G176)</f>
        <v/>
      </c>
      <c r="I176" s="202"/>
      <c r="J176" s="200" t="str">
        <f aca="false">IF($A177="","",VLOOKUP($A176,Table,MATCH(J$4,Curves,0)))</f>
        <v/>
      </c>
      <c r="K176" s="201" t="str">
        <f aca="false">IF(A177="","",J176)</f>
        <v/>
      </c>
      <c r="L176" s="200" t="str">
        <f aca="false">IF($A177="","",VLOOKUP($A176,Table,MATCH(L$4,Curves,0)))</f>
        <v/>
      </c>
      <c r="M176" s="201" t="str">
        <f aca="false">IF(A177="","",L176)</f>
        <v/>
      </c>
      <c r="N176" s="203"/>
      <c r="O176" s="200" t="str">
        <f aca="false">IF(A177="","",L176+J176+G176)</f>
        <v/>
      </c>
      <c r="P176" s="200" t="str">
        <f aca="false">IF(A177="","",M176+K176+H176)</f>
        <v/>
      </c>
      <c r="Q176" s="204"/>
      <c r="R176" s="200" t="str">
        <f aca="false">IF($A177="","",VLOOKUP($A176,Table,MATCH(R$4,Curves,0)))</f>
        <v/>
      </c>
      <c r="S176" s="201" t="str">
        <f aca="false">IF(A177="","",R176)</f>
        <v/>
      </c>
      <c r="T176" s="200" t="str">
        <f aca="false">IF($A177="","",VLOOKUP($A176,Table,MATCH(T$4,Curves,0)))</f>
        <v/>
      </c>
      <c r="U176" s="201" t="str">
        <f aca="false">IF(A177="","",T176)</f>
        <v/>
      </c>
      <c r="V176" s="183" t="str">
        <f aca="false">IF($A177="","",IF(AND(MONTH(A176)&gt;3,MONTH(A176)&lt;11),(T176+R176+G176)*Summary!$T$8/(1-Summary!$T$8),(T176+R176+G176)*Summary!$U$8/(1-Summary!$U$8)))</f>
        <v/>
      </c>
      <c r="W176" s="200" t="str">
        <f aca="false">IF($A177="","",(T176+R176+G176+V176))</f>
        <v/>
      </c>
      <c r="X176" s="200" t="str">
        <f aca="false">IF($A177="","",(U176+S176+H176+V176))</f>
        <v/>
      </c>
      <c r="Y176" s="202"/>
      <c r="Z176" s="185" t="str">
        <f aca="false">IF($A177="","",VLOOKUP($A176,Table,MATCH(Z$4,Curves,0)))</f>
        <v/>
      </c>
      <c r="AA176" s="185" t="str">
        <f aca="false">IF($A177="","",VLOOKUP($A176,Table,MATCH(AA$4,Curves,0)))</f>
        <v/>
      </c>
      <c r="AB176" s="185" t="e">
        <f aca="false">SQRT((AA176^2*(A176-$D$3)+Z176^2*(DAY(EOMONTH(A176,0))/2))/AK176)</f>
        <v>#VALUE!</v>
      </c>
      <c r="AC176" s="185" t="str">
        <f aca="false">IF($A177="","",VLOOKUP($A176,Table,MATCH(AC$4,Curves,0)))</f>
        <v/>
      </c>
      <c r="AD176" s="185" t="str">
        <f aca="false">IF($A177="","",VLOOKUP($A176,Table,MATCH(AD$4,Curves,0)))</f>
        <v/>
      </c>
      <c r="AE176" s="185" t="e">
        <f aca="false">SQRT((AD176^2*(A176-$D$3)+AC176^2*(DAY(EOMONTH(A176,0))/2))/AK176)</f>
        <v>#VALUE!</v>
      </c>
      <c r="AF176" s="224" t="e">
        <f aca="false">((Summary!$N$8*(AA176*AD176)*(A176-$D$3))+(Summary!$M$8*Z176*AC176*(AJ176-EOMONTH(EDATE(A176,-1),0))))/(AK176*AB176*AE176)</f>
        <v>#VALUE!</v>
      </c>
      <c r="AG176" s="207" t="str">
        <f aca="false">IF($A177="","",Summary!$Q$8)</f>
        <v/>
      </c>
      <c r="AH176" s="207" t="str">
        <f aca="false">IF($A177="","",IF(Summary!$R$8="Y",(VLOOKUP($A176,Summary!$AD$6:$AF$9,3)+'Escalating commodity'!D189),'Escalating commodity'!D189))</f>
        <v/>
      </c>
      <c r="AI176" s="207" t="str">
        <f aca="false">IF($A177="","",AH176)</f>
        <v/>
      </c>
      <c r="AJ176" s="208" t="e">
        <f aca="false">A176+DAY(EOMONTH(A176,0))/2-1</f>
        <v>#VALUE!</v>
      </c>
      <c r="AK176" s="209" t="str">
        <f aca="false">IF($A177="","",$A176-$E$1)</f>
        <v/>
      </c>
      <c r="AL176" s="182" t="str">
        <f aca="false">IF($A177="","",SPRDOPT(P176,X176,AI176,0,AB176,AE176,AF176,AK176,$AJ$2,0))</f>
        <v/>
      </c>
      <c r="AM176" s="211" t="str">
        <f aca="false">IF($A177="","",MAX(0,O176-W176-AI176))</f>
        <v/>
      </c>
      <c r="AN176" s="211" t="str">
        <f aca="false">IF($A177="","",AL176-AM176)</f>
        <v/>
      </c>
      <c r="AO176" s="137" t="str">
        <f aca="false">IF(A177="","",A177-A176)</f>
        <v/>
      </c>
      <c r="AP176" s="212" t="str">
        <f aca="false">IF(A177="","",CHOOSE(F$3,A177+24,A176))</f>
        <v/>
      </c>
      <c r="AQ176" s="209" t="str">
        <f aca="false">IF(A177="","",AP176-$E$1)</f>
        <v/>
      </c>
      <c r="AR176" s="185" t="n">
        <f aca="false">'ANR OK vs ML7'!AR176</f>
        <v>0.1</v>
      </c>
      <c r="AS176" s="213" t="str">
        <f aca="false">IF(A177="","",1/(1+CHOOSE(F$3,(AR177+($I$3/10000))/2,(AR176+($I$3/10000))/2))^(2*AQ176/365.25))</f>
        <v/>
      </c>
      <c r="AT176" s="137" t="str">
        <f aca="false">IF(A177="","",IF(AND(mthbeg&lt;=A176,mthend&gt;=A176),1,0))</f>
        <v/>
      </c>
      <c r="AU176" s="137" t="str">
        <f aca="false">IF(A177="","",AO176*AT176)</f>
        <v/>
      </c>
      <c r="AW176" s="195" t="str">
        <f aca="false">IF($A177="","",AL176*$E176)</f>
        <v/>
      </c>
      <c r="AX176" s="195" t="str">
        <f aca="false">IF($A177="","",AM176*$E176)</f>
        <v/>
      </c>
      <c r="AY176" s="195" t="str">
        <f aca="false">IF($A177="","",AN176*$E176)</f>
        <v/>
      </c>
      <c r="BA176" s="195" t="str">
        <f aca="false">IF($A177="","",F176*Summary!$Q$8)</f>
        <v/>
      </c>
    </row>
    <row r="177" customFormat="false" ht="12" hidden="false" customHeight="true" outlineLevel="0" collapsed="false">
      <c r="A177" s="196" t="str">
        <f aca="false">IF(A176&lt;mthend,EDATE(A176,1),"")</f>
        <v/>
      </c>
      <c r="B177" s="197" t="n">
        <f aca="false">IF(A177&lt;mthend,B176,0)</f>
        <v>0</v>
      </c>
      <c r="C177" s="215"/>
      <c r="D177" s="197" t="str">
        <f aca="false">IF(A178&lt;&gt;"",B177+C177,"")</f>
        <v/>
      </c>
      <c r="E177" s="199" t="str">
        <f aca="false">IF(A178="","",IF(AND(AT177=1,$H$3=1),D177*AO177,IF($H$3=2,D177,"N/A")))</f>
        <v/>
      </c>
      <c r="F177" s="199" t="str">
        <f aca="false">IF(A178="","",E177*AS177)</f>
        <v/>
      </c>
      <c r="G177" s="200" t="str">
        <f aca="false">IF($A178="","",VLOOKUP($A177,Table,MATCH(G$4,Curves,0)))</f>
        <v/>
      </c>
      <c r="H177" s="201" t="str">
        <f aca="false">IF(A178="","",G177)</f>
        <v/>
      </c>
      <c r="I177" s="202"/>
      <c r="J177" s="200" t="str">
        <f aca="false">IF($A178="","",VLOOKUP($A177,Table,MATCH(J$4,Curves,0)))</f>
        <v/>
      </c>
      <c r="K177" s="201" t="str">
        <f aca="false">IF(A178="","",J177)</f>
        <v/>
      </c>
      <c r="L177" s="200" t="str">
        <f aca="false">IF($A178="","",VLOOKUP($A177,Table,MATCH(L$4,Curves,0)))</f>
        <v/>
      </c>
      <c r="M177" s="201" t="str">
        <f aca="false">IF(A178="","",L177)</f>
        <v/>
      </c>
      <c r="N177" s="203"/>
      <c r="O177" s="200" t="str">
        <f aca="false">IF(A178="","",L177+J177+G177)</f>
        <v/>
      </c>
      <c r="P177" s="200" t="str">
        <f aca="false">IF(A178="","",M177+K177+H177)</f>
        <v/>
      </c>
      <c r="Q177" s="204"/>
      <c r="R177" s="200" t="str">
        <f aca="false">IF($A178="","",VLOOKUP($A177,Table,MATCH(R$4,Curves,0)))</f>
        <v/>
      </c>
      <c r="S177" s="201" t="str">
        <f aca="false">IF(A178="","",R177)</f>
        <v/>
      </c>
      <c r="T177" s="200" t="str">
        <f aca="false">IF($A178="","",VLOOKUP($A177,Table,MATCH(T$4,Curves,0)))</f>
        <v/>
      </c>
      <c r="U177" s="201" t="str">
        <f aca="false">IF(A178="","",T177)</f>
        <v/>
      </c>
      <c r="V177" s="183" t="str">
        <f aca="false">IF($A178="","",IF(AND(MONTH(A177)&gt;3,MONTH(A177)&lt;11),(T177+R177+G177)*Summary!$T$8/(1-Summary!$T$8),(T177+R177+G177)*Summary!$U$8/(1-Summary!$U$8)))</f>
        <v/>
      </c>
      <c r="W177" s="200" t="str">
        <f aca="false">IF($A178="","",(T177+R177+G177+V177))</f>
        <v/>
      </c>
      <c r="X177" s="200" t="str">
        <f aca="false">IF($A178="","",(U177+S177+H177+V177))</f>
        <v/>
      </c>
      <c r="Y177" s="202"/>
      <c r="Z177" s="185" t="str">
        <f aca="false">IF($A178="","",VLOOKUP($A177,Table,MATCH(Z$4,Curves,0)))</f>
        <v/>
      </c>
      <c r="AA177" s="185" t="str">
        <f aca="false">IF($A178="","",VLOOKUP($A177,Table,MATCH(AA$4,Curves,0)))</f>
        <v/>
      </c>
      <c r="AB177" s="185" t="e">
        <f aca="false">SQRT((AA177^2*(A177-$D$3)+Z177^2*(DAY(EOMONTH(A177,0))/2))/AK177)</f>
        <v>#VALUE!</v>
      </c>
      <c r="AC177" s="185" t="str">
        <f aca="false">IF($A178="","",VLOOKUP($A177,Table,MATCH(AC$4,Curves,0)))</f>
        <v/>
      </c>
      <c r="AD177" s="185" t="str">
        <f aca="false">IF($A178="","",VLOOKUP($A177,Table,MATCH(AD$4,Curves,0)))</f>
        <v/>
      </c>
      <c r="AE177" s="185" t="e">
        <f aca="false">SQRT((AD177^2*(A177-$D$3)+AC177^2*(DAY(EOMONTH(A177,0))/2))/AK177)</f>
        <v>#VALUE!</v>
      </c>
      <c r="AF177" s="224" t="e">
        <f aca="false">((Summary!$N$8*(AA177*AD177)*(A177-$D$3))+(Summary!$M$8*Z177*AC177*(AJ177-EOMONTH(EDATE(A177,-1),0))))/(AK177*AB177*AE177)</f>
        <v>#VALUE!</v>
      </c>
      <c r="AG177" s="207" t="str">
        <f aca="false">IF($A178="","",Summary!$Q$8)</f>
        <v/>
      </c>
      <c r="AH177" s="207" t="str">
        <f aca="false">IF($A178="","",IF(Summary!$R$8="Y",(VLOOKUP($A177,Summary!$AD$6:$AF$9,3)+'Escalating commodity'!D190),'Escalating commodity'!D190))</f>
        <v/>
      </c>
      <c r="AI177" s="207" t="str">
        <f aca="false">IF($A178="","",AH177)</f>
        <v/>
      </c>
      <c r="AJ177" s="208" t="e">
        <f aca="false">A177+DAY(EOMONTH(A177,0))/2-1</f>
        <v>#VALUE!</v>
      </c>
      <c r="AK177" s="209" t="str">
        <f aca="false">IF($A178="","",$A177-$E$1)</f>
        <v/>
      </c>
      <c r="AL177" s="182" t="str">
        <f aca="false">IF($A178="","",SPRDOPT(P177,X177,AI177,0,AB177,AE177,AF177,AK177,$AJ$2,0))</f>
        <v/>
      </c>
      <c r="AM177" s="211" t="str">
        <f aca="false">IF($A178="","",MAX(0,O177-W177-AI177))</f>
        <v/>
      </c>
      <c r="AN177" s="211" t="str">
        <f aca="false">IF($A178="","",AL177-AM177)</f>
        <v/>
      </c>
      <c r="AO177" s="137" t="str">
        <f aca="false">IF(A178="","",A178-A177)</f>
        <v/>
      </c>
      <c r="AP177" s="212" t="str">
        <f aca="false">IF(A178="","",CHOOSE(F$3,A178+24,A177))</f>
        <v/>
      </c>
      <c r="AQ177" s="209" t="str">
        <f aca="false">IF(A178="","",AP177-$E$1)</f>
        <v/>
      </c>
      <c r="AR177" s="185" t="n">
        <f aca="false">'ANR OK vs ML7'!AR177</f>
        <v>0.1</v>
      </c>
      <c r="AS177" s="213" t="str">
        <f aca="false">IF(A178="","",1/(1+CHOOSE(F$3,(AR178+($I$3/10000))/2,(AR177+($I$3/10000))/2))^(2*AQ177/365.25))</f>
        <v/>
      </c>
      <c r="AT177" s="137" t="str">
        <f aca="false">IF(A178="","",IF(AND(mthbeg&lt;=A177,mthend&gt;=A177),1,0))</f>
        <v/>
      </c>
      <c r="AU177" s="137" t="str">
        <f aca="false">IF(A178="","",AO177*AT177)</f>
        <v/>
      </c>
      <c r="AW177" s="195" t="str">
        <f aca="false">IF($A178="","",AL177*$E177)</f>
        <v/>
      </c>
      <c r="AX177" s="195" t="str">
        <f aca="false">IF($A178="","",AM177*$E177)</f>
        <v/>
      </c>
      <c r="AY177" s="195" t="str">
        <f aca="false">IF($A178="","",AN177*$E177)</f>
        <v/>
      </c>
      <c r="BA177" s="195" t="str">
        <f aca="false">IF($A178="","",F177*Summary!$Q$8)</f>
        <v/>
      </c>
    </row>
    <row r="178" customFormat="false" ht="12" hidden="false" customHeight="true" outlineLevel="0" collapsed="false">
      <c r="A178" s="196" t="str">
        <f aca="false">IF(A177&lt;mthend,EDATE(A177,1),"")</f>
        <v/>
      </c>
      <c r="B178" s="197" t="n">
        <f aca="false">IF(A178&lt;mthend,B177,0)</f>
        <v>0</v>
      </c>
      <c r="C178" s="215"/>
      <c r="D178" s="197" t="str">
        <f aca="false">IF(A179&lt;&gt;"",B178+C178,"")</f>
        <v/>
      </c>
      <c r="E178" s="199" t="str">
        <f aca="false">IF(A179="","",IF(AND(AT178=1,$H$3=1),D178*AO178,IF($H$3=2,D178,"N/A")))</f>
        <v/>
      </c>
      <c r="F178" s="199" t="str">
        <f aca="false">IF(A179="","",E178*AS178)</f>
        <v/>
      </c>
      <c r="G178" s="200" t="str">
        <f aca="false">IF($A179="","",VLOOKUP($A178,Table,MATCH(G$4,Curves,0)))</f>
        <v/>
      </c>
      <c r="H178" s="201" t="str">
        <f aca="false">IF(A179="","",G178)</f>
        <v/>
      </c>
      <c r="I178" s="202"/>
      <c r="J178" s="200" t="str">
        <f aca="false">IF($A179="","",VLOOKUP($A178,Table,MATCH(J$4,Curves,0)))</f>
        <v/>
      </c>
      <c r="K178" s="201" t="str">
        <f aca="false">IF(A179="","",J178)</f>
        <v/>
      </c>
      <c r="L178" s="200" t="str">
        <f aca="false">IF($A179="","",VLOOKUP($A178,Table,MATCH(L$4,Curves,0)))</f>
        <v/>
      </c>
      <c r="M178" s="201" t="str">
        <f aca="false">IF(A179="","",L178)</f>
        <v/>
      </c>
      <c r="N178" s="203"/>
      <c r="O178" s="200" t="str">
        <f aca="false">IF(A179="","",L178+J178+G178)</f>
        <v/>
      </c>
      <c r="P178" s="200" t="str">
        <f aca="false">IF(A179="","",M178+K178+H178)</f>
        <v/>
      </c>
      <c r="Q178" s="204"/>
      <c r="R178" s="200" t="str">
        <f aca="false">IF($A179="","",VLOOKUP($A178,Table,MATCH(R$4,Curves,0)))</f>
        <v/>
      </c>
      <c r="S178" s="201" t="str">
        <f aca="false">IF(A179="","",R178)</f>
        <v/>
      </c>
      <c r="T178" s="200" t="str">
        <f aca="false">IF($A179="","",VLOOKUP($A178,Table,MATCH(T$4,Curves,0)))</f>
        <v/>
      </c>
      <c r="U178" s="201" t="str">
        <f aca="false">IF(A179="","",T178)</f>
        <v/>
      </c>
      <c r="V178" s="183" t="str">
        <f aca="false">IF($A179="","",IF(AND(MONTH(A178)&gt;3,MONTH(A178)&lt;11),(T178+R178+G178)*Summary!$T$8/(1-Summary!$T$8),(T178+R178+G178)*Summary!$U$8/(1-Summary!$U$8)))</f>
        <v/>
      </c>
      <c r="W178" s="200" t="str">
        <f aca="false">IF($A179="","",(T178+R178+G178+V178))</f>
        <v/>
      </c>
      <c r="X178" s="200" t="str">
        <f aca="false">IF($A179="","",(U178+S178+H178+V178))</f>
        <v/>
      </c>
      <c r="Y178" s="202"/>
      <c r="Z178" s="185" t="str">
        <f aca="false">IF($A179="","",VLOOKUP($A178,Table,MATCH(Z$4,Curves,0)))</f>
        <v/>
      </c>
      <c r="AA178" s="185" t="str">
        <f aca="false">IF($A179="","",VLOOKUP($A178,Table,MATCH(AA$4,Curves,0)))</f>
        <v/>
      </c>
      <c r="AB178" s="185" t="e">
        <f aca="false">SQRT((AA178^2*(A178-$D$3)+Z178^2*(DAY(EOMONTH(A178,0))/2))/AK178)</f>
        <v>#VALUE!</v>
      </c>
      <c r="AC178" s="185" t="str">
        <f aca="false">IF($A179="","",VLOOKUP($A178,Table,MATCH(AC$4,Curves,0)))</f>
        <v/>
      </c>
      <c r="AD178" s="185" t="str">
        <f aca="false">IF($A179="","",VLOOKUP($A178,Table,MATCH(AD$4,Curves,0)))</f>
        <v/>
      </c>
      <c r="AE178" s="185" t="e">
        <f aca="false">SQRT((AD178^2*(A178-$D$3)+AC178^2*(DAY(EOMONTH(A178,0))/2))/AK178)</f>
        <v>#VALUE!</v>
      </c>
      <c r="AF178" s="224" t="e">
        <f aca="false">((Summary!$N$8*(AA178*AD178)*(A178-$D$3))+(Summary!$M$8*Z178*AC178*(AJ178-EOMONTH(EDATE(A178,-1),0))))/(AK178*AB178*AE178)</f>
        <v>#VALUE!</v>
      </c>
      <c r="AG178" s="207" t="str">
        <f aca="false">IF($A179="","",Summary!$Q$8)</f>
        <v/>
      </c>
      <c r="AH178" s="207" t="str">
        <f aca="false">IF($A179="","",IF(Summary!$R$8="Y",(VLOOKUP($A178,Summary!$AD$6:$AF$9,3)+'Escalating commodity'!D191),'Escalating commodity'!D191))</f>
        <v/>
      </c>
      <c r="AI178" s="207" t="str">
        <f aca="false">IF($A179="","",AH178)</f>
        <v/>
      </c>
      <c r="AJ178" s="208" t="e">
        <f aca="false">A178+DAY(EOMONTH(A178,0))/2-1</f>
        <v>#VALUE!</v>
      </c>
      <c r="AK178" s="209" t="str">
        <f aca="false">IF($A179="","",$A178-$E$1)</f>
        <v/>
      </c>
      <c r="AL178" s="182" t="str">
        <f aca="false">IF($A179="","",SPRDOPT(P178,X178,AI178,0,AB178,AE178,AF178,AK178,$AJ$2,0))</f>
        <v/>
      </c>
      <c r="AM178" s="211" t="str">
        <f aca="false">IF($A179="","",MAX(0,O178-W178-AI178))</f>
        <v/>
      </c>
      <c r="AN178" s="211" t="str">
        <f aca="false">IF($A179="","",AL178-AM178)</f>
        <v/>
      </c>
      <c r="AO178" s="137" t="str">
        <f aca="false">IF(A179="","",A179-A178)</f>
        <v/>
      </c>
      <c r="AP178" s="212" t="str">
        <f aca="false">IF(A179="","",CHOOSE(F$3,A179+24,A178))</f>
        <v/>
      </c>
      <c r="AQ178" s="209" t="str">
        <f aca="false">IF(A179="","",AP178-$E$1)</f>
        <v/>
      </c>
      <c r="AR178" s="185" t="n">
        <f aca="false">'ANR OK vs ML7'!AR178</f>
        <v>0.1</v>
      </c>
      <c r="AS178" s="213" t="str">
        <f aca="false">IF(A179="","",1/(1+CHOOSE(F$3,(AR179+($I$3/10000))/2,(AR178+($I$3/10000))/2))^(2*AQ178/365.25))</f>
        <v/>
      </c>
      <c r="AT178" s="137" t="str">
        <f aca="false">IF(A179="","",IF(AND(mthbeg&lt;=A178,mthend&gt;=A178),1,0))</f>
        <v/>
      </c>
      <c r="AU178" s="137" t="str">
        <f aca="false">IF(A179="","",AO178*AT178)</f>
        <v/>
      </c>
      <c r="AW178" s="195" t="str">
        <f aca="false">IF($A179="","",AL178*$E178)</f>
        <v/>
      </c>
      <c r="AX178" s="195" t="str">
        <f aca="false">IF($A179="","",AM178*$E178)</f>
        <v/>
      </c>
      <c r="AY178" s="195" t="str">
        <f aca="false">IF($A179="","",AN178*$E178)</f>
        <v/>
      </c>
      <c r="BA178" s="195" t="str">
        <f aca="false">IF($A179="","",F178*Summary!$Q$8)</f>
        <v/>
      </c>
    </row>
    <row r="179" customFormat="false" ht="12" hidden="false" customHeight="true" outlineLevel="0" collapsed="false">
      <c r="A179" s="196" t="str">
        <f aca="false">IF(A178&lt;mthend,EDATE(A178,1),"")</f>
        <v/>
      </c>
      <c r="B179" s="197" t="n">
        <f aca="false">IF(A179&lt;mthend,B178,0)</f>
        <v>0</v>
      </c>
      <c r="C179" s="215"/>
      <c r="D179" s="197" t="str">
        <f aca="false">IF(A180&lt;&gt;"",B179+C179,"")</f>
        <v/>
      </c>
      <c r="E179" s="199" t="str">
        <f aca="false">IF(A180="","",IF(AND(AT179=1,$H$3=1),D179*AO179,IF($H$3=2,D179,"N/A")))</f>
        <v/>
      </c>
      <c r="F179" s="199" t="str">
        <f aca="false">IF(A180="","",E179*AS179)</f>
        <v/>
      </c>
      <c r="G179" s="200" t="str">
        <f aca="false">IF($A180="","",VLOOKUP($A179,Table,MATCH(G$4,Curves,0)))</f>
        <v/>
      </c>
      <c r="H179" s="201" t="str">
        <f aca="false">IF(A180="","",G179)</f>
        <v/>
      </c>
      <c r="I179" s="202"/>
      <c r="J179" s="200" t="str">
        <f aca="false">IF($A180="","",VLOOKUP($A179,Table,MATCH(J$4,Curves,0)))</f>
        <v/>
      </c>
      <c r="K179" s="201" t="str">
        <f aca="false">IF(A180="","",J179)</f>
        <v/>
      </c>
      <c r="L179" s="200" t="str">
        <f aca="false">IF($A180="","",VLOOKUP($A179,Table,MATCH(L$4,Curves,0)))</f>
        <v/>
      </c>
      <c r="M179" s="201" t="str">
        <f aca="false">IF(A180="","",L179)</f>
        <v/>
      </c>
      <c r="N179" s="203"/>
      <c r="O179" s="200" t="str">
        <f aca="false">IF(A180="","",L179+J179+G179)</f>
        <v/>
      </c>
      <c r="P179" s="200" t="str">
        <f aca="false">IF(A180="","",M179+K179+H179)</f>
        <v/>
      </c>
      <c r="Q179" s="204"/>
      <c r="R179" s="200" t="str">
        <f aca="false">IF($A180="","",VLOOKUP($A179,Table,MATCH(R$4,Curves,0)))</f>
        <v/>
      </c>
      <c r="S179" s="201" t="str">
        <f aca="false">IF(A180="","",R179)</f>
        <v/>
      </c>
      <c r="T179" s="200" t="str">
        <f aca="false">IF($A180="","",VLOOKUP($A179,Table,MATCH(T$4,Curves,0)))</f>
        <v/>
      </c>
      <c r="U179" s="201" t="str">
        <f aca="false">IF(A180="","",T179)</f>
        <v/>
      </c>
      <c r="V179" s="183" t="str">
        <f aca="false">IF($A180="","",IF(AND(MONTH(A179)&gt;3,MONTH(A179)&lt;11),(T179+R179+G179)*Summary!$T$8/(1-Summary!$T$8),(T179+R179+G179)*Summary!$U$8/(1-Summary!$U$8)))</f>
        <v/>
      </c>
      <c r="W179" s="200" t="str">
        <f aca="false">IF($A180="","",(T179+R179+G179+V179))</f>
        <v/>
      </c>
      <c r="X179" s="200" t="str">
        <f aca="false">IF($A180="","",(U179+S179+H179+V179))</f>
        <v/>
      </c>
      <c r="Y179" s="202"/>
      <c r="Z179" s="185" t="str">
        <f aca="false">IF($A180="","",VLOOKUP($A179,Table,MATCH(Z$4,Curves,0)))</f>
        <v/>
      </c>
      <c r="AA179" s="185" t="str">
        <f aca="false">IF($A180="","",VLOOKUP($A179,Table,MATCH(AA$4,Curves,0)))</f>
        <v/>
      </c>
      <c r="AB179" s="185" t="e">
        <f aca="false">SQRT((AA179^2*(A179-$D$3)+Z179^2*(DAY(EOMONTH(A179,0))/2))/AK179)</f>
        <v>#VALUE!</v>
      </c>
      <c r="AC179" s="185" t="str">
        <f aca="false">IF($A180="","",VLOOKUP($A179,Table,MATCH(AC$4,Curves,0)))</f>
        <v/>
      </c>
      <c r="AD179" s="185" t="str">
        <f aca="false">IF($A180="","",VLOOKUP($A179,Table,MATCH(AD$4,Curves,0)))</f>
        <v/>
      </c>
      <c r="AE179" s="185" t="e">
        <f aca="false">SQRT((AD179^2*(A179-$D$3)+AC179^2*(DAY(EOMONTH(A179,0))/2))/AK179)</f>
        <v>#VALUE!</v>
      </c>
      <c r="AF179" s="224" t="e">
        <f aca="false">((Summary!$N$8*(AA179*AD179)*(A179-$D$3))+(Summary!$M$8*Z179*AC179*(AJ179-EOMONTH(EDATE(A179,-1),0))))/(AK179*AB179*AE179)</f>
        <v>#VALUE!</v>
      </c>
      <c r="AG179" s="207" t="str">
        <f aca="false">IF($A180="","",Summary!$Q$8)</f>
        <v/>
      </c>
      <c r="AH179" s="207" t="str">
        <f aca="false">IF($A180="","",IF(Summary!$R$8="Y",(VLOOKUP($A179,Summary!$AD$6:$AF$9,3)+'Escalating commodity'!D192),'Escalating commodity'!D192))</f>
        <v/>
      </c>
      <c r="AI179" s="207" t="str">
        <f aca="false">IF($A180="","",AH179)</f>
        <v/>
      </c>
      <c r="AJ179" s="208" t="e">
        <f aca="false">A179+DAY(EOMONTH(A179,0))/2-1</f>
        <v>#VALUE!</v>
      </c>
      <c r="AK179" s="209" t="str">
        <f aca="false">IF($A180="","",$A179-$E$1)</f>
        <v/>
      </c>
      <c r="AL179" s="182" t="str">
        <f aca="false">IF($A180="","",SPRDOPT(P179,X179,AI179,0,AB179,AE179,AF179,AK179,$AJ$2,0))</f>
        <v/>
      </c>
      <c r="AM179" s="211" t="str">
        <f aca="false">IF($A180="","",MAX(0,O179-W179-AI179))</f>
        <v/>
      </c>
      <c r="AN179" s="211" t="str">
        <f aca="false">IF($A180="","",AL179-AM179)</f>
        <v/>
      </c>
      <c r="AO179" s="137" t="str">
        <f aca="false">IF(A180="","",A180-A179)</f>
        <v/>
      </c>
      <c r="AP179" s="212" t="str">
        <f aca="false">IF(A180="","",CHOOSE(F$3,A180+24,A179))</f>
        <v/>
      </c>
      <c r="AQ179" s="209" t="str">
        <f aca="false">IF(A180="","",AP179-$E$1)</f>
        <v/>
      </c>
      <c r="AR179" s="185" t="n">
        <f aca="false">'ANR OK vs ML7'!AR179</f>
        <v>0.1</v>
      </c>
      <c r="AS179" s="213" t="str">
        <f aca="false">IF(A180="","",1/(1+CHOOSE(F$3,(AR180+($I$3/10000))/2,(AR179+($I$3/10000))/2))^(2*AQ179/365.25))</f>
        <v/>
      </c>
      <c r="AT179" s="137" t="str">
        <f aca="false">IF(A180="","",IF(AND(mthbeg&lt;=A179,mthend&gt;=A179),1,0))</f>
        <v/>
      </c>
      <c r="AU179" s="137" t="str">
        <f aca="false">IF(A180="","",AO179*AT179)</f>
        <v/>
      </c>
      <c r="AW179" s="195" t="str">
        <f aca="false">IF($A180="","",AL179*$E179)</f>
        <v/>
      </c>
      <c r="AX179" s="195" t="str">
        <f aca="false">IF($A180="","",AM179*$E179)</f>
        <v/>
      </c>
      <c r="AY179" s="195" t="str">
        <f aca="false">IF($A180="","",AN179*$E179)</f>
        <v/>
      </c>
      <c r="BA179" s="195" t="str">
        <f aca="false">IF($A180="","",F179*Summary!$Q$8)</f>
        <v/>
      </c>
    </row>
    <row r="180" customFormat="false" ht="12" hidden="false" customHeight="true" outlineLevel="0" collapsed="false">
      <c r="A180" s="196" t="str">
        <f aca="false">IF(A179&lt;mthend,EDATE(A179,1),"")</f>
        <v/>
      </c>
      <c r="B180" s="197" t="n">
        <f aca="false">IF(A180&lt;mthend,B179,0)</f>
        <v>0</v>
      </c>
      <c r="C180" s="215"/>
      <c r="D180" s="197" t="str">
        <f aca="false">IF(A181&lt;&gt;"",B180+C180,"")</f>
        <v/>
      </c>
      <c r="E180" s="199" t="str">
        <f aca="false">IF(A181="","",IF(AND(AT180=1,$H$3=1),D180*AO180,IF($H$3=2,D180,"N/A")))</f>
        <v/>
      </c>
      <c r="F180" s="199" t="str">
        <f aca="false">IF(A181="","",E180*AS180)</f>
        <v/>
      </c>
      <c r="G180" s="200" t="str">
        <f aca="false">IF($A181="","",VLOOKUP($A180,Table,MATCH(G$4,Curves,0)))</f>
        <v/>
      </c>
      <c r="H180" s="201" t="str">
        <f aca="false">IF(A181="","",G180)</f>
        <v/>
      </c>
      <c r="I180" s="202"/>
      <c r="J180" s="200" t="str">
        <f aca="false">IF($A181="","",VLOOKUP($A180,Table,MATCH(J$4,Curves,0)))</f>
        <v/>
      </c>
      <c r="K180" s="201" t="str">
        <f aca="false">IF(A181="","",J180)</f>
        <v/>
      </c>
      <c r="L180" s="200" t="str">
        <f aca="false">IF($A181="","",VLOOKUP($A180,Table,MATCH(L$4,Curves,0)))</f>
        <v/>
      </c>
      <c r="M180" s="201" t="str">
        <f aca="false">IF(A181="","",L180)</f>
        <v/>
      </c>
      <c r="N180" s="203"/>
      <c r="O180" s="200" t="str">
        <f aca="false">IF(A181="","",L180+J180+G180)</f>
        <v/>
      </c>
      <c r="P180" s="200" t="str">
        <f aca="false">IF(A181="","",M180+K180+H180)</f>
        <v/>
      </c>
      <c r="Q180" s="204"/>
      <c r="R180" s="200" t="str">
        <f aca="false">IF($A181="","",VLOOKUP($A180,Table,MATCH(R$4,Curves,0)))</f>
        <v/>
      </c>
      <c r="S180" s="201" t="str">
        <f aca="false">IF(A181="","",R180)</f>
        <v/>
      </c>
      <c r="T180" s="200" t="str">
        <f aca="false">IF($A181="","",VLOOKUP($A180,Table,MATCH(T$4,Curves,0)))</f>
        <v/>
      </c>
      <c r="U180" s="201" t="str">
        <f aca="false">IF(A181="","",T180)</f>
        <v/>
      </c>
      <c r="V180" s="183" t="str">
        <f aca="false">IF($A181="","",IF(AND(MONTH(A180)&gt;3,MONTH(A180)&lt;11),(T180+R180+G180)*Summary!$T$8/(1-Summary!$T$8),(T180+R180+G180)*Summary!$U$8/(1-Summary!$U$8)))</f>
        <v/>
      </c>
      <c r="W180" s="200" t="str">
        <f aca="false">IF($A181="","",(T180+R180+G180+V180))</f>
        <v/>
      </c>
      <c r="X180" s="200" t="str">
        <f aca="false">IF($A181="","",(U180+S180+H180+V180))</f>
        <v/>
      </c>
      <c r="Y180" s="202"/>
      <c r="Z180" s="185" t="str">
        <f aca="false">IF($A181="","",VLOOKUP($A180,Table,MATCH(Z$4,Curves,0)))</f>
        <v/>
      </c>
      <c r="AA180" s="185" t="str">
        <f aca="false">IF($A181="","",VLOOKUP($A180,Table,MATCH(AA$4,Curves,0)))</f>
        <v/>
      </c>
      <c r="AB180" s="185" t="e">
        <f aca="false">SQRT((AA180^2*(A180-$D$3)+Z180^2*(DAY(EOMONTH(A180,0))/2))/AK180)</f>
        <v>#VALUE!</v>
      </c>
      <c r="AC180" s="185" t="str">
        <f aca="false">IF($A181="","",VLOOKUP($A180,Table,MATCH(AC$4,Curves,0)))</f>
        <v/>
      </c>
      <c r="AD180" s="185" t="str">
        <f aca="false">IF($A181="","",VLOOKUP($A180,Table,MATCH(AD$4,Curves,0)))</f>
        <v/>
      </c>
      <c r="AE180" s="185" t="e">
        <f aca="false">SQRT((AD180^2*(A180-$D$3)+AC180^2*(DAY(EOMONTH(A180,0))/2))/AK180)</f>
        <v>#VALUE!</v>
      </c>
      <c r="AF180" s="224" t="e">
        <f aca="false">((Summary!$N$8*(AA180*AD180)*(A180-$D$3))+(Summary!$M$8*Z180*AC180*(AJ180-EOMONTH(EDATE(A180,-1),0))))/(AK180*AB180*AE180)</f>
        <v>#VALUE!</v>
      </c>
      <c r="AG180" s="207" t="str">
        <f aca="false">IF($A181="","",Summary!$Q$8)</f>
        <v/>
      </c>
      <c r="AH180" s="207" t="str">
        <f aca="false">IF($A181="","",IF(Summary!$R$8="Y",(VLOOKUP($A180,Summary!$AD$6:$AF$9,3)+'Escalating commodity'!D193),'Escalating commodity'!D193))</f>
        <v/>
      </c>
      <c r="AI180" s="207" t="str">
        <f aca="false">IF($A181="","",AH180)</f>
        <v/>
      </c>
      <c r="AJ180" s="208" t="e">
        <f aca="false">A180+DAY(EOMONTH(A180,0))/2-1</f>
        <v>#VALUE!</v>
      </c>
      <c r="AK180" s="209" t="str">
        <f aca="false">IF($A181="","",$A180-$E$1)</f>
        <v/>
      </c>
      <c r="AL180" s="182" t="str">
        <f aca="false">IF($A181="","",SPRDOPT(P180,X180,AI180,0,AB180,AE180,AF180,AK180,$AJ$2,0))</f>
        <v/>
      </c>
      <c r="AM180" s="211" t="str">
        <f aca="false">IF($A181="","",MAX(0,O180-W180-AI180))</f>
        <v/>
      </c>
      <c r="AN180" s="211" t="str">
        <f aca="false">IF($A181="","",AL180-AM180)</f>
        <v/>
      </c>
      <c r="AO180" s="137" t="str">
        <f aca="false">IF(A181="","",A181-A180)</f>
        <v/>
      </c>
      <c r="AP180" s="212" t="str">
        <f aca="false">IF(A181="","",CHOOSE(F$3,A181+24,A180))</f>
        <v/>
      </c>
      <c r="AQ180" s="209" t="str">
        <f aca="false">IF(A181="","",AP180-$E$1)</f>
        <v/>
      </c>
      <c r="AR180" s="185" t="n">
        <f aca="false">'ANR OK vs ML7'!AR180</f>
        <v>0.1</v>
      </c>
      <c r="AS180" s="213" t="str">
        <f aca="false">IF(A181="","",1/(1+CHOOSE(F$3,(AR181+($I$3/10000))/2,(AR180+($I$3/10000))/2))^(2*AQ180/365.25))</f>
        <v/>
      </c>
      <c r="AT180" s="137" t="str">
        <f aca="false">IF(A181="","",IF(AND(mthbeg&lt;=A180,mthend&gt;=A180),1,0))</f>
        <v/>
      </c>
      <c r="AU180" s="137" t="str">
        <f aca="false">IF(A181="","",AO180*AT180)</f>
        <v/>
      </c>
      <c r="AW180" s="195" t="str">
        <f aca="false">IF($A181="","",AL180*$E180)</f>
        <v/>
      </c>
      <c r="AX180" s="195" t="str">
        <f aca="false">IF($A181="","",AM180*$E180)</f>
        <v/>
      </c>
      <c r="AY180" s="195" t="str">
        <f aca="false">IF($A181="","",AN180*$E180)</f>
        <v/>
      </c>
      <c r="BA180" s="195" t="str">
        <f aca="false">IF($A181="","",F180*Summary!$Q$8)</f>
        <v/>
      </c>
    </row>
    <row r="181" customFormat="false" ht="12" hidden="false" customHeight="true" outlineLevel="0" collapsed="false">
      <c r="A181" s="196" t="str">
        <f aca="false">IF(A180&lt;mthend,EDATE(A180,1),"")</f>
        <v/>
      </c>
      <c r="B181" s="197" t="n">
        <f aca="false">IF(A181&lt;mthend,B180,0)</f>
        <v>0</v>
      </c>
      <c r="C181" s="215"/>
      <c r="D181" s="197" t="str">
        <f aca="false">IF(A182&lt;&gt;"",B181+C181,"")</f>
        <v/>
      </c>
      <c r="E181" s="199" t="str">
        <f aca="false">IF(A182="","",IF(AND(AT181=1,$H$3=1),D181*AO181,IF($H$3=2,D181,"N/A")))</f>
        <v/>
      </c>
      <c r="F181" s="199" t="str">
        <f aca="false">IF(A182="","",E181*AS181)</f>
        <v/>
      </c>
      <c r="G181" s="200" t="str">
        <f aca="false">IF($A182="","",VLOOKUP($A181,Table,MATCH(G$4,Curves,0)))</f>
        <v/>
      </c>
      <c r="H181" s="201" t="str">
        <f aca="false">IF(A182="","",G181)</f>
        <v/>
      </c>
      <c r="I181" s="202"/>
      <c r="J181" s="200" t="str">
        <f aca="false">IF($A182="","",VLOOKUP($A181,Table,MATCH(J$4,Curves,0)))</f>
        <v/>
      </c>
      <c r="K181" s="201" t="str">
        <f aca="false">IF(A182="","",J181)</f>
        <v/>
      </c>
      <c r="L181" s="200" t="str">
        <f aca="false">IF($A182="","",VLOOKUP($A181,Table,MATCH(L$4,Curves,0)))</f>
        <v/>
      </c>
      <c r="M181" s="201" t="str">
        <f aca="false">IF(A182="","",L181)</f>
        <v/>
      </c>
      <c r="N181" s="203"/>
      <c r="O181" s="200" t="str">
        <f aca="false">IF(A182="","",L181+J181+G181)</f>
        <v/>
      </c>
      <c r="P181" s="200" t="str">
        <f aca="false">IF(A182="","",M181+K181+H181)</f>
        <v/>
      </c>
      <c r="Q181" s="204"/>
      <c r="R181" s="200" t="str">
        <f aca="false">IF($A182="","",VLOOKUP($A181,Table,MATCH(R$4,Curves,0)))</f>
        <v/>
      </c>
      <c r="S181" s="201" t="str">
        <f aca="false">IF(A182="","",R181)</f>
        <v/>
      </c>
      <c r="T181" s="200" t="str">
        <f aca="false">IF($A182="","",VLOOKUP($A181,Table,MATCH(T$4,Curves,0)))</f>
        <v/>
      </c>
      <c r="U181" s="201" t="str">
        <f aca="false">IF(A182="","",T181)</f>
        <v/>
      </c>
      <c r="V181" s="183" t="str">
        <f aca="false">IF($A182="","",IF(AND(MONTH(A181)&gt;3,MONTH(A181)&lt;11),(T181+R181+G181)*Summary!$T$8/(1-Summary!$T$8),(T181+R181+G181)*Summary!$U$8/(1-Summary!$U$8)))</f>
        <v/>
      </c>
      <c r="W181" s="200" t="str">
        <f aca="false">IF($A182="","",(T181+R181+G181+V181))</f>
        <v/>
      </c>
      <c r="X181" s="200" t="str">
        <f aca="false">IF($A182="","",(U181+S181+H181+V181))</f>
        <v/>
      </c>
      <c r="Y181" s="202"/>
      <c r="Z181" s="185" t="str">
        <f aca="false">IF($A182="","",VLOOKUP($A181,Table,MATCH(Z$4,Curves,0)))</f>
        <v/>
      </c>
      <c r="AA181" s="185" t="str">
        <f aca="false">IF($A182="","",VLOOKUP($A181,Table,MATCH(AA$4,Curves,0)))</f>
        <v/>
      </c>
      <c r="AB181" s="185" t="e">
        <f aca="false">SQRT((AA181^2*(A181-$D$3)+Z181^2*(DAY(EOMONTH(A181,0))/2))/AK181)</f>
        <v>#VALUE!</v>
      </c>
      <c r="AC181" s="185" t="str">
        <f aca="false">IF($A182="","",VLOOKUP($A181,Table,MATCH(AC$4,Curves,0)))</f>
        <v/>
      </c>
      <c r="AD181" s="185" t="str">
        <f aca="false">IF($A182="","",VLOOKUP($A181,Table,MATCH(AD$4,Curves,0)))</f>
        <v/>
      </c>
      <c r="AE181" s="185" t="e">
        <f aca="false">SQRT((AD181^2*(A181-$D$3)+AC181^2*(DAY(EOMONTH(A181,0))/2))/AK181)</f>
        <v>#VALUE!</v>
      </c>
      <c r="AF181" s="224" t="e">
        <f aca="false">((Summary!$N$8*(AA181*AD181)*(A181-$D$3))+(Summary!$M$8*Z181*AC181*(AJ181-EOMONTH(EDATE(A181,-1),0))))/(AK181*AB181*AE181)</f>
        <v>#VALUE!</v>
      </c>
      <c r="AG181" s="207" t="str">
        <f aca="false">IF($A182="","",Summary!$Q$8)</f>
        <v/>
      </c>
      <c r="AH181" s="207" t="str">
        <f aca="false">IF($A182="","",IF(Summary!$R$8="Y",(VLOOKUP($A181,Summary!$AD$6:$AF$9,3)+'Escalating commodity'!D194),'Escalating commodity'!D194))</f>
        <v/>
      </c>
      <c r="AI181" s="207" t="str">
        <f aca="false">IF($A182="","",AH181)</f>
        <v/>
      </c>
      <c r="AJ181" s="208" t="e">
        <f aca="false">A181+DAY(EOMONTH(A181,0))/2-1</f>
        <v>#VALUE!</v>
      </c>
      <c r="AK181" s="209" t="str">
        <f aca="false">IF($A182="","",$A181-$E$1)</f>
        <v/>
      </c>
      <c r="AL181" s="182" t="str">
        <f aca="false">IF($A182="","",SPRDOPT(P181,X181,AI181,0,AB181,AE181,AF181,AK181,$AJ$2,0))</f>
        <v/>
      </c>
      <c r="AM181" s="211" t="str">
        <f aca="false">IF($A182="","",MAX(0,O181-W181-AI181))</f>
        <v/>
      </c>
      <c r="AN181" s="211" t="str">
        <f aca="false">IF($A182="","",AL181-AM181)</f>
        <v/>
      </c>
      <c r="AO181" s="137" t="str">
        <f aca="false">IF(A182="","",A182-A181)</f>
        <v/>
      </c>
      <c r="AP181" s="212" t="str">
        <f aca="false">IF(A182="","",CHOOSE(F$3,A182+24,A181))</f>
        <v/>
      </c>
      <c r="AQ181" s="209" t="str">
        <f aca="false">IF(A182="","",AP181-$E$1)</f>
        <v/>
      </c>
      <c r="AR181" s="185" t="n">
        <f aca="false">'ANR OK vs ML7'!AR181</f>
        <v>0.1</v>
      </c>
      <c r="AS181" s="213" t="str">
        <f aca="false">IF(A182="","",1/(1+CHOOSE(F$3,(AR182+($I$3/10000))/2,(AR181+($I$3/10000))/2))^(2*AQ181/365.25))</f>
        <v/>
      </c>
      <c r="AT181" s="137" t="str">
        <f aca="false">IF(A182="","",IF(AND(mthbeg&lt;=A181,mthend&gt;=A181),1,0))</f>
        <v/>
      </c>
      <c r="AU181" s="137" t="str">
        <f aca="false">IF(A182="","",AO181*AT181)</f>
        <v/>
      </c>
      <c r="AW181" s="195" t="str">
        <f aca="false">IF($A182="","",AL181*$E181)</f>
        <v/>
      </c>
      <c r="AX181" s="195" t="str">
        <f aca="false">IF($A182="","",AM181*$E181)</f>
        <v/>
      </c>
      <c r="AY181" s="195" t="str">
        <f aca="false">IF($A182="","",AN181*$E181)</f>
        <v/>
      </c>
      <c r="BA181" s="195" t="str">
        <f aca="false">IF($A182="","",F181*Summary!$Q$8)</f>
        <v/>
      </c>
    </row>
    <row r="182" customFormat="false" ht="12" hidden="false" customHeight="true" outlineLevel="0" collapsed="false">
      <c r="A182" s="196" t="str">
        <f aca="false">IF(A181&lt;mthend,EDATE(A181,1),"")</f>
        <v/>
      </c>
      <c r="B182" s="197" t="n">
        <f aca="false">IF(A182&lt;mthend,B181,0)</f>
        <v>0</v>
      </c>
      <c r="C182" s="215"/>
      <c r="D182" s="197" t="str">
        <f aca="false">IF(A183&lt;&gt;"",B182+C182,"")</f>
        <v/>
      </c>
      <c r="E182" s="199" t="str">
        <f aca="false">IF(A183="","",IF(AND(AT182=1,$H$3=1),D182*AO182,IF($H$3=2,D182,"N/A")))</f>
        <v/>
      </c>
      <c r="F182" s="199" t="str">
        <f aca="false">IF(A183="","",E182*AS182)</f>
        <v/>
      </c>
      <c r="G182" s="200" t="str">
        <f aca="false">IF($A183="","",VLOOKUP($A182,Table,MATCH(G$4,Curves,0)))</f>
        <v/>
      </c>
      <c r="H182" s="201" t="str">
        <f aca="false">IF(A183="","",G182)</f>
        <v/>
      </c>
      <c r="I182" s="202"/>
      <c r="J182" s="200" t="str">
        <f aca="false">IF($A183="","",VLOOKUP($A182,Table,MATCH(J$4,Curves,0)))</f>
        <v/>
      </c>
      <c r="K182" s="201" t="str">
        <f aca="false">IF(A183="","",J182)</f>
        <v/>
      </c>
      <c r="L182" s="200" t="str">
        <f aca="false">IF($A183="","",VLOOKUP($A182,Table,MATCH(L$4,Curves,0)))</f>
        <v/>
      </c>
      <c r="M182" s="201" t="str">
        <f aca="false">IF(A183="","",L182)</f>
        <v/>
      </c>
      <c r="N182" s="203"/>
      <c r="O182" s="200" t="str">
        <f aca="false">IF(A183="","",L182+J182+G182)</f>
        <v/>
      </c>
      <c r="P182" s="200" t="str">
        <f aca="false">IF(A183="","",M182+K182+H182)</f>
        <v/>
      </c>
      <c r="Q182" s="204"/>
      <c r="R182" s="200" t="str">
        <f aca="false">IF($A183="","",VLOOKUP($A182,Table,MATCH(R$4,Curves,0)))</f>
        <v/>
      </c>
      <c r="S182" s="201" t="str">
        <f aca="false">IF(A183="","",R182)</f>
        <v/>
      </c>
      <c r="T182" s="200" t="str">
        <f aca="false">IF($A183="","",VLOOKUP($A182,Table,MATCH(T$4,Curves,0)))</f>
        <v/>
      </c>
      <c r="U182" s="201" t="str">
        <f aca="false">IF(A183="","",T182)</f>
        <v/>
      </c>
      <c r="V182" s="183" t="str">
        <f aca="false">IF($A183="","",IF(AND(MONTH(A182)&gt;3,MONTH(A182)&lt;11),(T182+R182+G182)*Summary!$T$8/(1-Summary!$T$8),(T182+R182+G182)*Summary!$U$8/(1-Summary!$U$8)))</f>
        <v/>
      </c>
      <c r="W182" s="200" t="str">
        <f aca="false">IF($A183="","",(T182+R182+G182+V182))</f>
        <v/>
      </c>
      <c r="X182" s="200" t="str">
        <f aca="false">IF($A183="","",(U182+S182+H182+V182))</f>
        <v/>
      </c>
      <c r="Y182" s="202"/>
      <c r="Z182" s="185" t="str">
        <f aca="false">IF($A183="","",VLOOKUP($A182,Table,MATCH(Z$4,Curves,0)))</f>
        <v/>
      </c>
      <c r="AA182" s="185" t="str">
        <f aca="false">IF($A183="","",VLOOKUP($A182,Table,MATCH(AA$4,Curves,0)))</f>
        <v/>
      </c>
      <c r="AB182" s="185" t="e">
        <f aca="false">SQRT((AA182^2*(A182-$D$3)+Z182^2*(DAY(EOMONTH(A182,0))/2))/AK182)</f>
        <v>#VALUE!</v>
      </c>
      <c r="AC182" s="185" t="str">
        <f aca="false">IF($A183="","",VLOOKUP($A182,Table,MATCH(AC$4,Curves,0)))</f>
        <v/>
      </c>
      <c r="AD182" s="185" t="str">
        <f aca="false">IF($A183="","",VLOOKUP($A182,Table,MATCH(AD$4,Curves,0)))</f>
        <v/>
      </c>
      <c r="AE182" s="185" t="e">
        <f aca="false">SQRT((AD182^2*(A182-$D$3)+AC182^2*(DAY(EOMONTH(A182,0))/2))/AK182)</f>
        <v>#VALUE!</v>
      </c>
      <c r="AF182" s="224" t="e">
        <f aca="false">((Summary!$N$8*(AA182*AD182)*(A182-$D$3))+(Summary!$M$8*Z182*AC182*(AJ182-EOMONTH(EDATE(A182,-1),0))))/(AK182*AB182*AE182)</f>
        <v>#VALUE!</v>
      </c>
      <c r="AG182" s="207" t="str">
        <f aca="false">IF($A183="","",Summary!$Q$8)</f>
        <v/>
      </c>
      <c r="AH182" s="207" t="str">
        <f aca="false">IF($A183="","",IF(Summary!$R$8="Y",(VLOOKUP($A182,Summary!$AD$6:$AF$9,3)+'Escalating commodity'!D195),'Escalating commodity'!D195))</f>
        <v/>
      </c>
      <c r="AI182" s="207" t="str">
        <f aca="false">IF($A183="","",AH182)</f>
        <v/>
      </c>
      <c r="AJ182" s="208" t="e">
        <f aca="false">A182+DAY(EOMONTH(A182,0))/2-1</f>
        <v>#VALUE!</v>
      </c>
      <c r="AK182" s="209" t="str">
        <f aca="false">IF($A183="","",$A182-$E$1)</f>
        <v/>
      </c>
      <c r="AL182" s="182" t="str">
        <f aca="false">IF($A183="","",SPRDOPT(P182,X182,AI182,0,AB182,AE182,AF182,AK182,$AJ$2,0))</f>
        <v/>
      </c>
      <c r="AM182" s="211" t="str">
        <f aca="false">IF($A183="","",MAX(0,O182-W182-AI182))</f>
        <v/>
      </c>
      <c r="AN182" s="211" t="str">
        <f aca="false">IF($A183="","",AL182-AM182)</f>
        <v/>
      </c>
      <c r="AO182" s="137" t="str">
        <f aca="false">IF(A183="","",A183-A182)</f>
        <v/>
      </c>
      <c r="AP182" s="212" t="str">
        <f aca="false">IF(A183="","",CHOOSE(F$3,A183+24,A182))</f>
        <v/>
      </c>
      <c r="AQ182" s="209" t="str">
        <f aca="false">IF(A183="","",AP182-$E$1)</f>
        <v/>
      </c>
      <c r="AR182" s="185" t="n">
        <f aca="false">'ANR OK vs ML7'!AR182</f>
        <v>0.1</v>
      </c>
      <c r="AS182" s="213" t="str">
        <f aca="false">IF(A183="","",1/(1+CHOOSE(F$3,(AR183+($I$3/10000))/2,(AR182+($I$3/10000))/2))^(2*AQ182/365.25))</f>
        <v/>
      </c>
      <c r="AT182" s="137" t="str">
        <f aca="false">IF(A183="","",IF(AND(mthbeg&lt;=A182,mthend&gt;=A182),1,0))</f>
        <v/>
      </c>
      <c r="AU182" s="137" t="str">
        <f aca="false">IF(A183="","",AO182*AT182)</f>
        <v/>
      </c>
      <c r="AW182" s="195" t="str">
        <f aca="false">IF($A183="","",AL182*$E182)</f>
        <v/>
      </c>
      <c r="AX182" s="195" t="str">
        <f aca="false">IF($A183="","",AM182*$E182)</f>
        <v/>
      </c>
      <c r="AY182" s="195" t="str">
        <f aca="false">IF($A183="","",AN182*$E182)</f>
        <v/>
      </c>
      <c r="BA182" s="195" t="str">
        <f aca="false">IF($A183="","",F182*Summary!$Q$8)</f>
        <v/>
      </c>
    </row>
    <row r="183" customFormat="false" ht="12" hidden="false" customHeight="true" outlineLevel="0" collapsed="false">
      <c r="A183" s="196" t="str">
        <f aca="false">IF(A182&lt;mthend,EDATE(A182,1),"")</f>
        <v/>
      </c>
      <c r="B183" s="197" t="n">
        <f aca="false">IF(A183&lt;mthend,B182,0)</f>
        <v>0</v>
      </c>
      <c r="C183" s="215"/>
      <c r="D183" s="197" t="str">
        <f aca="false">IF(A184&lt;&gt;"",B183+C183,"")</f>
        <v/>
      </c>
      <c r="E183" s="199" t="str">
        <f aca="false">IF(A184="","",IF(AND(AT183=1,$H$3=1),D183*AO183,IF($H$3=2,D183,"N/A")))</f>
        <v/>
      </c>
      <c r="F183" s="199" t="str">
        <f aca="false">IF(A184="","",E183*AS183)</f>
        <v/>
      </c>
      <c r="G183" s="200" t="str">
        <f aca="false">IF($A184="","",VLOOKUP($A183,Table,MATCH(G$4,Curves,0)))</f>
        <v/>
      </c>
      <c r="H183" s="201" t="str">
        <f aca="false">IF(A184="","",G183)</f>
        <v/>
      </c>
      <c r="I183" s="202"/>
      <c r="J183" s="200" t="str">
        <f aca="false">IF($A184="","",VLOOKUP($A183,Table,MATCH(J$4,Curves,0)))</f>
        <v/>
      </c>
      <c r="K183" s="201" t="str">
        <f aca="false">IF(A184="","",J183)</f>
        <v/>
      </c>
      <c r="L183" s="200" t="str">
        <f aca="false">IF($A184="","",VLOOKUP($A183,Table,MATCH(L$4,Curves,0)))</f>
        <v/>
      </c>
      <c r="M183" s="201" t="str">
        <f aca="false">IF(A184="","",L183)</f>
        <v/>
      </c>
      <c r="N183" s="203"/>
      <c r="O183" s="200" t="str">
        <f aca="false">IF(A184="","",L183+J183+G183)</f>
        <v/>
      </c>
      <c r="P183" s="200" t="str">
        <f aca="false">IF(A184="","",M183+K183+H183)</f>
        <v/>
      </c>
      <c r="Q183" s="204"/>
      <c r="R183" s="200" t="str">
        <f aca="false">IF($A184="","",VLOOKUP($A183,Table,MATCH(R$4,Curves,0)))</f>
        <v/>
      </c>
      <c r="S183" s="201" t="str">
        <f aca="false">IF(A184="","",R183)</f>
        <v/>
      </c>
      <c r="T183" s="200" t="str">
        <f aca="false">IF($A184="","",VLOOKUP($A183,Table,MATCH(T$4,Curves,0)))</f>
        <v/>
      </c>
      <c r="U183" s="201" t="str">
        <f aca="false">IF(A184="","",T183)</f>
        <v/>
      </c>
      <c r="V183" s="183" t="str">
        <f aca="false">IF($A184="","",IF(AND(MONTH(A183)&gt;3,MONTH(A183)&lt;11),(T183+R183+G183)*Summary!$T$8/(1-Summary!$T$8),(T183+R183+G183)*Summary!$U$8/(1-Summary!$U$8)))</f>
        <v/>
      </c>
      <c r="W183" s="200" t="str">
        <f aca="false">IF($A184="","",(T183+R183+G183+V183))</f>
        <v/>
      </c>
      <c r="X183" s="200" t="str">
        <f aca="false">IF($A184="","",(U183+S183+H183+V183))</f>
        <v/>
      </c>
      <c r="Y183" s="202"/>
      <c r="Z183" s="185" t="str">
        <f aca="false">IF($A184="","",VLOOKUP($A183,Table,MATCH(Z$4,Curves,0)))</f>
        <v/>
      </c>
      <c r="AA183" s="185" t="str">
        <f aca="false">IF($A184="","",VLOOKUP($A183,Table,MATCH(AA$4,Curves,0)))</f>
        <v/>
      </c>
      <c r="AB183" s="185" t="e">
        <f aca="false">SQRT((AA183^2*(A183-$D$3)+Z183^2*(DAY(EOMONTH(A183,0))/2))/AK183)</f>
        <v>#VALUE!</v>
      </c>
      <c r="AC183" s="185" t="str">
        <f aca="false">IF($A184="","",VLOOKUP($A183,Table,MATCH(AC$4,Curves,0)))</f>
        <v/>
      </c>
      <c r="AD183" s="185" t="str">
        <f aca="false">IF($A184="","",VLOOKUP($A183,Table,MATCH(AD$4,Curves,0)))</f>
        <v/>
      </c>
      <c r="AE183" s="185" t="e">
        <f aca="false">SQRT((AD183^2*(A183-$D$3)+AC183^2*(DAY(EOMONTH(A183,0))/2))/AK183)</f>
        <v>#VALUE!</v>
      </c>
      <c r="AF183" s="224" t="e">
        <f aca="false">((Summary!$N$8*(AA183*AD183)*(A183-$D$3))+(Summary!$M$8*Z183*AC183*(AJ183-EOMONTH(EDATE(A183,-1),0))))/(AK183*AB183*AE183)</f>
        <v>#VALUE!</v>
      </c>
      <c r="AG183" s="207" t="str">
        <f aca="false">IF($A184="","",Summary!$Q$8)</f>
        <v/>
      </c>
      <c r="AH183" s="207" t="str">
        <f aca="false">IF($A184="","",IF(Summary!$R$8="Y",(VLOOKUP($A183,Summary!$AD$6:$AF$9,3)+'Escalating commodity'!D196),'Escalating commodity'!D196))</f>
        <v/>
      </c>
      <c r="AI183" s="207" t="str">
        <f aca="false">IF($A184="","",AH183)</f>
        <v/>
      </c>
      <c r="AJ183" s="208" t="e">
        <f aca="false">A183+DAY(EOMONTH(A183,0))/2-1</f>
        <v>#VALUE!</v>
      </c>
      <c r="AK183" s="209" t="str">
        <f aca="false">IF($A184="","",$A183-$E$1)</f>
        <v/>
      </c>
      <c r="AL183" s="182" t="str">
        <f aca="false">IF($A184="","",SPRDOPT(P183,X183,AI183,0,AB183,AE183,AF183,AK183,$AJ$2,0))</f>
        <v/>
      </c>
      <c r="AM183" s="211" t="str">
        <f aca="false">IF($A184="","",MAX(0,O183-W183-AI183))</f>
        <v/>
      </c>
      <c r="AN183" s="211" t="str">
        <f aca="false">IF($A184="","",AL183-AM183)</f>
        <v/>
      </c>
      <c r="AO183" s="137" t="str">
        <f aca="false">IF(A184="","",A184-A183)</f>
        <v/>
      </c>
      <c r="AP183" s="212" t="str">
        <f aca="false">IF(A184="","",CHOOSE(F$3,A184+24,A183))</f>
        <v/>
      </c>
      <c r="AQ183" s="209" t="str">
        <f aca="false">IF(A184="","",AP183-$E$1)</f>
        <v/>
      </c>
      <c r="AR183" s="185" t="n">
        <f aca="false">'ANR OK vs ML7'!AR183</f>
        <v>0.1</v>
      </c>
      <c r="AS183" s="213" t="str">
        <f aca="false">IF(A184="","",1/(1+CHOOSE(F$3,(AR184+($I$3/10000))/2,(AR183+($I$3/10000))/2))^(2*AQ183/365.25))</f>
        <v/>
      </c>
      <c r="AT183" s="137" t="str">
        <f aca="false">IF(A184="","",IF(AND(mthbeg&lt;=A183,mthend&gt;=A183),1,0))</f>
        <v/>
      </c>
      <c r="AU183" s="137" t="str">
        <f aca="false">IF(A184="","",AO183*AT183)</f>
        <v/>
      </c>
      <c r="AW183" s="195" t="str">
        <f aca="false">IF($A184="","",AL183*$E183)</f>
        <v/>
      </c>
      <c r="AX183" s="195" t="str">
        <f aca="false">IF($A184="","",AM183*$E183)</f>
        <v/>
      </c>
      <c r="AY183" s="195" t="str">
        <f aca="false">IF($A184="","",AN183*$E183)</f>
        <v/>
      </c>
      <c r="BA183" s="195" t="str">
        <f aca="false">IF($A184="","",F183*Summary!$Q$8)</f>
        <v/>
      </c>
    </row>
    <row r="184" customFormat="false" ht="12" hidden="false" customHeight="true" outlineLevel="0" collapsed="false">
      <c r="A184" s="196" t="str">
        <f aca="false">IF(A183&lt;mthend,EDATE(A183,1),"")</f>
        <v/>
      </c>
      <c r="B184" s="197" t="n">
        <f aca="false">IF(A184&lt;mthend,B183,0)</f>
        <v>0</v>
      </c>
      <c r="C184" s="215"/>
      <c r="D184" s="197" t="str">
        <f aca="false">IF(A185&lt;&gt;"",B184+C184,"")</f>
        <v/>
      </c>
      <c r="E184" s="199" t="str">
        <f aca="false">IF(A185="","",IF(AND(AT184=1,$H$3=1),D184*AO184,IF($H$3=2,D184,"N/A")))</f>
        <v/>
      </c>
      <c r="F184" s="199" t="str">
        <f aca="false">IF(A185="","",E184*AS184)</f>
        <v/>
      </c>
      <c r="G184" s="200" t="str">
        <f aca="false">IF($A185="","",VLOOKUP($A184,Table,MATCH(G$4,Curves,0)))</f>
        <v/>
      </c>
      <c r="H184" s="201" t="str">
        <f aca="false">IF(A185="","",G184)</f>
        <v/>
      </c>
      <c r="I184" s="202"/>
      <c r="J184" s="200" t="str">
        <f aca="false">IF($A185="","",VLOOKUP($A184,Table,MATCH(J$4,Curves,0)))</f>
        <v/>
      </c>
      <c r="K184" s="201" t="str">
        <f aca="false">IF(A185="","",J184)</f>
        <v/>
      </c>
      <c r="L184" s="200" t="str">
        <f aca="false">IF($A185="","",VLOOKUP($A184,Table,MATCH(L$4,Curves,0)))</f>
        <v/>
      </c>
      <c r="M184" s="201" t="str">
        <f aca="false">IF(A185="","",L184)</f>
        <v/>
      </c>
      <c r="N184" s="203"/>
      <c r="O184" s="200" t="str">
        <f aca="false">IF(A185="","",L184+J184+G184)</f>
        <v/>
      </c>
      <c r="P184" s="200" t="str">
        <f aca="false">IF(A185="","",M184+K184+H184)</f>
        <v/>
      </c>
      <c r="Q184" s="204"/>
      <c r="R184" s="200" t="str">
        <f aca="false">IF($A185="","",VLOOKUP($A184,Table,MATCH(R$4,Curves,0)))</f>
        <v/>
      </c>
      <c r="S184" s="201" t="str">
        <f aca="false">IF(A185="","",R184)</f>
        <v/>
      </c>
      <c r="T184" s="200" t="str">
        <f aca="false">IF($A185="","",VLOOKUP($A184,Table,MATCH(T$4,Curves,0)))</f>
        <v/>
      </c>
      <c r="U184" s="201" t="str">
        <f aca="false">IF(A185="","",T184)</f>
        <v/>
      </c>
      <c r="V184" s="183" t="str">
        <f aca="false">IF($A185="","",IF(AND(MONTH(A184)&gt;3,MONTH(A184)&lt;11),(T184+R184+G184)*Summary!$T$8/(1-Summary!$T$8),(T184+R184+G184)*Summary!$U$8/(1-Summary!$U$8)))</f>
        <v/>
      </c>
      <c r="W184" s="200" t="str">
        <f aca="false">IF($A185="","",(T184+R184+G184+V184))</f>
        <v/>
      </c>
      <c r="X184" s="200" t="str">
        <f aca="false">IF($A185="","",(U184+S184+H184+V184))</f>
        <v/>
      </c>
      <c r="Y184" s="202"/>
      <c r="Z184" s="185" t="str">
        <f aca="false">IF($A185="","",VLOOKUP($A184,Table,MATCH(Z$4,Curves,0)))</f>
        <v/>
      </c>
      <c r="AA184" s="185" t="str">
        <f aca="false">IF($A185="","",VLOOKUP($A184,Table,MATCH(AA$4,Curves,0)))</f>
        <v/>
      </c>
      <c r="AB184" s="185" t="e">
        <f aca="false">SQRT((AA184^2*(A184-$D$3)+Z184^2*(DAY(EOMONTH(A184,0))/2))/AK184)</f>
        <v>#VALUE!</v>
      </c>
      <c r="AC184" s="185" t="str">
        <f aca="false">IF($A185="","",VLOOKUP($A184,Table,MATCH(AC$4,Curves,0)))</f>
        <v/>
      </c>
      <c r="AD184" s="185" t="str">
        <f aca="false">IF($A185="","",VLOOKUP($A184,Table,MATCH(AD$4,Curves,0)))</f>
        <v/>
      </c>
      <c r="AE184" s="185" t="e">
        <f aca="false">SQRT((AD184^2*(A184-$D$3)+AC184^2*(DAY(EOMONTH(A184,0))/2))/AK184)</f>
        <v>#VALUE!</v>
      </c>
      <c r="AF184" s="224" t="e">
        <f aca="false">((Summary!$N$8*(AA184*AD184)*(A184-$D$3))+(Summary!$M$8*Z184*AC184*(AJ184-EOMONTH(EDATE(A184,-1),0))))/(AK184*AB184*AE184)</f>
        <v>#VALUE!</v>
      </c>
      <c r="AG184" s="207" t="str">
        <f aca="false">IF($A185="","",Summary!$Q$8)</f>
        <v/>
      </c>
      <c r="AH184" s="207" t="str">
        <f aca="false">IF($A185="","",IF(Summary!$R$8="Y",(VLOOKUP($A184,Summary!$AD$6:$AF$9,3)+'Escalating commodity'!D197),'Escalating commodity'!D197))</f>
        <v/>
      </c>
      <c r="AI184" s="207" t="str">
        <f aca="false">IF($A185="","",AH184)</f>
        <v/>
      </c>
      <c r="AJ184" s="208" t="e">
        <f aca="false">A184+DAY(EOMONTH(A184,0))/2-1</f>
        <v>#VALUE!</v>
      </c>
      <c r="AK184" s="209" t="str">
        <f aca="false">IF($A185="","",$A184-$E$1)</f>
        <v/>
      </c>
      <c r="AL184" s="182" t="str">
        <f aca="false">IF($A185="","",SPRDOPT(P184,X184,AI184,0,AB184,AE184,AF184,AK184,$AJ$2,0))</f>
        <v/>
      </c>
      <c r="AM184" s="211" t="str">
        <f aca="false">IF($A185="","",MAX(0,O184-W184-AI184))</f>
        <v/>
      </c>
      <c r="AN184" s="211" t="str">
        <f aca="false">IF($A185="","",AL184-AM184)</f>
        <v/>
      </c>
      <c r="AO184" s="137" t="str">
        <f aca="false">IF(A185="","",A185-A184)</f>
        <v/>
      </c>
      <c r="AP184" s="212" t="str">
        <f aca="false">IF(A185="","",CHOOSE(F$3,A185+24,A184))</f>
        <v/>
      </c>
      <c r="AQ184" s="209" t="str">
        <f aca="false">IF(A185="","",AP184-$E$1)</f>
        <v/>
      </c>
      <c r="AR184" s="185" t="n">
        <f aca="false">'ANR OK vs ML7'!AR184</f>
        <v>0.1</v>
      </c>
      <c r="AS184" s="213" t="str">
        <f aca="false">IF(A185="","",1/(1+CHOOSE(F$3,(AR185+($I$3/10000))/2,(AR184+($I$3/10000))/2))^(2*AQ184/365.25))</f>
        <v/>
      </c>
      <c r="AT184" s="137" t="str">
        <f aca="false">IF(A185="","",IF(AND(mthbeg&lt;=A184,mthend&gt;=A184),1,0))</f>
        <v/>
      </c>
      <c r="AU184" s="137" t="str">
        <f aca="false">IF(A185="","",AO184*AT184)</f>
        <v/>
      </c>
      <c r="AW184" s="195" t="str">
        <f aca="false">IF($A185="","",AL184*$E184)</f>
        <v/>
      </c>
      <c r="AX184" s="195" t="str">
        <f aca="false">IF($A185="","",AM184*$E184)</f>
        <v/>
      </c>
      <c r="AY184" s="195" t="str">
        <f aca="false">IF($A185="","",AN184*$E184)</f>
        <v/>
      </c>
      <c r="BA184" s="195" t="str">
        <f aca="false">IF($A185="","",F184*Summary!$Q$8)</f>
        <v/>
      </c>
    </row>
    <row r="185" customFormat="false" ht="12" hidden="false" customHeight="true" outlineLevel="0" collapsed="false">
      <c r="A185" s="196" t="str">
        <f aca="false">IF(A184&lt;mthend,EDATE(A184,1),"")</f>
        <v/>
      </c>
      <c r="B185" s="197" t="n">
        <f aca="false">IF(A185&lt;mthend,B184,0)</f>
        <v>0</v>
      </c>
      <c r="C185" s="215"/>
      <c r="D185" s="197" t="str">
        <f aca="false">IF(A186&lt;&gt;"",B185+C185,"")</f>
        <v/>
      </c>
      <c r="E185" s="199" t="str">
        <f aca="false">IF(A186="","",IF(AND(AT185=1,$H$3=1),D185*AO185,IF($H$3=2,D185,"N/A")))</f>
        <v/>
      </c>
      <c r="F185" s="199" t="str">
        <f aca="false">IF(A186="","",E185*AS185)</f>
        <v/>
      </c>
      <c r="G185" s="200" t="str">
        <f aca="false">IF($A186="","",VLOOKUP($A185,Table,MATCH(G$4,Curves,0)))</f>
        <v/>
      </c>
      <c r="H185" s="201" t="str">
        <f aca="false">IF(A186="","",G185)</f>
        <v/>
      </c>
      <c r="I185" s="202"/>
      <c r="J185" s="200" t="str">
        <f aca="false">IF($A186="","",VLOOKUP($A185,Table,MATCH(J$4,Curves,0)))</f>
        <v/>
      </c>
      <c r="K185" s="201" t="str">
        <f aca="false">IF(A186="","",J185)</f>
        <v/>
      </c>
      <c r="L185" s="200" t="str">
        <f aca="false">IF($A186="","",VLOOKUP($A185,Table,MATCH(L$4,Curves,0)))</f>
        <v/>
      </c>
      <c r="M185" s="201" t="str">
        <f aca="false">IF(A186="","",L185)</f>
        <v/>
      </c>
      <c r="N185" s="203"/>
      <c r="O185" s="200" t="str">
        <f aca="false">IF(A186="","",L185+J185+G185)</f>
        <v/>
      </c>
      <c r="P185" s="200" t="str">
        <f aca="false">IF(A186="","",M185+K185+H185)</f>
        <v/>
      </c>
      <c r="Q185" s="204"/>
      <c r="R185" s="200" t="str">
        <f aca="false">IF($A186="","",VLOOKUP($A185,Table,MATCH(R$4,Curves,0)))</f>
        <v/>
      </c>
      <c r="S185" s="201" t="str">
        <f aca="false">IF(A186="","",R185)</f>
        <v/>
      </c>
      <c r="T185" s="200" t="str">
        <f aca="false">IF($A186="","",VLOOKUP($A185,Table,MATCH(T$4,Curves,0)))</f>
        <v/>
      </c>
      <c r="U185" s="201" t="str">
        <f aca="false">IF(A186="","",T185)</f>
        <v/>
      </c>
      <c r="V185" s="183" t="str">
        <f aca="false">IF($A186="","",IF(AND(MONTH(A185)&gt;3,MONTH(A185)&lt;11),(T185+R185+G185)*Summary!$T$8/(1-Summary!$T$8),(T185+R185+G185)*Summary!$U$8/(1-Summary!$U$8)))</f>
        <v/>
      </c>
      <c r="W185" s="200" t="str">
        <f aca="false">IF($A186="","",(T185+R185+G185+V185))</f>
        <v/>
      </c>
      <c r="X185" s="200" t="str">
        <f aca="false">IF($A186="","",(U185+S185+H185+V185))</f>
        <v/>
      </c>
      <c r="Y185" s="202"/>
      <c r="Z185" s="185" t="str">
        <f aca="false">IF($A186="","",VLOOKUP($A185,Table,MATCH(Z$4,Curves,0)))</f>
        <v/>
      </c>
      <c r="AA185" s="185" t="str">
        <f aca="false">IF($A186="","",VLOOKUP($A185,Table,MATCH(AA$4,Curves,0)))</f>
        <v/>
      </c>
      <c r="AB185" s="185" t="e">
        <f aca="false">SQRT((AA185^2*(A185-$D$3)+Z185^2*(DAY(EOMONTH(A185,0))/2))/AK185)</f>
        <v>#VALUE!</v>
      </c>
      <c r="AC185" s="185" t="str">
        <f aca="false">IF($A186="","",VLOOKUP($A185,Table,MATCH(AC$4,Curves,0)))</f>
        <v/>
      </c>
      <c r="AD185" s="185" t="str">
        <f aca="false">IF($A186="","",VLOOKUP($A185,Table,MATCH(AD$4,Curves,0)))</f>
        <v/>
      </c>
      <c r="AE185" s="185" t="e">
        <f aca="false">SQRT((AD185^2*(A185-$D$3)+AC185^2*(DAY(EOMONTH(A185,0))/2))/AK185)</f>
        <v>#VALUE!</v>
      </c>
      <c r="AF185" s="224" t="e">
        <f aca="false">((Summary!$N$8*(AA185*AD185)*(A185-$D$3))+(Summary!$M$8*Z185*AC185*(AJ185-EOMONTH(EDATE(A185,-1),0))))/(AK185*AB185*AE185)</f>
        <v>#VALUE!</v>
      </c>
      <c r="AG185" s="207" t="str">
        <f aca="false">IF($A186="","",Summary!$Q$8)</f>
        <v/>
      </c>
      <c r="AH185" s="207" t="str">
        <f aca="false">IF($A186="","",IF(Summary!$R$8="Y",(VLOOKUP($A185,Summary!$AD$6:$AF$9,3)+'Escalating commodity'!D198),'Escalating commodity'!D198))</f>
        <v/>
      </c>
      <c r="AI185" s="207" t="str">
        <f aca="false">IF($A186="","",AH185)</f>
        <v/>
      </c>
      <c r="AJ185" s="208" t="e">
        <f aca="false">A185+DAY(EOMONTH(A185,0))/2-1</f>
        <v>#VALUE!</v>
      </c>
      <c r="AK185" s="209" t="str">
        <f aca="false">IF($A186="","",$A185-$E$1)</f>
        <v/>
      </c>
      <c r="AL185" s="182" t="str">
        <f aca="false">IF($A186="","",SPRDOPT(P185,X185,AI185,0,AB185,AE185,AF185,AK185,$AJ$2,0))</f>
        <v/>
      </c>
      <c r="AM185" s="211" t="str">
        <f aca="false">IF($A186="","",MAX(0,O185-W185-AI185))</f>
        <v/>
      </c>
      <c r="AN185" s="211" t="str">
        <f aca="false">IF($A186="","",AL185-AM185)</f>
        <v/>
      </c>
      <c r="AO185" s="137" t="str">
        <f aca="false">IF(A186="","",A186-A185)</f>
        <v/>
      </c>
      <c r="AP185" s="212" t="str">
        <f aca="false">IF(A186="","",CHOOSE(F$3,A186+24,A185))</f>
        <v/>
      </c>
      <c r="AQ185" s="209" t="str">
        <f aca="false">IF(A186="","",AP185-$E$1)</f>
        <v/>
      </c>
      <c r="AR185" s="185" t="n">
        <f aca="false">'ANR OK vs ML7'!AR185</f>
        <v>0.1</v>
      </c>
      <c r="AS185" s="213" t="str">
        <f aca="false">IF(A186="","",1/(1+CHOOSE(F$3,(AR186+($I$3/10000))/2,(AR185+($I$3/10000))/2))^(2*AQ185/365.25))</f>
        <v/>
      </c>
      <c r="AT185" s="137" t="str">
        <f aca="false">IF(A186="","",IF(AND(mthbeg&lt;=A185,mthend&gt;=A185),1,0))</f>
        <v/>
      </c>
      <c r="AU185" s="137" t="str">
        <f aca="false">IF(A186="","",AO185*AT185)</f>
        <v/>
      </c>
      <c r="AW185" s="195" t="str">
        <f aca="false">IF($A186="","",AL185*$E185)</f>
        <v/>
      </c>
      <c r="AX185" s="195" t="str">
        <f aca="false">IF($A186="","",AM185*$E185)</f>
        <v/>
      </c>
      <c r="AY185" s="195" t="str">
        <f aca="false">IF($A186="","",AN185*$E185)</f>
        <v/>
      </c>
      <c r="BA185" s="195" t="str">
        <f aca="false">IF($A186="","",F185*Summary!$Q$8)</f>
        <v/>
      </c>
    </row>
    <row r="186" customFormat="false" ht="12" hidden="false" customHeight="true" outlineLevel="0" collapsed="false">
      <c r="A186" s="196" t="str">
        <f aca="false">IF(A185&lt;mthend,EDATE(A185,1),"")</f>
        <v/>
      </c>
      <c r="B186" s="197" t="n">
        <f aca="false">IF(A186&lt;mthend,B185,0)</f>
        <v>0</v>
      </c>
      <c r="C186" s="215"/>
      <c r="D186" s="197" t="str">
        <f aca="false">IF(A187&lt;&gt;"",B186+C186,"")</f>
        <v/>
      </c>
      <c r="E186" s="199" t="str">
        <f aca="false">IF(A187="","",IF(AND(AT186=1,$H$3=1),D186*AO186,IF($H$3=2,D186,"N/A")))</f>
        <v/>
      </c>
      <c r="F186" s="199" t="str">
        <f aca="false">IF(A187="","",E186*AS186)</f>
        <v/>
      </c>
      <c r="G186" s="200" t="str">
        <f aca="false">IF($A187="","",VLOOKUP($A186,Table,MATCH(G$4,Curves,0)))</f>
        <v/>
      </c>
      <c r="H186" s="201" t="str">
        <f aca="false">IF(A187="","",G186)</f>
        <v/>
      </c>
      <c r="I186" s="202"/>
      <c r="J186" s="200" t="str">
        <f aca="false">IF($A187="","",VLOOKUP($A186,Table,MATCH(J$4,Curves,0)))</f>
        <v/>
      </c>
      <c r="K186" s="201" t="str">
        <f aca="false">IF(A187="","",J186)</f>
        <v/>
      </c>
      <c r="L186" s="200" t="str">
        <f aca="false">IF($A187="","",VLOOKUP($A186,Table,MATCH(L$4,Curves,0)))</f>
        <v/>
      </c>
      <c r="M186" s="201" t="str">
        <f aca="false">IF(A187="","",L186)</f>
        <v/>
      </c>
      <c r="N186" s="203"/>
      <c r="O186" s="200" t="str">
        <f aca="false">IF(A187="","",L186+J186+G186)</f>
        <v/>
      </c>
      <c r="P186" s="200" t="str">
        <f aca="false">IF(A187="","",M186+K186+H186)</f>
        <v/>
      </c>
      <c r="Q186" s="204"/>
      <c r="R186" s="200" t="str">
        <f aca="false">IF($A187="","",VLOOKUP($A186,Table,MATCH(R$4,Curves,0)))</f>
        <v/>
      </c>
      <c r="S186" s="201" t="str">
        <f aca="false">IF(A187="","",R186)</f>
        <v/>
      </c>
      <c r="T186" s="200" t="str">
        <f aca="false">IF($A187="","",VLOOKUP($A186,Table,MATCH(T$4,Curves,0)))</f>
        <v/>
      </c>
      <c r="U186" s="201" t="str">
        <f aca="false">IF(A187="","",T186)</f>
        <v/>
      </c>
      <c r="V186" s="183" t="str">
        <f aca="false">IF($A187="","",IF(AND(MONTH(A186)&gt;3,MONTH(A186)&lt;11),(T186+R186+G186)*Summary!$T$8/(1-Summary!$T$8),(T186+R186+G186)*Summary!$U$8/(1-Summary!$U$8)))</f>
        <v/>
      </c>
      <c r="W186" s="200" t="str">
        <f aca="false">IF($A187="","",(T186+R186+G186+V186))</f>
        <v/>
      </c>
      <c r="X186" s="200" t="str">
        <f aca="false">IF($A187="","",(U186+S186+H186+V186))</f>
        <v/>
      </c>
      <c r="Y186" s="202"/>
      <c r="Z186" s="185" t="str">
        <f aca="false">IF($A187="","",VLOOKUP($A186,Table,MATCH(Z$4,Curves,0)))</f>
        <v/>
      </c>
      <c r="AA186" s="185" t="str">
        <f aca="false">IF($A187="","",VLOOKUP($A186,Table,MATCH(AA$4,Curves,0)))</f>
        <v/>
      </c>
      <c r="AB186" s="185" t="e">
        <f aca="false">SQRT((AA186^2*(A186-$D$3)+Z186^2*(DAY(EOMONTH(A186,0))/2))/AK186)</f>
        <v>#VALUE!</v>
      </c>
      <c r="AC186" s="185" t="str">
        <f aca="false">IF($A187="","",VLOOKUP($A186,Table,MATCH(AC$4,Curves,0)))</f>
        <v/>
      </c>
      <c r="AD186" s="185" t="str">
        <f aca="false">IF($A187="","",VLOOKUP($A186,Table,MATCH(AD$4,Curves,0)))</f>
        <v/>
      </c>
      <c r="AE186" s="185" t="e">
        <f aca="false">SQRT((AD186^2*(A186-$D$3)+AC186^2*(DAY(EOMONTH(A186,0))/2))/AK186)</f>
        <v>#VALUE!</v>
      </c>
      <c r="AF186" s="224" t="e">
        <f aca="false">((Summary!$N$8*(AA186*AD186)*(A186-$D$3))+(Summary!$M$8*Z186*AC186*(AJ186-EOMONTH(EDATE(A186,-1),0))))/(AK186*AB186*AE186)</f>
        <v>#VALUE!</v>
      </c>
      <c r="AG186" s="207" t="str">
        <f aca="false">IF($A187="","",Summary!$Q$8)</f>
        <v/>
      </c>
      <c r="AH186" s="207" t="str">
        <f aca="false">IF($A187="","",IF(Summary!$R$8="Y",(VLOOKUP($A186,Summary!$AD$6:$AF$9,3)+'Escalating commodity'!D199),'Escalating commodity'!D199))</f>
        <v/>
      </c>
      <c r="AI186" s="207" t="str">
        <f aca="false">IF($A187="","",AH186)</f>
        <v/>
      </c>
      <c r="AJ186" s="208" t="e">
        <f aca="false">A186+DAY(EOMONTH(A186,0))/2-1</f>
        <v>#VALUE!</v>
      </c>
      <c r="AK186" s="209" t="str">
        <f aca="false">IF($A187="","",$A186-$E$1)</f>
        <v/>
      </c>
      <c r="AL186" s="182" t="str">
        <f aca="false">IF($A187="","",SPRDOPT(P186,X186,AI186,0,AB186,AE186,AF186,AK186,$AJ$2,0))</f>
        <v/>
      </c>
      <c r="AM186" s="211" t="str">
        <f aca="false">IF($A187="","",MAX(0,O186-W186-AI186))</f>
        <v/>
      </c>
      <c r="AN186" s="211" t="str">
        <f aca="false">IF($A187="","",AL186-AM186)</f>
        <v/>
      </c>
      <c r="AO186" s="137" t="str">
        <f aca="false">IF(A187="","",A187-A186)</f>
        <v/>
      </c>
      <c r="AP186" s="212" t="str">
        <f aca="false">IF(A187="","",CHOOSE(F$3,A187+24,A186))</f>
        <v/>
      </c>
      <c r="AQ186" s="209" t="str">
        <f aca="false">IF(A187="","",AP186-$E$1)</f>
        <v/>
      </c>
      <c r="AR186" s="185" t="n">
        <f aca="false">'ANR OK vs ML7'!AR186</f>
        <v>0.1</v>
      </c>
      <c r="AS186" s="213" t="str">
        <f aca="false">IF(A187="","",1/(1+CHOOSE(F$3,(AR187+($I$3/10000))/2,(AR186+($I$3/10000))/2))^(2*AQ186/365.25))</f>
        <v/>
      </c>
      <c r="AT186" s="137" t="str">
        <f aca="false">IF(A187="","",IF(AND(mthbeg&lt;=A186,mthend&gt;=A186),1,0))</f>
        <v/>
      </c>
      <c r="AU186" s="137" t="str">
        <f aca="false">IF(A187="","",AO186*AT186)</f>
        <v/>
      </c>
      <c r="AW186" s="195" t="str">
        <f aca="false">IF($A187="","",AL186*$E186)</f>
        <v/>
      </c>
      <c r="AX186" s="195" t="str">
        <f aca="false">IF($A187="","",AM186*$E186)</f>
        <v/>
      </c>
      <c r="AY186" s="195" t="str">
        <f aca="false">IF($A187="","",AN186*$E186)</f>
        <v/>
      </c>
      <c r="BA186" s="195" t="str">
        <f aca="false">IF($A187="","",F186*Summary!$Q$8)</f>
        <v/>
      </c>
    </row>
    <row r="187" customFormat="false" ht="12" hidden="false" customHeight="true" outlineLevel="0" collapsed="false">
      <c r="A187" s="196" t="str">
        <f aca="false">IF(A186&lt;mthend,EDATE(A186,1),"")</f>
        <v/>
      </c>
      <c r="B187" s="197" t="n">
        <f aca="false">IF(A187&lt;mthend,B186,0)</f>
        <v>0</v>
      </c>
      <c r="C187" s="215"/>
      <c r="D187" s="197" t="str">
        <f aca="false">IF(A188&lt;&gt;"",B187+C187,"")</f>
        <v/>
      </c>
      <c r="E187" s="199" t="str">
        <f aca="false">IF(A188="","",IF(AND(AT187=1,$H$3=1),D187*AO187,IF($H$3=2,D187,"N/A")))</f>
        <v/>
      </c>
      <c r="F187" s="199" t="str">
        <f aca="false">IF(A188="","",E187*AS187)</f>
        <v/>
      </c>
      <c r="G187" s="200" t="str">
        <f aca="false">IF($A188="","",VLOOKUP($A187,Table,MATCH(G$4,Curves,0)))</f>
        <v/>
      </c>
      <c r="H187" s="201" t="str">
        <f aca="false">IF(A188="","",G187)</f>
        <v/>
      </c>
      <c r="I187" s="202"/>
      <c r="J187" s="200" t="str">
        <f aca="false">IF($A188="","",VLOOKUP($A187,Table,MATCH(J$4,Curves,0)))</f>
        <v/>
      </c>
      <c r="K187" s="201" t="str">
        <f aca="false">IF(A188="","",J187)</f>
        <v/>
      </c>
      <c r="L187" s="200" t="str">
        <f aca="false">IF($A188="","",VLOOKUP($A187,Table,MATCH(L$4,Curves,0)))</f>
        <v/>
      </c>
      <c r="M187" s="201" t="str">
        <f aca="false">IF(A188="","",L187)</f>
        <v/>
      </c>
      <c r="N187" s="203"/>
      <c r="O187" s="200" t="str">
        <f aca="false">IF(A188="","",L187+J187+G187)</f>
        <v/>
      </c>
      <c r="P187" s="200" t="str">
        <f aca="false">IF(A188="","",M187+K187+H187)</f>
        <v/>
      </c>
      <c r="Q187" s="204"/>
      <c r="R187" s="200" t="str">
        <f aca="false">IF($A188="","",VLOOKUP($A187,Table,MATCH(R$4,Curves,0)))</f>
        <v/>
      </c>
      <c r="S187" s="201" t="str">
        <f aca="false">IF(A188="","",R187)</f>
        <v/>
      </c>
      <c r="T187" s="200" t="str">
        <f aca="false">IF($A188="","",VLOOKUP($A187,Table,MATCH(T$4,Curves,0)))</f>
        <v/>
      </c>
      <c r="U187" s="201" t="str">
        <f aca="false">IF(A188="","",T187)</f>
        <v/>
      </c>
      <c r="V187" s="183" t="str">
        <f aca="false">IF($A188="","",IF(AND(MONTH(A187)&gt;3,MONTH(A187)&lt;11),(T187+R187+G187)*Summary!$T$8/(1-Summary!$T$8),(T187+R187+G187)*Summary!$U$8/(1-Summary!$U$8)))</f>
        <v/>
      </c>
      <c r="W187" s="200" t="str">
        <f aca="false">IF($A188="","",(T187+R187+G187+V187))</f>
        <v/>
      </c>
      <c r="X187" s="200" t="str">
        <f aca="false">IF($A188="","",(U187+S187+H187+V187))</f>
        <v/>
      </c>
      <c r="Y187" s="202"/>
      <c r="Z187" s="185" t="str">
        <f aca="false">IF($A188="","",VLOOKUP($A187,Table,MATCH(Z$4,Curves,0)))</f>
        <v/>
      </c>
      <c r="AA187" s="185" t="str">
        <f aca="false">IF($A188="","",VLOOKUP($A187,Table,MATCH(AA$4,Curves,0)))</f>
        <v/>
      </c>
      <c r="AB187" s="185" t="e">
        <f aca="false">SQRT((AA187^2*(A187-$D$3)+Z187^2*(DAY(EOMONTH(A187,0))/2))/AK187)</f>
        <v>#VALUE!</v>
      </c>
      <c r="AC187" s="185" t="str">
        <f aca="false">IF($A188="","",VLOOKUP($A187,Table,MATCH(AC$4,Curves,0)))</f>
        <v/>
      </c>
      <c r="AD187" s="185" t="str">
        <f aca="false">IF($A188="","",VLOOKUP($A187,Table,MATCH(AD$4,Curves,0)))</f>
        <v/>
      </c>
      <c r="AE187" s="185" t="e">
        <f aca="false">SQRT((AD187^2*(A187-$D$3)+AC187^2*(DAY(EOMONTH(A187,0))/2))/AK187)</f>
        <v>#VALUE!</v>
      </c>
      <c r="AF187" s="224" t="e">
        <f aca="false">((Summary!$N$8*(AA187*AD187)*(A187-$D$3))+(Summary!$M$8*Z187*AC187*(AJ187-EOMONTH(EDATE(A187,-1),0))))/(AK187*AB187*AE187)</f>
        <v>#VALUE!</v>
      </c>
      <c r="AG187" s="207" t="str">
        <f aca="false">IF($A188="","",Summary!$Q$8)</f>
        <v/>
      </c>
      <c r="AH187" s="207" t="str">
        <f aca="false">IF($A188="","",IF(Summary!$R$8="Y",(VLOOKUP($A187,Summary!$AD$6:$AF$9,3)+'Escalating commodity'!D200),'Escalating commodity'!D200))</f>
        <v/>
      </c>
      <c r="AI187" s="207" t="str">
        <f aca="false">IF($A188="","",AH187)</f>
        <v/>
      </c>
      <c r="AJ187" s="208" t="e">
        <f aca="false">A187+DAY(EOMONTH(A187,0))/2-1</f>
        <v>#VALUE!</v>
      </c>
      <c r="AK187" s="209" t="str">
        <f aca="false">IF($A188="","",$A187-$E$1)</f>
        <v/>
      </c>
      <c r="AL187" s="182" t="str">
        <f aca="false">IF($A188="","",SPRDOPT(P187,X187,AI187,0,AB187,AE187,AF187,AK187,$AJ$2,0))</f>
        <v/>
      </c>
      <c r="AM187" s="211" t="str">
        <f aca="false">IF($A188="","",MAX(0,O187-W187-AI187))</f>
        <v/>
      </c>
      <c r="AN187" s="211" t="str">
        <f aca="false">IF($A188="","",AL187-AM187)</f>
        <v/>
      </c>
      <c r="AO187" s="137" t="str">
        <f aca="false">IF(A188="","",A188-A187)</f>
        <v/>
      </c>
      <c r="AP187" s="212" t="str">
        <f aca="false">IF(A188="","",CHOOSE(F$3,A188+24,A187))</f>
        <v/>
      </c>
      <c r="AQ187" s="209" t="str">
        <f aca="false">IF(A188="","",AP187-$E$1)</f>
        <v/>
      </c>
      <c r="AR187" s="185" t="n">
        <f aca="false">'ANR OK vs ML7'!AR187</f>
        <v>0.1</v>
      </c>
      <c r="AS187" s="213" t="str">
        <f aca="false">IF(A188="","",1/(1+CHOOSE(F$3,(AR188+($I$3/10000))/2,(AR187+($I$3/10000))/2))^(2*AQ187/365.25))</f>
        <v/>
      </c>
      <c r="AT187" s="137" t="str">
        <f aca="false">IF(A188="","",IF(AND(mthbeg&lt;=A187,mthend&gt;=A187),1,0))</f>
        <v/>
      </c>
      <c r="AU187" s="137" t="str">
        <f aca="false">IF(A188="","",AO187*AT187)</f>
        <v/>
      </c>
      <c r="AW187" s="195" t="str">
        <f aca="false">IF($A188="","",AL187*$E187)</f>
        <v/>
      </c>
      <c r="AX187" s="195" t="str">
        <f aca="false">IF($A188="","",AM187*$E187)</f>
        <v/>
      </c>
      <c r="AY187" s="195" t="str">
        <f aca="false">IF($A188="","",AN187*$E187)</f>
        <v/>
      </c>
      <c r="BA187" s="195" t="str">
        <f aca="false">IF($A188="","",F187*Summary!$Q$8)</f>
        <v/>
      </c>
    </row>
    <row r="188" customFormat="false" ht="12" hidden="false" customHeight="true" outlineLevel="0" collapsed="false">
      <c r="A188" s="196" t="str">
        <f aca="false">IF(A187&lt;mthend,EDATE(A187,1),"")</f>
        <v/>
      </c>
      <c r="B188" s="197" t="n">
        <f aca="false">IF(A188&lt;mthend,B187,0)</f>
        <v>0</v>
      </c>
      <c r="C188" s="215"/>
      <c r="D188" s="197" t="str">
        <f aca="false">IF(A189&lt;&gt;"",B188+C188,"")</f>
        <v/>
      </c>
      <c r="E188" s="199" t="str">
        <f aca="false">IF(A189="","",IF(AND(AT188=1,$H$3=1),D188*AO188,IF($H$3=2,D188,"N/A")))</f>
        <v/>
      </c>
      <c r="F188" s="199" t="str">
        <f aca="false">IF(A189="","",E188*AS188)</f>
        <v/>
      </c>
      <c r="G188" s="200" t="str">
        <f aca="false">IF($A189="","",VLOOKUP($A188,Table,MATCH(G$4,Curves,0)))</f>
        <v/>
      </c>
      <c r="H188" s="201" t="str">
        <f aca="false">IF(A189="","",G188)</f>
        <v/>
      </c>
      <c r="I188" s="202"/>
      <c r="J188" s="200" t="str">
        <f aca="false">IF($A189="","",VLOOKUP($A188,Table,MATCH(J$4,Curves,0)))</f>
        <v/>
      </c>
      <c r="K188" s="201" t="str">
        <f aca="false">IF(A189="","",J188)</f>
        <v/>
      </c>
      <c r="L188" s="200" t="str">
        <f aca="false">IF($A189="","",VLOOKUP($A188,Table,MATCH(L$4,Curves,0)))</f>
        <v/>
      </c>
      <c r="M188" s="201" t="str">
        <f aca="false">IF(A189="","",L188)</f>
        <v/>
      </c>
      <c r="N188" s="203"/>
      <c r="O188" s="200" t="str">
        <f aca="false">IF(A189="","",L188+J188+G188)</f>
        <v/>
      </c>
      <c r="P188" s="200" t="str">
        <f aca="false">IF(A189="","",M188+K188+H188)</f>
        <v/>
      </c>
      <c r="Q188" s="204"/>
      <c r="R188" s="200" t="str">
        <f aca="false">IF($A189="","",VLOOKUP($A188,Table,MATCH(R$4,Curves,0)))</f>
        <v/>
      </c>
      <c r="S188" s="201" t="str">
        <f aca="false">IF(A189="","",R188)</f>
        <v/>
      </c>
      <c r="T188" s="200" t="str">
        <f aca="false">IF($A189="","",VLOOKUP($A188,Table,MATCH(T$4,Curves,0)))</f>
        <v/>
      </c>
      <c r="U188" s="201" t="str">
        <f aca="false">IF(A189="","",T188)</f>
        <v/>
      </c>
      <c r="V188" s="183" t="str">
        <f aca="false">IF($A189="","",IF(AND(MONTH(A188)&gt;3,MONTH(A188)&lt;11),(T188+R188+G188)*Summary!$T$8/(1-Summary!$T$8),(T188+R188+G188)*Summary!$U$8/(1-Summary!$U$8)))</f>
        <v/>
      </c>
      <c r="W188" s="200" t="str">
        <f aca="false">IF($A189="","",(T188+R188+G188+V188))</f>
        <v/>
      </c>
      <c r="X188" s="200" t="str">
        <f aca="false">IF($A189="","",(U188+S188+H188+V188))</f>
        <v/>
      </c>
      <c r="Y188" s="202"/>
      <c r="Z188" s="185" t="str">
        <f aca="false">IF($A189="","",VLOOKUP($A188,Table,MATCH(Z$4,Curves,0)))</f>
        <v/>
      </c>
      <c r="AA188" s="185" t="str">
        <f aca="false">IF($A189="","",VLOOKUP($A188,Table,MATCH(AA$4,Curves,0)))</f>
        <v/>
      </c>
      <c r="AB188" s="185" t="e">
        <f aca="false">SQRT((AA188^2*(A188-$D$3)+Z188^2*(DAY(EOMONTH(A188,0))/2))/AK188)</f>
        <v>#VALUE!</v>
      </c>
      <c r="AC188" s="185" t="str">
        <f aca="false">IF($A189="","",VLOOKUP($A188,Table,MATCH(AC$4,Curves,0)))</f>
        <v/>
      </c>
      <c r="AD188" s="185" t="str">
        <f aca="false">IF($A189="","",VLOOKUP($A188,Table,MATCH(AD$4,Curves,0)))</f>
        <v/>
      </c>
      <c r="AE188" s="185" t="e">
        <f aca="false">SQRT((AD188^2*(A188-$D$3)+AC188^2*(DAY(EOMONTH(A188,0))/2))/AK188)</f>
        <v>#VALUE!</v>
      </c>
      <c r="AF188" s="224" t="e">
        <f aca="false">((Summary!$N$8*(AA188*AD188)*(A188-$D$3))+(Summary!$M$8*Z188*AC188*(AJ188-EOMONTH(EDATE(A188,-1),0))))/(AK188*AB188*AE188)</f>
        <v>#VALUE!</v>
      </c>
      <c r="AG188" s="207" t="str">
        <f aca="false">IF($A189="","",Summary!$Q$8)</f>
        <v/>
      </c>
      <c r="AH188" s="207" t="str">
        <f aca="false">IF($A189="","",IF(Summary!$R$8="Y",(VLOOKUP($A188,Summary!$AD$6:$AF$9,3)+'Escalating commodity'!D201),'Escalating commodity'!D201))</f>
        <v/>
      </c>
      <c r="AI188" s="207" t="str">
        <f aca="false">IF($A189="","",AH188)</f>
        <v/>
      </c>
      <c r="AJ188" s="208" t="e">
        <f aca="false">A188+DAY(EOMONTH(A188,0))/2-1</f>
        <v>#VALUE!</v>
      </c>
      <c r="AK188" s="209" t="str">
        <f aca="false">IF($A189="","",$A188-$E$1)</f>
        <v/>
      </c>
      <c r="AL188" s="182" t="str">
        <f aca="false">IF($A189="","",SPRDOPT(P188,X188,AI188,0,AB188,AE188,AF188,AK188,$AJ$2,0))</f>
        <v/>
      </c>
      <c r="AM188" s="211" t="str">
        <f aca="false">IF($A189="","",MAX(0,O188-W188-AI188))</f>
        <v/>
      </c>
      <c r="AN188" s="211" t="str">
        <f aca="false">IF($A189="","",AL188-AM188)</f>
        <v/>
      </c>
      <c r="AO188" s="137" t="str">
        <f aca="false">IF(A189="","",A189-A188)</f>
        <v/>
      </c>
      <c r="AP188" s="212" t="str">
        <f aca="false">IF(A189="","",CHOOSE(F$3,A189+24,A188))</f>
        <v/>
      </c>
      <c r="AQ188" s="209" t="str">
        <f aca="false">IF(A189="","",AP188-$E$1)</f>
        <v/>
      </c>
      <c r="AR188" s="185" t="n">
        <f aca="false">'ANR OK vs ML7'!AR188</f>
        <v>0.1</v>
      </c>
      <c r="AS188" s="213" t="str">
        <f aca="false">IF(A189="","",1/(1+CHOOSE(F$3,(AR189+($I$3/10000))/2,(AR188+($I$3/10000))/2))^(2*AQ188/365.25))</f>
        <v/>
      </c>
      <c r="AT188" s="137" t="str">
        <f aca="false">IF(A189="","",IF(AND(mthbeg&lt;=A188,mthend&gt;=A188),1,0))</f>
        <v/>
      </c>
      <c r="AU188" s="137" t="str">
        <f aca="false">IF(A189="","",AO188*AT188)</f>
        <v/>
      </c>
      <c r="AW188" s="195" t="str">
        <f aca="false">IF($A189="","",AL188*$E188)</f>
        <v/>
      </c>
      <c r="AX188" s="195" t="str">
        <f aca="false">IF($A189="","",AM188*$E188)</f>
        <v/>
      </c>
      <c r="AY188" s="195" t="str">
        <f aca="false">IF($A189="","",AN188*$E188)</f>
        <v/>
      </c>
      <c r="BA188" s="195" t="str">
        <f aca="false">IF($A189="","",F188*Summary!$Q$8)</f>
        <v/>
      </c>
    </row>
    <row r="189" customFormat="false" ht="12" hidden="false" customHeight="true" outlineLevel="0" collapsed="false">
      <c r="A189" s="196" t="str">
        <f aca="false">IF(A188&lt;mthend,EDATE(A188,1),"")</f>
        <v/>
      </c>
      <c r="B189" s="197" t="n">
        <f aca="false">IF(A189&lt;mthend,B188,0)</f>
        <v>0</v>
      </c>
      <c r="C189" s="215"/>
      <c r="D189" s="197" t="str">
        <f aca="false">IF(A190&lt;&gt;"",B189+C189,"")</f>
        <v/>
      </c>
      <c r="E189" s="199" t="str">
        <f aca="false">IF(A190="","",IF(AND(AT189=1,$H$3=1),D189*AO189,IF($H$3=2,D189,"N/A")))</f>
        <v/>
      </c>
      <c r="F189" s="199" t="str">
        <f aca="false">IF(A190="","",E189*AS189)</f>
        <v/>
      </c>
      <c r="G189" s="200" t="str">
        <f aca="false">IF($A190="","",VLOOKUP($A189,Table,MATCH(G$4,Curves,0)))</f>
        <v/>
      </c>
      <c r="H189" s="201" t="str">
        <f aca="false">IF(A190="","",G189)</f>
        <v/>
      </c>
      <c r="I189" s="202"/>
      <c r="J189" s="200" t="str">
        <f aca="false">IF($A190="","",VLOOKUP($A189,Table,MATCH(J$4,Curves,0)))</f>
        <v/>
      </c>
      <c r="K189" s="201" t="str">
        <f aca="false">IF(A190="","",J189)</f>
        <v/>
      </c>
      <c r="L189" s="200" t="str">
        <f aca="false">IF($A190="","",VLOOKUP($A189,Table,MATCH(L$4,Curves,0)))</f>
        <v/>
      </c>
      <c r="M189" s="201" t="str">
        <f aca="false">IF(A190="","",L189)</f>
        <v/>
      </c>
      <c r="N189" s="203"/>
      <c r="O189" s="200" t="str">
        <f aca="false">IF(A190="","",L189+J189+G189)</f>
        <v/>
      </c>
      <c r="P189" s="200" t="str">
        <f aca="false">IF(A190="","",M189+K189+H189)</f>
        <v/>
      </c>
      <c r="Q189" s="204"/>
      <c r="R189" s="200" t="str">
        <f aca="false">IF($A190="","",VLOOKUP($A189,Table,MATCH(R$4,Curves,0)))</f>
        <v/>
      </c>
      <c r="S189" s="201" t="str">
        <f aca="false">IF(A190="","",R189)</f>
        <v/>
      </c>
      <c r="T189" s="200" t="str">
        <f aca="false">IF($A190="","",VLOOKUP($A189,Table,MATCH(T$4,Curves,0)))</f>
        <v/>
      </c>
      <c r="U189" s="201" t="str">
        <f aca="false">IF(A190="","",T189)</f>
        <v/>
      </c>
      <c r="V189" s="183" t="str">
        <f aca="false">IF($A190="","",IF(AND(MONTH(A189)&gt;3,MONTH(A189)&lt;11),(T189+R189+G189)*Summary!$T$8/(1-Summary!$T$8),(T189+R189+G189)*Summary!$U$8/(1-Summary!$U$8)))</f>
        <v/>
      </c>
      <c r="W189" s="200" t="str">
        <f aca="false">IF($A190="","",(T189+R189+G189+V189))</f>
        <v/>
      </c>
      <c r="X189" s="200" t="str">
        <f aca="false">IF($A190="","",(U189+S189+H189+V189))</f>
        <v/>
      </c>
      <c r="Y189" s="202"/>
      <c r="Z189" s="185" t="str">
        <f aca="false">IF($A190="","",VLOOKUP($A189,Table,MATCH(Z$4,Curves,0)))</f>
        <v/>
      </c>
      <c r="AA189" s="185" t="str">
        <f aca="false">IF($A190="","",VLOOKUP($A189,Table,MATCH(AA$4,Curves,0)))</f>
        <v/>
      </c>
      <c r="AB189" s="185" t="e">
        <f aca="false">SQRT((AA189^2*(A189-$D$3)+Z189^2*(DAY(EOMONTH(A189,0))/2))/AK189)</f>
        <v>#VALUE!</v>
      </c>
      <c r="AC189" s="185" t="str">
        <f aca="false">IF($A190="","",VLOOKUP($A189,Table,MATCH(AC$4,Curves,0)))</f>
        <v/>
      </c>
      <c r="AD189" s="185" t="str">
        <f aca="false">IF($A190="","",VLOOKUP($A189,Table,MATCH(AD$4,Curves,0)))</f>
        <v/>
      </c>
      <c r="AE189" s="185" t="e">
        <f aca="false">SQRT((AD189^2*(A189-$D$3)+AC189^2*(DAY(EOMONTH(A189,0))/2))/AK189)</f>
        <v>#VALUE!</v>
      </c>
      <c r="AF189" s="224" t="e">
        <f aca="false">((Summary!$N$8*(AA189*AD189)*(A189-$D$3))+(Summary!$M$8*Z189*AC189*(AJ189-EOMONTH(EDATE(A189,-1),0))))/(AK189*AB189*AE189)</f>
        <v>#VALUE!</v>
      </c>
      <c r="AG189" s="207" t="str">
        <f aca="false">IF($A190="","",Summary!$Q$8)</f>
        <v/>
      </c>
      <c r="AH189" s="207" t="str">
        <f aca="false">IF($A190="","",IF(Summary!$R$8="Y",(VLOOKUP($A189,Summary!$AD$6:$AF$9,3)+'Escalating commodity'!D202),'Escalating commodity'!D202))</f>
        <v/>
      </c>
      <c r="AI189" s="207" t="str">
        <f aca="false">IF($A190="","",AH189)</f>
        <v/>
      </c>
      <c r="AJ189" s="208" t="e">
        <f aca="false">A189+DAY(EOMONTH(A189,0))/2-1</f>
        <v>#VALUE!</v>
      </c>
      <c r="AK189" s="209" t="str">
        <f aca="false">IF($A190="","",$A189-$E$1)</f>
        <v/>
      </c>
      <c r="AL189" s="182" t="str">
        <f aca="false">IF($A190="","",SPRDOPT(P189,X189,AI189,0,AB189,AE189,AF189,AK189,$AJ$2,0))</f>
        <v/>
      </c>
      <c r="AM189" s="211" t="str">
        <f aca="false">IF($A190="","",MAX(0,O189-W189-AI189))</f>
        <v/>
      </c>
      <c r="AN189" s="211" t="str">
        <f aca="false">IF($A190="","",AL189-AM189)</f>
        <v/>
      </c>
      <c r="AO189" s="137" t="str">
        <f aca="false">IF(A190="","",A190-A189)</f>
        <v/>
      </c>
      <c r="AP189" s="212" t="str">
        <f aca="false">IF(A190="","",CHOOSE(F$3,A190+24,A189))</f>
        <v/>
      </c>
      <c r="AQ189" s="209" t="str">
        <f aca="false">IF(A190="","",AP189-$E$1)</f>
        <v/>
      </c>
      <c r="AR189" s="185" t="n">
        <f aca="false">'ANR OK vs ML7'!AR189</f>
        <v>0.1</v>
      </c>
      <c r="AS189" s="213" t="str">
        <f aca="false">IF(A190="","",1/(1+CHOOSE(F$3,(AR190+($I$3/10000))/2,(AR189+($I$3/10000))/2))^(2*AQ189/365.25))</f>
        <v/>
      </c>
      <c r="AT189" s="137" t="str">
        <f aca="false">IF(A190="","",IF(AND(mthbeg&lt;=A189,mthend&gt;=A189),1,0))</f>
        <v/>
      </c>
      <c r="AU189" s="137" t="str">
        <f aca="false">IF(A190="","",AO189*AT189)</f>
        <v/>
      </c>
      <c r="AW189" s="195" t="str">
        <f aca="false">IF($A190="","",AL189*$E189)</f>
        <v/>
      </c>
      <c r="AX189" s="195" t="str">
        <f aca="false">IF($A190="","",AM189*$E189)</f>
        <v/>
      </c>
      <c r="AY189" s="195" t="str">
        <f aca="false">IF($A190="","",AN189*$E189)</f>
        <v/>
      </c>
      <c r="BA189" s="195" t="str">
        <f aca="false">IF($A190="","",F189*Summary!$Q$8)</f>
        <v/>
      </c>
    </row>
    <row r="190" customFormat="false" ht="12" hidden="false" customHeight="true" outlineLevel="0" collapsed="false">
      <c r="A190" s="196" t="str">
        <f aca="false">IF(A189&lt;mthend,EDATE(A189,1),"")</f>
        <v/>
      </c>
      <c r="B190" s="197" t="n">
        <f aca="false">IF(A190&lt;mthend,B189,0)</f>
        <v>0</v>
      </c>
      <c r="C190" s="215"/>
      <c r="D190" s="197" t="str">
        <f aca="false">IF(A191&lt;&gt;"",B190+C190,"")</f>
        <v/>
      </c>
      <c r="E190" s="199" t="str">
        <f aca="false">IF(A191="","",IF(AND(AT190=1,$H$3=1),D190*AO190,IF($H$3=2,D190,"N/A")))</f>
        <v/>
      </c>
      <c r="F190" s="199" t="str">
        <f aca="false">IF(A191="","",E190*AS190)</f>
        <v/>
      </c>
      <c r="G190" s="200" t="str">
        <f aca="false">IF($A191="","",VLOOKUP($A190,Table,MATCH(G$4,Curves,0)))</f>
        <v/>
      </c>
      <c r="H190" s="201" t="str">
        <f aca="false">IF(A191="","",G190)</f>
        <v/>
      </c>
      <c r="I190" s="202"/>
      <c r="J190" s="200" t="str">
        <f aca="false">IF($A191="","",VLOOKUP($A190,Table,MATCH(J$4,Curves,0)))</f>
        <v/>
      </c>
      <c r="K190" s="201" t="str">
        <f aca="false">IF(A191="","",J190)</f>
        <v/>
      </c>
      <c r="L190" s="200" t="str">
        <f aca="false">IF($A191="","",VLOOKUP($A190,Table,MATCH(L$4,Curves,0)))</f>
        <v/>
      </c>
      <c r="M190" s="201" t="str">
        <f aca="false">IF(A191="","",L190)</f>
        <v/>
      </c>
      <c r="N190" s="203"/>
      <c r="O190" s="200" t="str">
        <f aca="false">IF(A191="","",L190+J190+G190)</f>
        <v/>
      </c>
      <c r="P190" s="200" t="str">
        <f aca="false">IF(A191="","",M190+K190+H190)</f>
        <v/>
      </c>
      <c r="Q190" s="204"/>
      <c r="R190" s="200" t="str">
        <f aca="false">IF($A191="","",VLOOKUP($A190,Table,MATCH(R$4,Curves,0)))</f>
        <v/>
      </c>
      <c r="S190" s="201" t="str">
        <f aca="false">IF(A191="","",R190)</f>
        <v/>
      </c>
      <c r="T190" s="200" t="str">
        <f aca="false">IF($A191="","",VLOOKUP($A190,Table,MATCH(T$4,Curves,0)))</f>
        <v/>
      </c>
      <c r="U190" s="201" t="str">
        <f aca="false">IF(A191="","",T190)</f>
        <v/>
      </c>
      <c r="V190" s="183" t="str">
        <f aca="false">IF($A191="","",IF(AND(MONTH(A190)&gt;3,MONTH(A190)&lt;11),(T190+R190+G190)*Summary!$T$8/(1-Summary!$T$8),(T190+R190+G190)*Summary!$U$8/(1-Summary!$U$8)))</f>
        <v/>
      </c>
      <c r="W190" s="200" t="str">
        <f aca="false">IF($A191="","",(T190+R190+G190+V190))</f>
        <v/>
      </c>
      <c r="X190" s="200" t="str">
        <f aca="false">IF($A191="","",(U190+S190+H190+V190))</f>
        <v/>
      </c>
      <c r="Y190" s="202"/>
      <c r="Z190" s="185" t="str">
        <f aca="false">IF($A191="","",VLOOKUP($A190,Table,MATCH(Z$4,Curves,0)))</f>
        <v/>
      </c>
      <c r="AA190" s="185" t="str">
        <f aca="false">IF($A191="","",VLOOKUP($A190,Table,MATCH(AA$4,Curves,0)))</f>
        <v/>
      </c>
      <c r="AB190" s="185" t="e">
        <f aca="false">SQRT((AA190^2*(A190-$D$3)+Z190^2*(DAY(EOMONTH(A190,0))/2))/AK190)</f>
        <v>#VALUE!</v>
      </c>
      <c r="AC190" s="185" t="str">
        <f aca="false">IF($A191="","",VLOOKUP($A190,Table,MATCH(AC$4,Curves,0)))</f>
        <v/>
      </c>
      <c r="AD190" s="185" t="str">
        <f aca="false">IF($A191="","",VLOOKUP($A190,Table,MATCH(AD$4,Curves,0)))</f>
        <v/>
      </c>
      <c r="AE190" s="185" t="e">
        <f aca="false">SQRT((AD190^2*(A190-$D$3)+AC190^2*(DAY(EOMONTH(A190,0))/2))/AK190)</f>
        <v>#VALUE!</v>
      </c>
      <c r="AF190" s="224" t="e">
        <f aca="false">((Summary!$N$8*(AA190*AD190)*(A190-$D$3))+(Summary!$M$8*Z190*AC190*(AJ190-EOMONTH(EDATE(A190,-1),0))))/(AK190*AB190*AE190)</f>
        <v>#VALUE!</v>
      </c>
      <c r="AG190" s="207" t="str">
        <f aca="false">IF($A191="","",Summary!$Q$8)</f>
        <v/>
      </c>
      <c r="AH190" s="207" t="str">
        <f aca="false">IF($A191="","",IF(Summary!$R$8="Y",(VLOOKUP($A190,Summary!$AD$6:$AF$9,3)+'Escalating commodity'!D203),'Escalating commodity'!D203))</f>
        <v/>
      </c>
      <c r="AI190" s="207" t="str">
        <f aca="false">IF($A191="","",AH190)</f>
        <v/>
      </c>
      <c r="AJ190" s="208" t="e">
        <f aca="false">A190+DAY(EOMONTH(A190,0))/2-1</f>
        <v>#VALUE!</v>
      </c>
      <c r="AK190" s="209" t="str">
        <f aca="false">IF($A191="","",$A190-$E$1)</f>
        <v/>
      </c>
      <c r="AL190" s="182" t="str">
        <f aca="false">IF($A191="","",SPRDOPT(P190,X190,AI190,0,AB190,AE190,AF190,AK190,$AJ$2,0))</f>
        <v/>
      </c>
      <c r="AM190" s="211" t="str">
        <f aca="false">IF($A191="","",MAX(0,O190-W190-AI190))</f>
        <v/>
      </c>
      <c r="AN190" s="211" t="str">
        <f aca="false">IF($A191="","",AL190-AM190)</f>
        <v/>
      </c>
      <c r="AO190" s="137" t="str">
        <f aca="false">IF(A191="","",A191-A190)</f>
        <v/>
      </c>
      <c r="AP190" s="212" t="str">
        <f aca="false">IF(A191="","",CHOOSE(F$3,A191+24,A190))</f>
        <v/>
      </c>
      <c r="AQ190" s="209" t="str">
        <f aca="false">IF(A191="","",AP190-$E$1)</f>
        <v/>
      </c>
      <c r="AR190" s="185" t="n">
        <f aca="false">'ANR OK vs ML7'!AR190</f>
        <v>0.1</v>
      </c>
      <c r="AS190" s="213" t="str">
        <f aca="false">IF(A191="","",1/(1+CHOOSE(F$3,(AR191+($I$3/10000))/2,(AR190+($I$3/10000))/2))^(2*AQ190/365.25))</f>
        <v/>
      </c>
      <c r="AT190" s="137" t="str">
        <f aca="false">IF(A191="","",IF(AND(mthbeg&lt;=A190,mthend&gt;=A190),1,0))</f>
        <v/>
      </c>
      <c r="AU190" s="137" t="str">
        <f aca="false">IF(A191="","",AO190*AT190)</f>
        <v/>
      </c>
      <c r="AW190" s="195" t="str">
        <f aca="false">IF($A191="","",AL190*$E190)</f>
        <v/>
      </c>
      <c r="AX190" s="195" t="str">
        <f aca="false">IF($A191="","",AM190*$E190)</f>
        <v/>
      </c>
      <c r="AY190" s="195" t="str">
        <f aca="false">IF($A191="","",AN190*$E190)</f>
        <v/>
      </c>
      <c r="BA190" s="195" t="str">
        <f aca="false">IF($A191="","",F190*Summary!$Q$8)</f>
        <v/>
      </c>
    </row>
    <row r="191" customFormat="false" ht="12" hidden="false" customHeight="true" outlineLevel="0" collapsed="false">
      <c r="A191" s="196" t="str">
        <f aca="false">IF(A190&lt;mthend,EDATE(A190,1),"")</f>
        <v/>
      </c>
      <c r="B191" s="197" t="n">
        <f aca="false">IF(A191&lt;mthend,B190,0)</f>
        <v>0</v>
      </c>
      <c r="C191" s="215"/>
      <c r="D191" s="197" t="str">
        <f aca="false">IF(A192&lt;&gt;"",B191+C191,"")</f>
        <v/>
      </c>
      <c r="E191" s="199" t="str">
        <f aca="false">IF(A192="","",IF(AND(AT191=1,$H$3=1),D191*AO191,IF($H$3=2,D191,"N/A")))</f>
        <v/>
      </c>
      <c r="F191" s="199" t="str">
        <f aca="false">IF(A192="","",E191*AS191)</f>
        <v/>
      </c>
      <c r="G191" s="200" t="str">
        <f aca="false">IF($A192="","",VLOOKUP($A191,Table,MATCH(G$4,Curves,0)))</f>
        <v/>
      </c>
      <c r="H191" s="201" t="str">
        <f aca="false">IF(A192="","",G191)</f>
        <v/>
      </c>
      <c r="I191" s="202"/>
      <c r="J191" s="200" t="str">
        <f aca="false">IF($A192="","",VLOOKUP($A191,Table,MATCH(J$4,Curves,0)))</f>
        <v/>
      </c>
      <c r="K191" s="201" t="str">
        <f aca="false">IF(A192="","",J191)</f>
        <v/>
      </c>
      <c r="L191" s="200" t="str">
        <f aca="false">IF($A192="","",VLOOKUP($A191,Table,MATCH(L$4,Curves,0)))</f>
        <v/>
      </c>
      <c r="M191" s="201" t="str">
        <f aca="false">IF(A192="","",L191)</f>
        <v/>
      </c>
      <c r="N191" s="203"/>
      <c r="O191" s="200" t="str">
        <f aca="false">IF(A192="","",L191+J191+G191)</f>
        <v/>
      </c>
      <c r="P191" s="200" t="str">
        <f aca="false">IF(A192="","",M191+K191+H191)</f>
        <v/>
      </c>
      <c r="Q191" s="204"/>
      <c r="R191" s="200" t="str">
        <f aca="false">IF($A192="","",VLOOKUP($A191,Table,MATCH(R$4,Curves,0)))</f>
        <v/>
      </c>
      <c r="S191" s="201" t="str">
        <f aca="false">IF(A192="","",R191)</f>
        <v/>
      </c>
      <c r="T191" s="200" t="str">
        <f aca="false">IF($A192="","",VLOOKUP($A191,Table,MATCH(T$4,Curves,0)))</f>
        <v/>
      </c>
      <c r="U191" s="201" t="str">
        <f aca="false">IF(A192="","",T191)</f>
        <v/>
      </c>
      <c r="V191" s="183" t="str">
        <f aca="false">IF($A192="","",IF(AND(MONTH(A191)&gt;3,MONTH(A191)&lt;11),(T191+R191+G191)*Summary!$T$8/(1-Summary!$T$8),(T191+R191+G191)*Summary!$U$8/(1-Summary!$U$8)))</f>
        <v/>
      </c>
      <c r="W191" s="200" t="str">
        <f aca="false">IF($A192="","",(T191+R191+G191+V191))</f>
        <v/>
      </c>
      <c r="X191" s="200" t="str">
        <f aca="false">IF($A192="","",(U191+S191+H191+V191))</f>
        <v/>
      </c>
      <c r="Y191" s="202"/>
      <c r="Z191" s="185" t="str">
        <f aca="false">IF($A192="","",VLOOKUP($A191,Table,MATCH(Z$4,Curves,0)))</f>
        <v/>
      </c>
      <c r="AA191" s="185" t="str">
        <f aca="false">IF($A192="","",VLOOKUP($A191,Table,MATCH(AA$4,Curves,0)))</f>
        <v/>
      </c>
      <c r="AB191" s="185" t="e">
        <f aca="false">SQRT((AA191^2*(A191-$D$3)+Z191^2*(DAY(EOMONTH(A191,0))/2))/AK191)</f>
        <v>#VALUE!</v>
      </c>
      <c r="AC191" s="185" t="str">
        <f aca="false">IF($A192="","",VLOOKUP($A191,Table,MATCH(AC$4,Curves,0)))</f>
        <v/>
      </c>
      <c r="AD191" s="185" t="str">
        <f aca="false">IF($A192="","",VLOOKUP($A191,Table,MATCH(AD$4,Curves,0)))</f>
        <v/>
      </c>
      <c r="AE191" s="185" t="e">
        <f aca="false">SQRT((AD191^2*(A191-$D$3)+AC191^2*(DAY(EOMONTH(A191,0))/2))/AK191)</f>
        <v>#VALUE!</v>
      </c>
      <c r="AF191" s="224" t="e">
        <f aca="false">((Summary!$N$8*(AA191*AD191)*(A191-$D$3))+(Summary!$M$8*Z191*AC191*(AJ191-EOMONTH(EDATE(A191,-1),0))))/(AK191*AB191*AE191)</f>
        <v>#VALUE!</v>
      </c>
      <c r="AG191" s="207" t="str">
        <f aca="false">IF($A192="","",Summary!$Q$8)</f>
        <v/>
      </c>
      <c r="AH191" s="207" t="str">
        <f aca="false">IF($A192="","",IF(Summary!$R$8="Y",(VLOOKUP($A191,Summary!$AD$6:$AF$9,3)+'Escalating commodity'!D204),'Escalating commodity'!D204))</f>
        <v/>
      </c>
      <c r="AI191" s="207" t="str">
        <f aca="false">IF($A192="","",AH191)</f>
        <v/>
      </c>
      <c r="AJ191" s="208" t="e">
        <f aca="false">A191+DAY(EOMONTH(A191,0))/2-1</f>
        <v>#VALUE!</v>
      </c>
      <c r="AK191" s="209" t="str">
        <f aca="false">IF($A192="","",$A191-$E$1)</f>
        <v/>
      </c>
      <c r="AL191" s="182" t="str">
        <f aca="false">IF($A192="","",SPRDOPT(P191,X191,AI191,0,AB191,AE191,AF191,AK191,$AJ$2,0))</f>
        <v/>
      </c>
      <c r="AM191" s="211" t="str">
        <f aca="false">IF($A192="","",MAX(0,O191-W191-AI191))</f>
        <v/>
      </c>
      <c r="AN191" s="211" t="str">
        <f aca="false">IF($A192="","",AL191-AM191)</f>
        <v/>
      </c>
      <c r="AO191" s="137" t="str">
        <f aca="false">IF(A192="","",A192-A191)</f>
        <v/>
      </c>
      <c r="AP191" s="212" t="str">
        <f aca="false">IF(A192="","",CHOOSE(F$3,A192+24,A191))</f>
        <v/>
      </c>
      <c r="AQ191" s="209" t="str">
        <f aca="false">IF(A192="","",AP191-$E$1)</f>
        <v/>
      </c>
      <c r="AR191" s="185" t="n">
        <f aca="false">'ANR OK vs ML7'!AR191</f>
        <v>0.1</v>
      </c>
      <c r="AS191" s="213" t="str">
        <f aca="false">IF(A192="","",1/(1+CHOOSE(F$3,(AR192+($I$3/10000))/2,(AR191+($I$3/10000))/2))^(2*AQ191/365.25))</f>
        <v/>
      </c>
      <c r="AT191" s="137" t="str">
        <f aca="false">IF(A192="","",IF(AND(mthbeg&lt;=A191,mthend&gt;=A191),1,0))</f>
        <v/>
      </c>
      <c r="AU191" s="137" t="str">
        <f aca="false">IF(A192="","",AO191*AT191)</f>
        <v/>
      </c>
      <c r="AW191" s="195" t="str">
        <f aca="false">IF($A192="","",AL191*$E191)</f>
        <v/>
      </c>
      <c r="AX191" s="195" t="str">
        <f aca="false">IF($A192="","",AM191*$E191)</f>
        <v/>
      </c>
      <c r="AY191" s="195" t="str">
        <f aca="false">IF($A192="","",AN191*$E191)</f>
        <v/>
      </c>
      <c r="BA191" s="195" t="str">
        <f aca="false">IF($A192="","",F191*Summary!$Q$8)</f>
        <v/>
      </c>
    </row>
    <row r="192" customFormat="false" ht="12" hidden="false" customHeight="true" outlineLevel="0" collapsed="false">
      <c r="A192" s="196" t="str">
        <f aca="false">IF(A191&lt;mthend,EDATE(A191,1),"")</f>
        <v/>
      </c>
      <c r="B192" s="197" t="n">
        <f aca="false">IF(A192&lt;mthend,B191,0)</f>
        <v>0</v>
      </c>
      <c r="C192" s="215"/>
      <c r="D192" s="197" t="str">
        <f aca="false">IF(A193&lt;&gt;"",B192+C192,"")</f>
        <v/>
      </c>
      <c r="E192" s="199" t="str">
        <f aca="false">IF(A193="","",IF(AND(AT192=1,$H$3=1),D192*AO192,IF($H$3=2,D192,"N/A")))</f>
        <v/>
      </c>
      <c r="F192" s="199" t="str">
        <f aca="false">IF(A193="","",E192*AS192)</f>
        <v/>
      </c>
      <c r="G192" s="200" t="str">
        <f aca="false">IF($A193="","",VLOOKUP($A192,Table,MATCH(G$4,Curves,0)))</f>
        <v/>
      </c>
      <c r="H192" s="201" t="str">
        <f aca="false">IF(A193="","",G192)</f>
        <v/>
      </c>
      <c r="I192" s="202"/>
      <c r="J192" s="200" t="str">
        <f aca="false">IF($A193="","",VLOOKUP($A192,Table,MATCH(J$4,Curves,0)))</f>
        <v/>
      </c>
      <c r="K192" s="201" t="str">
        <f aca="false">IF(A193="","",J192)</f>
        <v/>
      </c>
      <c r="L192" s="200" t="str">
        <f aca="false">IF($A193="","",VLOOKUP($A192,Table,MATCH(L$4,Curves,0)))</f>
        <v/>
      </c>
      <c r="M192" s="201" t="str">
        <f aca="false">IF(A193="","",L192)</f>
        <v/>
      </c>
      <c r="N192" s="203"/>
      <c r="O192" s="200" t="str">
        <f aca="false">IF(A193="","",L192+J192+G192)</f>
        <v/>
      </c>
      <c r="P192" s="200" t="str">
        <f aca="false">IF(A193="","",M192+K192+H192)</f>
        <v/>
      </c>
      <c r="Q192" s="204"/>
      <c r="R192" s="200" t="str">
        <f aca="false">IF($A193="","",VLOOKUP($A192,Table,MATCH(R$4,Curves,0)))</f>
        <v/>
      </c>
      <c r="S192" s="201" t="str">
        <f aca="false">IF(A193="","",R192)</f>
        <v/>
      </c>
      <c r="T192" s="200" t="str">
        <f aca="false">IF($A193="","",VLOOKUP($A192,Table,MATCH(T$4,Curves,0)))</f>
        <v/>
      </c>
      <c r="U192" s="201" t="str">
        <f aca="false">IF(A193="","",T192)</f>
        <v/>
      </c>
      <c r="V192" s="183" t="str">
        <f aca="false">IF($A193="","",IF(AND(MONTH(A192)&gt;3,MONTH(A192)&lt;11),(T192+R192+G192)*Summary!$T$8/(1-Summary!$T$8),(T192+R192+G192)*Summary!$U$8/(1-Summary!$U$8)))</f>
        <v/>
      </c>
      <c r="W192" s="200" t="str">
        <f aca="false">IF($A193="","",(T192+R192+G192+V192))</f>
        <v/>
      </c>
      <c r="X192" s="200" t="str">
        <f aca="false">IF($A193="","",(U192+S192+H192+V192))</f>
        <v/>
      </c>
      <c r="Y192" s="202"/>
      <c r="Z192" s="185" t="str">
        <f aca="false">IF($A193="","",VLOOKUP($A192,Table,MATCH(Z$4,Curves,0)))</f>
        <v/>
      </c>
      <c r="AA192" s="185" t="str">
        <f aca="false">IF($A193="","",VLOOKUP($A192,Table,MATCH(AA$4,Curves,0)))</f>
        <v/>
      </c>
      <c r="AB192" s="185" t="e">
        <f aca="false">SQRT((AA192^2*(A192-$D$3)+Z192^2*(DAY(EOMONTH(A192,0))/2))/AK192)</f>
        <v>#VALUE!</v>
      </c>
      <c r="AC192" s="185" t="str">
        <f aca="false">IF($A193="","",VLOOKUP($A192,Table,MATCH(AC$4,Curves,0)))</f>
        <v/>
      </c>
      <c r="AD192" s="185" t="str">
        <f aca="false">IF($A193="","",VLOOKUP($A192,Table,MATCH(AD$4,Curves,0)))</f>
        <v/>
      </c>
      <c r="AE192" s="185" t="e">
        <f aca="false">SQRT((AD192^2*(A192-$D$3)+AC192^2*(DAY(EOMONTH(A192,0))/2))/AK192)</f>
        <v>#VALUE!</v>
      </c>
      <c r="AF192" s="224" t="e">
        <f aca="false">((Summary!$N$8*(AA192*AD192)*(A192-$D$3))+(Summary!$M$8*Z192*AC192*(AJ192-EOMONTH(EDATE(A192,-1),0))))/(AK192*AB192*AE192)</f>
        <v>#VALUE!</v>
      </c>
      <c r="AG192" s="207" t="str">
        <f aca="false">IF($A193="","",Summary!$Q$8)</f>
        <v/>
      </c>
      <c r="AH192" s="207" t="str">
        <f aca="false">IF($A193="","",IF(Summary!$R$8="Y",(VLOOKUP($A192,Summary!$AD$6:$AF$9,3)+'Escalating commodity'!D205),'Escalating commodity'!D205))</f>
        <v/>
      </c>
      <c r="AI192" s="207" t="str">
        <f aca="false">IF($A193="","",AH192)</f>
        <v/>
      </c>
      <c r="AJ192" s="208" t="e">
        <f aca="false">A192+DAY(EOMONTH(A192,0))/2-1</f>
        <v>#VALUE!</v>
      </c>
      <c r="AK192" s="209" t="str">
        <f aca="false">IF($A193="","",$A192-$E$1)</f>
        <v/>
      </c>
      <c r="AL192" s="182" t="str">
        <f aca="false">IF($A193="","",SPRDOPT(P192,X192,AI192,0,AB192,AE192,AF192,AK192,$AJ$2,0))</f>
        <v/>
      </c>
      <c r="AM192" s="211" t="str">
        <f aca="false">IF($A193="","",MAX(0,O192-W192-AI192))</f>
        <v/>
      </c>
      <c r="AN192" s="211" t="str">
        <f aca="false">IF($A193="","",AL192-AM192)</f>
        <v/>
      </c>
      <c r="AO192" s="137" t="str">
        <f aca="false">IF(A193="","",A193-A192)</f>
        <v/>
      </c>
      <c r="AP192" s="212" t="str">
        <f aca="false">IF(A193="","",CHOOSE(F$3,A193+24,A192))</f>
        <v/>
      </c>
      <c r="AQ192" s="209" t="str">
        <f aca="false">IF(A193="","",AP192-$E$1)</f>
        <v/>
      </c>
      <c r="AR192" s="185" t="n">
        <f aca="false">'ANR OK vs ML7'!AR192</f>
        <v>0.1</v>
      </c>
      <c r="AS192" s="213" t="str">
        <f aca="false">IF(A193="","",1/(1+CHOOSE(F$3,(AR193+($I$3/10000))/2,(AR192+($I$3/10000))/2))^(2*AQ192/365.25))</f>
        <v/>
      </c>
      <c r="AT192" s="137" t="str">
        <f aca="false">IF(A193="","",IF(AND(mthbeg&lt;=A192,mthend&gt;=A192),1,0))</f>
        <v/>
      </c>
      <c r="AU192" s="137" t="str">
        <f aca="false">IF(A193="","",AO192*AT192)</f>
        <v/>
      </c>
      <c r="AW192" s="195" t="str">
        <f aca="false">IF($A193="","",AL192*$E192)</f>
        <v/>
      </c>
      <c r="AX192" s="195" t="str">
        <f aca="false">IF($A193="","",AM192*$E192)</f>
        <v/>
      </c>
      <c r="AY192" s="195" t="str">
        <f aca="false">IF($A193="","",AN192*$E192)</f>
        <v/>
      </c>
      <c r="BA192" s="195" t="str">
        <f aca="false">IF($A193="","",F192*Summary!$Q$8)</f>
        <v/>
      </c>
    </row>
    <row r="193" customFormat="false" ht="12" hidden="false" customHeight="true" outlineLevel="0" collapsed="false">
      <c r="A193" s="196" t="str">
        <f aca="false">IF(A192&lt;mthend,EDATE(A192,1),"")</f>
        <v/>
      </c>
      <c r="B193" s="197" t="n">
        <f aca="false">IF(A193&lt;mthend,B192,0)</f>
        <v>0</v>
      </c>
      <c r="C193" s="215"/>
      <c r="D193" s="197" t="str">
        <f aca="false">IF(A194&lt;&gt;"",B193+C193,"")</f>
        <v/>
      </c>
      <c r="E193" s="199" t="str">
        <f aca="false">IF(A194="","",IF(AND(AT193=1,$H$3=1),D193*AO193,IF($H$3=2,D193,"N/A")))</f>
        <v/>
      </c>
      <c r="F193" s="199" t="str">
        <f aca="false">IF(A194="","",E193*AS193)</f>
        <v/>
      </c>
      <c r="G193" s="200" t="str">
        <f aca="false">IF($A194="","",VLOOKUP($A193,Table,MATCH(G$4,Curves,0)))</f>
        <v/>
      </c>
      <c r="H193" s="201" t="str">
        <f aca="false">IF(A194="","",G193)</f>
        <v/>
      </c>
      <c r="I193" s="202"/>
      <c r="J193" s="200" t="str">
        <f aca="false">IF($A194="","",VLOOKUP($A193,Table,MATCH(J$4,Curves,0)))</f>
        <v/>
      </c>
      <c r="K193" s="201" t="str">
        <f aca="false">IF(A194="","",J193)</f>
        <v/>
      </c>
      <c r="L193" s="200" t="str">
        <f aca="false">IF($A194="","",VLOOKUP($A193,Table,MATCH(L$4,Curves,0)))</f>
        <v/>
      </c>
      <c r="M193" s="201" t="str">
        <f aca="false">IF(A194="","",L193)</f>
        <v/>
      </c>
      <c r="N193" s="203"/>
      <c r="O193" s="200" t="str">
        <f aca="false">IF(A194="","",L193+J193+G193)</f>
        <v/>
      </c>
      <c r="P193" s="200" t="str">
        <f aca="false">IF(A194="","",M193+K193+H193)</f>
        <v/>
      </c>
      <c r="Q193" s="204"/>
      <c r="R193" s="200" t="str">
        <f aca="false">IF($A194="","",VLOOKUP($A193,Table,MATCH(R$4,Curves,0)))</f>
        <v/>
      </c>
      <c r="S193" s="201" t="str">
        <f aca="false">IF(A194="","",R193)</f>
        <v/>
      </c>
      <c r="T193" s="200" t="str">
        <f aca="false">IF($A194="","",VLOOKUP($A193,Table,MATCH(T$4,Curves,0)))</f>
        <v/>
      </c>
      <c r="U193" s="201" t="str">
        <f aca="false">IF(A194="","",T193)</f>
        <v/>
      </c>
      <c r="V193" s="183" t="str">
        <f aca="false">IF($A194="","",IF(AND(MONTH(A193)&gt;3,MONTH(A193)&lt;11),(T193+R193+G193)*Summary!$T$8/(1-Summary!$T$8),(T193+R193+G193)*Summary!$U$8/(1-Summary!$U$8)))</f>
        <v/>
      </c>
      <c r="W193" s="200" t="str">
        <f aca="false">IF($A194="","",(T193+R193+G193+V193))</f>
        <v/>
      </c>
      <c r="X193" s="200" t="str">
        <f aca="false">IF($A194="","",(U193+S193+H193+V193))</f>
        <v/>
      </c>
      <c r="Y193" s="202"/>
      <c r="Z193" s="185" t="str">
        <f aca="false">IF($A194="","",VLOOKUP($A193,Table,MATCH(Z$4,Curves,0)))</f>
        <v/>
      </c>
      <c r="AA193" s="185" t="str">
        <f aca="false">IF($A194="","",VLOOKUP($A193,Table,MATCH(AA$4,Curves,0)))</f>
        <v/>
      </c>
      <c r="AB193" s="185" t="e">
        <f aca="false">SQRT((AA193^2*(A193-$D$3)+Z193^2*(DAY(EOMONTH(A193,0))/2))/AK193)</f>
        <v>#VALUE!</v>
      </c>
      <c r="AC193" s="185" t="str">
        <f aca="false">IF($A194="","",VLOOKUP($A193,Table,MATCH(AC$4,Curves,0)))</f>
        <v/>
      </c>
      <c r="AD193" s="185" t="str">
        <f aca="false">IF($A194="","",VLOOKUP($A193,Table,MATCH(AD$4,Curves,0)))</f>
        <v/>
      </c>
      <c r="AE193" s="185" t="e">
        <f aca="false">SQRT((AD193^2*(A193-$D$3)+AC193^2*(DAY(EOMONTH(A193,0))/2))/AK193)</f>
        <v>#VALUE!</v>
      </c>
      <c r="AF193" s="224" t="e">
        <f aca="false">((Summary!$N$8*(AA193*AD193)*(A193-$D$3))+(Summary!$M$8*Z193*AC193*(AJ193-EOMONTH(EDATE(A193,-1),0))))/(AK193*AB193*AE193)</f>
        <v>#VALUE!</v>
      </c>
      <c r="AG193" s="207" t="str">
        <f aca="false">IF($A194="","",Summary!$Q$8)</f>
        <v/>
      </c>
      <c r="AH193" s="207" t="str">
        <f aca="false">IF($A194="","",IF(Summary!$R$8="Y",(VLOOKUP($A193,Summary!$AD$6:$AF$9,3)+'Escalating commodity'!D206),'Escalating commodity'!D206))</f>
        <v/>
      </c>
      <c r="AI193" s="207" t="str">
        <f aca="false">IF($A194="","",AH193)</f>
        <v/>
      </c>
      <c r="AJ193" s="208" t="e">
        <f aca="false">A193+DAY(EOMONTH(A193,0))/2-1</f>
        <v>#VALUE!</v>
      </c>
      <c r="AK193" s="209" t="str">
        <f aca="false">IF($A194="","",$A193-$E$1)</f>
        <v/>
      </c>
      <c r="AL193" s="182" t="str">
        <f aca="false">IF($A194="","",SPRDOPT(P193,X193,AI193,0,AB193,AE193,AF193,AK193,$AJ$2,0))</f>
        <v/>
      </c>
      <c r="AM193" s="211" t="str">
        <f aca="false">IF($A194="","",MAX(0,O193-W193-AI193))</f>
        <v/>
      </c>
      <c r="AN193" s="211" t="str">
        <f aca="false">IF($A194="","",AL193-AM193)</f>
        <v/>
      </c>
      <c r="AO193" s="137" t="str">
        <f aca="false">IF(A194="","",A194-A193)</f>
        <v/>
      </c>
      <c r="AP193" s="212" t="str">
        <f aca="false">IF(A194="","",CHOOSE(F$3,A194+24,A193))</f>
        <v/>
      </c>
      <c r="AQ193" s="209" t="str">
        <f aca="false">IF(A194="","",AP193-$E$1)</f>
        <v/>
      </c>
      <c r="AR193" s="185" t="n">
        <f aca="false">'ANR OK vs ML7'!AR193</f>
        <v>0.1</v>
      </c>
      <c r="AS193" s="213" t="str">
        <f aca="false">IF(A194="","",1/(1+CHOOSE(F$3,(AR194+($I$3/10000))/2,(AR193+($I$3/10000))/2))^(2*AQ193/365.25))</f>
        <v/>
      </c>
      <c r="AT193" s="137" t="str">
        <f aca="false">IF(A194="","",IF(AND(mthbeg&lt;=A193,mthend&gt;=A193),1,0))</f>
        <v/>
      </c>
      <c r="AU193" s="137" t="str">
        <f aca="false">IF(A194="","",AO193*AT193)</f>
        <v/>
      </c>
      <c r="AW193" s="195" t="str">
        <f aca="false">IF($A194="","",AL193*$E193)</f>
        <v/>
      </c>
      <c r="AX193" s="195" t="str">
        <f aca="false">IF($A194="","",AM193*$E193)</f>
        <v/>
      </c>
      <c r="AY193" s="195" t="str">
        <f aca="false">IF($A194="","",AN193*$E193)</f>
        <v/>
      </c>
      <c r="BA193" s="195" t="str">
        <f aca="false">IF($A194="","",F193*Summary!$Q$8)</f>
        <v/>
      </c>
    </row>
    <row r="194" customFormat="false" ht="12" hidden="false" customHeight="true" outlineLevel="0" collapsed="false">
      <c r="A194" s="196" t="str">
        <f aca="false">IF(A193&lt;mthend,EDATE(A193,1),"")</f>
        <v/>
      </c>
      <c r="B194" s="197" t="n">
        <f aca="false">IF(A194&lt;mthend,B193,0)</f>
        <v>0</v>
      </c>
      <c r="C194" s="215"/>
      <c r="D194" s="197" t="str">
        <f aca="false">IF(A195&lt;&gt;"",B194+C194,"")</f>
        <v/>
      </c>
      <c r="E194" s="199" t="str">
        <f aca="false">IF(A195="","",IF(AND(AT194=1,$H$3=1),D194*AO194,IF($H$3=2,D194,"N/A")))</f>
        <v/>
      </c>
      <c r="F194" s="199" t="str">
        <f aca="false">IF(A195="","",E194*AS194)</f>
        <v/>
      </c>
      <c r="G194" s="200" t="str">
        <f aca="false">IF($A195="","",VLOOKUP($A194,Table,MATCH(G$4,Curves,0)))</f>
        <v/>
      </c>
      <c r="H194" s="201" t="str">
        <f aca="false">IF(A195="","",G194)</f>
        <v/>
      </c>
      <c r="I194" s="202"/>
      <c r="J194" s="200" t="str">
        <f aca="false">IF($A195="","",VLOOKUP($A194,Table,MATCH(J$4,Curves,0)))</f>
        <v/>
      </c>
      <c r="K194" s="201" t="str">
        <f aca="false">IF(A195="","",J194)</f>
        <v/>
      </c>
      <c r="L194" s="200" t="str">
        <f aca="false">IF($A195="","",VLOOKUP($A194,Table,MATCH(L$4,Curves,0)))</f>
        <v/>
      </c>
      <c r="M194" s="201" t="str">
        <f aca="false">IF(A195="","",L194)</f>
        <v/>
      </c>
      <c r="N194" s="203"/>
      <c r="O194" s="200" t="str">
        <f aca="false">IF(A195="","",L194+J194+G194)</f>
        <v/>
      </c>
      <c r="P194" s="200" t="str">
        <f aca="false">IF(A195="","",M194+K194+H194)</f>
        <v/>
      </c>
      <c r="Q194" s="204"/>
      <c r="R194" s="200" t="str">
        <f aca="false">IF($A195="","",VLOOKUP($A194,Table,MATCH(R$4,Curves,0)))</f>
        <v/>
      </c>
      <c r="S194" s="201" t="str">
        <f aca="false">IF(A195="","",R194)</f>
        <v/>
      </c>
      <c r="T194" s="200" t="str">
        <f aca="false">IF($A195="","",VLOOKUP($A194,Table,MATCH(T$4,Curves,0)))</f>
        <v/>
      </c>
      <c r="U194" s="201" t="str">
        <f aca="false">IF(A195="","",T194)</f>
        <v/>
      </c>
      <c r="V194" s="183" t="str">
        <f aca="false">IF($A195="","",IF(AND(MONTH(A194)&gt;3,MONTH(A194)&lt;11),(T194+R194+G194)*Summary!$T$8/(1-Summary!$T$8),(T194+R194+G194)*Summary!$U$8/(1-Summary!$U$8)))</f>
        <v/>
      </c>
      <c r="W194" s="200" t="str">
        <f aca="false">IF($A195="","",(T194+R194+G194+V194))</f>
        <v/>
      </c>
      <c r="X194" s="200" t="str">
        <f aca="false">IF($A195="","",(U194+S194+H194+V194))</f>
        <v/>
      </c>
      <c r="Y194" s="202"/>
      <c r="Z194" s="185" t="str">
        <f aca="false">IF($A195="","",VLOOKUP($A194,Table,MATCH(Z$4,Curves,0)))</f>
        <v/>
      </c>
      <c r="AA194" s="185" t="str">
        <f aca="false">IF($A195="","",VLOOKUP($A194,Table,MATCH(AA$4,Curves,0)))</f>
        <v/>
      </c>
      <c r="AB194" s="185" t="e">
        <f aca="false">SQRT((AA194^2*(A194-$D$3)+Z194^2*(DAY(EOMONTH(A194,0))/2))/AK194)</f>
        <v>#VALUE!</v>
      </c>
      <c r="AC194" s="185" t="str">
        <f aca="false">IF($A195="","",VLOOKUP($A194,Table,MATCH(AC$4,Curves,0)))</f>
        <v/>
      </c>
      <c r="AD194" s="185" t="str">
        <f aca="false">IF($A195="","",VLOOKUP($A194,Table,MATCH(AD$4,Curves,0)))</f>
        <v/>
      </c>
      <c r="AE194" s="185" t="e">
        <f aca="false">SQRT((AD194^2*(A194-$D$3)+AC194^2*(DAY(EOMONTH(A194,0))/2))/AK194)</f>
        <v>#VALUE!</v>
      </c>
      <c r="AF194" s="224" t="e">
        <f aca="false">((Summary!$N$8*(AA194*AD194)*(A194-$D$3))+(Summary!$M$8*Z194*AC194*(AJ194-EOMONTH(EDATE(A194,-1),0))))/(AK194*AB194*AE194)</f>
        <v>#VALUE!</v>
      </c>
      <c r="AG194" s="207" t="str">
        <f aca="false">IF($A195="","",Summary!$Q$8)</f>
        <v/>
      </c>
      <c r="AH194" s="207" t="str">
        <f aca="false">IF($A195="","",IF(Summary!$R$8="Y",(VLOOKUP($A194,Summary!$AD$6:$AF$9,3)+'Escalating commodity'!D207),'Escalating commodity'!D207))</f>
        <v/>
      </c>
      <c r="AI194" s="207" t="str">
        <f aca="false">IF($A195="","",AH194)</f>
        <v/>
      </c>
      <c r="AJ194" s="208" t="e">
        <f aca="false">A194+DAY(EOMONTH(A194,0))/2-1</f>
        <v>#VALUE!</v>
      </c>
      <c r="AK194" s="209" t="str">
        <f aca="false">IF($A195="","",$A194-$E$1)</f>
        <v/>
      </c>
      <c r="AL194" s="182" t="str">
        <f aca="false">IF($A195="","",SPRDOPT(P194,X194,AI194,0,AB194,AE194,AF194,AK194,$AJ$2,0))</f>
        <v/>
      </c>
      <c r="AM194" s="211" t="str">
        <f aca="false">IF($A195="","",MAX(0,O194-W194-AI194))</f>
        <v/>
      </c>
      <c r="AN194" s="211" t="str">
        <f aca="false">IF($A195="","",AL194-AM194)</f>
        <v/>
      </c>
      <c r="AO194" s="137" t="str">
        <f aca="false">IF(A195="","",A195-A194)</f>
        <v/>
      </c>
      <c r="AP194" s="212" t="str">
        <f aca="false">IF(A195="","",CHOOSE(F$3,A195+24,A194))</f>
        <v/>
      </c>
      <c r="AQ194" s="209" t="str">
        <f aca="false">IF(A195="","",AP194-$E$1)</f>
        <v/>
      </c>
      <c r="AR194" s="185" t="n">
        <f aca="false">'ANR OK vs ML7'!AR194</f>
        <v>0.1</v>
      </c>
      <c r="AS194" s="213" t="str">
        <f aca="false">IF(A195="","",1/(1+CHOOSE(F$3,(AR195+($I$3/10000))/2,(AR194+($I$3/10000))/2))^(2*AQ194/365.25))</f>
        <v/>
      </c>
      <c r="AT194" s="137" t="str">
        <f aca="false">IF(A195="","",IF(AND(mthbeg&lt;=A194,mthend&gt;=A194),1,0))</f>
        <v/>
      </c>
      <c r="AU194" s="137" t="str">
        <f aca="false">IF(A195="","",AO194*AT194)</f>
        <v/>
      </c>
      <c r="AW194" s="195" t="str">
        <f aca="false">IF($A195="","",AL194*$E194)</f>
        <v/>
      </c>
      <c r="AX194" s="195" t="str">
        <f aca="false">IF($A195="","",AM194*$E194)</f>
        <v/>
      </c>
      <c r="AY194" s="195" t="str">
        <f aca="false">IF($A195="","",AN194*$E194)</f>
        <v/>
      </c>
      <c r="BA194" s="195" t="str">
        <f aca="false">IF($A195="","",F194*Summary!$Q$8)</f>
        <v/>
      </c>
    </row>
    <row r="195" customFormat="false" ht="12" hidden="false" customHeight="true" outlineLevel="0" collapsed="false">
      <c r="A195" s="196" t="str">
        <f aca="false">IF(A194&lt;mthend,EDATE(A194,1),"")</f>
        <v/>
      </c>
      <c r="B195" s="197" t="n">
        <f aca="false">IF(A195&lt;mthend,B194,0)</f>
        <v>0</v>
      </c>
      <c r="C195" s="215"/>
      <c r="D195" s="197" t="str">
        <f aca="false">IF(A196&lt;&gt;"",B195+C195,"")</f>
        <v/>
      </c>
      <c r="E195" s="199" t="str">
        <f aca="false">IF(A196="","",IF(AND(AT195=1,$H$3=1),D195*AO195,IF($H$3=2,D195,"N/A")))</f>
        <v/>
      </c>
      <c r="F195" s="199" t="str">
        <f aca="false">IF(A196="","",E195*AS195)</f>
        <v/>
      </c>
      <c r="G195" s="200" t="str">
        <f aca="false">IF($A196="","",VLOOKUP($A195,Table,MATCH(G$4,Curves,0)))</f>
        <v/>
      </c>
      <c r="H195" s="201" t="str">
        <f aca="false">IF(A196="","",G195)</f>
        <v/>
      </c>
      <c r="I195" s="202"/>
      <c r="J195" s="200" t="str">
        <f aca="false">IF($A196="","",VLOOKUP($A195,Table,MATCH(J$4,Curves,0)))</f>
        <v/>
      </c>
      <c r="K195" s="201" t="str">
        <f aca="false">IF(A196="","",J195)</f>
        <v/>
      </c>
      <c r="L195" s="200" t="str">
        <f aca="false">IF($A196="","",VLOOKUP($A195,Table,MATCH(L$4,Curves,0)))</f>
        <v/>
      </c>
      <c r="M195" s="201" t="str">
        <f aca="false">IF(A196="","",L195)</f>
        <v/>
      </c>
      <c r="N195" s="203"/>
      <c r="O195" s="200" t="str">
        <f aca="false">IF(A196="","",L195+J195+G195)</f>
        <v/>
      </c>
      <c r="P195" s="200" t="str">
        <f aca="false">IF(A196="","",M195+K195+H195)</f>
        <v/>
      </c>
      <c r="Q195" s="204"/>
      <c r="R195" s="200" t="str">
        <f aca="false">IF($A196="","",VLOOKUP($A195,Table,MATCH(R$4,Curves,0)))</f>
        <v/>
      </c>
      <c r="S195" s="201" t="str">
        <f aca="false">IF(A196="","",R195)</f>
        <v/>
      </c>
      <c r="T195" s="200" t="str">
        <f aca="false">IF($A196="","",VLOOKUP($A195,Table,MATCH(T$4,Curves,0)))</f>
        <v/>
      </c>
      <c r="U195" s="201" t="str">
        <f aca="false">IF(A196="","",T195)</f>
        <v/>
      </c>
      <c r="V195" s="183" t="str">
        <f aca="false">IF($A196="","",IF(AND(MONTH(A195)&gt;3,MONTH(A195)&lt;11),(T195+R195+G195)*Summary!$T$8/(1-Summary!$T$8),(T195+R195+G195)*Summary!$U$8/(1-Summary!$U$8)))</f>
        <v/>
      </c>
      <c r="W195" s="200" t="str">
        <f aca="false">IF($A196="","",(T195+R195+G195+V195))</f>
        <v/>
      </c>
      <c r="X195" s="200" t="str">
        <f aca="false">IF($A196="","",(U195+S195+H195+V195))</f>
        <v/>
      </c>
      <c r="Y195" s="202"/>
      <c r="Z195" s="185" t="str">
        <f aca="false">IF($A196="","",VLOOKUP($A195,Table,MATCH(Z$4,Curves,0)))</f>
        <v/>
      </c>
      <c r="AA195" s="185" t="str">
        <f aca="false">IF($A196="","",VLOOKUP($A195,Table,MATCH(AA$4,Curves,0)))</f>
        <v/>
      </c>
      <c r="AB195" s="185" t="e">
        <f aca="false">SQRT((AA195^2*(A195-$D$3)+Z195^2*(DAY(EOMONTH(A195,0))/2))/AK195)</f>
        <v>#VALUE!</v>
      </c>
      <c r="AC195" s="185" t="str">
        <f aca="false">IF($A196="","",VLOOKUP($A195,Table,MATCH(AC$4,Curves,0)))</f>
        <v/>
      </c>
      <c r="AD195" s="185" t="str">
        <f aca="false">IF($A196="","",VLOOKUP($A195,Table,MATCH(AD$4,Curves,0)))</f>
        <v/>
      </c>
      <c r="AE195" s="185" t="e">
        <f aca="false">SQRT((AD195^2*(A195-$D$3)+AC195^2*(DAY(EOMONTH(A195,0))/2))/AK195)</f>
        <v>#VALUE!</v>
      </c>
      <c r="AF195" s="224" t="e">
        <f aca="false">((Summary!$N$8*(AA195*AD195)*(A195-$D$3))+(Summary!$M$8*Z195*AC195*(AJ195-EOMONTH(EDATE(A195,-1),0))))/(AK195*AB195*AE195)</f>
        <v>#VALUE!</v>
      </c>
      <c r="AG195" s="207" t="str">
        <f aca="false">IF($A196="","",Summary!$Q$8)</f>
        <v/>
      </c>
      <c r="AH195" s="207" t="str">
        <f aca="false">IF($A196="","",IF(Summary!$R$8="Y",(VLOOKUP($A195,Summary!$AD$6:$AF$9,3)+'Escalating commodity'!D208),'Escalating commodity'!D208))</f>
        <v/>
      </c>
      <c r="AI195" s="207" t="str">
        <f aca="false">IF($A196="","",AH195)</f>
        <v/>
      </c>
      <c r="AJ195" s="208" t="e">
        <f aca="false">A195+DAY(EOMONTH(A195,0))/2-1</f>
        <v>#VALUE!</v>
      </c>
      <c r="AK195" s="209" t="str">
        <f aca="false">IF($A196="","",$A195-$E$1)</f>
        <v/>
      </c>
      <c r="AL195" s="182" t="str">
        <f aca="false">IF($A196="","",SPRDOPT(P195,X195,AI195,0,AB195,AE195,AF195,AK195,$AJ$2,0))</f>
        <v/>
      </c>
      <c r="AM195" s="211" t="str">
        <f aca="false">IF($A196="","",MAX(0,O195-W195-AI195))</f>
        <v/>
      </c>
      <c r="AN195" s="211" t="str">
        <f aca="false">IF($A196="","",AL195-AM195)</f>
        <v/>
      </c>
      <c r="AO195" s="137" t="str">
        <f aca="false">IF(A196="","",A196-A195)</f>
        <v/>
      </c>
      <c r="AP195" s="212" t="str">
        <f aca="false">IF(A196="","",CHOOSE(F$3,A196+24,A195))</f>
        <v/>
      </c>
      <c r="AQ195" s="209" t="str">
        <f aca="false">IF(A196="","",AP195-$E$1)</f>
        <v/>
      </c>
      <c r="AR195" s="185" t="n">
        <f aca="false">'ANR OK vs ML7'!AR195</f>
        <v>0.1</v>
      </c>
      <c r="AS195" s="213" t="str">
        <f aca="false">IF(A196="","",1/(1+CHOOSE(F$3,(AR196+($I$3/10000))/2,(AR195+($I$3/10000))/2))^(2*AQ195/365.25))</f>
        <v/>
      </c>
      <c r="AT195" s="137" t="str">
        <f aca="false">IF(A196="","",IF(AND(mthbeg&lt;=A195,mthend&gt;=A195),1,0))</f>
        <v/>
      </c>
      <c r="AU195" s="137" t="str">
        <f aca="false">IF(A196="","",AO195*AT195)</f>
        <v/>
      </c>
      <c r="AW195" s="195" t="str">
        <f aca="false">IF($A196="","",AL195*$E195)</f>
        <v/>
      </c>
      <c r="AX195" s="195" t="str">
        <f aca="false">IF($A196="","",AM195*$E195)</f>
        <v/>
      </c>
      <c r="AY195" s="195" t="str">
        <f aca="false">IF($A196="","",AN195*$E195)</f>
        <v/>
      </c>
      <c r="BA195" s="195" t="str">
        <f aca="false">IF($A196="","",F195*Summary!$Q$8)</f>
        <v/>
      </c>
    </row>
    <row r="196" customFormat="false" ht="12" hidden="false" customHeight="true" outlineLevel="0" collapsed="false">
      <c r="A196" s="196" t="str">
        <f aca="false">IF(A195&lt;mthend,EDATE(A195,1),"")</f>
        <v/>
      </c>
      <c r="B196" s="197" t="n">
        <f aca="false">IF(A196&lt;mthend,B195,0)</f>
        <v>0</v>
      </c>
      <c r="C196" s="215"/>
      <c r="D196" s="197" t="str">
        <f aca="false">IF(A197&lt;&gt;"",B196+C196,"")</f>
        <v/>
      </c>
      <c r="E196" s="199" t="str">
        <f aca="false">IF(A197="","",IF(AND(AT196=1,$H$3=1),D196*AO196,IF($H$3=2,D196,"N/A")))</f>
        <v/>
      </c>
      <c r="F196" s="199" t="str">
        <f aca="false">IF(A197="","",E196*AS196)</f>
        <v/>
      </c>
      <c r="G196" s="200" t="str">
        <f aca="false">IF($A197="","",VLOOKUP($A196,Table,MATCH(G$4,Curves,0)))</f>
        <v/>
      </c>
      <c r="H196" s="201" t="str">
        <f aca="false">IF(A197="","",G196)</f>
        <v/>
      </c>
      <c r="I196" s="202"/>
      <c r="J196" s="200" t="str">
        <f aca="false">IF($A197="","",VLOOKUP($A196,Table,MATCH(J$4,Curves,0)))</f>
        <v/>
      </c>
      <c r="K196" s="201" t="str">
        <f aca="false">IF(A197="","",J196)</f>
        <v/>
      </c>
      <c r="L196" s="200" t="str">
        <f aca="false">IF($A197="","",VLOOKUP($A196,Table,MATCH(L$4,Curves,0)))</f>
        <v/>
      </c>
      <c r="M196" s="201" t="str">
        <f aca="false">IF(A197="","",L196)</f>
        <v/>
      </c>
      <c r="N196" s="203"/>
      <c r="O196" s="200" t="str">
        <f aca="false">IF(A197="","",L196+J196+G196)</f>
        <v/>
      </c>
      <c r="P196" s="200" t="str">
        <f aca="false">IF(A197="","",M196+K196+H196)</f>
        <v/>
      </c>
      <c r="Q196" s="204"/>
      <c r="R196" s="200" t="str">
        <f aca="false">IF($A197="","",VLOOKUP($A196,Table,MATCH(R$4,Curves,0)))</f>
        <v/>
      </c>
      <c r="S196" s="201" t="str">
        <f aca="false">IF(A197="","",R196)</f>
        <v/>
      </c>
      <c r="T196" s="200" t="str">
        <f aca="false">IF($A197="","",VLOOKUP($A196,Table,MATCH(T$4,Curves,0)))</f>
        <v/>
      </c>
      <c r="U196" s="201" t="str">
        <f aca="false">IF(A197="","",T196)</f>
        <v/>
      </c>
      <c r="V196" s="183" t="str">
        <f aca="false">IF($A197="","",IF(AND(MONTH(A196)&gt;3,MONTH(A196)&lt;11),(T196+R196+G196)*Summary!$T$8/(1-Summary!$T$8),(T196+R196+G196)*Summary!$U$8/(1-Summary!$U$8)))</f>
        <v/>
      </c>
      <c r="W196" s="200" t="str">
        <f aca="false">IF($A197="","",(T196+R196+G196+V196))</f>
        <v/>
      </c>
      <c r="X196" s="200" t="str">
        <f aca="false">IF($A197="","",(U196+S196+H196+V196))</f>
        <v/>
      </c>
      <c r="Y196" s="202"/>
      <c r="Z196" s="185" t="str">
        <f aca="false">IF($A197="","",VLOOKUP($A196,Table,MATCH(Z$4,Curves,0)))</f>
        <v/>
      </c>
      <c r="AA196" s="185" t="str">
        <f aca="false">IF($A197="","",VLOOKUP($A196,Table,MATCH(AA$4,Curves,0)))</f>
        <v/>
      </c>
      <c r="AB196" s="185" t="e">
        <f aca="false">SQRT((AA196^2*(A196-$D$3)+Z196^2*(DAY(EOMONTH(A196,0))/2))/AK196)</f>
        <v>#VALUE!</v>
      </c>
      <c r="AC196" s="185" t="str">
        <f aca="false">IF($A197="","",VLOOKUP($A196,Table,MATCH(AC$4,Curves,0)))</f>
        <v/>
      </c>
      <c r="AD196" s="185" t="str">
        <f aca="false">IF($A197="","",VLOOKUP($A196,Table,MATCH(AD$4,Curves,0)))</f>
        <v/>
      </c>
      <c r="AE196" s="185" t="e">
        <f aca="false">SQRT((AD196^2*(A196-$D$3)+AC196^2*(DAY(EOMONTH(A196,0))/2))/AK196)</f>
        <v>#VALUE!</v>
      </c>
      <c r="AF196" s="224" t="e">
        <f aca="false">((Summary!$N$8*(AA196*AD196)*(A196-$D$3))+(Summary!$M$8*Z196*AC196*(AJ196-EOMONTH(EDATE(A196,-1),0))))/(AK196*AB196*AE196)</f>
        <v>#VALUE!</v>
      </c>
      <c r="AG196" s="207" t="str">
        <f aca="false">IF($A197="","",Summary!$Q$8)</f>
        <v/>
      </c>
      <c r="AH196" s="207" t="str">
        <f aca="false">IF($A197="","",IF(Summary!$R$8="Y",(VLOOKUP($A196,Summary!$AD$6:$AF$9,3)+'Escalating commodity'!D209),'Escalating commodity'!D209))</f>
        <v/>
      </c>
      <c r="AI196" s="207" t="str">
        <f aca="false">IF($A197="","",AH196)</f>
        <v/>
      </c>
      <c r="AJ196" s="208" t="e">
        <f aca="false">A196+DAY(EOMONTH(A196,0))/2-1</f>
        <v>#VALUE!</v>
      </c>
      <c r="AK196" s="209" t="str">
        <f aca="false">IF($A197="","",$A196-$E$1)</f>
        <v/>
      </c>
      <c r="AL196" s="182" t="str">
        <f aca="false">IF($A197="","",SPRDOPT(P196,X196,AI196,0,AB196,AE196,AF196,AK196,$AJ$2,0))</f>
        <v/>
      </c>
      <c r="AM196" s="211" t="str">
        <f aca="false">IF($A197="","",MAX(0,O196-W196-AI196))</f>
        <v/>
      </c>
      <c r="AN196" s="211" t="str">
        <f aca="false">IF($A197="","",AL196-AM196)</f>
        <v/>
      </c>
      <c r="AO196" s="137" t="str">
        <f aca="false">IF(A197="","",A197-A196)</f>
        <v/>
      </c>
      <c r="AP196" s="212" t="str">
        <f aca="false">IF(A197="","",CHOOSE(F$3,A197+24,A196))</f>
        <v/>
      </c>
      <c r="AQ196" s="209" t="str">
        <f aca="false">IF(A197="","",AP196-$E$1)</f>
        <v/>
      </c>
      <c r="AR196" s="185" t="n">
        <f aca="false">'ANR OK vs ML7'!AR196</f>
        <v>0.1</v>
      </c>
      <c r="AS196" s="213" t="str">
        <f aca="false">IF(A197="","",1/(1+CHOOSE(F$3,(AR197+($I$3/10000))/2,(AR196+($I$3/10000))/2))^(2*AQ196/365.25))</f>
        <v/>
      </c>
      <c r="AT196" s="137" t="str">
        <f aca="false">IF(A197="","",IF(AND(mthbeg&lt;=A196,mthend&gt;=A196),1,0))</f>
        <v/>
      </c>
      <c r="AU196" s="137" t="str">
        <f aca="false">IF(A197="","",AO196*AT196)</f>
        <v/>
      </c>
      <c r="AW196" s="195" t="str">
        <f aca="false">IF($A197="","",AL196*$E196)</f>
        <v/>
      </c>
      <c r="AX196" s="195" t="str">
        <f aca="false">IF($A197="","",AM196*$E196)</f>
        <v/>
      </c>
      <c r="AY196" s="195" t="str">
        <f aca="false">IF($A197="","",AN196*$E196)</f>
        <v/>
      </c>
      <c r="BA196" s="195" t="str">
        <f aca="false">IF($A197="","",F196*Summary!$Q$8)</f>
        <v/>
      </c>
    </row>
    <row r="197" customFormat="false" ht="12" hidden="false" customHeight="true" outlineLevel="0" collapsed="false">
      <c r="A197" s="196" t="str">
        <f aca="false">IF(A196&lt;mthend,EDATE(A196,1),"")</f>
        <v/>
      </c>
      <c r="B197" s="197" t="n">
        <f aca="false">IF(A197&lt;mthend,B196,0)</f>
        <v>0</v>
      </c>
      <c r="C197" s="215"/>
      <c r="D197" s="197" t="str">
        <f aca="false">IF(A198&lt;&gt;"",B197+C197,"")</f>
        <v/>
      </c>
      <c r="E197" s="199" t="str">
        <f aca="false">IF(A198="","",IF(AND(AT197=1,$H$3=1),D197*AO197,IF($H$3=2,D197,"N/A")))</f>
        <v/>
      </c>
      <c r="F197" s="199" t="str">
        <f aca="false">IF(A198="","",E197*AS197)</f>
        <v/>
      </c>
      <c r="G197" s="200" t="str">
        <f aca="false">IF($A198="","",VLOOKUP($A197,Table,MATCH(G$4,Curves,0)))</f>
        <v/>
      </c>
      <c r="H197" s="201" t="str">
        <f aca="false">IF(A198="","",G197)</f>
        <v/>
      </c>
      <c r="I197" s="202"/>
      <c r="J197" s="200" t="str">
        <f aca="false">IF($A198="","",VLOOKUP($A197,Table,MATCH(J$4,Curves,0)))</f>
        <v/>
      </c>
      <c r="K197" s="201" t="str">
        <f aca="false">IF(A198="","",J197)</f>
        <v/>
      </c>
      <c r="L197" s="200" t="str">
        <f aca="false">IF($A198="","",VLOOKUP($A197,Table,MATCH(L$4,Curves,0)))</f>
        <v/>
      </c>
      <c r="M197" s="201" t="str">
        <f aca="false">IF(A198="","",L197)</f>
        <v/>
      </c>
      <c r="N197" s="203"/>
      <c r="O197" s="200" t="str">
        <f aca="false">IF(A198="","",L197+J197+G197)</f>
        <v/>
      </c>
      <c r="P197" s="200" t="str">
        <f aca="false">IF(A198="","",M197+K197+H197)</f>
        <v/>
      </c>
      <c r="Q197" s="204"/>
      <c r="R197" s="200" t="str">
        <f aca="false">IF($A198="","",VLOOKUP($A197,Table,MATCH(R$4,Curves,0)))</f>
        <v/>
      </c>
      <c r="S197" s="201" t="str">
        <f aca="false">IF(A198="","",R197)</f>
        <v/>
      </c>
      <c r="T197" s="200" t="str">
        <f aca="false">IF($A198="","",VLOOKUP($A197,Table,MATCH(T$4,Curves,0)))</f>
        <v/>
      </c>
      <c r="U197" s="201" t="str">
        <f aca="false">IF(A198="","",T197)</f>
        <v/>
      </c>
      <c r="V197" s="183" t="str">
        <f aca="false">IF($A198="","",IF(AND(MONTH(A197)&gt;3,MONTH(A197)&lt;11),(T197+R197+G197)*Summary!$T$8/(1-Summary!$T$8),(T197+R197+G197)*Summary!$U$8/(1-Summary!$U$8)))</f>
        <v/>
      </c>
      <c r="W197" s="200" t="str">
        <f aca="false">IF($A198="","",(T197+R197+G197+V197))</f>
        <v/>
      </c>
      <c r="X197" s="200" t="str">
        <f aca="false">IF($A198="","",(U197+S197+H197+V197))</f>
        <v/>
      </c>
      <c r="Y197" s="202"/>
      <c r="Z197" s="185" t="str">
        <f aca="false">IF($A198="","",VLOOKUP($A197,Table,MATCH(Z$4,Curves,0)))</f>
        <v/>
      </c>
      <c r="AA197" s="185" t="str">
        <f aca="false">IF($A198="","",VLOOKUP($A197,Table,MATCH(AA$4,Curves,0)))</f>
        <v/>
      </c>
      <c r="AB197" s="185" t="e">
        <f aca="false">SQRT((AA197^2*(A197-$D$3)+Z197^2*(DAY(EOMONTH(A197,0))/2))/AK197)</f>
        <v>#VALUE!</v>
      </c>
      <c r="AC197" s="185" t="str">
        <f aca="false">IF($A198="","",VLOOKUP($A197,Table,MATCH(AC$4,Curves,0)))</f>
        <v/>
      </c>
      <c r="AD197" s="185" t="str">
        <f aca="false">IF($A198="","",VLOOKUP($A197,Table,MATCH(AD$4,Curves,0)))</f>
        <v/>
      </c>
      <c r="AE197" s="185" t="e">
        <f aca="false">SQRT((AD197^2*(A197-$D$3)+AC197^2*(DAY(EOMONTH(A197,0))/2))/AK197)</f>
        <v>#VALUE!</v>
      </c>
      <c r="AF197" s="224" t="e">
        <f aca="false">((Summary!$N$8*(AA197*AD197)*(A197-$D$3))+(Summary!$M$8*Z197*AC197*(AJ197-EOMONTH(EDATE(A197,-1),0))))/(AK197*AB197*AE197)</f>
        <v>#VALUE!</v>
      </c>
      <c r="AG197" s="207" t="str">
        <f aca="false">IF($A198="","",Summary!$Q$8)</f>
        <v/>
      </c>
      <c r="AH197" s="207" t="str">
        <f aca="false">IF($A198="","",IF(Summary!$R$8="Y",(VLOOKUP($A197,Summary!$AD$6:$AF$9,3)+'Escalating commodity'!D210),'Escalating commodity'!D210))</f>
        <v/>
      </c>
      <c r="AI197" s="207" t="str">
        <f aca="false">IF($A198="","",AH197)</f>
        <v/>
      </c>
      <c r="AJ197" s="208" t="e">
        <f aca="false">A197+DAY(EOMONTH(A197,0))/2-1</f>
        <v>#VALUE!</v>
      </c>
      <c r="AK197" s="209" t="str">
        <f aca="false">IF($A198="","",$A197-$E$1)</f>
        <v/>
      </c>
      <c r="AL197" s="182" t="str">
        <f aca="false">IF($A198="","",SPRDOPT(P197,X197,AI197,0,AB197,AE197,AF197,AK197,$AJ$2,0))</f>
        <v/>
      </c>
      <c r="AM197" s="211" t="str">
        <f aca="false">IF($A198="","",MAX(0,O197-W197-AI197))</f>
        <v/>
      </c>
      <c r="AN197" s="211" t="str">
        <f aca="false">IF($A198="","",AL197-AM197)</f>
        <v/>
      </c>
      <c r="AO197" s="137" t="str">
        <f aca="false">IF(A198="","",A198-A197)</f>
        <v/>
      </c>
      <c r="AP197" s="212" t="str">
        <f aca="false">IF(A198="","",CHOOSE(F$3,A198+24,A197))</f>
        <v/>
      </c>
      <c r="AQ197" s="209" t="str">
        <f aca="false">IF(A198="","",AP197-$E$1)</f>
        <v/>
      </c>
      <c r="AR197" s="185" t="n">
        <f aca="false">'ANR OK vs ML7'!AR197</f>
        <v>0.1</v>
      </c>
      <c r="AS197" s="213" t="str">
        <f aca="false">IF(A198="","",1/(1+CHOOSE(F$3,(AR198+($I$3/10000))/2,(AR197+($I$3/10000))/2))^(2*AQ197/365.25))</f>
        <v/>
      </c>
      <c r="AT197" s="137" t="str">
        <f aca="false">IF(A198="","",IF(AND(mthbeg&lt;=A197,mthend&gt;=A197),1,0))</f>
        <v/>
      </c>
      <c r="AU197" s="137" t="str">
        <f aca="false">IF(A198="","",AO197*AT197)</f>
        <v/>
      </c>
      <c r="AW197" s="195" t="str">
        <f aca="false">IF($A198="","",AL197*$E197)</f>
        <v/>
      </c>
      <c r="AX197" s="195" t="str">
        <f aca="false">IF($A198="","",AM197*$E197)</f>
        <v/>
      </c>
      <c r="AY197" s="195" t="str">
        <f aca="false">IF($A198="","",AN197*$E197)</f>
        <v/>
      </c>
      <c r="BA197" s="195" t="str">
        <f aca="false">IF($A198="","",F197*Summary!$Q$8)</f>
        <v/>
      </c>
    </row>
    <row r="198" customFormat="false" ht="12" hidden="false" customHeight="true" outlineLevel="0" collapsed="false">
      <c r="A198" s="196" t="str">
        <f aca="false">IF(A197&lt;mthend,EDATE(A197,1),"")</f>
        <v/>
      </c>
      <c r="B198" s="197" t="n">
        <f aca="false">IF(A198&lt;mthend,B197,0)</f>
        <v>0</v>
      </c>
      <c r="C198" s="215"/>
      <c r="D198" s="197" t="str">
        <f aca="false">IF(A199&lt;&gt;"",B198+C198,"")</f>
        <v/>
      </c>
      <c r="E198" s="199" t="str">
        <f aca="false">IF(A199="","",IF(AND(AT198=1,$H$3=1),D198*AO198,IF($H$3=2,D198,"N/A")))</f>
        <v/>
      </c>
      <c r="F198" s="199" t="str">
        <f aca="false">IF(A199="","",E198*AS198)</f>
        <v/>
      </c>
      <c r="G198" s="200" t="str">
        <f aca="false">IF($A199="","",VLOOKUP($A198,Table,MATCH(G$4,Curves,0)))</f>
        <v/>
      </c>
      <c r="H198" s="201" t="str">
        <f aca="false">IF(A199="","",G198)</f>
        <v/>
      </c>
      <c r="I198" s="202"/>
      <c r="J198" s="200" t="str">
        <f aca="false">IF($A199="","",VLOOKUP($A198,Table,MATCH(J$4,Curves,0)))</f>
        <v/>
      </c>
      <c r="K198" s="201" t="str">
        <f aca="false">IF(A199="","",J198)</f>
        <v/>
      </c>
      <c r="L198" s="200" t="str">
        <f aca="false">IF($A199="","",VLOOKUP($A198,Table,MATCH(L$4,Curves,0)))</f>
        <v/>
      </c>
      <c r="M198" s="201" t="str">
        <f aca="false">IF(A199="","",L198)</f>
        <v/>
      </c>
      <c r="N198" s="203"/>
      <c r="O198" s="200" t="str">
        <f aca="false">IF(A199="","",L198+J198+G198)</f>
        <v/>
      </c>
      <c r="P198" s="200" t="str">
        <f aca="false">IF(A199="","",M198+K198+H198)</f>
        <v/>
      </c>
      <c r="Q198" s="204"/>
      <c r="R198" s="200" t="str">
        <f aca="false">IF($A199="","",VLOOKUP($A198,Table,MATCH(R$4,Curves,0)))</f>
        <v/>
      </c>
      <c r="S198" s="201" t="str">
        <f aca="false">IF(A199="","",R198)</f>
        <v/>
      </c>
      <c r="T198" s="200" t="str">
        <f aca="false">IF($A199="","",VLOOKUP($A198,Table,MATCH(T$4,Curves,0)))</f>
        <v/>
      </c>
      <c r="U198" s="201" t="str">
        <f aca="false">IF(A199="","",T198)</f>
        <v/>
      </c>
      <c r="V198" s="183" t="str">
        <f aca="false">IF($A199="","",IF(AND(MONTH(A198)&gt;3,MONTH(A198)&lt;11),(T198+R198+G198)*Summary!$T$8/(1-Summary!$T$8),(T198+R198+G198)*Summary!$U$8/(1-Summary!$U$8)))</f>
        <v/>
      </c>
      <c r="W198" s="200" t="str">
        <f aca="false">IF($A199="","",(T198+R198+G198+V198))</f>
        <v/>
      </c>
      <c r="X198" s="200" t="str">
        <f aca="false">IF($A199="","",(U198+S198+H198+V198))</f>
        <v/>
      </c>
      <c r="Y198" s="202"/>
      <c r="Z198" s="185" t="str">
        <f aca="false">IF($A199="","",VLOOKUP($A198,Table,MATCH(Z$4,Curves,0)))</f>
        <v/>
      </c>
      <c r="AA198" s="185" t="str">
        <f aca="false">IF($A199="","",VLOOKUP($A198,Table,MATCH(AA$4,Curves,0)))</f>
        <v/>
      </c>
      <c r="AB198" s="185" t="e">
        <f aca="false">SQRT((AA198^2*(A198-$D$3)+Z198^2*(DAY(EOMONTH(A198,0))/2))/AK198)</f>
        <v>#VALUE!</v>
      </c>
      <c r="AC198" s="185" t="str">
        <f aca="false">IF($A199="","",VLOOKUP($A198,Table,MATCH(AC$4,Curves,0)))</f>
        <v/>
      </c>
      <c r="AD198" s="185" t="str">
        <f aca="false">IF($A199="","",VLOOKUP($A198,Table,MATCH(AD$4,Curves,0)))</f>
        <v/>
      </c>
      <c r="AE198" s="185" t="e">
        <f aca="false">SQRT((AD198^2*(A198-$D$3)+AC198^2*(DAY(EOMONTH(A198,0))/2))/AK198)</f>
        <v>#VALUE!</v>
      </c>
      <c r="AF198" s="224" t="e">
        <f aca="false">((Summary!$N$8*(AA198*AD198)*(A198-$D$3))+(Summary!$M$8*Z198*AC198*(AJ198-EOMONTH(EDATE(A198,-1),0))))/(AK198*AB198*AE198)</f>
        <v>#VALUE!</v>
      </c>
      <c r="AG198" s="207" t="str">
        <f aca="false">IF($A199="","",Summary!$Q$8)</f>
        <v/>
      </c>
      <c r="AH198" s="207" t="str">
        <f aca="false">IF($A199="","",IF(Summary!$R$8="Y",(VLOOKUP($A198,Summary!$AD$6:$AF$9,3)+'Escalating commodity'!D211),'Escalating commodity'!D211))</f>
        <v/>
      </c>
      <c r="AI198" s="207" t="str">
        <f aca="false">IF($A199="","",AH198)</f>
        <v/>
      </c>
      <c r="AJ198" s="208" t="e">
        <f aca="false">A198+DAY(EOMONTH(A198,0))/2-1</f>
        <v>#VALUE!</v>
      </c>
      <c r="AK198" s="209" t="str">
        <f aca="false">IF($A199="","",$A198-$E$1)</f>
        <v/>
      </c>
      <c r="AL198" s="182" t="str">
        <f aca="false">IF($A199="","",SPRDOPT(P198,X198,AI198,0,AB198,AE198,AF198,AK198,$AJ$2,0))</f>
        <v/>
      </c>
      <c r="AM198" s="211" t="str">
        <f aca="false">IF($A199="","",MAX(0,O198-W198-AI198))</f>
        <v/>
      </c>
      <c r="AN198" s="211" t="str">
        <f aca="false">IF($A199="","",AL198-AM198)</f>
        <v/>
      </c>
      <c r="AO198" s="137" t="str">
        <f aca="false">IF(A199="","",A199-A198)</f>
        <v/>
      </c>
      <c r="AP198" s="212" t="str">
        <f aca="false">IF(A199="","",CHOOSE(F$3,A199+24,A198))</f>
        <v/>
      </c>
      <c r="AQ198" s="209" t="str">
        <f aca="false">IF(A199="","",AP198-$E$1)</f>
        <v/>
      </c>
      <c r="AR198" s="185" t="n">
        <f aca="false">'ANR OK vs ML7'!AR198</f>
        <v>0.1</v>
      </c>
      <c r="AS198" s="213" t="str">
        <f aca="false">IF(A199="","",1/(1+CHOOSE(F$3,(AR199+($I$3/10000))/2,(AR198+($I$3/10000))/2))^(2*AQ198/365.25))</f>
        <v/>
      </c>
      <c r="AT198" s="137" t="str">
        <f aca="false">IF(A199="","",IF(AND(mthbeg&lt;=A198,mthend&gt;=A198),1,0))</f>
        <v/>
      </c>
      <c r="AU198" s="137" t="str">
        <f aca="false">IF(A199="","",AO198*AT198)</f>
        <v/>
      </c>
      <c r="AW198" s="195" t="str">
        <f aca="false">IF($A199="","",AL198*$E198)</f>
        <v/>
      </c>
      <c r="AX198" s="195" t="str">
        <f aca="false">IF($A199="","",AM198*$E198)</f>
        <v/>
      </c>
      <c r="AY198" s="195" t="str">
        <f aca="false">IF($A199="","",AN198*$E198)</f>
        <v/>
      </c>
      <c r="BA198" s="195" t="str">
        <f aca="false">IF($A199="","",F198*Summary!$Q$8)</f>
        <v/>
      </c>
    </row>
    <row r="199" customFormat="false" ht="12" hidden="false" customHeight="true" outlineLevel="0" collapsed="false">
      <c r="A199" s="196" t="str">
        <f aca="false">IF(A198&lt;mthend,EDATE(A198,1),"")</f>
        <v/>
      </c>
      <c r="B199" s="197" t="n">
        <f aca="false">IF(A199&lt;mthend,B198,0)</f>
        <v>0</v>
      </c>
      <c r="C199" s="215"/>
      <c r="D199" s="197" t="str">
        <f aca="false">IF(A200&lt;&gt;"",B199+C199,"")</f>
        <v/>
      </c>
      <c r="E199" s="199" t="str">
        <f aca="false">IF(A200="","",IF(AND(AT199=1,$H$3=1),D199*AO199,IF($H$3=2,D199,"N/A")))</f>
        <v/>
      </c>
      <c r="F199" s="199" t="str">
        <f aca="false">IF(A200="","",E199*AS199)</f>
        <v/>
      </c>
      <c r="G199" s="200" t="str">
        <f aca="false">IF($A200="","",VLOOKUP($A199,Table,MATCH(G$4,Curves,0)))</f>
        <v/>
      </c>
      <c r="H199" s="201" t="str">
        <f aca="false">IF(A200="","",G199)</f>
        <v/>
      </c>
      <c r="I199" s="202"/>
      <c r="J199" s="200" t="str">
        <f aca="false">IF($A200="","",VLOOKUP($A199,Table,MATCH(J$4,Curves,0)))</f>
        <v/>
      </c>
      <c r="K199" s="201" t="str">
        <f aca="false">IF(A200="","",J199)</f>
        <v/>
      </c>
      <c r="L199" s="200" t="str">
        <f aca="false">IF($A200="","",VLOOKUP($A199,Table,MATCH(L$4,Curves,0)))</f>
        <v/>
      </c>
      <c r="M199" s="201" t="str">
        <f aca="false">IF(A200="","",L199)</f>
        <v/>
      </c>
      <c r="N199" s="203"/>
      <c r="O199" s="200" t="str">
        <f aca="false">IF(A200="","",L199+J199+G199)</f>
        <v/>
      </c>
      <c r="P199" s="200" t="str">
        <f aca="false">IF(A200="","",M199+K199+H199)</f>
        <v/>
      </c>
      <c r="Q199" s="204"/>
      <c r="R199" s="200" t="str">
        <f aca="false">IF($A200="","",VLOOKUP($A199,Table,MATCH(R$4,Curves,0)))</f>
        <v/>
      </c>
      <c r="S199" s="201" t="str">
        <f aca="false">IF(A200="","",R199)</f>
        <v/>
      </c>
      <c r="T199" s="200" t="str">
        <f aca="false">IF($A200="","",VLOOKUP($A199,Table,MATCH(T$4,Curves,0)))</f>
        <v/>
      </c>
      <c r="U199" s="201" t="str">
        <f aca="false">IF(A200="","",T199)</f>
        <v/>
      </c>
      <c r="V199" s="183" t="str">
        <f aca="false">IF($A200="","",IF(AND(MONTH(A199)&gt;3,MONTH(A199)&lt;11),(T199+R199+G199)*Summary!$T$8/(1-Summary!$T$8),(T199+R199+G199)*Summary!$U$8/(1-Summary!$U$8)))</f>
        <v/>
      </c>
      <c r="W199" s="200" t="str">
        <f aca="false">IF($A200="","",(T199+R199+G199+V199))</f>
        <v/>
      </c>
      <c r="X199" s="200" t="str">
        <f aca="false">IF($A200="","",(U199+S199+H199+V199))</f>
        <v/>
      </c>
      <c r="Y199" s="202"/>
      <c r="Z199" s="185" t="str">
        <f aca="false">IF($A200="","",VLOOKUP($A199,Table,MATCH(Z$4,Curves,0)))</f>
        <v/>
      </c>
      <c r="AA199" s="185" t="str">
        <f aca="false">IF($A200="","",VLOOKUP($A199,Table,MATCH(AA$4,Curves,0)))</f>
        <v/>
      </c>
      <c r="AB199" s="185" t="e">
        <f aca="false">SQRT((AA199^2*(A199-$D$3)+Z199^2*(DAY(EOMONTH(A199,0))/2))/AK199)</f>
        <v>#VALUE!</v>
      </c>
      <c r="AC199" s="185" t="str">
        <f aca="false">IF($A200="","",VLOOKUP($A199,Table,MATCH(AC$4,Curves,0)))</f>
        <v/>
      </c>
      <c r="AD199" s="185" t="str">
        <f aca="false">IF($A200="","",VLOOKUP($A199,Table,MATCH(AD$4,Curves,0)))</f>
        <v/>
      </c>
      <c r="AE199" s="185" t="e">
        <f aca="false">SQRT((AD199^2*(A199-$D$3)+AC199^2*(DAY(EOMONTH(A199,0))/2))/AK199)</f>
        <v>#VALUE!</v>
      </c>
      <c r="AF199" s="224" t="e">
        <f aca="false">((Summary!$N$8*(AA199*AD199)*(A199-$D$3))+(Summary!$M$8*Z199*AC199*(AJ199-EOMONTH(EDATE(A199,-1),0))))/(AK199*AB199*AE199)</f>
        <v>#VALUE!</v>
      </c>
      <c r="AG199" s="207" t="str">
        <f aca="false">IF($A200="","",Summary!$Q$8)</f>
        <v/>
      </c>
      <c r="AH199" s="207" t="str">
        <f aca="false">IF($A200="","",IF(Summary!$R$8="Y",(VLOOKUP($A199,Summary!$AD$6:$AF$9,3)+'Escalating commodity'!D212),'Escalating commodity'!D212))</f>
        <v/>
      </c>
      <c r="AI199" s="207" t="str">
        <f aca="false">IF($A200="","",AH199)</f>
        <v/>
      </c>
      <c r="AJ199" s="208" t="e">
        <f aca="false">A199+DAY(EOMONTH(A199,0))/2-1</f>
        <v>#VALUE!</v>
      </c>
      <c r="AK199" s="209" t="str">
        <f aca="false">IF($A200="","",$A199-$E$1)</f>
        <v/>
      </c>
      <c r="AL199" s="182" t="str">
        <f aca="false">IF($A200="","",SPRDOPT(P199,X199,AI199,0,AB199,AE199,AF199,AK199,$AJ$2,0))</f>
        <v/>
      </c>
      <c r="AM199" s="211" t="str">
        <f aca="false">IF($A200="","",MAX(0,O199-W199-AI199))</f>
        <v/>
      </c>
      <c r="AN199" s="211" t="str">
        <f aca="false">IF($A200="","",AL199-AM199)</f>
        <v/>
      </c>
      <c r="AO199" s="137" t="str">
        <f aca="false">IF(A200="","",A200-A199)</f>
        <v/>
      </c>
      <c r="AP199" s="212" t="str">
        <f aca="false">IF(A200="","",CHOOSE(F$3,A200+24,A199))</f>
        <v/>
      </c>
      <c r="AQ199" s="209" t="str">
        <f aca="false">IF(A200="","",AP199-$E$1)</f>
        <v/>
      </c>
      <c r="AR199" s="185" t="n">
        <f aca="false">'ANR OK vs ML7'!AR199</f>
        <v>0.1</v>
      </c>
      <c r="AS199" s="213" t="str">
        <f aca="false">IF(A200="","",1/(1+CHOOSE(F$3,(AR200+($I$3/10000))/2,(AR199+($I$3/10000))/2))^(2*AQ199/365.25))</f>
        <v/>
      </c>
      <c r="AT199" s="137" t="str">
        <f aca="false">IF(A200="","",IF(AND(mthbeg&lt;=A199,mthend&gt;=A199),1,0))</f>
        <v/>
      </c>
      <c r="AU199" s="137" t="str">
        <f aca="false">IF(A200="","",AO199*AT199)</f>
        <v/>
      </c>
      <c r="AW199" s="195" t="str">
        <f aca="false">IF($A200="","",AL199*$E199)</f>
        <v/>
      </c>
      <c r="AX199" s="195" t="str">
        <f aca="false">IF($A200="","",AM199*$E199)</f>
        <v/>
      </c>
      <c r="AY199" s="195" t="str">
        <f aca="false">IF($A200="","",AN199*$E199)</f>
        <v/>
      </c>
      <c r="BA199" s="195" t="str">
        <f aca="false">IF($A200="","",F199*Summary!$Q$8)</f>
        <v/>
      </c>
    </row>
    <row r="200" customFormat="false" ht="12" hidden="false" customHeight="true" outlineLevel="0" collapsed="false">
      <c r="A200" s="196" t="str">
        <f aca="false">IF(A199&lt;mthend,EDATE(A199,1),"")</f>
        <v/>
      </c>
      <c r="B200" s="197" t="n">
        <f aca="false">IF(A200&lt;mthend,B199,0)</f>
        <v>0</v>
      </c>
      <c r="C200" s="215"/>
      <c r="D200" s="197" t="str">
        <f aca="false">IF(A201&lt;&gt;"",B200+C200,"")</f>
        <v/>
      </c>
      <c r="E200" s="199" t="str">
        <f aca="false">IF(A201="","",IF(AND(AT200=1,$H$3=1),D200*AO200,IF($H$3=2,D200,"N/A")))</f>
        <v/>
      </c>
      <c r="F200" s="199" t="str">
        <f aca="false">IF(A201="","",E200*AS200)</f>
        <v/>
      </c>
      <c r="G200" s="200" t="str">
        <f aca="false">IF($A201="","",VLOOKUP($A200,Table,MATCH(G$4,Curves,0)))</f>
        <v/>
      </c>
      <c r="H200" s="201" t="str">
        <f aca="false">IF(A201="","",G200)</f>
        <v/>
      </c>
      <c r="I200" s="202"/>
      <c r="J200" s="200" t="str">
        <f aca="false">IF($A201="","",VLOOKUP($A200,Table,MATCH(J$4,Curves,0)))</f>
        <v/>
      </c>
      <c r="K200" s="201" t="str">
        <f aca="false">IF(A201="","",J200)</f>
        <v/>
      </c>
      <c r="L200" s="200" t="str">
        <f aca="false">IF($A201="","",VLOOKUP($A200,Table,MATCH(L$4,Curves,0)))</f>
        <v/>
      </c>
      <c r="M200" s="201" t="str">
        <f aca="false">IF(A201="","",L200)</f>
        <v/>
      </c>
      <c r="N200" s="203"/>
      <c r="O200" s="200" t="str">
        <f aca="false">IF(A201="","",L200+J200+G200)</f>
        <v/>
      </c>
      <c r="P200" s="200" t="str">
        <f aca="false">IF(A201="","",M200+K200+H200)</f>
        <v/>
      </c>
      <c r="Q200" s="204"/>
      <c r="R200" s="200" t="str">
        <f aca="false">IF($A201="","",VLOOKUP($A200,Table,MATCH(R$4,Curves,0)))</f>
        <v/>
      </c>
      <c r="S200" s="201" t="str">
        <f aca="false">IF(A201="","",R200)</f>
        <v/>
      </c>
      <c r="T200" s="200" t="str">
        <f aca="false">IF($A201="","",VLOOKUP($A200,Table,MATCH(T$4,Curves,0)))</f>
        <v/>
      </c>
      <c r="U200" s="201" t="str">
        <f aca="false">IF(A201="","",T200)</f>
        <v/>
      </c>
      <c r="V200" s="183" t="str">
        <f aca="false">IF($A201="","",IF(AND(MONTH(A200)&gt;3,MONTH(A200)&lt;11),(T200+R200+G200)*Summary!$T$8/(1-Summary!$T$8),(T200+R200+G200)*Summary!$U$8/(1-Summary!$U$8)))</f>
        <v/>
      </c>
      <c r="W200" s="200" t="str">
        <f aca="false">IF($A201="","",(T200+R200+G200+V200))</f>
        <v/>
      </c>
      <c r="X200" s="200" t="str">
        <f aca="false">IF($A201="","",(U200+S200+H200+V200))</f>
        <v/>
      </c>
      <c r="Y200" s="202"/>
      <c r="Z200" s="185" t="str">
        <f aca="false">IF($A201="","",VLOOKUP($A200,Table,MATCH(Z$4,Curves,0)))</f>
        <v/>
      </c>
      <c r="AA200" s="185" t="str">
        <f aca="false">IF($A201="","",VLOOKUP($A200,Table,MATCH(AA$4,Curves,0)))</f>
        <v/>
      </c>
      <c r="AB200" s="185" t="e">
        <f aca="false">SQRT((AA200^2*(A200-$D$3)+Z200^2*(DAY(EOMONTH(A200,0))/2))/AK200)</f>
        <v>#VALUE!</v>
      </c>
      <c r="AC200" s="185" t="str">
        <f aca="false">IF($A201="","",VLOOKUP($A200,Table,MATCH(AC$4,Curves,0)))</f>
        <v/>
      </c>
      <c r="AD200" s="185" t="str">
        <f aca="false">IF($A201="","",VLOOKUP($A200,Table,MATCH(AD$4,Curves,0)))</f>
        <v/>
      </c>
      <c r="AE200" s="185" t="e">
        <f aca="false">SQRT((AD200^2*(A200-$D$3)+AC200^2*(DAY(EOMONTH(A200,0))/2))/AK200)</f>
        <v>#VALUE!</v>
      </c>
      <c r="AF200" s="224" t="e">
        <f aca="false">((Summary!$N$8*(AA200*AD200)*(A200-$D$3))+(Summary!$M$8*Z200*AC200*(AJ200-EOMONTH(EDATE(A200,-1),0))))/(AK200*AB200*AE200)</f>
        <v>#VALUE!</v>
      </c>
      <c r="AG200" s="207" t="str">
        <f aca="false">IF($A201="","",Summary!$Q$8)</f>
        <v/>
      </c>
      <c r="AH200" s="207" t="str">
        <f aca="false">IF($A201="","",IF(Summary!$R$8="Y",(VLOOKUP($A200,Summary!$AD$6:$AF$9,3)+'Escalating commodity'!D213),'Escalating commodity'!D213))</f>
        <v/>
      </c>
      <c r="AI200" s="207" t="str">
        <f aca="false">IF($A201="","",AH200)</f>
        <v/>
      </c>
      <c r="AJ200" s="208" t="e">
        <f aca="false">A200+DAY(EOMONTH(A200,0))/2-1</f>
        <v>#VALUE!</v>
      </c>
      <c r="AK200" s="209" t="str">
        <f aca="false">IF($A201="","",$A200-$E$1)</f>
        <v/>
      </c>
      <c r="AL200" s="182" t="str">
        <f aca="false">IF($A201="","",SPRDOPT(P200,X200,AI200,0,AB200,AE200,AF200,AK200,$AJ$2,0))</f>
        <v/>
      </c>
      <c r="AM200" s="211" t="str">
        <f aca="false">IF($A201="","",MAX(0,O200-W200-AI200))</f>
        <v/>
      </c>
      <c r="AN200" s="211" t="str">
        <f aca="false">IF($A201="","",AL200-AM200)</f>
        <v/>
      </c>
      <c r="AO200" s="137" t="str">
        <f aca="false">IF(A201="","",A201-A200)</f>
        <v/>
      </c>
      <c r="AP200" s="212" t="str">
        <f aca="false">IF(A201="","",CHOOSE(F$3,A201+24,A200))</f>
        <v/>
      </c>
      <c r="AQ200" s="209" t="str">
        <f aca="false">IF(A201="","",AP200-$E$1)</f>
        <v/>
      </c>
      <c r="AR200" s="185" t="n">
        <f aca="false">'ANR OK vs ML7'!AR200</f>
        <v>0.1</v>
      </c>
      <c r="AS200" s="213" t="str">
        <f aca="false">IF(A201="","",1/(1+CHOOSE(F$3,(AR201+($I$3/10000))/2,(AR200+($I$3/10000))/2))^(2*AQ200/365.25))</f>
        <v/>
      </c>
      <c r="AT200" s="137" t="str">
        <f aca="false">IF(A201="","",IF(AND(mthbeg&lt;=A200,mthend&gt;=A200),1,0))</f>
        <v/>
      </c>
      <c r="AU200" s="137" t="str">
        <f aca="false">IF(A201="","",AO200*AT200)</f>
        <v/>
      </c>
      <c r="AW200" s="195" t="str">
        <f aca="false">IF($A201="","",AL200*$E200)</f>
        <v/>
      </c>
      <c r="AX200" s="195" t="str">
        <f aca="false">IF($A201="","",AM200*$E200)</f>
        <v/>
      </c>
      <c r="AY200" s="195" t="str">
        <f aca="false">IF($A201="","",AN200*$E200)</f>
        <v/>
      </c>
      <c r="BA200" s="195" t="str">
        <f aca="false">IF($A201="","",F200*Summary!$Q$8)</f>
        <v/>
      </c>
    </row>
    <row r="201" customFormat="false" ht="12" hidden="false" customHeight="true" outlineLevel="0" collapsed="false">
      <c r="A201" s="196" t="str">
        <f aca="false">IF(A200&lt;mthend,EDATE(A200,1),"")</f>
        <v/>
      </c>
      <c r="B201" s="197" t="n">
        <f aca="false">IF(A201&lt;mthend,B200,0)</f>
        <v>0</v>
      </c>
      <c r="C201" s="215"/>
      <c r="D201" s="197" t="str">
        <f aca="false">IF(A202&lt;&gt;"",B201+C201,"")</f>
        <v/>
      </c>
      <c r="E201" s="199" t="str">
        <f aca="false">IF(A202="","",IF(AND(AT201=1,$H$3=1),D201*AO201,IF($H$3=2,D201,"N/A")))</f>
        <v/>
      </c>
      <c r="F201" s="199" t="str">
        <f aca="false">IF(A202="","",E201*AS201)</f>
        <v/>
      </c>
      <c r="G201" s="200" t="str">
        <f aca="false">IF($A202="","",VLOOKUP($A201,Table,MATCH(G$4,Curves,0)))</f>
        <v/>
      </c>
      <c r="H201" s="201" t="str">
        <f aca="false">IF(A202="","",G201)</f>
        <v/>
      </c>
      <c r="I201" s="202"/>
      <c r="J201" s="200" t="str">
        <f aca="false">IF($A202="","",VLOOKUP($A201,Table,MATCH(J$4,Curves,0)))</f>
        <v/>
      </c>
      <c r="K201" s="201" t="str">
        <f aca="false">IF(A202="","",J201)</f>
        <v/>
      </c>
      <c r="L201" s="200" t="str">
        <f aca="false">IF($A202="","",VLOOKUP($A201,Table,MATCH(L$4,Curves,0)))</f>
        <v/>
      </c>
      <c r="M201" s="201" t="str">
        <f aca="false">IF(A202="","",L201)</f>
        <v/>
      </c>
      <c r="N201" s="203"/>
      <c r="O201" s="200" t="str">
        <f aca="false">IF(A202="","",L201+J201+G201)</f>
        <v/>
      </c>
      <c r="P201" s="200" t="str">
        <f aca="false">IF(A202="","",M201+K201+H201)</f>
        <v/>
      </c>
      <c r="Q201" s="204"/>
      <c r="R201" s="200" t="str">
        <f aca="false">IF($A202="","",VLOOKUP($A201,Table,MATCH(R$4,Curves,0)))</f>
        <v/>
      </c>
      <c r="S201" s="201" t="str">
        <f aca="false">IF(A202="","",R201)</f>
        <v/>
      </c>
      <c r="T201" s="200" t="str">
        <f aca="false">IF($A202="","",VLOOKUP($A201,Table,MATCH(T$4,Curves,0)))</f>
        <v/>
      </c>
      <c r="U201" s="201" t="str">
        <f aca="false">IF(A202="","",T201)</f>
        <v/>
      </c>
      <c r="V201" s="183" t="str">
        <f aca="false">IF($A202="","",IF(AND(MONTH(A201)&gt;3,MONTH(A201)&lt;11),(T201+R201+G201)*Summary!$T$8/(1-Summary!$T$8),(T201+R201+G201)*Summary!$U$8/(1-Summary!$U$8)))</f>
        <v/>
      </c>
      <c r="W201" s="200" t="str">
        <f aca="false">IF($A202="","",(T201+R201+G201+V201))</f>
        <v/>
      </c>
      <c r="X201" s="200" t="str">
        <f aca="false">IF($A202="","",(U201+S201+H201+V201))</f>
        <v/>
      </c>
      <c r="Y201" s="202"/>
      <c r="Z201" s="185" t="str">
        <f aca="false">IF($A202="","",VLOOKUP($A201,Table,MATCH(Z$4,Curves,0)))</f>
        <v/>
      </c>
      <c r="AA201" s="185" t="str">
        <f aca="false">IF($A202="","",VLOOKUP($A201,Table,MATCH(AA$4,Curves,0)))</f>
        <v/>
      </c>
      <c r="AB201" s="185" t="e">
        <f aca="false">SQRT((AA201^2*(A201-$D$3)+Z201^2*(DAY(EOMONTH(A201,0))/2))/AK201)</f>
        <v>#VALUE!</v>
      </c>
      <c r="AC201" s="185" t="str">
        <f aca="false">IF($A202="","",VLOOKUP($A201,Table,MATCH(AC$4,Curves,0)))</f>
        <v/>
      </c>
      <c r="AD201" s="185" t="str">
        <f aca="false">IF($A202="","",VLOOKUP($A201,Table,MATCH(AD$4,Curves,0)))</f>
        <v/>
      </c>
      <c r="AE201" s="185" t="e">
        <f aca="false">SQRT((AD201^2*(A201-$D$3)+AC201^2*(DAY(EOMONTH(A201,0))/2))/AK201)</f>
        <v>#VALUE!</v>
      </c>
      <c r="AF201" s="224" t="e">
        <f aca="false">((Summary!$N$8*(AA201*AD201)*(A201-$D$3))+(Summary!$M$8*Z201*AC201*(AJ201-EOMONTH(EDATE(A201,-1),0))))/(AK201*AB201*AE201)</f>
        <v>#VALUE!</v>
      </c>
      <c r="AG201" s="207" t="str">
        <f aca="false">IF($A202="","",Summary!$Q$8)</f>
        <v/>
      </c>
      <c r="AH201" s="207" t="str">
        <f aca="false">IF($A202="","",IF(Summary!$R$8="Y",(VLOOKUP($A201,Summary!$AD$6:$AF$9,3)+'Escalating commodity'!D214),'Escalating commodity'!D214))</f>
        <v/>
      </c>
      <c r="AI201" s="207" t="str">
        <f aca="false">IF($A202="","",AH201)</f>
        <v/>
      </c>
      <c r="AJ201" s="208" t="e">
        <f aca="false">A201+DAY(EOMONTH(A201,0))/2-1</f>
        <v>#VALUE!</v>
      </c>
      <c r="AK201" s="209" t="str">
        <f aca="false">IF($A202="","",$A201-$E$1)</f>
        <v/>
      </c>
      <c r="AL201" s="182" t="str">
        <f aca="false">IF($A202="","",SPRDOPT(P201,X201,AI201,0,AB201,AE201,AF201,AK201,$AJ$2,0))</f>
        <v/>
      </c>
      <c r="AM201" s="211" t="str">
        <f aca="false">IF($A202="","",MAX(0,O201-W201-AI201))</f>
        <v/>
      </c>
      <c r="AN201" s="211" t="str">
        <f aca="false">IF($A202="","",AL201-AM201)</f>
        <v/>
      </c>
      <c r="AO201" s="137" t="str">
        <f aca="false">IF(A202="","",A202-A201)</f>
        <v/>
      </c>
      <c r="AP201" s="212" t="str">
        <f aca="false">IF(A202="","",CHOOSE(F$3,A202+24,A201))</f>
        <v/>
      </c>
      <c r="AQ201" s="209" t="str">
        <f aca="false">IF(A202="","",AP201-$E$1)</f>
        <v/>
      </c>
      <c r="AR201" s="185" t="n">
        <f aca="false">'ANR OK vs ML7'!AR201</f>
        <v>0.1</v>
      </c>
      <c r="AS201" s="213" t="str">
        <f aca="false">IF(A202="","",1/(1+CHOOSE(F$3,(AR202+($I$3/10000))/2,(AR201+($I$3/10000))/2))^(2*AQ201/365.25))</f>
        <v/>
      </c>
      <c r="AT201" s="137" t="str">
        <f aca="false">IF(A202="","",IF(AND(mthbeg&lt;=A201,mthend&gt;=A201),1,0))</f>
        <v/>
      </c>
      <c r="AU201" s="137" t="str">
        <f aca="false">IF(A202="","",AO201*AT201)</f>
        <v/>
      </c>
      <c r="AW201" s="195" t="str">
        <f aca="false">IF($A202="","",AL201*$E201)</f>
        <v/>
      </c>
      <c r="AX201" s="195" t="str">
        <f aca="false">IF($A202="","",AM201*$E201)</f>
        <v/>
      </c>
      <c r="AY201" s="195" t="str">
        <f aca="false">IF($A202="","",AN201*$E201)</f>
        <v/>
      </c>
      <c r="BA201" s="195" t="str">
        <f aca="false">IF($A202="","",F201*Summary!$Q$8)</f>
        <v/>
      </c>
    </row>
    <row r="202" customFormat="false" ht="12" hidden="false" customHeight="true" outlineLevel="0" collapsed="false">
      <c r="A202" s="196" t="str">
        <f aca="false">IF(A201&lt;mthend,EDATE(A201,1),"")</f>
        <v/>
      </c>
      <c r="B202" s="197" t="n">
        <f aca="false">IF(A202&lt;mthend,B201,0)</f>
        <v>0</v>
      </c>
      <c r="C202" s="215"/>
      <c r="D202" s="197" t="str">
        <f aca="false">IF(A203&lt;&gt;"",B202+C202,"")</f>
        <v/>
      </c>
      <c r="E202" s="199" t="str">
        <f aca="false">IF(A203="","",IF(AND(AT202=1,$H$3=1),D202*AO202,IF($H$3=2,D202,"N/A")))</f>
        <v/>
      </c>
      <c r="F202" s="199" t="str">
        <f aca="false">IF(A203="","",E202*AS202)</f>
        <v/>
      </c>
      <c r="G202" s="200" t="str">
        <f aca="false">IF($A203="","",VLOOKUP($A202,Table,MATCH(G$4,Curves,0)))</f>
        <v/>
      </c>
      <c r="H202" s="201" t="str">
        <f aca="false">IF(A203="","",G202)</f>
        <v/>
      </c>
      <c r="I202" s="202"/>
      <c r="J202" s="200" t="str">
        <f aca="false">IF($A203="","",VLOOKUP($A202,Table,MATCH(J$4,Curves,0)))</f>
        <v/>
      </c>
      <c r="K202" s="201" t="str">
        <f aca="false">IF(A203="","",J202)</f>
        <v/>
      </c>
      <c r="L202" s="200" t="str">
        <f aca="false">IF($A203="","",VLOOKUP($A202,Table,MATCH(L$4,Curves,0)))</f>
        <v/>
      </c>
      <c r="M202" s="201" t="str">
        <f aca="false">IF(A203="","",L202)</f>
        <v/>
      </c>
      <c r="N202" s="203"/>
      <c r="O202" s="200" t="str">
        <f aca="false">IF(A203="","",L202+J202+G202)</f>
        <v/>
      </c>
      <c r="P202" s="200" t="str">
        <f aca="false">IF(A203="","",M202+K202+H202)</f>
        <v/>
      </c>
      <c r="Q202" s="204"/>
      <c r="R202" s="200" t="str">
        <f aca="false">IF($A203="","",VLOOKUP($A202,Table,MATCH(R$4,Curves,0)))</f>
        <v/>
      </c>
      <c r="S202" s="201" t="str">
        <f aca="false">IF(A203="","",R202)</f>
        <v/>
      </c>
      <c r="T202" s="200" t="str">
        <f aca="false">IF($A203="","",VLOOKUP($A202,Table,MATCH(T$4,Curves,0)))</f>
        <v/>
      </c>
      <c r="U202" s="201" t="str">
        <f aca="false">IF(A203="","",T202)</f>
        <v/>
      </c>
      <c r="V202" s="183" t="str">
        <f aca="false">IF($A203="","",IF(AND(MONTH(A202)&gt;3,MONTH(A202)&lt;11),(T202+R202+G202)*Summary!$T$8/(1-Summary!$T$8),(T202+R202+G202)*Summary!$U$8/(1-Summary!$U$8)))</f>
        <v/>
      </c>
      <c r="W202" s="200" t="str">
        <f aca="false">IF($A203="","",(T202+R202+G202+V202))</f>
        <v/>
      </c>
      <c r="X202" s="200" t="str">
        <f aca="false">IF($A203="","",(U202+S202+H202+V202))</f>
        <v/>
      </c>
      <c r="Y202" s="202"/>
      <c r="Z202" s="185" t="str">
        <f aca="false">IF($A203="","",VLOOKUP($A202,Table,MATCH(Z$4,Curves,0)))</f>
        <v/>
      </c>
      <c r="AA202" s="185" t="str">
        <f aca="false">IF($A203="","",VLOOKUP($A202,Table,MATCH(AA$4,Curves,0)))</f>
        <v/>
      </c>
      <c r="AB202" s="185" t="e">
        <f aca="false">SQRT((AA202^2*(A202-$D$3)+Z202^2*(DAY(EOMONTH(A202,0))/2))/AK202)</f>
        <v>#VALUE!</v>
      </c>
      <c r="AC202" s="185" t="str">
        <f aca="false">IF($A203="","",VLOOKUP($A202,Table,MATCH(AC$4,Curves,0)))</f>
        <v/>
      </c>
      <c r="AD202" s="185" t="str">
        <f aca="false">IF($A203="","",VLOOKUP($A202,Table,MATCH(AD$4,Curves,0)))</f>
        <v/>
      </c>
      <c r="AE202" s="185" t="e">
        <f aca="false">SQRT((AD202^2*(A202-$D$3)+AC202^2*(DAY(EOMONTH(A202,0))/2))/AK202)</f>
        <v>#VALUE!</v>
      </c>
      <c r="AF202" s="224" t="e">
        <f aca="false">((Summary!$N$8*(AA202*AD202)*(A202-$D$3))+(Summary!$M$8*Z202*AC202*(AJ202-EOMONTH(EDATE(A202,-1),0))))/(AK202*AB202*AE202)</f>
        <v>#VALUE!</v>
      </c>
      <c r="AG202" s="207" t="str">
        <f aca="false">IF($A203="","",Summary!$Q$8)</f>
        <v/>
      </c>
      <c r="AH202" s="207" t="str">
        <f aca="false">IF($A203="","",IF(Summary!$R$8="Y",(VLOOKUP($A202,Summary!$AD$6:$AF$9,3)+'Escalating commodity'!D215),'Escalating commodity'!D215))</f>
        <v/>
      </c>
      <c r="AI202" s="207" t="str">
        <f aca="false">IF($A203="","",AH202)</f>
        <v/>
      </c>
      <c r="AJ202" s="208" t="e">
        <f aca="false">A202+DAY(EOMONTH(A202,0))/2-1</f>
        <v>#VALUE!</v>
      </c>
      <c r="AK202" s="209" t="str">
        <f aca="false">IF($A203="","",$A202-$E$1)</f>
        <v/>
      </c>
      <c r="AL202" s="182" t="str">
        <f aca="false">IF($A203="","",SPRDOPT(P202,X202,AI202,0,AB202,AE202,AF202,AK202,$AJ$2,0))</f>
        <v/>
      </c>
      <c r="AM202" s="211" t="str">
        <f aca="false">IF($A203="","",MAX(0,O202-W202-AI202))</f>
        <v/>
      </c>
      <c r="AN202" s="211" t="str">
        <f aca="false">IF($A203="","",AL202-AM202)</f>
        <v/>
      </c>
      <c r="AO202" s="137" t="str">
        <f aca="false">IF(A203="","",A203-A202)</f>
        <v/>
      </c>
      <c r="AP202" s="212" t="str">
        <f aca="false">IF(A203="","",CHOOSE(F$3,A203+24,A202))</f>
        <v/>
      </c>
      <c r="AQ202" s="209" t="str">
        <f aca="false">IF(A203="","",AP202-$E$1)</f>
        <v/>
      </c>
      <c r="AR202" s="185" t="n">
        <f aca="false">'ANR OK vs ML7'!AR202</f>
        <v>0.1</v>
      </c>
      <c r="AS202" s="213" t="str">
        <f aca="false">IF(A203="","",1/(1+CHOOSE(F$3,(AR203+($I$3/10000))/2,(AR202+($I$3/10000))/2))^(2*AQ202/365.25))</f>
        <v/>
      </c>
      <c r="AT202" s="137" t="str">
        <f aca="false">IF(A203="","",IF(AND(mthbeg&lt;=A202,mthend&gt;=A202),1,0))</f>
        <v/>
      </c>
      <c r="AU202" s="137" t="str">
        <f aca="false">IF(A203="","",AO202*AT202)</f>
        <v/>
      </c>
      <c r="AW202" s="195" t="str">
        <f aca="false">IF($A203="","",AL202*$E202)</f>
        <v/>
      </c>
      <c r="AX202" s="195" t="str">
        <f aca="false">IF($A203="","",AM202*$E202)</f>
        <v/>
      </c>
      <c r="AY202" s="195" t="str">
        <f aca="false">IF($A203="","",AN202*$E202)</f>
        <v/>
      </c>
      <c r="BA202" s="195" t="str">
        <f aca="false">IF($A203="","",F202*Summary!$Q$8)</f>
        <v/>
      </c>
    </row>
    <row r="203" customFormat="false" ht="12" hidden="false" customHeight="true" outlineLevel="0" collapsed="false">
      <c r="A203" s="196" t="str">
        <f aca="false">IF(A202&lt;mthend,EDATE(A202,1),"")</f>
        <v/>
      </c>
      <c r="B203" s="197" t="n">
        <f aca="false">IF(A203&lt;mthend,B202,0)</f>
        <v>0</v>
      </c>
      <c r="C203" s="215"/>
      <c r="D203" s="197" t="str">
        <f aca="false">IF(A204&lt;&gt;"",B203+C203,"")</f>
        <v/>
      </c>
      <c r="E203" s="199" t="str">
        <f aca="false">IF(A204="","",IF(AND(AT203=1,$H$3=1),D203*AO203,IF($H$3=2,D203,"N/A")))</f>
        <v/>
      </c>
      <c r="F203" s="199" t="str">
        <f aca="false">IF(A204="","",E203*AS203)</f>
        <v/>
      </c>
      <c r="G203" s="200" t="str">
        <f aca="false">IF($A204="","",VLOOKUP($A203,Table,MATCH(G$4,Curves,0)))</f>
        <v/>
      </c>
      <c r="H203" s="201" t="str">
        <f aca="false">IF(A204="","",G203)</f>
        <v/>
      </c>
      <c r="I203" s="202"/>
      <c r="J203" s="200" t="str">
        <f aca="false">IF($A204="","",VLOOKUP($A203,Table,MATCH(J$4,Curves,0)))</f>
        <v/>
      </c>
      <c r="K203" s="201" t="str">
        <f aca="false">IF(A204="","",J203)</f>
        <v/>
      </c>
      <c r="L203" s="200" t="str">
        <f aca="false">IF($A204="","",VLOOKUP($A203,Table,MATCH(L$4,Curves,0)))</f>
        <v/>
      </c>
      <c r="M203" s="201" t="str">
        <f aca="false">IF(A204="","",L203)</f>
        <v/>
      </c>
      <c r="N203" s="203"/>
      <c r="O203" s="200" t="str">
        <f aca="false">IF(A204="","",L203+J203+G203)</f>
        <v/>
      </c>
      <c r="P203" s="200" t="str">
        <f aca="false">IF(A204="","",M203+K203+H203)</f>
        <v/>
      </c>
      <c r="Q203" s="204"/>
      <c r="R203" s="200" t="str">
        <f aca="false">IF($A204="","",VLOOKUP($A203,Table,MATCH(R$4,Curves,0)))</f>
        <v/>
      </c>
      <c r="S203" s="201" t="str">
        <f aca="false">IF(A204="","",R203)</f>
        <v/>
      </c>
      <c r="T203" s="200" t="str">
        <f aca="false">IF($A204="","",VLOOKUP($A203,Table,MATCH(T$4,Curves,0)))</f>
        <v/>
      </c>
      <c r="U203" s="201" t="str">
        <f aca="false">IF(A204="","",T203)</f>
        <v/>
      </c>
      <c r="V203" s="183" t="str">
        <f aca="false">IF($A204="","",IF(AND(MONTH(A203)&gt;3,MONTH(A203)&lt;11),(T203+R203+G203)*Summary!$T$8/(1-Summary!$T$8),(T203+R203+G203)*Summary!$U$8/(1-Summary!$U$8)))</f>
        <v/>
      </c>
      <c r="W203" s="200" t="str">
        <f aca="false">IF($A204="","",(T203+R203+G203+V203))</f>
        <v/>
      </c>
      <c r="X203" s="200" t="str">
        <f aca="false">IF($A204="","",(U203+S203+H203+V203))</f>
        <v/>
      </c>
      <c r="Y203" s="202"/>
      <c r="Z203" s="185" t="str">
        <f aca="false">IF($A204="","",VLOOKUP($A203,Table,MATCH(Z$4,Curves,0)))</f>
        <v/>
      </c>
      <c r="AA203" s="185" t="str">
        <f aca="false">IF($A204="","",VLOOKUP($A203,Table,MATCH(AA$4,Curves,0)))</f>
        <v/>
      </c>
      <c r="AB203" s="185" t="e">
        <f aca="false">SQRT((AA203^2*(A203-$D$3)+Z203^2*(DAY(EOMONTH(A203,0))/2))/AK203)</f>
        <v>#VALUE!</v>
      </c>
      <c r="AC203" s="185" t="str">
        <f aca="false">IF($A204="","",VLOOKUP($A203,Table,MATCH(AC$4,Curves,0)))</f>
        <v/>
      </c>
      <c r="AD203" s="185" t="str">
        <f aca="false">IF($A204="","",VLOOKUP($A203,Table,MATCH(AD$4,Curves,0)))</f>
        <v/>
      </c>
      <c r="AE203" s="185" t="e">
        <f aca="false">SQRT((AD203^2*(A203-$D$3)+AC203^2*(DAY(EOMONTH(A203,0))/2))/AK203)</f>
        <v>#VALUE!</v>
      </c>
      <c r="AF203" s="224" t="e">
        <f aca="false">((Summary!$N$8*(AA203*AD203)*(A203-$D$3))+(Summary!$M$8*Z203*AC203*(AJ203-EOMONTH(EDATE(A203,-1),0))))/(AK203*AB203*AE203)</f>
        <v>#VALUE!</v>
      </c>
      <c r="AG203" s="207" t="str">
        <f aca="false">IF($A204="","",Summary!$Q$8)</f>
        <v/>
      </c>
      <c r="AH203" s="207" t="str">
        <f aca="false">IF($A204="","",IF(Summary!$R$8="Y",(VLOOKUP($A203,Summary!$AD$6:$AF$9,3)+'Escalating commodity'!D216),'Escalating commodity'!D216))</f>
        <v/>
      </c>
      <c r="AI203" s="207" t="str">
        <f aca="false">IF($A204="","",AH203)</f>
        <v/>
      </c>
      <c r="AJ203" s="208" t="e">
        <f aca="false">A203+DAY(EOMONTH(A203,0))/2-1</f>
        <v>#VALUE!</v>
      </c>
      <c r="AK203" s="209" t="str">
        <f aca="false">IF($A204="","",$A203-$E$1)</f>
        <v/>
      </c>
      <c r="AL203" s="182" t="str">
        <f aca="false">IF($A204="","",SPRDOPT(P203,X203,AI203,0,AB203,AE203,AF203,AK203,$AJ$2,0))</f>
        <v/>
      </c>
      <c r="AM203" s="211" t="str">
        <f aca="false">IF($A204="","",MAX(0,O203-W203-AI203))</f>
        <v/>
      </c>
      <c r="AN203" s="211" t="str">
        <f aca="false">IF($A204="","",AL203-AM203)</f>
        <v/>
      </c>
      <c r="AO203" s="137" t="str">
        <f aca="false">IF(A204="","",A204-A203)</f>
        <v/>
      </c>
      <c r="AP203" s="212" t="str">
        <f aca="false">IF(A204="","",CHOOSE(F$3,A204+24,A203))</f>
        <v/>
      </c>
      <c r="AQ203" s="209" t="str">
        <f aca="false">IF(A204="","",AP203-$E$1)</f>
        <v/>
      </c>
      <c r="AR203" s="185" t="n">
        <f aca="false">'ANR OK vs ML7'!AR203</f>
        <v>0.1</v>
      </c>
      <c r="AS203" s="213" t="str">
        <f aca="false">IF(A204="","",1/(1+CHOOSE(F$3,(AR204+($I$3/10000))/2,(AR203+($I$3/10000))/2))^(2*AQ203/365.25))</f>
        <v/>
      </c>
      <c r="AT203" s="137" t="str">
        <f aca="false">IF(A204="","",IF(AND(mthbeg&lt;=A203,mthend&gt;=A203),1,0))</f>
        <v/>
      </c>
      <c r="AU203" s="137" t="str">
        <f aca="false">IF(A204="","",AO203*AT203)</f>
        <v/>
      </c>
      <c r="AW203" s="195" t="str">
        <f aca="false">IF($A204="","",AL203*$E203)</f>
        <v/>
      </c>
      <c r="AX203" s="195" t="str">
        <f aca="false">IF($A204="","",AM203*$E203)</f>
        <v/>
      </c>
      <c r="AY203" s="195" t="str">
        <f aca="false">IF($A204="","",AN203*$E203)</f>
        <v/>
      </c>
      <c r="BA203" s="195" t="str">
        <f aca="false">IF($A204="","",F203*Summary!$Q$8)</f>
        <v/>
      </c>
    </row>
    <row r="204" customFormat="false" ht="12" hidden="false" customHeight="true" outlineLevel="0" collapsed="false">
      <c r="A204" s="196" t="str">
        <f aca="false">IF(A203&lt;mthend,EDATE(A203,1),"")</f>
        <v/>
      </c>
      <c r="B204" s="197" t="n">
        <f aca="false">IF(A204&lt;mthend,B203,0)</f>
        <v>0</v>
      </c>
      <c r="C204" s="215"/>
      <c r="D204" s="197" t="str">
        <f aca="false">IF(A205&lt;&gt;"",B204+C204,"")</f>
        <v/>
      </c>
      <c r="E204" s="199" t="str">
        <f aca="false">IF(A205="","",IF(AND(AT204=1,$H$3=1),D204*AO204,IF($H$3=2,D204,"N/A")))</f>
        <v/>
      </c>
      <c r="F204" s="199" t="str">
        <f aca="false">IF(A205="","",E204*AS204)</f>
        <v/>
      </c>
      <c r="G204" s="200" t="str">
        <f aca="false">IF($A205="","",VLOOKUP($A204,Table,MATCH(G$4,Curves,0)))</f>
        <v/>
      </c>
      <c r="H204" s="201" t="str">
        <f aca="false">IF(A205="","",G204)</f>
        <v/>
      </c>
      <c r="I204" s="202"/>
      <c r="J204" s="200" t="str">
        <f aca="false">IF($A205="","",VLOOKUP($A204,Table,MATCH(J$4,Curves,0)))</f>
        <v/>
      </c>
      <c r="K204" s="201" t="str">
        <f aca="false">IF(A205="","",J204)</f>
        <v/>
      </c>
      <c r="L204" s="200" t="str">
        <f aca="false">IF($A205="","",VLOOKUP($A204,Table,MATCH(L$4,Curves,0)))</f>
        <v/>
      </c>
      <c r="M204" s="201" t="str">
        <f aca="false">IF(A205="","",L204)</f>
        <v/>
      </c>
      <c r="N204" s="203"/>
      <c r="O204" s="200" t="str">
        <f aca="false">IF(A205="","",L204+J204+G204)</f>
        <v/>
      </c>
      <c r="P204" s="200" t="str">
        <f aca="false">IF(A205="","",M204+K204+H204)</f>
        <v/>
      </c>
      <c r="Q204" s="204"/>
      <c r="R204" s="200" t="str">
        <f aca="false">IF($A205="","",VLOOKUP($A204,Table,MATCH(R$4,Curves,0)))</f>
        <v/>
      </c>
      <c r="S204" s="201" t="str">
        <f aca="false">IF(A205="","",R204)</f>
        <v/>
      </c>
      <c r="T204" s="200" t="str">
        <f aca="false">IF($A205="","",VLOOKUP($A204,Table,MATCH(T$4,Curves,0)))</f>
        <v/>
      </c>
      <c r="U204" s="201" t="str">
        <f aca="false">IF(A205="","",T204)</f>
        <v/>
      </c>
      <c r="V204" s="183" t="str">
        <f aca="false">IF($A205="","",IF(AND(MONTH(A204)&gt;3,MONTH(A204)&lt;11),(T204+R204+G204)*Summary!$T$8/(1-Summary!$T$8),(T204+R204+G204)*Summary!$U$8/(1-Summary!$U$8)))</f>
        <v/>
      </c>
      <c r="W204" s="200" t="str">
        <f aca="false">IF($A205="","",(T204+R204+G204+V204))</f>
        <v/>
      </c>
      <c r="X204" s="200" t="str">
        <f aca="false">IF($A205="","",(U204+S204+H204+V204))</f>
        <v/>
      </c>
      <c r="Y204" s="202"/>
      <c r="Z204" s="185" t="str">
        <f aca="false">IF($A205="","",VLOOKUP($A204,Table,MATCH(Z$4,Curves,0)))</f>
        <v/>
      </c>
      <c r="AA204" s="185" t="str">
        <f aca="false">IF($A205="","",VLOOKUP($A204,Table,MATCH(AA$4,Curves,0)))</f>
        <v/>
      </c>
      <c r="AB204" s="185" t="e">
        <f aca="false">SQRT((AA204^2*(A204-$D$3)+Z204^2*(DAY(EOMONTH(A204,0))/2))/AK204)</f>
        <v>#VALUE!</v>
      </c>
      <c r="AC204" s="185" t="str">
        <f aca="false">IF($A205="","",VLOOKUP($A204,Table,MATCH(AC$4,Curves,0)))</f>
        <v/>
      </c>
      <c r="AD204" s="185" t="str">
        <f aca="false">IF($A205="","",VLOOKUP($A204,Table,MATCH(AD$4,Curves,0)))</f>
        <v/>
      </c>
      <c r="AE204" s="185" t="e">
        <f aca="false">SQRT((AD204^2*(A204-$D$3)+AC204^2*(DAY(EOMONTH(A204,0))/2))/AK204)</f>
        <v>#VALUE!</v>
      </c>
      <c r="AF204" s="224" t="e">
        <f aca="false">((Summary!$N$8*(AA204*AD204)*(A204-$D$3))+(Summary!$M$8*Z204*AC204*(AJ204-EOMONTH(EDATE(A204,-1),0))))/(AK204*AB204*AE204)</f>
        <v>#VALUE!</v>
      </c>
      <c r="AG204" s="207" t="str">
        <f aca="false">IF($A205="","",Summary!$Q$8)</f>
        <v/>
      </c>
      <c r="AH204" s="207" t="str">
        <f aca="false">IF($A205="","",IF(Summary!$R$8="Y",(VLOOKUP($A204,Summary!$AD$6:$AF$9,3)+'Escalating commodity'!D217),'Escalating commodity'!D217))</f>
        <v/>
      </c>
      <c r="AI204" s="207" t="str">
        <f aca="false">IF($A205="","",AH204)</f>
        <v/>
      </c>
      <c r="AJ204" s="208" t="e">
        <f aca="false">A204+DAY(EOMONTH(A204,0))/2-1</f>
        <v>#VALUE!</v>
      </c>
      <c r="AK204" s="209" t="str">
        <f aca="false">IF($A205="","",$A204-$E$1)</f>
        <v/>
      </c>
      <c r="AL204" s="182" t="str">
        <f aca="false">IF($A205="","",SPRDOPT(P204,X204,AI204,0,AB204,AE204,AF204,AK204,$AJ$2,0))</f>
        <v/>
      </c>
      <c r="AM204" s="211" t="str">
        <f aca="false">IF($A205="","",MAX(0,O204-W204-AI204))</f>
        <v/>
      </c>
      <c r="AN204" s="211" t="str">
        <f aca="false">IF($A205="","",AL204-AM204)</f>
        <v/>
      </c>
      <c r="AO204" s="137" t="str">
        <f aca="false">IF(A205="","",A205-A204)</f>
        <v/>
      </c>
      <c r="AP204" s="212" t="str">
        <f aca="false">IF(A205="","",CHOOSE(F$3,A205+24,A204))</f>
        <v/>
      </c>
      <c r="AQ204" s="209" t="str">
        <f aca="false">IF(A205="","",AP204-$E$1)</f>
        <v/>
      </c>
      <c r="AR204" s="185" t="n">
        <f aca="false">'ANR OK vs ML7'!AR204</f>
        <v>0.1</v>
      </c>
      <c r="AS204" s="213" t="str">
        <f aca="false">IF(A205="","",1/(1+CHOOSE(F$3,(AR205+($I$3/10000))/2,(AR204+($I$3/10000))/2))^(2*AQ204/365.25))</f>
        <v/>
      </c>
      <c r="AT204" s="137" t="str">
        <f aca="false">IF(A205="","",IF(AND(mthbeg&lt;=A204,mthend&gt;=A204),1,0))</f>
        <v/>
      </c>
      <c r="AU204" s="137" t="str">
        <f aca="false">IF(A205="","",AO204*AT204)</f>
        <v/>
      </c>
      <c r="AW204" s="195" t="str">
        <f aca="false">IF($A205="","",AL204*$E204)</f>
        <v/>
      </c>
      <c r="AX204" s="195" t="str">
        <f aca="false">IF($A205="","",AM204*$E204)</f>
        <v/>
      </c>
      <c r="AY204" s="195" t="str">
        <f aca="false">IF($A205="","",AN204*$E204)</f>
        <v/>
      </c>
      <c r="BA204" s="195" t="str">
        <f aca="false">IF($A205="","",F204*Summary!$Q$8)</f>
        <v/>
      </c>
    </row>
    <row r="205" customFormat="false" ht="12" hidden="false" customHeight="true" outlineLevel="0" collapsed="false">
      <c r="A205" s="196" t="str">
        <f aca="false">IF(A204&lt;mthend,EDATE(A204,1),"")</f>
        <v/>
      </c>
      <c r="B205" s="197" t="n">
        <f aca="false">IF(A205&lt;mthend,B204,0)</f>
        <v>0</v>
      </c>
      <c r="C205" s="215"/>
      <c r="D205" s="197" t="str">
        <f aca="false">IF(A206&lt;&gt;"",B205+C205,"")</f>
        <v/>
      </c>
      <c r="E205" s="199" t="str">
        <f aca="false">IF(A206="","",IF(AND(AT205=1,$H$3=1),D205*AO205,IF($H$3=2,D205,"N/A")))</f>
        <v/>
      </c>
      <c r="F205" s="199" t="str">
        <f aca="false">IF(A206="","",E205*AS205)</f>
        <v/>
      </c>
      <c r="G205" s="200" t="str">
        <f aca="false">IF($A206="","",VLOOKUP($A205,Table,MATCH(G$4,Curves,0)))</f>
        <v/>
      </c>
      <c r="H205" s="201" t="str">
        <f aca="false">IF(A206="","",G205)</f>
        <v/>
      </c>
      <c r="I205" s="202"/>
      <c r="J205" s="200" t="str">
        <f aca="false">IF($A206="","",VLOOKUP($A205,Table,MATCH(J$4,Curves,0)))</f>
        <v/>
      </c>
      <c r="K205" s="201" t="str">
        <f aca="false">IF(A206="","",J205)</f>
        <v/>
      </c>
      <c r="L205" s="200" t="str">
        <f aca="false">IF($A206="","",VLOOKUP($A205,Table,MATCH(L$4,Curves,0)))</f>
        <v/>
      </c>
      <c r="M205" s="201" t="str">
        <f aca="false">IF(A206="","",L205)</f>
        <v/>
      </c>
      <c r="N205" s="203"/>
      <c r="O205" s="200" t="str">
        <f aca="false">IF(A206="","",L205+J205+G205)</f>
        <v/>
      </c>
      <c r="P205" s="200" t="str">
        <f aca="false">IF(A206="","",M205+K205+H205)</f>
        <v/>
      </c>
      <c r="Q205" s="204"/>
      <c r="R205" s="200" t="str">
        <f aca="false">IF($A206="","",VLOOKUP($A205,Table,MATCH(R$4,Curves,0)))</f>
        <v/>
      </c>
      <c r="S205" s="201" t="str">
        <f aca="false">IF(A206="","",R205)</f>
        <v/>
      </c>
      <c r="T205" s="200" t="str">
        <f aca="false">IF($A206="","",VLOOKUP($A205,Table,MATCH(T$4,Curves,0)))</f>
        <v/>
      </c>
      <c r="U205" s="201" t="str">
        <f aca="false">IF(A206="","",T205)</f>
        <v/>
      </c>
      <c r="V205" s="183" t="str">
        <f aca="false">IF($A206="","",IF(AND(MONTH(A205)&gt;3,MONTH(A205)&lt;11),(T205+R205+G205)*Summary!$T$8/(1-Summary!$T$8),(T205+R205+G205)*Summary!$U$8/(1-Summary!$U$8)))</f>
        <v/>
      </c>
      <c r="W205" s="200" t="str">
        <f aca="false">IF($A206="","",(T205+R205+G205+V205))</f>
        <v/>
      </c>
      <c r="X205" s="200" t="str">
        <f aca="false">IF($A206="","",(U205+S205+H205+V205))</f>
        <v/>
      </c>
      <c r="Y205" s="202"/>
      <c r="Z205" s="185" t="str">
        <f aca="false">IF($A206="","",VLOOKUP($A205,Table,MATCH(Z$4,Curves,0)))</f>
        <v/>
      </c>
      <c r="AA205" s="185" t="str">
        <f aca="false">IF($A206="","",VLOOKUP($A205,Table,MATCH(AA$4,Curves,0)))</f>
        <v/>
      </c>
      <c r="AB205" s="185" t="e">
        <f aca="false">SQRT((AA205^2*(A205-$D$3)+Z205^2*(DAY(EOMONTH(A205,0))/2))/AK205)</f>
        <v>#VALUE!</v>
      </c>
      <c r="AC205" s="185" t="str">
        <f aca="false">IF($A206="","",VLOOKUP($A205,Table,MATCH(AC$4,Curves,0)))</f>
        <v/>
      </c>
      <c r="AD205" s="185" t="str">
        <f aca="false">IF($A206="","",VLOOKUP($A205,Table,MATCH(AD$4,Curves,0)))</f>
        <v/>
      </c>
      <c r="AE205" s="185" t="e">
        <f aca="false">SQRT((AD205^2*(A205-$D$3)+AC205^2*(DAY(EOMONTH(A205,0))/2))/AK205)</f>
        <v>#VALUE!</v>
      </c>
      <c r="AF205" s="224" t="e">
        <f aca="false">((Summary!$N$8*(AA205*AD205)*(A205-$D$3))+(Summary!$M$8*Z205*AC205*(AJ205-EOMONTH(EDATE(A205,-1),0))))/(AK205*AB205*AE205)</f>
        <v>#VALUE!</v>
      </c>
      <c r="AG205" s="207" t="str">
        <f aca="false">IF($A206="","",Summary!$Q$8)</f>
        <v/>
      </c>
      <c r="AH205" s="207" t="str">
        <f aca="false">IF($A206="","",IF(Summary!$R$8="Y",(VLOOKUP($A205,Summary!$AD$6:$AF$9,3)+'Escalating commodity'!D218),'Escalating commodity'!D218))</f>
        <v/>
      </c>
      <c r="AI205" s="207" t="str">
        <f aca="false">IF($A206="","",AH205)</f>
        <v/>
      </c>
      <c r="AJ205" s="208" t="e">
        <f aca="false">A205+DAY(EOMONTH(A205,0))/2-1</f>
        <v>#VALUE!</v>
      </c>
      <c r="AK205" s="209" t="str">
        <f aca="false">IF($A206="","",$A205-$E$1)</f>
        <v/>
      </c>
      <c r="AL205" s="182" t="str">
        <f aca="false">IF($A206="","",SPRDOPT(P205,X205,AI205,0,AB205,AE205,AF205,AK205,$AJ$2,0))</f>
        <v/>
      </c>
      <c r="AM205" s="211" t="str">
        <f aca="false">IF($A206="","",MAX(0,O205-W205-AI205))</f>
        <v/>
      </c>
      <c r="AN205" s="211" t="str">
        <f aca="false">IF($A206="","",AL205-AM205)</f>
        <v/>
      </c>
      <c r="AO205" s="137" t="str">
        <f aca="false">IF(A206="","",A206-A205)</f>
        <v/>
      </c>
      <c r="AP205" s="212" t="str">
        <f aca="false">IF(A206="","",CHOOSE(F$3,A206+24,A205))</f>
        <v/>
      </c>
      <c r="AQ205" s="209" t="str">
        <f aca="false">IF(A206="","",AP205-$E$1)</f>
        <v/>
      </c>
      <c r="AR205" s="185" t="n">
        <f aca="false">'ANR OK vs ML7'!AR205</f>
        <v>0.1</v>
      </c>
      <c r="AS205" s="213" t="str">
        <f aca="false">IF(A206="","",1/(1+CHOOSE(F$3,(AR206+($I$3/10000))/2,(AR205+($I$3/10000))/2))^(2*AQ205/365.25))</f>
        <v/>
      </c>
      <c r="AT205" s="137" t="str">
        <f aca="false">IF(A206="","",IF(AND(mthbeg&lt;=A205,mthend&gt;=A205),1,0))</f>
        <v/>
      </c>
      <c r="AU205" s="137" t="str">
        <f aca="false">IF(A206="","",AO205*AT205)</f>
        <v/>
      </c>
      <c r="AW205" s="195" t="str">
        <f aca="false">IF($A206="","",AL205*$E205)</f>
        <v/>
      </c>
      <c r="AX205" s="195" t="str">
        <f aca="false">IF($A206="","",AM205*$E205)</f>
        <v/>
      </c>
      <c r="AY205" s="195" t="str">
        <f aca="false">IF($A206="","",AN205*$E205)</f>
        <v/>
      </c>
      <c r="BA205" s="195" t="str">
        <f aca="false">IF($A206="","",F205*Summary!$Q$8)</f>
        <v/>
      </c>
    </row>
    <row r="206" customFormat="false" ht="12" hidden="false" customHeight="true" outlineLevel="0" collapsed="false">
      <c r="A206" s="196" t="str">
        <f aca="false">IF(A205&lt;mthend,EDATE(A205,1),"")</f>
        <v/>
      </c>
      <c r="B206" s="197" t="n">
        <f aca="false">IF(A206&lt;mthend,B205,0)</f>
        <v>0</v>
      </c>
      <c r="C206" s="215"/>
      <c r="D206" s="197" t="str">
        <f aca="false">IF(A207&lt;&gt;"",B206+C206,"")</f>
        <v/>
      </c>
      <c r="E206" s="199" t="str">
        <f aca="false">IF(A207="","",IF(AND(AT206=1,$H$3=1),D206*AO206,IF($H$3=2,D206,"N/A")))</f>
        <v/>
      </c>
      <c r="F206" s="199" t="str">
        <f aca="false">IF(A207="","",E206*AS206)</f>
        <v/>
      </c>
      <c r="G206" s="200" t="str">
        <f aca="false">IF($A207="","",VLOOKUP($A206,Table,MATCH(G$4,Curves,0)))</f>
        <v/>
      </c>
      <c r="H206" s="201" t="str">
        <f aca="false">IF(A207="","",G206)</f>
        <v/>
      </c>
      <c r="I206" s="202"/>
      <c r="J206" s="200" t="str">
        <f aca="false">IF($A207="","",VLOOKUP($A206,Table,MATCH(J$4,Curves,0)))</f>
        <v/>
      </c>
      <c r="K206" s="201" t="str">
        <f aca="false">IF(A207="","",J206)</f>
        <v/>
      </c>
      <c r="L206" s="200" t="str">
        <f aca="false">IF($A207="","",VLOOKUP($A206,Table,MATCH(L$4,Curves,0)))</f>
        <v/>
      </c>
      <c r="M206" s="201" t="str">
        <f aca="false">IF(A207="","",L206)</f>
        <v/>
      </c>
      <c r="N206" s="203"/>
      <c r="O206" s="200" t="str">
        <f aca="false">IF(A207="","",L206+J206+G206)</f>
        <v/>
      </c>
      <c r="P206" s="200" t="str">
        <f aca="false">IF(A207="","",M206+K206+H206)</f>
        <v/>
      </c>
      <c r="Q206" s="204"/>
      <c r="R206" s="200" t="str">
        <f aca="false">IF($A207="","",VLOOKUP($A206,Table,MATCH(R$4,Curves,0)))</f>
        <v/>
      </c>
      <c r="S206" s="201" t="str">
        <f aca="false">IF(A207="","",R206)</f>
        <v/>
      </c>
      <c r="T206" s="200" t="str">
        <f aca="false">IF($A207="","",VLOOKUP($A206,Table,MATCH(T$4,Curves,0)))</f>
        <v/>
      </c>
      <c r="U206" s="201" t="str">
        <f aca="false">IF(A207="","",T206)</f>
        <v/>
      </c>
      <c r="V206" s="183" t="str">
        <f aca="false">IF($A207="","",IF(AND(MONTH(A206)&gt;3,MONTH(A206)&lt;11),(T206+R206+G206)*Summary!$T$8/(1-Summary!$T$8),(T206+R206+G206)*Summary!$U$8/(1-Summary!$U$8)))</f>
        <v/>
      </c>
      <c r="W206" s="200" t="str">
        <f aca="false">IF($A207="","",(T206+R206+G206+V206))</f>
        <v/>
      </c>
      <c r="X206" s="200" t="str">
        <f aca="false">IF($A207="","",(U206+S206+H206+V206))</f>
        <v/>
      </c>
      <c r="Y206" s="202"/>
      <c r="Z206" s="185" t="str">
        <f aca="false">IF($A207="","",VLOOKUP($A206,Table,MATCH(Z$4,Curves,0)))</f>
        <v/>
      </c>
      <c r="AA206" s="185" t="str">
        <f aca="false">IF($A207="","",VLOOKUP($A206,Table,MATCH(AA$4,Curves,0)))</f>
        <v/>
      </c>
      <c r="AB206" s="185" t="e">
        <f aca="false">SQRT((AA206^2*(A206-$D$3)+Z206^2*(DAY(EOMONTH(A206,0))/2))/AK206)</f>
        <v>#VALUE!</v>
      </c>
      <c r="AC206" s="185" t="str">
        <f aca="false">IF($A207="","",VLOOKUP($A206,Table,MATCH(AC$4,Curves,0)))</f>
        <v/>
      </c>
      <c r="AD206" s="185" t="str">
        <f aca="false">IF($A207="","",VLOOKUP($A206,Table,MATCH(AD$4,Curves,0)))</f>
        <v/>
      </c>
      <c r="AE206" s="185" t="e">
        <f aca="false">SQRT((AD206^2*(A206-$D$3)+AC206^2*(DAY(EOMONTH(A206,0))/2))/AK206)</f>
        <v>#VALUE!</v>
      </c>
      <c r="AF206" s="224" t="e">
        <f aca="false">((Summary!$N$8*(AA206*AD206)*(A206-$D$3))+(Summary!$M$8*Z206*AC206*(AJ206-EOMONTH(EDATE(A206,-1),0))))/(AK206*AB206*AE206)</f>
        <v>#VALUE!</v>
      </c>
      <c r="AG206" s="207" t="str">
        <f aca="false">IF($A207="","",Summary!$Q$8)</f>
        <v/>
      </c>
      <c r="AH206" s="207" t="str">
        <f aca="false">IF($A207="","",IF(Summary!$R$8="Y",(VLOOKUP($A206,Summary!$AD$6:$AF$9,3)+'Escalating commodity'!D219),'Escalating commodity'!D219))</f>
        <v/>
      </c>
      <c r="AI206" s="207" t="str">
        <f aca="false">IF($A207="","",AH206)</f>
        <v/>
      </c>
      <c r="AJ206" s="208" t="e">
        <f aca="false">A206+DAY(EOMONTH(A206,0))/2-1</f>
        <v>#VALUE!</v>
      </c>
      <c r="AK206" s="209" t="str">
        <f aca="false">IF($A207="","",$A206-$E$1)</f>
        <v/>
      </c>
      <c r="AL206" s="182" t="str">
        <f aca="false">IF($A207="","",SPRDOPT(P206,X206,AI206,0,AB206,AE206,AF206,AK206,$AJ$2,0))</f>
        <v/>
      </c>
      <c r="AM206" s="211" t="str">
        <f aca="false">IF($A207="","",MAX(0,O206-W206-AI206))</f>
        <v/>
      </c>
      <c r="AN206" s="211" t="str">
        <f aca="false">IF($A207="","",AL206-AM206)</f>
        <v/>
      </c>
      <c r="AO206" s="137" t="str">
        <f aca="false">IF(A207="","",A207-A206)</f>
        <v/>
      </c>
      <c r="AP206" s="212" t="str">
        <f aca="false">IF(A207="","",CHOOSE(F$3,A207+24,A206))</f>
        <v/>
      </c>
      <c r="AQ206" s="209" t="str">
        <f aca="false">IF(A207="","",AP206-$E$1)</f>
        <v/>
      </c>
      <c r="AR206" s="185" t="n">
        <f aca="false">'ANR OK vs ML7'!AR206</f>
        <v>0.1</v>
      </c>
      <c r="AS206" s="213" t="str">
        <f aca="false">IF(A207="","",1/(1+CHOOSE(F$3,(AR207+($I$3/10000))/2,(AR206+($I$3/10000))/2))^(2*AQ206/365.25))</f>
        <v/>
      </c>
      <c r="AT206" s="137" t="str">
        <f aca="false">IF(A207="","",IF(AND(mthbeg&lt;=A206,mthend&gt;=A206),1,0))</f>
        <v/>
      </c>
      <c r="AU206" s="137" t="str">
        <f aca="false">IF(A207="","",AO206*AT206)</f>
        <v/>
      </c>
      <c r="AW206" s="195" t="str">
        <f aca="false">IF($A207="","",AL206*$E206)</f>
        <v/>
      </c>
      <c r="AX206" s="195" t="str">
        <f aca="false">IF($A207="","",AM206*$E206)</f>
        <v/>
      </c>
      <c r="AY206" s="195" t="str">
        <f aca="false">IF($A207="","",AN206*$E206)</f>
        <v/>
      </c>
      <c r="BA206" s="195" t="str">
        <f aca="false">IF($A207="","",F206*Summary!$Q$8)</f>
        <v/>
      </c>
    </row>
    <row r="207" customFormat="false" ht="12" hidden="false" customHeight="true" outlineLevel="0" collapsed="false">
      <c r="A207" s="196" t="str">
        <f aca="false">IF(A206&lt;mthend,EDATE(A206,1),"")</f>
        <v/>
      </c>
      <c r="B207" s="197" t="n">
        <f aca="false">IF(A207&lt;mthend,B206,0)</f>
        <v>0</v>
      </c>
      <c r="C207" s="215"/>
      <c r="D207" s="197" t="str">
        <f aca="false">IF(A208&lt;&gt;"",B207+C207,"")</f>
        <v/>
      </c>
      <c r="E207" s="199" t="str">
        <f aca="false">IF(A208="","",IF(AND(AT207=1,$H$3=1),D207*AO207,IF($H$3=2,D207,"N/A")))</f>
        <v/>
      </c>
      <c r="F207" s="199" t="str">
        <f aca="false">IF(A208="","",E207*AS207)</f>
        <v/>
      </c>
      <c r="G207" s="200" t="str">
        <f aca="false">IF($A208="","",VLOOKUP($A207,Table,MATCH(G$4,Curves,0)))</f>
        <v/>
      </c>
      <c r="H207" s="201" t="str">
        <f aca="false">IF(A208="","",G207)</f>
        <v/>
      </c>
      <c r="I207" s="202"/>
      <c r="J207" s="200" t="str">
        <f aca="false">IF($A208="","",VLOOKUP($A207,Table,MATCH(J$4,Curves,0)))</f>
        <v/>
      </c>
      <c r="K207" s="201" t="str">
        <f aca="false">IF(A208="","",J207)</f>
        <v/>
      </c>
      <c r="L207" s="200" t="str">
        <f aca="false">IF($A208="","",VLOOKUP($A207,Table,MATCH(L$4,Curves,0)))</f>
        <v/>
      </c>
      <c r="M207" s="201" t="str">
        <f aca="false">IF(A208="","",L207)</f>
        <v/>
      </c>
      <c r="N207" s="203"/>
      <c r="O207" s="200" t="str">
        <f aca="false">IF(A208="","",L207+J207+G207)</f>
        <v/>
      </c>
      <c r="P207" s="200" t="str">
        <f aca="false">IF(A208="","",M207+K207+H207)</f>
        <v/>
      </c>
      <c r="Q207" s="204"/>
      <c r="R207" s="200" t="str">
        <f aca="false">IF($A208="","",VLOOKUP($A207,Table,MATCH(R$4,Curves,0)))</f>
        <v/>
      </c>
      <c r="S207" s="201" t="str">
        <f aca="false">IF(A208="","",R207)</f>
        <v/>
      </c>
      <c r="T207" s="200" t="str">
        <f aca="false">IF($A208="","",VLOOKUP($A207,Table,MATCH(T$4,Curves,0)))</f>
        <v/>
      </c>
      <c r="U207" s="201" t="str">
        <f aca="false">IF(A208="","",T207)</f>
        <v/>
      </c>
      <c r="V207" s="183" t="str">
        <f aca="false">IF($A208="","",IF(AND(MONTH(A207)&gt;3,MONTH(A207)&lt;11),(T207+R207+G207)*Summary!$T$8/(1-Summary!$T$8),(T207+R207+G207)*Summary!$U$8/(1-Summary!$U$8)))</f>
        <v/>
      </c>
      <c r="W207" s="200" t="str">
        <f aca="false">IF($A208="","",(T207+R207+G207+V207))</f>
        <v/>
      </c>
      <c r="X207" s="200" t="str">
        <f aca="false">IF($A208="","",(U207+S207+H207+V207))</f>
        <v/>
      </c>
      <c r="Y207" s="202"/>
      <c r="Z207" s="185" t="str">
        <f aca="false">IF($A208="","",VLOOKUP($A207,Table,MATCH(Z$4,Curves,0)))</f>
        <v/>
      </c>
      <c r="AA207" s="185" t="str">
        <f aca="false">IF($A208="","",VLOOKUP($A207,Table,MATCH(AA$4,Curves,0)))</f>
        <v/>
      </c>
      <c r="AB207" s="185" t="e">
        <f aca="false">SQRT((AA207^2*(A207-$D$3)+Z207^2*(DAY(EOMONTH(A207,0))/2))/AK207)</f>
        <v>#VALUE!</v>
      </c>
      <c r="AC207" s="185" t="str">
        <f aca="false">IF($A208="","",VLOOKUP($A207,Table,MATCH(AC$4,Curves,0)))</f>
        <v/>
      </c>
      <c r="AD207" s="185" t="str">
        <f aca="false">IF($A208="","",VLOOKUP($A207,Table,MATCH(AD$4,Curves,0)))</f>
        <v/>
      </c>
      <c r="AE207" s="185" t="e">
        <f aca="false">SQRT((AD207^2*(A207-$D$3)+AC207^2*(DAY(EOMONTH(A207,0))/2))/AK207)</f>
        <v>#VALUE!</v>
      </c>
      <c r="AF207" s="224" t="e">
        <f aca="false">((Summary!$N$8*(AA207*AD207)*(A207-$D$3))+(Summary!$M$8*Z207*AC207*(AJ207-EOMONTH(EDATE(A207,-1),0))))/(AK207*AB207*AE207)</f>
        <v>#VALUE!</v>
      </c>
      <c r="AG207" s="207" t="str">
        <f aca="false">IF($A208="","",Summary!$Q$8)</f>
        <v/>
      </c>
      <c r="AH207" s="207" t="str">
        <f aca="false">IF($A208="","",IF(Summary!$R$8="Y",(VLOOKUP($A207,Summary!$AD$6:$AF$9,3)+'Escalating commodity'!D220),'Escalating commodity'!D220))</f>
        <v/>
      </c>
      <c r="AI207" s="207" t="str">
        <f aca="false">IF($A208="","",AH207)</f>
        <v/>
      </c>
      <c r="AJ207" s="208" t="e">
        <f aca="false">A207+DAY(EOMONTH(A207,0))/2-1</f>
        <v>#VALUE!</v>
      </c>
      <c r="AK207" s="209" t="str">
        <f aca="false">IF($A208="","",$A207-$E$1)</f>
        <v/>
      </c>
      <c r="AL207" s="182" t="str">
        <f aca="false">IF($A208="","",SPRDOPT(P207,X207,AI207,0,AB207,AE207,AF207,AK207,$AJ$2,0))</f>
        <v/>
      </c>
      <c r="AM207" s="211" t="str">
        <f aca="false">IF($A208="","",MAX(0,O207-W207-AI207))</f>
        <v/>
      </c>
      <c r="AN207" s="211" t="str">
        <f aca="false">IF($A208="","",AL207-AM207)</f>
        <v/>
      </c>
      <c r="AO207" s="137" t="str">
        <f aca="false">IF(A208="","",A208-A207)</f>
        <v/>
      </c>
      <c r="AP207" s="212" t="str">
        <f aca="false">IF(A208="","",CHOOSE(F$3,A208+24,A207))</f>
        <v/>
      </c>
      <c r="AQ207" s="209" t="str">
        <f aca="false">IF(A208="","",AP207-$E$1)</f>
        <v/>
      </c>
      <c r="AR207" s="185" t="n">
        <f aca="false">'ANR OK vs ML7'!AR207</f>
        <v>0.1</v>
      </c>
      <c r="AS207" s="213" t="str">
        <f aca="false">IF(A208="","",1/(1+CHOOSE(F$3,(AR208+($I$3/10000))/2,(AR207+($I$3/10000))/2))^(2*AQ207/365.25))</f>
        <v/>
      </c>
      <c r="AT207" s="137" t="str">
        <f aca="false">IF(A208="","",IF(AND(mthbeg&lt;=A207,mthend&gt;=A207),1,0))</f>
        <v/>
      </c>
      <c r="AU207" s="137" t="str">
        <f aca="false">IF(A208="","",AO207*AT207)</f>
        <v/>
      </c>
      <c r="AW207" s="195" t="str">
        <f aca="false">IF($A208="","",AL207*$E207)</f>
        <v/>
      </c>
      <c r="AX207" s="195" t="str">
        <f aca="false">IF($A208="","",AM207*$E207)</f>
        <v/>
      </c>
      <c r="AY207" s="195" t="str">
        <f aca="false">IF($A208="","",AN207*$E207)</f>
        <v/>
      </c>
      <c r="BA207" s="195" t="str">
        <f aca="false">IF($A208="","",F207*Summary!$Q$8)</f>
        <v/>
      </c>
    </row>
    <row r="208" customFormat="false" ht="12" hidden="false" customHeight="true" outlineLevel="0" collapsed="false">
      <c r="A208" s="196" t="str">
        <f aca="false">IF(A207&lt;mthend,EDATE(A207,1),"")</f>
        <v/>
      </c>
      <c r="B208" s="197" t="n">
        <f aca="false">IF(A208&lt;mthend,B207,0)</f>
        <v>0</v>
      </c>
      <c r="C208" s="215"/>
      <c r="D208" s="197" t="str">
        <f aca="false">IF(A209&lt;&gt;"",B208+C208,"")</f>
        <v/>
      </c>
      <c r="E208" s="199" t="str">
        <f aca="false">IF(A209="","",IF(AND(AT208=1,$H$3=1),D208*AO208,IF($H$3=2,D208,"N/A")))</f>
        <v/>
      </c>
      <c r="F208" s="199" t="str">
        <f aca="false">IF(A209="","",E208*AS208)</f>
        <v/>
      </c>
      <c r="G208" s="200" t="str">
        <f aca="false">IF($A209="","",VLOOKUP($A208,Table,MATCH(G$4,Curves,0)))</f>
        <v/>
      </c>
      <c r="H208" s="201" t="str">
        <f aca="false">IF(A209="","",G208)</f>
        <v/>
      </c>
      <c r="I208" s="202"/>
      <c r="J208" s="200" t="str">
        <f aca="false">IF($A209="","",VLOOKUP($A208,Table,MATCH(J$4,Curves,0)))</f>
        <v/>
      </c>
      <c r="K208" s="201" t="str">
        <f aca="false">IF(A209="","",J208)</f>
        <v/>
      </c>
      <c r="L208" s="200" t="str">
        <f aca="false">IF($A209="","",VLOOKUP($A208,Table,MATCH(L$4,Curves,0)))</f>
        <v/>
      </c>
      <c r="M208" s="201" t="str">
        <f aca="false">IF(A209="","",L208)</f>
        <v/>
      </c>
      <c r="N208" s="203"/>
      <c r="O208" s="200" t="str">
        <f aca="false">IF(A209="","",L208+J208+G208)</f>
        <v/>
      </c>
      <c r="P208" s="200" t="str">
        <f aca="false">IF(A209="","",M208+K208+H208)</f>
        <v/>
      </c>
      <c r="Q208" s="204"/>
      <c r="R208" s="200" t="str">
        <f aca="false">IF($A209="","",VLOOKUP($A208,Table,MATCH(R$4,Curves,0)))</f>
        <v/>
      </c>
      <c r="S208" s="201" t="str">
        <f aca="false">IF(A209="","",R208)</f>
        <v/>
      </c>
      <c r="T208" s="200" t="str">
        <f aca="false">IF($A209="","",VLOOKUP($A208,Table,MATCH(T$4,Curves,0)))</f>
        <v/>
      </c>
      <c r="U208" s="201" t="str">
        <f aca="false">IF(A209="","",T208)</f>
        <v/>
      </c>
      <c r="V208" s="183" t="str">
        <f aca="false">IF($A209="","",IF(AND(MONTH(A208)&gt;3,MONTH(A208)&lt;11),(T208+R208+G208)*Summary!$T$8/(1-Summary!$T$8),(T208+R208+G208)*Summary!$U$8/(1-Summary!$U$8)))</f>
        <v/>
      </c>
      <c r="W208" s="200" t="str">
        <f aca="false">IF($A209="","",(T208+R208+G208+V208))</f>
        <v/>
      </c>
      <c r="X208" s="200" t="str">
        <f aca="false">IF($A209="","",(U208+S208+H208+V208))</f>
        <v/>
      </c>
      <c r="Y208" s="202"/>
      <c r="Z208" s="185" t="str">
        <f aca="false">IF($A209="","",VLOOKUP($A208,Table,MATCH(Z$4,Curves,0)))</f>
        <v/>
      </c>
      <c r="AA208" s="185" t="str">
        <f aca="false">IF($A209="","",VLOOKUP($A208,Table,MATCH(AA$4,Curves,0)))</f>
        <v/>
      </c>
      <c r="AB208" s="185" t="e">
        <f aca="false">SQRT((AA208^2*(A208-$D$3)+Z208^2*(DAY(EOMONTH(A208,0))/2))/AK208)</f>
        <v>#VALUE!</v>
      </c>
      <c r="AC208" s="185" t="str">
        <f aca="false">IF($A209="","",VLOOKUP($A208,Table,MATCH(AC$4,Curves,0)))</f>
        <v/>
      </c>
      <c r="AD208" s="185" t="str">
        <f aca="false">IF($A209="","",VLOOKUP($A208,Table,MATCH(AD$4,Curves,0)))</f>
        <v/>
      </c>
      <c r="AE208" s="185" t="e">
        <f aca="false">SQRT((AD208^2*(A208-$D$3)+AC208^2*(DAY(EOMONTH(A208,0))/2))/AK208)</f>
        <v>#VALUE!</v>
      </c>
      <c r="AF208" s="224" t="e">
        <f aca="false">((Summary!$N$8*(AA208*AD208)*(A208-$D$3))+(Summary!$M$8*Z208*AC208*(AJ208-EOMONTH(EDATE(A208,-1),0))))/(AK208*AB208*AE208)</f>
        <v>#VALUE!</v>
      </c>
      <c r="AG208" s="207" t="str">
        <f aca="false">IF($A209="","",Summary!$Q$8)</f>
        <v/>
      </c>
      <c r="AH208" s="207" t="str">
        <f aca="false">IF($A209="","",IF(Summary!$R$8="Y",(VLOOKUP($A208,Summary!$AD$6:$AF$9,3)+'Escalating commodity'!D221),'Escalating commodity'!D221))</f>
        <v/>
      </c>
      <c r="AI208" s="207" t="str">
        <f aca="false">IF($A209="","",AH208)</f>
        <v/>
      </c>
      <c r="AJ208" s="208" t="e">
        <f aca="false">A208+DAY(EOMONTH(A208,0))/2-1</f>
        <v>#VALUE!</v>
      </c>
      <c r="AK208" s="209" t="str">
        <f aca="false">IF($A209="","",$A208-$E$1)</f>
        <v/>
      </c>
      <c r="AL208" s="182" t="str">
        <f aca="false">IF($A209="","",SPRDOPT(P208,X208,AI208,0,AB208,AE208,AF208,AK208,$AJ$2,0))</f>
        <v/>
      </c>
      <c r="AM208" s="211" t="str">
        <f aca="false">IF($A209="","",MAX(0,O208-W208-AI208))</f>
        <v/>
      </c>
      <c r="AN208" s="211" t="str">
        <f aca="false">IF($A209="","",AL208-AM208)</f>
        <v/>
      </c>
      <c r="AO208" s="137" t="str">
        <f aca="false">IF(A209="","",A209-A208)</f>
        <v/>
      </c>
      <c r="AP208" s="212" t="str">
        <f aca="false">IF(A209="","",CHOOSE(F$3,A209+24,A208))</f>
        <v/>
      </c>
      <c r="AQ208" s="209" t="str">
        <f aca="false">IF(A209="","",AP208-$E$1)</f>
        <v/>
      </c>
      <c r="AR208" s="185" t="n">
        <f aca="false">'ANR OK vs ML7'!AR208</f>
        <v>0.1</v>
      </c>
      <c r="AS208" s="213" t="str">
        <f aca="false">IF(A209="","",1/(1+CHOOSE(F$3,(AR209+($I$3/10000))/2,(AR208+($I$3/10000))/2))^(2*AQ208/365.25))</f>
        <v/>
      </c>
      <c r="AT208" s="137" t="str">
        <f aca="false">IF(A209="","",IF(AND(mthbeg&lt;=A208,mthend&gt;=A208),1,0))</f>
        <v/>
      </c>
      <c r="AU208" s="137" t="str">
        <f aca="false">IF(A209="","",AO208*AT208)</f>
        <v/>
      </c>
      <c r="AW208" s="195" t="str">
        <f aca="false">IF($A209="","",AL208*$E208)</f>
        <v/>
      </c>
      <c r="AX208" s="195" t="str">
        <f aca="false">IF($A209="","",AM208*$E208)</f>
        <v/>
      </c>
      <c r="AY208" s="195" t="str">
        <f aca="false">IF($A209="","",AN208*$E208)</f>
        <v/>
      </c>
      <c r="BA208" s="195" t="str">
        <f aca="false">IF($A209="","",F208*Summary!$Q$8)</f>
        <v/>
      </c>
    </row>
    <row r="209" customFormat="false" ht="12" hidden="false" customHeight="true" outlineLevel="0" collapsed="false">
      <c r="A209" s="196" t="str">
        <f aca="false">IF(A208&lt;mthend,EDATE(A208,1),"")</f>
        <v/>
      </c>
      <c r="B209" s="197" t="n">
        <f aca="false">IF(A209&lt;mthend,B208,0)</f>
        <v>0</v>
      </c>
      <c r="C209" s="215"/>
      <c r="D209" s="197" t="str">
        <f aca="false">IF(A210&lt;&gt;"",B209+C209,"")</f>
        <v/>
      </c>
      <c r="E209" s="199" t="str">
        <f aca="false">IF(A210="","",IF(AND(AT209=1,$H$3=1),D209*AO209,IF($H$3=2,D209,"N/A")))</f>
        <v/>
      </c>
      <c r="F209" s="199" t="str">
        <f aca="false">IF(A210="","",E209*AS209)</f>
        <v/>
      </c>
      <c r="G209" s="200" t="str">
        <f aca="false">IF($A210="","",VLOOKUP($A209,Table,MATCH(G$4,Curves,0)))</f>
        <v/>
      </c>
      <c r="H209" s="201" t="str">
        <f aca="false">IF(A210="","",G209)</f>
        <v/>
      </c>
      <c r="I209" s="202"/>
      <c r="J209" s="200" t="str">
        <f aca="false">IF($A210="","",VLOOKUP($A209,Table,MATCH(J$4,Curves,0)))</f>
        <v/>
      </c>
      <c r="K209" s="201" t="str">
        <f aca="false">IF(A210="","",J209)</f>
        <v/>
      </c>
      <c r="L209" s="200" t="str">
        <f aca="false">IF($A210="","",VLOOKUP($A209,Table,MATCH(L$4,Curves,0)))</f>
        <v/>
      </c>
      <c r="M209" s="201" t="str">
        <f aca="false">IF(A210="","",L209)</f>
        <v/>
      </c>
      <c r="N209" s="203"/>
      <c r="O209" s="200" t="str">
        <f aca="false">IF(A210="","",L209+J209+G209)</f>
        <v/>
      </c>
      <c r="P209" s="200" t="str">
        <f aca="false">IF(A210="","",M209+K209+H209)</f>
        <v/>
      </c>
      <c r="Q209" s="204"/>
      <c r="R209" s="200" t="str">
        <f aca="false">IF($A210="","",VLOOKUP($A209,Table,MATCH(R$4,Curves,0)))</f>
        <v/>
      </c>
      <c r="S209" s="201" t="str">
        <f aca="false">IF(A210="","",R209)</f>
        <v/>
      </c>
      <c r="T209" s="200" t="str">
        <f aca="false">IF($A210="","",VLOOKUP($A209,Table,MATCH(T$4,Curves,0)))</f>
        <v/>
      </c>
      <c r="U209" s="201" t="str">
        <f aca="false">IF(A210="","",T209)</f>
        <v/>
      </c>
      <c r="V209" s="183" t="str">
        <f aca="false">IF($A210="","",IF(AND(MONTH(A209)&gt;3,MONTH(A209)&lt;11),(T209+R209+G209)*Summary!$T$8/(1-Summary!$T$8),(T209+R209+G209)*Summary!$U$8/(1-Summary!$U$8)))</f>
        <v/>
      </c>
      <c r="W209" s="200" t="str">
        <f aca="false">IF($A210="","",(T209+R209+G209+V209))</f>
        <v/>
      </c>
      <c r="X209" s="200" t="str">
        <f aca="false">IF($A210="","",(U209+S209+H209+V209))</f>
        <v/>
      </c>
      <c r="Y209" s="202"/>
      <c r="Z209" s="185" t="str">
        <f aca="false">IF($A210="","",VLOOKUP($A209,Table,MATCH(Z$4,Curves,0)))</f>
        <v/>
      </c>
      <c r="AA209" s="185" t="str">
        <f aca="false">IF($A210="","",VLOOKUP($A209,Table,MATCH(AA$4,Curves,0)))</f>
        <v/>
      </c>
      <c r="AB209" s="185" t="e">
        <f aca="false">SQRT((AA209^2*(A209-$D$3)+Z209^2*(DAY(EOMONTH(A209,0))/2))/AK209)</f>
        <v>#VALUE!</v>
      </c>
      <c r="AC209" s="185" t="str">
        <f aca="false">IF($A210="","",VLOOKUP($A209,Table,MATCH(AC$4,Curves,0)))</f>
        <v/>
      </c>
      <c r="AD209" s="185" t="str">
        <f aca="false">IF($A210="","",VLOOKUP($A209,Table,MATCH(AD$4,Curves,0)))</f>
        <v/>
      </c>
      <c r="AE209" s="185" t="e">
        <f aca="false">SQRT((AD209^2*(A209-$D$3)+AC209^2*(DAY(EOMONTH(A209,0))/2))/AK209)</f>
        <v>#VALUE!</v>
      </c>
      <c r="AF209" s="224" t="e">
        <f aca="false">((Summary!$N$8*(AA209*AD209)*(A209-$D$3))+(Summary!$M$8*Z209*AC209*(AJ209-EOMONTH(EDATE(A209,-1),0))))/(AK209*AB209*AE209)</f>
        <v>#VALUE!</v>
      </c>
      <c r="AG209" s="207" t="str">
        <f aca="false">IF($A210="","",Summary!$Q$8)</f>
        <v/>
      </c>
      <c r="AH209" s="207" t="str">
        <f aca="false">IF($A210="","",IF(Summary!$R$8="Y",(VLOOKUP($A209,Summary!$AD$6:$AF$9,3)+'Escalating commodity'!D222),'Escalating commodity'!D222))</f>
        <v/>
      </c>
      <c r="AI209" s="207" t="str">
        <f aca="false">IF($A210="","",AH209)</f>
        <v/>
      </c>
      <c r="AJ209" s="208" t="e">
        <f aca="false">A209+DAY(EOMONTH(A209,0))/2-1</f>
        <v>#VALUE!</v>
      </c>
      <c r="AK209" s="209" t="str">
        <f aca="false">IF($A210="","",$A209-$E$1)</f>
        <v/>
      </c>
      <c r="AL209" s="182" t="str">
        <f aca="false">IF($A210="","",SPRDOPT(P209,X209,AI209,0,AB209,AE209,AF209,AK209,$AJ$2,0))</f>
        <v/>
      </c>
      <c r="AM209" s="211" t="str">
        <f aca="false">IF($A210="","",MAX(0,O209-W209-AI209))</f>
        <v/>
      </c>
      <c r="AN209" s="211" t="str">
        <f aca="false">IF($A210="","",AL209-AM209)</f>
        <v/>
      </c>
      <c r="AO209" s="137" t="str">
        <f aca="false">IF(A210="","",A210-A209)</f>
        <v/>
      </c>
      <c r="AP209" s="212" t="str">
        <f aca="false">IF(A210="","",CHOOSE(F$3,A210+24,A209))</f>
        <v/>
      </c>
      <c r="AQ209" s="209" t="str">
        <f aca="false">IF(A210="","",AP209-$E$1)</f>
        <v/>
      </c>
      <c r="AR209" s="185" t="n">
        <f aca="false">'ANR OK vs ML7'!AR209</f>
        <v>0.1</v>
      </c>
      <c r="AS209" s="213" t="str">
        <f aca="false">IF(A210="","",1/(1+CHOOSE(F$3,(AR210+($I$3/10000))/2,(AR209+($I$3/10000))/2))^(2*AQ209/365.25))</f>
        <v/>
      </c>
      <c r="AT209" s="137" t="str">
        <f aca="false">IF(A210="","",IF(AND(mthbeg&lt;=A209,mthend&gt;=A209),1,0))</f>
        <v/>
      </c>
      <c r="AU209" s="137" t="str">
        <f aca="false">IF(A210="","",AO209*AT209)</f>
        <v/>
      </c>
      <c r="AW209" s="195" t="str">
        <f aca="false">IF($A210="","",AL209*$E209)</f>
        <v/>
      </c>
      <c r="AX209" s="195" t="str">
        <f aca="false">IF($A210="","",AM209*$E209)</f>
        <v/>
      </c>
      <c r="AY209" s="195" t="str">
        <f aca="false">IF($A210="","",AN209*$E209)</f>
        <v/>
      </c>
      <c r="BA209" s="195" t="str">
        <f aca="false">IF($A210="","",F209*Summary!$Q$8)</f>
        <v/>
      </c>
    </row>
    <row r="210" customFormat="false" ht="12" hidden="false" customHeight="true" outlineLevel="0" collapsed="false">
      <c r="A210" s="196" t="str">
        <f aca="false">IF(A209&lt;mthend,EDATE(A209,1),"")</f>
        <v/>
      </c>
      <c r="B210" s="197" t="n">
        <f aca="false">IF(A210&lt;mthend,B209,0)</f>
        <v>0</v>
      </c>
      <c r="C210" s="215"/>
      <c r="D210" s="197" t="str">
        <f aca="false">IF(A211&lt;&gt;"",B210+C210,"")</f>
        <v/>
      </c>
      <c r="E210" s="199" t="str">
        <f aca="false">IF(A211="","",IF(AND(AT210=1,$H$3=1),D210*AO210,IF($H$3=2,D210,"N/A")))</f>
        <v/>
      </c>
      <c r="F210" s="199" t="str">
        <f aca="false">IF(A211="","",E210*AS210)</f>
        <v/>
      </c>
      <c r="G210" s="200" t="str">
        <f aca="false">IF($A211="","",VLOOKUP($A210,Table,MATCH(G$4,Curves,0)))</f>
        <v/>
      </c>
      <c r="H210" s="201" t="str">
        <f aca="false">IF(A211="","",G210)</f>
        <v/>
      </c>
      <c r="I210" s="202"/>
      <c r="J210" s="200" t="str">
        <f aca="false">IF($A211="","",VLOOKUP($A210,Table,MATCH(J$4,Curves,0)))</f>
        <v/>
      </c>
      <c r="K210" s="201" t="str">
        <f aca="false">IF(A211="","",J210)</f>
        <v/>
      </c>
      <c r="L210" s="200" t="str">
        <f aca="false">IF($A211="","",VLOOKUP($A210,Table,MATCH(L$4,Curves,0)))</f>
        <v/>
      </c>
      <c r="M210" s="201" t="str">
        <f aca="false">IF(A211="","",L210)</f>
        <v/>
      </c>
      <c r="N210" s="203"/>
      <c r="O210" s="200" t="str">
        <f aca="false">IF(A211="","",L210+J210+G210)</f>
        <v/>
      </c>
      <c r="P210" s="200" t="str">
        <f aca="false">IF(A211="","",M210+K210+H210)</f>
        <v/>
      </c>
      <c r="Q210" s="204"/>
      <c r="R210" s="200" t="str">
        <f aca="false">IF($A211="","",VLOOKUP($A210,Table,MATCH(R$4,Curves,0)))</f>
        <v/>
      </c>
      <c r="S210" s="201" t="str">
        <f aca="false">IF(A211="","",R210)</f>
        <v/>
      </c>
      <c r="T210" s="200" t="str">
        <f aca="false">IF($A211="","",VLOOKUP($A210,Table,MATCH(T$4,Curves,0)))</f>
        <v/>
      </c>
      <c r="U210" s="201" t="str">
        <f aca="false">IF(A211="","",T210)</f>
        <v/>
      </c>
      <c r="V210" s="183" t="str">
        <f aca="false">IF($A211="","",IF(AND(MONTH(A210)&gt;3,MONTH(A210)&lt;11),(T210+R210+G210)*Summary!$T$8/(1-Summary!$T$8),(T210+R210+G210)*Summary!$U$8/(1-Summary!$U$8)))</f>
        <v/>
      </c>
      <c r="W210" s="200" t="str">
        <f aca="false">IF($A211="","",(T210+R210+G210+V210))</f>
        <v/>
      </c>
      <c r="X210" s="200" t="str">
        <f aca="false">IF($A211="","",(U210+S210+H210+V210))</f>
        <v/>
      </c>
      <c r="Y210" s="202"/>
      <c r="Z210" s="185" t="str">
        <f aca="false">IF($A211="","",VLOOKUP($A210,Table,MATCH(Z$4,Curves,0)))</f>
        <v/>
      </c>
      <c r="AA210" s="185" t="str">
        <f aca="false">IF($A211="","",VLOOKUP($A210,Table,MATCH(AA$4,Curves,0)))</f>
        <v/>
      </c>
      <c r="AB210" s="185" t="e">
        <f aca="false">SQRT((AA210^2*(A210-$D$3)+Z210^2*(DAY(EOMONTH(A210,0))/2))/AK210)</f>
        <v>#VALUE!</v>
      </c>
      <c r="AC210" s="185" t="str">
        <f aca="false">IF($A211="","",VLOOKUP($A210,Table,MATCH(AC$4,Curves,0)))</f>
        <v/>
      </c>
      <c r="AD210" s="185" t="str">
        <f aca="false">IF($A211="","",VLOOKUP($A210,Table,MATCH(AD$4,Curves,0)))</f>
        <v/>
      </c>
      <c r="AE210" s="185" t="e">
        <f aca="false">SQRT((AD210^2*(A210-$D$3)+AC210^2*(DAY(EOMONTH(A210,0))/2))/AK210)</f>
        <v>#VALUE!</v>
      </c>
      <c r="AF210" s="224" t="e">
        <f aca="false">((Summary!$N$8*(AA210*AD210)*(A210-$D$3))+(Summary!$M$8*Z210*AC210*(AJ210-EOMONTH(EDATE(A210,-1),0))))/(AK210*AB210*AE210)</f>
        <v>#VALUE!</v>
      </c>
      <c r="AG210" s="207" t="str">
        <f aca="false">IF($A211="","",Summary!$Q$8)</f>
        <v/>
      </c>
      <c r="AH210" s="207" t="str">
        <f aca="false">IF($A211="","",IF(Summary!$R$8="Y",(VLOOKUP($A210,Summary!$AD$6:$AF$9,3)+'Escalating commodity'!D223),'Escalating commodity'!D223))</f>
        <v/>
      </c>
      <c r="AI210" s="207" t="str">
        <f aca="false">IF($A211="","",AH210)</f>
        <v/>
      </c>
      <c r="AJ210" s="208" t="e">
        <f aca="false">A210+DAY(EOMONTH(A210,0))/2-1</f>
        <v>#VALUE!</v>
      </c>
      <c r="AK210" s="209" t="str">
        <f aca="false">IF($A211="","",$A210-$E$1)</f>
        <v/>
      </c>
      <c r="AL210" s="182" t="str">
        <f aca="false">IF($A211="","",SPRDOPT(P210,X210,AI210,0,AB210,AE210,AF210,AK210,$AJ$2,0))</f>
        <v/>
      </c>
      <c r="AM210" s="211" t="str">
        <f aca="false">IF($A211="","",MAX(0,O210-W210-AI210))</f>
        <v/>
      </c>
      <c r="AN210" s="211" t="str">
        <f aca="false">IF($A211="","",AL210-AM210)</f>
        <v/>
      </c>
      <c r="AO210" s="137" t="str">
        <f aca="false">IF(A211="","",A211-A210)</f>
        <v/>
      </c>
      <c r="AP210" s="212" t="str">
        <f aca="false">IF(A211="","",CHOOSE(F$3,A211+24,A210))</f>
        <v/>
      </c>
      <c r="AQ210" s="209" t="str">
        <f aca="false">IF(A211="","",AP210-$E$1)</f>
        <v/>
      </c>
      <c r="AR210" s="185" t="n">
        <f aca="false">'ANR OK vs ML7'!AR210</f>
        <v>0.1</v>
      </c>
      <c r="AS210" s="213" t="str">
        <f aca="false">IF(A211="","",1/(1+CHOOSE(F$3,(AR211+($I$3/10000))/2,(AR210+($I$3/10000))/2))^(2*AQ210/365.25))</f>
        <v/>
      </c>
      <c r="AT210" s="137" t="str">
        <f aca="false">IF(A211="","",IF(AND(mthbeg&lt;=A210,mthend&gt;=A210),1,0))</f>
        <v/>
      </c>
      <c r="AU210" s="137" t="str">
        <f aca="false">IF(A211="","",AO210*AT210)</f>
        <v/>
      </c>
      <c r="AW210" s="195" t="str">
        <f aca="false">IF($A211="","",AL210*$E210)</f>
        <v/>
      </c>
      <c r="AX210" s="195" t="str">
        <f aca="false">IF($A211="","",AM210*$E210)</f>
        <v/>
      </c>
      <c r="AY210" s="195" t="str">
        <f aca="false">IF($A211="","",AN210*$E210)</f>
        <v/>
      </c>
      <c r="BA210" s="195" t="str">
        <f aca="false">IF($A211="","",F210*Summary!$Q$8)</f>
        <v/>
      </c>
    </row>
    <row r="211" customFormat="false" ht="12" hidden="false" customHeight="true" outlineLevel="0" collapsed="false">
      <c r="A211" s="196" t="str">
        <f aca="false">IF(A210&lt;mthend,EDATE(A210,1),"")</f>
        <v/>
      </c>
      <c r="B211" s="197" t="n">
        <f aca="false">IF(A211&lt;mthend,B210,0)</f>
        <v>0</v>
      </c>
      <c r="C211" s="215"/>
      <c r="D211" s="197" t="str">
        <f aca="false">IF(A212&lt;&gt;"",B211+C211,"")</f>
        <v/>
      </c>
      <c r="E211" s="199" t="str">
        <f aca="false">IF(A212="","",IF(AND(AT211=1,$H$3=1),D211*AO211,IF($H$3=2,D211,"N/A")))</f>
        <v/>
      </c>
      <c r="F211" s="199" t="str">
        <f aca="false">IF(A212="","",E211*AS211)</f>
        <v/>
      </c>
      <c r="G211" s="200" t="str">
        <f aca="false">IF($A212="","",VLOOKUP($A211,Table,MATCH(G$4,Curves,0)))</f>
        <v/>
      </c>
      <c r="H211" s="201" t="str">
        <f aca="false">IF(A212="","",G211)</f>
        <v/>
      </c>
      <c r="I211" s="202"/>
      <c r="J211" s="200" t="str">
        <f aca="false">IF($A212="","",VLOOKUP($A211,Table,MATCH(J$4,Curves,0)))</f>
        <v/>
      </c>
      <c r="K211" s="201" t="str">
        <f aca="false">IF(A212="","",J211)</f>
        <v/>
      </c>
      <c r="L211" s="200" t="str">
        <f aca="false">IF($A212="","",VLOOKUP($A211,Table,MATCH(L$4,Curves,0)))</f>
        <v/>
      </c>
      <c r="M211" s="201" t="str">
        <f aca="false">IF(A212="","",L211)</f>
        <v/>
      </c>
      <c r="N211" s="203"/>
      <c r="O211" s="200" t="str">
        <f aca="false">IF(A212="","",L211+J211+G211)</f>
        <v/>
      </c>
      <c r="P211" s="200" t="str">
        <f aca="false">IF(A212="","",M211+K211+H211)</f>
        <v/>
      </c>
      <c r="Q211" s="204"/>
      <c r="R211" s="200" t="str">
        <f aca="false">IF($A212="","",VLOOKUP($A211,Table,MATCH(R$4,Curves,0)))</f>
        <v/>
      </c>
      <c r="S211" s="201" t="str">
        <f aca="false">IF(A212="","",R211)</f>
        <v/>
      </c>
      <c r="T211" s="200" t="str">
        <f aca="false">IF($A212="","",VLOOKUP($A211,Table,MATCH(T$4,Curves,0)))</f>
        <v/>
      </c>
      <c r="U211" s="201" t="str">
        <f aca="false">IF(A212="","",T211)</f>
        <v/>
      </c>
      <c r="V211" s="183" t="str">
        <f aca="false">IF($A212="","",IF(AND(MONTH(A211)&gt;3,MONTH(A211)&lt;11),(T211+R211+G211)*Summary!$T$8/(1-Summary!$T$8),(T211+R211+G211)*Summary!$U$8/(1-Summary!$U$8)))</f>
        <v/>
      </c>
      <c r="W211" s="200" t="str">
        <f aca="false">IF($A212="","",(T211+R211+G211+V211))</f>
        <v/>
      </c>
      <c r="X211" s="200" t="str">
        <f aca="false">IF($A212="","",(U211+S211+H211+V211))</f>
        <v/>
      </c>
      <c r="Y211" s="202"/>
      <c r="Z211" s="185" t="str">
        <f aca="false">IF($A212="","",VLOOKUP($A211,Table,MATCH(Z$4,Curves,0)))</f>
        <v/>
      </c>
      <c r="AA211" s="185" t="str">
        <f aca="false">IF($A212="","",VLOOKUP($A211,Table,MATCH(AA$4,Curves,0)))</f>
        <v/>
      </c>
      <c r="AB211" s="185" t="e">
        <f aca="false">SQRT((AA211^2*(A211-$D$3)+Z211^2*(DAY(EOMONTH(A211,0))/2))/AK211)</f>
        <v>#VALUE!</v>
      </c>
      <c r="AC211" s="185" t="str">
        <f aca="false">IF($A212="","",VLOOKUP($A211,Table,MATCH(AC$4,Curves,0)))</f>
        <v/>
      </c>
      <c r="AD211" s="185" t="str">
        <f aca="false">IF($A212="","",VLOOKUP($A211,Table,MATCH(AD$4,Curves,0)))</f>
        <v/>
      </c>
      <c r="AE211" s="185" t="e">
        <f aca="false">SQRT((AD211^2*(A211-$D$3)+AC211^2*(DAY(EOMONTH(A211,0))/2))/AK211)</f>
        <v>#VALUE!</v>
      </c>
      <c r="AF211" s="224" t="e">
        <f aca="false">((Summary!$N$8*(AA211*AD211)*(A211-$D$3))+(Summary!$M$8*Z211*AC211*(AJ211-EOMONTH(EDATE(A211,-1),0))))/(AK211*AB211*AE211)</f>
        <v>#VALUE!</v>
      </c>
      <c r="AG211" s="207" t="str">
        <f aca="false">IF($A212="","",Summary!$Q$8)</f>
        <v/>
      </c>
      <c r="AH211" s="207" t="str">
        <f aca="false">IF($A212="","",IF(Summary!$R$8="Y",(VLOOKUP($A211,Summary!$AD$6:$AF$9,3)+'Escalating commodity'!D224),'Escalating commodity'!D224))</f>
        <v/>
      </c>
      <c r="AI211" s="207" t="str">
        <f aca="false">IF($A212="","",AH211)</f>
        <v/>
      </c>
      <c r="AJ211" s="208" t="e">
        <f aca="false">A211+DAY(EOMONTH(A211,0))/2-1</f>
        <v>#VALUE!</v>
      </c>
      <c r="AK211" s="209" t="str">
        <f aca="false">IF($A212="","",$A211-$E$1)</f>
        <v/>
      </c>
      <c r="AL211" s="182" t="str">
        <f aca="false">IF($A212="","",SPRDOPT(P211,X211,AI211,0,AB211,AE211,AF211,AK211,$AJ$2,0))</f>
        <v/>
      </c>
      <c r="AM211" s="211" t="str">
        <f aca="false">IF($A212="","",MAX(0,O211-W211-AI211))</f>
        <v/>
      </c>
      <c r="AN211" s="211" t="str">
        <f aca="false">IF($A212="","",AL211-AM211)</f>
        <v/>
      </c>
      <c r="AO211" s="137" t="str">
        <f aca="false">IF(A212="","",A212-A211)</f>
        <v/>
      </c>
      <c r="AP211" s="212" t="str">
        <f aca="false">IF(A212="","",CHOOSE(F$3,A212+24,A211))</f>
        <v/>
      </c>
      <c r="AQ211" s="209" t="str">
        <f aca="false">IF(A212="","",AP211-$E$1)</f>
        <v/>
      </c>
      <c r="AR211" s="185" t="n">
        <f aca="false">'ANR OK vs ML7'!AR211</f>
        <v>0.1</v>
      </c>
      <c r="AS211" s="213" t="str">
        <f aca="false">IF(A212="","",1/(1+CHOOSE(F$3,(AR212+($I$3/10000))/2,(AR211+($I$3/10000))/2))^(2*AQ211/365.25))</f>
        <v/>
      </c>
      <c r="AT211" s="137" t="str">
        <f aca="false">IF(A212="","",IF(AND(mthbeg&lt;=A211,mthend&gt;=A211),1,0))</f>
        <v/>
      </c>
      <c r="AU211" s="137" t="str">
        <f aca="false">IF(A212="","",AO211*AT211)</f>
        <v/>
      </c>
      <c r="AW211" s="195" t="str">
        <f aca="false">IF($A212="","",AL211*$E211)</f>
        <v/>
      </c>
      <c r="AX211" s="195" t="str">
        <f aca="false">IF($A212="","",AM211*$E211)</f>
        <v/>
      </c>
      <c r="AY211" s="195" t="str">
        <f aca="false">IF($A212="","",AN211*$E211)</f>
        <v/>
      </c>
      <c r="BA211" s="195" t="str">
        <f aca="false">IF($A212="","",F211*Summary!$Q$8)</f>
        <v/>
      </c>
    </row>
    <row r="212" customFormat="false" ht="12" hidden="false" customHeight="true" outlineLevel="0" collapsed="false">
      <c r="A212" s="196" t="str">
        <f aca="false">IF(A211&lt;mthend,EDATE(A211,1),"")</f>
        <v/>
      </c>
      <c r="B212" s="197" t="n">
        <f aca="false">IF(A212&lt;mthend,B211,0)</f>
        <v>0</v>
      </c>
      <c r="C212" s="215"/>
      <c r="D212" s="197" t="str">
        <f aca="false">IF(A213&lt;&gt;"",B212+C212,"")</f>
        <v/>
      </c>
      <c r="E212" s="199" t="str">
        <f aca="false">IF(A213="","",IF(AND(AT212=1,$H$3=1),D212*AO212,IF($H$3=2,D212,"N/A")))</f>
        <v/>
      </c>
      <c r="F212" s="199" t="str">
        <f aca="false">IF(A213="","",E212*AS212)</f>
        <v/>
      </c>
      <c r="G212" s="200" t="str">
        <f aca="false">IF($A213="","",VLOOKUP($A212,Table,MATCH(G$4,Curves,0)))</f>
        <v/>
      </c>
      <c r="H212" s="201" t="str">
        <f aca="false">IF(A213="","",G212)</f>
        <v/>
      </c>
      <c r="I212" s="202"/>
      <c r="J212" s="200" t="str">
        <f aca="false">IF($A213="","",VLOOKUP($A212,Table,MATCH(J$4,Curves,0)))</f>
        <v/>
      </c>
      <c r="K212" s="201" t="str">
        <f aca="false">IF(A213="","",J212)</f>
        <v/>
      </c>
      <c r="L212" s="200" t="str">
        <f aca="false">IF($A213="","",VLOOKUP($A212,Table,MATCH(L$4,Curves,0)))</f>
        <v/>
      </c>
      <c r="M212" s="201" t="str">
        <f aca="false">IF(A213="","",L212)</f>
        <v/>
      </c>
      <c r="N212" s="203"/>
      <c r="O212" s="200" t="str">
        <f aca="false">IF(A213="","",L212+J212+G212)</f>
        <v/>
      </c>
      <c r="P212" s="200" t="str">
        <f aca="false">IF(A213="","",M212+K212+H212)</f>
        <v/>
      </c>
      <c r="Q212" s="204"/>
      <c r="R212" s="200" t="str">
        <f aca="false">IF($A213="","",VLOOKUP($A212,Table,MATCH(R$4,Curves,0)))</f>
        <v/>
      </c>
      <c r="S212" s="201" t="str">
        <f aca="false">IF(A213="","",R212)</f>
        <v/>
      </c>
      <c r="T212" s="200" t="str">
        <f aca="false">IF($A213="","",VLOOKUP($A212,Table,MATCH(T$4,Curves,0)))</f>
        <v/>
      </c>
      <c r="U212" s="201" t="str">
        <f aca="false">IF(A213="","",T212)</f>
        <v/>
      </c>
      <c r="V212" s="183" t="str">
        <f aca="false">IF($A213="","",IF(AND(MONTH(A212)&gt;3,MONTH(A212)&lt;11),(T212+R212+G212)*Summary!$T$8/(1-Summary!$T$8),(T212+R212+G212)*Summary!$U$8/(1-Summary!$U$8)))</f>
        <v/>
      </c>
      <c r="W212" s="200" t="str">
        <f aca="false">IF($A213="","",(T212+R212+G212+V212))</f>
        <v/>
      </c>
      <c r="X212" s="200" t="str">
        <f aca="false">IF($A213="","",(U212+S212+H212+V212))</f>
        <v/>
      </c>
      <c r="Y212" s="202"/>
      <c r="Z212" s="185" t="str">
        <f aca="false">IF($A213="","",VLOOKUP($A212,Table,MATCH(Z$4,Curves,0)))</f>
        <v/>
      </c>
      <c r="AA212" s="185" t="str">
        <f aca="false">IF($A213="","",VLOOKUP($A212,Table,MATCH(AA$4,Curves,0)))</f>
        <v/>
      </c>
      <c r="AB212" s="185" t="e">
        <f aca="false">SQRT((AA212^2*(A212-$D$3)+Z212^2*(DAY(EOMONTH(A212,0))/2))/AK212)</f>
        <v>#VALUE!</v>
      </c>
      <c r="AC212" s="185" t="str">
        <f aca="false">IF($A213="","",VLOOKUP($A212,Table,MATCH(AC$4,Curves,0)))</f>
        <v/>
      </c>
      <c r="AD212" s="185" t="str">
        <f aca="false">IF($A213="","",VLOOKUP($A212,Table,MATCH(AD$4,Curves,0)))</f>
        <v/>
      </c>
      <c r="AE212" s="185" t="e">
        <f aca="false">SQRT((AD212^2*(A212-$D$3)+AC212^2*(DAY(EOMONTH(A212,0))/2))/AK212)</f>
        <v>#VALUE!</v>
      </c>
      <c r="AF212" s="224" t="e">
        <f aca="false">((Summary!$N$8*(AA212*AD212)*(A212-$D$3))+(Summary!$M$8*Z212*AC212*(AJ212-EOMONTH(EDATE(A212,-1),0))))/(AK212*AB212*AE212)</f>
        <v>#VALUE!</v>
      </c>
      <c r="AG212" s="207" t="str">
        <f aca="false">IF($A213="","",Summary!$Q$8)</f>
        <v/>
      </c>
      <c r="AH212" s="207" t="str">
        <f aca="false">IF($A213="","",IF(Summary!$R$8="Y",(VLOOKUP($A212,Summary!$AD$6:$AF$9,3)+'Escalating commodity'!D225),'Escalating commodity'!D225))</f>
        <v/>
      </c>
      <c r="AI212" s="207" t="str">
        <f aca="false">IF($A213="","",AH212)</f>
        <v/>
      </c>
      <c r="AJ212" s="208" t="e">
        <f aca="false">A212+DAY(EOMONTH(A212,0))/2-1</f>
        <v>#VALUE!</v>
      </c>
      <c r="AK212" s="209" t="str">
        <f aca="false">IF($A213="","",$A212-$E$1)</f>
        <v/>
      </c>
      <c r="AL212" s="182" t="str">
        <f aca="false">IF($A213="","",SPRDOPT(P212,X212,AI212,0,AB212,AE212,AF212,AK212,$AJ$2,0))</f>
        <v/>
      </c>
      <c r="AM212" s="211" t="str">
        <f aca="false">IF($A213="","",MAX(0,O212-W212-AI212))</f>
        <v/>
      </c>
      <c r="AN212" s="211" t="str">
        <f aca="false">IF($A213="","",AL212-AM212)</f>
        <v/>
      </c>
      <c r="AO212" s="137" t="str">
        <f aca="false">IF(A213="","",A213-A212)</f>
        <v/>
      </c>
      <c r="AP212" s="212" t="str">
        <f aca="false">IF(A213="","",CHOOSE(F$3,A213+24,A212))</f>
        <v/>
      </c>
      <c r="AQ212" s="209" t="str">
        <f aca="false">IF(A213="","",AP212-$E$1)</f>
        <v/>
      </c>
      <c r="AR212" s="185" t="n">
        <f aca="false">'ANR OK vs ML7'!AR212</f>
        <v>0.1</v>
      </c>
      <c r="AS212" s="213" t="str">
        <f aca="false">IF(A213="","",1/(1+CHOOSE(F$3,(AR213+($I$3/10000))/2,(AR212+($I$3/10000))/2))^(2*AQ212/365.25))</f>
        <v/>
      </c>
      <c r="AT212" s="137" t="str">
        <f aca="false">IF(A213="","",IF(AND(mthbeg&lt;=A212,mthend&gt;=A212),1,0))</f>
        <v/>
      </c>
      <c r="AU212" s="137" t="str">
        <f aca="false">IF(A213="","",AO212*AT212)</f>
        <v/>
      </c>
      <c r="AW212" s="195" t="str">
        <f aca="false">IF($A213="","",AL212*$E212)</f>
        <v/>
      </c>
      <c r="AX212" s="195" t="str">
        <f aca="false">IF($A213="","",AM212*$E212)</f>
        <v/>
      </c>
      <c r="AY212" s="195" t="str">
        <f aca="false">IF($A213="","",AN212*$E212)</f>
        <v/>
      </c>
      <c r="BA212" s="195" t="str">
        <f aca="false">IF($A213="","",F212*Summary!$Q$8)</f>
        <v/>
      </c>
    </row>
    <row r="213" customFormat="false" ht="12" hidden="false" customHeight="true" outlineLevel="0" collapsed="false">
      <c r="A213" s="196" t="str">
        <f aca="false">IF(A212&lt;mthend,EDATE(A212,1),"")</f>
        <v/>
      </c>
      <c r="B213" s="197" t="n">
        <f aca="false">IF(A213&lt;mthend,B212,0)</f>
        <v>0</v>
      </c>
      <c r="C213" s="215"/>
      <c r="D213" s="197" t="str">
        <f aca="false">IF(A214&lt;&gt;"",B213+C213,"")</f>
        <v/>
      </c>
      <c r="E213" s="199" t="str">
        <f aca="false">IF(A214="","",IF(AND(AT213=1,$H$3=1),D213*AO213,IF($H$3=2,D213,"N/A")))</f>
        <v/>
      </c>
      <c r="F213" s="199" t="str">
        <f aca="false">IF(A214="","",E213*AS213)</f>
        <v/>
      </c>
      <c r="G213" s="200" t="str">
        <f aca="false">IF($A214="","",VLOOKUP($A213,Table,MATCH(G$4,Curves,0)))</f>
        <v/>
      </c>
      <c r="H213" s="201" t="str">
        <f aca="false">IF(A214="","",G213)</f>
        <v/>
      </c>
      <c r="I213" s="202"/>
      <c r="J213" s="200" t="str">
        <f aca="false">IF($A214="","",VLOOKUP($A213,Table,MATCH(J$4,Curves,0)))</f>
        <v/>
      </c>
      <c r="K213" s="201" t="str">
        <f aca="false">IF(A214="","",J213)</f>
        <v/>
      </c>
      <c r="L213" s="200" t="str">
        <f aca="false">IF($A214="","",VLOOKUP($A213,Table,MATCH(L$4,Curves,0)))</f>
        <v/>
      </c>
      <c r="M213" s="201" t="str">
        <f aca="false">IF(A214="","",L213)</f>
        <v/>
      </c>
      <c r="N213" s="203"/>
      <c r="O213" s="200" t="str">
        <f aca="false">IF(A214="","",L213+J213+G213)</f>
        <v/>
      </c>
      <c r="P213" s="200" t="str">
        <f aca="false">IF(A214="","",M213+K213+H213)</f>
        <v/>
      </c>
      <c r="Q213" s="204"/>
      <c r="R213" s="200" t="str">
        <f aca="false">IF($A214="","",VLOOKUP($A213,Table,MATCH(R$4,Curves,0)))</f>
        <v/>
      </c>
      <c r="S213" s="201" t="str">
        <f aca="false">IF(A214="","",R213)</f>
        <v/>
      </c>
      <c r="T213" s="200" t="str">
        <f aca="false">IF($A214="","",VLOOKUP($A213,Table,MATCH(T$4,Curves,0)))</f>
        <v/>
      </c>
      <c r="U213" s="201" t="str">
        <f aca="false">IF(A214="","",T213)</f>
        <v/>
      </c>
      <c r="V213" s="183" t="str">
        <f aca="false">IF($A214="","",IF(AND(MONTH(A213)&gt;3,MONTH(A213)&lt;11),(T213+R213+G213)*Summary!$T$8/(1-Summary!$T$8),(T213+R213+G213)*Summary!$U$8/(1-Summary!$U$8)))</f>
        <v/>
      </c>
      <c r="W213" s="200" t="str">
        <f aca="false">IF($A214="","",(T213+R213+G213+V213))</f>
        <v/>
      </c>
      <c r="X213" s="200" t="str">
        <f aca="false">IF($A214="","",(U213+S213+H213+V213))</f>
        <v/>
      </c>
      <c r="Y213" s="202"/>
      <c r="Z213" s="185" t="str">
        <f aca="false">IF($A214="","",VLOOKUP($A213,Table,MATCH(Z$4,Curves,0)))</f>
        <v/>
      </c>
      <c r="AA213" s="185" t="str">
        <f aca="false">IF($A214="","",VLOOKUP($A213,Table,MATCH(AA$4,Curves,0)))</f>
        <v/>
      </c>
      <c r="AB213" s="185" t="e">
        <f aca="false">SQRT((AA213^2*(A213-$D$3)+Z213^2*(DAY(EOMONTH(A213,0))/2))/AK213)</f>
        <v>#VALUE!</v>
      </c>
      <c r="AC213" s="185" t="str">
        <f aca="false">IF($A214="","",VLOOKUP($A213,Table,MATCH(AC$4,Curves,0)))</f>
        <v/>
      </c>
      <c r="AD213" s="185" t="str">
        <f aca="false">IF($A214="","",VLOOKUP($A213,Table,MATCH(AD$4,Curves,0)))</f>
        <v/>
      </c>
      <c r="AE213" s="185" t="e">
        <f aca="false">SQRT((AD213^2*(A213-$D$3)+AC213^2*(DAY(EOMONTH(A213,0))/2))/AK213)</f>
        <v>#VALUE!</v>
      </c>
      <c r="AF213" s="224" t="e">
        <f aca="false">((Summary!$N$8*(AA213*AD213)*(A213-$D$3))+(Summary!$M$8*Z213*AC213*(AJ213-EOMONTH(EDATE(A213,-1),0))))/(AK213*AB213*AE213)</f>
        <v>#VALUE!</v>
      </c>
      <c r="AG213" s="207" t="str">
        <f aca="false">IF($A214="","",Summary!$Q$8)</f>
        <v/>
      </c>
      <c r="AH213" s="207" t="str">
        <f aca="false">IF($A214="","",IF(Summary!$R$8="Y",(VLOOKUP($A213,Summary!$AD$6:$AF$9,3)+'Escalating commodity'!D226),'Escalating commodity'!D226))</f>
        <v/>
      </c>
      <c r="AI213" s="207" t="str">
        <f aca="false">IF($A214="","",AH213)</f>
        <v/>
      </c>
      <c r="AJ213" s="208" t="e">
        <f aca="false">A213+DAY(EOMONTH(A213,0))/2-1</f>
        <v>#VALUE!</v>
      </c>
      <c r="AK213" s="209" t="str">
        <f aca="false">IF($A214="","",$A213-$E$1)</f>
        <v/>
      </c>
      <c r="AL213" s="182" t="str">
        <f aca="false">IF($A214="","",SPRDOPT(P213,X213,AI213,0,AB213,AE213,AF213,AK213,$AJ$2,0))</f>
        <v/>
      </c>
      <c r="AM213" s="211" t="str">
        <f aca="false">IF($A214="","",MAX(0,O213-W213-AI213))</f>
        <v/>
      </c>
      <c r="AN213" s="211" t="str">
        <f aca="false">IF($A214="","",AL213-AM213)</f>
        <v/>
      </c>
      <c r="AO213" s="137" t="str">
        <f aca="false">IF(A214="","",A214-A213)</f>
        <v/>
      </c>
      <c r="AP213" s="212" t="str">
        <f aca="false">IF(A214="","",CHOOSE(F$3,A214+24,A213))</f>
        <v/>
      </c>
      <c r="AQ213" s="209" t="str">
        <f aca="false">IF(A214="","",AP213-$E$1)</f>
        <v/>
      </c>
      <c r="AR213" s="185" t="n">
        <f aca="false">'ANR OK vs ML7'!AR213</f>
        <v>0.1</v>
      </c>
      <c r="AS213" s="213" t="str">
        <f aca="false">IF(A214="","",1/(1+CHOOSE(F$3,(AR214+($I$3/10000))/2,(AR213+($I$3/10000))/2))^(2*AQ213/365.25))</f>
        <v/>
      </c>
      <c r="AT213" s="137" t="str">
        <f aca="false">IF(A214="","",IF(AND(mthbeg&lt;=A213,mthend&gt;=A213),1,0))</f>
        <v/>
      </c>
      <c r="AU213" s="137" t="str">
        <f aca="false">IF(A214="","",AO213*AT213)</f>
        <v/>
      </c>
      <c r="AW213" s="195" t="str">
        <f aca="false">IF($A214="","",AL213*$E213)</f>
        <v/>
      </c>
      <c r="AX213" s="195" t="str">
        <f aca="false">IF($A214="","",AM213*$E213)</f>
        <v/>
      </c>
      <c r="AY213" s="195" t="str">
        <f aca="false">IF($A214="","",AN213*$E213)</f>
        <v/>
      </c>
      <c r="BA213" s="195" t="str">
        <f aca="false">IF($A214="","",F213*Summary!$Q$8)</f>
        <v/>
      </c>
    </row>
    <row r="214" customFormat="false" ht="12" hidden="false" customHeight="true" outlineLevel="0" collapsed="false">
      <c r="A214" s="196" t="str">
        <f aca="false">IF(A213&lt;mthend,EDATE(A213,1),"")</f>
        <v/>
      </c>
      <c r="B214" s="197" t="n">
        <f aca="false">IF(A214&lt;mthend,B213,0)</f>
        <v>0</v>
      </c>
      <c r="C214" s="215"/>
      <c r="D214" s="197" t="str">
        <f aca="false">IF(A215&lt;&gt;"",B214+C214,"")</f>
        <v/>
      </c>
      <c r="E214" s="199" t="str">
        <f aca="false">IF(A215="","",IF(AND(AT214=1,$H$3=1),D214*AO214,IF($H$3=2,D214,"N/A")))</f>
        <v/>
      </c>
      <c r="F214" s="199" t="str">
        <f aca="false">IF(A215="","",E214*AS214)</f>
        <v/>
      </c>
      <c r="G214" s="200" t="str">
        <f aca="false">IF($A215="","",VLOOKUP($A214,Table,MATCH(G$4,Curves,0)))</f>
        <v/>
      </c>
      <c r="H214" s="201" t="str">
        <f aca="false">IF(A215="","",G214)</f>
        <v/>
      </c>
      <c r="I214" s="202"/>
      <c r="J214" s="200" t="str">
        <f aca="false">IF($A215="","",VLOOKUP($A214,Table,MATCH(J$4,Curves,0)))</f>
        <v/>
      </c>
      <c r="K214" s="201" t="str">
        <f aca="false">IF(A215="","",J214)</f>
        <v/>
      </c>
      <c r="L214" s="200" t="str">
        <f aca="false">IF($A215="","",VLOOKUP($A214,Table,MATCH(L$4,Curves,0)))</f>
        <v/>
      </c>
      <c r="M214" s="201" t="str">
        <f aca="false">IF(A215="","",L214)</f>
        <v/>
      </c>
      <c r="N214" s="203"/>
      <c r="O214" s="200" t="str">
        <f aca="false">IF(A215="","",L214+J214+G214)</f>
        <v/>
      </c>
      <c r="P214" s="200" t="str">
        <f aca="false">IF(A215="","",M214+K214+H214)</f>
        <v/>
      </c>
      <c r="Q214" s="204"/>
      <c r="R214" s="200" t="str">
        <f aca="false">IF($A215="","",VLOOKUP($A214,Table,MATCH(R$4,Curves,0)))</f>
        <v/>
      </c>
      <c r="S214" s="201" t="str">
        <f aca="false">IF(A215="","",R214)</f>
        <v/>
      </c>
      <c r="T214" s="200" t="str">
        <f aca="false">IF($A215="","",VLOOKUP($A214,Table,MATCH(T$4,Curves,0)))</f>
        <v/>
      </c>
      <c r="U214" s="201" t="str">
        <f aca="false">IF(A215="","",T214)</f>
        <v/>
      </c>
      <c r="V214" s="183" t="str">
        <f aca="false">IF($A215="","",IF(AND(MONTH(A214)&gt;3,MONTH(A214)&lt;11),(T214+R214+G214)*Summary!$T$8/(1-Summary!$T$8),(T214+R214+G214)*Summary!$U$8/(1-Summary!$U$8)))</f>
        <v/>
      </c>
      <c r="W214" s="200" t="str">
        <f aca="false">IF($A215="","",(T214+R214+G214+V214))</f>
        <v/>
      </c>
      <c r="X214" s="200" t="str">
        <f aca="false">IF($A215="","",(U214+S214+H214+V214))</f>
        <v/>
      </c>
      <c r="Y214" s="202"/>
      <c r="Z214" s="185" t="str">
        <f aca="false">IF($A215="","",VLOOKUP($A214,Table,MATCH(Z$4,Curves,0)))</f>
        <v/>
      </c>
      <c r="AA214" s="185" t="str">
        <f aca="false">IF($A215="","",VLOOKUP($A214,Table,MATCH(AA$4,Curves,0)))</f>
        <v/>
      </c>
      <c r="AB214" s="185" t="e">
        <f aca="false">SQRT((AA214^2*(A214-$D$3)+Z214^2*(DAY(EOMONTH(A214,0))/2))/AK214)</f>
        <v>#VALUE!</v>
      </c>
      <c r="AC214" s="185" t="str">
        <f aca="false">IF($A215="","",VLOOKUP($A214,Table,MATCH(AC$4,Curves,0)))</f>
        <v/>
      </c>
      <c r="AD214" s="185" t="str">
        <f aca="false">IF($A215="","",VLOOKUP($A214,Table,MATCH(AD$4,Curves,0)))</f>
        <v/>
      </c>
      <c r="AE214" s="185" t="e">
        <f aca="false">SQRT((AD214^2*(A214-$D$3)+AC214^2*(DAY(EOMONTH(A214,0))/2))/AK214)</f>
        <v>#VALUE!</v>
      </c>
      <c r="AF214" s="224" t="e">
        <f aca="false">((Summary!$N$8*(AA214*AD214)*(A214-$D$3))+(Summary!$M$8*Z214*AC214*(AJ214-EOMONTH(EDATE(A214,-1),0))))/(AK214*AB214*AE214)</f>
        <v>#VALUE!</v>
      </c>
      <c r="AG214" s="207" t="str">
        <f aca="false">IF($A215="","",Summary!$Q$8)</f>
        <v/>
      </c>
      <c r="AH214" s="207" t="str">
        <f aca="false">IF($A215="","",IF(Summary!$R$8="Y",(VLOOKUP($A214,Summary!$AD$6:$AF$9,3)+'Escalating commodity'!D227),'Escalating commodity'!D227))</f>
        <v/>
      </c>
      <c r="AI214" s="207" t="str">
        <f aca="false">IF($A215="","",AH214)</f>
        <v/>
      </c>
      <c r="AJ214" s="208" t="e">
        <f aca="false">A214+DAY(EOMONTH(A214,0))/2-1</f>
        <v>#VALUE!</v>
      </c>
      <c r="AK214" s="209" t="str">
        <f aca="false">IF($A215="","",$A214-$E$1)</f>
        <v/>
      </c>
      <c r="AL214" s="182" t="str">
        <f aca="false">IF($A215="","",SPRDOPT(P214,X214,AI214,0,AB214,AE214,AF214,AK214,$AJ$2,0))</f>
        <v/>
      </c>
      <c r="AM214" s="211" t="str">
        <f aca="false">IF($A215="","",MAX(0,O214-W214-AI214))</f>
        <v/>
      </c>
      <c r="AN214" s="211" t="str">
        <f aca="false">IF($A215="","",AL214-AM214)</f>
        <v/>
      </c>
      <c r="AO214" s="137" t="str">
        <f aca="false">IF(A215="","",A215-A214)</f>
        <v/>
      </c>
      <c r="AP214" s="212" t="str">
        <f aca="false">IF(A215="","",CHOOSE(F$3,A215+24,A214))</f>
        <v/>
      </c>
      <c r="AQ214" s="209" t="str">
        <f aca="false">IF(A215="","",AP214-$E$1)</f>
        <v/>
      </c>
      <c r="AR214" s="185" t="n">
        <f aca="false">'ANR OK vs ML7'!AR214</f>
        <v>0.1</v>
      </c>
      <c r="AS214" s="213" t="str">
        <f aca="false">IF(A215="","",1/(1+CHOOSE(F$3,(AR215+($I$3/10000))/2,(AR214+($I$3/10000))/2))^(2*AQ214/365.25))</f>
        <v/>
      </c>
      <c r="AT214" s="137" t="str">
        <f aca="false">IF(A215="","",IF(AND(mthbeg&lt;=A214,mthend&gt;=A214),1,0))</f>
        <v/>
      </c>
      <c r="AU214" s="137" t="str">
        <f aca="false">IF(A215="","",AO214*AT214)</f>
        <v/>
      </c>
      <c r="AW214" s="195" t="str">
        <f aca="false">IF($A215="","",AL214*$E214)</f>
        <v/>
      </c>
      <c r="AX214" s="195" t="str">
        <f aca="false">IF($A215="","",AM214*$E214)</f>
        <v/>
      </c>
      <c r="AY214" s="195" t="str">
        <f aca="false">IF($A215="","",AN214*$E214)</f>
        <v/>
      </c>
      <c r="BA214" s="195" t="str">
        <f aca="false">IF($A215="","",F214*Summary!$Q$8)</f>
        <v/>
      </c>
    </row>
    <row r="215" customFormat="false" ht="12" hidden="false" customHeight="true" outlineLevel="0" collapsed="false">
      <c r="A215" s="196" t="str">
        <f aca="false">IF(A214&lt;mthend,EDATE(A214,1),"")</f>
        <v/>
      </c>
      <c r="B215" s="197" t="n">
        <f aca="false">IF(A215&lt;mthend,B214,0)</f>
        <v>0</v>
      </c>
      <c r="C215" s="215"/>
      <c r="D215" s="197" t="str">
        <f aca="false">IF(A216&lt;&gt;"",B215+C215,"")</f>
        <v/>
      </c>
      <c r="E215" s="199" t="str">
        <f aca="false">IF(A216="","",IF(AND(AT215=1,$H$3=1),D215*AO215,IF($H$3=2,D215,"N/A")))</f>
        <v/>
      </c>
      <c r="F215" s="199" t="str">
        <f aca="false">IF(A216="","",E215*AS215)</f>
        <v/>
      </c>
      <c r="G215" s="200" t="str">
        <f aca="false">IF($A216="","",VLOOKUP($A215,Table,MATCH(G$4,Curves,0)))</f>
        <v/>
      </c>
      <c r="H215" s="201" t="str">
        <f aca="false">IF(A216="","",G215)</f>
        <v/>
      </c>
      <c r="I215" s="202"/>
      <c r="J215" s="200" t="str">
        <f aca="false">IF($A216="","",VLOOKUP($A215,Table,MATCH(J$4,Curves,0)))</f>
        <v/>
      </c>
      <c r="K215" s="201" t="str">
        <f aca="false">IF(A216="","",J215)</f>
        <v/>
      </c>
      <c r="L215" s="200" t="str">
        <f aca="false">IF($A216="","",VLOOKUP($A215,Table,MATCH(L$4,Curves,0)))</f>
        <v/>
      </c>
      <c r="M215" s="201" t="str">
        <f aca="false">IF(A216="","",L215)</f>
        <v/>
      </c>
      <c r="N215" s="203"/>
      <c r="O215" s="200" t="str">
        <f aca="false">IF(A216="","",L215+J215+G215)</f>
        <v/>
      </c>
      <c r="P215" s="200" t="str">
        <f aca="false">IF(A216="","",M215+K215+H215)</f>
        <v/>
      </c>
      <c r="Q215" s="204"/>
      <c r="R215" s="200" t="str">
        <f aca="false">IF($A216="","",VLOOKUP($A215,Table,MATCH(R$4,Curves,0)))</f>
        <v/>
      </c>
      <c r="S215" s="201" t="str">
        <f aca="false">IF(A216="","",R215)</f>
        <v/>
      </c>
      <c r="T215" s="200" t="str">
        <f aca="false">IF($A216="","",VLOOKUP($A215,Table,MATCH(T$4,Curves,0)))</f>
        <v/>
      </c>
      <c r="U215" s="201" t="str">
        <f aca="false">IF(A216="","",T215)</f>
        <v/>
      </c>
      <c r="V215" s="183" t="str">
        <f aca="false">IF($A216="","",IF(AND(MONTH(A215)&gt;3,MONTH(A215)&lt;11),(T215+R215+G215)*Summary!$T$8/(1-Summary!$T$8),(T215+R215+G215)*Summary!$U$8/(1-Summary!$U$8)))</f>
        <v/>
      </c>
      <c r="W215" s="200" t="str">
        <f aca="false">IF($A216="","",(T215+R215+G215+V215))</f>
        <v/>
      </c>
      <c r="X215" s="200" t="str">
        <f aca="false">IF($A216="","",(U215+S215+H215+V215))</f>
        <v/>
      </c>
      <c r="Y215" s="202"/>
      <c r="Z215" s="185" t="str">
        <f aca="false">IF($A216="","",VLOOKUP($A215,Table,MATCH(Z$4,Curves,0)))</f>
        <v/>
      </c>
      <c r="AA215" s="185" t="str">
        <f aca="false">IF($A216="","",VLOOKUP($A215,Table,MATCH(AA$4,Curves,0)))</f>
        <v/>
      </c>
      <c r="AB215" s="185" t="e">
        <f aca="false">SQRT((AA215^2*(A215-$D$3)+Z215^2*(DAY(EOMONTH(A215,0))/2))/AK215)</f>
        <v>#VALUE!</v>
      </c>
      <c r="AC215" s="185" t="str">
        <f aca="false">IF($A216="","",VLOOKUP($A215,Table,MATCH(AC$4,Curves,0)))</f>
        <v/>
      </c>
      <c r="AD215" s="185" t="str">
        <f aca="false">IF($A216="","",VLOOKUP($A215,Table,MATCH(AD$4,Curves,0)))</f>
        <v/>
      </c>
      <c r="AE215" s="185" t="e">
        <f aca="false">SQRT((AD215^2*(A215-$D$3)+AC215^2*(DAY(EOMONTH(A215,0))/2))/AK215)</f>
        <v>#VALUE!</v>
      </c>
      <c r="AF215" s="224" t="e">
        <f aca="false">((Summary!$N$8*(AA215*AD215)*(A215-$D$3))+(Summary!$M$8*Z215*AC215*(AJ215-EOMONTH(EDATE(A215,-1),0))))/(AK215*AB215*AE215)</f>
        <v>#VALUE!</v>
      </c>
      <c r="AG215" s="207" t="str">
        <f aca="false">IF($A216="","",Summary!$Q$8)</f>
        <v/>
      </c>
      <c r="AH215" s="207" t="str">
        <f aca="false">IF($A216="","",IF(Summary!$R$8="Y",(VLOOKUP($A215,Summary!$AD$6:$AF$9,3)+'Escalating commodity'!D228),'Escalating commodity'!D228))</f>
        <v/>
      </c>
      <c r="AI215" s="207" t="str">
        <f aca="false">IF($A216="","",AH215)</f>
        <v/>
      </c>
      <c r="AJ215" s="208" t="e">
        <f aca="false">A215+DAY(EOMONTH(A215,0))/2-1</f>
        <v>#VALUE!</v>
      </c>
      <c r="AK215" s="209" t="str">
        <f aca="false">IF($A216="","",$A215-$E$1)</f>
        <v/>
      </c>
      <c r="AL215" s="182" t="str">
        <f aca="false">IF($A216="","",SPRDOPT(P215,X215,AI215,0,AB215,AE215,AF215,AK215,$AJ$2,0))</f>
        <v/>
      </c>
      <c r="AM215" s="211" t="str">
        <f aca="false">IF($A216="","",MAX(0,O215-W215-AI215))</f>
        <v/>
      </c>
      <c r="AN215" s="211" t="str">
        <f aca="false">IF($A216="","",AL215-AM215)</f>
        <v/>
      </c>
      <c r="AO215" s="137" t="str">
        <f aca="false">IF(A216="","",A216-A215)</f>
        <v/>
      </c>
      <c r="AP215" s="212" t="str">
        <f aca="false">IF(A216="","",CHOOSE(F$3,A216+24,A215))</f>
        <v/>
      </c>
      <c r="AQ215" s="209" t="str">
        <f aca="false">IF(A216="","",AP215-$E$1)</f>
        <v/>
      </c>
      <c r="AR215" s="185" t="n">
        <f aca="false">'ANR OK vs ML7'!AR215</f>
        <v>0.1</v>
      </c>
      <c r="AS215" s="213" t="str">
        <f aca="false">IF(A216="","",1/(1+CHOOSE(F$3,(AR216+($I$3/10000))/2,(AR215+($I$3/10000))/2))^(2*AQ215/365.25))</f>
        <v/>
      </c>
      <c r="AT215" s="137" t="str">
        <f aca="false">IF(A216="","",IF(AND(mthbeg&lt;=A215,mthend&gt;=A215),1,0))</f>
        <v/>
      </c>
      <c r="AU215" s="137" t="str">
        <f aca="false">IF(A216="","",AO215*AT215)</f>
        <v/>
      </c>
      <c r="AW215" s="195" t="str">
        <f aca="false">IF($A216="","",AL215*$E215)</f>
        <v/>
      </c>
      <c r="AX215" s="195" t="str">
        <f aca="false">IF($A216="","",AM215*$E215)</f>
        <v/>
      </c>
      <c r="AY215" s="195" t="str">
        <f aca="false">IF($A216="","",AN215*$E215)</f>
        <v/>
      </c>
      <c r="BA215" s="195" t="str">
        <f aca="false">IF($A216="","",F215*Summary!$Q$8)</f>
        <v/>
      </c>
    </row>
    <row r="216" customFormat="false" ht="12" hidden="false" customHeight="true" outlineLevel="0" collapsed="false">
      <c r="A216" s="196" t="str">
        <f aca="false">IF(A215&lt;mthend,EDATE(A215,1),"")</f>
        <v/>
      </c>
      <c r="B216" s="197" t="n">
        <f aca="false">IF(A216&lt;mthend,B215,0)</f>
        <v>0</v>
      </c>
      <c r="C216" s="215"/>
      <c r="D216" s="197" t="str">
        <f aca="false">IF(A217&lt;&gt;"",B216+C216,"")</f>
        <v/>
      </c>
      <c r="E216" s="199" t="str">
        <f aca="false">IF(A217="","",IF(AND(AT216=1,$H$3=1),D216*AO216,IF($H$3=2,D216,"N/A")))</f>
        <v/>
      </c>
      <c r="F216" s="199" t="str">
        <f aca="false">IF(A217="","",E216*AS216)</f>
        <v/>
      </c>
      <c r="G216" s="200" t="str">
        <f aca="false">IF($A217="","",VLOOKUP($A216,Table,MATCH(G$4,Curves,0)))</f>
        <v/>
      </c>
      <c r="H216" s="201" t="str">
        <f aca="false">IF(A217="","",G216)</f>
        <v/>
      </c>
      <c r="I216" s="202"/>
      <c r="J216" s="200" t="str">
        <f aca="false">IF($A217="","",VLOOKUP($A216,Table,MATCH(J$4,Curves,0)))</f>
        <v/>
      </c>
      <c r="K216" s="201" t="str">
        <f aca="false">IF(A217="","",J216)</f>
        <v/>
      </c>
      <c r="L216" s="200" t="str">
        <f aca="false">IF($A217="","",VLOOKUP($A216,Table,MATCH(L$4,Curves,0)))</f>
        <v/>
      </c>
      <c r="M216" s="201" t="str">
        <f aca="false">IF(A217="","",L216)</f>
        <v/>
      </c>
      <c r="N216" s="203"/>
      <c r="O216" s="200" t="str">
        <f aca="false">IF(A217="","",L216+J216+G216)</f>
        <v/>
      </c>
      <c r="P216" s="200" t="str">
        <f aca="false">IF(A217="","",M216+K216+H216)</f>
        <v/>
      </c>
      <c r="Q216" s="204"/>
      <c r="R216" s="200" t="str">
        <f aca="false">IF($A217="","",VLOOKUP($A216,Table,MATCH(R$4,Curves,0)))</f>
        <v/>
      </c>
      <c r="S216" s="201" t="str">
        <f aca="false">IF(A217="","",R216)</f>
        <v/>
      </c>
      <c r="T216" s="200" t="str">
        <f aca="false">IF($A217="","",VLOOKUP($A216,Table,MATCH(T$4,Curves,0)))</f>
        <v/>
      </c>
      <c r="U216" s="201" t="str">
        <f aca="false">IF(A217="","",T216)</f>
        <v/>
      </c>
      <c r="V216" s="183" t="str">
        <f aca="false">IF($A217="","",IF(AND(MONTH(A216)&gt;3,MONTH(A216)&lt;11),(T216+R216+G216)*Summary!$T$8/(1-Summary!$T$8),(T216+R216+G216)*Summary!$U$8/(1-Summary!$U$8)))</f>
        <v/>
      </c>
      <c r="W216" s="200" t="str">
        <f aca="false">IF($A217="","",(T216+R216+G216+V216))</f>
        <v/>
      </c>
      <c r="X216" s="200" t="str">
        <f aca="false">IF($A217="","",(U216+S216+H216+V216))</f>
        <v/>
      </c>
      <c r="Y216" s="202"/>
      <c r="Z216" s="185" t="str">
        <f aca="false">IF($A217="","",VLOOKUP($A216,Table,MATCH(Z$4,Curves,0)))</f>
        <v/>
      </c>
      <c r="AA216" s="185" t="str">
        <f aca="false">IF($A217="","",VLOOKUP($A216,Table,MATCH(AA$4,Curves,0)))</f>
        <v/>
      </c>
      <c r="AB216" s="185" t="e">
        <f aca="false">SQRT((AA216^2*(A216-$D$3)+Z216^2*(DAY(EOMONTH(A216,0))/2))/AK216)</f>
        <v>#VALUE!</v>
      </c>
      <c r="AC216" s="185" t="str">
        <f aca="false">IF($A217="","",VLOOKUP($A216,Table,MATCH(AC$4,Curves,0)))</f>
        <v/>
      </c>
      <c r="AD216" s="185" t="str">
        <f aca="false">IF($A217="","",VLOOKUP($A216,Table,MATCH(AD$4,Curves,0)))</f>
        <v/>
      </c>
      <c r="AE216" s="185" t="e">
        <f aca="false">SQRT((AD216^2*(A216-$D$3)+AC216^2*(DAY(EOMONTH(A216,0))/2))/AK216)</f>
        <v>#VALUE!</v>
      </c>
      <c r="AF216" s="224" t="e">
        <f aca="false">((Summary!$N$8*(AA216*AD216)*(A216-$D$3))+(Summary!$M$8*Z216*AC216*(AJ216-EOMONTH(EDATE(A216,-1),0))))/(AK216*AB216*AE216)</f>
        <v>#VALUE!</v>
      </c>
      <c r="AG216" s="207" t="str">
        <f aca="false">IF($A217="","",Summary!$Q$8)</f>
        <v/>
      </c>
      <c r="AH216" s="207" t="str">
        <f aca="false">IF($A217="","",IF(Summary!$R$8="Y",(VLOOKUP($A216,Summary!$AD$6:$AF$9,3)+'Escalating commodity'!D229),'Escalating commodity'!D229))</f>
        <v/>
      </c>
      <c r="AI216" s="207" t="str">
        <f aca="false">IF($A217="","",AH216)</f>
        <v/>
      </c>
      <c r="AJ216" s="208" t="e">
        <f aca="false">A216+DAY(EOMONTH(A216,0))/2-1</f>
        <v>#VALUE!</v>
      </c>
      <c r="AK216" s="209" t="str">
        <f aca="false">IF($A217="","",$A216-$E$1)</f>
        <v/>
      </c>
      <c r="AL216" s="182" t="str">
        <f aca="false">IF($A217="","",SPRDOPT(P216,X216,AI216,0,AB216,AE216,AF216,AK216,$AJ$2,0))</f>
        <v/>
      </c>
      <c r="AM216" s="211" t="str">
        <f aca="false">IF($A217="","",MAX(0,O216-W216-AI216))</f>
        <v/>
      </c>
      <c r="AN216" s="211" t="str">
        <f aca="false">IF($A217="","",AL216-AM216)</f>
        <v/>
      </c>
      <c r="AO216" s="137" t="str">
        <f aca="false">IF(A217="","",A217-A216)</f>
        <v/>
      </c>
      <c r="AP216" s="212" t="str">
        <f aca="false">IF(A217="","",CHOOSE(F$3,A217+24,A216))</f>
        <v/>
      </c>
      <c r="AQ216" s="209" t="str">
        <f aca="false">IF(A217="","",AP216-$E$1)</f>
        <v/>
      </c>
      <c r="AR216" s="185" t="n">
        <f aca="false">'ANR OK vs ML7'!AR216</f>
        <v>0.1</v>
      </c>
      <c r="AS216" s="213" t="str">
        <f aca="false">IF(A217="","",1/(1+CHOOSE(F$3,(AR217+($I$3/10000))/2,(AR216+($I$3/10000))/2))^(2*AQ216/365.25))</f>
        <v/>
      </c>
      <c r="AT216" s="137" t="str">
        <f aca="false">IF(A217="","",IF(AND(mthbeg&lt;=A216,mthend&gt;=A216),1,0))</f>
        <v/>
      </c>
      <c r="AU216" s="137" t="str">
        <f aca="false">IF(A217="","",AO216*AT216)</f>
        <v/>
      </c>
      <c r="AW216" s="195" t="str">
        <f aca="false">IF($A217="","",AL216*$E216)</f>
        <v/>
      </c>
      <c r="AX216" s="195" t="str">
        <f aca="false">IF($A217="","",AM216*$E216)</f>
        <v/>
      </c>
      <c r="AY216" s="195" t="str">
        <f aca="false">IF($A217="","",AN216*$E216)</f>
        <v/>
      </c>
      <c r="BA216" s="195" t="str">
        <f aca="false">IF($A217="","",F216*Summary!$Q$8)</f>
        <v/>
      </c>
    </row>
    <row r="217" customFormat="false" ht="12" hidden="false" customHeight="true" outlineLevel="0" collapsed="false">
      <c r="A217" s="196" t="str">
        <f aca="false">IF(A216&lt;mthend,EDATE(A216,1),"")</f>
        <v/>
      </c>
      <c r="B217" s="197" t="n">
        <f aca="false">IF(A217&lt;mthend,B216,0)</f>
        <v>0</v>
      </c>
      <c r="C217" s="215"/>
      <c r="D217" s="197" t="str">
        <f aca="false">IF(A218&lt;&gt;"",B217+C217,"")</f>
        <v/>
      </c>
      <c r="E217" s="199" t="str">
        <f aca="false">IF(A218="","",IF(AND(AT217=1,$H$3=1),D217*AO217,IF($H$3=2,D217,"N/A")))</f>
        <v/>
      </c>
      <c r="F217" s="199" t="str">
        <f aca="false">IF(A218="","",E217*AS217)</f>
        <v/>
      </c>
      <c r="G217" s="200" t="str">
        <f aca="false">IF($A218="","",VLOOKUP($A217,Table,MATCH(G$4,Curves,0)))</f>
        <v/>
      </c>
      <c r="H217" s="201" t="str">
        <f aca="false">IF(A218="","",G217)</f>
        <v/>
      </c>
      <c r="I217" s="202"/>
      <c r="J217" s="200" t="str">
        <f aca="false">IF($A218="","",VLOOKUP($A217,Table,MATCH(J$4,Curves,0)))</f>
        <v/>
      </c>
      <c r="K217" s="201" t="str">
        <f aca="false">IF(A218="","",J217)</f>
        <v/>
      </c>
      <c r="L217" s="200" t="str">
        <f aca="false">IF($A218="","",VLOOKUP($A217,Table,MATCH(L$4,Curves,0)))</f>
        <v/>
      </c>
      <c r="M217" s="201" t="str">
        <f aca="false">IF(A218="","",L217)</f>
        <v/>
      </c>
      <c r="N217" s="203"/>
      <c r="O217" s="200" t="str">
        <f aca="false">IF(A218="","",L217+J217+G217)</f>
        <v/>
      </c>
      <c r="P217" s="200" t="str">
        <f aca="false">IF(A218="","",M217+K217+H217)</f>
        <v/>
      </c>
      <c r="Q217" s="204"/>
      <c r="R217" s="200" t="str">
        <f aca="false">IF($A218="","",VLOOKUP($A217,Table,MATCH(R$4,Curves,0)))</f>
        <v/>
      </c>
      <c r="S217" s="201" t="str">
        <f aca="false">IF(A218="","",R217)</f>
        <v/>
      </c>
      <c r="T217" s="200" t="str">
        <f aca="false">IF($A218="","",VLOOKUP($A217,Table,MATCH(T$4,Curves,0)))</f>
        <v/>
      </c>
      <c r="U217" s="201" t="str">
        <f aca="false">IF(A218="","",T217)</f>
        <v/>
      </c>
      <c r="V217" s="183" t="str">
        <f aca="false">IF($A218="","",IF(AND(MONTH(A217)&gt;3,MONTH(A217)&lt;11),(T217+R217+G217)*Summary!$T$8/(1-Summary!$T$8),(T217+R217+G217)*Summary!$U$8/(1-Summary!$U$8)))</f>
        <v/>
      </c>
      <c r="W217" s="200" t="str">
        <f aca="false">IF($A218="","",(T217+R217+G217+V217))</f>
        <v/>
      </c>
      <c r="X217" s="200" t="str">
        <f aca="false">IF($A218="","",(U217+S217+H217+V217))</f>
        <v/>
      </c>
      <c r="Y217" s="202"/>
      <c r="Z217" s="185" t="str">
        <f aca="false">IF($A218="","",VLOOKUP($A217,Table,MATCH(Z$4,Curves,0)))</f>
        <v/>
      </c>
      <c r="AA217" s="185" t="str">
        <f aca="false">IF($A218="","",VLOOKUP($A217,Table,MATCH(AA$4,Curves,0)))</f>
        <v/>
      </c>
      <c r="AB217" s="185" t="e">
        <f aca="false">SQRT((AA217^2*(A217-$D$3)+Z217^2*(DAY(EOMONTH(A217,0))/2))/AK217)</f>
        <v>#VALUE!</v>
      </c>
      <c r="AC217" s="185" t="str">
        <f aca="false">IF($A218="","",VLOOKUP($A217,Table,MATCH(AC$4,Curves,0)))</f>
        <v/>
      </c>
      <c r="AD217" s="185" t="str">
        <f aca="false">IF($A218="","",VLOOKUP($A217,Table,MATCH(AD$4,Curves,0)))</f>
        <v/>
      </c>
      <c r="AE217" s="185" t="e">
        <f aca="false">SQRT((AD217^2*(A217-$D$3)+AC217^2*(DAY(EOMONTH(A217,0))/2))/AK217)</f>
        <v>#VALUE!</v>
      </c>
      <c r="AF217" s="224" t="e">
        <f aca="false">((Summary!$N$8*(AA217*AD217)*(A217-$D$3))+(Summary!$M$8*Z217*AC217*(AJ217-EOMONTH(EDATE(A217,-1),0))))/(AK217*AB217*AE217)</f>
        <v>#VALUE!</v>
      </c>
      <c r="AG217" s="207" t="str">
        <f aca="false">IF($A218="","",Summary!$Q$8)</f>
        <v/>
      </c>
      <c r="AH217" s="207" t="str">
        <f aca="false">IF($A218="","",IF(Summary!$R$8="Y",(VLOOKUP($A217,Summary!$AD$6:$AF$9,3)+'Escalating commodity'!D230),'Escalating commodity'!D230))</f>
        <v/>
      </c>
      <c r="AI217" s="207" t="str">
        <f aca="false">IF($A218="","",AH217)</f>
        <v/>
      </c>
      <c r="AJ217" s="208" t="e">
        <f aca="false">A217+DAY(EOMONTH(A217,0))/2-1</f>
        <v>#VALUE!</v>
      </c>
      <c r="AK217" s="209" t="str">
        <f aca="false">IF($A218="","",$A217-$E$1)</f>
        <v/>
      </c>
      <c r="AL217" s="182" t="str">
        <f aca="false">IF($A218="","",SPRDOPT(P217,X217,AI217,0,AB217,AE217,AF217,AK217,$AJ$2,0))</f>
        <v/>
      </c>
      <c r="AM217" s="211" t="str">
        <f aca="false">IF($A218="","",MAX(0,O217-W217-AI217))</f>
        <v/>
      </c>
      <c r="AN217" s="211" t="str">
        <f aca="false">IF($A218="","",AL217-AM217)</f>
        <v/>
      </c>
      <c r="AO217" s="137" t="str">
        <f aca="false">IF(A218="","",A218-A217)</f>
        <v/>
      </c>
      <c r="AP217" s="212" t="str">
        <f aca="false">IF(A218="","",CHOOSE(F$3,A218+24,A217))</f>
        <v/>
      </c>
      <c r="AQ217" s="209" t="str">
        <f aca="false">IF(A218="","",AP217-$E$1)</f>
        <v/>
      </c>
      <c r="AR217" s="185" t="n">
        <f aca="false">'ANR OK vs ML7'!AR217</f>
        <v>0.1</v>
      </c>
      <c r="AS217" s="213" t="str">
        <f aca="false">IF(A218="","",1/(1+CHOOSE(F$3,(AR218+($I$3/10000))/2,(AR217+($I$3/10000))/2))^(2*AQ217/365.25))</f>
        <v/>
      </c>
      <c r="AT217" s="137" t="str">
        <f aca="false">IF(A218="","",IF(AND(mthbeg&lt;=A217,mthend&gt;=A217),1,0))</f>
        <v/>
      </c>
      <c r="AU217" s="137" t="str">
        <f aca="false">IF(A218="","",AO217*AT217)</f>
        <v/>
      </c>
      <c r="AW217" s="195" t="str">
        <f aca="false">IF($A218="","",AL217*$E217)</f>
        <v/>
      </c>
      <c r="AX217" s="195" t="str">
        <f aca="false">IF($A218="","",AM217*$E217)</f>
        <v/>
      </c>
      <c r="AY217" s="195" t="str">
        <f aca="false">IF($A218="","",AN217*$E217)</f>
        <v/>
      </c>
      <c r="BA217" s="195" t="str">
        <f aca="false">IF($A218="","",F217*Summary!$Q$8)</f>
        <v/>
      </c>
    </row>
    <row r="218" customFormat="false" ht="12" hidden="false" customHeight="true" outlineLevel="0" collapsed="false">
      <c r="A218" s="196" t="str">
        <f aca="false">IF(A217&lt;mthend,EDATE(A217,1),"")</f>
        <v/>
      </c>
      <c r="B218" s="197" t="n">
        <f aca="false">IF(A218&lt;mthend,B217,0)</f>
        <v>0</v>
      </c>
      <c r="C218" s="215"/>
      <c r="D218" s="197" t="str">
        <f aca="false">IF(A219&lt;&gt;"",B218+C218,"")</f>
        <v/>
      </c>
      <c r="E218" s="199" t="str">
        <f aca="false">IF(A219="","",IF(AND(AT218=1,$H$3=1),D218*AO218,IF($H$3=2,D218,"N/A")))</f>
        <v/>
      </c>
      <c r="F218" s="199" t="str">
        <f aca="false">IF(A219="","",E218*AS218)</f>
        <v/>
      </c>
      <c r="G218" s="200" t="str">
        <f aca="false">IF($A219="","",VLOOKUP($A218,Table,MATCH(G$4,Curves,0)))</f>
        <v/>
      </c>
      <c r="H218" s="201" t="str">
        <f aca="false">IF(A219="","",G218)</f>
        <v/>
      </c>
      <c r="I218" s="202"/>
      <c r="J218" s="200" t="str">
        <f aca="false">IF($A219="","",VLOOKUP($A218,Table,MATCH(J$4,Curves,0)))</f>
        <v/>
      </c>
      <c r="K218" s="201" t="str">
        <f aca="false">IF(A219="","",J218)</f>
        <v/>
      </c>
      <c r="L218" s="200" t="str">
        <f aca="false">IF($A219="","",VLOOKUP($A218,Table,MATCH(L$4,Curves,0)))</f>
        <v/>
      </c>
      <c r="M218" s="201" t="str">
        <f aca="false">IF(A219="","",L218)</f>
        <v/>
      </c>
      <c r="N218" s="203"/>
      <c r="O218" s="200" t="str">
        <f aca="false">IF(A219="","",L218+J218+G218)</f>
        <v/>
      </c>
      <c r="P218" s="200" t="str">
        <f aca="false">IF(A219="","",M218+K218+H218)</f>
        <v/>
      </c>
      <c r="Q218" s="204"/>
      <c r="R218" s="200" t="str">
        <f aca="false">IF($A219="","",VLOOKUP($A218,Table,MATCH(R$4,Curves,0)))</f>
        <v/>
      </c>
      <c r="S218" s="201" t="str">
        <f aca="false">IF(A219="","",R218)</f>
        <v/>
      </c>
      <c r="T218" s="200" t="str">
        <f aca="false">IF($A219="","",VLOOKUP($A218,Table,MATCH(T$4,Curves,0)))</f>
        <v/>
      </c>
      <c r="U218" s="201" t="str">
        <f aca="false">IF(A219="","",T218)</f>
        <v/>
      </c>
      <c r="V218" s="183" t="str">
        <f aca="false">IF($A219="","",IF(AND(MONTH(A218)&gt;3,MONTH(A218)&lt;11),(T218+R218+G218)*Summary!$T$8/(1-Summary!$T$8),(T218+R218+G218)*Summary!$U$8/(1-Summary!$U$8)))</f>
        <v/>
      </c>
      <c r="W218" s="200" t="str">
        <f aca="false">IF($A219="","",(T218+R218+G218+V218))</f>
        <v/>
      </c>
      <c r="X218" s="200" t="str">
        <f aca="false">IF($A219="","",(U218+S218+H218+V218))</f>
        <v/>
      </c>
      <c r="Y218" s="202"/>
      <c r="Z218" s="185" t="str">
        <f aca="false">IF($A219="","",VLOOKUP($A218,Table,MATCH(Z$4,Curves,0)))</f>
        <v/>
      </c>
      <c r="AA218" s="185" t="str">
        <f aca="false">IF($A219="","",VLOOKUP($A218,Table,MATCH(AA$4,Curves,0)))</f>
        <v/>
      </c>
      <c r="AB218" s="185" t="e">
        <f aca="false">SQRT((AA218^2*(A218-$D$3)+Z218^2*(DAY(EOMONTH(A218,0))/2))/AK218)</f>
        <v>#VALUE!</v>
      </c>
      <c r="AC218" s="185" t="str">
        <f aca="false">IF($A219="","",VLOOKUP($A218,Table,MATCH(AC$4,Curves,0)))</f>
        <v/>
      </c>
      <c r="AD218" s="185" t="str">
        <f aca="false">IF($A219="","",VLOOKUP($A218,Table,MATCH(AD$4,Curves,0)))</f>
        <v/>
      </c>
      <c r="AE218" s="185" t="e">
        <f aca="false">SQRT((AD218^2*(A218-$D$3)+AC218^2*(DAY(EOMONTH(A218,0))/2))/AK218)</f>
        <v>#VALUE!</v>
      </c>
      <c r="AF218" s="224" t="e">
        <f aca="false">((Summary!$N$8*(AA218*AD218)*(A218-$D$3))+(Summary!$M$8*Z218*AC218*(AJ218-EOMONTH(EDATE(A218,-1),0))))/(AK218*AB218*AE218)</f>
        <v>#VALUE!</v>
      </c>
      <c r="AG218" s="207" t="str">
        <f aca="false">IF($A219="","",Summary!$Q$8)</f>
        <v/>
      </c>
      <c r="AH218" s="207" t="str">
        <f aca="false">IF($A219="","",IF(Summary!$R$8="Y",(VLOOKUP($A218,Summary!$AD$6:$AF$9,3)+'Escalating commodity'!D231),'Escalating commodity'!D231))</f>
        <v/>
      </c>
      <c r="AI218" s="207" t="str">
        <f aca="false">IF($A219="","",AH218)</f>
        <v/>
      </c>
      <c r="AJ218" s="208" t="e">
        <f aca="false">A218+DAY(EOMONTH(A218,0))/2-1</f>
        <v>#VALUE!</v>
      </c>
      <c r="AK218" s="209" t="str">
        <f aca="false">IF($A219="","",$A218-$E$1)</f>
        <v/>
      </c>
      <c r="AL218" s="182" t="str">
        <f aca="false">IF($A219="","",SPRDOPT(P218,X218,AI218,0,AB218,AE218,AF218,AK218,$AJ$2,0))</f>
        <v/>
      </c>
      <c r="AM218" s="211" t="str">
        <f aca="false">IF($A219="","",MAX(0,O218-W218-AI218))</f>
        <v/>
      </c>
      <c r="AN218" s="211" t="str">
        <f aca="false">IF($A219="","",AL218-AM218)</f>
        <v/>
      </c>
      <c r="AO218" s="137" t="str">
        <f aca="false">IF(A219="","",A219-A218)</f>
        <v/>
      </c>
      <c r="AP218" s="212" t="str">
        <f aca="false">IF(A219="","",CHOOSE(F$3,A219+24,A218))</f>
        <v/>
      </c>
      <c r="AQ218" s="209" t="str">
        <f aca="false">IF(A219="","",AP218-$E$1)</f>
        <v/>
      </c>
      <c r="AR218" s="185" t="n">
        <f aca="false">'ANR OK vs ML7'!AR218</f>
        <v>0.1</v>
      </c>
      <c r="AS218" s="213" t="str">
        <f aca="false">IF(A219="","",1/(1+CHOOSE(F$3,(AR219+($I$3/10000))/2,(AR218+($I$3/10000))/2))^(2*AQ218/365.25))</f>
        <v/>
      </c>
      <c r="AT218" s="137" t="str">
        <f aca="false">IF(A219="","",IF(AND(mthbeg&lt;=A218,mthend&gt;=A218),1,0))</f>
        <v/>
      </c>
      <c r="AU218" s="137" t="str">
        <f aca="false">IF(A219="","",AO218*AT218)</f>
        <v/>
      </c>
      <c r="AW218" s="195" t="str">
        <f aca="false">IF($A219="","",AL218*$E218)</f>
        <v/>
      </c>
      <c r="AX218" s="195" t="str">
        <f aca="false">IF($A219="","",AM218*$E218)</f>
        <v/>
      </c>
      <c r="AY218" s="195" t="str">
        <f aca="false">IF($A219="","",AN218*$E218)</f>
        <v/>
      </c>
      <c r="BA218" s="195" t="str">
        <f aca="false">IF($A219="","",F218*Summary!$Q$8)</f>
        <v/>
      </c>
    </row>
    <row r="219" customFormat="false" ht="12" hidden="false" customHeight="true" outlineLevel="0" collapsed="false">
      <c r="A219" s="196" t="str">
        <f aca="false">IF(A218&lt;mthend,EDATE(A218,1),"")</f>
        <v/>
      </c>
      <c r="B219" s="197" t="n">
        <f aca="false">IF(A219&lt;mthend,B218,0)</f>
        <v>0</v>
      </c>
      <c r="C219" s="215"/>
      <c r="D219" s="197" t="str">
        <f aca="false">IF(A220&lt;&gt;"",B219+C219,"")</f>
        <v/>
      </c>
      <c r="E219" s="199" t="str">
        <f aca="false">IF(A220="","",IF(AND(AT219=1,$H$3=1),D219*AO219,IF($H$3=2,D219,"N/A")))</f>
        <v/>
      </c>
      <c r="F219" s="199" t="str">
        <f aca="false">IF(A220="","",E219*AS219)</f>
        <v/>
      </c>
      <c r="G219" s="200" t="str">
        <f aca="false">IF($A220="","",VLOOKUP($A219,Table,MATCH(G$4,Curves,0)))</f>
        <v/>
      </c>
      <c r="H219" s="201" t="str">
        <f aca="false">IF(A220="","",G219)</f>
        <v/>
      </c>
      <c r="I219" s="202"/>
      <c r="J219" s="200" t="str">
        <f aca="false">IF($A220="","",VLOOKUP($A219,Table,MATCH(J$4,Curves,0)))</f>
        <v/>
      </c>
      <c r="K219" s="201" t="str">
        <f aca="false">IF(A220="","",J219)</f>
        <v/>
      </c>
      <c r="L219" s="200" t="str">
        <f aca="false">IF($A220="","",VLOOKUP($A219,Table,MATCH(L$4,Curves,0)))</f>
        <v/>
      </c>
      <c r="M219" s="201" t="str">
        <f aca="false">IF(A220="","",L219)</f>
        <v/>
      </c>
      <c r="N219" s="203"/>
      <c r="O219" s="200" t="str">
        <f aca="false">IF(A220="","",L219+J219+G219)</f>
        <v/>
      </c>
      <c r="P219" s="200" t="str">
        <f aca="false">IF(A220="","",M219+K219+H219)</f>
        <v/>
      </c>
      <c r="Q219" s="204"/>
      <c r="R219" s="200" t="str">
        <f aca="false">IF($A220="","",VLOOKUP($A219,Table,MATCH(R$4,Curves,0)))</f>
        <v/>
      </c>
      <c r="S219" s="201" t="str">
        <f aca="false">IF(A220="","",R219)</f>
        <v/>
      </c>
      <c r="T219" s="200" t="str">
        <f aca="false">IF($A220="","",VLOOKUP($A219,Table,MATCH(T$4,Curves,0)))</f>
        <v/>
      </c>
      <c r="U219" s="201" t="str">
        <f aca="false">IF(A220="","",T219)</f>
        <v/>
      </c>
      <c r="V219" s="183" t="str">
        <f aca="false">IF($A220="","",IF(AND(MONTH(A219)&gt;3,MONTH(A219)&lt;11),(T219+R219+G219)*Summary!$T$8/(1-Summary!$T$8),(T219+R219+G219)*Summary!$U$8/(1-Summary!$U$8)))</f>
        <v/>
      </c>
      <c r="W219" s="200" t="str">
        <f aca="false">IF($A220="","",(T219+R219+G219+V219))</f>
        <v/>
      </c>
      <c r="X219" s="200" t="str">
        <f aca="false">IF($A220="","",(U219+S219+H219+V219))</f>
        <v/>
      </c>
      <c r="Y219" s="202"/>
      <c r="Z219" s="185" t="str">
        <f aca="false">IF($A220="","",VLOOKUP($A219,Table,MATCH(Z$4,Curves,0)))</f>
        <v/>
      </c>
      <c r="AA219" s="185" t="str">
        <f aca="false">IF($A220="","",VLOOKUP($A219,Table,MATCH(AA$4,Curves,0)))</f>
        <v/>
      </c>
      <c r="AB219" s="185" t="e">
        <f aca="false">SQRT((AA219^2*(A219-$D$3)+Z219^2*(DAY(EOMONTH(A219,0))/2))/AK219)</f>
        <v>#VALUE!</v>
      </c>
      <c r="AC219" s="185" t="str">
        <f aca="false">IF($A220="","",VLOOKUP($A219,Table,MATCH(AC$4,Curves,0)))</f>
        <v/>
      </c>
      <c r="AD219" s="185" t="str">
        <f aca="false">IF($A220="","",VLOOKUP($A219,Table,MATCH(AD$4,Curves,0)))</f>
        <v/>
      </c>
      <c r="AE219" s="185" t="e">
        <f aca="false">SQRT((AD219^2*(A219-$D$3)+AC219^2*(DAY(EOMONTH(A219,0))/2))/AK219)</f>
        <v>#VALUE!</v>
      </c>
      <c r="AF219" s="224" t="e">
        <f aca="false">((Summary!$N$8*(AA219*AD219)*(A219-$D$3))+(Summary!$M$8*Z219*AC219*(AJ219-EOMONTH(EDATE(A219,-1),0))))/(AK219*AB219*AE219)</f>
        <v>#VALUE!</v>
      </c>
      <c r="AG219" s="207" t="str">
        <f aca="false">IF($A220="","",Summary!$Q$8)</f>
        <v/>
      </c>
      <c r="AH219" s="207" t="str">
        <f aca="false">IF($A220="","",IF(Summary!$R$8="Y",(VLOOKUP($A219,Summary!$AD$6:$AF$9,3)+'Escalating commodity'!D232),'Escalating commodity'!D232))</f>
        <v/>
      </c>
      <c r="AI219" s="207" t="str">
        <f aca="false">IF($A220="","",AH219)</f>
        <v/>
      </c>
      <c r="AJ219" s="208" t="e">
        <f aca="false">A219+DAY(EOMONTH(A219,0))/2-1</f>
        <v>#VALUE!</v>
      </c>
      <c r="AK219" s="209" t="str">
        <f aca="false">IF($A220="","",$A219-$E$1)</f>
        <v/>
      </c>
      <c r="AL219" s="182" t="str">
        <f aca="false">IF($A220="","",SPRDOPT(P219,X219,AI219,0,AB219,AE219,AF219,AK219,$AJ$2,0))</f>
        <v/>
      </c>
      <c r="AM219" s="211" t="str">
        <f aca="false">IF($A220="","",MAX(0,O219-W219-AI219))</f>
        <v/>
      </c>
      <c r="AN219" s="211" t="str">
        <f aca="false">IF($A220="","",AL219-AM219)</f>
        <v/>
      </c>
      <c r="AO219" s="137" t="str">
        <f aca="false">IF(A220="","",A220-A219)</f>
        <v/>
      </c>
      <c r="AP219" s="212" t="str">
        <f aca="false">IF(A220="","",CHOOSE(F$3,A220+24,A219))</f>
        <v/>
      </c>
      <c r="AQ219" s="209" t="str">
        <f aca="false">IF(A220="","",AP219-$E$1)</f>
        <v/>
      </c>
      <c r="AR219" s="185" t="n">
        <f aca="false">'ANR OK vs ML7'!AR219</f>
        <v>0.1</v>
      </c>
      <c r="AS219" s="213" t="str">
        <f aca="false">IF(A220="","",1/(1+CHOOSE(F$3,(AR220+($I$3/10000))/2,(AR219+($I$3/10000))/2))^(2*AQ219/365.25))</f>
        <v/>
      </c>
      <c r="AT219" s="137" t="str">
        <f aca="false">IF(A220="","",IF(AND(mthbeg&lt;=A219,mthend&gt;=A219),1,0))</f>
        <v/>
      </c>
      <c r="AU219" s="137" t="str">
        <f aca="false">IF(A220="","",AO219*AT219)</f>
        <v/>
      </c>
      <c r="AW219" s="195" t="str">
        <f aca="false">IF($A220="","",AL219*$E219)</f>
        <v/>
      </c>
      <c r="AX219" s="195" t="str">
        <f aca="false">IF($A220="","",AM219*$E219)</f>
        <v/>
      </c>
      <c r="AY219" s="195" t="str">
        <f aca="false">IF($A220="","",AN219*$E219)</f>
        <v/>
      </c>
      <c r="BA219" s="195" t="str">
        <f aca="false">IF($A220="","",F219*Summary!$Q$8)</f>
        <v/>
      </c>
    </row>
    <row r="220" customFormat="false" ht="12" hidden="false" customHeight="true" outlineLevel="0" collapsed="false">
      <c r="A220" s="196" t="str">
        <f aca="false">IF(A219&lt;mthend,EDATE(A219,1),"")</f>
        <v/>
      </c>
      <c r="B220" s="197" t="n">
        <f aca="false">IF(A220&lt;mthend,B219,0)</f>
        <v>0</v>
      </c>
      <c r="C220" s="215"/>
      <c r="D220" s="197" t="str">
        <f aca="false">IF(A221&lt;&gt;"",B220+C220,"")</f>
        <v/>
      </c>
      <c r="E220" s="199" t="str">
        <f aca="false">IF(A221="","",IF(AND(AT220=1,$H$3=1),D220*AO220,IF($H$3=2,D220,"N/A")))</f>
        <v/>
      </c>
      <c r="F220" s="199" t="str">
        <f aca="false">IF(A221="","",E220*AS220)</f>
        <v/>
      </c>
      <c r="G220" s="200" t="str">
        <f aca="false">IF($A221="","",VLOOKUP($A220,Table,MATCH(G$4,Curves,0)))</f>
        <v/>
      </c>
      <c r="H220" s="201" t="str">
        <f aca="false">IF(A221="","",G220)</f>
        <v/>
      </c>
      <c r="I220" s="202"/>
      <c r="J220" s="200" t="str">
        <f aca="false">IF($A221="","",VLOOKUP($A220,Table,MATCH(J$4,Curves,0)))</f>
        <v/>
      </c>
      <c r="K220" s="201" t="str">
        <f aca="false">IF(A221="","",J220)</f>
        <v/>
      </c>
      <c r="L220" s="200" t="str">
        <f aca="false">IF($A221="","",VLOOKUP($A220,Table,MATCH(L$4,Curves,0)))</f>
        <v/>
      </c>
      <c r="M220" s="201" t="str">
        <f aca="false">IF(A221="","",L220)</f>
        <v/>
      </c>
      <c r="N220" s="203"/>
      <c r="O220" s="200" t="str">
        <f aca="false">IF(A221="","",L220+J220+G220)</f>
        <v/>
      </c>
      <c r="P220" s="200" t="str">
        <f aca="false">IF(A221="","",M220+K220+H220)</f>
        <v/>
      </c>
      <c r="Q220" s="204"/>
      <c r="R220" s="200" t="str">
        <f aca="false">IF($A221="","",VLOOKUP($A220,Table,MATCH(R$4,Curves,0)))</f>
        <v/>
      </c>
      <c r="S220" s="201" t="str">
        <f aca="false">IF(A221="","",R220)</f>
        <v/>
      </c>
      <c r="T220" s="200" t="str">
        <f aca="false">IF($A221="","",VLOOKUP($A220,Table,MATCH(T$4,Curves,0)))</f>
        <v/>
      </c>
      <c r="U220" s="201" t="str">
        <f aca="false">IF(A221="","",T220)</f>
        <v/>
      </c>
      <c r="V220" s="183" t="str">
        <f aca="false">IF($A221="","",IF(AND(MONTH(A220)&gt;3,MONTH(A220)&lt;11),(T220+R220+G220)*Summary!$T$8/(1-Summary!$T$8),(T220+R220+G220)*Summary!$U$8/(1-Summary!$U$8)))</f>
        <v/>
      </c>
      <c r="W220" s="200" t="str">
        <f aca="false">IF($A221="","",(T220+R220+G220+V220))</f>
        <v/>
      </c>
      <c r="X220" s="200" t="str">
        <f aca="false">IF($A221="","",(U220+S220+H220+V220))</f>
        <v/>
      </c>
      <c r="Y220" s="202"/>
      <c r="Z220" s="185" t="str">
        <f aca="false">IF($A221="","",VLOOKUP($A220,Table,MATCH(Z$4,Curves,0)))</f>
        <v/>
      </c>
      <c r="AA220" s="185" t="str">
        <f aca="false">IF($A221="","",VLOOKUP($A220,Table,MATCH(AA$4,Curves,0)))</f>
        <v/>
      </c>
      <c r="AB220" s="185" t="e">
        <f aca="false">SQRT((AA220^2*(A220-$D$3)+Z220^2*(DAY(EOMONTH(A220,0))/2))/AK220)</f>
        <v>#VALUE!</v>
      </c>
      <c r="AC220" s="185" t="str">
        <f aca="false">IF($A221="","",VLOOKUP($A220,Table,MATCH(AC$4,Curves,0)))</f>
        <v/>
      </c>
      <c r="AD220" s="185" t="str">
        <f aca="false">IF($A221="","",VLOOKUP($A220,Table,MATCH(AD$4,Curves,0)))</f>
        <v/>
      </c>
      <c r="AE220" s="185" t="e">
        <f aca="false">SQRT((AD220^2*(A220-$D$3)+AC220^2*(DAY(EOMONTH(A220,0))/2))/AK220)</f>
        <v>#VALUE!</v>
      </c>
      <c r="AF220" s="224" t="e">
        <f aca="false">((Summary!$N$8*(AA220*AD220)*(A220-$D$3))+(Summary!$M$8*Z220*AC220*(AJ220-EOMONTH(EDATE(A220,-1),0))))/(AK220*AB220*AE220)</f>
        <v>#VALUE!</v>
      </c>
      <c r="AG220" s="207" t="str">
        <f aca="false">IF($A221="","",Summary!$Q$8)</f>
        <v/>
      </c>
      <c r="AH220" s="207" t="str">
        <f aca="false">IF($A221="","",IF(Summary!$R$8="Y",(VLOOKUP($A220,Summary!$AD$6:$AF$9,3)+'Escalating commodity'!D233),'Escalating commodity'!D233))</f>
        <v/>
      </c>
      <c r="AI220" s="207" t="str">
        <f aca="false">IF($A221="","",AH220)</f>
        <v/>
      </c>
      <c r="AJ220" s="208" t="e">
        <f aca="false">A220+DAY(EOMONTH(A220,0))/2-1</f>
        <v>#VALUE!</v>
      </c>
      <c r="AK220" s="209" t="str">
        <f aca="false">IF($A221="","",$A220-$E$1)</f>
        <v/>
      </c>
      <c r="AL220" s="182" t="str">
        <f aca="false">IF($A221="","",SPRDOPT(P220,X220,AI220,0,AB220,AE220,AF220,AK220,$AJ$2,0))</f>
        <v/>
      </c>
      <c r="AM220" s="211" t="str">
        <f aca="false">IF($A221="","",MAX(0,O220-W220-AI220))</f>
        <v/>
      </c>
      <c r="AN220" s="211" t="str">
        <f aca="false">IF($A221="","",AL220-AM220)</f>
        <v/>
      </c>
      <c r="AO220" s="137" t="str">
        <f aca="false">IF(A221="","",A221-A220)</f>
        <v/>
      </c>
      <c r="AP220" s="212" t="str">
        <f aca="false">IF(A221="","",CHOOSE(F$3,A221+24,A220))</f>
        <v/>
      </c>
      <c r="AQ220" s="209" t="str">
        <f aca="false">IF(A221="","",AP220-$E$1)</f>
        <v/>
      </c>
      <c r="AR220" s="185" t="n">
        <f aca="false">'ANR OK vs ML7'!AR220</f>
        <v>0.1</v>
      </c>
      <c r="AS220" s="213" t="str">
        <f aca="false">IF(A221="","",1/(1+CHOOSE(F$3,(AR221+($I$3/10000))/2,(AR220+($I$3/10000))/2))^(2*AQ220/365.25))</f>
        <v/>
      </c>
      <c r="AT220" s="137" t="str">
        <f aca="false">IF(A221="","",IF(AND(mthbeg&lt;=A220,mthend&gt;=A220),1,0))</f>
        <v/>
      </c>
      <c r="AU220" s="137" t="str">
        <f aca="false">IF(A221="","",AO220*AT220)</f>
        <v/>
      </c>
      <c r="AW220" s="195" t="str">
        <f aca="false">IF($A221="","",AL220*$E220)</f>
        <v/>
      </c>
      <c r="AX220" s="195" t="str">
        <f aca="false">IF($A221="","",AM220*$E220)</f>
        <v/>
      </c>
      <c r="AY220" s="195" t="str">
        <f aca="false">IF($A221="","",AN220*$E220)</f>
        <v/>
      </c>
      <c r="BA220" s="195" t="str">
        <f aca="false">IF($A221="","",F220*Summary!$Q$8)</f>
        <v/>
      </c>
    </row>
    <row r="221" customFormat="false" ht="12" hidden="false" customHeight="true" outlineLevel="0" collapsed="false">
      <c r="A221" s="196" t="str">
        <f aca="false">IF(A220&lt;mthend,EDATE(A220,1),"")</f>
        <v/>
      </c>
      <c r="B221" s="197" t="n">
        <f aca="false">IF(A221&lt;mthend,B220,0)</f>
        <v>0</v>
      </c>
      <c r="C221" s="215"/>
      <c r="D221" s="197" t="str">
        <f aca="false">IF(A222&lt;&gt;"",B221+C221,"")</f>
        <v/>
      </c>
      <c r="E221" s="199" t="str">
        <f aca="false">IF(A222="","",IF(AND(AT221=1,$H$3=1),D221*AO221,IF($H$3=2,D221,"N/A")))</f>
        <v/>
      </c>
      <c r="F221" s="199" t="str">
        <f aca="false">IF(A222="","",E221*AS221)</f>
        <v/>
      </c>
      <c r="G221" s="200" t="str">
        <f aca="false">IF($A222="","",VLOOKUP($A221,Table,MATCH(G$4,Curves,0)))</f>
        <v/>
      </c>
      <c r="H221" s="201" t="str">
        <f aca="false">IF(A222="","",G221)</f>
        <v/>
      </c>
      <c r="I221" s="202"/>
      <c r="J221" s="200" t="str">
        <f aca="false">IF($A222="","",VLOOKUP($A221,Table,MATCH(J$4,Curves,0)))</f>
        <v/>
      </c>
      <c r="K221" s="201" t="str">
        <f aca="false">IF(A222="","",J221)</f>
        <v/>
      </c>
      <c r="L221" s="200" t="str">
        <f aca="false">IF($A222="","",VLOOKUP($A221,Table,MATCH(L$4,Curves,0)))</f>
        <v/>
      </c>
      <c r="M221" s="201" t="str">
        <f aca="false">IF(A222="","",L221)</f>
        <v/>
      </c>
      <c r="N221" s="203"/>
      <c r="O221" s="200" t="str">
        <f aca="false">IF(A222="","",L221+J221+G221)</f>
        <v/>
      </c>
      <c r="P221" s="200" t="str">
        <f aca="false">IF(A222="","",M221+K221+H221)</f>
        <v/>
      </c>
      <c r="Q221" s="204"/>
      <c r="R221" s="200" t="str">
        <f aca="false">IF($A222="","",VLOOKUP($A221,Table,MATCH(R$4,Curves,0)))</f>
        <v/>
      </c>
      <c r="S221" s="201" t="str">
        <f aca="false">IF(A222="","",R221)</f>
        <v/>
      </c>
      <c r="T221" s="200" t="str">
        <f aca="false">IF($A222="","",VLOOKUP($A221,Table,MATCH(T$4,Curves,0)))</f>
        <v/>
      </c>
      <c r="U221" s="201" t="str">
        <f aca="false">IF(A222="","",T221)</f>
        <v/>
      </c>
      <c r="V221" s="183" t="str">
        <f aca="false">IF($A222="","",IF(AND(MONTH(A221)&gt;3,MONTH(A221)&lt;11),(T221+R221+G221)*Summary!$T$8/(1-Summary!$T$8),(T221+R221+G221)*Summary!$U$8/(1-Summary!$U$8)))</f>
        <v/>
      </c>
      <c r="W221" s="200" t="str">
        <f aca="false">IF($A222="","",(T221+R221+G221+V221))</f>
        <v/>
      </c>
      <c r="X221" s="200" t="str">
        <f aca="false">IF($A222="","",(U221+S221+H221+V221))</f>
        <v/>
      </c>
      <c r="Y221" s="202"/>
      <c r="Z221" s="185" t="str">
        <f aca="false">IF($A222="","",VLOOKUP($A221,Table,MATCH(Z$4,Curves,0)))</f>
        <v/>
      </c>
      <c r="AA221" s="185" t="str">
        <f aca="false">IF($A222="","",VLOOKUP($A221,Table,MATCH(AA$4,Curves,0)))</f>
        <v/>
      </c>
      <c r="AB221" s="185" t="e">
        <f aca="false">SQRT((AA221^2*(A221-$D$3)+Z221^2*(DAY(EOMONTH(A221,0))/2))/AK221)</f>
        <v>#VALUE!</v>
      </c>
      <c r="AC221" s="185" t="str">
        <f aca="false">IF($A222="","",VLOOKUP($A221,Table,MATCH(AC$4,Curves,0)))</f>
        <v/>
      </c>
      <c r="AD221" s="185" t="str">
        <f aca="false">IF($A222="","",VLOOKUP($A221,Table,MATCH(AD$4,Curves,0)))</f>
        <v/>
      </c>
      <c r="AE221" s="185" t="e">
        <f aca="false">SQRT((AD221^2*(A221-$D$3)+AC221^2*(DAY(EOMONTH(A221,0))/2))/AK221)</f>
        <v>#VALUE!</v>
      </c>
      <c r="AF221" s="224" t="e">
        <f aca="false">((Summary!$N$8*(AA221*AD221)*(A221-$D$3))+(Summary!$M$8*Z221*AC221*(AJ221-EOMONTH(EDATE(A221,-1),0))))/(AK221*AB221*AE221)</f>
        <v>#VALUE!</v>
      </c>
      <c r="AG221" s="207" t="str">
        <f aca="false">IF($A222="","",Summary!$Q$8)</f>
        <v/>
      </c>
      <c r="AH221" s="207" t="str">
        <f aca="false">IF($A222="","",IF(Summary!$R$8="Y",(VLOOKUP($A221,Summary!$AD$6:$AF$9,3)+'Escalating commodity'!D234),'Escalating commodity'!D234))</f>
        <v/>
      </c>
      <c r="AI221" s="207" t="str">
        <f aca="false">IF($A222="","",AH221)</f>
        <v/>
      </c>
      <c r="AJ221" s="208" t="e">
        <f aca="false">A221+DAY(EOMONTH(A221,0))/2-1</f>
        <v>#VALUE!</v>
      </c>
      <c r="AK221" s="209" t="str">
        <f aca="false">IF($A222="","",$A221-$E$1)</f>
        <v/>
      </c>
      <c r="AL221" s="182" t="str">
        <f aca="false">IF($A222="","",SPRDOPT(P221,X221,AI221,0,AB221,AE221,AF221,AK221,$AJ$2,0))</f>
        <v/>
      </c>
      <c r="AM221" s="211" t="str">
        <f aca="false">IF($A222="","",MAX(0,O221-W221-AI221))</f>
        <v/>
      </c>
      <c r="AN221" s="211" t="str">
        <f aca="false">IF($A222="","",AL221-AM221)</f>
        <v/>
      </c>
      <c r="AO221" s="137" t="str">
        <f aca="false">IF(A222="","",A222-A221)</f>
        <v/>
      </c>
      <c r="AP221" s="212" t="str">
        <f aca="false">IF(A222="","",CHOOSE(F$3,A222+24,A221))</f>
        <v/>
      </c>
      <c r="AQ221" s="209" t="str">
        <f aca="false">IF(A222="","",AP221-$E$1)</f>
        <v/>
      </c>
      <c r="AR221" s="185" t="n">
        <f aca="false">'ANR OK vs ML7'!AR221</f>
        <v>0.1</v>
      </c>
      <c r="AS221" s="213" t="str">
        <f aca="false">IF(A222="","",1/(1+CHOOSE(F$3,(AR222+($I$3/10000))/2,(AR221+($I$3/10000))/2))^(2*AQ221/365.25))</f>
        <v/>
      </c>
      <c r="AT221" s="137" t="str">
        <f aca="false">IF(A222="","",IF(AND(mthbeg&lt;=A221,mthend&gt;=A221),1,0))</f>
        <v/>
      </c>
      <c r="AU221" s="137" t="str">
        <f aca="false">IF(A222="","",AO221*AT221)</f>
        <v/>
      </c>
      <c r="AW221" s="195" t="str">
        <f aca="false">IF($A222="","",AL221*$E221)</f>
        <v/>
      </c>
      <c r="AX221" s="195" t="str">
        <f aca="false">IF($A222="","",AM221*$E221)</f>
        <v/>
      </c>
      <c r="AY221" s="195" t="str">
        <f aca="false">IF($A222="","",AN221*$E221)</f>
        <v/>
      </c>
      <c r="BA221" s="195" t="str">
        <f aca="false">IF($A222="","",F221*Summary!$Q$8)</f>
        <v/>
      </c>
    </row>
    <row r="222" customFormat="false" ht="12" hidden="false" customHeight="true" outlineLevel="0" collapsed="false">
      <c r="A222" s="196" t="str">
        <f aca="false">IF(A221&lt;mthend,EDATE(A221,1),"")</f>
        <v/>
      </c>
      <c r="B222" s="197" t="n">
        <f aca="false">IF(A222&lt;mthend,B221,0)</f>
        <v>0</v>
      </c>
      <c r="C222" s="215"/>
      <c r="D222" s="197" t="str">
        <f aca="false">IF(A223&lt;&gt;"",B222+C222,"")</f>
        <v/>
      </c>
      <c r="E222" s="199" t="str">
        <f aca="false">IF(A223="","",IF(AND(AT222=1,$H$3=1),D222*AO222,IF($H$3=2,D222,"N/A")))</f>
        <v/>
      </c>
      <c r="F222" s="199" t="str">
        <f aca="false">IF(A223="","",E222*AS222)</f>
        <v/>
      </c>
      <c r="G222" s="200" t="str">
        <f aca="false">IF($A223="","",VLOOKUP($A222,Table,MATCH(G$4,Curves,0)))</f>
        <v/>
      </c>
      <c r="H222" s="201" t="str">
        <f aca="false">IF(A223="","",G222)</f>
        <v/>
      </c>
      <c r="I222" s="202"/>
      <c r="J222" s="200" t="str">
        <f aca="false">IF($A223="","",VLOOKUP($A222,Table,MATCH(J$4,Curves,0)))</f>
        <v/>
      </c>
      <c r="K222" s="201" t="str">
        <f aca="false">IF(A223="","",J222)</f>
        <v/>
      </c>
      <c r="L222" s="200" t="str">
        <f aca="false">IF($A223="","",VLOOKUP($A222,Table,MATCH(L$4,Curves,0)))</f>
        <v/>
      </c>
      <c r="M222" s="201" t="str">
        <f aca="false">IF(A223="","",L222)</f>
        <v/>
      </c>
      <c r="N222" s="203"/>
      <c r="O222" s="200" t="str">
        <f aca="false">IF(A223="","",L222+J222+G222)</f>
        <v/>
      </c>
      <c r="P222" s="200" t="str">
        <f aca="false">IF(A223="","",M222+K222+H222)</f>
        <v/>
      </c>
      <c r="Q222" s="204"/>
      <c r="R222" s="200" t="str">
        <f aca="false">IF($A223="","",VLOOKUP($A222,Table,MATCH(R$4,Curves,0)))</f>
        <v/>
      </c>
      <c r="S222" s="201" t="str">
        <f aca="false">IF(A223="","",R222)</f>
        <v/>
      </c>
      <c r="T222" s="200" t="str">
        <f aca="false">IF($A223="","",VLOOKUP($A222,Table,MATCH(T$4,Curves,0)))</f>
        <v/>
      </c>
      <c r="U222" s="201" t="str">
        <f aca="false">IF(A223="","",T222)</f>
        <v/>
      </c>
      <c r="V222" s="183" t="str">
        <f aca="false">IF($A223="","",IF(AND(MONTH(A222)&gt;3,MONTH(A222)&lt;11),(T222+R222+G222)*Summary!$T$8/(1-Summary!$T$8),(T222+R222+G222)*Summary!$U$8/(1-Summary!$U$8)))</f>
        <v/>
      </c>
      <c r="W222" s="200" t="str">
        <f aca="false">IF($A223="","",(T222+R222+G222+V222))</f>
        <v/>
      </c>
      <c r="X222" s="200" t="str">
        <f aca="false">IF($A223="","",(U222+S222+H222+V222))</f>
        <v/>
      </c>
      <c r="Y222" s="202"/>
      <c r="Z222" s="185" t="str">
        <f aca="false">IF($A223="","",VLOOKUP($A222,Table,MATCH(Z$4,Curves,0)))</f>
        <v/>
      </c>
      <c r="AA222" s="185" t="str">
        <f aca="false">IF($A223="","",VLOOKUP($A222,Table,MATCH(AA$4,Curves,0)))</f>
        <v/>
      </c>
      <c r="AB222" s="185" t="e">
        <f aca="false">SQRT((AA222^2*(A222-$D$3)+Z222^2*(DAY(EOMONTH(A222,0))/2))/AK222)</f>
        <v>#VALUE!</v>
      </c>
      <c r="AC222" s="185" t="str">
        <f aca="false">IF($A223="","",VLOOKUP($A222,Table,MATCH(AC$4,Curves,0)))</f>
        <v/>
      </c>
      <c r="AD222" s="185" t="str">
        <f aca="false">IF($A223="","",VLOOKUP($A222,Table,MATCH(AD$4,Curves,0)))</f>
        <v/>
      </c>
      <c r="AE222" s="185" t="e">
        <f aca="false">SQRT((AD222^2*(A222-$D$3)+AC222^2*(DAY(EOMONTH(A222,0))/2))/AK222)</f>
        <v>#VALUE!</v>
      </c>
      <c r="AF222" s="224" t="e">
        <f aca="false">((Summary!$N$8*(AA222*AD222)*(A222-$D$3))+(Summary!$M$8*Z222*AC222*(AJ222-EOMONTH(EDATE(A222,-1),0))))/(AK222*AB222*AE222)</f>
        <v>#VALUE!</v>
      </c>
      <c r="AG222" s="207" t="str">
        <f aca="false">IF($A223="","",Summary!$Q$8)</f>
        <v/>
      </c>
      <c r="AH222" s="207" t="str">
        <f aca="false">IF($A223="","",IF(Summary!$R$8="Y",(VLOOKUP($A222,Summary!$AD$6:$AF$9,3)+'Escalating commodity'!D235),'Escalating commodity'!D235))</f>
        <v/>
      </c>
      <c r="AI222" s="207" t="str">
        <f aca="false">IF($A223="","",AH222)</f>
        <v/>
      </c>
      <c r="AJ222" s="208" t="e">
        <f aca="false">A222+DAY(EOMONTH(A222,0))/2-1</f>
        <v>#VALUE!</v>
      </c>
      <c r="AK222" s="209" t="str">
        <f aca="false">IF($A223="","",$A222-$E$1)</f>
        <v/>
      </c>
      <c r="AL222" s="182" t="str">
        <f aca="false">IF($A223="","",SPRDOPT(P222,X222,AI222,0,AB222,AE222,AF222,AK222,$AJ$2,0))</f>
        <v/>
      </c>
      <c r="AM222" s="211" t="str">
        <f aca="false">IF($A223="","",MAX(0,O222-W222-AI222))</f>
        <v/>
      </c>
      <c r="AN222" s="211" t="str">
        <f aca="false">IF($A223="","",AL222-AM222)</f>
        <v/>
      </c>
      <c r="AO222" s="137" t="str">
        <f aca="false">IF(A223="","",A223-A222)</f>
        <v/>
      </c>
      <c r="AP222" s="212" t="str">
        <f aca="false">IF(A223="","",CHOOSE(F$3,A223+24,A222))</f>
        <v/>
      </c>
      <c r="AQ222" s="209" t="str">
        <f aca="false">IF(A223="","",AP222-$E$1)</f>
        <v/>
      </c>
      <c r="AR222" s="185" t="n">
        <f aca="false">'ANR OK vs ML7'!AR222</f>
        <v>0.1</v>
      </c>
      <c r="AS222" s="213" t="str">
        <f aca="false">IF(A223="","",1/(1+CHOOSE(F$3,(AR223+($I$3/10000))/2,(AR222+($I$3/10000))/2))^(2*AQ222/365.25))</f>
        <v/>
      </c>
      <c r="AT222" s="137" t="str">
        <f aca="false">IF(A223="","",IF(AND(mthbeg&lt;=A222,mthend&gt;=A222),1,0))</f>
        <v/>
      </c>
      <c r="AU222" s="137" t="str">
        <f aca="false">IF(A223="","",AO222*AT222)</f>
        <v/>
      </c>
      <c r="AW222" s="195" t="str">
        <f aca="false">IF($A223="","",AL222*$E222)</f>
        <v/>
      </c>
      <c r="AX222" s="195" t="str">
        <f aca="false">IF($A223="","",AM222*$E222)</f>
        <v/>
      </c>
      <c r="AY222" s="195" t="str">
        <f aca="false">IF($A223="","",AN222*$E222)</f>
        <v/>
      </c>
      <c r="BA222" s="195" t="str">
        <f aca="false">IF($A223="","",F222*Summary!$Q$8)</f>
        <v/>
      </c>
    </row>
    <row r="223" customFormat="false" ht="12" hidden="false" customHeight="true" outlineLevel="0" collapsed="false">
      <c r="A223" s="196" t="str">
        <f aca="false">IF(A222&lt;mthend,EDATE(A222,1),"")</f>
        <v/>
      </c>
      <c r="B223" s="197" t="n">
        <f aca="false">IF(A223&lt;mthend,B222,0)</f>
        <v>0</v>
      </c>
      <c r="C223" s="215"/>
      <c r="D223" s="197" t="str">
        <f aca="false">IF(A224&lt;&gt;"",B223+C223,"")</f>
        <v/>
      </c>
      <c r="E223" s="199" t="str">
        <f aca="false">IF(A224="","",IF(AND(AT223=1,$H$3=1),D223*AO223,IF($H$3=2,D223,"N/A")))</f>
        <v/>
      </c>
      <c r="F223" s="199" t="str">
        <f aca="false">IF(A224="","",E223*AS223)</f>
        <v/>
      </c>
      <c r="G223" s="200" t="str">
        <f aca="false">IF($A224="","",VLOOKUP($A223,Table,MATCH(G$4,Curves,0)))</f>
        <v/>
      </c>
      <c r="H223" s="201" t="str">
        <f aca="false">IF(A224="","",G223)</f>
        <v/>
      </c>
      <c r="I223" s="202"/>
      <c r="J223" s="200" t="str">
        <f aca="false">IF($A224="","",VLOOKUP($A223,Table,MATCH(J$4,Curves,0)))</f>
        <v/>
      </c>
      <c r="K223" s="201" t="str">
        <f aca="false">IF(A224="","",J223)</f>
        <v/>
      </c>
      <c r="L223" s="200" t="str">
        <f aca="false">IF($A224="","",VLOOKUP($A223,Table,MATCH(L$4,Curves,0)))</f>
        <v/>
      </c>
      <c r="M223" s="201" t="str">
        <f aca="false">IF(A224="","",L223)</f>
        <v/>
      </c>
      <c r="N223" s="203"/>
      <c r="O223" s="200" t="str">
        <f aca="false">IF(A224="","",L223+J223+G223)</f>
        <v/>
      </c>
      <c r="P223" s="200" t="str">
        <f aca="false">IF(A224="","",M223+K223+H223)</f>
        <v/>
      </c>
      <c r="Q223" s="204"/>
      <c r="R223" s="200" t="str">
        <f aca="false">IF($A224="","",VLOOKUP($A223,Table,MATCH(R$4,Curves,0)))</f>
        <v/>
      </c>
      <c r="S223" s="201" t="str">
        <f aca="false">IF(A224="","",R223)</f>
        <v/>
      </c>
      <c r="T223" s="200" t="str">
        <f aca="false">IF($A224="","",VLOOKUP($A223,Table,MATCH(T$4,Curves,0)))</f>
        <v/>
      </c>
      <c r="U223" s="201" t="str">
        <f aca="false">IF(A224="","",T223)</f>
        <v/>
      </c>
      <c r="V223" s="183" t="str">
        <f aca="false">IF($A224="","",IF(AND(MONTH(A223)&gt;3,MONTH(A223)&lt;11),(T223+R223+G223)*Summary!$T$8/(1-Summary!$T$8),(T223+R223+G223)*Summary!$U$8/(1-Summary!$U$8)))</f>
        <v/>
      </c>
      <c r="W223" s="200" t="str">
        <f aca="false">IF($A224="","",(T223+R223+G223+V223))</f>
        <v/>
      </c>
      <c r="X223" s="200" t="str">
        <f aca="false">IF($A224="","",(U223+S223+H223+V223))</f>
        <v/>
      </c>
      <c r="Y223" s="202"/>
      <c r="Z223" s="185" t="str">
        <f aca="false">IF($A224="","",VLOOKUP($A223,Table,MATCH(Z$4,Curves,0)))</f>
        <v/>
      </c>
      <c r="AA223" s="185" t="str">
        <f aca="false">IF($A224="","",VLOOKUP($A223,Table,MATCH(AA$4,Curves,0)))</f>
        <v/>
      </c>
      <c r="AB223" s="185" t="e">
        <f aca="false">SQRT((AA223^2*(A223-$D$3)+Z223^2*(DAY(EOMONTH(A223,0))/2))/AK223)</f>
        <v>#VALUE!</v>
      </c>
      <c r="AC223" s="185" t="str">
        <f aca="false">IF($A224="","",VLOOKUP($A223,Table,MATCH(AC$4,Curves,0)))</f>
        <v/>
      </c>
      <c r="AD223" s="185" t="str">
        <f aca="false">IF($A224="","",VLOOKUP($A223,Table,MATCH(AD$4,Curves,0)))</f>
        <v/>
      </c>
      <c r="AE223" s="185" t="e">
        <f aca="false">SQRT((AD223^2*(A223-$D$3)+AC223^2*(DAY(EOMONTH(A223,0))/2))/AK223)</f>
        <v>#VALUE!</v>
      </c>
      <c r="AF223" s="224" t="e">
        <f aca="false">((Summary!$N$8*(AA223*AD223)*(A223-$D$3))+(Summary!$M$8*Z223*AC223*(AJ223-EOMONTH(EDATE(A223,-1),0))))/(AK223*AB223*AE223)</f>
        <v>#VALUE!</v>
      </c>
      <c r="AG223" s="207" t="str">
        <f aca="false">IF($A224="","",Summary!$Q$8)</f>
        <v/>
      </c>
      <c r="AH223" s="207" t="str">
        <f aca="false">IF($A224="","",IF(Summary!$R$8="Y",(VLOOKUP($A223,Summary!$AD$6:$AF$9,3)+'Escalating commodity'!D236),'Escalating commodity'!D236))</f>
        <v/>
      </c>
      <c r="AI223" s="207" t="str">
        <f aca="false">IF($A224="","",AH223)</f>
        <v/>
      </c>
      <c r="AJ223" s="208" t="e">
        <f aca="false">A223+DAY(EOMONTH(A223,0))/2-1</f>
        <v>#VALUE!</v>
      </c>
      <c r="AK223" s="209" t="str">
        <f aca="false">IF($A224="","",$A223-$E$1)</f>
        <v/>
      </c>
      <c r="AL223" s="182" t="str">
        <f aca="false">IF($A224="","",SPRDOPT(P223,X223,AI223,0,AB223,AE223,AF223,AK223,$AJ$2,0))</f>
        <v/>
      </c>
      <c r="AM223" s="211" t="str">
        <f aca="false">IF($A224="","",MAX(0,O223-W223-AI223))</f>
        <v/>
      </c>
      <c r="AN223" s="211" t="str">
        <f aca="false">IF($A224="","",AL223-AM223)</f>
        <v/>
      </c>
      <c r="AO223" s="137" t="str">
        <f aca="false">IF(A224="","",A224-A223)</f>
        <v/>
      </c>
      <c r="AP223" s="212" t="str">
        <f aca="false">IF(A224="","",CHOOSE(F$3,A224+24,A223))</f>
        <v/>
      </c>
      <c r="AQ223" s="209" t="str">
        <f aca="false">IF(A224="","",AP223-$E$1)</f>
        <v/>
      </c>
      <c r="AR223" s="185" t="n">
        <f aca="false">'ANR OK vs ML7'!AR223</f>
        <v>0.1</v>
      </c>
      <c r="AS223" s="213" t="str">
        <f aca="false">IF(A224="","",1/(1+CHOOSE(F$3,(AR224+($I$3/10000))/2,(AR223+($I$3/10000))/2))^(2*AQ223/365.25))</f>
        <v/>
      </c>
      <c r="AT223" s="137" t="str">
        <f aca="false">IF(A224="","",IF(AND(mthbeg&lt;=A223,mthend&gt;=A223),1,0))</f>
        <v/>
      </c>
      <c r="AU223" s="137" t="str">
        <f aca="false">IF(A224="","",AO223*AT223)</f>
        <v/>
      </c>
      <c r="AW223" s="195" t="str">
        <f aca="false">IF($A224="","",AL223*$E223)</f>
        <v/>
      </c>
      <c r="AX223" s="195" t="str">
        <f aca="false">IF($A224="","",AM223*$E223)</f>
        <v/>
      </c>
      <c r="AY223" s="195" t="str">
        <f aca="false">IF($A224="","",AN223*$E223)</f>
        <v/>
      </c>
      <c r="BA223" s="195" t="str">
        <f aca="false">IF($A224="","",F223*Summary!$Q$8)</f>
        <v/>
      </c>
    </row>
    <row r="224" customFormat="false" ht="12" hidden="false" customHeight="true" outlineLevel="0" collapsed="false">
      <c r="A224" s="196" t="str">
        <f aca="false">IF(A223&lt;mthend,EDATE(A223,1),"")</f>
        <v/>
      </c>
      <c r="B224" s="197" t="n">
        <f aca="false">IF(A224&lt;mthend,B223,0)</f>
        <v>0</v>
      </c>
      <c r="C224" s="215"/>
      <c r="D224" s="197" t="str">
        <f aca="false">IF(A225&lt;&gt;"",B224+C224,"")</f>
        <v/>
      </c>
      <c r="E224" s="199" t="str">
        <f aca="false">IF(A225="","",IF(AND(AT224=1,$H$3=1),D224*AO224,IF($H$3=2,D224,"N/A")))</f>
        <v/>
      </c>
      <c r="F224" s="199" t="str">
        <f aca="false">IF(A225="","",E224*AS224)</f>
        <v/>
      </c>
      <c r="G224" s="200" t="str">
        <f aca="false">IF($A225="","",VLOOKUP($A224,Table,MATCH(G$4,Curves,0)))</f>
        <v/>
      </c>
      <c r="H224" s="201" t="str">
        <f aca="false">IF(A225="","",G224)</f>
        <v/>
      </c>
      <c r="I224" s="202"/>
      <c r="J224" s="200" t="str">
        <f aca="false">IF($A225="","",VLOOKUP($A224,Table,MATCH(J$4,Curves,0)))</f>
        <v/>
      </c>
      <c r="K224" s="201" t="str">
        <f aca="false">IF(A225="","",J224)</f>
        <v/>
      </c>
      <c r="L224" s="200" t="str">
        <f aca="false">IF($A225="","",VLOOKUP($A224,Table,MATCH(L$4,Curves,0)))</f>
        <v/>
      </c>
      <c r="M224" s="201" t="str">
        <f aca="false">IF(A225="","",L224)</f>
        <v/>
      </c>
      <c r="N224" s="203"/>
      <c r="O224" s="200" t="str">
        <f aca="false">IF(A225="","",L224+J224+G224)</f>
        <v/>
      </c>
      <c r="P224" s="200" t="str">
        <f aca="false">IF(A225="","",M224+K224+H224)</f>
        <v/>
      </c>
      <c r="Q224" s="204"/>
      <c r="R224" s="200" t="str">
        <f aca="false">IF($A225="","",VLOOKUP($A224,Table,MATCH(R$4,Curves,0)))</f>
        <v/>
      </c>
      <c r="S224" s="201" t="str">
        <f aca="false">IF(A225="","",R224)</f>
        <v/>
      </c>
      <c r="T224" s="200" t="str">
        <f aca="false">IF($A225="","",VLOOKUP($A224,Table,MATCH(T$4,Curves,0)))</f>
        <v/>
      </c>
      <c r="U224" s="201" t="str">
        <f aca="false">IF(A225="","",T224)</f>
        <v/>
      </c>
      <c r="V224" s="183" t="str">
        <f aca="false">IF($A225="","",IF(AND(MONTH(A224)&gt;3,MONTH(A224)&lt;11),(T224+R224+G224)*Summary!$T$8/(1-Summary!$T$8),(T224+R224+G224)*Summary!$U$8/(1-Summary!$U$8)))</f>
        <v/>
      </c>
      <c r="W224" s="200" t="str">
        <f aca="false">IF($A225="","",(T224+R224+G224+V224))</f>
        <v/>
      </c>
      <c r="X224" s="200" t="str">
        <f aca="false">IF($A225="","",(U224+S224+H224+V224))</f>
        <v/>
      </c>
      <c r="Y224" s="202"/>
      <c r="Z224" s="185" t="str">
        <f aca="false">IF($A225="","",VLOOKUP($A224,Table,MATCH(Z$4,Curves,0)))</f>
        <v/>
      </c>
      <c r="AA224" s="185" t="str">
        <f aca="false">IF($A225="","",VLOOKUP($A224,Table,MATCH(AA$4,Curves,0)))</f>
        <v/>
      </c>
      <c r="AB224" s="185" t="e">
        <f aca="false">SQRT((AA224^2*(A224-$D$3)+Z224^2*(DAY(EOMONTH(A224,0))/2))/AK224)</f>
        <v>#VALUE!</v>
      </c>
      <c r="AC224" s="185" t="str">
        <f aca="false">IF($A225="","",VLOOKUP($A224,Table,MATCH(AC$4,Curves,0)))</f>
        <v/>
      </c>
      <c r="AD224" s="185" t="str">
        <f aca="false">IF($A225="","",VLOOKUP($A224,Table,MATCH(AD$4,Curves,0)))</f>
        <v/>
      </c>
      <c r="AE224" s="185" t="e">
        <f aca="false">SQRT((AD224^2*(A224-$D$3)+AC224^2*(DAY(EOMONTH(A224,0))/2))/AK224)</f>
        <v>#VALUE!</v>
      </c>
      <c r="AF224" s="224" t="e">
        <f aca="false">((Summary!$N$8*(AA224*AD224)*(A224-$D$3))+(Summary!$M$8*Z224*AC224*(AJ224-EOMONTH(EDATE(A224,-1),0))))/(AK224*AB224*AE224)</f>
        <v>#VALUE!</v>
      </c>
      <c r="AG224" s="207" t="str">
        <f aca="false">IF($A225="","",Summary!$Q$8)</f>
        <v/>
      </c>
      <c r="AH224" s="207" t="str">
        <f aca="false">IF($A225="","",IF(Summary!$R$8="Y",(VLOOKUP($A224,Summary!$AD$6:$AF$9,3)+'Escalating commodity'!D237),'Escalating commodity'!D237))</f>
        <v/>
      </c>
      <c r="AI224" s="207" t="str">
        <f aca="false">IF($A225="","",AH224)</f>
        <v/>
      </c>
      <c r="AJ224" s="208" t="e">
        <f aca="false">A224+DAY(EOMONTH(A224,0))/2-1</f>
        <v>#VALUE!</v>
      </c>
      <c r="AK224" s="209" t="str">
        <f aca="false">IF($A225="","",$A224-$E$1)</f>
        <v/>
      </c>
      <c r="AL224" s="182" t="str">
        <f aca="false">IF($A225="","",SPRDOPT(P224,X224,AI224,0,AB224,AE224,AF224,AK224,$AJ$2,0))</f>
        <v/>
      </c>
      <c r="AM224" s="211" t="str">
        <f aca="false">IF($A225="","",MAX(0,O224-W224-AI224))</f>
        <v/>
      </c>
      <c r="AN224" s="211" t="str">
        <f aca="false">IF($A225="","",AL224-AM224)</f>
        <v/>
      </c>
      <c r="AO224" s="137" t="str">
        <f aca="false">IF(A225="","",A225-A224)</f>
        <v/>
      </c>
      <c r="AP224" s="212" t="str">
        <f aca="false">IF(A225="","",CHOOSE(F$3,A225+24,A224))</f>
        <v/>
      </c>
      <c r="AQ224" s="209" t="str">
        <f aca="false">IF(A225="","",AP224-$E$1)</f>
        <v/>
      </c>
      <c r="AR224" s="185" t="n">
        <f aca="false">'ANR OK vs ML7'!AR224</f>
        <v>0.1</v>
      </c>
      <c r="AS224" s="213" t="str">
        <f aca="false">IF(A225="","",1/(1+CHOOSE(F$3,(AR225+($I$3/10000))/2,(AR224+($I$3/10000))/2))^(2*AQ224/365.25))</f>
        <v/>
      </c>
      <c r="AT224" s="137" t="str">
        <f aca="false">IF(A225="","",IF(AND(mthbeg&lt;=A224,mthend&gt;=A224),1,0))</f>
        <v/>
      </c>
      <c r="AU224" s="137" t="str">
        <f aca="false">IF(A225="","",AO224*AT224)</f>
        <v/>
      </c>
      <c r="AW224" s="195" t="str">
        <f aca="false">IF($A225="","",AL224*$E224)</f>
        <v/>
      </c>
      <c r="AX224" s="195" t="str">
        <f aca="false">IF($A225="","",AM224*$E224)</f>
        <v/>
      </c>
      <c r="AY224" s="195" t="str">
        <f aca="false">IF($A225="","",AN224*$E224)</f>
        <v/>
      </c>
      <c r="BA224" s="195" t="str">
        <f aca="false">IF($A225="","",F224*Summary!$Q$8)</f>
        <v/>
      </c>
    </row>
    <row r="225" customFormat="false" ht="12" hidden="false" customHeight="true" outlineLevel="0" collapsed="false">
      <c r="A225" s="196" t="str">
        <f aca="false">IF(A224&lt;mthend,EDATE(A224,1),"")</f>
        <v/>
      </c>
      <c r="B225" s="197" t="n">
        <f aca="false">IF(A225&lt;mthend,B224,0)</f>
        <v>0</v>
      </c>
      <c r="C225" s="215"/>
      <c r="D225" s="197" t="str">
        <f aca="false">IF(A226&lt;&gt;"",B225+C225,"")</f>
        <v/>
      </c>
      <c r="E225" s="199" t="str">
        <f aca="false">IF(A226="","",IF(AND(AT225=1,$H$3=1),D225*AO225,IF($H$3=2,D225,"N/A")))</f>
        <v/>
      </c>
      <c r="F225" s="199" t="str">
        <f aca="false">IF(A226="","",E225*AS225)</f>
        <v/>
      </c>
      <c r="G225" s="200" t="str">
        <f aca="false">IF($A226="","",VLOOKUP($A225,Table,MATCH(G$4,Curves,0)))</f>
        <v/>
      </c>
      <c r="H225" s="201" t="str">
        <f aca="false">IF(A226="","",G225)</f>
        <v/>
      </c>
      <c r="I225" s="202"/>
      <c r="J225" s="200" t="str">
        <f aca="false">IF($A226="","",VLOOKUP($A225,Table,MATCH(J$4,Curves,0)))</f>
        <v/>
      </c>
      <c r="K225" s="201" t="str">
        <f aca="false">IF(A226="","",J225)</f>
        <v/>
      </c>
      <c r="L225" s="200" t="str">
        <f aca="false">IF($A226="","",VLOOKUP($A225,Table,MATCH(L$4,Curves,0)))</f>
        <v/>
      </c>
      <c r="M225" s="201" t="str">
        <f aca="false">IF(A226="","",L225)</f>
        <v/>
      </c>
      <c r="N225" s="203"/>
      <c r="O225" s="200" t="str">
        <f aca="false">IF(A226="","",L225+J225+G225)</f>
        <v/>
      </c>
      <c r="P225" s="200" t="str">
        <f aca="false">IF(A226="","",M225+K225+H225)</f>
        <v/>
      </c>
      <c r="Q225" s="204"/>
      <c r="R225" s="200" t="str">
        <f aca="false">IF($A226="","",VLOOKUP($A225,Table,MATCH(R$4,Curves,0)))</f>
        <v/>
      </c>
      <c r="S225" s="201" t="str">
        <f aca="false">IF(A226="","",R225)</f>
        <v/>
      </c>
      <c r="T225" s="200" t="str">
        <f aca="false">IF($A226="","",VLOOKUP($A225,Table,MATCH(T$4,Curves,0)))</f>
        <v/>
      </c>
      <c r="U225" s="201" t="str">
        <f aca="false">IF(A226="","",T225)</f>
        <v/>
      </c>
      <c r="V225" s="183" t="str">
        <f aca="false">IF($A226="","",IF(AND(MONTH(A225)&gt;3,MONTH(A225)&lt;11),(T225+R225+G225)*Summary!$T$8/(1-Summary!$T$8),(T225+R225+G225)*Summary!$U$8/(1-Summary!$U$8)))</f>
        <v/>
      </c>
      <c r="W225" s="200" t="str">
        <f aca="false">IF($A226="","",(T225+R225+G225+V225))</f>
        <v/>
      </c>
      <c r="X225" s="200" t="str">
        <f aca="false">IF($A226="","",(U225+S225+H225+V225))</f>
        <v/>
      </c>
      <c r="Y225" s="202"/>
      <c r="Z225" s="185" t="str">
        <f aca="false">IF($A226="","",VLOOKUP($A225,Table,MATCH(Z$4,Curves,0)))</f>
        <v/>
      </c>
      <c r="AA225" s="185" t="str">
        <f aca="false">IF($A226="","",VLOOKUP($A225,Table,MATCH(AA$4,Curves,0)))</f>
        <v/>
      </c>
      <c r="AB225" s="185" t="e">
        <f aca="false">SQRT((AA225^2*(A225-$D$3)+Z225^2*(DAY(EOMONTH(A225,0))/2))/AK225)</f>
        <v>#VALUE!</v>
      </c>
      <c r="AC225" s="185" t="str">
        <f aca="false">IF($A226="","",VLOOKUP($A225,Table,MATCH(AC$4,Curves,0)))</f>
        <v/>
      </c>
      <c r="AD225" s="185" t="str">
        <f aca="false">IF($A226="","",VLOOKUP($A225,Table,MATCH(AD$4,Curves,0)))</f>
        <v/>
      </c>
      <c r="AE225" s="185" t="e">
        <f aca="false">SQRT((AD225^2*(A225-$D$3)+AC225^2*(DAY(EOMONTH(A225,0))/2))/AK225)</f>
        <v>#VALUE!</v>
      </c>
      <c r="AF225" s="224" t="e">
        <f aca="false">((Summary!$N$8*(AA225*AD225)*(A225-$D$3))+(Summary!$M$8*Z225*AC225*(AJ225-EOMONTH(EDATE(A225,-1),0))))/(AK225*AB225*AE225)</f>
        <v>#VALUE!</v>
      </c>
      <c r="AG225" s="207" t="str">
        <f aca="false">IF($A226="","",Summary!$Q$8)</f>
        <v/>
      </c>
      <c r="AH225" s="207" t="str">
        <f aca="false">IF($A226="","",IF(Summary!$R$8="Y",(VLOOKUP($A225,Summary!$AD$6:$AF$9,3)+'Escalating commodity'!D238),'Escalating commodity'!D238))</f>
        <v/>
      </c>
      <c r="AI225" s="207" t="str">
        <f aca="false">IF($A226="","",AH225)</f>
        <v/>
      </c>
      <c r="AJ225" s="208" t="e">
        <f aca="false">A225+DAY(EOMONTH(A225,0))/2-1</f>
        <v>#VALUE!</v>
      </c>
      <c r="AK225" s="209" t="str">
        <f aca="false">IF($A226="","",$A225-$E$1)</f>
        <v/>
      </c>
      <c r="AL225" s="182" t="str">
        <f aca="false">IF($A226="","",SPRDOPT(P225,X225,AI225,0,AB225,AE225,AF225,AK225,$AJ$2,0))</f>
        <v/>
      </c>
      <c r="AM225" s="211" t="str">
        <f aca="false">IF($A226="","",MAX(0,O225-W225-AI225))</f>
        <v/>
      </c>
      <c r="AN225" s="211" t="str">
        <f aca="false">IF($A226="","",AL225-AM225)</f>
        <v/>
      </c>
      <c r="AO225" s="137" t="str">
        <f aca="false">IF(A226="","",A226-A225)</f>
        <v/>
      </c>
      <c r="AP225" s="212" t="str">
        <f aca="false">IF(A226="","",CHOOSE(F$3,A226+24,A225))</f>
        <v/>
      </c>
      <c r="AQ225" s="209" t="str">
        <f aca="false">IF(A226="","",AP225-$E$1)</f>
        <v/>
      </c>
      <c r="AR225" s="185" t="n">
        <f aca="false">'ANR OK vs ML7'!AR225</f>
        <v>0.1</v>
      </c>
      <c r="AS225" s="213" t="str">
        <f aca="false">IF(A226="","",1/(1+CHOOSE(F$3,(AR226+($I$3/10000))/2,(AR225+($I$3/10000))/2))^(2*AQ225/365.25))</f>
        <v/>
      </c>
      <c r="AT225" s="137" t="str">
        <f aca="false">IF(A226="","",IF(AND(mthbeg&lt;=A225,mthend&gt;=A225),1,0))</f>
        <v/>
      </c>
      <c r="AU225" s="137" t="str">
        <f aca="false">IF(A226="","",AO225*AT225)</f>
        <v/>
      </c>
      <c r="AW225" s="195" t="str">
        <f aca="false">IF($A226="","",AL225*$E225)</f>
        <v/>
      </c>
      <c r="AX225" s="195" t="str">
        <f aca="false">IF($A226="","",AM225*$E225)</f>
        <v/>
      </c>
      <c r="AY225" s="195" t="str">
        <f aca="false">IF($A226="","",AN225*$E225)</f>
        <v/>
      </c>
      <c r="BA225" s="195" t="str">
        <f aca="false">IF($A226="","",F225*Summary!$Q$8)</f>
        <v/>
      </c>
    </row>
    <row r="226" customFormat="false" ht="12" hidden="false" customHeight="true" outlineLevel="0" collapsed="false">
      <c r="A226" s="196" t="str">
        <f aca="false">IF(A225&lt;mthend,EDATE(A225,1),"")</f>
        <v/>
      </c>
      <c r="B226" s="197" t="n">
        <f aca="false">IF(A226&lt;mthend,B225,0)</f>
        <v>0</v>
      </c>
      <c r="C226" s="215"/>
      <c r="D226" s="197" t="str">
        <f aca="false">IF(A227&lt;&gt;"",B226+C226,"")</f>
        <v/>
      </c>
      <c r="E226" s="199" t="str">
        <f aca="false">IF(A227="","",IF(AND(AT226=1,$H$3=1),D226*AO226,IF($H$3=2,D226,"N/A")))</f>
        <v/>
      </c>
      <c r="F226" s="199" t="str">
        <f aca="false">IF(A227="","",E226*AS226)</f>
        <v/>
      </c>
      <c r="G226" s="200" t="str">
        <f aca="false">IF($A227="","",VLOOKUP($A226,Table,MATCH(G$4,Curves,0)))</f>
        <v/>
      </c>
      <c r="H226" s="201" t="str">
        <f aca="false">IF(A227="","",G226)</f>
        <v/>
      </c>
      <c r="I226" s="202"/>
      <c r="J226" s="200" t="str">
        <f aca="false">IF($A227="","",VLOOKUP($A226,Table,MATCH(J$4,Curves,0)))</f>
        <v/>
      </c>
      <c r="K226" s="201" t="str">
        <f aca="false">IF(A227="","",J226)</f>
        <v/>
      </c>
      <c r="L226" s="200" t="str">
        <f aca="false">IF($A227="","",VLOOKUP($A226,Table,MATCH(L$4,Curves,0)))</f>
        <v/>
      </c>
      <c r="M226" s="201" t="str">
        <f aca="false">IF(A227="","",L226)</f>
        <v/>
      </c>
      <c r="N226" s="203"/>
      <c r="O226" s="200" t="str">
        <f aca="false">IF(A227="","",L226+J226+G226)</f>
        <v/>
      </c>
      <c r="P226" s="200" t="str">
        <f aca="false">IF(A227="","",M226+K226+H226)</f>
        <v/>
      </c>
      <c r="Q226" s="204"/>
      <c r="R226" s="200" t="str">
        <f aca="false">IF($A227="","",VLOOKUP($A226,Table,MATCH(R$4,Curves,0)))</f>
        <v/>
      </c>
      <c r="S226" s="201" t="str">
        <f aca="false">IF(A227="","",R226)</f>
        <v/>
      </c>
      <c r="T226" s="200" t="str">
        <f aca="false">IF($A227="","",VLOOKUP($A226,Table,MATCH(T$4,Curves,0)))</f>
        <v/>
      </c>
      <c r="U226" s="201" t="str">
        <f aca="false">IF(A227="","",T226)</f>
        <v/>
      </c>
      <c r="V226" s="183" t="str">
        <f aca="false">IF($A227="","",IF(AND(MONTH(A226)&gt;3,MONTH(A226)&lt;11),(T226+R226+G226)*Summary!$T$8/(1-Summary!$T$8),(T226+R226+G226)*Summary!$U$8/(1-Summary!$U$8)))</f>
        <v/>
      </c>
      <c r="W226" s="200" t="str">
        <f aca="false">IF($A227="","",(T226+R226+G226+V226))</f>
        <v/>
      </c>
      <c r="X226" s="200" t="str">
        <f aca="false">IF($A227="","",(U226+S226+H226+V226))</f>
        <v/>
      </c>
      <c r="Y226" s="202"/>
      <c r="Z226" s="185" t="str">
        <f aca="false">IF($A227="","",VLOOKUP($A226,Table,MATCH(Z$4,Curves,0)))</f>
        <v/>
      </c>
      <c r="AA226" s="185" t="str">
        <f aca="false">IF($A227="","",VLOOKUP($A226,Table,MATCH(AA$4,Curves,0)))</f>
        <v/>
      </c>
      <c r="AB226" s="185" t="e">
        <f aca="false">SQRT((AA226^2*(A226-$D$3)+Z226^2*(DAY(EOMONTH(A226,0))/2))/AK226)</f>
        <v>#VALUE!</v>
      </c>
      <c r="AC226" s="185" t="str">
        <f aca="false">IF($A227="","",VLOOKUP($A226,Table,MATCH(AC$4,Curves,0)))</f>
        <v/>
      </c>
      <c r="AD226" s="185" t="str">
        <f aca="false">IF($A227="","",VLOOKUP($A226,Table,MATCH(AD$4,Curves,0)))</f>
        <v/>
      </c>
      <c r="AE226" s="185" t="e">
        <f aca="false">SQRT((AD226^2*(A226-$D$3)+AC226^2*(DAY(EOMONTH(A226,0))/2))/AK226)</f>
        <v>#VALUE!</v>
      </c>
      <c r="AF226" s="224" t="e">
        <f aca="false">((Summary!$N$8*(AA226*AD226)*(A226-$D$3))+(Summary!$M$8*Z226*AC226*(AJ226-EOMONTH(EDATE(A226,-1),0))))/(AK226*AB226*AE226)</f>
        <v>#VALUE!</v>
      </c>
      <c r="AG226" s="207" t="str">
        <f aca="false">IF($A227="","",Summary!$Q$8)</f>
        <v/>
      </c>
      <c r="AH226" s="207" t="str">
        <f aca="false">IF($A227="","",IF(Summary!$R$8="Y",(VLOOKUP($A226,Summary!$AD$6:$AF$9,3)+'Escalating commodity'!D239),'Escalating commodity'!D239))</f>
        <v/>
      </c>
      <c r="AI226" s="207" t="str">
        <f aca="false">IF($A227="","",AH226)</f>
        <v/>
      </c>
      <c r="AJ226" s="208" t="e">
        <f aca="false">A226+DAY(EOMONTH(A226,0))/2-1</f>
        <v>#VALUE!</v>
      </c>
      <c r="AK226" s="209" t="str">
        <f aca="false">IF($A227="","",$A226-$E$1)</f>
        <v/>
      </c>
      <c r="AL226" s="182" t="str">
        <f aca="false">IF($A227="","",SPRDOPT(P226,X226,AI226,0,AB226,AE226,AF226,AK226,$AJ$2,0))</f>
        <v/>
      </c>
      <c r="AM226" s="211" t="str">
        <f aca="false">IF($A227="","",MAX(0,O226-W226-AI226))</f>
        <v/>
      </c>
      <c r="AN226" s="211" t="str">
        <f aca="false">IF($A227="","",AL226-AM226)</f>
        <v/>
      </c>
      <c r="AO226" s="137" t="str">
        <f aca="false">IF(A227="","",A227-A226)</f>
        <v/>
      </c>
      <c r="AP226" s="212" t="str">
        <f aca="false">IF(A227="","",CHOOSE(F$3,A227+24,A226))</f>
        <v/>
      </c>
      <c r="AQ226" s="209" t="str">
        <f aca="false">IF(A227="","",AP226-$E$1)</f>
        <v/>
      </c>
      <c r="AR226" s="185" t="n">
        <f aca="false">'ANR OK vs ML7'!AR226</f>
        <v>0.1</v>
      </c>
      <c r="AS226" s="213" t="str">
        <f aca="false">IF(A227="","",1/(1+CHOOSE(F$3,(AR227+($I$3/10000))/2,(AR226+($I$3/10000))/2))^(2*AQ226/365.25))</f>
        <v/>
      </c>
      <c r="AT226" s="137" t="str">
        <f aca="false">IF(A227="","",IF(AND(mthbeg&lt;=A226,mthend&gt;=A226),1,0))</f>
        <v/>
      </c>
      <c r="AU226" s="137" t="str">
        <f aca="false">IF(A227="","",AO226*AT226)</f>
        <v/>
      </c>
      <c r="AW226" s="195" t="str">
        <f aca="false">IF($A227="","",AL226*$E226)</f>
        <v/>
      </c>
      <c r="AX226" s="195" t="str">
        <f aca="false">IF($A227="","",AM226*$E226)</f>
        <v/>
      </c>
      <c r="AY226" s="195" t="str">
        <f aca="false">IF($A227="","",AN226*$E226)</f>
        <v/>
      </c>
      <c r="BA226" s="195" t="str">
        <f aca="false">IF($A227="","",F226*Summary!$Q$8)</f>
        <v/>
      </c>
    </row>
    <row r="227" customFormat="false" ht="12" hidden="false" customHeight="true" outlineLevel="0" collapsed="false">
      <c r="A227" s="196" t="str">
        <f aca="false">IF(A226&lt;mthend,EDATE(A226,1),"")</f>
        <v/>
      </c>
      <c r="B227" s="197" t="n">
        <f aca="false">IF(A227&lt;mthend,B226,0)</f>
        <v>0</v>
      </c>
      <c r="C227" s="215"/>
      <c r="D227" s="197" t="str">
        <f aca="false">IF(A228&lt;&gt;"",B227+C227,"")</f>
        <v/>
      </c>
      <c r="E227" s="199" t="str">
        <f aca="false">IF(A228="","",IF(AND(AT227=1,$H$3=1),D227*AO227,IF($H$3=2,D227,"N/A")))</f>
        <v/>
      </c>
      <c r="F227" s="199" t="str">
        <f aca="false">IF(A228="","",E227*AS227)</f>
        <v/>
      </c>
      <c r="G227" s="200" t="str">
        <f aca="false">IF($A228="","",VLOOKUP($A227,Table,MATCH(G$4,Curves,0)))</f>
        <v/>
      </c>
      <c r="H227" s="201" t="str">
        <f aca="false">IF(A228="","",G227)</f>
        <v/>
      </c>
      <c r="I227" s="202"/>
      <c r="J227" s="200" t="str">
        <f aca="false">IF($A228="","",VLOOKUP($A227,Table,MATCH(J$4,Curves,0)))</f>
        <v/>
      </c>
      <c r="K227" s="201" t="str">
        <f aca="false">IF(A228="","",J227)</f>
        <v/>
      </c>
      <c r="L227" s="200" t="str">
        <f aca="false">IF($A228="","",VLOOKUP($A227,Table,MATCH(L$4,Curves,0)))</f>
        <v/>
      </c>
      <c r="M227" s="201" t="str">
        <f aca="false">IF(A228="","",L227)</f>
        <v/>
      </c>
      <c r="N227" s="203"/>
      <c r="O227" s="200" t="str">
        <f aca="false">IF(A228="","",L227+J227+G227)</f>
        <v/>
      </c>
      <c r="P227" s="200" t="str">
        <f aca="false">IF(A228="","",M227+K227+H227)</f>
        <v/>
      </c>
      <c r="Q227" s="204"/>
      <c r="R227" s="200" t="str">
        <f aca="false">IF($A228="","",VLOOKUP($A227,Table,MATCH(R$4,Curves,0)))</f>
        <v/>
      </c>
      <c r="S227" s="201" t="str">
        <f aca="false">IF(A228="","",R227)</f>
        <v/>
      </c>
      <c r="T227" s="200" t="str">
        <f aca="false">IF($A228="","",VLOOKUP($A227,Table,MATCH(T$4,Curves,0)))</f>
        <v/>
      </c>
      <c r="U227" s="201" t="str">
        <f aca="false">IF(A228="","",T227)</f>
        <v/>
      </c>
      <c r="V227" s="183" t="str">
        <f aca="false">IF($A228="","",IF(AND(MONTH(A227)&gt;3,MONTH(A227)&lt;11),(T227+R227+G227)*Summary!$T$8/(1-Summary!$T$8),(T227+R227+G227)*Summary!$U$8/(1-Summary!$U$8)))</f>
        <v/>
      </c>
      <c r="W227" s="200" t="str">
        <f aca="false">IF($A228="","",(T227+R227+G227+V227))</f>
        <v/>
      </c>
      <c r="X227" s="200" t="str">
        <f aca="false">IF($A228="","",(U227+S227+H227+V227))</f>
        <v/>
      </c>
      <c r="Y227" s="202"/>
      <c r="Z227" s="185" t="str">
        <f aca="false">IF($A228="","",VLOOKUP($A227,Table,MATCH(Z$4,Curves,0)))</f>
        <v/>
      </c>
      <c r="AA227" s="185" t="str">
        <f aca="false">IF($A228="","",VLOOKUP($A227,Table,MATCH(AA$4,Curves,0)))</f>
        <v/>
      </c>
      <c r="AB227" s="185" t="e">
        <f aca="false">SQRT((AA227^2*(A227-$D$3)+Z227^2*(DAY(EOMONTH(A227,0))/2))/AK227)</f>
        <v>#VALUE!</v>
      </c>
      <c r="AC227" s="185" t="str">
        <f aca="false">IF($A228="","",VLOOKUP($A227,Table,MATCH(AC$4,Curves,0)))</f>
        <v/>
      </c>
      <c r="AD227" s="185" t="str">
        <f aca="false">IF($A228="","",VLOOKUP($A227,Table,MATCH(AD$4,Curves,0)))</f>
        <v/>
      </c>
      <c r="AE227" s="185" t="e">
        <f aca="false">SQRT((AD227^2*(A227-$D$3)+AC227^2*(DAY(EOMONTH(A227,0))/2))/AK227)</f>
        <v>#VALUE!</v>
      </c>
      <c r="AF227" s="224" t="e">
        <f aca="false">((Summary!$N$8*(AA227*AD227)*(A227-$D$3))+(Summary!$M$8*Z227*AC227*(AJ227-EOMONTH(EDATE(A227,-1),0))))/(AK227*AB227*AE227)</f>
        <v>#VALUE!</v>
      </c>
      <c r="AG227" s="207" t="str">
        <f aca="false">IF($A228="","",Summary!$Q$8)</f>
        <v/>
      </c>
      <c r="AH227" s="207" t="str">
        <f aca="false">IF($A228="","",IF(Summary!$R$8="Y",(VLOOKUP($A227,Summary!$AD$6:$AF$9,3)+'Escalating commodity'!D240),'Escalating commodity'!D240))</f>
        <v/>
      </c>
      <c r="AI227" s="207" t="str">
        <f aca="false">IF($A228="","",AH227)</f>
        <v/>
      </c>
      <c r="AJ227" s="208" t="e">
        <f aca="false">A227+DAY(EOMONTH(A227,0))/2-1</f>
        <v>#VALUE!</v>
      </c>
      <c r="AK227" s="209" t="str">
        <f aca="false">IF($A228="","",$A227-$E$1)</f>
        <v/>
      </c>
      <c r="AL227" s="182" t="str">
        <f aca="false">IF($A228="","",SPRDOPT(P227,X227,AI227,0,AB227,AE227,AF227,AK227,$AJ$2,0))</f>
        <v/>
      </c>
      <c r="AM227" s="211" t="str">
        <f aca="false">IF($A228="","",MAX(0,O227-W227-AI227))</f>
        <v/>
      </c>
      <c r="AN227" s="211" t="str">
        <f aca="false">IF($A228="","",AL227-AM227)</f>
        <v/>
      </c>
      <c r="AO227" s="137" t="str">
        <f aca="false">IF(A228="","",A228-A227)</f>
        <v/>
      </c>
      <c r="AP227" s="212" t="str">
        <f aca="false">IF(A228="","",CHOOSE(F$3,A228+24,A227))</f>
        <v/>
      </c>
      <c r="AQ227" s="209" t="str">
        <f aca="false">IF(A228="","",AP227-$E$1)</f>
        <v/>
      </c>
      <c r="AR227" s="185" t="n">
        <f aca="false">'ANR OK vs ML7'!AR227</f>
        <v>0.1</v>
      </c>
      <c r="AS227" s="213" t="str">
        <f aca="false">IF(A228="","",1/(1+CHOOSE(F$3,(AR228+($I$3/10000))/2,(AR227+($I$3/10000))/2))^(2*AQ227/365.25))</f>
        <v/>
      </c>
      <c r="AT227" s="137" t="str">
        <f aca="false">IF(A228="","",IF(AND(mthbeg&lt;=A227,mthend&gt;=A227),1,0))</f>
        <v/>
      </c>
      <c r="AU227" s="137" t="str">
        <f aca="false">IF(A228="","",AO227*AT227)</f>
        <v/>
      </c>
      <c r="AW227" s="195" t="str">
        <f aca="false">IF($A228="","",AL227*$E227)</f>
        <v/>
      </c>
      <c r="AX227" s="195" t="str">
        <f aca="false">IF($A228="","",AM227*$E227)</f>
        <v/>
      </c>
      <c r="AY227" s="195" t="str">
        <f aca="false">IF($A228="","",AN227*$E227)</f>
        <v/>
      </c>
      <c r="BA227" s="195" t="str">
        <f aca="false">IF($A228="","",F227*Summary!$Q$8)</f>
        <v/>
      </c>
    </row>
    <row r="228" customFormat="false" ht="12" hidden="false" customHeight="true" outlineLevel="0" collapsed="false">
      <c r="A228" s="196" t="str">
        <f aca="false">IF(A227&lt;mthend,EDATE(A227,1),"")</f>
        <v/>
      </c>
      <c r="B228" s="197" t="n">
        <f aca="false">IF(A228&lt;mthend,B227,0)</f>
        <v>0</v>
      </c>
      <c r="C228" s="215"/>
      <c r="D228" s="197" t="str">
        <f aca="false">IF(A229&lt;&gt;"",B228+C228,"")</f>
        <v/>
      </c>
      <c r="E228" s="199" t="str">
        <f aca="false">IF(A229="","",IF(AND(AT228=1,$H$3=1),D228*AO228,IF($H$3=2,D228,"N/A")))</f>
        <v/>
      </c>
      <c r="F228" s="199" t="str">
        <f aca="false">IF(A229="","",E228*AS228)</f>
        <v/>
      </c>
      <c r="G228" s="200" t="str">
        <f aca="false">IF($A229="","",VLOOKUP($A228,Table,MATCH(G$4,Curves,0)))</f>
        <v/>
      </c>
      <c r="H228" s="201" t="str">
        <f aca="false">IF(A229="","",G228)</f>
        <v/>
      </c>
      <c r="I228" s="202"/>
      <c r="J228" s="200" t="str">
        <f aca="false">IF($A229="","",VLOOKUP($A228,Table,MATCH(J$4,Curves,0)))</f>
        <v/>
      </c>
      <c r="K228" s="201" t="str">
        <f aca="false">IF(A229="","",J228)</f>
        <v/>
      </c>
      <c r="L228" s="200" t="str">
        <f aca="false">IF($A229="","",VLOOKUP($A228,Table,MATCH(L$4,Curves,0)))</f>
        <v/>
      </c>
      <c r="M228" s="201" t="str">
        <f aca="false">IF(A229="","",L228)</f>
        <v/>
      </c>
      <c r="N228" s="203"/>
      <c r="O228" s="200" t="str">
        <f aca="false">IF(A229="","",L228+J228+G228)</f>
        <v/>
      </c>
      <c r="P228" s="200" t="str">
        <f aca="false">IF(A229="","",M228+K228+H228)</f>
        <v/>
      </c>
      <c r="Q228" s="204"/>
      <c r="R228" s="200" t="str">
        <f aca="false">IF($A229="","",VLOOKUP($A228,Table,MATCH(R$4,Curves,0)))</f>
        <v/>
      </c>
      <c r="S228" s="201" t="str">
        <f aca="false">IF(A229="","",R228)</f>
        <v/>
      </c>
      <c r="T228" s="200" t="str">
        <f aca="false">IF($A229="","",VLOOKUP($A228,Table,MATCH(T$4,Curves,0)))</f>
        <v/>
      </c>
      <c r="U228" s="201" t="str">
        <f aca="false">IF(A229="","",T228)</f>
        <v/>
      </c>
      <c r="V228" s="183" t="str">
        <f aca="false">IF($A229="","",IF(AND(MONTH(A228)&gt;3,MONTH(A228)&lt;11),(T228+R228+G228)*Summary!$T$8/(1-Summary!$T$8),(T228+R228+G228)*Summary!$U$8/(1-Summary!$U$8)))</f>
        <v/>
      </c>
      <c r="W228" s="200" t="str">
        <f aca="false">IF($A229="","",(T228+R228+G228+V228))</f>
        <v/>
      </c>
      <c r="X228" s="200" t="str">
        <f aca="false">IF($A229="","",(U228+S228+H228+V228))</f>
        <v/>
      </c>
      <c r="Y228" s="202"/>
      <c r="Z228" s="185" t="str">
        <f aca="false">IF($A229="","",VLOOKUP($A228,Table,MATCH(Z$4,Curves,0)))</f>
        <v/>
      </c>
      <c r="AA228" s="185" t="str">
        <f aca="false">IF($A229="","",VLOOKUP($A228,Table,MATCH(AA$4,Curves,0)))</f>
        <v/>
      </c>
      <c r="AB228" s="185" t="e">
        <f aca="false">SQRT((AA228^2*(A228-$D$3)+Z228^2*(DAY(EOMONTH(A228,0))/2))/AK228)</f>
        <v>#VALUE!</v>
      </c>
      <c r="AC228" s="185" t="str">
        <f aca="false">IF($A229="","",VLOOKUP($A228,Table,MATCH(AC$4,Curves,0)))</f>
        <v/>
      </c>
      <c r="AD228" s="185" t="str">
        <f aca="false">IF($A229="","",VLOOKUP($A228,Table,MATCH(AD$4,Curves,0)))</f>
        <v/>
      </c>
      <c r="AE228" s="185" t="e">
        <f aca="false">SQRT((AD228^2*(A228-$D$3)+AC228^2*(DAY(EOMONTH(A228,0))/2))/AK228)</f>
        <v>#VALUE!</v>
      </c>
      <c r="AF228" s="224" t="e">
        <f aca="false">((Summary!$N$8*(AA228*AD228)*(A228-$D$3))+(Summary!$M$8*Z228*AC228*(AJ228-EOMONTH(EDATE(A228,-1),0))))/(AK228*AB228*AE228)</f>
        <v>#VALUE!</v>
      </c>
      <c r="AG228" s="207" t="str">
        <f aca="false">IF($A229="","",Summary!$Q$8)</f>
        <v/>
      </c>
      <c r="AH228" s="207" t="str">
        <f aca="false">IF($A229="","",IF(Summary!$R$8="Y",(VLOOKUP($A228,Summary!$AD$6:$AF$9,3)+'Escalating commodity'!D241),'Escalating commodity'!D241))</f>
        <v/>
      </c>
      <c r="AI228" s="207" t="str">
        <f aca="false">IF($A229="","",AH228)</f>
        <v/>
      </c>
      <c r="AJ228" s="208" t="e">
        <f aca="false">A228+DAY(EOMONTH(A228,0))/2-1</f>
        <v>#VALUE!</v>
      </c>
      <c r="AK228" s="209" t="str">
        <f aca="false">IF($A229="","",$A228-$E$1)</f>
        <v/>
      </c>
      <c r="AL228" s="182" t="str">
        <f aca="false">IF($A229="","",SPRDOPT(P228,X228,AI228,0,AB228,AE228,AF228,AK228,$AJ$2,0))</f>
        <v/>
      </c>
      <c r="AM228" s="211" t="str">
        <f aca="false">IF($A229="","",MAX(0,O228-W228-AI228))</f>
        <v/>
      </c>
      <c r="AN228" s="211" t="str">
        <f aca="false">IF($A229="","",AL228-AM228)</f>
        <v/>
      </c>
      <c r="AO228" s="137" t="str">
        <f aca="false">IF(A229="","",A229-A228)</f>
        <v/>
      </c>
      <c r="AP228" s="212" t="str">
        <f aca="false">IF(A229="","",CHOOSE(F$3,A229+24,A228))</f>
        <v/>
      </c>
      <c r="AQ228" s="209" t="str">
        <f aca="false">IF(A229="","",AP228-$E$1)</f>
        <v/>
      </c>
      <c r="AR228" s="185" t="n">
        <f aca="false">'ANR OK vs ML7'!AR228</f>
        <v>0.1</v>
      </c>
      <c r="AS228" s="213" t="str">
        <f aca="false">IF(A229="","",1/(1+CHOOSE(F$3,(AR229+($I$3/10000))/2,(AR228+($I$3/10000))/2))^(2*AQ228/365.25))</f>
        <v/>
      </c>
      <c r="AT228" s="137" t="str">
        <f aca="false">IF(A229="","",IF(AND(mthbeg&lt;=A228,mthend&gt;=A228),1,0))</f>
        <v/>
      </c>
      <c r="AU228" s="137" t="str">
        <f aca="false">IF(A229="","",AO228*AT228)</f>
        <v/>
      </c>
      <c r="AW228" s="195" t="str">
        <f aca="false">IF($A229="","",AL228*$E228)</f>
        <v/>
      </c>
      <c r="AX228" s="195" t="str">
        <f aca="false">IF($A229="","",AM228*$E228)</f>
        <v/>
      </c>
      <c r="AY228" s="195" t="str">
        <f aca="false">IF($A229="","",AN228*$E228)</f>
        <v/>
      </c>
      <c r="BA228" s="195" t="str">
        <f aca="false">IF($A229="","",F228*Summary!$Q$8)</f>
        <v/>
      </c>
    </row>
    <row r="229" customFormat="false" ht="12" hidden="false" customHeight="true" outlineLevel="0" collapsed="false">
      <c r="A229" s="196" t="str">
        <f aca="false">IF(A228&lt;mthend,EDATE(A228,1),"")</f>
        <v/>
      </c>
      <c r="B229" s="197" t="n">
        <f aca="false">IF(A229&lt;mthend,B228,0)</f>
        <v>0</v>
      </c>
      <c r="C229" s="215"/>
      <c r="D229" s="197" t="str">
        <f aca="false">IF(A230&lt;&gt;"",B229+C229,"")</f>
        <v/>
      </c>
      <c r="E229" s="199" t="str">
        <f aca="false">IF(A230="","",IF(AND(AT229=1,$H$3=1),D229*AO229,IF($H$3=2,D229,"N/A")))</f>
        <v/>
      </c>
      <c r="F229" s="199" t="str">
        <f aca="false">IF(A230="","",E229*AS229)</f>
        <v/>
      </c>
      <c r="G229" s="200" t="str">
        <f aca="false">IF($A230="","",VLOOKUP($A229,Table,MATCH(G$4,Curves,0)))</f>
        <v/>
      </c>
      <c r="H229" s="201" t="str">
        <f aca="false">IF(A230="","",G229)</f>
        <v/>
      </c>
      <c r="I229" s="202"/>
      <c r="J229" s="200" t="str">
        <f aca="false">IF($A230="","",VLOOKUP($A229,Table,MATCH(J$4,Curves,0)))</f>
        <v/>
      </c>
      <c r="K229" s="201" t="str">
        <f aca="false">IF(A230="","",J229)</f>
        <v/>
      </c>
      <c r="L229" s="200" t="str">
        <f aca="false">IF($A230="","",VLOOKUP($A229,Table,MATCH(L$4,Curves,0)))</f>
        <v/>
      </c>
      <c r="M229" s="201" t="str">
        <f aca="false">IF(A230="","",L229)</f>
        <v/>
      </c>
      <c r="N229" s="203"/>
      <c r="O229" s="200" t="str">
        <f aca="false">IF(A230="","",L229+J229+G229)</f>
        <v/>
      </c>
      <c r="P229" s="200" t="str">
        <f aca="false">IF(A230="","",M229+K229+H229)</f>
        <v/>
      </c>
      <c r="Q229" s="204"/>
      <c r="R229" s="200" t="str">
        <f aca="false">IF($A230="","",VLOOKUP($A229,Table,MATCH(R$4,Curves,0)))</f>
        <v/>
      </c>
      <c r="S229" s="201" t="str">
        <f aca="false">IF(A230="","",R229)</f>
        <v/>
      </c>
      <c r="T229" s="200" t="str">
        <f aca="false">IF($A230="","",VLOOKUP($A229,Table,MATCH(T$4,Curves,0)))</f>
        <v/>
      </c>
      <c r="U229" s="201" t="str">
        <f aca="false">IF(A230="","",T229)</f>
        <v/>
      </c>
      <c r="V229" s="183" t="str">
        <f aca="false">IF($A230="","",IF(AND(MONTH(A229)&gt;3,MONTH(A229)&lt;11),(T229+R229+G229)*Summary!$T$8/(1-Summary!$T$8),(T229+R229+G229)*Summary!$U$8/(1-Summary!$U$8)))</f>
        <v/>
      </c>
      <c r="W229" s="200" t="str">
        <f aca="false">IF($A230="","",(T229+R229+G229+V229))</f>
        <v/>
      </c>
      <c r="X229" s="200" t="str">
        <f aca="false">IF($A230="","",(U229+S229+H229+V229))</f>
        <v/>
      </c>
      <c r="Y229" s="202"/>
      <c r="Z229" s="185" t="str">
        <f aca="false">IF($A230="","",VLOOKUP($A229,Table,MATCH(Z$4,Curves,0)))</f>
        <v/>
      </c>
      <c r="AA229" s="185" t="str">
        <f aca="false">IF($A230="","",VLOOKUP($A229,Table,MATCH(AA$4,Curves,0)))</f>
        <v/>
      </c>
      <c r="AB229" s="185" t="e">
        <f aca="false">SQRT((AA229^2*(A229-$D$3)+Z229^2*(DAY(EOMONTH(A229,0))/2))/AK229)</f>
        <v>#VALUE!</v>
      </c>
      <c r="AC229" s="185" t="str">
        <f aca="false">IF($A230="","",VLOOKUP($A229,Table,MATCH(AC$4,Curves,0)))</f>
        <v/>
      </c>
      <c r="AD229" s="185" t="str">
        <f aca="false">IF($A230="","",VLOOKUP($A229,Table,MATCH(AD$4,Curves,0)))</f>
        <v/>
      </c>
      <c r="AE229" s="185" t="e">
        <f aca="false">SQRT((AD229^2*(A229-$D$3)+AC229^2*(DAY(EOMONTH(A229,0))/2))/AK229)</f>
        <v>#VALUE!</v>
      </c>
      <c r="AF229" s="224" t="e">
        <f aca="false">((Summary!$N$8*(AA229*AD229)*(A229-$D$3))+(Summary!$M$8*Z229*AC229*(AJ229-EOMONTH(EDATE(A229,-1),0))))/(AK229*AB229*AE229)</f>
        <v>#VALUE!</v>
      </c>
      <c r="AG229" s="207" t="str">
        <f aca="false">IF($A230="","",Summary!$Q$8)</f>
        <v/>
      </c>
      <c r="AH229" s="207" t="str">
        <f aca="false">IF($A230="","",IF(Summary!$R$8="Y",(VLOOKUP($A229,Summary!$AD$6:$AF$9,3)+'Escalating commodity'!D242),'Escalating commodity'!D242))</f>
        <v/>
      </c>
      <c r="AI229" s="207" t="str">
        <f aca="false">IF($A230="","",AH229)</f>
        <v/>
      </c>
      <c r="AJ229" s="208" t="e">
        <f aca="false">A229+DAY(EOMONTH(A229,0))/2-1</f>
        <v>#VALUE!</v>
      </c>
      <c r="AK229" s="209" t="str">
        <f aca="false">IF($A230="","",$A229-$E$1)</f>
        <v/>
      </c>
      <c r="AL229" s="182" t="str">
        <f aca="false">IF($A230="","",SPRDOPT(P229,X229,AI229,0,AB229,AE229,AF229,AK229,$AJ$2,0))</f>
        <v/>
      </c>
      <c r="AM229" s="211" t="str">
        <f aca="false">IF($A230="","",MAX(0,O229-W229-AI229))</f>
        <v/>
      </c>
      <c r="AN229" s="211" t="str">
        <f aca="false">IF($A230="","",AL229-AM229)</f>
        <v/>
      </c>
      <c r="AO229" s="137" t="str">
        <f aca="false">IF(A230="","",A230-A229)</f>
        <v/>
      </c>
      <c r="AP229" s="212" t="str">
        <f aca="false">IF(A230="","",CHOOSE(F$3,A230+24,A229))</f>
        <v/>
      </c>
      <c r="AQ229" s="209" t="str">
        <f aca="false">IF(A230="","",AP229-$E$1)</f>
        <v/>
      </c>
      <c r="AR229" s="185" t="n">
        <f aca="false">'ANR OK vs ML7'!AR229</f>
        <v>0.1</v>
      </c>
      <c r="AS229" s="213" t="str">
        <f aca="false">IF(A230="","",1/(1+CHOOSE(F$3,(AR230+($I$3/10000))/2,(AR229+($I$3/10000))/2))^(2*AQ229/365.25))</f>
        <v/>
      </c>
      <c r="AT229" s="137" t="str">
        <f aca="false">IF(A230="","",IF(AND(mthbeg&lt;=A229,mthend&gt;=A229),1,0))</f>
        <v/>
      </c>
      <c r="AU229" s="137" t="str">
        <f aca="false">IF(A230="","",AO229*AT229)</f>
        <v/>
      </c>
      <c r="AW229" s="195" t="str">
        <f aca="false">IF($A230="","",AL229*$E229)</f>
        <v/>
      </c>
      <c r="AX229" s="195" t="str">
        <f aca="false">IF($A230="","",AM229*$E229)</f>
        <v/>
      </c>
      <c r="AY229" s="195" t="str">
        <f aca="false">IF($A230="","",AN229*$E229)</f>
        <v/>
      </c>
      <c r="BA229" s="195" t="str">
        <f aca="false">IF($A230="","",F229*Summary!$Q$8)</f>
        <v/>
      </c>
    </row>
    <row r="230" customFormat="false" ht="12" hidden="false" customHeight="true" outlineLevel="0" collapsed="false">
      <c r="A230" s="196" t="str">
        <f aca="false">IF(A229&lt;mthend,EDATE(A229,1),"")</f>
        <v/>
      </c>
      <c r="B230" s="197" t="n">
        <f aca="false">IF(A230&lt;mthend,B229,0)</f>
        <v>0</v>
      </c>
      <c r="C230" s="215"/>
      <c r="D230" s="197" t="str">
        <f aca="false">IF(A231&lt;&gt;"",B230+C230,"")</f>
        <v/>
      </c>
      <c r="E230" s="199" t="str">
        <f aca="false">IF(A231="","",IF(AND(AT230=1,$H$3=1),D230*AO230,IF($H$3=2,D230,"N/A")))</f>
        <v/>
      </c>
      <c r="F230" s="199" t="str">
        <f aca="false">IF(A231="","",E230*AS230)</f>
        <v/>
      </c>
      <c r="G230" s="200" t="str">
        <f aca="false">IF($A231="","",VLOOKUP($A230,Table,MATCH(G$4,Curves,0)))</f>
        <v/>
      </c>
      <c r="H230" s="201" t="str">
        <f aca="false">IF(A231="","",G230)</f>
        <v/>
      </c>
      <c r="I230" s="202"/>
      <c r="J230" s="200" t="str">
        <f aca="false">IF($A231="","",VLOOKUP($A230,Table,MATCH(J$4,Curves,0)))</f>
        <v/>
      </c>
      <c r="K230" s="201" t="str">
        <f aca="false">IF(A231="","",J230)</f>
        <v/>
      </c>
      <c r="L230" s="200" t="str">
        <f aca="false">IF($A231="","",VLOOKUP($A230,Table,MATCH(L$4,Curves,0)))</f>
        <v/>
      </c>
      <c r="M230" s="201" t="str">
        <f aca="false">IF(A231="","",L230)</f>
        <v/>
      </c>
      <c r="N230" s="203"/>
      <c r="O230" s="200" t="str">
        <f aca="false">IF(A231="","",L230+J230+G230)</f>
        <v/>
      </c>
      <c r="P230" s="200" t="str">
        <f aca="false">IF(A231="","",M230+K230+H230)</f>
        <v/>
      </c>
      <c r="Q230" s="204"/>
      <c r="R230" s="200" t="str">
        <f aca="false">IF($A231="","",VLOOKUP($A230,Table,MATCH(R$4,Curves,0)))</f>
        <v/>
      </c>
      <c r="S230" s="201" t="str">
        <f aca="false">IF(A231="","",R230)</f>
        <v/>
      </c>
      <c r="T230" s="200" t="str">
        <f aca="false">IF($A231="","",VLOOKUP($A230,Table,MATCH(T$4,Curves,0)))</f>
        <v/>
      </c>
      <c r="U230" s="201" t="str">
        <f aca="false">IF(A231="","",T230)</f>
        <v/>
      </c>
      <c r="V230" s="183" t="str">
        <f aca="false">IF($A231="","",IF(AND(MONTH(A230)&gt;3,MONTH(A230)&lt;11),(T230+R230+G230)*Summary!$T$8/(1-Summary!$T$8),(T230+R230+G230)*Summary!$U$8/(1-Summary!$U$8)))</f>
        <v/>
      </c>
      <c r="W230" s="200" t="str">
        <f aca="false">IF($A231="","",(T230+R230+G230+V230))</f>
        <v/>
      </c>
      <c r="X230" s="200" t="str">
        <f aca="false">IF($A231="","",(U230+S230+H230+V230))</f>
        <v/>
      </c>
      <c r="Y230" s="202"/>
      <c r="Z230" s="185" t="str">
        <f aca="false">IF($A231="","",VLOOKUP($A230,Table,MATCH(Z$4,Curves,0)))</f>
        <v/>
      </c>
      <c r="AA230" s="185" t="str">
        <f aca="false">IF($A231="","",VLOOKUP($A230,Table,MATCH(AA$4,Curves,0)))</f>
        <v/>
      </c>
      <c r="AB230" s="185" t="e">
        <f aca="false">SQRT((AA230^2*(A230-$D$3)+Z230^2*(DAY(EOMONTH(A230,0))/2))/AK230)</f>
        <v>#VALUE!</v>
      </c>
      <c r="AC230" s="185" t="str">
        <f aca="false">IF($A231="","",VLOOKUP($A230,Table,MATCH(AC$4,Curves,0)))</f>
        <v/>
      </c>
      <c r="AD230" s="185" t="str">
        <f aca="false">IF($A231="","",VLOOKUP($A230,Table,MATCH(AD$4,Curves,0)))</f>
        <v/>
      </c>
      <c r="AE230" s="185" t="e">
        <f aca="false">SQRT((AD230^2*(A230-$D$3)+AC230^2*(DAY(EOMONTH(A230,0))/2))/AK230)</f>
        <v>#VALUE!</v>
      </c>
      <c r="AF230" s="224" t="e">
        <f aca="false">((Summary!$N$8*(AA230*AD230)*(A230-$D$3))+(Summary!$M$8*Z230*AC230*(AJ230-EOMONTH(EDATE(A230,-1),0))))/(AK230*AB230*AE230)</f>
        <v>#VALUE!</v>
      </c>
      <c r="AG230" s="207" t="str">
        <f aca="false">IF($A231="","",Summary!$Q$8)</f>
        <v/>
      </c>
      <c r="AH230" s="207" t="str">
        <f aca="false">IF($A231="","",IF(Summary!$R$8="Y",(VLOOKUP($A230,Summary!$AD$6:$AF$9,3)+'Escalating commodity'!D243),'Escalating commodity'!D243))</f>
        <v/>
      </c>
      <c r="AI230" s="207" t="str">
        <f aca="false">IF($A231="","",AH230)</f>
        <v/>
      </c>
      <c r="AJ230" s="208" t="e">
        <f aca="false">A230+DAY(EOMONTH(A230,0))/2-1</f>
        <v>#VALUE!</v>
      </c>
      <c r="AK230" s="209" t="str">
        <f aca="false">IF($A231="","",$A230-$E$1)</f>
        <v/>
      </c>
      <c r="AL230" s="182" t="str">
        <f aca="false">IF($A231="","",SPRDOPT(P230,X230,AI230,0,AB230,AE230,AF230,AK230,$AJ$2,0))</f>
        <v/>
      </c>
      <c r="AM230" s="211" t="str">
        <f aca="false">IF($A231="","",MAX(0,O230-W230-AI230))</f>
        <v/>
      </c>
      <c r="AN230" s="211" t="str">
        <f aca="false">IF($A231="","",AL230-AM230)</f>
        <v/>
      </c>
      <c r="AO230" s="137" t="str">
        <f aca="false">IF(A231="","",A231-A230)</f>
        <v/>
      </c>
      <c r="AP230" s="212" t="str">
        <f aca="false">IF(A231="","",CHOOSE(F$3,A231+24,A230))</f>
        <v/>
      </c>
      <c r="AQ230" s="209" t="str">
        <f aca="false">IF(A231="","",AP230-$E$1)</f>
        <v/>
      </c>
      <c r="AR230" s="185" t="n">
        <f aca="false">'ANR OK vs ML7'!AR230</f>
        <v>0.1</v>
      </c>
      <c r="AS230" s="213" t="str">
        <f aca="false">IF(A231="","",1/(1+CHOOSE(F$3,(AR231+($I$3/10000))/2,(AR230+($I$3/10000))/2))^(2*AQ230/365.25))</f>
        <v/>
      </c>
      <c r="AT230" s="137" t="str">
        <f aca="false">IF(A231="","",IF(AND(mthbeg&lt;=A230,mthend&gt;=A230),1,0))</f>
        <v/>
      </c>
      <c r="AU230" s="137" t="str">
        <f aca="false">IF(A231="","",AO230*AT230)</f>
        <v/>
      </c>
      <c r="AW230" s="195" t="str">
        <f aca="false">IF($A231="","",AL230*$E230)</f>
        <v/>
      </c>
      <c r="AX230" s="195" t="str">
        <f aca="false">IF($A231="","",AM230*$E230)</f>
        <v/>
      </c>
      <c r="AY230" s="195" t="str">
        <f aca="false">IF($A231="","",AN230*$E230)</f>
        <v/>
      </c>
      <c r="BA230" s="195" t="str">
        <f aca="false">IF($A231="","",F230*Summary!$Q$8)</f>
        <v/>
      </c>
    </row>
    <row r="231" customFormat="false" ht="12" hidden="false" customHeight="true" outlineLevel="0" collapsed="false">
      <c r="A231" s="196" t="str">
        <f aca="false">IF(A230&lt;mthend,EDATE(A230,1),"")</f>
        <v/>
      </c>
      <c r="B231" s="197" t="n">
        <f aca="false">IF(A231&lt;mthend,B230,0)</f>
        <v>0</v>
      </c>
      <c r="C231" s="215"/>
      <c r="D231" s="197" t="str">
        <f aca="false">IF(A232&lt;&gt;"",B231+C231,"")</f>
        <v/>
      </c>
      <c r="E231" s="199" t="str">
        <f aca="false">IF(A232="","",IF(AND(AT231=1,$H$3=1),D231*AO231,IF($H$3=2,D231,"N/A")))</f>
        <v/>
      </c>
      <c r="F231" s="199" t="str">
        <f aca="false">IF(A232="","",E231*AS231)</f>
        <v/>
      </c>
      <c r="G231" s="200" t="str">
        <f aca="false">IF($A232="","",VLOOKUP($A231,Table,MATCH(G$4,Curves,0)))</f>
        <v/>
      </c>
      <c r="H231" s="201" t="str">
        <f aca="false">IF(A232="","",G231)</f>
        <v/>
      </c>
      <c r="I231" s="202"/>
      <c r="J231" s="200" t="str">
        <f aca="false">IF($A232="","",VLOOKUP($A231,Table,MATCH(J$4,Curves,0)))</f>
        <v/>
      </c>
      <c r="K231" s="201" t="str">
        <f aca="false">IF(A232="","",J231)</f>
        <v/>
      </c>
      <c r="L231" s="200" t="str">
        <f aca="false">IF($A232="","",VLOOKUP($A231,Table,MATCH(L$4,Curves,0)))</f>
        <v/>
      </c>
      <c r="M231" s="201" t="str">
        <f aca="false">IF(A232="","",L231)</f>
        <v/>
      </c>
      <c r="N231" s="203"/>
      <c r="O231" s="200" t="str">
        <f aca="false">IF(A232="","",L231+J231+G231)</f>
        <v/>
      </c>
      <c r="P231" s="200" t="str">
        <f aca="false">IF(A232="","",M231+K231+H231)</f>
        <v/>
      </c>
      <c r="Q231" s="204"/>
      <c r="R231" s="200" t="str">
        <f aca="false">IF($A232="","",VLOOKUP($A231,Table,MATCH(R$4,Curves,0)))</f>
        <v/>
      </c>
      <c r="S231" s="201" t="str">
        <f aca="false">IF(A232="","",R231)</f>
        <v/>
      </c>
      <c r="T231" s="200" t="str">
        <f aca="false">IF($A232="","",VLOOKUP($A231,Table,MATCH(T$4,Curves,0)))</f>
        <v/>
      </c>
      <c r="U231" s="201" t="str">
        <f aca="false">IF(A232="","",T231)</f>
        <v/>
      </c>
      <c r="V231" s="183" t="str">
        <f aca="false">IF($A232="","",IF(AND(MONTH(A231)&gt;3,MONTH(A231)&lt;11),(T231+R231+G231)*Summary!$T$8/(1-Summary!$T$8),(T231+R231+G231)*Summary!$U$8/(1-Summary!$U$8)))</f>
        <v/>
      </c>
      <c r="W231" s="200" t="str">
        <f aca="false">IF($A232="","",(T231+R231+G231+V231))</f>
        <v/>
      </c>
      <c r="X231" s="200" t="str">
        <f aca="false">IF($A232="","",(U231+S231+H231+V231))</f>
        <v/>
      </c>
      <c r="Y231" s="202"/>
      <c r="Z231" s="185" t="str">
        <f aca="false">IF($A232="","",VLOOKUP($A231,Table,MATCH(Z$4,Curves,0)))</f>
        <v/>
      </c>
      <c r="AA231" s="185" t="str">
        <f aca="false">IF($A232="","",VLOOKUP($A231,Table,MATCH(AA$4,Curves,0)))</f>
        <v/>
      </c>
      <c r="AB231" s="185" t="e">
        <f aca="false">SQRT((AA231^2*(A231-$D$3)+Z231^2*(DAY(EOMONTH(A231,0))/2))/AK231)</f>
        <v>#VALUE!</v>
      </c>
      <c r="AC231" s="185" t="str">
        <f aca="false">IF($A232="","",VLOOKUP($A231,Table,MATCH(AC$4,Curves,0)))</f>
        <v/>
      </c>
      <c r="AD231" s="185" t="str">
        <f aca="false">IF($A232="","",VLOOKUP($A231,Table,MATCH(AD$4,Curves,0)))</f>
        <v/>
      </c>
      <c r="AE231" s="185" t="e">
        <f aca="false">SQRT((AD231^2*(A231-$D$3)+AC231^2*(DAY(EOMONTH(A231,0))/2))/AK231)</f>
        <v>#VALUE!</v>
      </c>
      <c r="AF231" s="224" t="e">
        <f aca="false">((Summary!$N$8*(AA231*AD231)*(A231-$D$3))+(Summary!$M$8*Z231*AC231*(AJ231-EOMONTH(EDATE(A231,-1),0))))/(AK231*AB231*AE231)</f>
        <v>#VALUE!</v>
      </c>
      <c r="AG231" s="207" t="str">
        <f aca="false">IF($A232="","",Summary!$Q$8)</f>
        <v/>
      </c>
      <c r="AH231" s="207" t="str">
        <f aca="false">IF($A232="","",IF(Summary!$R$8="Y",(VLOOKUP($A231,Summary!$AD$6:$AF$9,3)+'Escalating commodity'!D244),'Escalating commodity'!D244))</f>
        <v/>
      </c>
      <c r="AI231" s="207" t="str">
        <f aca="false">IF($A232="","",AH231)</f>
        <v/>
      </c>
      <c r="AJ231" s="208" t="e">
        <f aca="false">A231+DAY(EOMONTH(A231,0))/2-1</f>
        <v>#VALUE!</v>
      </c>
      <c r="AK231" s="209" t="str">
        <f aca="false">IF($A232="","",$A231-$E$1)</f>
        <v/>
      </c>
      <c r="AL231" s="182" t="str">
        <f aca="false">IF($A232="","",SPRDOPT(P231,X231,AI231,0,AB231,AE231,AF231,AK231,$AJ$2,0))</f>
        <v/>
      </c>
      <c r="AM231" s="211" t="str">
        <f aca="false">IF($A232="","",MAX(0,O231-W231-AI231))</f>
        <v/>
      </c>
      <c r="AN231" s="211" t="str">
        <f aca="false">IF($A232="","",AL231-AM231)</f>
        <v/>
      </c>
      <c r="AO231" s="137" t="str">
        <f aca="false">IF(A232="","",A232-A231)</f>
        <v/>
      </c>
      <c r="AP231" s="212" t="str">
        <f aca="false">IF(A232="","",CHOOSE(F$3,A232+24,A231))</f>
        <v/>
      </c>
      <c r="AQ231" s="209" t="str">
        <f aca="false">IF(A232="","",AP231-$E$1)</f>
        <v/>
      </c>
      <c r="AR231" s="185" t="n">
        <f aca="false">'ANR OK vs ML7'!AR231</f>
        <v>0.1</v>
      </c>
      <c r="AS231" s="213" t="str">
        <f aca="false">IF(A232="","",1/(1+CHOOSE(F$3,(AR232+($I$3/10000))/2,(AR231+($I$3/10000))/2))^(2*AQ231/365.25))</f>
        <v/>
      </c>
      <c r="AT231" s="137" t="str">
        <f aca="false">IF(A232="","",IF(AND(mthbeg&lt;=A231,mthend&gt;=A231),1,0))</f>
        <v/>
      </c>
      <c r="AU231" s="137" t="str">
        <f aca="false">IF(A232="","",AO231*AT231)</f>
        <v/>
      </c>
      <c r="AW231" s="195" t="str">
        <f aca="false">IF($A232="","",AL231*$E231)</f>
        <v/>
      </c>
      <c r="AX231" s="195" t="str">
        <f aca="false">IF($A232="","",AM231*$E231)</f>
        <v/>
      </c>
      <c r="AY231" s="195" t="str">
        <f aca="false">IF($A232="","",AN231*$E231)</f>
        <v/>
      </c>
      <c r="BA231" s="195" t="str">
        <f aca="false">IF($A232="","",F231*Summary!$Q$8)</f>
        <v/>
      </c>
    </row>
    <row r="232" customFormat="false" ht="12" hidden="false" customHeight="true" outlineLevel="0" collapsed="false">
      <c r="A232" s="196" t="str">
        <f aca="false">IF(A231&lt;mthend,EDATE(A231,1),"")</f>
        <v/>
      </c>
      <c r="B232" s="197" t="n">
        <f aca="false">IF(A232&lt;mthend,B231,0)</f>
        <v>0</v>
      </c>
      <c r="C232" s="215"/>
      <c r="D232" s="197" t="str">
        <f aca="false">IF(A233&lt;&gt;"",B232+C232,"")</f>
        <v/>
      </c>
      <c r="E232" s="199" t="str">
        <f aca="false">IF(A233="","",IF(AND(AT232=1,$H$3=1),D232*AO232,IF($H$3=2,D232,"N/A")))</f>
        <v/>
      </c>
      <c r="F232" s="199" t="str">
        <f aca="false">IF(A233="","",E232*AS232)</f>
        <v/>
      </c>
      <c r="G232" s="200" t="str">
        <f aca="false">IF($A233="","",VLOOKUP($A232,Table,MATCH(G$4,Curves,0)))</f>
        <v/>
      </c>
      <c r="H232" s="201" t="str">
        <f aca="false">IF(A233="","",G232)</f>
        <v/>
      </c>
      <c r="I232" s="202"/>
      <c r="J232" s="200" t="str">
        <f aca="false">IF($A233="","",VLOOKUP($A232,Table,MATCH(J$4,Curves,0)))</f>
        <v/>
      </c>
      <c r="K232" s="201" t="str">
        <f aca="false">IF(A233="","",J232)</f>
        <v/>
      </c>
      <c r="L232" s="200" t="str">
        <f aca="false">IF($A233="","",VLOOKUP($A232,Table,MATCH(L$4,Curves,0)))</f>
        <v/>
      </c>
      <c r="M232" s="201" t="str">
        <f aca="false">IF(A233="","",L232)</f>
        <v/>
      </c>
      <c r="N232" s="203"/>
      <c r="O232" s="200" t="str">
        <f aca="false">IF(A233="","",L232+J232+G232)</f>
        <v/>
      </c>
      <c r="P232" s="200" t="str">
        <f aca="false">IF(A233="","",M232+K232+H232)</f>
        <v/>
      </c>
      <c r="Q232" s="204"/>
      <c r="R232" s="200" t="str">
        <f aca="false">IF($A233="","",VLOOKUP($A232,Table,MATCH(R$4,Curves,0)))</f>
        <v/>
      </c>
      <c r="S232" s="201" t="str">
        <f aca="false">IF(A233="","",R232)</f>
        <v/>
      </c>
      <c r="T232" s="200" t="str">
        <f aca="false">IF($A233="","",VLOOKUP($A232,Table,MATCH(T$4,Curves,0)))</f>
        <v/>
      </c>
      <c r="U232" s="201" t="str">
        <f aca="false">IF(A233="","",T232)</f>
        <v/>
      </c>
      <c r="V232" s="183" t="str">
        <f aca="false">IF($A233="","",IF(AND(MONTH(A232)&gt;3,MONTH(A232)&lt;11),(T232+R232+G232)*Summary!$T$8/(1-Summary!$T$8),(T232+R232+G232)*Summary!$U$8/(1-Summary!$U$8)))</f>
        <v/>
      </c>
      <c r="W232" s="200" t="str">
        <f aca="false">IF($A233="","",(T232+R232+G232+V232))</f>
        <v/>
      </c>
      <c r="X232" s="200" t="str">
        <f aca="false">IF($A233="","",(U232+S232+H232+V232))</f>
        <v/>
      </c>
      <c r="Y232" s="202"/>
      <c r="Z232" s="185" t="str">
        <f aca="false">IF($A233="","",VLOOKUP($A232,Table,MATCH(Z$4,Curves,0)))</f>
        <v/>
      </c>
      <c r="AA232" s="185" t="str">
        <f aca="false">IF($A233="","",VLOOKUP($A232,Table,MATCH(AA$4,Curves,0)))</f>
        <v/>
      </c>
      <c r="AB232" s="185" t="e">
        <f aca="false">SQRT((AA232^2*(A232-$D$3)+Z232^2*(DAY(EOMONTH(A232,0))/2))/AK232)</f>
        <v>#VALUE!</v>
      </c>
      <c r="AC232" s="185" t="str">
        <f aca="false">IF($A233="","",VLOOKUP($A232,Table,MATCH(AC$4,Curves,0)))</f>
        <v/>
      </c>
      <c r="AD232" s="185" t="str">
        <f aca="false">IF($A233="","",VLOOKUP($A232,Table,MATCH(AD$4,Curves,0)))</f>
        <v/>
      </c>
      <c r="AE232" s="185" t="e">
        <f aca="false">SQRT((AD232^2*(A232-$D$3)+AC232^2*(DAY(EOMONTH(A232,0))/2))/AK232)</f>
        <v>#VALUE!</v>
      </c>
      <c r="AF232" s="224" t="e">
        <f aca="false">((Summary!$N$8*(AA232*AD232)*(A232-$D$3))+(Summary!$M$8*Z232*AC232*(AJ232-EOMONTH(EDATE(A232,-1),0))))/(AK232*AB232*AE232)</f>
        <v>#VALUE!</v>
      </c>
      <c r="AG232" s="207" t="str">
        <f aca="false">IF($A233="","",Summary!$Q$8)</f>
        <v/>
      </c>
      <c r="AH232" s="207" t="str">
        <f aca="false">IF($A233="","",IF(Summary!$R$8="Y",(VLOOKUP($A232,Summary!$AD$6:$AF$9,3)+'Escalating commodity'!D245),'Escalating commodity'!D245))</f>
        <v/>
      </c>
      <c r="AI232" s="207" t="str">
        <f aca="false">IF($A233="","",AH232)</f>
        <v/>
      </c>
      <c r="AJ232" s="208" t="e">
        <f aca="false">A232+DAY(EOMONTH(A232,0))/2-1</f>
        <v>#VALUE!</v>
      </c>
      <c r="AK232" s="209" t="str">
        <f aca="false">IF($A233="","",$A232-$E$1)</f>
        <v/>
      </c>
      <c r="AL232" s="182" t="str">
        <f aca="false">IF($A233="","",SPRDOPT(P232,X232,AI232,0,AB232,AE232,AF232,AK232,$AJ$2,0))</f>
        <v/>
      </c>
      <c r="AM232" s="211" t="str">
        <f aca="false">IF($A233="","",MAX(0,O232-W232-AI232))</f>
        <v/>
      </c>
      <c r="AN232" s="211" t="str">
        <f aca="false">IF($A233="","",AL232-AM232)</f>
        <v/>
      </c>
      <c r="AO232" s="137" t="str">
        <f aca="false">IF(A233="","",A233-A232)</f>
        <v/>
      </c>
      <c r="AP232" s="212" t="str">
        <f aca="false">IF(A233="","",CHOOSE(F$3,A233+24,A232))</f>
        <v/>
      </c>
      <c r="AQ232" s="209" t="str">
        <f aca="false">IF(A233="","",AP232-$E$1)</f>
        <v/>
      </c>
      <c r="AR232" s="185" t="n">
        <f aca="false">'ANR OK vs ML7'!AR232</f>
        <v>0.1</v>
      </c>
      <c r="AS232" s="213" t="str">
        <f aca="false">IF(A233="","",1/(1+CHOOSE(F$3,(AR233+($I$3/10000))/2,(AR232+($I$3/10000))/2))^(2*AQ232/365.25))</f>
        <v/>
      </c>
      <c r="AT232" s="137" t="str">
        <f aca="false">IF(A233="","",IF(AND(mthbeg&lt;=A232,mthend&gt;=A232),1,0))</f>
        <v/>
      </c>
      <c r="AU232" s="137" t="str">
        <f aca="false">IF(A233="","",AO232*AT232)</f>
        <v/>
      </c>
      <c r="AW232" s="195" t="str">
        <f aca="false">IF($A233="","",AL232*$E232)</f>
        <v/>
      </c>
      <c r="AX232" s="195" t="str">
        <f aca="false">IF($A233="","",AM232*$E232)</f>
        <v/>
      </c>
      <c r="AY232" s="195" t="str">
        <f aca="false">IF($A233="","",AN232*$E232)</f>
        <v/>
      </c>
      <c r="BA232" s="195" t="str">
        <f aca="false">IF($A233="","",F232*Summary!$Q$8)</f>
        <v/>
      </c>
    </row>
    <row r="233" customFormat="false" ht="12" hidden="false" customHeight="true" outlineLevel="0" collapsed="false">
      <c r="A233" s="196" t="str">
        <f aca="false">IF(A232&lt;mthend,EDATE(A232,1),"")</f>
        <v/>
      </c>
      <c r="B233" s="197" t="n">
        <f aca="false">IF(A233&lt;mthend,B232,0)</f>
        <v>0</v>
      </c>
      <c r="C233" s="215"/>
      <c r="D233" s="197" t="str">
        <f aca="false">IF(A234&lt;&gt;"",B233+C233,"")</f>
        <v/>
      </c>
      <c r="E233" s="199" t="str">
        <f aca="false">IF(A234="","",IF(AND(AT233=1,$H$3=1),D233*AO233,IF($H$3=2,D233,"N/A")))</f>
        <v/>
      </c>
      <c r="F233" s="199" t="str">
        <f aca="false">IF(A234="","",E233*AS233)</f>
        <v/>
      </c>
      <c r="G233" s="200" t="str">
        <f aca="false">IF($A234="","",VLOOKUP($A233,Table,MATCH(G$4,Curves,0)))</f>
        <v/>
      </c>
      <c r="H233" s="201" t="str">
        <f aca="false">IF(A234="","",G233)</f>
        <v/>
      </c>
      <c r="I233" s="202"/>
      <c r="J233" s="200" t="str">
        <f aca="false">IF($A234="","",VLOOKUP($A233,Table,MATCH(J$4,Curves,0)))</f>
        <v/>
      </c>
      <c r="K233" s="201" t="str">
        <f aca="false">IF(A234="","",J233)</f>
        <v/>
      </c>
      <c r="L233" s="200" t="str">
        <f aca="false">IF($A234="","",VLOOKUP($A233,Table,MATCH(L$4,Curves,0)))</f>
        <v/>
      </c>
      <c r="M233" s="201" t="str">
        <f aca="false">IF(A234="","",L233)</f>
        <v/>
      </c>
      <c r="N233" s="203"/>
      <c r="O233" s="200" t="str">
        <f aca="false">IF(A234="","",L233+J233+G233)</f>
        <v/>
      </c>
      <c r="P233" s="200" t="str">
        <f aca="false">IF(A234="","",M233+K233+H233)</f>
        <v/>
      </c>
      <c r="Q233" s="204"/>
      <c r="R233" s="200" t="str">
        <f aca="false">IF($A234="","",VLOOKUP($A233,Table,MATCH(R$4,Curves,0)))</f>
        <v/>
      </c>
      <c r="S233" s="201" t="str">
        <f aca="false">IF(A234="","",R233)</f>
        <v/>
      </c>
      <c r="T233" s="200" t="str">
        <f aca="false">IF($A234="","",VLOOKUP($A233,Table,MATCH(T$4,Curves,0)))</f>
        <v/>
      </c>
      <c r="U233" s="201" t="str">
        <f aca="false">IF(A234="","",T233)</f>
        <v/>
      </c>
      <c r="V233" s="183" t="str">
        <f aca="false">IF($A234="","",IF(AND(MONTH(A233)&gt;3,MONTH(A233)&lt;11),(T233+R233+G233)*Summary!$T$8/(1-Summary!$T$8),(T233+R233+G233)*Summary!$U$8/(1-Summary!$U$8)))</f>
        <v/>
      </c>
      <c r="W233" s="200" t="str">
        <f aca="false">IF($A234="","",(T233+R233+G233+V233))</f>
        <v/>
      </c>
      <c r="X233" s="200" t="str">
        <f aca="false">IF($A234="","",(U233+S233+H233+V233))</f>
        <v/>
      </c>
      <c r="Y233" s="202"/>
      <c r="Z233" s="185" t="str">
        <f aca="false">IF($A234="","",VLOOKUP($A233,Table,MATCH(Z$4,Curves,0)))</f>
        <v/>
      </c>
      <c r="AA233" s="185" t="str">
        <f aca="false">IF($A234="","",VLOOKUP($A233,Table,MATCH(AA$4,Curves,0)))</f>
        <v/>
      </c>
      <c r="AB233" s="185" t="e">
        <f aca="false">SQRT((AA233^2*(A233-$D$3)+Z233^2*(DAY(EOMONTH(A233,0))/2))/AK233)</f>
        <v>#VALUE!</v>
      </c>
      <c r="AC233" s="185" t="str">
        <f aca="false">IF($A234="","",VLOOKUP($A233,Table,MATCH(AC$4,Curves,0)))</f>
        <v/>
      </c>
      <c r="AD233" s="185" t="str">
        <f aca="false">IF($A234="","",VLOOKUP($A233,Table,MATCH(AD$4,Curves,0)))</f>
        <v/>
      </c>
      <c r="AE233" s="185" t="e">
        <f aca="false">SQRT((AD233^2*(A233-$D$3)+AC233^2*(DAY(EOMONTH(A233,0))/2))/AK233)</f>
        <v>#VALUE!</v>
      </c>
      <c r="AF233" s="224" t="e">
        <f aca="false">((Summary!$N$8*(AA233*AD233)*(A233-$D$3))+(Summary!$M$8*Z233*AC233*(AJ233-EOMONTH(EDATE(A233,-1),0))))/(AK233*AB233*AE233)</f>
        <v>#VALUE!</v>
      </c>
      <c r="AG233" s="207" t="str">
        <f aca="false">IF($A234="","",Summary!$Q$8)</f>
        <v/>
      </c>
      <c r="AH233" s="207" t="str">
        <f aca="false">IF($A234="","",IF(Summary!$R$8="Y",(VLOOKUP($A233,Summary!$AD$6:$AF$9,3)+'Escalating commodity'!D246),'Escalating commodity'!D246))</f>
        <v/>
      </c>
      <c r="AI233" s="207" t="str">
        <f aca="false">IF($A234="","",AH233)</f>
        <v/>
      </c>
      <c r="AJ233" s="208" t="e">
        <f aca="false">A233+DAY(EOMONTH(A233,0))/2-1</f>
        <v>#VALUE!</v>
      </c>
      <c r="AK233" s="209" t="str">
        <f aca="false">IF($A234="","",$A233-$E$1)</f>
        <v/>
      </c>
      <c r="AL233" s="182" t="str">
        <f aca="false">IF($A234="","",SPRDOPT(P233,X233,AI233,0,AB233,AE233,AF233,AK233,$AJ$2,0))</f>
        <v/>
      </c>
      <c r="AM233" s="211" t="str">
        <f aca="false">IF($A234="","",MAX(0,O233-W233-AI233))</f>
        <v/>
      </c>
      <c r="AN233" s="211" t="str">
        <f aca="false">IF($A234="","",AL233-AM233)</f>
        <v/>
      </c>
      <c r="AO233" s="137" t="str">
        <f aca="false">IF(A234="","",A234-A233)</f>
        <v/>
      </c>
      <c r="AP233" s="212" t="str">
        <f aca="false">IF(A234="","",CHOOSE(F$3,A234+24,A233))</f>
        <v/>
      </c>
      <c r="AQ233" s="209" t="str">
        <f aca="false">IF(A234="","",AP233-$E$1)</f>
        <v/>
      </c>
      <c r="AR233" s="185" t="n">
        <f aca="false">'ANR OK vs ML7'!AR233</f>
        <v>0.1</v>
      </c>
      <c r="AS233" s="213" t="str">
        <f aca="false">IF(A234="","",1/(1+CHOOSE(F$3,(AR234+($I$3/10000))/2,(AR233+($I$3/10000))/2))^(2*AQ233/365.25))</f>
        <v/>
      </c>
      <c r="AT233" s="137" t="str">
        <f aca="false">IF(A234="","",IF(AND(mthbeg&lt;=A233,mthend&gt;=A233),1,0))</f>
        <v/>
      </c>
      <c r="AU233" s="137" t="str">
        <f aca="false">IF(A234="","",AO233*AT233)</f>
        <v/>
      </c>
      <c r="AW233" s="195" t="str">
        <f aca="false">IF($A234="","",AL233*$E233)</f>
        <v/>
      </c>
      <c r="AX233" s="195" t="str">
        <f aca="false">IF($A234="","",AM233*$E233)</f>
        <v/>
      </c>
      <c r="AY233" s="195" t="str">
        <f aca="false">IF($A234="","",AN233*$E233)</f>
        <v/>
      </c>
      <c r="BA233" s="195" t="str">
        <f aca="false">IF($A234="","",F233*Summary!$Q$8)</f>
        <v/>
      </c>
    </row>
    <row r="234" customFormat="false" ht="12" hidden="false" customHeight="true" outlineLevel="0" collapsed="false">
      <c r="A234" s="196" t="str">
        <f aca="false">IF(A233&lt;mthend,EDATE(A233,1),"")</f>
        <v/>
      </c>
      <c r="B234" s="197" t="n">
        <f aca="false">IF(A234&lt;mthend,B233,0)</f>
        <v>0</v>
      </c>
      <c r="C234" s="215"/>
      <c r="D234" s="197" t="str">
        <f aca="false">IF(A235&lt;&gt;"",B234+C234,"")</f>
        <v/>
      </c>
      <c r="E234" s="199" t="str">
        <f aca="false">IF(A235="","",IF(AND(AT234=1,$H$3=1),D234*AO234,IF($H$3=2,D234,"N/A")))</f>
        <v/>
      </c>
      <c r="F234" s="199" t="str">
        <f aca="false">IF(A235="","",E234*AS234)</f>
        <v/>
      </c>
      <c r="G234" s="200" t="str">
        <f aca="false">IF($A235="","",VLOOKUP($A234,Table,MATCH(G$4,Curves,0)))</f>
        <v/>
      </c>
      <c r="H234" s="201" t="str">
        <f aca="false">IF(A235="","",G234)</f>
        <v/>
      </c>
      <c r="I234" s="202"/>
      <c r="J234" s="200" t="str">
        <f aca="false">IF($A235="","",VLOOKUP($A234,Table,MATCH(J$4,Curves,0)))</f>
        <v/>
      </c>
      <c r="K234" s="201" t="str">
        <f aca="false">IF(A235="","",J234)</f>
        <v/>
      </c>
      <c r="L234" s="200" t="str">
        <f aca="false">IF($A235="","",VLOOKUP($A234,Table,MATCH(L$4,Curves,0)))</f>
        <v/>
      </c>
      <c r="M234" s="201" t="str">
        <f aca="false">IF(A235="","",L234)</f>
        <v/>
      </c>
      <c r="N234" s="203"/>
      <c r="O234" s="200" t="str">
        <f aca="false">IF(A235="","",L234+J234+G234)</f>
        <v/>
      </c>
      <c r="P234" s="200" t="str">
        <f aca="false">IF(A235="","",M234+K234+H234)</f>
        <v/>
      </c>
      <c r="Q234" s="204"/>
      <c r="R234" s="200" t="str">
        <f aca="false">IF($A235="","",VLOOKUP($A234,Table,MATCH(R$4,Curves,0)))</f>
        <v/>
      </c>
      <c r="S234" s="201" t="str">
        <f aca="false">IF(A235="","",R234)</f>
        <v/>
      </c>
      <c r="T234" s="200" t="str">
        <f aca="false">IF($A235="","",VLOOKUP($A234,Table,MATCH(T$4,Curves,0)))</f>
        <v/>
      </c>
      <c r="U234" s="201" t="str">
        <f aca="false">IF(A235="","",T234)</f>
        <v/>
      </c>
      <c r="V234" s="183" t="str">
        <f aca="false">IF($A235="","",IF(AND(MONTH(A234)&gt;3,MONTH(A234)&lt;11),(T234+R234+G234)*Summary!$T$8/(1-Summary!$T$8),(T234+R234+G234)*Summary!$U$8/(1-Summary!$U$8)))</f>
        <v/>
      </c>
      <c r="W234" s="200" t="str">
        <f aca="false">IF($A235="","",(T234+R234+G234+V234))</f>
        <v/>
      </c>
      <c r="X234" s="200" t="str">
        <f aca="false">IF($A235="","",(U234+S234+H234+V234))</f>
        <v/>
      </c>
      <c r="Y234" s="202"/>
      <c r="Z234" s="185" t="str">
        <f aca="false">IF($A235="","",VLOOKUP($A234,Table,MATCH(Z$4,Curves,0)))</f>
        <v/>
      </c>
      <c r="AA234" s="185" t="str">
        <f aca="false">IF($A235="","",VLOOKUP($A234,Table,MATCH(AA$4,Curves,0)))</f>
        <v/>
      </c>
      <c r="AB234" s="185" t="e">
        <f aca="false">SQRT((AA234^2*(A234-$D$3)+Z234^2*(DAY(EOMONTH(A234,0))/2))/AK234)</f>
        <v>#VALUE!</v>
      </c>
      <c r="AC234" s="185" t="str">
        <f aca="false">IF($A235="","",VLOOKUP($A234,Table,MATCH(AC$4,Curves,0)))</f>
        <v/>
      </c>
      <c r="AD234" s="185" t="str">
        <f aca="false">IF($A235="","",VLOOKUP($A234,Table,MATCH(AD$4,Curves,0)))</f>
        <v/>
      </c>
      <c r="AE234" s="185" t="e">
        <f aca="false">SQRT((AD234^2*(A234-$D$3)+AC234^2*(DAY(EOMONTH(A234,0))/2))/AK234)</f>
        <v>#VALUE!</v>
      </c>
      <c r="AF234" s="224" t="e">
        <f aca="false">((Summary!$N$8*(AA234*AD234)*(A234-$D$3))+(Summary!$M$8*Z234*AC234*(AJ234-EOMONTH(EDATE(A234,-1),0))))/(AK234*AB234*AE234)</f>
        <v>#VALUE!</v>
      </c>
      <c r="AG234" s="207" t="str">
        <f aca="false">IF($A235="","",Summary!$Q$8)</f>
        <v/>
      </c>
      <c r="AH234" s="207" t="str">
        <f aca="false">IF($A235="","",IF(Summary!$R$8="Y",(VLOOKUP($A234,Summary!$AD$6:$AF$9,3)+'Escalating commodity'!D247),'Escalating commodity'!D247))</f>
        <v/>
      </c>
      <c r="AI234" s="207" t="str">
        <f aca="false">IF($A235="","",AH234)</f>
        <v/>
      </c>
      <c r="AJ234" s="208" t="e">
        <f aca="false">A234+DAY(EOMONTH(A234,0))/2-1</f>
        <v>#VALUE!</v>
      </c>
      <c r="AK234" s="209" t="str">
        <f aca="false">IF($A235="","",$A234-$E$1)</f>
        <v/>
      </c>
      <c r="AL234" s="182" t="str">
        <f aca="false">IF($A235="","",SPRDOPT(P234,X234,AI234,0,AB234,AE234,AF234,AK234,$AJ$2,0))</f>
        <v/>
      </c>
      <c r="AM234" s="211" t="str">
        <f aca="false">IF($A235="","",MAX(0,O234-W234-AI234))</f>
        <v/>
      </c>
      <c r="AN234" s="211" t="str">
        <f aca="false">IF($A235="","",AL234-AM234)</f>
        <v/>
      </c>
      <c r="AO234" s="137" t="str">
        <f aca="false">IF(A235="","",A235-A234)</f>
        <v/>
      </c>
      <c r="AP234" s="212" t="str">
        <f aca="false">IF(A235="","",CHOOSE(F$3,A235+24,A234))</f>
        <v/>
      </c>
      <c r="AQ234" s="209" t="str">
        <f aca="false">IF(A235="","",AP234-$E$1)</f>
        <v/>
      </c>
      <c r="AR234" s="185" t="n">
        <f aca="false">'ANR OK vs ML7'!AR234</f>
        <v>0.1</v>
      </c>
      <c r="AS234" s="213" t="str">
        <f aca="false">IF(A235="","",1/(1+CHOOSE(F$3,(AR235+($I$3/10000))/2,(AR234+($I$3/10000))/2))^(2*AQ234/365.25))</f>
        <v/>
      </c>
      <c r="AT234" s="137" t="str">
        <f aca="false">IF(A235="","",IF(AND(mthbeg&lt;=A234,mthend&gt;=A234),1,0))</f>
        <v/>
      </c>
      <c r="AU234" s="137" t="str">
        <f aca="false">IF(A235="","",AO234*AT234)</f>
        <v/>
      </c>
      <c r="AW234" s="195" t="str">
        <f aca="false">IF($A235="","",AL234*$E234)</f>
        <v/>
      </c>
      <c r="AX234" s="195" t="str">
        <f aca="false">IF($A235="","",AM234*$E234)</f>
        <v/>
      </c>
      <c r="AY234" s="195" t="str">
        <f aca="false">IF($A235="","",AN234*$E234)</f>
        <v/>
      </c>
      <c r="BA234" s="195" t="str">
        <f aca="false">IF($A235="","",F234*Summary!$Q$8)</f>
        <v/>
      </c>
    </row>
    <row r="235" customFormat="false" ht="12" hidden="false" customHeight="true" outlineLevel="0" collapsed="false">
      <c r="A235" s="196" t="str">
        <f aca="false">IF(A234&lt;mthend,EDATE(A234,1),"")</f>
        <v/>
      </c>
      <c r="B235" s="197" t="n">
        <f aca="false">IF(A235&lt;mthend,B234,0)</f>
        <v>0</v>
      </c>
      <c r="C235" s="215"/>
      <c r="D235" s="197" t="str">
        <f aca="false">IF(A236&lt;&gt;"",B235+C235,"")</f>
        <v/>
      </c>
      <c r="E235" s="199" t="str">
        <f aca="false">IF(A236="","",IF(AND(AT235=1,$H$3=1),D235*AO235,IF($H$3=2,D235,"N/A")))</f>
        <v/>
      </c>
      <c r="F235" s="199" t="str">
        <f aca="false">IF(A236="","",E235*AS235)</f>
        <v/>
      </c>
      <c r="G235" s="200" t="str">
        <f aca="false">IF($A236="","",VLOOKUP($A235,Table,MATCH(G$4,Curves,0)))</f>
        <v/>
      </c>
      <c r="H235" s="201" t="str">
        <f aca="false">IF(A236="","",G235)</f>
        <v/>
      </c>
      <c r="I235" s="202"/>
      <c r="J235" s="200" t="str">
        <f aca="false">IF($A236="","",VLOOKUP($A235,Table,MATCH(J$4,Curves,0)))</f>
        <v/>
      </c>
      <c r="K235" s="201" t="str">
        <f aca="false">IF(A236="","",J235)</f>
        <v/>
      </c>
      <c r="L235" s="200" t="str">
        <f aca="false">IF($A236="","",VLOOKUP($A235,Table,MATCH(L$4,Curves,0)))</f>
        <v/>
      </c>
      <c r="M235" s="201" t="str">
        <f aca="false">IF(A236="","",L235)</f>
        <v/>
      </c>
      <c r="N235" s="203"/>
      <c r="O235" s="200" t="str">
        <f aca="false">IF(A236="","",L235+J235+G235)</f>
        <v/>
      </c>
      <c r="P235" s="200" t="str">
        <f aca="false">IF(A236="","",M235+K235+H235)</f>
        <v/>
      </c>
      <c r="Q235" s="204"/>
      <c r="R235" s="200" t="str">
        <f aca="false">IF($A236="","",VLOOKUP($A235,Table,MATCH(R$4,Curves,0)))</f>
        <v/>
      </c>
      <c r="S235" s="201" t="str">
        <f aca="false">IF(A236="","",R235)</f>
        <v/>
      </c>
      <c r="T235" s="200" t="str">
        <f aca="false">IF($A236="","",VLOOKUP($A235,Table,MATCH(T$4,Curves,0)))</f>
        <v/>
      </c>
      <c r="U235" s="201" t="str">
        <f aca="false">IF(A236="","",T235)</f>
        <v/>
      </c>
      <c r="V235" s="183" t="str">
        <f aca="false">IF($A236="","",IF(AND(MONTH(A235)&gt;3,MONTH(A235)&lt;11),(T235+R235+G235)*Summary!$T$8/(1-Summary!$T$8),(T235+R235+G235)*Summary!$U$8/(1-Summary!$U$8)))</f>
        <v/>
      </c>
      <c r="W235" s="200" t="str">
        <f aca="false">IF($A236="","",(T235+R235+G235+V235))</f>
        <v/>
      </c>
      <c r="X235" s="200" t="str">
        <f aca="false">IF($A236="","",(U235+S235+H235+V235))</f>
        <v/>
      </c>
      <c r="Y235" s="202"/>
      <c r="Z235" s="185" t="str">
        <f aca="false">IF($A236="","",VLOOKUP($A235,Table,MATCH(Z$4,Curves,0)))</f>
        <v/>
      </c>
      <c r="AA235" s="185" t="str">
        <f aca="false">IF($A236="","",VLOOKUP($A235,Table,MATCH(AA$4,Curves,0)))</f>
        <v/>
      </c>
      <c r="AB235" s="185" t="e">
        <f aca="false">SQRT((AA235^2*(A235-$D$3)+Z235^2*(DAY(EOMONTH(A235,0))/2))/AK235)</f>
        <v>#VALUE!</v>
      </c>
      <c r="AC235" s="185" t="str">
        <f aca="false">IF($A236="","",VLOOKUP($A235,Table,MATCH(AC$4,Curves,0)))</f>
        <v/>
      </c>
      <c r="AD235" s="185" t="str">
        <f aca="false">IF($A236="","",VLOOKUP($A235,Table,MATCH(AD$4,Curves,0)))</f>
        <v/>
      </c>
      <c r="AE235" s="185" t="e">
        <f aca="false">SQRT((AD235^2*(A235-$D$3)+AC235^2*(DAY(EOMONTH(A235,0))/2))/AK235)</f>
        <v>#VALUE!</v>
      </c>
      <c r="AF235" s="224" t="e">
        <f aca="false">((Summary!$N$8*(AA235*AD235)*(A235-$D$3))+(Summary!$M$8*Z235*AC235*(AJ235-EOMONTH(EDATE(A235,-1),0))))/(AK235*AB235*AE235)</f>
        <v>#VALUE!</v>
      </c>
      <c r="AG235" s="207" t="str">
        <f aca="false">IF($A236="","",Summary!$Q$8)</f>
        <v/>
      </c>
      <c r="AH235" s="207" t="str">
        <f aca="false">IF($A236="","",IF(Summary!$R$8="Y",(VLOOKUP($A235,Summary!$AD$6:$AF$9,3)+'Escalating commodity'!D248),'Escalating commodity'!D248))</f>
        <v/>
      </c>
      <c r="AI235" s="207" t="str">
        <f aca="false">IF($A236="","",AH235)</f>
        <v/>
      </c>
      <c r="AJ235" s="208" t="e">
        <f aca="false">A235+DAY(EOMONTH(A235,0))/2-1</f>
        <v>#VALUE!</v>
      </c>
      <c r="AK235" s="209" t="str">
        <f aca="false">IF($A236="","",$A235-$E$1)</f>
        <v/>
      </c>
      <c r="AL235" s="182" t="str">
        <f aca="false">IF($A236="","",SPRDOPT(P235,X235,AI235,0,AB235,AE235,AF235,AK235,$AJ$2,0))</f>
        <v/>
      </c>
      <c r="AM235" s="211" t="str">
        <f aca="false">IF($A236="","",MAX(0,O235-W235-AI235))</f>
        <v/>
      </c>
      <c r="AN235" s="211" t="str">
        <f aca="false">IF($A236="","",AL235-AM235)</f>
        <v/>
      </c>
      <c r="AO235" s="137" t="str">
        <f aca="false">IF(A236="","",A236-A235)</f>
        <v/>
      </c>
      <c r="AP235" s="212" t="str">
        <f aca="false">IF(A236="","",CHOOSE(F$3,A236+24,A235))</f>
        <v/>
      </c>
      <c r="AQ235" s="209" t="str">
        <f aca="false">IF(A236="","",AP235-$E$1)</f>
        <v/>
      </c>
      <c r="AR235" s="185" t="n">
        <f aca="false">'ANR OK vs ML7'!AR235</f>
        <v>0.1</v>
      </c>
      <c r="AS235" s="213" t="str">
        <f aca="false">IF(A236="","",1/(1+CHOOSE(F$3,(AR236+($I$3/10000))/2,(AR235+($I$3/10000))/2))^(2*AQ235/365.25))</f>
        <v/>
      </c>
      <c r="AT235" s="137" t="str">
        <f aca="false">IF(A236="","",IF(AND(mthbeg&lt;=A235,mthend&gt;=A235),1,0))</f>
        <v/>
      </c>
      <c r="AU235" s="137" t="str">
        <f aca="false">IF(A236="","",AO235*AT235)</f>
        <v/>
      </c>
      <c r="AW235" s="195" t="str">
        <f aca="false">IF($A236="","",AL235*$E235)</f>
        <v/>
      </c>
      <c r="AX235" s="195" t="str">
        <f aca="false">IF($A236="","",AM235*$E235)</f>
        <v/>
      </c>
      <c r="AY235" s="195" t="str">
        <f aca="false">IF($A236="","",AN235*$E235)</f>
        <v/>
      </c>
      <c r="BA235" s="195" t="str">
        <f aca="false">IF($A236="","",F235*Summary!$Q$8)</f>
        <v/>
      </c>
    </row>
    <row r="236" customFormat="false" ht="12" hidden="false" customHeight="true" outlineLevel="0" collapsed="false">
      <c r="A236" s="196" t="str">
        <f aca="false">IF(A235&lt;mthend,EDATE(A235,1),"")</f>
        <v/>
      </c>
      <c r="B236" s="197" t="n">
        <f aca="false">IF(A236&lt;mthend,B235,0)</f>
        <v>0</v>
      </c>
      <c r="C236" s="215"/>
      <c r="D236" s="197" t="str">
        <f aca="false">IF(A237&lt;&gt;"",B236+C236,"")</f>
        <v/>
      </c>
      <c r="E236" s="199" t="str">
        <f aca="false">IF(A237="","",IF(AND(AT236=1,$H$3=1),D236*AO236,IF($H$3=2,D236,"N/A")))</f>
        <v/>
      </c>
      <c r="F236" s="199" t="str">
        <f aca="false">IF(A237="","",E236*AS236)</f>
        <v/>
      </c>
      <c r="G236" s="200" t="str">
        <f aca="false">IF($A237="","",VLOOKUP($A236,Table,MATCH(G$4,Curves,0)))</f>
        <v/>
      </c>
      <c r="H236" s="201" t="str">
        <f aca="false">IF(A237="","",G236)</f>
        <v/>
      </c>
      <c r="I236" s="202"/>
      <c r="J236" s="200" t="str">
        <f aca="false">IF($A237="","",VLOOKUP($A236,Table,MATCH(J$4,Curves,0)))</f>
        <v/>
      </c>
      <c r="K236" s="201" t="str">
        <f aca="false">IF(A237="","",J236)</f>
        <v/>
      </c>
      <c r="L236" s="200" t="str">
        <f aca="false">IF($A237="","",VLOOKUP($A236,Table,MATCH(L$4,Curves,0)))</f>
        <v/>
      </c>
      <c r="M236" s="201" t="str">
        <f aca="false">IF(A237="","",L236)</f>
        <v/>
      </c>
      <c r="N236" s="203"/>
      <c r="O236" s="200" t="str">
        <f aca="false">IF(A237="","",L236+J236+G236)</f>
        <v/>
      </c>
      <c r="P236" s="200" t="str">
        <f aca="false">IF(A237="","",M236+K236+H236)</f>
        <v/>
      </c>
      <c r="Q236" s="204"/>
      <c r="R236" s="200" t="str">
        <f aca="false">IF($A237="","",VLOOKUP($A236,Table,MATCH(R$4,Curves,0)))</f>
        <v/>
      </c>
      <c r="S236" s="201" t="str">
        <f aca="false">IF(A237="","",R236)</f>
        <v/>
      </c>
      <c r="T236" s="200" t="str">
        <f aca="false">IF($A237="","",VLOOKUP($A236,Table,MATCH(T$4,Curves,0)))</f>
        <v/>
      </c>
      <c r="U236" s="201" t="str">
        <f aca="false">IF(A237="","",T236)</f>
        <v/>
      </c>
      <c r="V236" s="183" t="str">
        <f aca="false">IF($A237="","",IF(AND(MONTH(A236)&gt;3,MONTH(A236)&lt;11),(T236+R236+G236)*Summary!$T$8/(1-Summary!$T$8),(T236+R236+G236)*Summary!$U$8/(1-Summary!$U$8)))</f>
        <v/>
      </c>
      <c r="W236" s="200" t="str">
        <f aca="false">IF($A237="","",(T236+R236+G236+V236))</f>
        <v/>
      </c>
      <c r="X236" s="200" t="str">
        <f aca="false">IF($A237="","",(U236+S236+H236+V236))</f>
        <v/>
      </c>
      <c r="Y236" s="202"/>
      <c r="Z236" s="185" t="str">
        <f aca="false">IF($A237="","",VLOOKUP($A236,Table,MATCH(Z$4,Curves,0)))</f>
        <v/>
      </c>
      <c r="AA236" s="185" t="str">
        <f aca="false">IF($A237="","",VLOOKUP($A236,Table,MATCH(AA$4,Curves,0)))</f>
        <v/>
      </c>
      <c r="AB236" s="185" t="e">
        <f aca="false">SQRT((AA236^2*(A236-$D$3)+Z236^2*(DAY(EOMONTH(A236,0))/2))/AK236)</f>
        <v>#VALUE!</v>
      </c>
      <c r="AC236" s="185" t="str">
        <f aca="false">IF($A237="","",VLOOKUP($A236,Table,MATCH(AC$4,Curves,0)))</f>
        <v/>
      </c>
      <c r="AD236" s="185" t="str">
        <f aca="false">IF($A237="","",VLOOKUP($A236,Table,MATCH(AD$4,Curves,0)))</f>
        <v/>
      </c>
      <c r="AE236" s="185" t="e">
        <f aca="false">SQRT((AD236^2*(A236-$D$3)+AC236^2*(DAY(EOMONTH(A236,0))/2))/AK236)</f>
        <v>#VALUE!</v>
      </c>
      <c r="AF236" s="224" t="e">
        <f aca="false">((Summary!$N$8*(AA236*AD236)*(A236-$D$3))+(Summary!$M$8*Z236*AC236*(AJ236-EOMONTH(EDATE(A236,-1),0))))/(AK236*AB236*AE236)</f>
        <v>#VALUE!</v>
      </c>
      <c r="AG236" s="207" t="str">
        <f aca="false">IF($A237="","",Summary!$Q$8)</f>
        <v/>
      </c>
      <c r="AH236" s="207" t="str">
        <f aca="false">IF($A237="","",IF(Summary!$R$8="Y",(VLOOKUP($A236,Summary!$AD$6:$AF$9,3)+'Escalating commodity'!D249),'Escalating commodity'!D249))</f>
        <v/>
      </c>
      <c r="AI236" s="207" t="str">
        <f aca="false">IF($A237="","",AH236)</f>
        <v/>
      </c>
      <c r="AJ236" s="208" t="e">
        <f aca="false">A236+DAY(EOMONTH(A236,0))/2-1</f>
        <v>#VALUE!</v>
      </c>
      <c r="AK236" s="209" t="str">
        <f aca="false">IF($A237="","",$A236-$E$1)</f>
        <v/>
      </c>
      <c r="AL236" s="182" t="str">
        <f aca="false">IF($A237="","",SPRDOPT(P236,X236,AI236,0,AB236,AE236,AF236,AK236,$AJ$2,0))</f>
        <v/>
      </c>
      <c r="AM236" s="211" t="str">
        <f aca="false">IF($A237="","",MAX(0,O236-W236-AI236))</f>
        <v/>
      </c>
      <c r="AN236" s="211" t="str">
        <f aca="false">IF($A237="","",AL236-AM236)</f>
        <v/>
      </c>
      <c r="AO236" s="137" t="str">
        <f aca="false">IF(A237="","",A237-A236)</f>
        <v/>
      </c>
      <c r="AP236" s="212" t="str">
        <f aca="false">IF(A237="","",CHOOSE(F$3,A237+24,A236))</f>
        <v/>
      </c>
      <c r="AQ236" s="209" t="str">
        <f aca="false">IF(A237="","",AP236-$E$1)</f>
        <v/>
      </c>
      <c r="AR236" s="185" t="n">
        <f aca="false">'ANR OK vs ML7'!AR236</f>
        <v>0.1</v>
      </c>
      <c r="AS236" s="213" t="str">
        <f aca="false">IF(A237="","",1/(1+CHOOSE(F$3,(AR237+($I$3/10000))/2,(AR236+($I$3/10000))/2))^(2*AQ236/365.25))</f>
        <v/>
      </c>
      <c r="AT236" s="137" t="str">
        <f aca="false">IF(A237="","",IF(AND(mthbeg&lt;=A236,mthend&gt;=A236),1,0))</f>
        <v/>
      </c>
      <c r="AU236" s="137" t="str">
        <f aca="false">IF(A237="","",AO236*AT236)</f>
        <v/>
      </c>
      <c r="AW236" s="195" t="str">
        <f aca="false">IF($A237="","",AL236*$E236)</f>
        <v/>
      </c>
      <c r="AX236" s="195" t="str">
        <f aca="false">IF($A237="","",AM236*$E236)</f>
        <v/>
      </c>
      <c r="AY236" s="195" t="str">
        <f aca="false">IF($A237="","",AN236*$E236)</f>
        <v/>
      </c>
      <c r="BA236" s="195" t="str">
        <f aca="false">IF($A237="","",F236*Summary!$Q$8)</f>
        <v/>
      </c>
    </row>
    <row r="237" customFormat="false" ht="12" hidden="false" customHeight="true" outlineLevel="0" collapsed="false">
      <c r="A237" s="196" t="str">
        <f aca="false">IF(A236&lt;mthend,EDATE(A236,1),"")</f>
        <v/>
      </c>
      <c r="B237" s="197" t="n">
        <f aca="false">IF(A237&lt;mthend,B236,0)</f>
        <v>0</v>
      </c>
      <c r="C237" s="215"/>
      <c r="D237" s="197" t="str">
        <f aca="false">IF(A238&lt;&gt;"",B237+C237,"")</f>
        <v/>
      </c>
      <c r="E237" s="199" t="str">
        <f aca="false">IF(A238="","",IF(AND(AT237=1,$H$3=1),D237*AO237,IF($H$3=2,D237,"N/A")))</f>
        <v/>
      </c>
      <c r="F237" s="199" t="str">
        <f aca="false">IF(A238="","",E237*AS237)</f>
        <v/>
      </c>
      <c r="G237" s="200" t="str">
        <f aca="false">IF($A238="","",VLOOKUP($A237,Table,MATCH(G$4,Curves,0)))</f>
        <v/>
      </c>
      <c r="H237" s="201" t="str">
        <f aca="false">IF(A238="","",G237)</f>
        <v/>
      </c>
      <c r="I237" s="202"/>
      <c r="J237" s="200" t="str">
        <f aca="false">IF($A238="","",VLOOKUP($A237,Table,MATCH(J$4,Curves,0)))</f>
        <v/>
      </c>
      <c r="K237" s="201" t="str">
        <f aca="false">IF(A238="","",J237)</f>
        <v/>
      </c>
      <c r="L237" s="200" t="str">
        <f aca="false">IF($A238="","",VLOOKUP($A237,Table,MATCH(L$4,Curves,0)))</f>
        <v/>
      </c>
      <c r="M237" s="201" t="str">
        <f aca="false">IF(A238="","",L237)</f>
        <v/>
      </c>
      <c r="N237" s="203"/>
      <c r="O237" s="200" t="str">
        <f aca="false">IF(A238="","",L237+J237+G237)</f>
        <v/>
      </c>
      <c r="P237" s="200" t="str">
        <f aca="false">IF(A238="","",M237+K237+H237)</f>
        <v/>
      </c>
      <c r="Q237" s="204"/>
      <c r="R237" s="200" t="str">
        <f aca="false">IF($A238="","",VLOOKUP($A237,Table,MATCH(R$4,Curves,0)))</f>
        <v/>
      </c>
      <c r="S237" s="201" t="str">
        <f aca="false">IF(A238="","",R237)</f>
        <v/>
      </c>
      <c r="T237" s="200" t="str">
        <f aca="false">IF($A238="","",VLOOKUP($A237,Table,MATCH(T$4,Curves,0)))</f>
        <v/>
      </c>
      <c r="U237" s="201" t="str">
        <f aca="false">IF(A238="","",T237)</f>
        <v/>
      </c>
      <c r="V237" s="183" t="str">
        <f aca="false">IF($A238="","",IF(AND(MONTH(A237)&gt;3,MONTH(A237)&lt;11),(T237+R237+G237)*Summary!$T$8/(1-Summary!$T$8),(T237+R237+G237)*Summary!$U$8/(1-Summary!$U$8)))</f>
        <v/>
      </c>
      <c r="W237" s="200" t="str">
        <f aca="false">IF($A238="","",(T237+R237+G237+V237))</f>
        <v/>
      </c>
      <c r="X237" s="200" t="str">
        <f aca="false">IF($A238="","",(U237+S237+H237+V237))</f>
        <v/>
      </c>
      <c r="Y237" s="202"/>
      <c r="Z237" s="185" t="str">
        <f aca="false">IF($A238="","",VLOOKUP($A237,Table,MATCH(Z$4,Curves,0)))</f>
        <v/>
      </c>
      <c r="AA237" s="185" t="str">
        <f aca="false">IF($A238="","",VLOOKUP($A237,Table,MATCH(AA$4,Curves,0)))</f>
        <v/>
      </c>
      <c r="AB237" s="185" t="e">
        <f aca="false">SQRT((AA237^2*(A237-$D$3)+Z237^2*(DAY(EOMONTH(A237,0))/2))/AK237)</f>
        <v>#VALUE!</v>
      </c>
      <c r="AC237" s="185" t="str">
        <f aca="false">IF($A238="","",VLOOKUP($A237,Table,MATCH(AC$4,Curves,0)))</f>
        <v/>
      </c>
      <c r="AD237" s="185" t="str">
        <f aca="false">IF($A238="","",VLOOKUP($A237,Table,MATCH(AD$4,Curves,0)))</f>
        <v/>
      </c>
      <c r="AE237" s="185" t="e">
        <f aca="false">SQRT((AD237^2*(A237-$D$3)+AC237^2*(DAY(EOMONTH(A237,0))/2))/AK237)</f>
        <v>#VALUE!</v>
      </c>
      <c r="AF237" s="224" t="e">
        <f aca="false">((Summary!$N$8*(AA237*AD237)*(A237-$D$3))+(Summary!$M$8*Z237*AC237*(AJ237-EOMONTH(EDATE(A237,-1),0))))/(AK237*AB237*AE237)</f>
        <v>#VALUE!</v>
      </c>
      <c r="AG237" s="207" t="str">
        <f aca="false">IF($A238="","",Summary!$Q$8)</f>
        <v/>
      </c>
      <c r="AH237" s="207" t="str">
        <f aca="false">IF($A238="","",IF(Summary!$R$8="Y",(VLOOKUP($A237,Summary!$AD$6:$AF$9,3)+'Escalating commodity'!D250),'Escalating commodity'!D250))</f>
        <v/>
      </c>
      <c r="AI237" s="207" t="str">
        <f aca="false">IF($A238="","",AH237)</f>
        <v/>
      </c>
      <c r="AJ237" s="208" t="e">
        <f aca="false">A237+DAY(EOMONTH(A237,0))/2-1</f>
        <v>#VALUE!</v>
      </c>
      <c r="AK237" s="209" t="str">
        <f aca="false">IF($A238="","",$A237-$E$1)</f>
        <v/>
      </c>
      <c r="AL237" s="182" t="str">
        <f aca="false">IF($A238="","",SPRDOPT(P237,X237,AI237,0,AB237,AE237,AF237,AK237,$AJ$2,0))</f>
        <v/>
      </c>
      <c r="AM237" s="211" t="str">
        <f aca="false">IF($A238="","",MAX(0,O237-W237-AI237))</f>
        <v/>
      </c>
      <c r="AN237" s="211" t="str">
        <f aca="false">IF($A238="","",AL237-AM237)</f>
        <v/>
      </c>
      <c r="AO237" s="137" t="str">
        <f aca="false">IF(A238="","",A238-A237)</f>
        <v/>
      </c>
      <c r="AP237" s="212" t="str">
        <f aca="false">IF(A238="","",CHOOSE(F$3,A238+24,A237))</f>
        <v/>
      </c>
      <c r="AQ237" s="209" t="str">
        <f aca="false">IF(A238="","",AP237-$E$1)</f>
        <v/>
      </c>
      <c r="AR237" s="185" t="n">
        <f aca="false">'ANR OK vs ML7'!AR237</f>
        <v>0.1</v>
      </c>
      <c r="AS237" s="213" t="str">
        <f aca="false">IF(A238="","",1/(1+CHOOSE(F$3,(AR238+($I$3/10000))/2,(AR237+($I$3/10000))/2))^(2*AQ237/365.25))</f>
        <v/>
      </c>
      <c r="AT237" s="137" t="str">
        <f aca="false">IF(A238="","",IF(AND(mthbeg&lt;=A237,mthend&gt;=A237),1,0))</f>
        <v/>
      </c>
      <c r="AU237" s="137" t="str">
        <f aca="false">IF(A238="","",AO237*AT237)</f>
        <v/>
      </c>
      <c r="AW237" s="195" t="str">
        <f aca="false">IF($A238="","",AL237*$E237)</f>
        <v/>
      </c>
      <c r="AX237" s="195" t="str">
        <f aca="false">IF($A238="","",AM237*$E237)</f>
        <v/>
      </c>
      <c r="AY237" s="195" t="str">
        <f aca="false">IF($A238="","",AN237*$E237)</f>
        <v/>
      </c>
      <c r="BA237" s="195" t="str">
        <f aca="false">IF($A238="","",F237*Summary!$Q$8)</f>
        <v/>
      </c>
    </row>
    <row r="238" customFormat="false" ht="12" hidden="false" customHeight="true" outlineLevel="0" collapsed="false">
      <c r="A238" s="196" t="str">
        <f aca="false">IF(A237&lt;mthend,EDATE(A237,1),"")</f>
        <v/>
      </c>
      <c r="B238" s="197" t="n">
        <f aca="false">IF(A238&lt;mthend,B237,0)</f>
        <v>0</v>
      </c>
      <c r="C238" s="215"/>
      <c r="D238" s="197" t="str">
        <f aca="false">IF(A239&lt;&gt;"",B238+C238,"")</f>
        <v/>
      </c>
      <c r="E238" s="199" t="str">
        <f aca="false">IF(A239="","",IF(AND(AT238=1,$H$3=1),D238*AO238,IF($H$3=2,D238,"N/A")))</f>
        <v/>
      </c>
      <c r="F238" s="199" t="str">
        <f aca="false">IF(A239="","",E238*AS238)</f>
        <v/>
      </c>
      <c r="G238" s="200" t="str">
        <f aca="false">IF($A239="","",VLOOKUP($A238,Table,MATCH(G$4,Curves,0)))</f>
        <v/>
      </c>
      <c r="H238" s="201" t="str">
        <f aca="false">IF(A239="","",G238)</f>
        <v/>
      </c>
      <c r="I238" s="202"/>
      <c r="J238" s="200" t="str">
        <f aca="false">IF($A239="","",VLOOKUP($A238,Table,MATCH(J$4,Curves,0)))</f>
        <v/>
      </c>
      <c r="K238" s="201" t="str">
        <f aca="false">IF(A239="","",J238)</f>
        <v/>
      </c>
      <c r="L238" s="200" t="str">
        <f aca="false">IF($A239="","",VLOOKUP($A238,Table,MATCH(L$4,Curves,0)))</f>
        <v/>
      </c>
      <c r="M238" s="201" t="str">
        <f aca="false">IF(A239="","",L238)</f>
        <v/>
      </c>
      <c r="N238" s="203"/>
      <c r="O238" s="200" t="str">
        <f aca="false">IF(A239="","",L238+J238+G238)</f>
        <v/>
      </c>
      <c r="P238" s="200" t="str">
        <f aca="false">IF(A239="","",M238+K238+H238)</f>
        <v/>
      </c>
      <c r="Q238" s="204"/>
      <c r="R238" s="200" t="str">
        <f aca="false">IF($A239="","",VLOOKUP($A238,Table,MATCH(R$4,Curves,0)))</f>
        <v/>
      </c>
      <c r="S238" s="201" t="str">
        <f aca="false">IF(A239="","",R238)</f>
        <v/>
      </c>
      <c r="T238" s="200" t="str">
        <f aca="false">IF($A239="","",VLOOKUP($A238,Table,MATCH(T$4,Curves,0)))</f>
        <v/>
      </c>
      <c r="U238" s="201" t="str">
        <f aca="false">IF(A239="","",T238)</f>
        <v/>
      </c>
      <c r="V238" s="183" t="str">
        <f aca="false">IF($A239="","",IF(AND(MONTH(A238)&gt;3,MONTH(A238)&lt;11),(T238+R238+G238)*Summary!$T$8/(1-Summary!$T$8),(T238+R238+G238)*Summary!$U$8/(1-Summary!$U$8)))</f>
        <v/>
      </c>
      <c r="W238" s="200" t="str">
        <f aca="false">IF($A239="","",(T238+R238+G238+V238))</f>
        <v/>
      </c>
      <c r="X238" s="200" t="str">
        <f aca="false">IF($A239="","",(U238+S238+H238+V238))</f>
        <v/>
      </c>
      <c r="Y238" s="202"/>
      <c r="Z238" s="185" t="str">
        <f aca="false">IF($A239="","",VLOOKUP($A238,Table,MATCH(Z$4,Curves,0)))</f>
        <v/>
      </c>
      <c r="AA238" s="185" t="str">
        <f aca="false">IF($A239="","",VLOOKUP($A238,Table,MATCH(AA$4,Curves,0)))</f>
        <v/>
      </c>
      <c r="AB238" s="185" t="e">
        <f aca="false">SQRT((AA238^2*(A238-$D$3)+Z238^2*(DAY(EOMONTH(A238,0))/2))/AK238)</f>
        <v>#VALUE!</v>
      </c>
      <c r="AC238" s="185" t="str">
        <f aca="false">IF($A239="","",VLOOKUP($A238,Table,MATCH(AC$4,Curves,0)))</f>
        <v/>
      </c>
      <c r="AD238" s="185" t="str">
        <f aca="false">IF($A239="","",VLOOKUP($A238,Table,MATCH(AD$4,Curves,0)))</f>
        <v/>
      </c>
      <c r="AE238" s="185" t="e">
        <f aca="false">SQRT((AD238^2*(A238-$D$3)+AC238^2*(DAY(EOMONTH(A238,0))/2))/AK238)</f>
        <v>#VALUE!</v>
      </c>
      <c r="AF238" s="224" t="e">
        <f aca="false">((Summary!$N$8*(AA238*AD238)*(A238-$D$3))+(Summary!$M$8*Z238*AC238*(AJ238-EOMONTH(EDATE(A238,-1),0))))/(AK238*AB238*AE238)</f>
        <v>#VALUE!</v>
      </c>
      <c r="AG238" s="207" t="str">
        <f aca="false">IF($A239="","",Summary!$Q$8)</f>
        <v/>
      </c>
      <c r="AH238" s="207" t="str">
        <f aca="false">IF($A239="","",IF(Summary!$R$8="Y",(VLOOKUP($A238,Summary!$AD$6:$AF$9,3)+'Escalating commodity'!D251),'Escalating commodity'!D251))</f>
        <v/>
      </c>
      <c r="AI238" s="207" t="str">
        <f aca="false">IF($A239="","",AH238)</f>
        <v/>
      </c>
      <c r="AJ238" s="208" t="e">
        <f aca="false">A238+DAY(EOMONTH(A238,0))/2-1</f>
        <v>#VALUE!</v>
      </c>
      <c r="AK238" s="209" t="str">
        <f aca="false">IF($A239="","",$A238-$E$1)</f>
        <v/>
      </c>
      <c r="AL238" s="182" t="str">
        <f aca="false">IF($A239="","",SPRDOPT(P238,X238,AI238,0,AB238,AE238,AF238,AK238,$AJ$2,0))</f>
        <v/>
      </c>
      <c r="AM238" s="211" t="str">
        <f aca="false">IF($A239="","",MAX(0,O238-W238-AI238))</f>
        <v/>
      </c>
      <c r="AN238" s="211" t="str">
        <f aca="false">IF($A239="","",AL238-AM238)</f>
        <v/>
      </c>
      <c r="AO238" s="137" t="str">
        <f aca="false">IF(A239="","",A239-A238)</f>
        <v/>
      </c>
      <c r="AP238" s="212" t="str">
        <f aca="false">IF(A239="","",CHOOSE(F$3,A239+24,A238))</f>
        <v/>
      </c>
      <c r="AQ238" s="209" t="str">
        <f aca="false">IF(A239="","",AP238-$E$1)</f>
        <v/>
      </c>
      <c r="AR238" s="185" t="n">
        <f aca="false">'ANR OK vs ML7'!AR238</f>
        <v>0.1</v>
      </c>
      <c r="AS238" s="213" t="str">
        <f aca="false">IF(A239="","",1/(1+CHOOSE(F$3,(AR239+($I$3/10000))/2,(AR238+($I$3/10000))/2))^(2*AQ238/365.25))</f>
        <v/>
      </c>
      <c r="AT238" s="137" t="str">
        <f aca="false">IF(A239="","",IF(AND(mthbeg&lt;=A238,mthend&gt;=A238),1,0))</f>
        <v/>
      </c>
      <c r="AU238" s="137" t="str">
        <f aca="false">IF(A239="","",AO238*AT238)</f>
        <v/>
      </c>
      <c r="AW238" s="195" t="str">
        <f aca="false">IF($A239="","",AL238*$E238)</f>
        <v/>
      </c>
      <c r="AX238" s="195" t="str">
        <f aca="false">IF($A239="","",AM238*$E238)</f>
        <v/>
      </c>
      <c r="AY238" s="195" t="str">
        <f aca="false">IF($A239="","",AN238*$E238)</f>
        <v/>
      </c>
      <c r="BA238" s="195" t="str">
        <f aca="false">IF($A239="","",F238*Summary!$Q$8)</f>
        <v/>
      </c>
    </row>
    <row r="239" customFormat="false" ht="12" hidden="false" customHeight="true" outlineLevel="0" collapsed="false">
      <c r="A239" s="196" t="str">
        <f aca="false">IF(A238&lt;mthend,EDATE(A238,1),"")</f>
        <v/>
      </c>
      <c r="B239" s="197" t="n">
        <f aca="false">IF(A239&lt;mthend,B238,0)</f>
        <v>0</v>
      </c>
      <c r="C239" s="215"/>
      <c r="D239" s="197" t="str">
        <f aca="false">IF(A240&lt;&gt;"",B239+C239,"")</f>
        <v/>
      </c>
      <c r="E239" s="199" t="str">
        <f aca="false">IF(A240="","",IF(AND(AT239=1,$H$3=1),D239*AO239,IF($H$3=2,D239,"N/A")))</f>
        <v/>
      </c>
      <c r="F239" s="199" t="str">
        <f aca="false">IF(A240="","",E239*AS239)</f>
        <v/>
      </c>
      <c r="G239" s="200" t="str">
        <f aca="false">IF($A240="","",VLOOKUP($A239,Table,MATCH(G$4,Curves,0)))</f>
        <v/>
      </c>
      <c r="H239" s="201" t="str">
        <f aca="false">IF(A240="","",G239)</f>
        <v/>
      </c>
      <c r="I239" s="202"/>
      <c r="J239" s="200" t="str">
        <f aca="false">IF($A240="","",VLOOKUP($A239,Table,MATCH(J$4,Curves,0)))</f>
        <v/>
      </c>
      <c r="K239" s="201" t="str">
        <f aca="false">IF(A240="","",J239)</f>
        <v/>
      </c>
      <c r="L239" s="200" t="str">
        <f aca="false">IF($A240="","",VLOOKUP($A239,Table,MATCH(L$4,Curves,0)))</f>
        <v/>
      </c>
      <c r="M239" s="201" t="str">
        <f aca="false">IF(A240="","",L239)</f>
        <v/>
      </c>
      <c r="N239" s="203"/>
      <c r="O239" s="200" t="str">
        <f aca="false">IF(A240="","",L239+J239+G239)</f>
        <v/>
      </c>
      <c r="P239" s="200" t="str">
        <f aca="false">IF(A240="","",M239+K239+H239)</f>
        <v/>
      </c>
      <c r="Q239" s="204"/>
      <c r="R239" s="200" t="str">
        <f aca="false">IF($A240="","",VLOOKUP($A239,Table,MATCH(R$4,Curves,0)))</f>
        <v/>
      </c>
      <c r="S239" s="201" t="str">
        <f aca="false">IF(A240="","",R239)</f>
        <v/>
      </c>
      <c r="T239" s="200" t="str">
        <f aca="false">IF($A240="","",VLOOKUP($A239,Table,MATCH(T$4,Curves,0)))</f>
        <v/>
      </c>
      <c r="U239" s="201" t="str">
        <f aca="false">IF(A240="","",T239)</f>
        <v/>
      </c>
      <c r="V239" s="183" t="str">
        <f aca="false">IF($A240="","",IF(AND(MONTH(A239)&gt;3,MONTH(A239)&lt;11),(T239+R239+G239)*Summary!$T$8/(1-Summary!$T$8),(T239+R239+G239)*Summary!$U$8/(1-Summary!$U$8)))</f>
        <v/>
      </c>
      <c r="W239" s="200" t="str">
        <f aca="false">IF($A240="","",(T239+R239+G239+V239))</f>
        <v/>
      </c>
      <c r="X239" s="200" t="str">
        <f aca="false">IF($A240="","",(U239+S239+H239+V239))</f>
        <v/>
      </c>
      <c r="Y239" s="202"/>
      <c r="Z239" s="185" t="str">
        <f aca="false">IF($A240="","",VLOOKUP($A239,Table,MATCH(Z$4,Curves,0)))</f>
        <v/>
      </c>
      <c r="AA239" s="185" t="str">
        <f aca="false">IF($A240="","",VLOOKUP($A239,Table,MATCH(AA$4,Curves,0)))</f>
        <v/>
      </c>
      <c r="AB239" s="185" t="e">
        <f aca="false">SQRT((AA239^2*(A239-$D$3)+Z239^2*(DAY(EOMONTH(A239,0))/2))/AK239)</f>
        <v>#VALUE!</v>
      </c>
      <c r="AC239" s="185" t="str">
        <f aca="false">IF($A240="","",VLOOKUP($A239,Table,MATCH(AC$4,Curves,0)))</f>
        <v/>
      </c>
      <c r="AD239" s="185" t="str">
        <f aca="false">IF($A240="","",VLOOKUP($A239,Table,MATCH(AD$4,Curves,0)))</f>
        <v/>
      </c>
      <c r="AE239" s="185" t="e">
        <f aca="false">SQRT((AD239^2*(A239-$D$3)+AC239^2*(DAY(EOMONTH(A239,0))/2))/AK239)</f>
        <v>#VALUE!</v>
      </c>
      <c r="AF239" s="224" t="e">
        <f aca="false">((Summary!$N$8*(AA239*AD239)*(A239-$D$3))+(Summary!$M$8*Z239*AC239*(AJ239-EOMONTH(EDATE(A239,-1),0))))/(AK239*AB239*AE239)</f>
        <v>#VALUE!</v>
      </c>
      <c r="AG239" s="207" t="str">
        <f aca="false">IF($A240="","",Summary!$Q$8)</f>
        <v/>
      </c>
      <c r="AH239" s="207" t="str">
        <f aca="false">IF($A240="","",IF(Summary!$R$8="Y",(VLOOKUP($A239,Summary!$AD$6:$AF$9,3)+'Escalating commodity'!D252),'Escalating commodity'!D252))</f>
        <v/>
      </c>
      <c r="AI239" s="207" t="str">
        <f aca="false">IF($A240="","",AH239)</f>
        <v/>
      </c>
      <c r="AJ239" s="208" t="e">
        <f aca="false">A239+DAY(EOMONTH(A239,0))/2-1</f>
        <v>#VALUE!</v>
      </c>
      <c r="AK239" s="209" t="str">
        <f aca="false">IF($A240="","",$A239-$E$1)</f>
        <v/>
      </c>
      <c r="AL239" s="182" t="str">
        <f aca="false">IF($A240="","",SPRDOPT(P239,X239,AI239,0,AB239,AE239,AF239,AK239,$AJ$2,0))</f>
        <v/>
      </c>
      <c r="AM239" s="211" t="str">
        <f aca="false">IF($A240="","",MAX(0,O239-W239-AI239))</f>
        <v/>
      </c>
      <c r="AN239" s="211" t="str">
        <f aca="false">IF($A240="","",AL239-AM239)</f>
        <v/>
      </c>
      <c r="AO239" s="137" t="str">
        <f aca="false">IF(A240="","",A240-A239)</f>
        <v/>
      </c>
      <c r="AP239" s="212" t="str">
        <f aca="false">IF(A240="","",CHOOSE(F$3,A240+24,A239))</f>
        <v/>
      </c>
      <c r="AQ239" s="209" t="str">
        <f aca="false">IF(A240="","",AP239-$E$1)</f>
        <v/>
      </c>
      <c r="AR239" s="185" t="n">
        <f aca="false">'ANR OK vs ML7'!AR239</f>
        <v>0.1</v>
      </c>
      <c r="AS239" s="213" t="str">
        <f aca="false">IF(A240="","",1/(1+CHOOSE(F$3,(AR240+($I$3/10000))/2,(AR239+($I$3/10000))/2))^(2*AQ239/365.25))</f>
        <v/>
      </c>
      <c r="AT239" s="137" t="str">
        <f aca="false">IF(A240="","",IF(AND(mthbeg&lt;=A239,mthend&gt;=A239),1,0))</f>
        <v/>
      </c>
      <c r="AU239" s="137" t="str">
        <f aca="false">IF(A240="","",AO239*AT239)</f>
        <v/>
      </c>
      <c r="AW239" s="195" t="str">
        <f aca="false">IF($A240="","",AL239*$E239)</f>
        <v/>
      </c>
      <c r="AX239" s="195" t="str">
        <f aca="false">IF($A240="","",AM239*$E239)</f>
        <v/>
      </c>
      <c r="AY239" s="195" t="str">
        <f aca="false">IF($A240="","",AN239*$E239)</f>
        <v/>
      </c>
      <c r="BA239" s="195" t="str">
        <f aca="false">IF($A240="","",F239*Summary!$Q$8)</f>
        <v/>
      </c>
    </row>
    <row r="240" customFormat="false" ht="12" hidden="false" customHeight="true" outlineLevel="0" collapsed="false">
      <c r="A240" s="196" t="str">
        <f aca="false">IF(A239&lt;mthend,EDATE(A239,1),"")</f>
        <v/>
      </c>
      <c r="B240" s="197" t="n">
        <f aca="false">IF(A240&lt;mthend,B239,0)</f>
        <v>0</v>
      </c>
      <c r="C240" s="215"/>
      <c r="D240" s="197" t="str">
        <f aca="false">IF(A241&lt;&gt;"",B240+C240,"")</f>
        <v/>
      </c>
      <c r="E240" s="199" t="str">
        <f aca="false">IF(A241="","",IF(AND(AT240=1,$H$3=1),D240*AO240,IF($H$3=2,D240,"N/A")))</f>
        <v/>
      </c>
      <c r="F240" s="199" t="str">
        <f aca="false">IF(A241="","",E240*AS240)</f>
        <v/>
      </c>
      <c r="G240" s="200" t="str">
        <f aca="false">IF($A241="","",VLOOKUP($A240,Table,MATCH(G$4,Curves,0)))</f>
        <v/>
      </c>
      <c r="H240" s="201" t="str">
        <f aca="false">IF(A241="","",G240)</f>
        <v/>
      </c>
      <c r="I240" s="202"/>
      <c r="J240" s="200" t="str">
        <f aca="false">IF($A241="","",VLOOKUP($A240,Table,MATCH(J$4,Curves,0)))</f>
        <v/>
      </c>
      <c r="K240" s="201" t="str">
        <f aca="false">IF(A241="","",J240)</f>
        <v/>
      </c>
      <c r="L240" s="200" t="str">
        <f aca="false">IF($A241="","",VLOOKUP($A240,Table,MATCH(L$4,Curves,0)))</f>
        <v/>
      </c>
      <c r="M240" s="201" t="str">
        <f aca="false">IF(A241="","",L240)</f>
        <v/>
      </c>
      <c r="N240" s="203"/>
      <c r="O240" s="200" t="str">
        <f aca="false">IF(A241="","",L240+J240+G240)</f>
        <v/>
      </c>
      <c r="P240" s="200" t="str">
        <f aca="false">IF(A241="","",M240+K240+H240)</f>
        <v/>
      </c>
      <c r="Q240" s="204"/>
      <c r="R240" s="200" t="str">
        <f aca="false">IF($A241="","",VLOOKUP($A240,Table,MATCH(R$4,Curves,0)))</f>
        <v/>
      </c>
      <c r="S240" s="201" t="str">
        <f aca="false">IF(A241="","",R240)</f>
        <v/>
      </c>
      <c r="T240" s="200" t="str">
        <f aca="false">IF($A241="","",VLOOKUP($A240,Table,MATCH(T$4,Curves,0)))</f>
        <v/>
      </c>
      <c r="U240" s="201" t="str">
        <f aca="false">IF(A241="","",T240)</f>
        <v/>
      </c>
      <c r="V240" s="183" t="str">
        <f aca="false">IF($A241="","",IF(AND(MONTH(A240)&gt;3,MONTH(A240)&lt;11),(T240+R240+G240)*Summary!$T$8/(1-Summary!$T$8),(T240+R240+G240)*Summary!$U$8/(1-Summary!$U$8)))</f>
        <v/>
      </c>
      <c r="W240" s="200" t="str">
        <f aca="false">IF($A241="","",(T240+R240+G240+V240))</f>
        <v/>
      </c>
      <c r="X240" s="200" t="str">
        <f aca="false">IF($A241="","",(U240+S240+H240+V240))</f>
        <v/>
      </c>
      <c r="Y240" s="202"/>
      <c r="Z240" s="185" t="str">
        <f aca="false">IF($A241="","",VLOOKUP($A240,Table,MATCH(Z$4,Curves,0)))</f>
        <v/>
      </c>
      <c r="AA240" s="185" t="str">
        <f aca="false">IF($A241="","",VLOOKUP($A240,Table,MATCH(AA$4,Curves,0)))</f>
        <v/>
      </c>
      <c r="AB240" s="185" t="e">
        <f aca="false">SQRT((AA240^2*(A240-$D$3)+Z240^2*(DAY(EOMONTH(A240,0))/2))/AK240)</f>
        <v>#VALUE!</v>
      </c>
      <c r="AC240" s="185" t="str">
        <f aca="false">IF($A241="","",VLOOKUP($A240,Table,MATCH(AC$4,Curves,0)))</f>
        <v/>
      </c>
      <c r="AD240" s="185" t="str">
        <f aca="false">IF($A241="","",VLOOKUP($A240,Table,MATCH(AD$4,Curves,0)))</f>
        <v/>
      </c>
      <c r="AE240" s="185" t="e">
        <f aca="false">SQRT((AD240^2*(A240-$D$3)+AC240^2*(DAY(EOMONTH(A240,0))/2))/AK240)</f>
        <v>#VALUE!</v>
      </c>
      <c r="AF240" s="224" t="e">
        <f aca="false">((Summary!$N$8*(AA240*AD240)*(A240-$D$3))+(Summary!$M$8*Z240*AC240*(AJ240-EOMONTH(EDATE(A240,-1),0))))/(AK240*AB240*AE240)</f>
        <v>#VALUE!</v>
      </c>
      <c r="AG240" s="207" t="str">
        <f aca="false">IF($A241="","",Summary!$Q$8)</f>
        <v/>
      </c>
      <c r="AH240" s="207" t="str">
        <f aca="false">IF($A241="","",IF(Summary!$R$8="Y",(VLOOKUP($A240,Summary!$AD$6:$AF$9,3)+'Escalating commodity'!D253),'Escalating commodity'!D253))</f>
        <v/>
      </c>
      <c r="AI240" s="207" t="str">
        <f aca="false">IF($A241="","",AH240)</f>
        <v/>
      </c>
      <c r="AJ240" s="208" t="e">
        <f aca="false">A240+DAY(EOMONTH(A240,0))/2-1</f>
        <v>#VALUE!</v>
      </c>
      <c r="AK240" s="209" t="str">
        <f aca="false">IF($A241="","",$A240-$E$1)</f>
        <v/>
      </c>
      <c r="AL240" s="182" t="str">
        <f aca="false">IF($A241="","",SPRDOPT(P240,X240,AI240,0,AB240,AE240,AF240,AK240,$AJ$2,0))</f>
        <v/>
      </c>
      <c r="AM240" s="211" t="str">
        <f aca="false">IF($A241="","",MAX(0,O240-W240-AI240))</f>
        <v/>
      </c>
      <c r="AN240" s="211" t="str">
        <f aca="false">IF($A241="","",AL240-AM240)</f>
        <v/>
      </c>
      <c r="AO240" s="137" t="str">
        <f aca="false">IF(A241="","",A241-A240)</f>
        <v/>
      </c>
      <c r="AP240" s="212" t="str">
        <f aca="false">IF(A241="","",CHOOSE(F$3,A241+24,A240))</f>
        <v/>
      </c>
      <c r="AQ240" s="209" t="str">
        <f aca="false">IF(A241="","",AP240-$E$1)</f>
        <v/>
      </c>
      <c r="AR240" s="185" t="n">
        <f aca="false">'ANR OK vs ML7'!AR240</f>
        <v>0.1</v>
      </c>
      <c r="AS240" s="213" t="str">
        <f aca="false">IF(A241="","",1/(1+CHOOSE(F$3,(AR241+($I$3/10000))/2,(AR240+($I$3/10000))/2))^(2*AQ240/365.25))</f>
        <v/>
      </c>
      <c r="AT240" s="137" t="str">
        <f aca="false">IF(A241="","",IF(AND(mthbeg&lt;=A240,mthend&gt;=A240),1,0))</f>
        <v/>
      </c>
      <c r="AU240" s="137" t="str">
        <f aca="false">IF(A241="","",AO240*AT240)</f>
        <v/>
      </c>
      <c r="AW240" s="195" t="str">
        <f aca="false">IF($A241="","",AL240*$E240)</f>
        <v/>
      </c>
      <c r="AX240" s="195" t="str">
        <f aca="false">IF($A241="","",AM240*$E240)</f>
        <v/>
      </c>
      <c r="AY240" s="195" t="str">
        <f aca="false">IF($A241="","",AN240*$E240)</f>
        <v/>
      </c>
      <c r="BA240" s="195" t="str">
        <f aca="false">IF($A241="","",F240*Summary!$Q$8)</f>
        <v/>
      </c>
    </row>
    <row r="241" customFormat="false" ht="12" hidden="false" customHeight="true" outlineLevel="0" collapsed="false">
      <c r="A241" s="196" t="str">
        <f aca="false">IF(A240&lt;mthend,EDATE(A240,1),"")</f>
        <v/>
      </c>
      <c r="B241" s="197" t="n">
        <f aca="false">IF(A241&lt;mthend,B240,0)</f>
        <v>0</v>
      </c>
      <c r="C241" s="215"/>
      <c r="D241" s="197" t="str">
        <f aca="false">IF(A242&lt;&gt;"",B241+C241,"")</f>
        <v/>
      </c>
      <c r="E241" s="199" t="str">
        <f aca="false">IF(A242="","",IF(AND(AT241=1,$H$3=1),D241*AO241,IF($H$3=2,D241,"N/A")))</f>
        <v/>
      </c>
      <c r="F241" s="199" t="str">
        <f aca="false">IF(A242="","",E241*AS241)</f>
        <v/>
      </c>
      <c r="G241" s="200" t="str">
        <f aca="false">IF($A242="","",VLOOKUP($A241,Table,MATCH(G$4,Curves,0)))</f>
        <v/>
      </c>
      <c r="H241" s="201" t="str">
        <f aca="false">IF(A242="","",G241)</f>
        <v/>
      </c>
      <c r="I241" s="202"/>
      <c r="J241" s="200" t="str">
        <f aca="false">IF($A242="","",VLOOKUP($A241,Table,MATCH(J$4,Curves,0)))</f>
        <v/>
      </c>
      <c r="K241" s="201" t="str">
        <f aca="false">IF(A242="","",J241)</f>
        <v/>
      </c>
      <c r="L241" s="200" t="str">
        <f aca="false">IF($A242="","",VLOOKUP($A241,Table,MATCH(L$4,Curves,0)))</f>
        <v/>
      </c>
      <c r="M241" s="201" t="str">
        <f aca="false">IF(A242="","",L241)</f>
        <v/>
      </c>
      <c r="N241" s="203"/>
      <c r="O241" s="200" t="str">
        <f aca="false">IF(A242="","",L241+J241+G241)</f>
        <v/>
      </c>
      <c r="P241" s="200" t="str">
        <f aca="false">IF(A242="","",M241+K241+H241)</f>
        <v/>
      </c>
      <c r="Q241" s="204"/>
      <c r="R241" s="200" t="str">
        <f aca="false">IF($A242="","",VLOOKUP($A241,Table,MATCH(R$4,Curves,0)))</f>
        <v/>
      </c>
      <c r="S241" s="201" t="str">
        <f aca="false">IF(A242="","",R241)</f>
        <v/>
      </c>
      <c r="T241" s="200" t="str">
        <f aca="false">IF($A242="","",VLOOKUP($A241,Table,MATCH(T$4,Curves,0)))</f>
        <v/>
      </c>
      <c r="U241" s="201" t="str">
        <f aca="false">IF(A242="","",T241)</f>
        <v/>
      </c>
      <c r="V241" s="183" t="str">
        <f aca="false">IF($A242="","",IF(AND(MONTH(A241)&gt;3,MONTH(A241)&lt;11),(T241+R241+G241)*Summary!$T$8/(1-Summary!$T$8),(T241+R241+G241)*Summary!$U$8/(1-Summary!$U$8)))</f>
        <v/>
      </c>
      <c r="W241" s="200" t="str">
        <f aca="false">IF($A242="","",(T241+R241+G241+V241))</f>
        <v/>
      </c>
      <c r="X241" s="200" t="str">
        <f aca="false">IF($A242="","",(U241+S241+H241+V241))</f>
        <v/>
      </c>
      <c r="Y241" s="202"/>
      <c r="Z241" s="185" t="str">
        <f aca="false">IF($A242="","",VLOOKUP($A241,Table,MATCH(Z$4,Curves,0)))</f>
        <v/>
      </c>
      <c r="AA241" s="185" t="str">
        <f aca="false">IF($A242="","",VLOOKUP($A241,Table,MATCH(AA$4,Curves,0)))</f>
        <v/>
      </c>
      <c r="AB241" s="185" t="e">
        <f aca="false">SQRT((AA241^2*(A241-$D$3)+Z241^2*(DAY(EOMONTH(A241,0))/2))/AK241)</f>
        <v>#VALUE!</v>
      </c>
      <c r="AC241" s="185" t="str">
        <f aca="false">IF($A242="","",VLOOKUP($A241,Table,MATCH(AC$4,Curves,0)))</f>
        <v/>
      </c>
      <c r="AD241" s="185" t="str">
        <f aca="false">IF($A242="","",VLOOKUP($A241,Table,MATCH(AD$4,Curves,0)))</f>
        <v/>
      </c>
      <c r="AE241" s="185" t="e">
        <f aca="false">SQRT((AD241^2*(A241-$D$3)+AC241^2*(DAY(EOMONTH(A241,0))/2))/AK241)</f>
        <v>#VALUE!</v>
      </c>
      <c r="AF241" s="224" t="e">
        <f aca="false">((Summary!$N$8*(AA241*AD241)*(A241-$D$3))+(Summary!$M$8*Z241*AC241*(AJ241-EOMONTH(EDATE(A241,-1),0))))/(AK241*AB241*AE241)</f>
        <v>#VALUE!</v>
      </c>
      <c r="AG241" s="207" t="str">
        <f aca="false">IF($A242="","",Summary!$Q$8)</f>
        <v/>
      </c>
      <c r="AH241" s="207" t="str">
        <f aca="false">IF($A242="","",IF(Summary!$R$8="Y",(VLOOKUP($A241,Summary!$AD$6:$AF$9,3)+'Escalating commodity'!D254),'Escalating commodity'!D254))</f>
        <v/>
      </c>
      <c r="AI241" s="207" t="str">
        <f aca="false">IF($A242="","",AH241)</f>
        <v/>
      </c>
      <c r="AJ241" s="208" t="e">
        <f aca="false">A241+DAY(EOMONTH(A241,0))/2-1</f>
        <v>#VALUE!</v>
      </c>
      <c r="AK241" s="209" t="str">
        <f aca="false">IF($A242="","",$A241-$E$1)</f>
        <v/>
      </c>
      <c r="AL241" s="182" t="str">
        <f aca="false">IF($A242="","",SPRDOPT(P241,X241,AI241,0,AB241,AE241,AF241,AK241,$AJ$2,0))</f>
        <v/>
      </c>
      <c r="AM241" s="211" t="str">
        <f aca="false">IF($A242="","",MAX(0,O241-W241-AI241))</f>
        <v/>
      </c>
      <c r="AN241" s="211" t="str">
        <f aca="false">IF($A242="","",AL241-AM241)</f>
        <v/>
      </c>
      <c r="AO241" s="137" t="str">
        <f aca="false">IF(A242="","",A242-A241)</f>
        <v/>
      </c>
      <c r="AP241" s="212" t="str">
        <f aca="false">IF(A242="","",CHOOSE(F$3,A242+24,A241))</f>
        <v/>
      </c>
      <c r="AQ241" s="209" t="str">
        <f aca="false">IF(A242="","",AP241-$E$1)</f>
        <v/>
      </c>
      <c r="AR241" s="185" t="n">
        <f aca="false">'ANR OK vs ML7'!AR241</f>
        <v>0.1</v>
      </c>
      <c r="AS241" s="213" t="str">
        <f aca="false">IF(A242="","",1/(1+CHOOSE(F$3,(AR242+($I$3/10000))/2,(AR241+($I$3/10000))/2))^(2*AQ241/365.25))</f>
        <v/>
      </c>
      <c r="AT241" s="137" t="str">
        <f aca="false">IF(A242="","",IF(AND(mthbeg&lt;=A241,mthend&gt;=A241),1,0))</f>
        <v/>
      </c>
      <c r="AU241" s="137" t="str">
        <f aca="false">IF(A242="","",AO241*AT241)</f>
        <v/>
      </c>
      <c r="AW241" s="195" t="str">
        <f aca="false">IF($A242="","",AL241*$E241)</f>
        <v/>
      </c>
      <c r="AX241" s="195" t="str">
        <f aca="false">IF($A242="","",AM241*$E241)</f>
        <v/>
      </c>
      <c r="AY241" s="195" t="str">
        <f aca="false">IF($A242="","",AN241*$E241)</f>
        <v/>
      </c>
      <c r="BA241" s="195" t="str">
        <f aca="false">IF($A242="","",F241*Summary!$Q$8)</f>
        <v/>
      </c>
    </row>
    <row r="242" customFormat="false" ht="12" hidden="false" customHeight="true" outlineLevel="0" collapsed="false">
      <c r="A242" s="196" t="str">
        <f aca="false">IF(A241&lt;mthend,EDATE(A241,1),"")</f>
        <v/>
      </c>
      <c r="B242" s="197" t="n">
        <f aca="false">IF(A242&lt;mthend,B241,0)</f>
        <v>0</v>
      </c>
      <c r="C242" s="215"/>
      <c r="D242" s="197" t="str">
        <f aca="false">IF(A243&lt;&gt;"",B242+C242,"")</f>
        <v/>
      </c>
      <c r="E242" s="199" t="str">
        <f aca="false">IF(A243="","",IF(AND(AT242=1,$H$3=1),D242*AO242,IF($H$3=2,D242,"N/A")))</f>
        <v/>
      </c>
      <c r="F242" s="199" t="str">
        <f aca="false">IF(A243="","",E242*AS242)</f>
        <v/>
      </c>
      <c r="G242" s="200" t="str">
        <f aca="false">IF($A243="","",VLOOKUP($A242,Table,MATCH(G$4,Curves,0)))</f>
        <v/>
      </c>
      <c r="H242" s="201" t="str">
        <f aca="false">IF(A243="","",G242)</f>
        <v/>
      </c>
      <c r="I242" s="202"/>
      <c r="J242" s="200" t="str">
        <f aca="false">IF($A243="","",VLOOKUP($A242,Table,MATCH(J$4,Curves,0)))</f>
        <v/>
      </c>
      <c r="K242" s="201" t="str">
        <f aca="false">IF(A243="","",J242)</f>
        <v/>
      </c>
      <c r="L242" s="200" t="str">
        <f aca="false">IF($A243="","",VLOOKUP($A242,Table,MATCH(L$4,Curves,0)))</f>
        <v/>
      </c>
      <c r="M242" s="201" t="str">
        <f aca="false">IF(A243="","",L242)</f>
        <v/>
      </c>
      <c r="N242" s="203"/>
      <c r="O242" s="200" t="str">
        <f aca="false">IF(A243="","",L242+J242+G242)</f>
        <v/>
      </c>
      <c r="P242" s="200" t="str">
        <f aca="false">IF(A243="","",M242+K242+H242)</f>
        <v/>
      </c>
      <c r="Q242" s="204"/>
      <c r="R242" s="200" t="str">
        <f aca="false">IF($A243="","",VLOOKUP($A242,Table,MATCH(R$4,Curves,0)))</f>
        <v/>
      </c>
      <c r="S242" s="201" t="str">
        <f aca="false">IF(A243="","",R242)</f>
        <v/>
      </c>
      <c r="T242" s="200" t="str">
        <f aca="false">IF($A243="","",VLOOKUP($A242,Table,MATCH(T$4,Curves,0)))</f>
        <v/>
      </c>
      <c r="U242" s="201" t="str">
        <f aca="false">IF(A243="","",T242)</f>
        <v/>
      </c>
      <c r="V242" s="183" t="str">
        <f aca="false">IF($A243="","",IF(AND(MONTH(A242)&gt;3,MONTH(A242)&lt;11),(T242+R242+G242)*Summary!$T$8/(1-Summary!$T$8),(T242+R242+G242)*Summary!$U$8/(1-Summary!$U$8)))</f>
        <v/>
      </c>
      <c r="W242" s="200" t="str">
        <f aca="false">IF($A243="","",(T242+R242+G242+V242))</f>
        <v/>
      </c>
      <c r="X242" s="200" t="str">
        <f aca="false">IF($A243="","",(U242+S242+H242+V242))</f>
        <v/>
      </c>
      <c r="Y242" s="202"/>
      <c r="Z242" s="185" t="str">
        <f aca="false">IF($A243="","",VLOOKUP($A242,Table,MATCH(Z$4,Curves,0)))</f>
        <v/>
      </c>
      <c r="AA242" s="185" t="str">
        <f aca="false">IF($A243="","",VLOOKUP($A242,Table,MATCH(AA$4,Curves,0)))</f>
        <v/>
      </c>
      <c r="AB242" s="185" t="e">
        <f aca="false">SQRT((AA242^2*(A242-$D$3)+Z242^2*(DAY(EOMONTH(A242,0))/2))/AK242)</f>
        <v>#VALUE!</v>
      </c>
      <c r="AC242" s="185" t="str">
        <f aca="false">IF($A243="","",VLOOKUP($A242,Table,MATCH(AC$4,Curves,0)))</f>
        <v/>
      </c>
      <c r="AD242" s="185" t="str">
        <f aca="false">IF($A243="","",VLOOKUP($A242,Table,MATCH(AD$4,Curves,0)))</f>
        <v/>
      </c>
      <c r="AE242" s="185" t="e">
        <f aca="false">SQRT((AD242^2*(A242-$D$3)+AC242^2*(DAY(EOMONTH(A242,0))/2))/AK242)</f>
        <v>#VALUE!</v>
      </c>
      <c r="AF242" s="224" t="e">
        <f aca="false">((Summary!$N$8*(AA242*AD242)*(A242-$D$3))+(Summary!$M$8*Z242*AC242*(AJ242-EOMONTH(EDATE(A242,-1),0))))/(AK242*AB242*AE242)</f>
        <v>#VALUE!</v>
      </c>
      <c r="AG242" s="207" t="str">
        <f aca="false">IF($A243="","",Summary!$Q$8)</f>
        <v/>
      </c>
      <c r="AH242" s="207" t="str">
        <f aca="false">IF($A243="","",IF(Summary!$R$8="Y",(VLOOKUP($A242,Summary!$AD$6:$AF$9,3)+'Escalating commodity'!D255),'Escalating commodity'!D255))</f>
        <v/>
      </c>
      <c r="AI242" s="207" t="str">
        <f aca="false">IF($A243="","",AH242)</f>
        <v/>
      </c>
      <c r="AJ242" s="208" t="e">
        <f aca="false">A242+DAY(EOMONTH(A242,0))/2-1</f>
        <v>#VALUE!</v>
      </c>
      <c r="AK242" s="209" t="str">
        <f aca="false">IF($A243="","",$A242-$E$1)</f>
        <v/>
      </c>
      <c r="AL242" s="182" t="str">
        <f aca="false">IF($A243="","",SPRDOPT(P242,X242,AI242,0,AB242,AE242,AF242,AK242,$AJ$2,0))</f>
        <v/>
      </c>
      <c r="AM242" s="211" t="str">
        <f aca="false">IF($A243="","",MAX(0,O242-W242-AI242))</f>
        <v/>
      </c>
      <c r="AN242" s="211" t="str">
        <f aca="false">IF($A243="","",AL242-AM242)</f>
        <v/>
      </c>
      <c r="AO242" s="137" t="str">
        <f aca="false">IF(A243="","",A243-A242)</f>
        <v/>
      </c>
      <c r="AP242" s="212" t="str">
        <f aca="false">IF(A243="","",CHOOSE(F$3,A243+24,A242))</f>
        <v/>
      </c>
      <c r="AQ242" s="209" t="str">
        <f aca="false">IF(A243="","",AP242-$E$1)</f>
        <v/>
      </c>
      <c r="AR242" s="185" t="n">
        <f aca="false">'ANR OK vs ML7'!AR242</f>
        <v>0.1</v>
      </c>
      <c r="AS242" s="213" t="str">
        <f aca="false">IF(A243="","",1/(1+CHOOSE(F$3,(AR243+($I$3/10000))/2,(AR242+($I$3/10000))/2))^(2*AQ242/365.25))</f>
        <v/>
      </c>
      <c r="AT242" s="137" t="str">
        <f aca="false">IF(A243="","",IF(AND(mthbeg&lt;=A242,mthend&gt;=A242),1,0))</f>
        <v/>
      </c>
      <c r="AU242" s="137" t="str">
        <f aca="false">IF(A243="","",AO242*AT242)</f>
        <v/>
      </c>
      <c r="AW242" s="195" t="str">
        <f aca="false">IF($A243="","",AL242*$E242)</f>
        <v/>
      </c>
      <c r="AX242" s="195" t="str">
        <f aca="false">IF($A243="","",AM242*$E242)</f>
        <v/>
      </c>
      <c r="AY242" s="195" t="str">
        <f aca="false">IF($A243="","",AN242*$E242)</f>
        <v/>
      </c>
      <c r="BA242" s="195" t="str">
        <f aca="false">IF($A243="","",F242*Summary!$Q$8)</f>
        <v/>
      </c>
    </row>
    <row r="243" customFormat="false" ht="12" hidden="false" customHeight="true" outlineLevel="0" collapsed="false">
      <c r="A243" s="196" t="str">
        <f aca="false">IF(A242&lt;mthend,EDATE(A242,1),"")</f>
        <v/>
      </c>
      <c r="B243" s="197" t="n">
        <f aca="false">IF(A243&lt;mthend,B242,0)</f>
        <v>0</v>
      </c>
      <c r="C243" s="215"/>
      <c r="D243" s="197" t="str">
        <f aca="false">IF(A244&lt;&gt;"",B243+C243,"")</f>
        <v/>
      </c>
      <c r="E243" s="199" t="str">
        <f aca="false">IF(A244="","",IF(AND(AT243=1,$H$3=1),D243*AO243,IF($H$3=2,D243,"N/A")))</f>
        <v/>
      </c>
      <c r="F243" s="199" t="str">
        <f aca="false">IF(A244="","",E243*AS243)</f>
        <v/>
      </c>
      <c r="G243" s="200" t="str">
        <f aca="false">IF($A244="","",VLOOKUP($A243,Table,MATCH(G$4,Curves,0)))</f>
        <v/>
      </c>
      <c r="H243" s="201" t="str">
        <f aca="false">IF(A244="","",G243)</f>
        <v/>
      </c>
      <c r="I243" s="202"/>
      <c r="J243" s="200" t="str">
        <f aca="false">IF($A244="","",VLOOKUP($A243,Table,MATCH(J$4,Curves,0)))</f>
        <v/>
      </c>
      <c r="K243" s="201" t="str">
        <f aca="false">IF(A244="","",J243)</f>
        <v/>
      </c>
      <c r="L243" s="200" t="str">
        <f aca="false">IF($A244="","",VLOOKUP($A243,Table,MATCH(L$4,Curves,0)))</f>
        <v/>
      </c>
      <c r="M243" s="201" t="str">
        <f aca="false">IF(A244="","",L243)</f>
        <v/>
      </c>
      <c r="N243" s="203"/>
      <c r="O243" s="200" t="str">
        <f aca="false">IF(A244="","",L243+J243+G243)</f>
        <v/>
      </c>
      <c r="P243" s="200" t="str">
        <f aca="false">IF(A244="","",M243+K243+H243)</f>
        <v/>
      </c>
      <c r="Q243" s="204"/>
      <c r="R243" s="200" t="str">
        <f aca="false">IF($A244="","",VLOOKUP($A243,Table,MATCH(R$4,Curves,0)))</f>
        <v/>
      </c>
      <c r="S243" s="201" t="str">
        <f aca="false">IF(A244="","",R243)</f>
        <v/>
      </c>
      <c r="T243" s="200" t="str">
        <f aca="false">IF($A244="","",VLOOKUP($A243,Table,MATCH(T$4,Curves,0)))</f>
        <v/>
      </c>
      <c r="U243" s="201" t="str">
        <f aca="false">IF(A244="","",T243)</f>
        <v/>
      </c>
      <c r="V243" s="183" t="str">
        <f aca="false">IF($A244="","",IF(AND(MONTH(A243)&gt;3,MONTH(A243)&lt;11),(T243+R243+G243)*Summary!$T$8/(1-Summary!$T$8),(T243+R243+G243)*Summary!$U$8/(1-Summary!$U$8)))</f>
        <v/>
      </c>
      <c r="W243" s="200" t="str">
        <f aca="false">IF($A244="","",(T243+R243+G243+V243))</f>
        <v/>
      </c>
      <c r="X243" s="200" t="str">
        <f aca="false">IF($A244="","",(U243+S243+H243+V243))</f>
        <v/>
      </c>
      <c r="Y243" s="202"/>
      <c r="Z243" s="185" t="str">
        <f aca="false">IF($A244="","",VLOOKUP($A243,Table,MATCH(Z$4,Curves,0)))</f>
        <v/>
      </c>
      <c r="AA243" s="185" t="str">
        <f aca="false">IF($A244="","",VLOOKUP($A243,Table,MATCH(AA$4,Curves,0)))</f>
        <v/>
      </c>
      <c r="AB243" s="185" t="e">
        <f aca="false">SQRT((AA243^2*(A243-$D$3)+Z243^2*(DAY(EOMONTH(A243,0))/2))/AK243)</f>
        <v>#VALUE!</v>
      </c>
      <c r="AC243" s="185" t="str">
        <f aca="false">IF($A244="","",VLOOKUP($A243,Table,MATCH(AC$4,Curves,0)))</f>
        <v/>
      </c>
      <c r="AD243" s="185" t="str">
        <f aca="false">IF($A244="","",VLOOKUP($A243,Table,MATCH(AD$4,Curves,0)))</f>
        <v/>
      </c>
      <c r="AE243" s="185" t="e">
        <f aca="false">SQRT((AD243^2*(A243-$D$3)+AC243^2*(DAY(EOMONTH(A243,0))/2))/AK243)</f>
        <v>#VALUE!</v>
      </c>
      <c r="AF243" s="224" t="e">
        <f aca="false">((Summary!$N$8*(AA243*AD243)*(A243-$D$3))+(Summary!$M$8*Z243*AC243*(AJ243-EOMONTH(EDATE(A243,-1),0))))/(AK243*AB243*AE243)</f>
        <v>#VALUE!</v>
      </c>
      <c r="AG243" s="207" t="str">
        <f aca="false">IF($A244="","",Summary!$Q$8)</f>
        <v/>
      </c>
      <c r="AH243" s="207" t="str">
        <f aca="false">IF($A244="","",IF(Summary!$R$8="Y",(VLOOKUP($A243,Summary!$AD$6:$AF$9,3)+'Escalating commodity'!D256),'Escalating commodity'!D256))</f>
        <v/>
      </c>
      <c r="AI243" s="207" t="str">
        <f aca="false">IF($A244="","",AH243)</f>
        <v/>
      </c>
      <c r="AJ243" s="208" t="e">
        <f aca="false">A243+DAY(EOMONTH(A243,0))/2-1</f>
        <v>#VALUE!</v>
      </c>
      <c r="AK243" s="209" t="str">
        <f aca="false">IF($A244="","",$A243-$E$1)</f>
        <v/>
      </c>
      <c r="AL243" s="182" t="str">
        <f aca="false">IF($A244="","",SPRDOPT(P243,X243,AI243,0,AB243,AE243,AF243,AK243,$AJ$2,0))</f>
        <v/>
      </c>
      <c r="AM243" s="211" t="str">
        <f aca="false">IF($A244="","",MAX(0,O243-W243-AI243))</f>
        <v/>
      </c>
      <c r="AN243" s="211" t="str">
        <f aca="false">IF($A244="","",AL243-AM243)</f>
        <v/>
      </c>
      <c r="AO243" s="137" t="str">
        <f aca="false">IF(A244="","",A244-A243)</f>
        <v/>
      </c>
      <c r="AP243" s="212" t="str">
        <f aca="false">IF(A244="","",CHOOSE(F$3,A244+24,A243))</f>
        <v/>
      </c>
      <c r="AQ243" s="209" t="str">
        <f aca="false">IF(A244="","",AP243-$E$1)</f>
        <v/>
      </c>
      <c r="AR243" s="185" t="n">
        <f aca="false">'ANR OK vs ML7'!AR243</f>
        <v>0.1</v>
      </c>
      <c r="AS243" s="213" t="str">
        <f aca="false">IF(A244="","",1/(1+CHOOSE(F$3,(AR244+($I$3/10000))/2,(AR243+($I$3/10000))/2))^(2*AQ243/365.25))</f>
        <v/>
      </c>
      <c r="AT243" s="137" t="str">
        <f aca="false">IF(A244="","",IF(AND(mthbeg&lt;=A243,mthend&gt;=A243),1,0))</f>
        <v/>
      </c>
      <c r="AU243" s="137" t="str">
        <f aca="false">IF(A244="","",AO243*AT243)</f>
        <v/>
      </c>
      <c r="AW243" s="195" t="str">
        <f aca="false">IF($A244="","",AL243*$E243)</f>
        <v/>
      </c>
      <c r="AX243" s="195" t="str">
        <f aca="false">IF($A244="","",AM243*$E243)</f>
        <v/>
      </c>
      <c r="AY243" s="195" t="str">
        <f aca="false">IF($A244="","",AN243*$E243)</f>
        <v/>
      </c>
      <c r="BA243" s="195" t="str">
        <f aca="false">IF($A244="","",F243*Summary!$Q$8)</f>
        <v/>
      </c>
    </row>
    <row r="244" customFormat="false" ht="12" hidden="false" customHeight="true" outlineLevel="0" collapsed="false">
      <c r="A244" s="196" t="str">
        <f aca="false">IF(A243&lt;mthend,EDATE(A243,1),"")</f>
        <v/>
      </c>
      <c r="B244" s="197" t="n">
        <f aca="false">IF(A244&lt;mthend,B243,0)</f>
        <v>0</v>
      </c>
      <c r="C244" s="215"/>
      <c r="D244" s="197" t="str">
        <f aca="false">IF(A245&lt;&gt;"",B244+C244,"")</f>
        <v/>
      </c>
      <c r="E244" s="199" t="str">
        <f aca="false">IF(A245="","",IF(AND(AT244=1,$H$3=1),D244*AO244,IF($H$3=2,D244,"N/A")))</f>
        <v/>
      </c>
      <c r="F244" s="199" t="str">
        <f aca="false">IF(A245="","",E244*AS244)</f>
        <v/>
      </c>
      <c r="G244" s="200" t="str">
        <f aca="false">IF($A245="","",VLOOKUP($A244,Table,MATCH(G$4,Curves,0)))</f>
        <v/>
      </c>
      <c r="H244" s="201" t="str">
        <f aca="false">IF(A245="","",G244)</f>
        <v/>
      </c>
      <c r="I244" s="202"/>
      <c r="J244" s="200" t="str">
        <f aca="false">IF($A245="","",VLOOKUP($A244,Table,MATCH(J$4,Curves,0)))</f>
        <v/>
      </c>
      <c r="K244" s="201" t="str">
        <f aca="false">IF(A245="","",J244)</f>
        <v/>
      </c>
      <c r="L244" s="200" t="str">
        <f aca="false">IF($A245="","",VLOOKUP($A244,Table,MATCH(L$4,Curves,0)))</f>
        <v/>
      </c>
      <c r="M244" s="201" t="str">
        <f aca="false">IF(A245="","",L244)</f>
        <v/>
      </c>
      <c r="N244" s="203"/>
      <c r="O244" s="200" t="str">
        <f aca="false">IF(A245="","",L244+J244+G244)</f>
        <v/>
      </c>
      <c r="P244" s="200" t="str">
        <f aca="false">IF(A245="","",M244+K244+H244)</f>
        <v/>
      </c>
      <c r="Q244" s="204"/>
      <c r="R244" s="200" t="str">
        <f aca="false">IF($A245="","",VLOOKUP($A244,Table,MATCH(R$4,Curves,0)))</f>
        <v/>
      </c>
      <c r="S244" s="201" t="str">
        <f aca="false">IF(A245="","",R244)</f>
        <v/>
      </c>
      <c r="T244" s="200" t="str">
        <f aca="false">IF($A245="","",VLOOKUP($A244,Table,MATCH(T$4,Curves,0)))</f>
        <v/>
      </c>
      <c r="U244" s="201" t="str">
        <f aca="false">IF(A245="","",T244)</f>
        <v/>
      </c>
      <c r="V244" s="183" t="str">
        <f aca="false">IF($A245="","",IF(AND(MONTH(A244)&gt;3,MONTH(A244)&lt;11),(T244+R244+G244)*Summary!$T$8/(1-Summary!$T$8),(T244+R244+G244)*Summary!$U$8/(1-Summary!$U$8)))</f>
        <v/>
      </c>
      <c r="W244" s="200" t="str">
        <f aca="false">IF($A245="","",(T244+R244+G244+V244))</f>
        <v/>
      </c>
      <c r="X244" s="200" t="str">
        <f aca="false">IF($A245="","",(U244+S244+H244+V244))</f>
        <v/>
      </c>
      <c r="Y244" s="202"/>
      <c r="Z244" s="185" t="str">
        <f aca="false">IF($A245="","",VLOOKUP($A244,Table,MATCH(Z$4,Curves,0)))</f>
        <v/>
      </c>
      <c r="AA244" s="185" t="str">
        <f aca="false">IF($A245="","",VLOOKUP($A244,Table,MATCH(AA$4,Curves,0)))</f>
        <v/>
      </c>
      <c r="AB244" s="185" t="e">
        <f aca="false">SQRT((AA244^2*(A244-$D$3)+Z244^2*(DAY(EOMONTH(A244,0))/2))/AK244)</f>
        <v>#VALUE!</v>
      </c>
      <c r="AC244" s="185" t="str">
        <f aca="false">IF($A245="","",VLOOKUP($A244,Table,MATCH(AC$4,Curves,0)))</f>
        <v/>
      </c>
      <c r="AD244" s="185" t="str">
        <f aca="false">IF($A245="","",VLOOKUP($A244,Table,MATCH(AD$4,Curves,0)))</f>
        <v/>
      </c>
      <c r="AE244" s="185" t="e">
        <f aca="false">SQRT((AD244^2*(A244-$D$3)+AC244^2*(DAY(EOMONTH(A244,0))/2))/AK244)</f>
        <v>#VALUE!</v>
      </c>
      <c r="AF244" s="224" t="e">
        <f aca="false">((Summary!$N$8*(AA244*AD244)*(A244-$D$3))+(Summary!$M$8*Z244*AC244*(AJ244-EOMONTH(EDATE(A244,-1),0))))/(AK244*AB244*AE244)</f>
        <v>#VALUE!</v>
      </c>
      <c r="AG244" s="207" t="str">
        <f aca="false">IF($A245="","",Summary!$Q$8)</f>
        <v/>
      </c>
      <c r="AH244" s="207" t="str">
        <f aca="false">IF($A245="","",IF(Summary!$R$8="Y",(VLOOKUP($A244,Summary!$AD$6:$AF$9,3)+'Escalating commodity'!D257),'Escalating commodity'!D257))</f>
        <v/>
      </c>
      <c r="AI244" s="207" t="str">
        <f aca="false">IF($A245="","",AH244)</f>
        <v/>
      </c>
      <c r="AJ244" s="208" t="e">
        <f aca="false">A244+DAY(EOMONTH(A244,0))/2-1</f>
        <v>#VALUE!</v>
      </c>
      <c r="AK244" s="209" t="str">
        <f aca="false">IF($A245="","",$A244-$E$1)</f>
        <v/>
      </c>
      <c r="AL244" s="182" t="str">
        <f aca="false">IF($A245="","",SPRDOPT(P244,X244,AI244,0,AB244,AE244,AF244,AK244,$AJ$2,0))</f>
        <v/>
      </c>
      <c r="AM244" s="211" t="str">
        <f aca="false">IF($A245="","",MAX(0,O244-W244-AI244))</f>
        <v/>
      </c>
      <c r="AN244" s="211" t="str">
        <f aca="false">IF($A245="","",AL244-AM244)</f>
        <v/>
      </c>
      <c r="AO244" s="137" t="str">
        <f aca="false">IF(A245="","",A245-A244)</f>
        <v/>
      </c>
      <c r="AP244" s="212" t="str">
        <f aca="false">IF(A245="","",CHOOSE(F$3,A245+24,A244))</f>
        <v/>
      </c>
      <c r="AQ244" s="209" t="str">
        <f aca="false">IF(A245="","",AP244-$E$1)</f>
        <v/>
      </c>
      <c r="AR244" s="185" t="n">
        <f aca="false">'ANR OK vs ML7'!AR244</f>
        <v>0.1</v>
      </c>
      <c r="AS244" s="213" t="str">
        <f aca="false">IF(A245="","",1/(1+CHOOSE(F$3,(AR245+($I$3/10000))/2,(AR244+($I$3/10000))/2))^(2*AQ244/365.25))</f>
        <v/>
      </c>
      <c r="AT244" s="137" t="str">
        <f aca="false">IF(A245="","",IF(AND(mthbeg&lt;=A244,mthend&gt;=A244),1,0))</f>
        <v/>
      </c>
      <c r="AU244" s="137" t="str">
        <f aca="false">IF(A245="","",AO244*AT244)</f>
        <v/>
      </c>
      <c r="AW244" s="195" t="str">
        <f aca="false">IF($A245="","",AL244*$E244)</f>
        <v/>
      </c>
      <c r="AX244" s="195" t="str">
        <f aca="false">IF($A245="","",AM244*$E244)</f>
        <v/>
      </c>
      <c r="AY244" s="195" t="str">
        <f aca="false">IF($A245="","",AN244*$E244)</f>
        <v/>
      </c>
      <c r="BA244" s="195" t="str">
        <f aca="false">IF($A245="","",F244*Summary!$Q$8)</f>
        <v/>
      </c>
    </row>
    <row r="245" customFormat="false" ht="12" hidden="false" customHeight="true" outlineLevel="0" collapsed="false">
      <c r="A245" s="196" t="str">
        <f aca="false">IF(A244&lt;mthend,EDATE(A244,1),"")</f>
        <v/>
      </c>
      <c r="B245" s="197" t="n">
        <f aca="false">IF(A245&lt;mthend,B244,0)</f>
        <v>0</v>
      </c>
      <c r="C245" s="215"/>
      <c r="D245" s="197" t="str">
        <f aca="false">IF(A246&lt;&gt;"",B245+C245,"")</f>
        <v/>
      </c>
      <c r="E245" s="199" t="str">
        <f aca="false">IF(A246="","",IF(AND(AT245=1,$H$3=1),D245*AO245,IF($H$3=2,D245,"N/A")))</f>
        <v/>
      </c>
      <c r="F245" s="199" t="str">
        <f aca="false">IF(A246="","",E245*AS245)</f>
        <v/>
      </c>
      <c r="G245" s="200" t="str">
        <f aca="false">IF($A246="","",VLOOKUP($A245,Table,MATCH(G$4,Curves,0)))</f>
        <v/>
      </c>
      <c r="H245" s="201" t="str">
        <f aca="false">IF(A246="","",G245)</f>
        <v/>
      </c>
      <c r="I245" s="202"/>
      <c r="J245" s="200" t="str">
        <f aca="false">IF($A246="","",VLOOKUP($A245,Table,MATCH(J$4,Curves,0)))</f>
        <v/>
      </c>
      <c r="K245" s="201" t="str">
        <f aca="false">IF(A246="","",J245)</f>
        <v/>
      </c>
      <c r="L245" s="200" t="str">
        <f aca="false">IF($A246="","",VLOOKUP($A245,Table,MATCH(L$4,Curves,0)))</f>
        <v/>
      </c>
      <c r="M245" s="201" t="str">
        <f aca="false">IF(A246="","",L245)</f>
        <v/>
      </c>
      <c r="N245" s="203"/>
      <c r="O245" s="200" t="str">
        <f aca="false">IF(A246="","",L245+J245+G245)</f>
        <v/>
      </c>
      <c r="P245" s="200" t="str">
        <f aca="false">IF(A246="","",M245+K245+H245)</f>
        <v/>
      </c>
      <c r="Q245" s="204"/>
      <c r="R245" s="200" t="str">
        <f aca="false">IF($A246="","",VLOOKUP($A245,Table,MATCH(R$4,Curves,0)))</f>
        <v/>
      </c>
      <c r="S245" s="201" t="str">
        <f aca="false">IF(A246="","",R245)</f>
        <v/>
      </c>
      <c r="T245" s="200" t="str">
        <f aca="false">IF($A246="","",VLOOKUP($A245,Table,MATCH(T$4,Curves,0)))</f>
        <v/>
      </c>
      <c r="U245" s="201" t="str">
        <f aca="false">IF(A246="","",T245)</f>
        <v/>
      </c>
      <c r="V245" s="183" t="str">
        <f aca="false">IF($A246="","",IF(AND(MONTH(A245)&gt;3,MONTH(A245)&lt;11),(T245+R245+G245)*Summary!$T$8/(1-Summary!$T$8),(T245+R245+G245)*Summary!$U$8/(1-Summary!$U$8)))</f>
        <v/>
      </c>
      <c r="W245" s="200" t="str">
        <f aca="false">IF($A246="","",(T245+R245+G245+V245))</f>
        <v/>
      </c>
      <c r="X245" s="200" t="str">
        <f aca="false">IF($A246="","",(U245+S245+H245+V245))</f>
        <v/>
      </c>
      <c r="Y245" s="202"/>
      <c r="Z245" s="185" t="str">
        <f aca="false">IF($A246="","",VLOOKUP($A245,Table,MATCH(Z$4,Curves,0)))</f>
        <v/>
      </c>
      <c r="AA245" s="185" t="str">
        <f aca="false">IF($A246="","",VLOOKUP($A245,Table,MATCH(AA$4,Curves,0)))</f>
        <v/>
      </c>
      <c r="AB245" s="185" t="e">
        <f aca="false">SQRT((AA245^2*(A245-$D$3)+Z245^2*(DAY(EOMONTH(A245,0))/2))/AK245)</f>
        <v>#VALUE!</v>
      </c>
      <c r="AC245" s="185" t="str">
        <f aca="false">IF($A246="","",VLOOKUP($A245,Table,MATCH(AC$4,Curves,0)))</f>
        <v/>
      </c>
      <c r="AD245" s="185" t="str">
        <f aca="false">IF($A246="","",VLOOKUP($A245,Table,MATCH(AD$4,Curves,0)))</f>
        <v/>
      </c>
      <c r="AE245" s="185" t="e">
        <f aca="false">SQRT((AD245^2*(A245-$D$3)+AC245^2*(DAY(EOMONTH(A245,0))/2))/AK245)</f>
        <v>#VALUE!</v>
      </c>
      <c r="AF245" s="224" t="e">
        <f aca="false">((Summary!$N$8*(AA245*AD245)*(A245-$D$3))+(Summary!$M$8*Z245*AC245*(AJ245-EOMONTH(EDATE(A245,-1),0))))/(AK245*AB245*AE245)</f>
        <v>#VALUE!</v>
      </c>
      <c r="AG245" s="207" t="str">
        <f aca="false">IF($A246="","",Summary!$Q$8)</f>
        <v/>
      </c>
      <c r="AH245" s="207" t="str">
        <f aca="false">IF($A246="","",IF(Summary!$R$8="Y",(VLOOKUP($A245,Summary!$AD$6:$AF$9,3)+'Escalating commodity'!D258),'Escalating commodity'!D258))</f>
        <v/>
      </c>
      <c r="AI245" s="207" t="str">
        <f aca="false">IF($A246="","",AH245)</f>
        <v/>
      </c>
      <c r="AJ245" s="208" t="e">
        <f aca="false">A245+DAY(EOMONTH(A245,0))/2-1</f>
        <v>#VALUE!</v>
      </c>
      <c r="AK245" s="209" t="str">
        <f aca="false">IF($A246="","",$A245-$E$1)</f>
        <v/>
      </c>
      <c r="AL245" s="182" t="str">
        <f aca="false">IF($A246="","",SPRDOPT(P245,X245,AI245,0,AB245,AE245,AF245,AK245,$AJ$2,0))</f>
        <v/>
      </c>
      <c r="AM245" s="211" t="str">
        <f aca="false">IF($A246="","",MAX(0,O245-W245-AI245))</f>
        <v/>
      </c>
      <c r="AN245" s="211" t="str">
        <f aca="false">IF($A246="","",AL245-AM245)</f>
        <v/>
      </c>
      <c r="AO245" s="137" t="str">
        <f aca="false">IF(A246="","",A246-A245)</f>
        <v/>
      </c>
      <c r="AP245" s="212" t="str">
        <f aca="false">IF(A246="","",CHOOSE(F$3,A246+24,A245))</f>
        <v/>
      </c>
      <c r="AQ245" s="209" t="str">
        <f aca="false">IF(A246="","",AP245-$E$1)</f>
        <v/>
      </c>
      <c r="AR245" s="185" t="n">
        <f aca="false">'ANR OK vs ML7'!AR245</f>
        <v>0.1</v>
      </c>
      <c r="AS245" s="213" t="str">
        <f aca="false">IF(A246="","",1/(1+CHOOSE(F$3,(AR246+($I$3/10000))/2,(AR245+($I$3/10000))/2))^(2*AQ245/365.25))</f>
        <v/>
      </c>
      <c r="AT245" s="137" t="str">
        <f aca="false">IF(A246="","",IF(AND(mthbeg&lt;=A245,mthend&gt;=A245),1,0))</f>
        <v/>
      </c>
      <c r="AU245" s="137" t="str">
        <f aca="false">IF(A246="","",AO245*AT245)</f>
        <v/>
      </c>
      <c r="AW245" s="195" t="str">
        <f aca="false">IF($A246="","",AL245*$E245)</f>
        <v/>
      </c>
      <c r="AX245" s="195" t="str">
        <f aca="false">IF($A246="","",AM245*$E245)</f>
        <v/>
      </c>
      <c r="AY245" s="195" t="str">
        <f aca="false">IF($A246="","",AN245*$E245)</f>
        <v/>
      </c>
      <c r="BA245" s="195" t="str">
        <f aca="false">IF($A246="","",F245*Summary!$Q$8)</f>
        <v/>
      </c>
    </row>
    <row r="246" customFormat="false" ht="12" hidden="false" customHeight="true" outlineLevel="0" collapsed="false">
      <c r="A246" s="196" t="str">
        <f aca="false">IF(A245&lt;mthend,EDATE(A245,1),"")</f>
        <v/>
      </c>
      <c r="B246" s="197" t="n">
        <f aca="false">IF(A246&lt;mthend,B245,0)</f>
        <v>0</v>
      </c>
      <c r="C246" s="215"/>
      <c r="D246" s="197" t="str">
        <f aca="false">IF(A247&lt;&gt;"",B246+C246,"")</f>
        <v/>
      </c>
      <c r="E246" s="199" t="str">
        <f aca="false">IF(A247="","",IF(AND(AT246=1,$H$3=1),D246*AO246,IF($H$3=2,D246,"N/A")))</f>
        <v/>
      </c>
      <c r="F246" s="199" t="str">
        <f aca="false">IF(A247="","",E246*AS246)</f>
        <v/>
      </c>
      <c r="G246" s="200" t="str">
        <f aca="false">IF($A247="","",VLOOKUP($A246,Table,MATCH(G$4,Curves,0)))</f>
        <v/>
      </c>
      <c r="H246" s="201" t="str">
        <f aca="false">IF(A247="","",G246)</f>
        <v/>
      </c>
      <c r="I246" s="202"/>
      <c r="J246" s="200" t="str">
        <f aca="false">IF($A247="","",VLOOKUP($A246,Table,MATCH(J$4,Curves,0)))</f>
        <v/>
      </c>
      <c r="K246" s="201" t="str">
        <f aca="false">IF(A247="","",J246)</f>
        <v/>
      </c>
      <c r="L246" s="200" t="str">
        <f aca="false">IF($A247="","",VLOOKUP($A246,Table,MATCH(L$4,Curves,0)))</f>
        <v/>
      </c>
      <c r="M246" s="201" t="str">
        <f aca="false">IF(A247="","",L246)</f>
        <v/>
      </c>
      <c r="N246" s="203"/>
      <c r="O246" s="200" t="str">
        <f aca="false">IF(A247="","",L246+J246+G246)</f>
        <v/>
      </c>
      <c r="P246" s="200" t="str">
        <f aca="false">IF(A247="","",M246+K246+H246)</f>
        <v/>
      </c>
      <c r="Q246" s="204"/>
      <c r="R246" s="200" t="str">
        <f aca="false">IF($A247="","",VLOOKUP($A246,Table,MATCH(R$4,Curves,0)))</f>
        <v/>
      </c>
      <c r="S246" s="201" t="str">
        <f aca="false">IF(A247="","",R246)</f>
        <v/>
      </c>
      <c r="T246" s="200" t="str">
        <f aca="false">IF($A247="","",VLOOKUP($A246,Table,MATCH(T$4,Curves,0)))</f>
        <v/>
      </c>
      <c r="U246" s="201" t="str">
        <f aca="false">IF(A247="","",T246)</f>
        <v/>
      </c>
      <c r="V246" s="183" t="str">
        <f aca="false">IF($A247="","",IF(AND(MONTH(A246)&gt;3,MONTH(A246)&lt;11),(T246+R246+G246)*Summary!$T$8/(1-Summary!$T$8),(T246+R246+G246)*Summary!$U$8/(1-Summary!$U$8)))</f>
        <v/>
      </c>
      <c r="W246" s="200" t="str">
        <f aca="false">IF($A247="","",(T246+R246+G246+V246))</f>
        <v/>
      </c>
      <c r="X246" s="200" t="str">
        <f aca="false">IF($A247="","",(U246+S246+H246+V246))</f>
        <v/>
      </c>
      <c r="Y246" s="202"/>
      <c r="Z246" s="185" t="str">
        <f aca="false">IF($A247="","",VLOOKUP($A246,Table,MATCH(Z$4,Curves,0)))</f>
        <v/>
      </c>
      <c r="AA246" s="185" t="str">
        <f aca="false">IF($A247="","",VLOOKUP($A246,Table,MATCH(AA$4,Curves,0)))</f>
        <v/>
      </c>
      <c r="AB246" s="185" t="e">
        <f aca="false">SQRT((AA246^2*(A246-$D$3)+Z246^2*(DAY(EOMONTH(A246,0))/2))/AK246)</f>
        <v>#VALUE!</v>
      </c>
      <c r="AC246" s="185" t="str">
        <f aca="false">IF($A247="","",VLOOKUP($A246,Table,MATCH(AC$4,Curves,0)))</f>
        <v/>
      </c>
      <c r="AD246" s="185" t="str">
        <f aca="false">IF($A247="","",VLOOKUP($A246,Table,MATCH(AD$4,Curves,0)))</f>
        <v/>
      </c>
      <c r="AE246" s="185" t="e">
        <f aca="false">SQRT((AD246^2*(A246-$D$3)+AC246^2*(DAY(EOMONTH(A246,0))/2))/AK246)</f>
        <v>#VALUE!</v>
      </c>
      <c r="AF246" s="224" t="e">
        <f aca="false">((Summary!$N$8*(AA246*AD246)*(A246-$D$3))+(Summary!$M$8*Z246*AC246*(AJ246-EOMONTH(EDATE(A246,-1),0))))/(AK246*AB246*AE246)</f>
        <v>#VALUE!</v>
      </c>
      <c r="AG246" s="207" t="str">
        <f aca="false">IF($A247="","",Summary!$Q$8)</f>
        <v/>
      </c>
      <c r="AH246" s="207" t="str">
        <f aca="false">IF($A247="","",IF(Summary!$R$8="Y",(VLOOKUP($A246,Summary!$AD$6:$AF$9,3)+'Escalating commodity'!D259),'Escalating commodity'!D259))</f>
        <v/>
      </c>
      <c r="AI246" s="207" t="str">
        <f aca="false">IF($A247="","",AH246)</f>
        <v/>
      </c>
      <c r="AJ246" s="208" t="e">
        <f aca="false">A246+DAY(EOMONTH(A246,0))/2-1</f>
        <v>#VALUE!</v>
      </c>
      <c r="AK246" s="209" t="str">
        <f aca="false">IF($A247="","",$A246-$E$1)</f>
        <v/>
      </c>
      <c r="AL246" s="182" t="str">
        <f aca="false">IF($A247="","",SPRDOPT(P246,X246,AI246,0,AB246,AE246,AF246,AK246,$AJ$2,0))</f>
        <v/>
      </c>
      <c r="AM246" s="211" t="str">
        <f aca="false">IF($A247="","",MAX(0,O246-W246-AI246))</f>
        <v/>
      </c>
      <c r="AN246" s="211" t="str">
        <f aca="false">IF($A247="","",AL246-AM246)</f>
        <v/>
      </c>
      <c r="AO246" s="137" t="str">
        <f aca="false">IF(A247="","",A247-A246)</f>
        <v/>
      </c>
      <c r="AP246" s="212" t="str">
        <f aca="false">IF(A247="","",CHOOSE(F$3,A247+24,A246))</f>
        <v/>
      </c>
      <c r="AQ246" s="209" t="str">
        <f aca="false">IF(A247="","",AP246-$E$1)</f>
        <v/>
      </c>
      <c r="AR246" s="185" t="n">
        <f aca="false">'ANR OK vs ML7'!AR246</f>
        <v>0.1</v>
      </c>
      <c r="AS246" s="213" t="str">
        <f aca="false">IF(A247="","",1/(1+CHOOSE(F$3,(AR247+($I$3/10000))/2,(AR246+($I$3/10000))/2))^(2*AQ246/365.25))</f>
        <v/>
      </c>
      <c r="AT246" s="137" t="str">
        <f aca="false">IF(A247="","",IF(AND(mthbeg&lt;=A246,mthend&gt;=A246),1,0))</f>
        <v/>
      </c>
      <c r="AU246" s="137" t="str">
        <f aca="false">IF(A247="","",AO246*AT246)</f>
        <v/>
      </c>
      <c r="AW246" s="195" t="str">
        <f aca="false">IF($A247="","",AL246*$E246)</f>
        <v/>
      </c>
      <c r="AX246" s="195" t="str">
        <f aca="false">IF($A247="","",AM246*$E246)</f>
        <v/>
      </c>
      <c r="AY246" s="195" t="str">
        <f aca="false">IF($A247="","",AN246*$E246)</f>
        <v/>
      </c>
      <c r="BA246" s="195" t="str">
        <f aca="false">IF($A247="","",F246*Summary!$Q$8)</f>
        <v/>
      </c>
    </row>
    <row r="247" customFormat="false" ht="12" hidden="false" customHeight="true" outlineLevel="0" collapsed="false">
      <c r="A247" s="196" t="str">
        <f aca="false">IF(A246&lt;mthend,EDATE(A246,1),"")</f>
        <v/>
      </c>
      <c r="B247" s="197" t="n">
        <f aca="false">IF(A247&lt;mthend,B246,0)</f>
        <v>0</v>
      </c>
      <c r="C247" s="215"/>
      <c r="D247" s="197" t="str">
        <f aca="false">IF(A248&lt;&gt;"",B247+C247,"")</f>
        <v/>
      </c>
      <c r="E247" s="199" t="str">
        <f aca="false">IF(A248="","",IF(AND(AT247=1,$H$3=1),D247*AO247,IF($H$3=2,D247,"N/A")))</f>
        <v/>
      </c>
      <c r="F247" s="199" t="str">
        <f aca="false">IF(A248="","",E247*AS247)</f>
        <v/>
      </c>
      <c r="G247" s="200" t="str">
        <f aca="false">IF($A248="","",VLOOKUP($A247,Table,MATCH(G$4,Curves,0)))</f>
        <v/>
      </c>
      <c r="H247" s="201" t="str">
        <f aca="false">IF(A248="","",G247)</f>
        <v/>
      </c>
      <c r="I247" s="202"/>
      <c r="J247" s="200" t="str">
        <f aca="false">IF($A248="","",VLOOKUP($A247,Table,MATCH(J$4,Curves,0)))</f>
        <v/>
      </c>
      <c r="K247" s="201" t="str">
        <f aca="false">IF(A248="","",J247)</f>
        <v/>
      </c>
      <c r="L247" s="200" t="str">
        <f aca="false">IF($A248="","",VLOOKUP($A247,Table,MATCH(L$4,Curves,0)))</f>
        <v/>
      </c>
      <c r="M247" s="201" t="str">
        <f aca="false">IF(A248="","",L247)</f>
        <v/>
      </c>
      <c r="N247" s="203"/>
      <c r="O247" s="200" t="str">
        <f aca="false">IF(A248="","",L247+J247+G247)</f>
        <v/>
      </c>
      <c r="P247" s="200" t="str">
        <f aca="false">IF(A248="","",M247+K247+H247)</f>
        <v/>
      </c>
      <c r="Q247" s="204"/>
      <c r="R247" s="200" t="str">
        <f aca="false">IF($A248="","",VLOOKUP($A247,Table,MATCH(R$4,Curves,0)))</f>
        <v/>
      </c>
      <c r="S247" s="201" t="str">
        <f aca="false">IF(A248="","",R247)</f>
        <v/>
      </c>
      <c r="T247" s="200" t="str">
        <f aca="false">IF($A248="","",VLOOKUP($A247,Table,MATCH(T$4,Curves,0)))</f>
        <v/>
      </c>
      <c r="U247" s="201" t="str">
        <f aca="false">IF(A248="","",T247)</f>
        <v/>
      </c>
      <c r="V247" s="183" t="str">
        <f aca="false">IF($A248="","",IF(AND(MONTH(A247)&gt;3,MONTH(A247)&lt;11),(T247+R247+G247)*Summary!$T$8/(1-Summary!$T$8),(T247+R247+G247)*Summary!$U$8/(1-Summary!$U$8)))</f>
        <v/>
      </c>
      <c r="W247" s="200" t="str">
        <f aca="false">IF($A248="","",(T247+R247+G247+V247))</f>
        <v/>
      </c>
      <c r="X247" s="200" t="str">
        <f aca="false">IF($A248="","",(U247+S247+H247+V247))</f>
        <v/>
      </c>
      <c r="Y247" s="202"/>
      <c r="Z247" s="185" t="str">
        <f aca="false">IF($A248="","",VLOOKUP($A247,Table,MATCH(Z$4,Curves,0)))</f>
        <v/>
      </c>
      <c r="AA247" s="185" t="str">
        <f aca="false">IF($A248="","",VLOOKUP($A247,Table,MATCH(AA$4,Curves,0)))</f>
        <v/>
      </c>
      <c r="AB247" s="185" t="e">
        <f aca="false">SQRT((AA247^2*(A247-$D$3)+Z247^2*(DAY(EOMONTH(A247,0))/2))/AK247)</f>
        <v>#VALUE!</v>
      </c>
      <c r="AC247" s="185" t="str">
        <f aca="false">IF($A248="","",VLOOKUP($A247,Table,MATCH(AC$4,Curves,0)))</f>
        <v/>
      </c>
      <c r="AD247" s="185" t="str">
        <f aca="false">IF($A248="","",VLOOKUP($A247,Table,MATCH(AD$4,Curves,0)))</f>
        <v/>
      </c>
      <c r="AE247" s="185" t="e">
        <f aca="false">SQRT((AD247^2*(A247-$D$3)+AC247^2*(DAY(EOMONTH(A247,0))/2))/AK247)</f>
        <v>#VALUE!</v>
      </c>
      <c r="AF247" s="224" t="e">
        <f aca="false">((Summary!$N$8*(AA247*AD247)*(A247-$D$3))+(Summary!$M$8*Z247*AC247*(AJ247-EOMONTH(EDATE(A247,-1),0))))/(AK247*AB247*AE247)</f>
        <v>#VALUE!</v>
      </c>
      <c r="AG247" s="207" t="str">
        <f aca="false">IF($A248="","",Summary!$Q$8)</f>
        <v/>
      </c>
      <c r="AH247" s="207" t="str">
        <f aca="false">IF($A248="","",IF(Summary!$R$8="Y",(VLOOKUP($A247,Summary!$AD$6:$AF$9,3)+'Escalating commodity'!D260),'Escalating commodity'!D260))</f>
        <v/>
      </c>
      <c r="AI247" s="207" t="str">
        <f aca="false">IF($A248="","",AH247)</f>
        <v/>
      </c>
      <c r="AJ247" s="208" t="e">
        <f aca="false">A247+DAY(EOMONTH(A247,0))/2-1</f>
        <v>#VALUE!</v>
      </c>
      <c r="AK247" s="209" t="str">
        <f aca="false">IF($A248="","",$A247-$E$1)</f>
        <v/>
      </c>
      <c r="AL247" s="182" t="str">
        <f aca="false">IF($A248="","",SPRDOPT(P247,X247,AI247,0,AB247,AE247,AF247,AK247,$AJ$2,0))</f>
        <v/>
      </c>
      <c r="AM247" s="211" t="str">
        <f aca="false">IF($A248="","",MAX(0,O247-W247-AI247))</f>
        <v/>
      </c>
      <c r="AN247" s="211" t="str">
        <f aca="false">IF($A248="","",AL247-AM247)</f>
        <v/>
      </c>
      <c r="AO247" s="137" t="str">
        <f aca="false">IF(A248="","",A248-A247)</f>
        <v/>
      </c>
      <c r="AP247" s="212" t="str">
        <f aca="false">IF(A248="","",CHOOSE(F$3,A248+24,A247))</f>
        <v/>
      </c>
      <c r="AQ247" s="209" t="str">
        <f aca="false">IF(A248="","",AP247-$E$1)</f>
        <v/>
      </c>
      <c r="AR247" s="185" t="n">
        <f aca="false">'ANR OK vs ML7'!AR247</f>
        <v>0.1</v>
      </c>
      <c r="AS247" s="213" t="str">
        <f aca="false">IF(A248="","",1/(1+CHOOSE(F$3,(AR248+($I$3/10000))/2,(AR247+($I$3/10000))/2))^(2*AQ247/365.25))</f>
        <v/>
      </c>
      <c r="AT247" s="137" t="str">
        <f aca="false">IF(A248="","",IF(AND(mthbeg&lt;=A247,mthend&gt;=A247),1,0))</f>
        <v/>
      </c>
      <c r="AU247" s="137" t="str">
        <f aca="false">IF(A248="","",AO247*AT247)</f>
        <v/>
      </c>
      <c r="AW247" s="195" t="str">
        <f aca="false">IF($A248="","",AL247*$E247)</f>
        <v/>
      </c>
      <c r="AX247" s="195" t="str">
        <f aca="false">IF($A248="","",AM247*$E247)</f>
        <v/>
      </c>
      <c r="AY247" s="195" t="str">
        <f aca="false">IF($A248="","",AN247*$E247)</f>
        <v/>
      </c>
      <c r="BA247" s="195" t="str">
        <f aca="false">IF($A248="","",F247*Summary!$Q$8)</f>
        <v/>
      </c>
    </row>
    <row r="248" customFormat="false" ht="12" hidden="false" customHeight="true" outlineLevel="0" collapsed="false">
      <c r="A248" s="196" t="str">
        <f aca="false">IF(A247&lt;mthend,EDATE(A247,1),"")</f>
        <v/>
      </c>
      <c r="B248" s="197" t="n">
        <f aca="false">IF(A248&lt;mthend,B247,0)</f>
        <v>0</v>
      </c>
      <c r="C248" s="215"/>
      <c r="D248" s="197" t="str">
        <f aca="false">IF(A249&lt;&gt;"",B248+C248,"")</f>
        <v/>
      </c>
      <c r="E248" s="199" t="str">
        <f aca="false">IF(A249="","",IF(AND(AT248=1,$H$3=1),D248*AO248,IF($H$3=2,D248,"N/A")))</f>
        <v/>
      </c>
      <c r="F248" s="199" t="str">
        <f aca="false">IF(A249="","",E248*AS248)</f>
        <v/>
      </c>
      <c r="G248" s="200" t="str">
        <f aca="false">IF($A249="","",VLOOKUP($A248,Table,MATCH(G$4,Curves,0)))</f>
        <v/>
      </c>
      <c r="H248" s="201" t="str">
        <f aca="false">IF(A249="","",G248)</f>
        <v/>
      </c>
      <c r="I248" s="202"/>
      <c r="J248" s="200" t="str">
        <f aca="false">IF($A249="","",VLOOKUP($A248,Table,MATCH(J$4,Curves,0)))</f>
        <v/>
      </c>
      <c r="K248" s="201" t="str">
        <f aca="false">IF(A249="","",J248)</f>
        <v/>
      </c>
      <c r="L248" s="200" t="str">
        <f aca="false">IF($A249="","",VLOOKUP($A248,Table,MATCH(L$4,Curves,0)))</f>
        <v/>
      </c>
      <c r="M248" s="201" t="str">
        <f aca="false">IF(A249="","",L248)</f>
        <v/>
      </c>
      <c r="N248" s="203"/>
      <c r="O248" s="200" t="str">
        <f aca="false">IF(A249="","",L248+J248+G248)</f>
        <v/>
      </c>
      <c r="P248" s="200" t="str">
        <f aca="false">IF(A249="","",M248+K248+H248)</f>
        <v/>
      </c>
      <c r="Q248" s="204"/>
      <c r="R248" s="200" t="str">
        <f aca="false">IF($A249="","",VLOOKUP($A248,Table,MATCH(R$4,Curves,0)))</f>
        <v/>
      </c>
      <c r="S248" s="201" t="str">
        <f aca="false">IF(A249="","",R248)</f>
        <v/>
      </c>
      <c r="T248" s="200" t="str">
        <f aca="false">IF($A249="","",VLOOKUP($A248,Table,MATCH(T$4,Curves,0)))</f>
        <v/>
      </c>
      <c r="U248" s="201" t="str">
        <f aca="false">IF(A249="","",T248)</f>
        <v/>
      </c>
      <c r="V248" s="183" t="str">
        <f aca="false">IF($A249="","",IF(AND(MONTH(A248)&gt;3,MONTH(A248)&lt;11),(T248+R248+G248)*Summary!$T$8/(1-Summary!$T$8),(T248+R248+G248)*Summary!$U$8/(1-Summary!$U$8)))</f>
        <v/>
      </c>
      <c r="W248" s="200" t="str">
        <f aca="false">IF($A249="","",(T248+R248+G248+V248))</f>
        <v/>
      </c>
      <c r="X248" s="200" t="str">
        <f aca="false">IF($A249="","",(U248+S248+H248+V248))</f>
        <v/>
      </c>
      <c r="Y248" s="202"/>
      <c r="Z248" s="185" t="str">
        <f aca="false">IF($A249="","",VLOOKUP($A248,Table,MATCH(Z$4,Curves,0)))</f>
        <v/>
      </c>
      <c r="AA248" s="185" t="str">
        <f aca="false">IF($A249="","",VLOOKUP($A248,Table,MATCH(AA$4,Curves,0)))</f>
        <v/>
      </c>
      <c r="AB248" s="185" t="e">
        <f aca="false">SQRT((AA248^2*(A248-$D$3)+Z248^2*(DAY(EOMONTH(A248,0))/2))/AK248)</f>
        <v>#VALUE!</v>
      </c>
      <c r="AC248" s="185" t="str">
        <f aca="false">IF($A249="","",VLOOKUP($A248,Table,MATCH(AC$4,Curves,0)))</f>
        <v/>
      </c>
      <c r="AD248" s="185" t="str">
        <f aca="false">IF($A249="","",VLOOKUP($A248,Table,MATCH(AD$4,Curves,0)))</f>
        <v/>
      </c>
      <c r="AE248" s="185" t="e">
        <f aca="false">SQRT((AD248^2*(A248-$D$3)+AC248^2*(DAY(EOMONTH(A248,0))/2))/AK248)</f>
        <v>#VALUE!</v>
      </c>
      <c r="AF248" s="224" t="e">
        <f aca="false">((Summary!$N$8*(AA248*AD248)*(A248-$D$3))+(Summary!$M$8*Z248*AC248*(AJ248-EOMONTH(EDATE(A248,-1),0))))/(AK248*AB248*AE248)</f>
        <v>#VALUE!</v>
      </c>
      <c r="AG248" s="207" t="str">
        <f aca="false">IF($A249="","",Summary!$Q$8)</f>
        <v/>
      </c>
      <c r="AH248" s="207" t="str">
        <f aca="false">IF($A249="","",IF(Summary!$R$8="Y",(VLOOKUP($A248,Summary!$AD$6:$AF$9,3)+'Escalating commodity'!D261),'Escalating commodity'!D261))</f>
        <v/>
      </c>
      <c r="AI248" s="207" t="str">
        <f aca="false">IF($A249="","",AH248)</f>
        <v/>
      </c>
      <c r="AJ248" s="208" t="e">
        <f aca="false">A248+DAY(EOMONTH(A248,0))/2-1</f>
        <v>#VALUE!</v>
      </c>
      <c r="AK248" s="209" t="str">
        <f aca="false">IF($A249="","",$A248-$E$1)</f>
        <v/>
      </c>
      <c r="AL248" s="182" t="str">
        <f aca="false">IF($A249="","",SPRDOPT(P248,X248,AI248,0,AB248,AE248,AF248,AK248,$AJ$2,0))</f>
        <v/>
      </c>
      <c r="AM248" s="211" t="str">
        <f aca="false">IF($A249="","",MAX(0,O248-W248-AI248))</f>
        <v/>
      </c>
      <c r="AN248" s="211" t="str">
        <f aca="false">IF($A249="","",AL248-AM248)</f>
        <v/>
      </c>
      <c r="AO248" s="137" t="str">
        <f aca="false">IF(A249="","",A249-A248)</f>
        <v/>
      </c>
      <c r="AP248" s="212" t="str">
        <f aca="false">IF(A249="","",CHOOSE(F$3,A249+24,A248))</f>
        <v/>
      </c>
      <c r="AQ248" s="209" t="str">
        <f aca="false">IF(A249="","",AP248-$E$1)</f>
        <v/>
      </c>
      <c r="AR248" s="185" t="n">
        <f aca="false">'ANR OK vs ML7'!AR248</f>
        <v>0.1</v>
      </c>
      <c r="AS248" s="213" t="str">
        <f aca="false">IF(A249="","",1/(1+CHOOSE(F$3,(AR249+($I$3/10000))/2,(AR248+($I$3/10000))/2))^(2*AQ248/365.25))</f>
        <v/>
      </c>
      <c r="AT248" s="137" t="str">
        <f aca="false">IF(A249="","",IF(AND(mthbeg&lt;=A248,mthend&gt;=A248),1,0))</f>
        <v/>
      </c>
      <c r="AU248" s="137" t="str">
        <f aca="false">IF(A249="","",AO248*AT248)</f>
        <v/>
      </c>
      <c r="AW248" s="195" t="str">
        <f aca="false">IF($A249="","",AL248*$E248)</f>
        <v/>
      </c>
      <c r="AX248" s="195" t="str">
        <f aca="false">IF($A249="","",AM248*$E248)</f>
        <v/>
      </c>
      <c r="AY248" s="195" t="str">
        <f aca="false">IF($A249="","",AN248*$E248)</f>
        <v/>
      </c>
      <c r="BA248" s="195" t="str">
        <f aca="false">IF($A249="","",F248*Summary!$Q$8)</f>
        <v/>
      </c>
    </row>
    <row r="249" customFormat="false" ht="12" hidden="false" customHeight="true" outlineLevel="0" collapsed="false">
      <c r="A249" s="196" t="str">
        <f aca="false">IF(A248&lt;mthend,EDATE(A248,1),"")</f>
        <v/>
      </c>
      <c r="B249" s="197" t="n">
        <f aca="false">IF(A249&lt;mthend,B248,0)</f>
        <v>0</v>
      </c>
      <c r="C249" s="215"/>
      <c r="D249" s="197" t="str">
        <f aca="false">IF(A250&lt;&gt;"",B249+C249,"")</f>
        <v/>
      </c>
      <c r="E249" s="199" t="str">
        <f aca="false">IF(A250="","",IF(AND(AT249=1,$H$3=1),D249*AO249,IF($H$3=2,D249,"N/A")))</f>
        <v/>
      </c>
      <c r="F249" s="199" t="str">
        <f aca="false">IF(A250="","",E249*AS249)</f>
        <v/>
      </c>
      <c r="G249" s="200" t="str">
        <f aca="false">IF($A250="","",VLOOKUP($A249,Table,MATCH(G$4,Curves,0)))</f>
        <v/>
      </c>
      <c r="H249" s="201" t="str">
        <f aca="false">IF(A250="","",G249)</f>
        <v/>
      </c>
      <c r="I249" s="202"/>
      <c r="J249" s="200" t="str">
        <f aca="false">IF($A250="","",VLOOKUP($A249,Table,MATCH(J$4,Curves,0)))</f>
        <v/>
      </c>
      <c r="K249" s="201" t="str">
        <f aca="false">IF(A250="","",J249)</f>
        <v/>
      </c>
      <c r="L249" s="200" t="str">
        <f aca="false">IF($A250="","",VLOOKUP($A249,Table,MATCH(L$4,Curves,0)))</f>
        <v/>
      </c>
      <c r="M249" s="201" t="str">
        <f aca="false">IF(A250="","",L249)</f>
        <v/>
      </c>
      <c r="N249" s="203"/>
      <c r="O249" s="200" t="str">
        <f aca="false">IF(A250="","",L249+J249+G249)</f>
        <v/>
      </c>
      <c r="P249" s="200" t="str">
        <f aca="false">IF(A250="","",M249+K249+H249)</f>
        <v/>
      </c>
      <c r="Q249" s="204"/>
      <c r="R249" s="200" t="str">
        <f aca="false">IF($A250="","",VLOOKUP($A249,Table,MATCH(R$4,Curves,0)))</f>
        <v/>
      </c>
      <c r="S249" s="201" t="str">
        <f aca="false">IF(A250="","",R249)</f>
        <v/>
      </c>
      <c r="T249" s="200" t="str">
        <f aca="false">IF($A250="","",VLOOKUP($A249,Table,MATCH(T$4,Curves,0)))</f>
        <v/>
      </c>
      <c r="U249" s="201" t="str">
        <f aca="false">IF(A250="","",T249)</f>
        <v/>
      </c>
      <c r="V249" s="183" t="str">
        <f aca="false">IF($A250="","",IF(AND(MONTH(A249)&gt;3,MONTH(A249)&lt;11),(T249+R249+G249)*Summary!$T$8/(1-Summary!$T$8),(T249+R249+G249)*Summary!$U$8/(1-Summary!$U$8)))</f>
        <v/>
      </c>
      <c r="W249" s="200" t="str">
        <f aca="false">IF($A250="","",(T249+R249+G249+V249))</f>
        <v/>
      </c>
      <c r="X249" s="200" t="str">
        <f aca="false">IF($A250="","",(U249+S249+H249+V249))</f>
        <v/>
      </c>
      <c r="Y249" s="202"/>
      <c r="Z249" s="185" t="str">
        <f aca="false">IF($A250="","",VLOOKUP($A249,Table,MATCH(Z$4,Curves,0)))</f>
        <v/>
      </c>
      <c r="AA249" s="185" t="str">
        <f aca="false">IF($A250="","",VLOOKUP($A249,Table,MATCH(AA$4,Curves,0)))</f>
        <v/>
      </c>
      <c r="AB249" s="185" t="e">
        <f aca="false">SQRT((AA249^2*(A249-$D$3)+Z249^2*(DAY(EOMONTH(A249,0))/2))/AK249)</f>
        <v>#VALUE!</v>
      </c>
      <c r="AC249" s="185" t="str">
        <f aca="false">IF($A250="","",VLOOKUP($A249,Table,MATCH(AC$4,Curves,0)))</f>
        <v/>
      </c>
      <c r="AD249" s="185" t="str">
        <f aca="false">IF($A250="","",VLOOKUP($A249,Table,MATCH(AD$4,Curves,0)))</f>
        <v/>
      </c>
      <c r="AE249" s="185" t="e">
        <f aca="false">SQRT((AD249^2*(A249-$D$3)+AC249^2*(DAY(EOMONTH(A249,0))/2))/AK249)</f>
        <v>#VALUE!</v>
      </c>
      <c r="AF249" s="224" t="e">
        <f aca="false">((Summary!$N$8*(AA249*AD249)*(A249-$D$3))+(Summary!$M$8*Z249*AC249*(AJ249-EOMONTH(EDATE(A249,-1),0))))/(AK249*AB249*AE249)</f>
        <v>#VALUE!</v>
      </c>
      <c r="AG249" s="207" t="str">
        <f aca="false">IF($A250="","",Summary!$Q$8)</f>
        <v/>
      </c>
      <c r="AH249" s="207" t="str">
        <f aca="false">IF($A250="","",IF(Summary!$R$8="Y",(VLOOKUP($A249,Summary!$AD$6:$AF$9,3)+'Escalating commodity'!D262),'Escalating commodity'!D262))</f>
        <v/>
      </c>
      <c r="AI249" s="207" t="str">
        <f aca="false">IF($A250="","",AH249)</f>
        <v/>
      </c>
      <c r="AJ249" s="208" t="e">
        <f aca="false">A249+DAY(EOMONTH(A249,0))/2-1</f>
        <v>#VALUE!</v>
      </c>
      <c r="AK249" s="209" t="str">
        <f aca="false">IF($A250="","",$A249-$E$1)</f>
        <v/>
      </c>
      <c r="AL249" s="182" t="str">
        <f aca="false">IF($A250="","",SPRDOPT(P249,X249,AI249,0,AB249,AE249,AF249,AK249,$AJ$2,0))</f>
        <v/>
      </c>
      <c r="AM249" s="211" t="str">
        <f aca="false">IF($A250="","",MAX(0,O249-W249-AI249))</f>
        <v/>
      </c>
      <c r="AN249" s="211" t="str">
        <f aca="false">IF($A250="","",AL249-AM249)</f>
        <v/>
      </c>
      <c r="AO249" s="137" t="str">
        <f aca="false">IF(A250="","",A250-A249)</f>
        <v/>
      </c>
      <c r="AP249" s="212" t="str">
        <f aca="false">IF(A250="","",CHOOSE(F$3,A250+24,A249))</f>
        <v/>
      </c>
      <c r="AQ249" s="209" t="str">
        <f aca="false">IF(A250="","",AP249-$E$1)</f>
        <v/>
      </c>
      <c r="AR249" s="185" t="n">
        <f aca="false">'ANR OK vs ML7'!AR249</f>
        <v>0.1</v>
      </c>
      <c r="AS249" s="213" t="str">
        <f aca="false">IF(A250="","",1/(1+CHOOSE(F$3,(AR250+($I$3/10000))/2,(AR249+($I$3/10000))/2))^(2*AQ249/365.25))</f>
        <v/>
      </c>
      <c r="AT249" s="137" t="str">
        <f aca="false">IF(A250="","",IF(AND(mthbeg&lt;=A249,mthend&gt;=A249),1,0))</f>
        <v/>
      </c>
      <c r="AU249" s="137" t="str">
        <f aca="false">IF(A250="","",AO249*AT249)</f>
        <v/>
      </c>
      <c r="AW249" s="195" t="str">
        <f aca="false">IF($A250="","",AL249*$E249)</f>
        <v/>
      </c>
      <c r="AX249" s="195" t="str">
        <f aca="false">IF($A250="","",AM249*$E249)</f>
        <v/>
      </c>
      <c r="AY249" s="195" t="str">
        <f aca="false">IF($A250="","",AN249*$E249)</f>
        <v/>
      </c>
      <c r="BA249" s="195" t="str">
        <f aca="false">IF($A250="","",F249*Summary!$Q$8)</f>
        <v/>
      </c>
    </row>
    <row r="250" customFormat="false" ht="12" hidden="false" customHeight="true" outlineLevel="0" collapsed="false">
      <c r="A250" s="196" t="str">
        <f aca="false">IF(A249&lt;mthend,EDATE(A249,1),"")</f>
        <v/>
      </c>
      <c r="B250" s="197" t="n">
        <f aca="false">IF(A250&lt;mthend,B249,0)</f>
        <v>0</v>
      </c>
      <c r="C250" s="215"/>
      <c r="D250" s="197" t="str">
        <f aca="false">IF(A251&lt;&gt;"",B250+C250,"")</f>
        <v/>
      </c>
      <c r="E250" s="199" t="str">
        <f aca="false">IF(A251="","",IF(AND(AT250=1,$H$3=1),D250*AO250,IF($H$3=2,D250,"N/A")))</f>
        <v/>
      </c>
      <c r="F250" s="199" t="str">
        <f aca="false">IF(A251="","",E250*AS250)</f>
        <v/>
      </c>
      <c r="G250" s="200" t="str">
        <f aca="false">IF($A251="","",VLOOKUP($A250,Table,MATCH(G$4,Curves,0)))</f>
        <v/>
      </c>
      <c r="H250" s="201" t="str">
        <f aca="false">IF(A251="","",G250)</f>
        <v/>
      </c>
      <c r="I250" s="202"/>
      <c r="J250" s="200" t="str">
        <f aca="false">IF($A251="","",VLOOKUP($A250,Table,MATCH(J$4,Curves,0)))</f>
        <v/>
      </c>
      <c r="K250" s="201" t="str">
        <f aca="false">IF(A251="","",J250)</f>
        <v/>
      </c>
      <c r="L250" s="200" t="str">
        <f aca="false">IF($A251="","",VLOOKUP($A250,Table,MATCH(L$4,Curves,0)))</f>
        <v/>
      </c>
      <c r="M250" s="201" t="str">
        <f aca="false">IF(A251="","",L250)</f>
        <v/>
      </c>
      <c r="N250" s="203"/>
      <c r="O250" s="200" t="str">
        <f aca="false">IF(A251="","",L250+J250+G250)</f>
        <v/>
      </c>
      <c r="P250" s="200" t="str">
        <f aca="false">IF(A251="","",M250+K250+H250)</f>
        <v/>
      </c>
      <c r="Q250" s="204"/>
      <c r="R250" s="200" t="str">
        <f aca="false">IF($A251="","",VLOOKUP($A250,Table,MATCH(R$4,Curves,0)))</f>
        <v/>
      </c>
      <c r="S250" s="201" t="str">
        <f aca="false">IF(A251="","",R250)</f>
        <v/>
      </c>
      <c r="T250" s="200" t="str">
        <f aca="false">IF($A251="","",VLOOKUP($A250,Table,MATCH(T$4,Curves,0)))</f>
        <v/>
      </c>
      <c r="U250" s="201" t="str">
        <f aca="false">IF(A251="","",T250)</f>
        <v/>
      </c>
      <c r="V250" s="183" t="str">
        <f aca="false">IF($A251="","",IF(AND(MONTH(A250)&gt;3,MONTH(A250)&lt;11),(T250+R250+G250)*Summary!$T$8/(1-Summary!$T$8),(T250+R250+G250)*Summary!$U$8/(1-Summary!$U$8)))</f>
        <v/>
      </c>
      <c r="W250" s="200" t="str">
        <f aca="false">IF($A251="","",(T250+R250+G250+V250))</f>
        <v/>
      </c>
      <c r="X250" s="200" t="str">
        <f aca="false">IF($A251="","",(U250+S250+H250+V250))</f>
        <v/>
      </c>
      <c r="Y250" s="202"/>
      <c r="Z250" s="185" t="str">
        <f aca="false">IF($A251="","",VLOOKUP($A250,Table,MATCH(Z$4,Curves,0)))</f>
        <v/>
      </c>
      <c r="AA250" s="185" t="str">
        <f aca="false">IF($A251="","",VLOOKUP($A250,Table,MATCH(AA$4,Curves,0)))</f>
        <v/>
      </c>
      <c r="AB250" s="185" t="e">
        <f aca="false">SQRT((AA250^2*(A250-$D$3)+Z250^2*(DAY(EOMONTH(A250,0))/2))/AK250)</f>
        <v>#VALUE!</v>
      </c>
      <c r="AC250" s="185" t="str">
        <f aca="false">IF($A251="","",VLOOKUP($A250,Table,MATCH(AC$4,Curves,0)))</f>
        <v/>
      </c>
      <c r="AD250" s="185" t="str">
        <f aca="false">IF($A251="","",VLOOKUP($A250,Table,MATCH(AD$4,Curves,0)))</f>
        <v/>
      </c>
      <c r="AE250" s="185" t="e">
        <f aca="false">SQRT((AD250^2*(A250-$D$3)+AC250^2*(DAY(EOMONTH(A250,0))/2))/AK250)</f>
        <v>#VALUE!</v>
      </c>
      <c r="AF250" s="224" t="e">
        <f aca="false">((Summary!$N$8*(AA250*AD250)*(A250-$D$3))+(Summary!$M$8*Z250*AC250*(AJ250-EOMONTH(EDATE(A250,-1),0))))/(AK250*AB250*AE250)</f>
        <v>#VALUE!</v>
      </c>
      <c r="AG250" s="207" t="str">
        <f aca="false">IF($A251="","",Summary!$Q$8)</f>
        <v/>
      </c>
      <c r="AH250" s="207" t="str">
        <f aca="false">IF($A251="","",IF(Summary!$R$8="Y",(VLOOKUP($A250,Summary!$AD$6:$AF$9,3)+'Escalating commodity'!D263),'Escalating commodity'!D263))</f>
        <v/>
      </c>
      <c r="AI250" s="207" t="str">
        <f aca="false">IF($A251="","",AH250)</f>
        <v/>
      </c>
      <c r="AJ250" s="208" t="e">
        <f aca="false">A250+DAY(EOMONTH(A250,0))/2-1</f>
        <v>#VALUE!</v>
      </c>
      <c r="AK250" s="209" t="str">
        <f aca="false">IF($A251="","",$A250-$E$1)</f>
        <v/>
      </c>
      <c r="AL250" s="182" t="str">
        <f aca="false">IF($A251="","",SPRDOPT(P250,X250,AI250,0,AB250,AE250,AF250,AK250,$AJ$2,0))</f>
        <v/>
      </c>
      <c r="AM250" s="211" t="str">
        <f aca="false">IF($A251="","",MAX(0,O250-W250-AI250))</f>
        <v/>
      </c>
      <c r="AN250" s="211" t="str">
        <f aca="false">IF($A251="","",AL250-AM250)</f>
        <v/>
      </c>
      <c r="AO250" s="137" t="str">
        <f aca="false">IF(A251="","",A251-A250)</f>
        <v/>
      </c>
      <c r="AP250" s="212" t="str">
        <f aca="false">IF(A251="","",CHOOSE(F$3,A251+24,A250))</f>
        <v/>
      </c>
      <c r="AQ250" s="209" t="str">
        <f aca="false">IF(A251="","",AP250-$E$1)</f>
        <v/>
      </c>
      <c r="AR250" s="185" t="n">
        <f aca="false">'ANR OK vs ML7'!AR250</f>
        <v>0.1</v>
      </c>
      <c r="AS250" s="213" t="str">
        <f aca="false">IF(A251="","",1/(1+CHOOSE(F$3,(AR251+($I$3/10000))/2,(AR250+($I$3/10000))/2))^(2*AQ250/365.25))</f>
        <v/>
      </c>
      <c r="AT250" s="137" t="str">
        <f aca="false">IF(A251="","",IF(AND(mthbeg&lt;=A250,mthend&gt;=A250),1,0))</f>
        <v/>
      </c>
      <c r="AU250" s="137" t="str">
        <f aca="false">IF(A251="","",AO250*AT250)</f>
        <v/>
      </c>
      <c r="AW250" s="195" t="str">
        <f aca="false">IF($A251="","",AL250*$E250)</f>
        <v/>
      </c>
      <c r="AX250" s="195" t="str">
        <f aca="false">IF($A251="","",AM250*$E250)</f>
        <v/>
      </c>
      <c r="AY250" s="195" t="str">
        <f aca="false">IF($A251="","",AN250*$E250)</f>
        <v/>
      </c>
      <c r="BA250" s="195" t="str">
        <f aca="false">IF($A251="","",F250*Summary!$Q$8)</f>
        <v/>
      </c>
    </row>
    <row r="251" customFormat="false" ht="12" hidden="false" customHeight="true" outlineLevel="0" collapsed="false">
      <c r="A251" s="196" t="str">
        <f aca="false">IF(A250&lt;mthend,EDATE(A250,1),"")</f>
        <v/>
      </c>
      <c r="B251" s="197" t="n">
        <f aca="false">IF(A251&lt;mthend,B250,0)</f>
        <v>0</v>
      </c>
      <c r="C251" s="215"/>
      <c r="D251" s="197" t="str">
        <f aca="false">IF(A252&lt;&gt;"",B251+C251,"")</f>
        <v/>
      </c>
      <c r="E251" s="199" t="str">
        <f aca="false">IF(A252="","",IF(AND(AT251=1,$H$3=1),D251*AO251,IF($H$3=2,D251,"N/A")))</f>
        <v/>
      </c>
      <c r="F251" s="199" t="str">
        <f aca="false">IF(A252="","",E251*AS251)</f>
        <v/>
      </c>
      <c r="G251" s="200" t="str">
        <f aca="false">IF($A252="","",VLOOKUP($A251,Table,MATCH(G$4,Curves,0)))</f>
        <v/>
      </c>
      <c r="H251" s="201" t="str">
        <f aca="false">IF(A252="","",G251)</f>
        <v/>
      </c>
      <c r="I251" s="202"/>
      <c r="J251" s="200" t="str">
        <f aca="false">IF($A252="","",VLOOKUP($A251,Table,MATCH(J$4,Curves,0)))</f>
        <v/>
      </c>
      <c r="K251" s="201" t="str">
        <f aca="false">IF(A252="","",J251)</f>
        <v/>
      </c>
      <c r="L251" s="200" t="str">
        <f aca="false">IF($A252="","",VLOOKUP($A251,Table,MATCH(L$4,Curves,0)))</f>
        <v/>
      </c>
      <c r="M251" s="201" t="str">
        <f aca="false">IF(A252="","",L251)</f>
        <v/>
      </c>
      <c r="N251" s="203"/>
      <c r="O251" s="200" t="str">
        <f aca="false">IF(A252="","",L251+J251+G251)</f>
        <v/>
      </c>
      <c r="P251" s="200" t="str">
        <f aca="false">IF(A252="","",M251+K251+H251)</f>
        <v/>
      </c>
      <c r="Q251" s="204"/>
      <c r="R251" s="200" t="str">
        <f aca="false">IF($A252="","",VLOOKUP($A251,Table,MATCH(R$4,Curves,0)))</f>
        <v/>
      </c>
      <c r="S251" s="201" t="str">
        <f aca="false">IF(A252="","",R251)</f>
        <v/>
      </c>
      <c r="T251" s="200" t="str">
        <f aca="false">IF($A252="","",VLOOKUP($A251,Table,MATCH(T$4,Curves,0)))</f>
        <v/>
      </c>
      <c r="U251" s="201" t="str">
        <f aca="false">IF(A252="","",T251)</f>
        <v/>
      </c>
      <c r="V251" s="183" t="str">
        <f aca="false">IF($A252="","",IF(AND(MONTH(A251)&gt;3,MONTH(A251)&lt;11),(T251+R251+G251)*Summary!$T$8/(1-Summary!$T$8),(T251+R251+G251)*Summary!$U$8/(1-Summary!$U$8)))</f>
        <v/>
      </c>
      <c r="W251" s="200" t="str">
        <f aca="false">IF($A252="","",(T251+R251+G251+V251))</f>
        <v/>
      </c>
      <c r="X251" s="200" t="str">
        <f aca="false">IF($A252="","",(U251+S251+H251+V251))</f>
        <v/>
      </c>
      <c r="Y251" s="202"/>
      <c r="Z251" s="185" t="str">
        <f aca="false">IF($A252="","",VLOOKUP($A251,Table,MATCH(Z$4,Curves,0)))</f>
        <v/>
      </c>
      <c r="AA251" s="185" t="str">
        <f aca="false">IF($A252="","",VLOOKUP($A251,Table,MATCH(AA$4,Curves,0)))</f>
        <v/>
      </c>
      <c r="AB251" s="185" t="e">
        <f aca="false">SQRT((AA251^2*(A251-$D$3)+Z251^2*(DAY(EOMONTH(A251,0))/2))/AK251)</f>
        <v>#VALUE!</v>
      </c>
      <c r="AC251" s="185" t="str">
        <f aca="false">IF($A252="","",VLOOKUP($A251,Table,MATCH(AC$4,Curves,0)))</f>
        <v/>
      </c>
      <c r="AD251" s="185" t="str">
        <f aca="false">IF($A252="","",VLOOKUP($A251,Table,MATCH(AD$4,Curves,0)))</f>
        <v/>
      </c>
      <c r="AE251" s="185" t="e">
        <f aca="false">SQRT((AD251^2*(A251-$D$3)+AC251^2*(DAY(EOMONTH(A251,0))/2))/AK251)</f>
        <v>#VALUE!</v>
      </c>
      <c r="AF251" s="224" t="e">
        <f aca="false">((Summary!$N$8*(AA251*AD251)*(A251-$D$3))+(Summary!$M$8*Z251*AC251*(AJ251-EOMONTH(EDATE(A251,-1),0))))/(AK251*AB251*AE251)</f>
        <v>#VALUE!</v>
      </c>
      <c r="AG251" s="207" t="str">
        <f aca="false">IF($A252="","",Summary!$Q$8)</f>
        <v/>
      </c>
      <c r="AH251" s="207" t="str">
        <f aca="false">IF($A252="","",IF(Summary!$R$8="Y",(VLOOKUP($A251,Summary!$AD$6:$AF$9,3)+'Escalating commodity'!D264),'Escalating commodity'!D264))</f>
        <v/>
      </c>
      <c r="AI251" s="207" t="str">
        <f aca="false">IF($A252="","",AH251)</f>
        <v/>
      </c>
      <c r="AJ251" s="208" t="e">
        <f aca="false">A251+DAY(EOMONTH(A251,0))/2-1</f>
        <v>#VALUE!</v>
      </c>
      <c r="AK251" s="209" t="str">
        <f aca="false">IF($A252="","",$A251-$E$1)</f>
        <v/>
      </c>
      <c r="AL251" s="182" t="str">
        <f aca="false">IF($A252="","",SPRDOPT(P251,X251,AI251,0,AB251,AE251,AF251,AK251,$AJ$2,0))</f>
        <v/>
      </c>
      <c r="AM251" s="211" t="str">
        <f aca="false">IF($A252="","",MAX(0,O251-W251-AI251))</f>
        <v/>
      </c>
      <c r="AN251" s="211" t="str">
        <f aca="false">IF($A252="","",AL251-AM251)</f>
        <v/>
      </c>
      <c r="AO251" s="137" t="str">
        <f aca="false">IF(A252="","",A252-A251)</f>
        <v/>
      </c>
      <c r="AP251" s="212" t="str">
        <f aca="false">IF(A252="","",CHOOSE(F$3,A252+24,A251))</f>
        <v/>
      </c>
      <c r="AQ251" s="209" t="str">
        <f aca="false">IF(A252="","",AP251-$E$1)</f>
        <v/>
      </c>
      <c r="AR251" s="185" t="n">
        <f aca="false">'ANR OK vs ML7'!AR251</f>
        <v>0.1</v>
      </c>
      <c r="AS251" s="213" t="str">
        <f aca="false">IF(A252="","",1/(1+CHOOSE(F$3,(AR252+($I$3/10000))/2,(AR251+($I$3/10000))/2))^(2*AQ251/365.25))</f>
        <v/>
      </c>
      <c r="AT251" s="137" t="str">
        <f aca="false">IF(A252="","",IF(AND(mthbeg&lt;=A251,mthend&gt;=A251),1,0))</f>
        <v/>
      </c>
      <c r="AU251" s="137" t="str">
        <f aca="false">IF(A252="","",AO251*AT251)</f>
        <v/>
      </c>
      <c r="AW251" s="195" t="str">
        <f aca="false">IF($A252="","",AL251*$E251)</f>
        <v/>
      </c>
      <c r="AX251" s="195" t="str">
        <f aca="false">IF($A252="","",AM251*$E251)</f>
        <v/>
      </c>
      <c r="AY251" s="195" t="str">
        <f aca="false">IF($A252="","",AN251*$E251)</f>
        <v/>
      </c>
      <c r="BA251" s="195" t="str">
        <f aca="false">IF($A252="","",F251*Summary!$Q$8)</f>
        <v/>
      </c>
    </row>
    <row r="252" customFormat="false" ht="12" hidden="false" customHeight="true" outlineLevel="0" collapsed="false">
      <c r="A252" s="196" t="str">
        <f aca="false">IF(A251&lt;mthend,EDATE(A251,1),"")</f>
        <v/>
      </c>
      <c r="B252" s="197" t="n">
        <f aca="false">IF(A252&lt;mthend,B251,0)</f>
        <v>0</v>
      </c>
      <c r="C252" s="215"/>
      <c r="D252" s="197" t="str">
        <f aca="false">IF(A253&lt;&gt;"",B252+C252,"")</f>
        <v/>
      </c>
      <c r="E252" s="199" t="str">
        <f aca="false">IF(A253="","",IF(AND(AT252=1,$H$3=1),D252*AO252,IF($H$3=2,D252,"N/A")))</f>
        <v/>
      </c>
      <c r="F252" s="199" t="str">
        <f aca="false">IF(A253="","",E252*AS252)</f>
        <v/>
      </c>
      <c r="G252" s="200" t="str">
        <f aca="false">IF($A253="","",VLOOKUP($A252,Table,MATCH(G$4,Curves,0)))</f>
        <v/>
      </c>
      <c r="H252" s="201" t="str">
        <f aca="false">IF(A253="","",G252)</f>
        <v/>
      </c>
      <c r="I252" s="202"/>
      <c r="J252" s="200" t="str">
        <f aca="false">IF($A253="","",VLOOKUP($A252,Table,MATCH(J$4,Curves,0)))</f>
        <v/>
      </c>
      <c r="K252" s="201" t="str">
        <f aca="false">IF(A253="","",J252)</f>
        <v/>
      </c>
      <c r="L252" s="200" t="str">
        <f aca="false">IF($A253="","",VLOOKUP($A252,Table,MATCH(L$4,Curves,0)))</f>
        <v/>
      </c>
      <c r="M252" s="201" t="str">
        <f aca="false">IF(A253="","",L252)</f>
        <v/>
      </c>
      <c r="N252" s="203"/>
      <c r="O252" s="200" t="str">
        <f aca="false">IF(A253="","",L252+J252+G252)</f>
        <v/>
      </c>
      <c r="P252" s="200" t="str">
        <f aca="false">IF(A253="","",M252+K252+H252)</f>
        <v/>
      </c>
      <c r="Q252" s="204"/>
      <c r="R252" s="200" t="str">
        <f aca="false">IF($A253="","",VLOOKUP($A252,Table,MATCH(R$4,Curves,0)))</f>
        <v/>
      </c>
      <c r="S252" s="201" t="str">
        <f aca="false">IF(A253="","",R252)</f>
        <v/>
      </c>
      <c r="T252" s="200" t="str">
        <f aca="false">IF($A253="","",VLOOKUP($A252,Table,MATCH(T$4,Curves,0)))</f>
        <v/>
      </c>
      <c r="U252" s="201" t="str">
        <f aca="false">IF(A253="","",T252)</f>
        <v/>
      </c>
      <c r="V252" s="183" t="str">
        <f aca="false">IF($A253="","",IF(AND(MONTH(A252)&gt;3,MONTH(A252)&lt;11),(T252+R252+G252)*Summary!$T$8/(1-Summary!$T$8),(T252+R252+G252)*Summary!$U$8/(1-Summary!$U$8)))</f>
        <v/>
      </c>
      <c r="W252" s="200" t="str">
        <f aca="false">IF($A253="","",(T252+R252+G252+V252))</f>
        <v/>
      </c>
      <c r="X252" s="200" t="str">
        <f aca="false">IF($A253="","",(U252+S252+H252+V252))</f>
        <v/>
      </c>
      <c r="Y252" s="202"/>
      <c r="Z252" s="185" t="str">
        <f aca="false">IF($A253="","",VLOOKUP($A252,Table,MATCH(Z$4,Curves,0)))</f>
        <v/>
      </c>
      <c r="AA252" s="185" t="str">
        <f aca="false">IF($A253="","",VLOOKUP($A252,Table,MATCH(AA$4,Curves,0)))</f>
        <v/>
      </c>
      <c r="AB252" s="185" t="e">
        <f aca="false">SQRT((AA252^2*(A252-$D$3)+Z252^2*(DAY(EOMONTH(A252,0))/2))/AK252)</f>
        <v>#VALUE!</v>
      </c>
      <c r="AC252" s="185" t="str">
        <f aca="false">IF($A253="","",VLOOKUP($A252,Table,MATCH(AC$4,Curves,0)))</f>
        <v/>
      </c>
      <c r="AD252" s="185" t="str">
        <f aca="false">IF($A253="","",VLOOKUP($A252,Table,MATCH(AD$4,Curves,0)))</f>
        <v/>
      </c>
      <c r="AE252" s="185" t="e">
        <f aca="false">SQRT((AD252^2*(A252-$D$3)+AC252^2*(DAY(EOMONTH(A252,0))/2))/AK252)</f>
        <v>#VALUE!</v>
      </c>
      <c r="AF252" s="224" t="e">
        <f aca="false">((Summary!$N$8*(AA252*AD252)*(A252-$D$3))+(Summary!$M$8*Z252*AC252*(AJ252-EOMONTH(EDATE(A252,-1),0))))/(AK252*AB252*AE252)</f>
        <v>#VALUE!</v>
      </c>
      <c r="AG252" s="207" t="str">
        <f aca="false">IF($A253="","",Summary!$Q$8)</f>
        <v/>
      </c>
      <c r="AH252" s="207" t="str">
        <f aca="false">IF($A253="","",IF(Summary!$R$8="Y",(VLOOKUP($A252,Summary!$AD$6:$AF$9,3)+'Escalating commodity'!D265),'Escalating commodity'!D265))</f>
        <v/>
      </c>
      <c r="AI252" s="207" t="str">
        <f aca="false">IF($A253="","",AH252)</f>
        <v/>
      </c>
      <c r="AJ252" s="208" t="e">
        <f aca="false">A252+DAY(EOMONTH(A252,0))/2-1</f>
        <v>#VALUE!</v>
      </c>
      <c r="AK252" s="209" t="str">
        <f aca="false">IF($A253="","",$A252-$E$1)</f>
        <v/>
      </c>
      <c r="AL252" s="182" t="str">
        <f aca="false">IF($A253="","",SPRDOPT(P252,X252,AI252,0,AB252,AE252,AF252,AK252,$AJ$2,0))</f>
        <v/>
      </c>
      <c r="AM252" s="211" t="str">
        <f aca="false">IF($A253="","",MAX(0,O252-W252-AI252))</f>
        <v/>
      </c>
      <c r="AN252" s="211" t="str">
        <f aca="false">IF($A253="","",AL252-AM252)</f>
        <v/>
      </c>
      <c r="AO252" s="137" t="str">
        <f aca="false">IF(A253="","",A253-A252)</f>
        <v/>
      </c>
      <c r="AP252" s="212" t="str">
        <f aca="false">IF(A253="","",CHOOSE(F$3,A253+24,A252))</f>
        <v/>
      </c>
      <c r="AQ252" s="209" t="str">
        <f aca="false">IF(A253="","",AP252-$E$1)</f>
        <v/>
      </c>
      <c r="AR252" s="185" t="n">
        <f aca="false">'ANR OK vs ML7'!AR252</f>
        <v>0.1</v>
      </c>
      <c r="AS252" s="213" t="str">
        <f aca="false">IF(A253="","",1/(1+CHOOSE(F$3,(AR253+($I$3/10000))/2,(AR252+($I$3/10000))/2))^(2*AQ252/365.25))</f>
        <v/>
      </c>
      <c r="AT252" s="137" t="str">
        <f aca="false">IF(A253="","",IF(AND(mthbeg&lt;=A252,mthend&gt;=A252),1,0))</f>
        <v/>
      </c>
      <c r="AU252" s="137" t="str">
        <f aca="false">IF(A253="","",AO252*AT252)</f>
        <v/>
      </c>
      <c r="AW252" s="195" t="str">
        <f aca="false">IF($A253="","",AL252*$E252)</f>
        <v/>
      </c>
      <c r="AX252" s="195" t="str">
        <f aca="false">IF($A253="","",AM252*$E252)</f>
        <v/>
      </c>
      <c r="AY252" s="195" t="str">
        <f aca="false">IF($A253="","",AN252*$E252)</f>
        <v/>
      </c>
      <c r="BA252" s="195" t="str">
        <f aca="false">IF($A253="","",F252*Summary!$Q$8)</f>
        <v/>
      </c>
    </row>
    <row r="253" customFormat="false" ht="12" hidden="false" customHeight="true" outlineLevel="0" collapsed="false">
      <c r="A253" s="196" t="str">
        <f aca="false">IF(A252&lt;mthend,EDATE(A252,1),"")</f>
        <v/>
      </c>
      <c r="B253" s="197" t="n">
        <f aca="false">IF(A253&lt;mthend,B252,0)</f>
        <v>0</v>
      </c>
      <c r="C253" s="215"/>
      <c r="D253" s="197" t="str">
        <f aca="false">IF(A254&lt;&gt;"",B253+C253,"")</f>
        <v/>
      </c>
      <c r="E253" s="199" t="str">
        <f aca="false">IF(A254="","",IF(AND(AT253=1,$H$3=1),D253*AO253,IF($H$3=2,D253,"N/A")))</f>
        <v/>
      </c>
      <c r="F253" s="199" t="str">
        <f aca="false">IF(A254="","",E253*AS253)</f>
        <v/>
      </c>
      <c r="G253" s="200" t="str">
        <f aca="false">IF($A254="","",VLOOKUP($A253,Table,MATCH(G$4,Curves,0)))</f>
        <v/>
      </c>
      <c r="H253" s="201" t="str">
        <f aca="false">IF(A254="","",G253)</f>
        <v/>
      </c>
      <c r="I253" s="202"/>
      <c r="J253" s="200" t="str">
        <f aca="false">IF($A254="","",VLOOKUP($A253,Table,MATCH(J$4,Curves,0)))</f>
        <v/>
      </c>
      <c r="K253" s="201" t="str">
        <f aca="false">IF(A254="","",J253)</f>
        <v/>
      </c>
      <c r="L253" s="200" t="str">
        <f aca="false">IF($A254="","",VLOOKUP($A253,Table,MATCH(L$4,Curves,0)))</f>
        <v/>
      </c>
      <c r="M253" s="201" t="str">
        <f aca="false">IF(A254="","",L253)</f>
        <v/>
      </c>
      <c r="N253" s="203"/>
      <c r="O253" s="200" t="str">
        <f aca="false">IF(A254="","",L253+J253+G253)</f>
        <v/>
      </c>
      <c r="P253" s="200" t="str">
        <f aca="false">IF(A254="","",M253+K253+H253)</f>
        <v/>
      </c>
      <c r="Q253" s="204"/>
      <c r="R253" s="200" t="str">
        <f aca="false">IF($A254="","",VLOOKUP($A253,Table,MATCH(R$4,Curves,0)))</f>
        <v/>
      </c>
      <c r="S253" s="201" t="str">
        <f aca="false">IF(A254="","",R253)</f>
        <v/>
      </c>
      <c r="T253" s="200" t="str">
        <f aca="false">IF($A254="","",VLOOKUP($A253,Table,MATCH(T$4,Curves,0)))</f>
        <v/>
      </c>
      <c r="U253" s="201" t="str">
        <f aca="false">IF(A254="","",T253)</f>
        <v/>
      </c>
      <c r="V253" s="183" t="str">
        <f aca="false">IF($A254="","",IF(AND(MONTH(A253)&gt;3,MONTH(A253)&lt;11),(T253+R253+G253)*Summary!$T$8/(1-Summary!$T$8),(T253+R253+G253)*Summary!$U$8/(1-Summary!$U$8)))</f>
        <v/>
      </c>
      <c r="W253" s="200" t="str">
        <f aca="false">IF($A254="","",(T253+R253+G253+V253))</f>
        <v/>
      </c>
      <c r="X253" s="200" t="str">
        <f aca="false">IF($A254="","",(U253+S253+H253+V253))</f>
        <v/>
      </c>
      <c r="Y253" s="202"/>
      <c r="Z253" s="185" t="str">
        <f aca="false">IF($A254="","",VLOOKUP($A253,Table,MATCH(Z$4,Curves,0)))</f>
        <v/>
      </c>
      <c r="AA253" s="185" t="str">
        <f aca="false">IF($A254="","",VLOOKUP($A253,Table,MATCH(AA$4,Curves,0)))</f>
        <v/>
      </c>
      <c r="AB253" s="185" t="e">
        <f aca="false">SQRT((AA253^2*(A253-$D$3)+Z253^2*(DAY(EOMONTH(A253,0))/2))/AK253)</f>
        <v>#VALUE!</v>
      </c>
      <c r="AC253" s="185" t="str">
        <f aca="false">IF($A254="","",VLOOKUP($A253,Table,MATCH(AC$4,Curves,0)))</f>
        <v/>
      </c>
      <c r="AD253" s="185" t="str">
        <f aca="false">IF($A254="","",VLOOKUP($A253,Table,MATCH(AD$4,Curves,0)))</f>
        <v/>
      </c>
      <c r="AE253" s="185" t="e">
        <f aca="false">SQRT((AD253^2*(A253-$D$3)+AC253^2*(DAY(EOMONTH(A253,0))/2))/AK253)</f>
        <v>#VALUE!</v>
      </c>
      <c r="AF253" s="224" t="e">
        <f aca="false">((Summary!$N$8*(AA253*AD253)*(A253-$D$3))+(Summary!$M$8*Z253*AC253*(AJ253-EOMONTH(EDATE(A253,-1),0))))/(AK253*AB253*AE253)</f>
        <v>#VALUE!</v>
      </c>
      <c r="AG253" s="207" t="str">
        <f aca="false">IF($A254="","",Summary!$Q$8)</f>
        <v/>
      </c>
      <c r="AH253" s="207" t="str">
        <f aca="false">IF($A254="","",IF(Summary!$R$8="Y",(VLOOKUP($A253,Summary!$AD$6:$AF$9,3)+'Escalating commodity'!D266),'Escalating commodity'!D266))</f>
        <v/>
      </c>
      <c r="AI253" s="207" t="str">
        <f aca="false">IF($A254="","",AH253)</f>
        <v/>
      </c>
      <c r="AJ253" s="208" t="e">
        <f aca="false">A253+DAY(EOMONTH(A253,0))/2-1</f>
        <v>#VALUE!</v>
      </c>
      <c r="AK253" s="209" t="str">
        <f aca="false">IF($A254="","",$A253-$E$1)</f>
        <v/>
      </c>
      <c r="AL253" s="182" t="str">
        <f aca="false">IF($A254="","",SPRDOPT(P253,X253,AI253,0,AB253,AE253,AF253,AK253,$AJ$2,0))</f>
        <v/>
      </c>
      <c r="AM253" s="211" t="str">
        <f aca="false">IF($A254="","",MAX(0,O253-W253-AI253))</f>
        <v/>
      </c>
      <c r="AN253" s="211" t="str">
        <f aca="false">IF($A254="","",AL253-AM253)</f>
        <v/>
      </c>
      <c r="AO253" s="137" t="str">
        <f aca="false">IF(A254="","",A254-A253)</f>
        <v/>
      </c>
      <c r="AP253" s="212" t="str">
        <f aca="false">IF(A254="","",CHOOSE(F$3,A254+24,A253))</f>
        <v/>
      </c>
      <c r="AQ253" s="209" t="str">
        <f aca="false">IF(A254="","",AP253-$E$1)</f>
        <v/>
      </c>
      <c r="AR253" s="185" t="n">
        <f aca="false">'ANR OK vs ML7'!AR253</f>
        <v>0.1</v>
      </c>
      <c r="AS253" s="213" t="str">
        <f aca="false">IF(A254="","",1/(1+CHOOSE(F$3,(AR254+($I$3/10000))/2,(AR253+($I$3/10000))/2))^(2*AQ253/365.25))</f>
        <v/>
      </c>
      <c r="AT253" s="137" t="str">
        <f aca="false">IF(A254="","",IF(AND(mthbeg&lt;=A253,mthend&gt;=A253),1,0))</f>
        <v/>
      </c>
      <c r="AU253" s="137" t="str">
        <f aca="false">IF(A254="","",AO253*AT253)</f>
        <v/>
      </c>
      <c r="AW253" s="195" t="str">
        <f aca="false">IF($A254="","",AL253*$E253)</f>
        <v/>
      </c>
      <c r="AX253" s="195" t="str">
        <f aca="false">IF($A254="","",AM253*$E253)</f>
        <v/>
      </c>
      <c r="AY253" s="195" t="str">
        <f aca="false">IF($A254="","",AN253*$E253)</f>
        <v/>
      </c>
      <c r="BA253" s="195" t="str">
        <f aca="false">IF($A254="","",F253*Summary!$Q$8)</f>
        <v/>
      </c>
    </row>
    <row r="254" customFormat="false" ht="12" hidden="false" customHeight="true" outlineLevel="0" collapsed="false">
      <c r="A254" s="196" t="str">
        <f aca="false">IF(A253&lt;mthend,EDATE(A253,1),"")</f>
        <v/>
      </c>
      <c r="B254" s="197" t="n">
        <f aca="false">IF(A254&lt;mthend,B253,0)</f>
        <v>0</v>
      </c>
      <c r="C254" s="215"/>
      <c r="D254" s="197" t="str">
        <f aca="false">IF(A255&lt;&gt;"",B254+C254,"")</f>
        <v/>
      </c>
      <c r="E254" s="199" t="str">
        <f aca="false">IF(A255="","",IF(AND(AT254=1,$H$3=1),D254*AO254,IF($H$3=2,D254,"N/A")))</f>
        <v/>
      </c>
      <c r="F254" s="199" t="str">
        <f aca="false">IF(A255="","",E254*AS254)</f>
        <v/>
      </c>
      <c r="G254" s="200" t="str">
        <f aca="false">IF($A255="","",VLOOKUP($A254,Table,MATCH(G$4,Curves,0)))</f>
        <v/>
      </c>
      <c r="H254" s="201" t="str">
        <f aca="false">IF(A255="","",G254)</f>
        <v/>
      </c>
      <c r="I254" s="202"/>
      <c r="J254" s="200" t="str">
        <f aca="false">IF($A255="","",VLOOKUP($A254,Table,MATCH(J$4,Curves,0)))</f>
        <v/>
      </c>
      <c r="K254" s="201" t="str">
        <f aca="false">IF(A255="","",J254)</f>
        <v/>
      </c>
      <c r="L254" s="200" t="str">
        <f aca="false">IF($A255="","",VLOOKUP($A254,Table,MATCH(L$4,Curves,0)))</f>
        <v/>
      </c>
      <c r="M254" s="201" t="str">
        <f aca="false">IF(A255="","",L254)</f>
        <v/>
      </c>
      <c r="N254" s="203"/>
      <c r="O254" s="200" t="str">
        <f aca="false">IF(A255="","",L254+J254+G254)</f>
        <v/>
      </c>
      <c r="P254" s="200" t="str">
        <f aca="false">IF(A255="","",M254+K254+H254)</f>
        <v/>
      </c>
      <c r="Q254" s="204"/>
      <c r="R254" s="200" t="str">
        <f aca="false">IF($A255="","",VLOOKUP($A254,Table,MATCH(R$4,Curves,0)))</f>
        <v/>
      </c>
      <c r="S254" s="201" t="str">
        <f aca="false">IF(A255="","",R254)</f>
        <v/>
      </c>
      <c r="T254" s="200" t="str">
        <f aca="false">IF($A255="","",VLOOKUP($A254,Table,MATCH(T$4,Curves,0)))</f>
        <v/>
      </c>
      <c r="U254" s="201" t="str">
        <f aca="false">IF(A255="","",T254)</f>
        <v/>
      </c>
      <c r="V254" s="183" t="str">
        <f aca="false">IF($A255="","",IF(AND(MONTH(A254)&gt;3,MONTH(A254)&lt;11),(T254+R254+G254)*Summary!$T$8/(1-Summary!$T$8),(T254+R254+G254)*Summary!$U$8/(1-Summary!$U$8)))</f>
        <v/>
      </c>
      <c r="W254" s="200" t="str">
        <f aca="false">IF($A255="","",(T254+R254+G254+V254))</f>
        <v/>
      </c>
      <c r="X254" s="200" t="str">
        <f aca="false">IF($A255="","",(U254+S254+H254+V254))</f>
        <v/>
      </c>
      <c r="Y254" s="202"/>
      <c r="Z254" s="185" t="str">
        <f aca="false">IF($A255="","",VLOOKUP($A254,Table,MATCH(Z$4,Curves,0)))</f>
        <v/>
      </c>
      <c r="AA254" s="185" t="str">
        <f aca="false">IF($A255="","",VLOOKUP($A254,Table,MATCH(AA$4,Curves,0)))</f>
        <v/>
      </c>
      <c r="AB254" s="185" t="e">
        <f aca="false">SQRT((AA254^2*(A254-$D$3)+Z254^2*(DAY(EOMONTH(A254,0))/2))/AK254)</f>
        <v>#VALUE!</v>
      </c>
      <c r="AC254" s="185" t="str">
        <f aca="false">IF($A255="","",VLOOKUP($A254,Table,MATCH(AC$4,Curves,0)))</f>
        <v/>
      </c>
      <c r="AD254" s="185" t="str">
        <f aca="false">IF($A255="","",VLOOKUP($A254,Table,MATCH(AD$4,Curves,0)))</f>
        <v/>
      </c>
      <c r="AE254" s="185" t="e">
        <f aca="false">SQRT((AD254^2*(A254-$D$3)+AC254^2*(DAY(EOMONTH(A254,0))/2))/AK254)</f>
        <v>#VALUE!</v>
      </c>
      <c r="AF254" s="224" t="e">
        <f aca="false">((Summary!$N$8*(AA254*AD254)*(A254-$D$3))+(Summary!$M$8*Z254*AC254*(AJ254-EOMONTH(EDATE(A254,-1),0))))/(AK254*AB254*AE254)</f>
        <v>#VALUE!</v>
      </c>
      <c r="AG254" s="207" t="str">
        <f aca="false">IF($A255="","",Summary!$Q$8)</f>
        <v/>
      </c>
      <c r="AH254" s="207" t="str">
        <f aca="false">IF($A255="","",IF(Summary!$R$8="Y",(VLOOKUP($A254,Summary!$AD$6:$AF$9,3)+'Escalating commodity'!D267),'Escalating commodity'!D267))</f>
        <v/>
      </c>
      <c r="AI254" s="207" t="str">
        <f aca="false">IF($A255="","",AH254)</f>
        <v/>
      </c>
      <c r="AJ254" s="208" t="e">
        <f aca="false">A254+DAY(EOMONTH(A254,0))/2-1</f>
        <v>#VALUE!</v>
      </c>
      <c r="AK254" s="209" t="str">
        <f aca="false">IF($A255="","",$A254-$E$1)</f>
        <v/>
      </c>
      <c r="AL254" s="182" t="str">
        <f aca="false">IF($A255="","",SPRDOPT(P254,X254,AI254,0,AB254,AE254,AF254,AK254,$AJ$2,0))</f>
        <v/>
      </c>
      <c r="AM254" s="211" t="str">
        <f aca="false">IF($A255="","",MAX(0,O254-W254-AI254))</f>
        <v/>
      </c>
      <c r="AN254" s="211" t="str">
        <f aca="false">IF($A255="","",AL254-AM254)</f>
        <v/>
      </c>
      <c r="AO254" s="137" t="str">
        <f aca="false">IF(A255="","",A255-A254)</f>
        <v/>
      </c>
      <c r="AP254" s="212" t="str">
        <f aca="false">IF(A255="","",CHOOSE(F$3,A255+24,A254))</f>
        <v/>
      </c>
      <c r="AQ254" s="209" t="str">
        <f aca="false">IF(A255="","",AP254-$E$1)</f>
        <v/>
      </c>
      <c r="AR254" s="185" t="n">
        <f aca="false">'ANR OK vs ML7'!AR254</f>
        <v>0.1</v>
      </c>
      <c r="AS254" s="213" t="str">
        <f aca="false">IF(A255="","",1/(1+CHOOSE(F$3,(AR255+($I$3/10000))/2,(AR254+($I$3/10000))/2))^(2*AQ254/365.25))</f>
        <v/>
      </c>
      <c r="AT254" s="137" t="str">
        <f aca="false">IF(A255="","",IF(AND(mthbeg&lt;=A254,mthend&gt;=A254),1,0))</f>
        <v/>
      </c>
      <c r="AU254" s="137" t="str">
        <f aca="false">IF(A255="","",AO254*AT254)</f>
        <v/>
      </c>
      <c r="AW254" s="195" t="str">
        <f aca="false">IF($A255="","",AL254*$E254)</f>
        <v/>
      </c>
      <c r="AX254" s="195" t="str">
        <f aca="false">IF($A255="","",AM254*$E254)</f>
        <v/>
      </c>
      <c r="AY254" s="195" t="str">
        <f aca="false">IF($A255="","",AN254*$E254)</f>
        <v/>
      </c>
      <c r="BA254" s="195" t="str">
        <f aca="false">IF($A255="","",F254*Summary!$Q$8)</f>
        <v/>
      </c>
    </row>
    <row r="255" customFormat="false" ht="12" hidden="false" customHeight="true" outlineLevel="0" collapsed="false">
      <c r="A255" s="196" t="str">
        <f aca="false">IF(A254&lt;mthend,EDATE(A254,1),"")</f>
        <v/>
      </c>
      <c r="B255" s="197" t="n">
        <f aca="false">IF(A255&lt;mthend,B254,0)</f>
        <v>0</v>
      </c>
      <c r="C255" s="215"/>
      <c r="D255" s="197" t="str">
        <f aca="false">IF(A256&lt;&gt;"",B255+C255,"")</f>
        <v/>
      </c>
      <c r="E255" s="199" t="str">
        <f aca="false">IF(A256="","",IF(AND(AT255=1,$H$3=1),D255*AO255,IF($H$3=2,D255,"N/A")))</f>
        <v/>
      </c>
      <c r="F255" s="199" t="str">
        <f aca="false">IF(A256="","",E255*AS255)</f>
        <v/>
      </c>
      <c r="G255" s="200" t="str">
        <f aca="false">IF($A256="","",VLOOKUP($A255,Table,MATCH(G$4,Curves,0)))</f>
        <v/>
      </c>
      <c r="H255" s="201" t="str">
        <f aca="false">IF(A256="","",G255)</f>
        <v/>
      </c>
      <c r="I255" s="202"/>
      <c r="J255" s="200" t="str">
        <f aca="false">IF($A256="","",VLOOKUP($A255,Table,MATCH(J$4,Curves,0)))</f>
        <v/>
      </c>
      <c r="K255" s="201" t="str">
        <f aca="false">IF(A256="","",J255)</f>
        <v/>
      </c>
      <c r="L255" s="200" t="str">
        <f aca="false">IF($A256="","",VLOOKUP($A255,Table,MATCH(L$4,Curves,0)))</f>
        <v/>
      </c>
      <c r="M255" s="201" t="str">
        <f aca="false">IF(A256="","",L255)</f>
        <v/>
      </c>
      <c r="N255" s="203"/>
      <c r="O255" s="200" t="str">
        <f aca="false">IF(A256="","",L255+J255+G255)</f>
        <v/>
      </c>
      <c r="P255" s="200" t="str">
        <f aca="false">IF(A256="","",M255+K255+H255)</f>
        <v/>
      </c>
      <c r="Q255" s="204"/>
      <c r="R255" s="200" t="str">
        <f aca="false">IF($A256="","",VLOOKUP($A255,Table,MATCH(R$4,Curves,0)))</f>
        <v/>
      </c>
      <c r="S255" s="201" t="str">
        <f aca="false">IF(A256="","",R255)</f>
        <v/>
      </c>
      <c r="T255" s="200" t="str">
        <f aca="false">IF($A256="","",VLOOKUP($A255,Table,MATCH(T$4,Curves,0)))</f>
        <v/>
      </c>
      <c r="U255" s="201" t="str">
        <f aca="false">IF(A256="","",T255)</f>
        <v/>
      </c>
      <c r="V255" s="183" t="str">
        <f aca="false">IF($A256="","",IF(AND(MONTH(A255)&gt;3,MONTH(A255)&lt;11),(T255+R255+G255)*Summary!$T$8/(1-Summary!$T$8),(T255+R255+G255)*Summary!$U$8/(1-Summary!$U$8)))</f>
        <v/>
      </c>
      <c r="W255" s="200" t="str">
        <f aca="false">IF($A256="","",(T255+R255+G255+V255))</f>
        <v/>
      </c>
      <c r="X255" s="200" t="str">
        <f aca="false">IF($A256="","",(U255+S255+H255+V255))</f>
        <v/>
      </c>
      <c r="Y255" s="202"/>
      <c r="Z255" s="185" t="str">
        <f aca="false">IF($A256="","",VLOOKUP($A255,Table,MATCH(Z$4,Curves,0)))</f>
        <v/>
      </c>
      <c r="AA255" s="185" t="str">
        <f aca="false">IF($A256="","",VLOOKUP($A255,Table,MATCH(AA$4,Curves,0)))</f>
        <v/>
      </c>
      <c r="AB255" s="185" t="e">
        <f aca="false">SQRT((AA255^2*(A255-$D$3)+Z255^2*(DAY(EOMONTH(A255,0))/2))/AK255)</f>
        <v>#VALUE!</v>
      </c>
      <c r="AC255" s="185" t="str">
        <f aca="false">IF($A256="","",VLOOKUP($A255,Table,MATCH(AC$4,Curves,0)))</f>
        <v/>
      </c>
      <c r="AD255" s="185" t="str">
        <f aca="false">IF($A256="","",VLOOKUP($A255,Table,MATCH(AD$4,Curves,0)))</f>
        <v/>
      </c>
      <c r="AE255" s="185" t="e">
        <f aca="false">SQRT((AD255^2*(A255-$D$3)+AC255^2*(DAY(EOMONTH(A255,0))/2))/AK255)</f>
        <v>#VALUE!</v>
      </c>
      <c r="AF255" s="224" t="e">
        <f aca="false">((Summary!$N$8*(AA255*AD255)*(A255-$D$3))+(Summary!$M$8*Z255*AC255*(AJ255-EOMONTH(EDATE(A255,-1),0))))/(AK255*AB255*AE255)</f>
        <v>#VALUE!</v>
      </c>
      <c r="AG255" s="207" t="str">
        <f aca="false">IF($A256="","",Summary!$Q$8)</f>
        <v/>
      </c>
      <c r="AH255" s="207" t="str">
        <f aca="false">IF($A256="","",IF(Summary!$R$8="Y",(VLOOKUP($A255,Summary!$AD$6:$AF$9,3)+'Escalating commodity'!D268),'Escalating commodity'!D268))</f>
        <v/>
      </c>
      <c r="AI255" s="207" t="str">
        <f aca="false">IF($A256="","",AH255)</f>
        <v/>
      </c>
      <c r="AJ255" s="208" t="e">
        <f aca="false">A255+DAY(EOMONTH(A255,0))/2-1</f>
        <v>#VALUE!</v>
      </c>
      <c r="AK255" s="209" t="str">
        <f aca="false">IF($A256="","",$A255-$E$1)</f>
        <v/>
      </c>
      <c r="AL255" s="182" t="str">
        <f aca="false">IF($A256="","",SPRDOPT(P255,X255,AI255,0,AB255,AE255,AF255,AK255,$AJ$2,0))</f>
        <v/>
      </c>
      <c r="AM255" s="211" t="str">
        <f aca="false">IF($A256="","",MAX(0,O255-W255-AI255))</f>
        <v/>
      </c>
      <c r="AN255" s="211" t="str">
        <f aca="false">IF($A256="","",AL255-AM255)</f>
        <v/>
      </c>
      <c r="AO255" s="137" t="str">
        <f aca="false">IF(A256="","",A256-A255)</f>
        <v/>
      </c>
      <c r="AP255" s="212" t="str">
        <f aca="false">IF(A256="","",CHOOSE(F$3,A256+24,A255))</f>
        <v/>
      </c>
      <c r="AQ255" s="209" t="str">
        <f aca="false">IF(A256="","",AP255-$E$1)</f>
        <v/>
      </c>
      <c r="AR255" s="185" t="n">
        <f aca="false">'ANR OK vs ML7'!AR255</f>
        <v>0.1</v>
      </c>
      <c r="AS255" s="213" t="str">
        <f aca="false">IF(A256="","",1/(1+CHOOSE(F$3,(AR256+($I$3/10000))/2,(AR255+($I$3/10000))/2))^(2*AQ255/365.25))</f>
        <v/>
      </c>
      <c r="AT255" s="137" t="str">
        <f aca="false">IF(A256="","",IF(AND(mthbeg&lt;=A255,mthend&gt;=A255),1,0))</f>
        <v/>
      </c>
      <c r="AU255" s="137" t="str">
        <f aca="false">IF(A256="","",AO255*AT255)</f>
        <v/>
      </c>
      <c r="AW255" s="195" t="str">
        <f aca="false">IF($A256="","",AL255*$E255)</f>
        <v/>
      </c>
      <c r="AX255" s="195" t="str">
        <f aca="false">IF($A256="","",AM255*$E255)</f>
        <v/>
      </c>
      <c r="AY255" s="195" t="str">
        <f aca="false">IF($A256="","",AN255*$E255)</f>
        <v/>
      </c>
      <c r="BA255" s="195" t="str">
        <f aca="false">IF($A256="","",F255*Summary!$Q$8)</f>
        <v/>
      </c>
    </row>
    <row r="256" customFormat="false" ht="12" hidden="false" customHeight="true" outlineLevel="0" collapsed="false">
      <c r="A256" s="196" t="str">
        <f aca="false">IF(A255&lt;mthend,EDATE(A255,1),"")</f>
        <v/>
      </c>
      <c r="B256" s="197" t="n">
        <f aca="false">IF(A256&lt;mthend,B255,0)</f>
        <v>0</v>
      </c>
      <c r="C256" s="215"/>
      <c r="D256" s="197" t="str">
        <f aca="false">IF(A257&lt;&gt;"",B256+C256,"")</f>
        <v/>
      </c>
      <c r="E256" s="199" t="str">
        <f aca="false">IF(A257="","",IF(AND(AT256=1,$H$3=1),D256*AO256,IF($H$3=2,D256,"N/A")))</f>
        <v/>
      </c>
      <c r="F256" s="199" t="str">
        <f aca="false">IF(A257="","",E256*AS256)</f>
        <v/>
      </c>
      <c r="G256" s="200" t="str">
        <f aca="false">IF($A257="","",VLOOKUP($A256,Table,MATCH(G$4,Curves,0)))</f>
        <v/>
      </c>
      <c r="H256" s="201" t="str">
        <f aca="false">IF(A257="","",G256)</f>
        <v/>
      </c>
      <c r="I256" s="202"/>
      <c r="J256" s="200" t="str">
        <f aca="false">IF($A257="","",VLOOKUP($A256,Table,MATCH(J$4,Curves,0)))</f>
        <v/>
      </c>
      <c r="K256" s="201" t="str">
        <f aca="false">IF(A257="","",J256)</f>
        <v/>
      </c>
      <c r="L256" s="200" t="str">
        <f aca="false">IF($A257="","",VLOOKUP($A256,Table,MATCH(L$4,Curves,0)))</f>
        <v/>
      </c>
      <c r="M256" s="201" t="str">
        <f aca="false">IF(A257="","",L256)</f>
        <v/>
      </c>
      <c r="N256" s="203"/>
      <c r="O256" s="200" t="str">
        <f aca="false">IF(A257="","",L256+J256+G256)</f>
        <v/>
      </c>
      <c r="P256" s="200" t="str">
        <f aca="false">IF(A257="","",M256+K256+H256)</f>
        <v/>
      </c>
      <c r="Q256" s="204"/>
      <c r="R256" s="200" t="str">
        <f aca="false">IF($A257="","",VLOOKUP($A256,Table,MATCH(R$4,Curves,0)))</f>
        <v/>
      </c>
      <c r="S256" s="201" t="str">
        <f aca="false">IF(A257="","",R256)</f>
        <v/>
      </c>
      <c r="T256" s="200" t="str">
        <f aca="false">IF($A257="","",VLOOKUP($A256,Table,MATCH(T$4,Curves,0)))</f>
        <v/>
      </c>
      <c r="U256" s="201" t="str">
        <f aca="false">IF(A257="","",T256)</f>
        <v/>
      </c>
      <c r="V256" s="183" t="str">
        <f aca="false">IF($A257="","",IF(AND(MONTH(A256)&gt;3,MONTH(A256)&lt;11),(T256+R256+G256)*Summary!$T$8/(1-Summary!$T$8),(T256+R256+G256)*Summary!$U$8/(1-Summary!$U$8)))</f>
        <v/>
      </c>
      <c r="W256" s="200" t="str">
        <f aca="false">IF($A257="","",(T256+R256+G256+V256))</f>
        <v/>
      </c>
      <c r="X256" s="200" t="str">
        <f aca="false">IF($A257="","",(U256+S256+H256+V256))</f>
        <v/>
      </c>
      <c r="Y256" s="202"/>
      <c r="Z256" s="185" t="str">
        <f aca="false">IF($A257="","",VLOOKUP($A256,Table,MATCH(Z$4,Curves,0)))</f>
        <v/>
      </c>
      <c r="AA256" s="185" t="str">
        <f aca="false">IF($A257="","",VLOOKUP($A256,Table,MATCH(AA$4,Curves,0)))</f>
        <v/>
      </c>
      <c r="AB256" s="185" t="e">
        <f aca="false">SQRT((AA256^2*(A256-$D$3)+Z256^2*(DAY(EOMONTH(A256,0))/2))/AK256)</f>
        <v>#VALUE!</v>
      </c>
      <c r="AC256" s="185" t="str">
        <f aca="false">IF($A257="","",VLOOKUP($A256,Table,MATCH(AC$4,Curves,0)))</f>
        <v/>
      </c>
      <c r="AD256" s="185" t="str">
        <f aca="false">IF($A257="","",VLOOKUP($A256,Table,MATCH(AD$4,Curves,0)))</f>
        <v/>
      </c>
      <c r="AE256" s="185" t="e">
        <f aca="false">SQRT((AD256^2*(A256-$D$3)+AC256^2*(DAY(EOMONTH(A256,0))/2))/AK256)</f>
        <v>#VALUE!</v>
      </c>
      <c r="AF256" s="224" t="e">
        <f aca="false">((Summary!$N$8*(AA256*AD256)*(A256-$D$3))+(Summary!$M$8*Z256*AC256*(AJ256-EOMONTH(EDATE(A256,-1),0))))/(AK256*AB256*AE256)</f>
        <v>#VALUE!</v>
      </c>
      <c r="AG256" s="207" t="str">
        <f aca="false">IF($A257="","",Summary!$Q$8)</f>
        <v/>
      </c>
      <c r="AH256" s="207" t="str">
        <f aca="false">IF($A257="","",IF(Summary!$R$8="Y",(VLOOKUP($A256,Summary!$AD$6:$AF$9,3)+'Escalating commodity'!D269),'Escalating commodity'!D269))</f>
        <v/>
      </c>
      <c r="AI256" s="207" t="str">
        <f aca="false">IF($A257="","",AH256)</f>
        <v/>
      </c>
      <c r="AJ256" s="208" t="e">
        <f aca="false">A256+DAY(EOMONTH(A256,0))/2-1</f>
        <v>#VALUE!</v>
      </c>
      <c r="AK256" s="209" t="str">
        <f aca="false">IF($A257="","",$A256-$E$1)</f>
        <v/>
      </c>
      <c r="AL256" s="182" t="str">
        <f aca="false">IF($A257="","",SPRDOPT(P256,X256,AI256,0,AB256,AE256,AF256,AK256,$AJ$2,0))</f>
        <v/>
      </c>
      <c r="AM256" s="211" t="str">
        <f aca="false">IF($A257="","",MAX(0,O256-W256-AI256))</f>
        <v/>
      </c>
      <c r="AN256" s="211" t="str">
        <f aca="false">IF($A257="","",AL256-AM256)</f>
        <v/>
      </c>
      <c r="AO256" s="137" t="str">
        <f aca="false">IF(A257="","",A257-A256)</f>
        <v/>
      </c>
      <c r="AP256" s="212" t="str">
        <f aca="false">IF(A257="","",CHOOSE(F$3,A257+24,A256))</f>
        <v/>
      </c>
      <c r="AQ256" s="209" t="str">
        <f aca="false">IF(A257="","",AP256-$E$1)</f>
        <v/>
      </c>
      <c r="AR256" s="185" t="n">
        <f aca="false">'ANR OK vs ML7'!AR256</f>
        <v>0.1</v>
      </c>
      <c r="AS256" s="213" t="str">
        <f aca="false">IF(A257="","",1/(1+CHOOSE(F$3,(AR257+($I$3/10000))/2,(AR256+($I$3/10000))/2))^(2*AQ256/365.25))</f>
        <v/>
      </c>
      <c r="AT256" s="137" t="str">
        <f aca="false">IF(A257="","",IF(AND(mthbeg&lt;=A256,mthend&gt;=A256),1,0))</f>
        <v/>
      </c>
      <c r="AU256" s="137" t="str">
        <f aca="false">IF(A257="","",AO256*AT256)</f>
        <v/>
      </c>
      <c r="AW256" s="195" t="str">
        <f aca="false">IF($A257="","",AL256*$E256)</f>
        <v/>
      </c>
      <c r="AX256" s="195" t="str">
        <f aca="false">IF($A257="","",AM256*$E256)</f>
        <v/>
      </c>
      <c r="AY256" s="195" t="str">
        <f aca="false">IF($A257="","",AN256*$E256)</f>
        <v/>
      </c>
      <c r="BA256" s="195" t="str">
        <f aca="false">IF($A257="","",F256*Summary!$Q$8)</f>
        <v/>
      </c>
    </row>
    <row r="257" customFormat="false" ht="12" hidden="false" customHeight="true" outlineLevel="0" collapsed="false">
      <c r="A257" s="196" t="str">
        <f aca="false">IF(A256&lt;mthend,EDATE(A256,1),"")</f>
        <v/>
      </c>
      <c r="B257" s="197" t="n">
        <f aca="false">IF(A257&lt;mthend,B256,0)</f>
        <v>0</v>
      </c>
      <c r="C257" s="215"/>
      <c r="D257" s="197" t="str">
        <f aca="false">IF(A258&lt;&gt;"",B257+C257,"")</f>
        <v/>
      </c>
      <c r="E257" s="199" t="str">
        <f aca="false">IF(A258="","",IF(AND(AT257=1,$H$3=1),D257*AO257,IF($H$3=2,D257,"N/A")))</f>
        <v/>
      </c>
      <c r="F257" s="199" t="str">
        <f aca="false">IF(A258="","",E257*AS257)</f>
        <v/>
      </c>
      <c r="G257" s="200" t="str">
        <f aca="false">IF($A258="","",VLOOKUP($A257,Table,MATCH(G$4,Curves,0)))</f>
        <v/>
      </c>
      <c r="H257" s="201" t="str">
        <f aca="false">IF(A258="","",G257)</f>
        <v/>
      </c>
      <c r="I257" s="202"/>
      <c r="J257" s="200" t="str">
        <f aca="false">IF($A258="","",VLOOKUP($A257,Table,MATCH(J$4,Curves,0)))</f>
        <v/>
      </c>
      <c r="K257" s="201" t="str">
        <f aca="false">IF(A258="","",J257)</f>
        <v/>
      </c>
      <c r="L257" s="200" t="str">
        <f aca="false">IF($A258="","",VLOOKUP($A257,Table,MATCH(L$4,Curves,0)))</f>
        <v/>
      </c>
      <c r="M257" s="201" t="str">
        <f aca="false">IF(A258="","",L257)</f>
        <v/>
      </c>
      <c r="N257" s="203"/>
      <c r="O257" s="200" t="str">
        <f aca="false">IF(A258="","",L257+J257+G257)</f>
        <v/>
      </c>
      <c r="P257" s="200" t="str">
        <f aca="false">IF(A258="","",M257+K257+H257)</f>
        <v/>
      </c>
      <c r="Q257" s="204"/>
      <c r="R257" s="200" t="str">
        <f aca="false">IF($A258="","",VLOOKUP($A257,Table,MATCH(R$4,Curves,0)))</f>
        <v/>
      </c>
      <c r="S257" s="201" t="str">
        <f aca="false">IF(A258="","",R257)</f>
        <v/>
      </c>
      <c r="T257" s="200" t="str">
        <f aca="false">IF($A258="","",VLOOKUP($A257,Table,MATCH(T$4,Curves,0)))</f>
        <v/>
      </c>
      <c r="U257" s="201" t="str">
        <f aca="false">IF(A258="","",T257)</f>
        <v/>
      </c>
      <c r="V257" s="183" t="str">
        <f aca="false">IF($A258="","",IF(AND(MONTH(A257)&gt;3,MONTH(A257)&lt;11),(T257+R257+G257)*Summary!$T$8/(1-Summary!$T$8),(T257+R257+G257)*Summary!$U$8/(1-Summary!$U$8)))</f>
        <v/>
      </c>
      <c r="W257" s="200" t="str">
        <f aca="false">IF($A258="","",(T257+R257+G257+V257))</f>
        <v/>
      </c>
      <c r="X257" s="200" t="str">
        <f aca="false">IF($A258="","",(U257+S257+H257+V257))</f>
        <v/>
      </c>
      <c r="Y257" s="202"/>
      <c r="Z257" s="185" t="str">
        <f aca="false">IF($A258="","",VLOOKUP($A257,Table,MATCH(Z$4,Curves,0)))</f>
        <v/>
      </c>
      <c r="AA257" s="185" t="str">
        <f aca="false">IF($A258="","",VLOOKUP($A257,Table,MATCH(AA$4,Curves,0)))</f>
        <v/>
      </c>
      <c r="AB257" s="185" t="e">
        <f aca="false">SQRT((AA257^2*(A257-$D$3)+Z257^2*(DAY(EOMONTH(A257,0))/2))/AK257)</f>
        <v>#VALUE!</v>
      </c>
      <c r="AC257" s="185" t="str">
        <f aca="false">IF($A258="","",VLOOKUP($A257,Table,MATCH(AC$4,Curves,0)))</f>
        <v/>
      </c>
      <c r="AD257" s="185" t="str">
        <f aca="false">IF($A258="","",VLOOKUP($A257,Table,MATCH(AD$4,Curves,0)))</f>
        <v/>
      </c>
      <c r="AE257" s="185" t="e">
        <f aca="false">SQRT((AD257^2*(A257-$D$3)+AC257^2*(DAY(EOMONTH(A257,0))/2))/AK257)</f>
        <v>#VALUE!</v>
      </c>
      <c r="AF257" s="224" t="e">
        <f aca="false">((Summary!$N$8*(AA257*AD257)*(A257-$D$3))+(Summary!$M$8*Z257*AC257*(AJ257-EOMONTH(EDATE(A257,-1),0))))/(AK257*AB257*AE257)</f>
        <v>#VALUE!</v>
      </c>
      <c r="AG257" s="207" t="str">
        <f aca="false">IF($A258="","",Summary!$Q$8)</f>
        <v/>
      </c>
      <c r="AH257" s="207" t="str">
        <f aca="false">IF($A258="","",IF(Summary!$R$8="Y",(VLOOKUP($A257,Summary!$AD$6:$AF$9,3)+'Escalating commodity'!D270),'Escalating commodity'!D270))</f>
        <v/>
      </c>
      <c r="AI257" s="207" t="str">
        <f aca="false">IF($A258="","",AH257)</f>
        <v/>
      </c>
      <c r="AJ257" s="208" t="e">
        <f aca="false">A257+DAY(EOMONTH(A257,0))/2-1</f>
        <v>#VALUE!</v>
      </c>
      <c r="AK257" s="209" t="str">
        <f aca="false">IF($A258="","",$A257-$E$1)</f>
        <v/>
      </c>
      <c r="AL257" s="182" t="str">
        <f aca="false">IF($A258="","",SPRDOPT(P257,X257,AI257,0,AB257,AE257,AF257,AK257,$AJ$2,0))</f>
        <v/>
      </c>
      <c r="AM257" s="211" t="str">
        <f aca="false">IF($A258="","",MAX(0,O257-W257-AI257))</f>
        <v/>
      </c>
      <c r="AN257" s="211" t="str">
        <f aca="false">IF($A258="","",AL257-AM257)</f>
        <v/>
      </c>
      <c r="AO257" s="137" t="str">
        <f aca="false">IF(A258="","",A258-A257)</f>
        <v/>
      </c>
      <c r="AP257" s="212" t="str">
        <f aca="false">IF(A258="","",CHOOSE(F$3,A258+24,A257))</f>
        <v/>
      </c>
      <c r="AQ257" s="209" t="str">
        <f aca="false">IF(A258="","",AP257-$E$1)</f>
        <v/>
      </c>
      <c r="AR257" s="185" t="n">
        <f aca="false">'ANR OK vs ML7'!AR257</f>
        <v>0.1</v>
      </c>
      <c r="AS257" s="213" t="str">
        <f aca="false">IF(A258="","",1/(1+CHOOSE(F$3,(AR258+($I$3/10000))/2,(AR257+($I$3/10000))/2))^(2*AQ257/365.25))</f>
        <v/>
      </c>
      <c r="AT257" s="137" t="str">
        <f aca="false">IF(A258="","",IF(AND(mthbeg&lt;=A257,mthend&gt;=A257),1,0))</f>
        <v/>
      </c>
      <c r="AU257" s="137" t="str">
        <f aca="false">IF(A258="","",AO257*AT257)</f>
        <v/>
      </c>
      <c r="AW257" s="195" t="str">
        <f aca="false">IF($A258="","",AL257*$E257)</f>
        <v/>
      </c>
      <c r="AX257" s="195" t="str">
        <f aca="false">IF($A258="","",AM257*$E257)</f>
        <v/>
      </c>
      <c r="AY257" s="195" t="str">
        <f aca="false">IF($A258="","",AN257*$E257)</f>
        <v/>
      </c>
      <c r="BA257" s="195" t="str">
        <f aca="false">IF($A258="","",F257*Summary!$Q$8)</f>
        <v/>
      </c>
    </row>
    <row r="258" customFormat="false" ht="12" hidden="false" customHeight="true" outlineLevel="0" collapsed="false">
      <c r="A258" s="196" t="str">
        <f aca="false">IF(A257&lt;mthend,EDATE(A257,1),"")</f>
        <v/>
      </c>
      <c r="B258" s="197" t="n">
        <f aca="false">IF(A258&lt;mthend,B257,0)</f>
        <v>0</v>
      </c>
      <c r="C258" s="215"/>
      <c r="D258" s="197" t="str">
        <f aca="false">IF(A259&lt;&gt;"",B258+C258,"")</f>
        <v/>
      </c>
      <c r="E258" s="199" t="str">
        <f aca="false">IF(A259="","",IF(AND(AT258=1,$H$3=1),D258*AO258,IF($H$3=2,D258,"N/A")))</f>
        <v/>
      </c>
      <c r="F258" s="199" t="str">
        <f aca="false">IF(A259="","",E258*AS258)</f>
        <v/>
      </c>
      <c r="G258" s="200" t="str">
        <f aca="false">IF($A259="","",VLOOKUP($A258,Table,MATCH(G$4,Curves,0)))</f>
        <v/>
      </c>
      <c r="H258" s="201" t="str">
        <f aca="false">IF(A259="","",G258)</f>
        <v/>
      </c>
      <c r="I258" s="202"/>
      <c r="J258" s="200" t="str">
        <f aca="false">IF($A259="","",VLOOKUP($A258,Table,MATCH(J$4,Curves,0)))</f>
        <v/>
      </c>
      <c r="K258" s="201" t="str">
        <f aca="false">IF(A259="","",J258)</f>
        <v/>
      </c>
      <c r="L258" s="200" t="str">
        <f aca="false">IF($A259="","",VLOOKUP($A258,Table,MATCH(L$4,Curves,0)))</f>
        <v/>
      </c>
      <c r="M258" s="201" t="str">
        <f aca="false">IF(A259="","",L258)</f>
        <v/>
      </c>
      <c r="N258" s="203"/>
      <c r="O258" s="200" t="str">
        <f aca="false">IF(A259="","",L258+J258+G258)</f>
        <v/>
      </c>
      <c r="P258" s="200" t="str">
        <f aca="false">IF(A259="","",M258+K258+H258)</f>
        <v/>
      </c>
      <c r="Q258" s="204"/>
      <c r="R258" s="200" t="str">
        <f aca="false">IF($A259="","",VLOOKUP($A258,Table,MATCH(R$4,Curves,0)))</f>
        <v/>
      </c>
      <c r="S258" s="201" t="str">
        <f aca="false">IF(A259="","",R258)</f>
        <v/>
      </c>
      <c r="T258" s="200" t="str">
        <f aca="false">IF($A259="","",VLOOKUP($A258,Table,MATCH(T$4,Curves,0)))</f>
        <v/>
      </c>
      <c r="U258" s="201" t="str">
        <f aca="false">IF(A259="","",T258)</f>
        <v/>
      </c>
      <c r="V258" s="183" t="str">
        <f aca="false">IF($A259="","",IF(AND(MONTH(A258)&gt;3,MONTH(A258)&lt;11),(T258+R258+G258)*Summary!$T$8/(1-Summary!$T$8),(T258+R258+G258)*Summary!$U$8/(1-Summary!$U$8)))</f>
        <v/>
      </c>
      <c r="W258" s="200" t="str">
        <f aca="false">IF($A259="","",(T258+R258+G258+V258))</f>
        <v/>
      </c>
      <c r="X258" s="200" t="str">
        <f aca="false">IF($A259="","",(U258+S258+H258+V258))</f>
        <v/>
      </c>
      <c r="Y258" s="202"/>
      <c r="Z258" s="185" t="str">
        <f aca="false">IF($A259="","",VLOOKUP($A258,Table,MATCH(Z$4,Curves,0)))</f>
        <v/>
      </c>
      <c r="AA258" s="185" t="str">
        <f aca="false">IF($A259="","",VLOOKUP($A258,Table,MATCH(AA$4,Curves,0)))</f>
        <v/>
      </c>
      <c r="AB258" s="185" t="e">
        <f aca="false">SQRT((AA258^2*(A258-$D$3)+Z258^2*(DAY(EOMONTH(A258,0))/2))/AK258)</f>
        <v>#VALUE!</v>
      </c>
      <c r="AC258" s="185" t="str">
        <f aca="false">IF($A259="","",VLOOKUP($A258,Table,MATCH(AC$4,Curves,0)))</f>
        <v/>
      </c>
      <c r="AD258" s="185" t="str">
        <f aca="false">IF($A259="","",VLOOKUP($A258,Table,MATCH(AD$4,Curves,0)))</f>
        <v/>
      </c>
      <c r="AE258" s="185" t="e">
        <f aca="false">SQRT((AD258^2*(A258-$D$3)+AC258^2*(DAY(EOMONTH(A258,0))/2))/AK258)</f>
        <v>#VALUE!</v>
      </c>
      <c r="AF258" s="224" t="e">
        <f aca="false">((Summary!$N$8*(AA258*AD258)*(A258-$D$3))+(Summary!$M$8*Z258*AC258*(AJ258-EOMONTH(EDATE(A258,-1),0))))/(AK258*AB258*AE258)</f>
        <v>#VALUE!</v>
      </c>
      <c r="AG258" s="207" t="str">
        <f aca="false">IF($A259="","",Summary!$Q$8)</f>
        <v/>
      </c>
      <c r="AH258" s="207" t="str">
        <f aca="false">IF($A259="","",IF(Summary!$R$8="Y",(VLOOKUP($A258,Summary!$AD$6:$AF$9,3)+'Escalating commodity'!D271),'Escalating commodity'!D271))</f>
        <v/>
      </c>
      <c r="AI258" s="207" t="str">
        <f aca="false">IF($A259="","",AH258)</f>
        <v/>
      </c>
      <c r="AJ258" s="208" t="e">
        <f aca="false">A258+DAY(EOMONTH(A258,0))/2-1</f>
        <v>#VALUE!</v>
      </c>
      <c r="AK258" s="209" t="str">
        <f aca="false">IF($A259="","",$A258-$E$1)</f>
        <v/>
      </c>
      <c r="AL258" s="182" t="str">
        <f aca="false">IF($A259="","",SPRDOPT(P258,X258,AI258,0,AB258,AE258,AF258,AK258,$AJ$2,0))</f>
        <v/>
      </c>
      <c r="AM258" s="211" t="str">
        <f aca="false">IF($A259="","",MAX(0,O258-W258-AI258))</f>
        <v/>
      </c>
      <c r="AN258" s="211" t="str">
        <f aca="false">IF($A259="","",AL258-AM258)</f>
        <v/>
      </c>
      <c r="AO258" s="137" t="str">
        <f aca="false">IF(A259="","",A259-A258)</f>
        <v/>
      </c>
      <c r="AP258" s="212" t="str">
        <f aca="false">IF(A259="","",CHOOSE(F$3,A259+24,A258))</f>
        <v/>
      </c>
      <c r="AQ258" s="209" t="str">
        <f aca="false">IF(A259="","",AP258-$E$1)</f>
        <v/>
      </c>
      <c r="AR258" s="185" t="n">
        <f aca="false">'ANR OK vs ML7'!AR258</f>
        <v>0.1</v>
      </c>
      <c r="AS258" s="213" t="str">
        <f aca="false">IF(A259="","",1/(1+CHOOSE(F$3,(AR259+($I$3/10000))/2,(AR258+($I$3/10000))/2))^(2*AQ258/365.25))</f>
        <v/>
      </c>
      <c r="AT258" s="137" t="str">
        <f aca="false">IF(A259="","",IF(AND(mthbeg&lt;=A258,mthend&gt;=A258),1,0))</f>
        <v/>
      </c>
      <c r="AU258" s="137" t="str">
        <f aca="false">IF(A259="","",AO258*AT258)</f>
        <v/>
      </c>
      <c r="AW258" s="195" t="str">
        <f aca="false">IF($A259="","",AL258*$E258)</f>
        <v/>
      </c>
      <c r="AX258" s="195" t="str">
        <f aca="false">IF($A259="","",AM258*$E258)</f>
        <v/>
      </c>
      <c r="AY258" s="195" t="str">
        <f aca="false">IF($A259="","",AN258*$E258)</f>
        <v/>
      </c>
      <c r="BA258" s="195" t="str">
        <f aca="false">IF($A259="","",F258*Summary!$Q$8)</f>
        <v/>
      </c>
    </row>
    <row r="259" customFormat="false" ht="12" hidden="false" customHeight="true" outlineLevel="0" collapsed="false">
      <c r="A259" s="196" t="str">
        <f aca="false">IF(A258&lt;mthend,EDATE(A258,1),"")</f>
        <v/>
      </c>
      <c r="B259" s="197" t="n">
        <f aca="false">IF(A259&lt;mthend,B258,0)</f>
        <v>0</v>
      </c>
      <c r="C259" s="215"/>
      <c r="D259" s="197" t="str">
        <f aca="false">IF(A260&lt;&gt;"",B259+C259,"")</f>
        <v/>
      </c>
      <c r="E259" s="199" t="str">
        <f aca="false">IF(A260="","",IF(AND(AT259=1,$H$3=1),D259*AO259,IF($H$3=2,D259,"N/A")))</f>
        <v/>
      </c>
      <c r="F259" s="199" t="str">
        <f aca="false">IF(A260="","",E259*AS259)</f>
        <v/>
      </c>
      <c r="G259" s="200" t="str">
        <f aca="false">IF($A260="","",VLOOKUP($A259,Table,MATCH(G$4,Curves,0)))</f>
        <v/>
      </c>
      <c r="H259" s="201" t="str">
        <f aca="false">IF(A260="","",G259)</f>
        <v/>
      </c>
      <c r="I259" s="202"/>
      <c r="J259" s="200" t="str">
        <f aca="false">IF($A260="","",VLOOKUP($A259,Table,MATCH(J$4,Curves,0)))</f>
        <v/>
      </c>
      <c r="K259" s="201" t="str">
        <f aca="false">IF(A260="","",J259)</f>
        <v/>
      </c>
      <c r="L259" s="200" t="str">
        <f aca="false">IF($A260="","",VLOOKUP($A259,Table,MATCH(L$4,Curves,0)))</f>
        <v/>
      </c>
      <c r="M259" s="201" t="str">
        <f aca="false">IF(A260="","",L259)</f>
        <v/>
      </c>
      <c r="N259" s="203"/>
      <c r="O259" s="200" t="str">
        <f aca="false">IF(A260="","",L259+J259+G259)</f>
        <v/>
      </c>
      <c r="P259" s="200" t="str">
        <f aca="false">IF(A260="","",M259+K259+H259)</f>
        <v/>
      </c>
      <c r="Q259" s="204"/>
      <c r="R259" s="200" t="str">
        <f aca="false">IF($A260="","",VLOOKUP($A259,Table,MATCH(R$4,Curves,0)))</f>
        <v/>
      </c>
      <c r="S259" s="201" t="str">
        <f aca="false">IF(A260="","",R259)</f>
        <v/>
      </c>
      <c r="T259" s="200" t="str">
        <f aca="false">IF($A260="","",VLOOKUP($A259,Table,MATCH(T$4,Curves,0)))</f>
        <v/>
      </c>
      <c r="U259" s="201" t="str">
        <f aca="false">IF(A260="","",T259)</f>
        <v/>
      </c>
      <c r="V259" s="183" t="str">
        <f aca="false">IF($A260="","",IF(AND(MONTH(A259)&gt;3,MONTH(A259)&lt;11),(T259+R259+G259)*Summary!$T$8/(1-Summary!$T$8),(T259+R259+G259)*Summary!$U$8/(1-Summary!$U$8)))</f>
        <v/>
      </c>
      <c r="W259" s="200" t="str">
        <f aca="false">IF($A260="","",(T259+R259+G259+V259))</f>
        <v/>
      </c>
      <c r="X259" s="200" t="str">
        <f aca="false">IF($A260="","",(U259+S259+H259+V259))</f>
        <v/>
      </c>
      <c r="Y259" s="202"/>
      <c r="Z259" s="185" t="str">
        <f aca="false">IF($A260="","",VLOOKUP($A259,Table,MATCH(Z$4,Curves,0)))</f>
        <v/>
      </c>
      <c r="AA259" s="185" t="str">
        <f aca="false">IF($A260="","",VLOOKUP($A259,Table,MATCH(AA$4,Curves,0)))</f>
        <v/>
      </c>
      <c r="AB259" s="185" t="e">
        <f aca="false">SQRT((AA259^2*(A259-$D$3)+Z259^2*(DAY(EOMONTH(A259,0))/2))/AK259)</f>
        <v>#VALUE!</v>
      </c>
      <c r="AC259" s="185" t="str">
        <f aca="false">IF($A260="","",VLOOKUP($A259,Table,MATCH(AC$4,Curves,0)))</f>
        <v/>
      </c>
      <c r="AD259" s="185" t="str">
        <f aca="false">IF($A260="","",VLOOKUP($A259,Table,MATCH(AD$4,Curves,0)))</f>
        <v/>
      </c>
      <c r="AE259" s="185" t="e">
        <f aca="false">SQRT((AD259^2*(A259-$D$3)+AC259^2*(DAY(EOMONTH(A259,0))/2))/AK259)</f>
        <v>#VALUE!</v>
      </c>
      <c r="AF259" s="224" t="e">
        <f aca="false">((Summary!$N$8*(AA259*AD259)*(A259-$D$3))+(Summary!$M$8*Z259*AC259*(AJ259-EOMONTH(EDATE(A259,-1),0))))/(AK259*AB259*AE259)</f>
        <v>#VALUE!</v>
      </c>
      <c r="AG259" s="207" t="str">
        <f aca="false">IF($A260="","",Summary!$Q$8)</f>
        <v/>
      </c>
      <c r="AH259" s="207" t="str">
        <f aca="false">IF($A260="","",IF(Summary!$R$8="Y",(VLOOKUP($A259,Summary!$AD$6:$AF$9,3)+'Escalating commodity'!D272),'Escalating commodity'!D272))</f>
        <v/>
      </c>
      <c r="AI259" s="207" t="str">
        <f aca="false">IF($A260="","",AH259)</f>
        <v/>
      </c>
      <c r="AJ259" s="208" t="e">
        <f aca="false">A259+DAY(EOMONTH(A259,0))/2-1</f>
        <v>#VALUE!</v>
      </c>
      <c r="AK259" s="209" t="str">
        <f aca="false">IF($A260="","",$A259-$E$1)</f>
        <v/>
      </c>
      <c r="AL259" s="182" t="str">
        <f aca="false">IF($A260="","",SPRDOPT(P259,X259,AI259,0,AB259,AE259,AF259,AK259,$AJ$2,0))</f>
        <v/>
      </c>
      <c r="AM259" s="211" t="str">
        <f aca="false">IF($A260="","",MAX(0,O259-W259-AI259))</f>
        <v/>
      </c>
      <c r="AN259" s="211" t="str">
        <f aca="false">IF($A260="","",AL259-AM259)</f>
        <v/>
      </c>
      <c r="AO259" s="137" t="str">
        <f aca="false">IF(A260="","",A260-A259)</f>
        <v/>
      </c>
      <c r="AP259" s="212" t="str">
        <f aca="false">IF(A260="","",CHOOSE(F$3,A260+24,A259))</f>
        <v/>
      </c>
      <c r="AQ259" s="209" t="str">
        <f aca="false">IF(A260="","",AP259-$E$1)</f>
        <v/>
      </c>
      <c r="AR259" s="185" t="n">
        <f aca="false">'ANR OK vs ML7'!AR259</f>
        <v>0.1</v>
      </c>
      <c r="AS259" s="213" t="str">
        <f aca="false">IF(A260="","",1/(1+CHOOSE(F$3,(AR260+($I$3/10000))/2,(AR259+($I$3/10000))/2))^(2*AQ259/365.25))</f>
        <v/>
      </c>
      <c r="AT259" s="137" t="str">
        <f aca="false">IF(A260="","",IF(AND(mthbeg&lt;=A259,mthend&gt;=A259),1,0))</f>
        <v/>
      </c>
      <c r="AU259" s="137" t="str">
        <f aca="false">IF(A260="","",AO259*AT259)</f>
        <v/>
      </c>
      <c r="AW259" s="195" t="str">
        <f aca="false">IF($A260="","",AL259*$E259)</f>
        <v/>
      </c>
      <c r="AX259" s="195" t="str">
        <f aca="false">IF($A260="","",AM259*$E259)</f>
        <v/>
      </c>
      <c r="AY259" s="195" t="str">
        <f aca="false">IF($A260="","",AN259*$E259)</f>
        <v/>
      </c>
      <c r="BA259" s="195" t="str">
        <f aca="false">IF($A260="","",F259*Summary!$Q$8)</f>
        <v/>
      </c>
    </row>
    <row r="260" customFormat="false" ht="12" hidden="false" customHeight="true" outlineLevel="0" collapsed="false">
      <c r="A260" s="196" t="str">
        <f aca="false">IF(A259&lt;mthend,EDATE(A259,1),"")</f>
        <v/>
      </c>
      <c r="B260" s="197" t="n">
        <f aca="false">IF(A260&lt;mthend,B259,0)</f>
        <v>0</v>
      </c>
      <c r="C260" s="215"/>
      <c r="D260" s="197" t="str">
        <f aca="false">IF(A261&lt;&gt;"",B260+C260,"")</f>
        <v/>
      </c>
      <c r="E260" s="199" t="str">
        <f aca="false">IF(A261="","",IF(AND(AT260=1,$H$3=1),D260*AO260,IF($H$3=2,D260,"N/A")))</f>
        <v/>
      </c>
      <c r="F260" s="199" t="str">
        <f aca="false">IF(A261="","",E260*AS260)</f>
        <v/>
      </c>
      <c r="G260" s="200" t="str">
        <f aca="false">IF($A261="","",VLOOKUP($A260,Table,MATCH(G$4,Curves,0)))</f>
        <v/>
      </c>
      <c r="H260" s="201" t="str">
        <f aca="false">IF(A261="","",G260)</f>
        <v/>
      </c>
      <c r="I260" s="202"/>
      <c r="J260" s="200" t="str">
        <f aca="false">IF($A261="","",VLOOKUP($A260,Table,MATCH(J$4,Curves,0)))</f>
        <v/>
      </c>
      <c r="K260" s="201" t="str">
        <f aca="false">IF(A261="","",J260)</f>
        <v/>
      </c>
      <c r="L260" s="200" t="str">
        <f aca="false">IF($A261="","",VLOOKUP($A260,Table,MATCH(L$4,Curves,0)))</f>
        <v/>
      </c>
      <c r="M260" s="201" t="str">
        <f aca="false">IF(A261="","",L260)</f>
        <v/>
      </c>
      <c r="N260" s="203"/>
      <c r="O260" s="200" t="str">
        <f aca="false">IF(A261="","",L260+J260+G260)</f>
        <v/>
      </c>
      <c r="P260" s="200" t="str">
        <f aca="false">IF(A261="","",M260+K260+H260)</f>
        <v/>
      </c>
      <c r="Q260" s="204"/>
      <c r="R260" s="200" t="str">
        <f aca="false">IF($A261="","",VLOOKUP($A260,Table,MATCH(R$4,Curves,0)))</f>
        <v/>
      </c>
      <c r="S260" s="201" t="str">
        <f aca="false">IF(A261="","",R260)</f>
        <v/>
      </c>
      <c r="T260" s="200" t="str">
        <f aca="false">IF($A261="","",VLOOKUP($A260,Table,MATCH(T$4,Curves,0)))</f>
        <v/>
      </c>
      <c r="U260" s="201" t="str">
        <f aca="false">IF(A261="","",T260)</f>
        <v/>
      </c>
      <c r="V260" s="183" t="str">
        <f aca="false">IF($A261="","",IF(AND(MONTH(A260)&gt;3,MONTH(A260)&lt;11),(T260+R260+G260)*Summary!$T$8/(1-Summary!$T$8),(T260+R260+G260)*Summary!$U$8/(1-Summary!$U$8)))</f>
        <v/>
      </c>
      <c r="W260" s="200" t="str">
        <f aca="false">IF($A261="","",(T260+R260+G260+V260))</f>
        <v/>
      </c>
      <c r="X260" s="200" t="str">
        <f aca="false">IF($A261="","",(U260+S260+H260+V260))</f>
        <v/>
      </c>
      <c r="Y260" s="202"/>
      <c r="Z260" s="185" t="str">
        <f aca="false">IF($A261="","",VLOOKUP($A260,Table,MATCH(Z$4,Curves,0)))</f>
        <v/>
      </c>
      <c r="AA260" s="185" t="str">
        <f aca="false">IF($A261="","",VLOOKUP($A260,Table,MATCH(AA$4,Curves,0)))</f>
        <v/>
      </c>
      <c r="AB260" s="185" t="e">
        <f aca="false">SQRT((AA260^2*(A260-$D$3)+Z260^2*(DAY(EOMONTH(A260,0))/2))/AK260)</f>
        <v>#VALUE!</v>
      </c>
      <c r="AC260" s="185" t="str">
        <f aca="false">IF($A261="","",VLOOKUP($A260,Table,MATCH(AC$4,Curves,0)))</f>
        <v/>
      </c>
      <c r="AD260" s="185" t="str">
        <f aca="false">IF($A261="","",VLOOKUP($A260,Table,MATCH(AD$4,Curves,0)))</f>
        <v/>
      </c>
      <c r="AE260" s="185" t="e">
        <f aca="false">SQRT((AD260^2*(A260-$D$3)+AC260^2*(DAY(EOMONTH(A260,0))/2))/AK260)</f>
        <v>#VALUE!</v>
      </c>
      <c r="AF260" s="224" t="e">
        <f aca="false">((Summary!$N$8*(AA260*AD260)*(A260-$D$3))+(Summary!$M$8*Z260*AC260*(AJ260-EOMONTH(EDATE(A260,-1),0))))/(AK260*AB260*AE260)</f>
        <v>#VALUE!</v>
      </c>
      <c r="AG260" s="207" t="str">
        <f aca="false">IF($A261="","",Summary!$Q$8)</f>
        <v/>
      </c>
      <c r="AH260" s="207" t="str">
        <f aca="false">IF($A261="","",IF(Summary!$R$8="Y",(VLOOKUP($A260,Summary!$AD$6:$AF$9,3)+'Escalating commodity'!D273),'Escalating commodity'!D273))</f>
        <v/>
      </c>
      <c r="AI260" s="207" t="str">
        <f aca="false">IF($A261="","",AH260)</f>
        <v/>
      </c>
      <c r="AJ260" s="208" t="e">
        <f aca="false">A260+DAY(EOMONTH(A260,0))/2-1</f>
        <v>#VALUE!</v>
      </c>
      <c r="AK260" s="209" t="str">
        <f aca="false">IF($A261="","",$A260-$E$1)</f>
        <v/>
      </c>
      <c r="AL260" s="182" t="str">
        <f aca="false">IF($A261="","",SPRDOPT(P260,X260,AI260,0,AB260,AE260,AF260,AK260,$AJ$2,0))</f>
        <v/>
      </c>
      <c r="AM260" s="211" t="str">
        <f aca="false">IF($A261="","",MAX(0,O260-W260-AI260))</f>
        <v/>
      </c>
      <c r="AN260" s="211" t="str">
        <f aca="false">IF($A261="","",AL260-AM260)</f>
        <v/>
      </c>
      <c r="AO260" s="137" t="str">
        <f aca="false">IF(A261="","",A261-A260)</f>
        <v/>
      </c>
      <c r="AP260" s="212" t="str">
        <f aca="false">IF(A261="","",CHOOSE(F$3,A261+24,A260))</f>
        <v/>
      </c>
      <c r="AQ260" s="209" t="str">
        <f aca="false">IF(A261="","",AP260-$E$1)</f>
        <v/>
      </c>
      <c r="AR260" s="185" t="n">
        <f aca="false">'ANR OK vs ML7'!AR260</f>
        <v>0.1</v>
      </c>
      <c r="AS260" s="213" t="str">
        <f aca="false">IF(A261="","",1/(1+CHOOSE(F$3,(AR261+($I$3/10000))/2,(AR260+($I$3/10000))/2))^(2*AQ260/365.25))</f>
        <v/>
      </c>
      <c r="AT260" s="137" t="str">
        <f aca="false">IF(A261="","",IF(AND(mthbeg&lt;=A260,mthend&gt;=A260),1,0))</f>
        <v/>
      </c>
      <c r="AU260" s="137" t="str">
        <f aca="false">IF(A261="","",AO260*AT260)</f>
        <v/>
      </c>
      <c r="AW260" s="195" t="str">
        <f aca="false">IF($A261="","",AL260*$E260)</f>
        <v/>
      </c>
      <c r="AX260" s="195" t="str">
        <f aca="false">IF($A261="","",AM260*$E260)</f>
        <v/>
      </c>
      <c r="AY260" s="195" t="str">
        <f aca="false">IF($A261="","",AN260*$E260)</f>
        <v/>
      </c>
      <c r="BA260" s="195" t="str">
        <f aca="false">IF($A261="","",F260*Summary!$Q$8)</f>
        <v/>
      </c>
    </row>
    <row r="261" customFormat="false" ht="12" hidden="false" customHeight="true" outlineLevel="0" collapsed="false">
      <c r="A261" s="196" t="str">
        <f aca="false">IF(A260&lt;mthend,EDATE(A260,1),"")</f>
        <v/>
      </c>
      <c r="B261" s="197" t="n">
        <f aca="false">IF(A261&lt;mthend,B260,0)</f>
        <v>0</v>
      </c>
      <c r="C261" s="215"/>
      <c r="D261" s="197" t="str">
        <f aca="false">IF(A262&lt;&gt;"",B261+C261,"")</f>
        <v/>
      </c>
      <c r="E261" s="199" t="str">
        <f aca="false">IF(A262="","",IF(AND(AT261=1,$H$3=1),D261*AO261,IF($H$3=2,D261,"N/A")))</f>
        <v/>
      </c>
      <c r="F261" s="199" t="str">
        <f aca="false">IF(A262="","",E261*AS261)</f>
        <v/>
      </c>
      <c r="G261" s="200" t="str">
        <f aca="false">IF($A262="","",VLOOKUP($A261,Table,MATCH(G$4,Curves,0)))</f>
        <v/>
      </c>
      <c r="H261" s="201" t="str">
        <f aca="false">IF(A262="","",G261)</f>
        <v/>
      </c>
      <c r="I261" s="202"/>
      <c r="J261" s="200" t="str">
        <f aca="false">IF($A262="","",VLOOKUP($A261,Table,MATCH(J$4,Curves,0)))</f>
        <v/>
      </c>
      <c r="K261" s="201" t="str">
        <f aca="false">IF(A262="","",J261)</f>
        <v/>
      </c>
      <c r="L261" s="200" t="str">
        <f aca="false">IF($A262="","",VLOOKUP($A261,Table,MATCH(L$4,Curves,0)))</f>
        <v/>
      </c>
      <c r="M261" s="201" t="str">
        <f aca="false">IF(A262="","",L261)</f>
        <v/>
      </c>
      <c r="N261" s="203"/>
      <c r="O261" s="200" t="str">
        <f aca="false">IF(A262="","",L261+J261+G261)</f>
        <v/>
      </c>
      <c r="P261" s="200" t="str">
        <f aca="false">IF(A262="","",M261+K261+H261)</f>
        <v/>
      </c>
      <c r="Q261" s="204"/>
      <c r="R261" s="200" t="str">
        <f aca="false">IF($A262="","",VLOOKUP($A261,Table,MATCH(R$4,Curves,0)))</f>
        <v/>
      </c>
      <c r="S261" s="201" t="str">
        <f aca="false">IF(A262="","",R261)</f>
        <v/>
      </c>
      <c r="T261" s="200" t="str">
        <f aca="false">IF($A262="","",VLOOKUP($A261,Table,MATCH(T$4,Curves,0)))</f>
        <v/>
      </c>
      <c r="U261" s="201" t="str">
        <f aca="false">IF(A262="","",T261)</f>
        <v/>
      </c>
      <c r="V261" s="183" t="str">
        <f aca="false">IF($A262="","",IF(AND(MONTH(A261)&gt;3,MONTH(A261)&lt;11),(T261+R261+G261)*Summary!$T$8/(1-Summary!$T$8),(T261+R261+G261)*Summary!$U$8/(1-Summary!$U$8)))</f>
        <v/>
      </c>
      <c r="W261" s="200" t="str">
        <f aca="false">IF($A262="","",(T261+R261+G261+V261))</f>
        <v/>
      </c>
      <c r="X261" s="200" t="str">
        <f aca="false">IF($A262="","",(U261+S261+H261+V261))</f>
        <v/>
      </c>
      <c r="Y261" s="202"/>
      <c r="Z261" s="185" t="str">
        <f aca="false">IF($A262="","",VLOOKUP($A261,Table,MATCH(Z$4,Curves,0)))</f>
        <v/>
      </c>
      <c r="AA261" s="185" t="str">
        <f aca="false">IF($A262="","",VLOOKUP($A261,Table,MATCH(AA$4,Curves,0)))</f>
        <v/>
      </c>
      <c r="AB261" s="185" t="e">
        <f aca="false">SQRT((AA261^2*(A261-$D$3)+Z261^2*(DAY(EOMONTH(A261,0))/2))/AK261)</f>
        <v>#VALUE!</v>
      </c>
      <c r="AC261" s="185" t="str">
        <f aca="false">IF($A262="","",VLOOKUP($A261,Table,MATCH(AC$4,Curves,0)))</f>
        <v/>
      </c>
      <c r="AD261" s="185" t="str">
        <f aca="false">IF($A262="","",VLOOKUP($A261,Table,MATCH(AD$4,Curves,0)))</f>
        <v/>
      </c>
      <c r="AE261" s="185" t="e">
        <f aca="false">SQRT((AD261^2*(A261-$D$3)+AC261^2*(DAY(EOMONTH(A261,0))/2))/AK261)</f>
        <v>#VALUE!</v>
      </c>
      <c r="AF261" s="224" t="e">
        <f aca="false">((Summary!$N$8*(AA261*AD261)*(A261-$D$3))+(Summary!$M$8*Z261*AC261*(AJ261-EOMONTH(EDATE(A261,-1),0))))/(AK261*AB261*AE261)</f>
        <v>#VALUE!</v>
      </c>
      <c r="AG261" s="207" t="str">
        <f aca="false">IF($A262="","",Summary!$Q$8)</f>
        <v/>
      </c>
      <c r="AH261" s="207" t="str">
        <f aca="false">IF($A262="","",IF(Summary!$R$8="Y",(VLOOKUP($A261,Summary!$AD$6:$AF$9,3)+'Escalating commodity'!D274),'Escalating commodity'!D274))</f>
        <v/>
      </c>
      <c r="AI261" s="207" t="str">
        <f aca="false">IF($A262="","",AH261)</f>
        <v/>
      </c>
      <c r="AJ261" s="208" t="e">
        <f aca="false">A261+DAY(EOMONTH(A261,0))/2-1</f>
        <v>#VALUE!</v>
      </c>
      <c r="AK261" s="209" t="str">
        <f aca="false">IF($A262="","",$A261-$E$1)</f>
        <v/>
      </c>
      <c r="AL261" s="182" t="str">
        <f aca="false">IF($A262="","",SPRDOPT(P261,X261,AI261,0,AB261,AE261,AF261,AK261,$AJ$2,0))</f>
        <v/>
      </c>
      <c r="AM261" s="211" t="str">
        <f aca="false">IF($A262="","",MAX(0,O261-W261-AI261))</f>
        <v/>
      </c>
      <c r="AN261" s="211" t="str">
        <f aca="false">IF($A262="","",AL261-AM261)</f>
        <v/>
      </c>
      <c r="AO261" s="137" t="str">
        <f aca="false">IF(A262="","",A262-A261)</f>
        <v/>
      </c>
      <c r="AP261" s="212" t="str">
        <f aca="false">IF(A262="","",CHOOSE(F$3,A262+24,A261))</f>
        <v/>
      </c>
      <c r="AQ261" s="209" t="str">
        <f aca="false">IF(A262="","",AP261-$E$1)</f>
        <v/>
      </c>
      <c r="AR261" s="185" t="n">
        <f aca="false">'ANR OK vs ML7'!AR261</f>
        <v>0.1</v>
      </c>
      <c r="AS261" s="213" t="str">
        <f aca="false">IF(A262="","",1/(1+CHOOSE(F$3,(AR262+($I$3/10000))/2,(AR261+($I$3/10000))/2))^(2*AQ261/365.25))</f>
        <v/>
      </c>
      <c r="AT261" s="137" t="str">
        <f aca="false">IF(A262="","",IF(AND(mthbeg&lt;=A261,mthend&gt;=A261),1,0))</f>
        <v/>
      </c>
      <c r="AU261" s="137" t="str">
        <f aca="false">IF(A262="","",AO261*AT261)</f>
        <v/>
      </c>
      <c r="AW261" s="195" t="str">
        <f aca="false">IF($A262="","",AL261*$E261)</f>
        <v/>
      </c>
      <c r="AX261" s="195" t="str">
        <f aca="false">IF($A262="","",AM261*$E261)</f>
        <v/>
      </c>
      <c r="AY261" s="195" t="str">
        <f aca="false">IF($A262="","",AN261*$E261)</f>
        <v/>
      </c>
      <c r="BA261" s="195" t="str">
        <f aca="false">IF($A262="","",F261*Summary!$Q$8)</f>
        <v/>
      </c>
    </row>
    <row r="262" customFormat="false" ht="12" hidden="false" customHeight="true" outlineLevel="0" collapsed="false">
      <c r="A262" s="196" t="str">
        <f aca="false">IF(A261&lt;mthend,EDATE(A261,1),"")</f>
        <v/>
      </c>
      <c r="B262" s="197" t="n">
        <f aca="false">IF(A262&lt;mthend,B261,0)</f>
        <v>0</v>
      </c>
      <c r="C262" s="215"/>
      <c r="D262" s="197" t="str">
        <f aca="false">IF(A263&lt;&gt;"",B262+C262,"")</f>
        <v/>
      </c>
      <c r="E262" s="199" t="str">
        <f aca="false">IF(A263="","",IF(AND(AT262=1,$H$3=1),D262*AO262,IF($H$3=2,D262,"N/A")))</f>
        <v/>
      </c>
      <c r="F262" s="199" t="str">
        <f aca="false">IF(A263="","",E262*AS262)</f>
        <v/>
      </c>
      <c r="G262" s="200" t="str">
        <f aca="false">IF($A263="","",VLOOKUP($A262,Table,MATCH(G$4,Curves,0)))</f>
        <v/>
      </c>
      <c r="H262" s="201" t="str">
        <f aca="false">IF(A263="","",G262)</f>
        <v/>
      </c>
      <c r="I262" s="202"/>
      <c r="J262" s="200" t="str">
        <f aca="false">IF($A263="","",VLOOKUP($A262,Table,MATCH(J$4,Curves,0)))</f>
        <v/>
      </c>
      <c r="K262" s="201" t="str">
        <f aca="false">IF(A263="","",J262)</f>
        <v/>
      </c>
      <c r="L262" s="200" t="str">
        <f aca="false">IF($A263="","",VLOOKUP($A262,Table,MATCH(L$4,Curves,0)))</f>
        <v/>
      </c>
      <c r="M262" s="201" t="str">
        <f aca="false">IF(A263="","",L262)</f>
        <v/>
      </c>
      <c r="N262" s="203"/>
      <c r="O262" s="200" t="str">
        <f aca="false">IF(A263="","",L262+J262+G262)</f>
        <v/>
      </c>
      <c r="P262" s="200" t="str">
        <f aca="false">IF(A263="","",M262+K262+H262)</f>
        <v/>
      </c>
      <c r="Q262" s="204"/>
      <c r="R262" s="200" t="str">
        <f aca="false">IF($A263="","",VLOOKUP($A262,Table,MATCH(R$4,Curves,0)))</f>
        <v/>
      </c>
      <c r="S262" s="201" t="str">
        <f aca="false">IF(A263="","",R262)</f>
        <v/>
      </c>
      <c r="T262" s="200" t="str">
        <f aca="false">IF($A263="","",VLOOKUP($A262,Table,MATCH(T$4,Curves,0)))</f>
        <v/>
      </c>
      <c r="U262" s="201" t="str">
        <f aca="false">IF(A263="","",T262)</f>
        <v/>
      </c>
      <c r="V262" s="183" t="str">
        <f aca="false">IF($A263="","",IF(AND(MONTH(A262)&gt;3,MONTH(A262)&lt;11),(T262+R262+G262)*Summary!$T$8/(1-Summary!$T$8),(T262+R262+G262)*Summary!$U$8/(1-Summary!$U$8)))</f>
        <v/>
      </c>
      <c r="W262" s="200" t="str">
        <f aca="false">IF($A263="","",(T262+R262+G262+V262))</f>
        <v/>
      </c>
      <c r="X262" s="200" t="str">
        <f aca="false">IF($A263="","",(U262+S262+H262+V262))</f>
        <v/>
      </c>
      <c r="Y262" s="202"/>
      <c r="Z262" s="185" t="str">
        <f aca="false">IF($A263="","",VLOOKUP($A262,Table,MATCH(Z$4,Curves,0)))</f>
        <v/>
      </c>
      <c r="AA262" s="185" t="str">
        <f aca="false">IF($A263="","",VLOOKUP($A262,Table,MATCH(AA$4,Curves,0)))</f>
        <v/>
      </c>
      <c r="AB262" s="185" t="e">
        <f aca="false">SQRT((AA262^2*(A262-$D$3)+Z262^2*(DAY(EOMONTH(A262,0))/2))/AK262)</f>
        <v>#VALUE!</v>
      </c>
      <c r="AC262" s="185" t="str">
        <f aca="false">IF($A263="","",VLOOKUP($A262,Table,MATCH(AC$4,Curves,0)))</f>
        <v/>
      </c>
      <c r="AD262" s="185" t="str">
        <f aca="false">IF($A263="","",VLOOKUP($A262,Table,MATCH(AD$4,Curves,0)))</f>
        <v/>
      </c>
      <c r="AE262" s="185" t="e">
        <f aca="false">SQRT((AD262^2*(A262-$D$3)+AC262^2*(DAY(EOMONTH(A262,0))/2))/AK262)</f>
        <v>#VALUE!</v>
      </c>
      <c r="AF262" s="224" t="e">
        <f aca="false">((Summary!$N$8*(AA262*AD262)*(A262-$D$3))+(Summary!$M$8*Z262*AC262*(AJ262-EOMONTH(EDATE(A262,-1),0))))/(AK262*AB262*AE262)</f>
        <v>#VALUE!</v>
      </c>
      <c r="AG262" s="207" t="str">
        <f aca="false">IF($A263="","",Summary!$Q$8)</f>
        <v/>
      </c>
      <c r="AH262" s="207" t="str">
        <f aca="false">IF($A263="","",IF(Summary!$R$8="Y",(VLOOKUP($A262,Summary!$AD$6:$AF$9,3)+'Escalating commodity'!D275),'Escalating commodity'!D275))</f>
        <v/>
      </c>
      <c r="AI262" s="207" t="str">
        <f aca="false">IF($A263="","",AH262)</f>
        <v/>
      </c>
      <c r="AJ262" s="208" t="e">
        <f aca="false">A262+DAY(EOMONTH(A262,0))/2-1</f>
        <v>#VALUE!</v>
      </c>
      <c r="AK262" s="209" t="str">
        <f aca="false">IF($A263="","",$A262-$E$1)</f>
        <v/>
      </c>
      <c r="AL262" s="182" t="str">
        <f aca="false">IF($A263="","",SPRDOPT(P262,X262,AI262,0,AB262,AE262,AF262,AK262,$AJ$2,0))</f>
        <v/>
      </c>
      <c r="AM262" s="211" t="str">
        <f aca="false">IF($A263="","",MAX(0,O262-W262-AI262))</f>
        <v/>
      </c>
      <c r="AN262" s="211" t="str">
        <f aca="false">IF($A263="","",AL262-AM262)</f>
        <v/>
      </c>
      <c r="AO262" s="137" t="str">
        <f aca="false">IF(A263="","",A263-A262)</f>
        <v/>
      </c>
      <c r="AP262" s="212" t="str">
        <f aca="false">IF(A263="","",CHOOSE(F$3,A263+24,A262))</f>
        <v/>
      </c>
      <c r="AQ262" s="209" t="str">
        <f aca="false">IF(A263="","",AP262-$E$1)</f>
        <v/>
      </c>
      <c r="AR262" s="185" t="n">
        <f aca="false">'ANR OK vs ML7'!AR262</f>
        <v>0.1</v>
      </c>
      <c r="AS262" s="213" t="str">
        <f aca="false">IF(A263="","",1/(1+CHOOSE(F$3,(AR263+($I$3/10000))/2,(AR262+($I$3/10000))/2))^(2*AQ262/365.25))</f>
        <v/>
      </c>
      <c r="AT262" s="137" t="str">
        <f aca="false">IF(A263="","",IF(AND(mthbeg&lt;=A262,mthend&gt;=A262),1,0))</f>
        <v/>
      </c>
      <c r="AU262" s="137" t="str">
        <f aca="false">IF(A263="","",AO262*AT262)</f>
        <v/>
      </c>
      <c r="AW262" s="195" t="str">
        <f aca="false">IF($A263="","",AL262*$E262)</f>
        <v/>
      </c>
      <c r="AX262" s="195" t="str">
        <f aca="false">IF($A263="","",AM262*$E262)</f>
        <v/>
      </c>
      <c r="AY262" s="195" t="str">
        <f aca="false">IF($A263="","",AN262*$E262)</f>
        <v/>
      </c>
      <c r="BA262" s="195" t="str">
        <f aca="false">IF($A263="","",F262*Summary!$Q$8)</f>
        <v/>
      </c>
    </row>
    <row r="263" customFormat="false" ht="12" hidden="false" customHeight="true" outlineLevel="0" collapsed="false">
      <c r="A263" s="196" t="str">
        <f aca="false">IF(A262&lt;mthend,EDATE(A262,1),"")</f>
        <v/>
      </c>
      <c r="B263" s="197" t="n">
        <f aca="false">IF(A263&lt;mthend,B262,0)</f>
        <v>0</v>
      </c>
      <c r="C263" s="215"/>
      <c r="D263" s="197" t="str">
        <f aca="false">IF(A264&lt;&gt;"",B263+C263,"")</f>
        <v/>
      </c>
      <c r="E263" s="199" t="str">
        <f aca="false">IF(A264="","",IF(AND(AT263=1,$H$3=1),D263*AO263,IF($H$3=2,D263,"N/A")))</f>
        <v/>
      </c>
      <c r="F263" s="199" t="str">
        <f aca="false">IF(A264="","",E263*AS263)</f>
        <v/>
      </c>
      <c r="G263" s="200" t="str">
        <f aca="false">IF($A264="","",VLOOKUP($A263,Table,MATCH(G$4,Curves,0)))</f>
        <v/>
      </c>
      <c r="H263" s="201" t="str">
        <f aca="false">IF(A264="","",G263)</f>
        <v/>
      </c>
      <c r="I263" s="202"/>
      <c r="J263" s="200" t="str">
        <f aca="false">IF($A264="","",VLOOKUP($A263,Table,MATCH(J$4,Curves,0)))</f>
        <v/>
      </c>
      <c r="K263" s="201" t="str">
        <f aca="false">IF(A264="","",J263)</f>
        <v/>
      </c>
      <c r="L263" s="200" t="str">
        <f aca="false">IF($A264="","",VLOOKUP($A263,Table,MATCH(L$4,Curves,0)))</f>
        <v/>
      </c>
      <c r="M263" s="201" t="str">
        <f aca="false">IF(A264="","",L263)</f>
        <v/>
      </c>
      <c r="N263" s="203"/>
      <c r="O263" s="200" t="str">
        <f aca="false">IF(A264="","",L263+J263+G263)</f>
        <v/>
      </c>
      <c r="P263" s="200" t="str">
        <f aca="false">IF(A264="","",M263+K263+H263)</f>
        <v/>
      </c>
      <c r="Q263" s="204"/>
      <c r="R263" s="200" t="str">
        <f aca="false">IF($A264="","",VLOOKUP($A263,Table,MATCH(R$4,Curves,0)))</f>
        <v/>
      </c>
      <c r="S263" s="201" t="str">
        <f aca="false">IF(A264="","",R263)</f>
        <v/>
      </c>
      <c r="T263" s="200" t="str">
        <f aca="false">IF($A264="","",VLOOKUP($A263,Table,MATCH(T$4,Curves,0)))</f>
        <v/>
      </c>
      <c r="U263" s="201" t="str">
        <f aca="false">IF(A264="","",T263)</f>
        <v/>
      </c>
      <c r="V263" s="183" t="str">
        <f aca="false">IF($A264="","",IF(AND(MONTH(A263)&gt;3,MONTH(A263)&lt;11),(T263+R263+G263)*Summary!$T$8/(1-Summary!$T$8),(T263+R263+G263)*Summary!$U$8/(1-Summary!$U$8)))</f>
        <v/>
      </c>
      <c r="W263" s="200" t="str">
        <f aca="false">IF($A264="","",(T263+R263+G263+V263))</f>
        <v/>
      </c>
      <c r="X263" s="200" t="str">
        <f aca="false">IF($A264="","",(U263+S263+H263+V263))</f>
        <v/>
      </c>
      <c r="Y263" s="202"/>
      <c r="Z263" s="185" t="str">
        <f aca="false">IF($A264="","",VLOOKUP($A263,Table,MATCH(Z$4,Curves,0)))</f>
        <v/>
      </c>
      <c r="AA263" s="185" t="str">
        <f aca="false">IF($A264="","",VLOOKUP($A263,Table,MATCH(AA$4,Curves,0)))</f>
        <v/>
      </c>
      <c r="AB263" s="185" t="e">
        <f aca="false">SQRT((AA263^2*(A263-$D$3)+Z263^2*(DAY(EOMONTH(A263,0))/2))/AK263)</f>
        <v>#VALUE!</v>
      </c>
      <c r="AC263" s="185" t="str">
        <f aca="false">IF($A264="","",VLOOKUP($A263,Table,MATCH(AC$4,Curves,0)))</f>
        <v/>
      </c>
      <c r="AD263" s="185" t="str">
        <f aca="false">IF($A264="","",VLOOKUP($A263,Table,MATCH(AD$4,Curves,0)))</f>
        <v/>
      </c>
      <c r="AE263" s="185" t="e">
        <f aca="false">SQRT((AD263^2*(A263-$D$3)+AC263^2*(DAY(EOMONTH(A263,0))/2))/AK263)</f>
        <v>#VALUE!</v>
      </c>
      <c r="AF263" s="224" t="e">
        <f aca="false">((Summary!$N$8*(AA263*AD263)*(A263-$D$3))+(Summary!$M$8*Z263*AC263*(AJ263-EOMONTH(EDATE(A263,-1),0))))/(AK263*AB263*AE263)</f>
        <v>#VALUE!</v>
      </c>
      <c r="AG263" s="207" t="str">
        <f aca="false">IF($A264="","",Summary!$Q$8)</f>
        <v/>
      </c>
      <c r="AH263" s="207" t="str">
        <f aca="false">IF($A264="","",IF(Summary!$R$8="Y",(VLOOKUP($A263,Summary!$AD$6:$AF$9,3)+'Escalating commodity'!D276),'Escalating commodity'!D276))</f>
        <v/>
      </c>
      <c r="AI263" s="207" t="str">
        <f aca="false">IF($A264="","",AH263)</f>
        <v/>
      </c>
      <c r="AJ263" s="208" t="e">
        <f aca="false">A263+DAY(EOMONTH(A263,0))/2-1</f>
        <v>#VALUE!</v>
      </c>
      <c r="AK263" s="209" t="str">
        <f aca="false">IF($A264="","",$A263-$E$1)</f>
        <v/>
      </c>
      <c r="AL263" s="182" t="str">
        <f aca="false">IF($A264="","",SPRDOPT(P263,X263,AI263,0,AB263,AE263,AF263,AK263,$AJ$2,0))</f>
        <v/>
      </c>
      <c r="AM263" s="211" t="str">
        <f aca="false">IF($A264="","",MAX(0,O263-W263-AI263))</f>
        <v/>
      </c>
      <c r="AN263" s="211" t="str">
        <f aca="false">IF($A264="","",AL263-AM263)</f>
        <v/>
      </c>
      <c r="AO263" s="137" t="str">
        <f aca="false">IF(A264="","",A264-A263)</f>
        <v/>
      </c>
      <c r="AP263" s="212" t="str">
        <f aca="false">IF(A264="","",CHOOSE(F$3,A264+24,A263))</f>
        <v/>
      </c>
      <c r="AQ263" s="209" t="str">
        <f aca="false">IF(A264="","",AP263-$E$1)</f>
        <v/>
      </c>
      <c r="AR263" s="185" t="n">
        <f aca="false">'ANR OK vs ML7'!AR263</f>
        <v>0.1</v>
      </c>
      <c r="AS263" s="213" t="str">
        <f aca="false">IF(A264="","",1/(1+CHOOSE(F$3,(AR264+($I$3/10000))/2,(AR263+($I$3/10000))/2))^(2*AQ263/365.25))</f>
        <v/>
      </c>
      <c r="AT263" s="137" t="str">
        <f aca="false">IF(A264="","",IF(AND(mthbeg&lt;=A263,mthend&gt;=A263),1,0))</f>
        <v/>
      </c>
      <c r="AU263" s="137" t="str">
        <f aca="false">IF(A264="","",AO263*AT263)</f>
        <v/>
      </c>
      <c r="AW263" s="195" t="str">
        <f aca="false">IF($A264="","",AL263*$E263)</f>
        <v/>
      </c>
      <c r="AX263" s="195" t="str">
        <f aca="false">IF($A264="","",AM263*$E263)</f>
        <v/>
      </c>
      <c r="AY263" s="195" t="str">
        <f aca="false">IF($A264="","",AN263*$E263)</f>
        <v/>
      </c>
      <c r="BA263" s="195" t="str">
        <f aca="false">IF($A264="","",F263*Summary!$Q$8)</f>
        <v/>
      </c>
    </row>
    <row r="264" customFormat="false" ht="12" hidden="false" customHeight="true" outlineLevel="0" collapsed="false">
      <c r="A264" s="196" t="str">
        <f aca="false">IF(A263&lt;mthend,EDATE(A263,1),"")</f>
        <v/>
      </c>
      <c r="B264" s="197" t="n">
        <f aca="false">IF(A264&lt;mthend,B263,0)</f>
        <v>0</v>
      </c>
      <c r="C264" s="215"/>
      <c r="D264" s="197" t="str">
        <f aca="false">IF(A265&lt;&gt;"",B264+C264,"")</f>
        <v/>
      </c>
      <c r="E264" s="199" t="str">
        <f aca="false">IF(A265="","",IF(AND(AT264=1,$H$3=1),D264*AO264,IF($H$3=2,D264,"N/A")))</f>
        <v/>
      </c>
      <c r="F264" s="199" t="str">
        <f aca="false">IF(A265="","",E264*AS264)</f>
        <v/>
      </c>
      <c r="G264" s="200" t="str">
        <f aca="false">IF($A265="","",VLOOKUP($A264,Table,MATCH(G$4,Curves,0)))</f>
        <v/>
      </c>
      <c r="H264" s="201" t="str">
        <f aca="false">IF(A265="","",G264)</f>
        <v/>
      </c>
      <c r="I264" s="202"/>
      <c r="J264" s="200" t="str">
        <f aca="false">IF($A265="","",VLOOKUP($A264,Table,MATCH(J$4,Curves,0)))</f>
        <v/>
      </c>
      <c r="K264" s="201" t="str">
        <f aca="false">IF(A265="","",J264)</f>
        <v/>
      </c>
      <c r="L264" s="200" t="str">
        <f aca="false">IF($A265="","",VLOOKUP($A264,Table,MATCH(L$4,Curves,0)))</f>
        <v/>
      </c>
      <c r="M264" s="201" t="str">
        <f aca="false">IF(A265="","",L264)</f>
        <v/>
      </c>
      <c r="N264" s="203"/>
      <c r="O264" s="200" t="str">
        <f aca="false">IF(A265="","",L264+J264+G264)</f>
        <v/>
      </c>
      <c r="P264" s="200" t="str">
        <f aca="false">IF(A265="","",M264+K264+H264)</f>
        <v/>
      </c>
      <c r="Q264" s="204"/>
      <c r="R264" s="200" t="str">
        <f aca="false">IF($A265="","",VLOOKUP($A264,Table,MATCH(R$4,Curves,0)))</f>
        <v/>
      </c>
      <c r="S264" s="201" t="str">
        <f aca="false">IF(A265="","",R264)</f>
        <v/>
      </c>
      <c r="T264" s="200" t="str">
        <f aca="false">IF($A265="","",VLOOKUP($A264,Table,MATCH(T$4,Curves,0)))</f>
        <v/>
      </c>
      <c r="U264" s="201" t="str">
        <f aca="false">IF(A265="","",T264)</f>
        <v/>
      </c>
      <c r="V264" s="183" t="str">
        <f aca="false">IF($A265="","",IF(AND(MONTH(A264)&gt;3,MONTH(A264)&lt;11),(T264+R264+G264)*Summary!$T$8/(1-Summary!$T$8),(T264+R264+G264)*Summary!$U$8/(1-Summary!$U$8)))</f>
        <v/>
      </c>
      <c r="W264" s="200" t="str">
        <f aca="false">IF($A265="","",(T264+R264+G264+V264))</f>
        <v/>
      </c>
      <c r="X264" s="200" t="str">
        <f aca="false">IF($A265="","",(U264+S264+H264+V264))</f>
        <v/>
      </c>
      <c r="Y264" s="202"/>
      <c r="Z264" s="185" t="str">
        <f aca="false">IF($A265="","",VLOOKUP($A264,Table,MATCH(Z$4,Curves,0)))</f>
        <v/>
      </c>
      <c r="AA264" s="185" t="str">
        <f aca="false">IF($A265="","",VLOOKUP($A264,Table,MATCH(AA$4,Curves,0)))</f>
        <v/>
      </c>
      <c r="AB264" s="185" t="e">
        <f aca="false">SQRT((AA264^2*(A264-$D$3)+Z264^2*(DAY(EOMONTH(A264,0))/2))/AK264)</f>
        <v>#VALUE!</v>
      </c>
      <c r="AC264" s="185" t="str">
        <f aca="false">IF($A265="","",VLOOKUP($A264,Table,MATCH(AC$4,Curves,0)))</f>
        <v/>
      </c>
      <c r="AD264" s="185" t="str">
        <f aca="false">IF($A265="","",VLOOKUP($A264,Table,MATCH(AD$4,Curves,0)))</f>
        <v/>
      </c>
      <c r="AE264" s="185" t="e">
        <f aca="false">SQRT((AD264^2*(A264-$D$3)+AC264^2*(DAY(EOMONTH(A264,0))/2))/AK264)</f>
        <v>#VALUE!</v>
      </c>
      <c r="AF264" s="224" t="e">
        <f aca="false">((Summary!$N$8*(AA264*AD264)*(A264-$D$3))+(Summary!$M$8*Z264*AC264*(AJ264-EOMONTH(EDATE(A264,-1),0))))/(AK264*AB264*AE264)</f>
        <v>#VALUE!</v>
      </c>
      <c r="AG264" s="207" t="str">
        <f aca="false">IF($A265="","",Summary!$Q$8)</f>
        <v/>
      </c>
      <c r="AH264" s="207" t="str">
        <f aca="false">IF($A265="","",IF(Summary!$R$8="Y",(VLOOKUP($A264,Summary!$AD$6:$AF$9,3)+'Escalating commodity'!D277),'Escalating commodity'!D277))</f>
        <v/>
      </c>
      <c r="AI264" s="207" t="str">
        <f aca="false">IF($A265="","",AH264)</f>
        <v/>
      </c>
      <c r="AJ264" s="208" t="e">
        <f aca="false">A264+DAY(EOMONTH(A264,0))/2-1</f>
        <v>#VALUE!</v>
      </c>
      <c r="AK264" s="209" t="str">
        <f aca="false">IF($A265="","",$A264-$E$1)</f>
        <v/>
      </c>
      <c r="AL264" s="182" t="str">
        <f aca="false">IF($A265="","",SPRDOPT(P264,X264,AI264,0,AB264,AE264,AF264,AK264,$AJ$2,0))</f>
        <v/>
      </c>
      <c r="AM264" s="211" t="str">
        <f aca="false">IF($A265="","",MAX(0,O264-W264-AI264))</f>
        <v/>
      </c>
      <c r="AN264" s="211" t="str">
        <f aca="false">IF($A265="","",AL264-AM264)</f>
        <v/>
      </c>
      <c r="AO264" s="137" t="str">
        <f aca="false">IF(A265="","",A265-A264)</f>
        <v/>
      </c>
      <c r="AP264" s="212" t="str">
        <f aca="false">IF(A265="","",CHOOSE(F$3,A265+24,A264))</f>
        <v/>
      </c>
      <c r="AQ264" s="209" t="str">
        <f aca="false">IF(A265="","",AP264-$E$1)</f>
        <v/>
      </c>
      <c r="AR264" s="185" t="n">
        <f aca="false">'ANR OK vs ML7'!AR264</f>
        <v>0.1</v>
      </c>
      <c r="AS264" s="213" t="str">
        <f aca="false">IF(A265="","",1/(1+CHOOSE(F$3,(AR265+($I$3/10000))/2,(AR264+($I$3/10000))/2))^(2*AQ264/365.25))</f>
        <v/>
      </c>
      <c r="AT264" s="137" t="str">
        <f aca="false">IF(A265="","",IF(AND(mthbeg&lt;=A264,mthend&gt;=A264),1,0))</f>
        <v/>
      </c>
      <c r="AU264" s="137" t="str">
        <f aca="false">IF(A265="","",AO264*AT264)</f>
        <v/>
      </c>
      <c r="AW264" s="195" t="str">
        <f aca="false">IF($A265="","",AL264*$E264)</f>
        <v/>
      </c>
      <c r="AX264" s="195" t="str">
        <f aca="false">IF($A265="","",AM264*$E264)</f>
        <v/>
      </c>
      <c r="AY264" s="195" t="str">
        <f aca="false">IF($A265="","",AN264*$E264)</f>
        <v/>
      </c>
      <c r="BA264" s="195" t="str">
        <f aca="false">IF($A265="","",F264*Summary!$Q$8)</f>
        <v/>
      </c>
    </row>
    <row r="265" customFormat="false" ht="12" hidden="false" customHeight="true" outlineLevel="0" collapsed="false">
      <c r="A265" s="196" t="str">
        <f aca="false">IF(A264&lt;mthend,EDATE(A264,1),"")</f>
        <v/>
      </c>
      <c r="B265" s="197" t="n">
        <f aca="false">IF(A265&lt;mthend,B264,0)</f>
        <v>0</v>
      </c>
      <c r="C265" s="215"/>
      <c r="D265" s="197" t="str">
        <f aca="false">IF(A266&lt;&gt;"",B265+C265,"")</f>
        <v/>
      </c>
      <c r="E265" s="199" t="str">
        <f aca="false">IF(A266="","",IF(AND(AT265=1,$H$3=1),D265*AO265,IF($H$3=2,D265,"N/A")))</f>
        <v/>
      </c>
      <c r="F265" s="199" t="str">
        <f aca="false">IF(A266="","",E265*AS265)</f>
        <v/>
      </c>
      <c r="G265" s="200" t="str">
        <f aca="false">IF($A266="","",VLOOKUP($A265,Table,MATCH(G$4,Curves,0)))</f>
        <v/>
      </c>
      <c r="H265" s="201" t="str">
        <f aca="false">IF(A266="","",G265)</f>
        <v/>
      </c>
      <c r="I265" s="202"/>
      <c r="J265" s="200" t="str">
        <f aca="false">IF($A266="","",VLOOKUP($A265,Table,MATCH(J$4,Curves,0)))</f>
        <v/>
      </c>
      <c r="K265" s="201" t="str">
        <f aca="false">IF(A266="","",J265)</f>
        <v/>
      </c>
      <c r="L265" s="200" t="str">
        <f aca="false">IF($A266="","",VLOOKUP($A265,Table,MATCH(L$4,Curves,0)))</f>
        <v/>
      </c>
      <c r="M265" s="201" t="str">
        <f aca="false">IF(A266="","",L265)</f>
        <v/>
      </c>
      <c r="N265" s="203"/>
      <c r="O265" s="200" t="str">
        <f aca="false">IF(A266="","",L265+J265+G265)</f>
        <v/>
      </c>
      <c r="P265" s="200" t="str">
        <f aca="false">IF(A266="","",M265+K265+H265)</f>
        <v/>
      </c>
      <c r="Q265" s="204"/>
      <c r="R265" s="200" t="str">
        <f aca="false">IF($A266="","",VLOOKUP($A265,Table,MATCH(R$4,Curves,0)))</f>
        <v/>
      </c>
      <c r="S265" s="201" t="str">
        <f aca="false">IF(A266="","",R265)</f>
        <v/>
      </c>
      <c r="T265" s="200" t="str">
        <f aca="false">IF($A266="","",VLOOKUP($A265,Table,MATCH(T$4,Curves,0)))</f>
        <v/>
      </c>
      <c r="U265" s="201" t="str">
        <f aca="false">IF(A266="","",T265)</f>
        <v/>
      </c>
      <c r="V265" s="183" t="str">
        <f aca="false">IF($A266="","",IF(AND(MONTH(A265)&gt;3,MONTH(A265)&lt;11),(T265+R265+G265)*Summary!$T$8/(1-Summary!$T$8),(T265+R265+G265)*Summary!$U$8/(1-Summary!$U$8)))</f>
        <v/>
      </c>
      <c r="W265" s="200" t="str">
        <f aca="false">IF($A266="","",(T265+R265+G265+V265))</f>
        <v/>
      </c>
      <c r="X265" s="200" t="str">
        <f aca="false">IF($A266="","",(U265+S265+H265+V265))</f>
        <v/>
      </c>
      <c r="Y265" s="202"/>
      <c r="Z265" s="185" t="str">
        <f aca="false">IF($A266="","",VLOOKUP($A265,Table,MATCH(Z$4,Curves,0)))</f>
        <v/>
      </c>
      <c r="AA265" s="185" t="str">
        <f aca="false">IF($A266="","",VLOOKUP($A265,Table,MATCH(AA$4,Curves,0)))</f>
        <v/>
      </c>
      <c r="AB265" s="185" t="e">
        <f aca="false">SQRT((AA265^2*(A265-$D$3)+Z265^2*(DAY(EOMONTH(A265,0))/2))/AK265)</f>
        <v>#VALUE!</v>
      </c>
      <c r="AC265" s="185" t="str">
        <f aca="false">IF($A266="","",VLOOKUP($A265,Table,MATCH(AC$4,Curves,0)))</f>
        <v/>
      </c>
      <c r="AD265" s="185" t="str">
        <f aca="false">IF($A266="","",VLOOKUP($A265,Table,MATCH(AD$4,Curves,0)))</f>
        <v/>
      </c>
      <c r="AE265" s="185" t="e">
        <f aca="false">SQRT((AD265^2*(A265-$D$3)+AC265^2*(DAY(EOMONTH(A265,0))/2))/AK265)</f>
        <v>#VALUE!</v>
      </c>
      <c r="AF265" s="224" t="e">
        <f aca="false">((Summary!$N$8*(AA265*AD265)*(A265-$D$3))+(Summary!$M$8*Z265*AC265*(AJ265-EOMONTH(EDATE(A265,-1),0))))/(AK265*AB265*AE265)</f>
        <v>#VALUE!</v>
      </c>
      <c r="AG265" s="207" t="str">
        <f aca="false">IF($A266="","",Summary!$Q$8)</f>
        <v/>
      </c>
      <c r="AH265" s="207" t="str">
        <f aca="false">IF($A266="","",IF(Summary!$R$8="Y",(VLOOKUP($A265,Summary!$AD$6:$AF$9,3)+'Escalating commodity'!D278),'Escalating commodity'!D278))</f>
        <v/>
      </c>
      <c r="AI265" s="207" t="str">
        <f aca="false">IF($A266="","",AH265)</f>
        <v/>
      </c>
      <c r="AJ265" s="208" t="e">
        <f aca="false">A265+DAY(EOMONTH(A265,0))/2-1</f>
        <v>#VALUE!</v>
      </c>
      <c r="AK265" s="209" t="str">
        <f aca="false">IF($A266="","",$A265-$E$1)</f>
        <v/>
      </c>
      <c r="AL265" s="182" t="str">
        <f aca="false">IF($A266="","",SPRDOPT(P265,X265,AI265,0,AB265,AE265,AF265,AK265,$AJ$2,0))</f>
        <v/>
      </c>
      <c r="AM265" s="211" t="str">
        <f aca="false">IF($A266="","",MAX(0,O265-W265-AI265))</f>
        <v/>
      </c>
      <c r="AN265" s="211" t="str">
        <f aca="false">IF($A266="","",AL265-AM265)</f>
        <v/>
      </c>
      <c r="AO265" s="137" t="str">
        <f aca="false">IF(A266="","",A266-A265)</f>
        <v/>
      </c>
      <c r="AP265" s="212" t="str">
        <f aca="false">IF(A266="","",CHOOSE(F$3,A266+24,A265))</f>
        <v/>
      </c>
      <c r="AQ265" s="209" t="str">
        <f aca="false">IF(A266="","",AP265-$E$1)</f>
        <v/>
      </c>
      <c r="AR265" s="185" t="n">
        <f aca="false">'ANR OK vs ML7'!AR265</f>
        <v>0.1</v>
      </c>
      <c r="AS265" s="213" t="str">
        <f aca="false">IF(A266="","",1/(1+CHOOSE(F$3,(AR266+($I$3/10000))/2,(AR265+($I$3/10000))/2))^(2*AQ265/365.25))</f>
        <v/>
      </c>
      <c r="AT265" s="137" t="str">
        <f aca="false">IF(A266="","",IF(AND(mthbeg&lt;=A265,mthend&gt;=A265),1,0))</f>
        <v/>
      </c>
      <c r="AU265" s="137" t="str">
        <f aca="false">IF(A266="","",AO265*AT265)</f>
        <v/>
      </c>
      <c r="AW265" s="195" t="str">
        <f aca="false">IF($A266="","",AL265*$E265)</f>
        <v/>
      </c>
      <c r="AX265" s="195" t="str">
        <f aca="false">IF($A266="","",AM265*$E265)</f>
        <v/>
      </c>
      <c r="AY265" s="195" t="str">
        <f aca="false">IF($A266="","",AN265*$E265)</f>
        <v/>
      </c>
      <c r="BA265" s="195" t="str">
        <f aca="false">IF($A266="","",F265*Summary!$Q$8)</f>
        <v/>
      </c>
    </row>
    <row r="266" customFormat="false" ht="12" hidden="false" customHeight="true" outlineLevel="0" collapsed="false">
      <c r="A266" s="196" t="str">
        <f aca="false">IF(A265&lt;mthend,EDATE(A265,1),"")</f>
        <v/>
      </c>
      <c r="B266" s="197" t="n">
        <f aca="false">IF(A266&lt;mthend,B265,0)</f>
        <v>0</v>
      </c>
      <c r="C266" s="215"/>
      <c r="D266" s="197" t="str">
        <f aca="false">IF(A267&lt;&gt;"",B266+C266,"")</f>
        <v/>
      </c>
      <c r="E266" s="199" t="str">
        <f aca="false">IF(A267="","",IF(AND(AT266=1,$H$3=1),D266*AO266,IF($H$3=2,D266,"N/A")))</f>
        <v/>
      </c>
      <c r="F266" s="199" t="str">
        <f aca="false">IF(A267="","",E266*AS266)</f>
        <v/>
      </c>
      <c r="G266" s="200" t="str">
        <f aca="false">IF($A267="","",VLOOKUP($A266,Table,MATCH(G$4,Curves,0)))</f>
        <v/>
      </c>
      <c r="H266" s="201" t="str">
        <f aca="false">IF(A267="","",G266)</f>
        <v/>
      </c>
      <c r="I266" s="202"/>
      <c r="J266" s="200" t="str">
        <f aca="false">IF($A267="","",VLOOKUP($A266,Table,MATCH(J$4,Curves,0)))</f>
        <v/>
      </c>
      <c r="K266" s="201" t="str">
        <f aca="false">IF(A267="","",J266)</f>
        <v/>
      </c>
      <c r="L266" s="200" t="str">
        <f aca="false">IF($A267="","",VLOOKUP($A266,Table,MATCH(L$4,Curves,0)))</f>
        <v/>
      </c>
      <c r="M266" s="201" t="str">
        <f aca="false">IF(A267="","",L266)</f>
        <v/>
      </c>
      <c r="N266" s="203"/>
      <c r="O266" s="200" t="str">
        <f aca="false">IF(A267="","",L266+J266+G266)</f>
        <v/>
      </c>
      <c r="P266" s="200" t="str">
        <f aca="false">IF(A267="","",M266+K266+H266)</f>
        <v/>
      </c>
      <c r="Q266" s="204"/>
      <c r="R266" s="200" t="str">
        <f aca="false">IF($A267="","",VLOOKUP($A266,Table,MATCH(R$4,Curves,0)))</f>
        <v/>
      </c>
      <c r="S266" s="201" t="str">
        <f aca="false">IF(A267="","",R266)</f>
        <v/>
      </c>
      <c r="T266" s="200" t="str">
        <f aca="false">IF($A267="","",VLOOKUP($A266,Table,MATCH(T$4,Curves,0)))</f>
        <v/>
      </c>
      <c r="U266" s="201" t="str">
        <f aca="false">IF(A267="","",T266)</f>
        <v/>
      </c>
      <c r="V266" s="183" t="str">
        <f aca="false">IF($A267="","",IF(AND(MONTH(A266)&gt;3,MONTH(A266)&lt;11),(T266+R266+G266)*Summary!$T$8/(1-Summary!$T$8),(T266+R266+G266)*Summary!$U$8/(1-Summary!$U$8)))</f>
        <v/>
      </c>
      <c r="W266" s="200" t="str">
        <f aca="false">IF($A267="","",(T266+R266+G266+V266))</f>
        <v/>
      </c>
      <c r="X266" s="200" t="str">
        <f aca="false">IF($A267="","",(U266+S266+H266+V266))</f>
        <v/>
      </c>
      <c r="Y266" s="202"/>
      <c r="Z266" s="185" t="str">
        <f aca="false">IF($A267="","",VLOOKUP($A266,Table,MATCH(Z$4,Curves,0)))</f>
        <v/>
      </c>
      <c r="AA266" s="185" t="str">
        <f aca="false">IF($A267="","",VLOOKUP($A266,Table,MATCH(AA$4,Curves,0)))</f>
        <v/>
      </c>
      <c r="AB266" s="185" t="e">
        <f aca="false">SQRT((AA266^2*(A266-$D$3)+Z266^2*(DAY(EOMONTH(A266,0))/2))/AK266)</f>
        <v>#VALUE!</v>
      </c>
      <c r="AC266" s="185" t="str">
        <f aca="false">IF($A267="","",VLOOKUP($A266,Table,MATCH(AC$4,Curves,0)))</f>
        <v/>
      </c>
      <c r="AD266" s="185" t="str">
        <f aca="false">IF($A267="","",VLOOKUP($A266,Table,MATCH(AD$4,Curves,0)))</f>
        <v/>
      </c>
      <c r="AE266" s="185" t="e">
        <f aca="false">SQRT((AD266^2*(A266-$D$3)+AC266^2*(DAY(EOMONTH(A266,0))/2))/AK266)</f>
        <v>#VALUE!</v>
      </c>
      <c r="AF266" s="224" t="e">
        <f aca="false">((Summary!$N$8*(AA266*AD266)*(A266-$D$3))+(Summary!$M$8*Z266*AC266*(AJ266-EOMONTH(EDATE(A266,-1),0))))/(AK266*AB266*AE266)</f>
        <v>#VALUE!</v>
      </c>
      <c r="AG266" s="207" t="str">
        <f aca="false">IF($A267="","",Summary!$Q$8)</f>
        <v/>
      </c>
      <c r="AH266" s="207" t="str">
        <f aca="false">IF($A267="","",IF(Summary!$R$8="Y",(VLOOKUP($A266,Summary!$AD$6:$AF$9,3)+'Escalating commodity'!D279),'Escalating commodity'!D279))</f>
        <v/>
      </c>
      <c r="AI266" s="207" t="str">
        <f aca="false">IF($A267="","",AH266)</f>
        <v/>
      </c>
      <c r="AJ266" s="208" t="e">
        <f aca="false">A266+DAY(EOMONTH(A266,0))/2-1</f>
        <v>#VALUE!</v>
      </c>
      <c r="AK266" s="209" t="str">
        <f aca="false">IF($A267="","",$A266-$E$1)</f>
        <v/>
      </c>
      <c r="AL266" s="182" t="str">
        <f aca="false">IF($A267="","",SPRDOPT(P266,X266,AI266,0,AB266,AE266,AF266,AK266,$AJ$2,0))</f>
        <v/>
      </c>
      <c r="AM266" s="211" t="str">
        <f aca="false">IF($A267="","",MAX(0,O266-W266-AI266))</f>
        <v/>
      </c>
      <c r="AN266" s="211" t="str">
        <f aca="false">IF($A267="","",AL266-AM266)</f>
        <v/>
      </c>
      <c r="AO266" s="137" t="str">
        <f aca="false">IF(A267="","",A267-A266)</f>
        <v/>
      </c>
      <c r="AP266" s="212" t="str">
        <f aca="false">IF(A267="","",CHOOSE(F$3,A267+24,A266))</f>
        <v/>
      </c>
      <c r="AQ266" s="209" t="str">
        <f aca="false">IF(A267="","",AP266-$E$1)</f>
        <v/>
      </c>
      <c r="AR266" s="185" t="n">
        <f aca="false">'ANR OK vs ML7'!AR266</f>
        <v>0.1</v>
      </c>
      <c r="AS266" s="213" t="str">
        <f aca="false">IF(A267="","",1/(1+CHOOSE(F$3,(AR267+($I$3/10000))/2,(AR266+($I$3/10000))/2))^(2*AQ266/365.25))</f>
        <v/>
      </c>
      <c r="AT266" s="137" t="str">
        <f aca="false">IF(A267="","",IF(AND(mthbeg&lt;=A266,mthend&gt;=A266),1,0))</f>
        <v/>
      </c>
      <c r="AU266" s="137" t="str">
        <f aca="false">IF(A267="","",AO266*AT266)</f>
        <v/>
      </c>
      <c r="AW266" s="195" t="str">
        <f aca="false">IF($A267="","",AL266*$E266)</f>
        <v/>
      </c>
      <c r="AX266" s="195" t="str">
        <f aca="false">IF($A267="","",AM266*$E266)</f>
        <v/>
      </c>
      <c r="AY266" s="195" t="str">
        <f aca="false">IF($A267="","",AN266*$E266)</f>
        <v/>
      </c>
      <c r="BA266" s="195" t="str">
        <f aca="false">IF($A267="","",F266*Summary!$Q$8)</f>
        <v/>
      </c>
    </row>
    <row r="267" customFormat="false" ht="12" hidden="false" customHeight="true" outlineLevel="0" collapsed="false">
      <c r="A267" s="196" t="str">
        <f aca="false">IF(A266&lt;mthend,EDATE(A266,1),"")</f>
        <v/>
      </c>
      <c r="B267" s="197" t="n">
        <f aca="false">IF(A267&lt;mthend,B266,0)</f>
        <v>0</v>
      </c>
      <c r="C267" s="215"/>
      <c r="D267" s="197" t="str">
        <f aca="false">IF(A268&lt;&gt;"",B267+C267,"")</f>
        <v/>
      </c>
      <c r="E267" s="199" t="str">
        <f aca="false">IF(A268="","",IF(AND(AT267=1,$H$3=1),D267*AO267,IF($H$3=2,D267,"N/A")))</f>
        <v/>
      </c>
      <c r="F267" s="199" t="str">
        <f aca="false">IF(A268="","",E267*AS267)</f>
        <v/>
      </c>
      <c r="G267" s="200" t="str">
        <f aca="false">IF($A268="","",VLOOKUP($A267,Table,MATCH(G$4,Curves,0)))</f>
        <v/>
      </c>
      <c r="H267" s="201" t="str">
        <f aca="false">IF(A268="","",G267)</f>
        <v/>
      </c>
      <c r="I267" s="202"/>
      <c r="J267" s="200" t="str">
        <f aca="false">IF($A268="","",VLOOKUP($A267,Table,MATCH(J$4,Curves,0)))</f>
        <v/>
      </c>
      <c r="K267" s="201" t="str">
        <f aca="false">IF(A268="","",J267)</f>
        <v/>
      </c>
      <c r="L267" s="200" t="str">
        <f aca="false">IF($A268="","",VLOOKUP($A267,Table,MATCH(L$4,Curves,0)))</f>
        <v/>
      </c>
      <c r="M267" s="201" t="str">
        <f aca="false">IF(A268="","",L267)</f>
        <v/>
      </c>
      <c r="N267" s="203"/>
      <c r="O267" s="200" t="str">
        <f aca="false">IF(A268="","",L267+J267+G267)</f>
        <v/>
      </c>
      <c r="P267" s="200" t="str">
        <f aca="false">IF(A268="","",M267+K267+H267)</f>
        <v/>
      </c>
      <c r="Q267" s="204"/>
      <c r="R267" s="200" t="str">
        <f aca="false">IF($A268="","",VLOOKUP($A267,Table,MATCH(R$4,Curves,0)))</f>
        <v/>
      </c>
      <c r="S267" s="201" t="str">
        <f aca="false">IF(A268="","",R267)</f>
        <v/>
      </c>
      <c r="T267" s="200" t="str">
        <f aca="false">IF($A268="","",VLOOKUP($A267,Table,MATCH(T$4,Curves,0)))</f>
        <v/>
      </c>
      <c r="U267" s="201" t="str">
        <f aca="false">IF(A268="","",T267)</f>
        <v/>
      </c>
      <c r="V267" s="183" t="str">
        <f aca="false">IF($A268="","",IF(AND(MONTH(A267)&gt;3,MONTH(A267)&lt;11),(T267+R267+G267)*Summary!$T$8/(1-Summary!$T$8),(T267+R267+G267)*Summary!$U$8/(1-Summary!$U$8)))</f>
        <v/>
      </c>
      <c r="W267" s="200" t="str">
        <f aca="false">IF($A268="","",(T267+R267+G267+V267))</f>
        <v/>
      </c>
      <c r="X267" s="200" t="str">
        <f aca="false">IF($A268="","",(U267+S267+H267+V267))</f>
        <v/>
      </c>
      <c r="Y267" s="202"/>
      <c r="Z267" s="185" t="str">
        <f aca="false">IF($A268="","",VLOOKUP($A267,Table,MATCH(Z$4,Curves,0)))</f>
        <v/>
      </c>
      <c r="AA267" s="185" t="str">
        <f aca="false">IF($A268="","",VLOOKUP($A267,Table,MATCH(AA$4,Curves,0)))</f>
        <v/>
      </c>
      <c r="AB267" s="185" t="e">
        <f aca="false">SQRT((AA267^2*(A267-$D$3)+Z267^2*(DAY(EOMONTH(A267,0))/2))/AK267)</f>
        <v>#VALUE!</v>
      </c>
      <c r="AC267" s="185" t="str">
        <f aca="false">IF($A268="","",VLOOKUP($A267,Table,MATCH(AC$4,Curves,0)))</f>
        <v/>
      </c>
      <c r="AD267" s="185" t="str">
        <f aca="false">IF($A268="","",VLOOKUP($A267,Table,MATCH(AD$4,Curves,0)))</f>
        <v/>
      </c>
      <c r="AE267" s="185" t="e">
        <f aca="false">SQRT((AD267^2*(A267-$D$3)+AC267^2*(DAY(EOMONTH(A267,0))/2))/AK267)</f>
        <v>#VALUE!</v>
      </c>
      <c r="AF267" s="224" t="e">
        <f aca="false">((Summary!$N$8*(AA267*AD267)*(A267-$D$3))+(Summary!$M$8*Z267*AC267*(AJ267-EOMONTH(EDATE(A267,-1),0))))/(AK267*AB267*AE267)</f>
        <v>#VALUE!</v>
      </c>
      <c r="AG267" s="207" t="str">
        <f aca="false">IF($A268="","",Summary!$Q$8)</f>
        <v/>
      </c>
      <c r="AH267" s="207" t="str">
        <f aca="false">IF($A268="","",IF(Summary!$R$8="Y",(VLOOKUP($A267,Summary!$AD$6:$AF$9,3)+'Escalating commodity'!D280),'Escalating commodity'!D280))</f>
        <v/>
      </c>
      <c r="AI267" s="207" t="str">
        <f aca="false">IF($A268="","",AH267)</f>
        <v/>
      </c>
      <c r="AJ267" s="208" t="e">
        <f aca="false">A267+DAY(EOMONTH(A267,0))/2-1</f>
        <v>#VALUE!</v>
      </c>
      <c r="AK267" s="209" t="str">
        <f aca="false">IF($A268="","",$A267-$E$1)</f>
        <v/>
      </c>
      <c r="AL267" s="182" t="str">
        <f aca="false">IF($A268="","",SPRDOPT(P267,X267,AI267,0,AB267,AE267,AF267,AK267,$AJ$2,0))</f>
        <v/>
      </c>
      <c r="AM267" s="211" t="str">
        <f aca="false">IF($A268="","",MAX(0,O267-W267-AI267))</f>
        <v/>
      </c>
      <c r="AN267" s="211" t="str">
        <f aca="false">IF($A268="","",AL267-AM267)</f>
        <v/>
      </c>
      <c r="AO267" s="137" t="str">
        <f aca="false">IF(A268="","",A268-A267)</f>
        <v/>
      </c>
      <c r="AP267" s="212" t="str">
        <f aca="false">IF(A268="","",CHOOSE(F$3,A268+24,A267))</f>
        <v/>
      </c>
      <c r="AQ267" s="209" t="str">
        <f aca="false">IF(A268="","",AP267-$E$1)</f>
        <v/>
      </c>
      <c r="AR267" s="185" t="n">
        <f aca="false">'ANR OK vs ML7'!AR267</f>
        <v>0.1</v>
      </c>
      <c r="AS267" s="213" t="str">
        <f aca="false">IF(A268="","",1/(1+CHOOSE(F$3,(AR268+($I$3/10000))/2,(AR267+($I$3/10000))/2))^(2*AQ267/365.25))</f>
        <v/>
      </c>
      <c r="AT267" s="137" t="str">
        <f aca="false">IF(A268="","",IF(AND(mthbeg&lt;=A267,mthend&gt;=A267),1,0))</f>
        <v/>
      </c>
      <c r="AU267" s="137" t="str">
        <f aca="false">IF(A268="","",AO267*AT267)</f>
        <v/>
      </c>
      <c r="AW267" s="195" t="str">
        <f aca="false">IF($A268="","",AL267*$E267)</f>
        <v/>
      </c>
      <c r="AX267" s="195" t="str">
        <f aca="false">IF($A268="","",AM267*$E267)</f>
        <v/>
      </c>
      <c r="AY267" s="195" t="str">
        <f aca="false">IF($A268="","",AN267*$E267)</f>
        <v/>
      </c>
      <c r="BA267" s="195" t="str">
        <f aca="false">IF($A268="","",F267*Summary!$Q$8)</f>
        <v/>
      </c>
    </row>
    <row r="268" customFormat="false" ht="12" hidden="false" customHeight="true" outlineLevel="0" collapsed="false">
      <c r="A268" s="196" t="str">
        <f aca="false">IF(A267&lt;mthend,EDATE(A267,1),"")</f>
        <v/>
      </c>
      <c r="B268" s="197" t="n">
        <f aca="false">IF(A268&lt;mthend,B267,0)</f>
        <v>0</v>
      </c>
      <c r="C268" s="215"/>
      <c r="D268" s="197" t="str">
        <f aca="false">IF(A269&lt;&gt;"",B268+C268,"")</f>
        <v/>
      </c>
      <c r="E268" s="199" t="str">
        <f aca="false">IF(A269="","",IF(AND(AT268=1,$H$3=1),D268*AO268,IF($H$3=2,D268,"N/A")))</f>
        <v/>
      </c>
      <c r="F268" s="199" t="str">
        <f aca="false">IF(A269="","",E268*AS268)</f>
        <v/>
      </c>
      <c r="G268" s="200" t="str">
        <f aca="false">IF($A269="","",VLOOKUP($A268,Table,MATCH(G$4,Curves,0)))</f>
        <v/>
      </c>
      <c r="H268" s="201" t="str">
        <f aca="false">IF(A269="","",G268)</f>
        <v/>
      </c>
      <c r="I268" s="202"/>
      <c r="J268" s="200" t="str">
        <f aca="false">IF($A269="","",VLOOKUP($A268,Table,MATCH(J$4,Curves,0)))</f>
        <v/>
      </c>
      <c r="K268" s="201" t="str">
        <f aca="false">IF(A269="","",J268)</f>
        <v/>
      </c>
      <c r="L268" s="200" t="str">
        <f aca="false">IF($A269="","",VLOOKUP($A268,Table,MATCH(L$4,Curves,0)))</f>
        <v/>
      </c>
      <c r="M268" s="201" t="str">
        <f aca="false">IF(A269="","",L268)</f>
        <v/>
      </c>
      <c r="N268" s="203"/>
      <c r="O268" s="200" t="str">
        <f aca="false">IF(A269="","",L268+J268+G268)</f>
        <v/>
      </c>
      <c r="P268" s="200" t="str">
        <f aca="false">IF(A269="","",M268+K268+H268)</f>
        <v/>
      </c>
      <c r="Q268" s="204"/>
      <c r="R268" s="200" t="str">
        <f aca="false">IF($A269="","",VLOOKUP($A268,Table,MATCH(R$4,Curves,0)))</f>
        <v/>
      </c>
      <c r="S268" s="201" t="str">
        <f aca="false">IF(A269="","",R268)</f>
        <v/>
      </c>
      <c r="T268" s="200" t="str">
        <f aca="false">IF($A269="","",VLOOKUP($A268,Table,MATCH(T$4,Curves,0)))</f>
        <v/>
      </c>
      <c r="U268" s="201" t="str">
        <f aca="false">IF(A269="","",T268)</f>
        <v/>
      </c>
      <c r="V268" s="183" t="str">
        <f aca="false">IF($A269="","",IF(AND(MONTH(A268)&gt;3,MONTH(A268)&lt;11),(T268+R268+G268)*Summary!$T$8/(1-Summary!$T$8),(T268+R268+G268)*Summary!$U$8/(1-Summary!$U$8)))</f>
        <v/>
      </c>
      <c r="W268" s="200" t="str">
        <f aca="false">IF($A269="","",(T268+R268+G268+V268))</f>
        <v/>
      </c>
      <c r="X268" s="200" t="str">
        <f aca="false">IF($A269="","",(U268+S268+H268+V268))</f>
        <v/>
      </c>
      <c r="Y268" s="202"/>
      <c r="Z268" s="185" t="str">
        <f aca="false">IF($A269="","",VLOOKUP($A268,Table,MATCH(Z$4,Curves,0)))</f>
        <v/>
      </c>
      <c r="AA268" s="185" t="str">
        <f aca="false">IF($A269="","",VLOOKUP($A268,Table,MATCH(AA$4,Curves,0)))</f>
        <v/>
      </c>
      <c r="AB268" s="185" t="e">
        <f aca="false">SQRT((AA268^2*(A268-$D$3)+Z268^2*(DAY(EOMONTH(A268,0))/2))/AK268)</f>
        <v>#VALUE!</v>
      </c>
      <c r="AC268" s="185" t="str">
        <f aca="false">IF($A269="","",VLOOKUP($A268,Table,MATCH(AC$4,Curves,0)))</f>
        <v/>
      </c>
      <c r="AD268" s="185" t="str">
        <f aca="false">IF($A269="","",VLOOKUP($A268,Table,MATCH(AD$4,Curves,0)))</f>
        <v/>
      </c>
      <c r="AE268" s="185" t="e">
        <f aca="false">SQRT((AD268^2*(A268-$D$3)+AC268^2*(DAY(EOMONTH(A268,0))/2))/AK268)</f>
        <v>#VALUE!</v>
      </c>
      <c r="AF268" s="224" t="e">
        <f aca="false">((Summary!$N$8*(AA268*AD268)*(A268-$D$3))+(Summary!$M$8*Z268*AC268*(AJ268-EOMONTH(EDATE(A268,-1),0))))/(AK268*AB268*AE268)</f>
        <v>#VALUE!</v>
      </c>
      <c r="AG268" s="207" t="str">
        <f aca="false">IF($A269="","",Summary!$Q$8)</f>
        <v/>
      </c>
      <c r="AH268" s="207" t="str">
        <f aca="false">IF($A269="","",IF(Summary!$R$8="Y",(VLOOKUP($A268,Summary!$AD$6:$AF$9,3)+'Escalating commodity'!D281),'Escalating commodity'!D281))</f>
        <v/>
      </c>
      <c r="AI268" s="207" t="str">
        <f aca="false">IF($A269="","",AH268)</f>
        <v/>
      </c>
      <c r="AJ268" s="208" t="e">
        <f aca="false">A268+DAY(EOMONTH(A268,0))/2-1</f>
        <v>#VALUE!</v>
      </c>
      <c r="AK268" s="209" t="str">
        <f aca="false">IF($A269="","",$A268-$E$1)</f>
        <v/>
      </c>
      <c r="AL268" s="182" t="str">
        <f aca="false">IF($A269="","",SPRDOPT(P268,X268,AI268,0,AB268,AE268,AF268,AK268,$AJ$2,0))</f>
        <v/>
      </c>
      <c r="AM268" s="211" t="str">
        <f aca="false">IF($A269="","",MAX(0,O268-W268-AI268))</f>
        <v/>
      </c>
      <c r="AN268" s="211" t="str">
        <f aca="false">IF($A269="","",AL268-AM268)</f>
        <v/>
      </c>
      <c r="AO268" s="137" t="str">
        <f aca="false">IF(A269="","",A269-A268)</f>
        <v/>
      </c>
      <c r="AP268" s="212" t="str">
        <f aca="false">IF(A269="","",CHOOSE(F$3,A269+24,A268))</f>
        <v/>
      </c>
      <c r="AQ268" s="209" t="str">
        <f aca="false">IF(A269="","",AP268-$E$1)</f>
        <v/>
      </c>
      <c r="AR268" s="185" t="n">
        <f aca="false">'ANR OK vs ML7'!AR268</f>
        <v>0.1</v>
      </c>
      <c r="AS268" s="213" t="str">
        <f aca="false">IF(A269="","",1/(1+CHOOSE(F$3,(AR269+($I$3/10000))/2,(AR268+($I$3/10000))/2))^(2*AQ268/365.25))</f>
        <v/>
      </c>
      <c r="AT268" s="137" t="str">
        <f aca="false">IF(A269="","",IF(AND(mthbeg&lt;=A268,mthend&gt;=A268),1,0))</f>
        <v/>
      </c>
      <c r="AU268" s="137" t="str">
        <f aca="false">IF(A269="","",AO268*AT268)</f>
        <v/>
      </c>
      <c r="AW268" s="195" t="str">
        <f aca="false">IF($A269="","",AL268*$E268)</f>
        <v/>
      </c>
      <c r="AX268" s="195" t="str">
        <f aca="false">IF($A269="","",AM268*$E268)</f>
        <v/>
      </c>
      <c r="AY268" s="195" t="str">
        <f aca="false">IF($A269="","",AN268*$E268)</f>
        <v/>
      </c>
      <c r="BA268" s="195" t="str">
        <f aca="false">IF($A269="","",F268*Summary!$Q$8)</f>
        <v/>
      </c>
    </row>
    <row r="269" customFormat="false" ht="12" hidden="false" customHeight="true" outlineLevel="0" collapsed="false">
      <c r="A269" s="196" t="str">
        <f aca="false">IF(A268&lt;mthend,EDATE(A268,1),"")</f>
        <v/>
      </c>
      <c r="B269" s="197" t="n">
        <f aca="false">IF(A269&lt;mthend,B268,0)</f>
        <v>0</v>
      </c>
      <c r="C269" s="215"/>
      <c r="D269" s="197" t="str">
        <f aca="false">IF(A270&lt;&gt;"",B269+C269,"")</f>
        <v/>
      </c>
      <c r="E269" s="199" t="str">
        <f aca="false">IF(A270="","",IF(AND(AT269=1,$H$3=1),D269*AO269,IF($H$3=2,D269,"N/A")))</f>
        <v/>
      </c>
      <c r="F269" s="199" t="str">
        <f aca="false">IF(A270="","",E269*AS269)</f>
        <v/>
      </c>
      <c r="G269" s="200" t="str">
        <f aca="false">IF($A270="","",VLOOKUP($A269,Table,MATCH(G$4,Curves,0)))</f>
        <v/>
      </c>
      <c r="H269" s="201" t="str">
        <f aca="false">IF(A270="","",G269)</f>
        <v/>
      </c>
      <c r="I269" s="202"/>
      <c r="J269" s="200" t="str">
        <f aca="false">IF($A270="","",VLOOKUP($A269,Table,MATCH(J$4,Curves,0)))</f>
        <v/>
      </c>
      <c r="K269" s="201" t="str">
        <f aca="false">IF(A270="","",J269)</f>
        <v/>
      </c>
      <c r="L269" s="200" t="str">
        <f aca="false">IF($A270="","",VLOOKUP($A269,Table,MATCH(L$4,Curves,0)))</f>
        <v/>
      </c>
      <c r="M269" s="201" t="str">
        <f aca="false">IF(A270="","",L269)</f>
        <v/>
      </c>
      <c r="N269" s="203"/>
      <c r="O269" s="200" t="str">
        <f aca="false">IF(A270="","",L269+J269+G269)</f>
        <v/>
      </c>
      <c r="P269" s="200" t="str">
        <f aca="false">IF(A270="","",M269+K269+H269)</f>
        <v/>
      </c>
      <c r="Q269" s="204"/>
      <c r="R269" s="200" t="str">
        <f aca="false">IF($A270="","",VLOOKUP($A269,Table,MATCH(R$4,Curves,0)))</f>
        <v/>
      </c>
      <c r="S269" s="201" t="str">
        <f aca="false">IF(A270="","",R269)</f>
        <v/>
      </c>
      <c r="T269" s="200" t="str">
        <f aca="false">IF($A270="","",VLOOKUP($A269,Table,MATCH(T$4,Curves,0)))</f>
        <v/>
      </c>
      <c r="U269" s="201" t="str">
        <f aca="false">IF(A270="","",T269)</f>
        <v/>
      </c>
      <c r="V269" s="183" t="str">
        <f aca="false">IF($A270="","",IF(AND(MONTH(A269)&gt;3,MONTH(A269)&lt;11),(T269+R269+G269)*Summary!$T$8/(1-Summary!$T$8),(T269+R269+G269)*Summary!$U$8/(1-Summary!$U$8)))</f>
        <v/>
      </c>
      <c r="W269" s="200" t="str">
        <f aca="false">IF($A270="","",(T269+R269+G269+V269))</f>
        <v/>
      </c>
      <c r="X269" s="200" t="str">
        <f aca="false">IF($A270="","",(U269+S269+H269+V269))</f>
        <v/>
      </c>
      <c r="Y269" s="202"/>
      <c r="Z269" s="185" t="str">
        <f aca="false">IF($A270="","",VLOOKUP($A269,Table,MATCH(Z$4,Curves,0)))</f>
        <v/>
      </c>
      <c r="AA269" s="185" t="str">
        <f aca="false">IF($A270="","",VLOOKUP($A269,Table,MATCH(AA$4,Curves,0)))</f>
        <v/>
      </c>
      <c r="AB269" s="185" t="e">
        <f aca="false">SQRT((AA269^2*(A269-$D$3)+Z269^2*(DAY(EOMONTH(A269,0))/2))/AK269)</f>
        <v>#VALUE!</v>
      </c>
      <c r="AC269" s="185" t="str">
        <f aca="false">IF($A270="","",VLOOKUP($A269,Table,MATCH(AC$4,Curves,0)))</f>
        <v/>
      </c>
      <c r="AD269" s="185" t="str">
        <f aca="false">IF($A270="","",VLOOKUP($A269,Table,MATCH(AD$4,Curves,0)))</f>
        <v/>
      </c>
      <c r="AE269" s="185" t="e">
        <f aca="false">SQRT((AD269^2*(A269-$D$3)+AC269^2*(DAY(EOMONTH(A269,0))/2))/AK269)</f>
        <v>#VALUE!</v>
      </c>
      <c r="AF269" s="224" t="e">
        <f aca="false">((Summary!$N$8*(AA269*AD269)*(A269-$D$3))+(Summary!$M$8*Z269*AC269*(AJ269-EOMONTH(EDATE(A269,-1),0))))/(AK269*AB269*AE269)</f>
        <v>#VALUE!</v>
      </c>
      <c r="AG269" s="207" t="str">
        <f aca="false">IF($A270="","",Summary!$Q$8)</f>
        <v/>
      </c>
      <c r="AH269" s="207" t="str">
        <f aca="false">IF($A270="","",IF(Summary!$R$8="Y",(VLOOKUP($A269,Summary!$AD$6:$AF$9,3)+'Escalating commodity'!D282),'Escalating commodity'!D282))</f>
        <v/>
      </c>
      <c r="AI269" s="207" t="str">
        <f aca="false">IF($A270="","",AH269)</f>
        <v/>
      </c>
      <c r="AJ269" s="208" t="e">
        <f aca="false">A269+DAY(EOMONTH(A269,0))/2-1</f>
        <v>#VALUE!</v>
      </c>
      <c r="AK269" s="209" t="str">
        <f aca="false">IF($A270="","",$A269-$E$1)</f>
        <v/>
      </c>
      <c r="AL269" s="182" t="str">
        <f aca="false">IF($A270="","",SPRDOPT(P269,X269,AI269,0,AB269,AE269,AF269,AK269,$AJ$2,0))</f>
        <v/>
      </c>
      <c r="AM269" s="211" t="str">
        <f aca="false">IF($A270="","",MAX(0,O269-W269-AI269))</f>
        <v/>
      </c>
      <c r="AN269" s="211" t="str">
        <f aca="false">IF($A270="","",AL269-AM269)</f>
        <v/>
      </c>
      <c r="AO269" s="137" t="str">
        <f aca="false">IF(A270="","",A270-A269)</f>
        <v/>
      </c>
      <c r="AP269" s="212" t="str">
        <f aca="false">IF(A270="","",CHOOSE(F$3,A270+24,A269))</f>
        <v/>
      </c>
      <c r="AQ269" s="209" t="str">
        <f aca="false">IF(A270="","",AP269-$E$1)</f>
        <v/>
      </c>
      <c r="AR269" s="185" t="n">
        <f aca="false">'ANR OK vs ML7'!AR269</f>
        <v>0.1</v>
      </c>
      <c r="AS269" s="213" t="str">
        <f aca="false">IF(A270="","",1/(1+CHOOSE(F$3,(AR270+($I$3/10000))/2,(AR269+($I$3/10000))/2))^(2*AQ269/365.25))</f>
        <v/>
      </c>
      <c r="AT269" s="137" t="str">
        <f aca="false">IF(A270="","",IF(AND(mthbeg&lt;=A269,mthend&gt;=A269),1,0))</f>
        <v/>
      </c>
      <c r="AU269" s="137" t="str">
        <f aca="false">IF(A270="","",AO269*AT269)</f>
        <v/>
      </c>
      <c r="AW269" s="195" t="str">
        <f aca="false">IF($A270="","",AL269*$E269)</f>
        <v/>
      </c>
      <c r="AX269" s="195" t="str">
        <f aca="false">IF($A270="","",AM269*$E269)</f>
        <v/>
      </c>
      <c r="AY269" s="195" t="str">
        <f aca="false">IF($A270="","",AN269*$E269)</f>
        <v/>
      </c>
      <c r="BA269" s="195" t="str">
        <f aca="false">IF($A270="","",F269*Summary!$Q$8)</f>
        <v/>
      </c>
    </row>
    <row r="270" customFormat="false" ht="12" hidden="false" customHeight="true" outlineLevel="0" collapsed="false">
      <c r="A270" s="196" t="str">
        <f aca="false">IF(A269&lt;mthend,EDATE(A269,1),"")</f>
        <v/>
      </c>
      <c r="B270" s="197" t="n">
        <f aca="false">IF(A270&lt;mthend,B269,0)</f>
        <v>0</v>
      </c>
      <c r="C270" s="215"/>
      <c r="D270" s="197" t="str">
        <f aca="false">IF(A271&lt;&gt;"",B270+C270,"")</f>
        <v/>
      </c>
      <c r="E270" s="199" t="str">
        <f aca="false">IF(A271="","",IF(AND(AT270=1,$H$3=1),D270*AO270,IF($H$3=2,D270,"N/A")))</f>
        <v/>
      </c>
      <c r="F270" s="199" t="str">
        <f aca="false">IF(A271="","",E270*AS270)</f>
        <v/>
      </c>
      <c r="G270" s="200" t="str">
        <f aca="false">IF($A271="","",VLOOKUP($A270,Table,MATCH(G$4,Curves,0)))</f>
        <v/>
      </c>
      <c r="H270" s="201" t="str">
        <f aca="false">IF(A271="","",G270)</f>
        <v/>
      </c>
      <c r="I270" s="202"/>
      <c r="J270" s="200" t="str">
        <f aca="false">IF($A271="","",VLOOKUP($A270,Table,MATCH(J$4,Curves,0)))</f>
        <v/>
      </c>
      <c r="K270" s="201" t="str">
        <f aca="false">IF(A271="","",J270)</f>
        <v/>
      </c>
      <c r="L270" s="200" t="str">
        <f aca="false">IF($A271="","",VLOOKUP($A270,Table,MATCH(L$4,Curves,0)))</f>
        <v/>
      </c>
      <c r="M270" s="201" t="str">
        <f aca="false">IF(A271="","",L270)</f>
        <v/>
      </c>
      <c r="N270" s="203"/>
      <c r="O270" s="200" t="str">
        <f aca="false">IF(A271="","",L270+J270+G270)</f>
        <v/>
      </c>
      <c r="P270" s="200" t="str">
        <f aca="false">IF(A271="","",M270+K270+H270)</f>
        <v/>
      </c>
      <c r="Q270" s="204"/>
      <c r="R270" s="200" t="str">
        <f aca="false">IF($A271="","",VLOOKUP($A270,Table,MATCH(R$4,Curves,0)))</f>
        <v/>
      </c>
      <c r="S270" s="201" t="str">
        <f aca="false">IF(A271="","",R270)</f>
        <v/>
      </c>
      <c r="T270" s="200" t="str">
        <f aca="false">IF($A271="","",VLOOKUP($A270,Table,MATCH(T$4,Curves,0)))</f>
        <v/>
      </c>
      <c r="U270" s="201" t="str">
        <f aca="false">IF(A271="","",T270)</f>
        <v/>
      </c>
      <c r="V270" s="183" t="str">
        <f aca="false">IF($A271="","",IF(AND(MONTH(A270)&gt;3,MONTH(A270)&lt;11),(T270+R270+G270)*Summary!$T$8/(1-Summary!$T$8),(T270+R270+G270)*Summary!$U$8/(1-Summary!$U$8)))</f>
        <v/>
      </c>
      <c r="W270" s="200" t="str">
        <f aca="false">IF($A271="","",(T270+R270+G270+V270))</f>
        <v/>
      </c>
      <c r="X270" s="200" t="str">
        <f aca="false">IF($A271="","",(U270+S270+H270+V270))</f>
        <v/>
      </c>
      <c r="Y270" s="202"/>
      <c r="Z270" s="185" t="str">
        <f aca="false">IF($A271="","",VLOOKUP($A270,Table,MATCH(Z$4,Curves,0)))</f>
        <v/>
      </c>
      <c r="AA270" s="185" t="str">
        <f aca="false">IF($A271="","",VLOOKUP($A270,Table,MATCH(AA$4,Curves,0)))</f>
        <v/>
      </c>
      <c r="AB270" s="185" t="e">
        <f aca="false">SQRT((AA270^2*(A270-$D$3)+Z270^2*(DAY(EOMONTH(A270,0))/2))/AK270)</f>
        <v>#VALUE!</v>
      </c>
      <c r="AC270" s="185" t="str">
        <f aca="false">IF($A271="","",VLOOKUP($A270,Table,MATCH(AC$4,Curves,0)))</f>
        <v/>
      </c>
      <c r="AD270" s="185" t="str">
        <f aca="false">IF($A271="","",VLOOKUP($A270,Table,MATCH(AD$4,Curves,0)))</f>
        <v/>
      </c>
      <c r="AE270" s="185" t="e">
        <f aca="false">SQRT((AD270^2*(A270-$D$3)+AC270^2*(DAY(EOMONTH(A270,0))/2))/AK270)</f>
        <v>#VALUE!</v>
      </c>
      <c r="AF270" s="224" t="e">
        <f aca="false">((Summary!$N$8*(AA270*AD270)*(A270-$D$3))+(Summary!$M$8*Z270*AC270*(AJ270-EOMONTH(EDATE(A270,-1),0))))/(AK270*AB270*AE270)</f>
        <v>#VALUE!</v>
      </c>
      <c r="AG270" s="207" t="str">
        <f aca="false">IF($A271="","",Summary!$Q$8)</f>
        <v/>
      </c>
      <c r="AH270" s="207" t="str">
        <f aca="false">IF($A271="","",IF(Summary!$R$8="Y",(VLOOKUP($A270,Summary!$AD$6:$AF$9,3)+'Escalating commodity'!D283),'Escalating commodity'!D283))</f>
        <v/>
      </c>
      <c r="AI270" s="207" t="str">
        <f aca="false">IF($A271="","",AH270)</f>
        <v/>
      </c>
      <c r="AJ270" s="208" t="e">
        <f aca="false">A270+DAY(EOMONTH(A270,0))/2-1</f>
        <v>#VALUE!</v>
      </c>
      <c r="AK270" s="209" t="str">
        <f aca="false">IF($A271="","",$A270-$E$1)</f>
        <v/>
      </c>
      <c r="AL270" s="182" t="str">
        <f aca="false">IF($A271="","",SPRDOPT(P270,X270,AI270,0,AB270,AE270,AF270,AK270,$AJ$2,0))</f>
        <v/>
      </c>
      <c r="AM270" s="211" t="str">
        <f aca="false">IF($A271="","",MAX(0,O270-W270-AI270))</f>
        <v/>
      </c>
      <c r="AN270" s="211" t="str">
        <f aca="false">IF($A271="","",AL270-AM270)</f>
        <v/>
      </c>
      <c r="AO270" s="137" t="str">
        <f aca="false">IF(A271="","",A271-A270)</f>
        <v/>
      </c>
      <c r="AP270" s="212" t="str">
        <f aca="false">IF(A271="","",CHOOSE(F$3,A271+24,A270))</f>
        <v/>
      </c>
      <c r="AQ270" s="209" t="str">
        <f aca="false">IF(A271="","",AP270-$E$1)</f>
        <v/>
      </c>
      <c r="AR270" s="185" t="n">
        <f aca="false">'ANR OK vs ML7'!AR270</f>
        <v>0.1</v>
      </c>
      <c r="AS270" s="213" t="str">
        <f aca="false">IF(A271="","",1/(1+CHOOSE(F$3,(AR271+($I$3/10000))/2,(AR270+($I$3/10000))/2))^(2*AQ270/365.25))</f>
        <v/>
      </c>
      <c r="AT270" s="137" t="str">
        <f aca="false">IF(A271="","",IF(AND(mthbeg&lt;=A270,mthend&gt;=A270),1,0))</f>
        <v/>
      </c>
      <c r="AU270" s="137" t="str">
        <f aca="false">IF(A271="","",AO270*AT270)</f>
        <v/>
      </c>
      <c r="AW270" s="195" t="str">
        <f aca="false">IF($A271="","",AL270*$E270)</f>
        <v/>
      </c>
      <c r="AX270" s="195" t="str">
        <f aca="false">IF($A271="","",AM270*$E270)</f>
        <v/>
      </c>
      <c r="AY270" s="195" t="str">
        <f aca="false">IF($A271="","",AN270*$E270)</f>
        <v/>
      </c>
      <c r="BA270" s="195" t="str">
        <f aca="false">IF($A271="","",F270*Summary!$Q$8)</f>
        <v/>
      </c>
    </row>
    <row r="271" customFormat="false" ht="12" hidden="false" customHeight="true" outlineLevel="0" collapsed="false">
      <c r="A271" s="196" t="str">
        <f aca="false">IF(A270&lt;mthend,EDATE(A270,1),"")</f>
        <v/>
      </c>
      <c r="B271" s="197" t="n">
        <f aca="false">IF(A271&lt;mthend,B270,0)</f>
        <v>0</v>
      </c>
      <c r="C271" s="215"/>
      <c r="D271" s="197" t="str">
        <f aca="false">IF(A272&lt;&gt;"",B271+C271,"")</f>
        <v/>
      </c>
      <c r="E271" s="199" t="str">
        <f aca="false">IF(A272="","",IF(AND(AT271=1,$H$3=1),D271*AO271,IF($H$3=2,D271,"N/A")))</f>
        <v/>
      </c>
      <c r="F271" s="199" t="str">
        <f aca="false">IF(A272="","",E271*AS271)</f>
        <v/>
      </c>
      <c r="G271" s="200" t="str">
        <f aca="false">IF($A272="","",VLOOKUP($A271,Table,MATCH(G$4,Curves,0)))</f>
        <v/>
      </c>
      <c r="H271" s="201" t="str">
        <f aca="false">IF(A272="","",G271)</f>
        <v/>
      </c>
      <c r="I271" s="202"/>
      <c r="J271" s="200" t="str">
        <f aca="false">IF($A272="","",VLOOKUP($A271,Table,MATCH(J$4,Curves,0)))</f>
        <v/>
      </c>
      <c r="K271" s="201" t="str">
        <f aca="false">IF(A272="","",J271)</f>
        <v/>
      </c>
      <c r="L271" s="200" t="str">
        <f aca="false">IF($A272="","",VLOOKUP($A271,Table,MATCH(L$4,Curves,0)))</f>
        <v/>
      </c>
      <c r="M271" s="201" t="str">
        <f aca="false">IF(A272="","",L271)</f>
        <v/>
      </c>
      <c r="N271" s="203"/>
      <c r="O271" s="200" t="str">
        <f aca="false">IF(A272="","",L271+J271+G271)</f>
        <v/>
      </c>
      <c r="P271" s="200" t="str">
        <f aca="false">IF(A272="","",M271+K271+H271)</f>
        <v/>
      </c>
      <c r="Q271" s="204"/>
      <c r="R271" s="200" t="str">
        <f aca="false">IF($A272="","",VLOOKUP($A271,Table,MATCH(R$4,Curves,0)))</f>
        <v/>
      </c>
      <c r="S271" s="201" t="str">
        <f aca="false">IF(A272="","",R271)</f>
        <v/>
      </c>
      <c r="T271" s="200" t="str">
        <f aca="false">IF($A272="","",VLOOKUP($A271,Table,MATCH(T$4,Curves,0)))</f>
        <v/>
      </c>
      <c r="U271" s="201" t="str">
        <f aca="false">IF(A272="","",T271)</f>
        <v/>
      </c>
      <c r="V271" s="183" t="str">
        <f aca="false">IF($A272="","",IF(AND(MONTH(A271)&gt;3,MONTH(A271)&lt;11),(T271+R271+G271)*Summary!$T$8/(1-Summary!$T$8),(T271+R271+G271)*Summary!$U$8/(1-Summary!$U$8)))</f>
        <v/>
      </c>
      <c r="W271" s="200" t="str">
        <f aca="false">IF($A272="","",(T271+R271+G271+V271))</f>
        <v/>
      </c>
      <c r="X271" s="200" t="str">
        <f aca="false">IF($A272="","",(U271+S271+H271+V271))</f>
        <v/>
      </c>
      <c r="Y271" s="202"/>
      <c r="Z271" s="185" t="str">
        <f aca="false">IF($A272="","",VLOOKUP($A271,Table,MATCH(Z$4,Curves,0)))</f>
        <v/>
      </c>
      <c r="AA271" s="185" t="str">
        <f aca="false">IF($A272="","",VLOOKUP($A271,Table,MATCH(AA$4,Curves,0)))</f>
        <v/>
      </c>
      <c r="AB271" s="185" t="e">
        <f aca="false">SQRT((AA271^2*(A271-$D$3)+Z271^2*(DAY(EOMONTH(A271,0))/2))/AK271)</f>
        <v>#VALUE!</v>
      </c>
      <c r="AC271" s="185" t="str">
        <f aca="false">IF($A272="","",VLOOKUP($A271,Table,MATCH(AC$4,Curves,0)))</f>
        <v/>
      </c>
      <c r="AD271" s="185" t="str">
        <f aca="false">IF($A272="","",VLOOKUP($A271,Table,MATCH(AD$4,Curves,0)))</f>
        <v/>
      </c>
      <c r="AE271" s="185" t="e">
        <f aca="false">SQRT((AD271^2*(A271-$D$3)+AC271^2*(DAY(EOMONTH(A271,0))/2))/AK271)</f>
        <v>#VALUE!</v>
      </c>
      <c r="AF271" s="224" t="e">
        <f aca="false">((Summary!$N$8*(AA271*AD271)*(A271-$D$3))+(Summary!$M$8*Z271*AC271*(AJ271-EOMONTH(EDATE(A271,-1),0))))/(AK271*AB271*AE271)</f>
        <v>#VALUE!</v>
      </c>
      <c r="AG271" s="207" t="str">
        <f aca="false">IF($A272="","",Summary!$Q$8)</f>
        <v/>
      </c>
      <c r="AH271" s="207" t="str">
        <f aca="false">IF($A272="","",IF(Summary!$R$8="Y",(VLOOKUP($A271,Summary!$AD$6:$AF$9,3)+'Escalating commodity'!D284),'Escalating commodity'!D284))</f>
        <v/>
      </c>
      <c r="AI271" s="207" t="str">
        <f aca="false">IF($A272="","",AH271)</f>
        <v/>
      </c>
      <c r="AJ271" s="208" t="e">
        <f aca="false">A271+DAY(EOMONTH(A271,0))/2-1</f>
        <v>#VALUE!</v>
      </c>
      <c r="AK271" s="209" t="str">
        <f aca="false">IF($A272="","",$A271-$E$1)</f>
        <v/>
      </c>
      <c r="AL271" s="182" t="str">
        <f aca="false">IF($A272="","",SPRDOPT(P271,X271,AI271,0,AB271,AE271,AF271,AK271,$AJ$2,0))</f>
        <v/>
      </c>
      <c r="AM271" s="211" t="str">
        <f aca="false">IF($A272="","",MAX(0,O271-W271-AI271))</f>
        <v/>
      </c>
      <c r="AN271" s="211" t="str">
        <f aca="false">IF($A272="","",AL271-AM271)</f>
        <v/>
      </c>
      <c r="AO271" s="137" t="str">
        <f aca="false">IF(A272="","",A272-A271)</f>
        <v/>
      </c>
      <c r="AP271" s="212" t="str">
        <f aca="false">IF(A272="","",CHOOSE(F$3,A272+24,A271))</f>
        <v/>
      </c>
      <c r="AQ271" s="209" t="str">
        <f aca="false">IF(A272="","",AP271-$E$1)</f>
        <v/>
      </c>
      <c r="AR271" s="185" t="n">
        <f aca="false">'ANR OK vs ML7'!AR271</f>
        <v>0.1</v>
      </c>
      <c r="AS271" s="213" t="str">
        <f aca="false">IF(A272="","",1/(1+CHOOSE(F$3,(AR272+($I$3/10000))/2,(AR271+($I$3/10000))/2))^(2*AQ271/365.25))</f>
        <v/>
      </c>
      <c r="AT271" s="137" t="str">
        <f aca="false">IF(A272="","",IF(AND(mthbeg&lt;=A271,mthend&gt;=A271),1,0))</f>
        <v/>
      </c>
      <c r="AU271" s="137" t="str">
        <f aca="false">IF(A272="","",AO271*AT271)</f>
        <v/>
      </c>
      <c r="AW271" s="195" t="str">
        <f aca="false">IF($A272="","",AL271*$E271)</f>
        <v/>
      </c>
      <c r="AX271" s="195" t="str">
        <f aca="false">IF($A272="","",AM271*$E271)</f>
        <v/>
      </c>
      <c r="AY271" s="195" t="str">
        <f aca="false">IF($A272="","",AN271*$E271)</f>
        <v/>
      </c>
      <c r="BA271" s="195" t="str">
        <f aca="false">IF($A272="","",F271*Summary!$Q$8)</f>
        <v/>
      </c>
    </row>
    <row r="272" customFormat="false" ht="12" hidden="false" customHeight="true" outlineLevel="0" collapsed="false">
      <c r="A272" s="196" t="str">
        <f aca="false">IF(A271&lt;mthend,EDATE(A271,1),"")</f>
        <v/>
      </c>
      <c r="B272" s="197" t="n">
        <f aca="false">IF(A272&lt;mthend,B271,0)</f>
        <v>0</v>
      </c>
      <c r="C272" s="215"/>
      <c r="D272" s="197" t="str">
        <f aca="false">IF(A273&lt;&gt;"",B272+C272,"")</f>
        <v/>
      </c>
      <c r="E272" s="199" t="str">
        <f aca="false">IF(A273="","",IF(AND(AT272=1,$H$3=1),D272*AO272,IF($H$3=2,D272,"N/A")))</f>
        <v/>
      </c>
      <c r="F272" s="199" t="str">
        <f aca="false">IF(A273="","",E272*AS272)</f>
        <v/>
      </c>
      <c r="G272" s="200" t="str">
        <f aca="false">IF($A273="","",VLOOKUP($A272,Table,MATCH(G$4,Curves,0)))</f>
        <v/>
      </c>
      <c r="H272" s="201" t="str">
        <f aca="false">IF(A273="","",G272)</f>
        <v/>
      </c>
      <c r="I272" s="202"/>
      <c r="J272" s="200" t="str">
        <f aca="false">IF($A273="","",VLOOKUP($A272,Table,MATCH(J$4,Curves,0)))</f>
        <v/>
      </c>
      <c r="K272" s="201" t="str">
        <f aca="false">IF(A273="","",J272)</f>
        <v/>
      </c>
      <c r="L272" s="200" t="str">
        <f aca="false">IF($A273="","",VLOOKUP($A272,Table,MATCH(L$4,Curves,0)))</f>
        <v/>
      </c>
      <c r="M272" s="201" t="str">
        <f aca="false">IF(A273="","",L272)</f>
        <v/>
      </c>
      <c r="N272" s="203"/>
      <c r="O272" s="200" t="str">
        <f aca="false">IF(A273="","",L272+J272+G272)</f>
        <v/>
      </c>
      <c r="P272" s="200" t="str">
        <f aca="false">IF(A273="","",M272+K272+H272)</f>
        <v/>
      </c>
      <c r="Q272" s="204"/>
      <c r="R272" s="200" t="str">
        <f aca="false">IF($A273="","",VLOOKUP($A272,Table,MATCH(R$4,Curves,0)))</f>
        <v/>
      </c>
      <c r="S272" s="201" t="str">
        <f aca="false">IF(A273="","",R272)</f>
        <v/>
      </c>
      <c r="T272" s="200" t="str">
        <f aca="false">IF($A273="","",VLOOKUP($A272,Table,MATCH(T$4,Curves,0)))</f>
        <v/>
      </c>
      <c r="U272" s="201" t="str">
        <f aca="false">IF(A273="","",T272)</f>
        <v/>
      </c>
      <c r="V272" s="183" t="str">
        <f aca="false">IF($A273="","",IF(AND(MONTH(A272)&gt;3,MONTH(A272)&lt;11),(T272+R272+G272)*Summary!$T$8/(1-Summary!$T$8),(T272+R272+G272)*Summary!$U$8/(1-Summary!$U$8)))</f>
        <v/>
      </c>
      <c r="W272" s="200" t="str">
        <f aca="false">IF($A273="","",(T272+R272+G272+V272))</f>
        <v/>
      </c>
      <c r="X272" s="200" t="str">
        <f aca="false">IF($A273="","",(U272+S272+H272+V272))</f>
        <v/>
      </c>
      <c r="Y272" s="202"/>
      <c r="Z272" s="185" t="str">
        <f aca="false">IF($A273="","",VLOOKUP($A272,Table,MATCH(Z$4,Curves,0)))</f>
        <v/>
      </c>
      <c r="AA272" s="185" t="str">
        <f aca="false">IF($A273="","",VLOOKUP($A272,Table,MATCH(AA$4,Curves,0)))</f>
        <v/>
      </c>
      <c r="AB272" s="185" t="e">
        <f aca="false">SQRT((AA272^2*(A272-$D$3)+Z272^2*(DAY(EOMONTH(A272,0))/2))/AK272)</f>
        <v>#VALUE!</v>
      </c>
      <c r="AC272" s="185" t="str">
        <f aca="false">IF($A273="","",VLOOKUP($A272,Table,MATCH(AC$4,Curves,0)))</f>
        <v/>
      </c>
      <c r="AD272" s="185" t="str">
        <f aca="false">IF($A273="","",VLOOKUP($A272,Table,MATCH(AD$4,Curves,0)))</f>
        <v/>
      </c>
      <c r="AE272" s="185" t="e">
        <f aca="false">SQRT((AD272^2*(A272-$D$3)+AC272^2*(DAY(EOMONTH(A272,0))/2))/AK272)</f>
        <v>#VALUE!</v>
      </c>
      <c r="AF272" s="224" t="e">
        <f aca="false">((Summary!$N$8*(AA272*AD272)*(A272-$D$3))+(Summary!$M$8*Z272*AC272*(AJ272-EOMONTH(EDATE(A272,-1),0))))/(AK272*AB272*AE272)</f>
        <v>#VALUE!</v>
      </c>
      <c r="AG272" s="207" t="str">
        <f aca="false">IF($A273="","",Summary!$Q$8)</f>
        <v/>
      </c>
      <c r="AH272" s="207" t="str">
        <f aca="false">IF($A273="","",IF(Summary!$R$8="Y",(VLOOKUP($A272,Summary!$AD$6:$AF$9,3)+'Escalating commodity'!D285),'Escalating commodity'!D285))</f>
        <v/>
      </c>
      <c r="AI272" s="207" t="str">
        <f aca="false">IF($A273="","",AH272)</f>
        <v/>
      </c>
      <c r="AJ272" s="208" t="e">
        <f aca="false">A272+DAY(EOMONTH(A272,0))/2-1</f>
        <v>#VALUE!</v>
      </c>
      <c r="AK272" s="209" t="str">
        <f aca="false">IF($A273="","",$A272-$E$1)</f>
        <v/>
      </c>
      <c r="AL272" s="182" t="str">
        <f aca="false">IF($A273="","",SPRDOPT(P272,X272,AI272,0,AB272,AE272,AF272,AK272,$AJ$2,0))</f>
        <v/>
      </c>
      <c r="AM272" s="211" t="str">
        <f aca="false">IF($A273="","",MAX(0,O272-W272-AI272))</f>
        <v/>
      </c>
      <c r="AN272" s="211" t="str">
        <f aca="false">IF($A273="","",AL272-AM272)</f>
        <v/>
      </c>
      <c r="AO272" s="137" t="str">
        <f aca="false">IF(A273="","",A273-A272)</f>
        <v/>
      </c>
      <c r="AP272" s="212" t="str">
        <f aca="false">IF(A273="","",CHOOSE(F$3,A273+24,A272))</f>
        <v/>
      </c>
      <c r="AQ272" s="209" t="str">
        <f aca="false">IF(A273="","",AP272-$E$1)</f>
        <v/>
      </c>
      <c r="AR272" s="185" t="n">
        <f aca="false">'ANR OK vs ML7'!AR272</f>
        <v>0.1</v>
      </c>
      <c r="AS272" s="213" t="str">
        <f aca="false">IF(A273="","",1/(1+CHOOSE(F$3,(AR273+($I$3/10000))/2,(AR272+($I$3/10000))/2))^(2*AQ272/365.25))</f>
        <v/>
      </c>
      <c r="AT272" s="137" t="str">
        <f aca="false">IF(A273="","",IF(AND(mthbeg&lt;=A272,mthend&gt;=A272),1,0))</f>
        <v/>
      </c>
      <c r="AU272" s="137" t="str">
        <f aca="false">IF(A273="","",AO272*AT272)</f>
        <v/>
      </c>
      <c r="AW272" s="195" t="str">
        <f aca="false">IF($A273="","",AL272*$E272)</f>
        <v/>
      </c>
      <c r="AX272" s="195" t="str">
        <f aca="false">IF($A273="","",AM272*$E272)</f>
        <v/>
      </c>
      <c r="AY272" s="195" t="str">
        <f aca="false">IF($A273="","",AN272*$E272)</f>
        <v/>
      </c>
      <c r="BA272" s="195" t="str">
        <f aca="false">IF($A273="","",F272*Summary!$Q$8)</f>
        <v/>
      </c>
    </row>
    <row r="273" customFormat="false" ht="12" hidden="false" customHeight="true" outlineLevel="0" collapsed="false">
      <c r="A273" s="196" t="str">
        <f aca="false">IF(A272&lt;mthend,EDATE(A272,1),"")</f>
        <v/>
      </c>
      <c r="B273" s="197" t="n">
        <f aca="false">IF(A273&lt;mthend,B272,0)</f>
        <v>0</v>
      </c>
      <c r="C273" s="215"/>
      <c r="D273" s="197" t="str">
        <f aca="false">IF(A274&lt;&gt;"",B273+C273,"")</f>
        <v/>
      </c>
      <c r="E273" s="199" t="str">
        <f aca="false">IF(A274="","",IF(AND(AT273=1,$H$3=1),D273*AO273,IF($H$3=2,D273,"N/A")))</f>
        <v/>
      </c>
      <c r="F273" s="199" t="str">
        <f aca="false">IF(A274="","",E273*AS273)</f>
        <v/>
      </c>
      <c r="G273" s="200" t="str">
        <f aca="false">IF($A274="","",VLOOKUP($A273,Table,MATCH(G$4,Curves,0)))</f>
        <v/>
      </c>
      <c r="H273" s="201" t="str">
        <f aca="false">IF(A274="","",G273)</f>
        <v/>
      </c>
      <c r="I273" s="202"/>
      <c r="J273" s="200" t="str">
        <f aca="false">IF($A274="","",VLOOKUP($A273,Table,MATCH(J$4,Curves,0)))</f>
        <v/>
      </c>
      <c r="K273" s="201" t="str">
        <f aca="false">IF(A274="","",J273)</f>
        <v/>
      </c>
      <c r="L273" s="200" t="str">
        <f aca="false">IF($A274="","",VLOOKUP($A273,Table,MATCH(L$4,Curves,0)))</f>
        <v/>
      </c>
      <c r="M273" s="201" t="str">
        <f aca="false">IF(A274="","",L273)</f>
        <v/>
      </c>
      <c r="N273" s="203"/>
      <c r="O273" s="200" t="str">
        <f aca="false">IF(A274="","",L273+J273+G273)</f>
        <v/>
      </c>
      <c r="P273" s="200" t="str">
        <f aca="false">IF(A274="","",M273+K273+H273)</f>
        <v/>
      </c>
      <c r="Q273" s="204"/>
      <c r="R273" s="200" t="str">
        <f aca="false">IF($A274="","",VLOOKUP($A273,Table,MATCH(R$4,Curves,0)))</f>
        <v/>
      </c>
      <c r="S273" s="201" t="str">
        <f aca="false">IF(A274="","",R273)</f>
        <v/>
      </c>
      <c r="T273" s="200" t="str">
        <f aca="false">IF($A274="","",VLOOKUP($A273,Table,MATCH(T$4,Curves,0)))</f>
        <v/>
      </c>
      <c r="U273" s="201" t="str">
        <f aca="false">IF(A274="","",T273)</f>
        <v/>
      </c>
      <c r="V273" s="183" t="str">
        <f aca="false">IF($A274="","",IF(AND(MONTH(A273)&gt;3,MONTH(A273)&lt;11),(T273+R273+G273)*Summary!$T$8/(1-Summary!$T$8),(T273+R273+G273)*Summary!$U$8/(1-Summary!$U$8)))</f>
        <v/>
      </c>
      <c r="W273" s="200" t="str">
        <f aca="false">IF($A274="","",(T273+R273+G273+V273))</f>
        <v/>
      </c>
      <c r="X273" s="200" t="str">
        <f aca="false">IF($A274="","",(U273+S273+H273+V273))</f>
        <v/>
      </c>
      <c r="Y273" s="202"/>
      <c r="Z273" s="185" t="str">
        <f aca="false">IF($A274="","",VLOOKUP($A273,Table,MATCH(Z$4,Curves,0)))</f>
        <v/>
      </c>
      <c r="AA273" s="185" t="str">
        <f aca="false">IF($A274="","",VLOOKUP($A273,Table,MATCH(AA$4,Curves,0)))</f>
        <v/>
      </c>
      <c r="AB273" s="185" t="e">
        <f aca="false">SQRT((AA273^2*(A273-$D$3)+Z273^2*(DAY(EOMONTH(A273,0))/2))/AK273)</f>
        <v>#VALUE!</v>
      </c>
      <c r="AC273" s="185" t="str">
        <f aca="false">IF($A274="","",VLOOKUP($A273,Table,MATCH(AC$4,Curves,0)))</f>
        <v/>
      </c>
      <c r="AD273" s="185" t="str">
        <f aca="false">IF($A274="","",VLOOKUP($A273,Table,MATCH(AD$4,Curves,0)))</f>
        <v/>
      </c>
      <c r="AE273" s="185" t="e">
        <f aca="false">SQRT((AD273^2*(A273-$D$3)+AC273^2*(DAY(EOMONTH(A273,0))/2))/AK273)</f>
        <v>#VALUE!</v>
      </c>
      <c r="AF273" s="224" t="e">
        <f aca="false">((Summary!$N$8*(AA273*AD273)*(A273-$D$3))+(Summary!$M$8*Z273*AC273*(AJ273-EOMONTH(EDATE(A273,-1),0))))/(AK273*AB273*AE273)</f>
        <v>#VALUE!</v>
      </c>
      <c r="AG273" s="207" t="str">
        <f aca="false">IF($A274="","",Summary!$Q$8)</f>
        <v/>
      </c>
      <c r="AH273" s="207" t="str">
        <f aca="false">IF($A274="","",IF(Summary!$R$8="Y",(VLOOKUP($A273,Summary!$AD$6:$AF$9,3)+'Escalating commodity'!D286),'Escalating commodity'!D286))</f>
        <v/>
      </c>
      <c r="AI273" s="207" t="str">
        <f aca="false">IF($A274="","",AH273)</f>
        <v/>
      </c>
      <c r="AJ273" s="208" t="e">
        <f aca="false">A273+DAY(EOMONTH(A273,0))/2-1</f>
        <v>#VALUE!</v>
      </c>
      <c r="AK273" s="209" t="str">
        <f aca="false">IF($A274="","",$A273-$E$1)</f>
        <v/>
      </c>
      <c r="AL273" s="182" t="str">
        <f aca="false">IF($A274="","",SPRDOPT(P273,X273,AI273,0,AB273,AE273,AF273,AK273,$AJ$2,0))</f>
        <v/>
      </c>
      <c r="AM273" s="211" t="str">
        <f aca="false">IF($A274="","",MAX(0,O273-W273-AI273))</f>
        <v/>
      </c>
      <c r="AN273" s="211" t="str">
        <f aca="false">IF($A274="","",AL273-AM273)</f>
        <v/>
      </c>
      <c r="AO273" s="137" t="str">
        <f aca="false">IF(A274="","",A274-A273)</f>
        <v/>
      </c>
      <c r="AP273" s="212" t="str">
        <f aca="false">IF(A274="","",CHOOSE(F$3,A274+24,A273))</f>
        <v/>
      </c>
      <c r="AQ273" s="209" t="str">
        <f aca="false">IF(A274="","",AP273-$E$1)</f>
        <v/>
      </c>
      <c r="AR273" s="185" t="n">
        <f aca="false">'ANR OK vs ML7'!AR273</f>
        <v>0.1</v>
      </c>
      <c r="AS273" s="213" t="str">
        <f aca="false">IF(A274="","",1/(1+CHOOSE(F$3,(AR274+($I$3/10000))/2,(AR273+($I$3/10000))/2))^(2*AQ273/365.25))</f>
        <v/>
      </c>
      <c r="AT273" s="137" t="str">
        <f aca="false">IF(A274="","",IF(AND(mthbeg&lt;=A273,mthend&gt;=A273),1,0))</f>
        <v/>
      </c>
      <c r="AU273" s="137" t="str">
        <f aca="false">IF(A274="","",AO273*AT273)</f>
        <v/>
      </c>
      <c r="AW273" s="195" t="str">
        <f aca="false">IF($A274="","",AL273*$E273)</f>
        <v/>
      </c>
      <c r="AX273" s="195" t="str">
        <f aca="false">IF($A274="","",AM273*$E273)</f>
        <v/>
      </c>
      <c r="AY273" s="195" t="str">
        <f aca="false">IF($A274="","",AN273*$E273)</f>
        <v/>
      </c>
      <c r="BA273" s="195" t="str">
        <f aca="false">IF($A274="","",F273*Summary!$Q$8)</f>
        <v/>
      </c>
    </row>
    <row r="274" customFormat="false" ht="12" hidden="false" customHeight="true" outlineLevel="0" collapsed="false">
      <c r="A274" s="196" t="str">
        <f aca="false">IF(A273&lt;mthend,EDATE(A273,1),"")</f>
        <v/>
      </c>
      <c r="B274" s="197" t="n">
        <f aca="false">IF(A274&lt;mthend,B273,0)</f>
        <v>0</v>
      </c>
      <c r="C274" s="215"/>
      <c r="D274" s="197" t="str">
        <f aca="false">IF(A275&lt;&gt;"",B274+C274,"")</f>
        <v/>
      </c>
      <c r="E274" s="199" t="str">
        <f aca="false">IF(A275="","",IF(AND(AT274=1,$H$3=1),D274*AO274,IF($H$3=2,D274,"N/A")))</f>
        <v/>
      </c>
      <c r="F274" s="199" t="str">
        <f aca="false">IF(A275="","",E274*AS274)</f>
        <v/>
      </c>
      <c r="G274" s="200" t="str">
        <f aca="false">IF($A275="","",VLOOKUP($A274,Table,MATCH(G$4,Curves,0)))</f>
        <v/>
      </c>
      <c r="H274" s="201" t="str">
        <f aca="false">IF(A275="","",G274)</f>
        <v/>
      </c>
      <c r="I274" s="202"/>
      <c r="J274" s="200" t="str">
        <f aca="false">IF($A275="","",VLOOKUP($A274,Table,MATCH(J$4,Curves,0)))</f>
        <v/>
      </c>
      <c r="K274" s="201" t="str">
        <f aca="false">IF(A275="","",J274)</f>
        <v/>
      </c>
      <c r="L274" s="200" t="str">
        <f aca="false">IF($A275="","",VLOOKUP($A274,Table,MATCH(L$4,Curves,0)))</f>
        <v/>
      </c>
      <c r="M274" s="201" t="str">
        <f aca="false">IF(A275="","",L274)</f>
        <v/>
      </c>
      <c r="N274" s="203"/>
      <c r="O274" s="200" t="str">
        <f aca="false">IF(A275="","",L274+J274+G274)</f>
        <v/>
      </c>
      <c r="P274" s="200" t="str">
        <f aca="false">IF(A275="","",M274+K274+H274)</f>
        <v/>
      </c>
      <c r="Q274" s="204"/>
      <c r="R274" s="200" t="str">
        <f aca="false">IF($A275="","",VLOOKUP($A274,Table,MATCH(R$4,Curves,0)))</f>
        <v/>
      </c>
      <c r="S274" s="201" t="str">
        <f aca="false">IF(A275="","",R274)</f>
        <v/>
      </c>
      <c r="T274" s="200" t="str">
        <f aca="false">IF($A275="","",VLOOKUP($A274,Table,MATCH(T$4,Curves,0)))</f>
        <v/>
      </c>
      <c r="U274" s="201" t="str">
        <f aca="false">IF(A275="","",T274)</f>
        <v/>
      </c>
      <c r="V274" s="183" t="str">
        <f aca="false">IF($A275="","",IF(AND(MONTH(A274)&gt;3,MONTH(A274)&lt;11),(T274+R274+G274)*Summary!$T$8/(1-Summary!$T$8),(T274+R274+G274)*Summary!$U$8/(1-Summary!$U$8)))</f>
        <v/>
      </c>
      <c r="W274" s="200" t="str">
        <f aca="false">IF($A275="","",(T274+R274+G274+V274))</f>
        <v/>
      </c>
      <c r="X274" s="200" t="str">
        <f aca="false">IF($A275="","",(U274+S274+H274+V274))</f>
        <v/>
      </c>
      <c r="Y274" s="202"/>
      <c r="Z274" s="185" t="str">
        <f aca="false">IF($A275="","",VLOOKUP($A274,Table,MATCH(Z$4,Curves,0)))</f>
        <v/>
      </c>
      <c r="AA274" s="185" t="str">
        <f aca="false">IF($A275="","",VLOOKUP($A274,Table,MATCH(AA$4,Curves,0)))</f>
        <v/>
      </c>
      <c r="AB274" s="185" t="e">
        <f aca="false">SQRT((AA274^2*(A274-$D$3)+Z274^2*(DAY(EOMONTH(A274,0))/2))/AK274)</f>
        <v>#VALUE!</v>
      </c>
      <c r="AC274" s="185" t="str">
        <f aca="false">IF($A275="","",VLOOKUP($A274,Table,MATCH(AC$4,Curves,0)))</f>
        <v/>
      </c>
      <c r="AD274" s="185" t="str">
        <f aca="false">IF($A275="","",VLOOKUP($A274,Table,MATCH(AD$4,Curves,0)))</f>
        <v/>
      </c>
      <c r="AE274" s="185" t="e">
        <f aca="false">SQRT((AD274^2*(A274-$D$3)+AC274^2*(DAY(EOMONTH(A274,0))/2))/AK274)</f>
        <v>#VALUE!</v>
      </c>
      <c r="AF274" s="224" t="e">
        <f aca="false">((Summary!$N$8*(AA274*AD274)*(A274-$D$3))+(Summary!$M$8*Z274*AC274*(AJ274-EOMONTH(EDATE(A274,-1),0))))/(AK274*AB274*AE274)</f>
        <v>#VALUE!</v>
      </c>
      <c r="AG274" s="207" t="str">
        <f aca="false">IF($A275="","",Summary!$Q$8)</f>
        <v/>
      </c>
      <c r="AH274" s="207" t="str">
        <f aca="false">IF($A275="","",IF(Summary!$R$8="Y",(VLOOKUP($A274,Summary!$AD$6:$AF$9,3)+'Escalating commodity'!D287),'Escalating commodity'!D287))</f>
        <v/>
      </c>
      <c r="AI274" s="207" t="str">
        <f aca="false">IF($A275="","",AH274)</f>
        <v/>
      </c>
      <c r="AJ274" s="208" t="e">
        <f aca="false">A274+DAY(EOMONTH(A274,0))/2-1</f>
        <v>#VALUE!</v>
      </c>
      <c r="AK274" s="209" t="str">
        <f aca="false">IF($A275="","",$A274-$E$1)</f>
        <v/>
      </c>
      <c r="AL274" s="182" t="str">
        <f aca="false">IF($A275="","",SPRDOPT(P274,X274,AI274,0,AB274,AE274,AF274,AK274,$AJ$2,0))</f>
        <v/>
      </c>
      <c r="AM274" s="211" t="str">
        <f aca="false">IF($A275="","",MAX(0,O274-W274-AI274))</f>
        <v/>
      </c>
      <c r="AN274" s="211" t="str">
        <f aca="false">IF($A275="","",AL274-AM274)</f>
        <v/>
      </c>
      <c r="AO274" s="137" t="str">
        <f aca="false">IF(A275="","",A275-A274)</f>
        <v/>
      </c>
      <c r="AP274" s="212" t="str">
        <f aca="false">IF(A275="","",CHOOSE(F$3,A275+24,A274))</f>
        <v/>
      </c>
      <c r="AQ274" s="209" t="str">
        <f aca="false">IF(A275="","",AP274-$E$1)</f>
        <v/>
      </c>
      <c r="AR274" s="185" t="n">
        <f aca="false">'ANR OK vs ML7'!AR274</f>
        <v>0.1</v>
      </c>
      <c r="AS274" s="213" t="str">
        <f aca="false">IF(A275="","",1/(1+CHOOSE(F$3,(AR275+($I$3/10000))/2,(AR274+($I$3/10000))/2))^(2*AQ274/365.25))</f>
        <v/>
      </c>
      <c r="AT274" s="137" t="str">
        <f aca="false">IF(A275="","",IF(AND(mthbeg&lt;=A274,mthend&gt;=A274),1,0))</f>
        <v/>
      </c>
      <c r="AU274" s="137" t="str">
        <f aca="false">IF(A275="","",AO274*AT274)</f>
        <v/>
      </c>
      <c r="AW274" s="195" t="str">
        <f aca="false">IF($A275="","",AL274*$E274)</f>
        <v/>
      </c>
      <c r="AX274" s="195" t="str">
        <f aca="false">IF($A275="","",AM274*$E274)</f>
        <v/>
      </c>
      <c r="AY274" s="195" t="str">
        <f aca="false">IF($A275="","",AN274*$E274)</f>
        <v/>
      </c>
      <c r="BA274" s="195" t="str">
        <f aca="false">IF($A275="","",F274*Summary!$Q$8)</f>
        <v/>
      </c>
    </row>
    <row r="275" customFormat="false" ht="12" hidden="false" customHeight="true" outlineLevel="0" collapsed="false">
      <c r="A275" s="196" t="str">
        <f aca="false">IF(A274&lt;mthend,EDATE(A274,1),"")</f>
        <v/>
      </c>
      <c r="B275" s="197" t="n">
        <f aca="false">IF(A275&lt;mthend,B274,0)</f>
        <v>0</v>
      </c>
      <c r="C275" s="215"/>
      <c r="D275" s="197" t="str">
        <f aca="false">IF(A276&lt;&gt;"",B275+C275,"")</f>
        <v/>
      </c>
      <c r="E275" s="199" t="str">
        <f aca="false">IF(A276="","",IF(AND(AT275=1,$H$3=1),D275*AO275,IF($H$3=2,D275,"N/A")))</f>
        <v/>
      </c>
      <c r="F275" s="199" t="str">
        <f aca="false">IF(A276="","",E275*AS275)</f>
        <v/>
      </c>
      <c r="G275" s="200" t="str">
        <f aca="false">IF($A276="","",VLOOKUP($A275,Table,MATCH(G$4,Curves,0)))</f>
        <v/>
      </c>
      <c r="H275" s="201" t="str">
        <f aca="false">IF(A276="","",G275)</f>
        <v/>
      </c>
      <c r="I275" s="202"/>
      <c r="J275" s="200" t="str">
        <f aca="false">IF($A276="","",VLOOKUP($A275,Table,MATCH(J$4,Curves,0)))</f>
        <v/>
      </c>
      <c r="K275" s="201" t="str">
        <f aca="false">IF(A276="","",J275)</f>
        <v/>
      </c>
      <c r="L275" s="200" t="str">
        <f aca="false">IF($A276="","",VLOOKUP($A275,Table,MATCH(L$4,Curves,0)))</f>
        <v/>
      </c>
      <c r="M275" s="201" t="str">
        <f aca="false">IF(A276="","",L275)</f>
        <v/>
      </c>
      <c r="N275" s="203"/>
      <c r="O275" s="200" t="str">
        <f aca="false">IF(A276="","",L275+J275+G275)</f>
        <v/>
      </c>
      <c r="P275" s="200" t="str">
        <f aca="false">IF(A276="","",M275+K275+H275)</f>
        <v/>
      </c>
      <c r="Q275" s="204"/>
      <c r="R275" s="200" t="str">
        <f aca="false">IF($A276="","",VLOOKUP($A275,Table,MATCH(R$4,Curves,0)))</f>
        <v/>
      </c>
      <c r="S275" s="201" t="str">
        <f aca="false">IF(A276="","",R275)</f>
        <v/>
      </c>
      <c r="T275" s="200" t="str">
        <f aca="false">IF($A276="","",VLOOKUP($A275,Table,MATCH(T$4,Curves,0)))</f>
        <v/>
      </c>
      <c r="U275" s="201" t="str">
        <f aca="false">IF(A276="","",T275)</f>
        <v/>
      </c>
      <c r="V275" s="183" t="str">
        <f aca="false">IF($A276="","",IF(AND(MONTH(A275)&gt;3,MONTH(A275)&lt;11),(T275+R275+G275)*Summary!$T$8/(1-Summary!$T$8),(T275+R275+G275)*Summary!$U$8/(1-Summary!$U$8)))</f>
        <v/>
      </c>
      <c r="W275" s="200" t="str">
        <f aca="false">IF($A276="","",(T275+R275+G275+V275))</f>
        <v/>
      </c>
      <c r="X275" s="200" t="str">
        <f aca="false">IF($A276="","",(U275+S275+H275+V275))</f>
        <v/>
      </c>
      <c r="Y275" s="202"/>
      <c r="Z275" s="185" t="str">
        <f aca="false">IF($A276="","",VLOOKUP($A275,Table,MATCH(Z$4,Curves,0)))</f>
        <v/>
      </c>
      <c r="AA275" s="185" t="str">
        <f aca="false">IF($A276="","",VLOOKUP($A275,Table,MATCH(AA$4,Curves,0)))</f>
        <v/>
      </c>
      <c r="AB275" s="185" t="e">
        <f aca="false">SQRT((AA275^2*(A275-$D$3)+Z275^2*(DAY(EOMONTH(A275,0))/2))/AK275)</f>
        <v>#VALUE!</v>
      </c>
      <c r="AC275" s="185" t="str">
        <f aca="false">IF($A276="","",VLOOKUP($A275,Table,MATCH(AC$4,Curves,0)))</f>
        <v/>
      </c>
      <c r="AD275" s="185" t="str">
        <f aca="false">IF($A276="","",VLOOKUP($A275,Table,MATCH(AD$4,Curves,0)))</f>
        <v/>
      </c>
      <c r="AE275" s="185" t="e">
        <f aca="false">SQRT((AD275^2*(A275-$D$3)+AC275^2*(DAY(EOMONTH(A275,0))/2))/AK275)</f>
        <v>#VALUE!</v>
      </c>
      <c r="AF275" s="224" t="e">
        <f aca="false">((Summary!$N$8*(AA275*AD275)*(A275-$D$3))+(Summary!$M$8*Z275*AC275*(AJ275-EOMONTH(EDATE(A275,-1),0))))/(AK275*AB275*AE275)</f>
        <v>#VALUE!</v>
      </c>
      <c r="AG275" s="207" t="str">
        <f aca="false">IF($A276="","",Summary!$Q$8)</f>
        <v/>
      </c>
      <c r="AH275" s="207" t="str">
        <f aca="false">IF($A276="","",IF(Summary!$R$8="Y",(VLOOKUP($A275,Summary!$AD$6:$AF$9,3)+'Escalating commodity'!D288),'Escalating commodity'!D288))</f>
        <v/>
      </c>
      <c r="AI275" s="207" t="str">
        <f aca="false">IF($A276="","",AH275)</f>
        <v/>
      </c>
      <c r="AJ275" s="208" t="e">
        <f aca="false">A275+DAY(EOMONTH(A275,0))/2-1</f>
        <v>#VALUE!</v>
      </c>
      <c r="AK275" s="209" t="str">
        <f aca="false">IF($A276="","",$A275-$E$1)</f>
        <v/>
      </c>
      <c r="AL275" s="182" t="str">
        <f aca="false">IF($A276="","",SPRDOPT(P275,X275,AI275,0,AB275,AE275,AF275,AK275,$AJ$2,0))</f>
        <v/>
      </c>
      <c r="AM275" s="211" t="str">
        <f aca="false">IF($A276="","",MAX(0,O275-W275-AI275))</f>
        <v/>
      </c>
      <c r="AN275" s="211" t="str">
        <f aca="false">IF($A276="","",AL275-AM275)</f>
        <v/>
      </c>
      <c r="AO275" s="137" t="str">
        <f aca="false">IF(A276="","",A276-A275)</f>
        <v/>
      </c>
      <c r="AP275" s="212" t="str">
        <f aca="false">IF(A276="","",CHOOSE(F$3,A276+24,A275))</f>
        <v/>
      </c>
      <c r="AQ275" s="209" t="str">
        <f aca="false">IF(A276="","",AP275-$E$1)</f>
        <v/>
      </c>
      <c r="AR275" s="185" t="n">
        <f aca="false">'ANR OK vs ML7'!AR275</f>
        <v>0.1</v>
      </c>
      <c r="AS275" s="213" t="str">
        <f aca="false">IF(A276="","",1/(1+CHOOSE(F$3,(AR276+($I$3/10000))/2,(AR275+($I$3/10000))/2))^(2*AQ275/365.25))</f>
        <v/>
      </c>
      <c r="AT275" s="137" t="str">
        <f aca="false">IF(A276="","",IF(AND(mthbeg&lt;=A275,mthend&gt;=A275),1,0))</f>
        <v/>
      </c>
      <c r="AU275" s="137" t="str">
        <f aca="false">IF(A276="","",AO275*AT275)</f>
        <v/>
      </c>
      <c r="AW275" s="195" t="str">
        <f aca="false">IF($A276="","",AL275*$E275)</f>
        <v/>
      </c>
      <c r="AX275" s="195" t="str">
        <f aca="false">IF($A276="","",AM275*$E275)</f>
        <v/>
      </c>
      <c r="AY275" s="195" t="str">
        <f aca="false">IF($A276="","",AN275*$E275)</f>
        <v/>
      </c>
      <c r="BA275" s="195" t="str">
        <f aca="false">IF($A276="","",F275*Summary!$Q$8)</f>
        <v/>
      </c>
    </row>
    <row r="276" customFormat="false" ht="12" hidden="false" customHeight="true" outlineLevel="0" collapsed="false">
      <c r="A276" s="196" t="str">
        <f aca="false">IF(A275&lt;mthend,EDATE(A275,1),"")</f>
        <v/>
      </c>
      <c r="B276" s="197" t="n">
        <f aca="false">IF(A276&lt;mthend,B275,0)</f>
        <v>0</v>
      </c>
      <c r="C276" s="215"/>
      <c r="D276" s="197" t="str">
        <f aca="false">IF(A277&lt;&gt;"",B276+C276,"")</f>
        <v/>
      </c>
      <c r="E276" s="199" t="str">
        <f aca="false">IF(A277="","",IF(AND(AT276=1,$H$3=1),D276*AO276,IF($H$3=2,D276,"N/A")))</f>
        <v/>
      </c>
      <c r="F276" s="199" t="str">
        <f aca="false">IF(A277="","",E276*AS276)</f>
        <v/>
      </c>
      <c r="G276" s="200" t="str">
        <f aca="false">IF($A277="","",VLOOKUP($A276,Table,MATCH(G$4,Curves,0)))</f>
        <v/>
      </c>
      <c r="H276" s="201" t="str">
        <f aca="false">IF(A277="","",G276)</f>
        <v/>
      </c>
      <c r="I276" s="202"/>
      <c r="J276" s="200" t="str">
        <f aca="false">IF($A277="","",VLOOKUP($A276,Table,MATCH(J$4,Curves,0)))</f>
        <v/>
      </c>
      <c r="K276" s="201" t="str">
        <f aca="false">IF(A277="","",J276)</f>
        <v/>
      </c>
      <c r="L276" s="200" t="str">
        <f aca="false">IF($A277="","",VLOOKUP($A276,Table,MATCH(L$4,Curves,0)))</f>
        <v/>
      </c>
      <c r="M276" s="201" t="str">
        <f aca="false">IF(A277="","",L276)</f>
        <v/>
      </c>
      <c r="N276" s="203"/>
      <c r="O276" s="200" t="str">
        <f aca="false">IF(A277="","",L276+J276+G276)</f>
        <v/>
      </c>
      <c r="P276" s="200" t="str">
        <f aca="false">IF(A277="","",M276+K276+H276)</f>
        <v/>
      </c>
      <c r="Q276" s="204"/>
      <c r="R276" s="200" t="str">
        <f aca="false">IF($A277="","",VLOOKUP($A276,Table,MATCH(R$4,Curves,0)))</f>
        <v/>
      </c>
      <c r="S276" s="201" t="str">
        <f aca="false">IF(A277="","",R276)</f>
        <v/>
      </c>
      <c r="T276" s="200" t="str">
        <f aca="false">IF($A277="","",VLOOKUP($A276,Table,MATCH(T$4,Curves,0)))</f>
        <v/>
      </c>
      <c r="U276" s="201" t="str">
        <f aca="false">IF(A277="","",T276)</f>
        <v/>
      </c>
      <c r="V276" s="183" t="str">
        <f aca="false">IF($A277="","",IF(AND(MONTH(A276)&gt;3,MONTH(A276)&lt;11),(T276+R276+G276)*Summary!$T$8/(1-Summary!$T$8),(T276+R276+G276)*Summary!$U$8/(1-Summary!$U$8)))</f>
        <v/>
      </c>
      <c r="W276" s="200" t="str">
        <f aca="false">IF($A277="","",(T276+R276+G276+V276))</f>
        <v/>
      </c>
      <c r="X276" s="200" t="str">
        <f aca="false">IF($A277="","",(U276+S276+H276+V276))</f>
        <v/>
      </c>
      <c r="Y276" s="202"/>
      <c r="Z276" s="185" t="str">
        <f aca="false">IF($A277="","",VLOOKUP($A276,Table,MATCH(Z$4,Curves,0)))</f>
        <v/>
      </c>
      <c r="AA276" s="185" t="str">
        <f aca="false">IF($A277="","",VLOOKUP($A276,Table,MATCH(AA$4,Curves,0)))</f>
        <v/>
      </c>
      <c r="AB276" s="185" t="e">
        <f aca="false">SQRT((AA276^2*(A276-$D$3)+Z276^2*(DAY(EOMONTH(A276,0))/2))/AK276)</f>
        <v>#VALUE!</v>
      </c>
      <c r="AC276" s="185" t="str">
        <f aca="false">IF($A277="","",VLOOKUP($A276,Table,MATCH(AC$4,Curves,0)))</f>
        <v/>
      </c>
      <c r="AD276" s="185" t="str">
        <f aca="false">IF($A277="","",VLOOKUP($A276,Table,MATCH(AD$4,Curves,0)))</f>
        <v/>
      </c>
      <c r="AE276" s="185" t="e">
        <f aca="false">SQRT((AD276^2*(A276-$D$3)+AC276^2*(DAY(EOMONTH(A276,0))/2))/AK276)</f>
        <v>#VALUE!</v>
      </c>
      <c r="AF276" s="224" t="e">
        <f aca="false">((Summary!$N$8*(AA276*AD276)*(A276-$D$3))+(Summary!$M$8*Z276*AC276*(AJ276-EOMONTH(EDATE(A276,-1),0))))/(AK276*AB276*AE276)</f>
        <v>#VALUE!</v>
      </c>
      <c r="AG276" s="207" t="str">
        <f aca="false">IF($A277="","",Summary!$Q$8)</f>
        <v/>
      </c>
      <c r="AH276" s="207" t="str">
        <f aca="false">IF($A277="","",IF(Summary!$R$8="Y",(VLOOKUP($A276,Summary!$AD$6:$AF$9,3)+'Escalating commodity'!D289),'Escalating commodity'!D289))</f>
        <v/>
      </c>
      <c r="AI276" s="207" t="str">
        <f aca="false">IF($A277="","",AH276)</f>
        <v/>
      </c>
      <c r="AJ276" s="208" t="e">
        <f aca="false">A276+DAY(EOMONTH(A276,0))/2-1</f>
        <v>#VALUE!</v>
      </c>
      <c r="AK276" s="209" t="str">
        <f aca="false">IF($A277="","",$A276-$E$1)</f>
        <v/>
      </c>
      <c r="AL276" s="182" t="str">
        <f aca="false">IF($A277="","",SPRDOPT(P276,X276,AI276,0,AB276,AE276,AF276,AK276,$AJ$2,0))</f>
        <v/>
      </c>
      <c r="AM276" s="211" t="str">
        <f aca="false">IF($A277="","",MAX(0,O276-W276-AI276))</f>
        <v/>
      </c>
      <c r="AN276" s="211" t="str">
        <f aca="false">IF($A277="","",AL276-AM276)</f>
        <v/>
      </c>
      <c r="AO276" s="137" t="str">
        <f aca="false">IF(A277="","",A277-A276)</f>
        <v/>
      </c>
      <c r="AP276" s="212" t="str">
        <f aca="false">IF(A277="","",CHOOSE(F$3,A277+24,A276))</f>
        <v/>
      </c>
      <c r="AQ276" s="209" t="str">
        <f aca="false">IF(A277="","",AP276-$E$1)</f>
        <v/>
      </c>
      <c r="AR276" s="185" t="n">
        <f aca="false">'ANR OK vs ML7'!AR276</f>
        <v>0.1</v>
      </c>
      <c r="AS276" s="213" t="str">
        <f aca="false">IF(A277="","",1/(1+CHOOSE(F$3,(AR277+($I$3/10000))/2,(AR276+($I$3/10000))/2))^(2*AQ276/365.25))</f>
        <v/>
      </c>
      <c r="AT276" s="137" t="str">
        <f aca="false">IF(A277="","",IF(AND(mthbeg&lt;=A276,mthend&gt;=A276),1,0))</f>
        <v/>
      </c>
      <c r="AU276" s="137" t="str">
        <f aca="false">IF(A277="","",AO276*AT276)</f>
        <v/>
      </c>
      <c r="AW276" s="195" t="str">
        <f aca="false">IF($A277="","",AL276*$E276)</f>
        <v/>
      </c>
      <c r="AX276" s="195" t="str">
        <f aca="false">IF($A277="","",AM276*$E276)</f>
        <v/>
      </c>
      <c r="AY276" s="195" t="str">
        <f aca="false">IF($A277="","",AN276*$E276)</f>
        <v/>
      </c>
      <c r="BA276" s="195" t="str">
        <f aca="false">IF($A277="","",F276*Summary!$Q$8)</f>
        <v/>
      </c>
    </row>
    <row r="277" customFormat="false" ht="12" hidden="false" customHeight="true" outlineLevel="0" collapsed="false">
      <c r="A277" s="196" t="str">
        <f aca="false">IF(A276&lt;mthend,EDATE(A276,1),"")</f>
        <v/>
      </c>
      <c r="B277" s="197" t="n">
        <f aca="false">IF(A277&lt;mthend,B276,0)</f>
        <v>0</v>
      </c>
      <c r="C277" s="215"/>
      <c r="D277" s="197" t="str">
        <f aca="false">IF(A278&lt;&gt;"",B277+C277,"")</f>
        <v/>
      </c>
      <c r="E277" s="199" t="str">
        <f aca="false">IF(A278="","",IF(AND(AT277=1,$H$3=1),D277*AO277,IF($H$3=2,D277,"N/A")))</f>
        <v/>
      </c>
      <c r="F277" s="199" t="str">
        <f aca="false">IF(A278="","",E277*AS277)</f>
        <v/>
      </c>
      <c r="G277" s="200" t="str">
        <f aca="false">IF($A278="","",VLOOKUP($A277,Table,MATCH(G$4,Curves,0)))</f>
        <v/>
      </c>
      <c r="H277" s="201" t="str">
        <f aca="false">IF(A278="","",G277)</f>
        <v/>
      </c>
      <c r="I277" s="202"/>
      <c r="J277" s="200" t="str">
        <f aca="false">IF($A278="","",VLOOKUP($A277,Table,MATCH(J$4,Curves,0)))</f>
        <v/>
      </c>
      <c r="K277" s="201" t="str">
        <f aca="false">IF(A278="","",J277)</f>
        <v/>
      </c>
      <c r="L277" s="200" t="str">
        <f aca="false">IF($A278="","",VLOOKUP($A277,Table,MATCH(L$4,Curves,0)))</f>
        <v/>
      </c>
      <c r="M277" s="201" t="str">
        <f aca="false">IF(A278="","",L277)</f>
        <v/>
      </c>
      <c r="N277" s="203"/>
      <c r="O277" s="200" t="str">
        <f aca="false">IF(A278="","",L277+J277+G277)</f>
        <v/>
      </c>
      <c r="P277" s="200" t="str">
        <f aca="false">IF(A278="","",M277+K277+H277)</f>
        <v/>
      </c>
      <c r="Q277" s="204"/>
      <c r="R277" s="200" t="str">
        <f aca="false">IF($A278="","",VLOOKUP($A277,Table,MATCH(R$4,Curves,0)))</f>
        <v/>
      </c>
      <c r="S277" s="201" t="str">
        <f aca="false">IF(A278="","",R277)</f>
        <v/>
      </c>
      <c r="T277" s="200" t="str">
        <f aca="false">IF($A278="","",VLOOKUP($A277,Table,MATCH(T$4,Curves,0)))</f>
        <v/>
      </c>
      <c r="U277" s="201" t="str">
        <f aca="false">IF(A278="","",T277)</f>
        <v/>
      </c>
      <c r="V277" s="183" t="str">
        <f aca="false">IF($A278="","",IF(AND(MONTH(A277)&gt;3,MONTH(A277)&lt;11),(T277+R277+G277)*Summary!$T$8/(1-Summary!$T$8),(T277+R277+G277)*Summary!$U$8/(1-Summary!$U$8)))</f>
        <v/>
      </c>
      <c r="W277" s="200" t="str">
        <f aca="false">IF($A278="","",(T277+R277+G277+V277))</f>
        <v/>
      </c>
      <c r="X277" s="200" t="str">
        <f aca="false">IF($A278="","",(U277+S277+H277+V277))</f>
        <v/>
      </c>
      <c r="Y277" s="202"/>
      <c r="Z277" s="185" t="str">
        <f aca="false">IF($A278="","",VLOOKUP($A277,Table,MATCH(Z$4,Curves,0)))</f>
        <v/>
      </c>
      <c r="AA277" s="185" t="str">
        <f aca="false">IF($A278="","",VLOOKUP($A277,Table,MATCH(AA$4,Curves,0)))</f>
        <v/>
      </c>
      <c r="AB277" s="185" t="e">
        <f aca="false">SQRT((AA277^2*(A277-$D$3)+Z277^2*(DAY(EOMONTH(A277,0))/2))/AK277)</f>
        <v>#VALUE!</v>
      </c>
      <c r="AC277" s="185" t="str">
        <f aca="false">IF($A278="","",VLOOKUP($A277,Table,MATCH(AC$4,Curves,0)))</f>
        <v/>
      </c>
      <c r="AD277" s="185" t="str">
        <f aca="false">IF($A278="","",VLOOKUP($A277,Table,MATCH(AD$4,Curves,0)))</f>
        <v/>
      </c>
      <c r="AE277" s="185" t="e">
        <f aca="false">SQRT((AD277^2*(A277-$D$3)+AC277^2*(DAY(EOMONTH(A277,0))/2))/AK277)</f>
        <v>#VALUE!</v>
      </c>
      <c r="AF277" s="224" t="e">
        <f aca="false">((Summary!$N$8*(AA277*AD277)*(A277-$D$3))+(Summary!$M$8*Z277*AC277*(AJ277-EOMONTH(EDATE(A277,-1),0))))/(AK277*AB277*AE277)</f>
        <v>#VALUE!</v>
      </c>
      <c r="AG277" s="207" t="str">
        <f aca="false">IF($A278="","",Summary!$Q$8)</f>
        <v/>
      </c>
      <c r="AH277" s="207" t="str">
        <f aca="false">IF($A278="","",IF(Summary!$R$8="Y",(VLOOKUP($A277,Summary!$AD$6:$AF$9,3)+'Escalating commodity'!D290),'Escalating commodity'!D290))</f>
        <v/>
      </c>
      <c r="AI277" s="207" t="str">
        <f aca="false">IF($A278="","",AH277)</f>
        <v/>
      </c>
      <c r="AJ277" s="208" t="e">
        <f aca="false">A277+DAY(EOMONTH(A277,0))/2-1</f>
        <v>#VALUE!</v>
      </c>
      <c r="AK277" s="209" t="str">
        <f aca="false">IF($A278="","",$A277-$E$1)</f>
        <v/>
      </c>
      <c r="AL277" s="182" t="str">
        <f aca="false">IF($A278="","",SPRDOPT(P277,X277,AI277,0,AB277,AE277,AF277,AK277,$AJ$2,0))</f>
        <v/>
      </c>
      <c r="AM277" s="211" t="str">
        <f aca="false">IF($A278="","",MAX(0,O277-W277-AI277))</f>
        <v/>
      </c>
      <c r="AN277" s="211" t="str">
        <f aca="false">IF($A278="","",AL277-AM277)</f>
        <v/>
      </c>
      <c r="AO277" s="137" t="str">
        <f aca="false">IF(A278="","",A278-A277)</f>
        <v/>
      </c>
      <c r="AP277" s="212" t="str">
        <f aca="false">IF(A278="","",CHOOSE(F$3,A278+24,A277))</f>
        <v/>
      </c>
      <c r="AQ277" s="209" t="str">
        <f aca="false">IF(A278="","",AP277-$E$1)</f>
        <v/>
      </c>
      <c r="AR277" s="185" t="n">
        <f aca="false">'ANR OK vs ML7'!AR277</f>
        <v>0.1</v>
      </c>
      <c r="AS277" s="213" t="str">
        <f aca="false">IF(A278="","",1/(1+CHOOSE(F$3,(AR278+($I$3/10000))/2,(AR277+($I$3/10000))/2))^(2*AQ277/365.25))</f>
        <v/>
      </c>
      <c r="AT277" s="137" t="str">
        <f aca="false">IF(A278="","",IF(AND(mthbeg&lt;=A277,mthend&gt;=A277),1,0))</f>
        <v/>
      </c>
      <c r="AU277" s="137" t="str">
        <f aca="false">IF(A278="","",AO277*AT277)</f>
        <v/>
      </c>
      <c r="AW277" s="195" t="str">
        <f aca="false">IF($A278="","",AL277*$E277)</f>
        <v/>
      </c>
      <c r="AX277" s="195" t="str">
        <f aca="false">IF($A278="","",AM277*$E277)</f>
        <v/>
      </c>
      <c r="AY277" s="195" t="str">
        <f aca="false">IF($A278="","",AN277*$E277)</f>
        <v/>
      </c>
      <c r="BA277" s="195" t="str">
        <f aca="false">IF($A278="","",F277*Summary!$Q$8)</f>
        <v/>
      </c>
    </row>
    <row r="278" customFormat="false" ht="12" hidden="false" customHeight="true" outlineLevel="0" collapsed="false">
      <c r="A278" s="196" t="str">
        <f aca="false">IF(A277&lt;mthend,EDATE(A277,1),"")</f>
        <v/>
      </c>
      <c r="B278" s="197" t="n">
        <f aca="false">IF(A278&lt;mthend,B277,0)</f>
        <v>0</v>
      </c>
      <c r="C278" s="215"/>
      <c r="D278" s="197" t="str">
        <f aca="false">IF(A279&lt;&gt;"",B278+C278,"")</f>
        <v/>
      </c>
      <c r="E278" s="199" t="str">
        <f aca="false">IF(A279="","",IF(AND(AT278=1,$H$3=1),D278*AO278,IF($H$3=2,D278,"N/A")))</f>
        <v/>
      </c>
      <c r="F278" s="199" t="str">
        <f aca="false">IF(A279="","",E278*AS278)</f>
        <v/>
      </c>
      <c r="G278" s="200" t="str">
        <f aca="false">IF($A279="","",VLOOKUP($A278,Table,MATCH(G$4,Curves,0)))</f>
        <v/>
      </c>
      <c r="H278" s="201" t="str">
        <f aca="false">IF(A279="","",G278)</f>
        <v/>
      </c>
      <c r="I278" s="202"/>
      <c r="J278" s="200" t="str">
        <f aca="false">IF($A279="","",VLOOKUP($A278,Table,MATCH(J$4,Curves,0)))</f>
        <v/>
      </c>
      <c r="K278" s="201" t="str">
        <f aca="false">IF(A279="","",J278)</f>
        <v/>
      </c>
      <c r="L278" s="200" t="str">
        <f aca="false">IF($A279="","",VLOOKUP($A278,Table,MATCH(L$4,Curves,0)))</f>
        <v/>
      </c>
      <c r="M278" s="201" t="str">
        <f aca="false">IF(A279="","",L278)</f>
        <v/>
      </c>
      <c r="N278" s="203"/>
      <c r="O278" s="200" t="str">
        <f aca="false">IF(A279="","",L278+J278+G278)</f>
        <v/>
      </c>
      <c r="P278" s="200" t="str">
        <f aca="false">IF(A279="","",M278+K278+H278)</f>
        <v/>
      </c>
      <c r="Q278" s="204"/>
      <c r="R278" s="200" t="str">
        <f aca="false">IF($A279="","",VLOOKUP($A278,Table,MATCH(R$4,Curves,0)))</f>
        <v/>
      </c>
      <c r="S278" s="201" t="str">
        <f aca="false">IF(A279="","",R278)</f>
        <v/>
      </c>
      <c r="T278" s="200" t="str">
        <f aca="false">IF($A279="","",VLOOKUP($A278,Table,MATCH(T$4,Curves,0)))</f>
        <v/>
      </c>
      <c r="U278" s="201" t="str">
        <f aca="false">IF(A279="","",T278)</f>
        <v/>
      </c>
      <c r="V278" s="183" t="str">
        <f aca="false">IF($A279="","",IF(AND(MONTH(A278)&gt;3,MONTH(A278)&lt;11),(T278+R278+G278)*Summary!$T$8/(1-Summary!$T$8),(T278+R278+G278)*Summary!$U$8/(1-Summary!$U$8)))</f>
        <v/>
      </c>
      <c r="W278" s="200" t="str">
        <f aca="false">IF($A279="","",(T278+R278+G278+V278))</f>
        <v/>
      </c>
      <c r="X278" s="200" t="str">
        <f aca="false">IF($A279="","",(U278+S278+H278+V278))</f>
        <v/>
      </c>
      <c r="Y278" s="202"/>
      <c r="Z278" s="185" t="str">
        <f aca="false">IF($A279="","",VLOOKUP($A278,Table,MATCH(Z$4,Curves,0)))</f>
        <v/>
      </c>
      <c r="AA278" s="185" t="str">
        <f aca="false">IF($A279="","",VLOOKUP($A278,Table,MATCH(AA$4,Curves,0)))</f>
        <v/>
      </c>
      <c r="AB278" s="185" t="e">
        <f aca="false">SQRT((AA278^2*(A278-$D$3)+Z278^2*(DAY(EOMONTH(A278,0))/2))/AK278)</f>
        <v>#VALUE!</v>
      </c>
      <c r="AC278" s="185" t="str">
        <f aca="false">IF($A279="","",VLOOKUP($A278,Table,MATCH(AC$4,Curves,0)))</f>
        <v/>
      </c>
      <c r="AD278" s="185" t="str">
        <f aca="false">IF($A279="","",VLOOKUP($A278,Table,MATCH(AD$4,Curves,0)))</f>
        <v/>
      </c>
      <c r="AE278" s="185" t="e">
        <f aca="false">SQRT((AD278^2*(A278-$D$3)+AC278^2*(DAY(EOMONTH(A278,0))/2))/AK278)</f>
        <v>#VALUE!</v>
      </c>
      <c r="AF278" s="224" t="e">
        <f aca="false">((Summary!$N$8*(AA278*AD278)*(A278-$D$3))+(Summary!$M$8*Z278*AC278*(AJ278-EOMONTH(EDATE(A278,-1),0))))/(AK278*AB278*AE278)</f>
        <v>#VALUE!</v>
      </c>
      <c r="AG278" s="207" t="str">
        <f aca="false">IF($A279="","",Summary!$Q$8)</f>
        <v/>
      </c>
      <c r="AH278" s="207" t="str">
        <f aca="false">IF($A279="","",IF(Summary!$R$8="Y",(VLOOKUP($A278,Summary!$AD$6:$AF$9,3)+'Escalating commodity'!D291),'Escalating commodity'!D291))</f>
        <v/>
      </c>
      <c r="AI278" s="207" t="str">
        <f aca="false">IF($A279="","",AH278)</f>
        <v/>
      </c>
      <c r="AJ278" s="208" t="e">
        <f aca="false">A278+DAY(EOMONTH(A278,0))/2-1</f>
        <v>#VALUE!</v>
      </c>
      <c r="AK278" s="209" t="str">
        <f aca="false">IF($A279="","",$A278-$E$1)</f>
        <v/>
      </c>
      <c r="AL278" s="182" t="str">
        <f aca="false">IF($A279="","",SPRDOPT(P278,X278,AI278,0,AB278,AE278,AF278,AK278,$AJ$2,0))</f>
        <v/>
      </c>
      <c r="AM278" s="211" t="str">
        <f aca="false">IF($A279="","",MAX(0,O278-W278-AI278))</f>
        <v/>
      </c>
      <c r="AN278" s="211" t="str">
        <f aca="false">IF($A279="","",AL278-AM278)</f>
        <v/>
      </c>
      <c r="AO278" s="137" t="str">
        <f aca="false">IF(A279="","",A279-A278)</f>
        <v/>
      </c>
      <c r="AP278" s="212" t="str">
        <f aca="false">IF(A279="","",CHOOSE(F$3,A279+24,A278))</f>
        <v/>
      </c>
      <c r="AQ278" s="209" t="str">
        <f aca="false">IF(A279="","",AP278-$E$1)</f>
        <v/>
      </c>
      <c r="AR278" s="185" t="n">
        <f aca="false">'ANR OK vs ML7'!AR278</f>
        <v>0.1</v>
      </c>
      <c r="AS278" s="213" t="str">
        <f aca="false">IF(A279="","",1/(1+CHOOSE(F$3,(AR279+($I$3/10000))/2,(AR278+($I$3/10000))/2))^(2*AQ278/365.25))</f>
        <v/>
      </c>
      <c r="AT278" s="137" t="str">
        <f aca="false">IF(A279="","",IF(AND(mthbeg&lt;=A278,mthend&gt;=A278),1,0))</f>
        <v/>
      </c>
      <c r="AU278" s="137" t="str">
        <f aca="false">IF(A279="","",AO278*AT278)</f>
        <v/>
      </c>
      <c r="AW278" s="195" t="str">
        <f aca="false">IF($A279="","",AL278*$E278)</f>
        <v/>
      </c>
      <c r="AX278" s="195" t="str">
        <f aca="false">IF($A279="","",AM278*$E278)</f>
        <v/>
      </c>
      <c r="AY278" s="195" t="str">
        <f aca="false">IF($A279="","",AN278*$E278)</f>
        <v/>
      </c>
      <c r="BA278" s="195" t="str">
        <f aca="false">IF($A279="","",F278*Summary!$Q$8)</f>
        <v/>
      </c>
    </row>
    <row r="279" customFormat="false" ht="12" hidden="false" customHeight="true" outlineLevel="0" collapsed="false">
      <c r="A279" s="196" t="str">
        <f aca="false">IF(A278&lt;mthend,EDATE(A278,1),"")</f>
        <v/>
      </c>
      <c r="B279" s="197" t="n">
        <f aca="false">IF(A279&lt;mthend,B278,0)</f>
        <v>0</v>
      </c>
      <c r="C279" s="215"/>
      <c r="D279" s="197" t="str">
        <f aca="false">IF(A280&lt;&gt;"",B279+C279,"")</f>
        <v/>
      </c>
      <c r="E279" s="199" t="str">
        <f aca="false">IF(A280="","",IF(AND(AT279=1,$H$3=1),D279*AO279,IF($H$3=2,D279,"N/A")))</f>
        <v/>
      </c>
      <c r="F279" s="199" t="str">
        <f aca="false">IF(A280="","",E279*AS279)</f>
        <v/>
      </c>
      <c r="G279" s="200" t="str">
        <f aca="false">IF($A280="","",VLOOKUP($A279,Table,MATCH(G$4,Curves,0)))</f>
        <v/>
      </c>
      <c r="H279" s="201" t="str">
        <f aca="false">IF(A280="","",G279)</f>
        <v/>
      </c>
      <c r="I279" s="202"/>
      <c r="J279" s="200" t="str">
        <f aca="false">IF($A280="","",VLOOKUP($A279,Table,MATCH(J$4,Curves,0)))</f>
        <v/>
      </c>
      <c r="K279" s="201" t="str">
        <f aca="false">IF(A280="","",J279)</f>
        <v/>
      </c>
      <c r="L279" s="200" t="str">
        <f aca="false">IF($A280="","",VLOOKUP($A279,Table,MATCH(L$4,Curves,0)))</f>
        <v/>
      </c>
      <c r="M279" s="201" t="str">
        <f aca="false">IF(A280="","",L279)</f>
        <v/>
      </c>
      <c r="N279" s="203"/>
      <c r="O279" s="200" t="str">
        <f aca="false">IF(A280="","",L279+J279+G279)</f>
        <v/>
      </c>
      <c r="P279" s="200" t="str">
        <f aca="false">IF(A280="","",M279+K279+H279)</f>
        <v/>
      </c>
      <c r="Q279" s="204"/>
      <c r="R279" s="200" t="str">
        <f aca="false">IF($A280="","",VLOOKUP($A279,Table,MATCH(R$4,Curves,0)))</f>
        <v/>
      </c>
      <c r="S279" s="201" t="str">
        <f aca="false">IF(A280="","",R279)</f>
        <v/>
      </c>
      <c r="T279" s="200" t="str">
        <f aca="false">IF($A280="","",VLOOKUP($A279,Table,MATCH(T$4,Curves,0)))</f>
        <v/>
      </c>
      <c r="U279" s="201" t="str">
        <f aca="false">IF(A280="","",T279)</f>
        <v/>
      </c>
      <c r="V279" s="183" t="str">
        <f aca="false">IF($A280="","",IF(AND(MONTH(A279)&gt;3,MONTH(A279)&lt;11),(T279+R279+G279)*Summary!$T$8/(1-Summary!$T$8),(T279+R279+G279)*Summary!$U$8/(1-Summary!$U$8)))</f>
        <v/>
      </c>
      <c r="W279" s="200" t="str">
        <f aca="false">IF($A280="","",(T279+R279+G279+V279))</f>
        <v/>
      </c>
      <c r="X279" s="200" t="str">
        <f aca="false">IF($A280="","",(U279+S279+H279+V279))</f>
        <v/>
      </c>
      <c r="Y279" s="202"/>
      <c r="Z279" s="185" t="str">
        <f aca="false">IF($A280="","",VLOOKUP($A279,Table,MATCH(Z$4,Curves,0)))</f>
        <v/>
      </c>
      <c r="AA279" s="185" t="str">
        <f aca="false">IF($A280="","",VLOOKUP($A279,Table,MATCH(AA$4,Curves,0)))</f>
        <v/>
      </c>
      <c r="AB279" s="185" t="e">
        <f aca="false">SQRT((AA279^2*(A279-$D$3)+Z279^2*(DAY(EOMONTH(A279,0))/2))/AK279)</f>
        <v>#VALUE!</v>
      </c>
      <c r="AC279" s="185" t="str">
        <f aca="false">IF($A280="","",VLOOKUP($A279,Table,MATCH(AC$4,Curves,0)))</f>
        <v/>
      </c>
      <c r="AD279" s="185" t="str">
        <f aca="false">IF($A280="","",VLOOKUP($A279,Table,MATCH(AD$4,Curves,0)))</f>
        <v/>
      </c>
      <c r="AE279" s="185" t="e">
        <f aca="false">SQRT((AD279^2*(A279-$D$3)+AC279^2*(DAY(EOMONTH(A279,0))/2))/AK279)</f>
        <v>#VALUE!</v>
      </c>
      <c r="AF279" s="224" t="e">
        <f aca="false">((Summary!$N$8*(AA279*AD279)*(A279-$D$3))+(Summary!$M$8*Z279*AC279*(AJ279-EOMONTH(EDATE(A279,-1),0))))/(AK279*AB279*AE279)</f>
        <v>#VALUE!</v>
      </c>
      <c r="AG279" s="207" t="str">
        <f aca="false">IF($A280="","",Summary!$Q$8)</f>
        <v/>
      </c>
      <c r="AH279" s="207" t="str">
        <f aca="false">IF($A280="","",IF(Summary!$R$8="Y",(VLOOKUP($A279,Summary!$AD$6:$AF$9,3)+'Escalating commodity'!D292),'Escalating commodity'!D292))</f>
        <v/>
      </c>
      <c r="AI279" s="207" t="str">
        <f aca="false">IF($A280="","",AH279)</f>
        <v/>
      </c>
      <c r="AJ279" s="208" t="e">
        <f aca="false">A279+DAY(EOMONTH(A279,0))/2-1</f>
        <v>#VALUE!</v>
      </c>
      <c r="AK279" s="209" t="str">
        <f aca="false">IF($A280="","",$A279-$E$1)</f>
        <v/>
      </c>
      <c r="AL279" s="182" t="str">
        <f aca="false">IF($A280="","",SPRDOPT(P279,X279,AI279,0,AB279,AE279,AF279,AK279,$AJ$2,0))</f>
        <v/>
      </c>
      <c r="AM279" s="211" t="str">
        <f aca="false">IF($A280="","",MAX(0,O279-W279-AI279))</f>
        <v/>
      </c>
      <c r="AN279" s="211" t="str">
        <f aca="false">IF($A280="","",AL279-AM279)</f>
        <v/>
      </c>
      <c r="AO279" s="137" t="str">
        <f aca="false">IF(A280="","",A280-A279)</f>
        <v/>
      </c>
      <c r="AP279" s="212" t="str">
        <f aca="false">IF(A280="","",CHOOSE(F$3,A280+24,A279))</f>
        <v/>
      </c>
      <c r="AQ279" s="209" t="str">
        <f aca="false">IF(A280="","",AP279-$E$1)</f>
        <v/>
      </c>
      <c r="AR279" s="185" t="n">
        <f aca="false">'ANR OK vs ML7'!AR279</f>
        <v>0.1</v>
      </c>
      <c r="AS279" s="213" t="str">
        <f aca="false">IF(A280="","",1/(1+CHOOSE(F$3,(AR280+($I$3/10000))/2,(AR279+($I$3/10000))/2))^(2*AQ279/365.25))</f>
        <v/>
      </c>
      <c r="AT279" s="137" t="str">
        <f aca="false">IF(A280="","",IF(AND(mthbeg&lt;=A279,mthend&gt;=A279),1,0))</f>
        <v/>
      </c>
      <c r="AU279" s="137" t="str">
        <f aca="false">IF(A280="","",AO279*AT279)</f>
        <v/>
      </c>
      <c r="AW279" s="195" t="str">
        <f aca="false">IF($A280="","",AL279*$E279)</f>
        <v/>
      </c>
      <c r="AX279" s="195" t="str">
        <f aca="false">IF($A280="","",AM279*$E279)</f>
        <v/>
      </c>
      <c r="AY279" s="195" t="str">
        <f aca="false">IF($A280="","",AN279*$E279)</f>
        <v/>
      </c>
      <c r="BA279" s="195" t="str">
        <f aca="false">IF($A280="","",F279*Summary!$Q$8)</f>
        <v/>
      </c>
    </row>
    <row r="280" customFormat="false" ht="12" hidden="false" customHeight="true" outlineLevel="0" collapsed="false">
      <c r="A280" s="196" t="str">
        <f aca="false">IF(A279&lt;mthend,EDATE(A279,1),"")</f>
        <v/>
      </c>
      <c r="B280" s="197" t="n">
        <f aca="false">IF(A280&lt;mthend,B279,0)</f>
        <v>0</v>
      </c>
      <c r="C280" s="215"/>
      <c r="D280" s="197" t="str">
        <f aca="false">IF(A281&lt;&gt;"",B280+C280,"")</f>
        <v/>
      </c>
      <c r="E280" s="199" t="str">
        <f aca="false">IF(A281="","",IF(AND(AT280=1,$H$3=1),D280*AO280,IF($H$3=2,D280,"N/A")))</f>
        <v/>
      </c>
      <c r="F280" s="199" t="str">
        <f aca="false">IF(A281="","",E280*AS280)</f>
        <v/>
      </c>
      <c r="G280" s="200" t="str">
        <f aca="false">IF($A281="","",VLOOKUP($A280,Table,MATCH(G$4,Curves,0)))</f>
        <v/>
      </c>
      <c r="H280" s="201" t="str">
        <f aca="false">IF(A281="","",G280)</f>
        <v/>
      </c>
      <c r="I280" s="202"/>
      <c r="J280" s="200" t="str">
        <f aca="false">IF($A281="","",VLOOKUP($A280,Table,MATCH(J$4,Curves,0)))</f>
        <v/>
      </c>
      <c r="K280" s="201" t="str">
        <f aca="false">IF(A281="","",J280)</f>
        <v/>
      </c>
      <c r="L280" s="200" t="str">
        <f aca="false">IF($A281="","",VLOOKUP($A280,Table,MATCH(L$4,Curves,0)))</f>
        <v/>
      </c>
      <c r="M280" s="201" t="str">
        <f aca="false">IF(A281="","",L280)</f>
        <v/>
      </c>
      <c r="N280" s="203"/>
      <c r="O280" s="200" t="str">
        <f aca="false">IF(A281="","",L280+J280+G280)</f>
        <v/>
      </c>
      <c r="P280" s="200" t="str">
        <f aca="false">IF(A281="","",M280+K280+H280)</f>
        <v/>
      </c>
      <c r="Q280" s="204"/>
      <c r="R280" s="200" t="str">
        <f aca="false">IF($A281="","",VLOOKUP($A280,Table,MATCH(R$4,Curves,0)))</f>
        <v/>
      </c>
      <c r="S280" s="201" t="str">
        <f aca="false">IF(A281="","",R280)</f>
        <v/>
      </c>
      <c r="T280" s="200" t="str">
        <f aca="false">IF($A281="","",VLOOKUP($A280,Table,MATCH(T$4,Curves,0)))</f>
        <v/>
      </c>
      <c r="U280" s="201" t="str">
        <f aca="false">IF(A281="","",T280)</f>
        <v/>
      </c>
      <c r="V280" s="183" t="str">
        <f aca="false">IF($A281="","",IF(AND(MONTH(A280)&gt;3,MONTH(A280)&lt;11),(T280+R280+G280)*Summary!$T$8/(1-Summary!$T$8),(T280+R280+G280)*Summary!$U$8/(1-Summary!$U$8)))</f>
        <v/>
      </c>
      <c r="W280" s="200" t="str">
        <f aca="false">IF($A281="","",(T280+R280+G280+V280))</f>
        <v/>
      </c>
      <c r="X280" s="200" t="str">
        <f aca="false">IF($A281="","",(U280+S280+H280+V280))</f>
        <v/>
      </c>
      <c r="Y280" s="202"/>
      <c r="Z280" s="185" t="str">
        <f aca="false">IF($A281="","",VLOOKUP($A280,Table,MATCH(Z$4,Curves,0)))</f>
        <v/>
      </c>
      <c r="AA280" s="185" t="str">
        <f aca="false">IF($A281="","",VLOOKUP($A280,Table,MATCH(AA$4,Curves,0)))</f>
        <v/>
      </c>
      <c r="AB280" s="185" t="e">
        <f aca="false">SQRT((AA280^2*(A280-$D$3)+Z280^2*(DAY(EOMONTH(A280,0))/2))/AK280)</f>
        <v>#VALUE!</v>
      </c>
      <c r="AC280" s="185" t="str">
        <f aca="false">IF($A281="","",VLOOKUP($A280,Table,MATCH(AC$4,Curves,0)))</f>
        <v/>
      </c>
      <c r="AD280" s="185" t="str">
        <f aca="false">IF($A281="","",VLOOKUP($A280,Table,MATCH(AD$4,Curves,0)))</f>
        <v/>
      </c>
      <c r="AE280" s="185" t="e">
        <f aca="false">SQRT((AD280^2*(A280-$D$3)+AC280^2*(DAY(EOMONTH(A280,0))/2))/AK280)</f>
        <v>#VALUE!</v>
      </c>
      <c r="AF280" s="224" t="e">
        <f aca="false">((Summary!$N$8*(AA280*AD280)*(A280-$D$3))+(Summary!$M$8*Z280*AC280*(AJ280-EOMONTH(EDATE(A280,-1),0))))/(AK280*AB280*AE280)</f>
        <v>#VALUE!</v>
      </c>
      <c r="AG280" s="207" t="str">
        <f aca="false">IF($A281="","",Summary!$Q$8)</f>
        <v/>
      </c>
      <c r="AH280" s="207" t="str">
        <f aca="false">IF($A281="","",IF(Summary!$R$8="Y",(VLOOKUP($A280,Summary!$AD$6:$AF$9,3)+'Escalating commodity'!D293),'Escalating commodity'!D293))</f>
        <v/>
      </c>
      <c r="AI280" s="207" t="str">
        <f aca="false">IF($A281="","",AH280)</f>
        <v/>
      </c>
      <c r="AJ280" s="208" t="e">
        <f aca="false">A280+DAY(EOMONTH(A280,0))/2-1</f>
        <v>#VALUE!</v>
      </c>
      <c r="AK280" s="209" t="str">
        <f aca="false">IF($A281="","",$A280-$E$1)</f>
        <v/>
      </c>
      <c r="AL280" s="182" t="str">
        <f aca="false">IF($A281="","",SPRDOPT(P280,X280,AI280,0,AB280,AE280,AF280,AK280,$AJ$2,0))</f>
        <v/>
      </c>
      <c r="AM280" s="211" t="str">
        <f aca="false">IF($A281="","",MAX(0,O280-W280-AI280))</f>
        <v/>
      </c>
      <c r="AN280" s="211" t="str">
        <f aca="false">IF($A281="","",AL280-AM280)</f>
        <v/>
      </c>
      <c r="AO280" s="137" t="str">
        <f aca="false">IF(A281="","",A281-A280)</f>
        <v/>
      </c>
      <c r="AP280" s="212" t="str">
        <f aca="false">IF(A281="","",CHOOSE(F$3,A281+24,A280))</f>
        <v/>
      </c>
      <c r="AQ280" s="209" t="str">
        <f aca="false">IF(A281="","",AP280-$E$1)</f>
        <v/>
      </c>
      <c r="AR280" s="185" t="n">
        <f aca="false">'ANR OK vs ML7'!AR280</f>
        <v>0.1</v>
      </c>
      <c r="AS280" s="213" t="str">
        <f aca="false">IF(A281="","",1/(1+CHOOSE(F$3,(AR281+($I$3/10000))/2,(AR280+($I$3/10000))/2))^(2*AQ280/365.25))</f>
        <v/>
      </c>
      <c r="AT280" s="137" t="str">
        <f aca="false">IF(A281="","",IF(AND(mthbeg&lt;=A280,mthend&gt;=A280),1,0))</f>
        <v/>
      </c>
      <c r="AU280" s="137" t="str">
        <f aca="false">IF(A281="","",AO280*AT280)</f>
        <v/>
      </c>
      <c r="AW280" s="195" t="str">
        <f aca="false">IF($A281="","",AL280*$E280)</f>
        <v/>
      </c>
      <c r="AX280" s="195" t="str">
        <f aca="false">IF($A281="","",AM280*$E280)</f>
        <v/>
      </c>
      <c r="AY280" s="195" t="str">
        <f aca="false">IF($A281="","",AN280*$E280)</f>
        <v/>
      </c>
      <c r="BA280" s="195" t="str">
        <f aca="false">IF($A281="","",F280*Summary!$Q$8)</f>
        <v/>
      </c>
    </row>
    <row r="281" customFormat="false" ht="12" hidden="false" customHeight="true" outlineLevel="0" collapsed="false">
      <c r="A281" s="196" t="str">
        <f aca="false">IF(A280&lt;mthend,EDATE(A280,1),"")</f>
        <v/>
      </c>
      <c r="B281" s="197" t="n">
        <f aca="false">IF(A281&lt;mthend,B280,0)</f>
        <v>0</v>
      </c>
      <c r="C281" s="215"/>
      <c r="D281" s="197" t="str">
        <f aca="false">IF(A282&lt;&gt;"",B281+C281,"")</f>
        <v/>
      </c>
      <c r="E281" s="199" t="str">
        <f aca="false">IF(A282="","",IF(AND(AT281=1,$H$3=1),D281*AO281,IF($H$3=2,D281,"N/A")))</f>
        <v/>
      </c>
      <c r="F281" s="199" t="str">
        <f aca="false">IF(A282="","",E281*AS281)</f>
        <v/>
      </c>
      <c r="G281" s="200" t="str">
        <f aca="false">IF($A282="","",VLOOKUP($A281,Table,MATCH(G$4,Curves,0)))</f>
        <v/>
      </c>
      <c r="H281" s="201" t="str">
        <f aca="false">IF(A282="","",G281)</f>
        <v/>
      </c>
      <c r="I281" s="202"/>
      <c r="J281" s="200" t="str">
        <f aca="false">IF($A282="","",VLOOKUP($A281,Table,MATCH(J$4,Curves,0)))</f>
        <v/>
      </c>
      <c r="K281" s="201" t="str">
        <f aca="false">IF(A282="","",J281)</f>
        <v/>
      </c>
      <c r="L281" s="200" t="str">
        <f aca="false">IF($A282="","",VLOOKUP($A281,Table,MATCH(L$4,Curves,0)))</f>
        <v/>
      </c>
      <c r="M281" s="201" t="str">
        <f aca="false">IF(A282="","",L281)</f>
        <v/>
      </c>
      <c r="N281" s="203"/>
      <c r="O281" s="200" t="str">
        <f aca="false">IF(A282="","",L281+J281+G281)</f>
        <v/>
      </c>
      <c r="P281" s="200" t="str">
        <f aca="false">IF(A282="","",M281+K281+H281)</f>
        <v/>
      </c>
      <c r="Q281" s="204"/>
      <c r="R281" s="200" t="str">
        <f aca="false">IF($A282="","",VLOOKUP($A281,Table,MATCH(R$4,Curves,0)))</f>
        <v/>
      </c>
      <c r="S281" s="201" t="str">
        <f aca="false">IF(A282="","",R281)</f>
        <v/>
      </c>
      <c r="T281" s="200" t="str">
        <f aca="false">IF($A282="","",VLOOKUP($A281,Table,MATCH(T$4,Curves,0)))</f>
        <v/>
      </c>
      <c r="U281" s="201" t="str">
        <f aca="false">IF(A282="","",T281)</f>
        <v/>
      </c>
      <c r="V281" s="183" t="str">
        <f aca="false">IF($A282="","",IF(AND(MONTH(A281)&gt;3,MONTH(A281)&lt;11),(T281+R281+G281)*Summary!$T$8/(1-Summary!$T$8),(T281+R281+G281)*Summary!$U$8/(1-Summary!$U$8)))</f>
        <v/>
      </c>
      <c r="W281" s="200" t="str">
        <f aca="false">IF($A282="","",(T281+R281+G281+V281))</f>
        <v/>
      </c>
      <c r="X281" s="200" t="str">
        <f aca="false">IF($A282="","",(U281+S281+H281+V281))</f>
        <v/>
      </c>
      <c r="Y281" s="202"/>
      <c r="Z281" s="185" t="str">
        <f aca="false">IF($A282="","",VLOOKUP($A281,Table,MATCH(Z$4,Curves,0)))</f>
        <v/>
      </c>
      <c r="AA281" s="185" t="str">
        <f aca="false">IF($A282="","",VLOOKUP($A281,Table,MATCH(AA$4,Curves,0)))</f>
        <v/>
      </c>
      <c r="AB281" s="185" t="e">
        <f aca="false">SQRT((AA281^2*(A281-$D$3)+Z281^2*(DAY(EOMONTH(A281,0))/2))/AK281)</f>
        <v>#VALUE!</v>
      </c>
      <c r="AC281" s="185" t="str">
        <f aca="false">IF($A282="","",VLOOKUP($A281,Table,MATCH(AC$4,Curves,0)))</f>
        <v/>
      </c>
      <c r="AD281" s="185" t="str">
        <f aca="false">IF($A282="","",VLOOKUP($A281,Table,MATCH(AD$4,Curves,0)))</f>
        <v/>
      </c>
      <c r="AE281" s="185" t="e">
        <f aca="false">SQRT((AD281^2*(A281-$D$3)+AC281^2*(DAY(EOMONTH(A281,0))/2))/AK281)</f>
        <v>#VALUE!</v>
      </c>
      <c r="AF281" s="224" t="e">
        <f aca="false">((Summary!$N$8*(AA281*AD281)*(A281-$D$3))+(Summary!$M$8*Z281*AC281*(AJ281-EOMONTH(EDATE(A281,-1),0))))/(AK281*AB281*AE281)</f>
        <v>#VALUE!</v>
      </c>
      <c r="AG281" s="207" t="str">
        <f aca="false">IF($A282="","",Summary!$Q$8)</f>
        <v/>
      </c>
      <c r="AH281" s="207" t="str">
        <f aca="false">IF($A282="","",IF(Summary!$R$8="Y",(VLOOKUP($A281,Summary!$AD$6:$AF$9,3)+'Escalating commodity'!D294),'Escalating commodity'!D294))</f>
        <v/>
      </c>
      <c r="AI281" s="207" t="str">
        <f aca="false">IF($A282="","",AH281)</f>
        <v/>
      </c>
      <c r="AJ281" s="208" t="e">
        <f aca="false">A281+DAY(EOMONTH(A281,0))/2-1</f>
        <v>#VALUE!</v>
      </c>
      <c r="AK281" s="209" t="str">
        <f aca="false">IF($A282="","",$A281-$E$1)</f>
        <v/>
      </c>
      <c r="AL281" s="182" t="str">
        <f aca="false">IF($A282="","",SPRDOPT(P281,X281,AI281,0,AB281,AE281,AF281,AK281,$AJ$2,0))</f>
        <v/>
      </c>
      <c r="AM281" s="211" t="str">
        <f aca="false">IF($A282="","",MAX(0,O281-W281-AI281))</f>
        <v/>
      </c>
      <c r="AN281" s="211" t="str">
        <f aca="false">IF($A282="","",AL281-AM281)</f>
        <v/>
      </c>
      <c r="AO281" s="137" t="str">
        <f aca="false">IF(A282="","",A282-A281)</f>
        <v/>
      </c>
      <c r="AP281" s="212" t="str">
        <f aca="false">IF(A282="","",CHOOSE(F$3,A282+24,A281))</f>
        <v/>
      </c>
      <c r="AQ281" s="209" t="str">
        <f aca="false">IF(A282="","",AP281-$E$1)</f>
        <v/>
      </c>
      <c r="AR281" s="185" t="n">
        <f aca="false">'ANR OK vs ML7'!AR281</f>
        <v>0.1</v>
      </c>
      <c r="AS281" s="213" t="str">
        <f aca="false">IF(A282="","",1/(1+CHOOSE(F$3,(AR282+($I$3/10000))/2,(AR281+($I$3/10000))/2))^(2*AQ281/365.25))</f>
        <v/>
      </c>
      <c r="AT281" s="137" t="str">
        <f aca="false">IF(A282="","",IF(AND(mthbeg&lt;=A281,mthend&gt;=A281),1,0))</f>
        <v/>
      </c>
      <c r="AU281" s="137" t="str">
        <f aca="false">IF(A282="","",AO281*AT281)</f>
        <v/>
      </c>
      <c r="AW281" s="195" t="str">
        <f aca="false">IF($A282="","",AL281*$E281)</f>
        <v/>
      </c>
      <c r="AX281" s="195" t="str">
        <f aca="false">IF($A282="","",AM281*$E281)</f>
        <v/>
      </c>
      <c r="AY281" s="195" t="str">
        <f aca="false">IF($A282="","",AN281*$E281)</f>
        <v/>
      </c>
      <c r="BA281" s="195" t="str">
        <f aca="false">IF($A282="","",F281*Summary!$Q$8)</f>
        <v/>
      </c>
    </row>
    <row r="282" customFormat="false" ht="12" hidden="false" customHeight="true" outlineLevel="0" collapsed="false">
      <c r="A282" s="196" t="str">
        <f aca="false">IF(A281&lt;mthend,EDATE(A281,1),"")</f>
        <v/>
      </c>
      <c r="B282" s="197" t="n">
        <f aca="false">IF(A282&lt;mthend,B281,0)</f>
        <v>0</v>
      </c>
      <c r="C282" s="215"/>
      <c r="D282" s="197" t="str">
        <f aca="false">IF(A283&lt;&gt;"",B282+C282,"")</f>
        <v/>
      </c>
      <c r="E282" s="199" t="str">
        <f aca="false">IF(A283="","",IF(AND(AT282=1,$H$3=1),D282*AO282,IF($H$3=2,D282,"N/A")))</f>
        <v/>
      </c>
      <c r="F282" s="199" t="str">
        <f aca="false">IF(A283="","",E282*AS282)</f>
        <v/>
      </c>
      <c r="G282" s="200" t="str">
        <f aca="false">IF($A283="","",VLOOKUP($A282,Table,MATCH(G$4,Curves,0)))</f>
        <v/>
      </c>
      <c r="H282" s="201" t="str">
        <f aca="false">IF(A283="","",G282)</f>
        <v/>
      </c>
      <c r="I282" s="202"/>
      <c r="J282" s="200" t="str">
        <f aca="false">IF($A283="","",VLOOKUP($A282,Table,MATCH(J$4,Curves,0)))</f>
        <v/>
      </c>
      <c r="K282" s="201" t="str">
        <f aca="false">IF(A283="","",J282)</f>
        <v/>
      </c>
      <c r="L282" s="200" t="str">
        <f aca="false">IF($A283="","",VLOOKUP($A282,Table,MATCH(L$4,Curves,0)))</f>
        <v/>
      </c>
      <c r="M282" s="201" t="str">
        <f aca="false">IF(A283="","",L282)</f>
        <v/>
      </c>
      <c r="N282" s="203"/>
      <c r="O282" s="200" t="str">
        <f aca="false">IF(A283="","",L282+J282+G282)</f>
        <v/>
      </c>
      <c r="P282" s="200" t="str">
        <f aca="false">IF(A283="","",M282+K282+H282)</f>
        <v/>
      </c>
      <c r="Q282" s="204"/>
      <c r="R282" s="200" t="str">
        <f aca="false">IF($A283="","",VLOOKUP($A282,Table,MATCH(R$4,Curves,0)))</f>
        <v/>
      </c>
      <c r="S282" s="201" t="str">
        <f aca="false">IF(A283="","",R282)</f>
        <v/>
      </c>
      <c r="T282" s="200" t="str">
        <f aca="false">IF($A283="","",VLOOKUP($A282,Table,MATCH(T$4,Curves,0)))</f>
        <v/>
      </c>
      <c r="U282" s="201" t="str">
        <f aca="false">IF(A283="","",T282)</f>
        <v/>
      </c>
      <c r="V282" s="183" t="str">
        <f aca="false">IF($A283="","",IF(AND(MONTH(A282)&gt;3,MONTH(A282)&lt;11),(T282+R282+G282)*Summary!$T$8/(1-Summary!$T$8),(T282+R282+G282)*Summary!$U$8/(1-Summary!$U$8)))</f>
        <v/>
      </c>
      <c r="W282" s="200" t="str">
        <f aca="false">IF($A283="","",(T282+R282+G282+V282))</f>
        <v/>
      </c>
      <c r="X282" s="200" t="str">
        <f aca="false">IF($A283="","",(U282+S282+H282+V282))</f>
        <v/>
      </c>
      <c r="Y282" s="202"/>
      <c r="Z282" s="185" t="str">
        <f aca="false">IF($A283="","",VLOOKUP($A282,Table,MATCH(Z$4,Curves,0)))</f>
        <v/>
      </c>
      <c r="AA282" s="185" t="str">
        <f aca="false">IF($A283="","",VLOOKUP($A282,Table,MATCH(AA$4,Curves,0)))</f>
        <v/>
      </c>
      <c r="AB282" s="185" t="e">
        <f aca="false">SQRT((AA282^2*(A282-$D$3)+Z282^2*(DAY(EOMONTH(A282,0))/2))/AK282)</f>
        <v>#VALUE!</v>
      </c>
      <c r="AC282" s="185" t="str">
        <f aca="false">IF($A283="","",VLOOKUP($A282,Table,MATCH(AC$4,Curves,0)))</f>
        <v/>
      </c>
      <c r="AD282" s="185" t="str">
        <f aca="false">IF($A283="","",VLOOKUP($A282,Table,MATCH(AD$4,Curves,0)))</f>
        <v/>
      </c>
      <c r="AE282" s="185" t="e">
        <f aca="false">SQRT((AD282^2*(A282-$D$3)+AC282^2*(DAY(EOMONTH(A282,0))/2))/AK282)</f>
        <v>#VALUE!</v>
      </c>
      <c r="AF282" s="224" t="e">
        <f aca="false">((Summary!$N$8*(AA282*AD282)*(A282-$D$3))+(Summary!$M$8*Z282*AC282*(AJ282-EOMONTH(EDATE(A282,-1),0))))/(AK282*AB282*AE282)</f>
        <v>#VALUE!</v>
      </c>
      <c r="AG282" s="207" t="str">
        <f aca="false">IF($A283="","",Summary!$Q$8)</f>
        <v/>
      </c>
      <c r="AH282" s="207" t="str">
        <f aca="false">IF($A283="","",IF(Summary!$R$8="Y",(VLOOKUP($A282,Summary!$AD$6:$AF$9,3)+'Escalating commodity'!D295),'Escalating commodity'!D295))</f>
        <v/>
      </c>
      <c r="AI282" s="207" t="str">
        <f aca="false">IF($A283="","",AH282)</f>
        <v/>
      </c>
      <c r="AJ282" s="208" t="e">
        <f aca="false">A282+DAY(EOMONTH(A282,0))/2-1</f>
        <v>#VALUE!</v>
      </c>
      <c r="AK282" s="209" t="str">
        <f aca="false">IF($A283="","",$A282-$E$1)</f>
        <v/>
      </c>
      <c r="AL282" s="182" t="str">
        <f aca="false">IF($A283="","",SPRDOPT(P282,X282,AI282,0,AB282,AE282,AF282,AK282,$AJ$2,0))</f>
        <v/>
      </c>
      <c r="AM282" s="211" t="str">
        <f aca="false">IF($A283="","",MAX(0,O282-W282-AI282))</f>
        <v/>
      </c>
      <c r="AN282" s="211" t="str">
        <f aca="false">IF($A283="","",AL282-AM282)</f>
        <v/>
      </c>
      <c r="AO282" s="137" t="str">
        <f aca="false">IF(A283="","",A283-A282)</f>
        <v/>
      </c>
      <c r="AP282" s="212" t="str">
        <f aca="false">IF(A283="","",CHOOSE(F$3,A283+24,A282))</f>
        <v/>
      </c>
      <c r="AQ282" s="209" t="str">
        <f aca="false">IF(A283="","",AP282-$E$1)</f>
        <v/>
      </c>
      <c r="AR282" s="185" t="n">
        <f aca="false">'ANR OK vs ML7'!AR282</f>
        <v>0.1</v>
      </c>
      <c r="AS282" s="213" t="str">
        <f aca="false">IF(A283="","",1/(1+CHOOSE(F$3,(AR283+($I$3/10000))/2,(AR282+($I$3/10000))/2))^(2*AQ282/365.25))</f>
        <v/>
      </c>
      <c r="AT282" s="137" t="str">
        <f aca="false">IF(A283="","",IF(AND(mthbeg&lt;=A282,mthend&gt;=A282),1,0))</f>
        <v/>
      </c>
      <c r="AU282" s="137" t="str">
        <f aca="false">IF(A283="","",AO282*AT282)</f>
        <v/>
      </c>
      <c r="AW282" s="195" t="str">
        <f aca="false">IF($A283="","",AL282*$E282)</f>
        <v/>
      </c>
      <c r="AX282" s="195" t="str">
        <f aca="false">IF($A283="","",AM282*$E282)</f>
        <v/>
      </c>
      <c r="AY282" s="195" t="str">
        <f aca="false">IF($A283="","",AN282*$E282)</f>
        <v/>
      </c>
      <c r="BA282" s="195" t="str">
        <f aca="false">IF($A283="","",F282*Summary!$Q$8)</f>
        <v/>
      </c>
    </row>
    <row r="283" customFormat="false" ht="12" hidden="false" customHeight="true" outlineLevel="0" collapsed="false">
      <c r="A283" s="196" t="str">
        <f aca="false">IF(A282&lt;mthend,EDATE(A282,1),"")</f>
        <v/>
      </c>
      <c r="B283" s="197" t="n">
        <f aca="false">IF(A283&lt;mthend,B282,0)</f>
        <v>0</v>
      </c>
      <c r="C283" s="215"/>
      <c r="D283" s="197" t="str">
        <f aca="false">IF(A284&lt;&gt;"",B283+C283,"")</f>
        <v/>
      </c>
      <c r="E283" s="199" t="str">
        <f aca="false">IF(A284="","",IF(AND(AT283=1,$H$3=1),D283*AO283,IF($H$3=2,D283,"N/A")))</f>
        <v/>
      </c>
      <c r="F283" s="199" t="str">
        <f aca="false">IF(A284="","",E283*AS283)</f>
        <v/>
      </c>
      <c r="G283" s="200" t="str">
        <f aca="false">IF($A284="","",VLOOKUP($A283,Table,MATCH(G$4,Curves,0)))</f>
        <v/>
      </c>
      <c r="H283" s="201" t="str">
        <f aca="false">IF(A284="","",G283)</f>
        <v/>
      </c>
      <c r="I283" s="202"/>
      <c r="J283" s="200" t="str">
        <f aca="false">IF($A284="","",VLOOKUP($A283,Table,MATCH(J$4,Curves,0)))</f>
        <v/>
      </c>
      <c r="K283" s="201" t="str">
        <f aca="false">IF(A284="","",J283)</f>
        <v/>
      </c>
      <c r="L283" s="200" t="str">
        <f aca="false">IF($A284="","",VLOOKUP($A283,Table,MATCH(L$4,Curves,0)))</f>
        <v/>
      </c>
      <c r="M283" s="201" t="str">
        <f aca="false">IF(A284="","",L283)</f>
        <v/>
      </c>
      <c r="N283" s="203"/>
      <c r="O283" s="200" t="str">
        <f aca="false">IF(A284="","",L283+J283+G283)</f>
        <v/>
      </c>
      <c r="P283" s="200" t="str">
        <f aca="false">IF(A284="","",M283+K283+H283)</f>
        <v/>
      </c>
      <c r="Q283" s="204"/>
      <c r="R283" s="200" t="str">
        <f aca="false">IF($A284="","",VLOOKUP($A283,Table,MATCH(R$4,Curves,0)))</f>
        <v/>
      </c>
      <c r="S283" s="201" t="str">
        <f aca="false">IF(A284="","",R283)</f>
        <v/>
      </c>
      <c r="T283" s="200" t="str">
        <f aca="false">IF($A284="","",VLOOKUP($A283,Table,MATCH(T$4,Curves,0)))</f>
        <v/>
      </c>
      <c r="U283" s="201" t="str">
        <f aca="false">IF(A284="","",T283)</f>
        <v/>
      </c>
      <c r="V283" s="183" t="str">
        <f aca="false">IF($A284="","",IF(AND(MONTH(A283)&gt;3,MONTH(A283)&lt;11),(T283+R283+G283)*Summary!$T$8/(1-Summary!$T$8),(T283+R283+G283)*Summary!$U$8/(1-Summary!$U$8)))</f>
        <v/>
      </c>
      <c r="W283" s="200" t="str">
        <f aca="false">IF($A284="","",(T283+R283+G283+V283))</f>
        <v/>
      </c>
      <c r="X283" s="200" t="str">
        <f aca="false">IF($A284="","",(U283+S283+H283+V283))</f>
        <v/>
      </c>
      <c r="Y283" s="202"/>
      <c r="Z283" s="185" t="str">
        <f aca="false">IF($A284="","",VLOOKUP($A283,Table,MATCH(Z$4,Curves,0)))</f>
        <v/>
      </c>
      <c r="AA283" s="185" t="str">
        <f aca="false">IF($A284="","",VLOOKUP($A283,Table,MATCH(AA$4,Curves,0)))</f>
        <v/>
      </c>
      <c r="AB283" s="185" t="e">
        <f aca="false">SQRT((AA283^2*(A283-$D$3)+Z283^2*(DAY(EOMONTH(A283,0))/2))/AK283)</f>
        <v>#VALUE!</v>
      </c>
      <c r="AC283" s="185" t="str">
        <f aca="false">IF($A284="","",VLOOKUP($A283,Table,MATCH(AC$4,Curves,0)))</f>
        <v/>
      </c>
      <c r="AD283" s="185" t="str">
        <f aca="false">IF($A284="","",VLOOKUP($A283,Table,MATCH(AD$4,Curves,0)))</f>
        <v/>
      </c>
      <c r="AE283" s="185" t="e">
        <f aca="false">SQRT((AD283^2*(A283-$D$3)+AC283^2*(DAY(EOMONTH(A283,0))/2))/AK283)</f>
        <v>#VALUE!</v>
      </c>
      <c r="AF283" s="224" t="e">
        <f aca="false">((Summary!$N$8*(AA283*AD283)*(A283-$D$3))+(Summary!$M$8*Z283*AC283*(AJ283-EOMONTH(EDATE(A283,-1),0))))/(AK283*AB283*AE283)</f>
        <v>#VALUE!</v>
      </c>
      <c r="AG283" s="207" t="str">
        <f aca="false">IF($A284="","",Summary!$Q$8)</f>
        <v/>
      </c>
      <c r="AH283" s="207" t="str">
        <f aca="false">IF($A284="","",IF(Summary!$R$8="Y",(VLOOKUP($A283,Summary!$AD$6:$AF$9,3)+'Escalating commodity'!D296),'Escalating commodity'!D296))</f>
        <v/>
      </c>
      <c r="AI283" s="207" t="str">
        <f aca="false">IF($A284="","",AH283)</f>
        <v/>
      </c>
      <c r="AJ283" s="208" t="e">
        <f aca="false">A283+DAY(EOMONTH(A283,0))/2-1</f>
        <v>#VALUE!</v>
      </c>
      <c r="AK283" s="209" t="str">
        <f aca="false">IF($A284="","",$A283-$E$1)</f>
        <v/>
      </c>
      <c r="AL283" s="182" t="str">
        <f aca="false">IF($A284="","",SPRDOPT(P283,X283,AI283,0,AB283,AE283,AF283,AK283,$AJ$2,0))</f>
        <v/>
      </c>
      <c r="AM283" s="211" t="str">
        <f aca="false">IF($A284="","",MAX(0,O283-W283-AI283))</f>
        <v/>
      </c>
      <c r="AN283" s="211" t="str">
        <f aca="false">IF($A284="","",AL283-AM283)</f>
        <v/>
      </c>
      <c r="AO283" s="137" t="str">
        <f aca="false">IF(A284="","",A284-A283)</f>
        <v/>
      </c>
      <c r="AP283" s="212" t="str">
        <f aca="false">IF(A284="","",CHOOSE(F$3,A284+24,A283))</f>
        <v/>
      </c>
      <c r="AQ283" s="209" t="str">
        <f aca="false">IF(A284="","",AP283-$E$1)</f>
        <v/>
      </c>
      <c r="AR283" s="185" t="n">
        <f aca="false">'ANR OK vs ML7'!AR283</f>
        <v>0.1</v>
      </c>
      <c r="AS283" s="213" t="str">
        <f aca="false">IF(A284="","",1/(1+CHOOSE(F$3,(AR284+($I$3/10000))/2,(AR283+($I$3/10000))/2))^(2*AQ283/365.25))</f>
        <v/>
      </c>
      <c r="AT283" s="137" t="str">
        <f aca="false">IF(A284="","",IF(AND(mthbeg&lt;=A283,mthend&gt;=A283),1,0))</f>
        <v/>
      </c>
      <c r="AU283" s="137" t="str">
        <f aca="false">IF(A284="","",AO283*AT283)</f>
        <v/>
      </c>
      <c r="AW283" s="195" t="str">
        <f aca="false">IF($A284="","",AL283*$E283)</f>
        <v/>
      </c>
      <c r="AX283" s="195" t="str">
        <f aca="false">IF($A284="","",AM283*$E283)</f>
        <v/>
      </c>
      <c r="AY283" s="195" t="str">
        <f aca="false">IF($A284="","",AN283*$E283)</f>
        <v/>
      </c>
      <c r="BA283" s="195" t="str">
        <f aca="false">IF($A284="","",F283*Summary!$Q$8)</f>
        <v/>
      </c>
    </row>
    <row r="284" customFormat="false" ht="12" hidden="false" customHeight="true" outlineLevel="0" collapsed="false">
      <c r="A284" s="196" t="str">
        <f aca="false">IF(A283&lt;mthend,EDATE(A283,1),"")</f>
        <v/>
      </c>
      <c r="B284" s="197" t="n">
        <f aca="false">IF(A284&lt;mthend,B283,0)</f>
        <v>0</v>
      </c>
      <c r="C284" s="215"/>
      <c r="D284" s="197" t="str">
        <f aca="false">IF(A285&lt;&gt;"",B284+C284,"")</f>
        <v/>
      </c>
      <c r="E284" s="199" t="str">
        <f aca="false">IF(A285="","",IF(AND(AT284=1,$H$3=1),D284*AO284,IF($H$3=2,D284,"N/A")))</f>
        <v/>
      </c>
      <c r="F284" s="199" t="str">
        <f aca="false">IF(A285="","",E284*AS284)</f>
        <v/>
      </c>
      <c r="G284" s="200" t="str">
        <f aca="false">IF($A285="","",VLOOKUP($A284,Table,MATCH(G$4,Curves,0)))</f>
        <v/>
      </c>
      <c r="H284" s="201" t="str">
        <f aca="false">IF(A285="","",G284)</f>
        <v/>
      </c>
      <c r="I284" s="202"/>
      <c r="J284" s="200" t="str">
        <f aca="false">IF($A285="","",VLOOKUP($A284,Table,MATCH(J$4,Curves,0)))</f>
        <v/>
      </c>
      <c r="K284" s="201" t="str">
        <f aca="false">IF(A285="","",J284)</f>
        <v/>
      </c>
      <c r="L284" s="200" t="str">
        <f aca="false">IF($A285="","",VLOOKUP($A284,Table,MATCH(L$4,Curves,0)))</f>
        <v/>
      </c>
      <c r="M284" s="201" t="str">
        <f aca="false">IF(A285="","",L284)</f>
        <v/>
      </c>
      <c r="N284" s="203"/>
      <c r="O284" s="200" t="str">
        <f aca="false">IF(A285="","",L284+J284+G284)</f>
        <v/>
      </c>
      <c r="P284" s="200" t="str">
        <f aca="false">IF(A285="","",M284+K284+H284)</f>
        <v/>
      </c>
      <c r="Q284" s="204"/>
      <c r="R284" s="200" t="str">
        <f aca="false">IF($A285="","",VLOOKUP($A284,Table,MATCH(R$4,Curves,0)))</f>
        <v/>
      </c>
      <c r="S284" s="201" t="str">
        <f aca="false">IF(A285="","",R284)</f>
        <v/>
      </c>
      <c r="T284" s="200" t="str">
        <f aca="false">IF($A285="","",VLOOKUP($A284,Table,MATCH(T$4,Curves,0)))</f>
        <v/>
      </c>
      <c r="U284" s="201" t="str">
        <f aca="false">IF(A285="","",T284)</f>
        <v/>
      </c>
      <c r="V284" s="183" t="str">
        <f aca="false">IF($A285="","",IF(AND(MONTH(A284)&gt;3,MONTH(A284)&lt;11),(T284+R284+G284)*Summary!$T$8/(1-Summary!$T$8),(T284+R284+G284)*Summary!$U$8/(1-Summary!$U$8)))</f>
        <v/>
      </c>
      <c r="W284" s="200" t="str">
        <f aca="false">IF($A285="","",(T284+R284+G284+V284))</f>
        <v/>
      </c>
      <c r="X284" s="200" t="str">
        <f aca="false">IF($A285="","",(U284+S284+H284+V284))</f>
        <v/>
      </c>
      <c r="Y284" s="202"/>
      <c r="Z284" s="185" t="str">
        <f aca="false">IF($A285="","",VLOOKUP($A284,Table,MATCH(Z$4,Curves,0)))</f>
        <v/>
      </c>
      <c r="AA284" s="185" t="str">
        <f aca="false">IF($A285="","",VLOOKUP($A284,Table,MATCH(AA$4,Curves,0)))</f>
        <v/>
      </c>
      <c r="AB284" s="185" t="e">
        <f aca="false">SQRT((AA284^2*(A284-$D$3)+Z284^2*(DAY(EOMONTH(A284,0))/2))/AK284)</f>
        <v>#VALUE!</v>
      </c>
      <c r="AC284" s="185" t="str">
        <f aca="false">IF($A285="","",VLOOKUP($A284,Table,MATCH(AC$4,Curves,0)))</f>
        <v/>
      </c>
      <c r="AD284" s="185" t="str">
        <f aca="false">IF($A285="","",VLOOKUP($A284,Table,MATCH(AD$4,Curves,0)))</f>
        <v/>
      </c>
      <c r="AE284" s="185" t="e">
        <f aca="false">SQRT((AD284^2*(A284-$D$3)+AC284^2*(DAY(EOMONTH(A284,0))/2))/AK284)</f>
        <v>#VALUE!</v>
      </c>
      <c r="AF284" s="224" t="e">
        <f aca="false">((Summary!$N$8*(AA284*AD284)*(A284-$D$3))+(Summary!$M$8*Z284*AC284*(AJ284-EOMONTH(EDATE(A284,-1),0))))/(AK284*AB284*AE284)</f>
        <v>#VALUE!</v>
      </c>
      <c r="AG284" s="207" t="str">
        <f aca="false">IF($A285="","",Summary!$Q$8)</f>
        <v/>
      </c>
      <c r="AH284" s="207" t="str">
        <f aca="false">IF($A285="","",IF(Summary!$R$8="Y",(VLOOKUP($A284,Summary!$AD$6:$AF$9,3)+'Escalating commodity'!D297),'Escalating commodity'!D297))</f>
        <v/>
      </c>
      <c r="AI284" s="207" t="str">
        <f aca="false">IF($A285="","",AH284)</f>
        <v/>
      </c>
      <c r="AJ284" s="208" t="e">
        <f aca="false">A284+DAY(EOMONTH(A284,0))/2-1</f>
        <v>#VALUE!</v>
      </c>
      <c r="AK284" s="209" t="str">
        <f aca="false">IF($A285="","",$A284-$E$1)</f>
        <v/>
      </c>
      <c r="AL284" s="182" t="str">
        <f aca="false">IF($A285="","",SPRDOPT(P284,X284,AI284,0,AB284,AE284,AF284,AK284,$AJ$2,0))</f>
        <v/>
      </c>
      <c r="AM284" s="211" t="str">
        <f aca="false">IF($A285="","",MAX(0,O284-W284-AI284))</f>
        <v/>
      </c>
      <c r="AN284" s="211" t="str">
        <f aca="false">IF($A285="","",AL284-AM284)</f>
        <v/>
      </c>
      <c r="AO284" s="137" t="str">
        <f aca="false">IF(A285="","",A285-A284)</f>
        <v/>
      </c>
      <c r="AP284" s="212" t="str">
        <f aca="false">IF(A285="","",CHOOSE(F$3,A285+24,A284))</f>
        <v/>
      </c>
      <c r="AQ284" s="209" t="str">
        <f aca="false">IF(A285="","",AP284-$E$1)</f>
        <v/>
      </c>
      <c r="AR284" s="185" t="n">
        <f aca="false">'ANR OK vs ML7'!AR284</f>
        <v>0.1</v>
      </c>
      <c r="AS284" s="213" t="str">
        <f aca="false">IF(A285="","",1/(1+CHOOSE(F$3,(AR285+($I$3/10000))/2,(AR284+($I$3/10000))/2))^(2*AQ284/365.25))</f>
        <v/>
      </c>
      <c r="AT284" s="137" t="str">
        <f aca="false">IF(A285="","",IF(AND(mthbeg&lt;=A284,mthend&gt;=A284),1,0))</f>
        <v/>
      </c>
      <c r="AU284" s="137" t="str">
        <f aca="false">IF(A285="","",AO284*AT284)</f>
        <v/>
      </c>
      <c r="AW284" s="195" t="str">
        <f aca="false">IF($A285="","",AL284*$E284)</f>
        <v/>
      </c>
      <c r="AX284" s="195" t="str">
        <f aca="false">IF($A285="","",AM284*$E284)</f>
        <v/>
      </c>
      <c r="AY284" s="195" t="str">
        <f aca="false">IF($A285="","",AN284*$E284)</f>
        <v/>
      </c>
      <c r="BA284" s="195" t="str">
        <f aca="false">IF($A285="","",F284*Summary!$Q$8)</f>
        <v/>
      </c>
    </row>
    <row r="285" customFormat="false" ht="12" hidden="false" customHeight="true" outlineLevel="0" collapsed="false">
      <c r="A285" s="196" t="str">
        <f aca="false">IF(A284&lt;mthend,EDATE(A284,1),"")</f>
        <v/>
      </c>
      <c r="B285" s="197" t="n">
        <f aca="false">IF(A285&lt;mthend,B284,0)</f>
        <v>0</v>
      </c>
      <c r="C285" s="215"/>
      <c r="D285" s="197" t="str">
        <f aca="false">IF(A286&lt;&gt;"",B285+C285,"")</f>
        <v/>
      </c>
      <c r="E285" s="199" t="str">
        <f aca="false">IF(A286="","",IF(AND(AT285=1,$H$3=1),D285*AO285,IF($H$3=2,D285,"N/A")))</f>
        <v/>
      </c>
      <c r="F285" s="199" t="str">
        <f aca="false">IF(A286="","",E285*AS285)</f>
        <v/>
      </c>
      <c r="G285" s="200" t="str">
        <f aca="false">IF($A286="","",VLOOKUP($A285,Table,MATCH(G$4,Curves,0)))</f>
        <v/>
      </c>
      <c r="H285" s="201" t="str">
        <f aca="false">IF(A286="","",G285)</f>
        <v/>
      </c>
      <c r="I285" s="202"/>
      <c r="J285" s="200" t="str">
        <f aca="false">IF($A286="","",VLOOKUP($A285,Table,MATCH(J$4,Curves,0)))</f>
        <v/>
      </c>
      <c r="K285" s="201" t="str">
        <f aca="false">IF(A286="","",J285)</f>
        <v/>
      </c>
      <c r="L285" s="200" t="str">
        <f aca="false">IF($A286="","",VLOOKUP($A285,Table,MATCH(L$4,Curves,0)))</f>
        <v/>
      </c>
      <c r="M285" s="201" t="str">
        <f aca="false">IF(A286="","",L285)</f>
        <v/>
      </c>
      <c r="N285" s="203"/>
      <c r="O285" s="200" t="str">
        <f aca="false">IF(A286="","",L285+J285+G285)</f>
        <v/>
      </c>
      <c r="P285" s="200" t="str">
        <f aca="false">IF(A286="","",M285+K285+H285)</f>
        <v/>
      </c>
      <c r="Q285" s="204"/>
      <c r="R285" s="200" t="str">
        <f aca="false">IF($A286="","",VLOOKUP($A285,Table,MATCH(R$4,Curves,0)))</f>
        <v/>
      </c>
      <c r="S285" s="201" t="str">
        <f aca="false">IF(A286="","",R285)</f>
        <v/>
      </c>
      <c r="T285" s="200" t="str">
        <f aca="false">IF($A286="","",VLOOKUP($A285,Table,MATCH(T$4,Curves,0)))</f>
        <v/>
      </c>
      <c r="U285" s="201" t="str">
        <f aca="false">IF(A286="","",T285)</f>
        <v/>
      </c>
      <c r="V285" s="183" t="str">
        <f aca="false">IF($A286="","",IF(AND(MONTH(A285)&gt;3,MONTH(A285)&lt;11),(T285+R285+G285)*Summary!$T$8/(1-Summary!$T$8),(T285+R285+G285)*Summary!$U$8/(1-Summary!$U$8)))</f>
        <v/>
      </c>
      <c r="W285" s="200" t="str">
        <f aca="false">IF($A286="","",(T285+R285+G285+V285))</f>
        <v/>
      </c>
      <c r="X285" s="200" t="str">
        <f aca="false">IF($A286="","",(U285+S285+H285+V285))</f>
        <v/>
      </c>
      <c r="Y285" s="202"/>
      <c r="Z285" s="185" t="str">
        <f aca="false">IF($A286="","",VLOOKUP($A285,Table,MATCH(Z$4,Curves,0)))</f>
        <v/>
      </c>
      <c r="AA285" s="185" t="str">
        <f aca="false">IF($A286="","",VLOOKUP($A285,Table,MATCH(AA$4,Curves,0)))</f>
        <v/>
      </c>
      <c r="AB285" s="185" t="e">
        <f aca="false">SQRT((AA285^2*(A285-$D$3)+Z285^2*(DAY(EOMONTH(A285,0))/2))/AK285)</f>
        <v>#VALUE!</v>
      </c>
      <c r="AC285" s="185" t="str">
        <f aca="false">IF($A286="","",VLOOKUP($A285,Table,MATCH(AC$4,Curves,0)))</f>
        <v/>
      </c>
      <c r="AD285" s="185" t="str">
        <f aca="false">IF($A286="","",VLOOKUP($A285,Table,MATCH(AD$4,Curves,0)))</f>
        <v/>
      </c>
      <c r="AE285" s="185" t="e">
        <f aca="false">SQRT((AD285^2*(A285-$D$3)+AC285^2*(DAY(EOMONTH(A285,0))/2))/AK285)</f>
        <v>#VALUE!</v>
      </c>
      <c r="AF285" s="224" t="e">
        <f aca="false">((Summary!$N$8*(AA285*AD285)*(A285-$D$3))+(Summary!$M$8*Z285*AC285*(AJ285-EOMONTH(EDATE(A285,-1),0))))/(AK285*AB285*AE285)</f>
        <v>#VALUE!</v>
      </c>
      <c r="AG285" s="207" t="str">
        <f aca="false">IF($A286="","",Summary!$Q$8)</f>
        <v/>
      </c>
      <c r="AH285" s="207" t="str">
        <f aca="false">IF($A286="","",IF(Summary!$R$8="Y",(VLOOKUP($A285,Summary!$AD$6:$AF$9,3)+'Escalating commodity'!D298),'Escalating commodity'!D298))</f>
        <v/>
      </c>
      <c r="AI285" s="207" t="str">
        <f aca="false">IF($A286="","",AH285)</f>
        <v/>
      </c>
      <c r="AJ285" s="208" t="e">
        <f aca="false">A285+DAY(EOMONTH(A285,0))/2-1</f>
        <v>#VALUE!</v>
      </c>
      <c r="AK285" s="209" t="str">
        <f aca="false">IF($A286="","",$A285-$E$1)</f>
        <v/>
      </c>
      <c r="AL285" s="182" t="str">
        <f aca="false">IF($A286="","",SPRDOPT(P285,X285,AI285,0,AB285,AE285,AF285,AK285,$AJ$2,0))</f>
        <v/>
      </c>
      <c r="AM285" s="211" t="str">
        <f aca="false">IF($A286="","",MAX(0,O285-W285-AI285))</f>
        <v/>
      </c>
      <c r="AN285" s="211" t="str">
        <f aca="false">IF($A286="","",AL285-AM285)</f>
        <v/>
      </c>
      <c r="AO285" s="137" t="str">
        <f aca="false">IF(A286="","",A286-A285)</f>
        <v/>
      </c>
      <c r="AP285" s="212" t="str">
        <f aca="false">IF(A286="","",CHOOSE(F$3,A286+24,A285))</f>
        <v/>
      </c>
      <c r="AQ285" s="209" t="str">
        <f aca="false">IF(A286="","",AP285-$E$1)</f>
        <v/>
      </c>
      <c r="AR285" s="185" t="n">
        <f aca="false">'ANR OK vs ML7'!AR285</f>
        <v>0.1</v>
      </c>
      <c r="AS285" s="213" t="str">
        <f aca="false">IF(A286="","",1/(1+CHOOSE(F$3,(AR286+($I$3/10000))/2,(AR285+($I$3/10000))/2))^(2*AQ285/365.25))</f>
        <v/>
      </c>
      <c r="AT285" s="137" t="str">
        <f aca="false">IF(A286="","",IF(AND(mthbeg&lt;=A285,mthend&gt;=A285),1,0))</f>
        <v/>
      </c>
      <c r="AU285" s="137" t="str">
        <f aca="false">IF(A286="","",AO285*AT285)</f>
        <v/>
      </c>
      <c r="AW285" s="195" t="str">
        <f aca="false">IF($A286="","",AL285*$E285)</f>
        <v/>
      </c>
      <c r="AX285" s="195" t="str">
        <f aca="false">IF($A286="","",AM285*$E285)</f>
        <v/>
      </c>
      <c r="AY285" s="195" t="str">
        <f aca="false">IF($A286="","",AN285*$E285)</f>
        <v/>
      </c>
      <c r="BA285" s="195" t="str">
        <f aca="false">IF($A286="","",F285*Summary!$Q$8)</f>
        <v/>
      </c>
    </row>
    <row r="286" customFormat="false" ht="12" hidden="false" customHeight="true" outlineLevel="0" collapsed="false">
      <c r="A286" s="196" t="str">
        <f aca="false">IF(A285&lt;mthend,EDATE(A285,1),"")</f>
        <v/>
      </c>
      <c r="B286" s="197" t="n">
        <f aca="false">IF(A286&lt;mthend,B285,0)</f>
        <v>0</v>
      </c>
      <c r="C286" s="215"/>
      <c r="D286" s="197" t="str">
        <f aca="false">IF(A287&lt;&gt;"",B286+C286,"")</f>
        <v/>
      </c>
      <c r="E286" s="199" t="str">
        <f aca="false">IF(A287="","",IF(AND(AT286=1,$H$3=1),D286*AO286,IF($H$3=2,D286,"N/A")))</f>
        <v/>
      </c>
      <c r="F286" s="199" t="str">
        <f aca="false">IF(A287="","",E286*AS286)</f>
        <v/>
      </c>
      <c r="G286" s="200" t="str">
        <f aca="false">IF($A287="","",VLOOKUP($A286,Table,MATCH(G$4,Curves,0)))</f>
        <v/>
      </c>
      <c r="H286" s="201" t="str">
        <f aca="false">IF(A287="","",G286)</f>
        <v/>
      </c>
      <c r="I286" s="202"/>
      <c r="J286" s="200" t="str">
        <f aca="false">IF($A287="","",VLOOKUP($A286,Table,MATCH(J$4,Curves,0)))</f>
        <v/>
      </c>
      <c r="K286" s="201" t="str">
        <f aca="false">IF(A287="","",J286)</f>
        <v/>
      </c>
      <c r="L286" s="200" t="str">
        <f aca="false">IF($A287="","",VLOOKUP($A286,Table,MATCH(L$4,Curves,0)))</f>
        <v/>
      </c>
      <c r="M286" s="201" t="str">
        <f aca="false">IF(A287="","",L286)</f>
        <v/>
      </c>
      <c r="N286" s="203"/>
      <c r="O286" s="200" t="str">
        <f aca="false">IF(A287="","",L286+J286+G286)</f>
        <v/>
      </c>
      <c r="P286" s="200" t="str">
        <f aca="false">IF(A287="","",M286+K286+H286)</f>
        <v/>
      </c>
      <c r="Q286" s="204"/>
      <c r="R286" s="200" t="str">
        <f aca="false">IF($A287="","",VLOOKUP($A286,Table,MATCH(R$4,Curves,0)))</f>
        <v/>
      </c>
      <c r="S286" s="201" t="str">
        <f aca="false">IF(A287="","",R286)</f>
        <v/>
      </c>
      <c r="T286" s="200" t="str">
        <f aca="false">IF($A287="","",VLOOKUP($A286,Table,MATCH(T$4,Curves,0)))</f>
        <v/>
      </c>
      <c r="U286" s="201" t="str">
        <f aca="false">IF(A287="","",T286)</f>
        <v/>
      </c>
      <c r="V286" s="183" t="str">
        <f aca="false">IF($A287="","",IF(AND(MONTH(A286)&gt;3,MONTH(A286)&lt;11),(T286+R286+G286)*Summary!$T$8/(1-Summary!$T$8),(T286+R286+G286)*Summary!$U$8/(1-Summary!$U$8)))</f>
        <v/>
      </c>
      <c r="W286" s="200" t="str">
        <f aca="false">IF($A287="","",(T286+R286+G286+V286))</f>
        <v/>
      </c>
      <c r="X286" s="200" t="str">
        <f aca="false">IF($A287="","",(U286+S286+H286+V286))</f>
        <v/>
      </c>
      <c r="Y286" s="202"/>
      <c r="Z286" s="185" t="str">
        <f aca="false">IF($A287="","",VLOOKUP($A286,Table,MATCH(Z$4,Curves,0)))</f>
        <v/>
      </c>
      <c r="AA286" s="185" t="str">
        <f aca="false">IF($A287="","",VLOOKUP($A286,Table,MATCH(AA$4,Curves,0)))</f>
        <v/>
      </c>
      <c r="AB286" s="185" t="e">
        <f aca="false">SQRT((AA286^2*(A286-$D$3)+Z286^2*(DAY(EOMONTH(A286,0))/2))/AK286)</f>
        <v>#VALUE!</v>
      </c>
      <c r="AC286" s="185" t="str">
        <f aca="false">IF($A287="","",VLOOKUP($A286,Table,MATCH(AC$4,Curves,0)))</f>
        <v/>
      </c>
      <c r="AD286" s="185" t="str">
        <f aca="false">IF($A287="","",VLOOKUP($A286,Table,MATCH(AD$4,Curves,0)))</f>
        <v/>
      </c>
      <c r="AE286" s="185" t="e">
        <f aca="false">SQRT((AD286^2*(A286-$D$3)+AC286^2*(DAY(EOMONTH(A286,0))/2))/AK286)</f>
        <v>#VALUE!</v>
      </c>
      <c r="AF286" s="224" t="e">
        <f aca="false">((Summary!$N$8*(AA286*AD286)*(A286-$D$3))+(Summary!$M$8*Z286*AC286*(AJ286-EOMONTH(EDATE(A286,-1),0))))/(AK286*AB286*AE286)</f>
        <v>#VALUE!</v>
      </c>
      <c r="AG286" s="207" t="str">
        <f aca="false">IF($A287="","",Summary!$Q$8)</f>
        <v/>
      </c>
      <c r="AH286" s="207" t="str">
        <f aca="false">IF($A287="","",IF(Summary!$R$8="Y",(VLOOKUP($A286,Summary!$AD$6:$AF$9,3)+'Escalating commodity'!D299),'Escalating commodity'!D299))</f>
        <v/>
      </c>
      <c r="AI286" s="207" t="str">
        <f aca="false">IF($A287="","",AH286)</f>
        <v/>
      </c>
      <c r="AJ286" s="208" t="e">
        <f aca="false">A286+DAY(EOMONTH(A286,0))/2-1</f>
        <v>#VALUE!</v>
      </c>
      <c r="AK286" s="209" t="str">
        <f aca="false">IF($A287="","",$A286-$E$1)</f>
        <v/>
      </c>
      <c r="AL286" s="182" t="str">
        <f aca="false">IF($A287="","",SPRDOPT(P286,X286,AI286,0,AB286,AE286,AF286,AK286,$AJ$2,0))</f>
        <v/>
      </c>
      <c r="AM286" s="211" t="str">
        <f aca="false">IF($A287="","",MAX(0,O286-W286-AI286))</f>
        <v/>
      </c>
      <c r="AN286" s="211" t="str">
        <f aca="false">IF($A287="","",AL286-AM286)</f>
        <v/>
      </c>
      <c r="AO286" s="137" t="str">
        <f aca="false">IF(A287="","",A287-A286)</f>
        <v/>
      </c>
      <c r="AP286" s="212" t="str">
        <f aca="false">IF(A287="","",CHOOSE(F$3,A287+24,A286))</f>
        <v/>
      </c>
      <c r="AQ286" s="209" t="str">
        <f aca="false">IF(A287="","",AP286-$E$1)</f>
        <v/>
      </c>
      <c r="AR286" s="185" t="n">
        <f aca="false">'ANR OK vs ML7'!AR286</f>
        <v>0.1</v>
      </c>
      <c r="AS286" s="213" t="str">
        <f aca="false">IF(A287="","",1/(1+CHOOSE(F$3,(AR287+($I$3/10000))/2,(AR286+($I$3/10000))/2))^(2*AQ286/365.25))</f>
        <v/>
      </c>
      <c r="AT286" s="137" t="str">
        <f aca="false">IF(A287="","",IF(AND(mthbeg&lt;=A286,mthend&gt;=A286),1,0))</f>
        <v/>
      </c>
      <c r="AU286" s="137" t="str">
        <f aca="false">IF(A287="","",AO286*AT286)</f>
        <v/>
      </c>
      <c r="AW286" s="195" t="str">
        <f aca="false">IF($A287="","",AL286*$E286)</f>
        <v/>
      </c>
      <c r="AX286" s="195" t="str">
        <f aca="false">IF($A287="","",AM286*$E286)</f>
        <v/>
      </c>
      <c r="AY286" s="195" t="str">
        <f aca="false">IF($A287="","",AN286*$E286)</f>
        <v/>
      </c>
      <c r="BA286" s="195" t="str">
        <f aca="false">IF($A287="","",F286*Summary!$Q$8)</f>
        <v/>
      </c>
    </row>
    <row r="287" customFormat="false" ht="12" hidden="false" customHeight="true" outlineLevel="0" collapsed="false">
      <c r="A287" s="196" t="str">
        <f aca="false">IF(A286&lt;mthend,EDATE(A286,1),"")</f>
        <v/>
      </c>
      <c r="B287" s="197" t="n">
        <f aca="false">IF(A287&lt;mthend,B286,0)</f>
        <v>0</v>
      </c>
      <c r="C287" s="215"/>
      <c r="D287" s="197" t="str">
        <f aca="false">IF(A288&lt;&gt;"",B287+C287,"")</f>
        <v/>
      </c>
      <c r="E287" s="199" t="str">
        <f aca="false">IF(A288="","",IF(AND(AT287=1,$H$3=1),D287*AO287,IF($H$3=2,D287,"N/A")))</f>
        <v/>
      </c>
      <c r="F287" s="199" t="str">
        <f aca="false">IF(A288="","",E287*AS287)</f>
        <v/>
      </c>
      <c r="G287" s="200" t="str">
        <f aca="false">IF($A288="","",VLOOKUP($A287,Table,MATCH(G$4,Curves,0)))</f>
        <v/>
      </c>
      <c r="H287" s="201" t="str">
        <f aca="false">IF(A288="","",G287)</f>
        <v/>
      </c>
      <c r="I287" s="202"/>
      <c r="J287" s="200" t="str">
        <f aca="false">IF($A288="","",VLOOKUP($A287,Table,MATCH(J$4,Curves,0)))</f>
        <v/>
      </c>
      <c r="K287" s="201" t="str">
        <f aca="false">IF(A288="","",J287)</f>
        <v/>
      </c>
      <c r="L287" s="200" t="str">
        <f aca="false">IF($A288="","",VLOOKUP($A287,Table,MATCH(L$4,Curves,0)))</f>
        <v/>
      </c>
      <c r="M287" s="201" t="str">
        <f aca="false">IF(A288="","",L287)</f>
        <v/>
      </c>
      <c r="N287" s="203"/>
      <c r="O287" s="200" t="str">
        <f aca="false">IF(A288="","",L287+J287+G287)</f>
        <v/>
      </c>
      <c r="P287" s="200" t="str">
        <f aca="false">IF(A288="","",M287+K287+H287)</f>
        <v/>
      </c>
      <c r="Q287" s="204"/>
      <c r="R287" s="200" t="str">
        <f aca="false">IF($A288="","",VLOOKUP($A287,Table,MATCH(R$4,Curves,0)))</f>
        <v/>
      </c>
      <c r="S287" s="201" t="str">
        <f aca="false">IF(A288="","",R287)</f>
        <v/>
      </c>
      <c r="T287" s="200" t="str">
        <f aca="false">IF($A288="","",VLOOKUP($A287,Table,MATCH(T$4,Curves,0)))</f>
        <v/>
      </c>
      <c r="U287" s="201" t="str">
        <f aca="false">IF(A288="","",T287)</f>
        <v/>
      </c>
      <c r="V287" s="183" t="str">
        <f aca="false">IF($A288="","",IF(AND(MONTH(A287)&gt;3,MONTH(A287)&lt;11),(T287+R287+G287)*Summary!$T$8/(1-Summary!$T$8),(T287+R287+G287)*Summary!$U$8/(1-Summary!$U$8)))</f>
        <v/>
      </c>
      <c r="W287" s="200" t="str">
        <f aca="false">IF($A288="","",(T287+R287+G287+V287))</f>
        <v/>
      </c>
      <c r="X287" s="200" t="str">
        <f aca="false">IF($A288="","",(U287+S287+H287+V287))</f>
        <v/>
      </c>
      <c r="Y287" s="202"/>
      <c r="Z287" s="185" t="str">
        <f aca="false">IF($A288="","",VLOOKUP($A287,Table,MATCH(Z$4,Curves,0)))</f>
        <v/>
      </c>
      <c r="AA287" s="185" t="str">
        <f aca="false">IF($A288="","",VLOOKUP($A287,Table,MATCH(AA$4,Curves,0)))</f>
        <v/>
      </c>
      <c r="AB287" s="185" t="e">
        <f aca="false">SQRT((AA287^2*(A287-$D$3)+Z287^2*(DAY(EOMONTH(A287,0))/2))/AK287)</f>
        <v>#VALUE!</v>
      </c>
      <c r="AC287" s="185" t="str">
        <f aca="false">IF($A288="","",VLOOKUP($A287,Table,MATCH(AC$4,Curves,0)))</f>
        <v/>
      </c>
      <c r="AD287" s="185" t="str">
        <f aca="false">IF($A288="","",VLOOKUP($A287,Table,MATCH(AD$4,Curves,0)))</f>
        <v/>
      </c>
      <c r="AE287" s="185" t="e">
        <f aca="false">SQRT((AD287^2*(A287-$D$3)+AC287^2*(DAY(EOMONTH(A287,0))/2))/AK287)</f>
        <v>#VALUE!</v>
      </c>
      <c r="AF287" s="224" t="e">
        <f aca="false">((Summary!$N$8*(AA287*AD287)*(A287-$D$3))+(Summary!$M$8*Z287*AC287*(AJ287-EOMONTH(EDATE(A287,-1),0))))/(AK287*AB287*AE287)</f>
        <v>#VALUE!</v>
      </c>
      <c r="AG287" s="207" t="str">
        <f aca="false">IF($A288="","",Summary!$Q$8)</f>
        <v/>
      </c>
      <c r="AH287" s="207" t="str">
        <f aca="false">IF($A288="","",IF(Summary!$R$8="Y",(VLOOKUP($A287,Summary!$AD$6:$AF$9,3)+'Escalating commodity'!D300),'Escalating commodity'!D300))</f>
        <v/>
      </c>
      <c r="AI287" s="207" t="str">
        <f aca="false">IF($A288="","",AH287)</f>
        <v/>
      </c>
      <c r="AJ287" s="208" t="e">
        <f aca="false">A287+DAY(EOMONTH(A287,0))/2-1</f>
        <v>#VALUE!</v>
      </c>
      <c r="AK287" s="209" t="str">
        <f aca="false">IF($A288="","",$A287-$E$1)</f>
        <v/>
      </c>
      <c r="AL287" s="182" t="str">
        <f aca="false">IF($A288="","",SPRDOPT(P287,X287,AI287,0,AB287,AE287,AF287,AK287,$AJ$2,0))</f>
        <v/>
      </c>
      <c r="AM287" s="211" t="str">
        <f aca="false">IF($A288="","",MAX(0,O287-W287-AI287))</f>
        <v/>
      </c>
      <c r="AN287" s="211" t="str">
        <f aca="false">IF($A288="","",AL287-AM287)</f>
        <v/>
      </c>
      <c r="AO287" s="137" t="str">
        <f aca="false">IF(A288="","",A288-A287)</f>
        <v/>
      </c>
      <c r="AP287" s="212" t="str">
        <f aca="false">IF(A288="","",CHOOSE(F$3,A288+24,A287))</f>
        <v/>
      </c>
      <c r="AQ287" s="209" t="str">
        <f aca="false">IF(A288="","",AP287-$E$1)</f>
        <v/>
      </c>
      <c r="AR287" s="185" t="n">
        <f aca="false">'ANR OK vs ML7'!AR287</f>
        <v>0.1</v>
      </c>
      <c r="AS287" s="213" t="str">
        <f aca="false">IF(A288="","",1/(1+CHOOSE(F$3,(AR288+($I$3/10000))/2,(AR287+($I$3/10000))/2))^(2*AQ287/365.25))</f>
        <v/>
      </c>
      <c r="AT287" s="137" t="str">
        <f aca="false">IF(A288="","",IF(AND(mthbeg&lt;=A287,mthend&gt;=A287),1,0))</f>
        <v/>
      </c>
      <c r="AU287" s="137" t="str">
        <f aca="false">IF(A288="","",AO287*AT287)</f>
        <v/>
      </c>
      <c r="AW287" s="195" t="str">
        <f aca="false">IF($A288="","",AL287*$E287)</f>
        <v/>
      </c>
      <c r="AX287" s="195" t="str">
        <f aca="false">IF($A288="","",AM287*$E287)</f>
        <v/>
      </c>
      <c r="AY287" s="195" t="str">
        <f aca="false">IF($A288="","",AN287*$E287)</f>
        <v/>
      </c>
      <c r="BA287" s="195" t="str">
        <f aca="false">IF($A288="","",F287*Summary!$Q$8)</f>
        <v/>
      </c>
    </row>
    <row r="288" customFormat="false" ht="12" hidden="false" customHeight="true" outlineLevel="0" collapsed="false">
      <c r="A288" s="196" t="str">
        <f aca="false">IF(A287&lt;mthend,EDATE(A287,1),"")</f>
        <v/>
      </c>
      <c r="B288" s="197" t="n">
        <f aca="false">IF(A288&lt;mthend,B287,0)</f>
        <v>0</v>
      </c>
      <c r="C288" s="215"/>
      <c r="D288" s="197" t="str">
        <f aca="false">IF(A289&lt;&gt;"",B288+C288,"")</f>
        <v/>
      </c>
      <c r="E288" s="199" t="str">
        <f aca="false">IF(A289="","",IF(AND(AT288=1,$H$3=1),D288*AO288,IF($H$3=2,D288,"N/A")))</f>
        <v/>
      </c>
      <c r="F288" s="199" t="str">
        <f aca="false">IF(A289="","",E288*AS288)</f>
        <v/>
      </c>
      <c r="G288" s="200" t="str">
        <f aca="false">IF($A289="","",VLOOKUP($A288,Table,MATCH(G$4,Curves,0)))</f>
        <v/>
      </c>
      <c r="H288" s="201" t="str">
        <f aca="false">IF(A289="","",G288)</f>
        <v/>
      </c>
      <c r="I288" s="202"/>
      <c r="J288" s="200" t="str">
        <f aca="false">IF($A289="","",VLOOKUP($A288,Table,MATCH(J$4,Curves,0)))</f>
        <v/>
      </c>
      <c r="K288" s="201" t="str">
        <f aca="false">IF(A289="","",J288)</f>
        <v/>
      </c>
      <c r="L288" s="200" t="str">
        <f aca="false">IF($A289="","",VLOOKUP($A288,Table,MATCH(L$4,Curves,0)))</f>
        <v/>
      </c>
      <c r="M288" s="201" t="str">
        <f aca="false">IF(A289="","",L288)</f>
        <v/>
      </c>
      <c r="N288" s="203"/>
      <c r="O288" s="200" t="str">
        <f aca="false">IF(A289="","",L288+J288+G288)</f>
        <v/>
      </c>
      <c r="P288" s="200" t="str">
        <f aca="false">IF(A289="","",M288+K288+H288)</f>
        <v/>
      </c>
      <c r="Q288" s="204"/>
      <c r="R288" s="200" t="str">
        <f aca="false">IF($A289="","",VLOOKUP($A288,Table,MATCH(R$4,Curves,0)))</f>
        <v/>
      </c>
      <c r="S288" s="201" t="str">
        <f aca="false">IF(A289="","",R288)</f>
        <v/>
      </c>
      <c r="T288" s="200" t="str">
        <f aca="false">IF($A289="","",VLOOKUP($A288,Table,MATCH(T$4,Curves,0)))</f>
        <v/>
      </c>
      <c r="U288" s="201" t="str">
        <f aca="false">IF(A289="","",T288)</f>
        <v/>
      </c>
      <c r="V288" s="183" t="str">
        <f aca="false">IF($A289="","",IF(AND(MONTH(A288)&gt;3,MONTH(A288)&lt;11),(T288+R288+G288)*Summary!$T$8/(1-Summary!$T$8),(T288+R288+G288)*Summary!$U$8/(1-Summary!$U$8)))</f>
        <v/>
      </c>
      <c r="W288" s="200" t="str">
        <f aca="false">IF($A289="","",(T288+R288+G288+V288))</f>
        <v/>
      </c>
      <c r="X288" s="200" t="str">
        <f aca="false">IF($A289="","",(U288+S288+H288+V288))</f>
        <v/>
      </c>
      <c r="Y288" s="202"/>
      <c r="Z288" s="185" t="str">
        <f aca="false">IF($A289="","",VLOOKUP($A288,Table,MATCH(Z$4,Curves,0)))</f>
        <v/>
      </c>
      <c r="AA288" s="185" t="str">
        <f aca="false">IF($A289="","",VLOOKUP($A288,Table,MATCH(AA$4,Curves,0)))</f>
        <v/>
      </c>
      <c r="AB288" s="185" t="e">
        <f aca="false">SQRT((AA288^2*(A288-$D$3)+Z288^2*(DAY(EOMONTH(A288,0))/2))/AK288)</f>
        <v>#VALUE!</v>
      </c>
      <c r="AC288" s="185" t="str">
        <f aca="false">IF($A289="","",VLOOKUP($A288,Table,MATCH(AC$4,Curves,0)))</f>
        <v/>
      </c>
      <c r="AD288" s="185" t="str">
        <f aca="false">IF($A289="","",VLOOKUP($A288,Table,MATCH(AD$4,Curves,0)))</f>
        <v/>
      </c>
      <c r="AE288" s="185" t="e">
        <f aca="false">SQRT((AD288^2*(A288-$D$3)+AC288^2*(DAY(EOMONTH(A288,0))/2))/AK288)</f>
        <v>#VALUE!</v>
      </c>
      <c r="AF288" s="224" t="e">
        <f aca="false">((Summary!$N$8*(AA288*AD288)*(A288-$D$3))+(Summary!$M$8*Z288*AC288*(AJ288-EOMONTH(EDATE(A288,-1),0))))/(AK288*AB288*AE288)</f>
        <v>#VALUE!</v>
      </c>
      <c r="AG288" s="207" t="str">
        <f aca="false">IF($A289="","",Summary!$Q$8)</f>
        <v/>
      </c>
      <c r="AH288" s="207" t="str">
        <f aca="false">IF($A289="","",IF(Summary!$R$8="Y",(VLOOKUP($A288,Summary!$AD$6:$AF$9,3)+'Escalating commodity'!D301),'Escalating commodity'!D301))</f>
        <v/>
      </c>
      <c r="AI288" s="207" t="str">
        <f aca="false">IF($A289="","",AH288)</f>
        <v/>
      </c>
      <c r="AJ288" s="208" t="e">
        <f aca="false">A288+DAY(EOMONTH(A288,0))/2-1</f>
        <v>#VALUE!</v>
      </c>
      <c r="AK288" s="209" t="str">
        <f aca="false">IF($A289="","",$A288-$E$1)</f>
        <v/>
      </c>
      <c r="AL288" s="182" t="str">
        <f aca="false">IF($A289="","",SPRDOPT(P288,X288,AI288,0,AB288,AE288,AF288,AK288,$AJ$2,0))</f>
        <v/>
      </c>
      <c r="AM288" s="211" t="str">
        <f aca="false">IF($A289="","",MAX(0,O288-W288-AI288))</f>
        <v/>
      </c>
      <c r="AN288" s="211" t="str">
        <f aca="false">IF($A289="","",AL288-AM288)</f>
        <v/>
      </c>
      <c r="AO288" s="137" t="str">
        <f aca="false">IF(A289="","",A289-A288)</f>
        <v/>
      </c>
      <c r="AP288" s="212" t="str">
        <f aca="false">IF(A289="","",CHOOSE(F$3,A289+24,A288))</f>
        <v/>
      </c>
      <c r="AQ288" s="209" t="str">
        <f aca="false">IF(A289="","",AP288-$E$1)</f>
        <v/>
      </c>
      <c r="AR288" s="185" t="n">
        <f aca="false">'ANR OK vs ML7'!AR288</f>
        <v>0.1</v>
      </c>
      <c r="AS288" s="213" t="str">
        <f aca="false">IF(A289="","",1/(1+CHOOSE(F$3,(AR289+($I$3/10000))/2,(AR288+($I$3/10000))/2))^(2*AQ288/365.25))</f>
        <v/>
      </c>
      <c r="AT288" s="137" t="str">
        <f aca="false">IF(A289="","",IF(AND(mthbeg&lt;=A288,mthend&gt;=A288),1,0))</f>
        <v/>
      </c>
      <c r="AU288" s="137" t="str">
        <f aca="false">IF(A289="","",AO288*AT288)</f>
        <v/>
      </c>
      <c r="AW288" s="195" t="str">
        <f aca="false">IF($A289="","",AL288*$E288)</f>
        <v/>
      </c>
      <c r="AX288" s="195" t="str">
        <f aca="false">IF($A289="","",AM288*$E288)</f>
        <v/>
      </c>
      <c r="AY288" s="195" t="str">
        <f aca="false">IF($A289="","",AN288*$E288)</f>
        <v/>
      </c>
      <c r="BA288" s="195" t="str">
        <f aca="false">IF($A289="","",F288*Summary!$Q$8)</f>
        <v/>
      </c>
    </row>
    <row r="289" customFormat="false" ht="12" hidden="false" customHeight="true" outlineLevel="0" collapsed="false">
      <c r="A289" s="196" t="str">
        <f aca="false">IF(A288&lt;mthend,EDATE(A288,1),"")</f>
        <v/>
      </c>
      <c r="B289" s="197" t="n">
        <f aca="false">IF(A289&lt;mthend,B288,0)</f>
        <v>0</v>
      </c>
      <c r="C289" s="215"/>
      <c r="D289" s="197" t="str">
        <f aca="false">IF(A290&lt;&gt;"",B289+C289,"")</f>
        <v/>
      </c>
      <c r="E289" s="199" t="str">
        <f aca="false">IF(A290="","",IF(AND(AT289=1,$H$3=1),D289*AO289,IF($H$3=2,D289,"N/A")))</f>
        <v/>
      </c>
      <c r="F289" s="199" t="str">
        <f aca="false">IF(A290="","",E289*AS289)</f>
        <v/>
      </c>
      <c r="G289" s="200" t="str">
        <f aca="false">IF($A290="","",VLOOKUP($A289,Table,MATCH(G$4,Curves,0)))</f>
        <v/>
      </c>
      <c r="H289" s="201" t="str">
        <f aca="false">IF(A290="","",G289)</f>
        <v/>
      </c>
      <c r="I289" s="202"/>
      <c r="J289" s="200" t="str">
        <f aca="false">IF($A290="","",VLOOKUP($A289,Table,MATCH(J$4,Curves,0)))</f>
        <v/>
      </c>
      <c r="K289" s="201" t="str">
        <f aca="false">IF(A290="","",J289)</f>
        <v/>
      </c>
      <c r="L289" s="200" t="str">
        <f aca="false">IF($A290="","",VLOOKUP($A289,Table,MATCH(L$4,Curves,0)))</f>
        <v/>
      </c>
      <c r="M289" s="201" t="str">
        <f aca="false">IF(A290="","",L289)</f>
        <v/>
      </c>
      <c r="N289" s="203"/>
      <c r="O289" s="200" t="str">
        <f aca="false">IF(A290="","",L289+J289+G289)</f>
        <v/>
      </c>
      <c r="P289" s="200" t="str">
        <f aca="false">IF(A290="","",M289+K289+H289)</f>
        <v/>
      </c>
      <c r="Q289" s="204"/>
      <c r="R289" s="200" t="str">
        <f aca="false">IF($A290="","",VLOOKUP($A289,Table,MATCH(R$4,Curves,0)))</f>
        <v/>
      </c>
      <c r="S289" s="201" t="str">
        <f aca="false">IF(A290="","",R289)</f>
        <v/>
      </c>
      <c r="T289" s="200" t="str">
        <f aca="false">IF($A290="","",VLOOKUP($A289,Table,MATCH(T$4,Curves,0)))</f>
        <v/>
      </c>
      <c r="U289" s="201" t="str">
        <f aca="false">IF(A290="","",T289)</f>
        <v/>
      </c>
      <c r="V289" s="183" t="str">
        <f aca="false">IF($A290="","",IF(AND(MONTH(A289)&gt;3,MONTH(A289)&lt;11),(T289+R289+G289)*Summary!$T$8/(1-Summary!$T$8),(T289+R289+G289)*Summary!$U$8/(1-Summary!$U$8)))</f>
        <v/>
      </c>
      <c r="W289" s="200" t="str">
        <f aca="false">IF($A290="","",(T289+R289+G289+V289))</f>
        <v/>
      </c>
      <c r="X289" s="200" t="str">
        <f aca="false">IF($A290="","",(U289+S289+H289+V289))</f>
        <v/>
      </c>
      <c r="Y289" s="202"/>
      <c r="Z289" s="185" t="str">
        <f aca="false">IF($A290="","",VLOOKUP($A289,Table,MATCH(Z$4,Curves,0)))</f>
        <v/>
      </c>
      <c r="AA289" s="185" t="str">
        <f aca="false">IF($A290="","",VLOOKUP($A289,Table,MATCH(AA$4,Curves,0)))</f>
        <v/>
      </c>
      <c r="AB289" s="185" t="e">
        <f aca="false">SQRT((AA289^2*(A289-$D$3)+Z289^2*(DAY(EOMONTH(A289,0))/2))/AK289)</f>
        <v>#VALUE!</v>
      </c>
      <c r="AC289" s="185" t="str">
        <f aca="false">IF($A290="","",VLOOKUP($A289,Table,MATCH(AC$4,Curves,0)))</f>
        <v/>
      </c>
      <c r="AD289" s="185" t="str">
        <f aca="false">IF($A290="","",VLOOKUP($A289,Table,MATCH(AD$4,Curves,0)))</f>
        <v/>
      </c>
      <c r="AE289" s="185" t="e">
        <f aca="false">SQRT((AD289^2*(A289-$D$3)+AC289^2*(DAY(EOMONTH(A289,0))/2))/AK289)</f>
        <v>#VALUE!</v>
      </c>
      <c r="AF289" s="224" t="e">
        <f aca="false">((Summary!$N$8*(AA289*AD289)*(A289-$D$3))+(Summary!$M$8*Z289*AC289*(AJ289-EOMONTH(EDATE(A289,-1),0))))/(AK289*AB289*AE289)</f>
        <v>#VALUE!</v>
      </c>
      <c r="AG289" s="207" t="str">
        <f aca="false">IF($A290="","",Summary!$Q$8)</f>
        <v/>
      </c>
      <c r="AH289" s="207" t="str">
        <f aca="false">IF($A290="","",IF(Summary!$R$8="Y",(VLOOKUP($A289,Summary!$AD$6:$AF$9,3)+'Escalating commodity'!D302),'Escalating commodity'!D302))</f>
        <v/>
      </c>
      <c r="AI289" s="207" t="str">
        <f aca="false">IF($A290="","",AH289)</f>
        <v/>
      </c>
      <c r="AJ289" s="208" t="e">
        <f aca="false">A289+DAY(EOMONTH(A289,0))/2-1</f>
        <v>#VALUE!</v>
      </c>
      <c r="AK289" s="209" t="str">
        <f aca="false">IF($A290="","",$A289-$E$1)</f>
        <v/>
      </c>
      <c r="AL289" s="182" t="str">
        <f aca="false">IF($A290="","",SPRDOPT(P289,X289,AI289,0,AB289,AE289,AF289,AK289,$AJ$2,0))</f>
        <v/>
      </c>
      <c r="AM289" s="211" t="str">
        <f aca="false">IF($A290="","",MAX(0,O289-W289-AI289))</f>
        <v/>
      </c>
      <c r="AN289" s="211" t="str">
        <f aca="false">IF($A290="","",AL289-AM289)</f>
        <v/>
      </c>
      <c r="AO289" s="137" t="str">
        <f aca="false">IF(A290="","",A290-A289)</f>
        <v/>
      </c>
      <c r="AP289" s="212" t="str">
        <f aca="false">IF(A290="","",CHOOSE(F$3,A290+24,A289))</f>
        <v/>
      </c>
      <c r="AQ289" s="209" t="str">
        <f aca="false">IF(A290="","",AP289-$E$1)</f>
        <v/>
      </c>
      <c r="AR289" s="185" t="n">
        <f aca="false">'ANR OK vs ML7'!AR289</f>
        <v>0.1</v>
      </c>
      <c r="AS289" s="213" t="str">
        <f aca="false">IF(A290="","",1/(1+CHOOSE(F$3,(AR290+($I$3/10000))/2,(AR289+($I$3/10000))/2))^(2*AQ289/365.25))</f>
        <v/>
      </c>
      <c r="AT289" s="137" t="str">
        <f aca="false">IF(A290="","",IF(AND(mthbeg&lt;=A289,mthend&gt;=A289),1,0))</f>
        <v/>
      </c>
      <c r="AU289" s="137" t="str">
        <f aca="false">IF(A290="","",AO289*AT289)</f>
        <v/>
      </c>
      <c r="AW289" s="195" t="str">
        <f aca="false">IF($A290="","",AL289*$E289)</f>
        <v/>
      </c>
      <c r="AX289" s="195" t="str">
        <f aca="false">IF($A290="","",AM289*$E289)</f>
        <v/>
      </c>
      <c r="AY289" s="195" t="str">
        <f aca="false">IF($A290="","",AN289*$E289)</f>
        <v/>
      </c>
      <c r="BA289" s="195" t="str">
        <f aca="false">IF($A290="","",F289*Summary!$Q$8)</f>
        <v/>
      </c>
    </row>
    <row r="290" customFormat="false" ht="12" hidden="false" customHeight="true" outlineLevel="0" collapsed="false">
      <c r="A290" s="196" t="str">
        <f aca="false">IF(A289&lt;mthend,EDATE(A289,1),"")</f>
        <v/>
      </c>
      <c r="B290" s="197" t="n">
        <f aca="false">IF(A290&lt;mthend,B289,0)</f>
        <v>0</v>
      </c>
      <c r="C290" s="215"/>
      <c r="D290" s="197" t="str">
        <f aca="false">IF(A291&lt;&gt;"",B290+C290,"")</f>
        <v/>
      </c>
      <c r="E290" s="199" t="str">
        <f aca="false">IF(A291="","",IF(AND(AT290=1,$H$3=1),D290*AO290,IF($H$3=2,D290,"N/A")))</f>
        <v/>
      </c>
      <c r="F290" s="199" t="str">
        <f aca="false">IF(A291="","",E290*AS290)</f>
        <v/>
      </c>
      <c r="G290" s="200" t="str">
        <f aca="false">IF($A291="","",VLOOKUP($A290,Table,MATCH(G$4,Curves,0)))</f>
        <v/>
      </c>
      <c r="H290" s="201" t="str">
        <f aca="false">IF(A291="","",G290)</f>
        <v/>
      </c>
      <c r="I290" s="202"/>
      <c r="J290" s="200" t="str">
        <f aca="false">IF($A291="","",VLOOKUP($A290,Table,MATCH(J$4,Curves,0)))</f>
        <v/>
      </c>
      <c r="K290" s="201" t="str">
        <f aca="false">IF(A291="","",J290)</f>
        <v/>
      </c>
      <c r="L290" s="200" t="str">
        <f aca="false">IF($A291="","",VLOOKUP($A290,Table,MATCH(L$4,Curves,0)))</f>
        <v/>
      </c>
      <c r="M290" s="201" t="str">
        <f aca="false">IF(A291="","",L290)</f>
        <v/>
      </c>
      <c r="N290" s="203"/>
      <c r="O290" s="200" t="str">
        <f aca="false">IF(A291="","",L290+J290+G290)</f>
        <v/>
      </c>
      <c r="P290" s="200" t="str">
        <f aca="false">IF(A291="","",M290+K290+H290)</f>
        <v/>
      </c>
      <c r="Q290" s="204"/>
      <c r="R290" s="200" t="str">
        <f aca="false">IF($A291="","",VLOOKUP($A290,Table,MATCH(R$4,Curves,0)))</f>
        <v/>
      </c>
      <c r="S290" s="201" t="str">
        <f aca="false">IF(A291="","",R290)</f>
        <v/>
      </c>
      <c r="T290" s="200" t="str">
        <f aca="false">IF($A291="","",VLOOKUP($A290,Table,MATCH(T$4,Curves,0)))</f>
        <v/>
      </c>
      <c r="U290" s="201" t="str">
        <f aca="false">IF(A291="","",T290)</f>
        <v/>
      </c>
      <c r="V290" s="183" t="str">
        <f aca="false">IF($A291="","",IF(AND(MONTH(A290)&gt;3,MONTH(A290)&lt;11),(T290+R290+G290)*Summary!$T$8/(1-Summary!$T$8),(T290+R290+G290)*Summary!$U$8/(1-Summary!$U$8)))</f>
        <v/>
      </c>
      <c r="W290" s="200" t="str">
        <f aca="false">IF($A291="","",(T290+R290+G290+V290))</f>
        <v/>
      </c>
      <c r="X290" s="200" t="str">
        <f aca="false">IF($A291="","",(U290+S290+H290+V290))</f>
        <v/>
      </c>
      <c r="Y290" s="202"/>
      <c r="Z290" s="185" t="str">
        <f aca="false">IF($A291="","",VLOOKUP($A290,Table,MATCH(Z$4,Curves,0)))</f>
        <v/>
      </c>
      <c r="AA290" s="185" t="str">
        <f aca="false">IF($A291="","",VLOOKUP($A290,Table,MATCH(AA$4,Curves,0)))</f>
        <v/>
      </c>
      <c r="AB290" s="185" t="e">
        <f aca="false">SQRT((AA290^2*(A290-$D$3)+Z290^2*(DAY(EOMONTH(A290,0))/2))/AK290)</f>
        <v>#VALUE!</v>
      </c>
      <c r="AC290" s="185" t="str">
        <f aca="false">IF($A291="","",VLOOKUP($A290,Table,MATCH(AC$4,Curves,0)))</f>
        <v/>
      </c>
      <c r="AD290" s="185" t="str">
        <f aca="false">IF($A291="","",VLOOKUP($A290,Table,MATCH(AD$4,Curves,0)))</f>
        <v/>
      </c>
      <c r="AE290" s="185" t="e">
        <f aca="false">SQRT((AD290^2*(A290-$D$3)+AC290^2*(DAY(EOMONTH(A290,0))/2))/AK290)</f>
        <v>#VALUE!</v>
      </c>
      <c r="AF290" s="224" t="e">
        <f aca="false">((Summary!$N$8*(AA290*AD290)*(A290-$D$3))+(Summary!$M$8*Z290*AC290*(AJ290-EOMONTH(EDATE(A290,-1),0))))/(AK290*AB290*AE290)</f>
        <v>#VALUE!</v>
      </c>
      <c r="AG290" s="207" t="str">
        <f aca="false">IF($A291="","",Summary!$Q$8)</f>
        <v/>
      </c>
      <c r="AH290" s="207" t="str">
        <f aca="false">IF($A291="","",IF(Summary!$R$8="Y",(VLOOKUP($A290,Summary!$AD$6:$AF$9,3)+'Escalating commodity'!D303),'Escalating commodity'!D303))</f>
        <v/>
      </c>
      <c r="AI290" s="207" t="str">
        <f aca="false">IF($A291="","",AH290)</f>
        <v/>
      </c>
      <c r="AJ290" s="208" t="e">
        <f aca="false">A290+DAY(EOMONTH(A290,0))/2-1</f>
        <v>#VALUE!</v>
      </c>
      <c r="AK290" s="209" t="str">
        <f aca="false">IF($A291="","",$A290-$E$1)</f>
        <v/>
      </c>
      <c r="AL290" s="182" t="str">
        <f aca="false">IF($A291="","",SPRDOPT(P290,X290,AI290,0,AB290,AE290,AF290,AK290,$AJ$2,0))</f>
        <v/>
      </c>
      <c r="AM290" s="211" t="str">
        <f aca="false">IF($A291="","",MAX(0,O290-W290-AI290))</f>
        <v/>
      </c>
      <c r="AN290" s="211" t="str">
        <f aca="false">IF($A291="","",AL290-AM290)</f>
        <v/>
      </c>
      <c r="AO290" s="137" t="str">
        <f aca="false">IF(A291="","",A291-A290)</f>
        <v/>
      </c>
      <c r="AP290" s="212" t="str">
        <f aca="false">IF(A291="","",CHOOSE(F$3,A291+24,A290))</f>
        <v/>
      </c>
      <c r="AQ290" s="209" t="str">
        <f aca="false">IF(A291="","",AP290-$E$1)</f>
        <v/>
      </c>
      <c r="AR290" s="185" t="n">
        <f aca="false">'ANR OK vs ML7'!AR290</f>
        <v>0.1</v>
      </c>
      <c r="AS290" s="213" t="str">
        <f aca="false">IF(A291="","",1/(1+CHOOSE(F$3,(AR291+($I$3/10000))/2,(AR290+($I$3/10000))/2))^(2*AQ290/365.25))</f>
        <v/>
      </c>
      <c r="AT290" s="137" t="str">
        <f aca="false">IF(A291="","",IF(AND(mthbeg&lt;=A290,mthend&gt;=A290),1,0))</f>
        <v/>
      </c>
      <c r="AU290" s="137" t="str">
        <f aca="false">IF(A291="","",AO290*AT290)</f>
        <v/>
      </c>
      <c r="AW290" s="195" t="str">
        <f aca="false">IF($A291="","",AL290*$E290)</f>
        <v/>
      </c>
      <c r="AX290" s="195" t="str">
        <f aca="false">IF($A291="","",AM290*$E290)</f>
        <v/>
      </c>
      <c r="AY290" s="195" t="str">
        <f aca="false">IF($A291="","",AN290*$E290)</f>
        <v/>
      </c>
      <c r="BA290" s="195" t="str">
        <f aca="false">IF($A291="","",F290*Summary!$Q$8)</f>
        <v/>
      </c>
    </row>
    <row r="291" customFormat="false" ht="12" hidden="false" customHeight="true" outlineLevel="0" collapsed="false">
      <c r="A291" s="196" t="str">
        <f aca="false">IF(A290&lt;mthend,EDATE(A290,1),"")</f>
        <v/>
      </c>
      <c r="B291" s="197" t="n">
        <f aca="false">IF(A291&lt;mthend,B290,0)</f>
        <v>0</v>
      </c>
      <c r="C291" s="215"/>
      <c r="D291" s="197" t="str">
        <f aca="false">IF(A292&lt;&gt;"",B291+C291,"")</f>
        <v/>
      </c>
      <c r="E291" s="199" t="str">
        <f aca="false">IF(A292="","",IF(AND(AT291=1,$H$3=1),D291*AO291,IF($H$3=2,D291,"N/A")))</f>
        <v/>
      </c>
      <c r="F291" s="199" t="str">
        <f aca="false">IF(A292="","",E291*AS291)</f>
        <v/>
      </c>
      <c r="G291" s="200" t="str">
        <f aca="false">IF($A292="","",VLOOKUP($A291,Table,MATCH(G$4,Curves,0)))</f>
        <v/>
      </c>
      <c r="H291" s="201" t="str">
        <f aca="false">IF(A292="","",G291)</f>
        <v/>
      </c>
      <c r="I291" s="202"/>
      <c r="J291" s="200" t="str">
        <f aca="false">IF($A292="","",VLOOKUP($A291,Table,MATCH(J$4,Curves,0)))</f>
        <v/>
      </c>
      <c r="K291" s="201" t="str">
        <f aca="false">IF(A292="","",J291)</f>
        <v/>
      </c>
      <c r="L291" s="200" t="str">
        <f aca="false">IF($A292="","",VLOOKUP($A291,Table,MATCH(L$4,Curves,0)))</f>
        <v/>
      </c>
      <c r="M291" s="201" t="str">
        <f aca="false">IF(A292="","",L291)</f>
        <v/>
      </c>
      <c r="N291" s="203"/>
      <c r="O291" s="200" t="str">
        <f aca="false">IF(A292="","",L291+J291+G291)</f>
        <v/>
      </c>
      <c r="P291" s="200" t="str">
        <f aca="false">IF(A292="","",M291+K291+H291)</f>
        <v/>
      </c>
      <c r="Q291" s="204"/>
      <c r="R291" s="200" t="str">
        <f aca="false">IF($A292="","",VLOOKUP($A291,Table,MATCH(R$4,Curves,0)))</f>
        <v/>
      </c>
      <c r="S291" s="201" t="str">
        <f aca="false">IF(A292="","",R291)</f>
        <v/>
      </c>
      <c r="T291" s="200" t="str">
        <f aca="false">IF($A292="","",VLOOKUP($A291,Table,MATCH(T$4,Curves,0)))</f>
        <v/>
      </c>
      <c r="U291" s="201" t="str">
        <f aca="false">IF(A292="","",T291)</f>
        <v/>
      </c>
      <c r="V291" s="183" t="str">
        <f aca="false">IF($A292="","",IF(AND(MONTH(A291)&gt;3,MONTH(A291)&lt;11),(T291+R291+G291)*Summary!$T$8/(1-Summary!$T$8),(T291+R291+G291)*Summary!$U$8/(1-Summary!$U$8)))</f>
        <v/>
      </c>
      <c r="W291" s="200" t="str">
        <f aca="false">IF($A292="","",(T291+R291+G291+V291))</f>
        <v/>
      </c>
      <c r="X291" s="200" t="str">
        <f aca="false">IF($A292="","",(U291+S291+H291+V291))</f>
        <v/>
      </c>
      <c r="Y291" s="202"/>
      <c r="Z291" s="185" t="str">
        <f aca="false">IF($A292="","",VLOOKUP($A291,Table,MATCH(Z$4,Curves,0)))</f>
        <v/>
      </c>
      <c r="AA291" s="185" t="str">
        <f aca="false">IF($A292="","",VLOOKUP($A291,Table,MATCH(AA$4,Curves,0)))</f>
        <v/>
      </c>
      <c r="AB291" s="185" t="e">
        <f aca="false">SQRT((AA291^2*(A291-$D$3)+Z291^2*(DAY(EOMONTH(A291,0))/2))/AK291)</f>
        <v>#VALUE!</v>
      </c>
      <c r="AC291" s="185" t="str">
        <f aca="false">IF($A292="","",VLOOKUP($A291,Table,MATCH(AC$4,Curves,0)))</f>
        <v/>
      </c>
      <c r="AD291" s="185" t="str">
        <f aca="false">IF($A292="","",VLOOKUP($A291,Table,MATCH(AD$4,Curves,0)))</f>
        <v/>
      </c>
      <c r="AE291" s="185" t="e">
        <f aca="false">SQRT((AD291^2*(A291-$D$3)+AC291^2*(DAY(EOMONTH(A291,0))/2))/AK291)</f>
        <v>#VALUE!</v>
      </c>
      <c r="AF291" s="224" t="e">
        <f aca="false">((Summary!$N$8*(AA291*AD291)*(A291-$D$3))+(Summary!$M$8*Z291*AC291*(AJ291-EOMONTH(EDATE(A291,-1),0))))/(AK291*AB291*AE291)</f>
        <v>#VALUE!</v>
      </c>
      <c r="AG291" s="207" t="str">
        <f aca="false">IF($A292="","",Summary!$Q$8)</f>
        <v/>
      </c>
      <c r="AH291" s="207" t="str">
        <f aca="false">IF($A292="","",IF(Summary!$R$8="Y",(VLOOKUP($A291,Summary!$AD$6:$AF$9,3)+'Escalating commodity'!D304),'Escalating commodity'!D304))</f>
        <v/>
      </c>
      <c r="AI291" s="207" t="str">
        <f aca="false">IF($A292="","",AH291)</f>
        <v/>
      </c>
      <c r="AJ291" s="208" t="e">
        <f aca="false">A291+DAY(EOMONTH(A291,0))/2-1</f>
        <v>#VALUE!</v>
      </c>
      <c r="AK291" s="209" t="str">
        <f aca="false">IF($A292="","",$A291-$E$1)</f>
        <v/>
      </c>
      <c r="AL291" s="182" t="str">
        <f aca="false">IF($A292="","",SPRDOPT(P291,X291,AI291,0,AB291,AE291,AF291,AK291,$AJ$2,0))</f>
        <v/>
      </c>
      <c r="AM291" s="211" t="str">
        <f aca="false">IF($A292="","",MAX(0,O291-W291-AI291))</f>
        <v/>
      </c>
      <c r="AN291" s="211" t="str">
        <f aca="false">IF($A292="","",AL291-AM291)</f>
        <v/>
      </c>
      <c r="AO291" s="137" t="str">
        <f aca="false">IF(A292="","",A292-A291)</f>
        <v/>
      </c>
      <c r="AP291" s="212" t="str">
        <f aca="false">IF(A292="","",CHOOSE(F$3,A292+24,A291))</f>
        <v/>
      </c>
      <c r="AQ291" s="209" t="str">
        <f aca="false">IF(A292="","",AP291-$E$1)</f>
        <v/>
      </c>
      <c r="AR291" s="185" t="n">
        <f aca="false">'ANR OK vs ML7'!AR291</f>
        <v>0.1</v>
      </c>
      <c r="AS291" s="213" t="str">
        <f aca="false">IF(A292="","",1/(1+CHOOSE(F$3,(AR292+($I$3/10000))/2,(AR291+($I$3/10000))/2))^(2*AQ291/365.25))</f>
        <v/>
      </c>
      <c r="AT291" s="137" t="str">
        <f aca="false">IF(A292="","",IF(AND(mthbeg&lt;=A291,mthend&gt;=A291),1,0))</f>
        <v/>
      </c>
      <c r="AU291" s="137" t="str">
        <f aca="false">IF(A292="","",AO291*AT291)</f>
        <v/>
      </c>
      <c r="AW291" s="195" t="str">
        <f aca="false">IF($A292="","",AL291*$E291)</f>
        <v/>
      </c>
      <c r="AX291" s="195" t="str">
        <f aca="false">IF($A292="","",AM291*$E291)</f>
        <v/>
      </c>
      <c r="AY291" s="195" t="str">
        <f aca="false">IF($A292="","",AN291*$E291)</f>
        <v/>
      </c>
      <c r="BA291" s="195" t="str">
        <f aca="false">IF($A292="","",F291*Summary!$Q$8)</f>
        <v/>
      </c>
    </row>
    <row r="292" customFormat="false" ht="12" hidden="false" customHeight="true" outlineLevel="0" collapsed="false">
      <c r="A292" s="196" t="str">
        <f aca="false">IF(A291&lt;mthend,EDATE(A291,1),"")</f>
        <v/>
      </c>
      <c r="B292" s="197" t="n">
        <f aca="false">IF(A292&lt;mthend,B291,0)</f>
        <v>0</v>
      </c>
      <c r="C292" s="215"/>
      <c r="D292" s="197" t="str">
        <f aca="false">IF(A293&lt;&gt;"",B292+C292,"")</f>
        <v/>
      </c>
      <c r="E292" s="199" t="str">
        <f aca="false">IF(A293="","",IF(AND(AT292=1,$H$3=1),D292*AO292,IF($H$3=2,D292,"N/A")))</f>
        <v/>
      </c>
      <c r="F292" s="199" t="str">
        <f aca="false">IF(A293="","",E292*AS292)</f>
        <v/>
      </c>
      <c r="G292" s="200" t="str">
        <f aca="false">IF($A293="","",VLOOKUP($A292,Table,MATCH(G$4,Curves,0)))</f>
        <v/>
      </c>
      <c r="H292" s="201" t="str">
        <f aca="false">IF(A293="","",G292)</f>
        <v/>
      </c>
      <c r="I292" s="202"/>
      <c r="J292" s="200" t="str">
        <f aca="false">IF($A293="","",VLOOKUP($A292,Table,MATCH(J$4,Curves,0)))</f>
        <v/>
      </c>
      <c r="K292" s="201" t="str">
        <f aca="false">IF(A293="","",J292)</f>
        <v/>
      </c>
      <c r="L292" s="200" t="str">
        <f aca="false">IF($A293="","",VLOOKUP($A292,Table,MATCH(L$4,Curves,0)))</f>
        <v/>
      </c>
      <c r="M292" s="201" t="str">
        <f aca="false">IF(A293="","",L292)</f>
        <v/>
      </c>
      <c r="N292" s="203"/>
      <c r="O292" s="200" t="str">
        <f aca="false">IF(A293="","",L292+J292+G292)</f>
        <v/>
      </c>
      <c r="P292" s="200" t="str">
        <f aca="false">IF(A293="","",M292+K292+H292)</f>
        <v/>
      </c>
      <c r="Q292" s="204"/>
      <c r="R292" s="200" t="str">
        <f aca="false">IF($A293="","",VLOOKUP($A292,Table,MATCH(R$4,Curves,0)))</f>
        <v/>
      </c>
      <c r="S292" s="201" t="str">
        <f aca="false">IF(A293="","",R292)</f>
        <v/>
      </c>
      <c r="T292" s="200" t="str">
        <f aca="false">IF($A293="","",VLOOKUP($A292,Table,MATCH(T$4,Curves,0)))</f>
        <v/>
      </c>
      <c r="U292" s="201" t="str">
        <f aca="false">IF(A293="","",T292)</f>
        <v/>
      </c>
      <c r="V292" s="183" t="str">
        <f aca="false">IF($A293="","",IF(AND(MONTH(A292)&gt;3,MONTH(A292)&lt;11),(T292+R292+G292)*Summary!$T$8/(1-Summary!$T$8),(T292+R292+G292)*Summary!$U$8/(1-Summary!$U$8)))</f>
        <v/>
      </c>
      <c r="W292" s="200" t="str">
        <f aca="false">IF($A293="","",(T292+R292+G292+V292))</f>
        <v/>
      </c>
      <c r="X292" s="200" t="str">
        <f aca="false">IF($A293="","",(U292+S292+H292+V292))</f>
        <v/>
      </c>
      <c r="Y292" s="202"/>
      <c r="Z292" s="185" t="str">
        <f aca="false">IF($A293="","",VLOOKUP($A292,Table,MATCH(Z$4,Curves,0)))</f>
        <v/>
      </c>
      <c r="AA292" s="185" t="str">
        <f aca="false">IF($A293="","",VLOOKUP($A292,Table,MATCH(AA$4,Curves,0)))</f>
        <v/>
      </c>
      <c r="AB292" s="185" t="e">
        <f aca="false">SQRT((AA292^2*(A292-$D$3)+Z292^2*(DAY(EOMONTH(A292,0))/2))/AK292)</f>
        <v>#VALUE!</v>
      </c>
      <c r="AC292" s="185" t="str">
        <f aca="false">IF($A293="","",VLOOKUP($A292,Table,MATCH(AC$4,Curves,0)))</f>
        <v/>
      </c>
      <c r="AD292" s="185" t="str">
        <f aca="false">IF($A293="","",VLOOKUP($A292,Table,MATCH(AD$4,Curves,0)))</f>
        <v/>
      </c>
      <c r="AE292" s="185" t="e">
        <f aca="false">SQRT((AD292^2*(A292-$D$3)+AC292^2*(DAY(EOMONTH(A292,0))/2))/AK292)</f>
        <v>#VALUE!</v>
      </c>
      <c r="AF292" s="224" t="e">
        <f aca="false">((Summary!$N$8*(AA292*AD292)*(A292-$D$3))+(Summary!$M$8*Z292*AC292*(AJ292-EOMONTH(EDATE(A292,-1),0))))/(AK292*AB292*AE292)</f>
        <v>#VALUE!</v>
      </c>
      <c r="AG292" s="207" t="str">
        <f aca="false">IF($A293="","",Summary!$Q$8)</f>
        <v/>
      </c>
      <c r="AH292" s="207" t="str">
        <f aca="false">IF($A293="","",IF(Summary!$R$8="Y",(VLOOKUP($A292,Summary!$AD$6:$AF$9,3)+'Escalating commodity'!D305),'Escalating commodity'!D305))</f>
        <v/>
      </c>
      <c r="AI292" s="207" t="str">
        <f aca="false">IF($A293="","",AH292)</f>
        <v/>
      </c>
      <c r="AJ292" s="208" t="e">
        <f aca="false">A292+DAY(EOMONTH(A292,0))/2-1</f>
        <v>#VALUE!</v>
      </c>
      <c r="AK292" s="209" t="str">
        <f aca="false">IF($A293="","",$A292-$E$1)</f>
        <v/>
      </c>
      <c r="AL292" s="182" t="str">
        <f aca="false">IF($A293="","",SPRDOPT(P292,X292,AI292,0,AB292,AE292,AF292,AK292,$AJ$2,0))</f>
        <v/>
      </c>
      <c r="AM292" s="211" t="str">
        <f aca="false">IF($A293="","",MAX(0,O292-W292-AI292))</f>
        <v/>
      </c>
      <c r="AN292" s="211" t="str">
        <f aca="false">IF($A293="","",AL292-AM292)</f>
        <v/>
      </c>
      <c r="AO292" s="137" t="str">
        <f aca="false">IF(A293="","",A293-A292)</f>
        <v/>
      </c>
      <c r="AP292" s="212" t="str">
        <f aca="false">IF(A293="","",CHOOSE(F$3,A293+24,A292))</f>
        <v/>
      </c>
      <c r="AQ292" s="209" t="str">
        <f aca="false">IF(A293="","",AP292-$E$1)</f>
        <v/>
      </c>
      <c r="AR292" s="185" t="n">
        <f aca="false">'ANR OK vs ML7'!AR292</f>
        <v>0.1</v>
      </c>
      <c r="AS292" s="213" t="str">
        <f aca="false">IF(A293="","",1/(1+CHOOSE(F$3,(AR293+($I$3/10000))/2,(AR292+($I$3/10000))/2))^(2*AQ292/365.25))</f>
        <v/>
      </c>
      <c r="AT292" s="137" t="str">
        <f aca="false">IF(A293="","",IF(AND(mthbeg&lt;=A292,mthend&gt;=A292),1,0))</f>
        <v/>
      </c>
      <c r="AU292" s="137" t="str">
        <f aca="false">IF(A293="","",AO292*AT292)</f>
        <v/>
      </c>
      <c r="AW292" s="195" t="str">
        <f aca="false">IF($A293="","",AL292*$E292)</f>
        <v/>
      </c>
      <c r="AX292" s="195" t="str">
        <f aca="false">IF($A293="","",AM292*$E292)</f>
        <v/>
      </c>
      <c r="AY292" s="195" t="str">
        <f aca="false">IF($A293="","",AN292*$E292)</f>
        <v/>
      </c>
      <c r="BA292" s="195" t="str">
        <f aca="false">IF($A293="","",F292*Summary!$Q$8)</f>
        <v/>
      </c>
    </row>
    <row r="293" customFormat="false" ht="12" hidden="false" customHeight="true" outlineLevel="0" collapsed="false">
      <c r="A293" s="196" t="str">
        <f aca="false">IF(A292&lt;mthend,EDATE(A292,1),"")</f>
        <v/>
      </c>
      <c r="B293" s="197" t="n">
        <f aca="false">IF(A293&lt;mthend,B292,0)</f>
        <v>0</v>
      </c>
      <c r="C293" s="215"/>
      <c r="D293" s="197" t="str">
        <f aca="false">IF(A294&lt;&gt;"",B293+C293,"")</f>
        <v/>
      </c>
      <c r="E293" s="199" t="str">
        <f aca="false">IF(A294="","",IF(AND(AT293=1,$H$3=1),D293*AO293,IF($H$3=2,D293,"N/A")))</f>
        <v/>
      </c>
      <c r="F293" s="199" t="str">
        <f aca="false">IF(A294="","",E293*AS293)</f>
        <v/>
      </c>
      <c r="G293" s="200" t="str">
        <f aca="false">IF($A294="","",VLOOKUP($A293,Table,MATCH(G$4,Curves,0)))</f>
        <v/>
      </c>
      <c r="H293" s="201" t="str">
        <f aca="false">IF(A294="","",G293)</f>
        <v/>
      </c>
      <c r="I293" s="202"/>
      <c r="J293" s="200" t="str">
        <f aca="false">IF($A294="","",VLOOKUP($A293,Table,MATCH(J$4,Curves,0)))</f>
        <v/>
      </c>
      <c r="K293" s="201" t="str">
        <f aca="false">IF(A294="","",J293)</f>
        <v/>
      </c>
      <c r="L293" s="200" t="str">
        <f aca="false">IF($A294="","",VLOOKUP($A293,Table,MATCH(L$4,Curves,0)))</f>
        <v/>
      </c>
      <c r="M293" s="201" t="str">
        <f aca="false">IF(A294="","",L293)</f>
        <v/>
      </c>
      <c r="N293" s="203"/>
      <c r="O293" s="200" t="str">
        <f aca="false">IF(A294="","",L293+J293+G293)</f>
        <v/>
      </c>
      <c r="P293" s="200" t="str">
        <f aca="false">IF(A294="","",M293+K293+H293)</f>
        <v/>
      </c>
      <c r="Q293" s="204"/>
      <c r="R293" s="200" t="str">
        <f aca="false">IF($A294="","",VLOOKUP($A293,Table,MATCH(R$4,Curves,0)))</f>
        <v/>
      </c>
      <c r="S293" s="201" t="str">
        <f aca="false">IF(A294="","",R293)</f>
        <v/>
      </c>
      <c r="T293" s="200" t="str">
        <f aca="false">IF($A294="","",VLOOKUP($A293,Table,MATCH(T$4,Curves,0)))</f>
        <v/>
      </c>
      <c r="U293" s="201" t="str">
        <f aca="false">IF(A294="","",T293)</f>
        <v/>
      </c>
      <c r="V293" s="183" t="str">
        <f aca="false">IF($A294="","",IF(AND(MONTH(A293)&gt;3,MONTH(A293)&lt;11),(T293+R293+G293)*Summary!$T$8/(1-Summary!$T$8),(T293+R293+G293)*Summary!$U$8/(1-Summary!$U$8)))</f>
        <v/>
      </c>
      <c r="W293" s="200" t="str">
        <f aca="false">IF($A294="","",(T293+R293+G293+V293))</f>
        <v/>
      </c>
      <c r="X293" s="200" t="str">
        <f aca="false">IF($A294="","",(U293+S293+H293+V293))</f>
        <v/>
      </c>
      <c r="Y293" s="202"/>
      <c r="Z293" s="185" t="str">
        <f aca="false">IF($A294="","",VLOOKUP($A293,Table,MATCH(Z$4,Curves,0)))</f>
        <v/>
      </c>
      <c r="AA293" s="185" t="str">
        <f aca="false">IF($A294="","",VLOOKUP($A293,Table,MATCH(AA$4,Curves,0)))</f>
        <v/>
      </c>
      <c r="AB293" s="185" t="e">
        <f aca="false">SQRT((AA293^2*(A293-$D$3)+Z293^2*(DAY(EOMONTH(A293,0))/2))/AK293)</f>
        <v>#VALUE!</v>
      </c>
      <c r="AC293" s="185" t="str">
        <f aca="false">IF($A294="","",VLOOKUP($A293,Table,MATCH(AC$4,Curves,0)))</f>
        <v/>
      </c>
      <c r="AD293" s="185" t="str">
        <f aca="false">IF($A294="","",VLOOKUP($A293,Table,MATCH(AD$4,Curves,0)))</f>
        <v/>
      </c>
      <c r="AE293" s="185" t="e">
        <f aca="false">SQRT((AD293^2*(A293-$D$3)+AC293^2*(DAY(EOMONTH(A293,0))/2))/AK293)</f>
        <v>#VALUE!</v>
      </c>
      <c r="AF293" s="224" t="e">
        <f aca="false">((Summary!$N$8*(AA293*AD293)*(A293-$D$3))+(Summary!$M$8*Z293*AC293*(AJ293-EOMONTH(EDATE(A293,-1),0))))/(AK293*AB293*AE293)</f>
        <v>#VALUE!</v>
      </c>
      <c r="AG293" s="207" t="str">
        <f aca="false">IF($A294="","",Summary!$Q$8)</f>
        <v/>
      </c>
      <c r="AH293" s="207" t="str">
        <f aca="false">IF($A294="","",IF(Summary!$R$8="Y",(VLOOKUP($A293,Summary!$AD$6:$AF$9,3)+'Escalating commodity'!D306),'Escalating commodity'!D306))</f>
        <v/>
      </c>
      <c r="AI293" s="207" t="str">
        <f aca="false">IF($A294="","",AH293)</f>
        <v/>
      </c>
      <c r="AJ293" s="208" t="e">
        <f aca="false">A293+DAY(EOMONTH(A293,0))/2-1</f>
        <v>#VALUE!</v>
      </c>
      <c r="AK293" s="209" t="str">
        <f aca="false">IF($A294="","",$A293-$E$1)</f>
        <v/>
      </c>
      <c r="AL293" s="182" t="str">
        <f aca="false">IF($A294="","",SPRDOPT(P293,X293,AI293,0,AB293,AE293,AF293,AK293,$AJ$2,0))</f>
        <v/>
      </c>
      <c r="AM293" s="211" t="str">
        <f aca="false">IF($A294="","",MAX(0,O293-W293-AI293))</f>
        <v/>
      </c>
      <c r="AN293" s="211" t="str">
        <f aca="false">IF($A294="","",AL293-AM293)</f>
        <v/>
      </c>
      <c r="AO293" s="137" t="str">
        <f aca="false">IF(A294="","",A294-A293)</f>
        <v/>
      </c>
      <c r="AP293" s="212" t="str">
        <f aca="false">IF(A294="","",CHOOSE(F$3,A294+24,A293))</f>
        <v/>
      </c>
      <c r="AQ293" s="209" t="str">
        <f aca="false">IF(A294="","",AP293-$E$1)</f>
        <v/>
      </c>
      <c r="AR293" s="185" t="n">
        <f aca="false">'ANR OK vs ML7'!AR293</f>
        <v>0.1</v>
      </c>
      <c r="AS293" s="213" t="str">
        <f aca="false">IF(A294="","",1/(1+CHOOSE(F$3,(AR294+($I$3/10000))/2,(AR293+($I$3/10000))/2))^(2*AQ293/365.25))</f>
        <v/>
      </c>
      <c r="AT293" s="137" t="str">
        <f aca="false">IF(A294="","",IF(AND(mthbeg&lt;=A293,mthend&gt;=A293),1,0))</f>
        <v/>
      </c>
      <c r="AU293" s="137" t="str">
        <f aca="false">IF(A294="","",AO293*AT293)</f>
        <v/>
      </c>
      <c r="AW293" s="195" t="str">
        <f aca="false">IF($A294="","",AL293*$E293)</f>
        <v/>
      </c>
      <c r="AX293" s="195" t="str">
        <f aca="false">IF($A294="","",AM293*$E293)</f>
        <v/>
      </c>
      <c r="AY293" s="195" t="str">
        <f aca="false">IF($A294="","",AN293*$E293)</f>
        <v/>
      </c>
      <c r="BA293" s="195" t="str">
        <f aca="false">IF($A294="","",F293*Summary!$Q$8)</f>
        <v/>
      </c>
    </row>
    <row r="294" customFormat="false" ht="12" hidden="false" customHeight="true" outlineLevel="0" collapsed="false">
      <c r="A294" s="196" t="str">
        <f aca="false">IF(A293&lt;mthend,EDATE(A293,1),"")</f>
        <v/>
      </c>
      <c r="B294" s="197" t="n">
        <f aca="false">IF(A294&lt;mthend,B293,0)</f>
        <v>0</v>
      </c>
      <c r="C294" s="215"/>
      <c r="D294" s="197" t="str">
        <f aca="false">IF(A295&lt;&gt;"",B294+C294,"")</f>
        <v/>
      </c>
      <c r="E294" s="199" t="str">
        <f aca="false">IF(A295="","",IF(AND(AT294=1,$H$3=1),D294*AO294,IF($H$3=2,D294,"N/A")))</f>
        <v/>
      </c>
      <c r="F294" s="199" t="str">
        <f aca="false">IF(A295="","",E294*AS294)</f>
        <v/>
      </c>
      <c r="G294" s="200" t="str">
        <f aca="false">IF($A295="","",VLOOKUP($A294,Table,MATCH(G$4,Curves,0)))</f>
        <v/>
      </c>
      <c r="H294" s="201" t="str">
        <f aca="false">IF(A295="","",G294)</f>
        <v/>
      </c>
      <c r="I294" s="202"/>
      <c r="J294" s="200" t="str">
        <f aca="false">IF($A295="","",VLOOKUP($A294,Table,MATCH(J$4,Curves,0)))</f>
        <v/>
      </c>
      <c r="K294" s="201" t="str">
        <f aca="false">IF(A295="","",J294)</f>
        <v/>
      </c>
      <c r="L294" s="200" t="str">
        <f aca="false">IF($A295="","",VLOOKUP($A294,Table,MATCH(L$4,Curves,0)))</f>
        <v/>
      </c>
      <c r="M294" s="201" t="str">
        <f aca="false">IF(A295="","",L294)</f>
        <v/>
      </c>
      <c r="N294" s="203"/>
      <c r="O294" s="200" t="str">
        <f aca="false">IF(A295="","",L294+J294+G294)</f>
        <v/>
      </c>
      <c r="P294" s="200" t="str">
        <f aca="false">IF(A295="","",M294+K294+H294)</f>
        <v/>
      </c>
      <c r="Q294" s="204"/>
      <c r="R294" s="200" t="str">
        <f aca="false">IF($A295="","",VLOOKUP($A294,Table,MATCH(R$4,Curves,0)))</f>
        <v/>
      </c>
      <c r="S294" s="201" t="str">
        <f aca="false">IF(A295="","",R294)</f>
        <v/>
      </c>
      <c r="T294" s="200" t="str">
        <f aca="false">IF($A295="","",VLOOKUP($A294,Table,MATCH(T$4,Curves,0)))</f>
        <v/>
      </c>
      <c r="U294" s="201" t="str">
        <f aca="false">IF(A295="","",T294)</f>
        <v/>
      </c>
      <c r="V294" s="183" t="str">
        <f aca="false">IF($A295="","",IF(AND(MONTH(A294)&gt;3,MONTH(A294)&lt;11),(T294+R294+G294)*Summary!$T$8/(1-Summary!$T$8),(T294+R294+G294)*Summary!$U$8/(1-Summary!$U$8)))</f>
        <v/>
      </c>
      <c r="W294" s="200" t="str">
        <f aca="false">IF($A295="","",(T294+R294+G294+V294))</f>
        <v/>
      </c>
      <c r="X294" s="200" t="str">
        <f aca="false">IF($A295="","",(U294+S294+H294+V294))</f>
        <v/>
      </c>
      <c r="Y294" s="202"/>
      <c r="Z294" s="185" t="str">
        <f aca="false">IF($A295="","",VLOOKUP($A294,Table,MATCH(Z$4,Curves,0)))</f>
        <v/>
      </c>
      <c r="AA294" s="185" t="str">
        <f aca="false">IF($A295="","",VLOOKUP($A294,Table,MATCH(AA$4,Curves,0)))</f>
        <v/>
      </c>
      <c r="AB294" s="185" t="e">
        <f aca="false">SQRT((AA294^2*(A294-$D$3)+Z294^2*(DAY(EOMONTH(A294,0))/2))/AK294)</f>
        <v>#VALUE!</v>
      </c>
      <c r="AC294" s="185" t="str">
        <f aca="false">IF($A295="","",VLOOKUP($A294,Table,MATCH(AC$4,Curves,0)))</f>
        <v/>
      </c>
      <c r="AD294" s="185" t="str">
        <f aca="false">IF($A295="","",VLOOKUP($A294,Table,MATCH(AD$4,Curves,0)))</f>
        <v/>
      </c>
      <c r="AE294" s="185" t="e">
        <f aca="false">SQRT((AD294^2*(A294-$D$3)+AC294^2*(DAY(EOMONTH(A294,0))/2))/AK294)</f>
        <v>#VALUE!</v>
      </c>
      <c r="AF294" s="224" t="e">
        <f aca="false">((Summary!$N$8*(AA294*AD294)*(A294-$D$3))+(Summary!$M$8*Z294*AC294*(AJ294-EOMONTH(EDATE(A294,-1),0))))/(AK294*AB294*AE294)</f>
        <v>#VALUE!</v>
      </c>
      <c r="AG294" s="207" t="str">
        <f aca="false">IF($A295="","",Summary!$Q$8)</f>
        <v/>
      </c>
      <c r="AH294" s="207" t="str">
        <f aca="false">IF($A295="","",IF(Summary!$R$8="Y",(VLOOKUP($A294,Summary!$AD$6:$AF$9,3)+'Escalating commodity'!D307),'Escalating commodity'!D307))</f>
        <v/>
      </c>
      <c r="AI294" s="207" t="str">
        <f aca="false">IF($A295="","",AH294)</f>
        <v/>
      </c>
      <c r="AJ294" s="208" t="e">
        <f aca="false">A294+DAY(EOMONTH(A294,0))/2-1</f>
        <v>#VALUE!</v>
      </c>
      <c r="AK294" s="209" t="str">
        <f aca="false">IF($A295="","",$A294-$E$1)</f>
        <v/>
      </c>
      <c r="AL294" s="182" t="str">
        <f aca="false">IF($A295="","",SPRDOPT(P294,X294,AI294,0,AB294,AE294,AF294,AK294,$AJ$2,0))</f>
        <v/>
      </c>
      <c r="AM294" s="211" t="str">
        <f aca="false">IF($A295="","",MAX(0,O294-W294-AI294))</f>
        <v/>
      </c>
      <c r="AN294" s="211" t="str">
        <f aca="false">IF($A295="","",AL294-AM294)</f>
        <v/>
      </c>
      <c r="AO294" s="137" t="str">
        <f aca="false">IF(A295="","",A295-A294)</f>
        <v/>
      </c>
      <c r="AP294" s="212" t="str">
        <f aca="false">IF(A295="","",CHOOSE(F$3,A295+24,A294))</f>
        <v/>
      </c>
      <c r="AQ294" s="209" t="str">
        <f aca="false">IF(A295="","",AP294-$E$1)</f>
        <v/>
      </c>
      <c r="AR294" s="185" t="n">
        <f aca="false">'ANR OK vs ML7'!AR294</f>
        <v>0.1</v>
      </c>
      <c r="AS294" s="213" t="str">
        <f aca="false">IF(A295="","",1/(1+CHOOSE(F$3,(AR295+($I$3/10000))/2,(AR294+($I$3/10000))/2))^(2*AQ294/365.25))</f>
        <v/>
      </c>
      <c r="AT294" s="137" t="str">
        <f aca="false">IF(A295="","",IF(AND(mthbeg&lt;=A294,mthend&gt;=A294),1,0))</f>
        <v/>
      </c>
      <c r="AU294" s="137" t="str">
        <f aca="false">IF(A295="","",AO294*AT294)</f>
        <v/>
      </c>
      <c r="AW294" s="195" t="str">
        <f aca="false">IF($A295="","",AL294*$E294)</f>
        <v/>
      </c>
      <c r="AX294" s="195" t="str">
        <f aca="false">IF($A295="","",AM294*$E294)</f>
        <v/>
      </c>
      <c r="AY294" s="195" t="str">
        <f aca="false">IF($A295="","",AN294*$E294)</f>
        <v/>
      </c>
      <c r="BA294" s="195" t="str">
        <f aca="false">IF($A295="","",F294*Summary!$Q$8)</f>
        <v/>
      </c>
    </row>
    <row r="295" customFormat="false" ht="12" hidden="false" customHeight="true" outlineLevel="0" collapsed="false">
      <c r="A295" s="196" t="str">
        <f aca="false">IF(A294&lt;mthend,EDATE(A294,1),"")</f>
        <v/>
      </c>
      <c r="B295" s="197" t="n">
        <f aca="false">IF(A295&lt;mthend,B294,0)</f>
        <v>0</v>
      </c>
      <c r="C295" s="215"/>
      <c r="D295" s="197" t="str">
        <f aca="false">IF(A296&lt;&gt;"",B295+C295,"")</f>
        <v/>
      </c>
      <c r="E295" s="199" t="str">
        <f aca="false">IF(A296="","",IF(AND(AT295=1,$H$3=1),D295*AO295,IF($H$3=2,D295,"N/A")))</f>
        <v/>
      </c>
      <c r="F295" s="199" t="str">
        <f aca="false">IF(A296="","",E295*AS295)</f>
        <v/>
      </c>
      <c r="G295" s="200" t="str">
        <f aca="false">IF($A296="","",VLOOKUP($A295,Table,MATCH(G$4,Curves,0)))</f>
        <v/>
      </c>
      <c r="H295" s="201" t="str">
        <f aca="false">IF(A296="","",G295)</f>
        <v/>
      </c>
      <c r="I295" s="202"/>
      <c r="J295" s="200" t="str">
        <f aca="false">IF($A296="","",VLOOKUP($A295,Table,MATCH(J$4,Curves,0)))</f>
        <v/>
      </c>
      <c r="K295" s="201" t="str">
        <f aca="false">IF(A296="","",J295)</f>
        <v/>
      </c>
      <c r="L295" s="200" t="str">
        <f aca="false">IF($A296="","",VLOOKUP($A295,Table,MATCH(L$4,Curves,0)))</f>
        <v/>
      </c>
      <c r="M295" s="201" t="str">
        <f aca="false">IF(A296="","",L295)</f>
        <v/>
      </c>
      <c r="N295" s="203"/>
      <c r="O295" s="200" t="str">
        <f aca="false">IF(A296="","",L295+J295+G295)</f>
        <v/>
      </c>
      <c r="P295" s="200" t="str">
        <f aca="false">IF(A296="","",M295+K295+H295)</f>
        <v/>
      </c>
      <c r="Q295" s="204"/>
      <c r="R295" s="200" t="str">
        <f aca="false">IF($A296="","",VLOOKUP($A295,Table,MATCH(R$4,Curves,0)))</f>
        <v/>
      </c>
      <c r="S295" s="201" t="str">
        <f aca="false">IF(A296="","",R295)</f>
        <v/>
      </c>
      <c r="T295" s="200" t="str">
        <f aca="false">IF($A296="","",VLOOKUP($A295,Table,MATCH(T$4,Curves,0)))</f>
        <v/>
      </c>
      <c r="U295" s="201" t="str">
        <f aca="false">IF(A296="","",T295)</f>
        <v/>
      </c>
      <c r="V295" s="183" t="str">
        <f aca="false">IF($A296="","",IF(AND(MONTH(A295)&gt;3,MONTH(A295)&lt;11),(T295+R295+G295)*Summary!$T$8/(1-Summary!$T$8),(T295+R295+G295)*Summary!$U$8/(1-Summary!$U$8)))</f>
        <v/>
      </c>
      <c r="W295" s="200" t="str">
        <f aca="false">IF($A296="","",(T295+R295+G295+V295))</f>
        <v/>
      </c>
      <c r="X295" s="200" t="str">
        <f aca="false">IF($A296="","",(U295+S295+H295+V295))</f>
        <v/>
      </c>
      <c r="Y295" s="202"/>
      <c r="Z295" s="185" t="str">
        <f aca="false">IF($A296="","",VLOOKUP($A295,Table,MATCH(Z$4,Curves,0)))</f>
        <v/>
      </c>
      <c r="AA295" s="185" t="str">
        <f aca="false">IF($A296="","",VLOOKUP($A295,Table,MATCH(AA$4,Curves,0)))</f>
        <v/>
      </c>
      <c r="AB295" s="185" t="e">
        <f aca="false">SQRT((AA295^2*(A295-$D$3)+Z295^2*(DAY(EOMONTH(A295,0))/2))/AK295)</f>
        <v>#VALUE!</v>
      </c>
      <c r="AC295" s="185" t="str">
        <f aca="false">IF($A296="","",VLOOKUP($A295,Table,MATCH(AC$4,Curves,0)))</f>
        <v/>
      </c>
      <c r="AD295" s="185" t="str">
        <f aca="false">IF($A296="","",VLOOKUP($A295,Table,MATCH(AD$4,Curves,0)))</f>
        <v/>
      </c>
      <c r="AE295" s="185" t="e">
        <f aca="false">SQRT((AD295^2*(A295-$D$3)+AC295^2*(DAY(EOMONTH(A295,0))/2))/AK295)</f>
        <v>#VALUE!</v>
      </c>
      <c r="AF295" s="224" t="e">
        <f aca="false">((Summary!$N$8*(AA295*AD295)*(A295-$D$3))+(Summary!$M$8*Z295*AC295*(AJ295-EOMONTH(EDATE(A295,-1),0))))/(AK295*AB295*AE295)</f>
        <v>#VALUE!</v>
      </c>
      <c r="AG295" s="207" t="str">
        <f aca="false">IF($A296="","",Summary!$Q$8)</f>
        <v/>
      </c>
      <c r="AH295" s="207" t="str">
        <f aca="false">IF($A296="","",IF(Summary!$R$8="Y",(VLOOKUP($A295,Summary!$AD$6:$AF$9,3)+'Escalating commodity'!D308),'Escalating commodity'!D308))</f>
        <v/>
      </c>
      <c r="AI295" s="207" t="str">
        <f aca="false">IF($A296="","",AH295)</f>
        <v/>
      </c>
      <c r="AJ295" s="208" t="e">
        <f aca="false">A295+DAY(EOMONTH(A295,0))/2-1</f>
        <v>#VALUE!</v>
      </c>
      <c r="AK295" s="209" t="str">
        <f aca="false">IF($A296="","",$A295-$E$1)</f>
        <v/>
      </c>
      <c r="AL295" s="182" t="str">
        <f aca="false">IF($A296="","",SPRDOPT(P295,X295,AI295,0,AB295,AE295,AF295,AK295,$AJ$2,0))</f>
        <v/>
      </c>
      <c r="AM295" s="211" t="str">
        <f aca="false">IF($A296="","",MAX(0,O295-W295-AI295))</f>
        <v/>
      </c>
      <c r="AN295" s="211" t="str">
        <f aca="false">IF($A296="","",AL295-AM295)</f>
        <v/>
      </c>
      <c r="AO295" s="137" t="str">
        <f aca="false">IF(A296="","",A296-A295)</f>
        <v/>
      </c>
      <c r="AP295" s="212" t="str">
        <f aca="false">IF(A296="","",CHOOSE(F$3,A296+24,A295))</f>
        <v/>
      </c>
      <c r="AQ295" s="209" t="str">
        <f aca="false">IF(A296="","",AP295-$E$1)</f>
        <v/>
      </c>
      <c r="AR295" s="185" t="n">
        <f aca="false">'ANR OK vs ML7'!AR295</f>
        <v>0.1</v>
      </c>
      <c r="AS295" s="213" t="str">
        <f aca="false">IF(A296="","",1/(1+CHOOSE(F$3,(AR296+($I$3/10000))/2,(AR295+($I$3/10000))/2))^(2*AQ295/365.25))</f>
        <v/>
      </c>
      <c r="AT295" s="137" t="str">
        <f aca="false">IF(A296="","",IF(AND(mthbeg&lt;=A295,mthend&gt;=A295),1,0))</f>
        <v/>
      </c>
      <c r="AU295" s="137" t="str">
        <f aca="false">IF(A296="","",AO295*AT295)</f>
        <v/>
      </c>
      <c r="AW295" s="195" t="str">
        <f aca="false">IF($A296="","",AL295*$E295)</f>
        <v/>
      </c>
      <c r="AX295" s="195" t="str">
        <f aca="false">IF($A296="","",AM295*$E295)</f>
        <v/>
      </c>
      <c r="AY295" s="195" t="str">
        <f aca="false">IF($A296="","",AN295*$E295)</f>
        <v/>
      </c>
      <c r="BA295" s="195" t="str">
        <f aca="false">IF($A296="","",F295*Summary!$Q$8)</f>
        <v/>
      </c>
    </row>
    <row r="296" customFormat="false" ht="12" hidden="false" customHeight="true" outlineLevel="0" collapsed="false">
      <c r="A296" s="196" t="str">
        <f aca="false">IF(A295&lt;mthend,EDATE(A295,1),"")</f>
        <v/>
      </c>
      <c r="B296" s="197" t="n">
        <f aca="false">IF(A296&lt;mthend,B295,0)</f>
        <v>0</v>
      </c>
      <c r="C296" s="215"/>
      <c r="D296" s="197" t="str">
        <f aca="false">IF(A297&lt;&gt;"",B296+C296,"")</f>
        <v/>
      </c>
      <c r="E296" s="199" t="str">
        <f aca="false">IF(A297="","",IF(AND(AT296=1,$H$3=1),D296*AO296,IF($H$3=2,D296,"N/A")))</f>
        <v/>
      </c>
      <c r="F296" s="199" t="str">
        <f aca="false">IF(A297="","",E296*AS296)</f>
        <v/>
      </c>
      <c r="G296" s="200" t="str">
        <f aca="false">IF($A297="","",VLOOKUP($A296,Table,MATCH(G$4,Curves,0)))</f>
        <v/>
      </c>
      <c r="H296" s="201" t="str">
        <f aca="false">IF(A297="","",G296)</f>
        <v/>
      </c>
      <c r="I296" s="202"/>
      <c r="J296" s="200" t="str">
        <f aca="false">IF($A297="","",VLOOKUP($A296,Table,MATCH(J$4,Curves,0)))</f>
        <v/>
      </c>
      <c r="K296" s="201" t="str">
        <f aca="false">IF(A297="","",J296)</f>
        <v/>
      </c>
      <c r="L296" s="200" t="str">
        <f aca="false">IF($A297="","",VLOOKUP($A296,Table,MATCH(L$4,Curves,0)))</f>
        <v/>
      </c>
      <c r="M296" s="201" t="str">
        <f aca="false">IF(A297="","",L296)</f>
        <v/>
      </c>
      <c r="N296" s="203"/>
      <c r="O296" s="200" t="str">
        <f aca="false">IF(A297="","",L296+J296+G296)</f>
        <v/>
      </c>
      <c r="P296" s="200" t="str">
        <f aca="false">IF(A297="","",M296+K296+H296)</f>
        <v/>
      </c>
      <c r="Q296" s="204"/>
      <c r="R296" s="200" t="str">
        <f aca="false">IF($A297="","",VLOOKUP($A296,Table,MATCH(R$4,Curves,0)))</f>
        <v/>
      </c>
      <c r="S296" s="201" t="str">
        <f aca="false">IF(A297="","",R296)</f>
        <v/>
      </c>
      <c r="T296" s="200" t="str">
        <f aca="false">IF($A297="","",VLOOKUP($A296,Table,MATCH(T$4,Curves,0)))</f>
        <v/>
      </c>
      <c r="U296" s="201" t="str">
        <f aca="false">IF(A297="","",T296)</f>
        <v/>
      </c>
      <c r="V296" s="183" t="str">
        <f aca="false">IF($A297="","",IF(AND(MONTH(A296)&gt;3,MONTH(A296)&lt;11),(T296+R296+G296)*Summary!$T$8/(1-Summary!$T$8),(T296+R296+G296)*Summary!$U$8/(1-Summary!$U$8)))</f>
        <v/>
      </c>
      <c r="W296" s="200" t="str">
        <f aca="false">IF($A297="","",(T296+R296+G296+V296))</f>
        <v/>
      </c>
      <c r="X296" s="200" t="str">
        <f aca="false">IF($A297="","",(U296+S296+H296+V296))</f>
        <v/>
      </c>
      <c r="Y296" s="202"/>
      <c r="Z296" s="185" t="str">
        <f aca="false">IF($A297="","",VLOOKUP($A296,Table,MATCH(Z$4,Curves,0)))</f>
        <v/>
      </c>
      <c r="AA296" s="185" t="str">
        <f aca="false">IF($A297="","",VLOOKUP($A296,Table,MATCH(AA$4,Curves,0)))</f>
        <v/>
      </c>
      <c r="AB296" s="185" t="e">
        <f aca="false">SQRT((AA296^2*(A296-$D$3)+Z296^2*(DAY(EOMONTH(A296,0))/2))/AK296)</f>
        <v>#VALUE!</v>
      </c>
      <c r="AC296" s="185" t="str">
        <f aca="false">IF($A297="","",VLOOKUP($A296,Table,MATCH(AC$4,Curves,0)))</f>
        <v/>
      </c>
      <c r="AD296" s="185" t="str">
        <f aca="false">IF($A297="","",VLOOKUP($A296,Table,MATCH(AD$4,Curves,0)))</f>
        <v/>
      </c>
      <c r="AE296" s="185" t="e">
        <f aca="false">SQRT((AD296^2*(A296-$D$3)+AC296^2*(DAY(EOMONTH(A296,0))/2))/AK296)</f>
        <v>#VALUE!</v>
      </c>
      <c r="AF296" s="224" t="e">
        <f aca="false">((Summary!$N$8*(AA296*AD296)*(A296-$D$3))+(Summary!$M$8*Z296*AC296*(AJ296-EOMONTH(EDATE(A296,-1),0))))/(AK296*AB296*AE296)</f>
        <v>#VALUE!</v>
      </c>
      <c r="AG296" s="207" t="str">
        <f aca="false">IF($A297="","",Summary!$Q$8)</f>
        <v/>
      </c>
      <c r="AH296" s="207" t="str">
        <f aca="false">IF($A297="","",IF(Summary!$R$8="Y",(VLOOKUP($A296,Summary!$AD$6:$AF$9,3)+'Escalating commodity'!D309),'Escalating commodity'!D309))</f>
        <v/>
      </c>
      <c r="AI296" s="207" t="str">
        <f aca="false">IF($A297="","",AH296)</f>
        <v/>
      </c>
      <c r="AJ296" s="208" t="e">
        <f aca="false">A296+DAY(EOMONTH(A296,0))/2-1</f>
        <v>#VALUE!</v>
      </c>
      <c r="AK296" s="209" t="str">
        <f aca="false">IF($A297="","",$A296-$E$1)</f>
        <v/>
      </c>
      <c r="AL296" s="182" t="str">
        <f aca="false">IF($A297="","",SPRDOPT(P296,X296,AI296,0,AB296,AE296,AF296,AK296,$AJ$2,0))</f>
        <v/>
      </c>
      <c r="AM296" s="211" t="str">
        <f aca="false">IF($A297="","",MAX(0,O296-W296-AI296))</f>
        <v/>
      </c>
      <c r="AN296" s="211" t="str">
        <f aca="false">IF($A297="","",AL296-AM296)</f>
        <v/>
      </c>
      <c r="AO296" s="137" t="str">
        <f aca="false">IF(A297="","",A297-A296)</f>
        <v/>
      </c>
      <c r="AP296" s="212" t="str">
        <f aca="false">IF(A297="","",CHOOSE(F$3,A297+24,A296))</f>
        <v/>
      </c>
      <c r="AQ296" s="209" t="str">
        <f aca="false">IF(A297="","",AP296-$E$1)</f>
        <v/>
      </c>
      <c r="AR296" s="185" t="n">
        <f aca="false">'ANR OK vs ML7'!AR296</f>
        <v>0.1</v>
      </c>
      <c r="AS296" s="213" t="str">
        <f aca="false">IF(A297="","",1/(1+CHOOSE(F$3,(AR297+($I$3/10000))/2,(AR296+($I$3/10000))/2))^(2*AQ296/365.25))</f>
        <v/>
      </c>
      <c r="AT296" s="137" t="str">
        <f aca="false">IF(A297="","",IF(AND(mthbeg&lt;=A296,mthend&gt;=A296),1,0))</f>
        <v/>
      </c>
      <c r="AU296" s="137" t="str">
        <f aca="false">IF(A297="","",AO296*AT296)</f>
        <v/>
      </c>
      <c r="AW296" s="195" t="str">
        <f aca="false">IF($A297="","",AL296*$E296)</f>
        <v/>
      </c>
      <c r="AX296" s="195" t="str">
        <f aca="false">IF($A297="","",AM296*$E296)</f>
        <v/>
      </c>
      <c r="AY296" s="195" t="str">
        <f aca="false">IF($A297="","",AN296*$E296)</f>
        <v/>
      </c>
      <c r="BA296" s="195" t="str">
        <f aca="false">IF($A297="","",F296*Summary!$Q$8)</f>
        <v/>
      </c>
    </row>
    <row r="297" customFormat="false" ht="12" hidden="false" customHeight="true" outlineLevel="0" collapsed="false">
      <c r="A297" s="196" t="str">
        <f aca="false">IF(A296&lt;mthend,EDATE(A296,1),"")</f>
        <v/>
      </c>
      <c r="B297" s="197" t="n">
        <f aca="false">IF(A297&lt;mthend,B296,0)</f>
        <v>0</v>
      </c>
      <c r="C297" s="215"/>
      <c r="D297" s="197" t="str">
        <f aca="false">IF(A298&lt;&gt;"",B297+C297,"")</f>
        <v/>
      </c>
      <c r="E297" s="199" t="str">
        <f aca="false">IF(A298="","",IF(AND(AT297=1,$H$3=1),D297*AO297,IF($H$3=2,D297,"N/A")))</f>
        <v/>
      </c>
      <c r="F297" s="199" t="str">
        <f aca="false">IF(A298="","",E297*AS297)</f>
        <v/>
      </c>
      <c r="G297" s="200" t="str">
        <f aca="false">IF($A298="","",VLOOKUP($A297,Table,MATCH(G$4,Curves,0)))</f>
        <v/>
      </c>
      <c r="H297" s="201" t="str">
        <f aca="false">IF(A298="","",G297)</f>
        <v/>
      </c>
      <c r="I297" s="202"/>
      <c r="J297" s="200" t="str">
        <f aca="false">IF($A298="","",VLOOKUP($A297,Table,MATCH(J$4,Curves,0)))</f>
        <v/>
      </c>
      <c r="K297" s="201" t="str">
        <f aca="false">IF(A298="","",J297)</f>
        <v/>
      </c>
      <c r="L297" s="200" t="str">
        <f aca="false">IF($A298="","",VLOOKUP($A297,Table,MATCH(L$4,Curves,0)))</f>
        <v/>
      </c>
      <c r="M297" s="201" t="str">
        <f aca="false">IF(A298="","",L297)</f>
        <v/>
      </c>
      <c r="N297" s="203"/>
      <c r="O297" s="200" t="str">
        <f aca="false">IF(A298="","",L297+J297+G297)</f>
        <v/>
      </c>
      <c r="P297" s="200" t="str">
        <f aca="false">IF(A298="","",M297+K297+H297)</f>
        <v/>
      </c>
      <c r="Q297" s="204"/>
      <c r="R297" s="200" t="str">
        <f aca="false">IF($A298="","",VLOOKUP($A297,Table,MATCH(R$4,Curves,0)))</f>
        <v/>
      </c>
      <c r="S297" s="201" t="str">
        <f aca="false">IF(A298="","",R297)</f>
        <v/>
      </c>
      <c r="T297" s="200" t="str">
        <f aca="false">IF($A298="","",VLOOKUP($A297,Table,MATCH(T$4,Curves,0)))</f>
        <v/>
      </c>
      <c r="U297" s="201" t="str">
        <f aca="false">IF(A298="","",T297)</f>
        <v/>
      </c>
      <c r="V297" s="183" t="str">
        <f aca="false">IF($A298="","",IF(AND(MONTH(A297)&gt;3,MONTH(A297)&lt;11),(T297+R297+G297)*Summary!$T$8/(1-Summary!$T$8),(T297+R297+G297)*Summary!$U$8/(1-Summary!$U$8)))</f>
        <v/>
      </c>
      <c r="W297" s="200" t="str">
        <f aca="false">IF($A298="","",(T297+R297+G297+V297))</f>
        <v/>
      </c>
      <c r="X297" s="200" t="str">
        <f aca="false">IF($A298="","",(U297+S297+H297+V297))</f>
        <v/>
      </c>
      <c r="Y297" s="202"/>
      <c r="Z297" s="185" t="str">
        <f aca="false">IF($A298="","",VLOOKUP($A297,Table,MATCH(Z$4,Curves,0)))</f>
        <v/>
      </c>
      <c r="AA297" s="185" t="str">
        <f aca="false">IF($A298="","",VLOOKUP($A297,Table,MATCH(AA$4,Curves,0)))</f>
        <v/>
      </c>
      <c r="AB297" s="185" t="e">
        <f aca="false">SQRT((AA297^2*(A297-$D$3)+Z297^2*(DAY(EOMONTH(A297,0))/2))/AK297)</f>
        <v>#VALUE!</v>
      </c>
      <c r="AC297" s="185" t="str">
        <f aca="false">IF($A298="","",VLOOKUP($A297,Table,MATCH(AC$4,Curves,0)))</f>
        <v/>
      </c>
      <c r="AD297" s="185" t="str">
        <f aca="false">IF($A298="","",VLOOKUP($A297,Table,MATCH(AD$4,Curves,0)))</f>
        <v/>
      </c>
      <c r="AE297" s="185" t="e">
        <f aca="false">SQRT((AD297^2*(A297-$D$3)+AC297^2*(DAY(EOMONTH(A297,0))/2))/AK297)</f>
        <v>#VALUE!</v>
      </c>
      <c r="AF297" s="224" t="e">
        <f aca="false">((Summary!$N$8*(AA297*AD297)*(A297-$D$3))+(Summary!$M$8*Z297*AC297*(AJ297-EOMONTH(EDATE(A297,-1),0))))/(AK297*AB297*AE297)</f>
        <v>#VALUE!</v>
      </c>
      <c r="AG297" s="207" t="str">
        <f aca="false">IF($A298="","",Summary!$Q$8)</f>
        <v/>
      </c>
      <c r="AH297" s="207" t="str">
        <f aca="false">IF($A298="","",IF(Summary!$R$8="Y",(VLOOKUP($A297,Summary!$AD$6:$AF$9,3)+'Escalating commodity'!D310),'Escalating commodity'!D310))</f>
        <v/>
      </c>
      <c r="AI297" s="207" t="str">
        <f aca="false">IF($A298="","",AH297)</f>
        <v/>
      </c>
      <c r="AJ297" s="208" t="e">
        <f aca="false">A297+DAY(EOMONTH(A297,0))/2-1</f>
        <v>#VALUE!</v>
      </c>
      <c r="AK297" s="209" t="str">
        <f aca="false">IF($A298="","",$A297-$E$1)</f>
        <v/>
      </c>
      <c r="AL297" s="182" t="str">
        <f aca="false">IF($A298="","",SPRDOPT(P297,X297,AI297,0,AB297,AE297,AF297,AK297,$AJ$2,0))</f>
        <v/>
      </c>
      <c r="AM297" s="211" t="str">
        <f aca="false">IF($A298="","",MAX(0,O297-W297-AI297))</f>
        <v/>
      </c>
      <c r="AN297" s="211" t="str">
        <f aca="false">IF($A298="","",AL297-AM297)</f>
        <v/>
      </c>
      <c r="AO297" s="137" t="str">
        <f aca="false">IF(A298="","",A298-A297)</f>
        <v/>
      </c>
      <c r="AP297" s="212" t="str">
        <f aca="false">IF(A298="","",CHOOSE(F$3,A298+24,A297))</f>
        <v/>
      </c>
      <c r="AQ297" s="209" t="str">
        <f aca="false">IF(A298="","",AP297-$E$1)</f>
        <v/>
      </c>
      <c r="AR297" s="185" t="n">
        <f aca="false">'ANR OK vs ML7'!AR297</f>
        <v>0.1</v>
      </c>
      <c r="AS297" s="213" t="str">
        <f aca="false">IF(A298="","",1/(1+CHOOSE(F$3,(AR298+($I$3/10000))/2,(AR297+($I$3/10000))/2))^(2*AQ297/365.25))</f>
        <v/>
      </c>
      <c r="AT297" s="137" t="str">
        <f aca="false">IF(A298="","",IF(AND(mthbeg&lt;=A297,mthend&gt;=A297),1,0))</f>
        <v/>
      </c>
      <c r="AU297" s="137" t="str">
        <f aca="false">IF(A298="","",AO297*AT297)</f>
        <v/>
      </c>
      <c r="AW297" s="195" t="str">
        <f aca="false">IF($A298="","",AL297*$E297)</f>
        <v/>
      </c>
      <c r="AX297" s="195" t="str">
        <f aca="false">IF($A298="","",AM297*$E297)</f>
        <v/>
      </c>
      <c r="AY297" s="195" t="str">
        <f aca="false">IF($A298="","",AN297*$E297)</f>
        <v/>
      </c>
      <c r="BA297" s="195" t="str">
        <f aca="false">IF($A298="","",F297*Summary!$Q$8)</f>
        <v/>
      </c>
    </row>
    <row r="298" customFormat="false" ht="12" hidden="false" customHeight="true" outlineLevel="0" collapsed="false">
      <c r="A298" s="196" t="str">
        <f aca="false">IF(A297&lt;mthend,EDATE(A297,1),"")</f>
        <v/>
      </c>
      <c r="B298" s="197" t="n">
        <f aca="false">IF(A298&lt;mthend,B297,0)</f>
        <v>0</v>
      </c>
      <c r="C298" s="215"/>
      <c r="D298" s="197" t="str">
        <f aca="false">IF(A299&lt;&gt;"",B298+C298,"")</f>
        <v/>
      </c>
      <c r="E298" s="199" t="str">
        <f aca="false">IF(A299="","",IF(AND(AT298=1,$H$3=1),D298*AO298,IF($H$3=2,D298,"N/A")))</f>
        <v/>
      </c>
      <c r="F298" s="199" t="str">
        <f aca="false">IF(A299="","",E298*AS298)</f>
        <v/>
      </c>
      <c r="G298" s="200" t="str">
        <f aca="false">IF($A299="","",VLOOKUP($A298,Table,MATCH(G$4,Curves,0)))</f>
        <v/>
      </c>
      <c r="H298" s="201" t="str">
        <f aca="false">IF(A299="","",G298)</f>
        <v/>
      </c>
      <c r="I298" s="202"/>
      <c r="J298" s="200" t="str">
        <f aca="false">IF($A299="","",VLOOKUP($A298,Table,MATCH(J$4,Curves,0)))</f>
        <v/>
      </c>
      <c r="K298" s="201" t="str">
        <f aca="false">IF(A299="","",J298)</f>
        <v/>
      </c>
      <c r="L298" s="200" t="str">
        <f aca="false">IF($A299="","",VLOOKUP($A298,Table,MATCH(L$4,Curves,0)))</f>
        <v/>
      </c>
      <c r="M298" s="201" t="str">
        <f aca="false">IF(A299="","",L298)</f>
        <v/>
      </c>
      <c r="N298" s="203"/>
      <c r="O298" s="200" t="str">
        <f aca="false">IF(A299="","",L298+J298+G298)</f>
        <v/>
      </c>
      <c r="P298" s="200" t="str">
        <f aca="false">IF(A299="","",M298+K298+H298)</f>
        <v/>
      </c>
      <c r="Q298" s="204"/>
      <c r="R298" s="200" t="str">
        <f aca="false">IF($A299="","",VLOOKUP($A298,Table,MATCH(R$4,Curves,0)))</f>
        <v/>
      </c>
      <c r="S298" s="201" t="str">
        <f aca="false">IF(A299="","",R298)</f>
        <v/>
      </c>
      <c r="T298" s="200" t="str">
        <f aca="false">IF($A299="","",VLOOKUP($A298,Table,MATCH(T$4,Curves,0)))</f>
        <v/>
      </c>
      <c r="U298" s="201" t="str">
        <f aca="false">IF(A299="","",T298)</f>
        <v/>
      </c>
      <c r="V298" s="183" t="str">
        <f aca="false">IF($A299="","",IF(AND(MONTH(A298)&gt;3,MONTH(A298)&lt;11),(T298+R298+G298)*Summary!$T$8/(1-Summary!$T$8),(T298+R298+G298)*Summary!$U$8/(1-Summary!$U$8)))</f>
        <v/>
      </c>
      <c r="W298" s="200" t="str">
        <f aca="false">IF($A299="","",(T298+R298+G298+V298))</f>
        <v/>
      </c>
      <c r="X298" s="200" t="str">
        <f aca="false">IF($A299="","",(U298+S298+H298+V298))</f>
        <v/>
      </c>
      <c r="Y298" s="202"/>
      <c r="Z298" s="185" t="str">
        <f aca="false">IF($A299="","",VLOOKUP($A298,Table,MATCH(Z$4,Curves,0)))</f>
        <v/>
      </c>
      <c r="AA298" s="185" t="str">
        <f aca="false">IF($A299="","",VLOOKUP($A298,Table,MATCH(AA$4,Curves,0)))</f>
        <v/>
      </c>
      <c r="AB298" s="185" t="e">
        <f aca="false">SQRT((AA298^2*(A298-$D$3)+Z298^2*(DAY(EOMONTH(A298,0))/2))/AK298)</f>
        <v>#VALUE!</v>
      </c>
      <c r="AC298" s="185" t="str">
        <f aca="false">IF($A299="","",VLOOKUP($A298,Table,MATCH(AC$4,Curves,0)))</f>
        <v/>
      </c>
      <c r="AD298" s="185" t="str">
        <f aca="false">IF($A299="","",VLOOKUP($A298,Table,MATCH(AD$4,Curves,0)))</f>
        <v/>
      </c>
      <c r="AE298" s="185" t="e">
        <f aca="false">SQRT((AD298^2*(A298-$D$3)+AC298^2*(DAY(EOMONTH(A298,0))/2))/AK298)</f>
        <v>#VALUE!</v>
      </c>
      <c r="AF298" s="224" t="e">
        <f aca="false">((Summary!$N$8*(AA298*AD298)*(A298-$D$3))+(Summary!$M$8*Z298*AC298*(AJ298-EOMONTH(EDATE(A298,-1),0))))/(AK298*AB298*AE298)</f>
        <v>#VALUE!</v>
      </c>
      <c r="AG298" s="207" t="str">
        <f aca="false">IF($A299="","",Summary!$Q$8)</f>
        <v/>
      </c>
      <c r="AH298" s="207" t="str">
        <f aca="false">IF($A299="","",IF(Summary!$R$8="Y",(VLOOKUP($A298,Summary!$AD$6:$AF$9,3)+'Escalating commodity'!D311),'Escalating commodity'!D311))</f>
        <v/>
      </c>
      <c r="AI298" s="207" t="str">
        <f aca="false">IF($A299="","",AH298)</f>
        <v/>
      </c>
      <c r="AJ298" s="208" t="e">
        <f aca="false">A298+DAY(EOMONTH(A298,0))/2-1</f>
        <v>#VALUE!</v>
      </c>
      <c r="AK298" s="209" t="str">
        <f aca="false">IF($A299="","",$A298-$E$1)</f>
        <v/>
      </c>
      <c r="AL298" s="182" t="str">
        <f aca="false">IF($A299="","",SPRDOPT(P298,X298,AI298,0,AB298,AE298,AF298,AK298,$AJ$2,0))</f>
        <v/>
      </c>
      <c r="AM298" s="211" t="str">
        <f aca="false">IF($A299="","",MAX(0,O298-W298-AI298))</f>
        <v/>
      </c>
      <c r="AN298" s="211" t="str">
        <f aca="false">IF($A299="","",AL298-AM298)</f>
        <v/>
      </c>
      <c r="AO298" s="137" t="str">
        <f aca="false">IF(A299="","",A299-A298)</f>
        <v/>
      </c>
      <c r="AP298" s="212" t="str">
        <f aca="false">IF(A299="","",CHOOSE(F$3,A299+24,A298))</f>
        <v/>
      </c>
      <c r="AQ298" s="209" t="str">
        <f aca="false">IF(A299="","",AP298-$E$1)</f>
        <v/>
      </c>
      <c r="AR298" s="185" t="n">
        <f aca="false">'ANR OK vs ML7'!AR298</f>
        <v>0.1</v>
      </c>
      <c r="AS298" s="213" t="str">
        <f aca="false">IF(A299="","",1/(1+CHOOSE(F$3,(AR299+($I$3/10000))/2,(AR298+($I$3/10000))/2))^(2*AQ298/365.25))</f>
        <v/>
      </c>
      <c r="AT298" s="137" t="str">
        <f aca="false">IF(A299="","",IF(AND(mthbeg&lt;=A298,mthend&gt;=A298),1,0))</f>
        <v/>
      </c>
      <c r="AU298" s="137" t="str">
        <f aca="false">IF(A299="","",AO298*AT298)</f>
        <v/>
      </c>
      <c r="AW298" s="195" t="str">
        <f aca="false">IF($A299="","",AL298*$E298)</f>
        <v/>
      </c>
      <c r="AX298" s="195" t="str">
        <f aca="false">IF($A299="","",AM298*$E298)</f>
        <v/>
      </c>
      <c r="AY298" s="195" t="str">
        <f aca="false">IF($A299="","",AN298*$E298)</f>
        <v/>
      </c>
      <c r="BA298" s="195" t="str">
        <f aca="false">IF($A299="","",F298*Summary!$Q$8)</f>
        <v/>
      </c>
    </row>
    <row r="299" customFormat="false" ht="12" hidden="false" customHeight="true" outlineLevel="0" collapsed="false">
      <c r="A299" s="196" t="str">
        <f aca="false">IF(A298&lt;mthend,EDATE(A298,1),"")</f>
        <v/>
      </c>
      <c r="B299" s="197" t="n">
        <f aca="false">IF(A299&lt;mthend,B298,0)</f>
        <v>0</v>
      </c>
      <c r="C299" s="215"/>
      <c r="D299" s="197" t="str">
        <f aca="false">IF(A300&lt;&gt;"",B299+C299,"")</f>
        <v/>
      </c>
      <c r="E299" s="199" t="str">
        <f aca="false">IF(A300="","",IF(AND(AT299=1,$H$3=1),D299*AO299,IF($H$3=2,D299,"N/A")))</f>
        <v/>
      </c>
      <c r="F299" s="199" t="str">
        <f aca="false">IF(A300="","",E299*AS299)</f>
        <v/>
      </c>
      <c r="G299" s="200" t="str">
        <f aca="false">IF($A300="","",VLOOKUP($A299,Table,MATCH(G$4,Curves,0)))</f>
        <v/>
      </c>
      <c r="H299" s="201" t="str">
        <f aca="false">IF(A300="","",G299)</f>
        <v/>
      </c>
      <c r="I299" s="202"/>
      <c r="J299" s="200" t="str">
        <f aca="false">IF($A300="","",VLOOKUP($A299,Table,MATCH(J$4,Curves,0)))</f>
        <v/>
      </c>
      <c r="K299" s="201" t="str">
        <f aca="false">IF(A300="","",J299)</f>
        <v/>
      </c>
      <c r="L299" s="200" t="str">
        <f aca="false">IF($A300="","",VLOOKUP($A299,Table,MATCH(L$4,Curves,0)))</f>
        <v/>
      </c>
      <c r="M299" s="201" t="str">
        <f aca="false">IF(A300="","",L299)</f>
        <v/>
      </c>
      <c r="N299" s="203"/>
      <c r="O299" s="200" t="str">
        <f aca="false">IF(A300="","",L299+J299+G299)</f>
        <v/>
      </c>
      <c r="P299" s="200" t="str">
        <f aca="false">IF(A300="","",M299+K299+H299)</f>
        <v/>
      </c>
      <c r="Q299" s="204"/>
      <c r="R299" s="200" t="str">
        <f aca="false">IF($A300="","",VLOOKUP($A299,Table,MATCH(R$4,Curves,0)))</f>
        <v/>
      </c>
      <c r="S299" s="201" t="str">
        <f aca="false">IF(A300="","",R299)</f>
        <v/>
      </c>
      <c r="T299" s="200" t="str">
        <f aca="false">IF($A300="","",VLOOKUP($A299,Table,MATCH(T$4,Curves,0)))</f>
        <v/>
      </c>
      <c r="U299" s="201" t="str">
        <f aca="false">IF(A300="","",T299)</f>
        <v/>
      </c>
      <c r="V299" s="183" t="str">
        <f aca="false">IF($A300="","",IF(AND(MONTH(A299)&gt;3,MONTH(A299)&lt;11),(T299+R299+G299)*Summary!$T$8/(1-Summary!$T$8),(T299+R299+G299)*Summary!$U$8/(1-Summary!$U$8)))</f>
        <v/>
      </c>
      <c r="W299" s="200" t="str">
        <f aca="false">IF($A300="","",(T299+R299+G299+V299))</f>
        <v/>
      </c>
      <c r="X299" s="200" t="str">
        <f aca="false">IF($A300="","",(U299+S299+H299+V299))</f>
        <v/>
      </c>
      <c r="Y299" s="202"/>
      <c r="Z299" s="185" t="str">
        <f aca="false">IF($A300="","",VLOOKUP($A299,Table,MATCH(Z$4,Curves,0)))</f>
        <v/>
      </c>
      <c r="AA299" s="185" t="str">
        <f aca="false">IF($A300="","",VLOOKUP($A299,Table,MATCH(AA$4,Curves,0)))</f>
        <v/>
      </c>
      <c r="AB299" s="185" t="e">
        <f aca="false">SQRT((AA299^2*(A299-$D$3)+Z299^2*(DAY(EOMONTH(A299,0))/2))/AK299)</f>
        <v>#VALUE!</v>
      </c>
      <c r="AC299" s="185" t="str">
        <f aca="false">IF($A300="","",VLOOKUP($A299,Table,MATCH(AC$4,Curves,0)))</f>
        <v/>
      </c>
      <c r="AD299" s="185" t="str">
        <f aca="false">IF($A300="","",VLOOKUP($A299,Table,MATCH(AD$4,Curves,0)))</f>
        <v/>
      </c>
      <c r="AE299" s="185" t="e">
        <f aca="false">SQRT((AD299^2*(A299-$D$3)+AC299^2*(DAY(EOMONTH(A299,0))/2))/AK299)</f>
        <v>#VALUE!</v>
      </c>
      <c r="AF299" s="224" t="e">
        <f aca="false">((Summary!$N$8*(AA299*AD299)*(A299-$D$3))+(Summary!$M$8*Z299*AC299*(AJ299-EOMONTH(EDATE(A299,-1),0))))/(AK299*AB299*AE299)</f>
        <v>#VALUE!</v>
      </c>
      <c r="AG299" s="207" t="str">
        <f aca="false">IF($A300="","",Summary!$Q$8)</f>
        <v/>
      </c>
      <c r="AH299" s="207" t="str">
        <f aca="false">IF($A300="","",IF(Summary!$R$8="Y",(VLOOKUP($A299,Summary!$AD$6:$AF$9,3)+'Escalating commodity'!D312),'Escalating commodity'!D312))</f>
        <v/>
      </c>
      <c r="AI299" s="207" t="str">
        <f aca="false">IF($A300="","",AH299)</f>
        <v/>
      </c>
      <c r="AJ299" s="208" t="e">
        <f aca="false">A299+DAY(EOMONTH(A299,0))/2-1</f>
        <v>#VALUE!</v>
      </c>
      <c r="AK299" s="209" t="str">
        <f aca="false">IF($A300="","",$A299-$E$1)</f>
        <v/>
      </c>
      <c r="AL299" s="182" t="str">
        <f aca="false">IF($A300="","",SPRDOPT(P299,X299,AI299,0,AB299,AE299,AF299,AK299,$AJ$2,0))</f>
        <v/>
      </c>
      <c r="AM299" s="211" t="str">
        <f aca="false">IF($A300="","",MAX(0,O299-W299-AI299))</f>
        <v/>
      </c>
      <c r="AN299" s="211" t="str">
        <f aca="false">IF($A300="","",AL299-AM299)</f>
        <v/>
      </c>
      <c r="AO299" s="137" t="str">
        <f aca="false">IF(A300="","",A300-A299)</f>
        <v/>
      </c>
      <c r="AP299" s="212" t="str">
        <f aca="false">IF(A300="","",CHOOSE(F$3,A300+24,A299))</f>
        <v/>
      </c>
      <c r="AQ299" s="209" t="str">
        <f aca="false">IF(A300="","",AP299-$E$1)</f>
        <v/>
      </c>
      <c r="AR299" s="185" t="n">
        <f aca="false">'ANR OK vs ML7'!AR299</f>
        <v>0.1</v>
      </c>
      <c r="AS299" s="213" t="str">
        <f aca="false">IF(A300="","",1/(1+CHOOSE(F$3,(AR300+($I$3/10000))/2,(AR299+($I$3/10000))/2))^(2*AQ299/365.25))</f>
        <v/>
      </c>
      <c r="AT299" s="137" t="str">
        <f aca="false">IF(A300="","",IF(AND(mthbeg&lt;=A299,mthend&gt;=A299),1,0))</f>
        <v/>
      </c>
      <c r="AU299" s="137" t="str">
        <f aca="false">IF(A300="","",AO299*AT299)</f>
        <v/>
      </c>
      <c r="AW299" s="195" t="str">
        <f aca="false">IF($A300="","",AL299*$E299)</f>
        <v/>
      </c>
      <c r="AX299" s="195" t="str">
        <f aca="false">IF($A300="","",AM299*$E299)</f>
        <v/>
      </c>
      <c r="AY299" s="195" t="str">
        <f aca="false">IF($A300="","",AN299*$E299)</f>
        <v/>
      </c>
      <c r="BA299" s="195" t="str">
        <f aca="false">IF($A300="","",F299*Summary!$Q$8)</f>
        <v/>
      </c>
    </row>
    <row r="300" customFormat="false" ht="12" hidden="false" customHeight="true" outlineLevel="0" collapsed="false">
      <c r="A300" s="196" t="str">
        <f aca="false">IF(A299&lt;mthend,EDATE(A299,1),"")</f>
        <v/>
      </c>
      <c r="B300" s="197" t="n">
        <f aca="false">IF(A300&lt;mthend,B299,0)</f>
        <v>0</v>
      </c>
      <c r="C300" s="215"/>
      <c r="D300" s="197" t="str">
        <f aca="false">IF(A301&lt;&gt;"",B300+C300,"")</f>
        <v/>
      </c>
      <c r="E300" s="199" t="str">
        <f aca="false">IF(A301="","",IF(AND(AT300=1,$H$3=1),D300*AO300,IF($H$3=2,D300,"N/A")))</f>
        <v/>
      </c>
      <c r="F300" s="199" t="str">
        <f aca="false">IF(A301="","",E300*AS300)</f>
        <v/>
      </c>
      <c r="G300" s="200" t="str">
        <f aca="false">IF($A301="","",VLOOKUP($A300,Table,MATCH(G$4,Curves,0)))</f>
        <v/>
      </c>
      <c r="H300" s="201" t="str">
        <f aca="false">IF(A301="","",G300)</f>
        <v/>
      </c>
      <c r="I300" s="202"/>
      <c r="J300" s="200" t="str">
        <f aca="false">IF($A301="","",VLOOKUP($A300,Table,MATCH(J$4,Curves,0)))</f>
        <v/>
      </c>
      <c r="K300" s="201" t="str">
        <f aca="false">IF(A301="","",J300)</f>
        <v/>
      </c>
      <c r="L300" s="200" t="str">
        <f aca="false">IF($A301="","",VLOOKUP($A300,Table,MATCH(L$4,Curves,0)))</f>
        <v/>
      </c>
      <c r="M300" s="201" t="str">
        <f aca="false">IF(A301="","",L300)</f>
        <v/>
      </c>
      <c r="N300" s="203"/>
      <c r="O300" s="200" t="str">
        <f aca="false">IF(A301="","",L300+J300+G300)</f>
        <v/>
      </c>
      <c r="P300" s="200" t="str">
        <f aca="false">IF(A301="","",M300+K300+H300)</f>
        <v/>
      </c>
      <c r="Q300" s="204"/>
      <c r="R300" s="200" t="str">
        <f aca="false">IF($A301="","",VLOOKUP($A300,Table,MATCH(R$4,Curves,0)))</f>
        <v/>
      </c>
      <c r="S300" s="201" t="str">
        <f aca="false">IF(A301="","",R300)</f>
        <v/>
      </c>
      <c r="T300" s="200" t="str">
        <f aca="false">IF($A301="","",VLOOKUP($A300,Table,MATCH(T$4,Curves,0)))</f>
        <v/>
      </c>
      <c r="U300" s="201" t="str">
        <f aca="false">IF(A301="","",T300)</f>
        <v/>
      </c>
      <c r="V300" s="183" t="str">
        <f aca="false">IF($A301="","",IF(AND(MONTH(A300)&gt;3,MONTH(A300)&lt;11),(T300+R300+G300)*Summary!$T$8/(1-Summary!$T$8),(T300+R300+G300)*Summary!$U$8/(1-Summary!$U$8)))</f>
        <v/>
      </c>
      <c r="W300" s="200" t="str">
        <f aca="false">IF($A301="","",(T300+R300+G300+V300))</f>
        <v/>
      </c>
      <c r="X300" s="200" t="str">
        <f aca="false">IF($A301="","",(U300+S300+H300+V300))</f>
        <v/>
      </c>
      <c r="Y300" s="202"/>
      <c r="Z300" s="185" t="str">
        <f aca="false">IF($A301="","",VLOOKUP($A300,Table,MATCH(Z$4,Curves,0)))</f>
        <v/>
      </c>
      <c r="AA300" s="185" t="str">
        <f aca="false">IF($A301="","",VLOOKUP($A300,Table,MATCH(AA$4,Curves,0)))</f>
        <v/>
      </c>
      <c r="AB300" s="185" t="e">
        <f aca="false">SQRT((AA300^2*(A300-$D$3)+Z300^2*(DAY(EOMONTH(A300,0))/2))/AK300)</f>
        <v>#VALUE!</v>
      </c>
      <c r="AC300" s="185" t="str">
        <f aca="false">IF($A301="","",VLOOKUP($A300,Table,MATCH(AC$4,Curves,0)))</f>
        <v/>
      </c>
      <c r="AD300" s="185" t="str">
        <f aca="false">IF($A301="","",VLOOKUP($A300,Table,MATCH(AD$4,Curves,0)))</f>
        <v/>
      </c>
      <c r="AE300" s="185" t="e">
        <f aca="false">SQRT((AD300^2*(A300-$D$3)+AC300^2*(DAY(EOMONTH(A300,0))/2))/AK300)</f>
        <v>#VALUE!</v>
      </c>
      <c r="AF300" s="224" t="e">
        <f aca="false">((Summary!$N$8*(AA300*AD300)*(A300-$D$3))+(Summary!$M$8*Z300*AC300*(AJ300-EOMONTH(EDATE(A300,-1),0))))/(AK300*AB300*AE300)</f>
        <v>#VALUE!</v>
      </c>
      <c r="AG300" s="207" t="str">
        <f aca="false">IF($A301="","",Summary!$Q$8)</f>
        <v/>
      </c>
      <c r="AH300" s="207" t="str">
        <f aca="false">IF($A301="","",IF(Summary!$R$8="Y",(VLOOKUP($A300,Summary!$AD$6:$AF$9,3)+'Escalating commodity'!D313),'Escalating commodity'!D313))</f>
        <v/>
      </c>
      <c r="AI300" s="207" t="str">
        <f aca="false">IF($A301="","",AH300)</f>
        <v/>
      </c>
      <c r="AJ300" s="208" t="e">
        <f aca="false">A300+DAY(EOMONTH(A300,0))/2-1</f>
        <v>#VALUE!</v>
      </c>
      <c r="AK300" s="209" t="str">
        <f aca="false">IF($A301="","",$A300-$E$1)</f>
        <v/>
      </c>
      <c r="AL300" s="182" t="str">
        <f aca="false">IF($A301="","",SPRDOPT(P300,X300,AI300,0,AB300,AE300,AF300,AK300,$AJ$2,0))</f>
        <v/>
      </c>
      <c r="AM300" s="211" t="str">
        <f aca="false">IF($A301="","",MAX(0,O300-W300-AI300))</f>
        <v/>
      </c>
      <c r="AN300" s="211" t="str">
        <f aca="false">IF($A301="","",AL300-AM300)</f>
        <v/>
      </c>
      <c r="AO300" s="137" t="str">
        <f aca="false">IF(A301="","",A301-A300)</f>
        <v/>
      </c>
      <c r="AP300" s="212" t="str">
        <f aca="false">IF(A301="","",CHOOSE(F$3,A301+24,A300))</f>
        <v/>
      </c>
      <c r="AQ300" s="209" t="str">
        <f aca="false">IF(A301="","",AP300-$E$1)</f>
        <v/>
      </c>
      <c r="AR300" s="185" t="n">
        <f aca="false">'ANR OK vs ML7'!AR300</f>
        <v>0.1</v>
      </c>
      <c r="AS300" s="213" t="str">
        <f aca="false">IF(A301="","",1/(1+CHOOSE(F$3,(AR301+($I$3/10000))/2,(AR300+($I$3/10000))/2))^(2*AQ300/365.25))</f>
        <v/>
      </c>
      <c r="AT300" s="137" t="str">
        <f aca="false">IF(A301="","",IF(AND(mthbeg&lt;=A300,mthend&gt;=A300),1,0))</f>
        <v/>
      </c>
      <c r="AU300" s="137" t="str">
        <f aca="false">IF(A301="","",AO300*AT300)</f>
        <v/>
      </c>
      <c r="AW300" s="195" t="str">
        <f aca="false">IF($A301="","",AL300*$E300)</f>
        <v/>
      </c>
      <c r="AX300" s="195" t="str">
        <f aca="false">IF($A301="","",AM300*$E300)</f>
        <v/>
      </c>
      <c r="AY300" s="195" t="str">
        <f aca="false">IF($A301="","",AN300*$E300)</f>
        <v/>
      </c>
      <c r="BA300" s="195" t="str">
        <f aca="false">IF($A301="","",F300*Summary!$Q$8)</f>
        <v/>
      </c>
    </row>
    <row r="301" customFormat="false" ht="12" hidden="false" customHeight="true" outlineLevel="0" collapsed="false">
      <c r="A301" s="196" t="str">
        <f aca="false">IF(A300&lt;mthend,EDATE(A300,1),"")</f>
        <v/>
      </c>
      <c r="B301" s="197" t="n">
        <f aca="false">IF(A301&lt;mthend,B300,0)</f>
        <v>0</v>
      </c>
      <c r="C301" s="215"/>
      <c r="D301" s="197" t="str">
        <f aca="false">IF(A302&lt;&gt;"",B301+C301,"")</f>
        <v/>
      </c>
      <c r="E301" s="199" t="str">
        <f aca="false">IF(A302="","",IF(AND(AT301=1,$H$3=1),D301*AO301,IF($H$3=2,D301,"N/A")))</f>
        <v/>
      </c>
      <c r="F301" s="199" t="str">
        <f aca="false">IF(A302="","",E301*AS301)</f>
        <v/>
      </c>
      <c r="G301" s="200" t="str">
        <f aca="false">IF($A302="","",VLOOKUP($A301,Table,MATCH(G$4,Curves,0)))</f>
        <v/>
      </c>
      <c r="H301" s="201" t="str">
        <f aca="false">IF(A302="","",G301)</f>
        <v/>
      </c>
      <c r="I301" s="202"/>
      <c r="J301" s="200" t="str">
        <f aca="false">IF($A302="","",VLOOKUP($A301,Table,MATCH(J$4,Curves,0)))</f>
        <v/>
      </c>
      <c r="K301" s="201" t="str">
        <f aca="false">IF(A302="","",J301)</f>
        <v/>
      </c>
      <c r="L301" s="200" t="str">
        <f aca="false">IF($A302="","",VLOOKUP($A301,Table,MATCH(L$4,Curves,0)))</f>
        <v/>
      </c>
      <c r="M301" s="201" t="str">
        <f aca="false">IF(A302="","",L301)</f>
        <v/>
      </c>
      <c r="N301" s="203"/>
      <c r="O301" s="200" t="str">
        <f aca="false">IF(A302="","",L301+J301+G301)</f>
        <v/>
      </c>
      <c r="P301" s="200" t="str">
        <f aca="false">IF(A302="","",M301+K301+H301)</f>
        <v/>
      </c>
      <c r="Q301" s="204"/>
      <c r="R301" s="200" t="str">
        <f aca="false">IF($A302="","",VLOOKUP($A301,Table,MATCH(R$4,Curves,0)))</f>
        <v/>
      </c>
      <c r="S301" s="201" t="str">
        <f aca="false">IF(A302="","",R301)</f>
        <v/>
      </c>
      <c r="T301" s="200" t="str">
        <f aca="false">IF($A302="","",VLOOKUP($A301,Table,MATCH(T$4,Curves,0)))</f>
        <v/>
      </c>
      <c r="U301" s="201" t="str">
        <f aca="false">IF(A302="","",T301)</f>
        <v/>
      </c>
      <c r="V301" s="183" t="str">
        <f aca="false">IF($A302="","",IF(AND(MONTH(A301)&gt;3,MONTH(A301)&lt;11),(T301+R301+G301)*Summary!$T$8/(1-Summary!$T$8),(T301+R301+G301)*Summary!$U$8/(1-Summary!$U$8)))</f>
        <v/>
      </c>
      <c r="W301" s="200" t="str">
        <f aca="false">IF($A302="","",(T301+R301+G301+V301))</f>
        <v/>
      </c>
      <c r="X301" s="200" t="str">
        <f aca="false">IF($A302="","",(U301+S301+H301+V301))</f>
        <v/>
      </c>
      <c r="Y301" s="202"/>
      <c r="Z301" s="185" t="str">
        <f aca="false">IF($A302="","",VLOOKUP($A301,Table,MATCH(Z$4,Curves,0)))</f>
        <v/>
      </c>
      <c r="AA301" s="185" t="str">
        <f aca="false">IF($A302="","",VLOOKUP($A301,Table,MATCH(AA$4,Curves,0)))</f>
        <v/>
      </c>
      <c r="AB301" s="185" t="e">
        <f aca="false">SQRT((AA301^2*(A301-$D$3)+Z301^2*(DAY(EOMONTH(A301,0))/2))/AK301)</f>
        <v>#VALUE!</v>
      </c>
      <c r="AC301" s="185" t="str">
        <f aca="false">IF($A302="","",VLOOKUP($A301,Table,MATCH(AC$4,Curves,0)))</f>
        <v/>
      </c>
      <c r="AD301" s="185" t="str">
        <f aca="false">IF($A302="","",VLOOKUP($A301,Table,MATCH(AD$4,Curves,0)))</f>
        <v/>
      </c>
      <c r="AE301" s="185" t="e">
        <f aca="false">SQRT((AD301^2*(A301-$D$3)+AC301^2*(DAY(EOMONTH(A301,0))/2))/AK301)</f>
        <v>#VALUE!</v>
      </c>
      <c r="AF301" s="224" t="e">
        <f aca="false">((Summary!$N$8*(AA301*AD301)*(A301-$D$3))+(Summary!$M$8*Z301*AC301*(AJ301-EOMONTH(EDATE(A301,-1),0))))/(AK301*AB301*AE301)</f>
        <v>#VALUE!</v>
      </c>
      <c r="AG301" s="207" t="str">
        <f aca="false">IF($A302="","",Summary!$Q$8)</f>
        <v/>
      </c>
      <c r="AH301" s="207" t="str">
        <f aca="false">IF($A302="","",IF(Summary!$R$8="Y",(VLOOKUP($A301,Summary!$AD$6:$AF$9,3)+'Escalating commodity'!D314),'Escalating commodity'!D314))</f>
        <v/>
      </c>
      <c r="AI301" s="207" t="str">
        <f aca="false">IF($A302="","",AH301)</f>
        <v/>
      </c>
      <c r="AJ301" s="208" t="e">
        <f aca="false">A301+DAY(EOMONTH(A301,0))/2-1</f>
        <v>#VALUE!</v>
      </c>
      <c r="AK301" s="209" t="str">
        <f aca="false">IF($A302="","",$A301-$E$1)</f>
        <v/>
      </c>
      <c r="AL301" s="182" t="str">
        <f aca="false">IF($A302="","",SPRDOPT(P301,X301,AI301,0,AB301,AE301,AF301,AK301,$AJ$2,0))</f>
        <v/>
      </c>
      <c r="AM301" s="211" t="str">
        <f aca="false">IF($A302="","",MAX(0,O301-W301-AI301))</f>
        <v/>
      </c>
      <c r="AN301" s="211" t="str">
        <f aca="false">IF($A302="","",AL301-AM301)</f>
        <v/>
      </c>
      <c r="AO301" s="137" t="str">
        <f aca="false">IF(A302="","",A302-A301)</f>
        <v/>
      </c>
      <c r="AP301" s="212" t="str">
        <f aca="false">IF(A302="","",CHOOSE(F$3,A302+24,A301))</f>
        <v/>
      </c>
      <c r="AQ301" s="209" t="str">
        <f aca="false">IF(A302="","",AP301-$E$1)</f>
        <v/>
      </c>
      <c r="AR301" s="185" t="n">
        <f aca="false">'ANR OK vs ML7'!AR301</f>
        <v>0.1</v>
      </c>
      <c r="AS301" s="213" t="str">
        <f aca="false">IF(A302="","",1/(1+CHOOSE(F$3,(AR302+($I$3/10000))/2,(AR301+($I$3/10000))/2))^(2*AQ301/365.25))</f>
        <v/>
      </c>
      <c r="AT301" s="137" t="str">
        <f aca="false">IF(A302="","",IF(AND(mthbeg&lt;=A301,mthend&gt;=A301),1,0))</f>
        <v/>
      </c>
      <c r="AU301" s="137" t="str">
        <f aca="false">IF(A302="","",AO301*AT301)</f>
        <v/>
      </c>
      <c r="AW301" s="195" t="str">
        <f aca="false">IF($A302="","",AL301*$E301)</f>
        <v/>
      </c>
      <c r="AX301" s="195" t="str">
        <f aca="false">IF($A302="","",AM301*$E301)</f>
        <v/>
      </c>
      <c r="AY301" s="195" t="str">
        <f aca="false">IF($A302="","",AN301*$E301)</f>
        <v/>
      </c>
      <c r="BA301" s="195" t="str">
        <f aca="false">IF($A302="","",F301*Summary!$Q$8)</f>
        <v/>
      </c>
    </row>
    <row r="302" customFormat="false" ht="12" hidden="false" customHeight="true" outlineLevel="0" collapsed="false">
      <c r="A302" s="196" t="str">
        <f aca="false">IF(A301&lt;mthend,EDATE(A301,1),"")</f>
        <v/>
      </c>
      <c r="B302" s="197" t="n">
        <f aca="false">IF(A302&lt;mthend,B301,0)</f>
        <v>0</v>
      </c>
      <c r="C302" s="215"/>
      <c r="D302" s="197" t="str">
        <f aca="false">IF(A303&lt;&gt;"",B302+C302,"")</f>
        <v/>
      </c>
      <c r="E302" s="199" t="str">
        <f aca="false">IF(A303="","",IF(AND(AT302=1,$H$3=1),D302*AO302,IF($H$3=2,D302,"N/A")))</f>
        <v/>
      </c>
      <c r="F302" s="199" t="str">
        <f aca="false">IF(A303="","",E302*AS302)</f>
        <v/>
      </c>
      <c r="G302" s="200" t="str">
        <f aca="false">IF($A303="","",VLOOKUP($A302,Table,MATCH(G$4,Curves,0)))</f>
        <v/>
      </c>
      <c r="H302" s="201" t="str">
        <f aca="false">IF(A303="","",G302)</f>
        <v/>
      </c>
      <c r="I302" s="202"/>
      <c r="J302" s="200" t="str">
        <f aca="false">IF($A303="","",VLOOKUP($A302,Table,MATCH(J$4,Curves,0)))</f>
        <v/>
      </c>
      <c r="K302" s="201" t="str">
        <f aca="false">IF(A303="","",J302)</f>
        <v/>
      </c>
      <c r="L302" s="200" t="str">
        <f aca="false">IF($A303="","",VLOOKUP($A302,Table,MATCH(L$4,Curves,0)))</f>
        <v/>
      </c>
      <c r="M302" s="201" t="str">
        <f aca="false">IF(A303="","",L302)</f>
        <v/>
      </c>
      <c r="N302" s="203"/>
      <c r="O302" s="200" t="str">
        <f aca="false">IF(A303="","",L302+J302+G302)</f>
        <v/>
      </c>
      <c r="P302" s="200" t="str">
        <f aca="false">IF(A303="","",M302+K302+H302)</f>
        <v/>
      </c>
      <c r="Q302" s="204"/>
      <c r="R302" s="200" t="str">
        <f aca="false">IF($A303="","",VLOOKUP($A302,Table,MATCH(R$4,Curves,0)))</f>
        <v/>
      </c>
      <c r="S302" s="201" t="str">
        <f aca="false">IF(A303="","",R302)</f>
        <v/>
      </c>
      <c r="T302" s="200" t="str">
        <f aca="false">IF($A303="","",VLOOKUP($A302,Table,MATCH(T$4,Curves,0)))</f>
        <v/>
      </c>
      <c r="U302" s="201" t="str">
        <f aca="false">IF(A303="","",T302)</f>
        <v/>
      </c>
      <c r="V302" s="183" t="str">
        <f aca="false">IF($A303="","",IF(AND(MONTH(A302)&gt;3,MONTH(A302)&lt;11),(T302+R302+G302)*Summary!$T$8/(1-Summary!$T$8),(T302+R302+G302)*Summary!$U$8/(1-Summary!$U$8)))</f>
        <v/>
      </c>
      <c r="W302" s="200" t="str">
        <f aca="false">IF($A303="","",(T302+R302+G302+V302))</f>
        <v/>
      </c>
      <c r="X302" s="200" t="str">
        <f aca="false">IF($A303="","",(U302+S302+H302+V302))</f>
        <v/>
      </c>
      <c r="Y302" s="202"/>
      <c r="Z302" s="185" t="str">
        <f aca="false">IF($A303="","",VLOOKUP($A302,Table,MATCH(Z$4,Curves,0)))</f>
        <v/>
      </c>
      <c r="AA302" s="185" t="str">
        <f aca="false">IF($A303="","",VLOOKUP($A302,Table,MATCH(AA$4,Curves,0)))</f>
        <v/>
      </c>
      <c r="AB302" s="185" t="e">
        <f aca="false">SQRT((AA302^2*(A302-$D$3)+Z302^2*(DAY(EOMONTH(A302,0))/2))/AK302)</f>
        <v>#VALUE!</v>
      </c>
      <c r="AC302" s="185" t="str">
        <f aca="false">IF($A303="","",VLOOKUP($A302,Table,MATCH(AC$4,Curves,0)))</f>
        <v/>
      </c>
      <c r="AD302" s="185" t="str">
        <f aca="false">IF($A303="","",VLOOKUP($A302,Table,MATCH(AD$4,Curves,0)))</f>
        <v/>
      </c>
      <c r="AE302" s="185" t="e">
        <f aca="false">SQRT((AD302^2*(A302-$D$3)+AC302^2*(DAY(EOMONTH(A302,0))/2))/AK302)</f>
        <v>#VALUE!</v>
      </c>
      <c r="AF302" s="224" t="e">
        <f aca="false">((Summary!$N$8*(AA302*AD302)*(A302-$D$3))+(Summary!$M$8*Z302*AC302*(AJ302-EOMONTH(EDATE(A302,-1),0))))/(AK302*AB302*AE302)</f>
        <v>#VALUE!</v>
      </c>
      <c r="AG302" s="207" t="str">
        <f aca="false">IF($A303="","",Summary!$Q$8)</f>
        <v/>
      </c>
      <c r="AH302" s="207" t="str">
        <f aca="false">IF($A303="","",IF(Summary!$R$8="Y",(VLOOKUP($A302,Summary!$AD$6:$AF$9,3)+'Escalating commodity'!D315),'Escalating commodity'!D315))</f>
        <v/>
      </c>
      <c r="AI302" s="207" t="str">
        <f aca="false">IF($A303="","",AH302)</f>
        <v/>
      </c>
      <c r="AJ302" s="208" t="e">
        <f aca="false">A302+DAY(EOMONTH(A302,0))/2-1</f>
        <v>#VALUE!</v>
      </c>
      <c r="AK302" s="209" t="str">
        <f aca="false">IF($A303="","",$A302-$E$1)</f>
        <v/>
      </c>
      <c r="AL302" s="182" t="str">
        <f aca="false">IF($A303="","",SPRDOPT(P302,X302,AI302,0,AB302,AE302,AF302,AK302,$AJ$2,0))</f>
        <v/>
      </c>
      <c r="AM302" s="211" t="str">
        <f aca="false">IF($A303="","",MAX(0,O302-W302-AI302))</f>
        <v/>
      </c>
      <c r="AN302" s="211" t="str">
        <f aca="false">IF($A303="","",AL302-AM302)</f>
        <v/>
      </c>
      <c r="AO302" s="137" t="str">
        <f aca="false">IF(A303="","",A303-A302)</f>
        <v/>
      </c>
      <c r="AP302" s="212" t="str">
        <f aca="false">IF(A303="","",CHOOSE(F$3,A303+24,A302))</f>
        <v/>
      </c>
      <c r="AQ302" s="209" t="str">
        <f aca="false">IF(A303="","",AP302-$E$1)</f>
        <v/>
      </c>
      <c r="AR302" s="185" t="n">
        <f aca="false">'ANR OK vs ML7'!AR302</f>
        <v>0.1</v>
      </c>
      <c r="AS302" s="213" t="str">
        <f aca="false">IF(A303="","",1/(1+CHOOSE(F$3,(AR303+($I$3/10000))/2,(AR302+($I$3/10000))/2))^(2*AQ302/365.25))</f>
        <v/>
      </c>
      <c r="AT302" s="137" t="str">
        <f aca="false">IF(A303="","",IF(AND(mthbeg&lt;=A302,mthend&gt;=A302),1,0))</f>
        <v/>
      </c>
      <c r="AU302" s="137" t="str">
        <f aca="false">IF(A303="","",AO302*AT302)</f>
        <v/>
      </c>
      <c r="AW302" s="195" t="str">
        <f aca="false">IF($A303="","",AL302*$E302)</f>
        <v/>
      </c>
      <c r="AX302" s="195" t="str">
        <f aca="false">IF($A303="","",AM302*$E302)</f>
        <v/>
      </c>
      <c r="AY302" s="195" t="str">
        <f aca="false">IF($A303="","",AN302*$E302)</f>
        <v/>
      </c>
      <c r="BA302" s="195" t="str">
        <f aca="false">IF($A303="","",F302*Summary!$Q$8)</f>
        <v/>
      </c>
    </row>
    <row r="303" customFormat="false" ht="12" hidden="false" customHeight="true" outlineLevel="0" collapsed="false">
      <c r="A303" s="196" t="str">
        <f aca="false">IF(A302&lt;mthend,EDATE(A302,1),"")</f>
        <v/>
      </c>
      <c r="B303" s="197" t="n">
        <f aca="false">IF(A303&lt;mthend,B302,0)</f>
        <v>0</v>
      </c>
      <c r="C303" s="215"/>
      <c r="D303" s="197" t="str">
        <f aca="false">IF(A304&lt;&gt;"",B303+C303,"")</f>
        <v/>
      </c>
      <c r="E303" s="199" t="str">
        <f aca="false">IF(A304="","",IF(AND(AT303=1,$H$3=1),D303*AO303,IF($H$3=2,D303,"N/A")))</f>
        <v/>
      </c>
      <c r="F303" s="199" t="str">
        <f aca="false">IF(A304="","",E303*AS303)</f>
        <v/>
      </c>
      <c r="G303" s="200" t="str">
        <f aca="false">IF($A304="","",VLOOKUP($A303,Table,MATCH(G$4,Curves,0)))</f>
        <v/>
      </c>
      <c r="H303" s="201" t="str">
        <f aca="false">IF(A304="","",G303)</f>
        <v/>
      </c>
      <c r="I303" s="202"/>
      <c r="J303" s="200" t="str">
        <f aca="false">IF($A304="","",VLOOKUP($A303,Table,MATCH(J$4,Curves,0)))</f>
        <v/>
      </c>
      <c r="K303" s="201" t="str">
        <f aca="false">IF(A304="","",J303)</f>
        <v/>
      </c>
      <c r="L303" s="200" t="str">
        <f aca="false">IF($A304="","",VLOOKUP($A303,Table,MATCH(L$4,Curves,0)))</f>
        <v/>
      </c>
      <c r="M303" s="201" t="str">
        <f aca="false">IF(A304="","",L303)</f>
        <v/>
      </c>
      <c r="N303" s="203"/>
      <c r="O303" s="200" t="str">
        <f aca="false">IF(A304="","",L303+J303+G303)</f>
        <v/>
      </c>
      <c r="P303" s="200" t="str">
        <f aca="false">IF(A304="","",M303+K303+H303)</f>
        <v/>
      </c>
      <c r="Q303" s="204"/>
      <c r="R303" s="200" t="str">
        <f aca="false">IF($A304="","",VLOOKUP($A303,Table,MATCH(R$4,Curves,0)))</f>
        <v/>
      </c>
      <c r="S303" s="201" t="str">
        <f aca="false">IF(A304="","",R303)</f>
        <v/>
      </c>
      <c r="T303" s="200" t="str">
        <f aca="false">IF($A304="","",VLOOKUP($A303,Table,MATCH(T$4,Curves,0)))</f>
        <v/>
      </c>
      <c r="U303" s="201" t="str">
        <f aca="false">IF(A304="","",T303)</f>
        <v/>
      </c>
      <c r="V303" s="183" t="str">
        <f aca="false">IF($A304="","",IF(AND(MONTH(A303)&gt;3,MONTH(A303)&lt;11),(T303+R303+G303)*Summary!$T$8/(1-Summary!$T$8),(T303+R303+G303)*Summary!$U$8/(1-Summary!$U$8)))</f>
        <v/>
      </c>
      <c r="W303" s="200" t="str">
        <f aca="false">IF($A304="","",(T303+R303+G303+V303))</f>
        <v/>
      </c>
      <c r="X303" s="200" t="str">
        <f aca="false">IF($A304="","",(U303+S303+H303+V303))</f>
        <v/>
      </c>
      <c r="Y303" s="202"/>
      <c r="Z303" s="185" t="str">
        <f aca="false">IF($A304="","",VLOOKUP($A303,Table,MATCH(Z$4,Curves,0)))</f>
        <v/>
      </c>
      <c r="AA303" s="185" t="str">
        <f aca="false">IF($A304="","",VLOOKUP($A303,Table,MATCH(AA$4,Curves,0)))</f>
        <v/>
      </c>
      <c r="AB303" s="185" t="e">
        <f aca="false">SQRT((AA303^2*(A303-$D$3)+Z303^2*(DAY(EOMONTH(A303,0))/2))/AK303)</f>
        <v>#VALUE!</v>
      </c>
      <c r="AC303" s="185" t="str">
        <f aca="false">IF($A304="","",VLOOKUP($A303,Table,MATCH(AC$4,Curves,0)))</f>
        <v/>
      </c>
      <c r="AD303" s="185" t="str">
        <f aca="false">IF($A304="","",VLOOKUP($A303,Table,MATCH(AD$4,Curves,0)))</f>
        <v/>
      </c>
      <c r="AE303" s="185" t="e">
        <f aca="false">SQRT((AD303^2*(A303-$D$3)+AC303^2*(DAY(EOMONTH(A303,0))/2))/AK303)</f>
        <v>#VALUE!</v>
      </c>
      <c r="AF303" s="224" t="e">
        <f aca="false">((Summary!$N$8*(AA303*AD303)*(A303-$D$3))+(Summary!$M$8*Z303*AC303*(AJ303-EOMONTH(EDATE(A303,-1),0))))/(AK303*AB303*AE303)</f>
        <v>#VALUE!</v>
      </c>
      <c r="AG303" s="207" t="str">
        <f aca="false">IF($A304="","",Summary!$Q$8)</f>
        <v/>
      </c>
      <c r="AH303" s="207" t="str">
        <f aca="false">IF($A304="","",IF(Summary!$R$8="Y",(VLOOKUP($A303,Summary!$AD$6:$AF$9,3)+'Escalating commodity'!D316),'Escalating commodity'!D316))</f>
        <v/>
      </c>
      <c r="AI303" s="207" t="str">
        <f aca="false">IF($A304="","",AH303)</f>
        <v/>
      </c>
      <c r="AJ303" s="208" t="e">
        <f aca="false">A303+DAY(EOMONTH(A303,0))/2-1</f>
        <v>#VALUE!</v>
      </c>
      <c r="AK303" s="209" t="str">
        <f aca="false">IF($A304="","",$A303-$E$1)</f>
        <v/>
      </c>
      <c r="AL303" s="182" t="str">
        <f aca="false">IF($A304="","",SPRDOPT(P303,X303,AI303,0,AB303,AE303,AF303,AK303,$AJ$2,0))</f>
        <v/>
      </c>
      <c r="AM303" s="211" t="str">
        <f aca="false">IF($A304="","",MAX(0,O303-W303-AI303))</f>
        <v/>
      </c>
      <c r="AN303" s="211" t="str">
        <f aca="false">IF($A304="","",AL303-AM303)</f>
        <v/>
      </c>
      <c r="AO303" s="137" t="str">
        <f aca="false">IF(A304="","",A304-A303)</f>
        <v/>
      </c>
      <c r="AP303" s="212" t="str">
        <f aca="false">IF(A304="","",CHOOSE(F$3,A304+24,A303))</f>
        <v/>
      </c>
      <c r="AQ303" s="209" t="str">
        <f aca="false">IF(A304="","",AP303-$E$1)</f>
        <v/>
      </c>
      <c r="AR303" s="185" t="n">
        <f aca="false">'ANR OK vs ML7'!AR303</f>
        <v>0.1</v>
      </c>
      <c r="AS303" s="213" t="str">
        <f aca="false">IF(A304="","",1/(1+CHOOSE(F$3,(AR304+($I$3/10000))/2,(AR303+($I$3/10000))/2))^(2*AQ303/365.25))</f>
        <v/>
      </c>
      <c r="AT303" s="137" t="str">
        <f aca="false">IF(A304="","",IF(AND(mthbeg&lt;=A303,mthend&gt;=A303),1,0))</f>
        <v/>
      </c>
      <c r="AU303" s="137" t="str">
        <f aca="false">IF(A304="","",AO303*AT303)</f>
        <v/>
      </c>
      <c r="AW303" s="195" t="str">
        <f aca="false">IF($A304="","",AL303*$E303)</f>
        <v/>
      </c>
      <c r="AX303" s="195" t="str">
        <f aca="false">IF($A304="","",AM303*$E303)</f>
        <v/>
      </c>
      <c r="AY303" s="195" t="str">
        <f aca="false">IF($A304="","",AN303*$E303)</f>
        <v/>
      </c>
      <c r="BA303" s="195" t="str">
        <f aca="false">IF($A304="","",F303*Summary!$Q$8)</f>
        <v/>
      </c>
    </row>
    <row r="304" customFormat="false" ht="12" hidden="false" customHeight="true" outlineLevel="0" collapsed="false">
      <c r="A304" s="196" t="str">
        <f aca="false">IF(A303&lt;mthend,EDATE(A303,1),"")</f>
        <v/>
      </c>
      <c r="B304" s="197" t="n">
        <f aca="false">IF(A304&lt;mthend,B303,0)</f>
        <v>0</v>
      </c>
      <c r="C304" s="215"/>
      <c r="D304" s="197" t="str">
        <f aca="false">IF(A305&lt;&gt;"",B304+C304,"")</f>
        <v/>
      </c>
      <c r="E304" s="199" t="str">
        <f aca="false">IF(A305="","",IF(AND(AT304=1,$H$3=1),D304*AO304,IF($H$3=2,D304,"N/A")))</f>
        <v/>
      </c>
      <c r="F304" s="199" t="str">
        <f aca="false">IF(A305="","",E304*AS304)</f>
        <v/>
      </c>
      <c r="G304" s="200" t="str">
        <f aca="false">IF($A305="","",VLOOKUP($A304,Table,MATCH(G$4,Curves,0)))</f>
        <v/>
      </c>
      <c r="H304" s="201" t="str">
        <f aca="false">IF(A305="","",G304)</f>
        <v/>
      </c>
      <c r="I304" s="202"/>
      <c r="J304" s="200" t="str">
        <f aca="false">IF($A305="","",VLOOKUP($A304,Table,MATCH(J$4,Curves,0)))</f>
        <v/>
      </c>
      <c r="K304" s="201" t="str">
        <f aca="false">IF(A305="","",J304)</f>
        <v/>
      </c>
      <c r="L304" s="200" t="str">
        <f aca="false">IF($A305="","",VLOOKUP($A304,Table,MATCH(L$4,Curves,0)))</f>
        <v/>
      </c>
      <c r="M304" s="201" t="str">
        <f aca="false">IF(A305="","",L304)</f>
        <v/>
      </c>
      <c r="N304" s="203"/>
      <c r="O304" s="200" t="str">
        <f aca="false">IF(A305="","",L304+J304+G304)</f>
        <v/>
      </c>
      <c r="P304" s="200" t="str">
        <f aca="false">IF(A305="","",M304+K304+H304)</f>
        <v/>
      </c>
      <c r="Q304" s="204"/>
      <c r="R304" s="200" t="str">
        <f aca="false">IF($A305="","",VLOOKUP($A304,Table,MATCH(R$4,Curves,0)))</f>
        <v/>
      </c>
      <c r="S304" s="201" t="str">
        <f aca="false">IF(A305="","",R304)</f>
        <v/>
      </c>
      <c r="T304" s="200" t="str">
        <f aca="false">IF($A305="","",VLOOKUP($A304,Table,MATCH(T$4,Curves,0)))</f>
        <v/>
      </c>
      <c r="U304" s="201" t="str">
        <f aca="false">IF(A305="","",T304)</f>
        <v/>
      </c>
      <c r="V304" s="183" t="str">
        <f aca="false">IF($A305="","",IF(AND(MONTH(A304)&gt;3,MONTH(A304)&lt;11),(T304+R304+G304)*Summary!$T$8/(1-Summary!$T$8),(T304+R304+G304)*Summary!$U$8/(1-Summary!$U$8)))</f>
        <v/>
      </c>
      <c r="W304" s="200" t="str">
        <f aca="false">IF($A305="","",(T304+R304+G304+V304))</f>
        <v/>
      </c>
      <c r="X304" s="200" t="str">
        <f aca="false">IF($A305="","",(U304+S304+H304+V304))</f>
        <v/>
      </c>
      <c r="Y304" s="202"/>
      <c r="Z304" s="185" t="str">
        <f aca="false">IF($A305="","",VLOOKUP($A304,Table,MATCH(Z$4,Curves,0)))</f>
        <v/>
      </c>
      <c r="AA304" s="185" t="str">
        <f aca="false">IF($A305="","",VLOOKUP($A304,Table,MATCH(AA$4,Curves,0)))</f>
        <v/>
      </c>
      <c r="AB304" s="185" t="e">
        <f aca="false">SQRT((AA304^2*(A304-$D$3)+Z304^2*(DAY(EOMONTH(A304,0))/2))/AK304)</f>
        <v>#VALUE!</v>
      </c>
      <c r="AC304" s="185" t="str">
        <f aca="false">IF($A305="","",VLOOKUP($A304,Table,MATCH(AC$4,Curves,0)))</f>
        <v/>
      </c>
      <c r="AD304" s="185" t="str">
        <f aca="false">IF($A305="","",VLOOKUP($A304,Table,MATCH(AD$4,Curves,0)))</f>
        <v/>
      </c>
      <c r="AE304" s="185" t="e">
        <f aca="false">SQRT((AD304^2*(A304-$D$3)+AC304^2*(DAY(EOMONTH(A304,0))/2))/AK304)</f>
        <v>#VALUE!</v>
      </c>
      <c r="AF304" s="224" t="e">
        <f aca="false">((Summary!$N$8*(AA304*AD304)*(A304-$D$3))+(Summary!$M$8*Z304*AC304*(AJ304-EOMONTH(EDATE(A304,-1),0))))/(AK304*AB304*AE304)</f>
        <v>#VALUE!</v>
      </c>
      <c r="AG304" s="207" t="str">
        <f aca="false">IF($A305="","",Summary!$Q$8)</f>
        <v/>
      </c>
      <c r="AH304" s="207" t="str">
        <f aca="false">IF($A305="","",IF(Summary!$R$8="Y",(VLOOKUP($A304,Summary!$AD$6:$AF$9,3)+'Escalating commodity'!D317),'Escalating commodity'!D317))</f>
        <v/>
      </c>
      <c r="AI304" s="207" t="str">
        <f aca="false">IF($A305="","",AH304)</f>
        <v/>
      </c>
      <c r="AJ304" s="208" t="e">
        <f aca="false">A304+DAY(EOMONTH(A304,0))/2-1</f>
        <v>#VALUE!</v>
      </c>
      <c r="AK304" s="209" t="str">
        <f aca="false">IF($A305="","",$A304-$E$1)</f>
        <v/>
      </c>
      <c r="AL304" s="182" t="str">
        <f aca="false">IF($A305="","",SPRDOPT(P304,X304,AI304,0,AB304,AE304,AF304,AK304,$AJ$2,0))</f>
        <v/>
      </c>
      <c r="AM304" s="211" t="str">
        <f aca="false">IF($A305="","",MAX(0,O304-W304-AI304))</f>
        <v/>
      </c>
      <c r="AN304" s="211" t="str">
        <f aca="false">IF($A305="","",AL304-AM304)</f>
        <v/>
      </c>
      <c r="AO304" s="137" t="str">
        <f aca="false">IF(A305="","",A305-A304)</f>
        <v/>
      </c>
      <c r="AP304" s="212" t="str">
        <f aca="false">IF(A305="","",CHOOSE(F$3,A305+24,A304))</f>
        <v/>
      </c>
      <c r="AQ304" s="209" t="str">
        <f aca="false">IF(A305="","",AP304-$E$1)</f>
        <v/>
      </c>
      <c r="AR304" s="185" t="n">
        <f aca="false">'ANR OK vs ML7'!AR304</f>
        <v>0.1</v>
      </c>
      <c r="AS304" s="213" t="str">
        <f aca="false">IF(A305="","",1/(1+CHOOSE(F$3,(AR305+($I$3/10000))/2,(AR304+($I$3/10000))/2))^(2*AQ304/365.25))</f>
        <v/>
      </c>
      <c r="AT304" s="137" t="str">
        <f aca="false">IF(A305="","",IF(AND(mthbeg&lt;=A304,mthend&gt;=A304),1,0))</f>
        <v/>
      </c>
      <c r="AU304" s="137" t="str">
        <f aca="false">IF(A305="","",AO304*AT304)</f>
        <v/>
      </c>
      <c r="AW304" s="195" t="str">
        <f aca="false">IF($A305="","",AL304*$E304)</f>
        <v/>
      </c>
      <c r="AX304" s="195" t="str">
        <f aca="false">IF($A305="","",AM304*$E304)</f>
        <v/>
      </c>
      <c r="AY304" s="195" t="str">
        <f aca="false">IF($A305="","",AN304*$E304)</f>
        <v/>
      </c>
      <c r="BA304" s="195" t="str">
        <f aca="false">IF($A305="","",F304*Summary!$Q$8)</f>
        <v/>
      </c>
    </row>
    <row r="305" customFormat="false" ht="12" hidden="false" customHeight="true" outlineLevel="0" collapsed="false">
      <c r="A305" s="196" t="str">
        <f aca="false">IF(A304&lt;mthend,EDATE(A304,1),"")</f>
        <v/>
      </c>
      <c r="B305" s="197" t="n">
        <f aca="false">IF(A305&lt;mthend,B304,0)</f>
        <v>0</v>
      </c>
      <c r="C305" s="215"/>
      <c r="D305" s="197" t="str">
        <f aca="false">IF(A306&lt;&gt;"",B305+C305,"")</f>
        <v/>
      </c>
      <c r="E305" s="199" t="str">
        <f aca="false">IF(A306="","",IF(AND(AT305=1,$H$3=1),D305*AO305,IF($H$3=2,D305,"N/A")))</f>
        <v/>
      </c>
      <c r="F305" s="199" t="str">
        <f aca="false">IF(A306="","",E305*AS305)</f>
        <v/>
      </c>
      <c r="G305" s="200" t="str">
        <f aca="false">IF($A306="","",VLOOKUP($A305,Table,MATCH(G$4,Curves,0)))</f>
        <v/>
      </c>
      <c r="H305" s="201" t="str">
        <f aca="false">IF(A306="","",G305)</f>
        <v/>
      </c>
      <c r="I305" s="202"/>
      <c r="J305" s="200" t="str">
        <f aca="false">IF($A306="","",VLOOKUP($A305,Table,MATCH(J$4,Curves,0)))</f>
        <v/>
      </c>
      <c r="K305" s="201" t="str">
        <f aca="false">IF(A306="","",J305)</f>
        <v/>
      </c>
      <c r="L305" s="200" t="str">
        <f aca="false">IF($A306="","",VLOOKUP($A305,Table,MATCH(L$4,Curves,0)))</f>
        <v/>
      </c>
      <c r="M305" s="201" t="str">
        <f aca="false">IF(A306="","",L305)</f>
        <v/>
      </c>
      <c r="N305" s="203"/>
      <c r="O305" s="200" t="str">
        <f aca="false">IF(A306="","",L305+J305+G305)</f>
        <v/>
      </c>
      <c r="P305" s="200" t="str">
        <f aca="false">IF(A306="","",M305+K305+H305)</f>
        <v/>
      </c>
      <c r="Q305" s="204"/>
      <c r="R305" s="200" t="str">
        <f aca="false">IF($A306="","",VLOOKUP($A305,Table,MATCH(R$4,Curves,0)))</f>
        <v/>
      </c>
      <c r="S305" s="201" t="str">
        <f aca="false">IF(A306="","",R305)</f>
        <v/>
      </c>
      <c r="T305" s="200" t="str">
        <f aca="false">IF($A306="","",VLOOKUP($A305,Table,MATCH(T$4,Curves,0)))</f>
        <v/>
      </c>
      <c r="U305" s="201" t="str">
        <f aca="false">IF(A306="","",T305)</f>
        <v/>
      </c>
      <c r="V305" s="183" t="str">
        <f aca="false">IF($A306="","",IF(AND(MONTH(A305)&gt;3,MONTH(A305)&lt;11),(T305+R305+G305)*Summary!$T$8/(1-Summary!$T$8),(T305+R305+G305)*Summary!$U$8/(1-Summary!$U$8)))</f>
        <v/>
      </c>
      <c r="W305" s="200" t="str">
        <f aca="false">IF($A306="","",(T305+R305+G305+V305))</f>
        <v/>
      </c>
      <c r="X305" s="200" t="str">
        <f aca="false">IF($A306="","",(U305+S305+H305+V305))</f>
        <v/>
      </c>
      <c r="Y305" s="202"/>
      <c r="Z305" s="185" t="str">
        <f aca="false">IF($A306="","",VLOOKUP($A305,Table,MATCH(Z$4,Curves,0)))</f>
        <v/>
      </c>
      <c r="AA305" s="185" t="str">
        <f aca="false">IF($A306="","",VLOOKUP($A305,Table,MATCH(AA$4,Curves,0)))</f>
        <v/>
      </c>
      <c r="AB305" s="185" t="e">
        <f aca="false">SQRT((AA305^2*(A305-$D$3)+Z305^2*(DAY(EOMONTH(A305,0))/2))/AK305)</f>
        <v>#VALUE!</v>
      </c>
      <c r="AC305" s="185" t="str">
        <f aca="false">IF($A306="","",VLOOKUP($A305,Table,MATCH(AC$4,Curves,0)))</f>
        <v/>
      </c>
      <c r="AD305" s="185" t="str">
        <f aca="false">IF($A306="","",VLOOKUP($A305,Table,MATCH(AD$4,Curves,0)))</f>
        <v/>
      </c>
      <c r="AE305" s="185" t="e">
        <f aca="false">SQRT((AD305^2*(A305-$D$3)+AC305^2*(DAY(EOMONTH(A305,0))/2))/AK305)</f>
        <v>#VALUE!</v>
      </c>
      <c r="AF305" s="224" t="e">
        <f aca="false">((Summary!$N$8*(AA305*AD305)*(A305-$D$3))+(Summary!$M$8*Z305*AC305*(AJ305-EOMONTH(EDATE(A305,-1),0))))/(AK305*AB305*AE305)</f>
        <v>#VALUE!</v>
      </c>
      <c r="AG305" s="207" t="str">
        <f aca="false">IF($A306="","",Summary!$Q$8)</f>
        <v/>
      </c>
      <c r="AH305" s="207" t="str">
        <f aca="false">IF($A306="","",IF(Summary!$R$8="Y",(VLOOKUP($A305,Summary!$AD$6:$AF$9,3)+'Escalating commodity'!D318),'Escalating commodity'!D318))</f>
        <v/>
      </c>
      <c r="AI305" s="207" t="str">
        <f aca="false">IF($A306="","",AH305)</f>
        <v/>
      </c>
      <c r="AJ305" s="208" t="e">
        <f aca="false">A305+DAY(EOMONTH(A305,0))/2-1</f>
        <v>#VALUE!</v>
      </c>
      <c r="AK305" s="209" t="str">
        <f aca="false">IF($A306="","",$A305-$E$1)</f>
        <v/>
      </c>
      <c r="AL305" s="182" t="str">
        <f aca="false">IF($A306="","",SPRDOPT(P305,X305,AI305,0,AB305,AE305,AF305,AK305,$AJ$2,0))</f>
        <v/>
      </c>
      <c r="AM305" s="211" t="str">
        <f aca="false">IF($A306="","",MAX(0,O305-W305-AI305))</f>
        <v/>
      </c>
      <c r="AN305" s="211" t="str">
        <f aca="false">IF($A306="","",AL305-AM305)</f>
        <v/>
      </c>
      <c r="AO305" s="137" t="str">
        <f aca="false">IF(A306="","",A306-A305)</f>
        <v/>
      </c>
      <c r="AP305" s="212" t="str">
        <f aca="false">IF(A306="","",CHOOSE(F$3,A306+24,A305))</f>
        <v/>
      </c>
      <c r="AQ305" s="209" t="str">
        <f aca="false">IF(A306="","",AP305-$E$1)</f>
        <v/>
      </c>
      <c r="AR305" s="185" t="n">
        <f aca="false">'ANR OK vs ML7'!AR305</f>
        <v>0.1</v>
      </c>
      <c r="AS305" s="213" t="str">
        <f aca="false">IF(A306="","",1/(1+CHOOSE(F$3,(AR306+($I$3/10000))/2,(AR305+($I$3/10000))/2))^(2*AQ305/365.25))</f>
        <v/>
      </c>
      <c r="AT305" s="137" t="str">
        <f aca="false">IF(A306="","",IF(AND(mthbeg&lt;=A305,mthend&gt;=A305),1,0))</f>
        <v/>
      </c>
      <c r="AU305" s="137" t="str">
        <f aca="false">IF(A306="","",AO305*AT305)</f>
        <v/>
      </c>
      <c r="AW305" s="195" t="str">
        <f aca="false">IF($A306="","",AL305*$E305)</f>
        <v/>
      </c>
      <c r="AX305" s="195" t="str">
        <f aca="false">IF($A306="","",AM305*$E305)</f>
        <v/>
      </c>
      <c r="AY305" s="195" t="str">
        <f aca="false">IF($A306="","",AN305*$E305)</f>
        <v/>
      </c>
      <c r="BA305" s="195" t="str">
        <f aca="false">IF($A306="","",F305*Summary!$Q$8)</f>
        <v/>
      </c>
    </row>
    <row r="306" customFormat="false" ht="12" hidden="false" customHeight="true" outlineLevel="0" collapsed="false">
      <c r="A306" s="196" t="str">
        <f aca="false">IF(A305&lt;mthend,EDATE(A305,1),"")</f>
        <v/>
      </c>
      <c r="B306" s="197" t="n">
        <f aca="false">IF(A306&lt;mthend,B305,0)</f>
        <v>0</v>
      </c>
      <c r="C306" s="215"/>
      <c r="D306" s="197" t="str">
        <f aca="false">IF(A307&lt;&gt;"",B306+C306,"")</f>
        <v/>
      </c>
      <c r="E306" s="199" t="str">
        <f aca="false">IF(A307="","",IF(AND(AT306=1,$H$3=1),D306*AO306,IF($H$3=2,D306,"N/A")))</f>
        <v/>
      </c>
      <c r="F306" s="199" t="str">
        <f aca="false">IF(A307="","",E306*AS306)</f>
        <v/>
      </c>
      <c r="G306" s="200" t="str">
        <f aca="false">IF($A307="","",VLOOKUP($A306,Table,MATCH(G$4,Curves,0)))</f>
        <v/>
      </c>
      <c r="H306" s="201" t="str">
        <f aca="false">IF(A307="","",G306)</f>
        <v/>
      </c>
      <c r="I306" s="202"/>
      <c r="J306" s="200" t="str">
        <f aca="false">IF($A307="","",VLOOKUP($A306,Table,MATCH(J$4,Curves,0)))</f>
        <v/>
      </c>
      <c r="K306" s="201" t="str">
        <f aca="false">IF(A307="","",J306)</f>
        <v/>
      </c>
      <c r="L306" s="200" t="str">
        <f aca="false">IF($A307="","",VLOOKUP($A306,Table,MATCH(L$4,Curves,0)))</f>
        <v/>
      </c>
      <c r="M306" s="201" t="str">
        <f aca="false">IF(A307="","",L306)</f>
        <v/>
      </c>
      <c r="N306" s="203"/>
      <c r="O306" s="200" t="str">
        <f aca="false">IF(A307="","",L306+J306+G306)</f>
        <v/>
      </c>
      <c r="P306" s="200" t="str">
        <f aca="false">IF(A307="","",M306+K306+H306)</f>
        <v/>
      </c>
      <c r="Q306" s="204"/>
      <c r="R306" s="200" t="str">
        <f aca="false">IF($A307="","",VLOOKUP($A306,Table,MATCH(R$4,Curves,0)))</f>
        <v/>
      </c>
      <c r="S306" s="201" t="str">
        <f aca="false">IF(A307="","",R306)</f>
        <v/>
      </c>
      <c r="T306" s="200" t="str">
        <f aca="false">IF($A307="","",VLOOKUP($A306,Table,MATCH(T$4,Curves,0)))</f>
        <v/>
      </c>
      <c r="U306" s="201" t="str">
        <f aca="false">IF(A307="","",T306)</f>
        <v/>
      </c>
      <c r="V306" s="183" t="str">
        <f aca="false">IF($A307="","",IF(AND(MONTH(A306)&gt;3,MONTH(A306)&lt;11),(T306+R306+G306)*Summary!$T$8/(1-Summary!$T$8),(T306+R306+G306)*Summary!$U$8/(1-Summary!$U$8)))</f>
        <v/>
      </c>
      <c r="W306" s="200" t="str">
        <f aca="false">IF($A307="","",(T306+R306+G306+V306))</f>
        <v/>
      </c>
      <c r="X306" s="200" t="str">
        <f aca="false">IF($A307="","",(U306+S306+H306+V306))</f>
        <v/>
      </c>
      <c r="Y306" s="202"/>
      <c r="Z306" s="185" t="str">
        <f aca="false">IF($A307="","",VLOOKUP($A306,Table,MATCH(Z$4,Curves,0)))</f>
        <v/>
      </c>
      <c r="AA306" s="185" t="str">
        <f aca="false">IF($A307="","",VLOOKUP($A306,Table,MATCH(AA$4,Curves,0)))</f>
        <v/>
      </c>
      <c r="AB306" s="185" t="e">
        <f aca="false">SQRT((AA306^2*(A306-$D$3)+Z306^2*(DAY(EOMONTH(A306,0))/2))/AK306)</f>
        <v>#VALUE!</v>
      </c>
      <c r="AC306" s="185" t="str">
        <f aca="false">IF($A307="","",VLOOKUP($A306,Table,MATCH(AC$4,Curves,0)))</f>
        <v/>
      </c>
      <c r="AD306" s="185" t="str">
        <f aca="false">IF($A307="","",VLOOKUP($A306,Table,MATCH(AD$4,Curves,0)))</f>
        <v/>
      </c>
      <c r="AE306" s="185" t="e">
        <f aca="false">SQRT((AD306^2*(A306-$D$3)+AC306^2*(DAY(EOMONTH(A306,0))/2))/AK306)</f>
        <v>#VALUE!</v>
      </c>
      <c r="AF306" s="224" t="e">
        <f aca="false">((Summary!$N$8*(AA306*AD306)*(A306-$D$3))+(Summary!$M$8*Z306*AC306*(AJ306-EOMONTH(EDATE(A306,-1),0))))/(AK306*AB306*AE306)</f>
        <v>#VALUE!</v>
      </c>
      <c r="AG306" s="207" t="str">
        <f aca="false">IF($A307="","",Summary!$Q$8)</f>
        <v/>
      </c>
      <c r="AH306" s="207" t="str">
        <f aca="false">IF($A307="","",IF(Summary!$R$8="Y",(VLOOKUP($A306,Summary!$AD$6:$AF$9,3)+'Escalating commodity'!D319),'Escalating commodity'!D319))</f>
        <v/>
      </c>
      <c r="AI306" s="207" t="str">
        <f aca="false">IF($A307="","",AH306)</f>
        <v/>
      </c>
      <c r="AJ306" s="208" t="e">
        <f aca="false">A306+DAY(EOMONTH(A306,0))/2-1</f>
        <v>#VALUE!</v>
      </c>
      <c r="AK306" s="209" t="str">
        <f aca="false">IF($A307="","",$A306-$E$1)</f>
        <v/>
      </c>
      <c r="AL306" s="182" t="str">
        <f aca="false">IF($A307="","",SPRDOPT(P306,X306,AI306,0,AB306,AE306,AF306,AK306,$AJ$2,0))</f>
        <v/>
      </c>
      <c r="AM306" s="211" t="str">
        <f aca="false">IF($A307="","",MAX(0,O306-W306-AI306))</f>
        <v/>
      </c>
      <c r="AN306" s="211" t="str">
        <f aca="false">IF($A307="","",AL306-AM306)</f>
        <v/>
      </c>
      <c r="AO306" s="137" t="str">
        <f aca="false">IF(A307="","",A307-A306)</f>
        <v/>
      </c>
      <c r="AP306" s="212" t="str">
        <f aca="false">IF(A307="","",CHOOSE(F$3,A307+24,A306))</f>
        <v/>
      </c>
      <c r="AQ306" s="209" t="str">
        <f aca="false">IF(A307="","",AP306-$E$1)</f>
        <v/>
      </c>
      <c r="AR306" s="185" t="n">
        <f aca="false">'ANR OK vs ML7'!AR306</f>
        <v>0.1</v>
      </c>
      <c r="AS306" s="213" t="str">
        <f aca="false">IF(A307="","",1/(1+CHOOSE(F$3,(AR307+($I$3/10000))/2,(AR306+($I$3/10000))/2))^(2*AQ306/365.25))</f>
        <v/>
      </c>
      <c r="AT306" s="137" t="str">
        <f aca="false">IF(A307="","",IF(AND(mthbeg&lt;=A306,mthend&gt;=A306),1,0))</f>
        <v/>
      </c>
      <c r="AU306" s="137" t="str">
        <f aca="false">IF(A307="","",AO306*AT306)</f>
        <v/>
      </c>
      <c r="AW306" s="195" t="str">
        <f aca="false">IF($A307="","",AL306*$E306)</f>
        <v/>
      </c>
      <c r="AX306" s="195" t="str">
        <f aca="false">IF($A307="","",AM306*$E306)</f>
        <v/>
      </c>
      <c r="AY306" s="195" t="str">
        <f aca="false">IF($A307="","",AN306*$E306)</f>
        <v/>
      </c>
      <c r="BA306" s="195" t="str">
        <f aca="false">IF($A307="","",F306*Summary!$Q$8)</f>
        <v/>
      </c>
    </row>
    <row r="307" customFormat="false" ht="12" hidden="false" customHeight="true" outlineLevel="0" collapsed="false">
      <c r="A307" s="196" t="str">
        <f aca="false">IF(A306&lt;mthend,EDATE(A306,1),"")</f>
        <v/>
      </c>
      <c r="B307" s="197" t="n">
        <f aca="false">IF(A307&lt;mthend,B306,0)</f>
        <v>0</v>
      </c>
      <c r="C307" s="215"/>
      <c r="D307" s="197" t="str">
        <f aca="false">IF(A308&lt;&gt;"",B307+C307,"")</f>
        <v/>
      </c>
      <c r="E307" s="199" t="str">
        <f aca="false">IF(A308="","",IF(AND(AT307=1,$H$3=1),D307*AO307,IF($H$3=2,D307,"N/A")))</f>
        <v/>
      </c>
      <c r="F307" s="199" t="str">
        <f aca="false">IF(A308="","",E307*AS307)</f>
        <v/>
      </c>
      <c r="G307" s="200" t="str">
        <f aca="false">IF($A308="","",VLOOKUP($A307,Table,MATCH(G$4,Curves,0)))</f>
        <v/>
      </c>
      <c r="H307" s="201" t="str">
        <f aca="false">IF(A308="","",G307)</f>
        <v/>
      </c>
      <c r="I307" s="202"/>
      <c r="J307" s="200" t="str">
        <f aca="false">IF($A308="","",VLOOKUP($A307,Table,MATCH(J$4,Curves,0)))</f>
        <v/>
      </c>
      <c r="K307" s="201" t="str">
        <f aca="false">IF(A308="","",J307)</f>
        <v/>
      </c>
      <c r="L307" s="200" t="str">
        <f aca="false">IF($A308="","",VLOOKUP($A307,Table,MATCH(L$4,Curves,0)))</f>
        <v/>
      </c>
      <c r="M307" s="201" t="str">
        <f aca="false">IF(A308="","",L307)</f>
        <v/>
      </c>
      <c r="N307" s="203"/>
      <c r="O307" s="200" t="str">
        <f aca="false">IF(A308="","",L307+J307+G307)</f>
        <v/>
      </c>
      <c r="P307" s="200" t="str">
        <f aca="false">IF(A308="","",M307+K307+H307)</f>
        <v/>
      </c>
      <c r="Q307" s="204"/>
      <c r="R307" s="200" t="str">
        <f aca="false">IF($A308="","",VLOOKUP($A307,Table,MATCH(R$4,Curves,0)))</f>
        <v/>
      </c>
      <c r="S307" s="201" t="str">
        <f aca="false">IF(A308="","",R307)</f>
        <v/>
      </c>
      <c r="T307" s="200" t="str">
        <f aca="false">IF($A308="","",VLOOKUP($A307,Table,MATCH(T$4,Curves,0)))</f>
        <v/>
      </c>
      <c r="U307" s="201" t="str">
        <f aca="false">IF(A308="","",T307)</f>
        <v/>
      </c>
      <c r="V307" s="183" t="str">
        <f aca="false">IF($A308="","",IF(AND(MONTH(A307)&gt;3,MONTH(A307)&lt;11),(T307+R307+G307)*Summary!$T$8/(1-Summary!$T$8),(T307+R307+G307)*Summary!$U$8/(1-Summary!$U$8)))</f>
        <v/>
      </c>
      <c r="W307" s="200" t="str">
        <f aca="false">IF($A308="","",(T307+R307+G307+V307))</f>
        <v/>
      </c>
      <c r="X307" s="200" t="str">
        <f aca="false">IF($A308="","",(U307+S307+H307+V307))</f>
        <v/>
      </c>
      <c r="Y307" s="202"/>
      <c r="Z307" s="185" t="str">
        <f aca="false">IF($A308="","",VLOOKUP($A307,Table,MATCH(Z$4,Curves,0)))</f>
        <v/>
      </c>
      <c r="AA307" s="185" t="str">
        <f aca="false">IF($A308="","",VLOOKUP($A307,Table,MATCH(AA$4,Curves,0)))</f>
        <v/>
      </c>
      <c r="AB307" s="185" t="e">
        <f aca="false">SQRT((AA307^2*(A307-$D$3)+Z307^2*(DAY(EOMONTH(A307,0))/2))/AK307)</f>
        <v>#VALUE!</v>
      </c>
      <c r="AC307" s="185" t="str">
        <f aca="false">IF($A308="","",VLOOKUP($A307,Table,MATCH(AC$4,Curves,0)))</f>
        <v/>
      </c>
      <c r="AD307" s="185" t="str">
        <f aca="false">IF($A308="","",VLOOKUP($A307,Table,MATCH(AD$4,Curves,0)))</f>
        <v/>
      </c>
      <c r="AE307" s="185" t="e">
        <f aca="false">SQRT((AD307^2*(A307-$D$3)+AC307^2*(DAY(EOMONTH(A307,0))/2))/AK307)</f>
        <v>#VALUE!</v>
      </c>
      <c r="AF307" s="224" t="e">
        <f aca="false">((Summary!$N$8*(AA307*AD307)*(A307-$D$3))+(Summary!$M$8*Z307*AC307*(AJ307-EOMONTH(EDATE(A307,-1),0))))/(AK307*AB307*AE307)</f>
        <v>#VALUE!</v>
      </c>
      <c r="AG307" s="207" t="str">
        <f aca="false">IF($A308="","",Summary!$Q$8)</f>
        <v/>
      </c>
      <c r="AH307" s="207" t="str">
        <f aca="false">IF($A308="","",IF(Summary!$R$8="Y",(VLOOKUP($A307,Summary!$AD$6:$AF$9,3)+'Escalating commodity'!D320),'Escalating commodity'!D320))</f>
        <v/>
      </c>
      <c r="AI307" s="207" t="str">
        <f aca="false">IF($A308="","",AH307)</f>
        <v/>
      </c>
      <c r="AJ307" s="208" t="e">
        <f aca="false">A307+DAY(EOMONTH(A307,0))/2-1</f>
        <v>#VALUE!</v>
      </c>
      <c r="AK307" s="209" t="str">
        <f aca="false">IF($A308="","",$A307-$E$1)</f>
        <v/>
      </c>
      <c r="AL307" s="182" t="str">
        <f aca="false">IF($A308="","",SPRDOPT(P307,X307,AI307,0,AB307,AE307,AF307,AK307,$AJ$2,0))</f>
        <v/>
      </c>
      <c r="AM307" s="211" t="str">
        <f aca="false">IF($A308="","",MAX(0,O307-W307-AI307))</f>
        <v/>
      </c>
      <c r="AN307" s="211" t="str">
        <f aca="false">IF($A308="","",AL307-AM307)</f>
        <v/>
      </c>
      <c r="AO307" s="137" t="str">
        <f aca="false">IF(A308="","",A308-A307)</f>
        <v/>
      </c>
      <c r="AP307" s="212" t="str">
        <f aca="false">IF(A308="","",CHOOSE(F$3,A308+24,A307))</f>
        <v/>
      </c>
      <c r="AQ307" s="209" t="str">
        <f aca="false">IF(A308="","",AP307-$E$1)</f>
        <v/>
      </c>
      <c r="AR307" s="185" t="n">
        <f aca="false">'ANR OK vs ML7'!AR307</f>
        <v>0.1</v>
      </c>
      <c r="AS307" s="213" t="str">
        <f aca="false">IF(A308="","",1/(1+CHOOSE(F$3,(AR308+($I$3/10000))/2,(AR307+($I$3/10000))/2))^(2*AQ307/365.25))</f>
        <v/>
      </c>
      <c r="AT307" s="137" t="str">
        <f aca="false">IF(A308="","",IF(AND(mthbeg&lt;=A307,mthend&gt;=A307),1,0))</f>
        <v/>
      </c>
      <c r="AU307" s="137" t="str">
        <f aca="false">IF(A308="","",AO307*AT307)</f>
        <v/>
      </c>
      <c r="AW307" s="195" t="str">
        <f aca="false">IF($A308="","",AL307*$E307)</f>
        <v/>
      </c>
      <c r="AX307" s="195" t="str">
        <f aca="false">IF($A308="","",AM307*$E307)</f>
        <v/>
      </c>
      <c r="AY307" s="195" t="str">
        <f aca="false">IF($A308="","",AN307*$E307)</f>
        <v/>
      </c>
      <c r="BA307" s="195" t="str">
        <f aca="false">IF($A308="","",F307*Summary!$Q$8)</f>
        <v/>
      </c>
    </row>
    <row r="308" customFormat="false" ht="12" hidden="false" customHeight="true" outlineLevel="0" collapsed="false">
      <c r="A308" s="196" t="str">
        <f aca="false">IF(A307&lt;mthend,EDATE(A307,1),"")</f>
        <v/>
      </c>
      <c r="B308" s="197" t="n">
        <f aca="false">IF(A308&lt;mthend,B307,0)</f>
        <v>0</v>
      </c>
      <c r="C308" s="215"/>
      <c r="D308" s="197" t="str">
        <f aca="false">IF(A309&lt;&gt;"",B308+C308,"")</f>
        <v/>
      </c>
      <c r="E308" s="199" t="str">
        <f aca="false">IF(A309="","",IF(AND(AT308=1,$H$3=1),D308*AO308,IF($H$3=2,D308,"N/A")))</f>
        <v/>
      </c>
      <c r="F308" s="199" t="str">
        <f aca="false">IF(A309="","",E308*AS308)</f>
        <v/>
      </c>
      <c r="G308" s="200" t="str">
        <f aca="false">IF($A309="","",VLOOKUP($A308,Table,MATCH(G$4,Curves,0)))</f>
        <v/>
      </c>
      <c r="H308" s="201" t="str">
        <f aca="false">IF(A309="","",G308)</f>
        <v/>
      </c>
      <c r="I308" s="202"/>
      <c r="J308" s="200" t="str">
        <f aca="false">IF($A309="","",VLOOKUP($A308,Table,MATCH(J$4,Curves,0)))</f>
        <v/>
      </c>
      <c r="K308" s="201" t="str">
        <f aca="false">IF(A309="","",J308)</f>
        <v/>
      </c>
      <c r="L308" s="200" t="str">
        <f aca="false">IF($A309="","",VLOOKUP($A308,Table,MATCH(L$4,Curves,0)))</f>
        <v/>
      </c>
      <c r="M308" s="201" t="str">
        <f aca="false">IF(A309="","",L308)</f>
        <v/>
      </c>
      <c r="N308" s="203"/>
      <c r="O308" s="200" t="str">
        <f aca="false">IF(A309="","",L308+J308+G308)</f>
        <v/>
      </c>
      <c r="P308" s="200" t="str">
        <f aca="false">IF(A309="","",M308+K308+H308)</f>
        <v/>
      </c>
      <c r="Q308" s="204"/>
      <c r="R308" s="200" t="str">
        <f aca="false">IF($A309="","",VLOOKUP($A308,Table,MATCH(R$4,Curves,0)))</f>
        <v/>
      </c>
      <c r="S308" s="201" t="str">
        <f aca="false">IF(A309="","",R308)</f>
        <v/>
      </c>
      <c r="T308" s="200" t="str">
        <f aca="false">IF($A309="","",VLOOKUP($A308,Table,MATCH(T$4,Curves,0)))</f>
        <v/>
      </c>
      <c r="U308" s="201" t="str">
        <f aca="false">IF(A309="","",T308)</f>
        <v/>
      </c>
      <c r="V308" s="183" t="str">
        <f aca="false">IF($A309="","",IF(AND(MONTH(A308)&gt;3,MONTH(A308)&lt;11),(T308+R308+G308)*Summary!$T$8/(1-Summary!$T$8),(T308+R308+G308)*Summary!$U$8/(1-Summary!$U$8)))</f>
        <v/>
      </c>
      <c r="W308" s="200" t="str">
        <f aca="false">IF($A309="","",(T308+R308+G308+V308))</f>
        <v/>
      </c>
      <c r="X308" s="200" t="str">
        <f aca="false">IF($A309="","",(U308+S308+H308+V308))</f>
        <v/>
      </c>
      <c r="Y308" s="202"/>
      <c r="Z308" s="185" t="str">
        <f aca="false">IF($A309="","",VLOOKUP($A308,Table,MATCH(Z$4,Curves,0)))</f>
        <v/>
      </c>
      <c r="AA308" s="185" t="str">
        <f aca="false">IF($A309="","",VLOOKUP($A308,Table,MATCH(AA$4,Curves,0)))</f>
        <v/>
      </c>
      <c r="AB308" s="185" t="e">
        <f aca="false">SQRT((AA308^2*(A308-$D$3)+Z308^2*(DAY(EOMONTH(A308,0))/2))/AK308)</f>
        <v>#VALUE!</v>
      </c>
      <c r="AC308" s="185" t="str">
        <f aca="false">IF($A309="","",VLOOKUP($A308,Table,MATCH(AC$4,Curves,0)))</f>
        <v/>
      </c>
      <c r="AD308" s="185" t="str">
        <f aca="false">IF($A309="","",VLOOKUP($A308,Table,MATCH(AD$4,Curves,0)))</f>
        <v/>
      </c>
      <c r="AE308" s="185" t="e">
        <f aca="false">SQRT((AD308^2*(A308-$D$3)+AC308^2*(DAY(EOMONTH(A308,0))/2))/AK308)</f>
        <v>#VALUE!</v>
      </c>
      <c r="AF308" s="224" t="e">
        <f aca="false">((Summary!$N$8*(AA308*AD308)*(A308-$D$3))+(Summary!$M$8*Z308*AC308*(AJ308-EOMONTH(EDATE(A308,-1),0))))/(AK308*AB308*AE308)</f>
        <v>#VALUE!</v>
      </c>
      <c r="AG308" s="207" t="str">
        <f aca="false">IF($A309="","",Summary!$Q$8)</f>
        <v/>
      </c>
      <c r="AH308" s="207" t="str">
        <f aca="false">IF($A309="","",IF(Summary!$R$8="Y",(VLOOKUP($A308,Summary!$AD$6:$AF$9,3)+'Escalating commodity'!D321),'Escalating commodity'!D321))</f>
        <v/>
      </c>
      <c r="AI308" s="207" t="str">
        <f aca="false">IF($A309="","",AH308)</f>
        <v/>
      </c>
      <c r="AJ308" s="208" t="e">
        <f aca="false">A308+DAY(EOMONTH(A308,0))/2-1</f>
        <v>#VALUE!</v>
      </c>
      <c r="AK308" s="209" t="str">
        <f aca="false">IF($A309="","",$A308-$E$1)</f>
        <v/>
      </c>
      <c r="AL308" s="182" t="str">
        <f aca="false">IF($A309="","",SPRDOPT(P308,X308,AI308,0,AB308,AE308,AF308,AK308,$AJ$2,0))</f>
        <v/>
      </c>
      <c r="AM308" s="211" t="str">
        <f aca="false">IF($A309="","",MAX(0,O308-W308-AI308))</f>
        <v/>
      </c>
      <c r="AN308" s="211" t="str">
        <f aca="false">IF($A309="","",AL308-AM308)</f>
        <v/>
      </c>
      <c r="AO308" s="137" t="str">
        <f aca="false">IF(A309="","",A309-A308)</f>
        <v/>
      </c>
      <c r="AP308" s="212" t="str">
        <f aca="false">IF(A309="","",CHOOSE(F$3,A309+24,A308))</f>
        <v/>
      </c>
      <c r="AQ308" s="209" t="str">
        <f aca="false">IF(A309="","",AP308-$E$1)</f>
        <v/>
      </c>
      <c r="AR308" s="185" t="n">
        <f aca="false">'ANR OK vs ML7'!AR308</f>
        <v>0.1</v>
      </c>
      <c r="AS308" s="213" t="str">
        <f aca="false">IF(A309="","",1/(1+CHOOSE(F$3,(AR309+($I$3/10000))/2,(AR308+($I$3/10000))/2))^(2*AQ308/365.25))</f>
        <v/>
      </c>
      <c r="AT308" s="137" t="str">
        <f aca="false">IF(A309="","",IF(AND(mthbeg&lt;=A308,mthend&gt;=A308),1,0))</f>
        <v/>
      </c>
      <c r="AU308" s="137" t="str">
        <f aca="false">IF(A309="","",AO308*AT308)</f>
        <v/>
      </c>
      <c r="AW308" s="195" t="str">
        <f aca="false">IF($A309="","",AL308*$E308)</f>
        <v/>
      </c>
      <c r="AX308" s="195" t="str">
        <f aca="false">IF($A309="","",AM308*$E308)</f>
        <v/>
      </c>
      <c r="AY308" s="195" t="str">
        <f aca="false">IF($A309="","",AN308*$E308)</f>
        <v/>
      </c>
      <c r="BA308" s="195" t="str">
        <f aca="false">IF($A309="","",F308*Summary!$Q$8)</f>
        <v/>
      </c>
    </row>
    <row r="309" customFormat="false" ht="12" hidden="false" customHeight="true" outlineLevel="0" collapsed="false">
      <c r="A309" s="196" t="str">
        <f aca="false">IF(A308&lt;mthend,EDATE(A308,1),"")</f>
        <v/>
      </c>
      <c r="B309" s="197" t="n">
        <f aca="false">IF(A309&lt;mthend,B308,0)</f>
        <v>0</v>
      </c>
      <c r="C309" s="215"/>
      <c r="D309" s="197" t="str">
        <f aca="false">IF(A310&lt;&gt;"",B309+C309,"")</f>
        <v/>
      </c>
      <c r="E309" s="199" t="str">
        <f aca="false">IF(A310="","",IF(AND(AT309=1,$H$3=1),D309*AO309,IF($H$3=2,D309,"N/A")))</f>
        <v/>
      </c>
      <c r="F309" s="199" t="str">
        <f aca="false">IF(A310="","",E309*AS309)</f>
        <v/>
      </c>
      <c r="G309" s="200" t="str">
        <f aca="false">IF($A310="","",VLOOKUP($A309,Table,MATCH(G$4,Curves,0)))</f>
        <v/>
      </c>
      <c r="H309" s="201" t="str">
        <f aca="false">IF(A310="","",G309)</f>
        <v/>
      </c>
      <c r="I309" s="202"/>
      <c r="J309" s="200" t="str">
        <f aca="false">IF($A310="","",VLOOKUP($A309,Table,MATCH(J$4,Curves,0)))</f>
        <v/>
      </c>
      <c r="K309" s="201" t="str">
        <f aca="false">IF(A310="","",J309)</f>
        <v/>
      </c>
      <c r="L309" s="200" t="str">
        <f aca="false">IF($A310="","",VLOOKUP($A309,Table,MATCH(L$4,Curves,0)))</f>
        <v/>
      </c>
      <c r="M309" s="201" t="str">
        <f aca="false">IF(A310="","",L309)</f>
        <v/>
      </c>
      <c r="N309" s="203"/>
      <c r="O309" s="200" t="str">
        <f aca="false">IF(A310="","",L309+J309+G309)</f>
        <v/>
      </c>
      <c r="P309" s="200" t="str">
        <f aca="false">IF(A310="","",M309+K309+H309)</f>
        <v/>
      </c>
      <c r="Q309" s="204"/>
      <c r="R309" s="200" t="str">
        <f aca="false">IF($A310="","",VLOOKUP($A309,Table,MATCH(R$4,Curves,0)))</f>
        <v/>
      </c>
      <c r="S309" s="201" t="str">
        <f aca="false">IF(A310="","",R309)</f>
        <v/>
      </c>
      <c r="T309" s="200" t="str">
        <f aca="false">IF($A310="","",VLOOKUP($A309,Table,MATCH(T$4,Curves,0)))</f>
        <v/>
      </c>
      <c r="U309" s="201" t="str">
        <f aca="false">IF(A310="","",T309)</f>
        <v/>
      </c>
      <c r="V309" s="183" t="str">
        <f aca="false">IF($A310="","",IF(AND(MONTH(A309)&gt;3,MONTH(A309)&lt;11),(T309+R309+G309)*Summary!$T$8/(1-Summary!$T$8),(T309+R309+G309)*Summary!$U$8/(1-Summary!$U$8)))</f>
        <v/>
      </c>
      <c r="W309" s="200" t="str">
        <f aca="false">IF($A310="","",(T309+R309+G309+V309))</f>
        <v/>
      </c>
      <c r="X309" s="200" t="str">
        <f aca="false">IF($A310="","",(U309+S309+H309+V309))</f>
        <v/>
      </c>
      <c r="Y309" s="202"/>
      <c r="Z309" s="185" t="str">
        <f aca="false">IF($A310="","",VLOOKUP($A309,Table,MATCH(Z$4,Curves,0)))</f>
        <v/>
      </c>
      <c r="AA309" s="185" t="str">
        <f aca="false">IF($A310="","",VLOOKUP($A309,Table,MATCH(AA$4,Curves,0)))</f>
        <v/>
      </c>
      <c r="AB309" s="185" t="e">
        <f aca="false">SQRT((AA309^2*(A309-$D$3)+Z309^2*(DAY(EOMONTH(A309,0))/2))/AK309)</f>
        <v>#VALUE!</v>
      </c>
      <c r="AC309" s="185" t="str">
        <f aca="false">IF($A310="","",VLOOKUP($A309,Table,MATCH(AC$4,Curves,0)))</f>
        <v/>
      </c>
      <c r="AD309" s="185" t="str">
        <f aca="false">IF($A310="","",VLOOKUP($A309,Table,MATCH(AD$4,Curves,0)))</f>
        <v/>
      </c>
      <c r="AE309" s="185" t="e">
        <f aca="false">SQRT((AD309^2*(A309-$D$3)+AC309^2*(DAY(EOMONTH(A309,0))/2))/AK309)</f>
        <v>#VALUE!</v>
      </c>
      <c r="AF309" s="224" t="e">
        <f aca="false">((Summary!$N$8*(AA309*AD309)*(A309-$D$3))+(Summary!$M$8*Z309*AC309*(AJ309-EOMONTH(EDATE(A309,-1),0))))/(AK309*AB309*AE309)</f>
        <v>#VALUE!</v>
      </c>
      <c r="AG309" s="207" t="str">
        <f aca="false">IF($A310="","",Summary!$Q$8)</f>
        <v/>
      </c>
      <c r="AH309" s="207" t="str">
        <f aca="false">IF($A310="","",IF(Summary!$R$8="Y",(VLOOKUP($A309,Summary!$AD$6:$AF$9,3)+'Escalating commodity'!D322),'Escalating commodity'!D322))</f>
        <v/>
      </c>
      <c r="AI309" s="207" t="str">
        <f aca="false">IF($A310="","",AH309)</f>
        <v/>
      </c>
      <c r="AJ309" s="208" t="e">
        <f aca="false">A309+DAY(EOMONTH(A309,0))/2-1</f>
        <v>#VALUE!</v>
      </c>
      <c r="AK309" s="209" t="str">
        <f aca="false">IF($A310="","",$A309-$E$1)</f>
        <v/>
      </c>
      <c r="AL309" s="182" t="str">
        <f aca="false">IF($A310="","",SPRDOPT(P309,X309,AI309,0,AB309,AE309,AF309,AK309,$AJ$2,0))</f>
        <v/>
      </c>
      <c r="AM309" s="211" t="str">
        <f aca="false">IF($A310="","",MAX(0,O309-W309-AI309))</f>
        <v/>
      </c>
      <c r="AN309" s="211" t="str">
        <f aca="false">IF($A310="","",AL309-AM309)</f>
        <v/>
      </c>
      <c r="AO309" s="137" t="str">
        <f aca="false">IF(A310="","",A310-A309)</f>
        <v/>
      </c>
      <c r="AP309" s="212" t="str">
        <f aca="false">IF(A310="","",CHOOSE(F$3,A310+24,A309))</f>
        <v/>
      </c>
      <c r="AQ309" s="209" t="str">
        <f aca="false">IF(A310="","",AP309-$E$1)</f>
        <v/>
      </c>
      <c r="AR309" s="185" t="n">
        <f aca="false">'ANR OK vs ML7'!AR309</f>
        <v>0.1</v>
      </c>
      <c r="AS309" s="213" t="str">
        <f aca="false">IF(A310="","",1/(1+CHOOSE(F$3,(AR310+($I$3/10000))/2,(AR309+($I$3/10000))/2))^(2*AQ309/365.25))</f>
        <v/>
      </c>
      <c r="AT309" s="137" t="str">
        <f aca="false">IF(A310="","",IF(AND(mthbeg&lt;=A309,mthend&gt;=A309),1,0))</f>
        <v/>
      </c>
      <c r="AU309" s="137" t="str">
        <f aca="false">IF(A310="","",AO309*AT309)</f>
        <v/>
      </c>
      <c r="AW309" s="195" t="str">
        <f aca="false">IF($A310="","",AL309*$E309)</f>
        <v/>
      </c>
      <c r="AX309" s="195" t="str">
        <f aca="false">IF($A310="","",AM309*$E309)</f>
        <v/>
      </c>
      <c r="AY309" s="195" t="str">
        <f aca="false">IF($A310="","",AN309*$E309)</f>
        <v/>
      </c>
      <c r="BA309" s="195" t="str">
        <f aca="false">IF($A310="","",F309*Summary!$Q$8)</f>
        <v/>
      </c>
    </row>
    <row r="310" customFormat="false" ht="12" hidden="false" customHeight="true" outlineLevel="0" collapsed="false">
      <c r="A310" s="196" t="str">
        <f aca="false">IF(A309&lt;mthend,EDATE(A309,1),"")</f>
        <v/>
      </c>
      <c r="B310" s="197" t="n">
        <f aca="false">IF(A310&lt;mthend,B309,0)</f>
        <v>0</v>
      </c>
      <c r="C310" s="215"/>
      <c r="D310" s="197" t="str">
        <f aca="false">IF(A311&lt;&gt;"",B310+C310,"")</f>
        <v/>
      </c>
      <c r="E310" s="199" t="str">
        <f aca="false">IF(A311="","",IF(AND(AT310=1,$H$3=1),D310*AO310,IF($H$3=2,D310,"N/A")))</f>
        <v/>
      </c>
      <c r="F310" s="199" t="str">
        <f aca="false">IF(A311="","",E310*AS310)</f>
        <v/>
      </c>
      <c r="G310" s="200" t="str">
        <f aca="false">IF($A311="","",VLOOKUP($A310,Table,MATCH(G$4,Curves,0)))</f>
        <v/>
      </c>
      <c r="H310" s="201" t="str">
        <f aca="false">IF(A311="","",G310)</f>
        <v/>
      </c>
      <c r="I310" s="202"/>
      <c r="J310" s="200" t="str">
        <f aca="false">IF($A311="","",VLOOKUP($A310,Table,MATCH(J$4,Curves,0)))</f>
        <v/>
      </c>
      <c r="K310" s="201" t="str">
        <f aca="false">IF(A311="","",J310)</f>
        <v/>
      </c>
      <c r="L310" s="200" t="str">
        <f aca="false">IF($A311="","",VLOOKUP($A310,Table,MATCH(L$4,Curves,0)))</f>
        <v/>
      </c>
      <c r="M310" s="201" t="str">
        <f aca="false">IF(A311="","",L310)</f>
        <v/>
      </c>
      <c r="N310" s="203"/>
      <c r="O310" s="200" t="str">
        <f aca="false">IF(A311="","",L310+J310+G310)</f>
        <v/>
      </c>
      <c r="P310" s="200" t="str">
        <f aca="false">IF(A311="","",M310+K310+H310)</f>
        <v/>
      </c>
      <c r="Q310" s="204"/>
      <c r="R310" s="200" t="str">
        <f aca="false">IF($A311="","",VLOOKUP($A310,Table,MATCH(R$4,Curves,0)))</f>
        <v/>
      </c>
      <c r="S310" s="201" t="str">
        <f aca="false">IF(A311="","",R310)</f>
        <v/>
      </c>
      <c r="T310" s="200" t="str">
        <f aca="false">IF($A311="","",VLOOKUP($A310,Table,MATCH(T$4,Curves,0)))</f>
        <v/>
      </c>
      <c r="U310" s="201" t="str">
        <f aca="false">IF(A311="","",T310)</f>
        <v/>
      </c>
      <c r="V310" s="183" t="str">
        <f aca="false">IF($A311="","",IF(AND(MONTH(A310)&gt;3,MONTH(A310)&lt;11),(T310+R310+G310)*Summary!$T$8/(1-Summary!$T$8),(T310+R310+G310)*Summary!$U$8/(1-Summary!$U$8)))</f>
        <v/>
      </c>
      <c r="W310" s="200" t="str">
        <f aca="false">IF($A311="","",(T310+R310+G310+V310))</f>
        <v/>
      </c>
      <c r="X310" s="200" t="str">
        <f aca="false">IF($A311="","",(U310+S310+H310+V310))</f>
        <v/>
      </c>
      <c r="Y310" s="202"/>
      <c r="Z310" s="185" t="str">
        <f aca="false">IF($A311="","",VLOOKUP($A310,Table,MATCH(Z$4,Curves,0)))</f>
        <v/>
      </c>
      <c r="AA310" s="185" t="str">
        <f aca="false">IF($A311="","",VLOOKUP($A310,Table,MATCH(AA$4,Curves,0)))</f>
        <v/>
      </c>
      <c r="AB310" s="185" t="e">
        <f aca="false">SQRT((AA310^2*(A310-$D$3)+Z310^2*(DAY(EOMONTH(A310,0))/2))/AK310)</f>
        <v>#VALUE!</v>
      </c>
      <c r="AC310" s="185" t="str">
        <f aca="false">IF($A311="","",VLOOKUP($A310,Table,MATCH(AC$4,Curves,0)))</f>
        <v/>
      </c>
      <c r="AD310" s="185" t="str">
        <f aca="false">IF($A311="","",VLOOKUP($A310,Table,MATCH(AD$4,Curves,0)))</f>
        <v/>
      </c>
      <c r="AE310" s="185" t="e">
        <f aca="false">SQRT((AD310^2*(A310-$D$3)+AC310^2*(DAY(EOMONTH(A310,0))/2))/AK310)</f>
        <v>#VALUE!</v>
      </c>
      <c r="AF310" s="224" t="e">
        <f aca="false">((Summary!$N$8*(AA310*AD310)*(A310-$D$3))+(Summary!$M$8*Z310*AC310*(AJ310-EOMONTH(EDATE(A310,-1),0))))/(AK310*AB310*AE310)</f>
        <v>#VALUE!</v>
      </c>
      <c r="AG310" s="207" t="str">
        <f aca="false">IF($A311="","",Summary!$Q$8)</f>
        <v/>
      </c>
      <c r="AH310" s="207" t="str">
        <f aca="false">IF($A311="","",IF(Summary!$R$8="Y",(VLOOKUP($A310,Summary!$AD$6:$AF$9,3)+'Escalating commodity'!D323),'Escalating commodity'!D323))</f>
        <v/>
      </c>
      <c r="AI310" s="207" t="str">
        <f aca="false">IF($A311="","",AH310)</f>
        <v/>
      </c>
      <c r="AJ310" s="208" t="e">
        <f aca="false">A310+DAY(EOMONTH(A310,0))/2-1</f>
        <v>#VALUE!</v>
      </c>
      <c r="AK310" s="209" t="str">
        <f aca="false">IF($A311="","",$A310-$E$1)</f>
        <v/>
      </c>
      <c r="AL310" s="182" t="str">
        <f aca="false">IF($A311="","",SPRDOPT(P310,X310,AI310,0,AB310,AE310,AF310,AK310,$AJ$2,0))</f>
        <v/>
      </c>
      <c r="AM310" s="211" t="str">
        <f aca="false">IF($A311="","",MAX(0,O310-W310-AI310))</f>
        <v/>
      </c>
      <c r="AN310" s="211" t="str">
        <f aca="false">IF($A311="","",AL310-AM310)</f>
        <v/>
      </c>
      <c r="AO310" s="137" t="str">
        <f aca="false">IF(A311="","",A311-A310)</f>
        <v/>
      </c>
      <c r="AP310" s="212" t="str">
        <f aca="false">IF(A311="","",CHOOSE(F$3,A311+24,A310))</f>
        <v/>
      </c>
      <c r="AQ310" s="209" t="str">
        <f aca="false">IF(A311="","",AP310-$E$1)</f>
        <v/>
      </c>
      <c r="AR310" s="185" t="n">
        <f aca="false">'ANR OK vs ML7'!AR310</f>
        <v>0.1</v>
      </c>
      <c r="AS310" s="213" t="str">
        <f aca="false">IF(A311="","",1/(1+CHOOSE(F$3,(AR311+($I$3/10000))/2,(AR310+($I$3/10000))/2))^(2*AQ310/365.25))</f>
        <v/>
      </c>
      <c r="AT310" s="137" t="str">
        <f aca="false">IF(A311="","",IF(AND(mthbeg&lt;=A310,mthend&gt;=A310),1,0))</f>
        <v/>
      </c>
      <c r="AU310" s="137" t="str">
        <f aca="false">IF(A311="","",AO310*AT310)</f>
        <v/>
      </c>
      <c r="AW310" s="195" t="str">
        <f aca="false">IF($A311="","",AL310*$E310)</f>
        <v/>
      </c>
      <c r="AX310" s="195" t="str">
        <f aca="false">IF($A311="","",AM310*$E310)</f>
        <v/>
      </c>
      <c r="AY310" s="195" t="str">
        <f aca="false">IF($A311="","",AN310*$E310)</f>
        <v/>
      </c>
      <c r="BA310" s="195" t="str">
        <f aca="false">IF($A311="","",F310*Summary!$Q$8)</f>
        <v/>
      </c>
    </row>
    <row r="311" customFormat="false" ht="12" hidden="false" customHeight="true" outlineLevel="0" collapsed="false">
      <c r="A311" s="196" t="str">
        <f aca="false">IF(A310&lt;mthend,EDATE(A310,1),"")</f>
        <v/>
      </c>
      <c r="B311" s="197" t="n">
        <f aca="false">IF(A311&lt;mthend,B310,0)</f>
        <v>0</v>
      </c>
      <c r="C311" s="215"/>
      <c r="D311" s="197" t="str">
        <f aca="false">IF(A312&lt;&gt;"",B311+C311,"")</f>
        <v/>
      </c>
      <c r="E311" s="199" t="str">
        <f aca="false">IF(A312="","",IF(AND(AT311=1,$H$3=1),D311*AO311,IF($H$3=2,D311,"N/A")))</f>
        <v/>
      </c>
      <c r="F311" s="199" t="str">
        <f aca="false">IF(A312="","",E311*AS311)</f>
        <v/>
      </c>
      <c r="G311" s="200" t="str">
        <f aca="false">IF($A312="","",VLOOKUP($A311,Table,MATCH(G$4,Curves,0)))</f>
        <v/>
      </c>
      <c r="H311" s="201" t="str">
        <f aca="false">IF(A312="","",G311)</f>
        <v/>
      </c>
      <c r="I311" s="202"/>
      <c r="J311" s="200" t="str">
        <f aca="false">IF($A312="","",VLOOKUP($A311,Table,MATCH(J$4,Curves,0)))</f>
        <v/>
      </c>
      <c r="K311" s="201" t="str">
        <f aca="false">IF(A312="","",J311)</f>
        <v/>
      </c>
      <c r="L311" s="200" t="str">
        <f aca="false">IF($A312="","",VLOOKUP($A311,Table,MATCH(L$4,Curves,0)))</f>
        <v/>
      </c>
      <c r="M311" s="201" t="str">
        <f aca="false">IF(A312="","",L311)</f>
        <v/>
      </c>
      <c r="N311" s="203"/>
      <c r="O311" s="200" t="str">
        <f aca="false">IF(A312="","",L311+J311+G311)</f>
        <v/>
      </c>
      <c r="P311" s="200" t="str">
        <f aca="false">IF(A312="","",M311+K311+H311)</f>
        <v/>
      </c>
      <c r="Q311" s="204"/>
      <c r="R311" s="200" t="str">
        <f aca="false">IF($A312="","",VLOOKUP($A311,Table,MATCH(R$4,Curves,0)))</f>
        <v/>
      </c>
      <c r="S311" s="201" t="str">
        <f aca="false">IF(A312="","",R311)</f>
        <v/>
      </c>
      <c r="T311" s="200" t="str">
        <f aca="false">IF($A312="","",VLOOKUP($A311,Table,MATCH(T$4,Curves,0)))</f>
        <v/>
      </c>
      <c r="U311" s="201" t="str">
        <f aca="false">IF(A312="","",T311)</f>
        <v/>
      </c>
      <c r="V311" s="183" t="str">
        <f aca="false">IF($A312="","",IF(AND(MONTH(A311)&gt;3,MONTH(A311)&lt;11),(T311+R311+G311)*Summary!$T$8/(1-Summary!$T$8),(T311+R311+G311)*Summary!$U$8/(1-Summary!$U$8)))</f>
        <v/>
      </c>
      <c r="W311" s="200" t="str">
        <f aca="false">IF($A312="","",(T311+R311+G311+V311))</f>
        <v/>
      </c>
      <c r="X311" s="200" t="str">
        <f aca="false">IF($A312="","",(U311+S311+H311+V311))</f>
        <v/>
      </c>
      <c r="Y311" s="202"/>
      <c r="Z311" s="185" t="str">
        <f aca="false">IF($A312="","",VLOOKUP($A311,Table,MATCH(Z$4,Curves,0)))</f>
        <v/>
      </c>
      <c r="AA311" s="185" t="str">
        <f aca="false">IF($A312="","",VLOOKUP($A311,Table,MATCH(AA$4,Curves,0)))</f>
        <v/>
      </c>
      <c r="AB311" s="185" t="e">
        <f aca="false">SQRT((AA311^2*(A311-$D$3)+Z311^2*(DAY(EOMONTH(A311,0))/2))/AK311)</f>
        <v>#VALUE!</v>
      </c>
      <c r="AC311" s="185" t="str">
        <f aca="false">IF($A312="","",VLOOKUP($A311,Table,MATCH(AC$4,Curves,0)))</f>
        <v/>
      </c>
      <c r="AD311" s="185" t="str">
        <f aca="false">IF($A312="","",VLOOKUP($A311,Table,MATCH(AD$4,Curves,0)))</f>
        <v/>
      </c>
      <c r="AE311" s="185" t="e">
        <f aca="false">SQRT((AD311^2*(A311-$D$3)+AC311^2*(DAY(EOMONTH(A311,0))/2))/AK311)</f>
        <v>#VALUE!</v>
      </c>
      <c r="AF311" s="224" t="e">
        <f aca="false">((Summary!$N$8*(AA311*AD311)*(A311-$D$3))+(Summary!$M$8*Z311*AC311*(AJ311-EOMONTH(EDATE(A311,-1),0))))/(AK311*AB311*AE311)</f>
        <v>#VALUE!</v>
      </c>
      <c r="AG311" s="207" t="str">
        <f aca="false">IF($A312="","",Summary!$Q$8)</f>
        <v/>
      </c>
      <c r="AH311" s="207" t="str">
        <f aca="false">IF($A312="","",IF(Summary!$R$8="Y",(VLOOKUP($A311,Summary!$AD$6:$AF$9,3)+'Escalating commodity'!D324),'Escalating commodity'!D324))</f>
        <v/>
      </c>
      <c r="AI311" s="207" t="str">
        <f aca="false">IF($A312="","",AH311)</f>
        <v/>
      </c>
      <c r="AJ311" s="208" t="e">
        <f aca="false">A311+DAY(EOMONTH(A311,0))/2-1</f>
        <v>#VALUE!</v>
      </c>
      <c r="AK311" s="209" t="str">
        <f aca="false">IF($A312="","",$A311-$E$1)</f>
        <v/>
      </c>
      <c r="AL311" s="182" t="str">
        <f aca="false">IF($A312="","",SPRDOPT(P311,X311,AI311,0,AB311,AE311,AF311,AK311,$AJ$2,0))</f>
        <v/>
      </c>
      <c r="AM311" s="211" t="str">
        <f aca="false">IF($A312="","",MAX(0,O311-W311-AI311))</f>
        <v/>
      </c>
      <c r="AN311" s="211" t="str">
        <f aca="false">IF($A312="","",AL311-AM311)</f>
        <v/>
      </c>
      <c r="AO311" s="137" t="str">
        <f aca="false">IF(A312="","",A312-A311)</f>
        <v/>
      </c>
      <c r="AP311" s="212" t="str">
        <f aca="false">IF(A312="","",CHOOSE(F$3,A312+24,A311))</f>
        <v/>
      </c>
      <c r="AQ311" s="209" t="str">
        <f aca="false">IF(A312="","",AP311-$E$1)</f>
        <v/>
      </c>
      <c r="AR311" s="185" t="n">
        <f aca="false">'ANR OK vs ML7'!AR311</f>
        <v>0.1</v>
      </c>
      <c r="AS311" s="213" t="str">
        <f aca="false">IF(A312="","",1/(1+CHOOSE(F$3,(AR312+($I$3/10000))/2,(AR311+($I$3/10000))/2))^(2*AQ311/365.25))</f>
        <v/>
      </c>
      <c r="AT311" s="137" t="str">
        <f aca="false">IF(A312="","",IF(AND(mthbeg&lt;=A311,mthend&gt;=A311),1,0))</f>
        <v/>
      </c>
      <c r="AU311" s="137" t="str">
        <f aca="false">IF(A312="","",AO311*AT311)</f>
        <v/>
      </c>
      <c r="AW311" s="195" t="str">
        <f aca="false">IF($A312="","",AL311*$E311)</f>
        <v/>
      </c>
      <c r="AX311" s="195" t="str">
        <f aca="false">IF($A312="","",AM311*$E311)</f>
        <v/>
      </c>
      <c r="AY311" s="195" t="str">
        <f aca="false">IF($A312="","",AN311*$E311)</f>
        <v/>
      </c>
      <c r="BA311" s="195" t="str">
        <f aca="false">IF($A312="","",F311*Summary!$Q$8)</f>
        <v/>
      </c>
    </row>
    <row r="312" customFormat="false" ht="12" hidden="false" customHeight="true" outlineLevel="0" collapsed="false">
      <c r="A312" s="196" t="str">
        <f aca="false">IF(A311&lt;mthend,EDATE(A311,1),"")</f>
        <v/>
      </c>
      <c r="B312" s="197" t="n">
        <f aca="false">IF(A312&lt;mthend,B311,0)</f>
        <v>0</v>
      </c>
      <c r="C312" s="215"/>
      <c r="D312" s="197" t="str">
        <f aca="false">IF(A313&lt;&gt;"",B312+C312,"")</f>
        <v/>
      </c>
      <c r="E312" s="199" t="str">
        <f aca="false">IF(A313="","",IF(AND(AT312=1,$H$3=1),D312*AO312,IF($H$3=2,D312,"N/A")))</f>
        <v/>
      </c>
      <c r="F312" s="199" t="str">
        <f aca="false">IF(A313="","",E312*AS312)</f>
        <v/>
      </c>
      <c r="G312" s="200" t="str">
        <f aca="false">IF($A313="","",VLOOKUP($A312,Table,MATCH(G$4,Curves,0)))</f>
        <v/>
      </c>
      <c r="H312" s="201" t="str">
        <f aca="false">IF(A313="","",G312)</f>
        <v/>
      </c>
      <c r="I312" s="202"/>
      <c r="J312" s="200" t="str">
        <f aca="false">IF($A313="","",VLOOKUP($A312,Table,MATCH(J$4,Curves,0)))</f>
        <v/>
      </c>
      <c r="K312" s="201" t="str">
        <f aca="false">IF(A313="","",J312)</f>
        <v/>
      </c>
      <c r="L312" s="200" t="str">
        <f aca="false">IF($A313="","",VLOOKUP($A312,Table,MATCH(L$4,Curves,0)))</f>
        <v/>
      </c>
      <c r="M312" s="201" t="str">
        <f aca="false">IF(A313="","",L312)</f>
        <v/>
      </c>
      <c r="N312" s="203"/>
      <c r="O312" s="200" t="str">
        <f aca="false">IF(A313="","",L312+J312+G312)</f>
        <v/>
      </c>
      <c r="P312" s="200" t="str">
        <f aca="false">IF(A313="","",M312+K312+H312)</f>
        <v/>
      </c>
      <c r="Q312" s="204"/>
      <c r="R312" s="200" t="str">
        <f aca="false">IF($A313="","",VLOOKUP($A312,Table,MATCH(R$4,Curves,0)))</f>
        <v/>
      </c>
      <c r="S312" s="201" t="str">
        <f aca="false">IF(A313="","",R312)</f>
        <v/>
      </c>
      <c r="T312" s="200" t="str">
        <f aca="false">IF($A313="","",VLOOKUP($A312,Table,MATCH(T$4,Curves,0)))</f>
        <v/>
      </c>
      <c r="U312" s="201" t="str">
        <f aca="false">IF(A313="","",T312)</f>
        <v/>
      </c>
      <c r="V312" s="183" t="str">
        <f aca="false">IF($A313="","",IF(AND(MONTH(A312)&gt;3,MONTH(A312)&lt;11),(T312+R312+G312)*Summary!$T$8/(1-Summary!$T$8),(T312+R312+G312)*Summary!$U$8/(1-Summary!$U$8)))</f>
        <v/>
      </c>
      <c r="W312" s="200" t="str">
        <f aca="false">IF($A313="","",(T312+R312+G312+V312))</f>
        <v/>
      </c>
      <c r="X312" s="200" t="str">
        <f aca="false">IF($A313="","",(U312+S312+H312+V312))</f>
        <v/>
      </c>
      <c r="Y312" s="202"/>
      <c r="Z312" s="185" t="str">
        <f aca="false">IF($A313="","",VLOOKUP($A312,Table,MATCH(Z$4,Curves,0)))</f>
        <v/>
      </c>
      <c r="AA312" s="185" t="str">
        <f aca="false">IF($A313="","",VLOOKUP($A312,Table,MATCH(AA$4,Curves,0)))</f>
        <v/>
      </c>
      <c r="AB312" s="185" t="e">
        <f aca="false">SQRT((AA312^2*(A312-$D$3)+Z312^2*(DAY(EOMONTH(A312,0))/2))/AK312)</f>
        <v>#VALUE!</v>
      </c>
      <c r="AC312" s="185" t="str">
        <f aca="false">IF($A313="","",VLOOKUP($A312,Table,MATCH(AC$4,Curves,0)))</f>
        <v/>
      </c>
      <c r="AD312" s="185" t="str">
        <f aca="false">IF($A313="","",VLOOKUP($A312,Table,MATCH(AD$4,Curves,0)))</f>
        <v/>
      </c>
      <c r="AE312" s="185" t="e">
        <f aca="false">SQRT((AD312^2*(A312-$D$3)+AC312^2*(DAY(EOMONTH(A312,0))/2))/AK312)</f>
        <v>#VALUE!</v>
      </c>
      <c r="AF312" s="224" t="e">
        <f aca="false">((Summary!$N$8*(AA312*AD312)*(A312-$D$3))+(Summary!$M$8*Z312*AC312*(AJ312-EOMONTH(EDATE(A312,-1),0))))/(AK312*AB312*AE312)</f>
        <v>#VALUE!</v>
      </c>
      <c r="AG312" s="207" t="str">
        <f aca="false">IF($A313="","",Summary!$Q$8)</f>
        <v/>
      </c>
      <c r="AH312" s="207" t="str">
        <f aca="false">IF($A313="","",IF(Summary!$R$8="Y",(VLOOKUP($A312,Summary!$AD$6:$AF$9,3)+'Escalating commodity'!D325),'Escalating commodity'!D325))</f>
        <v/>
      </c>
      <c r="AI312" s="207" t="str">
        <f aca="false">IF($A313="","",AH312)</f>
        <v/>
      </c>
      <c r="AJ312" s="208" t="e">
        <f aca="false">A312+DAY(EOMONTH(A312,0))/2-1</f>
        <v>#VALUE!</v>
      </c>
      <c r="AK312" s="209" t="str">
        <f aca="false">IF($A313="","",$A312-$E$1)</f>
        <v/>
      </c>
      <c r="AL312" s="182" t="str">
        <f aca="false">IF($A313="","",SPRDOPT(P312,X312,AI312,0,AB312,AE312,AF312,AK312,$AJ$2,0))</f>
        <v/>
      </c>
      <c r="AM312" s="211" t="str">
        <f aca="false">IF($A313="","",MAX(0,O312-W312-AI312))</f>
        <v/>
      </c>
      <c r="AN312" s="211" t="str">
        <f aca="false">IF($A313="","",AL312-AM312)</f>
        <v/>
      </c>
      <c r="AO312" s="137" t="str">
        <f aca="false">IF(A313="","",A313-A312)</f>
        <v/>
      </c>
      <c r="AP312" s="212" t="str">
        <f aca="false">IF(A313="","",CHOOSE(F$3,A313+24,A312))</f>
        <v/>
      </c>
      <c r="AQ312" s="209" t="str">
        <f aca="false">IF(A313="","",AP312-$E$1)</f>
        <v/>
      </c>
      <c r="AR312" s="185" t="n">
        <f aca="false">'ANR OK vs ML7'!AR312</f>
        <v>0.1</v>
      </c>
      <c r="AS312" s="213" t="str">
        <f aca="false">IF(A313="","",1/(1+CHOOSE(F$3,(AR313+($I$3/10000))/2,(AR312+($I$3/10000))/2))^(2*AQ312/365.25))</f>
        <v/>
      </c>
      <c r="AT312" s="137" t="str">
        <f aca="false">IF(A313="","",IF(AND(mthbeg&lt;=A312,mthend&gt;=A312),1,0))</f>
        <v/>
      </c>
      <c r="AU312" s="137" t="str">
        <f aca="false">IF(A313="","",AO312*AT312)</f>
        <v/>
      </c>
      <c r="AW312" s="195" t="str">
        <f aca="false">IF($A313="","",AL312*$E312)</f>
        <v/>
      </c>
      <c r="AX312" s="195" t="str">
        <f aca="false">IF($A313="","",AM312*$E312)</f>
        <v/>
      </c>
      <c r="AY312" s="195" t="str">
        <f aca="false">IF($A313="","",AN312*$E312)</f>
        <v/>
      </c>
      <c r="BA312" s="195" t="str">
        <f aca="false">IF($A313="","",F312*Summary!$Q$8)</f>
        <v/>
      </c>
    </row>
    <row r="313" customFormat="false" ht="12" hidden="false" customHeight="true" outlineLevel="0" collapsed="false">
      <c r="A313" s="196" t="str">
        <f aca="false">IF(A312&lt;mthend,EDATE(A312,1),"")</f>
        <v/>
      </c>
      <c r="B313" s="197" t="n">
        <f aca="false">IF(A313&lt;mthend,B312,0)</f>
        <v>0</v>
      </c>
      <c r="C313" s="215"/>
      <c r="D313" s="197" t="str">
        <f aca="false">IF(A314&lt;&gt;"",B313+C313,"")</f>
        <v/>
      </c>
      <c r="E313" s="199" t="str">
        <f aca="false">IF(A314="","",IF(AND(AT313=1,$H$3=1),D313*AO313,IF($H$3=2,D313,"N/A")))</f>
        <v/>
      </c>
      <c r="F313" s="199" t="str">
        <f aca="false">IF(A314="","",E313*AS313)</f>
        <v/>
      </c>
      <c r="G313" s="200" t="str">
        <f aca="false">IF($A314="","",VLOOKUP($A313,Table,MATCH(G$4,Curves,0)))</f>
        <v/>
      </c>
      <c r="H313" s="201" t="str">
        <f aca="false">IF(A314="","",G313)</f>
        <v/>
      </c>
      <c r="I313" s="202"/>
      <c r="J313" s="200" t="str">
        <f aca="false">IF($A314="","",VLOOKUP($A313,Table,MATCH(J$4,Curves,0)))</f>
        <v/>
      </c>
      <c r="K313" s="201" t="str">
        <f aca="false">IF(A314="","",J313)</f>
        <v/>
      </c>
      <c r="L313" s="200" t="str">
        <f aca="false">IF($A314="","",VLOOKUP($A313,Table,MATCH(L$4,Curves,0)))</f>
        <v/>
      </c>
      <c r="M313" s="201" t="str">
        <f aca="false">IF(A314="","",L313)</f>
        <v/>
      </c>
      <c r="N313" s="203"/>
      <c r="O313" s="200" t="str">
        <f aca="false">IF(A314="","",L313+J313+G313)</f>
        <v/>
      </c>
      <c r="P313" s="200" t="str">
        <f aca="false">IF(A314="","",M313+K313+H313)</f>
        <v/>
      </c>
      <c r="Q313" s="204"/>
      <c r="R313" s="200" t="str">
        <f aca="false">IF($A314="","",VLOOKUP($A313,Table,MATCH(R$4,Curves,0)))</f>
        <v/>
      </c>
      <c r="S313" s="201" t="str">
        <f aca="false">IF(A314="","",R313)</f>
        <v/>
      </c>
      <c r="T313" s="200" t="str">
        <f aca="false">IF($A314="","",VLOOKUP($A313,Table,MATCH(T$4,Curves,0)))</f>
        <v/>
      </c>
      <c r="U313" s="201" t="str">
        <f aca="false">IF(A314="","",T313)</f>
        <v/>
      </c>
      <c r="V313" s="183" t="str">
        <f aca="false">IF($A314="","",IF(AND(MONTH(A313)&gt;3,MONTH(A313)&lt;11),(T313+R313+G313)*Summary!$T$8/(1-Summary!$T$8),(T313+R313+G313)*Summary!$U$8/(1-Summary!$U$8)))</f>
        <v/>
      </c>
      <c r="W313" s="200" t="str">
        <f aca="false">IF($A314="","",(T313+R313+G313+V313))</f>
        <v/>
      </c>
      <c r="X313" s="200" t="str">
        <f aca="false">IF($A314="","",(U313+S313+H313+V313))</f>
        <v/>
      </c>
      <c r="Y313" s="202"/>
      <c r="Z313" s="185" t="str">
        <f aca="false">IF($A314="","",VLOOKUP($A313,Table,MATCH(Z$4,Curves,0)))</f>
        <v/>
      </c>
      <c r="AA313" s="185" t="str">
        <f aca="false">IF($A314="","",VLOOKUP($A313,Table,MATCH(AA$4,Curves,0)))</f>
        <v/>
      </c>
      <c r="AB313" s="185" t="e">
        <f aca="false">SQRT((AA313^2*(A313-$D$3)+Z313^2*(DAY(EOMONTH(A313,0))/2))/AK313)</f>
        <v>#VALUE!</v>
      </c>
      <c r="AC313" s="185" t="str">
        <f aca="false">IF($A314="","",VLOOKUP($A313,Table,MATCH(AC$4,Curves,0)))</f>
        <v/>
      </c>
      <c r="AD313" s="185" t="str">
        <f aca="false">IF($A314="","",VLOOKUP($A313,Table,MATCH(AD$4,Curves,0)))</f>
        <v/>
      </c>
      <c r="AE313" s="185" t="e">
        <f aca="false">SQRT((AD313^2*(A313-$D$3)+AC313^2*(DAY(EOMONTH(A313,0))/2))/AK313)</f>
        <v>#VALUE!</v>
      </c>
      <c r="AF313" s="224" t="e">
        <f aca="false">((Summary!$N$8*(AA313*AD313)*(A313-$D$3))+(Summary!$M$8*Z313*AC313*(AJ313-EOMONTH(EDATE(A313,-1),0))))/(AK313*AB313*AE313)</f>
        <v>#VALUE!</v>
      </c>
      <c r="AG313" s="207" t="str">
        <f aca="false">IF($A314="","",Summary!$Q$8)</f>
        <v/>
      </c>
      <c r="AH313" s="207" t="str">
        <f aca="false">IF($A314="","",IF(Summary!$R$8="Y",(VLOOKUP($A313,Summary!$AD$6:$AF$9,3)+'Escalating commodity'!D326),'Escalating commodity'!D326))</f>
        <v/>
      </c>
      <c r="AI313" s="207" t="str">
        <f aca="false">IF($A314="","",AH313)</f>
        <v/>
      </c>
      <c r="AJ313" s="208" t="e">
        <f aca="false">A313+DAY(EOMONTH(A313,0))/2-1</f>
        <v>#VALUE!</v>
      </c>
      <c r="AK313" s="209" t="str">
        <f aca="false">IF($A314="","",$A313-$E$1)</f>
        <v/>
      </c>
      <c r="AL313" s="182" t="str">
        <f aca="false">IF($A314="","",SPRDOPT(P313,X313,AI313,0,AB313,AE313,AF313,AK313,$AJ$2,0))</f>
        <v/>
      </c>
      <c r="AM313" s="211" t="str">
        <f aca="false">IF($A314="","",MAX(0,O313-W313-AI313))</f>
        <v/>
      </c>
      <c r="AN313" s="211" t="str">
        <f aca="false">IF($A314="","",AL313-AM313)</f>
        <v/>
      </c>
      <c r="AO313" s="137" t="str">
        <f aca="false">IF(A314="","",A314-A313)</f>
        <v/>
      </c>
      <c r="AP313" s="212" t="str">
        <f aca="false">IF(A314="","",CHOOSE(F$3,A314+24,A313))</f>
        <v/>
      </c>
      <c r="AQ313" s="209" t="str">
        <f aca="false">IF(A314="","",AP313-$E$1)</f>
        <v/>
      </c>
      <c r="AR313" s="185" t="n">
        <f aca="false">'ANR OK vs ML7'!AR313</f>
        <v>0.1</v>
      </c>
      <c r="AS313" s="213" t="str">
        <f aca="false">IF(A314="","",1/(1+CHOOSE(F$3,(AR314+($I$3/10000))/2,(AR313+($I$3/10000))/2))^(2*AQ313/365.25))</f>
        <v/>
      </c>
      <c r="AT313" s="137" t="str">
        <f aca="false">IF(A314="","",IF(AND(mthbeg&lt;=A313,mthend&gt;=A313),1,0))</f>
        <v/>
      </c>
      <c r="AU313" s="137" t="str">
        <f aca="false">IF(A314="","",AO313*AT313)</f>
        <v/>
      </c>
      <c r="AW313" s="195" t="str">
        <f aca="false">IF($A314="","",AL313*$E313)</f>
        <v/>
      </c>
      <c r="AX313" s="195" t="str">
        <f aca="false">IF($A314="","",AM313*$E313)</f>
        <v/>
      </c>
      <c r="AY313" s="195" t="str">
        <f aca="false">IF($A314="","",AN313*$E313)</f>
        <v/>
      </c>
      <c r="BA313" s="195" t="str">
        <f aca="false">IF($A314="","",F313*Summary!$Q$8)</f>
        <v/>
      </c>
    </row>
    <row r="314" customFormat="false" ht="12" hidden="false" customHeight="true" outlineLevel="0" collapsed="false">
      <c r="A314" s="196" t="str">
        <f aca="false">IF(A313&lt;mthend,EDATE(A313,1),"")</f>
        <v/>
      </c>
      <c r="B314" s="197" t="n">
        <f aca="false">IF(A314&lt;mthend,B313,0)</f>
        <v>0</v>
      </c>
      <c r="C314" s="215"/>
      <c r="D314" s="197" t="str">
        <f aca="false">IF(A315&lt;&gt;"",B314+C314,"")</f>
        <v/>
      </c>
      <c r="E314" s="199" t="str">
        <f aca="false">IF(A315="","",IF(AND(AT314=1,$H$3=1),D314*AO314,IF($H$3=2,D314,"N/A")))</f>
        <v/>
      </c>
      <c r="F314" s="199" t="str">
        <f aca="false">IF(A315="","",E314*AS314)</f>
        <v/>
      </c>
      <c r="G314" s="200" t="str">
        <f aca="false">IF($A315="","",VLOOKUP($A314,Table,MATCH(G$4,Curves,0)))</f>
        <v/>
      </c>
      <c r="H314" s="201" t="str">
        <f aca="false">IF(A315="","",G314)</f>
        <v/>
      </c>
      <c r="I314" s="202"/>
      <c r="J314" s="200" t="str">
        <f aca="false">IF($A315="","",VLOOKUP($A314,Table,MATCH(J$4,Curves,0)))</f>
        <v/>
      </c>
      <c r="K314" s="201" t="str">
        <f aca="false">IF(A315="","",J314)</f>
        <v/>
      </c>
      <c r="L314" s="200" t="str">
        <f aca="false">IF($A315="","",VLOOKUP($A314,Table,MATCH(L$4,Curves,0)))</f>
        <v/>
      </c>
      <c r="M314" s="201" t="str">
        <f aca="false">IF(A315="","",L314)</f>
        <v/>
      </c>
      <c r="N314" s="203"/>
      <c r="O314" s="200" t="str">
        <f aca="false">IF(A315="","",L314+J314+G314)</f>
        <v/>
      </c>
      <c r="P314" s="200" t="str">
        <f aca="false">IF(A315="","",M314+K314+H314)</f>
        <v/>
      </c>
      <c r="Q314" s="204"/>
      <c r="R314" s="200" t="str">
        <f aca="false">IF($A315="","",VLOOKUP($A314,Table,MATCH(R$4,Curves,0)))</f>
        <v/>
      </c>
      <c r="S314" s="201" t="str">
        <f aca="false">IF(A315="","",R314)</f>
        <v/>
      </c>
      <c r="T314" s="200" t="str">
        <f aca="false">IF($A315="","",VLOOKUP($A314,Table,MATCH(T$4,Curves,0)))</f>
        <v/>
      </c>
      <c r="U314" s="201" t="str">
        <f aca="false">IF(A315="","",T314)</f>
        <v/>
      </c>
      <c r="V314" s="183" t="str">
        <f aca="false">IF($A315="","",IF(AND(MONTH(A314)&gt;3,MONTH(A314)&lt;11),(T314+R314+G314)*Summary!$T$8/(1-Summary!$T$8),(T314+R314+G314)*Summary!$U$8/(1-Summary!$U$8)))</f>
        <v/>
      </c>
      <c r="W314" s="200" t="str">
        <f aca="false">IF($A315="","",(T314+R314+G314+V314))</f>
        <v/>
      </c>
      <c r="X314" s="200" t="str">
        <f aca="false">IF($A315="","",(U314+S314+H314+V314))</f>
        <v/>
      </c>
      <c r="Y314" s="202"/>
      <c r="Z314" s="185" t="str">
        <f aca="false">IF($A315="","",VLOOKUP($A314,Table,MATCH(Z$4,Curves,0)))</f>
        <v/>
      </c>
      <c r="AA314" s="185" t="str">
        <f aca="false">IF($A315="","",VLOOKUP($A314,Table,MATCH(AA$4,Curves,0)))</f>
        <v/>
      </c>
      <c r="AB314" s="185" t="e">
        <f aca="false">SQRT((AA314^2*(A314-$D$3)+Z314^2*(DAY(EOMONTH(A314,0))/2))/AK314)</f>
        <v>#VALUE!</v>
      </c>
      <c r="AC314" s="185" t="str">
        <f aca="false">IF($A315="","",VLOOKUP($A314,Table,MATCH(AC$4,Curves,0)))</f>
        <v/>
      </c>
      <c r="AD314" s="185" t="str">
        <f aca="false">IF($A315="","",VLOOKUP($A314,Table,MATCH(AD$4,Curves,0)))</f>
        <v/>
      </c>
      <c r="AE314" s="185" t="e">
        <f aca="false">SQRT((AD314^2*(A314-$D$3)+AC314^2*(DAY(EOMONTH(A314,0))/2))/AK314)</f>
        <v>#VALUE!</v>
      </c>
      <c r="AF314" s="224" t="e">
        <f aca="false">((Summary!$N$8*(AA314*AD314)*(A314-$D$3))+(Summary!$M$8*Z314*AC314*(AJ314-EOMONTH(EDATE(A314,-1),0))))/(AK314*AB314*AE314)</f>
        <v>#VALUE!</v>
      </c>
      <c r="AG314" s="207" t="str">
        <f aca="false">IF($A315="","",Summary!$Q$8)</f>
        <v/>
      </c>
      <c r="AH314" s="207" t="str">
        <f aca="false">IF($A315="","",IF(Summary!$R$8="Y",(VLOOKUP($A314,Summary!$AD$6:$AF$9,3)+'Escalating commodity'!D327),'Escalating commodity'!D327))</f>
        <v/>
      </c>
      <c r="AI314" s="207" t="str">
        <f aca="false">IF($A315="","",AH314)</f>
        <v/>
      </c>
      <c r="AJ314" s="208" t="e">
        <f aca="false">A314+DAY(EOMONTH(A314,0))/2-1</f>
        <v>#VALUE!</v>
      </c>
      <c r="AK314" s="209" t="str">
        <f aca="false">IF($A315="","",$A314-$E$1)</f>
        <v/>
      </c>
      <c r="AL314" s="182" t="str">
        <f aca="false">IF($A315="","",SPRDOPT(P314,X314,AI314,0,AB314,AE314,AF314,AK314,$AJ$2,0))</f>
        <v/>
      </c>
      <c r="AM314" s="211" t="str">
        <f aca="false">IF($A315="","",MAX(0,O314-W314-AI314))</f>
        <v/>
      </c>
      <c r="AN314" s="211" t="str">
        <f aca="false">IF($A315="","",AL314-AM314)</f>
        <v/>
      </c>
      <c r="AO314" s="137" t="str">
        <f aca="false">IF(A315="","",A315-A314)</f>
        <v/>
      </c>
      <c r="AP314" s="212" t="str">
        <f aca="false">IF(A315="","",CHOOSE(F$3,A315+24,A314))</f>
        <v/>
      </c>
      <c r="AQ314" s="209" t="str">
        <f aca="false">IF(A315="","",AP314-$E$1)</f>
        <v/>
      </c>
      <c r="AR314" s="185" t="n">
        <f aca="false">'ANR OK vs ML7'!AR314</f>
        <v>0.1</v>
      </c>
      <c r="AS314" s="213" t="str">
        <f aca="false">IF(A315="","",1/(1+CHOOSE(F$3,(AR315+($I$3/10000))/2,(AR314+($I$3/10000))/2))^(2*AQ314/365.25))</f>
        <v/>
      </c>
      <c r="AT314" s="137" t="str">
        <f aca="false">IF(A315="","",IF(AND(mthbeg&lt;=A314,mthend&gt;=A314),1,0))</f>
        <v/>
      </c>
      <c r="AU314" s="137" t="str">
        <f aca="false">IF(A315="","",AO314*AT314)</f>
        <v/>
      </c>
      <c r="AW314" s="195" t="str">
        <f aca="false">IF($A315="","",AL314*$E314)</f>
        <v/>
      </c>
      <c r="AX314" s="195" t="str">
        <f aca="false">IF($A315="","",AM314*$E314)</f>
        <v/>
      </c>
      <c r="AY314" s="195" t="str">
        <f aca="false">IF($A315="","",AN314*$E314)</f>
        <v/>
      </c>
      <c r="BA314" s="195" t="str">
        <f aca="false">IF($A315="","",F314*Summary!$Q$8)</f>
        <v/>
      </c>
    </row>
    <row r="315" customFormat="false" ht="12" hidden="false" customHeight="true" outlineLevel="0" collapsed="false">
      <c r="A315" s="196" t="str">
        <f aca="false">IF(A314&lt;mthend,EDATE(A314,1),"")</f>
        <v/>
      </c>
      <c r="B315" s="197" t="n">
        <f aca="false">IF(A315&lt;mthend,B314,0)</f>
        <v>0</v>
      </c>
      <c r="C315" s="215"/>
      <c r="D315" s="197" t="str">
        <f aca="false">IF(A316&lt;&gt;"",B315+C315,"")</f>
        <v/>
      </c>
      <c r="E315" s="199" t="str">
        <f aca="false">IF(A316="","",IF(AND(AT315=1,$H$3=1),D315*AO315,IF($H$3=2,D315,"N/A")))</f>
        <v/>
      </c>
      <c r="F315" s="199" t="str">
        <f aca="false">IF(A316="","",E315*AS315)</f>
        <v/>
      </c>
      <c r="G315" s="200" t="str">
        <f aca="false">IF($A316="","",VLOOKUP($A315,Table,MATCH(G$4,Curves,0)))</f>
        <v/>
      </c>
      <c r="H315" s="201" t="str">
        <f aca="false">IF(A316="","",G315)</f>
        <v/>
      </c>
      <c r="I315" s="202"/>
      <c r="J315" s="200" t="str">
        <f aca="false">IF($A316="","",VLOOKUP($A315,Table,MATCH(J$4,Curves,0)))</f>
        <v/>
      </c>
      <c r="K315" s="201" t="str">
        <f aca="false">IF(A316="","",J315)</f>
        <v/>
      </c>
      <c r="L315" s="200" t="str">
        <f aca="false">IF($A316="","",VLOOKUP($A315,Table,MATCH(L$4,Curves,0)))</f>
        <v/>
      </c>
      <c r="M315" s="201" t="str">
        <f aca="false">IF(A316="","",L315)</f>
        <v/>
      </c>
      <c r="N315" s="203"/>
      <c r="O315" s="200" t="str">
        <f aca="false">IF(A316="","",L315+J315+G315)</f>
        <v/>
      </c>
      <c r="P315" s="200" t="str">
        <f aca="false">IF(A316="","",M315+K315+H315)</f>
        <v/>
      </c>
      <c r="Q315" s="204"/>
      <c r="R315" s="200" t="str">
        <f aca="false">IF($A316="","",VLOOKUP($A315,Table,MATCH(R$4,Curves,0)))</f>
        <v/>
      </c>
      <c r="S315" s="201" t="str">
        <f aca="false">IF(A316="","",R315)</f>
        <v/>
      </c>
      <c r="T315" s="200" t="str">
        <f aca="false">IF($A316="","",VLOOKUP($A315,Table,MATCH(T$4,Curves,0)))</f>
        <v/>
      </c>
      <c r="U315" s="201" t="str">
        <f aca="false">IF(A316="","",T315)</f>
        <v/>
      </c>
      <c r="V315" s="183" t="str">
        <f aca="false">IF($A316="","",IF(AND(MONTH(A315)&gt;3,MONTH(A315)&lt;11),(T315+R315+G315)*Summary!$T$8/(1-Summary!$T$8),(T315+R315+G315)*Summary!$U$8/(1-Summary!$U$8)))</f>
        <v/>
      </c>
      <c r="W315" s="200" t="str">
        <f aca="false">IF($A316="","",(T315+R315+G315+V315))</f>
        <v/>
      </c>
      <c r="X315" s="200" t="str">
        <f aca="false">IF($A316="","",(U315+S315+H315+V315))</f>
        <v/>
      </c>
      <c r="Y315" s="202"/>
      <c r="Z315" s="185" t="str">
        <f aca="false">IF($A316="","",VLOOKUP($A315,Table,MATCH(Z$4,Curves,0)))</f>
        <v/>
      </c>
      <c r="AA315" s="185" t="str">
        <f aca="false">IF($A316="","",VLOOKUP($A315,Table,MATCH(AA$4,Curves,0)))</f>
        <v/>
      </c>
      <c r="AB315" s="185" t="e">
        <f aca="false">SQRT((AA315^2*(A315-$D$3)+Z315^2*(DAY(EOMONTH(A315,0))/2))/AK315)</f>
        <v>#VALUE!</v>
      </c>
      <c r="AC315" s="185" t="str">
        <f aca="false">IF($A316="","",VLOOKUP($A315,Table,MATCH(AC$4,Curves,0)))</f>
        <v/>
      </c>
      <c r="AD315" s="185" t="str">
        <f aca="false">IF($A316="","",VLOOKUP($A315,Table,MATCH(AD$4,Curves,0)))</f>
        <v/>
      </c>
      <c r="AE315" s="185" t="e">
        <f aca="false">SQRT((AD315^2*(A315-$D$3)+AC315^2*(DAY(EOMONTH(A315,0))/2))/AK315)</f>
        <v>#VALUE!</v>
      </c>
      <c r="AF315" s="224" t="e">
        <f aca="false">((Summary!$N$8*(AA315*AD315)*(A315-$D$3))+(Summary!$M$8*Z315*AC315*(AJ315-EOMONTH(EDATE(A315,-1),0))))/(AK315*AB315*AE315)</f>
        <v>#VALUE!</v>
      </c>
      <c r="AG315" s="207" t="str">
        <f aca="false">IF($A316="","",Summary!$Q$8)</f>
        <v/>
      </c>
      <c r="AH315" s="207" t="str">
        <f aca="false">IF($A316="","",IF(Summary!$R$8="Y",(VLOOKUP($A315,Summary!$AD$6:$AF$9,3)+'Escalating commodity'!D328),'Escalating commodity'!D328))</f>
        <v/>
      </c>
      <c r="AI315" s="207" t="str">
        <f aca="false">IF($A316="","",AH315)</f>
        <v/>
      </c>
      <c r="AJ315" s="208" t="e">
        <f aca="false">A315+DAY(EOMONTH(A315,0))/2-1</f>
        <v>#VALUE!</v>
      </c>
      <c r="AK315" s="209" t="str">
        <f aca="false">IF($A316="","",$A315-$E$1)</f>
        <v/>
      </c>
      <c r="AL315" s="182" t="str">
        <f aca="false">IF($A316="","",SPRDOPT(P315,X315,AI315,0,AB315,AE315,AF315,AK315,$AJ$2,0))</f>
        <v/>
      </c>
      <c r="AM315" s="211" t="str">
        <f aca="false">IF($A316="","",MAX(0,O315-W315-AI315))</f>
        <v/>
      </c>
      <c r="AN315" s="211" t="str">
        <f aca="false">IF($A316="","",AL315-AM315)</f>
        <v/>
      </c>
      <c r="AO315" s="137" t="str">
        <f aca="false">IF(A316="","",A316-A315)</f>
        <v/>
      </c>
      <c r="AP315" s="212" t="str">
        <f aca="false">IF(A316="","",CHOOSE(F$3,A316+24,A315))</f>
        <v/>
      </c>
      <c r="AQ315" s="209" t="str">
        <f aca="false">IF(A316="","",AP315-$E$1)</f>
        <v/>
      </c>
      <c r="AR315" s="185" t="n">
        <f aca="false">'ANR OK vs ML7'!AR315</f>
        <v>0.1</v>
      </c>
      <c r="AS315" s="213" t="str">
        <f aca="false">IF(A316="","",1/(1+CHOOSE(F$3,(AR316+($I$3/10000))/2,(AR315+($I$3/10000))/2))^(2*AQ315/365.25))</f>
        <v/>
      </c>
      <c r="AT315" s="137" t="str">
        <f aca="false">IF(A316="","",IF(AND(mthbeg&lt;=A315,mthend&gt;=A315),1,0))</f>
        <v/>
      </c>
      <c r="AU315" s="137" t="str">
        <f aca="false">IF(A316="","",AO315*AT315)</f>
        <v/>
      </c>
      <c r="AW315" s="195" t="str">
        <f aca="false">IF($A316="","",AL315*$E315)</f>
        <v/>
      </c>
      <c r="AX315" s="195" t="str">
        <f aca="false">IF($A316="","",AM315*$E315)</f>
        <v/>
      </c>
      <c r="AY315" s="195" t="str">
        <f aca="false">IF($A316="","",AN315*$E315)</f>
        <v/>
      </c>
      <c r="BA315" s="195" t="str">
        <f aca="false">IF($A316="","",F315*Summary!$Q$8)</f>
        <v/>
      </c>
    </row>
    <row r="316" customFormat="false" ht="12" hidden="false" customHeight="true" outlineLevel="0" collapsed="false">
      <c r="A316" s="196" t="str">
        <f aca="false">IF(A315&lt;mthend,EDATE(A315,1),"")</f>
        <v/>
      </c>
      <c r="B316" s="197" t="n">
        <f aca="false">IF(A316&lt;mthend,B315,0)</f>
        <v>0</v>
      </c>
      <c r="C316" s="215"/>
      <c r="D316" s="197" t="str">
        <f aca="false">IF(A317&lt;&gt;"",B316+C316,"")</f>
        <v/>
      </c>
      <c r="E316" s="199" t="str">
        <f aca="false">IF(A317="","",IF(AND(AT316=1,$H$3=1),D316*AO316,IF($H$3=2,D316,"N/A")))</f>
        <v/>
      </c>
      <c r="F316" s="199" t="str">
        <f aca="false">IF(A317="","",E316*AS316)</f>
        <v/>
      </c>
      <c r="G316" s="200" t="str">
        <f aca="false">IF($A317="","",VLOOKUP($A316,Table,MATCH(G$4,Curves,0)))</f>
        <v/>
      </c>
      <c r="H316" s="201" t="str">
        <f aca="false">IF(A317="","",G316)</f>
        <v/>
      </c>
      <c r="I316" s="202"/>
      <c r="J316" s="200" t="str">
        <f aca="false">IF($A317="","",VLOOKUP($A316,Table,MATCH(J$4,Curves,0)))</f>
        <v/>
      </c>
      <c r="K316" s="201" t="str">
        <f aca="false">IF(A317="","",J316)</f>
        <v/>
      </c>
      <c r="L316" s="200" t="str">
        <f aca="false">IF($A317="","",VLOOKUP($A316,Table,MATCH(L$4,Curves,0)))</f>
        <v/>
      </c>
      <c r="M316" s="201" t="str">
        <f aca="false">IF(A317="","",L316)</f>
        <v/>
      </c>
      <c r="N316" s="203"/>
      <c r="O316" s="200" t="str">
        <f aca="false">IF(A317="","",L316+J316+G316)</f>
        <v/>
      </c>
      <c r="P316" s="200" t="str">
        <f aca="false">IF(A317="","",M316+K316+H316)</f>
        <v/>
      </c>
      <c r="Q316" s="204"/>
      <c r="R316" s="200" t="str">
        <f aca="false">IF($A317="","",VLOOKUP($A316,Table,MATCH(R$4,Curves,0)))</f>
        <v/>
      </c>
      <c r="S316" s="201" t="str">
        <f aca="false">IF(A317="","",R316)</f>
        <v/>
      </c>
      <c r="T316" s="200" t="str">
        <f aca="false">IF($A317="","",VLOOKUP($A316,Table,MATCH(T$4,Curves,0)))</f>
        <v/>
      </c>
      <c r="U316" s="201" t="str">
        <f aca="false">IF(A317="","",T316)</f>
        <v/>
      </c>
      <c r="V316" s="183" t="str">
        <f aca="false">IF($A317="","",IF(AND(MONTH(A316)&gt;3,MONTH(A316)&lt;11),(T316+R316+G316)*Summary!$T$8/(1-Summary!$T$8),(T316+R316+G316)*Summary!$U$8/(1-Summary!$U$8)))</f>
        <v/>
      </c>
      <c r="W316" s="200" t="str">
        <f aca="false">IF($A317="","",(T316+R316+G316+V316))</f>
        <v/>
      </c>
      <c r="X316" s="200" t="str">
        <f aca="false">IF($A317="","",(U316+S316+H316+V316))</f>
        <v/>
      </c>
      <c r="Y316" s="202"/>
      <c r="Z316" s="185" t="str">
        <f aca="false">IF($A317="","",VLOOKUP($A316,Table,MATCH(Z$4,Curves,0)))</f>
        <v/>
      </c>
      <c r="AA316" s="185" t="str">
        <f aca="false">IF($A317="","",VLOOKUP($A316,Table,MATCH(AA$4,Curves,0)))</f>
        <v/>
      </c>
      <c r="AB316" s="185" t="e">
        <f aca="false">SQRT((AA316^2*(A316-$D$3)+Z316^2*(DAY(EOMONTH(A316,0))/2))/AK316)</f>
        <v>#VALUE!</v>
      </c>
      <c r="AC316" s="185" t="str">
        <f aca="false">IF($A317="","",VLOOKUP($A316,Table,MATCH(AC$4,Curves,0)))</f>
        <v/>
      </c>
      <c r="AD316" s="185" t="str">
        <f aca="false">IF($A317="","",VLOOKUP($A316,Table,MATCH(AD$4,Curves,0)))</f>
        <v/>
      </c>
      <c r="AE316" s="185" t="e">
        <f aca="false">SQRT((AD316^2*(A316-$D$3)+AC316^2*(DAY(EOMONTH(A316,0))/2))/AK316)</f>
        <v>#VALUE!</v>
      </c>
      <c r="AF316" s="224" t="e">
        <f aca="false">((Summary!$N$8*(AA316*AD316)*(A316-$D$3))+(Summary!$M$8*Z316*AC316*(AJ316-EOMONTH(EDATE(A316,-1),0))))/(AK316*AB316*AE316)</f>
        <v>#VALUE!</v>
      </c>
      <c r="AG316" s="207" t="str">
        <f aca="false">IF($A317="","",Summary!$Q$8)</f>
        <v/>
      </c>
      <c r="AH316" s="207" t="str">
        <f aca="false">IF($A317="","",IF(Summary!$R$8="Y",(VLOOKUP($A316,Summary!$AD$6:$AF$9,3)+'Escalating commodity'!D329),'Escalating commodity'!D329))</f>
        <v/>
      </c>
      <c r="AI316" s="207" t="str">
        <f aca="false">IF($A317="","",AH316)</f>
        <v/>
      </c>
      <c r="AJ316" s="208" t="e">
        <f aca="false">A316+DAY(EOMONTH(A316,0))/2-1</f>
        <v>#VALUE!</v>
      </c>
      <c r="AK316" s="209" t="str">
        <f aca="false">IF($A317="","",$A316-$E$1)</f>
        <v/>
      </c>
      <c r="AL316" s="182" t="str">
        <f aca="false">IF($A317="","",SPRDOPT(P316,X316,AI316,0,AB316,AE316,AF316,AK316,$AJ$2,0))</f>
        <v/>
      </c>
      <c r="AM316" s="211" t="str">
        <f aca="false">IF($A317="","",MAX(0,O316-W316-AI316))</f>
        <v/>
      </c>
      <c r="AN316" s="211" t="str">
        <f aca="false">IF($A317="","",AL316-AM316)</f>
        <v/>
      </c>
      <c r="AO316" s="137" t="str">
        <f aca="false">IF(A317="","",A317-A316)</f>
        <v/>
      </c>
      <c r="AP316" s="212" t="str">
        <f aca="false">IF(A317="","",CHOOSE(F$3,A317+24,A316))</f>
        <v/>
      </c>
      <c r="AQ316" s="209" t="str">
        <f aca="false">IF(A317="","",AP316-$E$1)</f>
        <v/>
      </c>
      <c r="AR316" s="185" t="n">
        <f aca="false">'ANR OK vs ML7'!AR316</f>
        <v>0.1</v>
      </c>
      <c r="AS316" s="213" t="str">
        <f aca="false">IF(A317="","",1/(1+CHOOSE(F$3,(AR317+($I$3/10000))/2,(AR316+($I$3/10000))/2))^(2*AQ316/365.25))</f>
        <v/>
      </c>
      <c r="AT316" s="137" t="str">
        <f aca="false">IF(A317="","",IF(AND(mthbeg&lt;=A316,mthend&gt;=A316),1,0))</f>
        <v/>
      </c>
      <c r="AU316" s="137" t="str">
        <f aca="false">IF(A317="","",AO316*AT316)</f>
        <v/>
      </c>
      <c r="AW316" s="195" t="str">
        <f aca="false">IF($A317="","",AL316*$E316)</f>
        <v/>
      </c>
      <c r="AX316" s="195" t="str">
        <f aca="false">IF($A317="","",AM316*$E316)</f>
        <v/>
      </c>
      <c r="AY316" s="195" t="str">
        <f aca="false">IF($A317="","",AN316*$E316)</f>
        <v/>
      </c>
      <c r="BA316" s="195" t="str">
        <f aca="false">IF($A317="","",F316*Summary!$Q$8)</f>
        <v/>
      </c>
    </row>
    <row r="317" customFormat="false" ht="12" hidden="false" customHeight="true" outlineLevel="0" collapsed="false">
      <c r="A317" s="196" t="str">
        <f aca="false">IF(A316&lt;mthend,EDATE(A316,1),"")</f>
        <v/>
      </c>
      <c r="B317" s="197" t="n">
        <f aca="false">IF(A317&lt;mthend,B316,0)</f>
        <v>0</v>
      </c>
      <c r="C317" s="215"/>
      <c r="D317" s="197" t="str">
        <f aca="false">IF(A318&lt;&gt;"",B317+C317,"")</f>
        <v/>
      </c>
      <c r="E317" s="199" t="str">
        <f aca="false">IF(A318="","",IF(AND(AT317=1,$H$3=1),D317*AO317,IF($H$3=2,D317,"N/A")))</f>
        <v/>
      </c>
      <c r="F317" s="199" t="str">
        <f aca="false">IF(A318="","",E317*AS317)</f>
        <v/>
      </c>
      <c r="G317" s="200" t="str">
        <f aca="false">IF($A318="","",VLOOKUP($A317,Table,MATCH(G$4,Curves,0)))</f>
        <v/>
      </c>
      <c r="H317" s="201" t="str">
        <f aca="false">IF(A318="","",G317)</f>
        <v/>
      </c>
      <c r="I317" s="202"/>
      <c r="J317" s="200" t="str">
        <f aca="false">IF($A318="","",VLOOKUP($A317,Table,MATCH(J$4,Curves,0)))</f>
        <v/>
      </c>
      <c r="K317" s="201" t="str">
        <f aca="false">IF(A318="","",J317)</f>
        <v/>
      </c>
      <c r="L317" s="200" t="str">
        <f aca="false">IF($A318="","",VLOOKUP($A317,Table,MATCH(L$4,Curves,0)))</f>
        <v/>
      </c>
      <c r="M317" s="201" t="str">
        <f aca="false">IF(A318="","",L317)</f>
        <v/>
      </c>
      <c r="N317" s="203"/>
      <c r="O317" s="200" t="str">
        <f aca="false">IF(A318="","",L317+J317+G317)</f>
        <v/>
      </c>
      <c r="P317" s="200" t="str">
        <f aca="false">IF(A318="","",M317+K317+H317)</f>
        <v/>
      </c>
      <c r="Q317" s="204"/>
      <c r="R317" s="200" t="str">
        <f aca="false">IF($A318="","",VLOOKUP($A317,Table,MATCH(R$4,Curves,0)))</f>
        <v/>
      </c>
      <c r="S317" s="201" t="str">
        <f aca="false">IF(A318="","",R317)</f>
        <v/>
      </c>
      <c r="T317" s="200" t="str">
        <f aca="false">IF($A318="","",VLOOKUP($A317,Table,MATCH(T$4,Curves,0)))</f>
        <v/>
      </c>
      <c r="U317" s="201" t="str">
        <f aca="false">IF(A318="","",T317)</f>
        <v/>
      </c>
      <c r="V317" s="183" t="str">
        <f aca="false">IF($A318="","",IF(AND(MONTH(A317)&gt;3,MONTH(A317)&lt;11),(T317+R317+G317)*Summary!$T$8/(1-Summary!$T$8),(T317+R317+G317)*Summary!$U$8/(1-Summary!$U$8)))</f>
        <v/>
      </c>
      <c r="W317" s="200" t="str">
        <f aca="false">IF($A318="","",(T317+R317+G317+V317))</f>
        <v/>
      </c>
      <c r="X317" s="200" t="str">
        <f aca="false">IF($A318="","",(U317+S317+H317+V317))</f>
        <v/>
      </c>
      <c r="Y317" s="202"/>
      <c r="Z317" s="185" t="str">
        <f aca="false">IF($A318="","",VLOOKUP($A317,Table,MATCH(Z$4,Curves,0)))</f>
        <v/>
      </c>
      <c r="AA317" s="185" t="str">
        <f aca="false">IF($A318="","",VLOOKUP($A317,Table,MATCH(AA$4,Curves,0)))</f>
        <v/>
      </c>
      <c r="AB317" s="185" t="e">
        <f aca="false">SQRT((AA317^2*(A317-$D$3)+Z317^2*(DAY(EOMONTH(A317,0))/2))/AK317)</f>
        <v>#VALUE!</v>
      </c>
      <c r="AC317" s="185" t="str">
        <f aca="false">IF($A318="","",VLOOKUP($A317,Table,MATCH(AC$4,Curves,0)))</f>
        <v/>
      </c>
      <c r="AD317" s="185" t="str">
        <f aca="false">IF($A318="","",VLOOKUP($A317,Table,MATCH(AD$4,Curves,0)))</f>
        <v/>
      </c>
      <c r="AE317" s="185" t="e">
        <f aca="false">SQRT((AD317^2*(A317-$D$3)+AC317^2*(DAY(EOMONTH(A317,0))/2))/AK317)</f>
        <v>#VALUE!</v>
      </c>
      <c r="AF317" s="224" t="e">
        <f aca="false">((Summary!$N$8*(AA317*AD317)*(A317-$D$3))+(Summary!$M$8*Z317*AC317*(AJ317-EOMONTH(EDATE(A317,-1),0))))/(AK317*AB317*AE317)</f>
        <v>#VALUE!</v>
      </c>
      <c r="AG317" s="207" t="str">
        <f aca="false">IF($A318="","",Summary!$Q$8)</f>
        <v/>
      </c>
      <c r="AH317" s="207" t="str">
        <f aca="false">IF($A318="","",IF(Summary!$R$8="Y",(VLOOKUP($A317,Summary!$AD$6:$AF$9,3)+'Escalating commodity'!D330),'Escalating commodity'!D330))</f>
        <v/>
      </c>
      <c r="AI317" s="207" t="str">
        <f aca="false">IF($A318="","",AH317)</f>
        <v/>
      </c>
      <c r="AJ317" s="208" t="e">
        <f aca="false">A317+DAY(EOMONTH(A317,0))/2-1</f>
        <v>#VALUE!</v>
      </c>
      <c r="AK317" s="209" t="str">
        <f aca="false">IF($A318="","",$A317-$E$1)</f>
        <v/>
      </c>
      <c r="AL317" s="182" t="str">
        <f aca="false">IF($A318="","",SPRDOPT(P317,X317,AI317,0,AB317,AE317,AF317,AK317,$AJ$2,0))</f>
        <v/>
      </c>
      <c r="AM317" s="211" t="str">
        <f aca="false">IF($A318="","",MAX(0,O317-W317-AI317))</f>
        <v/>
      </c>
      <c r="AN317" s="211" t="str">
        <f aca="false">IF($A318="","",AL317-AM317)</f>
        <v/>
      </c>
      <c r="AO317" s="137" t="str">
        <f aca="false">IF(A318="","",A318-A317)</f>
        <v/>
      </c>
      <c r="AP317" s="212" t="str">
        <f aca="false">IF(A318="","",CHOOSE(F$3,A318+24,A317))</f>
        <v/>
      </c>
      <c r="AQ317" s="209" t="str">
        <f aca="false">IF(A318="","",AP317-$E$1)</f>
        <v/>
      </c>
      <c r="AR317" s="185" t="n">
        <f aca="false">'ANR OK vs ML7'!AR317</f>
        <v>0.1</v>
      </c>
      <c r="AS317" s="213" t="str">
        <f aca="false">IF(A318="","",1/(1+CHOOSE(F$3,(AR318+($I$3/10000))/2,(AR317+($I$3/10000))/2))^(2*AQ317/365.25))</f>
        <v/>
      </c>
      <c r="AT317" s="137" t="str">
        <f aca="false">IF(A318="","",IF(AND(mthbeg&lt;=A317,mthend&gt;=A317),1,0))</f>
        <v/>
      </c>
      <c r="AU317" s="137" t="str">
        <f aca="false">IF(A318="","",AO317*AT317)</f>
        <v/>
      </c>
      <c r="AW317" s="195" t="str">
        <f aca="false">IF($A318="","",AL317*$E317)</f>
        <v/>
      </c>
      <c r="AX317" s="195" t="str">
        <f aca="false">IF($A318="","",AM317*$E317)</f>
        <v/>
      </c>
      <c r="AY317" s="195" t="str">
        <f aca="false">IF($A318="","",AN317*$E317)</f>
        <v/>
      </c>
      <c r="BA317" s="195" t="str">
        <f aca="false">IF($A318="","",F317*Summary!$Q$8)</f>
        <v/>
      </c>
    </row>
    <row r="318" customFormat="false" ht="12" hidden="false" customHeight="true" outlineLevel="0" collapsed="false">
      <c r="A318" s="196" t="str">
        <f aca="false">IF(A317&lt;mthend,EDATE(A317,1),"")</f>
        <v/>
      </c>
      <c r="B318" s="197" t="n">
        <f aca="false">IF(A318&lt;mthend,B317,0)</f>
        <v>0</v>
      </c>
      <c r="C318" s="215"/>
      <c r="D318" s="197" t="str">
        <f aca="false">IF(A319&lt;&gt;"",B318+C318,"")</f>
        <v/>
      </c>
      <c r="E318" s="199" t="str">
        <f aca="false">IF(A319="","",IF(AND(AT318=1,$H$3=1),D318*AO318,IF($H$3=2,D318,"N/A")))</f>
        <v/>
      </c>
      <c r="F318" s="199" t="str">
        <f aca="false">IF(A319="","",E318*AS318)</f>
        <v/>
      </c>
      <c r="G318" s="200" t="str">
        <f aca="false">IF($A319="","",VLOOKUP($A318,Table,MATCH(G$4,Curves,0)))</f>
        <v/>
      </c>
      <c r="H318" s="201" t="str">
        <f aca="false">IF(A319="","",G318)</f>
        <v/>
      </c>
      <c r="I318" s="202"/>
      <c r="J318" s="200" t="str">
        <f aca="false">IF($A319="","",VLOOKUP($A318,Table,MATCH(J$4,Curves,0)))</f>
        <v/>
      </c>
      <c r="K318" s="201" t="str">
        <f aca="false">IF(A319="","",J318)</f>
        <v/>
      </c>
      <c r="L318" s="200" t="str">
        <f aca="false">IF($A319="","",VLOOKUP($A318,Table,MATCH(L$4,Curves,0)))</f>
        <v/>
      </c>
      <c r="M318" s="201" t="str">
        <f aca="false">IF(A319="","",L318)</f>
        <v/>
      </c>
      <c r="N318" s="203"/>
      <c r="O318" s="200" t="str">
        <f aca="false">IF(A319="","",L318+J318+G318)</f>
        <v/>
      </c>
      <c r="P318" s="200" t="str">
        <f aca="false">IF(A319="","",M318+K318+H318)</f>
        <v/>
      </c>
      <c r="Q318" s="204"/>
      <c r="R318" s="200" t="str">
        <f aca="false">IF($A319="","",VLOOKUP($A318,Table,MATCH(R$4,Curves,0)))</f>
        <v/>
      </c>
      <c r="S318" s="201" t="str">
        <f aca="false">IF(A319="","",R318)</f>
        <v/>
      </c>
      <c r="T318" s="200" t="str">
        <f aca="false">IF($A319="","",VLOOKUP($A318,Table,MATCH(T$4,Curves,0)))</f>
        <v/>
      </c>
      <c r="U318" s="201" t="str">
        <f aca="false">IF(A319="","",T318)</f>
        <v/>
      </c>
      <c r="V318" s="183" t="str">
        <f aca="false">IF($A319="","",IF(AND(MONTH(A318)&gt;3,MONTH(A318)&lt;11),(T318+R318+G318)*Summary!$T$8/(1-Summary!$T$8),(T318+R318+G318)*Summary!$U$8/(1-Summary!$U$8)))</f>
        <v/>
      </c>
      <c r="W318" s="200" t="str">
        <f aca="false">IF($A319="","",(T318+R318+G318+V318))</f>
        <v/>
      </c>
      <c r="X318" s="200" t="str">
        <f aca="false">IF($A319="","",(U318+S318+H318+V318))</f>
        <v/>
      </c>
      <c r="Y318" s="202"/>
      <c r="Z318" s="185" t="str">
        <f aca="false">IF($A319="","",VLOOKUP($A318,Table,MATCH(Z$4,Curves,0)))</f>
        <v/>
      </c>
      <c r="AA318" s="185" t="str">
        <f aca="false">IF($A319="","",VLOOKUP($A318,Table,MATCH(AA$4,Curves,0)))</f>
        <v/>
      </c>
      <c r="AB318" s="185" t="e">
        <f aca="false">SQRT((AA318^2*(A318-$D$3)+Z318^2*(DAY(EOMONTH(A318,0))/2))/AK318)</f>
        <v>#VALUE!</v>
      </c>
      <c r="AC318" s="185" t="str">
        <f aca="false">IF($A319="","",VLOOKUP($A318,Table,MATCH(AC$4,Curves,0)))</f>
        <v/>
      </c>
      <c r="AD318" s="185" t="str">
        <f aca="false">IF($A319="","",VLOOKUP($A318,Table,MATCH(AD$4,Curves,0)))</f>
        <v/>
      </c>
      <c r="AE318" s="185" t="e">
        <f aca="false">SQRT((AD318^2*(A318-$D$3)+AC318^2*(DAY(EOMONTH(A318,0))/2))/AK318)</f>
        <v>#VALUE!</v>
      </c>
      <c r="AF318" s="224" t="e">
        <f aca="false">((Summary!$N$8*(AA318*AD318)*(A318-$D$3))+(Summary!$M$8*Z318*AC318*(AJ318-EOMONTH(EDATE(A318,-1),0))))/(AK318*AB318*AE318)</f>
        <v>#VALUE!</v>
      </c>
      <c r="AG318" s="207" t="str">
        <f aca="false">IF($A319="","",Summary!$Q$8)</f>
        <v/>
      </c>
      <c r="AH318" s="207" t="str">
        <f aca="false">IF($A319="","",IF(Summary!$R$8="Y",(VLOOKUP($A318,Summary!$AD$6:$AF$9,3)+'Escalating commodity'!D331),'Escalating commodity'!D331))</f>
        <v/>
      </c>
      <c r="AI318" s="207" t="str">
        <f aca="false">IF($A319="","",AH318)</f>
        <v/>
      </c>
      <c r="AJ318" s="208" t="e">
        <f aca="false">A318+DAY(EOMONTH(A318,0))/2-1</f>
        <v>#VALUE!</v>
      </c>
      <c r="AK318" s="209" t="str">
        <f aca="false">IF($A319="","",$A318-$E$1)</f>
        <v/>
      </c>
      <c r="AL318" s="182" t="str">
        <f aca="false">IF($A319="","",SPRDOPT(P318,X318,AI318,0,AB318,AE318,AF318,AK318,$AJ$2,0))</f>
        <v/>
      </c>
      <c r="AM318" s="211" t="str">
        <f aca="false">IF($A319="","",MAX(0,O318-W318-AI318))</f>
        <v/>
      </c>
      <c r="AN318" s="211" t="str">
        <f aca="false">IF($A319="","",AL318-AM318)</f>
        <v/>
      </c>
      <c r="AO318" s="137" t="str">
        <f aca="false">IF(A319="","",A319-A318)</f>
        <v/>
      </c>
      <c r="AP318" s="212" t="str">
        <f aca="false">IF(A319="","",CHOOSE(F$3,A319+24,A318))</f>
        <v/>
      </c>
      <c r="AQ318" s="209" t="str">
        <f aca="false">IF(A319="","",AP318-$E$1)</f>
        <v/>
      </c>
      <c r="AR318" s="185" t="n">
        <f aca="false">'ANR OK vs ML7'!AR318</f>
        <v>0.1</v>
      </c>
      <c r="AS318" s="213" t="str">
        <f aca="false">IF(A319="","",1/(1+CHOOSE(F$3,(AR319+($I$3/10000))/2,(AR318+($I$3/10000))/2))^(2*AQ318/365.25))</f>
        <v/>
      </c>
      <c r="AT318" s="137" t="str">
        <f aca="false">IF(A319="","",IF(AND(mthbeg&lt;=A318,mthend&gt;=A318),1,0))</f>
        <v/>
      </c>
      <c r="AU318" s="137" t="str">
        <f aca="false">IF(A319="","",AO318*AT318)</f>
        <v/>
      </c>
      <c r="AW318" s="195" t="str">
        <f aca="false">IF($A319="","",AL318*$E318)</f>
        <v/>
      </c>
      <c r="AX318" s="195" t="str">
        <f aca="false">IF($A319="","",AM318*$E318)</f>
        <v/>
      </c>
      <c r="AY318" s="195" t="str">
        <f aca="false">IF($A319="","",AN318*$E318)</f>
        <v/>
      </c>
      <c r="BA318" s="195" t="str">
        <f aca="false">IF($A319="","",F318*Summary!$Q$8)</f>
        <v/>
      </c>
    </row>
    <row r="319" customFormat="false" ht="12" hidden="false" customHeight="true" outlineLevel="0" collapsed="false">
      <c r="A319" s="196" t="str">
        <f aca="false">IF(A318&lt;mthend,EDATE(A318,1),"")</f>
        <v/>
      </c>
      <c r="B319" s="197" t="n">
        <f aca="false">IF(A319&lt;mthend,B318,0)</f>
        <v>0</v>
      </c>
      <c r="C319" s="215"/>
      <c r="D319" s="197" t="str">
        <f aca="false">IF(A320&lt;&gt;"",B319+C319,"")</f>
        <v/>
      </c>
      <c r="E319" s="199" t="str">
        <f aca="false">IF(A320="","",IF(AND(AT319=1,$H$3=1),D319*AO319,IF($H$3=2,D319,"N/A")))</f>
        <v/>
      </c>
      <c r="F319" s="199" t="str">
        <f aca="false">IF(A320="","",E319*AS319)</f>
        <v/>
      </c>
      <c r="G319" s="200" t="str">
        <f aca="false">IF($A320="","",VLOOKUP($A319,Table,MATCH(G$4,Curves,0)))</f>
        <v/>
      </c>
      <c r="H319" s="201" t="str">
        <f aca="false">IF(A320="","",G319)</f>
        <v/>
      </c>
      <c r="I319" s="202"/>
      <c r="J319" s="200" t="str">
        <f aca="false">IF($A320="","",VLOOKUP($A319,Table,MATCH(J$4,Curves,0)))</f>
        <v/>
      </c>
      <c r="K319" s="201" t="str">
        <f aca="false">IF(A320="","",J319)</f>
        <v/>
      </c>
      <c r="L319" s="200" t="str">
        <f aca="false">IF($A320="","",VLOOKUP($A319,Table,MATCH(L$4,Curves,0)))</f>
        <v/>
      </c>
      <c r="M319" s="201" t="str">
        <f aca="false">IF(A320="","",L319)</f>
        <v/>
      </c>
      <c r="N319" s="203"/>
      <c r="O319" s="200" t="str">
        <f aca="false">IF(A320="","",L319+J319+G319)</f>
        <v/>
      </c>
      <c r="P319" s="200" t="str">
        <f aca="false">IF(A320="","",M319+K319+H319)</f>
        <v/>
      </c>
      <c r="Q319" s="204"/>
      <c r="R319" s="200" t="str">
        <f aca="false">IF($A320="","",VLOOKUP($A319,Table,MATCH(R$4,Curves,0)))</f>
        <v/>
      </c>
      <c r="S319" s="201" t="str">
        <f aca="false">IF(A320="","",R319)</f>
        <v/>
      </c>
      <c r="T319" s="200" t="str">
        <f aca="false">IF($A320="","",VLOOKUP($A319,Table,MATCH(T$4,Curves,0)))</f>
        <v/>
      </c>
      <c r="U319" s="201" t="str">
        <f aca="false">IF(A320="","",T319)</f>
        <v/>
      </c>
      <c r="V319" s="183" t="str">
        <f aca="false">IF($A320="","",IF(AND(MONTH(A319)&gt;3,MONTH(A319)&lt;11),(T319+R319+G319)*Summary!$T$8/(1-Summary!$T$8),(T319+R319+G319)*Summary!$U$8/(1-Summary!$U$8)))</f>
        <v/>
      </c>
      <c r="W319" s="200" t="str">
        <f aca="false">IF($A320="","",(T319+R319+G319+V319))</f>
        <v/>
      </c>
      <c r="X319" s="200" t="str">
        <f aca="false">IF($A320="","",(U319+S319+H319+V319))</f>
        <v/>
      </c>
      <c r="Y319" s="202"/>
      <c r="Z319" s="185" t="str">
        <f aca="false">IF($A320="","",VLOOKUP($A319,Table,MATCH(Z$4,Curves,0)))</f>
        <v/>
      </c>
      <c r="AA319" s="185" t="str">
        <f aca="false">IF($A320="","",VLOOKUP($A319,Table,MATCH(AA$4,Curves,0)))</f>
        <v/>
      </c>
      <c r="AB319" s="185" t="e">
        <f aca="false">SQRT((AA319^2*(A319-$D$3)+Z319^2*(DAY(EOMONTH(A319,0))/2))/AK319)</f>
        <v>#VALUE!</v>
      </c>
      <c r="AC319" s="185" t="str">
        <f aca="false">IF($A320="","",VLOOKUP($A319,Table,MATCH(AC$4,Curves,0)))</f>
        <v/>
      </c>
      <c r="AD319" s="185" t="str">
        <f aca="false">IF($A320="","",VLOOKUP($A319,Table,MATCH(AD$4,Curves,0)))</f>
        <v/>
      </c>
      <c r="AE319" s="185" t="e">
        <f aca="false">SQRT((AD319^2*(A319-$D$3)+AC319^2*(DAY(EOMONTH(A319,0))/2))/AK319)</f>
        <v>#VALUE!</v>
      </c>
      <c r="AF319" s="224" t="e">
        <f aca="false">((Summary!$N$8*(AA319*AD319)*(A319-$D$3))+(Summary!$M$8*Z319*AC319*(AJ319-EOMONTH(EDATE(A319,-1),0))))/(AK319*AB319*AE319)</f>
        <v>#VALUE!</v>
      </c>
      <c r="AG319" s="207" t="str">
        <f aca="false">IF($A320="","",Summary!$Q$8)</f>
        <v/>
      </c>
      <c r="AH319" s="207" t="str">
        <f aca="false">IF($A320="","",IF(Summary!$R$8="Y",(VLOOKUP($A319,Summary!$AD$6:$AF$9,3)+'Escalating commodity'!D332),'Escalating commodity'!D332))</f>
        <v/>
      </c>
      <c r="AI319" s="207" t="str">
        <f aca="false">IF($A320="","",AH319)</f>
        <v/>
      </c>
      <c r="AJ319" s="208" t="e">
        <f aca="false">A319+DAY(EOMONTH(A319,0))/2-1</f>
        <v>#VALUE!</v>
      </c>
      <c r="AK319" s="209" t="str">
        <f aca="false">IF($A320="","",$A319-$E$1)</f>
        <v/>
      </c>
      <c r="AL319" s="182" t="str">
        <f aca="false">IF($A320="","",SPRDOPT(P319,X319,AI319,0,AB319,AE319,AF319,AK319,$AJ$2,0))</f>
        <v/>
      </c>
      <c r="AM319" s="211" t="str">
        <f aca="false">IF($A320="","",MAX(0,O319-W319-AI319))</f>
        <v/>
      </c>
      <c r="AN319" s="211" t="str">
        <f aca="false">IF($A320="","",AL319-AM319)</f>
        <v/>
      </c>
      <c r="AO319" s="137" t="str">
        <f aca="false">IF(A320="","",A320-A319)</f>
        <v/>
      </c>
      <c r="AP319" s="212" t="str">
        <f aca="false">IF(A320="","",CHOOSE(F$3,A320+24,A319))</f>
        <v/>
      </c>
      <c r="AQ319" s="209" t="str">
        <f aca="false">IF(A320="","",AP319-$E$1)</f>
        <v/>
      </c>
      <c r="AR319" s="185" t="n">
        <f aca="false">'ANR OK vs ML7'!AR319</f>
        <v>0.1</v>
      </c>
      <c r="AS319" s="213" t="str">
        <f aca="false">IF(A320="","",1/(1+CHOOSE(F$3,(AR320+($I$3/10000))/2,(AR319+($I$3/10000))/2))^(2*AQ319/365.25))</f>
        <v/>
      </c>
      <c r="AT319" s="137" t="str">
        <f aca="false">IF(A320="","",IF(AND(mthbeg&lt;=A319,mthend&gt;=A319),1,0))</f>
        <v/>
      </c>
      <c r="AU319" s="137" t="str">
        <f aca="false">IF(A320="","",AO319*AT319)</f>
        <v/>
      </c>
      <c r="AW319" s="195" t="str">
        <f aca="false">IF($A320="","",AL319*$E319)</f>
        <v/>
      </c>
      <c r="AX319" s="195" t="str">
        <f aca="false">IF($A320="","",AM319*$E319)</f>
        <v/>
      </c>
      <c r="AY319" s="195" t="str">
        <f aca="false">IF($A320="","",AN319*$E319)</f>
        <v/>
      </c>
      <c r="BA319" s="195" t="str">
        <f aca="false">IF($A320="","",F319*Summary!$Q$8)</f>
        <v/>
      </c>
    </row>
    <row r="320" customFormat="false" ht="12" hidden="false" customHeight="true" outlineLevel="0" collapsed="false">
      <c r="A320" s="196" t="str">
        <f aca="false">IF(A319&lt;mthend,EDATE(A319,1),"")</f>
        <v/>
      </c>
      <c r="B320" s="197" t="n">
        <f aca="false">IF(A320&lt;mthend,B319,0)</f>
        <v>0</v>
      </c>
      <c r="C320" s="215"/>
      <c r="D320" s="197" t="str">
        <f aca="false">IF(A321&lt;&gt;"",B320+C320,"")</f>
        <v/>
      </c>
      <c r="E320" s="199" t="str">
        <f aca="false">IF(A321="","",IF(AND(AT320=1,$H$3=1),D320*AO320,IF($H$3=2,D320,"N/A")))</f>
        <v/>
      </c>
      <c r="F320" s="199" t="str">
        <f aca="false">IF(A321="","",E320*AS320)</f>
        <v/>
      </c>
      <c r="G320" s="200" t="str">
        <f aca="false">IF($A321="","",VLOOKUP($A320,Table,MATCH(G$4,Curves,0)))</f>
        <v/>
      </c>
      <c r="H320" s="201" t="str">
        <f aca="false">IF(A321="","",G320)</f>
        <v/>
      </c>
      <c r="I320" s="202"/>
      <c r="J320" s="200" t="str">
        <f aca="false">IF($A321="","",VLOOKUP($A320,Table,MATCH(J$4,Curves,0)))</f>
        <v/>
      </c>
      <c r="K320" s="201" t="str">
        <f aca="false">IF(A321="","",J320)</f>
        <v/>
      </c>
      <c r="L320" s="200" t="str">
        <f aca="false">IF($A321="","",VLOOKUP($A320,Table,MATCH(L$4,Curves,0)))</f>
        <v/>
      </c>
      <c r="M320" s="201" t="str">
        <f aca="false">IF(A321="","",L320)</f>
        <v/>
      </c>
      <c r="N320" s="203"/>
      <c r="O320" s="200" t="str">
        <f aca="false">IF(A321="","",L320+J320+G320)</f>
        <v/>
      </c>
      <c r="P320" s="200" t="str">
        <f aca="false">IF(A321="","",M320+K320+H320)</f>
        <v/>
      </c>
      <c r="Q320" s="204"/>
      <c r="R320" s="200" t="str">
        <f aca="false">IF($A321="","",VLOOKUP($A320,Table,MATCH(R$4,Curves,0)))</f>
        <v/>
      </c>
      <c r="S320" s="201" t="str">
        <f aca="false">IF(A321="","",R320)</f>
        <v/>
      </c>
      <c r="T320" s="200" t="str">
        <f aca="false">IF($A321="","",VLOOKUP($A320,Table,MATCH(T$4,Curves,0)))</f>
        <v/>
      </c>
      <c r="U320" s="201" t="str">
        <f aca="false">IF(A321="","",T320)</f>
        <v/>
      </c>
      <c r="V320" s="183" t="str">
        <f aca="false">IF($A321="","",IF(AND(MONTH(A320)&gt;3,MONTH(A320)&lt;11),(T320+R320+G320)*Summary!$T$8/(1-Summary!$T$8),(T320+R320+G320)*Summary!$U$8/(1-Summary!$U$8)))</f>
        <v/>
      </c>
      <c r="W320" s="200" t="str">
        <f aca="false">IF($A321="","",(T320+R320+G320+V320))</f>
        <v/>
      </c>
      <c r="X320" s="200" t="str">
        <f aca="false">IF($A321="","",(U320+S320+H320+V320))</f>
        <v/>
      </c>
      <c r="Y320" s="202"/>
      <c r="Z320" s="185" t="str">
        <f aca="false">IF($A321="","",VLOOKUP($A320,Table,MATCH(Z$4,Curves,0)))</f>
        <v/>
      </c>
      <c r="AA320" s="185" t="str">
        <f aca="false">IF($A321="","",VLOOKUP($A320,Table,MATCH(AA$4,Curves,0)))</f>
        <v/>
      </c>
      <c r="AB320" s="185" t="e">
        <f aca="false">SQRT((AA320^2*(A320-$D$3)+Z320^2*(DAY(EOMONTH(A320,0))/2))/AK320)</f>
        <v>#VALUE!</v>
      </c>
      <c r="AC320" s="185" t="str">
        <f aca="false">IF($A321="","",VLOOKUP($A320,Table,MATCH(AC$4,Curves,0)))</f>
        <v/>
      </c>
      <c r="AD320" s="185" t="str">
        <f aca="false">IF($A321="","",VLOOKUP($A320,Table,MATCH(AD$4,Curves,0)))</f>
        <v/>
      </c>
      <c r="AE320" s="185" t="e">
        <f aca="false">SQRT((AD320^2*(A320-$D$3)+AC320^2*(DAY(EOMONTH(A320,0))/2))/AK320)</f>
        <v>#VALUE!</v>
      </c>
      <c r="AF320" s="224" t="e">
        <f aca="false">((Summary!$N$8*(AA320*AD320)*(A320-$D$3))+(Summary!$M$8*Z320*AC320*(AJ320-EOMONTH(EDATE(A320,-1),0))))/(AK320*AB320*AE320)</f>
        <v>#VALUE!</v>
      </c>
      <c r="AG320" s="207" t="str">
        <f aca="false">IF($A321="","",Summary!$Q$8)</f>
        <v/>
      </c>
      <c r="AH320" s="207" t="str">
        <f aca="false">IF($A321="","",IF(Summary!$R$8="Y",(VLOOKUP($A320,Summary!$AD$6:$AF$9,3)+'Escalating commodity'!D333),'Escalating commodity'!D333))</f>
        <v/>
      </c>
      <c r="AI320" s="207" t="str">
        <f aca="false">IF($A321="","",AH320)</f>
        <v/>
      </c>
      <c r="AJ320" s="208" t="e">
        <f aca="false">A320+DAY(EOMONTH(A320,0))/2-1</f>
        <v>#VALUE!</v>
      </c>
      <c r="AK320" s="209" t="str">
        <f aca="false">IF($A321="","",$A320-$E$1)</f>
        <v/>
      </c>
      <c r="AL320" s="182" t="str">
        <f aca="false">IF($A321="","",SPRDOPT(P320,X320,AI320,0,AB320,AE320,AF320,AK320,$AJ$2,0))</f>
        <v/>
      </c>
      <c r="AM320" s="211" t="str">
        <f aca="false">IF($A321="","",MAX(0,O320-W320-AI320))</f>
        <v/>
      </c>
      <c r="AN320" s="211" t="str">
        <f aca="false">IF($A321="","",AL320-AM320)</f>
        <v/>
      </c>
      <c r="AO320" s="137" t="str">
        <f aca="false">IF(A321="","",A321-A320)</f>
        <v/>
      </c>
      <c r="AP320" s="212" t="str">
        <f aca="false">IF(A321="","",CHOOSE(F$3,A321+24,A320))</f>
        <v/>
      </c>
      <c r="AQ320" s="209" t="str">
        <f aca="false">IF(A321="","",AP320-$E$1)</f>
        <v/>
      </c>
      <c r="AR320" s="185" t="n">
        <f aca="false">'ANR OK vs ML7'!AR320</f>
        <v>0.1</v>
      </c>
      <c r="AS320" s="213" t="str">
        <f aca="false">IF(A321="","",1/(1+CHOOSE(F$3,(AR321+($I$3/10000))/2,(AR320+($I$3/10000))/2))^(2*AQ320/365.25))</f>
        <v/>
      </c>
      <c r="AT320" s="137" t="str">
        <f aca="false">IF(A321="","",IF(AND(mthbeg&lt;=A320,mthend&gt;=A320),1,0))</f>
        <v/>
      </c>
      <c r="AU320" s="137" t="str">
        <f aca="false">IF(A321="","",AO320*AT320)</f>
        <v/>
      </c>
      <c r="AW320" s="195" t="str">
        <f aca="false">IF($A321="","",AL320*$E320)</f>
        <v/>
      </c>
      <c r="AX320" s="195" t="str">
        <f aca="false">IF($A321="","",AM320*$E320)</f>
        <v/>
      </c>
      <c r="AY320" s="195" t="str">
        <f aca="false">IF($A321="","",AN320*$E320)</f>
        <v/>
      </c>
      <c r="BA320" s="195" t="str">
        <f aca="false">IF($A321="","",F320*Summary!$Q$8)</f>
        <v/>
      </c>
    </row>
    <row r="321" customFormat="false" ht="12" hidden="false" customHeight="true" outlineLevel="0" collapsed="false">
      <c r="A321" s="196" t="str">
        <f aca="false">IF(A320&lt;mthend,EDATE(A320,1),"")</f>
        <v/>
      </c>
      <c r="B321" s="197" t="n">
        <f aca="false">IF(A321&lt;mthend,B320,0)</f>
        <v>0</v>
      </c>
      <c r="C321" s="215"/>
      <c r="D321" s="197" t="str">
        <f aca="false">IF(A322&lt;&gt;"",B321+C321,"")</f>
        <v/>
      </c>
      <c r="E321" s="199" t="str">
        <f aca="false">IF(A322="","",IF(AND(AT321=1,$H$3=1),D321*AO321,IF($H$3=2,D321,"N/A")))</f>
        <v/>
      </c>
      <c r="F321" s="199" t="str">
        <f aca="false">IF(A322="","",E321*AS321)</f>
        <v/>
      </c>
      <c r="G321" s="200" t="str">
        <f aca="false">IF($A322="","",VLOOKUP($A321,Table,MATCH(G$4,Curves,0)))</f>
        <v/>
      </c>
      <c r="H321" s="201" t="str">
        <f aca="false">IF(A322="","",G321)</f>
        <v/>
      </c>
      <c r="I321" s="202"/>
      <c r="J321" s="200" t="str">
        <f aca="false">IF($A322="","",VLOOKUP($A321,Table,MATCH(J$4,Curves,0)))</f>
        <v/>
      </c>
      <c r="K321" s="201" t="str">
        <f aca="false">IF(A322="","",J321)</f>
        <v/>
      </c>
      <c r="L321" s="200" t="str">
        <f aca="false">IF($A322="","",VLOOKUP($A321,Table,MATCH(L$4,Curves,0)))</f>
        <v/>
      </c>
      <c r="M321" s="201" t="str">
        <f aca="false">IF(A322="","",L321)</f>
        <v/>
      </c>
      <c r="N321" s="203"/>
      <c r="O321" s="200" t="str">
        <f aca="false">IF(A322="","",L321+J321+G321)</f>
        <v/>
      </c>
      <c r="P321" s="200" t="str">
        <f aca="false">IF(A322="","",M321+K321+H321)</f>
        <v/>
      </c>
      <c r="Q321" s="204"/>
      <c r="R321" s="200" t="str">
        <f aca="false">IF($A322="","",VLOOKUP($A321,Table,MATCH(R$4,Curves,0)))</f>
        <v/>
      </c>
      <c r="S321" s="201" t="str">
        <f aca="false">IF(A322="","",R321)</f>
        <v/>
      </c>
      <c r="T321" s="200" t="str">
        <f aca="false">IF($A322="","",VLOOKUP($A321,Table,MATCH(T$4,Curves,0)))</f>
        <v/>
      </c>
      <c r="U321" s="201" t="str">
        <f aca="false">IF(A322="","",T321)</f>
        <v/>
      </c>
      <c r="V321" s="183" t="str">
        <f aca="false">IF($A322="","",IF(AND(MONTH(A321)&gt;3,MONTH(A321)&lt;11),(T321+R321+G321)*Summary!$T$8/(1-Summary!$T$8),(T321+R321+G321)*Summary!$U$8/(1-Summary!$U$8)))</f>
        <v/>
      </c>
      <c r="W321" s="200" t="str">
        <f aca="false">IF($A322="","",(T321+R321+G321+V321))</f>
        <v/>
      </c>
      <c r="X321" s="200" t="str">
        <f aca="false">IF($A322="","",(U321+S321+H321+V321))</f>
        <v/>
      </c>
      <c r="Y321" s="202"/>
      <c r="Z321" s="185" t="str">
        <f aca="false">IF($A322="","",VLOOKUP($A321,Table,MATCH(Z$4,Curves,0)))</f>
        <v/>
      </c>
      <c r="AA321" s="185" t="str">
        <f aca="false">IF($A322="","",VLOOKUP($A321,Table,MATCH(AA$4,Curves,0)))</f>
        <v/>
      </c>
      <c r="AB321" s="185" t="e">
        <f aca="false">SQRT((AA321^2*(A321-$D$3)+Z321^2*(DAY(EOMONTH(A321,0))/2))/AK321)</f>
        <v>#VALUE!</v>
      </c>
      <c r="AC321" s="185" t="str">
        <f aca="false">IF($A322="","",VLOOKUP($A321,Table,MATCH(AC$4,Curves,0)))</f>
        <v/>
      </c>
      <c r="AD321" s="185" t="str">
        <f aca="false">IF($A322="","",VLOOKUP($A321,Table,MATCH(AD$4,Curves,0)))</f>
        <v/>
      </c>
      <c r="AE321" s="185" t="e">
        <f aca="false">SQRT((AD321^2*(A321-$D$3)+AC321^2*(DAY(EOMONTH(A321,0))/2))/AK321)</f>
        <v>#VALUE!</v>
      </c>
      <c r="AF321" s="224" t="e">
        <f aca="false">((Summary!$N$8*(AA321*AD321)*(A321-$D$3))+(Summary!$M$8*Z321*AC321*(AJ321-EOMONTH(EDATE(A321,-1),0))))/(AK321*AB321*AE321)</f>
        <v>#VALUE!</v>
      </c>
      <c r="AG321" s="207" t="str">
        <f aca="false">IF($A322="","",Summary!$Q$8)</f>
        <v/>
      </c>
      <c r="AH321" s="207" t="str">
        <f aca="false">IF($A322="","",IF(Summary!$R$8="Y",(VLOOKUP($A321,Summary!$AD$6:$AF$9,3)+'Escalating commodity'!D334),'Escalating commodity'!D334))</f>
        <v/>
      </c>
      <c r="AI321" s="207" t="str">
        <f aca="false">IF($A322="","",AH321)</f>
        <v/>
      </c>
      <c r="AJ321" s="208" t="e">
        <f aca="false">A321+DAY(EOMONTH(A321,0))/2-1</f>
        <v>#VALUE!</v>
      </c>
      <c r="AK321" s="209" t="str">
        <f aca="false">IF($A322="","",$A321-$E$1)</f>
        <v/>
      </c>
      <c r="AL321" s="182" t="str">
        <f aca="false">IF($A322="","",SPRDOPT(P321,X321,AI321,0,AB321,AE321,AF321,AK321,$AJ$2,0))</f>
        <v/>
      </c>
      <c r="AM321" s="211" t="str">
        <f aca="false">IF($A322="","",MAX(0,O321-W321-AI321))</f>
        <v/>
      </c>
      <c r="AN321" s="211" t="str">
        <f aca="false">IF($A322="","",AL321-AM321)</f>
        <v/>
      </c>
      <c r="AO321" s="137" t="str">
        <f aca="false">IF(A322="","",A322-A321)</f>
        <v/>
      </c>
      <c r="AP321" s="212" t="str">
        <f aca="false">IF(A322="","",CHOOSE(F$3,A322+24,A321))</f>
        <v/>
      </c>
      <c r="AQ321" s="209" t="str">
        <f aca="false">IF(A322="","",AP321-$E$1)</f>
        <v/>
      </c>
      <c r="AR321" s="185" t="n">
        <f aca="false">'ANR OK vs ML7'!AR321</f>
        <v>0.1</v>
      </c>
      <c r="AS321" s="213" t="str">
        <f aca="false">IF(A322="","",1/(1+CHOOSE(F$3,(AR322+($I$3/10000))/2,(AR321+($I$3/10000))/2))^(2*AQ321/365.25))</f>
        <v/>
      </c>
      <c r="AT321" s="137" t="str">
        <f aca="false">IF(A322="","",IF(AND(mthbeg&lt;=A321,mthend&gt;=A321),1,0))</f>
        <v/>
      </c>
      <c r="AU321" s="137" t="str">
        <f aca="false">IF(A322="","",AO321*AT321)</f>
        <v/>
      </c>
      <c r="AW321" s="195" t="str">
        <f aca="false">IF($A322="","",AL321*$E321)</f>
        <v/>
      </c>
      <c r="AX321" s="195" t="str">
        <f aca="false">IF($A322="","",AM321*$E321)</f>
        <v/>
      </c>
      <c r="AY321" s="195" t="str">
        <f aca="false">IF($A322="","",AN321*$E321)</f>
        <v/>
      </c>
      <c r="BA321" s="195" t="str">
        <f aca="false">IF($A322="","",F321*Summary!$Q$8)</f>
        <v/>
      </c>
    </row>
    <row r="322" customFormat="false" ht="12" hidden="false" customHeight="true" outlineLevel="0" collapsed="false">
      <c r="A322" s="196" t="str">
        <f aca="false">IF(A321&lt;mthend,EDATE(A321,1),"")</f>
        <v/>
      </c>
      <c r="B322" s="197" t="n">
        <f aca="false">IF(A322&lt;mthend,B321,0)</f>
        <v>0</v>
      </c>
      <c r="C322" s="215"/>
      <c r="D322" s="197" t="str">
        <f aca="false">IF(A323&lt;&gt;"",B322+C322,"")</f>
        <v/>
      </c>
      <c r="E322" s="199" t="str">
        <f aca="false">IF(A323="","",IF(AND(AT322=1,$H$3=1),D322*AO322,IF($H$3=2,D322,"N/A")))</f>
        <v/>
      </c>
      <c r="F322" s="199" t="str">
        <f aca="false">IF(A323="","",E322*AS322)</f>
        <v/>
      </c>
      <c r="G322" s="200" t="str">
        <f aca="false">IF($A323="","",VLOOKUP($A322,Table,MATCH(G$4,Curves,0)))</f>
        <v/>
      </c>
      <c r="H322" s="201" t="str">
        <f aca="false">IF(A323="","",G322)</f>
        <v/>
      </c>
      <c r="I322" s="202"/>
      <c r="J322" s="200" t="str">
        <f aca="false">IF($A323="","",VLOOKUP($A322,Table,MATCH(J$4,Curves,0)))</f>
        <v/>
      </c>
      <c r="K322" s="201" t="str">
        <f aca="false">IF(A323="","",J322)</f>
        <v/>
      </c>
      <c r="L322" s="200" t="str">
        <f aca="false">IF($A323="","",VLOOKUP($A322,Table,MATCH(L$4,Curves,0)))</f>
        <v/>
      </c>
      <c r="M322" s="201" t="str">
        <f aca="false">IF(A323="","",L322)</f>
        <v/>
      </c>
      <c r="N322" s="203"/>
      <c r="O322" s="200" t="str">
        <f aca="false">IF(A323="","",L322+J322+G322)</f>
        <v/>
      </c>
      <c r="P322" s="200" t="str">
        <f aca="false">IF(A323="","",M322+K322+H322)</f>
        <v/>
      </c>
      <c r="Q322" s="204"/>
      <c r="R322" s="200" t="str">
        <f aca="false">IF($A323="","",VLOOKUP($A322,Table,MATCH(R$4,Curves,0)))</f>
        <v/>
      </c>
      <c r="S322" s="201" t="str">
        <f aca="false">IF(A323="","",R322)</f>
        <v/>
      </c>
      <c r="T322" s="200" t="str">
        <f aca="false">IF($A323="","",VLOOKUP($A322,Table,MATCH(T$4,Curves,0)))</f>
        <v/>
      </c>
      <c r="U322" s="201" t="str">
        <f aca="false">IF(A323="","",T322)</f>
        <v/>
      </c>
      <c r="V322" s="183" t="str">
        <f aca="false">IF($A323="","",IF(AND(MONTH(A322)&gt;3,MONTH(A322)&lt;11),(T322+R322+G322)*Summary!$T$8/(1-Summary!$T$8),(T322+R322+G322)*Summary!$U$8/(1-Summary!$U$8)))</f>
        <v/>
      </c>
      <c r="W322" s="200" t="str">
        <f aca="false">IF($A323="","",(T322+R322+G322+V322))</f>
        <v/>
      </c>
      <c r="X322" s="200" t="str">
        <f aca="false">IF($A323="","",(U322+S322+H322+V322))</f>
        <v/>
      </c>
      <c r="Y322" s="202"/>
      <c r="Z322" s="185" t="str">
        <f aca="false">IF($A323="","",VLOOKUP($A322,Table,MATCH(Z$4,Curves,0)))</f>
        <v/>
      </c>
      <c r="AA322" s="185" t="str">
        <f aca="false">IF($A323="","",VLOOKUP($A322,Table,MATCH(AA$4,Curves,0)))</f>
        <v/>
      </c>
      <c r="AB322" s="185" t="e">
        <f aca="false">SQRT((AA322^2*(A322-$D$3)+Z322^2*(DAY(EOMONTH(A322,0))/2))/AK322)</f>
        <v>#VALUE!</v>
      </c>
      <c r="AC322" s="185" t="str">
        <f aca="false">IF($A323="","",VLOOKUP($A322,Table,MATCH(AC$4,Curves,0)))</f>
        <v/>
      </c>
      <c r="AD322" s="185" t="str">
        <f aca="false">IF($A323="","",VLOOKUP($A322,Table,MATCH(AD$4,Curves,0)))</f>
        <v/>
      </c>
      <c r="AE322" s="185" t="e">
        <f aca="false">SQRT((AD322^2*(A322-$D$3)+AC322^2*(DAY(EOMONTH(A322,0))/2))/AK322)</f>
        <v>#VALUE!</v>
      </c>
      <c r="AF322" s="224" t="e">
        <f aca="false">((Summary!$N$8*(AA322*AD322)*(A322-$D$3))+(Summary!$M$8*Z322*AC322*(AJ322-EOMONTH(EDATE(A322,-1),0))))/(AK322*AB322*AE322)</f>
        <v>#VALUE!</v>
      </c>
      <c r="AG322" s="207" t="str">
        <f aca="false">IF($A323="","",Summary!$Q$8)</f>
        <v/>
      </c>
      <c r="AH322" s="207" t="str">
        <f aca="false">IF($A323="","",IF(Summary!$R$8="Y",(VLOOKUP($A322,Summary!$AD$6:$AF$9,3)+'Escalating commodity'!D335),'Escalating commodity'!D335))</f>
        <v/>
      </c>
      <c r="AI322" s="207" t="str">
        <f aca="false">IF($A323="","",AH322)</f>
        <v/>
      </c>
      <c r="AJ322" s="208" t="e">
        <f aca="false">A322+DAY(EOMONTH(A322,0))/2-1</f>
        <v>#VALUE!</v>
      </c>
      <c r="AK322" s="209" t="str">
        <f aca="false">IF($A323="","",$A322-$E$1)</f>
        <v/>
      </c>
      <c r="AL322" s="182" t="str">
        <f aca="false">IF($A323="","",SPRDOPT(P322,X322,AI322,0,AB322,AE322,AF322,AK322,$AJ$2,0))</f>
        <v/>
      </c>
      <c r="AM322" s="211" t="str">
        <f aca="false">IF($A323="","",MAX(0,O322-W322-AI322))</f>
        <v/>
      </c>
      <c r="AN322" s="211" t="str">
        <f aca="false">IF($A323="","",AL322-AM322)</f>
        <v/>
      </c>
      <c r="AO322" s="137" t="str">
        <f aca="false">IF(A323="","",A323-A322)</f>
        <v/>
      </c>
      <c r="AP322" s="212" t="str">
        <f aca="false">IF(A323="","",CHOOSE(F$3,A323+24,A322))</f>
        <v/>
      </c>
      <c r="AQ322" s="209" t="str">
        <f aca="false">IF(A323="","",AP322-$E$1)</f>
        <v/>
      </c>
      <c r="AR322" s="185" t="n">
        <f aca="false">'ANR OK vs ML7'!AR322</f>
        <v>0.1</v>
      </c>
      <c r="AS322" s="213" t="str">
        <f aca="false">IF(A323="","",1/(1+CHOOSE(F$3,(AR323+($I$3/10000))/2,(AR322+($I$3/10000))/2))^(2*AQ322/365.25))</f>
        <v/>
      </c>
      <c r="AT322" s="137" t="str">
        <f aca="false">IF(A323="","",IF(AND(mthbeg&lt;=A322,mthend&gt;=A322),1,0))</f>
        <v/>
      </c>
      <c r="AU322" s="137" t="str">
        <f aca="false">IF(A323="","",AO322*AT322)</f>
        <v/>
      </c>
      <c r="AW322" s="195" t="str">
        <f aca="false">IF($A323="","",AL322*$E322)</f>
        <v/>
      </c>
      <c r="AX322" s="195" t="str">
        <f aca="false">IF($A323="","",AM322*$E322)</f>
        <v/>
      </c>
      <c r="AY322" s="195" t="str">
        <f aca="false">IF($A323="","",AN322*$E322)</f>
        <v/>
      </c>
      <c r="BA322" s="195" t="str">
        <f aca="false">IF($A323="","",F322*Summary!$Q$8)</f>
        <v/>
      </c>
    </row>
    <row r="323" customFormat="false" ht="12" hidden="false" customHeight="true" outlineLevel="0" collapsed="false">
      <c r="A323" s="196" t="str">
        <f aca="false">IF(A322&lt;mthend,EDATE(A322,1),"")</f>
        <v/>
      </c>
      <c r="B323" s="197" t="n">
        <f aca="false">IF(A323&lt;mthend,B322,0)</f>
        <v>0</v>
      </c>
      <c r="C323" s="215"/>
      <c r="D323" s="197" t="str">
        <f aca="false">IF(A324&lt;&gt;"",B323+C323,"")</f>
        <v/>
      </c>
      <c r="E323" s="199" t="str">
        <f aca="false">IF(A324="","",IF(AND(AT323=1,$H$3=1),D323*AO323,IF($H$3=2,D323,"N/A")))</f>
        <v/>
      </c>
      <c r="F323" s="199" t="str">
        <f aca="false">IF(A324="","",E323*AS323)</f>
        <v/>
      </c>
      <c r="G323" s="200" t="str">
        <f aca="false">IF($A324="","",VLOOKUP($A323,Table,MATCH(G$4,Curves,0)))</f>
        <v/>
      </c>
      <c r="H323" s="201" t="str">
        <f aca="false">IF(A324="","",G323)</f>
        <v/>
      </c>
      <c r="I323" s="202"/>
      <c r="J323" s="200" t="str">
        <f aca="false">IF($A324="","",VLOOKUP($A323,Table,MATCH(J$4,Curves,0)))</f>
        <v/>
      </c>
      <c r="K323" s="201" t="str">
        <f aca="false">IF(A324="","",J323)</f>
        <v/>
      </c>
      <c r="L323" s="200" t="str">
        <f aca="false">IF($A324="","",VLOOKUP($A323,Table,MATCH(L$4,Curves,0)))</f>
        <v/>
      </c>
      <c r="M323" s="201" t="str">
        <f aca="false">IF(A324="","",L323)</f>
        <v/>
      </c>
      <c r="N323" s="203"/>
      <c r="O323" s="200" t="str">
        <f aca="false">IF(A324="","",L323+J323+G323)</f>
        <v/>
      </c>
      <c r="P323" s="200" t="str">
        <f aca="false">IF(A324="","",M323+K323+H323)</f>
        <v/>
      </c>
      <c r="Q323" s="204"/>
      <c r="R323" s="200" t="str">
        <f aca="false">IF($A324="","",VLOOKUP($A323,Table,MATCH(R$4,Curves,0)))</f>
        <v/>
      </c>
      <c r="S323" s="201" t="str">
        <f aca="false">IF(A324="","",R323)</f>
        <v/>
      </c>
      <c r="T323" s="200" t="str">
        <f aca="false">IF($A324="","",VLOOKUP($A323,Table,MATCH(T$4,Curves,0)))</f>
        <v/>
      </c>
      <c r="U323" s="201" t="str">
        <f aca="false">IF(A324="","",T323)</f>
        <v/>
      </c>
      <c r="V323" s="183" t="str">
        <f aca="false">IF($A324="","",IF(AND(MONTH(A323)&gt;3,MONTH(A323)&lt;11),(T323+R323+G323)*Summary!$T$8/(1-Summary!$T$8),(T323+R323+G323)*Summary!$U$8/(1-Summary!$U$8)))</f>
        <v/>
      </c>
      <c r="W323" s="200" t="str">
        <f aca="false">IF($A324="","",(T323+R323+G323+V323))</f>
        <v/>
      </c>
      <c r="X323" s="200" t="str">
        <f aca="false">IF($A324="","",(U323+S323+H323+V323))</f>
        <v/>
      </c>
      <c r="Y323" s="202"/>
      <c r="Z323" s="185" t="str">
        <f aca="false">IF($A324="","",VLOOKUP($A323,Table,MATCH(Z$4,Curves,0)))</f>
        <v/>
      </c>
      <c r="AA323" s="185" t="str">
        <f aca="false">IF($A324="","",VLOOKUP($A323,Table,MATCH(AA$4,Curves,0)))</f>
        <v/>
      </c>
      <c r="AB323" s="185" t="e">
        <f aca="false">SQRT((AA323^2*(A323-$D$3)+Z323^2*(DAY(EOMONTH(A323,0))/2))/AK323)</f>
        <v>#VALUE!</v>
      </c>
      <c r="AC323" s="185" t="str">
        <f aca="false">IF($A324="","",VLOOKUP($A323,Table,MATCH(AC$4,Curves,0)))</f>
        <v/>
      </c>
      <c r="AD323" s="185" t="str">
        <f aca="false">IF($A324="","",VLOOKUP($A323,Table,MATCH(AD$4,Curves,0)))</f>
        <v/>
      </c>
      <c r="AE323" s="185" t="e">
        <f aca="false">SQRT((AD323^2*(A323-$D$3)+AC323^2*(DAY(EOMONTH(A323,0))/2))/AK323)</f>
        <v>#VALUE!</v>
      </c>
      <c r="AF323" s="224" t="e">
        <f aca="false">((Summary!$N$8*(AA323*AD323)*(A323-$D$3))+(Summary!$M$8*Z323*AC323*(AJ323-EOMONTH(EDATE(A323,-1),0))))/(AK323*AB323*AE323)</f>
        <v>#VALUE!</v>
      </c>
      <c r="AG323" s="207" t="str">
        <f aca="false">IF($A324="","",Summary!$Q$8)</f>
        <v/>
      </c>
      <c r="AH323" s="207" t="str">
        <f aca="false">IF($A324="","",IF(Summary!$R$8="Y",(VLOOKUP($A323,Summary!$AD$6:$AF$9,3)+'Escalating commodity'!D336),'Escalating commodity'!D336))</f>
        <v/>
      </c>
      <c r="AI323" s="207" t="str">
        <f aca="false">IF($A324="","",AH323)</f>
        <v/>
      </c>
      <c r="AJ323" s="208" t="e">
        <f aca="false">A323+DAY(EOMONTH(A323,0))/2-1</f>
        <v>#VALUE!</v>
      </c>
      <c r="AK323" s="209" t="str">
        <f aca="false">IF($A324="","",$A323-$E$1)</f>
        <v/>
      </c>
      <c r="AL323" s="182" t="str">
        <f aca="false">IF($A324="","",SPRDOPT(P323,X323,AI323,0,AB323,AE323,AF323,AK323,$AJ$2,0))</f>
        <v/>
      </c>
      <c r="AM323" s="211" t="str">
        <f aca="false">IF($A324="","",MAX(0,O323-W323-AI323))</f>
        <v/>
      </c>
      <c r="AN323" s="211" t="str">
        <f aca="false">IF($A324="","",AL323-AM323)</f>
        <v/>
      </c>
      <c r="AO323" s="137" t="str">
        <f aca="false">IF(A324="","",A324-A323)</f>
        <v/>
      </c>
      <c r="AP323" s="212" t="str">
        <f aca="false">IF(A324="","",CHOOSE(F$3,A324+24,A323))</f>
        <v/>
      </c>
      <c r="AQ323" s="209" t="str">
        <f aca="false">IF(A324="","",AP323-$E$1)</f>
        <v/>
      </c>
      <c r="AR323" s="185" t="n">
        <f aca="false">'ANR OK vs ML7'!AR323</f>
        <v>0.1</v>
      </c>
      <c r="AS323" s="213" t="str">
        <f aca="false">IF(A324="","",1/(1+CHOOSE(F$3,(AR324+($I$3/10000))/2,(AR323+($I$3/10000))/2))^(2*AQ323/365.25))</f>
        <v/>
      </c>
      <c r="AT323" s="137" t="str">
        <f aca="false">IF(A324="","",IF(AND(mthbeg&lt;=A323,mthend&gt;=A323),1,0))</f>
        <v/>
      </c>
      <c r="AU323" s="137" t="str">
        <f aca="false">IF(A324="","",AO323*AT323)</f>
        <v/>
      </c>
      <c r="AW323" s="195" t="str">
        <f aca="false">IF($A324="","",AL323*$E323)</f>
        <v/>
      </c>
      <c r="AX323" s="195" t="str">
        <f aca="false">IF($A324="","",AM323*$E323)</f>
        <v/>
      </c>
      <c r="AY323" s="195" t="str">
        <f aca="false">IF($A324="","",AN323*$E323)</f>
        <v/>
      </c>
      <c r="BA323" s="195" t="str">
        <f aca="false">IF($A324="","",F323*Summary!$Q$8)</f>
        <v/>
      </c>
    </row>
    <row r="324" customFormat="false" ht="12" hidden="false" customHeight="true" outlineLevel="0" collapsed="false">
      <c r="A324" s="196" t="str">
        <f aca="false">IF(A323&lt;mthend,EDATE(A323,1),"")</f>
        <v/>
      </c>
      <c r="B324" s="197" t="n">
        <f aca="false">IF(A324&lt;mthend,B323,0)</f>
        <v>0</v>
      </c>
      <c r="C324" s="215"/>
      <c r="D324" s="197" t="str">
        <f aca="false">IF(A325&lt;&gt;"",B324+C324,"")</f>
        <v/>
      </c>
      <c r="E324" s="199" t="str">
        <f aca="false">IF(A325="","",IF(AND(AT324=1,$H$3=1),D324*AO324,IF($H$3=2,D324,"N/A")))</f>
        <v/>
      </c>
      <c r="F324" s="199" t="str">
        <f aca="false">IF(A325="","",E324*AS324)</f>
        <v/>
      </c>
      <c r="G324" s="200" t="str">
        <f aca="false">IF($A325="","",VLOOKUP($A324,Table,MATCH(G$4,Curves,0)))</f>
        <v/>
      </c>
      <c r="H324" s="201" t="str">
        <f aca="false">IF(A325="","",G324)</f>
        <v/>
      </c>
      <c r="I324" s="202"/>
      <c r="J324" s="200" t="str">
        <f aca="false">IF($A325="","",VLOOKUP($A324,Table,MATCH(J$4,Curves,0)))</f>
        <v/>
      </c>
      <c r="K324" s="201" t="str">
        <f aca="false">IF(A325="","",J324)</f>
        <v/>
      </c>
      <c r="L324" s="200" t="str">
        <f aca="false">IF($A325="","",VLOOKUP($A324,Table,MATCH(L$4,Curves,0)))</f>
        <v/>
      </c>
      <c r="M324" s="201" t="str">
        <f aca="false">IF(A325="","",L324)</f>
        <v/>
      </c>
      <c r="N324" s="203"/>
      <c r="O324" s="200" t="str">
        <f aca="false">IF(A325="","",L324+J324+G324)</f>
        <v/>
      </c>
      <c r="P324" s="200" t="str">
        <f aca="false">IF(A325="","",M324+K324+H324)</f>
        <v/>
      </c>
      <c r="Q324" s="204"/>
      <c r="R324" s="200" t="str">
        <f aca="false">IF($A325="","",VLOOKUP($A324,Table,MATCH(R$4,Curves,0)))</f>
        <v/>
      </c>
      <c r="S324" s="201" t="str">
        <f aca="false">IF(A325="","",R324)</f>
        <v/>
      </c>
      <c r="T324" s="200" t="str">
        <f aca="false">IF($A325="","",VLOOKUP($A324,Table,MATCH(T$4,Curves,0)))</f>
        <v/>
      </c>
      <c r="U324" s="201" t="str">
        <f aca="false">IF(A325="","",T324)</f>
        <v/>
      </c>
      <c r="V324" s="183" t="str">
        <f aca="false">IF($A325="","",IF(AND(MONTH(A324)&gt;3,MONTH(A324)&lt;11),(T324+R324+G324)*Summary!$T$8/(1-Summary!$T$8),(T324+R324+G324)*Summary!$U$8/(1-Summary!$U$8)))</f>
        <v/>
      </c>
      <c r="W324" s="200" t="str">
        <f aca="false">IF($A325="","",(T324+R324+G324+V324))</f>
        <v/>
      </c>
      <c r="X324" s="200" t="str">
        <f aca="false">IF($A325="","",(U324+S324+H324+V324))</f>
        <v/>
      </c>
      <c r="Y324" s="202"/>
      <c r="Z324" s="185" t="str">
        <f aca="false">IF($A325="","",VLOOKUP($A324,Table,MATCH(Z$4,Curves,0)))</f>
        <v/>
      </c>
      <c r="AA324" s="185" t="str">
        <f aca="false">IF($A325="","",VLOOKUP($A324,Table,MATCH(AA$4,Curves,0)))</f>
        <v/>
      </c>
      <c r="AB324" s="185" t="e">
        <f aca="false">SQRT((AA324^2*(A324-$D$3)+Z324^2*(DAY(EOMONTH(A324,0))/2))/AK324)</f>
        <v>#VALUE!</v>
      </c>
      <c r="AC324" s="185" t="str">
        <f aca="false">IF($A325="","",VLOOKUP($A324,Table,MATCH(AC$4,Curves,0)))</f>
        <v/>
      </c>
      <c r="AD324" s="185" t="str">
        <f aca="false">IF($A325="","",VLOOKUP($A324,Table,MATCH(AD$4,Curves,0)))</f>
        <v/>
      </c>
      <c r="AE324" s="185" t="e">
        <f aca="false">SQRT((AD324^2*(A324-$D$3)+AC324^2*(DAY(EOMONTH(A324,0))/2))/AK324)</f>
        <v>#VALUE!</v>
      </c>
      <c r="AF324" s="224" t="e">
        <f aca="false">((Summary!$N$8*(AA324*AD324)*(A324-$D$3))+(Summary!$M$8*Z324*AC324*(AJ324-EOMONTH(EDATE(A324,-1),0))))/(AK324*AB324*AE324)</f>
        <v>#VALUE!</v>
      </c>
      <c r="AG324" s="207" t="str">
        <f aca="false">IF($A325="","",Summary!$Q$8)</f>
        <v/>
      </c>
      <c r="AH324" s="207" t="str">
        <f aca="false">IF($A325="","",IF(Summary!$R$8="Y",(VLOOKUP($A324,Summary!$AD$6:$AF$9,3)+'Escalating commodity'!D337),'Escalating commodity'!D337))</f>
        <v/>
      </c>
      <c r="AI324" s="207" t="str">
        <f aca="false">IF($A325="","",AH324)</f>
        <v/>
      </c>
      <c r="AJ324" s="208" t="e">
        <f aca="false">A324+DAY(EOMONTH(A324,0))/2-1</f>
        <v>#VALUE!</v>
      </c>
      <c r="AK324" s="209" t="str">
        <f aca="false">IF($A325="","",$A324-$E$1)</f>
        <v/>
      </c>
      <c r="AL324" s="182" t="str">
        <f aca="false">IF($A325="","",SPRDOPT(P324,X324,AI324,0,AB324,AE324,AF324,AK324,$AJ$2,0))</f>
        <v/>
      </c>
      <c r="AM324" s="211" t="str">
        <f aca="false">IF($A325="","",MAX(0,O324-W324-AI324))</f>
        <v/>
      </c>
      <c r="AN324" s="211" t="str">
        <f aca="false">IF($A325="","",AL324-AM324)</f>
        <v/>
      </c>
      <c r="AO324" s="137" t="str">
        <f aca="false">IF(A325="","",A325-A324)</f>
        <v/>
      </c>
      <c r="AP324" s="212" t="str">
        <f aca="false">IF(A325="","",CHOOSE(F$3,A325+24,A324))</f>
        <v/>
      </c>
      <c r="AQ324" s="209" t="str">
        <f aca="false">IF(A325="","",AP324-$E$1)</f>
        <v/>
      </c>
      <c r="AR324" s="185" t="n">
        <f aca="false">'ANR OK vs ML7'!AR324</f>
        <v>0.1</v>
      </c>
      <c r="AS324" s="213" t="str">
        <f aca="false">IF(A325="","",1/(1+CHOOSE(F$3,(AR325+($I$3/10000))/2,(AR324+($I$3/10000))/2))^(2*AQ324/365.25))</f>
        <v/>
      </c>
      <c r="AT324" s="137" t="str">
        <f aca="false">IF(A325="","",IF(AND(mthbeg&lt;=A324,mthend&gt;=A324),1,0))</f>
        <v/>
      </c>
      <c r="AU324" s="137" t="str">
        <f aca="false">IF(A325="","",AO324*AT324)</f>
        <v/>
      </c>
      <c r="AW324" s="195" t="str">
        <f aca="false">IF($A325="","",AL324*$E324)</f>
        <v/>
      </c>
      <c r="AX324" s="195" t="str">
        <f aca="false">IF($A325="","",AM324*$E324)</f>
        <v/>
      </c>
      <c r="AY324" s="195" t="str">
        <f aca="false">IF($A325="","",AN324*$E324)</f>
        <v/>
      </c>
      <c r="BA324" s="195" t="str">
        <f aca="false">IF($A325="","",F324*Summary!$Q$8)</f>
        <v/>
      </c>
    </row>
    <row r="325" customFormat="false" ht="12" hidden="false" customHeight="true" outlineLevel="0" collapsed="false">
      <c r="A325" s="196" t="str">
        <f aca="false">IF(A324&lt;mthend,EDATE(A324,1),"")</f>
        <v/>
      </c>
      <c r="B325" s="197" t="n">
        <f aca="false">IF(A325&lt;mthend,B324,0)</f>
        <v>0</v>
      </c>
      <c r="C325" s="215"/>
      <c r="D325" s="197" t="str">
        <f aca="false">IF(A326&lt;&gt;"",B325+C325,"")</f>
        <v/>
      </c>
      <c r="E325" s="199" t="str">
        <f aca="false">IF(A326="","",IF(AND(AT325=1,$H$3=1),D325*AO325,IF($H$3=2,D325,"N/A")))</f>
        <v/>
      </c>
      <c r="F325" s="199" t="str">
        <f aca="false">IF(A326="","",E325*AS325)</f>
        <v/>
      </c>
      <c r="G325" s="200" t="str">
        <f aca="false">IF($A326="","",VLOOKUP($A325,Table,MATCH(G$4,Curves,0)))</f>
        <v/>
      </c>
      <c r="H325" s="201" t="str">
        <f aca="false">IF(A326="","",G325)</f>
        <v/>
      </c>
      <c r="I325" s="202"/>
      <c r="J325" s="200" t="str">
        <f aca="false">IF($A326="","",VLOOKUP($A325,Table,MATCH(J$4,Curves,0)))</f>
        <v/>
      </c>
      <c r="K325" s="201" t="str">
        <f aca="false">IF(A326="","",J325)</f>
        <v/>
      </c>
      <c r="L325" s="200" t="str">
        <f aca="false">IF($A326="","",VLOOKUP($A325,Table,MATCH(L$4,Curves,0)))</f>
        <v/>
      </c>
      <c r="M325" s="201" t="str">
        <f aca="false">IF(A326="","",L325)</f>
        <v/>
      </c>
      <c r="N325" s="203"/>
      <c r="O325" s="200" t="str">
        <f aca="false">IF(A326="","",L325+J325+G325)</f>
        <v/>
      </c>
      <c r="P325" s="200" t="str">
        <f aca="false">IF(A326="","",M325+K325+H325)</f>
        <v/>
      </c>
      <c r="Q325" s="204"/>
      <c r="R325" s="200" t="str">
        <f aca="false">IF($A326="","",VLOOKUP($A325,Table,MATCH(R$4,Curves,0)))</f>
        <v/>
      </c>
      <c r="S325" s="201" t="str">
        <f aca="false">IF(A326="","",R325)</f>
        <v/>
      </c>
      <c r="T325" s="200" t="str">
        <f aca="false">IF($A326="","",VLOOKUP($A325,Table,MATCH(T$4,Curves,0)))</f>
        <v/>
      </c>
      <c r="U325" s="201" t="str">
        <f aca="false">IF(A326="","",T325)</f>
        <v/>
      </c>
      <c r="V325" s="183" t="str">
        <f aca="false">IF($A326="","",IF(AND(MONTH(A325)&gt;3,MONTH(A325)&lt;11),(T325+R325+G325)*Summary!$T$8/(1-Summary!$T$8),(T325+R325+G325)*Summary!$U$8/(1-Summary!$U$8)))</f>
        <v/>
      </c>
      <c r="W325" s="200" t="str">
        <f aca="false">IF($A326="","",(T325+R325+G325+V325))</f>
        <v/>
      </c>
      <c r="X325" s="200" t="str">
        <f aca="false">IF($A326="","",(U325+S325+H325+V325))</f>
        <v/>
      </c>
      <c r="Y325" s="202"/>
      <c r="Z325" s="185" t="str">
        <f aca="false">IF($A326="","",VLOOKUP($A325,Table,MATCH(Z$4,Curves,0)))</f>
        <v/>
      </c>
      <c r="AA325" s="185" t="str">
        <f aca="false">IF($A326="","",VLOOKUP($A325,Table,MATCH(AA$4,Curves,0)))</f>
        <v/>
      </c>
      <c r="AB325" s="185" t="e">
        <f aca="false">SQRT((AA325^2*(A325-$D$3)+Z325^2*(DAY(EOMONTH(A325,0))/2))/AK325)</f>
        <v>#VALUE!</v>
      </c>
      <c r="AC325" s="185" t="str">
        <f aca="false">IF($A326="","",VLOOKUP($A325,Table,MATCH(AC$4,Curves,0)))</f>
        <v/>
      </c>
      <c r="AD325" s="185" t="str">
        <f aca="false">IF($A326="","",VLOOKUP($A325,Table,MATCH(AD$4,Curves,0)))</f>
        <v/>
      </c>
      <c r="AE325" s="185" t="e">
        <f aca="false">SQRT((AD325^2*(A325-$D$3)+AC325^2*(DAY(EOMONTH(A325,0))/2))/AK325)</f>
        <v>#VALUE!</v>
      </c>
      <c r="AF325" s="224" t="e">
        <f aca="false">((Summary!$N$8*(AA325*AD325)*(A325-$D$3))+(Summary!$M$8*Z325*AC325*(AJ325-EOMONTH(EDATE(A325,-1),0))))/(AK325*AB325*AE325)</f>
        <v>#VALUE!</v>
      </c>
      <c r="AG325" s="207" t="str">
        <f aca="false">IF($A326="","",Summary!$Q$8)</f>
        <v/>
      </c>
      <c r="AH325" s="207" t="str">
        <f aca="false">IF($A326="","",IF(Summary!$R$8="Y",(VLOOKUP($A325,Summary!$AD$6:$AF$9,3)+'Escalating commodity'!D338),'Escalating commodity'!D338))</f>
        <v/>
      </c>
      <c r="AI325" s="207" t="str">
        <f aca="false">IF($A326="","",AH325)</f>
        <v/>
      </c>
      <c r="AJ325" s="208" t="e">
        <f aca="false">A325+DAY(EOMONTH(A325,0))/2-1</f>
        <v>#VALUE!</v>
      </c>
      <c r="AK325" s="209" t="str">
        <f aca="false">IF($A326="","",$A325-$E$1)</f>
        <v/>
      </c>
      <c r="AL325" s="182" t="str">
        <f aca="false">IF($A326="","",SPRDOPT(P325,X325,AI325,0,AB325,AE325,AF325,AK325,$AJ$2,0))</f>
        <v/>
      </c>
      <c r="AM325" s="211" t="str">
        <f aca="false">IF($A326="","",MAX(0,O325-W325-AI325))</f>
        <v/>
      </c>
      <c r="AN325" s="211" t="str">
        <f aca="false">IF($A326="","",AL325-AM325)</f>
        <v/>
      </c>
      <c r="AO325" s="137" t="str">
        <f aca="false">IF(A326="","",A326-A325)</f>
        <v/>
      </c>
      <c r="AP325" s="212" t="str">
        <f aca="false">IF(A326="","",CHOOSE(F$3,A326+24,A325))</f>
        <v/>
      </c>
      <c r="AQ325" s="209" t="str">
        <f aca="false">IF(A326="","",AP325-$E$1)</f>
        <v/>
      </c>
      <c r="AR325" s="185" t="n">
        <f aca="false">'ANR OK vs ML7'!AR325</f>
        <v>0.1</v>
      </c>
      <c r="AS325" s="213" t="str">
        <f aca="false">IF(A326="","",1/(1+CHOOSE(F$3,(AR326+($I$3/10000))/2,(AR325+($I$3/10000))/2))^(2*AQ325/365.25))</f>
        <v/>
      </c>
      <c r="AT325" s="137" t="str">
        <f aca="false">IF(A326="","",IF(AND(mthbeg&lt;=A325,mthend&gt;=A325),1,0))</f>
        <v/>
      </c>
      <c r="AU325" s="137" t="str">
        <f aca="false">IF(A326="","",AO325*AT325)</f>
        <v/>
      </c>
      <c r="AW325" s="195" t="str">
        <f aca="false">IF($A326="","",AL325*$E325)</f>
        <v/>
      </c>
      <c r="AX325" s="195" t="str">
        <f aca="false">IF($A326="","",AM325*$E325)</f>
        <v/>
      </c>
      <c r="AY325" s="195" t="str">
        <f aca="false">IF($A326="","",AN325*$E325)</f>
        <v/>
      </c>
      <c r="BA325" s="195" t="str">
        <f aca="false">IF($A326="","",F325*Summary!$Q$8)</f>
        <v/>
      </c>
    </row>
    <row r="326" customFormat="false" ht="12" hidden="false" customHeight="true" outlineLevel="0" collapsed="false">
      <c r="A326" s="196" t="str">
        <f aca="false">IF(A325&lt;mthend,EDATE(A325,1),"")</f>
        <v/>
      </c>
      <c r="B326" s="197" t="n">
        <f aca="false">IF(A326&lt;mthend,B325,0)</f>
        <v>0</v>
      </c>
      <c r="C326" s="215"/>
      <c r="D326" s="197" t="str">
        <f aca="false">IF(A327&lt;&gt;"",B326+C326,"")</f>
        <v/>
      </c>
      <c r="E326" s="199" t="str">
        <f aca="false">IF(A327="","",IF(AND(AT326=1,$H$3=1),D326*AO326,IF($H$3=2,D326,"N/A")))</f>
        <v/>
      </c>
      <c r="F326" s="199" t="str">
        <f aca="false">IF(A327="","",E326*AS326)</f>
        <v/>
      </c>
      <c r="G326" s="200" t="str">
        <f aca="false">IF($A327="","",VLOOKUP($A326,Table,MATCH(G$4,Curves,0)))</f>
        <v/>
      </c>
      <c r="H326" s="201" t="str">
        <f aca="false">IF(A327="","",G326)</f>
        <v/>
      </c>
      <c r="I326" s="202"/>
      <c r="J326" s="200" t="str">
        <f aca="false">IF($A327="","",VLOOKUP($A326,Table,MATCH(J$4,Curves,0)))</f>
        <v/>
      </c>
      <c r="K326" s="201" t="str">
        <f aca="false">IF(A327="","",J326)</f>
        <v/>
      </c>
      <c r="L326" s="200" t="str">
        <f aca="false">IF($A327="","",VLOOKUP($A326,Table,MATCH(L$4,Curves,0)))</f>
        <v/>
      </c>
      <c r="M326" s="201" t="str">
        <f aca="false">IF(A327="","",L326)</f>
        <v/>
      </c>
      <c r="N326" s="203"/>
      <c r="O326" s="200" t="str">
        <f aca="false">IF(A327="","",L326+J326+G326)</f>
        <v/>
      </c>
      <c r="P326" s="200" t="str">
        <f aca="false">IF(A327="","",M326+K326+H326)</f>
        <v/>
      </c>
      <c r="Q326" s="204"/>
      <c r="R326" s="200" t="str">
        <f aca="false">IF($A327="","",VLOOKUP($A326,Table,MATCH(R$4,Curves,0)))</f>
        <v/>
      </c>
      <c r="S326" s="201" t="str">
        <f aca="false">IF(A327="","",R326)</f>
        <v/>
      </c>
      <c r="T326" s="200" t="str">
        <f aca="false">IF($A327="","",VLOOKUP($A326,Table,MATCH(T$4,Curves,0)))</f>
        <v/>
      </c>
      <c r="U326" s="201" t="str">
        <f aca="false">IF(A327="","",T326)</f>
        <v/>
      </c>
      <c r="V326" s="183" t="str">
        <f aca="false">IF($A327="","",IF(AND(MONTH(A326)&gt;3,MONTH(A326)&lt;11),(T326+R326+G326)*Summary!$T$8/(1-Summary!$T$8),(T326+R326+G326)*Summary!$U$8/(1-Summary!$U$8)))</f>
        <v/>
      </c>
      <c r="W326" s="200" t="str">
        <f aca="false">IF($A327="","",(T326+R326+G326+V326))</f>
        <v/>
      </c>
      <c r="X326" s="200" t="str">
        <f aca="false">IF($A327="","",(U326+S326+H326+V326))</f>
        <v/>
      </c>
      <c r="Y326" s="202"/>
      <c r="Z326" s="185" t="str">
        <f aca="false">IF($A327="","",VLOOKUP($A326,Table,MATCH(Z$4,Curves,0)))</f>
        <v/>
      </c>
      <c r="AA326" s="185" t="str">
        <f aca="false">IF($A327="","",VLOOKUP($A326,Table,MATCH(AA$4,Curves,0)))</f>
        <v/>
      </c>
      <c r="AB326" s="185" t="e">
        <f aca="false">SQRT((AA326^2*(A326-$D$3)+Z326^2*(DAY(EOMONTH(A326,0))/2))/AK326)</f>
        <v>#VALUE!</v>
      </c>
      <c r="AC326" s="185" t="str">
        <f aca="false">IF($A327="","",VLOOKUP($A326,Table,MATCH(AC$4,Curves,0)))</f>
        <v/>
      </c>
      <c r="AD326" s="185" t="str">
        <f aca="false">IF($A327="","",VLOOKUP($A326,Table,MATCH(AD$4,Curves,0)))</f>
        <v/>
      </c>
      <c r="AE326" s="185" t="e">
        <f aca="false">SQRT((AD326^2*(A326-$D$3)+AC326^2*(DAY(EOMONTH(A326,0))/2))/AK326)</f>
        <v>#VALUE!</v>
      </c>
      <c r="AF326" s="224" t="e">
        <f aca="false">((Summary!$N$8*(AA326*AD326)*(A326-$D$3))+(Summary!$M$8*Z326*AC326*(AJ326-EOMONTH(EDATE(A326,-1),0))))/(AK326*AB326*AE326)</f>
        <v>#VALUE!</v>
      </c>
      <c r="AG326" s="207" t="str">
        <f aca="false">IF($A327="","",Summary!$Q$8)</f>
        <v/>
      </c>
      <c r="AH326" s="207" t="str">
        <f aca="false">IF($A327="","",IF(Summary!$R$8="Y",(VLOOKUP($A326,Summary!$AD$6:$AF$9,3)+'Escalating commodity'!D339),'Escalating commodity'!D339))</f>
        <v/>
      </c>
      <c r="AI326" s="207" t="str">
        <f aca="false">IF($A327="","",AH326)</f>
        <v/>
      </c>
      <c r="AJ326" s="208" t="e">
        <f aca="false">A326+DAY(EOMONTH(A326,0))/2-1</f>
        <v>#VALUE!</v>
      </c>
      <c r="AK326" s="209" t="str">
        <f aca="false">IF($A327="","",$A326-$E$1)</f>
        <v/>
      </c>
      <c r="AL326" s="182" t="str">
        <f aca="false">IF($A327="","",SPRDOPT(P326,X326,AI326,0,AB326,AE326,AF326,AK326,$AJ$2,0))</f>
        <v/>
      </c>
      <c r="AM326" s="211" t="str">
        <f aca="false">IF($A327="","",MAX(0,O326-W326-AI326))</f>
        <v/>
      </c>
      <c r="AN326" s="211" t="str">
        <f aca="false">IF($A327="","",AL326-AM326)</f>
        <v/>
      </c>
      <c r="AO326" s="137" t="str">
        <f aca="false">IF(A327="","",A327-A326)</f>
        <v/>
      </c>
      <c r="AP326" s="212" t="str">
        <f aca="false">IF(A327="","",CHOOSE(F$3,A327+24,A326))</f>
        <v/>
      </c>
      <c r="AQ326" s="209" t="str">
        <f aca="false">IF(A327="","",AP326-$E$1)</f>
        <v/>
      </c>
      <c r="AR326" s="185" t="n">
        <f aca="false">'ANR OK vs ML7'!AR326</f>
        <v>0.1</v>
      </c>
      <c r="AS326" s="213" t="str">
        <f aca="false">IF(A327="","",1/(1+CHOOSE(F$3,(AR327+($I$3/10000))/2,(AR326+($I$3/10000))/2))^(2*AQ326/365.25))</f>
        <v/>
      </c>
      <c r="AT326" s="137" t="str">
        <f aca="false">IF(A327="","",IF(AND(mthbeg&lt;=A326,mthend&gt;=A326),1,0))</f>
        <v/>
      </c>
      <c r="AU326" s="137" t="str">
        <f aca="false">IF(A327="","",AO326*AT326)</f>
        <v/>
      </c>
      <c r="AW326" s="195" t="str">
        <f aca="false">IF($A327="","",AL326*$E326)</f>
        <v/>
      </c>
      <c r="AX326" s="195" t="str">
        <f aca="false">IF($A327="","",AM326*$E326)</f>
        <v/>
      </c>
      <c r="AY326" s="195" t="str">
        <f aca="false">IF($A327="","",AN326*$E326)</f>
        <v/>
      </c>
      <c r="BA326" s="195" t="str">
        <f aca="false">IF($A327="","",F326*Summary!$Q$8)</f>
        <v/>
      </c>
    </row>
    <row r="327" customFormat="false" ht="12" hidden="false" customHeight="true" outlineLevel="0" collapsed="false">
      <c r="A327" s="196" t="str">
        <f aca="false">IF(A326&lt;mthend,EDATE(A326,1),"")</f>
        <v/>
      </c>
      <c r="B327" s="197" t="n">
        <f aca="false">IF(A327&lt;mthend,B326,0)</f>
        <v>0</v>
      </c>
      <c r="C327" s="215"/>
      <c r="D327" s="197" t="str">
        <f aca="false">IF(A328&lt;&gt;"",B327+C327,"")</f>
        <v/>
      </c>
      <c r="E327" s="199" t="str">
        <f aca="false">IF(A328="","",IF(AND(AT327=1,$H$3=1),D327*AO327,IF($H$3=2,D327,"N/A")))</f>
        <v/>
      </c>
      <c r="F327" s="199" t="str">
        <f aca="false">IF(A328="","",E327*AS327)</f>
        <v/>
      </c>
      <c r="G327" s="200" t="str">
        <f aca="false">IF($A328="","",VLOOKUP($A327,Table,MATCH(G$4,Curves,0)))</f>
        <v/>
      </c>
      <c r="H327" s="201" t="str">
        <f aca="false">IF(A328="","",G327)</f>
        <v/>
      </c>
      <c r="I327" s="202"/>
      <c r="J327" s="200" t="str">
        <f aca="false">IF($A328="","",VLOOKUP($A327,Table,MATCH(J$4,Curves,0)))</f>
        <v/>
      </c>
      <c r="K327" s="201" t="str">
        <f aca="false">IF(A328="","",J327)</f>
        <v/>
      </c>
      <c r="L327" s="200" t="str">
        <f aca="false">IF($A328="","",VLOOKUP($A327,Table,MATCH(L$4,Curves,0)))</f>
        <v/>
      </c>
      <c r="M327" s="201" t="str">
        <f aca="false">IF(A328="","",L327)</f>
        <v/>
      </c>
      <c r="N327" s="203"/>
      <c r="O327" s="200" t="str">
        <f aca="false">IF(A328="","",L327+J327+G327)</f>
        <v/>
      </c>
      <c r="P327" s="200" t="str">
        <f aca="false">IF(A328="","",M327+K327+H327)</f>
        <v/>
      </c>
      <c r="Q327" s="204"/>
      <c r="R327" s="200" t="str">
        <f aca="false">IF($A328="","",VLOOKUP($A327,Table,MATCH(R$4,Curves,0)))</f>
        <v/>
      </c>
      <c r="S327" s="201" t="str">
        <f aca="false">IF(A328="","",R327)</f>
        <v/>
      </c>
      <c r="T327" s="200" t="str">
        <f aca="false">IF($A328="","",VLOOKUP($A327,Table,MATCH(T$4,Curves,0)))</f>
        <v/>
      </c>
      <c r="U327" s="201" t="str">
        <f aca="false">IF(A328="","",T327)</f>
        <v/>
      </c>
      <c r="V327" s="183" t="str">
        <f aca="false">IF($A328="","",IF(AND(MONTH(A327)&gt;3,MONTH(A327)&lt;11),(T327+R327+G327)*Summary!$T$8/(1-Summary!$T$8),(T327+R327+G327)*Summary!$U$8/(1-Summary!$U$8)))</f>
        <v/>
      </c>
      <c r="W327" s="200" t="str">
        <f aca="false">IF($A328="","",(T327+R327+G327+V327))</f>
        <v/>
      </c>
      <c r="X327" s="200" t="str">
        <f aca="false">IF($A328="","",(U327+S327+H327+V327))</f>
        <v/>
      </c>
      <c r="Y327" s="202"/>
      <c r="Z327" s="185" t="str">
        <f aca="false">IF($A328="","",VLOOKUP($A327,Table,MATCH(Z$4,Curves,0)))</f>
        <v/>
      </c>
      <c r="AA327" s="185" t="str">
        <f aca="false">IF($A328="","",VLOOKUP($A327,Table,MATCH(AA$4,Curves,0)))</f>
        <v/>
      </c>
      <c r="AB327" s="185" t="e">
        <f aca="false">SQRT((AA327^2*(A327-$D$3)+Z327^2*(DAY(EOMONTH(A327,0))/2))/AK327)</f>
        <v>#VALUE!</v>
      </c>
      <c r="AC327" s="185" t="str">
        <f aca="false">IF($A328="","",VLOOKUP($A327,Table,MATCH(AC$4,Curves,0)))</f>
        <v/>
      </c>
      <c r="AD327" s="185" t="str">
        <f aca="false">IF($A328="","",VLOOKUP($A327,Table,MATCH(AD$4,Curves,0)))</f>
        <v/>
      </c>
      <c r="AE327" s="185" t="e">
        <f aca="false">SQRT((AD327^2*(A327-$D$3)+AC327^2*(DAY(EOMONTH(A327,0))/2))/AK327)</f>
        <v>#VALUE!</v>
      </c>
      <c r="AF327" s="224" t="e">
        <f aca="false">((Summary!$N$8*(AA327*AD327)*(A327-$D$3))+(Summary!$M$8*Z327*AC327*(AJ327-EOMONTH(EDATE(A327,-1),0))))/(AK327*AB327*AE327)</f>
        <v>#VALUE!</v>
      </c>
      <c r="AG327" s="207" t="str">
        <f aca="false">IF($A328="","",Summary!$Q$8)</f>
        <v/>
      </c>
      <c r="AH327" s="207" t="str">
        <f aca="false">IF($A328="","",IF(Summary!$R$8="Y",(VLOOKUP($A327,Summary!$AD$6:$AF$9,3)+'Escalating commodity'!D340),'Escalating commodity'!D340))</f>
        <v/>
      </c>
      <c r="AI327" s="207" t="str">
        <f aca="false">IF($A328="","",AH327)</f>
        <v/>
      </c>
      <c r="AJ327" s="208" t="e">
        <f aca="false">A327+DAY(EOMONTH(A327,0))/2-1</f>
        <v>#VALUE!</v>
      </c>
      <c r="AK327" s="209" t="str">
        <f aca="false">IF($A328="","",$A327-$E$1)</f>
        <v/>
      </c>
      <c r="AL327" s="182" t="str">
        <f aca="false">IF($A328="","",SPRDOPT(P327,X327,AI327,0,AB327,AE327,AF327,AK327,$AJ$2,0))</f>
        <v/>
      </c>
      <c r="AM327" s="211" t="str">
        <f aca="false">IF($A328="","",MAX(0,O327-W327-AI327))</f>
        <v/>
      </c>
      <c r="AN327" s="211" t="str">
        <f aca="false">IF($A328="","",AL327-AM327)</f>
        <v/>
      </c>
      <c r="AO327" s="137" t="str">
        <f aca="false">IF(A328="","",A328-A327)</f>
        <v/>
      </c>
      <c r="AP327" s="212" t="str">
        <f aca="false">IF(A328="","",CHOOSE(F$3,A328+24,A327))</f>
        <v/>
      </c>
      <c r="AQ327" s="209" t="str">
        <f aca="false">IF(A328="","",AP327-$E$1)</f>
        <v/>
      </c>
      <c r="AR327" s="185" t="n">
        <f aca="false">'ANR OK vs ML7'!AR327</f>
        <v>0.1</v>
      </c>
      <c r="AS327" s="213" t="str">
        <f aca="false">IF(A328="","",1/(1+CHOOSE(F$3,(AR328+($I$3/10000))/2,(AR327+($I$3/10000))/2))^(2*AQ327/365.25))</f>
        <v/>
      </c>
      <c r="AT327" s="137" t="str">
        <f aca="false">IF(A328="","",IF(AND(mthbeg&lt;=A327,mthend&gt;=A327),1,0))</f>
        <v/>
      </c>
      <c r="AU327" s="137" t="str">
        <f aca="false">IF(A328="","",AO327*AT327)</f>
        <v/>
      </c>
      <c r="AW327" s="195" t="str">
        <f aca="false">IF($A328="","",AL327*$E327)</f>
        <v/>
      </c>
      <c r="AX327" s="195" t="str">
        <f aca="false">IF($A328="","",AM327*$E327)</f>
        <v/>
      </c>
      <c r="AY327" s="195" t="str">
        <f aca="false">IF($A328="","",AN327*$E327)</f>
        <v/>
      </c>
      <c r="BA327" s="195" t="str">
        <f aca="false">IF($A328="","",F327*Summary!$Q$8)</f>
        <v/>
      </c>
    </row>
    <row r="328" customFormat="false" ht="12" hidden="false" customHeight="true" outlineLevel="0" collapsed="false">
      <c r="A328" s="196" t="str">
        <f aca="false">IF(A327&lt;mthend,EDATE(A327,1),"")</f>
        <v/>
      </c>
      <c r="B328" s="197" t="n">
        <f aca="false">IF(A328&lt;mthend,B327,0)</f>
        <v>0</v>
      </c>
      <c r="C328" s="215"/>
      <c r="D328" s="197" t="str">
        <f aca="false">IF(A329&lt;&gt;"",B328+C328,"")</f>
        <v/>
      </c>
      <c r="E328" s="199" t="str">
        <f aca="false">IF(A329="","",IF(AND(AT328=1,$H$3=1),D328*AO328,IF($H$3=2,D328,"N/A")))</f>
        <v/>
      </c>
      <c r="F328" s="199" t="str">
        <f aca="false">IF(A329="","",E328*AS328)</f>
        <v/>
      </c>
      <c r="G328" s="200" t="str">
        <f aca="false">IF($A329="","",VLOOKUP($A328,Table,MATCH(G$4,Curves,0)))</f>
        <v/>
      </c>
      <c r="H328" s="201" t="str">
        <f aca="false">IF(A329="","",G328)</f>
        <v/>
      </c>
      <c r="I328" s="202"/>
      <c r="J328" s="200" t="str">
        <f aca="false">IF($A329="","",VLOOKUP($A328,Table,MATCH(J$4,Curves,0)))</f>
        <v/>
      </c>
      <c r="K328" s="201" t="str">
        <f aca="false">IF(A329="","",J328)</f>
        <v/>
      </c>
      <c r="L328" s="200" t="str">
        <f aca="false">IF($A329="","",VLOOKUP($A328,Table,MATCH(L$4,Curves,0)))</f>
        <v/>
      </c>
      <c r="M328" s="201" t="str">
        <f aca="false">IF(A329="","",L328)</f>
        <v/>
      </c>
      <c r="N328" s="203"/>
      <c r="O328" s="200" t="str">
        <f aca="false">IF(A329="","",L328+J328+G328)</f>
        <v/>
      </c>
      <c r="P328" s="200" t="str">
        <f aca="false">IF(A329="","",M328+K328+H328)</f>
        <v/>
      </c>
      <c r="Q328" s="204"/>
      <c r="R328" s="200" t="str">
        <f aca="false">IF($A329="","",VLOOKUP($A328,Table,MATCH(R$4,Curves,0)))</f>
        <v/>
      </c>
      <c r="S328" s="201" t="str">
        <f aca="false">IF(A329="","",R328)</f>
        <v/>
      </c>
      <c r="T328" s="200" t="str">
        <f aca="false">IF($A329="","",VLOOKUP($A328,Table,MATCH(T$4,Curves,0)))</f>
        <v/>
      </c>
      <c r="U328" s="201" t="str">
        <f aca="false">IF(A329="","",T328)</f>
        <v/>
      </c>
      <c r="V328" s="183" t="str">
        <f aca="false">IF($A329="","",IF(AND(MONTH(A328)&gt;3,MONTH(A328)&lt;11),(T328+R328+G328)*Summary!$T$8/(1-Summary!$T$8),(T328+R328+G328)*Summary!$U$8/(1-Summary!$U$8)))</f>
        <v/>
      </c>
      <c r="W328" s="200" t="str">
        <f aca="false">IF($A329="","",(T328+R328+G328+V328))</f>
        <v/>
      </c>
      <c r="X328" s="200" t="str">
        <f aca="false">IF($A329="","",(U328+S328+H328+V328))</f>
        <v/>
      </c>
      <c r="Y328" s="202"/>
      <c r="Z328" s="185" t="str">
        <f aca="false">IF($A329="","",VLOOKUP($A328,Table,MATCH(Z$4,Curves,0)))</f>
        <v/>
      </c>
      <c r="AA328" s="185" t="str">
        <f aca="false">IF($A329="","",VLOOKUP($A328,Table,MATCH(AA$4,Curves,0)))</f>
        <v/>
      </c>
      <c r="AB328" s="185" t="e">
        <f aca="false">SQRT((AA328^2*(A328-$D$3)+Z328^2*(DAY(EOMONTH(A328,0))/2))/AK328)</f>
        <v>#VALUE!</v>
      </c>
      <c r="AC328" s="185" t="str">
        <f aca="false">IF($A329="","",VLOOKUP($A328,Table,MATCH(AC$4,Curves,0)))</f>
        <v/>
      </c>
      <c r="AD328" s="185" t="str">
        <f aca="false">IF($A329="","",VLOOKUP($A328,Table,MATCH(AD$4,Curves,0)))</f>
        <v/>
      </c>
      <c r="AE328" s="185" t="e">
        <f aca="false">SQRT((AD328^2*(A328-$D$3)+AC328^2*(DAY(EOMONTH(A328,0))/2))/AK328)</f>
        <v>#VALUE!</v>
      </c>
      <c r="AF328" s="224" t="e">
        <f aca="false">((Summary!$N$8*(AA328*AD328)*(A328-$D$3))+(Summary!$M$8*Z328*AC328*(AJ328-EOMONTH(EDATE(A328,-1),0))))/(AK328*AB328*AE328)</f>
        <v>#VALUE!</v>
      </c>
      <c r="AG328" s="207" t="str">
        <f aca="false">IF($A329="","",Summary!$Q$8)</f>
        <v/>
      </c>
      <c r="AH328" s="207" t="str">
        <f aca="false">IF($A329="","",IF(Summary!$R$8="Y",(VLOOKUP($A328,Summary!$AD$6:$AF$9,3)+'Escalating commodity'!D341),'Escalating commodity'!D341))</f>
        <v/>
      </c>
      <c r="AI328" s="207" t="str">
        <f aca="false">IF($A329="","",AH328)</f>
        <v/>
      </c>
      <c r="AJ328" s="208" t="e">
        <f aca="false">A328+DAY(EOMONTH(A328,0))/2-1</f>
        <v>#VALUE!</v>
      </c>
      <c r="AK328" s="209" t="str">
        <f aca="false">IF($A329="","",$A328-$E$1)</f>
        <v/>
      </c>
      <c r="AL328" s="182" t="str">
        <f aca="false">IF($A329="","",SPRDOPT(P328,X328,AI328,0,AB328,AE328,AF328,AK328,$AJ$2,0))</f>
        <v/>
      </c>
      <c r="AM328" s="211" t="str">
        <f aca="false">IF($A329="","",MAX(0,O328-W328-AI328))</f>
        <v/>
      </c>
      <c r="AN328" s="211" t="str">
        <f aca="false">IF($A329="","",AL328-AM328)</f>
        <v/>
      </c>
      <c r="AO328" s="137" t="str">
        <f aca="false">IF(A329="","",A329-A328)</f>
        <v/>
      </c>
      <c r="AP328" s="212" t="str">
        <f aca="false">IF(A329="","",CHOOSE(F$3,A329+24,A328))</f>
        <v/>
      </c>
      <c r="AQ328" s="209" t="str">
        <f aca="false">IF(A329="","",AP328-$E$1)</f>
        <v/>
      </c>
      <c r="AR328" s="185" t="n">
        <f aca="false">'ANR OK vs ML7'!AR328</f>
        <v>0.1</v>
      </c>
      <c r="AS328" s="213" t="str">
        <f aca="false">IF(A329="","",1/(1+CHOOSE(F$3,(AR329+($I$3/10000))/2,(AR328+($I$3/10000))/2))^(2*AQ328/365.25))</f>
        <v/>
      </c>
      <c r="AT328" s="137" t="str">
        <f aca="false">IF(A329="","",IF(AND(mthbeg&lt;=A328,mthend&gt;=A328),1,0))</f>
        <v/>
      </c>
      <c r="AU328" s="137" t="str">
        <f aca="false">IF(A329="","",AO328*AT328)</f>
        <v/>
      </c>
      <c r="AW328" s="195" t="str">
        <f aca="false">IF($A329="","",AL328*$E328)</f>
        <v/>
      </c>
      <c r="AX328" s="195" t="str">
        <f aca="false">IF($A329="","",AM328*$E328)</f>
        <v/>
      </c>
      <c r="AY328" s="195" t="str">
        <f aca="false">IF($A329="","",AN328*$E328)</f>
        <v/>
      </c>
      <c r="BA328" s="195" t="str">
        <f aca="false">IF($A329="","",F328*Summary!$Q$8)</f>
        <v/>
      </c>
    </row>
    <row r="329" customFormat="false" ht="12" hidden="false" customHeight="true" outlineLevel="0" collapsed="false">
      <c r="A329" s="196" t="str">
        <f aca="false">IF(A328&lt;mthend,EDATE(A328,1),"")</f>
        <v/>
      </c>
      <c r="B329" s="197" t="n">
        <f aca="false">IF(A329&lt;mthend,B328,0)</f>
        <v>0</v>
      </c>
      <c r="C329" s="215"/>
      <c r="D329" s="197" t="str">
        <f aca="false">IF(A330&lt;&gt;"",B329+C329,"")</f>
        <v/>
      </c>
      <c r="E329" s="199" t="str">
        <f aca="false">IF(A330="","",IF(AND(AT329=1,$H$3=1),D329*AO329,IF($H$3=2,D329,"N/A")))</f>
        <v/>
      </c>
      <c r="F329" s="199" t="str">
        <f aca="false">IF(A330="","",E329*AS329)</f>
        <v/>
      </c>
      <c r="G329" s="200" t="str">
        <f aca="false">IF($A330="","",VLOOKUP($A329,Table,MATCH(G$4,Curves,0)))</f>
        <v/>
      </c>
      <c r="H329" s="201" t="str">
        <f aca="false">IF(A330="","",G329)</f>
        <v/>
      </c>
      <c r="I329" s="202"/>
      <c r="J329" s="200" t="str">
        <f aca="false">IF($A330="","",VLOOKUP($A329,Table,MATCH(J$4,Curves,0)))</f>
        <v/>
      </c>
      <c r="K329" s="201" t="str">
        <f aca="false">IF(A330="","",J329)</f>
        <v/>
      </c>
      <c r="L329" s="200" t="str">
        <f aca="false">IF($A330="","",VLOOKUP($A329,Table,MATCH(L$4,Curves,0)))</f>
        <v/>
      </c>
      <c r="M329" s="201" t="str">
        <f aca="false">IF(A330="","",L329)</f>
        <v/>
      </c>
      <c r="N329" s="203"/>
      <c r="O329" s="200" t="str">
        <f aca="false">IF(A330="","",L329+J329+G329)</f>
        <v/>
      </c>
      <c r="P329" s="200" t="str">
        <f aca="false">IF(A330="","",M329+K329+H329)</f>
        <v/>
      </c>
      <c r="Q329" s="204"/>
      <c r="R329" s="200" t="str">
        <f aca="false">IF($A330="","",VLOOKUP($A329,Table,MATCH(R$4,Curves,0)))</f>
        <v/>
      </c>
      <c r="S329" s="201" t="str">
        <f aca="false">IF(A330="","",R329)</f>
        <v/>
      </c>
      <c r="T329" s="200" t="str">
        <f aca="false">IF($A330="","",VLOOKUP($A329,Table,MATCH(T$4,Curves,0)))</f>
        <v/>
      </c>
      <c r="U329" s="201" t="str">
        <f aca="false">IF(A330="","",T329)</f>
        <v/>
      </c>
      <c r="V329" s="183" t="str">
        <f aca="false">IF($A330="","",IF(AND(MONTH(A329)&gt;3,MONTH(A329)&lt;11),(T329+R329+G329)*Summary!$T$8/(1-Summary!$T$8),(T329+R329+G329)*Summary!$U$8/(1-Summary!$U$8)))</f>
        <v/>
      </c>
      <c r="W329" s="200" t="str">
        <f aca="false">IF($A330="","",(T329+R329+G329+V329))</f>
        <v/>
      </c>
      <c r="X329" s="200" t="str">
        <f aca="false">IF($A330="","",(U329+S329+H329+V329))</f>
        <v/>
      </c>
      <c r="Y329" s="202"/>
      <c r="Z329" s="185" t="str">
        <f aca="false">IF($A330="","",VLOOKUP($A329,Table,MATCH(Z$4,Curves,0)))</f>
        <v/>
      </c>
      <c r="AA329" s="185" t="str">
        <f aca="false">IF($A330="","",VLOOKUP($A329,Table,MATCH(AA$4,Curves,0)))</f>
        <v/>
      </c>
      <c r="AB329" s="185" t="e">
        <f aca="false">SQRT((AA329^2*(A329-$D$3)+Z329^2*(DAY(EOMONTH(A329,0))/2))/AK329)</f>
        <v>#VALUE!</v>
      </c>
      <c r="AC329" s="185" t="str">
        <f aca="false">IF($A330="","",VLOOKUP($A329,Table,MATCH(AC$4,Curves,0)))</f>
        <v/>
      </c>
      <c r="AD329" s="185" t="str">
        <f aca="false">IF($A330="","",VLOOKUP($A329,Table,MATCH(AD$4,Curves,0)))</f>
        <v/>
      </c>
      <c r="AE329" s="185" t="e">
        <f aca="false">SQRT((AD329^2*(A329-$D$3)+AC329^2*(DAY(EOMONTH(A329,0))/2))/AK329)</f>
        <v>#VALUE!</v>
      </c>
      <c r="AF329" s="224" t="e">
        <f aca="false">((Summary!$N$8*(AA329*AD329)*(A329-$D$3))+(Summary!$M$8*Z329*AC329*(AJ329-EOMONTH(EDATE(A329,-1),0))))/(AK329*AB329*AE329)</f>
        <v>#VALUE!</v>
      </c>
      <c r="AG329" s="207" t="str">
        <f aca="false">IF($A330="","",Summary!$Q$8)</f>
        <v/>
      </c>
      <c r="AH329" s="207" t="str">
        <f aca="false">IF($A330="","",IF(Summary!$R$8="Y",(VLOOKUP($A329,Summary!$AD$6:$AF$9,3)+'Escalating commodity'!D342),'Escalating commodity'!D342))</f>
        <v/>
      </c>
      <c r="AI329" s="207" t="str">
        <f aca="false">IF($A330="","",AH329)</f>
        <v/>
      </c>
      <c r="AJ329" s="208" t="e">
        <f aca="false">A329+DAY(EOMONTH(A329,0))/2-1</f>
        <v>#VALUE!</v>
      </c>
      <c r="AK329" s="209" t="str">
        <f aca="false">IF($A330="","",$A329-$E$1)</f>
        <v/>
      </c>
      <c r="AL329" s="182" t="str">
        <f aca="false">IF($A330="","",SPRDOPT(P329,X329,AI329,0,AB329,AE329,AF329,AK329,$AJ$2,0))</f>
        <v/>
      </c>
      <c r="AM329" s="211" t="str">
        <f aca="false">IF($A330="","",MAX(0,O329-W329-AI329))</f>
        <v/>
      </c>
      <c r="AN329" s="211" t="str">
        <f aca="false">IF($A330="","",AL329-AM329)</f>
        <v/>
      </c>
      <c r="AO329" s="137" t="str">
        <f aca="false">IF(A330="","",A330-A329)</f>
        <v/>
      </c>
      <c r="AP329" s="212" t="str">
        <f aca="false">IF(A330="","",CHOOSE(F$3,A330+24,A329))</f>
        <v/>
      </c>
      <c r="AQ329" s="209" t="str">
        <f aca="false">IF(A330="","",AP329-$E$1)</f>
        <v/>
      </c>
      <c r="AR329" s="185" t="n">
        <f aca="false">'ANR OK vs ML7'!AR329</f>
        <v>0.1</v>
      </c>
      <c r="AS329" s="213" t="str">
        <f aca="false">IF(A330="","",1/(1+CHOOSE(F$3,(AR330+($I$3/10000))/2,(AR329+($I$3/10000))/2))^(2*AQ329/365.25))</f>
        <v/>
      </c>
      <c r="AT329" s="137" t="str">
        <f aca="false">IF(A330="","",IF(AND(mthbeg&lt;=A329,mthend&gt;=A329),1,0))</f>
        <v/>
      </c>
      <c r="AU329" s="137" t="str">
        <f aca="false">IF(A330="","",AO329*AT329)</f>
        <v/>
      </c>
      <c r="AW329" s="195" t="str">
        <f aca="false">IF($A330="","",AL329*$E329)</f>
        <v/>
      </c>
      <c r="AX329" s="195" t="str">
        <f aca="false">IF($A330="","",AM329*$E329)</f>
        <v/>
      </c>
      <c r="AY329" s="195" t="str">
        <f aca="false">IF($A330="","",AN329*$E329)</f>
        <v/>
      </c>
      <c r="BA329" s="195" t="str">
        <f aca="false">IF($A330="","",F329*Summary!$Q$8)</f>
        <v/>
      </c>
    </row>
    <row r="330" customFormat="false" ht="12" hidden="false" customHeight="true" outlineLevel="0" collapsed="false">
      <c r="A330" s="196" t="str">
        <f aca="false">IF(A329&lt;mthend,EDATE(A329,1),"")</f>
        <v/>
      </c>
      <c r="B330" s="197" t="n">
        <f aca="false">IF(A330&lt;mthend,B329,0)</f>
        <v>0</v>
      </c>
      <c r="C330" s="215"/>
      <c r="D330" s="197" t="str">
        <f aca="false">IF(A331&lt;&gt;"",B330+C330,"")</f>
        <v/>
      </c>
      <c r="E330" s="199" t="str">
        <f aca="false">IF(A331="","",IF(AND(AT330=1,$H$3=1),D330*AO330,IF($H$3=2,D330,"N/A")))</f>
        <v/>
      </c>
      <c r="F330" s="199" t="str">
        <f aca="false">IF(A331="","",E330*AS330)</f>
        <v/>
      </c>
      <c r="G330" s="200" t="str">
        <f aca="false">IF($A331="","",VLOOKUP($A330,Table,MATCH(G$4,Curves,0)))</f>
        <v/>
      </c>
      <c r="H330" s="201" t="str">
        <f aca="false">IF(A331="","",G330)</f>
        <v/>
      </c>
      <c r="I330" s="202"/>
      <c r="J330" s="200" t="str">
        <f aca="false">IF($A331="","",VLOOKUP($A330,Table,MATCH(J$4,Curves,0)))</f>
        <v/>
      </c>
      <c r="K330" s="201" t="str">
        <f aca="false">IF(A331="","",J330)</f>
        <v/>
      </c>
      <c r="L330" s="200" t="str">
        <f aca="false">IF($A331="","",VLOOKUP($A330,Table,MATCH(L$4,Curves,0)))</f>
        <v/>
      </c>
      <c r="M330" s="201" t="str">
        <f aca="false">IF(A331="","",L330)</f>
        <v/>
      </c>
      <c r="N330" s="203"/>
      <c r="O330" s="200" t="str">
        <f aca="false">IF(A331="","",L330+J330+G330)</f>
        <v/>
      </c>
      <c r="P330" s="200" t="str">
        <f aca="false">IF(A331="","",M330+K330+H330)</f>
        <v/>
      </c>
      <c r="Q330" s="204"/>
      <c r="R330" s="200" t="str">
        <f aca="false">IF($A331="","",VLOOKUP($A330,Table,MATCH(R$4,Curves,0)))</f>
        <v/>
      </c>
      <c r="S330" s="201" t="str">
        <f aca="false">IF(A331="","",R330)</f>
        <v/>
      </c>
      <c r="T330" s="200" t="str">
        <f aca="false">IF($A331="","",VLOOKUP($A330,Table,MATCH(T$4,Curves,0)))</f>
        <v/>
      </c>
      <c r="U330" s="201" t="str">
        <f aca="false">IF(A331="","",T330)</f>
        <v/>
      </c>
      <c r="V330" s="183" t="str">
        <f aca="false">IF($A331="","",IF(AND(MONTH(A330)&gt;3,MONTH(A330)&lt;11),(T330+R330+G330)*Summary!$T$8/(1-Summary!$T$8),(T330+R330+G330)*Summary!$U$8/(1-Summary!$U$8)))</f>
        <v/>
      </c>
      <c r="W330" s="200" t="str">
        <f aca="false">IF($A331="","",(T330+R330+G330+V330))</f>
        <v/>
      </c>
      <c r="X330" s="200" t="str">
        <f aca="false">IF($A331="","",(U330+S330+H330+V330))</f>
        <v/>
      </c>
      <c r="Y330" s="202"/>
      <c r="Z330" s="185" t="str">
        <f aca="false">IF($A331="","",VLOOKUP($A330,Table,MATCH(Z$4,Curves,0)))</f>
        <v/>
      </c>
      <c r="AA330" s="185" t="str">
        <f aca="false">IF($A331="","",VLOOKUP($A330,Table,MATCH(AA$4,Curves,0)))</f>
        <v/>
      </c>
      <c r="AB330" s="185" t="e">
        <f aca="false">SQRT((AA330^2*(A330-$D$3)+Z330^2*(DAY(EOMONTH(A330,0))/2))/AK330)</f>
        <v>#VALUE!</v>
      </c>
      <c r="AC330" s="185" t="str">
        <f aca="false">IF($A331="","",VLOOKUP($A330,Table,MATCH(AC$4,Curves,0)))</f>
        <v/>
      </c>
      <c r="AD330" s="185" t="str">
        <f aca="false">IF($A331="","",VLOOKUP($A330,Table,MATCH(AD$4,Curves,0)))</f>
        <v/>
      </c>
      <c r="AE330" s="185" t="e">
        <f aca="false">SQRT((AD330^2*(A330-$D$3)+AC330^2*(DAY(EOMONTH(A330,0))/2))/AK330)</f>
        <v>#VALUE!</v>
      </c>
      <c r="AF330" s="224" t="e">
        <f aca="false">((Summary!$N$8*(AA330*AD330)*(A330-$D$3))+(Summary!$M$8*Z330*AC330*(AJ330-EOMONTH(EDATE(A330,-1),0))))/(AK330*AB330*AE330)</f>
        <v>#VALUE!</v>
      </c>
      <c r="AG330" s="207" t="str">
        <f aca="false">IF($A331="","",Summary!$Q$8)</f>
        <v/>
      </c>
      <c r="AH330" s="207" t="str">
        <f aca="false">IF($A331="","",IF(Summary!$R$8="Y",(VLOOKUP($A330,Summary!$AD$6:$AF$9,3)+'Escalating commodity'!D343),'Escalating commodity'!D343))</f>
        <v/>
      </c>
      <c r="AI330" s="207" t="str">
        <f aca="false">IF($A331="","",AH330)</f>
        <v/>
      </c>
      <c r="AJ330" s="208" t="e">
        <f aca="false">A330+DAY(EOMONTH(A330,0))/2-1</f>
        <v>#VALUE!</v>
      </c>
      <c r="AK330" s="209" t="str">
        <f aca="false">IF($A331="","",$A330-$E$1)</f>
        <v/>
      </c>
      <c r="AL330" s="182" t="str">
        <f aca="false">IF($A331="","",SPRDOPT(P330,X330,AI330,0,AB330,AE330,AF330,AK330,$AJ$2,0))</f>
        <v/>
      </c>
      <c r="AM330" s="211" t="str">
        <f aca="false">IF($A331="","",MAX(0,O330-W330-AI330))</f>
        <v/>
      </c>
      <c r="AN330" s="211" t="str">
        <f aca="false">IF($A331="","",AL330-AM330)</f>
        <v/>
      </c>
      <c r="AO330" s="137" t="str">
        <f aca="false">IF(A331="","",A331-A330)</f>
        <v/>
      </c>
      <c r="AP330" s="212" t="str">
        <f aca="false">IF(A331="","",CHOOSE(F$3,A331+24,A330))</f>
        <v/>
      </c>
      <c r="AQ330" s="209" t="str">
        <f aca="false">IF(A331="","",AP330-$E$1)</f>
        <v/>
      </c>
      <c r="AR330" s="185" t="n">
        <f aca="false">'ANR OK vs ML7'!AR330</f>
        <v>0.1</v>
      </c>
      <c r="AS330" s="213" t="str">
        <f aca="false">IF(A331="","",1/(1+CHOOSE(F$3,(AR331+($I$3/10000))/2,(AR330+($I$3/10000))/2))^(2*AQ330/365.25))</f>
        <v/>
      </c>
      <c r="AT330" s="137" t="str">
        <f aca="false">IF(A331="","",IF(AND(mthbeg&lt;=A330,mthend&gt;=A330),1,0))</f>
        <v/>
      </c>
      <c r="AU330" s="137" t="str">
        <f aca="false">IF(A331="","",AO330*AT330)</f>
        <v/>
      </c>
      <c r="AW330" s="195" t="str">
        <f aca="false">IF($A331="","",AL330*$E330)</f>
        <v/>
      </c>
      <c r="AX330" s="195" t="str">
        <f aca="false">IF($A331="","",AM330*$E330)</f>
        <v/>
      </c>
      <c r="AY330" s="195" t="str">
        <f aca="false">IF($A331="","",AN330*$E330)</f>
        <v/>
      </c>
      <c r="BA330" s="195" t="str">
        <f aca="false">IF($A331="","",F330*Summary!$Q$8)</f>
        <v/>
      </c>
    </row>
    <row r="331" customFormat="false" ht="12" hidden="false" customHeight="true" outlineLevel="0" collapsed="false">
      <c r="A331" s="196" t="str">
        <f aca="false">IF(A330&lt;mthend,EDATE(A330,1),"")</f>
        <v/>
      </c>
      <c r="B331" s="197" t="n">
        <f aca="false">IF(A331&lt;mthend,B330,0)</f>
        <v>0</v>
      </c>
      <c r="C331" s="215"/>
      <c r="D331" s="197" t="str">
        <f aca="false">IF(A332&lt;&gt;"",B331+C331,"")</f>
        <v/>
      </c>
      <c r="E331" s="199" t="str">
        <f aca="false">IF(A332="","",IF(AND(AT331=1,$H$3=1),D331*AO331,IF($H$3=2,D331,"N/A")))</f>
        <v/>
      </c>
      <c r="F331" s="199" t="str">
        <f aca="false">IF(A332="","",E331*AS331)</f>
        <v/>
      </c>
      <c r="G331" s="200" t="str">
        <f aca="false">IF($A332="","",VLOOKUP($A331,Table,MATCH(G$4,Curves,0)))</f>
        <v/>
      </c>
      <c r="H331" s="201" t="str">
        <f aca="false">IF(A332="","",G331)</f>
        <v/>
      </c>
      <c r="I331" s="202"/>
      <c r="J331" s="200" t="str">
        <f aca="false">IF($A332="","",VLOOKUP($A331,Table,MATCH(J$4,Curves,0)))</f>
        <v/>
      </c>
      <c r="K331" s="201" t="str">
        <f aca="false">IF(A332="","",J331)</f>
        <v/>
      </c>
      <c r="L331" s="200" t="str">
        <f aca="false">IF($A332="","",VLOOKUP($A331,Table,MATCH(L$4,Curves,0)))</f>
        <v/>
      </c>
      <c r="M331" s="201" t="str">
        <f aca="false">IF(A332="","",L331)</f>
        <v/>
      </c>
      <c r="N331" s="203"/>
      <c r="O331" s="200" t="str">
        <f aca="false">IF(A332="","",L331+J331+G331)</f>
        <v/>
      </c>
      <c r="P331" s="200" t="str">
        <f aca="false">IF(A332="","",M331+K331+H331)</f>
        <v/>
      </c>
      <c r="Q331" s="204"/>
      <c r="R331" s="200" t="str">
        <f aca="false">IF($A332="","",VLOOKUP($A331,Table,MATCH(R$4,Curves,0)))</f>
        <v/>
      </c>
      <c r="S331" s="201" t="str">
        <f aca="false">IF(A332="","",R331)</f>
        <v/>
      </c>
      <c r="T331" s="200" t="str">
        <f aca="false">IF($A332="","",VLOOKUP($A331,Table,MATCH(T$4,Curves,0)))</f>
        <v/>
      </c>
      <c r="U331" s="201" t="str">
        <f aca="false">IF(A332="","",T331)</f>
        <v/>
      </c>
      <c r="V331" s="183" t="str">
        <f aca="false">IF($A332="","",IF(AND(MONTH(A331)&gt;3,MONTH(A331)&lt;11),(T331+R331+G331)*Summary!$T$8/(1-Summary!$T$8),(T331+R331+G331)*Summary!$U$8/(1-Summary!$U$8)))</f>
        <v/>
      </c>
      <c r="W331" s="200" t="str">
        <f aca="false">IF($A332="","",(T331+R331+G331+V331))</f>
        <v/>
      </c>
      <c r="X331" s="200" t="str">
        <f aca="false">IF($A332="","",(U331+S331+H331+V331))</f>
        <v/>
      </c>
      <c r="Y331" s="202"/>
      <c r="Z331" s="185" t="str">
        <f aca="false">IF($A332="","",VLOOKUP($A331,Table,MATCH(Z$4,Curves,0)))</f>
        <v/>
      </c>
      <c r="AA331" s="185" t="str">
        <f aca="false">IF($A332="","",VLOOKUP($A331,Table,MATCH(AA$4,Curves,0)))</f>
        <v/>
      </c>
      <c r="AB331" s="185" t="e">
        <f aca="false">SQRT((AA331^2*(A331-$D$3)+Z331^2*(DAY(EOMONTH(A331,0))/2))/AK331)</f>
        <v>#VALUE!</v>
      </c>
      <c r="AC331" s="185" t="str">
        <f aca="false">IF($A332="","",VLOOKUP($A331,Table,MATCH(AC$4,Curves,0)))</f>
        <v/>
      </c>
      <c r="AD331" s="185" t="str">
        <f aca="false">IF($A332="","",VLOOKUP($A331,Table,MATCH(AD$4,Curves,0)))</f>
        <v/>
      </c>
      <c r="AE331" s="185" t="e">
        <f aca="false">SQRT((AD331^2*(A331-$D$3)+AC331^2*(DAY(EOMONTH(A331,0))/2))/AK331)</f>
        <v>#VALUE!</v>
      </c>
      <c r="AF331" s="224" t="e">
        <f aca="false">((Summary!$N$8*(AA331*AD331)*(A331-$D$3))+(Summary!$M$8*Z331*AC331*(AJ331-EOMONTH(EDATE(A331,-1),0))))/(AK331*AB331*AE331)</f>
        <v>#VALUE!</v>
      </c>
      <c r="AG331" s="207" t="str">
        <f aca="false">IF($A332="","",Summary!$Q$8)</f>
        <v/>
      </c>
      <c r="AH331" s="207" t="str">
        <f aca="false">IF($A332="","",IF(Summary!$R$8="Y",(VLOOKUP($A331,Summary!$AD$6:$AF$9,3)+'Escalating commodity'!D344),'Escalating commodity'!D344))</f>
        <v/>
      </c>
      <c r="AI331" s="207" t="str">
        <f aca="false">IF($A332="","",AH331)</f>
        <v/>
      </c>
      <c r="AJ331" s="208" t="e">
        <f aca="false">A331+DAY(EOMONTH(A331,0))/2-1</f>
        <v>#VALUE!</v>
      </c>
      <c r="AK331" s="209" t="str">
        <f aca="false">IF($A332="","",$A331-$E$1)</f>
        <v/>
      </c>
      <c r="AL331" s="182" t="str">
        <f aca="false">IF($A332="","",SPRDOPT(P331,X331,AI331,0,AB331,AE331,AF331,AK331,$AJ$2,0))</f>
        <v/>
      </c>
      <c r="AM331" s="211" t="str">
        <f aca="false">IF($A332="","",MAX(0,O331-W331-AI331))</f>
        <v/>
      </c>
      <c r="AN331" s="211" t="str">
        <f aca="false">IF($A332="","",AL331-AM331)</f>
        <v/>
      </c>
      <c r="AO331" s="137" t="str">
        <f aca="false">IF(A332="","",A332-A331)</f>
        <v/>
      </c>
      <c r="AP331" s="212" t="str">
        <f aca="false">IF(A332="","",CHOOSE(F$3,A332+24,A331))</f>
        <v/>
      </c>
      <c r="AQ331" s="209" t="str">
        <f aca="false">IF(A332="","",AP331-$E$1)</f>
        <v/>
      </c>
      <c r="AR331" s="185" t="n">
        <f aca="false">'ANR OK vs ML7'!AR331</f>
        <v>0.1</v>
      </c>
      <c r="AS331" s="213" t="str">
        <f aca="false">IF(A332="","",1/(1+CHOOSE(F$3,(AR332+($I$3/10000))/2,(AR331+($I$3/10000))/2))^(2*AQ331/365.25))</f>
        <v/>
      </c>
      <c r="AT331" s="137" t="str">
        <f aca="false">IF(A332="","",IF(AND(mthbeg&lt;=A331,mthend&gt;=A331),1,0))</f>
        <v/>
      </c>
      <c r="AU331" s="137" t="str">
        <f aca="false">IF(A332="","",AO331*AT331)</f>
        <v/>
      </c>
      <c r="AW331" s="195" t="str">
        <f aca="false">IF($A332="","",AL331*$E331)</f>
        <v/>
      </c>
      <c r="AX331" s="195" t="str">
        <f aca="false">IF($A332="","",AM331*$E331)</f>
        <v/>
      </c>
      <c r="AY331" s="195" t="str">
        <f aca="false">IF($A332="","",AN331*$E331)</f>
        <v/>
      </c>
      <c r="BA331" s="195" t="str">
        <f aca="false">IF($A332="","",F331*Summary!$Q$8)</f>
        <v/>
      </c>
    </row>
    <row r="332" customFormat="false" ht="12" hidden="false" customHeight="true" outlineLevel="0" collapsed="false">
      <c r="A332" s="196" t="str">
        <f aca="false">IF(A331&lt;mthend,EDATE(A331,1),"")</f>
        <v/>
      </c>
      <c r="B332" s="197" t="n">
        <f aca="false">IF(A332&lt;mthend,B331,0)</f>
        <v>0</v>
      </c>
      <c r="C332" s="215"/>
      <c r="D332" s="197" t="str">
        <f aca="false">IF(A333&lt;&gt;"",B332+C332,"")</f>
        <v/>
      </c>
      <c r="E332" s="199" t="str">
        <f aca="false">IF(A333="","",IF(AND(AT332=1,$H$3=1),D332*AO332,IF($H$3=2,D332,"N/A")))</f>
        <v/>
      </c>
      <c r="F332" s="199" t="str">
        <f aca="false">IF(A333="","",E332*AS332)</f>
        <v/>
      </c>
      <c r="G332" s="200" t="str">
        <f aca="false">IF($A333="","",VLOOKUP($A332,Table,MATCH(G$4,Curves,0)))</f>
        <v/>
      </c>
      <c r="H332" s="201" t="str">
        <f aca="false">IF(A333="","",G332)</f>
        <v/>
      </c>
      <c r="I332" s="202"/>
      <c r="J332" s="200" t="str">
        <f aca="false">IF($A333="","",VLOOKUP($A332,Table,MATCH(J$4,Curves,0)))</f>
        <v/>
      </c>
      <c r="K332" s="201" t="str">
        <f aca="false">IF(A333="","",J332)</f>
        <v/>
      </c>
      <c r="L332" s="200" t="str">
        <f aca="false">IF($A333="","",VLOOKUP($A332,Table,MATCH(L$4,Curves,0)))</f>
        <v/>
      </c>
      <c r="M332" s="201" t="str">
        <f aca="false">IF(A333="","",L332)</f>
        <v/>
      </c>
      <c r="N332" s="203"/>
      <c r="O332" s="200" t="str">
        <f aca="false">IF(A333="","",L332+J332+G332)</f>
        <v/>
      </c>
      <c r="P332" s="200" t="str">
        <f aca="false">IF(A333="","",M332+K332+H332)</f>
        <v/>
      </c>
      <c r="Q332" s="204"/>
      <c r="R332" s="200" t="str">
        <f aca="false">IF($A333="","",VLOOKUP($A332,Table,MATCH(R$4,Curves,0)))</f>
        <v/>
      </c>
      <c r="S332" s="201" t="str">
        <f aca="false">IF(A333="","",R332)</f>
        <v/>
      </c>
      <c r="T332" s="200" t="str">
        <f aca="false">IF($A333="","",VLOOKUP($A332,Table,MATCH(T$4,Curves,0)))</f>
        <v/>
      </c>
      <c r="U332" s="201" t="str">
        <f aca="false">IF(A333="","",T332)</f>
        <v/>
      </c>
      <c r="V332" s="183" t="str">
        <f aca="false">IF($A333="","",IF(AND(MONTH(A332)&gt;3,MONTH(A332)&lt;11),(T332+R332+G332)*Summary!$T$8/(1-Summary!$T$8),(T332+R332+G332)*Summary!$U$8/(1-Summary!$U$8)))</f>
        <v/>
      </c>
      <c r="W332" s="200" t="str">
        <f aca="false">IF($A333="","",(T332+R332+G332+V332))</f>
        <v/>
      </c>
      <c r="X332" s="200" t="str">
        <f aca="false">IF($A333="","",(U332+S332+H332+V332))</f>
        <v/>
      </c>
      <c r="Y332" s="202"/>
      <c r="Z332" s="185" t="str">
        <f aca="false">IF($A333="","",VLOOKUP($A332,Table,MATCH(Z$4,Curves,0)))</f>
        <v/>
      </c>
      <c r="AA332" s="185" t="str">
        <f aca="false">IF($A333="","",VLOOKUP($A332,Table,MATCH(AA$4,Curves,0)))</f>
        <v/>
      </c>
      <c r="AB332" s="185" t="e">
        <f aca="false">SQRT((AA332^2*(A332-$D$3)+Z332^2*(DAY(EOMONTH(A332,0))/2))/AK332)</f>
        <v>#VALUE!</v>
      </c>
      <c r="AC332" s="185" t="str">
        <f aca="false">IF($A333="","",VLOOKUP($A332,Table,MATCH(AC$4,Curves,0)))</f>
        <v/>
      </c>
      <c r="AD332" s="185" t="str">
        <f aca="false">IF($A333="","",VLOOKUP($A332,Table,MATCH(AD$4,Curves,0)))</f>
        <v/>
      </c>
      <c r="AE332" s="185" t="e">
        <f aca="false">SQRT((AD332^2*(A332-$D$3)+AC332^2*(DAY(EOMONTH(A332,0))/2))/AK332)</f>
        <v>#VALUE!</v>
      </c>
      <c r="AF332" s="224" t="e">
        <f aca="false">((Summary!$N$8*(AA332*AD332)*(A332-$D$3))+(Summary!$M$8*Z332*AC332*(AJ332-EOMONTH(EDATE(A332,-1),0))))/(AK332*AB332*AE332)</f>
        <v>#VALUE!</v>
      </c>
      <c r="AG332" s="207" t="str">
        <f aca="false">IF($A333="","",Summary!$Q$8)</f>
        <v/>
      </c>
      <c r="AH332" s="207" t="str">
        <f aca="false">IF($A333="","",IF(Summary!$R$8="Y",(VLOOKUP($A332,Summary!$AD$6:$AF$9,3)+'Escalating commodity'!D345),'Escalating commodity'!D345))</f>
        <v/>
      </c>
      <c r="AI332" s="207" t="str">
        <f aca="false">IF($A333="","",AH332)</f>
        <v/>
      </c>
      <c r="AJ332" s="208" t="e">
        <f aca="false">A332+DAY(EOMONTH(A332,0))/2-1</f>
        <v>#VALUE!</v>
      </c>
      <c r="AK332" s="209" t="str">
        <f aca="false">IF($A333="","",$A332-$E$1)</f>
        <v/>
      </c>
      <c r="AL332" s="182" t="str">
        <f aca="false">IF($A333="","",SPRDOPT(P332,X332,AI332,0,AB332,AE332,AF332,AK332,$AJ$2,0))</f>
        <v/>
      </c>
      <c r="AM332" s="211" t="str">
        <f aca="false">IF($A333="","",MAX(0,O332-W332-AI332))</f>
        <v/>
      </c>
      <c r="AN332" s="211" t="str">
        <f aca="false">IF($A333="","",AL332-AM332)</f>
        <v/>
      </c>
      <c r="AO332" s="137" t="str">
        <f aca="false">IF(A333="","",A333-A332)</f>
        <v/>
      </c>
      <c r="AP332" s="212" t="str">
        <f aca="false">IF(A333="","",CHOOSE(F$3,A333+24,A332))</f>
        <v/>
      </c>
      <c r="AQ332" s="209" t="str">
        <f aca="false">IF(A333="","",AP332-$E$1)</f>
        <v/>
      </c>
      <c r="AR332" s="185" t="n">
        <f aca="false">'ANR OK vs ML7'!AR332</f>
        <v>0.1</v>
      </c>
      <c r="AS332" s="213" t="str">
        <f aca="false">IF(A333="","",1/(1+CHOOSE(F$3,(AR333+($I$3/10000))/2,(AR332+($I$3/10000))/2))^(2*AQ332/365.25))</f>
        <v/>
      </c>
      <c r="AT332" s="137" t="str">
        <f aca="false">IF(A333="","",IF(AND(mthbeg&lt;=A332,mthend&gt;=A332),1,0))</f>
        <v/>
      </c>
      <c r="AU332" s="137" t="str">
        <f aca="false">IF(A333="","",AO332*AT332)</f>
        <v/>
      </c>
      <c r="AW332" s="195" t="str">
        <f aca="false">IF($A333="","",AL332*$E332)</f>
        <v/>
      </c>
      <c r="AX332" s="195" t="str">
        <f aca="false">IF($A333="","",AM332*$E332)</f>
        <v/>
      </c>
      <c r="AY332" s="195" t="str">
        <f aca="false">IF($A333="","",AN332*$E332)</f>
        <v/>
      </c>
      <c r="BA332" s="195" t="str">
        <f aca="false">IF($A333="","",F332*Summary!$Q$8)</f>
        <v/>
      </c>
    </row>
    <row r="333" customFormat="false" ht="12" hidden="false" customHeight="true" outlineLevel="0" collapsed="false">
      <c r="A333" s="196" t="str">
        <f aca="false">IF(A332&lt;mthend,EDATE(A332,1),"")</f>
        <v/>
      </c>
      <c r="B333" s="197" t="n">
        <f aca="false">IF(A333&lt;mthend,B332,0)</f>
        <v>0</v>
      </c>
      <c r="C333" s="215"/>
      <c r="D333" s="197" t="str">
        <f aca="false">IF(A334&lt;&gt;"",B333+C333,"")</f>
        <v/>
      </c>
      <c r="E333" s="199" t="str">
        <f aca="false">IF(A334="","",IF(AND(AT333=1,$H$3=1),D333*AO333,IF($H$3=2,D333,"N/A")))</f>
        <v/>
      </c>
      <c r="F333" s="199" t="str">
        <f aca="false">IF(A334="","",E333*AS333)</f>
        <v/>
      </c>
      <c r="G333" s="200" t="str">
        <f aca="false">IF($A334="","",VLOOKUP($A333,Table,MATCH(G$4,Curves,0)))</f>
        <v/>
      </c>
      <c r="H333" s="201" t="str">
        <f aca="false">IF(A334="","",G333)</f>
        <v/>
      </c>
      <c r="I333" s="202"/>
      <c r="J333" s="200" t="str">
        <f aca="false">IF($A334="","",VLOOKUP($A333,Table,MATCH(J$4,Curves,0)))</f>
        <v/>
      </c>
      <c r="K333" s="201" t="str">
        <f aca="false">IF(A334="","",J333)</f>
        <v/>
      </c>
      <c r="L333" s="200" t="str">
        <f aca="false">IF($A334="","",VLOOKUP($A333,Table,MATCH(L$4,Curves,0)))</f>
        <v/>
      </c>
      <c r="M333" s="201" t="str">
        <f aca="false">IF(A334="","",L333)</f>
        <v/>
      </c>
      <c r="N333" s="203"/>
      <c r="O333" s="200" t="str">
        <f aca="false">IF(A334="","",L333+J333+G333)</f>
        <v/>
      </c>
      <c r="P333" s="200" t="str">
        <f aca="false">IF(A334="","",M333+K333+H333)</f>
        <v/>
      </c>
      <c r="Q333" s="204"/>
      <c r="R333" s="200" t="str">
        <f aca="false">IF($A334="","",VLOOKUP($A333,Table,MATCH(R$4,Curves,0)))</f>
        <v/>
      </c>
      <c r="S333" s="201" t="str">
        <f aca="false">IF(A334="","",R333)</f>
        <v/>
      </c>
      <c r="T333" s="200" t="str">
        <f aca="false">IF($A334="","",VLOOKUP($A333,Table,MATCH(T$4,Curves,0)))</f>
        <v/>
      </c>
      <c r="U333" s="201" t="str">
        <f aca="false">IF(A334="","",T333)</f>
        <v/>
      </c>
      <c r="V333" s="183" t="str">
        <f aca="false">IF($A334="","",IF(AND(MONTH(A333)&gt;3,MONTH(A333)&lt;11),(T333+R333+G333)*Summary!$T$8/(1-Summary!$T$8),(T333+R333+G333)*Summary!$U$8/(1-Summary!$U$8)))</f>
        <v/>
      </c>
      <c r="W333" s="200" t="str">
        <f aca="false">IF($A334="","",(T333+R333+G333+V333))</f>
        <v/>
      </c>
      <c r="X333" s="200" t="str">
        <f aca="false">IF($A334="","",(U333+S333+H333+V333))</f>
        <v/>
      </c>
      <c r="Y333" s="202"/>
      <c r="Z333" s="185" t="str">
        <f aca="false">IF($A334="","",VLOOKUP($A333,Table,MATCH(Z$4,Curves,0)))</f>
        <v/>
      </c>
      <c r="AA333" s="185" t="str">
        <f aca="false">IF($A334="","",VLOOKUP($A333,Table,MATCH(AA$4,Curves,0)))</f>
        <v/>
      </c>
      <c r="AB333" s="185" t="e">
        <f aca="false">SQRT((AA333^2*(A333-$D$3)+Z333^2*(DAY(EOMONTH(A333,0))/2))/AK333)</f>
        <v>#VALUE!</v>
      </c>
      <c r="AC333" s="185" t="str">
        <f aca="false">IF($A334="","",VLOOKUP($A333,Table,MATCH(AC$4,Curves,0)))</f>
        <v/>
      </c>
      <c r="AD333" s="185" t="str">
        <f aca="false">IF($A334="","",VLOOKUP($A333,Table,MATCH(AD$4,Curves,0)))</f>
        <v/>
      </c>
      <c r="AE333" s="185" t="e">
        <f aca="false">SQRT((AD333^2*(A333-$D$3)+AC333^2*(DAY(EOMONTH(A333,0))/2))/AK333)</f>
        <v>#VALUE!</v>
      </c>
      <c r="AF333" s="224" t="e">
        <f aca="false">((Summary!$N$8*(AA333*AD333)*(A333-$D$3))+(Summary!$M$8*Z333*AC333*(AJ333-EOMONTH(EDATE(A333,-1),0))))/(AK333*AB333*AE333)</f>
        <v>#VALUE!</v>
      </c>
      <c r="AG333" s="207" t="str">
        <f aca="false">IF($A334="","",Summary!$Q$8)</f>
        <v/>
      </c>
      <c r="AH333" s="207" t="str">
        <f aca="false">IF($A334="","",IF(Summary!$R$8="Y",(VLOOKUP($A333,Summary!$AD$6:$AF$9,3)+'Escalating commodity'!D346),'Escalating commodity'!D346))</f>
        <v/>
      </c>
      <c r="AI333" s="207" t="str">
        <f aca="false">IF($A334="","",AH333)</f>
        <v/>
      </c>
      <c r="AJ333" s="208" t="e">
        <f aca="false">A333+DAY(EOMONTH(A333,0))/2-1</f>
        <v>#VALUE!</v>
      </c>
      <c r="AK333" s="209" t="str">
        <f aca="false">IF($A334="","",$A333-$E$1)</f>
        <v/>
      </c>
      <c r="AL333" s="182" t="str">
        <f aca="false">IF($A334="","",SPRDOPT(P333,X333,AI333,0,AB333,AE333,AF333,AK333,$AJ$2,0))</f>
        <v/>
      </c>
      <c r="AM333" s="211" t="str">
        <f aca="false">IF($A334="","",MAX(0,O333-W333-AI333))</f>
        <v/>
      </c>
      <c r="AN333" s="211" t="str">
        <f aca="false">IF($A334="","",AL333-AM333)</f>
        <v/>
      </c>
      <c r="AO333" s="137" t="str">
        <f aca="false">IF(A334="","",A334-A333)</f>
        <v/>
      </c>
      <c r="AP333" s="212" t="str">
        <f aca="false">IF(A334="","",CHOOSE(F$3,A334+24,A333))</f>
        <v/>
      </c>
      <c r="AQ333" s="209" t="str">
        <f aca="false">IF(A334="","",AP333-$E$1)</f>
        <v/>
      </c>
      <c r="AR333" s="185" t="n">
        <f aca="false">'ANR OK vs ML7'!AR333</f>
        <v>0.1</v>
      </c>
      <c r="AS333" s="213" t="str">
        <f aca="false">IF(A334="","",1/(1+CHOOSE(F$3,(AR334+($I$3/10000))/2,(AR333+($I$3/10000))/2))^(2*AQ333/365.25))</f>
        <v/>
      </c>
      <c r="AT333" s="137" t="str">
        <f aca="false">IF(A334="","",IF(AND(mthbeg&lt;=A333,mthend&gt;=A333),1,0))</f>
        <v/>
      </c>
      <c r="AU333" s="137" t="str">
        <f aca="false">IF(A334="","",AO333*AT333)</f>
        <v/>
      </c>
      <c r="AW333" s="195" t="str">
        <f aca="false">IF($A334="","",AL333*$E333)</f>
        <v/>
      </c>
      <c r="AX333" s="195" t="str">
        <f aca="false">IF($A334="","",AM333*$E333)</f>
        <v/>
      </c>
      <c r="AY333" s="195" t="str">
        <f aca="false">IF($A334="","",AN333*$E333)</f>
        <v/>
      </c>
      <c r="BA333" s="195" t="str">
        <f aca="false">IF($A334="","",F333*Summary!$Q$8)</f>
        <v/>
      </c>
    </row>
    <row r="334" customFormat="false" ht="12" hidden="false" customHeight="true" outlineLevel="0" collapsed="false">
      <c r="A334" s="196" t="str">
        <f aca="false">IF(A333&lt;mthend,EDATE(A333,1),"")</f>
        <v/>
      </c>
      <c r="B334" s="197" t="n">
        <f aca="false">IF(A334&lt;mthend,B333,0)</f>
        <v>0</v>
      </c>
      <c r="C334" s="215"/>
      <c r="D334" s="197" t="str">
        <f aca="false">IF(A335&lt;&gt;"",B334+C334,"")</f>
        <v/>
      </c>
      <c r="E334" s="199" t="str">
        <f aca="false">IF(A335="","",IF(AND(AT334=1,$H$3=1),D334*AO334,IF($H$3=2,D334,"N/A")))</f>
        <v/>
      </c>
      <c r="F334" s="199" t="str">
        <f aca="false">IF(A335="","",E334*AS334)</f>
        <v/>
      </c>
      <c r="G334" s="200" t="str">
        <f aca="false">IF($A335="","",VLOOKUP($A334,Table,MATCH(G$4,Curves,0)))</f>
        <v/>
      </c>
      <c r="H334" s="201" t="str">
        <f aca="false">IF(A335="","",G334)</f>
        <v/>
      </c>
      <c r="I334" s="202"/>
      <c r="J334" s="200" t="str">
        <f aca="false">IF($A335="","",VLOOKUP($A334,Table,MATCH(J$4,Curves,0)))</f>
        <v/>
      </c>
      <c r="K334" s="201" t="str">
        <f aca="false">IF(A335="","",J334)</f>
        <v/>
      </c>
      <c r="L334" s="200" t="str">
        <f aca="false">IF($A335="","",VLOOKUP($A334,Table,MATCH(L$4,Curves,0)))</f>
        <v/>
      </c>
      <c r="M334" s="201" t="str">
        <f aca="false">IF(A335="","",L334)</f>
        <v/>
      </c>
      <c r="N334" s="203"/>
      <c r="O334" s="200" t="str">
        <f aca="false">IF(A335="","",L334+J334+G334)</f>
        <v/>
      </c>
      <c r="P334" s="200" t="str">
        <f aca="false">IF(A335="","",M334+K334+H334)</f>
        <v/>
      </c>
      <c r="Q334" s="204"/>
      <c r="R334" s="200" t="str">
        <f aca="false">IF($A335="","",VLOOKUP($A334,Table,MATCH(R$4,Curves,0)))</f>
        <v/>
      </c>
      <c r="S334" s="201" t="str">
        <f aca="false">IF(A335="","",R334)</f>
        <v/>
      </c>
      <c r="T334" s="200" t="str">
        <f aca="false">IF($A335="","",VLOOKUP($A334,Table,MATCH(T$4,Curves,0)))</f>
        <v/>
      </c>
      <c r="U334" s="201" t="str">
        <f aca="false">IF(A335="","",T334)</f>
        <v/>
      </c>
      <c r="V334" s="183" t="str">
        <f aca="false">IF($A335="","",IF(AND(MONTH(A334)&gt;3,MONTH(A334)&lt;11),(T334+R334+G334)*Summary!$T$8/(1-Summary!$T$8),(T334+R334+G334)*Summary!$U$8/(1-Summary!$U$8)))</f>
        <v/>
      </c>
      <c r="W334" s="200" t="str">
        <f aca="false">IF($A335="","",(T334+R334+G334+V334))</f>
        <v/>
      </c>
      <c r="X334" s="200" t="str">
        <f aca="false">IF($A335="","",(U334+S334+H334+V334))</f>
        <v/>
      </c>
      <c r="Y334" s="202"/>
      <c r="Z334" s="185" t="str">
        <f aca="false">IF($A335="","",VLOOKUP($A334,Table,MATCH(Z$4,Curves,0)))</f>
        <v/>
      </c>
      <c r="AA334" s="185" t="str">
        <f aca="false">IF($A335="","",VLOOKUP($A334,Table,MATCH(AA$4,Curves,0)))</f>
        <v/>
      </c>
      <c r="AB334" s="185" t="e">
        <f aca="false">SQRT((AA334^2*(A334-$D$3)+Z334^2*(DAY(EOMONTH(A334,0))/2))/AK334)</f>
        <v>#VALUE!</v>
      </c>
      <c r="AC334" s="185" t="str">
        <f aca="false">IF($A335="","",VLOOKUP($A334,Table,MATCH(AC$4,Curves,0)))</f>
        <v/>
      </c>
      <c r="AD334" s="185" t="str">
        <f aca="false">IF($A335="","",VLOOKUP($A334,Table,MATCH(AD$4,Curves,0)))</f>
        <v/>
      </c>
      <c r="AE334" s="185" t="e">
        <f aca="false">SQRT((AD334^2*(A334-$D$3)+AC334^2*(DAY(EOMONTH(A334,0))/2))/AK334)</f>
        <v>#VALUE!</v>
      </c>
      <c r="AF334" s="224" t="e">
        <f aca="false">((Summary!$N$8*(AA334*AD334)*(A334-$D$3))+(Summary!$M$8*Z334*AC334*(AJ334-EOMONTH(EDATE(A334,-1),0))))/(AK334*AB334*AE334)</f>
        <v>#VALUE!</v>
      </c>
      <c r="AG334" s="207" t="str">
        <f aca="false">IF($A335="","",Summary!$Q$8)</f>
        <v/>
      </c>
      <c r="AH334" s="207" t="str">
        <f aca="false">IF($A335="","",IF(Summary!$R$8="Y",(VLOOKUP($A334,Summary!$AD$6:$AF$9,3)+'Escalating commodity'!D347),'Escalating commodity'!D347))</f>
        <v/>
      </c>
      <c r="AI334" s="207" t="str">
        <f aca="false">IF($A335="","",AH334)</f>
        <v/>
      </c>
      <c r="AJ334" s="208" t="e">
        <f aca="false">A334+DAY(EOMONTH(A334,0))/2-1</f>
        <v>#VALUE!</v>
      </c>
      <c r="AK334" s="209" t="str">
        <f aca="false">IF($A335="","",$A334-$E$1)</f>
        <v/>
      </c>
      <c r="AL334" s="182" t="str">
        <f aca="false">IF($A335="","",SPRDOPT(P334,X334,AI334,0,AB334,AE334,AF334,AK334,$AJ$2,0))</f>
        <v/>
      </c>
      <c r="AM334" s="211" t="str">
        <f aca="false">IF($A335="","",MAX(0,O334-W334-AI334))</f>
        <v/>
      </c>
      <c r="AN334" s="211" t="str">
        <f aca="false">IF($A335="","",AL334-AM334)</f>
        <v/>
      </c>
      <c r="AO334" s="137" t="str">
        <f aca="false">IF(A335="","",A335-A334)</f>
        <v/>
      </c>
      <c r="AP334" s="212" t="str">
        <f aca="false">IF(A335="","",CHOOSE(F$3,A335+24,A334))</f>
        <v/>
      </c>
      <c r="AQ334" s="209" t="str">
        <f aca="false">IF(A335="","",AP334-$E$1)</f>
        <v/>
      </c>
      <c r="AR334" s="185" t="n">
        <f aca="false">'ANR OK vs ML7'!AR334</f>
        <v>0.1</v>
      </c>
      <c r="AS334" s="213" t="str">
        <f aca="false">IF(A335="","",1/(1+CHOOSE(F$3,(AR335+($I$3/10000))/2,(AR334+($I$3/10000))/2))^(2*AQ334/365.25))</f>
        <v/>
      </c>
      <c r="AT334" s="137" t="str">
        <f aca="false">IF(A335="","",IF(AND(mthbeg&lt;=A334,mthend&gt;=A334),1,0))</f>
        <v/>
      </c>
      <c r="AU334" s="137" t="str">
        <f aca="false">IF(A335="","",AO334*AT334)</f>
        <v/>
      </c>
      <c r="AW334" s="195" t="str">
        <f aca="false">IF($A335="","",AL334*$E334)</f>
        <v/>
      </c>
      <c r="AX334" s="195" t="str">
        <f aca="false">IF($A335="","",AM334*$E334)</f>
        <v/>
      </c>
      <c r="AY334" s="195" t="str">
        <f aca="false">IF($A335="","",AN334*$E334)</f>
        <v/>
      </c>
      <c r="BA334" s="195" t="str">
        <f aca="false">IF($A335="","",F334*Summary!$Q$8)</f>
        <v/>
      </c>
    </row>
    <row r="335" customFormat="false" ht="12" hidden="false" customHeight="true" outlineLevel="0" collapsed="false">
      <c r="A335" s="196" t="str">
        <f aca="false">IF(A334&lt;mthend,EDATE(A334,1),"")</f>
        <v/>
      </c>
      <c r="B335" s="197" t="n">
        <f aca="false">IF(A335&lt;mthend,B334,0)</f>
        <v>0</v>
      </c>
      <c r="C335" s="215"/>
      <c r="D335" s="197" t="str">
        <f aca="false">IF(A336&lt;&gt;"",B335+C335,"")</f>
        <v/>
      </c>
      <c r="E335" s="199" t="str">
        <f aca="false">IF(A336="","",IF(AND(AT335=1,$H$3=1),D335*AO335,IF($H$3=2,D335,"N/A")))</f>
        <v/>
      </c>
      <c r="F335" s="199" t="str">
        <f aca="false">IF(A336="","",E335*AS335)</f>
        <v/>
      </c>
      <c r="G335" s="200" t="str">
        <f aca="false">IF($A336="","",VLOOKUP($A335,Table,MATCH(G$4,Curves,0)))</f>
        <v/>
      </c>
      <c r="H335" s="201" t="str">
        <f aca="false">IF(A336="","",G335)</f>
        <v/>
      </c>
      <c r="I335" s="202"/>
      <c r="J335" s="200" t="str">
        <f aca="false">IF($A336="","",VLOOKUP($A335,Table,MATCH(J$4,Curves,0)))</f>
        <v/>
      </c>
      <c r="K335" s="201" t="str">
        <f aca="false">IF(A336="","",J335)</f>
        <v/>
      </c>
      <c r="L335" s="200" t="str">
        <f aca="false">IF($A336="","",VLOOKUP($A335,Table,MATCH(L$4,Curves,0)))</f>
        <v/>
      </c>
      <c r="M335" s="201" t="str">
        <f aca="false">IF(A336="","",L335)</f>
        <v/>
      </c>
      <c r="N335" s="203"/>
      <c r="O335" s="200" t="str">
        <f aca="false">IF(A336="","",L335+J335+G335)</f>
        <v/>
      </c>
      <c r="P335" s="200" t="str">
        <f aca="false">IF(A336="","",M335+K335+H335)</f>
        <v/>
      </c>
      <c r="Q335" s="204"/>
      <c r="R335" s="200" t="str">
        <f aca="false">IF($A336="","",VLOOKUP($A335,Table,MATCH(R$4,Curves,0)))</f>
        <v/>
      </c>
      <c r="S335" s="201" t="str">
        <f aca="false">IF(A336="","",R335)</f>
        <v/>
      </c>
      <c r="T335" s="200" t="str">
        <f aca="false">IF($A336="","",VLOOKUP($A335,Table,MATCH(T$4,Curves,0)))</f>
        <v/>
      </c>
      <c r="U335" s="201" t="str">
        <f aca="false">IF(A336="","",T335)</f>
        <v/>
      </c>
      <c r="V335" s="183" t="str">
        <f aca="false">IF($A336="","",IF(AND(MONTH(A335)&gt;3,MONTH(A335)&lt;11),(T335+R335+G335)*Summary!$T$8/(1-Summary!$T$8),(T335+R335+G335)*Summary!$U$8/(1-Summary!$U$8)))</f>
        <v/>
      </c>
      <c r="W335" s="200" t="str">
        <f aca="false">IF($A336="","",(T335+R335+G335+V335))</f>
        <v/>
      </c>
      <c r="X335" s="200" t="str">
        <f aca="false">IF($A336="","",(U335+S335+H335+V335))</f>
        <v/>
      </c>
      <c r="Y335" s="202"/>
      <c r="Z335" s="185" t="str">
        <f aca="false">IF($A336="","",VLOOKUP($A335,Table,MATCH(Z$4,Curves,0)))</f>
        <v/>
      </c>
      <c r="AA335" s="185" t="str">
        <f aca="false">IF($A336="","",VLOOKUP($A335,Table,MATCH(AA$4,Curves,0)))</f>
        <v/>
      </c>
      <c r="AB335" s="185" t="e">
        <f aca="false">SQRT((AA335^2*(A335-$D$3)+Z335^2*(DAY(EOMONTH(A335,0))/2))/AK335)</f>
        <v>#VALUE!</v>
      </c>
      <c r="AC335" s="185" t="str">
        <f aca="false">IF($A336="","",VLOOKUP($A335,Table,MATCH(AC$4,Curves,0)))</f>
        <v/>
      </c>
      <c r="AD335" s="185" t="str">
        <f aca="false">IF($A336="","",VLOOKUP($A335,Table,MATCH(AD$4,Curves,0)))</f>
        <v/>
      </c>
      <c r="AE335" s="185" t="e">
        <f aca="false">SQRT((AD335^2*(A335-$D$3)+AC335^2*(DAY(EOMONTH(A335,0))/2))/AK335)</f>
        <v>#VALUE!</v>
      </c>
      <c r="AF335" s="224" t="e">
        <f aca="false">((Summary!$N$8*(AA335*AD335)*(A335-$D$3))+(Summary!$M$8*Z335*AC335*(AJ335-EOMONTH(EDATE(A335,-1),0))))/(AK335*AB335*AE335)</f>
        <v>#VALUE!</v>
      </c>
      <c r="AG335" s="207" t="str">
        <f aca="false">IF($A336="","",Summary!$Q$8)</f>
        <v/>
      </c>
      <c r="AH335" s="207" t="str">
        <f aca="false">IF($A336="","",IF(Summary!$R$8="Y",(VLOOKUP($A335,Summary!$AD$6:$AF$9,3)+'Escalating commodity'!D348),'Escalating commodity'!D348))</f>
        <v/>
      </c>
      <c r="AI335" s="207" t="str">
        <f aca="false">IF($A336="","",AH335)</f>
        <v/>
      </c>
      <c r="AJ335" s="208" t="e">
        <f aca="false">A335+DAY(EOMONTH(A335,0))/2-1</f>
        <v>#VALUE!</v>
      </c>
      <c r="AK335" s="209" t="str">
        <f aca="false">IF($A336="","",$A335-$E$1)</f>
        <v/>
      </c>
      <c r="AL335" s="182" t="str">
        <f aca="false">IF($A336="","",SPRDOPT(P335,X335,AI335,0,AB335,AE335,AF335,AK335,$AJ$2,0))</f>
        <v/>
      </c>
      <c r="AM335" s="211" t="str">
        <f aca="false">IF($A336="","",MAX(0,O335-W335-AI335))</f>
        <v/>
      </c>
      <c r="AN335" s="211" t="str">
        <f aca="false">IF($A336="","",AL335-AM335)</f>
        <v/>
      </c>
      <c r="AO335" s="137" t="str">
        <f aca="false">IF(A336="","",A336-A335)</f>
        <v/>
      </c>
      <c r="AP335" s="212" t="str">
        <f aca="false">IF(A336="","",CHOOSE(F$3,A336+24,A335))</f>
        <v/>
      </c>
      <c r="AQ335" s="209" t="str">
        <f aca="false">IF(A336="","",AP335-$E$1)</f>
        <v/>
      </c>
      <c r="AR335" s="185" t="n">
        <f aca="false">'ANR OK vs ML7'!AR335</f>
        <v>0.1</v>
      </c>
      <c r="AS335" s="213" t="str">
        <f aca="false">IF(A336="","",1/(1+CHOOSE(F$3,(AR336+($I$3/10000))/2,(AR335+($I$3/10000))/2))^(2*AQ335/365.25))</f>
        <v/>
      </c>
      <c r="AT335" s="137" t="str">
        <f aca="false">IF(A336="","",IF(AND(mthbeg&lt;=A335,mthend&gt;=A335),1,0))</f>
        <v/>
      </c>
      <c r="AU335" s="137" t="str">
        <f aca="false">IF(A336="","",AO335*AT335)</f>
        <v/>
      </c>
      <c r="AW335" s="195" t="str">
        <f aca="false">IF($A336="","",AL335*$E335)</f>
        <v/>
      </c>
      <c r="AX335" s="195" t="str">
        <f aca="false">IF($A336="","",AM335*$E335)</f>
        <v/>
      </c>
      <c r="AY335" s="195" t="str">
        <f aca="false">IF($A336="","",AN335*$E335)</f>
        <v/>
      </c>
      <c r="BA335" s="195" t="str">
        <f aca="false">IF($A336="","",F335*Summary!$Q$8)</f>
        <v/>
      </c>
    </row>
    <row r="336" customFormat="false" ht="12" hidden="false" customHeight="true" outlineLevel="0" collapsed="false">
      <c r="A336" s="196" t="str">
        <f aca="false">IF(A335&lt;mthend,EDATE(A335,1),"")</f>
        <v/>
      </c>
      <c r="B336" s="197" t="n">
        <f aca="false">IF(A336&lt;mthend,B335,0)</f>
        <v>0</v>
      </c>
      <c r="C336" s="215"/>
      <c r="D336" s="197" t="str">
        <f aca="false">IF(A337&lt;&gt;"",B336+C336,"")</f>
        <v/>
      </c>
      <c r="E336" s="199" t="str">
        <f aca="false">IF(A337="","",IF(AND(AT336=1,$H$3=1),D336*AO336,IF($H$3=2,D336,"N/A")))</f>
        <v/>
      </c>
      <c r="F336" s="199" t="str">
        <f aca="false">IF(A337="","",E336*AS336)</f>
        <v/>
      </c>
      <c r="G336" s="200" t="str">
        <f aca="false">IF($A337="","",VLOOKUP($A336,Table,MATCH(G$4,Curves,0)))</f>
        <v/>
      </c>
      <c r="H336" s="201" t="str">
        <f aca="false">IF(A337="","",G336)</f>
        <v/>
      </c>
      <c r="I336" s="202"/>
      <c r="J336" s="200" t="str">
        <f aca="false">IF($A337="","",VLOOKUP($A336,Table,MATCH(J$4,Curves,0)))</f>
        <v/>
      </c>
      <c r="K336" s="201" t="str">
        <f aca="false">IF(A337="","",J336)</f>
        <v/>
      </c>
      <c r="L336" s="200" t="str">
        <f aca="false">IF($A337="","",VLOOKUP($A336,Table,MATCH(L$4,Curves,0)))</f>
        <v/>
      </c>
      <c r="M336" s="201" t="str">
        <f aca="false">IF(A337="","",L336)</f>
        <v/>
      </c>
      <c r="N336" s="203"/>
      <c r="O336" s="200" t="str">
        <f aca="false">IF(A337="","",L336+J336+G336)</f>
        <v/>
      </c>
      <c r="P336" s="200" t="str">
        <f aca="false">IF(A337="","",M336+K336+H336)</f>
        <v/>
      </c>
      <c r="Q336" s="204"/>
      <c r="R336" s="200" t="str">
        <f aca="false">IF($A337="","",VLOOKUP($A336,Table,MATCH(R$4,Curves,0)))</f>
        <v/>
      </c>
      <c r="S336" s="201" t="str">
        <f aca="false">IF(A337="","",R336)</f>
        <v/>
      </c>
      <c r="T336" s="200" t="str">
        <f aca="false">IF($A337="","",VLOOKUP($A336,Table,MATCH(T$4,Curves,0)))</f>
        <v/>
      </c>
      <c r="U336" s="201" t="str">
        <f aca="false">IF(A337="","",T336)</f>
        <v/>
      </c>
      <c r="V336" s="183" t="str">
        <f aca="false">IF($A337="","",IF(AND(MONTH(A336)&gt;3,MONTH(A336)&lt;11),(T336+R336+G336)*Summary!$T$8/(1-Summary!$T$8),(T336+R336+G336)*Summary!$U$8/(1-Summary!$U$8)))</f>
        <v/>
      </c>
      <c r="W336" s="200" t="str">
        <f aca="false">IF($A337="","",(T336+R336+G336+V336))</f>
        <v/>
      </c>
      <c r="X336" s="200" t="str">
        <f aca="false">IF($A337="","",(U336+S336+H336+V336))</f>
        <v/>
      </c>
      <c r="Y336" s="202"/>
      <c r="Z336" s="185" t="str">
        <f aca="false">IF($A337="","",VLOOKUP($A336,Table,MATCH(Z$4,Curves,0)))</f>
        <v/>
      </c>
      <c r="AA336" s="185" t="str">
        <f aca="false">IF($A337="","",VLOOKUP($A336,Table,MATCH(AA$4,Curves,0)))</f>
        <v/>
      </c>
      <c r="AB336" s="185" t="e">
        <f aca="false">SQRT((AA336^2*(A336-$D$3)+Z336^2*(DAY(EOMONTH(A336,0))/2))/AK336)</f>
        <v>#VALUE!</v>
      </c>
      <c r="AC336" s="185" t="str">
        <f aca="false">IF($A337="","",VLOOKUP($A336,Table,MATCH(AC$4,Curves,0)))</f>
        <v/>
      </c>
      <c r="AD336" s="185" t="str">
        <f aca="false">IF($A337="","",VLOOKUP($A336,Table,MATCH(AD$4,Curves,0)))</f>
        <v/>
      </c>
      <c r="AE336" s="185" t="e">
        <f aca="false">SQRT((AD336^2*(A336-$D$3)+AC336^2*(DAY(EOMONTH(A336,0))/2))/AK336)</f>
        <v>#VALUE!</v>
      </c>
      <c r="AF336" s="224" t="e">
        <f aca="false">((Summary!$N$8*(AA336*AD336)*(A336-$D$3))+(Summary!$M$8*Z336*AC336*(AJ336-EOMONTH(EDATE(A336,-1),0))))/(AK336*AB336*AE336)</f>
        <v>#VALUE!</v>
      </c>
      <c r="AG336" s="207" t="str">
        <f aca="false">IF($A337="","",Summary!$Q$8)</f>
        <v/>
      </c>
      <c r="AH336" s="207" t="str">
        <f aca="false">IF($A337="","",IF(Summary!$R$8="Y",(VLOOKUP($A336,Summary!$AD$6:$AF$9,3)+'Escalating commodity'!D349),'Escalating commodity'!D349))</f>
        <v/>
      </c>
      <c r="AI336" s="207" t="str">
        <f aca="false">IF($A337="","",AH336)</f>
        <v/>
      </c>
      <c r="AJ336" s="208" t="e">
        <f aca="false">A336+DAY(EOMONTH(A336,0))/2-1</f>
        <v>#VALUE!</v>
      </c>
      <c r="AK336" s="209" t="str">
        <f aca="false">IF($A337="","",$A336-$E$1)</f>
        <v/>
      </c>
      <c r="AL336" s="182" t="str">
        <f aca="false">IF($A337="","",SPRDOPT(P336,X336,AI336,0,AB336,AE336,AF336,AK336,$AJ$2,0))</f>
        <v/>
      </c>
      <c r="AM336" s="211" t="str">
        <f aca="false">IF($A337="","",MAX(0,O336-W336-AI336))</f>
        <v/>
      </c>
      <c r="AN336" s="211" t="str">
        <f aca="false">IF($A337="","",AL336-AM336)</f>
        <v/>
      </c>
      <c r="AO336" s="137" t="str">
        <f aca="false">IF(A337="","",A337-A336)</f>
        <v/>
      </c>
      <c r="AP336" s="212" t="str">
        <f aca="false">IF(A337="","",CHOOSE(F$3,A337+24,A336))</f>
        <v/>
      </c>
      <c r="AQ336" s="209" t="str">
        <f aca="false">IF(A337="","",AP336-$E$1)</f>
        <v/>
      </c>
      <c r="AR336" s="185" t="n">
        <f aca="false">'ANR OK vs ML7'!AR336</f>
        <v>0.1</v>
      </c>
      <c r="AS336" s="213" t="str">
        <f aca="false">IF(A337="","",1/(1+CHOOSE(F$3,(AR337+($I$3/10000))/2,(AR336+($I$3/10000))/2))^(2*AQ336/365.25))</f>
        <v/>
      </c>
      <c r="AT336" s="137" t="str">
        <f aca="false">IF(A337="","",IF(AND(mthbeg&lt;=A336,mthend&gt;=A336),1,0))</f>
        <v/>
      </c>
      <c r="AU336" s="137" t="str">
        <f aca="false">IF(A337="","",AO336*AT336)</f>
        <v/>
      </c>
      <c r="AW336" s="195" t="str">
        <f aca="false">IF($A337="","",AL336*$E336)</f>
        <v/>
      </c>
      <c r="AX336" s="195" t="str">
        <f aca="false">IF($A337="","",AM336*$E336)</f>
        <v/>
      </c>
      <c r="AY336" s="195" t="str">
        <f aca="false">IF($A337="","",AN336*$E336)</f>
        <v/>
      </c>
      <c r="BA336" s="195" t="str">
        <f aca="false">IF($A337="","",F336*Summary!$Q$8)</f>
        <v/>
      </c>
    </row>
    <row r="337" customFormat="false" ht="12" hidden="false" customHeight="true" outlineLevel="0" collapsed="false">
      <c r="A337" s="196" t="str">
        <f aca="false">IF(A336&lt;mthend,EDATE(A336,1),"")</f>
        <v/>
      </c>
      <c r="B337" s="197" t="n">
        <f aca="false">IF(A337&lt;mthend,B336,0)</f>
        <v>0</v>
      </c>
      <c r="C337" s="215"/>
      <c r="D337" s="197" t="str">
        <f aca="false">IF(A338&lt;&gt;"",B337+C337,"")</f>
        <v/>
      </c>
      <c r="E337" s="199" t="str">
        <f aca="false">IF(A338="","",IF(AND(AT337=1,$H$3=1),D337*AO337,IF($H$3=2,D337,"N/A")))</f>
        <v/>
      </c>
      <c r="F337" s="199" t="str">
        <f aca="false">IF(A338="","",E337*AS337)</f>
        <v/>
      </c>
      <c r="G337" s="200" t="str">
        <f aca="false">IF($A338="","",VLOOKUP($A337,Table,MATCH(G$4,Curves,0)))</f>
        <v/>
      </c>
      <c r="H337" s="201" t="str">
        <f aca="false">IF(A338="","",G337)</f>
        <v/>
      </c>
      <c r="I337" s="202"/>
      <c r="J337" s="200" t="str">
        <f aca="false">IF($A338="","",VLOOKUP($A337,Table,MATCH(J$4,Curves,0)))</f>
        <v/>
      </c>
      <c r="K337" s="201" t="str">
        <f aca="false">IF(A338="","",J337)</f>
        <v/>
      </c>
      <c r="L337" s="200" t="str">
        <f aca="false">IF($A338="","",VLOOKUP($A337,Table,MATCH(L$4,Curves,0)))</f>
        <v/>
      </c>
      <c r="M337" s="201" t="str">
        <f aca="false">IF(A338="","",L337)</f>
        <v/>
      </c>
      <c r="N337" s="203"/>
      <c r="O337" s="200" t="str">
        <f aca="false">IF(A338="","",L337+J337+G337)</f>
        <v/>
      </c>
      <c r="P337" s="200" t="str">
        <f aca="false">IF(A338="","",M337+K337+H337)</f>
        <v/>
      </c>
      <c r="Q337" s="204"/>
      <c r="R337" s="200" t="str">
        <f aca="false">IF($A338="","",VLOOKUP($A337,Table,MATCH(R$4,Curves,0)))</f>
        <v/>
      </c>
      <c r="S337" s="201" t="str">
        <f aca="false">IF(A338="","",R337)</f>
        <v/>
      </c>
      <c r="T337" s="200" t="str">
        <f aca="false">IF($A338="","",VLOOKUP($A337,Table,MATCH(T$4,Curves,0)))</f>
        <v/>
      </c>
      <c r="U337" s="201" t="str">
        <f aca="false">IF(A338="","",T337)</f>
        <v/>
      </c>
      <c r="V337" s="183" t="str">
        <f aca="false">IF($A338="","",IF(AND(MONTH(A337)&gt;3,MONTH(A337)&lt;11),(T337+R337+G337)*Summary!$T$8/(1-Summary!$T$8),(T337+R337+G337)*Summary!$U$8/(1-Summary!$U$8)))</f>
        <v/>
      </c>
      <c r="W337" s="200" t="str">
        <f aca="false">IF($A338="","",(T337+R337+G337+V337))</f>
        <v/>
      </c>
      <c r="X337" s="200" t="str">
        <f aca="false">IF($A338="","",(U337+S337+H337+V337))</f>
        <v/>
      </c>
      <c r="Y337" s="202"/>
      <c r="Z337" s="185" t="str">
        <f aca="false">IF($A338="","",VLOOKUP($A337,Table,MATCH(Z$4,Curves,0)))</f>
        <v/>
      </c>
      <c r="AA337" s="185" t="str">
        <f aca="false">IF($A338="","",VLOOKUP($A337,Table,MATCH(AA$4,Curves,0)))</f>
        <v/>
      </c>
      <c r="AB337" s="185" t="e">
        <f aca="false">SQRT((AA337^2*(A337-$D$3)+Z337^2*(DAY(EOMONTH(A337,0))/2))/AK337)</f>
        <v>#VALUE!</v>
      </c>
      <c r="AC337" s="185" t="str">
        <f aca="false">IF($A338="","",VLOOKUP($A337,Table,MATCH(AC$4,Curves,0)))</f>
        <v/>
      </c>
      <c r="AD337" s="185" t="str">
        <f aca="false">IF($A338="","",VLOOKUP($A337,Table,MATCH(AD$4,Curves,0)))</f>
        <v/>
      </c>
      <c r="AE337" s="185" t="e">
        <f aca="false">SQRT((AD337^2*(A337-$D$3)+AC337^2*(DAY(EOMONTH(A337,0))/2))/AK337)</f>
        <v>#VALUE!</v>
      </c>
      <c r="AF337" s="224" t="e">
        <f aca="false">((Summary!$N$8*(AA337*AD337)*(A337-$D$3))+(Summary!$M$8*Z337*AC337*(AJ337-EOMONTH(EDATE(A337,-1),0))))/(AK337*AB337*AE337)</f>
        <v>#VALUE!</v>
      </c>
      <c r="AG337" s="207" t="str">
        <f aca="false">IF($A338="","",Summary!$Q$8)</f>
        <v/>
      </c>
      <c r="AH337" s="207" t="str">
        <f aca="false">IF($A338="","",IF(Summary!$R$8="Y",(VLOOKUP($A337,Summary!$AD$6:$AF$9,3)+'Escalating commodity'!D350),'Escalating commodity'!D350))</f>
        <v/>
      </c>
      <c r="AI337" s="207" t="str">
        <f aca="false">IF($A338="","",AH337)</f>
        <v/>
      </c>
      <c r="AJ337" s="208" t="e">
        <f aca="false">A337+DAY(EOMONTH(A337,0))/2-1</f>
        <v>#VALUE!</v>
      </c>
      <c r="AK337" s="209" t="str">
        <f aca="false">IF($A338="","",$A337-$E$1)</f>
        <v/>
      </c>
      <c r="AL337" s="182" t="str">
        <f aca="false">IF($A338="","",SPRDOPT(P337,X337,AI337,0,AB337,AE337,AF337,AK337,$AJ$2,0))</f>
        <v/>
      </c>
      <c r="AM337" s="211" t="str">
        <f aca="false">IF($A338="","",MAX(0,O337-W337-AI337))</f>
        <v/>
      </c>
      <c r="AN337" s="211" t="str">
        <f aca="false">IF($A338="","",AL337-AM337)</f>
        <v/>
      </c>
      <c r="AO337" s="137" t="str">
        <f aca="false">IF(A338="","",A338-A337)</f>
        <v/>
      </c>
      <c r="AP337" s="212" t="str">
        <f aca="false">IF(A338="","",CHOOSE(F$3,A338+24,A337))</f>
        <v/>
      </c>
      <c r="AQ337" s="209" t="str">
        <f aca="false">IF(A338="","",AP337-$E$1)</f>
        <v/>
      </c>
      <c r="AR337" s="185" t="n">
        <f aca="false">'ANR OK vs ML7'!AR337</f>
        <v>0.1</v>
      </c>
      <c r="AS337" s="213" t="str">
        <f aca="false">IF(A338="","",1/(1+CHOOSE(F$3,(AR338+($I$3/10000))/2,(AR337+($I$3/10000))/2))^(2*AQ337/365.25))</f>
        <v/>
      </c>
      <c r="AT337" s="137" t="str">
        <f aca="false">IF(A338="","",IF(AND(mthbeg&lt;=A337,mthend&gt;=A337),1,0))</f>
        <v/>
      </c>
      <c r="AU337" s="137" t="str">
        <f aca="false">IF(A338="","",AO337*AT337)</f>
        <v/>
      </c>
      <c r="AW337" s="195" t="str">
        <f aca="false">IF($A338="","",AL337*$E337)</f>
        <v/>
      </c>
      <c r="AX337" s="195" t="str">
        <f aca="false">IF($A338="","",AM337*$E337)</f>
        <v/>
      </c>
      <c r="AY337" s="195" t="str">
        <f aca="false">IF($A338="","",AN337*$E337)</f>
        <v/>
      </c>
      <c r="BA337" s="195" t="str">
        <f aca="false">IF($A338="","",F337*Summary!$Q$8)</f>
        <v/>
      </c>
    </row>
    <row r="338" customFormat="false" ht="12" hidden="false" customHeight="true" outlineLevel="0" collapsed="false">
      <c r="A338" s="196" t="str">
        <f aca="false">IF(A337&lt;mthend,EDATE(A337,1),"")</f>
        <v/>
      </c>
      <c r="B338" s="197" t="n">
        <f aca="false">IF(A338&lt;mthend,B337,0)</f>
        <v>0</v>
      </c>
      <c r="C338" s="215"/>
      <c r="D338" s="197" t="str">
        <f aca="false">IF(A339&lt;&gt;"",B338+C338,"")</f>
        <v/>
      </c>
      <c r="E338" s="199" t="str">
        <f aca="false">IF(A339="","",IF(AND(AT338=1,$H$3=1),D338*AO338,IF($H$3=2,D338,"N/A")))</f>
        <v/>
      </c>
      <c r="F338" s="199" t="str">
        <f aca="false">IF(A339="","",E338*AS338)</f>
        <v/>
      </c>
      <c r="G338" s="200" t="str">
        <f aca="false">IF($A339="","",VLOOKUP($A338,Table,MATCH(G$4,Curves,0)))</f>
        <v/>
      </c>
      <c r="H338" s="201" t="str">
        <f aca="false">IF(A339="","",G338)</f>
        <v/>
      </c>
      <c r="I338" s="202"/>
      <c r="J338" s="200" t="str">
        <f aca="false">IF($A339="","",VLOOKUP($A338,Table,MATCH(J$4,Curves,0)))</f>
        <v/>
      </c>
      <c r="K338" s="201" t="str">
        <f aca="false">IF(A339="","",J338)</f>
        <v/>
      </c>
      <c r="L338" s="200" t="str">
        <f aca="false">IF($A339="","",VLOOKUP($A338,Table,MATCH(L$4,Curves,0)))</f>
        <v/>
      </c>
      <c r="M338" s="201" t="str">
        <f aca="false">IF(A339="","",L338)</f>
        <v/>
      </c>
      <c r="N338" s="203"/>
      <c r="O338" s="200" t="str">
        <f aca="false">IF(A339="","",L338+J338+G338)</f>
        <v/>
      </c>
      <c r="P338" s="200" t="str">
        <f aca="false">IF(A339="","",M338+K338+H338)</f>
        <v/>
      </c>
      <c r="Q338" s="204"/>
      <c r="R338" s="200" t="str">
        <f aca="false">IF($A339="","",VLOOKUP($A338,Table,MATCH(R$4,Curves,0)))</f>
        <v/>
      </c>
      <c r="S338" s="201" t="str">
        <f aca="false">IF(A339="","",R338)</f>
        <v/>
      </c>
      <c r="T338" s="200" t="str">
        <f aca="false">IF($A339="","",VLOOKUP($A338,Table,MATCH(T$4,Curves,0)))</f>
        <v/>
      </c>
      <c r="U338" s="201" t="str">
        <f aca="false">IF(A339="","",T338)</f>
        <v/>
      </c>
      <c r="V338" s="183" t="str">
        <f aca="false">IF($A339="","",IF(AND(MONTH(A338)&gt;3,MONTH(A338)&lt;11),(T338+R338+G338)*Summary!$T$8/(1-Summary!$T$8),(T338+R338+G338)*Summary!$U$8/(1-Summary!$U$8)))</f>
        <v/>
      </c>
      <c r="W338" s="200" t="str">
        <f aca="false">IF($A339="","",(T338+R338+G338+V338))</f>
        <v/>
      </c>
      <c r="X338" s="200" t="str">
        <f aca="false">IF($A339="","",(U338+S338+H338+V338))</f>
        <v/>
      </c>
      <c r="Y338" s="202"/>
      <c r="Z338" s="185" t="str">
        <f aca="false">IF($A339="","",VLOOKUP($A338,Table,MATCH(Z$4,Curves,0)))</f>
        <v/>
      </c>
      <c r="AA338" s="185" t="str">
        <f aca="false">IF($A339="","",VLOOKUP($A338,Table,MATCH(AA$4,Curves,0)))</f>
        <v/>
      </c>
      <c r="AB338" s="185" t="e">
        <f aca="false">SQRT((AA338^2*(A338-$D$3)+Z338^2*(DAY(EOMONTH(A338,0))/2))/AK338)</f>
        <v>#VALUE!</v>
      </c>
      <c r="AC338" s="185" t="str">
        <f aca="false">IF($A339="","",VLOOKUP($A338,Table,MATCH(AC$4,Curves,0)))</f>
        <v/>
      </c>
      <c r="AD338" s="185" t="str">
        <f aca="false">IF($A339="","",VLOOKUP($A338,Table,MATCH(AD$4,Curves,0)))</f>
        <v/>
      </c>
      <c r="AE338" s="185" t="e">
        <f aca="false">SQRT((AD338^2*(A338-$D$3)+AC338^2*(DAY(EOMONTH(A338,0))/2))/AK338)</f>
        <v>#VALUE!</v>
      </c>
      <c r="AF338" s="224" t="e">
        <f aca="false">((Summary!$N$8*(AA338*AD338)*(A338-$D$3))+(Summary!$M$8*Z338*AC338*(AJ338-EOMONTH(EDATE(A338,-1),0))))/(AK338*AB338*AE338)</f>
        <v>#VALUE!</v>
      </c>
      <c r="AG338" s="207" t="str">
        <f aca="false">IF($A339="","",Summary!$Q$8)</f>
        <v/>
      </c>
      <c r="AH338" s="207" t="str">
        <f aca="false">IF($A339="","",IF(Summary!$R$8="Y",(VLOOKUP($A338,Summary!$AD$6:$AF$9,3)+'Escalating commodity'!D351),'Escalating commodity'!D351))</f>
        <v/>
      </c>
      <c r="AI338" s="207" t="str">
        <f aca="false">IF($A339="","",AH338)</f>
        <v/>
      </c>
      <c r="AJ338" s="208" t="e">
        <f aca="false">A338+DAY(EOMONTH(A338,0))/2-1</f>
        <v>#VALUE!</v>
      </c>
      <c r="AK338" s="209" t="str">
        <f aca="false">IF($A339="","",$A338-$E$1)</f>
        <v/>
      </c>
      <c r="AL338" s="182" t="str">
        <f aca="false">IF($A339="","",SPRDOPT(P338,X338,AI338,0,AB338,AE338,AF338,AK338,$AJ$2,0))</f>
        <v/>
      </c>
      <c r="AM338" s="211" t="str">
        <f aca="false">IF($A339="","",MAX(0,O338-W338-AI338))</f>
        <v/>
      </c>
      <c r="AN338" s="211" t="str">
        <f aca="false">IF($A339="","",AL338-AM338)</f>
        <v/>
      </c>
      <c r="AO338" s="137" t="str">
        <f aca="false">IF(A339="","",A339-A338)</f>
        <v/>
      </c>
      <c r="AP338" s="212" t="str">
        <f aca="false">IF(A339="","",CHOOSE(F$3,A339+24,A338))</f>
        <v/>
      </c>
      <c r="AQ338" s="209" t="str">
        <f aca="false">IF(A339="","",AP338-$E$1)</f>
        <v/>
      </c>
      <c r="AR338" s="185" t="n">
        <f aca="false">'ANR OK vs ML7'!AR338</f>
        <v>0.1</v>
      </c>
      <c r="AS338" s="213" t="str">
        <f aca="false">IF(A339="","",1/(1+CHOOSE(F$3,(AR339+($I$3/10000))/2,(AR338+($I$3/10000))/2))^(2*AQ338/365.25))</f>
        <v/>
      </c>
      <c r="AT338" s="137" t="str">
        <f aca="false">IF(A339="","",IF(AND(mthbeg&lt;=A338,mthend&gt;=A338),1,0))</f>
        <v/>
      </c>
      <c r="AU338" s="137" t="str">
        <f aca="false">IF(A339="","",AO338*AT338)</f>
        <v/>
      </c>
      <c r="AW338" s="195" t="str">
        <f aca="false">IF($A339="","",AL338*$E338)</f>
        <v/>
      </c>
      <c r="AX338" s="195" t="str">
        <f aca="false">IF($A339="","",AM338*$E338)</f>
        <v/>
      </c>
      <c r="AY338" s="195" t="str">
        <f aca="false">IF($A339="","",AN338*$E338)</f>
        <v/>
      </c>
      <c r="BA338" s="195" t="str">
        <f aca="false">IF($A339="","",F338*Summary!$Q$8)</f>
        <v/>
      </c>
    </row>
    <row r="339" customFormat="false" ht="12" hidden="false" customHeight="true" outlineLevel="0" collapsed="false">
      <c r="A339" s="196" t="str">
        <f aca="false">IF(A338&lt;mthend,EDATE(A338,1),"")</f>
        <v/>
      </c>
      <c r="B339" s="197" t="n">
        <f aca="false">IF(A339&lt;mthend,B338,0)</f>
        <v>0</v>
      </c>
      <c r="C339" s="215"/>
      <c r="D339" s="197" t="str">
        <f aca="false">IF(A340&lt;&gt;"",B339+C339,"")</f>
        <v/>
      </c>
      <c r="E339" s="199" t="str">
        <f aca="false">IF(A340="","",IF(AND(AT339=1,$H$3=1),D339*AO339,IF($H$3=2,D339,"N/A")))</f>
        <v/>
      </c>
      <c r="F339" s="199" t="str">
        <f aca="false">IF(A340="","",E339*AS339)</f>
        <v/>
      </c>
      <c r="G339" s="200" t="str">
        <f aca="false">IF($A340="","",VLOOKUP($A339,Table,MATCH(G$4,Curves,0)))</f>
        <v/>
      </c>
      <c r="H339" s="201" t="str">
        <f aca="false">IF(A340="","",G339)</f>
        <v/>
      </c>
      <c r="I339" s="202"/>
      <c r="J339" s="200" t="str">
        <f aca="false">IF($A340="","",VLOOKUP($A339,Table,MATCH(J$4,Curves,0)))</f>
        <v/>
      </c>
      <c r="K339" s="201" t="str">
        <f aca="false">IF(A340="","",J339)</f>
        <v/>
      </c>
      <c r="L339" s="200" t="str">
        <f aca="false">IF($A340="","",VLOOKUP($A339,Table,MATCH(L$4,Curves,0)))</f>
        <v/>
      </c>
      <c r="M339" s="201" t="str">
        <f aca="false">IF(A340="","",L339)</f>
        <v/>
      </c>
      <c r="N339" s="203"/>
      <c r="O339" s="200" t="str">
        <f aca="false">IF(A340="","",L339+J339+G339)</f>
        <v/>
      </c>
      <c r="P339" s="200" t="str">
        <f aca="false">IF(A340="","",M339+K339+H339)</f>
        <v/>
      </c>
      <c r="Q339" s="204"/>
      <c r="R339" s="200" t="str">
        <f aca="false">IF($A340="","",VLOOKUP($A339,Table,MATCH(R$4,Curves,0)))</f>
        <v/>
      </c>
      <c r="S339" s="201" t="str">
        <f aca="false">IF(A340="","",R339)</f>
        <v/>
      </c>
      <c r="T339" s="200" t="str">
        <f aca="false">IF($A340="","",VLOOKUP($A339,Table,MATCH(T$4,Curves,0)))</f>
        <v/>
      </c>
      <c r="U339" s="201" t="str">
        <f aca="false">IF(A340="","",T339)</f>
        <v/>
      </c>
      <c r="V339" s="183" t="str">
        <f aca="false">IF($A340="","",IF(AND(MONTH(A339)&gt;3,MONTH(A339)&lt;11),(T339+R339+G339)*Summary!$T$8/(1-Summary!$T$8),(T339+R339+G339)*Summary!$U$8/(1-Summary!$U$8)))</f>
        <v/>
      </c>
      <c r="W339" s="200" t="str">
        <f aca="false">IF($A340="","",(T339+R339+G339+V339))</f>
        <v/>
      </c>
      <c r="X339" s="200" t="str">
        <f aca="false">IF($A340="","",(U339+S339+H339+V339))</f>
        <v/>
      </c>
      <c r="Y339" s="202"/>
      <c r="Z339" s="185" t="str">
        <f aca="false">IF($A340="","",VLOOKUP($A339,Table,MATCH(Z$4,Curves,0)))</f>
        <v/>
      </c>
      <c r="AA339" s="185" t="str">
        <f aca="false">IF($A340="","",VLOOKUP($A339,Table,MATCH(AA$4,Curves,0)))</f>
        <v/>
      </c>
      <c r="AB339" s="185" t="e">
        <f aca="false">SQRT((AA339^2*(A339-$D$3)+Z339^2*(DAY(EOMONTH(A339,0))/2))/AK339)</f>
        <v>#VALUE!</v>
      </c>
      <c r="AC339" s="185" t="str">
        <f aca="false">IF($A340="","",VLOOKUP($A339,Table,MATCH(AC$4,Curves,0)))</f>
        <v/>
      </c>
      <c r="AD339" s="185" t="str">
        <f aca="false">IF($A340="","",VLOOKUP($A339,Table,MATCH(AD$4,Curves,0)))</f>
        <v/>
      </c>
      <c r="AE339" s="185" t="e">
        <f aca="false">SQRT((AD339^2*(A339-$D$3)+AC339^2*(DAY(EOMONTH(A339,0))/2))/AK339)</f>
        <v>#VALUE!</v>
      </c>
      <c r="AF339" s="224" t="e">
        <f aca="false">((Summary!$N$8*(AA339*AD339)*(A339-$D$3))+(Summary!$M$8*Z339*AC339*(AJ339-EOMONTH(EDATE(A339,-1),0))))/(AK339*AB339*AE339)</f>
        <v>#VALUE!</v>
      </c>
      <c r="AG339" s="207" t="str">
        <f aca="false">IF($A340="","",Summary!$Q$8)</f>
        <v/>
      </c>
      <c r="AH339" s="207" t="str">
        <f aca="false">IF($A340="","",IF(Summary!$R$8="Y",(VLOOKUP($A339,Summary!$AD$6:$AF$9,3)+'Escalating commodity'!D352),'Escalating commodity'!D352))</f>
        <v/>
      </c>
      <c r="AI339" s="207" t="str">
        <f aca="false">IF($A340="","",AH339)</f>
        <v/>
      </c>
      <c r="AJ339" s="208" t="e">
        <f aca="false">A339+DAY(EOMONTH(A339,0))/2-1</f>
        <v>#VALUE!</v>
      </c>
      <c r="AK339" s="209" t="str">
        <f aca="false">IF($A340="","",$A339-$E$1)</f>
        <v/>
      </c>
      <c r="AL339" s="182" t="str">
        <f aca="false">IF($A340="","",SPRDOPT(P339,X339,AI339,0,AB339,AE339,AF339,AK339,$AJ$2,0))</f>
        <v/>
      </c>
      <c r="AM339" s="211" t="str">
        <f aca="false">IF($A340="","",MAX(0,O339-W339-AI339))</f>
        <v/>
      </c>
      <c r="AN339" s="211" t="str">
        <f aca="false">IF($A340="","",AL339-AM339)</f>
        <v/>
      </c>
      <c r="AO339" s="137" t="str">
        <f aca="false">IF(A340="","",A340-A339)</f>
        <v/>
      </c>
      <c r="AP339" s="212" t="str">
        <f aca="false">IF(A340="","",CHOOSE(F$3,A340+24,A339))</f>
        <v/>
      </c>
      <c r="AQ339" s="209" t="str">
        <f aca="false">IF(A340="","",AP339-$E$1)</f>
        <v/>
      </c>
      <c r="AR339" s="185" t="n">
        <f aca="false">'ANR OK vs ML7'!AR339</f>
        <v>0.1</v>
      </c>
      <c r="AS339" s="213" t="str">
        <f aca="false">IF(A340="","",1/(1+CHOOSE(F$3,(AR340+($I$3/10000))/2,(AR339+($I$3/10000))/2))^(2*AQ339/365.25))</f>
        <v/>
      </c>
      <c r="AT339" s="137" t="str">
        <f aca="false">IF(A340="","",IF(AND(mthbeg&lt;=A339,mthend&gt;=A339),1,0))</f>
        <v/>
      </c>
      <c r="AU339" s="137" t="str">
        <f aca="false">IF(A340="","",AO339*AT339)</f>
        <v/>
      </c>
      <c r="AW339" s="195" t="str">
        <f aca="false">IF($A340="","",AL339*$E339)</f>
        <v/>
      </c>
      <c r="AX339" s="195" t="str">
        <f aca="false">IF($A340="","",AM339*$E339)</f>
        <v/>
      </c>
      <c r="AY339" s="195" t="str">
        <f aca="false">IF($A340="","",AN339*$E339)</f>
        <v/>
      </c>
      <c r="BA339" s="195" t="str">
        <f aca="false">IF($A340="","",F339*Summary!$Q$8)</f>
        <v/>
      </c>
    </row>
    <row r="340" customFormat="false" ht="12" hidden="false" customHeight="true" outlineLevel="0" collapsed="false">
      <c r="A340" s="196" t="str">
        <f aca="false">IF(A339&lt;mthend,EDATE(A339,1),"")</f>
        <v/>
      </c>
      <c r="B340" s="197" t="n">
        <f aca="false">IF(A340&lt;mthend,B339,0)</f>
        <v>0</v>
      </c>
      <c r="C340" s="215"/>
      <c r="D340" s="197" t="str">
        <f aca="false">IF(A341&lt;&gt;"",B340+C340,"")</f>
        <v/>
      </c>
      <c r="E340" s="199" t="str">
        <f aca="false">IF(A341="","",IF(AND(AT340=1,$H$3=1),D340*AO340,IF($H$3=2,D340,"N/A")))</f>
        <v/>
      </c>
      <c r="F340" s="199" t="str">
        <f aca="false">IF(A341="","",E340*AS340)</f>
        <v/>
      </c>
      <c r="G340" s="200" t="str">
        <f aca="false">IF($A341="","",VLOOKUP($A340,Table,MATCH(G$4,Curves,0)))</f>
        <v/>
      </c>
      <c r="H340" s="201" t="str">
        <f aca="false">IF(A341="","",G340)</f>
        <v/>
      </c>
      <c r="I340" s="202"/>
      <c r="J340" s="200" t="str">
        <f aca="false">IF($A341="","",VLOOKUP($A340,Table,MATCH(J$4,Curves,0)))</f>
        <v/>
      </c>
      <c r="K340" s="201" t="str">
        <f aca="false">IF(A341="","",J340)</f>
        <v/>
      </c>
      <c r="L340" s="200" t="str">
        <f aca="false">IF($A341="","",VLOOKUP($A340,Table,MATCH(L$4,Curves,0)))</f>
        <v/>
      </c>
      <c r="M340" s="201" t="str">
        <f aca="false">IF(A341="","",L340)</f>
        <v/>
      </c>
      <c r="N340" s="203"/>
      <c r="O340" s="200" t="str">
        <f aca="false">IF(A341="","",L340+J340+G340)</f>
        <v/>
      </c>
      <c r="P340" s="200" t="str">
        <f aca="false">IF(A341="","",M340+K340+H340)</f>
        <v/>
      </c>
      <c r="Q340" s="204"/>
      <c r="R340" s="200" t="str">
        <f aca="false">IF($A341="","",VLOOKUP($A340,Table,MATCH(R$4,Curves,0)))</f>
        <v/>
      </c>
      <c r="S340" s="201" t="str">
        <f aca="false">IF(A341="","",R340)</f>
        <v/>
      </c>
      <c r="T340" s="200" t="str">
        <f aca="false">IF($A341="","",VLOOKUP($A340,Table,MATCH(T$4,Curves,0)))</f>
        <v/>
      </c>
      <c r="U340" s="201" t="str">
        <f aca="false">IF(A341="","",T340)</f>
        <v/>
      </c>
      <c r="V340" s="183" t="str">
        <f aca="false">IF($A341="","",IF(AND(MONTH(A340)&gt;3,MONTH(A340)&lt;11),(T340+R340+G340)*Summary!$T$8/(1-Summary!$T$8),(T340+R340+G340)*Summary!$U$8/(1-Summary!$U$8)))</f>
        <v/>
      </c>
      <c r="W340" s="200" t="str">
        <f aca="false">IF($A341="","",(T340+R340+G340+V340))</f>
        <v/>
      </c>
      <c r="X340" s="200" t="str">
        <f aca="false">IF($A341="","",(U340+S340+H340+V340))</f>
        <v/>
      </c>
      <c r="Y340" s="202"/>
      <c r="Z340" s="185" t="str">
        <f aca="false">IF($A341="","",VLOOKUP($A340,Table,MATCH(Z$4,Curves,0)))</f>
        <v/>
      </c>
      <c r="AA340" s="185" t="str">
        <f aca="false">IF($A341="","",VLOOKUP($A340,Table,MATCH(AA$4,Curves,0)))</f>
        <v/>
      </c>
      <c r="AB340" s="185" t="e">
        <f aca="false">SQRT((AA340^2*(A340-$D$3)+Z340^2*(DAY(EOMONTH(A340,0))/2))/AK340)</f>
        <v>#VALUE!</v>
      </c>
      <c r="AC340" s="185" t="str">
        <f aca="false">IF($A341="","",VLOOKUP($A340,Table,MATCH(AC$4,Curves,0)))</f>
        <v/>
      </c>
      <c r="AD340" s="185" t="str">
        <f aca="false">IF($A341="","",VLOOKUP($A340,Table,MATCH(AD$4,Curves,0)))</f>
        <v/>
      </c>
      <c r="AE340" s="185" t="e">
        <f aca="false">SQRT((AD340^2*(A340-$D$3)+AC340^2*(DAY(EOMONTH(A340,0))/2))/AK340)</f>
        <v>#VALUE!</v>
      </c>
      <c r="AF340" s="224" t="e">
        <f aca="false">((Summary!$N$8*(AA340*AD340)*(A340-$D$3))+(Summary!$M$8*Z340*AC340*(AJ340-EOMONTH(EDATE(A340,-1),0))))/(AK340*AB340*AE340)</f>
        <v>#VALUE!</v>
      </c>
      <c r="AG340" s="207" t="str">
        <f aca="false">IF($A341="","",Summary!$Q$8)</f>
        <v/>
      </c>
      <c r="AH340" s="207" t="str">
        <f aca="false">IF($A341="","",IF(Summary!$R$8="Y",(VLOOKUP($A340,Summary!$AD$6:$AF$9,3)+'Escalating commodity'!D353),'Escalating commodity'!D353))</f>
        <v/>
      </c>
      <c r="AI340" s="207" t="str">
        <f aca="false">IF($A341="","",AH340)</f>
        <v/>
      </c>
      <c r="AJ340" s="208" t="e">
        <f aca="false">A340+DAY(EOMONTH(A340,0))/2-1</f>
        <v>#VALUE!</v>
      </c>
      <c r="AK340" s="209" t="str">
        <f aca="false">IF($A341="","",$A340-$E$1)</f>
        <v/>
      </c>
      <c r="AL340" s="182" t="str">
        <f aca="false">IF($A341="","",SPRDOPT(P340,X340,AI340,0,AB340,AE340,AF340,AK340,$AJ$2,0))</f>
        <v/>
      </c>
      <c r="AM340" s="211" t="str">
        <f aca="false">IF($A341="","",MAX(0,O340-W340-AI340))</f>
        <v/>
      </c>
      <c r="AN340" s="211" t="str">
        <f aca="false">IF($A341="","",AL340-AM340)</f>
        <v/>
      </c>
      <c r="AO340" s="137" t="str">
        <f aca="false">IF(A341="","",A341-A340)</f>
        <v/>
      </c>
      <c r="AP340" s="212" t="str">
        <f aca="false">IF(A341="","",CHOOSE(F$3,A341+24,A340))</f>
        <v/>
      </c>
      <c r="AQ340" s="209" t="str">
        <f aca="false">IF(A341="","",AP340-$E$1)</f>
        <v/>
      </c>
      <c r="AR340" s="185" t="n">
        <f aca="false">'ANR OK vs ML7'!AR340</f>
        <v>0.1</v>
      </c>
      <c r="AS340" s="213" t="str">
        <f aca="false">IF(A341="","",1/(1+CHOOSE(F$3,(AR341+($I$3/10000))/2,(AR340+($I$3/10000))/2))^(2*AQ340/365.25))</f>
        <v/>
      </c>
      <c r="AT340" s="137" t="str">
        <f aca="false">IF(A341="","",IF(AND(mthbeg&lt;=A340,mthend&gt;=A340),1,0))</f>
        <v/>
      </c>
      <c r="AU340" s="137" t="str">
        <f aca="false">IF(A341="","",AO340*AT340)</f>
        <v/>
      </c>
      <c r="AW340" s="195" t="str">
        <f aca="false">IF($A341="","",AL340*$E340)</f>
        <v/>
      </c>
      <c r="AX340" s="195" t="str">
        <f aca="false">IF($A341="","",AM340*$E340)</f>
        <v/>
      </c>
      <c r="AY340" s="195" t="str">
        <f aca="false">IF($A341="","",AN340*$E340)</f>
        <v/>
      </c>
      <c r="BA340" s="195" t="str">
        <f aca="false">IF($A341="","",F340*Summary!$Q$8)</f>
        <v/>
      </c>
    </row>
    <row r="341" customFormat="false" ht="12" hidden="false" customHeight="true" outlineLevel="0" collapsed="false">
      <c r="A341" s="196" t="str">
        <f aca="false">IF(A340&lt;mthend,EDATE(A340,1),"")</f>
        <v/>
      </c>
      <c r="B341" s="197" t="n">
        <f aca="false">IF(A341&lt;mthend,B340,0)</f>
        <v>0</v>
      </c>
      <c r="C341" s="215"/>
      <c r="D341" s="197" t="str">
        <f aca="false">IF(A342&lt;&gt;"",B341+C341,"")</f>
        <v/>
      </c>
      <c r="E341" s="199" t="str">
        <f aca="false">IF(A342="","",IF(AND(AT341=1,$H$3=1),D341*AO341,IF($H$3=2,D341,"N/A")))</f>
        <v/>
      </c>
      <c r="F341" s="199" t="str">
        <f aca="false">IF(A342="","",E341*AS341)</f>
        <v/>
      </c>
      <c r="G341" s="200" t="str">
        <f aca="false">IF($A342="","",VLOOKUP($A341,Table,MATCH(G$4,Curves,0)))</f>
        <v/>
      </c>
      <c r="H341" s="201" t="str">
        <f aca="false">IF(A342="","",G341)</f>
        <v/>
      </c>
      <c r="I341" s="202"/>
      <c r="J341" s="200" t="str">
        <f aca="false">IF($A342="","",VLOOKUP($A341,Table,MATCH(J$4,Curves,0)))</f>
        <v/>
      </c>
      <c r="K341" s="201" t="str">
        <f aca="false">IF(A342="","",J341)</f>
        <v/>
      </c>
      <c r="L341" s="200" t="str">
        <f aca="false">IF($A342="","",VLOOKUP($A341,Table,MATCH(L$4,Curves,0)))</f>
        <v/>
      </c>
      <c r="M341" s="201" t="str">
        <f aca="false">IF(A342="","",L341)</f>
        <v/>
      </c>
      <c r="N341" s="203"/>
      <c r="O341" s="200" t="str">
        <f aca="false">IF(A342="","",L341+J341+G341)</f>
        <v/>
      </c>
      <c r="P341" s="200" t="str">
        <f aca="false">IF(A342="","",M341+K341+H341)</f>
        <v/>
      </c>
      <c r="Q341" s="204"/>
      <c r="R341" s="200" t="str">
        <f aca="false">IF($A342="","",VLOOKUP($A341,Table,MATCH(R$4,Curves,0)))</f>
        <v/>
      </c>
      <c r="S341" s="201" t="str">
        <f aca="false">IF(A342="","",R341)</f>
        <v/>
      </c>
      <c r="T341" s="200" t="str">
        <f aca="false">IF($A342="","",VLOOKUP($A341,Table,MATCH(T$4,Curves,0)))</f>
        <v/>
      </c>
      <c r="U341" s="201" t="str">
        <f aca="false">IF(A342="","",T341)</f>
        <v/>
      </c>
      <c r="V341" s="183" t="str">
        <f aca="false">IF($A342="","",IF(AND(MONTH(A341)&gt;3,MONTH(A341)&lt;11),(T341+R341+G341)*Summary!$T$8/(1-Summary!$T$8),(T341+R341+G341)*Summary!$U$8/(1-Summary!$U$8)))</f>
        <v/>
      </c>
      <c r="W341" s="200" t="str">
        <f aca="false">IF($A342="","",(T341+R341+G341+V341))</f>
        <v/>
      </c>
      <c r="X341" s="200" t="str">
        <f aca="false">IF($A342="","",(U341+S341+H341+V341))</f>
        <v/>
      </c>
      <c r="Y341" s="202"/>
      <c r="Z341" s="185" t="str">
        <f aca="false">IF($A342="","",VLOOKUP($A341,Table,MATCH(Z$4,Curves,0)))</f>
        <v/>
      </c>
      <c r="AA341" s="185" t="str">
        <f aca="false">IF($A342="","",VLOOKUP($A341,Table,MATCH(AA$4,Curves,0)))</f>
        <v/>
      </c>
      <c r="AB341" s="185" t="e">
        <f aca="false">SQRT((AA341^2*(A341-$D$3)+Z341^2*(DAY(EOMONTH(A341,0))/2))/AK341)</f>
        <v>#VALUE!</v>
      </c>
      <c r="AC341" s="185" t="str">
        <f aca="false">IF($A342="","",VLOOKUP($A341,Table,MATCH(AC$4,Curves,0)))</f>
        <v/>
      </c>
      <c r="AD341" s="185" t="str">
        <f aca="false">IF($A342="","",VLOOKUP($A341,Table,MATCH(AD$4,Curves,0)))</f>
        <v/>
      </c>
      <c r="AE341" s="185" t="e">
        <f aca="false">SQRT((AD341^2*(A341-$D$3)+AC341^2*(DAY(EOMONTH(A341,0))/2))/AK341)</f>
        <v>#VALUE!</v>
      </c>
      <c r="AF341" s="224" t="e">
        <f aca="false">((Summary!$N$8*(AA341*AD341)*(A341-$D$3))+(Summary!$M$8*Z341*AC341*(AJ341-EOMONTH(EDATE(A341,-1),0))))/(AK341*AB341*AE341)</f>
        <v>#VALUE!</v>
      </c>
      <c r="AG341" s="207" t="str">
        <f aca="false">IF($A342="","",Summary!$Q$8)</f>
        <v/>
      </c>
      <c r="AH341" s="207" t="str">
        <f aca="false">IF($A342="","",IF(Summary!$R$8="Y",(VLOOKUP($A341,Summary!$AD$6:$AF$9,3)+'Escalating commodity'!D354),'Escalating commodity'!D354))</f>
        <v/>
      </c>
      <c r="AI341" s="207" t="str">
        <f aca="false">IF($A342="","",AH341)</f>
        <v/>
      </c>
      <c r="AJ341" s="208" t="e">
        <f aca="false">A341+DAY(EOMONTH(A341,0))/2-1</f>
        <v>#VALUE!</v>
      </c>
      <c r="AK341" s="209" t="str">
        <f aca="false">IF($A342="","",$A341-$E$1)</f>
        <v/>
      </c>
      <c r="AL341" s="182" t="str">
        <f aca="false">IF($A342="","",SPRDOPT(P341,X341,AI341,0,AB341,AE341,AF341,AK341,$AJ$2,0))</f>
        <v/>
      </c>
      <c r="AM341" s="211" t="str">
        <f aca="false">IF($A342="","",MAX(0,O341-W341-AI341))</f>
        <v/>
      </c>
      <c r="AN341" s="211" t="str">
        <f aca="false">IF($A342="","",AL341-AM341)</f>
        <v/>
      </c>
      <c r="AO341" s="137" t="str">
        <f aca="false">IF(A342="","",A342-A341)</f>
        <v/>
      </c>
      <c r="AP341" s="212" t="str">
        <f aca="false">IF(A342="","",CHOOSE(F$3,A342+24,A341))</f>
        <v/>
      </c>
      <c r="AQ341" s="209" t="str">
        <f aca="false">IF(A342="","",AP341-$E$1)</f>
        <v/>
      </c>
      <c r="AR341" s="185" t="n">
        <f aca="false">'ANR OK vs ML7'!AR341</f>
        <v>0.1</v>
      </c>
      <c r="AS341" s="213" t="str">
        <f aca="false">IF(A342="","",1/(1+CHOOSE(F$3,(AR342+($I$3/10000))/2,(AR341+($I$3/10000))/2))^(2*AQ341/365.25))</f>
        <v/>
      </c>
      <c r="AT341" s="137" t="str">
        <f aca="false">IF(A342="","",IF(AND(mthbeg&lt;=A341,mthend&gt;=A341),1,0))</f>
        <v/>
      </c>
      <c r="AU341" s="137" t="str">
        <f aca="false">IF(A342="","",AO341*AT341)</f>
        <v/>
      </c>
      <c r="AW341" s="195" t="str">
        <f aca="false">IF($A342="","",AL341*$E341)</f>
        <v/>
      </c>
      <c r="AX341" s="195" t="str">
        <f aca="false">IF($A342="","",AM341*$E341)</f>
        <v/>
      </c>
      <c r="AY341" s="195" t="str">
        <f aca="false">IF($A342="","",AN341*$E341)</f>
        <v/>
      </c>
      <c r="BA341" s="195" t="str">
        <f aca="false">IF($A342="","",F341*Summary!$Q$8)</f>
        <v/>
      </c>
    </row>
    <row r="342" customFormat="false" ht="12" hidden="false" customHeight="true" outlineLevel="0" collapsed="false">
      <c r="A342" s="196" t="str">
        <f aca="false">IF(A341&lt;mthend,EDATE(A341,1),"")</f>
        <v/>
      </c>
      <c r="B342" s="197" t="n">
        <f aca="false">IF(A342&lt;mthend,B341,0)</f>
        <v>0</v>
      </c>
      <c r="C342" s="215"/>
      <c r="D342" s="197" t="str">
        <f aca="false">IF(A343&lt;&gt;"",B342+C342,"")</f>
        <v/>
      </c>
      <c r="E342" s="199" t="str">
        <f aca="false">IF(A343="","",IF(AND(AT342=1,$H$3=1),D342*AO342,IF($H$3=2,D342,"N/A")))</f>
        <v/>
      </c>
      <c r="F342" s="199" t="str">
        <f aca="false">IF(A343="","",E342*AS342)</f>
        <v/>
      </c>
      <c r="G342" s="200" t="str">
        <f aca="false">IF($A343="","",VLOOKUP($A342,Table,MATCH(G$4,Curves,0)))</f>
        <v/>
      </c>
      <c r="H342" s="201" t="str">
        <f aca="false">IF(A343="","",G342)</f>
        <v/>
      </c>
      <c r="I342" s="202"/>
      <c r="J342" s="200" t="str">
        <f aca="false">IF($A343="","",VLOOKUP($A342,Table,MATCH(J$4,Curves,0)))</f>
        <v/>
      </c>
      <c r="K342" s="201" t="str">
        <f aca="false">IF(A343="","",J342)</f>
        <v/>
      </c>
      <c r="L342" s="200" t="str">
        <f aca="false">IF($A343="","",VLOOKUP($A342,Table,MATCH(L$4,Curves,0)))</f>
        <v/>
      </c>
      <c r="M342" s="201" t="str">
        <f aca="false">IF(A343="","",L342)</f>
        <v/>
      </c>
      <c r="N342" s="203"/>
      <c r="O342" s="200" t="str">
        <f aca="false">IF(A343="","",L342+J342+G342)</f>
        <v/>
      </c>
      <c r="P342" s="200" t="str">
        <f aca="false">IF(A343="","",M342+K342+H342)</f>
        <v/>
      </c>
      <c r="Q342" s="204"/>
      <c r="R342" s="200" t="str">
        <f aca="false">IF($A343="","",VLOOKUP($A342,Table,MATCH(R$4,Curves,0)))</f>
        <v/>
      </c>
      <c r="S342" s="201" t="str">
        <f aca="false">IF(A343="","",R342)</f>
        <v/>
      </c>
      <c r="T342" s="200" t="str">
        <f aca="false">IF($A343="","",VLOOKUP($A342,Table,MATCH(T$4,Curves,0)))</f>
        <v/>
      </c>
      <c r="U342" s="201" t="str">
        <f aca="false">IF(A343="","",T342)</f>
        <v/>
      </c>
      <c r="V342" s="183" t="str">
        <f aca="false">IF($A343="","",IF(AND(MONTH(A342)&gt;3,MONTH(A342)&lt;11),(T342+R342+G342)*Summary!$T$8/(1-Summary!$T$8),(T342+R342+G342)*Summary!$U$8/(1-Summary!$U$8)))</f>
        <v/>
      </c>
      <c r="W342" s="200" t="str">
        <f aca="false">IF($A343="","",(T342+R342+G342+V342))</f>
        <v/>
      </c>
      <c r="X342" s="200" t="str">
        <f aca="false">IF($A343="","",(U342+S342+H342+V342))</f>
        <v/>
      </c>
      <c r="Y342" s="202"/>
      <c r="Z342" s="185" t="str">
        <f aca="false">IF($A343="","",VLOOKUP($A342,Table,MATCH(Z$4,Curves,0)))</f>
        <v/>
      </c>
      <c r="AA342" s="185" t="str">
        <f aca="false">IF($A343="","",VLOOKUP($A342,Table,MATCH(AA$4,Curves,0)))</f>
        <v/>
      </c>
      <c r="AB342" s="185" t="e">
        <f aca="false">SQRT((AA342^2*(A342-$D$3)+Z342^2*(DAY(EOMONTH(A342,0))/2))/AK342)</f>
        <v>#VALUE!</v>
      </c>
      <c r="AC342" s="185" t="str">
        <f aca="false">IF($A343="","",VLOOKUP($A342,Table,MATCH(AC$4,Curves,0)))</f>
        <v/>
      </c>
      <c r="AD342" s="185" t="str">
        <f aca="false">IF($A343="","",VLOOKUP($A342,Table,MATCH(AD$4,Curves,0)))</f>
        <v/>
      </c>
      <c r="AE342" s="185" t="e">
        <f aca="false">SQRT((AD342^2*(A342-$D$3)+AC342^2*(DAY(EOMONTH(A342,0))/2))/AK342)</f>
        <v>#VALUE!</v>
      </c>
      <c r="AF342" s="224" t="e">
        <f aca="false">((Summary!$N$8*(AA342*AD342)*(A342-$D$3))+(Summary!$M$8*Z342*AC342*(AJ342-EOMONTH(EDATE(A342,-1),0))))/(AK342*AB342*AE342)</f>
        <v>#VALUE!</v>
      </c>
      <c r="AG342" s="207" t="str">
        <f aca="false">IF($A343="","",Summary!$Q$8)</f>
        <v/>
      </c>
      <c r="AH342" s="207" t="str">
        <f aca="false">IF($A343="","",IF(Summary!$R$8="Y",(VLOOKUP($A342,Summary!$AD$6:$AF$9,3)+'Escalating commodity'!D355),'Escalating commodity'!D355))</f>
        <v/>
      </c>
      <c r="AI342" s="207" t="str">
        <f aca="false">IF($A343="","",AH342)</f>
        <v/>
      </c>
      <c r="AJ342" s="208" t="e">
        <f aca="false">A342+DAY(EOMONTH(A342,0))/2-1</f>
        <v>#VALUE!</v>
      </c>
      <c r="AK342" s="209" t="str">
        <f aca="false">IF($A343="","",$A342-$E$1)</f>
        <v/>
      </c>
      <c r="AL342" s="182" t="str">
        <f aca="false">IF($A343="","",SPRDOPT(P342,X342,AI342,0,AB342,AE342,AF342,AK342,$AJ$2,0))</f>
        <v/>
      </c>
      <c r="AM342" s="211" t="str">
        <f aca="false">IF($A343="","",MAX(0,O342-W342-AI342))</f>
        <v/>
      </c>
      <c r="AN342" s="211" t="str">
        <f aca="false">IF($A343="","",AL342-AM342)</f>
        <v/>
      </c>
      <c r="AO342" s="137" t="str">
        <f aca="false">IF(A343="","",A343-A342)</f>
        <v/>
      </c>
      <c r="AP342" s="212" t="str">
        <f aca="false">IF(A343="","",CHOOSE(F$3,A343+24,A342))</f>
        <v/>
      </c>
      <c r="AQ342" s="209" t="str">
        <f aca="false">IF(A343="","",AP342-$E$1)</f>
        <v/>
      </c>
      <c r="AR342" s="185" t="n">
        <f aca="false">'ANR OK vs ML7'!AR342</f>
        <v>0.1</v>
      </c>
      <c r="AS342" s="213" t="str">
        <f aca="false">IF(A343="","",1/(1+CHOOSE(F$3,(AR343+($I$3/10000))/2,(AR342+($I$3/10000))/2))^(2*AQ342/365.25))</f>
        <v/>
      </c>
      <c r="AT342" s="137" t="str">
        <f aca="false">IF(A343="","",IF(AND(mthbeg&lt;=A342,mthend&gt;=A342),1,0))</f>
        <v/>
      </c>
      <c r="AU342" s="137" t="str">
        <f aca="false">IF(A343="","",AO342*AT342)</f>
        <v/>
      </c>
      <c r="AW342" s="195" t="str">
        <f aca="false">IF($A343="","",AL342*$E342)</f>
        <v/>
      </c>
      <c r="AX342" s="195" t="str">
        <f aca="false">IF($A343="","",AM342*$E342)</f>
        <v/>
      </c>
      <c r="AY342" s="195" t="str">
        <f aca="false">IF($A343="","",AN342*$E342)</f>
        <v/>
      </c>
      <c r="BA342" s="195" t="str">
        <f aca="false">IF($A343="","",F342*Summary!$Q$8)</f>
        <v/>
      </c>
    </row>
    <row r="343" customFormat="false" ht="12" hidden="false" customHeight="true" outlineLevel="0" collapsed="false">
      <c r="A343" s="196" t="str">
        <f aca="false">IF(A342&lt;mthend,EDATE(A342,1),"")</f>
        <v/>
      </c>
      <c r="B343" s="197" t="n">
        <f aca="false">IF(A343&lt;mthend,B342,0)</f>
        <v>0</v>
      </c>
      <c r="C343" s="215"/>
      <c r="D343" s="197" t="str">
        <f aca="false">IF(A344&lt;&gt;"",B343+C343,"")</f>
        <v/>
      </c>
      <c r="E343" s="199" t="str">
        <f aca="false">IF(A344="","",IF(AND(AT343=1,$H$3=1),D343*AO343,IF($H$3=2,D343,"N/A")))</f>
        <v/>
      </c>
      <c r="F343" s="199" t="str">
        <f aca="false">IF(A344="","",E343*AS343)</f>
        <v/>
      </c>
      <c r="G343" s="200" t="str">
        <f aca="false">IF($A344="","",VLOOKUP($A343,Table,MATCH(G$4,Curves,0)))</f>
        <v/>
      </c>
      <c r="H343" s="201" t="str">
        <f aca="false">IF(A344="","",G343)</f>
        <v/>
      </c>
      <c r="I343" s="202"/>
      <c r="J343" s="200" t="str">
        <f aca="false">IF($A344="","",VLOOKUP($A343,Table,MATCH(J$4,Curves,0)))</f>
        <v/>
      </c>
      <c r="K343" s="201" t="str">
        <f aca="false">IF(A344="","",J343)</f>
        <v/>
      </c>
      <c r="L343" s="200" t="str">
        <f aca="false">IF($A344="","",VLOOKUP($A343,Table,MATCH(L$4,Curves,0)))</f>
        <v/>
      </c>
      <c r="M343" s="201" t="str">
        <f aca="false">IF(A344="","",L343)</f>
        <v/>
      </c>
      <c r="N343" s="203"/>
      <c r="O343" s="200" t="str">
        <f aca="false">IF(A344="","",L343+J343+G343)</f>
        <v/>
      </c>
      <c r="P343" s="200" t="str">
        <f aca="false">IF(A344="","",M343+K343+H343)</f>
        <v/>
      </c>
      <c r="Q343" s="204"/>
      <c r="R343" s="200" t="str">
        <f aca="false">IF($A344="","",VLOOKUP($A343,Table,MATCH(R$4,Curves,0)))</f>
        <v/>
      </c>
      <c r="S343" s="201" t="str">
        <f aca="false">IF(A344="","",R343)</f>
        <v/>
      </c>
      <c r="T343" s="200" t="str">
        <f aca="false">IF($A344="","",VLOOKUP($A343,Table,MATCH(T$4,Curves,0)))</f>
        <v/>
      </c>
      <c r="U343" s="201" t="str">
        <f aca="false">IF(A344="","",T343)</f>
        <v/>
      </c>
      <c r="V343" s="183" t="str">
        <f aca="false">IF($A344="","",IF(AND(MONTH(A343)&gt;3,MONTH(A343)&lt;11),(T343+R343+G343)*Summary!$T$8/(1-Summary!$T$8),(T343+R343+G343)*Summary!$U$8/(1-Summary!$U$8)))</f>
        <v/>
      </c>
      <c r="W343" s="200" t="str">
        <f aca="false">IF($A344="","",(T343+R343+G343+V343))</f>
        <v/>
      </c>
      <c r="X343" s="200" t="str">
        <f aca="false">IF($A344="","",(U343+S343+H343+V343))</f>
        <v/>
      </c>
      <c r="Y343" s="202"/>
      <c r="Z343" s="185" t="str">
        <f aca="false">IF($A344="","",VLOOKUP($A343,Table,MATCH(Z$4,Curves,0)))</f>
        <v/>
      </c>
      <c r="AA343" s="185" t="str">
        <f aca="false">IF($A344="","",VLOOKUP($A343,Table,MATCH(AA$4,Curves,0)))</f>
        <v/>
      </c>
      <c r="AB343" s="185" t="e">
        <f aca="false">SQRT((AA343^2*(A343-$D$3)+Z343^2*(DAY(EOMONTH(A343,0))/2))/AK343)</f>
        <v>#VALUE!</v>
      </c>
      <c r="AC343" s="185" t="str">
        <f aca="false">IF($A344="","",VLOOKUP($A343,Table,MATCH(AC$4,Curves,0)))</f>
        <v/>
      </c>
      <c r="AD343" s="185" t="str">
        <f aca="false">IF($A344="","",VLOOKUP($A343,Table,MATCH(AD$4,Curves,0)))</f>
        <v/>
      </c>
      <c r="AE343" s="185" t="e">
        <f aca="false">SQRT((AD343^2*(A343-$D$3)+AC343^2*(DAY(EOMONTH(A343,0))/2))/AK343)</f>
        <v>#VALUE!</v>
      </c>
      <c r="AF343" s="224" t="e">
        <f aca="false">((Summary!$N$8*(AA343*AD343)*(A343-$D$3))+(Summary!$M$8*Z343*AC343*(AJ343-EOMONTH(EDATE(A343,-1),0))))/(AK343*AB343*AE343)</f>
        <v>#VALUE!</v>
      </c>
      <c r="AG343" s="207" t="str">
        <f aca="false">IF($A344="","",Summary!$Q$8)</f>
        <v/>
      </c>
      <c r="AH343" s="207" t="str">
        <f aca="false">IF($A344="","",IF(Summary!$R$8="Y",(VLOOKUP($A343,Summary!$AD$6:$AF$9,3)+'Escalating commodity'!D356),'Escalating commodity'!D356))</f>
        <v/>
      </c>
      <c r="AI343" s="207" t="str">
        <f aca="false">IF($A344="","",AH343)</f>
        <v/>
      </c>
      <c r="AJ343" s="208" t="e">
        <f aca="false">A343+DAY(EOMONTH(A343,0))/2-1</f>
        <v>#VALUE!</v>
      </c>
      <c r="AK343" s="209" t="str">
        <f aca="false">IF($A344="","",$A343-$E$1)</f>
        <v/>
      </c>
      <c r="AL343" s="182" t="str">
        <f aca="false">IF($A344="","",SPRDOPT(P343,X343,AI343,0,AB343,AE343,AF343,AK343,$AJ$2,0))</f>
        <v/>
      </c>
      <c r="AM343" s="211" t="str">
        <f aca="false">IF($A344="","",MAX(0,O343-W343-AI343))</f>
        <v/>
      </c>
      <c r="AN343" s="211" t="str">
        <f aca="false">IF($A344="","",AL343-AM343)</f>
        <v/>
      </c>
      <c r="AO343" s="137" t="str">
        <f aca="false">IF(A344="","",A344-A343)</f>
        <v/>
      </c>
      <c r="AP343" s="212" t="str">
        <f aca="false">IF(A344="","",CHOOSE(F$3,A344+24,A343))</f>
        <v/>
      </c>
      <c r="AQ343" s="209" t="str">
        <f aca="false">IF(A344="","",AP343-$E$1)</f>
        <v/>
      </c>
      <c r="AR343" s="185" t="n">
        <f aca="false">'ANR OK vs ML7'!AR343</f>
        <v>0.1</v>
      </c>
      <c r="AS343" s="213" t="str">
        <f aca="false">IF(A344="","",1/(1+CHOOSE(F$3,(AR344+($I$3/10000))/2,(AR343+($I$3/10000))/2))^(2*AQ343/365.25))</f>
        <v/>
      </c>
      <c r="AT343" s="137" t="str">
        <f aca="false">IF(A344="","",IF(AND(mthbeg&lt;=A343,mthend&gt;=A343),1,0))</f>
        <v/>
      </c>
      <c r="AU343" s="137" t="str">
        <f aca="false">IF(A344="","",AO343*AT343)</f>
        <v/>
      </c>
      <c r="AW343" s="195" t="str">
        <f aca="false">IF($A344="","",AL343*$E343)</f>
        <v/>
      </c>
      <c r="AX343" s="195" t="str">
        <f aca="false">IF($A344="","",AM343*$E343)</f>
        <v/>
      </c>
      <c r="AY343" s="195" t="str">
        <f aca="false">IF($A344="","",AN343*$E343)</f>
        <v/>
      </c>
      <c r="BA343" s="195" t="str">
        <f aca="false">IF($A344="","",F343*Summary!$Q$8)</f>
        <v/>
      </c>
    </row>
    <row r="344" customFormat="false" ht="12" hidden="false" customHeight="true" outlineLevel="0" collapsed="false">
      <c r="A344" s="196" t="str">
        <f aca="false">IF(A343&lt;mthend,EDATE(A343,1),"")</f>
        <v/>
      </c>
      <c r="B344" s="197" t="n">
        <f aca="false">IF(A344&lt;mthend,B343,0)</f>
        <v>0</v>
      </c>
      <c r="C344" s="215"/>
      <c r="D344" s="197" t="str">
        <f aca="false">IF(A345&lt;&gt;"",B344+C344,"")</f>
        <v/>
      </c>
      <c r="E344" s="199" t="str">
        <f aca="false">IF(A345="","",IF(AND(AT344=1,$H$3=1),D344*AO344,IF($H$3=2,D344,"N/A")))</f>
        <v/>
      </c>
      <c r="F344" s="199" t="str">
        <f aca="false">IF(A345="","",E344*AS344)</f>
        <v/>
      </c>
      <c r="G344" s="200" t="str">
        <f aca="false">IF($A345="","",VLOOKUP($A344,Table,MATCH(G$4,Curves,0)))</f>
        <v/>
      </c>
      <c r="H344" s="201" t="str">
        <f aca="false">IF(A345="","",G344)</f>
        <v/>
      </c>
      <c r="I344" s="202"/>
      <c r="J344" s="200" t="str">
        <f aca="false">IF($A345="","",VLOOKUP($A344,Table,MATCH(J$4,Curves,0)))</f>
        <v/>
      </c>
      <c r="K344" s="201" t="str">
        <f aca="false">IF(A345="","",J344)</f>
        <v/>
      </c>
      <c r="L344" s="200" t="str">
        <f aca="false">IF($A345="","",VLOOKUP($A344,Table,MATCH(L$4,Curves,0)))</f>
        <v/>
      </c>
      <c r="M344" s="201" t="str">
        <f aca="false">IF(A345="","",L344)</f>
        <v/>
      </c>
      <c r="N344" s="203"/>
      <c r="O344" s="200" t="str">
        <f aca="false">IF(A345="","",L344+J344+G344)</f>
        <v/>
      </c>
      <c r="P344" s="200" t="str">
        <f aca="false">IF(A345="","",M344+K344+H344)</f>
        <v/>
      </c>
      <c r="Q344" s="204"/>
      <c r="R344" s="200" t="str">
        <f aca="false">IF($A345="","",VLOOKUP($A344,Table,MATCH(R$4,Curves,0)))</f>
        <v/>
      </c>
      <c r="S344" s="201" t="str">
        <f aca="false">IF(A345="","",R344)</f>
        <v/>
      </c>
      <c r="T344" s="200" t="str">
        <f aca="false">IF($A345="","",VLOOKUP($A344,Table,MATCH(T$4,Curves,0)))</f>
        <v/>
      </c>
      <c r="U344" s="201" t="str">
        <f aca="false">IF(A345="","",T344)</f>
        <v/>
      </c>
      <c r="V344" s="183" t="str">
        <f aca="false">IF($A345="","",IF(AND(MONTH(A344)&gt;3,MONTH(A344)&lt;11),(T344+R344+G344)*Summary!$T$8/(1-Summary!$T$8),(T344+R344+G344)*Summary!$U$8/(1-Summary!$U$8)))</f>
        <v/>
      </c>
      <c r="W344" s="200" t="str">
        <f aca="false">IF($A345="","",(T344+R344+G344+V344))</f>
        <v/>
      </c>
      <c r="X344" s="200" t="str">
        <f aca="false">IF($A345="","",(U344+S344+H344+V344))</f>
        <v/>
      </c>
      <c r="Y344" s="202"/>
      <c r="Z344" s="185" t="str">
        <f aca="false">IF($A345="","",VLOOKUP($A344,Table,MATCH(Z$4,Curves,0)))</f>
        <v/>
      </c>
      <c r="AA344" s="185" t="str">
        <f aca="false">IF($A345="","",VLOOKUP($A344,Table,MATCH(AA$4,Curves,0)))</f>
        <v/>
      </c>
      <c r="AB344" s="185" t="e">
        <f aca="false">SQRT((AA344^2*(A344-$D$3)+Z344^2*(DAY(EOMONTH(A344,0))/2))/AK344)</f>
        <v>#VALUE!</v>
      </c>
      <c r="AC344" s="185" t="str">
        <f aca="false">IF($A345="","",VLOOKUP($A344,Table,MATCH(AC$4,Curves,0)))</f>
        <v/>
      </c>
      <c r="AD344" s="185" t="str">
        <f aca="false">IF($A345="","",VLOOKUP($A344,Table,MATCH(AD$4,Curves,0)))</f>
        <v/>
      </c>
      <c r="AE344" s="185" t="e">
        <f aca="false">SQRT((AD344^2*(A344-$D$3)+AC344^2*(DAY(EOMONTH(A344,0))/2))/AK344)</f>
        <v>#VALUE!</v>
      </c>
      <c r="AF344" s="224" t="e">
        <f aca="false">((Summary!$N$8*(AA344*AD344)*(A344-$D$3))+(Summary!$M$8*Z344*AC344*(AJ344-EOMONTH(EDATE(A344,-1),0))))/(AK344*AB344*AE344)</f>
        <v>#VALUE!</v>
      </c>
      <c r="AG344" s="207" t="str">
        <f aca="false">IF($A345="","",Summary!$Q$8)</f>
        <v/>
      </c>
      <c r="AH344" s="207" t="str">
        <f aca="false">IF($A345="","",IF(Summary!$R$8="Y",(VLOOKUP($A344,Summary!$AD$6:$AF$9,3)+'Escalating commodity'!D357),'Escalating commodity'!D357))</f>
        <v/>
      </c>
      <c r="AI344" s="207" t="str">
        <f aca="false">IF($A345="","",AH344)</f>
        <v/>
      </c>
      <c r="AJ344" s="208" t="e">
        <f aca="false">A344+DAY(EOMONTH(A344,0))/2-1</f>
        <v>#VALUE!</v>
      </c>
      <c r="AK344" s="209" t="str">
        <f aca="false">IF($A345="","",$A344-$E$1)</f>
        <v/>
      </c>
      <c r="AL344" s="182" t="str">
        <f aca="false">IF($A345="","",SPRDOPT(P344,X344,AI344,0,AB344,AE344,AF344,AK344,$AJ$2,0))</f>
        <v/>
      </c>
      <c r="AM344" s="211" t="str">
        <f aca="false">IF($A345="","",MAX(0,O344-W344-AI344))</f>
        <v/>
      </c>
      <c r="AN344" s="211" t="str">
        <f aca="false">IF($A345="","",AL344-AM344)</f>
        <v/>
      </c>
      <c r="AO344" s="137" t="str">
        <f aca="false">IF(A345="","",A345-A344)</f>
        <v/>
      </c>
      <c r="AP344" s="212" t="str">
        <f aca="false">IF(A345="","",CHOOSE(F$3,A345+24,A344))</f>
        <v/>
      </c>
      <c r="AQ344" s="209" t="str">
        <f aca="false">IF(A345="","",AP344-$E$1)</f>
        <v/>
      </c>
      <c r="AR344" s="185" t="n">
        <f aca="false">'ANR OK vs ML7'!AR344</f>
        <v>0.1</v>
      </c>
      <c r="AS344" s="213" t="str">
        <f aca="false">IF(A345="","",1/(1+CHOOSE(F$3,(AR345+($I$3/10000))/2,(AR344+($I$3/10000))/2))^(2*AQ344/365.25))</f>
        <v/>
      </c>
      <c r="AT344" s="137" t="str">
        <f aca="false">IF(A345="","",IF(AND(mthbeg&lt;=A344,mthend&gt;=A344),1,0))</f>
        <v/>
      </c>
      <c r="AU344" s="137" t="str">
        <f aca="false">IF(A345="","",AO344*AT344)</f>
        <v/>
      </c>
      <c r="AW344" s="195" t="str">
        <f aca="false">IF($A345="","",AL344*$E344)</f>
        <v/>
      </c>
      <c r="AX344" s="195" t="str">
        <f aca="false">IF($A345="","",AM344*$E344)</f>
        <v/>
      </c>
      <c r="AY344" s="195" t="str">
        <f aca="false">IF($A345="","",AN344*$E344)</f>
        <v/>
      </c>
      <c r="BA344" s="195" t="str">
        <f aca="false">IF($A345="","",F344*Summary!$Q$8)</f>
        <v/>
      </c>
    </row>
    <row r="345" customFormat="false" ht="12" hidden="false" customHeight="true" outlineLevel="0" collapsed="false">
      <c r="A345" s="196" t="str">
        <f aca="false">IF(A344&lt;mthend,EDATE(A344,1),"")</f>
        <v/>
      </c>
      <c r="B345" s="197" t="n">
        <f aca="false">IF(A345&lt;mthend,B344,0)</f>
        <v>0</v>
      </c>
      <c r="C345" s="215"/>
      <c r="D345" s="197" t="str">
        <f aca="false">IF(A346&lt;&gt;"",B345+C345,"")</f>
        <v/>
      </c>
      <c r="E345" s="199" t="str">
        <f aca="false">IF(A346="","",IF(AND(AT345=1,$H$3=1),D345*AO345,IF($H$3=2,D345,"N/A")))</f>
        <v/>
      </c>
      <c r="F345" s="199" t="str">
        <f aca="false">IF(A346="","",E345*AS345)</f>
        <v/>
      </c>
      <c r="G345" s="200" t="str">
        <f aca="false">IF($A346="","",VLOOKUP($A345,Table,MATCH(G$4,Curves,0)))</f>
        <v/>
      </c>
      <c r="H345" s="201" t="str">
        <f aca="false">IF(A346="","",G345)</f>
        <v/>
      </c>
      <c r="I345" s="202"/>
      <c r="J345" s="200" t="str">
        <f aca="false">IF($A346="","",VLOOKUP($A345,Table,MATCH(J$4,Curves,0)))</f>
        <v/>
      </c>
      <c r="K345" s="201" t="str">
        <f aca="false">IF(A346="","",J345)</f>
        <v/>
      </c>
      <c r="L345" s="200" t="str">
        <f aca="false">IF($A346="","",VLOOKUP($A345,Table,MATCH(L$4,Curves,0)))</f>
        <v/>
      </c>
      <c r="M345" s="201" t="str">
        <f aca="false">IF(A346="","",L345)</f>
        <v/>
      </c>
      <c r="N345" s="203"/>
      <c r="O345" s="200" t="str">
        <f aca="false">IF(A346="","",L345+J345+G345)</f>
        <v/>
      </c>
      <c r="P345" s="200" t="str">
        <f aca="false">IF(A346="","",M345+K345+H345)</f>
        <v/>
      </c>
      <c r="Q345" s="204"/>
      <c r="R345" s="200" t="str">
        <f aca="false">IF($A346="","",VLOOKUP($A345,Table,MATCH(R$4,Curves,0)))</f>
        <v/>
      </c>
      <c r="S345" s="201" t="str">
        <f aca="false">IF(A346="","",R345)</f>
        <v/>
      </c>
      <c r="T345" s="200" t="str">
        <f aca="false">IF($A346="","",VLOOKUP($A345,Table,MATCH(T$4,Curves,0)))</f>
        <v/>
      </c>
      <c r="U345" s="201" t="str">
        <f aca="false">IF(A346="","",T345)</f>
        <v/>
      </c>
      <c r="V345" s="183" t="str">
        <f aca="false">IF($A346="","",IF(AND(MONTH(A345)&gt;3,MONTH(A345)&lt;11),(T345+R345+G345)*Summary!$T$8/(1-Summary!$T$8),(T345+R345+G345)*Summary!$U$8/(1-Summary!$U$8)))</f>
        <v/>
      </c>
      <c r="W345" s="200" t="str">
        <f aca="false">IF($A346="","",(T345+R345+G345+V345))</f>
        <v/>
      </c>
      <c r="X345" s="200" t="str">
        <f aca="false">IF($A346="","",(U345+S345+H345+V345))</f>
        <v/>
      </c>
      <c r="Y345" s="202"/>
      <c r="Z345" s="185" t="str">
        <f aca="false">IF($A346="","",VLOOKUP($A345,Table,MATCH(Z$4,Curves,0)))</f>
        <v/>
      </c>
      <c r="AA345" s="185" t="str">
        <f aca="false">IF($A346="","",VLOOKUP($A345,Table,MATCH(AA$4,Curves,0)))</f>
        <v/>
      </c>
      <c r="AB345" s="185" t="e">
        <f aca="false">SQRT((AA345^2*(A345-$D$3)+Z345^2*(DAY(EOMONTH(A345,0))/2))/AK345)</f>
        <v>#VALUE!</v>
      </c>
      <c r="AC345" s="185" t="str">
        <f aca="false">IF($A346="","",VLOOKUP($A345,Table,MATCH(AC$4,Curves,0)))</f>
        <v/>
      </c>
      <c r="AD345" s="185" t="str">
        <f aca="false">IF($A346="","",VLOOKUP($A345,Table,MATCH(AD$4,Curves,0)))</f>
        <v/>
      </c>
      <c r="AE345" s="185" t="e">
        <f aca="false">SQRT((AD345^2*(A345-$D$3)+AC345^2*(DAY(EOMONTH(A345,0))/2))/AK345)</f>
        <v>#VALUE!</v>
      </c>
      <c r="AF345" s="224" t="e">
        <f aca="false">((Summary!$N$8*(AA345*AD345)*(A345-$D$3))+(Summary!$M$8*Z345*AC345*(AJ345-EOMONTH(EDATE(A345,-1),0))))/(AK345*AB345*AE345)</f>
        <v>#VALUE!</v>
      </c>
      <c r="AG345" s="207" t="str">
        <f aca="false">IF($A346="","",Summary!$Q$8)</f>
        <v/>
      </c>
      <c r="AH345" s="207" t="str">
        <f aca="false">IF($A346="","",IF(Summary!$R$8="Y",(VLOOKUP($A345,Summary!$AD$6:$AF$9,3)+'Escalating commodity'!D358),'Escalating commodity'!D358))</f>
        <v/>
      </c>
      <c r="AI345" s="207" t="str">
        <f aca="false">IF($A346="","",AH345)</f>
        <v/>
      </c>
      <c r="AJ345" s="208" t="e">
        <f aca="false">A345+DAY(EOMONTH(A345,0))/2-1</f>
        <v>#VALUE!</v>
      </c>
      <c r="AK345" s="209" t="str">
        <f aca="false">IF($A346="","",$A345-$E$1)</f>
        <v/>
      </c>
      <c r="AL345" s="182" t="str">
        <f aca="false">IF($A346="","",SPRDOPT(P345,X345,AI345,0,AB345,AE345,AF345,AK345,$AJ$2,0))</f>
        <v/>
      </c>
      <c r="AM345" s="211" t="str">
        <f aca="false">IF($A346="","",MAX(0,O345-W345-AI345))</f>
        <v/>
      </c>
      <c r="AN345" s="211" t="str">
        <f aca="false">IF($A346="","",AL345-AM345)</f>
        <v/>
      </c>
      <c r="AO345" s="137" t="str">
        <f aca="false">IF(A346="","",A346-A345)</f>
        <v/>
      </c>
      <c r="AP345" s="212" t="str">
        <f aca="false">IF(A346="","",CHOOSE(F$3,A346+24,A345))</f>
        <v/>
      </c>
      <c r="AQ345" s="209" t="str">
        <f aca="false">IF(A346="","",AP345-$E$1)</f>
        <v/>
      </c>
      <c r="AR345" s="185" t="n">
        <f aca="false">'ANR OK vs ML7'!AR345</f>
        <v>0.1</v>
      </c>
      <c r="AS345" s="213" t="str">
        <f aca="false">IF(A346="","",1/(1+CHOOSE(F$3,(AR346+($I$3/10000))/2,(AR345+($I$3/10000))/2))^(2*AQ345/365.25))</f>
        <v/>
      </c>
      <c r="AT345" s="137" t="str">
        <f aca="false">IF(A346="","",IF(AND(mthbeg&lt;=A345,mthend&gt;=A345),1,0))</f>
        <v/>
      </c>
      <c r="AU345" s="137" t="str">
        <f aca="false">IF(A346="","",AO345*AT345)</f>
        <v/>
      </c>
      <c r="AW345" s="195" t="str">
        <f aca="false">IF($A346="","",AL345*$E345)</f>
        <v/>
      </c>
      <c r="AX345" s="195" t="str">
        <f aca="false">IF($A346="","",AM345*$E345)</f>
        <v/>
      </c>
      <c r="AY345" s="195" t="str">
        <f aca="false">IF($A346="","",AN345*$E345)</f>
        <v/>
      </c>
      <c r="BA345" s="195" t="str">
        <f aca="false">IF($A346="","",F345*Summary!$Q$8)</f>
        <v/>
      </c>
    </row>
    <row r="346" customFormat="false" ht="12" hidden="false" customHeight="true" outlineLevel="0" collapsed="false">
      <c r="A346" s="196" t="str">
        <f aca="false">IF(A345&lt;mthend,EDATE(A345,1),"")</f>
        <v/>
      </c>
      <c r="B346" s="197" t="n">
        <f aca="false">IF(A346&lt;mthend,B345,0)</f>
        <v>0</v>
      </c>
      <c r="C346" s="215"/>
      <c r="D346" s="197" t="str">
        <f aca="false">IF(A347&lt;&gt;"",B346+C346,"")</f>
        <v/>
      </c>
      <c r="E346" s="199" t="str">
        <f aca="false">IF(A347="","",IF(AND(AT346=1,$H$3=1),D346*AO346,IF($H$3=2,D346,"N/A")))</f>
        <v/>
      </c>
      <c r="F346" s="199" t="str">
        <f aca="false">IF(A347="","",E346*AS346)</f>
        <v/>
      </c>
      <c r="G346" s="200" t="str">
        <f aca="false">IF($A347="","",VLOOKUP($A346,Table,MATCH(G$4,Curves,0)))</f>
        <v/>
      </c>
      <c r="H346" s="201" t="str">
        <f aca="false">IF(A347="","",G346)</f>
        <v/>
      </c>
      <c r="I346" s="202"/>
      <c r="J346" s="200" t="str">
        <f aca="false">IF($A347="","",VLOOKUP($A346,Table,MATCH(J$4,Curves,0)))</f>
        <v/>
      </c>
      <c r="K346" s="201" t="str">
        <f aca="false">IF(A347="","",J346)</f>
        <v/>
      </c>
      <c r="L346" s="200" t="str">
        <f aca="false">IF($A347="","",VLOOKUP($A346,Table,MATCH(L$4,Curves,0)))</f>
        <v/>
      </c>
      <c r="M346" s="201" t="str">
        <f aca="false">IF(A347="","",L346)</f>
        <v/>
      </c>
      <c r="N346" s="203"/>
      <c r="O346" s="200" t="str">
        <f aca="false">IF(A347="","",L346+J346+G346)</f>
        <v/>
      </c>
      <c r="P346" s="200" t="str">
        <f aca="false">IF(A347="","",M346+K346+H346)</f>
        <v/>
      </c>
      <c r="Q346" s="204"/>
      <c r="R346" s="200" t="str">
        <f aca="false">IF($A347="","",VLOOKUP($A346,Table,MATCH(R$4,Curves,0)))</f>
        <v/>
      </c>
      <c r="S346" s="201" t="str">
        <f aca="false">IF(A347="","",R346)</f>
        <v/>
      </c>
      <c r="T346" s="200" t="str">
        <f aca="false">IF($A347="","",VLOOKUP($A346,Table,MATCH(T$4,Curves,0)))</f>
        <v/>
      </c>
      <c r="U346" s="201" t="str">
        <f aca="false">IF(A347="","",T346)</f>
        <v/>
      </c>
      <c r="V346" s="183" t="str">
        <f aca="false">IF($A347="","",IF(AND(MONTH(A346)&gt;3,MONTH(A346)&lt;11),(T346+R346+G346)*Summary!$T$8/(1-Summary!$T$8),(T346+R346+G346)*Summary!$U$8/(1-Summary!$U$8)))</f>
        <v/>
      </c>
      <c r="W346" s="200" t="str">
        <f aca="false">IF($A347="","",(T346+R346+G346+V346))</f>
        <v/>
      </c>
      <c r="X346" s="200" t="str">
        <f aca="false">IF($A347="","",(U346+S346+H346+V346))</f>
        <v/>
      </c>
      <c r="Y346" s="202"/>
      <c r="Z346" s="185" t="str">
        <f aca="false">IF($A347="","",VLOOKUP($A346,Table,MATCH(Z$4,Curves,0)))</f>
        <v/>
      </c>
      <c r="AA346" s="185" t="str">
        <f aca="false">IF($A347="","",VLOOKUP($A346,Table,MATCH(AA$4,Curves,0)))</f>
        <v/>
      </c>
      <c r="AB346" s="185" t="e">
        <f aca="false">SQRT((AA346^2*(A346-$D$3)+Z346^2*(DAY(EOMONTH(A346,0))/2))/AK346)</f>
        <v>#VALUE!</v>
      </c>
      <c r="AC346" s="185" t="str">
        <f aca="false">IF($A347="","",VLOOKUP($A346,Table,MATCH(AC$4,Curves,0)))</f>
        <v/>
      </c>
      <c r="AD346" s="185" t="str">
        <f aca="false">IF($A347="","",VLOOKUP($A346,Table,MATCH(AD$4,Curves,0)))</f>
        <v/>
      </c>
      <c r="AE346" s="185" t="e">
        <f aca="false">SQRT((AD346^2*(A346-$D$3)+AC346^2*(DAY(EOMONTH(A346,0))/2))/AK346)</f>
        <v>#VALUE!</v>
      </c>
      <c r="AF346" s="224" t="e">
        <f aca="false">((Summary!$N$8*(AA346*AD346)*(A346-$D$3))+(Summary!$M$8*Z346*AC346*(AJ346-EOMONTH(EDATE(A346,-1),0))))/(AK346*AB346*AE346)</f>
        <v>#VALUE!</v>
      </c>
      <c r="AG346" s="207" t="str">
        <f aca="false">IF($A347="","",Summary!$Q$8)</f>
        <v/>
      </c>
      <c r="AH346" s="207" t="str">
        <f aca="false">IF($A347="","",IF(Summary!$R$8="Y",(VLOOKUP($A346,Summary!$AD$6:$AF$9,3)+'Escalating commodity'!D359),'Escalating commodity'!D359))</f>
        <v/>
      </c>
      <c r="AI346" s="207" t="str">
        <f aca="false">IF($A347="","",AH346)</f>
        <v/>
      </c>
      <c r="AJ346" s="208" t="e">
        <f aca="false">A346+DAY(EOMONTH(A346,0))/2-1</f>
        <v>#VALUE!</v>
      </c>
      <c r="AK346" s="209" t="str">
        <f aca="false">IF($A347="","",$A346-$E$1)</f>
        <v/>
      </c>
      <c r="AL346" s="182" t="str">
        <f aca="false">IF($A347="","",SPRDOPT(P346,X346,AI346,0,AB346,AE346,AF346,AK346,$AJ$2,0))</f>
        <v/>
      </c>
      <c r="AM346" s="211" t="str">
        <f aca="false">IF($A347="","",MAX(0,O346-W346-AI346))</f>
        <v/>
      </c>
      <c r="AN346" s="211" t="str">
        <f aca="false">IF($A347="","",AL346-AM346)</f>
        <v/>
      </c>
      <c r="AO346" s="137" t="str">
        <f aca="false">IF(A347="","",A347-A346)</f>
        <v/>
      </c>
      <c r="AP346" s="212" t="str">
        <f aca="false">IF(A347="","",CHOOSE(F$3,A347+24,A346))</f>
        <v/>
      </c>
      <c r="AQ346" s="209" t="str">
        <f aca="false">IF(A347="","",AP346-$E$1)</f>
        <v/>
      </c>
      <c r="AR346" s="185" t="n">
        <f aca="false">'ANR OK vs ML7'!AR346</f>
        <v>0.1</v>
      </c>
      <c r="AS346" s="213" t="str">
        <f aca="false">IF(A347="","",1/(1+CHOOSE(F$3,(AR347+($I$3/10000))/2,(AR346+($I$3/10000))/2))^(2*AQ346/365.25))</f>
        <v/>
      </c>
      <c r="AT346" s="137" t="str">
        <f aca="false">IF(A347="","",IF(AND(mthbeg&lt;=A346,mthend&gt;=A346),1,0))</f>
        <v/>
      </c>
      <c r="AU346" s="137" t="str">
        <f aca="false">IF(A347="","",AO346*AT346)</f>
        <v/>
      </c>
      <c r="AW346" s="195" t="str">
        <f aca="false">IF($A347="","",AL346*$E346)</f>
        <v/>
      </c>
      <c r="AX346" s="195" t="str">
        <f aca="false">IF($A347="","",AM346*$E346)</f>
        <v/>
      </c>
      <c r="AY346" s="195" t="str">
        <f aca="false">IF($A347="","",AN346*$E346)</f>
        <v/>
      </c>
      <c r="BA346" s="195" t="str">
        <f aca="false">IF($A347="","",F346*Summary!$Q$8)</f>
        <v/>
      </c>
    </row>
    <row r="347" customFormat="false" ht="12" hidden="false" customHeight="true" outlineLevel="0" collapsed="false">
      <c r="A347" s="196" t="str">
        <f aca="false">IF(A346&lt;mthend,EDATE(A346,1),"")</f>
        <v/>
      </c>
      <c r="B347" s="197" t="n">
        <f aca="false">IF(A347&lt;mthend,B346,0)</f>
        <v>0</v>
      </c>
      <c r="C347" s="215"/>
      <c r="D347" s="197" t="str">
        <f aca="false">IF(A348&lt;&gt;"",B347+C347,"")</f>
        <v/>
      </c>
      <c r="E347" s="199" t="str">
        <f aca="false">IF(A348="","",IF(AND(AT347=1,$H$3=1),D347*AO347,IF($H$3=2,D347,"N/A")))</f>
        <v/>
      </c>
      <c r="F347" s="199" t="str">
        <f aca="false">IF(A348="","",E347*AS347)</f>
        <v/>
      </c>
      <c r="G347" s="200" t="str">
        <f aca="false">IF($A348="","",VLOOKUP($A347,Table,MATCH(G$4,Curves,0)))</f>
        <v/>
      </c>
      <c r="H347" s="201" t="str">
        <f aca="false">IF(A348="","",G347)</f>
        <v/>
      </c>
      <c r="I347" s="202"/>
      <c r="J347" s="200" t="str">
        <f aca="false">IF($A348="","",VLOOKUP($A347,Table,MATCH(J$4,Curves,0)))</f>
        <v/>
      </c>
      <c r="K347" s="201" t="str">
        <f aca="false">IF(A348="","",J347)</f>
        <v/>
      </c>
      <c r="L347" s="200" t="str">
        <f aca="false">IF($A348="","",VLOOKUP($A347,Table,MATCH(L$4,Curves,0)))</f>
        <v/>
      </c>
      <c r="M347" s="201" t="str">
        <f aca="false">IF(A348="","",L347)</f>
        <v/>
      </c>
      <c r="N347" s="203"/>
      <c r="O347" s="200" t="str">
        <f aca="false">IF(A348="","",L347+J347+G347)</f>
        <v/>
      </c>
      <c r="P347" s="200" t="str">
        <f aca="false">IF(A348="","",M347+K347+H347)</f>
        <v/>
      </c>
      <c r="Q347" s="204"/>
      <c r="R347" s="200" t="str">
        <f aca="false">IF($A348="","",VLOOKUP($A347,Table,MATCH(R$4,Curves,0)))</f>
        <v/>
      </c>
      <c r="S347" s="201" t="str">
        <f aca="false">IF(A348="","",R347)</f>
        <v/>
      </c>
      <c r="T347" s="200" t="str">
        <f aca="false">IF($A348="","",VLOOKUP($A347,Table,MATCH(T$4,Curves,0)))</f>
        <v/>
      </c>
      <c r="U347" s="201" t="str">
        <f aca="false">IF(A348="","",T347)</f>
        <v/>
      </c>
      <c r="V347" s="183" t="str">
        <f aca="false">IF($A348="","",IF(AND(MONTH(A347)&gt;3,MONTH(A347)&lt;11),(T347+R347+G347)*Summary!$T$8/(1-Summary!$T$8),(T347+R347+G347)*Summary!$U$8/(1-Summary!$U$8)))</f>
        <v/>
      </c>
      <c r="W347" s="200" t="str">
        <f aca="false">IF($A348="","",(T347+R347+G347+V347))</f>
        <v/>
      </c>
      <c r="X347" s="200" t="str">
        <f aca="false">IF($A348="","",(U347+S347+H347+V347))</f>
        <v/>
      </c>
      <c r="Y347" s="202"/>
      <c r="Z347" s="185" t="str">
        <f aca="false">IF($A348="","",VLOOKUP($A347,Table,MATCH(Z$4,Curves,0)))</f>
        <v/>
      </c>
      <c r="AA347" s="185" t="str">
        <f aca="false">IF($A348="","",VLOOKUP($A347,Table,MATCH(AA$4,Curves,0)))</f>
        <v/>
      </c>
      <c r="AB347" s="185" t="e">
        <f aca="false">SQRT((AA347^2*(A347-$D$3)+Z347^2*(DAY(EOMONTH(A347,0))/2))/AK347)</f>
        <v>#VALUE!</v>
      </c>
      <c r="AC347" s="185" t="str">
        <f aca="false">IF($A348="","",VLOOKUP($A347,Table,MATCH(AC$4,Curves,0)))</f>
        <v/>
      </c>
      <c r="AD347" s="185" t="str">
        <f aca="false">IF($A348="","",VLOOKUP($A347,Table,MATCH(AD$4,Curves,0)))</f>
        <v/>
      </c>
      <c r="AE347" s="185" t="e">
        <f aca="false">SQRT((AD347^2*(A347-$D$3)+AC347^2*(DAY(EOMONTH(A347,0))/2))/AK347)</f>
        <v>#VALUE!</v>
      </c>
      <c r="AF347" s="224" t="e">
        <f aca="false">((Summary!$N$8*(AA347*AD347)*(A347-$D$3))+(Summary!$M$8*Z347*AC347*(AJ347-EOMONTH(EDATE(A347,-1),0))))/(AK347*AB347*AE347)</f>
        <v>#VALUE!</v>
      </c>
      <c r="AG347" s="207" t="str">
        <f aca="false">IF($A348="","",Summary!$Q$8)</f>
        <v/>
      </c>
      <c r="AH347" s="207" t="str">
        <f aca="false">IF($A348="","",IF(Summary!$R$8="Y",(VLOOKUP($A347,Summary!$AD$6:$AF$9,3)+'Escalating commodity'!D360),'Escalating commodity'!D360))</f>
        <v/>
      </c>
      <c r="AI347" s="207" t="str">
        <f aca="false">IF($A348="","",AH347)</f>
        <v/>
      </c>
      <c r="AJ347" s="208" t="e">
        <f aca="false">A347+DAY(EOMONTH(A347,0))/2-1</f>
        <v>#VALUE!</v>
      </c>
      <c r="AK347" s="209" t="str">
        <f aca="false">IF($A348="","",$A347-$E$1)</f>
        <v/>
      </c>
      <c r="AL347" s="182" t="str">
        <f aca="false">IF($A348="","",SPRDOPT(P347,X347,AI347,0,AB347,AE347,AF347,AK347,$AJ$2,0))</f>
        <v/>
      </c>
      <c r="AM347" s="211" t="str">
        <f aca="false">IF($A348="","",MAX(0,O347-W347-AI347))</f>
        <v/>
      </c>
      <c r="AN347" s="211" t="str">
        <f aca="false">IF($A348="","",AL347-AM347)</f>
        <v/>
      </c>
      <c r="AO347" s="137" t="str">
        <f aca="false">IF(A348="","",A348-A347)</f>
        <v/>
      </c>
      <c r="AP347" s="212" t="str">
        <f aca="false">IF(A348="","",CHOOSE(F$3,A348+24,A347))</f>
        <v/>
      </c>
      <c r="AQ347" s="209" t="str">
        <f aca="false">IF(A348="","",AP347-$E$1)</f>
        <v/>
      </c>
      <c r="AR347" s="185" t="n">
        <f aca="false">'ANR OK vs ML7'!AR347</f>
        <v>0.1</v>
      </c>
      <c r="AS347" s="213" t="str">
        <f aca="false">IF(A348="","",1/(1+CHOOSE(F$3,(AR348+($I$3/10000))/2,(AR347+($I$3/10000))/2))^(2*AQ347/365.25))</f>
        <v/>
      </c>
      <c r="AT347" s="137" t="str">
        <f aca="false">IF(A348="","",IF(AND(mthbeg&lt;=A347,mthend&gt;=A347),1,0))</f>
        <v/>
      </c>
      <c r="AU347" s="137" t="str">
        <f aca="false">IF(A348="","",AO347*AT347)</f>
        <v/>
      </c>
      <c r="AW347" s="195" t="str">
        <f aca="false">IF($A348="","",AL347*$E347)</f>
        <v/>
      </c>
      <c r="AX347" s="195" t="str">
        <f aca="false">IF($A348="","",AM347*$E347)</f>
        <v/>
      </c>
      <c r="AY347" s="195" t="str">
        <f aca="false">IF($A348="","",AN347*$E347)</f>
        <v/>
      </c>
      <c r="BA347" s="195" t="str">
        <f aca="false">IF($A348="","",F347*Summary!$Q$8)</f>
        <v/>
      </c>
    </row>
    <row r="348" customFormat="false" ht="12" hidden="false" customHeight="true" outlineLevel="0" collapsed="false">
      <c r="A348" s="196" t="str">
        <f aca="false">IF(A347&lt;mthend,EDATE(A347,1),"")</f>
        <v/>
      </c>
      <c r="B348" s="197" t="n">
        <f aca="false">IF(A348&lt;mthend,B347,0)</f>
        <v>0</v>
      </c>
      <c r="C348" s="215"/>
      <c r="D348" s="197" t="str">
        <f aca="false">IF(A349&lt;&gt;"",B348+C348,"")</f>
        <v/>
      </c>
      <c r="E348" s="199" t="str">
        <f aca="false">IF(A349="","",IF(AND(AT348=1,$H$3=1),D348*AO348,IF($H$3=2,D348,"N/A")))</f>
        <v/>
      </c>
      <c r="F348" s="199" t="str">
        <f aca="false">IF(A349="","",E348*AS348)</f>
        <v/>
      </c>
      <c r="G348" s="200" t="str">
        <f aca="false">IF($A349="","",VLOOKUP($A348,Table,MATCH(G$4,Curves,0)))</f>
        <v/>
      </c>
      <c r="H348" s="201" t="str">
        <f aca="false">IF(A349="","",G348)</f>
        <v/>
      </c>
      <c r="I348" s="202"/>
      <c r="J348" s="200" t="str">
        <f aca="false">IF($A349="","",VLOOKUP($A348,Table,MATCH(J$4,Curves,0)))</f>
        <v/>
      </c>
      <c r="K348" s="201" t="str">
        <f aca="false">IF(A349="","",J348)</f>
        <v/>
      </c>
      <c r="L348" s="200" t="str">
        <f aca="false">IF($A349="","",VLOOKUP($A348,Table,MATCH(L$4,Curves,0)))</f>
        <v/>
      </c>
      <c r="M348" s="201" t="str">
        <f aca="false">IF(A349="","",L348)</f>
        <v/>
      </c>
      <c r="N348" s="203"/>
      <c r="O348" s="200" t="str">
        <f aca="false">IF(A349="","",L348+J348+G348)</f>
        <v/>
      </c>
      <c r="P348" s="200" t="str">
        <f aca="false">IF(A349="","",M348+K348+H348)</f>
        <v/>
      </c>
      <c r="Q348" s="204"/>
      <c r="R348" s="200" t="str">
        <f aca="false">IF($A349="","",VLOOKUP($A348,Table,MATCH(R$4,Curves,0)))</f>
        <v/>
      </c>
      <c r="S348" s="201" t="str">
        <f aca="false">IF(A349="","",R348)</f>
        <v/>
      </c>
      <c r="T348" s="200" t="str">
        <f aca="false">IF($A349="","",VLOOKUP($A348,Table,MATCH(T$4,Curves,0)))</f>
        <v/>
      </c>
      <c r="U348" s="201" t="str">
        <f aca="false">IF(A349="","",T348)</f>
        <v/>
      </c>
      <c r="V348" s="183" t="str">
        <f aca="false">IF($A349="","",IF(AND(MONTH(A348)&gt;3,MONTH(A348)&lt;11),(T348+R348+G348)*Summary!$T$8/(1-Summary!$T$8),(T348+R348+G348)*Summary!$U$8/(1-Summary!$U$8)))</f>
        <v/>
      </c>
      <c r="W348" s="200" t="str">
        <f aca="false">IF($A349="","",(T348+R348+G348+V348))</f>
        <v/>
      </c>
      <c r="X348" s="200" t="str">
        <f aca="false">IF($A349="","",(U348+S348+H348+V348))</f>
        <v/>
      </c>
      <c r="Y348" s="202"/>
      <c r="Z348" s="185" t="str">
        <f aca="false">IF($A349="","",VLOOKUP($A348,Table,MATCH(Z$4,Curves,0)))</f>
        <v/>
      </c>
      <c r="AA348" s="185" t="str">
        <f aca="false">IF($A349="","",VLOOKUP($A348,Table,MATCH(AA$4,Curves,0)))</f>
        <v/>
      </c>
      <c r="AB348" s="185" t="e">
        <f aca="false">SQRT((AA348^2*(A348-$D$3)+Z348^2*(DAY(EOMONTH(A348,0))/2))/AK348)</f>
        <v>#VALUE!</v>
      </c>
      <c r="AC348" s="185" t="str">
        <f aca="false">IF($A349="","",VLOOKUP($A348,Table,MATCH(AC$4,Curves,0)))</f>
        <v/>
      </c>
      <c r="AD348" s="185" t="str">
        <f aca="false">IF($A349="","",VLOOKUP($A348,Table,MATCH(AD$4,Curves,0)))</f>
        <v/>
      </c>
      <c r="AE348" s="185" t="e">
        <f aca="false">SQRT((AD348^2*(A348-$D$3)+AC348^2*(DAY(EOMONTH(A348,0))/2))/AK348)</f>
        <v>#VALUE!</v>
      </c>
      <c r="AF348" s="224" t="e">
        <f aca="false">((Summary!$N$8*(AA348*AD348)*(A348-$D$3))+(Summary!$M$8*Z348*AC348*(AJ348-EOMONTH(EDATE(A348,-1),0))))/(AK348*AB348*AE348)</f>
        <v>#VALUE!</v>
      </c>
      <c r="AG348" s="207" t="str">
        <f aca="false">IF($A349="","",Summary!$Q$8)</f>
        <v/>
      </c>
      <c r="AH348" s="207" t="str">
        <f aca="false">IF($A349="","",IF(Summary!$R$8="Y",(VLOOKUP($A348,Summary!$AD$6:$AF$9,3)+'Escalating commodity'!D361),'Escalating commodity'!D361))</f>
        <v/>
      </c>
      <c r="AI348" s="207" t="str">
        <f aca="false">IF($A349="","",AH348)</f>
        <v/>
      </c>
      <c r="AJ348" s="208" t="e">
        <f aca="false">A348+DAY(EOMONTH(A348,0))/2-1</f>
        <v>#VALUE!</v>
      </c>
      <c r="AK348" s="209" t="str">
        <f aca="false">IF($A349="","",$A348-$E$1)</f>
        <v/>
      </c>
      <c r="AL348" s="182" t="str">
        <f aca="false">IF($A349="","",SPRDOPT(P348,X348,AI348,0,AB348,AE348,AF348,AK348,$AJ$2,0))</f>
        <v/>
      </c>
      <c r="AM348" s="211" t="str">
        <f aca="false">IF($A349="","",MAX(0,O348-W348-AI348))</f>
        <v/>
      </c>
      <c r="AN348" s="211" t="str">
        <f aca="false">IF($A349="","",AL348-AM348)</f>
        <v/>
      </c>
      <c r="AO348" s="137" t="str">
        <f aca="false">IF(A349="","",A349-A348)</f>
        <v/>
      </c>
      <c r="AP348" s="212" t="str">
        <f aca="false">IF(A349="","",CHOOSE(F$3,A349+24,A348))</f>
        <v/>
      </c>
      <c r="AQ348" s="209" t="str">
        <f aca="false">IF(A349="","",AP348-$E$1)</f>
        <v/>
      </c>
      <c r="AR348" s="185" t="n">
        <f aca="false">'ANR OK vs ML7'!AR348</f>
        <v>0.1</v>
      </c>
      <c r="AS348" s="213" t="str">
        <f aca="false">IF(A349="","",1/(1+CHOOSE(F$3,(AR349+($I$3/10000))/2,(AR348+($I$3/10000))/2))^(2*AQ348/365.25))</f>
        <v/>
      </c>
      <c r="AT348" s="137" t="str">
        <f aca="false">IF(A349="","",IF(AND(mthbeg&lt;=A348,mthend&gt;=A348),1,0))</f>
        <v/>
      </c>
      <c r="AU348" s="137" t="str">
        <f aca="false">IF(A349="","",AO348*AT348)</f>
        <v/>
      </c>
      <c r="AW348" s="195" t="str">
        <f aca="false">IF($A349="","",AL348*$E348)</f>
        <v/>
      </c>
      <c r="AX348" s="195" t="str">
        <f aca="false">IF($A349="","",AM348*$E348)</f>
        <v/>
      </c>
      <c r="AY348" s="195" t="str">
        <f aca="false">IF($A349="","",AN348*$E348)</f>
        <v/>
      </c>
      <c r="BA348" s="195" t="str">
        <f aca="false">IF($A349="","",F348*Summary!$Q$8)</f>
        <v/>
      </c>
    </row>
    <row r="349" customFormat="false" ht="12" hidden="false" customHeight="true" outlineLevel="0" collapsed="false">
      <c r="A349" s="196" t="str">
        <f aca="false">IF(A348&lt;mthend,EDATE(A348,1),"")</f>
        <v/>
      </c>
      <c r="B349" s="197" t="n">
        <f aca="false">IF(A349&lt;mthend,B348,0)</f>
        <v>0</v>
      </c>
      <c r="C349" s="215"/>
      <c r="D349" s="197" t="str">
        <f aca="false">IF(A350&lt;&gt;"",B349+C349,"")</f>
        <v/>
      </c>
      <c r="E349" s="199" t="str">
        <f aca="false">IF(A350="","",IF(AND(AT349=1,$H$3=1),D349*AO349,IF($H$3=2,D349,"N/A")))</f>
        <v/>
      </c>
      <c r="F349" s="199" t="str">
        <f aca="false">IF(A350="","",E349*AS349)</f>
        <v/>
      </c>
      <c r="G349" s="200" t="str">
        <f aca="false">IF($A350="","",VLOOKUP($A349,Table,MATCH(G$4,Curves,0)))</f>
        <v/>
      </c>
      <c r="H349" s="201" t="str">
        <f aca="false">IF(A350="","",G349)</f>
        <v/>
      </c>
      <c r="I349" s="202"/>
      <c r="J349" s="200" t="str">
        <f aca="false">IF($A350="","",VLOOKUP($A349,Table,MATCH(J$4,Curves,0)))</f>
        <v/>
      </c>
      <c r="K349" s="201" t="str">
        <f aca="false">IF(A350="","",J349)</f>
        <v/>
      </c>
      <c r="L349" s="200" t="str">
        <f aca="false">IF($A350="","",VLOOKUP($A349,Table,MATCH(L$4,Curves,0)))</f>
        <v/>
      </c>
      <c r="M349" s="201" t="str">
        <f aca="false">IF(A350="","",L349)</f>
        <v/>
      </c>
      <c r="N349" s="203"/>
      <c r="O349" s="200" t="str">
        <f aca="false">IF(A350="","",L349+J349+G349)</f>
        <v/>
      </c>
      <c r="P349" s="200" t="str">
        <f aca="false">IF(A350="","",M349+K349+H349)</f>
        <v/>
      </c>
      <c r="Q349" s="204"/>
      <c r="R349" s="200" t="str">
        <f aca="false">IF($A350="","",VLOOKUP($A349,Table,MATCH(R$4,Curves,0)))</f>
        <v/>
      </c>
      <c r="S349" s="201" t="str">
        <f aca="false">IF(A350="","",R349)</f>
        <v/>
      </c>
      <c r="T349" s="200" t="str">
        <f aca="false">IF($A350="","",VLOOKUP($A349,Table,MATCH(T$4,Curves,0)))</f>
        <v/>
      </c>
      <c r="U349" s="201" t="str">
        <f aca="false">IF(A350="","",T349)</f>
        <v/>
      </c>
      <c r="V349" s="183" t="str">
        <f aca="false">IF($A350="","",IF(AND(MONTH(A349)&gt;3,MONTH(A349)&lt;11),(T349+R349+G349)*Summary!$T$8/(1-Summary!$T$8),(T349+R349+G349)*Summary!$U$8/(1-Summary!$U$8)))</f>
        <v/>
      </c>
      <c r="W349" s="200" t="str">
        <f aca="false">IF($A350="","",(T349+R349+G349+V349))</f>
        <v/>
      </c>
      <c r="X349" s="200" t="str">
        <f aca="false">IF($A350="","",(U349+S349+H349+V349))</f>
        <v/>
      </c>
      <c r="Y349" s="202"/>
      <c r="Z349" s="185" t="str">
        <f aca="false">IF($A350="","",VLOOKUP($A349,Table,MATCH(Z$4,Curves,0)))</f>
        <v/>
      </c>
      <c r="AA349" s="185" t="str">
        <f aca="false">IF($A350="","",VLOOKUP($A349,Table,MATCH(AA$4,Curves,0)))</f>
        <v/>
      </c>
      <c r="AB349" s="185" t="e">
        <f aca="false">SQRT((AA349^2*(A349-$D$3)+Z349^2*(DAY(EOMONTH(A349,0))/2))/AK349)</f>
        <v>#VALUE!</v>
      </c>
      <c r="AC349" s="185" t="str">
        <f aca="false">IF($A350="","",VLOOKUP($A349,Table,MATCH(AC$4,Curves,0)))</f>
        <v/>
      </c>
      <c r="AD349" s="185" t="str">
        <f aca="false">IF($A350="","",VLOOKUP($A349,Table,MATCH(AD$4,Curves,0)))</f>
        <v/>
      </c>
      <c r="AE349" s="185" t="e">
        <f aca="false">SQRT((AD349^2*(A349-$D$3)+AC349^2*(DAY(EOMONTH(A349,0))/2))/AK349)</f>
        <v>#VALUE!</v>
      </c>
      <c r="AF349" s="224" t="e">
        <f aca="false">((Summary!$N$8*(AA349*AD349)*(A349-$D$3))+(Summary!$M$8*Z349*AC349*(AJ349-EOMONTH(EDATE(A349,-1),0))))/(AK349*AB349*AE349)</f>
        <v>#VALUE!</v>
      </c>
      <c r="AG349" s="207" t="str">
        <f aca="false">IF($A350="","",Summary!$Q$8)</f>
        <v/>
      </c>
      <c r="AH349" s="207" t="str">
        <f aca="false">IF($A350="","",IF(Summary!$R$8="Y",(VLOOKUP($A349,Summary!$AD$6:$AF$9,3)+'Escalating commodity'!D362),'Escalating commodity'!D362))</f>
        <v/>
      </c>
      <c r="AI349" s="207" t="str">
        <f aca="false">IF($A350="","",AH349)</f>
        <v/>
      </c>
      <c r="AJ349" s="208" t="e">
        <f aca="false">A349+DAY(EOMONTH(A349,0))/2-1</f>
        <v>#VALUE!</v>
      </c>
      <c r="AK349" s="209" t="str">
        <f aca="false">IF($A350="","",$A349-$E$1)</f>
        <v/>
      </c>
      <c r="AL349" s="182" t="str">
        <f aca="false">IF($A350="","",SPRDOPT(P349,X349,AI349,0,AB349,AE349,AF349,AK349,$AJ$2,0))</f>
        <v/>
      </c>
      <c r="AM349" s="211" t="str">
        <f aca="false">IF($A350="","",MAX(0,O349-W349-AI349))</f>
        <v/>
      </c>
      <c r="AN349" s="211" t="str">
        <f aca="false">IF($A350="","",AL349-AM349)</f>
        <v/>
      </c>
      <c r="AO349" s="137" t="str">
        <f aca="false">IF(A350="","",A350-A349)</f>
        <v/>
      </c>
      <c r="AP349" s="212" t="str">
        <f aca="false">IF(A350="","",CHOOSE(F$3,A350+24,A349))</f>
        <v/>
      </c>
      <c r="AQ349" s="209" t="str">
        <f aca="false">IF(A350="","",AP349-$E$1)</f>
        <v/>
      </c>
      <c r="AR349" s="185" t="n">
        <f aca="false">'ANR OK vs ML7'!AR349</f>
        <v>0.1</v>
      </c>
      <c r="AS349" s="213" t="str">
        <f aca="false">IF(A350="","",1/(1+CHOOSE(F$3,(AR350+($I$3/10000))/2,(AR349+($I$3/10000))/2))^(2*AQ349/365.25))</f>
        <v/>
      </c>
      <c r="AT349" s="137" t="str">
        <f aca="false">IF(A350="","",IF(AND(mthbeg&lt;=A349,mthend&gt;=A349),1,0))</f>
        <v/>
      </c>
      <c r="AU349" s="137" t="str">
        <f aca="false">IF(A350="","",AO349*AT349)</f>
        <v/>
      </c>
      <c r="AW349" s="195" t="str">
        <f aca="false">IF($A350="","",AL349*$E349)</f>
        <v/>
      </c>
      <c r="AX349" s="195" t="str">
        <f aca="false">IF($A350="","",AM349*$E349)</f>
        <v/>
      </c>
      <c r="AY349" s="195" t="str">
        <f aca="false">IF($A350="","",AN349*$E349)</f>
        <v/>
      </c>
      <c r="BA349" s="195" t="str">
        <f aca="false">IF($A350="","",F349*Summary!$Q$8)</f>
        <v/>
      </c>
    </row>
    <row r="350" customFormat="false" ht="12" hidden="false" customHeight="true" outlineLevel="0" collapsed="false">
      <c r="A350" s="196" t="str">
        <f aca="false">IF(A349&lt;mthend,EDATE(A349,1),"")</f>
        <v/>
      </c>
      <c r="B350" s="197" t="n">
        <f aca="false">IF(A350&lt;mthend,B349,0)</f>
        <v>0</v>
      </c>
      <c r="C350" s="215"/>
      <c r="D350" s="197" t="str">
        <f aca="false">IF(A351&lt;&gt;"",B350+C350,"")</f>
        <v/>
      </c>
      <c r="E350" s="199" t="str">
        <f aca="false">IF(A351="","",IF(AND(AT350=1,$H$3=1),D350*AO350,IF($H$3=2,D350,"N/A")))</f>
        <v/>
      </c>
      <c r="F350" s="199" t="str">
        <f aca="false">IF(A351="","",E350*AS350)</f>
        <v/>
      </c>
      <c r="G350" s="200" t="str">
        <f aca="false">IF($A351="","",VLOOKUP($A350,Table,MATCH(G$4,Curves,0)))</f>
        <v/>
      </c>
      <c r="H350" s="201" t="str">
        <f aca="false">IF(A351="","",G350)</f>
        <v/>
      </c>
      <c r="I350" s="202"/>
      <c r="J350" s="200" t="str">
        <f aca="false">IF($A351="","",VLOOKUP($A350,Table,MATCH(J$4,Curves,0)))</f>
        <v/>
      </c>
      <c r="K350" s="201" t="str">
        <f aca="false">IF(A351="","",J350)</f>
        <v/>
      </c>
      <c r="L350" s="200" t="str">
        <f aca="false">IF($A351="","",VLOOKUP($A350,Table,MATCH(L$4,Curves,0)))</f>
        <v/>
      </c>
      <c r="M350" s="201" t="str">
        <f aca="false">IF(A351="","",L350)</f>
        <v/>
      </c>
      <c r="N350" s="203"/>
      <c r="O350" s="200" t="str">
        <f aca="false">IF(A351="","",L350+J350+G350)</f>
        <v/>
      </c>
      <c r="P350" s="200" t="str">
        <f aca="false">IF(A351="","",M350+K350+H350)</f>
        <v/>
      </c>
      <c r="Q350" s="204"/>
      <c r="R350" s="200" t="str">
        <f aca="false">IF($A351="","",VLOOKUP($A350,Table,MATCH(R$4,Curves,0)))</f>
        <v/>
      </c>
      <c r="S350" s="201" t="str">
        <f aca="false">IF(A351="","",R350)</f>
        <v/>
      </c>
      <c r="T350" s="200" t="str">
        <f aca="false">IF($A351="","",VLOOKUP($A350,Table,MATCH(T$4,Curves,0)))</f>
        <v/>
      </c>
      <c r="U350" s="201" t="str">
        <f aca="false">IF(A351="","",T350)</f>
        <v/>
      </c>
      <c r="V350" s="183" t="str">
        <f aca="false">IF($A351="","",IF(AND(MONTH(A350)&gt;3,MONTH(A350)&lt;11),(T350+R350+G350)*Summary!$T$8/(1-Summary!$T$8),(T350+R350+G350)*Summary!$U$8/(1-Summary!$U$8)))</f>
        <v/>
      </c>
      <c r="W350" s="200" t="str">
        <f aca="false">IF($A351="","",(T350+R350+G350+V350))</f>
        <v/>
      </c>
      <c r="X350" s="200" t="str">
        <f aca="false">IF($A351="","",(U350+S350+H350+V350))</f>
        <v/>
      </c>
      <c r="Y350" s="202"/>
      <c r="Z350" s="185" t="str">
        <f aca="false">IF($A351="","",VLOOKUP($A350,Table,MATCH(Z$4,Curves,0)))</f>
        <v/>
      </c>
      <c r="AA350" s="185" t="str">
        <f aca="false">IF($A351="","",VLOOKUP($A350,Table,MATCH(AA$4,Curves,0)))</f>
        <v/>
      </c>
      <c r="AB350" s="185" t="e">
        <f aca="false">SQRT((AA350^2*(A350-$D$3)+Z350^2*(DAY(EOMONTH(A350,0))/2))/AK350)</f>
        <v>#VALUE!</v>
      </c>
      <c r="AC350" s="185" t="str">
        <f aca="false">IF($A351="","",VLOOKUP($A350,Table,MATCH(AC$4,Curves,0)))</f>
        <v/>
      </c>
      <c r="AD350" s="185" t="str">
        <f aca="false">IF($A351="","",VLOOKUP($A350,Table,MATCH(AD$4,Curves,0)))</f>
        <v/>
      </c>
      <c r="AE350" s="185" t="e">
        <f aca="false">SQRT((AD350^2*(A350-$D$3)+AC350^2*(DAY(EOMONTH(A350,0))/2))/AK350)</f>
        <v>#VALUE!</v>
      </c>
      <c r="AF350" s="224" t="e">
        <f aca="false">((Summary!$N$8*(AA350*AD350)*(A350-$D$3))+(Summary!$M$8*Z350*AC350*(AJ350-EOMONTH(EDATE(A350,-1),0))))/(AK350*AB350*AE350)</f>
        <v>#VALUE!</v>
      </c>
      <c r="AG350" s="207" t="str">
        <f aca="false">IF($A351="","",Summary!$Q$8)</f>
        <v/>
      </c>
      <c r="AH350" s="207" t="str">
        <f aca="false">IF($A351="","",IF(Summary!$R$8="Y",(VLOOKUP($A350,Summary!$AD$6:$AF$9,3)+'Escalating commodity'!D363),'Escalating commodity'!D363))</f>
        <v/>
      </c>
      <c r="AI350" s="207" t="str">
        <f aca="false">IF($A351="","",AH350)</f>
        <v/>
      </c>
      <c r="AJ350" s="208" t="e">
        <f aca="false">A350+DAY(EOMONTH(A350,0))/2-1</f>
        <v>#VALUE!</v>
      </c>
      <c r="AK350" s="209" t="str">
        <f aca="false">IF($A351="","",$A350-$E$1)</f>
        <v/>
      </c>
      <c r="AL350" s="182" t="str">
        <f aca="false">IF($A351="","",SPRDOPT(P350,X350,AI350,0,AB350,AE350,AF350,AK350,$AJ$2,0))</f>
        <v/>
      </c>
      <c r="AM350" s="211" t="str">
        <f aca="false">IF($A351="","",MAX(0,O350-W350-AI350))</f>
        <v/>
      </c>
      <c r="AN350" s="211" t="str">
        <f aca="false">IF($A351="","",AL350-AM350)</f>
        <v/>
      </c>
      <c r="AO350" s="137" t="str">
        <f aca="false">IF(A351="","",A351-A350)</f>
        <v/>
      </c>
      <c r="AP350" s="212" t="str">
        <f aca="false">IF(A351="","",CHOOSE(F$3,A351+24,A350))</f>
        <v/>
      </c>
      <c r="AQ350" s="209" t="str">
        <f aca="false">IF(A351="","",AP350-$E$1)</f>
        <v/>
      </c>
      <c r="AR350" s="185" t="n">
        <f aca="false">'ANR OK vs ML7'!AR350</f>
        <v>0.1</v>
      </c>
      <c r="AS350" s="213" t="str">
        <f aca="false">IF(A351="","",1/(1+CHOOSE(F$3,(AR351+($I$3/10000))/2,(AR350+($I$3/10000))/2))^(2*AQ350/365.25))</f>
        <v/>
      </c>
      <c r="AT350" s="137" t="str">
        <f aca="false">IF(A351="","",IF(AND(mthbeg&lt;=A350,mthend&gt;=A350),1,0))</f>
        <v/>
      </c>
      <c r="AU350" s="137" t="str">
        <f aca="false">IF(A351="","",AO350*AT350)</f>
        <v/>
      </c>
      <c r="AW350" s="195" t="str">
        <f aca="false">IF($A351="","",AL350*$E350)</f>
        <v/>
      </c>
      <c r="AX350" s="195" t="str">
        <f aca="false">IF($A351="","",AM350*$E350)</f>
        <v/>
      </c>
      <c r="AY350" s="195" t="str">
        <f aca="false">IF($A351="","",AN350*$E350)</f>
        <v/>
      </c>
      <c r="BA350" s="195" t="str">
        <f aca="false">IF($A351="","",F350*Summary!$Q$8)</f>
        <v/>
      </c>
    </row>
    <row r="351" customFormat="false" ht="12" hidden="false" customHeight="true" outlineLevel="0" collapsed="false">
      <c r="A351" s="196" t="str">
        <f aca="false">IF(A350&lt;mthend,EDATE(A350,1),"")</f>
        <v/>
      </c>
      <c r="B351" s="197" t="n">
        <f aca="false">IF(A351&lt;mthend,B350,0)</f>
        <v>0</v>
      </c>
      <c r="C351" s="215"/>
      <c r="D351" s="197" t="str">
        <f aca="false">IF(A352&lt;&gt;"",B351+C351,"")</f>
        <v/>
      </c>
      <c r="E351" s="199" t="str">
        <f aca="false">IF(A352="","",IF(AND(AT351=1,$H$3=1),D351*AO351,IF($H$3=2,D351,"N/A")))</f>
        <v/>
      </c>
      <c r="F351" s="199" t="str">
        <f aca="false">IF(A352="","",E351*AS351)</f>
        <v/>
      </c>
      <c r="G351" s="200" t="str">
        <f aca="false">IF($A352="","",VLOOKUP($A351,Table,MATCH(G$4,Curves,0)))</f>
        <v/>
      </c>
      <c r="H351" s="201" t="str">
        <f aca="false">IF(A352="","",G351)</f>
        <v/>
      </c>
      <c r="I351" s="202"/>
      <c r="J351" s="200" t="str">
        <f aca="false">IF($A352="","",VLOOKUP($A351,Table,MATCH(J$4,Curves,0)))</f>
        <v/>
      </c>
      <c r="K351" s="201" t="str">
        <f aca="false">IF(A352="","",J351)</f>
        <v/>
      </c>
      <c r="L351" s="200" t="str">
        <f aca="false">IF($A352="","",VLOOKUP($A351,Table,MATCH(L$4,Curves,0)))</f>
        <v/>
      </c>
      <c r="M351" s="201" t="str">
        <f aca="false">IF(A352="","",L351)</f>
        <v/>
      </c>
      <c r="N351" s="203"/>
      <c r="O351" s="200" t="str">
        <f aca="false">IF(A352="","",L351+J351+G351)</f>
        <v/>
      </c>
      <c r="P351" s="200" t="str">
        <f aca="false">IF(A352="","",M351+K351+H351)</f>
        <v/>
      </c>
      <c r="Q351" s="204"/>
      <c r="R351" s="200" t="str">
        <f aca="false">IF($A352="","",VLOOKUP($A351,Table,MATCH(R$4,Curves,0)))</f>
        <v/>
      </c>
      <c r="S351" s="201" t="str">
        <f aca="false">IF(A352="","",R351)</f>
        <v/>
      </c>
      <c r="T351" s="200" t="str">
        <f aca="false">IF($A352="","",VLOOKUP($A351,Table,MATCH(T$4,Curves,0)))</f>
        <v/>
      </c>
      <c r="U351" s="201" t="str">
        <f aca="false">IF(A352="","",T351)</f>
        <v/>
      </c>
      <c r="V351" s="183" t="str">
        <f aca="false">IF($A352="","",IF(AND(MONTH(A351)&gt;3,MONTH(A351)&lt;11),(T351+R351+G351)*Summary!$T$8/(1-Summary!$T$8),(T351+R351+G351)*Summary!$U$8/(1-Summary!$U$8)))</f>
        <v/>
      </c>
      <c r="W351" s="200" t="str">
        <f aca="false">IF($A352="","",(T351+R351+G351+V351))</f>
        <v/>
      </c>
      <c r="X351" s="200" t="str">
        <f aca="false">IF($A352="","",(U351+S351+H351+V351))</f>
        <v/>
      </c>
      <c r="Y351" s="202"/>
      <c r="Z351" s="185" t="str">
        <f aca="false">IF($A352="","",VLOOKUP($A351,Table,MATCH(Z$4,Curves,0)))</f>
        <v/>
      </c>
      <c r="AA351" s="185" t="str">
        <f aca="false">IF($A352="","",VLOOKUP($A351,Table,MATCH(AA$4,Curves,0)))</f>
        <v/>
      </c>
      <c r="AB351" s="185" t="e">
        <f aca="false">SQRT((AA351^2*(A351-$D$3)+Z351^2*(DAY(EOMONTH(A351,0))/2))/AK351)</f>
        <v>#VALUE!</v>
      </c>
      <c r="AC351" s="185" t="str">
        <f aca="false">IF($A352="","",VLOOKUP($A351,Table,MATCH(AC$4,Curves,0)))</f>
        <v/>
      </c>
      <c r="AD351" s="185" t="str">
        <f aca="false">IF($A352="","",VLOOKUP($A351,Table,MATCH(AD$4,Curves,0)))</f>
        <v/>
      </c>
      <c r="AE351" s="185" t="e">
        <f aca="false">SQRT((AD351^2*(A351-$D$3)+AC351^2*(DAY(EOMONTH(A351,0))/2))/AK351)</f>
        <v>#VALUE!</v>
      </c>
      <c r="AF351" s="224" t="e">
        <f aca="false">((Summary!$N$8*(AA351*AD351)*(A351-$D$3))+(Summary!$M$8*Z351*AC351*(AJ351-EOMONTH(EDATE(A351,-1),0))))/(AK351*AB351*AE351)</f>
        <v>#VALUE!</v>
      </c>
      <c r="AG351" s="207" t="str">
        <f aca="false">IF($A352="","",Summary!$Q$8)</f>
        <v/>
      </c>
      <c r="AH351" s="207" t="str">
        <f aca="false">IF($A352="","",IF(Summary!$R$8="Y",(VLOOKUP($A351,Summary!$AD$6:$AF$9,3)+'Escalating commodity'!D364),'Escalating commodity'!D364))</f>
        <v/>
      </c>
      <c r="AI351" s="207" t="str">
        <f aca="false">IF($A352="","",AH351)</f>
        <v/>
      </c>
      <c r="AJ351" s="208" t="e">
        <f aca="false">A351+DAY(EOMONTH(A351,0))/2-1</f>
        <v>#VALUE!</v>
      </c>
      <c r="AK351" s="209" t="str">
        <f aca="false">IF($A352="","",$A351-$E$1)</f>
        <v/>
      </c>
      <c r="AL351" s="182" t="str">
        <f aca="false">IF($A352="","",SPRDOPT(P351,X351,AI351,0,AB351,AE351,AF351,AK351,$AJ$2,0))</f>
        <v/>
      </c>
      <c r="AM351" s="211" t="str">
        <f aca="false">IF($A352="","",MAX(0,O351-W351-AI351))</f>
        <v/>
      </c>
      <c r="AN351" s="211" t="str">
        <f aca="false">IF($A352="","",AL351-AM351)</f>
        <v/>
      </c>
      <c r="AO351" s="137" t="str">
        <f aca="false">IF(A352="","",A352-A351)</f>
        <v/>
      </c>
      <c r="AP351" s="212" t="str">
        <f aca="false">IF(A352="","",CHOOSE(F$3,A352+24,A351))</f>
        <v/>
      </c>
      <c r="AQ351" s="209" t="str">
        <f aca="false">IF(A352="","",AP351-$E$1)</f>
        <v/>
      </c>
      <c r="AR351" s="185" t="n">
        <f aca="false">'ANR OK vs ML7'!AR351</f>
        <v>0.1</v>
      </c>
      <c r="AS351" s="213" t="str">
        <f aca="false">IF(A352="","",1/(1+CHOOSE(F$3,(AR352+($I$3/10000))/2,(AR351+($I$3/10000))/2))^(2*AQ351/365.25))</f>
        <v/>
      </c>
      <c r="AT351" s="137" t="str">
        <f aca="false">IF(A352="","",IF(AND(mthbeg&lt;=A351,mthend&gt;=A351),1,0))</f>
        <v/>
      </c>
      <c r="AU351" s="137" t="str">
        <f aca="false">IF(A352="","",AO351*AT351)</f>
        <v/>
      </c>
      <c r="AW351" s="195" t="str">
        <f aca="false">IF($A352="","",AL351*$E351)</f>
        <v/>
      </c>
      <c r="AX351" s="195" t="str">
        <f aca="false">IF($A352="","",AM351*$E351)</f>
        <v/>
      </c>
      <c r="AY351" s="195" t="str">
        <f aca="false">IF($A352="","",AN351*$E351)</f>
        <v/>
      </c>
      <c r="BA351" s="195" t="str">
        <f aca="false">IF($A352="","",F351*Summary!$Q$8)</f>
        <v/>
      </c>
    </row>
    <row r="352" customFormat="false" ht="12" hidden="false" customHeight="true" outlineLevel="0" collapsed="false">
      <c r="A352" s="196" t="str">
        <f aca="false">IF(A351&lt;mthend,EDATE(A351,1),"")</f>
        <v/>
      </c>
      <c r="B352" s="197" t="n">
        <f aca="false">IF(A352&lt;mthend,B351,0)</f>
        <v>0</v>
      </c>
      <c r="C352" s="215"/>
      <c r="D352" s="197" t="str">
        <f aca="false">IF(A353&lt;&gt;"",B352+C352,"")</f>
        <v/>
      </c>
      <c r="E352" s="199" t="str">
        <f aca="false">IF(A353="","",IF(AND(AT352=1,$H$3=1),D352*AO352,IF($H$3=2,D352,"N/A")))</f>
        <v/>
      </c>
      <c r="F352" s="199" t="str">
        <f aca="false">IF(A353="","",E352*AS352)</f>
        <v/>
      </c>
      <c r="G352" s="200" t="str">
        <f aca="false">IF($A353="","",VLOOKUP($A352,Table,MATCH(G$4,Curves,0)))</f>
        <v/>
      </c>
      <c r="H352" s="201" t="str">
        <f aca="false">IF(A353="","",G352)</f>
        <v/>
      </c>
      <c r="I352" s="202"/>
      <c r="J352" s="200" t="str">
        <f aca="false">IF($A353="","",VLOOKUP($A352,Table,MATCH(J$4,Curves,0)))</f>
        <v/>
      </c>
      <c r="K352" s="201" t="str">
        <f aca="false">IF(A353="","",J352)</f>
        <v/>
      </c>
      <c r="L352" s="200" t="str">
        <f aca="false">IF($A353="","",VLOOKUP($A352,Table,MATCH(L$4,Curves,0)))</f>
        <v/>
      </c>
      <c r="M352" s="201" t="str">
        <f aca="false">IF(A353="","",L352)</f>
        <v/>
      </c>
      <c r="N352" s="203"/>
      <c r="O352" s="200" t="str">
        <f aca="false">IF(A353="","",L352+J352+G352)</f>
        <v/>
      </c>
      <c r="P352" s="200" t="str">
        <f aca="false">IF(A353="","",M352+K352+H352)</f>
        <v/>
      </c>
      <c r="Q352" s="204"/>
      <c r="R352" s="200" t="str">
        <f aca="false">IF($A353="","",VLOOKUP($A352,Table,MATCH(R$4,Curves,0)))</f>
        <v/>
      </c>
      <c r="S352" s="201" t="str">
        <f aca="false">IF(A353="","",R352)</f>
        <v/>
      </c>
      <c r="T352" s="200" t="str">
        <f aca="false">IF($A353="","",VLOOKUP($A352,Table,MATCH(T$4,Curves,0)))</f>
        <v/>
      </c>
      <c r="U352" s="201" t="str">
        <f aca="false">IF(A353="","",T352)</f>
        <v/>
      </c>
      <c r="V352" s="183" t="str">
        <f aca="false">IF($A353="","",IF(AND(MONTH(A352)&gt;3,MONTH(A352)&lt;11),(T352+R352+G352)*Summary!$T$8/(1-Summary!$T$8),(T352+R352+G352)*Summary!$U$8/(1-Summary!$U$8)))</f>
        <v/>
      </c>
      <c r="W352" s="200" t="str">
        <f aca="false">IF($A353="","",(T352+R352+G352+V352))</f>
        <v/>
      </c>
      <c r="X352" s="200" t="str">
        <f aca="false">IF($A353="","",(U352+S352+H352+V352))</f>
        <v/>
      </c>
      <c r="Y352" s="202"/>
      <c r="Z352" s="185" t="str">
        <f aca="false">IF($A353="","",VLOOKUP($A352,Table,MATCH(Z$4,Curves,0)))</f>
        <v/>
      </c>
      <c r="AA352" s="185" t="str">
        <f aca="false">IF($A353="","",VLOOKUP($A352,Table,MATCH(AA$4,Curves,0)))</f>
        <v/>
      </c>
      <c r="AB352" s="185" t="e">
        <f aca="false">SQRT((AA352^2*(A352-$D$3)+Z352^2*(DAY(EOMONTH(A352,0))/2))/AK352)</f>
        <v>#VALUE!</v>
      </c>
      <c r="AC352" s="185" t="str">
        <f aca="false">IF($A353="","",VLOOKUP($A352,Table,MATCH(AC$4,Curves,0)))</f>
        <v/>
      </c>
      <c r="AD352" s="185" t="str">
        <f aca="false">IF($A353="","",VLOOKUP($A352,Table,MATCH(AD$4,Curves,0)))</f>
        <v/>
      </c>
      <c r="AE352" s="185" t="e">
        <f aca="false">SQRT((AD352^2*(A352-$D$3)+AC352^2*(DAY(EOMONTH(A352,0))/2))/AK352)</f>
        <v>#VALUE!</v>
      </c>
      <c r="AF352" s="224" t="e">
        <f aca="false">((Summary!$N$8*(AA352*AD352)*(A352-$D$3))+(Summary!$M$8*Z352*AC352*(AJ352-EOMONTH(EDATE(A352,-1),0))))/(AK352*AB352*AE352)</f>
        <v>#VALUE!</v>
      </c>
      <c r="AG352" s="207" t="str">
        <f aca="false">IF($A353="","",Summary!$Q$8)</f>
        <v/>
      </c>
      <c r="AH352" s="207" t="str">
        <f aca="false">IF($A353="","",IF(Summary!$R$8="Y",(VLOOKUP($A352,Summary!$AD$6:$AF$9,3)+'Escalating commodity'!D365),'Escalating commodity'!D365))</f>
        <v/>
      </c>
      <c r="AI352" s="207" t="str">
        <f aca="false">IF($A353="","",AH352)</f>
        <v/>
      </c>
      <c r="AJ352" s="208" t="e">
        <f aca="false">A352+DAY(EOMONTH(A352,0))/2-1</f>
        <v>#VALUE!</v>
      </c>
      <c r="AK352" s="209" t="str">
        <f aca="false">IF($A353="","",$A352-$E$1)</f>
        <v/>
      </c>
      <c r="AL352" s="182" t="str">
        <f aca="false">IF($A353="","",SPRDOPT(P352,X352,AI352,0,AB352,AE352,AF352,AK352,$AJ$2,0))</f>
        <v/>
      </c>
      <c r="AM352" s="211" t="str">
        <f aca="false">IF($A353="","",MAX(0,O352-W352-AI352))</f>
        <v/>
      </c>
      <c r="AN352" s="211" t="str">
        <f aca="false">IF($A353="","",AL352-AM352)</f>
        <v/>
      </c>
      <c r="AO352" s="137" t="str">
        <f aca="false">IF(A353="","",A353-A352)</f>
        <v/>
      </c>
      <c r="AP352" s="212" t="str">
        <f aca="false">IF(A353="","",CHOOSE(F$3,A353+24,A352))</f>
        <v/>
      </c>
      <c r="AQ352" s="209" t="str">
        <f aca="false">IF(A353="","",AP352-$E$1)</f>
        <v/>
      </c>
      <c r="AR352" s="185" t="n">
        <f aca="false">'ANR OK vs ML7'!AR352</f>
        <v>0.1</v>
      </c>
      <c r="AS352" s="213" t="str">
        <f aca="false">IF(A353="","",1/(1+CHOOSE(F$3,(AR353+($I$3/10000))/2,(AR352+($I$3/10000))/2))^(2*AQ352/365.25))</f>
        <v/>
      </c>
      <c r="AT352" s="137" t="str">
        <f aca="false">IF(A353="","",IF(AND(mthbeg&lt;=A352,mthend&gt;=A352),1,0))</f>
        <v/>
      </c>
      <c r="AU352" s="137" t="str">
        <f aca="false">IF(A353="","",AO352*AT352)</f>
        <v/>
      </c>
      <c r="AW352" s="195" t="str">
        <f aca="false">IF($A353="","",AL352*$E352)</f>
        <v/>
      </c>
      <c r="AX352" s="195" t="str">
        <f aca="false">IF($A353="","",AM352*$E352)</f>
        <v/>
      </c>
      <c r="AY352" s="195" t="str">
        <f aca="false">IF($A353="","",AN352*$E352)</f>
        <v/>
      </c>
      <c r="BA352" s="195" t="str">
        <f aca="false">IF($A353="","",F352*Summary!$Q$8)</f>
        <v/>
      </c>
    </row>
    <row r="353" customFormat="false" ht="12" hidden="false" customHeight="true" outlineLevel="0" collapsed="false">
      <c r="A353" s="196" t="str">
        <f aca="false">IF(A352&lt;mthend,EDATE(A352,1),"")</f>
        <v/>
      </c>
      <c r="B353" s="197" t="n">
        <f aca="false">IF(A353&lt;mthend,B352,0)</f>
        <v>0</v>
      </c>
      <c r="C353" s="215"/>
      <c r="D353" s="197" t="str">
        <f aca="false">IF(A354&lt;&gt;"",B353+C353,"")</f>
        <v/>
      </c>
      <c r="E353" s="199" t="str">
        <f aca="false">IF(A354="","",IF(AND(AT353=1,$H$3=1),D353*AO353,IF($H$3=2,D353,"N/A")))</f>
        <v/>
      </c>
      <c r="F353" s="199" t="str">
        <f aca="false">IF(A354="","",E353*AS353)</f>
        <v/>
      </c>
      <c r="G353" s="200" t="str">
        <f aca="false">IF($A354="","",VLOOKUP($A353,Table,MATCH(G$4,Curves,0)))</f>
        <v/>
      </c>
      <c r="H353" s="201" t="str">
        <f aca="false">IF(A354="","",G353)</f>
        <v/>
      </c>
      <c r="I353" s="202"/>
      <c r="J353" s="200" t="str">
        <f aca="false">IF($A354="","",VLOOKUP($A353,Table,MATCH(J$4,Curves,0)))</f>
        <v/>
      </c>
      <c r="K353" s="201" t="str">
        <f aca="false">IF(A354="","",J353)</f>
        <v/>
      </c>
      <c r="L353" s="200" t="str">
        <f aca="false">IF($A354="","",VLOOKUP($A353,Table,MATCH(L$4,Curves,0)))</f>
        <v/>
      </c>
      <c r="M353" s="201" t="str">
        <f aca="false">IF(A354="","",L353)</f>
        <v/>
      </c>
      <c r="N353" s="203"/>
      <c r="O353" s="200" t="str">
        <f aca="false">IF(A354="","",L353+J353+G353)</f>
        <v/>
      </c>
      <c r="P353" s="200" t="str">
        <f aca="false">IF(A354="","",M353+K353+H353)</f>
        <v/>
      </c>
      <c r="Q353" s="204"/>
      <c r="R353" s="200" t="str">
        <f aca="false">IF($A354="","",VLOOKUP($A353,Table,MATCH(R$4,Curves,0)))</f>
        <v/>
      </c>
      <c r="S353" s="201" t="str">
        <f aca="false">IF(A354="","",R353)</f>
        <v/>
      </c>
      <c r="T353" s="200" t="str">
        <f aca="false">IF($A354="","",VLOOKUP($A353,Table,MATCH(T$4,Curves,0)))</f>
        <v/>
      </c>
      <c r="U353" s="201" t="str">
        <f aca="false">IF(A354="","",T353)</f>
        <v/>
      </c>
      <c r="V353" s="183" t="str">
        <f aca="false">IF($A354="","",IF(AND(MONTH(A353)&gt;3,MONTH(A353)&lt;11),(T353+R353+G353)*Summary!$T$8/(1-Summary!$T$8),(T353+R353+G353)*Summary!$U$8/(1-Summary!$U$8)))</f>
        <v/>
      </c>
      <c r="W353" s="200" t="str">
        <f aca="false">IF($A354="","",(T353+R353+G353+V353))</f>
        <v/>
      </c>
      <c r="X353" s="200" t="str">
        <f aca="false">IF($A354="","",(U353+S353+H353+V353))</f>
        <v/>
      </c>
      <c r="Y353" s="202"/>
      <c r="Z353" s="185" t="str">
        <f aca="false">IF($A354="","",VLOOKUP($A353,Table,MATCH(Z$4,Curves,0)))</f>
        <v/>
      </c>
      <c r="AA353" s="185" t="str">
        <f aca="false">IF($A354="","",VLOOKUP($A353,Table,MATCH(AA$4,Curves,0)))</f>
        <v/>
      </c>
      <c r="AB353" s="185" t="e">
        <f aca="false">SQRT((AA353^2*(A353-$D$3)+Z353^2*(DAY(EOMONTH(A353,0))/2))/AK353)</f>
        <v>#VALUE!</v>
      </c>
      <c r="AC353" s="185" t="str">
        <f aca="false">IF($A354="","",VLOOKUP($A353,Table,MATCH(AC$4,Curves,0)))</f>
        <v/>
      </c>
      <c r="AD353" s="185" t="str">
        <f aca="false">IF($A354="","",VLOOKUP($A353,Table,MATCH(AD$4,Curves,0)))</f>
        <v/>
      </c>
      <c r="AE353" s="185" t="e">
        <f aca="false">SQRT((AD353^2*(A353-$D$3)+AC353^2*(DAY(EOMONTH(A353,0))/2))/AK353)</f>
        <v>#VALUE!</v>
      </c>
      <c r="AF353" s="224" t="e">
        <f aca="false">((Summary!$N$8*(AA353*AD353)*(A353-$D$3))+(Summary!$M$8*Z353*AC353*(AJ353-EOMONTH(EDATE(A353,-1),0))))/(AK353*AB353*AE353)</f>
        <v>#VALUE!</v>
      </c>
      <c r="AG353" s="207" t="str">
        <f aca="false">IF($A354="","",Summary!$Q$8)</f>
        <v/>
      </c>
      <c r="AH353" s="207" t="str">
        <f aca="false">IF($A354="","",IF(Summary!$R$8="Y",(VLOOKUP($A353,Summary!$AD$6:$AF$9,3)+'Escalating commodity'!D366),'Escalating commodity'!D366))</f>
        <v/>
      </c>
      <c r="AI353" s="207" t="str">
        <f aca="false">IF($A354="","",AH353)</f>
        <v/>
      </c>
      <c r="AJ353" s="208" t="e">
        <f aca="false">A353+DAY(EOMONTH(A353,0))/2-1</f>
        <v>#VALUE!</v>
      </c>
      <c r="AK353" s="209" t="str">
        <f aca="false">IF($A354="","",$A353-$E$1)</f>
        <v/>
      </c>
      <c r="AL353" s="182" t="str">
        <f aca="false">IF($A354="","",SPRDOPT(P353,X353,AI353,0,AB353,AE353,AF353,AK353,$AJ$2,0))</f>
        <v/>
      </c>
      <c r="AM353" s="211" t="str">
        <f aca="false">IF($A354="","",MAX(0,O353-W353-AI353))</f>
        <v/>
      </c>
      <c r="AN353" s="211" t="str">
        <f aca="false">IF($A354="","",AL353-AM353)</f>
        <v/>
      </c>
      <c r="AO353" s="137" t="str">
        <f aca="false">IF(A354="","",A354-A353)</f>
        <v/>
      </c>
      <c r="AP353" s="212" t="str">
        <f aca="false">IF(A354="","",CHOOSE(F$3,A354+24,A353))</f>
        <v/>
      </c>
      <c r="AQ353" s="209" t="str">
        <f aca="false">IF(A354="","",AP353-$E$1)</f>
        <v/>
      </c>
      <c r="AR353" s="185" t="n">
        <f aca="false">'ANR OK vs ML7'!AR353</f>
        <v>0.1</v>
      </c>
      <c r="AS353" s="213" t="str">
        <f aca="false">IF(A354="","",1/(1+CHOOSE(F$3,(AR354+($I$3/10000))/2,(AR353+($I$3/10000))/2))^(2*AQ353/365.25))</f>
        <v/>
      </c>
      <c r="AT353" s="137" t="str">
        <f aca="false">IF(A354="","",IF(AND(mthbeg&lt;=A353,mthend&gt;=A353),1,0))</f>
        <v/>
      </c>
      <c r="AU353" s="137" t="str">
        <f aca="false">IF(A354="","",AO353*AT353)</f>
        <v/>
      </c>
      <c r="AW353" s="195" t="str">
        <f aca="false">IF($A354="","",AL353*$E353)</f>
        <v/>
      </c>
      <c r="AX353" s="195" t="str">
        <f aca="false">IF($A354="","",AM353*$E353)</f>
        <v/>
      </c>
      <c r="AY353" s="195" t="str">
        <f aca="false">IF($A354="","",AN353*$E353)</f>
        <v/>
      </c>
      <c r="BA353" s="195" t="str">
        <f aca="false">IF($A354="","",F353*Summary!$Q$8)</f>
        <v/>
      </c>
    </row>
    <row r="354" customFormat="false" ht="12" hidden="false" customHeight="true" outlineLevel="0" collapsed="false">
      <c r="A354" s="196" t="str">
        <f aca="false">IF(A353&lt;mthend,EDATE(A353,1),"")</f>
        <v/>
      </c>
      <c r="B354" s="197" t="n">
        <f aca="false">IF(A354&lt;mthend,B353,0)</f>
        <v>0</v>
      </c>
      <c r="C354" s="215"/>
      <c r="D354" s="197" t="str">
        <f aca="false">IF(A355&lt;&gt;"",B354+C354,"")</f>
        <v/>
      </c>
      <c r="E354" s="199" t="str">
        <f aca="false">IF(A355="","",IF(AND(AT354=1,$H$3=1),D354*AO354,IF($H$3=2,D354,"N/A")))</f>
        <v/>
      </c>
      <c r="F354" s="199" t="str">
        <f aca="false">IF(A355="","",E354*AS354)</f>
        <v/>
      </c>
      <c r="G354" s="200" t="str">
        <f aca="false">IF($A355="","",VLOOKUP($A354,Table,MATCH(G$4,Curves,0)))</f>
        <v/>
      </c>
      <c r="H354" s="201" t="str">
        <f aca="false">IF(A355="","",G354)</f>
        <v/>
      </c>
      <c r="I354" s="202"/>
      <c r="J354" s="200" t="str">
        <f aca="false">IF($A355="","",VLOOKUP($A354,Table,MATCH(J$4,Curves,0)))</f>
        <v/>
      </c>
      <c r="K354" s="201" t="str">
        <f aca="false">IF(A355="","",J354)</f>
        <v/>
      </c>
      <c r="L354" s="200" t="str">
        <f aca="false">IF($A355="","",VLOOKUP($A354,Table,MATCH(L$4,Curves,0)))</f>
        <v/>
      </c>
      <c r="M354" s="201" t="str">
        <f aca="false">IF(A355="","",L354)</f>
        <v/>
      </c>
      <c r="N354" s="203"/>
      <c r="O354" s="200" t="str">
        <f aca="false">IF(A355="","",L354+J354+G354)</f>
        <v/>
      </c>
      <c r="P354" s="200" t="str">
        <f aca="false">IF(A355="","",M354+K354+H354)</f>
        <v/>
      </c>
      <c r="Q354" s="204"/>
      <c r="R354" s="200" t="str">
        <f aca="false">IF($A355="","",VLOOKUP($A354,Table,MATCH(R$4,Curves,0)))</f>
        <v/>
      </c>
      <c r="S354" s="201" t="str">
        <f aca="false">IF(A355="","",R354)</f>
        <v/>
      </c>
      <c r="T354" s="200" t="str">
        <f aca="false">IF($A355="","",VLOOKUP($A354,Table,MATCH(T$4,Curves,0)))</f>
        <v/>
      </c>
      <c r="U354" s="201" t="str">
        <f aca="false">IF(A355="","",T354)</f>
        <v/>
      </c>
      <c r="V354" s="183" t="str">
        <f aca="false">IF($A355="","",IF(AND(MONTH(A354)&gt;3,MONTH(A354)&lt;11),(T354+R354+G354)*Summary!$T$8/(1-Summary!$T$8),(T354+R354+G354)*Summary!$U$8/(1-Summary!$U$8)))</f>
        <v/>
      </c>
      <c r="W354" s="200" t="str">
        <f aca="false">IF($A355="","",(T354+R354+G354+V354))</f>
        <v/>
      </c>
      <c r="X354" s="200" t="str">
        <f aca="false">IF($A355="","",(U354+S354+H354+V354))</f>
        <v/>
      </c>
      <c r="Y354" s="202"/>
      <c r="Z354" s="185" t="str">
        <f aca="false">IF($A355="","",VLOOKUP($A354,Table,MATCH(Z$4,Curves,0)))</f>
        <v/>
      </c>
      <c r="AA354" s="185" t="str">
        <f aca="false">IF($A355="","",VLOOKUP($A354,Table,MATCH(AA$4,Curves,0)))</f>
        <v/>
      </c>
      <c r="AB354" s="185" t="e">
        <f aca="false">SQRT((AA354^2*(A354-$D$3)+Z354^2*(DAY(EOMONTH(A354,0))/2))/AK354)</f>
        <v>#VALUE!</v>
      </c>
      <c r="AC354" s="185" t="str">
        <f aca="false">IF($A355="","",VLOOKUP($A354,Table,MATCH(AC$4,Curves,0)))</f>
        <v/>
      </c>
      <c r="AD354" s="185" t="str">
        <f aca="false">IF($A355="","",VLOOKUP($A354,Table,MATCH(AD$4,Curves,0)))</f>
        <v/>
      </c>
      <c r="AE354" s="185" t="e">
        <f aca="false">SQRT((AD354^2*(A354-$D$3)+AC354^2*(DAY(EOMONTH(A354,0))/2))/AK354)</f>
        <v>#VALUE!</v>
      </c>
      <c r="AF354" s="224" t="e">
        <f aca="false">((Summary!$N$8*(AA354*AD354)*(A354-$D$3))+(Summary!$M$8*Z354*AC354*(AJ354-EOMONTH(EDATE(A354,-1),0))))/(AK354*AB354*AE354)</f>
        <v>#VALUE!</v>
      </c>
      <c r="AG354" s="207" t="str">
        <f aca="false">IF($A355="","",Summary!$Q$8)</f>
        <v/>
      </c>
      <c r="AH354" s="207" t="str">
        <f aca="false">IF($A355="","",IF(Summary!$R$8="Y",(VLOOKUP($A354,Summary!$AD$6:$AF$9,3)+'Escalating commodity'!D367),'Escalating commodity'!D367))</f>
        <v/>
      </c>
      <c r="AI354" s="207" t="str">
        <f aca="false">IF($A355="","",AH354)</f>
        <v/>
      </c>
      <c r="AJ354" s="208" t="e">
        <f aca="false">A354+DAY(EOMONTH(A354,0))/2-1</f>
        <v>#VALUE!</v>
      </c>
      <c r="AK354" s="209" t="str">
        <f aca="false">IF($A355="","",$A354-$E$1)</f>
        <v/>
      </c>
      <c r="AL354" s="182" t="str">
        <f aca="false">IF($A355="","",SPRDOPT(P354,X354,AI354,0,AB354,AE354,AF354,AK354,$AJ$2,0))</f>
        <v/>
      </c>
      <c r="AM354" s="211" t="str">
        <f aca="false">IF($A355="","",MAX(0,O354-W354-AI354))</f>
        <v/>
      </c>
      <c r="AN354" s="211" t="str">
        <f aca="false">IF($A355="","",AL354-AM354)</f>
        <v/>
      </c>
      <c r="AO354" s="137" t="str">
        <f aca="false">IF(A355="","",A355-A354)</f>
        <v/>
      </c>
      <c r="AP354" s="212" t="str">
        <f aca="false">IF(A355="","",CHOOSE(F$3,A355+24,A354))</f>
        <v/>
      </c>
      <c r="AQ354" s="209" t="str">
        <f aca="false">IF(A355="","",AP354-$E$1)</f>
        <v/>
      </c>
      <c r="AR354" s="185" t="n">
        <f aca="false">'ANR OK vs ML7'!AR354</f>
        <v>0.1</v>
      </c>
      <c r="AS354" s="213" t="str">
        <f aca="false">IF(A355="","",1/(1+CHOOSE(F$3,(AR355+($I$3/10000))/2,(AR354+($I$3/10000))/2))^(2*AQ354/365.25))</f>
        <v/>
      </c>
      <c r="AT354" s="137" t="str">
        <f aca="false">IF(A355="","",IF(AND(mthbeg&lt;=A354,mthend&gt;=A354),1,0))</f>
        <v/>
      </c>
      <c r="AU354" s="137" t="str">
        <f aca="false">IF(A355="","",AO354*AT354)</f>
        <v/>
      </c>
      <c r="AW354" s="195" t="str">
        <f aca="false">IF($A355="","",AL354*$E354)</f>
        <v/>
      </c>
      <c r="AX354" s="195" t="str">
        <f aca="false">IF($A355="","",AM354*$E354)</f>
        <v/>
      </c>
      <c r="AY354" s="195" t="str">
        <f aca="false">IF($A355="","",AN354*$E354)</f>
        <v/>
      </c>
      <c r="BA354" s="195" t="str">
        <f aca="false">IF($A355="","",F354*Summary!$Q$8)</f>
        <v/>
      </c>
    </row>
    <row r="355" customFormat="false" ht="12" hidden="false" customHeight="true" outlineLevel="0" collapsed="false">
      <c r="A355" s="196" t="str">
        <f aca="false">IF(A354&lt;mthend,EDATE(A354,1),"")</f>
        <v/>
      </c>
      <c r="B355" s="197" t="n">
        <f aca="false">IF(A355&lt;mthend,B354,0)</f>
        <v>0</v>
      </c>
      <c r="C355" s="215"/>
      <c r="D355" s="197" t="str">
        <f aca="false">IF(A356&lt;&gt;"",B355+C355,"")</f>
        <v/>
      </c>
      <c r="E355" s="199" t="str">
        <f aca="false">IF(A356="","",IF(AND(AT355=1,$H$3=1),D355*AO355,IF($H$3=2,D355,"N/A")))</f>
        <v/>
      </c>
      <c r="F355" s="199" t="str">
        <f aca="false">IF(A356="","",E355*AS355)</f>
        <v/>
      </c>
      <c r="G355" s="200" t="str">
        <f aca="false">IF($A356="","",VLOOKUP($A355,Table,MATCH(G$4,Curves,0)))</f>
        <v/>
      </c>
      <c r="H355" s="201" t="str">
        <f aca="false">IF(A356="","",G355)</f>
        <v/>
      </c>
      <c r="I355" s="202"/>
      <c r="J355" s="200" t="str">
        <f aca="false">IF($A356="","",VLOOKUP($A355,Table,MATCH(J$4,Curves,0)))</f>
        <v/>
      </c>
      <c r="K355" s="201" t="str">
        <f aca="false">IF(A356="","",J355)</f>
        <v/>
      </c>
      <c r="L355" s="200" t="str">
        <f aca="false">IF($A356="","",VLOOKUP($A355,Table,MATCH(L$4,Curves,0)))</f>
        <v/>
      </c>
      <c r="M355" s="201" t="str">
        <f aca="false">IF(A356="","",L355)</f>
        <v/>
      </c>
      <c r="N355" s="203"/>
      <c r="O355" s="200" t="str">
        <f aca="false">IF(A356="","",L355+J355+G355)</f>
        <v/>
      </c>
      <c r="P355" s="200" t="str">
        <f aca="false">IF(A356="","",M355+K355+H355)</f>
        <v/>
      </c>
      <c r="Q355" s="204"/>
      <c r="R355" s="200" t="str">
        <f aca="false">IF($A356="","",VLOOKUP($A355,Table,MATCH(R$4,Curves,0)))</f>
        <v/>
      </c>
      <c r="S355" s="201" t="str">
        <f aca="false">IF(A356="","",R355)</f>
        <v/>
      </c>
      <c r="T355" s="200" t="str">
        <f aca="false">IF($A356="","",VLOOKUP($A355,Table,MATCH(T$4,Curves,0)))</f>
        <v/>
      </c>
      <c r="U355" s="201" t="str">
        <f aca="false">IF(A356="","",T355)</f>
        <v/>
      </c>
      <c r="V355" s="183" t="str">
        <f aca="false">IF($A356="","",IF(AND(MONTH(A355)&gt;3,MONTH(A355)&lt;11),(T355+R355+G355)*Summary!$T$8/(1-Summary!$T$8),(T355+R355+G355)*Summary!$U$8/(1-Summary!$U$8)))</f>
        <v/>
      </c>
      <c r="W355" s="200" t="str">
        <f aca="false">IF($A356="","",(T355+R355+G355+V355))</f>
        <v/>
      </c>
      <c r="X355" s="200" t="str">
        <f aca="false">IF($A356="","",(U355+S355+H355+V355))</f>
        <v/>
      </c>
      <c r="Y355" s="202"/>
      <c r="Z355" s="185" t="str">
        <f aca="false">IF($A356="","",VLOOKUP($A355,Table,MATCH(Z$4,Curves,0)))</f>
        <v/>
      </c>
      <c r="AA355" s="185" t="str">
        <f aca="false">IF($A356="","",VLOOKUP($A355,Table,MATCH(AA$4,Curves,0)))</f>
        <v/>
      </c>
      <c r="AB355" s="185" t="e">
        <f aca="false">SQRT((AA355^2*(A355-$D$3)+Z355^2*(DAY(EOMONTH(A355,0))/2))/AK355)</f>
        <v>#VALUE!</v>
      </c>
      <c r="AC355" s="185" t="str">
        <f aca="false">IF($A356="","",VLOOKUP($A355,Table,MATCH(AC$4,Curves,0)))</f>
        <v/>
      </c>
      <c r="AD355" s="185" t="str">
        <f aca="false">IF($A356="","",VLOOKUP($A355,Table,MATCH(AD$4,Curves,0)))</f>
        <v/>
      </c>
      <c r="AE355" s="185" t="e">
        <f aca="false">SQRT((AD355^2*(A355-$D$3)+AC355^2*(DAY(EOMONTH(A355,0))/2))/AK355)</f>
        <v>#VALUE!</v>
      </c>
      <c r="AF355" s="224" t="e">
        <f aca="false">((Summary!$N$8*(AA355*AD355)*(A355-$D$3))+(Summary!$M$8*Z355*AC355*(AJ355-EOMONTH(EDATE(A355,-1),0))))/(AK355*AB355*AE355)</f>
        <v>#VALUE!</v>
      </c>
      <c r="AG355" s="207" t="str">
        <f aca="false">IF($A356="","",Summary!$Q$8)</f>
        <v/>
      </c>
      <c r="AH355" s="207" t="str">
        <f aca="false">IF($A356="","",IF(Summary!$R$8="Y",(VLOOKUP($A355,Summary!$AD$6:$AF$9,3)+'Escalating commodity'!D368),'Escalating commodity'!D368))</f>
        <v/>
      </c>
      <c r="AI355" s="207" t="str">
        <f aca="false">IF($A356="","",AH355)</f>
        <v/>
      </c>
      <c r="AJ355" s="208" t="e">
        <f aca="false">A355+DAY(EOMONTH(A355,0))/2-1</f>
        <v>#VALUE!</v>
      </c>
      <c r="AK355" s="209" t="str">
        <f aca="false">IF($A356="","",$A355-$E$1)</f>
        <v/>
      </c>
      <c r="AL355" s="182" t="str">
        <f aca="false">IF($A356="","",SPRDOPT(P355,X355,AI355,0,AB355,AE355,AF355,AK355,$AJ$2,0))</f>
        <v/>
      </c>
      <c r="AM355" s="211" t="str">
        <f aca="false">IF($A356="","",MAX(0,O355-W355-AI355))</f>
        <v/>
      </c>
      <c r="AN355" s="211" t="str">
        <f aca="false">IF($A356="","",AL355-AM355)</f>
        <v/>
      </c>
      <c r="AO355" s="137" t="str">
        <f aca="false">IF(A356="","",A356-A355)</f>
        <v/>
      </c>
      <c r="AP355" s="212" t="str">
        <f aca="false">IF(A356="","",CHOOSE(F$3,A356+24,A355))</f>
        <v/>
      </c>
      <c r="AQ355" s="209" t="str">
        <f aca="false">IF(A356="","",AP355-$E$1)</f>
        <v/>
      </c>
      <c r="AR355" s="185" t="n">
        <f aca="false">'ANR OK vs ML7'!AR355</f>
        <v>0.1</v>
      </c>
      <c r="AS355" s="213" t="str">
        <f aca="false">IF(A356="","",1/(1+CHOOSE(F$3,(AR356+($I$3/10000))/2,(AR355+($I$3/10000))/2))^(2*AQ355/365.25))</f>
        <v/>
      </c>
      <c r="AT355" s="137" t="str">
        <f aca="false">IF(A356="","",IF(AND(mthbeg&lt;=A355,mthend&gt;=A355),1,0))</f>
        <v/>
      </c>
      <c r="AU355" s="137" t="str">
        <f aca="false">IF(A356="","",AO355*AT355)</f>
        <v/>
      </c>
      <c r="AW355" s="195" t="str">
        <f aca="false">IF($A356="","",AL355*$E355)</f>
        <v/>
      </c>
      <c r="AX355" s="195" t="str">
        <f aca="false">IF($A356="","",AM355*$E355)</f>
        <v/>
      </c>
      <c r="AY355" s="195" t="str">
        <f aca="false">IF($A356="","",AN355*$E355)</f>
        <v/>
      </c>
      <c r="BA355" s="195" t="str">
        <f aca="false">IF($A356="","",F355*Summary!$Q$8)</f>
        <v/>
      </c>
    </row>
    <row r="356" customFormat="false" ht="12" hidden="false" customHeight="true" outlineLevel="0" collapsed="false">
      <c r="A356" s="196" t="str">
        <f aca="false">IF(A355&lt;mthend,EDATE(A355,1),"")</f>
        <v/>
      </c>
      <c r="B356" s="197" t="n">
        <f aca="false">IF(A356&lt;mthend,B355,0)</f>
        <v>0</v>
      </c>
      <c r="C356" s="215"/>
      <c r="D356" s="197" t="str">
        <f aca="false">IF(A357&lt;&gt;"",B356+C356,"")</f>
        <v/>
      </c>
      <c r="E356" s="199" t="str">
        <f aca="false">IF(A357="","",IF(AND(AT356=1,$H$3=1),D356*AO356,IF($H$3=2,D356,"N/A")))</f>
        <v/>
      </c>
      <c r="F356" s="199" t="str">
        <f aca="false">IF(A357="","",E356*AS356)</f>
        <v/>
      </c>
      <c r="G356" s="200" t="str">
        <f aca="false">IF($A357="","",VLOOKUP($A356,Table,MATCH(G$4,Curves,0)))</f>
        <v/>
      </c>
      <c r="H356" s="201" t="str">
        <f aca="false">IF(A357="","",G356)</f>
        <v/>
      </c>
      <c r="I356" s="202"/>
      <c r="J356" s="200" t="str">
        <f aca="false">IF($A357="","",VLOOKUP($A356,Table,MATCH(J$4,Curves,0)))</f>
        <v/>
      </c>
      <c r="K356" s="201" t="str">
        <f aca="false">IF(A357="","",J356)</f>
        <v/>
      </c>
      <c r="L356" s="200" t="str">
        <f aca="false">IF($A357="","",VLOOKUP($A356,Table,MATCH(L$4,Curves,0)))</f>
        <v/>
      </c>
      <c r="M356" s="201" t="str">
        <f aca="false">IF(A357="","",L356)</f>
        <v/>
      </c>
      <c r="N356" s="203"/>
      <c r="O356" s="200" t="str">
        <f aca="false">IF(A357="","",L356+J356+G356)</f>
        <v/>
      </c>
      <c r="P356" s="200" t="str">
        <f aca="false">IF(A357="","",M356+K356+H356)</f>
        <v/>
      </c>
      <c r="Q356" s="204"/>
      <c r="R356" s="200" t="str">
        <f aca="false">IF($A357="","",VLOOKUP($A356,Table,MATCH(R$4,Curves,0)))</f>
        <v/>
      </c>
      <c r="S356" s="201" t="str">
        <f aca="false">IF(A357="","",R356)</f>
        <v/>
      </c>
      <c r="T356" s="200" t="str">
        <f aca="false">IF($A357="","",VLOOKUP($A356,Table,MATCH(T$4,Curves,0)))</f>
        <v/>
      </c>
      <c r="U356" s="201" t="str">
        <f aca="false">IF(A357="","",T356)</f>
        <v/>
      </c>
      <c r="V356" s="183" t="str">
        <f aca="false">IF($A357="","",IF(AND(MONTH(A356)&gt;3,MONTH(A356)&lt;11),(T356+R356+G356)*Summary!$T$8/(1-Summary!$T$8),(T356+R356+G356)*Summary!$U$8/(1-Summary!$U$8)))</f>
        <v/>
      </c>
      <c r="W356" s="200" t="str">
        <f aca="false">IF($A357="","",(T356+R356+G356+V356))</f>
        <v/>
      </c>
      <c r="X356" s="200" t="str">
        <f aca="false">IF($A357="","",(U356+S356+H356+V356))</f>
        <v/>
      </c>
      <c r="Y356" s="202"/>
      <c r="Z356" s="185" t="str">
        <f aca="false">IF($A357="","",VLOOKUP($A356,Table,MATCH(Z$4,Curves,0)))</f>
        <v/>
      </c>
      <c r="AA356" s="185" t="str">
        <f aca="false">IF($A357="","",VLOOKUP($A356,Table,MATCH(AA$4,Curves,0)))</f>
        <v/>
      </c>
      <c r="AB356" s="185" t="e">
        <f aca="false">SQRT((AA356^2*(A356-$D$3)+Z356^2*(DAY(EOMONTH(A356,0))/2))/AK356)</f>
        <v>#VALUE!</v>
      </c>
      <c r="AC356" s="185" t="str">
        <f aca="false">IF($A357="","",VLOOKUP($A356,Table,MATCH(AC$4,Curves,0)))</f>
        <v/>
      </c>
      <c r="AD356" s="185" t="str">
        <f aca="false">IF($A357="","",VLOOKUP($A356,Table,MATCH(AD$4,Curves,0)))</f>
        <v/>
      </c>
      <c r="AE356" s="185" t="e">
        <f aca="false">SQRT((AD356^2*(A356-$D$3)+AC356^2*(DAY(EOMONTH(A356,0))/2))/AK356)</f>
        <v>#VALUE!</v>
      </c>
      <c r="AF356" s="224" t="e">
        <f aca="false">((Summary!$N$8*(AA356*AD356)*(A356-$D$3))+(Summary!$M$8*Z356*AC356*(AJ356-EOMONTH(EDATE(A356,-1),0))))/(AK356*AB356*AE356)</f>
        <v>#VALUE!</v>
      </c>
      <c r="AG356" s="207" t="str">
        <f aca="false">IF($A357="","",Summary!$Q$8)</f>
        <v/>
      </c>
      <c r="AH356" s="207" t="str">
        <f aca="false">IF($A357="","",IF(Summary!$R$8="Y",(VLOOKUP($A356,Summary!$AD$6:$AF$9,3)+'Escalating commodity'!D369),'Escalating commodity'!D369))</f>
        <v/>
      </c>
      <c r="AI356" s="207" t="str">
        <f aca="false">IF($A357="","",AH356)</f>
        <v/>
      </c>
      <c r="AJ356" s="208" t="e">
        <f aca="false">A356+DAY(EOMONTH(A356,0))/2-1</f>
        <v>#VALUE!</v>
      </c>
      <c r="AK356" s="209" t="str">
        <f aca="false">IF($A357="","",$A356-$E$1)</f>
        <v/>
      </c>
      <c r="AL356" s="182" t="str">
        <f aca="false">IF($A357="","",SPRDOPT(P356,X356,AI356,0,AB356,AE356,AF356,AK356,$AJ$2,0))</f>
        <v/>
      </c>
      <c r="AM356" s="211" t="str">
        <f aca="false">IF($A357="","",MAX(0,O356-W356-AI356))</f>
        <v/>
      </c>
      <c r="AN356" s="211" t="str">
        <f aca="false">IF($A357="","",AL356-AM356)</f>
        <v/>
      </c>
      <c r="AO356" s="137" t="str">
        <f aca="false">IF(A357="","",A357-A356)</f>
        <v/>
      </c>
      <c r="AP356" s="212" t="str">
        <f aca="false">IF(A357="","",CHOOSE(F$3,A357+24,A356))</f>
        <v/>
      </c>
      <c r="AQ356" s="209" t="str">
        <f aca="false">IF(A357="","",AP356-$E$1)</f>
        <v/>
      </c>
      <c r="AR356" s="185" t="n">
        <f aca="false">'ANR OK vs ML7'!AR356</f>
        <v>0.1</v>
      </c>
      <c r="AS356" s="213" t="str">
        <f aca="false">IF(A357="","",1/(1+CHOOSE(F$3,(AR357+($I$3/10000))/2,(AR356+($I$3/10000))/2))^(2*AQ356/365.25))</f>
        <v/>
      </c>
      <c r="AT356" s="137" t="str">
        <f aca="false">IF(A357="","",IF(AND(mthbeg&lt;=A356,mthend&gt;=A356),1,0))</f>
        <v/>
      </c>
      <c r="AU356" s="137" t="str">
        <f aca="false">IF(A357="","",AO356*AT356)</f>
        <v/>
      </c>
      <c r="AW356" s="195" t="str">
        <f aca="false">IF($A357="","",AL356*$E356)</f>
        <v/>
      </c>
      <c r="AX356" s="195" t="str">
        <f aca="false">IF($A357="","",AM356*$E356)</f>
        <v/>
      </c>
      <c r="AY356" s="195" t="str">
        <f aca="false">IF($A357="","",AN356*$E356)</f>
        <v/>
      </c>
      <c r="BA356" s="195" t="str">
        <f aca="false">IF($A357="","",F356*Summary!$Q$8)</f>
        <v/>
      </c>
    </row>
    <row r="357" customFormat="false" ht="12" hidden="false" customHeight="true" outlineLevel="0" collapsed="false">
      <c r="A357" s="196" t="str">
        <f aca="false">IF(A356&lt;mthend,EDATE(A356,1),"")</f>
        <v/>
      </c>
      <c r="B357" s="197" t="n">
        <f aca="false">IF(A357&lt;mthend,B356,0)</f>
        <v>0</v>
      </c>
      <c r="C357" s="215"/>
      <c r="D357" s="197" t="str">
        <f aca="false">IF(A358&lt;&gt;"",B357+C357,"")</f>
        <v/>
      </c>
      <c r="E357" s="199" t="str">
        <f aca="false">IF(A358="","",IF(AND(AT357=1,$H$3=1),D357*AO357,IF($H$3=2,D357,"N/A")))</f>
        <v/>
      </c>
      <c r="F357" s="199" t="str">
        <f aca="false">IF(A358="","",E357*AS357)</f>
        <v/>
      </c>
      <c r="G357" s="200" t="str">
        <f aca="false">IF($A358="","",VLOOKUP($A357,Table,MATCH(G$4,Curves,0)))</f>
        <v/>
      </c>
      <c r="H357" s="201" t="str">
        <f aca="false">IF(A358="","",G357)</f>
        <v/>
      </c>
      <c r="I357" s="202"/>
      <c r="J357" s="200" t="str">
        <f aca="false">IF($A358="","",VLOOKUP($A357,Table,MATCH(J$4,Curves,0)))</f>
        <v/>
      </c>
      <c r="K357" s="201" t="str">
        <f aca="false">IF(A358="","",J357)</f>
        <v/>
      </c>
      <c r="L357" s="200" t="str">
        <f aca="false">IF($A358="","",VLOOKUP($A357,Table,MATCH(L$4,Curves,0)))</f>
        <v/>
      </c>
      <c r="M357" s="201" t="str">
        <f aca="false">IF(A358="","",L357)</f>
        <v/>
      </c>
      <c r="N357" s="203"/>
      <c r="O357" s="200" t="str">
        <f aca="false">IF(A358="","",L357+J357+G357)</f>
        <v/>
      </c>
      <c r="P357" s="200" t="str">
        <f aca="false">IF(A358="","",M357+K357+H357)</f>
        <v/>
      </c>
      <c r="Q357" s="204"/>
      <c r="R357" s="200" t="str">
        <f aca="false">IF($A358="","",VLOOKUP($A357,Table,MATCH(R$4,Curves,0)))</f>
        <v/>
      </c>
      <c r="S357" s="201" t="str">
        <f aca="false">IF(A358="","",R357)</f>
        <v/>
      </c>
      <c r="T357" s="200" t="str">
        <f aca="false">IF($A358="","",VLOOKUP($A357,Table,MATCH(T$4,Curves,0)))</f>
        <v/>
      </c>
      <c r="U357" s="201" t="str">
        <f aca="false">IF(A358="","",T357)</f>
        <v/>
      </c>
      <c r="V357" s="183" t="str">
        <f aca="false">IF($A358="","",IF(AND(MONTH(A357)&gt;3,MONTH(A357)&lt;11),(T357+R357+G357)*Summary!$T$8/(1-Summary!$T$8),(T357+R357+G357)*Summary!$U$8/(1-Summary!$U$8)))</f>
        <v/>
      </c>
      <c r="W357" s="200" t="str">
        <f aca="false">IF($A358="","",(T357+R357+G357+V357))</f>
        <v/>
      </c>
      <c r="X357" s="200" t="str">
        <f aca="false">IF($A358="","",(U357+S357+H357+V357))</f>
        <v/>
      </c>
      <c r="Y357" s="202"/>
      <c r="Z357" s="185" t="str">
        <f aca="false">IF($A358="","",VLOOKUP($A357,Table,MATCH(Z$4,Curves,0)))</f>
        <v/>
      </c>
      <c r="AA357" s="185" t="str">
        <f aca="false">IF($A358="","",VLOOKUP($A357,Table,MATCH(AA$4,Curves,0)))</f>
        <v/>
      </c>
      <c r="AB357" s="185" t="e">
        <f aca="false">SQRT((AA357^2*(A357-$D$3)+Z357^2*(DAY(EOMONTH(A357,0))/2))/AK357)</f>
        <v>#VALUE!</v>
      </c>
      <c r="AC357" s="185" t="str">
        <f aca="false">IF($A358="","",VLOOKUP($A357,Table,MATCH(AC$4,Curves,0)))</f>
        <v/>
      </c>
      <c r="AD357" s="185" t="str">
        <f aca="false">IF($A358="","",VLOOKUP($A357,Table,MATCH(AD$4,Curves,0)))</f>
        <v/>
      </c>
      <c r="AE357" s="185" t="e">
        <f aca="false">SQRT((AD357^2*(A357-$D$3)+AC357^2*(DAY(EOMONTH(A357,0))/2))/AK357)</f>
        <v>#VALUE!</v>
      </c>
      <c r="AF357" s="224" t="e">
        <f aca="false">((Summary!$N$8*(AA357*AD357)*(A357-$D$3))+(Summary!$M$8*Z357*AC357*(AJ357-EOMONTH(EDATE(A357,-1),0))))/(AK357*AB357*AE357)</f>
        <v>#VALUE!</v>
      </c>
      <c r="AG357" s="207" t="str">
        <f aca="false">IF($A358="","",Summary!$Q$8)</f>
        <v/>
      </c>
      <c r="AH357" s="207" t="str">
        <f aca="false">IF($A358="","",IF(Summary!$R$8="Y",(VLOOKUP($A357,Summary!$AD$6:$AF$9,3)+'Escalating commodity'!D370),'Escalating commodity'!D370))</f>
        <v/>
      </c>
      <c r="AI357" s="207" t="str">
        <f aca="false">IF($A358="","",AH357)</f>
        <v/>
      </c>
      <c r="AJ357" s="208" t="e">
        <f aca="false">A357+DAY(EOMONTH(A357,0))/2-1</f>
        <v>#VALUE!</v>
      </c>
      <c r="AK357" s="209" t="str">
        <f aca="false">IF($A358="","",$A357-$E$1)</f>
        <v/>
      </c>
      <c r="AL357" s="182" t="str">
        <f aca="false">IF($A358="","",SPRDOPT(P357,X357,AI357,0,AB357,AE357,AF357,AK357,$AJ$2,0))</f>
        <v/>
      </c>
      <c r="AM357" s="211" t="str">
        <f aca="false">IF($A358="","",MAX(0,O357-W357-AI357))</f>
        <v/>
      </c>
      <c r="AN357" s="211" t="str">
        <f aca="false">IF($A358="","",AL357-AM357)</f>
        <v/>
      </c>
      <c r="AO357" s="137" t="str">
        <f aca="false">IF(A358="","",A358-A357)</f>
        <v/>
      </c>
      <c r="AP357" s="212" t="str">
        <f aca="false">IF(A358="","",CHOOSE(F$3,A358+24,A357))</f>
        <v/>
      </c>
      <c r="AQ357" s="209" t="str">
        <f aca="false">IF(A358="","",AP357-$E$1)</f>
        <v/>
      </c>
      <c r="AR357" s="185" t="n">
        <f aca="false">'ANR OK vs ML7'!AR357</f>
        <v>0.1</v>
      </c>
      <c r="AS357" s="213" t="str">
        <f aca="false">IF(A358="","",1/(1+CHOOSE(F$3,(AR358+($I$3/10000))/2,(AR357+($I$3/10000))/2))^(2*AQ357/365.25))</f>
        <v/>
      </c>
      <c r="AT357" s="137" t="str">
        <f aca="false">IF(A358="","",IF(AND(mthbeg&lt;=A357,mthend&gt;=A357),1,0))</f>
        <v/>
      </c>
      <c r="AU357" s="137" t="str">
        <f aca="false">IF(A358="","",AO357*AT357)</f>
        <v/>
      </c>
      <c r="AW357" s="195" t="str">
        <f aca="false">IF($A358="","",AL357*$E357)</f>
        <v/>
      </c>
      <c r="AX357" s="195" t="str">
        <f aca="false">IF($A358="","",AM357*$E357)</f>
        <v/>
      </c>
      <c r="AY357" s="195" t="str">
        <f aca="false">IF($A358="","",AN357*$E357)</f>
        <v/>
      </c>
      <c r="BA357" s="195" t="str">
        <f aca="false">IF($A358="","",F357*Summary!$Q$8)</f>
        <v/>
      </c>
    </row>
    <row r="358" customFormat="false" ht="12" hidden="false" customHeight="true" outlineLevel="0" collapsed="false">
      <c r="A358" s="196" t="str">
        <f aca="false">IF(A357&lt;mthend,EDATE(A357,1),"")</f>
        <v/>
      </c>
      <c r="B358" s="197" t="n">
        <f aca="false">IF(A358&lt;mthend,B357,0)</f>
        <v>0</v>
      </c>
      <c r="C358" s="215"/>
      <c r="D358" s="197" t="str">
        <f aca="false">IF(A359&lt;&gt;"",B358+C358,"")</f>
        <v/>
      </c>
      <c r="E358" s="199" t="str">
        <f aca="false">IF(A359="","",IF(AND(AT358=1,$H$3=1),D358*AO358,IF($H$3=2,D358,"N/A")))</f>
        <v/>
      </c>
      <c r="F358" s="199" t="str">
        <f aca="false">IF(A359="","",E358*AS358)</f>
        <v/>
      </c>
      <c r="G358" s="200" t="str">
        <f aca="false">IF($A359="","",VLOOKUP($A358,Table,MATCH(G$4,Curves,0)))</f>
        <v/>
      </c>
      <c r="H358" s="201" t="str">
        <f aca="false">IF(A359="","",G358)</f>
        <v/>
      </c>
      <c r="I358" s="202"/>
      <c r="J358" s="200" t="str">
        <f aca="false">IF($A359="","",VLOOKUP($A358,Table,MATCH(J$4,Curves,0)))</f>
        <v/>
      </c>
      <c r="K358" s="201" t="str">
        <f aca="false">IF(A359="","",J358)</f>
        <v/>
      </c>
      <c r="L358" s="200" t="str">
        <f aca="false">IF($A359="","",VLOOKUP($A358,Table,MATCH(L$4,Curves,0)))</f>
        <v/>
      </c>
      <c r="M358" s="201" t="str">
        <f aca="false">IF(A359="","",L358)</f>
        <v/>
      </c>
      <c r="N358" s="203"/>
      <c r="O358" s="200" t="str">
        <f aca="false">IF(A359="","",L358+J358+G358)</f>
        <v/>
      </c>
      <c r="P358" s="200" t="str">
        <f aca="false">IF(A359="","",M358+K358+H358)</f>
        <v/>
      </c>
      <c r="Q358" s="204"/>
      <c r="R358" s="200" t="str">
        <f aca="false">IF($A359="","",VLOOKUP($A358,Table,MATCH(R$4,Curves,0)))</f>
        <v/>
      </c>
      <c r="S358" s="201" t="str">
        <f aca="false">IF(A359="","",R358)</f>
        <v/>
      </c>
      <c r="T358" s="200" t="str">
        <f aca="false">IF($A359="","",VLOOKUP($A358,Table,MATCH(T$4,Curves,0)))</f>
        <v/>
      </c>
      <c r="U358" s="201" t="str">
        <f aca="false">IF(A359="","",T358)</f>
        <v/>
      </c>
      <c r="V358" s="183" t="str">
        <f aca="false">IF($A359="","",IF(AND(MONTH(A358)&gt;3,MONTH(A358)&lt;11),(T358+R358+G358)*Summary!$T$8/(1-Summary!$T$8),(T358+R358+G358)*Summary!$U$8/(1-Summary!$U$8)))</f>
        <v/>
      </c>
      <c r="W358" s="200" t="str">
        <f aca="false">IF($A359="","",(T358+R358+G358+V358))</f>
        <v/>
      </c>
      <c r="X358" s="200" t="str">
        <f aca="false">IF($A359="","",(U358+S358+H358+V358))</f>
        <v/>
      </c>
      <c r="Y358" s="202"/>
      <c r="Z358" s="185" t="str">
        <f aca="false">IF($A359="","",VLOOKUP($A358,Table,MATCH(Z$4,Curves,0)))</f>
        <v/>
      </c>
      <c r="AA358" s="185" t="str">
        <f aca="false">IF($A359="","",VLOOKUP($A358,Table,MATCH(AA$4,Curves,0)))</f>
        <v/>
      </c>
      <c r="AB358" s="185" t="e">
        <f aca="false">SQRT((AA358^2*(A358-$D$3)+Z358^2*(DAY(EOMONTH(A358,0))/2))/AK358)</f>
        <v>#VALUE!</v>
      </c>
      <c r="AC358" s="185" t="str">
        <f aca="false">IF($A359="","",VLOOKUP($A358,Table,MATCH(AC$4,Curves,0)))</f>
        <v/>
      </c>
      <c r="AD358" s="185" t="str">
        <f aca="false">IF($A359="","",VLOOKUP($A358,Table,MATCH(AD$4,Curves,0)))</f>
        <v/>
      </c>
      <c r="AE358" s="185" t="e">
        <f aca="false">SQRT((AD358^2*(A358-$D$3)+AC358^2*(DAY(EOMONTH(A358,0))/2))/AK358)</f>
        <v>#VALUE!</v>
      </c>
      <c r="AF358" s="224" t="e">
        <f aca="false">((Summary!$N$8*(AA358*AD358)*(A358-$D$3))+(Summary!$M$8*Z358*AC358*(AJ358-EOMONTH(EDATE(A358,-1),0))))/(AK358*AB358*AE358)</f>
        <v>#VALUE!</v>
      </c>
      <c r="AG358" s="207" t="str">
        <f aca="false">IF($A359="","",Summary!$Q$8)</f>
        <v/>
      </c>
      <c r="AH358" s="207" t="str">
        <f aca="false">IF($A359="","",IF(Summary!$R$8="Y",(VLOOKUP($A358,Summary!$AD$6:$AF$9,3)+'Escalating commodity'!D371),'Escalating commodity'!D371))</f>
        <v/>
      </c>
      <c r="AI358" s="207" t="str">
        <f aca="false">IF($A359="","",AH358)</f>
        <v/>
      </c>
      <c r="AJ358" s="208" t="e">
        <f aca="false">A358+DAY(EOMONTH(A358,0))/2-1</f>
        <v>#VALUE!</v>
      </c>
      <c r="AK358" s="209" t="str">
        <f aca="false">IF($A359="","",$A358-$E$1)</f>
        <v/>
      </c>
      <c r="AL358" s="182" t="str">
        <f aca="false">IF($A359="","",SPRDOPT(P358,X358,AI358,0,AB358,AE358,AF358,AK358,$AJ$2,0))</f>
        <v/>
      </c>
      <c r="AM358" s="211" t="str">
        <f aca="false">IF($A359="","",MAX(0,O358-W358-AI358))</f>
        <v/>
      </c>
      <c r="AN358" s="211" t="str">
        <f aca="false">IF($A359="","",AL358-AM358)</f>
        <v/>
      </c>
      <c r="AO358" s="137" t="str">
        <f aca="false">IF(A359="","",A359-A358)</f>
        <v/>
      </c>
      <c r="AP358" s="212" t="str">
        <f aca="false">IF(A359="","",CHOOSE(F$3,A359+24,A358))</f>
        <v/>
      </c>
      <c r="AQ358" s="209" t="str">
        <f aca="false">IF(A359="","",AP358-$E$1)</f>
        <v/>
      </c>
      <c r="AR358" s="185" t="n">
        <f aca="false">'ANR OK vs ML7'!AR358</f>
        <v>0.1</v>
      </c>
      <c r="AS358" s="213" t="str">
        <f aca="false">IF(A359="","",1/(1+CHOOSE(F$3,(AR359+($I$3/10000))/2,(AR358+($I$3/10000))/2))^(2*AQ358/365.25))</f>
        <v/>
      </c>
      <c r="AT358" s="137" t="str">
        <f aca="false">IF(A359="","",IF(AND(mthbeg&lt;=A358,mthend&gt;=A358),1,0))</f>
        <v/>
      </c>
      <c r="AU358" s="137" t="str">
        <f aca="false">IF(A359="","",AO358*AT358)</f>
        <v/>
      </c>
      <c r="AW358" s="195" t="str">
        <f aca="false">IF($A359="","",AL358*$E358)</f>
        <v/>
      </c>
      <c r="AX358" s="195" t="str">
        <f aca="false">IF($A359="","",AM358*$E358)</f>
        <v/>
      </c>
      <c r="AY358" s="195" t="str">
        <f aca="false">IF($A359="","",AN358*$E358)</f>
        <v/>
      </c>
      <c r="BA358" s="195" t="str">
        <f aca="false">IF($A359="","",F358*Summary!$Q$8)</f>
        <v/>
      </c>
    </row>
    <row r="359" customFormat="false" ht="12" hidden="false" customHeight="true" outlineLevel="0" collapsed="false">
      <c r="A359" s="196" t="str">
        <f aca="false">IF(A358&lt;mthend,EDATE(A358,1),"")</f>
        <v/>
      </c>
      <c r="B359" s="197" t="n">
        <f aca="false">IF(A359&lt;mthend,B358,0)</f>
        <v>0</v>
      </c>
      <c r="C359" s="215"/>
      <c r="D359" s="197" t="str">
        <f aca="false">IF(A360&lt;&gt;"",B359+C359,"")</f>
        <v/>
      </c>
      <c r="E359" s="199" t="str">
        <f aca="false">IF(A360="","",IF(AND(AT359=1,$H$3=1),D359*AO359,IF($H$3=2,D359,"N/A")))</f>
        <v/>
      </c>
      <c r="F359" s="199" t="str">
        <f aca="false">IF(A360="","",E359*AS359)</f>
        <v/>
      </c>
      <c r="G359" s="200" t="str">
        <f aca="false">IF($A360="","",VLOOKUP($A359,Table,MATCH(G$4,Curves,0)))</f>
        <v/>
      </c>
      <c r="H359" s="201" t="str">
        <f aca="false">IF(A360="","",G359)</f>
        <v/>
      </c>
      <c r="I359" s="202"/>
      <c r="J359" s="200" t="str">
        <f aca="false">IF($A360="","",VLOOKUP($A359,Table,MATCH(J$4,Curves,0)))</f>
        <v/>
      </c>
      <c r="K359" s="201" t="str">
        <f aca="false">IF(A360="","",J359)</f>
        <v/>
      </c>
      <c r="L359" s="200" t="str">
        <f aca="false">IF($A360="","",VLOOKUP($A359,Table,MATCH(L$4,Curves,0)))</f>
        <v/>
      </c>
      <c r="M359" s="201" t="str">
        <f aca="false">IF(A360="","",L359)</f>
        <v/>
      </c>
      <c r="N359" s="203"/>
      <c r="O359" s="200" t="str">
        <f aca="false">IF(A360="","",L359+J359+G359)</f>
        <v/>
      </c>
      <c r="P359" s="200" t="str">
        <f aca="false">IF(A360="","",M359+K359+H359)</f>
        <v/>
      </c>
      <c r="Q359" s="204"/>
      <c r="R359" s="200" t="str">
        <f aca="false">IF($A360="","",VLOOKUP($A359,Table,MATCH(R$4,Curves,0)))</f>
        <v/>
      </c>
      <c r="S359" s="201" t="str">
        <f aca="false">IF(A360="","",R359)</f>
        <v/>
      </c>
      <c r="T359" s="200" t="str">
        <f aca="false">IF($A360="","",VLOOKUP($A359,Table,MATCH(T$4,Curves,0)))</f>
        <v/>
      </c>
      <c r="U359" s="201" t="str">
        <f aca="false">IF(A360="","",T359)</f>
        <v/>
      </c>
      <c r="V359" s="183" t="str">
        <f aca="false">IF($A360="","",IF(AND(MONTH(A359)&gt;3,MONTH(A359)&lt;11),(T359+R359+G359)*Summary!$T$8/(1-Summary!$T$8),(T359+R359+G359)*Summary!$U$8/(1-Summary!$U$8)))</f>
        <v/>
      </c>
      <c r="W359" s="200" t="str">
        <f aca="false">IF($A360="","",(T359+R359+G359+V359))</f>
        <v/>
      </c>
      <c r="X359" s="200" t="str">
        <f aca="false">IF($A360="","",(U359+S359+H359+V359))</f>
        <v/>
      </c>
      <c r="Y359" s="202"/>
      <c r="Z359" s="185" t="str">
        <f aca="false">IF($A360="","",VLOOKUP($A359,Table,MATCH(Z$4,Curves,0)))</f>
        <v/>
      </c>
      <c r="AA359" s="185" t="str">
        <f aca="false">IF($A360="","",VLOOKUP($A359,Table,MATCH(AA$4,Curves,0)))</f>
        <v/>
      </c>
      <c r="AB359" s="185" t="e">
        <f aca="false">SQRT((AA359^2*(A359-$D$3)+Z359^2*(DAY(EOMONTH(A359,0))/2))/AK359)</f>
        <v>#VALUE!</v>
      </c>
      <c r="AC359" s="185" t="str">
        <f aca="false">IF($A360="","",VLOOKUP($A359,Table,MATCH(AC$4,Curves,0)))</f>
        <v/>
      </c>
      <c r="AD359" s="185" t="str">
        <f aca="false">IF($A360="","",VLOOKUP($A359,Table,MATCH(AD$4,Curves,0)))</f>
        <v/>
      </c>
      <c r="AE359" s="185" t="e">
        <f aca="false">SQRT((AD359^2*(A359-$D$3)+AC359^2*(DAY(EOMONTH(A359,0))/2))/AK359)</f>
        <v>#VALUE!</v>
      </c>
      <c r="AF359" s="224" t="e">
        <f aca="false">((Summary!$N$8*(AA359*AD359)*(A359-$D$3))+(Summary!$M$8*Z359*AC359*(AJ359-EOMONTH(EDATE(A359,-1),0))))/(AK359*AB359*AE359)</f>
        <v>#VALUE!</v>
      </c>
      <c r="AG359" s="207" t="str">
        <f aca="false">IF($A360="","",Summary!$Q$8)</f>
        <v/>
      </c>
      <c r="AH359" s="207" t="str">
        <f aca="false">IF($A360="","",IF(Summary!$R$8="Y",(VLOOKUP($A359,Summary!$AD$6:$AF$9,3)+'Escalating commodity'!D372),'Escalating commodity'!D372))</f>
        <v/>
      </c>
      <c r="AI359" s="207" t="str">
        <f aca="false">IF($A360="","",AH359)</f>
        <v/>
      </c>
      <c r="AJ359" s="208" t="e">
        <f aca="false">A359+DAY(EOMONTH(A359,0))/2-1</f>
        <v>#VALUE!</v>
      </c>
      <c r="AK359" s="209" t="str">
        <f aca="false">IF($A360="","",$A359-$E$1)</f>
        <v/>
      </c>
      <c r="AL359" s="182" t="str">
        <f aca="false">IF($A360="","",SPRDOPT(P359,X359,AI359,0,AB359,AE359,AF359,AK359,$AJ$2,0))</f>
        <v/>
      </c>
      <c r="AM359" s="211" t="str">
        <f aca="false">IF($A360="","",MAX(0,O359-W359-AI359))</f>
        <v/>
      </c>
      <c r="AN359" s="211" t="str">
        <f aca="false">IF($A360="","",AL359-AM359)</f>
        <v/>
      </c>
      <c r="AO359" s="137" t="str">
        <f aca="false">IF(A360="","",A360-A359)</f>
        <v/>
      </c>
      <c r="AP359" s="212" t="str">
        <f aca="false">IF(A360="","",CHOOSE(F$3,A360+24,A359))</f>
        <v/>
      </c>
      <c r="AQ359" s="209" t="str">
        <f aca="false">IF(A360="","",AP359-$E$1)</f>
        <v/>
      </c>
      <c r="AR359" s="185" t="n">
        <f aca="false">'ANR OK vs ML7'!AR359</f>
        <v>0.1</v>
      </c>
      <c r="AS359" s="213" t="str">
        <f aca="false">IF(A360="","",1/(1+CHOOSE(F$3,(AR360+($I$3/10000))/2,(AR359+($I$3/10000))/2))^(2*AQ359/365.25))</f>
        <v/>
      </c>
      <c r="AT359" s="137" t="str">
        <f aca="false">IF(A360="","",IF(AND(mthbeg&lt;=A359,mthend&gt;=A359),1,0))</f>
        <v/>
      </c>
      <c r="AU359" s="137" t="str">
        <f aca="false">IF(A360="","",AO359*AT359)</f>
        <v/>
      </c>
      <c r="AW359" s="195" t="str">
        <f aca="false">IF($A360="","",AL359*$E359)</f>
        <v/>
      </c>
      <c r="AX359" s="195" t="str">
        <f aca="false">IF($A360="","",AM359*$E359)</f>
        <v/>
      </c>
      <c r="AY359" s="195" t="str">
        <f aca="false">IF($A360="","",AN359*$E359)</f>
        <v/>
      </c>
      <c r="BA359" s="195" t="str">
        <f aca="false">IF($A360="","",F359*Summary!$Q$8)</f>
        <v/>
      </c>
    </row>
    <row r="360" customFormat="false" ht="12" hidden="false" customHeight="true" outlineLevel="0" collapsed="false">
      <c r="A360" s="196" t="str">
        <f aca="false">IF(A359&lt;mthend,EDATE(A359,1),"")</f>
        <v/>
      </c>
      <c r="B360" s="197" t="n">
        <f aca="false">IF(A360&lt;mthend,B359,0)</f>
        <v>0</v>
      </c>
      <c r="C360" s="215"/>
      <c r="D360" s="197" t="str">
        <f aca="false">IF(A361&lt;&gt;"",B360+C360,"")</f>
        <v/>
      </c>
      <c r="E360" s="199" t="str">
        <f aca="false">IF(A361="","",IF(AND(AT360=1,$H$3=1),D360*AO360,IF($H$3=2,D360,"N/A")))</f>
        <v/>
      </c>
      <c r="F360" s="199" t="str">
        <f aca="false">IF(A361="","",E360*AS360)</f>
        <v/>
      </c>
      <c r="G360" s="200" t="str">
        <f aca="false">IF($A361="","",VLOOKUP($A360,Table,MATCH(G$4,Curves,0)))</f>
        <v/>
      </c>
      <c r="H360" s="201" t="str">
        <f aca="false">IF(A361="","",G360)</f>
        <v/>
      </c>
      <c r="I360" s="202"/>
      <c r="J360" s="200" t="str">
        <f aca="false">IF($A361="","",VLOOKUP($A360,Table,MATCH(J$4,Curves,0)))</f>
        <v/>
      </c>
      <c r="K360" s="201" t="str">
        <f aca="false">IF(A361="","",J360)</f>
        <v/>
      </c>
      <c r="L360" s="200" t="str">
        <f aca="false">IF($A361="","",VLOOKUP($A360,Table,MATCH(L$4,Curves,0)))</f>
        <v/>
      </c>
      <c r="M360" s="201" t="str">
        <f aca="false">IF(A361="","",L360)</f>
        <v/>
      </c>
      <c r="N360" s="203"/>
      <c r="O360" s="200" t="str">
        <f aca="false">IF(A361="","",L360+J360+G360)</f>
        <v/>
      </c>
      <c r="P360" s="200" t="str">
        <f aca="false">IF(A361="","",M360+K360+H360)</f>
        <v/>
      </c>
      <c r="Q360" s="204"/>
      <c r="R360" s="200" t="str">
        <f aca="false">IF($A361="","",VLOOKUP($A360,Table,MATCH(R$4,Curves,0)))</f>
        <v/>
      </c>
      <c r="S360" s="201" t="str">
        <f aca="false">IF(A361="","",R360)</f>
        <v/>
      </c>
      <c r="T360" s="200" t="str">
        <f aca="false">IF($A361="","",VLOOKUP($A360,Table,MATCH(T$4,Curves,0)))</f>
        <v/>
      </c>
      <c r="U360" s="201" t="str">
        <f aca="false">IF(A361="","",T360)</f>
        <v/>
      </c>
      <c r="V360" s="183" t="str">
        <f aca="false">IF($A361="","",IF(AND(MONTH(A360)&gt;3,MONTH(A360)&lt;11),(T360+R360+G360)*Summary!$T$8/(1-Summary!$T$8),(T360+R360+G360)*Summary!$U$8/(1-Summary!$U$8)))</f>
        <v/>
      </c>
      <c r="W360" s="200" t="str">
        <f aca="false">IF($A361="","",(T360+R360+G360+V360))</f>
        <v/>
      </c>
      <c r="X360" s="200" t="str">
        <f aca="false">IF($A361="","",(U360+S360+H360+V360))</f>
        <v/>
      </c>
      <c r="Y360" s="202"/>
      <c r="Z360" s="185" t="str">
        <f aca="false">IF($A361="","",VLOOKUP($A360,Table,MATCH(Z$4,Curves,0)))</f>
        <v/>
      </c>
      <c r="AA360" s="185" t="str">
        <f aca="false">IF($A361="","",VLOOKUP($A360,Table,MATCH(AA$4,Curves,0)))</f>
        <v/>
      </c>
      <c r="AB360" s="185" t="e">
        <f aca="false">SQRT((AA360^2*(A360-$D$3)+Z360^2*(DAY(EOMONTH(A360,0))/2))/AK360)</f>
        <v>#VALUE!</v>
      </c>
      <c r="AC360" s="185" t="str">
        <f aca="false">IF($A361="","",VLOOKUP($A360,Table,MATCH(AC$4,Curves,0)))</f>
        <v/>
      </c>
      <c r="AD360" s="185" t="str">
        <f aca="false">IF($A361="","",VLOOKUP($A360,Table,MATCH(AD$4,Curves,0)))</f>
        <v/>
      </c>
      <c r="AE360" s="185" t="e">
        <f aca="false">SQRT((AD360^2*(A360-$D$3)+AC360^2*(DAY(EOMONTH(A360,0))/2))/AK360)</f>
        <v>#VALUE!</v>
      </c>
      <c r="AF360" s="224" t="e">
        <f aca="false">((Summary!$N$8*(AA360*AD360)*(A360-$D$3))+(Summary!$M$8*Z360*AC360*(AJ360-EOMONTH(EDATE(A360,-1),0))))/(AK360*AB360*AE360)</f>
        <v>#VALUE!</v>
      </c>
      <c r="AG360" s="207" t="str">
        <f aca="false">IF($A361="","",Summary!$Q$8)</f>
        <v/>
      </c>
      <c r="AH360" s="207" t="str">
        <f aca="false">IF($A361="","",IF(Summary!$R$8="Y",(VLOOKUP($A360,Summary!$AD$6:$AF$9,3)+'Escalating commodity'!D373),'Escalating commodity'!D373))</f>
        <v/>
      </c>
      <c r="AI360" s="207" t="str">
        <f aca="false">IF($A361="","",AH360)</f>
        <v/>
      </c>
      <c r="AJ360" s="208" t="e">
        <f aca="false">A360+DAY(EOMONTH(A360,0))/2-1</f>
        <v>#VALUE!</v>
      </c>
      <c r="AK360" s="209" t="str">
        <f aca="false">IF($A361="","",$A360-$E$1)</f>
        <v/>
      </c>
      <c r="AL360" s="182" t="str">
        <f aca="false">IF($A361="","",SPRDOPT(P360,X360,AI360,0,AB360,AE360,AF360,AK360,$AJ$2,0))</f>
        <v/>
      </c>
      <c r="AM360" s="211" t="str">
        <f aca="false">IF($A361="","",MAX(0,O360-W360-AI360))</f>
        <v/>
      </c>
      <c r="AN360" s="211" t="str">
        <f aca="false">IF($A361="","",AL360-AM360)</f>
        <v/>
      </c>
      <c r="AO360" s="137" t="str">
        <f aca="false">IF(A361="","",A361-A360)</f>
        <v/>
      </c>
      <c r="AP360" s="212" t="str">
        <f aca="false">IF(A361="","",CHOOSE(F$3,A361+24,A360))</f>
        <v/>
      </c>
      <c r="AQ360" s="209" t="str">
        <f aca="false">IF(A361="","",AP360-$E$1)</f>
        <v/>
      </c>
      <c r="AR360" s="185" t="n">
        <f aca="false">'ANR OK vs ML7'!AR360</f>
        <v>0.1</v>
      </c>
      <c r="AS360" s="213" t="str">
        <f aca="false">IF(A361="","",1/(1+CHOOSE(F$3,(AR361+($I$3/10000))/2,(AR360+($I$3/10000))/2))^(2*AQ360/365.25))</f>
        <v/>
      </c>
      <c r="AT360" s="137" t="str">
        <f aca="false">IF(A361="","",IF(AND(mthbeg&lt;=A360,mthend&gt;=A360),1,0))</f>
        <v/>
      </c>
      <c r="AU360" s="137" t="str">
        <f aca="false">IF(A361="","",AO360*AT360)</f>
        <v/>
      </c>
      <c r="AW360" s="195" t="str">
        <f aca="false">IF($A361="","",AL360*$E360)</f>
        <v/>
      </c>
      <c r="AX360" s="195" t="str">
        <f aca="false">IF($A361="","",AM360*$E360)</f>
        <v/>
      </c>
      <c r="AY360" s="195" t="str">
        <f aca="false">IF($A361="","",AN360*$E360)</f>
        <v/>
      </c>
      <c r="BA360" s="195" t="str">
        <f aca="false">IF($A361="","",F360*Summary!$Q$8)</f>
        <v/>
      </c>
    </row>
    <row r="361" customFormat="false" ht="12" hidden="false" customHeight="true" outlineLevel="0" collapsed="false">
      <c r="A361" s="196" t="str">
        <f aca="false">IF(A360&lt;mthend,EDATE(A360,1),"")</f>
        <v/>
      </c>
      <c r="B361" s="197" t="n">
        <f aca="false">IF(A361&lt;mthend,B360,0)</f>
        <v>0</v>
      </c>
      <c r="C361" s="215"/>
      <c r="D361" s="197" t="str">
        <f aca="false">IF(A362&lt;&gt;"",B361+C361,"")</f>
        <v/>
      </c>
      <c r="E361" s="199" t="str">
        <f aca="false">IF(A362="","",IF(AND(AT361=1,$H$3=1),D361*AO361,IF($H$3=2,D361,"N/A")))</f>
        <v/>
      </c>
      <c r="F361" s="199" t="str">
        <f aca="false">IF(A362="","",E361*AS361)</f>
        <v/>
      </c>
      <c r="G361" s="200" t="str">
        <f aca="false">IF($A362="","",VLOOKUP($A361,Table,MATCH(G$4,Curves,0)))</f>
        <v/>
      </c>
      <c r="H361" s="201" t="str">
        <f aca="false">IF(A362="","",G361)</f>
        <v/>
      </c>
      <c r="I361" s="202"/>
      <c r="J361" s="200" t="str">
        <f aca="false">IF($A362="","",VLOOKUP($A361,Table,MATCH(J$4,Curves,0)))</f>
        <v/>
      </c>
      <c r="K361" s="201" t="str">
        <f aca="false">IF(A362="","",J361)</f>
        <v/>
      </c>
      <c r="L361" s="200" t="str">
        <f aca="false">IF($A362="","",VLOOKUP($A361,Table,MATCH(L$4,Curves,0)))</f>
        <v/>
      </c>
      <c r="M361" s="201" t="str">
        <f aca="false">IF(A362="","",L361)</f>
        <v/>
      </c>
      <c r="N361" s="203"/>
      <c r="O361" s="200" t="str">
        <f aca="false">IF(A362="","",L361+J361+G361)</f>
        <v/>
      </c>
      <c r="P361" s="200" t="str">
        <f aca="false">IF(A362="","",M361+K361+H361)</f>
        <v/>
      </c>
      <c r="Q361" s="204"/>
      <c r="R361" s="200" t="str">
        <f aca="false">IF($A362="","",VLOOKUP($A361,Table,MATCH(R$4,Curves,0)))</f>
        <v/>
      </c>
      <c r="S361" s="201" t="str">
        <f aca="false">IF(A362="","",R361)</f>
        <v/>
      </c>
      <c r="T361" s="200" t="str">
        <f aca="false">IF($A362="","",VLOOKUP($A361,Table,MATCH(T$4,Curves,0)))</f>
        <v/>
      </c>
      <c r="U361" s="201" t="str">
        <f aca="false">IF(A362="","",T361)</f>
        <v/>
      </c>
      <c r="V361" s="183" t="str">
        <f aca="false">IF($A362="","",IF(AND(MONTH(A361)&gt;3,MONTH(A361)&lt;11),(T361+R361+G361)*Summary!$T$8/(1-Summary!$T$8),(T361+R361+G361)*Summary!$U$8/(1-Summary!$U$8)))</f>
        <v/>
      </c>
      <c r="W361" s="200" t="str">
        <f aca="false">IF($A362="","",(T361+R361+G361+V361))</f>
        <v/>
      </c>
      <c r="X361" s="200" t="str">
        <f aca="false">IF($A362="","",(U361+S361+H361+V361))</f>
        <v/>
      </c>
      <c r="Y361" s="202"/>
      <c r="Z361" s="185" t="str">
        <f aca="false">IF($A362="","",VLOOKUP($A361,Table,MATCH(Z$4,Curves,0)))</f>
        <v/>
      </c>
      <c r="AA361" s="185" t="str">
        <f aca="false">IF($A362="","",VLOOKUP($A361,Table,MATCH(AA$4,Curves,0)))</f>
        <v/>
      </c>
      <c r="AB361" s="185" t="e">
        <f aca="false">SQRT((AA361^2*(A361-$D$3)+Z361^2*(DAY(EOMONTH(A361,0))/2))/AK361)</f>
        <v>#VALUE!</v>
      </c>
      <c r="AC361" s="185" t="str">
        <f aca="false">IF($A362="","",VLOOKUP($A361,Table,MATCH(AC$4,Curves,0)))</f>
        <v/>
      </c>
      <c r="AD361" s="185" t="str">
        <f aca="false">IF($A362="","",VLOOKUP($A361,Table,MATCH(AD$4,Curves,0)))</f>
        <v/>
      </c>
      <c r="AE361" s="185" t="e">
        <f aca="false">SQRT((AD361^2*(A361-$D$3)+AC361^2*(DAY(EOMONTH(A361,0))/2))/AK361)</f>
        <v>#VALUE!</v>
      </c>
      <c r="AF361" s="224" t="e">
        <f aca="false">((Summary!$N$8*(AA361*AD361)*(A361-$D$3))+(Summary!$M$8*Z361*AC361*(AJ361-EOMONTH(EDATE(A361,-1),0))))/(AK361*AB361*AE361)</f>
        <v>#VALUE!</v>
      </c>
      <c r="AG361" s="207" t="str">
        <f aca="false">IF($A362="","",Summary!$Q$8)</f>
        <v/>
      </c>
      <c r="AH361" s="207" t="str">
        <f aca="false">IF($A362="","",IF(Summary!$R$8="Y",(VLOOKUP($A361,Summary!$AD$6:$AF$9,3)+'Escalating commodity'!D374),'Escalating commodity'!D374))</f>
        <v/>
      </c>
      <c r="AI361" s="207" t="str">
        <f aca="false">IF($A362="","",AH361)</f>
        <v/>
      </c>
      <c r="AJ361" s="208" t="e">
        <f aca="false">A361+DAY(EOMONTH(A361,0))/2-1</f>
        <v>#VALUE!</v>
      </c>
      <c r="AK361" s="209" t="str">
        <f aca="false">IF($A362="","",$A361-$E$1)</f>
        <v/>
      </c>
      <c r="AL361" s="182" t="str">
        <f aca="false">IF($A362="","",SPRDOPT(P361,X361,AI361,0,AB361,AE361,AF361,AK361,$AJ$2,0))</f>
        <v/>
      </c>
      <c r="AM361" s="211" t="str">
        <f aca="false">IF($A362="","",MAX(0,O361-W361-AI361))</f>
        <v/>
      </c>
      <c r="AN361" s="211" t="str">
        <f aca="false">IF($A362="","",AL361-AM361)</f>
        <v/>
      </c>
      <c r="AO361" s="137" t="str">
        <f aca="false">IF(A362="","",A362-A361)</f>
        <v/>
      </c>
      <c r="AP361" s="212" t="str">
        <f aca="false">IF(A362="","",CHOOSE(F$3,A362+24,A361))</f>
        <v/>
      </c>
      <c r="AQ361" s="209" t="str">
        <f aca="false">IF(A362="","",AP361-$E$1)</f>
        <v/>
      </c>
      <c r="AR361" s="185" t="n">
        <f aca="false">'ANR OK vs ML7'!AR361</f>
        <v>0.1</v>
      </c>
      <c r="AS361" s="213" t="str">
        <f aca="false">IF(A362="","",1/(1+CHOOSE(F$3,(AR362+($I$3/10000))/2,(AR361+($I$3/10000))/2))^(2*AQ361/365.25))</f>
        <v/>
      </c>
      <c r="AT361" s="137" t="str">
        <f aca="false">IF(A362="","",IF(AND(mthbeg&lt;=A361,mthend&gt;=A361),1,0))</f>
        <v/>
      </c>
      <c r="AU361" s="137" t="str">
        <f aca="false">IF(A362="","",AO361*AT361)</f>
        <v/>
      </c>
      <c r="AW361" s="195" t="str">
        <f aca="false">IF($A362="","",AL361*$E361)</f>
        <v/>
      </c>
      <c r="AX361" s="195" t="str">
        <f aca="false">IF($A362="","",AM361*$E361)</f>
        <v/>
      </c>
      <c r="AY361" s="195" t="str">
        <f aca="false">IF($A362="","",AN361*$E361)</f>
        <v/>
      </c>
      <c r="BA361" s="195" t="str">
        <f aca="false">IF($A362="","",F361*Summary!$Q$8)</f>
        <v/>
      </c>
    </row>
    <row r="362" customFormat="false" ht="12" hidden="false" customHeight="true" outlineLevel="0" collapsed="false">
      <c r="A362" s="196" t="str">
        <f aca="false">IF(A361&lt;mthend,EDATE(A361,1),"")</f>
        <v/>
      </c>
      <c r="B362" s="197" t="n">
        <f aca="false">IF(A362&lt;mthend,B361,0)</f>
        <v>0</v>
      </c>
      <c r="C362" s="215"/>
      <c r="D362" s="197" t="str">
        <f aca="false">IF(A363&lt;&gt;"",B362+C362,"")</f>
        <v/>
      </c>
      <c r="E362" s="199" t="str">
        <f aca="false">IF(A363="","",IF(AND(AT362=1,$H$3=1),D362*AO362,IF($H$3=2,D362,"N/A")))</f>
        <v/>
      </c>
      <c r="F362" s="199" t="str">
        <f aca="false">IF(A363="","",E362*AS362)</f>
        <v/>
      </c>
      <c r="G362" s="200" t="str">
        <f aca="false">IF($A363="","",VLOOKUP($A362,Table,MATCH(G$4,Curves,0)))</f>
        <v/>
      </c>
      <c r="H362" s="201" t="str">
        <f aca="false">IF(A363="","",G362)</f>
        <v/>
      </c>
      <c r="I362" s="202"/>
      <c r="J362" s="200" t="str">
        <f aca="false">IF($A363="","",VLOOKUP($A362,Table,MATCH(J$4,Curves,0)))</f>
        <v/>
      </c>
      <c r="K362" s="201" t="str">
        <f aca="false">IF(A363="","",J362)</f>
        <v/>
      </c>
      <c r="L362" s="200" t="str">
        <f aca="false">IF($A363="","",VLOOKUP($A362,Table,MATCH(L$4,Curves,0)))</f>
        <v/>
      </c>
      <c r="M362" s="201" t="str">
        <f aca="false">IF(A363="","",L362)</f>
        <v/>
      </c>
      <c r="N362" s="203"/>
      <c r="O362" s="200" t="str">
        <f aca="false">IF(A363="","",L362+J362+G362)</f>
        <v/>
      </c>
      <c r="P362" s="200" t="str">
        <f aca="false">IF(A363="","",M362+K362+H362)</f>
        <v/>
      </c>
      <c r="Q362" s="204"/>
      <c r="R362" s="200" t="str">
        <f aca="false">IF($A363="","",VLOOKUP($A362,Table,MATCH(R$4,Curves,0)))</f>
        <v/>
      </c>
      <c r="S362" s="201" t="str">
        <f aca="false">IF(A363="","",R362)</f>
        <v/>
      </c>
      <c r="T362" s="200" t="str">
        <f aca="false">IF($A363="","",VLOOKUP($A362,Table,MATCH(T$4,Curves,0)))</f>
        <v/>
      </c>
      <c r="U362" s="201" t="str">
        <f aca="false">IF(A363="","",T362)</f>
        <v/>
      </c>
      <c r="V362" s="183" t="str">
        <f aca="false">IF($A363="","",IF(AND(MONTH(A362)&gt;3,MONTH(A362)&lt;11),(T362+R362+G362)*Summary!$T$8/(1-Summary!$T$8),(T362+R362+G362)*Summary!$U$8/(1-Summary!$U$8)))</f>
        <v/>
      </c>
      <c r="W362" s="200" t="str">
        <f aca="false">IF($A363="","",(T362+R362+G362+V362))</f>
        <v/>
      </c>
      <c r="X362" s="200" t="str">
        <f aca="false">IF($A363="","",(U362+S362+H362+V362))</f>
        <v/>
      </c>
      <c r="Y362" s="202"/>
      <c r="Z362" s="185" t="str">
        <f aca="false">IF($A363="","",VLOOKUP($A362,Table,MATCH(Z$4,Curves,0)))</f>
        <v/>
      </c>
      <c r="AA362" s="185" t="str">
        <f aca="false">IF($A363="","",VLOOKUP($A362,Table,MATCH(AA$4,Curves,0)))</f>
        <v/>
      </c>
      <c r="AB362" s="185" t="e">
        <f aca="false">SQRT((AA362^2*(A362-$D$3)+Z362^2*(DAY(EOMONTH(A362,0))/2))/AK362)</f>
        <v>#VALUE!</v>
      </c>
      <c r="AC362" s="185" t="str">
        <f aca="false">IF($A363="","",VLOOKUP($A362,Table,MATCH(AC$4,Curves,0)))</f>
        <v/>
      </c>
      <c r="AD362" s="185" t="str">
        <f aca="false">IF($A363="","",VLOOKUP($A362,Table,MATCH(AD$4,Curves,0)))</f>
        <v/>
      </c>
      <c r="AE362" s="185" t="e">
        <f aca="false">SQRT((AD362^2*(A362-$D$3)+AC362^2*(DAY(EOMONTH(A362,0))/2))/AK362)</f>
        <v>#VALUE!</v>
      </c>
      <c r="AF362" s="224" t="e">
        <f aca="false">((Summary!$N$8*(AA362*AD362)*(A362-$D$3))+(Summary!$M$8*Z362*AC362*(AJ362-EOMONTH(EDATE(A362,-1),0))))/(AK362*AB362*AE362)</f>
        <v>#VALUE!</v>
      </c>
      <c r="AG362" s="207" t="str">
        <f aca="false">IF($A363="","",Summary!$Q$8)</f>
        <v/>
      </c>
      <c r="AH362" s="207" t="str">
        <f aca="false">IF($A363="","",IF(Summary!$R$8="Y",(VLOOKUP($A362,Summary!$AD$6:$AF$9,3)+'Escalating commodity'!D375),'Escalating commodity'!D375))</f>
        <v/>
      </c>
      <c r="AI362" s="207" t="str">
        <f aca="false">IF($A363="","",AH362)</f>
        <v/>
      </c>
      <c r="AJ362" s="208" t="e">
        <f aca="false">A362+DAY(EOMONTH(A362,0))/2-1</f>
        <v>#VALUE!</v>
      </c>
      <c r="AK362" s="209" t="str">
        <f aca="false">IF($A363="","",$A362-$E$1)</f>
        <v/>
      </c>
      <c r="AL362" s="182" t="str">
        <f aca="false">IF($A363="","",SPRDOPT(P362,X362,AI362,0,AB362,AE362,AF362,AK362,$AJ$2,0))</f>
        <v/>
      </c>
      <c r="AM362" s="211" t="str">
        <f aca="false">IF($A363="","",MAX(0,O362-W362-AI362))</f>
        <v/>
      </c>
      <c r="AN362" s="211" t="str">
        <f aca="false">IF($A363="","",AL362-AM362)</f>
        <v/>
      </c>
      <c r="AO362" s="137" t="str">
        <f aca="false">IF(A363="","",A363-A362)</f>
        <v/>
      </c>
      <c r="AP362" s="212" t="str">
        <f aca="false">IF(A363="","",CHOOSE(F$3,A363+24,A362))</f>
        <v/>
      </c>
      <c r="AQ362" s="209" t="str">
        <f aca="false">IF(A363="","",AP362-$E$1)</f>
        <v/>
      </c>
      <c r="AR362" s="185" t="n">
        <f aca="false">'ANR OK vs ML7'!AR362</f>
        <v>0.1</v>
      </c>
      <c r="AS362" s="213" t="str">
        <f aca="false">IF(A363="","",1/(1+CHOOSE(F$3,(AR363+($I$3/10000))/2,(AR362+($I$3/10000))/2))^(2*AQ362/365.25))</f>
        <v/>
      </c>
      <c r="AT362" s="137" t="str">
        <f aca="false">IF(A363="","",IF(AND(mthbeg&lt;=A362,mthend&gt;=A362),1,0))</f>
        <v/>
      </c>
      <c r="AU362" s="137" t="str">
        <f aca="false">IF(A363="","",AO362*AT362)</f>
        <v/>
      </c>
      <c r="AW362" s="195" t="str">
        <f aca="false">IF($A363="","",AL362*$E362)</f>
        <v/>
      </c>
      <c r="AX362" s="195" t="str">
        <f aca="false">IF($A363="","",AM362*$E362)</f>
        <v/>
      </c>
      <c r="AY362" s="195" t="str">
        <f aca="false">IF($A363="","",AN362*$E362)</f>
        <v/>
      </c>
      <c r="BA362" s="195" t="str">
        <f aca="false">IF($A363="","",F362*Summary!$Q$8)</f>
        <v/>
      </c>
    </row>
    <row r="363" customFormat="false" ht="12" hidden="false" customHeight="true" outlineLevel="0" collapsed="false">
      <c r="A363" s="196" t="str">
        <f aca="false">IF(A362&lt;mthend,EDATE(A362,1),"")</f>
        <v/>
      </c>
      <c r="B363" s="197" t="n">
        <f aca="false">IF(A363&lt;mthend,B362,0)</f>
        <v>0</v>
      </c>
      <c r="C363" s="215"/>
      <c r="D363" s="197" t="str">
        <f aca="false">IF(A364&lt;&gt;"",B363+C363,"")</f>
        <v/>
      </c>
      <c r="E363" s="199" t="str">
        <f aca="false">IF(A364="","",IF(AND(AT363=1,$H$3=1),D363*AO363,IF($H$3=2,D363,"N/A")))</f>
        <v/>
      </c>
      <c r="F363" s="199" t="str">
        <f aca="false">IF(A364="","",E363*AS363)</f>
        <v/>
      </c>
      <c r="G363" s="200" t="str">
        <f aca="false">IF($A364="","",VLOOKUP($A363,Table,MATCH(G$4,Curves,0)))</f>
        <v/>
      </c>
      <c r="H363" s="201" t="str">
        <f aca="false">IF(A364="","",G363)</f>
        <v/>
      </c>
      <c r="I363" s="202"/>
      <c r="J363" s="200" t="str">
        <f aca="false">IF($A364="","",VLOOKUP($A363,Table,MATCH(J$4,Curves,0)))</f>
        <v/>
      </c>
      <c r="K363" s="201" t="str">
        <f aca="false">IF(A364="","",J363)</f>
        <v/>
      </c>
      <c r="L363" s="200" t="str">
        <f aca="false">IF($A364="","",VLOOKUP($A363,Table,MATCH(L$4,Curves,0)))</f>
        <v/>
      </c>
      <c r="M363" s="201" t="str">
        <f aca="false">IF(A364="","",L363)</f>
        <v/>
      </c>
      <c r="N363" s="203"/>
      <c r="O363" s="200" t="str">
        <f aca="false">IF(A364="","",L363+J363+G363)</f>
        <v/>
      </c>
      <c r="P363" s="200" t="str">
        <f aca="false">IF(A364="","",M363+K363+H363)</f>
        <v/>
      </c>
      <c r="Q363" s="204"/>
      <c r="R363" s="200" t="str">
        <f aca="false">IF($A364="","",VLOOKUP($A363,Table,MATCH(R$4,Curves,0)))</f>
        <v/>
      </c>
      <c r="S363" s="201" t="str">
        <f aca="false">IF(A364="","",R363)</f>
        <v/>
      </c>
      <c r="T363" s="200" t="str">
        <f aca="false">IF($A364="","",VLOOKUP($A363,Table,MATCH(T$4,Curves,0)))</f>
        <v/>
      </c>
      <c r="U363" s="201" t="str">
        <f aca="false">IF(A364="","",T363)</f>
        <v/>
      </c>
      <c r="V363" s="183" t="str">
        <f aca="false">IF($A364="","",IF(AND(MONTH(A363)&gt;3,MONTH(A363)&lt;11),(T363+R363+G363)*Summary!$T$8/(1-Summary!$T$8),(T363+R363+G363)*Summary!$U$8/(1-Summary!$U$8)))</f>
        <v/>
      </c>
      <c r="W363" s="200" t="str">
        <f aca="false">IF($A364="","",(T363+R363+G363+V363))</f>
        <v/>
      </c>
      <c r="X363" s="200" t="str">
        <f aca="false">IF($A364="","",(U363+S363+H363+V363))</f>
        <v/>
      </c>
      <c r="Y363" s="202"/>
      <c r="Z363" s="185" t="str">
        <f aca="false">IF($A364="","",VLOOKUP($A363,Table,MATCH(Z$4,Curves,0)))</f>
        <v/>
      </c>
      <c r="AA363" s="185" t="str">
        <f aca="false">IF($A364="","",VLOOKUP($A363,Table,MATCH(AA$4,Curves,0)))</f>
        <v/>
      </c>
      <c r="AB363" s="185" t="e">
        <f aca="false">SQRT((AA363^2*(A363-$D$3)+Z363^2*(DAY(EOMONTH(A363,0))/2))/AK363)</f>
        <v>#VALUE!</v>
      </c>
      <c r="AC363" s="185" t="str">
        <f aca="false">IF($A364="","",VLOOKUP($A363,Table,MATCH(AC$4,Curves,0)))</f>
        <v/>
      </c>
      <c r="AD363" s="185" t="str">
        <f aca="false">IF($A364="","",VLOOKUP($A363,Table,MATCH(AD$4,Curves,0)))</f>
        <v/>
      </c>
      <c r="AE363" s="185" t="e">
        <f aca="false">SQRT((AD363^2*(A363-$D$3)+AC363^2*(DAY(EOMONTH(A363,0))/2))/AK363)</f>
        <v>#VALUE!</v>
      </c>
      <c r="AF363" s="224" t="e">
        <f aca="false">((Summary!$N$8*(AA363*AD363)*(A363-$D$3))+(Summary!$M$8*Z363*AC363*(AJ363-EOMONTH(EDATE(A363,-1),0))))/(AK363*AB363*AE363)</f>
        <v>#VALUE!</v>
      </c>
      <c r="AG363" s="207" t="str">
        <f aca="false">IF($A364="","",Summary!$Q$8)</f>
        <v/>
      </c>
      <c r="AH363" s="207" t="str">
        <f aca="false">IF($A364="","",IF(Summary!$R$8="Y",(VLOOKUP($A363,Summary!$AD$6:$AF$9,3)+'Escalating commodity'!D376),'Escalating commodity'!D376))</f>
        <v/>
      </c>
      <c r="AI363" s="207" t="str">
        <f aca="false">IF($A364="","",AH363)</f>
        <v/>
      </c>
      <c r="AJ363" s="208" t="e">
        <f aca="false">A363+DAY(EOMONTH(A363,0))/2-1</f>
        <v>#VALUE!</v>
      </c>
      <c r="AK363" s="209" t="str">
        <f aca="false">IF($A364="","",$A363-$E$1)</f>
        <v/>
      </c>
      <c r="AL363" s="182" t="str">
        <f aca="false">IF($A364="","",SPRDOPT(P363,X363,AI363,0,AB363,AE363,AF363,AK363,$AJ$2,0))</f>
        <v/>
      </c>
      <c r="AM363" s="211" t="str">
        <f aca="false">IF($A364="","",MAX(0,O363-W363-AI363))</f>
        <v/>
      </c>
      <c r="AN363" s="211" t="str">
        <f aca="false">IF($A364="","",AL363-AM363)</f>
        <v/>
      </c>
      <c r="AO363" s="137" t="str">
        <f aca="false">IF(A364="","",A364-A363)</f>
        <v/>
      </c>
      <c r="AP363" s="212" t="str">
        <f aca="false">IF(A364="","",CHOOSE(F$3,A364+24,A363))</f>
        <v/>
      </c>
      <c r="AQ363" s="209" t="str">
        <f aca="false">IF(A364="","",AP363-$E$1)</f>
        <v/>
      </c>
      <c r="AR363" s="185" t="n">
        <f aca="false">'ANR OK vs ML7'!AR363</f>
        <v>0.1</v>
      </c>
      <c r="AS363" s="213" t="str">
        <f aca="false">IF(A364="","",1/(1+CHOOSE(F$3,(AR364+($I$3/10000))/2,(AR363+($I$3/10000))/2))^(2*AQ363/365.25))</f>
        <v/>
      </c>
      <c r="AT363" s="137" t="str">
        <f aca="false">IF(A364="","",IF(AND(mthbeg&lt;=A363,mthend&gt;=A363),1,0))</f>
        <v/>
      </c>
      <c r="AU363" s="137" t="str">
        <f aca="false">IF(A364="","",AO363*AT363)</f>
        <v/>
      </c>
      <c r="AW363" s="195" t="str">
        <f aca="false">IF($A364="","",AL363*$E363)</f>
        <v/>
      </c>
      <c r="AX363" s="195" t="str">
        <f aca="false">IF($A364="","",AM363*$E363)</f>
        <v/>
      </c>
      <c r="AY363" s="195" t="str">
        <f aca="false">IF($A364="","",AN363*$E363)</f>
        <v/>
      </c>
      <c r="BA363" s="195" t="str">
        <f aca="false">IF($A364="","",F363*Summary!$Q$8)</f>
        <v/>
      </c>
    </row>
    <row r="364" customFormat="false" ht="12" hidden="false" customHeight="true" outlineLevel="0" collapsed="false">
      <c r="A364" s="196" t="str">
        <f aca="false">IF(A363&lt;mthend,EDATE(A363,1),"")</f>
        <v/>
      </c>
      <c r="B364" s="197" t="n">
        <f aca="false">IF(A364&lt;mthend,B363,0)</f>
        <v>0</v>
      </c>
      <c r="C364" s="215"/>
      <c r="D364" s="197" t="str">
        <f aca="false">IF(A365&lt;&gt;"",B364+C364,"")</f>
        <v/>
      </c>
      <c r="E364" s="199" t="str">
        <f aca="false">IF(A365="","",IF(AND(AT364=1,$H$3=1),D364*AO364,IF($H$3=2,D364,"N/A")))</f>
        <v/>
      </c>
      <c r="F364" s="199" t="str">
        <f aca="false">IF(A365="","",E364*AS364)</f>
        <v/>
      </c>
      <c r="G364" s="200" t="str">
        <f aca="false">IF($A365="","",VLOOKUP($A364,Table,MATCH(G$4,Curves,0)))</f>
        <v/>
      </c>
      <c r="H364" s="201" t="str">
        <f aca="false">IF(A365="","",G364)</f>
        <v/>
      </c>
      <c r="I364" s="202"/>
      <c r="J364" s="200" t="str">
        <f aca="false">IF($A365="","",VLOOKUP($A364,Table,MATCH(J$4,Curves,0)))</f>
        <v/>
      </c>
      <c r="K364" s="201" t="str">
        <f aca="false">IF(A365="","",J364)</f>
        <v/>
      </c>
      <c r="L364" s="200" t="str">
        <f aca="false">IF($A365="","",VLOOKUP($A364,Table,MATCH(L$4,Curves,0)))</f>
        <v/>
      </c>
      <c r="M364" s="201" t="str">
        <f aca="false">IF(A365="","",L364)</f>
        <v/>
      </c>
      <c r="N364" s="203"/>
      <c r="O364" s="200" t="str">
        <f aca="false">IF(A365="","",L364+J364+G364)</f>
        <v/>
      </c>
      <c r="P364" s="200" t="str">
        <f aca="false">IF(A365="","",M364+K364+H364)</f>
        <v/>
      </c>
      <c r="Q364" s="204"/>
      <c r="R364" s="200" t="str">
        <f aca="false">IF($A365="","",VLOOKUP($A364,Table,MATCH(R$4,Curves,0)))</f>
        <v/>
      </c>
      <c r="S364" s="201" t="str">
        <f aca="false">IF(A365="","",R364)</f>
        <v/>
      </c>
      <c r="T364" s="200" t="str">
        <f aca="false">IF($A365="","",VLOOKUP($A364,Table,MATCH(T$4,Curves,0)))</f>
        <v/>
      </c>
      <c r="U364" s="201" t="str">
        <f aca="false">IF(A365="","",T364)</f>
        <v/>
      </c>
      <c r="V364" s="183" t="str">
        <f aca="false">IF($A365="","",IF(AND(MONTH(A364)&gt;3,MONTH(A364)&lt;11),(T364+R364+G364)*Summary!$T$8/(1-Summary!$T$8),(T364+R364+G364)*Summary!$U$8/(1-Summary!$U$8)))</f>
        <v/>
      </c>
      <c r="W364" s="200" t="str">
        <f aca="false">IF($A365="","",(T364+R364+G364+V364))</f>
        <v/>
      </c>
      <c r="X364" s="200" t="str">
        <f aca="false">IF($A365="","",(U364+S364+H364+V364))</f>
        <v/>
      </c>
      <c r="Y364" s="202"/>
      <c r="Z364" s="185" t="str">
        <f aca="false">IF($A365="","",VLOOKUP($A364,Table,MATCH(Z$4,Curves,0)))</f>
        <v/>
      </c>
      <c r="AA364" s="185" t="str">
        <f aca="false">IF($A365="","",VLOOKUP($A364,Table,MATCH(AA$4,Curves,0)))</f>
        <v/>
      </c>
      <c r="AB364" s="185" t="e">
        <f aca="false">SQRT((AA364^2*(A364-$D$3)+Z364^2*(DAY(EOMONTH(A364,0))/2))/AK364)</f>
        <v>#VALUE!</v>
      </c>
      <c r="AC364" s="185" t="str">
        <f aca="false">IF($A365="","",VLOOKUP($A364,Table,MATCH(AC$4,Curves,0)))</f>
        <v/>
      </c>
      <c r="AD364" s="185" t="str">
        <f aca="false">IF($A365="","",VLOOKUP($A364,Table,MATCH(AD$4,Curves,0)))</f>
        <v/>
      </c>
      <c r="AE364" s="185" t="e">
        <f aca="false">SQRT((AD364^2*(A364-$D$3)+AC364^2*(DAY(EOMONTH(A364,0))/2))/AK364)</f>
        <v>#VALUE!</v>
      </c>
      <c r="AF364" s="224" t="e">
        <f aca="false">((Summary!$N$8*(AA364*AD364)*(A364-$D$3))+(Summary!$M$8*Z364*AC364*(AJ364-EOMONTH(EDATE(A364,-1),0))))/(AK364*AB364*AE364)</f>
        <v>#VALUE!</v>
      </c>
      <c r="AG364" s="207" t="str">
        <f aca="false">IF($A365="","",Summary!$Q$8)</f>
        <v/>
      </c>
      <c r="AH364" s="207" t="str">
        <f aca="false">IF($A365="","",IF(Summary!$R$8="Y",(VLOOKUP($A364,Summary!$AD$6:$AF$9,3)+'Escalating commodity'!D377),'Escalating commodity'!D377))</f>
        <v/>
      </c>
      <c r="AI364" s="207" t="str">
        <f aca="false">IF($A365="","",AH364)</f>
        <v/>
      </c>
      <c r="AJ364" s="208" t="e">
        <f aca="false">A364+DAY(EOMONTH(A364,0))/2-1</f>
        <v>#VALUE!</v>
      </c>
      <c r="AK364" s="209" t="str">
        <f aca="false">IF($A365="","",$A364-$E$1)</f>
        <v/>
      </c>
      <c r="AL364" s="182" t="str">
        <f aca="false">IF($A365="","",SPRDOPT(P364,X364,AI364,0,AB364,AE364,AF364,AK364,$AJ$2,0))</f>
        <v/>
      </c>
      <c r="AM364" s="211" t="str">
        <f aca="false">IF($A365="","",MAX(0,O364-W364-AI364))</f>
        <v/>
      </c>
      <c r="AN364" s="211" t="str">
        <f aca="false">IF($A365="","",AL364-AM364)</f>
        <v/>
      </c>
      <c r="AO364" s="137" t="str">
        <f aca="false">IF(A365="","",A365-A364)</f>
        <v/>
      </c>
      <c r="AP364" s="212" t="str">
        <f aca="false">IF(A365="","",CHOOSE(F$3,A365+24,A364))</f>
        <v/>
      </c>
      <c r="AQ364" s="209" t="str">
        <f aca="false">IF(A365="","",AP364-$E$1)</f>
        <v/>
      </c>
      <c r="AR364" s="185" t="n">
        <f aca="false">'ANR OK vs ML7'!AR364</f>
        <v>0.1</v>
      </c>
      <c r="AS364" s="213" t="str">
        <f aca="false">IF(A365="","",1/(1+CHOOSE(F$3,(AR365+($I$3/10000))/2,(AR364+($I$3/10000))/2))^(2*AQ364/365.25))</f>
        <v/>
      </c>
      <c r="AT364" s="137" t="str">
        <f aca="false">IF(A365="","",IF(AND(mthbeg&lt;=A364,mthend&gt;=A364),1,0))</f>
        <v/>
      </c>
      <c r="AU364" s="137" t="str">
        <f aca="false">IF(A365="","",AO364*AT364)</f>
        <v/>
      </c>
      <c r="AW364" s="195" t="str">
        <f aca="false">IF($A365="","",AL364*$E364)</f>
        <v/>
      </c>
      <c r="AX364" s="195" t="str">
        <f aca="false">IF($A365="","",AM364*$E364)</f>
        <v/>
      </c>
      <c r="AY364" s="195" t="str">
        <f aca="false">IF($A365="","",AN364*$E364)</f>
        <v/>
      </c>
      <c r="BA364" s="195" t="str">
        <f aca="false">IF($A365="","",F364*Summary!$Q$8)</f>
        <v/>
      </c>
    </row>
    <row r="365" customFormat="false" ht="12" hidden="false" customHeight="true" outlineLevel="0" collapsed="false">
      <c r="A365" s="196" t="str">
        <f aca="false">IF(A364&lt;mthend,EDATE(A364,1),"")</f>
        <v/>
      </c>
      <c r="B365" s="197" t="n">
        <f aca="false">IF(A365&lt;mthend,B364,0)</f>
        <v>0</v>
      </c>
      <c r="C365" s="215"/>
      <c r="D365" s="197" t="str">
        <f aca="false">IF(A366&lt;&gt;"",B365+C365,"")</f>
        <v/>
      </c>
      <c r="E365" s="199" t="str">
        <f aca="false">IF(A366="","",IF(AND(AT365=1,$H$3=1),D365*AO365,IF($H$3=2,D365,"N/A")))</f>
        <v/>
      </c>
      <c r="F365" s="199" t="str">
        <f aca="false">IF(A366="","",E365*AS365)</f>
        <v/>
      </c>
      <c r="G365" s="200" t="str">
        <f aca="false">IF($A366="","",VLOOKUP($A365,Table,MATCH(G$4,Curves,0)))</f>
        <v/>
      </c>
      <c r="H365" s="201" t="str">
        <f aca="false">IF(A366="","",G365)</f>
        <v/>
      </c>
      <c r="I365" s="202"/>
      <c r="J365" s="200" t="str">
        <f aca="false">IF($A366="","",VLOOKUP($A365,Table,MATCH(J$4,Curves,0)))</f>
        <v/>
      </c>
      <c r="K365" s="201" t="str">
        <f aca="false">IF(A366="","",J365)</f>
        <v/>
      </c>
      <c r="L365" s="200" t="str">
        <f aca="false">IF($A366="","",VLOOKUP($A365,Table,MATCH(L$4,Curves,0)))</f>
        <v/>
      </c>
      <c r="M365" s="201" t="str">
        <f aca="false">IF(A366="","",L365)</f>
        <v/>
      </c>
      <c r="N365" s="203"/>
      <c r="O365" s="200" t="str">
        <f aca="false">IF(A366="","",L365+J365+G365)</f>
        <v/>
      </c>
      <c r="P365" s="200" t="str">
        <f aca="false">IF(A366="","",M365+K365+H365)</f>
        <v/>
      </c>
      <c r="Q365" s="204"/>
      <c r="R365" s="200" t="str">
        <f aca="false">IF($A366="","",VLOOKUP($A365,Table,MATCH(R$4,Curves,0)))</f>
        <v/>
      </c>
      <c r="S365" s="201" t="str">
        <f aca="false">IF(A366="","",R365)</f>
        <v/>
      </c>
      <c r="T365" s="200" t="str">
        <f aca="false">IF($A366="","",VLOOKUP($A365,Table,MATCH(T$4,Curves,0)))</f>
        <v/>
      </c>
      <c r="U365" s="201" t="str">
        <f aca="false">IF(A366="","",T365)</f>
        <v/>
      </c>
      <c r="V365" s="183" t="str">
        <f aca="false">IF($A366="","",IF(AND(MONTH(A365)&gt;3,MONTH(A365)&lt;11),(T365+R365+G365)*Summary!$T$8/(1-Summary!$T$8),(T365+R365+G365)*Summary!$U$8/(1-Summary!$U$8)))</f>
        <v/>
      </c>
      <c r="W365" s="200" t="str">
        <f aca="false">IF($A366="","",(T365+R365+G365+V365))</f>
        <v/>
      </c>
      <c r="X365" s="200" t="str">
        <f aca="false">IF($A366="","",(U365+S365+H365+V365))</f>
        <v/>
      </c>
      <c r="Y365" s="202"/>
      <c r="Z365" s="185" t="str">
        <f aca="false">IF($A366="","",VLOOKUP($A365,Table,MATCH(Z$4,Curves,0)))</f>
        <v/>
      </c>
      <c r="AA365" s="185" t="str">
        <f aca="false">IF($A366="","",VLOOKUP($A365,Table,MATCH(AA$4,Curves,0)))</f>
        <v/>
      </c>
      <c r="AB365" s="185" t="e">
        <f aca="false">SQRT((AA365^2*(A365-$D$3)+Z365^2*(DAY(EOMONTH(A365,0))/2))/AK365)</f>
        <v>#VALUE!</v>
      </c>
      <c r="AC365" s="185" t="str">
        <f aca="false">IF($A366="","",VLOOKUP($A365,Table,MATCH(AC$4,Curves,0)))</f>
        <v/>
      </c>
      <c r="AD365" s="185" t="str">
        <f aca="false">IF($A366="","",VLOOKUP($A365,Table,MATCH(AD$4,Curves,0)))</f>
        <v/>
      </c>
      <c r="AE365" s="185" t="e">
        <f aca="false">SQRT((AD365^2*(A365-$D$3)+AC365^2*(DAY(EOMONTH(A365,0))/2))/AK365)</f>
        <v>#VALUE!</v>
      </c>
      <c r="AF365" s="224" t="e">
        <f aca="false">((Summary!$N$8*(AA365*AD365)*(A365-$D$3))+(Summary!$M$8*Z365*AC365*(AJ365-EOMONTH(EDATE(A365,-1),0))))/(AK365*AB365*AE365)</f>
        <v>#VALUE!</v>
      </c>
      <c r="AG365" s="207" t="str">
        <f aca="false">IF($A366="","",Summary!$Q$8)</f>
        <v/>
      </c>
      <c r="AH365" s="207" t="str">
        <f aca="false">IF($A366="","",IF(Summary!$R$8="Y",(VLOOKUP($A365,Summary!$AD$6:$AF$9,3)+'Escalating commodity'!D378),'Escalating commodity'!D378))</f>
        <v/>
      </c>
      <c r="AI365" s="207" t="str">
        <f aca="false">IF($A366="","",AH365)</f>
        <v/>
      </c>
      <c r="AJ365" s="208" t="e">
        <f aca="false">A365+DAY(EOMONTH(A365,0))/2-1</f>
        <v>#VALUE!</v>
      </c>
      <c r="AK365" s="209" t="str">
        <f aca="false">IF($A366="","",$A365-$E$1)</f>
        <v/>
      </c>
      <c r="AL365" s="182" t="str">
        <f aca="false">IF($A366="","",SPRDOPT(P365,X365,AI365,0,AB365,AE365,AF365,AK365,$AJ$2,0))</f>
        <v/>
      </c>
      <c r="AM365" s="211" t="str">
        <f aca="false">IF($A366="","",MAX(0,O365-W365-AI365))</f>
        <v/>
      </c>
      <c r="AN365" s="211" t="str">
        <f aca="false">IF($A366="","",AL365-AM365)</f>
        <v/>
      </c>
      <c r="AO365" s="137" t="str">
        <f aca="false">IF(A366="","",A366-A365)</f>
        <v/>
      </c>
      <c r="AP365" s="212" t="str">
        <f aca="false">IF(A366="","",CHOOSE(F$3,A366+24,A365))</f>
        <v/>
      </c>
      <c r="AQ365" s="209" t="str">
        <f aca="false">IF(A366="","",AP365-$E$1)</f>
        <v/>
      </c>
      <c r="AR365" s="185" t="n">
        <f aca="false">'ANR OK vs ML7'!AR365</f>
        <v>0.1</v>
      </c>
      <c r="AS365" s="213" t="str">
        <f aca="false">IF(A366="","",1/(1+CHOOSE(F$3,(AR366+($I$3/10000))/2,(AR365+($I$3/10000))/2))^(2*AQ365/365.25))</f>
        <v/>
      </c>
      <c r="AT365" s="137" t="str">
        <f aca="false">IF(A366="","",IF(AND(mthbeg&lt;=A365,mthend&gt;=A365),1,0))</f>
        <v/>
      </c>
      <c r="AU365" s="137" t="str">
        <f aca="false">IF(A366="","",AO365*AT365)</f>
        <v/>
      </c>
      <c r="AW365" s="195" t="str">
        <f aca="false">IF($A366="","",AL365*$E365)</f>
        <v/>
      </c>
      <c r="AX365" s="195" t="str">
        <f aca="false">IF($A366="","",AM365*$E365)</f>
        <v/>
      </c>
      <c r="AY365" s="195" t="str">
        <f aca="false">IF($A366="","",AN365*$E365)</f>
        <v/>
      </c>
      <c r="BA365" s="195" t="str">
        <f aca="false">IF($A366="","",F365*Summary!$Q$8)</f>
        <v/>
      </c>
    </row>
    <row r="366" customFormat="false" ht="12" hidden="false" customHeight="true" outlineLevel="0" collapsed="false">
      <c r="A366" s="196" t="str">
        <f aca="false">IF(A365&lt;mthend,EDATE(A365,1),"")</f>
        <v/>
      </c>
      <c r="B366" s="197" t="n">
        <f aca="false">IF(A366&lt;mthend,B365,0)</f>
        <v>0</v>
      </c>
      <c r="C366" s="215"/>
      <c r="D366" s="197" t="str">
        <f aca="false">IF(A367&lt;&gt;"",B366+C366,"")</f>
        <v/>
      </c>
      <c r="E366" s="199" t="str">
        <f aca="false">IF(A367="","",IF(AND(AT366=1,$H$3=1),D366*AO366,IF($H$3=2,D366,"N/A")))</f>
        <v/>
      </c>
      <c r="F366" s="199" t="str">
        <f aca="false">IF(A367="","",E366*AS366)</f>
        <v/>
      </c>
      <c r="G366" s="200" t="str">
        <f aca="false">IF($A367="","",VLOOKUP($A366,Table,MATCH(G$4,Curves,0)))</f>
        <v/>
      </c>
      <c r="H366" s="201" t="str">
        <f aca="false">IF(A367="","",G366)</f>
        <v/>
      </c>
      <c r="I366" s="202"/>
      <c r="J366" s="200" t="str">
        <f aca="false">IF($A367="","",VLOOKUP($A366,Table,MATCH(J$4,Curves,0)))</f>
        <v/>
      </c>
      <c r="K366" s="201" t="str">
        <f aca="false">IF(A367="","",J366)</f>
        <v/>
      </c>
      <c r="L366" s="200" t="str">
        <f aca="false">IF($A367="","",VLOOKUP($A366,Table,MATCH(L$4,Curves,0)))</f>
        <v/>
      </c>
      <c r="M366" s="201" t="str">
        <f aca="false">IF(A367="","",L366)</f>
        <v/>
      </c>
      <c r="N366" s="203"/>
      <c r="O366" s="200" t="str">
        <f aca="false">IF(A367="","",L366+J366+G366)</f>
        <v/>
      </c>
      <c r="P366" s="200" t="str">
        <f aca="false">IF(A367="","",M366+K366+H366)</f>
        <v/>
      </c>
      <c r="Q366" s="204"/>
      <c r="R366" s="200" t="str">
        <f aca="false">IF($A367="","",VLOOKUP($A366,Table,MATCH(R$4,Curves,0)))</f>
        <v/>
      </c>
      <c r="S366" s="201" t="str">
        <f aca="false">IF(A367="","",R366)</f>
        <v/>
      </c>
      <c r="T366" s="200" t="str">
        <f aca="false">IF($A367="","",VLOOKUP($A366,Table,MATCH(T$4,Curves,0)))</f>
        <v/>
      </c>
      <c r="U366" s="201" t="str">
        <f aca="false">IF(A367="","",T366)</f>
        <v/>
      </c>
      <c r="V366" s="183" t="str">
        <f aca="false">IF($A367="","",IF(AND(MONTH(A366)&gt;3,MONTH(A366)&lt;11),(T366+R366+G366)*Summary!$T$8/(1-Summary!$T$8),(T366+R366+G366)*Summary!$U$8/(1-Summary!$U$8)))</f>
        <v/>
      </c>
      <c r="W366" s="200" t="str">
        <f aca="false">IF($A367="","",(T366+R366+G366+V366))</f>
        <v/>
      </c>
      <c r="X366" s="200" t="str">
        <f aca="false">IF($A367="","",(U366+S366+H366+V366))</f>
        <v/>
      </c>
      <c r="Y366" s="202"/>
      <c r="Z366" s="185" t="str">
        <f aca="false">IF($A367="","",VLOOKUP($A366,Table,MATCH(Z$4,Curves,0)))</f>
        <v/>
      </c>
      <c r="AA366" s="185" t="str">
        <f aca="false">IF($A367="","",VLOOKUP($A366,Table,MATCH(AA$4,Curves,0)))</f>
        <v/>
      </c>
      <c r="AB366" s="185" t="e">
        <f aca="false">SQRT((AA366^2*(A366-$D$3)+Z366^2*(DAY(EOMONTH(A366,0))/2))/AK366)</f>
        <v>#VALUE!</v>
      </c>
      <c r="AC366" s="185" t="str">
        <f aca="false">IF($A367="","",VLOOKUP($A366,Table,MATCH(AC$4,Curves,0)))</f>
        <v/>
      </c>
      <c r="AD366" s="185" t="str">
        <f aca="false">IF($A367="","",VLOOKUP($A366,Table,MATCH(AD$4,Curves,0)))</f>
        <v/>
      </c>
      <c r="AE366" s="185" t="e">
        <f aca="false">SQRT((AD366^2*(A366-$D$3)+AC366^2*(DAY(EOMONTH(A366,0))/2))/AK366)</f>
        <v>#VALUE!</v>
      </c>
      <c r="AF366" s="224" t="e">
        <f aca="false">((Summary!$N$8*(AA366*AD366)*(A366-$D$3))+(Summary!$M$8*Z366*AC366*(AJ366-EOMONTH(EDATE(A366,-1),0))))/(AK366*AB366*AE366)</f>
        <v>#VALUE!</v>
      </c>
      <c r="AG366" s="207" t="str">
        <f aca="false">IF($A367="","",Summary!$Q$8)</f>
        <v/>
      </c>
      <c r="AH366" s="207" t="str">
        <f aca="false">IF($A367="","",IF(Summary!$R$8="Y",(VLOOKUP($A366,Summary!$AD$6:$AF$9,3)+'Escalating commodity'!D379),'Escalating commodity'!D379))</f>
        <v/>
      </c>
      <c r="AI366" s="207" t="str">
        <f aca="false">IF($A367="","",AH366)</f>
        <v/>
      </c>
      <c r="AJ366" s="208" t="e">
        <f aca="false">A366+DAY(EOMONTH(A366,0))/2-1</f>
        <v>#VALUE!</v>
      </c>
      <c r="AK366" s="209" t="str">
        <f aca="false">IF($A367="","",$A366-$E$1)</f>
        <v/>
      </c>
      <c r="AL366" s="182" t="str">
        <f aca="false">IF($A367="","",SPRDOPT(P366,X366,AI366,0,AB366,AE366,AF366,AK366,$AJ$2,0))</f>
        <v/>
      </c>
      <c r="AM366" s="211" t="str">
        <f aca="false">IF($A367="","",MAX(0,O366-W366-AI366))</f>
        <v/>
      </c>
      <c r="AN366" s="211" t="str">
        <f aca="false">IF($A367="","",AL366-AM366)</f>
        <v/>
      </c>
      <c r="AO366" s="137" t="str">
        <f aca="false">IF(A367="","",A367-A366)</f>
        <v/>
      </c>
      <c r="AP366" s="212" t="str">
        <f aca="false">IF(A367="","",CHOOSE(F$3,A367+24,A366))</f>
        <v/>
      </c>
      <c r="AQ366" s="209" t="str">
        <f aca="false">IF(A367="","",AP366-$E$1)</f>
        <v/>
      </c>
      <c r="AR366" s="185" t="n">
        <f aca="false">'ANR OK vs ML7'!AR366</f>
        <v>0.1</v>
      </c>
      <c r="AS366" s="213" t="str">
        <f aca="false">IF(A367="","",1/(1+CHOOSE(F$3,(AR367+($I$3/10000))/2,(AR366+($I$3/10000))/2))^(2*AQ366/365.25))</f>
        <v/>
      </c>
      <c r="AT366" s="137" t="str">
        <f aca="false">IF(A367="","",IF(AND(mthbeg&lt;=A366,mthend&gt;=A366),1,0))</f>
        <v/>
      </c>
      <c r="AU366" s="137" t="str">
        <f aca="false">IF(A367="","",AO366*AT366)</f>
        <v/>
      </c>
      <c r="AW366" s="195" t="str">
        <f aca="false">IF($A367="","",AL366*$E366)</f>
        <v/>
      </c>
      <c r="AX366" s="195" t="str">
        <f aca="false">IF($A367="","",AM366*$E366)</f>
        <v/>
      </c>
      <c r="AY366" s="195" t="str">
        <f aca="false">IF($A367="","",AN366*$E366)</f>
        <v/>
      </c>
      <c r="BA366" s="195" t="str">
        <f aca="false">IF($A367="","",F366*Summary!$Q$8)</f>
        <v/>
      </c>
    </row>
    <row r="367" customFormat="false" ht="12" hidden="false" customHeight="true" outlineLevel="0" collapsed="false">
      <c r="A367" s="196" t="str">
        <f aca="false">IF(A366&lt;mthend,EDATE(A366,1),"")</f>
        <v/>
      </c>
      <c r="B367" s="197" t="n">
        <f aca="false">IF(A367&lt;mthend,B366,0)</f>
        <v>0</v>
      </c>
      <c r="C367" s="215"/>
      <c r="D367" s="197" t="str">
        <f aca="false">IF(A368&lt;&gt;"",B367+C367,"")</f>
        <v/>
      </c>
      <c r="E367" s="199" t="str">
        <f aca="false">IF(A368="","",IF(AND(AT367=1,$H$3=1),D367*AO367,IF($H$3=2,D367,"N/A")))</f>
        <v/>
      </c>
      <c r="F367" s="199" t="str">
        <f aca="false">IF(A368="","",E367*AS367)</f>
        <v/>
      </c>
      <c r="G367" s="200" t="str">
        <f aca="false">IF($A368="","",VLOOKUP($A367,Table,MATCH(G$4,Curves,0)))</f>
        <v/>
      </c>
      <c r="H367" s="201" t="str">
        <f aca="false">IF(A368="","",G367)</f>
        <v/>
      </c>
      <c r="I367" s="202"/>
      <c r="J367" s="200" t="str">
        <f aca="false">IF($A368="","",VLOOKUP($A367,Table,MATCH(J$4,Curves,0)))</f>
        <v/>
      </c>
      <c r="K367" s="201" t="str">
        <f aca="false">IF(A368="","",J367)</f>
        <v/>
      </c>
      <c r="L367" s="200" t="str">
        <f aca="false">IF($A368="","",VLOOKUP($A367,Table,MATCH(L$4,Curves,0)))</f>
        <v/>
      </c>
      <c r="M367" s="201" t="str">
        <f aca="false">IF(A368="","",L367)</f>
        <v/>
      </c>
      <c r="N367" s="203"/>
      <c r="O367" s="200" t="str">
        <f aca="false">IF(A368="","",L367+J367+G367)</f>
        <v/>
      </c>
      <c r="P367" s="200" t="str">
        <f aca="false">IF(A368="","",M367+K367+H367)</f>
        <v/>
      </c>
      <c r="Q367" s="204"/>
      <c r="R367" s="200" t="str">
        <f aca="false">IF($A368="","",VLOOKUP($A367,Table,MATCH(R$4,Curves,0)))</f>
        <v/>
      </c>
      <c r="S367" s="201" t="str">
        <f aca="false">IF(A368="","",R367)</f>
        <v/>
      </c>
      <c r="T367" s="200" t="str">
        <f aca="false">IF($A368="","",VLOOKUP($A367,Table,MATCH(T$4,Curves,0)))</f>
        <v/>
      </c>
      <c r="U367" s="201" t="str">
        <f aca="false">IF(A368="","",T367)</f>
        <v/>
      </c>
      <c r="V367" s="183" t="str">
        <f aca="false">IF($A368="","",IF(AND(MONTH(A367)&gt;3,MONTH(A367)&lt;11),(T367+R367+G367)*Summary!$T$8/(1-Summary!$T$8),(T367+R367+G367)*Summary!$U$8/(1-Summary!$U$8)))</f>
        <v/>
      </c>
      <c r="W367" s="200" t="str">
        <f aca="false">IF($A368="","",(T367+R367+G367+V367))</f>
        <v/>
      </c>
      <c r="X367" s="200" t="str">
        <f aca="false">IF($A368="","",(U367+S367+H367+V367))</f>
        <v/>
      </c>
      <c r="Y367" s="202"/>
      <c r="Z367" s="185" t="str">
        <f aca="false">IF($A368="","",VLOOKUP($A367,Table,MATCH(Z$4,Curves,0)))</f>
        <v/>
      </c>
      <c r="AA367" s="185" t="str">
        <f aca="false">IF($A368="","",VLOOKUP($A367,Table,MATCH(AA$4,Curves,0)))</f>
        <v/>
      </c>
      <c r="AB367" s="185" t="e">
        <f aca="false">SQRT((AA367^2*(A367-$D$3)+Z367^2*(DAY(EOMONTH(A367,0))/2))/AK367)</f>
        <v>#VALUE!</v>
      </c>
      <c r="AC367" s="185" t="str">
        <f aca="false">IF($A368="","",VLOOKUP($A367,Table,MATCH(AC$4,Curves,0)))</f>
        <v/>
      </c>
      <c r="AD367" s="185" t="str">
        <f aca="false">IF($A368="","",VLOOKUP($A367,Table,MATCH(AD$4,Curves,0)))</f>
        <v/>
      </c>
      <c r="AE367" s="185" t="e">
        <f aca="false">SQRT((AD367^2*(A367-$D$3)+AC367^2*(DAY(EOMONTH(A367,0))/2))/AK367)</f>
        <v>#VALUE!</v>
      </c>
      <c r="AF367" s="224" t="e">
        <f aca="false">((Summary!$N$8*(AA367*AD367)*(A367-$D$3))+(Summary!$M$8*Z367*AC367*(AJ367-EOMONTH(EDATE(A367,-1),0))))/(AK367*AB367*AE367)</f>
        <v>#VALUE!</v>
      </c>
      <c r="AG367" s="207" t="str">
        <f aca="false">IF($A368="","",Summary!$Q$8)</f>
        <v/>
      </c>
      <c r="AH367" s="207" t="str">
        <f aca="false">IF($A368="","",IF(Summary!$R$8="Y",(VLOOKUP($A367,Summary!$AD$6:$AF$9,3)+'Escalating commodity'!D380),'Escalating commodity'!D380))</f>
        <v/>
      </c>
      <c r="AI367" s="207" t="str">
        <f aca="false">IF($A368="","",AH367)</f>
        <v/>
      </c>
      <c r="AJ367" s="208" t="e">
        <f aca="false">A367+DAY(EOMONTH(A367,0))/2-1</f>
        <v>#VALUE!</v>
      </c>
      <c r="AK367" s="209" t="str">
        <f aca="false">IF($A368="","",$A367-$E$1)</f>
        <v/>
      </c>
      <c r="AL367" s="182" t="str">
        <f aca="false">IF($A368="","",SPRDOPT(P367,X367,AI367,0,AB367,AE367,AF367,AK367,$AJ$2,0))</f>
        <v/>
      </c>
      <c r="AM367" s="211" t="str">
        <f aca="false">IF($A368="","",MAX(0,O367-W367-AI367))</f>
        <v/>
      </c>
      <c r="AN367" s="211" t="str">
        <f aca="false">IF($A368="","",AL367-AM367)</f>
        <v/>
      </c>
      <c r="AO367" s="137" t="str">
        <f aca="false">IF(A368="","",A368-A367)</f>
        <v/>
      </c>
      <c r="AP367" s="212" t="str">
        <f aca="false">IF(A368="","",CHOOSE(F$3,A368+24,A367))</f>
        <v/>
      </c>
      <c r="AQ367" s="209" t="str">
        <f aca="false">IF(A368="","",AP367-$E$1)</f>
        <v/>
      </c>
      <c r="AR367" s="185" t="n">
        <f aca="false">'ANR OK vs ML7'!AR367</f>
        <v>0.1</v>
      </c>
      <c r="AS367" s="213" t="str">
        <f aca="false">IF(A368="","",1/(1+CHOOSE(F$3,(AR368+($I$3/10000))/2,(AR367+($I$3/10000))/2))^(2*AQ367/365.25))</f>
        <v/>
      </c>
      <c r="AT367" s="137" t="str">
        <f aca="false">IF(A368="","",IF(AND(mthbeg&lt;=A367,mthend&gt;=A367),1,0))</f>
        <v/>
      </c>
      <c r="AU367" s="137" t="str">
        <f aca="false">IF(A368="","",AO367*AT367)</f>
        <v/>
      </c>
      <c r="AW367" s="195" t="str">
        <f aca="false">IF($A368="","",AL367*$E367)</f>
        <v/>
      </c>
      <c r="AX367" s="195" t="str">
        <f aca="false">IF($A368="","",AM367*$E367)</f>
        <v/>
      </c>
      <c r="AY367" s="195" t="str">
        <f aca="false">IF($A368="","",AN367*$E367)</f>
        <v/>
      </c>
      <c r="BA367" s="195" t="str">
        <f aca="false">IF($A368="","",F367*Summary!$Q$8)</f>
        <v/>
      </c>
    </row>
    <row r="368" customFormat="false" ht="12" hidden="false" customHeight="true" outlineLevel="0" collapsed="false">
      <c r="A368" s="196" t="str">
        <f aca="false">IF(A367&lt;mthend,EDATE(A367,1),"")</f>
        <v/>
      </c>
      <c r="B368" s="197" t="n">
        <f aca="false">IF(A368&lt;mthend,B367,0)</f>
        <v>0</v>
      </c>
      <c r="C368" s="215"/>
      <c r="D368" s="197" t="str">
        <f aca="false">IF(A369&lt;&gt;"",B368+C368,"")</f>
        <v/>
      </c>
      <c r="E368" s="199" t="str">
        <f aca="false">IF(A369="","",IF(AND(AT368=1,$H$3=1),D368*AO368,IF($H$3=2,D368,"N/A")))</f>
        <v/>
      </c>
      <c r="F368" s="199" t="str">
        <f aca="false">IF(A369="","",E368*AS368)</f>
        <v/>
      </c>
      <c r="G368" s="200" t="str">
        <f aca="false">IF($A369="","",VLOOKUP($A368,Table,MATCH(G$4,Curves,0)))</f>
        <v/>
      </c>
      <c r="H368" s="201" t="str">
        <f aca="false">IF(A369="","",G368)</f>
        <v/>
      </c>
      <c r="I368" s="202"/>
      <c r="J368" s="200" t="str">
        <f aca="false">IF($A369="","",VLOOKUP($A368,Table,MATCH(J$4,Curves,0)))</f>
        <v/>
      </c>
      <c r="K368" s="201" t="str">
        <f aca="false">IF(A369="","",J368)</f>
        <v/>
      </c>
      <c r="L368" s="200" t="str">
        <f aca="false">IF($A369="","",VLOOKUP($A368,Table,MATCH(L$4,Curves,0)))</f>
        <v/>
      </c>
      <c r="M368" s="201" t="str">
        <f aca="false">IF(A369="","",L368)</f>
        <v/>
      </c>
      <c r="N368" s="203"/>
      <c r="O368" s="200" t="str">
        <f aca="false">IF(A369="","",L368+J368+G368)</f>
        <v/>
      </c>
      <c r="P368" s="200" t="str">
        <f aca="false">IF(A369="","",M368+K368+H368)</f>
        <v/>
      </c>
      <c r="Q368" s="204"/>
      <c r="R368" s="200" t="str">
        <f aca="false">IF($A369="","",VLOOKUP($A368,Table,MATCH(R$4,Curves,0)))</f>
        <v/>
      </c>
      <c r="S368" s="201" t="str">
        <f aca="false">IF(A369="","",R368)</f>
        <v/>
      </c>
      <c r="T368" s="200" t="str">
        <f aca="false">IF($A369="","",VLOOKUP($A368,Table,MATCH(T$4,Curves,0)))</f>
        <v/>
      </c>
      <c r="U368" s="201" t="str">
        <f aca="false">IF(A369="","",T368)</f>
        <v/>
      </c>
      <c r="V368" s="183" t="str">
        <f aca="false">IF($A369="","",IF(AND(MONTH(A368)&gt;3,MONTH(A368)&lt;11),(T368+R368+G368)*Summary!$T$8/(1-Summary!$T$8),(T368+R368+G368)*Summary!$U$8/(1-Summary!$U$8)))</f>
        <v/>
      </c>
      <c r="W368" s="200" t="str">
        <f aca="false">IF($A369="","",(T368+R368+G368+V368))</f>
        <v/>
      </c>
      <c r="X368" s="200" t="str">
        <f aca="false">IF($A369="","",(U368+S368+H368+V368))</f>
        <v/>
      </c>
      <c r="Y368" s="202"/>
      <c r="Z368" s="185" t="str">
        <f aca="false">IF($A369="","",VLOOKUP($A368,Table,MATCH(Z$4,Curves,0)))</f>
        <v/>
      </c>
      <c r="AA368" s="185" t="str">
        <f aca="false">IF($A369="","",VLOOKUP($A368,Table,MATCH(AA$4,Curves,0)))</f>
        <v/>
      </c>
      <c r="AB368" s="185" t="e">
        <f aca="false">SQRT((AA368^2*(A368-$D$3)+Z368^2*(DAY(EOMONTH(A368,0))/2))/AK368)</f>
        <v>#VALUE!</v>
      </c>
      <c r="AC368" s="185" t="str">
        <f aca="false">IF($A369="","",VLOOKUP($A368,Table,MATCH(AC$4,Curves,0)))</f>
        <v/>
      </c>
      <c r="AD368" s="185" t="str">
        <f aca="false">IF($A369="","",VLOOKUP($A368,Table,MATCH(AD$4,Curves,0)))</f>
        <v/>
      </c>
      <c r="AE368" s="185" t="e">
        <f aca="false">SQRT((AD368^2*(A368-$D$3)+AC368^2*(DAY(EOMONTH(A368,0))/2))/AK368)</f>
        <v>#VALUE!</v>
      </c>
      <c r="AF368" s="224" t="e">
        <f aca="false">((Summary!$N$8*(AA368*AD368)*(A368-$D$3))+(Summary!$M$8*Z368*AC368*(AJ368-EOMONTH(EDATE(A368,-1),0))))/(AK368*AB368*AE368)</f>
        <v>#VALUE!</v>
      </c>
      <c r="AG368" s="207" t="str">
        <f aca="false">IF($A369="","",Summary!$Q$8)</f>
        <v/>
      </c>
      <c r="AH368" s="207" t="str">
        <f aca="false">IF($A369="","",IF(Summary!$R$8="Y",(VLOOKUP($A368,Summary!$AD$6:$AF$9,3)+'Escalating commodity'!D381),'Escalating commodity'!D381))</f>
        <v/>
      </c>
      <c r="AI368" s="207" t="str">
        <f aca="false">IF($A369="","",AH368)</f>
        <v/>
      </c>
      <c r="AJ368" s="208" t="e">
        <f aca="false">A368+DAY(EOMONTH(A368,0))/2-1</f>
        <v>#VALUE!</v>
      </c>
      <c r="AK368" s="209" t="str">
        <f aca="false">IF($A369="","",$A368-$E$1)</f>
        <v/>
      </c>
      <c r="AL368" s="182" t="str">
        <f aca="false">IF($A369="","",SPRDOPT(P368,X368,AI368,0,AB368,AE368,AF368,AK368,$AJ$2,0))</f>
        <v/>
      </c>
      <c r="AM368" s="211" t="str">
        <f aca="false">IF($A369="","",MAX(0,O368-W368-AI368))</f>
        <v/>
      </c>
      <c r="AN368" s="211" t="str">
        <f aca="false">IF($A369="","",AL368-AM368)</f>
        <v/>
      </c>
      <c r="AO368" s="137" t="str">
        <f aca="false">IF(A369="","",A369-A368)</f>
        <v/>
      </c>
      <c r="AP368" s="212" t="str">
        <f aca="false">IF(A369="","",CHOOSE(F$3,A369+24,A368))</f>
        <v/>
      </c>
      <c r="AQ368" s="209" t="str">
        <f aca="false">IF(A369="","",AP368-$E$1)</f>
        <v/>
      </c>
      <c r="AR368" s="185" t="n">
        <f aca="false">'ANR OK vs ML7'!AR368</f>
        <v>0.1</v>
      </c>
      <c r="AS368" s="213" t="str">
        <f aca="false">IF(A369="","",1/(1+CHOOSE(F$3,(AR369+($I$3/10000))/2,(AR368+($I$3/10000))/2))^(2*AQ368/365.25))</f>
        <v/>
      </c>
      <c r="AT368" s="137" t="str">
        <f aca="false">IF(A369="","",IF(AND(mthbeg&lt;=A368,mthend&gt;=A368),1,0))</f>
        <v/>
      </c>
      <c r="AU368" s="137" t="str">
        <f aca="false">IF(A369="","",AO368*AT368)</f>
        <v/>
      </c>
      <c r="AW368" s="195" t="str">
        <f aca="false">IF($A369="","",AL368*$E368)</f>
        <v/>
      </c>
      <c r="AX368" s="195" t="str">
        <f aca="false">IF($A369="","",AM368*$E368)</f>
        <v/>
      </c>
      <c r="AY368" s="195" t="str">
        <f aca="false">IF($A369="","",AN368*$E368)</f>
        <v/>
      </c>
      <c r="BA368" s="195" t="str">
        <f aca="false">IF($A369="","",F368*Summary!$Q$8)</f>
        <v/>
      </c>
    </row>
    <row r="369" customFormat="false" ht="12" hidden="false" customHeight="true" outlineLevel="0" collapsed="false">
      <c r="A369" s="196" t="str">
        <f aca="false">IF(A368&lt;mthend,EDATE(A368,1),"")</f>
        <v/>
      </c>
      <c r="B369" s="197" t="n">
        <f aca="false">IF(A369&lt;mthend,B368,0)</f>
        <v>0</v>
      </c>
      <c r="C369" s="215"/>
      <c r="D369" s="197" t="str">
        <f aca="false">IF(A370&lt;&gt;"",B369+C369,"")</f>
        <v/>
      </c>
      <c r="E369" s="199" t="str">
        <f aca="false">IF(A370="","",IF(AND(AT369=1,$H$3=1),D369*AO369,IF($H$3=2,D369,"N/A")))</f>
        <v/>
      </c>
      <c r="F369" s="199" t="str">
        <f aca="false">IF(A370="","",E369*AS369)</f>
        <v/>
      </c>
      <c r="G369" s="200" t="str">
        <f aca="false">IF($A370="","",VLOOKUP($A369,Table,MATCH(G$4,Curves,0)))</f>
        <v/>
      </c>
      <c r="H369" s="201" t="str">
        <f aca="false">IF(A370="","",G369)</f>
        <v/>
      </c>
      <c r="I369" s="202"/>
      <c r="J369" s="200" t="str">
        <f aca="false">IF($A370="","",VLOOKUP($A369,Table,MATCH(J$4,Curves,0)))</f>
        <v/>
      </c>
      <c r="K369" s="201" t="str">
        <f aca="false">IF(A370="","",J369)</f>
        <v/>
      </c>
      <c r="L369" s="200" t="str">
        <f aca="false">IF($A370="","",VLOOKUP($A369,Table,MATCH(L$4,Curves,0)))</f>
        <v/>
      </c>
      <c r="M369" s="201" t="str">
        <f aca="false">IF(A370="","",L369)</f>
        <v/>
      </c>
      <c r="N369" s="203"/>
      <c r="O369" s="200" t="str">
        <f aca="false">IF(A370="","",L369+J369+G369)</f>
        <v/>
      </c>
      <c r="P369" s="200" t="str">
        <f aca="false">IF(A370="","",M369+K369+H369)</f>
        <v/>
      </c>
      <c r="Q369" s="204"/>
      <c r="R369" s="200" t="str">
        <f aca="false">IF($A370="","",VLOOKUP($A369,Table,MATCH(R$4,Curves,0)))</f>
        <v/>
      </c>
      <c r="S369" s="201" t="str">
        <f aca="false">IF(A370="","",R369)</f>
        <v/>
      </c>
      <c r="T369" s="200" t="str">
        <f aca="false">IF($A370="","",VLOOKUP($A369,Table,MATCH(T$4,Curves,0)))</f>
        <v/>
      </c>
      <c r="U369" s="201" t="str">
        <f aca="false">IF(A370="","",T369)</f>
        <v/>
      </c>
      <c r="V369" s="183" t="str">
        <f aca="false">IF($A370="","",IF(AND(MONTH(A369)&gt;3,MONTH(A369)&lt;11),(T369+R369+G369)*Summary!$T$8/(1-Summary!$T$8),(T369+R369+G369)*Summary!$U$8/(1-Summary!$U$8)))</f>
        <v/>
      </c>
      <c r="W369" s="200" t="str">
        <f aca="false">IF($A370="","",(T369+R369+G369+V369))</f>
        <v/>
      </c>
      <c r="X369" s="200" t="str">
        <f aca="false">IF($A370="","",(U369+S369+H369+V369))</f>
        <v/>
      </c>
      <c r="Y369" s="202"/>
      <c r="Z369" s="185" t="str">
        <f aca="false">IF($A370="","",VLOOKUP($A369,Table,MATCH(Z$4,Curves,0)))</f>
        <v/>
      </c>
      <c r="AA369" s="185" t="str">
        <f aca="false">IF($A370="","",VLOOKUP($A369,Table,MATCH(AA$4,Curves,0)))</f>
        <v/>
      </c>
      <c r="AB369" s="185" t="e">
        <f aca="false">SQRT((AA369^2*(A369-$D$3)+Z369^2*(DAY(EOMONTH(A369,0))/2))/AK369)</f>
        <v>#VALUE!</v>
      </c>
      <c r="AC369" s="185" t="str">
        <f aca="false">IF($A370="","",VLOOKUP($A369,Table,MATCH(AC$4,Curves,0)))</f>
        <v/>
      </c>
      <c r="AD369" s="185" t="str">
        <f aca="false">IF($A370="","",VLOOKUP($A369,Table,MATCH(AD$4,Curves,0)))</f>
        <v/>
      </c>
      <c r="AE369" s="185" t="e">
        <f aca="false">SQRT((AD369^2*(A369-$D$3)+AC369^2*(DAY(EOMONTH(A369,0))/2))/AK369)</f>
        <v>#VALUE!</v>
      </c>
      <c r="AF369" s="224" t="e">
        <f aca="false">((Summary!$N$8*(AA369*AD369)*(A369-$D$3))+(Summary!$M$8*Z369*AC369*(AJ369-EOMONTH(EDATE(A369,-1),0))))/(AK369*AB369*AE369)</f>
        <v>#VALUE!</v>
      </c>
      <c r="AG369" s="207" t="str">
        <f aca="false">IF($A370="","",Summary!$Q$8)</f>
        <v/>
      </c>
      <c r="AH369" s="207" t="str">
        <f aca="false">IF($A370="","",IF(Summary!$R$8="Y",(VLOOKUP($A369,Summary!$AD$6:$AF$9,3)+'Escalating commodity'!D382),'Escalating commodity'!D382))</f>
        <v/>
      </c>
      <c r="AI369" s="207" t="str">
        <f aca="false">IF($A370="","",AH369)</f>
        <v/>
      </c>
      <c r="AJ369" s="208" t="e">
        <f aca="false">A369+DAY(EOMONTH(A369,0))/2-1</f>
        <v>#VALUE!</v>
      </c>
      <c r="AK369" s="209" t="str">
        <f aca="false">IF($A370="","",$A369-$E$1)</f>
        <v/>
      </c>
      <c r="AL369" s="182" t="str">
        <f aca="false">IF($A370="","",SPRDOPT(P369,X369,AI369,0,AB369,AE369,AF369,AK369,$AJ$2,0))</f>
        <v/>
      </c>
      <c r="AM369" s="211" t="str">
        <f aca="false">IF($A370="","",MAX(0,O369-W369-AI369))</f>
        <v/>
      </c>
      <c r="AN369" s="211" t="str">
        <f aca="false">IF($A370="","",AL369-AM369)</f>
        <v/>
      </c>
      <c r="AO369" s="137" t="str">
        <f aca="false">IF(A370="","",A370-A369)</f>
        <v/>
      </c>
      <c r="AP369" s="212" t="str">
        <f aca="false">IF(A370="","",CHOOSE(F$3,A370+24,A369))</f>
        <v/>
      </c>
      <c r="AQ369" s="209" t="str">
        <f aca="false">IF(A370="","",AP369-$E$1)</f>
        <v/>
      </c>
      <c r="AR369" s="185" t="n">
        <f aca="false">'ANR OK vs ML7'!AR369</f>
        <v>0.1</v>
      </c>
      <c r="AS369" s="213" t="str">
        <f aca="false">IF(A370="","",1/(1+CHOOSE(F$3,(AR370+($I$3/10000))/2,(AR369+($I$3/10000))/2))^(2*AQ369/365.25))</f>
        <v/>
      </c>
      <c r="AT369" s="137" t="str">
        <f aca="false">IF(A370="","",IF(AND(mthbeg&lt;=A369,mthend&gt;=A369),1,0))</f>
        <v/>
      </c>
      <c r="AU369" s="137" t="str">
        <f aca="false">IF(A370="","",AO369*AT369)</f>
        <v/>
      </c>
      <c r="AW369" s="195" t="str">
        <f aca="false">IF($A370="","",AL369*$E369)</f>
        <v/>
      </c>
      <c r="AX369" s="195" t="str">
        <f aca="false">IF($A370="","",AM369*$E369)</f>
        <v/>
      </c>
      <c r="AY369" s="195" t="str">
        <f aca="false">IF($A370="","",AN369*$E369)</f>
        <v/>
      </c>
      <c r="BA369" s="195" t="str">
        <f aca="false">IF($A370="","",F369*Summary!$Q$8)</f>
        <v/>
      </c>
    </row>
    <row r="370" customFormat="false" ht="12.75" hidden="false" customHeight="false" outlineLevel="0" collapsed="false">
      <c r="A370" s="196" t="str">
        <f aca="false">IF(A369&lt;mthend,EDATE(A369,1),"")</f>
        <v/>
      </c>
      <c r="B370" s="197" t="n">
        <f aca="false">IF(A370&lt;mthend,B369,0)</f>
        <v>0</v>
      </c>
      <c r="C370" s="216"/>
      <c r="D370" s="197" t="str">
        <f aca="false">IF(A371&lt;&gt;"",B370+C370,"")</f>
        <v/>
      </c>
      <c r="E370" s="199" t="str">
        <f aca="false">IF(A371="","",IF(AND(AT370=1,$H$3=1),D370*AO370,IF($H$3=2,D370,"N/A")))</f>
        <v/>
      </c>
      <c r="F370" s="199" t="str">
        <f aca="false">IF(A371="","",E370*AS370)</f>
        <v/>
      </c>
      <c r="G370" s="200" t="str">
        <f aca="false">IF($A371="","",VLOOKUP($A370,Table,MATCH(G$4,Curves,0)))</f>
        <v/>
      </c>
      <c r="H370" s="201" t="str">
        <f aca="false">IF(A371="","",G370)</f>
        <v/>
      </c>
      <c r="J370" s="200" t="str">
        <f aca="false">IF($A371="","",VLOOKUP($A370,Table,MATCH(J$4,Curves,0)))</f>
        <v/>
      </c>
      <c r="K370" s="201" t="str">
        <f aca="false">IF(A371="","",J370)</f>
        <v/>
      </c>
      <c r="L370" s="200" t="str">
        <f aca="false">IF($A371="","",VLOOKUP($A370,Table,MATCH(L$4,Curves,0)))</f>
        <v/>
      </c>
      <c r="M370" s="201" t="str">
        <f aca="false">IF(A371="","",L370)</f>
        <v/>
      </c>
      <c r="O370" s="200" t="str">
        <f aca="false">IF(A371="","",L370+J370+G370)</f>
        <v/>
      </c>
      <c r="P370" s="200" t="str">
        <f aca="false">IF(A371="","",M370+K370+H370)</f>
        <v/>
      </c>
      <c r="R370" s="200" t="str">
        <f aca="false">IF($A371="","",VLOOKUP($A370,Table,MATCH(R$4,Curves,0)))</f>
        <v/>
      </c>
      <c r="S370" s="201" t="str">
        <f aca="false">IF(A371="","",R370)</f>
        <v/>
      </c>
      <c r="T370" s="200" t="str">
        <f aca="false">IF($A371="","",VLOOKUP($A370,Table,MATCH(T$4,Curves,0)))</f>
        <v/>
      </c>
      <c r="U370" s="201" t="str">
        <f aca="false">IF(A371="","",T370)</f>
        <v/>
      </c>
      <c r="V370" s="183" t="str">
        <f aca="false">IF($A371="","",IF(AND(MONTH(A370)&gt;3,MONTH(A370)&lt;11),(T370+R370+G370)*Summary!$T$8/(1-Summary!$T$8),(T370+R370+G370)*Summary!$U$8/(1-Summary!$U$8)))</f>
        <v/>
      </c>
      <c r="W370" s="200" t="str">
        <f aca="false">IF($A371="","",(T370+R370+G370+V370))</f>
        <v/>
      </c>
      <c r="X370" s="200" t="str">
        <f aca="false">IF($A371="","",(U370+S370+H370+V370))</f>
        <v/>
      </c>
      <c r="Y370" s="202"/>
      <c r="Z370" s="185"/>
      <c r="AA370" s="21"/>
      <c r="AB370" s="21"/>
      <c r="AC370" s="21"/>
      <c r="AD370" s="21"/>
      <c r="AE370" s="21"/>
      <c r="AF370" s="21"/>
      <c r="AG370" s="182"/>
      <c r="AH370" s="182"/>
      <c r="AI370" s="182"/>
      <c r="AO370" s="137" t="str">
        <f aca="false">IF(A371="","",A371-A370)</f>
        <v/>
      </c>
      <c r="AP370" s="212" t="str">
        <f aca="false">IF(A371="","",CHOOSE(F$3,A371+24,A370))</f>
        <v/>
      </c>
      <c r="AQ370" s="209" t="str">
        <f aca="false">IF(A371="","",AP370-$E$1)</f>
        <v/>
      </c>
      <c r="AR370" s="185" t="n">
        <f aca="false">'ANR OK vs ML7'!AR370</f>
        <v>0.1</v>
      </c>
      <c r="AS370" s="213" t="str">
        <f aca="false">IF(A371="","",1/(1+CHOOSE(F$3,(AR371+($I$3/10000))/2,(AR370+($I$3/10000))/2))^(2*AQ370/365.25))</f>
        <v/>
      </c>
      <c r="AT370" s="137" t="str">
        <f aca="false">IF(A371="","",IF(AND(mthbeg&lt;=A370,mthend&gt;=A370),1,0))</f>
        <v/>
      </c>
      <c r="AU370" s="137" t="str">
        <f aca="false">IF(A371="","",AO370*AT370)</f>
        <v/>
      </c>
      <c r="AW370" s="195" t="str">
        <f aca="false">IF($A371="","",AL370*$E370)</f>
        <v/>
      </c>
      <c r="AX370" s="195" t="str">
        <f aca="false">IF($A371="","",AM370*$E370)</f>
        <v/>
      </c>
      <c r="AY370" s="195" t="str">
        <f aca="false">IF($A371="","",AN370*$E370)</f>
        <v/>
      </c>
      <c r="BA370" s="195" t="str">
        <f aca="false">IF($A371="","",F370*Summary!$Q$8)</f>
        <v/>
      </c>
    </row>
    <row r="371" customFormat="false" ht="12.75" hidden="false" customHeight="false" outlineLevel="0" collapsed="false">
      <c r="A371" s="196" t="str">
        <f aca="false">IF(A370&lt;mthend,EDATE(A370,1),"")</f>
        <v/>
      </c>
      <c r="B371" s="197" t="n">
        <f aca="false">IF(A371&lt;mthend,B370,0)</f>
        <v>0</v>
      </c>
      <c r="D371" s="197" t="str">
        <f aca="false">IF(A372&lt;&gt;"",B371+C371,"")</f>
        <v/>
      </c>
      <c r="E371" s="199" t="str">
        <f aca="false">IF(A372="","",IF(AND(AT371=1,$H$3=1),D371*AO371,IF($H$3=2,D371,"N/A")))</f>
        <v/>
      </c>
      <c r="F371" s="199" t="str">
        <f aca="false">IF(A372="","",E371*AS371)</f>
        <v/>
      </c>
      <c r="G371" s="200" t="str">
        <f aca="false">IF($A372="","",VLOOKUP($A371,Table,MATCH(G$4,Curves,0)))</f>
        <v/>
      </c>
      <c r="H371" s="201" t="str">
        <f aca="false">IF(A372="","",G371)</f>
        <v/>
      </c>
      <c r="J371" s="200" t="str">
        <f aca="false">IF($A372="","",VLOOKUP($A371,Table,MATCH(J$4,Curves,0)))</f>
        <v/>
      </c>
      <c r="K371" s="201" t="str">
        <f aca="false">IF(A372="","",J371)</f>
        <v/>
      </c>
      <c r="L371" s="200" t="str">
        <f aca="false">IF($A372="","",VLOOKUP($A371,Table,MATCH(L$4,Curves,0)))</f>
        <v/>
      </c>
      <c r="M371" s="201" t="str">
        <f aca="false">IF(A372="","",L371)</f>
        <v/>
      </c>
      <c r="O371" s="200" t="str">
        <f aca="false">IF(A372="","",L371+J371+G371)</f>
        <v/>
      </c>
      <c r="P371" s="200" t="str">
        <f aca="false">IF(A372="","",M371+K371+H371)</f>
        <v/>
      </c>
      <c r="R371" s="200" t="str">
        <f aca="false">IF($A372="","",VLOOKUP($A371,Table,MATCH(R$4,Curves,0)))</f>
        <v/>
      </c>
      <c r="S371" s="201" t="str">
        <f aca="false">IF(A372="","",R371)</f>
        <v/>
      </c>
      <c r="T371" s="200" t="str">
        <f aca="false">IF($A372="","",VLOOKUP($A371,Table,MATCH(T$4,Curves,0)))</f>
        <v/>
      </c>
      <c r="U371" s="201" t="str">
        <f aca="false">IF(A372="","",T371)</f>
        <v/>
      </c>
      <c r="V371" s="183" t="str">
        <f aca="false">IF($A372="","",IF(AND(MONTH(A371)&gt;3,MONTH(A371)&lt;11),(T371+R371+G371)*Summary!$T$8/(1-Summary!$T$8),(T371+R371+G371)*Summary!$U$8/(1-Summary!$U$8)))</f>
        <v/>
      </c>
      <c r="W371" s="200" t="str">
        <f aca="false">IF($A372="","",(T371+R371+G371+V371))</f>
        <v/>
      </c>
      <c r="X371" s="200" t="str">
        <f aca="false">IF($A372="","",(U371+S371+H371+V371))</f>
        <v/>
      </c>
      <c r="Y371" s="202"/>
      <c r="Z371" s="185"/>
      <c r="AG371" s="182"/>
      <c r="AH371" s="182"/>
      <c r="AI371" s="182"/>
      <c r="AJ371" s="217"/>
      <c r="AK371" s="217"/>
      <c r="AL371" s="217"/>
      <c r="AM371" s="217"/>
      <c r="AN371" s="217"/>
      <c r="AO371" s="137" t="str">
        <f aca="false">IF(A372="","",A372-A371)</f>
        <v/>
      </c>
      <c r="AP371" s="212" t="str">
        <f aca="false">IF(A372="","",CHOOSE(F$3,A372+24,A371))</f>
        <v/>
      </c>
      <c r="AQ371" s="209" t="str">
        <f aca="false">IF(A372="","",AP371-$E$1)</f>
        <v/>
      </c>
      <c r="AR371" s="185" t="n">
        <f aca="false">'ANR OK vs ML7'!AR371</f>
        <v>0.1</v>
      </c>
      <c r="AS371" s="213" t="str">
        <f aca="false">IF(A372="","",1/(1+CHOOSE(F$3,(AR372+($I$3/10000))/2,(AR371+($I$3/10000))/2))^(2*AQ371/365.25))</f>
        <v/>
      </c>
      <c r="AT371" s="137" t="str">
        <f aca="false">IF(A372="","",IF(AND(mthbeg&lt;=A371,mthend&gt;=A371),1,0))</f>
        <v/>
      </c>
      <c r="AU371" s="137" t="str">
        <f aca="false">IF(A372="","",AO371*AT371)</f>
        <v/>
      </c>
      <c r="AW371" s="195" t="str">
        <f aca="false">IF($A372="","",AL371*$E371)</f>
        <v/>
      </c>
      <c r="AX371" s="195" t="str">
        <f aca="false">IF($A372="","",AM371*$E371)</f>
        <v/>
      </c>
      <c r="AY371" s="195" t="str">
        <f aca="false">IF($A372="","",AN371*$E371)</f>
        <v/>
      </c>
      <c r="BA371" s="195" t="str">
        <f aca="false">IF($A372="","",F371*Summary!$Q$8)</f>
        <v/>
      </c>
    </row>
    <row r="372" customFormat="false" ht="12.75" hidden="false" customHeight="false" outlineLevel="0" collapsed="false">
      <c r="A372" s="196" t="str">
        <f aca="false">IF(A371&lt;mthend,EDATE(A371,1),"")</f>
        <v/>
      </c>
      <c r="B372" s="197" t="n">
        <f aca="false">IF(A372&lt;mthend,B371,0)</f>
        <v>0</v>
      </c>
      <c r="D372" s="197" t="str">
        <f aca="false">IF(A373&lt;&gt;"",B372+C372,"")</f>
        <v/>
      </c>
      <c r="E372" s="199" t="str">
        <f aca="false">IF(A373="","",IF(AND(AT372=1,$H$3=1),D372*AO372,IF($H$3=2,D372,"N/A")))</f>
        <v/>
      </c>
      <c r="F372" s="199" t="str">
        <f aca="false">IF(A373="","",E372*AS372)</f>
        <v/>
      </c>
      <c r="G372" s="200" t="str">
        <f aca="false">IF($A373="","",VLOOKUP($A372,Table,MATCH(G$4,Curves,0)))</f>
        <v/>
      </c>
      <c r="H372" s="201" t="str">
        <f aca="false">IF(A373="","",G372)</f>
        <v/>
      </c>
      <c r="J372" s="200" t="str">
        <f aca="false">IF($A373="","",VLOOKUP($A372,Table,MATCH(J$4,Curves,0)))</f>
        <v/>
      </c>
      <c r="K372" s="201" t="str">
        <f aca="false">IF(A373="","",J372)</f>
        <v/>
      </c>
      <c r="L372" s="200" t="str">
        <f aca="false">IF($A373="","",VLOOKUP($A372,Table,MATCH(L$4,Curves,0)))</f>
        <v/>
      </c>
      <c r="M372" s="201" t="str">
        <f aca="false">IF(A373="","",L372)</f>
        <v/>
      </c>
      <c r="O372" s="200" t="str">
        <f aca="false">IF(A373="","",L372+J372+G372)</f>
        <v/>
      </c>
      <c r="P372" s="200" t="str">
        <f aca="false">IF(A373="","",M372+K372+H372)</f>
        <v/>
      </c>
      <c r="R372" s="200" t="str">
        <f aca="false">IF($A373="","",VLOOKUP($A372,Table,MATCH(R$4,Curves,0)))</f>
        <v/>
      </c>
      <c r="S372" s="201" t="str">
        <f aca="false">IF(A373="","",R372)</f>
        <v/>
      </c>
      <c r="T372" s="200" t="str">
        <f aca="false">IF($A373="","",VLOOKUP($A372,Table,MATCH(T$4,Curves,0)))</f>
        <v/>
      </c>
      <c r="U372" s="201" t="str">
        <f aca="false">IF(A373="","",T372)</f>
        <v/>
      </c>
      <c r="V372" s="183" t="str">
        <f aca="false">IF($A373="","",IF(AND(MONTH(A372)&gt;3,MONTH(A372)&lt;11),(T372+R372+G372)*Summary!$T$8/(1-Summary!$T$8),(T372+R372+G372)*Summary!$U$8/(1-Summary!$U$8)))</f>
        <v/>
      </c>
      <c r="W372" s="200" t="str">
        <f aca="false">IF($A373="","",(T372+R372+G372+V372))</f>
        <v/>
      </c>
      <c r="X372" s="200" t="str">
        <f aca="false">IF($A373="","",(U372+S372+H372+V372))</f>
        <v/>
      </c>
      <c r="Y372" s="202"/>
      <c r="Z372" s="185"/>
      <c r="AG372" s="182"/>
      <c r="AH372" s="182"/>
      <c r="AI372" s="182"/>
      <c r="AJ372" s="218"/>
      <c r="AK372" s="218"/>
      <c r="AL372" s="218"/>
      <c r="AM372" s="218"/>
      <c r="AN372" s="218"/>
      <c r="AO372" s="137" t="str">
        <f aca="false">IF(A373="","",A373-A372)</f>
        <v/>
      </c>
      <c r="AP372" s="212" t="str">
        <f aca="false">IF(A373="","",CHOOSE(F$3,A373+24,A372))</f>
        <v/>
      </c>
      <c r="AQ372" s="209" t="str">
        <f aca="false">IF(A373="","",AP372-$E$1)</f>
        <v/>
      </c>
      <c r="AR372" s="185" t="n">
        <f aca="false">'ANR OK vs ML7'!AR372</f>
        <v>0.1</v>
      </c>
      <c r="AS372" s="213" t="str">
        <f aca="false">IF(A373="","",1/(1+CHOOSE(F$3,(AR373+($I$3/10000))/2,(AR372+($I$3/10000))/2))^(2*AQ372/365.25))</f>
        <v/>
      </c>
      <c r="AT372" s="137" t="str">
        <f aca="false">IF(A373="","",IF(AND(mthbeg&lt;=A372,mthend&gt;=A372),1,0))</f>
        <v/>
      </c>
      <c r="AU372" s="137" t="str">
        <f aca="false">IF(A373="","",AO372*AT372)</f>
        <v/>
      </c>
      <c r="AW372" s="195" t="str">
        <f aca="false">IF($A373="","",AL372*$E372)</f>
        <v/>
      </c>
      <c r="AX372" s="195" t="str">
        <f aca="false">IF($A373="","",AM372*$E372)</f>
        <v/>
      </c>
      <c r="AY372" s="195" t="str">
        <f aca="false">IF($A373="","",AN372*$E372)</f>
        <v/>
      </c>
      <c r="BA372" s="195" t="str">
        <f aca="false">IF($A373="","",F372*Summary!$Q$8)</f>
        <v/>
      </c>
    </row>
    <row r="373" customFormat="false" ht="12.75" hidden="false" customHeight="false" outlineLevel="0" collapsed="false">
      <c r="A373" s="196" t="str">
        <f aca="false">IF(A372&lt;mthend,EDATE(A372,1),"")</f>
        <v/>
      </c>
      <c r="B373" s="197" t="n">
        <f aca="false">IF(A373&lt;mthend,B372,0)</f>
        <v>0</v>
      </c>
      <c r="D373" s="197" t="str">
        <f aca="false">IF(A374&lt;&gt;"",B373+C373,"")</f>
        <v/>
      </c>
      <c r="E373" s="199" t="str">
        <f aca="false">IF(A374="","",IF(AND(AT373=1,$H$3=1),D373*AO373,IF($H$3=2,D373,"N/A")))</f>
        <v/>
      </c>
      <c r="F373" s="199" t="str">
        <f aca="false">IF(A374="","",E373*AS373)</f>
        <v/>
      </c>
      <c r="G373" s="200" t="str">
        <f aca="false">IF($A374="","",VLOOKUP($A373,Table,MATCH(G$4,Curves,0)))</f>
        <v/>
      </c>
      <c r="H373" s="201" t="str">
        <f aca="false">IF(A374="","",G373)</f>
        <v/>
      </c>
      <c r="J373" s="200" t="str">
        <f aca="false">IF($A374="","",VLOOKUP($A373,Table,MATCH(J$4,Curves,0)))</f>
        <v/>
      </c>
      <c r="K373" s="201" t="str">
        <f aca="false">IF(A374="","",J373)</f>
        <v/>
      </c>
      <c r="L373" s="200" t="str">
        <f aca="false">IF($A374="","",VLOOKUP($A373,Table,MATCH(L$4,Curves,0)))</f>
        <v/>
      </c>
      <c r="M373" s="201" t="str">
        <f aca="false">IF(A374="","",L373)</f>
        <v/>
      </c>
      <c r="O373" s="200" t="str">
        <f aca="false">IF(A374="","",L373+J373+G373)</f>
        <v/>
      </c>
      <c r="P373" s="200" t="str">
        <f aca="false">IF(A374="","",M373+K373+H373)</f>
        <v/>
      </c>
      <c r="R373" s="200" t="str">
        <f aca="false">IF($A374="","",VLOOKUP($A373,Table,MATCH(R$4,Curves,0)))</f>
        <v/>
      </c>
      <c r="S373" s="201" t="str">
        <f aca="false">IF(A374="","",R373)</f>
        <v/>
      </c>
      <c r="T373" s="200" t="str">
        <f aca="false">IF($A374="","",VLOOKUP($A373,Table,MATCH(T$4,Curves,0)))</f>
        <v/>
      </c>
      <c r="U373" s="201" t="str">
        <f aca="false">IF(A374="","",T373)</f>
        <v/>
      </c>
      <c r="V373" s="183" t="str">
        <f aca="false">IF($A374="","",IF(AND(MONTH(A373)&gt;3,MONTH(A373)&lt;11),(T373+R373+G373)*Summary!$T$8/(1-Summary!$T$8),(T373+R373+G373)*Summary!$U$8/(1-Summary!$U$8)))</f>
        <v/>
      </c>
      <c r="W373" s="200" t="str">
        <f aca="false">IF($A374="","",(T373+R373+G373+V373))</f>
        <v/>
      </c>
      <c r="X373" s="200" t="str">
        <f aca="false">IF($A374="","",(U373+S373+H373+V373))</f>
        <v/>
      </c>
      <c r="Y373" s="202"/>
      <c r="Z373" s="185"/>
      <c r="AG373" s="182"/>
      <c r="AH373" s="182"/>
      <c r="AI373" s="182"/>
      <c r="AJ373" s="218"/>
      <c r="AK373" s="218"/>
      <c r="AL373" s="218"/>
      <c r="AM373" s="218"/>
      <c r="AN373" s="218"/>
      <c r="AO373" s="137" t="str">
        <f aca="false">IF(A374="","",A374-A373)</f>
        <v/>
      </c>
      <c r="AP373" s="212" t="str">
        <f aca="false">IF(A374="","",CHOOSE(F$3,A374+24,A373))</f>
        <v/>
      </c>
      <c r="AQ373" s="209" t="str">
        <f aca="false">IF(A374="","",AP373-$E$1)</f>
        <v/>
      </c>
      <c r="AR373" s="185" t="n">
        <f aca="false">'ANR OK vs ML7'!AR373</f>
        <v>0.1</v>
      </c>
      <c r="AS373" s="213" t="str">
        <f aca="false">IF(A374="","",1/(1+CHOOSE(F$3,(AR374+($I$3/10000))/2,(AR373+($I$3/10000))/2))^(2*AQ373/365.25))</f>
        <v/>
      </c>
      <c r="AT373" s="137" t="str">
        <f aca="false">IF(A374="","",IF(AND(mthbeg&lt;=A373,mthend&gt;=A373),1,0))</f>
        <v/>
      </c>
      <c r="AU373" s="137" t="str">
        <f aca="false">IF(A374="","",AO373*AT373)</f>
        <v/>
      </c>
      <c r="AW373" s="195" t="str">
        <f aca="false">IF($A374="","",AL373*$E373)</f>
        <v/>
      </c>
      <c r="AX373" s="195" t="str">
        <f aca="false">IF($A374="","",AM373*$E373)</f>
        <v/>
      </c>
      <c r="AY373" s="195" t="str">
        <f aca="false">IF($A374="","",AN373*$E373)</f>
        <v/>
      </c>
      <c r="BA373" s="195" t="str">
        <f aca="false">IF($A374="","",F373*Summary!$Q$8)</f>
        <v/>
      </c>
    </row>
    <row r="374" customFormat="false" ht="12.75" hidden="false" customHeight="false" outlineLevel="0" collapsed="false">
      <c r="A374" s="196" t="str">
        <f aca="false">IF(A373&lt;mthend,EDATE(A373,1),"")</f>
        <v/>
      </c>
      <c r="B374" s="197" t="n">
        <f aca="false">IF(A374&lt;mthend,B373,0)</f>
        <v>0</v>
      </c>
      <c r="D374" s="197" t="str">
        <f aca="false">IF(A375&lt;&gt;"",B374+C374,"")</f>
        <v/>
      </c>
      <c r="E374" s="199" t="str">
        <f aca="false">IF(A375="","",IF(AND(AT374=1,$H$3=1),D374*AO374,IF($H$3=2,D374,"N/A")))</f>
        <v/>
      </c>
      <c r="F374" s="199" t="str">
        <f aca="false">IF(A375="","",E374*AS374)</f>
        <v/>
      </c>
      <c r="G374" s="200" t="str">
        <f aca="false">IF($A375="","",VLOOKUP($A374,Table,MATCH(G$4,Curves,0)))</f>
        <v/>
      </c>
      <c r="H374" s="201" t="str">
        <f aca="false">IF(A375="","",G374)</f>
        <v/>
      </c>
      <c r="J374" s="200" t="str">
        <f aca="false">IF($A375="","",VLOOKUP($A374,Table,MATCH(J$4,Curves,0)))</f>
        <v/>
      </c>
      <c r="K374" s="201" t="str">
        <f aca="false">IF(A375="","",J374)</f>
        <v/>
      </c>
      <c r="L374" s="200" t="str">
        <f aca="false">IF($A375="","",VLOOKUP($A374,Table,MATCH(L$4,Curves,0)))</f>
        <v/>
      </c>
      <c r="M374" s="201" t="str">
        <f aca="false">IF(A375="","",L374)</f>
        <v/>
      </c>
      <c r="O374" s="200" t="str">
        <f aca="false">IF(A375="","",L374+J374+G374)</f>
        <v/>
      </c>
      <c r="P374" s="200" t="str">
        <f aca="false">IF(A375="","",M374+K374+H374)</f>
        <v/>
      </c>
      <c r="R374" s="200" t="str">
        <f aca="false">IF($A375="","",VLOOKUP($A374,Table,MATCH(R$4,Curves,0)))</f>
        <v/>
      </c>
      <c r="S374" s="201" t="str">
        <f aca="false">IF(A375="","",R374)</f>
        <v/>
      </c>
      <c r="T374" s="200" t="str">
        <f aca="false">IF($A375="","",VLOOKUP($A374,Table,MATCH(T$4,Curves,0)))</f>
        <v/>
      </c>
      <c r="U374" s="201" t="str">
        <f aca="false">IF(A375="","",T374)</f>
        <v/>
      </c>
      <c r="V374" s="183" t="str">
        <f aca="false">IF($A375="","",IF(AND(MONTH(A374)&gt;3,MONTH(A374)&lt;11),(T374+R374+G374)*Summary!$T$8/(1-Summary!$T$8),(T374+R374+G374)*Summary!$U$8/(1-Summary!$U$8)))</f>
        <v/>
      </c>
      <c r="W374" s="200" t="str">
        <f aca="false">IF($A375="","",(T374+R374+G374+V374))</f>
        <v/>
      </c>
      <c r="X374" s="200" t="str">
        <f aca="false">IF($A375="","",(U374+S374+H374+V374))</f>
        <v/>
      </c>
      <c r="Y374" s="202"/>
      <c r="Z374" s="185"/>
      <c r="AG374" s="182"/>
      <c r="AH374" s="182"/>
      <c r="AI374" s="182"/>
      <c r="AJ374" s="218"/>
      <c r="AK374" s="218"/>
      <c r="AL374" s="218"/>
      <c r="AM374" s="218"/>
      <c r="AN374" s="218"/>
      <c r="AO374" s="137" t="str">
        <f aca="false">IF(A375="","",A375-A374)</f>
        <v/>
      </c>
      <c r="AP374" s="212" t="str">
        <f aca="false">IF(A375="","",CHOOSE(F$3,A375+24,A374))</f>
        <v/>
      </c>
      <c r="AQ374" s="209" t="str">
        <f aca="false">IF(A375="","",AP374-$E$1)</f>
        <v/>
      </c>
      <c r="AR374" s="185" t="n">
        <f aca="false">'ANR OK vs ML7'!AR374</f>
        <v>0.1</v>
      </c>
      <c r="AS374" s="213" t="str">
        <f aca="false">IF(A375="","",1/(1+CHOOSE(F$3,(AR375+($I$3/10000))/2,(AR374+($I$3/10000))/2))^(2*AQ374/365.25))</f>
        <v/>
      </c>
      <c r="AT374" s="137" t="str">
        <f aca="false">IF(A375="","",IF(AND(mthbeg&lt;=A374,mthend&gt;=A374),1,0))</f>
        <v/>
      </c>
      <c r="AU374" s="137" t="str">
        <f aca="false">IF(A375="","",AO374*AT374)</f>
        <v/>
      </c>
      <c r="AW374" s="195" t="str">
        <f aca="false">IF($A375="","",AL374*$E374)</f>
        <v/>
      </c>
      <c r="AX374" s="195" t="str">
        <f aca="false">IF($A375="","",AM374*$E374)</f>
        <v/>
      </c>
      <c r="AY374" s="195" t="str">
        <f aca="false">IF($A375="","",AN374*$E374)</f>
        <v/>
      </c>
      <c r="BA374" s="195" t="str">
        <f aca="false">IF($A375="","",F374*Summary!$Q$8)</f>
        <v/>
      </c>
    </row>
    <row r="375" customFormat="false" ht="12.75" hidden="false" customHeight="false" outlineLevel="0" collapsed="false">
      <c r="A375" s="196" t="str">
        <f aca="false">IF(A374&lt;mthend,EDATE(A374,1),"")</f>
        <v/>
      </c>
      <c r="B375" s="197" t="n">
        <f aca="false">IF(A375&lt;mthend,B374,0)</f>
        <v>0</v>
      </c>
      <c r="D375" s="197" t="str">
        <f aca="false">IF(A376&lt;&gt;"",B375+C375,"")</f>
        <v/>
      </c>
      <c r="E375" s="199" t="str">
        <f aca="false">IF(A376="","",IF(AND(AT375=1,$H$3=1),D375*AO375,IF($H$3=2,D375,"N/A")))</f>
        <v/>
      </c>
      <c r="F375" s="199" t="str">
        <f aca="false">IF(A376="","",E375*AS375)</f>
        <v/>
      </c>
      <c r="G375" s="200" t="str">
        <f aca="false">IF($A376="","",VLOOKUP($A375,Table,MATCH(G$4,Curves,0)))</f>
        <v/>
      </c>
      <c r="H375" s="201" t="str">
        <f aca="false">IF(A376="","",G375)</f>
        <v/>
      </c>
      <c r="J375" s="200" t="str">
        <f aca="false">IF($A376="","",VLOOKUP($A375,Table,MATCH(J$4,Curves,0)))</f>
        <v/>
      </c>
      <c r="K375" s="201" t="str">
        <f aca="false">IF(A376="","",J375)</f>
        <v/>
      </c>
      <c r="L375" s="200" t="str">
        <f aca="false">IF($A376="","",VLOOKUP($A375,Table,MATCH(L$4,Curves,0)))</f>
        <v/>
      </c>
      <c r="M375" s="201" t="str">
        <f aca="false">IF(A376="","",L375)</f>
        <v/>
      </c>
      <c r="O375" s="200" t="str">
        <f aca="false">IF(A376="","",L375+J375+G375)</f>
        <v/>
      </c>
      <c r="P375" s="200" t="str">
        <f aca="false">IF(A376="","",M375+K375+H375)</f>
        <v/>
      </c>
      <c r="R375" s="200" t="str">
        <f aca="false">IF($A376="","",VLOOKUP($A375,Table,MATCH(R$4,Curves,0)))</f>
        <v/>
      </c>
      <c r="S375" s="201" t="str">
        <f aca="false">IF(A376="","",R375)</f>
        <v/>
      </c>
      <c r="T375" s="200" t="str">
        <f aca="false">IF($A376="","",VLOOKUP($A375,Table,MATCH(T$4,Curves,0)))</f>
        <v/>
      </c>
      <c r="U375" s="201" t="str">
        <f aca="false">IF(A376="","",T375)</f>
        <v/>
      </c>
      <c r="V375" s="183" t="str">
        <f aca="false">IF($A376="","",IF(AND(MONTH(A375)&gt;3,MONTH(A375)&lt;11),(T375+R375+G375)*Summary!$T$8/(1-Summary!$T$8),(T375+R375+G375)*Summary!$U$8/(1-Summary!$U$8)))</f>
        <v/>
      </c>
      <c r="W375" s="200" t="str">
        <f aca="false">IF($A376="","",(T375+R375+G375+V375))</f>
        <v/>
      </c>
      <c r="X375" s="200" t="str">
        <f aca="false">IF($A376="","",(U375+S375+H375+V375))</f>
        <v/>
      </c>
      <c r="Y375" s="202"/>
      <c r="Z375" s="185"/>
      <c r="AG375" s="182"/>
      <c r="AH375" s="182"/>
      <c r="AI375" s="182"/>
      <c r="AJ375" s="218"/>
      <c r="AK375" s="218"/>
      <c r="AL375" s="218"/>
      <c r="AM375" s="218"/>
      <c r="AN375" s="218"/>
      <c r="AO375" s="137" t="str">
        <f aca="false">IF(A376="","",A376-A375)</f>
        <v/>
      </c>
      <c r="AP375" s="212" t="str">
        <f aca="false">IF(A376="","",CHOOSE(F$3,A376+24,A375))</f>
        <v/>
      </c>
      <c r="AQ375" s="209" t="str">
        <f aca="false">IF(A376="","",AP375-$E$1)</f>
        <v/>
      </c>
      <c r="AR375" s="185" t="n">
        <f aca="false">'ANR OK vs ML7'!AR375</f>
        <v>0.1</v>
      </c>
      <c r="AS375" s="213" t="str">
        <f aca="false">IF(A376="","",1/(1+CHOOSE(F$3,(AR376+($I$3/10000))/2,(AR375+($I$3/10000))/2))^(2*AQ375/365.25))</f>
        <v/>
      </c>
      <c r="AT375" s="137" t="str">
        <f aca="false">IF(A376="","",IF(AND(mthbeg&lt;=A375,mthend&gt;=A375),1,0))</f>
        <v/>
      </c>
      <c r="AU375" s="137" t="str">
        <f aca="false">IF(A376="","",AO375*AT375)</f>
        <v/>
      </c>
      <c r="AW375" s="195" t="str">
        <f aca="false">IF($A376="","",AL375*$E375)</f>
        <v/>
      </c>
      <c r="AX375" s="195" t="str">
        <f aca="false">IF($A376="","",AM375*$E375)</f>
        <v/>
      </c>
      <c r="AY375" s="195" t="str">
        <f aca="false">IF($A376="","",AN375*$E375)</f>
        <v/>
      </c>
      <c r="BA375" s="195" t="str">
        <f aca="false">IF($A376="","",F375*Summary!$Q$8)</f>
        <v/>
      </c>
    </row>
    <row r="376" customFormat="false" ht="12.75" hidden="false" customHeight="false" outlineLevel="0" collapsed="false">
      <c r="A376" s="196" t="str">
        <f aca="false">IF(A375&lt;mthend,EDATE(A375,1),"")</f>
        <v/>
      </c>
      <c r="B376" s="197" t="n">
        <f aca="false">IF(A376&lt;mthend,B375,0)</f>
        <v>0</v>
      </c>
      <c r="D376" s="197" t="str">
        <f aca="false">IF(A377&lt;&gt;"",B376+C376,"")</f>
        <v/>
      </c>
      <c r="E376" s="199" t="str">
        <f aca="false">IF(A377="","",IF(AND(AT376=1,$H$3=1),D376*AO376,IF($H$3=2,D376,"N/A")))</f>
        <v/>
      </c>
      <c r="F376" s="199" t="str">
        <f aca="false">IF(A377="","",E376*AS376)</f>
        <v/>
      </c>
      <c r="G376" s="200" t="str">
        <f aca="false">IF($A377="","",VLOOKUP($A376,Table,MATCH(G$4,Curves,0)))</f>
        <v/>
      </c>
      <c r="H376" s="201" t="str">
        <f aca="false">IF(A377="","",G376)</f>
        <v/>
      </c>
      <c r="J376" s="200" t="str">
        <f aca="false">IF($A377="","",VLOOKUP($A376,Table,MATCH(J$4,Curves,0)))</f>
        <v/>
      </c>
      <c r="K376" s="201" t="str">
        <f aca="false">IF(A377="","",J376)</f>
        <v/>
      </c>
      <c r="L376" s="200" t="str">
        <f aca="false">IF($A377="","",VLOOKUP($A376,Table,MATCH(L$4,Curves,0)))</f>
        <v/>
      </c>
      <c r="M376" s="201" t="str">
        <f aca="false">IF(A377="","",L376)</f>
        <v/>
      </c>
      <c r="O376" s="200" t="str">
        <f aca="false">IF(A377="","",L376+J376+G376)</f>
        <v/>
      </c>
      <c r="P376" s="200" t="str">
        <f aca="false">IF(A377="","",M376+K376+H376)</f>
        <v/>
      </c>
      <c r="R376" s="200" t="str">
        <f aca="false">IF($A377="","",VLOOKUP($A376,Table,MATCH(R$4,Curves,0)))</f>
        <v/>
      </c>
      <c r="S376" s="201" t="str">
        <f aca="false">IF(A377="","",R376)</f>
        <v/>
      </c>
      <c r="T376" s="200" t="str">
        <f aca="false">IF($A377="","",VLOOKUP($A376,Table,MATCH(T$4,Curves,0)))</f>
        <v/>
      </c>
      <c r="U376" s="201" t="str">
        <f aca="false">IF(A377="","",T376)</f>
        <v/>
      </c>
      <c r="V376" s="183" t="str">
        <f aca="false">IF($A377="","",IF(AND(MONTH(A376)&gt;3,MONTH(A376)&lt;11),(T376+R376+G376)*Summary!$T$8/(1-Summary!$T$8),(T376+R376+G376)*Summary!$U$8/(1-Summary!$U$8)))</f>
        <v/>
      </c>
      <c r="W376" s="200" t="str">
        <f aca="false">IF($A377="","",(T376+R376+G376+V376))</f>
        <v/>
      </c>
      <c r="X376" s="200" t="str">
        <f aca="false">IF($A377="","",(U376+S376+H376+V376))</f>
        <v/>
      </c>
      <c r="Y376" s="202"/>
      <c r="Z376" s="185"/>
      <c r="AG376" s="182"/>
      <c r="AH376" s="182"/>
      <c r="AI376" s="182"/>
      <c r="AJ376" s="218"/>
      <c r="AK376" s="218"/>
      <c r="AL376" s="218"/>
      <c r="AM376" s="218"/>
      <c r="AN376" s="218"/>
      <c r="AO376" s="137" t="str">
        <f aca="false">IF(A377="","",A377-A376)</f>
        <v/>
      </c>
      <c r="AP376" s="212" t="str">
        <f aca="false">IF(A377="","",CHOOSE(F$3,A377+24,A376))</f>
        <v/>
      </c>
      <c r="AQ376" s="209" t="str">
        <f aca="false">IF(A377="","",AP376-$E$1)</f>
        <v/>
      </c>
      <c r="AR376" s="185" t="n">
        <f aca="false">'ANR OK vs ML7'!AR376</f>
        <v>0.1</v>
      </c>
      <c r="AS376" s="213" t="str">
        <f aca="false">IF(A377="","",1/(1+CHOOSE(F$3,(AR377+($I$3/10000))/2,(AR376+($I$3/10000))/2))^(2*AQ376/365.25))</f>
        <v/>
      </c>
      <c r="AT376" s="137" t="str">
        <f aca="false">IF(A377="","",IF(AND(mthbeg&lt;=A376,mthend&gt;=A376),1,0))</f>
        <v/>
      </c>
      <c r="AU376" s="137" t="str">
        <f aca="false">IF(A377="","",AO376*AT376)</f>
        <v/>
      </c>
      <c r="AW376" s="195" t="str">
        <f aca="false">IF($A377="","",AL376*$E376)</f>
        <v/>
      </c>
      <c r="AX376" s="195" t="str">
        <f aca="false">IF($A377="","",AM376*$E376)</f>
        <v/>
      </c>
      <c r="AY376" s="195" t="str">
        <f aca="false">IF($A377="","",AN376*$E376)</f>
        <v/>
      </c>
      <c r="BA376" s="195" t="str">
        <f aca="false">IF($A377="","",F376*Summary!$Q$8)</f>
        <v/>
      </c>
    </row>
    <row r="377" customFormat="false" ht="12.75" hidden="false" customHeight="false" outlineLevel="0" collapsed="false">
      <c r="A377" s="196" t="str">
        <f aca="false">IF(A376&lt;mthend,EDATE(A376,1),"")</f>
        <v/>
      </c>
      <c r="B377" s="197" t="n">
        <f aca="false">IF(A377&lt;mthend,B376,0)</f>
        <v>0</v>
      </c>
      <c r="D377" s="197" t="str">
        <f aca="false">IF(A378&lt;&gt;"",B377+C377,"")</f>
        <v/>
      </c>
      <c r="E377" s="199" t="str">
        <f aca="false">IF(A378="","",IF(AND(AT377=1,$H$3=1),D377*AO377,IF($H$3=2,D377,"N/A")))</f>
        <v/>
      </c>
      <c r="F377" s="199" t="str">
        <f aca="false">IF(A378="","",E377*AS377)</f>
        <v/>
      </c>
      <c r="G377" s="200" t="str">
        <f aca="false">IF($A378="","",VLOOKUP($A377,Table,MATCH(G$4,Curves,0)))</f>
        <v/>
      </c>
      <c r="H377" s="201" t="str">
        <f aca="false">IF(A378="","",G377)</f>
        <v/>
      </c>
      <c r="J377" s="200" t="str">
        <f aca="false">IF($A378="","",VLOOKUP($A377,Table,MATCH(J$4,Curves,0)))</f>
        <v/>
      </c>
      <c r="K377" s="201" t="str">
        <f aca="false">IF(A378="","",J377)</f>
        <v/>
      </c>
      <c r="L377" s="200" t="str">
        <f aca="false">IF($A378="","",VLOOKUP($A377,Table,MATCH(L$4,Curves,0)))</f>
        <v/>
      </c>
      <c r="M377" s="201" t="str">
        <f aca="false">IF(A378="","",L377)</f>
        <v/>
      </c>
      <c r="O377" s="200" t="str">
        <f aca="false">IF(A378="","",L377+J377+G377)</f>
        <v/>
      </c>
      <c r="P377" s="200" t="str">
        <f aca="false">IF(A378="","",M377+K377+H377)</f>
        <v/>
      </c>
      <c r="R377" s="200" t="str">
        <f aca="false">IF($A378="","",VLOOKUP($A377,Table,MATCH(R$4,Curves,0)))</f>
        <v/>
      </c>
      <c r="S377" s="201" t="str">
        <f aca="false">IF(A378="","",R377)</f>
        <v/>
      </c>
      <c r="T377" s="200" t="str">
        <f aca="false">IF($A378="","",VLOOKUP($A377,Table,MATCH(T$4,Curves,0)))</f>
        <v/>
      </c>
      <c r="U377" s="201" t="str">
        <f aca="false">IF(A378="","",T377)</f>
        <v/>
      </c>
      <c r="V377" s="183" t="str">
        <f aca="false">IF($A378="","",IF(AND(MONTH(A377)&gt;3,MONTH(A377)&lt;11),(T377+R377+G377)*Summary!$T$8/(1-Summary!$T$8),(T377+R377+G377)*Summary!$U$8/(1-Summary!$U$8)))</f>
        <v/>
      </c>
      <c r="W377" s="200" t="str">
        <f aca="false">IF($A378="","",(T377+R377+G377+V377))</f>
        <v/>
      </c>
      <c r="X377" s="200" t="str">
        <f aca="false">IF($A378="","",(U377+S377+H377+V377))</f>
        <v/>
      </c>
      <c r="Y377" s="202"/>
      <c r="Z377" s="185"/>
      <c r="AG377" s="182"/>
      <c r="AH377" s="182"/>
      <c r="AI377" s="182"/>
      <c r="AJ377" s="218"/>
      <c r="AK377" s="218"/>
      <c r="AL377" s="218"/>
      <c r="AM377" s="218"/>
      <c r="AN377" s="218"/>
      <c r="AO377" s="137" t="str">
        <f aca="false">IF(A378="","",A378-A377)</f>
        <v/>
      </c>
      <c r="AP377" s="212" t="str">
        <f aca="false">IF(A378="","",CHOOSE(F$3,A378+24,A377))</f>
        <v/>
      </c>
      <c r="AQ377" s="209" t="str">
        <f aca="false">IF(A378="","",AP377-$E$1)</f>
        <v/>
      </c>
      <c r="AR377" s="185" t="n">
        <f aca="false">'ANR OK vs ML7'!AR377</f>
        <v>0.1</v>
      </c>
      <c r="AS377" s="213" t="str">
        <f aca="false">IF(A378="","",1/(1+CHOOSE(F$3,(AR378+($I$3/10000))/2,(AR377+($I$3/10000))/2))^(2*AQ377/365.25))</f>
        <v/>
      </c>
      <c r="AT377" s="137" t="str">
        <f aca="false">IF(A378="","",IF(AND(mthbeg&lt;=A377,mthend&gt;=A377),1,0))</f>
        <v/>
      </c>
      <c r="AU377" s="137" t="str">
        <f aca="false">IF(A378="","",AO377*AT377)</f>
        <v/>
      </c>
      <c r="AW377" s="195" t="str">
        <f aca="false">IF($A378="","",AL377*$E377)</f>
        <v/>
      </c>
      <c r="AX377" s="195" t="str">
        <f aca="false">IF($A378="","",AM377*$E377)</f>
        <v/>
      </c>
      <c r="AY377" s="195" t="str">
        <f aca="false">IF($A378="","",AN377*$E377)</f>
        <v/>
      </c>
      <c r="BA377" s="195" t="str">
        <f aca="false">IF($A378="","",F377*Summary!$Q$8)</f>
        <v/>
      </c>
    </row>
    <row r="378" customFormat="false" ht="12.75" hidden="false" customHeight="false" outlineLevel="0" collapsed="false">
      <c r="A378" s="196" t="str">
        <f aca="false">IF(A377&lt;mthend,EDATE(A377,1),"")</f>
        <v/>
      </c>
      <c r="B378" s="197" t="n">
        <f aca="false">IF(A378&lt;mthend,B377,0)</f>
        <v>0</v>
      </c>
      <c r="D378" s="197" t="str">
        <f aca="false">IF(A379&lt;&gt;"",B378+C378,"")</f>
        <v/>
      </c>
      <c r="E378" s="199" t="str">
        <f aca="false">IF(A379="","",IF(AND(AT378=1,$H$3=1),D378*AO378,IF($H$3=2,D378,"N/A")))</f>
        <v/>
      </c>
      <c r="F378" s="199" t="str">
        <f aca="false">IF(A379="","",E378*AS378)</f>
        <v/>
      </c>
      <c r="G378" s="200" t="str">
        <f aca="false">IF($A379="","",VLOOKUP($A378,Table,MATCH(G$4,Curves,0)))</f>
        <v/>
      </c>
      <c r="H378" s="201" t="str">
        <f aca="false">IF(A379="","",G378)</f>
        <v/>
      </c>
      <c r="J378" s="200" t="str">
        <f aca="false">IF($A379="","",VLOOKUP($A378,Table,MATCH(J$4,Curves,0)))</f>
        <v/>
      </c>
      <c r="K378" s="201" t="str">
        <f aca="false">IF(A379="","",J378)</f>
        <v/>
      </c>
      <c r="L378" s="200" t="str">
        <f aca="false">IF($A379="","",VLOOKUP($A378,Table,MATCH(L$4,Curves,0)))</f>
        <v/>
      </c>
      <c r="M378" s="201" t="str">
        <f aca="false">IF(A379="","",L378)</f>
        <v/>
      </c>
      <c r="O378" s="200" t="str">
        <f aca="false">IF(A379="","",L378+J378+G378)</f>
        <v/>
      </c>
      <c r="P378" s="200" t="str">
        <f aca="false">IF(A379="","",M378+K378+H378)</f>
        <v/>
      </c>
      <c r="R378" s="200" t="str">
        <f aca="false">IF($A379="","",VLOOKUP($A378,Table,MATCH(R$4,Curves,0)))</f>
        <v/>
      </c>
      <c r="S378" s="201" t="str">
        <f aca="false">IF(A379="","",R378)</f>
        <v/>
      </c>
      <c r="T378" s="200" t="str">
        <f aca="false">IF($A379="","",VLOOKUP($A378,Table,MATCH(T$4,Curves,0)))</f>
        <v/>
      </c>
      <c r="U378" s="201" t="str">
        <f aca="false">IF(A379="","",T378)</f>
        <v/>
      </c>
      <c r="V378" s="183" t="str">
        <f aca="false">IF($A379="","",IF(AND(MONTH(A378)&gt;3,MONTH(A378)&lt;11),(T378+R378+G378)*Summary!$T$8/(1-Summary!$T$8),(T378+R378+G378)*Summary!$U$8/(1-Summary!$U$8)))</f>
        <v/>
      </c>
      <c r="W378" s="200" t="str">
        <f aca="false">IF($A379="","",(T378+R378+G378+V378))</f>
        <v/>
      </c>
      <c r="X378" s="200" t="str">
        <f aca="false">IF($A379="","",(U378+S378+H378+V378))</f>
        <v/>
      </c>
      <c r="Y378" s="202"/>
      <c r="Z378" s="185"/>
      <c r="AG378" s="182"/>
      <c r="AH378" s="182"/>
      <c r="AI378" s="182"/>
      <c r="AJ378" s="218"/>
      <c r="AK378" s="218"/>
      <c r="AL378" s="218"/>
      <c r="AM378" s="218"/>
      <c r="AN378" s="218"/>
      <c r="AO378" s="137" t="str">
        <f aca="false">IF(A379="","",A379-A378)</f>
        <v/>
      </c>
      <c r="AP378" s="212" t="str">
        <f aca="false">IF(A379="","",CHOOSE(F$3,A379+24,A378))</f>
        <v/>
      </c>
      <c r="AQ378" s="209" t="str">
        <f aca="false">IF(A379="","",AP378-$E$1)</f>
        <v/>
      </c>
      <c r="AR378" s="185" t="n">
        <f aca="false">'ANR OK vs ML7'!AR378</f>
        <v>0.1</v>
      </c>
      <c r="AS378" s="213" t="str">
        <f aca="false">IF(A379="","",1/(1+CHOOSE(F$3,(AR379+($I$3/10000))/2,(AR378+($I$3/10000))/2))^(2*AQ378/365.25))</f>
        <v/>
      </c>
      <c r="AT378" s="137" t="str">
        <f aca="false">IF(A379="","",IF(AND(mthbeg&lt;=A378,mthend&gt;=A378),1,0))</f>
        <v/>
      </c>
      <c r="AU378" s="137" t="str">
        <f aca="false">IF(A379="","",AO378*AT378)</f>
        <v/>
      </c>
      <c r="AW378" s="195" t="str">
        <f aca="false">IF($A379="","",AL378*$E378)</f>
        <v/>
      </c>
      <c r="AX378" s="195" t="str">
        <f aca="false">IF($A379="","",AM378*$E378)</f>
        <v/>
      </c>
      <c r="AY378" s="195" t="str">
        <f aca="false">IF($A379="","",AN378*$E378)</f>
        <v/>
      </c>
      <c r="BA378" s="195" t="str">
        <f aca="false">IF($A379="","",F378*Summary!$Q$8)</f>
        <v/>
      </c>
    </row>
    <row r="379" customFormat="false" ht="12.75" hidden="false" customHeight="false" outlineLevel="0" collapsed="false">
      <c r="A379" s="196" t="str">
        <f aca="false">IF(A378&lt;mthend,EDATE(A378,1),"")</f>
        <v/>
      </c>
      <c r="B379" s="197" t="n">
        <f aca="false">IF(A379&lt;mthend,B378,0)</f>
        <v>0</v>
      </c>
      <c r="D379" s="197" t="str">
        <f aca="false">IF(A380&lt;&gt;"",B379+C379,"")</f>
        <v/>
      </c>
      <c r="E379" s="199" t="str">
        <f aca="false">IF(A380="","",IF(AND(AT379=1,$H$3=1),D379*AO379,IF($H$3=2,D379,"N/A")))</f>
        <v/>
      </c>
      <c r="F379" s="199" t="str">
        <f aca="false">IF(A380="","",E379*AS379)</f>
        <v/>
      </c>
      <c r="G379" s="200" t="str">
        <f aca="false">IF($A380="","",VLOOKUP($A379,Table,MATCH(G$4,Curves,0)))</f>
        <v/>
      </c>
      <c r="H379" s="201" t="str">
        <f aca="false">IF(A380="","",G379)</f>
        <v/>
      </c>
      <c r="J379" s="200" t="str">
        <f aca="false">IF($A380="","",VLOOKUP($A379,Table,MATCH(J$4,Curves,0)))</f>
        <v/>
      </c>
      <c r="K379" s="201" t="str">
        <f aca="false">IF(A380="","",J379)</f>
        <v/>
      </c>
      <c r="L379" s="200" t="str">
        <f aca="false">IF($A380="","",VLOOKUP($A379,Table,MATCH(L$4,Curves,0)))</f>
        <v/>
      </c>
      <c r="M379" s="201" t="str">
        <f aca="false">IF(A380="","",L379)</f>
        <v/>
      </c>
      <c r="O379" s="200" t="str">
        <f aca="false">IF(A380="","",L379+J379+G379)</f>
        <v/>
      </c>
      <c r="P379" s="200" t="str">
        <f aca="false">IF(A380="","",M379+K379+H379)</f>
        <v/>
      </c>
      <c r="R379" s="200" t="str">
        <f aca="false">IF($A380="","",VLOOKUP($A379,Table,MATCH(R$4,Curves,0)))</f>
        <v/>
      </c>
      <c r="S379" s="201" t="str">
        <f aca="false">IF(A380="","",R379)</f>
        <v/>
      </c>
      <c r="T379" s="200" t="str">
        <f aca="false">IF($A380="","",VLOOKUP($A379,Table,MATCH(T$4,Curves,0)))</f>
        <v/>
      </c>
      <c r="U379" s="201" t="str">
        <f aca="false">IF(A380="","",T379)</f>
        <v/>
      </c>
      <c r="V379" s="183" t="str">
        <f aca="false">IF($A380="","",IF(AND(MONTH(A379)&gt;3,MONTH(A379)&lt;11),(T379+R379+G379)*Summary!$T$8/(1-Summary!$T$8),(T379+R379+G379)*Summary!$U$8/(1-Summary!$U$8)))</f>
        <v/>
      </c>
      <c r="W379" s="200" t="str">
        <f aca="false">IF($A380="","",(T379+R379+G379+V379))</f>
        <v/>
      </c>
      <c r="X379" s="200" t="str">
        <f aca="false">IF($A380="","",(U379+S379+H379+V379))</f>
        <v/>
      </c>
      <c r="Y379" s="202"/>
      <c r="Z379" s="185"/>
      <c r="AG379" s="182"/>
      <c r="AH379" s="182"/>
      <c r="AI379" s="182"/>
      <c r="AJ379" s="218"/>
      <c r="AK379" s="218"/>
      <c r="AL379" s="218"/>
      <c r="AM379" s="218"/>
      <c r="AN379" s="218"/>
      <c r="AO379" s="137" t="str">
        <f aca="false">IF(A380="","",A380-A379)</f>
        <v/>
      </c>
      <c r="AP379" s="212" t="str">
        <f aca="false">IF(A380="","",CHOOSE(F$3,A380+24,A379))</f>
        <v/>
      </c>
      <c r="AQ379" s="209" t="str">
        <f aca="false">IF(A380="","",AP379-$E$1)</f>
        <v/>
      </c>
      <c r="AR379" s="185" t="n">
        <f aca="false">'ANR OK vs ML7'!AR379</f>
        <v>0.1</v>
      </c>
      <c r="AS379" s="213" t="str">
        <f aca="false">IF(A380="","",1/(1+CHOOSE(F$3,(AR380+($I$3/10000))/2,(AR379+($I$3/10000))/2))^(2*AQ379/365.25))</f>
        <v/>
      </c>
      <c r="AT379" s="137" t="str">
        <f aca="false">IF(A380="","",IF(AND(mthbeg&lt;=A379,mthend&gt;=A379),1,0))</f>
        <v/>
      </c>
      <c r="AU379" s="137" t="str">
        <f aca="false">IF(A380="","",AO379*AT379)</f>
        <v/>
      </c>
      <c r="AW379" s="195" t="str">
        <f aca="false">IF($A380="","",AL379*$E379)</f>
        <v/>
      </c>
      <c r="AX379" s="195" t="str">
        <f aca="false">IF($A380="","",AM379*$E379)</f>
        <v/>
      </c>
      <c r="AY379" s="195" t="str">
        <f aca="false">IF($A380="","",AN379*$E379)</f>
        <v/>
      </c>
      <c r="BA379" s="195" t="str">
        <f aca="false">IF($A380="","",F379*Summary!$Q$8)</f>
        <v/>
      </c>
    </row>
    <row r="380" customFormat="false" ht="12.75" hidden="false" customHeight="false" outlineLevel="0" collapsed="false">
      <c r="A380" s="196" t="str">
        <f aca="false">IF(A379&lt;mthend,EDATE(A379,1),"")</f>
        <v/>
      </c>
      <c r="B380" s="197" t="n">
        <f aca="false">IF(A380&lt;mthend,B379,0)</f>
        <v>0</v>
      </c>
      <c r="D380" s="197" t="str">
        <f aca="false">IF(A381&lt;&gt;"",B380+C380,"")</f>
        <v/>
      </c>
      <c r="E380" s="199" t="str">
        <f aca="false">IF(A381="","",IF(AND(AT380=1,$H$3=1),D380*AO380,IF($H$3=2,D380,"N/A")))</f>
        <v/>
      </c>
      <c r="F380" s="199" t="str">
        <f aca="false">IF(A381="","",E380*AS380)</f>
        <v/>
      </c>
      <c r="G380" s="200" t="str">
        <f aca="false">IF($A381="","",VLOOKUP($A380,Table,MATCH(G$4,Curves,0)))</f>
        <v/>
      </c>
      <c r="H380" s="201" t="str">
        <f aca="false">IF(A381="","",G380)</f>
        <v/>
      </c>
      <c r="J380" s="200" t="str">
        <f aca="false">IF($A381="","",VLOOKUP($A380,Table,MATCH(J$4,Curves,0)))</f>
        <v/>
      </c>
      <c r="K380" s="201" t="str">
        <f aca="false">IF(A381="","",J380)</f>
        <v/>
      </c>
      <c r="L380" s="200" t="str">
        <f aca="false">IF($A381="","",VLOOKUP($A380,Table,MATCH(L$4,Curves,0)))</f>
        <v/>
      </c>
      <c r="M380" s="201" t="str">
        <f aca="false">IF(A381="","",L380)</f>
        <v/>
      </c>
      <c r="O380" s="200" t="str">
        <f aca="false">IF(A381="","",L380+J380+G380)</f>
        <v/>
      </c>
      <c r="P380" s="200" t="str">
        <f aca="false">IF(A381="","",M380+K380+H380)</f>
        <v/>
      </c>
      <c r="R380" s="200" t="str">
        <f aca="false">IF($A381="","",VLOOKUP($A380,Table,MATCH(R$4,Curves,0)))</f>
        <v/>
      </c>
      <c r="S380" s="201" t="str">
        <f aca="false">IF(A381="","",R380)</f>
        <v/>
      </c>
      <c r="T380" s="200" t="str">
        <f aca="false">IF($A381="","",VLOOKUP($A380,Table,MATCH(T$4,Curves,0)))</f>
        <v/>
      </c>
      <c r="U380" s="201" t="str">
        <f aca="false">IF(A381="","",T380)</f>
        <v/>
      </c>
      <c r="V380" s="183" t="str">
        <f aca="false">IF($A381="","",IF(AND(MONTH(A380)&gt;3,MONTH(A380)&lt;11),(T380+R380+G380)*Summary!$T$8/(1-Summary!$T$8),(T380+R380+G380)*Summary!$U$8/(1-Summary!$U$8)))</f>
        <v/>
      </c>
      <c r="W380" s="200" t="str">
        <f aca="false">IF($A381="","",(T380+R380+G380+V380))</f>
        <v/>
      </c>
      <c r="X380" s="200" t="str">
        <f aca="false">IF($A381="","",(U380+S380+H380+V380))</f>
        <v/>
      </c>
      <c r="Y380" s="202"/>
      <c r="Z380" s="185"/>
      <c r="AG380" s="182"/>
      <c r="AH380" s="182"/>
      <c r="AI380" s="182"/>
      <c r="AJ380" s="218"/>
      <c r="AK380" s="218"/>
      <c r="AL380" s="218"/>
      <c r="AM380" s="218"/>
      <c r="AN380" s="218"/>
      <c r="AO380" s="137" t="str">
        <f aca="false">IF(A381="","",A381-A380)</f>
        <v/>
      </c>
      <c r="AP380" s="212" t="str">
        <f aca="false">IF(A381="","",CHOOSE(F$3,A381+24,A380))</f>
        <v/>
      </c>
      <c r="AQ380" s="209" t="str">
        <f aca="false">IF(A381="","",AP380-$E$1)</f>
        <v/>
      </c>
      <c r="AR380" s="185" t="n">
        <f aca="false">'ANR OK vs ML7'!AR380</f>
        <v>0.1</v>
      </c>
      <c r="AS380" s="213" t="str">
        <f aca="false">IF(A381="","",1/(1+CHOOSE(F$3,(AR381+($I$3/10000))/2,(AR380+($I$3/10000))/2))^(2*AQ380/365.25))</f>
        <v/>
      </c>
      <c r="AT380" s="137" t="str">
        <f aca="false">IF(A381="","",IF(AND(mthbeg&lt;=A380,mthend&gt;=A380),1,0))</f>
        <v/>
      </c>
      <c r="AU380" s="137" t="str">
        <f aca="false">IF(A381="","",AO380*AT380)</f>
        <v/>
      </c>
      <c r="AW380" s="195" t="str">
        <f aca="false">IF($A381="","",AL380*$E380)</f>
        <v/>
      </c>
      <c r="AX380" s="195" t="str">
        <f aca="false">IF($A381="","",AM380*$E380)</f>
        <v/>
      </c>
      <c r="AY380" s="195" t="str">
        <f aca="false">IF($A381="","",AN380*$E380)</f>
        <v/>
      </c>
      <c r="BA380" s="195" t="str">
        <f aca="false">IF($A381="","",F380*Summary!$Q$8)</f>
        <v/>
      </c>
    </row>
    <row r="381" customFormat="false" ht="12.75" hidden="false" customHeight="false" outlineLevel="0" collapsed="false">
      <c r="A381" s="196" t="str">
        <f aca="false">IF(A380&lt;mthend,EDATE(A380,1),"")</f>
        <v/>
      </c>
      <c r="B381" s="197" t="n">
        <f aca="false">IF(A381&lt;mthend,B380,0)</f>
        <v>0</v>
      </c>
      <c r="D381" s="197" t="str">
        <f aca="false">IF(A382&lt;&gt;"",B381+C381,"")</f>
        <v/>
      </c>
      <c r="E381" s="199" t="str">
        <f aca="false">IF(A382="","",IF(AND(AT381=1,$H$3=1),D381*AO381,IF($H$3=2,D381,"N/A")))</f>
        <v/>
      </c>
      <c r="F381" s="199" t="str">
        <f aca="false">IF(A382="","",E381*AS381)</f>
        <v/>
      </c>
      <c r="G381" s="200" t="str">
        <f aca="false">IF($A382="","",VLOOKUP($A381,Table,MATCH(G$4,Curves,0)))</f>
        <v/>
      </c>
      <c r="H381" s="201" t="str">
        <f aca="false">IF(A382="","",G381)</f>
        <v/>
      </c>
      <c r="J381" s="200" t="str">
        <f aca="false">IF($A382="","",VLOOKUP($A381,Table,MATCH(J$4,Curves,0)))</f>
        <v/>
      </c>
      <c r="K381" s="201" t="str">
        <f aca="false">IF(A382="","",J381)</f>
        <v/>
      </c>
      <c r="L381" s="200" t="str">
        <f aca="false">IF($A382="","",VLOOKUP($A381,Table,MATCH(L$4,Curves,0)))</f>
        <v/>
      </c>
      <c r="M381" s="201" t="str">
        <f aca="false">IF(A382="","",L381)</f>
        <v/>
      </c>
      <c r="O381" s="200" t="str">
        <f aca="false">IF(A382="","",L381+J381+G381)</f>
        <v/>
      </c>
      <c r="P381" s="200" t="str">
        <f aca="false">IF(A382="","",M381+K381+H381)</f>
        <v/>
      </c>
      <c r="R381" s="200" t="str">
        <f aca="false">IF($A382="","",VLOOKUP($A381,Table,MATCH(R$4,Curves,0)))</f>
        <v/>
      </c>
      <c r="S381" s="201" t="str">
        <f aca="false">IF(A382="","",R381)</f>
        <v/>
      </c>
      <c r="T381" s="200" t="str">
        <f aca="false">IF($A382="","",VLOOKUP($A381,Table,MATCH(T$4,Curves,0)))</f>
        <v/>
      </c>
      <c r="U381" s="201" t="str">
        <f aca="false">IF(A382="","",T381)</f>
        <v/>
      </c>
      <c r="V381" s="183" t="str">
        <f aca="false">IF($A382="","",IF(AND(MONTH(A381)&gt;3,MONTH(A381)&lt;11),(T381+R381+G381)*Summary!$T$8/(1-Summary!$T$8),(T381+R381+G381)*Summary!$U$8/(1-Summary!$U$8)))</f>
        <v/>
      </c>
      <c r="W381" s="200" t="str">
        <f aca="false">IF($A382="","",(T381+R381+G381+V381))</f>
        <v/>
      </c>
      <c r="X381" s="200" t="str">
        <f aca="false">IF($A382="","",(U381+S381+H381+V381))</f>
        <v/>
      </c>
      <c r="Y381" s="202"/>
      <c r="Z381" s="185"/>
      <c r="AG381" s="182"/>
      <c r="AH381" s="182"/>
      <c r="AI381" s="182"/>
      <c r="AJ381" s="218"/>
      <c r="AK381" s="218"/>
      <c r="AL381" s="218"/>
      <c r="AM381" s="218"/>
      <c r="AN381" s="218"/>
      <c r="AO381" s="137" t="str">
        <f aca="false">IF(A382="","",A382-A381)</f>
        <v/>
      </c>
      <c r="AP381" s="212" t="str">
        <f aca="false">IF(A382="","",CHOOSE(F$3,A382+24,A381))</f>
        <v/>
      </c>
      <c r="AQ381" s="209" t="str">
        <f aca="false">IF(A382="","",AP381-$E$1)</f>
        <v/>
      </c>
      <c r="AR381" s="185" t="n">
        <f aca="false">'ANR OK vs ML7'!AR381</f>
        <v>0.1</v>
      </c>
      <c r="AS381" s="213" t="str">
        <f aca="false">IF(A382="","",1/(1+CHOOSE(F$3,(AR382+($I$3/10000))/2,(AR381+($I$3/10000))/2))^(2*AQ381/365.25))</f>
        <v/>
      </c>
      <c r="AT381" s="137" t="str">
        <f aca="false">IF(A382="","",IF(AND(mthbeg&lt;=A381,mthend&gt;=A381),1,0))</f>
        <v/>
      </c>
      <c r="AU381" s="137" t="str">
        <f aca="false">IF(A382="","",AO381*AT381)</f>
        <v/>
      </c>
      <c r="AW381" s="195" t="str">
        <f aca="false">IF($A382="","",AL381*$E381)</f>
        <v/>
      </c>
      <c r="AX381" s="195" t="str">
        <f aca="false">IF($A382="","",AM381*$E381)</f>
        <v/>
      </c>
      <c r="AY381" s="195" t="str">
        <f aca="false">IF($A382="","",AN381*$E381)</f>
        <v/>
      </c>
      <c r="BA381" s="195" t="str">
        <f aca="false">IF($A382="","",F381*Summary!$Q$8)</f>
        <v/>
      </c>
    </row>
    <row r="382" customFormat="false" ht="12.75" hidden="false" customHeight="false" outlineLevel="0" collapsed="false">
      <c r="A382" s="196" t="str">
        <f aca="false">IF(A381&lt;mthend,EDATE(A381,1),"")</f>
        <v/>
      </c>
      <c r="B382" s="197" t="n">
        <f aca="false">IF(A382&lt;mthend,B381,0)</f>
        <v>0</v>
      </c>
      <c r="D382" s="197" t="str">
        <f aca="false">IF(A383&lt;&gt;"",B382+C382,"")</f>
        <v/>
      </c>
      <c r="E382" s="199" t="str">
        <f aca="false">IF(A383="","",IF(AND(AT382=1,$H$3=1),D382*AO382,IF($H$3=2,D382,"N/A")))</f>
        <v/>
      </c>
      <c r="F382" s="199" t="str">
        <f aca="false">IF(A383="","",E382*AS382)</f>
        <v/>
      </c>
      <c r="G382" s="200" t="str">
        <f aca="false">IF($A383="","",VLOOKUP($A382,Table,MATCH(G$4,Curves,0)))</f>
        <v/>
      </c>
      <c r="H382" s="201" t="str">
        <f aca="false">IF(A383="","",G382)</f>
        <v/>
      </c>
      <c r="J382" s="200" t="str">
        <f aca="false">IF($A383="","",VLOOKUP($A382,Table,MATCH(J$4,Curves,0)))</f>
        <v/>
      </c>
      <c r="K382" s="201" t="str">
        <f aca="false">IF(A383="","",J382)</f>
        <v/>
      </c>
      <c r="L382" s="200" t="str">
        <f aca="false">IF($A383="","",VLOOKUP($A382,Table,MATCH(L$4,Curves,0)))</f>
        <v/>
      </c>
      <c r="M382" s="201" t="str">
        <f aca="false">IF(A383="","",L382)</f>
        <v/>
      </c>
      <c r="O382" s="200" t="str">
        <f aca="false">IF(A383="","",L382+J382+G382)</f>
        <v/>
      </c>
      <c r="P382" s="200" t="str">
        <f aca="false">IF(A383="","",M382+K382+H382)</f>
        <v/>
      </c>
      <c r="R382" s="200" t="str">
        <f aca="false">IF($A383="","",VLOOKUP($A382,Table,MATCH(R$4,Curves,0)))</f>
        <v/>
      </c>
      <c r="S382" s="201" t="str">
        <f aca="false">IF(A383="","",R382)</f>
        <v/>
      </c>
      <c r="T382" s="200" t="str">
        <f aca="false">IF($A383="","",VLOOKUP($A382,Table,MATCH(T$4,Curves,0)))</f>
        <v/>
      </c>
      <c r="U382" s="201" t="str">
        <f aca="false">IF(A383="","",T382)</f>
        <v/>
      </c>
      <c r="V382" s="183" t="str">
        <f aca="false">IF($A383="","",IF(AND(MONTH(A382)&gt;3,MONTH(A382)&lt;11),(T382+R382+G382)*Summary!$T$8/(1-Summary!$T$8),(T382+R382+G382)*Summary!$U$8/(1-Summary!$U$8)))</f>
        <v/>
      </c>
      <c r="W382" s="200" t="str">
        <f aca="false">IF($A383="","",(T382+R382+G382+V382))</f>
        <v/>
      </c>
      <c r="X382" s="200" t="str">
        <f aca="false">IF($A383="","",(U382+S382+H382+V382))</f>
        <v/>
      </c>
      <c r="Y382" s="202"/>
      <c r="Z382" s="185"/>
      <c r="AG382" s="182"/>
      <c r="AH382" s="182"/>
      <c r="AI382" s="182"/>
      <c r="AJ382" s="218"/>
      <c r="AK382" s="218"/>
      <c r="AL382" s="218"/>
      <c r="AM382" s="218"/>
      <c r="AN382" s="218"/>
      <c r="AO382" s="137" t="str">
        <f aca="false">IF(A383="","",A383-A382)</f>
        <v/>
      </c>
      <c r="AP382" s="212" t="str">
        <f aca="false">IF(A383="","",CHOOSE(F$3,A383+24,A382))</f>
        <v/>
      </c>
      <c r="AQ382" s="209" t="str">
        <f aca="false">IF(A383="","",AP382-$E$1)</f>
        <v/>
      </c>
      <c r="AR382" s="185" t="n">
        <f aca="false">'ANR OK vs ML7'!AR382</f>
        <v>0.1</v>
      </c>
      <c r="AS382" s="213" t="str">
        <f aca="false">IF(A383="","",1/(1+CHOOSE(F$3,(AR383+($I$3/10000))/2,(AR382+($I$3/10000))/2))^(2*AQ382/365.25))</f>
        <v/>
      </c>
      <c r="AT382" s="137" t="str">
        <f aca="false">IF(A383="","",IF(AND(mthbeg&lt;=A382,mthend&gt;=A382),1,0))</f>
        <v/>
      </c>
      <c r="AU382" s="137" t="str">
        <f aca="false">IF(A383="","",AO382*AT382)</f>
        <v/>
      </c>
      <c r="AW382" s="195" t="str">
        <f aca="false">IF($A383="","",AL382*$E382)</f>
        <v/>
      </c>
      <c r="AX382" s="195" t="str">
        <f aca="false">IF($A383="","",AM382*$E382)</f>
        <v/>
      </c>
      <c r="AY382" s="195" t="str">
        <f aca="false">IF($A383="","",AN382*$E382)</f>
        <v/>
      </c>
      <c r="BA382" s="195" t="str">
        <f aca="false">IF($A383="","",F382*Summary!$Q$8)</f>
        <v/>
      </c>
    </row>
    <row r="383" customFormat="false" ht="12.75" hidden="false" customHeight="false" outlineLevel="0" collapsed="false">
      <c r="A383" s="196" t="str">
        <f aca="false">IF(A382&lt;mthend,EDATE(A382,1),"")</f>
        <v/>
      </c>
      <c r="B383" s="197" t="n">
        <f aca="false">IF(A383&lt;mthend,B382,0)</f>
        <v>0</v>
      </c>
      <c r="D383" s="197" t="str">
        <f aca="false">IF(A384&lt;&gt;"",B383+C383,"")</f>
        <v/>
      </c>
      <c r="E383" s="199" t="str">
        <f aca="false">IF(A384="","",IF(AND(AT383=1,$H$3=1),D383*AO383,IF($H$3=2,D383,"N/A")))</f>
        <v/>
      </c>
      <c r="F383" s="199" t="str">
        <f aca="false">IF(A384="","",E383*AS383)</f>
        <v/>
      </c>
      <c r="G383" s="200" t="str">
        <f aca="false">IF($A384="","",VLOOKUP($A383,Table,MATCH(G$4,Curves,0)))</f>
        <v/>
      </c>
      <c r="H383" s="201" t="str">
        <f aca="false">IF(A384="","",G383)</f>
        <v/>
      </c>
      <c r="J383" s="200" t="str">
        <f aca="false">IF($A384="","",VLOOKUP($A383,Table,MATCH(J$4,Curves,0)))</f>
        <v/>
      </c>
      <c r="K383" s="201" t="str">
        <f aca="false">IF(A384="","",J383)</f>
        <v/>
      </c>
      <c r="L383" s="200" t="str">
        <f aca="false">IF($A384="","",VLOOKUP($A383,Table,MATCH(L$4,Curves,0)))</f>
        <v/>
      </c>
      <c r="M383" s="201" t="str">
        <f aca="false">IF(A384="","",L383)</f>
        <v/>
      </c>
      <c r="O383" s="200" t="str">
        <f aca="false">IF(A384="","",L383+J383+G383)</f>
        <v/>
      </c>
      <c r="P383" s="200" t="str">
        <f aca="false">IF(A384="","",M383+K383+H383)</f>
        <v/>
      </c>
      <c r="R383" s="200" t="str">
        <f aca="false">IF($A384="","",VLOOKUP($A383,Table,MATCH(R$4,Curves,0)))</f>
        <v/>
      </c>
      <c r="S383" s="201" t="str">
        <f aca="false">IF(A384="","",R383)</f>
        <v/>
      </c>
      <c r="T383" s="200" t="str">
        <f aca="false">IF($A384="","",VLOOKUP($A383,Table,MATCH(T$4,Curves,0)))</f>
        <v/>
      </c>
      <c r="U383" s="201" t="str">
        <f aca="false">IF(A384="","",T383)</f>
        <v/>
      </c>
      <c r="V383" s="183" t="str">
        <f aca="false">IF($A384="","",IF(AND(MONTH(A383)&gt;3,MONTH(A383)&lt;11),(T383+R383+G383)*Summary!$T$8/(1-Summary!$T$8),(T383+R383+G383)*Summary!$U$8/(1-Summary!$U$8)))</f>
        <v/>
      </c>
      <c r="W383" s="200" t="str">
        <f aca="false">IF($A384="","",(T383+R383+G383+V383))</f>
        <v/>
      </c>
      <c r="X383" s="200" t="str">
        <f aca="false">IF($A384="","",(U383+S383+H383+V383))</f>
        <v/>
      </c>
      <c r="Y383" s="202"/>
      <c r="Z383" s="185"/>
      <c r="AG383" s="182"/>
      <c r="AH383" s="182"/>
      <c r="AI383" s="182"/>
      <c r="AJ383" s="218"/>
      <c r="AK383" s="218"/>
      <c r="AL383" s="218"/>
      <c r="AM383" s="218"/>
      <c r="AN383" s="218"/>
      <c r="AO383" s="137" t="str">
        <f aca="false">IF(A384="","",A384-A383)</f>
        <v/>
      </c>
      <c r="AP383" s="212" t="str">
        <f aca="false">IF(A384="","",CHOOSE(F$3,A384+24,A383))</f>
        <v/>
      </c>
      <c r="AQ383" s="209" t="str">
        <f aca="false">IF(A384="","",AP383-$E$1)</f>
        <v/>
      </c>
      <c r="AR383" s="185" t="n">
        <f aca="false">'ANR OK vs ML7'!AR383</f>
        <v>0.1</v>
      </c>
      <c r="AS383" s="213" t="str">
        <f aca="false">IF(A384="","",1/(1+CHOOSE(F$3,(AR384+($I$3/10000))/2,(AR383+($I$3/10000))/2))^(2*AQ383/365.25))</f>
        <v/>
      </c>
      <c r="AT383" s="137" t="str">
        <f aca="false">IF(A384="","",IF(AND(mthbeg&lt;=A383,mthend&gt;=A383),1,0))</f>
        <v/>
      </c>
      <c r="AU383" s="137" t="str">
        <f aca="false">IF(A384="","",AO383*AT383)</f>
        <v/>
      </c>
      <c r="AW383" s="195" t="str">
        <f aca="false">IF($A384="","",AL383*$E383)</f>
        <v/>
      </c>
      <c r="AX383" s="195" t="str">
        <f aca="false">IF($A384="","",AM383*$E383)</f>
        <v/>
      </c>
      <c r="AY383" s="195" t="str">
        <f aca="false">IF($A384="","",AN383*$E383)</f>
        <v/>
      </c>
      <c r="BA383" s="195" t="str">
        <f aca="false">IF($A384="","",F383*Summary!$Q$8)</f>
        <v/>
      </c>
    </row>
    <row r="384" customFormat="false" ht="12.75" hidden="false" customHeight="false" outlineLevel="0" collapsed="false">
      <c r="A384" s="196" t="str">
        <f aca="false">IF(A383&lt;mthend,EDATE(A383,1),"")</f>
        <v/>
      </c>
      <c r="B384" s="197" t="n">
        <f aca="false">IF(A384&lt;mthend,B383,0)</f>
        <v>0</v>
      </c>
      <c r="D384" s="197" t="str">
        <f aca="false">IF(A385&lt;&gt;"",B384+C384,"")</f>
        <v/>
      </c>
      <c r="E384" s="199" t="str">
        <f aca="false">IF(A385="","",IF(AND(AT384=1,$H$3=1),D384*AO384,IF($H$3=2,D384,"N/A")))</f>
        <v/>
      </c>
      <c r="F384" s="199" t="str">
        <f aca="false">IF(A385="","",E384*AS384)</f>
        <v/>
      </c>
      <c r="G384" s="200" t="str">
        <f aca="false">IF($A385="","",VLOOKUP($A384,Table,MATCH(G$4,Curves,0)))</f>
        <v/>
      </c>
      <c r="H384" s="201" t="str">
        <f aca="false">IF(A385="","",G384)</f>
        <v/>
      </c>
      <c r="J384" s="200" t="str">
        <f aca="false">IF($A385="","",VLOOKUP($A384,Table,MATCH(J$4,Curves,0)))</f>
        <v/>
      </c>
      <c r="K384" s="201" t="str">
        <f aca="false">IF(A385="","",J384)</f>
        <v/>
      </c>
      <c r="L384" s="200" t="str">
        <f aca="false">IF($A385="","",VLOOKUP($A384,Table,MATCH(L$4,Curves,0)))</f>
        <v/>
      </c>
      <c r="M384" s="201" t="str">
        <f aca="false">IF(A385="","",L384)</f>
        <v/>
      </c>
      <c r="O384" s="200" t="str">
        <f aca="false">IF(A385="","",L384+J384+G384)</f>
        <v/>
      </c>
      <c r="P384" s="200" t="str">
        <f aca="false">IF(A385="","",M384+K384+H384)</f>
        <v/>
      </c>
      <c r="R384" s="200" t="str">
        <f aca="false">IF($A385="","",VLOOKUP($A384,Table,MATCH(R$4,Curves,0)))</f>
        <v/>
      </c>
      <c r="S384" s="201" t="str">
        <f aca="false">IF(A385="","",R384)</f>
        <v/>
      </c>
      <c r="T384" s="200" t="str">
        <f aca="false">IF($A385="","",VLOOKUP($A384,Table,MATCH(T$4,Curves,0)))</f>
        <v/>
      </c>
      <c r="U384" s="201" t="str">
        <f aca="false">IF(A385="","",T384)</f>
        <v/>
      </c>
      <c r="V384" s="183" t="str">
        <f aca="false">IF($A385="","",IF(AND(MONTH(A384)&gt;3,MONTH(A384)&lt;11),(T384+R384+G384)*Summary!$T$8/(1-Summary!$T$8),(T384+R384+G384)*Summary!$U$8/(1-Summary!$U$8)))</f>
        <v/>
      </c>
      <c r="W384" s="200" t="str">
        <f aca="false">IF($A385="","",(T384+R384+G384+V384))</f>
        <v/>
      </c>
      <c r="X384" s="200" t="str">
        <f aca="false">IF($A385="","",(U384+S384+H384+V384))</f>
        <v/>
      </c>
      <c r="Y384" s="202"/>
      <c r="Z384" s="185"/>
      <c r="AG384" s="182"/>
      <c r="AH384" s="182"/>
      <c r="AI384" s="182"/>
      <c r="AJ384" s="218"/>
      <c r="AK384" s="218"/>
      <c r="AL384" s="218"/>
      <c r="AM384" s="218"/>
      <c r="AN384" s="218"/>
      <c r="AO384" s="137" t="str">
        <f aca="false">IF(A385="","",A385-A384)</f>
        <v/>
      </c>
      <c r="AP384" s="212" t="str">
        <f aca="false">IF(A385="","",CHOOSE(F$3,A385+24,A384))</f>
        <v/>
      </c>
      <c r="AQ384" s="209" t="str">
        <f aca="false">IF(A385="","",AP384-$E$1)</f>
        <v/>
      </c>
      <c r="AR384" s="185" t="n">
        <f aca="false">'ANR OK vs ML7'!AR384</f>
        <v>0.1</v>
      </c>
      <c r="AS384" s="213" t="str">
        <f aca="false">IF(A385="","",1/(1+CHOOSE(F$3,(AR385+($I$3/10000))/2,(AR384+($I$3/10000))/2))^(2*AQ384/365.25))</f>
        <v/>
      </c>
      <c r="AT384" s="137" t="str">
        <f aca="false">IF(A385="","",IF(AND(mthbeg&lt;=A384,mthend&gt;=A384),1,0))</f>
        <v/>
      </c>
      <c r="AU384" s="137" t="str">
        <f aca="false">IF(A385="","",AO384*AT384)</f>
        <v/>
      </c>
      <c r="AW384" s="195" t="str">
        <f aca="false">IF($A385="","",AL384*$E384)</f>
        <v/>
      </c>
      <c r="AX384" s="195" t="str">
        <f aca="false">IF($A385="","",AM384*$E384)</f>
        <v/>
      </c>
      <c r="AY384" s="195" t="str">
        <f aca="false">IF($A385="","",AN384*$E384)</f>
        <v/>
      </c>
      <c r="BA384" s="195" t="str">
        <f aca="false">IF($A385="","",F384*Summary!$Q$8)</f>
        <v/>
      </c>
    </row>
    <row r="385" customFormat="false" ht="12.75" hidden="false" customHeight="false" outlineLevel="0" collapsed="false">
      <c r="A385" s="196" t="str">
        <f aca="false">IF(A384&lt;mthend,EDATE(A384,1),"")</f>
        <v/>
      </c>
      <c r="B385" s="197" t="n">
        <f aca="false">IF(A385&lt;mthend,B384,0)</f>
        <v>0</v>
      </c>
      <c r="D385" s="197" t="str">
        <f aca="false">IF(A386&lt;&gt;"",B385+C385,"")</f>
        <v/>
      </c>
      <c r="E385" s="199" t="str">
        <f aca="false">IF(A386="","",IF(AND(AT385=1,$H$3=1),D385*AO385,IF($H$3=2,D385,"N/A")))</f>
        <v/>
      </c>
      <c r="F385" s="199" t="str">
        <f aca="false">IF(A386="","",E385*AS385)</f>
        <v/>
      </c>
      <c r="G385" s="200" t="str">
        <f aca="false">IF($A386="","",VLOOKUP($A385,Table,MATCH(G$4,Curves,0)))</f>
        <v/>
      </c>
      <c r="H385" s="201" t="str">
        <f aca="false">IF(A386="","",G385)</f>
        <v/>
      </c>
      <c r="J385" s="200" t="str">
        <f aca="false">IF($A386="","",VLOOKUP($A385,Table,MATCH(J$4,Curves,0)))</f>
        <v/>
      </c>
      <c r="K385" s="201" t="str">
        <f aca="false">IF(A386="","",J385)</f>
        <v/>
      </c>
      <c r="L385" s="200" t="str">
        <f aca="false">IF($A386="","",VLOOKUP($A385,Table,MATCH(L$4,Curves,0)))</f>
        <v/>
      </c>
      <c r="M385" s="201" t="str">
        <f aca="false">IF(A386="","",L385)</f>
        <v/>
      </c>
      <c r="O385" s="200" t="str">
        <f aca="false">IF(A386="","",L385+J385+G385)</f>
        <v/>
      </c>
      <c r="P385" s="200" t="str">
        <f aca="false">IF(A386="","",M385+K385+H385)</f>
        <v/>
      </c>
      <c r="R385" s="200" t="str">
        <f aca="false">IF($A386="","",VLOOKUP($A385,Table,MATCH(R$4,Curves,0)))</f>
        <v/>
      </c>
      <c r="S385" s="201" t="str">
        <f aca="false">IF(A386="","",R385)</f>
        <v/>
      </c>
      <c r="T385" s="200" t="str">
        <f aca="false">IF($A386="","",VLOOKUP($A385,Table,MATCH(T$4,Curves,0)))</f>
        <v/>
      </c>
      <c r="U385" s="201" t="str">
        <f aca="false">IF(A386="","",T385)</f>
        <v/>
      </c>
      <c r="V385" s="183" t="str">
        <f aca="false">IF($A386="","",IF(AND(MONTH(A385)&gt;3,MONTH(A385)&lt;11),(T385+R385+G385)*Summary!$T$8/(1-Summary!$T$8),(T385+R385+G385)*Summary!$U$8/(1-Summary!$U$8)))</f>
        <v/>
      </c>
      <c r="W385" s="200" t="str">
        <f aca="false">IF($A386="","",(T385+R385+G385+V385))</f>
        <v/>
      </c>
      <c r="X385" s="200" t="str">
        <f aca="false">IF($A386="","",(U385+S385+H385+V385))</f>
        <v/>
      </c>
      <c r="Y385" s="202"/>
      <c r="Z385" s="185"/>
      <c r="AG385" s="182"/>
      <c r="AH385" s="182"/>
      <c r="AI385" s="182"/>
      <c r="AJ385" s="218"/>
      <c r="AK385" s="218"/>
      <c r="AL385" s="218"/>
      <c r="AM385" s="218"/>
      <c r="AN385" s="218"/>
      <c r="AO385" s="137" t="str">
        <f aca="false">IF(A386="","",A386-A385)</f>
        <v/>
      </c>
      <c r="AP385" s="212" t="str">
        <f aca="false">IF(A386="","",CHOOSE(F$3,A386+24,A385))</f>
        <v/>
      </c>
      <c r="AQ385" s="209" t="str">
        <f aca="false">IF(A386="","",AP385-$E$1)</f>
        <v/>
      </c>
      <c r="AR385" s="185" t="n">
        <f aca="false">'ANR OK vs ML7'!AR385</f>
        <v>0.1</v>
      </c>
      <c r="AS385" s="213" t="str">
        <f aca="false">IF(A386="","",1/(1+CHOOSE(F$3,(AR386+($I$3/10000))/2,(AR385+($I$3/10000))/2))^(2*AQ385/365.25))</f>
        <v/>
      </c>
      <c r="AT385" s="137" t="str">
        <f aca="false">IF(A386="","",IF(AND(mthbeg&lt;=A385,mthend&gt;=A385),1,0))</f>
        <v/>
      </c>
      <c r="AU385" s="137" t="str">
        <f aca="false">IF(A386="","",AO385*AT385)</f>
        <v/>
      </c>
      <c r="AW385" s="195" t="str">
        <f aca="false">IF($A386="","",AL385*$E385)</f>
        <v/>
      </c>
      <c r="AX385" s="195" t="str">
        <f aca="false">IF($A386="","",AM385*$E385)</f>
        <v/>
      </c>
      <c r="AY385" s="195" t="str">
        <f aca="false">IF($A386="","",AN385*$E385)</f>
        <v/>
      </c>
      <c r="BA385" s="195" t="str">
        <f aca="false">IF($A386="","",F385*Summary!$Q$8)</f>
        <v/>
      </c>
    </row>
    <row r="386" customFormat="false" ht="12.75" hidden="false" customHeight="false" outlineLevel="0" collapsed="false">
      <c r="A386" s="196" t="str">
        <f aca="false">IF(A385&lt;mthend,EDATE(A385,1),"")</f>
        <v/>
      </c>
      <c r="B386" s="197" t="n">
        <f aca="false">IF(A386&lt;mthend,B385,0)</f>
        <v>0</v>
      </c>
      <c r="D386" s="197" t="str">
        <f aca="false">IF(A387&lt;&gt;"",B386+C386,"")</f>
        <v/>
      </c>
      <c r="E386" s="199" t="str">
        <f aca="false">IF(A387="","",IF(AND(AT386=1,$H$3=1),D386*AO386,IF($H$3=2,D386,"N/A")))</f>
        <v/>
      </c>
      <c r="F386" s="199" t="str">
        <f aca="false">IF(A387="","",E386*AS386)</f>
        <v/>
      </c>
      <c r="G386" s="200" t="str">
        <f aca="false">IF($A387="","",VLOOKUP($A386,Table,MATCH(G$4,Curves,0)))</f>
        <v/>
      </c>
      <c r="H386" s="201" t="str">
        <f aca="false">IF(A387="","",G386)</f>
        <v/>
      </c>
      <c r="J386" s="200" t="str">
        <f aca="false">IF($A387="","",VLOOKUP($A386,Table,MATCH(J$4,Curves,0)))</f>
        <v/>
      </c>
      <c r="K386" s="201" t="str">
        <f aca="false">IF(A387="","",J386)</f>
        <v/>
      </c>
      <c r="L386" s="200" t="str">
        <f aca="false">IF($A387="","",VLOOKUP($A386,Table,MATCH(L$4,Curves,0)))</f>
        <v/>
      </c>
      <c r="M386" s="201" t="str">
        <f aca="false">IF(A387="","",L386)</f>
        <v/>
      </c>
      <c r="O386" s="200" t="str">
        <f aca="false">IF(A387="","",L386+J386+G386)</f>
        <v/>
      </c>
      <c r="P386" s="200" t="str">
        <f aca="false">IF(A387="","",M386+K386+H386)</f>
        <v/>
      </c>
      <c r="R386" s="200" t="str">
        <f aca="false">IF($A387="","",VLOOKUP($A386,Table,MATCH(R$4,Curves,0)))</f>
        <v/>
      </c>
      <c r="S386" s="201" t="str">
        <f aca="false">IF(A387="","",R386)</f>
        <v/>
      </c>
      <c r="T386" s="200" t="str">
        <f aca="false">IF($A387="","",VLOOKUP($A386,Table,MATCH(T$4,Curves,0)))</f>
        <v/>
      </c>
      <c r="U386" s="201" t="str">
        <f aca="false">IF(A387="","",T386)</f>
        <v/>
      </c>
      <c r="V386" s="183" t="str">
        <f aca="false">IF($A387="","",IF(AND(MONTH(A386)&gt;3,MONTH(A386)&lt;11),(T386+R386+G386)*Summary!$T$8/(1-Summary!$T$8),(T386+R386+G386)*Summary!$U$8/(1-Summary!$U$8)))</f>
        <v/>
      </c>
      <c r="W386" s="200" t="str">
        <f aca="false">IF($A387="","",(T386+R386+G386+V386))</f>
        <v/>
      </c>
      <c r="X386" s="200" t="str">
        <f aca="false">IF($A387="","",(U386+S386+H386+V386))</f>
        <v/>
      </c>
      <c r="Y386" s="202"/>
      <c r="Z386" s="185"/>
      <c r="AG386" s="182"/>
      <c r="AH386" s="182"/>
      <c r="AI386" s="182"/>
      <c r="AJ386" s="218"/>
      <c r="AK386" s="218"/>
      <c r="AL386" s="218"/>
      <c r="AM386" s="218"/>
      <c r="AN386" s="218"/>
      <c r="AO386" s="137" t="str">
        <f aca="false">IF(A387="","",A387-A386)</f>
        <v/>
      </c>
      <c r="AP386" s="212" t="str">
        <f aca="false">IF(A387="","",CHOOSE(F$3,A387+24,A386))</f>
        <v/>
      </c>
      <c r="AQ386" s="209" t="str">
        <f aca="false">IF(A387="","",AP386-$E$1)</f>
        <v/>
      </c>
      <c r="AR386" s="185" t="n">
        <f aca="false">'ANR OK vs ML7'!AR386</f>
        <v>0.1</v>
      </c>
      <c r="AS386" s="213" t="str">
        <f aca="false">IF(A387="","",1/(1+CHOOSE(F$3,(AR387+($I$3/10000))/2,(AR386+($I$3/10000))/2))^(2*AQ386/365.25))</f>
        <v/>
      </c>
      <c r="AT386" s="137" t="str">
        <f aca="false">IF(A387="","",IF(AND(mthbeg&lt;=A386,mthend&gt;=A386),1,0))</f>
        <v/>
      </c>
      <c r="AU386" s="137" t="str">
        <f aca="false">IF(A387="","",AO386*AT386)</f>
        <v/>
      </c>
      <c r="AW386" s="195" t="str">
        <f aca="false">IF($A387="","",AL386*$E386)</f>
        <v/>
      </c>
      <c r="AX386" s="195" t="str">
        <f aca="false">IF($A387="","",AM386*$E386)</f>
        <v/>
      </c>
      <c r="AY386" s="195" t="str">
        <f aca="false">IF($A387="","",AN386*$E386)</f>
        <v/>
      </c>
      <c r="BA386" s="195" t="str">
        <f aca="false">IF($A387="","",F386*Summary!$Q$8)</f>
        <v/>
      </c>
    </row>
    <row r="387" customFormat="false" ht="12.75" hidden="false" customHeight="false" outlineLevel="0" collapsed="false">
      <c r="A387" s="196" t="str">
        <f aca="false">IF(A386&lt;mthend,EDATE(A386,1),"")</f>
        <v/>
      </c>
      <c r="B387" s="197" t="n">
        <f aca="false">IF(A387&lt;mthend,B386,0)</f>
        <v>0</v>
      </c>
      <c r="D387" s="197" t="str">
        <f aca="false">IF(A388&lt;&gt;"",B387+C387,"")</f>
        <v/>
      </c>
      <c r="E387" s="199" t="str">
        <f aca="false">IF(A388="","",IF(AND(AT387=1,$H$3=1),D387*AO387,IF($H$3=2,D387,"N/A")))</f>
        <v/>
      </c>
      <c r="F387" s="199" t="str">
        <f aca="false">IF(A388="","",E387*AS387)</f>
        <v/>
      </c>
      <c r="G387" s="200" t="str">
        <f aca="false">IF($A388="","",VLOOKUP($A387,Table,MATCH(G$4,Curves,0)))</f>
        <v/>
      </c>
      <c r="H387" s="201" t="str">
        <f aca="false">IF(A388="","",G387)</f>
        <v/>
      </c>
      <c r="J387" s="200" t="str">
        <f aca="false">IF($A388="","",VLOOKUP($A387,Table,MATCH(J$4,Curves,0)))</f>
        <v/>
      </c>
      <c r="K387" s="201" t="str">
        <f aca="false">IF(A388="","",J387)</f>
        <v/>
      </c>
      <c r="L387" s="200" t="str">
        <f aca="false">IF($A388="","",VLOOKUP($A387,Table,MATCH(L$4,Curves,0)))</f>
        <v/>
      </c>
      <c r="M387" s="201" t="str">
        <f aca="false">IF(A388="","",L387)</f>
        <v/>
      </c>
      <c r="O387" s="200" t="str">
        <f aca="false">IF(A388="","",L387+J387+G387)</f>
        <v/>
      </c>
      <c r="P387" s="200" t="str">
        <f aca="false">IF(A388="","",M387+K387+H387)</f>
        <v/>
      </c>
      <c r="R387" s="200" t="str">
        <f aca="false">IF($A388="","",VLOOKUP($A387,Table,MATCH(R$4,Curves,0)))</f>
        <v/>
      </c>
      <c r="S387" s="201" t="str">
        <f aca="false">IF(A388="","",R387)</f>
        <v/>
      </c>
      <c r="T387" s="200" t="str">
        <f aca="false">IF($A388="","",VLOOKUP($A387,Table,MATCH(T$4,Curves,0)))</f>
        <v/>
      </c>
      <c r="U387" s="201" t="str">
        <f aca="false">IF(A388="","",T387)</f>
        <v/>
      </c>
      <c r="V387" s="183" t="str">
        <f aca="false">IF($A388="","",IF(AND(MONTH(A387)&gt;3,MONTH(A387)&lt;11),(T387+R387+G387)*Summary!$T$8/(1-Summary!$T$8),(T387+R387+G387)*Summary!$U$8/(1-Summary!$U$8)))</f>
        <v/>
      </c>
      <c r="W387" s="200" t="str">
        <f aca="false">IF($A388="","",(T387+R387+G387+V387))</f>
        <v/>
      </c>
      <c r="X387" s="200" t="str">
        <f aca="false">IF($A388="","",(U387+S387+H387+V387))</f>
        <v/>
      </c>
      <c r="Y387" s="202"/>
      <c r="Z387" s="185"/>
      <c r="AG387" s="182"/>
      <c r="AH387" s="182"/>
      <c r="AI387" s="182"/>
      <c r="AJ387" s="218"/>
      <c r="AK387" s="218"/>
      <c r="AL387" s="218"/>
      <c r="AM387" s="218"/>
      <c r="AN387" s="218"/>
      <c r="AO387" s="137" t="str">
        <f aca="false">IF(A388="","",A388-A387)</f>
        <v/>
      </c>
      <c r="AP387" s="212" t="str">
        <f aca="false">IF(A388="","",CHOOSE(F$3,A388+24,A387))</f>
        <v/>
      </c>
      <c r="AQ387" s="209" t="str">
        <f aca="false">IF(A388="","",AP387-$E$1)</f>
        <v/>
      </c>
      <c r="AR387" s="185" t="n">
        <f aca="false">'ANR OK vs ML7'!AR387</f>
        <v>0.1</v>
      </c>
      <c r="AS387" s="213" t="str">
        <f aca="false">IF(A388="","",1/(1+CHOOSE(F$3,(AR388+($I$3/10000))/2,(AR387+($I$3/10000))/2))^(2*AQ387/365.25))</f>
        <v/>
      </c>
      <c r="AT387" s="137" t="str">
        <f aca="false">IF(A388="","",IF(AND(mthbeg&lt;=A387,mthend&gt;=A387),1,0))</f>
        <v/>
      </c>
      <c r="AU387" s="137" t="str">
        <f aca="false">IF(A388="","",AO387*AT387)</f>
        <v/>
      </c>
      <c r="AW387" s="195" t="str">
        <f aca="false">IF($A388="","",AL387*$E387)</f>
        <v/>
      </c>
      <c r="AX387" s="195" t="str">
        <f aca="false">IF($A388="","",AM387*$E387)</f>
        <v/>
      </c>
      <c r="AY387" s="195" t="str">
        <f aca="false">IF($A388="","",AN387*$E387)</f>
        <v/>
      </c>
      <c r="BA387" s="195" t="str">
        <f aca="false">IF($A388="","",F387*Summary!$Q$8)</f>
        <v/>
      </c>
    </row>
    <row r="388" customFormat="false" ht="12.75" hidden="false" customHeight="false" outlineLevel="0" collapsed="false">
      <c r="A388" s="196" t="str">
        <f aca="false">IF(A387&lt;mthend,EDATE(A387,1),"")</f>
        <v/>
      </c>
      <c r="B388" s="197" t="n">
        <f aca="false">IF(A388&lt;mthend,B387,0)</f>
        <v>0</v>
      </c>
      <c r="D388" s="197" t="str">
        <f aca="false">IF(A389&lt;&gt;"",B388+C388,"")</f>
        <v/>
      </c>
      <c r="E388" s="199" t="str">
        <f aca="false">IF(A389="","",IF(AND(AT388=1,$H$3=1),D388*AO388,IF($H$3=2,D388,"N/A")))</f>
        <v/>
      </c>
      <c r="F388" s="199" t="str">
        <f aca="false">IF(A389="","",E388*AS388)</f>
        <v/>
      </c>
      <c r="G388" s="200" t="str">
        <f aca="false">IF($A389="","",VLOOKUP($A388,Table,MATCH(G$4,Curves,0)))</f>
        <v/>
      </c>
      <c r="H388" s="201" t="str">
        <f aca="false">IF(A389="","",G388)</f>
        <v/>
      </c>
      <c r="J388" s="200" t="str">
        <f aca="false">IF($A389="","",VLOOKUP($A388,Table,MATCH(J$4,Curves,0)))</f>
        <v/>
      </c>
      <c r="K388" s="201" t="str">
        <f aca="false">IF(A389="","",J388)</f>
        <v/>
      </c>
      <c r="L388" s="200" t="str">
        <f aca="false">IF($A389="","",VLOOKUP($A388,Table,MATCH(L$4,Curves,0)))</f>
        <v/>
      </c>
      <c r="M388" s="201" t="str">
        <f aca="false">IF(A389="","",L388)</f>
        <v/>
      </c>
      <c r="O388" s="200" t="str">
        <f aca="false">IF(A389="","",L388+J388+G388)</f>
        <v/>
      </c>
      <c r="P388" s="200" t="str">
        <f aca="false">IF(A389="","",M388+K388+H388)</f>
        <v/>
      </c>
      <c r="R388" s="200" t="str">
        <f aca="false">IF($A389="","",VLOOKUP($A388,Table,MATCH(R$4,Curves,0)))</f>
        <v/>
      </c>
      <c r="S388" s="201" t="str">
        <f aca="false">IF(A389="","",R388)</f>
        <v/>
      </c>
      <c r="T388" s="200" t="str">
        <f aca="false">IF($A389="","",VLOOKUP($A388,Table,MATCH(T$4,Curves,0)))</f>
        <v/>
      </c>
      <c r="U388" s="201" t="str">
        <f aca="false">IF(A389="","",T388)</f>
        <v/>
      </c>
      <c r="V388" s="183" t="str">
        <f aca="false">IF($A389="","",IF(AND(MONTH(A388)&gt;3,MONTH(A388)&lt;11),(T388+R388+G388)*Summary!$T$8/(1-Summary!$T$8),(T388+R388+G388)*Summary!$U$8/(1-Summary!$U$8)))</f>
        <v/>
      </c>
      <c r="W388" s="200" t="str">
        <f aca="false">IF($A389="","",(T388+R388+G388+V388))</f>
        <v/>
      </c>
      <c r="X388" s="200" t="str">
        <f aca="false">IF($A389="","",(U388+S388+H388+V388))</f>
        <v/>
      </c>
      <c r="Y388" s="202"/>
      <c r="Z388" s="185"/>
      <c r="AG388" s="182"/>
      <c r="AH388" s="182"/>
      <c r="AI388" s="182"/>
      <c r="AJ388" s="218"/>
      <c r="AK388" s="218"/>
      <c r="AL388" s="218"/>
      <c r="AM388" s="218"/>
      <c r="AN388" s="218"/>
      <c r="AO388" s="137" t="str">
        <f aca="false">IF(A389="","",A389-A388)</f>
        <v/>
      </c>
      <c r="AP388" s="212" t="str">
        <f aca="false">IF(A389="","",CHOOSE(F$3,A389+24,A388))</f>
        <v/>
      </c>
      <c r="AQ388" s="209" t="str">
        <f aca="false">IF(A389="","",AP388-$E$1)</f>
        <v/>
      </c>
      <c r="AR388" s="185" t="n">
        <f aca="false">'ANR OK vs ML7'!AR388</f>
        <v>0.1</v>
      </c>
      <c r="AS388" s="213" t="str">
        <f aca="false">IF(A389="","",1/(1+CHOOSE(F$3,(AR389+($I$3/10000))/2,(AR388+($I$3/10000))/2))^(2*AQ388/365.25))</f>
        <v/>
      </c>
      <c r="AT388" s="137" t="str">
        <f aca="false">IF(A389="","",IF(AND(mthbeg&lt;=A388,mthend&gt;=A388),1,0))</f>
        <v/>
      </c>
      <c r="AU388" s="137" t="str">
        <f aca="false">IF(A389="","",AO388*AT388)</f>
        <v/>
      </c>
      <c r="AW388" s="195" t="str">
        <f aca="false">IF($A389="","",AL388*$E388)</f>
        <v/>
      </c>
      <c r="AX388" s="195" t="str">
        <f aca="false">IF($A389="","",AM388*$E388)</f>
        <v/>
      </c>
      <c r="AY388" s="195" t="str">
        <f aca="false">IF($A389="","",AN388*$E388)</f>
        <v/>
      </c>
      <c r="BA388" s="195" t="str">
        <f aca="false">IF($A389="","",F388*Summary!$Q$8)</f>
        <v/>
      </c>
    </row>
    <row r="389" customFormat="false" ht="12.75" hidden="false" customHeight="false" outlineLevel="0" collapsed="false">
      <c r="A389" s="196" t="str">
        <f aca="false">IF(A388&lt;mthend,EDATE(A388,1),"")</f>
        <v/>
      </c>
      <c r="B389" s="197" t="n">
        <f aca="false">IF(A389&lt;mthend,B388,0)</f>
        <v>0</v>
      </c>
      <c r="D389" s="197" t="str">
        <f aca="false">IF(A390&lt;&gt;"",B389+C389,"")</f>
        <v/>
      </c>
      <c r="E389" s="199" t="str">
        <f aca="false">IF(A390="","",IF(AND(AT389=1,$H$3=1),D389*AO389,IF($H$3=2,D389,"N/A")))</f>
        <v/>
      </c>
      <c r="F389" s="199" t="str">
        <f aca="false">IF(A390="","",E389*AS389)</f>
        <v/>
      </c>
      <c r="G389" s="200" t="str">
        <f aca="false">IF($A390="","",VLOOKUP($A389,Table,MATCH(G$4,Curves,0)))</f>
        <v/>
      </c>
      <c r="H389" s="201" t="str">
        <f aca="false">IF(A390="","",G389)</f>
        <v/>
      </c>
      <c r="J389" s="200" t="str">
        <f aca="false">IF($A390="","",VLOOKUP($A389,Table,MATCH(J$4,Curves,0)))</f>
        <v/>
      </c>
      <c r="K389" s="201" t="str">
        <f aca="false">IF(A390="","",J389)</f>
        <v/>
      </c>
      <c r="L389" s="200" t="str">
        <f aca="false">IF($A390="","",VLOOKUP($A389,Table,MATCH(L$4,Curves,0)))</f>
        <v/>
      </c>
      <c r="M389" s="201" t="str">
        <f aca="false">IF(A390="","",L389)</f>
        <v/>
      </c>
      <c r="O389" s="200" t="str">
        <f aca="false">IF(A390="","",L389+J389+G389)</f>
        <v/>
      </c>
      <c r="P389" s="200" t="str">
        <f aca="false">IF(A390="","",M389+K389+H389)</f>
        <v/>
      </c>
      <c r="R389" s="200" t="str">
        <f aca="false">IF($A390="","",VLOOKUP($A389,Table,MATCH(R$4,Curves,0)))</f>
        <v/>
      </c>
      <c r="S389" s="201" t="str">
        <f aca="false">IF(A390="","",R389)</f>
        <v/>
      </c>
      <c r="T389" s="200" t="str">
        <f aca="false">IF($A390="","",VLOOKUP($A389,Table,MATCH(T$4,Curves,0)))</f>
        <v/>
      </c>
      <c r="U389" s="201" t="str">
        <f aca="false">IF(A390="","",T389)</f>
        <v/>
      </c>
      <c r="V389" s="183" t="str">
        <f aca="false">IF($A390="","",IF(AND(MONTH(A389)&gt;3,MONTH(A389)&lt;11),(T389+R389+G389)*Summary!$T$8/(1-Summary!$T$8),(T389+R389+G389)*Summary!$U$8/(1-Summary!$U$8)))</f>
        <v/>
      </c>
      <c r="W389" s="200" t="str">
        <f aca="false">IF($A390="","",(T389+R389+G389+V389))</f>
        <v/>
      </c>
      <c r="X389" s="200" t="str">
        <f aca="false">IF($A390="","",(U389+S389+H389+V389))</f>
        <v/>
      </c>
      <c r="Y389" s="202"/>
      <c r="Z389" s="185"/>
      <c r="AG389" s="182"/>
      <c r="AH389" s="182"/>
      <c r="AI389" s="182"/>
      <c r="AJ389" s="218"/>
      <c r="AK389" s="218"/>
      <c r="AL389" s="218"/>
      <c r="AM389" s="218"/>
      <c r="AN389" s="218"/>
      <c r="AO389" s="137" t="str">
        <f aca="false">IF(A390="","",A390-A389)</f>
        <v/>
      </c>
      <c r="AP389" s="212" t="str">
        <f aca="false">IF(A390="","",CHOOSE(F$3,A390+24,A389))</f>
        <v/>
      </c>
      <c r="AQ389" s="209" t="str">
        <f aca="false">IF(A390="","",AP389-$E$1)</f>
        <v/>
      </c>
      <c r="AR389" s="185" t="n">
        <f aca="false">'ANR OK vs ML7'!AR389</f>
        <v>0.1</v>
      </c>
      <c r="AS389" s="213" t="str">
        <f aca="false">IF(A390="","",1/(1+CHOOSE(F$3,(AR390+($I$3/10000))/2,(AR389+($I$3/10000))/2))^(2*AQ389/365.25))</f>
        <v/>
      </c>
      <c r="AT389" s="137" t="str">
        <f aca="false">IF(A390="","",IF(AND(mthbeg&lt;=A389,mthend&gt;=A389),1,0))</f>
        <v/>
      </c>
      <c r="AU389" s="137" t="str">
        <f aca="false">IF(A390="","",AO389*AT389)</f>
        <v/>
      </c>
      <c r="AW389" s="195" t="str">
        <f aca="false">IF($A390="","",AL389*$E389)</f>
        <v/>
      </c>
      <c r="AX389" s="195" t="str">
        <f aca="false">IF($A390="","",AM389*$E389)</f>
        <v/>
      </c>
      <c r="AY389" s="195" t="str">
        <f aca="false">IF($A390="","",AN389*$E389)</f>
        <v/>
      </c>
      <c r="BA389" s="195" t="str">
        <f aca="false">IF($A390="","",F389*Summary!$Q$8)</f>
        <v/>
      </c>
    </row>
    <row r="390" customFormat="false" ht="12.75" hidden="false" customHeight="false" outlineLevel="0" collapsed="false">
      <c r="A390" s="196" t="str">
        <f aca="false">IF(A389&lt;mthend,EDATE(A389,1),"")</f>
        <v/>
      </c>
      <c r="B390" s="197" t="n">
        <f aca="false">IF(A390&lt;mthend,B389,0)</f>
        <v>0</v>
      </c>
      <c r="D390" s="197" t="str">
        <f aca="false">IF(A391&lt;&gt;"",B390+C390,"")</f>
        <v/>
      </c>
      <c r="E390" s="199" t="str">
        <f aca="false">IF(A391="","",IF(AND(AT390=1,$H$3=1),D390*AO390,IF($H$3=2,D390,"N/A")))</f>
        <v/>
      </c>
      <c r="F390" s="199" t="str">
        <f aca="false">IF(A391="","",E390*AS390)</f>
        <v/>
      </c>
      <c r="G390" s="200" t="str">
        <f aca="false">IF($A391="","",VLOOKUP($A390,Table,MATCH(G$4,Curves,0)))</f>
        <v/>
      </c>
      <c r="H390" s="201" t="str">
        <f aca="false">IF(A391="","",G390)</f>
        <v/>
      </c>
      <c r="J390" s="200" t="str">
        <f aca="false">IF($A391="","",VLOOKUP($A390,Table,MATCH(J$4,Curves,0)))</f>
        <v/>
      </c>
      <c r="K390" s="201" t="str">
        <f aca="false">IF(A391="","",J390)</f>
        <v/>
      </c>
      <c r="L390" s="200" t="str">
        <f aca="false">IF($A391="","",VLOOKUP($A390,Table,MATCH(L$4,Curves,0)))</f>
        <v/>
      </c>
      <c r="M390" s="201" t="str">
        <f aca="false">IF(A391="","",L390)</f>
        <v/>
      </c>
      <c r="O390" s="200" t="str">
        <f aca="false">IF(A391="","",L390+J390+G390)</f>
        <v/>
      </c>
      <c r="P390" s="200" t="str">
        <f aca="false">IF(A391="","",M390+K390+H390)</f>
        <v/>
      </c>
      <c r="R390" s="200" t="str">
        <f aca="false">IF($A391="","",VLOOKUP($A390,Table,MATCH(R$4,Curves,0)))</f>
        <v/>
      </c>
      <c r="S390" s="201" t="str">
        <f aca="false">IF(A391="","",R390)</f>
        <v/>
      </c>
      <c r="T390" s="200" t="str">
        <f aca="false">IF($A391="","",VLOOKUP($A390,Table,MATCH(T$4,Curves,0)))</f>
        <v/>
      </c>
      <c r="U390" s="201" t="str">
        <f aca="false">IF(A391="","",T390)</f>
        <v/>
      </c>
      <c r="V390" s="183" t="str">
        <f aca="false">IF($A391="","",IF(AND(MONTH(A390)&gt;3,MONTH(A390)&lt;11),(T390+R390+G390)*Summary!$T$8/(1-Summary!$T$8),(T390+R390+G390)*Summary!$U$8/(1-Summary!$U$8)))</f>
        <v/>
      </c>
      <c r="W390" s="200" t="str">
        <f aca="false">IF($A391="","",(T390+R390+G390+V390))</f>
        <v/>
      </c>
      <c r="X390" s="200" t="str">
        <f aca="false">IF($A391="","",(U390+S390+H390+V390))</f>
        <v/>
      </c>
      <c r="Y390" s="202"/>
      <c r="Z390" s="185"/>
      <c r="AG390" s="182"/>
      <c r="AH390" s="182"/>
      <c r="AI390" s="182"/>
      <c r="AJ390" s="218"/>
      <c r="AK390" s="218"/>
      <c r="AL390" s="218"/>
      <c r="AM390" s="218"/>
      <c r="AN390" s="218"/>
      <c r="AO390" s="137" t="str">
        <f aca="false">IF(A391="","",A391-A390)</f>
        <v/>
      </c>
      <c r="AP390" s="212" t="str">
        <f aca="false">IF(A391="","",CHOOSE(F$3,A391+24,A390))</f>
        <v/>
      </c>
      <c r="AQ390" s="209" t="str">
        <f aca="false">IF(A391="","",AP390-$E$1)</f>
        <v/>
      </c>
      <c r="AR390" s="185" t="n">
        <f aca="false">'ANR OK vs ML7'!AR390</f>
        <v>0.1</v>
      </c>
      <c r="AS390" s="213" t="str">
        <f aca="false">IF(A391="","",1/(1+CHOOSE(F$3,(AR391+($I$3/10000))/2,(AR390+($I$3/10000))/2))^(2*AQ390/365.25))</f>
        <v/>
      </c>
      <c r="AT390" s="137" t="str">
        <f aca="false">IF(A391="","",IF(AND(mthbeg&lt;=A390,mthend&gt;=A390),1,0))</f>
        <v/>
      </c>
      <c r="AU390" s="137" t="str">
        <f aca="false">IF(A391="","",AO390*AT390)</f>
        <v/>
      </c>
      <c r="AW390" s="195" t="str">
        <f aca="false">IF($A391="","",AL390*$E390)</f>
        <v/>
      </c>
      <c r="AX390" s="195" t="str">
        <f aca="false">IF($A391="","",AM390*$E390)</f>
        <v/>
      </c>
      <c r="AY390" s="195" t="str">
        <f aca="false">IF($A391="","",AN390*$E390)</f>
        <v/>
      </c>
      <c r="BA390" s="195" t="str">
        <f aca="false">IF($A391="","",F390*Summary!$Q$8)</f>
        <v/>
      </c>
    </row>
    <row r="391" customFormat="false" ht="12.75" hidden="false" customHeight="false" outlineLevel="0" collapsed="false">
      <c r="A391" s="196" t="str">
        <f aca="false">IF(A390&lt;mthend,EDATE(A390,1),"")</f>
        <v/>
      </c>
      <c r="B391" s="197" t="n">
        <f aca="false">IF(A391&lt;mthend,B390,0)</f>
        <v>0</v>
      </c>
      <c r="D391" s="197" t="str">
        <f aca="false">IF(A392&lt;&gt;"",B391+C391,"")</f>
        <v/>
      </c>
      <c r="E391" s="199" t="str">
        <f aca="false">IF(A392="","",IF(AND(AT391=1,$H$3=1),D391*AO391,IF($H$3=2,D391,"N/A")))</f>
        <v/>
      </c>
      <c r="F391" s="199" t="str">
        <f aca="false">IF(A392="","",E391*AS391)</f>
        <v/>
      </c>
      <c r="G391" s="200" t="str">
        <f aca="false">IF($A392="","",VLOOKUP($A391,Table,MATCH(G$4,Curves,0)))</f>
        <v/>
      </c>
      <c r="H391" s="201" t="str">
        <f aca="false">IF(A392="","",G391)</f>
        <v/>
      </c>
      <c r="J391" s="200" t="str">
        <f aca="false">IF($A392="","",VLOOKUP($A391,Table,MATCH(J$4,Curves,0)))</f>
        <v/>
      </c>
      <c r="K391" s="201" t="str">
        <f aca="false">IF(A392="","",J391)</f>
        <v/>
      </c>
      <c r="L391" s="200" t="str">
        <f aca="false">IF($A392="","",VLOOKUP($A391,Table,MATCH(L$4,Curves,0)))</f>
        <v/>
      </c>
      <c r="M391" s="201" t="str">
        <f aca="false">IF(A392="","",L391)</f>
        <v/>
      </c>
      <c r="O391" s="200" t="str">
        <f aca="false">IF(A392="","",L391+J391+G391)</f>
        <v/>
      </c>
      <c r="P391" s="200" t="str">
        <f aca="false">IF(A392="","",M391+K391+H391)</f>
        <v/>
      </c>
      <c r="R391" s="200" t="str">
        <f aca="false">IF($A392="","",VLOOKUP($A391,Table,MATCH(R$4,Curves,0)))</f>
        <v/>
      </c>
      <c r="S391" s="201" t="str">
        <f aca="false">IF(A392="","",R391)</f>
        <v/>
      </c>
      <c r="T391" s="200" t="str">
        <f aca="false">IF($A392="","",VLOOKUP($A391,Table,MATCH(T$4,Curves,0)))</f>
        <v/>
      </c>
      <c r="U391" s="201" t="str">
        <f aca="false">IF(A392="","",T391)</f>
        <v/>
      </c>
      <c r="V391" s="183" t="str">
        <f aca="false">IF($A392="","",IF(AND(MONTH(A391)&gt;3,MONTH(A391)&lt;11),(T391+R391+G391)*Summary!$T$8/(1-Summary!$T$8),(T391+R391+G391)*Summary!$U$8/(1-Summary!$U$8)))</f>
        <v/>
      </c>
      <c r="W391" s="200" t="str">
        <f aca="false">IF($A392="","",(T391+R391+G391+V391))</f>
        <v/>
      </c>
      <c r="X391" s="200" t="str">
        <f aca="false">IF($A392="","",(U391+S391+H391+V391))</f>
        <v/>
      </c>
      <c r="Y391" s="202"/>
      <c r="Z391" s="185"/>
      <c r="AG391" s="182"/>
      <c r="AH391" s="182"/>
      <c r="AI391" s="182"/>
      <c r="AJ391" s="218"/>
      <c r="AK391" s="218"/>
      <c r="AL391" s="218"/>
      <c r="AM391" s="218"/>
      <c r="AN391" s="218"/>
      <c r="AO391" s="137" t="str">
        <f aca="false">IF(A392="","",A392-A391)</f>
        <v/>
      </c>
      <c r="AP391" s="212" t="str">
        <f aca="false">IF(A392="","",CHOOSE(F$3,A392+24,A391))</f>
        <v/>
      </c>
      <c r="AQ391" s="209" t="str">
        <f aca="false">IF(A392="","",AP391-$E$1)</f>
        <v/>
      </c>
      <c r="AR391" s="185" t="n">
        <f aca="false">'ANR OK vs ML7'!AR391</f>
        <v>0.1</v>
      </c>
      <c r="AS391" s="213" t="str">
        <f aca="false">IF(A392="","",1/(1+CHOOSE(F$3,(AR392+($I$3/10000))/2,(AR391+($I$3/10000))/2))^(2*AQ391/365.25))</f>
        <v/>
      </c>
      <c r="AT391" s="137" t="str">
        <f aca="false">IF(A392="","",IF(AND(mthbeg&lt;=A391,mthend&gt;=A391),1,0))</f>
        <v/>
      </c>
      <c r="AU391" s="137" t="str">
        <f aca="false">IF(A392="","",AO391*AT391)</f>
        <v/>
      </c>
      <c r="AW391" s="195" t="str">
        <f aca="false">IF($A392="","",AL391*$E391)</f>
        <v/>
      </c>
      <c r="AX391" s="195" t="str">
        <f aca="false">IF($A392="","",AM391*$E391)</f>
        <v/>
      </c>
      <c r="AY391" s="195" t="str">
        <f aca="false">IF($A392="","",AN391*$E391)</f>
        <v/>
      </c>
      <c r="BA391" s="195" t="str">
        <f aca="false">IF($A392="","",F391*Summary!$Q$8)</f>
        <v/>
      </c>
    </row>
    <row r="392" customFormat="false" ht="12.75" hidden="false" customHeight="false" outlineLevel="0" collapsed="false">
      <c r="A392" s="196" t="str">
        <f aca="false">IF(A391&lt;mthend,EDATE(A391,1),"")</f>
        <v/>
      </c>
      <c r="B392" s="197" t="n">
        <f aca="false">IF(A392&lt;mthend,B391,0)</f>
        <v>0</v>
      </c>
      <c r="D392" s="197" t="str">
        <f aca="false">IF(A393&lt;&gt;"",B392+C392,"")</f>
        <v/>
      </c>
      <c r="E392" s="199" t="str">
        <f aca="false">IF(A393="","",IF(AND(AT392=1,$H$3=1),D392*AO392,IF($H$3=2,D392,"N/A")))</f>
        <v/>
      </c>
      <c r="F392" s="199" t="str">
        <f aca="false">IF(A393="","",E392*AS392)</f>
        <v/>
      </c>
      <c r="G392" s="200" t="str">
        <f aca="false">IF($A393="","",VLOOKUP($A392,Table,MATCH(G$4,Curves,0)))</f>
        <v/>
      </c>
      <c r="H392" s="201" t="str">
        <f aca="false">IF(A393="","",G392)</f>
        <v/>
      </c>
      <c r="J392" s="200" t="str">
        <f aca="false">IF($A393="","",VLOOKUP($A392,Table,MATCH(J$4,Curves,0)))</f>
        <v/>
      </c>
      <c r="K392" s="201" t="str">
        <f aca="false">IF(A393="","",J392)</f>
        <v/>
      </c>
      <c r="L392" s="200" t="str">
        <f aca="false">IF($A393="","",VLOOKUP($A392,Table,MATCH(L$4,Curves,0)))</f>
        <v/>
      </c>
      <c r="M392" s="201" t="str">
        <f aca="false">IF(A393="","",L392)</f>
        <v/>
      </c>
      <c r="O392" s="200" t="str">
        <f aca="false">IF(A393="","",L392+J392+G392)</f>
        <v/>
      </c>
      <c r="P392" s="200" t="str">
        <f aca="false">IF(A393="","",M392+K392+H392)</f>
        <v/>
      </c>
      <c r="R392" s="200" t="str">
        <f aca="false">IF($A393="","",VLOOKUP($A392,Table,MATCH(R$4,Curves,0)))</f>
        <v/>
      </c>
      <c r="S392" s="201" t="str">
        <f aca="false">IF(A393="","",R392)</f>
        <v/>
      </c>
      <c r="T392" s="200" t="str">
        <f aca="false">IF($A393="","",VLOOKUP($A392,Table,MATCH(T$4,Curves,0)))</f>
        <v/>
      </c>
      <c r="U392" s="201" t="str">
        <f aca="false">IF(A393="","",T392)</f>
        <v/>
      </c>
      <c r="V392" s="183" t="str">
        <f aca="false">IF($A393="","",IF(AND(MONTH(A392)&gt;3,MONTH(A392)&lt;11),(T392+R392+G392)*Summary!$T$8/(1-Summary!$T$8),(T392+R392+G392)*Summary!$U$8/(1-Summary!$U$8)))</f>
        <v/>
      </c>
      <c r="W392" s="200" t="str">
        <f aca="false">IF($A393="","",(T392+R392+G392+V392))</f>
        <v/>
      </c>
      <c r="X392" s="200" t="str">
        <f aca="false">IF($A393="","",(U392+S392+H392+V392))</f>
        <v/>
      </c>
      <c r="Y392" s="202"/>
      <c r="Z392" s="185"/>
      <c r="AG392" s="182"/>
      <c r="AH392" s="182"/>
      <c r="AI392" s="182"/>
      <c r="AJ392" s="218"/>
      <c r="AK392" s="218"/>
      <c r="AL392" s="218"/>
      <c r="AM392" s="218"/>
      <c r="AN392" s="218"/>
      <c r="AO392" s="137" t="str">
        <f aca="false">IF(A393="","",A393-A392)</f>
        <v/>
      </c>
      <c r="AP392" s="212" t="str">
        <f aca="false">IF(A393="","",CHOOSE(F$3,A393+24,A392))</f>
        <v/>
      </c>
      <c r="AQ392" s="209" t="str">
        <f aca="false">IF(A393="","",AP392-$E$1)</f>
        <v/>
      </c>
      <c r="AR392" s="185" t="n">
        <f aca="false">'ANR OK vs ML7'!AR392</f>
        <v>0.1</v>
      </c>
      <c r="AS392" s="213" t="str">
        <f aca="false">IF(A393="","",1/(1+CHOOSE(F$3,(AR393+($I$3/10000))/2,(AR392+($I$3/10000))/2))^(2*AQ392/365.25))</f>
        <v/>
      </c>
      <c r="AT392" s="137" t="str">
        <f aca="false">IF(A393="","",IF(AND(mthbeg&lt;=A392,mthend&gt;=A392),1,0))</f>
        <v/>
      </c>
      <c r="AU392" s="137" t="str">
        <f aca="false">IF(A393="","",AO392*AT392)</f>
        <v/>
      </c>
      <c r="AW392" s="195" t="str">
        <f aca="false">IF($A393="","",AL392*$E392)</f>
        <v/>
      </c>
      <c r="AX392" s="195" t="str">
        <f aca="false">IF($A393="","",AM392*$E392)</f>
        <v/>
      </c>
      <c r="AY392" s="195" t="str">
        <f aca="false">IF($A393="","",AN392*$E392)</f>
        <v/>
      </c>
      <c r="BA392" s="195" t="str">
        <f aca="false">IF($A393="","",F392*Summary!$Q$8)</f>
        <v/>
      </c>
    </row>
    <row r="393" customFormat="false" ht="12.75" hidden="false" customHeight="false" outlineLevel="0" collapsed="false">
      <c r="A393" s="196" t="str">
        <f aca="false">IF(A392&lt;mthend,EDATE(A392,1),"")</f>
        <v/>
      </c>
      <c r="B393" s="197" t="n">
        <f aca="false">IF(A393&lt;mthend,B392,0)</f>
        <v>0</v>
      </c>
      <c r="D393" s="197" t="str">
        <f aca="false">IF(A394&lt;&gt;"",B393+C393,"")</f>
        <v/>
      </c>
      <c r="E393" s="199" t="str">
        <f aca="false">IF(A394="","",IF(AND(AT393=1,$H$3=1),D393*AO393,IF($H$3=2,D393,"N/A")))</f>
        <v/>
      </c>
      <c r="F393" s="199" t="str">
        <f aca="false">IF(A394="","",E393*AS393)</f>
        <v/>
      </c>
      <c r="G393" s="200" t="str">
        <f aca="false">IF($A394="","",VLOOKUP($A393,Table,MATCH(G$4,Curves,0)))</f>
        <v/>
      </c>
      <c r="H393" s="201" t="str">
        <f aca="false">IF(A394="","",G393)</f>
        <v/>
      </c>
      <c r="J393" s="200" t="str">
        <f aca="false">IF($A394="","",VLOOKUP($A393,Table,MATCH(J$4,Curves,0)))</f>
        <v/>
      </c>
      <c r="K393" s="201" t="str">
        <f aca="false">IF(A394="","",J393)</f>
        <v/>
      </c>
      <c r="L393" s="200" t="str">
        <f aca="false">IF($A394="","",VLOOKUP($A393,Table,MATCH(L$4,Curves,0)))</f>
        <v/>
      </c>
      <c r="M393" s="201" t="str">
        <f aca="false">IF(A394="","",L393)</f>
        <v/>
      </c>
      <c r="O393" s="200" t="str">
        <f aca="false">IF(A394="","",L393+J393+G393)</f>
        <v/>
      </c>
      <c r="P393" s="200" t="str">
        <f aca="false">IF(A394="","",M393+K393+H393)</f>
        <v/>
      </c>
      <c r="R393" s="200" t="str">
        <f aca="false">IF($A394="","",VLOOKUP($A393,Table,MATCH(R$4,Curves,0)))</f>
        <v/>
      </c>
      <c r="S393" s="201" t="str">
        <f aca="false">IF(A394="","",R393)</f>
        <v/>
      </c>
      <c r="T393" s="200" t="str">
        <f aca="false">IF($A394="","",VLOOKUP($A393,Table,MATCH(T$4,Curves,0)))</f>
        <v/>
      </c>
      <c r="U393" s="201" t="str">
        <f aca="false">IF(A394="","",T393)</f>
        <v/>
      </c>
      <c r="V393" s="183" t="str">
        <f aca="false">IF($A394="","",IF(AND(MONTH(A393)&gt;3,MONTH(A393)&lt;11),(T393+R393+G393)*Summary!$T$8/(1-Summary!$T$8),(T393+R393+G393)*Summary!$U$8/(1-Summary!$U$8)))</f>
        <v/>
      </c>
      <c r="W393" s="200" t="str">
        <f aca="false">IF($A394="","",(T393+R393+G393+V393))</f>
        <v/>
      </c>
      <c r="X393" s="200" t="str">
        <f aca="false">IF($A394="","",(U393+S393+H393+V393))</f>
        <v/>
      </c>
      <c r="Y393" s="202"/>
      <c r="Z393" s="185"/>
      <c r="AG393" s="182"/>
      <c r="AH393" s="182"/>
      <c r="AI393" s="182"/>
      <c r="AJ393" s="218"/>
      <c r="AK393" s="218"/>
      <c r="AL393" s="218"/>
      <c r="AM393" s="218"/>
      <c r="AN393" s="218"/>
      <c r="AO393" s="137" t="str">
        <f aca="false">IF(A394="","",A394-A393)</f>
        <v/>
      </c>
      <c r="AP393" s="212" t="str">
        <f aca="false">IF(A394="","",CHOOSE(F$3,A394+24,A393))</f>
        <v/>
      </c>
      <c r="AQ393" s="209" t="str">
        <f aca="false">IF(A394="","",AP393-$E$1)</f>
        <v/>
      </c>
      <c r="AR393" s="185" t="n">
        <f aca="false">'ANR OK vs ML7'!AR393</f>
        <v>0.1</v>
      </c>
      <c r="AS393" s="213" t="str">
        <f aca="false">IF(A394="","",1/(1+CHOOSE(F$3,(AR394+($I$3/10000))/2,(AR393+($I$3/10000))/2))^(2*AQ393/365.25))</f>
        <v/>
      </c>
      <c r="AT393" s="137" t="str">
        <f aca="false">IF(A394="","",IF(AND(mthbeg&lt;=A393,mthend&gt;=A393),1,0))</f>
        <v/>
      </c>
      <c r="AU393" s="137" t="str">
        <f aca="false">IF(A394="","",AO393*AT393)</f>
        <v/>
      </c>
      <c r="AW393" s="195" t="str">
        <f aca="false">IF($A394="","",AL393*$E393)</f>
        <v/>
      </c>
      <c r="AX393" s="195" t="str">
        <f aca="false">IF($A394="","",AM393*$E393)</f>
        <v/>
      </c>
      <c r="AY393" s="195" t="str">
        <f aca="false">IF($A394="","",AN393*$E393)</f>
        <v/>
      </c>
      <c r="BA393" s="195" t="str">
        <f aca="false">IF($A394="","",F393*Summary!$Q$8)</f>
        <v/>
      </c>
    </row>
    <row r="394" customFormat="false" ht="12.75" hidden="false" customHeight="false" outlineLevel="0" collapsed="false">
      <c r="A394" s="196" t="str">
        <f aca="false">IF(A393&lt;mthend,EDATE(A393,1),"")</f>
        <v/>
      </c>
      <c r="B394" s="197" t="n">
        <f aca="false">IF(A394&lt;mthend,B393,0)</f>
        <v>0</v>
      </c>
      <c r="D394" s="197" t="str">
        <f aca="false">IF(A395&lt;&gt;"",B394+C394,"")</f>
        <v/>
      </c>
      <c r="E394" s="199" t="str">
        <f aca="false">IF(A395="","",IF(AND(AT394=1,$H$3=1),D394*AO394,IF($H$3=2,D394,"N/A")))</f>
        <v/>
      </c>
      <c r="F394" s="199" t="str">
        <f aca="false">IF(A395="","",E394*AS394)</f>
        <v/>
      </c>
      <c r="G394" s="200" t="str">
        <f aca="false">IF($A395="","",VLOOKUP($A394,Table,MATCH(G$4,Curves,0)))</f>
        <v/>
      </c>
      <c r="H394" s="201" t="str">
        <f aca="false">IF(A395="","",G394)</f>
        <v/>
      </c>
      <c r="J394" s="200" t="str">
        <f aca="false">IF($A395="","",VLOOKUP($A394,Table,MATCH(J$4,Curves,0)))</f>
        <v/>
      </c>
      <c r="K394" s="201" t="str">
        <f aca="false">IF(A395="","",J394)</f>
        <v/>
      </c>
      <c r="L394" s="200" t="str">
        <f aca="false">IF($A395="","",VLOOKUP($A394,Table,MATCH(L$4,Curves,0)))</f>
        <v/>
      </c>
      <c r="M394" s="201" t="str">
        <f aca="false">IF(A395="","",L394)</f>
        <v/>
      </c>
      <c r="O394" s="200" t="str">
        <f aca="false">IF(A395="","",L394+J394+G394)</f>
        <v/>
      </c>
      <c r="P394" s="200" t="str">
        <f aca="false">IF(A395="","",M394+K394+H394)</f>
        <v/>
      </c>
      <c r="R394" s="200" t="str">
        <f aca="false">IF($A395="","",VLOOKUP($A394,Table,MATCH(R$4,Curves,0)))</f>
        <v/>
      </c>
      <c r="S394" s="201" t="str">
        <f aca="false">IF(A395="","",R394)</f>
        <v/>
      </c>
      <c r="T394" s="200" t="str">
        <f aca="false">IF($A395="","",VLOOKUP($A394,Table,MATCH(T$4,Curves,0)))</f>
        <v/>
      </c>
      <c r="U394" s="201" t="str">
        <f aca="false">IF(A395="","",T394)</f>
        <v/>
      </c>
      <c r="V394" s="183" t="str">
        <f aca="false">IF($A395="","",IF(AND(MONTH(A394)&gt;3,MONTH(A394)&lt;11),(T394+R394+G394)*Summary!$T$8/(1-Summary!$T$8),(T394+R394+G394)*Summary!$U$8/(1-Summary!$U$8)))</f>
        <v/>
      </c>
      <c r="W394" s="200" t="str">
        <f aca="false">IF($A395="","",(T394+R394+G394+V394))</f>
        <v/>
      </c>
      <c r="X394" s="200" t="str">
        <f aca="false">IF($A395="","",(U394+S394+H394+V394))</f>
        <v/>
      </c>
      <c r="Y394" s="202"/>
      <c r="Z394" s="185"/>
      <c r="AG394" s="182"/>
      <c r="AH394" s="182"/>
      <c r="AI394" s="182"/>
      <c r="AJ394" s="218"/>
      <c r="AK394" s="218"/>
      <c r="AL394" s="218"/>
      <c r="AM394" s="218"/>
      <c r="AN394" s="218"/>
      <c r="AO394" s="137" t="str">
        <f aca="false">IF(A395="","",A395-A394)</f>
        <v/>
      </c>
      <c r="AP394" s="212" t="str">
        <f aca="false">IF(A395="","",CHOOSE(F$3,A395+24,A394))</f>
        <v/>
      </c>
      <c r="AQ394" s="209" t="str">
        <f aca="false">IF(A395="","",AP394-$E$1)</f>
        <v/>
      </c>
      <c r="AR394" s="185" t="n">
        <f aca="false">'ANR OK vs ML7'!AR394</f>
        <v>0.1</v>
      </c>
      <c r="AS394" s="213" t="str">
        <f aca="false">IF(A395="","",1/(1+CHOOSE(F$3,(AR395+($I$3/10000))/2,(AR394+($I$3/10000))/2))^(2*AQ394/365.25))</f>
        <v/>
      </c>
      <c r="AT394" s="137" t="str">
        <f aca="false">IF(A395="","",IF(AND(mthbeg&lt;=A394,mthend&gt;=A394),1,0))</f>
        <v/>
      </c>
      <c r="AU394" s="137" t="str">
        <f aca="false">IF(A395="","",AO394*AT394)</f>
        <v/>
      </c>
      <c r="AW394" s="195" t="str">
        <f aca="false">IF($A395="","",AL394*$E394)</f>
        <v/>
      </c>
      <c r="AX394" s="195" t="str">
        <f aca="false">IF($A395="","",AM394*$E394)</f>
        <v/>
      </c>
      <c r="AY394" s="195" t="str">
        <f aca="false">IF($A395="","",AN394*$E394)</f>
        <v/>
      </c>
      <c r="BA394" s="195" t="str">
        <f aca="false">IF($A395="","",F394*Summary!$Q$8)</f>
        <v/>
      </c>
    </row>
    <row r="395" customFormat="false" ht="12.75" hidden="false" customHeight="false" outlineLevel="0" collapsed="false">
      <c r="A395" s="196" t="str">
        <f aca="false">IF(A394&lt;mthend,EDATE(A394,1),"")</f>
        <v/>
      </c>
      <c r="B395" s="197" t="n">
        <f aca="false">IF(A395&lt;mthend,B394,0)</f>
        <v>0</v>
      </c>
      <c r="D395" s="197" t="str">
        <f aca="false">IF(A396&lt;&gt;"",B395+C395,"")</f>
        <v/>
      </c>
      <c r="E395" s="199" t="str">
        <f aca="false">IF(A396="","",IF(AND(AT395=1,$H$3=1),D395*AO395,IF($H$3=2,D395,"N/A")))</f>
        <v/>
      </c>
      <c r="F395" s="199" t="str">
        <f aca="false">IF(A396="","",E395*AS395)</f>
        <v/>
      </c>
      <c r="G395" s="200" t="str">
        <f aca="false">IF($A396="","",VLOOKUP($A395,Table,MATCH(G$4,Curves,0)))</f>
        <v/>
      </c>
      <c r="H395" s="201" t="str">
        <f aca="false">IF(A396="","",G395)</f>
        <v/>
      </c>
      <c r="J395" s="200" t="str">
        <f aca="false">IF($A396="","",VLOOKUP($A395,Table,MATCH(J$4,Curves,0)))</f>
        <v/>
      </c>
      <c r="K395" s="201" t="str">
        <f aca="false">IF(A396="","",J395)</f>
        <v/>
      </c>
      <c r="L395" s="200" t="str">
        <f aca="false">IF($A396="","",VLOOKUP($A395,Table,MATCH(L$4,Curves,0)))</f>
        <v/>
      </c>
      <c r="M395" s="201" t="str">
        <f aca="false">IF(A396="","",L395)</f>
        <v/>
      </c>
      <c r="O395" s="200" t="str">
        <f aca="false">IF(A396="","",L395+J395+G395)</f>
        <v/>
      </c>
      <c r="P395" s="200" t="str">
        <f aca="false">IF(A396="","",M395+K395+H395)</f>
        <v/>
      </c>
      <c r="R395" s="200" t="str">
        <f aca="false">IF($A396="","",VLOOKUP($A395,Table,MATCH(R$4,Curves,0)))</f>
        <v/>
      </c>
      <c r="S395" s="201" t="str">
        <f aca="false">IF(A396="","",R395)</f>
        <v/>
      </c>
      <c r="T395" s="200" t="str">
        <f aca="false">IF($A396="","",VLOOKUP($A395,Table,MATCH(T$4,Curves,0)))</f>
        <v/>
      </c>
      <c r="U395" s="201" t="str">
        <f aca="false">IF(A396="","",T395)</f>
        <v/>
      </c>
      <c r="V395" s="183" t="str">
        <f aca="false">IF($A396="","",IF(AND(MONTH(A395)&gt;3,MONTH(A395)&lt;11),(T395+R395+G395)*Summary!$T$8/(1-Summary!$T$8),(T395+R395+G395)*Summary!$U$8/(1-Summary!$U$8)))</f>
        <v/>
      </c>
      <c r="W395" s="200" t="str">
        <f aca="false">IF($A396="","",(T395+R395+G395+V395))</f>
        <v/>
      </c>
      <c r="X395" s="200" t="str">
        <f aca="false">IF($A396="","",(U395+S395+H395+V395))</f>
        <v/>
      </c>
      <c r="Y395" s="202"/>
      <c r="Z395" s="185"/>
      <c r="AG395" s="182"/>
      <c r="AH395" s="182"/>
      <c r="AI395" s="182"/>
      <c r="AJ395" s="218"/>
      <c r="AK395" s="218"/>
      <c r="AL395" s="218"/>
      <c r="AM395" s="218"/>
      <c r="AN395" s="218"/>
      <c r="AO395" s="137" t="str">
        <f aca="false">IF(A396="","",A396-A395)</f>
        <v/>
      </c>
      <c r="AP395" s="212" t="str">
        <f aca="false">IF(A396="","",CHOOSE(F$3,A396+24,A395))</f>
        <v/>
      </c>
      <c r="AQ395" s="209" t="str">
        <f aca="false">IF(A396="","",AP395-$E$1)</f>
        <v/>
      </c>
      <c r="AR395" s="185" t="n">
        <f aca="false">'ANR OK vs ML7'!AR395</f>
        <v>0.1</v>
      </c>
      <c r="AS395" s="213" t="str">
        <f aca="false">IF(A396="","",1/(1+CHOOSE(F$3,(AR396+($I$3/10000))/2,(AR395+($I$3/10000))/2))^(2*AQ395/365.25))</f>
        <v/>
      </c>
      <c r="AT395" s="137" t="str">
        <f aca="false">IF(A396="","",IF(AND(mthbeg&lt;=A395,mthend&gt;=A395),1,0))</f>
        <v/>
      </c>
      <c r="AU395" s="137" t="str">
        <f aca="false">IF(A396="","",AO395*AT395)</f>
        <v/>
      </c>
      <c r="AW395" s="195" t="str">
        <f aca="false">IF($A396="","",AL395*$E395)</f>
        <v/>
      </c>
      <c r="AX395" s="195" t="str">
        <f aca="false">IF($A396="","",AM395*$E395)</f>
        <v/>
      </c>
      <c r="AY395" s="195" t="str">
        <f aca="false">IF($A396="","",AN395*$E395)</f>
        <v/>
      </c>
      <c r="BA395" s="195" t="str">
        <f aca="false">IF($A396="","",F395*Summary!$Q$8)</f>
        <v/>
      </c>
    </row>
    <row r="396" customFormat="false" ht="12.75" hidden="false" customHeight="false" outlineLevel="0" collapsed="false">
      <c r="A396" s="196" t="str">
        <f aca="false">IF(A395&lt;mthend,EDATE(A395,1),"")</f>
        <v/>
      </c>
      <c r="B396" s="197" t="n">
        <f aca="false">IF(A396&lt;mthend,B395,0)</f>
        <v>0</v>
      </c>
      <c r="D396" s="197" t="str">
        <f aca="false">IF(A397&lt;&gt;"",B396+C396,"")</f>
        <v/>
      </c>
      <c r="E396" s="199" t="str">
        <f aca="false">IF(A397="","",IF(AND(AT396=1,$H$3=1),D396*AO396,IF($H$3=2,D396,"N/A")))</f>
        <v/>
      </c>
      <c r="F396" s="199" t="str">
        <f aca="false">IF(A397="","",E396*AS396)</f>
        <v/>
      </c>
      <c r="G396" s="200" t="str">
        <f aca="false">IF($A397="","",VLOOKUP($A396,Table,MATCH(G$4,Curves,0)))</f>
        <v/>
      </c>
      <c r="H396" s="201" t="str">
        <f aca="false">IF(A397="","",G396)</f>
        <v/>
      </c>
      <c r="J396" s="200" t="str">
        <f aca="false">IF($A397="","",VLOOKUP($A396,Table,MATCH(J$4,Curves,0)))</f>
        <v/>
      </c>
      <c r="K396" s="201" t="str">
        <f aca="false">IF(A397="","",J396)</f>
        <v/>
      </c>
      <c r="L396" s="200" t="str">
        <f aca="false">IF($A397="","",VLOOKUP($A396,Table,MATCH(L$4,Curves,0)))</f>
        <v/>
      </c>
      <c r="M396" s="201" t="str">
        <f aca="false">IF(A397="","",L396)</f>
        <v/>
      </c>
      <c r="O396" s="200" t="str">
        <f aca="false">IF(A397="","",L396+J396+G396)</f>
        <v/>
      </c>
      <c r="P396" s="200" t="str">
        <f aca="false">IF(A397="","",M396+K396+H396)</f>
        <v/>
      </c>
      <c r="R396" s="200" t="str">
        <f aca="false">IF($A397="","",VLOOKUP($A396,Table,MATCH(R$4,Curves,0)))</f>
        <v/>
      </c>
      <c r="S396" s="201" t="str">
        <f aca="false">IF(A397="","",R396)</f>
        <v/>
      </c>
      <c r="T396" s="200" t="str">
        <f aca="false">IF($A397="","",VLOOKUP($A396,Table,MATCH(T$4,Curves,0)))</f>
        <v/>
      </c>
      <c r="U396" s="201" t="str">
        <f aca="false">IF(A397="","",T396)</f>
        <v/>
      </c>
      <c r="V396" s="183" t="str">
        <f aca="false">IF($A397="","",IF(AND(MONTH(A396)&gt;3,MONTH(A396)&lt;11),(T396+R396+G396)*Summary!$T$8/(1-Summary!$T$8),(T396+R396+G396)*Summary!$U$8/(1-Summary!$U$8)))</f>
        <v/>
      </c>
      <c r="W396" s="200" t="str">
        <f aca="false">IF($A397="","",(T396+R396+G396+V396))</f>
        <v/>
      </c>
      <c r="X396" s="200" t="str">
        <f aca="false">IF($A397="","",(U396+S396+H396+V396))</f>
        <v/>
      </c>
      <c r="Y396" s="202"/>
      <c r="Z396" s="185"/>
      <c r="AG396" s="182"/>
      <c r="AH396" s="182"/>
      <c r="AI396" s="182"/>
      <c r="AJ396" s="218"/>
      <c r="AK396" s="218"/>
      <c r="AL396" s="218"/>
      <c r="AM396" s="218"/>
      <c r="AN396" s="218"/>
      <c r="AO396" s="137" t="str">
        <f aca="false">IF(A397="","",A397-A396)</f>
        <v/>
      </c>
      <c r="AP396" s="212" t="str">
        <f aca="false">IF(A397="","",CHOOSE(F$3,A397+24,A396))</f>
        <v/>
      </c>
      <c r="AQ396" s="209" t="str">
        <f aca="false">IF(A397="","",AP396-$E$1)</f>
        <v/>
      </c>
      <c r="AR396" s="185" t="n">
        <f aca="false">'ANR OK vs ML7'!AR396</f>
        <v>0.1</v>
      </c>
      <c r="AS396" s="213" t="str">
        <f aca="false">IF(A397="","",1/(1+CHOOSE(F$3,(AR397+($I$3/10000))/2,(AR396+($I$3/10000))/2))^(2*AQ396/365.25))</f>
        <v/>
      </c>
      <c r="AT396" s="137" t="str">
        <f aca="false">IF(A397="","",IF(AND(mthbeg&lt;=A396,mthend&gt;=A396),1,0))</f>
        <v/>
      </c>
      <c r="AU396" s="137" t="str">
        <f aca="false">IF(A397="","",AO396*AT396)</f>
        <v/>
      </c>
      <c r="AW396" s="195" t="str">
        <f aca="false">IF($A397="","",AL396*$E396)</f>
        <v/>
      </c>
      <c r="AX396" s="195" t="str">
        <f aca="false">IF($A397="","",AM396*$E396)</f>
        <v/>
      </c>
      <c r="AY396" s="195" t="str">
        <f aca="false">IF($A397="","",AN396*$E396)</f>
        <v/>
      </c>
      <c r="BA396" s="195" t="str">
        <f aca="false">IF($A397="","",F396*Summary!$Q$8)</f>
        <v/>
      </c>
    </row>
    <row r="397" customFormat="false" ht="12.75" hidden="false" customHeight="false" outlineLevel="0" collapsed="false">
      <c r="A397" s="196" t="str">
        <f aca="false">IF(A396&lt;mthend,EDATE(A396,1),"")</f>
        <v/>
      </c>
      <c r="B397" s="197" t="n">
        <f aca="false">IF(A397&lt;mthend,B396,0)</f>
        <v>0</v>
      </c>
      <c r="D397" s="197" t="str">
        <f aca="false">IF(A398&lt;&gt;"",B397+C397,"")</f>
        <v/>
      </c>
      <c r="E397" s="199" t="str">
        <f aca="false">IF(A398="","",IF(AND(AT397=1,$H$3=1),D397*AO397,IF($H$3=2,D397,"N/A")))</f>
        <v/>
      </c>
      <c r="F397" s="199" t="str">
        <f aca="false">IF(A398="","",E397*AS397)</f>
        <v/>
      </c>
      <c r="G397" s="200" t="str">
        <f aca="false">IF($A398="","",VLOOKUP($A397,Table,MATCH(G$4,Curves,0)))</f>
        <v/>
      </c>
      <c r="H397" s="201" t="str">
        <f aca="false">IF(A398="","",G397)</f>
        <v/>
      </c>
      <c r="J397" s="200" t="str">
        <f aca="false">IF($A398="","",VLOOKUP($A397,Table,MATCH(J$4,Curves,0)))</f>
        <v/>
      </c>
      <c r="K397" s="201" t="str">
        <f aca="false">IF(A398="","",J397)</f>
        <v/>
      </c>
      <c r="L397" s="200" t="str">
        <f aca="false">IF($A398="","",VLOOKUP($A397,Table,MATCH(L$4,Curves,0)))</f>
        <v/>
      </c>
      <c r="M397" s="201" t="str">
        <f aca="false">IF(A398="","",L397)</f>
        <v/>
      </c>
      <c r="O397" s="200" t="str">
        <f aca="false">IF(A398="","",L397+J397+G397)</f>
        <v/>
      </c>
      <c r="P397" s="200" t="str">
        <f aca="false">IF(A398="","",M397+K397+H397)</f>
        <v/>
      </c>
      <c r="R397" s="200" t="str">
        <f aca="false">IF($A398="","",VLOOKUP($A397,Table,MATCH(R$4,Curves,0)))</f>
        <v/>
      </c>
      <c r="S397" s="201" t="str">
        <f aca="false">IF(A398="","",R397)</f>
        <v/>
      </c>
      <c r="T397" s="200" t="str">
        <f aca="false">IF($A398="","",VLOOKUP($A397,Table,MATCH(T$4,Curves,0)))</f>
        <v/>
      </c>
      <c r="U397" s="201" t="str">
        <f aca="false">IF(A398="","",T397)</f>
        <v/>
      </c>
      <c r="V397" s="183" t="str">
        <f aca="false">IF($A398="","",IF(AND(MONTH(A397)&gt;3,MONTH(A397)&lt;11),(T397+R397+G397)*Summary!$T$8/(1-Summary!$T$8),(T397+R397+G397)*Summary!$U$8/(1-Summary!$U$8)))</f>
        <v/>
      </c>
      <c r="W397" s="200" t="str">
        <f aca="false">IF($A398="","",(T397+R397+G397+V397))</f>
        <v/>
      </c>
      <c r="X397" s="200" t="str">
        <f aca="false">IF($A398="","",(U397+S397+H397+V397))</f>
        <v/>
      </c>
      <c r="Y397" s="202"/>
      <c r="Z397" s="185"/>
      <c r="AJ397" s="218"/>
      <c r="AK397" s="218"/>
      <c r="AL397" s="218"/>
      <c r="AM397" s="218"/>
      <c r="AN397" s="218"/>
      <c r="AO397" s="137" t="str">
        <f aca="false">IF(A398="","",A398-A397)</f>
        <v/>
      </c>
      <c r="AP397" s="212" t="str">
        <f aca="false">IF(A398="","",CHOOSE(F$3,A398+24,A397))</f>
        <v/>
      </c>
      <c r="AQ397" s="209" t="str">
        <f aca="false">IF(A398="","",AP397-$E$1)</f>
        <v/>
      </c>
      <c r="AR397" s="185" t="n">
        <f aca="false">'ANR OK vs ML7'!AR397</f>
        <v>0.1</v>
      </c>
      <c r="AS397" s="213" t="str">
        <f aca="false">IF(A398="","",1/(1+CHOOSE(F$3,(AR398+($I$3/10000))/2,(AR397+($I$3/10000))/2))^(2*AQ397/365.25))</f>
        <v/>
      </c>
      <c r="AT397" s="137" t="str">
        <f aca="false">IF(A398="","",IF(AND(mthbeg&lt;=A397,mthend&gt;=A397),1,0))</f>
        <v/>
      </c>
      <c r="AU397" s="137" t="str">
        <f aca="false">IF(A398="","",AO397*AT397)</f>
        <v/>
      </c>
      <c r="AW397" s="195" t="str">
        <f aca="false">IF($A398="","",AL397*$E397)</f>
        <v/>
      </c>
      <c r="AX397" s="195" t="str">
        <f aca="false">IF($A398="","",AM397*$E397)</f>
        <v/>
      </c>
      <c r="AY397" s="195" t="str">
        <f aca="false">IF($A398="","",AN397*$E397)</f>
        <v/>
      </c>
      <c r="BA397" s="195" t="str">
        <f aca="false">IF($A398="","",F397*Summary!$Q$8)</f>
        <v/>
      </c>
    </row>
    <row r="398" customFormat="false" ht="12.75" hidden="false" customHeight="false" outlineLevel="0" collapsed="false">
      <c r="A398" s="196" t="str">
        <f aca="false">IF(A397&lt;mthend,EDATE(A397,1),"")</f>
        <v/>
      </c>
      <c r="B398" s="197" t="n">
        <f aca="false">IF(A398&lt;mthend,B397,0)</f>
        <v>0</v>
      </c>
      <c r="D398" s="197" t="str">
        <f aca="false">IF(A399&lt;&gt;"",B398+C398,"")</f>
        <v/>
      </c>
      <c r="E398" s="199" t="str">
        <f aca="false">IF(A399="","",IF(AND(AT398=1,$H$3=1),D398*AO398,IF($H$3=2,D398,"N/A")))</f>
        <v/>
      </c>
      <c r="F398" s="199" t="str">
        <f aca="false">IF(A399="","",E398*AS398)</f>
        <v/>
      </c>
      <c r="G398" s="200" t="str">
        <f aca="false">IF($A399="","",VLOOKUP($A398,Table,MATCH(G$4,Curves,0)))</f>
        <v/>
      </c>
      <c r="H398" s="201" t="str">
        <f aca="false">IF(A399="","",G398)</f>
        <v/>
      </c>
      <c r="J398" s="200" t="str">
        <f aca="false">IF($A399="","",VLOOKUP($A398,Table,MATCH(J$4,Curves,0)))</f>
        <v/>
      </c>
      <c r="K398" s="201" t="str">
        <f aca="false">IF(A399="","",J398)</f>
        <v/>
      </c>
      <c r="L398" s="200" t="str">
        <f aca="false">IF($A399="","",VLOOKUP($A398,Table,MATCH(L$4,Curves,0)))</f>
        <v/>
      </c>
      <c r="M398" s="201" t="str">
        <f aca="false">IF(A399="","",L398)</f>
        <v/>
      </c>
      <c r="O398" s="200" t="str">
        <f aca="false">IF(A399="","",L398+J398+G398)</f>
        <v/>
      </c>
      <c r="P398" s="200" t="str">
        <f aca="false">IF(A399="","",M398+K398+H398)</f>
        <v/>
      </c>
      <c r="R398" s="200" t="str">
        <f aca="false">IF($A399="","",VLOOKUP($A398,Table,MATCH(R$4,Curves,0)))</f>
        <v/>
      </c>
      <c r="S398" s="201" t="str">
        <f aca="false">IF(A399="","",R398)</f>
        <v/>
      </c>
      <c r="T398" s="200" t="str">
        <f aca="false">IF($A399="","",VLOOKUP($A398,Table,MATCH(T$4,Curves,0)))</f>
        <v/>
      </c>
      <c r="U398" s="201" t="str">
        <f aca="false">IF(A399="","",T398)</f>
        <v/>
      </c>
      <c r="V398" s="183" t="str">
        <f aca="false">IF($A399="","",IF(AND(MONTH(A398)&gt;3,MONTH(A398)&lt;11),(T398+R398+G398)*Summary!$T$8/(1-Summary!$T$8),(T398+R398+G398)*Summary!$U$8/(1-Summary!$U$8)))</f>
        <v/>
      </c>
      <c r="W398" s="200" t="str">
        <f aca="false">IF($A399="","",(T398+R398+G398+V398))</f>
        <v/>
      </c>
      <c r="X398" s="200" t="str">
        <f aca="false">IF($A399="","",(U398+S398+H398+V398))</f>
        <v/>
      </c>
      <c r="Y398" s="202"/>
      <c r="Z398" s="185"/>
      <c r="AJ398" s="218"/>
      <c r="AK398" s="218"/>
      <c r="AL398" s="218"/>
      <c r="AM398" s="218"/>
      <c r="AN398" s="218"/>
      <c r="AO398" s="137" t="str">
        <f aca="false">IF(A399="","",A399-A398)</f>
        <v/>
      </c>
      <c r="AP398" s="212" t="str">
        <f aca="false">IF(A399="","",CHOOSE(F$3,A399+24,A398))</f>
        <v/>
      </c>
      <c r="AQ398" s="209" t="str">
        <f aca="false">IF(A399="","",AP398-$E$1)</f>
        <v/>
      </c>
      <c r="AR398" s="185" t="n">
        <f aca="false">'ANR OK vs ML7'!AR398</f>
        <v>0.1</v>
      </c>
      <c r="AS398" s="213" t="str">
        <f aca="false">IF(A399="","",1/(1+CHOOSE(F$3,(AR399+($I$3/10000))/2,(AR398+($I$3/10000))/2))^(2*AQ398/365.25))</f>
        <v/>
      </c>
      <c r="AT398" s="137" t="str">
        <f aca="false">IF(A399="","",IF(AND(mthbeg&lt;=A398,mthend&gt;=A398),1,0))</f>
        <v/>
      </c>
      <c r="AU398" s="137" t="str">
        <f aca="false">IF(A399="","",AO398*AT398)</f>
        <v/>
      </c>
      <c r="AW398" s="195" t="str">
        <f aca="false">IF($A399="","",AL398*$E398)</f>
        <v/>
      </c>
      <c r="AX398" s="195" t="str">
        <f aca="false">IF($A399="","",AM398*$E398)</f>
        <v/>
      </c>
      <c r="AY398" s="195" t="str">
        <f aca="false">IF($A399="","",AN398*$E398)</f>
        <v/>
      </c>
      <c r="BA398" s="195" t="str">
        <f aca="false">IF($A399="","",F398*Summary!$Q$8)</f>
        <v/>
      </c>
    </row>
    <row r="399" customFormat="false" ht="12.75" hidden="false" customHeight="false" outlineLevel="0" collapsed="false">
      <c r="A399" s="196" t="str">
        <f aca="false">IF(A398&lt;mthend,EDATE(A398,1),"")</f>
        <v/>
      </c>
      <c r="B399" s="197" t="n">
        <f aca="false">IF(A399&lt;mthend,B398,0)</f>
        <v>0</v>
      </c>
      <c r="D399" s="197" t="str">
        <f aca="false">IF(A400&lt;&gt;"",B399+C399,"")</f>
        <v/>
      </c>
      <c r="E399" s="199" t="str">
        <f aca="false">IF(A400="","",IF(AND(AT399=1,$H$3=1),D399*AO399,IF($H$3=2,D399,"N/A")))</f>
        <v/>
      </c>
      <c r="F399" s="199" t="str">
        <f aca="false">IF(A400="","",E399*AS399)</f>
        <v/>
      </c>
      <c r="G399" s="200" t="str">
        <f aca="false">IF($A400="","",VLOOKUP($A399,Table,MATCH(G$4,Curves,0)))</f>
        <v/>
      </c>
      <c r="H399" s="201" t="str">
        <f aca="false">IF(A400="","",G399)</f>
        <v/>
      </c>
      <c r="J399" s="200" t="str">
        <f aca="false">IF($A400="","",VLOOKUP($A399,Table,MATCH(J$4,Curves,0)))</f>
        <v/>
      </c>
      <c r="K399" s="201" t="str">
        <f aca="false">IF(A400="","",J399)</f>
        <v/>
      </c>
      <c r="L399" s="200" t="str">
        <f aca="false">IF($A400="","",VLOOKUP($A399,Table,MATCH(L$4,Curves,0)))</f>
        <v/>
      </c>
      <c r="M399" s="201" t="str">
        <f aca="false">IF(A400="","",L399)</f>
        <v/>
      </c>
      <c r="O399" s="200" t="str">
        <f aca="false">IF(A400="","",L399+J399+G399)</f>
        <v/>
      </c>
      <c r="P399" s="200" t="str">
        <f aca="false">IF(A400="","",M399+K399+H399)</f>
        <v/>
      </c>
      <c r="R399" s="200" t="str">
        <f aca="false">IF($A400="","",VLOOKUP($A399,Table,MATCH(R$4,Curves,0)))</f>
        <v/>
      </c>
      <c r="S399" s="201" t="str">
        <f aca="false">IF(A400="","",R399)</f>
        <v/>
      </c>
      <c r="T399" s="200" t="str">
        <f aca="false">IF($A400="","",VLOOKUP($A399,Table,MATCH(T$4,Curves,0)))</f>
        <v/>
      </c>
      <c r="U399" s="201" t="str">
        <f aca="false">IF(A400="","",T399)</f>
        <v/>
      </c>
      <c r="V399" s="183" t="str">
        <f aca="false">IF($A400="","",IF(AND(MONTH(A399)&gt;3,MONTH(A399)&lt;11),(T399+R399+G399)*Summary!$T$8/(1-Summary!$T$8),(T399+R399+G399)*Summary!$U$8/(1-Summary!$U$8)))</f>
        <v/>
      </c>
      <c r="W399" s="200" t="str">
        <f aca="false">IF($A400="","",(T399+R399+G399+V399))</f>
        <v/>
      </c>
      <c r="X399" s="200" t="str">
        <f aca="false">IF($A400="","",(U399+S399+H399+V399))</f>
        <v/>
      </c>
      <c r="Y399" s="202"/>
      <c r="Z399" s="185"/>
      <c r="AJ399" s="218"/>
      <c r="AK399" s="218"/>
      <c r="AL399" s="218"/>
      <c r="AM399" s="218"/>
      <c r="AN399" s="218"/>
      <c r="AO399" s="137" t="str">
        <f aca="false">IF(A400="","",A400-A399)</f>
        <v/>
      </c>
      <c r="AP399" s="212" t="str">
        <f aca="false">IF(A400="","",CHOOSE(F$3,A400+24,A399))</f>
        <v/>
      </c>
      <c r="AQ399" s="209" t="str">
        <f aca="false">IF(A400="","",AP399-$E$1)</f>
        <v/>
      </c>
      <c r="AR399" s="185" t="n">
        <f aca="false">'ANR OK vs ML7'!AR399</f>
        <v>0.1</v>
      </c>
      <c r="AS399" s="213" t="str">
        <f aca="false">IF(A400="","",1/(1+CHOOSE(F$3,(AR400+($I$3/10000))/2,(AR399+($I$3/10000))/2))^(2*AQ399/365.25))</f>
        <v/>
      </c>
      <c r="AT399" s="137" t="str">
        <f aca="false">IF(A400="","",IF(AND(mthbeg&lt;=A399,mthend&gt;=A399),1,0))</f>
        <v/>
      </c>
      <c r="AU399" s="137" t="str">
        <f aca="false">IF(A400="","",AO399*AT399)</f>
        <v/>
      </c>
      <c r="AW399" s="195" t="str">
        <f aca="false">IF($A400="","",AL399*$E399)</f>
        <v/>
      </c>
      <c r="AX399" s="195" t="str">
        <f aca="false">IF($A400="","",AM399*$E399)</f>
        <v/>
      </c>
      <c r="AY399" s="195" t="str">
        <f aca="false">IF($A400="","",AN399*$E399)</f>
        <v/>
      </c>
      <c r="BA399" s="195" t="str">
        <f aca="false">IF($A400="","",F399*Summary!$Q$8)</f>
        <v/>
      </c>
    </row>
    <row r="400" customFormat="false" ht="12.75" hidden="false" customHeight="false" outlineLevel="0" collapsed="false">
      <c r="A400" s="196" t="str">
        <f aca="false">IF(A399&lt;mthend,EDATE(A399,1),"")</f>
        <v/>
      </c>
      <c r="B400" s="197" t="n">
        <f aca="false">IF(A400&lt;mthend,B399,0)</f>
        <v>0</v>
      </c>
      <c r="D400" s="197" t="str">
        <f aca="false">IF(A401&lt;&gt;"",B400+C400,"")</f>
        <v/>
      </c>
      <c r="E400" s="199" t="str">
        <f aca="false">IF(A401="","",IF(AND(AT400=1,$H$3=1),D400*AO400,IF($H$3=2,D400,"N/A")))</f>
        <v/>
      </c>
      <c r="F400" s="199" t="str">
        <f aca="false">IF(A401="","",E400*AS400)</f>
        <v/>
      </c>
      <c r="G400" s="200" t="str">
        <f aca="false">IF($A401="","",VLOOKUP($A400,Table,MATCH(G$4,Curves,0)))</f>
        <v/>
      </c>
      <c r="H400" s="201" t="str">
        <f aca="false">IF(A401="","",G400)</f>
        <v/>
      </c>
      <c r="J400" s="200" t="str">
        <f aca="false">IF($A401="","",VLOOKUP($A400,Table,MATCH(J$4,Curves,0)))</f>
        <v/>
      </c>
      <c r="K400" s="201" t="str">
        <f aca="false">IF(A401="","",J400)</f>
        <v/>
      </c>
      <c r="L400" s="200" t="str">
        <f aca="false">IF($A401="","",VLOOKUP($A400,Table,MATCH(L$4,Curves,0)))</f>
        <v/>
      </c>
      <c r="M400" s="201" t="str">
        <f aca="false">IF(A401="","",L400)</f>
        <v/>
      </c>
      <c r="O400" s="200" t="str">
        <f aca="false">IF(A401="","",L400+J400+G400)</f>
        <v/>
      </c>
      <c r="P400" s="200" t="str">
        <f aca="false">IF(A401="","",M400+K400+H400)</f>
        <v/>
      </c>
      <c r="R400" s="200" t="str">
        <f aca="false">IF($A401="","",VLOOKUP($A400,Table,MATCH(R$4,Curves,0)))</f>
        <v/>
      </c>
      <c r="S400" s="201" t="str">
        <f aca="false">IF(A401="","",R400)</f>
        <v/>
      </c>
      <c r="T400" s="200" t="str">
        <f aca="false">IF($A401="","",VLOOKUP($A400,Table,MATCH(T$4,Curves,0)))</f>
        <v/>
      </c>
      <c r="U400" s="201" t="str">
        <f aca="false">IF(A401="","",T400)</f>
        <v/>
      </c>
      <c r="V400" s="183" t="str">
        <f aca="false">IF($A401="","",IF(AND(MONTH(A400)&gt;3,MONTH(A400)&lt;11),(T400+R400+G400)*Summary!$T$8/(1-Summary!$T$8),(T400+R400+G400)*Summary!$U$8/(1-Summary!$U$8)))</f>
        <v/>
      </c>
      <c r="W400" s="200" t="str">
        <f aca="false">IF($A401="","",(T400+R400+G400+V400))</f>
        <v/>
      </c>
      <c r="X400" s="200" t="str">
        <f aca="false">IF($A401="","",(U400+S400+H400+V400))</f>
        <v/>
      </c>
      <c r="Y400" s="202"/>
      <c r="Z400" s="185"/>
      <c r="AJ400" s="218"/>
      <c r="AK400" s="218"/>
      <c r="AL400" s="218"/>
      <c r="AM400" s="218"/>
      <c r="AN400" s="218"/>
      <c r="AO400" s="137" t="str">
        <f aca="false">IF(A401="","",A401-A400)</f>
        <v/>
      </c>
      <c r="AP400" s="212" t="str">
        <f aca="false">IF(A401="","",CHOOSE(F$3,A401+24,A400))</f>
        <v/>
      </c>
      <c r="AQ400" s="209" t="str">
        <f aca="false">IF(A401="","",AP400-$E$1)</f>
        <v/>
      </c>
      <c r="AR400" s="185" t="n">
        <f aca="false">'ANR OK vs ML7'!AR400</f>
        <v>0.1</v>
      </c>
      <c r="AS400" s="213" t="str">
        <f aca="false">IF(A401="","",1/(1+CHOOSE(F$3,(AR401+($I$3/10000))/2,(AR400+($I$3/10000))/2))^(2*AQ400/365.25))</f>
        <v/>
      </c>
      <c r="AT400" s="137" t="str">
        <f aca="false">IF(A401="","",IF(AND(mthbeg&lt;=A400,mthend&gt;=A400),1,0))</f>
        <v/>
      </c>
      <c r="AU400" s="137" t="str">
        <f aca="false">IF(A401="","",AO400*AT400)</f>
        <v/>
      </c>
      <c r="AW400" s="195" t="str">
        <f aca="false">IF($A401="","",AL400*$E400)</f>
        <v/>
      </c>
      <c r="AX400" s="195" t="str">
        <f aca="false">IF($A401="","",AM400*$E400)</f>
        <v/>
      </c>
      <c r="AY400" s="195" t="str">
        <f aca="false">IF($A401="","",AN400*$E400)</f>
        <v/>
      </c>
      <c r="BA400" s="195" t="str">
        <f aca="false">IF($A401="","",F400*Summary!$Q$8)</f>
        <v/>
      </c>
    </row>
    <row r="401" customFormat="false" ht="12.75" hidden="false" customHeight="false" outlineLevel="0" collapsed="false">
      <c r="A401" s="196" t="str">
        <f aca="false">IF(A400&lt;mthend,EDATE(A400,1),"")</f>
        <v/>
      </c>
      <c r="B401" s="197" t="n">
        <f aca="false">IF(A401&lt;mthend,B400,0)</f>
        <v>0</v>
      </c>
      <c r="D401" s="197" t="str">
        <f aca="false">IF(A402&lt;&gt;"",B401+C401,"")</f>
        <v/>
      </c>
      <c r="E401" s="199" t="str">
        <f aca="false">IF(A402="","",IF(AND(AT401=1,$H$3=1),D401*AO401,IF($H$3=2,D401,"N/A")))</f>
        <v/>
      </c>
      <c r="F401" s="199" t="str">
        <f aca="false">IF(A402="","",E401*AS401)</f>
        <v/>
      </c>
      <c r="G401" s="200" t="str">
        <f aca="false">IF($A402="","",VLOOKUP($A401,Table,MATCH(G$4,Curves,0)))</f>
        <v/>
      </c>
      <c r="H401" s="201" t="str">
        <f aca="false">IF(A402="","",G401)</f>
        <v/>
      </c>
      <c r="J401" s="200" t="str">
        <f aca="false">IF($A402="","",VLOOKUP($A401,Table,MATCH(J$4,Curves,0)))</f>
        <v/>
      </c>
      <c r="K401" s="201" t="str">
        <f aca="false">IF(A402="","",J401)</f>
        <v/>
      </c>
      <c r="L401" s="200" t="str">
        <f aca="false">IF($A402="","",VLOOKUP($A401,Table,MATCH(L$4,Curves,0)))</f>
        <v/>
      </c>
      <c r="M401" s="201" t="str">
        <f aca="false">IF(A402="","",L401)</f>
        <v/>
      </c>
      <c r="O401" s="200" t="str">
        <f aca="false">IF(A402="","",L401+J401+G401)</f>
        <v/>
      </c>
      <c r="P401" s="200" t="str">
        <f aca="false">IF(A402="","",M401+K401+H401)</f>
        <v/>
      </c>
      <c r="R401" s="200" t="str">
        <f aca="false">IF($A402="","",VLOOKUP($A401,Table,MATCH(R$4,Curves,0)))</f>
        <v/>
      </c>
      <c r="S401" s="201" t="str">
        <f aca="false">IF(A402="","",R401)</f>
        <v/>
      </c>
      <c r="T401" s="200" t="str">
        <f aca="false">IF($A402="","",VLOOKUP($A401,Table,MATCH(T$4,Curves,0)))</f>
        <v/>
      </c>
      <c r="U401" s="201" t="str">
        <f aca="false">IF(A402="","",T401)</f>
        <v/>
      </c>
      <c r="V401" s="183" t="str">
        <f aca="false">IF($A402="","",IF(AND(MONTH(A401)&gt;3,MONTH(A401)&lt;11),(T401+R401+G401)*Summary!$T$8/(1-Summary!$T$8),(T401+R401+G401)*Summary!$U$8/(1-Summary!$U$8)))</f>
        <v/>
      </c>
      <c r="W401" s="200" t="str">
        <f aca="false">IF($A402="","",(T401+R401+G401+V401))</f>
        <v/>
      </c>
      <c r="X401" s="200" t="str">
        <f aca="false">IF($A402="","",(U401+S401+H401+V401))</f>
        <v/>
      </c>
      <c r="Y401" s="202"/>
      <c r="Z401" s="185"/>
      <c r="AJ401" s="218"/>
      <c r="AK401" s="218"/>
      <c r="AL401" s="218"/>
      <c r="AM401" s="218"/>
      <c r="AN401" s="218"/>
      <c r="AO401" s="137" t="str">
        <f aca="false">IF(A402="","",A402-A401)</f>
        <v/>
      </c>
      <c r="AP401" s="212" t="str">
        <f aca="false">IF(A402="","",CHOOSE(F$3,A402+24,A401))</f>
        <v/>
      </c>
      <c r="AQ401" s="209" t="str">
        <f aca="false">IF(A402="","",AP401-$E$1)</f>
        <v/>
      </c>
      <c r="AR401" s="185" t="n">
        <f aca="false">'ANR OK vs ML7'!AR401</f>
        <v>0.1</v>
      </c>
      <c r="AS401" s="213" t="str">
        <f aca="false">IF(A402="","",1/(1+CHOOSE(F$3,(AR402+($I$3/10000))/2,(AR401+($I$3/10000))/2))^(2*AQ401/365.25))</f>
        <v/>
      </c>
      <c r="AT401" s="137" t="str">
        <f aca="false">IF(A402="","",IF(AND(mthbeg&lt;=A401,mthend&gt;=A401),1,0))</f>
        <v/>
      </c>
      <c r="AU401" s="137" t="str">
        <f aca="false">IF(A402="","",AO401*AT401)</f>
        <v/>
      </c>
      <c r="AW401" s="195" t="str">
        <f aca="false">IF($A402="","",AL401*$E401)</f>
        <v/>
      </c>
      <c r="AX401" s="195" t="str">
        <f aca="false">IF($A402="","",AM401*$E401)</f>
        <v/>
      </c>
      <c r="AY401" s="195" t="str">
        <f aca="false">IF($A402="","",AN401*$E401)</f>
        <v/>
      </c>
      <c r="BA401" s="195" t="str">
        <f aca="false">IF($A402="","",F401*Summary!$Q$8)</f>
        <v/>
      </c>
    </row>
    <row r="402" customFormat="false" ht="12.75" hidden="false" customHeight="false" outlineLevel="0" collapsed="false">
      <c r="A402" s="196" t="str">
        <f aca="false">IF(A401&lt;mthend,EDATE(A401,1),"")</f>
        <v/>
      </c>
      <c r="B402" s="197" t="n">
        <f aca="false">IF(A402&lt;mthend,B401,0)</f>
        <v>0</v>
      </c>
      <c r="D402" s="197" t="str">
        <f aca="false">IF(A403&lt;&gt;"",B402+C402,"")</f>
        <v/>
      </c>
      <c r="E402" s="199" t="str">
        <f aca="false">IF(A403="","",IF(AND(AT402=1,$H$3=1),D402*AO402,IF($H$3=2,D402,"N/A")))</f>
        <v/>
      </c>
      <c r="F402" s="199" t="str">
        <f aca="false">IF(A403="","",E402*AS402)</f>
        <v/>
      </c>
      <c r="G402" s="200" t="str">
        <f aca="false">IF($A403="","",VLOOKUP($A402,Table,MATCH(G$4,Curves,0)))</f>
        <v/>
      </c>
      <c r="H402" s="201" t="str">
        <f aca="false">IF(A403="","",G402)</f>
        <v/>
      </c>
      <c r="J402" s="200" t="str">
        <f aca="false">IF($A403="","",VLOOKUP($A402,Table,MATCH(J$4,Curves,0)))</f>
        <v/>
      </c>
      <c r="K402" s="201" t="str">
        <f aca="false">IF(A403="","",J402)</f>
        <v/>
      </c>
      <c r="L402" s="200" t="str">
        <f aca="false">IF($A403="","",VLOOKUP($A402,Table,MATCH(L$4,Curves,0)))</f>
        <v/>
      </c>
      <c r="M402" s="201" t="str">
        <f aca="false">IF(A403="","",L402)</f>
        <v/>
      </c>
      <c r="O402" s="200" t="str">
        <f aca="false">IF(A403="","",L402+J402+G402)</f>
        <v/>
      </c>
      <c r="P402" s="200" t="str">
        <f aca="false">IF(A403="","",M402+K402+H402)</f>
        <v/>
      </c>
      <c r="R402" s="200" t="str">
        <f aca="false">IF($A403="","",VLOOKUP($A402,Table,MATCH(R$4,Curves,0)))</f>
        <v/>
      </c>
      <c r="S402" s="201" t="str">
        <f aca="false">IF(A403="","",R402)</f>
        <v/>
      </c>
      <c r="T402" s="200" t="str">
        <f aca="false">IF($A403="","",VLOOKUP($A402,Table,MATCH(T$4,Curves,0)))</f>
        <v/>
      </c>
      <c r="U402" s="201" t="str">
        <f aca="false">IF(A403="","",T402)</f>
        <v/>
      </c>
      <c r="V402" s="183" t="str">
        <f aca="false">IF($A403="","",IF(AND(MONTH(A402)&gt;3,MONTH(A402)&lt;11),(T402+R402+G402)*Summary!$T$8/(1-Summary!$T$8),(T402+R402+G402)*Summary!$U$8/(1-Summary!$U$8)))</f>
        <v/>
      </c>
      <c r="W402" s="200" t="str">
        <f aca="false">IF($A403="","",(T402+R402+G402+V402))</f>
        <v/>
      </c>
      <c r="X402" s="200" t="str">
        <f aca="false">IF($A403="","",(U402+S402+H402+V402))</f>
        <v/>
      </c>
      <c r="Y402" s="202"/>
      <c r="Z402" s="185"/>
      <c r="AJ402" s="218"/>
      <c r="AK402" s="218"/>
      <c r="AL402" s="218"/>
      <c r="AM402" s="218"/>
      <c r="AN402" s="218"/>
      <c r="AO402" s="137" t="str">
        <f aca="false">IF(A403="","",A403-A402)</f>
        <v/>
      </c>
      <c r="AP402" s="212" t="str">
        <f aca="false">IF(A403="","",CHOOSE(F$3,A403+24,A402))</f>
        <v/>
      </c>
      <c r="AQ402" s="209" t="str">
        <f aca="false">IF(A403="","",AP402-$E$1)</f>
        <v/>
      </c>
      <c r="AR402" s="185" t="n">
        <f aca="false">'ANR OK vs ML7'!AR402</f>
        <v>0.1</v>
      </c>
      <c r="AS402" s="213" t="str">
        <f aca="false">IF(A403="","",1/(1+CHOOSE(F$3,(AR403+($I$3/10000))/2,(AR402+($I$3/10000))/2))^(2*AQ402/365.25))</f>
        <v/>
      </c>
      <c r="AT402" s="137" t="str">
        <f aca="false">IF(A403="","",IF(AND(mthbeg&lt;=A402,mthend&gt;=A402),1,0))</f>
        <v/>
      </c>
      <c r="AU402" s="137" t="str">
        <f aca="false">IF(A403="","",AO402*AT402)</f>
        <v/>
      </c>
      <c r="AW402" s="195" t="str">
        <f aca="false">IF($A403="","",AL402*$E402)</f>
        <v/>
      </c>
      <c r="AX402" s="195" t="str">
        <f aca="false">IF($A403="","",AM402*$E402)</f>
        <v/>
      </c>
      <c r="AY402" s="195" t="str">
        <f aca="false">IF($A403="","",AN402*$E402)</f>
        <v/>
      </c>
      <c r="BA402" s="195" t="str">
        <f aca="false">IF($A403="","",F402*Summary!$Q$8)</f>
        <v/>
      </c>
    </row>
    <row r="403" customFormat="false" ht="12.75" hidden="false" customHeight="false" outlineLevel="0" collapsed="false">
      <c r="A403" s="196" t="str">
        <f aca="false">IF(A402&lt;mthend,EDATE(A402,1),"")</f>
        <v/>
      </c>
      <c r="B403" s="197" t="n">
        <f aca="false">IF(A403&lt;mthend,B402,0)</f>
        <v>0</v>
      </c>
      <c r="D403" s="197" t="str">
        <f aca="false">IF(A404&lt;&gt;"",B403+C403,"")</f>
        <v/>
      </c>
      <c r="E403" s="199" t="str">
        <f aca="false">IF(A404="","",IF(AND(AT403=1,$H$3=1),D403*AO403,IF($H$3=2,D403,"N/A")))</f>
        <v/>
      </c>
      <c r="F403" s="199" t="str">
        <f aca="false">IF(A404="","",E403*AS403)</f>
        <v/>
      </c>
      <c r="G403" s="200" t="str">
        <f aca="false">IF($A404="","",VLOOKUP($A403,Table,MATCH(G$4,Curves,0)))</f>
        <v/>
      </c>
      <c r="H403" s="201" t="str">
        <f aca="false">IF(A404="","",G403)</f>
        <v/>
      </c>
      <c r="J403" s="200" t="str">
        <f aca="false">IF($A404="","",VLOOKUP($A403,Table,MATCH(J$4,Curves,0)))</f>
        <v/>
      </c>
      <c r="K403" s="201" t="str">
        <f aca="false">IF(A404="","",J403)</f>
        <v/>
      </c>
      <c r="L403" s="200" t="str">
        <f aca="false">IF($A404="","",VLOOKUP($A403,Table,MATCH(L$4,Curves,0)))</f>
        <v/>
      </c>
      <c r="M403" s="201" t="str">
        <f aca="false">IF(A404="","",L403)</f>
        <v/>
      </c>
      <c r="O403" s="200" t="str">
        <f aca="false">IF(A404="","",L403+J403+G403)</f>
        <v/>
      </c>
      <c r="P403" s="200" t="str">
        <f aca="false">IF(A404="","",M403+K403+H403)</f>
        <v/>
      </c>
      <c r="R403" s="200" t="str">
        <f aca="false">IF($A404="","",VLOOKUP($A403,Table,MATCH(R$4,Curves,0)))</f>
        <v/>
      </c>
      <c r="S403" s="201" t="str">
        <f aca="false">IF(A404="","",R403)</f>
        <v/>
      </c>
      <c r="T403" s="200" t="str">
        <f aca="false">IF($A404="","",VLOOKUP($A403,Table,MATCH(T$4,Curves,0)))</f>
        <v/>
      </c>
      <c r="U403" s="201" t="str">
        <f aca="false">IF(A404="","",T403)</f>
        <v/>
      </c>
      <c r="V403" s="183" t="str">
        <f aca="false">IF($A404="","",IF(AND(MONTH(A403)&gt;3,MONTH(A403)&lt;11),(T403+R403+G403)*Summary!$T$8/(1-Summary!$T$8),(T403+R403+G403)*Summary!$U$8/(1-Summary!$U$8)))</f>
        <v/>
      </c>
      <c r="W403" s="200" t="str">
        <f aca="false">IF($A404="","",(T403+R403+G403+V403))</f>
        <v/>
      </c>
      <c r="X403" s="200" t="str">
        <f aca="false">IF($A404="","",(U403+S403+H403+V403))</f>
        <v/>
      </c>
      <c r="Y403" s="202"/>
      <c r="Z403" s="185"/>
      <c r="AJ403" s="77"/>
      <c r="AK403" s="77"/>
      <c r="AL403" s="77"/>
      <c r="AM403" s="77"/>
      <c r="AN403" s="77"/>
      <c r="AO403" s="137" t="str">
        <f aca="false">IF(A404="","",A404-A403)</f>
        <v/>
      </c>
      <c r="AP403" s="212" t="str">
        <f aca="false">IF(A404="","",CHOOSE(F$3,A404+24,A403))</f>
        <v/>
      </c>
      <c r="AQ403" s="209" t="str">
        <f aca="false">IF(A404="","",AP403-$E$1)</f>
        <v/>
      </c>
      <c r="AR403" s="185" t="n">
        <f aca="false">'ANR OK vs ML7'!AR403</f>
        <v>0.1</v>
      </c>
      <c r="AS403" s="213" t="str">
        <f aca="false">IF(A404="","",1/(1+CHOOSE(F$3,(AR404+($I$3/10000))/2,(AR403+($I$3/10000))/2))^(2*AQ403/365.25))</f>
        <v/>
      </c>
      <c r="AT403" s="137" t="str">
        <f aca="false">IF(A404="","",IF(AND(mthbeg&lt;=A403,mthend&gt;=A403),1,0))</f>
        <v/>
      </c>
      <c r="AU403" s="137" t="str">
        <f aca="false">IF(A404="","",AO403*AT403)</f>
        <v/>
      </c>
      <c r="AW403" s="195" t="str">
        <f aca="false">IF($A404="","",AL403*$E403)</f>
        <v/>
      </c>
      <c r="AX403" s="195" t="str">
        <f aca="false">IF($A404="","",AM403*$E403)</f>
        <v/>
      </c>
      <c r="AY403" s="195" t="str">
        <f aca="false">IF($A404="","",AN403*$E403)</f>
        <v/>
      </c>
      <c r="BA403" s="195" t="str">
        <f aca="false">IF($A404="","",F403*Summary!$Q$8)</f>
        <v/>
      </c>
    </row>
    <row r="404" customFormat="false" ht="12.75" hidden="false" customHeight="false" outlineLevel="0" collapsed="false">
      <c r="A404" s="196" t="str">
        <f aca="false">IF(A403&lt;mthend,EDATE(A403,1),"")</f>
        <v/>
      </c>
      <c r="B404" s="197" t="n">
        <f aca="false">IF(A404&lt;mthend,B403,0)</f>
        <v>0</v>
      </c>
      <c r="D404" s="197" t="str">
        <f aca="false">IF(A405&lt;&gt;"",B404+C404,"")</f>
        <v/>
      </c>
      <c r="E404" s="199" t="str">
        <f aca="false">IF(A405="","",IF(AND(AT404=1,$H$3=1),D404*AO404,IF($H$3=2,D404,"N/A")))</f>
        <v/>
      </c>
      <c r="F404" s="199" t="str">
        <f aca="false">IF(A405="","",E404*AS404)</f>
        <v/>
      </c>
      <c r="G404" s="200" t="str">
        <f aca="false">IF($A405="","",VLOOKUP($A404,Table,MATCH(G$4,Curves,0)))</f>
        <v/>
      </c>
      <c r="H404" s="201" t="str">
        <f aca="false">IF(A405="","",G404)</f>
        <v/>
      </c>
      <c r="J404" s="200" t="str">
        <f aca="false">IF($A405="","",VLOOKUP($A404,Table,MATCH(J$4,Curves,0)))</f>
        <v/>
      </c>
      <c r="K404" s="201" t="str">
        <f aca="false">IF(A405="","",J404)</f>
        <v/>
      </c>
      <c r="L404" s="200" t="str">
        <f aca="false">IF($A405="","",VLOOKUP($A404,Table,MATCH(L$4,Curves,0)))</f>
        <v/>
      </c>
      <c r="M404" s="201" t="str">
        <f aca="false">IF(A405="","",L404)</f>
        <v/>
      </c>
      <c r="O404" s="200" t="str">
        <f aca="false">IF(A405="","",L404+J404+G404)</f>
        <v/>
      </c>
      <c r="P404" s="200" t="str">
        <f aca="false">IF(A405="","",M404+K404+H404)</f>
        <v/>
      </c>
      <c r="R404" s="200" t="str">
        <f aca="false">IF($A405="","",VLOOKUP($A404,Table,MATCH(R$4,Curves,0)))</f>
        <v/>
      </c>
      <c r="S404" s="201" t="str">
        <f aca="false">IF(A405="","",R404)</f>
        <v/>
      </c>
      <c r="T404" s="200" t="str">
        <f aca="false">IF($A405="","",VLOOKUP($A404,Table,MATCH(T$4,Curves,0)))</f>
        <v/>
      </c>
      <c r="U404" s="201" t="str">
        <f aca="false">IF(A405="","",T404)</f>
        <v/>
      </c>
      <c r="V404" s="183" t="str">
        <f aca="false">IF($A405="","",IF(AND(MONTH(A404)&gt;3,MONTH(A404)&lt;11),(T404+R404+G404)*Summary!$T$8/(1-Summary!$T$8),(T404+R404+G404)*Summary!$U$8/(1-Summary!$U$8)))</f>
        <v/>
      </c>
      <c r="W404" s="200" t="str">
        <f aca="false">IF($A405="","",(T404+R404+G404+V404))</f>
        <v/>
      </c>
      <c r="X404" s="200" t="str">
        <f aca="false">IF($A405="","",(U404+S404+H404+V404))</f>
        <v/>
      </c>
      <c r="Y404" s="202"/>
      <c r="Z404" s="185"/>
      <c r="AJ404" s="77"/>
      <c r="AK404" s="77"/>
      <c r="AL404" s="77"/>
      <c r="AM404" s="77"/>
      <c r="AN404" s="77"/>
      <c r="AO404" s="137" t="str">
        <f aca="false">IF(A405="","",A405-A404)</f>
        <v/>
      </c>
      <c r="AP404" s="212" t="str">
        <f aca="false">IF(A405="","",CHOOSE(F$3,A405+24,A404))</f>
        <v/>
      </c>
      <c r="AQ404" s="209" t="str">
        <f aca="false">IF(A405="","",AP404-$E$1)</f>
        <v/>
      </c>
      <c r="AR404" s="185" t="n">
        <f aca="false">'ANR OK vs ML7'!AR404</f>
        <v>0.1</v>
      </c>
      <c r="AS404" s="213" t="str">
        <f aca="false">IF(A405="","",1/(1+CHOOSE(F$3,(AR405+($I$3/10000))/2,(AR404+($I$3/10000))/2))^(2*AQ404/365.25))</f>
        <v/>
      </c>
      <c r="AT404" s="137" t="str">
        <f aca="false">IF(A405="","",IF(AND(mthbeg&lt;=A404,mthend&gt;=A404),1,0))</f>
        <v/>
      </c>
      <c r="AU404" s="137" t="str">
        <f aca="false">IF(A405="","",AO404*AT404)</f>
        <v/>
      </c>
      <c r="AW404" s="195" t="str">
        <f aca="false">IF($A405="","",AL404*$E404)</f>
        <v/>
      </c>
      <c r="AX404" s="195" t="str">
        <f aca="false">IF($A405="","",AM404*$E404)</f>
        <v/>
      </c>
      <c r="AY404" s="195" t="str">
        <f aca="false">IF($A405="","",AN404*$E404)</f>
        <v/>
      </c>
      <c r="BA404" s="195" t="str">
        <f aca="false">IF($A405="","",F404*Summary!$Q$8)</f>
        <v/>
      </c>
    </row>
    <row r="405" customFormat="false" ht="12.75" hidden="false" customHeight="false" outlineLevel="0" collapsed="false">
      <c r="A405" s="196" t="str">
        <f aca="false">IF(A404&lt;mthend,EDATE(A404,1),"")</f>
        <v/>
      </c>
      <c r="B405" s="197" t="n">
        <f aca="false">IF(A405&lt;mthend,B404,0)</f>
        <v>0</v>
      </c>
      <c r="D405" s="197" t="str">
        <f aca="false">IF(A406&lt;&gt;"",B405+C405,"")</f>
        <v/>
      </c>
      <c r="E405" s="199" t="str">
        <f aca="false">IF(A406="","",IF(AND(AT405=1,$H$3=1),D405*AO405,IF($H$3=2,D405,"N/A")))</f>
        <v/>
      </c>
      <c r="F405" s="199" t="str">
        <f aca="false">IF(A406="","",E405*AS405)</f>
        <v/>
      </c>
      <c r="G405" s="200" t="str">
        <f aca="false">IF($A406="","",VLOOKUP($A405,Table,MATCH(G$4,Curves,0)))</f>
        <v/>
      </c>
      <c r="H405" s="201" t="str">
        <f aca="false">IF(A406="","",G405)</f>
        <v/>
      </c>
      <c r="J405" s="200" t="str">
        <f aca="false">IF($A406="","",VLOOKUP($A405,Table,MATCH(J$4,Curves,0)))</f>
        <v/>
      </c>
      <c r="K405" s="201" t="str">
        <f aca="false">IF(A406="","",J405)</f>
        <v/>
      </c>
      <c r="L405" s="200" t="str">
        <f aca="false">IF($A406="","",VLOOKUP($A405,Table,MATCH(L$4,Curves,0)))</f>
        <v/>
      </c>
      <c r="M405" s="201" t="str">
        <f aca="false">IF(A406="","",L405)</f>
        <v/>
      </c>
      <c r="O405" s="200" t="str">
        <f aca="false">IF(A406="","",L405+J405+G405)</f>
        <v/>
      </c>
      <c r="P405" s="200" t="str">
        <f aca="false">IF(A406="","",M405+K405+H405)</f>
        <v/>
      </c>
      <c r="R405" s="200" t="str">
        <f aca="false">IF($A406="","",VLOOKUP($A405,Table,MATCH(R$4,Curves,0)))</f>
        <v/>
      </c>
      <c r="S405" s="201" t="str">
        <f aca="false">IF(A406="","",R405)</f>
        <v/>
      </c>
      <c r="T405" s="200" t="str">
        <f aca="false">IF($A406="","",VLOOKUP($A405,Table,MATCH(T$4,Curves,0)))</f>
        <v/>
      </c>
      <c r="U405" s="201" t="str">
        <f aca="false">IF(A406="","",T405)</f>
        <v/>
      </c>
      <c r="V405" s="183" t="str">
        <f aca="false">IF($A406="","",IF(AND(MONTH(A405)&gt;3,MONTH(A405)&lt;11),(T405+R405+G405)*Summary!$T$8/(1-Summary!$T$8),(T405+R405+G405)*Summary!$U$8/(1-Summary!$U$8)))</f>
        <v/>
      </c>
      <c r="W405" s="200" t="str">
        <f aca="false">IF($A406="","",(T405+R405+G405+V405))</f>
        <v/>
      </c>
      <c r="X405" s="200" t="str">
        <f aca="false">IF($A406="","",(U405+S405+H405+V405))</f>
        <v/>
      </c>
      <c r="Y405" s="202"/>
      <c r="Z405" s="185"/>
      <c r="AJ405" s="77"/>
      <c r="AK405" s="77"/>
      <c r="AL405" s="77"/>
      <c r="AM405" s="77"/>
      <c r="AN405" s="77"/>
      <c r="AO405" s="137" t="str">
        <f aca="false">IF(A406="","",A406-A405)</f>
        <v/>
      </c>
      <c r="AP405" s="212" t="str">
        <f aca="false">IF(A406="","",CHOOSE(F$3,A406+24,A405))</f>
        <v/>
      </c>
      <c r="AQ405" s="209" t="str">
        <f aca="false">IF(A406="","",AP405-$E$1)</f>
        <v/>
      </c>
      <c r="AR405" s="185" t="n">
        <f aca="false">'ANR OK vs ML7'!AR405</f>
        <v>0.1</v>
      </c>
      <c r="AS405" s="213" t="str">
        <f aca="false">IF(A406="","",1/(1+CHOOSE(F$3,(AR406+($I$3/10000))/2,(AR405+($I$3/10000))/2))^(2*AQ405/365.25))</f>
        <v/>
      </c>
      <c r="AT405" s="137" t="str">
        <f aca="false">IF(A406="","",IF(AND(mthbeg&lt;=A405,mthend&gt;=A405),1,0))</f>
        <v/>
      </c>
      <c r="AU405" s="137" t="str">
        <f aca="false">IF(A406="","",AO405*AT405)</f>
        <v/>
      </c>
      <c r="AW405" s="195" t="str">
        <f aca="false">IF($A406="","",AL405*$E405)</f>
        <v/>
      </c>
      <c r="AX405" s="195" t="str">
        <f aca="false">IF($A406="","",AM405*$E405)</f>
        <v/>
      </c>
      <c r="AY405" s="195" t="str">
        <f aca="false">IF($A406="","",AN405*$E405)</f>
        <v/>
      </c>
      <c r="BA405" s="195" t="str">
        <f aca="false">IF($A406="","",F405*Summary!$Q$8)</f>
        <v/>
      </c>
    </row>
    <row r="406" customFormat="false" ht="12.75" hidden="false" customHeight="false" outlineLevel="0" collapsed="false">
      <c r="A406" s="196" t="str">
        <f aca="false">IF(A405&lt;mthend,EDATE(A405,1),"")</f>
        <v/>
      </c>
      <c r="B406" s="197" t="n">
        <f aca="false">IF(A406&lt;mthend,B405,0)</f>
        <v>0</v>
      </c>
      <c r="D406" s="197" t="str">
        <f aca="false">IF(A407&lt;&gt;"",B406+C406,"")</f>
        <v/>
      </c>
      <c r="E406" s="199" t="str">
        <f aca="false">IF(A407="","",IF(AND(AT406=1,$H$3=1),D406*AO406,IF($H$3=2,D406,"N/A")))</f>
        <v/>
      </c>
      <c r="F406" s="199" t="str">
        <f aca="false">IF(A407="","",E406*AS406)</f>
        <v/>
      </c>
      <c r="G406" s="200" t="str">
        <f aca="false">IF($A407="","",VLOOKUP($A406,Table,MATCH(G$4,Curves,0)))</f>
        <v/>
      </c>
      <c r="H406" s="201" t="str">
        <f aca="false">IF(A407="","",G406)</f>
        <v/>
      </c>
      <c r="J406" s="200" t="str">
        <f aca="false">IF($A407="","",VLOOKUP($A406,Table,MATCH(J$4,Curves,0)))</f>
        <v/>
      </c>
      <c r="K406" s="201" t="str">
        <f aca="false">IF(A407="","",J406)</f>
        <v/>
      </c>
      <c r="L406" s="200" t="str">
        <f aca="false">IF($A407="","",VLOOKUP($A406,Table,MATCH(L$4,Curves,0)))</f>
        <v/>
      </c>
      <c r="M406" s="201" t="str">
        <f aca="false">IF(A407="","",L406)</f>
        <v/>
      </c>
      <c r="O406" s="200" t="str">
        <f aca="false">IF(A407="","",L406+J406+G406)</f>
        <v/>
      </c>
      <c r="P406" s="200" t="str">
        <f aca="false">IF(A407="","",M406+K406+H406)</f>
        <v/>
      </c>
      <c r="R406" s="200" t="str">
        <f aca="false">IF($A407="","",VLOOKUP($A406,Table,MATCH(R$4,Curves,0)))</f>
        <v/>
      </c>
      <c r="S406" s="201" t="str">
        <f aca="false">IF(A407="","",R406)</f>
        <v/>
      </c>
      <c r="T406" s="200" t="str">
        <f aca="false">IF($A407="","",VLOOKUP($A406,Table,MATCH(T$4,Curves,0)))</f>
        <v/>
      </c>
      <c r="U406" s="201" t="str">
        <f aca="false">IF(A407="","",T406)</f>
        <v/>
      </c>
      <c r="V406" s="183" t="str">
        <f aca="false">IF($A407="","",IF(AND(MONTH(A406)&gt;3,MONTH(A406)&lt;11),(T406+R406+G406)*Summary!$T$8/(1-Summary!$T$8),(T406+R406+G406)*Summary!$U$8/(1-Summary!$U$8)))</f>
        <v/>
      </c>
      <c r="W406" s="200" t="str">
        <f aca="false">IF($A407="","",(T406+R406+G406+V406))</f>
        <v/>
      </c>
      <c r="X406" s="200" t="str">
        <f aca="false">IF($A407="","",(U406+S406+H406+V406))</f>
        <v/>
      </c>
      <c r="Y406" s="202"/>
      <c r="Z406" s="185"/>
      <c r="AJ406" s="77"/>
      <c r="AK406" s="77"/>
      <c r="AL406" s="77"/>
      <c r="AM406" s="77"/>
      <c r="AN406" s="77"/>
      <c r="AO406" s="137" t="str">
        <f aca="false">IF(A407="","",A407-A406)</f>
        <v/>
      </c>
      <c r="AP406" s="212" t="str">
        <f aca="false">IF(A407="","",CHOOSE(F$3,A407+24,A406))</f>
        <v/>
      </c>
      <c r="AQ406" s="209" t="str">
        <f aca="false">IF(A407="","",AP406-$E$1)</f>
        <v/>
      </c>
      <c r="AR406" s="185" t="n">
        <f aca="false">'ANR OK vs ML7'!AR406</f>
        <v>0.1</v>
      </c>
      <c r="AS406" s="213" t="str">
        <f aca="false">IF(A407="","",1/(1+CHOOSE(F$3,(AR407+($I$3/10000))/2,(AR406+($I$3/10000))/2))^(2*AQ406/365.25))</f>
        <v/>
      </c>
      <c r="AT406" s="137" t="str">
        <f aca="false">IF(A407="","",IF(AND(mthbeg&lt;=A406,mthend&gt;=A406),1,0))</f>
        <v/>
      </c>
      <c r="AU406" s="137" t="str">
        <f aca="false">IF(A407="","",AO406*AT406)</f>
        <v/>
      </c>
      <c r="AW406" s="195" t="str">
        <f aca="false">IF($A407="","",AL406*$E406)</f>
        <v/>
      </c>
      <c r="AX406" s="195" t="str">
        <f aca="false">IF($A407="","",AM406*$E406)</f>
        <v/>
      </c>
      <c r="AY406" s="195" t="str">
        <f aca="false">IF($A407="","",AN406*$E406)</f>
        <v/>
      </c>
      <c r="BA406" s="195" t="str">
        <f aca="false">IF($A407="","",F406*Summary!$Q$8)</f>
        <v/>
      </c>
    </row>
    <row r="407" customFormat="false" ht="12.75" hidden="false" customHeight="false" outlineLevel="0" collapsed="false">
      <c r="A407" s="196" t="str">
        <f aca="false">IF(A406&lt;mthend,EDATE(A406,1),"")</f>
        <v/>
      </c>
      <c r="B407" s="197" t="n">
        <f aca="false">IF(A407&lt;mthend,B406,0)</f>
        <v>0</v>
      </c>
      <c r="D407" s="197" t="str">
        <f aca="false">IF(A408&lt;&gt;"",B407+C407,"")</f>
        <v/>
      </c>
      <c r="E407" s="199" t="str">
        <f aca="false">IF(A408="","",IF(AND(AT407=1,$H$3=1),D407*AO407,IF($H$3=2,D407,"N/A")))</f>
        <v/>
      </c>
      <c r="F407" s="199" t="str">
        <f aca="false">IF(A408="","",E407*AS407)</f>
        <v/>
      </c>
      <c r="G407" s="200" t="str">
        <f aca="false">IF($A408="","",VLOOKUP($A407,Table,MATCH(G$4,Curves,0)))</f>
        <v/>
      </c>
      <c r="H407" s="201" t="str">
        <f aca="false">IF(A408="","",G407)</f>
        <v/>
      </c>
      <c r="J407" s="200" t="str">
        <f aca="false">IF($A408="","",VLOOKUP($A407,Table,MATCH(J$4,Curves,0)))</f>
        <v/>
      </c>
      <c r="K407" s="201" t="str">
        <f aca="false">IF(A408="","",J407)</f>
        <v/>
      </c>
      <c r="L407" s="200" t="str">
        <f aca="false">IF($A408="","",VLOOKUP($A407,Table,MATCH(L$4,Curves,0)))</f>
        <v/>
      </c>
      <c r="M407" s="201" t="str">
        <f aca="false">IF(A408="","",L407)</f>
        <v/>
      </c>
      <c r="O407" s="200" t="str">
        <f aca="false">IF(A408="","",L407+J407+G407)</f>
        <v/>
      </c>
      <c r="P407" s="200" t="str">
        <f aca="false">IF(A408="","",M407+K407+H407)</f>
        <v/>
      </c>
      <c r="R407" s="200" t="str">
        <f aca="false">IF($A408="","",VLOOKUP($A407,Table,MATCH(R$4,Curves,0)))</f>
        <v/>
      </c>
      <c r="S407" s="201" t="str">
        <f aca="false">IF(A408="","",R407)</f>
        <v/>
      </c>
      <c r="T407" s="200" t="str">
        <f aca="false">IF($A408="","",VLOOKUP($A407,Table,MATCH(T$4,Curves,0)))</f>
        <v/>
      </c>
      <c r="U407" s="201" t="str">
        <f aca="false">IF(A408="","",T407)</f>
        <v/>
      </c>
      <c r="V407" s="183" t="str">
        <f aca="false">IF($A408="","",IF(AND(MONTH(A407)&gt;3,MONTH(A407)&lt;11),(T407+R407+G407)*Summary!$T$8/(1-Summary!$T$8),(T407+R407+G407)*Summary!$U$8/(1-Summary!$U$8)))</f>
        <v/>
      </c>
      <c r="W407" s="200" t="str">
        <f aca="false">IF($A408="","",(T407+R407+G407+V407))</f>
        <v/>
      </c>
      <c r="X407" s="200" t="str">
        <f aca="false">IF($A408="","",(U407+S407+H407+V407))</f>
        <v/>
      </c>
      <c r="Y407" s="202"/>
      <c r="Z407" s="185"/>
      <c r="AJ407" s="77"/>
      <c r="AK407" s="77"/>
      <c r="AL407" s="77"/>
      <c r="AM407" s="77"/>
      <c r="AN407" s="77"/>
      <c r="AO407" s="137" t="str">
        <f aca="false">IF(A408="","",A408-A407)</f>
        <v/>
      </c>
      <c r="AP407" s="212" t="str">
        <f aca="false">IF(A408="","",CHOOSE(F$3,A408+24,A407))</f>
        <v/>
      </c>
      <c r="AQ407" s="209" t="str">
        <f aca="false">IF(A408="","",AP407-$E$1)</f>
        <v/>
      </c>
      <c r="AR407" s="185" t="n">
        <f aca="false">'ANR OK vs ML7'!AR407</f>
        <v>0.1</v>
      </c>
      <c r="AS407" s="213" t="str">
        <f aca="false">IF(A408="","",1/(1+CHOOSE(F$3,(AR408+($I$3/10000))/2,(AR407+($I$3/10000))/2))^(2*AQ407/365.25))</f>
        <v/>
      </c>
      <c r="AT407" s="137" t="str">
        <f aca="false">IF(A408="","",IF(AND(mthbeg&lt;=A407,mthend&gt;=A407),1,0))</f>
        <v/>
      </c>
      <c r="AU407" s="137" t="str">
        <f aca="false">IF(A408="","",AO407*AT407)</f>
        <v/>
      </c>
      <c r="AW407" s="195" t="str">
        <f aca="false">IF($A408="","",AL407*$E407)</f>
        <v/>
      </c>
      <c r="AX407" s="195" t="str">
        <f aca="false">IF($A408="","",AM407*$E407)</f>
        <v/>
      </c>
      <c r="AY407" s="195" t="str">
        <f aca="false">IF($A408="","",AN407*$E407)</f>
        <v/>
      </c>
      <c r="BA407" s="195" t="str">
        <f aca="false">IF($A408="","",F407*Summary!$Q$8)</f>
        <v/>
      </c>
    </row>
    <row r="408" customFormat="false" ht="12.75" hidden="false" customHeight="false" outlineLevel="0" collapsed="false">
      <c r="A408" s="196" t="str">
        <f aca="false">IF(A407&lt;mthend,EDATE(A407,1),"")</f>
        <v/>
      </c>
      <c r="B408" s="197" t="n">
        <f aca="false">IF(A408&lt;mthend,B407,0)</f>
        <v>0</v>
      </c>
      <c r="D408" s="197" t="str">
        <f aca="false">IF(A409&lt;&gt;"",B408+C408,"")</f>
        <v/>
      </c>
      <c r="E408" s="199" t="str">
        <f aca="false">IF(A409="","",IF(AND(AT408=1,$H$3=1),D408*AO408,IF($H$3=2,D408,"N/A")))</f>
        <v/>
      </c>
      <c r="F408" s="199" t="str">
        <f aca="false">IF(A409="","",E408*AS408)</f>
        <v/>
      </c>
      <c r="G408" s="200" t="str">
        <f aca="false">IF($A409="","",VLOOKUP($A408,Table,MATCH(G$4,Curves,0)))</f>
        <v/>
      </c>
      <c r="H408" s="201" t="str">
        <f aca="false">IF(A409="","",G408)</f>
        <v/>
      </c>
      <c r="J408" s="200" t="str">
        <f aca="false">IF($A409="","",VLOOKUP($A408,Table,MATCH(J$4,Curves,0)))</f>
        <v/>
      </c>
      <c r="K408" s="201" t="str">
        <f aca="false">IF(A409="","",J408)</f>
        <v/>
      </c>
      <c r="L408" s="200" t="str">
        <f aca="false">IF($A409="","",VLOOKUP($A408,Table,MATCH(L$4,Curves,0)))</f>
        <v/>
      </c>
      <c r="M408" s="201" t="str">
        <f aca="false">IF(A409="","",L408)</f>
        <v/>
      </c>
      <c r="O408" s="200" t="str">
        <f aca="false">IF(A409="","",L408+J408+G408)</f>
        <v/>
      </c>
      <c r="P408" s="200" t="str">
        <f aca="false">IF(A409="","",M408+K408+H408)</f>
        <v/>
      </c>
      <c r="R408" s="200" t="str">
        <f aca="false">IF($A409="","",VLOOKUP($A408,Table,MATCH(R$4,Curves,0)))</f>
        <v/>
      </c>
      <c r="S408" s="201" t="str">
        <f aca="false">IF(A409="","",R408)</f>
        <v/>
      </c>
      <c r="T408" s="200" t="str">
        <f aca="false">IF($A409="","",VLOOKUP($A408,Table,MATCH(T$4,Curves,0)))</f>
        <v/>
      </c>
      <c r="U408" s="201" t="str">
        <f aca="false">IF(A409="","",T408)</f>
        <v/>
      </c>
      <c r="V408" s="183" t="str">
        <f aca="false">IF($A409="","",IF(AND(MONTH(A408)&gt;3,MONTH(A408)&lt;11),(T408+R408+G408)*Summary!$T$8/(1-Summary!$T$8),(T408+R408+G408)*Summary!$U$8/(1-Summary!$U$8)))</f>
        <v/>
      </c>
      <c r="W408" s="200" t="str">
        <f aca="false">IF($A409="","",(T408+R408+G408+V408))</f>
        <v/>
      </c>
      <c r="X408" s="200" t="str">
        <f aca="false">IF($A409="","",(U408+S408+H408+V408))</f>
        <v/>
      </c>
      <c r="Y408" s="202"/>
      <c r="Z408" s="185"/>
      <c r="AJ408" s="77"/>
      <c r="AK408" s="77"/>
      <c r="AL408" s="77"/>
      <c r="AM408" s="77"/>
      <c r="AN408" s="77"/>
      <c r="AO408" s="137" t="str">
        <f aca="false">IF(A409="","",A409-A408)</f>
        <v/>
      </c>
      <c r="AP408" s="212" t="str">
        <f aca="false">IF(A409="","",CHOOSE(F$3,A409+24,A408))</f>
        <v/>
      </c>
      <c r="AQ408" s="209" t="str">
        <f aca="false">IF(A409="","",AP408-$E$1)</f>
        <v/>
      </c>
      <c r="AR408" s="185" t="n">
        <f aca="false">'ANR OK vs ML7'!AR408</f>
        <v>0.1</v>
      </c>
      <c r="AS408" s="213" t="str">
        <f aca="false">IF(A409="","",1/(1+CHOOSE(F$3,(AR409+($I$3/10000))/2,(AR408+($I$3/10000))/2))^(2*AQ408/365.25))</f>
        <v/>
      </c>
      <c r="AT408" s="137" t="str">
        <f aca="false">IF(A409="","",IF(AND(mthbeg&lt;=A408,mthend&gt;=A408),1,0))</f>
        <v/>
      </c>
      <c r="AU408" s="137" t="str">
        <f aca="false">IF(A409="","",AO408*AT408)</f>
        <v/>
      </c>
      <c r="AW408" s="195" t="str">
        <f aca="false">IF($A409="","",AL408*$E408)</f>
        <v/>
      </c>
      <c r="AX408" s="195" t="str">
        <f aca="false">IF($A409="","",AM408*$E408)</f>
        <v/>
      </c>
      <c r="AY408" s="195" t="str">
        <f aca="false">IF($A409="","",AN408*$E408)</f>
        <v/>
      </c>
      <c r="BA408" s="195" t="str">
        <f aca="false">IF($A409="","",F408*Summary!$Q$8)</f>
        <v/>
      </c>
    </row>
    <row r="409" customFormat="false" ht="12.75" hidden="false" customHeight="false" outlineLevel="0" collapsed="false">
      <c r="A409" s="196" t="str">
        <f aca="false">IF(A408&lt;mthend,EDATE(A408,1),"")</f>
        <v/>
      </c>
      <c r="B409" s="197" t="n">
        <f aca="false">IF(A409&lt;mthend,B408,0)</f>
        <v>0</v>
      </c>
      <c r="D409" s="197" t="str">
        <f aca="false">IF(A410&lt;&gt;"",B409+C409,"")</f>
        <v/>
      </c>
      <c r="E409" s="199" t="str">
        <f aca="false">IF(A410="","",IF(AND(AT409=1,$H$3=1),D409*AO409,IF($H$3=2,D409,"N/A")))</f>
        <v/>
      </c>
      <c r="F409" s="199" t="str">
        <f aca="false">IF(A410="","",E409*AS409)</f>
        <v/>
      </c>
      <c r="G409" s="200" t="str">
        <f aca="false">IF($A410="","",VLOOKUP($A409,Table,MATCH(G$4,Curves,0)))</f>
        <v/>
      </c>
      <c r="H409" s="201" t="str">
        <f aca="false">IF(A410="","",G409)</f>
        <v/>
      </c>
      <c r="J409" s="200" t="str">
        <f aca="false">IF($A410="","",VLOOKUP($A409,Table,MATCH(J$4,Curves,0)))</f>
        <v/>
      </c>
      <c r="K409" s="201" t="str">
        <f aca="false">IF(A410="","",J409)</f>
        <v/>
      </c>
      <c r="L409" s="200" t="str">
        <f aca="false">IF($A410="","",VLOOKUP($A409,Table,MATCH(L$4,Curves,0)))</f>
        <v/>
      </c>
      <c r="M409" s="201" t="str">
        <f aca="false">IF(A410="","",L409)</f>
        <v/>
      </c>
      <c r="O409" s="200" t="str">
        <f aca="false">IF(A410="","",L409+J409+G409)</f>
        <v/>
      </c>
      <c r="P409" s="200" t="str">
        <f aca="false">IF(A410="","",M409+K409+H409)</f>
        <v/>
      </c>
      <c r="R409" s="200" t="str">
        <f aca="false">IF($A410="","",VLOOKUP($A409,Table,MATCH(R$4,Curves,0)))</f>
        <v/>
      </c>
      <c r="S409" s="201" t="str">
        <f aca="false">IF(A410="","",R409)</f>
        <v/>
      </c>
      <c r="T409" s="200" t="str">
        <f aca="false">IF($A410="","",VLOOKUP($A409,Table,MATCH(T$4,Curves,0)))</f>
        <v/>
      </c>
      <c r="U409" s="201" t="str">
        <f aca="false">IF(A410="","",T409)</f>
        <v/>
      </c>
      <c r="V409" s="183" t="str">
        <f aca="false">IF($A410="","",IF(AND(MONTH(A409)&gt;3,MONTH(A409)&lt;11),(T409+R409+G409)*Summary!$T$8/(1-Summary!$T$8),(T409+R409+G409)*Summary!$U$8/(1-Summary!$U$8)))</f>
        <v/>
      </c>
      <c r="W409" s="200" t="str">
        <f aca="false">IF($A410="","",(T409+R409+G409+V409))</f>
        <v/>
      </c>
      <c r="X409" s="200" t="str">
        <f aca="false">IF($A410="","",(U409+S409+H409+V409))</f>
        <v/>
      </c>
      <c r="Y409" s="202"/>
      <c r="Z409" s="185"/>
      <c r="AJ409" s="77"/>
      <c r="AK409" s="77"/>
      <c r="AL409" s="77"/>
      <c r="AM409" s="77"/>
      <c r="AN409" s="77"/>
      <c r="AO409" s="137" t="str">
        <f aca="false">IF(A410="","",A410-A409)</f>
        <v/>
      </c>
      <c r="AP409" s="212" t="str">
        <f aca="false">IF(A410="","",CHOOSE(F$3,A410+24,A409))</f>
        <v/>
      </c>
      <c r="AQ409" s="209" t="str">
        <f aca="false">IF(A410="","",AP409-$E$1)</f>
        <v/>
      </c>
      <c r="AR409" s="185" t="n">
        <f aca="false">'ANR OK vs ML7'!AR409</f>
        <v>0.1</v>
      </c>
      <c r="AS409" s="213" t="str">
        <f aca="false">IF(A410="","",1/(1+CHOOSE(F$3,(AR410+($I$3/10000))/2,(AR409+($I$3/10000))/2))^(2*AQ409/365.25))</f>
        <v/>
      </c>
      <c r="AT409" s="137" t="str">
        <f aca="false">IF(A410="","",IF(AND(mthbeg&lt;=A409,mthend&gt;=A409),1,0))</f>
        <v/>
      </c>
      <c r="AU409" s="137" t="str">
        <f aca="false">IF(A410="","",AO409*AT409)</f>
        <v/>
      </c>
      <c r="AW409" s="195" t="str">
        <f aca="false">IF($A410="","",AL409*$E409)</f>
        <v/>
      </c>
      <c r="AX409" s="195" t="str">
        <f aca="false">IF($A410="","",AM409*$E409)</f>
        <v/>
      </c>
      <c r="AY409" s="195" t="str">
        <f aca="false">IF($A410="","",AN409*$E409)</f>
        <v/>
      </c>
      <c r="BA409" s="195" t="str">
        <f aca="false">IF($A410="","",F409*Summary!$Q$8)</f>
        <v/>
      </c>
    </row>
    <row r="410" customFormat="false" ht="12.75" hidden="false" customHeight="false" outlineLevel="0" collapsed="false">
      <c r="A410" s="196" t="str">
        <f aca="false">IF(A409&lt;mthend,EDATE(A409,1),"")</f>
        <v/>
      </c>
      <c r="B410" s="197" t="n">
        <f aca="false">IF(A410&lt;mthend,B409,0)</f>
        <v>0</v>
      </c>
      <c r="D410" s="197" t="str">
        <f aca="false">IF(A411&lt;&gt;"",B410+C410,"")</f>
        <v/>
      </c>
      <c r="E410" s="199" t="str">
        <f aca="false">IF(A411="","",IF(AND(AT410=1,$H$3=1),D410*AO410,IF($H$3=2,D410,"N/A")))</f>
        <v/>
      </c>
      <c r="F410" s="199" t="str">
        <f aca="false">IF(A411="","",E410*AS410)</f>
        <v/>
      </c>
      <c r="G410" s="200" t="str">
        <f aca="false">IF($A411="","",VLOOKUP($A410,Table,MATCH(G$4,Curves,0)))</f>
        <v/>
      </c>
      <c r="H410" s="201" t="str">
        <f aca="false">IF(A411="","",G410)</f>
        <v/>
      </c>
      <c r="J410" s="200" t="str">
        <f aca="false">IF($A411="","",VLOOKUP($A410,Table,MATCH(J$4,Curves,0)))</f>
        <v/>
      </c>
      <c r="K410" s="201" t="str">
        <f aca="false">IF(A411="","",J410)</f>
        <v/>
      </c>
      <c r="L410" s="200" t="str">
        <f aca="false">IF($A411="","",VLOOKUP($A410,Table,MATCH(L$4,Curves,0)))</f>
        <v/>
      </c>
      <c r="M410" s="201" t="str">
        <f aca="false">IF(A411="","",L410)</f>
        <v/>
      </c>
      <c r="O410" s="200" t="str">
        <f aca="false">IF(A411="","",L410+J410+G410)</f>
        <v/>
      </c>
      <c r="P410" s="200" t="str">
        <f aca="false">IF(A411="","",M410+K410+H410)</f>
        <v/>
      </c>
      <c r="R410" s="200" t="str">
        <f aca="false">IF($A411="","",VLOOKUP($A410,Table,MATCH(R$4,Curves,0)))</f>
        <v/>
      </c>
      <c r="S410" s="201" t="str">
        <f aca="false">IF(A411="","",R410)</f>
        <v/>
      </c>
      <c r="T410" s="200" t="str">
        <f aca="false">IF($A411="","",VLOOKUP($A410,Table,MATCH(T$4,Curves,0)))</f>
        <v/>
      </c>
      <c r="U410" s="201" t="str">
        <f aca="false">IF(A411="","",T410)</f>
        <v/>
      </c>
      <c r="V410" s="183" t="str">
        <f aca="false">IF($A411="","",IF(AND(MONTH(A410)&gt;3,MONTH(A410)&lt;11),(T410+R410+G410)*Summary!$T$8/(1-Summary!$T$8),(T410+R410+G410)*Summary!$U$8/(1-Summary!$U$8)))</f>
        <v/>
      </c>
      <c r="W410" s="200" t="str">
        <f aca="false">IF($A411="","",(T410+R410+G410+V410))</f>
        <v/>
      </c>
      <c r="X410" s="200" t="str">
        <f aca="false">IF($A411="","",(U410+S410+H410+V410))</f>
        <v/>
      </c>
      <c r="Y410" s="202"/>
      <c r="Z410" s="185"/>
      <c r="AJ410" s="77"/>
      <c r="AK410" s="77"/>
      <c r="AL410" s="77"/>
      <c r="AM410" s="77"/>
      <c r="AN410" s="77"/>
      <c r="AO410" s="137" t="str">
        <f aca="false">IF(A411="","",A411-A410)</f>
        <v/>
      </c>
      <c r="AP410" s="212" t="str">
        <f aca="false">IF(A411="","",CHOOSE(F$3,A411+24,A410))</f>
        <v/>
      </c>
      <c r="AQ410" s="209" t="str">
        <f aca="false">IF(A411="","",AP410-$E$1)</f>
        <v/>
      </c>
      <c r="AR410" s="185" t="n">
        <f aca="false">'ANR OK vs ML7'!AR410</f>
        <v>0.1</v>
      </c>
      <c r="AS410" s="213" t="str">
        <f aca="false">IF(A411="","",1/(1+CHOOSE(F$3,(AR411+($I$3/10000))/2,(AR410+($I$3/10000))/2))^(2*AQ410/365.25))</f>
        <v/>
      </c>
      <c r="AT410" s="137" t="str">
        <f aca="false">IF(A411="","",IF(AND(mthbeg&lt;=A410,mthend&gt;=A410),1,0))</f>
        <v/>
      </c>
      <c r="AU410" s="137" t="str">
        <f aca="false">IF(A411="","",AO410*AT410)</f>
        <v/>
      </c>
      <c r="AW410" s="195" t="str">
        <f aca="false">IF($A411="","",AL410*$E410)</f>
        <v/>
      </c>
      <c r="AX410" s="195" t="str">
        <f aca="false">IF($A411="","",AM410*$E410)</f>
        <v/>
      </c>
      <c r="AY410" s="195" t="str">
        <f aca="false">IF($A411="","",AN410*$E410)</f>
        <v/>
      </c>
      <c r="BA410" s="195" t="str">
        <f aca="false">IF($A411="","",F410*Summary!$Q$8)</f>
        <v/>
      </c>
    </row>
    <row r="411" customFormat="false" ht="12.75" hidden="false" customHeight="false" outlineLevel="0" collapsed="false">
      <c r="A411" s="196" t="str">
        <f aca="false">IF(A410&lt;mthend,EDATE(A410,1),"")</f>
        <v/>
      </c>
      <c r="B411" s="197" t="n">
        <f aca="false">IF(A411&lt;mthend,B410,0)</f>
        <v>0</v>
      </c>
      <c r="D411" s="197" t="str">
        <f aca="false">IF(A412&lt;&gt;"",B411+C411,"")</f>
        <v/>
      </c>
      <c r="E411" s="199" t="str">
        <f aca="false">IF(A412="","",IF(AND(AT411=1,$H$3=1),D411*AO411,IF($H$3=2,D411,"N/A")))</f>
        <v/>
      </c>
      <c r="F411" s="199" t="str">
        <f aca="false">IF(A412="","",E411*AS411)</f>
        <v/>
      </c>
      <c r="G411" s="200" t="str">
        <f aca="false">IF($A412="","",VLOOKUP($A411,Table,MATCH(G$4,Curves,0)))</f>
        <v/>
      </c>
      <c r="H411" s="201" t="str">
        <f aca="false">IF(A412="","",G411)</f>
        <v/>
      </c>
      <c r="J411" s="200" t="str">
        <f aca="false">IF($A412="","",VLOOKUP($A411,Table,MATCH(J$4,Curves,0)))</f>
        <v/>
      </c>
      <c r="K411" s="201" t="str">
        <f aca="false">IF(A412="","",J411)</f>
        <v/>
      </c>
      <c r="L411" s="200" t="str">
        <f aca="false">IF($A412="","",VLOOKUP($A411,Table,MATCH(L$4,Curves,0)))</f>
        <v/>
      </c>
      <c r="M411" s="201" t="str">
        <f aca="false">IF(A412="","",L411)</f>
        <v/>
      </c>
      <c r="O411" s="200" t="str">
        <f aca="false">IF(A412="","",L411+J411+G411)</f>
        <v/>
      </c>
      <c r="P411" s="200" t="str">
        <f aca="false">IF(A412="","",M411+K411+H411)</f>
        <v/>
      </c>
      <c r="R411" s="200" t="str">
        <f aca="false">IF($A412="","",VLOOKUP($A411,Table,MATCH(R$4,Curves,0)))</f>
        <v/>
      </c>
      <c r="S411" s="201" t="str">
        <f aca="false">IF(A412="","",R411)</f>
        <v/>
      </c>
      <c r="T411" s="200" t="str">
        <f aca="false">IF($A412="","",VLOOKUP($A411,Table,MATCH(T$4,Curves,0)))</f>
        <v/>
      </c>
      <c r="U411" s="201" t="str">
        <f aca="false">IF(A412="","",T411)</f>
        <v/>
      </c>
      <c r="V411" s="183" t="str">
        <f aca="false">IF($A412="","",IF(AND(MONTH(A411)&gt;3,MONTH(A411)&lt;11),(T411+R411+G411)*Summary!$T$8/(1-Summary!$T$8),(T411+R411+G411)*Summary!$U$8/(1-Summary!$U$8)))</f>
        <v/>
      </c>
      <c r="W411" s="200" t="str">
        <f aca="false">IF($A412="","",(T411+R411+G411+V411))</f>
        <v/>
      </c>
      <c r="X411" s="200" t="str">
        <f aca="false">IF($A412="","",(U411+S411+H411+V411))</f>
        <v/>
      </c>
      <c r="Y411" s="202"/>
      <c r="Z411" s="185"/>
      <c r="AJ411" s="77"/>
      <c r="AK411" s="77"/>
      <c r="AL411" s="77"/>
      <c r="AM411" s="77"/>
      <c r="AN411" s="77"/>
      <c r="AO411" s="137" t="str">
        <f aca="false">IF(A412="","",A412-A411)</f>
        <v/>
      </c>
      <c r="AP411" s="212" t="str">
        <f aca="false">IF(A412="","",CHOOSE(F$3,A412+24,A411))</f>
        <v/>
      </c>
      <c r="AQ411" s="209" t="str">
        <f aca="false">IF(A412="","",AP411-$E$1)</f>
        <v/>
      </c>
      <c r="AR411" s="185" t="n">
        <f aca="false">'ANR OK vs ML7'!AR411</f>
        <v>0.1</v>
      </c>
      <c r="AS411" s="213" t="str">
        <f aca="false">IF(A412="","",1/(1+CHOOSE(F$3,(AR412+($I$3/10000))/2,(AR411+($I$3/10000))/2))^(2*AQ411/365.25))</f>
        <v/>
      </c>
      <c r="AT411" s="137" t="str">
        <f aca="false">IF(A412="","",IF(AND(mthbeg&lt;=A411,mthend&gt;=A411),1,0))</f>
        <v/>
      </c>
      <c r="AU411" s="137" t="str">
        <f aca="false">IF(A412="","",AO411*AT411)</f>
        <v/>
      </c>
      <c r="AW411" s="195" t="str">
        <f aca="false">IF($A412="","",AL411*$E411)</f>
        <v/>
      </c>
      <c r="AX411" s="195" t="str">
        <f aca="false">IF($A412="","",AM411*$E411)</f>
        <v/>
      </c>
      <c r="AY411" s="195" t="str">
        <f aca="false">IF($A412="","",AN411*$E411)</f>
        <v/>
      </c>
      <c r="BA411" s="195" t="str">
        <f aca="false">IF($A412="","",F411*Summary!$Q$8)</f>
        <v/>
      </c>
    </row>
    <row r="412" customFormat="false" ht="12.75" hidden="false" customHeight="false" outlineLevel="0" collapsed="false">
      <c r="A412" s="196" t="str">
        <f aca="false">IF(A411&lt;mthend,EDATE(A411,1),"")</f>
        <v/>
      </c>
      <c r="B412" s="197" t="n">
        <f aca="false">IF(A412&lt;mthend,B411,0)</f>
        <v>0</v>
      </c>
      <c r="D412" s="197" t="str">
        <f aca="false">IF(A413&lt;&gt;"",B412+C412,"")</f>
        <v/>
      </c>
      <c r="E412" s="199" t="str">
        <f aca="false">IF(A413="","",IF(AND(AT412=1,$H$3=1),D412*AO412,IF($H$3=2,D412,"N/A")))</f>
        <v/>
      </c>
      <c r="F412" s="199" t="str">
        <f aca="false">IF(A413="","",E412*AS412)</f>
        <v/>
      </c>
      <c r="G412" s="200" t="str">
        <f aca="false">IF($A413="","",VLOOKUP($A412,Table,MATCH(G$4,Curves,0)))</f>
        <v/>
      </c>
      <c r="H412" s="201" t="str">
        <f aca="false">IF(A413="","",G412)</f>
        <v/>
      </c>
      <c r="J412" s="200" t="str">
        <f aca="false">IF($A413="","",VLOOKUP($A412,Table,MATCH(J$4,Curves,0)))</f>
        <v/>
      </c>
      <c r="K412" s="201" t="str">
        <f aca="false">IF(A413="","",J412)</f>
        <v/>
      </c>
      <c r="L412" s="200" t="str">
        <f aca="false">IF($A413="","",VLOOKUP($A412,Table,MATCH(L$4,Curves,0)))</f>
        <v/>
      </c>
      <c r="M412" s="201" t="str">
        <f aca="false">IF(A413="","",L412)</f>
        <v/>
      </c>
      <c r="O412" s="200" t="str">
        <f aca="false">IF(A413="","",L412+J412+G412)</f>
        <v/>
      </c>
      <c r="P412" s="200" t="str">
        <f aca="false">IF(A413="","",M412+K412+H412)</f>
        <v/>
      </c>
      <c r="R412" s="200" t="str">
        <f aca="false">IF($A413="","",VLOOKUP($A412,Table,MATCH(R$4,Curves,0)))</f>
        <v/>
      </c>
      <c r="S412" s="201" t="str">
        <f aca="false">IF(A413="","",R412)</f>
        <v/>
      </c>
      <c r="T412" s="200" t="str">
        <f aca="false">IF($A413="","",VLOOKUP($A412,Table,MATCH(T$4,Curves,0)))</f>
        <v/>
      </c>
      <c r="U412" s="201" t="str">
        <f aca="false">IF(A413="","",T412)</f>
        <v/>
      </c>
      <c r="V412" s="183" t="str">
        <f aca="false">IF($A413="","",IF(AND(MONTH(A412)&gt;3,MONTH(A412)&lt;11),(T412+R412+G412)*Summary!$T$8/(1-Summary!$T$8),(T412+R412+G412)*Summary!$U$8/(1-Summary!$U$8)))</f>
        <v/>
      </c>
      <c r="W412" s="200" t="str">
        <f aca="false">IF($A413="","",(T412+R412+G412+V412))</f>
        <v/>
      </c>
      <c r="X412" s="200" t="str">
        <f aca="false">IF($A413="","",(U412+S412+H412+V412))</f>
        <v/>
      </c>
      <c r="Y412" s="202"/>
      <c r="Z412" s="185"/>
      <c r="AJ412" s="77"/>
      <c r="AK412" s="77"/>
      <c r="AL412" s="77"/>
      <c r="AM412" s="77"/>
      <c r="AN412" s="77"/>
      <c r="AO412" s="137" t="str">
        <f aca="false">IF(A413="","",A413-A412)</f>
        <v/>
      </c>
      <c r="AP412" s="212" t="str">
        <f aca="false">IF(A413="","",CHOOSE(F$3,A413+24,A412))</f>
        <v/>
      </c>
      <c r="AQ412" s="209" t="str">
        <f aca="false">IF(A413="","",AP412-$E$1)</f>
        <v/>
      </c>
      <c r="AR412" s="185" t="n">
        <f aca="false">'ANR OK vs ML7'!AR412</f>
        <v>0.1</v>
      </c>
      <c r="AS412" s="213" t="str">
        <f aca="false">IF(A413="","",1/(1+CHOOSE(F$3,(AR413+($I$3/10000))/2,(AR412+($I$3/10000))/2))^(2*AQ412/365.25))</f>
        <v/>
      </c>
      <c r="AT412" s="137" t="str">
        <f aca="false">IF(A413="","",IF(AND(mthbeg&lt;=A412,mthend&gt;=A412),1,0))</f>
        <v/>
      </c>
      <c r="AU412" s="137" t="str">
        <f aca="false">IF(A413="","",AO412*AT412)</f>
        <v/>
      </c>
      <c r="AW412" s="195" t="str">
        <f aca="false">IF($A413="","",AL412*$E412)</f>
        <v/>
      </c>
      <c r="AX412" s="195" t="str">
        <f aca="false">IF($A413="","",AM412*$E412)</f>
        <v/>
      </c>
      <c r="AY412" s="195" t="str">
        <f aca="false">IF($A413="","",AN412*$E412)</f>
        <v/>
      </c>
      <c r="BA412" s="195" t="str">
        <f aca="false">IF($A413="","",F412*Summary!$Q$8)</f>
        <v/>
      </c>
    </row>
    <row r="413" customFormat="false" ht="12.75" hidden="false" customHeight="false" outlineLevel="0" collapsed="false">
      <c r="A413" s="196" t="str">
        <f aca="false">IF(A412&lt;mthend,EDATE(A412,1),"")</f>
        <v/>
      </c>
      <c r="B413" s="197" t="n">
        <f aca="false">IF(A413&lt;mthend,B412,0)</f>
        <v>0</v>
      </c>
      <c r="D413" s="197" t="str">
        <f aca="false">IF(A414&lt;&gt;"",B413+C413,"")</f>
        <v/>
      </c>
      <c r="E413" s="199" t="str">
        <f aca="false">IF(A414="","",IF(AND(AT413=1,$H$3=1),D413*AO413,IF($H$3=2,D413,"N/A")))</f>
        <v/>
      </c>
      <c r="F413" s="199" t="str">
        <f aca="false">IF(A414="","",E413*AS413)</f>
        <v/>
      </c>
      <c r="G413" s="200" t="str">
        <f aca="false">IF($A414="","",VLOOKUP($A413,Table,MATCH(G$4,Curves,0)))</f>
        <v/>
      </c>
      <c r="H413" s="201" t="str">
        <f aca="false">IF(A414="","",G413)</f>
        <v/>
      </c>
      <c r="J413" s="200" t="str">
        <f aca="false">IF($A414="","",VLOOKUP($A413,Table,MATCH(J$4,Curves,0)))</f>
        <v/>
      </c>
      <c r="K413" s="201" t="str">
        <f aca="false">IF(A414="","",J413)</f>
        <v/>
      </c>
      <c r="L413" s="200" t="str">
        <f aca="false">IF($A414="","",VLOOKUP($A413,Table,MATCH(L$4,Curves,0)))</f>
        <v/>
      </c>
      <c r="M413" s="201" t="str">
        <f aca="false">IF(A414="","",L413)</f>
        <v/>
      </c>
      <c r="O413" s="200" t="str">
        <f aca="false">IF(A414="","",L413+J413+G413)</f>
        <v/>
      </c>
      <c r="P413" s="200" t="str">
        <f aca="false">IF(A414="","",M413+K413+H413)</f>
        <v/>
      </c>
      <c r="R413" s="200" t="str">
        <f aca="false">IF($A414="","",VLOOKUP($A413,Table,MATCH(R$4,Curves,0)))</f>
        <v/>
      </c>
      <c r="S413" s="201" t="str">
        <f aca="false">IF(A414="","",R413)</f>
        <v/>
      </c>
      <c r="T413" s="200" t="str">
        <f aca="false">IF($A414="","",VLOOKUP($A413,Table,MATCH(T$4,Curves,0)))</f>
        <v/>
      </c>
      <c r="U413" s="201" t="str">
        <f aca="false">IF(A414="","",T413)</f>
        <v/>
      </c>
      <c r="V413" s="183" t="str">
        <f aca="false">IF($A414="","",IF(AND(MONTH(A413)&gt;3,MONTH(A413)&lt;11),(T413+R413+G413)*Summary!$T$8/(1-Summary!$T$8),(T413+R413+G413)*Summary!$U$8/(1-Summary!$U$8)))</f>
        <v/>
      </c>
      <c r="W413" s="200" t="str">
        <f aca="false">IF($A414="","",(T413+R413+G413+V413))</f>
        <v/>
      </c>
      <c r="X413" s="200" t="str">
        <f aca="false">IF($A414="","",(U413+S413+H413+V413))</f>
        <v/>
      </c>
      <c r="Y413" s="202"/>
      <c r="Z413" s="185"/>
      <c r="AJ413" s="77"/>
      <c r="AK413" s="77"/>
      <c r="AL413" s="77"/>
      <c r="AM413" s="77"/>
      <c r="AN413" s="77"/>
      <c r="AO413" s="137" t="str">
        <f aca="false">IF(A414="","",A414-A413)</f>
        <v/>
      </c>
      <c r="AP413" s="212" t="str">
        <f aca="false">IF(A414="","",CHOOSE(F$3,A414+24,A413))</f>
        <v/>
      </c>
      <c r="AQ413" s="209" t="str">
        <f aca="false">IF(A414="","",AP413-$E$1)</f>
        <v/>
      </c>
      <c r="AR413" s="185" t="n">
        <f aca="false">'ANR OK vs ML7'!AR413</f>
        <v>0.1</v>
      </c>
      <c r="AS413" s="213" t="str">
        <f aca="false">IF(A414="","",1/(1+CHOOSE(F$3,(AR414+($I$3/10000))/2,(AR413+($I$3/10000))/2))^(2*AQ413/365.25))</f>
        <v/>
      </c>
      <c r="AT413" s="137" t="str">
        <f aca="false">IF(A414="","",IF(AND(mthbeg&lt;=A413,mthend&gt;=A413),1,0))</f>
        <v/>
      </c>
      <c r="AU413" s="137" t="str">
        <f aca="false">IF(A414="","",AO413*AT413)</f>
        <v/>
      </c>
      <c r="AW413" s="195" t="str">
        <f aca="false">IF($A414="","",AL413*$E413)</f>
        <v/>
      </c>
      <c r="AX413" s="195" t="str">
        <f aca="false">IF($A414="","",AM413*$E413)</f>
        <v/>
      </c>
      <c r="AY413" s="195" t="str">
        <f aca="false">IF($A414="","",AN413*$E413)</f>
        <v/>
      </c>
      <c r="BA413" s="195" t="str">
        <f aca="false">IF($A414="","",F413*Summary!$Q$8)</f>
        <v/>
      </c>
    </row>
    <row r="414" customFormat="false" ht="12.75" hidden="false" customHeight="false" outlineLevel="0" collapsed="false">
      <c r="A414" s="196" t="str">
        <f aca="false">IF(A413&lt;mthend,EDATE(A413,1),"")</f>
        <v/>
      </c>
      <c r="B414" s="197" t="n">
        <f aca="false">IF(A414&lt;mthend,B413,0)</f>
        <v>0</v>
      </c>
      <c r="D414" s="197" t="str">
        <f aca="false">IF(A415&lt;&gt;"",B414+C414,"")</f>
        <v/>
      </c>
      <c r="E414" s="199" t="str">
        <f aca="false">IF(A415="","",IF(AND(AT414=1,$H$3=1),D414*AO414,IF($H$3=2,D414,"N/A")))</f>
        <v/>
      </c>
      <c r="F414" s="199" t="str">
        <f aca="false">IF(A415="","",E414*AS414)</f>
        <v/>
      </c>
      <c r="G414" s="200" t="str">
        <f aca="false">IF($A415="","",VLOOKUP($A414,Table,MATCH(G$4,Curves,0)))</f>
        <v/>
      </c>
      <c r="H414" s="201" t="str">
        <f aca="false">IF(A415="","",G414)</f>
        <v/>
      </c>
      <c r="J414" s="200" t="str">
        <f aca="false">IF($A415="","",VLOOKUP($A414,Table,MATCH(J$4,Curves,0)))</f>
        <v/>
      </c>
      <c r="K414" s="201" t="str">
        <f aca="false">IF(A415="","",J414)</f>
        <v/>
      </c>
      <c r="L414" s="200" t="str">
        <f aca="false">IF($A415="","",VLOOKUP($A414,Table,MATCH(L$4,Curves,0)))</f>
        <v/>
      </c>
      <c r="M414" s="201" t="str">
        <f aca="false">IF(A415="","",L414)</f>
        <v/>
      </c>
      <c r="O414" s="200" t="str">
        <f aca="false">IF(A415="","",L414+J414+G414)</f>
        <v/>
      </c>
      <c r="P414" s="200" t="str">
        <f aca="false">IF(A415="","",M414+K414+H414)</f>
        <v/>
      </c>
      <c r="R414" s="200" t="str">
        <f aca="false">IF($A415="","",VLOOKUP($A414,Table,MATCH(R$4,Curves,0)))</f>
        <v/>
      </c>
      <c r="S414" s="201" t="str">
        <f aca="false">IF(A415="","",R414)</f>
        <v/>
      </c>
      <c r="T414" s="200" t="str">
        <f aca="false">IF($A415="","",VLOOKUP($A414,Table,MATCH(T$4,Curves,0)))</f>
        <v/>
      </c>
      <c r="U414" s="201" t="str">
        <f aca="false">IF(A415="","",T414)</f>
        <v/>
      </c>
      <c r="V414" s="183" t="str">
        <f aca="false">IF($A415="","",IF(AND(MONTH(A414)&gt;3,MONTH(A414)&lt;11),(T414+R414+G414)*Summary!$T$8/(1-Summary!$T$8),(T414+R414+G414)*Summary!$U$8/(1-Summary!$U$8)))</f>
        <v/>
      </c>
      <c r="W414" s="200" t="str">
        <f aca="false">IF($A415="","",(T414+R414+G414+V414))</f>
        <v/>
      </c>
      <c r="X414" s="200" t="str">
        <f aca="false">IF($A415="","",(U414+S414+H414+V414))</f>
        <v/>
      </c>
      <c r="Y414" s="202"/>
      <c r="Z414" s="185"/>
      <c r="AJ414" s="77"/>
      <c r="AK414" s="77"/>
      <c r="AL414" s="77"/>
      <c r="AM414" s="77"/>
      <c r="AN414" s="77"/>
      <c r="AO414" s="137" t="str">
        <f aca="false">IF(A415="","",A415-A414)</f>
        <v/>
      </c>
      <c r="AP414" s="212" t="str">
        <f aca="false">IF(A415="","",CHOOSE(F$3,A415+24,A414))</f>
        <v/>
      </c>
      <c r="AQ414" s="209" t="str">
        <f aca="false">IF(A415="","",AP414-$E$1)</f>
        <v/>
      </c>
      <c r="AR414" s="185" t="n">
        <f aca="false">'ANR OK vs ML7'!AR414</f>
        <v>0.1</v>
      </c>
      <c r="AS414" s="213" t="str">
        <f aca="false">IF(A415="","",1/(1+CHOOSE(F$3,(AR415+($I$3/10000))/2,(AR414+($I$3/10000))/2))^(2*AQ414/365.25))</f>
        <v/>
      </c>
      <c r="AT414" s="137" t="str">
        <f aca="false">IF(A415="","",IF(AND(mthbeg&lt;=A414,mthend&gt;=A414),1,0))</f>
        <v/>
      </c>
      <c r="AU414" s="137" t="str">
        <f aca="false">IF(A415="","",AO414*AT414)</f>
        <v/>
      </c>
      <c r="AW414" s="195" t="str">
        <f aca="false">IF($A415="","",AL414*$E414)</f>
        <v/>
      </c>
      <c r="AX414" s="195" t="str">
        <f aca="false">IF($A415="","",AM414*$E414)</f>
        <v/>
      </c>
      <c r="AY414" s="195" t="str">
        <f aca="false">IF($A415="","",AN414*$E414)</f>
        <v/>
      </c>
      <c r="BA414" s="195" t="str">
        <f aca="false">IF($A415="","",F414*Summary!$Q$8)</f>
        <v/>
      </c>
    </row>
    <row r="415" customFormat="false" ht="12.75" hidden="false" customHeight="false" outlineLevel="0" collapsed="false">
      <c r="A415" s="196" t="str">
        <f aca="false">IF(A414&lt;mthend,EDATE(A414,1),"")</f>
        <v/>
      </c>
      <c r="B415" s="197" t="n">
        <f aca="false">IF(A415&lt;mthend,B414,0)</f>
        <v>0</v>
      </c>
      <c r="D415" s="197" t="str">
        <f aca="false">IF(A416&lt;&gt;"",B415+C415,"")</f>
        <v/>
      </c>
      <c r="E415" s="199" t="str">
        <f aca="false">IF(A416="","",IF(AND(AT415=1,$H$3=1),D415*AO415,IF($H$3=2,D415,"N/A")))</f>
        <v/>
      </c>
      <c r="F415" s="199" t="str">
        <f aca="false">IF(A416="","",E415*AS415)</f>
        <v/>
      </c>
      <c r="G415" s="200" t="str">
        <f aca="false">IF($A416="","",VLOOKUP($A415,Table,MATCH(G$4,Curves,0)))</f>
        <v/>
      </c>
      <c r="H415" s="201" t="str">
        <f aca="false">IF(A416="","",G415)</f>
        <v/>
      </c>
      <c r="J415" s="200" t="str">
        <f aca="false">IF($A416="","",VLOOKUP($A415,Table,MATCH(J$4,Curves,0)))</f>
        <v/>
      </c>
      <c r="K415" s="201" t="str">
        <f aca="false">IF(A416="","",J415)</f>
        <v/>
      </c>
      <c r="L415" s="200" t="str">
        <f aca="false">IF($A416="","",VLOOKUP($A415,Table,MATCH(L$4,Curves,0)))</f>
        <v/>
      </c>
      <c r="M415" s="201" t="str">
        <f aca="false">IF(A416="","",L415)</f>
        <v/>
      </c>
      <c r="O415" s="200" t="str">
        <f aca="false">IF(A416="","",L415+J415+G415)</f>
        <v/>
      </c>
      <c r="P415" s="200" t="str">
        <f aca="false">IF(A416="","",M415+K415+H415)</f>
        <v/>
      </c>
      <c r="R415" s="200" t="str">
        <f aca="false">IF($A416="","",VLOOKUP($A415,Table,MATCH(R$4,Curves,0)))</f>
        <v/>
      </c>
      <c r="S415" s="201" t="str">
        <f aca="false">IF(A416="","",R415)</f>
        <v/>
      </c>
      <c r="T415" s="200" t="str">
        <f aca="false">IF($A416="","",VLOOKUP($A415,Table,MATCH(T$4,Curves,0)))</f>
        <v/>
      </c>
      <c r="U415" s="201" t="str">
        <f aca="false">IF(A416="","",T415)</f>
        <v/>
      </c>
      <c r="V415" s="183" t="str">
        <f aca="false">IF($A416="","",IF(AND(MONTH(A415)&gt;3,MONTH(A415)&lt;11),(T415+R415+G415)*Summary!$T$8/(1-Summary!$T$8),(T415+R415+G415)*Summary!$U$8/(1-Summary!$U$8)))</f>
        <v/>
      </c>
      <c r="W415" s="200" t="str">
        <f aca="false">IF($A416="","",(T415+R415+G415+V415))</f>
        <v/>
      </c>
      <c r="X415" s="200" t="str">
        <f aca="false">IF($A416="","",(U415+S415+H415+V415))</f>
        <v/>
      </c>
      <c r="Y415" s="202"/>
      <c r="Z415" s="185"/>
      <c r="AJ415" s="77"/>
      <c r="AK415" s="77"/>
      <c r="AL415" s="77"/>
      <c r="AM415" s="77"/>
      <c r="AN415" s="77"/>
      <c r="AO415" s="137" t="str">
        <f aca="false">IF(A416="","",A416-A415)</f>
        <v/>
      </c>
      <c r="AP415" s="212" t="str">
        <f aca="false">IF(A416="","",CHOOSE(F$3,A416+24,A415))</f>
        <v/>
      </c>
      <c r="AQ415" s="209" t="str">
        <f aca="false">IF(A416="","",AP415-$E$1)</f>
        <v/>
      </c>
      <c r="AR415" s="185" t="n">
        <f aca="false">'ANR OK vs ML7'!AR415</f>
        <v>0.1</v>
      </c>
      <c r="AS415" s="213" t="str">
        <f aca="false">IF(A416="","",1/(1+CHOOSE(F$3,(AR416+($I$3/10000))/2,(AR415+($I$3/10000))/2))^(2*AQ415/365.25))</f>
        <v/>
      </c>
      <c r="AT415" s="137" t="str">
        <f aca="false">IF(A416="","",IF(AND(mthbeg&lt;=A415,mthend&gt;=A415),1,0))</f>
        <v/>
      </c>
      <c r="AU415" s="137" t="str">
        <f aca="false">IF(A416="","",AO415*AT415)</f>
        <v/>
      </c>
      <c r="AW415" s="195" t="str">
        <f aca="false">IF($A416="","",AL415*$E415)</f>
        <v/>
      </c>
      <c r="AX415" s="195" t="str">
        <f aca="false">IF($A416="","",AM415*$E415)</f>
        <v/>
      </c>
      <c r="AY415" s="195" t="str">
        <f aca="false">IF($A416="","",AN415*$E415)</f>
        <v/>
      </c>
      <c r="BA415" s="195" t="str">
        <f aca="false">IF($A416="","",F415*Summary!$Q$8)</f>
        <v/>
      </c>
    </row>
    <row r="416" customFormat="false" ht="12.75" hidden="false" customHeight="false" outlineLevel="0" collapsed="false">
      <c r="A416" s="196" t="str">
        <f aca="false">IF(A415&lt;mthend,EDATE(A415,1),"")</f>
        <v/>
      </c>
      <c r="B416" s="197" t="n">
        <f aca="false">IF(A416&lt;mthend,B415,0)</f>
        <v>0</v>
      </c>
      <c r="D416" s="197" t="str">
        <f aca="false">IF(A417&lt;&gt;"",B416+C416,"")</f>
        <v/>
      </c>
      <c r="E416" s="199" t="str">
        <f aca="false">IF(A417="","",IF(AND(AT416=1,$H$3=1),D416*AO416,IF($H$3=2,D416,"N/A")))</f>
        <v/>
      </c>
      <c r="F416" s="199" t="str">
        <f aca="false">IF(A417="","",E416*AS416)</f>
        <v/>
      </c>
      <c r="G416" s="200" t="str">
        <f aca="false">IF($A417="","",VLOOKUP($A416,Table,MATCH(G$4,Curves,0)))</f>
        <v/>
      </c>
      <c r="H416" s="201" t="str">
        <f aca="false">IF(A417="","",G416)</f>
        <v/>
      </c>
      <c r="J416" s="200" t="str">
        <f aca="false">IF($A417="","",VLOOKUP($A416,Table,MATCH(J$4,Curves,0)))</f>
        <v/>
      </c>
      <c r="K416" s="201" t="str">
        <f aca="false">IF(A417="","",J416)</f>
        <v/>
      </c>
      <c r="L416" s="200" t="str">
        <f aca="false">IF($A417="","",VLOOKUP($A416,Table,MATCH(L$4,Curves,0)))</f>
        <v/>
      </c>
      <c r="M416" s="201" t="str">
        <f aca="false">IF(A417="","",L416)</f>
        <v/>
      </c>
      <c r="O416" s="200" t="str">
        <f aca="false">IF(A417="","",L416+J416+G416)</f>
        <v/>
      </c>
      <c r="P416" s="200" t="str">
        <f aca="false">IF(A417="","",M416+K416+H416)</f>
        <v/>
      </c>
      <c r="R416" s="200" t="str">
        <f aca="false">IF($A417="","",VLOOKUP($A416,Table,MATCH(R$4,Curves,0)))</f>
        <v/>
      </c>
      <c r="S416" s="201" t="str">
        <f aca="false">IF(A417="","",R416)</f>
        <v/>
      </c>
      <c r="T416" s="200" t="str">
        <f aca="false">IF($A417="","",VLOOKUP($A416,Table,MATCH(T$4,Curves,0)))</f>
        <v/>
      </c>
      <c r="U416" s="201" t="str">
        <f aca="false">IF(A417="","",T416)</f>
        <v/>
      </c>
      <c r="V416" s="183" t="str">
        <f aca="false">IF($A417="","",IF(AND(MONTH(A416)&gt;3,MONTH(A416)&lt;11),(T416+R416+G416)*Summary!$T$8/(1-Summary!$T$8),(T416+R416+G416)*Summary!$U$8/(1-Summary!$U$8)))</f>
        <v/>
      </c>
      <c r="W416" s="200" t="str">
        <f aca="false">IF($A417="","",(T416+R416+G416+V416))</f>
        <v/>
      </c>
      <c r="X416" s="200" t="str">
        <f aca="false">IF($A417="","",(U416+S416+H416+V416))</f>
        <v/>
      </c>
      <c r="Y416" s="202"/>
      <c r="Z416" s="185"/>
      <c r="AJ416" s="77"/>
      <c r="AK416" s="77"/>
      <c r="AL416" s="77"/>
      <c r="AM416" s="77"/>
      <c r="AN416" s="77"/>
      <c r="AO416" s="137" t="str">
        <f aca="false">IF(A417="","",A417-A416)</f>
        <v/>
      </c>
      <c r="AP416" s="212" t="str">
        <f aca="false">IF(A417="","",CHOOSE(F$3,A417+24,A416))</f>
        <v/>
      </c>
      <c r="AQ416" s="209" t="str">
        <f aca="false">IF(A417="","",AP416-$E$1)</f>
        <v/>
      </c>
      <c r="AR416" s="185" t="n">
        <f aca="false">'ANR OK vs ML7'!AR416</f>
        <v>0.1</v>
      </c>
      <c r="AS416" s="213" t="str">
        <f aca="false">IF(A417="","",1/(1+CHOOSE(F$3,(AR417+($I$3/10000))/2,(AR416+($I$3/10000))/2))^(2*AQ416/365.25))</f>
        <v/>
      </c>
      <c r="AT416" s="137" t="str">
        <f aca="false">IF(A417="","",IF(AND(mthbeg&lt;=A416,mthend&gt;=A416),1,0))</f>
        <v/>
      </c>
      <c r="AU416" s="137" t="str">
        <f aca="false">IF(A417="","",AO416*AT416)</f>
        <v/>
      </c>
      <c r="AW416" s="195" t="str">
        <f aca="false">IF($A417="","",AL416*$E416)</f>
        <v/>
      </c>
      <c r="AX416" s="195" t="str">
        <f aca="false">IF($A417="","",AM416*$E416)</f>
        <v/>
      </c>
      <c r="AY416" s="195" t="str">
        <f aca="false">IF($A417="","",AN416*$E416)</f>
        <v/>
      </c>
      <c r="BA416" s="195" t="str">
        <f aca="false">IF($A417="","",F416*Summary!$Q$8)</f>
        <v/>
      </c>
    </row>
    <row r="417" customFormat="false" ht="12.75" hidden="false" customHeight="false" outlineLevel="0" collapsed="false">
      <c r="A417" s="196" t="str">
        <f aca="false">IF(A416&lt;mthend,EDATE(A416,1),"")</f>
        <v/>
      </c>
      <c r="B417" s="197" t="n">
        <f aca="false">IF(A417&lt;mthend,B416,0)</f>
        <v>0</v>
      </c>
      <c r="D417" s="197" t="str">
        <f aca="false">IF(A418&lt;&gt;"",B417+C417,"")</f>
        <v/>
      </c>
      <c r="E417" s="199" t="str">
        <f aca="false">IF(A418="","",IF(AND(AT417=1,$H$3=1),D417*AO417,IF($H$3=2,D417,"N/A")))</f>
        <v/>
      </c>
      <c r="F417" s="199" t="str">
        <f aca="false">IF(A418="","",E417*AS417)</f>
        <v/>
      </c>
      <c r="G417" s="200" t="str">
        <f aca="false">IF($A418="","",VLOOKUP($A417,Table,MATCH(G$4,Curves,0)))</f>
        <v/>
      </c>
      <c r="H417" s="201" t="str">
        <f aca="false">IF(A418="","",G417)</f>
        <v/>
      </c>
      <c r="J417" s="200" t="str">
        <f aca="false">IF($A418="","",VLOOKUP($A417,Table,MATCH(J$4,Curves,0)))</f>
        <v/>
      </c>
      <c r="K417" s="201" t="str">
        <f aca="false">IF(A418="","",J417)</f>
        <v/>
      </c>
      <c r="L417" s="200" t="str">
        <f aca="false">IF($A418="","",VLOOKUP($A417,Table,MATCH(L$4,Curves,0)))</f>
        <v/>
      </c>
      <c r="M417" s="201" t="str">
        <f aca="false">IF(A418="","",L417)</f>
        <v/>
      </c>
      <c r="O417" s="200" t="str">
        <f aca="false">IF(A418="","",L417+J417+G417)</f>
        <v/>
      </c>
      <c r="P417" s="200" t="str">
        <f aca="false">IF(A418="","",M417+K417+H417)</f>
        <v/>
      </c>
      <c r="R417" s="200" t="str">
        <f aca="false">IF($A418="","",VLOOKUP($A417,Table,MATCH(R$4,Curves,0)))</f>
        <v/>
      </c>
      <c r="S417" s="201" t="str">
        <f aca="false">IF(A418="","",R417)</f>
        <v/>
      </c>
      <c r="T417" s="200" t="str">
        <f aca="false">IF($A418="","",VLOOKUP($A417,Table,MATCH(T$4,Curves,0)))</f>
        <v/>
      </c>
      <c r="U417" s="201" t="str">
        <f aca="false">IF(A418="","",T417)</f>
        <v/>
      </c>
      <c r="V417" s="183" t="str">
        <f aca="false">IF($A418="","",IF(AND(MONTH(A417)&gt;3,MONTH(A417)&lt;11),(T417+R417+G417)*Summary!$T$8/(1-Summary!$T$8),(T417+R417+G417)*Summary!$U$8/(1-Summary!$U$8)))</f>
        <v/>
      </c>
      <c r="W417" s="200" t="str">
        <f aca="false">IF($A418="","",(T417+R417+G417+V417))</f>
        <v/>
      </c>
      <c r="X417" s="200" t="str">
        <f aca="false">IF($A418="","",(U417+S417+H417+V417))</f>
        <v/>
      </c>
      <c r="Y417" s="202"/>
      <c r="Z417" s="185"/>
      <c r="AJ417" s="77"/>
      <c r="AK417" s="77"/>
      <c r="AL417" s="77"/>
      <c r="AM417" s="77"/>
      <c r="AN417" s="77"/>
      <c r="AO417" s="137" t="str">
        <f aca="false">IF(A418="","",A418-A417)</f>
        <v/>
      </c>
      <c r="AP417" s="212" t="str">
        <f aca="false">IF(A418="","",CHOOSE(F$3,A418+24,A417))</f>
        <v/>
      </c>
      <c r="AQ417" s="209" t="str">
        <f aca="false">IF(A418="","",AP417-$E$1)</f>
        <v/>
      </c>
      <c r="AR417" s="185" t="n">
        <f aca="false">'ANR OK vs ML7'!AR417</f>
        <v>0.1</v>
      </c>
      <c r="AS417" s="213" t="str">
        <f aca="false">IF(A418="","",1/(1+CHOOSE(F$3,(AR418+($I$3/10000))/2,(AR417+($I$3/10000))/2))^(2*AQ417/365.25))</f>
        <v/>
      </c>
      <c r="AT417" s="137" t="str">
        <f aca="false">IF(A418="","",IF(AND(mthbeg&lt;=A417,mthend&gt;=A417),1,0))</f>
        <v/>
      </c>
      <c r="AU417" s="137" t="str">
        <f aca="false">IF(A418="","",AO417*AT417)</f>
        <v/>
      </c>
      <c r="AW417" s="195" t="str">
        <f aca="false">IF($A418="","",AL417*$E417)</f>
        <v/>
      </c>
      <c r="AX417" s="195" t="str">
        <f aca="false">IF($A418="","",AM417*$E417)</f>
        <v/>
      </c>
      <c r="AY417" s="195" t="str">
        <f aca="false">IF($A418="","",AN417*$E417)</f>
        <v/>
      </c>
      <c r="BA417" s="195" t="str">
        <f aca="false">IF($A418="","",F417*Summary!$Q$8)</f>
        <v/>
      </c>
    </row>
    <row r="418" customFormat="false" ht="12.75" hidden="false" customHeight="false" outlineLevel="0" collapsed="false">
      <c r="A418" s="196" t="str">
        <f aca="false">IF(A417&lt;mthend,EDATE(A417,1),"")</f>
        <v/>
      </c>
      <c r="B418" s="197" t="n">
        <f aca="false">IF(A418&lt;mthend,B417,0)</f>
        <v>0</v>
      </c>
      <c r="D418" s="197" t="str">
        <f aca="false">IF(A419&lt;&gt;"",B418+C418,"")</f>
        <v/>
      </c>
      <c r="E418" s="199" t="str">
        <f aca="false">IF(A419="","",IF(AND(AT418=1,$H$3=1),D418*AO418,IF($H$3=2,D418,"N/A")))</f>
        <v/>
      </c>
      <c r="F418" s="199" t="str">
        <f aca="false">IF(A419="","",E418*AS418)</f>
        <v/>
      </c>
      <c r="G418" s="200" t="str">
        <f aca="false">IF($A419="","",VLOOKUP($A418,Table,MATCH(G$4,Curves,0)))</f>
        <v/>
      </c>
      <c r="H418" s="201" t="str">
        <f aca="false">IF(A419="","",G418)</f>
        <v/>
      </c>
      <c r="J418" s="200" t="str">
        <f aca="false">IF($A419="","",VLOOKUP($A418,Table,MATCH(J$4,Curves,0)))</f>
        <v/>
      </c>
      <c r="K418" s="201" t="str">
        <f aca="false">IF(A419="","",J418)</f>
        <v/>
      </c>
      <c r="L418" s="200" t="str">
        <f aca="false">IF($A419="","",VLOOKUP($A418,Table,MATCH(L$4,Curves,0)))</f>
        <v/>
      </c>
      <c r="M418" s="201" t="str">
        <f aca="false">IF(A419="","",L418)</f>
        <v/>
      </c>
      <c r="O418" s="200" t="str">
        <f aca="false">IF(A419="","",L418+J418+G418)</f>
        <v/>
      </c>
      <c r="P418" s="200" t="str">
        <f aca="false">IF(A419="","",M418+K418+H418)</f>
        <v/>
      </c>
      <c r="R418" s="200" t="str">
        <f aca="false">IF($A419="","",VLOOKUP($A418,Table,MATCH(R$4,Curves,0)))</f>
        <v/>
      </c>
      <c r="S418" s="201" t="str">
        <f aca="false">IF(A419="","",R418)</f>
        <v/>
      </c>
      <c r="T418" s="200" t="str">
        <f aca="false">IF($A419="","",VLOOKUP($A418,Table,MATCH(T$4,Curves,0)))</f>
        <v/>
      </c>
      <c r="U418" s="201" t="str">
        <f aca="false">IF(A419="","",T418)</f>
        <v/>
      </c>
      <c r="V418" s="183" t="str">
        <f aca="false">IF($A419="","",IF(AND(MONTH(A418)&gt;3,MONTH(A418)&lt;11),(T418+R418+G418)*Summary!$T$8/(1-Summary!$T$8),(T418+R418+G418)*Summary!$U$8/(1-Summary!$U$8)))</f>
        <v/>
      </c>
      <c r="W418" s="200" t="str">
        <f aca="false">IF($A419="","",(T418+R418+G418+V418))</f>
        <v/>
      </c>
      <c r="X418" s="200" t="str">
        <f aca="false">IF($A419="","",(U418+S418+H418+V418))</f>
        <v/>
      </c>
      <c r="Y418" s="202"/>
      <c r="Z418" s="185"/>
      <c r="AJ418" s="77"/>
      <c r="AK418" s="77"/>
      <c r="AL418" s="77"/>
      <c r="AM418" s="77"/>
      <c r="AN418" s="77"/>
      <c r="AO418" s="137" t="str">
        <f aca="false">IF(A419="","",A419-A418)</f>
        <v/>
      </c>
      <c r="AP418" s="212" t="str">
        <f aca="false">IF(A419="","",CHOOSE(F$3,A419+24,A418))</f>
        <v/>
      </c>
      <c r="AQ418" s="209" t="str">
        <f aca="false">IF(A419="","",AP418-$E$1)</f>
        <v/>
      </c>
      <c r="AR418" s="185" t="n">
        <f aca="false">'ANR OK vs ML7'!AR418</f>
        <v>0.1</v>
      </c>
      <c r="AS418" s="213" t="str">
        <f aca="false">IF(A419="","",1/(1+CHOOSE(F$3,(AR419+($I$3/10000))/2,(AR418+($I$3/10000))/2))^(2*AQ418/365.25))</f>
        <v/>
      </c>
      <c r="AT418" s="137" t="str">
        <f aca="false">IF(A419="","",IF(AND(mthbeg&lt;=A418,mthend&gt;=A418),1,0))</f>
        <v/>
      </c>
      <c r="AU418" s="137" t="str">
        <f aca="false">IF(A419="","",AO418*AT418)</f>
        <v/>
      </c>
      <c r="AW418" s="195" t="str">
        <f aca="false">IF($A419="","",AL418*$E418)</f>
        <v/>
      </c>
      <c r="AX418" s="195" t="str">
        <f aca="false">IF($A419="","",AM418*$E418)</f>
        <v/>
      </c>
      <c r="AY418" s="195" t="str">
        <f aca="false">IF($A419="","",AN418*$E418)</f>
        <v/>
      </c>
      <c r="BA418" s="195" t="str">
        <f aca="false">IF($A419="","",F418*Summary!$Q$8)</f>
        <v/>
      </c>
    </row>
    <row r="419" customFormat="false" ht="12.75" hidden="false" customHeight="false" outlineLevel="0" collapsed="false">
      <c r="A419" s="196" t="str">
        <f aca="false">IF(A418&lt;mthend,EDATE(A418,1),"")</f>
        <v/>
      </c>
      <c r="B419" s="197" t="n">
        <f aca="false">IF(A419&lt;mthend,B418,0)</f>
        <v>0</v>
      </c>
      <c r="D419" s="197" t="str">
        <f aca="false">IF(A420&lt;&gt;"",B419+C419,"")</f>
        <v/>
      </c>
      <c r="E419" s="199" t="str">
        <f aca="false">IF(A420="","",IF(AND(AT419=1,$H$3=1),D419*AO419,IF($H$3=2,D419,"N/A")))</f>
        <v/>
      </c>
      <c r="F419" s="199" t="str">
        <f aca="false">IF(A420="","",E419*AS419)</f>
        <v/>
      </c>
      <c r="G419" s="200" t="str">
        <f aca="false">IF($A420="","",VLOOKUP($A419,Table,MATCH(G$4,Curves,0)))</f>
        <v/>
      </c>
      <c r="H419" s="201" t="str">
        <f aca="false">IF(A420="","",G419)</f>
        <v/>
      </c>
      <c r="J419" s="200" t="str">
        <f aca="false">IF($A420="","",VLOOKUP($A419,Table,MATCH(J$4,Curves,0)))</f>
        <v/>
      </c>
      <c r="K419" s="201" t="str">
        <f aca="false">IF(A420="","",J419)</f>
        <v/>
      </c>
      <c r="L419" s="200" t="str">
        <f aca="false">IF($A420="","",VLOOKUP($A419,Table,MATCH(L$4,Curves,0)))</f>
        <v/>
      </c>
      <c r="M419" s="201" t="str">
        <f aca="false">IF(A420="","",L419)</f>
        <v/>
      </c>
      <c r="O419" s="200" t="str">
        <f aca="false">IF(A420="","",L419+J419+G419)</f>
        <v/>
      </c>
      <c r="P419" s="200" t="str">
        <f aca="false">IF(A420="","",M419+K419+H419)</f>
        <v/>
      </c>
      <c r="R419" s="200" t="str">
        <f aca="false">IF($A420="","",VLOOKUP($A419,Table,MATCH(R$4,Curves,0)))</f>
        <v/>
      </c>
      <c r="S419" s="201" t="str">
        <f aca="false">IF(A420="","",R419)</f>
        <v/>
      </c>
      <c r="T419" s="200" t="str">
        <f aca="false">IF($A420="","",VLOOKUP($A419,Table,MATCH(T$4,Curves,0)))</f>
        <v/>
      </c>
      <c r="U419" s="201" t="str">
        <f aca="false">IF(A420="","",T419)</f>
        <v/>
      </c>
      <c r="V419" s="183" t="str">
        <f aca="false">IF($A420="","",IF(AND(MONTH(A419)&gt;3,MONTH(A419)&lt;11),(T419+R419+G419)*Summary!$T$8/(1-Summary!$T$8),(T419+R419+G419)*Summary!$U$8/(1-Summary!$U$8)))</f>
        <v/>
      </c>
      <c r="W419" s="200" t="str">
        <f aca="false">IF($A420="","",(T419+R419+G419+V419))</f>
        <v/>
      </c>
      <c r="X419" s="200" t="str">
        <f aca="false">IF($A420="","",(U419+S419+H419+V419))</f>
        <v/>
      </c>
      <c r="Y419" s="202"/>
      <c r="Z419" s="185"/>
      <c r="AJ419" s="77"/>
      <c r="AK419" s="77"/>
      <c r="AL419" s="77"/>
      <c r="AM419" s="77"/>
      <c r="AN419" s="77"/>
      <c r="AO419" s="137" t="str">
        <f aca="false">IF(A420="","",A420-A419)</f>
        <v/>
      </c>
      <c r="AP419" s="212" t="str">
        <f aca="false">IF(A420="","",CHOOSE(F$3,A420+24,A419))</f>
        <v/>
      </c>
      <c r="AQ419" s="209" t="str">
        <f aca="false">IF(A420="","",AP419-$E$1)</f>
        <v/>
      </c>
      <c r="AR419" s="185" t="n">
        <f aca="false">'ANR OK vs ML7'!AR419</f>
        <v>0.1</v>
      </c>
      <c r="AS419" s="213" t="str">
        <f aca="false">IF(A420="","",1/(1+CHOOSE(F$3,(AR420+($I$3/10000))/2,(AR419+($I$3/10000))/2))^(2*AQ419/365.25))</f>
        <v/>
      </c>
      <c r="AT419" s="137" t="str">
        <f aca="false">IF(A420="","",IF(AND(mthbeg&lt;=A419,mthend&gt;=A419),1,0))</f>
        <v/>
      </c>
      <c r="AU419" s="137" t="str">
        <f aca="false">IF(A420="","",AO419*AT419)</f>
        <v/>
      </c>
      <c r="AW419" s="195" t="str">
        <f aca="false">IF($A420="","",AL419*$E419)</f>
        <v/>
      </c>
      <c r="AX419" s="195" t="str">
        <f aca="false">IF($A420="","",AM419*$E419)</f>
        <v/>
      </c>
      <c r="AY419" s="195" t="str">
        <f aca="false">IF($A420="","",AN419*$E419)</f>
        <v/>
      </c>
      <c r="BA419" s="195" t="str">
        <f aca="false">IF($A420="","",F419*Summary!$Q$8)</f>
        <v/>
      </c>
    </row>
    <row r="420" customFormat="false" ht="12.75" hidden="false" customHeight="false" outlineLevel="0" collapsed="false">
      <c r="A420" s="196" t="str">
        <f aca="false">IF(A419&lt;mthend,EDATE(A419,1),"")</f>
        <v/>
      </c>
      <c r="B420" s="197" t="n">
        <f aca="false">IF(A420&lt;mthend,B419,0)</f>
        <v>0</v>
      </c>
      <c r="D420" s="197" t="str">
        <f aca="false">IF(A421&lt;&gt;"",B420+C420,"")</f>
        <v/>
      </c>
      <c r="E420" s="199" t="str">
        <f aca="false">IF(A421="","",IF(AND(AT420=1,$H$3=1),D420*AO420,IF($H$3=2,D420,"N/A")))</f>
        <v/>
      </c>
      <c r="F420" s="199" t="str">
        <f aca="false">IF(A421="","",E420*AS420)</f>
        <v/>
      </c>
      <c r="G420" s="200" t="str">
        <f aca="false">IF($A421="","",VLOOKUP($A420,Table,MATCH(G$4,Curves,0)))</f>
        <v/>
      </c>
      <c r="H420" s="201" t="str">
        <f aca="false">IF(A421="","",G420)</f>
        <v/>
      </c>
      <c r="J420" s="200" t="str">
        <f aca="false">IF($A421="","",VLOOKUP($A420,Table,MATCH(J$4,Curves,0)))</f>
        <v/>
      </c>
      <c r="K420" s="201" t="str">
        <f aca="false">IF(A421="","",J420)</f>
        <v/>
      </c>
      <c r="L420" s="200" t="str">
        <f aca="false">IF($A421="","",VLOOKUP($A420,Table,MATCH(L$4,Curves,0)))</f>
        <v/>
      </c>
      <c r="M420" s="201" t="str">
        <f aca="false">IF(A421="","",L420)</f>
        <v/>
      </c>
      <c r="O420" s="200" t="str">
        <f aca="false">IF(A421="","",L420+J420+G420)</f>
        <v/>
      </c>
      <c r="P420" s="200" t="str">
        <f aca="false">IF(A421="","",M420+K420+H420)</f>
        <v/>
      </c>
      <c r="R420" s="200" t="str">
        <f aca="false">IF($A421="","",VLOOKUP($A420,Table,MATCH(R$4,Curves,0)))</f>
        <v/>
      </c>
      <c r="S420" s="201" t="str">
        <f aca="false">IF(A421="","",R420)</f>
        <v/>
      </c>
      <c r="T420" s="200" t="str">
        <f aca="false">IF($A421="","",VLOOKUP($A420,Table,MATCH(T$4,Curves,0)))</f>
        <v/>
      </c>
      <c r="U420" s="201" t="str">
        <f aca="false">IF(A421="","",T420)</f>
        <v/>
      </c>
      <c r="V420" s="183" t="str">
        <f aca="false">IF($A421="","",IF(AND(MONTH(A420)&gt;3,MONTH(A420)&lt;11),(T420+R420+G420)*Summary!$T$8/(1-Summary!$T$8),(T420+R420+G420)*Summary!$U$8/(1-Summary!$U$8)))</f>
        <v/>
      </c>
      <c r="W420" s="200" t="str">
        <f aca="false">IF($A421="","",(T420+R420+G420+V420))</f>
        <v/>
      </c>
      <c r="X420" s="200" t="str">
        <f aca="false">IF($A421="","",(U420+S420+H420+V420))</f>
        <v/>
      </c>
      <c r="Y420" s="202"/>
      <c r="Z420" s="185"/>
      <c r="AJ420" s="77"/>
      <c r="AK420" s="77"/>
      <c r="AL420" s="77"/>
      <c r="AM420" s="77"/>
      <c r="AN420" s="77"/>
      <c r="AO420" s="137" t="str">
        <f aca="false">IF(A421="","",A421-A420)</f>
        <v/>
      </c>
      <c r="AP420" s="212" t="str">
        <f aca="false">IF(A421="","",CHOOSE(F$3,A421+24,A420))</f>
        <v/>
      </c>
      <c r="AQ420" s="209" t="str">
        <f aca="false">IF(A421="","",AP420-$E$1)</f>
        <v/>
      </c>
      <c r="AR420" s="185" t="n">
        <f aca="false">'ANR OK vs ML7'!AR420</f>
        <v>0.1</v>
      </c>
      <c r="AS420" s="213" t="str">
        <f aca="false">IF(A421="","",1/(1+CHOOSE(F$3,(AR421+($I$3/10000))/2,(AR420+($I$3/10000))/2))^(2*AQ420/365.25))</f>
        <v/>
      </c>
      <c r="AT420" s="137" t="str">
        <f aca="false">IF(A421="","",IF(AND(mthbeg&lt;=A420,mthend&gt;=A420),1,0))</f>
        <v/>
      </c>
      <c r="AU420" s="137" t="str">
        <f aca="false">IF(A421="","",AO420*AT420)</f>
        <v/>
      </c>
      <c r="AW420" s="195" t="str">
        <f aca="false">IF($A421="","",AL420*$E420)</f>
        <v/>
      </c>
      <c r="AX420" s="195" t="str">
        <f aca="false">IF($A421="","",AM420*$E420)</f>
        <v/>
      </c>
      <c r="AY420" s="195" t="str">
        <f aca="false">IF($A421="","",AN420*$E420)</f>
        <v/>
      </c>
      <c r="BA420" s="195" t="str">
        <f aca="false">IF($A421="","",F420*Summary!$Q$8)</f>
        <v/>
      </c>
    </row>
    <row r="421" customFormat="false" ht="12.75" hidden="false" customHeight="false" outlineLevel="0" collapsed="false">
      <c r="A421" s="196" t="str">
        <f aca="false">IF(A420&lt;mthend,EDATE(A420,1),"")</f>
        <v/>
      </c>
      <c r="B421" s="197" t="n">
        <f aca="false">IF(A421&lt;mthend,B420,0)</f>
        <v>0</v>
      </c>
      <c r="D421" s="197" t="str">
        <f aca="false">IF(A422&lt;&gt;"",B421+C421,"")</f>
        <v/>
      </c>
      <c r="E421" s="199" t="str">
        <f aca="false">IF(A422="","",IF(AND(AT421=1,$H$3=1),D421*AO421,IF($H$3=2,D421,"N/A")))</f>
        <v/>
      </c>
      <c r="F421" s="199" t="str">
        <f aca="false">IF(A422="","",E421*AS421)</f>
        <v/>
      </c>
      <c r="G421" s="200" t="str">
        <f aca="false">IF($A422="","",VLOOKUP($A421,Table,MATCH(G$4,Curves,0)))</f>
        <v/>
      </c>
      <c r="H421" s="201" t="str">
        <f aca="false">IF(A422="","",G421)</f>
        <v/>
      </c>
      <c r="J421" s="200" t="str">
        <f aca="false">IF($A422="","",VLOOKUP($A421,Table,MATCH(J$4,Curves,0)))</f>
        <v/>
      </c>
      <c r="K421" s="201" t="str">
        <f aca="false">IF(A422="","",J421)</f>
        <v/>
      </c>
      <c r="L421" s="200" t="str">
        <f aca="false">IF($A422="","",VLOOKUP($A421,Table,MATCH(L$4,Curves,0)))</f>
        <v/>
      </c>
      <c r="M421" s="201" t="str">
        <f aca="false">IF(A422="","",L421)</f>
        <v/>
      </c>
      <c r="O421" s="200" t="str">
        <f aca="false">IF(A422="","",L421+J421+G421)</f>
        <v/>
      </c>
      <c r="P421" s="200" t="str">
        <f aca="false">IF(A422="","",M421+K421+H421)</f>
        <v/>
      </c>
      <c r="R421" s="200" t="str">
        <f aca="false">IF($A422="","",VLOOKUP($A421,Table,MATCH(R$4,Curves,0)))</f>
        <v/>
      </c>
      <c r="S421" s="201" t="str">
        <f aca="false">IF(A422="","",R421)</f>
        <v/>
      </c>
      <c r="T421" s="200" t="str">
        <f aca="false">IF($A422="","",VLOOKUP($A421,Table,MATCH(T$4,Curves,0)))</f>
        <v/>
      </c>
      <c r="U421" s="201" t="str">
        <f aca="false">IF(A422="","",T421)</f>
        <v/>
      </c>
      <c r="V421" s="183" t="str">
        <f aca="false">IF($A422="","",IF(AND(MONTH(A421)&gt;3,MONTH(A421)&lt;11),(T421+R421+G421)*Summary!$T$8/(1-Summary!$T$8),(T421+R421+G421)*Summary!$U$8/(1-Summary!$U$8)))</f>
        <v/>
      </c>
      <c r="W421" s="200" t="str">
        <f aca="false">IF($A422="","",(T421+R421+G421+V421))</f>
        <v/>
      </c>
      <c r="X421" s="200" t="str">
        <f aca="false">IF($A422="","",(U421+S421+H421+V421))</f>
        <v/>
      </c>
      <c r="Y421" s="202"/>
      <c r="Z421" s="185"/>
      <c r="AJ421" s="77"/>
      <c r="AK421" s="77"/>
      <c r="AL421" s="77"/>
      <c r="AM421" s="77"/>
      <c r="AN421" s="77"/>
      <c r="AO421" s="137" t="str">
        <f aca="false">IF(A422="","",A422-A421)</f>
        <v/>
      </c>
      <c r="AP421" s="212" t="str">
        <f aca="false">IF(A422="","",CHOOSE(F$3,A422+24,A421))</f>
        <v/>
      </c>
      <c r="AQ421" s="209" t="str">
        <f aca="false">IF(A422="","",AP421-$E$1)</f>
        <v/>
      </c>
      <c r="AR421" s="185" t="n">
        <f aca="false">'ANR OK vs ML7'!AR421</f>
        <v>0.1</v>
      </c>
      <c r="AS421" s="213" t="str">
        <f aca="false">IF(A422="","",1/(1+CHOOSE(F$3,(AR422+($I$3/10000))/2,(AR421+($I$3/10000))/2))^(2*AQ421/365.25))</f>
        <v/>
      </c>
      <c r="AT421" s="137" t="str">
        <f aca="false">IF(A422="","",IF(AND(mthbeg&lt;=A421,mthend&gt;=A421),1,0))</f>
        <v/>
      </c>
      <c r="AU421" s="137" t="str">
        <f aca="false">IF(A422="","",AO421*AT421)</f>
        <v/>
      </c>
      <c r="AW421" s="195" t="str">
        <f aca="false">IF($A422="","",AL421*$E421)</f>
        <v/>
      </c>
      <c r="AX421" s="195" t="str">
        <f aca="false">IF($A422="","",AM421*$E421)</f>
        <v/>
      </c>
      <c r="AY421" s="195" t="str">
        <f aca="false">IF($A422="","",AN421*$E421)</f>
        <v/>
      </c>
      <c r="BA421" s="195" t="str">
        <f aca="false">IF($A422="","",F421*Summary!$Q$8)</f>
        <v/>
      </c>
    </row>
    <row r="422" customFormat="false" ht="12.75" hidden="false" customHeight="false" outlineLevel="0" collapsed="false">
      <c r="A422" s="196" t="str">
        <f aca="false">IF(A421&lt;mthend,EDATE(A421,1),"")</f>
        <v/>
      </c>
      <c r="B422" s="197" t="n">
        <f aca="false">IF(A422&lt;mthend,B421,0)</f>
        <v>0</v>
      </c>
      <c r="D422" s="197" t="str">
        <f aca="false">IF(A423&lt;&gt;"",B422+C422,"")</f>
        <v/>
      </c>
      <c r="E422" s="199" t="str">
        <f aca="false">IF(A423="","",IF(AND(AT422=1,$H$3=1),D422*AO422,IF($H$3=2,D422,"N/A")))</f>
        <v/>
      </c>
      <c r="F422" s="199" t="str">
        <f aca="false">IF(A423="","",E422*AS422)</f>
        <v/>
      </c>
      <c r="G422" s="200" t="str">
        <f aca="false">IF($A423="","",VLOOKUP($A422,Table,MATCH(G$4,Curves,0)))</f>
        <v/>
      </c>
      <c r="H422" s="201" t="str">
        <f aca="false">IF(A423="","",G422)</f>
        <v/>
      </c>
      <c r="J422" s="200" t="str">
        <f aca="false">IF($A423="","",VLOOKUP($A422,Table,MATCH(J$4,Curves,0)))</f>
        <v/>
      </c>
      <c r="K422" s="201" t="str">
        <f aca="false">IF(A423="","",J422)</f>
        <v/>
      </c>
      <c r="L422" s="200" t="str">
        <f aca="false">IF($A423="","",VLOOKUP($A422,Table,MATCH(L$4,Curves,0)))</f>
        <v/>
      </c>
      <c r="M422" s="201" t="str">
        <f aca="false">IF(A423="","",L422)</f>
        <v/>
      </c>
      <c r="O422" s="200" t="str">
        <f aca="false">IF(A423="","",L422+J422+G422)</f>
        <v/>
      </c>
      <c r="P422" s="200" t="str">
        <f aca="false">IF(A423="","",M422+K422+H422)</f>
        <v/>
      </c>
      <c r="R422" s="200" t="str">
        <f aca="false">IF($A423="","",VLOOKUP($A422,Table,MATCH(R$4,Curves,0)))</f>
        <v/>
      </c>
      <c r="S422" s="201" t="str">
        <f aca="false">IF(A423="","",R422)</f>
        <v/>
      </c>
      <c r="T422" s="200" t="str">
        <f aca="false">IF($A423="","",VLOOKUP($A422,Table,MATCH(T$4,Curves,0)))</f>
        <v/>
      </c>
      <c r="U422" s="201" t="str">
        <f aca="false">IF(A423="","",T422)</f>
        <v/>
      </c>
      <c r="V422" s="183" t="str">
        <f aca="false">IF($A423="","",IF(AND(MONTH(A422)&gt;3,MONTH(A422)&lt;11),(T422+R422+G422)*Summary!$T$8/(1-Summary!$T$8),(T422+R422+G422)*Summary!$U$8/(1-Summary!$U$8)))</f>
        <v/>
      </c>
      <c r="W422" s="200" t="str">
        <f aca="false">IF($A423="","",(T422+R422+G422+V422))</f>
        <v/>
      </c>
      <c r="X422" s="200" t="str">
        <f aca="false">IF($A423="","",(U422+S422+H422+V422))</f>
        <v/>
      </c>
      <c r="Y422" s="202"/>
      <c r="Z422" s="185"/>
      <c r="AJ422" s="77"/>
      <c r="AK422" s="77"/>
      <c r="AL422" s="77"/>
      <c r="AM422" s="77"/>
      <c r="AN422" s="77"/>
      <c r="AO422" s="137" t="str">
        <f aca="false">IF(A423="","",A423-A422)</f>
        <v/>
      </c>
      <c r="AP422" s="212" t="str">
        <f aca="false">IF(A423="","",CHOOSE(F$3,A423+24,A422))</f>
        <v/>
      </c>
      <c r="AQ422" s="209" t="str">
        <f aca="false">IF(A423="","",AP422-$E$1)</f>
        <v/>
      </c>
      <c r="AR422" s="185" t="n">
        <f aca="false">'ANR OK vs ML7'!AR422</f>
        <v>0.1</v>
      </c>
      <c r="AS422" s="213" t="str">
        <f aca="false">IF(A423="","",1/(1+CHOOSE(F$3,(AR423+($I$3/10000))/2,(AR422+($I$3/10000))/2))^(2*AQ422/365.25))</f>
        <v/>
      </c>
      <c r="AT422" s="137" t="str">
        <f aca="false">IF(A423="","",IF(AND(mthbeg&lt;=A422,mthend&gt;=A422),1,0))</f>
        <v/>
      </c>
      <c r="AU422" s="137" t="str">
        <f aca="false">IF(A423="","",AO422*AT422)</f>
        <v/>
      </c>
      <c r="AW422" s="195" t="str">
        <f aca="false">IF($A423="","",AL422*$E422)</f>
        <v/>
      </c>
      <c r="AX422" s="195" t="str">
        <f aca="false">IF($A423="","",AM422*$E422)</f>
        <v/>
      </c>
      <c r="AY422" s="195" t="str">
        <f aca="false">IF($A423="","",AN422*$E422)</f>
        <v/>
      </c>
      <c r="BA422" s="195" t="str">
        <f aca="false">IF($A423="","",F422*Summary!$Q$8)</f>
        <v/>
      </c>
    </row>
    <row r="423" customFormat="false" ht="12.75" hidden="false" customHeight="false" outlineLevel="0" collapsed="false">
      <c r="A423" s="196" t="str">
        <f aca="false">IF(A422&lt;mthend,EDATE(A422,1),"")</f>
        <v/>
      </c>
      <c r="B423" s="197" t="n">
        <f aca="false">IF(A423&lt;mthend,B422,0)</f>
        <v>0</v>
      </c>
      <c r="D423" s="197" t="str">
        <f aca="false">IF(A424&lt;&gt;"",B423+C423,"")</f>
        <v/>
      </c>
      <c r="E423" s="199" t="str">
        <f aca="false">IF(A424="","",IF(AND(AT423=1,$H$3=1),D423*AO423,IF($H$3=2,D423,"N/A")))</f>
        <v/>
      </c>
      <c r="F423" s="199" t="str">
        <f aca="false">IF(A424="","",E423*AS423)</f>
        <v/>
      </c>
      <c r="G423" s="200" t="str">
        <f aca="false">IF($A424="","",VLOOKUP($A423,Table,MATCH(G$4,Curves,0)))</f>
        <v/>
      </c>
      <c r="H423" s="201" t="str">
        <f aca="false">IF(A424="","",G423)</f>
        <v/>
      </c>
      <c r="J423" s="200" t="str">
        <f aca="false">IF($A424="","",VLOOKUP($A423,Table,MATCH(J$4,Curves,0)))</f>
        <v/>
      </c>
      <c r="K423" s="201" t="str">
        <f aca="false">IF(A424="","",J423)</f>
        <v/>
      </c>
      <c r="L423" s="200" t="str">
        <f aca="false">IF($A424="","",VLOOKUP($A423,Table,MATCH(L$4,Curves,0)))</f>
        <v/>
      </c>
      <c r="M423" s="201" t="str">
        <f aca="false">IF(A424="","",L423)</f>
        <v/>
      </c>
      <c r="O423" s="200" t="str">
        <f aca="false">IF(A424="","",L423+J423+G423)</f>
        <v/>
      </c>
      <c r="P423" s="200" t="str">
        <f aca="false">IF(A424="","",M423+K423+H423)</f>
        <v/>
      </c>
      <c r="R423" s="200" t="str">
        <f aca="false">IF($A424="","",VLOOKUP($A423,Table,MATCH(R$4,Curves,0)))</f>
        <v/>
      </c>
      <c r="S423" s="201" t="str">
        <f aca="false">IF(A424="","",R423)</f>
        <v/>
      </c>
      <c r="T423" s="200" t="str">
        <f aca="false">IF($A424="","",VLOOKUP($A423,Table,MATCH(T$4,Curves,0)))</f>
        <v/>
      </c>
      <c r="U423" s="201" t="str">
        <f aca="false">IF(A424="","",T423)</f>
        <v/>
      </c>
      <c r="V423" s="183" t="str">
        <f aca="false">IF($A424="","",IF(AND(MONTH(A423)&gt;3,MONTH(A423)&lt;11),(T423+R423+G423)*Summary!$T$8/(1-Summary!$T$8),(T423+R423+G423)*Summary!$U$8/(1-Summary!$U$8)))</f>
        <v/>
      </c>
      <c r="W423" s="200" t="str">
        <f aca="false">IF($A424="","",(T423+R423+G423+V423))</f>
        <v/>
      </c>
      <c r="X423" s="200" t="str">
        <f aca="false">IF($A424="","",(U423+S423+H423+V423))</f>
        <v/>
      </c>
      <c r="Y423" s="202"/>
      <c r="Z423" s="185"/>
      <c r="AJ423" s="77"/>
      <c r="AK423" s="77"/>
      <c r="AL423" s="77"/>
      <c r="AM423" s="77"/>
      <c r="AN423" s="77"/>
      <c r="AO423" s="137" t="str">
        <f aca="false">IF(A424="","",A424-A423)</f>
        <v/>
      </c>
      <c r="AP423" s="212" t="str">
        <f aca="false">IF(A424="","",CHOOSE(F$3,A424+24,A423))</f>
        <v/>
      </c>
      <c r="AQ423" s="209" t="str">
        <f aca="false">IF(A424="","",AP423-$E$1)</f>
        <v/>
      </c>
      <c r="AR423" s="185" t="n">
        <f aca="false">'ANR OK vs ML7'!AR423</f>
        <v>0.1</v>
      </c>
      <c r="AS423" s="213" t="str">
        <f aca="false">IF(A424="","",1/(1+CHOOSE(F$3,(AR424+($I$3/10000))/2,(AR423+($I$3/10000))/2))^(2*AQ423/365.25))</f>
        <v/>
      </c>
      <c r="AT423" s="137" t="str">
        <f aca="false">IF(A424="","",IF(AND(mthbeg&lt;=A423,mthend&gt;=A423),1,0))</f>
        <v/>
      </c>
      <c r="AU423" s="137" t="str">
        <f aca="false">IF(A424="","",AO423*AT423)</f>
        <v/>
      </c>
      <c r="AW423" s="195" t="str">
        <f aca="false">IF($A424="","",AL423*$E423)</f>
        <v/>
      </c>
      <c r="AX423" s="195" t="str">
        <f aca="false">IF($A424="","",AM423*$E423)</f>
        <v/>
      </c>
      <c r="AY423" s="195" t="str">
        <f aca="false">IF($A424="","",AN423*$E423)</f>
        <v/>
      </c>
      <c r="BA423" s="195" t="str">
        <f aca="false">IF($A424="","",F423*Summary!$Q$8)</f>
        <v/>
      </c>
    </row>
    <row r="424" customFormat="false" ht="12.75" hidden="false" customHeight="false" outlineLevel="0" collapsed="false">
      <c r="A424" s="196" t="str">
        <f aca="false">IF(A423&lt;mthend,EDATE(A423,1),"")</f>
        <v/>
      </c>
      <c r="B424" s="197" t="n">
        <f aca="false">IF(A424&lt;mthend,B423,0)</f>
        <v>0</v>
      </c>
      <c r="D424" s="197" t="str">
        <f aca="false">IF(A425&lt;&gt;"",B424+C424,"")</f>
        <v/>
      </c>
      <c r="E424" s="199" t="str">
        <f aca="false">IF(A425="","",IF(AND(AT424=1,$H$3=1),D424*AO424,IF($H$3=2,D424,"N/A")))</f>
        <v/>
      </c>
      <c r="F424" s="199" t="str">
        <f aca="false">IF(A425="","",E424*AS424)</f>
        <v/>
      </c>
      <c r="G424" s="200" t="str">
        <f aca="false">IF($A425="","",VLOOKUP($A424,Table,MATCH(G$4,Curves,0)))</f>
        <v/>
      </c>
      <c r="H424" s="201" t="str">
        <f aca="false">IF(A425="","",G424)</f>
        <v/>
      </c>
      <c r="J424" s="200" t="str">
        <f aca="false">IF($A425="","",VLOOKUP($A424,Table,MATCH(J$4,Curves,0)))</f>
        <v/>
      </c>
      <c r="K424" s="201" t="str">
        <f aca="false">IF(A425="","",J424)</f>
        <v/>
      </c>
      <c r="L424" s="200" t="str">
        <f aca="false">IF($A425="","",VLOOKUP($A424,Table,MATCH(L$4,Curves,0)))</f>
        <v/>
      </c>
      <c r="M424" s="201" t="str">
        <f aca="false">IF(A425="","",L424)</f>
        <v/>
      </c>
      <c r="O424" s="200" t="str">
        <f aca="false">IF(A425="","",L424+J424+G424)</f>
        <v/>
      </c>
      <c r="P424" s="200" t="str">
        <f aca="false">IF(A425="","",M424+K424+H424)</f>
        <v/>
      </c>
      <c r="R424" s="200" t="str">
        <f aca="false">IF($A425="","",VLOOKUP($A424,Table,MATCH(R$4,Curves,0)))</f>
        <v/>
      </c>
      <c r="S424" s="201" t="str">
        <f aca="false">IF(A425="","",R424)</f>
        <v/>
      </c>
      <c r="T424" s="200" t="str">
        <f aca="false">IF($A425="","",VLOOKUP($A424,Table,MATCH(T$4,Curves,0)))</f>
        <v/>
      </c>
      <c r="U424" s="201" t="str">
        <f aca="false">IF(A425="","",T424)</f>
        <v/>
      </c>
      <c r="V424" s="183" t="str">
        <f aca="false">IF($A425="","",IF(AND(MONTH(A424)&gt;3,MONTH(A424)&lt;11),(T424+R424+G424)*Summary!$T$8/(1-Summary!$T$8),(T424+R424+G424)*Summary!$U$8/(1-Summary!$U$8)))</f>
        <v/>
      </c>
      <c r="W424" s="200" t="str">
        <f aca="false">IF($A425="","",(T424+R424+G424+V424))</f>
        <v/>
      </c>
      <c r="X424" s="200" t="str">
        <f aca="false">IF($A425="","",(U424+S424+H424+V424))</f>
        <v/>
      </c>
      <c r="Y424" s="202"/>
      <c r="Z424" s="185"/>
      <c r="AJ424" s="77"/>
      <c r="AK424" s="77"/>
      <c r="AL424" s="77"/>
      <c r="AM424" s="77"/>
      <c r="AN424" s="77"/>
      <c r="AO424" s="137" t="str">
        <f aca="false">IF(A425="","",A425-A424)</f>
        <v/>
      </c>
      <c r="AP424" s="212" t="str">
        <f aca="false">IF(A425="","",CHOOSE(F$3,A425+24,A424))</f>
        <v/>
      </c>
      <c r="AQ424" s="209" t="str">
        <f aca="false">IF(A425="","",AP424-$E$1)</f>
        <v/>
      </c>
      <c r="AR424" s="185" t="n">
        <f aca="false">'ANR OK vs ML7'!AR424</f>
        <v>0.1</v>
      </c>
      <c r="AS424" s="213" t="str">
        <f aca="false">IF(A425="","",1/(1+CHOOSE(F$3,(AR425+($I$3/10000))/2,(AR424+($I$3/10000))/2))^(2*AQ424/365.25))</f>
        <v/>
      </c>
      <c r="AT424" s="137" t="str">
        <f aca="false">IF(A425="","",IF(AND(mthbeg&lt;=A424,mthend&gt;=A424),1,0))</f>
        <v/>
      </c>
      <c r="AU424" s="137" t="str">
        <f aca="false">IF(A425="","",AO424*AT424)</f>
        <v/>
      </c>
      <c r="AW424" s="195" t="str">
        <f aca="false">IF($A425="","",AL424*$E424)</f>
        <v/>
      </c>
      <c r="AX424" s="195" t="str">
        <f aca="false">IF($A425="","",AM424*$E424)</f>
        <v/>
      </c>
      <c r="AY424" s="195" t="str">
        <f aca="false">IF($A425="","",AN424*$E424)</f>
        <v/>
      </c>
      <c r="BA424" s="195" t="str">
        <f aca="false">IF($A425="","",F424*Summary!$Q$8)</f>
        <v/>
      </c>
    </row>
    <row r="425" customFormat="false" ht="12.75" hidden="false" customHeight="false" outlineLevel="0" collapsed="false">
      <c r="A425" s="196" t="str">
        <f aca="false">IF(A424&lt;mthend,EDATE(A424,1),"")</f>
        <v/>
      </c>
      <c r="B425" s="197" t="n">
        <f aca="false">IF(A425&lt;mthend,B424,0)</f>
        <v>0</v>
      </c>
      <c r="D425" s="197" t="str">
        <f aca="false">IF(A426&lt;&gt;"",B425+C425,"")</f>
        <v/>
      </c>
      <c r="E425" s="199" t="str">
        <f aca="false">IF(A426="","",IF(AND(AT425=1,$H$3=1),D425*AO425,IF($H$3=2,D425,"N/A")))</f>
        <v/>
      </c>
      <c r="F425" s="199" t="str">
        <f aca="false">IF(A426="","",E425*AS425)</f>
        <v/>
      </c>
      <c r="G425" s="200" t="str">
        <f aca="false">IF($A426="","",VLOOKUP($A425,Table,MATCH(G$4,Curves,0)))</f>
        <v/>
      </c>
      <c r="H425" s="201" t="str">
        <f aca="false">IF(A426="","",G425)</f>
        <v/>
      </c>
      <c r="J425" s="200" t="str">
        <f aca="false">IF($A426="","",VLOOKUP($A425,Table,MATCH(J$4,Curves,0)))</f>
        <v/>
      </c>
      <c r="K425" s="201" t="str">
        <f aca="false">IF(A426="","",J425)</f>
        <v/>
      </c>
      <c r="L425" s="200" t="str">
        <f aca="false">IF($A426="","",VLOOKUP($A425,Table,MATCH(L$4,Curves,0)))</f>
        <v/>
      </c>
      <c r="M425" s="201" t="str">
        <f aca="false">IF(A426="","",L425)</f>
        <v/>
      </c>
      <c r="O425" s="200" t="str">
        <f aca="false">IF(A426="","",L425+J425+G425)</f>
        <v/>
      </c>
      <c r="P425" s="200" t="str">
        <f aca="false">IF(A426="","",M425+K425+H425)</f>
        <v/>
      </c>
      <c r="R425" s="200" t="str">
        <f aca="false">IF($A426="","",VLOOKUP($A425,Table,MATCH(R$4,Curves,0)))</f>
        <v/>
      </c>
      <c r="S425" s="201" t="str">
        <f aca="false">IF(A426="","",R425)</f>
        <v/>
      </c>
      <c r="T425" s="200" t="str">
        <f aca="false">IF($A426="","",VLOOKUP($A425,Table,MATCH(T$4,Curves,0)))</f>
        <v/>
      </c>
      <c r="U425" s="201" t="str">
        <f aca="false">IF(A426="","",T425)</f>
        <v/>
      </c>
      <c r="V425" s="183" t="str">
        <f aca="false">IF($A426="","",IF(AND(MONTH(A425)&gt;3,MONTH(A425)&lt;11),(T425+R425+G425)*Summary!$T$8/(1-Summary!$T$8),(T425+R425+G425)*Summary!$U$8/(1-Summary!$U$8)))</f>
        <v/>
      </c>
      <c r="W425" s="200" t="str">
        <f aca="false">IF($A426="","",(T425+R425+G425+V425))</f>
        <v/>
      </c>
      <c r="X425" s="200" t="str">
        <f aca="false">IF($A426="","",(U425+S425+H425+V425))</f>
        <v/>
      </c>
      <c r="Y425" s="202"/>
      <c r="Z425" s="185"/>
      <c r="AJ425" s="77"/>
      <c r="AK425" s="77"/>
      <c r="AL425" s="77"/>
      <c r="AM425" s="77"/>
      <c r="AN425" s="77"/>
      <c r="AO425" s="137" t="str">
        <f aca="false">IF(A426="","",A426-A425)</f>
        <v/>
      </c>
      <c r="AP425" s="212" t="str">
        <f aca="false">IF(A426="","",CHOOSE(F$3,A426+24,A425))</f>
        <v/>
      </c>
      <c r="AQ425" s="209" t="str">
        <f aca="false">IF(A426="","",AP425-$E$1)</f>
        <v/>
      </c>
      <c r="AR425" s="185" t="n">
        <f aca="false">'ANR OK vs ML7'!AR425</f>
        <v>0.1</v>
      </c>
      <c r="AS425" s="213" t="str">
        <f aca="false">IF(A426="","",1/(1+CHOOSE(F$3,(AR426+($I$3/10000))/2,(AR425+($I$3/10000))/2))^(2*AQ425/365.25))</f>
        <v/>
      </c>
      <c r="AT425" s="137" t="str">
        <f aca="false">IF(A426="","",IF(AND(mthbeg&lt;=A425,mthend&gt;=A425),1,0))</f>
        <v/>
      </c>
      <c r="AU425" s="137" t="str">
        <f aca="false">IF(A426="","",AO425*AT425)</f>
        <v/>
      </c>
      <c r="AW425" s="195" t="str">
        <f aca="false">IF($A426="","",AL425*$E425)</f>
        <v/>
      </c>
      <c r="AX425" s="195" t="str">
        <f aca="false">IF($A426="","",AM425*$E425)</f>
        <v/>
      </c>
      <c r="AY425" s="195" t="str">
        <f aca="false">IF($A426="","",AN425*$E425)</f>
        <v/>
      </c>
      <c r="BA425" s="195" t="str">
        <f aca="false">IF($A426="","",F425*Summary!$Q$8)</f>
        <v/>
      </c>
    </row>
    <row r="426" customFormat="false" ht="12.75" hidden="false" customHeight="false" outlineLevel="0" collapsed="false">
      <c r="A426" s="196" t="str">
        <f aca="false">IF(A425&lt;mthend,EDATE(A425,1),"")</f>
        <v/>
      </c>
      <c r="B426" s="197" t="n">
        <f aca="false">IF(A426&lt;mthend,B425,0)</f>
        <v>0</v>
      </c>
      <c r="D426" s="197" t="str">
        <f aca="false">IF(A427&lt;&gt;"",B426+C426,"")</f>
        <v/>
      </c>
      <c r="E426" s="199" t="str">
        <f aca="false">IF(A427="","",IF(AND(AT426=1,$H$3=1),D426*AO426,IF($H$3=2,D426,"N/A")))</f>
        <v/>
      </c>
      <c r="F426" s="199" t="str">
        <f aca="false">IF(A427="","",E426*AS426)</f>
        <v/>
      </c>
      <c r="G426" s="200" t="str">
        <f aca="false">IF($A427="","",VLOOKUP($A426,Table,MATCH(G$4,Curves,0)))</f>
        <v/>
      </c>
      <c r="H426" s="201" t="str">
        <f aca="false">IF(A427="","",G426)</f>
        <v/>
      </c>
      <c r="J426" s="200" t="str">
        <f aca="false">IF($A427="","",VLOOKUP($A426,Table,MATCH(J$4,Curves,0)))</f>
        <v/>
      </c>
      <c r="K426" s="201" t="str">
        <f aca="false">IF(A427="","",J426)</f>
        <v/>
      </c>
      <c r="L426" s="200" t="str">
        <f aca="false">IF($A427="","",VLOOKUP($A426,Table,MATCH(L$4,Curves,0)))</f>
        <v/>
      </c>
      <c r="M426" s="201" t="str">
        <f aca="false">IF(A427="","",L426)</f>
        <v/>
      </c>
      <c r="O426" s="200" t="str">
        <f aca="false">IF(A427="","",L426+J426+G426)</f>
        <v/>
      </c>
      <c r="P426" s="200" t="str">
        <f aca="false">IF(A427="","",M426+K426+H426)</f>
        <v/>
      </c>
      <c r="R426" s="200" t="str">
        <f aca="false">IF($A427="","",VLOOKUP($A426,Table,MATCH(R$4,Curves,0)))</f>
        <v/>
      </c>
      <c r="S426" s="201" t="str">
        <f aca="false">IF(A427="","",R426)</f>
        <v/>
      </c>
      <c r="T426" s="200" t="str">
        <f aca="false">IF($A427="","",VLOOKUP($A426,Table,MATCH(T$4,Curves,0)))</f>
        <v/>
      </c>
      <c r="U426" s="201" t="str">
        <f aca="false">IF(A427="","",T426)</f>
        <v/>
      </c>
      <c r="V426" s="183" t="str">
        <f aca="false">IF($A427="","",IF(AND(MONTH(A426)&gt;3,MONTH(A426)&lt;11),(T426+R426+G426)*Summary!$T$8/(1-Summary!$T$8),(T426+R426+G426)*Summary!$U$8/(1-Summary!$U$8)))</f>
        <v/>
      </c>
      <c r="W426" s="200" t="str">
        <f aca="false">IF($A427="","",(T426+R426+G426+V426))</f>
        <v/>
      </c>
      <c r="X426" s="200" t="str">
        <f aca="false">IF($A427="","",(U426+S426+H426+V426))</f>
        <v/>
      </c>
      <c r="Y426" s="202"/>
      <c r="Z426" s="185"/>
      <c r="AJ426" s="77"/>
      <c r="AK426" s="77"/>
      <c r="AL426" s="77"/>
      <c r="AM426" s="77"/>
      <c r="AN426" s="77"/>
      <c r="AO426" s="137" t="str">
        <f aca="false">IF(A427="","",A427-A426)</f>
        <v/>
      </c>
      <c r="AP426" s="212" t="str">
        <f aca="false">IF(A427="","",CHOOSE(F$3,A427+24,A426))</f>
        <v/>
      </c>
      <c r="AQ426" s="209" t="str">
        <f aca="false">IF(A427="","",AP426-$E$1)</f>
        <v/>
      </c>
      <c r="AR426" s="185" t="n">
        <f aca="false">'ANR OK vs ML7'!AR426</f>
        <v>0.1</v>
      </c>
      <c r="AS426" s="213" t="str">
        <f aca="false">IF(A427="","",1/(1+CHOOSE(F$3,(AR427+($I$3/10000))/2,(AR426+($I$3/10000))/2))^(2*AQ426/365.25))</f>
        <v/>
      </c>
      <c r="AT426" s="137" t="str">
        <f aca="false">IF(A427="","",IF(AND(mthbeg&lt;=A426,mthend&gt;=A426),1,0))</f>
        <v/>
      </c>
      <c r="AU426" s="137" t="str">
        <f aca="false">IF(A427="","",AO426*AT426)</f>
        <v/>
      </c>
      <c r="AW426" s="195" t="str">
        <f aca="false">IF($A427="","",AL426*$E426)</f>
        <v/>
      </c>
      <c r="AX426" s="195" t="str">
        <f aca="false">IF($A427="","",AM426*$E426)</f>
        <v/>
      </c>
      <c r="AY426" s="195" t="str">
        <f aca="false">IF($A427="","",AN426*$E426)</f>
        <v/>
      </c>
      <c r="BA426" s="195" t="str">
        <f aca="false">IF($A427="","",F426*Summary!$Q$8)</f>
        <v/>
      </c>
    </row>
    <row r="427" customFormat="false" ht="12.75" hidden="false" customHeight="false" outlineLevel="0" collapsed="false">
      <c r="A427" s="196" t="str">
        <f aca="false">IF(A426&lt;mthend,EDATE(A426,1),"")</f>
        <v/>
      </c>
      <c r="B427" s="197" t="n">
        <f aca="false">IF(A427&lt;mthend,B426,0)</f>
        <v>0</v>
      </c>
      <c r="D427" s="197" t="str">
        <f aca="false">IF(A428&lt;&gt;"",B427+C427,"")</f>
        <v/>
      </c>
      <c r="E427" s="199" t="str">
        <f aca="false">IF(A428="","",IF(AND(AT427=1,$H$3=1),D427*AO427,IF($H$3=2,D427,"N/A")))</f>
        <v/>
      </c>
      <c r="F427" s="199" t="str">
        <f aca="false">IF(A428="","",E427*AS427)</f>
        <v/>
      </c>
      <c r="G427" s="200" t="str">
        <f aca="false">IF($A428="","",VLOOKUP($A427,Table,MATCH(G$4,Curves,0)))</f>
        <v/>
      </c>
      <c r="H427" s="201" t="str">
        <f aca="false">IF(A428="","",G427)</f>
        <v/>
      </c>
      <c r="J427" s="200" t="str">
        <f aca="false">IF($A428="","",VLOOKUP($A427,Table,MATCH(J$4,Curves,0)))</f>
        <v/>
      </c>
      <c r="K427" s="201" t="str">
        <f aca="false">IF(A428="","",J427)</f>
        <v/>
      </c>
      <c r="L427" s="200" t="str">
        <f aca="false">IF($A428="","",VLOOKUP($A427,Table,MATCH(L$4,Curves,0)))</f>
        <v/>
      </c>
      <c r="M427" s="201" t="str">
        <f aca="false">IF(A428="","",L427)</f>
        <v/>
      </c>
      <c r="O427" s="200" t="str">
        <f aca="false">IF(A428="","",L427+J427+G427)</f>
        <v/>
      </c>
      <c r="P427" s="200" t="str">
        <f aca="false">IF(A428="","",M427+K427+H427)</f>
        <v/>
      </c>
      <c r="R427" s="200" t="str">
        <f aca="false">IF($A428="","",VLOOKUP($A427,Table,MATCH(R$4,Curves,0)))</f>
        <v/>
      </c>
      <c r="S427" s="201" t="str">
        <f aca="false">IF(A428="","",R427)</f>
        <v/>
      </c>
      <c r="T427" s="200" t="str">
        <f aca="false">IF($A428="","",VLOOKUP($A427,Table,MATCH(T$4,Curves,0)))</f>
        <v/>
      </c>
      <c r="U427" s="201" t="str">
        <f aca="false">IF(A428="","",T427)</f>
        <v/>
      </c>
      <c r="V427" s="183" t="str">
        <f aca="false">IF($A428="","",IF(AND(MONTH(A427)&gt;3,MONTH(A427)&lt;11),(T427+R427+G427)*Summary!$T$8/(1-Summary!$T$8),(T427+R427+G427)*Summary!$U$8/(1-Summary!$U$8)))</f>
        <v/>
      </c>
      <c r="W427" s="200" t="str">
        <f aca="false">IF($A428="","",(T427+R427+G427+V427))</f>
        <v/>
      </c>
      <c r="X427" s="200" t="str">
        <f aca="false">IF($A428="","",(U427+S427+H427+V427))</f>
        <v/>
      </c>
      <c r="Y427" s="202"/>
      <c r="Z427" s="185"/>
      <c r="AJ427" s="77"/>
      <c r="AK427" s="77"/>
      <c r="AL427" s="77"/>
      <c r="AM427" s="77"/>
      <c r="AN427" s="77"/>
      <c r="AO427" s="137" t="str">
        <f aca="false">IF(A428="","",A428-A427)</f>
        <v/>
      </c>
      <c r="AP427" s="212" t="str">
        <f aca="false">IF(A428="","",CHOOSE(F$3,A428+24,A427))</f>
        <v/>
      </c>
      <c r="AQ427" s="209" t="str">
        <f aca="false">IF(A428="","",AP427-$E$1)</f>
        <v/>
      </c>
      <c r="AR427" s="185" t="n">
        <f aca="false">'ANR OK vs ML7'!AR427</f>
        <v>0.1</v>
      </c>
      <c r="AS427" s="213" t="str">
        <f aca="false">IF(A428="","",1/(1+CHOOSE(F$3,(AR428+($I$3/10000))/2,(AR427+($I$3/10000))/2))^(2*AQ427/365.25))</f>
        <v/>
      </c>
      <c r="AT427" s="137" t="str">
        <f aca="false">IF(A428="","",IF(AND(mthbeg&lt;=A427,mthend&gt;=A427),1,0))</f>
        <v/>
      </c>
      <c r="AU427" s="137" t="str">
        <f aca="false">IF(A428="","",AO427*AT427)</f>
        <v/>
      </c>
      <c r="AW427" s="195" t="str">
        <f aca="false">IF($A428="","",AL427*$E427)</f>
        <v/>
      </c>
      <c r="AX427" s="195" t="str">
        <f aca="false">IF($A428="","",AM427*$E427)</f>
        <v/>
      </c>
      <c r="AY427" s="195" t="str">
        <f aca="false">IF($A428="","",AN427*$E427)</f>
        <v/>
      </c>
      <c r="BA427" s="195" t="str">
        <f aca="false">IF($A428="","",F427*Summary!$Q$8)</f>
        <v/>
      </c>
    </row>
    <row r="428" customFormat="false" ht="12.75" hidden="false" customHeight="false" outlineLevel="0" collapsed="false">
      <c r="A428" s="196" t="str">
        <f aca="false">IF(A427&lt;mthend,EDATE(A427,1),"")</f>
        <v/>
      </c>
      <c r="B428" s="197" t="n">
        <f aca="false">IF(A428&lt;mthend,B427,0)</f>
        <v>0</v>
      </c>
      <c r="D428" s="197" t="str">
        <f aca="false">IF(A429&lt;&gt;"",B428+C428,"")</f>
        <v/>
      </c>
      <c r="E428" s="199" t="str">
        <f aca="false">IF(A429="","",IF(AND(AT428=1,$H$3=1),D428*AO428,IF($H$3=2,D428,"N/A")))</f>
        <v/>
      </c>
      <c r="F428" s="199" t="str">
        <f aca="false">IF(A429="","",E428*AS428)</f>
        <v/>
      </c>
      <c r="G428" s="200" t="str">
        <f aca="false">IF($A429="","",VLOOKUP($A428,Table,MATCH(G$4,Curves,0)))</f>
        <v/>
      </c>
      <c r="H428" s="201" t="str">
        <f aca="false">IF(A429="","",G428)</f>
        <v/>
      </c>
      <c r="J428" s="200" t="str">
        <f aca="false">IF($A429="","",VLOOKUP($A428,Table,MATCH(J$4,Curves,0)))</f>
        <v/>
      </c>
      <c r="K428" s="201" t="str">
        <f aca="false">IF(A429="","",J428)</f>
        <v/>
      </c>
      <c r="L428" s="200" t="str">
        <f aca="false">IF($A429="","",VLOOKUP($A428,Table,MATCH(L$4,Curves,0)))</f>
        <v/>
      </c>
      <c r="M428" s="201" t="str">
        <f aca="false">IF(A429="","",L428)</f>
        <v/>
      </c>
      <c r="O428" s="200" t="str">
        <f aca="false">IF(A429="","",L428+J428+G428)</f>
        <v/>
      </c>
      <c r="P428" s="200" t="str">
        <f aca="false">IF(A429="","",M428+K428+H428)</f>
        <v/>
      </c>
      <c r="R428" s="200" t="str">
        <f aca="false">IF($A429="","",VLOOKUP($A428,Table,MATCH(R$4,Curves,0)))</f>
        <v/>
      </c>
      <c r="S428" s="201" t="str">
        <f aca="false">IF(A429="","",R428)</f>
        <v/>
      </c>
      <c r="T428" s="200" t="str">
        <f aca="false">IF($A429="","",VLOOKUP($A428,Table,MATCH(T$4,Curves,0)))</f>
        <v/>
      </c>
      <c r="U428" s="201" t="str">
        <f aca="false">IF(A429="","",T428)</f>
        <v/>
      </c>
      <c r="V428" s="183" t="str">
        <f aca="false">IF($A429="","",IF(AND(MONTH(A428)&gt;3,MONTH(A428)&lt;11),(T428+R428+G428)*Summary!$T$8/(1-Summary!$T$8),(T428+R428+G428)*Summary!$U$8/(1-Summary!$U$8)))</f>
        <v/>
      </c>
      <c r="W428" s="200" t="str">
        <f aca="false">IF($A429="","",(T428+R428+G428+V428))</f>
        <v/>
      </c>
      <c r="X428" s="200" t="str">
        <f aca="false">IF($A429="","",(U428+S428+H428+V428))</f>
        <v/>
      </c>
      <c r="Y428" s="202"/>
      <c r="Z428" s="185"/>
      <c r="AJ428" s="77"/>
      <c r="AK428" s="77"/>
      <c r="AL428" s="77"/>
      <c r="AM428" s="77"/>
      <c r="AN428" s="77"/>
      <c r="AO428" s="137" t="str">
        <f aca="false">IF(A429="","",A429-A428)</f>
        <v/>
      </c>
      <c r="AP428" s="212" t="str">
        <f aca="false">IF(A429="","",CHOOSE(F$3,A429+24,A428))</f>
        <v/>
      </c>
      <c r="AQ428" s="209" t="str">
        <f aca="false">IF(A429="","",AP428-$E$1)</f>
        <v/>
      </c>
      <c r="AR428" s="185" t="n">
        <f aca="false">'ANR OK vs ML7'!AR428</f>
        <v>0.1</v>
      </c>
      <c r="AS428" s="213" t="str">
        <f aca="false">IF(A429="","",1/(1+CHOOSE(F$3,(AR429+($I$3/10000))/2,(AR428+($I$3/10000))/2))^(2*AQ428/365.25))</f>
        <v/>
      </c>
      <c r="AT428" s="137" t="str">
        <f aca="false">IF(A429="","",IF(AND(mthbeg&lt;=A428,mthend&gt;=A428),1,0))</f>
        <v/>
      </c>
      <c r="AU428" s="137" t="str">
        <f aca="false">IF(A429="","",AO428*AT428)</f>
        <v/>
      </c>
      <c r="AW428" s="195" t="str">
        <f aca="false">IF($A429="","",AL428*$E428)</f>
        <v/>
      </c>
      <c r="AX428" s="195" t="str">
        <f aca="false">IF($A429="","",AM428*$E428)</f>
        <v/>
      </c>
      <c r="AY428" s="195" t="str">
        <f aca="false">IF($A429="","",AN428*$E428)</f>
        <v/>
      </c>
      <c r="BA428" s="195" t="str">
        <f aca="false">IF($A429="","",F428*Summary!$Q$8)</f>
        <v/>
      </c>
    </row>
    <row r="429" customFormat="false" ht="12.75" hidden="false" customHeight="false" outlineLevel="0" collapsed="false">
      <c r="A429" s="196" t="str">
        <f aca="false">IF(A428&lt;mthend,EDATE(A428,1),"")</f>
        <v/>
      </c>
      <c r="B429" s="197" t="n">
        <f aca="false">IF(A429&lt;mthend,B428,0)</f>
        <v>0</v>
      </c>
      <c r="D429" s="197" t="str">
        <f aca="false">IF(A430&lt;&gt;"",B429+C429,"")</f>
        <v/>
      </c>
      <c r="E429" s="199" t="str">
        <f aca="false">IF(A430="","",IF(AND(AT429=1,$H$3=1),D429*AO429,IF($H$3=2,D429,"N/A")))</f>
        <v/>
      </c>
      <c r="F429" s="199" t="str">
        <f aca="false">IF(A430="","",E429*AS429)</f>
        <v/>
      </c>
      <c r="G429" s="200" t="str">
        <f aca="false">IF($A430="","",VLOOKUP($A429,Table,MATCH(G$4,Curves,0)))</f>
        <v/>
      </c>
      <c r="H429" s="201" t="str">
        <f aca="false">IF(A430="","",G429)</f>
        <v/>
      </c>
      <c r="J429" s="200" t="str">
        <f aca="false">IF($A430="","",VLOOKUP($A429,Table,MATCH(J$4,Curves,0)))</f>
        <v/>
      </c>
      <c r="K429" s="201" t="str">
        <f aca="false">IF(A430="","",J429)</f>
        <v/>
      </c>
      <c r="L429" s="200" t="str">
        <f aca="false">IF($A430="","",VLOOKUP($A429,Table,MATCH(L$4,Curves,0)))</f>
        <v/>
      </c>
      <c r="M429" s="201" t="str">
        <f aca="false">IF(A430="","",L429)</f>
        <v/>
      </c>
      <c r="O429" s="200" t="str">
        <f aca="false">IF(A430="","",L429+J429+G429)</f>
        <v/>
      </c>
      <c r="P429" s="200" t="str">
        <f aca="false">IF(A430="","",M429+K429+H429)</f>
        <v/>
      </c>
      <c r="R429" s="200" t="str">
        <f aca="false">IF($A430="","",VLOOKUP($A429,Table,MATCH(R$4,Curves,0)))</f>
        <v/>
      </c>
      <c r="S429" s="201" t="str">
        <f aca="false">IF(A430="","",R429)</f>
        <v/>
      </c>
      <c r="T429" s="200" t="str">
        <f aca="false">IF($A430="","",VLOOKUP($A429,Table,MATCH(T$4,Curves,0)))</f>
        <v/>
      </c>
      <c r="U429" s="201" t="str">
        <f aca="false">IF(A430="","",T429)</f>
        <v/>
      </c>
      <c r="V429" s="183" t="str">
        <f aca="false">IF($A430="","",IF(AND(MONTH(A429)&gt;3,MONTH(A429)&lt;11),(T429+R429+G429)*Summary!$T$8/(1-Summary!$T$8),(T429+R429+G429)*Summary!$U$8/(1-Summary!$U$8)))</f>
        <v/>
      </c>
      <c r="W429" s="200" t="str">
        <f aca="false">IF($A430="","",(T429+R429+G429+V429))</f>
        <v/>
      </c>
      <c r="X429" s="200" t="str">
        <f aca="false">IF($A430="","",(U429+S429+H429+V429))</f>
        <v/>
      </c>
      <c r="Y429" s="202"/>
      <c r="Z429" s="185"/>
      <c r="AJ429" s="77"/>
      <c r="AK429" s="77"/>
      <c r="AL429" s="77"/>
      <c r="AM429" s="77"/>
      <c r="AN429" s="77"/>
      <c r="AO429" s="137" t="str">
        <f aca="false">IF(A430="","",A430-A429)</f>
        <v/>
      </c>
      <c r="AP429" s="212" t="str">
        <f aca="false">IF(A430="","",CHOOSE(F$3,A430+24,A429))</f>
        <v/>
      </c>
      <c r="AQ429" s="209" t="str">
        <f aca="false">IF(A430="","",AP429-$E$1)</f>
        <v/>
      </c>
      <c r="AR429" s="185" t="n">
        <f aca="false">'ANR OK vs ML7'!AR429</f>
        <v>0.1</v>
      </c>
      <c r="AS429" s="213" t="str">
        <f aca="false">IF(A430="","",1/(1+CHOOSE(F$3,(AR430+($I$3/10000))/2,(AR429+($I$3/10000))/2))^(2*AQ429/365.25))</f>
        <v/>
      </c>
      <c r="AT429" s="137" t="str">
        <f aca="false">IF(A430="","",IF(AND(mthbeg&lt;=A429,mthend&gt;=A429),1,0))</f>
        <v/>
      </c>
      <c r="AU429" s="137" t="str">
        <f aca="false">IF(A430="","",AO429*AT429)</f>
        <v/>
      </c>
      <c r="AW429" s="195" t="str">
        <f aca="false">IF($A430="","",AL429*$E429)</f>
        <v/>
      </c>
      <c r="AX429" s="195" t="str">
        <f aca="false">IF($A430="","",AM429*$E429)</f>
        <v/>
      </c>
      <c r="AY429" s="195" t="str">
        <f aca="false">IF($A430="","",AN429*$E429)</f>
        <v/>
      </c>
      <c r="BA429" s="195" t="str">
        <f aca="false">IF($A430="","",F429*Summary!$Q$8)</f>
        <v/>
      </c>
    </row>
    <row r="430" customFormat="false" ht="12.75" hidden="false" customHeight="false" outlineLevel="0" collapsed="false">
      <c r="A430" s="196" t="str">
        <f aca="false">IF(A429&lt;mthend,EDATE(A429,1),"")</f>
        <v/>
      </c>
      <c r="B430" s="197" t="n">
        <f aca="false">IF(A430&lt;mthend,B429,0)</f>
        <v>0</v>
      </c>
      <c r="D430" s="197" t="str">
        <f aca="false">IF(A431&lt;&gt;"",B430+C430,"")</f>
        <v/>
      </c>
      <c r="E430" s="199" t="str">
        <f aca="false">IF(A431="","",IF(AND(AT430=1,$H$3=1),D430*AO430,IF($H$3=2,D430,"N/A")))</f>
        <v/>
      </c>
      <c r="F430" s="199" t="str">
        <f aca="false">IF(A431="","",E430*AS430)</f>
        <v/>
      </c>
      <c r="G430" s="200" t="str">
        <f aca="false">IF($A431="","",VLOOKUP($A430,Table,MATCH(G$4,Curves,0)))</f>
        <v/>
      </c>
      <c r="H430" s="201" t="str">
        <f aca="false">IF(A431="","",G430)</f>
        <v/>
      </c>
      <c r="J430" s="200" t="str">
        <f aca="false">IF($A431="","",VLOOKUP($A430,Table,MATCH(J$4,Curves,0)))</f>
        <v/>
      </c>
      <c r="K430" s="201" t="str">
        <f aca="false">IF(A431="","",J430)</f>
        <v/>
      </c>
      <c r="L430" s="200" t="str">
        <f aca="false">IF($A431="","",VLOOKUP($A430,Table,MATCH(L$4,Curves,0)))</f>
        <v/>
      </c>
      <c r="M430" s="201" t="str">
        <f aca="false">IF(A431="","",L430)</f>
        <v/>
      </c>
      <c r="O430" s="200" t="str">
        <f aca="false">IF(A431="","",L430+J430+G430)</f>
        <v/>
      </c>
      <c r="P430" s="200" t="str">
        <f aca="false">IF(A431="","",M430+K430+H430)</f>
        <v/>
      </c>
      <c r="R430" s="200" t="str">
        <f aca="false">IF($A431="","",VLOOKUP($A430,Table,MATCH(R$4,Curves,0)))</f>
        <v/>
      </c>
      <c r="S430" s="201" t="str">
        <f aca="false">IF(A431="","",R430)</f>
        <v/>
      </c>
      <c r="T430" s="200" t="str">
        <f aca="false">IF($A431="","",VLOOKUP($A430,Table,MATCH(T$4,Curves,0)))</f>
        <v/>
      </c>
      <c r="U430" s="201" t="str">
        <f aca="false">IF(A431="","",T430)</f>
        <v/>
      </c>
      <c r="V430" s="183" t="str">
        <f aca="false">IF($A431="","",IF(AND(MONTH(A430)&gt;3,MONTH(A430)&lt;11),(T430+R430+G430)*Summary!$T$8/(1-Summary!$T$8),(T430+R430+G430)*Summary!$U$8/(1-Summary!$U$8)))</f>
        <v/>
      </c>
      <c r="W430" s="200" t="str">
        <f aca="false">IF($A431="","",(T430+R430+G430+V430))</f>
        <v/>
      </c>
      <c r="X430" s="200" t="str">
        <f aca="false">IF($A431="","",(U430+S430+H430+V430))</f>
        <v/>
      </c>
      <c r="Y430" s="202"/>
      <c r="Z430" s="185"/>
      <c r="AJ430" s="77"/>
      <c r="AK430" s="77"/>
      <c r="AL430" s="77"/>
      <c r="AM430" s="77"/>
      <c r="AN430" s="77"/>
      <c r="AO430" s="137" t="str">
        <f aca="false">IF(A431="","",A431-A430)</f>
        <v/>
      </c>
      <c r="AP430" s="212" t="str">
        <f aca="false">IF(A431="","",CHOOSE(F$3,A431+24,A430))</f>
        <v/>
      </c>
      <c r="AQ430" s="209" t="str">
        <f aca="false">IF(A431="","",AP430-$E$1)</f>
        <v/>
      </c>
      <c r="AR430" s="185" t="n">
        <f aca="false">'ANR OK vs ML7'!AR430</f>
        <v>0.1</v>
      </c>
      <c r="AS430" s="213" t="str">
        <f aca="false">IF(A431="","",1/(1+CHOOSE(F$3,(AR431+($I$3/10000))/2,(AR430+($I$3/10000))/2))^(2*AQ430/365.25))</f>
        <v/>
      </c>
      <c r="AT430" s="137" t="str">
        <f aca="false">IF(A431="","",IF(AND(mthbeg&lt;=A430,mthend&gt;=A430),1,0))</f>
        <v/>
      </c>
      <c r="AU430" s="137" t="str">
        <f aca="false">IF(A431="","",AO430*AT430)</f>
        <v/>
      </c>
      <c r="AW430" s="195" t="str">
        <f aca="false">IF($A431="","",AL430*$E430)</f>
        <v/>
      </c>
      <c r="AX430" s="195" t="str">
        <f aca="false">IF($A431="","",AM430*$E430)</f>
        <v/>
      </c>
      <c r="AY430" s="195" t="str">
        <f aca="false">IF($A431="","",AN430*$E430)</f>
        <v/>
      </c>
      <c r="BA430" s="195" t="str">
        <f aca="false">IF($A431="","",F430*Summary!$Q$8)</f>
        <v/>
      </c>
    </row>
    <row r="431" customFormat="false" ht="12.75" hidden="false" customHeight="false" outlineLevel="0" collapsed="false">
      <c r="A431" s="196" t="str">
        <f aca="false">IF(A430&lt;mthend,EDATE(A430,1),"")</f>
        <v/>
      </c>
      <c r="B431" s="197" t="n">
        <f aca="false">IF(A431&lt;mthend,B430,0)</f>
        <v>0</v>
      </c>
      <c r="D431" s="197" t="str">
        <f aca="false">IF(A432&lt;&gt;"",B431+C431,"")</f>
        <v/>
      </c>
      <c r="E431" s="199" t="str">
        <f aca="false">IF(A432="","",IF(AND(AT431=1,$H$3=1),D431*AO431,IF($H$3=2,D431,"N/A")))</f>
        <v/>
      </c>
      <c r="F431" s="199" t="str">
        <f aca="false">IF(A432="","",E431*AS431)</f>
        <v/>
      </c>
      <c r="G431" s="200" t="str">
        <f aca="false">IF($A432="","",VLOOKUP($A431,Table,MATCH(G$4,Curves,0)))</f>
        <v/>
      </c>
      <c r="H431" s="201" t="str">
        <f aca="false">IF(A432="","",G431)</f>
        <v/>
      </c>
      <c r="J431" s="200" t="str">
        <f aca="false">IF($A432="","",VLOOKUP($A431,Table,MATCH(J$4,Curves,0)))</f>
        <v/>
      </c>
      <c r="K431" s="201" t="str">
        <f aca="false">IF(A432="","",J431)</f>
        <v/>
      </c>
      <c r="L431" s="200" t="str">
        <f aca="false">IF($A432="","",VLOOKUP($A431,Table,MATCH(L$4,Curves,0)))</f>
        <v/>
      </c>
      <c r="M431" s="201" t="str">
        <f aca="false">IF(A432="","",L431)</f>
        <v/>
      </c>
      <c r="O431" s="200" t="str">
        <f aca="false">IF(A432="","",L431+J431+G431)</f>
        <v/>
      </c>
      <c r="P431" s="200" t="str">
        <f aca="false">IF(A432="","",M431+K431+H431)</f>
        <v/>
      </c>
      <c r="R431" s="200" t="str">
        <f aca="false">IF($A432="","",VLOOKUP($A431,Table,MATCH(R$4,Curves,0)))</f>
        <v/>
      </c>
      <c r="S431" s="201" t="str">
        <f aca="false">IF(A432="","",R431)</f>
        <v/>
      </c>
      <c r="T431" s="200" t="str">
        <f aca="false">IF($A432="","",VLOOKUP($A431,Table,MATCH(T$4,Curves,0)))</f>
        <v/>
      </c>
      <c r="U431" s="201" t="str">
        <f aca="false">IF(A432="","",T431)</f>
        <v/>
      </c>
      <c r="V431" s="183" t="str">
        <f aca="false">IF($A432="","",IF(AND(MONTH(A431)&gt;3,MONTH(A431)&lt;11),(T431+R431+G431)*Summary!$T$8/(1-Summary!$T$8),(T431+R431+G431)*Summary!$U$8/(1-Summary!$U$8)))</f>
        <v/>
      </c>
      <c r="W431" s="200" t="str">
        <f aca="false">IF($A432="","",(T431+R431+G431+V431))</f>
        <v/>
      </c>
      <c r="X431" s="200" t="str">
        <f aca="false">IF($A432="","",(U431+S431+H431+V431))</f>
        <v/>
      </c>
      <c r="Y431" s="202"/>
      <c r="Z431" s="185"/>
      <c r="AJ431" s="77"/>
      <c r="AK431" s="77"/>
      <c r="AL431" s="77"/>
      <c r="AM431" s="77"/>
      <c r="AN431" s="77"/>
      <c r="AO431" s="137" t="str">
        <f aca="false">IF(A432="","",A432-A431)</f>
        <v/>
      </c>
      <c r="AP431" s="212" t="str">
        <f aca="false">IF(A432="","",CHOOSE(F$3,A432+24,A431))</f>
        <v/>
      </c>
      <c r="AQ431" s="209" t="str">
        <f aca="false">IF(A432="","",AP431-$E$1)</f>
        <v/>
      </c>
      <c r="AR431" s="185" t="n">
        <f aca="false">'ANR OK vs ML7'!AR431</f>
        <v>0.1</v>
      </c>
      <c r="AS431" s="213" t="str">
        <f aca="false">IF(A432="","",1/(1+CHOOSE(F$3,(AR432+($I$3/10000))/2,(AR431+($I$3/10000))/2))^(2*AQ431/365.25))</f>
        <v/>
      </c>
      <c r="AT431" s="137" t="str">
        <f aca="false">IF(A432="","",IF(AND(mthbeg&lt;=A431,mthend&gt;=A431),1,0))</f>
        <v/>
      </c>
      <c r="AU431" s="137" t="str">
        <f aca="false">IF(A432="","",AO431*AT431)</f>
        <v/>
      </c>
      <c r="AW431" s="195" t="str">
        <f aca="false">IF($A432="","",AL431*$E431)</f>
        <v/>
      </c>
      <c r="AX431" s="195" t="str">
        <f aca="false">IF($A432="","",AM431*$E431)</f>
        <v/>
      </c>
      <c r="AY431" s="195" t="str">
        <f aca="false">IF($A432="","",AN431*$E431)</f>
        <v/>
      </c>
      <c r="BA431" s="195" t="str">
        <f aca="false">IF($A432="","",F431*Summary!$Q$8)</f>
        <v/>
      </c>
    </row>
    <row r="432" customFormat="false" ht="12.75" hidden="false" customHeight="false" outlineLevel="0" collapsed="false">
      <c r="A432" s="196" t="str">
        <f aca="false">IF(A431&lt;mthend,EDATE(A431,1),"")</f>
        <v/>
      </c>
      <c r="B432" s="197" t="n">
        <f aca="false">IF(A432&lt;mthend,B431,0)</f>
        <v>0</v>
      </c>
      <c r="D432" s="197" t="str">
        <f aca="false">IF(A433&lt;&gt;"",B432+C432,"")</f>
        <v/>
      </c>
      <c r="E432" s="199" t="str">
        <f aca="false">IF(A433="","",IF(AND(AT432=1,$H$3=1),D432*AO432,IF($H$3=2,D432,"N/A")))</f>
        <v/>
      </c>
      <c r="F432" s="199" t="str">
        <f aca="false">IF(A433="","",E432*AS432)</f>
        <v/>
      </c>
      <c r="G432" s="200" t="str">
        <f aca="false">IF($A433="","",VLOOKUP($A432,Table,MATCH(G$4,Curves,0)))</f>
        <v/>
      </c>
      <c r="H432" s="201" t="str">
        <f aca="false">IF(A433="","",G432)</f>
        <v/>
      </c>
      <c r="J432" s="200" t="str">
        <f aca="false">IF($A433="","",VLOOKUP($A432,Table,MATCH(J$4,Curves,0)))</f>
        <v/>
      </c>
      <c r="K432" s="201" t="str">
        <f aca="false">IF(A433="","",J432)</f>
        <v/>
      </c>
      <c r="L432" s="200" t="str">
        <f aca="false">IF($A433="","",VLOOKUP($A432,Table,MATCH(L$4,Curves,0)))</f>
        <v/>
      </c>
      <c r="M432" s="201" t="str">
        <f aca="false">IF(A433="","",L432)</f>
        <v/>
      </c>
      <c r="O432" s="200" t="str">
        <f aca="false">IF(A433="","",L432+J432+G432)</f>
        <v/>
      </c>
      <c r="P432" s="200" t="str">
        <f aca="false">IF(A433="","",M432+K432+H432)</f>
        <v/>
      </c>
      <c r="R432" s="200" t="str">
        <f aca="false">IF($A433="","",VLOOKUP($A432,Table,MATCH(R$4,Curves,0)))</f>
        <v/>
      </c>
      <c r="S432" s="201" t="str">
        <f aca="false">IF(A433="","",R432)</f>
        <v/>
      </c>
      <c r="T432" s="200" t="str">
        <f aca="false">IF($A433="","",VLOOKUP($A432,Table,MATCH(T$4,Curves,0)))</f>
        <v/>
      </c>
      <c r="U432" s="201" t="str">
        <f aca="false">IF(A433="","",T432)</f>
        <v/>
      </c>
      <c r="V432" s="183" t="str">
        <f aca="false">IF($A433="","",IF(AND(MONTH(A432)&gt;3,MONTH(A432)&lt;11),(T432+R432+G432)*Summary!$T$8/(1-Summary!$T$8),(T432+R432+G432)*Summary!$U$8/(1-Summary!$U$8)))</f>
        <v/>
      </c>
      <c r="W432" s="200" t="str">
        <f aca="false">IF($A433="","",(T432+R432+G432+V432))</f>
        <v/>
      </c>
      <c r="X432" s="200" t="str">
        <f aca="false">IF($A433="","",(U432+S432+H432+V432))</f>
        <v/>
      </c>
      <c r="Y432" s="202"/>
      <c r="Z432" s="185"/>
      <c r="AJ432" s="77"/>
      <c r="AK432" s="77"/>
      <c r="AL432" s="77"/>
      <c r="AM432" s="77"/>
      <c r="AN432" s="77"/>
      <c r="AO432" s="137" t="str">
        <f aca="false">IF(A433="","",A433-A432)</f>
        <v/>
      </c>
      <c r="AP432" s="212" t="str">
        <f aca="false">IF(A433="","",CHOOSE(F$3,A433+24,A432))</f>
        <v/>
      </c>
      <c r="AQ432" s="209" t="str">
        <f aca="false">IF(A433="","",AP432-$E$1)</f>
        <v/>
      </c>
      <c r="AR432" s="185" t="n">
        <f aca="false">'ANR OK vs ML7'!AR432</f>
        <v>0.1</v>
      </c>
      <c r="AS432" s="213" t="str">
        <f aca="false">IF(A433="","",1/(1+CHOOSE(F$3,(AR433+($I$3/10000))/2,(AR432+($I$3/10000))/2))^(2*AQ432/365.25))</f>
        <v/>
      </c>
      <c r="AT432" s="137" t="str">
        <f aca="false">IF(A433="","",IF(AND(mthbeg&lt;=A432,mthend&gt;=A432),1,0))</f>
        <v/>
      </c>
      <c r="AU432" s="137" t="str">
        <f aca="false">IF(A433="","",AO432*AT432)</f>
        <v/>
      </c>
      <c r="AW432" s="195" t="str">
        <f aca="false">IF($A433="","",AL432*$E432)</f>
        <v/>
      </c>
      <c r="AX432" s="195" t="str">
        <f aca="false">IF($A433="","",AM432*$E432)</f>
        <v/>
      </c>
      <c r="AY432" s="195" t="str">
        <f aca="false">IF($A433="","",AN432*$E432)</f>
        <v/>
      </c>
      <c r="BA432" s="195" t="str">
        <f aca="false">IF($A433="","",F432*Summary!$Q$8)</f>
        <v/>
      </c>
    </row>
    <row r="433" customFormat="false" ht="12.75" hidden="false" customHeight="false" outlineLevel="0" collapsed="false">
      <c r="A433" s="196" t="str">
        <f aca="false">IF(A432&lt;mthend,EDATE(A432,1),"")</f>
        <v/>
      </c>
      <c r="B433" s="197" t="n">
        <f aca="false">IF(A433&lt;mthend,B432,0)</f>
        <v>0</v>
      </c>
      <c r="D433" s="197" t="str">
        <f aca="false">IF(A434&lt;&gt;"",B433+C433,"")</f>
        <v/>
      </c>
      <c r="E433" s="199" t="str">
        <f aca="false">IF(A434="","",IF(AND(AT433=1,$H$3=1),D433*AO433,IF($H$3=2,D433,"N/A")))</f>
        <v/>
      </c>
      <c r="F433" s="199" t="str">
        <f aca="false">IF(A434="","",E433*AS433)</f>
        <v/>
      </c>
      <c r="G433" s="200" t="str">
        <f aca="false">IF($A434="","",VLOOKUP($A433,Table,MATCH(G$4,Curves,0)))</f>
        <v/>
      </c>
      <c r="H433" s="201" t="str">
        <f aca="false">IF(A434="","",G433)</f>
        <v/>
      </c>
      <c r="J433" s="200" t="str">
        <f aca="false">IF($A434="","",VLOOKUP($A433,Table,MATCH(J$4,Curves,0)))</f>
        <v/>
      </c>
      <c r="K433" s="201" t="str">
        <f aca="false">IF(A434="","",J433)</f>
        <v/>
      </c>
      <c r="L433" s="200" t="str">
        <f aca="false">IF($A434="","",VLOOKUP($A433,Table,MATCH(L$4,Curves,0)))</f>
        <v/>
      </c>
      <c r="M433" s="201" t="str">
        <f aca="false">IF(A434="","",L433)</f>
        <v/>
      </c>
      <c r="O433" s="200" t="str">
        <f aca="false">IF(A434="","",L433+J433+G433)</f>
        <v/>
      </c>
      <c r="P433" s="200" t="str">
        <f aca="false">IF(A434="","",M433+K433+H433)</f>
        <v/>
      </c>
      <c r="R433" s="200" t="str">
        <f aca="false">IF($A434="","",VLOOKUP($A433,Table,MATCH(R$4,Curves,0)))</f>
        <v/>
      </c>
      <c r="S433" s="201" t="str">
        <f aca="false">IF(A434="","",R433)</f>
        <v/>
      </c>
      <c r="T433" s="200" t="str">
        <f aca="false">IF($A434="","",VLOOKUP($A433,Table,MATCH(T$4,Curves,0)))</f>
        <v/>
      </c>
      <c r="U433" s="201" t="str">
        <f aca="false">IF(A434="","",T433)</f>
        <v/>
      </c>
      <c r="V433" s="183" t="str">
        <f aca="false">IF($A434="","",IF(AND(MONTH(A433)&gt;3,MONTH(A433)&lt;11),(T433+R433+G433)*Summary!$T$8/(1-Summary!$T$8),(T433+R433+G433)*Summary!$U$8/(1-Summary!$U$8)))</f>
        <v/>
      </c>
      <c r="W433" s="200" t="str">
        <f aca="false">IF($A434="","",(T433+R433+G433+V433))</f>
        <v/>
      </c>
      <c r="X433" s="200" t="str">
        <f aca="false">IF($A434="","",(U433+S433+H433+V433))</f>
        <v/>
      </c>
      <c r="Y433" s="202"/>
      <c r="Z433" s="185"/>
      <c r="AJ433" s="77"/>
      <c r="AK433" s="77"/>
      <c r="AL433" s="77"/>
      <c r="AM433" s="77"/>
      <c r="AN433" s="77"/>
      <c r="AO433" s="137" t="str">
        <f aca="false">IF(A434="","",A434-A433)</f>
        <v/>
      </c>
      <c r="AP433" s="212" t="str">
        <f aca="false">IF(A434="","",CHOOSE(F$3,A434+24,A433))</f>
        <v/>
      </c>
      <c r="AQ433" s="209" t="str">
        <f aca="false">IF(A434="","",AP433-$E$1)</f>
        <v/>
      </c>
      <c r="AR433" s="185" t="n">
        <f aca="false">'ANR OK vs ML7'!AR433</f>
        <v>0.1</v>
      </c>
      <c r="AS433" s="213" t="str">
        <f aca="false">IF(A434="","",1/(1+CHOOSE(F$3,(AR434+($I$3/10000))/2,(AR433+($I$3/10000))/2))^(2*AQ433/365.25))</f>
        <v/>
      </c>
      <c r="AT433" s="137" t="str">
        <f aca="false">IF(A434="","",IF(AND(mthbeg&lt;=A433,mthend&gt;=A433),1,0))</f>
        <v/>
      </c>
      <c r="AU433" s="137" t="str">
        <f aca="false">IF(A434="","",AO433*AT433)</f>
        <v/>
      </c>
      <c r="AW433" s="195" t="str">
        <f aca="false">IF($A434="","",AL433*$E433)</f>
        <v/>
      </c>
      <c r="AX433" s="195" t="str">
        <f aca="false">IF($A434="","",AM433*$E433)</f>
        <v/>
      </c>
      <c r="AY433" s="195" t="str">
        <f aca="false">IF($A434="","",AN433*$E433)</f>
        <v/>
      </c>
      <c r="BA433" s="195" t="str">
        <f aca="false">IF($A434="","",F433*Summary!$Q$8)</f>
        <v/>
      </c>
    </row>
    <row r="434" customFormat="false" ht="12.75" hidden="false" customHeight="false" outlineLevel="0" collapsed="false">
      <c r="A434" s="196" t="str">
        <f aca="false">IF(A433&lt;mthend,EDATE(A433,1),"")</f>
        <v/>
      </c>
      <c r="B434" s="197" t="n">
        <f aca="false">IF(A434&lt;mthend,B433,0)</f>
        <v>0</v>
      </c>
      <c r="D434" s="197" t="str">
        <f aca="false">IF(A435&lt;&gt;"",B434+C434,"")</f>
        <v/>
      </c>
      <c r="E434" s="199" t="str">
        <f aca="false">IF(A435="","",IF(AND(AT434=1,$H$3=1),D434*AO434,IF($H$3=2,D434,"N/A")))</f>
        <v/>
      </c>
      <c r="F434" s="199" t="str">
        <f aca="false">IF(A435="","",E434*AS434)</f>
        <v/>
      </c>
      <c r="G434" s="200" t="str">
        <f aca="false">IF($A435="","",VLOOKUP($A434,Table,MATCH(G$4,Curves,0)))</f>
        <v/>
      </c>
      <c r="H434" s="201" t="str">
        <f aca="false">IF(A435="","",G434)</f>
        <v/>
      </c>
      <c r="J434" s="200" t="str">
        <f aca="false">IF($A435="","",VLOOKUP($A434,Table,MATCH(J$4,Curves,0)))</f>
        <v/>
      </c>
      <c r="K434" s="201" t="str">
        <f aca="false">IF(A435="","",J434)</f>
        <v/>
      </c>
      <c r="L434" s="200" t="str">
        <f aca="false">IF($A435="","",VLOOKUP($A434,Table,MATCH(L$4,Curves,0)))</f>
        <v/>
      </c>
      <c r="M434" s="201" t="str">
        <f aca="false">IF(A435="","",L434)</f>
        <v/>
      </c>
      <c r="O434" s="200" t="str">
        <f aca="false">IF(A435="","",L434+J434+G434)</f>
        <v/>
      </c>
      <c r="P434" s="200" t="str">
        <f aca="false">IF(A435="","",M434+K434+H434)</f>
        <v/>
      </c>
      <c r="R434" s="200" t="str">
        <f aca="false">IF($A435="","",VLOOKUP($A434,Table,MATCH(R$4,Curves,0)))</f>
        <v/>
      </c>
      <c r="S434" s="201" t="str">
        <f aca="false">IF(A435="","",R434)</f>
        <v/>
      </c>
      <c r="T434" s="200" t="str">
        <f aca="false">IF($A435="","",VLOOKUP($A434,Table,MATCH(T$4,Curves,0)))</f>
        <v/>
      </c>
      <c r="U434" s="201" t="str">
        <f aca="false">IF(A435="","",T434)</f>
        <v/>
      </c>
      <c r="V434" s="183" t="str">
        <f aca="false">IF($A435="","",IF(AND(MONTH(A434)&gt;3,MONTH(A434)&lt;11),(T434+R434+G434)*Summary!$T$8/(1-Summary!$T$8),(T434+R434+G434)*Summary!$U$8/(1-Summary!$U$8)))</f>
        <v/>
      </c>
      <c r="W434" s="200" t="str">
        <f aca="false">IF($A435="","",(T434+R434+G434+V434))</f>
        <v/>
      </c>
      <c r="X434" s="200" t="str">
        <f aca="false">IF($A435="","",(U434+S434+H434+V434))</f>
        <v/>
      </c>
      <c r="Y434" s="202"/>
      <c r="Z434" s="185"/>
      <c r="AJ434" s="77"/>
      <c r="AK434" s="77"/>
      <c r="AL434" s="77"/>
      <c r="AM434" s="77"/>
      <c r="AN434" s="77"/>
      <c r="AO434" s="137" t="str">
        <f aca="false">IF(A435="","",A435-A434)</f>
        <v/>
      </c>
      <c r="AP434" s="212" t="str">
        <f aca="false">IF(A435="","",CHOOSE(F$3,A435+24,A434))</f>
        <v/>
      </c>
      <c r="AQ434" s="209" t="str">
        <f aca="false">IF(A435="","",AP434-$E$1)</f>
        <v/>
      </c>
      <c r="AR434" s="185" t="n">
        <f aca="false">'ANR OK vs ML7'!AR434</f>
        <v>0.1</v>
      </c>
      <c r="AS434" s="213" t="str">
        <f aca="false">IF(A435="","",1/(1+CHOOSE(F$3,(AR435+($I$3/10000))/2,(AR434+($I$3/10000))/2))^(2*AQ434/365.25))</f>
        <v/>
      </c>
      <c r="AT434" s="137" t="str">
        <f aca="false">IF(A435="","",IF(AND(mthbeg&lt;=A434,mthend&gt;=A434),1,0))</f>
        <v/>
      </c>
      <c r="AU434" s="137" t="str">
        <f aca="false">IF(A435="","",AO434*AT434)</f>
        <v/>
      </c>
      <c r="AW434" s="195" t="str">
        <f aca="false">IF($A435="","",AL434*$E434)</f>
        <v/>
      </c>
      <c r="AX434" s="195" t="str">
        <f aca="false">IF($A435="","",AM434*$E434)</f>
        <v/>
      </c>
      <c r="AY434" s="195" t="str">
        <f aca="false">IF($A435="","",AN434*$E434)</f>
        <v/>
      </c>
      <c r="BA434" s="195" t="str">
        <f aca="false">IF($A435="","",F434*Summary!$Q$8)</f>
        <v/>
      </c>
    </row>
    <row r="435" customFormat="false" ht="12.75" hidden="false" customHeight="false" outlineLevel="0" collapsed="false">
      <c r="A435" s="196" t="str">
        <f aca="false">IF(A434&lt;mthend,EDATE(A434,1),"")</f>
        <v/>
      </c>
      <c r="B435" s="197" t="n">
        <f aca="false">IF(A435&lt;mthend,B434,0)</f>
        <v>0</v>
      </c>
      <c r="D435" s="197" t="str">
        <f aca="false">IF(A436&lt;&gt;"",B435+C435,"")</f>
        <v/>
      </c>
      <c r="E435" s="199" t="str">
        <f aca="false">IF(A436="","",IF(AND(AT435=1,$H$3=1),D435*AO435,IF($H$3=2,D435,"N/A")))</f>
        <v/>
      </c>
      <c r="F435" s="199" t="str">
        <f aca="false">IF(A436="","",E435*AS435)</f>
        <v/>
      </c>
      <c r="G435" s="200" t="str">
        <f aca="false">IF($A436="","",VLOOKUP($A435,Table,MATCH(G$4,Curves,0)))</f>
        <v/>
      </c>
      <c r="H435" s="201" t="str">
        <f aca="false">IF(A436="","",G435)</f>
        <v/>
      </c>
      <c r="J435" s="200" t="str">
        <f aca="false">IF($A436="","",VLOOKUP($A435,Table,MATCH(J$4,Curves,0)))</f>
        <v/>
      </c>
      <c r="K435" s="201" t="str">
        <f aca="false">IF(A436="","",J435)</f>
        <v/>
      </c>
      <c r="L435" s="200" t="str">
        <f aca="false">IF($A436="","",VLOOKUP($A435,Table,MATCH(L$4,Curves,0)))</f>
        <v/>
      </c>
      <c r="M435" s="201" t="str">
        <f aca="false">IF(A436="","",L435)</f>
        <v/>
      </c>
      <c r="O435" s="200" t="str">
        <f aca="false">IF(A436="","",L435+J435+G435)</f>
        <v/>
      </c>
      <c r="P435" s="200" t="str">
        <f aca="false">IF(A436="","",M435+K435+H435)</f>
        <v/>
      </c>
      <c r="R435" s="200" t="str">
        <f aca="false">IF($A436="","",VLOOKUP($A435,Table,MATCH(R$4,Curves,0)))</f>
        <v/>
      </c>
      <c r="S435" s="201" t="str">
        <f aca="false">IF(A436="","",R435)</f>
        <v/>
      </c>
      <c r="T435" s="200" t="str">
        <f aca="false">IF($A436="","",VLOOKUP($A435,Table,MATCH(T$4,Curves,0)))</f>
        <v/>
      </c>
      <c r="U435" s="201" t="str">
        <f aca="false">IF(A436="","",T435)</f>
        <v/>
      </c>
      <c r="V435" s="183" t="str">
        <f aca="false">IF($A436="","",IF(AND(MONTH(A435)&gt;3,MONTH(A435)&lt;11),(T435+R435+G435)*Summary!$T$8/(1-Summary!$T$8),(T435+R435+G435)*Summary!$U$8/(1-Summary!$U$8)))</f>
        <v/>
      </c>
      <c r="W435" s="200" t="str">
        <f aca="false">IF($A436="","",(T435+R435+G435+V435))</f>
        <v/>
      </c>
      <c r="X435" s="200" t="str">
        <f aca="false">IF($A436="","",(U435+S435+H435+V435))</f>
        <v/>
      </c>
      <c r="Y435" s="202"/>
      <c r="Z435" s="185"/>
      <c r="AJ435" s="77"/>
      <c r="AK435" s="77"/>
      <c r="AL435" s="77"/>
      <c r="AM435" s="77"/>
      <c r="AN435" s="77"/>
      <c r="AO435" s="137" t="str">
        <f aca="false">IF(A436="","",A436-A435)</f>
        <v/>
      </c>
      <c r="AP435" s="212" t="str">
        <f aca="false">IF(A436="","",CHOOSE(F$3,A436+24,A435))</f>
        <v/>
      </c>
      <c r="AQ435" s="209" t="str">
        <f aca="false">IF(A436="","",AP435-$E$1)</f>
        <v/>
      </c>
      <c r="AR435" s="185" t="n">
        <f aca="false">'ANR OK vs ML7'!AR435</f>
        <v>0.1</v>
      </c>
      <c r="AS435" s="213" t="str">
        <f aca="false">IF(A436="","",1/(1+CHOOSE(F$3,(AR436+($I$3/10000))/2,(AR435+($I$3/10000))/2))^(2*AQ435/365.25))</f>
        <v/>
      </c>
      <c r="AT435" s="137" t="str">
        <f aca="false">IF(A436="","",IF(AND(mthbeg&lt;=A435,mthend&gt;=A435),1,0))</f>
        <v/>
      </c>
      <c r="AU435" s="137" t="str">
        <f aca="false">IF(A436="","",AO435*AT435)</f>
        <v/>
      </c>
      <c r="AW435" s="195" t="str">
        <f aca="false">IF($A436="","",AL435*$E435)</f>
        <v/>
      </c>
      <c r="AX435" s="195" t="str">
        <f aca="false">IF($A436="","",AM435*$E435)</f>
        <v/>
      </c>
      <c r="AY435" s="195" t="str">
        <f aca="false">IF($A436="","",AN435*$E435)</f>
        <v/>
      </c>
      <c r="BA435" s="195" t="str">
        <f aca="false">IF($A436="","",F435*Summary!$Q$8)</f>
        <v/>
      </c>
    </row>
    <row r="436" customFormat="false" ht="12.75" hidden="false" customHeight="false" outlineLevel="0" collapsed="false">
      <c r="A436" s="196" t="str">
        <f aca="false">IF(A435&lt;mthend,EDATE(A435,1),"")</f>
        <v/>
      </c>
      <c r="B436" s="197" t="n">
        <f aca="false">IF(A436&lt;mthend,B435,0)</f>
        <v>0</v>
      </c>
      <c r="D436" s="197" t="str">
        <f aca="false">IF(A437&lt;&gt;"",B436+C436,"")</f>
        <v/>
      </c>
      <c r="E436" s="199" t="str">
        <f aca="false">IF(A437="","",IF(AND(AT436=1,$H$3=1),D436*AO436,IF($H$3=2,D436,"N/A")))</f>
        <v/>
      </c>
      <c r="F436" s="199" t="str">
        <f aca="false">IF(A437="","",E436*AS436)</f>
        <v/>
      </c>
      <c r="G436" s="200" t="str">
        <f aca="false">IF($A437="","",VLOOKUP($A436,Table,MATCH(G$4,Curves,0)))</f>
        <v/>
      </c>
      <c r="H436" s="201" t="str">
        <f aca="false">IF(A437="","",G436)</f>
        <v/>
      </c>
      <c r="J436" s="200" t="str">
        <f aca="false">IF($A437="","",VLOOKUP($A436,Table,MATCH(J$4,Curves,0)))</f>
        <v/>
      </c>
      <c r="K436" s="201" t="str">
        <f aca="false">IF(A437="","",J436)</f>
        <v/>
      </c>
      <c r="L436" s="200" t="str">
        <f aca="false">IF($A437="","",VLOOKUP($A436,Table,MATCH(L$4,Curves,0)))</f>
        <v/>
      </c>
      <c r="M436" s="201" t="str">
        <f aca="false">IF(A437="","",L436)</f>
        <v/>
      </c>
      <c r="O436" s="200" t="str">
        <f aca="false">IF(A437="","",L436+J436+G436)</f>
        <v/>
      </c>
      <c r="P436" s="200" t="str">
        <f aca="false">IF(A437="","",M436+K436+H436)</f>
        <v/>
      </c>
      <c r="R436" s="200" t="str">
        <f aca="false">IF($A437="","",VLOOKUP($A436,Table,MATCH(R$4,Curves,0)))</f>
        <v/>
      </c>
      <c r="S436" s="201" t="str">
        <f aca="false">IF(A437="","",R436)</f>
        <v/>
      </c>
      <c r="T436" s="200" t="str">
        <f aca="false">IF($A437="","",VLOOKUP($A436,Table,MATCH(T$4,Curves,0)))</f>
        <v/>
      </c>
      <c r="U436" s="201" t="str">
        <f aca="false">IF(A437="","",T436)</f>
        <v/>
      </c>
      <c r="V436" s="183" t="str">
        <f aca="false">IF($A437="","",IF(AND(MONTH(A436)&gt;3,MONTH(A436)&lt;11),(T436+R436+G436)*Summary!$T$8/(1-Summary!$T$8),(T436+R436+G436)*Summary!$U$8/(1-Summary!$U$8)))</f>
        <v/>
      </c>
      <c r="W436" s="200" t="str">
        <f aca="false">IF($A437="","",(T436+R436+G436+V436))</f>
        <v/>
      </c>
      <c r="X436" s="200" t="str">
        <f aca="false">IF($A437="","",(U436+S436+H436+V436))</f>
        <v/>
      </c>
      <c r="Y436" s="202"/>
      <c r="Z436" s="185"/>
      <c r="AJ436" s="77"/>
      <c r="AK436" s="77"/>
      <c r="AL436" s="77"/>
      <c r="AM436" s="77"/>
      <c r="AN436" s="77"/>
      <c r="AO436" s="137" t="str">
        <f aca="false">IF(A437="","",A437-A436)</f>
        <v/>
      </c>
      <c r="AP436" s="212" t="str">
        <f aca="false">IF(A437="","",CHOOSE(F$3,A437+24,A436))</f>
        <v/>
      </c>
      <c r="AQ436" s="209" t="str">
        <f aca="false">IF(A437="","",AP436-$E$1)</f>
        <v/>
      </c>
      <c r="AR436" s="185" t="n">
        <f aca="false">'ANR OK vs ML7'!AR436</f>
        <v>0.1</v>
      </c>
      <c r="AS436" s="213" t="str">
        <f aca="false">IF(A437="","",1/(1+CHOOSE(F$3,(AR437+($I$3/10000))/2,(AR436+($I$3/10000))/2))^(2*AQ436/365.25))</f>
        <v/>
      </c>
      <c r="AT436" s="137" t="str">
        <f aca="false">IF(A437="","",IF(AND(mthbeg&lt;=A436,mthend&gt;=A436),1,0))</f>
        <v/>
      </c>
      <c r="AU436" s="137" t="str">
        <f aca="false">IF(A437="","",AO436*AT436)</f>
        <v/>
      </c>
      <c r="AW436" s="195" t="str">
        <f aca="false">IF($A437="","",AL436*$E436)</f>
        <v/>
      </c>
      <c r="AX436" s="195" t="str">
        <f aca="false">IF($A437="","",AM436*$E436)</f>
        <v/>
      </c>
      <c r="AY436" s="195" t="str">
        <f aca="false">IF($A437="","",AN436*$E436)</f>
        <v/>
      </c>
      <c r="BA436" s="195" t="str">
        <f aca="false">IF($A437="","",F436*Summary!$Q$8)</f>
        <v/>
      </c>
    </row>
    <row r="437" customFormat="false" ht="12.75" hidden="false" customHeight="false" outlineLevel="0" collapsed="false">
      <c r="A437" s="196" t="str">
        <f aca="false">IF(A436&lt;mthend,EDATE(A436,1),"")</f>
        <v/>
      </c>
      <c r="B437" s="197" t="n">
        <f aca="false">IF(A437&lt;mthend,B436,0)</f>
        <v>0</v>
      </c>
      <c r="D437" s="197" t="str">
        <f aca="false">IF(A438&lt;&gt;"",B437+C437,"")</f>
        <v/>
      </c>
      <c r="E437" s="199" t="str">
        <f aca="false">IF(A438="","",IF(AND(AT437=1,$H$3=1),D437*AO437,IF($H$3=2,D437,"N/A")))</f>
        <v/>
      </c>
      <c r="F437" s="199" t="str">
        <f aca="false">IF(A438="","",E437*AS437)</f>
        <v/>
      </c>
      <c r="G437" s="200" t="str">
        <f aca="false">IF($A438="","",VLOOKUP($A437,Table,MATCH(G$4,Curves,0)))</f>
        <v/>
      </c>
      <c r="H437" s="201" t="str">
        <f aca="false">IF(A438="","",G437)</f>
        <v/>
      </c>
      <c r="J437" s="200" t="str">
        <f aca="false">IF($A438="","",VLOOKUP($A437,Table,MATCH(J$4,Curves,0)))</f>
        <v/>
      </c>
      <c r="K437" s="201" t="str">
        <f aca="false">IF(A438="","",J437)</f>
        <v/>
      </c>
      <c r="L437" s="200" t="str">
        <f aca="false">IF($A438="","",VLOOKUP($A437,Table,MATCH(L$4,Curves,0)))</f>
        <v/>
      </c>
      <c r="M437" s="201" t="str">
        <f aca="false">IF(A438="","",L437)</f>
        <v/>
      </c>
      <c r="O437" s="200" t="str">
        <f aca="false">IF(A438="","",L437+J437+G437)</f>
        <v/>
      </c>
      <c r="P437" s="200" t="str">
        <f aca="false">IF(A438="","",M437+K437+H437)</f>
        <v/>
      </c>
      <c r="R437" s="200" t="str">
        <f aca="false">IF($A438="","",VLOOKUP($A437,Table,MATCH(R$4,Curves,0)))</f>
        <v/>
      </c>
      <c r="S437" s="201" t="str">
        <f aca="false">IF(A438="","",R437)</f>
        <v/>
      </c>
      <c r="T437" s="200" t="str">
        <f aca="false">IF($A438="","",VLOOKUP($A437,Table,MATCH(T$4,Curves,0)))</f>
        <v/>
      </c>
      <c r="U437" s="201" t="str">
        <f aca="false">IF(A438="","",T437)</f>
        <v/>
      </c>
      <c r="V437" s="183" t="str">
        <f aca="false">IF($A438="","",IF(AND(MONTH(A437)&gt;3,MONTH(A437)&lt;11),(T437+R437+G437)*Summary!$T$8/(1-Summary!$T$8),(T437+R437+G437)*Summary!$U$8/(1-Summary!$U$8)))</f>
        <v/>
      </c>
      <c r="W437" s="200" t="str">
        <f aca="false">IF($A438="","",(T437+R437+G437+V437))</f>
        <v/>
      </c>
      <c r="X437" s="200" t="str">
        <f aca="false">IF($A438="","",(U437+S437+H437+V437))</f>
        <v/>
      </c>
      <c r="Y437" s="202"/>
      <c r="Z437" s="185"/>
      <c r="AJ437" s="77"/>
      <c r="AK437" s="77"/>
      <c r="AL437" s="77"/>
      <c r="AM437" s="77"/>
      <c r="AN437" s="77"/>
      <c r="AO437" s="137" t="str">
        <f aca="false">IF(A438="","",A438-A437)</f>
        <v/>
      </c>
      <c r="AP437" s="212" t="str">
        <f aca="false">IF(A438="","",CHOOSE(F$3,A438+24,A437))</f>
        <v/>
      </c>
      <c r="AQ437" s="209" t="str">
        <f aca="false">IF(A438="","",AP437-$E$1)</f>
        <v/>
      </c>
      <c r="AR437" s="185" t="n">
        <f aca="false">'ANR OK vs ML7'!AR437</f>
        <v>0.1</v>
      </c>
      <c r="AS437" s="213" t="str">
        <f aca="false">IF(A438="","",1/(1+CHOOSE(F$3,(AR438+($I$3/10000))/2,(AR437+($I$3/10000))/2))^(2*AQ437/365.25))</f>
        <v/>
      </c>
      <c r="AT437" s="137" t="str">
        <f aca="false">IF(A438="","",IF(AND(mthbeg&lt;=A437,mthend&gt;=A437),1,0))</f>
        <v/>
      </c>
      <c r="AU437" s="137" t="str">
        <f aca="false">IF(A438="","",AO437*AT437)</f>
        <v/>
      </c>
      <c r="AW437" s="195" t="str">
        <f aca="false">IF($A438="","",AL437*$E437)</f>
        <v/>
      </c>
      <c r="AX437" s="195" t="str">
        <f aca="false">IF($A438="","",AM437*$E437)</f>
        <v/>
      </c>
      <c r="AY437" s="195" t="str">
        <f aca="false">IF($A438="","",AN437*$E437)</f>
        <v/>
      </c>
      <c r="BA437" s="195" t="str">
        <f aca="false">IF($A438="","",F437*Summary!$Q$8)</f>
        <v/>
      </c>
    </row>
    <row r="438" customFormat="false" ht="12.75" hidden="false" customHeight="false" outlineLevel="0" collapsed="false">
      <c r="A438" s="196" t="str">
        <f aca="false">IF(A437&lt;mthend,EDATE(A437,1),"")</f>
        <v/>
      </c>
      <c r="B438" s="197" t="n">
        <f aca="false">IF(A438&lt;mthend,B437,0)</f>
        <v>0</v>
      </c>
      <c r="D438" s="197" t="str">
        <f aca="false">IF(A439&lt;&gt;"",B438+C438,"")</f>
        <v/>
      </c>
      <c r="E438" s="199" t="str">
        <f aca="false">IF(A439="","",IF(AND(AT438=1,$H$3=1),D438*AO438,IF($H$3=2,D438,"N/A")))</f>
        <v/>
      </c>
      <c r="F438" s="199" t="str">
        <f aca="false">IF(A439="","",E438*AS438)</f>
        <v/>
      </c>
      <c r="G438" s="200" t="str">
        <f aca="false">IF($A439="","",VLOOKUP($A438,Table,MATCH(G$4,Curves,0)))</f>
        <v/>
      </c>
      <c r="H438" s="201" t="str">
        <f aca="false">IF(A439="","",G438)</f>
        <v/>
      </c>
      <c r="J438" s="200" t="str">
        <f aca="false">IF($A439="","",VLOOKUP($A438,Table,MATCH(J$4,Curves,0)))</f>
        <v/>
      </c>
      <c r="K438" s="201" t="str">
        <f aca="false">IF(A439="","",J438)</f>
        <v/>
      </c>
      <c r="L438" s="200" t="str">
        <f aca="false">IF($A439="","",VLOOKUP($A438,Table,MATCH(L$4,Curves,0)))</f>
        <v/>
      </c>
      <c r="M438" s="201" t="str">
        <f aca="false">IF(A439="","",L438)</f>
        <v/>
      </c>
      <c r="O438" s="200" t="str">
        <f aca="false">IF(A439="","",L438+J438+G438)</f>
        <v/>
      </c>
      <c r="P438" s="200" t="str">
        <f aca="false">IF(A439="","",M438+K438+H438)</f>
        <v/>
      </c>
      <c r="R438" s="200" t="str">
        <f aca="false">IF($A439="","",VLOOKUP($A438,Table,MATCH(R$4,Curves,0)))</f>
        <v/>
      </c>
      <c r="S438" s="201" t="str">
        <f aca="false">IF(A439="","",R438)</f>
        <v/>
      </c>
      <c r="T438" s="200" t="str">
        <f aca="false">IF($A439="","",VLOOKUP($A438,Table,MATCH(T$4,Curves,0)))</f>
        <v/>
      </c>
      <c r="U438" s="201" t="str">
        <f aca="false">IF(A439="","",T438)</f>
        <v/>
      </c>
      <c r="V438" s="183" t="str">
        <f aca="false">IF($A439="","",IF(AND(MONTH(A438)&gt;3,MONTH(A438)&lt;11),(T438+R438+G438)*Summary!$T$8/(1-Summary!$T$8),(T438+R438+G438)*Summary!$U$8/(1-Summary!$U$8)))</f>
        <v/>
      </c>
      <c r="W438" s="200" t="str">
        <f aca="false">IF($A439="","",(T438+R438+G438+V438))</f>
        <v/>
      </c>
      <c r="X438" s="200" t="str">
        <f aca="false">IF($A439="","",(U438+S438+H438+V438))</f>
        <v/>
      </c>
      <c r="Y438" s="202"/>
      <c r="Z438" s="185"/>
      <c r="AJ438" s="77"/>
      <c r="AK438" s="77"/>
      <c r="AL438" s="77"/>
      <c r="AM438" s="77"/>
      <c r="AN438" s="77"/>
      <c r="AO438" s="137" t="str">
        <f aca="false">IF(A439="","",A439-A438)</f>
        <v/>
      </c>
      <c r="AP438" s="212" t="str">
        <f aca="false">IF(A439="","",CHOOSE(F$3,A439+24,A438))</f>
        <v/>
      </c>
      <c r="AQ438" s="209" t="str">
        <f aca="false">IF(A439="","",AP438-$E$1)</f>
        <v/>
      </c>
      <c r="AR438" s="185" t="n">
        <f aca="false">'ANR OK vs ML7'!AR438</f>
        <v>0.1</v>
      </c>
      <c r="AS438" s="213" t="str">
        <f aca="false">IF(A439="","",1/(1+CHOOSE(F$3,(AR439+($I$3/10000))/2,(AR438+($I$3/10000))/2))^(2*AQ438/365.25))</f>
        <v/>
      </c>
      <c r="AT438" s="137" t="str">
        <f aca="false">IF(A439="","",IF(AND(mthbeg&lt;=A438,mthend&gt;=A438),1,0))</f>
        <v/>
      </c>
      <c r="AU438" s="137" t="str">
        <f aca="false">IF(A439="","",AO438*AT438)</f>
        <v/>
      </c>
      <c r="AW438" s="195" t="str">
        <f aca="false">IF($A439="","",AL438*$E438)</f>
        <v/>
      </c>
      <c r="AX438" s="195" t="str">
        <f aca="false">IF($A439="","",AM438*$E438)</f>
        <v/>
      </c>
      <c r="AY438" s="195" t="str">
        <f aca="false">IF($A439="","",AN438*$E438)</f>
        <v/>
      </c>
      <c r="BA438" s="195" t="str">
        <f aca="false">IF($A439="","",F438*Summary!$Q$8)</f>
        <v/>
      </c>
    </row>
    <row r="439" customFormat="false" ht="12.75" hidden="false" customHeight="false" outlineLevel="0" collapsed="false">
      <c r="A439" s="196" t="str">
        <f aca="false">IF(A438&lt;mthend,EDATE(A438,1),"")</f>
        <v/>
      </c>
      <c r="B439" s="197" t="n">
        <f aca="false">IF(A439&lt;mthend,B438,0)</f>
        <v>0</v>
      </c>
      <c r="D439" s="197" t="str">
        <f aca="false">IF(A440&lt;&gt;"",B439+C439,"")</f>
        <v/>
      </c>
      <c r="E439" s="199" t="str">
        <f aca="false">IF(A440="","",IF(AND(AT439=1,$H$3=1),D439*AO439,IF($H$3=2,D439,"N/A")))</f>
        <v/>
      </c>
      <c r="F439" s="199" t="str">
        <f aca="false">IF(A440="","",E439*AS439)</f>
        <v/>
      </c>
      <c r="G439" s="200" t="str">
        <f aca="false">IF($A440="","",VLOOKUP($A439,Table,MATCH(G$4,Curves,0)))</f>
        <v/>
      </c>
      <c r="H439" s="201" t="str">
        <f aca="false">IF(A440="","",G439)</f>
        <v/>
      </c>
      <c r="J439" s="200" t="str">
        <f aca="false">IF($A440="","",VLOOKUP($A439,Table,MATCH(J$4,Curves,0)))</f>
        <v/>
      </c>
      <c r="K439" s="201" t="str">
        <f aca="false">IF(A440="","",J439)</f>
        <v/>
      </c>
      <c r="L439" s="200" t="str">
        <f aca="false">IF($A440="","",VLOOKUP($A439,Table,MATCH(L$4,Curves,0)))</f>
        <v/>
      </c>
      <c r="M439" s="201" t="str">
        <f aca="false">IF(A440="","",L439)</f>
        <v/>
      </c>
      <c r="O439" s="200" t="str">
        <f aca="false">IF(A440="","",L439+J439+G439)</f>
        <v/>
      </c>
      <c r="P439" s="200" t="str">
        <f aca="false">IF(A440="","",M439+K439+H439)</f>
        <v/>
      </c>
      <c r="R439" s="200" t="str">
        <f aca="false">IF($A440="","",VLOOKUP($A439,Table,MATCH(R$4,Curves,0)))</f>
        <v/>
      </c>
      <c r="S439" s="201" t="str">
        <f aca="false">IF(A440="","",R439)</f>
        <v/>
      </c>
      <c r="T439" s="200" t="str">
        <f aca="false">IF($A440="","",VLOOKUP($A439,Table,MATCH(T$4,Curves,0)))</f>
        <v/>
      </c>
      <c r="U439" s="201" t="str">
        <f aca="false">IF(A440="","",T439)</f>
        <v/>
      </c>
      <c r="V439" s="183" t="str">
        <f aca="false">IF($A440="","",IF(AND(MONTH(A439)&gt;3,MONTH(A439)&lt;11),(T439+R439+G439)*Summary!$T$8/(1-Summary!$T$8),(T439+R439+G439)*Summary!$U$8/(1-Summary!$U$8)))</f>
        <v/>
      </c>
      <c r="W439" s="200" t="str">
        <f aca="false">IF($A440="","",(T439+R439+G439+V439))</f>
        <v/>
      </c>
      <c r="X439" s="200" t="str">
        <f aca="false">IF($A440="","",(U439+S439+H439+V439))</f>
        <v/>
      </c>
      <c r="Y439" s="202"/>
      <c r="Z439" s="185"/>
      <c r="AJ439" s="77"/>
      <c r="AK439" s="77"/>
      <c r="AL439" s="77"/>
      <c r="AM439" s="77"/>
      <c r="AN439" s="77"/>
      <c r="AO439" s="137" t="str">
        <f aca="false">IF(A440="","",A440-A439)</f>
        <v/>
      </c>
      <c r="AP439" s="212" t="str">
        <f aca="false">IF(A440="","",CHOOSE(F$3,A440+24,A439))</f>
        <v/>
      </c>
      <c r="AQ439" s="209" t="str">
        <f aca="false">IF(A440="","",AP439-$E$1)</f>
        <v/>
      </c>
      <c r="AR439" s="185" t="n">
        <f aca="false">'ANR OK vs ML7'!AR439</f>
        <v>0.1</v>
      </c>
      <c r="AS439" s="213" t="str">
        <f aca="false">IF(A440="","",1/(1+CHOOSE(F$3,(AR440+($I$3/10000))/2,(AR439+($I$3/10000))/2))^(2*AQ439/365.25))</f>
        <v/>
      </c>
      <c r="AT439" s="137" t="str">
        <f aca="false">IF(A440="","",IF(AND(mthbeg&lt;=A439,mthend&gt;=A439),1,0))</f>
        <v/>
      </c>
      <c r="AU439" s="137" t="str">
        <f aca="false">IF(A440="","",AO439*AT439)</f>
        <v/>
      </c>
      <c r="AW439" s="195" t="str">
        <f aca="false">IF($A440="","",AL439*$E439)</f>
        <v/>
      </c>
      <c r="AX439" s="195" t="str">
        <f aca="false">IF($A440="","",AM439*$E439)</f>
        <v/>
      </c>
      <c r="AY439" s="195" t="str">
        <f aca="false">IF($A440="","",AN439*$E439)</f>
        <v/>
      </c>
      <c r="BA439" s="195" t="str">
        <f aca="false">IF($A440="","",F439*Summary!$Q$8)</f>
        <v/>
      </c>
    </row>
    <row r="440" customFormat="false" ht="12.75" hidden="false" customHeight="false" outlineLevel="0" collapsed="false">
      <c r="A440" s="196" t="str">
        <f aca="false">IF(A439&lt;mthend,EDATE(A439,1),"")</f>
        <v/>
      </c>
      <c r="B440" s="197" t="n">
        <f aca="false">IF(A440&lt;mthend,B439,0)</f>
        <v>0</v>
      </c>
      <c r="D440" s="197" t="str">
        <f aca="false">IF(A441&lt;&gt;"",B440+C440,"")</f>
        <v/>
      </c>
      <c r="E440" s="199" t="str">
        <f aca="false">IF(A441="","",IF(AND(AT440=1,$H$3=1),D440*AO440,IF($H$3=2,D440,"N/A")))</f>
        <v/>
      </c>
      <c r="F440" s="199" t="str">
        <f aca="false">IF(A441="","",E440*AS440)</f>
        <v/>
      </c>
      <c r="G440" s="200" t="str">
        <f aca="false">IF($A441="","",VLOOKUP($A440,Table,MATCH(G$4,Curves,0)))</f>
        <v/>
      </c>
      <c r="H440" s="201" t="str">
        <f aca="false">IF(A441="","",G440)</f>
        <v/>
      </c>
      <c r="J440" s="200" t="str">
        <f aca="false">IF($A441="","",VLOOKUP($A440,Table,MATCH(J$4,Curves,0)))</f>
        <v/>
      </c>
      <c r="K440" s="201" t="str">
        <f aca="false">IF(A441="","",J440)</f>
        <v/>
      </c>
      <c r="L440" s="200" t="str">
        <f aca="false">IF($A441="","",VLOOKUP($A440,Table,MATCH(L$4,Curves,0)))</f>
        <v/>
      </c>
      <c r="M440" s="201" t="str">
        <f aca="false">IF(A441="","",L440)</f>
        <v/>
      </c>
      <c r="O440" s="200" t="str">
        <f aca="false">IF(A441="","",L440+J440+G440)</f>
        <v/>
      </c>
      <c r="P440" s="200" t="str">
        <f aca="false">IF(A441="","",M440+K440+H440)</f>
        <v/>
      </c>
      <c r="R440" s="200" t="str">
        <f aca="false">IF($A441="","",VLOOKUP($A440,Table,MATCH(R$4,Curves,0)))</f>
        <v/>
      </c>
      <c r="S440" s="201" t="str">
        <f aca="false">IF(A441="","",R440)</f>
        <v/>
      </c>
      <c r="T440" s="200" t="str">
        <f aca="false">IF($A441="","",VLOOKUP($A440,Table,MATCH(T$4,Curves,0)))</f>
        <v/>
      </c>
      <c r="U440" s="201" t="str">
        <f aca="false">IF(A441="","",T440)</f>
        <v/>
      </c>
      <c r="V440" s="183" t="str">
        <f aca="false">IF($A441="","",IF(AND(MONTH(A440)&gt;3,MONTH(A440)&lt;11),(T440+R440+G440)*Summary!$T$8/(1-Summary!$T$8),(T440+R440+G440)*Summary!$U$8/(1-Summary!$U$8)))</f>
        <v/>
      </c>
      <c r="W440" s="200" t="str">
        <f aca="false">IF($A441="","",(T440+R440+G440+V440))</f>
        <v/>
      </c>
      <c r="X440" s="200" t="str">
        <f aca="false">IF($A441="","",(U440+S440+H440+V440))</f>
        <v/>
      </c>
      <c r="Y440" s="202"/>
      <c r="Z440" s="185"/>
      <c r="AJ440" s="77"/>
      <c r="AK440" s="77"/>
      <c r="AL440" s="77"/>
      <c r="AM440" s="77"/>
      <c r="AN440" s="77"/>
      <c r="AO440" s="137" t="str">
        <f aca="false">IF(A441="","",A441-A440)</f>
        <v/>
      </c>
      <c r="AP440" s="212" t="str">
        <f aca="false">IF(A441="","",CHOOSE(F$3,A441+24,A440))</f>
        <v/>
      </c>
      <c r="AQ440" s="209" t="str">
        <f aca="false">IF(A441="","",AP440-$E$1)</f>
        <v/>
      </c>
      <c r="AR440" s="185" t="n">
        <f aca="false">'ANR OK vs ML7'!AR440</f>
        <v>0.1</v>
      </c>
      <c r="AS440" s="213" t="str">
        <f aca="false">IF(A441="","",1/(1+CHOOSE(F$3,(AR441+($I$3/10000))/2,(AR440+($I$3/10000))/2))^(2*AQ440/365.25))</f>
        <v/>
      </c>
      <c r="AT440" s="137" t="str">
        <f aca="false">IF(A441="","",IF(AND(mthbeg&lt;=A440,mthend&gt;=A440),1,0))</f>
        <v/>
      </c>
      <c r="AU440" s="137" t="str">
        <f aca="false">IF(A441="","",AO440*AT440)</f>
        <v/>
      </c>
      <c r="AW440" s="195" t="str">
        <f aca="false">IF($A441="","",AL440*$E440)</f>
        <v/>
      </c>
      <c r="AX440" s="195" t="str">
        <f aca="false">IF($A441="","",AM440*$E440)</f>
        <v/>
      </c>
      <c r="AY440" s="195" t="str">
        <f aca="false">IF($A441="","",AN440*$E440)</f>
        <v/>
      </c>
      <c r="BA440" s="195" t="str">
        <f aca="false">IF($A441="","",F440*Summary!$Q$8)</f>
        <v/>
      </c>
    </row>
    <row r="441" customFormat="false" ht="12.75" hidden="false" customHeight="false" outlineLevel="0" collapsed="false">
      <c r="A441" s="196" t="str">
        <f aca="false">IF(A440&lt;mthend,EDATE(A440,1),"")</f>
        <v/>
      </c>
      <c r="B441" s="197" t="n">
        <f aca="false">IF(A441&lt;mthend,B440,0)</f>
        <v>0</v>
      </c>
      <c r="D441" s="197" t="str">
        <f aca="false">IF(A442&lt;&gt;"",B441+C441,"")</f>
        <v/>
      </c>
      <c r="E441" s="199" t="str">
        <f aca="false">IF(A442="","",IF(AND(AT441=1,$H$3=1),D441*AO441,IF($H$3=2,D441,"N/A")))</f>
        <v/>
      </c>
      <c r="F441" s="199" t="str">
        <f aca="false">IF(A442="","",E441*AS441)</f>
        <v/>
      </c>
      <c r="G441" s="200" t="str">
        <f aca="false">IF($A442="","",VLOOKUP($A441,Table,MATCH(G$4,Curves,0)))</f>
        <v/>
      </c>
      <c r="H441" s="201" t="str">
        <f aca="false">IF(A442="","",G441)</f>
        <v/>
      </c>
      <c r="J441" s="200" t="str">
        <f aca="false">IF($A442="","",VLOOKUP($A441,Table,MATCH(J$4,Curves,0)))</f>
        <v/>
      </c>
      <c r="K441" s="201" t="str">
        <f aca="false">IF(A442="","",J441)</f>
        <v/>
      </c>
      <c r="L441" s="200" t="str">
        <f aca="false">IF($A442="","",VLOOKUP($A441,Table,MATCH(L$4,Curves,0)))</f>
        <v/>
      </c>
      <c r="M441" s="201" t="str">
        <f aca="false">IF(A442="","",L441)</f>
        <v/>
      </c>
      <c r="O441" s="200" t="str">
        <f aca="false">IF(A442="","",L441+J441+G441)</f>
        <v/>
      </c>
      <c r="P441" s="200" t="str">
        <f aca="false">IF(A442="","",M441+K441+H441)</f>
        <v/>
      </c>
      <c r="R441" s="200" t="str">
        <f aca="false">IF($A442="","",VLOOKUP($A441,Table,MATCH(R$4,Curves,0)))</f>
        <v/>
      </c>
      <c r="S441" s="201" t="str">
        <f aca="false">IF(A442="","",R441)</f>
        <v/>
      </c>
      <c r="T441" s="200" t="str">
        <f aca="false">IF($A442="","",VLOOKUP($A441,Table,MATCH(T$4,Curves,0)))</f>
        <v/>
      </c>
      <c r="U441" s="201" t="str">
        <f aca="false">IF(A442="","",T441)</f>
        <v/>
      </c>
      <c r="V441" s="183" t="str">
        <f aca="false">IF($A442="","",IF(AND(MONTH(A441)&gt;3,MONTH(A441)&lt;11),(T441+R441+G441)*Summary!$T$8/(1-Summary!$T$8),(T441+R441+G441)*Summary!$U$8/(1-Summary!$U$8)))</f>
        <v/>
      </c>
      <c r="W441" s="200" t="str">
        <f aca="false">IF($A442="","",(T441+R441+G441+V441))</f>
        <v/>
      </c>
      <c r="X441" s="200" t="str">
        <f aca="false">IF($A442="","",(U441+S441+H441+V441))</f>
        <v/>
      </c>
      <c r="Y441" s="202"/>
      <c r="Z441" s="185"/>
      <c r="AJ441" s="77"/>
      <c r="AK441" s="77"/>
      <c r="AL441" s="77"/>
      <c r="AM441" s="77"/>
      <c r="AN441" s="77"/>
      <c r="AO441" s="137" t="str">
        <f aca="false">IF(A442="","",A442-A441)</f>
        <v/>
      </c>
      <c r="AP441" s="212" t="str">
        <f aca="false">IF(A442="","",CHOOSE(F$3,A442+24,A441))</f>
        <v/>
      </c>
      <c r="AQ441" s="209" t="str">
        <f aca="false">IF(A442="","",AP441-$E$1)</f>
        <v/>
      </c>
      <c r="AR441" s="185" t="n">
        <f aca="false">'ANR OK vs ML7'!AR441</f>
        <v>0.1</v>
      </c>
      <c r="AS441" s="213" t="str">
        <f aca="false">IF(A442="","",1/(1+CHOOSE(F$3,(AR442+($I$3/10000))/2,(AR441+($I$3/10000))/2))^(2*AQ441/365.25))</f>
        <v/>
      </c>
      <c r="AT441" s="137" t="str">
        <f aca="false">IF(A442="","",IF(AND(mthbeg&lt;=A441,mthend&gt;=A441),1,0))</f>
        <v/>
      </c>
      <c r="AU441" s="137" t="str">
        <f aca="false">IF(A442="","",AO441*AT441)</f>
        <v/>
      </c>
      <c r="AW441" s="195" t="str">
        <f aca="false">IF($A442="","",AL441*$E441)</f>
        <v/>
      </c>
      <c r="AX441" s="195" t="str">
        <f aca="false">IF($A442="","",AM441*$E441)</f>
        <v/>
      </c>
      <c r="AY441" s="195" t="str">
        <f aca="false">IF($A442="","",AN441*$E441)</f>
        <v/>
      </c>
      <c r="BA441" s="195" t="str">
        <f aca="false">IF($A442="","",F441*Summary!$Q$8)</f>
        <v/>
      </c>
    </row>
    <row r="442" customFormat="false" ht="12.75" hidden="false" customHeight="false" outlineLevel="0" collapsed="false">
      <c r="A442" s="196" t="str">
        <f aca="false">IF(A441&lt;mthend,EDATE(A441,1),"")</f>
        <v/>
      </c>
      <c r="B442" s="197" t="n">
        <f aca="false">IF(A442&lt;mthend,B441,0)</f>
        <v>0</v>
      </c>
      <c r="D442" s="197" t="str">
        <f aca="false">IF(A443&lt;&gt;"",B442+C442,"")</f>
        <v/>
      </c>
      <c r="E442" s="199" t="str">
        <f aca="false">IF(A443="","",IF(AND(AT442=1,$H$3=1),D442*AO442,IF($H$3=2,D442,"N/A")))</f>
        <v/>
      </c>
      <c r="F442" s="199" t="str">
        <f aca="false">IF(A443="","",E442*AS442)</f>
        <v/>
      </c>
      <c r="G442" s="200" t="str">
        <f aca="false">IF($A443="","",VLOOKUP($A442,Table,MATCH(G$4,Curves,0)))</f>
        <v/>
      </c>
      <c r="H442" s="201" t="str">
        <f aca="false">IF(A443="","",G442)</f>
        <v/>
      </c>
      <c r="J442" s="200" t="str">
        <f aca="false">IF($A443="","",VLOOKUP($A442,Table,MATCH(J$4,Curves,0)))</f>
        <v/>
      </c>
      <c r="K442" s="201" t="str">
        <f aca="false">IF(A443="","",J442)</f>
        <v/>
      </c>
      <c r="L442" s="200" t="str">
        <f aca="false">IF($A443="","",VLOOKUP($A442,Table,MATCH(L$4,Curves,0)))</f>
        <v/>
      </c>
      <c r="M442" s="201" t="str">
        <f aca="false">IF(A443="","",L442)</f>
        <v/>
      </c>
      <c r="O442" s="200" t="str">
        <f aca="false">IF(A443="","",L442+J442+G442)</f>
        <v/>
      </c>
      <c r="P442" s="200" t="str">
        <f aca="false">IF(A443="","",M442+K442+H442)</f>
        <v/>
      </c>
      <c r="R442" s="200" t="str">
        <f aca="false">IF($A443="","",VLOOKUP($A442,Table,MATCH(R$4,Curves,0)))</f>
        <v/>
      </c>
      <c r="S442" s="201" t="str">
        <f aca="false">IF(A443="","",R442)</f>
        <v/>
      </c>
      <c r="T442" s="200" t="str">
        <f aca="false">IF($A443="","",VLOOKUP($A442,Table,MATCH(T$4,Curves,0)))</f>
        <v/>
      </c>
      <c r="U442" s="201" t="str">
        <f aca="false">IF(A443="","",T442)</f>
        <v/>
      </c>
      <c r="V442" s="183" t="str">
        <f aca="false">IF($A443="","",IF(AND(MONTH(A442)&gt;3,MONTH(A442)&lt;11),(T442+R442+G442)*Summary!$T$8/(1-Summary!$T$8),(T442+R442+G442)*Summary!$U$8/(1-Summary!$U$8)))</f>
        <v/>
      </c>
      <c r="W442" s="200" t="str">
        <f aca="false">IF($A443="","",(T442+R442+G442+V442))</f>
        <v/>
      </c>
      <c r="X442" s="200" t="str">
        <f aca="false">IF($A443="","",(U442+S442+H442+V442))</f>
        <v/>
      </c>
      <c r="Y442" s="202"/>
      <c r="Z442" s="185"/>
      <c r="AJ442" s="77"/>
      <c r="AK442" s="77"/>
      <c r="AL442" s="77"/>
      <c r="AM442" s="77"/>
      <c r="AN442" s="77"/>
      <c r="AO442" s="137" t="str">
        <f aca="false">IF(A443="","",A443-A442)</f>
        <v/>
      </c>
      <c r="AP442" s="212" t="str">
        <f aca="false">IF(A443="","",CHOOSE(F$3,A443+24,A442))</f>
        <v/>
      </c>
      <c r="AQ442" s="209" t="str">
        <f aca="false">IF(A443="","",AP442-$E$1)</f>
        <v/>
      </c>
      <c r="AR442" s="185" t="n">
        <f aca="false">'ANR OK vs ML7'!AR442</f>
        <v>0.1</v>
      </c>
      <c r="AS442" s="213" t="str">
        <f aca="false">IF(A443="","",1/(1+CHOOSE(F$3,(AR443+($I$3/10000))/2,(AR442+($I$3/10000))/2))^(2*AQ442/365.25))</f>
        <v/>
      </c>
      <c r="AT442" s="137" t="str">
        <f aca="false">IF(A443="","",IF(AND(mthbeg&lt;=A442,mthend&gt;=A442),1,0))</f>
        <v/>
      </c>
      <c r="AU442" s="137" t="str">
        <f aca="false">IF(A443="","",AO442*AT442)</f>
        <v/>
      </c>
      <c r="AW442" s="195" t="str">
        <f aca="false">IF($A443="","",AL442*$E442)</f>
        <v/>
      </c>
      <c r="AX442" s="195" t="str">
        <f aca="false">IF($A443="","",AM442*$E442)</f>
        <v/>
      </c>
      <c r="AY442" s="195" t="str">
        <f aca="false">IF($A443="","",AN442*$E442)</f>
        <v/>
      </c>
      <c r="BA442" s="195" t="str">
        <f aca="false">IF($A443="","",F442*Summary!$Q$8)</f>
        <v/>
      </c>
    </row>
    <row r="443" customFormat="false" ht="12.75" hidden="false" customHeight="false" outlineLevel="0" collapsed="false">
      <c r="A443" s="196" t="str">
        <f aca="false">IF(A442&lt;mthend,EDATE(A442,1),"")</f>
        <v/>
      </c>
      <c r="B443" s="197" t="n">
        <f aca="false">IF(A443&lt;mthend,B442,0)</f>
        <v>0</v>
      </c>
      <c r="D443" s="197" t="str">
        <f aca="false">IF(A444&lt;&gt;"",B443+C443,"")</f>
        <v/>
      </c>
      <c r="E443" s="199" t="str">
        <f aca="false">IF(A444="","",IF(AND(AT443=1,$H$3=1),D443*AO443,IF($H$3=2,D443,"N/A")))</f>
        <v/>
      </c>
      <c r="F443" s="199" t="str">
        <f aca="false">IF(A444="","",E443*AS443)</f>
        <v/>
      </c>
      <c r="G443" s="200" t="str">
        <f aca="false">IF($A444="","",VLOOKUP($A443,Table,MATCH(G$4,Curves,0)))</f>
        <v/>
      </c>
      <c r="H443" s="201" t="str">
        <f aca="false">IF(A444="","",G443)</f>
        <v/>
      </c>
      <c r="J443" s="200" t="str">
        <f aca="false">IF($A444="","",VLOOKUP($A443,Table,MATCH(J$4,Curves,0)))</f>
        <v/>
      </c>
      <c r="K443" s="201" t="str">
        <f aca="false">IF(A444="","",J443)</f>
        <v/>
      </c>
      <c r="L443" s="200" t="str">
        <f aca="false">IF($A444="","",VLOOKUP($A443,Table,MATCH(L$4,Curves,0)))</f>
        <v/>
      </c>
      <c r="M443" s="201" t="str">
        <f aca="false">IF(A444="","",L443)</f>
        <v/>
      </c>
      <c r="O443" s="200" t="str">
        <f aca="false">IF(A444="","",L443+J443+G443)</f>
        <v/>
      </c>
      <c r="P443" s="200" t="str">
        <f aca="false">IF(A444="","",M443+K443+H443)</f>
        <v/>
      </c>
      <c r="R443" s="200" t="str">
        <f aca="false">IF($A444="","",VLOOKUP($A443,Table,MATCH(R$4,Curves,0)))</f>
        <v/>
      </c>
      <c r="S443" s="201" t="str">
        <f aca="false">IF(A444="","",R443)</f>
        <v/>
      </c>
      <c r="T443" s="200" t="str">
        <f aca="false">IF($A444="","",VLOOKUP($A443,Table,MATCH(T$4,Curves,0)))</f>
        <v/>
      </c>
      <c r="U443" s="201" t="str">
        <f aca="false">IF(A444="","",T443)</f>
        <v/>
      </c>
      <c r="V443" s="183" t="str">
        <f aca="false">IF($A444="","",IF(AND(MONTH(A443)&gt;3,MONTH(A443)&lt;11),(T443+R443+G443)*Summary!$T$8/(1-Summary!$T$8),(T443+R443+G443)*Summary!$U$8/(1-Summary!$U$8)))</f>
        <v/>
      </c>
      <c r="W443" s="200" t="str">
        <f aca="false">IF($A444="","",(T443+R443+G443+V443))</f>
        <v/>
      </c>
      <c r="X443" s="200" t="str">
        <f aca="false">IF($A444="","",(U443+S443+H443+V443))</f>
        <v/>
      </c>
      <c r="Y443" s="202"/>
      <c r="Z443" s="185"/>
      <c r="AJ443" s="77"/>
      <c r="AK443" s="77"/>
      <c r="AL443" s="77"/>
      <c r="AM443" s="77"/>
      <c r="AN443" s="77"/>
      <c r="AO443" s="137" t="str">
        <f aca="false">IF(A444="","",A444-A443)</f>
        <v/>
      </c>
      <c r="AP443" s="212" t="str">
        <f aca="false">IF(A444="","",CHOOSE(F$3,A444+24,A443))</f>
        <v/>
      </c>
      <c r="AQ443" s="209" t="str">
        <f aca="false">IF(A444="","",AP443-$E$1)</f>
        <v/>
      </c>
      <c r="AR443" s="185" t="n">
        <f aca="false">'ANR OK vs ML7'!AR443</f>
        <v>0.1</v>
      </c>
      <c r="AS443" s="213" t="str">
        <f aca="false">IF(A444="","",1/(1+CHOOSE(F$3,(AR444+($I$3/10000))/2,(AR443+($I$3/10000))/2))^(2*AQ443/365.25))</f>
        <v/>
      </c>
      <c r="AT443" s="137" t="str">
        <f aca="false">IF(A444="","",IF(AND(mthbeg&lt;=A443,mthend&gt;=A443),1,0))</f>
        <v/>
      </c>
      <c r="AU443" s="137" t="str">
        <f aca="false">IF(A444="","",AO443*AT443)</f>
        <v/>
      </c>
      <c r="AW443" s="195" t="str">
        <f aca="false">IF($A444="","",AL443*$E443)</f>
        <v/>
      </c>
      <c r="AX443" s="195" t="str">
        <f aca="false">IF($A444="","",AM443*$E443)</f>
        <v/>
      </c>
      <c r="AY443" s="195" t="str">
        <f aca="false">IF($A444="","",AN443*$E443)</f>
        <v/>
      </c>
      <c r="BA443" s="195" t="str">
        <f aca="false">IF($A444="","",F443*Summary!$Q$8)</f>
        <v/>
      </c>
    </row>
    <row r="444" customFormat="false" ht="12.75" hidden="false" customHeight="false" outlineLevel="0" collapsed="false">
      <c r="A444" s="196" t="str">
        <f aca="false">IF(A443&lt;mthend,EDATE(A443,1),"")</f>
        <v/>
      </c>
      <c r="B444" s="197" t="n">
        <f aca="false">IF(A444&lt;mthend,B443,0)</f>
        <v>0</v>
      </c>
      <c r="D444" s="197" t="str">
        <f aca="false">IF(A445&lt;&gt;"",B444+C444,"")</f>
        <v/>
      </c>
      <c r="E444" s="199" t="str">
        <f aca="false">IF(A445="","",IF(AND(AT444=1,$H$3=1),D444*AO444,IF($H$3=2,D444,"N/A")))</f>
        <v/>
      </c>
      <c r="F444" s="199" t="str">
        <f aca="false">IF(A445="","",E444*AS444)</f>
        <v/>
      </c>
      <c r="G444" s="200" t="str">
        <f aca="false">IF($A445="","",VLOOKUP($A444,Table,MATCH(G$4,Curves,0)))</f>
        <v/>
      </c>
      <c r="H444" s="201" t="str">
        <f aca="false">IF(A445="","",G444)</f>
        <v/>
      </c>
      <c r="J444" s="200" t="str">
        <f aca="false">IF($A445="","",VLOOKUP($A444,Table,MATCH(J$4,Curves,0)))</f>
        <v/>
      </c>
      <c r="K444" s="201" t="str">
        <f aca="false">IF(A445="","",J444)</f>
        <v/>
      </c>
      <c r="L444" s="200" t="str">
        <f aca="false">IF($A445="","",VLOOKUP($A444,Table,MATCH(L$4,Curves,0)))</f>
        <v/>
      </c>
      <c r="M444" s="201" t="str">
        <f aca="false">IF(A445="","",L444)</f>
        <v/>
      </c>
      <c r="O444" s="200" t="str">
        <f aca="false">IF(A445="","",L444+J444+G444)</f>
        <v/>
      </c>
      <c r="P444" s="200" t="str">
        <f aca="false">IF(A445="","",M444+K444+H444)</f>
        <v/>
      </c>
      <c r="R444" s="200" t="str">
        <f aca="false">IF($A445="","",VLOOKUP($A444,Table,MATCH(R$4,Curves,0)))</f>
        <v/>
      </c>
      <c r="S444" s="201" t="str">
        <f aca="false">IF(A445="","",R444)</f>
        <v/>
      </c>
      <c r="T444" s="200" t="str">
        <f aca="false">IF($A445="","",VLOOKUP($A444,Table,MATCH(T$4,Curves,0)))</f>
        <v/>
      </c>
      <c r="U444" s="201" t="str">
        <f aca="false">IF(A445="","",T444)</f>
        <v/>
      </c>
      <c r="V444" s="183" t="str">
        <f aca="false">IF($A445="","",IF(AND(MONTH(A444)&gt;3,MONTH(A444)&lt;11),(T444+R444+G444)*Summary!$T$8/(1-Summary!$T$8),(T444+R444+G444)*Summary!$U$8/(1-Summary!$U$8)))</f>
        <v/>
      </c>
      <c r="W444" s="200" t="str">
        <f aca="false">IF($A445="","",(T444+R444+G444+V444))</f>
        <v/>
      </c>
      <c r="X444" s="200" t="str">
        <f aca="false">IF($A445="","",(U444+S444+H444+V444))</f>
        <v/>
      </c>
      <c r="Y444" s="202"/>
      <c r="Z444" s="185"/>
      <c r="AJ444" s="77"/>
      <c r="AK444" s="77"/>
      <c r="AL444" s="77"/>
      <c r="AM444" s="77"/>
      <c r="AN444" s="77"/>
      <c r="AO444" s="137" t="str">
        <f aca="false">IF(A445="","",A445-A444)</f>
        <v/>
      </c>
      <c r="AP444" s="212" t="str">
        <f aca="false">IF(A445="","",CHOOSE(F$3,A445+24,A444))</f>
        <v/>
      </c>
      <c r="AQ444" s="209" t="str">
        <f aca="false">IF(A445="","",AP444-$E$1)</f>
        <v/>
      </c>
      <c r="AR444" s="185" t="n">
        <f aca="false">'ANR OK vs ML7'!AR444</f>
        <v>0.1</v>
      </c>
      <c r="AS444" s="213" t="str">
        <f aca="false">IF(A445="","",1/(1+CHOOSE(F$3,(AR445+($I$3/10000))/2,(AR444+($I$3/10000))/2))^(2*AQ444/365.25))</f>
        <v/>
      </c>
      <c r="AT444" s="137" t="str">
        <f aca="false">IF(A445="","",IF(AND(mthbeg&lt;=A444,mthend&gt;=A444),1,0))</f>
        <v/>
      </c>
      <c r="AU444" s="137" t="str">
        <f aca="false">IF(A445="","",AO444*AT444)</f>
        <v/>
      </c>
      <c r="AW444" s="195" t="str">
        <f aca="false">IF($A445="","",AL444*$E444)</f>
        <v/>
      </c>
      <c r="AX444" s="195" t="str">
        <f aca="false">IF($A445="","",AM444*$E444)</f>
        <v/>
      </c>
      <c r="AY444" s="195" t="str">
        <f aca="false">IF($A445="","",AN444*$E444)</f>
        <v/>
      </c>
      <c r="BA444" s="195" t="str">
        <f aca="false">IF($A445="","",F444*Summary!$Q$8)</f>
        <v/>
      </c>
    </row>
    <row r="445" customFormat="false" ht="12.75" hidden="false" customHeight="false" outlineLevel="0" collapsed="false">
      <c r="A445" s="196" t="str">
        <f aca="false">IF(A444&lt;mthend,EDATE(A444,1),"")</f>
        <v/>
      </c>
      <c r="B445" s="197" t="n">
        <f aca="false">IF(A445&lt;mthend,B444,0)</f>
        <v>0</v>
      </c>
      <c r="D445" s="197" t="str">
        <f aca="false">IF(A446&lt;&gt;"",B445+C445,"")</f>
        <v/>
      </c>
      <c r="E445" s="199" t="str">
        <f aca="false">IF(A446="","",IF(AND(AT445=1,$H$3=1),D445*AO445,IF($H$3=2,D445,"N/A")))</f>
        <v/>
      </c>
      <c r="F445" s="199" t="str">
        <f aca="false">IF(A446="","",E445*AS445)</f>
        <v/>
      </c>
      <c r="G445" s="200" t="str">
        <f aca="false">IF($A446="","",VLOOKUP($A445,Table,MATCH(G$4,Curves,0)))</f>
        <v/>
      </c>
      <c r="H445" s="201" t="str">
        <f aca="false">IF(A446="","",G445)</f>
        <v/>
      </c>
      <c r="J445" s="200" t="str">
        <f aca="false">IF($A446="","",VLOOKUP($A445,Table,MATCH(J$4,Curves,0)))</f>
        <v/>
      </c>
      <c r="K445" s="201" t="str">
        <f aca="false">IF(A446="","",J445)</f>
        <v/>
      </c>
      <c r="L445" s="200" t="str">
        <f aca="false">IF($A446="","",VLOOKUP($A445,Table,MATCH(L$4,Curves,0)))</f>
        <v/>
      </c>
      <c r="M445" s="201" t="str">
        <f aca="false">IF(A446="","",L445)</f>
        <v/>
      </c>
      <c r="O445" s="200" t="str">
        <f aca="false">IF(A446="","",L445+J445+G445)</f>
        <v/>
      </c>
      <c r="P445" s="200" t="str">
        <f aca="false">IF(A446="","",M445+K445+H445)</f>
        <v/>
      </c>
      <c r="R445" s="200" t="str">
        <f aca="false">IF($A446="","",VLOOKUP($A445,Table,MATCH(R$4,Curves,0)))</f>
        <v/>
      </c>
      <c r="S445" s="201" t="str">
        <f aca="false">IF(A446="","",R445)</f>
        <v/>
      </c>
      <c r="T445" s="200" t="str">
        <f aca="false">IF($A446="","",VLOOKUP($A445,Table,MATCH(T$4,Curves,0)))</f>
        <v/>
      </c>
      <c r="U445" s="201" t="str">
        <f aca="false">IF(A446="","",T445)</f>
        <v/>
      </c>
      <c r="V445" s="183" t="str">
        <f aca="false">IF($A446="","",IF(AND(MONTH(A445)&gt;3,MONTH(A445)&lt;11),(T445+R445+G445)*Summary!$T$8/(1-Summary!$T$8),(T445+R445+G445)*Summary!$U$8/(1-Summary!$U$8)))</f>
        <v/>
      </c>
      <c r="W445" s="200" t="str">
        <f aca="false">IF($A446="","",(T445+R445+G445+V445))</f>
        <v/>
      </c>
      <c r="X445" s="200" t="str">
        <f aca="false">IF($A446="","",(U445+S445+H445+V445))</f>
        <v/>
      </c>
      <c r="Y445" s="202"/>
      <c r="Z445" s="185"/>
      <c r="AJ445" s="77"/>
      <c r="AK445" s="77"/>
      <c r="AL445" s="77"/>
      <c r="AM445" s="77"/>
      <c r="AN445" s="77"/>
      <c r="AO445" s="137" t="str">
        <f aca="false">IF(A446="","",A446-A445)</f>
        <v/>
      </c>
      <c r="AP445" s="212" t="str">
        <f aca="false">IF(A446="","",CHOOSE(F$3,A446+24,A445))</f>
        <v/>
      </c>
      <c r="AQ445" s="209" t="str">
        <f aca="false">IF(A446="","",AP445-$E$1)</f>
        <v/>
      </c>
      <c r="AR445" s="185" t="n">
        <f aca="false">'ANR OK vs ML7'!AR445</f>
        <v>0.1</v>
      </c>
      <c r="AS445" s="213" t="str">
        <f aca="false">IF(A446="","",1/(1+CHOOSE(F$3,(AR446+($I$3/10000))/2,(AR445+($I$3/10000))/2))^(2*AQ445/365.25))</f>
        <v/>
      </c>
      <c r="AT445" s="137" t="str">
        <f aca="false">IF(A446="","",IF(AND(mthbeg&lt;=A445,mthend&gt;=A445),1,0))</f>
        <v/>
      </c>
      <c r="AU445" s="137" t="str">
        <f aca="false">IF(A446="","",AO445*AT445)</f>
        <v/>
      </c>
      <c r="AW445" s="195" t="str">
        <f aca="false">IF($A446="","",AL445*$E445)</f>
        <v/>
      </c>
      <c r="AX445" s="195" t="str">
        <f aca="false">IF($A446="","",AM445*$E445)</f>
        <v/>
      </c>
      <c r="AY445" s="195" t="str">
        <f aca="false">IF($A446="","",AN445*$E445)</f>
        <v/>
      </c>
      <c r="BA445" s="195" t="str">
        <f aca="false">IF($A446="","",F445*Summary!$Q$8)</f>
        <v/>
      </c>
    </row>
    <row r="446" customFormat="false" ht="12.75" hidden="false" customHeight="false" outlineLevel="0" collapsed="false">
      <c r="A446" s="196" t="str">
        <f aca="false">IF(A445&lt;mthend,EDATE(A445,1),"")</f>
        <v/>
      </c>
      <c r="B446" s="197" t="n">
        <f aca="false">IF(A446&lt;mthend,B445,0)</f>
        <v>0</v>
      </c>
      <c r="D446" s="197" t="str">
        <f aca="false">IF(A447&lt;&gt;"",B446+C446,"")</f>
        <v/>
      </c>
      <c r="E446" s="199" t="str">
        <f aca="false">IF(A447="","",IF(AND(AT446=1,$H$3=1),D446*AO446,IF($H$3=2,D446,"N/A")))</f>
        <v/>
      </c>
      <c r="F446" s="199" t="str">
        <f aca="false">IF(A447="","",E446*AS446)</f>
        <v/>
      </c>
      <c r="G446" s="200" t="str">
        <f aca="false">IF($A447="","",VLOOKUP($A446,Table,MATCH(G$4,Curves,0)))</f>
        <v/>
      </c>
      <c r="H446" s="201" t="str">
        <f aca="false">IF(A447="","",G446)</f>
        <v/>
      </c>
      <c r="J446" s="200" t="str">
        <f aca="false">IF($A447="","",VLOOKUP($A446,Table,MATCH(J$4,Curves,0)))</f>
        <v/>
      </c>
      <c r="K446" s="201" t="str">
        <f aca="false">IF(A447="","",J446)</f>
        <v/>
      </c>
      <c r="L446" s="200" t="str">
        <f aca="false">IF($A447="","",VLOOKUP($A446,Table,MATCH(L$4,Curves,0)))</f>
        <v/>
      </c>
      <c r="M446" s="201" t="str">
        <f aca="false">IF(A447="","",L446)</f>
        <v/>
      </c>
      <c r="O446" s="200" t="str">
        <f aca="false">IF(A447="","",L446+J446+G446)</f>
        <v/>
      </c>
      <c r="P446" s="200" t="str">
        <f aca="false">IF(A447="","",M446+K446+H446)</f>
        <v/>
      </c>
      <c r="R446" s="200" t="str">
        <f aca="false">IF($A447="","",VLOOKUP($A446,Table,MATCH(R$4,Curves,0)))</f>
        <v/>
      </c>
      <c r="S446" s="201" t="str">
        <f aca="false">IF(A447="","",R446)</f>
        <v/>
      </c>
      <c r="T446" s="200" t="str">
        <f aca="false">IF($A447="","",VLOOKUP($A446,Table,MATCH(T$4,Curves,0)))</f>
        <v/>
      </c>
      <c r="U446" s="201" t="str">
        <f aca="false">IF(A447="","",T446)</f>
        <v/>
      </c>
      <c r="V446" s="183" t="str">
        <f aca="false">IF($A447="","",IF(AND(MONTH(A446)&gt;3,MONTH(A446)&lt;11),(T446+R446+G446)*Summary!$T$8/(1-Summary!$T$8),(T446+R446+G446)*Summary!$U$8/(1-Summary!$U$8)))</f>
        <v/>
      </c>
      <c r="W446" s="200" t="str">
        <f aca="false">IF($A447="","",(T446+R446+G446+V446))</f>
        <v/>
      </c>
      <c r="X446" s="200" t="str">
        <f aca="false">IF($A447="","",(U446+S446+H446+V446))</f>
        <v/>
      </c>
      <c r="Y446" s="202"/>
      <c r="Z446" s="185"/>
      <c r="AJ446" s="77"/>
      <c r="AK446" s="77"/>
      <c r="AL446" s="77"/>
      <c r="AM446" s="77"/>
      <c r="AN446" s="77"/>
      <c r="AO446" s="137" t="str">
        <f aca="false">IF(A447="","",A447-A446)</f>
        <v/>
      </c>
      <c r="AP446" s="212" t="str">
        <f aca="false">IF(A447="","",CHOOSE(F$3,A447+24,A446))</f>
        <v/>
      </c>
      <c r="AQ446" s="209" t="str">
        <f aca="false">IF(A447="","",AP446-$E$1)</f>
        <v/>
      </c>
      <c r="AR446" s="185" t="n">
        <f aca="false">'ANR OK vs ML7'!AR446</f>
        <v>0.1</v>
      </c>
      <c r="AS446" s="213" t="str">
        <f aca="false">IF(A447="","",1/(1+CHOOSE(F$3,(AR447+($I$3/10000))/2,(AR446+($I$3/10000))/2))^(2*AQ446/365.25))</f>
        <v/>
      </c>
      <c r="AT446" s="137" t="str">
        <f aca="false">IF(A447="","",IF(AND(mthbeg&lt;=A446,mthend&gt;=A446),1,0))</f>
        <v/>
      </c>
      <c r="AU446" s="137" t="str">
        <f aca="false">IF(A447="","",AO446*AT446)</f>
        <v/>
      </c>
      <c r="AW446" s="195" t="str">
        <f aca="false">IF($A447="","",AL446*$E446)</f>
        <v/>
      </c>
      <c r="AX446" s="195" t="str">
        <f aca="false">IF($A447="","",AM446*$E446)</f>
        <v/>
      </c>
      <c r="AY446" s="195" t="str">
        <f aca="false">IF($A447="","",AN446*$E446)</f>
        <v/>
      </c>
      <c r="BA446" s="195" t="str">
        <f aca="false">IF($A447="","",F446*Summary!$Q$8)</f>
        <v/>
      </c>
    </row>
    <row r="447" customFormat="false" ht="12.75" hidden="false" customHeight="false" outlineLevel="0" collapsed="false">
      <c r="A447" s="196" t="str">
        <f aca="false">IF(A446&lt;mthend,EDATE(A446,1),"")</f>
        <v/>
      </c>
      <c r="B447" s="197" t="n">
        <f aca="false">IF(A447&lt;mthend,B446,0)</f>
        <v>0</v>
      </c>
      <c r="D447" s="197" t="str">
        <f aca="false">IF(A448&lt;&gt;"",B447+C447,"")</f>
        <v/>
      </c>
      <c r="E447" s="199" t="str">
        <f aca="false">IF(A448="","",IF(AND(AT447=1,$H$3=1),D447*AO447,IF($H$3=2,D447,"N/A")))</f>
        <v/>
      </c>
      <c r="F447" s="199" t="str">
        <f aca="false">IF(A448="","",E447*AS447)</f>
        <v/>
      </c>
      <c r="G447" s="200" t="str">
        <f aca="false">IF($A448="","",VLOOKUP($A447,Table,MATCH(G$4,Curves,0)))</f>
        <v/>
      </c>
      <c r="H447" s="201" t="str">
        <f aca="false">IF(A448="","",G447)</f>
        <v/>
      </c>
      <c r="J447" s="200" t="str">
        <f aca="false">IF($A448="","",VLOOKUP($A447,Table,MATCH(J$4,Curves,0)))</f>
        <v/>
      </c>
      <c r="K447" s="201" t="str">
        <f aca="false">IF(A448="","",J447)</f>
        <v/>
      </c>
      <c r="L447" s="200" t="str">
        <f aca="false">IF($A448="","",VLOOKUP($A447,Table,MATCH(L$4,Curves,0)))</f>
        <v/>
      </c>
      <c r="M447" s="201" t="str">
        <f aca="false">IF(A448="","",L447)</f>
        <v/>
      </c>
      <c r="O447" s="200" t="str">
        <f aca="false">IF(A448="","",L447+J447+G447)</f>
        <v/>
      </c>
      <c r="P447" s="200" t="str">
        <f aca="false">IF(A448="","",M447+K447+H447)</f>
        <v/>
      </c>
      <c r="R447" s="200" t="str">
        <f aca="false">IF($A448="","",VLOOKUP($A447,Table,MATCH(R$4,Curves,0)))</f>
        <v/>
      </c>
      <c r="S447" s="201" t="str">
        <f aca="false">IF(A448="","",R447)</f>
        <v/>
      </c>
      <c r="T447" s="200" t="str">
        <f aca="false">IF($A448="","",VLOOKUP($A447,Table,MATCH(T$4,Curves,0)))</f>
        <v/>
      </c>
      <c r="U447" s="201" t="str">
        <f aca="false">IF(A448="","",T447)</f>
        <v/>
      </c>
      <c r="V447" s="183" t="str">
        <f aca="false">IF($A448="","",IF(AND(MONTH(A447)&gt;3,MONTH(A447)&lt;11),(T447+R447+G447)*Summary!$T$8/(1-Summary!$T$8),(T447+R447+G447)*Summary!$U$8/(1-Summary!$U$8)))</f>
        <v/>
      </c>
      <c r="W447" s="200" t="str">
        <f aca="false">IF($A448="","",(T447+R447+G447+V447))</f>
        <v/>
      </c>
      <c r="X447" s="200" t="str">
        <f aca="false">IF($A448="","",(U447+S447+H447+V447))</f>
        <v/>
      </c>
      <c r="Y447" s="202"/>
      <c r="Z447" s="185"/>
      <c r="AJ447" s="77"/>
      <c r="AK447" s="77"/>
      <c r="AL447" s="77"/>
      <c r="AM447" s="77"/>
      <c r="AN447" s="77"/>
      <c r="AO447" s="137" t="str">
        <f aca="false">IF(A448="","",A448-A447)</f>
        <v/>
      </c>
      <c r="AP447" s="212" t="str">
        <f aca="false">IF(A448="","",CHOOSE(F$3,A448+24,A447))</f>
        <v/>
      </c>
      <c r="AQ447" s="209" t="str">
        <f aca="false">IF(A448="","",AP447-$E$1)</f>
        <v/>
      </c>
      <c r="AR447" s="185" t="n">
        <f aca="false">'ANR OK vs ML7'!AR447</f>
        <v>0.1</v>
      </c>
      <c r="AS447" s="213" t="str">
        <f aca="false">IF(A448="","",1/(1+CHOOSE(F$3,(AR448+($I$3/10000))/2,(AR447+($I$3/10000))/2))^(2*AQ447/365.25))</f>
        <v/>
      </c>
      <c r="AT447" s="137" t="str">
        <f aca="false">IF(A448="","",IF(AND(mthbeg&lt;=A447,mthend&gt;=A447),1,0))</f>
        <v/>
      </c>
      <c r="AU447" s="137" t="str">
        <f aca="false">IF(A448="","",AO447*AT447)</f>
        <v/>
      </c>
      <c r="AW447" s="195" t="str">
        <f aca="false">IF($A448="","",AL447*$E447)</f>
        <v/>
      </c>
      <c r="AX447" s="195" t="str">
        <f aca="false">IF($A448="","",AM447*$E447)</f>
        <v/>
      </c>
      <c r="AY447" s="195" t="str">
        <f aca="false">IF($A448="","",AN447*$E447)</f>
        <v/>
      </c>
      <c r="BA447" s="195" t="str">
        <f aca="false">IF($A448="","",F447*Summary!$Q$8)</f>
        <v/>
      </c>
    </row>
    <row r="448" customFormat="false" ht="12.75" hidden="false" customHeight="false" outlineLevel="0" collapsed="false">
      <c r="A448" s="196" t="str">
        <f aca="false">IF(A447&lt;mthend,EDATE(A447,1),"")</f>
        <v/>
      </c>
      <c r="B448" s="197" t="n">
        <f aca="false">IF(A448&lt;mthend,B447,0)</f>
        <v>0</v>
      </c>
      <c r="D448" s="197" t="str">
        <f aca="false">IF(A449&lt;&gt;"",B448+C448,"")</f>
        <v/>
      </c>
      <c r="E448" s="199" t="str">
        <f aca="false">IF(A449="","",IF(AND(AT448=1,$H$3=1),D448*AO448,IF($H$3=2,D448,"N/A")))</f>
        <v/>
      </c>
      <c r="F448" s="199" t="str">
        <f aca="false">IF(A449="","",E448*AS448)</f>
        <v/>
      </c>
      <c r="G448" s="200" t="str">
        <f aca="false">IF($A449="","",VLOOKUP($A448,Table,MATCH(G$4,Curves,0)))</f>
        <v/>
      </c>
      <c r="H448" s="201" t="str">
        <f aca="false">IF(A449="","",G448)</f>
        <v/>
      </c>
      <c r="J448" s="200" t="str">
        <f aca="false">IF($A449="","",VLOOKUP($A448,Table,MATCH(J$4,Curves,0)))</f>
        <v/>
      </c>
      <c r="K448" s="201" t="str">
        <f aca="false">IF(A449="","",J448)</f>
        <v/>
      </c>
      <c r="L448" s="200" t="str">
        <f aca="false">IF($A449="","",VLOOKUP($A448,Table,MATCH(L$4,Curves,0)))</f>
        <v/>
      </c>
      <c r="M448" s="201" t="str">
        <f aca="false">IF(A449="","",L448)</f>
        <v/>
      </c>
      <c r="O448" s="200" t="str">
        <f aca="false">IF(A449="","",L448+J448+G448)</f>
        <v/>
      </c>
      <c r="P448" s="200" t="str">
        <f aca="false">IF(A449="","",M448+K448+H448)</f>
        <v/>
      </c>
      <c r="R448" s="200" t="str">
        <f aca="false">IF($A449="","",VLOOKUP($A448,Table,MATCH(R$4,Curves,0)))</f>
        <v/>
      </c>
      <c r="S448" s="201" t="str">
        <f aca="false">IF(A449="","",R448)</f>
        <v/>
      </c>
      <c r="T448" s="200" t="str">
        <f aca="false">IF($A449="","",VLOOKUP($A448,Table,MATCH(T$4,Curves,0)))</f>
        <v/>
      </c>
      <c r="U448" s="201" t="str">
        <f aca="false">IF(A449="","",T448)</f>
        <v/>
      </c>
      <c r="V448" s="183" t="str">
        <f aca="false">IF($A449="","",IF(AND(MONTH(A448)&gt;3,MONTH(A448)&lt;11),(T448+R448+G448)*Summary!$T$8/(1-Summary!$T$8),(T448+R448+G448)*Summary!$U$8/(1-Summary!$U$8)))</f>
        <v/>
      </c>
      <c r="W448" s="200" t="str">
        <f aca="false">IF($A449="","",(T448+R448+G448+V448))</f>
        <v/>
      </c>
      <c r="X448" s="200" t="str">
        <f aca="false">IF($A449="","",(U448+S448+H448+V448))</f>
        <v/>
      </c>
      <c r="Y448" s="202"/>
      <c r="Z448" s="185"/>
      <c r="AJ448" s="77"/>
      <c r="AK448" s="77"/>
      <c r="AL448" s="77"/>
      <c r="AM448" s="77"/>
      <c r="AN448" s="77"/>
      <c r="AO448" s="137" t="str">
        <f aca="false">IF(A449="","",A449-A448)</f>
        <v/>
      </c>
      <c r="AP448" s="212" t="str">
        <f aca="false">IF(A449="","",CHOOSE(F$3,A449+24,A448))</f>
        <v/>
      </c>
      <c r="AQ448" s="209" t="str">
        <f aca="false">IF(A449="","",AP448-$E$1)</f>
        <v/>
      </c>
      <c r="AR448" s="185" t="n">
        <f aca="false">'ANR OK vs ML7'!AR448</f>
        <v>0.1</v>
      </c>
      <c r="AS448" s="213" t="str">
        <f aca="false">IF(A449="","",1/(1+CHOOSE(F$3,(AR449+($I$3/10000))/2,(AR448+($I$3/10000))/2))^(2*AQ448/365.25))</f>
        <v/>
      </c>
      <c r="AT448" s="137" t="str">
        <f aca="false">IF(A449="","",IF(AND(mthbeg&lt;=A448,mthend&gt;=A448),1,0))</f>
        <v/>
      </c>
      <c r="AU448" s="137" t="str">
        <f aca="false">IF(A449="","",AO448*AT448)</f>
        <v/>
      </c>
      <c r="AW448" s="195" t="str">
        <f aca="false">IF($A449="","",AL448*$E448)</f>
        <v/>
      </c>
      <c r="AX448" s="195" t="str">
        <f aca="false">IF($A449="","",AM448*$E448)</f>
        <v/>
      </c>
      <c r="AY448" s="195" t="str">
        <f aca="false">IF($A449="","",AN448*$E448)</f>
        <v/>
      </c>
      <c r="BA448" s="195" t="str">
        <f aca="false">IF($A449="","",F448*Summary!$Q$8)</f>
        <v/>
      </c>
    </row>
    <row r="449" customFormat="false" ht="12.75" hidden="false" customHeight="false" outlineLevel="0" collapsed="false">
      <c r="A449" s="196" t="str">
        <f aca="false">IF(A448&lt;mthend,EDATE(A448,1),"")</f>
        <v/>
      </c>
      <c r="B449" s="197" t="n">
        <f aca="false">IF(A449&lt;mthend,B448,0)</f>
        <v>0</v>
      </c>
      <c r="D449" s="197" t="str">
        <f aca="false">IF(A450&lt;&gt;"",B449+C449,"")</f>
        <v/>
      </c>
      <c r="E449" s="199" t="str">
        <f aca="false">IF(A450="","",IF(AND(AT449=1,$H$3=1),D449*AO449,IF($H$3=2,D449,"N/A")))</f>
        <v/>
      </c>
      <c r="F449" s="199" t="str">
        <f aca="false">IF(A450="","",E449*AS449)</f>
        <v/>
      </c>
      <c r="G449" s="200" t="str">
        <f aca="false">IF($A450="","",VLOOKUP($A449,Table,MATCH(G$4,Curves,0)))</f>
        <v/>
      </c>
      <c r="H449" s="201" t="str">
        <f aca="false">IF(A450="","",G449)</f>
        <v/>
      </c>
      <c r="J449" s="200" t="str">
        <f aca="false">IF($A450="","",VLOOKUP($A449,Table,MATCH(J$4,Curves,0)))</f>
        <v/>
      </c>
      <c r="K449" s="201" t="str">
        <f aca="false">IF(A450="","",J449)</f>
        <v/>
      </c>
      <c r="L449" s="200" t="str">
        <f aca="false">IF($A450="","",VLOOKUP($A449,Table,MATCH(L$4,Curves,0)))</f>
        <v/>
      </c>
      <c r="M449" s="201" t="str">
        <f aca="false">IF(A450="","",L449)</f>
        <v/>
      </c>
      <c r="O449" s="200" t="str">
        <f aca="false">IF(A450="","",L449+J449+G449)</f>
        <v/>
      </c>
      <c r="P449" s="200" t="str">
        <f aca="false">IF(A450="","",M449+K449+H449)</f>
        <v/>
      </c>
      <c r="R449" s="200" t="str">
        <f aca="false">IF($A450="","",VLOOKUP($A449,Table,MATCH(R$4,Curves,0)))</f>
        <v/>
      </c>
      <c r="S449" s="201" t="str">
        <f aca="false">IF(A450="","",R449)</f>
        <v/>
      </c>
      <c r="T449" s="200" t="str">
        <f aca="false">IF($A450="","",VLOOKUP($A449,Table,MATCH(T$4,Curves,0)))</f>
        <v/>
      </c>
      <c r="U449" s="201" t="str">
        <f aca="false">IF(A450="","",T449)</f>
        <v/>
      </c>
      <c r="V449" s="183" t="str">
        <f aca="false">IF($A450="","",IF(AND(MONTH(A449)&gt;3,MONTH(A449)&lt;11),(T449+R449+G449)*Summary!$T$8/(1-Summary!$T$8),(T449+R449+G449)*Summary!$U$8/(1-Summary!$U$8)))</f>
        <v/>
      </c>
      <c r="W449" s="200" t="str">
        <f aca="false">IF($A450="","",(T449+R449+G449+V449))</f>
        <v/>
      </c>
      <c r="X449" s="200" t="str">
        <f aca="false">IF($A450="","",(U449+S449+H449+V449))</f>
        <v/>
      </c>
      <c r="Y449" s="202"/>
      <c r="Z449" s="185"/>
      <c r="AJ449" s="77"/>
      <c r="AK449" s="77"/>
      <c r="AL449" s="77"/>
      <c r="AM449" s="77"/>
      <c r="AN449" s="77"/>
      <c r="AO449" s="137" t="str">
        <f aca="false">IF(A450="","",A450-A449)</f>
        <v/>
      </c>
      <c r="AP449" s="212" t="str">
        <f aca="false">IF(A450="","",CHOOSE(F$3,A450+24,A449))</f>
        <v/>
      </c>
      <c r="AQ449" s="209" t="str">
        <f aca="false">IF(A450="","",AP449-$E$1)</f>
        <v/>
      </c>
      <c r="AR449" s="185" t="n">
        <f aca="false">'ANR OK vs ML7'!AR449</f>
        <v>0.1</v>
      </c>
      <c r="AS449" s="213" t="str">
        <f aca="false">IF(A450="","",1/(1+CHOOSE(F$3,(AR450+($I$3/10000))/2,(AR449+($I$3/10000))/2))^(2*AQ449/365.25))</f>
        <v/>
      </c>
      <c r="AT449" s="137" t="str">
        <f aca="false">IF(A450="","",IF(AND(mthbeg&lt;=A449,mthend&gt;=A449),1,0))</f>
        <v/>
      </c>
      <c r="AU449" s="137" t="str">
        <f aca="false">IF(A450="","",AO449*AT449)</f>
        <v/>
      </c>
      <c r="AW449" s="195" t="str">
        <f aca="false">IF($A450="","",AL449*$E449)</f>
        <v/>
      </c>
      <c r="AX449" s="195" t="str">
        <f aca="false">IF($A450="","",AM449*$E449)</f>
        <v/>
      </c>
      <c r="AY449" s="195" t="str">
        <f aca="false">IF($A450="","",AN449*$E449)</f>
        <v/>
      </c>
      <c r="BA449" s="195" t="str">
        <f aca="false">IF($A450="","",F449*Summary!$Q$8)</f>
        <v/>
      </c>
    </row>
    <row r="450" customFormat="false" ht="12.75" hidden="false" customHeight="false" outlineLevel="0" collapsed="false">
      <c r="A450" s="196" t="str">
        <f aca="false">IF(A449&lt;mthend,EDATE(A449,1),"")</f>
        <v/>
      </c>
      <c r="B450" s="197" t="n">
        <f aca="false">IF(A450&lt;mthend,B449,0)</f>
        <v>0</v>
      </c>
      <c r="D450" s="197" t="str">
        <f aca="false">IF(A451&lt;&gt;"",B450+C450,"")</f>
        <v/>
      </c>
      <c r="E450" s="199" t="str">
        <f aca="false">IF(A451="","",IF(AND(AT450=1,$H$3=1),D450*AO450,IF($H$3=2,D450,"N/A")))</f>
        <v/>
      </c>
      <c r="F450" s="199" t="str">
        <f aca="false">IF(A451="","",E450*AS450)</f>
        <v/>
      </c>
      <c r="G450" s="200" t="str">
        <f aca="false">IF($A451="","",VLOOKUP($A450,Table,MATCH(G$4,Curves,0)))</f>
        <v/>
      </c>
      <c r="H450" s="201" t="str">
        <f aca="false">IF(A451="","",G450)</f>
        <v/>
      </c>
      <c r="J450" s="200" t="str">
        <f aca="false">IF($A451="","",VLOOKUP($A450,Table,MATCH(J$4,Curves,0)))</f>
        <v/>
      </c>
      <c r="K450" s="201" t="str">
        <f aca="false">IF(A451="","",J450)</f>
        <v/>
      </c>
      <c r="L450" s="200" t="str">
        <f aca="false">IF($A451="","",VLOOKUP($A450,Table,MATCH(L$4,Curves,0)))</f>
        <v/>
      </c>
      <c r="M450" s="201" t="str">
        <f aca="false">IF(A451="","",L450)</f>
        <v/>
      </c>
      <c r="O450" s="200" t="str">
        <f aca="false">IF(A451="","",L450+J450+G450)</f>
        <v/>
      </c>
      <c r="P450" s="200" t="str">
        <f aca="false">IF(A451="","",M450+K450+H450)</f>
        <v/>
      </c>
      <c r="R450" s="200" t="str">
        <f aca="false">IF($A451="","",VLOOKUP($A450,Table,MATCH(R$4,Curves,0)))</f>
        <v/>
      </c>
      <c r="S450" s="201" t="str">
        <f aca="false">IF(A451="","",R450)</f>
        <v/>
      </c>
      <c r="T450" s="200" t="str">
        <f aca="false">IF($A451="","",VLOOKUP($A450,Table,MATCH(T$4,Curves,0)))</f>
        <v/>
      </c>
      <c r="U450" s="201" t="str">
        <f aca="false">IF(A451="","",T450)</f>
        <v/>
      </c>
      <c r="V450" s="183" t="str">
        <f aca="false">IF($A451="","",IF(AND(MONTH(A450)&gt;3,MONTH(A450)&lt;11),(T450+R450+G450)*Summary!$T$8/(1-Summary!$T$8),(T450+R450+G450)*Summary!$U$8/(1-Summary!$U$8)))</f>
        <v/>
      </c>
      <c r="W450" s="200" t="str">
        <f aca="false">IF($A451="","",(T450+R450+G450+V450))</f>
        <v/>
      </c>
      <c r="X450" s="200" t="str">
        <f aca="false">IF($A451="","",(U450+S450+H450+V450))</f>
        <v/>
      </c>
      <c r="Y450" s="202"/>
      <c r="Z450" s="185"/>
      <c r="AJ450" s="77"/>
      <c r="AK450" s="77"/>
      <c r="AL450" s="77"/>
      <c r="AM450" s="77"/>
      <c r="AN450" s="77"/>
      <c r="AO450" s="137" t="str">
        <f aca="false">IF(A451="","",A451-A450)</f>
        <v/>
      </c>
      <c r="AP450" s="212" t="str">
        <f aca="false">IF(A451="","",CHOOSE(F$3,A451+24,A450))</f>
        <v/>
      </c>
      <c r="AQ450" s="209" t="str">
        <f aca="false">IF(A451="","",AP450-$E$1)</f>
        <v/>
      </c>
      <c r="AR450" s="185" t="n">
        <f aca="false">'ANR OK vs ML7'!AR450</f>
        <v>0.1</v>
      </c>
      <c r="AS450" s="213" t="str">
        <f aca="false">IF(A451="","",1/(1+CHOOSE(F$3,(AR451+($I$3/10000))/2,(AR450+($I$3/10000))/2))^(2*AQ450/365.25))</f>
        <v/>
      </c>
      <c r="AT450" s="137" t="str">
        <f aca="false">IF(A451="","",IF(AND(mthbeg&lt;=A450,mthend&gt;=A450),1,0))</f>
        <v/>
      </c>
      <c r="AU450" s="137" t="str">
        <f aca="false">IF(A451="","",AO450*AT450)</f>
        <v/>
      </c>
      <c r="AW450" s="195" t="str">
        <f aca="false">IF($A451="","",AL450*$E450)</f>
        <v/>
      </c>
      <c r="AX450" s="195" t="str">
        <f aca="false">IF($A451="","",AM450*$E450)</f>
        <v/>
      </c>
      <c r="AY450" s="195" t="str">
        <f aca="false">IF($A451="","",AN450*$E450)</f>
        <v/>
      </c>
      <c r="BA450" s="195" t="str">
        <f aca="false">IF($A451="","",F450*Summary!$Q$8)</f>
        <v/>
      </c>
    </row>
    <row r="451" customFormat="false" ht="12.75" hidden="false" customHeight="false" outlineLevel="0" collapsed="false">
      <c r="A451" s="196" t="str">
        <f aca="false">IF(A450&lt;mthend,EDATE(A450,1),"")</f>
        <v/>
      </c>
      <c r="B451" s="197" t="n">
        <f aca="false">IF(A451&lt;mthend,B450,0)</f>
        <v>0</v>
      </c>
      <c r="D451" s="197" t="str">
        <f aca="false">IF(A452&lt;&gt;"",B451+C451,"")</f>
        <v/>
      </c>
      <c r="E451" s="199" t="str">
        <f aca="false">IF(A452="","",IF(AND(AT451=1,$H$3=1),D451*AO451,IF($H$3=2,D451,"N/A")))</f>
        <v/>
      </c>
      <c r="F451" s="199" t="str">
        <f aca="false">IF(A452="","",E451*AS451)</f>
        <v/>
      </c>
      <c r="G451" s="200" t="str">
        <f aca="false">IF($A452="","",VLOOKUP($A451,Table,MATCH(G$4,Curves,0)))</f>
        <v/>
      </c>
      <c r="H451" s="201" t="str">
        <f aca="false">IF(A452="","",G451)</f>
        <v/>
      </c>
      <c r="J451" s="200" t="str">
        <f aca="false">IF($A452="","",VLOOKUP($A451,Table,MATCH(J$4,Curves,0)))</f>
        <v/>
      </c>
      <c r="K451" s="201" t="str">
        <f aca="false">IF(A452="","",J451)</f>
        <v/>
      </c>
      <c r="L451" s="200" t="str">
        <f aca="false">IF($A452="","",VLOOKUP($A451,Table,MATCH(L$4,Curves,0)))</f>
        <v/>
      </c>
      <c r="M451" s="201" t="str">
        <f aca="false">IF(A452="","",L451)</f>
        <v/>
      </c>
      <c r="O451" s="200" t="str">
        <f aca="false">IF(A452="","",L451+J451+G451)</f>
        <v/>
      </c>
      <c r="P451" s="200" t="str">
        <f aca="false">IF(A452="","",M451+K451+H451)</f>
        <v/>
      </c>
      <c r="R451" s="200" t="str">
        <f aca="false">IF($A452="","",VLOOKUP($A451,Table,MATCH(R$4,Curves,0)))</f>
        <v/>
      </c>
      <c r="S451" s="201" t="str">
        <f aca="false">IF(A452="","",R451)</f>
        <v/>
      </c>
      <c r="T451" s="200" t="str">
        <f aca="false">IF($A452="","",VLOOKUP($A451,Table,MATCH(T$4,Curves,0)))</f>
        <v/>
      </c>
      <c r="U451" s="201" t="str">
        <f aca="false">IF(A452="","",T451)</f>
        <v/>
      </c>
      <c r="V451" s="183" t="str">
        <f aca="false">IF($A452="","",IF(AND(MONTH(A451)&gt;3,MONTH(A451)&lt;11),(T451+R451+G451)*Summary!$T$8/(1-Summary!$T$8),(T451+R451+G451)*Summary!$U$8/(1-Summary!$U$8)))</f>
        <v/>
      </c>
      <c r="W451" s="200" t="str">
        <f aca="false">IF($A452="","",(T451+R451+G451+V451))</f>
        <v/>
      </c>
      <c r="X451" s="200" t="str">
        <f aca="false">IF($A452="","",(U451+S451+H451+V451))</f>
        <v/>
      </c>
      <c r="Y451" s="202"/>
      <c r="Z451" s="185"/>
      <c r="AJ451" s="77"/>
      <c r="AK451" s="77"/>
      <c r="AL451" s="77"/>
      <c r="AM451" s="77"/>
      <c r="AN451" s="77"/>
      <c r="AO451" s="137" t="str">
        <f aca="false">IF(A452="","",A452-A451)</f>
        <v/>
      </c>
      <c r="AP451" s="212" t="str">
        <f aca="false">IF(A452="","",CHOOSE(F$3,A452+24,A451))</f>
        <v/>
      </c>
      <c r="AQ451" s="209" t="str">
        <f aca="false">IF(A452="","",AP451-$E$1)</f>
        <v/>
      </c>
      <c r="AR451" s="185" t="n">
        <f aca="false">'ANR OK vs ML7'!AR451</f>
        <v>0.1</v>
      </c>
      <c r="AS451" s="213" t="str">
        <f aca="false">IF(A452="","",1/(1+CHOOSE(F$3,(AR452+($I$3/10000))/2,(AR451+($I$3/10000))/2))^(2*AQ451/365.25))</f>
        <v/>
      </c>
      <c r="AT451" s="137" t="str">
        <f aca="false">IF(A452="","",IF(AND(mthbeg&lt;=A451,mthend&gt;=A451),1,0))</f>
        <v/>
      </c>
      <c r="AU451" s="137" t="str">
        <f aca="false">IF(A452="","",AO451*AT451)</f>
        <v/>
      </c>
      <c r="AW451" s="195" t="str">
        <f aca="false">IF($A452="","",AL451*$E451)</f>
        <v/>
      </c>
      <c r="AX451" s="195" t="str">
        <f aca="false">IF($A452="","",AM451*$E451)</f>
        <v/>
      </c>
      <c r="AY451" s="195" t="str">
        <f aca="false">IF($A452="","",AN451*$E451)</f>
        <v/>
      </c>
      <c r="BA451" s="195" t="str">
        <f aca="false">IF($A452="","",F451*Summary!$Q$8)</f>
        <v/>
      </c>
    </row>
    <row r="452" customFormat="false" ht="12.75" hidden="false" customHeight="false" outlineLevel="0" collapsed="false">
      <c r="A452" s="196" t="str">
        <f aca="false">IF(A451&lt;mthend,EDATE(A451,1),"")</f>
        <v/>
      </c>
      <c r="B452" s="197" t="n">
        <f aca="false">IF(A452&lt;mthend,B451,0)</f>
        <v>0</v>
      </c>
      <c r="D452" s="197" t="str">
        <f aca="false">IF(A453&lt;&gt;"",B452+C452,"")</f>
        <v/>
      </c>
      <c r="E452" s="199" t="str">
        <f aca="false">IF(A453="","",IF(AND(AT452=1,$H$3=1),D452*AO452,IF($H$3=2,D452,"N/A")))</f>
        <v/>
      </c>
      <c r="F452" s="199" t="str">
        <f aca="false">IF(A453="","",E452*AS452)</f>
        <v/>
      </c>
      <c r="G452" s="200" t="str">
        <f aca="false">IF($A453="","",VLOOKUP($A452,Table,MATCH(G$4,Curves,0)))</f>
        <v/>
      </c>
      <c r="H452" s="201" t="str">
        <f aca="false">IF(A453="","",G452)</f>
        <v/>
      </c>
      <c r="J452" s="200" t="str">
        <f aca="false">IF($A453="","",VLOOKUP($A452,Table,MATCH(J$4,Curves,0)))</f>
        <v/>
      </c>
      <c r="K452" s="201" t="str">
        <f aca="false">IF(A453="","",J452)</f>
        <v/>
      </c>
      <c r="L452" s="200" t="str">
        <f aca="false">IF($A453="","",VLOOKUP($A452,Table,MATCH(L$4,Curves,0)))</f>
        <v/>
      </c>
      <c r="M452" s="201" t="str">
        <f aca="false">IF(A453="","",L452)</f>
        <v/>
      </c>
      <c r="O452" s="200" t="str">
        <f aca="false">IF(A453="","",L452+J452+G452)</f>
        <v/>
      </c>
      <c r="P452" s="200" t="str">
        <f aca="false">IF(A453="","",M452+K452+H452)</f>
        <v/>
      </c>
      <c r="R452" s="200" t="str">
        <f aca="false">IF($A453="","",VLOOKUP($A452,Table,MATCH(R$4,Curves,0)))</f>
        <v/>
      </c>
      <c r="S452" s="201" t="str">
        <f aca="false">IF(A453="","",R452)</f>
        <v/>
      </c>
      <c r="T452" s="200" t="str">
        <f aca="false">IF($A453="","",VLOOKUP($A452,Table,MATCH(T$4,Curves,0)))</f>
        <v/>
      </c>
      <c r="U452" s="201" t="str">
        <f aca="false">IF(A453="","",T452)</f>
        <v/>
      </c>
      <c r="V452" s="183" t="str">
        <f aca="false">IF($A453="","",IF(AND(MONTH(A452)&gt;3,MONTH(A452)&lt;11),(T452+R452+G452)*Summary!$T$8/(1-Summary!$T$8),(T452+R452+G452)*Summary!$U$8/(1-Summary!$U$8)))</f>
        <v/>
      </c>
      <c r="W452" s="200" t="str">
        <f aca="false">IF($A453="","",(T452+R452+G452+V452))</f>
        <v/>
      </c>
      <c r="X452" s="200" t="str">
        <f aca="false">IF($A453="","",(U452+S452+H452+V452))</f>
        <v/>
      </c>
      <c r="Y452" s="202"/>
      <c r="Z452" s="185"/>
      <c r="AJ452" s="77"/>
      <c r="AK452" s="77"/>
      <c r="AL452" s="77"/>
      <c r="AM452" s="77"/>
      <c r="AN452" s="77"/>
      <c r="AO452" s="137" t="str">
        <f aca="false">IF(A453="","",A453-A452)</f>
        <v/>
      </c>
      <c r="AP452" s="212" t="str">
        <f aca="false">IF(A453="","",CHOOSE(F$3,A453+24,A452))</f>
        <v/>
      </c>
      <c r="AQ452" s="209" t="str">
        <f aca="false">IF(A453="","",AP452-$E$1)</f>
        <v/>
      </c>
      <c r="AR452" s="185" t="n">
        <f aca="false">'ANR OK vs ML7'!AR452</f>
        <v>0.1</v>
      </c>
      <c r="AS452" s="213" t="str">
        <f aca="false">IF(A453="","",1/(1+CHOOSE(F$3,(AR453+($I$3/10000))/2,(AR452+($I$3/10000))/2))^(2*AQ452/365.25))</f>
        <v/>
      </c>
      <c r="AT452" s="137" t="str">
        <f aca="false">IF(A453="","",IF(AND(mthbeg&lt;=A452,mthend&gt;=A452),1,0))</f>
        <v/>
      </c>
      <c r="AU452" s="137" t="str">
        <f aca="false">IF(A453="","",AO452*AT452)</f>
        <v/>
      </c>
      <c r="AW452" s="195" t="str">
        <f aca="false">IF($A453="","",AL452*$E452)</f>
        <v/>
      </c>
      <c r="AX452" s="195" t="str">
        <f aca="false">IF($A453="","",AM452*$E452)</f>
        <v/>
      </c>
      <c r="AY452" s="195" t="str">
        <f aca="false">IF($A453="","",AN452*$E452)</f>
        <v/>
      </c>
      <c r="BA452" s="195" t="str">
        <f aca="false">IF($A453="","",F452*Summary!$Q$8)</f>
        <v/>
      </c>
    </row>
    <row r="453" customFormat="false" ht="12.75" hidden="false" customHeight="false" outlineLevel="0" collapsed="false">
      <c r="A453" s="196" t="str">
        <f aca="false">IF(A452&lt;mthend,EDATE(A452,1),"")</f>
        <v/>
      </c>
      <c r="B453" s="197" t="n">
        <f aca="false">IF(A453&lt;mthend,B452,0)</f>
        <v>0</v>
      </c>
      <c r="D453" s="197" t="str">
        <f aca="false">IF(A454&lt;&gt;"",B453+C453,"")</f>
        <v/>
      </c>
      <c r="E453" s="199" t="str">
        <f aca="false">IF(A454="","",IF(AND(AT453=1,$H$3=1),D453*AO453,IF($H$3=2,D453,"N/A")))</f>
        <v/>
      </c>
      <c r="F453" s="199" t="str">
        <f aca="false">IF(A454="","",E453*AS453)</f>
        <v/>
      </c>
      <c r="G453" s="200" t="str">
        <f aca="false">IF($A454="","",VLOOKUP($A453,Table,MATCH(G$4,Curves,0)))</f>
        <v/>
      </c>
      <c r="H453" s="201" t="str">
        <f aca="false">IF(A454="","",G453)</f>
        <v/>
      </c>
      <c r="J453" s="200" t="str">
        <f aca="false">IF($A454="","",VLOOKUP($A453,Table,MATCH(J$4,Curves,0)))</f>
        <v/>
      </c>
      <c r="K453" s="201" t="str">
        <f aca="false">IF(A454="","",J453)</f>
        <v/>
      </c>
      <c r="L453" s="200" t="str">
        <f aca="false">IF($A454="","",VLOOKUP($A453,Table,MATCH(L$4,Curves,0)))</f>
        <v/>
      </c>
      <c r="M453" s="201" t="str">
        <f aca="false">IF(A454="","",L453)</f>
        <v/>
      </c>
      <c r="O453" s="200" t="str">
        <f aca="false">IF(A454="","",L453+J453+G453)</f>
        <v/>
      </c>
      <c r="P453" s="200" t="str">
        <f aca="false">IF(A454="","",M453+K453+H453)</f>
        <v/>
      </c>
      <c r="R453" s="200" t="str">
        <f aca="false">IF($A454="","",VLOOKUP($A453,Table,MATCH(R$4,Curves,0)))</f>
        <v/>
      </c>
      <c r="S453" s="201" t="str">
        <f aca="false">IF(A454="","",R453)</f>
        <v/>
      </c>
      <c r="T453" s="200" t="str">
        <f aca="false">IF($A454="","",VLOOKUP($A453,Table,MATCH(T$4,Curves,0)))</f>
        <v/>
      </c>
      <c r="U453" s="201" t="str">
        <f aca="false">IF(A454="","",T453)</f>
        <v/>
      </c>
      <c r="V453" s="183" t="str">
        <f aca="false">IF($A454="","",IF(AND(MONTH(A453)&gt;3,MONTH(A453)&lt;11),(T453+R453+G453)*Summary!$T$8/(1-Summary!$T$8),(T453+R453+G453)*Summary!$U$8/(1-Summary!$U$8)))</f>
        <v/>
      </c>
      <c r="W453" s="200" t="str">
        <f aca="false">IF($A454="","",(T453+R453+G453+V453))</f>
        <v/>
      </c>
      <c r="X453" s="200" t="str">
        <f aca="false">IF($A454="","",(U453+S453+H453+V453))</f>
        <v/>
      </c>
      <c r="Y453" s="202"/>
      <c r="Z453" s="185"/>
      <c r="AJ453" s="77"/>
      <c r="AK453" s="77"/>
      <c r="AL453" s="77"/>
      <c r="AM453" s="77"/>
      <c r="AN453" s="77"/>
      <c r="AO453" s="137" t="str">
        <f aca="false">IF(A454="","",A454-A453)</f>
        <v/>
      </c>
      <c r="AP453" s="212" t="str">
        <f aca="false">IF(A454="","",CHOOSE(F$3,A454+24,A453))</f>
        <v/>
      </c>
      <c r="AQ453" s="209" t="str">
        <f aca="false">IF(A454="","",AP453-$E$1)</f>
        <v/>
      </c>
      <c r="AR453" s="185" t="n">
        <f aca="false">'ANR OK vs ML7'!AR453</f>
        <v>0.1</v>
      </c>
      <c r="AS453" s="213" t="str">
        <f aca="false">IF(A454="","",1/(1+CHOOSE(F$3,(AR454+($I$3/10000))/2,(AR453+($I$3/10000))/2))^(2*AQ453/365.25))</f>
        <v/>
      </c>
      <c r="AT453" s="137" t="str">
        <f aca="false">IF(A454="","",IF(AND(mthbeg&lt;=A453,mthend&gt;=A453),1,0))</f>
        <v/>
      </c>
      <c r="AU453" s="137" t="str">
        <f aca="false">IF(A454="","",AO453*AT453)</f>
        <v/>
      </c>
      <c r="AW453" s="195" t="str">
        <f aca="false">IF($A454="","",AL453*$E453)</f>
        <v/>
      </c>
      <c r="AX453" s="195" t="str">
        <f aca="false">IF($A454="","",AM453*$E453)</f>
        <v/>
      </c>
      <c r="AY453" s="195" t="str">
        <f aca="false">IF($A454="","",AN453*$E453)</f>
        <v/>
      </c>
      <c r="BA453" s="195" t="str">
        <f aca="false">IF($A454="","",F453*Summary!$Q$8)</f>
        <v/>
      </c>
    </row>
    <row r="454" customFormat="false" ht="12.75" hidden="false" customHeight="false" outlineLevel="0" collapsed="false">
      <c r="A454" s="196" t="str">
        <f aca="false">IF(A453&lt;mthend,EDATE(A453,1),"")</f>
        <v/>
      </c>
      <c r="B454" s="197" t="n">
        <f aca="false">IF(A454&lt;mthend,B453,0)</f>
        <v>0</v>
      </c>
      <c r="D454" s="197" t="str">
        <f aca="false">IF(A455&lt;&gt;"",B454+C454,"")</f>
        <v/>
      </c>
      <c r="E454" s="199" t="str">
        <f aca="false">IF(A455="","",IF(AND(AT454=1,$H$3=1),D454*AO454,IF($H$3=2,D454,"N/A")))</f>
        <v/>
      </c>
      <c r="F454" s="199" t="str">
        <f aca="false">IF(A455="","",E454*AS454)</f>
        <v/>
      </c>
      <c r="G454" s="200" t="str">
        <f aca="false">IF($A455="","",VLOOKUP($A454,Table,MATCH(G$4,Curves,0)))</f>
        <v/>
      </c>
      <c r="H454" s="201" t="str">
        <f aca="false">IF(A455="","",G454)</f>
        <v/>
      </c>
      <c r="J454" s="200" t="str">
        <f aca="false">IF($A455="","",VLOOKUP($A454,Table,MATCH(J$4,Curves,0)))</f>
        <v/>
      </c>
      <c r="K454" s="201" t="str">
        <f aca="false">IF(A455="","",J454)</f>
        <v/>
      </c>
      <c r="L454" s="200" t="str">
        <f aca="false">IF($A455="","",VLOOKUP($A454,Table,MATCH(L$4,Curves,0)))</f>
        <v/>
      </c>
      <c r="M454" s="201" t="str">
        <f aca="false">IF(A455="","",L454)</f>
        <v/>
      </c>
      <c r="O454" s="200" t="str">
        <f aca="false">IF(A455="","",L454+J454+G454)</f>
        <v/>
      </c>
      <c r="P454" s="200" t="str">
        <f aca="false">IF(A455="","",M454+K454+H454)</f>
        <v/>
      </c>
      <c r="R454" s="200" t="str">
        <f aca="false">IF($A455="","",VLOOKUP($A454,Table,MATCH(R$4,Curves,0)))</f>
        <v/>
      </c>
      <c r="S454" s="201" t="str">
        <f aca="false">IF(A455="","",R454)</f>
        <v/>
      </c>
      <c r="T454" s="200" t="str">
        <f aca="false">IF($A455="","",VLOOKUP($A454,Table,MATCH(T$4,Curves,0)))</f>
        <v/>
      </c>
      <c r="U454" s="201" t="str">
        <f aca="false">IF(A455="","",T454)</f>
        <v/>
      </c>
      <c r="V454" s="183" t="str">
        <f aca="false">IF($A455="","",IF(AND(MONTH(A454)&gt;3,MONTH(A454)&lt;11),(T454+R454+G454)*Summary!$T$8/(1-Summary!$T$8),(T454+R454+G454)*Summary!$U$8/(1-Summary!$U$8)))</f>
        <v/>
      </c>
      <c r="W454" s="200" t="str">
        <f aca="false">IF($A455="","",(T454+R454+G454+V454))</f>
        <v/>
      </c>
      <c r="X454" s="200" t="str">
        <f aca="false">IF($A455="","",(U454+S454+H454+V454))</f>
        <v/>
      </c>
      <c r="Y454" s="202"/>
      <c r="Z454" s="185"/>
      <c r="AJ454" s="77"/>
      <c r="AK454" s="77"/>
      <c r="AL454" s="77"/>
      <c r="AM454" s="77"/>
      <c r="AN454" s="77"/>
      <c r="AO454" s="137" t="str">
        <f aca="false">IF(A455="","",A455-A454)</f>
        <v/>
      </c>
      <c r="AP454" s="212" t="str">
        <f aca="false">IF(A455="","",CHOOSE(F$3,A455+24,A454))</f>
        <v/>
      </c>
      <c r="AQ454" s="209" t="str">
        <f aca="false">IF(A455="","",AP454-$E$1)</f>
        <v/>
      </c>
      <c r="AR454" s="185" t="n">
        <f aca="false">'ANR OK vs ML7'!AR454</f>
        <v>0.1</v>
      </c>
      <c r="AS454" s="213" t="str">
        <f aca="false">IF(A455="","",1/(1+CHOOSE(F$3,(AR455+($I$3/10000))/2,(AR454+($I$3/10000))/2))^(2*AQ454/365.25))</f>
        <v/>
      </c>
      <c r="AT454" s="137" t="str">
        <f aca="false">IF(A455="","",IF(AND(mthbeg&lt;=A454,mthend&gt;=A454),1,0))</f>
        <v/>
      </c>
      <c r="AU454" s="137" t="str">
        <f aca="false">IF(A455="","",AO454*AT454)</f>
        <v/>
      </c>
      <c r="AW454" s="195" t="str">
        <f aca="false">IF($A455="","",AL454*$E454)</f>
        <v/>
      </c>
      <c r="AX454" s="195" t="str">
        <f aca="false">IF($A455="","",AM454*$E454)</f>
        <v/>
      </c>
      <c r="AY454" s="195" t="str">
        <f aca="false">IF($A455="","",AN454*$E454)</f>
        <v/>
      </c>
      <c r="BA454" s="195" t="str">
        <f aca="false">IF($A455="","",F454*Summary!$Q$8)</f>
        <v/>
      </c>
    </row>
    <row r="455" customFormat="false" ht="12.75" hidden="false" customHeight="false" outlineLevel="0" collapsed="false">
      <c r="A455" s="196" t="str">
        <f aca="false">IF(A454&lt;mthend,EDATE(A454,1),"")</f>
        <v/>
      </c>
      <c r="B455" s="197" t="n">
        <f aca="false">IF(A455&lt;mthend,B454,0)</f>
        <v>0</v>
      </c>
      <c r="D455" s="197" t="str">
        <f aca="false">IF(A456&lt;&gt;"",B455+C455,"")</f>
        <v/>
      </c>
      <c r="E455" s="199" t="str">
        <f aca="false">IF(A456="","",IF(AND(AT455=1,$H$3=1),D455*AO455,IF($H$3=2,D455,"N/A")))</f>
        <v/>
      </c>
      <c r="F455" s="199" t="str">
        <f aca="false">IF(A456="","",E455*AS455)</f>
        <v/>
      </c>
      <c r="G455" s="200" t="str">
        <f aca="false">IF($A456="","",VLOOKUP($A455,Table,MATCH(G$4,Curves,0)))</f>
        <v/>
      </c>
      <c r="H455" s="201" t="str">
        <f aca="false">IF(A456="","",G455)</f>
        <v/>
      </c>
      <c r="J455" s="200" t="str">
        <f aca="false">IF($A456="","",VLOOKUP($A455,Table,MATCH(J$4,Curves,0)))</f>
        <v/>
      </c>
      <c r="K455" s="201" t="str">
        <f aca="false">IF(A456="","",J455)</f>
        <v/>
      </c>
      <c r="L455" s="200" t="str">
        <f aca="false">IF($A456="","",VLOOKUP($A455,Table,MATCH(L$4,Curves,0)))</f>
        <v/>
      </c>
      <c r="M455" s="201" t="str">
        <f aca="false">IF(A456="","",L455)</f>
        <v/>
      </c>
      <c r="O455" s="200" t="str">
        <f aca="false">IF(A456="","",L455+J455+G455)</f>
        <v/>
      </c>
      <c r="P455" s="200" t="str">
        <f aca="false">IF(A456="","",M455+K455+H455)</f>
        <v/>
      </c>
      <c r="R455" s="200" t="str">
        <f aca="false">IF($A456="","",VLOOKUP($A455,Table,MATCH(R$4,Curves,0)))</f>
        <v/>
      </c>
      <c r="S455" s="201" t="str">
        <f aca="false">IF(A456="","",R455)</f>
        <v/>
      </c>
      <c r="T455" s="200" t="str">
        <f aca="false">IF($A456="","",VLOOKUP($A455,Table,MATCH(T$4,Curves,0)))</f>
        <v/>
      </c>
      <c r="U455" s="201" t="str">
        <f aca="false">IF(A456="","",T455)</f>
        <v/>
      </c>
      <c r="V455" s="183" t="str">
        <f aca="false">IF($A456="","",IF(AND(MONTH(A455)&gt;3,MONTH(A455)&lt;11),(T455+R455+G455)*Summary!$T$8/(1-Summary!$T$8),(T455+R455+G455)*Summary!$U$8/(1-Summary!$U$8)))</f>
        <v/>
      </c>
      <c r="W455" s="200" t="str">
        <f aca="false">IF($A456="","",(T455+R455+G455+V455))</f>
        <v/>
      </c>
      <c r="X455" s="200" t="str">
        <f aca="false">IF($A456="","",(U455+S455+H455+V455))</f>
        <v/>
      </c>
      <c r="Y455" s="202"/>
      <c r="Z455" s="185"/>
      <c r="AJ455" s="77"/>
      <c r="AK455" s="77"/>
      <c r="AL455" s="77"/>
      <c r="AM455" s="77"/>
      <c r="AN455" s="77"/>
      <c r="AO455" s="137" t="str">
        <f aca="false">IF(A456="","",A456-A455)</f>
        <v/>
      </c>
      <c r="AP455" s="212" t="str">
        <f aca="false">IF(A456="","",CHOOSE(F$3,A456+24,A455))</f>
        <v/>
      </c>
      <c r="AQ455" s="209" t="str">
        <f aca="false">IF(A456="","",AP455-$E$1)</f>
        <v/>
      </c>
      <c r="AR455" s="185" t="n">
        <f aca="false">'ANR OK vs ML7'!AR455</f>
        <v>0.1</v>
      </c>
      <c r="AS455" s="213" t="str">
        <f aca="false">IF(A456="","",1/(1+CHOOSE(F$3,(AR456+($I$3/10000))/2,(AR455+($I$3/10000))/2))^(2*AQ455/365.25))</f>
        <v/>
      </c>
      <c r="AT455" s="137" t="str">
        <f aca="false">IF(A456="","",IF(AND(mthbeg&lt;=A455,mthend&gt;=A455),1,0))</f>
        <v/>
      </c>
      <c r="AU455" s="137" t="str">
        <f aca="false">IF(A456="","",AO455*AT455)</f>
        <v/>
      </c>
      <c r="AW455" s="195" t="str">
        <f aca="false">IF($A456="","",AL455*$E455)</f>
        <v/>
      </c>
      <c r="AX455" s="195" t="str">
        <f aca="false">IF($A456="","",AM455*$E455)</f>
        <v/>
      </c>
      <c r="AY455" s="195" t="str">
        <f aca="false">IF($A456="","",AN455*$E455)</f>
        <v/>
      </c>
      <c r="BA455" s="195" t="str">
        <f aca="false">IF($A456="","",F455*Summary!$Q$8)</f>
        <v/>
      </c>
    </row>
    <row r="456" customFormat="false" ht="12.75" hidden="false" customHeight="false" outlineLevel="0" collapsed="false">
      <c r="A456" s="196" t="str">
        <f aca="false">IF(A455&lt;mthend,EDATE(A455,1),"")</f>
        <v/>
      </c>
      <c r="B456" s="197" t="n">
        <f aca="false">IF(A456&lt;mthend,B455,0)</f>
        <v>0</v>
      </c>
      <c r="D456" s="197" t="str">
        <f aca="false">IF(A457&lt;&gt;"",B456+C456,"")</f>
        <v/>
      </c>
      <c r="E456" s="199" t="str">
        <f aca="false">IF(A457="","",IF(AND(AT456=1,$H$3=1),D456*AO456,IF($H$3=2,D456,"N/A")))</f>
        <v/>
      </c>
      <c r="F456" s="199" t="str">
        <f aca="false">IF(A457="","",E456*AS456)</f>
        <v/>
      </c>
      <c r="G456" s="200" t="str">
        <f aca="false">IF($A457="","",VLOOKUP($A456,Table,MATCH(G$4,Curves,0)))</f>
        <v/>
      </c>
      <c r="H456" s="201" t="str">
        <f aca="false">IF(A457="","",G456)</f>
        <v/>
      </c>
      <c r="J456" s="200" t="str">
        <f aca="false">IF($A457="","",VLOOKUP($A456,Table,MATCH(J$4,Curves,0)))</f>
        <v/>
      </c>
      <c r="K456" s="201" t="str">
        <f aca="false">IF(A457="","",J456)</f>
        <v/>
      </c>
      <c r="L456" s="200" t="str">
        <f aca="false">IF($A457="","",VLOOKUP($A456,Table,MATCH(L$4,Curves,0)))</f>
        <v/>
      </c>
      <c r="M456" s="201" t="str">
        <f aca="false">IF(A457="","",L456)</f>
        <v/>
      </c>
      <c r="O456" s="200" t="str">
        <f aca="false">IF(A457="","",L456+J456+G456)</f>
        <v/>
      </c>
      <c r="P456" s="200" t="str">
        <f aca="false">IF(A457="","",M456+K456+H456)</f>
        <v/>
      </c>
      <c r="R456" s="200" t="str">
        <f aca="false">IF($A457="","",VLOOKUP($A456,Table,MATCH(R$4,Curves,0)))</f>
        <v/>
      </c>
      <c r="S456" s="201" t="str">
        <f aca="false">IF(A457="","",R456)</f>
        <v/>
      </c>
      <c r="T456" s="200" t="str">
        <f aca="false">IF($A457="","",VLOOKUP($A456,Table,MATCH(T$4,Curves,0)))</f>
        <v/>
      </c>
      <c r="U456" s="201" t="str">
        <f aca="false">IF(A457="","",T456)</f>
        <v/>
      </c>
      <c r="V456" s="183" t="str">
        <f aca="false">IF($A457="","",IF(AND(MONTH(A456)&gt;3,MONTH(A456)&lt;11),(T456+R456+G456)*Summary!$T$8/(1-Summary!$T$8),(T456+R456+G456)*Summary!$U$8/(1-Summary!$U$8)))</f>
        <v/>
      </c>
      <c r="W456" s="200" t="str">
        <f aca="false">IF($A457="","",(T456+R456+G456+V456))</f>
        <v/>
      </c>
      <c r="X456" s="200" t="str">
        <f aca="false">IF($A457="","",(U456+S456+H456+V456))</f>
        <v/>
      </c>
      <c r="Y456" s="202"/>
      <c r="Z456" s="185"/>
      <c r="AJ456" s="77"/>
      <c r="AK456" s="77"/>
      <c r="AL456" s="77"/>
      <c r="AM456" s="77"/>
      <c r="AN456" s="77"/>
      <c r="AO456" s="137" t="str">
        <f aca="false">IF(A457="","",A457-A456)</f>
        <v/>
      </c>
      <c r="AP456" s="212" t="str">
        <f aca="false">IF(A457="","",CHOOSE(F$3,A457+24,A456))</f>
        <v/>
      </c>
      <c r="AQ456" s="209" t="str">
        <f aca="false">IF(A457="","",AP456-$E$1)</f>
        <v/>
      </c>
      <c r="AR456" s="185" t="n">
        <f aca="false">'ANR OK vs ML7'!AR456</f>
        <v>0.1</v>
      </c>
      <c r="AS456" s="213" t="str">
        <f aca="false">IF(A457="","",1/(1+CHOOSE(F$3,(AR457+($I$3/10000))/2,(AR456+($I$3/10000))/2))^(2*AQ456/365.25))</f>
        <v/>
      </c>
      <c r="AT456" s="137" t="str">
        <f aca="false">IF(A457="","",IF(AND(mthbeg&lt;=A456,mthend&gt;=A456),1,0))</f>
        <v/>
      </c>
      <c r="AU456" s="137" t="str">
        <f aca="false">IF(A457="","",AO456*AT456)</f>
        <v/>
      </c>
      <c r="AW456" s="195" t="str">
        <f aca="false">IF($A457="","",AL456*$E456)</f>
        <v/>
      </c>
      <c r="AX456" s="195" t="str">
        <f aca="false">IF($A457="","",AM456*$E456)</f>
        <v/>
      </c>
      <c r="AY456" s="195" t="str">
        <f aca="false">IF($A457="","",AN456*$E456)</f>
        <v/>
      </c>
      <c r="BA456" s="195" t="str">
        <f aca="false">IF($A457="","",F456*Summary!$Q$8)</f>
        <v/>
      </c>
    </row>
    <row r="457" customFormat="false" ht="12.75" hidden="false" customHeight="false" outlineLevel="0" collapsed="false">
      <c r="A457" s="196" t="str">
        <f aca="false">IF(A456&lt;mthend,EDATE(A456,1),"")</f>
        <v/>
      </c>
      <c r="B457" s="197" t="n">
        <f aca="false">IF(A457&lt;mthend,B456,0)</f>
        <v>0</v>
      </c>
      <c r="D457" s="197" t="str">
        <f aca="false">IF(A458&lt;&gt;"",B457+C457,"")</f>
        <v/>
      </c>
      <c r="E457" s="199" t="str">
        <f aca="false">IF(A458="","",IF(AND(AT457=1,$H$3=1),D457*AO457,IF($H$3=2,D457,"N/A")))</f>
        <v/>
      </c>
      <c r="F457" s="199" t="str">
        <f aca="false">IF(A458="","",E457*AS457)</f>
        <v/>
      </c>
      <c r="G457" s="200" t="str">
        <f aca="false">IF($A458="","",VLOOKUP($A457,Table,MATCH(G$4,Curves,0)))</f>
        <v/>
      </c>
      <c r="H457" s="201" t="str">
        <f aca="false">IF(A458="","",G457)</f>
        <v/>
      </c>
      <c r="J457" s="200" t="str">
        <f aca="false">IF($A458="","",VLOOKUP($A457,Table,MATCH(J$4,Curves,0)))</f>
        <v/>
      </c>
      <c r="K457" s="201" t="str">
        <f aca="false">IF(A458="","",J457)</f>
        <v/>
      </c>
      <c r="L457" s="200" t="str">
        <f aca="false">IF($A458="","",VLOOKUP($A457,Table,MATCH(L$4,Curves,0)))</f>
        <v/>
      </c>
      <c r="M457" s="201" t="str">
        <f aca="false">IF(A458="","",L457)</f>
        <v/>
      </c>
      <c r="O457" s="200" t="str">
        <f aca="false">IF(A458="","",L457+J457+G457)</f>
        <v/>
      </c>
      <c r="P457" s="200" t="str">
        <f aca="false">IF(A458="","",M457+K457+H457)</f>
        <v/>
      </c>
      <c r="R457" s="200" t="str">
        <f aca="false">IF($A458="","",VLOOKUP($A457,Table,MATCH(R$4,Curves,0)))</f>
        <v/>
      </c>
      <c r="S457" s="201" t="str">
        <f aca="false">IF(A458="","",R457)</f>
        <v/>
      </c>
      <c r="T457" s="200" t="str">
        <f aca="false">IF($A458="","",VLOOKUP($A457,Table,MATCH(T$4,Curves,0)))</f>
        <v/>
      </c>
      <c r="U457" s="201" t="str">
        <f aca="false">IF(A458="","",T457)</f>
        <v/>
      </c>
      <c r="V457" s="183" t="str">
        <f aca="false">IF($A458="","",IF(AND(MONTH(A457)&gt;3,MONTH(A457)&lt;11),(T457+R457+G457)*Summary!$T$8/(1-Summary!$T$8),(T457+R457+G457)*Summary!$U$8/(1-Summary!$U$8)))</f>
        <v/>
      </c>
      <c r="W457" s="200" t="str">
        <f aca="false">IF($A458="","",(T457+R457+G457+V457))</f>
        <v/>
      </c>
      <c r="X457" s="200" t="str">
        <f aca="false">IF($A458="","",(U457+S457+H457+V457))</f>
        <v/>
      </c>
      <c r="Y457" s="202"/>
      <c r="Z457" s="185"/>
      <c r="AJ457" s="77"/>
      <c r="AK457" s="77"/>
      <c r="AL457" s="77"/>
      <c r="AM457" s="77"/>
      <c r="AN457" s="77"/>
      <c r="AO457" s="137" t="str">
        <f aca="false">IF(A458="","",A458-A457)</f>
        <v/>
      </c>
      <c r="AP457" s="212" t="str">
        <f aca="false">IF(A458="","",CHOOSE(F$3,A458+24,A457))</f>
        <v/>
      </c>
      <c r="AQ457" s="209" t="str">
        <f aca="false">IF(A458="","",AP457-$E$1)</f>
        <v/>
      </c>
      <c r="AR457" s="185" t="n">
        <f aca="false">'ANR OK vs ML7'!AR457</f>
        <v>0.1</v>
      </c>
      <c r="AS457" s="213" t="str">
        <f aca="false">IF(A458="","",1/(1+CHOOSE(F$3,(AR458+($I$3/10000))/2,(AR457+($I$3/10000))/2))^(2*AQ457/365.25))</f>
        <v/>
      </c>
      <c r="AT457" s="137" t="str">
        <f aca="false">IF(A458="","",IF(AND(mthbeg&lt;=A457,mthend&gt;=A457),1,0))</f>
        <v/>
      </c>
      <c r="AU457" s="137" t="str">
        <f aca="false">IF(A458="","",AO457*AT457)</f>
        <v/>
      </c>
      <c r="AW457" s="195" t="str">
        <f aca="false">IF($A458="","",AL457*$E457)</f>
        <v/>
      </c>
      <c r="AX457" s="195" t="str">
        <f aca="false">IF($A458="","",AM457*$E457)</f>
        <v/>
      </c>
      <c r="AY457" s="195" t="str">
        <f aca="false">IF($A458="","",AN457*$E457)</f>
        <v/>
      </c>
      <c r="BA457" s="195" t="str">
        <f aca="false">IF($A458="","",F457*Summary!$Q$8)</f>
        <v/>
      </c>
    </row>
    <row r="458" customFormat="false" ht="12.75" hidden="false" customHeight="false" outlineLevel="0" collapsed="false">
      <c r="A458" s="196" t="str">
        <f aca="false">IF(A457&lt;mthend,EDATE(A457,1),"")</f>
        <v/>
      </c>
      <c r="B458" s="197" t="n">
        <f aca="false">IF(A458&lt;mthend,B457,0)</f>
        <v>0</v>
      </c>
      <c r="D458" s="197" t="str">
        <f aca="false">IF(A459&lt;&gt;"",B458+C458,"")</f>
        <v/>
      </c>
      <c r="E458" s="199" t="str">
        <f aca="false">IF(A459="","",IF(AND(AT458=1,$H$3=1),D458*AO458,IF($H$3=2,D458,"N/A")))</f>
        <v/>
      </c>
      <c r="F458" s="199" t="str">
        <f aca="false">IF(A459="","",E458*AS458)</f>
        <v/>
      </c>
      <c r="G458" s="200" t="str">
        <f aca="false">IF($A459="","",VLOOKUP($A458,Table,MATCH(G$4,Curves,0)))</f>
        <v/>
      </c>
      <c r="H458" s="201" t="str">
        <f aca="false">IF(A459="","",G458)</f>
        <v/>
      </c>
      <c r="J458" s="200" t="str">
        <f aca="false">IF($A459="","",VLOOKUP($A458,Table,MATCH(J$4,Curves,0)))</f>
        <v/>
      </c>
      <c r="K458" s="201" t="str">
        <f aca="false">IF(A459="","",J458)</f>
        <v/>
      </c>
      <c r="L458" s="200" t="str">
        <f aca="false">IF($A459="","",VLOOKUP($A458,Table,MATCH(L$4,Curves,0)))</f>
        <v/>
      </c>
      <c r="M458" s="201" t="str">
        <f aca="false">IF(A459="","",L458)</f>
        <v/>
      </c>
      <c r="O458" s="200" t="str">
        <f aca="false">IF(A459="","",L458+J458+G458)</f>
        <v/>
      </c>
      <c r="P458" s="200" t="str">
        <f aca="false">IF(A459="","",M458+K458+H458)</f>
        <v/>
      </c>
      <c r="R458" s="200" t="str">
        <f aca="false">IF($A459="","",VLOOKUP($A458,Table,MATCH(R$4,Curves,0)))</f>
        <v/>
      </c>
      <c r="S458" s="201" t="str">
        <f aca="false">IF(A459="","",R458)</f>
        <v/>
      </c>
      <c r="T458" s="200" t="str">
        <f aca="false">IF($A459="","",VLOOKUP($A458,Table,MATCH(T$4,Curves,0)))</f>
        <v/>
      </c>
      <c r="U458" s="201" t="str">
        <f aca="false">IF(A459="","",T458)</f>
        <v/>
      </c>
      <c r="V458" s="183" t="str">
        <f aca="false">IF($A459="","",IF(AND(MONTH(A458)&gt;3,MONTH(A458)&lt;11),(T458+R458+G458)*Summary!$T$8/(1-Summary!$T$8),(T458+R458+G458)*Summary!$U$8/(1-Summary!$U$8)))</f>
        <v/>
      </c>
      <c r="W458" s="200" t="str">
        <f aca="false">IF($A459="","",(T458+R458+G458+V458))</f>
        <v/>
      </c>
      <c r="X458" s="200" t="str">
        <f aca="false">IF($A459="","",(U458+S458+H458+V458))</f>
        <v/>
      </c>
      <c r="Y458" s="202"/>
      <c r="Z458" s="185"/>
      <c r="AJ458" s="77"/>
      <c r="AK458" s="77"/>
      <c r="AL458" s="77"/>
      <c r="AM458" s="77"/>
      <c r="AN458" s="77"/>
      <c r="AO458" s="137" t="str">
        <f aca="false">IF(A459="","",A459-A458)</f>
        <v/>
      </c>
      <c r="AP458" s="212" t="str">
        <f aca="false">IF(A459="","",CHOOSE(F$3,A459+24,A458))</f>
        <v/>
      </c>
      <c r="AQ458" s="209" t="str">
        <f aca="false">IF(A459="","",AP458-$E$1)</f>
        <v/>
      </c>
      <c r="AR458" s="185" t="n">
        <f aca="false">'ANR OK vs ML7'!AR458</f>
        <v>0.1</v>
      </c>
      <c r="AS458" s="213" t="str">
        <f aca="false">IF(A459="","",1/(1+CHOOSE(F$3,(AR459+($I$3/10000))/2,(AR458+($I$3/10000))/2))^(2*AQ458/365.25))</f>
        <v/>
      </c>
      <c r="AT458" s="137" t="str">
        <f aca="false">IF(A459="","",IF(AND(mthbeg&lt;=A458,mthend&gt;=A458),1,0))</f>
        <v/>
      </c>
      <c r="AU458" s="137" t="str">
        <f aca="false">IF(A459="","",AO458*AT458)</f>
        <v/>
      </c>
      <c r="AW458" s="195" t="str">
        <f aca="false">IF($A459="","",AL458*$E458)</f>
        <v/>
      </c>
      <c r="AX458" s="195" t="str">
        <f aca="false">IF($A459="","",AM458*$E458)</f>
        <v/>
      </c>
      <c r="AY458" s="195" t="str">
        <f aca="false">IF($A459="","",AN458*$E458)</f>
        <v/>
      </c>
      <c r="BA458" s="195" t="str">
        <f aca="false">IF($A459="","",F458*Summary!$Q$8)</f>
        <v/>
      </c>
    </row>
    <row r="459" customFormat="false" ht="12.75" hidden="false" customHeight="false" outlineLevel="0" collapsed="false">
      <c r="A459" s="196" t="str">
        <f aca="false">IF(A458&lt;mthend,EDATE(A458,1),"")</f>
        <v/>
      </c>
      <c r="B459" s="197" t="n">
        <f aca="false">IF(A459&lt;mthend,B458,0)</f>
        <v>0</v>
      </c>
      <c r="D459" s="197" t="str">
        <f aca="false">IF(A460&lt;&gt;"",B459+C459,"")</f>
        <v/>
      </c>
      <c r="E459" s="199" t="str">
        <f aca="false">IF(A460="","",IF(AND(AT459=1,$H$3=1),D459*AO459,IF($H$3=2,D459,"N/A")))</f>
        <v/>
      </c>
      <c r="F459" s="199" t="str">
        <f aca="false">IF(A460="","",E459*AS459)</f>
        <v/>
      </c>
      <c r="G459" s="200" t="str">
        <f aca="false">IF($A460="","",VLOOKUP($A459,Table,MATCH(G$4,Curves,0)))</f>
        <v/>
      </c>
      <c r="H459" s="201" t="str">
        <f aca="false">IF(A460="","",G459)</f>
        <v/>
      </c>
      <c r="J459" s="200" t="str">
        <f aca="false">IF($A460="","",VLOOKUP($A459,Table,MATCH(J$4,Curves,0)))</f>
        <v/>
      </c>
      <c r="K459" s="201" t="str">
        <f aca="false">IF(A460="","",J459)</f>
        <v/>
      </c>
      <c r="L459" s="200" t="str">
        <f aca="false">IF($A460="","",VLOOKUP($A459,Table,MATCH(L$4,Curves,0)))</f>
        <v/>
      </c>
      <c r="M459" s="201" t="str">
        <f aca="false">IF(A460="","",L459)</f>
        <v/>
      </c>
      <c r="O459" s="200" t="str">
        <f aca="false">IF(A460="","",L459+J459+G459)</f>
        <v/>
      </c>
      <c r="P459" s="200" t="str">
        <f aca="false">IF(A460="","",M459+K459+H459)</f>
        <v/>
      </c>
      <c r="R459" s="200" t="str">
        <f aca="false">IF($A460="","",VLOOKUP($A459,Table,MATCH(R$4,Curves,0)))</f>
        <v/>
      </c>
      <c r="S459" s="201" t="str">
        <f aca="false">IF(A460="","",R459)</f>
        <v/>
      </c>
      <c r="T459" s="200" t="str">
        <f aca="false">IF($A460="","",VLOOKUP($A459,Table,MATCH(T$4,Curves,0)))</f>
        <v/>
      </c>
      <c r="U459" s="201" t="str">
        <f aca="false">IF(A460="","",T459)</f>
        <v/>
      </c>
      <c r="V459" s="183" t="str">
        <f aca="false">IF($A460="","",IF(AND(MONTH(A459)&gt;3,MONTH(A459)&lt;11),(T459+R459+G459)*Summary!$T$8/(1-Summary!$T$8),(T459+R459+G459)*Summary!$U$8/(1-Summary!$U$8)))</f>
        <v/>
      </c>
      <c r="W459" s="200" t="str">
        <f aca="false">IF($A460="","",(T459+R459+G459+V459))</f>
        <v/>
      </c>
      <c r="X459" s="200" t="str">
        <f aca="false">IF($A460="","",(U459+S459+H459+V459))</f>
        <v/>
      </c>
      <c r="Y459" s="202"/>
      <c r="Z459" s="185"/>
      <c r="AJ459" s="77"/>
      <c r="AK459" s="77"/>
      <c r="AL459" s="77"/>
      <c r="AM459" s="77"/>
      <c r="AN459" s="77"/>
      <c r="AO459" s="137" t="str">
        <f aca="false">IF(A460="","",A460-A459)</f>
        <v/>
      </c>
      <c r="AP459" s="212" t="str">
        <f aca="false">IF(A460="","",CHOOSE(F$3,A460+24,A459))</f>
        <v/>
      </c>
      <c r="AQ459" s="209" t="str">
        <f aca="false">IF(A460="","",AP459-$E$1)</f>
        <v/>
      </c>
      <c r="AR459" s="185" t="n">
        <f aca="false">'ANR OK vs ML7'!AR459</f>
        <v>0.1</v>
      </c>
      <c r="AS459" s="213" t="str">
        <f aca="false">IF(A460="","",1/(1+CHOOSE(F$3,(AR460+($I$3/10000))/2,(AR459+($I$3/10000))/2))^(2*AQ459/365.25))</f>
        <v/>
      </c>
      <c r="AT459" s="137" t="str">
        <f aca="false">IF(A460="","",IF(AND(mthbeg&lt;=A459,mthend&gt;=A459),1,0))</f>
        <v/>
      </c>
      <c r="AU459" s="137" t="str">
        <f aca="false">IF(A460="","",AO459*AT459)</f>
        <v/>
      </c>
      <c r="AW459" s="195" t="str">
        <f aca="false">IF($A460="","",AL459*$E459)</f>
        <v/>
      </c>
      <c r="AX459" s="195" t="str">
        <f aca="false">IF($A460="","",AM459*$E459)</f>
        <v/>
      </c>
      <c r="AY459" s="195" t="str">
        <f aca="false">IF($A460="","",AN459*$E459)</f>
        <v/>
      </c>
      <c r="BA459" s="195" t="str">
        <f aca="false">IF($A460="","",F459*Summary!$Q$8)</f>
        <v/>
      </c>
    </row>
    <row r="460" customFormat="false" ht="12.75" hidden="false" customHeight="false" outlineLevel="0" collapsed="false">
      <c r="A460" s="196" t="str">
        <f aca="false">IF(A459&lt;mthend,EDATE(A459,1),"")</f>
        <v/>
      </c>
      <c r="B460" s="197" t="n">
        <f aca="false">IF(A460&lt;mthend,B459,0)</f>
        <v>0</v>
      </c>
      <c r="D460" s="197" t="str">
        <f aca="false">IF(A461&lt;&gt;"",B460+C460,"")</f>
        <v/>
      </c>
      <c r="E460" s="199" t="str">
        <f aca="false">IF(A461="","",IF(AND(AT460=1,$H$3=1),D460*AO460,IF($H$3=2,D460,"N/A")))</f>
        <v/>
      </c>
      <c r="F460" s="199" t="str">
        <f aca="false">IF(A461="","",E460*AS460)</f>
        <v/>
      </c>
      <c r="G460" s="200" t="str">
        <f aca="false">IF($A461="","",VLOOKUP($A460,Table,MATCH(G$4,Curves,0)))</f>
        <v/>
      </c>
      <c r="H460" s="201" t="str">
        <f aca="false">IF(A461="","",G460)</f>
        <v/>
      </c>
      <c r="J460" s="200" t="str">
        <f aca="false">IF($A461="","",VLOOKUP($A460,Table,MATCH(J$4,Curves,0)))</f>
        <v/>
      </c>
      <c r="K460" s="201" t="str">
        <f aca="false">IF(A461="","",J460)</f>
        <v/>
      </c>
      <c r="L460" s="200" t="str">
        <f aca="false">IF($A461="","",VLOOKUP($A460,Table,MATCH(L$4,Curves,0)))</f>
        <v/>
      </c>
      <c r="M460" s="201" t="str">
        <f aca="false">IF(A461="","",L460)</f>
        <v/>
      </c>
      <c r="O460" s="200" t="str">
        <f aca="false">IF(A461="","",L460+J460+G460)</f>
        <v/>
      </c>
      <c r="P460" s="200" t="str">
        <f aca="false">IF(A461="","",M460+K460+H460)</f>
        <v/>
      </c>
      <c r="R460" s="200" t="str">
        <f aca="false">IF($A461="","",VLOOKUP($A460,Table,MATCH(R$4,Curves,0)))</f>
        <v/>
      </c>
      <c r="S460" s="201" t="str">
        <f aca="false">IF(A461="","",R460)</f>
        <v/>
      </c>
      <c r="T460" s="200" t="str">
        <f aca="false">IF($A461="","",VLOOKUP($A460,Table,MATCH(T$4,Curves,0)))</f>
        <v/>
      </c>
      <c r="U460" s="201" t="str">
        <f aca="false">IF(A461="","",T460)</f>
        <v/>
      </c>
      <c r="V460" s="183" t="str">
        <f aca="false">IF($A461="","",IF(AND(MONTH(A460)&gt;3,MONTH(A460)&lt;11),(T460+R460+G460)*Summary!$T$8/(1-Summary!$T$8),(T460+R460+G460)*Summary!$U$8/(1-Summary!$U$8)))</f>
        <v/>
      </c>
      <c r="W460" s="200" t="str">
        <f aca="false">IF($A461="","",(T460+R460+G460+V460))</f>
        <v/>
      </c>
      <c r="X460" s="200" t="str">
        <f aca="false">IF($A461="","",(U460+S460+H460+V460))</f>
        <v/>
      </c>
      <c r="Y460" s="202"/>
      <c r="Z460" s="185"/>
      <c r="AJ460" s="77"/>
      <c r="AK460" s="77"/>
      <c r="AL460" s="77"/>
      <c r="AM460" s="77"/>
      <c r="AN460" s="77"/>
      <c r="AO460" s="137" t="str">
        <f aca="false">IF(A461="","",A461-A460)</f>
        <v/>
      </c>
      <c r="AP460" s="212" t="str">
        <f aca="false">IF(A461="","",CHOOSE(F$3,A461+24,A460))</f>
        <v/>
      </c>
      <c r="AQ460" s="209" t="str">
        <f aca="false">IF(A461="","",AP460-$E$1)</f>
        <v/>
      </c>
      <c r="AR460" s="185" t="n">
        <f aca="false">'ANR OK vs ML7'!AR460</f>
        <v>0.1</v>
      </c>
      <c r="AS460" s="213" t="str">
        <f aca="false">IF(A461="","",1/(1+CHOOSE(F$3,(AR461+($I$3/10000))/2,(AR460+($I$3/10000))/2))^(2*AQ460/365.25))</f>
        <v/>
      </c>
      <c r="AT460" s="137" t="str">
        <f aca="false">IF(A461="","",IF(AND(mthbeg&lt;=A460,mthend&gt;=A460),1,0))</f>
        <v/>
      </c>
      <c r="AU460" s="137" t="str">
        <f aca="false">IF(A461="","",AO460*AT460)</f>
        <v/>
      </c>
      <c r="AW460" s="195" t="str">
        <f aca="false">IF($A461="","",AL460*$E460)</f>
        <v/>
      </c>
      <c r="AX460" s="195" t="str">
        <f aca="false">IF($A461="","",AM460*$E460)</f>
        <v/>
      </c>
      <c r="AY460" s="195" t="str">
        <f aca="false">IF($A461="","",AN460*$E460)</f>
        <v/>
      </c>
      <c r="BA460" s="195" t="str">
        <f aca="false">IF($A461="","",F460*Summary!$Q$8)</f>
        <v/>
      </c>
    </row>
    <row r="461" customFormat="false" ht="12.75" hidden="false" customHeight="false" outlineLevel="0" collapsed="false">
      <c r="A461" s="196" t="str">
        <f aca="false">IF(A460&lt;mthend,EDATE(A460,1),"")</f>
        <v/>
      </c>
      <c r="B461" s="197" t="n">
        <f aca="false">IF(A461&lt;mthend,B460,0)</f>
        <v>0</v>
      </c>
      <c r="D461" s="197" t="str">
        <f aca="false">IF(A462&lt;&gt;"",B461+C461,"")</f>
        <v/>
      </c>
      <c r="E461" s="199" t="str">
        <f aca="false">IF(A462="","",IF(AND(AT461=1,$H$3=1),D461*AO461,IF($H$3=2,D461,"N/A")))</f>
        <v/>
      </c>
      <c r="F461" s="199" t="str">
        <f aca="false">IF(A462="","",E461*AS461)</f>
        <v/>
      </c>
      <c r="G461" s="200" t="str">
        <f aca="false">IF($A462="","",VLOOKUP($A461,Table,MATCH(G$4,Curves,0)))</f>
        <v/>
      </c>
      <c r="H461" s="201" t="str">
        <f aca="false">IF(A462="","",G461)</f>
        <v/>
      </c>
      <c r="J461" s="200" t="str">
        <f aca="false">IF($A462="","",VLOOKUP($A461,Table,MATCH(J$4,Curves,0)))</f>
        <v/>
      </c>
      <c r="K461" s="201" t="str">
        <f aca="false">IF(A462="","",J461)</f>
        <v/>
      </c>
      <c r="L461" s="200" t="str">
        <f aca="false">IF($A462="","",VLOOKUP($A461,Table,MATCH(L$4,Curves,0)))</f>
        <v/>
      </c>
      <c r="M461" s="201" t="str">
        <f aca="false">IF(A462="","",L461)</f>
        <v/>
      </c>
      <c r="O461" s="200" t="str">
        <f aca="false">IF(A462="","",L461+J461+G461)</f>
        <v/>
      </c>
      <c r="P461" s="200" t="str">
        <f aca="false">IF(A462="","",M461+K461+H461)</f>
        <v/>
      </c>
      <c r="R461" s="200" t="str">
        <f aca="false">IF($A462="","",VLOOKUP($A461,Table,MATCH(R$4,Curves,0)))</f>
        <v/>
      </c>
      <c r="S461" s="201" t="str">
        <f aca="false">IF(A462="","",R461)</f>
        <v/>
      </c>
      <c r="T461" s="200" t="str">
        <f aca="false">IF($A462="","",VLOOKUP($A461,Table,MATCH(T$4,Curves,0)))</f>
        <v/>
      </c>
      <c r="U461" s="201" t="str">
        <f aca="false">IF(A462="","",T461)</f>
        <v/>
      </c>
      <c r="V461" s="183" t="str">
        <f aca="false">IF($A462="","",IF(AND(MONTH(A461)&gt;3,MONTH(A461)&lt;11),(T461+R461+G461)*Summary!$T$8/(1-Summary!$T$8),(T461+R461+G461)*Summary!$U$8/(1-Summary!$U$8)))</f>
        <v/>
      </c>
      <c r="W461" s="200" t="str">
        <f aca="false">IF($A462="","",(T461+R461+G461+V461))</f>
        <v/>
      </c>
      <c r="X461" s="200" t="str">
        <f aca="false">IF($A462="","",(U461+S461+H461+V461))</f>
        <v/>
      </c>
      <c r="Y461" s="202"/>
      <c r="Z461" s="185"/>
      <c r="AJ461" s="77"/>
      <c r="AK461" s="77"/>
      <c r="AL461" s="77"/>
      <c r="AM461" s="77"/>
      <c r="AN461" s="77"/>
      <c r="AO461" s="137" t="str">
        <f aca="false">IF(A462="","",A462-A461)</f>
        <v/>
      </c>
      <c r="AP461" s="212" t="str">
        <f aca="false">IF(A462="","",CHOOSE(F$3,A462+24,A461))</f>
        <v/>
      </c>
      <c r="AQ461" s="209" t="str">
        <f aca="false">IF(A462="","",AP461-$E$1)</f>
        <v/>
      </c>
      <c r="AR461" s="185" t="n">
        <f aca="false">'ANR OK vs ML7'!AR461</f>
        <v>0.1</v>
      </c>
      <c r="AS461" s="213" t="str">
        <f aca="false">IF(A462="","",1/(1+CHOOSE(F$3,(AR462+($I$3/10000))/2,(AR461+($I$3/10000))/2))^(2*AQ461/365.25))</f>
        <v/>
      </c>
      <c r="AT461" s="137" t="str">
        <f aca="false">IF(A462="","",IF(AND(mthbeg&lt;=A461,mthend&gt;=A461),1,0))</f>
        <v/>
      </c>
      <c r="AU461" s="137" t="str">
        <f aca="false">IF(A462="","",AO461*AT461)</f>
        <v/>
      </c>
      <c r="AW461" s="195" t="str">
        <f aca="false">IF($A462="","",AL461*$E461)</f>
        <v/>
      </c>
      <c r="AX461" s="195" t="str">
        <f aca="false">IF($A462="","",AM461*$E461)</f>
        <v/>
      </c>
      <c r="AY461" s="195" t="str">
        <f aca="false">IF($A462="","",AN461*$E461)</f>
        <v/>
      </c>
      <c r="BA461" s="195" t="str">
        <f aca="false">IF($A462="","",F461*Summary!$Q$8)</f>
        <v/>
      </c>
    </row>
    <row r="462" customFormat="false" ht="12.75" hidden="false" customHeight="false" outlineLevel="0" collapsed="false">
      <c r="A462" s="196" t="str">
        <f aca="false">IF(A461&lt;mthend,EDATE(A461,1),"")</f>
        <v/>
      </c>
      <c r="B462" s="197" t="n">
        <f aca="false">IF(A462&lt;mthend,B461,0)</f>
        <v>0</v>
      </c>
      <c r="D462" s="197" t="str">
        <f aca="false">IF(A463&lt;&gt;"",B462+C462,"")</f>
        <v/>
      </c>
      <c r="E462" s="199" t="str">
        <f aca="false">IF(A463="","",IF(AND(AT462=1,$H$3=1),D462*AO462,IF($H$3=2,D462,"N/A")))</f>
        <v/>
      </c>
      <c r="F462" s="199" t="str">
        <f aca="false">IF(A463="","",E462*AS462)</f>
        <v/>
      </c>
      <c r="G462" s="200" t="str">
        <f aca="false">IF($A463="","",VLOOKUP($A462,Table,MATCH(G$4,Curves,0)))</f>
        <v/>
      </c>
      <c r="H462" s="201" t="str">
        <f aca="false">IF(A463="","",G462)</f>
        <v/>
      </c>
      <c r="J462" s="200" t="str">
        <f aca="false">IF($A463="","",VLOOKUP($A462,Table,MATCH(J$4,Curves,0)))</f>
        <v/>
      </c>
      <c r="K462" s="201" t="str">
        <f aca="false">IF(A463="","",J462)</f>
        <v/>
      </c>
      <c r="L462" s="200" t="str">
        <f aca="false">IF($A463="","",VLOOKUP($A462,Table,MATCH(L$4,Curves,0)))</f>
        <v/>
      </c>
      <c r="M462" s="201" t="str">
        <f aca="false">IF(A463="","",L462)</f>
        <v/>
      </c>
      <c r="O462" s="200" t="str">
        <f aca="false">IF(A463="","",L462+J462+G462)</f>
        <v/>
      </c>
      <c r="P462" s="200" t="str">
        <f aca="false">IF(A463="","",M462+K462+H462)</f>
        <v/>
      </c>
      <c r="R462" s="200" t="str">
        <f aca="false">IF($A463="","",VLOOKUP($A462,Table,MATCH(R$4,Curves,0)))</f>
        <v/>
      </c>
      <c r="S462" s="201" t="str">
        <f aca="false">IF(A463="","",R462)</f>
        <v/>
      </c>
      <c r="T462" s="200" t="str">
        <f aca="false">IF($A463="","",VLOOKUP($A462,Table,MATCH(T$4,Curves,0)))</f>
        <v/>
      </c>
      <c r="U462" s="201" t="str">
        <f aca="false">IF(A463="","",T462)</f>
        <v/>
      </c>
      <c r="V462" s="183" t="str">
        <f aca="false">IF($A463="","",IF(AND(MONTH(A462)&gt;3,MONTH(A462)&lt;11),(T462+R462+G462)*Summary!$T$8/(1-Summary!$T$8),(T462+R462+G462)*Summary!$U$8/(1-Summary!$U$8)))</f>
        <v/>
      </c>
      <c r="W462" s="200" t="str">
        <f aca="false">IF($A463="","",(T462+R462+G462+V462))</f>
        <v/>
      </c>
      <c r="X462" s="200" t="str">
        <f aca="false">IF($A463="","",(U462+S462+H462+V462))</f>
        <v/>
      </c>
      <c r="Y462" s="202"/>
      <c r="Z462" s="185"/>
      <c r="AJ462" s="77"/>
      <c r="AK462" s="77"/>
      <c r="AL462" s="77"/>
      <c r="AM462" s="77"/>
      <c r="AN462" s="77"/>
      <c r="AO462" s="137" t="str">
        <f aca="false">IF(A463="","",A463-A462)</f>
        <v/>
      </c>
      <c r="AP462" s="212" t="str">
        <f aca="false">IF(A463="","",CHOOSE(F$3,A463+24,A462))</f>
        <v/>
      </c>
      <c r="AQ462" s="209" t="str">
        <f aca="false">IF(A463="","",AP462-$E$1)</f>
        <v/>
      </c>
      <c r="AR462" s="185" t="n">
        <f aca="false">'ANR OK vs ML7'!AR462</f>
        <v>0.1</v>
      </c>
      <c r="AS462" s="213" t="str">
        <f aca="false">IF(A463="","",1/(1+CHOOSE(F$3,(AR463+($I$3/10000))/2,(AR462+($I$3/10000))/2))^(2*AQ462/365.25))</f>
        <v/>
      </c>
      <c r="AT462" s="137" t="str">
        <f aca="false">IF(A463="","",IF(AND(mthbeg&lt;=A462,mthend&gt;=A462),1,0))</f>
        <v/>
      </c>
      <c r="AU462" s="137" t="str">
        <f aca="false">IF(A463="","",AO462*AT462)</f>
        <v/>
      </c>
      <c r="AW462" s="195" t="str">
        <f aca="false">IF($A463="","",AL462*$E462)</f>
        <v/>
      </c>
      <c r="AX462" s="195" t="str">
        <f aca="false">IF($A463="","",AM462*$E462)</f>
        <v/>
      </c>
      <c r="AY462" s="195" t="str">
        <f aca="false">IF($A463="","",AN462*$E462)</f>
        <v/>
      </c>
      <c r="BA462" s="195" t="str">
        <f aca="false">IF($A463="","",F462*Summary!$Q$8)</f>
        <v/>
      </c>
    </row>
    <row r="463" customFormat="false" ht="12.75" hidden="false" customHeight="false" outlineLevel="0" collapsed="false">
      <c r="A463" s="196" t="str">
        <f aca="false">IF(A462&lt;mthend,EDATE(A462,1),"")</f>
        <v/>
      </c>
      <c r="B463" s="197" t="n">
        <f aca="false">IF(A463&lt;mthend,B462,0)</f>
        <v>0</v>
      </c>
      <c r="D463" s="197" t="str">
        <f aca="false">IF(A464&lt;&gt;"",B463+C463,"")</f>
        <v/>
      </c>
      <c r="E463" s="199" t="str">
        <f aca="false">IF(A464="","",IF(AND(AT463=1,$H$3=1),D463*AO463,IF($H$3=2,D463,"N/A")))</f>
        <v/>
      </c>
      <c r="F463" s="199" t="str">
        <f aca="false">IF(A464="","",E463*AS463)</f>
        <v/>
      </c>
      <c r="G463" s="200" t="str">
        <f aca="false">IF($A464="","",VLOOKUP($A463,Table,MATCH(G$4,Curves,0)))</f>
        <v/>
      </c>
      <c r="H463" s="201" t="str">
        <f aca="false">IF(A464="","",G463)</f>
        <v/>
      </c>
      <c r="J463" s="200" t="str">
        <f aca="false">IF($A464="","",VLOOKUP($A463,Table,MATCH(J$4,Curves,0)))</f>
        <v/>
      </c>
      <c r="K463" s="201" t="str">
        <f aca="false">IF(A464="","",J463)</f>
        <v/>
      </c>
      <c r="L463" s="200" t="str">
        <f aca="false">IF($A464="","",VLOOKUP($A463,Table,MATCH(L$4,Curves,0)))</f>
        <v/>
      </c>
      <c r="M463" s="201" t="str">
        <f aca="false">IF(A464="","",L463)</f>
        <v/>
      </c>
      <c r="O463" s="200" t="str">
        <f aca="false">IF(A464="","",L463+J463+G463)</f>
        <v/>
      </c>
      <c r="P463" s="200" t="str">
        <f aca="false">IF(A464="","",M463+K463+H463)</f>
        <v/>
      </c>
      <c r="R463" s="200" t="str">
        <f aca="false">IF($A464="","",VLOOKUP($A463,Table,MATCH(R$4,Curves,0)))</f>
        <v/>
      </c>
      <c r="S463" s="201" t="str">
        <f aca="false">IF(A464="","",R463)</f>
        <v/>
      </c>
      <c r="T463" s="200" t="str">
        <f aca="false">IF($A464="","",VLOOKUP($A463,Table,MATCH(T$4,Curves,0)))</f>
        <v/>
      </c>
      <c r="U463" s="201" t="str">
        <f aca="false">IF(A464="","",T463)</f>
        <v/>
      </c>
      <c r="V463" s="183" t="str">
        <f aca="false">IF($A464="","",IF(AND(MONTH(A463)&gt;3,MONTH(A463)&lt;11),(T463+R463+G463)*Summary!$T$8/(1-Summary!$T$8),(T463+R463+G463)*Summary!$U$8/(1-Summary!$U$8)))</f>
        <v/>
      </c>
      <c r="W463" s="200" t="str">
        <f aca="false">IF($A464="","",(T463+R463+G463+V463))</f>
        <v/>
      </c>
      <c r="X463" s="200" t="str">
        <f aca="false">IF($A464="","",(U463+S463+H463+V463))</f>
        <v/>
      </c>
      <c r="Y463" s="202"/>
      <c r="Z463" s="185"/>
      <c r="AJ463" s="77"/>
      <c r="AK463" s="77"/>
      <c r="AL463" s="77"/>
      <c r="AM463" s="77"/>
      <c r="AN463" s="77"/>
      <c r="AO463" s="137" t="str">
        <f aca="false">IF(A464="","",A464-A463)</f>
        <v/>
      </c>
      <c r="AP463" s="212" t="str">
        <f aca="false">IF(A464="","",CHOOSE(F$3,A464+24,A463))</f>
        <v/>
      </c>
      <c r="AQ463" s="209" t="str">
        <f aca="false">IF(A464="","",AP463-$E$1)</f>
        <v/>
      </c>
      <c r="AR463" s="185" t="n">
        <f aca="false">'ANR OK vs ML7'!AR463</f>
        <v>0.1</v>
      </c>
      <c r="AS463" s="213" t="str">
        <f aca="false">IF(A464="","",1/(1+CHOOSE(F$3,(AR464+($I$3/10000))/2,(AR463+($I$3/10000))/2))^(2*AQ463/365.25))</f>
        <v/>
      </c>
      <c r="AT463" s="137" t="str">
        <f aca="false">IF(A464="","",IF(AND(mthbeg&lt;=A463,mthend&gt;=A463),1,0))</f>
        <v/>
      </c>
      <c r="AU463" s="137" t="str">
        <f aca="false">IF(A464="","",AO463*AT463)</f>
        <v/>
      </c>
      <c r="AW463" s="195" t="str">
        <f aca="false">IF($A464="","",AL463*$E463)</f>
        <v/>
      </c>
      <c r="AX463" s="195" t="str">
        <f aca="false">IF($A464="","",AM463*$E463)</f>
        <v/>
      </c>
      <c r="AY463" s="195" t="str">
        <f aca="false">IF($A464="","",AN463*$E463)</f>
        <v/>
      </c>
      <c r="BA463" s="195" t="str">
        <f aca="false">IF($A464="","",F463*Summary!$Q$8)</f>
        <v/>
      </c>
    </row>
    <row r="464" customFormat="false" ht="12.75" hidden="false" customHeight="false" outlineLevel="0" collapsed="false">
      <c r="A464" s="196" t="str">
        <f aca="false">IF(A463&lt;mthend,EDATE(A463,1),"")</f>
        <v/>
      </c>
      <c r="B464" s="197" t="n">
        <f aca="false">IF(A464&lt;mthend,B463,0)</f>
        <v>0</v>
      </c>
      <c r="D464" s="197" t="str">
        <f aca="false">IF(A465&lt;&gt;"",B464+C464,"")</f>
        <v/>
      </c>
      <c r="E464" s="199" t="str">
        <f aca="false">IF(A465="","",IF(AND(AT464=1,$H$3=1),D464*AO464,IF($H$3=2,D464,"N/A")))</f>
        <v/>
      </c>
      <c r="F464" s="199" t="str">
        <f aca="false">IF(A465="","",E464*AS464)</f>
        <v/>
      </c>
      <c r="G464" s="200" t="str">
        <f aca="false">IF($A465="","",VLOOKUP($A464,Table,MATCH(G$4,Curves,0)))</f>
        <v/>
      </c>
      <c r="H464" s="201" t="str">
        <f aca="false">IF(A465="","",G464)</f>
        <v/>
      </c>
      <c r="J464" s="200" t="str">
        <f aca="false">IF($A465="","",VLOOKUP($A464,Table,MATCH(J$4,Curves,0)))</f>
        <v/>
      </c>
      <c r="K464" s="201" t="str">
        <f aca="false">IF(A465="","",J464)</f>
        <v/>
      </c>
      <c r="L464" s="200" t="str">
        <f aca="false">IF($A465="","",VLOOKUP($A464,Table,MATCH(L$4,Curves,0)))</f>
        <v/>
      </c>
      <c r="M464" s="201" t="str">
        <f aca="false">IF(A465="","",L464)</f>
        <v/>
      </c>
      <c r="O464" s="200" t="str">
        <f aca="false">IF(A465="","",L464+J464+G464)</f>
        <v/>
      </c>
      <c r="P464" s="200" t="str">
        <f aca="false">IF(A465="","",M464+K464+H464)</f>
        <v/>
      </c>
      <c r="R464" s="200" t="str">
        <f aca="false">IF($A465="","",VLOOKUP($A464,Table,MATCH(R$4,Curves,0)))</f>
        <v/>
      </c>
      <c r="S464" s="201" t="str">
        <f aca="false">IF(A465="","",R464)</f>
        <v/>
      </c>
      <c r="T464" s="200" t="str">
        <f aca="false">IF($A465="","",VLOOKUP($A464,Table,MATCH(T$4,Curves,0)))</f>
        <v/>
      </c>
      <c r="U464" s="201" t="str">
        <f aca="false">IF(A465="","",T464)</f>
        <v/>
      </c>
      <c r="V464" s="183" t="str">
        <f aca="false">IF($A465="","",IF(AND(MONTH(A464)&gt;3,MONTH(A464)&lt;11),(T464+R464+G464)*Summary!$T$8/(1-Summary!$T$8),(T464+R464+G464)*Summary!$U$8/(1-Summary!$U$8)))</f>
        <v/>
      </c>
      <c r="W464" s="200" t="str">
        <f aca="false">IF($A465="","",(T464+R464+G464+V464))</f>
        <v/>
      </c>
      <c r="X464" s="200" t="str">
        <f aca="false">IF($A465="","",(U464+S464+H464+V464))</f>
        <v/>
      </c>
      <c r="Y464" s="202"/>
      <c r="Z464" s="185"/>
      <c r="AJ464" s="77"/>
      <c r="AK464" s="77"/>
      <c r="AL464" s="77"/>
      <c r="AM464" s="77"/>
      <c r="AN464" s="77"/>
      <c r="AO464" s="137" t="str">
        <f aca="false">IF(A465="","",A465-A464)</f>
        <v/>
      </c>
      <c r="AP464" s="212" t="str">
        <f aca="false">IF(A465="","",CHOOSE(F$3,A465+24,A464))</f>
        <v/>
      </c>
      <c r="AQ464" s="209" t="str">
        <f aca="false">IF(A465="","",AP464-$E$1)</f>
        <v/>
      </c>
      <c r="AR464" s="185" t="n">
        <f aca="false">'ANR OK vs ML7'!AR464</f>
        <v>0.1</v>
      </c>
      <c r="AS464" s="213" t="str">
        <f aca="false">IF(A465="","",1/(1+CHOOSE(F$3,(AR465+($I$3/10000))/2,(AR464+($I$3/10000))/2))^(2*AQ464/365.25))</f>
        <v/>
      </c>
      <c r="AT464" s="137" t="str">
        <f aca="false">IF(A465="","",IF(AND(mthbeg&lt;=A464,mthend&gt;=A464),1,0))</f>
        <v/>
      </c>
      <c r="AU464" s="137" t="str">
        <f aca="false">IF(A465="","",AO464*AT464)</f>
        <v/>
      </c>
      <c r="AW464" s="195" t="str">
        <f aca="false">IF($A465="","",AL464*$E464)</f>
        <v/>
      </c>
      <c r="AX464" s="195" t="str">
        <f aca="false">IF($A465="","",AM464*$E464)</f>
        <v/>
      </c>
      <c r="AY464" s="195" t="str">
        <f aca="false">IF($A465="","",AN464*$E464)</f>
        <v/>
      </c>
      <c r="BA464" s="195" t="str">
        <f aca="false">IF($A465="","",F464*Summary!$Q$8)</f>
        <v/>
      </c>
    </row>
    <row r="465" customFormat="false" ht="12.75" hidden="false" customHeight="false" outlineLevel="0" collapsed="false">
      <c r="A465" s="196" t="str">
        <f aca="false">IF(A464&lt;mthend,EDATE(A464,1),"")</f>
        <v/>
      </c>
      <c r="B465" s="197" t="n">
        <f aca="false">IF(A465&lt;mthend,B464,0)</f>
        <v>0</v>
      </c>
      <c r="D465" s="197" t="str">
        <f aca="false">IF(A466&lt;&gt;"",B465+C465,"")</f>
        <v/>
      </c>
      <c r="E465" s="199" t="str">
        <f aca="false">IF(A466="","",IF(AND(AT465=1,$H$3=1),D465*AO465,IF($H$3=2,D465,"N/A")))</f>
        <v/>
      </c>
      <c r="F465" s="199" t="str">
        <f aca="false">IF(A466="","",E465*AS465)</f>
        <v/>
      </c>
      <c r="G465" s="200" t="str">
        <f aca="false">IF($A466="","",VLOOKUP($A465,Table,MATCH(G$4,Curves,0)))</f>
        <v/>
      </c>
      <c r="H465" s="201" t="str">
        <f aca="false">IF(A466="","",G465)</f>
        <v/>
      </c>
      <c r="J465" s="200" t="str">
        <f aca="false">IF($A466="","",VLOOKUP($A465,Table,MATCH(J$4,Curves,0)))</f>
        <v/>
      </c>
      <c r="K465" s="201" t="str">
        <f aca="false">IF(A466="","",J465)</f>
        <v/>
      </c>
      <c r="L465" s="200" t="str">
        <f aca="false">IF($A466="","",VLOOKUP($A465,Table,MATCH(L$4,Curves,0)))</f>
        <v/>
      </c>
      <c r="M465" s="201" t="str">
        <f aca="false">IF(A466="","",L465)</f>
        <v/>
      </c>
      <c r="O465" s="200" t="str">
        <f aca="false">IF(A466="","",L465+J465+G465)</f>
        <v/>
      </c>
      <c r="P465" s="200" t="str">
        <f aca="false">IF(A466="","",M465+K465+H465)</f>
        <v/>
      </c>
      <c r="R465" s="200" t="str">
        <f aca="false">IF($A466="","",VLOOKUP($A465,Table,MATCH(R$4,Curves,0)))</f>
        <v/>
      </c>
      <c r="S465" s="201" t="str">
        <f aca="false">IF(A466="","",R465)</f>
        <v/>
      </c>
      <c r="T465" s="200" t="str">
        <f aca="false">IF($A466="","",VLOOKUP($A465,Table,MATCH(T$4,Curves,0)))</f>
        <v/>
      </c>
      <c r="U465" s="201" t="str">
        <f aca="false">IF(A466="","",T465)</f>
        <v/>
      </c>
      <c r="V465" s="183" t="str">
        <f aca="false">IF($A466="","",IF(AND(MONTH(A465)&gt;3,MONTH(A465)&lt;11),(T465+R465+G465)*Summary!$T$8/(1-Summary!$T$8),(T465+R465+G465)*Summary!$U$8/(1-Summary!$U$8)))</f>
        <v/>
      </c>
      <c r="W465" s="200" t="str">
        <f aca="false">IF($A466="","",(T465+R465+G465+V465))</f>
        <v/>
      </c>
      <c r="X465" s="200" t="str">
        <f aca="false">IF($A466="","",(U465+S465+H465+V465))</f>
        <v/>
      </c>
      <c r="Y465" s="202"/>
      <c r="Z465" s="185"/>
      <c r="AJ465" s="77"/>
      <c r="AK465" s="77"/>
      <c r="AL465" s="77"/>
      <c r="AM465" s="77"/>
      <c r="AN465" s="77"/>
      <c r="AO465" s="137" t="str">
        <f aca="false">IF(A466="","",A466-A465)</f>
        <v/>
      </c>
      <c r="AP465" s="212" t="str">
        <f aca="false">IF(A466="","",CHOOSE(F$3,A466+24,A465))</f>
        <v/>
      </c>
      <c r="AQ465" s="209" t="str">
        <f aca="false">IF(A466="","",AP465-$E$1)</f>
        <v/>
      </c>
      <c r="AR465" s="185" t="n">
        <f aca="false">'ANR OK vs ML7'!AR465</f>
        <v>0.1</v>
      </c>
      <c r="AS465" s="213" t="str">
        <f aca="false">IF(A466="","",1/(1+CHOOSE(F$3,(AR466+($I$3/10000))/2,(AR465+($I$3/10000))/2))^(2*AQ465/365.25))</f>
        <v/>
      </c>
      <c r="AT465" s="137" t="str">
        <f aca="false">IF(A466="","",IF(AND(mthbeg&lt;=A465,mthend&gt;=A465),1,0))</f>
        <v/>
      </c>
      <c r="AU465" s="137" t="str">
        <f aca="false">IF(A466="","",AO465*AT465)</f>
        <v/>
      </c>
      <c r="AW465" s="195" t="str">
        <f aca="false">IF($A466="","",AL465*$E465)</f>
        <v/>
      </c>
      <c r="AX465" s="195" t="str">
        <f aca="false">IF($A466="","",AM465*$E465)</f>
        <v/>
      </c>
      <c r="AY465" s="195" t="str">
        <f aca="false">IF($A466="","",AN465*$E465)</f>
        <v/>
      </c>
      <c r="BA465" s="195" t="str">
        <f aca="false">IF($A466="","",F465*Summary!$Q$8)</f>
        <v/>
      </c>
    </row>
    <row r="466" customFormat="false" ht="12.75" hidden="false" customHeight="false" outlineLevel="0" collapsed="false">
      <c r="A466" s="196" t="str">
        <f aca="false">IF(A465&lt;mthend,EDATE(A465,1),"")</f>
        <v/>
      </c>
      <c r="B466" s="197" t="n">
        <f aca="false">IF(A466&lt;mthend,B465,0)</f>
        <v>0</v>
      </c>
      <c r="D466" s="197" t="str">
        <f aca="false">IF(A467&lt;&gt;"",B466+C466,"")</f>
        <v/>
      </c>
      <c r="E466" s="199" t="str">
        <f aca="false">IF(A467="","",IF(AND(AT466=1,$H$3=1),D466*AO466,IF($H$3=2,D466,"N/A")))</f>
        <v/>
      </c>
      <c r="F466" s="199" t="str">
        <f aca="false">IF(A467="","",E466*AS466)</f>
        <v/>
      </c>
      <c r="G466" s="200" t="str">
        <f aca="false">IF($A467="","",VLOOKUP($A466,Table,MATCH(G$4,Curves,0)))</f>
        <v/>
      </c>
      <c r="H466" s="201" t="str">
        <f aca="false">IF(A467="","",G466)</f>
        <v/>
      </c>
      <c r="J466" s="200" t="str">
        <f aca="false">IF($A467="","",VLOOKUP($A466,Table,MATCH(J$4,Curves,0)))</f>
        <v/>
      </c>
      <c r="K466" s="201" t="str">
        <f aca="false">IF(A467="","",J466)</f>
        <v/>
      </c>
      <c r="L466" s="200" t="str">
        <f aca="false">IF($A467="","",VLOOKUP($A466,Table,MATCH(L$4,Curves,0)))</f>
        <v/>
      </c>
      <c r="M466" s="201" t="str">
        <f aca="false">IF(A467="","",L466)</f>
        <v/>
      </c>
      <c r="O466" s="200" t="str">
        <f aca="false">IF(A467="","",L466+J466+G466)</f>
        <v/>
      </c>
      <c r="P466" s="200" t="str">
        <f aca="false">IF(A467="","",M466+K466+H466)</f>
        <v/>
      </c>
      <c r="R466" s="200" t="str">
        <f aca="false">IF($A467="","",VLOOKUP($A466,Table,MATCH(R$4,Curves,0)))</f>
        <v/>
      </c>
      <c r="S466" s="201" t="str">
        <f aca="false">IF(A467="","",R466)</f>
        <v/>
      </c>
      <c r="T466" s="200" t="str">
        <f aca="false">IF($A467="","",VLOOKUP($A466,Table,MATCH(T$4,Curves,0)))</f>
        <v/>
      </c>
      <c r="U466" s="201" t="str">
        <f aca="false">IF(A467="","",T466)</f>
        <v/>
      </c>
      <c r="V466" s="183" t="str">
        <f aca="false">IF($A467="","",IF(AND(MONTH(A466)&gt;3,MONTH(A466)&lt;11),(T466+R466+G466)*Summary!$T$8/(1-Summary!$T$8),(T466+R466+G466)*Summary!$U$8/(1-Summary!$U$8)))</f>
        <v/>
      </c>
      <c r="W466" s="200" t="str">
        <f aca="false">IF($A467="","",(T466+R466+G466+V466))</f>
        <v/>
      </c>
      <c r="X466" s="200" t="str">
        <f aca="false">IF($A467="","",(U466+S466+H466+V466))</f>
        <v/>
      </c>
      <c r="Y466" s="202"/>
      <c r="Z466" s="185"/>
      <c r="AJ466" s="77"/>
      <c r="AK466" s="77"/>
      <c r="AL466" s="77"/>
      <c r="AM466" s="77"/>
      <c r="AN466" s="77"/>
      <c r="AO466" s="137" t="str">
        <f aca="false">IF(A467="","",A467-A466)</f>
        <v/>
      </c>
      <c r="AP466" s="212" t="str">
        <f aca="false">IF(A467="","",CHOOSE(F$3,A467+24,A466))</f>
        <v/>
      </c>
      <c r="AQ466" s="209" t="str">
        <f aca="false">IF(A467="","",AP466-$E$1)</f>
        <v/>
      </c>
      <c r="AR466" s="185" t="n">
        <f aca="false">'ANR OK vs ML7'!AR466</f>
        <v>0.1</v>
      </c>
      <c r="AS466" s="213" t="str">
        <f aca="false">IF(A467="","",1/(1+CHOOSE(F$3,(AR467+($I$3/10000))/2,(AR466+($I$3/10000))/2))^(2*AQ466/365.25))</f>
        <v/>
      </c>
      <c r="AT466" s="137" t="str">
        <f aca="false">IF(A467="","",IF(AND(mthbeg&lt;=A466,mthend&gt;=A466),1,0))</f>
        <v/>
      </c>
      <c r="AU466" s="137" t="str">
        <f aca="false">IF(A467="","",AO466*AT466)</f>
        <v/>
      </c>
      <c r="AW466" s="195" t="str">
        <f aca="false">IF($A467="","",AL466*$E466)</f>
        <v/>
      </c>
      <c r="AX466" s="195" t="str">
        <f aca="false">IF($A467="","",AM466*$E466)</f>
        <v/>
      </c>
      <c r="AY466" s="195" t="str">
        <f aca="false">IF($A467="","",AN466*$E466)</f>
        <v/>
      </c>
      <c r="BA466" s="195" t="str">
        <f aca="false">IF($A467="","",F466*Summary!$Q$8)</f>
        <v/>
      </c>
    </row>
    <row r="467" customFormat="false" ht="12.75" hidden="false" customHeight="false" outlineLevel="0" collapsed="false">
      <c r="A467" s="196" t="str">
        <f aca="false">IF(A466&lt;mthend,EDATE(A466,1),"")</f>
        <v/>
      </c>
      <c r="B467" s="197" t="n">
        <f aca="false">IF(A467&lt;mthend,B466,0)</f>
        <v>0</v>
      </c>
      <c r="D467" s="197" t="str">
        <f aca="false">IF(A468&lt;&gt;"",B467+C467,"")</f>
        <v/>
      </c>
      <c r="E467" s="199" t="str">
        <f aca="false">IF(A468="","",IF(AND(AT467=1,$H$3=1),D467*AO467,IF($H$3=2,D467,"N/A")))</f>
        <v/>
      </c>
      <c r="F467" s="199" t="str">
        <f aca="false">IF(A468="","",E467*AS467)</f>
        <v/>
      </c>
      <c r="G467" s="200" t="str">
        <f aca="false">IF($A468="","",VLOOKUP($A467,Table,MATCH(G$4,Curves,0)))</f>
        <v/>
      </c>
      <c r="H467" s="201" t="str">
        <f aca="false">IF(A468="","",G467)</f>
        <v/>
      </c>
      <c r="J467" s="200" t="str">
        <f aca="false">IF($A468="","",VLOOKUP($A467,Table,MATCH(J$4,Curves,0)))</f>
        <v/>
      </c>
      <c r="K467" s="201" t="str">
        <f aca="false">IF(A468="","",J467)</f>
        <v/>
      </c>
      <c r="L467" s="200" t="str">
        <f aca="false">IF($A468="","",VLOOKUP($A467,Table,MATCH(L$4,Curves,0)))</f>
        <v/>
      </c>
      <c r="M467" s="201" t="str">
        <f aca="false">IF(A468="","",L467)</f>
        <v/>
      </c>
      <c r="O467" s="200" t="str">
        <f aca="false">IF(A468="","",L467+J467+G467)</f>
        <v/>
      </c>
      <c r="P467" s="200" t="str">
        <f aca="false">IF(A468="","",M467+K467+H467)</f>
        <v/>
      </c>
      <c r="R467" s="200" t="str">
        <f aca="false">IF($A468="","",VLOOKUP($A467,Table,MATCH(R$4,Curves,0)))</f>
        <v/>
      </c>
      <c r="S467" s="201" t="str">
        <f aca="false">IF(A468="","",R467)</f>
        <v/>
      </c>
      <c r="T467" s="200" t="str">
        <f aca="false">IF($A468="","",VLOOKUP($A467,Table,MATCH(T$4,Curves,0)))</f>
        <v/>
      </c>
      <c r="U467" s="201" t="str">
        <f aca="false">IF(A468="","",T467)</f>
        <v/>
      </c>
      <c r="V467" s="183" t="str">
        <f aca="false">IF($A468="","",IF(AND(MONTH(A467)&gt;3,MONTH(A467)&lt;11),(T467+R467+G467)*Summary!$T$8/(1-Summary!$T$8),(T467+R467+G467)*Summary!$U$8/(1-Summary!$U$8)))</f>
        <v/>
      </c>
      <c r="W467" s="200" t="str">
        <f aca="false">IF($A468="","",(T467+R467+G467+V467))</f>
        <v/>
      </c>
      <c r="X467" s="200" t="str">
        <f aca="false">IF($A468="","",(U467+S467+H467+V467))</f>
        <v/>
      </c>
      <c r="Y467" s="202"/>
      <c r="Z467" s="185"/>
      <c r="AJ467" s="77"/>
      <c r="AK467" s="77"/>
      <c r="AL467" s="77"/>
      <c r="AM467" s="77"/>
      <c r="AN467" s="77"/>
      <c r="AO467" s="137" t="str">
        <f aca="false">IF(A468="","",A468-A467)</f>
        <v/>
      </c>
      <c r="AP467" s="212" t="str">
        <f aca="false">IF(A468="","",CHOOSE(F$3,A468+24,A467))</f>
        <v/>
      </c>
      <c r="AQ467" s="209" t="str">
        <f aca="false">IF(A468="","",AP467-$E$1)</f>
        <v/>
      </c>
      <c r="AR467" s="185" t="n">
        <f aca="false">'ANR OK vs ML7'!AR467</f>
        <v>0.1</v>
      </c>
      <c r="AS467" s="213" t="str">
        <f aca="false">IF(A468="","",1/(1+CHOOSE(F$3,(AR468+($I$3/10000))/2,(AR467+($I$3/10000))/2))^(2*AQ467/365.25))</f>
        <v/>
      </c>
      <c r="AT467" s="137" t="str">
        <f aca="false">IF(A468="","",IF(AND(mthbeg&lt;=A467,mthend&gt;=A467),1,0))</f>
        <v/>
      </c>
      <c r="AU467" s="137" t="str">
        <f aca="false">IF(A468="","",AO467*AT467)</f>
        <v/>
      </c>
      <c r="AW467" s="195" t="str">
        <f aca="false">IF($A468="","",AL467*$E467)</f>
        <v/>
      </c>
      <c r="AX467" s="195" t="str">
        <f aca="false">IF($A468="","",AM467*$E467)</f>
        <v/>
      </c>
      <c r="AY467" s="195" t="str">
        <f aca="false">IF($A468="","",AN467*$E467)</f>
        <v/>
      </c>
      <c r="BA467" s="195" t="str">
        <f aca="false">IF($A468="","",F467*Summary!$Q$8)</f>
        <v/>
      </c>
    </row>
    <row r="468" customFormat="false" ht="12.75" hidden="false" customHeight="false" outlineLevel="0" collapsed="false">
      <c r="A468" s="196" t="str">
        <f aca="false">IF(A467&lt;mthend,EDATE(A467,1),"")</f>
        <v/>
      </c>
      <c r="B468" s="197" t="n">
        <f aca="false">IF(A468&lt;mthend,B467,0)</f>
        <v>0</v>
      </c>
      <c r="D468" s="197" t="str">
        <f aca="false">IF(A469&lt;&gt;"",B468+C468,"")</f>
        <v/>
      </c>
      <c r="E468" s="199" t="str">
        <f aca="false">IF(A469="","",IF(AND(AT468=1,$H$3=1),D468*AO468,IF($H$3=2,D468,"N/A")))</f>
        <v/>
      </c>
      <c r="F468" s="199" t="str">
        <f aca="false">IF(A469="","",E468*AS468)</f>
        <v/>
      </c>
      <c r="G468" s="200" t="str">
        <f aca="false">IF($A469="","",VLOOKUP($A468,Table,MATCH(G$4,Curves,0)))</f>
        <v/>
      </c>
      <c r="H468" s="201" t="str">
        <f aca="false">IF(A469="","",G468)</f>
        <v/>
      </c>
      <c r="J468" s="200" t="str">
        <f aca="false">IF($A469="","",VLOOKUP($A468,Table,MATCH(J$4,Curves,0)))</f>
        <v/>
      </c>
      <c r="K468" s="201" t="str">
        <f aca="false">IF(A469="","",J468)</f>
        <v/>
      </c>
      <c r="L468" s="200" t="str">
        <f aca="false">IF($A469="","",VLOOKUP($A468,Table,MATCH(L$4,Curves,0)))</f>
        <v/>
      </c>
      <c r="M468" s="201" t="str">
        <f aca="false">IF(A469="","",L468)</f>
        <v/>
      </c>
      <c r="O468" s="200" t="str">
        <f aca="false">IF(A469="","",L468+J468+G468)</f>
        <v/>
      </c>
      <c r="P468" s="200" t="str">
        <f aca="false">IF(A469="","",M468+K468+H468)</f>
        <v/>
      </c>
      <c r="R468" s="200" t="str">
        <f aca="false">IF($A469="","",VLOOKUP($A468,Table,MATCH(R$4,Curves,0)))</f>
        <v/>
      </c>
      <c r="S468" s="201" t="str">
        <f aca="false">IF(A469="","",R468)</f>
        <v/>
      </c>
      <c r="T468" s="200" t="str">
        <f aca="false">IF($A469="","",VLOOKUP($A468,Table,MATCH(T$4,Curves,0)))</f>
        <v/>
      </c>
      <c r="U468" s="201" t="str">
        <f aca="false">IF(A469="","",T468)</f>
        <v/>
      </c>
      <c r="V468" s="183" t="str">
        <f aca="false">IF($A469="","",IF(AND(MONTH(A468)&gt;3,MONTH(A468)&lt;11),(T468+R468+G468)*Summary!$T$8/(1-Summary!$T$8),(T468+R468+G468)*Summary!$U$8/(1-Summary!$U$8)))</f>
        <v/>
      </c>
      <c r="W468" s="200" t="str">
        <f aca="false">IF($A469="","",(T468+R468+G468+V468))</f>
        <v/>
      </c>
      <c r="X468" s="200" t="str">
        <f aca="false">IF($A469="","",(U468+S468+H468+V468))</f>
        <v/>
      </c>
      <c r="Y468" s="202"/>
      <c r="Z468" s="185"/>
      <c r="AJ468" s="77"/>
      <c r="AK468" s="77"/>
      <c r="AL468" s="77"/>
      <c r="AM468" s="77"/>
      <c r="AN468" s="77"/>
      <c r="AO468" s="137" t="str">
        <f aca="false">IF(A469="","",A469-A468)</f>
        <v/>
      </c>
      <c r="AP468" s="212" t="str">
        <f aca="false">IF(A469="","",CHOOSE(F$3,A469+24,A468))</f>
        <v/>
      </c>
      <c r="AQ468" s="209" t="str">
        <f aca="false">IF(A469="","",AP468-$E$1)</f>
        <v/>
      </c>
      <c r="AR468" s="185" t="n">
        <f aca="false">'ANR OK vs ML7'!AR468</f>
        <v>0.1</v>
      </c>
      <c r="AS468" s="213" t="str">
        <f aca="false">IF(A469="","",1/(1+CHOOSE(F$3,(AR469+($I$3/10000))/2,(AR468+($I$3/10000))/2))^(2*AQ468/365.25))</f>
        <v/>
      </c>
      <c r="AT468" s="137" t="str">
        <f aca="false">IF(A469="","",IF(AND(mthbeg&lt;=A468,mthend&gt;=A468),1,0))</f>
        <v/>
      </c>
      <c r="AU468" s="137" t="str">
        <f aca="false">IF(A469="","",AO468*AT468)</f>
        <v/>
      </c>
      <c r="AW468" s="195" t="str">
        <f aca="false">IF($A469="","",AL468*$E468)</f>
        <v/>
      </c>
      <c r="AX468" s="195" t="str">
        <f aca="false">IF($A469="","",AM468*$E468)</f>
        <v/>
      </c>
      <c r="AY468" s="195" t="str">
        <f aca="false">IF($A469="","",AN468*$E468)</f>
        <v/>
      </c>
      <c r="BA468" s="195" t="str">
        <f aca="false">IF($A469="","",F468*Summary!$Q$8)</f>
        <v/>
      </c>
    </row>
    <row r="469" customFormat="false" ht="12.75" hidden="false" customHeight="false" outlineLevel="0" collapsed="false">
      <c r="A469" s="196" t="str">
        <f aca="false">IF(A468&lt;mthend,EDATE(A468,1),"")</f>
        <v/>
      </c>
      <c r="B469" s="197" t="n">
        <f aca="false">IF(A469&lt;mthend,B468,0)</f>
        <v>0</v>
      </c>
      <c r="D469" s="197" t="str">
        <f aca="false">IF(A470&lt;&gt;"",B469+C469,"")</f>
        <v/>
      </c>
      <c r="E469" s="199" t="str">
        <f aca="false">IF(A470="","",IF(AND(AT469=1,$H$3=1),D469*AO469,IF($H$3=2,D469,"N/A")))</f>
        <v/>
      </c>
      <c r="F469" s="199" t="str">
        <f aca="false">IF(A470="","",E469*AS469)</f>
        <v/>
      </c>
      <c r="G469" s="200" t="str">
        <f aca="false">IF($A470="","",VLOOKUP($A469,Table,MATCH(G$4,Curves,0)))</f>
        <v/>
      </c>
      <c r="H469" s="201" t="str">
        <f aca="false">IF(A470="","",G469)</f>
        <v/>
      </c>
      <c r="J469" s="200" t="str">
        <f aca="false">IF($A470="","",VLOOKUP($A469,Table,MATCH(J$4,Curves,0)))</f>
        <v/>
      </c>
      <c r="K469" s="201" t="str">
        <f aca="false">IF(A470="","",J469)</f>
        <v/>
      </c>
      <c r="L469" s="200" t="str">
        <f aca="false">IF($A470="","",VLOOKUP($A469,Table,MATCH(L$4,Curves,0)))</f>
        <v/>
      </c>
      <c r="M469" s="201" t="str">
        <f aca="false">IF(A470="","",L469)</f>
        <v/>
      </c>
      <c r="O469" s="200" t="str">
        <f aca="false">IF(A470="","",L469+J469+G469)</f>
        <v/>
      </c>
      <c r="P469" s="200" t="str">
        <f aca="false">IF(A470="","",M469+K469+H469)</f>
        <v/>
      </c>
      <c r="R469" s="200" t="str">
        <f aca="false">IF($A470="","",VLOOKUP($A469,Table,MATCH(R$4,Curves,0)))</f>
        <v/>
      </c>
      <c r="S469" s="201" t="str">
        <f aca="false">IF(A470="","",R469)</f>
        <v/>
      </c>
      <c r="T469" s="200" t="str">
        <f aca="false">IF($A470="","",VLOOKUP($A469,Table,MATCH(T$4,Curves,0)))</f>
        <v/>
      </c>
      <c r="U469" s="201" t="str">
        <f aca="false">IF(A470="","",T469)</f>
        <v/>
      </c>
      <c r="V469" s="183" t="str">
        <f aca="false">IF($A470="","",IF(AND(MONTH(A469)&gt;3,MONTH(A469)&lt;11),(T469+R469+G469)*Summary!$T$8/(1-Summary!$T$8),(T469+R469+G469)*Summary!$U$8/(1-Summary!$U$8)))</f>
        <v/>
      </c>
      <c r="W469" s="200" t="str">
        <f aca="false">IF($A470="","",(T469+R469+G469+V469))</f>
        <v/>
      </c>
      <c r="X469" s="200" t="str">
        <f aca="false">IF($A470="","",(U469+S469+H469+V469))</f>
        <v/>
      </c>
      <c r="Y469" s="202"/>
      <c r="Z469" s="185"/>
      <c r="AJ469" s="77"/>
      <c r="AK469" s="77"/>
      <c r="AL469" s="77"/>
      <c r="AM469" s="77"/>
      <c r="AN469" s="77"/>
      <c r="AO469" s="137" t="str">
        <f aca="false">IF(A470="","",A470-A469)</f>
        <v/>
      </c>
      <c r="AP469" s="212" t="str">
        <f aca="false">IF(A470="","",CHOOSE(F$3,A470+24,A469))</f>
        <v/>
      </c>
      <c r="AQ469" s="209" t="str">
        <f aca="false">IF(A470="","",AP469-$E$1)</f>
        <v/>
      </c>
      <c r="AR469" s="185" t="n">
        <f aca="false">'ANR OK vs ML7'!AR469</f>
        <v>0.1</v>
      </c>
      <c r="AS469" s="213" t="str">
        <f aca="false">IF(A470="","",1/(1+CHOOSE(F$3,(AR470+($I$3/10000))/2,(AR469+($I$3/10000))/2))^(2*AQ469/365.25))</f>
        <v/>
      </c>
      <c r="AT469" s="137" t="str">
        <f aca="false">IF(A470="","",IF(AND(mthbeg&lt;=A469,mthend&gt;=A469),1,0))</f>
        <v/>
      </c>
      <c r="AU469" s="137" t="str">
        <f aca="false">IF(A470="","",AO469*AT469)</f>
        <v/>
      </c>
      <c r="AW469" s="195" t="str">
        <f aca="false">IF($A470="","",AL469*$E469)</f>
        <v/>
      </c>
      <c r="AX469" s="195" t="str">
        <f aca="false">IF($A470="","",AM469*$E469)</f>
        <v/>
      </c>
      <c r="AY469" s="195" t="str">
        <f aca="false">IF($A470="","",AN469*$E469)</f>
        <v/>
      </c>
      <c r="BA469" s="195" t="str">
        <f aca="false">IF($A470="","",F469*Summary!$Q$8)</f>
        <v/>
      </c>
    </row>
    <row r="470" customFormat="false" ht="12.75" hidden="false" customHeight="false" outlineLevel="0" collapsed="false">
      <c r="A470" s="196" t="str">
        <f aca="false">IF(A469&lt;mthend,EDATE(A469,1),"")</f>
        <v/>
      </c>
      <c r="B470" s="197" t="n">
        <f aca="false">IF(A470&lt;mthend,B469,0)</f>
        <v>0</v>
      </c>
      <c r="D470" s="197" t="str">
        <f aca="false">IF(A471&lt;&gt;"",B470+C470,"")</f>
        <v/>
      </c>
      <c r="E470" s="199" t="str">
        <f aca="false">IF(A471="","",IF(AND(AT470=1,$H$3=1),D470*AO470,IF($H$3=2,D470,"N/A")))</f>
        <v/>
      </c>
      <c r="F470" s="199" t="str">
        <f aca="false">IF(A471="","",E470*AS470)</f>
        <v/>
      </c>
      <c r="G470" s="200" t="str">
        <f aca="false">IF($A471="","",VLOOKUP($A470,Table,MATCH(G$4,Curves,0)))</f>
        <v/>
      </c>
      <c r="H470" s="201" t="str">
        <f aca="false">IF(A471="","",G470)</f>
        <v/>
      </c>
      <c r="J470" s="200" t="str">
        <f aca="false">IF($A471="","",VLOOKUP($A470,Table,MATCH(J$4,Curves,0)))</f>
        <v/>
      </c>
      <c r="K470" s="201" t="str">
        <f aca="false">IF(A471="","",J470)</f>
        <v/>
      </c>
      <c r="L470" s="200" t="str">
        <f aca="false">IF($A471="","",VLOOKUP($A470,Table,MATCH(L$4,Curves,0)))</f>
        <v/>
      </c>
      <c r="M470" s="201" t="str">
        <f aca="false">IF(A471="","",L470)</f>
        <v/>
      </c>
      <c r="O470" s="200" t="str">
        <f aca="false">IF(A471="","",L470+J470+G470)</f>
        <v/>
      </c>
      <c r="P470" s="200" t="str">
        <f aca="false">IF(A471="","",M470+K470+H470)</f>
        <v/>
      </c>
      <c r="R470" s="200" t="str">
        <f aca="false">IF($A471="","",VLOOKUP($A470,Table,MATCH(R$4,Curves,0)))</f>
        <v/>
      </c>
      <c r="S470" s="201" t="str">
        <f aca="false">IF(A471="","",R470)</f>
        <v/>
      </c>
      <c r="T470" s="200" t="str">
        <f aca="false">IF($A471="","",VLOOKUP($A470,Table,MATCH(T$4,Curves,0)))</f>
        <v/>
      </c>
      <c r="U470" s="201" t="str">
        <f aca="false">IF(A471="","",T470)</f>
        <v/>
      </c>
      <c r="V470" s="183" t="str">
        <f aca="false">IF($A471="","",IF(AND(MONTH(A470)&gt;3,MONTH(A470)&lt;11),(T470+R470+G470)*Summary!$T$8/(1-Summary!$T$8),(T470+R470+G470)*Summary!$U$8/(1-Summary!$U$8)))</f>
        <v/>
      </c>
      <c r="W470" s="200" t="str">
        <f aca="false">IF($A471="","",(T470+R470+G470+V470))</f>
        <v/>
      </c>
      <c r="X470" s="200" t="str">
        <f aca="false">IF($A471="","",(U470+S470+H470+V470))</f>
        <v/>
      </c>
      <c r="Y470" s="202"/>
      <c r="Z470" s="185"/>
      <c r="AJ470" s="77"/>
      <c r="AK470" s="77"/>
      <c r="AL470" s="77"/>
      <c r="AM470" s="77"/>
      <c r="AN470" s="77"/>
      <c r="AO470" s="137" t="str">
        <f aca="false">IF(A471="","",A471-A470)</f>
        <v/>
      </c>
      <c r="AP470" s="212" t="str">
        <f aca="false">IF(A471="","",CHOOSE(F$3,A471+24,A470))</f>
        <v/>
      </c>
      <c r="AQ470" s="209" t="str">
        <f aca="false">IF(A471="","",AP470-$E$1)</f>
        <v/>
      </c>
      <c r="AR470" s="185" t="n">
        <f aca="false">'ANR OK vs ML7'!AR470</f>
        <v>0.1</v>
      </c>
      <c r="AS470" s="213" t="str">
        <f aca="false">IF(A471="","",1/(1+CHOOSE(F$3,(AR471+($I$3/10000))/2,(AR470+($I$3/10000))/2))^(2*AQ470/365.25))</f>
        <v/>
      </c>
      <c r="AT470" s="137" t="str">
        <f aca="false">IF(A471="","",IF(AND(mthbeg&lt;=A470,mthend&gt;=A470),1,0))</f>
        <v/>
      </c>
      <c r="AU470" s="137" t="str">
        <f aca="false">IF(A471="","",AO470*AT470)</f>
        <v/>
      </c>
      <c r="AW470" s="195" t="str">
        <f aca="false">IF($A471="","",AL470*$E470)</f>
        <v/>
      </c>
      <c r="AX470" s="195" t="str">
        <f aca="false">IF($A471="","",AM470*$E470)</f>
        <v/>
      </c>
      <c r="AY470" s="195" t="str">
        <f aca="false">IF($A471="","",AN470*$E470)</f>
        <v/>
      </c>
      <c r="BA470" s="195" t="str">
        <f aca="false">IF($A471="","",F470*Summary!$Q$8)</f>
        <v/>
      </c>
    </row>
    <row r="471" customFormat="false" ht="12.75" hidden="false" customHeight="false" outlineLevel="0" collapsed="false">
      <c r="A471" s="196" t="str">
        <f aca="false">IF(A470&lt;mthend,EDATE(A470,1),"")</f>
        <v/>
      </c>
      <c r="B471" s="197" t="n">
        <f aca="false">IF(A471&lt;mthend,B470,0)</f>
        <v>0</v>
      </c>
      <c r="D471" s="197" t="str">
        <f aca="false">IF(A472&lt;&gt;"",B471+C471,"")</f>
        <v/>
      </c>
      <c r="E471" s="199" t="str">
        <f aca="false">IF(A472="","",IF(AND(AT471=1,$H$3=1),D471*AO471,IF($H$3=2,D471,"N/A")))</f>
        <v/>
      </c>
      <c r="F471" s="199" t="str">
        <f aca="false">IF(A472="","",E471*AS471)</f>
        <v/>
      </c>
      <c r="G471" s="200" t="str">
        <f aca="false">IF($A472="","",VLOOKUP($A471,Table,MATCH(G$4,Curves,0)))</f>
        <v/>
      </c>
      <c r="H471" s="201" t="str">
        <f aca="false">IF(A472="","",G471)</f>
        <v/>
      </c>
      <c r="J471" s="200" t="str">
        <f aca="false">IF($A472="","",VLOOKUP($A471,Table,MATCH(J$4,Curves,0)))</f>
        <v/>
      </c>
      <c r="K471" s="201" t="str">
        <f aca="false">IF(A472="","",J471)</f>
        <v/>
      </c>
      <c r="L471" s="200" t="str">
        <f aca="false">IF($A472="","",VLOOKUP($A471,Table,MATCH(L$4,Curves,0)))</f>
        <v/>
      </c>
      <c r="M471" s="201" t="str">
        <f aca="false">IF(A472="","",L471)</f>
        <v/>
      </c>
      <c r="O471" s="200" t="str">
        <f aca="false">IF(A472="","",L471+J471+G471)</f>
        <v/>
      </c>
      <c r="P471" s="200" t="str">
        <f aca="false">IF(A472="","",M471+K471+H471)</f>
        <v/>
      </c>
      <c r="R471" s="200" t="str">
        <f aca="false">IF($A472="","",VLOOKUP($A471,Table,MATCH(R$4,Curves,0)))</f>
        <v/>
      </c>
      <c r="S471" s="201" t="str">
        <f aca="false">IF(A472="","",R471)</f>
        <v/>
      </c>
      <c r="T471" s="200" t="str">
        <f aca="false">IF($A472="","",VLOOKUP($A471,Table,MATCH(T$4,Curves,0)))</f>
        <v/>
      </c>
      <c r="U471" s="201" t="str">
        <f aca="false">IF(A472="","",T471)</f>
        <v/>
      </c>
      <c r="V471" s="183" t="str">
        <f aca="false">IF($A472="","",IF(AND(MONTH(A471)&gt;3,MONTH(A471)&lt;11),(T471+R471+G471)*Summary!$T$8/(1-Summary!$T$8),(T471+R471+G471)*Summary!$U$8/(1-Summary!$U$8)))</f>
        <v/>
      </c>
      <c r="W471" s="200" t="str">
        <f aca="false">IF($A472="","",(T471+R471+G471+V471))</f>
        <v/>
      </c>
      <c r="X471" s="200" t="str">
        <f aca="false">IF($A472="","",(U471+S471+H471+V471))</f>
        <v/>
      </c>
      <c r="Y471" s="202"/>
      <c r="Z471" s="21"/>
      <c r="AJ471" s="77"/>
      <c r="AK471" s="77"/>
      <c r="AL471" s="77"/>
      <c r="AM471" s="77"/>
      <c r="AN471" s="77"/>
      <c r="AO471" s="137" t="str">
        <f aca="false">IF(A472="","",A472-A471)</f>
        <v/>
      </c>
      <c r="AP471" s="212" t="str">
        <f aca="false">IF(A472="","",CHOOSE(F$3,A472+24,A471))</f>
        <v/>
      </c>
      <c r="AQ471" s="209" t="str">
        <f aca="false">IF(A472="","",AP471-$E$1)</f>
        <v/>
      </c>
      <c r="AR471" s="185" t="n">
        <f aca="false">'ANR OK vs ML7'!AR471</f>
        <v>0.1</v>
      </c>
      <c r="AS471" s="213" t="str">
        <f aca="false">IF(A472="","",1/(1+CHOOSE(F$3,(AR472+($I$3/10000))/2,(AR471+($I$3/10000))/2))^(2*AQ471/365.25))</f>
        <v/>
      </c>
      <c r="AT471" s="137" t="str">
        <f aca="false">IF(A472="","",IF(AND(mthbeg&lt;=A471,mthend&gt;=A471),1,0))</f>
        <v/>
      </c>
      <c r="AU471" s="137" t="str">
        <f aca="false">IF(A472="","",AO471*AT471)</f>
        <v/>
      </c>
      <c r="AW471" s="195" t="str">
        <f aca="false">IF($A472="","",AL471*$E471)</f>
        <v/>
      </c>
      <c r="AX471" s="195" t="str">
        <f aca="false">IF($A472="","",AM471*$E471)</f>
        <v/>
      </c>
      <c r="AY471" s="195" t="str">
        <f aca="false">IF($A472="","",AN471*$E471)</f>
        <v/>
      </c>
      <c r="BA471" s="195" t="str">
        <f aca="false">IF($A472="","",F471*Summary!$Q$8)</f>
        <v/>
      </c>
    </row>
    <row r="472" customFormat="false" ht="12.75" hidden="false" customHeight="false" outlineLevel="0" collapsed="false">
      <c r="A472" s="196" t="str">
        <f aca="false">IF(A471&lt;mthend,EDATE(A471,1),"")</f>
        <v/>
      </c>
      <c r="B472" s="197" t="n">
        <f aca="false">IF(A472&lt;mthend,B471,0)</f>
        <v>0</v>
      </c>
      <c r="D472" s="197" t="str">
        <f aca="false">IF(A473&lt;&gt;"",B472+C472,"")</f>
        <v/>
      </c>
      <c r="E472" s="199" t="str">
        <f aca="false">IF(A473="","",IF(AND(AT472=1,$H$3=1),D472*AO472,IF($H$3=2,D472,"N/A")))</f>
        <v/>
      </c>
      <c r="F472" s="199" t="str">
        <f aca="false">IF(A473="","",E472*AS472)</f>
        <v/>
      </c>
      <c r="G472" s="200" t="str">
        <f aca="false">IF($A473="","",VLOOKUP($A472,Table,MATCH(G$4,Curves,0)))</f>
        <v/>
      </c>
      <c r="H472" s="201" t="str">
        <f aca="false">IF(A473="","",G472)</f>
        <v/>
      </c>
      <c r="J472" s="200" t="str">
        <f aca="false">IF($A473="","",VLOOKUP($A472,Table,MATCH(J$4,Curves,0)))</f>
        <v/>
      </c>
      <c r="K472" s="201" t="str">
        <f aca="false">IF(A473="","",J472)</f>
        <v/>
      </c>
      <c r="L472" s="200" t="str">
        <f aca="false">IF($A473="","",VLOOKUP($A472,Table,MATCH(L$4,Curves,0)))</f>
        <v/>
      </c>
      <c r="M472" s="201" t="str">
        <f aca="false">IF(A473="","",L472)</f>
        <v/>
      </c>
      <c r="O472" s="200" t="str">
        <f aca="false">IF(A473="","",L472+J472+G472)</f>
        <v/>
      </c>
      <c r="P472" s="200" t="str">
        <f aca="false">IF(A473="","",M472+K472+H472)</f>
        <v/>
      </c>
      <c r="R472" s="200" t="str">
        <f aca="false">IF($A473="","",VLOOKUP($A472,Table,MATCH(R$4,Curves,0)))</f>
        <v/>
      </c>
      <c r="S472" s="201" t="str">
        <f aca="false">IF(A473="","",R472)</f>
        <v/>
      </c>
      <c r="T472" s="200" t="str">
        <f aca="false">IF($A473="","",VLOOKUP($A472,Table,MATCH(T$4,Curves,0)))</f>
        <v/>
      </c>
      <c r="U472" s="201" t="str">
        <f aca="false">IF(A473="","",T472)</f>
        <v/>
      </c>
      <c r="V472" s="183" t="str">
        <f aca="false">IF($A473="","",IF(AND(MONTH(A472)&gt;3,MONTH(A472)&lt;11),(T472+R472+G472)*Summary!$T$8/(1-Summary!$T$8),(T472+R472+G472)*Summary!$U$8/(1-Summary!$U$8)))</f>
        <v/>
      </c>
      <c r="W472" s="200" t="str">
        <f aca="false">IF($A473="","",(T472+R472+G472+V472))</f>
        <v/>
      </c>
      <c r="X472" s="200" t="str">
        <f aca="false">IF($A473="","",(U472+S472+H472+V472))</f>
        <v/>
      </c>
      <c r="Y472" s="202"/>
      <c r="AJ472" s="77"/>
      <c r="AK472" s="77"/>
      <c r="AL472" s="77"/>
      <c r="AM472" s="77"/>
      <c r="AN472" s="77"/>
      <c r="AO472" s="137" t="str">
        <f aca="false">IF(A473="","",A473-A472)</f>
        <v/>
      </c>
      <c r="AP472" s="212" t="str">
        <f aca="false">IF(A473="","",CHOOSE(F$3,A473+24,A472))</f>
        <v/>
      </c>
      <c r="AQ472" s="209" t="str">
        <f aca="false">IF(A473="","",AP472-$E$1)</f>
        <v/>
      </c>
      <c r="AR472" s="185" t="n">
        <f aca="false">'ANR OK vs ML7'!AR472</f>
        <v>0.1</v>
      </c>
      <c r="AS472" s="213" t="str">
        <f aca="false">IF(A473="","",1/(1+CHOOSE(F$3,(AR473+($I$3/10000))/2,(AR472+($I$3/10000))/2))^(2*AQ472/365.25))</f>
        <v/>
      </c>
      <c r="AT472" s="137" t="str">
        <f aca="false">IF(A473="","",IF(AND(mthbeg&lt;=A472,mthend&gt;=A472),1,0))</f>
        <v/>
      </c>
      <c r="AU472" s="137" t="str">
        <f aca="false">IF(A473="","",AO472*AT472)</f>
        <v/>
      </c>
      <c r="AW472" s="195" t="str">
        <f aca="false">IF($A473="","",AL472*$E472)</f>
        <v/>
      </c>
      <c r="AX472" s="195" t="str">
        <f aca="false">IF($A473="","",AM472*$E472)</f>
        <v/>
      </c>
      <c r="AY472" s="195" t="str">
        <f aca="false">IF($A473="","",AN472*$E472)</f>
        <v/>
      </c>
      <c r="BA472" s="195" t="str">
        <f aca="false">IF($A473="","",F472*Summary!$Q$8)</f>
        <v/>
      </c>
    </row>
    <row r="473" customFormat="false" ht="12.75" hidden="false" customHeight="false" outlineLevel="0" collapsed="false">
      <c r="A473" s="196" t="str">
        <f aca="false">IF(A472&lt;mthend,EDATE(A472,1),"")</f>
        <v/>
      </c>
      <c r="B473" s="197" t="n">
        <f aca="false">IF(A473&lt;mthend,B472,0)</f>
        <v>0</v>
      </c>
      <c r="D473" s="197" t="str">
        <f aca="false">IF(A474&lt;&gt;"",B473+C473,"")</f>
        <v/>
      </c>
      <c r="E473" s="199" t="str">
        <f aca="false">IF(A474="","",IF(AND(AT473=1,$H$3=1),D473*AO473,IF($H$3=2,D473,"N/A")))</f>
        <v/>
      </c>
      <c r="F473" s="199" t="str">
        <f aca="false">IF(A474="","",E473*AS473)</f>
        <v/>
      </c>
      <c r="G473" s="200" t="str">
        <f aca="false">IF($A474="","",VLOOKUP($A473,Table,MATCH(G$4,Curves,0)))</f>
        <v/>
      </c>
      <c r="H473" s="201" t="str">
        <f aca="false">IF(A474="","",G473)</f>
        <v/>
      </c>
      <c r="J473" s="200" t="str">
        <f aca="false">IF($A474="","",VLOOKUP($A473,Table,MATCH(J$4,Curves,0)))</f>
        <v/>
      </c>
      <c r="K473" s="201" t="str">
        <f aca="false">IF(A474="","",J473)</f>
        <v/>
      </c>
      <c r="L473" s="200" t="str">
        <f aca="false">IF($A474="","",VLOOKUP($A473,Table,MATCH(L$4,Curves,0)))</f>
        <v/>
      </c>
      <c r="M473" s="201" t="str">
        <f aca="false">IF(A474="","",L473)</f>
        <v/>
      </c>
      <c r="O473" s="200" t="str">
        <f aca="false">IF(A474="","",L473+J473+G473)</f>
        <v/>
      </c>
      <c r="P473" s="200" t="str">
        <f aca="false">IF(A474="","",M473+K473+H473)</f>
        <v/>
      </c>
      <c r="R473" s="200" t="str">
        <f aca="false">IF($A474="","",VLOOKUP($A473,Table,MATCH(R$4,Curves,0)))</f>
        <v/>
      </c>
      <c r="S473" s="201" t="str">
        <f aca="false">IF(A474="","",R473)</f>
        <v/>
      </c>
      <c r="T473" s="200" t="str">
        <f aca="false">IF($A474="","",VLOOKUP($A473,Table,MATCH(T$4,Curves,0)))</f>
        <v/>
      </c>
      <c r="U473" s="201" t="str">
        <f aca="false">IF(A474="","",T473)</f>
        <v/>
      </c>
      <c r="V473" s="183" t="str">
        <f aca="false">IF($A474="","",IF(AND(MONTH(A473)&gt;3,MONTH(A473)&lt;11),(T473+R473+G473)*Summary!$T$8/(1-Summary!$T$8),(T473+R473+G473)*Summary!$U$8/(1-Summary!$U$8)))</f>
        <v/>
      </c>
      <c r="W473" s="200" t="str">
        <f aca="false">IF($A474="","",(T473+R473+G473+V473))</f>
        <v/>
      </c>
      <c r="X473" s="200" t="str">
        <f aca="false">IF($A474="","",(U473+S473+H473+V473))</f>
        <v/>
      </c>
      <c r="Y473" s="202"/>
      <c r="AJ473" s="77"/>
      <c r="AK473" s="77"/>
      <c r="AL473" s="77"/>
      <c r="AM473" s="77"/>
      <c r="AN473" s="77"/>
      <c r="AO473" s="137" t="str">
        <f aca="false">IF(A474="","",A474-A473)</f>
        <v/>
      </c>
      <c r="AP473" s="212" t="str">
        <f aca="false">IF(A474="","",CHOOSE(F$3,A474+24,A473))</f>
        <v/>
      </c>
      <c r="AQ473" s="209" t="str">
        <f aca="false">IF(A474="","",AP473-$E$1)</f>
        <v/>
      </c>
      <c r="AR473" s="185" t="n">
        <f aca="false">'ANR OK vs ML7'!AR473</f>
        <v>0.1</v>
      </c>
      <c r="AS473" s="213" t="str">
        <f aca="false">IF(A474="","",1/(1+CHOOSE(F$3,(AR474+($I$3/10000))/2,(AR473+($I$3/10000))/2))^(2*AQ473/365.25))</f>
        <v/>
      </c>
      <c r="AT473" s="137" t="str">
        <f aca="false">IF(A474="","",IF(AND(mthbeg&lt;=A473,mthend&gt;=A473),1,0))</f>
        <v/>
      </c>
      <c r="AU473" s="137" t="str">
        <f aca="false">IF(A474="","",AO473*AT473)</f>
        <v/>
      </c>
      <c r="AW473" s="195" t="str">
        <f aca="false">IF($A474="","",AL473*$E473)</f>
        <v/>
      </c>
      <c r="AX473" s="195" t="str">
        <f aca="false">IF($A474="","",AM473*$E473)</f>
        <v/>
      </c>
      <c r="AY473" s="195" t="str">
        <f aca="false">IF($A474="","",AN473*$E473)</f>
        <v/>
      </c>
      <c r="BA473" s="195" t="str">
        <f aca="false">IF($A474="","",F473*Summary!$Q$8)</f>
        <v/>
      </c>
    </row>
    <row r="474" customFormat="false" ht="12.75" hidden="false" customHeight="false" outlineLevel="0" collapsed="false">
      <c r="A474" s="196" t="str">
        <f aca="false">IF(A473&lt;mthend,EDATE(A473,1),"")</f>
        <v/>
      </c>
      <c r="B474" s="197" t="n">
        <f aca="false">IF(A474&lt;mthend,B473,0)</f>
        <v>0</v>
      </c>
      <c r="D474" s="197" t="str">
        <f aca="false">IF(A475&lt;&gt;"",B474+C474,"")</f>
        <v/>
      </c>
      <c r="E474" s="199" t="str">
        <f aca="false">IF(A475="","",IF(AND(AT474=1,$H$3=1),D474*AO474,IF($H$3=2,D474,"N/A")))</f>
        <v/>
      </c>
      <c r="F474" s="199" t="str">
        <f aca="false">IF(A475="","",E474*AS474)</f>
        <v/>
      </c>
      <c r="G474" s="200" t="str">
        <f aca="false">IF($A475="","",VLOOKUP($A474,Table,MATCH(G$4,Curves,0)))</f>
        <v/>
      </c>
      <c r="H474" s="201" t="str">
        <f aca="false">IF(A475="","",G474)</f>
        <v/>
      </c>
      <c r="J474" s="200" t="str">
        <f aca="false">IF($A475="","",VLOOKUP($A474,Table,MATCH(J$4,Curves,0)))</f>
        <v/>
      </c>
      <c r="K474" s="201" t="str">
        <f aca="false">IF(A475="","",J474)</f>
        <v/>
      </c>
      <c r="L474" s="200" t="str">
        <f aca="false">IF($A475="","",VLOOKUP($A474,Table,MATCH(L$4,Curves,0)))</f>
        <v/>
      </c>
      <c r="M474" s="201" t="str">
        <f aca="false">IF(A475="","",L474)</f>
        <v/>
      </c>
      <c r="O474" s="200" t="str">
        <f aca="false">IF(A475="","",L474+J474+G474)</f>
        <v/>
      </c>
      <c r="P474" s="200" t="str">
        <f aca="false">IF(A475="","",M474+K474+H474)</f>
        <v/>
      </c>
      <c r="R474" s="200" t="str">
        <f aca="false">IF($A475="","",VLOOKUP($A474,Table,MATCH(R$4,Curves,0)))</f>
        <v/>
      </c>
      <c r="S474" s="201" t="str">
        <f aca="false">IF(A475="","",R474)</f>
        <v/>
      </c>
      <c r="T474" s="200" t="str">
        <f aca="false">IF($A475="","",VLOOKUP($A474,Table,MATCH(T$4,Curves,0)))</f>
        <v/>
      </c>
      <c r="U474" s="201" t="str">
        <f aca="false">IF(A475="","",T474)</f>
        <v/>
      </c>
      <c r="V474" s="183" t="str">
        <f aca="false">IF($A475="","",IF(AND(MONTH(A474)&gt;3,MONTH(A474)&lt;11),(T474+R474+G474)*Summary!$T$8/(1-Summary!$T$8),(T474+R474+G474)*Summary!$U$8/(1-Summary!$U$8)))</f>
        <v/>
      </c>
      <c r="W474" s="200" t="str">
        <f aca="false">IF($A475="","",(T474+R474+G474+V474))</f>
        <v/>
      </c>
      <c r="X474" s="200" t="str">
        <f aca="false">IF($A475="","",(U474+S474+H474+V474))</f>
        <v/>
      </c>
      <c r="Y474" s="202"/>
      <c r="AJ474" s="77"/>
      <c r="AK474" s="77"/>
      <c r="AL474" s="77"/>
      <c r="AM474" s="77"/>
      <c r="AN474" s="77"/>
      <c r="AO474" s="137" t="str">
        <f aca="false">IF(A475="","",A475-A474)</f>
        <v/>
      </c>
      <c r="AP474" s="212" t="str">
        <f aca="false">IF(A475="","",CHOOSE(F$3,A475+24,A474))</f>
        <v/>
      </c>
      <c r="AQ474" s="209" t="str">
        <f aca="false">IF(A475="","",AP474-$E$1)</f>
        <v/>
      </c>
      <c r="AR474" s="185" t="n">
        <f aca="false">'ANR OK vs ML7'!AR474</f>
        <v>0.1</v>
      </c>
      <c r="AS474" s="213" t="str">
        <f aca="false">IF(A475="","",1/(1+CHOOSE(F$3,(AR475+($I$3/10000))/2,(AR474+($I$3/10000))/2))^(2*AQ474/365.25))</f>
        <v/>
      </c>
      <c r="AT474" s="137" t="str">
        <f aca="false">IF(A475="","",IF(AND(mthbeg&lt;=A474,mthend&gt;=A474),1,0))</f>
        <v/>
      </c>
      <c r="AU474" s="137" t="str">
        <f aca="false">IF(A475="","",AO474*AT474)</f>
        <v/>
      </c>
      <c r="AW474" s="195" t="str">
        <f aca="false">IF($A475="","",AL474*$E474)</f>
        <v/>
      </c>
      <c r="AX474" s="195" t="str">
        <f aca="false">IF($A475="","",AM474*$E474)</f>
        <v/>
      </c>
      <c r="AY474" s="195" t="str">
        <f aca="false">IF($A475="","",AN474*$E474)</f>
        <v/>
      </c>
      <c r="BA474" s="195" t="str">
        <f aca="false">IF($A475="","",F474*Summary!$Q$8)</f>
        <v/>
      </c>
    </row>
    <row r="475" customFormat="false" ht="12.75" hidden="false" customHeight="false" outlineLevel="0" collapsed="false">
      <c r="A475" s="196" t="str">
        <f aca="false">IF(A474&lt;mthend,EDATE(A474,1),"")</f>
        <v/>
      </c>
      <c r="B475" s="197" t="n">
        <f aca="false">IF(A475&lt;mthend,B474,0)</f>
        <v>0</v>
      </c>
      <c r="D475" s="197" t="str">
        <f aca="false">IF(A476&lt;&gt;"",B475+C475,"")</f>
        <v/>
      </c>
      <c r="E475" s="199" t="str">
        <f aca="false">IF(A476="","",IF(AND(AT475=1,$H$3=1),D475*AO475,IF($H$3=2,D475,"N/A")))</f>
        <v/>
      </c>
      <c r="F475" s="199" t="str">
        <f aca="false">IF(A476="","",E475*AS475)</f>
        <v/>
      </c>
      <c r="G475" s="200" t="str">
        <f aca="false">IF($A476="","",VLOOKUP($A475,Table,MATCH(G$4,Curves,0)))</f>
        <v/>
      </c>
      <c r="H475" s="201" t="str">
        <f aca="false">IF(A476="","",G475)</f>
        <v/>
      </c>
      <c r="J475" s="200" t="str">
        <f aca="false">IF($A476="","",VLOOKUP($A475,Table,MATCH(J$4,Curves,0)))</f>
        <v/>
      </c>
      <c r="K475" s="201" t="str">
        <f aca="false">IF(A476="","",J475)</f>
        <v/>
      </c>
      <c r="L475" s="200" t="str">
        <f aca="false">IF($A476="","",VLOOKUP($A475,Table,MATCH(L$4,Curves,0)))</f>
        <v/>
      </c>
      <c r="M475" s="201" t="str">
        <f aca="false">IF(A476="","",L475)</f>
        <v/>
      </c>
      <c r="O475" s="200" t="str">
        <f aca="false">IF(A476="","",L475+J475+G475)</f>
        <v/>
      </c>
      <c r="P475" s="200" t="str">
        <f aca="false">IF(A476="","",M475+K475+H475)</f>
        <v/>
      </c>
      <c r="R475" s="200" t="str">
        <f aca="false">IF($A476="","",VLOOKUP($A475,Table,MATCH(R$4,Curves,0)))</f>
        <v/>
      </c>
      <c r="S475" s="201" t="str">
        <f aca="false">IF(A476="","",R475)</f>
        <v/>
      </c>
      <c r="T475" s="200" t="str">
        <f aca="false">IF($A476="","",VLOOKUP($A475,Table,MATCH(T$4,Curves,0)))</f>
        <v/>
      </c>
      <c r="U475" s="201" t="str">
        <f aca="false">IF(A476="","",T475)</f>
        <v/>
      </c>
      <c r="V475" s="183" t="str">
        <f aca="false">IF($A476="","",IF(AND(MONTH(A475)&gt;3,MONTH(A475)&lt;11),(T475+R475+G475)*Summary!$T$8/(1-Summary!$T$8),(T475+R475+G475)*Summary!$U$8/(1-Summary!$U$8)))</f>
        <v/>
      </c>
      <c r="W475" s="200" t="str">
        <f aca="false">IF($A476="","",(T475+R475+G475+V475))</f>
        <v/>
      </c>
      <c r="X475" s="200" t="str">
        <f aca="false">IF($A476="","",(U475+S475+H475+V475))</f>
        <v/>
      </c>
      <c r="Y475" s="202"/>
      <c r="AJ475" s="77"/>
      <c r="AK475" s="77"/>
      <c r="AL475" s="77"/>
      <c r="AM475" s="77"/>
      <c r="AN475" s="77"/>
      <c r="AO475" s="137" t="str">
        <f aca="false">IF(A476="","",A476-A475)</f>
        <v/>
      </c>
      <c r="AP475" s="212" t="str">
        <f aca="false">IF(A476="","",CHOOSE(F$3,A476+24,A475))</f>
        <v/>
      </c>
      <c r="AQ475" s="209" t="str">
        <f aca="false">IF(A476="","",AP475-$E$1)</f>
        <v/>
      </c>
      <c r="AR475" s="185" t="n">
        <f aca="false">'ANR OK vs ML7'!AR475</f>
        <v>0.1</v>
      </c>
      <c r="AS475" s="213" t="str">
        <f aca="false">IF(A476="","",1/(1+CHOOSE(F$3,(AR476+($I$3/10000))/2,(AR475+($I$3/10000))/2))^(2*AQ475/365.25))</f>
        <v/>
      </c>
      <c r="AT475" s="137" t="str">
        <f aca="false">IF(A476="","",IF(AND(mthbeg&lt;=A475,mthend&gt;=A475),1,0))</f>
        <v/>
      </c>
      <c r="AU475" s="137" t="str">
        <f aca="false">IF(A476="","",AO475*AT475)</f>
        <v/>
      </c>
      <c r="AW475" s="195" t="str">
        <f aca="false">IF($A476="","",AL475*$E475)</f>
        <v/>
      </c>
      <c r="AX475" s="195" t="str">
        <f aca="false">IF($A476="","",AM475*$E475)</f>
        <v/>
      </c>
      <c r="AY475" s="195" t="str">
        <f aca="false">IF($A476="","",AN475*$E475)</f>
        <v/>
      </c>
      <c r="BA475" s="195" t="str">
        <f aca="false">IF($A476="","",F475*Summary!$Q$8)</f>
        <v/>
      </c>
    </row>
    <row r="476" customFormat="false" ht="12.75" hidden="false" customHeight="false" outlineLevel="0" collapsed="false">
      <c r="A476" s="196" t="str">
        <f aca="false">IF(A475&lt;mthend,EDATE(A475,1),"")</f>
        <v/>
      </c>
      <c r="B476" s="197" t="n">
        <f aca="false">IF(A476&lt;mthend,B475,0)</f>
        <v>0</v>
      </c>
      <c r="D476" s="197" t="str">
        <f aca="false">IF(A477&lt;&gt;"",B476+C476,"")</f>
        <v/>
      </c>
      <c r="E476" s="199" t="str">
        <f aca="false">IF(A477="","",IF(AND(AT476=1,$H$3=1),D476*AO476,IF($H$3=2,D476,"N/A")))</f>
        <v/>
      </c>
      <c r="F476" s="199" t="str">
        <f aca="false">IF(A477="","",E476*AS476)</f>
        <v/>
      </c>
      <c r="G476" s="200" t="str">
        <f aca="false">IF($A477="","",VLOOKUP($A476,Table,MATCH(G$4,Curves,0)))</f>
        <v/>
      </c>
      <c r="H476" s="201" t="str">
        <f aca="false">IF(A477="","",G476)</f>
        <v/>
      </c>
      <c r="J476" s="200" t="str">
        <f aca="false">IF($A477="","",VLOOKUP($A476,Table,MATCH(J$4,Curves,0)))</f>
        <v/>
      </c>
      <c r="K476" s="201" t="str">
        <f aca="false">IF(A477="","",J476)</f>
        <v/>
      </c>
      <c r="L476" s="200" t="str">
        <f aca="false">IF($A477="","",VLOOKUP($A476,Table,MATCH(L$4,Curves,0)))</f>
        <v/>
      </c>
      <c r="M476" s="201" t="str">
        <f aca="false">IF(A477="","",L476)</f>
        <v/>
      </c>
      <c r="O476" s="200" t="str">
        <f aca="false">IF(A477="","",L476+J476+G476)</f>
        <v/>
      </c>
      <c r="P476" s="200" t="str">
        <f aca="false">IF(A477="","",M476+K476+H476)</f>
        <v/>
      </c>
      <c r="R476" s="200" t="str">
        <f aca="false">IF($A477="","",VLOOKUP($A476,Table,MATCH(R$4,Curves,0)))</f>
        <v/>
      </c>
      <c r="S476" s="201" t="str">
        <f aca="false">IF(A477="","",R476)</f>
        <v/>
      </c>
      <c r="T476" s="200" t="str">
        <f aca="false">IF($A477="","",VLOOKUP($A476,Table,MATCH(T$4,Curves,0)))</f>
        <v/>
      </c>
      <c r="U476" s="201" t="str">
        <f aca="false">IF(A477="","",T476)</f>
        <v/>
      </c>
      <c r="V476" s="183" t="str">
        <f aca="false">IF($A477="","",IF(AND(MONTH(A476)&gt;3,MONTH(A476)&lt;11),(T476+R476+G476)*Summary!$T$8/(1-Summary!$T$8),(T476+R476+G476)*Summary!$U$8/(1-Summary!$U$8)))</f>
        <v/>
      </c>
      <c r="W476" s="200" t="str">
        <f aca="false">IF($A477="","",(T476+R476+G476+V476))</f>
        <v/>
      </c>
      <c r="X476" s="200" t="str">
        <f aca="false">IF($A477="","",(U476+S476+H476+V476))</f>
        <v/>
      </c>
      <c r="Y476" s="202"/>
      <c r="AJ476" s="77"/>
      <c r="AK476" s="77"/>
      <c r="AL476" s="77"/>
      <c r="AM476" s="77"/>
      <c r="AN476" s="77"/>
      <c r="AO476" s="137" t="str">
        <f aca="false">IF(A477="","",A477-A476)</f>
        <v/>
      </c>
      <c r="AP476" s="212" t="str">
        <f aca="false">IF(A477="","",CHOOSE(F$3,A477+24,A476))</f>
        <v/>
      </c>
      <c r="AQ476" s="209" t="str">
        <f aca="false">IF(A477="","",AP476-$E$1)</f>
        <v/>
      </c>
      <c r="AR476" s="185" t="n">
        <f aca="false">'ANR OK vs ML7'!AR476</f>
        <v>0.1</v>
      </c>
      <c r="AS476" s="213" t="str">
        <f aca="false">IF(A477="","",1/(1+CHOOSE(F$3,(AR477+($I$3/10000))/2,(AR476+($I$3/10000))/2))^(2*AQ476/365.25))</f>
        <v/>
      </c>
      <c r="AT476" s="137" t="str">
        <f aca="false">IF(A477="","",IF(AND(mthbeg&lt;=A476,mthend&gt;=A476),1,0))</f>
        <v/>
      </c>
      <c r="AU476" s="137" t="str">
        <f aca="false">IF(A477="","",AO476*AT476)</f>
        <v/>
      </c>
      <c r="AW476" s="195" t="str">
        <f aca="false">IF($A477="","",AL476*$E476)</f>
        <v/>
      </c>
      <c r="AX476" s="195" t="str">
        <f aca="false">IF($A477="","",AM476*$E476)</f>
        <v/>
      </c>
      <c r="AY476" s="195" t="str">
        <f aca="false">IF($A477="","",AN476*$E476)</f>
        <v/>
      </c>
      <c r="BA476" s="195" t="str">
        <f aca="false">IF($A477="","",F476*Summary!$Q$8)</f>
        <v/>
      </c>
    </row>
    <row r="477" customFormat="false" ht="12.75" hidden="false" customHeight="false" outlineLevel="0" collapsed="false">
      <c r="A477" s="196" t="str">
        <f aca="false">IF(A476&lt;mthend,EDATE(A476,1),"")</f>
        <v/>
      </c>
      <c r="B477" s="197" t="n">
        <f aca="false">IF(A477&lt;mthend,B476,0)</f>
        <v>0</v>
      </c>
      <c r="D477" s="197" t="str">
        <f aca="false">IF(A478&lt;&gt;"",B477+C477,"")</f>
        <v/>
      </c>
      <c r="E477" s="199" t="str">
        <f aca="false">IF(A478="","",IF(AND(AT477=1,$H$3=1),D477*AO477,IF($H$3=2,D477,"N/A")))</f>
        <v/>
      </c>
      <c r="F477" s="199" t="str">
        <f aca="false">IF(A478="","",E477*AS477)</f>
        <v/>
      </c>
      <c r="G477" s="200" t="str">
        <f aca="false">IF($A478="","",VLOOKUP($A477,Table,MATCH(G$4,Curves,0)))</f>
        <v/>
      </c>
      <c r="H477" s="201" t="str">
        <f aca="false">IF(A478="","",G477)</f>
        <v/>
      </c>
      <c r="J477" s="200" t="str">
        <f aca="false">IF($A478="","",VLOOKUP($A477,Table,MATCH(J$4,Curves,0)))</f>
        <v/>
      </c>
      <c r="K477" s="201" t="str">
        <f aca="false">IF(A478="","",J477)</f>
        <v/>
      </c>
      <c r="L477" s="200" t="str">
        <f aca="false">IF($A478="","",VLOOKUP($A477,Table,MATCH(L$4,Curves,0)))</f>
        <v/>
      </c>
      <c r="M477" s="201" t="str">
        <f aca="false">IF(A478="","",L477)</f>
        <v/>
      </c>
      <c r="O477" s="200" t="str">
        <f aca="false">IF(A478="","",L477+J477+G477)</f>
        <v/>
      </c>
      <c r="P477" s="200" t="str">
        <f aca="false">IF(A478="","",M477+K477+H477)</f>
        <v/>
      </c>
      <c r="R477" s="200" t="str">
        <f aca="false">IF($A478="","",VLOOKUP($A477,Table,MATCH(R$4,Curves,0)))</f>
        <v/>
      </c>
      <c r="S477" s="201" t="str">
        <f aca="false">IF(A478="","",R477)</f>
        <v/>
      </c>
      <c r="T477" s="200" t="str">
        <f aca="false">IF($A478="","",VLOOKUP($A477,Table,MATCH(T$4,Curves,0)))</f>
        <v/>
      </c>
      <c r="U477" s="201" t="str">
        <f aca="false">IF(A478="","",T477)</f>
        <v/>
      </c>
      <c r="V477" s="183" t="str">
        <f aca="false">IF($A478="","",IF(AND(MONTH(A477)&gt;3,MONTH(A477)&lt;11),(T477+R477+G477)*Summary!$T$8/(1-Summary!$T$8),(T477+R477+G477)*Summary!$U$8/(1-Summary!$U$8)))</f>
        <v/>
      </c>
      <c r="W477" s="200" t="str">
        <f aca="false">IF($A478="","",(T477+R477+G477+V477))</f>
        <v/>
      </c>
      <c r="X477" s="200" t="str">
        <f aca="false">IF($A478="","",(U477+S477+H477+V477))</f>
        <v/>
      </c>
      <c r="Y477" s="202"/>
      <c r="AJ477" s="77"/>
      <c r="AK477" s="77"/>
      <c r="AL477" s="77"/>
      <c r="AM477" s="77"/>
      <c r="AN477" s="77"/>
      <c r="AO477" s="137" t="str">
        <f aca="false">IF(A478="","",A478-A477)</f>
        <v/>
      </c>
      <c r="AP477" s="212" t="str">
        <f aca="false">IF(A478="","",CHOOSE(F$3,A478+24,A477))</f>
        <v/>
      </c>
      <c r="AQ477" s="209" t="str">
        <f aca="false">IF(A478="","",AP477-$E$1)</f>
        <v/>
      </c>
      <c r="AR477" s="185" t="n">
        <f aca="false">'ANR OK vs ML7'!AR477</f>
        <v>0.1</v>
      </c>
      <c r="AS477" s="213" t="str">
        <f aca="false">IF(A478="","",1/(1+CHOOSE(F$3,(AR478+($I$3/10000))/2,(AR477+($I$3/10000))/2))^(2*AQ477/365.25))</f>
        <v/>
      </c>
      <c r="AT477" s="137" t="str">
        <f aca="false">IF(A478="","",IF(AND(mthbeg&lt;=A477,mthend&gt;=A477),1,0))</f>
        <v/>
      </c>
      <c r="AU477" s="137" t="str">
        <f aca="false">IF(A478="","",AO477*AT477)</f>
        <v/>
      </c>
      <c r="AW477" s="195" t="str">
        <f aca="false">IF($A478="","",AL477*$E477)</f>
        <v/>
      </c>
      <c r="AX477" s="195" t="str">
        <f aca="false">IF($A478="","",AM477*$E477)</f>
        <v/>
      </c>
      <c r="AY477" s="195" t="str">
        <f aca="false">IF($A478="","",AN477*$E477)</f>
        <v/>
      </c>
      <c r="BA477" s="195" t="str">
        <f aca="false">IF($A478="","",F477*Summary!$Q$8)</f>
        <v/>
      </c>
    </row>
    <row r="478" customFormat="false" ht="12.75" hidden="false" customHeight="false" outlineLevel="0" collapsed="false">
      <c r="A478" s="196" t="str">
        <f aca="false">IF(A477&lt;mthend,EDATE(A477,1),"")</f>
        <v/>
      </c>
      <c r="B478" s="197" t="n">
        <f aca="false">IF(A478&lt;mthend,B477,0)</f>
        <v>0</v>
      </c>
      <c r="D478" s="197" t="str">
        <f aca="false">IF(A479&lt;&gt;"",B478+C478,"")</f>
        <v/>
      </c>
      <c r="E478" s="199" t="str">
        <f aca="false">IF(A479="","",IF(AND(AT478=1,$H$3=1),D478*AO478,IF($H$3=2,D478,"N/A")))</f>
        <v/>
      </c>
      <c r="F478" s="199" t="str">
        <f aca="false">IF(A479="","",E478*AS478)</f>
        <v/>
      </c>
      <c r="G478" s="200" t="str">
        <f aca="false">IF($A479="","",VLOOKUP($A478,Table,MATCH(G$4,Curves,0)))</f>
        <v/>
      </c>
      <c r="H478" s="201" t="str">
        <f aca="false">IF(A479="","",G478)</f>
        <v/>
      </c>
      <c r="J478" s="200" t="str">
        <f aca="false">IF($A479="","",VLOOKUP($A478,Table,MATCH(J$4,Curves,0)))</f>
        <v/>
      </c>
      <c r="K478" s="201" t="str">
        <f aca="false">IF(A479="","",J478)</f>
        <v/>
      </c>
      <c r="L478" s="200" t="str">
        <f aca="false">IF($A479="","",VLOOKUP($A478,Table,MATCH(L$4,Curves,0)))</f>
        <v/>
      </c>
      <c r="M478" s="201" t="str">
        <f aca="false">IF(A479="","",L478)</f>
        <v/>
      </c>
      <c r="O478" s="200" t="str">
        <f aca="false">IF(A479="","",L478+J478+G478)</f>
        <v/>
      </c>
      <c r="P478" s="200" t="str">
        <f aca="false">IF(A479="","",M478+K478+H478)</f>
        <v/>
      </c>
      <c r="R478" s="200" t="str">
        <f aca="false">IF($A479="","",VLOOKUP($A478,Table,MATCH(R$4,Curves,0)))</f>
        <v/>
      </c>
      <c r="S478" s="201" t="str">
        <f aca="false">IF(A479="","",R478)</f>
        <v/>
      </c>
      <c r="T478" s="200" t="str">
        <f aca="false">IF($A479="","",VLOOKUP($A478,Table,MATCH(T$4,Curves,0)))</f>
        <v/>
      </c>
      <c r="U478" s="201" t="str">
        <f aca="false">IF(A479="","",T478)</f>
        <v/>
      </c>
      <c r="V478" s="183" t="str">
        <f aca="false">IF($A479="","",IF(AND(MONTH(A478)&gt;3,MONTH(A478)&lt;11),(T478+R478+G478)*Summary!$T$8/(1-Summary!$T$8),(T478+R478+G478)*Summary!$U$8/(1-Summary!$U$8)))</f>
        <v/>
      </c>
      <c r="W478" s="200" t="str">
        <f aca="false">IF($A479="","",(T478+R478+G478+V478))</f>
        <v/>
      </c>
      <c r="X478" s="200" t="str">
        <f aca="false">IF($A479="","",(U478+S478+H478+V478))</f>
        <v/>
      </c>
      <c r="Y478" s="202"/>
      <c r="AJ478" s="77"/>
      <c r="AK478" s="77"/>
      <c r="AL478" s="77"/>
      <c r="AM478" s="77"/>
      <c r="AN478" s="77"/>
      <c r="AO478" s="137" t="str">
        <f aca="false">IF(A479="","",A479-A478)</f>
        <v/>
      </c>
      <c r="AP478" s="212" t="str">
        <f aca="false">IF(A479="","",CHOOSE(F$3,A479+24,A478))</f>
        <v/>
      </c>
      <c r="AQ478" s="209" t="str">
        <f aca="false">IF(A479="","",AP478-$E$1)</f>
        <v/>
      </c>
      <c r="AR478" s="185" t="n">
        <f aca="false">'ANR OK vs ML7'!AR478</f>
        <v>0.1</v>
      </c>
      <c r="AS478" s="213" t="str">
        <f aca="false">IF(A479="","",1/(1+CHOOSE(F$3,(AR479+($I$3/10000))/2,(AR478+($I$3/10000))/2))^(2*AQ478/365.25))</f>
        <v/>
      </c>
      <c r="AT478" s="137" t="str">
        <f aca="false">IF(A479="","",IF(AND(mthbeg&lt;=A478,mthend&gt;=A478),1,0))</f>
        <v/>
      </c>
      <c r="AU478" s="137" t="str">
        <f aca="false">IF(A479="","",AO478*AT478)</f>
        <v/>
      </c>
      <c r="AW478" s="195" t="str">
        <f aca="false">IF($A479="","",AL478*$E478)</f>
        <v/>
      </c>
      <c r="AX478" s="195" t="str">
        <f aca="false">IF($A479="","",AM478*$E478)</f>
        <v/>
      </c>
      <c r="AY478" s="195" t="str">
        <f aca="false">IF($A479="","",AN478*$E478)</f>
        <v/>
      </c>
      <c r="BA478" s="195" t="str">
        <f aca="false">IF($A479="","",F478*Summary!$Q$8)</f>
        <v/>
      </c>
    </row>
    <row r="479" customFormat="false" ht="12.75" hidden="false" customHeight="false" outlineLevel="0" collapsed="false">
      <c r="A479" s="196" t="str">
        <f aca="false">IF(A478&lt;mthend,EDATE(A478,1),"")</f>
        <v/>
      </c>
      <c r="B479" s="197" t="n">
        <f aca="false">IF(A479&lt;mthend,B478,0)</f>
        <v>0</v>
      </c>
      <c r="D479" s="197" t="str">
        <f aca="false">IF(A480&lt;&gt;"",B479+C479,"")</f>
        <v/>
      </c>
      <c r="E479" s="199" t="str">
        <f aca="false">IF(A480="","",IF(AND(AT479=1,$H$3=1),D479*AO479,IF($H$3=2,D479,"N/A")))</f>
        <v/>
      </c>
      <c r="F479" s="199" t="str">
        <f aca="false">IF(A480="","",E479*AS479)</f>
        <v/>
      </c>
      <c r="G479" s="200" t="str">
        <f aca="false">IF($A480="","",VLOOKUP($A479,Table,MATCH(G$4,Curves,0)))</f>
        <v/>
      </c>
      <c r="H479" s="201" t="str">
        <f aca="false">IF(A480="","",G479)</f>
        <v/>
      </c>
      <c r="J479" s="200" t="str">
        <f aca="false">IF($A480="","",VLOOKUP($A479,Table,MATCH(J$4,Curves,0)))</f>
        <v/>
      </c>
      <c r="K479" s="201" t="str">
        <f aca="false">IF(A480="","",J479)</f>
        <v/>
      </c>
      <c r="L479" s="200" t="str">
        <f aca="false">IF($A480="","",VLOOKUP($A479,Table,MATCH(L$4,Curves,0)))</f>
        <v/>
      </c>
      <c r="M479" s="201" t="str">
        <f aca="false">IF(A480="","",L479)</f>
        <v/>
      </c>
      <c r="O479" s="200" t="str">
        <f aca="false">IF(A480="","",L479+J479+G479)</f>
        <v/>
      </c>
      <c r="P479" s="200" t="str">
        <f aca="false">IF(A480="","",M479+K479+H479)</f>
        <v/>
      </c>
      <c r="R479" s="200" t="str">
        <f aca="false">IF($A480="","",VLOOKUP($A479,Table,MATCH(R$4,Curves,0)))</f>
        <v/>
      </c>
      <c r="S479" s="201" t="str">
        <f aca="false">IF(A480="","",R479)</f>
        <v/>
      </c>
      <c r="T479" s="200" t="str">
        <f aca="false">IF($A480="","",VLOOKUP($A479,Table,MATCH(T$4,Curves,0)))</f>
        <v/>
      </c>
      <c r="U479" s="201" t="str">
        <f aca="false">IF(A480="","",T479)</f>
        <v/>
      </c>
      <c r="V479" s="183" t="str">
        <f aca="false">IF($A480="","",IF(AND(MONTH(A479)&gt;3,MONTH(A479)&lt;11),(T479+R479+G479)*Summary!$T$8/(1-Summary!$T$8),(T479+R479+G479)*Summary!$U$8/(1-Summary!$U$8)))</f>
        <v/>
      </c>
      <c r="W479" s="200" t="str">
        <f aca="false">IF($A480="","",(T479+R479+G479+V479))</f>
        <v/>
      </c>
      <c r="X479" s="200" t="str">
        <f aca="false">IF($A480="","",(U479+S479+H479+V479))</f>
        <v/>
      </c>
      <c r="Y479" s="202"/>
      <c r="AJ479" s="77"/>
      <c r="AK479" s="77"/>
      <c r="AL479" s="77"/>
      <c r="AM479" s="77"/>
      <c r="AN479" s="77"/>
      <c r="AO479" s="137" t="str">
        <f aca="false">IF(A480="","",A480-A479)</f>
        <v/>
      </c>
      <c r="AP479" s="212" t="str">
        <f aca="false">IF(A480="","",CHOOSE(F$3,A480+24,A479))</f>
        <v/>
      </c>
      <c r="AQ479" s="209" t="str">
        <f aca="false">IF(A480="","",AP479-$E$1)</f>
        <v/>
      </c>
      <c r="AR479" s="185" t="n">
        <f aca="false">'ANR OK vs ML7'!AR479</f>
        <v>0.1</v>
      </c>
      <c r="AS479" s="213" t="str">
        <f aca="false">IF(A480="","",1/(1+CHOOSE(F$3,(AR480+($I$3/10000))/2,(AR479+($I$3/10000))/2))^(2*AQ479/365.25))</f>
        <v/>
      </c>
      <c r="AT479" s="137" t="str">
        <f aca="false">IF(A480="","",IF(AND(mthbeg&lt;=A479,mthend&gt;=A479),1,0))</f>
        <v/>
      </c>
      <c r="AU479" s="137" t="str">
        <f aca="false">IF(A480="","",AO479*AT479)</f>
        <v/>
      </c>
      <c r="AW479" s="195" t="str">
        <f aca="false">IF($A480="","",AL479*$E479)</f>
        <v/>
      </c>
      <c r="AX479" s="195" t="str">
        <f aca="false">IF($A480="","",AM479*$E479)</f>
        <v/>
      </c>
      <c r="AY479" s="195" t="str">
        <f aca="false">IF($A480="","",AN479*$E479)</f>
        <v/>
      </c>
      <c r="BA479" s="195" t="str">
        <f aca="false">IF($A480="","",F479*Summary!$Q$8)</f>
        <v/>
      </c>
    </row>
    <row r="480" customFormat="false" ht="12.75" hidden="false" customHeight="false" outlineLevel="0" collapsed="false">
      <c r="A480" s="196" t="str">
        <f aca="false">IF(A479&lt;mthend,EDATE(A479,1),"")</f>
        <v/>
      </c>
      <c r="B480" s="197" t="n">
        <f aca="false">IF(A480&lt;mthend,B479,0)</f>
        <v>0</v>
      </c>
      <c r="D480" s="197" t="str">
        <f aca="false">IF(A481&lt;&gt;"",B480+C480,"")</f>
        <v/>
      </c>
      <c r="E480" s="199" t="str">
        <f aca="false">IF(A481="","",IF(AND(AT480=1,$H$3=1),D480*AO480,IF($H$3=2,D480,"N/A")))</f>
        <v/>
      </c>
      <c r="F480" s="199" t="str">
        <f aca="false">IF(A481="","",E480*AS480)</f>
        <v/>
      </c>
      <c r="G480" s="200" t="str">
        <f aca="false">IF($A481="","",VLOOKUP($A480,Table,MATCH(G$4,Curves,0)))</f>
        <v/>
      </c>
      <c r="H480" s="201" t="str">
        <f aca="false">IF(A481="","",G480)</f>
        <v/>
      </c>
      <c r="J480" s="200" t="str">
        <f aca="false">IF($A481="","",VLOOKUP($A480,Table,MATCH(J$4,Curves,0)))</f>
        <v/>
      </c>
      <c r="K480" s="201" t="str">
        <f aca="false">IF(A481="","",J480)</f>
        <v/>
      </c>
      <c r="L480" s="200" t="str">
        <f aca="false">IF($A481="","",VLOOKUP($A480,Table,MATCH(L$4,Curves,0)))</f>
        <v/>
      </c>
      <c r="M480" s="201" t="str">
        <f aca="false">IF(A481="","",L480)</f>
        <v/>
      </c>
      <c r="O480" s="200" t="str">
        <f aca="false">IF(A481="","",L480+J480+G480)</f>
        <v/>
      </c>
      <c r="P480" s="200" t="str">
        <f aca="false">IF(A481="","",M480+K480+H480)</f>
        <v/>
      </c>
      <c r="R480" s="200" t="str">
        <f aca="false">IF($A481="","",VLOOKUP($A480,Table,MATCH(R$4,Curves,0)))</f>
        <v/>
      </c>
      <c r="S480" s="201" t="str">
        <f aca="false">IF(A481="","",R480)</f>
        <v/>
      </c>
      <c r="T480" s="200" t="str">
        <f aca="false">IF($A481="","",VLOOKUP($A480,Table,MATCH(T$4,Curves,0)))</f>
        <v/>
      </c>
      <c r="U480" s="201" t="str">
        <f aca="false">IF(A481="","",T480)</f>
        <v/>
      </c>
      <c r="V480" s="183" t="str">
        <f aca="false">IF($A481="","",IF(AND(MONTH(A480)&gt;3,MONTH(A480)&lt;11),(T480+R480+G480)*Summary!$T$8/(1-Summary!$T$8),(T480+R480+G480)*Summary!$U$8/(1-Summary!$U$8)))</f>
        <v/>
      </c>
      <c r="W480" s="200" t="str">
        <f aca="false">IF($A481="","",(T480+R480+G480+V480))</f>
        <v/>
      </c>
      <c r="X480" s="200" t="str">
        <f aca="false">IF($A481="","",(U480+S480+H480+V480))</f>
        <v/>
      </c>
      <c r="Y480" s="202"/>
      <c r="AJ480" s="77"/>
      <c r="AK480" s="77"/>
      <c r="AL480" s="77"/>
      <c r="AM480" s="77"/>
      <c r="AN480" s="77"/>
      <c r="AO480" s="137" t="str">
        <f aca="false">IF(A481="","",A481-A480)</f>
        <v/>
      </c>
      <c r="AP480" s="212" t="str">
        <f aca="false">IF(A481="","",CHOOSE(F$3,A481+24,A480))</f>
        <v/>
      </c>
      <c r="AQ480" s="209" t="str">
        <f aca="false">IF(A481="","",AP480-$E$1)</f>
        <v/>
      </c>
      <c r="AR480" s="185" t="n">
        <f aca="false">'ANR OK vs ML7'!AR480</f>
        <v>0.1</v>
      </c>
      <c r="AS480" s="213" t="str">
        <f aca="false">IF(A481="","",1/(1+CHOOSE(F$3,(AR481+($I$3/10000))/2,(AR480+($I$3/10000))/2))^(2*AQ480/365.25))</f>
        <v/>
      </c>
      <c r="AT480" s="137" t="str">
        <f aca="false">IF(A481="","",IF(AND(mthbeg&lt;=A480,mthend&gt;=A480),1,0))</f>
        <v/>
      </c>
      <c r="AU480" s="137" t="str">
        <f aca="false">IF(A481="","",AO480*AT480)</f>
        <v/>
      </c>
      <c r="AW480" s="195" t="str">
        <f aca="false">IF($A481="","",AL480*$E480)</f>
        <v/>
      </c>
      <c r="AX480" s="195" t="str">
        <f aca="false">IF($A481="","",AM480*$E480)</f>
        <v/>
      </c>
      <c r="AY480" s="195" t="str">
        <f aca="false">IF($A481="","",AN480*$E480)</f>
        <v/>
      </c>
      <c r="BA480" s="195" t="str">
        <f aca="false">IF($A481="","",F480*Summary!$Q$8)</f>
        <v/>
      </c>
    </row>
    <row r="481" customFormat="false" ht="12.75" hidden="false" customHeight="false" outlineLevel="0" collapsed="false">
      <c r="A481" s="196" t="str">
        <f aca="false">IF(A480&lt;mthend,EDATE(A480,1),"")</f>
        <v/>
      </c>
      <c r="B481" s="197" t="n">
        <f aca="false">IF(A481&lt;mthend,B480,0)</f>
        <v>0</v>
      </c>
      <c r="D481" s="197" t="str">
        <f aca="false">IF(A482&lt;&gt;"",B481+C481,"")</f>
        <v/>
      </c>
      <c r="E481" s="199" t="str">
        <f aca="false">IF(A482="","",IF(AND(AT481=1,$H$3=1),D481*AO481,IF($H$3=2,D481,"N/A")))</f>
        <v/>
      </c>
      <c r="F481" s="199" t="str">
        <f aca="false">IF(A482="","",E481*AS481)</f>
        <v/>
      </c>
      <c r="G481" s="200" t="str">
        <f aca="false">IF($A482="","",VLOOKUP($A481,Table,MATCH(G$4,Curves,0)))</f>
        <v/>
      </c>
      <c r="H481" s="201" t="str">
        <f aca="false">IF(A482="","",G481)</f>
        <v/>
      </c>
      <c r="J481" s="200" t="str">
        <f aca="false">IF($A482="","",VLOOKUP($A481,Table,MATCH(J$4,Curves,0)))</f>
        <v/>
      </c>
      <c r="K481" s="201" t="str">
        <f aca="false">IF(A482="","",J481)</f>
        <v/>
      </c>
      <c r="L481" s="200" t="str">
        <f aca="false">IF($A482="","",VLOOKUP($A481,Table,MATCH(L$4,Curves,0)))</f>
        <v/>
      </c>
      <c r="M481" s="201" t="str">
        <f aca="false">IF(A482="","",L481)</f>
        <v/>
      </c>
      <c r="O481" s="200" t="str">
        <f aca="false">IF(A482="","",L481+J481+G481)</f>
        <v/>
      </c>
      <c r="P481" s="200" t="str">
        <f aca="false">IF(A482="","",M481+K481+H481)</f>
        <v/>
      </c>
      <c r="R481" s="200" t="str">
        <f aca="false">IF($A482="","",VLOOKUP($A481,Table,MATCH(R$4,Curves,0)))</f>
        <v/>
      </c>
      <c r="S481" s="201" t="str">
        <f aca="false">IF(A482="","",R481)</f>
        <v/>
      </c>
      <c r="T481" s="200" t="str">
        <f aca="false">IF($A482="","",VLOOKUP($A481,Table,MATCH(T$4,Curves,0)))</f>
        <v/>
      </c>
      <c r="U481" s="201" t="str">
        <f aca="false">IF(A482="","",T481)</f>
        <v/>
      </c>
      <c r="V481" s="183" t="str">
        <f aca="false">IF($A482="","",IF(AND(MONTH(A481)&gt;3,MONTH(A481)&lt;11),(T481+R481+G481)*Summary!$T$8/(1-Summary!$T$8),(T481+R481+G481)*Summary!$U$8/(1-Summary!$U$8)))</f>
        <v/>
      </c>
      <c r="W481" s="200" t="str">
        <f aca="false">IF($A482="","",(T481+R481+G481+V481))</f>
        <v/>
      </c>
      <c r="X481" s="200" t="str">
        <f aca="false">IF($A482="","",(U481+S481+H481+V481))</f>
        <v/>
      </c>
      <c r="Y481" s="202"/>
      <c r="AJ481" s="77"/>
      <c r="AK481" s="77"/>
      <c r="AL481" s="77"/>
      <c r="AM481" s="77"/>
      <c r="AN481" s="77"/>
      <c r="AO481" s="137" t="str">
        <f aca="false">IF(A482="","",A482-A481)</f>
        <v/>
      </c>
      <c r="AP481" s="212" t="str">
        <f aca="false">IF(A482="","",CHOOSE(F$3,A482+24,A481))</f>
        <v/>
      </c>
      <c r="AQ481" s="209" t="str">
        <f aca="false">IF(A482="","",AP481-$E$1)</f>
        <v/>
      </c>
      <c r="AR481" s="185" t="n">
        <f aca="false">'ANR OK vs ML7'!AR481</f>
        <v>0.1</v>
      </c>
      <c r="AS481" s="213" t="str">
        <f aca="false">IF(A482="","",1/(1+CHOOSE(F$3,(AR482+($I$3/10000))/2,(AR481+($I$3/10000))/2))^(2*AQ481/365.25))</f>
        <v/>
      </c>
      <c r="AT481" s="137" t="str">
        <f aca="false">IF(A482="","",IF(AND(mthbeg&lt;=A481,mthend&gt;=A481),1,0))</f>
        <v/>
      </c>
      <c r="AU481" s="137" t="str">
        <f aca="false">IF(A482="","",AO481*AT481)</f>
        <v/>
      </c>
      <c r="AW481" s="195" t="str">
        <f aca="false">IF($A482="","",AL481*$E481)</f>
        <v/>
      </c>
      <c r="AX481" s="195" t="str">
        <f aca="false">IF($A482="","",AM481*$E481)</f>
        <v/>
      </c>
      <c r="AY481" s="195" t="str">
        <f aca="false">IF($A482="","",AN481*$E481)</f>
        <v/>
      </c>
      <c r="BA481" s="195" t="str">
        <f aca="false">IF($A482="","",F481*Summary!$Q$8)</f>
        <v/>
      </c>
    </row>
    <row r="482" customFormat="false" ht="12.75" hidden="false" customHeight="false" outlineLevel="0" collapsed="false">
      <c r="A482" s="196" t="str">
        <f aca="false">IF(A481&lt;mthend,EDATE(A481,1),"")</f>
        <v/>
      </c>
      <c r="B482" s="197" t="n">
        <f aca="false">IF(A482&lt;mthend,B481,0)</f>
        <v>0</v>
      </c>
      <c r="D482" s="197" t="str">
        <f aca="false">IF(A483&lt;&gt;"",B482+C482,"")</f>
        <v/>
      </c>
      <c r="E482" s="199" t="str">
        <f aca="false">IF(A483="","",IF(AND(AT482=1,$H$3=1),D482*AO482,IF($H$3=2,D482,"N/A")))</f>
        <v/>
      </c>
      <c r="F482" s="199" t="str">
        <f aca="false">IF(A483="","",E482*AS482)</f>
        <v/>
      </c>
      <c r="G482" s="200" t="str">
        <f aca="false">IF($A483="","",VLOOKUP($A482,Table,MATCH(G$4,Curves,0)))</f>
        <v/>
      </c>
      <c r="H482" s="201" t="str">
        <f aca="false">IF(A483="","",G482)</f>
        <v/>
      </c>
      <c r="J482" s="200" t="str">
        <f aca="false">IF($A483="","",VLOOKUP($A482,Table,MATCH(J$4,Curves,0)))</f>
        <v/>
      </c>
      <c r="K482" s="201" t="str">
        <f aca="false">IF(A483="","",J482)</f>
        <v/>
      </c>
      <c r="L482" s="200" t="str">
        <f aca="false">IF($A483="","",VLOOKUP($A482,Table,MATCH(L$4,Curves,0)))</f>
        <v/>
      </c>
      <c r="M482" s="201" t="str">
        <f aca="false">IF(A483="","",L482)</f>
        <v/>
      </c>
      <c r="O482" s="200" t="str">
        <f aca="false">IF(A483="","",L482+J482+G482)</f>
        <v/>
      </c>
      <c r="P482" s="200" t="str">
        <f aca="false">IF(A483="","",M482+K482+H482)</f>
        <v/>
      </c>
      <c r="R482" s="200" t="str">
        <f aca="false">IF($A483="","",VLOOKUP($A482,Table,MATCH(R$4,Curves,0)))</f>
        <v/>
      </c>
      <c r="S482" s="201" t="str">
        <f aca="false">IF(A483="","",R482)</f>
        <v/>
      </c>
      <c r="T482" s="200" t="str">
        <f aca="false">IF($A483="","",VLOOKUP($A482,Table,MATCH(T$4,Curves,0)))</f>
        <v/>
      </c>
      <c r="U482" s="201" t="str">
        <f aca="false">IF(A483="","",T482)</f>
        <v/>
      </c>
      <c r="V482" s="183" t="str">
        <f aca="false">IF($A483="","",IF(AND(MONTH(A482)&gt;3,MONTH(A482)&lt;11),(T482+R482+G482)*Summary!$T$8/(1-Summary!$T$8),(T482+R482+G482)*Summary!$U$8/(1-Summary!$U$8)))</f>
        <v/>
      </c>
      <c r="W482" s="200" t="str">
        <f aca="false">IF($A483="","",(T482+R482+G482+V482))</f>
        <v/>
      </c>
      <c r="X482" s="200" t="str">
        <f aca="false">IF($A483="","",(U482+S482+H482+V482))</f>
        <v/>
      </c>
      <c r="Y482" s="202"/>
      <c r="AJ482" s="77"/>
      <c r="AK482" s="77"/>
      <c r="AL482" s="77"/>
      <c r="AM482" s="77"/>
      <c r="AN482" s="77"/>
      <c r="AO482" s="137" t="str">
        <f aca="false">IF(A483="","",A483-A482)</f>
        <v/>
      </c>
      <c r="AP482" s="212" t="str">
        <f aca="false">IF(A483="","",CHOOSE(F$3,A483+24,A482))</f>
        <v/>
      </c>
      <c r="AQ482" s="209" t="str">
        <f aca="false">IF(A483="","",AP482-$E$1)</f>
        <v/>
      </c>
      <c r="AR482" s="185" t="n">
        <f aca="false">'ANR OK vs ML7'!AR482</f>
        <v>0.1</v>
      </c>
      <c r="AS482" s="213" t="str">
        <f aca="false">IF(A483="","",1/(1+CHOOSE(F$3,(AR483+($I$3/10000))/2,(AR482+($I$3/10000))/2))^(2*AQ482/365.25))</f>
        <v/>
      </c>
      <c r="AT482" s="137" t="str">
        <f aca="false">IF(A483="","",IF(AND(mthbeg&lt;=A482,mthend&gt;=A482),1,0))</f>
        <v/>
      </c>
      <c r="AU482" s="137" t="str">
        <f aca="false">IF(A483="","",AO482*AT482)</f>
        <v/>
      </c>
      <c r="AW482" s="195" t="str">
        <f aca="false">IF($A483="","",AL482*$E482)</f>
        <v/>
      </c>
      <c r="AX482" s="195" t="str">
        <f aca="false">IF($A483="","",AM482*$E482)</f>
        <v/>
      </c>
      <c r="AY482" s="195" t="str">
        <f aca="false">IF($A483="","",AN482*$E482)</f>
        <v/>
      </c>
      <c r="BA482" s="195" t="str">
        <f aca="false">IF($A483="","",F482*Summary!$Q$8)</f>
        <v/>
      </c>
    </row>
    <row r="483" customFormat="false" ht="12.75" hidden="false" customHeight="false" outlineLevel="0" collapsed="false">
      <c r="A483" s="196" t="str">
        <f aca="false">IF(A482&lt;mthend,EDATE(A482,1),"")</f>
        <v/>
      </c>
      <c r="B483" s="197" t="n">
        <f aca="false">IF(A483&lt;mthend,B482,0)</f>
        <v>0</v>
      </c>
      <c r="D483" s="197" t="str">
        <f aca="false">IF(A484&lt;&gt;"",B483+C483,"")</f>
        <v/>
      </c>
      <c r="E483" s="199" t="str">
        <f aca="false">IF(A484="","",IF(AND(AT483=1,$H$3=1),D483*AO483,IF($H$3=2,D483,"N/A")))</f>
        <v/>
      </c>
      <c r="F483" s="199" t="str">
        <f aca="false">IF(A484="","",E483*AS483)</f>
        <v/>
      </c>
      <c r="G483" s="200" t="str">
        <f aca="false">IF($A484="","",VLOOKUP($A483,Table,MATCH(G$4,Curves,0)))</f>
        <v/>
      </c>
      <c r="H483" s="201" t="str">
        <f aca="false">IF(A484="","",G483)</f>
        <v/>
      </c>
      <c r="J483" s="200" t="str">
        <f aca="false">IF($A484="","",VLOOKUP($A483,Table,MATCH(J$4,Curves,0)))</f>
        <v/>
      </c>
      <c r="K483" s="201" t="str">
        <f aca="false">IF(A484="","",J483)</f>
        <v/>
      </c>
      <c r="L483" s="200" t="str">
        <f aca="false">IF($A484="","",VLOOKUP($A483,Table,MATCH(L$4,Curves,0)))</f>
        <v/>
      </c>
      <c r="M483" s="201" t="str">
        <f aca="false">IF(A484="","",L483)</f>
        <v/>
      </c>
      <c r="O483" s="200" t="str">
        <f aca="false">IF(A484="","",L483+J483+G483)</f>
        <v/>
      </c>
      <c r="P483" s="200" t="str">
        <f aca="false">IF(A484="","",M483+K483+H483)</f>
        <v/>
      </c>
      <c r="R483" s="200" t="str">
        <f aca="false">IF($A484="","",VLOOKUP($A483,Table,MATCH(R$4,Curves,0)))</f>
        <v/>
      </c>
      <c r="S483" s="201" t="str">
        <f aca="false">IF(A484="","",R483)</f>
        <v/>
      </c>
      <c r="T483" s="200" t="str">
        <f aca="false">IF($A484="","",VLOOKUP($A483,Table,MATCH(T$4,Curves,0)))</f>
        <v/>
      </c>
      <c r="U483" s="201" t="str">
        <f aca="false">IF(A484="","",T483)</f>
        <v/>
      </c>
      <c r="V483" s="183" t="str">
        <f aca="false">IF($A484="","",IF(AND(MONTH(A483)&gt;3,MONTH(A483)&lt;11),(T483+R483+G483)*Summary!$T$8/(1-Summary!$T$8),(T483+R483+G483)*Summary!$U$8/(1-Summary!$U$8)))</f>
        <v/>
      </c>
      <c r="W483" s="200" t="str">
        <f aca="false">IF($A484="","",(T483+R483+G483+V483))</f>
        <v/>
      </c>
      <c r="X483" s="200" t="str">
        <f aca="false">IF($A484="","",(U483+S483+H483+V483))</f>
        <v/>
      </c>
      <c r="Y483" s="202"/>
      <c r="AJ483" s="77"/>
      <c r="AK483" s="77"/>
      <c r="AL483" s="77"/>
      <c r="AM483" s="77"/>
      <c r="AN483" s="77"/>
      <c r="AO483" s="137" t="str">
        <f aca="false">IF(A484="","",A484-A483)</f>
        <v/>
      </c>
      <c r="AP483" s="212" t="str">
        <f aca="false">IF(A484="","",CHOOSE(F$3,A484+24,A483))</f>
        <v/>
      </c>
      <c r="AQ483" s="209" t="str">
        <f aca="false">IF(A484="","",AP483-$E$1)</f>
        <v/>
      </c>
      <c r="AR483" s="185" t="n">
        <f aca="false">'ANR OK vs ML7'!AR483</f>
        <v>0.1</v>
      </c>
      <c r="AS483" s="213" t="str">
        <f aca="false">IF(A484="","",1/(1+CHOOSE(F$3,(AR484+($I$3/10000))/2,(AR483+($I$3/10000))/2))^(2*AQ483/365.25))</f>
        <v/>
      </c>
      <c r="AT483" s="137" t="str">
        <f aca="false">IF(A484="","",IF(AND(mthbeg&lt;=A483,mthend&gt;=A483),1,0))</f>
        <v/>
      </c>
      <c r="AU483" s="137" t="str">
        <f aca="false">IF(A484="","",AO483*AT483)</f>
        <v/>
      </c>
      <c r="AW483" s="195" t="str">
        <f aca="false">IF($A484="","",AL483*$E483)</f>
        <v/>
      </c>
      <c r="AX483" s="195" t="str">
        <f aca="false">IF($A484="","",AM483*$E483)</f>
        <v/>
      </c>
      <c r="AY483" s="195" t="str">
        <f aca="false">IF($A484="","",AN483*$E483)</f>
        <v/>
      </c>
      <c r="BA483" s="195" t="str">
        <f aca="false">IF($A484="","",F483*Summary!$Q$8)</f>
        <v/>
      </c>
    </row>
    <row r="484" customFormat="false" ht="12.75" hidden="false" customHeight="false" outlineLevel="0" collapsed="false">
      <c r="A484" s="196" t="str">
        <f aca="false">IF(A483&lt;mthend,EDATE(A483,1),"")</f>
        <v/>
      </c>
      <c r="B484" s="197" t="n">
        <f aca="false">IF(A484&lt;mthend,B483,0)</f>
        <v>0</v>
      </c>
      <c r="D484" s="197" t="str">
        <f aca="false">IF(A485&lt;&gt;"",B484+C484,"")</f>
        <v/>
      </c>
      <c r="E484" s="199" t="str">
        <f aca="false">IF(A485="","",IF(AND(AT484=1,$H$3=1),D484*AO484,IF($H$3=2,D484,"N/A")))</f>
        <v/>
      </c>
      <c r="F484" s="199" t="str">
        <f aca="false">IF(A485="","",E484*AS484)</f>
        <v/>
      </c>
      <c r="G484" s="200" t="str">
        <f aca="false">IF($A485="","",VLOOKUP($A484,Table,MATCH(G$4,Curves,0)))</f>
        <v/>
      </c>
      <c r="H484" s="201" t="str">
        <f aca="false">IF(A485="","",G484)</f>
        <v/>
      </c>
      <c r="J484" s="200" t="str">
        <f aca="false">IF($A485="","",VLOOKUP($A484,Table,MATCH(J$4,Curves,0)))</f>
        <v/>
      </c>
      <c r="K484" s="201" t="str">
        <f aca="false">IF(A485="","",J484)</f>
        <v/>
      </c>
      <c r="L484" s="200" t="str">
        <f aca="false">IF($A485="","",VLOOKUP($A484,Table,MATCH(L$4,Curves,0)))</f>
        <v/>
      </c>
      <c r="M484" s="201" t="str">
        <f aca="false">IF(A485="","",L484)</f>
        <v/>
      </c>
      <c r="O484" s="200" t="str">
        <f aca="false">IF(A485="","",L484+J484+G484)</f>
        <v/>
      </c>
      <c r="P484" s="200" t="str">
        <f aca="false">IF(A485="","",M484+K484+H484)</f>
        <v/>
      </c>
      <c r="R484" s="200" t="str">
        <f aca="false">IF($A485="","",VLOOKUP($A484,Table,MATCH(R$4,Curves,0)))</f>
        <v/>
      </c>
      <c r="S484" s="201" t="str">
        <f aca="false">IF(A485="","",R484)</f>
        <v/>
      </c>
      <c r="T484" s="200" t="str">
        <f aca="false">IF($A485="","",VLOOKUP($A484,Table,MATCH(T$4,Curves,0)))</f>
        <v/>
      </c>
      <c r="U484" s="201" t="str">
        <f aca="false">IF(A485="","",T484)</f>
        <v/>
      </c>
      <c r="V484" s="183" t="str">
        <f aca="false">IF($A485="","",IF(AND(MONTH(A484)&gt;3,MONTH(A484)&lt;11),(T484+R484+G484)*Summary!$T$8/(1-Summary!$T$8),(T484+R484+G484)*Summary!$U$8/(1-Summary!$U$8)))</f>
        <v/>
      </c>
      <c r="W484" s="200" t="str">
        <f aca="false">IF($A485="","",(T484+R484+G484+V484))</f>
        <v/>
      </c>
      <c r="X484" s="200" t="str">
        <f aca="false">IF($A485="","",(U484+S484+H484+V484))</f>
        <v/>
      </c>
      <c r="Y484" s="202"/>
      <c r="AJ484" s="77"/>
      <c r="AK484" s="77"/>
      <c r="AL484" s="77"/>
      <c r="AM484" s="77"/>
      <c r="AN484" s="77"/>
      <c r="AO484" s="137" t="str">
        <f aca="false">IF(A485="","",A485-A484)</f>
        <v/>
      </c>
      <c r="AP484" s="212" t="str">
        <f aca="false">IF(A485="","",CHOOSE(F$3,A485+24,A484))</f>
        <v/>
      </c>
      <c r="AQ484" s="209" t="str">
        <f aca="false">IF(A485="","",AP484-$E$1)</f>
        <v/>
      </c>
      <c r="AR484" s="185" t="n">
        <f aca="false">'ANR OK vs ML7'!AR484</f>
        <v>0.1</v>
      </c>
      <c r="AS484" s="213" t="str">
        <f aca="false">IF(A485="","",1/(1+CHOOSE(F$3,(AR485+($I$3/10000))/2,(AR484+($I$3/10000))/2))^(2*AQ484/365.25))</f>
        <v/>
      </c>
      <c r="AT484" s="137" t="str">
        <f aca="false">IF(A485="","",IF(AND(mthbeg&lt;=A484,mthend&gt;=A484),1,0))</f>
        <v/>
      </c>
      <c r="AU484" s="137" t="str">
        <f aca="false">IF(A485="","",AO484*AT484)</f>
        <v/>
      </c>
      <c r="AW484" s="195" t="str">
        <f aca="false">IF($A485="","",AL484*$E484)</f>
        <v/>
      </c>
      <c r="AX484" s="195" t="str">
        <f aca="false">IF($A485="","",AM484*$E484)</f>
        <v/>
      </c>
      <c r="AY484" s="195" t="str">
        <f aca="false">IF($A485="","",AN484*$E484)</f>
        <v/>
      </c>
      <c r="BA484" s="195" t="str">
        <f aca="false">IF($A485="","",F484*Summary!$Q$8)</f>
        <v/>
      </c>
    </row>
    <row r="485" customFormat="false" ht="12.75" hidden="false" customHeight="false" outlineLevel="0" collapsed="false">
      <c r="A485" s="196" t="str">
        <f aca="false">IF(A484&lt;mthend,EDATE(A484,1),"")</f>
        <v/>
      </c>
      <c r="B485" s="197" t="n">
        <f aca="false">IF(A485&lt;mthend,B484,0)</f>
        <v>0</v>
      </c>
      <c r="D485" s="197" t="str">
        <f aca="false">IF(A486&lt;&gt;"",B485+C485,"")</f>
        <v/>
      </c>
      <c r="E485" s="199" t="str">
        <f aca="false">IF(A486="","",IF(AND(AT485=1,$H$3=1),D485*AO485,IF($H$3=2,D485,"N/A")))</f>
        <v/>
      </c>
      <c r="F485" s="199" t="str">
        <f aca="false">IF(A486="","",E485*AS485)</f>
        <v/>
      </c>
      <c r="G485" s="200" t="str">
        <f aca="false">IF($A486="","",VLOOKUP($A485,Table,MATCH(G$4,Curves,0)))</f>
        <v/>
      </c>
      <c r="H485" s="201" t="str">
        <f aca="false">IF(A486="","",G485)</f>
        <v/>
      </c>
      <c r="J485" s="200" t="str">
        <f aca="false">IF($A486="","",VLOOKUP($A485,Table,MATCH(J$4,Curves,0)))</f>
        <v/>
      </c>
      <c r="K485" s="201" t="str">
        <f aca="false">IF(A486="","",J485)</f>
        <v/>
      </c>
      <c r="L485" s="200" t="str">
        <f aca="false">IF($A486="","",VLOOKUP($A485,Table,MATCH(L$4,Curves,0)))</f>
        <v/>
      </c>
      <c r="M485" s="201" t="str">
        <f aca="false">IF(A486="","",L485)</f>
        <v/>
      </c>
      <c r="O485" s="200" t="str">
        <f aca="false">IF(A486="","",L485+J485+G485)</f>
        <v/>
      </c>
      <c r="P485" s="200" t="str">
        <f aca="false">IF(A486="","",M485+K485+H485)</f>
        <v/>
      </c>
      <c r="R485" s="200" t="str">
        <f aca="false">IF($A486="","",VLOOKUP($A485,Table,MATCH(R$4,Curves,0)))</f>
        <v/>
      </c>
      <c r="S485" s="201" t="str">
        <f aca="false">IF(A486="","",R485)</f>
        <v/>
      </c>
      <c r="T485" s="200" t="str">
        <f aca="false">IF($A486="","",VLOOKUP($A485,Table,MATCH(T$4,Curves,0)))</f>
        <v/>
      </c>
      <c r="U485" s="201" t="str">
        <f aca="false">IF(A486="","",T485)</f>
        <v/>
      </c>
      <c r="V485" s="183" t="str">
        <f aca="false">IF($A486="","",IF(AND(MONTH(A485)&gt;3,MONTH(A485)&lt;11),(T485+R485+G485)*Summary!$T$8/(1-Summary!$T$8),(T485+R485+G485)*Summary!$U$8/(1-Summary!$U$8)))</f>
        <v/>
      </c>
      <c r="W485" s="200" t="str">
        <f aca="false">IF($A486="","",(T485+R485+G485+V485))</f>
        <v/>
      </c>
      <c r="X485" s="200" t="str">
        <f aca="false">IF($A486="","",(U485+S485+H485+V485))</f>
        <v/>
      </c>
      <c r="Y485" s="202"/>
      <c r="AJ485" s="77"/>
      <c r="AK485" s="77"/>
      <c r="AL485" s="77"/>
      <c r="AM485" s="77"/>
      <c r="AN485" s="77"/>
      <c r="AO485" s="137" t="str">
        <f aca="false">IF(A486="","",A486-A485)</f>
        <v/>
      </c>
      <c r="AP485" s="212" t="str">
        <f aca="false">IF(A486="","",CHOOSE(F$3,A486+24,A485))</f>
        <v/>
      </c>
      <c r="AQ485" s="209" t="str">
        <f aca="false">IF(A486="","",AP485-$E$1)</f>
        <v/>
      </c>
      <c r="AR485" s="185" t="n">
        <f aca="false">'ANR OK vs ML7'!AR485</f>
        <v>0.1</v>
      </c>
      <c r="AS485" s="213" t="str">
        <f aca="false">IF(A486="","",1/(1+CHOOSE(F$3,(AR486+($I$3/10000))/2,(AR485+($I$3/10000))/2))^(2*AQ485/365.25))</f>
        <v/>
      </c>
      <c r="AT485" s="137" t="str">
        <f aca="false">IF(A486="","",IF(AND(mthbeg&lt;=A485,mthend&gt;=A485),1,0))</f>
        <v/>
      </c>
      <c r="AU485" s="137" t="str">
        <f aca="false">IF(A486="","",AO485*AT485)</f>
        <v/>
      </c>
      <c r="AW485" s="195" t="str">
        <f aca="false">IF($A486="","",AL485*$E485)</f>
        <v/>
      </c>
      <c r="AX485" s="195" t="str">
        <f aca="false">IF($A486="","",AM485*$E485)</f>
        <v/>
      </c>
      <c r="AY485" s="195" t="str">
        <f aca="false">IF($A486="","",AN485*$E485)</f>
        <v/>
      </c>
      <c r="BA485" s="195" t="str">
        <f aca="false">IF($A486="","",F485*Summary!$Q$8)</f>
        <v/>
      </c>
    </row>
    <row r="486" customFormat="false" ht="12.75" hidden="false" customHeight="false" outlineLevel="0" collapsed="false">
      <c r="A486" s="196" t="str">
        <f aca="false">IF(A485&lt;mthend,EDATE(A485,1),"")</f>
        <v/>
      </c>
      <c r="B486" s="197" t="n">
        <f aca="false">IF(A486&lt;mthend,B485,0)</f>
        <v>0</v>
      </c>
      <c r="D486" s="197" t="str">
        <f aca="false">IF(A487&lt;&gt;"",B486+C486,"")</f>
        <v/>
      </c>
      <c r="E486" s="199" t="str">
        <f aca="false">IF(A487="","",IF(AND(AT486=1,$H$3=1),D486*AO486,IF($H$3=2,D486,"N/A")))</f>
        <v/>
      </c>
      <c r="F486" s="199" t="str">
        <f aca="false">IF(A487="","",E486*AS486)</f>
        <v/>
      </c>
      <c r="G486" s="200" t="str">
        <f aca="false">IF($A487="","",VLOOKUP($A486,Table,MATCH(G$4,Curves,0)))</f>
        <v/>
      </c>
      <c r="H486" s="201" t="str">
        <f aca="false">IF(A487="","",G486)</f>
        <v/>
      </c>
      <c r="J486" s="200" t="str">
        <f aca="false">IF($A487="","",VLOOKUP($A486,Table,MATCH(J$4,Curves,0)))</f>
        <v/>
      </c>
      <c r="K486" s="201" t="str">
        <f aca="false">IF(A487="","",J486)</f>
        <v/>
      </c>
      <c r="L486" s="200" t="str">
        <f aca="false">IF($A487="","",VLOOKUP($A486,Table,MATCH(L$4,Curves,0)))</f>
        <v/>
      </c>
      <c r="M486" s="201" t="str">
        <f aca="false">IF(A487="","",L486)</f>
        <v/>
      </c>
      <c r="O486" s="200" t="str">
        <f aca="false">IF(A487="","",L486+J486+G486)</f>
        <v/>
      </c>
      <c r="P486" s="200" t="str">
        <f aca="false">IF(A487="","",M486+K486+H486)</f>
        <v/>
      </c>
      <c r="R486" s="200" t="str">
        <f aca="false">IF($A487="","",VLOOKUP($A486,Table,MATCH(R$4,Curves,0)))</f>
        <v/>
      </c>
      <c r="S486" s="201" t="str">
        <f aca="false">IF(A487="","",R486)</f>
        <v/>
      </c>
      <c r="T486" s="200" t="str">
        <f aca="false">IF($A487="","",VLOOKUP($A486,Table,MATCH(T$4,Curves,0)))</f>
        <v/>
      </c>
      <c r="U486" s="201" t="str">
        <f aca="false">IF(A487="","",T486)</f>
        <v/>
      </c>
      <c r="V486" s="183" t="str">
        <f aca="false">IF($A487="","",IF(AND(MONTH(A486)&gt;3,MONTH(A486)&lt;11),(T486+R486+G486)*Summary!$T$8/(1-Summary!$T$8),(T486+R486+G486)*Summary!$U$8/(1-Summary!$U$8)))</f>
        <v/>
      </c>
      <c r="W486" s="200" t="str">
        <f aca="false">IF($A487="","",(T486+R486+G486+V486))</f>
        <v/>
      </c>
      <c r="X486" s="200" t="str">
        <f aca="false">IF($A487="","",(U486+S486+H486+V486))</f>
        <v/>
      </c>
      <c r="Y486" s="202"/>
      <c r="AJ486" s="77"/>
      <c r="AK486" s="77"/>
      <c r="AL486" s="77"/>
      <c r="AM486" s="77"/>
      <c r="AN486" s="77"/>
      <c r="AO486" s="137" t="str">
        <f aca="false">IF(A487="","",A487-A486)</f>
        <v/>
      </c>
      <c r="AP486" s="212" t="str">
        <f aca="false">IF(A487="","",CHOOSE(F$3,A487+24,A486))</f>
        <v/>
      </c>
      <c r="AQ486" s="209" t="str">
        <f aca="false">IF(A487="","",AP486-$E$1)</f>
        <v/>
      </c>
      <c r="AR486" s="185" t="n">
        <f aca="false">'ANR OK vs ML7'!AR486</f>
        <v>0.1</v>
      </c>
      <c r="AS486" s="213" t="str">
        <f aca="false">IF(A487="","",1/(1+CHOOSE(F$3,(AR487+($I$3/10000))/2,(AR486+($I$3/10000))/2))^(2*AQ486/365.25))</f>
        <v/>
      </c>
      <c r="AT486" s="137" t="str">
        <f aca="false">IF(A487="","",IF(AND(mthbeg&lt;=A486,mthend&gt;=A486),1,0))</f>
        <v/>
      </c>
      <c r="AU486" s="137" t="str">
        <f aca="false">IF(A487="","",AO486*AT486)</f>
        <v/>
      </c>
      <c r="AW486" s="195" t="str">
        <f aca="false">IF($A487="","",AL486*$E486)</f>
        <v/>
      </c>
      <c r="AX486" s="195" t="str">
        <f aca="false">IF($A487="","",AM486*$E486)</f>
        <v/>
      </c>
      <c r="AY486" s="195" t="str">
        <f aca="false">IF($A487="","",AN486*$E486)</f>
        <v/>
      </c>
      <c r="BA486" s="195" t="str">
        <f aca="false">IF($A487="","",F486*Summary!$Q$8)</f>
        <v/>
      </c>
    </row>
    <row r="487" customFormat="false" ht="12.75" hidden="false" customHeight="false" outlineLevel="0" collapsed="false">
      <c r="A487" s="196" t="str">
        <f aca="false">IF(A486&lt;mthend,EDATE(A486,1),"")</f>
        <v/>
      </c>
      <c r="B487" s="197" t="n">
        <f aca="false">IF(A487&lt;mthend,B486,0)</f>
        <v>0</v>
      </c>
      <c r="D487" s="197" t="str">
        <f aca="false">IF(A488&lt;&gt;"",B487+C487,"")</f>
        <v/>
      </c>
      <c r="E487" s="199" t="str">
        <f aca="false">IF(A488="","",IF(AND(AT487=1,$H$3=1),D487*AO487,IF($H$3=2,D487,"N/A")))</f>
        <v/>
      </c>
      <c r="F487" s="199" t="str">
        <f aca="false">IF(A488="","",E487*AS487)</f>
        <v/>
      </c>
      <c r="G487" s="200" t="str">
        <f aca="false">IF($A488="","",VLOOKUP($A487,Table,MATCH(G$4,Curves,0)))</f>
        <v/>
      </c>
      <c r="H487" s="201" t="str">
        <f aca="false">IF(A488="","",G487)</f>
        <v/>
      </c>
      <c r="J487" s="200" t="str">
        <f aca="false">IF($A488="","",VLOOKUP($A487,Table,MATCH(J$4,Curves,0)))</f>
        <v/>
      </c>
      <c r="K487" s="201" t="str">
        <f aca="false">IF(A488="","",J487)</f>
        <v/>
      </c>
      <c r="L487" s="200" t="str">
        <f aca="false">IF($A488="","",VLOOKUP($A487,Table,MATCH(L$4,Curves,0)))</f>
        <v/>
      </c>
      <c r="M487" s="201" t="str">
        <f aca="false">IF(A488="","",L487)</f>
        <v/>
      </c>
      <c r="O487" s="200" t="str">
        <f aca="false">IF(A488="","",L487+J487+G487)</f>
        <v/>
      </c>
      <c r="P487" s="200" t="str">
        <f aca="false">IF(A488="","",M487+K487+H487)</f>
        <v/>
      </c>
      <c r="R487" s="200" t="str">
        <f aca="false">IF($A488="","",VLOOKUP($A487,Table,MATCH(R$4,Curves,0)))</f>
        <v/>
      </c>
      <c r="S487" s="201" t="str">
        <f aca="false">IF(A488="","",R487)</f>
        <v/>
      </c>
      <c r="T487" s="200" t="str">
        <f aca="false">IF($A488="","",VLOOKUP($A487,Table,MATCH(T$4,Curves,0)))</f>
        <v/>
      </c>
      <c r="U487" s="201" t="str">
        <f aca="false">IF(A488="","",T487)</f>
        <v/>
      </c>
      <c r="V487" s="183" t="str">
        <f aca="false">IF($A488="","",IF(AND(MONTH(A487)&gt;3,MONTH(A487)&lt;11),(T487+R487+G487)*Summary!$T$8/(1-Summary!$T$8),(T487+R487+G487)*Summary!$U$8/(1-Summary!$U$8)))</f>
        <v/>
      </c>
      <c r="W487" s="200" t="str">
        <f aca="false">IF($A488="","",(T487+R487+G487+V487))</f>
        <v/>
      </c>
      <c r="X487" s="200" t="str">
        <f aca="false">IF($A488="","",(U487+S487+H487+V487))</f>
        <v/>
      </c>
      <c r="Y487" s="202"/>
      <c r="AJ487" s="77"/>
      <c r="AK487" s="77"/>
      <c r="AL487" s="77"/>
      <c r="AM487" s="77"/>
      <c r="AN487" s="77"/>
      <c r="AO487" s="137" t="str">
        <f aca="false">IF(A488="","",A488-A487)</f>
        <v/>
      </c>
      <c r="AP487" s="212" t="str">
        <f aca="false">IF(A488="","",CHOOSE(F$3,A488+24,A487))</f>
        <v/>
      </c>
      <c r="AQ487" s="209" t="str">
        <f aca="false">IF(A488="","",AP487-$E$1)</f>
        <v/>
      </c>
      <c r="AR487" s="185" t="n">
        <f aca="false">'ANR OK vs ML7'!AR487</f>
        <v>0.1</v>
      </c>
      <c r="AS487" s="213" t="str">
        <f aca="false">IF(A488="","",1/(1+CHOOSE(F$3,(AR488+($I$3/10000))/2,(AR487+($I$3/10000))/2))^(2*AQ487/365.25))</f>
        <v/>
      </c>
      <c r="AT487" s="137" t="str">
        <f aca="false">IF(A488="","",IF(AND(mthbeg&lt;=A487,mthend&gt;=A487),1,0))</f>
        <v/>
      </c>
      <c r="AU487" s="137" t="str">
        <f aca="false">IF(A488="","",AO487*AT487)</f>
        <v/>
      </c>
      <c r="AW487" s="195" t="str">
        <f aca="false">IF($A488="","",AL487*$E487)</f>
        <v/>
      </c>
      <c r="AX487" s="195" t="str">
        <f aca="false">IF($A488="","",AM487*$E487)</f>
        <v/>
      </c>
      <c r="AY487" s="195" t="str">
        <f aca="false">IF($A488="","",AN487*$E487)</f>
        <v/>
      </c>
      <c r="BA487" s="195" t="str">
        <f aca="false">IF($A488="","",F487*Summary!$Q$8)</f>
        <v/>
      </c>
    </row>
    <row r="488" customFormat="false" ht="12.75" hidden="false" customHeight="false" outlineLevel="0" collapsed="false">
      <c r="A488" s="196" t="str">
        <f aca="false">IF(A487&lt;mthend,EDATE(A487,1),"")</f>
        <v/>
      </c>
      <c r="B488" s="197" t="n">
        <f aca="false">IF(A488&lt;mthend,B487,0)</f>
        <v>0</v>
      </c>
      <c r="D488" s="197" t="str">
        <f aca="false">IF(A489&lt;&gt;"",B488+C488,"")</f>
        <v/>
      </c>
      <c r="E488" s="199" t="str">
        <f aca="false">IF(A489="","",IF(AND(AT488=1,$H$3=1),D488*AO488,IF($H$3=2,D488,"N/A")))</f>
        <v/>
      </c>
      <c r="F488" s="199" t="str">
        <f aca="false">IF(A489="","",E488*AS488)</f>
        <v/>
      </c>
      <c r="G488" s="200" t="str">
        <f aca="false">IF($A489="","",VLOOKUP($A488,Table,MATCH(G$4,Curves,0)))</f>
        <v/>
      </c>
      <c r="H488" s="201" t="str">
        <f aca="false">IF(A489="","",G488)</f>
        <v/>
      </c>
      <c r="J488" s="200" t="str">
        <f aca="false">IF($A489="","",VLOOKUP($A488,Table,MATCH(J$4,Curves,0)))</f>
        <v/>
      </c>
      <c r="K488" s="201" t="str">
        <f aca="false">IF(A489="","",J488)</f>
        <v/>
      </c>
      <c r="L488" s="200" t="str">
        <f aca="false">IF($A489="","",VLOOKUP($A488,Table,MATCH(L$4,Curves,0)))</f>
        <v/>
      </c>
      <c r="M488" s="201" t="str">
        <f aca="false">IF(A489="","",L488)</f>
        <v/>
      </c>
      <c r="O488" s="200" t="str">
        <f aca="false">IF(A489="","",L488+J488+G488)</f>
        <v/>
      </c>
      <c r="P488" s="200" t="str">
        <f aca="false">IF(A489="","",M488+K488+H488)</f>
        <v/>
      </c>
      <c r="R488" s="200" t="str">
        <f aca="false">IF($A489="","",VLOOKUP($A488,Table,MATCH(R$4,Curves,0)))</f>
        <v/>
      </c>
      <c r="S488" s="201" t="str">
        <f aca="false">IF(A489="","",R488)</f>
        <v/>
      </c>
      <c r="T488" s="200" t="str">
        <f aca="false">IF($A489="","",VLOOKUP($A488,Table,MATCH(T$4,Curves,0)))</f>
        <v/>
      </c>
      <c r="U488" s="201" t="str">
        <f aca="false">IF(A489="","",T488)</f>
        <v/>
      </c>
      <c r="V488" s="183" t="str">
        <f aca="false">IF($A489="","",IF(AND(MONTH(A488)&gt;3,MONTH(A488)&lt;11),(T488+R488+G488)*Summary!$T$8/(1-Summary!$T$8),(T488+R488+G488)*Summary!$U$8/(1-Summary!$U$8)))</f>
        <v/>
      </c>
      <c r="W488" s="200" t="str">
        <f aca="false">IF($A489="","",(T488+R488+G488+V488))</f>
        <v/>
      </c>
      <c r="X488" s="200" t="str">
        <f aca="false">IF($A489="","",(U488+S488+H488+V488))</f>
        <v/>
      </c>
      <c r="Y488" s="202"/>
      <c r="AJ488" s="77"/>
      <c r="AK488" s="77"/>
      <c r="AL488" s="77"/>
      <c r="AM488" s="77"/>
      <c r="AN488" s="77"/>
      <c r="AO488" s="137" t="str">
        <f aca="false">IF(A489="","",A489-A488)</f>
        <v/>
      </c>
      <c r="AP488" s="212" t="str">
        <f aca="false">IF(A489="","",CHOOSE(F$3,A489+24,A488))</f>
        <v/>
      </c>
      <c r="AQ488" s="209" t="str">
        <f aca="false">IF(A489="","",AP488-$E$1)</f>
        <v/>
      </c>
      <c r="AR488" s="185" t="n">
        <f aca="false">'ANR OK vs ML7'!AR488</f>
        <v>0.1</v>
      </c>
      <c r="AS488" s="213" t="str">
        <f aca="false">IF(A489="","",1/(1+CHOOSE(F$3,(AR489+($I$3/10000))/2,(AR488+($I$3/10000))/2))^(2*AQ488/365.25))</f>
        <v/>
      </c>
      <c r="AT488" s="137" t="str">
        <f aca="false">IF(A489="","",IF(AND(mthbeg&lt;=A488,mthend&gt;=A488),1,0))</f>
        <v/>
      </c>
      <c r="AU488" s="137" t="str">
        <f aca="false">IF(A489="","",AO488*AT488)</f>
        <v/>
      </c>
      <c r="AW488" s="195" t="str">
        <f aca="false">IF($A489="","",AL488*$E488)</f>
        <v/>
      </c>
      <c r="AX488" s="195" t="str">
        <f aca="false">IF($A489="","",AM488*$E488)</f>
        <v/>
      </c>
      <c r="AY488" s="195" t="str">
        <f aca="false">IF($A489="","",AN488*$E488)</f>
        <v/>
      </c>
      <c r="BA488" s="195" t="str">
        <f aca="false">IF($A489="","",F488*Summary!$Q$8)</f>
        <v/>
      </c>
    </row>
    <row r="489" customFormat="false" ht="12.75" hidden="false" customHeight="false" outlineLevel="0" collapsed="false">
      <c r="A489" s="196" t="str">
        <f aca="false">IF(A488&lt;mthend,EDATE(A488,1),"")</f>
        <v/>
      </c>
      <c r="B489" s="197" t="n">
        <f aca="false">IF(A489&lt;mthend,B488,0)</f>
        <v>0</v>
      </c>
      <c r="D489" s="197" t="str">
        <f aca="false">IF(A490&lt;&gt;"",B489+C489,"")</f>
        <v/>
      </c>
      <c r="E489" s="199" t="str">
        <f aca="false">IF(A490="","",IF(AND(AT489=1,$H$3=1),D489*AO489,IF($H$3=2,D489,"N/A")))</f>
        <v/>
      </c>
      <c r="F489" s="199" t="str">
        <f aca="false">IF(A490="","",E489*AS489)</f>
        <v/>
      </c>
      <c r="G489" s="200" t="str">
        <f aca="false">IF($A490="","",VLOOKUP($A489,Table,MATCH(G$4,Curves,0)))</f>
        <v/>
      </c>
      <c r="H489" s="201" t="str">
        <f aca="false">IF(A490="","",G489)</f>
        <v/>
      </c>
      <c r="J489" s="200" t="str">
        <f aca="false">IF($A490="","",VLOOKUP($A489,Table,MATCH(J$4,Curves,0)))</f>
        <v/>
      </c>
      <c r="K489" s="201" t="str">
        <f aca="false">IF(A490="","",J489)</f>
        <v/>
      </c>
      <c r="L489" s="200" t="str">
        <f aca="false">IF($A490="","",VLOOKUP($A489,Table,MATCH(L$4,Curves,0)))</f>
        <v/>
      </c>
      <c r="M489" s="201" t="str">
        <f aca="false">IF(A490="","",L489)</f>
        <v/>
      </c>
      <c r="O489" s="200" t="str">
        <f aca="false">IF(A490="","",L489+J489+G489)</f>
        <v/>
      </c>
      <c r="P489" s="200" t="str">
        <f aca="false">IF(A490="","",M489+K489+H489)</f>
        <v/>
      </c>
      <c r="R489" s="200" t="str">
        <f aca="false">IF($A490="","",VLOOKUP($A489,Table,MATCH(R$4,Curves,0)))</f>
        <v/>
      </c>
      <c r="S489" s="201" t="str">
        <f aca="false">IF(A490="","",R489)</f>
        <v/>
      </c>
      <c r="T489" s="200" t="str">
        <f aca="false">IF($A490="","",VLOOKUP($A489,Table,MATCH(T$4,Curves,0)))</f>
        <v/>
      </c>
      <c r="U489" s="201" t="str">
        <f aca="false">IF(A490="","",T489)</f>
        <v/>
      </c>
      <c r="V489" s="183" t="str">
        <f aca="false">IF($A490="","",IF(AND(MONTH(A489)&gt;3,MONTH(A489)&lt;11),(T489+R489+G489)*Summary!$T$8/(1-Summary!$T$8),(T489+R489+G489)*Summary!$U$8/(1-Summary!$U$8)))</f>
        <v/>
      </c>
      <c r="W489" s="200" t="str">
        <f aca="false">IF($A490="","",(T489+R489+G489+V489))</f>
        <v/>
      </c>
      <c r="X489" s="200" t="str">
        <f aca="false">IF($A490="","",(U489+S489+H489+V489))</f>
        <v/>
      </c>
      <c r="Y489" s="202"/>
      <c r="AJ489" s="77"/>
      <c r="AK489" s="77"/>
      <c r="AL489" s="77"/>
      <c r="AM489" s="77"/>
      <c r="AN489" s="77"/>
      <c r="AO489" s="137" t="str">
        <f aca="false">IF(A490="","",A490-A489)</f>
        <v/>
      </c>
      <c r="AP489" s="212" t="str">
        <f aca="false">IF(A490="","",CHOOSE(F$3,A490+24,A489))</f>
        <v/>
      </c>
      <c r="AQ489" s="209" t="str">
        <f aca="false">IF(A490="","",AP489-$E$1)</f>
        <v/>
      </c>
      <c r="AR489" s="185" t="n">
        <f aca="false">'ANR OK vs ML7'!AR489</f>
        <v>0.1</v>
      </c>
      <c r="AS489" s="213" t="str">
        <f aca="false">IF(A490="","",1/(1+CHOOSE(F$3,(AR490+($I$3/10000))/2,(AR489+($I$3/10000))/2))^(2*AQ489/365.25))</f>
        <v/>
      </c>
      <c r="AT489" s="137" t="str">
        <f aca="false">IF(A490="","",IF(AND(mthbeg&lt;=A489,mthend&gt;=A489),1,0))</f>
        <v/>
      </c>
      <c r="AU489" s="137" t="str">
        <f aca="false">IF(A490="","",AO489*AT489)</f>
        <v/>
      </c>
      <c r="AW489" s="195" t="str">
        <f aca="false">IF($A490="","",AL489*$E489)</f>
        <v/>
      </c>
      <c r="AX489" s="195" t="str">
        <f aca="false">IF($A490="","",AM489*$E489)</f>
        <v/>
      </c>
      <c r="AY489" s="195" t="str">
        <f aca="false">IF($A490="","",AN489*$E489)</f>
        <v/>
      </c>
      <c r="BA489" s="195" t="str">
        <f aca="false">IF($A490="","",F489*Summary!$Q$8)</f>
        <v/>
      </c>
    </row>
    <row r="490" customFormat="false" ht="12.75" hidden="false" customHeight="false" outlineLevel="0" collapsed="false">
      <c r="A490" s="196" t="str">
        <f aca="false">IF(A489&lt;mthend,EDATE(A489,1),"")</f>
        <v/>
      </c>
      <c r="B490" s="197" t="n">
        <f aca="false">IF(A490&lt;mthend,B489,0)</f>
        <v>0</v>
      </c>
      <c r="D490" s="197" t="str">
        <f aca="false">IF(A491&lt;&gt;"",B490+C490,"")</f>
        <v/>
      </c>
      <c r="E490" s="199" t="str">
        <f aca="false">IF(A491="","",IF(AND(AT490=1,$H$3=1),D490*AO490,IF($H$3=2,D490,"N/A")))</f>
        <v/>
      </c>
      <c r="F490" s="199" t="str">
        <f aca="false">IF(A491="","",E490*AS490)</f>
        <v/>
      </c>
      <c r="G490" s="200" t="str">
        <f aca="false">IF($A491="","",VLOOKUP($A490,Table,MATCH(G$4,Curves,0)))</f>
        <v/>
      </c>
      <c r="H490" s="201" t="str">
        <f aca="false">IF(A491="","",G490)</f>
        <v/>
      </c>
      <c r="J490" s="200" t="str">
        <f aca="false">IF($A491="","",VLOOKUP($A490,Table,MATCH(J$4,Curves,0)))</f>
        <v/>
      </c>
      <c r="K490" s="201" t="str">
        <f aca="false">IF(A491="","",J490)</f>
        <v/>
      </c>
      <c r="L490" s="200" t="str">
        <f aca="false">IF($A491="","",VLOOKUP($A490,Table,MATCH(L$4,Curves,0)))</f>
        <v/>
      </c>
      <c r="M490" s="201" t="str">
        <f aca="false">IF(A491="","",L490)</f>
        <v/>
      </c>
      <c r="O490" s="200" t="str">
        <f aca="false">IF(A491="","",L490+J490+G490)</f>
        <v/>
      </c>
      <c r="P490" s="200" t="str">
        <f aca="false">IF(A491="","",M490+K490+H490)</f>
        <v/>
      </c>
      <c r="R490" s="200" t="str">
        <f aca="false">IF($A491="","",VLOOKUP($A490,Table,MATCH(R$4,Curves,0)))</f>
        <v/>
      </c>
      <c r="S490" s="201" t="str">
        <f aca="false">IF(A491="","",R490)</f>
        <v/>
      </c>
      <c r="T490" s="200" t="str">
        <f aca="false">IF($A491="","",VLOOKUP($A490,Table,MATCH(T$4,Curves,0)))</f>
        <v/>
      </c>
      <c r="U490" s="201" t="str">
        <f aca="false">IF(A491="","",T490)</f>
        <v/>
      </c>
      <c r="V490" s="183" t="str">
        <f aca="false">IF($A491="","",IF(AND(MONTH(A490)&gt;3,MONTH(A490)&lt;11),(T490+R490+G490)*Summary!$T$8/(1-Summary!$T$8),(T490+R490+G490)*Summary!$U$8/(1-Summary!$U$8)))</f>
        <v/>
      </c>
      <c r="W490" s="200" t="str">
        <f aca="false">IF($A491="","",(T490+R490+G490+V490))</f>
        <v/>
      </c>
      <c r="X490" s="200" t="str">
        <f aca="false">IF($A491="","",(U490+S490+H490+V490))</f>
        <v/>
      </c>
      <c r="Y490" s="202"/>
      <c r="AJ490" s="77"/>
      <c r="AK490" s="77"/>
      <c r="AL490" s="77"/>
      <c r="AM490" s="77"/>
      <c r="AN490" s="77"/>
      <c r="AO490" s="137" t="str">
        <f aca="false">IF(A491="","",A491-A490)</f>
        <v/>
      </c>
      <c r="AP490" s="212" t="str">
        <f aca="false">IF(A491="","",CHOOSE(F$3,A491+24,A490))</f>
        <v/>
      </c>
      <c r="AQ490" s="209" t="str">
        <f aca="false">IF(A491="","",AP490-$E$1)</f>
        <v/>
      </c>
      <c r="AR490" s="185" t="n">
        <f aca="false">'ANR OK vs ML7'!AR490</f>
        <v>0.1</v>
      </c>
      <c r="AS490" s="213" t="str">
        <f aca="false">IF(A491="","",1/(1+CHOOSE(F$3,(AR491+($I$3/10000))/2,(AR490+($I$3/10000))/2))^(2*AQ490/365.25))</f>
        <v/>
      </c>
      <c r="AT490" s="137" t="str">
        <f aca="false">IF(A491="","",IF(AND(mthbeg&lt;=A490,mthend&gt;=A490),1,0))</f>
        <v/>
      </c>
      <c r="AU490" s="137" t="str">
        <f aca="false">IF(A491="","",AO490*AT490)</f>
        <v/>
      </c>
      <c r="AW490" s="195" t="str">
        <f aca="false">IF($A491="","",AL490*$E490)</f>
        <v/>
      </c>
      <c r="AX490" s="195" t="str">
        <f aca="false">IF($A491="","",AM490*$E490)</f>
        <v/>
      </c>
      <c r="AY490" s="195" t="str">
        <f aca="false">IF($A491="","",AN490*$E490)</f>
        <v/>
      </c>
      <c r="BA490" s="195" t="str">
        <f aca="false">IF($A491="","",F490*Summary!$Q$8)</f>
        <v/>
      </c>
    </row>
    <row r="491" customFormat="false" ht="12.75" hidden="false" customHeight="false" outlineLevel="0" collapsed="false">
      <c r="A491" s="196" t="str">
        <f aca="false">IF(A490&lt;mthend,EDATE(A490,1),"")</f>
        <v/>
      </c>
      <c r="B491" s="197" t="n">
        <f aca="false">IF(A491&lt;mthend,B490,0)</f>
        <v>0</v>
      </c>
      <c r="D491" s="197" t="str">
        <f aca="false">IF(A492&lt;&gt;"",B491+C491,"")</f>
        <v/>
      </c>
      <c r="E491" s="199" t="str">
        <f aca="false">IF(A492="","",IF(AND(AT491=1,$H$3=1),D491*AO491,IF($H$3=2,D491,"N/A")))</f>
        <v/>
      </c>
      <c r="F491" s="199" t="str">
        <f aca="false">IF(A492="","",E491*AS491)</f>
        <v/>
      </c>
      <c r="G491" s="200" t="str">
        <f aca="false">IF($A492="","",VLOOKUP($A491,Table,MATCH(G$4,Curves,0)))</f>
        <v/>
      </c>
      <c r="H491" s="201" t="str">
        <f aca="false">IF(A492="","",G491)</f>
        <v/>
      </c>
      <c r="J491" s="200" t="str">
        <f aca="false">IF($A492="","",VLOOKUP($A491,Table,MATCH(J$4,Curves,0)))</f>
        <v/>
      </c>
      <c r="K491" s="201" t="str">
        <f aca="false">IF(A492="","",J491)</f>
        <v/>
      </c>
      <c r="L491" s="200" t="str">
        <f aca="false">IF($A492="","",VLOOKUP($A491,Table,MATCH(L$4,Curves,0)))</f>
        <v/>
      </c>
      <c r="M491" s="201" t="str">
        <f aca="false">IF(A492="","",L491)</f>
        <v/>
      </c>
      <c r="O491" s="200" t="str">
        <f aca="false">IF(A492="","",L491+J491+G491)</f>
        <v/>
      </c>
      <c r="P491" s="200" t="str">
        <f aca="false">IF(A492="","",M491+K491+H491)</f>
        <v/>
      </c>
      <c r="R491" s="200" t="str">
        <f aca="false">IF($A492="","",VLOOKUP($A491,Table,MATCH(R$4,Curves,0)))</f>
        <v/>
      </c>
      <c r="S491" s="201" t="str">
        <f aca="false">IF(A492="","",R491)</f>
        <v/>
      </c>
      <c r="T491" s="200" t="str">
        <f aca="false">IF($A492="","",VLOOKUP($A491,Table,MATCH(T$4,Curves,0)))</f>
        <v/>
      </c>
      <c r="U491" s="201" t="str">
        <f aca="false">IF(A492="","",T491)</f>
        <v/>
      </c>
      <c r="V491" s="183" t="str">
        <f aca="false">IF($A492="","",IF(AND(MONTH(A491)&gt;3,MONTH(A491)&lt;11),(T491+R491+G491)*Summary!$T$8/(1-Summary!$T$8),(T491+R491+G491)*Summary!$U$8/(1-Summary!$U$8)))</f>
        <v/>
      </c>
      <c r="W491" s="200" t="str">
        <f aca="false">IF($A492="","",(T491+R491+G491+V491))</f>
        <v/>
      </c>
      <c r="X491" s="200" t="str">
        <f aca="false">IF($A492="","",(U491+S491+H491+V491))</f>
        <v/>
      </c>
      <c r="Y491" s="202"/>
      <c r="AJ491" s="77"/>
      <c r="AK491" s="77"/>
      <c r="AL491" s="77"/>
      <c r="AM491" s="77"/>
      <c r="AN491" s="77"/>
      <c r="AO491" s="137" t="str">
        <f aca="false">IF(A492="","",A492-A491)</f>
        <v/>
      </c>
      <c r="AP491" s="212" t="str">
        <f aca="false">IF(A492="","",CHOOSE(F$3,A492+24,A491))</f>
        <v/>
      </c>
      <c r="AQ491" s="209" t="str">
        <f aca="false">IF(A492="","",AP491-$E$1)</f>
        <v/>
      </c>
      <c r="AR491" s="185" t="n">
        <f aca="false">'ANR OK vs ML7'!AR491</f>
        <v>0.1</v>
      </c>
      <c r="AS491" s="213" t="str">
        <f aca="false">IF(A492="","",1/(1+CHOOSE(F$3,(AR492+($I$3/10000))/2,(AR491+($I$3/10000))/2))^(2*AQ491/365.25))</f>
        <v/>
      </c>
      <c r="AT491" s="137" t="str">
        <f aca="false">IF(A492="","",IF(AND(mthbeg&lt;=A491,mthend&gt;=A491),1,0))</f>
        <v/>
      </c>
      <c r="AU491" s="137" t="str">
        <f aca="false">IF(A492="","",AO491*AT491)</f>
        <v/>
      </c>
      <c r="AW491" s="195" t="str">
        <f aca="false">IF($A492="","",AL491*$E491)</f>
        <v/>
      </c>
      <c r="AX491" s="195" t="str">
        <f aca="false">IF($A492="","",AM491*$E491)</f>
        <v/>
      </c>
      <c r="AY491" s="195" t="str">
        <f aca="false">IF($A492="","",AN491*$E491)</f>
        <v/>
      </c>
      <c r="BA491" s="195" t="str">
        <f aca="false">IF($A492="","",F491*Summary!$Q$8)</f>
        <v/>
      </c>
    </row>
    <row r="492" customFormat="false" ht="12.75" hidden="false" customHeight="false" outlineLevel="0" collapsed="false">
      <c r="A492" s="196" t="str">
        <f aca="false">IF(A491&lt;mthend,EDATE(A491,1),"")</f>
        <v/>
      </c>
      <c r="B492" s="197" t="n">
        <f aca="false">IF(A492&lt;mthend,B491,0)</f>
        <v>0</v>
      </c>
      <c r="D492" s="197" t="str">
        <f aca="false">IF(A493&lt;&gt;"",B492+C492,"")</f>
        <v/>
      </c>
      <c r="E492" s="199" t="str">
        <f aca="false">IF(A493="","",IF(AND(AT492=1,$H$3=1),D492*AO492,IF($H$3=2,D492,"N/A")))</f>
        <v/>
      </c>
      <c r="F492" s="199" t="str">
        <f aca="false">IF(A493="","",E492*AS492)</f>
        <v/>
      </c>
      <c r="G492" s="200" t="str">
        <f aca="false">IF($A493="","",VLOOKUP($A492,Table,MATCH(G$4,Curves,0)))</f>
        <v/>
      </c>
      <c r="H492" s="201" t="str">
        <f aca="false">IF(A493="","",G492)</f>
        <v/>
      </c>
      <c r="J492" s="200" t="str">
        <f aca="false">IF($A493="","",VLOOKUP($A492,Table,MATCH(J$4,Curves,0)))</f>
        <v/>
      </c>
      <c r="K492" s="201" t="str">
        <f aca="false">IF(A493="","",J492)</f>
        <v/>
      </c>
      <c r="L492" s="200" t="str">
        <f aca="false">IF($A493="","",VLOOKUP($A492,Table,MATCH(L$4,Curves,0)))</f>
        <v/>
      </c>
      <c r="M492" s="201" t="str">
        <f aca="false">IF(A493="","",L492)</f>
        <v/>
      </c>
      <c r="O492" s="200" t="str">
        <f aca="false">IF(A493="","",L492+J492+G492)</f>
        <v/>
      </c>
      <c r="P492" s="200" t="str">
        <f aca="false">IF(A493="","",M492+K492+H492)</f>
        <v/>
      </c>
      <c r="R492" s="200" t="str">
        <f aca="false">IF($A493="","",VLOOKUP($A492,Table,MATCH(R$4,Curves,0)))</f>
        <v/>
      </c>
      <c r="S492" s="201" t="str">
        <f aca="false">IF(A493="","",R492)</f>
        <v/>
      </c>
      <c r="T492" s="200" t="str">
        <f aca="false">IF($A493="","",VLOOKUP($A492,Table,MATCH(T$4,Curves,0)))</f>
        <v/>
      </c>
      <c r="U492" s="201" t="str">
        <f aca="false">IF(A493="","",T492)</f>
        <v/>
      </c>
      <c r="V492" s="183" t="str">
        <f aca="false">IF($A493="","",IF(AND(MONTH(A492)&gt;3,MONTH(A492)&lt;11),(T492+R492+G492)*Summary!$T$8/(1-Summary!$T$8),(T492+R492+G492)*Summary!$U$8/(1-Summary!$U$8)))</f>
        <v/>
      </c>
      <c r="W492" s="200" t="str">
        <f aca="false">IF($A493="","",(T492+R492+G492+V492))</f>
        <v/>
      </c>
      <c r="X492" s="200" t="str">
        <f aca="false">IF($A493="","",(U492+S492+H492+V492))</f>
        <v/>
      </c>
      <c r="Y492" s="202"/>
      <c r="AJ492" s="77"/>
      <c r="AK492" s="77"/>
      <c r="AL492" s="77"/>
      <c r="AM492" s="77"/>
      <c r="AN492" s="77"/>
      <c r="AO492" s="137" t="str">
        <f aca="false">IF(A493="","",A493-A492)</f>
        <v/>
      </c>
      <c r="AP492" s="212" t="str">
        <f aca="false">IF(A493="","",CHOOSE(F$3,A493+24,A492))</f>
        <v/>
      </c>
      <c r="AQ492" s="209" t="str">
        <f aca="false">IF(A493="","",AP492-$E$1)</f>
        <v/>
      </c>
      <c r="AR492" s="185" t="n">
        <f aca="false">'ANR OK vs ML7'!AR492</f>
        <v>0.1</v>
      </c>
      <c r="AS492" s="213" t="str">
        <f aca="false">IF(A493="","",1/(1+CHOOSE(F$3,(AR493+($I$3/10000))/2,(AR492+($I$3/10000))/2))^(2*AQ492/365.25))</f>
        <v/>
      </c>
      <c r="AT492" s="137" t="str">
        <f aca="false">IF(A493="","",IF(AND(mthbeg&lt;=A492,mthend&gt;=A492),1,0))</f>
        <v/>
      </c>
      <c r="AU492" s="137" t="str">
        <f aca="false">IF(A493="","",AO492*AT492)</f>
        <v/>
      </c>
      <c r="AW492" s="195" t="str">
        <f aca="false">IF($A493="","",AL492*$E492)</f>
        <v/>
      </c>
      <c r="AX492" s="195" t="str">
        <f aca="false">IF($A493="","",AM492*$E492)</f>
        <v/>
      </c>
      <c r="AY492" s="195" t="str">
        <f aca="false">IF($A493="","",AN492*$E492)</f>
        <v/>
      </c>
      <c r="BA492" s="195" t="str">
        <f aca="false">IF($A493="","",F492*Summary!$Q$8)</f>
        <v/>
      </c>
    </row>
    <row r="493" customFormat="false" ht="12.75" hidden="false" customHeight="false" outlineLevel="0" collapsed="false">
      <c r="A493" s="196" t="str">
        <f aca="false">IF(A492&lt;mthend,EDATE(A492,1),"")</f>
        <v/>
      </c>
      <c r="B493" s="197" t="n">
        <f aca="false">IF(A493&lt;mthend,B492,0)</f>
        <v>0</v>
      </c>
      <c r="D493" s="197" t="str">
        <f aca="false">IF(A494&lt;&gt;"",B493+C493,"")</f>
        <v/>
      </c>
      <c r="E493" s="199" t="str">
        <f aca="false">IF(A494="","",IF(AND(AT493=1,$H$3=1),D493*AO493,IF($H$3=2,D493,"N/A")))</f>
        <v/>
      </c>
      <c r="F493" s="199" t="str">
        <f aca="false">IF(A494="","",E493*AS493)</f>
        <v/>
      </c>
      <c r="G493" s="200" t="str">
        <f aca="false">IF($A494="","",VLOOKUP($A493,Table,MATCH(G$4,Curves,0)))</f>
        <v/>
      </c>
      <c r="H493" s="201" t="str">
        <f aca="false">IF(A494="","",G493)</f>
        <v/>
      </c>
      <c r="J493" s="200" t="str">
        <f aca="false">IF($A494="","",VLOOKUP($A493,Table,MATCH(J$4,Curves,0)))</f>
        <v/>
      </c>
      <c r="K493" s="201" t="str">
        <f aca="false">IF(A494="","",J493)</f>
        <v/>
      </c>
      <c r="L493" s="200" t="str">
        <f aca="false">IF($A494="","",VLOOKUP($A493,Table,MATCH(L$4,Curves,0)))</f>
        <v/>
      </c>
      <c r="M493" s="201" t="str">
        <f aca="false">IF(A494="","",L493)</f>
        <v/>
      </c>
      <c r="O493" s="200" t="str">
        <f aca="false">IF(A494="","",L493+J493+G493)</f>
        <v/>
      </c>
      <c r="P493" s="200" t="str">
        <f aca="false">IF(A494="","",M493+K493+H493)</f>
        <v/>
      </c>
      <c r="R493" s="200" t="str">
        <f aca="false">IF($A494="","",VLOOKUP($A493,Table,MATCH(R$4,Curves,0)))</f>
        <v/>
      </c>
      <c r="S493" s="201" t="str">
        <f aca="false">IF(A494="","",R493)</f>
        <v/>
      </c>
      <c r="T493" s="200" t="str">
        <f aca="false">IF($A494="","",VLOOKUP($A493,Table,MATCH(T$4,Curves,0)))</f>
        <v/>
      </c>
      <c r="U493" s="201" t="str">
        <f aca="false">IF(A494="","",T493)</f>
        <v/>
      </c>
      <c r="V493" s="183" t="str">
        <f aca="false">IF($A494="","",IF(AND(MONTH(A493)&gt;3,MONTH(A493)&lt;11),(T493+R493+G493)*Summary!$T$8/(1-Summary!$T$8),(T493+R493+G493)*Summary!$U$8/(1-Summary!$U$8)))</f>
        <v/>
      </c>
      <c r="W493" s="200" t="str">
        <f aca="false">IF($A494="","",(T493+R493+G493+V493))</f>
        <v/>
      </c>
      <c r="X493" s="200" t="str">
        <f aca="false">IF($A494="","",(U493+S493+H493+V493))</f>
        <v/>
      </c>
      <c r="Y493" s="202"/>
      <c r="AJ493" s="77"/>
      <c r="AK493" s="77"/>
      <c r="AL493" s="77"/>
      <c r="AM493" s="77"/>
      <c r="AN493" s="77"/>
      <c r="AO493" s="137" t="str">
        <f aca="false">IF(A494="","",A494-A493)</f>
        <v/>
      </c>
      <c r="AP493" s="212" t="str">
        <f aca="false">IF(A494="","",CHOOSE(F$3,A494+24,A493))</f>
        <v/>
      </c>
      <c r="AQ493" s="209" t="str">
        <f aca="false">IF(A494="","",AP493-$E$1)</f>
        <v/>
      </c>
      <c r="AR493" s="185" t="n">
        <f aca="false">'ANR OK vs ML7'!AR493</f>
        <v>0.1</v>
      </c>
      <c r="AS493" s="213" t="str">
        <f aca="false">IF(A494="","",1/(1+CHOOSE(F$3,(AR494+($I$3/10000))/2,(AR493+($I$3/10000))/2))^(2*AQ493/365.25))</f>
        <v/>
      </c>
      <c r="AT493" s="137" t="str">
        <f aca="false">IF(A494="","",IF(AND(mthbeg&lt;=A493,mthend&gt;=A493),1,0))</f>
        <v/>
      </c>
      <c r="AU493" s="137" t="str">
        <f aca="false">IF(A494="","",AO493*AT493)</f>
        <v/>
      </c>
      <c r="AW493" s="195" t="str">
        <f aca="false">IF($A494="","",AL493*$E493)</f>
        <v/>
      </c>
      <c r="AX493" s="195" t="str">
        <f aca="false">IF($A494="","",AM493*$E493)</f>
        <v/>
      </c>
      <c r="AY493" s="195" t="str">
        <f aca="false">IF($A494="","",AN493*$E493)</f>
        <v/>
      </c>
      <c r="BA493" s="195" t="str">
        <f aca="false">IF($A494="","",F493*Summary!$Q$8)</f>
        <v/>
      </c>
    </row>
    <row r="494" customFormat="false" ht="12.75" hidden="false" customHeight="false" outlineLevel="0" collapsed="false">
      <c r="A494" s="196" t="str">
        <f aca="false">IF(A493&lt;mthend,EDATE(A493,1),"")</f>
        <v/>
      </c>
      <c r="B494" s="197" t="n">
        <f aca="false">IF(A494&lt;mthend,B493,0)</f>
        <v>0</v>
      </c>
      <c r="D494" s="197" t="str">
        <f aca="false">IF(A495&lt;&gt;"",B494+C494,"")</f>
        <v/>
      </c>
      <c r="E494" s="199" t="str">
        <f aca="false">IF(A495="","",IF(AND(AT494=1,$H$3=1),D494*AO494,IF($H$3=2,D494,"N/A")))</f>
        <v/>
      </c>
      <c r="F494" s="199" t="str">
        <f aca="false">IF(A495="","",E494*AS494)</f>
        <v/>
      </c>
      <c r="G494" s="200" t="str">
        <f aca="false">IF($A495="","",VLOOKUP($A494,Table,MATCH(G$4,Curves,0)))</f>
        <v/>
      </c>
      <c r="H494" s="201" t="str">
        <f aca="false">IF(A495="","",G494)</f>
        <v/>
      </c>
      <c r="J494" s="200" t="str">
        <f aca="false">IF($A495="","",VLOOKUP($A494,Table,MATCH(J$4,Curves,0)))</f>
        <v/>
      </c>
      <c r="K494" s="201" t="str">
        <f aca="false">IF(A495="","",J494)</f>
        <v/>
      </c>
      <c r="L494" s="200" t="str">
        <f aca="false">IF($A495="","",VLOOKUP($A494,Table,MATCH(L$4,Curves,0)))</f>
        <v/>
      </c>
      <c r="M494" s="201" t="str">
        <f aca="false">IF(A495="","",L494)</f>
        <v/>
      </c>
      <c r="O494" s="200" t="str">
        <f aca="false">IF(A495="","",L494+J494+G494)</f>
        <v/>
      </c>
      <c r="P494" s="200" t="str">
        <f aca="false">IF(A495="","",M494+K494+H494)</f>
        <v/>
      </c>
      <c r="R494" s="200" t="str">
        <f aca="false">IF($A495="","",VLOOKUP($A494,Table,MATCH(R$4,Curves,0)))</f>
        <v/>
      </c>
      <c r="S494" s="201" t="str">
        <f aca="false">IF(A495="","",R494)</f>
        <v/>
      </c>
      <c r="T494" s="200" t="str">
        <f aca="false">IF($A495="","",VLOOKUP($A494,Table,MATCH(T$4,Curves,0)))</f>
        <v/>
      </c>
      <c r="U494" s="201" t="str">
        <f aca="false">IF(A495="","",T494)</f>
        <v/>
      </c>
      <c r="V494" s="183" t="str">
        <f aca="false">IF($A495="","",IF(AND(MONTH(A494)&gt;3,MONTH(A494)&lt;11),(T494+R494+G494)*Summary!$T$8/(1-Summary!$T$8),(T494+R494+G494)*Summary!$U$8/(1-Summary!$U$8)))</f>
        <v/>
      </c>
      <c r="W494" s="200" t="str">
        <f aca="false">IF($A495="","",(T494+R494+G494+V494))</f>
        <v/>
      </c>
      <c r="X494" s="200" t="str">
        <f aca="false">IF($A495="","",(U494+S494+H494+V494))</f>
        <v/>
      </c>
      <c r="Y494" s="202"/>
      <c r="AJ494" s="77"/>
      <c r="AK494" s="77"/>
      <c r="AL494" s="77"/>
      <c r="AM494" s="77"/>
      <c r="AN494" s="77"/>
      <c r="AO494" s="137" t="str">
        <f aca="false">IF(A495="","",A495-A494)</f>
        <v/>
      </c>
      <c r="AP494" s="212" t="str">
        <f aca="false">IF(A495="","",CHOOSE(F$3,A495+24,A494))</f>
        <v/>
      </c>
      <c r="AQ494" s="209" t="str">
        <f aca="false">IF(A495="","",AP494-$E$1)</f>
        <v/>
      </c>
      <c r="AR494" s="185" t="n">
        <f aca="false">'ANR OK vs ML7'!AR494</f>
        <v>0.1</v>
      </c>
      <c r="AS494" s="213" t="str">
        <f aca="false">IF(A495="","",1/(1+CHOOSE(F$3,(AR495+($I$3/10000))/2,(AR494+($I$3/10000))/2))^(2*AQ494/365.25))</f>
        <v/>
      </c>
      <c r="AT494" s="137" t="str">
        <f aca="false">IF(A495="","",IF(AND(mthbeg&lt;=A494,mthend&gt;=A494),1,0))</f>
        <v/>
      </c>
      <c r="AU494" s="137" t="str">
        <f aca="false">IF(A495="","",AO494*AT494)</f>
        <v/>
      </c>
      <c r="AW494" s="195" t="str">
        <f aca="false">IF($A495="","",AL494*$E494)</f>
        <v/>
      </c>
      <c r="AX494" s="195" t="str">
        <f aca="false">IF($A495="","",AM494*$E494)</f>
        <v/>
      </c>
      <c r="AY494" s="195" t="str">
        <f aca="false">IF($A495="","",AN494*$E494)</f>
        <v/>
      </c>
      <c r="BA494" s="195" t="str">
        <f aca="false">IF($A495="","",F494*Summary!$Q$8)</f>
        <v/>
      </c>
    </row>
    <row r="495" customFormat="false" ht="12.75" hidden="false" customHeight="false" outlineLevel="0" collapsed="false">
      <c r="A495" s="196" t="str">
        <f aca="false">IF(A494&lt;mthend,EDATE(A494,1),"")</f>
        <v/>
      </c>
      <c r="B495" s="197" t="n">
        <f aca="false">IF(A495&lt;mthend,B494,0)</f>
        <v>0</v>
      </c>
      <c r="D495" s="197" t="str">
        <f aca="false">IF(A496&lt;&gt;"",B495+C495,"")</f>
        <v/>
      </c>
      <c r="E495" s="199" t="str">
        <f aca="false">IF(A496="","",IF(AND(AT495=1,$H$3=1),D495*AO495,IF($H$3=2,D495,"N/A")))</f>
        <v/>
      </c>
      <c r="F495" s="199" t="str">
        <f aca="false">IF(A496="","",E495*AS495)</f>
        <v/>
      </c>
      <c r="G495" s="200" t="str">
        <f aca="false">IF($A496="","",VLOOKUP($A495,Table,MATCH(G$4,Curves,0)))</f>
        <v/>
      </c>
      <c r="H495" s="201" t="str">
        <f aca="false">IF(A496="","",G495)</f>
        <v/>
      </c>
      <c r="J495" s="200" t="str">
        <f aca="false">IF($A496="","",VLOOKUP($A495,Table,MATCH(J$4,Curves,0)))</f>
        <v/>
      </c>
      <c r="K495" s="201" t="str">
        <f aca="false">IF(A496="","",J495)</f>
        <v/>
      </c>
      <c r="L495" s="200" t="str">
        <f aca="false">IF($A496="","",VLOOKUP($A495,Table,MATCH(L$4,Curves,0)))</f>
        <v/>
      </c>
      <c r="M495" s="201" t="str">
        <f aca="false">IF(A496="","",L495)</f>
        <v/>
      </c>
      <c r="O495" s="200" t="str">
        <f aca="false">IF(A496="","",L495+J495+G495)</f>
        <v/>
      </c>
      <c r="P495" s="200" t="str">
        <f aca="false">IF(A496="","",M495+K495+H495)</f>
        <v/>
      </c>
      <c r="R495" s="200" t="str">
        <f aca="false">IF($A496="","",VLOOKUP($A495,Table,MATCH(R$4,Curves,0)))</f>
        <v/>
      </c>
      <c r="S495" s="201" t="str">
        <f aca="false">IF(A496="","",R495)</f>
        <v/>
      </c>
      <c r="T495" s="200" t="str">
        <f aca="false">IF($A496="","",VLOOKUP($A495,Table,MATCH(T$4,Curves,0)))</f>
        <v/>
      </c>
      <c r="U495" s="201" t="str">
        <f aca="false">IF(A496="","",T495)</f>
        <v/>
      </c>
      <c r="V495" s="183" t="str">
        <f aca="false">IF($A496="","",IF(AND(MONTH(A495)&gt;3,MONTH(A495)&lt;11),(T495+R495+G495)*Summary!$T$8/(1-Summary!$T$8),(T495+R495+G495)*Summary!$U$8/(1-Summary!$U$8)))</f>
        <v/>
      </c>
      <c r="W495" s="200" t="str">
        <f aca="false">IF($A496="","",(T495+R495+G495+V495))</f>
        <v/>
      </c>
      <c r="X495" s="200" t="str">
        <f aca="false">IF($A496="","",(U495+S495+H495+V495))</f>
        <v/>
      </c>
      <c r="Y495" s="202"/>
      <c r="AJ495" s="77"/>
      <c r="AK495" s="77"/>
      <c r="AL495" s="77"/>
      <c r="AM495" s="77"/>
      <c r="AN495" s="77"/>
      <c r="AO495" s="137" t="str">
        <f aca="false">IF(A496="","",A496-A495)</f>
        <v/>
      </c>
      <c r="AP495" s="212" t="str">
        <f aca="false">IF(A496="","",CHOOSE(F$3,A496+24,A495))</f>
        <v/>
      </c>
      <c r="AQ495" s="209" t="str">
        <f aca="false">IF(A496="","",AP495-$E$1)</f>
        <v/>
      </c>
      <c r="AR495" s="185" t="n">
        <f aca="false">'ANR OK vs ML7'!AR495</f>
        <v>0.1</v>
      </c>
      <c r="AS495" s="213" t="str">
        <f aca="false">IF(A496="","",1/(1+CHOOSE(F$3,(AR496+($I$3/10000))/2,(AR495+($I$3/10000))/2))^(2*AQ495/365.25))</f>
        <v/>
      </c>
      <c r="AT495" s="137" t="str">
        <f aca="false">IF(A496="","",IF(AND(mthbeg&lt;=A495,mthend&gt;=A495),1,0))</f>
        <v/>
      </c>
      <c r="AU495" s="137" t="str">
        <f aca="false">IF(A496="","",AO495*AT495)</f>
        <v/>
      </c>
      <c r="AW495" s="195" t="str">
        <f aca="false">IF($A496="","",AL495*$E495)</f>
        <v/>
      </c>
      <c r="AX495" s="195" t="str">
        <f aca="false">IF($A496="","",AM495*$E495)</f>
        <v/>
      </c>
      <c r="AY495" s="195" t="str">
        <f aca="false">IF($A496="","",AN495*$E495)</f>
        <v/>
      </c>
      <c r="BA495" s="195" t="str">
        <f aca="false">IF($A496="","",F495*Summary!$Q$8)</f>
        <v/>
      </c>
    </row>
    <row r="496" customFormat="false" ht="12.75" hidden="false" customHeight="false" outlineLevel="0" collapsed="false">
      <c r="A496" s="196" t="str">
        <f aca="false">IF(A495&lt;mthend,EDATE(A495,1),"")</f>
        <v/>
      </c>
      <c r="B496" s="197" t="n">
        <f aca="false">IF(A496&lt;mthend,B495,0)</f>
        <v>0</v>
      </c>
      <c r="D496" s="197" t="str">
        <f aca="false">IF(A497&lt;&gt;"",B496+C496,"")</f>
        <v/>
      </c>
      <c r="E496" s="199" t="str">
        <f aca="false">IF(A497="","",IF(AND(AT496=1,$H$3=1),D496*AO496,IF($H$3=2,D496,"N/A")))</f>
        <v/>
      </c>
      <c r="F496" s="199" t="str">
        <f aca="false">IF(A497="","",E496*AS496)</f>
        <v/>
      </c>
      <c r="G496" s="200" t="str">
        <f aca="false">IF($A497="","",VLOOKUP($A496,Table,MATCH(G$4,Curves,0)))</f>
        <v/>
      </c>
      <c r="H496" s="201" t="str">
        <f aca="false">IF(A497="","",G496)</f>
        <v/>
      </c>
      <c r="J496" s="200" t="str">
        <f aca="false">IF($A497="","",VLOOKUP($A496,Table,MATCH(J$4,Curves,0)))</f>
        <v/>
      </c>
      <c r="K496" s="201" t="str">
        <f aca="false">IF(A497="","",J496)</f>
        <v/>
      </c>
      <c r="L496" s="200" t="str">
        <f aca="false">IF($A497="","",VLOOKUP($A496,Table,MATCH(L$4,Curves,0)))</f>
        <v/>
      </c>
      <c r="M496" s="201" t="str">
        <f aca="false">IF(A497="","",L496)</f>
        <v/>
      </c>
      <c r="O496" s="200" t="str">
        <f aca="false">IF(A497="","",L496+J496+G496)</f>
        <v/>
      </c>
      <c r="P496" s="200" t="str">
        <f aca="false">IF(A497="","",M496+K496+H496)</f>
        <v/>
      </c>
      <c r="R496" s="200" t="str">
        <f aca="false">IF($A497="","",VLOOKUP($A496,Table,MATCH(R$4,Curves,0)))</f>
        <v/>
      </c>
      <c r="S496" s="201" t="str">
        <f aca="false">IF(A497="","",R496)</f>
        <v/>
      </c>
      <c r="T496" s="200" t="str">
        <f aca="false">IF($A497="","",VLOOKUP($A496,Table,MATCH(T$4,Curves,0)))</f>
        <v/>
      </c>
      <c r="U496" s="201" t="str">
        <f aca="false">IF(A497="","",T496)</f>
        <v/>
      </c>
      <c r="V496" s="183" t="str">
        <f aca="false">IF($A497="","",IF(AND(MONTH(A496)&gt;3,MONTH(A496)&lt;11),(T496+R496+G496)*Summary!$T$8/(1-Summary!$T$8),(T496+R496+G496)*Summary!$U$8/(1-Summary!$U$8)))</f>
        <v/>
      </c>
      <c r="W496" s="200" t="str">
        <f aca="false">IF($A497="","",(T496+R496+G496+V496))</f>
        <v/>
      </c>
      <c r="X496" s="200" t="str">
        <f aca="false">IF($A497="","",(U496+S496+H496+V496))</f>
        <v/>
      </c>
      <c r="Y496" s="202"/>
      <c r="AJ496" s="77"/>
      <c r="AK496" s="77"/>
      <c r="AL496" s="77"/>
      <c r="AM496" s="77"/>
      <c r="AN496" s="77"/>
      <c r="AO496" s="137" t="str">
        <f aca="false">IF(A497="","",A497-A496)</f>
        <v/>
      </c>
      <c r="AP496" s="212" t="str">
        <f aca="false">IF(A497="","",CHOOSE(F$3,A497+24,A496))</f>
        <v/>
      </c>
      <c r="AQ496" s="209" t="str">
        <f aca="false">IF(A497="","",AP496-$E$1)</f>
        <v/>
      </c>
      <c r="AR496" s="185" t="n">
        <f aca="false">'ANR OK vs ML7'!AR496</f>
        <v>0.1</v>
      </c>
      <c r="AS496" s="213" t="str">
        <f aca="false">IF(A497="","",1/(1+CHOOSE(F$3,(AR497+($I$3/10000))/2,(AR496+($I$3/10000))/2))^(2*AQ496/365.25))</f>
        <v/>
      </c>
      <c r="AT496" s="137" t="str">
        <f aca="false">IF(A497="","",IF(AND(mthbeg&lt;=A496,mthend&gt;=A496),1,0))</f>
        <v/>
      </c>
      <c r="AU496" s="137" t="str">
        <f aca="false">IF(A497="","",AO496*AT496)</f>
        <v/>
      </c>
      <c r="AW496" s="195" t="str">
        <f aca="false">IF($A497="","",AL496*$E496)</f>
        <v/>
      </c>
      <c r="AX496" s="195" t="str">
        <f aca="false">IF($A497="","",AM496*$E496)</f>
        <v/>
      </c>
      <c r="AY496" s="195" t="str">
        <f aca="false">IF($A497="","",AN496*$E496)</f>
        <v/>
      </c>
      <c r="BA496" s="195" t="str">
        <f aca="false">IF($A497="","",F496*Summary!$Q$8)</f>
        <v/>
      </c>
    </row>
    <row r="497" customFormat="false" ht="12.75" hidden="false" customHeight="false" outlineLevel="0" collapsed="false">
      <c r="A497" s="196" t="str">
        <f aca="false">IF(A496&lt;mthend,EDATE(A496,1),"")</f>
        <v/>
      </c>
      <c r="B497" s="197" t="n">
        <f aca="false">IF(A497&lt;mthend,B496,0)</f>
        <v>0</v>
      </c>
      <c r="D497" s="197" t="str">
        <f aca="false">IF(A498&lt;&gt;"",B497+C497,"")</f>
        <v/>
      </c>
      <c r="E497" s="199" t="str">
        <f aca="false">IF(A498="","",IF(AND(AT497=1,$H$3=1),D497*AO497,IF($H$3=2,D497,"N/A")))</f>
        <v/>
      </c>
      <c r="F497" s="199" t="str">
        <f aca="false">IF(A498="","",E497*AS497)</f>
        <v/>
      </c>
      <c r="G497" s="200" t="str">
        <f aca="false">IF($A498="","",VLOOKUP($A497,Table,MATCH(G$4,Curves,0)))</f>
        <v/>
      </c>
      <c r="H497" s="201" t="str">
        <f aca="false">IF(A498="","",G497)</f>
        <v/>
      </c>
      <c r="J497" s="200" t="str">
        <f aca="false">IF($A498="","",VLOOKUP($A497,Table,MATCH(J$4,Curves,0)))</f>
        <v/>
      </c>
      <c r="K497" s="201" t="str">
        <f aca="false">IF(A498="","",J497)</f>
        <v/>
      </c>
      <c r="L497" s="200" t="str">
        <f aca="false">IF($A498="","",VLOOKUP($A497,Table,MATCH(L$4,Curves,0)))</f>
        <v/>
      </c>
      <c r="M497" s="201" t="str">
        <f aca="false">IF(A498="","",L497)</f>
        <v/>
      </c>
      <c r="O497" s="200" t="str">
        <f aca="false">IF(A498="","",L497+J497+G497)</f>
        <v/>
      </c>
      <c r="P497" s="200" t="str">
        <f aca="false">IF(A498="","",M497+K497+H497)</f>
        <v/>
      </c>
      <c r="R497" s="200" t="str">
        <f aca="false">IF($A498="","",VLOOKUP($A497,Table,MATCH(R$4,Curves,0)))</f>
        <v/>
      </c>
      <c r="S497" s="201" t="str">
        <f aca="false">IF(A498="","",R497)</f>
        <v/>
      </c>
      <c r="T497" s="200" t="str">
        <f aca="false">IF($A498="","",VLOOKUP($A497,Table,MATCH(T$4,Curves,0)))</f>
        <v/>
      </c>
      <c r="U497" s="201" t="str">
        <f aca="false">IF(A498="","",T497)</f>
        <v/>
      </c>
      <c r="V497" s="183" t="str">
        <f aca="false">IF($A498="","",IF(AND(MONTH(A497)&gt;3,MONTH(A497)&lt;11),(T497+R497+G497)*Summary!$T$8/(1-Summary!$T$8),(T497+R497+G497)*Summary!$U$8/(1-Summary!$U$8)))</f>
        <v/>
      </c>
      <c r="W497" s="200" t="str">
        <f aca="false">IF($A498="","",(T497+R497+G497+V497))</f>
        <v/>
      </c>
      <c r="X497" s="200" t="str">
        <f aca="false">IF($A498="","",(U497+S497+H497+V497))</f>
        <v/>
      </c>
      <c r="Y497" s="202"/>
      <c r="AJ497" s="77"/>
      <c r="AK497" s="77"/>
      <c r="AL497" s="77"/>
      <c r="AM497" s="77"/>
      <c r="AN497" s="77"/>
      <c r="AO497" s="137" t="str">
        <f aca="false">IF(A498="","",A498-A497)</f>
        <v/>
      </c>
      <c r="AP497" s="212" t="str">
        <f aca="false">IF(A498="","",CHOOSE(F$3,A498+24,A497))</f>
        <v/>
      </c>
      <c r="AQ497" s="209" t="str">
        <f aca="false">IF(A498="","",AP497-$E$1)</f>
        <v/>
      </c>
      <c r="AR497" s="185" t="n">
        <f aca="false">'ANR OK vs ML7'!AR497</f>
        <v>0.1</v>
      </c>
      <c r="AS497" s="213" t="str">
        <f aca="false">IF(A498="","",1/(1+CHOOSE(F$3,(AR498+($I$3/10000))/2,(AR497+($I$3/10000))/2))^(2*AQ497/365.25))</f>
        <v/>
      </c>
      <c r="AT497" s="137" t="str">
        <f aca="false">IF(A498="","",IF(AND(mthbeg&lt;=A497,mthend&gt;=A497),1,0))</f>
        <v/>
      </c>
      <c r="AU497" s="137" t="str">
        <f aca="false">IF(A498="","",AO497*AT497)</f>
        <v/>
      </c>
      <c r="AW497" s="195" t="str">
        <f aca="false">IF($A498="","",AL497*$E497)</f>
        <v/>
      </c>
      <c r="AX497" s="195" t="str">
        <f aca="false">IF($A498="","",AM497*$E497)</f>
        <v/>
      </c>
      <c r="AY497" s="195" t="str">
        <f aca="false">IF($A498="","",AN497*$E497)</f>
        <v/>
      </c>
      <c r="BA497" s="195" t="str">
        <f aca="false">IF($A498="","",F497*Summary!$Q$8)</f>
        <v/>
      </c>
    </row>
    <row r="498" customFormat="false" ht="12.75" hidden="false" customHeight="false" outlineLevel="0" collapsed="false">
      <c r="A498" s="196" t="str">
        <f aca="false">IF(A497&lt;mthend,EDATE(A497,1),"")</f>
        <v/>
      </c>
      <c r="B498" s="197" t="n">
        <f aca="false">IF(A498&lt;mthend,B497,0)</f>
        <v>0</v>
      </c>
      <c r="D498" s="197" t="str">
        <f aca="false">IF(A499&lt;&gt;"",B498+C498,"")</f>
        <v/>
      </c>
      <c r="E498" s="199" t="str">
        <f aca="false">IF(A499="","",IF(AND(AT498=1,$H$3=1),D498*AO498,IF($H$3=2,D498,"N/A")))</f>
        <v/>
      </c>
      <c r="F498" s="199" t="str">
        <f aca="false">IF(A499="","",E498*AS498)</f>
        <v/>
      </c>
      <c r="G498" s="200" t="str">
        <f aca="false">IF($A499="","",VLOOKUP($A498,Table,MATCH(G$4,Curves,0)))</f>
        <v/>
      </c>
      <c r="H498" s="201" t="str">
        <f aca="false">IF(A499="","",G498)</f>
        <v/>
      </c>
      <c r="J498" s="200" t="str">
        <f aca="false">IF($A499="","",VLOOKUP($A498,Table,MATCH(J$4,Curves,0)))</f>
        <v/>
      </c>
      <c r="K498" s="201" t="str">
        <f aca="false">IF(A499="","",J498)</f>
        <v/>
      </c>
      <c r="L498" s="200" t="str">
        <f aca="false">IF($A499="","",VLOOKUP($A498,Table,MATCH(L$4,Curves,0)))</f>
        <v/>
      </c>
      <c r="M498" s="201" t="str">
        <f aca="false">IF(A499="","",L498)</f>
        <v/>
      </c>
      <c r="O498" s="200" t="str">
        <f aca="false">IF(A499="","",L498+J498+G498)</f>
        <v/>
      </c>
      <c r="P498" s="200" t="str">
        <f aca="false">IF(A499="","",M498+K498+H498)</f>
        <v/>
      </c>
      <c r="R498" s="200" t="str">
        <f aca="false">IF($A499="","",VLOOKUP($A498,Table,MATCH(R$4,Curves,0)))</f>
        <v/>
      </c>
      <c r="S498" s="201" t="str">
        <f aca="false">IF(A499="","",R498)</f>
        <v/>
      </c>
      <c r="T498" s="200" t="str">
        <f aca="false">IF($A499="","",VLOOKUP($A498,Table,MATCH(T$4,Curves,0)))</f>
        <v/>
      </c>
      <c r="U498" s="201" t="str">
        <f aca="false">IF(A499="","",T498)</f>
        <v/>
      </c>
      <c r="V498" s="183" t="str">
        <f aca="false">IF($A499="","",IF(AND(MONTH(A498)&gt;3,MONTH(A498)&lt;11),(T498+R498+G498)*Summary!$T$8/(1-Summary!$T$8),(T498+R498+G498)*Summary!$U$8/(1-Summary!$U$8)))</f>
        <v/>
      </c>
      <c r="W498" s="200" t="str">
        <f aca="false">IF($A499="","",(T498+R498+G498+V498))</f>
        <v/>
      </c>
      <c r="X498" s="200" t="str">
        <f aca="false">IF($A499="","",(U498+S498+H498+V498))</f>
        <v/>
      </c>
      <c r="Y498" s="202"/>
      <c r="AJ498" s="77"/>
      <c r="AK498" s="77"/>
      <c r="AL498" s="77"/>
      <c r="AM498" s="77"/>
      <c r="AN498" s="77"/>
      <c r="AO498" s="137" t="str">
        <f aca="false">IF(A499="","",A499-A498)</f>
        <v/>
      </c>
      <c r="AP498" s="212" t="str">
        <f aca="false">IF(A499="","",CHOOSE(F$3,A499+24,A498))</f>
        <v/>
      </c>
      <c r="AQ498" s="209" t="str">
        <f aca="false">IF(A499="","",AP498-$E$1)</f>
        <v/>
      </c>
      <c r="AR498" s="185" t="n">
        <f aca="false">'ANR OK vs ML7'!AR498</f>
        <v>0.1</v>
      </c>
      <c r="AS498" s="213" t="str">
        <f aca="false">IF(A499="","",1/(1+CHOOSE(F$3,(AR499+($I$3/10000))/2,(AR498+($I$3/10000))/2))^(2*AQ498/365.25))</f>
        <v/>
      </c>
      <c r="AT498" s="137" t="str">
        <f aca="false">IF(A499="","",IF(AND(mthbeg&lt;=A498,mthend&gt;=A498),1,0))</f>
        <v/>
      </c>
      <c r="AU498" s="137" t="str">
        <f aca="false">IF(A499="","",AO498*AT498)</f>
        <v/>
      </c>
      <c r="AW498" s="195" t="str">
        <f aca="false">IF($A499="","",AL498*$E498)</f>
        <v/>
      </c>
      <c r="AX498" s="195" t="str">
        <f aca="false">IF($A499="","",AM498*$E498)</f>
        <v/>
      </c>
      <c r="AY498" s="195" t="str">
        <f aca="false">IF($A499="","",AN498*$E498)</f>
        <v/>
      </c>
      <c r="BA498" s="195" t="str">
        <f aca="false">IF($A499="","",F498*Summary!$Q$8)</f>
        <v/>
      </c>
    </row>
    <row r="499" customFormat="false" ht="12.75" hidden="false" customHeight="false" outlineLevel="0" collapsed="false">
      <c r="A499" s="196" t="str">
        <f aca="false">IF(A498&lt;mthend,EDATE(A498,1),"")</f>
        <v/>
      </c>
      <c r="B499" s="197" t="n">
        <f aca="false">IF(A499&lt;mthend,B498,0)</f>
        <v>0</v>
      </c>
      <c r="D499" s="197" t="str">
        <f aca="false">IF(A500&lt;&gt;"",B499+C499,"")</f>
        <v/>
      </c>
      <c r="E499" s="199" t="str">
        <f aca="false">IF(A500="","",IF(AND(AT499=1,$H$3=1),D499*AO499,IF($H$3=2,D499,"N/A")))</f>
        <v/>
      </c>
      <c r="F499" s="199" t="str">
        <f aca="false">IF(A500="","",E499*AS499)</f>
        <v/>
      </c>
      <c r="G499" s="200" t="str">
        <f aca="false">IF($A500="","",VLOOKUP($A499,Table,MATCH(G$4,Curves,0)))</f>
        <v/>
      </c>
      <c r="H499" s="201" t="str">
        <f aca="false">IF(A500="","",G499)</f>
        <v/>
      </c>
      <c r="J499" s="200" t="str">
        <f aca="false">IF($A500="","",VLOOKUP($A499,Table,MATCH(J$4,Curves,0)))</f>
        <v/>
      </c>
      <c r="K499" s="201" t="str">
        <f aca="false">IF(A500="","",J499)</f>
        <v/>
      </c>
      <c r="L499" s="200" t="str">
        <f aca="false">IF($A500="","",VLOOKUP($A499,Table,MATCH(L$4,Curves,0)))</f>
        <v/>
      </c>
      <c r="M499" s="201" t="str">
        <f aca="false">IF(A500="","",L499)</f>
        <v/>
      </c>
      <c r="O499" s="200" t="str">
        <f aca="false">IF(A500="","",L499+J499+G499)</f>
        <v/>
      </c>
      <c r="P499" s="200" t="str">
        <f aca="false">IF(A500="","",M499+K499+H499)</f>
        <v/>
      </c>
      <c r="R499" s="200" t="str">
        <f aca="false">IF($A500="","",VLOOKUP($A499,Table,MATCH(R$4,Curves,0)))</f>
        <v/>
      </c>
      <c r="S499" s="201" t="str">
        <f aca="false">IF(A500="","",R499)</f>
        <v/>
      </c>
      <c r="T499" s="200" t="str">
        <f aca="false">IF($A500="","",VLOOKUP($A499,Table,MATCH(T$4,Curves,0)))</f>
        <v/>
      </c>
      <c r="U499" s="201" t="str">
        <f aca="false">IF(A500="","",T499)</f>
        <v/>
      </c>
      <c r="V499" s="183" t="str">
        <f aca="false">IF($A500="","",IF(AND(MONTH(A499)&gt;3,MONTH(A499)&lt;11),(T499+R499+G499)*Summary!$T$8/(1-Summary!$T$8),(T499+R499+G499)*Summary!$U$8/(1-Summary!$U$8)))</f>
        <v/>
      </c>
      <c r="W499" s="200" t="str">
        <f aca="false">IF($A500="","",(T499+R499+G499+V499))</f>
        <v/>
      </c>
      <c r="X499" s="200" t="str">
        <f aca="false">IF($A500="","",(U499+S499+H499+V499))</f>
        <v/>
      </c>
      <c r="Y499" s="202"/>
      <c r="AJ499" s="77"/>
      <c r="AK499" s="77"/>
      <c r="AL499" s="77"/>
      <c r="AM499" s="77"/>
      <c r="AN499" s="77"/>
      <c r="AO499" s="137" t="str">
        <f aca="false">IF(A500="","",A500-A499)</f>
        <v/>
      </c>
      <c r="AP499" s="212" t="str">
        <f aca="false">IF(A500="","",CHOOSE(F$3,A500+24,A499))</f>
        <v/>
      </c>
      <c r="AQ499" s="209" t="str">
        <f aca="false">IF(A500="","",AP499-$E$1)</f>
        <v/>
      </c>
      <c r="AR499" s="185" t="n">
        <f aca="false">'ANR OK vs ML7'!AR499</f>
        <v>0.1</v>
      </c>
      <c r="AS499" s="213" t="str">
        <f aca="false">IF(A500="","",1/(1+CHOOSE(F$3,(AR500+($I$3/10000))/2,(AR499+($I$3/10000))/2))^(2*AQ499/365.25))</f>
        <v/>
      </c>
      <c r="AT499" s="137" t="str">
        <f aca="false">IF(A500="","",IF(AND(mthbeg&lt;=A499,mthend&gt;=A499),1,0))</f>
        <v/>
      </c>
      <c r="AU499" s="137" t="str">
        <f aca="false">IF(A500="","",AO499*AT499)</f>
        <v/>
      </c>
      <c r="AW499" s="195" t="str">
        <f aca="false">IF($A500="","",AL499*$E499)</f>
        <v/>
      </c>
      <c r="AX499" s="195" t="str">
        <f aca="false">IF($A500="","",AM499*$E499)</f>
        <v/>
      </c>
      <c r="AY499" s="195" t="str">
        <f aca="false">IF($A500="","",AN499*$E499)</f>
        <v/>
      </c>
      <c r="BA499" s="195" t="str">
        <f aca="false">IF($A500="","",F499*Summary!$Q$8)</f>
        <v/>
      </c>
    </row>
    <row r="500" customFormat="false" ht="12.75" hidden="false" customHeight="false" outlineLevel="0" collapsed="false">
      <c r="A500" s="196" t="str">
        <f aca="false">IF(A499&lt;mthend,EDATE(A499,1),"")</f>
        <v/>
      </c>
      <c r="B500" s="197" t="n">
        <f aca="false">IF(A500&lt;mthend,B499,0)</f>
        <v>0</v>
      </c>
      <c r="D500" s="197"/>
      <c r="E500" s="199"/>
      <c r="F500" s="199"/>
      <c r="G500" s="200"/>
      <c r="H500" s="201"/>
      <c r="J500" s="200"/>
      <c r="K500" s="201"/>
      <c r="L500" s="200"/>
      <c r="M500" s="201"/>
      <c r="O500" s="204"/>
      <c r="P500" s="204"/>
      <c r="R500" s="200"/>
      <c r="S500" s="201"/>
      <c r="T500" s="200"/>
      <c r="U500" s="201"/>
      <c r="W500" s="202"/>
      <c r="X500" s="202"/>
      <c r="Y500" s="202"/>
      <c r="AJ500" s="77"/>
      <c r="AK500" s="77"/>
      <c r="AL500" s="77"/>
      <c r="AM500" s="77"/>
      <c r="AN500" s="77"/>
      <c r="AP500" s="212"/>
      <c r="AQ500" s="209"/>
      <c r="AR500" s="185"/>
      <c r="AS500" s="213"/>
      <c r="AW500" s="195" t="str">
        <f aca="false">IF($A501="","",AL500*$E500)</f>
        <v/>
      </c>
      <c r="AX500" s="195" t="str">
        <f aca="false">IF($A501="","",AM500*$E500)</f>
        <v/>
      </c>
      <c r="AY500" s="195" t="str">
        <f aca="false">IF($A501="","",AN500*$E500)</f>
        <v/>
      </c>
      <c r="BA500" s="195" t="str">
        <f aca="false">IF($A501="","",F500*Summary!$Q$8)</f>
        <v/>
      </c>
    </row>
    <row r="501" customFormat="false" ht="12.75" hidden="false" customHeight="false" outlineLevel="0" collapsed="false">
      <c r="A501" s="196" t="str">
        <f aca="false">IF(A500&lt;mthend,EDATE(A500,1),"")</f>
        <v/>
      </c>
      <c r="B501" s="197" t="n">
        <f aca="false">IF(A501&lt;mthend,B500,0)</f>
        <v>0</v>
      </c>
      <c r="C501" s="21" t="n">
        <v>0</v>
      </c>
      <c r="D501" s="21" t="n">
        <v>0</v>
      </c>
      <c r="E501" s="21" t="n">
        <v>0</v>
      </c>
      <c r="F501" s="21" t="n">
        <v>0</v>
      </c>
      <c r="G501" s="21" t="n">
        <v>0</v>
      </c>
      <c r="H501" s="21" t="n">
        <v>0</v>
      </c>
      <c r="I501" s="21" t="n">
        <v>0</v>
      </c>
      <c r="J501" s="21" t="n">
        <v>0</v>
      </c>
      <c r="K501" s="21" t="n">
        <v>0</v>
      </c>
      <c r="L501" s="21" t="n">
        <v>0</v>
      </c>
      <c r="M501" s="21" t="n">
        <v>0</v>
      </c>
      <c r="N501" s="21" t="n">
        <v>0</v>
      </c>
      <c r="O501" s="21" t="n">
        <v>0</v>
      </c>
      <c r="P501" s="21" t="n">
        <v>0</v>
      </c>
      <c r="Q501" s="21" t="n">
        <v>0</v>
      </c>
      <c r="R501" s="21" t="n">
        <v>0</v>
      </c>
      <c r="S501" s="21" t="n">
        <v>0</v>
      </c>
      <c r="T501" s="21" t="n">
        <v>0</v>
      </c>
      <c r="U501" s="21" t="n">
        <v>0</v>
      </c>
      <c r="V501" s="21" t="n">
        <v>0</v>
      </c>
      <c r="W501" s="21" t="n">
        <v>0</v>
      </c>
      <c r="X501" s="21" t="n">
        <v>0</v>
      </c>
      <c r="Y501" s="21" t="n">
        <v>0</v>
      </c>
      <c r="Z501" s="21" t="n">
        <v>0</v>
      </c>
      <c r="AA501" s="21" t="n">
        <v>0</v>
      </c>
      <c r="AB501" s="21"/>
      <c r="AC501" s="21" t="n">
        <v>0</v>
      </c>
      <c r="AD501" s="21"/>
      <c r="AE501" s="21"/>
      <c r="AF501" s="21" t="n">
        <v>0</v>
      </c>
      <c r="AG501" s="21" t="n">
        <v>0</v>
      </c>
      <c r="AH501" s="21" t="n">
        <v>0</v>
      </c>
      <c r="AI501" s="21" t="n">
        <v>0</v>
      </c>
      <c r="AJ501" s="77"/>
      <c r="AK501" s="77"/>
      <c r="AL501" s="77"/>
      <c r="AM501" s="77"/>
      <c r="AN501" s="77"/>
      <c r="AO501" s="21" t="n">
        <v>0</v>
      </c>
      <c r="AP501" s="21" t="n">
        <v>0</v>
      </c>
      <c r="AQ501" s="21" t="n">
        <v>0</v>
      </c>
      <c r="AR501" s="21" t="n">
        <v>0</v>
      </c>
      <c r="AS501" s="21" t="n">
        <v>0</v>
      </c>
      <c r="AT501" s="21" t="n">
        <v>0</v>
      </c>
      <c r="AU501" s="21" t="n">
        <v>0</v>
      </c>
      <c r="AV501" s="21" t="n">
        <v>0</v>
      </c>
      <c r="AW501" s="195" t="str">
        <f aca="false">IF($A502="","",AL501*$E501)</f>
        <v/>
      </c>
      <c r="AX501" s="195" t="str">
        <f aca="false">IF($A502="","",AM501*$E501)</f>
        <v/>
      </c>
      <c r="AY501" s="195" t="str">
        <f aca="false">IF($A502="","",AN501*$E501)</f>
        <v/>
      </c>
      <c r="AZ501" s="21" t="n">
        <v>0</v>
      </c>
      <c r="BA501" s="195" t="str">
        <f aca="false">IF($A502="","",F501*Summary!$Q$8)</f>
        <v/>
      </c>
      <c r="BB501" s="21" t="n">
        <v>0</v>
      </c>
      <c r="BC501" s="21" t="n">
        <v>0</v>
      </c>
      <c r="BD501" s="21" t="n">
        <v>0</v>
      </c>
      <c r="BE501" s="21" t="n">
        <v>0</v>
      </c>
      <c r="BF501" s="21" t="n">
        <v>0</v>
      </c>
      <c r="BG501" s="21" t="n">
        <v>0</v>
      </c>
      <c r="BH501" s="21" t="n">
        <v>0</v>
      </c>
      <c r="BI501" s="21" t="n">
        <v>0</v>
      </c>
      <c r="BJ501" s="21" t="n">
        <v>0</v>
      </c>
      <c r="BK501" s="21" t="n">
        <v>0</v>
      </c>
      <c r="BL501" s="21" t="n">
        <v>0</v>
      </c>
      <c r="BM501" s="21" t="n">
        <v>0</v>
      </c>
      <c r="BN501" s="21" t="n">
        <v>0</v>
      </c>
      <c r="BO501" s="21" t="n">
        <v>0</v>
      </c>
      <c r="BP501" s="21" t="n">
        <v>0</v>
      </c>
      <c r="BQ501" s="21" t="n">
        <v>0</v>
      </c>
      <c r="BR501" s="21" t="n">
        <v>0</v>
      </c>
      <c r="BS501" s="21" t="n">
        <v>0</v>
      </c>
      <c r="BT501" s="21" t="n">
        <v>0</v>
      </c>
      <c r="BU501" s="21" t="n">
        <v>0</v>
      </c>
      <c r="BV501" s="21" t="n">
        <v>0</v>
      </c>
      <c r="BW501" s="21" t="n">
        <v>0</v>
      </c>
      <c r="BX501" s="21" t="n">
        <v>0</v>
      </c>
      <c r="BY501" s="21" t="n">
        <v>0</v>
      </c>
      <c r="BZ501" s="21" t="n">
        <v>0</v>
      </c>
      <c r="CA501" s="21" t="n">
        <v>0</v>
      </c>
      <c r="CB501" s="21" t="n">
        <v>0</v>
      </c>
      <c r="CC501" s="21" t="n">
        <v>0</v>
      </c>
      <c r="CD501" s="21" t="n">
        <v>0</v>
      </c>
      <c r="CE501" s="21" t="n">
        <v>0</v>
      </c>
      <c r="CF501" s="21" t="n">
        <v>0</v>
      </c>
      <c r="CG501" s="21" t="n">
        <v>0</v>
      </c>
      <c r="CH501" s="21" t="n">
        <v>0</v>
      </c>
      <c r="CI501" s="21" t="n">
        <v>0</v>
      </c>
      <c r="CJ501" s="21" t="n">
        <v>0</v>
      </c>
      <c r="CK501" s="21" t="n">
        <v>0</v>
      </c>
      <c r="CL501" s="21" t="n">
        <v>0</v>
      </c>
      <c r="CM501" s="21" t="n">
        <v>0</v>
      </c>
      <c r="CN501" s="21" t="n">
        <v>0</v>
      </c>
      <c r="CO501" s="21" t="n">
        <v>0</v>
      </c>
      <c r="CP501" s="21" t="n">
        <v>0</v>
      </c>
      <c r="CQ501" s="21" t="n">
        <v>0</v>
      </c>
      <c r="CR501" s="21" t="n">
        <v>0</v>
      </c>
      <c r="CS501" s="21" t="n">
        <v>0</v>
      </c>
      <c r="CT501" s="21" t="n">
        <v>0</v>
      </c>
      <c r="CU501" s="21" t="n">
        <v>0</v>
      </c>
      <c r="CV501" s="21" t="n">
        <v>0</v>
      </c>
      <c r="CW501" s="21" t="n">
        <v>0</v>
      </c>
      <c r="CX501" s="21" t="n">
        <v>0</v>
      </c>
      <c r="CY501" s="21" t="n">
        <v>0</v>
      </c>
      <c r="CZ501" s="21" t="n">
        <v>0</v>
      </c>
      <c r="DA501" s="21" t="n">
        <v>0</v>
      </c>
      <c r="DB501" s="21" t="n">
        <v>0</v>
      </c>
      <c r="DC501" s="21" t="n">
        <v>0</v>
      </c>
      <c r="DD501" s="21" t="n">
        <v>0</v>
      </c>
      <c r="DE501" s="21" t="n">
        <v>0</v>
      </c>
      <c r="DF501" s="21" t="n">
        <v>0</v>
      </c>
      <c r="DG501" s="21" t="n">
        <v>0</v>
      </c>
      <c r="DH501" s="21" t="n">
        <v>0</v>
      </c>
      <c r="DI501" s="21" t="n">
        <v>0</v>
      </c>
      <c r="DJ501" s="21" t="n">
        <v>0</v>
      </c>
      <c r="DK501" s="21" t="n">
        <v>0</v>
      </c>
      <c r="DL501" s="21" t="n">
        <v>0</v>
      </c>
      <c r="DM501" s="21" t="n">
        <v>0</v>
      </c>
      <c r="DN501" s="21" t="n">
        <v>0</v>
      </c>
      <c r="DO501" s="21" t="n">
        <v>0</v>
      </c>
      <c r="DP501" s="21" t="n">
        <v>0</v>
      </c>
      <c r="DQ501" s="21" t="n">
        <v>0</v>
      </c>
      <c r="DR501" s="21" t="n">
        <v>0</v>
      </c>
      <c r="DS501" s="21" t="n">
        <v>0</v>
      </c>
      <c r="DT501" s="21" t="n">
        <v>0</v>
      </c>
      <c r="DU501" s="21" t="n">
        <v>0</v>
      </c>
      <c r="DV501" s="21" t="n">
        <v>0</v>
      </c>
      <c r="DW501" s="21" t="n">
        <v>0</v>
      </c>
      <c r="DX501" s="21" t="n">
        <v>0</v>
      </c>
      <c r="DY501" s="21" t="n">
        <v>0</v>
      </c>
      <c r="DZ501" s="21" t="n">
        <v>0</v>
      </c>
      <c r="EA501" s="21" t="n">
        <v>0</v>
      </c>
      <c r="EB501" s="21" t="n">
        <v>0</v>
      </c>
      <c r="EC501" s="21" t="n">
        <v>0</v>
      </c>
      <c r="ED501" s="21" t="n">
        <v>0</v>
      </c>
      <c r="EE501" s="21" t="n">
        <v>0</v>
      </c>
      <c r="EF501" s="21" t="n">
        <v>0</v>
      </c>
      <c r="EG501" s="21" t="n">
        <v>0</v>
      </c>
      <c r="EH501" s="21" t="n">
        <v>0</v>
      </c>
      <c r="EI501" s="21" t="n">
        <v>0</v>
      </c>
      <c r="EJ501" s="21" t="n">
        <v>0</v>
      </c>
      <c r="EK501" s="21" t="n">
        <v>0</v>
      </c>
      <c r="EL501" s="21" t="n">
        <v>0</v>
      </c>
      <c r="EM501" s="21" t="n">
        <v>0</v>
      </c>
      <c r="EN501" s="21" t="n">
        <v>0</v>
      </c>
      <c r="EO501" s="21" t="n">
        <v>0</v>
      </c>
      <c r="EP501" s="21" t="n">
        <v>0</v>
      </c>
      <c r="EQ501" s="21" t="n">
        <v>0</v>
      </c>
      <c r="ER501" s="21" t="n">
        <v>0</v>
      </c>
      <c r="ES501" s="21" t="n">
        <v>0</v>
      </c>
      <c r="ET501" s="21" t="n">
        <v>0</v>
      </c>
      <c r="EU501" s="21" t="n">
        <v>0</v>
      </c>
      <c r="EV501" s="21" t="n">
        <v>0</v>
      </c>
      <c r="EW501" s="21" t="n">
        <v>0</v>
      </c>
      <c r="EX501" s="21" t="n">
        <v>0</v>
      </c>
      <c r="EY501" s="21" t="n">
        <v>0</v>
      </c>
      <c r="EZ501" s="21" t="n">
        <v>0</v>
      </c>
      <c r="FA501" s="21" t="n">
        <v>0</v>
      </c>
      <c r="FB501" s="21" t="n">
        <v>0</v>
      </c>
      <c r="FC501" s="21" t="n">
        <v>0</v>
      </c>
      <c r="FD501" s="21" t="n">
        <v>0</v>
      </c>
      <c r="FE501" s="21" t="n">
        <v>0</v>
      </c>
      <c r="FF501" s="21" t="n">
        <v>0</v>
      </c>
      <c r="FG501" s="21" t="n">
        <v>0</v>
      </c>
      <c r="FH501" s="21" t="n">
        <v>0</v>
      </c>
      <c r="FI501" s="21" t="n">
        <v>0</v>
      </c>
      <c r="FJ501" s="21" t="n">
        <v>0</v>
      </c>
      <c r="FK501" s="21" t="n">
        <v>0</v>
      </c>
      <c r="FL501" s="21" t="n">
        <v>0</v>
      </c>
      <c r="FM501" s="21" t="n">
        <v>0</v>
      </c>
      <c r="FN501" s="21" t="n">
        <v>0</v>
      </c>
      <c r="FO501" s="21" t="n">
        <v>0</v>
      </c>
      <c r="FP501" s="21" t="n">
        <v>0</v>
      </c>
      <c r="FQ501" s="21" t="n">
        <v>0</v>
      </c>
      <c r="FR501" s="21" t="n">
        <v>0</v>
      </c>
      <c r="FS501" s="21" t="n">
        <v>0</v>
      </c>
      <c r="FT501" s="21" t="n">
        <v>0</v>
      </c>
      <c r="FU501" s="21" t="n">
        <v>0</v>
      </c>
      <c r="FV501" s="21" t="n">
        <v>0</v>
      </c>
      <c r="FW501" s="21" t="n">
        <v>0</v>
      </c>
      <c r="FX501" s="21" t="n">
        <v>0</v>
      </c>
      <c r="FY501" s="21" t="n">
        <v>0</v>
      </c>
      <c r="FZ501" s="21" t="n">
        <v>0</v>
      </c>
      <c r="GA501" s="21" t="n">
        <v>0</v>
      </c>
      <c r="GB501" s="21" t="n">
        <v>0</v>
      </c>
      <c r="GC501" s="21" t="n">
        <v>0</v>
      </c>
      <c r="GD501" s="21" t="n">
        <v>0</v>
      </c>
      <c r="GE501" s="21" t="n">
        <v>0</v>
      </c>
      <c r="GF501" s="21" t="n">
        <v>0</v>
      </c>
      <c r="GG501" s="21" t="n">
        <v>0</v>
      </c>
      <c r="GH501" s="21" t="n">
        <v>0</v>
      </c>
      <c r="GI501" s="21" t="n">
        <v>0</v>
      </c>
      <c r="GJ501" s="21" t="n">
        <v>0</v>
      </c>
      <c r="GK501" s="21" t="n">
        <v>0</v>
      </c>
      <c r="GL501" s="21" t="n">
        <v>0</v>
      </c>
      <c r="GM501" s="21" t="n">
        <v>0</v>
      </c>
      <c r="GN501" s="21" t="n">
        <v>0</v>
      </c>
      <c r="GO501" s="21" t="n">
        <v>0</v>
      </c>
      <c r="GP501" s="21" t="n">
        <v>0</v>
      </c>
      <c r="GQ501" s="21" t="n">
        <v>0</v>
      </c>
      <c r="GR501" s="21" t="n">
        <v>0</v>
      </c>
      <c r="GS501" s="21" t="n">
        <v>0</v>
      </c>
      <c r="GT501" s="21" t="n">
        <v>0</v>
      </c>
      <c r="GU501" s="21" t="n">
        <v>0</v>
      </c>
      <c r="GV501" s="21" t="n">
        <v>0</v>
      </c>
      <c r="GW501" s="21" t="n">
        <v>0</v>
      </c>
      <c r="GX501" s="21" t="n">
        <v>0</v>
      </c>
      <c r="GY501" s="21" t="n">
        <v>0</v>
      </c>
      <c r="GZ501" s="21" t="n">
        <v>0</v>
      </c>
      <c r="HA501" s="21" t="n">
        <v>0</v>
      </c>
      <c r="HB501" s="21" t="n">
        <v>0</v>
      </c>
      <c r="HC501" s="21" t="n">
        <v>0</v>
      </c>
      <c r="HD501" s="21" t="n">
        <v>0</v>
      </c>
      <c r="HE501" s="21" t="n">
        <v>0</v>
      </c>
      <c r="HF501" s="21" t="n">
        <v>0</v>
      </c>
      <c r="HG501" s="21" t="n">
        <v>0</v>
      </c>
      <c r="HH501" s="21" t="n">
        <v>0</v>
      </c>
      <c r="HI501" s="21" t="n">
        <v>0</v>
      </c>
      <c r="HJ501" s="21" t="n">
        <v>0</v>
      </c>
      <c r="HK501" s="21" t="n">
        <v>0</v>
      </c>
      <c r="HL501" s="21" t="n">
        <v>0</v>
      </c>
      <c r="HM501" s="21" t="n">
        <v>0</v>
      </c>
      <c r="HN501" s="21" t="n">
        <v>0</v>
      </c>
      <c r="HO501" s="21" t="n">
        <v>0</v>
      </c>
      <c r="HP501" s="21" t="n">
        <v>0</v>
      </c>
      <c r="HQ501" s="21" t="n">
        <v>0</v>
      </c>
      <c r="HR501" s="21" t="n">
        <v>0</v>
      </c>
      <c r="HS501" s="21" t="n">
        <v>0</v>
      </c>
      <c r="HT501" s="21" t="n">
        <v>0</v>
      </c>
      <c r="HU501" s="21" t="n">
        <v>0</v>
      </c>
      <c r="HV501" s="21" t="n">
        <v>0</v>
      </c>
      <c r="HW501" s="21" t="n">
        <v>0</v>
      </c>
      <c r="HX501" s="21" t="n">
        <v>0</v>
      </c>
      <c r="HY501" s="21" t="n">
        <v>0</v>
      </c>
      <c r="HZ501" s="21" t="n">
        <v>0</v>
      </c>
      <c r="IA501" s="21" t="n">
        <v>0</v>
      </c>
      <c r="IB501" s="21" t="n">
        <v>0</v>
      </c>
      <c r="IC501" s="21" t="n">
        <v>0</v>
      </c>
      <c r="ID501" s="21" t="n">
        <v>0</v>
      </c>
      <c r="IE501" s="21" t="n">
        <v>0</v>
      </c>
      <c r="IF501" s="21" t="n">
        <v>0</v>
      </c>
      <c r="IG501" s="21" t="n">
        <v>0</v>
      </c>
      <c r="IH501" s="21" t="n">
        <v>0</v>
      </c>
    </row>
    <row r="502" customFormat="false" ht="12.75" hidden="false" customHeight="false" outlineLevel="0" collapsed="false">
      <c r="AJ502" s="77"/>
      <c r="AK502" s="77"/>
      <c r="AL502" s="77"/>
      <c r="AM502" s="77"/>
      <c r="AN502" s="77"/>
    </row>
    <row r="503" customFormat="false" ht="12.75" hidden="false" customHeight="false" outlineLevel="0" collapsed="false">
      <c r="AJ503" s="77"/>
      <c r="AK503" s="77"/>
      <c r="AL503" s="77"/>
      <c r="AM503" s="77"/>
      <c r="AN503" s="77"/>
    </row>
    <row r="504" customFormat="false" ht="12.75" hidden="false" customHeight="false" outlineLevel="0" collapsed="false">
      <c r="AJ504" s="77"/>
      <c r="AK504" s="77"/>
      <c r="AL504" s="77"/>
      <c r="AM504" s="77"/>
      <c r="AN504" s="77"/>
    </row>
    <row r="505" customFormat="false" ht="12.75" hidden="false" customHeight="false" outlineLevel="0" collapsed="false">
      <c r="AJ505" s="77"/>
      <c r="AK505" s="77"/>
      <c r="AL505" s="77"/>
      <c r="AM505" s="77"/>
      <c r="AN505" s="77"/>
    </row>
    <row r="506" customFormat="false" ht="12.75" hidden="false" customHeight="false" outlineLevel="0" collapsed="false">
      <c r="AJ506" s="77"/>
      <c r="AK506" s="77"/>
      <c r="AL506" s="77"/>
      <c r="AM506" s="77"/>
      <c r="AN506" s="77"/>
    </row>
    <row r="507" customFormat="false" ht="12.75" hidden="false" customHeight="false" outlineLevel="0" collapsed="false">
      <c r="AJ507" s="77"/>
      <c r="AK507" s="77"/>
      <c r="AL507" s="77"/>
      <c r="AM507" s="77"/>
      <c r="AN507" s="77"/>
    </row>
    <row r="508" customFormat="false" ht="12.75" hidden="false" customHeight="false" outlineLevel="0" collapsed="false">
      <c r="AJ508" s="77"/>
      <c r="AK508" s="77"/>
      <c r="AL508" s="77"/>
      <c r="AM508" s="77"/>
      <c r="AN508" s="77"/>
    </row>
    <row r="509" customFormat="false" ht="12.75" hidden="false" customHeight="false" outlineLevel="0" collapsed="false">
      <c r="AJ509" s="77"/>
      <c r="AK509" s="77"/>
      <c r="AL509" s="77"/>
      <c r="AM509" s="77"/>
      <c r="AN509" s="77"/>
    </row>
    <row r="510" customFormat="false" ht="12.75" hidden="false" customHeight="false" outlineLevel="0" collapsed="false">
      <c r="AJ510" s="77"/>
      <c r="AK510" s="77"/>
      <c r="AL510" s="77"/>
      <c r="AM510" s="77"/>
      <c r="AN510" s="77"/>
    </row>
    <row r="511" customFormat="false" ht="12.75" hidden="false" customHeight="false" outlineLevel="0" collapsed="false">
      <c r="AJ511" s="77"/>
      <c r="AK511" s="77"/>
      <c r="AL511" s="77"/>
      <c r="AM511" s="77"/>
      <c r="AN511" s="77"/>
    </row>
    <row r="512" customFormat="false" ht="12.75" hidden="false" customHeight="false" outlineLevel="0" collapsed="false">
      <c r="AJ512" s="77"/>
      <c r="AK512" s="77"/>
      <c r="AL512" s="77"/>
      <c r="AM512" s="77"/>
      <c r="AN512" s="77"/>
    </row>
    <row r="513" customFormat="false" ht="12.75" hidden="false" customHeight="false" outlineLevel="0" collapsed="false">
      <c r="AJ513" s="77"/>
      <c r="AK513" s="77"/>
      <c r="AL513" s="77"/>
      <c r="AM513" s="77"/>
      <c r="AN513" s="77"/>
    </row>
    <row r="514" customFormat="false" ht="12.75" hidden="false" customHeight="false" outlineLevel="0" collapsed="false">
      <c r="AJ514" s="77"/>
      <c r="AK514" s="77"/>
      <c r="AL514" s="77"/>
      <c r="AM514" s="77"/>
      <c r="AN514" s="77"/>
    </row>
    <row r="515" customFormat="false" ht="12.75" hidden="false" customHeight="false" outlineLevel="0" collapsed="false">
      <c r="AJ515" s="77"/>
      <c r="AK515" s="77"/>
      <c r="AL515" s="77"/>
      <c r="AM515" s="77"/>
      <c r="AN515" s="77"/>
    </row>
    <row r="516" customFormat="false" ht="12.75" hidden="false" customHeight="false" outlineLevel="0" collapsed="false">
      <c r="AJ516" s="77"/>
      <c r="AK516" s="77"/>
      <c r="AL516" s="77"/>
      <c r="AM516" s="77"/>
      <c r="AN516" s="77"/>
    </row>
    <row r="517" customFormat="false" ht="12.75" hidden="false" customHeight="false" outlineLevel="0" collapsed="false">
      <c r="AJ517" s="77"/>
      <c r="AK517" s="77"/>
      <c r="AL517" s="77"/>
      <c r="AM517" s="77"/>
      <c r="AN517" s="77"/>
    </row>
    <row r="518" customFormat="false" ht="12.75" hidden="false" customHeight="false" outlineLevel="0" collapsed="false">
      <c r="AJ518" s="77"/>
      <c r="AK518" s="77"/>
      <c r="AL518" s="77"/>
      <c r="AM518" s="77"/>
      <c r="AN518" s="77"/>
    </row>
    <row r="519" customFormat="false" ht="12.75" hidden="false" customHeight="false" outlineLevel="0" collapsed="false">
      <c r="AJ519" s="77"/>
      <c r="AK519" s="77"/>
      <c r="AL519" s="77"/>
      <c r="AM519" s="77"/>
      <c r="AN519" s="77"/>
    </row>
    <row r="520" customFormat="false" ht="12.75" hidden="false" customHeight="false" outlineLevel="0" collapsed="false">
      <c r="AJ520" s="77"/>
      <c r="AK520" s="77"/>
      <c r="AL520" s="77"/>
      <c r="AM520" s="77"/>
      <c r="AN520" s="77"/>
    </row>
    <row r="521" customFormat="false" ht="12.75" hidden="false" customHeight="false" outlineLevel="0" collapsed="false">
      <c r="AJ521" s="77"/>
      <c r="AK521" s="77"/>
      <c r="AL521" s="77"/>
      <c r="AM521" s="77"/>
      <c r="AN521" s="77"/>
    </row>
    <row r="522" customFormat="false" ht="12.75" hidden="false" customHeight="false" outlineLevel="0" collapsed="false">
      <c r="AJ522" s="77"/>
      <c r="AK522" s="77"/>
      <c r="AL522" s="77"/>
      <c r="AM522" s="77"/>
      <c r="AN522" s="77"/>
    </row>
    <row r="523" customFormat="false" ht="12.75" hidden="false" customHeight="false" outlineLevel="0" collapsed="false">
      <c r="AJ523" s="77"/>
      <c r="AK523" s="77"/>
      <c r="AL523" s="77"/>
      <c r="AM523" s="77"/>
      <c r="AN523" s="77"/>
    </row>
    <row r="524" customFormat="false" ht="12.75" hidden="false" customHeight="false" outlineLevel="0" collapsed="false">
      <c r="AJ524" s="77"/>
      <c r="AK524" s="77"/>
      <c r="AL524" s="77"/>
      <c r="AM524" s="77"/>
      <c r="AN524" s="77"/>
    </row>
    <row r="525" customFormat="false" ht="12.75" hidden="false" customHeight="false" outlineLevel="0" collapsed="false">
      <c r="AJ525" s="77"/>
      <c r="AK525" s="77"/>
      <c r="AL525" s="77"/>
      <c r="AM525" s="77"/>
      <c r="AN525" s="77"/>
    </row>
    <row r="526" customFormat="false" ht="12.75" hidden="false" customHeight="false" outlineLevel="0" collapsed="false">
      <c r="AJ526" s="77"/>
      <c r="AK526" s="77"/>
      <c r="AL526" s="77"/>
      <c r="AM526" s="77"/>
      <c r="AN526" s="77"/>
    </row>
    <row r="527" customFormat="false" ht="12.75" hidden="false" customHeight="false" outlineLevel="0" collapsed="false">
      <c r="AJ527" s="77"/>
      <c r="AK527" s="77"/>
      <c r="AL527" s="77"/>
      <c r="AM527" s="77"/>
      <c r="AN527" s="77"/>
    </row>
    <row r="528" customFormat="false" ht="12.75" hidden="false" customHeight="false" outlineLevel="0" collapsed="false">
      <c r="AJ528" s="77"/>
      <c r="AK528" s="77"/>
      <c r="AL528" s="77"/>
      <c r="AM528" s="77"/>
      <c r="AN528" s="77"/>
    </row>
    <row r="529" customFormat="false" ht="12.75" hidden="false" customHeight="false" outlineLevel="0" collapsed="false">
      <c r="AJ529" s="77"/>
      <c r="AK529" s="77"/>
      <c r="AL529" s="77"/>
      <c r="AM529" s="77"/>
      <c r="AN529" s="77"/>
    </row>
    <row r="530" customFormat="false" ht="12.75" hidden="false" customHeight="false" outlineLevel="0" collapsed="false">
      <c r="AJ530" s="77"/>
      <c r="AK530" s="77"/>
      <c r="AL530" s="77"/>
      <c r="AM530" s="77"/>
      <c r="AN530" s="77"/>
    </row>
    <row r="531" customFormat="false" ht="12.75" hidden="false" customHeight="false" outlineLevel="0" collapsed="false">
      <c r="AJ531" s="77"/>
      <c r="AK531" s="77"/>
      <c r="AL531" s="77"/>
      <c r="AM531" s="77"/>
      <c r="AN531" s="77"/>
    </row>
    <row r="532" customFormat="false" ht="12.75" hidden="false" customHeight="false" outlineLevel="0" collapsed="false">
      <c r="AJ532" s="77"/>
      <c r="AK532" s="77"/>
      <c r="AL532" s="77"/>
      <c r="AM532" s="77"/>
      <c r="AN532" s="77"/>
    </row>
    <row r="533" customFormat="false" ht="12.75" hidden="false" customHeight="false" outlineLevel="0" collapsed="false">
      <c r="AJ533" s="77"/>
      <c r="AK533" s="77"/>
      <c r="AL533" s="77"/>
      <c r="AM533" s="77"/>
      <c r="AN533" s="77"/>
    </row>
    <row r="534" customFormat="false" ht="12.75" hidden="false" customHeight="false" outlineLevel="0" collapsed="false">
      <c r="AJ534" s="77"/>
      <c r="AK534" s="77"/>
      <c r="AL534" s="77"/>
      <c r="AM534" s="77"/>
      <c r="AN534" s="77"/>
    </row>
    <row r="535" customFormat="false" ht="12.75" hidden="false" customHeight="false" outlineLevel="0" collapsed="false">
      <c r="AJ535" s="77"/>
      <c r="AK535" s="77"/>
      <c r="AL535" s="77"/>
      <c r="AM535" s="77"/>
      <c r="AN535" s="77"/>
    </row>
    <row r="536" customFormat="false" ht="12.75" hidden="false" customHeight="false" outlineLevel="0" collapsed="false">
      <c r="AJ536" s="77"/>
      <c r="AK536" s="77"/>
      <c r="AL536" s="77"/>
      <c r="AM536" s="77"/>
      <c r="AN536" s="77"/>
    </row>
    <row r="537" customFormat="false" ht="12.75" hidden="false" customHeight="false" outlineLevel="0" collapsed="false">
      <c r="AJ537" s="77"/>
      <c r="AK537" s="77"/>
      <c r="AL537" s="77"/>
      <c r="AM537" s="77"/>
      <c r="AN537" s="77"/>
    </row>
    <row r="538" customFormat="false" ht="12.75" hidden="false" customHeight="false" outlineLevel="0" collapsed="false">
      <c r="AJ538" s="77"/>
      <c r="AK538" s="77"/>
      <c r="AL538" s="77"/>
      <c r="AM538" s="77"/>
      <c r="AN538" s="77"/>
    </row>
    <row r="539" customFormat="false" ht="12.75" hidden="false" customHeight="false" outlineLevel="0" collapsed="false">
      <c r="AJ539" s="77"/>
      <c r="AK539" s="77"/>
      <c r="AL539" s="77"/>
      <c r="AM539" s="77"/>
      <c r="AN539" s="77"/>
    </row>
    <row r="540" customFormat="false" ht="12.75" hidden="false" customHeight="false" outlineLevel="0" collapsed="false">
      <c r="AJ540" s="77"/>
      <c r="AK540" s="77"/>
      <c r="AL540" s="77"/>
      <c r="AM540" s="77"/>
      <c r="AN540" s="77"/>
    </row>
    <row r="541" customFormat="false" ht="12.75" hidden="false" customHeight="false" outlineLevel="0" collapsed="false">
      <c r="AJ541" s="77"/>
      <c r="AK541" s="77"/>
      <c r="AL541" s="77"/>
      <c r="AM541" s="77"/>
      <c r="AN541" s="77"/>
    </row>
    <row r="542" customFormat="false" ht="12.75" hidden="false" customHeight="false" outlineLevel="0" collapsed="false">
      <c r="AJ542" s="77"/>
      <c r="AK542" s="77"/>
      <c r="AL542" s="77"/>
      <c r="AM542" s="77"/>
      <c r="AN542" s="77"/>
    </row>
    <row r="543" customFormat="false" ht="12.75" hidden="false" customHeight="false" outlineLevel="0" collapsed="false">
      <c r="AJ543" s="77"/>
      <c r="AK543" s="77"/>
      <c r="AL543" s="77"/>
      <c r="AM543" s="77"/>
      <c r="AN543" s="77"/>
    </row>
    <row r="544" customFormat="false" ht="12.75" hidden="false" customHeight="false" outlineLevel="0" collapsed="false">
      <c r="AJ544" s="77"/>
      <c r="AK544" s="77"/>
      <c r="AL544" s="77"/>
      <c r="AM544" s="77"/>
      <c r="AN544" s="77"/>
    </row>
    <row r="545" customFormat="false" ht="12.75" hidden="false" customHeight="false" outlineLevel="0" collapsed="false">
      <c r="AJ545" s="77"/>
      <c r="AK545" s="77"/>
      <c r="AL545" s="77"/>
      <c r="AM545" s="77"/>
      <c r="AN545" s="77"/>
    </row>
    <row r="546" customFormat="false" ht="12.75" hidden="false" customHeight="false" outlineLevel="0" collapsed="false">
      <c r="AJ546" s="77"/>
      <c r="AK546" s="77"/>
      <c r="AL546" s="77"/>
      <c r="AM546" s="77"/>
      <c r="AN546" s="77"/>
    </row>
    <row r="547" customFormat="false" ht="12.75" hidden="false" customHeight="false" outlineLevel="0" collapsed="false">
      <c r="AJ547" s="77"/>
      <c r="AK547" s="77"/>
      <c r="AL547" s="77"/>
      <c r="AM547" s="77"/>
      <c r="AN547" s="77"/>
    </row>
    <row r="548" customFormat="false" ht="12.75" hidden="false" customHeight="false" outlineLevel="0" collapsed="false">
      <c r="AJ548" s="77"/>
      <c r="AK548" s="77"/>
      <c r="AL548" s="77"/>
      <c r="AM548" s="77"/>
      <c r="AN548" s="77"/>
    </row>
    <row r="549" customFormat="false" ht="12.75" hidden="false" customHeight="false" outlineLevel="0" collapsed="false">
      <c r="AJ549" s="77"/>
      <c r="AK549" s="77"/>
      <c r="AL549" s="77"/>
      <c r="AM549" s="77"/>
      <c r="AN549" s="77"/>
    </row>
    <row r="550" customFormat="false" ht="12.75" hidden="false" customHeight="false" outlineLevel="0" collapsed="false">
      <c r="AJ550" s="77"/>
      <c r="AK550" s="77"/>
      <c r="AL550" s="77"/>
      <c r="AM550" s="77"/>
      <c r="AN550" s="77"/>
    </row>
    <row r="551" customFormat="false" ht="12.75" hidden="false" customHeight="false" outlineLevel="0" collapsed="false">
      <c r="AJ551" s="77"/>
      <c r="AK551" s="77"/>
      <c r="AL551" s="77"/>
      <c r="AM551" s="77"/>
      <c r="AN551" s="77"/>
    </row>
    <row r="552" customFormat="false" ht="12.75" hidden="false" customHeight="false" outlineLevel="0" collapsed="false">
      <c r="AJ552" s="77"/>
      <c r="AK552" s="77"/>
      <c r="AL552" s="77"/>
      <c r="AM552" s="77"/>
      <c r="AN552" s="77"/>
    </row>
    <row r="553" customFormat="false" ht="12.75" hidden="false" customHeight="false" outlineLevel="0" collapsed="false">
      <c r="AJ553" s="77"/>
      <c r="AK553" s="77"/>
      <c r="AL553" s="77"/>
      <c r="AM553" s="77"/>
      <c r="AN553" s="77"/>
    </row>
    <row r="554" customFormat="false" ht="12.75" hidden="false" customHeight="false" outlineLevel="0" collapsed="false">
      <c r="AJ554" s="77"/>
      <c r="AK554" s="77"/>
      <c r="AL554" s="77"/>
      <c r="AM554" s="77"/>
      <c r="AN554" s="77"/>
    </row>
    <row r="555" customFormat="false" ht="12.75" hidden="false" customHeight="false" outlineLevel="0" collapsed="false">
      <c r="AJ555" s="77"/>
      <c r="AK555" s="77"/>
      <c r="AL555" s="77"/>
      <c r="AM555" s="77"/>
      <c r="AN555" s="77"/>
    </row>
    <row r="556" customFormat="false" ht="12.75" hidden="false" customHeight="false" outlineLevel="0" collapsed="false">
      <c r="AJ556" s="77"/>
      <c r="AK556" s="77"/>
      <c r="AL556" s="77"/>
      <c r="AM556" s="77"/>
      <c r="AN556" s="77"/>
    </row>
    <row r="557" customFormat="false" ht="12.75" hidden="false" customHeight="false" outlineLevel="0" collapsed="false">
      <c r="AJ557" s="77"/>
      <c r="AK557" s="77"/>
      <c r="AL557" s="77"/>
      <c r="AM557" s="77"/>
      <c r="AN557" s="77"/>
    </row>
    <row r="558" customFormat="false" ht="12.75" hidden="false" customHeight="false" outlineLevel="0" collapsed="false">
      <c r="AJ558" s="77"/>
      <c r="AK558" s="77"/>
      <c r="AL558" s="77"/>
      <c r="AM558" s="77"/>
      <c r="AN558" s="77"/>
    </row>
    <row r="559" customFormat="false" ht="12.75" hidden="false" customHeight="false" outlineLevel="0" collapsed="false">
      <c r="AJ559" s="77"/>
      <c r="AK559" s="77"/>
      <c r="AL559" s="77"/>
      <c r="AM559" s="77"/>
      <c r="AN559" s="77"/>
    </row>
    <row r="560" customFormat="false" ht="12.75" hidden="false" customHeight="false" outlineLevel="0" collapsed="false">
      <c r="AJ560" s="77"/>
      <c r="AK560" s="77"/>
      <c r="AL560" s="77"/>
      <c r="AM560" s="77"/>
      <c r="AN560" s="77"/>
    </row>
    <row r="561" customFormat="false" ht="12.75" hidden="false" customHeight="false" outlineLevel="0" collapsed="false">
      <c r="AJ561" s="77"/>
      <c r="AK561" s="77"/>
      <c r="AL561" s="77"/>
      <c r="AM561" s="77"/>
      <c r="AN561" s="77"/>
    </row>
    <row r="562" customFormat="false" ht="12.75" hidden="false" customHeight="false" outlineLevel="0" collapsed="false">
      <c r="AJ562" s="77"/>
      <c r="AK562" s="77"/>
      <c r="AL562" s="77"/>
      <c r="AM562" s="77"/>
      <c r="AN562" s="77"/>
    </row>
    <row r="563" customFormat="false" ht="12.75" hidden="false" customHeight="false" outlineLevel="0" collapsed="false">
      <c r="AJ563" s="77"/>
      <c r="AK563" s="77"/>
      <c r="AL563" s="77"/>
      <c r="AM563" s="77"/>
      <c r="AN563" s="77"/>
    </row>
    <row r="564" customFormat="false" ht="12.75" hidden="false" customHeight="false" outlineLevel="0" collapsed="false">
      <c r="AJ564" s="77"/>
      <c r="AK564" s="77"/>
      <c r="AL564" s="77"/>
      <c r="AM564" s="77"/>
      <c r="AN564" s="77"/>
    </row>
    <row r="565" customFormat="false" ht="12.75" hidden="false" customHeight="false" outlineLevel="0" collapsed="false">
      <c r="AJ565" s="77"/>
      <c r="AK565" s="77"/>
      <c r="AL565" s="77"/>
      <c r="AM565" s="77"/>
      <c r="AN565" s="77"/>
    </row>
    <row r="566" customFormat="false" ht="12.75" hidden="false" customHeight="false" outlineLevel="0" collapsed="false">
      <c r="AJ566" s="77"/>
      <c r="AK566" s="77"/>
      <c r="AL566" s="77"/>
      <c r="AM566" s="77"/>
      <c r="AN566" s="77"/>
    </row>
    <row r="567" customFormat="false" ht="12.75" hidden="false" customHeight="false" outlineLevel="0" collapsed="false">
      <c r="AJ567" s="77"/>
      <c r="AK567" s="77"/>
      <c r="AL567" s="77"/>
      <c r="AM567" s="77"/>
      <c r="AN567" s="77"/>
    </row>
    <row r="568" customFormat="false" ht="12.75" hidden="false" customHeight="false" outlineLevel="0" collapsed="false">
      <c r="AJ568" s="77"/>
      <c r="AK568" s="77"/>
      <c r="AL568" s="77"/>
      <c r="AM568" s="77"/>
      <c r="AN568" s="77"/>
    </row>
    <row r="569" customFormat="false" ht="12.75" hidden="false" customHeight="false" outlineLevel="0" collapsed="false">
      <c r="AJ569" s="77"/>
      <c r="AK569" s="77"/>
      <c r="AL569" s="77"/>
      <c r="AM569" s="77"/>
      <c r="AN569" s="77"/>
    </row>
    <row r="570" customFormat="false" ht="12.75" hidden="false" customHeight="false" outlineLevel="0" collapsed="false">
      <c r="AJ570" s="77"/>
      <c r="AK570" s="77"/>
      <c r="AL570" s="77"/>
      <c r="AM570" s="77"/>
      <c r="AN570" s="77"/>
    </row>
    <row r="571" customFormat="false" ht="12.75" hidden="false" customHeight="false" outlineLevel="0" collapsed="false">
      <c r="AJ571" s="77"/>
      <c r="AK571" s="77"/>
      <c r="AL571" s="77"/>
      <c r="AM571" s="77"/>
      <c r="AN571" s="77"/>
    </row>
    <row r="572" customFormat="false" ht="12.75" hidden="false" customHeight="false" outlineLevel="0" collapsed="false">
      <c r="AJ572" s="77"/>
      <c r="AK572" s="77"/>
      <c r="AL572" s="77"/>
      <c r="AM572" s="77"/>
      <c r="AN572" s="77"/>
    </row>
    <row r="573" customFormat="false" ht="12.75" hidden="false" customHeight="false" outlineLevel="0" collapsed="false">
      <c r="AJ573" s="77"/>
      <c r="AK573" s="77"/>
      <c r="AL573" s="77"/>
      <c r="AM573" s="77"/>
      <c r="AN573" s="77"/>
    </row>
    <row r="574" customFormat="false" ht="12.75" hidden="false" customHeight="false" outlineLevel="0" collapsed="false">
      <c r="AJ574" s="77"/>
      <c r="AK574" s="77"/>
      <c r="AL574" s="77"/>
      <c r="AM574" s="77"/>
      <c r="AN574" s="77"/>
    </row>
    <row r="575" customFormat="false" ht="12.75" hidden="false" customHeight="false" outlineLevel="0" collapsed="false">
      <c r="AJ575" s="77"/>
      <c r="AK575" s="77"/>
      <c r="AL575" s="77"/>
      <c r="AM575" s="77"/>
      <c r="AN575" s="77"/>
    </row>
    <row r="576" customFormat="false" ht="12.75" hidden="false" customHeight="false" outlineLevel="0" collapsed="false">
      <c r="AJ576" s="77"/>
      <c r="AK576" s="77"/>
      <c r="AL576" s="77"/>
      <c r="AM576" s="77"/>
      <c r="AN576" s="77"/>
    </row>
    <row r="577" customFormat="false" ht="12.75" hidden="false" customHeight="false" outlineLevel="0" collapsed="false">
      <c r="AJ577" s="77"/>
      <c r="AK577" s="77"/>
      <c r="AL577" s="77"/>
      <c r="AM577" s="77"/>
      <c r="AN577" s="77"/>
    </row>
    <row r="578" customFormat="false" ht="12.75" hidden="false" customHeight="false" outlineLevel="0" collapsed="false">
      <c r="AJ578" s="77"/>
      <c r="AK578" s="77"/>
      <c r="AL578" s="77"/>
      <c r="AM578" s="77"/>
      <c r="AN578" s="77"/>
    </row>
    <row r="579" customFormat="false" ht="12.75" hidden="false" customHeight="false" outlineLevel="0" collapsed="false">
      <c r="AJ579" s="77"/>
      <c r="AK579" s="77"/>
      <c r="AL579" s="77"/>
      <c r="AM579" s="77"/>
      <c r="AN579" s="77"/>
    </row>
    <row r="580" customFormat="false" ht="12.75" hidden="false" customHeight="false" outlineLevel="0" collapsed="false">
      <c r="AJ580" s="77"/>
      <c r="AK580" s="77"/>
      <c r="AL580" s="77"/>
      <c r="AM580" s="77"/>
      <c r="AN580" s="77"/>
    </row>
    <row r="581" customFormat="false" ht="12.75" hidden="false" customHeight="false" outlineLevel="0" collapsed="false">
      <c r="AJ581" s="77"/>
      <c r="AK581" s="77"/>
      <c r="AL581" s="77"/>
      <c r="AM581" s="77"/>
      <c r="AN581" s="77"/>
    </row>
    <row r="582" customFormat="false" ht="12.75" hidden="false" customHeight="false" outlineLevel="0" collapsed="false">
      <c r="AJ582" s="77"/>
      <c r="AK582" s="77"/>
      <c r="AL582" s="77"/>
      <c r="AM582" s="77"/>
      <c r="AN582" s="77"/>
    </row>
    <row r="583" customFormat="false" ht="12.75" hidden="false" customHeight="false" outlineLevel="0" collapsed="false">
      <c r="AJ583" s="77"/>
      <c r="AK583" s="77"/>
      <c r="AL583" s="77"/>
      <c r="AM583" s="77"/>
      <c r="AN583" s="77"/>
    </row>
    <row r="584" customFormat="false" ht="12.75" hidden="false" customHeight="false" outlineLevel="0" collapsed="false">
      <c r="AJ584" s="77"/>
      <c r="AK584" s="77"/>
      <c r="AL584" s="77"/>
      <c r="AM584" s="77"/>
      <c r="AN584" s="77"/>
    </row>
    <row r="585" customFormat="false" ht="12.75" hidden="false" customHeight="false" outlineLevel="0" collapsed="false">
      <c r="AJ585" s="77"/>
      <c r="AK585" s="77"/>
      <c r="AL585" s="77"/>
      <c r="AM585" s="77"/>
      <c r="AN585" s="77"/>
    </row>
    <row r="586" customFormat="false" ht="12.75" hidden="false" customHeight="false" outlineLevel="0" collapsed="false">
      <c r="AJ586" s="77"/>
      <c r="AK586" s="77"/>
      <c r="AL586" s="77"/>
      <c r="AM586" s="77"/>
      <c r="AN586" s="77"/>
    </row>
    <row r="587" customFormat="false" ht="12.75" hidden="false" customHeight="false" outlineLevel="0" collapsed="false">
      <c r="AJ587" s="77"/>
      <c r="AK587" s="77"/>
      <c r="AL587" s="77"/>
      <c r="AM587" s="77"/>
      <c r="AN587" s="77"/>
    </row>
    <row r="588" customFormat="false" ht="12.75" hidden="false" customHeight="false" outlineLevel="0" collapsed="false">
      <c r="AJ588" s="77"/>
      <c r="AK588" s="77"/>
      <c r="AL588" s="77"/>
      <c r="AM588" s="77"/>
      <c r="AN588" s="77"/>
    </row>
    <row r="589" customFormat="false" ht="12.75" hidden="false" customHeight="false" outlineLevel="0" collapsed="false">
      <c r="AJ589" s="77"/>
      <c r="AK589" s="77"/>
      <c r="AL589" s="77"/>
      <c r="AM589" s="77"/>
      <c r="AN589" s="77"/>
    </row>
    <row r="590" customFormat="false" ht="12.75" hidden="false" customHeight="false" outlineLevel="0" collapsed="false">
      <c r="AJ590" s="77"/>
      <c r="AK590" s="77"/>
      <c r="AL590" s="77"/>
      <c r="AM590" s="77"/>
      <c r="AN590" s="77"/>
    </row>
    <row r="591" customFormat="false" ht="12.75" hidden="false" customHeight="false" outlineLevel="0" collapsed="false">
      <c r="AJ591" s="77"/>
      <c r="AK591" s="77"/>
      <c r="AL591" s="77"/>
      <c r="AM591" s="77"/>
      <c r="AN591" s="77"/>
    </row>
    <row r="592" customFormat="false" ht="12.75" hidden="false" customHeight="false" outlineLevel="0" collapsed="false">
      <c r="AJ592" s="77"/>
      <c r="AK592" s="77"/>
      <c r="AL592" s="77"/>
      <c r="AM592" s="77"/>
      <c r="AN592" s="77"/>
    </row>
    <row r="593" customFormat="false" ht="12.75" hidden="false" customHeight="false" outlineLevel="0" collapsed="false">
      <c r="AJ593" s="77"/>
      <c r="AK593" s="77"/>
      <c r="AL593" s="77"/>
      <c r="AM593" s="77"/>
      <c r="AN593" s="77"/>
    </row>
    <row r="594" customFormat="false" ht="12.75" hidden="false" customHeight="false" outlineLevel="0" collapsed="false">
      <c r="AJ594" s="77"/>
      <c r="AK594" s="77"/>
      <c r="AL594" s="77"/>
      <c r="AM594" s="77"/>
      <c r="AN594" s="77"/>
    </row>
    <row r="595" customFormat="false" ht="12.75" hidden="false" customHeight="false" outlineLevel="0" collapsed="false">
      <c r="AJ595" s="77"/>
      <c r="AK595" s="77"/>
      <c r="AL595" s="77"/>
      <c r="AM595" s="77"/>
      <c r="AN595" s="77"/>
    </row>
    <row r="596" customFormat="false" ht="12.75" hidden="false" customHeight="false" outlineLevel="0" collapsed="false">
      <c r="AJ596" s="77"/>
      <c r="AK596" s="77"/>
      <c r="AL596" s="77"/>
      <c r="AM596" s="77"/>
      <c r="AN596" s="77"/>
    </row>
    <row r="597" customFormat="false" ht="12.75" hidden="false" customHeight="false" outlineLevel="0" collapsed="false">
      <c r="AJ597" s="77"/>
      <c r="AK597" s="77"/>
      <c r="AL597" s="77"/>
      <c r="AM597" s="77"/>
      <c r="AN597" s="77"/>
    </row>
    <row r="598" customFormat="false" ht="12.75" hidden="false" customHeight="false" outlineLevel="0" collapsed="false">
      <c r="AJ598" s="77"/>
      <c r="AK598" s="77"/>
      <c r="AL598" s="77"/>
      <c r="AM598" s="77"/>
      <c r="AN598" s="77"/>
    </row>
    <row r="599" customFormat="false" ht="12.75" hidden="false" customHeight="false" outlineLevel="0" collapsed="false">
      <c r="AJ599" s="77"/>
      <c r="AK599" s="77"/>
      <c r="AL599" s="77"/>
      <c r="AM599" s="77"/>
      <c r="AN599" s="77"/>
    </row>
    <row r="600" customFormat="false" ht="12.75" hidden="false" customHeight="false" outlineLevel="0" collapsed="false">
      <c r="AJ600" s="77"/>
      <c r="AK600" s="77"/>
      <c r="AL600" s="77"/>
      <c r="AM600" s="77"/>
      <c r="AN600" s="77"/>
    </row>
    <row r="601" customFormat="false" ht="12.75" hidden="false" customHeight="false" outlineLevel="0" collapsed="false">
      <c r="AJ601" s="77"/>
      <c r="AK601" s="77"/>
      <c r="AL601" s="77"/>
      <c r="AM601" s="77"/>
      <c r="AN601" s="77"/>
    </row>
    <row r="602" customFormat="false" ht="12.75" hidden="false" customHeight="false" outlineLevel="0" collapsed="false">
      <c r="AJ602" s="77"/>
      <c r="AK602" s="77"/>
      <c r="AL602" s="77"/>
      <c r="AM602" s="77"/>
      <c r="AN602" s="77"/>
    </row>
    <row r="603" customFormat="false" ht="12.75" hidden="false" customHeight="false" outlineLevel="0" collapsed="false">
      <c r="AJ603" s="77"/>
      <c r="AK603" s="77"/>
      <c r="AL603" s="77"/>
      <c r="AM603" s="77"/>
      <c r="AN603" s="77"/>
    </row>
    <row r="604" customFormat="false" ht="12.75" hidden="false" customHeight="false" outlineLevel="0" collapsed="false">
      <c r="AJ604" s="77"/>
      <c r="AK604" s="77"/>
      <c r="AL604" s="77"/>
      <c r="AM604" s="77"/>
      <c r="AN604" s="77"/>
    </row>
    <row r="605" customFormat="false" ht="12.75" hidden="false" customHeight="false" outlineLevel="0" collapsed="false">
      <c r="AJ605" s="77"/>
      <c r="AK605" s="77"/>
      <c r="AL605" s="77"/>
      <c r="AM605" s="77"/>
      <c r="AN605" s="77"/>
    </row>
    <row r="606" customFormat="false" ht="12.75" hidden="false" customHeight="false" outlineLevel="0" collapsed="false">
      <c r="AJ606" s="77"/>
      <c r="AK606" s="77"/>
      <c r="AL606" s="77"/>
      <c r="AM606" s="77"/>
      <c r="AN606" s="77"/>
    </row>
    <row r="607" customFormat="false" ht="12.75" hidden="false" customHeight="false" outlineLevel="0" collapsed="false">
      <c r="AJ607" s="77"/>
      <c r="AK607" s="77"/>
      <c r="AL607" s="77"/>
      <c r="AM607" s="77"/>
      <c r="AN607" s="77"/>
    </row>
    <row r="608" customFormat="false" ht="12.75" hidden="false" customHeight="false" outlineLevel="0" collapsed="false">
      <c r="AJ608" s="77"/>
      <c r="AK608" s="77"/>
      <c r="AL608" s="77"/>
      <c r="AM608" s="77"/>
      <c r="AN608" s="77"/>
    </row>
    <row r="609" customFormat="false" ht="12.75" hidden="false" customHeight="false" outlineLevel="0" collapsed="false">
      <c r="AJ609" s="77"/>
      <c r="AK609" s="77"/>
      <c r="AL609" s="77"/>
      <c r="AM609" s="77"/>
      <c r="AN609" s="77"/>
    </row>
    <row r="610" customFormat="false" ht="12.75" hidden="false" customHeight="false" outlineLevel="0" collapsed="false">
      <c r="AJ610" s="77"/>
      <c r="AK610" s="77"/>
      <c r="AL610" s="77"/>
      <c r="AM610" s="77"/>
      <c r="AN610" s="77"/>
    </row>
    <row r="611" customFormat="false" ht="12.75" hidden="false" customHeight="false" outlineLevel="0" collapsed="false">
      <c r="AJ611" s="77"/>
      <c r="AK611" s="77"/>
      <c r="AL611" s="77"/>
      <c r="AM611" s="77"/>
      <c r="AN611" s="77"/>
    </row>
    <row r="612" customFormat="false" ht="12.75" hidden="false" customHeight="false" outlineLevel="0" collapsed="false">
      <c r="AJ612" s="77"/>
      <c r="AK612" s="77"/>
      <c r="AL612" s="77"/>
      <c r="AM612" s="77"/>
      <c r="AN612" s="77"/>
    </row>
    <row r="613" customFormat="false" ht="12.75" hidden="false" customHeight="false" outlineLevel="0" collapsed="false">
      <c r="AJ613" s="77"/>
      <c r="AK613" s="77"/>
      <c r="AL613" s="77"/>
      <c r="AM613" s="77"/>
      <c r="AN613" s="77"/>
    </row>
    <row r="614" customFormat="false" ht="12.75" hidden="false" customHeight="false" outlineLevel="0" collapsed="false">
      <c r="AJ614" s="77"/>
      <c r="AK614" s="77"/>
      <c r="AL614" s="77"/>
      <c r="AM614" s="77"/>
      <c r="AN614" s="77"/>
    </row>
    <row r="615" customFormat="false" ht="12.75" hidden="false" customHeight="false" outlineLevel="0" collapsed="false">
      <c r="AJ615" s="77"/>
      <c r="AK615" s="77"/>
      <c r="AL615" s="77"/>
      <c r="AM615" s="77"/>
      <c r="AN615" s="77"/>
    </row>
    <row r="616" customFormat="false" ht="12.75" hidden="false" customHeight="false" outlineLevel="0" collapsed="false">
      <c r="AJ616" s="77"/>
      <c r="AK616" s="77"/>
      <c r="AL616" s="77"/>
      <c r="AM616" s="77"/>
      <c r="AN616" s="77"/>
    </row>
    <row r="617" customFormat="false" ht="12.75" hidden="false" customHeight="false" outlineLevel="0" collapsed="false">
      <c r="AJ617" s="77"/>
      <c r="AK617" s="77"/>
      <c r="AL617" s="77"/>
      <c r="AM617" s="77"/>
      <c r="AN617" s="77"/>
    </row>
    <row r="618" customFormat="false" ht="12.75" hidden="false" customHeight="false" outlineLevel="0" collapsed="false">
      <c r="AJ618" s="77"/>
      <c r="AK618" s="77"/>
      <c r="AL618" s="77"/>
      <c r="AM618" s="77"/>
      <c r="AN618" s="77"/>
    </row>
    <row r="619" customFormat="false" ht="12.75" hidden="false" customHeight="false" outlineLevel="0" collapsed="false">
      <c r="AJ619" s="77"/>
      <c r="AK619" s="77"/>
      <c r="AL619" s="77"/>
      <c r="AM619" s="77"/>
      <c r="AN619" s="77"/>
    </row>
    <row r="620" customFormat="false" ht="12.75" hidden="false" customHeight="false" outlineLevel="0" collapsed="false">
      <c r="AJ620" s="77"/>
      <c r="AK620" s="77"/>
      <c r="AL620" s="77"/>
      <c r="AM620" s="77"/>
      <c r="AN620" s="77"/>
    </row>
    <row r="621" customFormat="false" ht="12.75" hidden="false" customHeight="false" outlineLevel="0" collapsed="false">
      <c r="AJ621" s="77"/>
      <c r="AK621" s="77"/>
      <c r="AL621" s="77"/>
      <c r="AM621" s="77"/>
      <c r="AN621" s="77"/>
    </row>
    <row r="622" customFormat="false" ht="12.75" hidden="false" customHeight="false" outlineLevel="0" collapsed="false">
      <c r="AJ622" s="77"/>
      <c r="AK622" s="77"/>
      <c r="AL622" s="77"/>
      <c r="AM622" s="77"/>
      <c r="AN622" s="77"/>
    </row>
    <row r="623" customFormat="false" ht="12.75" hidden="false" customHeight="false" outlineLevel="0" collapsed="false">
      <c r="AJ623" s="77"/>
      <c r="AK623" s="77"/>
      <c r="AL623" s="77"/>
      <c r="AM623" s="77"/>
      <c r="AN623" s="77"/>
    </row>
    <row r="624" customFormat="false" ht="12.75" hidden="false" customHeight="false" outlineLevel="0" collapsed="false">
      <c r="AJ624" s="77"/>
      <c r="AK624" s="77"/>
      <c r="AL624" s="77"/>
      <c r="AM624" s="77"/>
      <c r="AN624" s="77"/>
    </row>
    <row r="625" customFormat="false" ht="12.75" hidden="false" customHeight="false" outlineLevel="0" collapsed="false">
      <c r="AJ625" s="77"/>
      <c r="AK625" s="77"/>
      <c r="AL625" s="77"/>
      <c r="AM625" s="77"/>
      <c r="AN625" s="77"/>
    </row>
    <row r="626" customFormat="false" ht="12.75" hidden="false" customHeight="false" outlineLevel="0" collapsed="false">
      <c r="AJ626" s="77"/>
      <c r="AK626" s="77"/>
      <c r="AL626" s="77"/>
      <c r="AM626" s="77"/>
      <c r="AN626" s="77"/>
    </row>
    <row r="627" customFormat="false" ht="12.75" hidden="false" customHeight="false" outlineLevel="0" collapsed="false">
      <c r="AJ627" s="77"/>
      <c r="AK627" s="77"/>
      <c r="AL627" s="77"/>
      <c r="AM627" s="77"/>
      <c r="AN627" s="77"/>
    </row>
    <row r="628" customFormat="false" ht="12.75" hidden="false" customHeight="false" outlineLevel="0" collapsed="false">
      <c r="AJ628" s="77"/>
      <c r="AK628" s="77"/>
      <c r="AL628" s="77"/>
      <c r="AM628" s="77"/>
      <c r="AN628" s="77"/>
    </row>
    <row r="629" customFormat="false" ht="12.75" hidden="false" customHeight="false" outlineLevel="0" collapsed="false">
      <c r="AJ629" s="77"/>
      <c r="AK629" s="77"/>
      <c r="AL629" s="77"/>
      <c r="AM629" s="77"/>
      <c r="AN629" s="77"/>
    </row>
    <row r="630" customFormat="false" ht="12.75" hidden="false" customHeight="false" outlineLevel="0" collapsed="false">
      <c r="AJ630" s="77"/>
      <c r="AK630" s="77"/>
      <c r="AL630" s="77"/>
      <c r="AM630" s="77"/>
      <c r="AN630" s="77"/>
    </row>
    <row r="631" customFormat="false" ht="12.75" hidden="false" customHeight="false" outlineLevel="0" collapsed="false">
      <c r="AJ631" s="77"/>
      <c r="AK631" s="77"/>
      <c r="AL631" s="77"/>
      <c r="AM631" s="77"/>
      <c r="AN631" s="77"/>
    </row>
    <row r="632" customFormat="false" ht="12.75" hidden="false" customHeight="false" outlineLevel="0" collapsed="false">
      <c r="AJ632" s="77"/>
      <c r="AK632" s="77"/>
      <c r="AL632" s="77"/>
      <c r="AM632" s="77"/>
      <c r="AN632" s="77"/>
    </row>
    <row r="633" customFormat="false" ht="12.75" hidden="false" customHeight="false" outlineLevel="0" collapsed="false">
      <c r="AJ633" s="77"/>
      <c r="AK633" s="77"/>
      <c r="AL633" s="77"/>
      <c r="AM633" s="77"/>
      <c r="AN633" s="77"/>
    </row>
    <row r="634" customFormat="false" ht="12.75" hidden="false" customHeight="false" outlineLevel="0" collapsed="false">
      <c r="AJ634" s="77"/>
      <c r="AK634" s="77"/>
      <c r="AL634" s="77"/>
      <c r="AM634" s="77"/>
      <c r="AN634" s="77"/>
    </row>
    <row r="635" customFormat="false" ht="12.75" hidden="false" customHeight="false" outlineLevel="0" collapsed="false">
      <c r="AJ635" s="77"/>
      <c r="AK635" s="77"/>
      <c r="AL635" s="77"/>
      <c r="AM635" s="77"/>
      <c r="AN635" s="77"/>
    </row>
    <row r="636" customFormat="false" ht="12.75" hidden="false" customHeight="false" outlineLevel="0" collapsed="false">
      <c r="AJ636" s="77"/>
      <c r="AK636" s="77"/>
      <c r="AL636" s="77"/>
      <c r="AM636" s="77"/>
      <c r="AN636" s="77"/>
    </row>
    <row r="637" customFormat="false" ht="12.75" hidden="false" customHeight="false" outlineLevel="0" collapsed="false">
      <c r="AJ637" s="77"/>
      <c r="AK637" s="77"/>
      <c r="AL637" s="77"/>
      <c r="AM637" s="77"/>
      <c r="AN637" s="77"/>
    </row>
    <row r="638" customFormat="false" ht="12.75" hidden="false" customHeight="false" outlineLevel="0" collapsed="false">
      <c r="AJ638" s="77"/>
      <c r="AK638" s="77"/>
      <c r="AL638" s="77"/>
      <c r="AM638" s="77"/>
      <c r="AN638" s="77"/>
    </row>
    <row r="639" customFormat="false" ht="12.75" hidden="false" customHeight="false" outlineLevel="0" collapsed="false">
      <c r="AJ639" s="77"/>
      <c r="AK639" s="77"/>
      <c r="AL639" s="77"/>
      <c r="AM639" s="77"/>
      <c r="AN639" s="77"/>
    </row>
    <row r="640" customFormat="false" ht="12.75" hidden="false" customHeight="false" outlineLevel="0" collapsed="false">
      <c r="AJ640" s="77"/>
      <c r="AK640" s="77"/>
      <c r="AL640" s="77"/>
      <c r="AM640" s="77"/>
      <c r="AN640" s="77"/>
    </row>
    <row r="641" customFormat="false" ht="12.75" hidden="false" customHeight="false" outlineLevel="0" collapsed="false">
      <c r="AJ641" s="77"/>
      <c r="AK641" s="77"/>
      <c r="AL641" s="77"/>
      <c r="AM641" s="77"/>
      <c r="AN641" s="77"/>
    </row>
    <row r="642" customFormat="false" ht="12.75" hidden="false" customHeight="false" outlineLevel="0" collapsed="false">
      <c r="AJ642" s="77"/>
      <c r="AK642" s="77"/>
      <c r="AL642" s="77"/>
      <c r="AM642" s="77"/>
      <c r="AN642" s="77"/>
    </row>
    <row r="643" customFormat="false" ht="12.75" hidden="false" customHeight="false" outlineLevel="0" collapsed="false">
      <c r="AJ643" s="77"/>
      <c r="AK643" s="77"/>
      <c r="AL643" s="77"/>
      <c r="AM643" s="77"/>
      <c r="AN643" s="77"/>
    </row>
    <row r="644" customFormat="false" ht="12.75" hidden="false" customHeight="false" outlineLevel="0" collapsed="false">
      <c r="AJ644" s="77"/>
      <c r="AK644" s="77"/>
      <c r="AL644" s="77"/>
      <c r="AM644" s="77"/>
      <c r="AN644" s="77"/>
    </row>
    <row r="645" customFormat="false" ht="12.75" hidden="false" customHeight="false" outlineLevel="0" collapsed="false">
      <c r="AJ645" s="77"/>
      <c r="AK645" s="77"/>
      <c r="AL645" s="77"/>
      <c r="AM645" s="77"/>
      <c r="AN645" s="77"/>
    </row>
    <row r="646" customFormat="false" ht="12.75" hidden="false" customHeight="false" outlineLevel="0" collapsed="false">
      <c r="AJ646" s="77"/>
      <c r="AK646" s="77"/>
      <c r="AL646" s="77"/>
      <c r="AM646" s="77"/>
      <c r="AN646" s="77"/>
    </row>
    <row r="647" customFormat="false" ht="12.75" hidden="false" customHeight="false" outlineLevel="0" collapsed="false">
      <c r="AJ647" s="77"/>
      <c r="AK647" s="77"/>
      <c r="AL647" s="77"/>
      <c r="AM647" s="77"/>
      <c r="AN647" s="77"/>
    </row>
    <row r="648" customFormat="false" ht="12.75" hidden="false" customHeight="false" outlineLevel="0" collapsed="false">
      <c r="AJ648" s="77"/>
      <c r="AK648" s="77"/>
      <c r="AL648" s="77"/>
      <c r="AM648" s="77"/>
      <c r="AN648" s="77"/>
    </row>
    <row r="649" customFormat="false" ht="12.75" hidden="false" customHeight="false" outlineLevel="0" collapsed="false">
      <c r="AJ649" s="77"/>
      <c r="AK649" s="77"/>
      <c r="AL649" s="77"/>
      <c r="AM649" s="77"/>
      <c r="AN649" s="77"/>
    </row>
    <row r="650" customFormat="false" ht="12.75" hidden="false" customHeight="false" outlineLevel="0" collapsed="false">
      <c r="AJ650" s="77"/>
      <c r="AK650" s="77"/>
      <c r="AL650" s="77"/>
      <c r="AM650" s="77"/>
      <c r="AN650" s="77"/>
    </row>
    <row r="651" customFormat="false" ht="12.75" hidden="false" customHeight="false" outlineLevel="0" collapsed="false">
      <c r="AJ651" s="77"/>
      <c r="AK651" s="77"/>
      <c r="AL651" s="77"/>
      <c r="AM651" s="77"/>
      <c r="AN651" s="77"/>
    </row>
    <row r="652" customFormat="false" ht="12.75" hidden="false" customHeight="false" outlineLevel="0" collapsed="false">
      <c r="AJ652" s="77"/>
      <c r="AK652" s="77"/>
      <c r="AL652" s="77"/>
      <c r="AM652" s="77"/>
      <c r="AN652" s="77"/>
    </row>
    <row r="653" customFormat="false" ht="12.75" hidden="false" customHeight="false" outlineLevel="0" collapsed="false">
      <c r="AJ653" s="77"/>
      <c r="AK653" s="77"/>
      <c r="AL653" s="77"/>
      <c r="AM653" s="77"/>
      <c r="AN653" s="77"/>
    </row>
    <row r="654" customFormat="false" ht="12.75" hidden="false" customHeight="false" outlineLevel="0" collapsed="false">
      <c r="AJ654" s="77"/>
      <c r="AK654" s="77"/>
      <c r="AL654" s="77"/>
      <c r="AM654" s="77"/>
      <c r="AN654" s="77"/>
    </row>
    <row r="655" customFormat="false" ht="12.75" hidden="false" customHeight="false" outlineLevel="0" collapsed="false">
      <c r="AJ655" s="77"/>
      <c r="AK655" s="77"/>
      <c r="AL655" s="77"/>
      <c r="AM655" s="77"/>
      <c r="AN655" s="77"/>
    </row>
    <row r="656" customFormat="false" ht="12.75" hidden="false" customHeight="false" outlineLevel="0" collapsed="false">
      <c r="AJ656" s="77"/>
      <c r="AK656" s="77"/>
      <c r="AL656" s="77"/>
      <c r="AM656" s="77"/>
      <c r="AN656" s="77"/>
    </row>
    <row r="657" customFormat="false" ht="12.75" hidden="false" customHeight="false" outlineLevel="0" collapsed="false">
      <c r="AJ657" s="77"/>
      <c r="AK657" s="77"/>
      <c r="AL657" s="77"/>
      <c r="AM657" s="77"/>
      <c r="AN657" s="77"/>
    </row>
    <row r="658" customFormat="false" ht="12.75" hidden="false" customHeight="false" outlineLevel="0" collapsed="false">
      <c r="AJ658" s="77"/>
      <c r="AK658" s="77"/>
      <c r="AL658" s="77"/>
      <c r="AM658" s="77"/>
      <c r="AN658" s="77"/>
    </row>
    <row r="659" customFormat="false" ht="12.75" hidden="false" customHeight="false" outlineLevel="0" collapsed="false">
      <c r="AJ659" s="77"/>
      <c r="AK659" s="77"/>
      <c r="AL659" s="77"/>
      <c r="AM659" s="77"/>
      <c r="AN659" s="77"/>
    </row>
    <row r="660" customFormat="false" ht="12.75" hidden="false" customHeight="false" outlineLevel="0" collapsed="false">
      <c r="AJ660" s="77"/>
      <c r="AK660" s="77"/>
      <c r="AL660" s="77"/>
      <c r="AM660" s="77"/>
      <c r="AN660" s="77"/>
    </row>
    <row r="661" customFormat="false" ht="12.75" hidden="false" customHeight="false" outlineLevel="0" collapsed="false">
      <c r="AJ661" s="77"/>
      <c r="AK661" s="77"/>
      <c r="AL661" s="77"/>
      <c r="AM661" s="77"/>
      <c r="AN661" s="77"/>
    </row>
    <row r="662" customFormat="false" ht="12.75" hidden="false" customHeight="false" outlineLevel="0" collapsed="false">
      <c r="AJ662" s="77"/>
      <c r="AK662" s="77"/>
      <c r="AL662" s="77"/>
      <c r="AM662" s="77"/>
      <c r="AN662" s="77"/>
    </row>
    <row r="663" customFormat="false" ht="12.75" hidden="false" customHeight="false" outlineLevel="0" collapsed="false">
      <c r="AJ663" s="77"/>
      <c r="AK663" s="77"/>
      <c r="AL663" s="77"/>
      <c r="AM663" s="77"/>
      <c r="AN663" s="77"/>
    </row>
    <row r="664" customFormat="false" ht="12.75" hidden="false" customHeight="false" outlineLevel="0" collapsed="false">
      <c r="AJ664" s="77"/>
      <c r="AK664" s="77"/>
      <c r="AL664" s="77"/>
      <c r="AM664" s="77"/>
      <c r="AN664" s="77"/>
    </row>
    <row r="665" customFormat="false" ht="12.75" hidden="false" customHeight="false" outlineLevel="0" collapsed="false">
      <c r="AJ665" s="77"/>
      <c r="AK665" s="77"/>
      <c r="AL665" s="77"/>
      <c r="AM665" s="77"/>
      <c r="AN665" s="77"/>
    </row>
    <row r="666" customFormat="false" ht="12.75" hidden="false" customHeight="false" outlineLevel="0" collapsed="false">
      <c r="AJ666" s="77"/>
      <c r="AK666" s="77"/>
      <c r="AL666" s="77"/>
      <c r="AM666" s="77"/>
      <c r="AN666" s="77"/>
    </row>
    <row r="667" customFormat="false" ht="12.75" hidden="false" customHeight="false" outlineLevel="0" collapsed="false">
      <c r="AJ667" s="77"/>
      <c r="AK667" s="77"/>
      <c r="AL667" s="77"/>
      <c r="AM667" s="77"/>
      <c r="AN667" s="77"/>
    </row>
    <row r="668" customFormat="false" ht="12.75" hidden="false" customHeight="false" outlineLevel="0" collapsed="false">
      <c r="AJ668" s="77"/>
      <c r="AK668" s="77"/>
      <c r="AL668" s="77"/>
      <c r="AM668" s="77"/>
      <c r="AN668" s="77"/>
    </row>
    <row r="669" customFormat="false" ht="12.75" hidden="false" customHeight="false" outlineLevel="0" collapsed="false">
      <c r="AJ669" s="77"/>
      <c r="AK669" s="77"/>
      <c r="AL669" s="77"/>
      <c r="AM669" s="77"/>
      <c r="AN669" s="77"/>
    </row>
    <row r="670" customFormat="false" ht="12.75" hidden="false" customHeight="false" outlineLevel="0" collapsed="false">
      <c r="AJ670" s="77"/>
      <c r="AK670" s="77"/>
      <c r="AL670" s="77"/>
      <c r="AM670" s="77"/>
      <c r="AN670" s="77"/>
    </row>
    <row r="671" customFormat="false" ht="12.75" hidden="false" customHeight="false" outlineLevel="0" collapsed="false">
      <c r="AJ671" s="77"/>
      <c r="AK671" s="77"/>
      <c r="AL671" s="77"/>
      <c r="AM671" s="77"/>
      <c r="AN671" s="77"/>
    </row>
    <row r="672" customFormat="false" ht="12.75" hidden="false" customHeight="false" outlineLevel="0" collapsed="false">
      <c r="AJ672" s="77"/>
      <c r="AK672" s="77"/>
      <c r="AL672" s="77"/>
      <c r="AM672" s="77"/>
      <c r="AN672" s="77"/>
    </row>
    <row r="673" customFormat="false" ht="12.75" hidden="false" customHeight="false" outlineLevel="0" collapsed="false">
      <c r="AJ673" s="77"/>
      <c r="AK673" s="77"/>
      <c r="AL673" s="77"/>
      <c r="AM673" s="77"/>
      <c r="AN673" s="77"/>
    </row>
    <row r="674" customFormat="false" ht="12.75" hidden="false" customHeight="false" outlineLevel="0" collapsed="false">
      <c r="AJ674" s="77"/>
      <c r="AK674" s="77"/>
      <c r="AL674" s="77"/>
      <c r="AM674" s="77"/>
      <c r="AN674" s="77"/>
    </row>
    <row r="675" customFormat="false" ht="12.75" hidden="false" customHeight="false" outlineLevel="0" collapsed="false">
      <c r="AJ675" s="77"/>
      <c r="AK675" s="77"/>
      <c r="AL675" s="77"/>
      <c r="AM675" s="77"/>
      <c r="AN675" s="77"/>
    </row>
    <row r="676" customFormat="false" ht="12.75" hidden="false" customHeight="false" outlineLevel="0" collapsed="false">
      <c r="AJ676" s="77"/>
      <c r="AK676" s="77"/>
      <c r="AL676" s="77"/>
      <c r="AM676" s="77"/>
      <c r="AN676" s="77"/>
    </row>
    <row r="677" customFormat="false" ht="12.75" hidden="false" customHeight="false" outlineLevel="0" collapsed="false">
      <c r="AJ677" s="77"/>
      <c r="AK677" s="77"/>
      <c r="AL677" s="77"/>
      <c r="AM677" s="77"/>
      <c r="AN677" s="77"/>
    </row>
    <row r="678" customFormat="false" ht="12.75" hidden="false" customHeight="false" outlineLevel="0" collapsed="false">
      <c r="AJ678" s="77"/>
      <c r="AK678" s="77"/>
      <c r="AL678" s="77"/>
      <c r="AM678" s="77"/>
      <c r="AN678" s="77"/>
    </row>
    <row r="679" customFormat="false" ht="12.75" hidden="false" customHeight="false" outlineLevel="0" collapsed="false">
      <c r="AJ679" s="77"/>
      <c r="AK679" s="77"/>
      <c r="AL679" s="77"/>
      <c r="AM679" s="77"/>
      <c r="AN679" s="77"/>
    </row>
    <row r="680" customFormat="false" ht="12.75" hidden="false" customHeight="false" outlineLevel="0" collapsed="false">
      <c r="AJ680" s="77"/>
      <c r="AK680" s="77"/>
      <c r="AL680" s="77"/>
      <c r="AM680" s="77"/>
      <c r="AN680" s="77"/>
    </row>
    <row r="681" customFormat="false" ht="12.75" hidden="false" customHeight="false" outlineLevel="0" collapsed="false">
      <c r="AJ681" s="77"/>
      <c r="AK681" s="77"/>
      <c r="AL681" s="77"/>
      <c r="AM681" s="77"/>
      <c r="AN681" s="77"/>
    </row>
    <row r="682" customFormat="false" ht="12.75" hidden="false" customHeight="false" outlineLevel="0" collapsed="false">
      <c r="AJ682" s="77"/>
      <c r="AK682" s="77"/>
      <c r="AL682" s="77"/>
      <c r="AM682" s="77"/>
      <c r="AN682" s="77"/>
    </row>
    <row r="683" customFormat="false" ht="12.75" hidden="false" customHeight="false" outlineLevel="0" collapsed="false">
      <c r="AJ683" s="77"/>
      <c r="AK683" s="77"/>
      <c r="AL683" s="77"/>
      <c r="AM683" s="77"/>
      <c r="AN683" s="77"/>
    </row>
    <row r="684" customFormat="false" ht="12.75" hidden="false" customHeight="false" outlineLevel="0" collapsed="false">
      <c r="AJ684" s="77"/>
      <c r="AK684" s="77"/>
      <c r="AL684" s="77"/>
      <c r="AM684" s="77"/>
      <c r="AN684" s="77"/>
    </row>
    <row r="685" customFormat="false" ht="12.75" hidden="false" customHeight="false" outlineLevel="0" collapsed="false">
      <c r="AJ685" s="77"/>
      <c r="AK685" s="77"/>
      <c r="AL685" s="77"/>
      <c r="AM685" s="77"/>
      <c r="AN685" s="77"/>
    </row>
    <row r="686" customFormat="false" ht="12.75" hidden="false" customHeight="false" outlineLevel="0" collapsed="false">
      <c r="AJ686" s="77"/>
      <c r="AK686" s="77"/>
      <c r="AL686" s="77"/>
      <c r="AM686" s="77"/>
      <c r="AN686" s="77"/>
    </row>
    <row r="687" customFormat="false" ht="12.75" hidden="false" customHeight="false" outlineLevel="0" collapsed="false">
      <c r="AJ687" s="77"/>
      <c r="AK687" s="77"/>
      <c r="AL687" s="77"/>
      <c r="AM687" s="77"/>
      <c r="AN687" s="77"/>
    </row>
    <row r="688" customFormat="false" ht="12.75" hidden="false" customHeight="false" outlineLevel="0" collapsed="false">
      <c r="AJ688" s="77"/>
      <c r="AK688" s="77"/>
      <c r="AL688" s="77"/>
      <c r="AM688" s="77"/>
      <c r="AN688" s="77"/>
    </row>
    <row r="689" customFormat="false" ht="12.75" hidden="false" customHeight="false" outlineLevel="0" collapsed="false">
      <c r="AJ689" s="77"/>
      <c r="AK689" s="77"/>
      <c r="AL689" s="77"/>
      <c r="AM689" s="77"/>
      <c r="AN689" s="77"/>
    </row>
    <row r="690" customFormat="false" ht="12.75" hidden="false" customHeight="false" outlineLevel="0" collapsed="false">
      <c r="AJ690" s="77"/>
      <c r="AK690" s="77"/>
      <c r="AL690" s="77"/>
      <c r="AM690" s="77"/>
      <c r="AN690" s="77"/>
    </row>
    <row r="691" customFormat="false" ht="12.75" hidden="false" customHeight="false" outlineLevel="0" collapsed="false">
      <c r="AJ691" s="77"/>
      <c r="AK691" s="77"/>
      <c r="AL691" s="77"/>
      <c r="AM691" s="77"/>
      <c r="AN691" s="77"/>
    </row>
    <row r="692" customFormat="false" ht="12.75" hidden="false" customHeight="false" outlineLevel="0" collapsed="false">
      <c r="AJ692" s="77"/>
      <c r="AK692" s="77"/>
      <c r="AL692" s="77"/>
      <c r="AM692" s="77"/>
      <c r="AN692" s="77"/>
    </row>
    <row r="693" customFormat="false" ht="12.75" hidden="false" customHeight="false" outlineLevel="0" collapsed="false">
      <c r="AJ693" s="77"/>
      <c r="AK693" s="77"/>
      <c r="AL693" s="77"/>
      <c r="AM693" s="77"/>
      <c r="AN693" s="77"/>
    </row>
    <row r="694" customFormat="false" ht="12.75" hidden="false" customHeight="false" outlineLevel="0" collapsed="false">
      <c r="AJ694" s="77"/>
      <c r="AK694" s="77"/>
      <c r="AL694" s="77"/>
      <c r="AM694" s="77"/>
      <c r="AN694" s="77"/>
    </row>
    <row r="695" customFormat="false" ht="12.75" hidden="false" customHeight="false" outlineLevel="0" collapsed="false">
      <c r="AJ695" s="77"/>
      <c r="AK695" s="77"/>
      <c r="AL695" s="77"/>
      <c r="AM695" s="77"/>
      <c r="AN695" s="77"/>
    </row>
    <row r="696" customFormat="false" ht="12.75" hidden="false" customHeight="false" outlineLevel="0" collapsed="false">
      <c r="AJ696" s="77"/>
      <c r="AK696" s="77"/>
      <c r="AL696" s="77"/>
      <c r="AM696" s="77"/>
      <c r="AN696" s="77"/>
    </row>
    <row r="697" customFormat="false" ht="12.75" hidden="false" customHeight="false" outlineLevel="0" collapsed="false">
      <c r="AJ697" s="77"/>
      <c r="AK697" s="77"/>
      <c r="AL697" s="77"/>
      <c r="AM697" s="77"/>
      <c r="AN697" s="77"/>
    </row>
    <row r="698" customFormat="false" ht="12.75" hidden="false" customHeight="false" outlineLevel="0" collapsed="false">
      <c r="AJ698" s="77"/>
      <c r="AK698" s="77"/>
      <c r="AL698" s="77"/>
      <c r="AM698" s="77"/>
      <c r="AN698" s="77"/>
    </row>
    <row r="699" customFormat="false" ht="12.75" hidden="false" customHeight="false" outlineLevel="0" collapsed="false">
      <c r="AJ699" s="77"/>
      <c r="AK699" s="77"/>
      <c r="AL699" s="77"/>
      <c r="AM699" s="77"/>
      <c r="AN699" s="77"/>
    </row>
    <row r="700" customFormat="false" ht="12.75" hidden="false" customHeight="false" outlineLevel="0" collapsed="false">
      <c r="AJ700" s="77"/>
      <c r="AK700" s="77"/>
      <c r="AL700" s="77"/>
      <c r="AM700" s="77"/>
      <c r="AN700" s="77"/>
    </row>
    <row r="701" customFormat="false" ht="12.75" hidden="false" customHeight="false" outlineLevel="0" collapsed="false">
      <c r="AJ701" s="77"/>
      <c r="AK701" s="77"/>
      <c r="AL701" s="77"/>
      <c r="AM701" s="77"/>
      <c r="AN701" s="77"/>
    </row>
    <row r="702" customFormat="false" ht="12.75" hidden="false" customHeight="false" outlineLevel="0" collapsed="false">
      <c r="AJ702" s="77"/>
      <c r="AK702" s="77"/>
      <c r="AL702" s="77"/>
      <c r="AM702" s="77"/>
      <c r="AN702" s="77"/>
    </row>
    <row r="703" customFormat="false" ht="12.75" hidden="false" customHeight="false" outlineLevel="0" collapsed="false">
      <c r="AJ703" s="77"/>
      <c r="AK703" s="77"/>
      <c r="AL703" s="77"/>
      <c r="AM703" s="77"/>
      <c r="AN703" s="77"/>
    </row>
    <row r="704" customFormat="false" ht="12.75" hidden="false" customHeight="false" outlineLevel="0" collapsed="false">
      <c r="AJ704" s="77"/>
      <c r="AK704" s="77"/>
      <c r="AL704" s="77"/>
      <c r="AM704" s="77"/>
      <c r="AN704" s="77"/>
    </row>
    <row r="705" customFormat="false" ht="12.75" hidden="false" customHeight="false" outlineLevel="0" collapsed="false">
      <c r="AJ705" s="77"/>
      <c r="AK705" s="77"/>
      <c r="AL705" s="77"/>
      <c r="AM705" s="77"/>
      <c r="AN705" s="77"/>
    </row>
    <row r="706" customFormat="false" ht="12.75" hidden="false" customHeight="false" outlineLevel="0" collapsed="false">
      <c r="AJ706" s="77"/>
      <c r="AK706" s="77"/>
      <c r="AL706" s="77"/>
      <c r="AM706" s="77"/>
      <c r="AN706" s="77"/>
    </row>
    <row r="707" customFormat="false" ht="12.75" hidden="false" customHeight="false" outlineLevel="0" collapsed="false">
      <c r="AJ707" s="77"/>
      <c r="AK707" s="77"/>
      <c r="AL707" s="77"/>
      <c r="AM707" s="77"/>
      <c r="AN707" s="77"/>
    </row>
    <row r="708" customFormat="false" ht="12.75" hidden="false" customHeight="false" outlineLevel="0" collapsed="false">
      <c r="AJ708" s="77"/>
      <c r="AK708" s="77"/>
      <c r="AL708" s="77"/>
      <c r="AM708" s="77"/>
      <c r="AN708" s="77"/>
    </row>
    <row r="709" customFormat="false" ht="12.75" hidden="false" customHeight="false" outlineLevel="0" collapsed="false">
      <c r="AJ709" s="77"/>
      <c r="AK709" s="77"/>
      <c r="AL709" s="77"/>
      <c r="AM709" s="77"/>
      <c r="AN709" s="77"/>
    </row>
    <row r="710" customFormat="false" ht="12.75" hidden="false" customHeight="false" outlineLevel="0" collapsed="false">
      <c r="AJ710" s="77"/>
      <c r="AK710" s="77"/>
      <c r="AL710" s="77"/>
      <c r="AM710" s="77"/>
      <c r="AN710" s="77"/>
    </row>
    <row r="711" customFormat="false" ht="12.75" hidden="false" customHeight="false" outlineLevel="0" collapsed="false">
      <c r="AJ711" s="77"/>
      <c r="AK711" s="77"/>
      <c r="AL711" s="77"/>
      <c r="AM711" s="77"/>
      <c r="AN711" s="77"/>
    </row>
    <row r="712" customFormat="false" ht="12.75" hidden="false" customHeight="false" outlineLevel="0" collapsed="false">
      <c r="AJ712" s="77"/>
      <c r="AK712" s="77"/>
      <c r="AL712" s="77"/>
      <c r="AM712" s="77"/>
      <c r="AN712" s="77"/>
    </row>
    <row r="713" customFormat="false" ht="12.75" hidden="false" customHeight="false" outlineLevel="0" collapsed="false">
      <c r="AJ713" s="77"/>
      <c r="AK713" s="77"/>
      <c r="AL713" s="77"/>
      <c r="AM713" s="77"/>
      <c r="AN713" s="77"/>
    </row>
    <row r="714" customFormat="false" ht="12.75" hidden="false" customHeight="false" outlineLevel="0" collapsed="false">
      <c r="AJ714" s="77"/>
      <c r="AK714" s="77"/>
      <c r="AL714" s="77"/>
      <c r="AM714" s="77"/>
      <c r="AN714" s="77"/>
    </row>
    <row r="715" customFormat="false" ht="12.75" hidden="false" customHeight="false" outlineLevel="0" collapsed="false">
      <c r="AJ715" s="77"/>
      <c r="AK715" s="77"/>
      <c r="AL715" s="77"/>
      <c r="AM715" s="77"/>
      <c r="AN715" s="77"/>
    </row>
    <row r="716" customFormat="false" ht="12.75" hidden="false" customHeight="false" outlineLevel="0" collapsed="false">
      <c r="AJ716" s="77"/>
      <c r="AK716" s="77"/>
      <c r="AL716" s="77"/>
      <c r="AM716" s="77"/>
      <c r="AN716" s="77"/>
    </row>
    <row r="717" customFormat="false" ht="12.75" hidden="false" customHeight="false" outlineLevel="0" collapsed="false">
      <c r="AJ717" s="77"/>
      <c r="AK717" s="77"/>
      <c r="AL717" s="77"/>
      <c r="AM717" s="77"/>
      <c r="AN717" s="77"/>
    </row>
    <row r="718" customFormat="false" ht="12.75" hidden="false" customHeight="false" outlineLevel="0" collapsed="false">
      <c r="AJ718" s="77"/>
      <c r="AK718" s="77"/>
      <c r="AL718" s="77"/>
      <c r="AM718" s="77"/>
      <c r="AN718" s="77"/>
    </row>
    <row r="719" customFormat="false" ht="12.75" hidden="false" customHeight="false" outlineLevel="0" collapsed="false">
      <c r="AJ719" s="77"/>
      <c r="AK719" s="77"/>
      <c r="AL719" s="77"/>
      <c r="AM719" s="77"/>
      <c r="AN719" s="77"/>
    </row>
    <row r="720" customFormat="false" ht="12.75" hidden="false" customHeight="false" outlineLevel="0" collapsed="false">
      <c r="AJ720" s="77"/>
      <c r="AK720" s="77"/>
      <c r="AL720" s="77"/>
      <c r="AM720" s="77"/>
      <c r="AN720" s="77"/>
    </row>
    <row r="721" customFormat="false" ht="12.75" hidden="false" customHeight="false" outlineLevel="0" collapsed="false">
      <c r="AJ721" s="77"/>
      <c r="AK721" s="77"/>
      <c r="AL721" s="77"/>
      <c r="AM721" s="77"/>
      <c r="AN721" s="77"/>
    </row>
    <row r="722" customFormat="false" ht="12.75" hidden="false" customHeight="false" outlineLevel="0" collapsed="false">
      <c r="AJ722" s="77"/>
      <c r="AK722" s="77"/>
      <c r="AL722" s="77"/>
      <c r="AM722" s="77"/>
      <c r="AN722" s="77"/>
    </row>
  </sheetData>
  <printOptions headings="false" gridLines="false" gridLinesSet="true" horizontalCentered="false" verticalCentered="false"/>
  <pageMargins left="0.270138888888889" right="0.329861111111111" top="0.984027777777778" bottom="0.984027777777778" header="0.511811023622047" footer="0.511811023622047"/>
  <pageSetup paperSize="5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H722"/>
  <sheetViews>
    <sheetView showFormulas="false" showGridLines="false" showRowColHeaders="true" showZeros="true" rightToLeft="false" tabSelected="false" showOutlineSymbols="true" defaultGridColor="true" view="normal" topLeftCell="L1" colorId="64" zoomScale="80" zoomScaleNormal="80" zoomScalePageLayoutView="100" workbookViewId="0">
      <selection pane="topLeft" activeCell="AH8" activeCellId="0" sqref="AH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3" min="3" style="21" width="5.13"/>
    <col collapsed="false" customWidth="true" hidden="false" outlineLevel="0" max="4" min="4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8" min="8" style="21" width="14.56"/>
    <col collapsed="false" customWidth="true" hidden="false" outlineLevel="0" max="9" min="9" style="21" width="9.99"/>
    <col collapsed="false" customWidth="true" hidden="false" outlineLevel="0" max="10" min="10" style="21" width="20.13"/>
    <col collapsed="false" customWidth="true" hidden="false" outlineLevel="0" max="11" min="11" style="21" width="17.85"/>
    <col collapsed="false" customWidth="true" hidden="false" outlineLevel="0" max="12" min="12" style="21" width="19.14"/>
    <col collapsed="false" customWidth="true" hidden="false" outlineLevel="0" max="13" min="13" style="21" width="14.99"/>
    <col collapsed="false" customWidth="true" hidden="false" outlineLevel="0" max="14" min="14" style="21" width="1.41"/>
    <col collapsed="false" customWidth="true" hidden="false" outlineLevel="0" max="15" min="15" style="21" width="14.99"/>
    <col collapsed="false" customWidth="true" hidden="false" outlineLevel="0" max="16" min="16" style="21" width="16.84"/>
    <col collapsed="false" customWidth="true" hidden="false" outlineLevel="0" max="17" min="17" style="21" width="2.99"/>
    <col collapsed="false" customWidth="true" hidden="false" outlineLevel="0" max="18" min="18" style="21" width="20.13"/>
    <col collapsed="false" customWidth="true" hidden="false" outlineLevel="0" max="19" min="19" style="21" width="17.85"/>
    <col collapsed="false" customWidth="true" hidden="false" outlineLevel="0" max="20" min="20" style="21" width="21.56"/>
    <col collapsed="false" customWidth="true" hidden="false" outlineLevel="0" max="21" min="21" style="21" width="14.99"/>
    <col collapsed="false" customWidth="true" hidden="false" outlineLevel="0" max="22" min="22" style="21" width="10.41"/>
    <col collapsed="false" customWidth="true" hidden="false" outlineLevel="0" max="23" min="23" style="21" width="14.99"/>
    <col collapsed="false" customWidth="true" hidden="false" outlineLevel="0" max="24" min="24" style="21" width="16.84"/>
    <col collapsed="false" customWidth="true" hidden="false" outlineLevel="0" max="25" min="25" style="21" width="1.99"/>
    <col collapsed="false" customWidth="true" hidden="false" outlineLevel="0" max="26" min="26" style="137" width="15.99"/>
    <col collapsed="false" customWidth="true" hidden="false" outlineLevel="0" max="27" min="27" style="137" width="20.28"/>
    <col collapsed="false" customWidth="true" hidden="false" outlineLevel="0" max="28" min="28" style="137" width="15.28"/>
    <col collapsed="false" customWidth="true" hidden="false" outlineLevel="0" max="29" min="29" style="137" width="20.28"/>
    <col collapsed="false" customWidth="true" hidden="false" outlineLevel="0" max="31" min="30" style="137" width="15.7"/>
    <col collapsed="false" customWidth="true" hidden="false" outlineLevel="0" max="32" min="32" style="137" width="16.7"/>
    <col collapsed="false" customWidth="true" hidden="false" outlineLevel="0" max="33" min="33" style="137" width="13.28"/>
    <col collapsed="false" customWidth="true" hidden="false" outlineLevel="0" max="34" min="34" style="137" width="14.41"/>
    <col collapsed="false" customWidth="true" hidden="false" outlineLevel="0" max="35" min="35" style="137" width="16.7"/>
    <col collapsed="false" customWidth="true" hidden="false" outlineLevel="0" max="36" min="36" style="21" width="12.56"/>
    <col collapsed="false" customWidth="true" hidden="false" outlineLevel="0" max="37" min="37" style="21" width="10.71"/>
    <col collapsed="false" customWidth="false" hidden="false" outlineLevel="0" max="40" min="38" style="21" width="9.14"/>
    <col collapsed="false" customWidth="true" hidden="false" outlineLevel="0" max="41" min="41" style="137" width="8.28"/>
    <col collapsed="false" customWidth="true" hidden="false" outlineLevel="0" max="43" min="42" style="137" width="8.56"/>
    <col collapsed="false" customWidth="true" hidden="false" outlineLevel="0" max="44" min="44" style="137" width="11.7"/>
    <col collapsed="false" customWidth="true" hidden="false" outlineLevel="0" max="45" min="45" style="137" width="10.28"/>
    <col collapsed="false" customWidth="true" hidden="false" outlineLevel="0" max="46" min="46" style="137" width="7.56"/>
    <col collapsed="false" customWidth="true" hidden="false" outlineLevel="0" max="47" min="47" style="137" width="6.41"/>
    <col collapsed="false" customWidth="true" hidden="false" outlineLevel="0" max="48" min="48" style="21" width="1.41"/>
    <col collapsed="false" customWidth="true" hidden="false" outlineLevel="0" max="49" min="49" style="138" width="14.28"/>
    <col collapsed="false" customWidth="true" hidden="false" outlineLevel="0" max="51" min="50" style="21" width="14.28"/>
    <col collapsed="false" customWidth="false" hidden="false" outlineLevel="0" max="52" min="52" style="21" width="9.14"/>
    <col collapsed="false" customWidth="true" hidden="false" outlineLevel="0" max="53" min="53" style="21" width="15.13"/>
    <col collapsed="false" customWidth="false" hidden="false" outlineLevel="0" max="54" min="54" style="21" width="9.14"/>
    <col collapsed="false" customWidth="true" hidden="false" outlineLevel="0" max="55" min="55" style="21" width="14.99"/>
    <col collapsed="false" customWidth="false" hidden="false" outlineLevel="0" max="257" min="56" style="21" width="9.14"/>
  </cols>
  <sheetData>
    <row r="1" customFormat="false" ht="13.5" hidden="false" customHeight="false" outlineLevel="0" collapsed="false">
      <c r="A1" s="139" t="s">
        <v>114</v>
      </c>
      <c r="C1" s="140"/>
      <c r="D1" s="140" t="s">
        <v>115</v>
      </c>
      <c r="E1" s="141" t="n">
        <f aca="false">Summary!D9</f>
        <v>45926</v>
      </c>
      <c r="H1" s="142" t="s">
        <v>116</v>
      </c>
      <c r="I1" s="143" t="s">
        <v>117</v>
      </c>
      <c r="J1" s="142" t="s">
        <v>118</v>
      </c>
      <c r="K1" s="143" t="s">
        <v>119</v>
      </c>
      <c r="R1" s="142" t="s">
        <v>118</v>
      </c>
      <c r="S1" s="143" t="s">
        <v>119</v>
      </c>
      <c r="Z1" s="144" t="str">
        <f aca="false">Summary!J9</f>
        <v>NG_OMICRON_11</v>
      </c>
      <c r="AA1" s="144" t="str">
        <f aca="false">Summary!L9</f>
        <v>CGPR-DAWN</v>
      </c>
      <c r="AC1" s="144" t="str">
        <f aca="false">Summary!I9</f>
        <v>NG_OMICRON_3</v>
      </c>
      <c r="AD1" s="144" t="str">
        <f aca="false">Summary!K9</f>
        <v>IF-PAN/TX/OK</v>
      </c>
      <c r="AJ1" s="83"/>
    </row>
    <row r="2" customFormat="false" ht="12.75" hidden="false" customHeight="false" outlineLevel="0" collapsed="false">
      <c r="A2" s="142" t="s">
        <v>120</v>
      </c>
      <c r="B2" s="145" t="s">
        <v>121</v>
      </c>
      <c r="C2" s="145"/>
      <c r="D2" s="146" t="s">
        <v>122</v>
      </c>
      <c r="E2" s="145" t="s">
        <v>98</v>
      </c>
      <c r="F2" s="145" t="s">
        <v>123</v>
      </c>
      <c r="G2" s="145" t="s">
        <v>124</v>
      </c>
      <c r="H2" s="147" t="s">
        <v>125</v>
      </c>
      <c r="I2" s="148" t="s">
        <v>126</v>
      </c>
      <c r="J2" s="149" t="s">
        <v>127</v>
      </c>
      <c r="K2" s="148" t="s">
        <v>127</v>
      </c>
      <c r="R2" s="149" t="s">
        <v>128</v>
      </c>
      <c r="S2" s="148" t="str">
        <f aca="false">R2</f>
        <v>Receipt Pt</v>
      </c>
      <c r="AI2" s="137" t="s">
        <v>129</v>
      </c>
      <c r="AJ2" s="21" t="n">
        <v>1</v>
      </c>
    </row>
    <row r="3" customFormat="false" ht="13.5" hidden="false" customHeight="false" outlineLevel="0" collapsed="false">
      <c r="A3" s="150" t="n">
        <f aca="false">Summary!E9</f>
        <v>37043</v>
      </c>
      <c r="B3" s="151" t="n">
        <f aca="false">Summary!F9</f>
        <v>42035</v>
      </c>
      <c r="C3" s="152"/>
      <c r="D3" s="152" t="n">
        <f aca="false">Summary!C9</f>
        <v>37025</v>
      </c>
      <c r="E3" s="153" t="str">
        <f aca="false">CONCATENATE(INT(AT8/12)," Y - ",AT8-INT(AT8/12)*12," M")</f>
        <v>13 Y - 8 M</v>
      </c>
      <c r="F3" s="154" t="n">
        <v>2</v>
      </c>
      <c r="G3" s="154" t="n">
        <v>1</v>
      </c>
      <c r="H3" s="155" t="n">
        <v>1</v>
      </c>
      <c r="I3" s="156" t="n">
        <f aca="false">Summary!P9</f>
        <v>0</v>
      </c>
      <c r="J3" s="157" t="str">
        <f aca="false">Summary!H9</f>
        <v>CGPR-DAWN</v>
      </c>
      <c r="K3" s="156" t="str">
        <f aca="false">J3</f>
        <v>CGPR-DAWN</v>
      </c>
      <c r="R3" s="157" t="str">
        <f aca="false">Summary!G9</f>
        <v>IF-PAN/TX/OK</v>
      </c>
      <c r="S3" s="156" t="str">
        <f aca="false">R3</f>
        <v>IF-PAN/TX/OK</v>
      </c>
      <c r="Z3" s="219" t="s">
        <v>130</v>
      </c>
      <c r="AA3" s="220" t="s">
        <v>130</v>
      </c>
      <c r="AB3" s="221" t="s">
        <v>130</v>
      </c>
      <c r="AC3" s="219" t="s">
        <v>131</v>
      </c>
      <c r="AD3" s="220" t="s">
        <v>131</v>
      </c>
      <c r="AE3" s="221" t="s">
        <v>131</v>
      </c>
      <c r="AH3" s="222"/>
    </row>
    <row r="4" customFormat="false" ht="12.75" hidden="false" customHeight="false" outlineLevel="0" collapsed="false">
      <c r="A4" s="158"/>
      <c r="B4" s="158"/>
      <c r="C4" s="158"/>
      <c r="D4" s="158" t="s">
        <v>132</v>
      </c>
      <c r="E4" s="158" t="s">
        <v>93</v>
      </c>
      <c r="F4" s="158" t="s">
        <v>94</v>
      </c>
      <c r="G4" s="159" t="s">
        <v>133</v>
      </c>
      <c r="H4" s="160"/>
      <c r="I4" s="158"/>
      <c r="J4" s="159" t="str">
        <f aca="false">CONCATENATE(J3,"-","D")</f>
        <v>CGPR-DAWN-D</v>
      </c>
      <c r="K4" s="160" t="str">
        <f aca="false">J3</f>
        <v>CGPR-DAWN</v>
      </c>
      <c r="L4" s="159" t="str">
        <f aca="false">CONCATENATE(K3,"-","I")</f>
        <v>CGPR-DAWN-I</v>
      </c>
      <c r="M4" s="160" t="str">
        <f aca="false">K3</f>
        <v>CGPR-DAWN</v>
      </c>
      <c r="O4" s="160" t="str">
        <f aca="false">K4</f>
        <v>CGPR-DAWN</v>
      </c>
      <c r="P4" s="160" t="str">
        <f aca="false">J4</f>
        <v>CGPR-DAWN-D</v>
      </c>
      <c r="Q4" s="158"/>
      <c r="R4" s="159" t="str">
        <f aca="false">CONCATENATE(R3,"-","D")</f>
        <v>IF-PAN/TX/OK-D</v>
      </c>
      <c r="S4" s="160" t="str">
        <f aca="false">R3</f>
        <v>IF-PAN/TX/OK</v>
      </c>
      <c r="T4" s="159" t="str">
        <f aca="false">CONCATENATE(S3,"-","I")</f>
        <v>IF-PAN/TX/OK-I</v>
      </c>
      <c r="U4" s="160" t="str">
        <f aca="false">S3</f>
        <v>IF-PAN/TX/OK</v>
      </c>
      <c r="V4" s="160" t="s">
        <v>134</v>
      </c>
      <c r="W4" s="160" t="str">
        <f aca="false">S4</f>
        <v>IF-PAN/TX/OK</v>
      </c>
      <c r="X4" s="160" t="str">
        <f aca="false">R4</f>
        <v>IF-PAN/TX/OK-D</v>
      </c>
      <c r="Z4" s="161" t="str">
        <f aca="false">IF(Z1="NG",CONCATENATE(Z1,"-","VO"),CONCATENATE(Z1,"-","P"))</f>
        <v>NG_OMICRON_11-P</v>
      </c>
      <c r="AA4" s="162" t="str">
        <f aca="false">IF(AA1="NG",CONCATENATE(AA1,"-","VO"),CONCATENATE(AA1,"-","P"))</f>
        <v>CGPR-DAWN-P</v>
      </c>
      <c r="AB4" s="162" t="s">
        <v>135</v>
      </c>
      <c r="AC4" s="161" t="str">
        <f aca="false">IF(AC1="NG",CONCATENATE(AC1,"-","VO"),CONCATENATE(AC1,"-","P"))</f>
        <v>NG_OMICRON_3-P</v>
      </c>
      <c r="AD4" s="162" t="str">
        <f aca="false">IF(AD1="NG",CONCATENATE(AD1,"-","VO"),CONCATENATE(AD1,"-","P"))</f>
        <v>IF-PAN/TX/OK-P</v>
      </c>
      <c r="AE4" s="163" t="s">
        <v>136</v>
      </c>
      <c r="AF4" s="160" t="str">
        <f aca="false">J3</f>
        <v>CGPR-DAWN</v>
      </c>
      <c r="AG4" s="160" t="s">
        <v>81</v>
      </c>
      <c r="AH4" s="158" t="s">
        <v>167</v>
      </c>
      <c r="AI4" s="160" t="s">
        <v>81</v>
      </c>
      <c r="AJ4" s="160"/>
      <c r="AK4" s="160"/>
      <c r="AL4" s="160"/>
      <c r="AM4" s="160"/>
      <c r="AN4" s="160"/>
      <c r="AO4" s="164"/>
      <c r="AP4" s="164"/>
      <c r="AQ4" s="164" t="s">
        <v>137</v>
      </c>
      <c r="AR4" s="159" t="s">
        <v>138</v>
      </c>
      <c r="AS4" s="164"/>
      <c r="AT4" s="164"/>
      <c r="AU4" s="164"/>
      <c r="AW4" s="164"/>
      <c r="AX4" s="164" t="s">
        <v>139</v>
      </c>
      <c r="AY4" s="164"/>
      <c r="BA4" s="164"/>
      <c r="BC4" s="165" t="s">
        <v>140</v>
      </c>
    </row>
    <row r="5" customFormat="false" ht="12.75" hidden="false" customHeight="false" outlineLevel="0" collapsed="false">
      <c r="A5" s="158" t="s">
        <v>141</v>
      </c>
      <c r="B5" s="158" t="s">
        <v>32</v>
      </c>
      <c r="C5" s="158"/>
      <c r="D5" s="158" t="s">
        <v>32</v>
      </c>
      <c r="E5" s="158" t="s">
        <v>32</v>
      </c>
      <c r="F5" s="158" t="s">
        <v>32</v>
      </c>
      <c r="G5" s="158" t="s">
        <v>142</v>
      </c>
      <c r="H5" s="158" t="s">
        <v>142</v>
      </c>
      <c r="I5" s="158"/>
      <c r="J5" s="158" t="s">
        <v>118</v>
      </c>
      <c r="K5" s="158" t="s">
        <v>118</v>
      </c>
      <c r="L5" s="158" t="s">
        <v>119</v>
      </c>
      <c r="M5" s="158" t="s">
        <v>119</v>
      </c>
      <c r="O5" s="158" t="s">
        <v>97</v>
      </c>
      <c r="P5" s="158" t="s">
        <v>97</v>
      </c>
      <c r="Q5" s="158"/>
      <c r="R5" s="158" t="s">
        <v>118</v>
      </c>
      <c r="S5" s="158" t="s">
        <v>118</v>
      </c>
      <c r="T5" s="158" t="s">
        <v>119</v>
      </c>
      <c r="U5" s="158" t="s">
        <v>119</v>
      </c>
      <c r="V5" s="158" t="s">
        <v>101</v>
      </c>
      <c r="W5" s="158" t="s">
        <v>97</v>
      </c>
      <c r="X5" s="158" t="s">
        <v>97</v>
      </c>
      <c r="Z5" s="166" t="s">
        <v>143</v>
      </c>
      <c r="AA5" s="158" t="s">
        <v>143</v>
      </c>
      <c r="AB5" s="167" t="s">
        <v>143</v>
      </c>
      <c r="AC5" s="166" t="s">
        <v>143</v>
      </c>
      <c r="AD5" s="158" t="s">
        <v>143</v>
      </c>
      <c r="AE5" s="167" t="s">
        <v>144</v>
      </c>
      <c r="AF5" s="158" t="str">
        <f aca="false">S3</f>
        <v>IF-PAN/TX/OK</v>
      </c>
      <c r="AG5" s="158" t="s">
        <v>151</v>
      </c>
      <c r="AH5" s="223" t="s">
        <v>168</v>
      </c>
      <c r="AI5" s="158"/>
      <c r="AJ5" s="158" t="s">
        <v>146</v>
      </c>
      <c r="AK5" s="158" t="s">
        <v>146</v>
      </c>
      <c r="AL5" s="158" t="s">
        <v>146</v>
      </c>
      <c r="AM5" s="158" t="s">
        <v>86</v>
      </c>
      <c r="AN5" s="158" t="s">
        <v>96</v>
      </c>
      <c r="AO5" s="168" t="s">
        <v>147</v>
      </c>
      <c r="AP5" s="168" t="s">
        <v>148</v>
      </c>
      <c r="AQ5" s="168" t="s">
        <v>148</v>
      </c>
      <c r="AR5" s="169" t="s">
        <v>149</v>
      </c>
      <c r="AS5" s="168" t="s">
        <v>148</v>
      </c>
      <c r="AT5" s="168" t="s">
        <v>150</v>
      </c>
      <c r="AU5" s="168" t="s">
        <v>150</v>
      </c>
      <c r="AW5" s="168" t="s">
        <v>97</v>
      </c>
      <c r="AX5" s="168" t="s">
        <v>86</v>
      </c>
      <c r="AY5" s="168" t="s">
        <v>96</v>
      </c>
      <c r="BA5" s="168" t="s">
        <v>151</v>
      </c>
      <c r="BC5" s="170" t="s">
        <v>86</v>
      </c>
    </row>
    <row r="6" customFormat="false" ht="12.75" hidden="false" customHeight="false" outlineLevel="0" collapsed="false">
      <c r="A6" s="171" t="s">
        <v>152</v>
      </c>
      <c r="B6" s="171" t="s">
        <v>153</v>
      </c>
      <c r="C6" s="171"/>
      <c r="D6" s="171" t="s">
        <v>153</v>
      </c>
      <c r="E6" s="171" t="s">
        <v>154</v>
      </c>
      <c r="F6" s="171" t="s">
        <v>154</v>
      </c>
      <c r="G6" s="171" t="s">
        <v>155</v>
      </c>
      <c r="H6" s="171" t="str">
        <f aca="false">CHOOSE(G3,"Bid","Offer")</f>
        <v>Bid</v>
      </c>
      <c r="I6" s="171"/>
      <c r="J6" s="171" t="s">
        <v>155</v>
      </c>
      <c r="K6" s="171" t="str">
        <f aca="false">H6</f>
        <v>Bid</v>
      </c>
      <c r="L6" s="171" t="s">
        <v>155</v>
      </c>
      <c r="M6" s="171" t="str">
        <f aca="false">K6</f>
        <v>Bid</v>
      </c>
      <c r="O6" s="171" t="s">
        <v>155</v>
      </c>
      <c r="P6" s="171" t="str">
        <f aca="false">K6</f>
        <v>Bid</v>
      </c>
      <c r="Q6" s="158"/>
      <c r="R6" s="171" t="s">
        <v>155</v>
      </c>
      <c r="S6" s="171" t="str">
        <f aca="false">IF(K6="Offer","Bid","Offer")</f>
        <v>Offer</v>
      </c>
      <c r="T6" s="171" t="s">
        <v>155</v>
      </c>
      <c r="U6" s="171" t="str">
        <f aca="false">S6</f>
        <v>Offer</v>
      </c>
      <c r="V6" s="171"/>
      <c r="W6" s="171" t="s">
        <v>155</v>
      </c>
      <c r="X6" s="171" t="str">
        <f aca="false">S6</f>
        <v>Offer</v>
      </c>
      <c r="Z6" s="172" t="s">
        <v>155</v>
      </c>
      <c r="AA6" s="171" t="str">
        <f aca="false">P6</f>
        <v>Bid</v>
      </c>
      <c r="AB6" s="173" t="s">
        <v>156</v>
      </c>
      <c r="AC6" s="172" t="str">
        <f aca="false">U6</f>
        <v>Offer</v>
      </c>
      <c r="AD6" s="171" t="s">
        <v>157</v>
      </c>
      <c r="AE6" s="173" t="s">
        <v>157</v>
      </c>
      <c r="AF6" s="174" t="s">
        <v>48</v>
      </c>
      <c r="AG6" s="171" t="s">
        <v>101</v>
      </c>
      <c r="AH6" s="171" t="s">
        <v>101</v>
      </c>
      <c r="AI6" s="171" t="s">
        <v>158</v>
      </c>
      <c r="AJ6" s="171" t="s">
        <v>159</v>
      </c>
      <c r="AK6" s="171" t="s">
        <v>160</v>
      </c>
      <c r="AL6" s="171" t="s">
        <v>102</v>
      </c>
      <c r="AM6" s="171" t="s">
        <v>102</v>
      </c>
      <c r="AN6" s="171" t="s">
        <v>102</v>
      </c>
      <c r="AO6" s="175" t="s">
        <v>161</v>
      </c>
      <c r="AP6" s="175" t="s">
        <v>44</v>
      </c>
      <c r="AQ6" s="175" t="s">
        <v>161</v>
      </c>
      <c r="AR6" s="176" t="s">
        <v>162</v>
      </c>
      <c r="AS6" s="175" t="s">
        <v>163</v>
      </c>
      <c r="AT6" s="175" t="s">
        <v>164</v>
      </c>
      <c r="AU6" s="175" t="s">
        <v>161</v>
      </c>
      <c r="AW6" s="175" t="s">
        <v>102</v>
      </c>
      <c r="AX6" s="175" t="s">
        <v>165</v>
      </c>
      <c r="AY6" s="175" t="s">
        <v>165</v>
      </c>
      <c r="BA6" s="175" t="s">
        <v>101</v>
      </c>
      <c r="BC6" s="177" t="s">
        <v>165</v>
      </c>
    </row>
    <row r="7" customFormat="false" ht="13.5" hidden="false" customHeight="false" outlineLevel="0" collapsed="false">
      <c r="A7" s="178"/>
      <c r="B7" s="178"/>
      <c r="C7" s="178"/>
      <c r="D7" s="178"/>
      <c r="Z7" s="21"/>
      <c r="AA7" s="21"/>
      <c r="AB7" s="21"/>
      <c r="AC7" s="21"/>
      <c r="AD7" s="21"/>
      <c r="AE7" s="21"/>
      <c r="AF7" s="21"/>
      <c r="AG7" s="21"/>
      <c r="AH7" s="21"/>
      <c r="AI7" s="21"/>
      <c r="AQ7" s="144"/>
      <c r="BC7" s="179"/>
    </row>
    <row r="8" customFormat="false" ht="13.5" hidden="false" customHeight="false" outlineLevel="0" collapsed="false">
      <c r="A8" s="180" t="s">
        <v>166</v>
      </c>
      <c r="B8" s="181"/>
      <c r="C8" s="181"/>
      <c r="D8" s="181" t="n">
        <f aca="false">SUM(D10:D500)</f>
        <v>5912200</v>
      </c>
      <c r="E8" s="181" t="n">
        <f aca="false">SUM(E10:E500)</f>
        <v>179997650</v>
      </c>
      <c r="F8" s="181" t="n">
        <f aca="false">SUM(F10:F370)</f>
        <v>1070949997.48894</v>
      </c>
      <c r="G8" s="182" t="e">
        <f aca="false">SUMPRODUCT(G10:G499,$F$10:$F$499)/SUM($F$10:$F$499)</f>
        <v>#N/A</v>
      </c>
      <c r="H8" s="182" t="e">
        <f aca="false">SUMPRODUCT(H10:H499,$F$10:$F$499)/SUM($F$10:$F$499)</f>
        <v>#N/A</v>
      </c>
      <c r="I8" s="182"/>
      <c r="J8" s="182" t="e">
        <f aca="false">SUMPRODUCT(J10:J499,$F$10:$F$499)/SUM($F$10:$F$499)</f>
        <v>#N/A</v>
      </c>
      <c r="K8" s="182" t="e">
        <f aca="false">SUMPRODUCT(K10:K499,$F$10:$F$499)/SUM($F$10:$F$499)</f>
        <v>#N/A</v>
      </c>
      <c r="L8" s="182" t="e">
        <f aca="false">SUMPRODUCT(L10:L499,$F$10:$F$499)/SUM($F$10:$F$499)</f>
        <v>#N/A</v>
      </c>
      <c r="M8" s="182" t="e">
        <f aca="false">SUMPRODUCT(M10:M499,$F$10:$F$499)/SUM($F$10:$F$499)</f>
        <v>#N/A</v>
      </c>
      <c r="O8" s="182" t="e">
        <f aca="false">SUMPRODUCT(O10:O499,$F$10:$F$499)/SUM($F$10:$F$499)</f>
        <v>#N/A</v>
      </c>
      <c r="P8" s="182" t="e">
        <f aca="false">SUMPRODUCT(P10:P499,$F$10:$F$499)/SUM($F$10:$F$499)</f>
        <v>#N/A</v>
      </c>
      <c r="Q8" s="182"/>
      <c r="R8" s="182" t="e">
        <f aca="false">SUMPRODUCT(R10:R499,$F$10:$F$499)/SUM($F$10:$F$499)</f>
        <v>#N/A</v>
      </c>
      <c r="S8" s="182" t="e">
        <f aca="false">SUMPRODUCT(S10:S499,$F$10:$F$499)/SUM($F$10:$F$499)</f>
        <v>#N/A</v>
      </c>
      <c r="T8" s="182" t="e">
        <f aca="false">SUMPRODUCT(T10:T499,$F$10:$F$499)/SUM($F$10:$F$499)</f>
        <v>#N/A</v>
      </c>
      <c r="U8" s="182" t="e">
        <f aca="false">SUMPRODUCT(U10:U499,$F$10:$F$499)/SUM($F$10:$F$499)</f>
        <v>#N/A</v>
      </c>
      <c r="V8" s="225" t="e">
        <f aca="false">SUMPRODUCT(V10:V499,F10:F499)/F8</f>
        <v>#N/A</v>
      </c>
      <c r="W8" s="182" t="e">
        <f aca="false">SUMPRODUCT(W10:W499,$F$10:$F$499)/SUM($F$10:$F$499)</f>
        <v>#N/A</v>
      </c>
      <c r="X8" s="182" t="e">
        <f aca="false">SUMPRODUCT(X10:X499,$F$10:$F$499)/SUM($F$10:$F$499)</f>
        <v>#N/A</v>
      </c>
      <c r="Y8" s="182"/>
      <c r="Z8" s="184"/>
      <c r="AA8" s="185"/>
      <c r="AB8" s="185"/>
      <c r="AC8" s="185"/>
      <c r="AD8" s="185"/>
      <c r="AE8" s="185"/>
      <c r="AF8" s="182"/>
      <c r="AG8" s="182"/>
      <c r="AH8" s="182" t="n">
        <f aca="false">SUMPRODUCT(AH10:AH300,F10:F300)/F8</f>
        <v>0.0720457038809101</v>
      </c>
      <c r="AI8" s="182"/>
      <c r="AJ8" s="182"/>
      <c r="AK8" s="182"/>
      <c r="AL8" s="182" t="e">
        <f aca="false">AW8/$E8</f>
        <v>#NAME?</v>
      </c>
      <c r="AM8" s="182" t="e">
        <f aca="false">BC8/$F8</f>
        <v>#N/A</v>
      </c>
      <c r="AN8" s="182" t="e">
        <f aca="false">AY8/$E8</f>
        <v>#N/A</v>
      </c>
      <c r="AR8" s="186"/>
      <c r="AT8" s="187" t="n">
        <f aca="false">SUM(AT10:AT500)</f>
        <v>164</v>
      </c>
      <c r="AU8" s="187" t="n">
        <f aca="false">SUM(AU10:AU500)</f>
        <v>4993</v>
      </c>
      <c r="AW8" s="188" t="e">
        <f aca="false">SUM(AW10:AW501)</f>
        <v>#NAME?</v>
      </c>
      <c r="AX8" s="188" t="e">
        <f aca="false">SUM(AX10:AX501)</f>
        <v>#N/A</v>
      </c>
      <c r="AY8" s="188" t="e">
        <f aca="false">SUM(AY10:AY501)</f>
        <v>#N/A</v>
      </c>
      <c r="BA8" s="188" t="n">
        <f aca="false">SUM(BA10:BA501)</f>
        <v>0</v>
      </c>
      <c r="BC8" s="189" t="e">
        <f aca="false">SUM(BC10:BC501)</f>
        <v>#N/A</v>
      </c>
    </row>
    <row r="9" customFormat="false" ht="12.75" hidden="false" customHeight="false" outlineLevel="0" collapsed="false">
      <c r="B9" s="190"/>
      <c r="C9" s="190"/>
      <c r="D9" s="190"/>
      <c r="E9" s="190"/>
      <c r="F9" s="190"/>
      <c r="G9" s="191"/>
      <c r="H9" s="191"/>
      <c r="I9" s="191"/>
      <c r="J9" s="191"/>
      <c r="K9" s="191"/>
      <c r="L9" s="191"/>
      <c r="M9" s="191"/>
      <c r="O9" s="191"/>
      <c r="P9" s="191"/>
      <c r="Q9" s="191"/>
      <c r="R9" s="191"/>
      <c r="S9" s="191"/>
      <c r="T9" s="191"/>
      <c r="U9" s="191"/>
      <c r="W9" s="191"/>
      <c r="X9" s="191"/>
      <c r="Y9" s="191"/>
      <c r="Z9" s="193"/>
      <c r="AA9" s="185"/>
      <c r="AB9" s="185"/>
      <c r="AC9" s="185"/>
      <c r="AD9" s="185"/>
      <c r="AE9" s="185"/>
      <c r="AF9" s="194"/>
      <c r="AG9" s="182"/>
      <c r="AH9" s="182"/>
      <c r="AI9" s="182"/>
      <c r="AJ9" s="191"/>
      <c r="AK9" s="191"/>
      <c r="AL9" s="191"/>
      <c r="AM9" s="191"/>
      <c r="AN9" s="191"/>
      <c r="AW9" s="195"/>
      <c r="BC9" s="179"/>
    </row>
    <row r="10" customFormat="false" ht="12.75" hidden="false" customHeight="false" outlineLevel="0" collapsed="false">
      <c r="A10" s="196" t="n">
        <f aca="false">A3</f>
        <v>37043</v>
      </c>
      <c r="B10" s="197" t="n">
        <f aca="false">Summary!O9</f>
        <v>36050</v>
      </c>
      <c r="C10" s="198"/>
      <c r="D10" s="197" t="n">
        <f aca="false">IF(A11&lt;&gt;"",B10+C10,"")</f>
        <v>36050</v>
      </c>
      <c r="E10" s="199" t="n">
        <f aca="false">IF(A11="","",IF(AND(AT10=1,$H$3=1),D10*AO10,IF($H$3=2,D10,"N/A")))</f>
        <v>1081500</v>
      </c>
      <c r="F10" s="199" t="n">
        <f aca="false">IF(A11="","",E10*AS10)</f>
        <v>11606143.9743581</v>
      </c>
      <c r="G10" s="200" t="e">
        <f aca="false">IF($A11="","",VLOOKUP($A10,Table,MATCH(G$4,Curves,0)))</f>
        <v>#N/A</v>
      </c>
      <c r="H10" s="201" t="e">
        <f aca="false">IF(A11="","",G10)</f>
        <v>#N/A</v>
      </c>
      <c r="I10" s="202"/>
      <c r="J10" s="200" t="e">
        <f aca="false">IF($A11="","",VLOOKUP($A10,Table,MATCH(J$4,Curves,0)))</f>
        <v>#N/A</v>
      </c>
      <c r="K10" s="201" t="e">
        <f aca="false">IF(A11="","",J10)</f>
        <v>#N/A</v>
      </c>
      <c r="L10" s="200" t="e">
        <f aca="false">IF($A11="","",VLOOKUP($A10,Table,MATCH(L$4,Curves,0)))</f>
        <v>#N/A</v>
      </c>
      <c r="M10" s="201" t="e">
        <f aca="false">IF(A11="","",L10)</f>
        <v>#N/A</v>
      </c>
      <c r="N10" s="203"/>
      <c r="O10" s="200" t="e">
        <f aca="false">IF(A11="","",L10+J10+G10)</f>
        <v>#N/A</v>
      </c>
      <c r="P10" s="200" t="e">
        <f aca="false">IF(A11="","",M10+K10+H10)</f>
        <v>#N/A</v>
      </c>
      <c r="Q10" s="204"/>
      <c r="R10" s="200" t="e">
        <f aca="false">IF($A11="","",VLOOKUP($A10,Table,MATCH(R$4,Curves,0)))</f>
        <v>#N/A</v>
      </c>
      <c r="S10" s="201" t="e">
        <f aca="false">IF(A11="","",R10)</f>
        <v>#N/A</v>
      </c>
      <c r="T10" s="200" t="e">
        <f aca="false">IF($A11="","",VLOOKUP($A10,Table,MATCH(T$4,Curves,0)))</f>
        <v>#N/A</v>
      </c>
      <c r="U10" s="201" t="e">
        <f aca="false">IF(A11="","",T10)</f>
        <v>#N/A</v>
      </c>
      <c r="V10" s="226" t="e">
        <f aca="false">IF($A11="","",IF(AND(MONTH(A10)&gt;3,MONTH(A10)&lt;11),(T10+R10+G10)*Summary!$T$9/(1-Summary!$T$9),(T10+R10+G10)*Summary!$U$9/(1-Summary!$U$9)))</f>
        <v>#N/A</v>
      </c>
      <c r="W10" s="200" t="e">
        <f aca="false">IF($A11="","",(T10+R10+G10+V10))</f>
        <v>#N/A</v>
      </c>
      <c r="X10" s="200" t="e">
        <f aca="false">IF($A11="","",(U10+S10+H10+V10))</f>
        <v>#N/A</v>
      </c>
      <c r="Y10" s="202"/>
      <c r="Z10" s="185" t="e">
        <f aca="false">IF($A11="","",VLOOKUP($A10,Table,MATCH(Z$4,Curves,0)))</f>
        <v>#N/A</v>
      </c>
      <c r="AA10" s="185" t="e">
        <f aca="false">IF($A11="","",VLOOKUP($A10,Table,MATCH(AA$4,Curves,0)))</f>
        <v>#N/A</v>
      </c>
      <c r="AB10" s="185" t="e">
        <f aca="false">SQRT((AA10^2*(A10-$D$3)+Z10^2*(DAY(EOMONTH(A10,0))/2))/AK10)</f>
        <v>#N/A</v>
      </c>
      <c r="AC10" s="185" t="e">
        <f aca="false">IF($A11="","",VLOOKUP($A10,Table,MATCH(AC$4,Curves,0)))</f>
        <v>#N/A</v>
      </c>
      <c r="AD10" s="185" t="e">
        <f aca="false">IF($A11="","",VLOOKUP($A10,Table,MATCH(AD$4,Curves,0)))</f>
        <v>#N/A</v>
      </c>
      <c r="AE10" s="185" t="e">
        <f aca="false">SQRT((AD10^2*(A10-$D$3)+AC10^2*(DAY(EOMONTH(A10,0))/2))/AK10)</f>
        <v>#N/A</v>
      </c>
      <c r="AF10" s="224" t="e">
        <f aca="false">((Summary!$N$9*(AA10*AD10)*(A10-$D$3))+(Summary!$M$9*Z10*AC10*(AJ10-EOMONTH(EDATE(A10,-1),0))))/(AK10*AB10*AE10)</f>
        <v>#N/A</v>
      </c>
      <c r="AG10" s="207" t="n">
        <f aca="false">IF($A11="","",Summary!$Q$9)</f>
        <v>0</v>
      </c>
      <c r="AH10" s="207" t="n">
        <f aca="false">IF($A11="","",IF(Summary!$R$9="Y",VLOOKUP($A10,Summary!$AD$6:$AF$9,3)+'Escalating commodity'!E23,'Escalating commodity'!E23))</f>
        <v>0.0777</v>
      </c>
      <c r="AI10" s="207" t="n">
        <f aca="false">IF($A11="","",AH10)</f>
        <v>0.0777</v>
      </c>
      <c r="AJ10" s="208" t="n">
        <f aca="false">A10+DAY(EOMONTH(A10,0))/2-1</f>
        <v>37057</v>
      </c>
      <c r="AK10" s="209" t="n">
        <f aca="false">IF($A11="","",$A10-$E$1)</f>
        <v>-8883</v>
      </c>
      <c r="AL10" s="182" t="e">
        <f aca="false">IF($A11="","",SPRDOPT(P10,X10,AI10,0,AB10,AE10,AF10,AK10,$AJ$2,0))</f>
        <v>#NAME?</v>
      </c>
      <c r="AM10" s="211" t="e">
        <f aca="false">IF($A11="","",MAX(0,O10-W10-AI10))</f>
        <v>#N/A</v>
      </c>
      <c r="AN10" s="211" t="e">
        <f aca="false">IF($A11="","",AL10-AM10)</f>
        <v>#N/A</v>
      </c>
      <c r="AO10" s="137" t="n">
        <f aca="false">IF(A11="","",A11-A10)</f>
        <v>30</v>
      </c>
      <c r="AP10" s="212" t="n">
        <f aca="false">IF(A11="","",CHOOSE(F$3,A11+24,A10))</f>
        <v>37043</v>
      </c>
      <c r="AQ10" s="209" t="n">
        <f aca="false">IF(A11="","",AP10-$E$1)</f>
        <v>-8883</v>
      </c>
      <c r="AR10" s="185" t="n">
        <f aca="false">'ANR OK vs ML7'!AR10</f>
        <v>0.1</v>
      </c>
      <c r="AS10" s="213" t="n">
        <f aca="false">IF(A11="","",1/(1+CHOOSE(F$3,(AR11+($I$3/10000))/2,(AR10+($I$3/10000))/2))^(2*AQ10/365.25))</f>
        <v>10.7315247104559</v>
      </c>
      <c r="AT10" s="137" t="n">
        <f aca="false">IF(A11="","",IF(AND(mthbeg&lt;=A10,mthend&gt;=A10),1,0))</f>
        <v>1</v>
      </c>
      <c r="AU10" s="137" t="n">
        <f aca="false">IF(A11="","",AO10*AT10)</f>
        <v>30</v>
      </c>
      <c r="AW10" s="195" t="e">
        <f aca="false">IF($A11="","",AL10*$E10)</f>
        <v>#NAME?</v>
      </c>
      <c r="AX10" s="195" t="e">
        <f aca="false">IF($A11="","",AM10*$E10)</f>
        <v>#N/A</v>
      </c>
      <c r="AY10" s="195" t="e">
        <f aca="false">IF($A11="","",AN10*$E10)</f>
        <v>#N/A</v>
      </c>
      <c r="AZ10" s="214"/>
      <c r="BA10" s="195" t="n">
        <f aca="false">IF($A11="","",F10*Summary!$Q$9)</f>
        <v>0</v>
      </c>
      <c r="BC10" s="179" t="e">
        <f aca="false">IF(A11="","",AM10*F10)</f>
        <v>#N/A</v>
      </c>
    </row>
    <row r="11" customFormat="false" ht="12.75" hidden="false" customHeight="false" outlineLevel="0" collapsed="false">
      <c r="A11" s="196" t="n">
        <f aca="false">IF(A10&lt;mthend,EDATE(A10,1),"")</f>
        <v>37073</v>
      </c>
      <c r="B11" s="197" t="n">
        <f aca="false">IF(A11&lt;mthend,B10,"")</f>
        <v>36050</v>
      </c>
      <c r="C11" s="215"/>
      <c r="D11" s="197" t="n">
        <f aca="false">IF(A12&lt;&gt;"",B11+C11,"")</f>
        <v>36050</v>
      </c>
      <c r="E11" s="199" t="n">
        <f aca="false">IF(A12="","",IF(AND(AT11=1,$H$3=1),D11*AO11,IF($H$3=2,D11,"N/A")))</f>
        <v>1117550</v>
      </c>
      <c r="F11" s="199" t="n">
        <f aca="false">IF(A12="","",E11*AS11)</f>
        <v>11897277.8555818</v>
      </c>
      <c r="G11" s="200" t="e">
        <f aca="false">IF($A12="","",VLOOKUP($A11,Table,MATCH(G$4,Curves,0)))</f>
        <v>#N/A</v>
      </c>
      <c r="H11" s="201" t="e">
        <f aca="false">IF(A12="","",G11)</f>
        <v>#N/A</v>
      </c>
      <c r="I11" s="202"/>
      <c r="J11" s="200" t="e">
        <f aca="false">IF($A12="","",VLOOKUP($A11,Table,MATCH(J$4,Curves,0)))</f>
        <v>#N/A</v>
      </c>
      <c r="K11" s="201" t="e">
        <f aca="false">IF(A12="","",J11)</f>
        <v>#N/A</v>
      </c>
      <c r="L11" s="200" t="e">
        <f aca="false">IF($A12="","",VLOOKUP($A11,Table,MATCH(L$4,Curves,0)))</f>
        <v>#N/A</v>
      </c>
      <c r="M11" s="201" t="e">
        <f aca="false">IF(A12="","",L11)</f>
        <v>#N/A</v>
      </c>
      <c r="N11" s="203"/>
      <c r="O11" s="200" t="e">
        <f aca="false">IF(A12="","",L11+J11+G11)</f>
        <v>#N/A</v>
      </c>
      <c r="P11" s="200" t="e">
        <f aca="false">IF(A12="","",M11+K11+H11)</f>
        <v>#N/A</v>
      </c>
      <c r="Q11" s="204"/>
      <c r="R11" s="200" t="e">
        <f aca="false">IF($A12="","",VLOOKUP($A11,Table,MATCH(R$4,Curves,0)))</f>
        <v>#N/A</v>
      </c>
      <c r="S11" s="201" t="e">
        <f aca="false">IF(A12="","",R11)</f>
        <v>#N/A</v>
      </c>
      <c r="T11" s="200" t="e">
        <f aca="false">IF($A12="","",VLOOKUP($A11,Table,MATCH(T$4,Curves,0)))</f>
        <v>#N/A</v>
      </c>
      <c r="U11" s="201" t="e">
        <f aca="false">IF(A12="","",T11)</f>
        <v>#N/A</v>
      </c>
      <c r="V11" s="225" t="e">
        <f aca="false">IF($A12="","",IF(AND(MONTH(A11)&gt;3,MONTH(A11)&lt;11),(T11+R11+G11)*Summary!$T$9/(1-Summary!$T$9),(T11+R11+G11)*Summary!$U$9/(1-Summary!$U$9)))</f>
        <v>#N/A</v>
      </c>
      <c r="W11" s="200" t="e">
        <f aca="false">IF($A12="","",(T11+R11+G11+V11))</f>
        <v>#N/A</v>
      </c>
      <c r="X11" s="200" t="e">
        <f aca="false">IF($A12="","",(U11+S11+H11+V11))</f>
        <v>#N/A</v>
      </c>
      <c r="Y11" s="202"/>
      <c r="Z11" s="185" t="e">
        <f aca="false">IF($A12="","",VLOOKUP($A11,Table,MATCH(Z$4,Curves,0)))</f>
        <v>#N/A</v>
      </c>
      <c r="AA11" s="185" t="e">
        <f aca="false">IF($A12="","",VLOOKUP($A11,Table,MATCH(AA$4,Curves,0)))</f>
        <v>#N/A</v>
      </c>
      <c r="AB11" s="185" t="e">
        <f aca="false">SQRT((AA11^2*(A11-$D$3)+Z11^2*(DAY(EOMONTH(A11,0))/2))/AK11)</f>
        <v>#N/A</v>
      </c>
      <c r="AC11" s="185" t="e">
        <f aca="false">IF($A12="","",VLOOKUP($A11,Table,MATCH(AC$4,Curves,0)))</f>
        <v>#N/A</v>
      </c>
      <c r="AD11" s="185" t="e">
        <f aca="false">IF($A12="","",VLOOKUP($A11,Table,MATCH(AD$4,Curves,0)))</f>
        <v>#N/A</v>
      </c>
      <c r="AE11" s="185" t="e">
        <f aca="false">SQRT((AD11^2*(A11-$D$3)+AC11^2*(DAY(EOMONTH(A11,0))/2))/AK11)</f>
        <v>#N/A</v>
      </c>
      <c r="AF11" s="224" t="e">
        <f aca="false">((Summary!$N$9*(AA11*AD11)*(A11-$D$3))+(Summary!$M$9*Z11*AC11*(AJ11-EOMONTH(EDATE(A11,-1),0))))/(AK11*AB11*AE11)</f>
        <v>#N/A</v>
      </c>
      <c r="AG11" s="207" t="n">
        <f aca="false">IF($A12="","",Summary!$Q$9)</f>
        <v>0</v>
      </c>
      <c r="AH11" s="207" t="n">
        <f aca="false">IF($A12="","",IF(Summary!$R$9="Y",VLOOKUP($A11,Summary!$AD$6:$AF$9,3)+'Escalating commodity'!E24,'Escalating commodity'!E24))</f>
        <v>0.0777</v>
      </c>
      <c r="AI11" s="207" t="n">
        <f aca="false">IF($A12="","",AH11)</f>
        <v>0.0777</v>
      </c>
      <c r="AJ11" s="208" t="n">
        <f aca="false">A11+DAY(EOMONTH(A11,0))/2-1</f>
        <v>37087.5</v>
      </c>
      <c r="AK11" s="209" t="n">
        <f aca="false">IF($A12="","",$A11-$E$1)</f>
        <v>-8853</v>
      </c>
      <c r="AL11" s="182" t="e">
        <f aca="false">IF($A12="","",SPRDOPT(P11,X11,AI11,0,AB11,AE11,AF11,AK11,$AJ$2,0))</f>
        <v>#NAME?</v>
      </c>
      <c r="AM11" s="211" t="e">
        <f aca="false">IF($A12="","",MAX(0,O11-W11-AI11))</f>
        <v>#N/A</v>
      </c>
      <c r="AN11" s="211" t="e">
        <f aca="false">IF($A12="","",AL11-AM11)</f>
        <v>#N/A</v>
      </c>
      <c r="AO11" s="137" t="n">
        <f aca="false">IF(A12="","",A12-A11)</f>
        <v>31</v>
      </c>
      <c r="AP11" s="212" t="n">
        <f aca="false">IF(A12="","",CHOOSE(F$3,A12+24,A11))</f>
        <v>37073</v>
      </c>
      <c r="AQ11" s="209" t="n">
        <f aca="false">IF(A12="","",AP11-$E$1)</f>
        <v>-8853</v>
      </c>
      <c r="AR11" s="185" t="n">
        <f aca="false">'ANR OK vs ML7'!AR11</f>
        <v>0.1</v>
      </c>
      <c r="AS11" s="213" t="n">
        <f aca="false">IF(A12="","",1/(1+CHOOSE(F$3,(AR12+($I$3/10000))/2,(AR11+($I$3/10000))/2))^(2*AQ11/365.25))</f>
        <v>10.6458573268147</v>
      </c>
      <c r="AT11" s="137" t="n">
        <f aca="false">IF(A12="","",IF(AND(mthbeg&lt;=A11,mthend&gt;=A11),1,0))</f>
        <v>1</v>
      </c>
      <c r="AU11" s="137" t="n">
        <f aca="false">IF(A12="","",AO11*AT11)</f>
        <v>31</v>
      </c>
      <c r="AW11" s="195" t="e">
        <f aca="false">IF($A12="","",AL11*$E11)</f>
        <v>#NAME?</v>
      </c>
      <c r="AX11" s="195" t="e">
        <f aca="false">IF($A12="","",AM11*$E11)</f>
        <v>#N/A</v>
      </c>
      <c r="AY11" s="195" t="e">
        <f aca="false">IF($A12="","",AN11*$E11)</f>
        <v>#N/A</v>
      </c>
      <c r="BA11" s="195" t="n">
        <f aca="false">IF($A12="","",F11*Summary!$Q$9)</f>
        <v>0</v>
      </c>
      <c r="BC11" s="179" t="e">
        <f aca="false">IF(A12="","",AM11*F11)</f>
        <v>#N/A</v>
      </c>
    </row>
    <row r="12" customFormat="false" ht="12.75" hidden="false" customHeight="false" outlineLevel="0" collapsed="false">
      <c r="A12" s="196" t="n">
        <f aca="false">IF(A11&lt;mthend,EDATE(A11,1),"")</f>
        <v>37104</v>
      </c>
      <c r="B12" s="197" t="n">
        <f aca="false">IF(A12&lt;mthend,B11,"")</f>
        <v>36050</v>
      </c>
      <c r="C12" s="215"/>
      <c r="D12" s="197" t="n">
        <f aca="false">IF(A13&lt;&gt;"",B12+C12,"")</f>
        <v>36050</v>
      </c>
      <c r="E12" s="199" t="n">
        <f aca="false">IF(A13="","",IF(AND(AT12=1,$H$3=1),D12*AO12,IF($H$3=2,D12,"N/A")))</f>
        <v>1117550</v>
      </c>
      <c r="F12" s="199" t="n">
        <f aca="false">IF(A13="","",E12*AS12)</f>
        <v>11799151.8359246</v>
      </c>
      <c r="G12" s="200" t="e">
        <f aca="false">IF($A13="","",VLOOKUP($A12,Table,MATCH(G$4,Curves,0)))</f>
        <v>#N/A</v>
      </c>
      <c r="H12" s="201" t="e">
        <f aca="false">IF(A13="","",G12)</f>
        <v>#N/A</v>
      </c>
      <c r="I12" s="202"/>
      <c r="J12" s="200" t="e">
        <f aca="false">IF($A13="","",VLOOKUP($A12,Table,MATCH(J$4,Curves,0)))</f>
        <v>#N/A</v>
      </c>
      <c r="K12" s="201" t="e">
        <f aca="false">IF(A13="","",J12)</f>
        <v>#N/A</v>
      </c>
      <c r="L12" s="200" t="e">
        <f aca="false">IF($A13="","",VLOOKUP($A12,Table,MATCH(L$4,Curves,0)))</f>
        <v>#N/A</v>
      </c>
      <c r="M12" s="201" t="e">
        <f aca="false">IF(A13="","",L12)</f>
        <v>#N/A</v>
      </c>
      <c r="N12" s="203"/>
      <c r="O12" s="200" t="e">
        <f aca="false">IF(A13="","",L12+J12+G12)</f>
        <v>#N/A</v>
      </c>
      <c r="P12" s="200" t="e">
        <f aca="false">IF(A13="","",M12+K12+H12)</f>
        <v>#N/A</v>
      </c>
      <c r="Q12" s="204"/>
      <c r="R12" s="200" t="e">
        <f aca="false">IF($A13="","",VLOOKUP($A12,Table,MATCH(R$4,Curves,0)))</f>
        <v>#N/A</v>
      </c>
      <c r="S12" s="201" t="e">
        <f aca="false">IF(A13="","",R12)</f>
        <v>#N/A</v>
      </c>
      <c r="T12" s="200" t="e">
        <f aca="false">IF($A13="","",VLOOKUP($A12,Table,MATCH(T$4,Curves,0)))</f>
        <v>#N/A</v>
      </c>
      <c r="U12" s="201" t="e">
        <f aca="false">IF(A13="","",T12)</f>
        <v>#N/A</v>
      </c>
      <c r="V12" s="225" t="e">
        <f aca="false">IF($A13="","",IF(AND(MONTH(A12)&gt;3,MONTH(A12)&lt;11),(T12+R12+G12)*Summary!$T$9/(1-Summary!$T$9),(T12+R12+G12)*Summary!$U$9/(1-Summary!$U$9)))</f>
        <v>#N/A</v>
      </c>
      <c r="W12" s="200" t="e">
        <f aca="false">IF($A13="","",(T12+R12+G12+V12))</f>
        <v>#N/A</v>
      </c>
      <c r="X12" s="200" t="e">
        <f aca="false">IF($A13="","",(U12+S12+H12+V12))</f>
        <v>#N/A</v>
      </c>
      <c r="Y12" s="202"/>
      <c r="Z12" s="185" t="e">
        <f aca="false">IF($A13="","",VLOOKUP($A12,Table,MATCH(Z$4,Curves,0)))</f>
        <v>#N/A</v>
      </c>
      <c r="AA12" s="185" t="e">
        <f aca="false">IF($A13="","",VLOOKUP($A12,Table,MATCH(AA$4,Curves,0)))</f>
        <v>#N/A</v>
      </c>
      <c r="AB12" s="185" t="e">
        <f aca="false">SQRT((AA12^2*(A12-$D$3)+Z12^2*(DAY(EOMONTH(A12,0))/2))/AK12)</f>
        <v>#N/A</v>
      </c>
      <c r="AC12" s="185" t="e">
        <f aca="false">IF($A13="","",VLOOKUP($A12,Table,MATCH(AC$4,Curves,0)))</f>
        <v>#N/A</v>
      </c>
      <c r="AD12" s="185" t="e">
        <f aca="false">IF($A13="","",VLOOKUP($A12,Table,MATCH(AD$4,Curves,0)))</f>
        <v>#N/A</v>
      </c>
      <c r="AE12" s="185" t="e">
        <f aca="false">SQRT((AD12^2*(A12-$D$3)+AC12^2*(DAY(EOMONTH(A12,0))/2))/AK12)</f>
        <v>#N/A</v>
      </c>
      <c r="AF12" s="224" t="e">
        <f aca="false">((Summary!$N$9*(AA12*AD12)*(A12-$D$3))+(Summary!$M$9*Z12*AC12*(AJ12-EOMONTH(EDATE(A12,-1),0))))/(AK12*AB12*AE12)</f>
        <v>#N/A</v>
      </c>
      <c r="AG12" s="207" t="n">
        <f aca="false">IF($A13="","",Summary!$Q$9)</f>
        <v>0</v>
      </c>
      <c r="AH12" s="207" t="n">
        <f aca="false">IF($A13="","",IF(Summary!$R$9="Y",VLOOKUP($A12,Summary!$AD$6:$AF$9,3)+'Escalating commodity'!E25,'Escalating commodity'!E25))</f>
        <v>0.0777</v>
      </c>
      <c r="AI12" s="207" t="n">
        <f aca="false">IF($A13="","",AH12)</f>
        <v>0.0777</v>
      </c>
      <c r="AJ12" s="208" t="n">
        <f aca="false">A12+DAY(EOMONTH(A12,0))/2-1</f>
        <v>37118.5</v>
      </c>
      <c r="AK12" s="209" t="n">
        <f aca="false">IF($A13="","",$A12-$E$1)</f>
        <v>-8822</v>
      </c>
      <c r="AL12" s="182" t="e">
        <f aca="false">IF($A13="","",SPRDOPT(P12,X12,AI12,0,AB12,AE12,AF12,AK12,$AJ$2,0))</f>
        <v>#NAME?</v>
      </c>
      <c r="AM12" s="211" t="e">
        <f aca="false">IF($A13="","",MAX(0,O12-W12-AI12))</f>
        <v>#N/A</v>
      </c>
      <c r="AN12" s="211" t="e">
        <f aca="false">IF($A13="","",AL12-AM12)</f>
        <v>#N/A</v>
      </c>
      <c r="AO12" s="137" t="n">
        <f aca="false">IF(A13="","",A13-A12)</f>
        <v>31</v>
      </c>
      <c r="AP12" s="212" t="n">
        <f aca="false">IF(A13="","",CHOOSE(F$3,A13+24,A12))</f>
        <v>37104</v>
      </c>
      <c r="AQ12" s="209" t="n">
        <f aca="false">IF(A13="","",AP12-$E$1)</f>
        <v>-8822</v>
      </c>
      <c r="AR12" s="185" t="n">
        <f aca="false">'ANR OK vs ML7'!AR12</f>
        <v>0.1</v>
      </c>
      <c r="AS12" s="213" t="n">
        <f aca="false">IF(A13="","",1/(1+CHOOSE(F$3,(AR13+($I$3/10000))/2,(AR12+($I$3/10000))/2))^(2*AQ12/365.25))</f>
        <v>10.5580527367228</v>
      </c>
      <c r="AT12" s="137" t="n">
        <f aca="false">IF(A13="","",IF(AND(mthbeg&lt;=A12,mthend&gt;=A12),1,0))</f>
        <v>1</v>
      </c>
      <c r="AU12" s="137" t="n">
        <f aca="false">IF(A13="","",AO12*AT12)</f>
        <v>31</v>
      </c>
      <c r="AW12" s="195" t="e">
        <f aca="false">IF($A13="","",AL12*$E12)</f>
        <v>#NAME?</v>
      </c>
      <c r="AX12" s="195" t="e">
        <f aca="false">IF($A13="","",AM12*$E12)</f>
        <v>#N/A</v>
      </c>
      <c r="AY12" s="195" t="e">
        <f aca="false">IF($A13="","",AN12*$E12)</f>
        <v>#N/A</v>
      </c>
      <c r="BA12" s="195" t="n">
        <f aca="false">IF($A13="","",F12*Summary!$Q$9)</f>
        <v>0</v>
      </c>
      <c r="BC12" s="179" t="e">
        <f aca="false">IF(A13="","",AM12*F12)</f>
        <v>#N/A</v>
      </c>
    </row>
    <row r="13" customFormat="false" ht="12.75" hidden="false" customHeight="false" outlineLevel="0" collapsed="false">
      <c r="A13" s="196" t="n">
        <f aca="false">IF(A12&lt;mthend,EDATE(A12,1),"")</f>
        <v>37135</v>
      </c>
      <c r="B13" s="197" t="n">
        <f aca="false">IF(A13&lt;mthend,B12,"")</f>
        <v>36050</v>
      </c>
      <c r="C13" s="215"/>
      <c r="D13" s="197" t="n">
        <f aca="false">IF(A14&lt;&gt;"",B13+C13,"")</f>
        <v>36050</v>
      </c>
      <c r="E13" s="199" t="n">
        <f aca="false">IF(A14="","",IF(AND(AT13=1,$H$3=1),D13*AO13,IF($H$3=2,D13,"N/A")))</f>
        <v>1081500</v>
      </c>
      <c r="F13" s="199" t="n">
        <f aca="false">IF(A14="","",E13*AS13)</f>
        <v>11324356.5843646</v>
      </c>
      <c r="G13" s="200" t="e">
        <f aca="false">IF($A14="","",VLOOKUP($A13,Table,MATCH(G$4,Curves,0)))</f>
        <v>#N/A</v>
      </c>
      <c r="H13" s="201" t="e">
        <f aca="false">IF(A14="","",G13)</f>
        <v>#N/A</v>
      </c>
      <c r="I13" s="202"/>
      <c r="J13" s="200" t="e">
        <f aca="false">IF($A14="","",VLOOKUP($A13,Table,MATCH(J$4,Curves,0)))</f>
        <v>#N/A</v>
      </c>
      <c r="K13" s="201" t="e">
        <f aca="false">IF(A14="","",J13)</f>
        <v>#N/A</v>
      </c>
      <c r="L13" s="200" t="e">
        <f aca="false">IF($A14="","",VLOOKUP($A13,Table,MATCH(L$4,Curves,0)))</f>
        <v>#N/A</v>
      </c>
      <c r="M13" s="201" t="e">
        <f aca="false">IF(A14="","",L13)</f>
        <v>#N/A</v>
      </c>
      <c r="N13" s="203"/>
      <c r="O13" s="200" t="e">
        <f aca="false">IF(A14="","",L13+J13+G13)</f>
        <v>#N/A</v>
      </c>
      <c r="P13" s="200" t="e">
        <f aca="false">IF(A14="","",M13+K13+H13)</f>
        <v>#N/A</v>
      </c>
      <c r="Q13" s="204"/>
      <c r="R13" s="200" t="e">
        <f aca="false">IF($A14="","",VLOOKUP($A13,Table,MATCH(R$4,Curves,0)))</f>
        <v>#N/A</v>
      </c>
      <c r="S13" s="201" t="e">
        <f aca="false">IF(A14="","",R13)</f>
        <v>#N/A</v>
      </c>
      <c r="T13" s="200" t="e">
        <f aca="false">IF($A14="","",VLOOKUP($A13,Table,MATCH(T$4,Curves,0)))</f>
        <v>#N/A</v>
      </c>
      <c r="U13" s="201" t="e">
        <f aca="false">IF(A14="","",T13)</f>
        <v>#N/A</v>
      </c>
      <c r="V13" s="225" t="e">
        <f aca="false">IF($A14="","",IF(AND(MONTH(A13)&gt;3,MONTH(A13)&lt;11),(T13+R13+G13)*Summary!$T$9/(1-Summary!$T$9),(T13+R13+G13)*Summary!$U$9/(1-Summary!$U$9)))</f>
        <v>#N/A</v>
      </c>
      <c r="W13" s="200" t="e">
        <f aca="false">IF($A14="","",(T13+R13+G13+V13))</f>
        <v>#N/A</v>
      </c>
      <c r="X13" s="200" t="e">
        <f aca="false">IF($A14="","",(U13+S13+H13+V13))</f>
        <v>#N/A</v>
      </c>
      <c r="Y13" s="202"/>
      <c r="Z13" s="185" t="e">
        <f aca="false">IF($A14="","",VLOOKUP($A13,Table,MATCH(Z$4,Curves,0)))</f>
        <v>#N/A</v>
      </c>
      <c r="AA13" s="185" t="e">
        <f aca="false">IF($A14="","",VLOOKUP($A13,Table,MATCH(AA$4,Curves,0)))</f>
        <v>#N/A</v>
      </c>
      <c r="AB13" s="185" t="e">
        <f aca="false">SQRT((AA13^2*(A13-$D$3)+Z13^2*(DAY(EOMONTH(A13,0))/2))/AK13)</f>
        <v>#N/A</v>
      </c>
      <c r="AC13" s="185" t="e">
        <f aca="false">IF($A14="","",VLOOKUP($A13,Table,MATCH(AC$4,Curves,0)))</f>
        <v>#N/A</v>
      </c>
      <c r="AD13" s="185" t="e">
        <f aca="false">IF($A14="","",VLOOKUP($A13,Table,MATCH(AD$4,Curves,0)))</f>
        <v>#N/A</v>
      </c>
      <c r="AE13" s="185" t="e">
        <f aca="false">SQRT((AD13^2*(A13-$D$3)+AC13^2*(DAY(EOMONTH(A13,0))/2))/AK13)</f>
        <v>#N/A</v>
      </c>
      <c r="AF13" s="224" t="e">
        <f aca="false">((Summary!$N$9*(AA13*AD13)*(A13-$D$3))+(Summary!$M$9*Z13*AC13*(AJ13-EOMONTH(EDATE(A13,-1),0))))/(AK13*AB13*AE13)</f>
        <v>#N/A</v>
      </c>
      <c r="AG13" s="207" t="n">
        <f aca="false">IF($A14="","",Summary!$Q$9)</f>
        <v>0</v>
      </c>
      <c r="AH13" s="207" t="n">
        <f aca="false">IF($A14="","",IF(Summary!$R$9="Y",VLOOKUP($A13,Summary!$AD$6:$AF$9,3)+'Escalating commodity'!E26,'Escalating commodity'!E26))</f>
        <v>0.0777</v>
      </c>
      <c r="AI13" s="207" t="n">
        <f aca="false">IF($A14="","",AH13)</f>
        <v>0.0777</v>
      </c>
      <c r="AJ13" s="208" t="n">
        <f aca="false">A13+DAY(EOMONTH(A13,0))/2-1</f>
        <v>37149</v>
      </c>
      <c r="AK13" s="209" t="n">
        <f aca="false">IF($A14="","",$A13-$E$1)</f>
        <v>-8791</v>
      </c>
      <c r="AL13" s="182" t="e">
        <f aca="false">IF($A14="","",SPRDOPT(P13,X13,AI13,0,AB13,AE13,AF13,AK13,$AJ$2,0))</f>
        <v>#NAME?</v>
      </c>
      <c r="AM13" s="211" t="e">
        <f aca="false">IF($A14="","",MAX(0,O13-W13-AI13))</f>
        <v>#N/A</v>
      </c>
      <c r="AN13" s="211" t="e">
        <f aca="false">IF($A14="","",AL13-AM13)</f>
        <v>#N/A</v>
      </c>
      <c r="AO13" s="137" t="n">
        <f aca="false">IF(A14="","",A14-A13)</f>
        <v>30</v>
      </c>
      <c r="AP13" s="212" t="n">
        <f aca="false">IF(A14="","",CHOOSE(F$3,A14+24,A13))</f>
        <v>37135</v>
      </c>
      <c r="AQ13" s="209" t="n">
        <f aca="false">IF(A14="","",AP13-$E$1)</f>
        <v>-8791</v>
      </c>
      <c r="AR13" s="185" t="n">
        <f aca="false">'ANR OK vs ML7'!AR13</f>
        <v>0.1</v>
      </c>
      <c r="AS13" s="213" t="n">
        <f aca="false">IF(A14="","",1/(1+CHOOSE(F$3,(AR14+($I$3/10000))/2,(AR13+($I$3/10000))/2))^(2*AQ13/365.25))</f>
        <v>10.470972338756</v>
      </c>
      <c r="AT13" s="137" t="n">
        <f aca="false">IF(A14="","",IF(AND(mthbeg&lt;=A13,mthend&gt;=A13),1,0))</f>
        <v>1</v>
      </c>
      <c r="AU13" s="137" t="n">
        <f aca="false">IF(A14="","",AO13*AT13)</f>
        <v>30</v>
      </c>
      <c r="AW13" s="195" t="e">
        <f aca="false">IF($A14="","",AL13*$E13)</f>
        <v>#NAME?</v>
      </c>
      <c r="AX13" s="195" t="e">
        <f aca="false">IF($A14="","",AM13*$E13)</f>
        <v>#N/A</v>
      </c>
      <c r="AY13" s="195" t="e">
        <f aca="false">IF($A14="","",AN13*$E13)</f>
        <v>#N/A</v>
      </c>
      <c r="BA13" s="195" t="n">
        <f aca="false">IF($A14="","",F13*Summary!$Q$9)</f>
        <v>0</v>
      </c>
      <c r="BC13" s="179" t="e">
        <f aca="false">IF(A14="","",AM13*F13)</f>
        <v>#N/A</v>
      </c>
    </row>
    <row r="14" customFormat="false" ht="12.75" hidden="false" customHeight="false" outlineLevel="0" collapsed="false">
      <c r="A14" s="196" t="n">
        <f aca="false">IF(A13&lt;mthend,EDATE(A13,1),"")</f>
        <v>37165</v>
      </c>
      <c r="B14" s="197" t="n">
        <f aca="false">IF(A14&lt;mthend,B13,"")</f>
        <v>36050</v>
      </c>
      <c r="C14" s="215"/>
      <c r="D14" s="197" t="n">
        <f aca="false">IF(A15&lt;&gt;"",B14+C14,"")</f>
        <v>36050</v>
      </c>
      <c r="E14" s="199" t="n">
        <f aca="false">IF(A15="","",IF(AND(AT14=1,$H$3=1),D14*AO14,IF($H$3=2,D14,"N/A")))</f>
        <v>1117550</v>
      </c>
      <c r="F14" s="199" t="n">
        <f aca="false">IF(A15="","",E14*AS14)</f>
        <v>11608421.9804213</v>
      </c>
      <c r="G14" s="200" t="e">
        <f aca="false">IF($A15="","",VLOOKUP($A14,Table,MATCH(G$4,Curves,0)))</f>
        <v>#N/A</v>
      </c>
      <c r="H14" s="201" t="e">
        <f aca="false">IF(A15="","",G14)</f>
        <v>#N/A</v>
      </c>
      <c r="I14" s="202"/>
      <c r="J14" s="200" t="e">
        <f aca="false">IF($A15="","",VLOOKUP($A14,Table,MATCH(J$4,Curves,0)))</f>
        <v>#N/A</v>
      </c>
      <c r="K14" s="201" t="e">
        <f aca="false">IF(A15="","",J14)</f>
        <v>#N/A</v>
      </c>
      <c r="L14" s="200" t="e">
        <f aca="false">IF($A15="","",VLOOKUP($A14,Table,MATCH(L$4,Curves,0)))</f>
        <v>#N/A</v>
      </c>
      <c r="M14" s="201" t="e">
        <f aca="false">IF(A15="","",L14)</f>
        <v>#N/A</v>
      </c>
      <c r="N14" s="203"/>
      <c r="O14" s="200" t="e">
        <f aca="false">IF(A15="","",L14+J14+G14)</f>
        <v>#N/A</v>
      </c>
      <c r="P14" s="200" t="e">
        <f aca="false">IF(A15="","",M14+K14+H14)</f>
        <v>#N/A</v>
      </c>
      <c r="Q14" s="204"/>
      <c r="R14" s="200" t="e">
        <f aca="false">IF($A15="","",VLOOKUP($A14,Table,MATCH(R$4,Curves,0)))</f>
        <v>#N/A</v>
      </c>
      <c r="S14" s="201" t="e">
        <f aca="false">IF(A15="","",R14)</f>
        <v>#N/A</v>
      </c>
      <c r="T14" s="200" t="e">
        <f aca="false">IF($A15="","",VLOOKUP($A14,Table,MATCH(T$4,Curves,0)))</f>
        <v>#N/A</v>
      </c>
      <c r="U14" s="201" t="e">
        <f aca="false">IF(A15="","",T14)</f>
        <v>#N/A</v>
      </c>
      <c r="V14" s="225" t="e">
        <f aca="false">IF($A15="","",IF(AND(MONTH(A14)&gt;3,MONTH(A14)&lt;11),(T14+R14+G14)*Summary!$T$9/(1-Summary!$T$9),(T14+R14+G14)*Summary!$U$9/(1-Summary!$U$9)))</f>
        <v>#N/A</v>
      </c>
      <c r="W14" s="200" t="e">
        <f aca="false">IF($A15="","",(T14+R14+G14+V14))</f>
        <v>#N/A</v>
      </c>
      <c r="X14" s="200" t="e">
        <f aca="false">IF($A15="","",(U14+S14+H14+V14))</f>
        <v>#N/A</v>
      </c>
      <c r="Y14" s="202"/>
      <c r="Z14" s="185" t="e">
        <f aca="false">IF($A15="","",VLOOKUP($A14,Table,MATCH(Z$4,Curves,0)))</f>
        <v>#N/A</v>
      </c>
      <c r="AA14" s="185" t="e">
        <f aca="false">IF($A15="","",VLOOKUP($A14,Table,MATCH(AA$4,Curves,0)))</f>
        <v>#N/A</v>
      </c>
      <c r="AB14" s="185" t="e">
        <f aca="false">SQRT((AA14^2*(A14-$D$3)+Z14^2*(DAY(EOMONTH(A14,0))/2))/AK14)</f>
        <v>#N/A</v>
      </c>
      <c r="AC14" s="185" t="e">
        <f aca="false">IF($A15="","",VLOOKUP($A14,Table,MATCH(AC$4,Curves,0)))</f>
        <v>#N/A</v>
      </c>
      <c r="AD14" s="185" t="e">
        <f aca="false">IF($A15="","",VLOOKUP($A14,Table,MATCH(AD$4,Curves,0)))</f>
        <v>#N/A</v>
      </c>
      <c r="AE14" s="185" t="e">
        <f aca="false">SQRT((AD14^2*(A14-$D$3)+AC14^2*(DAY(EOMONTH(A14,0))/2))/AK14)</f>
        <v>#N/A</v>
      </c>
      <c r="AF14" s="224" t="e">
        <f aca="false">((Summary!$N$9*(AA14*AD14)*(A14-$D$3))+(Summary!$M$9*Z14*AC14*(AJ14-EOMONTH(EDATE(A14,-1),0))))/(AK14*AB14*AE14)</f>
        <v>#N/A</v>
      </c>
      <c r="AG14" s="207" t="n">
        <f aca="false">IF($A15="","",Summary!$Q$9)</f>
        <v>0</v>
      </c>
      <c r="AH14" s="207" t="n">
        <f aca="false">IF($A15="","",IF(Summary!$R$9="Y",VLOOKUP($A14,Summary!$AD$6:$AF$9,3)+'Escalating commodity'!E27,'Escalating commodity'!E27))</f>
        <v>0.0777</v>
      </c>
      <c r="AI14" s="207" t="n">
        <f aca="false">IF($A15="","",AH14)</f>
        <v>0.0777</v>
      </c>
      <c r="AJ14" s="208" t="n">
        <f aca="false">A14+DAY(EOMONTH(A14,0))/2-1</f>
        <v>37179.5</v>
      </c>
      <c r="AK14" s="209" t="n">
        <f aca="false">IF($A15="","",$A14-$E$1)</f>
        <v>-8761</v>
      </c>
      <c r="AL14" s="182" t="e">
        <f aca="false">IF($A15="","",SPRDOPT(P14,X14,AI14,0,AB14,AE14,AF14,AK14,$AJ$2,0))</f>
        <v>#NAME?</v>
      </c>
      <c r="AM14" s="211" t="e">
        <f aca="false">IF($A15="","",MAX(0,O14-W14-AI14))</f>
        <v>#N/A</v>
      </c>
      <c r="AN14" s="211" t="e">
        <f aca="false">IF($A15="","",AL14-AM14)</f>
        <v>#N/A</v>
      </c>
      <c r="AO14" s="137" t="n">
        <f aca="false">IF(A15="","",A15-A14)</f>
        <v>31</v>
      </c>
      <c r="AP14" s="212" t="n">
        <f aca="false">IF(A15="","",CHOOSE(F$3,A15+24,A14))</f>
        <v>37165</v>
      </c>
      <c r="AQ14" s="209" t="n">
        <f aca="false">IF(A15="","",AP14-$E$1)</f>
        <v>-8761</v>
      </c>
      <c r="AR14" s="185" t="n">
        <f aca="false">'ANR OK vs ML7'!AR14</f>
        <v>0.1</v>
      </c>
      <c r="AS14" s="213" t="n">
        <f aca="false">IF(A15="","",1/(1+CHOOSE(F$3,(AR15+($I$3/10000))/2,(AR14+($I$3/10000))/2))^(2*AQ14/365.25))</f>
        <v>10.3873848869592</v>
      </c>
      <c r="AT14" s="137" t="n">
        <f aca="false">IF(A15="","",IF(AND(mthbeg&lt;=A14,mthend&gt;=A14),1,0))</f>
        <v>1</v>
      </c>
      <c r="AU14" s="137" t="n">
        <f aca="false">IF(A15="","",AO14*AT14)</f>
        <v>31</v>
      </c>
      <c r="AW14" s="195" t="e">
        <f aca="false">IF($A15="","",AL14*$E14)</f>
        <v>#NAME?</v>
      </c>
      <c r="AX14" s="195" t="e">
        <f aca="false">IF($A15="","",AM14*$E14)</f>
        <v>#N/A</v>
      </c>
      <c r="AY14" s="195" t="e">
        <f aca="false">IF($A15="","",AN14*$E14)</f>
        <v>#N/A</v>
      </c>
      <c r="BA14" s="195" t="n">
        <f aca="false">IF($A15="","",F14*Summary!$Q$9)</f>
        <v>0</v>
      </c>
      <c r="BC14" s="179" t="e">
        <f aca="false">IF(A15="","",AM14*F14)</f>
        <v>#N/A</v>
      </c>
    </row>
    <row r="15" customFormat="false" ht="12.75" hidden="false" customHeight="false" outlineLevel="0" collapsed="false">
      <c r="A15" s="196" t="n">
        <f aca="false">IF(A14&lt;mthend,EDATE(A14,1),"")</f>
        <v>37196</v>
      </c>
      <c r="B15" s="197" t="n">
        <f aca="false">IF(A15&lt;mthend,B14,"")</f>
        <v>36050</v>
      </c>
      <c r="C15" s="215"/>
      <c r="D15" s="197" t="n">
        <f aca="false">IF(A16&lt;&gt;"",B15+C15,"")</f>
        <v>36050</v>
      </c>
      <c r="E15" s="199" t="n">
        <f aca="false">IF(A16="","",IF(AND(AT15=1,$H$3=1),D15*AO15,IF($H$3=2,D15,"N/A")))</f>
        <v>1081500</v>
      </c>
      <c r="F15" s="199" t="n">
        <f aca="false">IF(A16="","",E15*AS15)</f>
        <v>11141301.6559224</v>
      </c>
      <c r="G15" s="200" t="e">
        <f aca="false">IF($A16="","",VLOOKUP($A15,Table,MATCH(G$4,Curves,0)))</f>
        <v>#N/A</v>
      </c>
      <c r="H15" s="201" t="e">
        <f aca="false">IF(A16="","",G15)</f>
        <v>#N/A</v>
      </c>
      <c r="I15" s="202"/>
      <c r="J15" s="200" t="e">
        <f aca="false">IF($A16="","",VLOOKUP($A15,Table,MATCH(J$4,Curves,0)))</f>
        <v>#N/A</v>
      </c>
      <c r="K15" s="201" t="e">
        <f aca="false">IF(A16="","",J15)</f>
        <v>#N/A</v>
      </c>
      <c r="L15" s="200" t="e">
        <f aca="false">IF($A16="","",VLOOKUP($A15,Table,MATCH(L$4,Curves,0)))</f>
        <v>#N/A</v>
      </c>
      <c r="M15" s="201" t="e">
        <f aca="false">IF(A16="","",L15)</f>
        <v>#N/A</v>
      </c>
      <c r="N15" s="203"/>
      <c r="O15" s="200" t="e">
        <f aca="false">IF(A16="","",L15+J15+G15)</f>
        <v>#N/A</v>
      </c>
      <c r="P15" s="200" t="e">
        <f aca="false">IF(A16="","",M15+K15+H15)</f>
        <v>#N/A</v>
      </c>
      <c r="Q15" s="204"/>
      <c r="R15" s="200" t="e">
        <f aca="false">IF($A16="","",VLOOKUP($A15,Table,MATCH(R$4,Curves,0)))</f>
        <v>#N/A</v>
      </c>
      <c r="S15" s="201" t="e">
        <f aca="false">IF(A16="","",R15)</f>
        <v>#N/A</v>
      </c>
      <c r="T15" s="200" t="e">
        <f aca="false">IF($A16="","",VLOOKUP($A15,Table,MATCH(T$4,Curves,0)))</f>
        <v>#N/A</v>
      </c>
      <c r="U15" s="201" t="e">
        <f aca="false">IF(A16="","",T15)</f>
        <v>#N/A</v>
      </c>
      <c r="V15" s="225" t="e">
        <f aca="false">IF($A16="","",IF(AND(MONTH(A15)&gt;3,MONTH(A15)&lt;11),(T15+R15+G15)*Summary!$T$9/(1-Summary!$T$9),(T15+R15+G15)*Summary!$U$9/(1-Summary!$U$9)))</f>
        <v>#N/A</v>
      </c>
      <c r="W15" s="200" t="e">
        <f aca="false">IF($A16="","",(T15+R15+G15+V15))</f>
        <v>#N/A</v>
      </c>
      <c r="X15" s="200" t="e">
        <f aca="false">IF($A16="","",(U15+S15+H15+V15))</f>
        <v>#N/A</v>
      </c>
      <c r="Y15" s="202"/>
      <c r="Z15" s="185" t="e">
        <f aca="false">IF($A16="","",VLOOKUP($A15,Table,MATCH(Z$4,Curves,0)))</f>
        <v>#N/A</v>
      </c>
      <c r="AA15" s="185" t="e">
        <f aca="false">IF($A16="","",VLOOKUP($A15,Table,MATCH(AA$4,Curves,0)))</f>
        <v>#N/A</v>
      </c>
      <c r="AB15" s="185" t="e">
        <f aca="false">SQRT((AA15^2*(A15-$D$3)+Z15^2*(DAY(EOMONTH(A15,0))/2))/AK15)</f>
        <v>#N/A</v>
      </c>
      <c r="AC15" s="185" t="e">
        <f aca="false">IF($A16="","",VLOOKUP($A15,Table,MATCH(AC$4,Curves,0)))</f>
        <v>#N/A</v>
      </c>
      <c r="AD15" s="185" t="e">
        <f aca="false">IF($A16="","",VLOOKUP($A15,Table,MATCH(AD$4,Curves,0)))</f>
        <v>#N/A</v>
      </c>
      <c r="AE15" s="185" t="e">
        <f aca="false">SQRT((AD15^2*(A15-$D$3)+AC15^2*(DAY(EOMONTH(A15,0))/2))/AK15)</f>
        <v>#N/A</v>
      </c>
      <c r="AF15" s="224" t="e">
        <f aca="false">((Summary!$N$9*(AA15*AD15)*(A15-$D$3))+(Summary!$M$9*Z15*AC15*(AJ15-EOMONTH(EDATE(A15,-1),0))))/(AK15*AB15*AE15)</f>
        <v>#N/A</v>
      </c>
      <c r="AG15" s="207" t="n">
        <f aca="false">IF($A16="","",Summary!$Q$9)</f>
        <v>0</v>
      </c>
      <c r="AH15" s="207" t="n">
        <f aca="false">IF($A16="","",IF(Summary!$R$9="Y",VLOOKUP($A15,Summary!$AD$6:$AF$9,3)+'Escalating commodity'!E28,'Escalating commodity'!E28))</f>
        <v>0.0777</v>
      </c>
      <c r="AI15" s="207" t="n">
        <f aca="false">IF($A16="","",AH15)</f>
        <v>0.0777</v>
      </c>
      <c r="AJ15" s="208" t="n">
        <f aca="false">A15+DAY(EOMONTH(A15,0))/2-1</f>
        <v>37210</v>
      </c>
      <c r="AK15" s="209" t="n">
        <f aca="false">IF($A16="","",$A15-$E$1)</f>
        <v>-8730</v>
      </c>
      <c r="AL15" s="182" t="e">
        <f aca="false">IF($A16="","",SPRDOPT(P15,X15,AI15,0,AB15,AE15,AF15,AK15,$AJ$2,0))</f>
        <v>#NAME?</v>
      </c>
      <c r="AM15" s="211" t="e">
        <f aca="false">IF($A16="","",MAX(0,O15-W15-AI15))</f>
        <v>#N/A</v>
      </c>
      <c r="AN15" s="211" t="e">
        <f aca="false">IF($A16="","",AL15-AM15)</f>
        <v>#N/A</v>
      </c>
      <c r="AO15" s="137" t="n">
        <f aca="false">IF(A16="","",A16-A15)</f>
        <v>30</v>
      </c>
      <c r="AP15" s="212" t="n">
        <f aca="false">IF(A16="","",CHOOSE(F$3,A16+24,A15))</f>
        <v>37196</v>
      </c>
      <c r="AQ15" s="209" t="n">
        <f aca="false">IF(A16="","",AP15-$E$1)</f>
        <v>-8730</v>
      </c>
      <c r="AR15" s="185" t="n">
        <f aca="false">'ANR OK vs ML7'!AR15</f>
        <v>0.1</v>
      </c>
      <c r="AS15" s="213" t="n">
        <f aca="false">IF(A16="","",1/(1+CHOOSE(F$3,(AR16+($I$3/10000))/2,(AR15+($I$3/10000))/2))^(2*AQ15/365.25))</f>
        <v>10.3017121182824</v>
      </c>
      <c r="AT15" s="137" t="n">
        <f aca="false">IF(A16="","",IF(AND(mthbeg&lt;=A15,mthend&gt;=A15),1,0))</f>
        <v>1</v>
      </c>
      <c r="AU15" s="137" t="n">
        <f aca="false">IF(A16="","",AO15*AT15)</f>
        <v>30</v>
      </c>
      <c r="AW15" s="195" t="e">
        <f aca="false">IF($A16="","",AL15*$E15)</f>
        <v>#NAME?</v>
      </c>
      <c r="AX15" s="195" t="e">
        <f aca="false">IF($A16="","",AM15*$E15)</f>
        <v>#N/A</v>
      </c>
      <c r="AY15" s="195" t="e">
        <f aca="false">IF($A16="","",AN15*$E15)</f>
        <v>#N/A</v>
      </c>
      <c r="BA15" s="195" t="n">
        <f aca="false">IF($A16="","",F15*Summary!$Q$9)</f>
        <v>0</v>
      </c>
      <c r="BC15" s="179" t="e">
        <f aca="false">IF(A16="","",AM15*F15)</f>
        <v>#N/A</v>
      </c>
    </row>
    <row r="16" customFormat="false" ht="12.75" hidden="false" customHeight="false" outlineLevel="0" collapsed="false">
      <c r="A16" s="196" t="n">
        <f aca="false">IF(A15&lt;mthend,EDATE(A15,1),"")</f>
        <v>37226</v>
      </c>
      <c r="B16" s="197" t="n">
        <f aca="false">IF(A16&lt;mthend,B15,"")</f>
        <v>36050</v>
      </c>
      <c r="C16" s="215"/>
      <c r="D16" s="197" t="n">
        <f aca="false">IF(A17&lt;&gt;"",B16+C16,"")</f>
        <v>36050</v>
      </c>
      <c r="E16" s="199" t="n">
        <f aca="false">IF(A17="","",IF(AND(AT16=1,$H$3=1),D16*AO16,IF($H$3=2,D16,"N/A")))</f>
        <v>1117550</v>
      </c>
      <c r="F16" s="199" t="n">
        <f aca="false">IF(A17="","",E16*AS16)</f>
        <v>11420775.2175239</v>
      </c>
      <c r="G16" s="200" t="e">
        <f aca="false">IF($A17="","",VLOOKUP($A16,Table,MATCH(G$4,Curves,0)))</f>
        <v>#N/A</v>
      </c>
      <c r="H16" s="201" t="e">
        <f aca="false">IF(A17="","",G16)</f>
        <v>#N/A</v>
      </c>
      <c r="I16" s="202"/>
      <c r="J16" s="200" t="e">
        <f aca="false">IF($A17="","",VLOOKUP($A16,Table,MATCH(J$4,Curves,0)))</f>
        <v>#N/A</v>
      </c>
      <c r="K16" s="201" t="e">
        <f aca="false">IF(A17="","",J16)</f>
        <v>#N/A</v>
      </c>
      <c r="L16" s="200" t="e">
        <f aca="false">IF($A17="","",VLOOKUP($A16,Table,MATCH(L$4,Curves,0)))</f>
        <v>#N/A</v>
      </c>
      <c r="M16" s="201" t="e">
        <f aca="false">IF(A17="","",L16)</f>
        <v>#N/A</v>
      </c>
      <c r="N16" s="203"/>
      <c r="O16" s="200" t="e">
        <f aca="false">IF(A17="","",L16+J16+G16)</f>
        <v>#N/A</v>
      </c>
      <c r="P16" s="200" t="e">
        <f aca="false">IF(A17="","",M16+K16+H16)</f>
        <v>#N/A</v>
      </c>
      <c r="Q16" s="204"/>
      <c r="R16" s="200" t="e">
        <f aca="false">IF($A17="","",VLOOKUP($A16,Table,MATCH(R$4,Curves,0)))</f>
        <v>#N/A</v>
      </c>
      <c r="S16" s="201" t="e">
        <f aca="false">IF(A17="","",R16)</f>
        <v>#N/A</v>
      </c>
      <c r="T16" s="200" t="e">
        <f aca="false">IF($A17="","",VLOOKUP($A16,Table,MATCH(T$4,Curves,0)))</f>
        <v>#N/A</v>
      </c>
      <c r="U16" s="201" t="e">
        <f aca="false">IF(A17="","",T16)</f>
        <v>#N/A</v>
      </c>
      <c r="V16" s="225" t="e">
        <f aca="false">IF($A17="","",IF(AND(MONTH(A16)&gt;3,MONTH(A16)&lt;11),(T16+R16+G16)*Summary!$T$9/(1-Summary!$T$9),(T16+R16+G16)*Summary!$U$9/(1-Summary!$U$9)))</f>
        <v>#N/A</v>
      </c>
      <c r="W16" s="200" t="e">
        <f aca="false">IF($A17="","",(T16+R16+G16+V16))</f>
        <v>#N/A</v>
      </c>
      <c r="X16" s="200" t="e">
        <f aca="false">IF($A17="","",(U16+S16+H16+V16))</f>
        <v>#N/A</v>
      </c>
      <c r="Y16" s="202"/>
      <c r="Z16" s="185" t="e">
        <f aca="false">IF($A17="","",VLOOKUP($A16,Table,MATCH(Z$4,Curves,0)))</f>
        <v>#N/A</v>
      </c>
      <c r="AA16" s="185" t="e">
        <f aca="false">IF($A17="","",VLOOKUP($A16,Table,MATCH(AA$4,Curves,0)))</f>
        <v>#N/A</v>
      </c>
      <c r="AB16" s="185" t="e">
        <f aca="false">SQRT((AA16^2*(A16-$D$3)+Z16^2*(DAY(EOMONTH(A16,0))/2))/AK16)</f>
        <v>#N/A</v>
      </c>
      <c r="AC16" s="185" t="e">
        <f aca="false">IF($A17="","",VLOOKUP($A16,Table,MATCH(AC$4,Curves,0)))</f>
        <v>#N/A</v>
      </c>
      <c r="AD16" s="185" t="e">
        <f aca="false">IF($A17="","",VLOOKUP($A16,Table,MATCH(AD$4,Curves,0)))</f>
        <v>#N/A</v>
      </c>
      <c r="AE16" s="185" t="e">
        <f aca="false">SQRT((AD16^2*(A16-$D$3)+AC16^2*(DAY(EOMONTH(A16,0))/2))/AK16)</f>
        <v>#N/A</v>
      </c>
      <c r="AF16" s="224" t="e">
        <f aca="false">((Summary!$N$9*(AA16*AD16)*(A16-$D$3))+(Summary!$M$9*Z16*AC16*(AJ16-EOMONTH(EDATE(A16,-1),0))))/(AK16*AB16*AE16)</f>
        <v>#N/A</v>
      </c>
      <c r="AG16" s="207" t="n">
        <f aca="false">IF($A17="","",Summary!$Q$9)</f>
        <v>0</v>
      </c>
      <c r="AH16" s="207" t="n">
        <f aca="false">IF($A17="","",IF(Summary!$R$9="Y",VLOOKUP($A16,Summary!$AD$6:$AF$9,3)+'Escalating commodity'!E29,'Escalating commodity'!E29))</f>
        <v>0.0777</v>
      </c>
      <c r="AI16" s="207" t="n">
        <f aca="false">IF($A17="","",AH16)</f>
        <v>0.0777</v>
      </c>
      <c r="AJ16" s="208" t="n">
        <f aca="false">A16+DAY(EOMONTH(A16,0))/2-1</f>
        <v>37240.5</v>
      </c>
      <c r="AK16" s="209" t="n">
        <f aca="false">IF($A17="","",$A16-$E$1)</f>
        <v>-8700</v>
      </c>
      <c r="AL16" s="182" t="e">
        <f aca="false">IF($A17="","",SPRDOPT(P16,X16,AI16,0,AB16,AE16,AF16,AK16,$AJ$2,0))</f>
        <v>#NAME?</v>
      </c>
      <c r="AM16" s="211" t="e">
        <f aca="false">IF($A17="","",MAX(0,O16-W16-AI16))</f>
        <v>#N/A</v>
      </c>
      <c r="AN16" s="211" t="e">
        <f aca="false">IF($A17="","",AL16-AM16)</f>
        <v>#N/A</v>
      </c>
      <c r="AO16" s="137" t="n">
        <f aca="false">IF(A17="","",A17-A16)</f>
        <v>31</v>
      </c>
      <c r="AP16" s="212" t="n">
        <f aca="false">IF(A17="","",CHOOSE(F$3,A17+24,A16))</f>
        <v>37226</v>
      </c>
      <c r="AQ16" s="209" t="n">
        <f aca="false">IF(A17="","",AP16-$E$1)</f>
        <v>-8700</v>
      </c>
      <c r="AR16" s="185" t="n">
        <f aca="false">'ANR OK vs ML7'!AR16</f>
        <v>0.1</v>
      </c>
      <c r="AS16" s="213" t="n">
        <f aca="false">IF(A17="","",1/(1+CHOOSE(F$3,(AR17+($I$3/10000))/2,(AR16+($I$3/10000))/2))^(2*AQ16/365.25))</f>
        <v>10.2194758333174</v>
      </c>
      <c r="AT16" s="137" t="n">
        <f aca="false">IF(A17="","",IF(AND(mthbeg&lt;=A16,mthend&gt;=A16),1,0))</f>
        <v>1</v>
      </c>
      <c r="AU16" s="137" t="n">
        <f aca="false">IF(A17="","",AO16*AT16)</f>
        <v>31</v>
      </c>
      <c r="AW16" s="195" t="e">
        <f aca="false">IF($A17="","",AL16*$E16)</f>
        <v>#NAME?</v>
      </c>
      <c r="AX16" s="195" t="e">
        <f aca="false">IF($A17="","",AM16*$E16)</f>
        <v>#N/A</v>
      </c>
      <c r="AY16" s="195" t="e">
        <f aca="false">IF($A17="","",AN16*$E16)</f>
        <v>#N/A</v>
      </c>
      <c r="BA16" s="195" t="n">
        <f aca="false">IF($A17="","",F16*Summary!$Q$9)</f>
        <v>0</v>
      </c>
      <c r="BC16" s="179" t="e">
        <f aca="false">IF(A17="","",AM16*F16)</f>
        <v>#N/A</v>
      </c>
    </row>
    <row r="17" customFormat="false" ht="12.75" hidden="false" customHeight="false" outlineLevel="0" collapsed="false">
      <c r="A17" s="196" t="n">
        <f aca="false">IF(A16&lt;mthend,EDATE(A16,1),"")</f>
        <v>37257</v>
      </c>
      <c r="B17" s="197" t="n">
        <f aca="false">IF(A17&lt;mthend,B16,"")</f>
        <v>36050</v>
      </c>
      <c r="C17" s="215"/>
      <c r="D17" s="197" t="n">
        <f aca="false">IF(A18&lt;&gt;"",B17+C17,"")</f>
        <v>36050</v>
      </c>
      <c r="E17" s="199" t="n">
        <f aca="false">IF(A18="","",IF(AND(AT17=1,$H$3=1),D17*AO17,IF($H$3=2,D17,"N/A")))</f>
        <v>1117550</v>
      </c>
      <c r="F17" s="199" t="n">
        <f aca="false">IF(A18="","",E17*AS17)</f>
        <v>11326579.2823613</v>
      </c>
      <c r="G17" s="200" t="e">
        <f aca="false">IF($A18="","",VLOOKUP($A17,Table,MATCH(G$4,Curves,0)))</f>
        <v>#N/A</v>
      </c>
      <c r="H17" s="201" t="e">
        <f aca="false">IF(A18="","",G17)</f>
        <v>#N/A</v>
      </c>
      <c r="I17" s="202"/>
      <c r="J17" s="200" t="e">
        <f aca="false">IF($A18="","",VLOOKUP($A17,Table,MATCH(J$4,Curves,0)))</f>
        <v>#N/A</v>
      </c>
      <c r="K17" s="201" t="e">
        <f aca="false">IF(A18="","",J17)</f>
        <v>#N/A</v>
      </c>
      <c r="L17" s="200" t="e">
        <f aca="false">IF($A18="","",VLOOKUP($A17,Table,MATCH(L$4,Curves,0)))</f>
        <v>#N/A</v>
      </c>
      <c r="M17" s="201" t="e">
        <f aca="false">IF(A18="","",L17)</f>
        <v>#N/A</v>
      </c>
      <c r="N17" s="203"/>
      <c r="O17" s="200" t="e">
        <f aca="false">IF(A18="","",L17+J17+G17)</f>
        <v>#N/A</v>
      </c>
      <c r="P17" s="200" t="e">
        <f aca="false">IF(A18="","",M17+K17+H17)</f>
        <v>#N/A</v>
      </c>
      <c r="Q17" s="204"/>
      <c r="R17" s="200" t="e">
        <f aca="false">IF($A18="","",VLOOKUP($A17,Table,MATCH(R$4,Curves,0)))</f>
        <v>#N/A</v>
      </c>
      <c r="S17" s="201" t="e">
        <f aca="false">IF(A18="","",R17)</f>
        <v>#N/A</v>
      </c>
      <c r="T17" s="200" t="e">
        <f aca="false">IF($A18="","",VLOOKUP($A17,Table,MATCH(T$4,Curves,0)))</f>
        <v>#N/A</v>
      </c>
      <c r="U17" s="201" t="e">
        <f aca="false">IF(A18="","",T17)</f>
        <v>#N/A</v>
      </c>
      <c r="V17" s="225" t="e">
        <f aca="false">IF($A18="","",IF(AND(MONTH(A17)&gt;3,MONTH(A17)&lt;11),(T17+R17+G17)*Summary!$T$9/(1-Summary!$T$9),(T17+R17+G17)*Summary!$U$9/(1-Summary!$U$9)))</f>
        <v>#N/A</v>
      </c>
      <c r="W17" s="200" t="e">
        <f aca="false">IF($A18="","",(T17+R17+G17+V17))</f>
        <v>#N/A</v>
      </c>
      <c r="X17" s="200" t="e">
        <f aca="false">IF($A18="","",(U17+S17+H17+V17))</f>
        <v>#N/A</v>
      </c>
      <c r="Y17" s="202"/>
      <c r="Z17" s="185" t="e">
        <f aca="false">IF($A18="","",VLOOKUP($A17,Table,MATCH(Z$4,Curves,0)))</f>
        <v>#N/A</v>
      </c>
      <c r="AA17" s="185" t="e">
        <f aca="false">IF($A18="","",VLOOKUP($A17,Table,MATCH(AA$4,Curves,0)))</f>
        <v>#N/A</v>
      </c>
      <c r="AB17" s="185" t="e">
        <f aca="false">SQRT((AA17^2*(A17-$D$3)+Z17^2*(DAY(EOMONTH(A17,0))/2))/AK17)</f>
        <v>#N/A</v>
      </c>
      <c r="AC17" s="185" t="e">
        <f aca="false">IF($A18="","",VLOOKUP($A17,Table,MATCH(AC$4,Curves,0)))</f>
        <v>#N/A</v>
      </c>
      <c r="AD17" s="185" t="e">
        <f aca="false">IF($A18="","",VLOOKUP($A17,Table,MATCH(AD$4,Curves,0)))</f>
        <v>#N/A</v>
      </c>
      <c r="AE17" s="185" t="e">
        <f aca="false">SQRT((AD17^2*(A17-$D$3)+AC17^2*(DAY(EOMONTH(A17,0))/2))/AK17)</f>
        <v>#N/A</v>
      </c>
      <c r="AF17" s="224" t="e">
        <f aca="false">((Summary!$N$9*(AA17*AD17)*(A17-$D$3))+(Summary!$M$9*Z17*AC17*(AJ17-EOMONTH(EDATE(A17,-1),0))))/(AK17*AB17*AE17)</f>
        <v>#N/A</v>
      </c>
      <c r="AG17" s="207" t="n">
        <f aca="false">IF($A18="","",Summary!$Q$9)</f>
        <v>0</v>
      </c>
      <c r="AH17" s="207" t="n">
        <f aca="false">IF($A18="","",IF(Summary!$R$9="Y",VLOOKUP($A17,Summary!$AD$6:$AF$9,3)+'Escalating commodity'!E30,'Escalating commodity'!E30))</f>
        <v>0.0757</v>
      </c>
      <c r="AI17" s="207" t="n">
        <f aca="false">IF($A18="","",AH17)</f>
        <v>0.0757</v>
      </c>
      <c r="AJ17" s="208" t="n">
        <f aca="false">A17+DAY(EOMONTH(A17,0))/2-1</f>
        <v>37271.5</v>
      </c>
      <c r="AK17" s="209" t="n">
        <f aca="false">IF($A18="","",$A17-$E$1)</f>
        <v>-8669</v>
      </c>
      <c r="AL17" s="182" t="e">
        <f aca="false">IF($A18="","",SPRDOPT(P17,X17,AI17,0,AB17,AE17,AF17,AK17,$AJ$2,0))</f>
        <v>#NAME?</v>
      </c>
      <c r="AM17" s="211" t="e">
        <f aca="false">IF($A18="","",MAX(0,O17-W17-AI17))</f>
        <v>#N/A</v>
      </c>
      <c r="AN17" s="211" t="e">
        <f aca="false">IF($A18="","",AL17-AM17)</f>
        <v>#N/A</v>
      </c>
      <c r="AO17" s="137" t="n">
        <f aca="false">IF(A18="","",A18-A17)</f>
        <v>31</v>
      </c>
      <c r="AP17" s="212" t="n">
        <f aca="false">IF(A18="","",CHOOSE(F$3,A18+24,A17))</f>
        <v>37257</v>
      </c>
      <c r="AQ17" s="209" t="n">
        <f aca="false">IF(A18="","",AP17-$E$1)</f>
        <v>-8669</v>
      </c>
      <c r="AR17" s="185" t="n">
        <f aca="false">'ANR OK vs ML7'!AR17</f>
        <v>0.1</v>
      </c>
      <c r="AS17" s="213" t="n">
        <f aca="false">IF(A18="","",1/(1+CHOOSE(F$3,(AR18+($I$3/10000))/2,(AR17+($I$3/10000))/2))^(2*AQ17/365.25))</f>
        <v>10.1351879400128</v>
      </c>
      <c r="AT17" s="137" t="n">
        <f aca="false">IF(A18="","",IF(AND(mthbeg&lt;=A17,mthend&gt;=A17),1,0))</f>
        <v>1</v>
      </c>
      <c r="AU17" s="137" t="n">
        <f aca="false">IF(A18="","",AO17*AT17)</f>
        <v>31</v>
      </c>
      <c r="AW17" s="195" t="e">
        <f aca="false">IF($A18="","",AL17*$E17)</f>
        <v>#NAME?</v>
      </c>
      <c r="AX17" s="195" t="e">
        <f aca="false">IF($A18="","",AM17*$E17)</f>
        <v>#N/A</v>
      </c>
      <c r="AY17" s="195" t="e">
        <f aca="false">IF($A18="","",AN17*$E17)</f>
        <v>#N/A</v>
      </c>
      <c r="BA17" s="195" t="n">
        <f aca="false">IF($A18="","",F17*Summary!$Q$9)</f>
        <v>0</v>
      </c>
      <c r="BC17" s="179" t="e">
        <f aca="false">IF(A18="","",AM17*F17)</f>
        <v>#N/A</v>
      </c>
    </row>
    <row r="18" customFormat="false" ht="12.75" hidden="false" customHeight="false" outlineLevel="0" collapsed="false">
      <c r="A18" s="196" t="n">
        <f aca="false">IF(A17&lt;mthend,EDATE(A17,1),"")</f>
        <v>37288</v>
      </c>
      <c r="B18" s="197" t="n">
        <f aca="false">IF(A18&lt;mthend,B17,"")</f>
        <v>36050</v>
      </c>
      <c r="C18" s="215"/>
      <c r="D18" s="197" t="n">
        <f aca="false">IF(A19&lt;&gt;"",B18+C18,"")</f>
        <v>36050</v>
      </c>
      <c r="E18" s="199" t="n">
        <f aca="false">IF(A19="","",IF(AND(AT18=1,$H$3=1),D18*AO18,IF($H$3=2,D18,"N/A")))</f>
        <v>1009400</v>
      </c>
      <c r="F18" s="199" t="n">
        <f aca="false">IF(A19="","",E18*AS18)</f>
        <v>10146080.2291234</v>
      </c>
      <c r="G18" s="200" t="e">
        <f aca="false">IF($A19="","",VLOOKUP($A18,Table,MATCH(G$4,Curves,0)))</f>
        <v>#N/A</v>
      </c>
      <c r="H18" s="201" t="e">
        <f aca="false">IF(A19="","",G18)</f>
        <v>#N/A</v>
      </c>
      <c r="I18" s="202"/>
      <c r="J18" s="200" t="e">
        <f aca="false">IF($A19="","",VLOOKUP($A18,Table,MATCH(J$4,Curves,0)))</f>
        <v>#N/A</v>
      </c>
      <c r="K18" s="201" t="e">
        <f aca="false">IF(A19="","",J18)</f>
        <v>#N/A</v>
      </c>
      <c r="L18" s="200" t="e">
        <f aca="false">IF($A19="","",VLOOKUP($A18,Table,MATCH(L$4,Curves,0)))</f>
        <v>#N/A</v>
      </c>
      <c r="M18" s="201" t="e">
        <f aca="false">IF(A19="","",L18)</f>
        <v>#N/A</v>
      </c>
      <c r="N18" s="203"/>
      <c r="O18" s="200" t="e">
        <f aca="false">IF(A19="","",L18+J18+G18)</f>
        <v>#N/A</v>
      </c>
      <c r="P18" s="200" t="e">
        <f aca="false">IF(A19="","",M18+K18+H18)</f>
        <v>#N/A</v>
      </c>
      <c r="Q18" s="204"/>
      <c r="R18" s="200" t="e">
        <f aca="false">IF($A19="","",VLOOKUP($A18,Table,MATCH(R$4,Curves,0)))</f>
        <v>#N/A</v>
      </c>
      <c r="S18" s="201" t="e">
        <f aca="false">IF(A19="","",R18)</f>
        <v>#N/A</v>
      </c>
      <c r="T18" s="200" t="e">
        <f aca="false">IF($A19="","",VLOOKUP($A18,Table,MATCH(T$4,Curves,0)))</f>
        <v>#N/A</v>
      </c>
      <c r="U18" s="201" t="e">
        <f aca="false">IF(A19="","",T18)</f>
        <v>#N/A</v>
      </c>
      <c r="V18" s="225" t="e">
        <f aca="false">IF($A19="","",IF(AND(MONTH(A18)&gt;3,MONTH(A18)&lt;11),(T18+R18+G18)*Summary!$T$9/(1-Summary!$T$9),(T18+R18+G18)*Summary!$U$9/(1-Summary!$U$9)))</f>
        <v>#N/A</v>
      </c>
      <c r="W18" s="200" t="e">
        <f aca="false">IF($A19="","",(T18+R18+G18+V18))</f>
        <v>#N/A</v>
      </c>
      <c r="X18" s="200" t="e">
        <f aca="false">IF($A19="","",(U18+S18+H18+V18))</f>
        <v>#N/A</v>
      </c>
      <c r="Y18" s="202"/>
      <c r="Z18" s="185" t="e">
        <f aca="false">IF($A19="","",VLOOKUP($A18,Table,MATCH(Z$4,Curves,0)))</f>
        <v>#N/A</v>
      </c>
      <c r="AA18" s="185" t="e">
        <f aca="false">IF($A19="","",VLOOKUP($A18,Table,MATCH(AA$4,Curves,0)))</f>
        <v>#N/A</v>
      </c>
      <c r="AB18" s="185" t="e">
        <f aca="false">SQRT((AA18^2*(A18-$D$3)+Z18^2*(DAY(EOMONTH(A18,0))/2))/AK18)</f>
        <v>#N/A</v>
      </c>
      <c r="AC18" s="185" t="e">
        <f aca="false">IF($A19="","",VLOOKUP($A18,Table,MATCH(AC$4,Curves,0)))</f>
        <v>#N/A</v>
      </c>
      <c r="AD18" s="185" t="e">
        <f aca="false">IF($A19="","",VLOOKUP($A18,Table,MATCH(AD$4,Curves,0)))</f>
        <v>#N/A</v>
      </c>
      <c r="AE18" s="185" t="e">
        <f aca="false">SQRT((AD18^2*(A18-$D$3)+AC18^2*(DAY(EOMONTH(A18,0))/2))/AK18)</f>
        <v>#N/A</v>
      </c>
      <c r="AF18" s="224" t="e">
        <f aca="false">((Summary!$N$9*(AA18*AD18)*(A18-$D$3))+(Summary!$M$9*Z18*AC18*(AJ18-EOMONTH(EDATE(A18,-1),0))))/(AK18*AB18*AE18)</f>
        <v>#N/A</v>
      </c>
      <c r="AG18" s="207" t="n">
        <f aca="false">IF($A19="","",Summary!$Q$9)</f>
        <v>0</v>
      </c>
      <c r="AH18" s="207" t="n">
        <f aca="false">IF($A19="","",IF(Summary!$R$9="Y",VLOOKUP($A18,Summary!$AD$6:$AF$9,3)+'Escalating commodity'!E31,'Escalating commodity'!E31))</f>
        <v>0.0757</v>
      </c>
      <c r="AI18" s="207" t="n">
        <f aca="false">IF($A19="","",AH18)</f>
        <v>0.0757</v>
      </c>
      <c r="AJ18" s="208" t="n">
        <f aca="false">A18+DAY(EOMONTH(A18,0))/2-1</f>
        <v>37301</v>
      </c>
      <c r="AK18" s="209" t="n">
        <f aca="false">IF($A19="","",$A18-$E$1)</f>
        <v>-8638</v>
      </c>
      <c r="AL18" s="182" t="e">
        <f aca="false">IF($A19="","",SPRDOPT(P18,X18,AI18,0,AB18,AE18,AF18,AK18,$AJ$2,0))</f>
        <v>#NAME?</v>
      </c>
      <c r="AM18" s="211" t="e">
        <f aca="false">IF($A19="","",MAX(0,O18-W18-AI18))</f>
        <v>#N/A</v>
      </c>
      <c r="AN18" s="211" t="e">
        <f aca="false">IF($A19="","",AL18-AM18)</f>
        <v>#N/A</v>
      </c>
      <c r="AO18" s="137" t="n">
        <f aca="false">IF(A19="","",A19-A18)</f>
        <v>28</v>
      </c>
      <c r="AP18" s="212" t="n">
        <f aca="false">IF(A19="","",CHOOSE(F$3,A19+24,A18))</f>
        <v>37288</v>
      </c>
      <c r="AQ18" s="209" t="n">
        <f aca="false">IF(A19="","",AP18-$E$1)</f>
        <v>-8638</v>
      </c>
      <c r="AR18" s="185" t="n">
        <f aca="false">'ANR OK vs ML7'!AR18</f>
        <v>0.1</v>
      </c>
      <c r="AS18" s="213" t="n">
        <f aca="false">IF(A19="","",1/(1+CHOOSE(F$3,(AR19+($I$3/10000))/2,(AR18+($I$3/10000))/2))^(2*AQ18/365.25))</f>
        <v>10.0515952339246</v>
      </c>
      <c r="AT18" s="137" t="n">
        <f aca="false">IF(A19="","",IF(AND(mthbeg&lt;=A18,mthend&gt;=A18),1,0))</f>
        <v>1</v>
      </c>
      <c r="AU18" s="137" t="n">
        <f aca="false">IF(A19="","",AO18*AT18)</f>
        <v>28</v>
      </c>
      <c r="AW18" s="195" t="e">
        <f aca="false">IF($A19="","",AL18*$E18)</f>
        <v>#NAME?</v>
      </c>
      <c r="AX18" s="195" t="e">
        <f aca="false">IF($A19="","",AM18*$E18)</f>
        <v>#N/A</v>
      </c>
      <c r="AY18" s="195" t="e">
        <f aca="false">IF($A19="","",AN18*$E18)</f>
        <v>#N/A</v>
      </c>
      <c r="BA18" s="195" t="n">
        <f aca="false">IF($A19="","",F18*Summary!$Q$9)</f>
        <v>0</v>
      </c>
      <c r="BC18" s="179" t="e">
        <f aca="false">IF(A19="","",AM18*F18)</f>
        <v>#N/A</v>
      </c>
    </row>
    <row r="19" customFormat="false" ht="12.75" hidden="false" customHeight="false" outlineLevel="0" collapsed="false">
      <c r="A19" s="196" t="n">
        <f aca="false">IF(A18&lt;mthend,EDATE(A18,1),"")</f>
        <v>37316</v>
      </c>
      <c r="B19" s="197" t="n">
        <f aca="false">IF(A19&lt;mthend,B18,"")</f>
        <v>36050</v>
      </c>
      <c r="C19" s="215"/>
      <c r="D19" s="197" t="n">
        <f aca="false">IF(A20&lt;&gt;"",B19+C19,"")</f>
        <v>36050</v>
      </c>
      <c r="E19" s="199" t="n">
        <f aca="false">IF(A20="","",IF(AND(AT19=1,$H$3=1),D19*AO19,IF($H$3=2,D19,"N/A")))</f>
        <v>1117550</v>
      </c>
      <c r="F19" s="199" t="n">
        <f aca="false">IF(A20="","",E19*AS19)</f>
        <v>11149444.2128381</v>
      </c>
      <c r="G19" s="200" t="e">
        <f aca="false">IF($A20="","",VLOOKUP($A19,Table,MATCH(G$4,Curves,0)))</f>
        <v>#N/A</v>
      </c>
      <c r="H19" s="201" t="e">
        <f aca="false">IF(A20="","",G19)</f>
        <v>#N/A</v>
      </c>
      <c r="I19" s="202"/>
      <c r="J19" s="200" t="e">
        <f aca="false">IF($A20="","",VLOOKUP($A19,Table,MATCH(J$4,Curves,0)))</f>
        <v>#N/A</v>
      </c>
      <c r="K19" s="201" t="e">
        <f aca="false">IF(A20="","",J19)</f>
        <v>#N/A</v>
      </c>
      <c r="L19" s="200" t="e">
        <f aca="false">IF($A20="","",VLOOKUP($A19,Table,MATCH(L$4,Curves,0)))</f>
        <v>#N/A</v>
      </c>
      <c r="M19" s="201" t="e">
        <f aca="false">IF(A20="","",L19)</f>
        <v>#N/A</v>
      </c>
      <c r="N19" s="203"/>
      <c r="O19" s="200" t="e">
        <f aca="false">IF(A20="","",L19+J19+G19)</f>
        <v>#N/A</v>
      </c>
      <c r="P19" s="200" t="e">
        <f aca="false">IF(A20="","",M19+K19+H19)</f>
        <v>#N/A</v>
      </c>
      <c r="Q19" s="204"/>
      <c r="R19" s="200" t="e">
        <f aca="false">IF($A20="","",VLOOKUP($A19,Table,MATCH(R$4,Curves,0)))</f>
        <v>#N/A</v>
      </c>
      <c r="S19" s="201" t="e">
        <f aca="false">IF(A20="","",R19)</f>
        <v>#N/A</v>
      </c>
      <c r="T19" s="200" t="e">
        <f aca="false">IF($A20="","",VLOOKUP($A19,Table,MATCH(T$4,Curves,0)))</f>
        <v>#N/A</v>
      </c>
      <c r="U19" s="201" t="e">
        <f aca="false">IF(A20="","",T19)</f>
        <v>#N/A</v>
      </c>
      <c r="V19" s="225" t="e">
        <f aca="false">IF($A20="","",IF(AND(MONTH(A19)&gt;3,MONTH(A19)&lt;11),(T19+R19+G19)*Summary!$T$9/(1-Summary!$T$9),(T19+R19+G19)*Summary!$U$9/(1-Summary!$U$9)))</f>
        <v>#N/A</v>
      </c>
      <c r="W19" s="200" t="e">
        <f aca="false">IF($A20="","",(T19+R19+G19+V19))</f>
        <v>#N/A</v>
      </c>
      <c r="X19" s="200" t="e">
        <f aca="false">IF($A20="","",(U19+S19+H19+V19))</f>
        <v>#N/A</v>
      </c>
      <c r="Y19" s="202"/>
      <c r="Z19" s="185" t="e">
        <f aca="false">IF($A20="","",VLOOKUP($A19,Table,MATCH(Z$4,Curves,0)))</f>
        <v>#N/A</v>
      </c>
      <c r="AA19" s="185" t="e">
        <f aca="false">IF($A20="","",VLOOKUP($A19,Table,MATCH(AA$4,Curves,0)))</f>
        <v>#N/A</v>
      </c>
      <c r="AB19" s="185" t="e">
        <f aca="false">SQRT((AA19^2*(A19-$D$3)+Z19^2*(DAY(EOMONTH(A19,0))/2))/AK19)</f>
        <v>#N/A</v>
      </c>
      <c r="AC19" s="185" t="e">
        <f aca="false">IF($A20="","",VLOOKUP($A19,Table,MATCH(AC$4,Curves,0)))</f>
        <v>#N/A</v>
      </c>
      <c r="AD19" s="185" t="e">
        <f aca="false">IF($A20="","",VLOOKUP($A19,Table,MATCH(AD$4,Curves,0)))</f>
        <v>#N/A</v>
      </c>
      <c r="AE19" s="185" t="e">
        <f aca="false">SQRT((AD19^2*(A19-$D$3)+AC19^2*(DAY(EOMONTH(A19,0))/2))/AK19)</f>
        <v>#N/A</v>
      </c>
      <c r="AF19" s="224" t="e">
        <f aca="false">((Summary!$N$9*(AA19*AD19)*(A19-$D$3))+(Summary!$M$9*Z19*AC19*(AJ19-EOMONTH(EDATE(A19,-1),0))))/(AK19*AB19*AE19)</f>
        <v>#N/A</v>
      </c>
      <c r="AG19" s="207" t="n">
        <f aca="false">IF($A20="","",Summary!$Q$9)</f>
        <v>0</v>
      </c>
      <c r="AH19" s="207" t="n">
        <f aca="false">IF($A20="","",IF(Summary!$R$9="Y",VLOOKUP($A19,Summary!$AD$6:$AF$9,3)+'Escalating commodity'!E32,'Escalating commodity'!E32))</f>
        <v>0.0757</v>
      </c>
      <c r="AI19" s="207" t="n">
        <f aca="false">IF($A20="","",AH19)</f>
        <v>0.0757</v>
      </c>
      <c r="AJ19" s="208" t="n">
        <f aca="false">A19+DAY(EOMONTH(A19,0))/2-1</f>
        <v>37330.5</v>
      </c>
      <c r="AK19" s="209" t="n">
        <f aca="false">IF($A20="","",$A19-$E$1)</f>
        <v>-8610</v>
      </c>
      <c r="AL19" s="182" t="e">
        <f aca="false">IF($A20="","",SPRDOPT(P19,X19,AI19,0,AB19,AE19,AF19,AK19,$AJ$2,0))</f>
        <v>#NAME?</v>
      </c>
      <c r="AM19" s="211" t="e">
        <f aca="false">IF($A20="","",MAX(0,O19-W19-AI19))</f>
        <v>#N/A</v>
      </c>
      <c r="AN19" s="211" t="e">
        <f aca="false">IF($A20="","",AL19-AM19)</f>
        <v>#N/A</v>
      </c>
      <c r="AO19" s="137" t="n">
        <f aca="false">IF(A20="","",A20-A19)</f>
        <v>31</v>
      </c>
      <c r="AP19" s="212" t="n">
        <f aca="false">IF(A20="","",CHOOSE(F$3,A20+24,A19))</f>
        <v>37316</v>
      </c>
      <c r="AQ19" s="209" t="n">
        <f aca="false">IF(A20="","",AP19-$E$1)</f>
        <v>-8610</v>
      </c>
      <c r="AR19" s="185" t="n">
        <f aca="false">'ANR OK vs ML7'!AR19</f>
        <v>0.1</v>
      </c>
      <c r="AS19" s="213" t="n">
        <f aca="false">IF(A20="","",1/(1+CHOOSE(F$3,(AR20+($I$3/10000))/2,(AR19+($I$3/10000))/2))^(2*AQ19/365.25))</f>
        <v>9.97668490254406</v>
      </c>
      <c r="AT19" s="137" t="n">
        <f aca="false">IF(A20="","",IF(AND(mthbeg&lt;=A19,mthend&gt;=A19),1,0))</f>
        <v>1</v>
      </c>
      <c r="AU19" s="137" t="n">
        <f aca="false">IF(A20="","",AO19*AT19)</f>
        <v>31</v>
      </c>
      <c r="AW19" s="195" t="e">
        <f aca="false">IF($A20="","",AL19*$E19)</f>
        <v>#NAME?</v>
      </c>
      <c r="AX19" s="195" t="e">
        <f aca="false">IF($A20="","",AM19*$E19)</f>
        <v>#N/A</v>
      </c>
      <c r="AY19" s="195" t="e">
        <f aca="false">IF($A20="","",AN19*$E19)</f>
        <v>#N/A</v>
      </c>
      <c r="BA19" s="195" t="n">
        <f aca="false">IF($A20="","",F19*Summary!$Q$9)</f>
        <v>0</v>
      </c>
      <c r="BC19" s="179" t="e">
        <f aca="false">IF(A20="","",AM19*F19)</f>
        <v>#N/A</v>
      </c>
    </row>
    <row r="20" customFormat="false" ht="12.75" hidden="false" customHeight="false" outlineLevel="0" collapsed="false">
      <c r="A20" s="196" t="n">
        <f aca="false">IF(A19&lt;mthend,EDATE(A19,1),"")</f>
        <v>37347</v>
      </c>
      <c r="B20" s="197" t="n">
        <f aca="false">IF(A20&lt;mthend,B19,"")</f>
        <v>36050</v>
      </c>
      <c r="C20" s="215"/>
      <c r="D20" s="197" t="n">
        <f aca="false">IF(A21&lt;&gt;"",B20+C20,"")</f>
        <v>36050</v>
      </c>
      <c r="E20" s="199" t="n">
        <f aca="false">IF(A21="","",IF(AND(AT20=1,$H$3=1),D20*AO20,IF($H$3=2,D20,"N/A")))</f>
        <v>1081500</v>
      </c>
      <c r="F20" s="199" t="n">
        <f aca="false">IF(A21="","",E20*AS20)</f>
        <v>10700793.0518563</v>
      </c>
      <c r="G20" s="200" t="e">
        <f aca="false">IF($A21="","",VLOOKUP($A20,Table,MATCH(G$4,Curves,0)))</f>
        <v>#N/A</v>
      </c>
      <c r="H20" s="201" t="e">
        <f aca="false">IF(A21="","",G20)</f>
        <v>#N/A</v>
      </c>
      <c r="I20" s="202"/>
      <c r="J20" s="200" t="e">
        <f aca="false">IF($A21="","",VLOOKUP($A20,Table,MATCH(J$4,Curves,0)))</f>
        <v>#N/A</v>
      </c>
      <c r="K20" s="201" t="e">
        <f aca="false">IF(A21="","",J20)</f>
        <v>#N/A</v>
      </c>
      <c r="L20" s="200" t="e">
        <f aca="false">IF($A21="","",VLOOKUP($A20,Table,MATCH(L$4,Curves,0)))</f>
        <v>#N/A</v>
      </c>
      <c r="M20" s="201" t="e">
        <f aca="false">IF(A21="","",L20)</f>
        <v>#N/A</v>
      </c>
      <c r="N20" s="203"/>
      <c r="O20" s="200" t="e">
        <f aca="false">IF(A21="","",L20+J20+G20)</f>
        <v>#N/A</v>
      </c>
      <c r="P20" s="200" t="e">
        <f aca="false">IF(A21="","",M20+K20+H20)</f>
        <v>#N/A</v>
      </c>
      <c r="Q20" s="204"/>
      <c r="R20" s="200" t="e">
        <f aca="false">IF($A21="","",VLOOKUP($A20,Table,MATCH(R$4,Curves,0)))</f>
        <v>#N/A</v>
      </c>
      <c r="S20" s="201" t="e">
        <f aca="false">IF(A21="","",R20)</f>
        <v>#N/A</v>
      </c>
      <c r="T20" s="200" t="e">
        <f aca="false">IF($A21="","",VLOOKUP($A20,Table,MATCH(T$4,Curves,0)))</f>
        <v>#N/A</v>
      </c>
      <c r="U20" s="201" t="e">
        <f aca="false">IF(A21="","",T20)</f>
        <v>#N/A</v>
      </c>
      <c r="V20" s="225" t="e">
        <f aca="false">IF($A21="","",IF(AND(MONTH(A20)&gt;3,MONTH(A20)&lt;11),(T20+R20+G20)*Summary!$T$9/(1-Summary!$T$9),(T20+R20+G20)*Summary!$U$9/(1-Summary!$U$9)))</f>
        <v>#N/A</v>
      </c>
      <c r="W20" s="200" t="e">
        <f aca="false">IF($A21="","",(T20+R20+G20+V20))</f>
        <v>#N/A</v>
      </c>
      <c r="X20" s="200" t="e">
        <f aca="false">IF($A21="","",(U20+S20+H20+V20))</f>
        <v>#N/A</v>
      </c>
      <c r="Y20" s="202"/>
      <c r="Z20" s="185" t="e">
        <f aca="false">IF($A21="","",VLOOKUP($A20,Table,MATCH(Z$4,Curves,0)))</f>
        <v>#N/A</v>
      </c>
      <c r="AA20" s="185" t="e">
        <f aca="false">IF($A21="","",VLOOKUP($A20,Table,MATCH(AA$4,Curves,0)))</f>
        <v>#N/A</v>
      </c>
      <c r="AB20" s="185" t="e">
        <f aca="false">SQRT((AA20^2*(A20-$D$3)+Z20^2*(DAY(EOMONTH(A20,0))/2))/AK20)</f>
        <v>#N/A</v>
      </c>
      <c r="AC20" s="185" t="e">
        <f aca="false">IF($A21="","",VLOOKUP($A20,Table,MATCH(AC$4,Curves,0)))</f>
        <v>#N/A</v>
      </c>
      <c r="AD20" s="185" t="e">
        <f aca="false">IF($A21="","",VLOOKUP($A20,Table,MATCH(AD$4,Curves,0)))</f>
        <v>#N/A</v>
      </c>
      <c r="AE20" s="185" t="e">
        <f aca="false">SQRT((AD20^2*(A20-$D$3)+AC20^2*(DAY(EOMONTH(A20,0))/2))/AK20)</f>
        <v>#N/A</v>
      </c>
      <c r="AF20" s="224" t="e">
        <f aca="false">((Summary!$N$9*(AA20*AD20)*(A20-$D$3))+(Summary!$M$9*Z20*AC20*(AJ20-EOMONTH(EDATE(A20,-1),0))))/(AK20*AB20*AE20)</f>
        <v>#N/A</v>
      </c>
      <c r="AG20" s="207" t="n">
        <f aca="false">IF($A21="","",Summary!$Q$9)</f>
        <v>0</v>
      </c>
      <c r="AH20" s="207" t="n">
        <f aca="false">IF($A21="","",IF(Summary!$R$9="Y",VLOOKUP($A20,Summary!$AD$6:$AF$9,3)+'Escalating commodity'!E33,'Escalating commodity'!E33))</f>
        <v>0.0757</v>
      </c>
      <c r="AI20" s="207" t="n">
        <f aca="false">IF($A21="","",AH20)</f>
        <v>0.0757</v>
      </c>
      <c r="AJ20" s="208" t="n">
        <f aca="false">A20+DAY(EOMONTH(A20,0))/2-1</f>
        <v>37361</v>
      </c>
      <c r="AK20" s="209" t="n">
        <f aca="false">IF($A21="","",$A20-$E$1)</f>
        <v>-8579</v>
      </c>
      <c r="AL20" s="182" t="e">
        <f aca="false">IF($A21="","",SPRDOPT(P20,X20,AI20,0,AB20,AE20,AF20,AK20,$AJ$2,0))</f>
        <v>#NAME?</v>
      </c>
      <c r="AM20" s="211" t="e">
        <f aca="false">IF($A21="","",MAX(0,O20-W20-AI20))</f>
        <v>#N/A</v>
      </c>
      <c r="AN20" s="211" t="e">
        <f aca="false">IF($A21="","",AL20-AM20)</f>
        <v>#N/A</v>
      </c>
      <c r="AO20" s="137" t="n">
        <f aca="false">IF(A21="","",A21-A20)</f>
        <v>30</v>
      </c>
      <c r="AP20" s="212" t="n">
        <f aca="false">IF(A21="","",CHOOSE(F$3,A21+24,A20))</f>
        <v>37347</v>
      </c>
      <c r="AQ20" s="209" t="n">
        <f aca="false">IF(A21="","",AP20-$E$1)</f>
        <v>-8579</v>
      </c>
      <c r="AR20" s="185" t="n">
        <f aca="false">'ANR OK vs ML7'!AR20</f>
        <v>0.1</v>
      </c>
      <c r="AS20" s="213" t="n">
        <f aca="false">IF(A21="","",1/(1+CHOOSE(F$3,(AR21+($I$3/10000))/2,(AR20+($I$3/10000))/2))^(2*AQ20/365.25))</f>
        <v>9.89439949316346</v>
      </c>
      <c r="AT20" s="137" t="n">
        <f aca="false">IF(A21="","",IF(AND(mthbeg&lt;=A20,mthend&gt;=A20),1,0))</f>
        <v>1</v>
      </c>
      <c r="AU20" s="137" t="n">
        <f aca="false">IF(A21="","",AO20*AT20)</f>
        <v>30</v>
      </c>
      <c r="AW20" s="195" t="e">
        <f aca="false">IF($A21="","",AL20*$E20)</f>
        <v>#NAME?</v>
      </c>
      <c r="AX20" s="195" t="e">
        <f aca="false">IF($A21="","",AM20*$E20)</f>
        <v>#N/A</v>
      </c>
      <c r="AY20" s="195" t="e">
        <f aca="false">IF($A21="","",AN20*$E20)</f>
        <v>#N/A</v>
      </c>
      <c r="BA20" s="195" t="n">
        <f aca="false">IF($A21="","",F20*Summary!$Q$9)</f>
        <v>0</v>
      </c>
      <c r="BC20" s="179" t="e">
        <f aca="false">IF(A21="","",AM20*F20)</f>
        <v>#N/A</v>
      </c>
    </row>
    <row r="21" customFormat="false" ht="12.75" hidden="false" customHeight="false" outlineLevel="0" collapsed="false">
      <c r="A21" s="196" t="n">
        <f aca="false">IF(A20&lt;mthend,EDATE(A20,1),"")</f>
        <v>37377</v>
      </c>
      <c r="B21" s="197" t="n">
        <f aca="false">IF(A21&lt;mthend,B20,"")</f>
        <v>36050</v>
      </c>
      <c r="C21" s="215"/>
      <c r="D21" s="197" t="n">
        <f aca="false">IF(A22&lt;&gt;"",B21+C21,"")</f>
        <v>36050</v>
      </c>
      <c r="E21" s="199" t="n">
        <f aca="false">IF(A22="","",IF(AND(AT21=1,$H$3=1),D21*AO21,IF($H$3=2,D21,"N/A")))</f>
        <v>1117550</v>
      </c>
      <c r="F21" s="199" t="n">
        <f aca="false">IF(A22="","",E21*AS21)</f>
        <v>10969216.6919767</v>
      </c>
      <c r="G21" s="200" t="e">
        <f aca="false">IF($A22="","",VLOOKUP($A21,Table,MATCH(G$4,Curves,0)))</f>
        <v>#N/A</v>
      </c>
      <c r="H21" s="201" t="e">
        <f aca="false">IF(A22="","",G21)</f>
        <v>#N/A</v>
      </c>
      <c r="I21" s="202"/>
      <c r="J21" s="200" t="e">
        <f aca="false">IF($A22="","",VLOOKUP($A21,Table,MATCH(J$4,Curves,0)))</f>
        <v>#N/A</v>
      </c>
      <c r="K21" s="201" t="e">
        <f aca="false">IF(A22="","",J21)</f>
        <v>#N/A</v>
      </c>
      <c r="L21" s="200" t="e">
        <f aca="false">IF($A22="","",VLOOKUP($A21,Table,MATCH(L$4,Curves,0)))</f>
        <v>#N/A</v>
      </c>
      <c r="M21" s="201" t="e">
        <f aca="false">IF(A22="","",L21)</f>
        <v>#N/A</v>
      </c>
      <c r="N21" s="203"/>
      <c r="O21" s="200" t="e">
        <f aca="false">IF(A22="","",L21+J21+G21)</f>
        <v>#N/A</v>
      </c>
      <c r="P21" s="200" t="e">
        <f aca="false">IF(A22="","",M21+K21+H21)</f>
        <v>#N/A</v>
      </c>
      <c r="Q21" s="204"/>
      <c r="R21" s="200" t="e">
        <f aca="false">IF($A22="","",VLOOKUP($A21,Table,MATCH(R$4,Curves,0)))</f>
        <v>#N/A</v>
      </c>
      <c r="S21" s="201" t="e">
        <f aca="false">IF(A22="","",R21)</f>
        <v>#N/A</v>
      </c>
      <c r="T21" s="200" t="e">
        <f aca="false">IF($A22="","",VLOOKUP($A21,Table,MATCH(T$4,Curves,0)))</f>
        <v>#N/A</v>
      </c>
      <c r="U21" s="201" t="e">
        <f aca="false">IF(A22="","",T21)</f>
        <v>#N/A</v>
      </c>
      <c r="V21" s="225" t="e">
        <f aca="false">IF($A22="","",IF(AND(MONTH(A21)&gt;3,MONTH(A21)&lt;11),(T21+R21+G21)*Summary!$T$9/(1-Summary!$T$9),(T21+R21+G21)*Summary!$U$9/(1-Summary!$U$9)))</f>
        <v>#N/A</v>
      </c>
      <c r="W21" s="200" t="e">
        <f aca="false">IF($A22="","",(T21+R21+G21+V21))</f>
        <v>#N/A</v>
      </c>
      <c r="X21" s="200" t="e">
        <f aca="false">IF($A22="","",(U21+S21+H21+V21))</f>
        <v>#N/A</v>
      </c>
      <c r="Y21" s="202"/>
      <c r="Z21" s="185" t="e">
        <f aca="false">IF($A22="","",VLOOKUP($A21,Table,MATCH(Z$4,Curves,0)))</f>
        <v>#N/A</v>
      </c>
      <c r="AA21" s="185" t="e">
        <f aca="false">IF($A22="","",VLOOKUP($A21,Table,MATCH(AA$4,Curves,0)))</f>
        <v>#N/A</v>
      </c>
      <c r="AB21" s="185" t="e">
        <f aca="false">SQRT((AA21^2*(A21-$D$3)+Z21^2*(DAY(EOMONTH(A21,0))/2))/AK21)</f>
        <v>#N/A</v>
      </c>
      <c r="AC21" s="185" t="e">
        <f aca="false">IF($A22="","",VLOOKUP($A21,Table,MATCH(AC$4,Curves,0)))</f>
        <v>#N/A</v>
      </c>
      <c r="AD21" s="185" t="e">
        <f aca="false">IF($A22="","",VLOOKUP($A21,Table,MATCH(AD$4,Curves,0)))</f>
        <v>#N/A</v>
      </c>
      <c r="AE21" s="185" t="e">
        <f aca="false">SQRT((AD21^2*(A21-$D$3)+AC21^2*(DAY(EOMONTH(A21,0))/2))/AK21)</f>
        <v>#N/A</v>
      </c>
      <c r="AF21" s="224" t="e">
        <f aca="false">((Summary!$N$9*(AA21*AD21)*(A21-$D$3))+(Summary!$M$9*Z21*AC21*(AJ21-EOMONTH(EDATE(A21,-1),0))))/(AK21*AB21*AE21)</f>
        <v>#N/A</v>
      </c>
      <c r="AG21" s="207" t="n">
        <f aca="false">IF($A22="","",Summary!$Q$9)</f>
        <v>0</v>
      </c>
      <c r="AH21" s="207" t="n">
        <f aca="false">IF($A22="","",IF(Summary!$R$9="Y",VLOOKUP($A21,Summary!$AD$6:$AF$9,3)+'Escalating commodity'!E34,'Escalating commodity'!E34))</f>
        <v>0.0757</v>
      </c>
      <c r="AI21" s="207" t="n">
        <f aca="false">IF($A22="","",AH21)</f>
        <v>0.0757</v>
      </c>
      <c r="AJ21" s="208" t="n">
        <f aca="false">A21+DAY(EOMONTH(A21,0))/2-1</f>
        <v>37391.5</v>
      </c>
      <c r="AK21" s="209" t="n">
        <f aca="false">IF($A22="","",$A21-$E$1)</f>
        <v>-8549</v>
      </c>
      <c r="AL21" s="182" t="e">
        <f aca="false">IF($A22="","",SPRDOPT(P21,X21,AI21,0,AB21,AE21,AF21,AK21,$AJ$2,0))</f>
        <v>#NAME?</v>
      </c>
      <c r="AM21" s="211" t="e">
        <f aca="false">IF($A22="","",MAX(0,O21-W21-AI21))</f>
        <v>#N/A</v>
      </c>
      <c r="AN21" s="211" t="e">
        <f aca="false">IF($A22="","",AL21-AM21)</f>
        <v>#N/A</v>
      </c>
      <c r="AO21" s="137" t="n">
        <f aca="false">IF(A22="","",A22-A21)</f>
        <v>31</v>
      </c>
      <c r="AP21" s="212" t="n">
        <f aca="false">IF(A22="","",CHOOSE(F$3,A22+24,A21))</f>
        <v>37377</v>
      </c>
      <c r="AQ21" s="209" t="n">
        <f aca="false">IF(A22="","",AP21-$E$1)</f>
        <v>-8549</v>
      </c>
      <c r="AR21" s="185" t="n">
        <f aca="false">'ANR OK vs ML7'!AR21</f>
        <v>0.1</v>
      </c>
      <c r="AS21" s="213" t="n">
        <f aca="false">IF(A22="","",1/(1+CHOOSE(F$3,(AR22+($I$3/10000))/2,(AR21+($I$3/10000))/2))^(2*AQ21/365.25))</f>
        <v>9.81541469462368</v>
      </c>
      <c r="AT21" s="137" t="n">
        <f aca="false">IF(A22="","",IF(AND(mthbeg&lt;=A21,mthend&gt;=A21),1,0))</f>
        <v>1</v>
      </c>
      <c r="AU21" s="137" t="n">
        <f aca="false">IF(A22="","",AO21*AT21)</f>
        <v>31</v>
      </c>
      <c r="AW21" s="195" t="e">
        <f aca="false">IF($A22="","",AL21*$E21)</f>
        <v>#NAME?</v>
      </c>
      <c r="AX21" s="195" t="e">
        <f aca="false">IF($A22="","",AM21*$E21)</f>
        <v>#N/A</v>
      </c>
      <c r="AY21" s="195" t="e">
        <f aca="false">IF($A22="","",AN21*$E21)</f>
        <v>#N/A</v>
      </c>
      <c r="BA21" s="195" t="n">
        <f aca="false">IF($A22="","",F21*Summary!$Q$9)</f>
        <v>0</v>
      </c>
      <c r="BC21" s="179" t="e">
        <f aca="false">IF(A22="","",AM21*F21)</f>
        <v>#N/A</v>
      </c>
    </row>
    <row r="22" customFormat="false" ht="12.75" hidden="false" customHeight="false" outlineLevel="0" collapsed="false">
      <c r="A22" s="196" t="n">
        <f aca="false">IF(A21&lt;mthend,EDATE(A21,1),"")</f>
        <v>37408</v>
      </c>
      <c r="B22" s="197" t="n">
        <f aca="false">IF(A22&lt;mthend,B21,"")</f>
        <v>36050</v>
      </c>
      <c r="C22" s="215"/>
      <c r="D22" s="197" t="n">
        <f aca="false">IF(A23&lt;&gt;"",B22+C22,"")</f>
        <v>36050</v>
      </c>
      <c r="E22" s="199" t="n">
        <f aca="false">IF(A23="","",IF(AND(AT22=1,$H$3=1),D22*AO22,IF($H$3=2,D22,"N/A")))</f>
        <v>1081500</v>
      </c>
      <c r="F22" s="199" t="n">
        <f aca="false">IF(A23="","",E22*AS22)</f>
        <v>10527817.8464405</v>
      </c>
      <c r="G22" s="200" t="e">
        <f aca="false">IF($A23="","",VLOOKUP($A22,Table,MATCH(G$4,Curves,0)))</f>
        <v>#N/A</v>
      </c>
      <c r="H22" s="201" t="e">
        <f aca="false">IF(A23="","",G22)</f>
        <v>#N/A</v>
      </c>
      <c r="I22" s="202"/>
      <c r="J22" s="200" t="e">
        <f aca="false">IF($A23="","",VLOOKUP($A22,Table,MATCH(J$4,Curves,0)))</f>
        <v>#N/A</v>
      </c>
      <c r="K22" s="201" t="e">
        <f aca="false">IF(A23="","",J22)</f>
        <v>#N/A</v>
      </c>
      <c r="L22" s="200" t="e">
        <f aca="false">IF($A23="","",VLOOKUP($A22,Table,MATCH(L$4,Curves,0)))</f>
        <v>#N/A</v>
      </c>
      <c r="M22" s="201" t="e">
        <f aca="false">IF(A23="","",L22)</f>
        <v>#N/A</v>
      </c>
      <c r="N22" s="203"/>
      <c r="O22" s="200" t="e">
        <f aca="false">IF(A23="","",L22+J22+G22)</f>
        <v>#N/A</v>
      </c>
      <c r="P22" s="200" t="e">
        <f aca="false">IF(A23="","",M22+K22+H22)</f>
        <v>#N/A</v>
      </c>
      <c r="Q22" s="204"/>
      <c r="R22" s="200" t="e">
        <f aca="false">IF($A23="","",VLOOKUP($A22,Table,MATCH(R$4,Curves,0)))</f>
        <v>#N/A</v>
      </c>
      <c r="S22" s="201" t="e">
        <f aca="false">IF(A23="","",R22)</f>
        <v>#N/A</v>
      </c>
      <c r="T22" s="200" t="e">
        <f aca="false">IF($A23="","",VLOOKUP($A22,Table,MATCH(T$4,Curves,0)))</f>
        <v>#N/A</v>
      </c>
      <c r="U22" s="201" t="e">
        <f aca="false">IF(A23="","",T22)</f>
        <v>#N/A</v>
      </c>
      <c r="V22" s="225" t="e">
        <f aca="false">IF($A23="","",IF(AND(MONTH(A22)&gt;3,MONTH(A22)&lt;11),(T22+R22+G22)*Summary!$T$9/(1-Summary!$T$9),(T22+R22+G22)*Summary!$U$9/(1-Summary!$U$9)))</f>
        <v>#N/A</v>
      </c>
      <c r="W22" s="200" t="e">
        <f aca="false">IF($A23="","",(T22+R22+G22+V22))</f>
        <v>#N/A</v>
      </c>
      <c r="X22" s="200" t="e">
        <f aca="false">IF($A23="","",(U22+S22+H22+V22))</f>
        <v>#N/A</v>
      </c>
      <c r="Y22" s="202"/>
      <c r="Z22" s="185" t="e">
        <f aca="false">IF($A23="","",VLOOKUP($A22,Table,MATCH(Z$4,Curves,0)))</f>
        <v>#N/A</v>
      </c>
      <c r="AA22" s="185" t="e">
        <f aca="false">IF($A23="","",VLOOKUP($A22,Table,MATCH(AA$4,Curves,0)))</f>
        <v>#N/A</v>
      </c>
      <c r="AB22" s="185" t="e">
        <f aca="false">SQRT((AA22^2*(A22-$D$3)+Z22^2*(DAY(EOMONTH(A22,0))/2))/AK22)</f>
        <v>#N/A</v>
      </c>
      <c r="AC22" s="185" t="e">
        <f aca="false">IF($A23="","",VLOOKUP($A22,Table,MATCH(AC$4,Curves,0)))</f>
        <v>#N/A</v>
      </c>
      <c r="AD22" s="185" t="e">
        <f aca="false">IF($A23="","",VLOOKUP($A22,Table,MATCH(AD$4,Curves,0)))</f>
        <v>#N/A</v>
      </c>
      <c r="AE22" s="185" t="e">
        <f aca="false">SQRT((AD22^2*(A22-$D$3)+AC22^2*(DAY(EOMONTH(A22,0))/2))/AK22)</f>
        <v>#N/A</v>
      </c>
      <c r="AF22" s="224" t="e">
        <f aca="false">((Summary!$N$9*(AA22*AD22)*(A22-$D$3))+(Summary!$M$9*Z22*AC22*(AJ22-EOMONTH(EDATE(A22,-1),0))))/(AK22*AB22*AE22)</f>
        <v>#N/A</v>
      </c>
      <c r="AG22" s="207" t="n">
        <f aca="false">IF($A23="","",Summary!$Q$9)</f>
        <v>0</v>
      </c>
      <c r="AH22" s="207" t="n">
        <f aca="false">IF($A23="","",IF(Summary!$R$9="Y",VLOOKUP($A22,Summary!$AD$6:$AF$9,3)+'Escalating commodity'!E35,'Escalating commodity'!E35))</f>
        <v>0.0757</v>
      </c>
      <c r="AI22" s="207" t="n">
        <f aca="false">IF($A23="","",AH22)</f>
        <v>0.0757</v>
      </c>
      <c r="AJ22" s="208" t="n">
        <f aca="false">A22+DAY(EOMONTH(A22,0))/2-1</f>
        <v>37422</v>
      </c>
      <c r="AK22" s="209" t="n">
        <f aca="false">IF($A23="","",$A22-$E$1)</f>
        <v>-8518</v>
      </c>
      <c r="AL22" s="182" t="e">
        <f aca="false">IF($A23="","",SPRDOPT(P22,X22,AI22,0,AB22,AE22,AF22,AK22,$AJ$2,0))</f>
        <v>#NAME?</v>
      </c>
      <c r="AM22" s="211" t="e">
        <f aca="false">IF($A23="","",MAX(0,O22-W22-AI22))</f>
        <v>#N/A</v>
      </c>
      <c r="AN22" s="211" t="e">
        <f aca="false">IF($A23="","",AL22-AM22)</f>
        <v>#N/A</v>
      </c>
      <c r="AO22" s="137" t="n">
        <f aca="false">IF(A23="","",A23-A22)</f>
        <v>30</v>
      </c>
      <c r="AP22" s="212" t="n">
        <f aca="false">IF(A23="","",CHOOSE(F$3,A23+24,A22))</f>
        <v>37408</v>
      </c>
      <c r="AQ22" s="209" t="n">
        <f aca="false">IF(A23="","",AP22-$E$1)</f>
        <v>-8518</v>
      </c>
      <c r="AR22" s="185" t="n">
        <f aca="false">'ANR OK vs ML7'!AR22</f>
        <v>0.1</v>
      </c>
      <c r="AS22" s="213" t="n">
        <f aca="false">IF(A23="","",1/(1+CHOOSE(F$3,(AR23+($I$3/10000))/2,(AR22+($I$3/10000))/2))^(2*AQ22/365.25))</f>
        <v>9.73445940493808</v>
      </c>
      <c r="AT22" s="137" t="n">
        <f aca="false">IF(A23="","",IF(AND(mthbeg&lt;=A22,mthend&gt;=A22),1,0))</f>
        <v>1</v>
      </c>
      <c r="AU22" s="137" t="n">
        <f aca="false">IF(A23="","",AO22*AT22)</f>
        <v>30</v>
      </c>
      <c r="AW22" s="195" t="e">
        <f aca="false">IF($A23="","",AL22*$E22)</f>
        <v>#NAME?</v>
      </c>
      <c r="AX22" s="195" t="e">
        <f aca="false">IF($A23="","",AM22*$E22)</f>
        <v>#N/A</v>
      </c>
      <c r="AY22" s="195" t="e">
        <f aca="false">IF($A23="","",AN22*$E22)</f>
        <v>#N/A</v>
      </c>
      <c r="BA22" s="195" t="n">
        <f aca="false">IF($A23="","",F22*Summary!$Q$9)</f>
        <v>0</v>
      </c>
      <c r="BC22" s="179" t="e">
        <f aca="false">IF(A23="","",AM22*F22)</f>
        <v>#N/A</v>
      </c>
    </row>
    <row r="23" customFormat="false" ht="12.75" hidden="false" customHeight="false" outlineLevel="0" collapsed="false">
      <c r="A23" s="196" t="n">
        <f aca="false">IF(A22&lt;mthend,EDATE(A22,1),"")</f>
        <v>37438</v>
      </c>
      <c r="B23" s="197" t="n">
        <f aca="false">IF(A23&lt;mthend,B22,"")</f>
        <v>36050</v>
      </c>
      <c r="C23" s="215"/>
      <c r="D23" s="197" t="n">
        <f aca="false">IF(A24&lt;&gt;"",B23+C23,"")</f>
        <v>36050</v>
      </c>
      <c r="E23" s="199" t="n">
        <f aca="false">IF(A24="","",IF(AND(AT23=1,$H$3=1),D23*AO23,IF($H$3=2,D23,"N/A")))</f>
        <v>1117550</v>
      </c>
      <c r="F23" s="199" t="n">
        <f aca="false">IF(A24="","",E23*AS23)</f>
        <v>10791902.4965381</v>
      </c>
      <c r="G23" s="200" t="e">
        <f aca="false">IF($A24="","",VLOOKUP($A23,Table,MATCH(G$4,Curves,0)))</f>
        <v>#N/A</v>
      </c>
      <c r="H23" s="201" t="e">
        <f aca="false">IF(A24="","",G23)</f>
        <v>#N/A</v>
      </c>
      <c r="I23" s="202"/>
      <c r="J23" s="200" t="e">
        <f aca="false">IF($A24="","",VLOOKUP($A23,Table,MATCH(J$4,Curves,0)))</f>
        <v>#N/A</v>
      </c>
      <c r="K23" s="201" t="e">
        <f aca="false">IF(A24="","",J23)</f>
        <v>#N/A</v>
      </c>
      <c r="L23" s="200" t="e">
        <f aca="false">IF($A24="","",VLOOKUP($A23,Table,MATCH(L$4,Curves,0)))</f>
        <v>#N/A</v>
      </c>
      <c r="M23" s="201" t="e">
        <f aca="false">IF(A24="","",L23)</f>
        <v>#N/A</v>
      </c>
      <c r="N23" s="203"/>
      <c r="O23" s="200" t="e">
        <f aca="false">IF(A24="","",L23+J23+G23)</f>
        <v>#N/A</v>
      </c>
      <c r="P23" s="200" t="e">
        <f aca="false">IF(A24="","",M23+K23+H23)</f>
        <v>#N/A</v>
      </c>
      <c r="Q23" s="204"/>
      <c r="R23" s="200" t="e">
        <f aca="false">IF($A24="","",VLOOKUP($A23,Table,MATCH(R$4,Curves,0)))</f>
        <v>#N/A</v>
      </c>
      <c r="S23" s="201" t="e">
        <f aca="false">IF(A24="","",R23)</f>
        <v>#N/A</v>
      </c>
      <c r="T23" s="200" t="e">
        <f aca="false">IF($A24="","",VLOOKUP($A23,Table,MATCH(T$4,Curves,0)))</f>
        <v>#N/A</v>
      </c>
      <c r="U23" s="201" t="e">
        <f aca="false">IF(A24="","",T23)</f>
        <v>#N/A</v>
      </c>
      <c r="V23" s="225" t="e">
        <f aca="false">IF($A24="","",IF(AND(MONTH(A23)&gt;3,MONTH(A23)&lt;11),(T23+R23+G23)*Summary!$T$9/(1-Summary!$T$9),(T23+R23+G23)*Summary!$U$9/(1-Summary!$U$9)))</f>
        <v>#N/A</v>
      </c>
      <c r="W23" s="200" t="e">
        <f aca="false">IF($A24="","",(T23+R23+G23+V23))</f>
        <v>#N/A</v>
      </c>
      <c r="X23" s="200" t="e">
        <f aca="false">IF($A24="","",(U23+S23+H23+V23))</f>
        <v>#N/A</v>
      </c>
      <c r="Y23" s="202"/>
      <c r="Z23" s="185" t="e">
        <f aca="false">IF($A24="","",VLOOKUP($A23,Table,MATCH(Z$4,Curves,0)))</f>
        <v>#N/A</v>
      </c>
      <c r="AA23" s="185" t="e">
        <f aca="false">IF($A24="","",VLOOKUP($A23,Table,MATCH(AA$4,Curves,0)))</f>
        <v>#N/A</v>
      </c>
      <c r="AB23" s="185" t="e">
        <f aca="false">SQRT((AA23^2*(A23-$D$3)+Z23^2*(DAY(EOMONTH(A23,0))/2))/AK23)</f>
        <v>#N/A</v>
      </c>
      <c r="AC23" s="185" t="e">
        <f aca="false">IF($A24="","",VLOOKUP($A23,Table,MATCH(AC$4,Curves,0)))</f>
        <v>#N/A</v>
      </c>
      <c r="AD23" s="185" t="e">
        <f aca="false">IF($A24="","",VLOOKUP($A23,Table,MATCH(AD$4,Curves,0)))</f>
        <v>#N/A</v>
      </c>
      <c r="AE23" s="185" t="e">
        <f aca="false">SQRT((AD23^2*(A23-$D$3)+AC23^2*(DAY(EOMONTH(A23,0))/2))/AK23)</f>
        <v>#N/A</v>
      </c>
      <c r="AF23" s="224" t="e">
        <f aca="false">((Summary!$N$9*(AA23*AD23)*(A23-$D$3))+(Summary!$M$9*Z23*AC23*(AJ23-EOMONTH(EDATE(A23,-1),0))))/(AK23*AB23*AE23)</f>
        <v>#N/A</v>
      </c>
      <c r="AG23" s="207" t="n">
        <f aca="false">IF($A24="","",Summary!$Q$9)</f>
        <v>0</v>
      </c>
      <c r="AH23" s="207" t="n">
        <f aca="false">IF($A24="","",IF(Summary!$R$9="Y",VLOOKUP($A23,Summary!$AD$6:$AF$9,3)+'Escalating commodity'!E36,'Escalating commodity'!E36))</f>
        <v>0.0757</v>
      </c>
      <c r="AI23" s="207" t="n">
        <f aca="false">IF($A24="","",AH23)</f>
        <v>0.0757</v>
      </c>
      <c r="AJ23" s="208" t="n">
        <f aca="false">A23+DAY(EOMONTH(A23,0))/2-1</f>
        <v>37452.5</v>
      </c>
      <c r="AK23" s="209" t="n">
        <f aca="false">IF($A24="","",$A23-$E$1)</f>
        <v>-8488</v>
      </c>
      <c r="AL23" s="182" t="e">
        <f aca="false">IF($A24="","",SPRDOPT(P23,X23,AI23,0,AB23,AE23,AF23,AK23,$AJ$2,0))</f>
        <v>#NAME?</v>
      </c>
      <c r="AM23" s="211" t="e">
        <f aca="false">IF($A24="","",MAX(0,O23-W23-AI23))</f>
        <v>#N/A</v>
      </c>
      <c r="AN23" s="211" t="e">
        <f aca="false">IF($A24="","",AL23-AM23)</f>
        <v>#N/A</v>
      </c>
      <c r="AO23" s="137" t="n">
        <f aca="false">IF(A24="","",A24-A23)</f>
        <v>31</v>
      </c>
      <c r="AP23" s="212" t="n">
        <f aca="false">IF(A24="","",CHOOSE(F$3,A24+24,A23))</f>
        <v>37438</v>
      </c>
      <c r="AQ23" s="209" t="n">
        <f aca="false">IF(A24="","",AP23-$E$1)</f>
        <v>-8488</v>
      </c>
      <c r="AR23" s="185" t="n">
        <f aca="false">'ANR OK vs ML7'!AR23</f>
        <v>0.1</v>
      </c>
      <c r="AS23" s="213" t="n">
        <f aca="false">IF(A24="","",1/(1+CHOOSE(F$3,(AR24+($I$3/10000))/2,(AR23+($I$3/10000))/2))^(2*AQ23/365.25))</f>
        <v>9.65675137267963</v>
      </c>
      <c r="AT23" s="137" t="n">
        <f aca="false">IF(A24="","",IF(AND(mthbeg&lt;=A23,mthend&gt;=A23),1,0))</f>
        <v>1</v>
      </c>
      <c r="AU23" s="137" t="n">
        <f aca="false">IF(A24="","",AO23*AT23)</f>
        <v>31</v>
      </c>
      <c r="AW23" s="195" t="e">
        <f aca="false">IF($A24="","",AL23*$E23)</f>
        <v>#NAME?</v>
      </c>
      <c r="AX23" s="195" t="e">
        <f aca="false">IF($A24="","",AM23*$E23)</f>
        <v>#N/A</v>
      </c>
      <c r="AY23" s="195" t="e">
        <f aca="false">IF($A24="","",AN23*$E23)</f>
        <v>#N/A</v>
      </c>
      <c r="BA23" s="195" t="n">
        <f aca="false">IF($A24="","",F23*Summary!$Q$9)</f>
        <v>0</v>
      </c>
      <c r="BC23" s="179" t="e">
        <f aca="false">IF(A24="","",AM23*F23)</f>
        <v>#N/A</v>
      </c>
    </row>
    <row r="24" customFormat="false" ht="12.75" hidden="false" customHeight="false" outlineLevel="0" collapsed="false">
      <c r="A24" s="196" t="n">
        <f aca="false">IF(A23&lt;mthend,EDATE(A23,1),"")</f>
        <v>37469</v>
      </c>
      <c r="B24" s="197" t="n">
        <f aca="false">IF(A24&lt;mthend,B23,"")</f>
        <v>36050</v>
      </c>
      <c r="C24" s="215"/>
      <c r="D24" s="197" t="n">
        <f aca="false">IF(A25&lt;&gt;"",B24+C24,"")</f>
        <v>36050</v>
      </c>
      <c r="E24" s="199" t="n">
        <f aca="false">IF(A25="","",IF(AND(AT24=1,$H$3=1),D24*AO24,IF($H$3=2,D24,"N/A")))</f>
        <v>1117550</v>
      </c>
      <c r="F24" s="199" t="n">
        <f aca="false">IF(A25="","",E24*AS24)</f>
        <v>10702893.3593751</v>
      </c>
      <c r="G24" s="200" t="e">
        <f aca="false">IF($A25="","",VLOOKUP($A24,Table,MATCH(G$4,Curves,0)))</f>
        <v>#N/A</v>
      </c>
      <c r="H24" s="201" t="e">
        <f aca="false">IF(A25="","",G24)</f>
        <v>#N/A</v>
      </c>
      <c r="I24" s="202"/>
      <c r="J24" s="200" t="e">
        <f aca="false">IF($A25="","",VLOOKUP($A24,Table,MATCH(J$4,Curves,0)))</f>
        <v>#N/A</v>
      </c>
      <c r="K24" s="201" t="e">
        <f aca="false">IF(A25="","",J24)</f>
        <v>#N/A</v>
      </c>
      <c r="L24" s="200" t="e">
        <f aca="false">IF($A25="","",VLOOKUP($A24,Table,MATCH(L$4,Curves,0)))</f>
        <v>#N/A</v>
      </c>
      <c r="M24" s="201" t="e">
        <f aca="false">IF(A25="","",L24)</f>
        <v>#N/A</v>
      </c>
      <c r="N24" s="203"/>
      <c r="O24" s="200" t="e">
        <f aca="false">IF(A25="","",L24+J24+G24)</f>
        <v>#N/A</v>
      </c>
      <c r="P24" s="200" t="e">
        <f aca="false">IF(A25="","",M24+K24+H24)</f>
        <v>#N/A</v>
      </c>
      <c r="Q24" s="204"/>
      <c r="R24" s="200" t="e">
        <f aca="false">IF($A25="","",VLOOKUP($A24,Table,MATCH(R$4,Curves,0)))</f>
        <v>#N/A</v>
      </c>
      <c r="S24" s="201" t="e">
        <f aca="false">IF(A25="","",R24)</f>
        <v>#N/A</v>
      </c>
      <c r="T24" s="200" t="e">
        <f aca="false">IF($A25="","",VLOOKUP($A24,Table,MATCH(T$4,Curves,0)))</f>
        <v>#N/A</v>
      </c>
      <c r="U24" s="201" t="e">
        <f aca="false">IF(A25="","",T24)</f>
        <v>#N/A</v>
      </c>
      <c r="V24" s="225" t="e">
        <f aca="false">IF($A25="","",IF(AND(MONTH(A24)&gt;3,MONTH(A24)&lt;11),(T24+R24+G24)*Summary!$T$9/(1-Summary!$T$9),(T24+R24+G24)*Summary!$U$9/(1-Summary!$U$9)))</f>
        <v>#N/A</v>
      </c>
      <c r="W24" s="200" t="e">
        <f aca="false">IF($A25="","",(T24+R24+G24+V24))</f>
        <v>#N/A</v>
      </c>
      <c r="X24" s="200" t="e">
        <f aca="false">IF($A25="","",(U24+S24+H24+V24))</f>
        <v>#N/A</v>
      </c>
      <c r="Y24" s="202"/>
      <c r="Z24" s="185" t="e">
        <f aca="false">IF($A25="","",VLOOKUP($A24,Table,MATCH(Z$4,Curves,0)))</f>
        <v>#N/A</v>
      </c>
      <c r="AA24" s="185" t="e">
        <f aca="false">IF($A25="","",VLOOKUP($A24,Table,MATCH(AA$4,Curves,0)))</f>
        <v>#N/A</v>
      </c>
      <c r="AB24" s="185" t="e">
        <f aca="false">SQRT((AA24^2*(A24-$D$3)+Z24^2*(DAY(EOMONTH(A24,0))/2))/AK24)</f>
        <v>#N/A</v>
      </c>
      <c r="AC24" s="185" t="e">
        <f aca="false">IF($A25="","",VLOOKUP($A24,Table,MATCH(AC$4,Curves,0)))</f>
        <v>#N/A</v>
      </c>
      <c r="AD24" s="185" t="e">
        <f aca="false">IF($A25="","",VLOOKUP($A24,Table,MATCH(AD$4,Curves,0)))</f>
        <v>#N/A</v>
      </c>
      <c r="AE24" s="185" t="e">
        <f aca="false">SQRT((AD24^2*(A24-$D$3)+AC24^2*(DAY(EOMONTH(A24,0))/2))/AK24)</f>
        <v>#N/A</v>
      </c>
      <c r="AF24" s="224" t="e">
        <f aca="false">((Summary!$N$9*(AA24*AD24)*(A24-$D$3))+(Summary!$M$9*Z24*AC24*(AJ24-EOMONTH(EDATE(A24,-1),0))))/(AK24*AB24*AE24)</f>
        <v>#N/A</v>
      </c>
      <c r="AG24" s="207" t="n">
        <f aca="false">IF($A25="","",Summary!$Q$9)</f>
        <v>0</v>
      </c>
      <c r="AH24" s="207" t="n">
        <f aca="false">IF($A25="","",IF(Summary!$R$9="Y",VLOOKUP($A24,Summary!$AD$6:$AF$9,3)+'Escalating commodity'!E37,'Escalating commodity'!E37))</f>
        <v>0.0757</v>
      </c>
      <c r="AI24" s="207" t="n">
        <f aca="false">IF($A25="","",AH24)</f>
        <v>0.0757</v>
      </c>
      <c r="AJ24" s="208" t="n">
        <f aca="false">A24+DAY(EOMONTH(A24,0))/2-1</f>
        <v>37483.5</v>
      </c>
      <c r="AK24" s="209" t="n">
        <f aca="false">IF($A25="","",$A24-$E$1)</f>
        <v>-8457</v>
      </c>
      <c r="AL24" s="182" t="e">
        <f aca="false">IF($A25="","",SPRDOPT(P24,X24,AI24,0,AB24,AE24,AF24,AK24,$AJ$2,0))</f>
        <v>#NAME?</v>
      </c>
      <c r="AM24" s="211" t="e">
        <f aca="false">IF($A25="","",MAX(0,O24-W24-AI24))</f>
        <v>#N/A</v>
      </c>
      <c r="AN24" s="211" t="e">
        <f aca="false">IF($A25="","",AL24-AM24)</f>
        <v>#N/A</v>
      </c>
      <c r="AO24" s="137" t="n">
        <f aca="false">IF(A25="","",A25-A24)</f>
        <v>31</v>
      </c>
      <c r="AP24" s="212" t="n">
        <f aca="false">IF(A25="","",CHOOSE(F$3,A25+24,A24))</f>
        <v>37469</v>
      </c>
      <c r="AQ24" s="209" t="n">
        <f aca="false">IF(A25="","",AP24-$E$1)</f>
        <v>-8457</v>
      </c>
      <c r="AR24" s="185" t="n">
        <f aca="false">'ANR OK vs ML7'!AR24</f>
        <v>0.1</v>
      </c>
      <c r="AS24" s="213" t="n">
        <f aca="false">IF(A25="","",1/(1+CHOOSE(F$3,(AR25+($I$3/10000))/2,(AR24+($I$3/10000))/2))^(2*AQ24/365.25))</f>
        <v>9.57710470169126</v>
      </c>
      <c r="AT24" s="137" t="n">
        <f aca="false">IF(A25="","",IF(AND(mthbeg&lt;=A24,mthend&gt;=A24),1,0))</f>
        <v>1</v>
      </c>
      <c r="AU24" s="137" t="n">
        <f aca="false">IF(A25="","",AO24*AT24)</f>
        <v>31</v>
      </c>
      <c r="AW24" s="195" t="e">
        <f aca="false">IF($A25="","",AL24*$E24)</f>
        <v>#NAME?</v>
      </c>
      <c r="AX24" s="195" t="e">
        <f aca="false">IF($A25="","",AM24*$E24)</f>
        <v>#N/A</v>
      </c>
      <c r="AY24" s="195" t="e">
        <f aca="false">IF($A25="","",AN24*$E24)</f>
        <v>#N/A</v>
      </c>
      <c r="BA24" s="195" t="n">
        <f aca="false">IF($A25="","",F24*Summary!$Q$9)</f>
        <v>0</v>
      </c>
      <c r="BC24" s="179" t="e">
        <f aca="false">IF(A25="","",AM24*F24)</f>
        <v>#N/A</v>
      </c>
    </row>
    <row r="25" customFormat="false" ht="12.75" hidden="false" customHeight="false" outlineLevel="0" collapsed="false">
      <c r="A25" s="196" t="n">
        <f aca="false">IF(A24&lt;mthend,EDATE(A24,1),"")</f>
        <v>37500</v>
      </c>
      <c r="B25" s="197" t="n">
        <f aca="false">IF(A25&lt;mthend,B24,"")</f>
        <v>36050</v>
      </c>
      <c r="C25" s="215"/>
      <c r="D25" s="197" t="n">
        <f aca="false">IF(A26&lt;&gt;"",B25+C25,"")</f>
        <v>36050</v>
      </c>
      <c r="E25" s="199" t="n">
        <f aca="false">IF(A26="","",IF(AND(AT25=1,$H$3=1),D25*AO25,IF($H$3=2,D25,"N/A")))</f>
        <v>1081500</v>
      </c>
      <c r="F25" s="199" t="n">
        <f aca="false">IF(A26="","",E25*AS25)</f>
        <v>10272211.3056437</v>
      </c>
      <c r="G25" s="200" t="e">
        <f aca="false">IF($A26="","",VLOOKUP($A25,Table,MATCH(G$4,Curves,0)))</f>
        <v>#N/A</v>
      </c>
      <c r="H25" s="201" t="e">
        <f aca="false">IF(A26="","",G25)</f>
        <v>#N/A</v>
      </c>
      <c r="I25" s="202"/>
      <c r="J25" s="200" t="e">
        <f aca="false">IF($A26="","",VLOOKUP($A25,Table,MATCH(J$4,Curves,0)))</f>
        <v>#N/A</v>
      </c>
      <c r="K25" s="201" t="e">
        <f aca="false">IF(A26="","",J25)</f>
        <v>#N/A</v>
      </c>
      <c r="L25" s="200" t="e">
        <f aca="false">IF($A26="","",VLOOKUP($A25,Table,MATCH(L$4,Curves,0)))</f>
        <v>#N/A</v>
      </c>
      <c r="M25" s="201" t="e">
        <f aca="false">IF(A26="","",L25)</f>
        <v>#N/A</v>
      </c>
      <c r="N25" s="203"/>
      <c r="O25" s="200" t="e">
        <f aca="false">IF(A26="","",L25+J25+G25)</f>
        <v>#N/A</v>
      </c>
      <c r="P25" s="200" t="e">
        <f aca="false">IF(A26="","",M25+K25+H25)</f>
        <v>#N/A</v>
      </c>
      <c r="Q25" s="204"/>
      <c r="R25" s="200" t="e">
        <f aca="false">IF($A26="","",VLOOKUP($A25,Table,MATCH(R$4,Curves,0)))</f>
        <v>#N/A</v>
      </c>
      <c r="S25" s="201" t="e">
        <f aca="false">IF(A26="","",R25)</f>
        <v>#N/A</v>
      </c>
      <c r="T25" s="200" t="e">
        <f aca="false">IF($A26="","",VLOOKUP($A25,Table,MATCH(T$4,Curves,0)))</f>
        <v>#N/A</v>
      </c>
      <c r="U25" s="201" t="e">
        <f aca="false">IF(A26="","",T25)</f>
        <v>#N/A</v>
      </c>
      <c r="V25" s="225" t="e">
        <f aca="false">IF($A26="","",IF(AND(MONTH(A25)&gt;3,MONTH(A25)&lt;11),(T25+R25+G25)*Summary!$T$9/(1-Summary!$T$9),(T25+R25+G25)*Summary!$U$9/(1-Summary!$U$9)))</f>
        <v>#N/A</v>
      </c>
      <c r="W25" s="200" t="e">
        <f aca="false">IF($A26="","",(T25+R25+G25+V25))</f>
        <v>#N/A</v>
      </c>
      <c r="X25" s="200" t="e">
        <f aca="false">IF($A26="","",(U25+S25+H25+V25))</f>
        <v>#N/A</v>
      </c>
      <c r="Y25" s="202"/>
      <c r="Z25" s="185" t="e">
        <f aca="false">IF($A26="","",VLOOKUP($A25,Table,MATCH(Z$4,Curves,0)))</f>
        <v>#N/A</v>
      </c>
      <c r="AA25" s="185" t="e">
        <f aca="false">IF($A26="","",VLOOKUP($A25,Table,MATCH(AA$4,Curves,0)))</f>
        <v>#N/A</v>
      </c>
      <c r="AB25" s="185" t="e">
        <f aca="false">SQRT((AA25^2*(A25-$D$3)+Z25^2*(DAY(EOMONTH(A25,0))/2))/AK25)</f>
        <v>#N/A</v>
      </c>
      <c r="AC25" s="185" t="e">
        <f aca="false">IF($A26="","",VLOOKUP($A25,Table,MATCH(AC$4,Curves,0)))</f>
        <v>#N/A</v>
      </c>
      <c r="AD25" s="185" t="e">
        <f aca="false">IF($A26="","",VLOOKUP($A25,Table,MATCH(AD$4,Curves,0)))</f>
        <v>#N/A</v>
      </c>
      <c r="AE25" s="185" t="e">
        <f aca="false">SQRT((AD25^2*(A25-$D$3)+AC25^2*(DAY(EOMONTH(A25,0))/2))/AK25)</f>
        <v>#N/A</v>
      </c>
      <c r="AF25" s="224" t="e">
        <f aca="false">((Summary!$N$9*(AA25*AD25)*(A25-$D$3))+(Summary!$M$9*Z25*AC25*(AJ25-EOMONTH(EDATE(A25,-1),0))))/(AK25*AB25*AE25)</f>
        <v>#N/A</v>
      </c>
      <c r="AG25" s="207" t="n">
        <f aca="false">IF($A26="","",Summary!$Q$9)</f>
        <v>0</v>
      </c>
      <c r="AH25" s="207" t="n">
        <f aca="false">IF($A26="","",IF(Summary!$R$9="Y",VLOOKUP($A25,Summary!$AD$6:$AF$9,3)+'Escalating commodity'!E38,'Escalating commodity'!E38))</f>
        <v>0.0757</v>
      </c>
      <c r="AI25" s="207" t="n">
        <f aca="false">IF($A26="","",AH25)</f>
        <v>0.0757</v>
      </c>
      <c r="AJ25" s="208" t="n">
        <f aca="false">A25+DAY(EOMONTH(A25,0))/2-1</f>
        <v>37514</v>
      </c>
      <c r="AK25" s="209" t="n">
        <f aca="false">IF($A26="","",$A25-$E$1)</f>
        <v>-8426</v>
      </c>
      <c r="AL25" s="182" t="e">
        <f aca="false">IF($A26="","",SPRDOPT(P25,X25,AI25,0,AB25,AE25,AF25,AK25,$AJ$2,0))</f>
        <v>#NAME?</v>
      </c>
      <c r="AM25" s="211" t="e">
        <f aca="false">IF($A26="","",MAX(0,O25-W25-AI25))</f>
        <v>#N/A</v>
      </c>
      <c r="AN25" s="211" t="e">
        <f aca="false">IF($A26="","",AL25-AM25)</f>
        <v>#N/A</v>
      </c>
      <c r="AO25" s="137" t="n">
        <f aca="false">IF(A26="","",A26-A25)</f>
        <v>30</v>
      </c>
      <c r="AP25" s="212" t="n">
        <f aca="false">IF(A26="","",CHOOSE(F$3,A26+24,A25))</f>
        <v>37500</v>
      </c>
      <c r="AQ25" s="209" t="n">
        <f aca="false">IF(A26="","",AP25-$E$1)</f>
        <v>-8426</v>
      </c>
      <c r="AR25" s="185" t="n">
        <f aca="false">'ANR OK vs ML7'!AR25</f>
        <v>0.1</v>
      </c>
      <c r="AS25" s="213" t="n">
        <f aca="false">IF(A26="","",1/(1+CHOOSE(F$3,(AR26+($I$3/10000))/2,(AR25+($I$3/10000))/2))^(2*AQ25/365.25))</f>
        <v>9.49811493818189</v>
      </c>
      <c r="AT25" s="137" t="n">
        <f aca="false">IF(A26="","",IF(AND(mthbeg&lt;=A25,mthend&gt;=A25),1,0))</f>
        <v>1</v>
      </c>
      <c r="AU25" s="137" t="n">
        <f aca="false">IF(A26="","",AO25*AT25)</f>
        <v>30</v>
      </c>
      <c r="AW25" s="195" t="e">
        <f aca="false">IF($A26="","",AL25*$E25)</f>
        <v>#NAME?</v>
      </c>
      <c r="AX25" s="195" t="e">
        <f aca="false">IF($A26="","",AM25*$E25)</f>
        <v>#N/A</v>
      </c>
      <c r="AY25" s="195" t="e">
        <f aca="false">IF($A26="","",AN25*$E25)</f>
        <v>#N/A</v>
      </c>
      <c r="BA25" s="195" t="n">
        <f aca="false">IF($A26="","",F25*Summary!$Q$9)</f>
        <v>0</v>
      </c>
      <c r="BC25" s="179" t="e">
        <f aca="false">IF(A26="","",AM25*F25)</f>
        <v>#N/A</v>
      </c>
    </row>
    <row r="26" customFormat="false" ht="12.75" hidden="false" customHeight="false" outlineLevel="0" collapsed="false">
      <c r="A26" s="196" t="n">
        <f aca="false">IF(A25&lt;mthend,EDATE(A25,1),"")</f>
        <v>37530</v>
      </c>
      <c r="B26" s="197" t="n">
        <f aca="false">IF(A26&lt;mthend,B25,"")</f>
        <v>36050</v>
      </c>
      <c r="C26" s="215"/>
      <c r="D26" s="197" t="n">
        <f aca="false">IF(A27&lt;&gt;"",B26+C26,"")</f>
        <v>36050</v>
      </c>
      <c r="E26" s="199" t="n">
        <f aca="false">IF(A27="","",IF(AND(AT26=1,$H$3=1),D26*AO26,IF($H$3=2,D26,"N/A")))</f>
        <v>1117550</v>
      </c>
      <c r="F26" s="199" t="n">
        <f aca="false">IF(A27="","",E26*AS26)</f>
        <v>10529884.2030995</v>
      </c>
      <c r="G26" s="200" t="e">
        <f aca="false">IF($A27="","",VLOOKUP($A26,Table,MATCH(G$4,Curves,0)))</f>
        <v>#N/A</v>
      </c>
      <c r="H26" s="201" t="e">
        <f aca="false">IF(A27="","",G26)</f>
        <v>#N/A</v>
      </c>
      <c r="I26" s="202"/>
      <c r="J26" s="200" t="e">
        <f aca="false">IF($A27="","",VLOOKUP($A26,Table,MATCH(J$4,Curves,0)))</f>
        <v>#N/A</v>
      </c>
      <c r="K26" s="201" t="e">
        <f aca="false">IF(A27="","",J26)</f>
        <v>#N/A</v>
      </c>
      <c r="L26" s="200" t="e">
        <f aca="false">IF($A27="","",VLOOKUP($A26,Table,MATCH(L$4,Curves,0)))</f>
        <v>#N/A</v>
      </c>
      <c r="M26" s="201" t="e">
        <f aca="false">IF(A27="","",L26)</f>
        <v>#N/A</v>
      </c>
      <c r="N26" s="203"/>
      <c r="O26" s="200" t="e">
        <f aca="false">IF(A27="","",L26+J26+G26)</f>
        <v>#N/A</v>
      </c>
      <c r="P26" s="200" t="e">
        <f aca="false">IF(A27="","",M26+K26+H26)</f>
        <v>#N/A</v>
      </c>
      <c r="Q26" s="204"/>
      <c r="R26" s="200" t="e">
        <f aca="false">IF($A27="","",VLOOKUP($A26,Table,MATCH(R$4,Curves,0)))</f>
        <v>#N/A</v>
      </c>
      <c r="S26" s="201" t="e">
        <f aca="false">IF(A27="","",R26)</f>
        <v>#N/A</v>
      </c>
      <c r="T26" s="200" t="e">
        <f aca="false">IF($A27="","",VLOOKUP($A26,Table,MATCH(T$4,Curves,0)))</f>
        <v>#N/A</v>
      </c>
      <c r="U26" s="201" t="e">
        <f aca="false">IF(A27="","",T26)</f>
        <v>#N/A</v>
      </c>
      <c r="V26" s="225" t="e">
        <f aca="false">IF($A27="","",IF(AND(MONTH(A26)&gt;3,MONTH(A26)&lt;11),(T26+R26+G26)*Summary!$T$9/(1-Summary!$T$9),(T26+R26+G26)*Summary!$U$9/(1-Summary!$U$9)))</f>
        <v>#N/A</v>
      </c>
      <c r="W26" s="200" t="e">
        <f aca="false">IF($A27="","",(T26+R26+G26+V26))</f>
        <v>#N/A</v>
      </c>
      <c r="X26" s="200" t="e">
        <f aca="false">IF($A27="","",(U26+S26+H26+V26))</f>
        <v>#N/A</v>
      </c>
      <c r="Y26" s="202"/>
      <c r="Z26" s="185" t="e">
        <f aca="false">IF($A27="","",VLOOKUP($A26,Table,MATCH(Z$4,Curves,0)))</f>
        <v>#N/A</v>
      </c>
      <c r="AA26" s="185" t="e">
        <f aca="false">IF($A27="","",VLOOKUP($A26,Table,MATCH(AA$4,Curves,0)))</f>
        <v>#N/A</v>
      </c>
      <c r="AB26" s="185" t="e">
        <f aca="false">SQRT((AA26^2*(A26-$D$3)+Z26^2*(DAY(EOMONTH(A26,0))/2))/AK26)</f>
        <v>#N/A</v>
      </c>
      <c r="AC26" s="185" t="e">
        <f aca="false">IF($A27="","",VLOOKUP($A26,Table,MATCH(AC$4,Curves,0)))</f>
        <v>#N/A</v>
      </c>
      <c r="AD26" s="185" t="e">
        <f aca="false">IF($A27="","",VLOOKUP($A26,Table,MATCH(AD$4,Curves,0)))</f>
        <v>#N/A</v>
      </c>
      <c r="AE26" s="185" t="e">
        <f aca="false">SQRT((AD26^2*(A26-$D$3)+AC26^2*(DAY(EOMONTH(A26,0))/2))/AK26)</f>
        <v>#N/A</v>
      </c>
      <c r="AF26" s="224" t="e">
        <f aca="false">((Summary!$N$9*(AA26*AD26)*(A26-$D$3))+(Summary!$M$9*Z26*AC26*(AJ26-EOMONTH(EDATE(A26,-1),0))))/(AK26*AB26*AE26)</f>
        <v>#N/A</v>
      </c>
      <c r="AG26" s="207" t="n">
        <f aca="false">IF($A27="","",Summary!$Q$9)</f>
        <v>0</v>
      </c>
      <c r="AH26" s="207" t="n">
        <f aca="false">IF($A27="","",IF(Summary!$R$9="Y",VLOOKUP($A26,Summary!$AD$6:$AF$9,3)+'Escalating commodity'!E39,'Escalating commodity'!E39))</f>
        <v>0.0757</v>
      </c>
      <c r="AI26" s="207" t="n">
        <f aca="false">IF($A27="","",AH26)</f>
        <v>0.0757</v>
      </c>
      <c r="AJ26" s="208" t="n">
        <f aca="false">A26+DAY(EOMONTH(A26,0))/2-1</f>
        <v>37544.5</v>
      </c>
      <c r="AK26" s="209" t="n">
        <f aca="false">IF($A27="","",$A26-$E$1)</f>
        <v>-8396</v>
      </c>
      <c r="AL26" s="182" t="e">
        <f aca="false">IF($A27="","",SPRDOPT(P26,X26,AI26,0,AB26,AE26,AF26,AK26,$AJ$2,0))</f>
        <v>#NAME?</v>
      </c>
      <c r="AM26" s="211" t="e">
        <f aca="false">IF($A27="","",MAX(0,O26-W26-AI26))</f>
        <v>#N/A</v>
      </c>
      <c r="AN26" s="211" t="e">
        <f aca="false">IF($A27="","",AL26-AM26)</f>
        <v>#N/A</v>
      </c>
      <c r="AO26" s="137" t="n">
        <f aca="false">IF(A27="","",A27-A26)</f>
        <v>31</v>
      </c>
      <c r="AP26" s="212" t="n">
        <f aca="false">IF(A27="","",CHOOSE(F$3,A27+24,A26))</f>
        <v>37530</v>
      </c>
      <c r="AQ26" s="209" t="n">
        <f aca="false">IF(A27="","",AP26-$E$1)</f>
        <v>-8396</v>
      </c>
      <c r="AR26" s="185" t="n">
        <f aca="false">'ANR OK vs ML7'!AR26</f>
        <v>0.1</v>
      </c>
      <c r="AS26" s="213" t="n">
        <f aca="false">IF(A27="","",1/(1+CHOOSE(F$3,(AR27+($I$3/10000))/2,(AR26+($I$3/10000))/2))^(2*AQ26/365.25))</f>
        <v>9.42229359142726</v>
      </c>
      <c r="AT26" s="137" t="n">
        <f aca="false">IF(A27="","",IF(AND(mthbeg&lt;=A26,mthend&gt;=A26),1,0))</f>
        <v>1</v>
      </c>
      <c r="AU26" s="137" t="n">
        <f aca="false">IF(A27="","",AO26*AT26)</f>
        <v>31</v>
      </c>
      <c r="AW26" s="195" t="e">
        <f aca="false">IF($A27="","",AL26*$E26)</f>
        <v>#NAME?</v>
      </c>
      <c r="AX26" s="195" t="e">
        <f aca="false">IF($A27="","",AM26*$E26)</f>
        <v>#N/A</v>
      </c>
      <c r="AY26" s="195" t="e">
        <f aca="false">IF($A27="","",AN26*$E26)</f>
        <v>#N/A</v>
      </c>
      <c r="BA26" s="195" t="n">
        <f aca="false">IF($A27="","",F26*Summary!$Q$9)</f>
        <v>0</v>
      </c>
      <c r="BC26" s="179" t="e">
        <f aca="false">IF(A27="","",AM26*F26)</f>
        <v>#N/A</v>
      </c>
    </row>
    <row r="27" customFormat="false" ht="12.75" hidden="false" customHeight="false" outlineLevel="0" collapsed="false">
      <c r="A27" s="196" t="n">
        <f aca="false">IF(A26&lt;mthend,EDATE(A26,1),"")</f>
        <v>37561</v>
      </c>
      <c r="B27" s="197" t="n">
        <f aca="false">IF(A27&lt;mthend,B26,"")</f>
        <v>36050</v>
      </c>
      <c r="C27" s="215"/>
      <c r="D27" s="197" t="n">
        <f aca="false">IF(A28&lt;&gt;"",B27+C27,"")</f>
        <v>36050</v>
      </c>
      <c r="E27" s="199" t="n">
        <f aca="false">IF(A28="","",IF(AND(AT27=1,$H$3=1),D27*AO27,IF($H$3=2,D27,"N/A")))</f>
        <v>1081500</v>
      </c>
      <c r="F27" s="199" t="n">
        <f aca="false">IF(A28="","",E27*AS27)</f>
        <v>10106163.9994247</v>
      </c>
      <c r="G27" s="200" t="e">
        <f aca="false">IF($A28="","",VLOOKUP($A27,Table,MATCH(G$4,Curves,0)))</f>
        <v>#N/A</v>
      </c>
      <c r="H27" s="201" t="e">
        <f aca="false">IF(A28="","",G27)</f>
        <v>#N/A</v>
      </c>
      <c r="I27" s="202"/>
      <c r="J27" s="200" t="e">
        <f aca="false">IF($A28="","",VLOOKUP($A27,Table,MATCH(J$4,Curves,0)))</f>
        <v>#N/A</v>
      </c>
      <c r="K27" s="201" t="e">
        <f aca="false">IF(A28="","",J27)</f>
        <v>#N/A</v>
      </c>
      <c r="L27" s="200" t="e">
        <f aca="false">IF($A28="","",VLOOKUP($A27,Table,MATCH(L$4,Curves,0)))</f>
        <v>#N/A</v>
      </c>
      <c r="M27" s="201" t="e">
        <f aca="false">IF(A28="","",L27)</f>
        <v>#N/A</v>
      </c>
      <c r="N27" s="203"/>
      <c r="O27" s="200" t="e">
        <f aca="false">IF(A28="","",L27+J27+G27)</f>
        <v>#N/A</v>
      </c>
      <c r="P27" s="200" t="e">
        <f aca="false">IF(A28="","",M27+K27+H27)</f>
        <v>#N/A</v>
      </c>
      <c r="Q27" s="204"/>
      <c r="R27" s="200" t="e">
        <f aca="false">IF($A28="","",VLOOKUP($A27,Table,MATCH(R$4,Curves,0)))</f>
        <v>#N/A</v>
      </c>
      <c r="S27" s="201" t="e">
        <f aca="false">IF(A28="","",R27)</f>
        <v>#N/A</v>
      </c>
      <c r="T27" s="200" t="e">
        <f aca="false">IF($A28="","",VLOOKUP($A27,Table,MATCH(T$4,Curves,0)))</f>
        <v>#N/A</v>
      </c>
      <c r="U27" s="201" t="e">
        <f aca="false">IF(A28="","",T27)</f>
        <v>#N/A</v>
      </c>
      <c r="V27" s="225" t="e">
        <f aca="false">IF($A28="","",IF(AND(MONTH(A27)&gt;3,MONTH(A27)&lt;11),(T27+R27+G27)*Summary!$T$9/(1-Summary!$T$9),(T27+R27+G27)*Summary!$U$9/(1-Summary!$U$9)))</f>
        <v>#N/A</v>
      </c>
      <c r="W27" s="200" t="e">
        <f aca="false">IF($A28="","",(T27+R27+G27+V27))</f>
        <v>#N/A</v>
      </c>
      <c r="X27" s="200" t="e">
        <f aca="false">IF($A28="","",(U27+S27+H27+V27))</f>
        <v>#N/A</v>
      </c>
      <c r="Y27" s="202"/>
      <c r="Z27" s="185" t="e">
        <f aca="false">IF($A28="","",VLOOKUP($A27,Table,MATCH(Z$4,Curves,0)))</f>
        <v>#N/A</v>
      </c>
      <c r="AA27" s="185" t="e">
        <f aca="false">IF($A28="","",VLOOKUP($A27,Table,MATCH(AA$4,Curves,0)))</f>
        <v>#N/A</v>
      </c>
      <c r="AB27" s="185" t="e">
        <f aca="false">SQRT((AA27^2*(A27-$D$3)+Z27^2*(DAY(EOMONTH(A27,0))/2))/AK27)</f>
        <v>#N/A</v>
      </c>
      <c r="AC27" s="185" t="e">
        <f aca="false">IF($A28="","",VLOOKUP($A27,Table,MATCH(AC$4,Curves,0)))</f>
        <v>#N/A</v>
      </c>
      <c r="AD27" s="185" t="e">
        <f aca="false">IF($A28="","",VLOOKUP($A27,Table,MATCH(AD$4,Curves,0)))</f>
        <v>#N/A</v>
      </c>
      <c r="AE27" s="185" t="e">
        <f aca="false">SQRT((AD27^2*(A27-$D$3)+AC27^2*(DAY(EOMONTH(A27,0))/2))/AK27)</f>
        <v>#N/A</v>
      </c>
      <c r="AF27" s="224" t="e">
        <f aca="false">((Summary!$N$9*(AA27*AD27)*(A27-$D$3))+(Summary!$M$9*Z27*AC27*(AJ27-EOMONTH(EDATE(A27,-1),0))))/(AK27*AB27*AE27)</f>
        <v>#N/A</v>
      </c>
      <c r="AG27" s="207" t="n">
        <f aca="false">IF($A28="","",Summary!$Q$9)</f>
        <v>0</v>
      </c>
      <c r="AH27" s="207" t="n">
        <f aca="false">IF($A28="","",IF(Summary!$R$9="Y",VLOOKUP($A27,Summary!$AD$6:$AF$9,3)+'Escalating commodity'!E40,'Escalating commodity'!E40))</f>
        <v>0.0757</v>
      </c>
      <c r="AI27" s="207" t="n">
        <f aca="false">IF($A28="","",AH27)</f>
        <v>0.0757</v>
      </c>
      <c r="AJ27" s="208" t="n">
        <f aca="false">A27+DAY(EOMONTH(A27,0))/2-1</f>
        <v>37575</v>
      </c>
      <c r="AK27" s="209" t="n">
        <f aca="false">IF($A28="","",$A27-$E$1)</f>
        <v>-8365</v>
      </c>
      <c r="AL27" s="182" t="e">
        <f aca="false">IF($A28="","",SPRDOPT(P27,X27,AI27,0,AB27,AE27,AF27,AK27,$AJ$2,0))</f>
        <v>#NAME?</v>
      </c>
      <c r="AM27" s="211" t="e">
        <f aca="false">IF($A28="","",MAX(0,O27-W27-AI27))</f>
        <v>#N/A</v>
      </c>
      <c r="AN27" s="211" t="e">
        <f aca="false">IF($A28="","",AL27-AM27)</f>
        <v>#N/A</v>
      </c>
      <c r="AO27" s="137" t="n">
        <f aca="false">IF(A28="","",A28-A27)</f>
        <v>30</v>
      </c>
      <c r="AP27" s="212" t="n">
        <f aca="false">IF(A28="","",CHOOSE(F$3,A28+24,A27))</f>
        <v>37561</v>
      </c>
      <c r="AQ27" s="209" t="n">
        <f aca="false">IF(A28="","",AP27-$E$1)</f>
        <v>-8365</v>
      </c>
      <c r="AR27" s="185" t="n">
        <f aca="false">'ANR OK vs ML7'!AR27</f>
        <v>0.1</v>
      </c>
      <c r="AS27" s="213" t="n">
        <f aca="false">IF(A28="","",1/(1+CHOOSE(F$3,(AR28+($I$3/10000))/2,(AR27+($I$3/10000))/2))^(2*AQ27/365.25))</f>
        <v>9.34458067445651</v>
      </c>
      <c r="AT27" s="137" t="n">
        <f aca="false">IF(A28="","",IF(AND(mthbeg&lt;=A27,mthend&gt;=A27),1,0))</f>
        <v>1</v>
      </c>
      <c r="AU27" s="137" t="n">
        <f aca="false">IF(A28="","",AO27*AT27)</f>
        <v>30</v>
      </c>
      <c r="AW27" s="195" t="e">
        <f aca="false">IF($A28="","",AL27*$E27)</f>
        <v>#NAME?</v>
      </c>
      <c r="AX27" s="195" t="e">
        <f aca="false">IF($A28="","",AM27*$E27)</f>
        <v>#N/A</v>
      </c>
      <c r="AY27" s="195" t="e">
        <f aca="false">IF($A28="","",AN27*$E27)</f>
        <v>#N/A</v>
      </c>
      <c r="BA27" s="195" t="n">
        <f aca="false">IF($A28="","",F27*Summary!$Q$9)</f>
        <v>0</v>
      </c>
      <c r="BC27" s="179" t="e">
        <f aca="false">IF(A28="","",AM27*F27)</f>
        <v>#N/A</v>
      </c>
    </row>
    <row r="28" customFormat="false" ht="12.75" hidden="false" customHeight="false" outlineLevel="0" collapsed="false">
      <c r="A28" s="196" t="n">
        <f aca="false">IF(A27&lt;mthend,EDATE(A27,1),"")</f>
        <v>37591</v>
      </c>
      <c r="B28" s="197" t="n">
        <f aca="false">IF(A28&lt;mthend,B27,"")</f>
        <v>36050</v>
      </c>
      <c r="C28" s="215"/>
      <c r="D28" s="197" t="n">
        <f aca="false">IF(A29&lt;&gt;"",B28+C28,"")</f>
        <v>36050</v>
      </c>
      <c r="E28" s="199" t="n">
        <f aca="false">IF(A29="","",IF(AND(AT28=1,$H$3=1),D28*AO28,IF($H$3=2,D28,"N/A")))</f>
        <v>1117550</v>
      </c>
      <c r="F28" s="199" t="n">
        <f aca="false">IF(A29="","",E28*AS28)</f>
        <v>10359671.6894841</v>
      </c>
      <c r="G28" s="200" t="e">
        <f aca="false">IF($A29="","",VLOOKUP($A28,Table,MATCH(G$4,Curves,0)))</f>
        <v>#N/A</v>
      </c>
      <c r="H28" s="201" t="e">
        <f aca="false">IF(A29="","",G28)</f>
        <v>#N/A</v>
      </c>
      <c r="I28" s="202"/>
      <c r="J28" s="200" t="e">
        <f aca="false">IF($A29="","",VLOOKUP($A28,Table,MATCH(J$4,Curves,0)))</f>
        <v>#N/A</v>
      </c>
      <c r="K28" s="201" t="e">
        <f aca="false">IF(A29="","",J28)</f>
        <v>#N/A</v>
      </c>
      <c r="L28" s="200" t="e">
        <f aca="false">IF($A29="","",VLOOKUP($A28,Table,MATCH(L$4,Curves,0)))</f>
        <v>#N/A</v>
      </c>
      <c r="M28" s="201" t="e">
        <f aca="false">IF(A29="","",L28)</f>
        <v>#N/A</v>
      </c>
      <c r="N28" s="203"/>
      <c r="O28" s="200" t="e">
        <f aca="false">IF(A29="","",L28+J28+G28)</f>
        <v>#N/A</v>
      </c>
      <c r="P28" s="200" t="e">
        <f aca="false">IF(A29="","",M28+K28+H28)</f>
        <v>#N/A</v>
      </c>
      <c r="Q28" s="204"/>
      <c r="R28" s="200" t="e">
        <f aca="false">IF($A29="","",VLOOKUP($A28,Table,MATCH(R$4,Curves,0)))</f>
        <v>#N/A</v>
      </c>
      <c r="S28" s="201" t="e">
        <f aca="false">IF(A29="","",R28)</f>
        <v>#N/A</v>
      </c>
      <c r="T28" s="200" t="e">
        <f aca="false">IF($A29="","",VLOOKUP($A28,Table,MATCH(T$4,Curves,0)))</f>
        <v>#N/A</v>
      </c>
      <c r="U28" s="201" t="e">
        <f aca="false">IF(A29="","",T28)</f>
        <v>#N/A</v>
      </c>
      <c r="V28" s="225" t="e">
        <f aca="false">IF($A29="","",IF(AND(MONTH(A28)&gt;3,MONTH(A28)&lt;11),(T28+R28+G28)*Summary!$T$9/(1-Summary!$T$9),(T28+R28+G28)*Summary!$U$9/(1-Summary!$U$9)))</f>
        <v>#N/A</v>
      </c>
      <c r="W28" s="200" t="e">
        <f aca="false">IF($A29="","",(T28+R28+G28+V28))</f>
        <v>#N/A</v>
      </c>
      <c r="X28" s="200" t="e">
        <f aca="false">IF($A29="","",(U28+S28+H28+V28))</f>
        <v>#N/A</v>
      </c>
      <c r="Y28" s="202"/>
      <c r="Z28" s="185" t="e">
        <f aca="false">IF($A29="","",VLOOKUP($A28,Table,MATCH(Z$4,Curves,0)))</f>
        <v>#N/A</v>
      </c>
      <c r="AA28" s="185" t="e">
        <f aca="false">IF($A29="","",VLOOKUP($A28,Table,MATCH(AA$4,Curves,0)))</f>
        <v>#N/A</v>
      </c>
      <c r="AB28" s="185" t="e">
        <f aca="false">SQRT((AA28^2*(A28-$D$3)+Z28^2*(DAY(EOMONTH(A28,0))/2))/AK28)</f>
        <v>#N/A</v>
      </c>
      <c r="AC28" s="185" t="e">
        <f aca="false">IF($A29="","",VLOOKUP($A28,Table,MATCH(AC$4,Curves,0)))</f>
        <v>#N/A</v>
      </c>
      <c r="AD28" s="185" t="e">
        <f aca="false">IF($A29="","",VLOOKUP($A28,Table,MATCH(AD$4,Curves,0)))</f>
        <v>#N/A</v>
      </c>
      <c r="AE28" s="185" t="e">
        <f aca="false">SQRT((AD28^2*(A28-$D$3)+AC28^2*(DAY(EOMONTH(A28,0))/2))/AK28)</f>
        <v>#N/A</v>
      </c>
      <c r="AF28" s="224" t="e">
        <f aca="false">((Summary!$N$9*(AA28*AD28)*(A28-$D$3))+(Summary!$M$9*Z28*AC28*(AJ28-EOMONTH(EDATE(A28,-1),0))))/(AK28*AB28*AE28)</f>
        <v>#N/A</v>
      </c>
      <c r="AG28" s="207" t="n">
        <f aca="false">IF($A29="","",Summary!$Q$9)</f>
        <v>0</v>
      </c>
      <c r="AH28" s="207" t="n">
        <f aca="false">IF($A29="","",IF(Summary!$R$9="Y",VLOOKUP($A28,Summary!$AD$6:$AF$9,3)+'Escalating commodity'!E41,'Escalating commodity'!E41))</f>
        <v>0.0757</v>
      </c>
      <c r="AI28" s="207" t="n">
        <f aca="false">IF($A29="","",AH28)</f>
        <v>0.0757</v>
      </c>
      <c r="AJ28" s="208" t="n">
        <f aca="false">A28+DAY(EOMONTH(A28,0))/2-1</f>
        <v>37605.5</v>
      </c>
      <c r="AK28" s="209" t="n">
        <f aca="false">IF($A29="","",$A28-$E$1)</f>
        <v>-8335</v>
      </c>
      <c r="AL28" s="182" t="e">
        <f aca="false">IF($A29="","",SPRDOPT(P28,X28,AI28,0,AB28,AE28,AF28,AK28,$AJ$2,0))</f>
        <v>#NAME?</v>
      </c>
      <c r="AM28" s="211" t="e">
        <f aca="false">IF($A29="","",MAX(0,O28-W28-AI28))</f>
        <v>#N/A</v>
      </c>
      <c r="AN28" s="211" t="e">
        <f aca="false">IF($A29="","",AL28-AM28)</f>
        <v>#N/A</v>
      </c>
      <c r="AO28" s="137" t="n">
        <f aca="false">IF(A29="","",A29-A28)</f>
        <v>31</v>
      </c>
      <c r="AP28" s="212" t="n">
        <f aca="false">IF(A29="","",CHOOSE(F$3,A29+24,A28))</f>
        <v>37591</v>
      </c>
      <c r="AQ28" s="209" t="n">
        <f aca="false">IF(A29="","",AP28-$E$1)</f>
        <v>-8335</v>
      </c>
      <c r="AR28" s="185" t="n">
        <f aca="false">'ANR OK vs ML7'!AR28</f>
        <v>0.1</v>
      </c>
      <c r="AS28" s="213" t="n">
        <f aca="false">IF(A29="","",1/(1+CHOOSE(F$3,(AR29+($I$3/10000))/2,(AR28+($I$3/10000))/2))^(2*AQ28/365.25))</f>
        <v>9.26998495770576</v>
      </c>
      <c r="AT28" s="137" t="n">
        <f aca="false">IF(A29="","",IF(AND(mthbeg&lt;=A28,mthend&gt;=A28),1,0))</f>
        <v>1</v>
      </c>
      <c r="AU28" s="137" t="n">
        <f aca="false">IF(A29="","",AO28*AT28)</f>
        <v>31</v>
      </c>
      <c r="AW28" s="195" t="e">
        <f aca="false">IF($A29="","",AL28*$E28)</f>
        <v>#NAME?</v>
      </c>
      <c r="AX28" s="195" t="e">
        <f aca="false">IF($A29="","",AM28*$E28)</f>
        <v>#N/A</v>
      </c>
      <c r="AY28" s="195" t="e">
        <f aca="false">IF($A29="","",AN28*$E28)</f>
        <v>#N/A</v>
      </c>
      <c r="BA28" s="195" t="n">
        <f aca="false">IF($A29="","",F28*Summary!$Q$9)</f>
        <v>0</v>
      </c>
      <c r="BC28" s="179" t="e">
        <f aca="false">IF(A29="","",AM28*F28)</f>
        <v>#N/A</v>
      </c>
    </row>
    <row r="29" customFormat="false" ht="12.75" hidden="false" customHeight="false" outlineLevel="0" collapsed="false">
      <c r="A29" s="196" t="n">
        <f aca="false">IF(A28&lt;mthend,EDATE(A28,1),"")</f>
        <v>37622</v>
      </c>
      <c r="B29" s="197" t="n">
        <f aca="false">IF(A29&lt;mthend,B28,"")</f>
        <v>36050</v>
      </c>
      <c r="C29" s="215"/>
      <c r="D29" s="197" t="n">
        <f aca="false">IF(A30&lt;&gt;"",B29+C29,"")</f>
        <v>36050</v>
      </c>
      <c r="E29" s="199" t="n">
        <f aca="false">IF(A30="","",IF(AND(AT29=1,$H$3=1),D29*AO29,IF($H$3=2,D29,"N/A")))</f>
        <v>1117550</v>
      </c>
      <c r="F29" s="199" t="n">
        <f aca="false">IF(A30="","",E29*AS29)</f>
        <v>10274227.4929053</v>
      </c>
      <c r="G29" s="200" t="e">
        <f aca="false">IF($A30="","",VLOOKUP($A29,Table,MATCH(G$4,Curves,0)))</f>
        <v>#N/A</v>
      </c>
      <c r="H29" s="201" t="e">
        <f aca="false">IF(A30="","",G29)</f>
        <v>#N/A</v>
      </c>
      <c r="I29" s="202"/>
      <c r="J29" s="200" t="e">
        <f aca="false">IF($A30="","",VLOOKUP($A29,Table,MATCH(J$4,Curves,0)))</f>
        <v>#N/A</v>
      </c>
      <c r="K29" s="201" t="e">
        <f aca="false">IF(A30="","",J29)</f>
        <v>#N/A</v>
      </c>
      <c r="L29" s="200" t="e">
        <f aca="false">IF($A30="","",VLOOKUP($A29,Table,MATCH(L$4,Curves,0)))</f>
        <v>#N/A</v>
      </c>
      <c r="M29" s="201" t="e">
        <f aca="false">IF(A30="","",L29)</f>
        <v>#N/A</v>
      </c>
      <c r="N29" s="203"/>
      <c r="O29" s="200" t="e">
        <f aca="false">IF(A30="","",L29+J29+G29)</f>
        <v>#N/A</v>
      </c>
      <c r="P29" s="200" t="e">
        <f aca="false">IF(A30="","",M29+K29+H29)</f>
        <v>#N/A</v>
      </c>
      <c r="Q29" s="204"/>
      <c r="R29" s="200" t="e">
        <f aca="false">IF($A30="","",VLOOKUP($A29,Table,MATCH(R$4,Curves,0)))</f>
        <v>#N/A</v>
      </c>
      <c r="S29" s="201" t="e">
        <f aca="false">IF(A30="","",R29)</f>
        <v>#N/A</v>
      </c>
      <c r="T29" s="200" t="e">
        <f aca="false">IF($A30="","",VLOOKUP($A29,Table,MATCH(T$4,Curves,0)))</f>
        <v>#N/A</v>
      </c>
      <c r="U29" s="201" t="e">
        <f aca="false">IF(A30="","",T29)</f>
        <v>#N/A</v>
      </c>
      <c r="V29" s="225" t="e">
        <f aca="false">IF($A30="","",IF(AND(MONTH(A29)&gt;3,MONTH(A29)&lt;11),(T29+R29+G29)*Summary!$T$9/(1-Summary!$T$9),(T29+R29+G29)*Summary!$U$9/(1-Summary!$U$9)))</f>
        <v>#N/A</v>
      </c>
      <c r="W29" s="200" t="e">
        <f aca="false">IF($A30="","",(T29+R29+G29+V29))</f>
        <v>#N/A</v>
      </c>
      <c r="X29" s="200" t="e">
        <f aca="false">IF($A30="","",(U29+S29+H29+V29))</f>
        <v>#N/A</v>
      </c>
      <c r="Y29" s="202"/>
      <c r="Z29" s="185" t="e">
        <f aca="false">IF($A30="","",VLOOKUP($A29,Table,MATCH(Z$4,Curves,0)))</f>
        <v>#N/A</v>
      </c>
      <c r="AA29" s="185" t="e">
        <f aca="false">IF($A30="","",VLOOKUP($A29,Table,MATCH(AA$4,Curves,0)))</f>
        <v>#N/A</v>
      </c>
      <c r="AB29" s="185" t="e">
        <f aca="false">SQRT((AA29^2*(A29-$D$3)+Z29^2*(DAY(EOMONTH(A29,0))/2))/AK29)</f>
        <v>#N/A</v>
      </c>
      <c r="AC29" s="185" t="e">
        <f aca="false">IF($A30="","",VLOOKUP($A29,Table,MATCH(AC$4,Curves,0)))</f>
        <v>#N/A</v>
      </c>
      <c r="AD29" s="185" t="e">
        <f aca="false">IF($A30="","",VLOOKUP($A29,Table,MATCH(AD$4,Curves,0)))</f>
        <v>#N/A</v>
      </c>
      <c r="AE29" s="185" t="e">
        <f aca="false">SQRT((AD29^2*(A29-$D$3)+AC29^2*(DAY(EOMONTH(A29,0))/2))/AK29)</f>
        <v>#N/A</v>
      </c>
      <c r="AF29" s="224" t="e">
        <f aca="false">((Summary!$N$9*(AA29*AD29)*(A29-$D$3))+(Summary!$M$9*Z29*AC29*(AJ29-EOMONTH(EDATE(A29,-1),0))))/(AK29*AB29*AE29)</f>
        <v>#N/A</v>
      </c>
      <c r="AG29" s="207" t="n">
        <f aca="false">IF($A30="","",Summary!$Q$9)</f>
        <v>0</v>
      </c>
      <c r="AH29" s="207" t="n">
        <f aca="false">IF($A30="","",IF(Summary!$R$9="Y",VLOOKUP($A29,Summary!$AD$6:$AF$9,3)+'Escalating commodity'!E42,'Escalating commodity'!E42))</f>
        <v>0.0747</v>
      </c>
      <c r="AI29" s="207" t="n">
        <f aca="false">IF($A30="","",AH29)</f>
        <v>0.0747</v>
      </c>
      <c r="AJ29" s="208" t="n">
        <f aca="false">A29+DAY(EOMONTH(A29,0))/2-1</f>
        <v>37636.5</v>
      </c>
      <c r="AK29" s="209" t="n">
        <f aca="false">IF($A30="","",$A29-$E$1)</f>
        <v>-8304</v>
      </c>
      <c r="AL29" s="182" t="e">
        <f aca="false">IF($A30="","",SPRDOPT(P29,X29,AI29,0,AB29,AE29,AF29,AK29,$AJ$2,0))</f>
        <v>#NAME?</v>
      </c>
      <c r="AM29" s="211" t="e">
        <f aca="false">IF($A30="","",MAX(0,O29-W29-AI29))</f>
        <v>#N/A</v>
      </c>
      <c r="AN29" s="211" t="e">
        <f aca="false">IF($A30="","",AL29-AM29)</f>
        <v>#N/A</v>
      </c>
      <c r="AO29" s="137" t="n">
        <f aca="false">IF(A30="","",A30-A29)</f>
        <v>31</v>
      </c>
      <c r="AP29" s="212" t="n">
        <f aca="false">IF(A30="","",CHOOSE(F$3,A30+24,A29))</f>
        <v>37622</v>
      </c>
      <c r="AQ29" s="209" t="n">
        <f aca="false">IF(A30="","",AP29-$E$1)</f>
        <v>-8304</v>
      </c>
      <c r="AR29" s="185" t="n">
        <f aca="false">'ANR OK vs ML7'!AR29</f>
        <v>0.1</v>
      </c>
      <c r="AS29" s="213" t="n">
        <f aca="false">IF(A30="","",1/(1+CHOOSE(F$3,(AR30+($I$3/10000))/2,(AR29+($I$3/10000))/2))^(2*AQ29/365.25))</f>
        <v>9.19352824742094</v>
      </c>
      <c r="AT29" s="137" t="n">
        <f aca="false">IF(A30="","",IF(AND(mthbeg&lt;=A29,mthend&gt;=A29),1,0))</f>
        <v>1</v>
      </c>
      <c r="AU29" s="137" t="n">
        <f aca="false">IF(A30="","",AO29*AT29)</f>
        <v>31</v>
      </c>
      <c r="AW29" s="195" t="e">
        <f aca="false">IF($A30="","",AL29*$E29)</f>
        <v>#NAME?</v>
      </c>
      <c r="AX29" s="195" t="e">
        <f aca="false">IF($A30="","",AM29*$E29)</f>
        <v>#N/A</v>
      </c>
      <c r="AY29" s="195" t="e">
        <f aca="false">IF($A30="","",AN29*$E29)</f>
        <v>#N/A</v>
      </c>
      <c r="BA29" s="195" t="n">
        <f aca="false">IF($A30="","",F29*Summary!$Q$9)</f>
        <v>0</v>
      </c>
      <c r="BC29" s="179" t="e">
        <f aca="false">IF(A30="","",AM29*F29)</f>
        <v>#N/A</v>
      </c>
    </row>
    <row r="30" customFormat="false" ht="12.75" hidden="false" customHeight="false" outlineLevel="0" collapsed="false">
      <c r="A30" s="196" t="n">
        <f aca="false">IF(A29&lt;mthend,EDATE(A29,1),"")</f>
        <v>37653</v>
      </c>
      <c r="B30" s="197" t="n">
        <f aca="false">IF(A30&lt;mthend,B29,"")</f>
        <v>36050</v>
      </c>
      <c r="C30" s="215"/>
      <c r="D30" s="197" t="n">
        <f aca="false">IF(A31&lt;&gt;"",B30+C30,"")</f>
        <v>36050</v>
      </c>
      <c r="E30" s="199" t="n">
        <f aca="false">IF(A31="","",IF(AND(AT30=1,$H$3=1),D30*AO30,IF($H$3=2,D30,"N/A")))</f>
        <v>1009400</v>
      </c>
      <c r="F30" s="199" t="n">
        <f aca="false">IF(A31="","",E30*AS30)</f>
        <v>9203408.53461548</v>
      </c>
      <c r="G30" s="200" t="e">
        <f aca="false">IF($A31="","",VLOOKUP($A30,Table,MATCH(G$4,Curves,0)))</f>
        <v>#N/A</v>
      </c>
      <c r="H30" s="201" t="e">
        <f aca="false">IF(A31="","",G30)</f>
        <v>#N/A</v>
      </c>
      <c r="I30" s="202"/>
      <c r="J30" s="200" t="e">
        <f aca="false">IF($A31="","",VLOOKUP($A30,Table,MATCH(J$4,Curves,0)))</f>
        <v>#N/A</v>
      </c>
      <c r="K30" s="201" t="e">
        <f aca="false">IF(A31="","",J30)</f>
        <v>#N/A</v>
      </c>
      <c r="L30" s="200" t="e">
        <f aca="false">IF($A31="","",VLOOKUP($A30,Table,MATCH(L$4,Curves,0)))</f>
        <v>#N/A</v>
      </c>
      <c r="M30" s="201" t="e">
        <f aca="false">IF(A31="","",L30)</f>
        <v>#N/A</v>
      </c>
      <c r="N30" s="203"/>
      <c r="O30" s="200" t="e">
        <f aca="false">IF(A31="","",L30+J30+G30)</f>
        <v>#N/A</v>
      </c>
      <c r="P30" s="200" t="e">
        <f aca="false">IF(A31="","",M30+K30+H30)</f>
        <v>#N/A</v>
      </c>
      <c r="Q30" s="204"/>
      <c r="R30" s="200" t="e">
        <f aca="false">IF($A31="","",VLOOKUP($A30,Table,MATCH(R$4,Curves,0)))</f>
        <v>#N/A</v>
      </c>
      <c r="S30" s="201" t="e">
        <f aca="false">IF(A31="","",R30)</f>
        <v>#N/A</v>
      </c>
      <c r="T30" s="200" t="e">
        <f aca="false">IF($A31="","",VLOOKUP($A30,Table,MATCH(T$4,Curves,0)))</f>
        <v>#N/A</v>
      </c>
      <c r="U30" s="201" t="e">
        <f aca="false">IF(A31="","",T30)</f>
        <v>#N/A</v>
      </c>
      <c r="V30" s="225" t="e">
        <f aca="false">IF($A31="","",IF(AND(MONTH(A30)&gt;3,MONTH(A30)&lt;11),(T30+R30+G30)*Summary!$T$9/(1-Summary!$T$9),(T30+R30+G30)*Summary!$U$9/(1-Summary!$U$9)))</f>
        <v>#N/A</v>
      </c>
      <c r="W30" s="200" t="e">
        <f aca="false">IF($A31="","",(T30+R30+G30+V30))</f>
        <v>#N/A</v>
      </c>
      <c r="X30" s="200" t="e">
        <f aca="false">IF($A31="","",(U30+S30+H30+V30))</f>
        <v>#N/A</v>
      </c>
      <c r="Y30" s="202"/>
      <c r="Z30" s="185" t="e">
        <f aca="false">IF($A31="","",VLOOKUP($A30,Table,MATCH(Z$4,Curves,0)))</f>
        <v>#N/A</v>
      </c>
      <c r="AA30" s="185" t="e">
        <f aca="false">IF($A31="","",VLOOKUP($A30,Table,MATCH(AA$4,Curves,0)))</f>
        <v>#N/A</v>
      </c>
      <c r="AB30" s="185" t="e">
        <f aca="false">SQRT((AA30^2*(A30-$D$3)+Z30^2*(DAY(EOMONTH(A30,0))/2))/AK30)</f>
        <v>#N/A</v>
      </c>
      <c r="AC30" s="185" t="e">
        <f aca="false">IF($A31="","",VLOOKUP($A30,Table,MATCH(AC$4,Curves,0)))</f>
        <v>#N/A</v>
      </c>
      <c r="AD30" s="185" t="e">
        <f aca="false">IF($A31="","",VLOOKUP($A30,Table,MATCH(AD$4,Curves,0)))</f>
        <v>#N/A</v>
      </c>
      <c r="AE30" s="185" t="e">
        <f aca="false">SQRT((AD30^2*(A30-$D$3)+AC30^2*(DAY(EOMONTH(A30,0))/2))/AK30)</f>
        <v>#N/A</v>
      </c>
      <c r="AF30" s="224" t="e">
        <f aca="false">((Summary!$N$9*(AA30*AD30)*(A30-$D$3))+(Summary!$M$9*Z30*AC30*(AJ30-EOMONTH(EDATE(A30,-1),0))))/(AK30*AB30*AE30)</f>
        <v>#N/A</v>
      </c>
      <c r="AG30" s="207" t="n">
        <f aca="false">IF($A31="","",Summary!$Q$9)</f>
        <v>0</v>
      </c>
      <c r="AH30" s="207" t="n">
        <f aca="false">IF($A31="","",IF(Summary!$R$9="Y",VLOOKUP($A30,Summary!$AD$6:$AF$9,3)+'Escalating commodity'!E43,'Escalating commodity'!E43))</f>
        <v>0.0747</v>
      </c>
      <c r="AI30" s="207" t="n">
        <f aca="false">IF($A31="","",AH30)</f>
        <v>0.0747</v>
      </c>
      <c r="AJ30" s="208" t="n">
        <f aca="false">A30+DAY(EOMONTH(A30,0))/2-1</f>
        <v>37666</v>
      </c>
      <c r="AK30" s="209" t="n">
        <f aca="false">IF($A31="","",$A30-$E$1)</f>
        <v>-8273</v>
      </c>
      <c r="AL30" s="182" t="e">
        <f aca="false">IF($A31="","",SPRDOPT(P30,X30,AI30,0,AB30,AE30,AF30,AK30,$AJ$2,0))</f>
        <v>#NAME?</v>
      </c>
      <c r="AM30" s="211" t="e">
        <f aca="false">IF($A31="","",MAX(0,O30-W30-AI30))</f>
        <v>#N/A</v>
      </c>
      <c r="AN30" s="211" t="e">
        <f aca="false">IF($A31="","",AL30-AM30)</f>
        <v>#N/A</v>
      </c>
      <c r="AO30" s="137" t="n">
        <f aca="false">IF(A31="","",A31-A30)</f>
        <v>28</v>
      </c>
      <c r="AP30" s="212" t="n">
        <f aca="false">IF(A31="","",CHOOSE(F$3,A31+24,A30))</f>
        <v>37653</v>
      </c>
      <c r="AQ30" s="209" t="n">
        <f aca="false">IF(A31="","",AP30-$E$1)</f>
        <v>-8273</v>
      </c>
      <c r="AR30" s="185" t="n">
        <f aca="false">'ANR OK vs ML7'!AR30</f>
        <v>0.1</v>
      </c>
      <c r="AS30" s="213" t="n">
        <f aca="false">IF(A31="","",1/(1+CHOOSE(F$3,(AR31+($I$3/10000))/2,(AR30+($I$3/10000))/2))^(2*AQ30/365.25))</f>
        <v>9.11770213455071</v>
      </c>
      <c r="AT30" s="137" t="n">
        <f aca="false">IF(A31="","",IF(AND(mthbeg&lt;=A30,mthend&gt;=A30),1,0))</f>
        <v>1</v>
      </c>
      <c r="AU30" s="137" t="n">
        <f aca="false">IF(A31="","",AO30*AT30)</f>
        <v>28</v>
      </c>
      <c r="AW30" s="195" t="e">
        <f aca="false">IF($A31="","",AL30*$E30)</f>
        <v>#NAME?</v>
      </c>
      <c r="AX30" s="195" t="e">
        <f aca="false">IF($A31="","",AM30*$E30)</f>
        <v>#N/A</v>
      </c>
      <c r="AY30" s="195" t="e">
        <f aca="false">IF($A31="","",AN30*$E30)</f>
        <v>#N/A</v>
      </c>
      <c r="BA30" s="195" t="n">
        <f aca="false">IF($A31="","",F30*Summary!$Q$9)</f>
        <v>0</v>
      </c>
      <c r="BC30" s="179" t="e">
        <f aca="false">IF(A31="","",AM30*F30)</f>
        <v>#N/A</v>
      </c>
    </row>
    <row r="31" customFormat="false" ht="12.75" hidden="false" customHeight="false" outlineLevel="0" collapsed="false">
      <c r="A31" s="196" t="n">
        <f aca="false">IF(A30&lt;mthend,EDATE(A30,1),"")</f>
        <v>37681</v>
      </c>
      <c r="B31" s="197" t="n">
        <f aca="false">IF(A31&lt;mthend,B30,"")</f>
        <v>36050</v>
      </c>
      <c r="C31" s="215"/>
      <c r="D31" s="197" t="n">
        <f aca="false">IF(A32&lt;&gt;"",B31+C31,"")</f>
        <v>36050</v>
      </c>
      <c r="E31" s="199" t="n">
        <f aca="false">IF(A32="","",IF(AND(AT31=1,$H$3=1),D31*AO31,IF($H$3=2,D31,"N/A")))</f>
        <v>1117550</v>
      </c>
      <c r="F31" s="199" t="n">
        <f aca="false">IF(A32="","",E31*AS31)</f>
        <v>10113550.0318746</v>
      </c>
      <c r="G31" s="200" t="e">
        <f aca="false">IF($A32="","",VLOOKUP($A31,Table,MATCH(G$4,Curves,0)))</f>
        <v>#N/A</v>
      </c>
      <c r="H31" s="201" t="e">
        <f aca="false">IF(A32="","",G31)</f>
        <v>#N/A</v>
      </c>
      <c r="I31" s="202"/>
      <c r="J31" s="200" t="e">
        <f aca="false">IF($A32="","",VLOOKUP($A31,Table,MATCH(J$4,Curves,0)))</f>
        <v>#N/A</v>
      </c>
      <c r="K31" s="201" t="e">
        <f aca="false">IF(A32="","",J31)</f>
        <v>#N/A</v>
      </c>
      <c r="L31" s="200" t="e">
        <f aca="false">IF($A32="","",VLOOKUP($A31,Table,MATCH(L$4,Curves,0)))</f>
        <v>#N/A</v>
      </c>
      <c r="M31" s="201" t="e">
        <f aca="false">IF(A32="","",L31)</f>
        <v>#N/A</v>
      </c>
      <c r="N31" s="203"/>
      <c r="O31" s="200" t="e">
        <f aca="false">IF(A32="","",L31+J31+G31)</f>
        <v>#N/A</v>
      </c>
      <c r="P31" s="200" t="e">
        <f aca="false">IF(A32="","",M31+K31+H31)</f>
        <v>#N/A</v>
      </c>
      <c r="Q31" s="204"/>
      <c r="R31" s="200" t="e">
        <f aca="false">IF($A32="","",VLOOKUP($A31,Table,MATCH(R$4,Curves,0)))</f>
        <v>#N/A</v>
      </c>
      <c r="S31" s="201" t="e">
        <f aca="false">IF(A32="","",R31)</f>
        <v>#N/A</v>
      </c>
      <c r="T31" s="200" t="e">
        <f aca="false">IF($A32="","",VLOOKUP($A31,Table,MATCH(T$4,Curves,0)))</f>
        <v>#N/A</v>
      </c>
      <c r="U31" s="201" t="e">
        <f aca="false">IF(A32="","",T31)</f>
        <v>#N/A</v>
      </c>
      <c r="V31" s="225" t="e">
        <f aca="false">IF($A32="","",IF(AND(MONTH(A31)&gt;3,MONTH(A31)&lt;11),(T31+R31+G31)*Summary!$T$9/(1-Summary!$T$9),(T31+R31+G31)*Summary!$U$9/(1-Summary!$U$9)))</f>
        <v>#N/A</v>
      </c>
      <c r="W31" s="200" t="e">
        <f aca="false">IF($A32="","",(T31+R31+G31+V31))</f>
        <v>#N/A</v>
      </c>
      <c r="X31" s="200" t="e">
        <f aca="false">IF($A32="","",(U31+S31+H31+V31))</f>
        <v>#N/A</v>
      </c>
      <c r="Y31" s="202"/>
      <c r="Z31" s="185" t="e">
        <f aca="false">IF($A32="","",VLOOKUP($A31,Table,MATCH(Z$4,Curves,0)))</f>
        <v>#N/A</v>
      </c>
      <c r="AA31" s="185" t="e">
        <f aca="false">IF($A32="","",VLOOKUP($A31,Table,MATCH(AA$4,Curves,0)))</f>
        <v>#N/A</v>
      </c>
      <c r="AB31" s="185" t="e">
        <f aca="false">SQRT((AA31^2*(A31-$D$3)+Z31^2*(DAY(EOMONTH(A31,0))/2))/AK31)</f>
        <v>#N/A</v>
      </c>
      <c r="AC31" s="185" t="e">
        <f aca="false">IF($A32="","",VLOOKUP($A31,Table,MATCH(AC$4,Curves,0)))</f>
        <v>#N/A</v>
      </c>
      <c r="AD31" s="185" t="e">
        <f aca="false">IF($A32="","",VLOOKUP($A31,Table,MATCH(AD$4,Curves,0)))</f>
        <v>#N/A</v>
      </c>
      <c r="AE31" s="185" t="e">
        <f aca="false">SQRT((AD31^2*(A31-$D$3)+AC31^2*(DAY(EOMONTH(A31,0))/2))/AK31)</f>
        <v>#N/A</v>
      </c>
      <c r="AF31" s="224" t="e">
        <f aca="false">((Summary!$N$9*(AA31*AD31)*(A31-$D$3))+(Summary!$M$9*Z31*AC31*(AJ31-EOMONTH(EDATE(A31,-1),0))))/(AK31*AB31*AE31)</f>
        <v>#N/A</v>
      </c>
      <c r="AG31" s="207" t="n">
        <f aca="false">IF($A32="","",Summary!$Q$9)</f>
        <v>0</v>
      </c>
      <c r="AH31" s="207" t="n">
        <f aca="false">IF($A32="","",IF(Summary!$R$9="Y",VLOOKUP($A31,Summary!$AD$6:$AF$9,3)+'Escalating commodity'!E44,'Escalating commodity'!E44))</f>
        <v>0.0747</v>
      </c>
      <c r="AI31" s="207" t="n">
        <f aca="false">IF($A32="","",AH31)</f>
        <v>0.0747</v>
      </c>
      <c r="AJ31" s="208" t="n">
        <f aca="false">A31+DAY(EOMONTH(A31,0))/2-1</f>
        <v>37695.5</v>
      </c>
      <c r="AK31" s="209" t="n">
        <f aca="false">IF($A32="","",$A31-$E$1)</f>
        <v>-8245</v>
      </c>
      <c r="AL31" s="182" t="e">
        <f aca="false">IF($A32="","",SPRDOPT(P31,X31,AI31,0,AB31,AE31,AF31,AK31,$AJ$2,0))</f>
        <v>#NAME?</v>
      </c>
      <c r="AM31" s="211" t="e">
        <f aca="false">IF($A32="","",MAX(0,O31-W31-AI31))</f>
        <v>#N/A</v>
      </c>
      <c r="AN31" s="211" t="e">
        <f aca="false">IF($A32="","",AL31-AM31)</f>
        <v>#N/A</v>
      </c>
      <c r="AO31" s="137" t="n">
        <f aca="false">IF(A32="","",A32-A31)</f>
        <v>31</v>
      </c>
      <c r="AP31" s="212" t="n">
        <f aca="false">IF(A32="","",CHOOSE(F$3,A32+24,A31))</f>
        <v>37681</v>
      </c>
      <c r="AQ31" s="209" t="n">
        <f aca="false">IF(A32="","",AP31-$E$1)</f>
        <v>-8245</v>
      </c>
      <c r="AR31" s="185" t="n">
        <f aca="false">'ANR OK vs ML7'!AR31</f>
        <v>0.1</v>
      </c>
      <c r="AS31" s="213" t="n">
        <f aca="false">IF(A32="","",1/(1+CHOOSE(F$3,(AR32+($I$3/10000))/2,(AR31+($I$3/10000))/2))^(2*AQ31/365.25))</f>
        <v>9.0497517174843</v>
      </c>
      <c r="AT31" s="137" t="n">
        <f aca="false">IF(A32="","",IF(AND(mthbeg&lt;=A31,mthend&gt;=A31),1,0))</f>
        <v>1</v>
      </c>
      <c r="AU31" s="137" t="n">
        <f aca="false">IF(A32="","",AO31*AT31)</f>
        <v>31</v>
      </c>
      <c r="AW31" s="195" t="e">
        <f aca="false">IF($A32="","",AL31*$E31)</f>
        <v>#NAME?</v>
      </c>
      <c r="AX31" s="195" t="e">
        <f aca="false">IF($A32="","",AM31*$E31)</f>
        <v>#N/A</v>
      </c>
      <c r="AY31" s="195" t="e">
        <f aca="false">IF($A32="","",AN31*$E31)</f>
        <v>#N/A</v>
      </c>
      <c r="BA31" s="195" t="n">
        <f aca="false">IF($A32="","",F31*Summary!$Q$9)</f>
        <v>0</v>
      </c>
      <c r="BC31" s="179" t="e">
        <f aca="false">IF(A32="","",AM31*F31)</f>
        <v>#N/A</v>
      </c>
    </row>
    <row r="32" customFormat="false" ht="12.75" hidden="false" customHeight="false" outlineLevel="0" collapsed="false">
      <c r="A32" s="196" t="n">
        <f aca="false">IF(A31&lt;mthend,EDATE(A31,1),"")</f>
        <v>37712</v>
      </c>
      <c r="B32" s="197" t="n">
        <f aca="false">IF(A32&lt;mthend,B31,"")</f>
        <v>36050</v>
      </c>
      <c r="C32" s="215"/>
      <c r="D32" s="197" t="n">
        <f aca="false">IF(A33&lt;&gt;"",B32+C32,"")</f>
        <v>36050</v>
      </c>
      <c r="E32" s="199" t="n">
        <f aca="false">IF(A33="","",IF(AND(AT32=1,$H$3=1),D32*AO32,IF($H$3=2,D32,"N/A")))</f>
        <v>1081500</v>
      </c>
      <c r="F32" s="199" t="n">
        <f aca="false">IF(A33="","",E32*AS32)</f>
        <v>9706583.02286227</v>
      </c>
      <c r="G32" s="200" t="e">
        <f aca="false">IF($A33="","",VLOOKUP($A32,Table,MATCH(G$4,Curves,0)))</f>
        <v>#N/A</v>
      </c>
      <c r="H32" s="201" t="e">
        <f aca="false">IF(A33="","",G32)</f>
        <v>#N/A</v>
      </c>
      <c r="I32" s="202"/>
      <c r="J32" s="200" t="e">
        <f aca="false">IF($A33="","",VLOOKUP($A32,Table,MATCH(J$4,Curves,0)))</f>
        <v>#N/A</v>
      </c>
      <c r="K32" s="201" t="e">
        <f aca="false">IF(A33="","",J32)</f>
        <v>#N/A</v>
      </c>
      <c r="L32" s="200" t="e">
        <f aca="false">IF($A33="","",VLOOKUP($A32,Table,MATCH(L$4,Curves,0)))</f>
        <v>#N/A</v>
      </c>
      <c r="M32" s="201" t="e">
        <f aca="false">IF(A33="","",L32)</f>
        <v>#N/A</v>
      </c>
      <c r="N32" s="203"/>
      <c r="O32" s="200" t="e">
        <f aca="false">IF(A33="","",L32+J32+G32)</f>
        <v>#N/A</v>
      </c>
      <c r="P32" s="200" t="e">
        <f aca="false">IF(A33="","",M32+K32+H32)</f>
        <v>#N/A</v>
      </c>
      <c r="Q32" s="204"/>
      <c r="R32" s="200" t="e">
        <f aca="false">IF($A33="","",VLOOKUP($A32,Table,MATCH(R$4,Curves,0)))</f>
        <v>#N/A</v>
      </c>
      <c r="S32" s="201" t="e">
        <f aca="false">IF(A33="","",R32)</f>
        <v>#N/A</v>
      </c>
      <c r="T32" s="200" t="e">
        <f aca="false">IF($A33="","",VLOOKUP($A32,Table,MATCH(T$4,Curves,0)))</f>
        <v>#N/A</v>
      </c>
      <c r="U32" s="201" t="e">
        <f aca="false">IF(A33="","",T32)</f>
        <v>#N/A</v>
      </c>
      <c r="V32" s="225" t="e">
        <f aca="false">IF($A33="","",IF(AND(MONTH(A32)&gt;3,MONTH(A32)&lt;11),(T32+R32+G32)*Summary!$T$9/(1-Summary!$T$9),(T32+R32+G32)*Summary!$U$9/(1-Summary!$U$9)))</f>
        <v>#N/A</v>
      </c>
      <c r="W32" s="200" t="e">
        <f aca="false">IF($A33="","",(T32+R32+G32+V32))</f>
        <v>#N/A</v>
      </c>
      <c r="X32" s="200" t="e">
        <f aca="false">IF($A33="","",(U32+S32+H32+V32))</f>
        <v>#N/A</v>
      </c>
      <c r="Y32" s="202"/>
      <c r="Z32" s="185" t="e">
        <f aca="false">IF($A33="","",VLOOKUP($A32,Table,MATCH(Z$4,Curves,0)))</f>
        <v>#N/A</v>
      </c>
      <c r="AA32" s="185" t="e">
        <f aca="false">IF($A33="","",VLOOKUP($A32,Table,MATCH(AA$4,Curves,0)))</f>
        <v>#N/A</v>
      </c>
      <c r="AB32" s="185" t="e">
        <f aca="false">SQRT((AA32^2*(A32-$D$3)+Z32^2*(DAY(EOMONTH(A32,0))/2))/AK32)</f>
        <v>#N/A</v>
      </c>
      <c r="AC32" s="185" t="e">
        <f aca="false">IF($A33="","",VLOOKUP($A32,Table,MATCH(AC$4,Curves,0)))</f>
        <v>#N/A</v>
      </c>
      <c r="AD32" s="185" t="e">
        <f aca="false">IF($A33="","",VLOOKUP($A32,Table,MATCH(AD$4,Curves,0)))</f>
        <v>#N/A</v>
      </c>
      <c r="AE32" s="185" t="e">
        <f aca="false">SQRT((AD32^2*(A32-$D$3)+AC32^2*(DAY(EOMONTH(A32,0))/2))/AK32)</f>
        <v>#N/A</v>
      </c>
      <c r="AF32" s="224" t="e">
        <f aca="false">((Summary!$N$9*(AA32*AD32)*(A32-$D$3))+(Summary!$M$9*Z32*AC32*(AJ32-EOMONTH(EDATE(A32,-1),0))))/(AK32*AB32*AE32)</f>
        <v>#N/A</v>
      </c>
      <c r="AG32" s="207" t="n">
        <f aca="false">IF($A33="","",Summary!$Q$9)</f>
        <v>0</v>
      </c>
      <c r="AH32" s="207" t="n">
        <f aca="false">IF($A33="","",IF(Summary!$R$9="Y",VLOOKUP($A32,Summary!$AD$6:$AF$9,3)+'Escalating commodity'!E45,'Escalating commodity'!E45))</f>
        <v>0.0747</v>
      </c>
      <c r="AI32" s="207" t="n">
        <f aca="false">IF($A33="","",AH32)</f>
        <v>0.0747</v>
      </c>
      <c r="AJ32" s="208" t="n">
        <f aca="false">A32+DAY(EOMONTH(A32,0))/2-1</f>
        <v>37726</v>
      </c>
      <c r="AK32" s="209" t="n">
        <f aca="false">IF($A33="","",$A32-$E$1)</f>
        <v>-8214</v>
      </c>
      <c r="AL32" s="182" t="e">
        <f aca="false">IF($A33="","",SPRDOPT(P32,X32,AI32,0,AB32,AE32,AF32,AK32,$AJ$2,0))</f>
        <v>#NAME?</v>
      </c>
      <c r="AM32" s="211" t="e">
        <f aca="false">IF($A33="","",MAX(0,O32-W32-AI32))</f>
        <v>#N/A</v>
      </c>
      <c r="AN32" s="211" t="e">
        <f aca="false">IF($A33="","",AL32-AM32)</f>
        <v>#N/A</v>
      </c>
      <c r="AO32" s="137" t="n">
        <f aca="false">IF(A33="","",A33-A32)</f>
        <v>30</v>
      </c>
      <c r="AP32" s="212" t="n">
        <f aca="false">IF(A33="","",CHOOSE(F$3,A33+24,A32))</f>
        <v>37712</v>
      </c>
      <c r="AQ32" s="209" t="n">
        <f aca="false">IF(A33="","",AP32-$E$1)</f>
        <v>-8214</v>
      </c>
      <c r="AR32" s="185" t="n">
        <f aca="false">'ANR OK vs ML7'!AR32</f>
        <v>0.1</v>
      </c>
      <c r="AS32" s="213" t="n">
        <f aca="false">IF(A33="","",1/(1+CHOOSE(F$3,(AR33+($I$3/10000))/2,(AR32+($I$3/10000))/2))^(2*AQ32/365.25))</f>
        <v>8.97511144046442</v>
      </c>
      <c r="AT32" s="137" t="n">
        <f aca="false">IF(A33="","",IF(AND(mthbeg&lt;=A32,mthend&gt;=A32),1,0))</f>
        <v>1</v>
      </c>
      <c r="AU32" s="137" t="n">
        <f aca="false">IF(A33="","",AO32*AT32)</f>
        <v>30</v>
      </c>
      <c r="AW32" s="195" t="e">
        <f aca="false">IF($A33="","",AL32*$E32)</f>
        <v>#NAME?</v>
      </c>
      <c r="AX32" s="195" t="e">
        <f aca="false">IF($A33="","",AM32*$E32)</f>
        <v>#N/A</v>
      </c>
      <c r="AY32" s="195" t="e">
        <f aca="false">IF($A33="","",AN32*$E32)</f>
        <v>#N/A</v>
      </c>
      <c r="BA32" s="195" t="n">
        <f aca="false">IF($A33="","",F32*Summary!$Q$9)</f>
        <v>0</v>
      </c>
      <c r="BC32" s="179" t="e">
        <f aca="false">IF(A33="","",AM32*F32)</f>
        <v>#N/A</v>
      </c>
    </row>
    <row r="33" customFormat="false" ht="12.75" hidden="false" customHeight="false" outlineLevel="0" collapsed="false">
      <c r="A33" s="196" t="n">
        <f aca="false">IF(A32&lt;mthend,EDATE(A32,1),"")</f>
        <v>37742</v>
      </c>
      <c r="B33" s="197" t="n">
        <f aca="false">IF(A33&lt;mthend,B32,"")</f>
        <v>36050</v>
      </c>
      <c r="C33" s="215"/>
      <c r="D33" s="197" t="n">
        <f aca="false">IF(A34&lt;&gt;"",B33+C33,"")</f>
        <v>36050</v>
      </c>
      <c r="E33" s="199" t="n">
        <f aca="false">IF(A34="","",IF(AND(AT33=1,$H$3=1),D33*AO33,IF($H$3=2,D33,"N/A")))</f>
        <v>1117550</v>
      </c>
      <c r="F33" s="199" t="n">
        <f aca="false">IF(A34="","",E33*AS33)</f>
        <v>9950067.43897064</v>
      </c>
      <c r="G33" s="200" t="e">
        <f aca="false">IF($A34="","",VLOOKUP($A33,Table,MATCH(G$4,Curves,0)))</f>
        <v>#N/A</v>
      </c>
      <c r="H33" s="201" t="e">
        <f aca="false">IF(A34="","",G33)</f>
        <v>#N/A</v>
      </c>
      <c r="I33" s="202"/>
      <c r="J33" s="200" t="e">
        <f aca="false">IF($A34="","",VLOOKUP($A33,Table,MATCH(J$4,Curves,0)))</f>
        <v>#N/A</v>
      </c>
      <c r="K33" s="201" t="e">
        <f aca="false">IF(A34="","",J33)</f>
        <v>#N/A</v>
      </c>
      <c r="L33" s="200" t="e">
        <f aca="false">IF($A34="","",VLOOKUP($A33,Table,MATCH(L$4,Curves,0)))</f>
        <v>#N/A</v>
      </c>
      <c r="M33" s="201" t="e">
        <f aca="false">IF(A34="","",L33)</f>
        <v>#N/A</v>
      </c>
      <c r="N33" s="203"/>
      <c r="O33" s="200" t="e">
        <f aca="false">IF(A34="","",L33+J33+G33)</f>
        <v>#N/A</v>
      </c>
      <c r="P33" s="200" t="e">
        <f aca="false">IF(A34="","",M33+K33+H33)</f>
        <v>#N/A</v>
      </c>
      <c r="Q33" s="204"/>
      <c r="R33" s="200" t="e">
        <f aca="false">IF($A34="","",VLOOKUP($A33,Table,MATCH(R$4,Curves,0)))</f>
        <v>#N/A</v>
      </c>
      <c r="S33" s="201" t="e">
        <f aca="false">IF(A34="","",R33)</f>
        <v>#N/A</v>
      </c>
      <c r="T33" s="200" t="e">
        <f aca="false">IF($A34="","",VLOOKUP($A33,Table,MATCH(T$4,Curves,0)))</f>
        <v>#N/A</v>
      </c>
      <c r="U33" s="201" t="e">
        <f aca="false">IF(A34="","",T33)</f>
        <v>#N/A</v>
      </c>
      <c r="V33" s="225" t="e">
        <f aca="false">IF($A34="","",IF(AND(MONTH(A33)&gt;3,MONTH(A33)&lt;11),(T33+R33+G33)*Summary!$T$9/(1-Summary!$T$9),(T33+R33+G33)*Summary!$U$9/(1-Summary!$U$9)))</f>
        <v>#N/A</v>
      </c>
      <c r="W33" s="200" t="e">
        <f aca="false">IF($A34="","",(T33+R33+G33+V33))</f>
        <v>#N/A</v>
      </c>
      <c r="X33" s="200" t="e">
        <f aca="false">IF($A34="","",(U33+S33+H33+V33))</f>
        <v>#N/A</v>
      </c>
      <c r="Y33" s="202"/>
      <c r="Z33" s="185" t="e">
        <f aca="false">IF($A34="","",VLOOKUP($A33,Table,MATCH(Z$4,Curves,0)))</f>
        <v>#N/A</v>
      </c>
      <c r="AA33" s="185" t="e">
        <f aca="false">IF($A34="","",VLOOKUP($A33,Table,MATCH(AA$4,Curves,0)))</f>
        <v>#N/A</v>
      </c>
      <c r="AB33" s="185" t="e">
        <f aca="false">SQRT((AA33^2*(A33-$D$3)+Z33^2*(DAY(EOMONTH(A33,0))/2))/AK33)</f>
        <v>#N/A</v>
      </c>
      <c r="AC33" s="185" t="e">
        <f aca="false">IF($A34="","",VLOOKUP($A33,Table,MATCH(AC$4,Curves,0)))</f>
        <v>#N/A</v>
      </c>
      <c r="AD33" s="185" t="e">
        <f aca="false">IF($A34="","",VLOOKUP($A33,Table,MATCH(AD$4,Curves,0)))</f>
        <v>#N/A</v>
      </c>
      <c r="AE33" s="185" t="e">
        <f aca="false">SQRT((AD33^2*(A33-$D$3)+AC33^2*(DAY(EOMONTH(A33,0))/2))/AK33)</f>
        <v>#N/A</v>
      </c>
      <c r="AF33" s="224" t="e">
        <f aca="false">((Summary!$N$9*(AA33*AD33)*(A33-$D$3))+(Summary!$M$9*Z33*AC33*(AJ33-EOMONTH(EDATE(A33,-1),0))))/(AK33*AB33*AE33)</f>
        <v>#N/A</v>
      </c>
      <c r="AG33" s="207" t="n">
        <f aca="false">IF($A34="","",Summary!$Q$9)</f>
        <v>0</v>
      </c>
      <c r="AH33" s="207" t="n">
        <f aca="false">IF($A34="","",IF(Summary!$R$9="Y",VLOOKUP($A33,Summary!$AD$6:$AF$9,3)+'Escalating commodity'!E46,'Escalating commodity'!E46))</f>
        <v>0.0747</v>
      </c>
      <c r="AI33" s="207" t="n">
        <f aca="false">IF($A34="","",AH33)</f>
        <v>0.0747</v>
      </c>
      <c r="AJ33" s="208" t="n">
        <f aca="false">A33+DAY(EOMONTH(A33,0))/2-1</f>
        <v>37756.5</v>
      </c>
      <c r="AK33" s="209" t="n">
        <f aca="false">IF($A34="","",$A33-$E$1)</f>
        <v>-8184</v>
      </c>
      <c r="AL33" s="182" t="e">
        <f aca="false">IF($A34="","",SPRDOPT(P33,X33,AI33,0,AB33,AE33,AF33,AK33,$AJ$2,0))</f>
        <v>#NAME?</v>
      </c>
      <c r="AM33" s="211" t="e">
        <f aca="false">IF($A34="","",MAX(0,O33-W33-AI33))</f>
        <v>#N/A</v>
      </c>
      <c r="AN33" s="211" t="e">
        <f aca="false">IF($A34="","",AL33-AM33)</f>
        <v>#N/A</v>
      </c>
      <c r="AO33" s="137" t="n">
        <f aca="false">IF(A34="","",A34-A33)</f>
        <v>31</v>
      </c>
      <c r="AP33" s="212" t="n">
        <f aca="false">IF(A34="","",CHOOSE(F$3,A34+24,A33))</f>
        <v>37742</v>
      </c>
      <c r="AQ33" s="209" t="n">
        <f aca="false">IF(A34="","",AP33-$E$1)</f>
        <v>-8184</v>
      </c>
      <c r="AR33" s="185" t="n">
        <f aca="false">'ANR OK vs ML7'!AR33</f>
        <v>0.1</v>
      </c>
      <c r="AS33" s="213" t="n">
        <f aca="false">IF(A34="","",1/(1+CHOOSE(F$3,(AR34+($I$3/10000))/2,(AR33+($I$3/10000))/2))^(2*AQ33/365.25))</f>
        <v>8.90346511473369</v>
      </c>
      <c r="AT33" s="137" t="n">
        <f aca="false">IF(A34="","",IF(AND(mthbeg&lt;=A33,mthend&gt;=A33),1,0))</f>
        <v>1</v>
      </c>
      <c r="AU33" s="137" t="n">
        <f aca="false">IF(A34="","",AO33*AT33)</f>
        <v>31</v>
      </c>
      <c r="AW33" s="195" t="e">
        <f aca="false">IF($A34="","",AL33*$E33)</f>
        <v>#NAME?</v>
      </c>
      <c r="AX33" s="195" t="e">
        <f aca="false">IF($A34="","",AM33*$E33)</f>
        <v>#N/A</v>
      </c>
      <c r="AY33" s="195" t="e">
        <f aca="false">IF($A34="","",AN33*$E33)</f>
        <v>#N/A</v>
      </c>
      <c r="BA33" s="195" t="n">
        <f aca="false">IF($A34="","",F33*Summary!$Q$9)</f>
        <v>0</v>
      </c>
      <c r="BC33" s="179" t="e">
        <f aca="false">IF(A34="","",AM33*F33)</f>
        <v>#N/A</v>
      </c>
    </row>
    <row r="34" customFormat="false" ht="12.75" hidden="false" customHeight="false" outlineLevel="0" collapsed="false">
      <c r="A34" s="196" t="n">
        <f aca="false">IF(A33&lt;mthend,EDATE(A33,1),"")</f>
        <v>37773</v>
      </c>
      <c r="B34" s="197" t="n">
        <f aca="false">IF(A34&lt;mthend,B33,"")</f>
        <v>36050</v>
      </c>
      <c r="C34" s="215"/>
      <c r="D34" s="197" t="n">
        <f aca="false">IF(A35&lt;&gt;"",B34+C34,"")</f>
        <v>36050</v>
      </c>
      <c r="E34" s="199" t="n">
        <f aca="false">IF(A35="","",IF(AND(AT34=1,$H$3=1),D34*AO34,IF($H$3=2,D34,"N/A")))</f>
        <v>1081500</v>
      </c>
      <c r="F34" s="199" t="n">
        <f aca="false">IF(A35="","",E34*AS34)</f>
        <v>9549678.93321881</v>
      </c>
      <c r="G34" s="200" t="e">
        <f aca="false">IF($A35="","",VLOOKUP($A34,Table,MATCH(G$4,Curves,0)))</f>
        <v>#N/A</v>
      </c>
      <c r="H34" s="201" t="e">
        <f aca="false">IF(A35="","",G34)</f>
        <v>#N/A</v>
      </c>
      <c r="I34" s="202"/>
      <c r="J34" s="200" t="e">
        <f aca="false">IF($A35="","",VLOOKUP($A34,Table,MATCH(J$4,Curves,0)))</f>
        <v>#N/A</v>
      </c>
      <c r="K34" s="201" t="e">
        <f aca="false">IF(A35="","",J34)</f>
        <v>#N/A</v>
      </c>
      <c r="L34" s="200" t="e">
        <f aca="false">IF($A35="","",VLOOKUP($A34,Table,MATCH(L$4,Curves,0)))</f>
        <v>#N/A</v>
      </c>
      <c r="M34" s="201" t="e">
        <f aca="false">IF(A35="","",L34)</f>
        <v>#N/A</v>
      </c>
      <c r="N34" s="203"/>
      <c r="O34" s="200" t="e">
        <f aca="false">IF(A35="","",L34+J34+G34)</f>
        <v>#N/A</v>
      </c>
      <c r="P34" s="200" t="e">
        <f aca="false">IF(A35="","",M34+K34+H34)</f>
        <v>#N/A</v>
      </c>
      <c r="Q34" s="204"/>
      <c r="R34" s="200" t="e">
        <f aca="false">IF($A35="","",VLOOKUP($A34,Table,MATCH(R$4,Curves,0)))</f>
        <v>#N/A</v>
      </c>
      <c r="S34" s="201" t="e">
        <f aca="false">IF(A35="","",R34)</f>
        <v>#N/A</v>
      </c>
      <c r="T34" s="200" t="e">
        <f aca="false">IF($A35="","",VLOOKUP($A34,Table,MATCH(T$4,Curves,0)))</f>
        <v>#N/A</v>
      </c>
      <c r="U34" s="201" t="e">
        <f aca="false">IF(A35="","",T34)</f>
        <v>#N/A</v>
      </c>
      <c r="V34" s="225" t="e">
        <f aca="false">IF($A35="","",IF(AND(MONTH(A34)&gt;3,MONTH(A34)&lt;11),(T34+R34+G34)*Summary!$T$9/(1-Summary!$T$9),(T34+R34+G34)*Summary!$U$9/(1-Summary!$U$9)))</f>
        <v>#N/A</v>
      </c>
      <c r="W34" s="200" t="e">
        <f aca="false">IF($A35="","",(T34+R34+G34+V34))</f>
        <v>#N/A</v>
      </c>
      <c r="X34" s="200" t="e">
        <f aca="false">IF($A35="","",(U34+S34+H34+V34))</f>
        <v>#N/A</v>
      </c>
      <c r="Y34" s="202"/>
      <c r="Z34" s="185" t="e">
        <f aca="false">IF($A35="","",VLOOKUP($A34,Table,MATCH(Z$4,Curves,0)))</f>
        <v>#N/A</v>
      </c>
      <c r="AA34" s="185" t="e">
        <f aca="false">IF($A35="","",VLOOKUP($A34,Table,MATCH(AA$4,Curves,0)))</f>
        <v>#N/A</v>
      </c>
      <c r="AB34" s="185" t="e">
        <f aca="false">SQRT((AA34^2*(A34-$D$3)+Z34^2*(DAY(EOMONTH(A34,0))/2))/AK34)</f>
        <v>#N/A</v>
      </c>
      <c r="AC34" s="185" t="e">
        <f aca="false">IF($A35="","",VLOOKUP($A34,Table,MATCH(AC$4,Curves,0)))</f>
        <v>#N/A</v>
      </c>
      <c r="AD34" s="185" t="e">
        <f aca="false">IF($A35="","",VLOOKUP($A34,Table,MATCH(AD$4,Curves,0)))</f>
        <v>#N/A</v>
      </c>
      <c r="AE34" s="185" t="e">
        <f aca="false">SQRT((AD34^2*(A34-$D$3)+AC34^2*(DAY(EOMONTH(A34,0))/2))/AK34)</f>
        <v>#N/A</v>
      </c>
      <c r="AF34" s="224" t="e">
        <f aca="false">((Summary!$N$9*(AA34*AD34)*(A34-$D$3))+(Summary!$M$9*Z34*AC34*(AJ34-EOMONTH(EDATE(A34,-1),0))))/(AK34*AB34*AE34)</f>
        <v>#N/A</v>
      </c>
      <c r="AG34" s="207" t="n">
        <f aca="false">IF($A35="","",Summary!$Q$9)</f>
        <v>0</v>
      </c>
      <c r="AH34" s="207" t="n">
        <f aca="false">IF($A35="","",IF(Summary!$R$9="Y",VLOOKUP($A34,Summary!$AD$6:$AF$9,3)+'Escalating commodity'!E47,'Escalating commodity'!E47))</f>
        <v>0.0747</v>
      </c>
      <c r="AI34" s="207" t="n">
        <f aca="false">IF($A35="","",AH34)</f>
        <v>0.0747</v>
      </c>
      <c r="AJ34" s="208" t="n">
        <f aca="false">A34+DAY(EOMONTH(A34,0))/2-1</f>
        <v>37787</v>
      </c>
      <c r="AK34" s="209" t="n">
        <f aca="false">IF($A35="","",$A34-$E$1)</f>
        <v>-8153</v>
      </c>
      <c r="AL34" s="182" t="e">
        <f aca="false">IF($A35="","",SPRDOPT(P34,X34,AI34,0,AB34,AE34,AF34,AK34,$AJ$2,0))</f>
        <v>#NAME?</v>
      </c>
      <c r="AM34" s="211" t="e">
        <f aca="false">IF($A35="","",MAX(0,O34-W34-AI34))</f>
        <v>#N/A</v>
      </c>
      <c r="AN34" s="211" t="e">
        <f aca="false">IF($A35="","",AL34-AM34)</f>
        <v>#N/A</v>
      </c>
      <c r="AO34" s="137" t="n">
        <f aca="false">IF(A35="","",A35-A34)</f>
        <v>30</v>
      </c>
      <c r="AP34" s="212" t="n">
        <f aca="false">IF(A35="","",CHOOSE(F$3,A35+24,A34))</f>
        <v>37773</v>
      </c>
      <c r="AQ34" s="209" t="n">
        <f aca="false">IF(A35="","",AP34-$E$1)</f>
        <v>-8153</v>
      </c>
      <c r="AR34" s="185" t="n">
        <f aca="false">'ANR OK vs ML7'!AR34</f>
        <v>0.1</v>
      </c>
      <c r="AS34" s="213" t="n">
        <f aca="false">IF(A35="","",1/(1+CHOOSE(F$3,(AR35+($I$3/10000))/2,(AR34+($I$3/10000))/2))^(2*AQ34/365.25))</f>
        <v>8.83003137606917</v>
      </c>
      <c r="AT34" s="137" t="n">
        <f aca="false">IF(A35="","",IF(AND(mthbeg&lt;=A34,mthend&gt;=A34),1,0))</f>
        <v>1</v>
      </c>
      <c r="AU34" s="137" t="n">
        <f aca="false">IF(A35="","",AO34*AT34)</f>
        <v>30</v>
      </c>
      <c r="AW34" s="195" t="e">
        <f aca="false">IF($A35="","",AL34*$E34)</f>
        <v>#NAME?</v>
      </c>
      <c r="AX34" s="195" t="e">
        <f aca="false">IF($A35="","",AM34*$E34)</f>
        <v>#N/A</v>
      </c>
      <c r="AY34" s="195" t="e">
        <f aca="false">IF($A35="","",AN34*$E34)</f>
        <v>#N/A</v>
      </c>
      <c r="BA34" s="195" t="n">
        <f aca="false">IF($A35="","",F34*Summary!$Q$9)</f>
        <v>0</v>
      </c>
      <c r="BC34" s="179" t="e">
        <f aca="false">IF(A35="","",AM34*F34)</f>
        <v>#N/A</v>
      </c>
    </row>
    <row r="35" customFormat="false" ht="12.75" hidden="false" customHeight="false" outlineLevel="0" collapsed="false">
      <c r="A35" s="196" t="n">
        <f aca="false">IF(A34&lt;mthend,EDATE(A34,1),"")</f>
        <v>37803</v>
      </c>
      <c r="B35" s="197" t="n">
        <f aca="false">IF(A35&lt;mthend,B34,"")</f>
        <v>36050</v>
      </c>
      <c r="C35" s="215"/>
      <c r="D35" s="197" t="n">
        <f aca="false">IF(A36&lt;&gt;"",B35+C35,"")</f>
        <v>36050</v>
      </c>
      <c r="E35" s="199" t="n">
        <f aca="false">IF(A36="","",IF(AND(AT35=1,$H$3=1),D35*AO35,IF($H$3=2,D35,"N/A")))</f>
        <v>1117550</v>
      </c>
      <c r="F35" s="199" t="n">
        <f aca="false">IF(A36="","",E35*AS35)</f>
        <v>9789227.4946024</v>
      </c>
      <c r="G35" s="200" t="e">
        <f aca="false">IF($A36="","",VLOOKUP($A35,Table,MATCH(G$4,Curves,0)))</f>
        <v>#N/A</v>
      </c>
      <c r="H35" s="201" t="e">
        <f aca="false">IF(A36="","",G35)</f>
        <v>#N/A</v>
      </c>
      <c r="I35" s="202"/>
      <c r="J35" s="200" t="e">
        <f aca="false">IF($A36="","",VLOOKUP($A35,Table,MATCH(J$4,Curves,0)))</f>
        <v>#N/A</v>
      </c>
      <c r="K35" s="201" t="e">
        <f aca="false">IF(A36="","",J35)</f>
        <v>#N/A</v>
      </c>
      <c r="L35" s="200" t="e">
        <f aca="false">IF($A36="","",VLOOKUP($A35,Table,MATCH(L$4,Curves,0)))</f>
        <v>#N/A</v>
      </c>
      <c r="M35" s="201" t="e">
        <f aca="false">IF(A36="","",L35)</f>
        <v>#N/A</v>
      </c>
      <c r="N35" s="203"/>
      <c r="O35" s="200" t="e">
        <f aca="false">IF(A36="","",L35+J35+G35)</f>
        <v>#N/A</v>
      </c>
      <c r="P35" s="200" t="e">
        <f aca="false">IF(A36="","",M35+K35+H35)</f>
        <v>#N/A</v>
      </c>
      <c r="Q35" s="204"/>
      <c r="R35" s="200" t="e">
        <f aca="false">IF($A36="","",VLOOKUP($A35,Table,MATCH(R$4,Curves,0)))</f>
        <v>#N/A</v>
      </c>
      <c r="S35" s="201" t="e">
        <f aca="false">IF(A36="","",R35)</f>
        <v>#N/A</v>
      </c>
      <c r="T35" s="200" t="e">
        <f aca="false">IF($A36="","",VLOOKUP($A35,Table,MATCH(T$4,Curves,0)))</f>
        <v>#N/A</v>
      </c>
      <c r="U35" s="201" t="e">
        <f aca="false">IF(A36="","",T35)</f>
        <v>#N/A</v>
      </c>
      <c r="V35" s="225" t="e">
        <f aca="false">IF($A36="","",IF(AND(MONTH(A35)&gt;3,MONTH(A35)&lt;11),(T35+R35+G35)*Summary!$T$9/(1-Summary!$T$9),(T35+R35+G35)*Summary!$U$9/(1-Summary!$U$9)))</f>
        <v>#N/A</v>
      </c>
      <c r="W35" s="200" t="e">
        <f aca="false">IF($A36="","",(T35+R35+G35+V35))</f>
        <v>#N/A</v>
      </c>
      <c r="X35" s="200" t="e">
        <f aca="false">IF($A36="","",(U35+S35+H35+V35))</f>
        <v>#N/A</v>
      </c>
      <c r="Y35" s="202"/>
      <c r="Z35" s="185" t="e">
        <f aca="false">IF($A36="","",VLOOKUP($A35,Table,MATCH(Z$4,Curves,0)))</f>
        <v>#N/A</v>
      </c>
      <c r="AA35" s="185" t="e">
        <f aca="false">IF($A36="","",VLOOKUP($A35,Table,MATCH(AA$4,Curves,0)))</f>
        <v>#N/A</v>
      </c>
      <c r="AB35" s="185" t="e">
        <f aca="false">SQRT((AA35^2*(A35-$D$3)+Z35^2*(DAY(EOMONTH(A35,0))/2))/AK35)</f>
        <v>#N/A</v>
      </c>
      <c r="AC35" s="185" t="e">
        <f aca="false">IF($A36="","",VLOOKUP($A35,Table,MATCH(AC$4,Curves,0)))</f>
        <v>#N/A</v>
      </c>
      <c r="AD35" s="185" t="e">
        <f aca="false">IF($A36="","",VLOOKUP($A35,Table,MATCH(AD$4,Curves,0)))</f>
        <v>#N/A</v>
      </c>
      <c r="AE35" s="185" t="e">
        <f aca="false">SQRT((AD35^2*(A35-$D$3)+AC35^2*(DAY(EOMONTH(A35,0))/2))/AK35)</f>
        <v>#N/A</v>
      </c>
      <c r="AF35" s="224" t="e">
        <f aca="false">((Summary!$N$9*(AA35*AD35)*(A35-$D$3))+(Summary!$M$9*Z35*AC35*(AJ35-EOMONTH(EDATE(A35,-1),0))))/(AK35*AB35*AE35)</f>
        <v>#N/A</v>
      </c>
      <c r="AG35" s="207" t="n">
        <f aca="false">IF($A36="","",Summary!$Q$9)</f>
        <v>0</v>
      </c>
      <c r="AH35" s="207" t="n">
        <f aca="false">IF($A36="","",IF(Summary!$R$9="Y",VLOOKUP($A35,Summary!$AD$6:$AF$9,3)+'Escalating commodity'!E48,'Escalating commodity'!E48))</f>
        <v>0.0747</v>
      </c>
      <c r="AI35" s="207" t="n">
        <f aca="false">IF($A36="","",AH35)</f>
        <v>0.0747</v>
      </c>
      <c r="AJ35" s="208" t="n">
        <f aca="false">A35+DAY(EOMONTH(A35,0))/2-1</f>
        <v>37817.5</v>
      </c>
      <c r="AK35" s="209" t="n">
        <f aca="false">IF($A36="","",$A35-$E$1)</f>
        <v>-8123</v>
      </c>
      <c r="AL35" s="182" t="e">
        <f aca="false">IF($A36="","",SPRDOPT(P35,X35,AI35,0,AB35,AE35,AF35,AK35,$AJ$2,0))</f>
        <v>#NAME?</v>
      </c>
      <c r="AM35" s="211" t="e">
        <f aca="false">IF($A36="","",MAX(0,O35-W35-AI35))</f>
        <v>#N/A</v>
      </c>
      <c r="AN35" s="211" t="e">
        <f aca="false">IF($A36="","",AL35-AM35)</f>
        <v>#N/A</v>
      </c>
      <c r="AO35" s="137" t="n">
        <f aca="false">IF(A36="","",A36-A35)</f>
        <v>31</v>
      </c>
      <c r="AP35" s="212" t="n">
        <f aca="false">IF(A36="","",CHOOSE(F$3,A36+24,A35))</f>
        <v>37803</v>
      </c>
      <c r="AQ35" s="209" t="n">
        <f aca="false">IF(A36="","",AP35-$E$1)</f>
        <v>-8123</v>
      </c>
      <c r="AR35" s="185" t="n">
        <f aca="false">'ANR OK vs ML7'!AR35</f>
        <v>0.1</v>
      </c>
      <c r="AS35" s="213" t="n">
        <f aca="false">IF(A36="","",1/(1+CHOOSE(F$3,(AR36+($I$3/10000))/2,(AR35+($I$3/10000))/2))^(2*AQ35/365.25))</f>
        <v>8.75954319234254</v>
      </c>
      <c r="AT35" s="137" t="n">
        <f aca="false">IF(A36="","",IF(AND(mthbeg&lt;=A35,mthend&gt;=A35),1,0))</f>
        <v>1</v>
      </c>
      <c r="AU35" s="137" t="n">
        <f aca="false">IF(A36="","",AO35*AT35)</f>
        <v>31</v>
      </c>
      <c r="AW35" s="195" t="e">
        <f aca="false">IF($A36="","",AL35*$E35)</f>
        <v>#NAME?</v>
      </c>
      <c r="AX35" s="195" t="e">
        <f aca="false">IF($A36="","",AM35*$E35)</f>
        <v>#N/A</v>
      </c>
      <c r="AY35" s="195" t="e">
        <f aca="false">IF($A36="","",AN35*$E35)</f>
        <v>#N/A</v>
      </c>
      <c r="BA35" s="195" t="n">
        <f aca="false">IF($A36="","",F35*Summary!$Q$9)</f>
        <v>0</v>
      </c>
      <c r="BC35" s="179" t="e">
        <f aca="false">IF(A36="","",AM35*F35)</f>
        <v>#N/A</v>
      </c>
    </row>
    <row r="36" customFormat="false" ht="12.75" hidden="false" customHeight="false" outlineLevel="0" collapsed="false">
      <c r="A36" s="196" t="n">
        <f aca="false">IF(A35&lt;mthend,EDATE(A35,1),"")</f>
        <v>37834</v>
      </c>
      <c r="B36" s="197" t="n">
        <f aca="false">IF(A36&lt;mthend,B35,"")</f>
        <v>36050</v>
      </c>
      <c r="C36" s="215"/>
      <c r="D36" s="197" t="n">
        <f aca="false">IF(A37&lt;&gt;"",B36+C36,"")</f>
        <v>36050</v>
      </c>
      <c r="E36" s="199" t="n">
        <f aca="false">IF(A37="","",IF(AND(AT36=1,$H$3=1),D36*AO36,IF($H$3=2,D36,"N/A")))</f>
        <v>1117550</v>
      </c>
      <c r="F36" s="199" t="n">
        <f aca="false">IF(A37="","",E36*AS36)</f>
        <v>9708488.19093774</v>
      </c>
      <c r="G36" s="200" t="e">
        <f aca="false">IF($A37="","",VLOOKUP($A36,Table,MATCH(G$4,Curves,0)))</f>
        <v>#N/A</v>
      </c>
      <c r="H36" s="201" t="e">
        <f aca="false">IF(A37="","",G36)</f>
        <v>#N/A</v>
      </c>
      <c r="I36" s="202"/>
      <c r="J36" s="200" t="e">
        <f aca="false">IF($A37="","",VLOOKUP($A36,Table,MATCH(J$4,Curves,0)))</f>
        <v>#N/A</v>
      </c>
      <c r="K36" s="201" t="e">
        <f aca="false">IF(A37="","",J36)</f>
        <v>#N/A</v>
      </c>
      <c r="L36" s="200" t="e">
        <f aca="false">IF($A37="","",VLOOKUP($A36,Table,MATCH(L$4,Curves,0)))</f>
        <v>#N/A</v>
      </c>
      <c r="M36" s="201" t="e">
        <f aca="false">IF(A37="","",L36)</f>
        <v>#N/A</v>
      </c>
      <c r="N36" s="203"/>
      <c r="O36" s="200" t="e">
        <f aca="false">IF(A37="","",L36+J36+G36)</f>
        <v>#N/A</v>
      </c>
      <c r="P36" s="200" t="e">
        <f aca="false">IF(A37="","",M36+K36+H36)</f>
        <v>#N/A</v>
      </c>
      <c r="Q36" s="204"/>
      <c r="R36" s="200" t="e">
        <f aca="false">IF($A37="","",VLOOKUP($A36,Table,MATCH(R$4,Curves,0)))</f>
        <v>#N/A</v>
      </c>
      <c r="S36" s="201" t="e">
        <f aca="false">IF(A37="","",R36)</f>
        <v>#N/A</v>
      </c>
      <c r="T36" s="200" t="e">
        <f aca="false">IF($A37="","",VLOOKUP($A36,Table,MATCH(T$4,Curves,0)))</f>
        <v>#N/A</v>
      </c>
      <c r="U36" s="201" t="e">
        <f aca="false">IF(A37="","",T36)</f>
        <v>#N/A</v>
      </c>
      <c r="V36" s="225" t="e">
        <f aca="false">IF($A37="","",IF(AND(MONTH(A36)&gt;3,MONTH(A36)&lt;11),(T36+R36+G36)*Summary!$T$9/(1-Summary!$T$9),(T36+R36+G36)*Summary!$U$9/(1-Summary!$U$9)))</f>
        <v>#N/A</v>
      </c>
      <c r="W36" s="200" t="e">
        <f aca="false">IF($A37="","",(T36+R36+G36+V36))</f>
        <v>#N/A</v>
      </c>
      <c r="X36" s="200" t="e">
        <f aca="false">IF($A37="","",(U36+S36+H36+V36))</f>
        <v>#N/A</v>
      </c>
      <c r="Y36" s="202"/>
      <c r="Z36" s="185" t="e">
        <f aca="false">IF($A37="","",VLOOKUP($A36,Table,MATCH(Z$4,Curves,0)))</f>
        <v>#N/A</v>
      </c>
      <c r="AA36" s="185" t="e">
        <f aca="false">IF($A37="","",VLOOKUP($A36,Table,MATCH(AA$4,Curves,0)))</f>
        <v>#N/A</v>
      </c>
      <c r="AB36" s="185" t="e">
        <f aca="false">SQRT((AA36^2*(A36-$D$3)+Z36^2*(DAY(EOMONTH(A36,0))/2))/AK36)</f>
        <v>#N/A</v>
      </c>
      <c r="AC36" s="185" t="e">
        <f aca="false">IF($A37="","",VLOOKUP($A36,Table,MATCH(AC$4,Curves,0)))</f>
        <v>#N/A</v>
      </c>
      <c r="AD36" s="185" t="e">
        <f aca="false">IF($A37="","",VLOOKUP($A36,Table,MATCH(AD$4,Curves,0)))</f>
        <v>#N/A</v>
      </c>
      <c r="AE36" s="185" t="e">
        <f aca="false">SQRT((AD36^2*(A36-$D$3)+AC36^2*(DAY(EOMONTH(A36,0))/2))/AK36)</f>
        <v>#N/A</v>
      </c>
      <c r="AF36" s="224" t="e">
        <f aca="false">((Summary!$N$9*(AA36*AD36)*(A36-$D$3))+(Summary!$M$9*Z36*AC36*(AJ36-EOMONTH(EDATE(A36,-1),0))))/(AK36*AB36*AE36)</f>
        <v>#N/A</v>
      </c>
      <c r="AG36" s="207" t="n">
        <f aca="false">IF($A37="","",Summary!$Q$9)</f>
        <v>0</v>
      </c>
      <c r="AH36" s="207" t="n">
        <f aca="false">IF($A37="","",IF(Summary!$R$9="Y",VLOOKUP($A36,Summary!$AD$6:$AF$9,3)+'Escalating commodity'!E49,'Escalating commodity'!E49))</f>
        <v>0.0747</v>
      </c>
      <c r="AI36" s="207" t="n">
        <f aca="false">IF($A37="","",AH36)</f>
        <v>0.0747</v>
      </c>
      <c r="AJ36" s="208" t="n">
        <f aca="false">A36+DAY(EOMONTH(A36,0))/2-1</f>
        <v>37848.5</v>
      </c>
      <c r="AK36" s="209" t="n">
        <f aca="false">IF($A37="","",$A36-$E$1)</f>
        <v>-8092</v>
      </c>
      <c r="AL36" s="182" t="e">
        <f aca="false">IF($A37="","",SPRDOPT(P36,X36,AI36,0,AB36,AE36,AF36,AK36,$AJ$2,0))</f>
        <v>#NAME?</v>
      </c>
      <c r="AM36" s="211" t="e">
        <f aca="false">IF($A37="","",MAX(0,O36-W36-AI36))</f>
        <v>#N/A</v>
      </c>
      <c r="AN36" s="211" t="e">
        <f aca="false">IF($A37="","",AL36-AM36)</f>
        <v>#N/A</v>
      </c>
      <c r="AO36" s="137" t="n">
        <f aca="false">IF(A37="","",A37-A36)</f>
        <v>31</v>
      </c>
      <c r="AP36" s="212" t="n">
        <f aca="false">IF(A37="","",CHOOSE(F$3,A37+24,A36))</f>
        <v>37834</v>
      </c>
      <c r="AQ36" s="209" t="n">
        <f aca="false">IF(A37="","",AP36-$E$1)</f>
        <v>-8092</v>
      </c>
      <c r="AR36" s="185" t="n">
        <f aca="false">'ANR OK vs ML7'!AR36</f>
        <v>0.1</v>
      </c>
      <c r="AS36" s="213" t="n">
        <f aca="false">IF(A37="","",1/(1+CHOOSE(F$3,(AR37+($I$3/10000))/2,(AR36+($I$3/10000))/2))^(2*AQ36/365.25))</f>
        <v>8.687296488692</v>
      </c>
      <c r="AT36" s="137" t="n">
        <f aca="false">IF(A37="","",IF(AND(mthbeg&lt;=A36,mthend&gt;=A36),1,0))</f>
        <v>1</v>
      </c>
      <c r="AU36" s="137" t="n">
        <f aca="false">IF(A37="","",AO36*AT36)</f>
        <v>31</v>
      </c>
      <c r="AW36" s="195" t="e">
        <f aca="false">IF($A37="","",AL36*$E36)</f>
        <v>#NAME?</v>
      </c>
      <c r="AX36" s="195" t="e">
        <f aca="false">IF($A37="","",AM36*$E36)</f>
        <v>#N/A</v>
      </c>
      <c r="AY36" s="195" t="e">
        <f aca="false">IF($A37="","",AN36*$E36)</f>
        <v>#N/A</v>
      </c>
      <c r="BA36" s="195" t="n">
        <f aca="false">IF($A37="","",F36*Summary!$Q$9)</f>
        <v>0</v>
      </c>
      <c r="BC36" s="179" t="e">
        <f aca="false">IF(A37="","",AM36*F36)</f>
        <v>#N/A</v>
      </c>
    </row>
    <row r="37" customFormat="false" ht="12.75" hidden="false" customHeight="false" outlineLevel="0" collapsed="false">
      <c r="A37" s="196" t="n">
        <f aca="false">IF(A36&lt;mthend,EDATE(A36,1),"")</f>
        <v>37865</v>
      </c>
      <c r="B37" s="197" t="n">
        <f aca="false">IF(A37&lt;mthend,B36,"")</f>
        <v>36050</v>
      </c>
      <c r="C37" s="215"/>
      <c r="D37" s="197" t="n">
        <f aca="false">IF(A38&lt;&gt;"",B37+C37,"")</f>
        <v>36050</v>
      </c>
      <c r="E37" s="199" t="n">
        <f aca="false">IF(A38="","",IF(AND(AT37=1,$H$3=1),D37*AO37,IF($H$3=2,D37,"N/A")))</f>
        <v>1081500</v>
      </c>
      <c r="F37" s="199" t="n">
        <f aca="false">IF(A38="","",E37*AS37)</f>
        <v>9317820.78051857</v>
      </c>
      <c r="G37" s="200" t="e">
        <f aca="false">IF($A38="","",VLOOKUP($A37,Table,MATCH(G$4,Curves,0)))</f>
        <v>#N/A</v>
      </c>
      <c r="H37" s="201" t="e">
        <f aca="false">IF(A38="","",G37)</f>
        <v>#N/A</v>
      </c>
      <c r="I37" s="202"/>
      <c r="J37" s="200" t="e">
        <f aca="false">IF($A38="","",VLOOKUP($A37,Table,MATCH(J$4,Curves,0)))</f>
        <v>#N/A</v>
      </c>
      <c r="K37" s="201" t="e">
        <f aca="false">IF(A38="","",J37)</f>
        <v>#N/A</v>
      </c>
      <c r="L37" s="200" t="e">
        <f aca="false">IF($A38="","",VLOOKUP($A37,Table,MATCH(L$4,Curves,0)))</f>
        <v>#N/A</v>
      </c>
      <c r="M37" s="201" t="e">
        <f aca="false">IF(A38="","",L37)</f>
        <v>#N/A</v>
      </c>
      <c r="N37" s="203"/>
      <c r="O37" s="200" t="e">
        <f aca="false">IF(A38="","",L37+J37+G37)</f>
        <v>#N/A</v>
      </c>
      <c r="P37" s="200" t="e">
        <f aca="false">IF(A38="","",M37+K37+H37)</f>
        <v>#N/A</v>
      </c>
      <c r="Q37" s="204"/>
      <c r="R37" s="200" t="e">
        <f aca="false">IF($A38="","",VLOOKUP($A37,Table,MATCH(R$4,Curves,0)))</f>
        <v>#N/A</v>
      </c>
      <c r="S37" s="201" t="e">
        <f aca="false">IF(A38="","",R37)</f>
        <v>#N/A</v>
      </c>
      <c r="T37" s="200" t="e">
        <f aca="false">IF($A38="","",VLOOKUP($A37,Table,MATCH(T$4,Curves,0)))</f>
        <v>#N/A</v>
      </c>
      <c r="U37" s="201" t="e">
        <f aca="false">IF(A38="","",T37)</f>
        <v>#N/A</v>
      </c>
      <c r="V37" s="225" t="e">
        <f aca="false">IF($A38="","",IF(AND(MONTH(A37)&gt;3,MONTH(A37)&lt;11),(T37+R37+G37)*Summary!$T$9/(1-Summary!$T$9),(T37+R37+G37)*Summary!$U$9/(1-Summary!$U$9)))</f>
        <v>#N/A</v>
      </c>
      <c r="W37" s="200" t="e">
        <f aca="false">IF($A38="","",(T37+R37+G37+V37))</f>
        <v>#N/A</v>
      </c>
      <c r="X37" s="200" t="e">
        <f aca="false">IF($A38="","",(U37+S37+H37+V37))</f>
        <v>#N/A</v>
      </c>
      <c r="Y37" s="202"/>
      <c r="Z37" s="185" t="e">
        <f aca="false">IF($A38="","",VLOOKUP($A37,Table,MATCH(Z$4,Curves,0)))</f>
        <v>#N/A</v>
      </c>
      <c r="AA37" s="185" t="e">
        <f aca="false">IF($A38="","",VLOOKUP($A37,Table,MATCH(AA$4,Curves,0)))</f>
        <v>#N/A</v>
      </c>
      <c r="AB37" s="185" t="e">
        <f aca="false">SQRT((AA37^2*(A37-$D$3)+Z37^2*(DAY(EOMONTH(A37,0))/2))/AK37)</f>
        <v>#N/A</v>
      </c>
      <c r="AC37" s="185" t="e">
        <f aca="false">IF($A38="","",VLOOKUP($A37,Table,MATCH(AC$4,Curves,0)))</f>
        <v>#N/A</v>
      </c>
      <c r="AD37" s="185" t="e">
        <f aca="false">IF($A38="","",VLOOKUP($A37,Table,MATCH(AD$4,Curves,0)))</f>
        <v>#N/A</v>
      </c>
      <c r="AE37" s="185" t="e">
        <f aca="false">SQRT((AD37^2*(A37-$D$3)+AC37^2*(DAY(EOMONTH(A37,0))/2))/AK37)</f>
        <v>#N/A</v>
      </c>
      <c r="AF37" s="224" t="e">
        <f aca="false">((Summary!$N$9*(AA37*AD37)*(A37-$D$3))+(Summary!$M$9*Z37*AC37*(AJ37-EOMONTH(EDATE(A37,-1),0))))/(AK37*AB37*AE37)</f>
        <v>#N/A</v>
      </c>
      <c r="AG37" s="207" t="n">
        <f aca="false">IF($A38="","",Summary!$Q$9)</f>
        <v>0</v>
      </c>
      <c r="AH37" s="207" t="n">
        <f aca="false">IF($A38="","",IF(Summary!$R$9="Y",VLOOKUP($A37,Summary!$AD$6:$AF$9,3)+'Escalating commodity'!E50,'Escalating commodity'!E50))</f>
        <v>0.0747</v>
      </c>
      <c r="AI37" s="207" t="n">
        <f aca="false">IF($A38="","",AH37)</f>
        <v>0.0747</v>
      </c>
      <c r="AJ37" s="208" t="n">
        <f aca="false">A37+DAY(EOMONTH(A37,0))/2-1</f>
        <v>37879</v>
      </c>
      <c r="AK37" s="209" t="n">
        <f aca="false">IF($A38="","",$A37-$E$1)</f>
        <v>-8061</v>
      </c>
      <c r="AL37" s="182" t="e">
        <f aca="false">IF($A38="","",SPRDOPT(P37,X37,AI37,0,AB37,AE37,AF37,AK37,$AJ$2,0))</f>
        <v>#NAME?</v>
      </c>
      <c r="AM37" s="211" t="e">
        <f aca="false">IF($A38="","",MAX(0,O37-W37-AI37))</f>
        <v>#N/A</v>
      </c>
      <c r="AN37" s="211" t="e">
        <f aca="false">IF($A38="","",AL37-AM37)</f>
        <v>#N/A</v>
      </c>
      <c r="AO37" s="137" t="n">
        <f aca="false">IF(A38="","",A38-A37)</f>
        <v>30</v>
      </c>
      <c r="AP37" s="212" t="n">
        <f aca="false">IF(A38="","",CHOOSE(F$3,A38+24,A37))</f>
        <v>37865</v>
      </c>
      <c r="AQ37" s="209" t="n">
        <f aca="false">IF(A38="","",AP37-$E$1)</f>
        <v>-8061</v>
      </c>
      <c r="AR37" s="185" t="n">
        <f aca="false">'ANR OK vs ML7'!AR37</f>
        <v>0.1</v>
      </c>
      <c r="AS37" s="213" t="n">
        <f aca="false">IF(A38="","",1/(1+CHOOSE(F$3,(AR38+($I$3/10000))/2,(AR37+($I$3/10000))/2))^(2*AQ37/365.25))</f>
        <v>8.6156456592867</v>
      </c>
      <c r="AT37" s="137" t="n">
        <f aca="false">IF(A38="","",IF(AND(mthbeg&lt;=A37,mthend&gt;=A37),1,0))</f>
        <v>1</v>
      </c>
      <c r="AU37" s="137" t="n">
        <f aca="false">IF(A38="","",AO37*AT37)</f>
        <v>30</v>
      </c>
      <c r="AW37" s="195" t="e">
        <f aca="false">IF($A38="","",AL37*$E37)</f>
        <v>#NAME?</v>
      </c>
      <c r="AX37" s="195" t="e">
        <f aca="false">IF($A38="","",AM37*$E37)</f>
        <v>#N/A</v>
      </c>
      <c r="AY37" s="195" t="e">
        <f aca="false">IF($A38="","",AN37*$E37)</f>
        <v>#N/A</v>
      </c>
      <c r="BA37" s="195" t="n">
        <f aca="false">IF($A38="","",F37*Summary!$Q$9)</f>
        <v>0</v>
      </c>
      <c r="BC37" s="179" t="e">
        <f aca="false">IF(A38="","",AM37*F37)</f>
        <v>#N/A</v>
      </c>
    </row>
    <row r="38" customFormat="false" ht="12.75" hidden="false" customHeight="false" outlineLevel="0" collapsed="false">
      <c r="A38" s="196" t="n">
        <f aca="false">IF(A37&lt;mthend,EDATE(A37,1),"")</f>
        <v>37895</v>
      </c>
      <c r="B38" s="197" t="n">
        <f aca="false">IF(A38&lt;mthend,B37,"")</f>
        <v>36050</v>
      </c>
      <c r="C38" s="215"/>
      <c r="D38" s="197" t="n">
        <f aca="false">IF(A39&lt;&gt;"",B38+C38,"")</f>
        <v>36050</v>
      </c>
      <c r="E38" s="199" t="n">
        <f aca="false">IF(A39="","",IF(AND(AT38=1,$H$3=1),D38*AO38,IF($H$3=2,D38,"N/A")))</f>
        <v>1117550</v>
      </c>
      <c r="F38" s="199" t="n">
        <f aca="false">IF(A39="","",E38*AS38)</f>
        <v>9551553.3048068</v>
      </c>
      <c r="G38" s="200" t="e">
        <f aca="false">IF($A39="","",VLOOKUP($A38,Table,MATCH(G$4,Curves,0)))</f>
        <v>#N/A</v>
      </c>
      <c r="H38" s="201" t="e">
        <f aca="false">IF(A39="","",G38)</f>
        <v>#N/A</v>
      </c>
      <c r="I38" s="202"/>
      <c r="J38" s="200" t="e">
        <f aca="false">IF($A39="","",VLOOKUP($A38,Table,MATCH(J$4,Curves,0)))</f>
        <v>#N/A</v>
      </c>
      <c r="K38" s="201" t="e">
        <f aca="false">IF(A39="","",J38)</f>
        <v>#N/A</v>
      </c>
      <c r="L38" s="200" t="e">
        <f aca="false">IF($A39="","",VLOOKUP($A38,Table,MATCH(L$4,Curves,0)))</f>
        <v>#N/A</v>
      </c>
      <c r="M38" s="201" t="e">
        <f aca="false">IF(A39="","",L38)</f>
        <v>#N/A</v>
      </c>
      <c r="N38" s="203"/>
      <c r="O38" s="200" t="e">
        <f aca="false">IF(A39="","",L38+J38+G38)</f>
        <v>#N/A</v>
      </c>
      <c r="P38" s="200" t="e">
        <f aca="false">IF(A39="","",M38+K38+H38)</f>
        <v>#N/A</v>
      </c>
      <c r="Q38" s="204"/>
      <c r="R38" s="200" t="e">
        <f aca="false">IF($A39="","",VLOOKUP($A38,Table,MATCH(R$4,Curves,0)))</f>
        <v>#N/A</v>
      </c>
      <c r="S38" s="201" t="e">
        <f aca="false">IF(A39="","",R38)</f>
        <v>#N/A</v>
      </c>
      <c r="T38" s="200" t="e">
        <f aca="false">IF($A39="","",VLOOKUP($A38,Table,MATCH(T$4,Curves,0)))</f>
        <v>#N/A</v>
      </c>
      <c r="U38" s="201" t="e">
        <f aca="false">IF(A39="","",T38)</f>
        <v>#N/A</v>
      </c>
      <c r="V38" s="225" t="e">
        <f aca="false">IF($A39="","",IF(AND(MONTH(A38)&gt;3,MONTH(A38)&lt;11),(T38+R38+G38)*Summary!$T$9/(1-Summary!$T$9),(T38+R38+G38)*Summary!$U$9/(1-Summary!$U$9)))</f>
        <v>#N/A</v>
      </c>
      <c r="W38" s="200" t="e">
        <f aca="false">IF($A39="","",(T38+R38+G38+V38))</f>
        <v>#N/A</v>
      </c>
      <c r="X38" s="200" t="e">
        <f aca="false">IF($A39="","",(U38+S38+H38+V38))</f>
        <v>#N/A</v>
      </c>
      <c r="Y38" s="202"/>
      <c r="Z38" s="185" t="e">
        <f aca="false">IF($A39="","",VLOOKUP($A38,Table,MATCH(Z$4,Curves,0)))</f>
        <v>#N/A</v>
      </c>
      <c r="AA38" s="185" t="e">
        <f aca="false">IF($A39="","",VLOOKUP($A38,Table,MATCH(AA$4,Curves,0)))</f>
        <v>#N/A</v>
      </c>
      <c r="AB38" s="185" t="e">
        <f aca="false">SQRT((AA38^2*(A38-$D$3)+Z38^2*(DAY(EOMONTH(A38,0))/2))/AK38)</f>
        <v>#N/A</v>
      </c>
      <c r="AC38" s="185" t="e">
        <f aca="false">IF($A39="","",VLOOKUP($A38,Table,MATCH(AC$4,Curves,0)))</f>
        <v>#N/A</v>
      </c>
      <c r="AD38" s="185" t="e">
        <f aca="false">IF($A39="","",VLOOKUP($A38,Table,MATCH(AD$4,Curves,0)))</f>
        <v>#N/A</v>
      </c>
      <c r="AE38" s="185" t="e">
        <f aca="false">SQRT((AD38^2*(A38-$D$3)+AC38^2*(DAY(EOMONTH(A38,0))/2))/AK38)</f>
        <v>#N/A</v>
      </c>
      <c r="AF38" s="224" t="e">
        <f aca="false">((Summary!$N$9*(AA38*AD38)*(A38-$D$3))+(Summary!$M$9*Z38*AC38*(AJ38-EOMONTH(EDATE(A38,-1),0))))/(AK38*AB38*AE38)</f>
        <v>#N/A</v>
      </c>
      <c r="AG38" s="207" t="n">
        <f aca="false">IF($A39="","",Summary!$Q$9)</f>
        <v>0</v>
      </c>
      <c r="AH38" s="207" t="n">
        <f aca="false">IF($A39="","",IF(Summary!$R$9="Y",VLOOKUP($A38,Summary!$AD$6:$AF$9,3)+'Escalating commodity'!E51,'Escalating commodity'!E51))</f>
        <v>0.0747</v>
      </c>
      <c r="AI38" s="207" t="n">
        <f aca="false">IF($A39="","",AH38)</f>
        <v>0.0747</v>
      </c>
      <c r="AJ38" s="208" t="n">
        <f aca="false">A38+DAY(EOMONTH(A38,0))/2-1</f>
        <v>37909.5</v>
      </c>
      <c r="AK38" s="209" t="n">
        <f aca="false">IF($A39="","",$A38-$E$1)</f>
        <v>-8031</v>
      </c>
      <c r="AL38" s="182" t="e">
        <f aca="false">IF($A39="","",SPRDOPT(P38,X38,AI38,0,AB38,AE38,AF38,AK38,$AJ$2,0))</f>
        <v>#NAME?</v>
      </c>
      <c r="AM38" s="211" t="e">
        <f aca="false">IF($A39="","",MAX(0,O38-W38-AI38))</f>
        <v>#N/A</v>
      </c>
      <c r="AN38" s="211" t="e">
        <f aca="false">IF($A39="","",AL38-AM38)</f>
        <v>#N/A</v>
      </c>
      <c r="AO38" s="137" t="n">
        <f aca="false">IF(A39="","",A39-A38)</f>
        <v>31</v>
      </c>
      <c r="AP38" s="212" t="n">
        <f aca="false">IF(A39="","",CHOOSE(F$3,A39+24,A38))</f>
        <v>37895</v>
      </c>
      <c r="AQ38" s="209" t="n">
        <f aca="false">IF(A39="","",AP38-$E$1)</f>
        <v>-8031</v>
      </c>
      <c r="AR38" s="185" t="n">
        <f aca="false">'ANR OK vs ML7'!AR38</f>
        <v>0.1</v>
      </c>
      <c r="AS38" s="213" t="n">
        <f aca="false">IF(A39="","",1/(1+CHOOSE(F$3,(AR39+($I$3/10000))/2,(AR38+($I$3/10000))/2))^(2*AQ38/365.25))</f>
        <v>8.54686886922894</v>
      </c>
      <c r="AT38" s="137" t="n">
        <f aca="false">IF(A39="","",IF(AND(mthbeg&lt;=A38,mthend&gt;=A38),1,0))</f>
        <v>1</v>
      </c>
      <c r="AU38" s="137" t="n">
        <f aca="false">IF(A39="","",AO38*AT38)</f>
        <v>31</v>
      </c>
      <c r="AW38" s="195" t="e">
        <f aca="false">IF($A39="","",AL38*$E38)</f>
        <v>#NAME?</v>
      </c>
      <c r="AX38" s="195" t="e">
        <f aca="false">IF($A39="","",AM38*$E38)</f>
        <v>#N/A</v>
      </c>
      <c r="AY38" s="195" t="e">
        <f aca="false">IF($A39="","",AN38*$E38)</f>
        <v>#N/A</v>
      </c>
      <c r="BA38" s="195" t="n">
        <f aca="false">IF($A39="","",F38*Summary!$Q$9)</f>
        <v>0</v>
      </c>
      <c r="BC38" s="179" t="e">
        <f aca="false">IF(A39="","",AM38*F38)</f>
        <v>#N/A</v>
      </c>
    </row>
    <row r="39" customFormat="false" ht="12.75" hidden="false" customHeight="false" outlineLevel="0" collapsed="false">
      <c r="A39" s="196" t="n">
        <f aca="false">IF(A38&lt;mthend,EDATE(A38,1),"")</f>
        <v>37926</v>
      </c>
      <c r="B39" s="197" t="n">
        <f aca="false">IF(A39&lt;mthend,B38,"")</f>
        <v>36050</v>
      </c>
      <c r="C39" s="215"/>
      <c r="D39" s="197" t="n">
        <f aca="false">IF(A40&lt;&gt;"",B39+C39,"")</f>
        <v>36050</v>
      </c>
      <c r="E39" s="199" t="n">
        <f aca="false">IF(A40="","",IF(AND(AT39=1,$H$3=1),D39*AO39,IF($H$3=2,D39,"N/A")))</f>
        <v>1081500</v>
      </c>
      <c r="F39" s="199" t="n">
        <f aca="false">IF(A40="","",E39*AS39)</f>
        <v>9167200.91938054</v>
      </c>
      <c r="G39" s="200" t="e">
        <f aca="false">IF($A40="","",VLOOKUP($A39,Table,MATCH(G$4,Curves,0)))</f>
        <v>#N/A</v>
      </c>
      <c r="H39" s="201" t="e">
        <f aca="false">IF(A40="","",G39)</f>
        <v>#N/A</v>
      </c>
      <c r="I39" s="202"/>
      <c r="J39" s="200" t="e">
        <f aca="false">IF($A40="","",VLOOKUP($A39,Table,MATCH(J$4,Curves,0)))</f>
        <v>#N/A</v>
      </c>
      <c r="K39" s="201" t="e">
        <f aca="false">IF(A40="","",J39)</f>
        <v>#N/A</v>
      </c>
      <c r="L39" s="200" t="e">
        <f aca="false">IF($A40="","",VLOOKUP($A39,Table,MATCH(L$4,Curves,0)))</f>
        <v>#N/A</v>
      </c>
      <c r="M39" s="201" t="e">
        <f aca="false">IF(A40="","",L39)</f>
        <v>#N/A</v>
      </c>
      <c r="N39" s="203"/>
      <c r="O39" s="200" t="e">
        <f aca="false">IF(A40="","",L39+J39+G39)</f>
        <v>#N/A</v>
      </c>
      <c r="P39" s="200" t="e">
        <f aca="false">IF(A40="","",M39+K39+H39)</f>
        <v>#N/A</v>
      </c>
      <c r="Q39" s="204"/>
      <c r="R39" s="200" t="e">
        <f aca="false">IF($A40="","",VLOOKUP($A39,Table,MATCH(R$4,Curves,0)))</f>
        <v>#N/A</v>
      </c>
      <c r="S39" s="201" t="e">
        <f aca="false">IF(A40="","",R39)</f>
        <v>#N/A</v>
      </c>
      <c r="T39" s="200" t="e">
        <f aca="false">IF($A40="","",VLOOKUP($A39,Table,MATCH(T$4,Curves,0)))</f>
        <v>#N/A</v>
      </c>
      <c r="U39" s="201" t="e">
        <f aca="false">IF(A40="","",T39)</f>
        <v>#N/A</v>
      </c>
      <c r="V39" s="225" t="e">
        <f aca="false">IF($A40="","",IF(AND(MONTH(A39)&gt;3,MONTH(A39)&lt;11),(T39+R39+G39)*Summary!$T$9/(1-Summary!$T$9),(T39+R39+G39)*Summary!$U$9/(1-Summary!$U$9)))</f>
        <v>#N/A</v>
      </c>
      <c r="W39" s="200" t="e">
        <f aca="false">IF($A40="","",(T39+R39+G39+V39))</f>
        <v>#N/A</v>
      </c>
      <c r="X39" s="200" t="e">
        <f aca="false">IF($A40="","",(U39+S39+H39+V39))</f>
        <v>#N/A</v>
      </c>
      <c r="Y39" s="202"/>
      <c r="Z39" s="185" t="e">
        <f aca="false">IF($A40="","",VLOOKUP($A39,Table,MATCH(Z$4,Curves,0)))</f>
        <v>#N/A</v>
      </c>
      <c r="AA39" s="185" t="e">
        <f aca="false">IF($A40="","",VLOOKUP($A39,Table,MATCH(AA$4,Curves,0)))</f>
        <v>#N/A</v>
      </c>
      <c r="AB39" s="185" t="e">
        <f aca="false">SQRT((AA39^2*(A39-$D$3)+Z39^2*(DAY(EOMONTH(A39,0))/2))/AK39)</f>
        <v>#N/A</v>
      </c>
      <c r="AC39" s="185" t="e">
        <f aca="false">IF($A40="","",VLOOKUP($A39,Table,MATCH(AC$4,Curves,0)))</f>
        <v>#N/A</v>
      </c>
      <c r="AD39" s="185" t="e">
        <f aca="false">IF($A40="","",VLOOKUP($A39,Table,MATCH(AD$4,Curves,0)))</f>
        <v>#N/A</v>
      </c>
      <c r="AE39" s="185" t="e">
        <f aca="false">SQRT((AD39^2*(A39-$D$3)+AC39^2*(DAY(EOMONTH(A39,0))/2))/AK39)</f>
        <v>#N/A</v>
      </c>
      <c r="AF39" s="224" t="e">
        <f aca="false">((Summary!$N$9*(AA39*AD39)*(A39-$D$3))+(Summary!$M$9*Z39*AC39*(AJ39-EOMONTH(EDATE(A39,-1),0))))/(AK39*AB39*AE39)</f>
        <v>#N/A</v>
      </c>
      <c r="AG39" s="207" t="n">
        <f aca="false">IF($A40="","",Summary!$Q$9)</f>
        <v>0</v>
      </c>
      <c r="AH39" s="207" t="n">
        <f aca="false">IF($A40="","",IF(Summary!$R$9="Y",VLOOKUP($A39,Summary!$AD$6:$AF$9,3)+'Escalating commodity'!E52,'Escalating commodity'!E52))</f>
        <v>0.0747</v>
      </c>
      <c r="AI39" s="207" t="n">
        <f aca="false">IF($A40="","",AH39)</f>
        <v>0.0747</v>
      </c>
      <c r="AJ39" s="208" t="n">
        <f aca="false">A39+DAY(EOMONTH(A39,0))/2-1</f>
        <v>37940</v>
      </c>
      <c r="AK39" s="209" t="n">
        <f aca="false">IF($A40="","",$A39-$E$1)</f>
        <v>-8000</v>
      </c>
      <c r="AL39" s="182" t="e">
        <f aca="false">IF($A40="","",SPRDOPT(P39,X39,AI39,0,AB39,AE39,AF39,AK39,$AJ$2,0))</f>
        <v>#NAME?</v>
      </c>
      <c r="AM39" s="211" t="e">
        <f aca="false">IF($A40="","",MAX(0,O39-W39-AI39))</f>
        <v>#N/A</v>
      </c>
      <c r="AN39" s="211" t="e">
        <f aca="false">IF($A40="","",AL39-AM39)</f>
        <v>#N/A</v>
      </c>
      <c r="AO39" s="137" t="n">
        <f aca="false">IF(A40="","",A40-A39)</f>
        <v>30</v>
      </c>
      <c r="AP39" s="212" t="n">
        <f aca="false">IF(A40="","",CHOOSE(F$3,A40+24,A39))</f>
        <v>37926</v>
      </c>
      <c r="AQ39" s="209" t="n">
        <f aca="false">IF(A40="","",AP39-$E$1)</f>
        <v>-8000</v>
      </c>
      <c r="AR39" s="185" t="n">
        <f aca="false">'ANR OK vs ML7'!AR39</f>
        <v>0.1</v>
      </c>
      <c r="AS39" s="213" t="n">
        <f aca="false">IF(A40="","",1/(1+CHOOSE(F$3,(AR40+($I$3/10000))/2,(AR39+($I$3/10000))/2))^(2*AQ39/365.25))</f>
        <v>8.47637625462833</v>
      </c>
      <c r="AT39" s="137" t="n">
        <f aca="false">IF(A40="","",IF(AND(mthbeg&lt;=A39,mthend&gt;=A39),1,0))</f>
        <v>1</v>
      </c>
      <c r="AU39" s="137" t="n">
        <f aca="false">IF(A40="","",AO39*AT39)</f>
        <v>30</v>
      </c>
      <c r="AW39" s="195" t="e">
        <f aca="false">IF($A40="","",AL39*$E39)</f>
        <v>#NAME?</v>
      </c>
      <c r="AX39" s="195" t="e">
        <f aca="false">IF($A40="","",AM39*$E39)</f>
        <v>#N/A</v>
      </c>
      <c r="AY39" s="195" t="e">
        <f aca="false">IF($A40="","",AN39*$E39)</f>
        <v>#N/A</v>
      </c>
      <c r="BA39" s="195" t="n">
        <f aca="false">IF($A40="","",F39*Summary!$Q$9)</f>
        <v>0</v>
      </c>
      <c r="BC39" s="179" t="e">
        <f aca="false">IF(A40="","",AM39*F39)</f>
        <v>#N/A</v>
      </c>
    </row>
    <row r="40" customFormat="false" ht="12.75" hidden="false" customHeight="false" outlineLevel="0" collapsed="false">
      <c r="A40" s="196" t="n">
        <f aca="false">IF(A39&lt;mthend,EDATE(A39,1),"")</f>
        <v>37956</v>
      </c>
      <c r="B40" s="197" t="n">
        <f aca="false">IF(A40&lt;mthend,B39,"")</f>
        <v>36050</v>
      </c>
      <c r="C40" s="215"/>
      <c r="D40" s="197" t="n">
        <f aca="false">IF(A41&lt;&gt;"",B40+C40,"")</f>
        <v>36050</v>
      </c>
      <c r="E40" s="199" t="n">
        <f aca="false">IF(A41="","",IF(AND(AT40=1,$H$3=1),D40*AO40,IF($H$3=2,D40,"N/A")))</f>
        <v>1117550</v>
      </c>
      <c r="F40" s="199" t="n">
        <f aca="false">IF(A41="","",E40*AS40)</f>
        <v>9397155.22543717</v>
      </c>
      <c r="G40" s="200" t="e">
        <f aca="false">IF($A41="","",VLOOKUP($A40,Table,MATCH(G$4,Curves,0)))</f>
        <v>#N/A</v>
      </c>
      <c r="H40" s="201" t="e">
        <f aca="false">IF(A41="","",G40)</f>
        <v>#N/A</v>
      </c>
      <c r="I40" s="202"/>
      <c r="J40" s="200" t="e">
        <f aca="false">IF($A41="","",VLOOKUP($A40,Table,MATCH(J$4,Curves,0)))</f>
        <v>#N/A</v>
      </c>
      <c r="K40" s="201" t="e">
        <f aca="false">IF(A41="","",J40)</f>
        <v>#N/A</v>
      </c>
      <c r="L40" s="200" t="e">
        <f aca="false">IF($A41="","",VLOOKUP($A40,Table,MATCH(L$4,Curves,0)))</f>
        <v>#N/A</v>
      </c>
      <c r="M40" s="201" t="e">
        <f aca="false">IF(A41="","",L40)</f>
        <v>#N/A</v>
      </c>
      <c r="N40" s="203"/>
      <c r="O40" s="200" t="e">
        <f aca="false">IF(A41="","",L40+J40+G40)</f>
        <v>#N/A</v>
      </c>
      <c r="P40" s="200" t="e">
        <f aca="false">IF(A41="","",M40+K40+H40)</f>
        <v>#N/A</v>
      </c>
      <c r="Q40" s="204"/>
      <c r="R40" s="200" t="e">
        <f aca="false">IF($A41="","",VLOOKUP($A40,Table,MATCH(R$4,Curves,0)))</f>
        <v>#N/A</v>
      </c>
      <c r="S40" s="201" t="e">
        <f aca="false">IF(A41="","",R40)</f>
        <v>#N/A</v>
      </c>
      <c r="T40" s="200" t="e">
        <f aca="false">IF($A41="","",VLOOKUP($A40,Table,MATCH(T$4,Curves,0)))</f>
        <v>#N/A</v>
      </c>
      <c r="U40" s="201" t="e">
        <f aca="false">IF(A41="","",T40)</f>
        <v>#N/A</v>
      </c>
      <c r="V40" s="225" t="e">
        <f aca="false">IF($A41="","",IF(AND(MONTH(A40)&gt;3,MONTH(A40)&lt;11),(T40+R40+G40)*Summary!$T$9/(1-Summary!$T$9),(T40+R40+G40)*Summary!$U$9/(1-Summary!$U$9)))</f>
        <v>#N/A</v>
      </c>
      <c r="W40" s="200" t="e">
        <f aca="false">IF($A41="","",(T40+R40+G40+V40))</f>
        <v>#N/A</v>
      </c>
      <c r="X40" s="200" t="e">
        <f aca="false">IF($A41="","",(U40+S40+H40+V40))</f>
        <v>#N/A</v>
      </c>
      <c r="Y40" s="202"/>
      <c r="Z40" s="185" t="e">
        <f aca="false">IF($A41="","",VLOOKUP($A40,Table,MATCH(Z$4,Curves,0)))</f>
        <v>#N/A</v>
      </c>
      <c r="AA40" s="185" t="e">
        <f aca="false">IF($A41="","",VLOOKUP($A40,Table,MATCH(AA$4,Curves,0)))</f>
        <v>#N/A</v>
      </c>
      <c r="AB40" s="185" t="e">
        <f aca="false">SQRT((AA40^2*(A40-$D$3)+Z40^2*(DAY(EOMONTH(A40,0))/2))/AK40)</f>
        <v>#N/A</v>
      </c>
      <c r="AC40" s="185" t="e">
        <f aca="false">IF($A41="","",VLOOKUP($A40,Table,MATCH(AC$4,Curves,0)))</f>
        <v>#N/A</v>
      </c>
      <c r="AD40" s="185" t="e">
        <f aca="false">IF($A41="","",VLOOKUP($A40,Table,MATCH(AD$4,Curves,0)))</f>
        <v>#N/A</v>
      </c>
      <c r="AE40" s="185" t="e">
        <f aca="false">SQRT((AD40^2*(A40-$D$3)+AC40^2*(DAY(EOMONTH(A40,0))/2))/AK40)</f>
        <v>#N/A</v>
      </c>
      <c r="AF40" s="224" t="e">
        <f aca="false">((Summary!$N$9*(AA40*AD40)*(A40-$D$3))+(Summary!$M$9*Z40*AC40*(AJ40-EOMONTH(EDATE(A40,-1),0))))/(AK40*AB40*AE40)</f>
        <v>#N/A</v>
      </c>
      <c r="AG40" s="207" t="n">
        <f aca="false">IF($A41="","",Summary!$Q$9)</f>
        <v>0</v>
      </c>
      <c r="AH40" s="207" t="n">
        <f aca="false">IF($A41="","",IF(Summary!$R$9="Y",VLOOKUP($A40,Summary!$AD$6:$AF$9,3)+'Escalating commodity'!E53,'Escalating commodity'!E53))</f>
        <v>0.0747</v>
      </c>
      <c r="AI40" s="207" t="n">
        <f aca="false">IF($A41="","",AH40)</f>
        <v>0.0747</v>
      </c>
      <c r="AJ40" s="208" t="n">
        <f aca="false">A40+DAY(EOMONTH(A40,0))/2-1</f>
        <v>37970.5</v>
      </c>
      <c r="AK40" s="209" t="n">
        <f aca="false">IF($A41="","",$A40-$E$1)</f>
        <v>-7970</v>
      </c>
      <c r="AL40" s="182" t="e">
        <f aca="false">IF($A41="","",SPRDOPT(P40,X40,AI40,0,AB40,AE40,AF40,AK40,$AJ$2,0))</f>
        <v>#NAME?</v>
      </c>
      <c r="AM40" s="211" t="e">
        <f aca="false">IF($A41="","",MAX(0,O40-W40-AI40))</f>
        <v>#N/A</v>
      </c>
      <c r="AN40" s="211" t="e">
        <f aca="false">IF($A41="","",AL40-AM40)</f>
        <v>#N/A</v>
      </c>
      <c r="AO40" s="137" t="n">
        <f aca="false">IF(A41="","",A41-A40)</f>
        <v>31</v>
      </c>
      <c r="AP40" s="212" t="n">
        <f aca="false">IF(A41="","",CHOOSE(F$3,A41+24,A40))</f>
        <v>37956</v>
      </c>
      <c r="AQ40" s="209" t="n">
        <f aca="false">IF(A41="","",AP40-$E$1)</f>
        <v>-7970</v>
      </c>
      <c r="AR40" s="185" t="n">
        <f aca="false">'ANR OK vs ML7'!AR40</f>
        <v>0.1</v>
      </c>
      <c r="AS40" s="213" t="n">
        <f aca="false">IF(A41="","",1/(1+CHOOSE(F$3,(AR41+($I$3/10000))/2,(AR40+($I$3/10000))/2))^(2*AQ40/365.25))</f>
        <v>8.40871122136564</v>
      </c>
      <c r="AT40" s="137" t="n">
        <f aca="false">IF(A41="","",IF(AND(mthbeg&lt;=A40,mthend&gt;=A40),1,0))</f>
        <v>1</v>
      </c>
      <c r="AU40" s="137" t="n">
        <f aca="false">IF(A41="","",AO40*AT40)</f>
        <v>31</v>
      </c>
      <c r="AW40" s="195" t="e">
        <f aca="false">IF($A41="","",AL40*$E40)</f>
        <v>#NAME?</v>
      </c>
      <c r="AX40" s="195" t="e">
        <f aca="false">IF($A41="","",AM40*$E40)</f>
        <v>#N/A</v>
      </c>
      <c r="AY40" s="195" t="e">
        <f aca="false">IF($A41="","",AN40*$E40)</f>
        <v>#N/A</v>
      </c>
      <c r="BA40" s="195" t="n">
        <f aca="false">IF($A41="","",F40*Summary!$Q$9)</f>
        <v>0</v>
      </c>
      <c r="BC40" s="179" t="e">
        <f aca="false">IF(A41="","",AM40*F40)</f>
        <v>#N/A</v>
      </c>
    </row>
    <row r="41" customFormat="false" ht="12.75" hidden="false" customHeight="false" outlineLevel="0" collapsed="false">
      <c r="A41" s="196" t="n">
        <f aca="false">IF(A40&lt;mthend,EDATE(A40,1),"")</f>
        <v>37987</v>
      </c>
      <c r="B41" s="197" t="n">
        <f aca="false">IF(A41&lt;mthend,B40,"")</f>
        <v>36050</v>
      </c>
      <c r="C41" s="215"/>
      <c r="D41" s="197" t="n">
        <f aca="false">IF(A42&lt;&gt;"",B41+C41,"")</f>
        <v>36050</v>
      </c>
      <c r="E41" s="199" t="n">
        <f aca="false">IF(A42="","",IF(AND(AT41=1,$H$3=1),D41*AO41,IF($H$3=2,D41,"N/A")))</f>
        <v>1117550</v>
      </c>
      <c r="F41" s="199" t="n">
        <f aca="false">IF(A42="","",E41*AS41)</f>
        <v>9319649.64394477</v>
      </c>
      <c r="G41" s="200" t="e">
        <f aca="false">IF($A42="","",VLOOKUP($A41,Table,MATCH(G$4,Curves,0)))</f>
        <v>#N/A</v>
      </c>
      <c r="H41" s="201" t="e">
        <f aca="false">IF(A42="","",G41)</f>
        <v>#N/A</v>
      </c>
      <c r="I41" s="202"/>
      <c r="J41" s="200" t="e">
        <f aca="false">IF($A42="","",VLOOKUP($A41,Table,MATCH(J$4,Curves,0)))</f>
        <v>#N/A</v>
      </c>
      <c r="K41" s="201" t="e">
        <f aca="false">IF(A42="","",J41)</f>
        <v>#N/A</v>
      </c>
      <c r="L41" s="200" t="e">
        <f aca="false">IF($A42="","",VLOOKUP($A41,Table,MATCH(L$4,Curves,0)))</f>
        <v>#N/A</v>
      </c>
      <c r="M41" s="201" t="e">
        <f aca="false">IF(A42="","",L41)</f>
        <v>#N/A</v>
      </c>
      <c r="N41" s="203"/>
      <c r="O41" s="200" t="e">
        <f aca="false">IF(A42="","",L41+J41+G41)</f>
        <v>#N/A</v>
      </c>
      <c r="P41" s="200" t="e">
        <f aca="false">IF(A42="","",M41+K41+H41)</f>
        <v>#N/A</v>
      </c>
      <c r="Q41" s="204"/>
      <c r="R41" s="200" t="e">
        <f aca="false">IF($A42="","",VLOOKUP($A41,Table,MATCH(R$4,Curves,0)))</f>
        <v>#N/A</v>
      </c>
      <c r="S41" s="201" t="e">
        <f aca="false">IF(A42="","",R41)</f>
        <v>#N/A</v>
      </c>
      <c r="T41" s="200" t="e">
        <f aca="false">IF($A42="","",VLOOKUP($A41,Table,MATCH(T$4,Curves,0)))</f>
        <v>#N/A</v>
      </c>
      <c r="U41" s="201" t="e">
        <f aca="false">IF(A42="","",T41)</f>
        <v>#N/A</v>
      </c>
      <c r="V41" s="225" t="e">
        <f aca="false">IF($A42="","",IF(AND(MONTH(A41)&gt;3,MONTH(A41)&lt;11),(T41+R41+G41)*Summary!$T$9/(1-Summary!$T$9),(T41+R41+G41)*Summary!$U$9/(1-Summary!$U$9)))</f>
        <v>#N/A</v>
      </c>
      <c r="W41" s="200" t="e">
        <f aca="false">IF($A42="","",(T41+R41+G41+V41))</f>
        <v>#N/A</v>
      </c>
      <c r="X41" s="200" t="e">
        <f aca="false">IF($A42="","",(U41+S41+H41+V41))</f>
        <v>#N/A</v>
      </c>
      <c r="Y41" s="202"/>
      <c r="Z41" s="185" t="e">
        <f aca="false">IF($A42="","",VLOOKUP($A41,Table,MATCH(Z$4,Curves,0)))</f>
        <v>#N/A</v>
      </c>
      <c r="AA41" s="185" t="e">
        <f aca="false">IF($A42="","",VLOOKUP($A41,Table,MATCH(AA$4,Curves,0)))</f>
        <v>#N/A</v>
      </c>
      <c r="AB41" s="185" t="e">
        <f aca="false">SQRT((AA41^2*(A41-$D$3)+Z41^2*(DAY(EOMONTH(A41,0))/2))/AK41)</f>
        <v>#N/A</v>
      </c>
      <c r="AC41" s="185" t="e">
        <f aca="false">IF($A42="","",VLOOKUP($A41,Table,MATCH(AC$4,Curves,0)))</f>
        <v>#N/A</v>
      </c>
      <c r="AD41" s="185" t="e">
        <f aca="false">IF($A42="","",VLOOKUP($A41,Table,MATCH(AD$4,Curves,0)))</f>
        <v>#N/A</v>
      </c>
      <c r="AE41" s="185" t="e">
        <f aca="false">SQRT((AD41^2*(A41-$D$3)+AC41^2*(DAY(EOMONTH(A41,0))/2))/AK41)</f>
        <v>#N/A</v>
      </c>
      <c r="AF41" s="224" t="e">
        <f aca="false">((Summary!$N$9*(AA41*AD41)*(A41-$D$3))+(Summary!$M$9*Z41*AC41*(AJ41-EOMONTH(EDATE(A41,-1),0))))/(AK41*AB41*AE41)</f>
        <v>#N/A</v>
      </c>
      <c r="AG41" s="207" t="n">
        <f aca="false">IF($A42="","",Summary!$Q$9)</f>
        <v>0</v>
      </c>
      <c r="AH41" s="207" t="n">
        <f aca="false">IF($A42="","",IF(Summary!$R$9="Y",VLOOKUP($A41,Summary!$AD$6:$AF$9,3)+'Escalating commodity'!E54,'Escalating commodity'!E54))</f>
        <v>0.0707</v>
      </c>
      <c r="AI41" s="207" t="n">
        <f aca="false">IF($A42="","",AH41)</f>
        <v>0.0707</v>
      </c>
      <c r="AJ41" s="208" t="n">
        <f aca="false">A41+DAY(EOMONTH(A41,0))/2-1</f>
        <v>38001.5</v>
      </c>
      <c r="AK41" s="209" t="n">
        <f aca="false">IF($A42="","",$A41-$E$1)</f>
        <v>-7939</v>
      </c>
      <c r="AL41" s="182" t="e">
        <f aca="false">IF($A42="","",SPRDOPT(P41,X41,AI41,0,AB41,AE41,AF41,AK41,$AJ$2,0))</f>
        <v>#NAME?</v>
      </c>
      <c r="AM41" s="211" t="e">
        <f aca="false">IF($A42="","",MAX(0,O41-W41-AI41))</f>
        <v>#N/A</v>
      </c>
      <c r="AN41" s="211" t="e">
        <f aca="false">IF($A42="","",AL41-AM41)</f>
        <v>#N/A</v>
      </c>
      <c r="AO41" s="137" t="n">
        <f aca="false">IF(A42="","",A42-A41)</f>
        <v>31</v>
      </c>
      <c r="AP41" s="212" t="n">
        <f aca="false">IF(A42="","",CHOOSE(F$3,A42+24,A41))</f>
        <v>37987</v>
      </c>
      <c r="AQ41" s="209" t="n">
        <f aca="false">IF(A42="","",AP41-$E$1)</f>
        <v>-7939</v>
      </c>
      <c r="AR41" s="185" t="n">
        <f aca="false">'ANR OK vs ML7'!AR41</f>
        <v>0.1</v>
      </c>
      <c r="AS41" s="213" t="n">
        <f aca="false">IF(A42="","",1/(1+CHOOSE(F$3,(AR42+($I$3/10000))/2,(AR41+($I$3/10000))/2))^(2*AQ41/365.25))</f>
        <v>8.33935809936448</v>
      </c>
      <c r="AT41" s="137" t="n">
        <f aca="false">IF(A42="","",IF(AND(mthbeg&lt;=A41,mthend&gt;=A41),1,0))</f>
        <v>1</v>
      </c>
      <c r="AU41" s="137" t="n">
        <f aca="false">IF(A42="","",AO41*AT41)</f>
        <v>31</v>
      </c>
      <c r="AW41" s="195" t="e">
        <f aca="false">IF($A42="","",AL41*$E41)</f>
        <v>#NAME?</v>
      </c>
      <c r="AX41" s="195" t="e">
        <f aca="false">IF($A42="","",AM41*$E41)</f>
        <v>#N/A</v>
      </c>
      <c r="AY41" s="195" t="e">
        <f aca="false">IF($A42="","",AN41*$E41)</f>
        <v>#N/A</v>
      </c>
      <c r="BA41" s="195" t="n">
        <f aca="false">IF($A42="","",F41*Summary!$Q$9)</f>
        <v>0</v>
      </c>
      <c r="BC41" s="179" t="e">
        <f aca="false">IF(A42="","",AM41*F41)</f>
        <v>#N/A</v>
      </c>
    </row>
    <row r="42" customFormat="false" ht="12.75" hidden="false" customHeight="false" outlineLevel="0" collapsed="false">
      <c r="A42" s="196" t="n">
        <f aca="false">IF(A41&lt;mthend,EDATE(A41,1),"")</f>
        <v>38018</v>
      </c>
      <c r="B42" s="197" t="n">
        <f aca="false">IF(A42&lt;mthend,B41,"")</f>
        <v>36050</v>
      </c>
      <c r="C42" s="215"/>
      <c r="D42" s="197" t="n">
        <f aca="false">IF(A43&lt;&gt;"",B42+C42,"")</f>
        <v>36050</v>
      </c>
      <c r="E42" s="199" t="n">
        <f aca="false">IF(A43="","",IF(AND(AT42=1,$H$3=1),D42*AO42,IF($H$3=2,D42,"N/A")))</f>
        <v>1045450</v>
      </c>
      <c r="F42" s="199" t="n">
        <f aca="false">IF(A43="","",E42*AS42)</f>
        <v>8646474.71002481</v>
      </c>
      <c r="G42" s="200" t="e">
        <f aca="false">IF($A43="","",VLOOKUP($A42,Table,MATCH(G$4,Curves,0)))</f>
        <v>#N/A</v>
      </c>
      <c r="H42" s="201" t="e">
        <f aca="false">IF(A43="","",G42)</f>
        <v>#N/A</v>
      </c>
      <c r="I42" s="202"/>
      <c r="J42" s="200" t="e">
        <f aca="false">IF($A43="","",VLOOKUP($A42,Table,MATCH(J$4,Curves,0)))</f>
        <v>#N/A</v>
      </c>
      <c r="K42" s="201" t="e">
        <f aca="false">IF(A43="","",J42)</f>
        <v>#N/A</v>
      </c>
      <c r="L42" s="200" t="e">
        <f aca="false">IF($A43="","",VLOOKUP($A42,Table,MATCH(L$4,Curves,0)))</f>
        <v>#N/A</v>
      </c>
      <c r="M42" s="201" t="e">
        <f aca="false">IF(A43="","",L42)</f>
        <v>#N/A</v>
      </c>
      <c r="N42" s="203"/>
      <c r="O42" s="200" t="e">
        <f aca="false">IF(A43="","",L42+J42+G42)</f>
        <v>#N/A</v>
      </c>
      <c r="P42" s="200" t="e">
        <f aca="false">IF(A43="","",M42+K42+H42)</f>
        <v>#N/A</v>
      </c>
      <c r="Q42" s="204"/>
      <c r="R42" s="200" t="e">
        <f aca="false">IF($A43="","",VLOOKUP($A42,Table,MATCH(R$4,Curves,0)))</f>
        <v>#N/A</v>
      </c>
      <c r="S42" s="201" t="e">
        <f aca="false">IF(A43="","",R42)</f>
        <v>#N/A</v>
      </c>
      <c r="T42" s="200" t="e">
        <f aca="false">IF($A43="","",VLOOKUP($A42,Table,MATCH(T$4,Curves,0)))</f>
        <v>#N/A</v>
      </c>
      <c r="U42" s="201" t="e">
        <f aca="false">IF(A43="","",T42)</f>
        <v>#N/A</v>
      </c>
      <c r="V42" s="225" t="e">
        <f aca="false">IF($A43="","",IF(AND(MONTH(A42)&gt;3,MONTH(A42)&lt;11),(T42+R42+G42)*Summary!$T$9/(1-Summary!$T$9),(T42+R42+G42)*Summary!$U$9/(1-Summary!$U$9)))</f>
        <v>#N/A</v>
      </c>
      <c r="W42" s="200" t="e">
        <f aca="false">IF($A43="","",(T42+R42+G42+V42))</f>
        <v>#N/A</v>
      </c>
      <c r="X42" s="200" t="e">
        <f aca="false">IF($A43="","",(U42+S42+H42+V42))</f>
        <v>#N/A</v>
      </c>
      <c r="Y42" s="202"/>
      <c r="Z42" s="185" t="e">
        <f aca="false">IF($A43="","",VLOOKUP($A42,Table,MATCH(Z$4,Curves,0)))</f>
        <v>#N/A</v>
      </c>
      <c r="AA42" s="185" t="e">
        <f aca="false">IF($A43="","",VLOOKUP($A42,Table,MATCH(AA$4,Curves,0)))</f>
        <v>#N/A</v>
      </c>
      <c r="AB42" s="185" t="e">
        <f aca="false">SQRT((AA42^2*(A42-$D$3)+Z42^2*(DAY(EOMONTH(A42,0))/2))/AK42)</f>
        <v>#N/A</v>
      </c>
      <c r="AC42" s="185" t="e">
        <f aca="false">IF($A43="","",VLOOKUP($A42,Table,MATCH(AC$4,Curves,0)))</f>
        <v>#N/A</v>
      </c>
      <c r="AD42" s="185" t="e">
        <f aca="false">IF($A43="","",VLOOKUP($A42,Table,MATCH(AD$4,Curves,0)))</f>
        <v>#N/A</v>
      </c>
      <c r="AE42" s="185" t="e">
        <f aca="false">SQRT((AD42^2*(A42-$D$3)+AC42^2*(DAY(EOMONTH(A42,0))/2))/AK42)</f>
        <v>#N/A</v>
      </c>
      <c r="AF42" s="224" t="e">
        <f aca="false">((Summary!$N$9*(AA42*AD42)*(A42-$D$3))+(Summary!$M$9*Z42*AC42*(AJ42-EOMONTH(EDATE(A42,-1),0))))/(AK42*AB42*AE42)</f>
        <v>#N/A</v>
      </c>
      <c r="AG42" s="207" t="n">
        <f aca="false">IF($A43="","",Summary!$Q$9)</f>
        <v>0</v>
      </c>
      <c r="AH42" s="207" t="n">
        <f aca="false">IF($A43="","",IF(Summary!$R$9="Y",VLOOKUP($A42,Summary!$AD$6:$AF$9,3)+'Escalating commodity'!E55,'Escalating commodity'!E55))</f>
        <v>0.0707</v>
      </c>
      <c r="AI42" s="207" t="n">
        <f aca="false">IF($A43="","",AH42)</f>
        <v>0.0707</v>
      </c>
      <c r="AJ42" s="208" t="n">
        <f aca="false">A42+DAY(EOMONTH(A42,0))/2-1</f>
        <v>38031.5</v>
      </c>
      <c r="AK42" s="209" t="n">
        <f aca="false">IF($A43="","",$A42-$E$1)</f>
        <v>-7908</v>
      </c>
      <c r="AL42" s="182" t="e">
        <f aca="false">IF($A43="","",SPRDOPT(P42,X42,AI42,0,AB42,AE42,AF42,AK42,$AJ$2,0))</f>
        <v>#NAME?</v>
      </c>
      <c r="AM42" s="211" t="e">
        <f aca="false">IF($A43="","",MAX(0,O42-W42-AI42))</f>
        <v>#N/A</v>
      </c>
      <c r="AN42" s="211" t="e">
        <f aca="false">IF($A43="","",AL42-AM42)</f>
        <v>#N/A</v>
      </c>
      <c r="AO42" s="137" t="n">
        <f aca="false">IF(A43="","",A43-A42)</f>
        <v>29</v>
      </c>
      <c r="AP42" s="212" t="n">
        <f aca="false">IF(A43="","",CHOOSE(F$3,A43+24,A42))</f>
        <v>38018</v>
      </c>
      <c r="AQ42" s="209" t="n">
        <f aca="false">IF(A43="","",AP42-$E$1)</f>
        <v>-7908</v>
      </c>
      <c r="AR42" s="185" t="n">
        <f aca="false">'ANR OK vs ML7'!AR42</f>
        <v>0.1</v>
      </c>
      <c r="AS42" s="213" t="n">
        <f aca="false">IF(A43="","",1/(1+CHOOSE(F$3,(AR43+($I$3/10000))/2,(AR42+($I$3/10000))/2))^(2*AQ42/365.25))</f>
        <v>8.27057698601063</v>
      </c>
      <c r="AT42" s="137" t="n">
        <f aca="false">IF(A43="","",IF(AND(mthbeg&lt;=A42,mthend&gt;=A42),1,0))</f>
        <v>1</v>
      </c>
      <c r="AU42" s="137" t="n">
        <f aca="false">IF(A43="","",AO42*AT42)</f>
        <v>29</v>
      </c>
      <c r="AW42" s="195" t="e">
        <f aca="false">IF($A43="","",AL42*$E42)</f>
        <v>#NAME?</v>
      </c>
      <c r="AX42" s="195" t="e">
        <f aca="false">IF($A43="","",AM42*$E42)</f>
        <v>#N/A</v>
      </c>
      <c r="AY42" s="195" t="e">
        <f aca="false">IF($A43="","",AN42*$E42)</f>
        <v>#N/A</v>
      </c>
      <c r="BA42" s="195" t="n">
        <f aca="false">IF($A43="","",F42*Summary!$Q$9)</f>
        <v>0</v>
      </c>
      <c r="BC42" s="179" t="e">
        <f aca="false">IF(A43="","",AM42*F42)</f>
        <v>#N/A</v>
      </c>
    </row>
    <row r="43" customFormat="false" ht="12.75" hidden="false" customHeight="false" outlineLevel="0" collapsed="false">
      <c r="A43" s="196" t="n">
        <f aca="false">IF(A42&lt;mthend,EDATE(A42,1),"")</f>
        <v>38047</v>
      </c>
      <c r="B43" s="197" t="n">
        <f aca="false">IF(A43&lt;mthend,B42,"")</f>
        <v>36050</v>
      </c>
      <c r="C43" s="215"/>
      <c r="D43" s="197" t="n">
        <f aca="false">IF(A44&lt;&gt;"",B43+C43,"")</f>
        <v>36050</v>
      </c>
      <c r="E43" s="199" t="n">
        <f aca="false">IF(A44="","",IF(AND(AT43=1,$H$3=1),D43*AO43,IF($H$3=2,D43,"N/A")))</f>
        <v>1117550</v>
      </c>
      <c r="F43" s="199" t="n">
        <f aca="false">IF(A44="","",E43*AS43)</f>
        <v>9171450.14057951</v>
      </c>
      <c r="G43" s="200" t="e">
        <f aca="false">IF($A44="","",VLOOKUP($A43,Table,MATCH(G$4,Curves,0)))</f>
        <v>#N/A</v>
      </c>
      <c r="H43" s="201" t="e">
        <f aca="false">IF(A44="","",G43)</f>
        <v>#N/A</v>
      </c>
      <c r="I43" s="202"/>
      <c r="J43" s="200" t="e">
        <f aca="false">IF($A44="","",VLOOKUP($A43,Table,MATCH(J$4,Curves,0)))</f>
        <v>#N/A</v>
      </c>
      <c r="K43" s="201" t="e">
        <f aca="false">IF(A44="","",J43)</f>
        <v>#N/A</v>
      </c>
      <c r="L43" s="200" t="e">
        <f aca="false">IF($A44="","",VLOOKUP($A43,Table,MATCH(L$4,Curves,0)))</f>
        <v>#N/A</v>
      </c>
      <c r="M43" s="201" t="e">
        <f aca="false">IF(A44="","",L43)</f>
        <v>#N/A</v>
      </c>
      <c r="N43" s="203"/>
      <c r="O43" s="200" t="e">
        <f aca="false">IF(A44="","",L43+J43+G43)</f>
        <v>#N/A</v>
      </c>
      <c r="P43" s="200" t="e">
        <f aca="false">IF(A44="","",M43+K43+H43)</f>
        <v>#N/A</v>
      </c>
      <c r="Q43" s="204"/>
      <c r="R43" s="200" t="e">
        <f aca="false">IF($A44="","",VLOOKUP($A43,Table,MATCH(R$4,Curves,0)))</f>
        <v>#N/A</v>
      </c>
      <c r="S43" s="201" t="e">
        <f aca="false">IF(A44="","",R43)</f>
        <v>#N/A</v>
      </c>
      <c r="T43" s="200" t="e">
        <f aca="false">IF($A44="","",VLOOKUP($A43,Table,MATCH(T$4,Curves,0)))</f>
        <v>#N/A</v>
      </c>
      <c r="U43" s="201" t="e">
        <f aca="false">IF(A44="","",T43)</f>
        <v>#N/A</v>
      </c>
      <c r="V43" s="225" t="e">
        <f aca="false">IF($A44="","",IF(AND(MONTH(A43)&gt;3,MONTH(A43)&lt;11),(T43+R43+G43)*Summary!$T$9/(1-Summary!$T$9),(T43+R43+G43)*Summary!$U$9/(1-Summary!$U$9)))</f>
        <v>#N/A</v>
      </c>
      <c r="W43" s="200" t="e">
        <f aca="false">IF($A44="","",(T43+R43+G43+V43))</f>
        <v>#N/A</v>
      </c>
      <c r="X43" s="200" t="e">
        <f aca="false">IF($A44="","",(U43+S43+H43+V43))</f>
        <v>#N/A</v>
      </c>
      <c r="Y43" s="202"/>
      <c r="Z43" s="185" t="e">
        <f aca="false">IF($A44="","",VLOOKUP($A43,Table,MATCH(Z$4,Curves,0)))</f>
        <v>#N/A</v>
      </c>
      <c r="AA43" s="185" t="e">
        <f aca="false">IF($A44="","",VLOOKUP($A43,Table,MATCH(AA$4,Curves,0)))</f>
        <v>#N/A</v>
      </c>
      <c r="AB43" s="185" t="e">
        <f aca="false">SQRT((AA43^2*(A43-$D$3)+Z43^2*(DAY(EOMONTH(A43,0))/2))/AK43)</f>
        <v>#N/A</v>
      </c>
      <c r="AC43" s="185" t="e">
        <f aca="false">IF($A44="","",VLOOKUP($A43,Table,MATCH(AC$4,Curves,0)))</f>
        <v>#N/A</v>
      </c>
      <c r="AD43" s="185" t="e">
        <f aca="false">IF($A44="","",VLOOKUP($A43,Table,MATCH(AD$4,Curves,0)))</f>
        <v>#N/A</v>
      </c>
      <c r="AE43" s="185" t="e">
        <f aca="false">SQRT((AD43^2*(A43-$D$3)+AC43^2*(DAY(EOMONTH(A43,0))/2))/AK43)</f>
        <v>#N/A</v>
      </c>
      <c r="AF43" s="224" t="e">
        <f aca="false">((Summary!$N$9*(AA43*AD43)*(A43-$D$3))+(Summary!$M$9*Z43*AC43*(AJ43-EOMONTH(EDATE(A43,-1),0))))/(AK43*AB43*AE43)</f>
        <v>#N/A</v>
      </c>
      <c r="AG43" s="207" t="n">
        <f aca="false">IF($A44="","",Summary!$Q$9)</f>
        <v>0</v>
      </c>
      <c r="AH43" s="207" t="n">
        <f aca="false">IF($A44="","",IF(Summary!$R$9="Y",VLOOKUP($A43,Summary!$AD$6:$AF$9,3)+'Escalating commodity'!E56,'Escalating commodity'!E56))</f>
        <v>0.0707</v>
      </c>
      <c r="AI43" s="207" t="n">
        <f aca="false">IF($A44="","",AH43)</f>
        <v>0.0707</v>
      </c>
      <c r="AJ43" s="208" t="n">
        <f aca="false">A43+DAY(EOMONTH(A43,0))/2-1</f>
        <v>38061.5</v>
      </c>
      <c r="AK43" s="209" t="n">
        <f aca="false">IF($A44="","",$A43-$E$1)</f>
        <v>-7879</v>
      </c>
      <c r="AL43" s="182" t="e">
        <f aca="false">IF($A44="","",SPRDOPT(P43,X43,AI43,0,AB43,AE43,AF43,AK43,$AJ$2,0))</f>
        <v>#NAME?</v>
      </c>
      <c r="AM43" s="211" t="e">
        <f aca="false">IF($A44="","",MAX(0,O43-W43-AI43))</f>
        <v>#N/A</v>
      </c>
      <c r="AN43" s="211" t="e">
        <f aca="false">IF($A44="","",AL43-AM43)</f>
        <v>#N/A</v>
      </c>
      <c r="AO43" s="137" t="n">
        <f aca="false">IF(A44="","",A44-A43)</f>
        <v>31</v>
      </c>
      <c r="AP43" s="212" t="n">
        <f aca="false">IF(A44="","",CHOOSE(F$3,A44+24,A43))</f>
        <v>38047</v>
      </c>
      <c r="AQ43" s="209" t="n">
        <f aca="false">IF(A44="","",AP43-$E$1)</f>
        <v>-7879</v>
      </c>
      <c r="AR43" s="185" t="n">
        <f aca="false">'ANR OK vs ML7'!AR43</f>
        <v>0.1</v>
      </c>
      <c r="AS43" s="213" t="n">
        <f aca="false">IF(A44="","",1/(1+CHOOSE(F$3,(AR44+($I$3/10000))/2,(AR43+($I$3/10000))/2))^(2*AQ43/365.25))</f>
        <v>8.20674702749722</v>
      </c>
      <c r="AT43" s="137" t="n">
        <f aca="false">IF(A44="","",IF(AND(mthbeg&lt;=A43,mthend&gt;=A43),1,0))</f>
        <v>1</v>
      </c>
      <c r="AU43" s="137" t="n">
        <f aca="false">IF(A44="","",AO43*AT43)</f>
        <v>31</v>
      </c>
      <c r="AW43" s="195" t="e">
        <f aca="false">IF($A44="","",AL43*$E43)</f>
        <v>#NAME?</v>
      </c>
      <c r="AX43" s="195" t="e">
        <f aca="false">IF($A44="","",AM43*$E43)</f>
        <v>#N/A</v>
      </c>
      <c r="AY43" s="195" t="e">
        <f aca="false">IF($A44="","",AN43*$E43)</f>
        <v>#N/A</v>
      </c>
      <c r="BA43" s="195" t="n">
        <f aca="false">IF($A44="","",F43*Summary!$Q$9)</f>
        <v>0</v>
      </c>
      <c r="BC43" s="179" t="e">
        <f aca="false">IF(A44="","",AM43*F43)</f>
        <v>#N/A</v>
      </c>
    </row>
    <row r="44" customFormat="false" ht="12.75" hidden="false" customHeight="false" outlineLevel="0" collapsed="false">
      <c r="A44" s="196" t="n">
        <f aca="false">IF(A43&lt;mthend,EDATE(A43,1),"")</f>
        <v>38078</v>
      </c>
      <c r="B44" s="197" t="n">
        <f aca="false">IF(A44&lt;mthend,B43,"")</f>
        <v>36050</v>
      </c>
      <c r="C44" s="215"/>
      <c r="D44" s="197" t="n">
        <f aca="false">IF(A45&lt;&gt;"",B44+C44,"")</f>
        <v>36050</v>
      </c>
      <c r="E44" s="199" t="n">
        <f aca="false">IF(A45="","",IF(AND(AT44=1,$H$3=1),D44*AO44,IF($H$3=2,D44,"N/A")))</f>
        <v>1081500</v>
      </c>
      <c r="F44" s="199" t="n">
        <f aca="false">IF(A45="","",E44*AS44)</f>
        <v>8802393.0221341</v>
      </c>
      <c r="G44" s="200" t="e">
        <f aca="false">IF($A45="","",VLOOKUP($A44,Table,MATCH(G$4,Curves,0)))</f>
        <v>#N/A</v>
      </c>
      <c r="H44" s="201" t="e">
        <f aca="false">IF(A45="","",G44)</f>
        <v>#N/A</v>
      </c>
      <c r="I44" s="202"/>
      <c r="J44" s="200" t="e">
        <f aca="false">IF($A45="","",VLOOKUP($A44,Table,MATCH(J$4,Curves,0)))</f>
        <v>#N/A</v>
      </c>
      <c r="K44" s="201" t="e">
        <f aca="false">IF(A45="","",J44)</f>
        <v>#N/A</v>
      </c>
      <c r="L44" s="200" t="e">
        <f aca="false">IF($A45="","",VLOOKUP($A44,Table,MATCH(L$4,Curves,0)))</f>
        <v>#N/A</v>
      </c>
      <c r="M44" s="201" t="e">
        <f aca="false">IF(A45="","",L44)</f>
        <v>#N/A</v>
      </c>
      <c r="N44" s="203"/>
      <c r="O44" s="200" t="e">
        <f aca="false">IF(A45="","",L44+J44+G44)</f>
        <v>#N/A</v>
      </c>
      <c r="P44" s="200" t="e">
        <f aca="false">IF(A45="","",M44+K44+H44)</f>
        <v>#N/A</v>
      </c>
      <c r="Q44" s="204"/>
      <c r="R44" s="200" t="e">
        <f aca="false">IF($A45="","",VLOOKUP($A44,Table,MATCH(R$4,Curves,0)))</f>
        <v>#N/A</v>
      </c>
      <c r="S44" s="201" t="e">
        <f aca="false">IF(A45="","",R44)</f>
        <v>#N/A</v>
      </c>
      <c r="T44" s="200" t="e">
        <f aca="false">IF($A45="","",VLOOKUP($A44,Table,MATCH(T$4,Curves,0)))</f>
        <v>#N/A</v>
      </c>
      <c r="U44" s="201" t="e">
        <f aca="false">IF(A45="","",T44)</f>
        <v>#N/A</v>
      </c>
      <c r="V44" s="225" t="e">
        <f aca="false">IF($A45="","",IF(AND(MONTH(A44)&gt;3,MONTH(A44)&lt;11),(T44+R44+G44)*Summary!$T$9/(1-Summary!$T$9),(T44+R44+G44)*Summary!$U$9/(1-Summary!$U$9)))</f>
        <v>#N/A</v>
      </c>
      <c r="W44" s="200" t="e">
        <f aca="false">IF($A45="","",(T44+R44+G44+V44))</f>
        <v>#N/A</v>
      </c>
      <c r="X44" s="200" t="e">
        <f aca="false">IF($A45="","",(U44+S44+H44+V44))</f>
        <v>#N/A</v>
      </c>
      <c r="Y44" s="202"/>
      <c r="Z44" s="185" t="e">
        <f aca="false">IF($A45="","",VLOOKUP($A44,Table,MATCH(Z$4,Curves,0)))</f>
        <v>#N/A</v>
      </c>
      <c r="AA44" s="185" t="e">
        <f aca="false">IF($A45="","",VLOOKUP($A44,Table,MATCH(AA$4,Curves,0)))</f>
        <v>#N/A</v>
      </c>
      <c r="AB44" s="185" t="e">
        <f aca="false">SQRT((AA44^2*(A44-$D$3)+Z44^2*(DAY(EOMONTH(A44,0))/2))/AK44)</f>
        <v>#N/A</v>
      </c>
      <c r="AC44" s="185" t="e">
        <f aca="false">IF($A45="","",VLOOKUP($A44,Table,MATCH(AC$4,Curves,0)))</f>
        <v>#N/A</v>
      </c>
      <c r="AD44" s="185" t="e">
        <f aca="false">IF($A45="","",VLOOKUP($A44,Table,MATCH(AD$4,Curves,0)))</f>
        <v>#N/A</v>
      </c>
      <c r="AE44" s="185" t="e">
        <f aca="false">SQRT((AD44^2*(A44-$D$3)+AC44^2*(DAY(EOMONTH(A44,0))/2))/AK44)</f>
        <v>#N/A</v>
      </c>
      <c r="AF44" s="224" t="e">
        <f aca="false">((Summary!$N$9*(AA44*AD44)*(A44-$D$3))+(Summary!$M$9*Z44*AC44*(AJ44-EOMONTH(EDATE(A44,-1),0))))/(AK44*AB44*AE44)</f>
        <v>#N/A</v>
      </c>
      <c r="AG44" s="207" t="n">
        <f aca="false">IF($A45="","",Summary!$Q$9)</f>
        <v>0</v>
      </c>
      <c r="AH44" s="207" t="n">
        <f aca="false">IF($A45="","",IF(Summary!$R$9="Y",VLOOKUP($A44,Summary!$AD$6:$AF$9,3)+'Escalating commodity'!E57,'Escalating commodity'!E57))</f>
        <v>0.0707</v>
      </c>
      <c r="AI44" s="207" t="n">
        <f aca="false">IF($A45="","",AH44)</f>
        <v>0.0707</v>
      </c>
      <c r="AJ44" s="208" t="n">
        <f aca="false">A44+DAY(EOMONTH(A44,0))/2-1</f>
        <v>38092</v>
      </c>
      <c r="AK44" s="209" t="n">
        <f aca="false">IF($A45="","",$A44-$E$1)</f>
        <v>-7848</v>
      </c>
      <c r="AL44" s="182" t="e">
        <f aca="false">IF($A45="","",SPRDOPT(P44,X44,AI44,0,AB44,AE44,AF44,AK44,$AJ$2,0))</f>
        <v>#NAME?</v>
      </c>
      <c r="AM44" s="211" t="e">
        <f aca="false">IF($A45="","",MAX(0,O44-W44-AI44))</f>
        <v>#N/A</v>
      </c>
      <c r="AN44" s="211" t="e">
        <f aca="false">IF($A45="","",AL44-AM44)</f>
        <v>#N/A</v>
      </c>
      <c r="AO44" s="137" t="n">
        <f aca="false">IF(A45="","",A45-A44)</f>
        <v>30</v>
      </c>
      <c r="AP44" s="212" t="n">
        <f aca="false">IF(A45="","",CHOOSE(F$3,A45+24,A44))</f>
        <v>38078</v>
      </c>
      <c r="AQ44" s="209" t="n">
        <f aca="false">IF(A45="","",AP44-$E$1)</f>
        <v>-7848</v>
      </c>
      <c r="AR44" s="185" t="n">
        <f aca="false">'ANR OK vs ML7'!AR44</f>
        <v>0.1</v>
      </c>
      <c r="AS44" s="213" t="n">
        <f aca="false">IF(A45="","",1/(1+CHOOSE(F$3,(AR45+($I$3/10000))/2,(AR44+($I$3/10000))/2))^(2*AQ44/365.25))</f>
        <v>8.13905965985585</v>
      </c>
      <c r="AT44" s="137" t="n">
        <f aca="false">IF(A45="","",IF(AND(mthbeg&lt;=A44,mthend&gt;=A44),1,0))</f>
        <v>1</v>
      </c>
      <c r="AU44" s="137" t="n">
        <f aca="false">IF(A45="","",AO44*AT44)</f>
        <v>30</v>
      </c>
      <c r="AW44" s="195" t="e">
        <f aca="false">IF($A45="","",AL44*$E44)</f>
        <v>#NAME?</v>
      </c>
      <c r="AX44" s="195" t="e">
        <f aca="false">IF($A45="","",AM44*$E44)</f>
        <v>#N/A</v>
      </c>
      <c r="AY44" s="195" t="e">
        <f aca="false">IF($A45="","",AN44*$E44)</f>
        <v>#N/A</v>
      </c>
      <c r="BA44" s="195" t="n">
        <f aca="false">IF($A45="","",F44*Summary!$Q$9)</f>
        <v>0</v>
      </c>
      <c r="BC44" s="179" t="e">
        <f aca="false">IF(A45="","",AM44*F44)</f>
        <v>#N/A</v>
      </c>
    </row>
    <row r="45" customFormat="false" ht="12.75" hidden="false" customHeight="false" outlineLevel="0" collapsed="false">
      <c r="A45" s="196" t="n">
        <f aca="false">IF(A44&lt;mthend,EDATE(A44,1),"")</f>
        <v>38108</v>
      </c>
      <c r="B45" s="197" t="n">
        <f aca="false">IF(A45&lt;mthend,B44,"")</f>
        <v>36050</v>
      </c>
      <c r="C45" s="215"/>
      <c r="D45" s="197" t="n">
        <f aca="false">IF(A46&lt;&gt;"",B45+C45,"")</f>
        <v>36050</v>
      </c>
      <c r="E45" s="199" t="n">
        <f aca="false">IF(A46="","",IF(AND(AT45=1,$H$3=1),D45*AO45,IF($H$3=2,D45,"N/A")))</f>
        <v>1117550</v>
      </c>
      <c r="F45" s="199" t="n">
        <f aca="false">IF(A46="","",E45*AS45)</f>
        <v>9023196.31823764</v>
      </c>
      <c r="G45" s="200" t="e">
        <f aca="false">IF($A46="","",VLOOKUP($A45,Table,MATCH(G$4,Curves,0)))</f>
        <v>#N/A</v>
      </c>
      <c r="H45" s="201" t="e">
        <f aca="false">IF(A46="","",G45)</f>
        <v>#N/A</v>
      </c>
      <c r="I45" s="202"/>
      <c r="J45" s="200" t="e">
        <f aca="false">IF($A46="","",VLOOKUP($A45,Table,MATCH(J$4,Curves,0)))</f>
        <v>#N/A</v>
      </c>
      <c r="K45" s="201" t="e">
        <f aca="false">IF(A46="","",J45)</f>
        <v>#N/A</v>
      </c>
      <c r="L45" s="200" t="e">
        <f aca="false">IF($A46="","",VLOOKUP($A45,Table,MATCH(L$4,Curves,0)))</f>
        <v>#N/A</v>
      </c>
      <c r="M45" s="201" t="e">
        <f aca="false">IF(A46="","",L45)</f>
        <v>#N/A</v>
      </c>
      <c r="N45" s="203"/>
      <c r="O45" s="200" t="e">
        <f aca="false">IF(A46="","",L45+J45+G45)</f>
        <v>#N/A</v>
      </c>
      <c r="P45" s="200" t="e">
        <f aca="false">IF(A46="","",M45+K45+H45)</f>
        <v>#N/A</v>
      </c>
      <c r="Q45" s="204"/>
      <c r="R45" s="200" t="e">
        <f aca="false">IF($A46="","",VLOOKUP($A45,Table,MATCH(R$4,Curves,0)))</f>
        <v>#N/A</v>
      </c>
      <c r="S45" s="201" t="e">
        <f aca="false">IF(A46="","",R45)</f>
        <v>#N/A</v>
      </c>
      <c r="T45" s="200" t="e">
        <f aca="false">IF($A46="","",VLOOKUP($A45,Table,MATCH(T$4,Curves,0)))</f>
        <v>#N/A</v>
      </c>
      <c r="U45" s="201" t="e">
        <f aca="false">IF(A46="","",T45)</f>
        <v>#N/A</v>
      </c>
      <c r="V45" s="225" t="e">
        <f aca="false">IF($A46="","",IF(AND(MONTH(A45)&gt;3,MONTH(A45)&lt;11),(T45+R45+G45)*Summary!$T$9/(1-Summary!$T$9),(T45+R45+G45)*Summary!$U$9/(1-Summary!$U$9)))</f>
        <v>#N/A</v>
      </c>
      <c r="W45" s="200" t="e">
        <f aca="false">IF($A46="","",(T45+R45+G45+V45))</f>
        <v>#N/A</v>
      </c>
      <c r="X45" s="200" t="e">
        <f aca="false">IF($A46="","",(U45+S45+H45+V45))</f>
        <v>#N/A</v>
      </c>
      <c r="Y45" s="202"/>
      <c r="Z45" s="185" t="e">
        <f aca="false">IF($A46="","",VLOOKUP($A45,Table,MATCH(Z$4,Curves,0)))</f>
        <v>#N/A</v>
      </c>
      <c r="AA45" s="185" t="e">
        <f aca="false">IF($A46="","",VLOOKUP($A45,Table,MATCH(AA$4,Curves,0)))</f>
        <v>#N/A</v>
      </c>
      <c r="AB45" s="185" t="e">
        <f aca="false">SQRT((AA45^2*(A45-$D$3)+Z45^2*(DAY(EOMONTH(A45,0))/2))/AK45)</f>
        <v>#N/A</v>
      </c>
      <c r="AC45" s="185" t="e">
        <f aca="false">IF($A46="","",VLOOKUP($A45,Table,MATCH(AC$4,Curves,0)))</f>
        <v>#N/A</v>
      </c>
      <c r="AD45" s="185" t="e">
        <f aca="false">IF($A46="","",VLOOKUP($A45,Table,MATCH(AD$4,Curves,0)))</f>
        <v>#N/A</v>
      </c>
      <c r="AE45" s="185" t="e">
        <f aca="false">SQRT((AD45^2*(A45-$D$3)+AC45^2*(DAY(EOMONTH(A45,0))/2))/AK45)</f>
        <v>#N/A</v>
      </c>
      <c r="AF45" s="224" t="e">
        <f aca="false">((Summary!$N$9*(AA45*AD45)*(A45-$D$3))+(Summary!$M$9*Z45*AC45*(AJ45-EOMONTH(EDATE(A45,-1),0))))/(AK45*AB45*AE45)</f>
        <v>#N/A</v>
      </c>
      <c r="AG45" s="207" t="n">
        <f aca="false">IF($A46="","",Summary!$Q$9)</f>
        <v>0</v>
      </c>
      <c r="AH45" s="207" t="n">
        <f aca="false">IF($A46="","",IF(Summary!$R$9="Y",VLOOKUP($A45,Summary!$AD$6:$AF$9,3)+'Escalating commodity'!E58,'Escalating commodity'!E58))</f>
        <v>0.0707</v>
      </c>
      <c r="AI45" s="207" t="n">
        <f aca="false">IF($A46="","",AH45)</f>
        <v>0.0707</v>
      </c>
      <c r="AJ45" s="208" t="n">
        <f aca="false">A45+DAY(EOMONTH(A45,0))/2-1</f>
        <v>38122.5</v>
      </c>
      <c r="AK45" s="209" t="n">
        <f aca="false">IF($A46="","",$A45-$E$1)</f>
        <v>-7818</v>
      </c>
      <c r="AL45" s="182" t="e">
        <f aca="false">IF($A46="","",SPRDOPT(P45,X45,AI45,0,AB45,AE45,AF45,AK45,$AJ$2,0))</f>
        <v>#NAME?</v>
      </c>
      <c r="AM45" s="211" t="e">
        <f aca="false">IF($A46="","",MAX(0,O45-W45-AI45))</f>
        <v>#N/A</v>
      </c>
      <c r="AN45" s="211" t="e">
        <f aca="false">IF($A46="","",AL45-AM45)</f>
        <v>#N/A</v>
      </c>
      <c r="AO45" s="137" t="n">
        <f aca="false">IF(A46="","",A46-A45)</f>
        <v>31</v>
      </c>
      <c r="AP45" s="212" t="n">
        <f aca="false">IF(A46="","",CHOOSE(F$3,A46+24,A45))</f>
        <v>38108</v>
      </c>
      <c r="AQ45" s="209" t="n">
        <f aca="false">IF(A46="","",AP45-$E$1)</f>
        <v>-7818</v>
      </c>
      <c r="AR45" s="185" t="n">
        <f aca="false">'ANR OK vs ML7'!AR45</f>
        <v>0.1</v>
      </c>
      <c r="AS45" s="213" t="n">
        <f aca="false">IF(A46="","",1/(1+CHOOSE(F$3,(AR46+($I$3/10000))/2,(AR45+($I$3/10000))/2))^(2*AQ45/365.25))</f>
        <v>8.07408735021935</v>
      </c>
      <c r="AT45" s="137" t="n">
        <f aca="false">IF(A46="","",IF(AND(mthbeg&lt;=A45,mthend&gt;=A45),1,0))</f>
        <v>1</v>
      </c>
      <c r="AU45" s="137" t="n">
        <f aca="false">IF(A46="","",AO45*AT45)</f>
        <v>31</v>
      </c>
      <c r="AW45" s="195" t="e">
        <f aca="false">IF($A46="","",AL45*$E45)</f>
        <v>#NAME?</v>
      </c>
      <c r="AX45" s="195" t="e">
        <f aca="false">IF($A46="","",AM45*$E45)</f>
        <v>#N/A</v>
      </c>
      <c r="AY45" s="195" t="e">
        <f aca="false">IF($A46="","",AN45*$E45)</f>
        <v>#N/A</v>
      </c>
      <c r="BA45" s="195" t="n">
        <f aca="false">IF($A46="","",F45*Summary!$Q$9)</f>
        <v>0</v>
      </c>
      <c r="BC45" s="179" t="e">
        <f aca="false">IF(A46="","",AM45*F45)</f>
        <v>#N/A</v>
      </c>
    </row>
    <row r="46" customFormat="false" ht="12.75" hidden="false" customHeight="false" outlineLevel="0" collapsed="false">
      <c r="A46" s="196" t="n">
        <f aca="false">IF(A45&lt;mthend,EDATE(A45,1),"")</f>
        <v>38139</v>
      </c>
      <c r="B46" s="197" t="n">
        <f aca="false">IF(A46&lt;mthend,B45,"")</f>
        <v>36050</v>
      </c>
      <c r="C46" s="215"/>
      <c r="D46" s="197" t="n">
        <f aca="false">IF(A47&lt;&gt;"",B46+C46,"")</f>
        <v>36050</v>
      </c>
      <c r="E46" s="199" t="n">
        <f aca="false">IF(A47="","",IF(AND(AT46=1,$H$3=1),D46*AO46,IF($H$3=2,D46,"N/A")))</f>
        <v>1081500</v>
      </c>
      <c r="F46" s="199" t="n">
        <f aca="false">IF(A47="","",E46*AS46)</f>
        <v>8660104.90070466</v>
      </c>
      <c r="G46" s="200" t="e">
        <f aca="false">IF($A47="","",VLOOKUP($A46,Table,MATCH(G$4,Curves,0)))</f>
        <v>#N/A</v>
      </c>
      <c r="H46" s="201" t="e">
        <f aca="false">IF(A47="","",G46)</f>
        <v>#N/A</v>
      </c>
      <c r="I46" s="202"/>
      <c r="J46" s="200" t="e">
        <f aca="false">IF($A47="","",VLOOKUP($A46,Table,MATCH(J$4,Curves,0)))</f>
        <v>#N/A</v>
      </c>
      <c r="K46" s="201" t="e">
        <f aca="false">IF(A47="","",J46)</f>
        <v>#N/A</v>
      </c>
      <c r="L46" s="200" t="e">
        <f aca="false">IF($A47="","",VLOOKUP($A46,Table,MATCH(L$4,Curves,0)))</f>
        <v>#N/A</v>
      </c>
      <c r="M46" s="201" t="e">
        <f aca="false">IF(A47="","",L46)</f>
        <v>#N/A</v>
      </c>
      <c r="N46" s="203"/>
      <c r="O46" s="200" t="e">
        <f aca="false">IF(A47="","",L46+J46+G46)</f>
        <v>#N/A</v>
      </c>
      <c r="P46" s="200" t="e">
        <f aca="false">IF(A47="","",M46+K46+H46)</f>
        <v>#N/A</v>
      </c>
      <c r="Q46" s="204"/>
      <c r="R46" s="200" t="e">
        <f aca="false">IF($A47="","",VLOOKUP($A46,Table,MATCH(R$4,Curves,0)))</f>
        <v>#N/A</v>
      </c>
      <c r="S46" s="201" t="e">
        <f aca="false">IF(A47="","",R46)</f>
        <v>#N/A</v>
      </c>
      <c r="T46" s="200" t="e">
        <f aca="false">IF($A47="","",VLOOKUP($A46,Table,MATCH(T$4,Curves,0)))</f>
        <v>#N/A</v>
      </c>
      <c r="U46" s="201" t="e">
        <f aca="false">IF(A47="","",T46)</f>
        <v>#N/A</v>
      </c>
      <c r="V46" s="225" t="e">
        <f aca="false">IF($A47="","",IF(AND(MONTH(A46)&gt;3,MONTH(A46)&lt;11),(T46+R46+G46)*Summary!$T$9/(1-Summary!$T$9),(T46+R46+G46)*Summary!$U$9/(1-Summary!$U$9)))</f>
        <v>#N/A</v>
      </c>
      <c r="W46" s="200" t="e">
        <f aca="false">IF($A47="","",(T46+R46+G46+V46))</f>
        <v>#N/A</v>
      </c>
      <c r="X46" s="200" t="e">
        <f aca="false">IF($A47="","",(U46+S46+H46+V46))</f>
        <v>#N/A</v>
      </c>
      <c r="Y46" s="202"/>
      <c r="Z46" s="185" t="e">
        <f aca="false">IF($A47="","",VLOOKUP($A46,Table,MATCH(Z$4,Curves,0)))</f>
        <v>#N/A</v>
      </c>
      <c r="AA46" s="185" t="e">
        <f aca="false">IF($A47="","",VLOOKUP($A46,Table,MATCH(AA$4,Curves,0)))</f>
        <v>#N/A</v>
      </c>
      <c r="AB46" s="185" t="e">
        <f aca="false">SQRT((AA46^2*(A46-$D$3)+Z46^2*(DAY(EOMONTH(A46,0))/2))/AK46)</f>
        <v>#N/A</v>
      </c>
      <c r="AC46" s="185" t="e">
        <f aca="false">IF($A47="","",VLOOKUP($A46,Table,MATCH(AC$4,Curves,0)))</f>
        <v>#N/A</v>
      </c>
      <c r="AD46" s="185" t="e">
        <f aca="false">IF($A47="","",VLOOKUP($A46,Table,MATCH(AD$4,Curves,0)))</f>
        <v>#N/A</v>
      </c>
      <c r="AE46" s="185" t="e">
        <f aca="false">SQRT((AD46^2*(A46-$D$3)+AC46^2*(DAY(EOMONTH(A46,0))/2))/AK46)</f>
        <v>#N/A</v>
      </c>
      <c r="AF46" s="224" t="e">
        <f aca="false">((Summary!$N$9*(AA46*AD46)*(A46-$D$3))+(Summary!$M$9*Z46*AC46*(AJ46-EOMONTH(EDATE(A46,-1),0))))/(AK46*AB46*AE46)</f>
        <v>#N/A</v>
      </c>
      <c r="AG46" s="207" t="n">
        <f aca="false">IF($A47="","",Summary!$Q$9)</f>
        <v>0</v>
      </c>
      <c r="AH46" s="207" t="n">
        <f aca="false">IF($A47="","",IF(Summary!$R$9="Y",VLOOKUP($A46,Summary!$AD$6:$AF$9,3)+'Escalating commodity'!E59,'Escalating commodity'!E59))</f>
        <v>0.0707</v>
      </c>
      <c r="AI46" s="207" t="n">
        <f aca="false">IF($A47="","",AH46)</f>
        <v>0.0707</v>
      </c>
      <c r="AJ46" s="208" t="n">
        <f aca="false">A46+DAY(EOMONTH(A46,0))/2-1</f>
        <v>38153</v>
      </c>
      <c r="AK46" s="209" t="n">
        <f aca="false">IF($A47="","",$A46-$E$1)</f>
        <v>-7787</v>
      </c>
      <c r="AL46" s="182" t="e">
        <f aca="false">IF($A47="","",SPRDOPT(P46,X46,AI46,0,AB46,AE46,AF46,AK46,$AJ$2,0))</f>
        <v>#NAME?</v>
      </c>
      <c r="AM46" s="211" t="e">
        <f aca="false">IF($A47="","",MAX(0,O46-W46-AI46))</f>
        <v>#N/A</v>
      </c>
      <c r="AN46" s="211" t="e">
        <f aca="false">IF($A47="","",AL46-AM46)</f>
        <v>#N/A</v>
      </c>
      <c r="AO46" s="137" t="n">
        <f aca="false">IF(A47="","",A47-A46)</f>
        <v>30</v>
      </c>
      <c r="AP46" s="212" t="n">
        <f aca="false">IF(A47="","",CHOOSE(F$3,A47+24,A46))</f>
        <v>38139</v>
      </c>
      <c r="AQ46" s="209" t="n">
        <f aca="false">IF(A47="","",AP46-$E$1)</f>
        <v>-7787</v>
      </c>
      <c r="AR46" s="185" t="n">
        <f aca="false">'ANR OK vs ML7'!AR46</f>
        <v>0.1</v>
      </c>
      <c r="AS46" s="213" t="n">
        <f aca="false">IF(A47="","",1/(1+CHOOSE(F$3,(AR47+($I$3/10000))/2,(AR46+($I$3/10000))/2))^(2*AQ46/365.25))</f>
        <v>8.00749412917676</v>
      </c>
      <c r="AT46" s="137" t="n">
        <f aca="false">IF(A47="","",IF(AND(mthbeg&lt;=A46,mthend&gt;=A46),1,0))</f>
        <v>1</v>
      </c>
      <c r="AU46" s="137" t="n">
        <f aca="false">IF(A47="","",AO46*AT46)</f>
        <v>30</v>
      </c>
      <c r="AW46" s="195" t="e">
        <f aca="false">IF($A47="","",AL46*$E46)</f>
        <v>#NAME?</v>
      </c>
      <c r="AX46" s="195" t="e">
        <f aca="false">IF($A47="","",AM46*$E46)</f>
        <v>#N/A</v>
      </c>
      <c r="AY46" s="195" t="e">
        <f aca="false">IF($A47="","",AN46*$E46)</f>
        <v>#N/A</v>
      </c>
      <c r="BA46" s="195" t="n">
        <f aca="false">IF($A47="","",F46*Summary!$Q$9)</f>
        <v>0</v>
      </c>
      <c r="BC46" s="179" t="e">
        <f aca="false">IF(A47="","",AM46*F46)</f>
        <v>#N/A</v>
      </c>
    </row>
    <row r="47" customFormat="false" ht="12.75" hidden="false" customHeight="false" outlineLevel="0" collapsed="false">
      <c r="A47" s="196" t="n">
        <f aca="false">IF(A46&lt;mthend,EDATE(A46,1),"")</f>
        <v>38169</v>
      </c>
      <c r="B47" s="197" t="n">
        <f aca="false">IF(A47&lt;mthend,B46,"")</f>
        <v>36050</v>
      </c>
      <c r="C47" s="215"/>
      <c r="D47" s="197" t="n">
        <f aca="false">IF(A48&lt;&gt;"",B47+C47,"")</f>
        <v>36050</v>
      </c>
      <c r="E47" s="199" t="n">
        <f aca="false">IF(A48="","",IF(AND(AT47=1,$H$3=1),D47*AO47,IF($H$3=2,D47,"N/A")))</f>
        <v>1117550</v>
      </c>
      <c r="F47" s="199" t="n">
        <f aca="false">IF(A48="","",E47*AS47)</f>
        <v>8877338.97578739</v>
      </c>
      <c r="G47" s="200" t="e">
        <f aca="false">IF($A48="","",VLOOKUP($A47,Table,MATCH(G$4,Curves,0)))</f>
        <v>#N/A</v>
      </c>
      <c r="H47" s="201" t="e">
        <f aca="false">IF(A48="","",G47)</f>
        <v>#N/A</v>
      </c>
      <c r="I47" s="202"/>
      <c r="J47" s="200" t="e">
        <f aca="false">IF($A48="","",VLOOKUP($A47,Table,MATCH(J$4,Curves,0)))</f>
        <v>#N/A</v>
      </c>
      <c r="K47" s="201" t="e">
        <f aca="false">IF(A48="","",J47)</f>
        <v>#N/A</v>
      </c>
      <c r="L47" s="200" t="e">
        <f aca="false">IF($A48="","",VLOOKUP($A47,Table,MATCH(L$4,Curves,0)))</f>
        <v>#N/A</v>
      </c>
      <c r="M47" s="201" t="e">
        <f aca="false">IF(A48="","",L47)</f>
        <v>#N/A</v>
      </c>
      <c r="N47" s="203"/>
      <c r="O47" s="200" t="e">
        <f aca="false">IF(A48="","",L47+J47+G47)</f>
        <v>#N/A</v>
      </c>
      <c r="P47" s="200" t="e">
        <f aca="false">IF(A48="","",M47+K47+H47)</f>
        <v>#N/A</v>
      </c>
      <c r="Q47" s="204"/>
      <c r="R47" s="200" t="e">
        <f aca="false">IF($A48="","",VLOOKUP($A47,Table,MATCH(R$4,Curves,0)))</f>
        <v>#N/A</v>
      </c>
      <c r="S47" s="201" t="e">
        <f aca="false">IF(A48="","",R47)</f>
        <v>#N/A</v>
      </c>
      <c r="T47" s="200" t="e">
        <f aca="false">IF($A48="","",VLOOKUP($A47,Table,MATCH(T$4,Curves,0)))</f>
        <v>#N/A</v>
      </c>
      <c r="U47" s="201" t="e">
        <f aca="false">IF(A48="","",T47)</f>
        <v>#N/A</v>
      </c>
      <c r="V47" s="225" t="e">
        <f aca="false">IF($A48="","",IF(AND(MONTH(A47)&gt;3,MONTH(A47)&lt;11),(T47+R47+G47)*Summary!$T$9/(1-Summary!$T$9),(T47+R47+G47)*Summary!$U$9/(1-Summary!$U$9)))</f>
        <v>#N/A</v>
      </c>
      <c r="W47" s="200" t="e">
        <f aca="false">IF($A48="","",(T47+R47+G47+V47))</f>
        <v>#N/A</v>
      </c>
      <c r="X47" s="200" t="e">
        <f aca="false">IF($A48="","",(U47+S47+H47+V47))</f>
        <v>#N/A</v>
      </c>
      <c r="Y47" s="202"/>
      <c r="Z47" s="185" t="e">
        <f aca="false">IF($A48="","",VLOOKUP($A47,Table,MATCH(Z$4,Curves,0)))</f>
        <v>#N/A</v>
      </c>
      <c r="AA47" s="185" t="e">
        <f aca="false">IF($A48="","",VLOOKUP($A47,Table,MATCH(AA$4,Curves,0)))</f>
        <v>#N/A</v>
      </c>
      <c r="AB47" s="185" t="e">
        <f aca="false">SQRT((AA47^2*(A47-$D$3)+Z47^2*(DAY(EOMONTH(A47,0))/2))/AK47)</f>
        <v>#N/A</v>
      </c>
      <c r="AC47" s="185" t="e">
        <f aca="false">IF($A48="","",VLOOKUP($A47,Table,MATCH(AC$4,Curves,0)))</f>
        <v>#N/A</v>
      </c>
      <c r="AD47" s="185" t="e">
        <f aca="false">IF($A48="","",VLOOKUP($A47,Table,MATCH(AD$4,Curves,0)))</f>
        <v>#N/A</v>
      </c>
      <c r="AE47" s="185" t="e">
        <f aca="false">SQRT((AD47^2*(A47-$D$3)+AC47^2*(DAY(EOMONTH(A47,0))/2))/AK47)</f>
        <v>#N/A</v>
      </c>
      <c r="AF47" s="224" t="e">
        <f aca="false">((Summary!$N$9*(AA47*AD47)*(A47-$D$3))+(Summary!$M$9*Z47*AC47*(AJ47-EOMONTH(EDATE(A47,-1),0))))/(AK47*AB47*AE47)</f>
        <v>#N/A</v>
      </c>
      <c r="AG47" s="207" t="n">
        <f aca="false">IF($A48="","",Summary!$Q$9)</f>
        <v>0</v>
      </c>
      <c r="AH47" s="207" t="n">
        <f aca="false">IF($A48="","",IF(Summary!$R$9="Y",VLOOKUP($A47,Summary!$AD$6:$AF$9,3)+'Escalating commodity'!E60,'Escalating commodity'!E60))</f>
        <v>0.0707</v>
      </c>
      <c r="AI47" s="207" t="n">
        <f aca="false">IF($A48="","",AH47)</f>
        <v>0.0707</v>
      </c>
      <c r="AJ47" s="208" t="n">
        <f aca="false">A47+DAY(EOMONTH(A47,0))/2-1</f>
        <v>38183.5</v>
      </c>
      <c r="AK47" s="209" t="n">
        <f aca="false">IF($A48="","",$A47-$E$1)</f>
        <v>-7757</v>
      </c>
      <c r="AL47" s="182" t="e">
        <f aca="false">IF($A48="","",SPRDOPT(P47,X47,AI47,0,AB47,AE47,AF47,AK47,$AJ$2,0))</f>
        <v>#NAME?</v>
      </c>
      <c r="AM47" s="211" t="e">
        <f aca="false">IF($A48="","",MAX(0,O47-W47-AI47))</f>
        <v>#N/A</v>
      </c>
      <c r="AN47" s="211" t="e">
        <f aca="false">IF($A48="","",AL47-AM47)</f>
        <v>#N/A</v>
      </c>
      <c r="AO47" s="137" t="n">
        <f aca="false">IF(A48="","",A48-A47)</f>
        <v>31</v>
      </c>
      <c r="AP47" s="212" t="n">
        <f aca="false">IF(A48="","",CHOOSE(F$3,A48+24,A47))</f>
        <v>38169</v>
      </c>
      <c r="AQ47" s="209" t="n">
        <f aca="false">IF(A48="","",AP47-$E$1)</f>
        <v>-7757</v>
      </c>
      <c r="AR47" s="185" t="n">
        <f aca="false">'ANR OK vs ML7'!AR47</f>
        <v>0.1</v>
      </c>
      <c r="AS47" s="213" t="n">
        <f aca="false">IF(A48="","",1/(1+CHOOSE(F$3,(AR48+($I$3/10000))/2,(AR47+($I$3/10000))/2))^(2*AQ47/365.25))</f>
        <v>7.94357207801655</v>
      </c>
      <c r="AT47" s="137" t="n">
        <f aca="false">IF(A48="","",IF(AND(mthbeg&lt;=A47,mthend&gt;=A47),1,0))</f>
        <v>1</v>
      </c>
      <c r="AU47" s="137" t="n">
        <f aca="false">IF(A48="","",AO47*AT47)</f>
        <v>31</v>
      </c>
      <c r="AW47" s="195" t="e">
        <f aca="false">IF($A48="","",AL47*$E47)</f>
        <v>#NAME?</v>
      </c>
      <c r="AX47" s="195" t="e">
        <f aca="false">IF($A48="","",AM47*$E47)</f>
        <v>#N/A</v>
      </c>
      <c r="AY47" s="195" t="e">
        <f aca="false">IF($A48="","",AN47*$E47)</f>
        <v>#N/A</v>
      </c>
      <c r="BA47" s="195" t="n">
        <f aca="false">IF($A48="","",F47*Summary!$Q$9)</f>
        <v>0</v>
      </c>
      <c r="BC47" s="179" t="e">
        <f aca="false">IF(A48="","",AM47*F47)</f>
        <v>#N/A</v>
      </c>
    </row>
    <row r="48" customFormat="false" ht="12.75" hidden="false" customHeight="false" outlineLevel="0" collapsed="false">
      <c r="A48" s="196" t="n">
        <f aca="false">IF(A47&lt;mthend,EDATE(A47,1),"")</f>
        <v>38200</v>
      </c>
      <c r="B48" s="197" t="n">
        <f aca="false">IF(A48&lt;mthend,B47,"")</f>
        <v>36050</v>
      </c>
      <c r="C48" s="215"/>
      <c r="D48" s="197" t="n">
        <f aca="false">IF(A49&lt;&gt;"",B48+C48,"")</f>
        <v>36050</v>
      </c>
      <c r="E48" s="199" t="n">
        <f aca="false">IF(A49="","",IF(AND(AT48=1,$H$3=1),D48*AO48,IF($H$3=2,D48,"N/A")))</f>
        <v>1117550</v>
      </c>
      <c r="F48" s="199" t="n">
        <f aca="false">IF(A49="","",E48*AS48)</f>
        <v>8804120.71952607</v>
      </c>
      <c r="G48" s="200" t="e">
        <f aca="false">IF($A49="","",VLOOKUP($A48,Table,MATCH(G$4,Curves,0)))</f>
        <v>#N/A</v>
      </c>
      <c r="H48" s="201" t="e">
        <f aca="false">IF(A49="","",G48)</f>
        <v>#N/A</v>
      </c>
      <c r="I48" s="202"/>
      <c r="J48" s="200" t="e">
        <f aca="false">IF($A49="","",VLOOKUP($A48,Table,MATCH(J$4,Curves,0)))</f>
        <v>#N/A</v>
      </c>
      <c r="K48" s="201" t="e">
        <f aca="false">IF(A49="","",J48)</f>
        <v>#N/A</v>
      </c>
      <c r="L48" s="200" t="e">
        <f aca="false">IF($A49="","",VLOOKUP($A48,Table,MATCH(L$4,Curves,0)))</f>
        <v>#N/A</v>
      </c>
      <c r="M48" s="201" t="e">
        <f aca="false">IF(A49="","",L48)</f>
        <v>#N/A</v>
      </c>
      <c r="N48" s="203"/>
      <c r="O48" s="200" t="e">
        <f aca="false">IF(A49="","",L48+J48+G48)</f>
        <v>#N/A</v>
      </c>
      <c r="P48" s="200" t="e">
        <f aca="false">IF(A49="","",M48+K48+H48)</f>
        <v>#N/A</v>
      </c>
      <c r="Q48" s="204"/>
      <c r="R48" s="200" t="e">
        <f aca="false">IF($A49="","",VLOOKUP($A48,Table,MATCH(R$4,Curves,0)))</f>
        <v>#N/A</v>
      </c>
      <c r="S48" s="201" t="e">
        <f aca="false">IF(A49="","",R48)</f>
        <v>#N/A</v>
      </c>
      <c r="T48" s="200" t="e">
        <f aca="false">IF($A49="","",VLOOKUP($A48,Table,MATCH(T$4,Curves,0)))</f>
        <v>#N/A</v>
      </c>
      <c r="U48" s="201" t="e">
        <f aca="false">IF(A49="","",T48)</f>
        <v>#N/A</v>
      </c>
      <c r="V48" s="225" t="e">
        <f aca="false">IF($A49="","",IF(AND(MONTH(A48)&gt;3,MONTH(A48)&lt;11),(T48+R48+G48)*Summary!$T$9/(1-Summary!$T$9),(T48+R48+G48)*Summary!$U$9/(1-Summary!$U$9)))</f>
        <v>#N/A</v>
      </c>
      <c r="W48" s="200" t="e">
        <f aca="false">IF($A49="","",(T48+R48+G48+V48))</f>
        <v>#N/A</v>
      </c>
      <c r="X48" s="200" t="e">
        <f aca="false">IF($A49="","",(U48+S48+H48+V48))</f>
        <v>#N/A</v>
      </c>
      <c r="Y48" s="202"/>
      <c r="Z48" s="185" t="e">
        <f aca="false">IF($A49="","",VLOOKUP($A48,Table,MATCH(Z$4,Curves,0)))</f>
        <v>#N/A</v>
      </c>
      <c r="AA48" s="185" t="e">
        <f aca="false">IF($A49="","",VLOOKUP($A48,Table,MATCH(AA$4,Curves,0)))</f>
        <v>#N/A</v>
      </c>
      <c r="AB48" s="185" t="e">
        <f aca="false">SQRT((AA48^2*(A48-$D$3)+Z48^2*(DAY(EOMONTH(A48,0))/2))/AK48)</f>
        <v>#N/A</v>
      </c>
      <c r="AC48" s="185" t="e">
        <f aca="false">IF($A49="","",VLOOKUP($A48,Table,MATCH(AC$4,Curves,0)))</f>
        <v>#N/A</v>
      </c>
      <c r="AD48" s="185" t="e">
        <f aca="false">IF($A49="","",VLOOKUP($A48,Table,MATCH(AD$4,Curves,0)))</f>
        <v>#N/A</v>
      </c>
      <c r="AE48" s="185" t="e">
        <f aca="false">SQRT((AD48^2*(A48-$D$3)+AC48^2*(DAY(EOMONTH(A48,0))/2))/AK48)</f>
        <v>#N/A</v>
      </c>
      <c r="AF48" s="224" t="e">
        <f aca="false">((Summary!$N$9*(AA48*AD48)*(A48-$D$3))+(Summary!$M$9*Z48*AC48*(AJ48-EOMONTH(EDATE(A48,-1),0))))/(AK48*AB48*AE48)</f>
        <v>#N/A</v>
      </c>
      <c r="AG48" s="207" t="n">
        <f aca="false">IF($A49="","",Summary!$Q$9)</f>
        <v>0</v>
      </c>
      <c r="AH48" s="207" t="n">
        <f aca="false">IF($A49="","",IF(Summary!$R$9="Y",VLOOKUP($A48,Summary!$AD$6:$AF$9,3)+'Escalating commodity'!E61,'Escalating commodity'!E61))</f>
        <v>0.0707</v>
      </c>
      <c r="AI48" s="207" t="n">
        <f aca="false">IF($A49="","",AH48)</f>
        <v>0.0707</v>
      </c>
      <c r="AJ48" s="208" t="n">
        <f aca="false">A48+DAY(EOMONTH(A48,0))/2-1</f>
        <v>38214.5</v>
      </c>
      <c r="AK48" s="209" t="n">
        <f aca="false">IF($A49="","",$A48-$E$1)</f>
        <v>-7726</v>
      </c>
      <c r="AL48" s="182" t="e">
        <f aca="false">IF($A49="","",SPRDOPT(P48,X48,AI48,0,AB48,AE48,AF48,AK48,$AJ$2,0))</f>
        <v>#NAME?</v>
      </c>
      <c r="AM48" s="211" t="e">
        <f aca="false">IF($A49="","",MAX(0,O48-W48-AI48))</f>
        <v>#N/A</v>
      </c>
      <c r="AN48" s="211" t="e">
        <f aca="false">IF($A49="","",AL48-AM48)</f>
        <v>#N/A</v>
      </c>
      <c r="AO48" s="137" t="n">
        <f aca="false">IF(A49="","",A49-A48)</f>
        <v>31</v>
      </c>
      <c r="AP48" s="212" t="n">
        <f aca="false">IF(A49="","",CHOOSE(F$3,A49+24,A48))</f>
        <v>38200</v>
      </c>
      <c r="AQ48" s="209" t="n">
        <f aca="false">IF(A49="","",AP48-$E$1)</f>
        <v>-7726</v>
      </c>
      <c r="AR48" s="185" t="n">
        <f aca="false">'ANR OK vs ML7'!AR48</f>
        <v>0.1</v>
      </c>
      <c r="AS48" s="213" t="n">
        <f aca="false">IF(A49="","",1/(1+CHOOSE(F$3,(AR49+($I$3/10000))/2,(AR48+($I$3/10000))/2))^(2*AQ48/365.25))</f>
        <v>7.87805531701138</v>
      </c>
      <c r="AT48" s="137" t="n">
        <f aca="false">IF(A49="","",IF(AND(mthbeg&lt;=A48,mthend&gt;=A48),1,0))</f>
        <v>1</v>
      </c>
      <c r="AU48" s="137" t="n">
        <f aca="false">IF(A49="","",AO48*AT48)</f>
        <v>31</v>
      </c>
      <c r="AW48" s="195" t="e">
        <f aca="false">IF($A49="","",AL48*$E48)</f>
        <v>#NAME?</v>
      </c>
      <c r="AX48" s="195" t="e">
        <f aca="false">IF($A49="","",AM48*$E48)</f>
        <v>#N/A</v>
      </c>
      <c r="AY48" s="195" t="e">
        <f aca="false">IF($A49="","",AN48*$E48)</f>
        <v>#N/A</v>
      </c>
      <c r="BA48" s="195" t="n">
        <f aca="false">IF($A49="","",F48*Summary!$Q$9)</f>
        <v>0</v>
      </c>
      <c r="BC48" s="179" t="e">
        <f aca="false">IF(A49="","",AM48*F48)</f>
        <v>#N/A</v>
      </c>
    </row>
    <row r="49" customFormat="false" ht="12.75" hidden="false" customHeight="false" outlineLevel="0" collapsed="false">
      <c r="A49" s="196" t="n">
        <f aca="false">IF(A48&lt;mthend,EDATE(A48,1),"")</f>
        <v>38231</v>
      </c>
      <c r="B49" s="197" t="n">
        <f aca="false">IF(A49&lt;mthend,B48,"")</f>
        <v>36050</v>
      </c>
      <c r="C49" s="215"/>
      <c r="D49" s="197" t="n">
        <f aca="false">IF(A50&lt;&gt;"",B49+C49,"")</f>
        <v>36050</v>
      </c>
      <c r="E49" s="199" t="n">
        <f aca="false">IF(A50="","",IF(AND(AT49=1,$H$3=1),D49*AO49,IF($H$3=2,D49,"N/A")))</f>
        <v>1081500</v>
      </c>
      <c r="F49" s="199" t="n">
        <f aca="false">IF(A50="","",E49*AS49)</f>
        <v>8449844.85547078</v>
      </c>
      <c r="G49" s="200" t="e">
        <f aca="false">IF($A50="","",VLOOKUP($A49,Table,MATCH(G$4,Curves,0)))</f>
        <v>#N/A</v>
      </c>
      <c r="H49" s="201" t="e">
        <f aca="false">IF(A50="","",G49)</f>
        <v>#N/A</v>
      </c>
      <c r="I49" s="202"/>
      <c r="J49" s="200" t="e">
        <f aca="false">IF($A50="","",VLOOKUP($A49,Table,MATCH(J$4,Curves,0)))</f>
        <v>#N/A</v>
      </c>
      <c r="K49" s="201" t="e">
        <f aca="false">IF(A50="","",J49)</f>
        <v>#N/A</v>
      </c>
      <c r="L49" s="200" t="e">
        <f aca="false">IF($A50="","",VLOOKUP($A49,Table,MATCH(L$4,Curves,0)))</f>
        <v>#N/A</v>
      </c>
      <c r="M49" s="201" t="e">
        <f aca="false">IF(A50="","",L49)</f>
        <v>#N/A</v>
      </c>
      <c r="N49" s="203"/>
      <c r="O49" s="200" t="e">
        <f aca="false">IF(A50="","",L49+J49+G49)</f>
        <v>#N/A</v>
      </c>
      <c r="P49" s="200" t="e">
        <f aca="false">IF(A50="","",M49+K49+H49)</f>
        <v>#N/A</v>
      </c>
      <c r="Q49" s="204"/>
      <c r="R49" s="200" t="e">
        <f aca="false">IF($A50="","",VLOOKUP($A49,Table,MATCH(R$4,Curves,0)))</f>
        <v>#N/A</v>
      </c>
      <c r="S49" s="201" t="e">
        <f aca="false">IF(A50="","",R49)</f>
        <v>#N/A</v>
      </c>
      <c r="T49" s="200" t="e">
        <f aca="false">IF($A50="","",VLOOKUP($A49,Table,MATCH(T$4,Curves,0)))</f>
        <v>#N/A</v>
      </c>
      <c r="U49" s="201" t="e">
        <f aca="false">IF(A50="","",T49)</f>
        <v>#N/A</v>
      </c>
      <c r="V49" s="225" t="e">
        <f aca="false">IF($A50="","",IF(AND(MONTH(A49)&gt;3,MONTH(A49)&lt;11),(T49+R49+G49)*Summary!$T$9/(1-Summary!$T$9),(T49+R49+G49)*Summary!$U$9/(1-Summary!$U$9)))</f>
        <v>#N/A</v>
      </c>
      <c r="W49" s="200" t="e">
        <f aca="false">IF($A50="","",(T49+R49+G49+V49))</f>
        <v>#N/A</v>
      </c>
      <c r="X49" s="200" t="e">
        <f aca="false">IF($A50="","",(U49+S49+H49+V49))</f>
        <v>#N/A</v>
      </c>
      <c r="Y49" s="202"/>
      <c r="Z49" s="185" t="e">
        <f aca="false">IF($A50="","",VLOOKUP($A49,Table,MATCH(Z$4,Curves,0)))</f>
        <v>#N/A</v>
      </c>
      <c r="AA49" s="185" t="e">
        <f aca="false">IF($A50="","",VLOOKUP($A49,Table,MATCH(AA$4,Curves,0)))</f>
        <v>#N/A</v>
      </c>
      <c r="AB49" s="185" t="e">
        <f aca="false">SQRT((AA49^2*(A49-$D$3)+Z49^2*(DAY(EOMONTH(A49,0))/2))/AK49)</f>
        <v>#N/A</v>
      </c>
      <c r="AC49" s="185" t="e">
        <f aca="false">IF($A50="","",VLOOKUP($A49,Table,MATCH(AC$4,Curves,0)))</f>
        <v>#N/A</v>
      </c>
      <c r="AD49" s="185" t="e">
        <f aca="false">IF($A50="","",VLOOKUP($A49,Table,MATCH(AD$4,Curves,0)))</f>
        <v>#N/A</v>
      </c>
      <c r="AE49" s="185" t="e">
        <f aca="false">SQRT((AD49^2*(A49-$D$3)+AC49^2*(DAY(EOMONTH(A49,0))/2))/AK49)</f>
        <v>#N/A</v>
      </c>
      <c r="AF49" s="224" t="e">
        <f aca="false">((Summary!$N$9*(AA49*AD49)*(A49-$D$3))+(Summary!$M$9*Z49*AC49*(AJ49-EOMONTH(EDATE(A49,-1),0))))/(AK49*AB49*AE49)</f>
        <v>#N/A</v>
      </c>
      <c r="AG49" s="207" t="n">
        <f aca="false">IF($A50="","",Summary!$Q$9)</f>
        <v>0</v>
      </c>
      <c r="AH49" s="207" t="n">
        <f aca="false">IF($A50="","",IF(Summary!$R$9="Y",VLOOKUP($A49,Summary!$AD$6:$AF$9,3)+'Escalating commodity'!E62,'Escalating commodity'!E62))</f>
        <v>0.0707</v>
      </c>
      <c r="AI49" s="207" t="n">
        <f aca="false">IF($A50="","",AH49)</f>
        <v>0.0707</v>
      </c>
      <c r="AJ49" s="208" t="n">
        <f aca="false">A49+DAY(EOMONTH(A49,0))/2-1</f>
        <v>38245</v>
      </c>
      <c r="AK49" s="209" t="n">
        <f aca="false">IF($A50="","",$A49-$E$1)</f>
        <v>-7695</v>
      </c>
      <c r="AL49" s="182" t="e">
        <f aca="false">IF($A50="","",SPRDOPT(P49,X49,AI49,0,AB49,AE49,AF49,AK49,$AJ$2,0))</f>
        <v>#NAME?</v>
      </c>
      <c r="AM49" s="211" t="e">
        <f aca="false">IF($A50="","",MAX(0,O49-W49-AI49))</f>
        <v>#N/A</v>
      </c>
      <c r="AN49" s="211" t="e">
        <f aca="false">IF($A50="","",AL49-AM49)</f>
        <v>#N/A</v>
      </c>
      <c r="AO49" s="137" t="n">
        <f aca="false">IF(A50="","",A50-A49)</f>
        <v>30</v>
      </c>
      <c r="AP49" s="212" t="n">
        <f aca="false">IF(A50="","",CHOOSE(F$3,A50+24,A49))</f>
        <v>38231</v>
      </c>
      <c r="AQ49" s="209" t="n">
        <f aca="false">IF(A50="","",AP49-$E$1)</f>
        <v>-7695</v>
      </c>
      <c r="AR49" s="185" t="n">
        <f aca="false">'ANR OK vs ML7'!AR49</f>
        <v>0.1</v>
      </c>
      <c r="AS49" s="213" t="n">
        <f aca="false">IF(A50="","",1/(1+CHOOSE(F$3,(AR50+($I$3/10000))/2,(AR49+($I$3/10000))/2))^(2*AQ49/365.25))</f>
        <v>7.81307892322772</v>
      </c>
      <c r="AT49" s="137" t="n">
        <f aca="false">IF(A50="","",IF(AND(mthbeg&lt;=A49,mthend&gt;=A49),1,0))</f>
        <v>1</v>
      </c>
      <c r="AU49" s="137" t="n">
        <f aca="false">IF(A50="","",AO49*AT49)</f>
        <v>30</v>
      </c>
      <c r="AW49" s="195" t="e">
        <f aca="false">IF($A50="","",AL49*$E49)</f>
        <v>#NAME?</v>
      </c>
      <c r="AX49" s="195" t="e">
        <f aca="false">IF($A50="","",AM49*$E49)</f>
        <v>#N/A</v>
      </c>
      <c r="AY49" s="195" t="e">
        <f aca="false">IF($A50="","",AN49*$E49)</f>
        <v>#N/A</v>
      </c>
      <c r="BA49" s="195" t="n">
        <f aca="false">IF($A50="","",F49*Summary!$Q$9)</f>
        <v>0</v>
      </c>
      <c r="BC49" s="179" t="e">
        <f aca="false">IF(A50="","",AM49*F49)</f>
        <v>#N/A</v>
      </c>
    </row>
    <row r="50" customFormat="false" ht="12.75" hidden="false" customHeight="false" outlineLevel="0" collapsed="false">
      <c r="A50" s="196" t="n">
        <f aca="false">IF(A49&lt;mthend,EDATE(A49,1),"")</f>
        <v>38261</v>
      </c>
      <c r="B50" s="197" t="n">
        <f aca="false">IF(A50&lt;mthend,B49,"")</f>
        <v>36050</v>
      </c>
      <c r="C50" s="215"/>
      <c r="D50" s="197" t="n">
        <f aca="false">IF(A51&lt;&gt;"",B50+C50,"")</f>
        <v>36050</v>
      </c>
      <c r="E50" s="199" t="n">
        <f aca="false">IF(A51="","",IF(AND(AT50=1,$H$3=1),D50*AO50,IF($H$3=2,D50,"N/A")))</f>
        <v>1117550</v>
      </c>
      <c r="F50" s="199" t="n">
        <f aca="false">IF(A51="","",E50*AS50)</f>
        <v>8661804.6703711</v>
      </c>
      <c r="G50" s="200" t="e">
        <f aca="false">IF($A51="","",VLOOKUP($A50,Table,MATCH(G$4,Curves,0)))</f>
        <v>#N/A</v>
      </c>
      <c r="H50" s="201" t="e">
        <f aca="false">IF(A51="","",G50)</f>
        <v>#N/A</v>
      </c>
      <c r="I50" s="202"/>
      <c r="J50" s="200" t="e">
        <f aca="false">IF($A51="","",VLOOKUP($A50,Table,MATCH(J$4,Curves,0)))</f>
        <v>#N/A</v>
      </c>
      <c r="K50" s="201" t="e">
        <f aca="false">IF(A51="","",J50)</f>
        <v>#N/A</v>
      </c>
      <c r="L50" s="200" t="e">
        <f aca="false">IF($A51="","",VLOOKUP($A50,Table,MATCH(L$4,Curves,0)))</f>
        <v>#N/A</v>
      </c>
      <c r="M50" s="201" t="e">
        <f aca="false">IF(A51="","",L50)</f>
        <v>#N/A</v>
      </c>
      <c r="N50" s="203"/>
      <c r="O50" s="200" t="e">
        <f aca="false">IF(A51="","",L50+J50+G50)</f>
        <v>#N/A</v>
      </c>
      <c r="P50" s="200" t="e">
        <f aca="false">IF(A51="","",M50+K50+H50)</f>
        <v>#N/A</v>
      </c>
      <c r="Q50" s="204"/>
      <c r="R50" s="200" t="e">
        <f aca="false">IF($A51="","",VLOOKUP($A50,Table,MATCH(R$4,Curves,0)))</f>
        <v>#N/A</v>
      </c>
      <c r="S50" s="201" t="e">
        <f aca="false">IF(A51="","",R50)</f>
        <v>#N/A</v>
      </c>
      <c r="T50" s="200" t="e">
        <f aca="false">IF($A51="","",VLOOKUP($A50,Table,MATCH(T$4,Curves,0)))</f>
        <v>#N/A</v>
      </c>
      <c r="U50" s="201" t="e">
        <f aca="false">IF(A51="","",T50)</f>
        <v>#N/A</v>
      </c>
      <c r="V50" s="225" t="e">
        <f aca="false">IF($A51="","",IF(AND(MONTH(A50)&gt;3,MONTH(A50)&lt;11),(T50+R50+G50)*Summary!$T$9/(1-Summary!$T$9),(T50+R50+G50)*Summary!$U$9/(1-Summary!$U$9)))</f>
        <v>#N/A</v>
      </c>
      <c r="W50" s="200" t="e">
        <f aca="false">IF($A51="","",(T50+R50+G50+V50))</f>
        <v>#N/A</v>
      </c>
      <c r="X50" s="200" t="e">
        <f aca="false">IF($A51="","",(U50+S50+H50+V50))</f>
        <v>#N/A</v>
      </c>
      <c r="Y50" s="202"/>
      <c r="Z50" s="185" t="e">
        <f aca="false">IF($A51="","",VLOOKUP($A50,Table,MATCH(Z$4,Curves,0)))</f>
        <v>#N/A</v>
      </c>
      <c r="AA50" s="185" t="e">
        <f aca="false">IF($A51="","",VLOOKUP($A50,Table,MATCH(AA$4,Curves,0)))</f>
        <v>#N/A</v>
      </c>
      <c r="AB50" s="185" t="e">
        <f aca="false">SQRT((AA50^2*(A50-$D$3)+Z50^2*(DAY(EOMONTH(A50,0))/2))/AK50)</f>
        <v>#N/A</v>
      </c>
      <c r="AC50" s="185" t="e">
        <f aca="false">IF($A51="","",VLOOKUP($A50,Table,MATCH(AC$4,Curves,0)))</f>
        <v>#N/A</v>
      </c>
      <c r="AD50" s="185" t="e">
        <f aca="false">IF($A51="","",VLOOKUP($A50,Table,MATCH(AD$4,Curves,0)))</f>
        <v>#N/A</v>
      </c>
      <c r="AE50" s="185" t="e">
        <f aca="false">SQRT((AD50^2*(A50-$D$3)+AC50^2*(DAY(EOMONTH(A50,0))/2))/AK50)</f>
        <v>#N/A</v>
      </c>
      <c r="AF50" s="224" t="e">
        <f aca="false">((Summary!$N$9*(AA50*AD50)*(A50-$D$3))+(Summary!$M$9*Z50*AC50*(AJ50-EOMONTH(EDATE(A50,-1),0))))/(AK50*AB50*AE50)</f>
        <v>#N/A</v>
      </c>
      <c r="AG50" s="207" t="n">
        <f aca="false">IF($A51="","",Summary!$Q$9)</f>
        <v>0</v>
      </c>
      <c r="AH50" s="207" t="n">
        <f aca="false">IF($A51="","",IF(Summary!$R$9="Y",VLOOKUP($A50,Summary!$AD$6:$AF$9,3)+'Escalating commodity'!E63,'Escalating commodity'!E63))</f>
        <v>0.0707</v>
      </c>
      <c r="AI50" s="207" t="n">
        <f aca="false">IF($A51="","",AH50)</f>
        <v>0.0707</v>
      </c>
      <c r="AJ50" s="208" t="n">
        <f aca="false">A50+DAY(EOMONTH(A50,0))/2-1</f>
        <v>38275.5</v>
      </c>
      <c r="AK50" s="209" t="n">
        <f aca="false">IF($A51="","",$A50-$E$1)</f>
        <v>-7665</v>
      </c>
      <c r="AL50" s="182" t="e">
        <f aca="false">IF($A51="","",SPRDOPT(P50,X50,AI50,0,AB50,AE50,AF50,AK50,$AJ$2,0))</f>
        <v>#NAME?</v>
      </c>
      <c r="AM50" s="211" t="e">
        <f aca="false">IF($A51="","",MAX(0,O50-W50-AI50))</f>
        <v>#N/A</v>
      </c>
      <c r="AN50" s="211" t="e">
        <f aca="false">IF($A51="","",AL50-AM50)</f>
        <v>#N/A</v>
      </c>
      <c r="AO50" s="137" t="n">
        <f aca="false">IF(A51="","",A51-A50)</f>
        <v>31</v>
      </c>
      <c r="AP50" s="212" t="n">
        <f aca="false">IF(A51="","",CHOOSE(F$3,A51+24,A50))</f>
        <v>38261</v>
      </c>
      <c r="AQ50" s="209" t="n">
        <f aca="false">IF(A51="","",AP50-$E$1)</f>
        <v>-7665</v>
      </c>
      <c r="AR50" s="185" t="n">
        <f aca="false">'ANR OK vs ML7'!AR50</f>
        <v>0.1</v>
      </c>
      <c r="AS50" s="213" t="n">
        <f aca="false">IF(A51="","",1/(1+CHOOSE(F$3,(AR51+($I$3/10000))/2,(AR50+($I$3/10000))/2))^(2*AQ50/365.25))</f>
        <v>7.75070884557389</v>
      </c>
      <c r="AT50" s="137" t="n">
        <f aca="false">IF(A51="","",IF(AND(mthbeg&lt;=A50,mthend&gt;=A50),1,0))</f>
        <v>1</v>
      </c>
      <c r="AU50" s="137" t="n">
        <f aca="false">IF(A51="","",AO50*AT50)</f>
        <v>31</v>
      </c>
      <c r="AW50" s="195" t="e">
        <f aca="false">IF($A51="","",AL50*$E50)</f>
        <v>#NAME?</v>
      </c>
      <c r="AX50" s="195" t="e">
        <f aca="false">IF($A51="","",AM50*$E50)</f>
        <v>#N/A</v>
      </c>
      <c r="AY50" s="195" t="e">
        <f aca="false">IF($A51="","",AN50*$E50)</f>
        <v>#N/A</v>
      </c>
      <c r="BA50" s="195" t="n">
        <f aca="false">IF($A51="","",F50*Summary!$Q$9)</f>
        <v>0</v>
      </c>
      <c r="BC50" s="179" t="e">
        <f aca="false">IF(A51="","",AM50*F50)</f>
        <v>#N/A</v>
      </c>
    </row>
    <row r="51" customFormat="false" ht="12.75" hidden="false" customHeight="false" outlineLevel="0" collapsed="false">
      <c r="A51" s="196" t="n">
        <f aca="false">IF(A50&lt;mthend,EDATE(A50,1),"")</f>
        <v>38292</v>
      </c>
      <c r="B51" s="197" t="n">
        <f aca="false">IF(A51&lt;mthend,B50,"")</f>
        <v>36050</v>
      </c>
      <c r="C51" s="215"/>
      <c r="D51" s="197" t="n">
        <f aca="false">IF(A52&lt;&gt;"",B51+C51,"")</f>
        <v>36050</v>
      </c>
      <c r="E51" s="199" t="n">
        <f aca="false">IF(A52="","",IF(AND(AT51=1,$H$3=1),D51*AO51,IF($H$3=2,D51,"N/A")))</f>
        <v>1081500</v>
      </c>
      <c r="F51" s="199" t="n">
        <f aca="false">IF(A52="","",E51*AS51)</f>
        <v>8313255.57255284</v>
      </c>
      <c r="G51" s="200" t="e">
        <f aca="false">IF($A52="","",VLOOKUP($A51,Table,MATCH(G$4,Curves,0)))</f>
        <v>#N/A</v>
      </c>
      <c r="H51" s="201" t="e">
        <f aca="false">IF(A52="","",G51)</f>
        <v>#N/A</v>
      </c>
      <c r="I51" s="202"/>
      <c r="J51" s="200" t="e">
        <f aca="false">IF($A52="","",VLOOKUP($A51,Table,MATCH(J$4,Curves,0)))</f>
        <v>#N/A</v>
      </c>
      <c r="K51" s="201" t="e">
        <f aca="false">IF(A52="","",J51)</f>
        <v>#N/A</v>
      </c>
      <c r="L51" s="200" t="e">
        <f aca="false">IF($A52="","",VLOOKUP($A51,Table,MATCH(L$4,Curves,0)))</f>
        <v>#N/A</v>
      </c>
      <c r="M51" s="201" t="e">
        <f aca="false">IF(A52="","",L51)</f>
        <v>#N/A</v>
      </c>
      <c r="N51" s="203"/>
      <c r="O51" s="200" t="e">
        <f aca="false">IF(A52="","",L51+J51+G51)</f>
        <v>#N/A</v>
      </c>
      <c r="P51" s="200" t="e">
        <f aca="false">IF(A52="","",M51+K51+H51)</f>
        <v>#N/A</v>
      </c>
      <c r="Q51" s="204"/>
      <c r="R51" s="200" t="e">
        <f aca="false">IF($A52="","",VLOOKUP($A51,Table,MATCH(R$4,Curves,0)))</f>
        <v>#N/A</v>
      </c>
      <c r="S51" s="201" t="e">
        <f aca="false">IF(A52="","",R51)</f>
        <v>#N/A</v>
      </c>
      <c r="T51" s="200" t="e">
        <f aca="false">IF($A52="","",VLOOKUP($A51,Table,MATCH(T$4,Curves,0)))</f>
        <v>#N/A</v>
      </c>
      <c r="U51" s="201" t="e">
        <f aca="false">IF(A52="","",T51)</f>
        <v>#N/A</v>
      </c>
      <c r="V51" s="225" t="e">
        <f aca="false">IF($A52="","",IF(AND(MONTH(A51)&gt;3,MONTH(A51)&lt;11),(T51+R51+G51)*Summary!$T$9/(1-Summary!$T$9),(T51+R51+G51)*Summary!$U$9/(1-Summary!$U$9)))</f>
        <v>#N/A</v>
      </c>
      <c r="W51" s="200" t="e">
        <f aca="false">IF($A52="","",(T51+R51+G51+V51))</f>
        <v>#N/A</v>
      </c>
      <c r="X51" s="200" t="e">
        <f aca="false">IF($A52="","",(U51+S51+H51+V51))</f>
        <v>#N/A</v>
      </c>
      <c r="Y51" s="202"/>
      <c r="Z51" s="185" t="e">
        <f aca="false">IF($A52="","",VLOOKUP($A51,Table,MATCH(Z$4,Curves,0)))</f>
        <v>#N/A</v>
      </c>
      <c r="AA51" s="185" t="e">
        <f aca="false">IF($A52="","",VLOOKUP($A51,Table,MATCH(AA$4,Curves,0)))</f>
        <v>#N/A</v>
      </c>
      <c r="AB51" s="185" t="e">
        <f aca="false">SQRT((AA51^2*(A51-$D$3)+Z51^2*(DAY(EOMONTH(A51,0))/2))/AK51)</f>
        <v>#N/A</v>
      </c>
      <c r="AC51" s="185" t="e">
        <f aca="false">IF($A52="","",VLOOKUP($A51,Table,MATCH(AC$4,Curves,0)))</f>
        <v>#N/A</v>
      </c>
      <c r="AD51" s="185" t="e">
        <f aca="false">IF($A52="","",VLOOKUP($A51,Table,MATCH(AD$4,Curves,0)))</f>
        <v>#N/A</v>
      </c>
      <c r="AE51" s="185" t="e">
        <f aca="false">SQRT((AD51^2*(A51-$D$3)+AC51^2*(DAY(EOMONTH(A51,0))/2))/AK51)</f>
        <v>#N/A</v>
      </c>
      <c r="AF51" s="224" t="e">
        <f aca="false">((Summary!$N$9*(AA51*AD51)*(A51-$D$3))+(Summary!$M$9*Z51*AC51*(AJ51-EOMONTH(EDATE(A51,-1),0))))/(AK51*AB51*AE51)</f>
        <v>#N/A</v>
      </c>
      <c r="AG51" s="207" t="n">
        <f aca="false">IF($A52="","",Summary!$Q$9)</f>
        <v>0</v>
      </c>
      <c r="AH51" s="207" t="n">
        <f aca="false">IF($A52="","",IF(Summary!$R$9="Y",VLOOKUP($A51,Summary!$AD$6:$AF$9,3)+'Escalating commodity'!E64,'Escalating commodity'!E64))</f>
        <v>0.0707</v>
      </c>
      <c r="AI51" s="207" t="n">
        <f aca="false">IF($A52="","",AH51)</f>
        <v>0.0707</v>
      </c>
      <c r="AJ51" s="208" t="n">
        <f aca="false">A51+DAY(EOMONTH(A51,0))/2-1</f>
        <v>38306</v>
      </c>
      <c r="AK51" s="209" t="n">
        <f aca="false">IF($A52="","",$A51-$E$1)</f>
        <v>-7634</v>
      </c>
      <c r="AL51" s="182" t="e">
        <f aca="false">IF($A52="","",SPRDOPT(P51,X51,AI51,0,AB51,AE51,AF51,AK51,$AJ$2,0))</f>
        <v>#NAME?</v>
      </c>
      <c r="AM51" s="211" t="e">
        <f aca="false">IF($A52="","",MAX(0,O51-W51-AI51))</f>
        <v>#N/A</v>
      </c>
      <c r="AN51" s="211" t="e">
        <f aca="false">IF($A52="","",AL51-AM51)</f>
        <v>#N/A</v>
      </c>
      <c r="AO51" s="137" t="n">
        <f aca="false">IF(A52="","",A52-A51)</f>
        <v>30</v>
      </c>
      <c r="AP51" s="212" t="n">
        <f aca="false">IF(A52="","",CHOOSE(F$3,A52+24,A51))</f>
        <v>38292</v>
      </c>
      <c r="AQ51" s="209" t="n">
        <f aca="false">IF(A52="","",AP51-$E$1)</f>
        <v>-7634</v>
      </c>
      <c r="AR51" s="185" t="n">
        <f aca="false">'ANR OK vs ML7'!AR51</f>
        <v>0.1</v>
      </c>
      <c r="AS51" s="213" t="n">
        <f aca="false">IF(A52="","",1/(1+CHOOSE(F$3,(AR52+($I$3/10000))/2,(AR51+($I$3/10000))/2))^(2*AQ51/365.25))</f>
        <v>7.68678277628556</v>
      </c>
      <c r="AT51" s="137" t="n">
        <f aca="false">IF(A52="","",IF(AND(mthbeg&lt;=A51,mthend&gt;=A51),1,0))</f>
        <v>1</v>
      </c>
      <c r="AU51" s="137" t="n">
        <f aca="false">IF(A52="","",AO51*AT51)</f>
        <v>30</v>
      </c>
      <c r="AW51" s="195" t="e">
        <f aca="false">IF($A52="","",AL51*$E51)</f>
        <v>#NAME?</v>
      </c>
      <c r="AX51" s="195" t="e">
        <f aca="false">IF($A52="","",AM51*$E51)</f>
        <v>#N/A</v>
      </c>
      <c r="AY51" s="195" t="e">
        <f aca="false">IF($A52="","",AN51*$E51)</f>
        <v>#N/A</v>
      </c>
      <c r="BA51" s="195" t="n">
        <f aca="false">IF($A52="","",F51*Summary!$Q$9)</f>
        <v>0</v>
      </c>
      <c r="BC51" s="179" t="e">
        <f aca="false">IF(A52="","",AM51*F51)</f>
        <v>#N/A</v>
      </c>
    </row>
    <row r="52" customFormat="false" ht="12.75" hidden="false" customHeight="false" outlineLevel="0" collapsed="false">
      <c r="A52" s="196" t="n">
        <f aca="false">IF(A51&lt;mthend,EDATE(A51,1),"")</f>
        <v>38322</v>
      </c>
      <c r="B52" s="197" t="n">
        <f aca="false">IF(A52&lt;mthend,B51,"")</f>
        <v>36050</v>
      </c>
      <c r="C52" s="215"/>
      <c r="D52" s="197" t="n">
        <f aca="false">IF(A53&lt;&gt;"",B52+C52,"")</f>
        <v>36050</v>
      </c>
      <c r="E52" s="199" t="n">
        <f aca="false">IF(A53="","",IF(AND(AT52=1,$H$3=1),D52*AO52,IF($H$3=2,D52,"N/A")))</f>
        <v>1117550</v>
      </c>
      <c r="F52" s="199" t="n">
        <f aca="false">IF(A53="","",E52*AS52)</f>
        <v>8521789.11873228</v>
      </c>
      <c r="G52" s="200" t="e">
        <f aca="false">IF($A53="","",VLOOKUP($A52,Table,MATCH(G$4,Curves,0)))</f>
        <v>#N/A</v>
      </c>
      <c r="H52" s="201" t="e">
        <f aca="false">IF(A53="","",G52)</f>
        <v>#N/A</v>
      </c>
      <c r="I52" s="202"/>
      <c r="J52" s="200" t="e">
        <f aca="false">IF($A53="","",VLOOKUP($A52,Table,MATCH(J$4,Curves,0)))</f>
        <v>#N/A</v>
      </c>
      <c r="K52" s="201" t="e">
        <f aca="false">IF(A53="","",J52)</f>
        <v>#N/A</v>
      </c>
      <c r="L52" s="200" t="e">
        <f aca="false">IF($A53="","",VLOOKUP($A52,Table,MATCH(L$4,Curves,0)))</f>
        <v>#N/A</v>
      </c>
      <c r="M52" s="201" t="e">
        <f aca="false">IF(A53="","",L52)</f>
        <v>#N/A</v>
      </c>
      <c r="N52" s="203"/>
      <c r="O52" s="200" t="e">
        <f aca="false">IF(A53="","",L52+J52+G52)</f>
        <v>#N/A</v>
      </c>
      <c r="P52" s="200" t="e">
        <f aca="false">IF(A53="","",M52+K52+H52)</f>
        <v>#N/A</v>
      </c>
      <c r="Q52" s="204"/>
      <c r="R52" s="200" t="e">
        <f aca="false">IF($A53="","",VLOOKUP($A52,Table,MATCH(R$4,Curves,0)))</f>
        <v>#N/A</v>
      </c>
      <c r="S52" s="201" t="e">
        <f aca="false">IF(A53="","",R52)</f>
        <v>#N/A</v>
      </c>
      <c r="T52" s="200" t="e">
        <f aca="false">IF($A53="","",VLOOKUP($A52,Table,MATCH(T$4,Curves,0)))</f>
        <v>#N/A</v>
      </c>
      <c r="U52" s="201" t="e">
        <f aca="false">IF(A53="","",T52)</f>
        <v>#N/A</v>
      </c>
      <c r="V52" s="225" t="e">
        <f aca="false">IF($A53="","",IF(AND(MONTH(A52)&gt;3,MONTH(A52)&lt;11),(T52+R52+G52)*Summary!$T$9/(1-Summary!$T$9),(T52+R52+G52)*Summary!$U$9/(1-Summary!$U$9)))</f>
        <v>#N/A</v>
      </c>
      <c r="W52" s="200" t="e">
        <f aca="false">IF($A53="","",(T52+R52+G52+V52))</f>
        <v>#N/A</v>
      </c>
      <c r="X52" s="200" t="e">
        <f aca="false">IF($A53="","",(U52+S52+H52+V52))</f>
        <v>#N/A</v>
      </c>
      <c r="Y52" s="202"/>
      <c r="Z52" s="185" t="e">
        <f aca="false">IF($A53="","",VLOOKUP($A52,Table,MATCH(Z$4,Curves,0)))</f>
        <v>#N/A</v>
      </c>
      <c r="AA52" s="185" t="e">
        <f aca="false">IF($A53="","",VLOOKUP($A52,Table,MATCH(AA$4,Curves,0)))</f>
        <v>#N/A</v>
      </c>
      <c r="AB52" s="185" t="e">
        <f aca="false">SQRT((AA52^2*(A52-$D$3)+Z52^2*(DAY(EOMONTH(A52,0))/2))/AK52)</f>
        <v>#N/A</v>
      </c>
      <c r="AC52" s="185" t="e">
        <f aca="false">IF($A53="","",VLOOKUP($A52,Table,MATCH(AC$4,Curves,0)))</f>
        <v>#N/A</v>
      </c>
      <c r="AD52" s="185" t="e">
        <f aca="false">IF($A53="","",VLOOKUP($A52,Table,MATCH(AD$4,Curves,0)))</f>
        <v>#N/A</v>
      </c>
      <c r="AE52" s="185" t="e">
        <f aca="false">SQRT((AD52^2*(A52-$D$3)+AC52^2*(DAY(EOMONTH(A52,0))/2))/AK52)</f>
        <v>#N/A</v>
      </c>
      <c r="AF52" s="224" t="e">
        <f aca="false">((Summary!$N$9*(AA52*AD52)*(A52-$D$3))+(Summary!$M$9*Z52*AC52*(AJ52-EOMONTH(EDATE(A52,-1),0))))/(AK52*AB52*AE52)</f>
        <v>#N/A</v>
      </c>
      <c r="AG52" s="207" t="n">
        <f aca="false">IF($A53="","",Summary!$Q$9)</f>
        <v>0</v>
      </c>
      <c r="AH52" s="207" t="n">
        <f aca="false">IF($A53="","",IF(Summary!$R$9="Y",VLOOKUP($A52,Summary!$AD$6:$AF$9,3)+'Escalating commodity'!E65,'Escalating commodity'!E65))</f>
        <v>0.0707</v>
      </c>
      <c r="AI52" s="207" t="n">
        <f aca="false">IF($A53="","",AH52)</f>
        <v>0.0707</v>
      </c>
      <c r="AJ52" s="208" t="n">
        <f aca="false">A52+DAY(EOMONTH(A52,0))/2-1</f>
        <v>38336.5</v>
      </c>
      <c r="AK52" s="209" t="n">
        <f aca="false">IF($A53="","",$A52-$E$1)</f>
        <v>-7604</v>
      </c>
      <c r="AL52" s="182" t="e">
        <f aca="false">IF($A53="","",SPRDOPT(P52,X52,AI52,0,AB52,AE52,AF52,AK52,$AJ$2,0))</f>
        <v>#NAME?</v>
      </c>
      <c r="AM52" s="211" t="e">
        <f aca="false">IF($A53="","",MAX(0,O52-W52-AI52))</f>
        <v>#N/A</v>
      </c>
      <c r="AN52" s="211" t="e">
        <f aca="false">IF($A53="","",AL52-AM52)</f>
        <v>#N/A</v>
      </c>
      <c r="AO52" s="137" t="n">
        <f aca="false">IF(A53="","",A53-A52)</f>
        <v>31</v>
      </c>
      <c r="AP52" s="212" t="n">
        <f aca="false">IF(A53="","",CHOOSE(F$3,A53+24,A52))</f>
        <v>38322</v>
      </c>
      <c r="AQ52" s="209" t="n">
        <f aca="false">IF(A53="","",AP52-$E$1)</f>
        <v>-7604</v>
      </c>
      <c r="AR52" s="185" t="n">
        <f aca="false">'ANR OK vs ML7'!AR52</f>
        <v>0.1</v>
      </c>
      <c r="AS52" s="213" t="n">
        <f aca="false">IF(A53="","",1/(1+CHOOSE(F$3,(AR53+($I$3/10000))/2,(AR52+($I$3/10000))/2))^(2*AQ52/365.25))</f>
        <v>7.62542089278536</v>
      </c>
      <c r="AT52" s="137" t="n">
        <f aca="false">IF(A53="","",IF(AND(mthbeg&lt;=A52,mthend&gt;=A52),1,0))</f>
        <v>1</v>
      </c>
      <c r="AU52" s="137" t="n">
        <f aca="false">IF(A53="","",AO52*AT52)</f>
        <v>31</v>
      </c>
      <c r="AW52" s="195" t="e">
        <f aca="false">IF($A53="","",AL52*$E52)</f>
        <v>#NAME?</v>
      </c>
      <c r="AX52" s="195" t="e">
        <f aca="false">IF($A53="","",AM52*$E52)</f>
        <v>#N/A</v>
      </c>
      <c r="AY52" s="195" t="e">
        <f aca="false">IF($A53="","",AN52*$E52)</f>
        <v>#N/A</v>
      </c>
      <c r="BA52" s="195" t="n">
        <f aca="false">IF($A53="","",F52*Summary!$Q$9)</f>
        <v>0</v>
      </c>
      <c r="BC52" s="179" t="e">
        <f aca="false">IF(A53="","",AM52*F52)</f>
        <v>#N/A</v>
      </c>
    </row>
    <row r="53" customFormat="false" ht="12.75" hidden="false" customHeight="false" outlineLevel="0" collapsed="false">
      <c r="A53" s="196" t="n">
        <f aca="false">IF(A52&lt;mthend,EDATE(A52,1),"")</f>
        <v>38353</v>
      </c>
      <c r="B53" s="197" t="n">
        <f aca="false">IF(A53&lt;mthend,B52,"")</f>
        <v>36050</v>
      </c>
      <c r="C53" s="215"/>
      <c r="D53" s="197" t="n">
        <f aca="false">IF(A54&lt;&gt;"",B53+C53,"")</f>
        <v>36050</v>
      </c>
      <c r="E53" s="199" t="n">
        <f aca="false">IF(A54="","",IF(AND(AT53=1,$H$3=1),D53*AO53,IF($H$3=2,D53,"N/A")))</f>
        <v>1117550</v>
      </c>
      <c r="F53" s="199" t="n">
        <f aca="false">IF(A54="","",E53*AS53)</f>
        <v>8451503.35616287</v>
      </c>
      <c r="G53" s="200" t="e">
        <f aca="false">IF($A54="","",VLOOKUP($A53,Table,MATCH(G$4,Curves,0)))</f>
        <v>#N/A</v>
      </c>
      <c r="H53" s="201" t="e">
        <f aca="false">IF(A54="","",G53)</f>
        <v>#N/A</v>
      </c>
      <c r="I53" s="202"/>
      <c r="J53" s="200" t="e">
        <f aca="false">IF($A54="","",VLOOKUP($A53,Table,MATCH(J$4,Curves,0)))</f>
        <v>#N/A</v>
      </c>
      <c r="K53" s="201" t="e">
        <f aca="false">IF(A54="","",J53)</f>
        <v>#N/A</v>
      </c>
      <c r="L53" s="200" t="e">
        <f aca="false">IF($A54="","",VLOOKUP($A53,Table,MATCH(L$4,Curves,0)))</f>
        <v>#N/A</v>
      </c>
      <c r="M53" s="201" t="e">
        <f aca="false">IF(A54="","",L53)</f>
        <v>#N/A</v>
      </c>
      <c r="N53" s="203"/>
      <c r="O53" s="200" t="e">
        <f aca="false">IF(A54="","",L53+J53+G53)</f>
        <v>#N/A</v>
      </c>
      <c r="P53" s="200" t="e">
        <f aca="false">IF(A54="","",M53+K53+H53)</f>
        <v>#N/A</v>
      </c>
      <c r="Q53" s="204"/>
      <c r="R53" s="200" t="e">
        <f aca="false">IF($A54="","",VLOOKUP($A53,Table,MATCH(R$4,Curves,0)))</f>
        <v>#N/A</v>
      </c>
      <c r="S53" s="201" t="e">
        <f aca="false">IF(A54="","",R53)</f>
        <v>#N/A</v>
      </c>
      <c r="T53" s="200" t="e">
        <f aca="false">IF($A54="","",VLOOKUP($A53,Table,MATCH(T$4,Curves,0)))</f>
        <v>#N/A</v>
      </c>
      <c r="U53" s="201" t="e">
        <f aca="false">IF(A54="","",T53)</f>
        <v>#N/A</v>
      </c>
      <c r="V53" s="225" t="e">
        <f aca="false">IF($A54="","",IF(AND(MONTH(A53)&gt;3,MONTH(A53)&lt;11),(T53+R53+G53)*Summary!$T$9/(1-Summary!$T$9),(T53+R53+G53)*Summary!$U$9/(1-Summary!$U$9)))</f>
        <v>#N/A</v>
      </c>
      <c r="W53" s="200" t="e">
        <f aca="false">IF($A54="","",(T53+R53+G53+V53))</f>
        <v>#N/A</v>
      </c>
      <c r="X53" s="200" t="e">
        <f aca="false">IF($A54="","",(U53+S53+H53+V53))</f>
        <v>#N/A</v>
      </c>
      <c r="Y53" s="202"/>
      <c r="Z53" s="185" t="e">
        <f aca="false">IF($A54="","",VLOOKUP($A53,Table,MATCH(Z$4,Curves,0)))</f>
        <v>#N/A</v>
      </c>
      <c r="AA53" s="185" t="e">
        <f aca="false">IF($A54="","",VLOOKUP($A53,Table,MATCH(AA$4,Curves,0)))</f>
        <v>#N/A</v>
      </c>
      <c r="AB53" s="185" t="e">
        <f aca="false">SQRT((AA53^2*(A53-$D$3)+Z53^2*(DAY(EOMONTH(A53,0))/2))/AK53)</f>
        <v>#N/A</v>
      </c>
      <c r="AC53" s="185" t="e">
        <f aca="false">IF($A54="","",VLOOKUP($A53,Table,MATCH(AC$4,Curves,0)))</f>
        <v>#N/A</v>
      </c>
      <c r="AD53" s="185" t="e">
        <f aca="false">IF($A54="","",VLOOKUP($A53,Table,MATCH(AD$4,Curves,0)))</f>
        <v>#N/A</v>
      </c>
      <c r="AE53" s="185" t="e">
        <f aca="false">SQRT((AD53^2*(A53-$D$3)+AC53^2*(DAY(EOMONTH(A53,0))/2))/AK53)</f>
        <v>#N/A</v>
      </c>
      <c r="AF53" s="224" t="e">
        <f aca="false">((Summary!$N$9*(AA53*AD53)*(A53-$D$3))+(Summary!$M$9*Z53*AC53*(AJ53-EOMONTH(EDATE(A53,-1),0))))/(AK53*AB53*AE53)</f>
        <v>#N/A</v>
      </c>
      <c r="AG53" s="207" t="n">
        <f aca="false">IF($A54="","",Summary!$Q$9)</f>
        <v>0</v>
      </c>
      <c r="AH53" s="207" t="n">
        <f aca="false">IF($A54="","",IF(Summary!$R$9="Y",VLOOKUP($A53,Summary!$AD$6:$AF$9,3)+'Escalating commodity'!E66,'Escalating commodity'!E66))</f>
        <v>0.0707</v>
      </c>
      <c r="AI53" s="207" t="n">
        <f aca="false">IF($A54="","",AH53)</f>
        <v>0.0707</v>
      </c>
      <c r="AJ53" s="208" t="n">
        <f aca="false">A53+DAY(EOMONTH(A53,0))/2-1</f>
        <v>38367.5</v>
      </c>
      <c r="AK53" s="209" t="n">
        <f aca="false">IF($A54="","",$A53-$E$1)</f>
        <v>-7573</v>
      </c>
      <c r="AL53" s="182" t="e">
        <f aca="false">IF($A54="","",SPRDOPT(P53,X53,AI53,0,AB53,AE53,AF53,AK53,$AJ$2,0))</f>
        <v>#NAME?</v>
      </c>
      <c r="AM53" s="211" t="e">
        <f aca="false">IF($A54="","",MAX(0,O53-W53-AI53))</f>
        <v>#N/A</v>
      </c>
      <c r="AN53" s="211" t="e">
        <f aca="false">IF($A54="","",AL53-AM53)</f>
        <v>#N/A</v>
      </c>
      <c r="AO53" s="137" t="n">
        <f aca="false">IF(A54="","",A54-A53)</f>
        <v>31</v>
      </c>
      <c r="AP53" s="212" t="n">
        <f aca="false">IF(A54="","",CHOOSE(F$3,A54+24,A53))</f>
        <v>38353</v>
      </c>
      <c r="AQ53" s="209" t="n">
        <f aca="false">IF(A54="","",AP53-$E$1)</f>
        <v>-7573</v>
      </c>
      <c r="AR53" s="185" t="n">
        <f aca="false">'ANR OK vs ML7'!AR53</f>
        <v>0.1</v>
      </c>
      <c r="AS53" s="213" t="n">
        <f aca="false">IF(A54="","",1/(1+CHOOSE(F$3,(AR54+($I$3/10000))/2,(AR53+($I$3/10000))/2))^(2*AQ53/365.25))</f>
        <v>7.56252816980258</v>
      </c>
      <c r="AT53" s="137" t="n">
        <f aca="false">IF(A54="","",IF(AND(mthbeg&lt;=A53,mthend&gt;=A53),1,0))</f>
        <v>1</v>
      </c>
      <c r="AU53" s="137" t="n">
        <f aca="false">IF(A54="","",AO53*AT53)</f>
        <v>31</v>
      </c>
      <c r="AW53" s="195" t="e">
        <f aca="false">IF($A54="","",AL53*$E53)</f>
        <v>#NAME?</v>
      </c>
      <c r="AX53" s="195" t="e">
        <f aca="false">IF($A54="","",AM53*$E53)</f>
        <v>#N/A</v>
      </c>
      <c r="AY53" s="195" t="e">
        <f aca="false">IF($A54="","",AN53*$E53)</f>
        <v>#N/A</v>
      </c>
      <c r="BA53" s="195" t="n">
        <f aca="false">IF($A54="","",F53*Summary!$Q$9)</f>
        <v>0</v>
      </c>
      <c r="BC53" s="179" t="e">
        <f aca="false">IF(A54="","",AM53*F53)</f>
        <v>#N/A</v>
      </c>
    </row>
    <row r="54" customFormat="false" ht="12.75" hidden="false" customHeight="false" outlineLevel="0" collapsed="false">
      <c r="A54" s="196" t="n">
        <f aca="false">IF(A53&lt;mthend,EDATE(A53,1),"")</f>
        <v>38384</v>
      </c>
      <c r="B54" s="197" t="n">
        <f aca="false">IF(A54&lt;mthend,B53,"")</f>
        <v>36050</v>
      </c>
      <c r="C54" s="215"/>
      <c r="D54" s="197" t="n">
        <f aca="false">IF(A55&lt;&gt;"",B54+C54,"")</f>
        <v>36050</v>
      </c>
      <c r="E54" s="199" t="n">
        <f aca="false">IF(A55="","",IF(AND(AT54=1,$H$3=1),D54*AO54,IF($H$3=2,D54,"N/A")))</f>
        <v>1009400</v>
      </c>
      <c r="F54" s="199" t="n">
        <f aca="false">IF(A55="","",E54*AS54)</f>
        <v>7570655.62079022</v>
      </c>
      <c r="G54" s="200" t="e">
        <f aca="false">IF($A55="","",VLOOKUP($A54,Table,MATCH(G$4,Curves,0)))</f>
        <v>#N/A</v>
      </c>
      <c r="H54" s="201" t="e">
        <f aca="false">IF(A55="","",G54)</f>
        <v>#N/A</v>
      </c>
      <c r="I54" s="202"/>
      <c r="J54" s="200" t="e">
        <f aca="false">IF($A55="","",VLOOKUP($A54,Table,MATCH(J$4,Curves,0)))</f>
        <v>#N/A</v>
      </c>
      <c r="K54" s="201" t="e">
        <f aca="false">IF(A55="","",J54)</f>
        <v>#N/A</v>
      </c>
      <c r="L54" s="200" t="e">
        <f aca="false">IF($A55="","",VLOOKUP($A54,Table,MATCH(L$4,Curves,0)))</f>
        <v>#N/A</v>
      </c>
      <c r="M54" s="201" t="e">
        <f aca="false">IF(A55="","",L54)</f>
        <v>#N/A</v>
      </c>
      <c r="N54" s="203"/>
      <c r="O54" s="200" t="e">
        <f aca="false">IF(A55="","",L54+J54+G54)</f>
        <v>#N/A</v>
      </c>
      <c r="P54" s="200" t="e">
        <f aca="false">IF(A55="","",M54+K54+H54)</f>
        <v>#N/A</v>
      </c>
      <c r="Q54" s="204"/>
      <c r="R54" s="200" t="e">
        <f aca="false">IF($A55="","",VLOOKUP($A54,Table,MATCH(R$4,Curves,0)))</f>
        <v>#N/A</v>
      </c>
      <c r="S54" s="201" t="e">
        <f aca="false">IF(A55="","",R54)</f>
        <v>#N/A</v>
      </c>
      <c r="T54" s="200" t="e">
        <f aca="false">IF($A55="","",VLOOKUP($A54,Table,MATCH(T$4,Curves,0)))</f>
        <v>#N/A</v>
      </c>
      <c r="U54" s="201" t="e">
        <f aca="false">IF(A55="","",T54)</f>
        <v>#N/A</v>
      </c>
      <c r="V54" s="225" t="e">
        <f aca="false">IF($A55="","",IF(AND(MONTH(A54)&gt;3,MONTH(A54)&lt;11),(T54+R54+G54)*Summary!$T$9/(1-Summary!$T$9),(T54+R54+G54)*Summary!$U$9/(1-Summary!$U$9)))</f>
        <v>#N/A</v>
      </c>
      <c r="W54" s="200" t="e">
        <f aca="false">IF($A55="","",(T54+R54+G54+V54))</f>
        <v>#N/A</v>
      </c>
      <c r="X54" s="200" t="e">
        <f aca="false">IF($A55="","",(U54+S54+H54+V54))</f>
        <v>#N/A</v>
      </c>
      <c r="Y54" s="202"/>
      <c r="Z54" s="185" t="e">
        <f aca="false">IF($A55="","",VLOOKUP($A54,Table,MATCH(Z$4,Curves,0)))</f>
        <v>#N/A</v>
      </c>
      <c r="AA54" s="185" t="e">
        <f aca="false">IF($A55="","",VLOOKUP($A54,Table,MATCH(AA$4,Curves,0)))</f>
        <v>#N/A</v>
      </c>
      <c r="AB54" s="185" t="e">
        <f aca="false">SQRT((AA54^2*(A54-$D$3)+Z54^2*(DAY(EOMONTH(A54,0))/2))/AK54)</f>
        <v>#N/A</v>
      </c>
      <c r="AC54" s="185" t="e">
        <f aca="false">IF($A55="","",VLOOKUP($A54,Table,MATCH(AC$4,Curves,0)))</f>
        <v>#N/A</v>
      </c>
      <c r="AD54" s="185" t="e">
        <f aca="false">IF($A55="","",VLOOKUP($A54,Table,MATCH(AD$4,Curves,0)))</f>
        <v>#N/A</v>
      </c>
      <c r="AE54" s="185" t="e">
        <f aca="false">SQRT((AD54^2*(A54-$D$3)+AC54^2*(DAY(EOMONTH(A54,0))/2))/AK54)</f>
        <v>#N/A</v>
      </c>
      <c r="AF54" s="224" t="e">
        <f aca="false">((Summary!$N$9*(AA54*AD54)*(A54-$D$3))+(Summary!$M$9*Z54*AC54*(AJ54-EOMONTH(EDATE(A54,-1),0))))/(AK54*AB54*AE54)</f>
        <v>#N/A</v>
      </c>
      <c r="AG54" s="207" t="n">
        <f aca="false">IF($A55="","",Summary!$Q$9)</f>
        <v>0</v>
      </c>
      <c r="AH54" s="207" t="n">
        <f aca="false">IF($A55="","",IF(Summary!$R$9="Y",VLOOKUP($A54,Summary!$AD$6:$AF$9,3)+'Escalating commodity'!E67,'Escalating commodity'!E67))</f>
        <v>0.0707</v>
      </c>
      <c r="AI54" s="207" t="n">
        <f aca="false">IF($A55="","",AH54)</f>
        <v>0.0707</v>
      </c>
      <c r="AJ54" s="208" t="n">
        <f aca="false">A54+DAY(EOMONTH(A54,0))/2-1</f>
        <v>38397</v>
      </c>
      <c r="AK54" s="209" t="n">
        <f aca="false">IF($A55="","",$A54-$E$1)</f>
        <v>-7542</v>
      </c>
      <c r="AL54" s="182" t="e">
        <f aca="false">IF($A55="","",SPRDOPT(P54,X54,AI54,0,AB54,AE54,AF54,AK54,$AJ$2,0))</f>
        <v>#NAME?</v>
      </c>
      <c r="AM54" s="211" t="e">
        <f aca="false">IF($A55="","",MAX(0,O54-W54-AI54))</f>
        <v>#N/A</v>
      </c>
      <c r="AN54" s="211" t="e">
        <f aca="false">IF($A55="","",AL54-AM54)</f>
        <v>#N/A</v>
      </c>
      <c r="AO54" s="137" t="n">
        <f aca="false">IF(A55="","",A55-A54)</f>
        <v>28</v>
      </c>
      <c r="AP54" s="212" t="n">
        <f aca="false">IF(A55="","",CHOOSE(F$3,A55+24,A54))</f>
        <v>38384</v>
      </c>
      <c r="AQ54" s="209" t="n">
        <f aca="false">IF(A55="","",AP54-$E$1)</f>
        <v>-7542</v>
      </c>
      <c r="AR54" s="185" t="n">
        <f aca="false">'ANR OK vs ML7'!AR54</f>
        <v>0.1</v>
      </c>
      <c r="AS54" s="213" t="n">
        <f aca="false">IF(A55="","",1/(1+CHOOSE(F$3,(AR55+($I$3/10000))/2,(AR54+($I$3/10000))/2))^(2*AQ54/365.25))</f>
        <v>7.5001541715774</v>
      </c>
      <c r="AT54" s="137" t="n">
        <f aca="false">IF(A55="","",IF(AND(mthbeg&lt;=A54,mthend&gt;=A54),1,0))</f>
        <v>1</v>
      </c>
      <c r="AU54" s="137" t="n">
        <f aca="false">IF(A55="","",AO54*AT54)</f>
        <v>28</v>
      </c>
      <c r="AW54" s="195" t="e">
        <f aca="false">IF($A55="","",AL54*$E54)</f>
        <v>#NAME?</v>
      </c>
      <c r="AX54" s="195" t="e">
        <f aca="false">IF($A55="","",AM54*$E54)</f>
        <v>#N/A</v>
      </c>
      <c r="AY54" s="195" t="e">
        <f aca="false">IF($A55="","",AN54*$E54)</f>
        <v>#N/A</v>
      </c>
      <c r="BA54" s="195" t="n">
        <f aca="false">IF($A55="","",F54*Summary!$Q$9)</f>
        <v>0</v>
      </c>
      <c r="BC54" s="179" t="e">
        <f aca="false">IF(A55="","",AM54*F54)</f>
        <v>#N/A</v>
      </c>
    </row>
    <row r="55" customFormat="false" ht="12.75" hidden="false" customHeight="false" outlineLevel="0" collapsed="false">
      <c r="A55" s="196" t="n">
        <f aca="false">IF(A54&lt;mthend,EDATE(A54,1),"")</f>
        <v>38412</v>
      </c>
      <c r="B55" s="197" t="n">
        <f aca="false">IF(A55&lt;mthend,B54,"")</f>
        <v>36050</v>
      </c>
      <c r="C55" s="215"/>
      <c r="D55" s="197" t="n">
        <f aca="false">IF(A56&lt;&gt;"",B55+C55,"")</f>
        <v>36050</v>
      </c>
      <c r="E55" s="199" t="n">
        <f aca="false">IF(A56="","",IF(AND(AT55=1,$H$3=1),D55*AO55,IF($H$3=2,D55,"N/A")))</f>
        <v>1117550</v>
      </c>
      <c r="F55" s="199" t="n">
        <f aca="false">IF(A56="","",E55*AS55)</f>
        <v>8319331.26808147</v>
      </c>
      <c r="G55" s="200" t="e">
        <f aca="false">IF($A56="","",VLOOKUP($A55,Table,MATCH(G$4,Curves,0)))</f>
        <v>#N/A</v>
      </c>
      <c r="H55" s="201" t="e">
        <f aca="false">IF(A56="","",G55)</f>
        <v>#N/A</v>
      </c>
      <c r="I55" s="202"/>
      <c r="J55" s="200" t="e">
        <f aca="false">IF($A56="","",VLOOKUP($A55,Table,MATCH(J$4,Curves,0)))</f>
        <v>#N/A</v>
      </c>
      <c r="K55" s="201" t="e">
        <f aca="false">IF(A56="","",J55)</f>
        <v>#N/A</v>
      </c>
      <c r="L55" s="200" t="e">
        <f aca="false">IF($A56="","",VLOOKUP($A55,Table,MATCH(L$4,Curves,0)))</f>
        <v>#N/A</v>
      </c>
      <c r="M55" s="201" t="e">
        <f aca="false">IF(A56="","",L55)</f>
        <v>#N/A</v>
      </c>
      <c r="N55" s="203"/>
      <c r="O55" s="200" t="e">
        <f aca="false">IF(A56="","",L55+J55+G55)</f>
        <v>#N/A</v>
      </c>
      <c r="P55" s="200" t="e">
        <f aca="false">IF(A56="","",M55+K55+H55)</f>
        <v>#N/A</v>
      </c>
      <c r="Q55" s="204"/>
      <c r="R55" s="200" t="e">
        <f aca="false">IF($A56="","",VLOOKUP($A55,Table,MATCH(R$4,Curves,0)))</f>
        <v>#N/A</v>
      </c>
      <c r="S55" s="201" t="e">
        <f aca="false">IF(A56="","",R55)</f>
        <v>#N/A</v>
      </c>
      <c r="T55" s="200" t="e">
        <f aca="false">IF($A56="","",VLOOKUP($A55,Table,MATCH(T$4,Curves,0)))</f>
        <v>#N/A</v>
      </c>
      <c r="U55" s="201" t="e">
        <f aca="false">IF(A56="","",T55)</f>
        <v>#N/A</v>
      </c>
      <c r="V55" s="225" t="e">
        <f aca="false">IF($A56="","",IF(AND(MONTH(A55)&gt;3,MONTH(A55)&lt;11),(T55+R55+G55)*Summary!$T$9/(1-Summary!$T$9),(T55+R55+G55)*Summary!$U$9/(1-Summary!$U$9)))</f>
        <v>#N/A</v>
      </c>
      <c r="W55" s="200" t="e">
        <f aca="false">IF($A56="","",(T55+R55+G55+V55))</f>
        <v>#N/A</v>
      </c>
      <c r="X55" s="200" t="e">
        <f aca="false">IF($A56="","",(U55+S55+H55+V55))</f>
        <v>#N/A</v>
      </c>
      <c r="Y55" s="202"/>
      <c r="Z55" s="185" t="e">
        <f aca="false">IF($A56="","",VLOOKUP($A55,Table,MATCH(Z$4,Curves,0)))</f>
        <v>#N/A</v>
      </c>
      <c r="AA55" s="185" t="e">
        <f aca="false">IF($A56="","",VLOOKUP($A55,Table,MATCH(AA$4,Curves,0)))</f>
        <v>#N/A</v>
      </c>
      <c r="AB55" s="185" t="e">
        <f aca="false">SQRT((AA55^2*(A55-$D$3)+Z55^2*(DAY(EOMONTH(A55,0))/2))/AK55)</f>
        <v>#N/A</v>
      </c>
      <c r="AC55" s="185" t="e">
        <f aca="false">IF($A56="","",VLOOKUP($A55,Table,MATCH(AC$4,Curves,0)))</f>
        <v>#N/A</v>
      </c>
      <c r="AD55" s="185" t="e">
        <f aca="false">IF($A56="","",VLOOKUP($A55,Table,MATCH(AD$4,Curves,0)))</f>
        <v>#N/A</v>
      </c>
      <c r="AE55" s="185" t="e">
        <f aca="false">SQRT((AD55^2*(A55-$D$3)+AC55^2*(DAY(EOMONTH(A55,0))/2))/AK55)</f>
        <v>#N/A</v>
      </c>
      <c r="AF55" s="224" t="e">
        <f aca="false">((Summary!$N$9*(AA55*AD55)*(A55-$D$3))+(Summary!$M$9*Z55*AC55*(AJ55-EOMONTH(EDATE(A55,-1),0))))/(AK55*AB55*AE55)</f>
        <v>#N/A</v>
      </c>
      <c r="AG55" s="207" t="n">
        <f aca="false">IF($A56="","",Summary!$Q$9)</f>
        <v>0</v>
      </c>
      <c r="AH55" s="207" t="n">
        <f aca="false">IF($A56="","",IF(Summary!$R$9="Y",VLOOKUP($A55,Summary!$AD$6:$AF$9,3)+'Escalating commodity'!E68,'Escalating commodity'!E68))</f>
        <v>0.0707</v>
      </c>
      <c r="AI55" s="207" t="n">
        <f aca="false">IF($A56="","",AH55)</f>
        <v>0.0707</v>
      </c>
      <c r="AJ55" s="208" t="n">
        <f aca="false">A55+DAY(EOMONTH(A55,0))/2-1</f>
        <v>38426.5</v>
      </c>
      <c r="AK55" s="209" t="n">
        <f aca="false">IF($A56="","",$A55-$E$1)</f>
        <v>-7514</v>
      </c>
      <c r="AL55" s="182" t="e">
        <f aca="false">IF($A56="","",SPRDOPT(P55,X55,AI55,0,AB55,AE55,AF55,AK55,$AJ$2,0))</f>
        <v>#NAME?</v>
      </c>
      <c r="AM55" s="211" t="e">
        <f aca="false">IF($A56="","",MAX(0,O55-W55-AI55))</f>
        <v>#N/A</v>
      </c>
      <c r="AN55" s="211" t="e">
        <f aca="false">IF($A56="","",AL55-AM55)</f>
        <v>#N/A</v>
      </c>
      <c r="AO55" s="137" t="n">
        <f aca="false">IF(A56="","",A56-A55)</f>
        <v>31</v>
      </c>
      <c r="AP55" s="212" t="n">
        <f aca="false">IF(A56="","",CHOOSE(F$3,A56+24,A55))</f>
        <v>38412</v>
      </c>
      <c r="AQ55" s="209" t="n">
        <f aca="false">IF(A56="","",AP55-$E$1)</f>
        <v>-7514</v>
      </c>
      <c r="AR55" s="185" t="n">
        <f aca="false">'ANR OK vs ML7'!AR55</f>
        <v>0.1</v>
      </c>
      <c r="AS55" s="213" t="n">
        <f aca="false">IF(A56="","",1/(1+CHOOSE(F$3,(AR56+($I$3/10000))/2,(AR55+($I$3/10000))/2))^(2*AQ55/365.25))</f>
        <v>7.44425866232515</v>
      </c>
      <c r="AT55" s="137" t="n">
        <f aca="false">IF(A56="","",IF(AND(mthbeg&lt;=A55,mthend&gt;=A55),1,0))</f>
        <v>1</v>
      </c>
      <c r="AU55" s="137" t="n">
        <f aca="false">IF(A56="","",AO55*AT55)</f>
        <v>31</v>
      </c>
      <c r="AW55" s="195" t="e">
        <f aca="false">IF($A56="","",AL55*$E55)</f>
        <v>#NAME?</v>
      </c>
      <c r="AX55" s="195" t="e">
        <f aca="false">IF($A56="","",AM55*$E55)</f>
        <v>#N/A</v>
      </c>
      <c r="AY55" s="195" t="e">
        <f aca="false">IF($A56="","",AN55*$E55)</f>
        <v>#N/A</v>
      </c>
      <c r="BA55" s="195" t="n">
        <f aca="false">IF($A56="","",F55*Summary!$Q$9)</f>
        <v>0</v>
      </c>
      <c r="BC55" s="179" t="e">
        <f aca="false">IF(A56="","",AM55*F55)</f>
        <v>#N/A</v>
      </c>
    </row>
    <row r="56" customFormat="false" ht="12.75" hidden="false" customHeight="false" outlineLevel="0" collapsed="false">
      <c r="A56" s="196" t="n">
        <f aca="false">IF(A55&lt;mthend,EDATE(A55,1),"")</f>
        <v>38443</v>
      </c>
      <c r="B56" s="197" t="n">
        <f aca="false">IF(A56&lt;mthend,B55,"")</f>
        <v>36050</v>
      </c>
      <c r="C56" s="215"/>
      <c r="D56" s="197" t="n">
        <f aca="false">IF(A57&lt;&gt;"",B56+C56,"")</f>
        <v>36050</v>
      </c>
      <c r="E56" s="199" t="n">
        <f aca="false">IF(A57="","",IF(AND(AT56=1,$H$3=1),D56*AO56,IF($H$3=2,D56,"N/A")))</f>
        <v>1081500</v>
      </c>
      <c r="F56" s="199" t="n">
        <f aca="false">IF(A57="","",E56*AS56)</f>
        <v>7984563.223974</v>
      </c>
      <c r="G56" s="200" t="e">
        <f aca="false">IF($A57="","",VLOOKUP($A56,Table,MATCH(G$4,Curves,0)))</f>
        <v>#N/A</v>
      </c>
      <c r="H56" s="201" t="e">
        <f aca="false">IF(A57="","",G56)</f>
        <v>#N/A</v>
      </c>
      <c r="I56" s="202"/>
      <c r="J56" s="200" t="e">
        <f aca="false">IF($A57="","",VLOOKUP($A56,Table,MATCH(J$4,Curves,0)))</f>
        <v>#N/A</v>
      </c>
      <c r="K56" s="201" t="e">
        <f aca="false">IF(A57="","",J56)</f>
        <v>#N/A</v>
      </c>
      <c r="L56" s="200" t="e">
        <f aca="false">IF($A57="","",VLOOKUP($A56,Table,MATCH(L$4,Curves,0)))</f>
        <v>#N/A</v>
      </c>
      <c r="M56" s="201" t="e">
        <f aca="false">IF(A57="","",L56)</f>
        <v>#N/A</v>
      </c>
      <c r="N56" s="203"/>
      <c r="O56" s="200" t="e">
        <f aca="false">IF(A57="","",L56+J56+G56)</f>
        <v>#N/A</v>
      </c>
      <c r="P56" s="200" t="e">
        <f aca="false">IF(A57="","",M56+K56+H56)</f>
        <v>#N/A</v>
      </c>
      <c r="Q56" s="204"/>
      <c r="R56" s="200" t="e">
        <f aca="false">IF($A57="","",VLOOKUP($A56,Table,MATCH(R$4,Curves,0)))</f>
        <v>#N/A</v>
      </c>
      <c r="S56" s="201" t="e">
        <f aca="false">IF(A57="","",R56)</f>
        <v>#N/A</v>
      </c>
      <c r="T56" s="200" t="e">
        <f aca="false">IF($A57="","",VLOOKUP($A56,Table,MATCH(T$4,Curves,0)))</f>
        <v>#N/A</v>
      </c>
      <c r="U56" s="201" t="e">
        <f aca="false">IF(A57="","",T56)</f>
        <v>#N/A</v>
      </c>
      <c r="V56" s="225" t="e">
        <f aca="false">IF($A57="","",IF(AND(MONTH(A56)&gt;3,MONTH(A56)&lt;11),(T56+R56+G56)*Summary!$T$9/(1-Summary!$T$9),(T56+R56+G56)*Summary!$U$9/(1-Summary!$U$9)))</f>
        <v>#N/A</v>
      </c>
      <c r="W56" s="200" t="e">
        <f aca="false">IF($A57="","",(T56+R56+G56+V56))</f>
        <v>#N/A</v>
      </c>
      <c r="X56" s="200" t="e">
        <f aca="false">IF($A57="","",(U56+S56+H56+V56))</f>
        <v>#N/A</v>
      </c>
      <c r="Y56" s="202"/>
      <c r="Z56" s="185" t="e">
        <f aca="false">IF($A57="","",VLOOKUP($A56,Table,MATCH(Z$4,Curves,0)))</f>
        <v>#N/A</v>
      </c>
      <c r="AA56" s="185" t="e">
        <f aca="false">IF($A57="","",VLOOKUP($A56,Table,MATCH(AA$4,Curves,0)))</f>
        <v>#N/A</v>
      </c>
      <c r="AB56" s="185" t="e">
        <f aca="false">SQRT((AA56^2*(A56-$D$3)+Z56^2*(DAY(EOMONTH(A56,0))/2))/AK56)</f>
        <v>#N/A</v>
      </c>
      <c r="AC56" s="185" t="e">
        <f aca="false">IF($A57="","",VLOOKUP($A56,Table,MATCH(AC$4,Curves,0)))</f>
        <v>#N/A</v>
      </c>
      <c r="AD56" s="185" t="e">
        <f aca="false">IF($A57="","",VLOOKUP($A56,Table,MATCH(AD$4,Curves,0)))</f>
        <v>#N/A</v>
      </c>
      <c r="AE56" s="185" t="e">
        <f aca="false">SQRT((AD56^2*(A56-$D$3)+AC56^2*(DAY(EOMONTH(A56,0))/2))/AK56)</f>
        <v>#N/A</v>
      </c>
      <c r="AF56" s="224" t="e">
        <f aca="false">((Summary!$N$9*(AA56*AD56)*(A56-$D$3))+(Summary!$M$9*Z56*AC56*(AJ56-EOMONTH(EDATE(A56,-1),0))))/(AK56*AB56*AE56)</f>
        <v>#N/A</v>
      </c>
      <c r="AG56" s="207" t="n">
        <f aca="false">IF($A57="","",Summary!$Q$9)</f>
        <v>0</v>
      </c>
      <c r="AH56" s="207" t="n">
        <f aca="false">IF($A57="","",IF(Summary!$R$9="Y",VLOOKUP($A56,Summary!$AD$6:$AF$9,3)+'Escalating commodity'!E69,'Escalating commodity'!E69))</f>
        <v>0.0707</v>
      </c>
      <c r="AI56" s="207" t="n">
        <f aca="false">IF($A57="","",AH56)</f>
        <v>0.0707</v>
      </c>
      <c r="AJ56" s="208" t="n">
        <f aca="false">A56+DAY(EOMONTH(A56,0))/2-1</f>
        <v>38457</v>
      </c>
      <c r="AK56" s="209" t="n">
        <f aca="false">IF($A57="","",$A56-$E$1)</f>
        <v>-7483</v>
      </c>
      <c r="AL56" s="182" t="e">
        <f aca="false">IF($A57="","",SPRDOPT(P56,X56,AI56,0,AB56,AE56,AF56,AK56,$AJ$2,0))</f>
        <v>#NAME?</v>
      </c>
      <c r="AM56" s="211" t="e">
        <f aca="false">IF($A57="","",MAX(0,O56-W56-AI56))</f>
        <v>#N/A</v>
      </c>
      <c r="AN56" s="211" t="e">
        <f aca="false">IF($A57="","",AL56-AM56)</f>
        <v>#N/A</v>
      </c>
      <c r="AO56" s="137" t="n">
        <f aca="false">IF(A57="","",A57-A56)</f>
        <v>30</v>
      </c>
      <c r="AP56" s="212" t="n">
        <f aca="false">IF(A57="","",CHOOSE(F$3,A57+24,A56))</f>
        <v>38443</v>
      </c>
      <c r="AQ56" s="209" t="n">
        <f aca="false">IF(A57="","",AP56-$E$1)</f>
        <v>-7483</v>
      </c>
      <c r="AR56" s="185" t="n">
        <f aca="false">'ANR OK vs ML7'!AR56</f>
        <v>0.1</v>
      </c>
      <c r="AS56" s="213" t="n">
        <f aca="false">IF(A57="","",1/(1+CHOOSE(F$3,(AR57+($I$3/10000))/2,(AR56+($I$3/10000))/2))^(2*AQ56/365.25))</f>
        <v>7.38286012387795</v>
      </c>
      <c r="AT56" s="137" t="n">
        <f aca="false">IF(A57="","",IF(AND(mthbeg&lt;=A56,mthend&gt;=A56),1,0))</f>
        <v>1</v>
      </c>
      <c r="AU56" s="137" t="n">
        <f aca="false">IF(A57="","",AO56*AT56)</f>
        <v>30</v>
      </c>
      <c r="AW56" s="195" t="e">
        <f aca="false">IF($A57="","",AL56*$E56)</f>
        <v>#NAME?</v>
      </c>
      <c r="AX56" s="195" t="e">
        <f aca="false">IF($A57="","",AM56*$E56)</f>
        <v>#N/A</v>
      </c>
      <c r="AY56" s="195" t="e">
        <f aca="false">IF($A57="","",AN56*$E56)</f>
        <v>#N/A</v>
      </c>
      <c r="BA56" s="195" t="n">
        <f aca="false">IF($A57="","",F56*Summary!$Q$9)</f>
        <v>0</v>
      </c>
      <c r="BC56" s="179" t="e">
        <f aca="false">IF(A57="","",AM56*F56)</f>
        <v>#N/A</v>
      </c>
    </row>
    <row r="57" customFormat="false" ht="12.75" hidden="false" customHeight="false" outlineLevel="0" collapsed="false">
      <c r="A57" s="196" t="n">
        <f aca="false">IF(A56&lt;mthend,EDATE(A56,1),"")</f>
        <v>38473</v>
      </c>
      <c r="B57" s="197" t="n">
        <f aca="false">IF(A57&lt;mthend,B56,"")</f>
        <v>36050</v>
      </c>
      <c r="C57" s="215"/>
      <c r="D57" s="197" t="n">
        <f aca="false">IF(A58&lt;&gt;"",B57+C57,"")</f>
        <v>36050</v>
      </c>
      <c r="E57" s="199" t="n">
        <f aca="false">IF(A58="","",IF(AND(AT57=1,$H$3=1),D57*AO57,IF($H$3=2,D57,"N/A")))</f>
        <v>1117550</v>
      </c>
      <c r="F57" s="199" t="n">
        <f aca="false">IF(A58="","",E57*AS57)</f>
        <v>8184851.69932012</v>
      </c>
      <c r="G57" s="200" t="e">
        <f aca="false">IF($A58="","",VLOOKUP($A57,Table,MATCH(G$4,Curves,0)))</f>
        <v>#N/A</v>
      </c>
      <c r="H57" s="201" t="e">
        <f aca="false">IF(A58="","",G57)</f>
        <v>#N/A</v>
      </c>
      <c r="I57" s="202"/>
      <c r="J57" s="200" t="e">
        <f aca="false">IF($A58="","",VLOOKUP($A57,Table,MATCH(J$4,Curves,0)))</f>
        <v>#N/A</v>
      </c>
      <c r="K57" s="201" t="e">
        <f aca="false">IF(A58="","",J57)</f>
        <v>#N/A</v>
      </c>
      <c r="L57" s="200" t="e">
        <f aca="false">IF($A58="","",VLOOKUP($A57,Table,MATCH(L$4,Curves,0)))</f>
        <v>#N/A</v>
      </c>
      <c r="M57" s="201" t="e">
        <f aca="false">IF(A58="","",L57)</f>
        <v>#N/A</v>
      </c>
      <c r="N57" s="203"/>
      <c r="O57" s="200" t="e">
        <f aca="false">IF(A58="","",L57+J57+G57)</f>
        <v>#N/A</v>
      </c>
      <c r="P57" s="200" t="e">
        <f aca="false">IF(A58="","",M57+K57+H57)</f>
        <v>#N/A</v>
      </c>
      <c r="Q57" s="204"/>
      <c r="R57" s="200" t="e">
        <f aca="false">IF($A58="","",VLOOKUP($A57,Table,MATCH(R$4,Curves,0)))</f>
        <v>#N/A</v>
      </c>
      <c r="S57" s="201" t="e">
        <f aca="false">IF(A58="","",R57)</f>
        <v>#N/A</v>
      </c>
      <c r="T57" s="200" t="e">
        <f aca="false">IF($A58="","",VLOOKUP($A57,Table,MATCH(T$4,Curves,0)))</f>
        <v>#N/A</v>
      </c>
      <c r="U57" s="201" t="e">
        <f aca="false">IF(A58="","",T57)</f>
        <v>#N/A</v>
      </c>
      <c r="V57" s="225" t="e">
        <f aca="false">IF($A58="","",IF(AND(MONTH(A57)&gt;3,MONTH(A57)&lt;11),(T57+R57+G57)*Summary!$T$9/(1-Summary!$T$9),(T57+R57+G57)*Summary!$U$9/(1-Summary!$U$9)))</f>
        <v>#N/A</v>
      </c>
      <c r="W57" s="200" t="e">
        <f aca="false">IF($A58="","",(T57+R57+G57+V57))</f>
        <v>#N/A</v>
      </c>
      <c r="X57" s="200" t="e">
        <f aca="false">IF($A58="","",(U57+S57+H57+V57))</f>
        <v>#N/A</v>
      </c>
      <c r="Y57" s="202"/>
      <c r="Z57" s="185" t="e">
        <f aca="false">IF($A58="","",VLOOKUP($A57,Table,MATCH(Z$4,Curves,0)))</f>
        <v>#N/A</v>
      </c>
      <c r="AA57" s="185" t="e">
        <f aca="false">IF($A58="","",VLOOKUP($A57,Table,MATCH(AA$4,Curves,0)))</f>
        <v>#N/A</v>
      </c>
      <c r="AB57" s="185" t="e">
        <f aca="false">SQRT((AA57^2*(A57-$D$3)+Z57^2*(DAY(EOMONTH(A57,0))/2))/AK57)</f>
        <v>#N/A</v>
      </c>
      <c r="AC57" s="185" t="e">
        <f aca="false">IF($A58="","",VLOOKUP($A57,Table,MATCH(AC$4,Curves,0)))</f>
        <v>#N/A</v>
      </c>
      <c r="AD57" s="185" t="e">
        <f aca="false">IF($A58="","",VLOOKUP($A57,Table,MATCH(AD$4,Curves,0)))</f>
        <v>#N/A</v>
      </c>
      <c r="AE57" s="185" t="e">
        <f aca="false">SQRT((AD57^2*(A57-$D$3)+AC57^2*(DAY(EOMONTH(A57,0))/2))/AK57)</f>
        <v>#N/A</v>
      </c>
      <c r="AF57" s="224" t="e">
        <f aca="false">((Summary!$N$9*(AA57*AD57)*(A57-$D$3))+(Summary!$M$9*Z57*AC57*(AJ57-EOMONTH(EDATE(A57,-1),0))))/(AK57*AB57*AE57)</f>
        <v>#N/A</v>
      </c>
      <c r="AG57" s="207" t="n">
        <f aca="false">IF($A58="","",Summary!$Q$9)</f>
        <v>0</v>
      </c>
      <c r="AH57" s="207" t="n">
        <f aca="false">IF($A58="","",IF(Summary!$R$9="Y",VLOOKUP($A57,Summary!$AD$6:$AF$9,3)+'Escalating commodity'!E70,'Escalating commodity'!E70))</f>
        <v>0.0707</v>
      </c>
      <c r="AI57" s="207" t="n">
        <f aca="false">IF($A58="","",AH57)</f>
        <v>0.0707</v>
      </c>
      <c r="AJ57" s="208" t="n">
        <f aca="false">A57+DAY(EOMONTH(A57,0))/2-1</f>
        <v>38487.5</v>
      </c>
      <c r="AK57" s="209" t="n">
        <f aca="false">IF($A58="","",$A57-$E$1)</f>
        <v>-7453</v>
      </c>
      <c r="AL57" s="182" t="e">
        <f aca="false">IF($A58="","",SPRDOPT(P57,X57,AI57,0,AB57,AE57,AF57,AK57,$AJ$2,0))</f>
        <v>#NAME?</v>
      </c>
      <c r="AM57" s="211" t="e">
        <f aca="false">IF($A58="","",MAX(0,O57-W57-AI57))</f>
        <v>#N/A</v>
      </c>
      <c r="AN57" s="211" t="e">
        <f aca="false">IF($A58="","",AL57-AM57)</f>
        <v>#N/A</v>
      </c>
      <c r="AO57" s="137" t="n">
        <f aca="false">IF(A58="","",A58-A57)</f>
        <v>31</v>
      </c>
      <c r="AP57" s="212" t="n">
        <f aca="false">IF(A58="","",CHOOSE(F$3,A58+24,A57))</f>
        <v>38473</v>
      </c>
      <c r="AQ57" s="209" t="n">
        <f aca="false">IF(A58="","",AP57-$E$1)</f>
        <v>-7453</v>
      </c>
      <c r="AR57" s="185" t="n">
        <f aca="false">'ANR OK vs ML7'!AR57</f>
        <v>0.1</v>
      </c>
      <c r="AS57" s="213" t="n">
        <f aca="false">IF(A58="","",1/(1+CHOOSE(F$3,(AR58+($I$3/10000))/2,(AR57+($I$3/10000))/2))^(2*AQ57/365.25))</f>
        <v>7.32392438756219</v>
      </c>
      <c r="AT57" s="137" t="n">
        <f aca="false">IF(A58="","",IF(AND(mthbeg&lt;=A57,mthend&gt;=A57),1,0))</f>
        <v>1</v>
      </c>
      <c r="AU57" s="137" t="n">
        <f aca="false">IF(A58="","",AO57*AT57)</f>
        <v>31</v>
      </c>
      <c r="AW57" s="195" t="e">
        <f aca="false">IF($A58="","",AL57*$E57)</f>
        <v>#NAME?</v>
      </c>
      <c r="AX57" s="195" t="e">
        <f aca="false">IF($A58="","",AM57*$E57)</f>
        <v>#N/A</v>
      </c>
      <c r="AY57" s="195" t="e">
        <f aca="false">IF($A58="","",AN57*$E57)</f>
        <v>#N/A</v>
      </c>
      <c r="BA57" s="195" t="n">
        <f aca="false">IF($A58="","",F57*Summary!$Q$9)</f>
        <v>0</v>
      </c>
      <c r="BC57" s="179" t="e">
        <f aca="false">IF(A58="","",AM57*F57)</f>
        <v>#N/A</v>
      </c>
    </row>
    <row r="58" customFormat="false" ht="12.75" hidden="false" customHeight="false" outlineLevel="0" collapsed="false">
      <c r="A58" s="196" t="n">
        <f aca="false">IF(A57&lt;mthend,EDATE(A57,1),"")</f>
        <v>38504</v>
      </c>
      <c r="B58" s="197" t="n">
        <f aca="false">IF(A58&lt;mthend,B57,"")</f>
        <v>36050</v>
      </c>
      <c r="C58" s="215"/>
      <c r="D58" s="197" t="n">
        <f aca="false">IF(A59&lt;&gt;"",B58+C58,"")</f>
        <v>36050</v>
      </c>
      <c r="E58" s="199" t="n">
        <f aca="false">IF(A59="","",IF(AND(AT58=1,$H$3=1),D58*AO58,IF($H$3=2,D58,"N/A")))</f>
        <v>1081500</v>
      </c>
      <c r="F58" s="199" t="n">
        <f aca="false">IF(A59="","",E58*AS58)</f>
        <v>7855495.08321761</v>
      </c>
      <c r="G58" s="200" t="e">
        <f aca="false">IF($A59="","",VLOOKUP($A58,Table,MATCH(G$4,Curves,0)))</f>
        <v>#N/A</v>
      </c>
      <c r="H58" s="201" t="e">
        <f aca="false">IF(A59="","",G58)</f>
        <v>#N/A</v>
      </c>
      <c r="I58" s="202"/>
      <c r="J58" s="200" t="e">
        <f aca="false">IF($A59="","",VLOOKUP($A58,Table,MATCH(J$4,Curves,0)))</f>
        <v>#N/A</v>
      </c>
      <c r="K58" s="201" t="e">
        <f aca="false">IF(A59="","",J58)</f>
        <v>#N/A</v>
      </c>
      <c r="L58" s="200" t="e">
        <f aca="false">IF($A59="","",VLOOKUP($A58,Table,MATCH(L$4,Curves,0)))</f>
        <v>#N/A</v>
      </c>
      <c r="M58" s="201" t="e">
        <f aca="false">IF(A59="","",L58)</f>
        <v>#N/A</v>
      </c>
      <c r="N58" s="203"/>
      <c r="O58" s="200" t="e">
        <f aca="false">IF(A59="","",L58+J58+G58)</f>
        <v>#N/A</v>
      </c>
      <c r="P58" s="200" t="e">
        <f aca="false">IF(A59="","",M58+K58+H58)</f>
        <v>#N/A</v>
      </c>
      <c r="Q58" s="204"/>
      <c r="R58" s="200" t="e">
        <f aca="false">IF($A59="","",VLOOKUP($A58,Table,MATCH(R$4,Curves,0)))</f>
        <v>#N/A</v>
      </c>
      <c r="S58" s="201" t="e">
        <f aca="false">IF(A59="","",R58)</f>
        <v>#N/A</v>
      </c>
      <c r="T58" s="200" t="e">
        <f aca="false">IF($A59="","",VLOOKUP($A58,Table,MATCH(T$4,Curves,0)))</f>
        <v>#N/A</v>
      </c>
      <c r="U58" s="201" t="e">
        <f aca="false">IF(A59="","",T58)</f>
        <v>#N/A</v>
      </c>
      <c r="V58" s="225" t="e">
        <f aca="false">IF($A59="","",IF(AND(MONTH(A58)&gt;3,MONTH(A58)&lt;11),(T58+R58+G58)*Summary!$T$9/(1-Summary!$T$9),(T58+R58+G58)*Summary!$U$9/(1-Summary!$U$9)))</f>
        <v>#N/A</v>
      </c>
      <c r="W58" s="200" t="e">
        <f aca="false">IF($A59="","",(T58+R58+G58+V58))</f>
        <v>#N/A</v>
      </c>
      <c r="X58" s="200" t="e">
        <f aca="false">IF($A59="","",(U58+S58+H58+V58))</f>
        <v>#N/A</v>
      </c>
      <c r="Y58" s="202"/>
      <c r="Z58" s="185" t="e">
        <f aca="false">IF($A59="","",VLOOKUP($A58,Table,MATCH(Z$4,Curves,0)))</f>
        <v>#N/A</v>
      </c>
      <c r="AA58" s="185" t="e">
        <f aca="false">IF($A59="","",VLOOKUP($A58,Table,MATCH(AA$4,Curves,0)))</f>
        <v>#N/A</v>
      </c>
      <c r="AB58" s="185" t="e">
        <f aca="false">SQRT((AA58^2*(A58-$D$3)+Z58^2*(DAY(EOMONTH(A58,0))/2))/AK58)</f>
        <v>#N/A</v>
      </c>
      <c r="AC58" s="185" t="e">
        <f aca="false">IF($A59="","",VLOOKUP($A58,Table,MATCH(AC$4,Curves,0)))</f>
        <v>#N/A</v>
      </c>
      <c r="AD58" s="185" t="e">
        <f aca="false">IF($A59="","",VLOOKUP($A58,Table,MATCH(AD$4,Curves,0)))</f>
        <v>#N/A</v>
      </c>
      <c r="AE58" s="185" t="e">
        <f aca="false">SQRT((AD58^2*(A58-$D$3)+AC58^2*(DAY(EOMONTH(A58,0))/2))/AK58)</f>
        <v>#N/A</v>
      </c>
      <c r="AF58" s="224" t="e">
        <f aca="false">((Summary!$N$9*(AA58*AD58)*(A58-$D$3))+(Summary!$M$9*Z58*AC58*(AJ58-EOMONTH(EDATE(A58,-1),0))))/(AK58*AB58*AE58)</f>
        <v>#N/A</v>
      </c>
      <c r="AG58" s="207" t="n">
        <f aca="false">IF($A59="","",Summary!$Q$9)</f>
        <v>0</v>
      </c>
      <c r="AH58" s="207" t="n">
        <f aca="false">IF($A59="","",IF(Summary!$R$9="Y",VLOOKUP($A58,Summary!$AD$6:$AF$9,3)+'Escalating commodity'!E71,'Escalating commodity'!E71))</f>
        <v>0.0707</v>
      </c>
      <c r="AI58" s="207" t="n">
        <f aca="false">IF($A59="","",AH58)</f>
        <v>0.0707</v>
      </c>
      <c r="AJ58" s="208" t="n">
        <f aca="false">A58+DAY(EOMONTH(A58,0))/2-1</f>
        <v>38518</v>
      </c>
      <c r="AK58" s="209" t="n">
        <f aca="false">IF($A59="","",$A58-$E$1)</f>
        <v>-7422</v>
      </c>
      <c r="AL58" s="182" t="e">
        <f aca="false">IF($A59="","",SPRDOPT(P58,X58,AI58,0,AB58,AE58,AF58,AK58,$AJ$2,0))</f>
        <v>#NAME?</v>
      </c>
      <c r="AM58" s="211" t="e">
        <f aca="false">IF($A59="","",MAX(0,O58-W58-AI58))</f>
        <v>#N/A</v>
      </c>
      <c r="AN58" s="211" t="e">
        <f aca="false">IF($A59="","",AL58-AM58)</f>
        <v>#N/A</v>
      </c>
      <c r="AO58" s="137" t="n">
        <f aca="false">IF(A59="","",A59-A58)</f>
        <v>30</v>
      </c>
      <c r="AP58" s="212" t="n">
        <f aca="false">IF(A59="","",CHOOSE(F$3,A59+24,A58))</f>
        <v>38504</v>
      </c>
      <c r="AQ58" s="209" t="n">
        <f aca="false">IF(A59="","",AP58-$E$1)</f>
        <v>-7422</v>
      </c>
      <c r="AR58" s="185" t="n">
        <f aca="false">'ANR OK vs ML7'!AR58</f>
        <v>0.1</v>
      </c>
      <c r="AS58" s="213" t="n">
        <f aca="false">IF(A59="","",1/(1+CHOOSE(F$3,(AR59+($I$3/10000))/2,(AR58+($I$3/10000))/2))^(2*AQ58/365.25))</f>
        <v>7.26351833862008</v>
      </c>
      <c r="AT58" s="137" t="n">
        <f aca="false">IF(A59="","",IF(AND(mthbeg&lt;=A58,mthend&gt;=A58),1,0))</f>
        <v>1</v>
      </c>
      <c r="AU58" s="137" t="n">
        <f aca="false">IF(A59="","",AO58*AT58)</f>
        <v>30</v>
      </c>
      <c r="AW58" s="195" t="e">
        <f aca="false">IF($A59="","",AL58*$E58)</f>
        <v>#NAME?</v>
      </c>
      <c r="AX58" s="195" t="e">
        <f aca="false">IF($A59="","",AM58*$E58)</f>
        <v>#N/A</v>
      </c>
      <c r="AY58" s="195" t="e">
        <f aca="false">IF($A59="","",AN58*$E58)</f>
        <v>#N/A</v>
      </c>
      <c r="BA58" s="195" t="n">
        <f aca="false">IF($A59="","",F58*Summary!$Q$9)</f>
        <v>0</v>
      </c>
      <c r="BC58" s="179" t="e">
        <f aca="false">IF(A59="","",AM58*F58)</f>
        <v>#N/A</v>
      </c>
    </row>
    <row r="59" customFormat="false" ht="12.75" hidden="false" customHeight="false" outlineLevel="0" collapsed="false">
      <c r="A59" s="196" t="n">
        <f aca="false">IF(A58&lt;mthend,EDATE(A58,1),"")</f>
        <v>38534</v>
      </c>
      <c r="B59" s="197" t="n">
        <f aca="false">IF(A59&lt;mthend,B58,"")</f>
        <v>36050</v>
      </c>
      <c r="C59" s="215"/>
      <c r="D59" s="197" t="n">
        <f aca="false">IF(A60&lt;&gt;"",B59+C59,"")</f>
        <v>36050</v>
      </c>
      <c r="E59" s="199" t="n">
        <f aca="false">IF(A60="","",IF(AND(AT59=1,$H$3=1),D59*AO59,IF($H$3=2,D59,"N/A")))</f>
        <v>1117550</v>
      </c>
      <c r="F59" s="199" t="n">
        <f aca="false">IF(A60="","",E59*AS59)</f>
        <v>8052545.95365001</v>
      </c>
      <c r="G59" s="200" t="e">
        <f aca="false">IF($A60="","",VLOOKUP($A59,Table,MATCH(G$4,Curves,0)))</f>
        <v>#N/A</v>
      </c>
      <c r="H59" s="201" t="e">
        <f aca="false">IF(A60="","",G59)</f>
        <v>#N/A</v>
      </c>
      <c r="I59" s="202"/>
      <c r="J59" s="200" t="e">
        <f aca="false">IF($A60="","",VLOOKUP($A59,Table,MATCH(J$4,Curves,0)))</f>
        <v>#N/A</v>
      </c>
      <c r="K59" s="201" t="e">
        <f aca="false">IF(A60="","",J59)</f>
        <v>#N/A</v>
      </c>
      <c r="L59" s="200" t="e">
        <f aca="false">IF($A60="","",VLOOKUP($A59,Table,MATCH(L$4,Curves,0)))</f>
        <v>#N/A</v>
      </c>
      <c r="M59" s="201" t="e">
        <f aca="false">IF(A60="","",L59)</f>
        <v>#N/A</v>
      </c>
      <c r="N59" s="203"/>
      <c r="O59" s="200" t="e">
        <f aca="false">IF(A60="","",L59+J59+G59)</f>
        <v>#N/A</v>
      </c>
      <c r="P59" s="200" t="e">
        <f aca="false">IF(A60="","",M59+K59+H59)</f>
        <v>#N/A</v>
      </c>
      <c r="Q59" s="204"/>
      <c r="R59" s="200" t="e">
        <f aca="false">IF($A60="","",VLOOKUP($A59,Table,MATCH(R$4,Curves,0)))</f>
        <v>#N/A</v>
      </c>
      <c r="S59" s="201" t="e">
        <f aca="false">IF(A60="","",R59)</f>
        <v>#N/A</v>
      </c>
      <c r="T59" s="200" t="e">
        <f aca="false">IF($A60="","",VLOOKUP($A59,Table,MATCH(T$4,Curves,0)))</f>
        <v>#N/A</v>
      </c>
      <c r="U59" s="201" t="e">
        <f aca="false">IF(A60="","",T59)</f>
        <v>#N/A</v>
      </c>
      <c r="V59" s="225" t="e">
        <f aca="false">IF($A60="","",IF(AND(MONTH(A59)&gt;3,MONTH(A59)&lt;11),(T59+R59+G59)*Summary!$T$9/(1-Summary!$T$9),(T59+R59+G59)*Summary!$U$9/(1-Summary!$U$9)))</f>
        <v>#N/A</v>
      </c>
      <c r="W59" s="200" t="e">
        <f aca="false">IF($A60="","",(T59+R59+G59+V59))</f>
        <v>#N/A</v>
      </c>
      <c r="X59" s="200" t="e">
        <f aca="false">IF($A60="","",(U59+S59+H59+V59))</f>
        <v>#N/A</v>
      </c>
      <c r="Y59" s="202"/>
      <c r="Z59" s="185" t="e">
        <f aca="false">IF($A60="","",VLOOKUP($A59,Table,MATCH(Z$4,Curves,0)))</f>
        <v>#N/A</v>
      </c>
      <c r="AA59" s="185" t="e">
        <f aca="false">IF($A60="","",VLOOKUP($A59,Table,MATCH(AA$4,Curves,0)))</f>
        <v>#N/A</v>
      </c>
      <c r="AB59" s="185" t="e">
        <f aca="false">SQRT((AA59^2*(A59-$D$3)+Z59^2*(DAY(EOMONTH(A59,0))/2))/AK59)</f>
        <v>#N/A</v>
      </c>
      <c r="AC59" s="185" t="e">
        <f aca="false">IF($A60="","",VLOOKUP($A59,Table,MATCH(AC$4,Curves,0)))</f>
        <v>#N/A</v>
      </c>
      <c r="AD59" s="185" t="e">
        <f aca="false">IF($A60="","",VLOOKUP($A59,Table,MATCH(AD$4,Curves,0)))</f>
        <v>#N/A</v>
      </c>
      <c r="AE59" s="185" t="e">
        <f aca="false">SQRT((AD59^2*(A59-$D$3)+AC59^2*(DAY(EOMONTH(A59,0))/2))/AK59)</f>
        <v>#N/A</v>
      </c>
      <c r="AF59" s="224" t="e">
        <f aca="false">((Summary!$N$9*(AA59*AD59)*(A59-$D$3))+(Summary!$M$9*Z59*AC59*(AJ59-EOMONTH(EDATE(A59,-1),0))))/(AK59*AB59*AE59)</f>
        <v>#N/A</v>
      </c>
      <c r="AG59" s="207" t="n">
        <f aca="false">IF($A60="","",Summary!$Q$9)</f>
        <v>0</v>
      </c>
      <c r="AH59" s="207" t="n">
        <f aca="false">IF($A60="","",IF(Summary!$R$9="Y",VLOOKUP($A59,Summary!$AD$6:$AF$9,3)+'Escalating commodity'!E72,'Escalating commodity'!E72))</f>
        <v>0.0707</v>
      </c>
      <c r="AI59" s="207" t="n">
        <f aca="false">IF($A60="","",AH59)</f>
        <v>0.0707</v>
      </c>
      <c r="AJ59" s="208" t="n">
        <f aca="false">A59+DAY(EOMONTH(A59,0))/2-1</f>
        <v>38548.5</v>
      </c>
      <c r="AK59" s="209" t="n">
        <f aca="false">IF($A60="","",$A59-$E$1)</f>
        <v>-7392</v>
      </c>
      <c r="AL59" s="182" t="e">
        <f aca="false">IF($A60="","",SPRDOPT(P59,X59,AI59,0,AB59,AE59,AF59,AK59,$AJ$2,0))</f>
        <v>#NAME?</v>
      </c>
      <c r="AM59" s="211" t="e">
        <f aca="false">IF($A60="","",MAX(0,O59-W59-AI59))</f>
        <v>#N/A</v>
      </c>
      <c r="AN59" s="211" t="e">
        <f aca="false">IF($A60="","",AL59-AM59)</f>
        <v>#N/A</v>
      </c>
      <c r="AO59" s="137" t="n">
        <f aca="false">IF(A60="","",A60-A59)</f>
        <v>31</v>
      </c>
      <c r="AP59" s="212" t="n">
        <f aca="false">IF(A60="","",CHOOSE(F$3,A60+24,A59))</f>
        <v>38534</v>
      </c>
      <c r="AQ59" s="209" t="n">
        <f aca="false">IF(A60="","",AP59-$E$1)</f>
        <v>-7392</v>
      </c>
      <c r="AR59" s="185" t="n">
        <f aca="false">'ANR OK vs ML7'!AR59</f>
        <v>0.1</v>
      </c>
      <c r="AS59" s="213" t="n">
        <f aca="false">IF(A60="","",1/(1+CHOOSE(F$3,(AR60+($I$3/10000))/2,(AR59+($I$3/10000))/2))^(2*AQ59/365.25))</f>
        <v>7.20553528132971</v>
      </c>
      <c r="AT59" s="137" t="n">
        <f aca="false">IF(A60="","",IF(AND(mthbeg&lt;=A59,mthend&gt;=A59),1,0))</f>
        <v>1</v>
      </c>
      <c r="AU59" s="137" t="n">
        <f aca="false">IF(A60="","",AO59*AT59)</f>
        <v>31</v>
      </c>
      <c r="AW59" s="195" t="e">
        <f aca="false">IF($A60="","",AL59*$E59)</f>
        <v>#NAME?</v>
      </c>
      <c r="AX59" s="195" t="e">
        <f aca="false">IF($A60="","",AM59*$E59)</f>
        <v>#N/A</v>
      </c>
      <c r="AY59" s="195" t="e">
        <f aca="false">IF($A60="","",AN59*$E59)</f>
        <v>#N/A</v>
      </c>
      <c r="BA59" s="195" t="n">
        <f aca="false">IF($A60="","",F59*Summary!$Q$9)</f>
        <v>0</v>
      </c>
      <c r="BC59" s="179" t="e">
        <f aca="false">IF(A60="","",AM59*F59)</f>
        <v>#N/A</v>
      </c>
    </row>
    <row r="60" customFormat="false" ht="12.75" hidden="false" customHeight="false" outlineLevel="0" collapsed="false">
      <c r="A60" s="196" t="n">
        <f aca="false">IF(A59&lt;mthend,EDATE(A59,1),"")</f>
        <v>38565</v>
      </c>
      <c r="B60" s="197" t="n">
        <f aca="false">IF(A60&lt;mthend,B59,"")</f>
        <v>36050</v>
      </c>
      <c r="C60" s="215"/>
      <c r="D60" s="197" t="n">
        <f aca="false">IF(A61&lt;&gt;"",B60+C60,"")</f>
        <v>36050</v>
      </c>
      <c r="E60" s="199" t="n">
        <f aca="false">IF(A61="","",IF(AND(AT60=1,$H$3=1),D60*AO60,IF($H$3=2,D60,"N/A")))</f>
        <v>1117550</v>
      </c>
      <c r="F60" s="199" t="n">
        <f aca="false">IF(A61="","",E60*AS60)</f>
        <v>7986130.40110679</v>
      </c>
      <c r="G60" s="200" t="e">
        <f aca="false">IF($A61="","",VLOOKUP($A60,Table,MATCH(G$4,Curves,0)))</f>
        <v>#N/A</v>
      </c>
      <c r="H60" s="201" t="e">
        <f aca="false">IF(A61="","",G60)</f>
        <v>#N/A</v>
      </c>
      <c r="I60" s="202"/>
      <c r="J60" s="200" t="e">
        <f aca="false">IF($A61="","",VLOOKUP($A60,Table,MATCH(J$4,Curves,0)))</f>
        <v>#N/A</v>
      </c>
      <c r="K60" s="201" t="e">
        <f aca="false">IF(A61="","",J60)</f>
        <v>#N/A</v>
      </c>
      <c r="L60" s="200" t="e">
        <f aca="false">IF($A61="","",VLOOKUP($A60,Table,MATCH(L$4,Curves,0)))</f>
        <v>#N/A</v>
      </c>
      <c r="M60" s="201" t="e">
        <f aca="false">IF(A61="","",L60)</f>
        <v>#N/A</v>
      </c>
      <c r="N60" s="203"/>
      <c r="O60" s="200" t="e">
        <f aca="false">IF(A61="","",L60+J60+G60)</f>
        <v>#N/A</v>
      </c>
      <c r="P60" s="200" t="e">
        <f aca="false">IF(A61="","",M60+K60+H60)</f>
        <v>#N/A</v>
      </c>
      <c r="Q60" s="204"/>
      <c r="R60" s="200" t="e">
        <f aca="false">IF($A61="","",VLOOKUP($A60,Table,MATCH(R$4,Curves,0)))</f>
        <v>#N/A</v>
      </c>
      <c r="S60" s="201" t="e">
        <f aca="false">IF(A61="","",R60)</f>
        <v>#N/A</v>
      </c>
      <c r="T60" s="200" t="e">
        <f aca="false">IF($A61="","",VLOOKUP($A60,Table,MATCH(T$4,Curves,0)))</f>
        <v>#N/A</v>
      </c>
      <c r="U60" s="201" t="e">
        <f aca="false">IF(A61="","",T60)</f>
        <v>#N/A</v>
      </c>
      <c r="V60" s="225" t="e">
        <f aca="false">IF($A61="","",IF(AND(MONTH(A60)&gt;3,MONTH(A60)&lt;11),(T60+R60+G60)*Summary!$T$9/(1-Summary!$T$9),(T60+R60+G60)*Summary!$U$9/(1-Summary!$U$9)))</f>
        <v>#N/A</v>
      </c>
      <c r="W60" s="200" t="e">
        <f aca="false">IF($A61="","",(T60+R60+G60+V60))</f>
        <v>#N/A</v>
      </c>
      <c r="X60" s="200" t="e">
        <f aca="false">IF($A61="","",(U60+S60+H60+V60))</f>
        <v>#N/A</v>
      </c>
      <c r="Y60" s="202"/>
      <c r="Z60" s="185" t="e">
        <f aca="false">IF($A61="","",VLOOKUP($A60,Table,MATCH(Z$4,Curves,0)))</f>
        <v>#N/A</v>
      </c>
      <c r="AA60" s="185" t="e">
        <f aca="false">IF($A61="","",VLOOKUP($A60,Table,MATCH(AA$4,Curves,0)))</f>
        <v>#N/A</v>
      </c>
      <c r="AB60" s="185" t="e">
        <f aca="false">SQRT((AA60^2*(A60-$D$3)+Z60^2*(DAY(EOMONTH(A60,0))/2))/AK60)</f>
        <v>#N/A</v>
      </c>
      <c r="AC60" s="185" t="e">
        <f aca="false">IF($A61="","",VLOOKUP($A60,Table,MATCH(AC$4,Curves,0)))</f>
        <v>#N/A</v>
      </c>
      <c r="AD60" s="185" t="e">
        <f aca="false">IF($A61="","",VLOOKUP($A60,Table,MATCH(AD$4,Curves,0)))</f>
        <v>#N/A</v>
      </c>
      <c r="AE60" s="185" t="e">
        <f aca="false">SQRT((AD60^2*(A60-$D$3)+AC60^2*(DAY(EOMONTH(A60,0))/2))/AK60)</f>
        <v>#N/A</v>
      </c>
      <c r="AF60" s="224" t="e">
        <f aca="false">((Summary!$N$9*(AA60*AD60)*(A60-$D$3))+(Summary!$M$9*Z60*AC60*(AJ60-EOMONTH(EDATE(A60,-1),0))))/(AK60*AB60*AE60)</f>
        <v>#N/A</v>
      </c>
      <c r="AG60" s="207" t="n">
        <f aca="false">IF($A61="","",Summary!$Q$9)</f>
        <v>0</v>
      </c>
      <c r="AH60" s="207" t="n">
        <f aca="false">IF($A61="","",IF(Summary!$R$9="Y",VLOOKUP($A60,Summary!$AD$6:$AF$9,3)+'Escalating commodity'!E73,'Escalating commodity'!E73))</f>
        <v>0.0707</v>
      </c>
      <c r="AI60" s="207" t="n">
        <f aca="false">IF($A61="","",AH60)</f>
        <v>0.0707</v>
      </c>
      <c r="AJ60" s="208" t="n">
        <f aca="false">A60+DAY(EOMONTH(A60,0))/2-1</f>
        <v>38579.5</v>
      </c>
      <c r="AK60" s="209" t="n">
        <f aca="false">IF($A61="","",$A60-$E$1)</f>
        <v>-7361</v>
      </c>
      <c r="AL60" s="182" t="e">
        <f aca="false">IF($A61="","",SPRDOPT(P60,X60,AI60,0,AB60,AE60,AF60,AK60,$AJ$2,0))</f>
        <v>#NAME?</v>
      </c>
      <c r="AM60" s="211" t="e">
        <f aca="false">IF($A61="","",MAX(0,O60-W60-AI60))</f>
        <v>#N/A</v>
      </c>
      <c r="AN60" s="211" t="e">
        <f aca="false">IF($A61="","",AL60-AM60)</f>
        <v>#N/A</v>
      </c>
      <c r="AO60" s="137" t="n">
        <f aca="false">IF(A61="","",A61-A60)</f>
        <v>31</v>
      </c>
      <c r="AP60" s="212" t="n">
        <f aca="false">IF(A61="","",CHOOSE(F$3,A61+24,A60))</f>
        <v>38565</v>
      </c>
      <c r="AQ60" s="209" t="n">
        <f aca="false">IF(A61="","",AP60-$E$1)</f>
        <v>-7361</v>
      </c>
      <c r="AR60" s="185" t="n">
        <f aca="false">'ANR OK vs ML7'!AR60</f>
        <v>0.1</v>
      </c>
      <c r="AS60" s="213" t="n">
        <f aca="false">IF(A61="","",1/(1+CHOOSE(F$3,(AR61+($I$3/10000))/2,(AR60+($I$3/10000))/2))^(2*AQ60/365.25))</f>
        <v>7.14610567858869</v>
      </c>
      <c r="AT60" s="137" t="n">
        <f aca="false">IF(A61="","",IF(AND(mthbeg&lt;=A60,mthend&gt;=A60),1,0))</f>
        <v>1</v>
      </c>
      <c r="AU60" s="137" t="n">
        <f aca="false">IF(A61="","",AO60*AT60)</f>
        <v>31</v>
      </c>
      <c r="AW60" s="195" t="e">
        <f aca="false">IF($A61="","",AL60*$E60)</f>
        <v>#NAME?</v>
      </c>
      <c r="AX60" s="195" t="e">
        <f aca="false">IF($A61="","",AM60*$E60)</f>
        <v>#N/A</v>
      </c>
      <c r="AY60" s="195" t="e">
        <f aca="false">IF($A61="","",AN60*$E60)</f>
        <v>#N/A</v>
      </c>
      <c r="BA60" s="195" t="n">
        <f aca="false">IF($A61="","",F60*Summary!$Q$9)</f>
        <v>0</v>
      </c>
      <c r="BC60" s="179" t="e">
        <f aca="false">IF(A61="","",AM60*F60)</f>
        <v>#N/A</v>
      </c>
    </row>
    <row r="61" customFormat="false" ht="12.75" hidden="false" customHeight="false" outlineLevel="0" collapsed="false">
      <c r="A61" s="196" t="n">
        <f aca="false">IF(A60&lt;mthend,EDATE(A60,1),"")</f>
        <v>38596</v>
      </c>
      <c r="B61" s="197" t="n">
        <f aca="false">IF(A61&lt;mthend,B60,"")</f>
        <v>36050</v>
      </c>
      <c r="C61" s="215"/>
      <c r="D61" s="197" t="n">
        <f aca="false">IF(A62&lt;&gt;"",B61+C61,"")</f>
        <v>36050</v>
      </c>
      <c r="E61" s="199" t="n">
        <f aca="false">IF(A62="","",IF(AND(AT61=1,$H$3=1),D61*AO61,IF($H$3=2,D61,"N/A")))</f>
        <v>1081500</v>
      </c>
      <c r="F61" s="199" t="n">
        <f aca="false">IF(A62="","",E61*AS61)</f>
        <v>7664770.28594668</v>
      </c>
      <c r="G61" s="200" t="e">
        <f aca="false">IF($A62="","",VLOOKUP($A61,Table,MATCH(G$4,Curves,0)))</f>
        <v>#N/A</v>
      </c>
      <c r="H61" s="201" t="e">
        <f aca="false">IF(A62="","",G61)</f>
        <v>#N/A</v>
      </c>
      <c r="I61" s="202"/>
      <c r="J61" s="200" t="e">
        <f aca="false">IF($A62="","",VLOOKUP($A61,Table,MATCH(J$4,Curves,0)))</f>
        <v>#N/A</v>
      </c>
      <c r="K61" s="201" t="e">
        <f aca="false">IF(A62="","",J61)</f>
        <v>#N/A</v>
      </c>
      <c r="L61" s="200" t="e">
        <f aca="false">IF($A62="","",VLOOKUP($A61,Table,MATCH(L$4,Curves,0)))</f>
        <v>#N/A</v>
      </c>
      <c r="M61" s="201" t="e">
        <f aca="false">IF(A62="","",L61)</f>
        <v>#N/A</v>
      </c>
      <c r="N61" s="203"/>
      <c r="O61" s="200" t="e">
        <f aca="false">IF(A62="","",L61+J61+G61)</f>
        <v>#N/A</v>
      </c>
      <c r="P61" s="200" t="e">
        <f aca="false">IF(A62="","",M61+K61+H61)</f>
        <v>#N/A</v>
      </c>
      <c r="Q61" s="204"/>
      <c r="R61" s="200" t="e">
        <f aca="false">IF($A62="","",VLOOKUP($A61,Table,MATCH(R$4,Curves,0)))</f>
        <v>#N/A</v>
      </c>
      <c r="S61" s="201" t="e">
        <f aca="false">IF(A62="","",R61)</f>
        <v>#N/A</v>
      </c>
      <c r="T61" s="200" t="e">
        <f aca="false">IF($A62="","",VLOOKUP($A61,Table,MATCH(T$4,Curves,0)))</f>
        <v>#N/A</v>
      </c>
      <c r="U61" s="201" t="e">
        <f aca="false">IF(A62="","",T61)</f>
        <v>#N/A</v>
      </c>
      <c r="V61" s="225" t="e">
        <f aca="false">IF($A62="","",IF(AND(MONTH(A61)&gt;3,MONTH(A61)&lt;11),(T61+R61+G61)*Summary!$T$9/(1-Summary!$T$9),(T61+R61+G61)*Summary!$U$9/(1-Summary!$U$9)))</f>
        <v>#N/A</v>
      </c>
      <c r="W61" s="200" t="e">
        <f aca="false">IF($A62="","",(T61+R61+G61+V61))</f>
        <v>#N/A</v>
      </c>
      <c r="X61" s="200" t="e">
        <f aca="false">IF($A62="","",(U61+S61+H61+V61))</f>
        <v>#N/A</v>
      </c>
      <c r="Y61" s="202"/>
      <c r="Z61" s="185" t="e">
        <f aca="false">IF($A62="","",VLOOKUP($A61,Table,MATCH(Z$4,Curves,0)))</f>
        <v>#N/A</v>
      </c>
      <c r="AA61" s="185" t="e">
        <f aca="false">IF($A62="","",VLOOKUP($A61,Table,MATCH(AA$4,Curves,0)))</f>
        <v>#N/A</v>
      </c>
      <c r="AB61" s="185" t="e">
        <f aca="false">SQRT((AA61^2*(A61-$D$3)+Z61^2*(DAY(EOMONTH(A61,0))/2))/AK61)</f>
        <v>#N/A</v>
      </c>
      <c r="AC61" s="185" t="e">
        <f aca="false">IF($A62="","",VLOOKUP($A61,Table,MATCH(AC$4,Curves,0)))</f>
        <v>#N/A</v>
      </c>
      <c r="AD61" s="185" t="e">
        <f aca="false">IF($A62="","",VLOOKUP($A61,Table,MATCH(AD$4,Curves,0)))</f>
        <v>#N/A</v>
      </c>
      <c r="AE61" s="185" t="e">
        <f aca="false">SQRT((AD61^2*(A61-$D$3)+AC61^2*(DAY(EOMONTH(A61,0))/2))/AK61)</f>
        <v>#N/A</v>
      </c>
      <c r="AF61" s="224" t="e">
        <f aca="false">((Summary!$N$9*(AA61*AD61)*(A61-$D$3))+(Summary!$M$9*Z61*AC61*(AJ61-EOMONTH(EDATE(A61,-1),0))))/(AK61*AB61*AE61)</f>
        <v>#N/A</v>
      </c>
      <c r="AG61" s="207" t="n">
        <f aca="false">IF($A62="","",Summary!$Q$9)</f>
        <v>0</v>
      </c>
      <c r="AH61" s="207" t="n">
        <f aca="false">IF($A62="","",IF(Summary!$R$9="Y",VLOOKUP($A61,Summary!$AD$6:$AF$9,3)+'Escalating commodity'!E74,'Escalating commodity'!E74))</f>
        <v>0.0707</v>
      </c>
      <c r="AI61" s="207" t="n">
        <f aca="false">IF($A62="","",AH61)</f>
        <v>0.0707</v>
      </c>
      <c r="AJ61" s="208" t="n">
        <f aca="false">A61+DAY(EOMONTH(A61,0))/2-1</f>
        <v>38610</v>
      </c>
      <c r="AK61" s="209" t="n">
        <f aca="false">IF($A62="","",$A61-$E$1)</f>
        <v>-7330</v>
      </c>
      <c r="AL61" s="182" t="e">
        <f aca="false">IF($A62="","",SPRDOPT(P61,X61,AI61,0,AB61,AE61,AF61,AK61,$AJ$2,0))</f>
        <v>#NAME?</v>
      </c>
      <c r="AM61" s="211" t="e">
        <f aca="false">IF($A62="","",MAX(0,O61-W61-AI61))</f>
        <v>#N/A</v>
      </c>
      <c r="AN61" s="211" t="e">
        <f aca="false">IF($A62="","",AL61-AM61)</f>
        <v>#N/A</v>
      </c>
      <c r="AO61" s="137" t="n">
        <f aca="false">IF(A62="","",A62-A61)</f>
        <v>30</v>
      </c>
      <c r="AP61" s="212" t="n">
        <f aca="false">IF(A62="","",CHOOSE(F$3,A62+24,A61))</f>
        <v>38596</v>
      </c>
      <c r="AQ61" s="209" t="n">
        <f aca="false">IF(A62="","",AP61-$E$1)</f>
        <v>-7330</v>
      </c>
      <c r="AR61" s="185" t="n">
        <f aca="false">'ANR OK vs ML7'!AR61</f>
        <v>0.1</v>
      </c>
      <c r="AS61" s="213" t="n">
        <f aca="false">IF(A62="","",1/(1+CHOOSE(F$3,(AR62+($I$3/10000))/2,(AR61+($I$3/10000))/2))^(2*AQ61/365.25))</f>
        <v>7.08716623758362</v>
      </c>
      <c r="AT61" s="137" t="n">
        <f aca="false">IF(A62="","",IF(AND(mthbeg&lt;=A61,mthend&gt;=A61),1,0))</f>
        <v>1</v>
      </c>
      <c r="AU61" s="137" t="n">
        <f aca="false">IF(A62="","",AO61*AT61)</f>
        <v>30</v>
      </c>
      <c r="AW61" s="195" t="e">
        <f aca="false">IF($A62="","",AL61*$E61)</f>
        <v>#NAME?</v>
      </c>
      <c r="AX61" s="195" t="e">
        <f aca="false">IF($A62="","",AM61*$E61)</f>
        <v>#N/A</v>
      </c>
      <c r="AY61" s="195" t="e">
        <f aca="false">IF($A62="","",AN61*$E61)</f>
        <v>#N/A</v>
      </c>
      <c r="BA61" s="195" t="n">
        <f aca="false">IF($A62="","",F61*Summary!$Q$9)</f>
        <v>0</v>
      </c>
      <c r="BC61" s="179" t="e">
        <f aca="false">IF(A62="","",AM61*F61)</f>
        <v>#N/A</v>
      </c>
    </row>
    <row r="62" customFormat="false" ht="12.75" hidden="false" customHeight="false" outlineLevel="0" collapsed="false">
      <c r="A62" s="196" t="n">
        <f aca="false">IF(A61&lt;mthend,EDATE(A61,1),"")</f>
        <v>38626</v>
      </c>
      <c r="B62" s="197" t="n">
        <f aca="false">IF(A62&lt;mthend,B61,"")</f>
        <v>36050</v>
      </c>
      <c r="C62" s="215"/>
      <c r="D62" s="197" t="n">
        <f aca="false">IF(A63&lt;&gt;"",B62+C62,"")</f>
        <v>36050</v>
      </c>
      <c r="E62" s="199" t="n">
        <f aca="false">IF(A63="","",IF(AND(AT62=1,$H$3=1),D62*AO62,IF($H$3=2,D62,"N/A")))</f>
        <v>1117550</v>
      </c>
      <c r="F62" s="199" t="n">
        <f aca="false">IF(A63="","",E62*AS62)</f>
        <v>7857036.92738814</v>
      </c>
      <c r="G62" s="200" t="e">
        <f aca="false">IF($A63="","",VLOOKUP($A62,Table,MATCH(G$4,Curves,0)))</f>
        <v>#N/A</v>
      </c>
      <c r="H62" s="201" t="e">
        <f aca="false">IF(A63="","",G62)</f>
        <v>#N/A</v>
      </c>
      <c r="I62" s="202"/>
      <c r="J62" s="200" t="e">
        <f aca="false">IF($A63="","",VLOOKUP($A62,Table,MATCH(J$4,Curves,0)))</f>
        <v>#N/A</v>
      </c>
      <c r="K62" s="201" t="e">
        <f aca="false">IF(A63="","",J62)</f>
        <v>#N/A</v>
      </c>
      <c r="L62" s="200" t="e">
        <f aca="false">IF($A63="","",VLOOKUP($A62,Table,MATCH(L$4,Curves,0)))</f>
        <v>#N/A</v>
      </c>
      <c r="M62" s="201" t="e">
        <f aca="false">IF(A63="","",L62)</f>
        <v>#N/A</v>
      </c>
      <c r="N62" s="203"/>
      <c r="O62" s="200" t="e">
        <f aca="false">IF(A63="","",L62+J62+G62)</f>
        <v>#N/A</v>
      </c>
      <c r="P62" s="200" t="e">
        <f aca="false">IF(A63="","",M62+K62+H62)</f>
        <v>#N/A</v>
      </c>
      <c r="Q62" s="204"/>
      <c r="R62" s="200" t="e">
        <f aca="false">IF($A63="","",VLOOKUP($A62,Table,MATCH(R$4,Curves,0)))</f>
        <v>#N/A</v>
      </c>
      <c r="S62" s="201" t="e">
        <f aca="false">IF(A63="","",R62)</f>
        <v>#N/A</v>
      </c>
      <c r="T62" s="200" t="e">
        <f aca="false">IF($A63="","",VLOOKUP($A62,Table,MATCH(T$4,Curves,0)))</f>
        <v>#N/A</v>
      </c>
      <c r="U62" s="201" t="e">
        <f aca="false">IF(A63="","",T62)</f>
        <v>#N/A</v>
      </c>
      <c r="V62" s="225" t="e">
        <f aca="false">IF($A63="","",IF(AND(MONTH(A62)&gt;3,MONTH(A62)&lt;11),(T62+R62+G62)*Summary!$T$9/(1-Summary!$T$9),(T62+R62+G62)*Summary!$U$9/(1-Summary!$U$9)))</f>
        <v>#N/A</v>
      </c>
      <c r="W62" s="200" t="e">
        <f aca="false">IF($A63="","",(T62+R62+G62+V62))</f>
        <v>#N/A</v>
      </c>
      <c r="X62" s="200" t="e">
        <f aca="false">IF($A63="","",(U62+S62+H62+V62))</f>
        <v>#N/A</v>
      </c>
      <c r="Y62" s="202"/>
      <c r="Z62" s="185" t="e">
        <f aca="false">IF($A63="","",VLOOKUP($A62,Table,MATCH(Z$4,Curves,0)))</f>
        <v>#N/A</v>
      </c>
      <c r="AA62" s="185" t="e">
        <f aca="false">IF($A63="","",VLOOKUP($A62,Table,MATCH(AA$4,Curves,0)))</f>
        <v>#N/A</v>
      </c>
      <c r="AB62" s="185" t="e">
        <f aca="false">SQRT((AA62^2*(A62-$D$3)+Z62^2*(DAY(EOMONTH(A62,0))/2))/AK62)</f>
        <v>#N/A</v>
      </c>
      <c r="AC62" s="185" t="e">
        <f aca="false">IF($A63="","",VLOOKUP($A62,Table,MATCH(AC$4,Curves,0)))</f>
        <v>#N/A</v>
      </c>
      <c r="AD62" s="185" t="e">
        <f aca="false">IF($A63="","",VLOOKUP($A62,Table,MATCH(AD$4,Curves,0)))</f>
        <v>#N/A</v>
      </c>
      <c r="AE62" s="185" t="e">
        <f aca="false">SQRT((AD62^2*(A62-$D$3)+AC62^2*(DAY(EOMONTH(A62,0))/2))/AK62)</f>
        <v>#N/A</v>
      </c>
      <c r="AF62" s="224" t="e">
        <f aca="false">((Summary!$N$9*(AA62*AD62)*(A62-$D$3))+(Summary!$M$9*Z62*AC62*(AJ62-EOMONTH(EDATE(A62,-1),0))))/(AK62*AB62*AE62)</f>
        <v>#N/A</v>
      </c>
      <c r="AG62" s="207" t="n">
        <f aca="false">IF($A63="","",Summary!$Q$9)</f>
        <v>0</v>
      </c>
      <c r="AH62" s="207" t="n">
        <f aca="false">IF($A63="","",IF(Summary!$R$9="Y",VLOOKUP($A62,Summary!$AD$6:$AF$9,3)+'Escalating commodity'!E75,'Escalating commodity'!E75))</f>
        <v>0.0707</v>
      </c>
      <c r="AI62" s="207" t="n">
        <f aca="false">IF($A63="","",AH62)</f>
        <v>0.0707</v>
      </c>
      <c r="AJ62" s="208" t="n">
        <f aca="false">A62+DAY(EOMONTH(A62,0))/2-1</f>
        <v>38640.5</v>
      </c>
      <c r="AK62" s="209" t="n">
        <f aca="false">IF($A63="","",$A62-$E$1)</f>
        <v>-7300</v>
      </c>
      <c r="AL62" s="182" t="e">
        <f aca="false">IF($A63="","",SPRDOPT(P62,X62,AI62,0,AB62,AE62,AF62,AK62,$AJ$2,0))</f>
        <v>#NAME?</v>
      </c>
      <c r="AM62" s="211" t="e">
        <f aca="false">IF($A63="","",MAX(0,O62-W62-AI62))</f>
        <v>#N/A</v>
      </c>
      <c r="AN62" s="211" t="e">
        <f aca="false">IF($A63="","",AL62-AM62)</f>
        <v>#N/A</v>
      </c>
      <c r="AO62" s="137" t="n">
        <f aca="false">IF(A63="","",A63-A62)</f>
        <v>31</v>
      </c>
      <c r="AP62" s="212" t="n">
        <f aca="false">IF(A63="","",CHOOSE(F$3,A63+24,A62))</f>
        <v>38626</v>
      </c>
      <c r="AQ62" s="209" t="n">
        <f aca="false">IF(A63="","",AP62-$E$1)</f>
        <v>-7300</v>
      </c>
      <c r="AR62" s="185" t="n">
        <f aca="false">'ANR OK vs ML7'!AR62</f>
        <v>0.1</v>
      </c>
      <c r="AS62" s="213" t="n">
        <f aca="false">IF(A63="","",1/(1+CHOOSE(F$3,(AR63+($I$3/10000))/2,(AR62+($I$3/10000))/2))^(2*AQ62/365.25))</f>
        <v>7.03059096003592</v>
      </c>
      <c r="AT62" s="137" t="n">
        <f aca="false">IF(A63="","",IF(AND(mthbeg&lt;=A62,mthend&gt;=A62),1,0))</f>
        <v>1</v>
      </c>
      <c r="AU62" s="137" t="n">
        <f aca="false">IF(A63="","",AO62*AT62)</f>
        <v>31</v>
      </c>
      <c r="AW62" s="195" t="e">
        <f aca="false">IF($A63="","",AL62*$E62)</f>
        <v>#NAME?</v>
      </c>
      <c r="AX62" s="195" t="e">
        <f aca="false">IF($A63="","",AM62*$E62)</f>
        <v>#N/A</v>
      </c>
      <c r="AY62" s="195" t="e">
        <f aca="false">IF($A63="","",AN62*$E62)</f>
        <v>#N/A</v>
      </c>
      <c r="BA62" s="195" t="n">
        <f aca="false">IF($A63="","",F62*Summary!$Q$9)</f>
        <v>0</v>
      </c>
      <c r="BC62" s="179" t="e">
        <f aca="false">IF(A63="","",AM62*F62)</f>
        <v>#N/A</v>
      </c>
    </row>
    <row r="63" customFormat="false" ht="12.75" hidden="false" customHeight="false" outlineLevel="0" collapsed="false">
      <c r="A63" s="196" t="n">
        <f aca="false">IF(A62&lt;mthend,EDATE(A62,1),"")</f>
        <v>38657</v>
      </c>
      <c r="B63" s="197" t="n">
        <f aca="false">IF(A63&lt;mthend,B62,"")</f>
        <v>36050</v>
      </c>
      <c r="C63" s="215"/>
      <c r="D63" s="197" t="n">
        <f aca="false">IF(A64&lt;&gt;"",B63+C63,"")</f>
        <v>36050</v>
      </c>
      <c r="E63" s="199" t="n">
        <f aca="false">IF(A64="","",IF(AND(AT63=1,$H$3=1),D63*AO63,IF($H$3=2,D63,"N/A")))</f>
        <v>1081500</v>
      </c>
      <c r="F63" s="199" t="n">
        <f aca="false">IF(A64="","",E63*AS63)</f>
        <v>7540871.5049637</v>
      </c>
      <c r="G63" s="200" t="e">
        <f aca="false">IF($A64="","",VLOOKUP($A63,Table,MATCH(G$4,Curves,0)))</f>
        <v>#N/A</v>
      </c>
      <c r="H63" s="201" t="e">
        <f aca="false">IF(A64="","",G63)</f>
        <v>#N/A</v>
      </c>
      <c r="I63" s="202"/>
      <c r="J63" s="200" t="e">
        <f aca="false">IF($A64="","",VLOOKUP($A63,Table,MATCH(J$4,Curves,0)))</f>
        <v>#N/A</v>
      </c>
      <c r="K63" s="201" t="e">
        <f aca="false">IF(A64="","",J63)</f>
        <v>#N/A</v>
      </c>
      <c r="L63" s="200" t="e">
        <f aca="false">IF($A64="","",VLOOKUP($A63,Table,MATCH(L$4,Curves,0)))</f>
        <v>#N/A</v>
      </c>
      <c r="M63" s="201" t="e">
        <f aca="false">IF(A64="","",L63)</f>
        <v>#N/A</v>
      </c>
      <c r="N63" s="203"/>
      <c r="O63" s="200" t="e">
        <f aca="false">IF(A64="","",L63+J63+G63)</f>
        <v>#N/A</v>
      </c>
      <c r="P63" s="200" t="e">
        <f aca="false">IF(A64="","",M63+K63+H63)</f>
        <v>#N/A</v>
      </c>
      <c r="Q63" s="204"/>
      <c r="R63" s="200" t="e">
        <f aca="false">IF($A64="","",VLOOKUP($A63,Table,MATCH(R$4,Curves,0)))</f>
        <v>#N/A</v>
      </c>
      <c r="S63" s="201" t="e">
        <f aca="false">IF(A64="","",R63)</f>
        <v>#N/A</v>
      </c>
      <c r="T63" s="200" t="e">
        <f aca="false">IF($A64="","",VLOOKUP($A63,Table,MATCH(T$4,Curves,0)))</f>
        <v>#N/A</v>
      </c>
      <c r="U63" s="201" t="e">
        <f aca="false">IF(A64="","",T63)</f>
        <v>#N/A</v>
      </c>
      <c r="V63" s="225" t="e">
        <f aca="false">IF($A64="","",IF(AND(MONTH(A63)&gt;3,MONTH(A63)&lt;11),(T63+R63+G63)*Summary!$T$9/(1-Summary!$T$9),(T63+R63+G63)*Summary!$U$9/(1-Summary!$U$9)))</f>
        <v>#N/A</v>
      </c>
      <c r="W63" s="200" t="e">
        <f aca="false">IF($A64="","",(T63+R63+G63+V63))</f>
        <v>#N/A</v>
      </c>
      <c r="X63" s="200" t="e">
        <f aca="false">IF($A64="","",(U63+S63+H63+V63))</f>
        <v>#N/A</v>
      </c>
      <c r="Y63" s="202"/>
      <c r="Z63" s="185" t="e">
        <f aca="false">IF($A64="","",VLOOKUP($A63,Table,MATCH(Z$4,Curves,0)))</f>
        <v>#N/A</v>
      </c>
      <c r="AA63" s="185" t="e">
        <f aca="false">IF($A64="","",VLOOKUP($A63,Table,MATCH(AA$4,Curves,0)))</f>
        <v>#N/A</v>
      </c>
      <c r="AB63" s="185" t="e">
        <f aca="false">SQRT((AA63^2*(A63-$D$3)+Z63^2*(DAY(EOMONTH(A63,0))/2))/AK63)</f>
        <v>#N/A</v>
      </c>
      <c r="AC63" s="185" t="e">
        <f aca="false">IF($A64="","",VLOOKUP($A63,Table,MATCH(AC$4,Curves,0)))</f>
        <v>#N/A</v>
      </c>
      <c r="AD63" s="185" t="e">
        <f aca="false">IF($A64="","",VLOOKUP($A63,Table,MATCH(AD$4,Curves,0)))</f>
        <v>#N/A</v>
      </c>
      <c r="AE63" s="185" t="e">
        <f aca="false">SQRT((AD63^2*(A63-$D$3)+AC63^2*(DAY(EOMONTH(A63,0))/2))/AK63)</f>
        <v>#N/A</v>
      </c>
      <c r="AF63" s="224" t="e">
        <f aca="false">((Summary!$N$9*(AA63*AD63)*(A63-$D$3))+(Summary!$M$9*Z63*AC63*(AJ63-EOMONTH(EDATE(A63,-1),0))))/(AK63*AB63*AE63)</f>
        <v>#N/A</v>
      </c>
      <c r="AG63" s="207" t="n">
        <f aca="false">IF($A64="","",Summary!$Q$9)</f>
        <v>0</v>
      </c>
      <c r="AH63" s="207" t="n">
        <f aca="false">IF($A64="","",IF(Summary!$R$9="Y",VLOOKUP($A63,Summary!$AD$6:$AF$9,3)+'Escalating commodity'!E76,'Escalating commodity'!E76))</f>
        <v>0.0707</v>
      </c>
      <c r="AI63" s="207" t="n">
        <f aca="false">IF($A64="","",AH63)</f>
        <v>0.0707</v>
      </c>
      <c r="AJ63" s="208" t="n">
        <f aca="false">A63+DAY(EOMONTH(A63,0))/2-1</f>
        <v>38671</v>
      </c>
      <c r="AK63" s="209" t="n">
        <f aca="false">IF($A64="","",$A63-$E$1)</f>
        <v>-7269</v>
      </c>
      <c r="AL63" s="182" t="e">
        <f aca="false">IF($A64="","",SPRDOPT(P63,X63,AI63,0,AB63,AE63,AF63,AK63,$AJ$2,0))</f>
        <v>#NAME?</v>
      </c>
      <c r="AM63" s="211" t="e">
        <f aca="false">IF($A64="","",MAX(0,O63-W63-AI63))</f>
        <v>#N/A</v>
      </c>
      <c r="AN63" s="211" t="e">
        <f aca="false">IF($A64="","",AL63-AM63)</f>
        <v>#N/A</v>
      </c>
      <c r="AO63" s="137" t="n">
        <f aca="false">IF(A64="","",A64-A63)</f>
        <v>30</v>
      </c>
      <c r="AP63" s="212" t="n">
        <f aca="false">IF(A64="","",CHOOSE(F$3,A64+24,A63))</f>
        <v>38657</v>
      </c>
      <c r="AQ63" s="209" t="n">
        <f aca="false">IF(A64="","",AP63-$E$1)</f>
        <v>-7269</v>
      </c>
      <c r="AR63" s="185" t="n">
        <f aca="false">'ANR OK vs ML7'!AR63</f>
        <v>0.1</v>
      </c>
      <c r="AS63" s="213" t="n">
        <f aca="false">IF(A64="","",1/(1+CHOOSE(F$3,(AR64+($I$3/10000))/2,(AR63+($I$3/10000))/2))^(2*AQ63/365.25))</f>
        <v>6.97260425794147</v>
      </c>
      <c r="AT63" s="137" t="n">
        <f aca="false">IF(A64="","",IF(AND(mthbeg&lt;=A63,mthend&gt;=A63),1,0))</f>
        <v>1</v>
      </c>
      <c r="AU63" s="137" t="n">
        <f aca="false">IF(A64="","",AO63*AT63)</f>
        <v>30</v>
      </c>
      <c r="AW63" s="195" t="e">
        <f aca="false">IF($A64="","",AL63*$E63)</f>
        <v>#NAME?</v>
      </c>
      <c r="AX63" s="195" t="e">
        <f aca="false">IF($A64="","",AM63*$E63)</f>
        <v>#N/A</v>
      </c>
      <c r="AY63" s="195" t="e">
        <f aca="false">IF($A64="","",AN63*$E63)</f>
        <v>#N/A</v>
      </c>
      <c r="BA63" s="195" t="n">
        <f aca="false">IF($A64="","",F63*Summary!$Q$9)</f>
        <v>0</v>
      </c>
      <c r="BC63" s="179" t="e">
        <f aca="false">IF(A64="","",AM63*F63)</f>
        <v>#N/A</v>
      </c>
    </row>
    <row r="64" customFormat="false" ht="12.75" hidden="false" customHeight="false" outlineLevel="0" collapsed="false">
      <c r="A64" s="196" t="n">
        <f aca="false">IF(A63&lt;mthend,EDATE(A63,1),"")</f>
        <v>38687</v>
      </c>
      <c r="B64" s="197" t="n">
        <f aca="false">IF(A64&lt;mthend,B63,"")</f>
        <v>36050</v>
      </c>
      <c r="C64" s="215"/>
      <c r="D64" s="197" t="n">
        <f aca="false">IF(A65&lt;&gt;"",B64+C64,"")</f>
        <v>36050</v>
      </c>
      <c r="E64" s="199" t="n">
        <f aca="false">IF(A65="","",IF(AND(AT64=1,$H$3=1),D64*AO64,IF($H$3=2,D64,"N/A")))</f>
        <v>1117550</v>
      </c>
      <c r="F64" s="199" t="n">
        <f aca="false">IF(A65="","",E64*AS64)</f>
        <v>7730030.2121019</v>
      </c>
      <c r="G64" s="200" t="e">
        <f aca="false">IF($A65="","",VLOOKUP($A64,Table,MATCH(G$4,Curves,0)))</f>
        <v>#N/A</v>
      </c>
      <c r="H64" s="201" t="e">
        <f aca="false">IF(A65="","",G64)</f>
        <v>#N/A</v>
      </c>
      <c r="I64" s="202"/>
      <c r="J64" s="200" t="e">
        <f aca="false">IF($A65="","",VLOOKUP($A64,Table,MATCH(J$4,Curves,0)))</f>
        <v>#N/A</v>
      </c>
      <c r="K64" s="201" t="e">
        <f aca="false">IF(A65="","",J64)</f>
        <v>#N/A</v>
      </c>
      <c r="L64" s="200" t="e">
        <f aca="false">IF($A65="","",VLOOKUP($A64,Table,MATCH(L$4,Curves,0)))</f>
        <v>#N/A</v>
      </c>
      <c r="M64" s="201" t="e">
        <f aca="false">IF(A65="","",L64)</f>
        <v>#N/A</v>
      </c>
      <c r="N64" s="203"/>
      <c r="O64" s="200" t="e">
        <f aca="false">IF(A65="","",L64+J64+G64)</f>
        <v>#N/A</v>
      </c>
      <c r="P64" s="200" t="e">
        <f aca="false">IF(A65="","",M64+K64+H64)</f>
        <v>#N/A</v>
      </c>
      <c r="Q64" s="204"/>
      <c r="R64" s="200" t="e">
        <f aca="false">IF($A65="","",VLOOKUP($A64,Table,MATCH(R$4,Curves,0)))</f>
        <v>#N/A</v>
      </c>
      <c r="S64" s="201" t="e">
        <f aca="false">IF(A65="","",R64)</f>
        <v>#N/A</v>
      </c>
      <c r="T64" s="200" t="e">
        <f aca="false">IF($A65="","",VLOOKUP($A64,Table,MATCH(T$4,Curves,0)))</f>
        <v>#N/A</v>
      </c>
      <c r="U64" s="201" t="e">
        <f aca="false">IF(A65="","",T64)</f>
        <v>#N/A</v>
      </c>
      <c r="V64" s="225" t="e">
        <f aca="false">IF($A65="","",IF(AND(MONTH(A64)&gt;3,MONTH(A64)&lt;11),(T64+R64+G64)*Summary!$T$9/(1-Summary!$T$9),(T64+R64+G64)*Summary!$U$9/(1-Summary!$U$9)))</f>
        <v>#N/A</v>
      </c>
      <c r="W64" s="200" t="e">
        <f aca="false">IF($A65="","",(T64+R64+G64+V64))</f>
        <v>#N/A</v>
      </c>
      <c r="X64" s="200" t="e">
        <f aca="false">IF($A65="","",(U64+S64+H64+V64))</f>
        <v>#N/A</v>
      </c>
      <c r="Y64" s="202"/>
      <c r="Z64" s="185" t="e">
        <f aca="false">IF($A65="","",VLOOKUP($A64,Table,MATCH(Z$4,Curves,0)))</f>
        <v>#N/A</v>
      </c>
      <c r="AA64" s="185" t="e">
        <f aca="false">IF($A65="","",VLOOKUP($A64,Table,MATCH(AA$4,Curves,0)))</f>
        <v>#N/A</v>
      </c>
      <c r="AB64" s="185" t="e">
        <f aca="false">SQRT((AA64^2*(A64-$D$3)+Z64^2*(DAY(EOMONTH(A64,0))/2))/AK64)</f>
        <v>#N/A</v>
      </c>
      <c r="AC64" s="185" t="e">
        <f aca="false">IF($A65="","",VLOOKUP($A64,Table,MATCH(AC$4,Curves,0)))</f>
        <v>#N/A</v>
      </c>
      <c r="AD64" s="185" t="e">
        <f aca="false">IF($A65="","",VLOOKUP($A64,Table,MATCH(AD$4,Curves,0)))</f>
        <v>#N/A</v>
      </c>
      <c r="AE64" s="185" t="e">
        <f aca="false">SQRT((AD64^2*(A64-$D$3)+AC64^2*(DAY(EOMONTH(A64,0))/2))/AK64)</f>
        <v>#N/A</v>
      </c>
      <c r="AF64" s="224" t="e">
        <f aca="false">((Summary!$N$9*(AA64*AD64)*(A64-$D$3))+(Summary!$M$9*Z64*AC64*(AJ64-EOMONTH(EDATE(A64,-1),0))))/(AK64*AB64*AE64)</f>
        <v>#N/A</v>
      </c>
      <c r="AG64" s="207" t="n">
        <f aca="false">IF($A65="","",Summary!$Q$9)</f>
        <v>0</v>
      </c>
      <c r="AH64" s="207" t="n">
        <f aca="false">IF($A65="","",IF(Summary!$R$9="Y",VLOOKUP($A64,Summary!$AD$6:$AF$9,3)+'Escalating commodity'!E77,'Escalating commodity'!E77))</f>
        <v>0.0707</v>
      </c>
      <c r="AI64" s="207" t="n">
        <f aca="false">IF($A65="","",AH64)</f>
        <v>0.0707</v>
      </c>
      <c r="AJ64" s="208" t="n">
        <f aca="false">A64+DAY(EOMONTH(A64,0))/2-1</f>
        <v>38701.5</v>
      </c>
      <c r="AK64" s="209" t="n">
        <f aca="false">IF($A65="","",$A64-$E$1)</f>
        <v>-7239</v>
      </c>
      <c r="AL64" s="182" t="e">
        <f aca="false">IF($A65="","",SPRDOPT(P64,X64,AI64,0,AB64,AE64,AF64,AK64,$AJ$2,0))</f>
        <v>#NAME?</v>
      </c>
      <c r="AM64" s="211" t="e">
        <f aca="false">IF($A65="","",MAX(0,O64-W64-AI64))</f>
        <v>#N/A</v>
      </c>
      <c r="AN64" s="211" t="e">
        <f aca="false">IF($A65="","",AL64-AM64)</f>
        <v>#N/A</v>
      </c>
      <c r="AO64" s="137" t="n">
        <f aca="false">IF(A65="","",A65-A64)</f>
        <v>31</v>
      </c>
      <c r="AP64" s="212" t="n">
        <f aca="false">IF(A65="","",CHOOSE(F$3,A65+24,A64))</f>
        <v>38687</v>
      </c>
      <c r="AQ64" s="209" t="n">
        <f aca="false">IF(A65="","",AP64-$E$1)</f>
        <v>-7239</v>
      </c>
      <c r="AR64" s="185" t="n">
        <f aca="false">'ANR OK vs ML7'!AR64</f>
        <v>0.1</v>
      </c>
      <c r="AS64" s="213" t="n">
        <f aca="false">IF(A65="","",1/(1+CHOOSE(F$3,(AR65+($I$3/10000))/2,(AR64+($I$3/10000))/2))^(2*AQ64/365.25))</f>
        <v>6.91694350329014</v>
      </c>
      <c r="AT64" s="137" t="n">
        <f aca="false">IF(A65="","",IF(AND(mthbeg&lt;=A64,mthend&gt;=A64),1,0))</f>
        <v>1</v>
      </c>
      <c r="AU64" s="137" t="n">
        <f aca="false">IF(A65="","",AO64*AT64)</f>
        <v>31</v>
      </c>
      <c r="AW64" s="195" t="e">
        <f aca="false">IF($A65="","",AL64*$E64)</f>
        <v>#NAME?</v>
      </c>
      <c r="AX64" s="195" t="e">
        <f aca="false">IF($A65="","",AM64*$E64)</f>
        <v>#N/A</v>
      </c>
      <c r="AY64" s="195" t="e">
        <f aca="false">IF($A65="","",AN64*$E64)</f>
        <v>#N/A</v>
      </c>
      <c r="BA64" s="195" t="n">
        <f aca="false">IF($A65="","",F64*Summary!$Q$9)</f>
        <v>0</v>
      </c>
      <c r="BC64" s="179" t="e">
        <f aca="false">IF(A65="","",AM64*F64)</f>
        <v>#N/A</v>
      </c>
    </row>
    <row r="65" customFormat="false" ht="12.75" hidden="false" customHeight="false" outlineLevel="0" collapsed="false">
      <c r="A65" s="196" t="n">
        <f aca="false">IF(A64&lt;mthend,EDATE(A64,1),"")</f>
        <v>38718</v>
      </c>
      <c r="B65" s="197" t="n">
        <f aca="false">IF(A65&lt;mthend,B64,"")</f>
        <v>36050</v>
      </c>
      <c r="C65" s="215"/>
      <c r="D65" s="197" t="n">
        <f aca="false">IF(A66&lt;&gt;"",B65+C65,"")</f>
        <v>36050</v>
      </c>
      <c r="E65" s="199" t="n">
        <f aca="false">IF(A66="","",IF(AND(AT65=1,$H$3=1),D65*AO65,IF($H$3=2,D65,"N/A")))</f>
        <v>1117550</v>
      </c>
      <c r="F65" s="199" t="n">
        <f aca="false">IF(A66="","",E65*AS65)</f>
        <v>7666274.69544075</v>
      </c>
      <c r="G65" s="200" t="e">
        <f aca="false">IF($A66="","",VLOOKUP($A65,Table,MATCH(G$4,Curves,0)))</f>
        <v>#N/A</v>
      </c>
      <c r="H65" s="201" t="e">
        <f aca="false">IF(A66="","",G65)</f>
        <v>#N/A</v>
      </c>
      <c r="I65" s="202"/>
      <c r="J65" s="200" t="e">
        <f aca="false">IF($A66="","",VLOOKUP($A65,Table,MATCH(J$4,Curves,0)))</f>
        <v>#N/A</v>
      </c>
      <c r="K65" s="201" t="e">
        <f aca="false">IF(A66="","",J65)</f>
        <v>#N/A</v>
      </c>
      <c r="L65" s="200" t="e">
        <f aca="false">IF($A66="","",VLOOKUP($A65,Table,MATCH(L$4,Curves,0)))</f>
        <v>#N/A</v>
      </c>
      <c r="M65" s="201" t="e">
        <f aca="false">IF(A66="","",L65)</f>
        <v>#N/A</v>
      </c>
      <c r="N65" s="203"/>
      <c r="O65" s="200" t="e">
        <f aca="false">IF(A66="","",L65+J65+G65)</f>
        <v>#N/A</v>
      </c>
      <c r="P65" s="200" t="e">
        <f aca="false">IF(A66="","",M65+K65+H65)</f>
        <v>#N/A</v>
      </c>
      <c r="Q65" s="204"/>
      <c r="R65" s="200" t="e">
        <f aca="false">IF($A66="","",VLOOKUP($A65,Table,MATCH(R$4,Curves,0)))</f>
        <v>#N/A</v>
      </c>
      <c r="S65" s="201" t="e">
        <f aca="false">IF(A66="","",R65)</f>
        <v>#N/A</v>
      </c>
      <c r="T65" s="200" t="e">
        <f aca="false">IF($A66="","",VLOOKUP($A65,Table,MATCH(T$4,Curves,0)))</f>
        <v>#N/A</v>
      </c>
      <c r="U65" s="201" t="e">
        <f aca="false">IF(A66="","",T65)</f>
        <v>#N/A</v>
      </c>
      <c r="V65" s="225" t="e">
        <f aca="false">IF($A66="","",IF(AND(MONTH(A65)&gt;3,MONTH(A65)&lt;11),(T65+R65+G65)*Summary!$T$9/(1-Summary!$T$9),(T65+R65+G65)*Summary!$U$9/(1-Summary!$U$9)))</f>
        <v>#N/A</v>
      </c>
      <c r="W65" s="200" t="e">
        <f aca="false">IF($A66="","",(T65+R65+G65+V65))</f>
        <v>#N/A</v>
      </c>
      <c r="X65" s="200" t="e">
        <f aca="false">IF($A66="","",(U65+S65+H65+V65))</f>
        <v>#N/A</v>
      </c>
      <c r="Y65" s="202"/>
      <c r="Z65" s="185" t="e">
        <f aca="false">IF($A66="","",VLOOKUP($A65,Table,MATCH(Z$4,Curves,0)))</f>
        <v>#N/A</v>
      </c>
      <c r="AA65" s="185" t="e">
        <f aca="false">IF($A66="","",VLOOKUP($A65,Table,MATCH(AA$4,Curves,0)))</f>
        <v>#N/A</v>
      </c>
      <c r="AB65" s="185" t="e">
        <f aca="false">SQRT((AA65^2*(A65-$D$3)+Z65^2*(DAY(EOMONTH(A65,0))/2))/AK65)</f>
        <v>#N/A</v>
      </c>
      <c r="AC65" s="185" t="e">
        <f aca="false">IF($A66="","",VLOOKUP($A65,Table,MATCH(AC$4,Curves,0)))</f>
        <v>#N/A</v>
      </c>
      <c r="AD65" s="185" t="e">
        <f aca="false">IF($A66="","",VLOOKUP($A65,Table,MATCH(AD$4,Curves,0)))</f>
        <v>#N/A</v>
      </c>
      <c r="AE65" s="185" t="e">
        <f aca="false">SQRT((AD65^2*(A65-$D$3)+AC65^2*(DAY(EOMONTH(A65,0))/2))/AK65)</f>
        <v>#N/A</v>
      </c>
      <c r="AF65" s="224" t="e">
        <f aca="false">((Summary!$N$9*(AA65*AD65)*(A65-$D$3))+(Summary!$M$9*Z65*AC65*(AJ65-EOMONTH(EDATE(A65,-1),0))))/(AK65*AB65*AE65)</f>
        <v>#N/A</v>
      </c>
      <c r="AG65" s="207" t="n">
        <f aca="false">IF($A66="","",Summary!$Q$9)</f>
        <v>0</v>
      </c>
      <c r="AH65" s="207" t="n">
        <f aca="false">IF($A66="","",IF(Summary!$R$9="Y",VLOOKUP($A65,Summary!$AD$6:$AF$9,3)+'Escalating commodity'!E78,'Escalating commodity'!E78))</f>
        <v>0.0707</v>
      </c>
      <c r="AI65" s="207" t="n">
        <f aca="false">IF($A66="","",AH65)</f>
        <v>0.0707</v>
      </c>
      <c r="AJ65" s="208" t="n">
        <f aca="false">A65+DAY(EOMONTH(A65,0))/2-1</f>
        <v>38732.5</v>
      </c>
      <c r="AK65" s="209" t="n">
        <f aca="false">IF($A66="","",$A65-$E$1)</f>
        <v>-7208</v>
      </c>
      <c r="AL65" s="182" t="e">
        <f aca="false">IF($A66="","",SPRDOPT(P65,X65,AI65,0,AB65,AE65,AF65,AK65,$AJ$2,0))</f>
        <v>#NAME?</v>
      </c>
      <c r="AM65" s="211" t="e">
        <f aca="false">IF($A66="","",MAX(0,O65-W65-AI65))</f>
        <v>#N/A</v>
      </c>
      <c r="AN65" s="211" t="e">
        <f aca="false">IF($A66="","",AL65-AM65)</f>
        <v>#N/A</v>
      </c>
      <c r="AO65" s="137" t="n">
        <f aca="false">IF(A66="","",A66-A65)</f>
        <v>31</v>
      </c>
      <c r="AP65" s="212" t="n">
        <f aca="false">IF(A66="","",CHOOSE(F$3,A66+24,A65))</f>
        <v>38718</v>
      </c>
      <c r="AQ65" s="209" t="n">
        <f aca="false">IF(A66="","",AP65-$E$1)</f>
        <v>-7208</v>
      </c>
      <c r="AR65" s="185" t="n">
        <f aca="false">'ANR OK vs ML7'!AR65</f>
        <v>0.1</v>
      </c>
      <c r="AS65" s="213" t="n">
        <f aca="false">IF(A66="","",1/(1+CHOOSE(F$3,(AR66+($I$3/10000))/2,(AR65+($I$3/10000))/2))^(2*AQ65/365.25))</f>
        <v>6.85989413935909</v>
      </c>
      <c r="AT65" s="137" t="n">
        <f aca="false">IF(A66="","",IF(AND(mthbeg&lt;=A65,mthend&gt;=A65),1,0))</f>
        <v>1</v>
      </c>
      <c r="AU65" s="137" t="n">
        <f aca="false">IF(A66="","",AO65*AT65)</f>
        <v>31</v>
      </c>
      <c r="AW65" s="195" t="e">
        <f aca="false">IF($A66="","",AL65*$E65)</f>
        <v>#NAME?</v>
      </c>
      <c r="AX65" s="195" t="e">
        <f aca="false">IF($A66="","",AM65*$E65)</f>
        <v>#N/A</v>
      </c>
      <c r="AY65" s="195" t="e">
        <f aca="false">IF($A66="","",AN65*$E65)</f>
        <v>#N/A</v>
      </c>
      <c r="BA65" s="195" t="n">
        <f aca="false">IF($A66="","",F65*Summary!$Q$9)</f>
        <v>0</v>
      </c>
      <c r="BC65" s="179" t="e">
        <f aca="false">IF(A66="","",AM65*F65)</f>
        <v>#N/A</v>
      </c>
    </row>
    <row r="66" customFormat="false" ht="12.75" hidden="false" customHeight="false" outlineLevel="0" collapsed="false">
      <c r="A66" s="196" t="n">
        <f aca="false">IF(A65&lt;mthend,EDATE(A65,1),"")</f>
        <v>38749</v>
      </c>
      <c r="B66" s="197" t="n">
        <f aca="false">IF(A66&lt;mthend,B65,"")</f>
        <v>36050</v>
      </c>
      <c r="C66" s="215"/>
      <c r="D66" s="197" t="n">
        <f aca="false">IF(A67&lt;&gt;"",B66+C66,"")</f>
        <v>36050</v>
      </c>
      <c r="E66" s="199" t="n">
        <f aca="false">IF(A67="","",IF(AND(AT66=1,$H$3=1),D66*AO66,IF($H$3=2,D66,"N/A")))</f>
        <v>1009400</v>
      </c>
      <c r="F66" s="199" t="n">
        <f aca="false">IF(A67="","",E66*AS66)</f>
        <v>6867266.46937179</v>
      </c>
      <c r="G66" s="200" t="e">
        <f aca="false">IF($A67="","",VLOOKUP($A66,Table,MATCH(G$4,Curves,0)))</f>
        <v>#N/A</v>
      </c>
      <c r="H66" s="201" t="e">
        <f aca="false">IF(A67="","",G66)</f>
        <v>#N/A</v>
      </c>
      <c r="I66" s="202"/>
      <c r="J66" s="200" t="e">
        <f aca="false">IF($A67="","",VLOOKUP($A66,Table,MATCH(J$4,Curves,0)))</f>
        <v>#N/A</v>
      </c>
      <c r="K66" s="201" t="e">
        <f aca="false">IF(A67="","",J66)</f>
        <v>#N/A</v>
      </c>
      <c r="L66" s="200" t="e">
        <f aca="false">IF($A67="","",VLOOKUP($A66,Table,MATCH(L$4,Curves,0)))</f>
        <v>#N/A</v>
      </c>
      <c r="M66" s="201" t="e">
        <f aca="false">IF(A67="","",L66)</f>
        <v>#N/A</v>
      </c>
      <c r="N66" s="203"/>
      <c r="O66" s="200" t="e">
        <f aca="false">IF(A67="","",L66+J66+G66)</f>
        <v>#N/A</v>
      </c>
      <c r="P66" s="200" t="e">
        <f aca="false">IF(A67="","",M66+K66+H66)</f>
        <v>#N/A</v>
      </c>
      <c r="Q66" s="204"/>
      <c r="R66" s="200" t="e">
        <f aca="false">IF($A67="","",VLOOKUP($A66,Table,MATCH(R$4,Curves,0)))</f>
        <v>#N/A</v>
      </c>
      <c r="S66" s="201" t="e">
        <f aca="false">IF(A67="","",R66)</f>
        <v>#N/A</v>
      </c>
      <c r="T66" s="200" t="e">
        <f aca="false">IF($A67="","",VLOOKUP($A66,Table,MATCH(T$4,Curves,0)))</f>
        <v>#N/A</v>
      </c>
      <c r="U66" s="201" t="e">
        <f aca="false">IF(A67="","",T66)</f>
        <v>#N/A</v>
      </c>
      <c r="V66" s="225" t="e">
        <f aca="false">IF($A67="","",IF(AND(MONTH(A66)&gt;3,MONTH(A66)&lt;11),(T66+R66+G66)*Summary!$T$9/(1-Summary!$T$9),(T66+R66+G66)*Summary!$U$9/(1-Summary!$U$9)))</f>
        <v>#N/A</v>
      </c>
      <c r="W66" s="200" t="e">
        <f aca="false">IF($A67="","",(T66+R66+G66+V66))</f>
        <v>#N/A</v>
      </c>
      <c r="X66" s="200" t="e">
        <f aca="false">IF($A67="","",(U66+S66+H66+V66))</f>
        <v>#N/A</v>
      </c>
      <c r="Y66" s="202"/>
      <c r="Z66" s="185" t="e">
        <f aca="false">IF($A67="","",VLOOKUP($A66,Table,MATCH(Z$4,Curves,0)))</f>
        <v>#N/A</v>
      </c>
      <c r="AA66" s="185" t="e">
        <f aca="false">IF($A67="","",VLOOKUP($A66,Table,MATCH(AA$4,Curves,0)))</f>
        <v>#N/A</v>
      </c>
      <c r="AB66" s="185" t="e">
        <f aca="false">SQRT((AA66^2*(A66-$D$3)+Z66^2*(DAY(EOMONTH(A66,0))/2))/AK66)</f>
        <v>#N/A</v>
      </c>
      <c r="AC66" s="185" t="e">
        <f aca="false">IF($A67="","",VLOOKUP($A66,Table,MATCH(AC$4,Curves,0)))</f>
        <v>#N/A</v>
      </c>
      <c r="AD66" s="185" t="e">
        <f aca="false">IF($A67="","",VLOOKUP($A66,Table,MATCH(AD$4,Curves,0)))</f>
        <v>#N/A</v>
      </c>
      <c r="AE66" s="185" t="e">
        <f aca="false">SQRT((AD66^2*(A66-$D$3)+AC66^2*(DAY(EOMONTH(A66,0))/2))/AK66)</f>
        <v>#N/A</v>
      </c>
      <c r="AF66" s="224" t="e">
        <f aca="false">((Summary!$N$9*(AA66*AD66)*(A66-$D$3))+(Summary!$M$9*Z66*AC66*(AJ66-EOMONTH(EDATE(A66,-1),0))))/(AK66*AB66*AE66)</f>
        <v>#N/A</v>
      </c>
      <c r="AG66" s="207" t="n">
        <f aca="false">IF($A67="","",Summary!$Q$9)</f>
        <v>0</v>
      </c>
      <c r="AH66" s="207" t="n">
        <f aca="false">IF($A67="","",IF(Summary!$R$9="Y",VLOOKUP($A66,Summary!$AD$6:$AF$9,3)+'Escalating commodity'!E79,'Escalating commodity'!E79))</f>
        <v>0.0707</v>
      </c>
      <c r="AI66" s="207" t="n">
        <f aca="false">IF($A67="","",AH66)</f>
        <v>0.0707</v>
      </c>
      <c r="AJ66" s="208" t="n">
        <f aca="false">A66+DAY(EOMONTH(A66,0))/2-1</f>
        <v>38762</v>
      </c>
      <c r="AK66" s="209" t="n">
        <f aca="false">IF($A67="","",$A66-$E$1)</f>
        <v>-7177</v>
      </c>
      <c r="AL66" s="182" t="e">
        <f aca="false">IF($A67="","",SPRDOPT(P66,X66,AI66,0,AB66,AE66,AF66,AK66,$AJ$2,0))</f>
        <v>#NAME?</v>
      </c>
      <c r="AM66" s="211" t="e">
        <f aca="false">IF($A67="","",MAX(0,O66-W66-AI66))</f>
        <v>#N/A</v>
      </c>
      <c r="AN66" s="211" t="e">
        <f aca="false">IF($A67="","",AL66-AM66)</f>
        <v>#N/A</v>
      </c>
      <c r="AO66" s="137" t="n">
        <f aca="false">IF(A67="","",A67-A66)</f>
        <v>28</v>
      </c>
      <c r="AP66" s="212" t="n">
        <f aca="false">IF(A67="","",CHOOSE(F$3,A67+24,A66))</f>
        <v>38749</v>
      </c>
      <c r="AQ66" s="209" t="n">
        <f aca="false">IF(A67="","",AP66-$E$1)</f>
        <v>-7177</v>
      </c>
      <c r="AR66" s="185" t="n">
        <f aca="false">'ANR OK vs ML7'!AR66</f>
        <v>0.1</v>
      </c>
      <c r="AS66" s="213" t="n">
        <f aca="false">IF(A67="","",1/(1+CHOOSE(F$3,(AR67+($I$3/10000))/2,(AR66+($I$3/10000))/2))^(2*AQ66/365.25))</f>
        <v>6.80331530550009</v>
      </c>
      <c r="AT66" s="137" t="n">
        <f aca="false">IF(A67="","",IF(AND(mthbeg&lt;=A66,mthend&gt;=A66),1,0))</f>
        <v>1</v>
      </c>
      <c r="AU66" s="137" t="n">
        <f aca="false">IF(A67="","",AO66*AT66)</f>
        <v>28</v>
      </c>
      <c r="AW66" s="195" t="e">
        <f aca="false">IF($A67="","",AL66*$E66)</f>
        <v>#NAME?</v>
      </c>
      <c r="AX66" s="195" t="e">
        <f aca="false">IF($A67="","",AM66*$E66)</f>
        <v>#N/A</v>
      </c>
      <c r="AY66" s="195" t="e">
        <f aca="false">IF($A67="","",AN66*$E66)</f>
        <v>#N/A</v>
      </c>
      <c r="BA66" s="195" t="n">
        <f aca="false">IF($A67="","",F66*Summary!$Q$9)</f>
        <v>0</v>
      </c>
      <c r="BC66" s="179" t="e">
        <f aca="false">IF(A67="","",AM66*F66)</f>
        <v>#N/A</v>
      </c>
    </row>
    <row r="67" customFormat="false" ht="12.75" hidden="false" customHeight="false" outlineLevel="0" collapsed="false">
      <c r="A67" s="196" t="n">
        <f aca="false">IF(A66&lt;mthend,EDATE(A66,1),"")</f>
        <v>38777</v>
      </c>
      <c r="B67" s="197" t="n">
        <f aca="false">IF(A67&lt;mthend,B66,"")</f>
        <v>36050</v>
      </c>
      <c r="C67" s="215"/>
      <c r="D67" s="197" t="n">
        <f aca="false">IF(A68&lt;&gt;"",B67+C67,"")</f>
        <v>36050</v>
      </c>
      <c r="E67" s="199" t="n">
        <f aca="false">IF(A68="","",IF(AND(AT67=1,$H$3=1),D67*AO67,IF($H$3=2,D67,"N/A")))</f>
        <v>1117550</v>
      </c>
      <c r="F67" s="199" t="n">
        <f aca="false">IF(A68="","",E67*AS67)</f>
        <v>7546382.70799178</v>
      </c>
      <c r="G67" s="200" t="e">
        <f aca="false">IF($A68="","",VLOOKUP($A67,Table,MATCH(G$4,Curves,0)))</f>
        <v>#N/A</v>
      </c>
      <c r="H67" s="201" t="e">
        <f aca="false">IF(A68="","",G67)</f>
        <v>#N/A</v>
      </c>
      <c r="I67" s="202"/>
      <c r="J67" s="200" t="e">
        <f aca="false">IF($A68="","",VLOOKUP($A67,Table,MATCH(J$4,Curves,0)))</f>
        <v>#N/A</v>
      </c>
      <c r="K67" s="201" t="e">
        <f aca="false">IF(A68="","",J67)</f>
        <v>#N/A</v>
      </c>
      <c r="L67" s="200" t="e">
        <f aca="false">IF($A68="","",VLOOKUP($A67,Table,MATCH(L$4,Curves,0)))</f>
        <v>#N/A</v>
      </c>
      <c r="M67" s="201" t="e">
        <f aca="false">IF(A68="","",L67)</f>
        <v>#N/A</v>
      </c>
      <c r="N67" s="203"/>
      <c r="O67" s="200" t="e">
        <f aca="false">IF(A68="","",L67+J67+G67)</f>
        <v>#N/A</v>
      </c>
      <c r="P67" s="200" t="e">
        <f aca="false">IF(A68="","",M67+K67+H67)</f>
        <v>#N/A</v>
      </c>
      <c r="Q67" s="204"/>
      <c r="R67" s="200" t="e">
        <f aca="false">IF($A68="","",VLOOKUP($A67,Table,MATCH(R$4,Curves,0)))</f>
        <v>#N/A</v>
      </c>
      <c r="S67" s="201" t="e">
        <f aca="false">IF(A68="","",R67)</f>
        <v>#N/A</v>
      </c>
      <c r="T67" s="200" t="e">
        <f aca="false">IF($A68="","",VLOOKUP($A67,Table,MATCH(T$4,Curves,0)))</f>
        <v>#N/A</v>
      </c>
      <c r="U67" s="201" t="e">
        <f aca="false">IF(A68="","",T67)</f>
        <v>#N/A</v>
      </c>
      <c r="V67" s="225" t="e">
        <f aca="false">IF($A68="","",IF(AND(MONTH(A67)&gt;3,MONTH(A67)&lt;11),(T67+R67+G67)*Summary!$T$9/(1-Summary!$T$9),(T67+R67+G67)*Summary!$U$9/(1-Summary!$U$9)))</f>
        <v>#N/A</v>
      </c>
      <c r="W67" s="200" t="e">
        <f aca="false">IF($A68="","",(T67+R67+G67+V67))</f>
        <v>#N/A</v>
      </c>
      <c r="X67" s="200" t="e">
        <f aca="false">IF($A68="","",(U67+S67+H67+V67))</f>
        <v>#N/A</v>
      </c>
      <c r="Y67" s="202"/>
      <c r="Z67" s="185" t="e">
        <f aca="false">IF($A68="","",VLOOKUP($A67,Table,MATCH(Z$4,Curves,0)))</f>
        <v>#N/A</v>
      </c>
      <c r="AA67" s="185" t="e">
        <f aca="false">IF($A68="","",VLOOKUP($A67,Table,MATCH(AA$4,Curves,0)))</f>
        <v>#N/A</v>
      </c>
      <c r="AB67" s="185" t="e">
        <f aca="false">SQRT((AA67^2*(A67-$D$3)+Z67^2*(DAY(EOMONTH(A67,0))/2))/AK67)</f>
        <v>#N/A</v>
      </c>
      <c r="AC67" s="185" t="e">
        <f aca="false">IF($A68="","",VLOOKUP($A67,Table,MATCH(AC$4,Curves,0)))</f>
        <v>#N/A</v>
      </c>
      <c r="AD67" s="185" t="e">
        <f aca="false">IF($A68="","",VLOOKUP($A67,Table,MATCH(AD$4,Curves,0)))</f>
        <v>#N/A</v>
      </c>
      <c r="AE67" s="185" t="e">
        <f aca="false">SQRT((AD67^2*(A67-$D$3)+AC67^2*(DAY(EOMONTH(A67,0))/2))/AK67)</f>
        <v>#N/A</v>
      </c>
      <c r="AF67" s="224" t="e">
        <f aca="false">((Summary!$N$9*(AA67*AD67)*(A67-$D$3))+(Summary!$M$9*Z67*AC67*(AJ67-EOMONTH(EDATE(A67,-1),0))))/(AK67*AB67*AE67)</f>
        <v>#N/A</v>
      </c>
      <c r="AG67" s="207" t="n">
        <f aca="false">IF($A68="","",Summary!$Q$9)</f>
        <v>0</v>
      </c>
      <c r="AH67" s="207" t="n">
        <f aca="false">IF($A68="","",IF(Summary!$R$9="Y",VLOOKUP($A67,Summary!$AD$6:$AF$9,3)+'Escalating commodity'!E80,'Escalating commodity'!E80))</f>
        <v>0.0707</v>
      </c>
      <c r="AI67" s="207" t="n">
        <f aca="false">IF($A68="","",AH67)</f>
        <v>0.0707</v>
      </c>
      <c r="AJ67" s="208" t="n">
        <f aca="false">A67+DAY(EOMONTH(A67,0))/2-1</f>
        <v>38791.5</v>
      </c>
      <c r="AK67" s="209" t="n">
        <f aca="false">IF($A68="","",$A67-$E$1)</f>
        <v>-7149</v>
      </c>
      <c r="AL67" s="182" t="e">
        <f aca="false">IF($A68="","",SPRDOPT(P67,X67,AI67,0,AB67,AE67,AF67,AK67,$AJ$2,0))</f>
        <v>#NAME?</v>
      </c>
      <c r="AM67" s="211" t="e">
        <f aca="false">IF($A68="","",MAX(0,O67-W67-AI67))</f>
        <v>#N/A</v>
      </c>
      <c r="AN67" s="211" t="e">
        <f aca="false">IF($A68="","",AL67-AM67)</f>
        <v>#N/A</v>
      </c>
      <c r="AO67" s="137" t="n">
        <f aca="false">IF(A68="","",A68-A67)</f>
        <v>31</v>
      </c>
      <c r="AP67" s="212" t="n">
        <f aca="false">IF(A68="","",CHOOSE(F$3,A68+24,A67))</f>
        <v>38777</v>
      </c>
      <c r="AQ67" s="209" t="n">
        <f aca="false">IF(A68="","",AP67-$E$1)</f>
        <v>-7149</v>
      </c>
      <c r="AR67" s="185" t="n">
        <f aca="false">'ANR OK vs ML7'!AR67</f>
        <v>0.1</v>
      </c>
      <c r="AS67" s="213" t="n">
        <f aca="false">IF(A68="","",1/(1+CHOOSE(F$3,(AR68+($I$3/10000))/2,(AR67+($I$3/10000))/2))^(2*AQ67/365.25))</f>
        <v>6.75261304459915</v>
      </c>
      <c r="AT67" s="137" t="n">
        <f aca="false">IF(A68="","",IF(AND(mthbeg&lt;=A67,mthend&gt;=A67),1,0))</f>
        <v>1</v>
      </c>
      <c r="AU67" s="137" t="n">
        <f aca="false">IF(A68="","",AO67*AT67)</f>
        <v>31</v>
      </c>
      <c r="AW67" s="195" t="e">
        <f aca="false">IF($A68="","",AL67*$E67)</f>
        <v>#NAME?</v>
      </c>
      <c r="AX67" s="195" t="e">
        <f aca="false">IF($A68="","",AM67*$E67)</f>
        <v>#N/A</v>
      </c>
      <c r="AY67" s="195" t="e">
        <f aca="false">IF($A68="","",AN67*$E67)</f>
        <v>#N/A</v>
      </c>
      <c r="BA67" s="195" t="n">
        <f aca="false">IF($A68="","",F67*Summary!$Q$9)</f>
        <v>0</v>
      </c>
      <c r="BC67" s="179" t="e">
        <f aca="false">IF(A68="","",AM67*F67)</f>
        <v>#N/A</v>
      </c>
    </row>
    <row r="68" customFormat="false" ht="12.75" hidden="false" customHeight="false" outlineLevel="0" collapsed="false">
      <c r="A68" s="196" t="n">
        <f aca="false">IF(A67&lt;mthend,EDATE(A67,1),"")</f>
        <v>38808</v>
      </c>
      <c r="B68" s="197" t="n">
        <f aca="false">IF(A68&lt;mthend,B67,"")</f>
        <v>36050</v>
      </c>
      <c r="C68" s="215"/>
      <c r="D68" s="197" t="n">
        <f aca="false">IF(A69&lt;&gt;"",B68+C68,"")</f>
        <v>36050</v>
      </c>
      <c r="E68" s="199" t="n">
        <f aca="false">IF(A69="","",IF(AND(AT68=1,$H$3=1),D68*AO68,IF($H$3=2,D68,"N/A")))</f>
        <v>1081500</v>
      </c>
      <c r="F68" s="199" t="n">
        <f aca="false">IF(A69="","",E68*AS68)</f>
        <v>7242717.94241941</v>
      </c>
      <c r="G68" s="200" t="e">
        <f aca="false">IF($A69="","",VLOOKUP($A68,Table,MATCH(G$4,Curves,0)))</f>
        <v>#N/A</v>
      </c>
      <c r="H68" s="201" t="e">
        <f aca="false">IF(A69="","",G68)</f>
        <v>#N/A</v>
      </c>
      <c r="I68" s="202"/>
      <c r="J68" s="200" t="e">
        <f aca="false">IF($A69="","",VLOOKUP($A68,Table,MATCH(J$4,Curves,0)))</f>
        <v>#N/A</v>
      </c>
      <c r="K68" s="201" t="e">
        <f aca="false">IF(A69="","",J68)</f>
        <v>#N/A</v>
      </c>
      <c r="L68" s="200" t="e">
        <f aca="false">IF($A69="","",VLOOKUP($A68,Table,MATCH(L$4,Curves,0)))</f>
        <v>#N/A</v>
      </c>
      <c r="M68" s="201" t="e">
        <f aca="false">IF(A69="","",L68)</f>
        <v>#N/A</v>
      </c>
      <c r="N68" s="203"/>
      <c r="O68" s="200" t="e">
        <f aca="false">IF(A69="","",L68+J68+G68)</f>
        <v>#N/A</v>
      </c>
      <c r="P68" s="200" t="e">
        <f aca="false">IF(A69="","",M68+K68+H68)</f>
        <v>#N/A</v>
      </c>
      <c r="Q68" s="204"/>
      <c r="R68" s="200" t="e">
        <f aca="false">IF($A69="","",VLOOKUP($A68,Table,MATCH(R$4,Curves,0)))</f>
        <v>#N/A</v>
      </c>
      <c r="S68" s="201" t="e">
        <f aca="false">IF(A69="","",R68)</f>
        <v>#N/A</v>
      </c>
      <c r="T68" s="200" t="e">
        <f aca="false">IF($A69="","",VLOOKUP($A68,Table,MATCH(T$4,Curves,0)))</f>
        <v>#N/A</v>
      </c>
      <c r="U68" s="201" t="e">
        <f aca="false">IF(A69="","",T68)</f>
        <v>#N/A</v>
      </c>
      <c r="V68" s="225" t="e">
        <f aca="false">IF($A69="","",IF(AND(MONTH(A68)&gt;3,MONTH(A68)&lt;11),(T68+R68+G68)*Summary!$T$9/(1-Summary!$T$9),(T68+R68+G68)*Summary!$U$9/(1-Summary!$U$9)))</f>
        <v>#N/A</v>
      </c>
      <c r="W68" s="200" t="e">
        <f aca="false">IF($A69="","",(T68+R68+G68+V68))</f>
        <v>#N/A</v>
      </c>
      <c r="X68" s="200" t="e">
        <f aca="false">IF($A69="","",(U68+S68+H68+V68))</f>
        <v>#N/A</v>
      </c>
      <c r="Y68" s="202"/>
      <c r="Z68" s="185" t="e">
        <f aca="false">IF($A69="","",VLOOKUP($A68,Table,MATCH(Z$4,Curves,0)))</f>
        <v>#N/A</v>
      </c>
      <c r="AA68" s="185" t="e">
        <f aca="false">IF($A69="","",VLOOKUP($A68,Table,MATCH(AA$4,Curves,0)))</f>
        <v>#N/A</v>
      </c>
      <c r="AB68" s="185" t="e">
        <f aca="false">SQRT((AA68^2*(A68-$D$3)+Z68^2*(DAY(EOMONTH(A68,0))/2))/AK68)</f>
        <v>#N/A</v>
      </c>
      <c r="AC68" s="185" t="e">
        <f aca="false">IF($A69="","",VLOOKUP($A68,Table,MATCH(AC$4,Curves,0)))</f>
        <v>#N/A</v>
      </c>
      <c r="AD68" s="185" t="e">
        <f aca="false">IF($A69="","",VLOOKUP($A68,Table,MATCH(AD$4,Curves,0)))</f>
        <v>#N/A</v>
      </c>
      <c r="AE68" s="185" t="e">
        <f aca="false">SQRT((AD68^2*(A68-$D$3)+AC68^2*(DAY(EOMONTH(A68,0))/2))/AK68)</f>
        <v>#N/A</v>
      </c>
      <c r="AF68" s="224" t="e">
        <f aca="false">((Summary!$N$9*(AA68*AD68)*(A68-$D$3))+(Summary!$M$9*Z68*AC68*(AJ68-EOMONTH(EDATE(A68,-1),0))))/(AK68*AB68*AE68)</f>
        <v>#N/A</v>
      </c>
      <c r="AG68" s="207" t="n">
        <f aca="false">IF($A69="","",Summary!$Q$9)</f>
        <v>0</v>
      </c>
      <c r="AH68" s="207" t="n">
        <f aca="false">IF($A69="","",IF(Summary!$R$9="Y",VLOOKUP($A68,Summary!$AD$6:$AF$9,3)+'Escalating commodity'!E81,'Escalating commodity'!E81))</f>
        <v>0.0707</v>
      </c>
      <c r="AI68" s="207" t="n">
        <f aca="false">IF($A69="","",AH68)</f>
        <v>0.0707</v>
      </c>
      <c r="AJ68" s="208" t="n">
        <f aca="false">A68+DAY(EOMONTH(A68,0))/2-1</f>
        <v>38822</v>
      </c>
      <c r="AK68" s="209" t="n">
        <f aca="false">IF($A69="","",$A68-$E$1)</f>
        <v>-7118</v>
      </c>
      <c r="AL68" s="182" t="e">
        <f aca="false">IF($A69="","",SPRDOPT(P68,X68,AI68,0,AB68,AE68,AF68,AK68,$AJ$2,0))</f>
        <v>#NAME?</v>
      </c>
      <c r="AM68" s="211" t="e">
        <f aca="false">IF($A69="","",MAX(0,O68-W68-AI68))</f>
        <v>#N/A</v>
      </c>
      <c r="AN68" s="211" t="e">
        <f aca="false">IF($A69="","",AL68-AM68)</f>
        <v>#N/A</v>
      </c>
      <c r="AO68" s="137" t="n">
        <f aca="false">IF(A69="","",A69-A68)</f>
        <v>30</v>
      </c>
      <c r="AP68" s="212" t="n">
        <f aca="false">IF(A69="","",CHOOSE(F$3,A69+24,A68))</f>
        <v>38808</v>
      </c>
      <c r="AQ68" s="209" t="n">
        <f aca="false">IF(A69="","",AP68-$E$1)</f>
        <v>-7118</v>
      </c>
      <c r="AR68" s="185" t="n">
        <f aca="false">'ANR OK vs ML7'!AR68</f>
        <v>0.1</v>
      </c>
      <c r="AS68" s="213" t="n">
        <f aca="false">IF(A69="","",1/(1+CHOOSE(F$3,(AR69+($I$3/10000))/2,(AR68+($I$3/10000))/2))^(2*AQ68/365.25))</f>
        <v>6.69691904060972</v>
      </c>
      <c r="AT68" s="137" t="n">
        <f aca="false">IF(A69="","",IF(AND(mthbeg&lt;=A68,mthend&gt;=A68),1,0))</f>
        <v>1</v>
      </c>
      <c r="AU68" s="137" t="n">
        <f aca="false">IF(A69="","",AO68*AT68)</f>
        <v>30</v>
      </c>
      <c r="AW68" s="195" t="e">
        <f aca="false">IF($A69="","",AL68*$E68)</f>
        <v>#NAME?</v>
      </c>
      <c r="AX68" s="195" t="e">
        <f aca="false">IF($A69="","",AM68*$E68)</f>
        <v>#N/A</v>
      </c>
      <c r="AY68" s="195" t="e">
        <f aca="false">IF($A69="","",AN68*$E68)</f>
        <v>#N/A</v>
      </c>
      <c r="BA68" s="195" t="n">
        <f aca="false">IF($A69="","",F68*Summary!$Q$9)</f>
        <v>0</v>
      </c>
      <c r="BC68" s="179" t="e">
        <f aca="false">IF(A69="","",AM68*F68)</f>
        <v>#N/A</v>
      </c>
    </row>
    <row r="69" customFormat="false" ht="12.75" hidden="false" customHeight="false" outlineLevel="0" collapsed="false">
      <c r="A69" s="196" t="n">
        <f aca="false">IF(A68&lt;mthend,EDATE(A68,1),"")</f>
        <v>38838</v>
      </c>
      <c r="B69" s="197" t="n">
        <f aca="false">IF(A69&lt;mthend,B68,"")</f>
        <v>36050</v>
      </c>
      <c r="C69" s="215"/>
      <c r="D69" s="197" t="n">
        <f aca="false">IF(A70&lt;&gt;"",B69+C69,"")</f>
        <v>36050</v>
      </c>
      <c r="E69" s="199" t="n">
        <f aca="false">IF(A70="","",IF(AND(AT69=1,$H$3=1),D69*AO69,IF($H$3=2,D69,"N/A")))</f>
        <v>1117550</v>
      </c>
      <c r="F69" s="199" t="n">
        <f aca="false">IF(A70="","",E69*AS69)</f>
        <v>7424397.62775193</v>
      </c>
      <c r="G69" s="200" t="e">
        <f aca="false">IF($A70="","",VLOOKUP($A69,Table,MATCH(G$4,Curves,0)))</f>
        <v>#N/A</v>
      </c>
      <c r="H69" s="201" t="e">
        <f aca="false">IF(A70="","",G69)</f>
        <v>#N/A</v>
      </c>
      <c r="I69" s="202"/>
      <c r="J69" s="200" t="e">
        <f aca="false">IF($A70="","",VLOOKUP($A69,Table,MATCH(J$4,Curves,0)))</f>
        <v>#N/A</v>
      </c>
      <c r="K69" s="201" t="e">
        <f aca="false">IF(A70="","",J69)</f>
        <v>#N/A</v>
      </c>
      <c r="L69" s="200" t="e">
        <f aca="false">IF($A70="","",VLOOKUP($A69,Table,MATCH(L$4,Curves,0)))</f>
        <v>#N/A</v>
      </c>
      <c r="M69" s="201" t="e">
        <f aca="false">IF(A70="","",L69)</f>
        <v>#N/A</v>
      </c>
      <c r="N69" s="203"/>
      <c r="O69" s="200" t="e">
        <f aca="false">IF(A70="","",L69+J69+G69)</f>
        <v>#N/A</v>
      </c>
      <c r="P69" s="200" t="e">
        <f aca="false">IF(A70="","",M69+K69+H69)</f>
        <v>#N/A</v>
      </c>
      <c r="Q69" s="204"/>
      <c r="R69" s="200" t="e">
        <f aca="false">IF($A70="","",VLOOKUP($A69,Table,MATCH(R$4,Curves,0)))</f>
        <v>#N/A</v>
      </c>
      <c r="S69" s="201" t="e">
        <f aca="false">IF(A70="","",R69)</f>
        <v>#N/A</v>
      </c>
      <c r="T69" s="200" t="e">
        <f aca="false">IF($A70="","",VLOOKUP($A69,Table,MATCH(T$4,Curves,0)))</f>
        <v>#N/A</v>
      </c>
      <c r="U69" s="201" t="e">
        <f aca="false">IF(A70="","",T69)</f>
        <v>#N/A</v>
      </c>
      <c r="V69" s="225" t="e">
        <f aca="false">IF($A70="","",IF(AND(MONTH(A69)&gt;3,MONTH(A69)&lt;11),(T69+R69+G69)*Summary!$T$9/(1-Summary!$T$9),(T69+R69+G69)*Summary!$U$9/(1-Summary!$U$9)))</f>
        <v>#N/A</v>
      </c>
      <c r="W69" s="200" t="e">
        <f aca="false">IF($A70="","",(T69+R69+G69+V69))</f>
        <v>#N/A</v>
      </c>
      <c r="X69" s="200" t="e">
        <f aca="false">IF($A70="","",(U69+S69+H69+V69))</f>
        <v>#N/A</v>
      </c>
      <c r="Y69" s="202"/>
      <c r="Z69" s="185" t="e">
        <f aca="false">IF($A70="","",VLOOKUP($A69,Table,MATCH(Z$4,Curves,0)))</f>
        <v>#N/A</v>
      </c>
      <c r="AA69" s="185" t="e">
        <f aca="false">IF($A70="","",VLOOKUP($A69,Table,MATCH(AA$4,Curves,0)))</f>
        <v>#N/A</v>
      </c>
      <c r="AB69" s="185" t="e">
        <f aca="false">SQRT((AA69^2*(A69-$D$3)+Z69^2*(DAY(EOMONTH(A69,0))/2))/AK69)</f>
        <v>#N/A</v>
      </c>
      <c r="AC69" s="185" t="e">
        <f aca="false">IF($A70="","",VLOOKUP($A69,Table,MATCH(AC$4,Curves,0)))</f>
        <v>#N/A</v>
      </c>
      <c r="AD69" s="185" t="e">
        <f aca="false">IF($A70="","",VLOOKUP($A69,Table,MATCH(AD$4,Curves,0)))</f>
        <v>#N/A</v>
      </c>
      <c r="AE69" s="185" t="e">
        <f aca="false">SQRT((AD69^2*(A69-$D$3)+AC69^2*(DAY(EOMONTH(A69,0))/2))/AK69)</f>
        <v>#N/A</v>
      </c>
      <c r="AF69" s="224" t="e">
        <f aca="false">((Summary!$N$9*(AA69*AD69)*(A69-$D$3))+(Summary!$M$9*Z69*AC69*(AJ69-EOMONTH(EDATE(A69,-1),0))))/(AK69*AB69*AE69)</f>
        <v>#N/A</v>
      </c>
      <c r="AG69" s="207" t="n">
        <f aca="false">IF($A70="","",Summary!$Q$9)</f>
        <v>0</v>
      </c>
      <c r="AH69" s="207" t="n">
        <f aca="false">IF($A70="","",IF(Summary!$R$9="Y",VLOOKUP($A69,Summary!$AD$6:$AF$9,3)+'Escalating commodity'!E82,'Escalating commodity'!E82))</f>
        <v>0.0707</v>
      </c>
      <c r="AI69" s="207" t="n">
        <f aca="false">IF($A70="","",AH69)</f>
        <v>0.0707</v>
      </c>
      <c r="AJ69" s="208" t="n">
        <f aca="false">A69+DAY(EOMONTH(A69,0))/2-1</f>
        <v>38852.5</v>
      </c>
      <c r="AK69" s="209" t="n">
        <f aca="false">IF($A70="","",$A69-$E$1)</f>
        <v>-7088</v>
      </c>
      <c r="AL69" s="182" t="e">
        <f aca="false">IF($A70="","",SPRDOPT(P69,X69,AI69,0,AB69,AE69,AF69,AK69,$AJ$2,0))</f>
        <v>#NAME?</v>
      </c>
      <c r="AM69" s="211" t="e">
        <f aca="false">IF($A70="","",MAX(0,O69-W69-AI69))</f>
        <v>#N/A</v>
      </c>
      <c r="AN69" s="211" t="e">
        <f aca="false">IF($A70="","",AL69-AM69)</f>
        <v>#N/A</v>
      </c>
      <c r="AO69" s="137" t="n">
        <f aca="false">IF(A70="","",A70-A69)</f>
        <v>31</v>
      </c>
      <c r="AP69" s="212" t="n">
        <f aca="false">IF(A70="","",CHOOSE(F$3,A70+24,A69))</f>
        <v>38838</v>
      </c>
      <c r="AQ69" s="209" t="n">
        <f aca="false">IF(A70="","",AP69-$E$1)</f>
        <v>-7088</v>
      </c>
      <c r="AR69" s="185" t="n">
        <f aca="false">'ANR OK vs ML7'!AR69</f>
        <v>0.1</v>
      </c>
      <c r="AS69" s="213" t="n">
        <f aca="false">IF(A70="","",1/(1+CHOOSE(F$3,(AR70+($I$3/10000))/2,(AR69+($I$3/10000))/2))^(2*AQ69/365.25))</f>
        <v>6.64345901995609</v>
      </c>
      <c r="AT69" s="137" t="n">
        <f aca="false">IF(A70="","",IF(AND(mthbeg&lt;=A69,mthend&gt;=A69),1,0))</f>
        <v>1</v>
      </c>
      <c r="AU69" s="137" t="n">
        <f aca="false">IF(A70="","",AO69*AT69)</f>
        <v>31</v>
      </c>
      <c r="AW69" s="195" t="e">
        <f aca="false">IF($A70="","",AL69*$E69)</f>
        <v>#NAME?</v>
      </c>
      <c r="AX69" s="195" t="e">
        <f aca="false">IF($A70="","",AM69*$E69)</f>
        <v>#N/A</v>
      </c>
      <c r="AY69" s="195" t="e">
        <f aca="false">IF($A70="","",AN69*$E69)</f>
        <v>#N/A</v>
      </c>
      <c r="BA69" s="195" t="n">
        <f aca="false">IF($A70="","",F69*Summary!$Q$9)</f>
        <v>0</v>
      </c>
      <c r="BC69" s="179" t="e">
        <f aca="false">IF(A70="","",AM69*F69)</f>
        <v>#N/A</v>
      </c>
    </row>
    <row r="70" customFormat="false" ht="12.75" hidden="false" customHeight="false" outlineLevel="0" collapsed="false">
      <c r="A70" s="196" t="n">
        <f aca="false">IF(A69&lt;mthend,EDATE(A69,1),"")</f>
        <v>38869</v>
      </c>
      <c r="B70" s="197" t="n">
        <f aca="false">IF(A70&lt;mthend,B69,"")</f>
        <v>36050</v>
      </c>
      <c r="C70" s="215"/>
      <c r="D70" s="197" t="n">
        <f aca="false">IF(A71&lt;&gt;"",B70+C70,"")</f>
        <v>36050</v>
      </c>
      <c r="E70" s="199" t="n">
        <f aca="false">IF(A71="","",IF(AND(AT70=1,$H$3=1),D70*AO70,IF($H$3=2,D70,"N/A")))</f>
        <v>1081500</v>
      </c>
      <c r="F70" s="199" t="n">
        <f aca="false">IF(A71="","",E70*AS70)</f>
        <v>7125641.51473904</v>
      </c>
      <c r="G70" s="200" t="e">
        <f aca="false">IF($A71="","",VLOOKUP($A70,Table,MATCH(G$4,Curves,0)))</f>
        <v>#N/A</v>
      </c>
      <c r="H70" s="201" t="e">
        <f aca="false">IF(A71="","",G70)</f>
        <v>#N/A</v>
      </c>
      <c r="I70" s="202"/>
      <c r="J70" s="200" t="e">
        <f aca="false">IF($A71="","",VLOOKUP($A70,Table,MATCH(J$4,Curves,0)))</f>
        <v>#N/A</v>
      </c>
      <c r="K70" s="201" t="e">
        <f aca="false">IF(A71="","",J70)</f>
        <v>#N/A</v>
      </c>
      <c r="L70" s="200" t="e">
        <f aca="false">IF($A71="","",VLOOKUP($A70,Table,MATCH(L$4,Curves,0)))</f>
        <v>#N/A</v>
      </c>
      <c r="M70" s="201" t="e">
        <f aca="false">IF(A71="","",L70)</f>
        <v>#N/A</v>
      </c>
      <c r="N70" s="203"/>
      <c r="O70" s="200" t="e">
        <f aca="false">IF(A71="","",L70+J70+G70)</f>
        <v>#N/A</v>
      </c>
      <c r="P70" s="200" t="e">
        <f aca="false">IF(A71="","",M70+K70+H70)</f>
        <v>#N/A</v>
      </c>
      <c r="Q70" s="204"/>
      <c r="R70" s="200" t="e">
        <f aca="false">IF($A71="","",VLOOKUP($A70,Table,MATCH(R$4,Curves,0)))</f>
        <v>#N/A</v>
      </c>
      <c r="S70" s="201" t="e">
        <f aca="false">IF(A71="","",R70)</f>
        <v>#N/A</v>
      </c>
      <c r="T70" s="200" t="e">
        <f aca="false">IF($A71="","",VLOOKUP($A70,Table,MATCH(T$4,Curves,0)))</f>
        <v>#N/A</v>
      </c>
      <c r="U70" s="201" t="e">
        <f aca="false">IF(A71="","",T70)</f>
        <v>#N/A</v>
      </c>
      <c r="V70" s="225" t="e">
        <f aca="false">IF($A71="","",IF(AND(MONTH(A70)&gt;3,MONTH(A70)&lt;11),(T70+R70+G70)*Summary!$T$9/(1-Summary!$T$9),(T70+R70+G70)*Summary!$U$9/(1-Summary!$U$9)))</f>
        <v>#N/A</v>
      </c>
      <c r="W70" s="200" t="e">
        <f aca="false">IF($A71="","",(T70+R70+G70+V70))</f>
        <v>#N/A</v>
      </c>
      <c r="X70" s="200" t="e">
        <f aca="false">IF($A71="","",(U70+S70+H70+V70))</f>
        <v>#N/A</v>
      </c>
      <c r="Y70" s="202"/>
      <c r="Z70" s="185" t="e">
        <f aca="false">IF($A71="","",VLOOKUP($A70,Table,MATCH(Z$4,Curves,0)))</f>
        <v>#N/A</v>
      </c>
      <c r="AA70" s="185" t="e">
        <f aca="false">IF($A71="","",VLOOKUP($A70,Table,MATCH(AA$4,Curves,0)))</f>
        <v>#N/A</v>
      </c>
      <c r="AB70" s="185" t="e">
        <f aca="false">SQRT((AA70^2*(A70-$D$3)+Z70^2*(DAY(EOMONTH(A70,0))/2))/AK70)</f>
        <v>#N/A</v>
      </c>
      <c r="AC70" s="185" t="e">
        <f aca="false">IF($A71="","",VLOOKUP($A70,Table,MATCH(AC$4,Curves,0)))</f>
        <v>#N/A</v>
      </c>
      <c r="AD70" s="185" t="e">
        <f aca="false">IF($A71="","",VLOOKUP($A70,Table,MATCH(AD$4,Curves,0)))</f>
        <v>#N/A</v>
      </c>
      <c r="AE70" s="185" t="e">
        <f aca="false">SQRT((AD70^2*(A70-$D$3)+AC70^2*(DAY(EOMONTH(A70,0))/2))/AK70)</f>
        <v>#N/A</v>
      </c>
      <c r="AF70" s="224" t="e">
        <f aca="false">((Summary!$N$9*(AA70*AD70)*(A70-$D$3))+(Summary!$M$9*Z70*AC70*(AJ70-EOMONTH(EDATE(A70,-1),0))))/(AK70*AB70*AE70)</f>
        <v>#N/A</v>
      </c>
      <c r="AG70" s="207" t="n">
        <f aca="false">IF($A71="","",Summary!$Q$9)</f>
        <v>0</v>
      </c>
      <c r="AH70" s="207" t="n">
        <f aca="false">IF($A71="","",IF(Summary!$R$9="Y",VLOOKUP($A70,Summary!$AD$6:$AF$9,3)+'Escalating commodity'!E83,'Escalating commodity'!E83))</f>
        <v>0.0707</v>
      </c>
      <c r="AI70" s="207" t="n">
        <f aca="false">IF($A71="","",AH70)</f>
        <v>0.0707</v>
      </c>
      <c r="AJ70" s="208" t="n">
        <f aca="false">A70+DAY(EOMONTH(A70,0))/2-1</f>
        <v>38883</v>
      </c>
      <c r="AK70" s="209" t="n">
        <f aca="false">IF($A71="","",$A70-$E$1)</f>
        <v>-7057</v>
      </c>
      <c r="AL70" s="182" t="e">
        <f aca="false">IF($A71="","",SPRDOPT(P70,X70,AI70,0,AB70,AE70,AF70,AK70,$AJ$2,0))</f>
        <v>#NAME?</v>
      </c>
      <c r="AM70" s="211" t="e">
        <f aca="false">IF($A71="","",MAX(0,O70-W70-AI70))</f>
        <v>#N/A</v>
      </c>
      <c r="AN70" s="211" t="e">
        <f aca="false">IF($A71="","",AL70-AM70)</f>
        <v>#N/A</v>
      </c>
      <c r="AO70" s="137" t="n">
        <f aca="false">IF(A71="","",A71-A70)</f>
        <v>30</v>
      </c>
      <c r="AP70" s="212" t="n">
        <f aca="false">IF(A71="","",CHOOSE(F$3,A71+24,A70))</f>
        <v>38869</v>
      </c>
      <c r="AQ70" s="209" t="n">
        <f aca="false">IF(A71="","",AP70-$E$1)</f>
        <v>-7057</v>
      </c>
      <c r="AR70" s="185" t="n">
        <f aca="false">'ANR OK vs ML7'!AR70</f>
        <v>0.1</v>
      </c>
      <c r="AS70" s="213" t="n">
        <f aca="false">IF(A71="","",1/(1+CHOOSE(F$3,(AR71+($I$3/10000))/2,(AR70+($I$3/10000))/2))^(2*AQ70/365.25))</f>
        <v>6.58866529333244</v>
      </c>
      <c r="AT70" s="137" t="n">
        <f aca="false">IF(A71="","",IF(AND(mthbeg&lt;=A70,mthend&gt;=A70),1,0))</f>
        <v>1</v>
      </c>
      <c r="AU70" s="137" t="n">
        <f aca="false">IF(A71="","",AO70*AT70)</f>
        <v>30</v>
      </c>
      <c r="AW70" s="195" t="e">
        <f aca="false">IF($A71="","",AL70*$E70)</f>
        <v>#NAME?</v>
      </c>
      <c r="AX70" s="195" t="e">
        <f aca="false">IF($A71="","",AM70*$E70)</f>
        <v>#N/A</v>
      </c>
      <c r="AY70" s="195" t="e">
        <f aca="false">IF($A71="","",AN70*$E70)</f>
        <v>#N/A</v>
      </c>
      <c r="BA70" s="195" t="n">
        <f aca="false">IF($A71="","",F70*Summary!$Q$9)</f>
        <v>0</v>
      </c>
      <c r="BC70" s="179" t="e">
        <f aca="false">IF(A71="","",AM70*F70)</f>
        <v>#N/A</v>
      </c>
    </row>
    <row r="71" customFormat="false" ht="12.75" hidden="false" customHeight="false" outlineLevel="0" collapsed="false">
      <c r="A71" s="196" t="n">
        <f aca="false">IF(A70&lt;mthend,EDATE(A70,1),"")</f>
        <v>38899</v>
      </c>
      <c r="B71" s="197" t="n">
        <f aca="false">IF(A71&lt;mthend,B70,"")</f>
        <v>36050</v>
      </c>
      <c r="C71" s="215"/>
      <c r="D71" s="197" t="n">
        <f aca="false">IF(A72&lt;&gt;"",B71+C71,"")</f>
        <v>36050</v>
      </c>
      <c r="E71" s="199" t="n">
        <f aca="false">IF(A72="","",IF(AND(AT71=1,$H$3=1),D71*AO71,IF($H$3=2,D71,"N/A")))</f>
        <v>1117550</v>
      </c>
      <c r="F71" s="199" t="n">
        <f aca="false">IF(A72="","",E71*AS71)</f>
        <v>7304384.40083266</v>
      </c>
      <c r="G71" s="200" t="e">
        <f aca="false">IF($A72="","",VLOOKUP($A71,Table,MATCH(G$4,Curves,0)))</f>
        <v>#N/A</v>
      </c>
      <c r="H71" s="201" t="e">
        <f aca="false">IF(A72="","",G71)</f>
        <v>#N/A</v>
      </c>
      <c r="I71" s="202"/>
      <c r="J71" s="200" t="e">
        <f aca="false">IF($A72="","",VLOOKUP($A71,Table,MATCH(J$4,Curves,0)))</f>
        <v>#N/A</v>
      </c>
      <c r="K71" s="201" t="e">
        <f aca="false">IF(A72="","",J71)</f>
        <v>#N/A</v>
      </c>
      <c r="L71" s="200" t="e">
        <f aca="false">IF($A72="","",VLOOKUP($A71,Table,MATCH(L$4,Curves,0)))</f>
        <v>#N/A</v>
      </c>
      <c r="M71" s="201" t="e">
        <f aca="false">IF(A72="","",L71)</f>
        <v>#N/A</v>
      </c>
      <c r="N71" s="203"/>
      <c r="O71" s="200" t="e">
        <f aca="false">IF(A72="","",L71+J71+G71)</f>
        <v>#N/A</v>
      </c>
      <c r="P71" s="200" t="e">
        <f aca="false">IF(A72="","",M71+K71+H71)</f>
        <v>#N/A</v>
      </c>
      <c r="Q71" s="204"/>
      <c r="R71" s="200" t="e">
        <f aca="false">IF($A72="","",VLOOKUP($A71,Table,MATCH(R$4,Curves,0)))</f>
        <v>#N/A</v>
      </c>
      <c r="S71" s="201" t="e">
        <f aca="false">IF(A72="","",R71)</f>
        <v>#N/A</v>
      </c>
      <c r="T71" s="200" t="e">
        <f aca="false">IF($A72="","",VLOOKUP($A71,Table,MATCH(T$4,Curves,0)))</f>
        <v>#N/A</v>
      </c>
      <c r="U71" s="201" t="e">
        <f aca="false">IF(A72="","",T71)</f>
        <v>#N/A</v>
      </c>
      <c r="V71" s="225" t="e">
        <f aca="false">IF($A72="","",IF(AND(MONTH(A71)&gt;3,MONTH(A71)&lt;11),(T71+R71+G71)*Summary!$T$9/(1-Summary!$T$9),(T71+R71+G71)*Summary!$U$9/(1-Summary!$U$9)))</f>
        <v>#N/A</v>
      </c>
      <c r="W71" s="200" t="e">
        <f aca="false">IF($A72="","",(T71+R71+G71+V71))</f>
        <v>#N/A</v>
      </c>
      <c r="X71" s="200" t="e">
        <f aca="false">IF($A72="","",(U71+S71+H71+V71))</f>
        <v>#N/A</v>
      </c>
      <c r="Y71" s="202"/>
      <c r="Z71" s="185" t="e">
        <f aca="false">IF($A72="","",VLOOKUP($A71,Table,MATCH(Z$4,Curves,0)))</f>
        <v>#N/A</v>
      </c>
      <c r="AA71" s="185" t="e">
        <f aca="false">IF($A72="","",VLOOKUP($A71,Table,MATCH(AA$4,Curves,0)))</f>
        <v>#N/A</v>
      </c>
      <c r="AB71" s="185" t="e">
        <f aca="false">SQRT((AA71^2*(A71-$D$3)+Z71^2*(DAY(EOMONTH(A71,0))/2))/AK71)</f>
        <v>#N/A</v>
      </c>
      <c r="AC71" s="185" t="e">
        <f aca="false">IF($A72="","",VLOOKUP($A71,Table,MATCH(AC$4,Curves,0)))</f>
        <v>#N/A</v>
      </c>
      <c r="AD71" s="185" t="e">
        <f aca="false">IF($A72="","",VLOOKUP($A71,Table,MATCH(AD$4,Curves,0)))</f>
        <v>#N/A</v>
      </c>
      <c r="AE71" s="185" t="e">
        <f aca="false">SQRT((AD71^2*(A71-$D$3)+AC71^2*(DAY(EOMONTH(A71,0))/2))/AK71)</f>
        <v>#N/A</v>
      </c>
      <c r="AF71" s="224" t="e">
        <f aca="false">((Summary!$N$9*(AA71*AD71)*(A71-$D$3))+(Summary!$M$9*Z71*AC71*(AJ71-EOMONTH(EDATE(A71,-1),0))))/(AK71*AB71*AE71)</f>
        <v>#N/A</v>
      </c>
      <c r="AG71" s="207" t="n">
        <f aca="false">IF($A72="","",Summary!$Q$9)</f>
        <v>0</v>
      </c>
      <c r="AH71" s="207" t="n">
        <f aca="false">IF($A72="","",IF(Summary!$R$9="Y",VLOOKUP($A71,Summary!$AD$6:$AF$9,3)+'Escalating commodity'!E84,'Escalating commodity'!E84))</f>
        <v>0.0707</v>
      </c>
      <c r="AI71" s="207" t="n">
        <f aca="false">IF($A72="","",AH71)</f>
        <v>0.0707</v>
      </c>
      <c r="AJ71" s="208" t="n">
        <f aca="false">A71+DAY(EOMONTH(A71,0))/2-1</f>
        <v>38913.5</v>
      </c>
      <c r="AK71" s="209" t="n">
        <f aca="false">IF($A72="","",$A71-$E$1)</f>
        <v>-7027</v>
      </c>
      <c r="AL71" s="182" t="e">
        <f aca="false">IF($A72="","",SPRDOPT(P71,X71,AI71,0,AB71,AE71,AF71,AK71,$AJ$2,0))</f>
        <v>#NAME?</v>
      </c>
      <c r="AM71" s="211" t="e">
        <f aca="false">IF($A72="","",MAX(0,O71-W71-AI71))</f>
        <v>#N/A</v>
      </c>
      <c r="AN71" s="211" t="e">
        <f aca="false">IF($A72="","",AL71-AM71)</f>
        <v>#N/A</v>
      </c>
      <c r="AO71" s="137" t="n">
        <f aca="false">IF(A72="","",A72-A71)</f>
        <v>31</v>
      </c>
      <c r="AP71" s="212" t="n">
        <f aca="false">IF(A72="","",CHOOSE(F$3,A72+24,A71))</f>
        <v>38899</v>
      </c>
      <c r="AQ71" s="209" t="n">
        <f aca="false">IF(A72="","",AP71-$E$1)</f>
        <v>-7027</v>
      </c>
      <c r="AR71" s="185" t="n">
        <f aca="false">'ANR OK vs ML7'!AR71</f>
        <v>0.1</v>
      </c>
      <c r="AS71" s="213" t="n">
        <f aca="false">IF(A72="","",1/(1+CHOOSE(F$3,(AR72+($I$3/10000))/2,(AR71+($I$3/10000))/2))^(2*AQ71/365.25))</f>
        <v>6.53606943835413</v>
      </c>
      <c r="AT71" s="137" t="n">
        <f aca="false">IF(A72="","",IF(AND(mthbeg&lt;=A71,mthend&gt;=A71),1,0))</f>
        <v>1</v>
      </c>
      <c r="AU71" s="137" t="n">
        <f aca="false">IF(A72="","",AO71*AT71)</f>
        <v>31</v>
      </c>
      <c r="AW71" s="195" t="e">
        <f aca="false">IF($A72="","",AL71*$E71)</f>
        <v>#NAME?</v>
      </c>
      <c r="AX71" s="195" t="e">
        <f aca="false">IF($A72="","",AM71*$E71)</f>
        <v>#N/A</v>
      </c>
      <c r="AY71" s="195" t="e">
        <f aca="false">IF($A72="","",AN71*$E71)</f>
        <v>#N/A</v>
      </c>
      <c r="BA71" s="195" t="n">
        <f aca="false">IF($A72="","",F71*Summary!$Q$9)</f>
        <v>0</v>
      </c>
      <c r="BC71" s="179" t="e">
        <f aca="false">IF(A72="","",AM71*F71)</f>
        <v>#N/A</v>
      </c>
    </row>
    <row r="72" customFormat="false" ht="12.75" hidden="false" customHeight="false" outlineLevel="0" collapsed="false">
      <c r="A72" s="196" t="n">
        <f aca="false">IF(A71&lt;mthend,EDATE(A71,1),"")</f>
        <v>38930</v>
      </c>
      <c r="B72" s="197" t="n">
        <f aca="false">IF(A72&lt;mthend,B71,"")</f>
        <v>36050</v>
      </c>
      <c r="C72" s="215"/>
      <c r="D72" s="197" t="n">
        <f aca="false">IF(A73&lt;&gt;"",B72+C72,"")</f>
        <v>36050</v>
      </c>
      <c r="E72" s="199" t="n">
        <f aca="false">IF(A73="","",IF(AND(AT72=1,$H$3=1),D72*AO72,IF($H$3=2,D72,"N/A")))</f>
        <v>1117550</v>
      </c>
      <c r="F72" s="199" t="n">
        <f aca="false">IF(A73="","",E72*AS72)</f>
        <v>7244139.51322049</v>
      </c>
      <c r="G72" s="200" t="e">
        <f aca="false">IF($A73="","",VLOOKUP($A72,Table,MATCH(G$4,Curves,0)))</f>
        <v>#N/A</v>
      </c>
      <c r="H72" s="201" t="e">
        <f aca="false">IF(A73="","",G72)</f>
        <v>#N/A</v>
      </c>
      <c r="I72" s="202"/>
      <c r="J72" s="200" t="e">
        <f aca="false">IF($A73="","",VLOOKUP($A72,Table,MATCH(J$4,Curves,0)))</f>
        <v>#N/A</v>
      </c>
      <c r="K72" s="201" t="e">
        <f aca="false">IF(A73="","",J72)</f>
        <v>#N/A</v>
      </c>
      <c r="L72" s="200" t="e">
        <f aca="false">IF($A73="","",VLOOKUP($A72,Table,MATCH(L$4,Curves,0)))</f>
        <v>#N/A</v>
      </c>
      <c r="M72" s="201" t="e">
        <f aca="false">IF(A73="","",L72)</f>
        <v>#N/A</v>
      </c>
      <c r="N72" s="203"/>
      <c r="O72" s="200" t="e">
        <f aca="false">IF(A73="","",L72+J72+G72)</f>
        <v>#N/A</v>
      </c>
      <c r="P72" s="200" t="e">
        <f aca="false">IF(A73="","",M72+K72+H72)</f>
        <v>#N/A</v>
      </c>
      <c r="Q72" s="204"/>
      <c r="R72" s="200" t="e">
        <f aca="false">IF($A73="","",VLOOKUP($A72,Table,MATCH(R$4,Curves,0)))</f>
        <v>#N/A</v>
      </c>
      <c r="S72" s="201" t="e">
        <f aca="false">IF(A73="","",R72)</f>
        <v>#N/A</v>
      </c>
      <c r="T72" s="200" t="e">
        <f aca="false">IF($A73="","",VLOOKUP($A72,Table,MATCH(T$4,Curves,0)))</f>
        <v>#N/A</v>
      </c>
      <c r="U72" s="201" t="e">
        <f aca="false">IF(A73="","",T72)</f>
        <v>#N/A</v>
      </c>
      <c r="V72" s="225" t="e">
        <f aca="false">IF($A73="","",IF(AND(MONTH(A72)&gt;3,MONTH(A72)&lt;11),(T72+R72+G72)*Summary!$T$9/(1-Summary!$T$9),(T72+R72+G72)*Summary!$U$9/(1-Summary!$U$9)))</f>
        <v>#N/A</v>
      </c>
      <c r="W72" s="200" t="e">
        <f aca="false">IF($A73="","",(T72+R72+G72+V72))</f>
        <v>#N/A</v>
      </c>
      <c r="X72" s="200" t="e">
        <f aca="false">IF($A73="","",(U72+S72+H72+V72))</f>
        <v>#N/A</v>
      </c>
      <c r="Y72" s="202"/>
      <c r="Z72" s="185" t="e">
        <f aca="false">IF($A73="","",VLOOKUP($A72,Table,MATCH(Z$4,Curves,0)))</f>
        <v>#N/A</v>
      </c>
      <c r="AA72" s="185" t="e">
        <f aca="false">IF($A73="","",VLOOKUP($A72,Table,MATCH(AA$4,Curves,0)))</f>
        <v>#N/A</v>
      </c>
      <c r="AB72" s="185" t="e">
        <f aca="false">SQRT((AA72^2*(A72-$D$3)+Z72^2*(DAY(EOMONTH(A72,0))/2))/AK72)</f>
        <v>#N/A</v>
      </c>
      <c r="AC72" s="185" t="e">
        <f aca="false">IF($A73="","",VLOOKUP($A72,Table,MATCH(AC$4,Curves,0)))</f>
        <v>#N/A</v>
      </c>
      <c r="AD72" s="185" t="e">
        <f aca="false">IF($A73="","",VLOOKUP($A72,Table,MATCH(AD$4,Curves,0)))</f>
        <v>#N/A</v>
      </c>
      <c r="AE72" s="185" t="e">
        <f aca="false">SQRT((AD72^2*(A72-$D$3)+AC72^2*(DAY(EOMONTH(A72,0))/2))/AK72)</f>
        <v>#N/A</v>
      </c>
      <c r="AF72" s="224" t="e">
        <f aca="false">((Summary!$N$9*(AA72*AD72)*(A72-$D$3))+(Summary!$M$9*Z72*AC72*(AJ72-EOMONTH(EDATE(A72,-1),0))))/(AK72*AB72*AE72)</f>
        <v>#N/A</v>
      </c>
      <c r="AG72" s="207" t="n">
        <f aca="false">IF($A73="","",Summary!$Q$9)</f>
        <v>0</v>
      </c>
      <c r="AH72" s="207" t="n">
        <f aca="false">IF($A73="","",IF(Summary!$R$9="Y",VLOOKUP($A72,Summary!$AD$6:$AF$9,3)+'Escalating commodity'!E85,'Escalating commodity'!E85))</f>
        <v>0.0707</v>
      </c>
      <c r="AI72" s="207" t="n">
        <f aca="false">IF($A73="","",AH72)</f>
        <v>0.0707</v>
      </c>
      <c r="AJ72" s="208" t="n">
        <f aca="false">A72+DAY(EOMONTH(A72,0))/2-1</f>
        <v>38944.5</v>
      </c>
      <c r="AK72" s="209" t="n">
        <f aca="false">IF($A73="","",$A72-$E$1)</f>
        <v>-6996</v>
      </c>
      <c r="AL72" s="182" t="e">
        <f aca="false">IF($A73="","",SPRDOPT(P72,X72,AI72,0,AB72,AE72,AF72,AK72,$AJ$2,0))</f>
        <v>#NAME?</v>
      </c>
      <c r="AM72" s="211" t="e">
        <f aca="false">IF($A73="","",MAX(0,O72-W72-AI72))</f>
        <v>#N/A</v>
      </c>
      <c r="AN72" s="211" t="e">
        <f aca="false">IF($A73="","",AL72-AM72)</f>
        <v>#N/A</v>
      </c>
      <c r="AO72" s="137" t="n">
        <f aca="false">IF(A73="","",A73-A72)</f>
        <v>31</v>
      </c>
      <c r="AP72" s="212" t="n">
        <f aca="false">IF(A73="","",CHOOSE(F$3,A73+24,A72))</f>
        <v>38930</v>
      </c>
      <c r="AQ72" s="209" t="n">
        <f aca="false">IF(A73="","",AP72-$E$1)</f>
        <v>-6996</v>
      </c>
      <c r="AR72" s="185" t="n">
        <f aca="false">'ANR OK vs ML7'!AR72</f>
        <v>0.1</v>
      </c>
      <c r="AS72" s="213" t="n">
        <f aca="false">IF(A73="","",1/(1+CHOOSE(F$3,(AR73+($I$3/10000))/2,(AR72+($I$3/10000))/2))^(2*AQ72/365.25))</f>
        <v>6.48216143637465</v>
      </c>
      <c r="AT72" s="137" t="n">
        <f aca="false">IF(A73="","",IF(AND(mthbeg&lt;=A72,mthend&gt;=A72),1,0))</f>
        <v>1</v>
      </c>
      <c r="AU72" s="137" t="n">
        <f aca="false">IF(A73="","",AO72*AT72)</f>
        <v>31</v>
      </c>
      <c r="AW72" s="195" t="e">
        <f aca="false">IF($A73="","",AL72*$E72)</f>
        <v>#NAME?</v>
      </c>
      <c r="AX72" s="195" t="e">
        <f aca="false">IF($A73="","",AM72*$E72)</f>
        <v>#N/A</v>
      </c>
      <c r="AY72" s="195" t="e">
        <f aca="false">IF($A73="","",AN72*$E72)</f>
        <v>#N/A</v>
      </c>
      <c r="BA72" s="195" t="n">
        <f aca="false">IF($A73="","",F72*Summary!$Q$9)</f>
        <v>0</v>
      </c>
      <c r="BC72" s="179" t="e">
        <f aca="false">IF(A73="","",AM72*F72)</f>
        <v>#N/A</v>
      </c>
    </row>
    <row r="73" customFormat="false" ht="12.75" hidden="false" customHeight="false" outlineLevel="0" collapsed="false">
      <c r="A73" s="196" t="n">
        <f aca="false">IF(A72&lt;mthend,EDATE(A72,1),"")</f>
        <v>38961</v>
      </c>
      <c r="B73" s="197" t="n">
        <f aca="false">IF(A73&lt;mthend,B72,"")</f>
        <v>36050</v>
      </c>
      <c r="C73" s="215"/>
      <c r="D73" s="197" t="n">
        <f aca="false">IF(A74&lt;&gt;"",B73+C73,"")</f>
        <v>36050</v>
      </c>
      <c r="E73" s="199" t="n">
        <f aca="false">IF(A74="","",IF(AND(AT73=1,$H$3=1),D73*AO73,IF($H$3=2,D73,"N/A")))</f>
        <v>1081500</v>
      </c>
      <c r="F73" s="199" t="n">
        <f aca="false">IF(A74="","",E73*AS73)</f>
        <v>6952636.94673576</v>
      </c>
      <c r="G73" s="200" t="e">
        <f aca="false">IF($A74="","",VLOOKUP($A73,Table,MATCH(G$4,Curves,0)))</f>
        <v>#N/A</v>
      </c>
      <c r="H73" s="201" t="e">
        <f aca="false">IF(A74="","",G73)</f>
        <v>#N/A</v>
      </c>
      <c r="I73" s="202"/>
      <c r="J73" s="200" t="e">
        <f aca="false">IF($A74="","",VLOOKUP($A73,Table,MATCH(J$4,Curves,0)))</f>
        <v>#N/A</v>
      </c>
      <c r="K73" s="201" t="e">
        <f aca="false">IF(A74="","",J73)</f>
        <v>#N/A</v>
      </c>
      <c r="L73" s="200" t="e">
        <f aca="false">IF($A74="","",VLOOKUP($A73,Table,MATCH(L$4,Curves,0)))</f>
        <v>#N/A</v>
      </c>
      <c r="M73" s="201" t="e">
        <f aca="false">IF(A74="","",L73)</f>
        <v>#N/A</v>
      </c>
      <c r="N73" s="203"/>
      <c r="O73" s="200" t="e">
        <f aca="false">IF(A74="","",L73+J73+G73)</f>
        <v>#N/A</v>
      </c>
      <c r="P73" s="200" t="e">
        <f aca="false">IF(A74="","",M73+K73+H73)</f>
        <v>#N/A</v>
      </c>
      <c r="Q73" s="204"/>
      <c r="R73" s="200" t="e">
        <f aca="false">IF($A74="","",VLOOKUP($A73,Table,MATCH(R$4,Curves,0)))</f>
        <v>#N/A</v>
      </c>
      <c r="S73" s="201" t="e">
        <f aca="false">IF(A74="","",R73)</f>
        <v>#N/A</v>
      </c>
      <c r="T73" s="200" t="e">
        <f aca="false">IF($A74="","",VLOOKUP($A73,Table,MATCH(T$4,Curves,0)))</f>
        <v>#N/A</v>
      </c>
      <c r="U73" s="201" t="e">
        <f aca="false">IF(A74="","",T73)</f>
        <v>#N/A</v>
      </c>
      <c r="V73" s="225" t="e">
        <f aca="false">IF($A74="","",IF(AND(MONTH(A73)&gt;3,MONTH(A73)&lt;11),(T73+R73+G73)*Summary!$T$9/(1-Summary!$T$9),(T73+R73+G73)*Summary!$U$9/(1-Summary!$U$9)))</f>
        <v>#N/A</v>
      </c>
      <c r="W73" s="200" t="e">
        <f aca="false">IF($A74="","",(T73+R73+G73+V73))</f>
        <v>#N/A</v>
      </c>
      <c r="X73" s="200" t="e">
        <f aca="false">IF($A74="","",(U73+S73+H73+V73))</f>
        <v>#N/A</v>
      </c>
      <c r="Y73" s="202"/>
      <c r="Z73" s="185" t="e">
        <f aca="false">IF($A74="","",VLOOKUP($A73,Table,MATCH(Z$4,Curves,0)))</f>
        <v>#N/A</v>
      </c>
      <c r="AA73" s="185" t="e">
        <f aca="false">IF($A74="","",VLOOKUP($A73,Table,MATCH(AA$4,Curves,0)))</f>
        <v>#N/A</v>
      </c>
      <c r="AB73" s="185" t="e">
        <f aca="false">SQRT((AA73^2*(A73-$D$3)+Z73^2*(DAY(EOMONTH(A73,0))/2))/AK73)</f>
        <v>#N/A</v>
      </c>
      <c r="AC73" s="185" t="e">
        <f aca="false">IF($A74="","",VLOOKUP($A73,Table,MATCH(AC$4,Curves,0)))</f>
        <v>#N/A</v>
      </c>
      <c r="AD73" s="185" t="e">
        <f aca="false">IF($A74="","",VLOOKUP($A73,Table,MATCH(AD$4,Curves,0)))</f>
        <v>#N/A</v>
      </c>
      <c r="AE73" s="185" t="e">
        <f aca="false">SQRT((AD73^2*(A73-$D$3)+AC73^2*(DAY(EOMONTH(A73,0))/2))/AK73)</f>
        <v>#N/A</v>
      </c>
      <c r="AF73" s="224" t="e">
        <f aca="false">((Summary!$N$9*(AA73*AD73)*(A73-$D$3))+(Summary!$M$9*Z73*AC73*(AJ73-EOMONTH(EDATE(A73,-1),0))))/(AK73*AB73*AE73)</f>
        <v>#N/A</v>
      </c>
      <c r="AG73" s="207" t="n">
        <f aca="false">IF($A74="","",Summary!$Q$9)</f>
        <v>0</v>
      </c>
      <c r="AH73" s="207" t="n">
        <f aca="false">IF($A74="","",IF(Summary!$R$9="Y",VLOOKUP($A73,Summary!$AD$6:$AF$9,3)+'Escalating commodity'!E86,'Escalating commodity'!E86))</f>
        <v>0.0707</v>
      </c>
      <c r="AI73" s="207" t="n">
        <f aca="false">IF($A74="","",AH73)</f>
        <v>0.0707</v>
      </c>
      <c r="AJ73" s="208" t="n">
        <f aca="false">A73+DAY(EOMONTH(A73,0))/2-1</f>
        <v>38975</v>
      </c>
      <c r="AK73" s="209" t="n">
        <f aca="false">IF($A74="","",$A73-$E$1)</f>
        <v>-6965</v>
      </c>
      <c r="AL73" s="182" t="e">
        <f aca="false">IF($A74="","",SPRDOPT(P73,X73,AI73,0,AB73,AE73,AF73,AK73,$AJ$2,0))</f>
        <v>#NAME?</v>
      </c>
      <c r="AM73" s="211" t="e">
        <f aca="false">IF($A74="","",MAX(0,O73-W73-AI73))</f>
        <v>#N/A</v>
      </c>
      <c r="AN73" s="211" t="e">
        <f aca="false">IF($A74="","",AL73-AM73)</f>
        <v>#N/A</v>
      </c>
      <c r="AO73" s="137" t="n">
        <f aca="false">IF(A74="","",A74-A73)</f>
        <v>30</v>
      </c>
      <c r="AP73" s="212" t="n">
        <f aca="false">IF(A74="","",CHOOSE(F$3,A74+24,A73))</f>
        <v>38961</v>
      </c>
      <c r="AQ73" s="209" t="n">
        <f aca="false">IF(A74="","",AP73-$E$1)</f>
        <v>-6965</v>
      </c>
      <c r="AR73" s="185" t="n">
        <f aca="false">'ANR OK vs ML7'!AR73</f>
        <v>0.1</v>
      </c>
      <c r="AS73" s="213" t="n">
        <f aca="false">IF(A74="","",1/(1+CHOOSE(F$3,(AR74+($I$3/10000))/2,(AR73+($I$3/10000))/2))^(2*AQ73/365.25))</f>
        <v>6.42869805523417</v>
      </c>
      <c r="AT73" s="137" t="n">
        <f aca="false">IF(A74="","",IF(AND(mthbeg&lt;=A73,mthend&gt;=A73),1,0))</f>
        <v>1</v>
      </c>
      <c r="AU73" s="137" t="n">
        <f aca="false">IF(A74="","",AO73*AT73)</f>
        <v>30</v>
      </c>
      <c r="AW73" s="195" t="e">
        <f aca="false">IF($A74="","",AL73*$E73)</f>
        <v>#NAME?</v>
      </c>
      <c r="AX73" s="195" t="e">
        <f aca="false">IF($A74="","",AM73*$E73)</f>
        <v>#N/A</v>
      </c>
      <c r="AY73" s="195" t="e">
        <f aca="false">IF($A74="","",AN73*$E73)</f>
        <v>#N/A</v>
      </c>
      <c r="BA73" s="195" t="n">
        <f aca="false">IF($A74="","",F73*Summary!$Q$9)</f>
        <v>0</v>
      </c>
      <c r="BC73" s="179" t="e">
        <f aca="false">IF(A74="","",AM73*F73)</f>
        <v>#N/A</v>
      </c>
    </row>
    <row r="74" customFormat="false" ht="12.75" hidden="false" customHeight="false" outlineLevel="0" collapsed="false">
      <c r="A74" s="196" t="n">
        <f aca="false">IF(A73&lt;mthend,EDATE(A73,1),"")</f>
        <v>38991</v>
      </c>
      <c r="B74" s="197" t="n">
        <f aca="false">IF(A74&lt;mthend,B73,"")</f>
        <v>36050</v>
      </c>
      <c r="C74" s="215"/>
      <c r="D74" s="197" t="n">
        <f aca="false">IF(A75&lt;&gt;"",B74+C74,"")</f>
        <v>36050</v>
      </c>
      <c r="E74" s="199" t="n">
        <f aca="false">IF(A75="","",IF(AND(AT74=1,$H$3=1),D74*AO74,IF($H$3=2,D74,"N/A")))</f>
        <v>1117550</v>
      </c>
      <c r="F74" s="199" t="n">
        <f aca="false">IF(A75="","",E74*AS74)</f>
        <v>7127040.10626183</v>
      </c>
      <c r="G74" s="200" t="e">
        <f aca="false">IF($A75="","",VLOOKUP($A74,Table,MATCH(G$4,Curves,0)))</f>
        <v>#N/A</v>
      </c>
      <c r="H74" s="201" t="e">
        <f aca="false">IF(A75="","",G74)</f>
        <v>#N/A</v>
      </c>
      <c r="I74" s="202"/>
      <c r="J74" s="200" t="e">
        <f aca="false">IF($A75="","",VLOOKUP($A74,Table,MATCH(J$4,Curves,0)))</f>
        <v>#N/A</v>
      </c>
      <c r="K74" s="201" t="e">
        <f aca="false">IF(A75="","",J74)</f>
        <v>#N/A</v>
      </c>
      <c r="L74" s="200" t="e">
        <f aca="false">IF($A75="","",VLOOKUP($A74,Table,MATCH(L$4,Curves,0)))</f>
        <v>#N/A</v>
      </c>
      <c r="M74" s="201" t="e">
        <f aca="false">IF(A75="","",L74)</f>
        <v>#N/A</v>
      </c>
      <c r="N74" s="203"/>
      <c r="O74" s="200" t="e">
        <f aca="false">IF(A75="","",L74+J74+G74)</f>
        <v>#N/A</v>
      </c>
      <c r="P74" s="200" t="e">
        <f aca="false">IF(A75="","",M74+K74+H74)</f>
        <v>#N/A</v>
      </c>
      <c r="Q74" s="204"/>
      <c r="R74" s="200" t="e">
        <f aca="false">IF($A75="","",VLOOKUP($A74,Table,MATCH(R$4,Curves,0)))</f>
        <v>#N/A</v>
      </c>
      <c r="S74" s="201" t="e">
        <f aca="false">IF(A75="","",R74)</f>
        <v>#N/A</v>
      </c>
      <c r="T74" s="200" t="e">
        <f aca="false">IF($A75="","",VLOOKUP($A74,Table,MATCH(T$4,Curves,0)))</f>
        <v>#N/A</v>
      </c>
      <c r="U74" s="201" t="e">
        <f aca="false">IF(A75="","",T74)</f>
        <v>#N/A</v>
      </c>
      <c r="V74" s="225" t="e">
        <f aca="false">IF($A75="","",IF(AND(MONTH(A74)&gt;3,MONTH(A74)&lt;11),(T74+R74+G74)*Summary!$T$9/(1-Summary!$T$9),(T74+R74+G74)*Summary!$U$9/(1-Summary!$U$9)))</f>
        <v>#N/A</v>
      </c>
      <c r="W74" s="200" t="e">
        <f aca="false">IF($A75="","",(T74+R74+G74+V74))</f>
        <v>#N/A</v>
      </c>
      <c r="X74" s="200" t="e">
        <f aca="false">IF($A75="","",(U74+S74+H74+V74))</f>
        <v>#N/A</v>
      </c>
      <c r="Y74" s="202"/>
      <c r="Z74" s="185" t="e">
        <f aca="false">IF($A75="","",VLOOKUP($A74,Table,MATCH(Z$4,Curves,0)))</f>
        <v>#N/A</v>
      </c>
      <c r="AA74" s="185" t="e">
        <f aca="false">IF($A75="","",VLOOKUP($A74,Table,MATCH(AA$4,Curves,0)))</f>
        <v>#N/A</v>
      </c>
      <c r="AB74" s="185" t="e">
        <f aca="false">SQRT((AA74^2*(A74-$D$3)+Z74^2*(DAY(EOMONTH(A74,0))/2))/AK74)</f>
        <v>#N/A</v>
      </c>
      <c r="AC74" s="185" t="e">
        <f aca="false">IF($A75="","",VLOOKUP($A74,Table,MATCH(AC$4,Curves,0)))</f>
        <v>#N/A</v>
      </c>
      <c r="AD74" s="185" t="e">
        <f aca="false">IF($A75="","",VLOOKUP($A74,Table,MATCH(AD$4,Curves,0)))</f>
        <v>#N/A</v>
      </c>
      <c r="AE74" s="185" t="e">
        <f aca="false">SQRT((AD74^2*(A74-$D$3)+AC74^2*(DAY(EOMONTH(A74,0))/2))/AK74)</f>
        <v>#N/A</v>
      </c>
      <c r="AF74" s="224" t="e">
        <f aca="false">((Summary!$N$9*(AA74*AD74)*(A74-$D$3))+(Summary!$M$9*Z74*AC74*(AJ74-EOMONTH(EDATE(A74,-1),0))))/(AK74*AB74*AE74)</f>
        <v>#N/A</v>
      </c>
      <c r="AG74" s="207" t="n">
        <f aca="false">IF($A75="","",Summary!$Q$9)</f>
        <v>0</v>
      </c>
      <c r="AH74" s="207" t="n">
        <f aca="false">IF($A75="","",IF(Summary!$R$9="Y",VLOOKUP($A74,Summary!$AD$6:$AF$9,3)+'Escalating commodity'!E87,'Escalating commodity'!E87))</f>
        <v>0.0707</v>
      </c>
      <c r="AI74" s="207" t="n">
        <f aca="false">IF($A75="","",AH74)</f>
        <v>0.0707</v>
      </c>
      <c r="AJ74" s="208" t="n">
        <f aca="false">A74+DAY(EOMONTH(A74,0))/2-1</f>
        <v>39005.5</v>
      </c>
      <c r="AK74" s="209" t="n">
        <f aca="false">IF($A75="","",$A74-$E$1)</f>
        <v>-6935</v>
      </c>
      <c r="AL74" s="182" t="e">
        <f aca="false">IF($A75="","",SPRDOPT(P74,X74,AI74,0,AB74,AE74,AF74,AK74,$AJ$2,0))</f>
        <v>#NAME?</v>
      </c>
      <c r="AM74" s="211" t="e">
        <f aca="false">IF($A75="","",MAX(0,O74-W74-AI74))</f>
        <v>#N/A</v>
      </c>
      <c r="AN74" s="211" t="e">
        <f aca="false">IF($A75="","",AL74-AM74)</f>
        <v>#N/A</v>
      </c>
      <c r="AO74" s="137" t="n">
        <f aca="false">IF(A75="","",A75-A74)</f>
        <v>31</v>
      </c>
      <c r="AP74" s="212" t="n">
        <f aca="false">IF(A75="","",CHOOSE(F$3,A75+24,A74))</f>
        <v>38991</v>
      </c>
      <c r="AQ74" s="209" t="n">
        <f aca="false">IF(A75="","",AP74-$E$1)</f>
        <v>-6935</v>
      </c>
      <c r="AR74" s="185" t="n">
        <f aca="false">'ANR OK vs ML7'!AR74</f>
        <v>0.1</v>
      </c>
      <c r="AS74" s="213" t="n">
        <f aca="false">IF(A75="","",1/(1+CHOOSE(F$3,(AR75+($I$3/10000))/2,(AR74+($I$3/10000))/2))^(2*AQ74/365.25))</f>
        <v>6.37737918326861</v>
      </c>
      <c r="AT74" s="137" t="n">
        <f aca="false">IF(A75="","",IF(AND(mthbeg&lt;=A74,mthend&gt;=A74),1,0))</f>
        <v>1</v>
      </c>
      <c r="AU74" s="137" t="n">
        <f aca="false">IF(A75="","",AO74*AT74)</f>
        <v>31</v>
      </c>
      <c r="AW74" s="195" t="e">
        <f aca="false">IF($A75="","",AL74*$E74)</f>
        <v>#NAME?</v>
      </c>
      <c r="AX74" s="195" t="e">
        <f aca="false">IF($A75="","",AM74*$E74)</f>
        <v>#N/A</v>
      </c>
      <c r="AY74" s="195" t="e">
        <f aca="false">IF($A75="","",AN74*$E74)</f>
        <v>#N/A</v>
      </c>
      <c r="BA74" s="195" t="n">
        <f aca="false">IF($A75="","",F74*Summary!$Q$9)</f>
        <v>0</v>
      </c>
      <c r="BC74" s="179" t="e">
        <f aca="false">IF(A75="","",AM74*F74)</f>
        <v>#N/A</v>
      </c>
    </row>
    <row r="75" customFormat="false" ht="12.75" hidden="false" customHeight="false" outlineLevel="0" collapsed="false">
      <c r="A75" s="196" t="n">
        <f aca="false">IF(A74&lt;mthend,EDATE(A74,1),"")</f>
        <v>39022</v>
      </c>
      <c r="B75" s="197" t="n">
        <f aca="false">IF(A75&lt;mthend,B74,"")</f>
        <v>36050</v>
      </c>
      <c r="C75" s="215"/>
      <c r="D75" s="197" t="n">
        <f aca="false">IF(A76&lt;&gt;"",B75+C75,"")</f>
        <v>36050</v>
      </c>
      <c r="E75" s="199" t="n">
        <f aca="false">IF(A76="","",IF(AND(AT75=1,$H$3=1),D75*AO75,IF($H$3=2,D75,"N/A")))</f>
        <v>1081500</v>
      </c>
      <c r="F75" s="199" t="n">
        <f aca="false">IF(A76="","",E75*AS75)</f>
        <v>6840249.59392791</v>
      </c>
      <c r="G75" s="200" t="e">
        <f aca="false">IF($A76="","",VLOOKUP($A75,Table,MATCH(G$4,Curves,0)))</f>
        <v>#N/A</v>
      </c>
      <c r="H75" s="201" t="e">
        <f aca="false">IF(A76="","",G75)</f>
        <v>#N/A</v>
      </c>
      <c r="I75" s="202"/>
      <c r="J75" s="200" t="e">
        <f aca="false">IF($A76="","",VLOOKUP($A75,Table,MATCH(J$4,Curves,0)))</f>
        <v>#N/A</v>
      </c>
      <c r="K75" s="201" t="e">
        <f aca="false">IF(A76="","",J75)</f>
        <v>#N/A</v>
      </c>
      <c r="L75" s="200" t="e">
        <f aca="false">IF($A76="","",VLOOKUP($A75,Table,MATCH(L$4,Curves,0)))</f>
        <v>#N/A</v>
      </c>
      <c r="M75" s="201" t="e">
        <f aca="false">IF(A76="","",L75)</f>
        <v>#N/A</v>
      </c>
      <c r="N75" s="203"/>
      <c r="O75" s="200" t="e">
        <f aca="false">IF(A76="","",L75+J75+G75)</f>
        <v>#N/A</v>
      </c>
      <c r="P75" s="200" t="e">
        <f aca="false">IF(A76="","",M75+K75+H75)</f>
        <v>#N/A</v>
      </c>
      <c r="Q75" s="204"/>
      <c r="R75" s="200" t="e">
        <f aca="false">IF($A76="","",VLOOKUP($A75,Table,MATCH(R$4,Curves,0)))</f>
        <v>#N/A</v>
      </c>
      <c r="S75" s="201" t="e">
        <f aca="false">IF(A76="","",R75)</f>
        <v>#N/A</v>
      </c>
      <c r="T75" s="200" t="e">
        <f aca="false">IF($A76="","",VLOOKUP($A75,Table,MATCH(T$4,Curves,0)))</f>
        <v>#N/A</v>
      </c>
      <c r="U75" s="201" t="e">
        <f aca="false">IF(A76="","",T75)</f>
        <v>#N/A</v>
      </c>
      <c r="V75" s="225" t="e">
        <f aca="false">IF($A76="","",IF(AND(MONTH(A75)&gt;3,MONTH(A75)&lt;11),(T75+R75+G75)*Summary!$T$9/(1-Summary!$T$9),(T75+R75+G75)*Summary!$U$9/(1-Summary!$U$9)))</f>
        <v>#N/A</v>
      </c>
      <c r="W75" s="200" t="e">
        <f aca="false">IF($A76="","",(T75+R75+G75+V75))</f>
        <v>#N/A</v>
      </c>
      <c r="X75" s="200" t="e">
        <f aca="false">IF($A76="","",(U75+S75+H75+V75))</f>
        <v>#N/A</v>
      </c>
      <c r="Y75" s="202"/>
      <c r="Z75" s="185" t="e">
        <f aca="false">IF($A76="","",VLOOKUP($A75,Table,MATCH(Z$4,Curves,0)))</f>
        <v>#N/A</v>
      </c>
      <c r="AA75" s="185" t="e">
        <f aca="false">IF($A76="","",VLOOKUP($A75,Table,MATCH(AA$4,Curves,0)))</f>
        <v>#N/A</v>
      </c>
      <c r="AB75" s="185" t="e">
        <f aca="false">SQRT((AA75^2*(A75-$D$3)+Z75^2*(DAY(EOMONTH(A75,0))/2))/AK75)</f>
        <v>#N/A</v>
      </c>
      <c r="AC75" s="185" t="e">
        <f aca="false">IF($A76="","",VLOOKUP($A75,Table,MATCH(AC$4,Curves,0)))</f>
        <v>#N/A</v>
      </c>
      <c r="AD75" s="185" t="e">
        <f aca="false">IF($A76="","",VLOOKUP($A75,Table,MATCH(AD$4,Curves,0)))</f>
        <v>#N/A</v>
      </c>
      <c r="AE75" s="185" t="e">
        <f aca="false">SQRT((AD75^2*(A75-$D$3)+AC75^2*(DAY(EOMONTH(A75,0))/2))/AK75)</f>
        <v>#N/A</v>
      </c>
      <c r="AF75" s="224" t="e">
        <f aca="false">((Summary!$N$9*(AA75*AD75)*(A75-$D$3))+(Summary!$M$9*Z75*AC75*(AJ75-EOMONTH(EDATE(A75,-1),0))))/(AK75*AB75*AE75)</f>
        <v>#N/A</v>
      </c>
      <c r="AG75" s="207" t="n">
        <f aca="false">IF($A76="","",Summary!$Q$9)</f>
        <v>0</v>
      </c>
      <c r="AH75" s="207" t="n">
        <f aca="false">IF($A76="","",IF(Summary!$R$9="Y",VLOOKUP($A75,Summary!$AD$6:$AF$9,3)+'Escalating commodity'!E88,'Escalating commodity'!E88))</f>
        <v>0.0707</v>
      </c>
      <c r="AI75" s="207" t="n">
        <f aca="false">IF($A76="","",AH75)</f>
        <v>0.0707</v>
      </c>
      <c r="AJ75" s="208" t="n">
        <f aca="false">A75+DAY(EOMONTH(A75,0))/2-1</f>
        <v>39036</v>
      </c>
      <c r="AK75" s="209" t="n">
        <f aca="false">IF($A76="","",$A75-$E$1)</f>
        <v>-6904</v>
      </c>
      <c r="AL75" s="182" t="e">
        <f aca="false">IF($A76="","",SPRDOPT(P75,X75,AI75,0,AB75,AE75,AF75,AK75,$AJ$2,0))</f>
        <v>#NAME?</v>
      </c>
      <c r="AM75" s="211" t="e">
        <f aca="false">IF($A76="","",MAX(0,O75-W75-AI75))</f>
        <v>#N/A</v>
      </c>
      <c r="AN75" s="211" t="e">
        <f aca="false">IF($A76="","",AL75-AM75)</f>
        <v>#N/A</v>
      </c>
      <c r="AO75" s="137" t="n">
        <f aca="false">IF(A76="","",A76-A75)</f>
        <v>30</v>
      </c>
      <c r="AP75" s="212" t="n">
        <f aca="false">IF(A76="","",CHOOSE(F$3,A76+24,A75))</f>
        <v>39022</v>
      </c>
      <c r="AQ75" s="209" t="n">
        <f aca="false">IF(A76="","",AP75-$E$1)</f>
        <v>-6904</v>
      </c>
      <c r="AR75" s="185" t="n">
        <f aca="false">'ANR OK vs ML7'!AR75</f>
        <v>0.1</v>
      </c>
      <c r="AS75" s="213" t="n">
        <f aca="false">IF(A76="","",1/(1+CHOOSE(F$3,(AR76+($I$3/10000))/2,(AR75+($I$3/10000))/2))^(2*AQ75/365.25))</f>
        <v>6.32478002212474</v>
      </c>
      <c r="AT75" s="137" t="n">
        <f aca="false">IF(A76="","",IF(AND(mthbeg&lt;=A75,mthend&gt;=A75),1,0))</f>
        <v>1</v>
      </c>
      <c r="AU75" s="137" t="n">
        <f aca="false">IF(A76="","",AO75*AT75)</f>
        <v>30</v>
      </c>
      <c r="AW75" s="195" t="e">
        <f aca="false">IF($A76="","",AL75*$E75)</f>
        <v>#NAME?</v>
      </c>
      <c r="AX75" s="195" t="e">
        <f aca="false">IF($A76="","",AM75*$E75)</f>
        <v>#N/A</v>
      </c>
      <c r="AY75" s="195" t="e">
        <f aca="false">IF($A76="","",AN75*$E75)</f>
        <v>#N/A</v>
      </c>
      <c r="BA75" s="195" t="n">
        <f aca="false">IF($A76="","",F75*Summary!$Q$9)</f>
        <v>0</v>
      </c>
      <c r="BC75" s="179" t="e">
        <f aca="false">IF(A76="","",AM75*F75)</f>
        <v>#N/A</v>
      </c>
    </row>
    <row r="76" customFormat="false" ht="12.75" hidden="false" customHeight="false" outlineLevel="0" collapsed="false">
      <c r="A76" s="196" t="n">
        <f aca="false">IF(A75&lt;mthend,EDATE(A75,1),"")</f>
        <v>39052</v>
      </c>
      <c r="B76" s="197" t="n">
        <f aca="false">IF(A76&lt;mthend,B75,"")</f>
        <v>36050</v>
      </c>
      <c r="C76" s="215"/>
      <c r="D76" s="197" t="n">
        <f aca="false">IF(A77&lt;&gt;"",B76+C76,"")</f>
        <v>36050</v>
      </c>
      <c r="E76" s="199" t="n">
        <f aca="false">IF(A77="","",IF(AND(AT76=1,$H$3=1),D76*AO76,IF($H$3=2,D76,"N/A")))</f>
        <v>1117550</v>
      </c>
      <c r="F76" s="199" t="n">
        <f aca="false">IF(A77="","",E76*AS76)</f>
        <v>7011833.57713705</v>
      </c>
      <c r="G76" s="200" t="e">
        <f aca="false">IF($A77="","",VLOOKUP($A76,Table,MATCH(G$4,Curves,0)))</f>
        <v>#N/A</v>
      </c>
      <c r="H76" s="201" t="e">
        <f aca="false">IF(A77="","",G76)</f>
        <v>#N/A</v>
      </c>
      <c r="I76" s="202"/>
      <c r="J76" s="200" t="e">
        <f aca="false">IF($A77="","",VLOOKUP($A76,Table,MATCH(J$4,Curves,0)))</f>
        <v>#N/A</v>
      </c>
      <c r="K76" s="201" t="e">
        <f aca="false">IF(A77="","",J76)</f>
        <v>#N/A</v>
      </c>
      <c r="L76" s="200" t="e">
        <f aca="false">IF($A77="","",VLOOKUP($A76,Table,MATCH(L$4,Curves,0)))</f>
        <v>#N/A</v>
      </c>
      <c r="M76" s="201" t="e">
        <f aca="false">IF(A77="","",L76)</f>
        <v>#N/A</v>
      </c>
      <c r="N76" s="203"/>
      <c r="O76" s="200" t="e">
        <f aca="false">IF(A77="","",L76+J76+G76)</f>
        <v>#N/A</v>
      </c>
      <c r="P76" s="200" t="e">
        <f aca="false">IF(A77="","",M76+K76+H76)</f>
        <v>#N/A</v>
      </c>
      <c r="Q76" s="204"/>
      <c r="R76" s="200" t="e">
        <f aca="false">IF($A77="","",VLOOKUP($A76,Table,MATCH(R$4,Curves,0)))</f>
        <v>#N/A</v>
      </c>
      <c r="S76" s="201" t="e">
        <f aca="false">IF(A77="","",R76)</f>
        <v>#N/A</v>
      </c>
      <c r="T76" s="200" t="e">
        <f aca="false">IF($A77="","",VLOOKUP($A76,Table,MATCH(T$4,Curves,0)))</f>
        <v>#N/A</v>
      </c>
      <c r="U76" s="201" t="e">
        <f aca="false">IF(A77="","",T76)</f>
        <v>#N/A</v>
      </c>
      <c r="V76" s="225" t="e">
        <f aca="false">IF($A77="","",IF(AND(MONTH(A76)&gt;3,MONTH(A76)&lt;11),(T76+R76+G76)*Summary!$T$9/(1-Summary!$T$9),(T76+R76+G76)*Summary!$U$9/(1-Summary!$U$9)))</f>
        <v>#N/A</v>
      </c>
      <c r="W76" s="200" t="e">
        <f aca="false">IF($A77="","",(T76+R76+G76+V76))</f>
        <v>#N/A</v>
      </c>
      <c r="X76" s="200" t="e">
        <f aca="false">IF($A77="","",(U76+S76+H76+V76))</f>
        <v>#N/A</v>
      </c>
      <c r="Y76" s="202"/>
      <c r="Z76" s="185" t="e">
        <f aca="false">IF($A77="","",VLOOKUP($A76,Table,MATCH(Z$4,Curves,0)))</f>
        <v>#N/A</v>
      </c>
      <c r="AA76" s="185" t="e">
        <f aca="false">IF($A77="","",VLOOKUP($A76,Table,MATCH(AA$4,Curves,0)))</f>
        <v>#N/A</v>
      </c>
      <c r="AB76" s="185" t="e">
        <f aca="false">SQRT((AA76^2*(A76-$D$3)+Z76^2*(DAY(EOMONTH(A76,0))/2))/AK76)</f>
        <v>#N/A</v>
      </c>
      <c r="AC76" s="185" t="e">
        <f aca="false">IF($A77="","",VLOOKUP($A76,Table,MATCH(AC$4,Curves,0)))</f>
        <v>#N/A</v>
      </c>
      <c r="AD76" s="185" t="e">
        <f aca="false">IF($A77="","",VLOOKUP($A76,Table,MATCH(AD$4,Curves,0)))</f>
        <v>#N/A</v>
      </c>
      <c r="AE76" s="185" t="e">
        <f aca="false">SQRT((AD76^2*(A76-$D$3)+AC76^2*(DAY(EOMONTH(A76,0))/2))/AK76)</f>
        <v>#N/A</v>
      </c>
      <c r="AF76" s="224" t="e">
        <f aca="false">((Summary!$N$9*(AA76*AD76)*(A76-$D$3))+(Summary!$M$9*Z76*AC76*(AJ76-EOMONTH(EDATE(A76,-1),0))))/(AK76*AB76*AE76)</f>
        <v>#N/A</v>
      </c>
      <c r="AG76" s="207" t="n">
        <f aca="false">IF($A77="","",Summary!$Q$9)</f>
        <v>0</v>
      </c>
      <c r="AH76" s="207" t="n">
        <f aca="false">IF($A77="","",IF(Summary!$R$9="Y",VLOOKUP($A76,Summary!$AD$6:$AF$9,3)+'Escalating commodity'!E89,'Escalating commodity'!E89))</f>
        <v>0.0707</v>
      </c>
      <c r="AI76" s="207" t="n">
        <f aca="false">IF($A77="","",AH76)</f>
        <v>0.0707</v>
      </c>
      <c r="AJ76" s="208" t="n">
        <f aca="false">A76+DAY(EOMONTH(A76,0))/2-1</f>
        <v>39066.5</v>
      </c>
      <c r="AK76" s="209" t="n">
        <f aca="false">IF($A77="","",$A76-$E$1)</f>
        <v>-6874</v>
      </c>
      <c r="AL76" s="182" t="e">
        <f aca="false">IF($A77="","",SPRDOPT(P76,X76,AI76,0,AB76,AE76,AF76,AK76,$AJ$2,0))</f>
        <v>#NAME?</v>
      </c>
      <c r="AM76" s="211" t="e">
        <f aca="false">IF($A77="","",MAX(0,O76-W76-AI76))</f>
        <v>#N/A</v>
      </c>
      <c r="AN76" s="211" t="e">
        <f aca="false">IF($A77="","",AL76-AM76)</f>
        <v>#N/A</v>
      </c>
      <c r="AO76" s="137" t="n">
        <f aca="false">IF(A77="","",A77-A76)</f>
        <v>31</v>
      </c>
      <c r="AP76" s="212" t="n">
        <f aca="false">IF(A77="","",CHOOSE(F$3,A77+24,A76))</f>
        <v>39052</v>
      </c>
      <c r="AQ76" s="209" t="n">
        <f aca="false">IF(A77="","",AP76-$E$1)</f>
        <v>-6874</v>
      </c>
      <c r="AR76" s="185" t="n">
        <f aca="false">'ANR OK vs ML7'!AR76</f>
        <v>0.1</v>
      </c>
      <c r="AS76" s="213" t="n">
        <f aca="false">IF(A77="","",1/(1+CHOOSE(F$3,(AR77+($I$3/10000))/2,(AR76+($I$3/10000))/2))^(2*AQ76/365.25))</f>
        <v>6.27429070478909</v>
      </c>
      <c r="AT76" s="137" t="n">
        <f aca="false">IF(A77="","",IF(AND(mthbeg&lt;=A76,mthend&gt;=A76),1,0))</f>
        <v>1</v>
      </c>
      <c r="AU76" s="137" t="n">
        <f aca="false">IF(A77="","",AO76*AT76)</f>
        <v>31</v>
      </c>
      <c r="AW76" s="195" t="e">
        <f aca="false">IF($A77="","",AL76*$E76)</f>
        <v>#NAME?</v>
      </c>
      <c r="AX76" s="195" t="e">
        <f aca="false">IF($A77="","",AM76*$E76)</f>
        <v>#N/A</v>
      </c>
      <c r="AY76" s="195" t="e">
        <f aca="false">IF($A77="","",AN76*$E76)</f>
        <v>#N/A</v>
      </c>
      <c r="BA76" s="195" t="n">
        <f aca="false">IF($A77="","",F76*Summary!$Q$9)</f>
        <v>0</v>
      </c>
      <c r="BC76" s="179" t="e">
        <f aca="false">IF(A77="","",AM76*F76)</f>
        <v>#N/A</v>
      </c>
    </row>
    <row r="77" customFormat="false" ht="12.75" hidden="false" customHeight="false" outlineLevel="0" collapsed="false">
      <c r="A77" s="196" t="n">
        <f aca="false">IF(A76&lt;mthend,EDATE(A76,1),"")</f>
        <v>39083</v>
      </c>
      <c r="B77" s="197" t="n">
        <f aca="false">IF(A77&lt;mthend,B76,"")</f>
        <v>36050</v>
      </c>
      <c r="C77" s="215"/>
      <c r="D77" s="197" t="n">
        <f aca="false">IF(A78&lt;&gt;"",B77+C77,"")</f>
        <v>36050</v>
      </c>
      <c r="E77" s="199" t="n">
        <f aca="false">IF(A78="","",IF(AND(AT77=1,$H$3=1),D77*AO77,IF($H$3=2,D77,"N/A")))</f>
        <v>1117550</v>
      </c>
      <c r="F77" s="199" t="n">
        <f aca="false">IF(A78="","",E77*AS77)</f>
        <v>6954001.5816356</v>
      </c>
      <c r="G77" s="200" t="e">
        <f aca="false">IF($A78="","",VLOOKUP($A77,Table,MATCH(G$4,Curves,0)))</f>
        <v>#N/A</v>
      </c>
      <c r="H77" s="201" t="e">
        <f aca="false">IF(A78="","",G77)</f>
        <v>#N/A</v>
      </c>
      <c r="I77" s="202"/>
      <c r="J77" s="200" t="e">
        <f aca="false">IF($A78="","",VLOOKUP($A77,Table,MATCH(J$4,Curves,0)))</f>
        <v>#N/A</v>
      </c>
      <c r="K77" s="201" t="e">
        <f aca="false">IF(A78="","",J77)</f>
        <v>#N/A</v>
      </c>
      <c r="L77" s="200" t="e">
        <f aca="false">IF($A78="","",VLOOKUP($A77,Table,MATCH(L$4,Curves,0)))</f>
        <v>#N/A</v>
      </c>
      <c r="M77" s="201" t="e">
        <f aca="false">IF(A78="","",L77)</f>
        <v>#N/A</v>
      </c>
      <c r="N77" s="203"/>
      <c r="O77" s="200" t="e">
        <f aca="false">IF(A78="","",L77+J77+G77)</f>
        <v>#N/A</v>
      </c>
      <c r="P77" s="200" t="e">
        <f aca="false">IF(A78="","",M77+K77+H77)</f>
        <v>#N/A</v>
      </c>
      <c r="Q77" s="204"/>
      <c r="R77" s="200" t="e">
        <f aca="false">IF($A78="","",VLOOKUP($A77,Table,MATCH(R$4,Curves,0)))</f>
        <v>#N/A</v>
      </c>
      <c r="S77" s="201" t="e">
        <f aca="false">IF(A78="","",R77)</f>
        <v>#N/A</v>
      </c>
      <c r="T77" s="200" t="e">
        <f aca="false">IF($A78="","",VLOOKUP($A77,Table,MATCH(T$4,Curves,0)))</f>
        <v>#N/A</v>
      </c>
      <c r="U77" s="201" t="e">
        <f aca="false">IF(A78="","",T77)</f>
        <v>#N/A</v>
      </c>
      <c r="V77" s="225" t="e">
        <f aca="false">IF($A78="","",IF(AND(MONTH(A77)&gt;3,MONTH(A77)&lt;11),(T77+R77+G77)*Summary!$T$9/(1-Summary!$T$9),(T77+R77+G77)*Summary!$U$9/(1-Summary!$U$9)))</f>
        <v>#N/A</v>
      </c>
      <c r="W77" s="200" t="e">
        <f aca="false">IF($A78="","",(T77+R77+G77+V77))</f>
        <v>#N/A</v>
      </c>
      <c r="X77" s="200" t="e">
        <f aca="false">IF($A78="","",(U77+S77+H77+V77))</f>
        <v>#N/A</v>
      </c>
      <c r="Y77" s="202"/>
      <c r="Z77" s="185" t="e">
        <f aca="false">IF($A78="","",VLOOKUP($A77,Table,MATCH(Z$4,Curves,0)))</f>
        <v>#N/A</v>
      </c>
      <c r="AA77" s="185" t="e">
        <f aca="false">IF($A78="","",VLOOKUP($A77,Table,MATCH(AA$4,Curves,0)))</f>
        <v>#N/A</v>
      </c>
      <c r="AB77" s="185" t="e">
        <f aca="false">SQRT((AA77^2*(A77-$D$3)+Z77^2*(DAY(EOMONTH(A77,0))/2))/AK77)</f>
        <v>#N/A</v>
      </c>
      <c r="AC77" s="185" t="e">
        <f aca="false">IF($A78="","",VLOOKUP($A77,Table,MATCH(AC$4,Curves,0)))</f>
        <v>#N/A</v>
      </c>
      <c r="AD77" s="185" t="e">
        <f aca="false">IF($A78="","",VLOOKUP($A77,Table,MATCH(AD$4,Curves,0)))</f>
        <v>#N/A</v>
      </c>
      <c r="AE77" s="185" t="e">
        <f aca="false">SQRT((AD77^2*(A77-$D$3)+AC77^2*(DAY(EOMONTH(A77,0))/2))/AK77)</f>
        <v>#N/A</v>
      </c>
      <c r="AF77" s="224" t="e">
        <f aca="false">((Summary!$N$9*(AA77*AD77)*(A77-$D$3))+(Summary!$M$9*Z77*AC77*(AJ77-EOMONTH(EDATE(A77,-1),0))))/(AK77*AB77*AE77)</f>
        <v>#N/A</v>
      </c>
      <c r="AG77" s="207" t="n">
        <f aca="false">IF($A78="","",Summary!$Q$9)</f>
        <v>0</v>
      </c>
      <c r="AH77" s="207" t="n">
        <f aca="false">IF($A78="","",IF(Summary!$R$9="Y",VLOOKUP($A77,Summary!$AD$6:$AF$9,3)+'Escalating commodity'!E90,'Escalating commodity'!E90))</f>
        <v>0.0707</v>
      </c>
      <c r="AI77" s="207" t="n">
        <f aca="false">IF($A78="","",AH77)</f>
        <v>0.0707</v>
      </c>
      <c r="AJ77" s="208" t="n">
        <f aca="false">A77+DAY(EOMONTH(A77,0))/2-1</f>
        <v>39097.5</v>
      </c>
      <c r="AK77" s="209" t="n">
        <f aca="false">IF($A78="","",$A77-$E$1)</f>
        <v>-6843</v>
      </c>
      <c r="AL77" s="182" t="e">
        <f aca="false">IF($A78="","",SPRDOPT(P77,X77,AI77,0,AB77,AE77,AF77,AK77,$AJ$2,0))</f>
        <v>#NAME?</v>
      </c>
      <c r="AM77" s="211" t="e">
        <f aca="false">IF($A78="","",MAX(0,O77-W77-AI77))</f>
        <v>#N/A</v>
      </c>
      <c r="AN77" s="211" t="e">
        <f aca="false">IF($A78="","",AL77-AM77)</f>
        <v>#N/A</v>
      </c>
      <c r="AO77" s="137" t="n">
        <f aca="false">IF(A78="","",A78-A77)</f>
        <v>31</v>
      </c>
      <c r="AP77" s="212" t="n">
        <f aca="false">IF(A78="","",CHOOSE(F$3,A78+24,A77))</f>
        <v>39083</v>
      </c>
      <c r="AQ77" s="209" t="n">
        <f aca="false">IF(A78="","",AP77-$E$1)</f>
        <v>-6843</v>
      </c>
      <c r="AR77" s="185" t="n">
        <f aca="false">'ANR OK vs ML7'!AR77</f>
        <v>0.1</v>
      </c>
      <c r="AS77" s="213" t="n">
        <f aca="false">IF(A78="","",1/(1+CHOOSE(F$3,(AR78+($I$3/10000))/2,(AR77+($I$3/10000))/2))^(2*AQ77/365.25))</f>
        <v>6.2225417937771</v>
      </c>
      <c r="AT77" s="137" t="n">
        <f aca="false">IF(A78="","",IF(AND(mthbeg&lt;=A77,mthend&gt;=A77),1,0))</f>
        <v>1</v>
      </c>
      <c r="AU77" s="137" t="n">
        <f aca="false">IF(A78="","",AO77*AT77)</f>
        <v>31</v>
      </c>
      <c r="AW77" s="195" t="e">
        <f aca="false">IF($A78="","",AL77*$E77)</f>
        <v>#NAME?</v>
      </c>
      <c r="AX77" s="195" t="e">
        <f aca="false">IF($A78="","",AM77*$E77)</f>
        <v>#N/A</v>
      </c>
      <c r="AY77" s="195" t="e">
        <f aca="false">IF($A78="","",AN77*$E77)</f>
        <v>#N/A</v>
      </c>
      <c r="BA77" s="195" t="n">
        <f aca="false">IF($A78="","",F77*Summary!$Q$9)</f>
        <v>0</v>
      </c>
      <c r="BC77" s="179" t="e">
        <f aca="false">IF(A78="","",AM77*F77)</f>
        <v>#N/A</v>
      </c>
    </row>
    <row r="78" customFormat="false" ht="12.75" hidden="false" customHeight="false" outlineLevel="0" collapsed="false">
      <c r="A78" s="196" t="n">
        <f aca="false">IF(A77&lt;mthend,EDATE(A77,1),"")</f>
        <v>39114</v>
      </c>
      <c r="B78" s="197" t="n">
        <f aca="false">IF(A78&lt;mthend,B77,"")</f>
        <v>36050</v>
      </c>
      <c r="C78" s="215"/>
      <c r="D78" s="197" t="n">
        <f aca="false">IF(A79&lt;&gt;"",B78+C78,"")</f>
        <v>36050</v>
      </c>
      <c r="E78" s="199" t="n">
        <f aca="false">IF(A79="","",IF(AND(AT78=1,$H$3=1),D78*AO78,IF($H$3=2,D78,"N/A")))</f>
        <v>1009400</v>
      </c>
      <c r="F78" s="199" t="n">
        <f aca="false">IF(A79="","",E78*AS78)</f>
        <v>6229229.16105852</v>
      </c>
      <c r="G78" s="200" t="e">
        <f aca="false">IF($A79="","",VLOOKUP($A78,Table,MATCH(G$4,Curves,0)))</f>
        <v>#N/A</v>
      </c>
      <c r="H78" s="201" t="e">
        <f aca="false">IF(A79="","",G78)</f>
        <v>#N/A</v>
      </c>
      <c r="I78" s="202"/>
      <c r="J78" s="200" t="e">
        <f aca="false">IF($A79="","",VLOOKUP($A78,Table,MATCH(J$4,Curves,0)))</f>
        <v>#N/A</v>
      </c>
      <c r="K78" s="201" t="e">
        <f aca="false">IF(A79="","",J78)</f>
        <v>#N/A</v>
      </c>
      <c r="L78" s="200" t="e">
        <f aca="false">IF($A79="","",VLOOKUP($A78,Table,MATCH(L$4,Curves,0)))</f>
        <v>#N/A</v>
      </c>
      <c r="M78" s="201" t="e">
        <f aca="false">IF(A79="","",L78)</f>
        <v>#N/A</v>
      </c>
      <c r="N78" s="203"/>
      <c r="O78" s="200" t="e">
        <f aca="false">IF(A79="","",L78+J78+G78)</f>
        <v>#N/A</v>
      </c>
      <c r="P78" s="200" t="e">
        <f aca="false">IF(A79="","",M78+K78+H78)</f>
        <v>#N/A</v>
      </c>
      <c r="Q78" s="204"/>
      <c r="R78" s="200" t="e">
        <f aca="false">IF($A79="","",VLOOKUP($A78,Table,MATCH(R$4,Curves,0)))</f>
        <v>#N/A</v>
      </c>
      <c r="S78" s="201" t="e">
        <f aca="false">IF(A79="","",R78)</f>
        <v>#N/A</v>
      </c>
      <c r="T78" s="200" t="e">
        <f aca="false">IF($A79="","",VLOOKUP($A78,Table,MATCH(T$4,Curves,0)))</f>
        <v>#N/A</v>
      </c>
      <c r="U78" s="201" t="e">
        <f aca="false">IF(A79="","",T78)</f>
        <v>#N/A</v>
      </c>
      <c r="V78" s="225" t="e">
        <f aca="false">IF($A79="","",IF(AND(MONTH(A78)&gt;3,MONTH(A78)&lt;11),(T78+R78+G78)*Summary!$T$9/(1-Summary!$T$9),(T78+R78+G78)*Summary!$U$9/(1-Summary!$U$9)))</f>
        <v>#N/A</v>
      </c>
      <c r="W78" s="200" t="e">
        <f aca="false">IF($A79="","",(T78+R78+G78+V78))</f>
        <v>#N/A</v>
      </c>
      <c r="X78" s="200" t="e">
        <f aca="false">IF($A79="","",(U78+S78+H78+V78))</f>
        <v>#N/A</v>
      </c>
      <c r="Y78" s="202"/>
      <c r="Z78" s="185" t="e">
        <f aca="false">IF($A79="","",VLOOKUP($A78,Table,MATCH(Z$4,Curves,0)))</f>
        <v>#N/A</v>
      </c>
      <c r="AA78" s="185" t="e">
        <f aca="false">IF($A79="","",VLOOKUP($A78,Table,MATCH(AA$4,Curves,0)))</f>
        <v>#N/A</v>
      </c>
      <c r="AB78" s="185" t="e">
        <f aca="false">SQRT((AA78^2*(A78-$D$3)+Z78^2*(DAY(EOMONTH(A78,0))/2))/AK78)</f>
        <v>#N/A</v>
      </c>
      <c r="AC78" s="185" t="e">
        <f aca="false">IF($A79="","",VLOOKUP($A78,Table,MATCH(AC$4,Curves,0)))</f>
        <v>#N/A</v>
      </c>
      <c r="AD78" s="185" t="e">
        <f aca="false">IF($A79="","",VLOOKUP($A78,Table,MATCH(AD$4,Curves,0)))</f>
        <v>#N/A</v>
      </c>
      <c r="AE78" s="185" t="e">
        <f aca="false">SQRT((AD78^2*(A78-$D$3)+AC78^2*(DAY(EOMONTH(A78,0))/2))/AK78)</f>
        <v>#N/A</v>
      </c>
      <c r="AF78" s="224" t="e">
        <f aca="false">((Summary!$N$9*(AA78*AD78)*(A78-$D$3))+(Summary!$M$9*Z78*AC78*(AJ78-EOMONTH(EDATE(A78,-1),0))))/(AK78*AB78*AE78)</f>
        <v>#N/A</v>
      </c>
      <c r="AG78" s="207" t="n">
        <f aca="false">IF($A79="","",Summary!$Q$9)</f>
        <v>0</v>
      </c>
      <c r="AH78" s="207" t="n">
        <f aca="false">IF($A79="","",IF(Summary!$R$9="Y",VLOOKUP($A78,Summary!$AD$6:$AF$9,3)+'Escalating commodity'!E91,'Escalating commodity'!E91))</f>
        <v>0.0707</v>
      </c>
      <c r="AI78" s="207" t="n">
        <f aca="false">IF($A79="","",AH78)</f>
        <v>0.0707</v>
      </c>
      <c r="AJ78" s="208" t="n">
        <f aca="false">A78+DAY(EOMONTH(A78,0))/2-1</f>
        <v>39127</v>
      </c>
      <c r="AK78" s="209" t="n">
        <f aca="false">IF($A79="","",$A78-$E$1)</f>
        <v>-6812</v>
      </c>
      <c r="AL78" s="182" t="e">
        <f aca="false">IF($A79="","",SPRDOPT(P78,X78,AI78,0,AB78,AE78,AF78,AK78,$AJ$2,0))</f>
        <v>#NAME?</v>
      </c>
      <c r="AM78" s="211" t="e">
        <f aca="false">IF($A79="","",MAX(0,O78-W78-AI78))</f>
        <v>#N/A</v>
      </c>
      <c r="AN78" s="211" t="e">
        <f aca="false">IF($A79="","",AL78-AM78)</f>
        <v>#N/A</v>
      </c>
      <c r="AO78" s="137" t="n">
        <f aca="false">IF(A79="","",A79-A78)</f>
        <v>28</v>
      </c>
      <c r="AP78" s="212" t="n">
        <f aca="false">IF(A79="","",CHOOSE(F$3,A79+24,A78))</f>
        <v>39114</v>
      </c>
      <c r="AQ78" s="209" t="n">
        <f aca="false">IF(A79="","",AP78-$E$1)</f>
        <v>-6812</v>
      </c>
      <c r="AR78" s="185" t="n">
        <f aca="false">'ANR OK vs ML7'!AR78</f>
        <v>0.1</v>
      </c>
      <c r="AS78" s="213" t="n">
        <f aca="false">IF(A79="","",1/(1+CHOOSE(F$3,(AR79+($I$3/10000))/2,(AR78+($I$3/10000))/2))^(2*AQ78/365.25))</f>
        <v>6.1712196959169</v>
      </c>
      <c r="AT78" s="137" t="n">
        <f aca="false">IF(A79="","",IF(AND(mthbeg&lt;=A78,mthend&gt;=A78),1,0))</f>
        <v>1</v>
      </c>
      <c r="AU78" s="137" t="n">
        <f aca="false">IF(A79="","",AO78*AT78)</f>
        <v>28</v>
      </c>
      <c r="AW78" s="195" t="e">
        <f aca="false">IF($A79="","",AL78*$E78)</f>
        <v>#NAME?</v>
      </c>
      <c r="AX78" s="195" t="e">
        <f aca="false">IF($A79="","",AM78*$E78)</f>
        <v>#N/A</v>
      </c>
      <c r="AY78" s="195" t="e">
        <f aca="false">IF($A79="","",AN78*$E78)</f>
        <v>#N/A</v>
      </c>
      <c r="BA78" s="195" t="n">
        <f aca="false">IF($A79="","",F78*Summary!$Q$9)</f>
        <v>0</v>
      </c>
      <c r="BC78" s="179" t="e">
        <f aca="false">IF(A79="","",AM78*F78)</f>
        <v>#N/A</v>
      </c>
    </row>
    <row r="79" customFormat="false" ht="12.75" hidden="false" customHeight="false" outlineLevel="0" collapsed="false">
      <c r="A79" s="196" t="n">
        <f aca="false">IF(A78&lt;mthend,EDATE(A78,1),"")</f>
        <v>39142</v>
      </c>
      <c r="B79" s="197" t="n">
        <f aca="false">IF(A79&lt;mthend,B78,"")</f>
        <v>36050</v>
      </c>
      <c r="C79" s="215"/>
      <c r="D79" s="197" t="n">
        <f aca="false">IF(A80&lt;&gt;"",B79+C79,"")</f>
        <v>36050</v>
      </c>
      <c r="E79" s="199" t="n">
        <f aca="false">IF(A80="","",IF(AND(AT79=1,$H$3=1),D79*AO79,IF($H$3=2,D79,"N/A")))</f>
        <v>1117550</v>
      </c>
      <c r="F79" s="199" t="n">
        <f aca="false">IF(A80="","",E79*AS79)</f>
        <v>6845248.7514192</v>
      </c>
      <c r="G79" s="200" t="e">
        <f aca="false">IF($A80="","",VLOOKUP($A79,Table,MATCH(G$4,Curves,0)))</f>
        <v>#N/A</v>
      </c>
      <c r="H79" s="201" t="e">
        <f aca="false">IF(A80="","",G79)</f>
        <v>#N/A</v>
      </c>
      <c r="I79" s="202"/>
      <c r="J79" s="200" t="e">
        <f aca="false">IF($A80="","",VLOOKUP($A79,Table,MATCH(J$4,Curves,0)))</f>
        <v>#N/A</v>
      </c>
      <c r="K79" s="201" t="e">
        <f aca="false">IF(A80="","",J79)</f>
        <v>#N/A</v>
      </c>
      <c r="L79" s="200" t="e">
        <f aca="false">IF($A80="","",VLOOKUP($A79,Table,MATCH(L$4,Curves,0)))</f>
        <v>#N/A</v>
      </c>
      <c r="M79" s="201" t="e">
        <f aca="false">IF(A80="","",L79)</f>
        <v>#N/A</v>
      </c>
      <c r="N79" s="203"/>
      <c r="O79" s="200" t="e">
        <f aca="false">IF(A80="","",L79+J79+G79)</f>
        <v>#N/A</v>
      </c>
      <c r="P79" s="200" t="e">
        <f aca="false">IF(A80="","",M79+K79+H79)</f>
        <v>#N/A</v>
      </c>
      <c r="Q79" s="204"/>
      <c r="R79" s="200" t="e">
        <f aca="false">IF($A80="","",VLOOKUP($A79,Table,MATCH(R$4,Curves,0)))</f>
        <v>#N/A</v>
      </c>
      <c r="S79" s="201" t="e">
        <f aca="false">IF(A80="","",R79)</f>
        <v>#N/A</v>
      </c>
      <c r="T79" s="200" t="e">
        <f aca="false">IF($A80="","",VLOOKUP($A79,Table,MATCH(T$4,Curves,0)))</f>
        <v>#N/A</v>
      </c>
      <c r="U79" s="201" t="e">
        <f aca="false">IF(A80="","",T79)</f>
        <v>#N/A</v>
      </c>
      <c r="V79" s="225" t="e">
        <f aca="false">IF($A80="","",IF(AND(MONTH(A79)&gt;3,MONTH(A79)&lt;11),(T79+R79+G79)*Summary!$T$9/(1-Summary!$T$9),(T79+R79+G79)*Summary!$U$9/(1-Summary!$U$9)))</f>
        <v>#N/A</v>
      </c>
      <c r="W79" s="200" t="e">
        <f aca="false">IF($A80="","",(T79+R79+G79+V79))</f>
        <v>#N/A</v>
      </c>
      <c r="X79" s="200" t="e">
        <f aca="false">IF($A80="","",(U79+S79+H79+V79))</f>
        <v>#N/A</v>
      </c>
      <c r="Y79" s="202"/>
      <c r="Z79" s="185" t="e">
        <f aca="false">IF($A80="","",VLOOKUP($A79,Table,MATCH(Z$4,Curves,0)))</f>
        <v>#N/A</v>
      </c>
      <c r="AA79" s="185" t="e">
        <f aca="false">IF($A80="","",VLOOKUP($A79,Table,MATCH(AA$4,Curves,0)))</f>
        <v>#N/A</v>
      </c>
      <c r="AB79" s="185" t="e">
        <f aca="false">SQRT((AA79^2*(A79-$D$3)+Z79^2*(DAY(EOMONTH(A79,0))/2))/AK79)</f>
        <v>#N/A</v>
      </c>
      <c r="AC79" s="185" t="e">
        <f aca="false">IF($A80="","",VLOOKUP($A79,Table,MATCH(AC$4,Curves,0)))</f>
        <v>#N/A</v>
      </c>
      <c r="AD79" s="185" t="e">
        <f aca="false">IF($A80="","",VLOOKUP($A79,Table,MATCH(AD$4,Curves,0)))</f>
        <v>#N/A</v>
      </c>
      <c r="AE79" s="185" t="e">
        <f aca="false">SQRT((AD79^2*(A79-$D$3)+AC79^2*(DAY(EOMONTH(A79,0))/2))/AK79)</f>
        <v>#N/A</v>
      </c>
      <c r="AF79" s="224" t="e">
        <f aca="false">((Summary!$N$9*(AA79*AD79)*(A79-$D$3))+(Summary!$M$9*Z79*AC79*(AJ79-EOMONTH(EDATE(A79,-1),0))))/(AK79*AB79*AE79)</f>
        <v>#N/A</v>
      </c>
      <c r="AG79" s="207" t="n">
        <f aca="false">IF($A80="","",Summary!$Q$9)</f>
        <v>0</v>
      </c>
      <c r="AH79" s="207" t="n">
        <f aca="false">IF($A80="","",IF(Summary!$R$9="Y",VLOOKUP($A79,Summary!$AD$6:$AF$9,3)+'Escalating commodity'!E92,'Escalating commodity'!E92))</f>
        <v>0.0707</v>
      </c>
      <c r="AI79" s="207" t="n">
        <f aca="false">IF($A80="","",AH79)</f>
        <v>0.0707</v>
      </c>
      <c r="AJ79" s="208" t="n">
        <f aca="false">A79+DAY(EOMONTH(A79,0))/2-1</f>
        <v>39156.5</v>
      </c>
      <c r="AK79" s="209" t="n">
        <f aca="false">IF($A80="","",$A79-$E$1)</f>
        <v>-6784</v>
      </c>
      <c r="AL79" s="182" t="e">
        <f aca="false">IF($A80="","",SPRDOPT(P79,X79,AI79,0,AB79,AE79,AF79,AK79,$AJ$2,0))</f>
        <v>#NAME?</v>
      </c>
      <c r="AM79" s="211" t="e">
        <f aca="false">IF($A80="","",MAX(0,O79-W79-AI79))</f>
        <v>#N/A</v>
      </c>
      <c r="AN79" s="211" t="e">
        <f aca="false">IF($A80="","",AL79-AM79)</f>
        <v>#N/A</v>
      </c>
      <c r="AO79" s="137" t="n">
        <f aca="false">IF(A80="","",A80-A79)</f>
        <v>31</v>
      </c>
      <c r="AP79" s="212" t="n">
        <f aca="false">IF(A80="","",CHOOSE(F$3,A80+24,A79))</f>
        <v>39142</v>
      </c>
      <c r="AQ79" s="209" t="n">
        <f aca="false">IF(A80="","",AP79-$E$1)</f>
        <v>-6784</v>
      </c>
      <c r="AR79" s="185" t="n">
        <f aca="false">'ANR OK vs ML7'!AR79</f>
        <v>0.1</v>
      </c>
      <c r="AS79" s="213" t="n">
        <f aca="false">IF(A80="","",1/(1+CHOOSE(F$3,(AR80+($I$3/10000))/2,(AR79+($I$3/10000))/2))^(2*AQ79/365.25))</f>
        <v>6.12522817898009</v>
      </c>
      <c r="AT79" s="137" t="n">
        <f aca="false">IF(A80="","",IF(AND(mthbeg&lt;=A79,mthend&gt;=A79),1,0))</f>
        <v>1</v>
      </c>
      <c r="AU79" s="137" t="n">
        <f aca="false">IF(A80="","",AO79*AT79)</f>
        <v>31</v>
      </c>
      <c r="AW79" s="195" t="e">
        <f aca="false">IF($A80="","",AL79*$E79)</f>
        <v>#NAME?</v>
      </c>
      <c r="AX79" s="195" t="e">
        <f aca="false">IF($A80="","",AM79*$E79)</f>
        <v>#N/A</v>
      </c>
      <c r="AY79" s="195" t="e">
        <f aca="false">IF($A80="","",AN79*$E79)</f>
        <v>#N/A</v>
      </c>
      <c r="BA79" s="195" t="n">
        <f aca="false">IF($A80="","",F79*Summary!$Q$9)</f>
        <v>0</v>
      </c>
      <c r="BC79" s="179" t="e">
        <f aca="false">IF(A80="","",AM79*F79)</f>
        <v>#N/A</v>
      </c>
    </row>
    <row r="80" customFormat="false" ht="12.75" hidden="false" customHeight="false" outlineLevel="0" collapsed="false">
      <c r="A80" s="196" t="n">
        <f aca="false">IF(A79&lt;mthend,EDATE(A79,1),"")</f>
        <v>39173</v>
      </c>
      <c r="B80" s="197" t="n">
        <f aca="false">IF(A80&lt;mthend,B79,"")</f>
        <v>36050</v>
      </c>
      <c r="C80" s="215"/>
      <c r="D80" s="197" t="n">
        <f aca="false">IF(A81&lt;&gt;"",B80+C80,"")</f>
        <v>36050</v>
      </c>
      <c r="E80" s="199" t="n">
        <f aca="false">IF(A81="","",IF(AND(AT80=1,$H$3=1),D80*AO80,IF($H$3=2,D80,"N/A")))</f>
        <v>1081500</v>
      </c>
      <c r="F80" s="199" t="n">
        <f aca="false">IF(A81="","",E80*AS80)</f>
        <v>6569797.46067259</v>
      </c>
      <c r="G80" s="200" t="e">
        <f aca="false">IF($A81="","",VLOOKUP($A80,Table,MATCH(G$4,Curves,0)))</f>
        <v>#N/A</v>
      </c>
      <c r="H80" s="201" t="e">
        <f aca="false">IF(A81="","",G80)</f>
        <v>#N/A</v>
      </c>
      <c r="I80" s="202"/>
      <c r="J80" s="200" t="e">
        <f aca="false">IF($A81="","",VLOOKUP($A80,Table,MATCH(J$4,Curves,0)))</f>
        <v>#N/A</v>
      </c>
      <c r="K80" s="201" t="e">
        <f aca="false">IF(A81="","",J80)</f>
        <v>#N/A</v>
      </c>
      <c r="L80" s="200" t="e">
        <f aca="false">IF($A81="","",VLOOKUP($A80,Table,MATCH(L$4,Curves,0)))</f>
        <v>#N/A</v>
      </c>
      <c r="M80" s="201" t="e">
        <f aca="false">IF(A81="","",L80)</f>
        <v>#N/A</v>
      </c>
      <c r="N80" s="203"/>
      <c r="O80" s="200" t="e">
        <f aca="false">IF(A81="","",L80+J80+G80)</f>
        <v>#N/A</v>
      </c>
      <c r="P80" s="200" t="e">
        <f aca="false">IF(A81="","",M80+K80+H80)</f>
        <v>#N/A</v>
      </c>
      <c r="Q80" s="204"/>
      <c r="R80" s="200" t="e">
        <f aca="false">IF($A81="","",VLOOKUP($A80,Table,MATCH(R$4,Curves,0)))</f>
        <v>#N/A</v>
      </c>
      <c r="S80" s="201" t="e">
        <f aca="false">IF(A81="","",R80)</f>
        <v>#N/A</v>
      </c>
      <c r="T80" s="200" t="e">
        <f aca="false">IF($A81="","",VLOOKUP($A80,Table,MATCH(T$4,Curves,0)))</f>
        <v>#N/A</v>
      </c>
      <c r="U80" s="201" t="e">
        <f aca="false">IF(A81="","",T80)</f>
        <v>#N/A</v>
      </c>
      <c r="V80" s="225" t="e">
        <f aca="false">IF($A81="","",IF(AND(MONTH(A80)&gt;3,MONTH(A80)&lt;11),(T80+R80+G80)*Summary!$T$9/(1-Summary!$T$9),(T80+R80+G80)*Summary!$U$9/(1-Summary!$U$9)))</f>
        <v>#N/A</v>
      </c>
      <c r="W80" s="200" t="e">
        <f aca="false">IF($A81="","",(T80+R80+G80+V80))</f>
        <v>#N/A</v>
      </c>
      <c r="X80" s="200" t="e">
        <f aca="false">IF($A81="","",(U80+S80+H80+V80))</f>
        <v>#N/A</v>
      </c>
      <c r="Y80" s="202"/>
      <c r="Z80" s="185" t="e">
        <f aca="false">IF($A81="","",VLOOKUP($A80,Table,MATCH(Z$4,Curves,0)))</f>
        <v>#N/A</v>
      </c>
      <c r="AA80" s="185" t="e">
        <f aca="false">IF($A81="","",VLOOKUP($A80,Table,MATCH(AA$4,Curves,0)))</f>
        <v>#N/A</v>
      </c>
      <c r="AB80" s="185" t="e">
        <f aca="false">SQRT((AA80^2*(A80-$D$3)+Z80^2*(DAY(EOMONTH(A80,0))/2))/AK80)</f>
        <v>#N/A</v>
      </c>
      <c r="AC80" s="185" t="e">
        <f aca="false">IF($A81="","",VLOOKUP($A80,Table,MATCH(AC$4,Curves,0)))</f>
        <v>#N/A</v>
      </c>
      <c r="AD80" s="185" t="e">
        <f aca="false">IF($A81="","",VLOOKUP($A80,Table,MATCH(AD$4,Curves,0)))</f>
        <v>#N/A</v>
      </c>
      <c r="AE80" s="185" t="e">
        <f aca="false">SQRT((AD80^2*(A80-$D$3)+AC80^2*(DAY(EOMONTH(A80,0))/2))/AK80)</f>
        <v>#N/A</v>
      </c>
      <c r="AF80" s="224" t="e">
        <f aca="false">((Summary!$N$9*(AA80*AD80)*(A80-$D$3))+(Summary!$M$9*Z80*AC80*(AJ80-EOMONTH(EDATE(A80,-1),0))))/(AK80*AB80*AE80)</f>
        <v>#N/A</v>
      </c>
      <c r="AG80" s="207" t="n">
        <f aca="false">IF($A81="","",Summary!$Q$9)</f>
        <v>0</v>
      </c>
      <c r="AH80" s="207" t="n">
        <f aca="false">IF($A81="","",IF(Summary!$R$9="Y",VLOOKUP($A80,Summary!$AD$6:$AF$9,3)+'Escalating commodity'!E93,'Escalating commodity'!E93))</f>
        <v>0.0707</v>
      </c>
      <c r="AI80" s="207" t="n">
        <f aca="false">IF($A81="","",AH80)</f>
        <v>0.0707</v>
      </c>
      <c r="AJ80" s="208" t="n">
        <f aca="false">A80+DAY(EOMONTH(A80,0))/2-1</f>
        <v>39187</v>
      </c>
      <c r="AK80" s="209" t="n">
        <f aca="false">IF($A81="","",$A80-$E$1)</f>
        <v>-6753</v>
      </c>
      <c r="AL80" s="182" t="e">
        <f aca="false">IF($A81="","",SPRDOPT(P80,X80,AI80,0,AB80,AE80,AF80,AK80,$AJ$2,0))</f>
        <v>#NAME?</v>
      </c>
      <c r="AM80" s="211" t="e">
        <f aca="false">IF($A81="","",MAX(0,O80-W80-AI80))</f>
        <v>#N/A</v>
      </c>
      <c r="AN80" s="211" t="e">
        <f aca="false">IF($A81="","",AL80-AM80)</f>
        <v>#N/A</v>
      </c>
      <c r="AO80" s="137" t="n">
        <f aca="false">IF(A81="","",A81-A80)</f>
        <v>30</v>
      </c>
      <c r="AP80" s="212" t="n">
        <f aca="false">IF(A81="","",CHOOSE(F$3,A81+24,A80))</f>
        <v>39173</v>
      </c>
      <c r="AQ80" s="209" t="n">
        <f aca="false">IF(A81="","",AP80-$E$1)</f>
        <v>-6753</v>
      </c>
      <c r="AR80" s="185" t="n">
        <f aca="false">'ANR OK vs ML7'!AR80</f>
        <v>0.1</v>
      </c>
      <c r="AS80" s="213" t="n">
        <f aca="false">IF(A81="","",1/(1+CHOOSE(F$3,(AR81+($I$3/10000))/2,(AR80+($I$3/10000))/2))^(2*AQ80/365.25))</f>
        <v>6.07470870150031</v>
      </c>
      <c r="AT80" s="137" t="n">
        <f aca="false">IF(A81="","",IF(AND(mthbeg&lt;=A80,mthend&gt;=A80),1,0))</f>
        <v>1</v>
      </c>
      <c r="AU80" s="137" t="n">
        <f aca="false">IF(A81="","",AO80*AT80)</f>
        <v>30</v>
      </c>
      <c r="AW80" s="195" t="e">
        <f aca="false">IF($A81="","",AL80*$E80)</f>
        <v>#NAME?</v>
      </c>
      <c r="AX80" s="195" t="e">
        <f aca="false">IF($A81="","",AM80*$E80)</f>
        <v>#N/A</v>
      </c>
      <c r="AY80" s="195" t="e">
        <f aca="false">IF($A81="","",AN80*$E80)</f>
        <v>#N/A</v>
      </c>
      <c r="BA80" s="195" t="n">
        <f aca="false">IF($A81="","",F80*Summary!$Q$9)</f>
        <v>0</v>
      </c>
      <c r="BC80" s="179" t="e">
        <f aca="false">IF(A81="","",AM80*F80)</f>
        <v>#N/A</v>
      </c>
    </row>
    <row r="81" customFormat="false" ht="12.75" hidden="false" customHeight="false" outlineLevel="0" collapsed="false">
      <c r="A81" s="196" t="n">
        <f aca="false">IF(A80&lt;mthend,EDATE(A80,1),"")</f>
        <v>39203</v>
      </c>
      <c r="B81" s="197" t="n">
        <f aca="false">IF(A81&lt;mthend,B80,"")</f>
        <v>36050</v>
      </c>
      <c r="C81" s="215"/>
      <c r="D81" s="197" t="n">
        <f aca="false">IF(A82&lt;&gt;"",B81+C81,"")</f>
        <v>36050</v>
      </c>
      <c r="E81" s="199" t="n">
        <f aca="false">IF(A82="","",IF(AND(AT81=1,$H$3=1),D81*AO81,IF($H$3=2,D81,"N/A")))</f>
        <v>1117550</v>
      </c>
      <c r="F81" s="199" t="n">
        <f aca="false">IF(A82="","",E81*AS81)</f>
        <v>6734597.2975353</v>
      </c>
      <c r="G81" s="200" t="e">
        <f aca="false">IF($A82="","",VLOOKUP($A81,Table,MATCH(G$4,Curves,0)))</f>
        <v>#N/A</v>
      </c>
      <c r="H81" s="201" t="e">
        <f aca="false">IF(A82="","",G81)</f>
        <v>#N/A</v>
      </c>
      <c r="I81" s="202"/>
      <c r="J81" s="200" t="e">
        <f aca="false">IF($A82="","",VLOOKUP($A81,Table,MATCH(J$4,Curves,0)))</f>
        <v>#N/A</v>
      </c>
      <c r="K81" s="201" t="e">
        <f aca="false">IF(A82="","",J81)</f>
        <v>#N/A</v>
      </c>
      <c r="L81" s="200" t="e">
        <f aca="false">IF($A82="","",VLOOKUP($A81,Table,MATCH(L$4,Curves,0)))</f>
        <v>#N/A</v>
      </c>
      <c r="M81" s="201" t="e">
        <f aca="false">IF(A82="","",L81)</f>
        <v>#N/A</v>
      </c>
      <c r="N81" s="203"/>
      <c r="O81" s="200" t="e">
        <f aca="false">IF(A82="","",L81+J81+G81)</f>
        <v>#N/A</v>
      </c>
      <c r="P81" s="200" t="e">
        <f aca="false">IF(A82="","",M81+K81+H81)</f>
        <v>#N/A</v>
      </c>
      <c r="Q81" s="204"/>
      <c r="R81" s="200" t="e">
        <f aca="false">IF($A82="","",VLOOKUP($A81,Table,MATCH(R$4,Curves,0)))</f>
        <v>#N/A</v>
      </c>
      <c r="S81" s="201" t="e">
        <f aca="false">IF(A82="","",R81)</f>
        <v>#N/A</v>
      </c>
      <c r="T81" s="200" t="e">
        <f aca="false">IF($A82="","",VLOOKUP($A81,Table,MATCH(T$4,Curves,0)))</f>
        <v>#N/A</v>
      </c>
      <c r="U81" s="201" t="e">
        <f aca="false">IF(A82="","",T81)</f>
        <v>#N/A</v>
      </c>
      <c r="V81" s="225" t="e">
        <f aca="false">IF($A82="","",IF(AND(MONTH(A81)&gt;3,MONTH(A81)&lt;11),(T81+R81+G81)*Summary!$T$9/(1-Summary!$T$9),(T81+R81+G81)*Summary!$U$9/(1-Summary!$U$9)))</f>
        <v>#N/A</v>
      </c>
      <c r="W81" s="200" t="e">
        <f aca="false">IF($A82="","",(T81+R81+G81+V81))</f>
        <v>#N/A</v>
      </c>
      <c r="X81" s="200" t="e">
        <f aca="false">IF($A82="","",(U81+S81+H81+V81))</f>
        <v>#N/A</v>
      </c>
      <c r="Y81" s="202"/>
      <c r="Z81" s="185" t="e">
        <f aca="false">IF($A82="","",VLOOKUP($A81,Table,MATCH(Z$4,Curves,0)))</f>
        <v>#N/A</v>
      </c>
      <c r="AA81" s="185" t="e">
        <f aca="false">IF($A82="","",VLOOKUP($A81,Table,MATCH(AA$4,Curves,0)))</f>
        <v>#N/A</v>
      </c>
      <c r="AB81" s="185" t="e">
        <f aca="false">SQRT((AA81^2*(A81-$D$3)+Z81^2*(DAY(EOMONTH(A81,0))/2))/AK81)</f>
        <v>#N/A</v>
      </c>
      <c r="AC81" s="185" t="e">
        <f aca="false">IF($A82="","",VLOOKUP($A81,Table,MATCH(AC$4,Curves,0)))</f>
        <v>#N/A</v>
      </c>
      <c r="AD81" s="185" t="e">
        <f aca="false">IF($A82="","",VLOOKUP($A81,Table,MATCH(AD$4,Curves,0)))</f>
        <v>#N/A</v>
      </c>
      <c r="AE81" s="185" t="e">
        <f aca="false">SQRT((AD81^2*(A81-$D$3)+AC81^2*(DAY(EOMONTH(A81,0))/2))/AK81)</f>
        <v>#N/A</v>
      </c>
      <c r="AF81" s="224" t="e">
        <f aca="false">((Summary!$N$9*(AA81*AD81)*(A81-$D$3))+(Summary!$M$9*Z81*AC81*(AJ81-EOMONTH(EDATE(A81,-1),0))))/(AK81*AB81*AE81)</f>
        <v>#N/A</v>
      </c>
      <c r="AG81" s="207" t="n">
        <f aca="false">IF($A82="","",Summary!$Q$9)</f>
        <v>0</v>
      </c>
      <c r="AH81" s="207" t="n">
        <f aca="false">IF($A82="","",IF(Summary!$R$9="Y",VLOOKUP($A81,Summary!$AD$6:$AF$9,3)+'Escalating commodity'!E94,'Escalating commodity'!E94))</f>
        <v>0.0707</v>
      </c>
      <c r="AI81" s="207" t="n">
        <f aca="false">IF($A82="","",AH81)</f>
        <v>0.0707</v>
      </c>
      <c r="AJ81" s="208" t="n">
        <f aca="false">A81+DAY(EOMONTH(A81,0))/2-1</f>
        <v>39217.5</v>
      </c>
      <c r="AK81" s="209" t="n">
        <f aca="false">IF($A82="","",$A81-$E$1)</f>
        <v>-6723</v>
      </c>
      <c r="AL81" s="182" t="e">
        <f aca="false">IF($A82="","",SPRDOPT(P81,X81,AI81,0,AB81,AE81,AF81,AK81,$AJ$2,0))</f>
        <v>#NAME?</v>
      </c>
      <c r="AM81" s="211" t="e">
        <f aca="false">IF($A82="","",MAX(0,O81-W81-AI81))</f>
        <v>#N/A</v>
      </c>
      <c r="AN81" s="211" t="e">
        <f aca="false">IF($A82="","",AL81-AM81)</f>
        <v>#N/A</v>
      </c>
      <c r="AO81" s="137" t="n">
        <f aca="false">IF(A82="","",A82-A81)</f>
        <v>31</v>
      </c>
      <c r="AP81" s="212" t="n">
        <f aca="false">IF(A82="","",CHOOSE(F$3,A82+24,A81))</f>
        <v>39203</v>
      </c>
      <c r="AQ81" s="209" t="n">
        <f aca="false">IF(A82="","",AP81-$E$1)</f>
        <v>-6723</v>
      </c>
      <c r="AR81" s="185" t="n">
        <f aca="false">'ANR OK vs ML7'!AR81</f>
        <v>0.1</v>
      </c>
      <c r="AS81" s="213" t="n">
        <f aca="false">IF(A82="","",1/(1+CHOOSE(F$3,(AR82+($I$3/10000))/2,(AR81+($I$3/10000))/2))^(2*AQ81/365.25))</f>
        <v>6.02621564810102</v>
      </c>
      <c r="AT81" s="137" t="n">
        <f aca="false">IF(A82="","",IF(AND(mthbeg&lt;=A81,mthend&gt;=A81),1,0))</f>
        <v>1</v>
      </c>
      <c r="AU81" s="137" t="n">
        <f aca="false">IF(A82="","",AO81*AT81)</f>
        <v>31</v>
      </c>
      <c r="AW81" s="195" t="e">
        <f aca="false">IF($A82="","",AL81*$E81)</f>
        <v>#NAME?</v>
      </c>
      <c r="AX81" s="195" t="e">
        <f aca="false">IF($A82="","",AM81*$E81)</f>
        <v>#N/A</v>
      </c>
      <c r="AY81" s="195" t="e">
        <f aca="false">IF($A82="","",AN81*$E81)</f>
        <v>#N/A</v>
      </c>
      <c r="BA81" s="195" t="n">
        <f aca="false">IF($A82="","",F81*Summary!$Q$9)</f>
        <v>0</v>
      </c>
      <c r="BC81" s="179" t="e">
        <f aca="false">IF(A82="","",AM81*F81)</f>
        <v>#N/A</v>
      </c>
    </row>
    <row r="82" customFormat="false" ht="12.75" hidden="false" customHeight="false" outlineLevel="0" collapsed="false">
      <c r="A82" s="196" t="n">
        <f aca="false">IF(A81&lt;mthend,EDATE(A81,1),"")</f>
        <v>39234</v>
      </c>
      <c r="B82" s="197" t="n">
        <f aca="false">IF(A82&lt;mthend,B81,"")</f>
        <v>36050</v>
      </c>
      <c r="C82" s="215"/>
      <c r="D82" s="197" t="n">
        <f aca="false">IF(A83&lt;&gt;"",B82+C82,"")</f>
        <v>36050</v>
      </c>
      <c r="E82" s="199" t="n">
        <f aca="false">IF(A83="","",IF(AND(AT82=1,$H$3=1),D82*AO82,IF($H$3=2,D82,"N/A")))</f>
        <v>1081500</v>
      </c>
      <c r="F82" s="199" t="n">
        <f aca="false">IF(A83="","",E82*AS82)</f>
        <v>6463598.59673861</v>
      </c>
      <c r="G82" s="200" t="e">
        <f aca="false">IF($A83="","",VLOOKUP($A82,Table,MATCH(G$4,Curves,0)))</f>
        <v>#N/A</v>
      </c>
      <c r="H82" s="201" t="e">
        <f aca="false">IF(A83="","",G82)</f>
        <v>#N/A</v>
      </c>
      <c r="I82" s="202"/>
      <c r="J82" s="200" t="e">
        <f aca="false">IF($A83="","",VLOOKUP($A82,Table,MATCH(J$4,Curves,0)))</f>
        <v>#N/A</v>
      </c>
      <c r="K82" s="201" t="e">
        <f aca="false">IF(A83="","",J82)</f>
        <v>#N/A</v>
      </c>
      <c r="L82" s="200" t="e">
        <f aca="false">IF($A83="","",VLOOKUP($A82,Table,MATCH(L$4,Curves,0)))</f>
        <v>#N/A</v>
      </c>
      <c r="M82" s="201" t="e">
        <f aca="false">IF(A83="","",L82)</f>
        <v>#N/A</v>
      </c>
      <c r="N82" s="203"/>
      <c r="O82" s="200" t="e">
        <f aca="false">IF(A83="","",L82+J82+G82)</f>
        <v>#N/A</v>
      </c>
      <c r="P82" s="200" t="e">
        <f aca="false">IF(A83="","",M82+K82+H82)</f>
        <v>#N/A</v>
      </c>
      <c r="Q82" s="204"/>
      <c r="R82" s="200" t="e">
        <f aca="false">IF($A83="","",VLOOKUP($A82,Table,MATCH(R$4,Curves,0)))</f>
        <v>#N/A</v>
      </c>
      <c r="S82" s="201" t="e">
        <f aca="false">IF(A83="","",R82)</f>
        <v>#N/A</v>
      </c>
      <c r="T82" s="200" t="e">
        <f aca="false">IF($A83="","",VLOOKUP($A82,Table,MATCH(T$4,Curves,0)))</f>
        <v>#N/A</v>
      </c>
      <c r="U82" s="201" t="e">
        <f aca="false">IF(A83="","",T82)</f>
        <v>#N/A</v>
      </c>
      <c r="V82" s="225" t="e">
        <f aca="false">IF($A83="","",IF(AND(MONTH(A82)&gt;3,MONTH(A82)&lt;11),(T82+R82+G82)*Summary!$T$9/(1-Summary!$T$9),(T82+R82+G82)*Summary!$U$9/(1-Summary!$U$9)))</f>
        <v>#N/A</v>
      </c>
      <c r="W82" s="200" t="e">
        <f aca="false">IF($A83="","",(T82+R82+G82+V82))</f>
        <v>#N/A</v>
      </c>
      <c r="X82" s="200" t="e">
        <f aca="false">IF($A83="","",(U82+S82+H82+V82))</f>
        <v>#N/A</v>
      </c>
      <c r="Y82" s="202"/>
      <c r="Z82" s="185" t="e">
        <f aca="false">IF($A83="","",VLOOKUP($A82,Table,MATCH(Z$4,Curves,0)))</f>
        <v>#N/A</v>
      </c>
      <c r="AA82" s="185" t="e">
        <f aca="false">IF($A83="","",VLOOKUP($A82,Table,MATCH(AA$4,Curves,0)))</f>
        <v>#N/A</v>
      </c>
      <c r="AB82" s="185" t="e">
        <f aca="false">SQRT((AA82^2*(A82-$D$3)+Z82^2*(DAY(EOMONTH(A82,0))/2))/AK82)</f>
        <v>#N/A</v>
      </c>
      <c r="AC82" s="185" t="e">
        <f aca="false">IF($A83="","",VLOOKUP($A82,Table,MATCH(AC$4,Curves,0)))</f>
        <v>#N/A</v>
      </c>
      <c r="AD82" s="185" t="e">
        <f aca="false">IF($A83="","",VLOOKUP($A82,Table,MATCH(AD$4,Curves,0)))</f>
        <v>#N/A</v>
      </c>
      <c r="AE82" s="185" t="e">
        <f aca="false">SQRT((AD82^2*(A82-$D$3)+AC82^2*(DAY(EOMONTH(A82,0))/2))/AK82)</f>
        <v>#N/A</v>
      </c>
      <c r="AF82" s="224" t="e">
        <f aca="false">((Summary!$N$9*(AA82*AD82)*(A82-$D$3))+(Summary!$M$9*Z82*AC82*(AJ82-EOMONTH(EDATE(A82,-1),0))))/(AK82*AB82*AE82)</f>
        <v>#N/A</v>
      </c>
      <c r="AG82" s="207" t="n">
        <f aca="false">IF($A83="","",Summary!$Q$9)</f>
        <v>0</v>
      </c>
      <c r="AH82" s="207" t="n">
        <f aca="false">IF($A83="","",IF(Summary!$R$9="Y",VLOOKUP($A82,Summary!$AD$6:$AF$9,3)+'Escalating commodity'!E95,'Escalating commodity'!E95))</f>
        <v>0.0707</v>
      </c>
      <c r="AI82" s="207" t="n">
        <f aca="false">IF($A83="","",AH82)</f>
        <v>0.0707</v>
      </c>
      <c r="AJ82" s="208" t="n">
        <f aca="false">A82+DAY(EOMONTH(A82,0))/2-1</f>
        <v>39248</v>
      </c>
      <c r="AK82" s="209" t="n">
        <f aca="false">IF($A83="","",$A82-$E$1)</f>
        <v>-6692</v>
      </c>
      <c r="AL82" s="182" t="e">
        <f aca="false">IF($A83="","",SPRDOPT(P82,X82,AI82,0,AB82,AE82,AF82,AK82,$AJ$2,0))</f>
        <v>#NAME?</v>
      </c>
      <c r="AM82" s="211" t="e">
        <f aca="false">IF($A83="","",MAX(0,O82-W82-AI82))</f>
        <v>#N/A</v>
      </c>
      <c r="AN82" s="211" t="e">
        <f aca="false">IF($A83="","",AL82-AM82)</f>
        <v>#N/A</v>
      </c>
      <c r="AO82" s="137" t="n">
        <f aca="false">IF(A83="","",A83-A82)</f>
        <v>30</v>
      </c>
      <c r="AP82" s="212" t="n">
        <f aca="false">IF(A83="","",CHOOSE(F$3,A83+24,A82))</f>
        <v>39234</v>
      </c>
      <c r="AQ82" s="209" t="n">
        <f aca="false">IF(A83="","",AP82-$E$1)</f>
        <v>-6692</v>
      </c>
      <c r="AR82" s="185" t="n">
        <f aca="false">'ANR OK vs ML7'!AR82</f>
        <v>0.1</v>
      </c>
      <c r="AS82" s="213" t="n">
        <f aca="false">IF(A83="","",1/(1+CHOOSE(F$3,(AR83+($I$3/10000))/2,(AR82+($I$3/10000))/2))^(2*AQ82/365.25))</f>
        <v>5.97651280327195</v>
      </c>
      <c r="AT82" s="137" t="n">
        <f aca="false">IF(A83="","",IF(AND(mthbeg&lt;=A82,mthend&gt;=A82),1,0))</f>
        <v>1</v>
      </c>
      <c r="AU82" s="137" t="n">
        <f aca="false">IF(A83="","",AO82*AT82)</f>
        <v>30</v>
      </c>
      <c r="AW82" s="195" t="e">
        <f aca="false">IF($A83="","",AL82*$E82)</f>
        <v>#NAME?</v>
      </c>
      <c r="AX82" s="195" t="e">
        <f aca="false">IF($A83="","",AM82*$E82)</f>
        <v>#N/A</v>
      </c>
      <c r="AY82" s="195" t="e">
        <f aca="false">IF($A83="","",AN82*$E82)</f>
        <v>#N/A</v>
      </c>
      <c r="BA82" s="195" t="n">
        <f aca="false">IF($A83="","",F82*Summary!$Q$9)</f>
        <v>0</v>
      </c>
      <c r="BC82" s="179" t="e">
        <f aca="false">IF(A83="","",AM82*F82)</f>
        <v>#N/A</v>
      </c>
    </row>
    <row r="83" customFormat="false" ht="12.75" hidden="false" customHeight="false" outlineLevel="0" collapsed="false">
      <c r="A83" s="196" t="n">
        <f aca="false">IF(A82&lt;mthend,EDATE(A82,1),"")</f>
        <v>39264</v>
      </c>
      <c r="B83" s="197" t="n">
        <f aca="false">IF(A83&lt;mthend,B82,"")</f>
        <v>36050</v>
      </c>
      <c r="C83" s="215"/>
      <c r="D83" s="197" t="n">
        <f aca="false">IF(A84&lt;&gt;"",B83+C83,"")</f>
        <v>36050</v>
      </c>
      <c r="E83" s="199" t="n">
        <f aca="false">IF(A84="","",IF(AND(AT83=1,$H$3=1),D83*AO83,IF($H$3=2,D83,"N/A")))</f>
        <v>1117550</v>
      </c>
      <c r="F83" s="199" t="n">
        <f aca="false">IF(A84="","",E83*AS83)</f>
        <v>6625734.49220037</v>
      </c>
      <c r="G83" s="200" t="e">
        <f aca="false">IF($A84="","",VLOOKUP($A83,Table,MATCH(G$4,Curves,0)))</f>
        <v>#N/A</v>
      </c>
      <c r="H83" s="201" t="e">
        <f aca="false">IF(A84="","",G83)</f>
        <v>#N/A</v>
      </c>
      <c r="I83" s="202"/>
      <c r="J83" s="200" t="e">
        <f aca="false">IF($A84="","",VLOOKUP($A83,Table,MATCH(J$4,Curves,0)))</f>
        <v>#N/A</v>
      </c>
      <c r="K83" s="201" t="e">
        <f aca="false">IF(A84="","",J83)</f>
        <v>#N/A</v>
      </c>
      <c r="L83" s="200" t="e">
        <f aca="false">IF($A84="","",VLOOKUP($A83,Table,MATCH(L$4,Curves,0)))</f>
        <v>#N/A</v>
      </c>
      <c r="M83" s="201" t="e">
        <f aca="false">IF(A84="","",L83)</f>
        <v>#N/A</v>
      </c>
      <c r="N83" s="203"/>
      <c r="O83" s="200" t="e">
        <f aca="false">IF(A84="","",L83+J83+G83)</f>
        <v>#N/A</v>
      </c>
      <c r="P83" s="200" t="e">
        <f aca="false">IF(A84="","",M83+K83+H83)</f>
        <v>#N/A</v>
      </c>
      <c r="Q83" s="204"/>
      <c r="R83" s="200" t="e">
        <f aca="false">IF($A84="","",VLOOKUP($A83,Table,MATCH(R$4,Curves,0)))</f>
        <v>#N/A</v>
      </c>
      <c r="S83" s="201" t="e">
        <f aca="false">IF(A84="","",R83)</f>
        <v>#N/A</v>
      </c>
      <c r="T83" s="200" t="e">
        <f aca="false">IF($A84="","",VLOOKUP($A83,Table,MATCH(T$4,Curves,0)))</f>
        <v>#N/A</v>
      </c>
      <c r="U83" s="201" t="e">
        <f aca="false">IF(A84="","",T83)</f>
        <v>#N/A</v>
      </c>
      <c r="V83" s="225" t="e">
        <f aca="false">IF($A84="","",IF(AND(MONTH(A83)&gt;3,MONTH(A83)&lt;11),(T83+R83+G83)*Summary!$T$9/(1-Summary!$T$9),(T83+R83+G83)*Summary!$U$9/(1-Summary!$U$9)))</f>
        <v>#N/A</v>
      </c>
      <c r="W83" s="200" t="e">
        <f aca="false">IF($A84="","",(T83+R83+G83+V83))</f>
        <v>#N/A</v>
      </c>
      <c r="X83" s="200" t="e">
        <f aca="false">IF($A84="","",(U83+S83+H83+V83))</f>
        <v>#N/A</v>
      </c>
      <c r="Y83" s="202"/>
      <c r="Z83" s="185" t="e">
        <f aca="false">IF($A84="","",VLOOKUP($A83,Table,MATCH(Z$4,Curves,0)))</f>
        <v>#N/A</v>
      </c>
      <c r="AA83" s="185" t="e">
        <f aca="false">IF($A84="","",VLOOKUP($A83,Table,MATCH(AA$4,Curves,0)))</f>
        <v>#N/A</v>
      </c>
      <c r="AB83" s="185" t="e">
        <f aca="false">SQRT((AA83^2*(A83-$D$3)+Z83^2*(DAY(EOMONTH(A83,0))/2))/AK83)</f>
        <v>#N/A</v>
      </c>
      <c r="AC83" s="185" t="e">
        <f aca="false">IF($A84="","",VLOOKUP($A83,Table,MATCH(AC$4,Curves,0)))</f>
        <v>#N/A</v>
      </c>
      <c r="AD83" s="185" t="e">
        <f aca="false">IF($A84="","",VLOOKUP($A83,Table,MATCH(AD$4,Curves,0)))</f>
        <v>#N/A</v>
      </c>
      <c r="AE83" s="185" t="e">
        <f aca="false">SQRT((AD83^2*(A83-$D$3)+AC83^2*(DAY(EOMONTH(A83,0))/2))/AK83)</f>
        <v>#N/A</v>
      </c>
      <c r="AF83" s="224" t="e">
        <f aca="false">((Summary!$N$9*(AA83*AD83)*(A83-$D$3))+(Summary!$M$9*Z83*AC83*(AJ83-EOMONTH(EDATE(A83,-1),0))))/(AK83*AB83*AE83)</f>
        <v>#N/A</v>
      </c>
      <c r="AG83" s="207" t="n">
        <f aca="false">IF($A84="","",Summary!$Q$9)</f>
        <v>0</v>
      </c>
      <c r="AH83" s="207" t="n">
        <f aca="false">IF($A84="","",IF(Summary!$R$9="Y",VLOOKUP($A83,Summary!$AD$6:$AF$9,3)+'Escalating commodity'!E96,'Escalating commodity'!E96))</f>
        <v>0.0707</v>
      </c>
      <c r="AI83" s="207" t="n">
        <f aca="false">IF($A84="","",AH83)</f>
        <v>0.0707</v>
      </c>
      <c r="AJ83" s="208" t="n">
        <f aca="false">A83+DAY(EOMONTH(A83,0))/2-1</f>
        <v>39278.5</v>
      </c>
      <c r="AK83" s="209" t="n">
        <f aca="false">IF($A84="","",$A83-$E$1)</f>
        <v>-6662</v>
      </c>
      <c r="AL83" s="182" t="e">
        <f aca="false">IF($A84="","",SPRDOPT(P83,X83,AI83,0,AB83,AE83,AF83,AK83,$AJ$2,0))</f>
        <v>#NAME?</v>
      </c>
      <c r="AM83" s="211" t="e">
        <f aca="false">IF($A84="","",MAX(0,O83-W83-AI83))</f>
        <v>#N/A</v>
      </c>
      <c r="AN83" s="211" t="e">
        <f aca="false">IF($A84="","",AL83-AM83)</f>
        <v>#N/A</v>
      </c>
      <c r="AO83" s="137" t="n">
        <f aca="false">IF(A84="","",A84-A83)</f>
        <v>31</v>
      </c>
      <c r="AP83" s="212" t="n">
        <f aca="false">IF(A84="","",CHOOSE(F$3,A84+24,A83))</f>
        <v>39264</v>
      </c>
      <c r="AQ83" s="209" t="n">
        <f aca="false">IF(A84="","",AP83-$E$1)</f>
        <v>-6662</v>
      </c>
      <c r="AR83" s="185" t="n">
        <f aca="false">'ANR OK vs ML7'!AR83</f>
        <v>0.1</v>
      </c>
      <c r="AS83" s="213" t="n">
        <f aca="false">IF(A84="","",1/(1+CHOOSE(F$3,(AR84+($I$3/10000))/2,(AR83+($I$3/10000))/2))^(2*AQ83/365.25))</f>
        <v>5.92880362596785</v>
      </c>
      <c r="AT83" s="137" t="n">
        <f aca="false">IF(A84="","",IF(AND(mthbeg&lt;=A83,mthend&gt;=A83),1,0))</f>
        <v>1</v>
      </c>
      <c r="AU83" s="137" t="n">
        <f aca="false">IF(A84="","",AO83*AT83)</f>
        <v>31</v>
      </c>
      <c r="AW83" s="195" t="e">
        <f aca="false">IF($A84="","",AL83*$E83)</f>
        <v>#NAME?</v>
      </c>
      <c r="AX83" s="195" t="e">
        <f aca="false">IF($A84="","",AM83*$E83)</f>
        <v>#N/A</v>
      </c>
      <c r="AY83" s="195" t="e">
        <f aca="false">IF($A84="","",AN83*$E83)</f>
        <v>#N/A</v>
      </c>
      <c r="BA83" s="195" t="n">
        <f aca="false">IF($A84="","",F83*Summary!$Q$9)</f>
        <v>0</v>
      </c>
      <c r="BC83" s="179" t="e">
        <f aca="false">IF(A84="","",AM83*F83)</f>
        <v>#N/A</v>
      </c>
    </row>
    <row r="84" customFormat="false" ht="12.75" hidden="false" customHeight="false" outlineLevel="0" collapsed="false">
      <c r="A84" s="196" t="n">
        <f aca="false">IF(A83&lt;mthend,EDATE(A83,1),"")</f>
        <v>39295</v>
      </c>
      <c r="B84" s="197" t="n">
        <f aca="false">IF(A84&lt;mthend,B83,"")</f>
        <v>36050</v>
      </c>
      <c r="C84" s="215"/>
      <c r="D84" s="197" t="n">
        <f aca="false">IF(A85&lt;&gt;"",B84+C84,"")</f>
        <v>36050</v>
      </c>
      <c r="E84" s="199" t="n">
        <f aca="false">IF(A85="","",IF(AND(AT84=1,$H$3=1),D84*AO84,IF($H$3=2,D84,"N/A")))</f>
        <v>1117550</v>
      </c>
      <c r="F84" s="199" t="n">
        <f aca="false">IF(A85="","",E84*AS84)</f>
        <v>6571086.95341734</v>
      </c>
      <c r="G84" s="200" t="e">
        <f aca="false">IF($A85="","",VLOOKUP($A84,Table,MATCH(G$4,Curves,0)))</f>
        <v>#N/A</v>
      </c>
      <c r="H84" s="201" t="e">
        <f aca="false">IF(A85="","",G84)</f>
        <v>#N/A</v>
      </c>
      <c r="I84" s="202"/>
      <c r="J84" s="200" t="e">
        <f aca="false">IF($A85="","",VLOOKUP($A84,Table,MATCH(J$4,Curves,0)))</f>
        <v>#N/A</v>
      </c>
      <c r="K84" s="201" t="e">
        <f aca="false">IF(A85="","",J84)</f>
        <v>#N/A</v>
      </c>
      <c r="L84" s="200" t="e">
        <f aca="false">IF($A85="","",VLOOKUP($A84,Table,MATCH(L$4,Curves,0)))</f>
        <v>#N/A</v>
      </c>
      <c r="M84" s="201" t="e">
        <f aca="false">IF(A85="","",L84)</f>
        <v>#N/A</v>
      </c>
      <c r="N84" s="203"/>
      <c r="O84" s="200" t="e">
        <f aca="false">IF(A85="","",L84+J84+G84)</f>
        <v>#N/A</v>
      </c>
      <c r="P84" s="200" t="e">
        <f aca="false">IF(A85="","",M84+K84+H84)</f>
        <v>#N/A</v>
      </c>
      <c r="Q84" s="204"/>
      <c r="R84" s="200" t="e">
        <f aca="false">IF($A85="","",VLOOKUP($A84,Table,MATCH(R$4,Curves,0)))</f>
        <v>#N/A</v>
      </c>
      <c r="S84" s="201" t="e">
        <f aca="false">IF(A85="","",R84)</f>
        <v>#N/A</v>
      </c>
      <c r="T84" s="200" t="e">
        <f aca="false">IF($A85="","",VLOOKUP($A84,Table,MATCH(T$4,Curves,0)))</f>
        <v>#N/A</v>
      </c>
      <c r="U84" s="201" t="e">
        <f aca="false">IF(A85="","",T84)</f>
        <v>#N/A</v>
      </c>
      <c r="V84" s="225" t="e">
        <f aca="false">IF($A85="","",IF(AND(MONTH(A84)&gt;3,MONTH(A84)&lt;11),(T84+R84+G84)*Summary!$T$9/(1-Summary!$T$9),(T84+R84+G84)*Summary!$U$9/(1-Summary!$U$9)))</f>
        <v>#N/A</v>
      </c>
      <c r="W84" s="200" t="e">
        <f aca="false">IF($A85="","",(T84+R84+G84+V84))</f>
        <v>#N/A</v>
      </c>
      <c r="X84" s="200" t="e">
        <f aca="false">IF($A85="","",(U84+S84+H84+V84))</f>
        <v>#N/A</v>
      </c>
      <c r="Y84" s="202"/>
      <c r="Z84" s="185" t="e">
        <f aca="false">IF($A85="","",VLOOKUP($A84,Table,MATCH(Z$4,Curves,0)))</f>
        <v>#N/A</v>
      </c>
      <c r="AA84" s="185" t="e">
        <f aca="false">IF($A85="","",VLOOKUP($A84,Table,MATCH(AA$4,Curves,0)))</f>
        <v>#N/A</v>
      </c>
      <c r="AB84" s="185" t="e">
        <f aca="false">SQRT((AA84^2*(A84-$D$3)+Z84^2*(DAY(EOMONTH(A84,0))/2))/AK84)</f>
        <v>#N/A</v>
      </c>
      <c r="AC84" s="185" t="e">
        <f aca="false">IF($A85="","",VLOOKUP($A84,Table,MATCH(AC$4,Curves,0)))</f>
        <v>#N/A</v>
      </c>
      <c r="AD84" s="185" t="e">
        <f aca="false">IF($A85="","",VLOOKUP($A84,Table,MATCH(AD$4,Curves,0)))</f>
        <v>#N/A</v>
      </c>
      <c r="AE84" s="185" t="e">
        <f aca="false">SQRT((AD84^2*(A84-$D$3)+AC84^2*(DAY(EOMONTH(A84,0))/2))/AK84)</f>
        <v>#N/A</v>
      </c>
      <c r="AF84" s="224" t="e">
        <f aca="false">((Summary!$N$9*(AA84*AD84)*(A84-$D$3))+(Summary!$M$9*Z84*AC84*(AJ84-EOMONTH(EDATE(A84,-1),0))))/(AK84*AB84*AE84)</f>
        <v>#N/A</v>
      </c>
      <c r="AG84" s="207" t="n">
        <f aca="false">IF($A85="","",Summary!$Q$9)</f>
        <v>0</v>
      </c>
      <c r="AH84" s="207" t="n">
        <f aca="false">IF($A85="","",IF(Summary!$R$9="Y",VLOOKUP($A84,Summary!$AD$6:$AF$9,3)+'Escalating commodity'!E97,'Escalating commodity'!E97))</f>
        <v>0.0707</v>
      </c>
      <c r="AI84" s="207" t="n">
        <f aca="false">IF($A85="","",AH84)</f>
        <v>0.0707</v>
      </c>
      <c r="AJ84" s="208" t="n">
        <f aca="false">A84+DAY(EOMONTH(A84,0))/2-1</f>
        <v>39309.5</v>
      </c>
      <c r="AK84" s="209" t="n">
        <f aca="false">IF($A85="","",$A84-$E$1)</f>
        <v>-6631</v>
      </c>
      <c r="AL84" s="182" t="e">
        <f aca="false">IF($A85="","",SPRDOPT(P84,X84,AI84,0,AB84,AE84,AF84,AK84,$AJ$2,0))</f>
        <v>#NAME?</v>
      </c>
      <c r="AM84" s="211" t="e">
        <f aca="false">IF($A85="","",MAX(0,O84-W84-AI84))</f>
        <v>#N/A</v>
      </c>
      <c r="AN84" s="211" t="e">
        <f aca="false">IF($A85="","",AL84-AM84)</f>
        <v>#N/A</v>
      </c>
      <c r="AO84" s="137" t="n">
        <f aca="false">IF(A85="","",A85-A84)</f>
        <v>31</v>
      </c>
      <c r="AP84" s="212" t="n">
        <f aca="false">IF(A85="","",CHOOSE(F$3,A85+24,A84))</f>
        <v>39295</v>
      </c>
      <c r="AQ84" s="209" t="n">
        <f aca="false">IF(A85="","",AP84-$E$1)</f>
        <v>-6631</v>
      </c>
      <c r="AR84" s="185" t="n">
        <f aca="false">'ANR OK vs ML7'!AR84</f>
        <v>0.1</v>
      </c>
      <c r="AS84" s="213" t="n">
        <f aca="false">IF(A85="","",1/(1+CHOOSE(F$3,(AR85+($I$3/10000))/2,(AR84+($I$3/10000))/2))^(2*AQ84/365.25))</f>
        <v>5.87990421316034</v>
      </c>
      <c r="AT84" s="137" t="n">
        <f aca="false">IF(A85="","",IF(AND(mthbeg&lt;=A84,mthend&gt;=A84),1,0))</f>
        <v>1</v>
      </c>
      <c r="AU84" s="137" t="n">
        <f aca="false">IF(A85="","",AO84*AT84)</f>
        <v>31</v>
      </c>
      <c r="AW84" s="195" t="e">
        <f aca="false">IF($A85="","",AL84*$E84)</f>
        <v>#NAME?</v>
      </c>
      <c r="AX84" s="195" t="e">
        <f aca="false">IF($A85="","",AM84*$E84)</f>
        <v>#N/A</v>
      </c>
      <c r="AY84" s="195" t="e">
        <f aca="false">IF($A85="","",AN84*$E84)</f>
        <v>#N/A</v>
      </c>
      <c r="BA84" s="195" t="n">
        <f aca="false">IF($A85="","",F84*Summary!$Q$9)</f>
        <v>0</v>
      </c>
      <c r="BC84" s="179" t="e">
        <f aca="false">IF(A85="","",AM84*F84)</f>
        <v>#N/A</v>
      </c>
    </row>
    <row r="85" customFormat="false" ht="12.75" hidden="false" customHeight="false" outlineLevel="0" collapsed="false">
      <c r="A85" s="196" t="n">
        <f aca="false">IF(A84&lt;mthend,EDATE(A84,1),"")</f>
        <v>39326</v>
      </c>
      <c r="B85" s="197" t="n">
        <f aca="false">IF(A85&lt;mthend,B84,"")</f>
        <v>36050</v>
      </c>
      <c r="C85" s="215"/>
      <c r="D85" s="197" t="n">
        <f aca="false">IF(A86&lt;&gt;"",B85+C85,"")</f>
        <v>36050</v>
      </c>
      <c r="E85" s="199" t="n">
        <f aca="false">IF(A86="","",IF(AND(AT85=1,$H$3=1),D85*AO85,IF($H$3=2,D85,"N/A")))</f>
        <v>1081500</v>
      </c>
      <c r="F85" s="199" t="n">
        <f aca="false">IF(A86="","",E85*AS85)</f>
        <v>6306667.87258383</v>
      </c>
      <c r="G85" s="200" t="e">
        <f aca="false">IF($A86="","",VLOOKUP($A85,Table,MATCH(G$4,Curves,0)))</f>
        <v>#N/A</v>
      </c>
      <c r="H85" s="201" t="e">
        <f aca="false">IF(A86="","",G85)</f>
        <v>#N/A</v>
      </c>
      <c r="I85" s="202"/>
      <c r="J85" s="200" t="e">
        <f aca="false">IF($A86="","",VLOOKUP($A85,Table,MATCH(J$4,Curves,0)))</f>
        <v>#N/A</v>
      </c>
      <c r="K85" s="201" t="e">
        <f aca="false">IF(A86="","",J85)</f>
        <v>#N/A</v>
      </c>
      <c r="L85" s="200" t="e">
        <f aca="false">IF($A86="","",VLOOKUP($A85,Table,MATCH(L$4,Curves,0)))</f>
        <v>#N/A</v>
      </c>
      <c r="M85" s="201" t="e">
        <f aca="false">IF(A86="","",L85)</f>
        <v>#N/A</v>
      </c>
      <c r="N85" s="203"/>
      <c r="O85" s="200" t="e">
        <f aca="false">IF(A86="","",L85+J85+G85)</f>
        <v>#N/A</v>
      </c>
      <c r="P85" s="200" t="e">
        <f aca="false">IF(A86="","",M85+K85+H85)</f>
        <v>#N/A</v>
      </c>
      <c r="Q85" s="204"/>
      <c r="R85" s="200" t="e">
        <f aca="false">IF($A86="","",VLOOKUP($A85,Table,MATCH(R$4,Curves,0)))</f>
        <v>#N/A</v>
      </c>
      <c r="S85" s="201" t="e">
        <f aca="false">IF(A86="","",R85)</f>
        <v>#N/A</v>
      </c>
      <c r="T85" s="200" t="e">
        <f aca="false">IF($A86="","",VLOOKUP($A85,Table,MATCH(T$4,Curves,0)))</f>
        <v>#N/A</v>
      </c>
      <c r="U85" s="201" t="e">
        <f aca="false">IF(A86="","",T85)</f>
        <v>#N/A</v>
      </c>
      <c r="V85" s="225" t="e">
        <f aca="false">IF($A86="","",IF(AND(MONTH(A85)&gt;3,MONTH(A85)&lt;11),(T85+R85+G85)*Summary!$T$9/(1-Summary!$T$9),(T85+R85+G85)*Summary!$U$9/(1-Summary!$U$9)))</f>
        <v>#N/A</v>
      </c>
      <c r="W85" s="200" t="e">
        <f aca="false">IF($A86="","",(T85+R85+G85+V85))</f>
        <v>#N/A</v>
      </c>
      <c r="X85" s="200" t="e">
        <f aca="false">IF($A86="","",(U85+S85+H85+V85))</f>
        <v>#N/A</v>
      </c>
      <c r="Y85" s="202"/>
      <c r="Z85" s="185" t="e">
        <f aca="false">IF($A86="","",VLOOKUP($A85,Table,MATCH(Z$4,Curves,0)))</f>
        <v>#N/A</v>
      </c>
      <c r="AA85" s="185" t="e">
        <f aca="false">IF($A86="","",VLOOKUP($A85,Table,MATCH(AA$4,Curves,0)))</f>
        <v>#N/A</v>
      </c>
      <c r="AB85" s="185" t="e">
        <f aca="false">SQRT((AA85^2*(A85-$D$3)+Z85^2*(DAY(EOMONTH(A85,0))/2))/AK85)</f>
        <v>#N/A</v>
      </c>
      <c r="AC85" s="185" t="e">
        <f aca="false">IF($A86="","",VLOOKUP($A85,Table,MATCH(AC$4,Curves,0)))</f>
        <v>#N/A</v>
      </c>
      <c r="AD85" s="185" t="e">
        <f aca="false">IF($A86="","",VLOOKUP($A85,Table,MATCH(AD$4,Curves,0)))</f>
        <v>#N/A</v>
      </c>
      <c r="AE85" s="185" t="e">
        <f aca="false">SQRT((AD85^2*(A85-$D$3)+AC85^2*(DAY(EOMONTH(A85,0))/2))/AK85)</f>
        <v>#N/A</v>
      </c>
      <c r="AF85" s="224" t="e">
        <f aca="false">((Summary!$N$9*(AA85*AD85)*(A85-$D$3))+(Summary!$M$9*Z85*AC85*(AJ85-EOMONTH(EDATE(A85,-1),0))))/(AK85*AB85*AE85)</f>
        <v>#N/A</v>
      </c>
      <c r="AG85" s="207" t="n">
        <f aca="false">IF($A86="","",Summary!$Q$9)</f>
        <v>0</v>
      </c>
      <c r="AH85" s="207" t="n">
        <f aca="false">IF($A86="","",IF(Summary!$R$9="Y",VLOOKUP($A85,Summary!$AD$6:$AF$9,3)+'Escalating commodity'!E98,'Escalating commodity'!E98))</f>
        <v>0.0707</v>
      </c>
      <c r="AI85" s="207" t="n">
        <f aca="false">IF($A86="","",AH85)</f>
        <v>0.0707</v>
      </c>
      <c r="AJ85" s="208" t="n">
        <f aca="false">A85+DAY(EOMONTH(A85,0))/2-1</f>
        <v>39340</v>
      </c>
      <c r="AK85" s="209" t="n">
        <f aca="false">IF($A86="","",$A85-$E$1)</f>
        <v>-6600</v>
      </c>
      <c r="AL85" s="182" t="e">
        <f aca="false">IF($A86="","",SPRDOPT(P85,X85,AI85,0,AB85,AE85,AF85,AK85,$AJ$2,0))</f>
        <v>#NAME?</v>
      </c>
      <c r="AM85" s="211" t="e">
        <f aca="false">IF($A86="","",MAX(0,O85-W85-AI85))</f>
        <v>#N/A</v>
      </c>
      <c r="AN85" s="211" t="e">
        <f aca="false">IF($A86="","",AL85-AM85)</f>
        <v>#N/A</v>
      </c>
      <c r="AO85" s="137" t="n">
        <f aca="false">IF(A86="","",A86-A85)</f>
        <v>30</v>
      </c>
      <c r="AP85" s="212" t="n">
        <f aca="false">IF(A86="","",CHOOSE(F$3,A86+24,A85))</f>
        <v>39326</v>
      </c>
      <c r="AQ85" s="209" t="n">
        <f aca="false">IF(A86="","",AP85-$E$1)</f>
        <v>-6600</v>
      </c>
      <c r="AR85" s="185" t="n">
        <f aca="false">'ANR OK vs ML7'!AR85</f>
        <v>0.1</v>
      </c>
      <c r="AS85" s="213" t="n">
        <f aca="false">IF(A86="","",1/(1+CHOOSE(F$3,(AR86+($I$3/10000))/2,(AR85+($I$3/10000))/2))^(2*AQ85/365.25))</f>
        <v>5.83140811149684</v>
      </c>
      <c r="AT85" s="137" t="n">
        <f aca="false">IF(A86="","",IF(AND(mthbeg&lt;=A85,mthend&gt;=A85),1,0))</f>
        <v>1</v>
      </c>
      <c r="AU85" s="137" t="n">
        <f aca="false">IF(A86="","",AO85*AT85)</f>
        <v>30</v>
      </c>
      <c r="AW85" s="195" t="e">
        <f aca="false">IF($A86="","",AL85*$E85)</f>
        <v>#NAME?</v>
      </c>
      <c r="AX85" s="195" t="e">
        <f aca="false">IF($A86="","",AM85*$E85)</f>
        <v>#N/A</v>
      </c>
      <c r="AY85" s="195" t="e">
        <f aca="false">IF($A86="","",AN85*$E85)</f>
        <v>#N/A</v>
      </c>
      <c r="BA85" s="195" t="n">
        <f aca="false">IF($A86="","",F85*Summary!$Q$9)</f>
        <v>0</v>
      </c>
      <c r="BC85" s="179" t="e">
        <f aca="false">IF(A86="","",AM85*F85)</f>
        <v>#N/A</v>
      </c>
    </row>
    <row r="86" customFormat="false" ht="12.75" hidden="false" customHeight="false" outlineLevel="0" collapsed="false">
      <c r="A86" s="196" t="n">
        <f aca="false">IF(A85&lt;mthend,EDATE(A85,1),"")</f>
        <v>39356</v>
      </c>
      <c r="B86" s="197" t="n">
        <f aca="false">IF(A86&lt;mthend,B85,"")</f>
        <v>36050</v>
      </c>
      <c r="C86" s="215"/>
      <c r="D86" s="197" t="n">
        <f aca="false">IF(A87&lt;&gt;"",B86+C86,"")</f>
        <v>36050</v>
      </c>
      <c r="E86" s="199" t="n">
        <f aca="false">IF(A87="","",IF(AND(AT86=1,$H$3=1),D86*AO86,IF($H$3=2,D86,"N/A")))</f>
        <v>1117550</v>
      </c>
      <c r="F86" s="199" t="n">
        <f aca="false">IF(A87="","",E86*AS86)</f>
        <v>6464867.24520843</v>
      </c>
      <c r="G86" s="200" t="e">
        <f aca="false">IF($A87="","",VLOOKUP($A86,Table,MATCH(G$4,Curves,0)))</f>
        <v>#N/A</v>
      </c>
      <c r="H86" s="201" t="e">
        <f aca="false">IF(A87="","",G86)</f>
        <v>#N/A</v>
      </c>
      <c r="I86" s="202"/>
      <c r="J86" s="200" t="e">
        <f aca="false">IF($A87="","",VLOOKUP($A86,Table,MATCH(J$4,Curves,0)))</f>
        <v>#N/A</v>
      </c>
      <c r="K86" s="201" t="e">
        <f aca="false">IF(A87="","",J86)</f>
        <v>#N/A</v>
      </c>
      <c r="L86" s="200" t="e">
        <f aca="false">IF($A87="","",VLOOKUP($A86,Table,MATCH(L$4,Curves,0)))</f>
        <v>#N/A</v>
      </c>
      <c r="M86" s="201" t="e">
        <f aca="false">IF(A87="","",L86)</f>
        <v>#N/A</v>
      </c>
      <c r="N86" s="203"/>
      <c r="O86" s="200" t="e">
        <f aca="false">IF(A87="","",L86+J86+G86)</f>
        <v>#N/A</v>
      </c>
      <c r="P86" s="200" t="e">
        <f aca="false">IF(A87="","",M86+K86+H86)</f>
        <v>#N/A</v>
      </c>
      <c r="Q86" s="204"/>
      <c r="R86" s="200" t="e">
        <f aca="false">IF($A87="","",VLOOKUP($A86,Table,MATCH(R$4,Curves,0)))</f>
        <v>#N/A</v>
      </c>
      <c r="S86" s="201" t="e">
        <f aca="false">IF(A87="","",R86)</f>
        <v>#N/A</v>
      </c>
      <c r="T86" s="200" t="e">
        <f aca="false">IF($A87="","",VLOOKUP($A86,Table,MATCH(T$4,Curves,0)))</f>
        <v>#N/A</v>
      </c>
      <c r="U86" s="201" t="e">
        <f aca="false">IF(A87="","",T86)</f>
        <v>#N/A</v>
      </c>
      <c r="V86" s="225" t="e">
        <f aca="false">IF($A87="","",IF(AND(MONTH(A86)&gt;3,MONTH(A86)&lt;11),(T86+R86+G86)*Summary!$T$9/(1-Summary!$T$9),(T86+R86+G86)*Summary!$U$9/(1-Summary!$U$9)))</f>
        <v>#N/A</v>
      </c>
      <c r="W86" s="200" t="e">
        <f aca="false">IF($A87="","",(T86+R86+G86+V86))</f>
        <v>#N/A</v>
      </c>
      <c r="X86" s="200" t="e">
        <f aca="false">IF($A87="","",(U86+S86+H86+V86))</f>
        <v>#N/A</v>
      </c>
      <c r="Y86" s="202"/>
      <c r="Z86" s="185" t="e">
        <f aca="false">IF($A87="","",VLOOKUP($A86,Table,MATCH(Z$4,Curves,0)))</f>
        <v>#N/A</v>
      </c>
      <c r="AA86" s="185" t="e">
        <f aca="false">IF($A87="","",VLOOKUP($A86,Table,MATCH(AA$4,Curves,0)))</f>
        <v>#N/A</v>
      </c>
      <c r="AB86" s="185" t="e">
        <f aca="false">SQRT((AA86^2*(A86-$D$3)+Z86^2*(DAY(EOMONTH(A86,0))/2))/AK86)</f>
        <v>#N/A</v>
      </c>
      <c r="AC86" s="185" t="e">
        <f aca="false">IF($A87="","",VLOOKUP($A86,Table,MATCH(AC$4,Curves,0)))</f>
        <v>#N/A</v>
      </c>
      <c r="AD86" s="185" t="e">
        <f aca="false">IF($A87="","",VLOOKUP($A86,Table,MATCH(AD$4,Curves,0)))</f>
        <v>#N/A</v>
      </c>
      <c r="AE86" s="185" t="e">
        <f aca="false">SQRT((AD86^2*(A86-$D$3)+AC86^2*(DAY(EOMONTH(A86,0))/2))/AK86)</f>
        <v>#N/A</v>
      </c>
      <c r="AF86" s="224" t="e">
        <f aca="false">((Summary!$N$9*(AA86*AD86)*(A86-$D$3))+(Summary!$M$9*Z86*AC86*(AJ86-EOMONTH(EDATE(A86,-1),0))))/(AK86*AB86*AE86)</f>
        <v>#N/A</v>
      </c>
      <c r="AG86" s="207" t="n">
        <f aca="false">IF($A87="","",Summary!$Q$9)</f>
        <v>0</v>
      </c>
      <c r="AH86" s="207" t="n">
        <f aca="false">IF($A87="","",IF(Summary!$R$9="Y",VLOOKUP($A86,Summary!$AD$6:$AF$9,3)+'Escalating commodity'!E99,'Escalating commodity'!E99))</f>
        <v>0.0707</v>
      </c>
      <c r="AI86" s="207" t="n">
        <f aca="false">IF($A87="","",AH86)</f>
        <v>0.0707</v>
      </c>
      <c r="AJ86" s="208" t="n">
        <f aca="false">A86+DAY(EOMONTH(A86,0))/2-1</f>
        <v>39370.5</v>
      </c>
      <c r="AK86" s="209" t="n">
        <f aca="false">IF($A87="","",$A86-$E$1)</f>
        <v>-6570</v>
      </c>
      <c r="AL86" s="182" t="e">
        <f aca="false">IF($A87="","",SPRDOPT(P86,X86,AI86,0,AB86,AE86,AF86,AK86,$AJ$2,0))</f>
        <v>#NAME?</v>
      </c>
      <c r="AM86" s="211" t="e">
        <f aca="false">IF($A87="","",MAX(0,O86-W86-AI86))</f>
        <v>#N/A</v>
      </c>
      <c r="AN86" s="211" t="e">
        <f aca="false">IF($A87="","",AL86-AM86)</f>
        <v>#N/A</v>
      </c>
      <c r="AO86" s="137" t="n">
        <f aca="false">IF(A87="","",A87-A86)</f>
        <v>31</v>
      </c>
      <c r="AP86" s="212" t="n">
        <f aca="false">IF(A87="","",CHOOSE(F$3,A87+24,A86))</f>
        <v>39356</v>
      </c>
      <c r="AQ86" s="209" t="n">
        <f aca="false">IF(A87="","",AP86-$E$1)</f>
        <v>-6570</v>
      </c>
      <c r="AR86" s="185" t="n">
        <f aca="false">'ANR OK vs ML7'!AR86</f>
        <v>0.1</v>
      </c>
      <c r="AS86" s="213" t="n">
        <f aca="false">IF(A87="","",1/(1+CHOOSE(F$3,(AR87+($I$3/10000))/2,(AR86+($I$3/10000))/2))^(2*AQ86/365.25))</f>
        <v>5.78485727279176</v>
      </c>
      <c r="AT86" s="137" t="n">
        <f aca="false">IF(A87="","",IF(AND(mthbeg&lt;=A86,mthend&gt;=A86),1,0))</f>
        <v>1</v>
      </c>
      <c r="AU86" s="137" t="n">
        <f aca="false">IF(A87="","",AO86*AT86)</f>
        <v>31</v>
      </c>
      <c r="AW86" s="195" t="e">
        <f aca="false">IF($A87="","",AL86*$E86)</f>
        <v>#NAME?</v>
      </c>
      <c r="AX86" s="195" t="e">
        <f aca="false">IF($A87="","",AM86*$E86)</f>
        <v>#N/A</v>
      </c>
      <c r="AY86" s="195" t="e">
        <f aca="false">IF($A87="","",AN86*$E86)</f>
        <v>#N/A</v>
      </c>
      <c r="BA86" s="195" t="n">
        <f aca="false">IF($A87="","",F86*Summary!$Q$9)</f>
        <v>0</v>
      </c>
      <c r="BC86" s="179" t="e">
        <f aca="false">IF(A87="","",AM86*F86)</f>
        <v>#N/A</v>
      </c>
    </row>
    <row r="87" customFormat="false" ht="12.75" hidden="false" customHeight="false" outlineLevel="0" collapsed="false">
      <c r="A87" s="196" t="n">
        <f aca="false">IF(A86&lt;mthend,EDATE(A86,1),"")</f>
        <v>39387</v>
      </c>
      <c r="B87" s="197" t="n">
        <f aca="false">IF(A87&lt;mthend,B86,"")</f>
        <v>36050</v>
      </c>
      <c r="C87" s="215"/>
      <c r="D87" s="197" t="n">
        <f aca="false">IF(A88&lt;&gt;"",B87+C87,"")</f>
        <v>36050</v>
      </c>
      <c r="E87" s="199" t="n">
        <f aca="false">IF(A88="","",IF(AND(AT87=1,$H$3=1),D87*AO87,IF($H$3=2,D87,"N/A")))</f>
        <v>1081500</v>
      </c>
      <c r="F87" s="199" t="n">
        <f aca="false">IF(A88="","",E87*AS87)</f>
        <v>6204722.42186232</v>
      </c>
      <c r="G87" s="200" t="e">
        <f aca="false">IF($A88="","",VLOOKUP($A87,Table,MATCH(G$4,Curves,0)))</f>
        <v>#N/A</v>
      </c>
      <c r="H87" s="201" t="e">
        <f aca="false">IF(A88="","",G87)</f>
        <v>#N/A</v>
      </c>
      <c r="I87" s="202"/>
      <c r="J87" s="200" t="e">
        <f aca="false">IF($A88="","",VLOOKUP($A87,Table,MATCH(J$4,Curves,0)))</f>
        <v>#N/A</v>
      </c>
      <c r="K87" s="201" t="e">
        <f aca="false">IF(A88="","",J87)</f>
        <v>#N/A</v>
      </c>
      <c r="L87" s="200" t="e">
        <f aca="false">IF($A88="","",VLOOKUP($A87,Table,MATCH(L$4,Curves,0)))</f>
        <v>#N/A</v>
      </c>
      <c r="M87" s="201" t="e">
        <f aca="false">IF(A88="","",L87)</f>
        <v>#N/A</v>
      </c>
      <c r="N87" s="203"/>
      <c r="O87" s="200" t="e">
        <f aca="false">IF(A88="","",L87+J87+G87)</f>
        <v>#N/A</v>
      </c>
      <c r="P87" s="200" t="e">
        <f aca="false">IF(A88="","",M87+K87+H87)</f>
        <v>#N/A</v>
      </c>
      <c r="Q87" s="204"/>
      <c r="R87" s="200" t="e">
        <f aca="false">IF($A88="","",VLOOKUP($A87,Table,MATCH(R$4,Curves,0)))</f>
        <v>#N/A</v>
      </c>
      <c r="S87" s="201" t="e">
        <f aca="false">IF(A88="","",R87)</f>
        <v>#N/A</v>
      </c>
      <c r="T87" s="200" t="e">
        <f aca="false">IF($A88="","",VLOOKUP($A87,Table,MATCH(T$4,Curves,0)))</f>
        <v>#N/A</v>
      </c>
      <c r="U87" s="201" t="e">
        <f aca="false">IF(A88="","",T87)</f>
        <v>#N/A</v>
      </c>
      <c r="V87" s="225" t="e">
        <f aca="false">IF($A88="","",IF(AND(MONTH(A87)&gt;3,MONTH(A87)&lt;11),(T87+R87+G87)*Summary!$T$9/(1-Summary!$T$9),(T87+R87+G87)*Summary!$U$9/(1-Summary!$U$9)))</f>
        <v>#N/A</v>
      </c>
      <c r="W87" s="200" t="e">
        <f aca="false">IF($A88="","",(T87+R87+G87+V87))</f>
        <v>#N/A</v>
      </c>
      <c r="X87" s="200" t="e">
        <f aca="false">IF($A88="","",(U87+S87+H87+V87))</f>
        <v>#N/A</v>
      </c>
      <c r="Y87" s="202"/>
      <c r="Z87" s="185" t="e">
        <f aca="false">IF($A88="","",VLOOKUP($A87,Table,MATCH(Z$4,Curves,0)))</f>
        <v>#N/A</v>
      </c>
      <c r="AA87" s="185" t="e">
        <f aca="false">IF($A88="","",VLOOKUP($A87,Table,MATCH(AA$4,Curves,0)))</f>
        <v>#N/A</v>
      </c>
      <c r="AB87" s="185" t="e">
        <f aca="false">SQRT((AA87^2*(A87-$D$3)+Z87^2*(DAY(EOMONTH(A87,0))/2))/AK87)</f>
        <v>#N/A</v>
      </c>
      <c r="AC87" s="185" t="e">
        <f aca="false">IF($A88="","",VLOOKUP($A87,Table,MATCH(AC$4,Curves,0)))</f>
        <v>#N/A</v>
      </c>
      <c r="AD87" s="185" t="e">
        <f aca="false">IF($A88="","",VLOOKUP($A87,Table,MATCH(AD$4,Curves,0)))</f>
        <v>#N/A</v>
      </c>
      <c r="AE87" s="185" t="e">
        <f aca="false">SQRT((AD87^2*(A87-$D$3)+AC87^2*(DAY(EOMONTH(A87,0))/2))/AK87)</f>
        <v>#N/A</v>
      </c>
      <c r="AF87" s="224" t="e">
        <f aca="false">((Summary!$N$9*(AA87*AD87)*(A87-$D$3))+(Summary!$M$9*Z87*AC87*(AJ87-EOMONTH(EDATE(A87,-1),0))))/(AK87*AB87*AE87)</f>
        <v>#N/A</v>
      </c>
      <c r="AG87" s="207" t="n">
        <f aca="false">IF($A88="","",Summary!$Q$9)</f>
        <v>0</v>
      </c>
      <c r="AH87" s="207" t="n">
        <f aca="false">IF($A88="","",IF(Summary!$R$9="Y",VLOOKUP($A87,Summary!$AD$6:$AF$9,3)+'Escalating commodity'!E100,'Escalating commodity'!E100))</f>
        <v>0.0707</v>
      </c>
      <c r="AI87" s="207" t="n">
        <f aca="false">IF($A88="","",AH87)</f>
        <v>0.0707</v>
      </c>
      <c r="AJ87" s="208" t="n">
        <f aca="false">A87+DAY(EOMONTH(A87,0))/2-1</f>
        <v>39401</v>
      </c>
      <c r="AK87" s="209" t="n">
        <f aca="false">IF($A88="","",$A87-$E$1)</f>
        <v>-6539</v>
      </c>
      <c r="AL87" s="182" t="e">
        <f aca="false">IF($A88="","",SPRDOPT(P87,X87,AI87,0,AB87,AE87,AF87,AK87,$AJ$2,0))</f>
        <v>#NAME?</v>
      </c>
      <c r="AM87" s="211" t="e">
        <f aca="false">IF($A88="","",MAX(0,O87-W87-AI87))</f>
        <v>#N/A</v>
      </c>
      <c r="AN87" s="211" t="e">
        <f aca="false">IF($A88="","",AL87-AM87)</f>
        <v>#N/A</v>
      </c>
      <c r="AO87" s="137" t="n">
        <f aca="false">IF(A88="","",A88-A87)</f>
        <v>30</v>
      </c>
      <c r="AP87" s="212" t="n">
        <f aca="false">IF(A88="","",CHOOSE(F$3,A88+24,A87))</f>
        <v>39387</v>
      </c>
      <c r="AQ87" s="209" t="n">
        <f aca="false">IF(A88="","",AP87-$E$1)</f>
        <v>-6539</v>
      </c>
      <c r="AR87" s="185" t="n">
        <f aca="false">'ANR OK vs ML7'!AR87</f>
        <v>0.1</v>
      </c>
      <c r="AS87" s="213" t="n">
        <f aca="false">IF(A88="","",1/(1+CHOOSE(F$3,(AR88+($I$3/10000))/2,(AR87+($I$3/10000))/2))^(2*AQ87/365.25))</f>
        <v>5.73714509649775</v>
      </c>
      <c r="AT87" s="137" t="n">
        <f aca="false">IF(A88="","",IF(AND(mthbeg&lt;=A87,mthend&gt;=A87),1,0))</f>
        <v>1</v>
      </c>
      <c r="AU87" s="137" t="n">
        <f aca="false">IF(A88="","",AO87*AT87)</f>
        <v>30</v>
      </c>
      <c r="AW87" s="195" t="e">
        <f aca="false">IF($A88="","",AL87*$E87)</f>
        <v>#NAME?</v>
      </c>
      <c r="AX87" s="195" t="e">
        <f aca="false">IF($A88="","",AM87*$E87)</f>
        <v>#N/A</v>
      </c>
      <c r="AY87" s="195" t="e">
        <f aca="false">IF($A88="","",AN87*$E87)</f>
        <v>#N/A</v>
      </c>
      <c r="BA87" s="195" t="n">
        <f aca="false">IF($A88="","",F87*Summary!$Q$9)</f>
        <v>0</v>
      </c>
      <c r="BC87" s="179" t="e">
        <f aca="false">IF(A88="","",AM87*F87)</f>
        <v>#N/A</v>
      </c>
    </row>
    <row r="88" customFormat="false" ht="12.75" hidden="false" customHeight="false" outlineLevel="0" collapsed="false">
      <c r="A88" s="196" t="n">
        <f aca="false">IF(A87&lt;mthend,EDATE(A87,1),"")</f>
        <v>39417</v>
      </c>
      <c r="B88" s="197" t="n">
        <f aca="false">IF(A88&lt;mthend,B87,"")</f>
        <v>36050</v>
      </c>
      <c r="C88" s="215"/>
      <c r="D88" s="197" t="n">
        <f aca="false">IF(A89&lt;&gt;"",B88+C88,"")</f>
        <v>36050</v>
      </c>
      <c r="E88" s="199" t="n">
        <f aca="false">IF(A89="","",IF(AND(AT88=1,$H$3=1),D88*AO88,IF($H$3=2,D88,"N/A")))</f>
        <v>1117550</v>
      </c>
      <c r="F88" s="199" t="n">
        <f aca="false">IF(A89="","",E88*AS88)</f>
        <v>6360364.54766944</v>
      </c>
      <c r="G88" s="200" t="e">
        <f aca="false">IF($A89="","",VLOOKUP($A88,Table,MATCH(G$4,Curves,0)))</f>
        <v>#N/A</v>
      </c>
      <c r="H88" s="201" t="e">
        <f aca="false">IF(A89="","",G88)</f>
        <v>#N/A</v>
      </c>
      <c r="I88" s="202"/>
      <c r="J88" s="200" t="e">
        <f aca="false">IF($A89="","",VLOOKUP($A88,Table,MATCH(J$4,Curves,0)))</f>
        <v>#N/A</v>
      </c>
      <c r="K88" s="201" t="e">
        <f aca="false">IF(A89="","",J88)</f>
        <v>#N/A</v>
      </c>
      <c r="L88" s="200" t="e">
        <f aca="false">IF($A89="","",VLOOKUP($A88,Table,MATCH(L$4,Curves,0)))</f>
        <v>#N/A</v>
      </c>
      <c r="M88" s="201" t="e">
        <f aca="false">IF(A89="","",L88)</f>
        <v>#N/A</v>
      </c>
      <c r="N88" s="203"/>
      <c r="O88" s="200" t="e">
        <f aca="false">IF(A89="","",L88+J88+G88)</f>
        <v>#N/A</v>
      </c>
      <c r="P88" s="200" t="e">
        <f aca="false">IF(A89="","",M88+K88+H88)</f>
        <v>#N/A</v>
      </c>
      <c r="Q88" s="204"/>
      <c r="R88" s="200" t="e">
        <f aca="false">IF($A89="","",VLOOKUP($A88,Table,MATCH(R$4,Curves,0)))</f>
        <v>#N/A</v>
      </c>
      <c r="S88" s="201" t="e">
        <f aca="false">IF(A89="","",R88)</f>
        <v>#N/A</v>
      </c>
      <c r="T88" s="200" t="e">
        <f aca="false">IF($A89="","",VLOOKUP($A88,Table,MATCH(T$4,Curves,0)))</f>
        <v>#N/A</v>
      </c>
      <c r="U88" s="201" t="e">
        <f aca="false">IF(A89="","",T88)</f>
        <v>#N/A</v>
      </c>
      <c r="V88" s="225" t="e">
        <f aca="false">IF($A89="","",IF(AND(MONTH(A88)&gt;3,MONTH(A88)&lt;11),(T88+R88+G88)*Summary!$T$9/(1-Summary!$T$9),(T88+R88+G88)*Summary!$U$9/(1-Summary!$U$9)))</f>
        <v>#N/A</v>
      </c>
      <c r="W88" s="200" t="e">
        <f aca="false">IF($A89="","",(T88+R88+G88+V88))</f>
        <v>#N/A</v>
      </c>
      <c r="X88" s="200" t="e">
        <f aca="false">IF($A89="","",(U88+S88+H88+V88))</f>
        <v>#N/A</v>
      </c>
      <c r="Y88" s="202"/>
      <c r="Z88" s="185" t="e">
        <f aca="false">IF($A89="","",VLOOKUP($A88,Table,MATCH(Z$4,Curves,0)))</f>
        <v>#N/A</v>
      </c>
      <c r="AA88" s="185" t="e">
        <f aca="false">IF($A89="","",VLOOKUP($A88,Table,MATCH(AA$4,Curves,0)))</f>
        <v>#N/A</v>
      </c>
      <c r="AB88" s="185" t="e">
        <f aca="false">SQRT((AA88^2*(A88-$D$3)+Z88^2*(DAY(EOMONTH(A88,0))/2))/AK88)</f>
        <v>#N/A</v>
      </c>
      <c r="AC88" s="185" t="e">
        <f aca="false">IF($A89="","",VLOOKUP($A88,Table,MATCH(AC$4,Curves,0)))</f>
        <v>#N/A</v>
      </c>
      <c r="AD88" s="185" t="e">
        <f aca="false">IF($A89="","",VLOOKUP($A88,Table,MATCH(AD$4,Curves,0)))</f>
        <v>#N/A</v>
      </c>
      <c r="AE88" s="185" t="e">
        <f aca="false">SQRT((AD88^2*(A88-$D$3)+AC88^2*(DAY(EOMONTH(A88,0))/2))/AK88)</f>
        <v>#N/A</v>
      </c>
      <c r="AF88" s="224" t="e">
        <f aca="false">((Summary!$N$9*(AA88*AD88)*(A88-$D$3))+(Summary!$M$9*Z88*AC88*(AJ88-EOMONTH(EDATE(A88,-1),0))))/(AK88*AB88*AE88)</f>
        <v>#N/A</v>
      </c>
      <c r="AG88" s="207" t="n">
        <f aca="false">IF($A89="","",Summary!$Q$9)</f>
        <v>0</v>
      </c>
      <c r="AH88" s="207" t="n">
        <f aca="false">IF($A89="","",IF(Summary!$R$9="Y",VLOOKUP($A88,Summary!$AD$6:$AF$9,3)+'Escalating commodity'!E101,'Escalating commodity'!E101))</f>
        <v>0.0707</v>
      </c>
      <c r="AI88" s="207" t="n">
        <f aca="false">IF($A89="","",AH88)</f>
        <v>0.0707</v>
      </c>
      <c r="AJ88" s="208" t="n">
        <f aca="false">A88+DAY(EOMONTH(A88,0))/2-1</f>
        <v>39431.5</v>
      </c>
      <c r="AK88" s="209" t="n">
        <f aca="false">IF($A89="","",$A88-$E$1)</f>
        <v>-6509</v>
      </c>
      <c r="AL88" s="182" t="e">
        <f aca="false">IF($A89="","",SPRDOPT(P88,X88,AI88,0,AB88,AE88,AF88,AK88,$AJ$2,0))</f>
        <v>#NAME?</v>
      </c>
      <c r="AM88" s="211" t="e">
        <f aca="false">IF($A89="","",MAX(0,O88-W88-AI88))</f>
        <v>#N/A</v>
      </c>
      <c r="AN88" s="211" t="e">
        <f aca="false">IF($A89="","",AL88-AM88)</f>
        <v>#N/A</v>
      </c>
      <c r="AO88" s="137" t="n">
        <f aca="false">IF(A89="","",A89-A88)</f>
        <v>31</v>
      </c>
      <c r="AP88" s="212" t="n">
        <f aca="false">IF(A89="","",CHOOSE(F$3,A89+24,A88))</f>
        <v>39417</v>
      </c>
      <c r="AQ88" s="209" t="n">
        <f aca="false">IF(A89="","",AP88-$E$1)</f>
        <v>-6509</v>
      </c>
      <c r="AR88" s="185" t="n">
        <f aca="false">'ANR OK vs ML7'!AR88</f>
        <v>0.1</v>
      </c>
      <c r="AS88" s="213" t="n">
        <f aca="false">IF(A89="","",1/(1+CHOOSE(F$3,(AR89+($I$3/10000))/2,(AR88+($I$3/10000))/2))^(2*AQ88/365.25))</f>
        <v>5.69134673855258</v>
      </c>
      <c r="AT88" s="137" t="n">
        <f aca="false">IF(A89="","",IF(AND(mthbeg&lt;=A88,mthend&gt;=A88),1,0))</f>
        <v>1</v>
      </c>
      <c r="AU88" s="137" t="n">
        <f aca="false">IF(A89="","",AO88*AT88)</f>
        <v>31</v>
      </c>
      <c r="AW88" s="195" t="e">
        <f aca="false">IF($A89="","",AL88*$E88)</f>
        <v>#NAME?</v>
      </c>
      <c r="AX88" s="195" t="e">
        <f aca="false">IF($A89="","",AM88*$E88)</f>
        <v>#N/A</v>
      </c>
      <c r="AY88" s="195" t="e">
        <f aca="false">IF($A89="","",AN88*$E88)</f>
        <v>#N/A</v>
      </c>
      <c r="BA88" s="195" t="n">
        <f aca="false">IF($A89="","",F88*Summary!$Q$9)</f>
        <v>0</v>
      </c>
      <c r="BC88" s="179" t="e">
        <f aca="false">IF(A89="","",AM88*F88)</f>
        <v>#N/A</v>
      </c>
    </row>
    <row r="89" customFormat="false" ht="12.75" hidden="false" customHeight="false" outlineLevel="0" collapsed="false">
      <c r="A89" s="196" t="n">
        <f aca="false">IF(A88&lt;mthend,EDATE(A88,1),"")</f>
        <v>39448</v>
      </c>
      <c r="B89" s="197" t="n">
        <f aca="false">IF(A89&lt;mthend,B88,"")</f>
        <v>36050</v>
      </c>
      <c r="C89" s="215"/>
      <c r="D89" s="197" t="n">
        <f aca="false">IF(A90&lt;&gt;"",B89+C89,"")</f>
        <v>36050</v>
      </c>
      <c r="E89" s="199" t="n">
        <f aca="false">IF(A90="","",IF(AND(AT89=1,$H$3=1),D89*AO89,IF($H$3=2,D89,"N/A")))</f>
        <v>1117550</v>
      </c>
      <c r="F89" s="199" t="n">
        <f aca="false">IF(A90="","",E89*AS89)</f>
        <v>6307905.71933846</v>
      </c>
      <c r="G89" s="200" t="e">
        <f aca="false">IF($A90="","",VLOOKUP($A89,Table,MATCH(G$4,Curves,0)))</f>
        <v>#N/A</v>
      </c>
      <c r="H89" s="201" t="e">
        <f aca="false">IF(A90="","",G89)</f>
        <v>#N/A</v>
      </c>
      <c r="I89" s="202"/>
      <c r="J89" s="200" t="e">
        <f aca="false">IF($A90="","",VLOOKUP($A89,Table,MATCH(J$4,Curves,0)))</f>
        <v>#N/A</v>
      </c>
      <c r="K89" s="201" t="e">
        <f aca="false">IF(A90="","",J89)</f>
        <v>#N/A</v>
      </c>
      <c r="L89" s="200" t="e">
        <f aca="false">IF($A90="","",VLOOKUP($A89,Table,MATCH(L$4,Curves,0)))</f>
        <v>#N/A</v>
      </c>
      <c r="M89" s="201" t="e">
        <f aca="false">IF(A90="","",L89)</f>
        <v>#N/A</v>
      </c>
      <c r="N89" s="203"/>
      <c r="O89" s="200" t="e">
        <f aca="false">IF(A90="","",L89+J89+G89)</f>
        <v>#N/A</v>
      </c>
      <c r="P89" s="200" t="e">
        <f aca="false">IF(A90="","",M89+K89+H89)</f>
        <v>#N/A</v>
      </c>
      <c r="Q89" s="204"/>
      <c r="R89" s="200" t="e">
        <f aca="false">IF($A90="","",VLOOKUP($A89,Table,MATCH(R$4,Curves,0)))</f>
        <v>#N/A</v>
      </c>
      <c r="S89" s="201" t="e">
        <f aca="false">IF(A90="","",R89)</f>
        <v>#N/A</v>
      </c>
      <c r="T89" s="200" t="e">
        <f aca="false">IF($A90="","",VLOOKUP($A89,Table,MATCH(T$4,Curves,0)))</f>
        <v>#N/A</v>
      </c>
      <c r="U89" s="201" t="e">
        <f aca="false">IF(A90="","",T89)</f>
        <v>#N/A</v>
      </c>
      <c r="V89" s="225" t="e">
        <f aca="false">IF($A90="","",IF(AND(MONTH(A89)&gt;3,MONTH(A89)&lt;11),(T89+R89+G89)*Summary!$T$9/(1-Summary!$T$9),(T89+R89+G89)*Summary!$U$9/(1-Summary!$U$9)))</f>
        <v>#N/A</v>
      </c>
      <c r="W89" s="200" t="e">
        <f aca="false">IF($A90="","",(T89+R89+G89+V89))</f>
        <v>#N/A</v>
      </c>
      <c r="X89" s="200" t="e">
        <f aca="false">IF($A90="","",(U89+S89+H89+V89))</f>
        <v>#N/A</v>
      </c>
      <c r="Y89" s="202"/>
      <c r="Z89" s="185" t="e">
        <f aca="false">IF($A90="","",VLOOKUP($A89,Table,MATCH(Z$4,Curves,0)))</f>
        <v>#N/A</v>
      </c>
      <c r="AA89" s="185" t="e">
        <f aca="false">IF($A90="","",VLOOKUP($A89,Table,MATCH(AA$4,Curves,0)))</f>
        <v>#N/A</v>
      </c>
      <c r="AB89" s="185" t="e">
        <f aca="false">SQRT((AA89^2*(A89-$D$3)+Z89^2*(DAY(EOMONTH(A89,0))/2))/AK89)</f>
        <v>#N/A</v>
      </c>
      <c r="AC89" s="185" t="e">
        <f aca="false">IF($A90="","",VLOOKUP($A89,Table,MATCH(AC$4,Curves,0)))</f>
        <v>#N/A</v>
      </c>
      <c r="AD89" s="185" t="e">
        <f aca="false">IF($A90="","",VLOOKUP($A89,Table,MATCH(AD$4,Curves,0)))</f>
        <v>#N/A</v>
      </c>
      <c r="AE89" s="185" t="e">
        <f aca="false">SQRT((AD89^2*(A89-$D$3)+AC89^2*(DAY(EOMONTH(A89,0))/2))/AK89)</f>
        <v>#N/A</v>
      </c>
      <c r="AF89" s="224" t="e">
        <f aca="false">((Summary!$N$9*(AA89*AD89)*(A89-$D$3))+(Summary!$M$9*Z89*AC89*(AJ89-EOMONTH(EDATE(A89,-1),0))))/(AK89*AB89*AE89)</f>
        <v>#N/A</v>
      </c>
      <c r="AG89" s="207" t="n">
        <f aca="false">IF($A90="","",Summary!$Q$9)</f>
        <v>0</v>
      </c>
      <c r="AH89" s="207" t="n">
        <f aca="false">IF($A90="","",IF(Summary!$R$9="Y",VLOOKUP($A89,Summary!$AD$6:$AF$9,3)+'Escalating commodity'!E102,'Escalating commodity'!E102))</f>
        <v>0.0707</v>
      </c>
      <c r="AI89" s="207" t="n">
        <f aca="false">IF($A90="","",AH89)</f>
        <v>0.0707</v>
      </c>
      <c r="AJ89" s="208" t="n">
        <f aca="false">A89+DAY(EOMONTH(A89,0))/2-1</f>
        <v>39462.5</v>
      </c>
      <c r="AK89" s="209" t="n">
        <f aca="false">IF($A90="","",$A89-$E$1)</f>
        <v>-6478</v>
      </c>
      <c r="AL89" s="182" t="e">
        <f aca="false">IF($A90="","",SPRDOPT(P89,X89,AI89,0,AB89,AE89,AF89,AK89,$AJ$2,0))</f>
        <v>#NAME?</v>
      </c>
      <c r="AM89" s="211" t="e">
        <f aca="false">IF($A90="","",MAX(0,O89-W89-AI89))</f>
        <v>#N/A</v>
      </c>
      <c r="AN89" s="211" t="e">
        <f aca="false">IF($A90="","",AL89-AM89)</f>
        <v>#N/A</v>
      </c>
      <c r="AO89" s="137" t="n">
        <f aca="false">IF(A90="","",A90-A89)</f>
        <v>31</v>
      </c>
      <c r="AP89" s="212" t="n">
        <f aca="false">IF(A90="","",CHOOSE(F$3,A90+24,A89))</f>
        <v>39448</v>
      </c>
      <c r="AQ89" s="209" t="n">
        <f aca="false">IF(A90="","",AP89-$E$1)</f>
        <v>-6478</v>
      </c>
      <c r="AR89" s="185" t="n">
        <f aca="false">'ANR OK vs ML7'!AR89</f>
        <v>0.1</v>
      </c>
      <c r="AS89" s="213" t="n">
        <f aca="false">IF(A90="","",1/(1+CHOOSE(F$3,(AR90+($I$3/10000))/2,(AR89+($I$3/10000))/2))^(2*AQ89/365.25))</f>
        <v>5.64440581570262</v>
      </c>
      <c r="AT89" s="137" t="n">
        <f aca="false">IF(A90="","",IF(AND(mthbeg&lt;=A89,mthend&gt;=A89),1,0))</f>
        <v>1</v>
      </c>
      <c r="AU89" s="137" t="n">
        <f aca="false">IF(A90="","",AO89*AT89)</f>
        <v>31</v>
      </c>
      <c r="AW89" s="195" t="e">
        <f aca="false">IF($A90="","",AL89*$E89)</f>
        <v>#NAME?</v>
      </c>
      <c r="AX89" s="195" t="e">
        <f aca="false">IF($A90="","",AM89*$E89)</f>
        <v>#N/A</v>
      </c>
      <c r="AY89" s="195" t="e">
        <f aca="false">IF($A90="","",AN89*$E89)</f>
        <v>#N/A</v>
      </c>
      <c r="BA89" s="195" t="n">
        <f aca="false">IF($A90="","",F89*Summary!$Q$9)</f>
        <v>0</v>
      </c>
      <c r="BC89" s="179" t="e">
        <f aca="false">IF(A90="","",AM89*F89)</f>
        <v>#N/A</v>
      </c>
    </row>
    <row r="90" customFormat="false" ht="12.75" hidden="false" customHeight="false" outlineLevel="0" collapsed="false">
      <c r="A90" s="196" t="n">
        <f aca="false">IF(A89&lt;mthend,EDATE(A89,1),"")</f>
        <v>39479</v>
      </c>
      <c r="B90" s="197" t="n">
        <f aca="false">IF(A90&lt;mthend,B89,"")</f>
        <v>36050</v>
      </c>
      <c r="C90" s="215"/>
      <c r="D90" s="197" t="n">
        <f aca="false">IF(A91&lt;&gt;"",B90+C90,"")</f>
        <v>36050</v>
      </c>
      <c r="E90" s="199" t="n">
        <f aca="false">IF(A91="","",IF(AND(AT90=1,$H$3=1),D90*AO90,IF($H$3=2,D90,"N/A")))</f>
        <v>1045450</v>
      </c>
      <c r="F90" s="199" t="n">
        <f aca="false">IF(A91="","",E90*AS90)</f>
        <v>5852274.42653037</v>
      </c>
      <c r="G90" s="200" t="e">
        <f aca="false">IF($A91="","",VLOOKUP($A90,Table,MATCH(G$4,Curves,0)))</f>
        <v>#N/A</v>
      </c>
      <c r="H90" s="201" t="e">
        <f aca="false">IF(A91="","",G90)</f>
        <v>#N/A</v>
      </c>
      <c r="I90" s="202"/>
      <c r="J90" s="200" t="e">
        <f aca="false">IF($A91="","",VLOOKUP($A90,Table,MATCH(J$4,Curves,0)))</f>
        <v>#N/A</v>
      </c>
      <c r="K90" s="201" t="e">
        <f aca="false">IF(A91="","",J90)</f>
        <v>#N/A</v>
      </c>
      <c r="L90" s="200" t="e">
        <f aca="false">IF($A91="","",VLOOKUP($A90,Table,MATCH(L$4,Curves,0)))</f>
        <v>#N/A</v>
      </c>
      <c r="M90" s="201" t="e">
        <f aca="false">IF(A91="","",L90)</f>
        <v>#N/A</v>
      </c>
      <c r="N90" s="203"/>
      <c r="O90" s="200" t="e">
        <f aca="false">IF(A91="","",L90+J90+G90)</f>
        <v>#N/A</v>
      </c>
      <c r="P90" s="200" t="e">
        <f aca="false">IF(A91="","",M90+K90+H90)</f>
        <v>#N/A</v>
      </c>
      <c r="Q90" s="204"/>
      <c r="R90" s="200" t="e">
        <f aca="false">IF($A91="","",VLOOKUP($A90,Table,MATCH(R$4,Curves,0)))</f>
        <v>#N/A</v>
      </c>
      <c r="S90" s="201" t="e">
        <f aca="false">IF(A91="","",R90)</f>
        <v>#N/A</v>
      </c>
      <c r="T90" s="200" t="e">
        <f aca="false">IF($A91="","",VLOOKUP($A90,Table,MATCH(T$4,Curves,0)))</f>
        <v>#N/A</v>
      </c>
      <c r="U90" s="201" t="e">
        <f aca="false">IF(A91="","",T90)</f>
        <v>#N/A</v>
      </c>
      <c r="V90" s="225" t="e">
        <f aca="false">IF($A91="","",IF(AND(MONTH(A90)&gt;3,MONTH(A90)&lt;11),(T90+R90+G90)*Summary!$T$9/(1-Summary!$T$9),(T90+R90+G90)*Summary!$U$9/(1-Summary!$U$9)))</f>
        <v>#N/A</v>
      </c>
      <c r="W90" s="200" t="e">
        <f aca="false">IF($A91="","",(T90+R90+G90+V90))</f>
        <v>#N/A</v>
      </c>
      <c r="X90" s="200" t="e">
        <f aca="false">IF($A91="","",(U90+S90+H90+V90))</f>
        <v>#N/A</v>
      </c>
      <c r="Y90" s="202"/>
      <c r="Z90" s="185" t="e">
        <f aca="false">IF($A91="","",VLOOKUP($A90,Table,MATCH(Z$4,Curves,0)))</f>
        <v>#N/A</v>
      </c>
      <c r="AA90" s="185" t="e">
        <f aca="false">IF($A91="","",VLOOKUP($A90,Table,MATCH(AA$4,Curves,0)))</f>
        <v>#N/A</v>
      </c>
      <c r="AB90" s="185" t="e">
        <f aca="false">SQRT((AA90^2*(A90-$D$3)+Z90^2*(DAY(EOMONTH(A90,0))/2))/AK90)</f>
        <v>#N/A</v>
      </c>
      <c r="AC90" s="185" t="e">
        <f aca="false">IF($A91="","",VLOOKUP($A90,Table,MATCH(AC$4,Curves,0)))</f>
        <v>#N/A</v>
      </c>
      <c r="AD90" s="185" t="e">
        <f aca="false">IF($A91="","",VLOOKUP($A90,Table,MATCH(AD$4,Curves,0)))</f>
        <v>#N/A</v>
      </c>
      <c r="AE90" s="185" t="e">
        <f aca="false">SQRT((AD90^2*(A90-$D$3)+AC90^2*(DAY(EOMONTH(A90,0))/2))/AK90)</f>
        <v>#N/A</v>
      </c>
      <c r="AF90" s="224" t="e">
        <f aca="false">((Summary!$N$9*(AA90*AD90)*(A90-$D$3))+(Summary!$M$9*Z90*AC90*(AJ90-EOMONTH(EDATE(A90,-1),0))))/(AK90*AB90*AE90)</f>
        <v>#N/A</v>
      </c>
      <c r="AG90" s="207" t="n">
        <f aca="false">IF($A91="","",Summary!$Q$9)</f>
        <v>0</v>
      </c>
      <c r="AH90" s="207" t="n">
        <f aca="false">IF($A91="","",IF(Summary!$R$9="Y",VLOOKUP($A90,Summary!$AD$6:$AF$9,3)+'Escalating commodity'!E103,'Escalating commodity'!E103))</f>
        <v>0.0707</v>
      </c>
      <c r="AI90" s="207" t="n">
        <f aca="false">IF($A91="","",AH90)</f>
        <v>0.0707</v>
      </c>
      <c r="AJ90" s="208" t="n">
        <f aca="false">A90+DAY(EOMONTH(A90,0))/2-1</f>
        <v>39492.5</v>
      </c>
      <c r="AK90" s="209" t="n">
        <f aca="false">IF($A91="","",$A90-$E$1)</f>
        <v>-6447</v>
      </c>
      <c r="AL90" s="182" t="e">
        <f aca="false">IF($A91="","",SPRDOPT(P90,X90,AI90,0,AB90,AE90,AF90,AK90,$AJ$2,0))</f>
        <v>#NAME?</v>
      </c>
      <c r="AM90" s="211" t="e">
        <f aca="false">IF($A91="","",MAX(0,O90-W90-AI90))</f>
        <v>#N/A</v>
      </c>
      <c r="AN90" s="211" t="e">
        <f aca="false">IF($A91="","",AL90-AM90)</f>
        <v>#N/A</v>
      </c>
      <c r="AO90" s="137" t="n">
        <f aca="false">IF(A91="","",A91-A90)</f>
        <v>29</v>
      </c>
      <c r="AP90" s="212" t="n">
        <f aca="false">IF(A91="","",CHOOSE(F$3,A91+24,A90))</f>
        <v>39479</v>
      </c>
      <c r="AQ90" s="209" t="n">
        <f aca="false">IF(A91="","",AP90-$E$1)</f>
        <v>-6447</v>
      </c>
      <c r="AR90" s="185" t="n">
        <f aca="false">'ANR OK vs ML7'!AR90</f>
        <v>0.1</v>
      </c>
      <c r="AS90" s="213" t="n">
        <f aca="false">IF(A91="","",1/(1+CHOOSE(F$3,(AR91+($I$3/10000))/2,(AR90+($I$3/10000))/2))^(2*AQ90/365.25))</f>
        <v>5.59785205082057</v>
      </c>
      <c r="AT90" s="137" t="n">
        <f aca="false">IF(A91="","",IF(AND(mthbeg&lt;=A90,mthend&gt;=A90),1,0))</f>
        <v>1</v>
      </c>
      <c r="AU90" s="137" t="n">
        <f aca="false">IF(A91="","",AO90*AT90)</f>
        <v>29</v>
      </c>
      <c r="AW90" s="195" t="e">
        <f aca="false">IF($A91="","",AL90*$E90)</f>
        <v>#NAME?</v>
      </c>
      <c r="AX90" s="195" t="e">
        <f aca="false">IF($A91="","",AM90*$E90)</f>
        <v>#N/A</v>
      </c>
      <c r="AY90" s="195" t="e">
        <f aca="false">IF($A91="","",AN90*$E90)</f>
        <v>#N/A</v>
      </c>
      <c r="BA90" s="195" t="n">
        <f aca="false">IF($A91="","",F90*Summary!$Q$9)</f>
        <v>0</v>
      </c>
      <c r="BC90" s="179" t="e">
        <f aca="false">IF(A91="","",AM90*F90)</f>
        <v>#N/A</v>
      </c>
    </row>
    <row r="91" customFormat="false" ht="12.75" hidden="false" customHeight="false" outlineLevel="0" collapsed="false">
      <c r="A91" s="196" t="n">
        <f aca="false">IF(A90&lt;mthend,EDATE(A90,1),"")</f>
        <v>39508</v>
      </c>
      <c r="B91" s="197" t="n">
        <f aca="false">IF(A91&lt;mthend,B90,"")</f>
        <v>36050</v>
      </c>
      <c r="C91" s="215"/>
      <c r="D91" s="197" t="n">
        <f aca="false">IF(A92&lt;&gt;"",B91+C91,"")</f>
        <v>36050</v>
      </c>
      <c r="E91" s="199" t="n">
        <f aca="false">IF(A92="","",IF(AND(AT91=1,$H$3=1),D91*AO91,IF($H$3=2,D91,"N/A")))</f>
        <v>1117550</v>
      </c>
      <c r="F91" s="199" t="n">
        <f aca="false">IF(A92="","",E91*AS91)</f>
        <v>6207598.46202775</v>
      </c>
      <c r="G91" s="200" t="e">
        <f aca="false">IF($A92="","",VLOOKUP($A91,Table,MATCH(G$4,Curves,0)))</f>
        <v>#N/A</v>
      </c>
      <c r="H91" s="201" t="e">
        <f aca="false">IF(A92="","",G91)</f>
        <v>#N/A</v>
      </c>
      <c r="I91" s="202"/>
      <c r="J91" s="200" t="e">
        <f aca="false">IF($A92="","",VLOOKUP($A91,Table,MATCH(J$4,Curves,0)))</f>
        <v>#N/A</v>
      </c>
      <c r="K91" s="201" t="e">
        <f aca="false">IF(A92="","",J91)</f>
        <v>#N/A</v>
      </c>
      <c r="L91" s="200" t="e">
        <f aca="false">IF($A92="","",VLOOKUP($A91,Table,MATCH(L$4,Curves,0)))</f>
        <v>#N/A</v>
      </c>
      <c r="M91" s="201" t="e">
        <f aca="false">IF(A92="","",L91)</f>
        <v>#N/A</v>
      </c>
      <c r="N91" s="203"/>
      <c r="O91" s="200" t="e">
        <f aca="false">IF(A92="","",L91+J91+G91)</f>
        <v>#N/A</v>
      </c>
      <c r="P91" s="200" t="e">
        <f aca="false">IF(A92="","",M91+K91+H91)</f>
        <v>#N/A</v>
      </c>
      <c r="Q91" s="204"/>
      <c r="R91" s="200" t="e">
        <f aca="false">IF($A92="","",VLOOKUP($A91,Table,MATCH(R$4,Curves,0)))</f>
        <v>#N/A</v>
      </c>
      <c r="S91" s="201" t="e">
        <f aca="false">IF(A92="","",R91)</f>
        <v>#N/A</v>
      </c>
      <c r="T91" s="200" t="e">
        <f aca="false">IF($A92="","",VLOOKUP($A91,Table,MATCH(T$4,Curves,0)))</f>
        <v>#N/A</v>
      </c>
      <c r="U91" s="201" t="e">
        <f aca="false">IF(A92="","",T91)</f>
        <v>#N/A</v>
      </c>
      <c r="V91" s="225" t="e">
        <f aca="false">IF($A92="","",IF(AND(MONTH(A91)&gt;3,MONTH(A91)&lt;11),(T91+R91+G91)*Summary!$T$9/(1-Summary!$T$9),(T91+R91+G91)*Summary!$U$9/(1-Summary!$U$9)))</f>
        <v>#N/A</v>
      </c>
      <c r="W91" s="200" t="e">
        <f aca="false">IF($A92="","",(T91+R91+G91+V91))</f>
        <v>#N/A</v>
      </c>
      <c r="X91" s="200" t="e">
        <f aca="false">IF($A92="","",(U91+S91+H91+V91))</f>
        <v>#N/A</v>
      </c>
      <c r="Y91" s="202"/>
      <c r="Z91" s="185" t="e">
        <f aca="false">IF($A92="","",VLOOKUP($A91,Table,MATCH(Z$4,Curves,0)))</f>
        <v>#N/A</v>
      </c>
      <c r="AA91" s="185" t="e">
        <f aca="false">IF($A92="","",VLOOKUP($A91,Table,MATCH(AA$4,Curves,0)))</f>
        <v>#N/A</v>
      </c>
      <c r="AB91" s="185" t="e">
        <f aca="false">SQRT((AA91^2*(A91-$D$3)+Z91^2*(DAY(EOMONTH(A91,0))/2))/AK91)</f>
        <v>#N/A</v>
      </c>
      <c r="AC91" s="185" t="e">
        <f aca="false">IF($A92="","",VLOOKUP($A91,Table,MATCH(AC$4,Curves,0)))</f>
        <v>#N/A</v>
      </c>
      <c r="AD91" s="185" t="e">
        <f aca="false">IF($A92="","",VLOOKUP($A91,Table,MATCH(AD$4,Curves,0)))</f>
        <v>#N/A</v>
      </c>
      <c r="AE91" s="185" t="e">
        <f aca="false">SQRT((AD91^2*(A91-$D$3)+AC91^2*(DAY(EOMONTH(A91,0))/2))/AK91)</f>
        <v>#N/A</v>
      </c>
      <c r="AF91" s="224" t="e">
        <f aca="false">((Summary!$N$9*(AA91*AD91)*(A91-$D$3))+(Summary!$M$9*Z91*AC91*(AJ91-EOMONTH(EDATE(A91,-1),0))))/(AK91*AB91*AE91)</f>
        <v>#N/A</v>
      </c>
      <c r="AG91" s="207" t="n">
        <f aca="false">IF($A92="","",Summary!$Q$9)</f>
        <v>0</v>
      </c>
      <c r="AH91" s="207" t="n">
        <f aca="false">IF($A92="","",IF(Summary!$R$9="Y",VLOOKUP($A91,Summary!$AD$6:$AF$9,3)+'Escalating commodity'!E104,'Escalating commodity'!E104))</f>
        <v>0.0707</v>
      </c>
      <c r="AI91" s="207" t="n">
        <f aca="false">IF($A92="","",AH91)</f>
        <v>0.0707</v>
      </c>
      <c r="AJ91" s="208" t="n">
        <f aca="false">A91+DAY(EOMONTH(A91,0))/2-1</f>
        <v>39522.5</v>
      </c>
      <c r="AK91" s="209" t="n">
        <f aca="false">IF($A92="","",$A91-$E$1)</f>
        <v>-6418</v>
      </c>
      <c r="AL91" s="182" t="e">
        <f aca="false">IF($A92="","",SPRDOPT(P91,X91,AI91,0,AB91,AE91,AF91,AK91,$AJ$2,0))</f>
        <v>#NAME?</v>
      </c>
      <c r="AM91" s="211" t="e">
        <f aca="false">IF($A92="","",MAX(0,O91-W91-AI91))</f>
        <v>#N/A</v>
      </c>
      <c r="AN91" s="211" t="e">
        <f aca="false">IF($A92="","",AL91-AM91)</f>
        <v>#N/A</v>
      </c>
      <c r="AO91" s="137" t="n">
        <f aca="false">IF(A92="","",A92-A91)</f>
        <v>31</v>
      </c>
      <c r="AP91" s="212" t="n">
        <f aca="false">IF(A92="","",CHOOSE(F$3,A92+24,A91))</f>
        <v>39508</v>
      </c>
      <c r="AQ91" s="209" t="n">
        <f aca="false">IF(A92="","",AP91-$E$1)</f>
        <v>-6418</v>
      </c>
      <c r="AR91" s="185" t="n">
        <f aca="false">'ANR OK vs ML7'!AR91</f>
        <v>0.1</v>
      </c>
      <c r="AS91" s="213" t="n">
        <f aca="false">IF(A92="","",1/(1+CHOOSE(F$3,(AR92+($I$3/10000))/2,(AR91+($I$3/10000))/2))^(2*AQ91/365.25))</f>
        <v>5.55464942242204</v>
      </c>
      <c r="AT91" s="137" t="n">
        <f aca="false">IF(A92="","",IF(AND(mthbeg&lt;=A91,mthend&gt;=A91),1,0))</f>
        <v>1</v>
      </c>
      <c r="AU91" s="137" t="n">
        <f aca="false">IF(A92="","",AO91*AT91)</f>
        <v>31</v>
      </c>
      <c r="AW91" s="195" t="e">
        <f aca="false">IF($A92="","",AL91*$E91)</f>
        <v>#NAME?</v>
      </c>
      <c r="AX91" s="195" t="e">
        <f aca="false">IF($A92="","",AM91*$E91)</f>
        <v>#N/A</v>
      </c>
      <c r="AY91" s="195" t="e">
        <f aca="false">IF($A92="","",AN91*$E91)</f>
        <v>#N/A</v>
      </c>
      <c r="BA91" s="195" t="n">
        <f aca="false">IF($A92="","",F91*Summary!$Q$9)</f>
        <v>0</v>
      </c>
      <c r="BC91" s="179" t="e">
        <f aca="false">IF(A92="","",AM91*F91)</f>
        <v>#N/A</v>
      </c>
    </row>
    <row r="92" customFormat="false" ht="12.75" hidden="false" customHeight="false" outlineLevel="0" collapsed="false">
      <c r="A92" s="196" t="n">
        <f aca="false">IF(A91&lt;mthend,EDATE(A91,1),"")</f>
        <v>39539</v>
      </c>
      <c r="B92" s="197" t="n">
        <f aca="false">IF(A92&lt;mthend,B91,"")</f>
        <v>36050</v>
      </c>
      <c r="C92" s="215"/>
      <c r="D92" s="197" t="n">
        <f aca="false">IF(A93&lt;&gt;"",B92+C92,"")</f>
        <v>36050</v>
      </c>
      <c r="E92" s="199" t="n">
        <f aca="false">IF(A93="","",IF(AND(AT92=1,$H$3=1),D92*AO92,IF($H$3=2,D92,"N/A")))</f>
        <v>1081500</v>
      </c>
      <c r="F92" s="199" t="n">
        <f aca="false">IF(A93="","",E92*AS92)</f>
        <v>5957806.07742701</v>
      </c>
      <c r="G92" s="200" t="e">
        <f aca="false">IF($A93="","",VLOOKUP($A92,Table,MATCH(G$4,Curves,0)))</f>
        <v>#N/A</v>
      </c>
      <c r="H92" s="201" t="e">
        <f aca="false">IF(A93="","",G92)</f>
        <v>#N/A</v>
      </c>
      <c r="I92" s="202"/>
      <c r="J92" s="200" t="e">
        <f aca="false">IF($A93="","",VLOOKUP($A92,Table,MATCH(J$4,Curves,0)))</f>
        <v>#N/A</v>
      </c>
      <c r="K92" s="201" t="e">
        <f aca="false">IF(A93="","",J92)</f>
        <v>#N/A</v>
      </c>
      <c r="L92" s="200" t="e">
        <f aca="false">IF($A93="","",VLOOKUP($A92,Table,MATCH(L$4,Curves,0)))</f>
        <v>#N/A</v>
      </c>
      <c r="M92" s="201" t="e">
        <f aca="false">IF(A93="","",L92)</f>
        <v>#N/A</v>
      </c>
      <c r="N92" s="203"/>
      <c r="O92" s="200" t="e">
        <f aca="false">IF(A93="","",L92+J92+G92)</f>
        <v>#N/A</v>
      </c>
      <c r="P92" s="200" t="e">
        <f aca="false">IF(A93="","",M92+K92+H92)</f>
        <v>#N/A</v>
      </c>
      <c r="Q92" s="204"/>
      <c r="R92" s="200" t="e">
        <f aca="false">IF($A93="","",VLOOKUP($A92,Table,MATCH(R$4,Curves,0)))</f>
        <v>#N/A</v>
      </c>
      <c r="S92" s="201" t="e">
        <f aca="false">IF(A93="","",R92)</f>
        <v>#N/A</v>
      </c>
      <c r="T92" s="200" t="e">
        <f aca="false">IF($A93="","",VLOOKUP($A92,Table,MATCH(T$4,Curves,0)))</f>
        <v>#N/A</v>
      </c>
      <c r="U92" s="201" t="e">
        <f aca="false">IF(A93="","",T92)</f>
        <v>#N/A</v>
      </c>
      <c r="V92" s="225" t="e">
        <f aca="false">IF($A93="","",IF(AND(MONTH(A92)&gt;3,MONTH(A92)&lt;11),(T92+R92+G92)*Summary!$T$9/(1-Summary!$T$9),(T92+R92+G92)*Summary!$U$9/(1-Summary!$U$9)))</f>
        <v>#N/A</v>
      </c>
      <c r="W92" s="200" t="e">
        <f aca="false">IF($A93="","",(T92+R92+G92+V92))</f>
        <v>#N/A</v>
      </c>
      <c r="X92" s="200" t="e">
        <f aca="false">IF($A93="","",(U92+S92+H92+V92))</f>
        <v>#N/A</v>
      </c>
      <c r="Y92" s="202"/>
      <c r="Z92" s="185" t="e">
        <f aca="false">IF($A93="","",VLOOKUP($A92,Table,MATCH(Z$4,Curves,0)))</f>
        <v>#N/A</v>
      </c>
      <c r="AA92" s="185" t="e">
        <f aca="false">IF($A93="","",VLOOKUP($A92,Table,MATCH(AA$4,Curves,0)))</f>
        <v>#N/A</v>
      </c>
      <c r="AB92" s="185" t="e">
        <f aca="false">SQRT((AA92^2*(A92-$D$3)+Z92^2*(DAY(EOMONTH(A92,0))/2))/AK92)</f>
        <v>#N/A</v>
      </c>
      <c r="AC92" s="185" t="e">
        <f aca="false">IF($A93="","",VLOOKUP($A92,Table,MATCH(AC$4,Curves,0)))</f>
        <v>#N/A</v>
      </c>
      <c r="AD92" s="185" t="e">
        <f aca="false">IF($A93="","",VLOOKUP($A92,Table,MATCH(AD$4,Curves,0)))</f>
        <v>#N/A</v>
      </c>
      <c r="AE92" s="185" t="e">
        <f aca="false">SQRT((AD92^2*(A92-$D$3)+AC92^2*(DAY(EOMONTH(A92,0))/2))/AK92)</f>
        <v>#N/A</v>
      </c>
      <c r="AF92" s="224" t="e">
        <f aca="false">((Summary!$N$9*(AA92*AD92)*(A92-$D$3))+(Summary!$M$9*Z92*AC92*(AJ92-EOMONTH(EDATE(A92,-1),0))))/(AK92*AB92*AE92)</f>
        <v>#N/A</v>
      </c>
      <c r="AG92" s="207" t="n">
        <f aca="false">IF($A93="","",Summary!$Q$9)</f>
        <v>0</v>
      </c>
      <c r="AH92" s="207" t="n">
        <f aca="false">IF($A93="","",IF(Summary!$R$9="Y",VLOOKUP($A92,Summary!$AD$6:$AF$9,3)+'Escalating commodity'!E105,'Escalating commodity'!E105))</f>
        <v>0.0707</v>
      </c>
      <c r="AI92" s="207" t="n">
        <f aca="false">IF($A93="","",AH92)</f>
        <v>0.0707</v>
      </c>
      <c r="AJ92" s="208" t="n">
        <f aca="false">A92+DAY(EOMONTH(A92,0))/2-1</f>
        <v>39553</v>
      </c>
      <c r="AK92" s="209" t="n">
        <f aca="false">IF($A93="","",$A92-$E$1)</f>
        <v>-6387</v>
      </c>
      <c r="AL92" s="182" t="e">
        <f aca="false">IF($A93="","",SPRDOPT(P92,X92,AI92,0,AB92,AE92,AF92,AK92,$AJ$2,0))</f>
        <v>#NAME?</v>
      </c>
      <c r="AM92" s="211" t="e">
        <f aca="false">IF($A93="","",MAX(0,O92-W92-AI92))</f>
        <v>#N/A</v>
      </c>
      <c r="AN92" s="211" t="e">
        <f aca="false">IF($A93="","",AL92-AM92)</f>
        <v>#N/A</v>
      </c>
      <c r="AO92" s="137" t="n">
        <f aca="false">IF(A93="","",A93-A92)</f>
        <v>30</v>
      </c>
      <c r="AP92" s="212" t="n">
        <f aca="false">IF(A93="","",CHOOSE(F$3,A93+24,A92))</f>
        <v>39539</v>
      </c>
      <c r="AQ92" s="209" t="n">
        <f aca="false">IF(A93="","",AP92-$E$1)</f>
        <v>-6387</v>
      </c>
      <c r="AR92" s="185" t="n">
        <f aca="false">'ANR OK vs ML7'!AR92</f>
        <v>0.1</v>
      </c>
      <c r="AS92" s="213" t="n">
        <f aca="false">IF(A93="","",1/(1+CHOOSE(F$3,(AR93+($I$3/10000))/2,(AR92+($I$3/10000))/2))^(2*AQ92/365.25))</f>
        <v>5.50883594769026</v>
      </c>
      <c r="AT92" s="137" t="n">
        <f aca="false">IF(A93="","",IF(AND(mthbeg&lt;=A92,mthend&gt;=A92),1,0))</f>
        <v>1</v>
      </c>
      <c r="AU92" s="137" t="n">
        <f aca="false">IF(A93="","",AO92*AT92)</f>
        <v>30</v>
      </c>
      <c r="AW92" s="195" t="e">
        <f aca="false">IF($A93="","",AL92*$E92)</f>
        <v>#NAME?</v>
      </c>
      <c r="AX92" s="195" t="e">
        <f aca="false">IF($A93="","",AM92*$E92)</f>
        <v>#N/A</v>
      </c>
      <c r="AY92" s="195" t="e">
        <f aca="false">IF($A93="","",AN92*$E92)</f>
        <v>#N/A</v>
      </c>
      <c r="BA92" s="195" t="n">
        <f aca="false">IF($A93="","",F92*Summary!$Q$9)</f>
        <v>0</v>
      </c>
      <c r="BC92" s="179" t="e">
        <f aca="false">IF(A93="","",AM92*F92)</f>
        <v>#N/A</v>
      </c>
    </row>
    <row r="93" customFormat="false" ht="12.75" hidden="false" customHeight="false" outlineLevel="0" collapsed="false">
      <c r="A93" s="196" t="n">
        <f aca="false">IF(A92&lt;mthend,EDATE(A92,1),"")</f>
        <v>39569</v>
      </c>
      <c r="B93" s="197" t="n">
        <f aca="false">IF(A93&lt;mthend,B92,"")</f>
        <v>36050</v>
      </c>
      <c r="C93" s="215"/>
      <c r="D93" s="197" t="n">
        <f aca="false">IF(A94&lt;&gt;"",B93+C93,"")</f>
        <v>36050</v>
      </c>
      <c r="E93" s="199" t="n">
        <f aca="false">IF(A94="","",IF(AND(AT93=1,$H$3=1),D93*AO93,IF($H$3=2,D93,"N/A")))</f>
        <v>1117550</v>
      </c>
      <c r="F93" s="199" t="n">
        <f aca="false">IF(A94="","",E93*AS93)</f>
        <v>6107254.43949556</v>
      </c>
      <c r="G93" s="200" t="e">
        <f aca="false">IF($A94="","",VLOOKUP($A93,Table,MATCH(G$4,Curves,0)))</f>
        <v>#N/A</v>
      </c>
      <c r="H93" s="201" t="e">
        <f aca="false">IF(A94="","",G93)</f>
        <v>#N/A</v>
      </c>
      <c r="I93" s="202"/>
      <c r="J93" s="200" t="e">
        <f aca="false">IF($A94="","",VLOOKUP($A93,Table,MATCH(J$4,Curves,0)))</f>
        <v>#N/A</v>
      </c>
      <c r="K93" s="201" t="e">
        <f aca="false">IF(A94="","",J93)</f>
        <v>#N/A</v>
      </c>
      <c r="L93" s="200" t="e">
        <f aca="false">IF($A94="","",VLOOKUP($A93,Table,MATCH(L$4,Curves,0)))</f>
        <v>#N/A</v>
      </c>
      <c r="M93" s="201" t="e">
        <f aca="false">IF(A94="","",L93)</f>
        <v>#N/A</v>
      </c>
      <c r="N93" s="203"/>
      <c r="O93" s="200" t="e">
        <f aca="false">IF(A94="","",L93+J93+G93)</f>
        <v>#N/A</v>
      </c>
      <c r="P93" s="200" t="e">
        <f aca="false">IF(A94="","",M93+K93+H93)</f>
        <v>#N/A</v>
      </c>
      <c r="Q93" s="204"/>
      <c r="R93" s="200" t="e">
        <f aca="false">IF($A94="","",VLOOKUP($A93,Table,MATCH(R$4,Curves,0)))</f>
        <v>#N/A</v>
      </c>
      <c r="S93" s="201" t="e">
        <f aca="false">IF(A94="","",R93)</f>
        <v>#N/A</v>
      </c>
      <c r="T93" s="200" t="e">
        <f aca="false">IF($A94="","",VLOOKUP($A93,Table,MATCH(T$4,Curves,0)))</f>
        <v>#N/A</v>
      </c>
      <c r="U93" s="201" t="e">
        <f aca="false">IF(A94="","",T93)</f>
        <v>#N/A</v>
      </c>
      <c r="V93" s="225" t="e">
        <f aca="false">IF($A94="","",IF(AND(MONTH(A93)&gt;3,MONTH(A93)&lt;11),(T93+R93+G93)*Summary!$T$9/(1-Summary!$T$9),(T93+R93+G93)*Summary!$U$9/(1-Summary!$U$9)))</f>
        <v>#N/A</v>
      </c>
      <c r="W93" s="200" t="e">
        <f aca="false">IF($A94="","",(T93+R93+G93+V93))</f>
        <v>#N/A</v>
      </c>
      <c r="X93" s="200" t="e">
        <f aca="false">IF($A94="","",(U93+S93+H93+V93))</f>
        <v>#N/A</v>
      </c>
      <c r="Y93" s="202"/>
      <c r="Z93" s="185" t="e">
        <f aca="false">IF($A94="","",VLOOKUP($A93,Table,MATCH(Z$4,Curves,0)))</f>
        <v>#N/A</v>
      </c>
      <c r="AA93" s="185" t="e">
        <f aca="false">IF($A94="","",VLOOKUP($A93,Table,MATCH(AA$4,Curves,0)))</f>
        <v>#N/A</v>
      </c>
      <c r="AB93" s="185" t="e">
        <f aca="false">SQRT((AA93^2*(A93-$D$3)+Z93^2*(DAY(EOMONTH(A93,0))/2))/AK93)</f>
        <v>#N/A</v>
      </c>
      <c r="AC93" s="185" t="e">
        <f aca="false">IF($A94="","",VLOOKUP($A93,Table,MATCH(AC$4,Curves,0)))</f>
        <v>#N/A</v>
      </c>
      <c r="AD93" s="185" t="e">
        <f aca="false">IF($A94="","",VLOOKUP($A93,Table,MATCH(AD$4,Curves,0)))</f>
        <v>#N/A</v>
      </c>
      <c r="AE93" s="185" t="e">
        <f aca="false">SQRT((AD93^2*(A93-$D$3)+AC93^2*(DAY(EOMONTH(A93,0))/2))/AK93)</f>
        <v>#N/A</v>
      </c>
      <c r="AF93" s="224" t="e">
        <f aca="false">((Summary!$N$9*(AA93*AD93)*(A93-$D$3))+(Summary!$M$9*Z93*AC93*(AJ93-EOMONTH(EDATE(A93,-1),0))))/(AK93*AB93*AE93)</f>
        <v>#N/A</v>
      </c>
      <c r="AG93" s="207" t="n">
        <f aca="false">IF($A94="","",Summary!$Q$9)</f>
        <v>0</v>
      </c>
      <c r="AH93" s="207" t="n">
        <f aca="false">IF($A94="","",IF(Summary!$R$9="Y",VLOOKUP($A93,Summary!$AD$6:$AF$9,3)+'Escalating commodity'!E106,'Escalating commodity'!E106))</f>
        <v>0.0707</v>
      </c>
      <c r="AI93" s="207" t="n">
        <f aca="false">IF($A94="","",AH93)</f>
        <v>0.0707</v>
      </c>
      <c r="AJ93" s="208" t="n">
        <f aca="false">A93+DAY(EOMONTH(A93,0))/2-1</f>
        <v>39583.5</v>
      </c>
      <c r="AK93" s="209" t="n">
        <f aca="false">IF($A94="","",$A93-$E$1)</f>
        <v>-6357</v>
      </c>
      <c r="AL93" s="182" t="e">
        <f aca="false">IF($A94="","",SPRDOPT(P93,X93,AI93,0,AB93,AE93,AF93,AK93,$AJ$2,0))</f>
        <v>#NAME?</v>
      </c>
      <c r="AM93" s="211" t="e">
        <f aca="false">IF($A94="","",MAX(0,O93-W93-AI93))</f>
        <v>#N/A</v>
      </c>
      <c r="AN93" s="211" t="e">
        <f aca="false">IF($A94="","",AL93-AM93)</f>
        <v>#N/A</v>
      </c>
      <c r="AO93" s="137" t="n">
        <f aca="false">IF(A94="","",A94-A93)</f>
        <v>31</v>
      </c>
      <c r="AP93" s="212" t="n">
        <f aca="false">IF(A94="","",CHOOSE(F$3,A94+24,A93))</f>
        <v>39569</v>
      </c>
      <c r="AQ93" s="209" t="n">
        <f aca="false">IF(A94="","",AP93-$E$1)</f>
        <v>-6357</v>
      </c>
      <c r="AR93" s="185" t="n">
        <f aca="false">'ANR OK vs ML7'!AR93</f>
        <v>0.1</v>
      </c>
      <c r="AS93" s="213" t="n">
        <f aca="false">IF(A94="","",1/(1+CHOOSE(F$3,(AR94+($I$3/10000))/2,(AR93+($I$3/10000))/2))^(2*AQ93/365.25))</f>
        <v>5.46486013108636</v>
      </c>
      <c r="AT93" s="137" t="n">
        <f aca="false">IF(A94="","",IF(AND(mthbeg&lt;=A93,mthend&gt;=A93),1,0))</f>
        <v>1</v>
      </c>
      <c r="AU93" s="137" t="n">
        <f aca="false">IF(A94="","",AO93*AT93)</f>
        <v>31</v>
      </c>
      <c r="AW93" s="195" t="e">
        <f aca="false">IF($A94="","",AL93*$E93)</f>
        <v>#NAME?</v>
      </c>
      <c r="AX93" s="195" t="e">
        <f aca="false">IF($A94="","",AM93*$E93)</f>
        <v>#N/A</v>
      </c>
      <c r="AY93" s="195" t="e">
        <f aca="false">IF($A94="","",AN93*$E93)</f>
        <v>#N/A</v>
      </c>
      <c r="BA93" s="195" t="n">
        <f aca="false">IF($A94="","",F93*Summary!$Q$9)</f>
        <v>0</v>
      </c>
      <c r="BC93" s="179" t="e">
        <f aca="false">IF(A94="","",AM93*F93)</f>
        <v>#N/A</v>
      </c>
    </row>
    <row r="94" customFormat="false" ht="12.75" hidden="false" customHeight="false" outlineLevel="0" collapsed="false">
      <c r="A94" s="196" t="n">
        <f aca="false">IF(A93&lt;mthend,EDATE(A93,1),"")</f>
        <v>39600</v>
      </c>
      <c r="B94" s="197" t="n">
        <f aca="false">IF(A94&lt;mthend,B93,"")</f>
        <v>36050</v>
      </c>
      <c r="C94" s="215"/>
      <c r="D94" s="197" t="n">
        <f aca="false">IF(A95&lt;&gt;"",B94+C94,"")</f>
        <v>36050</v>
      </c>
      <c r="E94" s="199" t="n">
        <f aca="false">IF(A95="","",IF(AND(AT94=1,$H$3=1),D94*AO94,IF($H$3=2,D94,"N/A")))</f>
        <v>1081500</v>
      </c>
      <c r="F94" s="199" t="n">
        <f aca="false">IF(A95="","",E94*AS94)</f>
        <v>5861499.87609445</v>
      </c>
      <c r="G94" s="200" t="e">
        <f aca="false">IF($A95="","",VLOOKUP($A94,Table,MATCH(G$4,Curves,0)))</f>
        <v>#N/A</v>
      </c>
      <c r="H94" s="201" t="e">
        <f aca="false">IF(A95="","",G94)</f>
        <v>#N/A</v>
      </c>
      <c r="I94" s="202"/>
      <c r="J94" s="200" t="e">
        <f aca="false">IF($A95="","",VLOOKUP($A94,Table,MATCH(J$4,Curves,0)))</f>
        <v>#N/A</v>
      </c>
      <c r="K94" s="201" t="e">
        <f aca="false">IF(A95="","",J94)</f>
        <v>#N/A</v>
      </c>
      <c r="L94" s="200" t="e">
        <f aca="false">IF($A95="","",VLOOKUP($A94,Table,MATCH(L$4,Curves,0)))</f>
        <v>#N/A</v>
      </c>
      <c r="M94" s="201" t="e">
        <f aca="false">IF(A95="","",L94)</f>
        <v>#N/A</v>
      </c>
      <c r="N94" s="203"/>
      <c r="O94" s="200" t="e">
        <f aca="false">IF(A95="","",L94+J94+G94)</f>
        <v>#N/A</v>
      </c>
      <c r="P94" s="200" t="e">
        <f aca="false">IF(A95="","",M94+K94+H94)</f>
        <v>#N/A</v>
      </c>
      <c r="Q94" s="204"/>
      <c r="R94" s="200" t="e">
        <f aca="false">IF($A95="","",VLOOKUP($A94,Table,MATCH(R$4,Curves,0)))</f>
        <v>#N/A</v>
      </c>
      <c r="S94" s="201" t="e">
        <f aca="false">IF(A95="","",R94)</f>
        <v>#N/A</v>
      </c>
      <c r="T94" s="200" t="e">
        <f aca="false">IF($A95="","",VLOOKUP($A94,Table,MATCH(T$4,Curves,0)))</f>
        <v>#N/A</v>
      </c>
      <c r="U94" s="201" t="e">
        <f aca="false">IF(A95="","",T94)</f>
        <v>#N/A</v>
      </c>
      <c r="V94" s="225" t="e">
        <f aca="false">IF($A95="","",IF(AND(MONTH(A94)&gt;3,MONTH(A94)&lt;11),(T94+R94+G94)*Summary!$T$9/(1-Summary!$T$9),(T94+R94+G94)*Summary!$U$9/(1-Summary!$U$9)))</f>
        <v>#N/A</v>
      </c>
      <c r="W94" s="200" t="e">
        <f aca="false">IF($A95="","",(T94+R94+G94+V94))</f>
        <v>#N/A</v>
      </c>
      <c r="X94" s="200" t="e">
        <f aca="false">IF($A95="","",(U94+S94+H94+V94))</f>
        <v>#N/A</v>
      </c>
      <c r="Y94" s="202"/>
      <c r="Z94" s="185" t="e">
        <f aca="false">IF($A95="","",VLOOKUP($A94,Table,MATCH(Z$4,Curves,0)))</f>
        <v>#N/A</v>
      </c>
      <c r="AA94" s="185" t="e">
        <f aca="false">IF($A95="","",VLOOKUP($A94,Table,MATCH(AA$4,Curves,0)))</f>
        <v>#N/A</v>
      </c>
      <c r="AB94" s="185" t="e">
        <f aca="false">SQRT((AA94^2*(A94-$D$3)+Z94^2*(DAY(EOMONTH(A94,0))/2))/AK94)</f>
        <v>#N/A</v>
      </c>
      <c r="AC94" s="185" t="e">
        <f aca="false">IF($A95="","",VLOOKUP($A94,Table,MATCH(AC$4,Curves,0)))</f>
        <v>#N/A</v>
      </c>
      <c r="AD94" s="185" t="e">
        <f aca="false">IF($A95="","",VLOOKUP($A94,Table,MATCH(AD$4,Curves,0)))</f>
        <v>#N/A</v>
      </c>
      <c r="AE94" s="185" t="e">
        <f aca="false">SQRT((AD94^2*(A94-$D$3)+AC94^2*(DAY(EOMONTH(A94,0))/2))/AK94)</f>
        <v>#N/A</v>
      </c>
      <c r="AF94" s="224" t="e">
        <f aca="false">((Summary!$N$9*(AA94*AD94)*(A94-$D$3))+(Summary!$M$9*Z94*AC94*(AJ94-EOMONTH(EDATE(A94,-1),0))))/(AK94*AB94*AE94)</f>
        <v>#N/A</v>
      </c>
      <c r="AG94" s="207" t="n">
        <f aca="false">IF($A95="","",Summary!$Q$9)</f>
        <v>0</v>
      </c>
      <c r="AH94" s="207" t="n">
        <f aca="false">IF($A95="","",IF(Summary!$R$9="Y",VLOOKUP($A94,Summary!$AD$6:$AF$9,3)+'Escalating commodity'!E107,'Escalating commodity'!E107))</f>
        <v>0.0707</v>
      </c>
      <c r="AI94" s="207" t="n">
        <f aca="false">IF($A95="","",AH94)</f>
        <v>0.0707</v>
      </c>
      <c r="AJ94" s="208" t="n">
        <f aca="false">A94+DAY(EOMONTH(A94,0))/2-1</f>
        <v>39614</v>
      </c>
      <c r="AK94" s="209" t="n">
        <f aca="false">IF($A95="","",$A94-$E$1)</f>
        <v>-6326</v>
      </c>
      <c r="AL94" s="182" t="e">
        <f aca="false">IF($A95="","",SPRDOPT(P94,X94,AI94,0,AB94,AE94,AF94,AK94,$AJ$2,0))</f>
        <v>#NAME?</v>
      </c>
      <c r="AM94" s="211" t="e">
        <f aca="false">IF($A95="","",MAX(0,O94-W94-AI94))</f>
        <v>#N/A</v>
      </c>
      <c r="AN94" s="211" t="e">
        <f aca="false">IF($A95="","",AL94-AM94)</f>
        <v>#N/A</v>
      </c>
      <c r="AO94" s="137" t="n">
        <f aca="false">IF(A95="","",A95-A94)</f>
        <v>30</v>
      </c>
      <c r="AP94" s="212" t="n">
        <f aca="false">IF(A95="","",CHOOSE(F$3,A95+24,A94))</f>
        <v>39600</v>
      </c>
      <c r="AQ94" s="209" t="n">
        <f aca="false">IF(A95="","",AP94-$E$1)</f>
        <v>-6326</v>
      </c>
      <c r="AR94" s="185" t="n">
        <f aca="false">'ANR OK vs ML7'!AR94</f>
        <v>0.1</v>
      </c>
      <c r="AS94" s="213" t="n">
        <f aca="false">IF(A95="","",1/(1+CHOOSE(F$3,(AR95+($I$3/10000))/2,(AR94+($I$3/10000))/2))^(2*AQ94/365.25))</f>
        <v>5.41978721784045</v>
      </c>
      <c r="AT94" s="137" t="n">
        <f aca="false">IF(A95="","",IF(AND(mthbeg&lt;=A94,mthend&gt;=A94),1,0))</f>
        <v>1</v>
      </c>
      <c r="AU94" s="137" t="n">
        <f aca="false">IF(A95="","",AO94*AT94)</f>
        <v>30</v>
      </c>
      <c r="AW94" s="195" t="e">
        <f aca="false">IF($A95="","",AL94*$E94)</f>
        <v>#NAME?</v>
      </c>
      <c r="AX94" s="195" t="e">
        <f aca="false">IF($A95="","",AM94*$E94)</f>
        <v>#N/A</v>
      </c>
      <c r="AY94" s="195" t="e">
        <f aca="false">IF($A95="","",AN94*$E94)</f>
        <v>#N/A</v>
      </c>
      <c r="BA94" s="195" t="n">
        <f aca="false">IF($A95="","",F94*Summary!$Q$9)</f>
        <v>0</v>
      </c>
      <c r="BC94" s="179" t="e">
        <f aca="false">IF(A95="","",AM94*F94)</f>
        <v>#N/A</v>
      </c>
    </row>
    <row r="95" customFormat="false" ht="12.75" hidden="false" customHeight="false" outlineLevel="0" collapsed="false">
      <c r="A95" s="196" t="n">
        <f aca="false">IF(A94&lt;mthend,EDATE(A94,1),"")</f>
        <v>39630</v>
      </c>
      <c r="B95" s="197" t="n">
        <f aca="false">IF(A95&lt;mthend,B94,"")</f>
        <v>36050</v>
      </c>
      <c r="C95" s="215"/>
      <c r="D95" s="197" t="n">
        <f aca="false">IF(A96&lt;&gt;"",B95+C95,"")</f>
        <v>36050</v>
      </c>
      <c r="E95" s="199" t="n">
        <f aca="false">IF(A96="","",IF(AND(AT95=1,$H$3=1),D95*AO95,IF($H$3=2,D95,"N/A")))</f>
        <v>1117550</v>
      </c>
      <c r="F95" s="199" t="n">
        <f aca="false">IF(A96="","",E95*AS95)</f>
        <v>6008532.44888434</v>
      </c>
      <c r="G95" s="200" t="e">
        <f aca="false">IF($A96="","",VLOOKUP($A95,Table,MATCH(G$4,Curves,0)))</f>
        <v>#N/A</v>
      </c>
      <c r="H95" s="201" t="e">
        <f aca="false">IF(A96="","",G95)</f>
        <v>#N/A</v>
      </c>
      <c r="I95" s="202"/>
      <c r="J95" s="200" t="e">
        <f aca="false">IF($A96="","",VLOOKUP($A95,Table,MATCH(J$4,Curves,0)))</f>
        <v>#N/A</v>
      </c>
      <c r="K95" s="201" t="e">
        <f aca="false">IF(A96="","",J95)</f>
        <v>#N/A</v>
      </c>
      <c r="L95" s="200" t="e">
        <f aca="false">IF($A96="","",VLOOKUP($A95,Table,MATCH(L$4,Curves,0)))</f>
        <v>#N/A</v>
      </c>
      <c r="M95" s="201" t="e">
        <f aca="false">IF(A96="","",L95)</f>
        <v>#N/A</v>
      </c>
      <c r="N95" s="203"/>
      <c r="O95" s="200" t="e">
        <f aca="false">IF(A96="","",L95+J95+G95)</f>
        <v>#N/A</v>
      </c>
      <c r="P95" s="200" t="e">
        <f aca="false">IF(A96="","",M95+K95+H95)</f>
        <v>#N/A</v>
      </c>
      <c r="Q95" s="204"/>
      <c r="R95" s="200" t="e">
        <f aca="false">IF($A96="","",VLOOKUP($A95,Table,MATCH(R$4,Curves,0)))</f>
        <v>#N/A</v>
      </c>
      <c r="S95" s="201" t="e">
        <f aca="false">IF(A96="","",R95)</f>
        <v>#N/A</v>
      </c>
      <c r="T95" s="200" t="e">
        <f aca="false">IF($A96="","",VLOOKUP($A95,Table,MATCH(T$4,Curves,0)))</f>
        <v>#N/A</v>
      </c>
      <c r="U95" s="201" t="e">
        <f aca="false">IF(A96="","",T95)</f>
        <v>#N/A</v>
      </c>
      <c r="V95" s="225" t="e">
        <f aca="false">IF($A96="","",IF(AND(MONTH(A95)&gt;3,MONTH(A95)&lt;11),(T95+R95+G95)*Summary!$T$9/(1-Summary!$T$9),(T95+R95+G95)*Summary!$U$9/(1-Summary!$U$9)))</f>
        <v>#N/A</v>
      </c>
      <c r="W95" s="200" t="e">
        <f aca="false">IF($A96="","",(T95+R95+G95+V95))</f>
        <v>#N/A</v>
      </c>
      <c r="X95" s="200" t="e">
        <f aca="false">IF($A96="","",(U95+S95+H95+V95))</f>
        <v>#N/A</v>
      </c>
      <c r="Y95" s="202"/>
      <c r="Z95" s="185" t="e">
        <f aca="false">IF($A96="","",VLOOKUP($A95,Table,MATCH(Z$4,Curves,0)))</f>
        <v>#N/A</v>
      </c>
      <c r="AA95" s="185" t="e">
        <f aca="false">IF($A96="","",VLOOKUP($A95,Table,MATCH(AA$4,Curves,0)))</f>
        <v>#N/A</v>
      </c>
      <c r="AB95" s="185" t="e">
        <f aca="false">SQRT((AA95^2*(A95-$D$3)+Z95^2*(DAY(EOMONTH(A95,0))/2))/AK95)</f>
        <v>#N/A</v>
      </c>
      <c r="AC95" s="185" t="e">
        <f aca="false">IF($A96="","",VLOOKUP($A95,Table,MATCH(AC$4,Curves,0)))</f>
        <v>#N/A</v>
      </c>
      <c r="AD95" s="185" t="e">
        <f aca="false">IF($A96="","",VLOOKUP($A95,Table,MATCH(AD$4,Curves,0)))</f>
        <v>#N/A</v>
      </c>
      <c r="AE95" s="185" t="e">
        <f aca="false">SQRT((AD95^2*(A95-$D$3)+AC95^2*(DAY(EOMONTH(A95,0))/2))/AK95)</f>
        <v>#N/A</v>
      </c>
      <c r="AF95" s="224" t="e">
        <f aca="false">((Summary!$N$9*(AA95*AD95)*(A95-$D$3))+(Summary!$M$9*Z95*AC95*(AJ95-EOMONTH(EDATE(A95,-1),0))))/(AK95*AB95*AE95)</f>
        <v>#N/A</v>
      </c>
      <c r="AG95" s="207" t="n">
        <f aca="false">IF($A96="","",Summary!$Q$9)</f>
        <v>0</v>
      </c>
      <c r="AH95" s="207" t="n">
        <f aca="false">IF($A96="","",IF(Summary!$R$9="Y",VLOOKUP($A95,Summary!$AD$6:$AF$9,3)+'Escalating commodity'!E108,'Escalating commodity'!E108))</f>
        <v>0.0707</v>
      </c>
      <c r="AI95" s="207" t="n">
        <f aca="false">IF($A96="","",AH95)</f>
        <v>0.0707</v>
      </c>
      <c r="AJ95" s="208" t="n">
        <f aca="false">A95+DAY(EOMONTH(A95,0))/2-1</f>
        <v>39644.5</v>
      </c>
      <c r="AK95" s="209" t="n">
        <f aca="false">IF($A96="","",$A95-$E$1)</f>
        <v>-6296</v>
      </c>
      <c r="AL95" s="182" t="e">
        <f aca="false">IF($A96="","",SPRDOPT(P95,X95,AI95,0,AB95,AE95,AF95,AK95,$AJ$2,0))</f>
        <v>#NAME?</v>
      </c>
      <c r="AM95" s="211" t="e">
        <f aca="false">IF($A96="","",MAX(0,O95-W95-AI95))</f>
        <v>#N/A</v>
      </c>
      <c r="AN95" s="211" t="e">
        <f aca="false">IF($A96="","",AL95-AM95)</f>
        <v>#N/A</v>
      </c>
      <c r="AO95" s="137" t="n">
        <f aca="false">IF(A96="","",A96-A95)</f>
        <v>31</v>
      </c>
      <c r="AP95" s="212" t="n">
        <f aca="false">IF(A96="","",CHOOSE(F$3,A96+24,A95))</f>
        <v>39630</v>
      </c>
      <c r="AQ95" s="209" t="n">
        <f aca="false">IF(A96="","",AP95-$E$1)</f>
        <v>-6296</v>
      </c>
      <c r="AR95" s="185" t="n">
        <f aca="false">'ANR OK vs ML7'!AR95</f>
        <v>0.1</v>
      </c>
      <c r="AS95" s="213" t="n">
        <f aca="false">IF(A96="","",1/(1+CHOOSE(F$3,(AR96+($I$3/10000))/2,(AR95+($I$3/10000))/2))^(2*AQ95/365.25))</f>
        <v>5.37652225751361</v>
      </c>
      <c r="AT95" s="137" t="n">
        <f aca="false">IF(A96="","",IF(AND(mthbeg&lt;=A95,mthend&gt;=A95),1,0))</f>
        <v>1</v>
      </c>
      <c r="AU95" s="137" t="n">
        <f aca="false">IF(A96="","",AO95*AT95)</f>
        <v>31</v>
      </c>
      <c r="AW95" s="195" t="e">
        <f aca="false">IF($A96="","",AL95*$E95)</f>
        <v>#NAME?</v>
      </c>
      <c r="AX95" s="195" t="e">
        <f aca="false">IF($A96="","",AM95*$E95)</f>
        <v>#N/A</v>
      </c>
      <c r="AY95" s="195" t="e">
        <f aca="false">IF($A96="","",AN95*$E95)</f>
        <v>#N/A</v>
      </c>
      <c r="BA95" s="195" t="n">
        <f aca="false">IF($A96="","",F95*Summary!$Q$9)</f>
        <v>0</v>
      </c>
      <c r="BC95" s="179" t="e">
        <f aca="false">IF(A96="","",AM95*F95)</f>
        <v>#N/A</v>
      </c>
    </row>
    <row r="96" customFormat="false" ht="12.75" hidden="false" customHeight="false" outlineLevel="0" collapsed="false">
      <c r="A96" s="196" t="n">
        <f aca="false">IF(A95&lt;mthend,EDATE(A95,1),"")</f>
        <v>39661</v>
      </c>
      <c r="B96" s="197" t="n">
        <f aca="false">IF(A96&lt;mthend,B95,"")</f>
        <v>36050</v>
      </c>
      <c r="C96" s="215"/>
      <c r="D96" s="197" t="n">
        <f aca="false">IF(A97&lt;&gt;"",B96+C96,"")</f>
        <v>36050</v>
      </c>
      <c r="E96" s="199" t="n">
        <f aca="false">IF(A97="","",IF(AND(AT96=1,$H$3=1),D96*AO96,IF($H$3=2,D96,"N/A")))</f>
        <v>1117550</v>
      </c>
      <c r="F96" s="199" t="n">
        <f aca="false">IF(A97="","",E96*AS96)</f>
        <v>5958975.45102757</v>
      </c>
      <c r="G96" s="200" t="e">
        <f aca="false">IF($A97="","",VLOOKUP($A96,Table,MATCH(G$4,Curves,0)))</f>
        <v>#N/A</v>
      </c>
      <c r="H96" s="201" t="e">
        <f aca="false">IF(A97="","",G96)</f>
        <v>#N/A</v>
      </c>
      <c r="I96" s="202"/>
      <c r="J96" s="200" t="e">
        <f aca="false">IF($A97="","",VLOOKUP($A96,Table,MATCH(J$4,Curves,0)))</f>
        <v>#N/A</v>
      </c>
      <c r="K96" s="201" t="e">
        <f aca="false">IF(A97="","",J96)</f>
        <v>#N/A</v>
      </c>
      <c r="L96" s="200" t="e">
        <f aca="false">IF($A97="","",VLOOKUP($A96,Table,MATCH(L$4,Curves,0)))</f>
        <v>#N/A</v>
      </c>
      <c r="M96" s="201" t="e">
        <f aca="false">IF(A97="","",L96)</f>
        <v>#N/A</v>
      </c>
      <c r="N96" s="203"/>
      <c r="O96" s="200" t="e">
        <f aca="false">IF(A97="","",L96+J96+G96)</f>
        <v>#N/A</v>
      </c>
      <c r="P96" s="200" t="e">
        <f aca="false">IF(A97="","",M96+K96+H96)</f>
        <v>#N/A</v>
      </c>
      <c r="Q96" s="204"/>
      <c r="R96" s="200" t="e">
        <f aca="false">IF($A97="","",VLOOKUP($A96,Table,MATCH(R$4,Curves,0)))</f>
        <v>#N/A</v>
      </c>
      <c r="S96" s="201" t="e">
        <f aca="false">IF(A97="","",R96)</f>
        <v>#N/A</v>
      </c>
      <c r="T96" s="200" t="e">
        <f aca="false">IF($A97="","",VLOOKUP($A96,Table,MATCH(T$4,Curves,0)))</f>
        <v>#N/A</v>
      </c>
      <c r="U96" s="201" t="e">
        <f aca="false">IF(A97="","",T96)</f>
        <v>#N/A</v>
      </c>
      <c r="V96" s="225" t="e">
        <f aca="false">IF($A97="","",IF(AND(MONTH(A96)&gt;3,MONTH(A96)&lt;11),(T96+R96+G96)*Summary!$T$9/(1-Summary!$T$9),(T96+R96+G96)*Summary!$U$9/(1-Summary!$U$9)))</f>
        <v>#N/A</v>
      </c>
      <c r="W96" s="200" t="e">
        <f aca="false">IF($A97="","",(T96+R96+G96+V96))</f>
        <v>#N/A</v>
      </c>
      <c r="X96" s="200" t="e">
        <f aca="false">IF($A97="","",(U96+S96+H96+V96))</f>
        <v>#N/A</v>
      </c>
      <c r="Y96" s="202"/>
      <c r="Z96" s="185" t="e">
        <f aca="false">IF($A97="","",VLOOKUP($A96,Table,MATCH(Z$4,Curves,0)))</f>
        <v>#N/A</v>
      </c>
      <c r="AA96" s="185" t="e">
        <f aca="false">IF($A97="","",VLOOKUP($A96,Table,MATCH(AA$4,Curves,0)))</f>
        <v>#N/A</v>
      </c>
      <c r="AB96" s="185" t="e">
        <f aca="false">SQRT((AA96^2*(A96-$D$3)+Z96^2*(DAY(EOMONTH(A96,0))/2))/AK96)</f>
        <v>#N/A</v>
      </c>
      <c r="AC96" s="185" t="e">
        <f aca="false">IF($A97="","",VLOOKUP($A96,Table,MATCH(AC$4,Curves,0)))</f>
        <v>#N/A</v>
      </c>
      <c r="AD96" s="185" t="e">
        <f aca="false">IF($A97="","",VLOOKUP($A96,Table,MATCH(AD$4,Curves,0)))</f>
        <v>#N/A</v>
      </c>
      <c r="AE96" s="185" t="e">
        <f aca="false">SQRT((AD96^2*(A96-$D$3)+AC96^2*(DAY(EOMONTH(A96,0))/2))/AK96)</f>
        <v>#N/A</v>
      </c>
      <c r="AF96" s="224" t="e">
        <f aca="false">((Summary!$N$9*(AA96*AD96)*(A96-$D$3))+(Summary!$M$9*Z96*AC96*(AJ96-EOMONTH(EDATE(A96,-1),0))))/(AK96*AB96*AE96)</f>
        <v>#N/A</v>
      </c>
      <c r="AG96" s="207" t="n">
        <f aca="false">IF($A97="","",Summary!$Q$9)</f>
        <v>0</v>
      </c>
      <c r="AH96" s="207" t="n">
        <f aca="false">IF($A97="","",IF(Summary!$R$9="Y",VLOOKUP($A96,Summary!$AD$6:$AF$9,3)+'Escalating commodity'!E109,'Escalating commodity'!E109))</f>
        <v>0.0707</v>
      </c>
      <c r="AI96" s="207" t="n">
        <f aca="false">IF($A97="","",AH96)</f>
        <v>0.0707</v>
      </c>
      <c r="AJ96" s="208" t="n">
        <f aca="false">A96+DAY(EOMONTH(A96,0))/2-1</f>
        <v>39675.5</v>
      </c>
      <c r="AK96" s="209" t="n">
        <f aca="false">IF($A97="","",$A96-$E$1)</f>
        <v>-6265</v>
      </c>
      <c r="AL96" s="182" t="e">
        <f aca="false">IF($A97="","",SPRDOPT(P96,X96,AI96,0,AB96,AE96,AF96,AK96,$AJ$2,0))</f>
        <v>#NAME?</v>
      </c>
      <c r="AM96" s="211" t="e">
        <f aca="false">IF($A97="","",MAX(0,O96-W96-AI96))</f>
        <v>#N/A</v>
      </c>
      <c r="AN96" s="211" t="e">
        <f aca="false">IF($A97="","",AL96-AM96)</f>
        <v>#N/A</v>
      </c>
      <c r="AO96" s="137" t="n">
        <f aca="false">IF(A97="","",A97-A96)</f>
        <v>31</v>
      </c>
      <c r="AP96" s="212" t="n">
        <f aca="false">IF(A97="","",CHOOSE(F$3,A97+24,A96))</f>
        <v>39661</v>
      </c>
      <c r="AQ96" s="209" t="n">
        <f aca="false">IF(A97="","",AP96-$E$1)</f>
        <v>-6265</v>
      </c>
      <c r="AR96" s="185" t="n">
        <f aca="false">'ANR OK vs ML7'!AR96</f>
        <v>0.1</v>
      </c>
      <c r="AS96" s="213" t="n">
        <f aca="false">IF(A97="","",1/(1+CHOOSE(F$3,(AR97+($I$3/10000))/2,(AR96+($I$3/10000))/2))^(2*AQ96/365.25))</f>
        <v>5.33217793479269</v>
      </c>
      <c r="AT96" s="137" t="n">
        <f aca="false">IF(A97="","",IF(AND(mthbeg&lt;=A96,mthend&gt;=A96),1,0))</f>
        <v>1</v>
      </c>
      <c r="AU96" s="137" t="n">
        <f aca="false">IF(A97="","",AO96*AT96)</f>
        <v>31</v>
      </c>
      <c r="AW96" s="195" t="e">
        <f aca="false">IF($A97="","",AL96*$E96)</f>
        <v>#NAME?</v>
      </c>
      <c r="AX96" s="195" t="e">
        <f aca="false">IF($A97="","",AM96*$E96)</f>
        <v>#N/A</v>
      </c>
      <c r="AY96" s="195" t="e">
        <f aca="false">IF($A97="","",AN96*$E96)</f>
        <v>#N/A</v>
      </c>
      <c r="BA96" s="195" t="n">
        <f aca="false">IF($A97="","",F96*Summary!$Q$9)</f>
        <v>0</v>
      </c>
      <c r="BC96" s="179" t="e">
        <f aca="false">IF(A97="","",AM96*F96)</f>
        <v>#N/A</v>
      </c>
    </row>
    <row r="97" customFormat="false" ht="12.75" hidden="false" customHeight="false" outlineLevel="0" collapsed="false">
      <c r="A97" s="196" t="n">
        <f aca="false">IF(A96&lt;mthend,EDATE(A96,1),"")</f>
        <v>39692</v>
      </c>
      <c r="B97" s="197" t="n">
        <f aca="false">IF(A97&lt;mthend,B96,"")</f>
        <v>36050</v>
      </c>
      <c r="C97" s="215"/>
      <c r="D97" s="197" t="n">
        <f aca="false">IF(A98&lt;&gt;"",B97+C97,"")</f>
        <v>36050</v>
      </c>
      <c r="E97" s="199" t="n">
        <f aca="false">IF(A98="","",IF(AND(AT97=1,$H$3=1),D97*AO97,IF($H$3=2,D97,"N/A")))</f>
        <v>1081500</v>
      </c>
      <c r="F97" s="199" t="n">
        <f aca="false">IF(A98="","",E97*AS97)</f>
        <v>5719187.60121822</v>
      </c>
      <c r="G97" s="200" t="e">
        <f aca="false">IF($A98="","",VLOOKUP($A97,Table,MATCH(G$4,Curves,0)))</f>
        <v>#N/A</v>
      </c>
      <c r="H97" s="201" t="e">
        <f aca="false">IF(A98="","",G97)</f>
        <v>#N/A</v>
      </c>
      <c r="I97" s="202"/>
      <c r="J97" s="200" t="e">
        <f aca="false">IF($A98="","",VLOOKUP($A97,Table,MATCH(J$4,Curves,0)))</f>
        <v>#N/A</v>
      </c>
      <c r="K97" s="201" t="e">
        <f aca="false">IF(A98="","",J97)</f>
        <v>#N/A</v>
      </c>
      <c r="L97" s="200" t="e">
        <f aca="false">IF($A98="","",VLOOKUP($A97,Table,MATCH(L$4,Curves,0)))</f>
        <v>#N/A</v>
      </c>
      <c r="M97" s="201" t="e">
        <f aca="false">IF(A98="","",L97)</f>
        <v>#N/A</v>
      </c>
      <c r="N97" s="203"/>
      <c r="O97" s="200" t="e">
        <f aca="false">IF(A98="","",L97+J97+G97)</f>
        <v>#N/A</v>
      </c>
      <c r="P97" s="200" t="e">
        <f aca="false">IF(A98="","",M97+K97+H97)</f>
        <v>#N/A</v>
      </c>
      <c r="Q97" s="204"/>
      <c r="R97" s="200" t="e">
        <f aca="false">IF($A98="","",VLOOKUP($A97,Table,MATCH(R$4,Curves,0)))</f>
        <v>#N/A</v>
      </c>
      <c r="S97" s="201" t="e">
        <f aca="false">IF(A98="","",R97)</f>
        <v>#N/A</v>
      </c>
      <c r="T97" s="200" t="e">
        <f aca="false">IF($A98="","",VLOOKUP($A97,Table,MATCH(T$4,Curves,0)))</f>
        <v>#N/A</v>
      </c>
      <c r="U97" s="201" t="e">
        <f aca="false">IF(A98="","",T97)</f>
        <v>#N/A</v>
      </c>
      <c r="V97" s="225" t="e">
        <f aca="false">IF($A98="","",IF(AND(MONTH(A97)&gt;3,MONTH(A97)&lt;11),(T97+R97+G97)*Summary!$T$9/(1-Summary!$T$9),(T97+R97+G97)*Summary!$U$9/(1-Summary!$U$9)))</f>
        <v>#N/A</v>
      </c>
      <c r="W97" s="200" t="e">
        <f aca="false">IF($A98="","",(T97+R97+G97+V97))</f>
        <v>#N/A</v>
      </c>
      <c r="X97" s="200" t="e">
        <f aca="false">IF($A98="","",(U97+S97+H97+V97))</f>
        <v>#N/A</v>
      </c>
      <c r="Y97" s="202"/>
      <c r="Z97" s="185" t="e">
        <f aca="false">IF($A98="","",VLOOKUP($A97,Table,MATCH(Z$4,Curves,0)))</f>
        <v>#N/A</v>
      </c>
      <c r="AA97" s="185" t="e">
        <f aca="false">IF($A98="","",VLOOKUP($A97,Table,MATCH(AA$4,Curves,0)))</f>
        <v>#N/A</v>
      </c>
      <c r="AB97" s="185" t="e">
        <f aca="false">SQRT((AA97^2*(A97-$D$3)+Z97^2*(DAY(EOMONTH(A97,0))/2))/AK97)</f>
        <v>#N/A</v>
      </c>
      <c r="AC97" s="185" t="e">
        <f aca="false">IF($A98="","",VLOOKUP($A97,Table,MATCH(AC$4,Curves,0)))</f>
        <v>#N/A</v>
      </c>
      <c r="AD97" s="185" t="e">
        <f aca="false">IF($A98="","",VLOOKUP($A97,Table,MATCH(AD$4,Curves,0)))</f>
        <v>#N/A</v>
      </c>
      <c r="AE97" s="185" t="e">
        <f aca="false">SQRT((AD97^2*(A97-$D$3)+AC97^2*(DAY(EOMONTH(A97,0))/2))/AK97)</f>
        <v>#N/A</v>
      </c>
      <c r="AF97" s="224" t="e">
        <f aca="false">((Summary!$N$9*(AA97*AD97)*(A97-$D$3))+(Summary!$M$9*Z97*AC97*(AJ97-EOMONTH(EDATE(A97,-1),0))))/(AK97*AB97*AE97)</f>
        <v>#N/A</v>
      </c>
      <c r="AG97" s="207" t="n">
        <f aca="false">IF($A98="","",Summary!$Q$9)</f>
        <v>0</v>
      </c>
      <c r="AH97" s="207" t="n">
        <f aca="false">IF($A98="","",IF(Summary!$R$9="Y",VLOOKUP($A97,Summary!$AD$6:$AF$9,3)+'Escalating commodity'!E110,'Escalating commodity'!E110))</f>
        <v>0.0707</v>
      </c>
      <c r="AI97" s="207" t="n">
        <f aca="false">IF($A98="","",AH97)</f>
        <v>0.0707</v>
      </c>
      <c r="AJ97" s="208" t="n">
        <f aca="false">A97+DAY(EOMONTH(A97,0))/2-1</f>
        <v>39706</v>
      </c>
      <c r="AK97" s="209" t="n">
        <f aca="false">IF($A98="","",$A97-$E$1)</f>
        <v>-6234</v>
      </c>
      <c r="AL97" s="182" t="e">
        <f aca="false">IF($A98="","",SPRDOPT(P97,X97,AI97,0,AB97,AE97,AF97,AK97,$AJ$2,0))</f>
        <v>#NAME?</v>
      </c>
      <c r="AM97" s="211" t="e">
        <f aca="false">IF($A98="","",MAX(0,O97-W97-AI97))</f>
        <v>#N/A</v>
      </c>
      <c r="AN97" s="211" t="e">
        <f aca="false">IF($A98="","",AL97-AM97)</f>
        <v>#N/A</v>
      </c>
      <c r="AO97" s="137" t="n">
        <f aca="false">IF(A98="","",A98-A97)</f>
        <v>30</v>
      </c>
      <c r="AP97" s="212" t="n">
        <f aca="false">IF(A98="","",CHOOSE(F$3,A98+24,A97))</f>
        <v>39692</v>
      </c>
      <c r="AQ97" s="209" t="n">
        <f aca="false">IF(A98="","",AP97-$E$1)</f>
        <v>-6234</v>
      </c>
      <c r="AR97" s="185" t="n">
        <f aca="false">'ANR OK vs ML7'!AR97</f>
        <v>0.1</v>
      </c>
      <c r="AS97" s="213" t="n">
        <f aca="false">IF(A98="","",1/(1+CHOOSE(F$3,(AR98+($I$3/10000))/2,(AR97+($I$3/10000))/2))^(2*AQ97/365.25))</f>
        <v>5.28819935387723</v>
      </c>
      <c r="AT97" s="137" t="n">
        <f aca="false">IF(A98="","",IF(AND(mthbeg&lt;=A97,mthend&gt;=A97),1,0))</f>
        <v>1</v>
      </c>
      <c r="AU97" s="137" t="n">
        <f aca="false">IF(A98="","",AO97*AT97)</f>
        <v>30</v>
      </c>
      <c r="AW97" s="195" t="e">
        <f aca="false">IF($A98="","",AL97*$E97)</f>
        <v>#NAME?</v>
      </c>
      <c r="AX97" s="195" t="e">
        <f aca="false">IF($A98="","",AM97*$E97)</f>
        <v>#N/A</v>
      </c>
      <c r="AY97" s="195" t="e">
        <f aca="false">IF($A98="","",AN97*$E97)</f>
        <v>#N/A</v>
      </c>
      <c r="BA97" s="195" t="n">
        <f aca="false">IF($A98="","",F97*Summary!$Q$9)</f>
        <v>0</v>
      </c>
      <c r="BC97" s="179" t="e">
        <f aca="false">IF(A98="","",AM97*F97)</f>
        <v>#N/A</v>
      </c>
    </row>
    <row r="98" customFormat="false" ht="12.75" hidden="false" customHeight="false" outlineLevel="0" collapsed="false">
      <c r="A98" s="196" t="n">
        <f aca="false">IF(A97&lt;mthend,EDATE(A97,1),"")</f>
        <v>39722</v>
      </c>
      <c r="B98" s="197" t="n">
        <f aca="false">IF(A98&lt;mthend,B97,"")</f>
        <v>36050</v>
      </c>
      <c r="C98" s="215"/>
      <c r="D98" s="197" t="n">
        <f aca="false">IF(A99&lt;&gt;"",B98+C98,"")</f>
        <v>36050</v>
      </c>
      <c r="E98" s="199" t="n">
        <f aca="false">IF(A99="","",IF(AND(AT98=1,$H$3=1),D98*AO98,IF($H$3=2,D98,"N/A")))</f>
        <v>1117550</v>
      </c>
      <c r="F98" s="199" t="n">
        <f aca="false">IF(A99="","",E98*AS98)</f>
        <v>5862650.34711108</v>
      </c>
      <c r="G98" s="200" t="e">
        <f aca="false">IF($A99="","",VLOOKUP($A98,Table,MATCH(G$4,Curves,0)))</f>
        <v>#N/A</v>
      </c>
      <c r="H98" s="201" t="e">
        <f aca="false">IF(A99="","",G98)</f>
        <v>#N/A</v>
      </c>
      <c r="I98" s="202"/>
      <c r="J98" s="200" t="e">
        <f aca="false">IF($A99="","",VLOOKUP($A98,Table,MATCH(J$4,Curves,0)))</f>
        <v>#N/A</v>
      </c>
      <c r="K98" s="201" t="e">
        <f aca="false">IF(A99="","",J98)</f>
        <v>#N/A</v>
      </c>
      <c r="L98" s="200" t="e">
        <f aca="false">IF($A99="","",VLOOKUP($A98,Table,MATCH(L$4,Curves,0)))</f>
        <v>#N/A</v>
      </c>
      <c r="M98" s="201" t="e">
        <f aca="false">IF(A99="","",L98)</f>
        <v>#N/A</v>
      </c>
      <c r="N98" s="203"/>
      <c r="O98" s="200" t="e">
        <f aca="false">IF(A99="","",L98+J98+G98)</f>
        <v>#N/A</v>
      </c>
      <c r="P98" s="200" t="e">
        <f aca="false">IF(A99="","",M98+K98+H98)</f>
        <v>#N/A</v>
      </c>
      <c r="Q98" s="204"/>
      <c r="R98" s="200" t="e">
        <f aca="false">IF($A99="","",VLOOKUP($A98,Table,MATCH(R$4,Curves,0)))</f>
        <v>#N/A</v>
      </c>
      <c r="S98" s="201" t="e">
        <f aca="false">IF(A99="","",R98)</f>
        <v>#N/A</v>
      </c>
      <c r="T98" s="200" t="e">
        <f aca="false">IF($A99="","",VLOOKUP($A98,Table,MATCH(T$4,Curves,0)))</f>
        <v>#N/A</v>
      </c>
      <c r="U98" s="201" t="e">
        <f aca="false">IF(A99="","",T98)</f>
        <v>#N/A</v>
      </c>
      <c r="V98" s="225" t="e">
        <f aca="false">IF($A99="","",IF(AND(MONTH(A98)&gt;3,MONTH(A98)&lt;11),(T98+R98+G98)*Summary!$T$9/(1-Summary!$T$9),(T98+R98+G98)*Summary!$U$9/(1-Summary!$U$9)))</f>
        <v>#N/A</v>
      </c>
      <c r="W98" s="200" t="e">
        <f aca="false">IF($A99="","",(T98+R98+G98+V98))</f>
        <v>#N/A</v>
      </c>
      <c r="X98" s="200" t="e">
        <f aca="false">IF($A99="","",(U98+S98+H98+V98))</f>
        <v>#N/A</v>
      </c>
      <c r="Y98" s="202"/>
      <c r="Z98" s="185" t="e">
        <f aca="false">IF($A99="","",VLOOKUP($A98,Table,MATCH(Z$4,Curves,0)))</f>
        <v>#N/A</v>
      </c>
      <c r="AA98" s="185" t="e">
        <f aca="false">IF($A99="","",VLOOKUP($A98,Table,MATCH(AA$4,Curves,0)))</f>
        <v>#N/A</v>
      </c>
      <c r="AB98" s="185" t="e">
        <f aca="false">SQRT((AA98^2*(A98-$D$3)+Z98^2*(DAY(EOMONTH(A98,0))/2))/AK98)</f>
        <v>#N/A</v>
      </c>
      <c r="AC98" s="185" t="e">
        <f aca="false">IF($A99="","",VLOOKUP($A98,Table,MATCH(AC$4,Curves,0)))</f>
        <v>#N/A</v>
      </c>
      <c r="AD98" s="185" t="e">
        <f aca="false">IF($A99="","",VLOOKUP($A98,Table,MATCH(AD$4,Curves,0)))</f>
        <v>#N/A</v>
      </c>
      <c r="AE98" s="185" t="e">
        <f aca="false">SQRT((AD98^2*(A98-$D$3)+AC98^2*(DAY(EOMONTH(A98,0))/2))/AK98)</f>
        <v>#N/A</v>
      </c>
      <c r="AF98" s="224" t="e">
        <f aca="false">((Summary!$N$9*(AA98*AD98)*(A98-$D$3))+(Summary!$M$9*Z98*AC98*(AJ98-EOMONTH(EDATE(A98,-1),0))))/(AK98*AB98*AE98)</f>
        <v>#N/A</v>
      </c>
      <c r="AG98" s="207" t="n">
        <f aca="false">IF($A99="","",Summary!$Q$9)</f>
        <v>0</v>
      </c>
      <c r="AH98" s="207" t="n">
        <f aca="false">IF($A99="","",IF(Summary!$R$9="Y",VLOOKUP($A98,Summary!$AD$6:$AF$9,3)+'Escalating commodity'!E111,'Escalating commodity'!E111))</f>
        <v>0.0707</v>
      </c>
      <c r="AI98" s="207" t="n">
        <f aca="false">IF($A99="","",AH98)</f>
        <v>0.0707</v>
      </c>
      <c r="AJ98" s="208" t="n">
        <f aca="false">A98+DAY(EOMONTH(A98,0))/2-1</f>
        <v>39736.5</v>
      </c>
      <c r="AK98" s="209" t="n">
        <f aca="false">IF($A99="","",$A98-$E$1)</f>
        <v>-6204</v>
      </c>
      <c r="AL98" s="182" t="e">
        <f aca="false">IF($A99="","",SPRDOPT(P98,X98,AI98,0,AB98,AE98,AF98,AK98,$AJ$2,0))</f>
        <v>#NAME?</v>
      </c>
      <c r="AM98" s="211" t="e">
        <f aca="false">IF($A99="","",MAX(0,O98-W98-AI98))</f>
        <v>#N/A</v>
      </c>
      <c r="AN98" s="211" t="e">
        <f aca="false">IF($A99="","",AL98-AM98)</f>
        <v>#N/A</v>
      </c>
      <c r="AO98" s="137" t="n">
        <f aca="false">IF(A99="","",A99-A98)</f>
        <v>31</v>
      </c>
      <c r="AP98" s="212" t="n">
        <f aca="false">IF(A99="","",CHOOSE(F$3,A99+24,A98))</f>
        <v>39722</v>
      </c>
      <c r="AQ98" s="209" t="n">
        <f aca="false">IF(A99="","",AP98-$E$1)</f>
        <v>-6204</v>
      </c>
      <c r="AR98" s="185" t="n">
        <f aca="false">'ANR OK vs ML7'!AR98</f>
        <v>0.1</v>
      </c>
      <c r="AS98" s="213" t="n">
        <f aca="false">IF(A99="","",1/(1+CHOOSE(F$3,(AR99+($I$3/10000))/2,(AR98+($I$3/10000))/2))^(2*AQ98/365.25))</f>
        <v>5.24598483030833</v>
      </c>
      <c r="AT98" s="137" t="n">
        <f aca="false">IF(A99="","",IF(AND(mthbeg&lt;=A98,mthend&gt;=A98),1,0))</f>
        <v>1</v>
      </c>
      <c r="AU98" s="137" t="n">
        <f aca="false">IF(A99="","",AO98*AT98)</f>
        <v>31</v>
      </c>
      <c r="AW98" s="195" t="e">
        <f aca="false">IF($A99="","",AL98*$E98)</f>
        <v>#NAME?</v>
      </c>
      <c r="AX98" s="195" t="e">
        <f aca="false">IF($A99="","",AM98*$E98)</f>
        <v>#N/A</v>
      </c>
      <c r="AY98" s="195" t="e">
        <f aca="false">IF($A99="","",AN98*$E98)</f>
        <v>#N/A</v>
      </c>
      <c r="BA98" s="195" t="n">
        <f aca="false">IF($A99="","",F98*Summary!$Q$9)</f>
        <v>0</v>
      </c>
      <c r="BC98" s="179" t="e">
        <f aca="false">IF(A99="","",AM98*F98)</f>
        <v>#N/A</v>
      </c>
    </row>
    <row r="99" customFormat="false" ht="12.75" hidden="false" customHeight="false" outlineLevel="0" collapsed="false">
      <c r="A99" s="196" t="n">
        <f aca="false">IF(A98&lt;mthend,EDATE(A98,1),"")</f>
        <v>39753</v>
      </c>
      <c r="B99" s="197" t="n">
        <f aca="false">IF(A99&lt;mthend,B98,"")</f>
        <v>36050</v>
      </c>
      <c r="C99" s="215"/>
      <c r="D99" s="197" t="n">
        <f aca="false">IF(A100&lt;&gt;"",B99+C99,"")</f>
        <v>36050</v>
      </c>
      <c r="E99" s="199" t="n">
        <f aca="false">IF(A100="","",IF(AND(AT99=1,$H$3=1),D99*AO99,IF($H$3=2,D99,"N/A")))</f>
        <v>1081500</v>
      </c>
      <c r="F99" s="199" t="n">
        <f aca="false">IF(A100="","",E99*AS99)</f>
        <v>5626738.59810809</v>
      </c>
      <c r="G99" s="200" t="e">
        <f aca="false">IF($A100="","",VLOOKUP($A99,Table,MATCH(G$4,Curves,0)))</f>
        <v>#N/A</v>
      </c>
      <c r="H99" s="201" t="e">
        <f aca="false">IF(A100="","",G99)</f>
        <v>#N/A</v>
      </c>
      <c r="I99" s="202"/>
      <c r="J99" s="200" t="e">
        <f aca="false">IF($A100="","",VLOOKUP($A99,Table,MATCH(J$4,Curves,0)))</f>
        <v>#N/A</v>
      </c>
      <c r="K99" s="201" t="e">
        <f aca="false">IF(A100="","",J99)</f>
        <v>#N/A</v>
      </c>
      <c r="L99" s="200" t="e">
        <f aca="false">IF($A100="","",VLOOKUP($A99,Table,MATCH(L$4,Curves,0)))</f>
        <v>#N/A</v>
      </c>
      <c r="M99" s="201" t="e">
        <f aca="false">IF(A100="","",L99)</f>
        <v>#N/A</v>
      </c>
      <c r="N99" s="203"/>
      <c r="O99" s="200" t="e">
        <f aca="false">IF(A100="","",L99+J99+G99)</f>
        <v>#N/A</v>
      </c>
      <c r="P99" s="200" t="e">
        <f aca="false">IF(A100="","",M99+K99+H99)</f>
        <v>#N/A</v>
      </c>
      <c r="Q99" s="204"/>
      <c r="R99" s="200" t="e">
        <f aca="false">IF($A100="","",VLOOKUP($A99,Table,MATCH(R$4,Curves,0)))</f>
        <v>#N/A</v>
      </c>
      <c r="S99" s="201" t="e">
        <f aca="false">IF(A100="","",R99)</f>
        <v>#N/A</v>
      </c>
      <c r="T99" s="200" t="e">
        <f aca="false">IF($A100="","",VLOOKUP($A99,Table,MATCH(T$4,Curves,0)))</f>
        <v>#N/A</v>
      </c>
      <c r="U99" s="201" t="e">
        <f aca="false">IF(A100="","",T99)</f>
        <v>#N/A</v>
      </c>
      <c r="V99" s="225" t="e">
        <f aca="false">IF($A100="","",IF(AND(MONTH(A99)&gt;3,MONTH(A99)&lt;11),(T99+R99+G99)*Summary!$T$9/(1-Summary!$T$9),(T99+R99+G99)*Summary!$U$9/(1-Summary!$U$9)))</f>
        <v>#N/A</v>
      </c>
      <c r="W99" s="200" t="e">
        <f aca="false">IF($A100="","",(T99+R99+G99+V99))</f>
        <v>#N/A</v>
      </c>
      <c r="X99" s="200" t="e">
        <f aca="false">IF($A100="","",(U99+S99+H99+V99))</f>
        <v>#N/A</v>
      </c>
      <c r="Y99" s="202"/>
      <c r="Z99" s="185" t="e">
        <f aca="false">IF($A100="","",VLOOKUP($A99,Table,MATCH(Z$4,Curves,0)))</f>
        <v>#N/A</v>
      </c>
      <c r="AA99" s="185" t="e">
        <f aca="false">IF($A100="","",VLOOKUP($A99,Table,MATCH(AA$4,Curves,0)))</f>
        <v>#N/A</v>
      </c>
      <c r="AB99" s="185" t="e">
        <f aca="false">SQRT((AA99^2*(A99-$D$3)+Z99^2*(DAY(EOMONTH(A99,0))/2))/AK99)</f>
        <v>#N/A</v>
      </c>
      <c r="AC99" s="185" t="e">
        <f aca="false">IF($A100="","",VLOOKUP($A99,Table,MATCH(AC$4,Curves,0)))</f>
        <v>#N/A</v>
      </c>
      <c r="AD99" s="185" t="e">
        <f aca="false">IF($A100="","",VLOOKUP($A99,Table,MATCH(AD$4,Curves,0)))</f>
        <v>#N/A</v>
      </c>
      <c r="AE99" s="185" t="e">
        <f aca="false">SQRT((AD99^2*(A99-$D$3)+AC99^2*(DAY(EOMONTH(A99,0))/2))/AK99)</f>
        <v>#N/A</v>
      </c>
      <c r="AF99" s="224" t="e">
        <f aca="false">((Summary!$N$9*(AA99*AD99)*(A99-$D$3))+(Summary!$M$9*Z99*AC99*(AJ99-EOMONTH(EDATE(A99,-1),0))))/(AK99*AB99*AE99)</f>
        <v>#N/A</v>
      </c>
      <c r="AG99" s="207" t="n">
        <f aca="false">IF($A100="","",Summary!$Q$9)</f>
        <v>0</v>
      </c>
      <c r="AH99" s="207" t="n">
        <f aca="false">IF($A100="","",IF(Summary!$R$9="Y",VLOOKUP($A99,Summary!$AD$6:$AF$9,3)+'Escalating commodity'!E112,'Escalating commodity'!E112))</f>
        <v>0.0707</v>
      </c>
      <c r="AI99" s="207" t="n">
        <f aca="false">IF($A100="","",AH99)</f>
        <v>0.0707</v>
      </c>
      <c r="AJ99" s="208" t="n">
        <f aca="false">A99+DAY(EOMONTH(A99,0))/2-1</f>
        <v>39767</v>
      </c>
      <c r="AK99" s="209" t="n">
        <f aca="false">IF($A100="","",$A99-$E$1)</f>
        <v>-6173</v>
      </c>
      <c r="AL99" s="182" t="e">
        <f aca="false">IF($A100="","",SPRDOPT(P99,X99,AI99,0,AB99,AE99,AF99,AK99,$AJ$2,0))</f>
        <v>#NAME?</v>
      </c>
      <c r="AM99" s="211" t="e">
        <f aca="false">IF($A100="","",MAX(0,O99-W99-AI99))</f>
        <v>#N/A</v>
      </c>
      <c r="AN99" s="211" t="e">
        <f aca="false">IF($A100="","",AL99-AM99)</f>
        <v>#N/A</v>
      </c>
      <c r="AO99" s="137" t="n">
        <f aca="false">IF(A100="","",A100-A99)</f>
        <v>30</v>
      </c>
      <c r="AP99" s="212" t="n">
        <f aca="false">IF(A100="","",CHOOSE(F$3,A100+24,A99))</f>
        <v>39753</v>
      </c>
      <c r="AQ99" s="209" t="n">
        <f aca="false">IF(A100="","",AP99-$E$1)</f>
        <v>-6173</v>
      </c>
      <c r="AR99" s="185" t="n">
        <f aca="false">'ANR OK vs ML7'!AR99</f>
        <v>0.1</v>
      </c>
      <c r="AS99" s="213" t="n">
        <f aca="false">IF(A100="","",1/(1+CHOOSE(F$3,(AR100+($I$3/10000))/2,(AR99+($I$3/10000))/2))^(2*AQ99/365.25))</f>
        <v>5.20271715035422</v>
      </c>
      <c r="AT99" s="137" t="n">
        <f aca="false">IF(A100="","",IF(AND(mthbeg&lt;=A99,mthend&gt;=A99),1,0))</f>
        <v>1</v>
      </c>
      <c r="AU99" s="137" t="n">
        <f aca="false">IF(A100="","",AO99*AT99)</f>
        <v>30</v>
      </c>
      <c r="AW99" s="195" t="e">
        <f aca="false">IF($A100="","",AL99*$E99)</f>
        <v>#NAME?</v>
      </c>
      <c r="AX99" s="195" t="e">
        <f aca="false">IF($A100="","",AM99*$E99)</f>
        <v>#N/A</v>
      </c>
      <c r="AY99" s="195" t="e">
        <f aca="false">IF($A100="","",AN99*$E99)</f>
        <v>#N/A</v>
      </c>
      <c r="BA99" s="195" t="n">
        <f aca="false">IF($A100="","",F99*Summary!$Q$9)</f>
        <v>0</v>
      </c>
      <c r="BC99" s="179" t="e">
        <f aca="false">IF(A100="","",AM99*F99)</f>
        <v>#N/A</v>
      </c>
    </row>
    <row r="100" customFormat="false" ht="12.75" hidden="false" customHeight="false" outlineLevel="0" collapsed="false">
      <c r="A100" s="196" t="n">
        <f aca="false">IF(A99&lt;mthend,EDATE(A99,1),"")</f>
        <v>39783</v>
      </c>
      <c r="B100" s="197" t="n">
        <f aca="false">IF(A100&lt;mthend,B99,"")</f>
        <v>36050</v>
      </c>
      <c r="C100" s="215"/>
      <c r="D100" s="197" t="n">
        <f aca="false">IF(A101&lt;&gt;"",B100+C100,"")</f>
        <v>36050</v>
      </c>
      <c r="E100" s="199" t="n">
        <f aca="false">IF(A101="","",IF(AND(AT100=1,$H$3=1),D100*AO100,IF($H$3=2,D100,"N/A")))</f>
        <v>1117550</v>
      </c>
      <c r="F100" s="199" t="n">
        <f aca="false">IF(A101="","",E100*AS100)</f>
        <v>5767882.31046576</v>
      </c>
      <c r="G100" s="200" t="e">
        <f aca="false">IF($A101="","",VLOOKUP($A100,Table,MATCH(G$4,Curves,0)))</f>
        <v>#N/A</v>
      </c>
      <c r="H100" s="201" t="e">
        <f aca="false">IF(A101="","",G100)</f>
        <v>#N/A</v>
      </c>
      <c r="I100" s="202"/>
      <c r="J100" s="200" t="e">
        <f aca="false">IF($A101="","",VLOOKUP($A100,Table,MATCH(J$4,Curves,0)))</f>
        <v>#N/A</v>
      </c>
      <c r="K100" s="201" t="e">
        <f aca="false">IF(A101="","",J100)</f>
        <v>#N/A</v>
      </c>
      <c r="L100" s="200" t="e">
        <f aca="false">IF($A101="","",VLOOKUP($A100,Table,MATCH(L$4,Curves,0)))</f>
        <v>#N/A</v>
      </c>
      <c r="M100" s="201" t="e">
        <f aca="false">IF(A101="","",L100)</f>
        <v>#N/A</v>
      </c>
      <c r="N100" s="203"/>
      <c r="O100" s="200" t="e">
        <f aca="false">IF(A101="","",L100+J100+G100)</f>
        <v>#N/A</v>
      </c>
      <c r="P100" s="200" t="e">
        <f aca="false">IF(A101="","",M100+K100+H100)</f>
        <v>#N/A</v>
      </c>
      <c r="Q100" s="204"/>
      <c r="R100" s="200" t="e">
        <f aca="false">IF($A101="","",VLOOKUP($A100,Table,MATCH(R$4,Curves,0)))</f>
        <v>#N/A</v>
      </c>
      <c r="S100" s="201" t="e">
        <f aca="false">IF(A101="","",R100)</f>
        <v>#N/A</v>
      </c>
      <c r="T100" s="200" t="e">
        <f aca="false">IF($A101="","",VLOOKUP($A100,Table,MATCH(T$4,Curves,0)))</f>
        <v>#N/A</v>
      </c>
      <c r="U100" s="201" t="e">
        <f aca="false">IF(A101="","",T100)</f>
        <v>#N/A</v>
      </c>
      <c r="V100" s="225" t="e">
        <f aca="false">IF($A101="","",IF(AND(MONTH(A100)&gt;3,MONTH(A100)&lt;11),(T100+R100+G100)*Summary!$T$9/(1-Summary!$T$9),(T100+R100+G100)*Summary!$U$9/(1-Summary!$U$9)))</f>
        <v>#N/A</v>
      </c>
      <c r="W100" s="200" t="e">
        <f aca="false">IF($A101="","",(T100+R100+G100+V100))</f>
        <v>#N/A</v>
      </c>
      <c r="X100" s="200" t="e">
        <f aca="false">IF($A101="","",(U100+S100+H100+V100))</f>
        <v>#N/A</v>
      </c>
      <c r="Y100" s="202"/>
      <c r="Z100" s="185" t="e">
        <f aca="false">IF($A101="","",VLOOKUP($A100,Table,MATCH(Z$4,Curves,0)))</f>
        <v>#N/A</v>
      </c>
      <c r="AA100" s="185" t="e">
        <f aca="false">IF($A101="","",VLOOKUP($A100,Table,MATCH(AA$4,Curves,0)))</f>
        <v>#N/A</v>
      </c>
      <c r="AB100" s="185" t="e">
        <f aca="false">SQRT((AA100^2*(A100-$D$3)+Z100^2*(DAY(EOMONTH(A100,0))/2))/AK100)</f>
        <v>#N/A</v>
      </c>
      <c r="AC100" s="185" t="e">
        <f aca="false">IF($A101="","",VLOOKUP($A100,Table,MATCH(AC$4,Curves,0)))</f>
        <v>#N/A</v>
      </c>
      <c r="AD100" s="185" t="e">
        <f aca="false">IF($A101="","",VLOOKUP($A100,Table,MATCH(AD$4,Curves,0)))</f>
        <v>#N/A</v>
      </c>
      <c r="AE100" s="185" t="e">
        <f aca="false">SQRT((AD100^2*(A100-$D$3)+AC100^2*(DAY(EOMONTH(A100,0))/2))/AK100)</f>
        <v>#N/A</v>
      </c>
      <c r="AF100" s="224" t="e">
        <f aca="false">((Summary!$N$9*(AA100*AD100)*(A100-$D$3))+(Summary!$M$9*Z100*AC100*(AJ100-EOMONTH(EDATE(A100,-1),0))))/(AK100*AB100*AE100)</f>
        <v>#N/A</v>
      </c>
      <c r="AG100" s="207" t="n">
        <f aca="false">IF($A101="","",Summary!$Q$9)</f>
        <v>0</v>
      </c>
      <c r="AH100" s="207" t="n">
        <f aca="false">IF($A101="","",IF(Summary!$R$9="Y",VLOOKUP($A100,Summary!$AD$6:$AF$9,3)+'Escalating commodity'!E113,'Escalating commodity'!E113))</f>
        <v>0.0707</v>
      </c>
      <c r="AI100" s="207" t="n">
        <f aca="false">IF($A101="","",AH100)</f>
        <v>0.0707</v>
      </c>
      <c r="AJ100" s="208" t="n">
        <f aca="false">A100+DAY(EOMONTH(A100,0))/2-1</f>
        <v>39797.5</v>
      </c>
      <c r="AK100" s="209" t="n">
        <f aca="false">IF($A101="","",$A100-$E$1)</f>
        <v>-6143</v>
      </c>
      <c r="AL100" s="182" t="e">
        <f aca="false">IF($A101="","",SPRDOPT(P100,X100,AI100,0,AB100,AE100,AF100,AK100,$AJ$2,0))</f>
        <v>#NAME?</v>
      </c>
      <c r="AM100" s="211" t="e">
        <f aca="false">IF($A101="","",MAX(0,O100-W100-AI100))</f>
        <v>#N/A</v>
      </c>
      <c r="AN100" s="211" t="e">
        <f aca="false">IF($A101="","",AL100-AM100)</f>
        <v>#N/A</v>
      </c>
      <c r="AO100" s="137" t="n">
        <f aca="false">IF(A101="","",A101-A100)</f>
        <v>31</v>
      </c>
      <c r="AP100" s="212" t="n">
        <f aca="false">IF(A101="","",CHOOSE(F$3,A101+24,A100))</f>
        <v>39783</v>
      </c>
      <c r="AQ100" s="209" t="n">
        <f aca="false">IF(A101="","",AP100-$E$1)</f>
        <v>-6143</v>
      </c>
      <c r="AR100" s="185" t="n">
        <f aca="false">'ANR OK vs ML7'!AR100</f>
        <v>0.1</v>
      </c>
      <c r="AS100" s="213" t="n">
        <f aca="false">IF(A101="","",1/(1+CHOOSE(F$3,(AR101+($I$3/10000))/2,(AR100+($I$3/10000))/2))^(2*AQ100/365.25))</f>
        <v>5.16118501227306</v>
      </c>
      <c r="AT100" s="137" t="n">
        <f aca="false">IF(A101="","",IF(AND(mthbeg&lt;=A100,mthend&gt;=A100),1,0))</f>
        <v>1</v>
      </c>
      <c r="AU100" s="137" t="n">
        <f aca="false">IF(A101="","",AO100*AT100)</f>
        <v>31</v>
      </c>
      <c r="AW100" s="195" t="e">
        <f aca="false">IF($A101="","",AL100*$E100)</f>
        <v>#NAME?</v>
      </c>
      <c r="AX100" s="195" t="e">
        <f aca="false">IF($A101="","",AM100*$E100)</f>
        <v>#N/A</v>
      </c>
      <c r="AY100" s="195" t="e">
        <f aca="false">IF($A101="","",AN100*$E100)</f>
        <v>#N/A</v>
      </c>
      <c r="BA100" s="195" t="n">
        <f aca="false">IF($A101="","",F100*Summary!$Q$9)</f>
        <v>0</v>
      </c>
      <c r="BC100" s="179" t="e">
        <f aca="false">IF(A101="","",AM100*F100)</f>
        <v>#N/A</v>
      </c>
    </row>
    <row r="101" customFormat="false" ht="12.75" hidden="false" customHeight="false" outlineLevel="0" collapsed="false">
      <c r="A101" s="196" t="n">
        <f aca="false">IF(A100&lt;mthend,EDATE(A100,1),"")</f>
        <v>39814</v>
      </c>
      <c r="B101" s="197" t="n">
        <f aca="false">IF(A101&lt;mthend,B100,"")</f>
        <v>36050</v>
      </c>
      <c r="C101" s="215"/>
      <c r="D101" s="197" t="n">
        <f aca="false">IF(A102&lt;&gt;"",B101+C101,"")</f>
        <v>36050</v>
      </c>
      <c r="E101" s="199" t="n">
        <f aca="false">IF(A102="","",IF(AND(AT101=1,$H$3=1),D101*AO101,IF($H$3=2,D101,"N/A")))</f>
        <v>1117550</v>
      </c>
      <c r="F101" s="199" t="n">
        <f aca="false">IF(A102="","",E101*AS101)</f>
        <v>5720310.13976859</v>
      </c>
      <c r="G101" s="200" t="e">
        <f aca="false">IF($A102="","",VLOOKUP($A101,Table,MATCH(G$4,Curves,0)))</f>
        <v>#N/A</v>
      </c>
      <c r="H101" s="201" t="e">
        <f aca="false">IF(A102="","",G101)</f>
        <v>#N/A</v>
      </c>
      <c r="I101" s="202"/>
      <c r="J101" s="200" t="e">
        <f aca="false">IF($A102="","",VLOOKUP($A101,Table,MATCH(J$4,Curves,0)))</f>
        <v>#N/A</v>
      </c>
      <c r="K101" s="201" t="e">
        <f aca="false">IF(A102="","",J101)</f>
        <v>#N/A</v>
      </c>
      <c r="L101" s="200" t="e">
        <f aca="false">IF($A102="","",VLOOKUP($A101,Table,MATCH(L$4,Curves,0)))</f>
        <v>#N/A</v>
      </c>
      <c r="M101" s="201" t="e">
        <f aca="false">IF(A102="","",L101)</f>
        <v>#N/A</v>
      </c>
      <c r="N101" s="203"/>
      <c r="O101" s="200" t="e">
        <f aca="false">IF(A102="","",L101+J101+G101)</f>
        <v>#N/A</v>
      </c>
      <c r="P101" s="200" t="e">
        <f aca="false">IF(A102="","",M101+K101+H101)</f>
        <v>#N/A</v>
      </c>
      <c r="Q101" s="204"/>
      <c r="R101" s="200" t="e">
        <f aca="false">IF($A102="","",VLOOKUP($A101,Table,MATCH(R$4,Curves,0)))</f>
        <v>#N/A</v>
      </c>
      <c r="S101" s="201" t="e">
        <f aca="false">IF(A102="","",R101)</f>
        <v>#N/A</v>
      </c>
      <c r="T101" s="200" t="e">
        <f aca="false">IF($A102="","",VLOOKUP($A101,Table,MATCH(T$4,Curves,0)))</f>
        <v>#N/A</v>
      </c>
      <c r="U101" s="201" t="e">
        <f aca="false">IF(A102="","",T101)</f>
        <v>#N/A</v>
      </c>
      <c r="V101" s="225" t="e">
        <f aca="false">IF($A102="","",IF(AND(MONTH(A101)&gt;3,MONTH(A101)&lt;11),(T101+R101+G101)*Summary!$T$9/(1-Summary!$T$9),(T101+R101+G101)*Summary!$U$9/(1-Summary!$U$9)))</f>
        <v>#N/A</v>
      </c>
      <c r="W101" s="200" t="e">
        <f aca="false">IF($A102="","",(T101+R101+G101+V101))</f>
        <v>#N/A</v>
      </c>
      <c r="X101" s="200" t="e">
        <f aca="false">IF($A102="","",(U101+S101+H101+V101))</f>
        <v>#N/A</v>
      </c>
      <c r="Y101" s="202"/>
      <c r="Z101" s="185" t="e">
        <f aca="false">IF($A102="","",VLOOKUP($A101,Table,MATCH(Z$4,Curves,0)))</f>
        <v>#N/A</v>
      </c>
      <c r="AA101" s="185" t="e">
        <f aca="false">IF($A102="","",VLOOKUP($A101,Table,MATCH(AA$4,Curves,0)))</f>
        <v>#N/A</v>
      </c>
      <c r="AB101" s="185" t="e">
        <f aca="false">SQRT((AA101^2*(A101-$D$3)+Z101^2*(DAY(EOMONTH(A101,0))/2))/AK101)</f>
        <v>#N/A</v>
      </c>
      <c r="AC101" s="185" t="e">
        <f aca="false">IF($A102="","",VLOOKUP($A101,Table,MATCH(AC$4,Curves,0)))</f>
        <v>#N/A</v>
      </c>
      <c r="AD101" s="185" t="e">
        <f aca="false">IF($A102="","",VLOOKUP($A101,Table,MATCH(AD$4,Curves,0)))</f>
        <v>#N/A</v>
      </c>
      <c r="AE101" s="185" t="e">
        <f aca="false">SQRT((AD101^2*(A101-$D$3)+AC101^2*(DAY(EOMONTH(A101,0))/2))/AK101)</f>
        <v>#N/A</v>
      </c>
      <c r="AF101" s="224" t="e">
        <f aca="false">((Summary!$N$9*(AA101*AD101)*(A101-$D$3))+(Summary!$M$9*Z101*AC101*(AJ101-EOMONTH(EDATE(A101,-1),0))))/(AK101*AB101*AE101)</f>
        <v>#N/A</v>
      </c>
      <c r="AG101" s="207" t="n">
        <f aca="false">IF($A102="","",Summary!$Q$9)</f>
        <v>0</v>
      </c>
      <c r="AH101" s="207" t="n">
        <f aca="false">IF($A102="","",IF(Summary!$R$9="Y",VLOOKUP($A101,Summary!$AD$6:$AF$9,3)+'Escalating commodity'!E114,'Escalating commodity'!E114))</f>
        <v>0.0707</v>
      </c>
      <c r="AI101" s="207" t="n">
        <f aca="false">IF($A102="","",AH101)</f>
        <v>0.0707</v>
      </c>
      <c r="AJ101" s="208" t="n">
        <f aca="false">A101+DAY(EOMONTH(A101,0))/2-1</f>
        <v>39828.5</v>
      </c>
      <c r="AK101" s="209" t="n">
        <f aca="false">IF($A102="","",$A101-$E$1)</f>
        <v>-6112</v>
      </c>
      <c r="AL101" s="182" t="e">
        <f aca="false">IF($A102="","",SPRDOPT(P101,X101,AI101,0,AB101,AE101,AF101,AK101,$AJ$2,0))</f>
        <v>#NAME?</v>
      </c>
      <c r="AM101" s="211" t="e">
        <f aca="false">IF($A102="","",MAX(0,O101-W101-AI101))</f>
        <v>#N/A</v>
      </c>
      <c r="AN101" s="211" t="e">
        <f aca="false">IF($A102="","",AL101-AM101)</f>
        <v>#N/A</v>
      </c>
      <c r="AO101" s="137" t="n">
        <f aca="false">IF(A102="","",A102-A101)</f>
        <v>31</v>
      </c>
      <c r="AP101" s="212" t="n">
        <f aca="false">IF(A102="","",CHOOSE(F$3,A102+24,A101))</f>
        <v>39814</v>
      </c>
      <c r="AQ101" s="209" t="n">
        <f aca="false">IF(A102="","",AP101-$E$1)</f>
        <v>-6112</v>
      </c>
      <c r="AR101" s="185" t="n">
        <f aca="false">'ANR OK vs ML7'!AR101</f>
        <v>0.1</v>
      </c>
      <c r="AS101" s="213" t="n">
        <f aca="false">IF(A102="","",1/(1+CHOOSE(F$3,(AR102+($I$3/10000))/2,(AR101+($I$3/10000))/2))^(2*AQ101/365.25))</f>
        <v>5.11861674177315</v>
      </c>
      <c r="AT101" s="137" t="n">
        <f aca="false">IF(A102="","",IF(AND(mthbeg&lt;=A101,mthend&gt;=A101),1,0))</f>
        <v>1</v>
      </c>
      <c r="AU101" s="137" t="n">
        <f aca="false">IF(A102="","",AO101*AT101)</f>
        <v>31</v>
      </c>
      <c r="AW101" s="195" t="e">
        <f aca="false">IF($A102="","",AL101*$E101)</f>
        <v>#NAME?</v>
      </c>
      <c r="AX101" s="195" t="e">
        <f aca="false">IF($A102="","",AM101*$E101)</f>
        <v>#N/A</v>
      </c>
      <c r="AY101" s="195" t="e">
        <f aca="false">IF($A102="","",AN101*$E101)</f>
        <v>#N/A</v>
      </c>
      <c r="BA101" s="195" t="n">
        <f aca="false">IF($A102="","",F101*Summary!$Q$9)</f>
        <v>0</v>
      </c>
      <c r="BC101" s="179" t="e">
        <f aca="false">IF(A102="","",AM101*F101)</f>
        <v>#N/A</v>
      </c>
    </row>
    <row r="102" customFormat="false" ht="12.75" hidden="false" customHeight="false" outlineLevel="0" collapsed="false">
      <c r="A102" s="196" t="n">
        <f aca="false">IF(A101&lt;mthend,EDATE(A101,1),"")</f>
        <v>39845</v>
      </c>
      <c r="B102" s="197" t="n">
        <f aca="false">IF(A102&lt;mthend,B101,"")</f>
        <v>36050</v>
      </c>
      <c r="C102" s="215"/>
      <c r="D102" s="197" t="n">
        <f aca="false">IF(A103&lt;&gt;"",B102+C102,"")</f>
        <v>36050</v>
      </c>
      <c r="E102" s="199" t="n">
        <f aca="false">IF(A103="","",IF(AND(AT102=1,$H$3=1),D102*AO102,IF($H$3=2,D102,"N/A")))</f>
        <v>1009400</v>
      </c>
      <c r="F102" s="199" t="n">
        <f aca="false">IF(A103="","",E102*AS102)</f>
        <v>5124117.72051455</v>
      </c>
      <c r="G102" s="200" t="e">
        <f aca="false">IF($A103="","",VLOOKUP($A102,Table,MATCH(G$4,Curves,0)))</f>
        <v>#N/A</v>
      </c>
      <c r="H102" s="201" t="e">
        <f aca="false">IF(A103="","",G102)</f>
        <v>#N/A</v>
      </c>
      <c r="I102" s="202"/>
      <c r="J102" s="200" t="e">
        <f aca="false">IF($A103="","",VLOOKUP($A102,Table,MATCH(J$4,Curves,0)))</f>
        <v>#N/A</v>
      </c>
      <c r="K102" s="201" t="e">
        <f aca="false">IF(A103="","",J102)</f>
        <v>#N/A</v>
      </c>
      <c r="L102" s="200" t="e">
        <f aca="false">IF($A103="","",VLOOKUP($A102,Table,MATCH(L$4,Curves,0)))</f>
        <v>#N/A</v>
      </c>
      <c r="M102" s="201" t="e">
        <f aca="false">IF(A103="","",L102)</f>
        <v>#N/A</v>
      </c>
      <c r="N102" s="203"/>
      <c r="O102" s="200" t="e">
        <f aca="false">IF(A103="","",L102+J102+G102)</f>
        <v>#N/A</v>
      </c>
      <c r="P102" s="200" t="e">
        <f aca="false">IF(A103="","",M102+K102+H102)</f>
        <v>#N/A</v>
      </c>
      <c r="Q102" s="204"/>
      <c r="R102" s="200" t="e">
        <f aca="false">IF($A103="","",VLOOKUP($A102,Table,MATCH(R$4,Curves,0)))</f>
        <v>#N/A</v>
      </c>
      <c r="S102" s="201" t="e">
        <f aca="false">IF(A103="","",R102)</f>
        <v>#N/A</v>
      </c>
      <c r="T102" s="200" t="e">
        <f aca="false">IF($A103="","",VLOOKUP($A102,Table,MATCH(T$4,Curves,0)))</f>
        <v>#N/A</v>
      </c>
      <c r="U102" s="201" t="e">
        <f aca="false">IF(A103="","",T102)</f>
        <v>#N/A</v>
      </c>
      <c r="V102" s="225" t="e">
        <f aca="false">IF($A103="","",IF(AND(MONTH(A102)&gt;3,MONTH(A102)&lt;11),(T102+R102+G102)*Summary!$T$9/(1-Summary!$T$9),(T102+R102+G102)*Summary!$U$9/(1-Summary!$U$9)))</f>
        <v>#N/A</v>
      </c>
      <c r="W102" s="200" t="e">
        <f aca="false">IF($A103="","",(T102+R102+G102+V102))</f>
        <v>#N/A</v>
      </c>
      <c r="X102" s="200" t="e">
        <f aca="false">IF($A103="","",(U102+S102+H102+V102))</f>
        <v>#N/A</v>
      </c>
      <c r="Y102" s="202"/>
      <c r="Z102" s="185" t="e">
        <f aca="false">IF($A103="","",VLOOKUP($A102,Table,MATCH(Z$4,Curves,0)))</f>
        <v>#N/A</v>
      </c>
      <c r="AA102" s="185" t="e">
        <f aca="false">IF($A103="","",VLOOKUP($A102,Table,MATCH(AA$4,Curves,0)))</f>
        <v>#N/A</v>
      </c>
      <c r="AB102" s="185" t="e">
        <f aca="false">SQRT((AA102^2*(A102-$D$3)+Z102^2*(DAY(EOMONTH(A102,0))/2))/AK102)</f>
        <v>#N/A</v>
      </c>
      <c r="AC102" s="185" t="e">
        <f aca="false">IF($A103="","",VLOOKUP($A102,Table,MATCH(AC$4,Curves,0)))</f>
        <v>#N/A</v>
      </c>
      <c r="AD102" s="185" t="e">
        <f aca="false">IF($A103="","",VLOOKUP($A102,Table,MATCH(AD$4,Curves,0)))</f>
        <v>#N/A</v>
      </c>
      <c r="AE102" s="185" t="e">
        <f aca="false">SQRT((AD102^2*(A102-$D$3)+AC102^2*(DAY(EOMONTH(A102,0))/2))/AK102)</f>
        <v>#N/A</v>
      </c>
      <c r="AF102" s="224" t="e">
        <f aca="false">((Summary!$N$9*(AA102*AD102)*(A102-$D$3))+(Summary!$M$9*Z102*AC102*(AJ102-EOMONTH(EDATE(A102,-1),0))))/(AK102*AB102*AE102)</f>
        <v>#N/A</v>
      </c>
      <c r="AG102" s="207" t="n">
        <f aca="false">IF($A103="","",Summary!$Q$9)</f>
        <v>0</v>
      </c>
      <c r="AH102" s="207" t="n">
        <f aca="false">IF($A103="","",IF(Summary!$R$9="Y",VLOOKUP($A102,Summary!$AD$6:$AF$9,3)+'Escalating commodity'!E115,'Escalating commodity'!E115))</f>
        <v>0.0707</v>
      </c>
      <c r="AI102" s="207" t="n">
        <f aca="false">IF($A103="","",AH102)</f>
        <v>0.0707</v>
      </c>
      <c r="AJ102" s="208" t="n">
        <f aca="false">A102+DAY(EOMONTH(A102,0))/2-1</f>
        <v>39858</v>
      </c>
      <c r="AK102" s="209" t="n">
        <f aca="false">IF($A103="","",$A102-$E$1)</f>
        <v>-6081</v>
      </c>
      <c r="AL102" s="182" t="e">
        <f aca="false">IF($A103="","",SPRDOPT(P102,X102,AI102,0,AB102,AE102,AF102,AK102,$AJ$2,0))</f>
        <v>#NAME?</v>
      </c>
      <c r="AM102" s="211" t="e">
        <f aca="false">IF($A103="","",MAX(0,O102-W102-AI102))</f>
        <v>#N/A</v>
      </c>
      <c r="AN102" s="211" t="e">
        <f aca="false">IF($A103="","",AL102-AM102)</f>
        <v>#N/A</v>
      </c>
      <c r="AO102" s="137" t="n">
        <f aca="false">IF(A103="","",A103-A102)</f>
        <v>28</v>
      </c>
      <c r="AP102" s="212" t="n">
        <f aca="false">IF(A103="","",CHOOSE(F$3,A103+24,A102))</f>
        <v>39845</v>
      </c>
      <c r="AQ102" s="209" t="n">
        <f aca="false">IF(A103="","",AP102-$E$1)</f>
        <v>-6081</v>
      </c>
      <c r="AR102" s="185" t="n">
        <f aca="false">'ANR OK vs ML7'!AR102</f>
        <v>0.1</v>
      </c>
      <c r="AS102" s="213" t="n">
        <f aca="false">IF(A103="","",1/(1+CHOOSE(F$3,(AR103+($I$3/10000))/2,(AR102+($I$3/10000))/2))^(2*AQ102/365.25))</f>
        <v>5.07639956460724</v>
      </c>
      <c r="AT102" s="137" t="n">
        <f aca="false">IF(A103="","",IF(AND(mthbeg&lt;=A102,mthend&gt;=A102),1,0))</f>
        <v>1</v>
      </c>
      <c r="AU102" s="137" t="n">
        <f aca="false">IF(A103="","",AO102*AT102)</f>
        <v>28</v>
      </c>
      <c r="AW102" s="195" t="e">
        <f aca="false">IF($A103="","",AL102*$E102)</f>
        <v>#NAME?</v>
      </c>
      <c r="AX102" s="195" t="e">
        <f aca="false">IF($A103="","",AM102*$E102)</f>
        <v>#N/A</v>
      </c>
      <c r="AY102" s="195" t="e">
        <f aca="false">IF($A103="","",AN102*$E102)</f>
        <v>#N/A</v>
      </c>
      <c r="BA102" s="195" t="n">
        <f aca="false">IF($A103="","",F102*Summary!$Q$9)</f>
        <v>0</v>
      </c>
      <c r="BC102" s="179" t="e">
        <f aca="false">IF(A103="","",AM102*F102)</f>
        <v>#N/A</v>
      </c>
    </row>
    <row r="103" customFormat="false" ht="12.75" hidden="false" customHeight="false" outlineLevel="0" collapsed="false">
      <c r="A103" s="196" t="n">
        <f aca="false">IF(A102&lt;mthend,EDATE(A102,1),"")</f>
        <v>39873</v>
      </c>
      <c r="B103" s="197" t="n">
        <f aca="false">IF(A103&lt;mthend,B102,"")</f>
        <v>36050</v>
      </c>
      <c r="C103" s="215"/>
      <c r="D103" s="197" t="n">
        <f aca="false">IF(A104&lt;&gt;"",B103+C103,"")</f>
        <v>36050</v>
      </c>
      <c r="E103" s="199" t="n">
        <f aca="false">IF(A104="","",IF(AND(AT103=1,$H$3=1),D103*AO103,IF($H$3=2,D103,"N/A")))</f>
        <v>1117550</v>
      </c>
      <c r="F103" s="199" t="n">
        <f aca="false">IF(A104="","",E103*AS103)</f>
        <v>5630850.86799357</v>
      </c>
      <c r="G103" s="200" t="e">
        <f aca="false">IF($A104="","",VLOOKUP($A103,Table,MATCH(G$4,Curves,0)))</f>
        <v>#N/A</v>
      </c>
      <c r="H103" s="201" t="e">
        <f aca="false">IF(A104="","",G103)</f>
        <v>#N/A</v>
      </c>
      <c r="I103" s="202"/>
      <c r="J103" s="200" t="e">
        <f aca="false">IF($A104="","",VLOOKUP($A103,Table,MATCH(J$4,Curves,0)))</f>
        <v>#N/A</v>
      </c>
      <c r="K103" s="201" t="e">
        <f aca="false">IF(A104="","",J103)</f>
        <v>#N/A</v>
      </c>
      <c r="L103" s="200" t="e">
        <f aca="false">IF($A104="","",VLOOKUP($A103,Table,MATCH(L$4,Curves,0)))</f>
        <v>#N/A</v>
      </c>
      <c r="M103" s="201" t="e">
        <f aca="false">IF(A104="","",L103)</f>
        <v>#N/A</v>
      </c>
      <c r="N103" s="203"/>
      <c r="O103" s="200" t="e">
        <f aca="false">IF(A104="","",L103+J103+G103)</f>
        <v>#N/A</v>
      </c>
      <c r="P103" s="200" t="e">
        <f aca="false">IF(A104="","",M103+K103+H103)</f>
        <v>#N/A</v>
      </c>
      <c r="Q103" s="204"/>
      <c r="R103" s="200" t="e">
        <f aca="false">IF($A104="","",VLOOKUP($A103,Table,MATCH(R$4,Curves,0)))</f>
        <v>#N/A</v>
      </c>
      <c r="S103" s="201" t="e">
        <f aca="false">IF(A104="","",R103)</f>
        <v>#N/A</v>
      </c>
      <c r="T103" s="200" t="e">
        <f aca="false">IF($A104="","",VLOOKUP($A103,Table,MATCH(T$4,Curves,0)))</f>
        <v>#N/A</v>
      </c>
      <c r="U103" s="201" t="e">
        <f aca="false">IF(A104="","",T103)</f>
        <v>#N/A</v>
      </c>
      <c r="V103" s="225" t="e">
        <f aca="false">IF($A104="","",IF(AND(MONTH(A103)&gt;3,MONTH(A103)&lt;11),(T103+R103+G103)*Summary!$T$9/(1-Summary!$T$9),(T103+R103+G103)*Summary!$U$9/(1-Summary!$U$9)))</f>
        <v>#N/A</v>
      </c>
      <c r="W103" s="200" t="e">
        <f aca="false">IF($A104="","",(T103+R103+G103+V103))</f>
        <v>#N/A</v>
      </c>
      <c r="X103" s="200" t="e">
        <f aca="false">IF($A104="","",(U103+S103+H103+V103))</f>
        <v>#N/A</v>
      </c>
      <c r="Y103" s="202"/>
      <c r="Z103" s="185" t="e">
        <f aca="false">IF($A104="","",VLOOKUP($A103,Table,MATCH(Z$4,Curves,0)))</f>
        <v>#N/A</v>
      </c>
      <c r="AA103" s="185" t="e">
        <f aca="false">IF($A104="","",VLOOKUP($A103,Table,MATCH(AA$4,Curves,0)))</f>
        <v>#N/A</v>
      </c>
      <c r="AB103" s="185" t="e">
        <f aca="false">SQRT((AA103^2*(A103-$D$3)+Z103^2*(DAY(EOMONTH(A103,0))/2))/AK103)</f>
        <v>#N/A</v>
      </c>
      <c r="AC103" s="185" t="e">
        <f aca="false">IF($A104="","",VLOOKUP($A103,Table,MATCH(AC$4,Curves,0)))</f>
        <v>#N/A</v>
      </c>
      <c r="AD103" s="185" t="e">
        <f aca="false">IF($A104="","",VLOOKUP($A103,Table,MATCH(AD$4,Curves,0)))</f>
        <v>#N/A</v>
      </c>
      <c r="AE103" s="185" t="e">
        <f aca="false">SQRT((AD103^2*(A103-$D$3)+AC103^2*(DAY(EOMONTH(A103,0))/2))/AK103)</f>
        <v>#N/A</v>
      </c>
      <c r="AF103" s="224" t="e">
        <f aca="false">((Summary!$N$9*(AA103*AD103)*(A103-$D$3))+(Summary!$M$9*Z103*AC103*(AJ103-EOMONTH(EDATE(A103,-1),0))))/(AK103*AB103*AE103)</f>
        <v>#N/A</v>
      </c>
      <c r="AG103" s="207" t="n">
        <f aca="false">IF($A104="","",Summary!$Q$9)</f>
        <v>0</v>
      </c>
      <c r="AH103" s="207" t="n">
        <f aca="false">IF($A104="","",IF(Summary!$R$9="Y",VLOOKUP($A103,Summary!$AD$6:$AF$9,3)+'Escalating commodity'!E116,'Escalating commodity'!E116))</f>
        <v>0.0707</v>
      </c>
      <c r="AI103" s="207" t="n">
        <f aca="false">IF($A104="","",AH103)</f>
        <v>0.0707</v>
      </c>
      <c r="AJ103" s="208" t="n">
        <f aca="false">A103+DAY(EOMONTH(A103,0))/2-1</f>
        <v>39887.5</v>
      </c>
      <c r="AK103" s="209" t="n">
        <f aca="false">IF($A104="","",$A103-$E$1)</f>
        <v>-6053</v>
      </c>
      <c r="AL103" s="182" t="e">
        <f aca="false">IF($A104="","",SPRDOPT(P103,X103,AI103,0,AB103,AE103,AF103,AK103,$AJ$2,0))</f>
        <v>#NAME?</v>
      </c>
      <c r="AM103" s="211" t="e">
        <f aca="false">IF($A104="","",MAX(0,O103-W103-AI103))</f>
        <v>#N/A</v>
      </c>
      <c r="AN103" s="211" t="e">
        <f aca="false">IF($A104="","",AL103-AM103)</f>
        <v>#N/A</v>
      </c>
      <c r="AO103" s="137" t="n">
        <f aca="false">IF(A104="","",A104-A103)</f>
        <v>31</v>
      </c>
      <c r="AP103" s="212" t="n">
        <f aca="false">IF(A104="","",CHOOSE(F$3,A104+24,A103))</f>
        <v>39873</v>
      </c>
      <c r="AQ103" s="209" t="n">
        <f aca="false">IF(A104="","",AP103-$E$1)</f>
        <v>-6053</v>
      </c>
      <c r="AR103" s="185" t="n">
        <f aca="false">'ANR OK vs ML7'!AR103</f>
        <v>0.1</v>
      </c>
      <c r="AS103" s="213" t="n">
        <f aca="false">IF(A104="","",1/(1+CHOOSE(F$3,(AR104+($I$3/10000))/2,(AR103+($I$3/10000))/2))^(2*AQ103/365.25))</f>
        <v>5.03856728378468</v>
      </c>
      <c r="AT103" s="137" t="n">
        <f aca="false">IF(A104="","",IF(AND(mthbeg&lt;=A103,mthend&gt;=A103),1,0))</f>
        <v>1</v>
      </c>
      <c r="AU103" s="137" t="n">
        <f aca="false">IF(A104="","",AO103*AT103)</f>
        <v>31</v>
      </c>
      <c r="AW103" s="195" t="e">
        <f aca="false">IF($A104="","",AL103*$E103)</f>
        <v>#NAME?</v>
      </c>
      <c r="AX103" s="195" t="e">
        <f aca="false">IF($A104="","",AM103*$E103)</f>
        <v>#N/A</v>
      </c>
      <c r="AY103" s="195" t="e">
        <f aca="false">IF($A104="","",AN103*$E103)</f>
        <v>#N/A</v>
      </c>
      <c r="BA103" s="195" t="n">
        <f aca="false">IF($A104="","",F103*Summary!$Q$9)</f>
        <v>0</v>
      </c>
      <c r="BC103" s="179" t="e">
        <f aca="false">IF(A104="","",AM103*F103)</f>
        <v>#N/A</v>
      </c>
    </row>
    <row r="104" customFormat="false" ht="12.75" hidden="false" customHeight="false" outlineLevel="0" collapsed="false">
      <c r="A104" s="196" t="n">
        <f aca="false">IF(A103&lt;mthend,EDATE(A103,1),"")</f>
        <v>39904</v>
      </c>
      <c r="B104" s="197" t="n">
        <f aca="false">IF(A104&lt;mthend,B103,"")</f>
        <v>36050</v>
      </c>
      <c r="C104" s="215"/>
      <c r="D104" s="197" t="n">
        <f aca="false">IF(A105&lt;&gt;"",B104+C104,"")</f>
        <v>36050</v>
      </c>
      <c r="E104" s="199" t="n">
        <f aca="false">IF(A105="","",IF(AND(AT104=1,$H$3=1),D104*AO104,IF($H$3=2,D104,"N/A")))</f>
        <v>1081500</v>
      </c>
      <c r="F104" s="199" t="n">
        <f aca="false">IF(A105="","",E104*AS104)</f>
        <v>5404266.67859228</v>
      </c>
      <c r="G104" s="200" t="e">
        <f aca="false">IF($A105="","",VLOOKUP($A104,Table,MATCH(G$4,Curves,0)))</f>
        <v>#N/A</v>
      </c>
      <c r="H104" s="201" t="e">
        <f aca="false">IF(A105="","",G104)</f>
        <v>#N/A</v>
      </c>
      <c r="I104" s="202"/>
      <c r="J104" s="200" t="e">
        <f aca="false">IF($A105="","",VLOOKUP($A104,Table,MATCH(J$4,Curves,0)))</f>
        <v>#N/A</v>
      </c>
      <c r="K104" s="201" t="e">
        <f aca="false">IF(A105="","",J104)</f>
        <v>#N/A</v>
      </c>
      <c r="L104" s="200" t="e">
        <f aca="false">IF($A105="","",VLOOKUP($A104,Table,MATCH(L$4,Curves,0)))</f>
        <v>#N/A</v>
      </c>
      <c r="M104" s="201" t="e">
        <f aca="false">IF(A105="","",L104)</f>
        <v>#N/A</v>
      </c>
      <c r="N104" s="203"/>
      <c r="O104" s="200" t="e">
        <f aca="false">IF(A105="","",L104+J104+G104)</f>
        <v>#N/A</v>
      </c>
      <c r="P104" s="200" t="e">
        <f aca="false">IF(A105="","",M104+K104+H104)</f>
        <v>#N/A</v>
      </c>
      <c r="Q104" s="204"/>
      <c r="R104" s="200" t="e">
        <f aca="false">IF($A105="","",VLOOKUP($A104,Table,MATCH(R$4,Curves,0)))</f>
        <v>#N/A</v>
      </c>
      <c r="S104" s="201" t="e">
        <f aca="false">IF(A105="","",R104)</f>
        <v>#N/A</v>
      </c>
      <c r="T104" s="200" t="e">
        <f aca="false">IF($A105="","",VLOOKUP($A104,Table,MATCH(T$4,Curves,0)))</f>
        <v>#N/A</v>
      </c>
      <c r="U104" s="201" t="e">
        <f aca="false">IF(A105="","",T104)</f>
        <v>#N/A</v>
      </c>
      <c r="V104" s="225" t="e">
        <f aca="false">IF($A105="","",IF(AND(MONTH(A104)&gt;3,MONTH(A104)&lt;11),(T104+R104+G104)*Summary!$T$9/(1-Summary!$T$9),(T104+R104+G104)*Summary!$U$9/(1-Summary!$U$9)))</f>
        <v>#N/A</v>
      </c>
      <c r="W104" s="200" t="e">
        <f aca="false">IF($A105="","",(T104+R104+G104+V104))</f>
        <v>#N/A</v>
      </c>
      <c r="X104" s="200" t="e">
        <f aca="false">IF($A105="","",(U104+S104+H104+V104))</f>
        <v>#N/A</v>
      </c>
      <c r="Y104" s="202"/>
      <c r="Z104" s="185" t="e">
        <f aca="false">IF($A105="","",VLOOKUP($A104,Table,MATCH(Z$4,Curves,0)))</f>
        <v>#N/A</v>
      </c>
      <c r="AA104" s="185" t="e">
        <f aca="false">IF($A105="","",VLOOKUP($A104,Table,MATCH(AA$4,Curves,0)))</f>
        <v>#N/A</v>
      </c>
      <c r="AB104" s="185" t="e">
        <f aca="false">SQRT((AA104^2*(A104-$D$3)+Z104^2*(DAY(EOMONTH(A104,0))/2))/AK104)</f>
        <v>#N/A</v>
      </c>
      <c r="AC104" s="185" t="e">
        <f aca="false">IF($A105="","",VLOOKUP($A104,Table,MATCH(AC$4,Curves,0)))</f>
        <v>#N/A</v>
      </c>
      <c r="AD104" s="185" t="e">
        <f aca="false">IF($A105="","",VLOOKUP($A104,Table,MATCH(AD$4,Curves,0)))</f>
        <v>#N/A</v>
      </c>
      <c r="AE104" s="185" t="e">
        <f aca="false">SQRT((AD104^2*(A104-$D$3)+AC104^2*(DAY(EOMONTH(A104,0))/2))/AK104)</f>
        <v>#N/A</v>
      </c>
      <c r="AF104" s="224" t="e">
        <f aca="false">((Summary!$N$9*(AA104*AD104)*(A104-$D$3))+(Summary!$M$9*Z104*AC104*(AJ104-EOMONTH(EDATE(A104,-1),0))))/(AK104*AB104*AE104)</f>
        <v>#N/A</v>
      </c>
      <c r="AG104" s="207" t="n">
        <f aca="false">IF($A105="","",Summary!$Q$9)</f>
        <v>0</v>
      </c>
      <c r="AH104" s="207" t="n">
        <f aca="false">IF($A105="","",IF(Summary!$R$9="Y",VLOOKUP($A104,Summary!$AD$6:$AF$9,3)+'Escalating commodity'!E117,'Escalating commodity'!E117))</f>
        <v>0.0707</v>
      </c>
      <c r="AI104" s="207" t="n">
        <f aca="false">IF($A105="","",AH104)</f>
        <v>0.0707</v>
      </c>
      <c r="AJ104" s="208" t="n">
        <f aca="false">A104+DAY(EOMONTH(A104,0))/2-1</f>
        <v>39918</v>
      </c>
      <c r="AK104" s="209" t="n">
        <f aca="false">IF($A105="","",$A104-$E$1)</f>
        <v>-6022</v>
      </c>
      <c r="AL104" s="182" t="e">
        <f aca="false">IF($A105="","",SPRDOPT(P104,X104,AI104,0,AB104,AE104,AF104,AK104,$AJ$2,0))</f>
        <v>#NAME?</v>
      </c>
      <c r="AM104" s="211" t="e">
        <f aca="false">IF($A105="","",MAX(0,O104-W104-AI104))</f>
        <v>#N/A</v>
      </c>
      <c r="AN104" s="211" t="e">
        <f aca="false">IF($A105="","",AL104-AM104)</f>
        <v>#N/A</v>
      </c>
      <c r="AO104" s="137" t="n">
        <f aca="false">IF(A105="","",A105-A104)</f>
        <v>30</v>
      </c>
      <c r="AP104" s="212" t="n">
        <f aca="false">IF(A105="","",CHOOSE(F$3,A105+24,A104))</f>
        <v>39904</v>
      </c>
      <c r="AQ104" s="209" t="n">
        <f aca="false">IF(A105="","",AP104-$E$1)</f>
        <v>-6022</v>
      </c>
      <c r="AR104" s="185" t="n">
        <f aca="false">'ANR OK vs ML7'!AR104</f>
        <v>0.1</v>
      </c>
      <c r="AS104" s="213" t="n">
        <f aca="false">IF(A105="","",1/(1+CHOOSE(F$3,(AR105+($I$3/10000))/2,(AR104+($I$3/10000))/2))^(2*AQ104/365.25))</f>
        <v>4.99701033619258</v>
      </c>
      <c r="AT104" s="137" t="n">
        <f aca="false">IF(A105="","",IF(AND(mthbeg&lt;=A104,mthend&gt;=A104),1,0))</f>
        <v>1</v>
      </c>
      <c r="AU104" s="137" t="n">
        <f aca="false">IF(A105="","",AO104*AT104)</f>
        <v>30</v>
      </c>
      <c r="AW104" s="195" t="e">
        <f aca="false">IF($A105="","",AL104*$E104)</f>
        <v>#NAME?</v>
      </c>
      <c r="AX104" s="195" t="e">
        <f aca="false">IF($A105="","",AM104*$E104)</f>
        <v>#N/A</v>
      </c>
      <c r="AY104" s="195" t="e">
        <f aca="false">IF($A105="","",AN104*$E104)</f>
        <v>#N/A</v>
      </c>
      <c r="BA104" s="195" t="n">
        <f aca="false">IF($A105="","",F104*Summary!$Q$9)</f>
        <v>0</v>
      </c>
      <c r="BC104" s="179" t="e">
        <f aca="false">IF(A105="","",AM104*F104)</f>
        <v>#N/A</v>
      </c>
    </row>
    <row r="105" customFormat="false" ht="12.75" hidden="false" customHeight="false" outlineLevel="0" collapsed="false">
      <c r="A105" s="196" t="n">
        <f aca="false">IF(A104&lt;mthend,EDATE(A104,1),"")</f>
        <v>39934</v>
      </c>
      <c r="B105" s="197" t="n">
        <f aca="false">IF(A105&lt;mthend,B104,"")</f>
        <v>36050</v>
      </c>
      <c r="C105" s="215"/>
      <c r="D105" s="197" t="n">
        <f aca="false">IF(A106&lt;&gt;"",B105+C105,"")</f>
        <v>36050</v>
      </c>
      <c r="E105" s="199" t="n">
        <f aca="false">IF(A106="","",IF(AND(AT105=1,$H$3=1),D105*AO105,IF($H$3=2,D105,"N/A")))</f>
        <v>1117550</v>
      </c>
      <c r="F105" s="199" t="n">
        <f aca="false">IF(A106="","",E105*AS105)</f>
        <v>5539829.80246725</v>
      </c>
      <c r="G105" s="200" t="e">
        <f aca="false">IF($A106="","",VLOOKUP($A105,Table,MATCH(G$4,Curves,0)))</f>
        <v>#N/A</v>
      </c>
      <c r="H105" s="201" t="e">
        <f aca="false">IF(A106="","",G105)</f>
        <v>#N/A</v>
      </c>
      <c r="I105" s="202"/>
      <c r="J105" s="200" t="e">
        <f aca="false">IF($A106="","",VLOOKUP($A105,Table,MATCH(J$4,Curves,0)))</f>
        <v>#N/A</v>
      </c>
      <c r="K105" s="201" t="e">
        <f aca="false">IF(A106="","",J105)</f>
        <v>#N/A</v>
      </c>
      <c r="L105" s="200" t="e">
        <f aca="false">IF($A106="","",VLOOKUP($A105,Table,MATCH(L$4,Curves,0)))</f>
        <v>#N/A</v>
      </c>
      <c r="M105" s="201" t="e">
        <f aca="false">IF(A106="","",L105)</f>
        <v>#N/A</v>
      </c>
      <c r="N105" s="203"/>
      <c r="O105" s="200" t="e">
        <f aca="false">IF(A106="","",L105+J105+G105)</f>
        <v>#N/A</v>
      </c>
      <c r="P105" s="200" t="e">
        <f aca="false">IF(A106="","",M105+K105+H105)</f>
        <v>#N/A</v>
      </c>
      <c r="Q105" s="204"/>
      <c r="R105" s="200" t="e">
        <f aca="false">IF($A106="","",VLOOKUP($A105,Table,MATCH(R$4,Curves,0)))</f>
        <v>#N/A</v>
      </c>
      <c r="S105" s="201" t="e">
        <f aca="false">IF(A106="","",R105)</f>
        <v>#N/A</v>
      </c>
      <c r="T105" s="200" t="e">
        <f aca="false">IF($A106="","",VLOOKUP($A105,Table,MATCH(T$4,Curves,0)))</f>
        <v>#N/A</v>
      </c>
      <c r="U105" s="201" t="e">
        <f aca="false">IF(A106="","",T105)</f>
        <v>#N/A</v>
      </c>
      <c r="V105" s="225" t="e">
        <f aca="false">IF($A106="","",IF(AND(MONTH(A105)&gt;3,MONTH(A105)&lt;11),(T105+R105+G105)*Summary!$T$9/(1-Summary!$T$9),(T105+R105+G105)*Summary!$U$9/(1-Summary!$U$9)))</f>
        <v>#N/A</v>
      </c>
      <c r="W105" s="200" t="e">
        <f aca="false">IF($A106="","",(T105+R105+G105+V105))</f>
        <v>#N/A</v>
      </c>
      <c r="X105" s="200" t="e">
        <f aca="false">IF($A106="","",(U105+S105+H105+V105))</f>
        <v>#N/A</v>
      </c>
      <c r="Y105" s="202"/>
      <c r="Z105" s="185" t="e">
        <f aca="false">IF($A106="","",VLOOKUP($A105,Table,MATCH(Z$4,Curves,0)))</f>
        <v>#N/A</v>
      </c>
      <c r="AA105" s="185" t="e">
        <f aca="false">IF($A106="","",VLOOKUP($A105,Table,MATCH(AA$4,Curves,0)))</f>
        <v>#N/A</v>
      </c>
      <c r="AB105" s="185" t="e">
        <f aca="false">SQRT((AA105^2*(A105-$D$3)+Z105^2*(DAY(EOMONTH(A105,0))/2))/AK105)</f>
        <v>#N/A</v>
      </c>
      <c r="AC105" s="185" t="e">
        <f aca="false">IF($A106="","",VLOOKUP($A105,Table,MATCH(AC$4,Curves,0)))</f>
        <v>#N/A</v>
      </c>
      <c r="AD105" s="185" t="e">
        <f aca="false">IF($A106="","",VLOOKUP($A105,Table,MATCH(AD$4,Curves,0)))</f>
        <v>#N/A</v>
      </c>
      <c r="AE105" s="185" t="e">
        <f aca="false">SQRT((AD105^2*(A105-$D$3)+AC105^2*(DAY(EOMONTH(A105,0))/2))/AK105)</f>
        <v>#N/A</v>
      </c>
      <c r="AF105" s="224" t="e">
        <f aca="false">((Summary!$N$9*(AA105*AD105)*(A105-$D$3))+(Summary!$M$9*Z105*AC105*(AJ105-EOMONTH(EDATE(A105,-1),0))))/(AK105*AB105*AE105)</f>
        <v>#N/A</v>
      </c>
      <c r="AG105" s="207" t="n">
        <f aca="false">IF($A106="","",Summary!$Q$9)</f>
        <v>0</v>
      </c>
      <c r="AH105" s="207" t="n">
        <f aca="false">IF($A106="","",IF(Summary!$R$9="Y",VLOOKUP($A105,Summary!$AD$6:$AF$9,3)+'Escalating commodity'!E118,'Escalating commodity'!E118))</f>
        <v>0.0707</v>
      </c>
      <c r="AI105" s="207" t="n">
        <f aca="false">IF($A106="","",AH105)</f>
        <v>0.0707</v>
      </c>
      <c r="AJ105" s="208" t="n">
        <f aca="false">A105+DAY(EOMONTH(A105,0))/2-1</f>
        <v>39948.5</v>
      </c>
      <c r="AK105" s="209" t="n">
        <f aca="false">IF($A106="","",$A105-$E$1)</f>
        <v>-5992</v>
      </c>
      <c r="AL105" s="182" t="e">
        <f aca="false">IF($A106="","",SPRDOPT(P105,X105,AI105,0,AB105,AE105,AF105,AK105,$AJ$2,0))</f>
        <v>#NAME?</v>
      </c>
      <c r="AM105" s="211" t="e">
        <f aca="false">IF($A106="","",MAX(0,O105-W105-AI105))</f>
        <v>#N/A</v>
      </c>
      <c r="AN105" s="211" t="e">
        <f aca="false">IF($A106="","",AL105-AM105)</f>
        <v>#N/A</v>
      </c>
      <c r="AO105" s="137" t="n">
        <f aca="false">IF(A106="","",A106-A105)</f>
        <v>31</v>
      </c>
      <c r="AP105" s="212" t="n">
        <f aca="false">IF(A106="","",CHOOSE(F$3,A106+24,A105))</f>
        <v>39934</v>
      </c>
      <c r="AQ105" s="209" t="n">
        <f aca="false">IF(A106="","",AP105-$E$1)</f>
        <v>-5992</v>
      </c>
      <c r="AR105" s="185" t="n">
        <f aca="false">'ANR OK vs ML7'!AR105</f>
        <v>0.1</v>
      </c>
      <c r="AS105" s="213" t="n">
        <f aca="false">IF(A106="","",1/(1+CHOOSE(F$3,(AR106+($I$3/10000))/2,(AR105+($I$3/10000))/2))^(2*AQ105/365.25))</f>
        <v>4.95712031002393</v>
      </c>
      <c r="AT105" s="137" t="n">
        <f aca="false">IF(A106="","",IF(AND(mthbeg&lt;=A105,mthend&gt;=A105),1,0))</f>
        <v>1</v>
      </c>
      <c r="AU105" s="137" t="n">
        <f aca="false">IF(A106="","",AO105*AT105)</f>
        <v>31</v>
      </c>
      <c r="AW105" s="195" t="e">
        <f aca="false">IF($A106="","",AL105*$E105)</f>
        <v>#NAME?</v>
      </c>
      <c r="AX105" s="195" t="e">
        <f aca="false">IF($A106="","",AM105*$E105)</f>
        <v>#N/A</v>
      </c>
      <c r="AY105" s="195" t="e">
        <f aca="false">IF($A106="","",AN105*$E105)</f>
        <v>#N/A</v>
      </c>
      <c r="BA105" s="195" t="n">
        <f aca="false">IF($A106="","",F105*Summary!$Q$9)</f>
        <v>0</v>
      </c>
      <c r="BC105" s="179" t="e">
        <f aca="false">IF(A106="","",AM105*F105)</f>
        <v>#N/A</v>
      </c>
    </row>
    <row r="106" customFormat="false" ht="12.75" hidden="false" customHeight="false" outlineLevel="0" collapsed="false">
      <c r="A106" s="196" t="n">
        <f aca="false">IF(A105&lt;mthend,EDATE(A105,1),"")</f>
        <v>39965</v>
      </c>
      <c r="B106" s="197" t="n">
        <f aca="false">IF(A106&lt;mthend,B105,"")</f>
        <v>36050</v>
      </c>
      <c r="C106" s="215"/>
      <c r="D106" s="197" t="n">
        <f aca="false">IF(A107&lt;&gt;"",B106+C106,"")</f>
        <v>36050</v>
      </c>
      <c r="E106" s="199" t="n">
        <f aca="false">IF(A107="","",IF(AND(AT106=1,$H$3=1),D106*AO106,IF($H$3=2,D106,"N/A")))</f>
        <v>1081500</v>
      </c>
      <c r="F106" s="199" t="n">
        <f aca="false">IF(A107="","",E106*AS106)</f>
        <v>5316908.2805445</v>
      </c>
      <c r="G106" s="200" t="e">
        <f aca="false">IF($A107="","",VLOOKUP($A106,Table,MATCH(G$4,Curves,0)))</f>
        <v>#N/A</v>
      </c>
      <c r="H106" s="201" t="e">
        <f aca="false">IF(A107="","",G106)</f>
        <v>#N/A</v>
      </c>
      <c r="I106" s="202"/>
      <c r="J106" s="200" t="e">
        <f aca="false">IF($A107="","",VLOOKUP($A106,Table,MATCH(J$4,Curves,0)))</f>
        <v>#N/A</v>
      </c>
      <c r="K106" s="201" t="e">
        <f aca="false">IF(A107="","",J106)</f>
        <v>#N/A</v>
      </c>
      <c r="L106" s="200" t="e">
        <f aca="false">IF($A107="","",VLOOKUP($A106,Table,MATCH(L$4,Curves,0)))</f>
        <v>#N/A</v>
      </c>
      <c r="M106" s="201" t="e">
        <f aca="false">IF(A107="","",L106)</f>
        <v>#N/A</v>
      </c>
      <c r="N106" s="203"/>
      <c r="O106" s="200" t="e">
        <f aca="false">IF(A107="","",L106+J106+G106)</f>
        <v>#N/A</v>
      </c>
      <c r="P106" s="200" t="e">
        <f aca="false">IF(A107="","",M106+K106+H106)</f>
        <v>#N/A</v>
      </c>
      <c r="Q106" s="204"/>
      <c r="R106" s="200" t="e">
        <f aca="false">IF($A107="","",VLOOKUP($A106,Table,MATCH(R$4,Curves,0)))</f>
        <v>#N/A</v>
      </c>
      <c r="S106" s="201" t="e">
        <f aca="false">IF(A107="","",R106)</f>
        <v>#N/A</v>
      </c>
      <c r="T106" s="200" t="e">
        <f aca="false">IF($A107="","",VLOOKUP($A106,Table,MATCH(T$4,Curves,0)))</f>
        <v>#N/A</v>
      </c>
      <c r="U106" s="201" t="e">
        <f aca="false">IF(A107="","",T106)</f>
        <v>#N/A</v>
      </c>
      <c r="V106" s="225" t="e">
        <f aca="false">IF($A107="","",IF(AND(MONTH(A106)&gt;3,MONTH(A106)&lt;11),(T106+R106+G106)*Summary!$T$9/(1-Summary!$T$9),(T106+R106+G106)*Summary!$U$9/(1-Summary!$U$9)))</f>
        <v>#N/A</v>
      </c>
      <c r="W106" s="200" t="e">
        <f aca="false">IF($A107="","",(T106+R106+G106+V106))</f>
        <v>#N/A</v>
      </c>
      <c r="X106" s="200" t="e">
        <f aca="false">IF($A107="","",(U106+S106+H106+V106))</f>
        <v>#N/A</v>
      </c>
      <c r="Y106" s="202"/>
      <c r="Z106" s="185" t="e">
        <f aca="false">IF($A107="","",VLOOKUP($A106,Table,MATCH(Z$4,Curves,0)))</f>
        <v>#N/A</v>
      </c>
      <c r="AA106" s="185" t="e">
        <f aca="false">IF($A107="","",VLOOKUP($A106,Table,MATCH(AA$4,Curves,0)))</f>
        <v>#N/A</v>
      </c>
      <c r="AB106" s="185" t="e">
        <f aca="false">SQRT((AA106^2*(A106-$D$3)+Z106^2*(DAY(EOMONTH(A106,0))/2))/AK106)</f>
        <v>#N/A</v>
      </c>
      <c r="AC106" s="185" t="e">
        <f aca="false">IF($A107="","",VLOOKUP($A106,Table,MATCH(AC$4,Curves,0)))</f>
        <v>#N/A</v>
      </c>
      <c r="AD106" s="185" t="e">
        <f aca="false">IF($A107="","",VLOOKUP($A106,Table,MATCH(AD$4,Curves,0)))</f>
        <v>#N/A</v>
      </c>
      <c r="AE106" s="185" t="e">
        <f aca="false">SQRT((AD106^2*(A106-$D$3)+AC106^2*(DAY(EOMONTH(A106,0))/2))/AK106)</f>
        <v>#N/A</v>
      </c>
      <c r="AF106" s="224" t="e">
        <f aca="false">((Summary!$N$9*(AA106*AD106)*(A106-$D$3))+(Summary!$M$9*Z106*AC106*(AJ106-EOMONTH(EDATE(A106,-1),0))))/(AK106*AB106*AE106)</f>
        <v>#N/A</v>
      </c>
      <c r="AG106" s="207" t="n">
        <f aca="false">IF($A107="","",Summary!$Q$9)</f>
        <v>0</v>
      </c>
      <c r="AH106" s="207" t="n">
        <f aca="false">IF($A107="","",IF(Summary!$R$9="Y",VLOOKUP($A106,Summary!$AD$6:$AF$9,3)+'Escalating commodity'!E119,'Escalating commodity'!E119))</f>
        <v>0.0707</v>
      </c>
      <c r="AI106" s="207" t="n">
        <f aca="false">IF($A107="","",AH106)</f>
        <v>0.0707</v>
      </c>
      <c r="AJ106" s="208" t="n">
        <f aca="false">A106+DAY(EOMONTH(A106,0))/2-1</f>
        <v>39979</v>
      </c>
      <c r="AK106" s="209" t="n">
        <f aca="false">IF($A107="","",$A106-$E$1)</f>
        <v>-5961</v>
      </c>
      <c r="AL106" s="182" t="e">
        <f aca="false">IF($A107="","",SPRDOPT(P106,X106,AI106,0,AB106,AE106,AF106,AK106,$AJ$2,0))</f>
        <v>#NAME?</v>
      </c>
      <c r="AM106" s="211" t="e">
        <f aca="false">IF($A107="","",MAX(0,O106-W106-AI106))</f>
        <v>#N/A</v>
      </c>
      <c r="AN106" s="211" t="e">
        <f aca="false">IF($A107="","",AL106-AM106)</f>
        <v>#N/A</v>
      </c>
      <c r="AO106" s="137" t="n">
        <f aca="false">IF(A107="","",A107-A106)</f>
        <v>30</v>
      </c>
      <c r="AP106" s="212" t="n">
        <f aca="false">IF(A107="","",CHOOSE(F$3,A107+24,A106))</f>
        <v>39965</v>
      </c>
      <c r="AQ106" s="209" t="n">
        <f aca="false">IF(A107="","",AP106-$E$1)</f>
        <v>-5961</v>
      </c>
      <c r="AR106" s="185" t="n">
        <f aca="false">'ANR OK vs ML7'!AR106</f>
        <v>0.1</v>
      </c>
      <c r="AS106" s="213" t="n">
        <f aca="false">IF(A107="","",1/(1+CHOOSE(F$3,(AR107+($I$3/10000))/2,(AR106+($I$3/10000))/2))^(2*AQ106/365.25))</f>
        <v>4.91623511839528</v>
      </c>
      <c r="AT106" s="137" t="n">
        <f aca="false">IF(A107="","",IF(AND(mthbeg&lt;=A106,mthend&gt;=A106),1,0))</f>
        <v>1</v>
      </c>
      <c r="AU106" s="137" t="n">
        <f aca="false">IF(A107="","",AO106*AT106)</f>
        <v>30</v>
      </c>
      <c r="AW106" s="195" t="e">
        <f aca="false">IF($A107="","",AL106*$E106)</f>
        <v>#NAME?</v>
      </c>
      <c r="AX106" s="195" t="e">
        <f aca="false">IF($A107="","",AM106*$E106)</f>
        <v>#N/A</v>
      </c>
      <c r="AY106" s="195" t="e">
        <f aca="false">IF($A107="","",AN106*$E106)</f>
        <v>#N/A</v>
      </c>
      <c r="BA106" s="195" t="n">
        <f aca="false">IF($A107="","",F106*Summary!$Q$9)</f>
        <v>0</v>
      </c>
      <c r="BC106" s="179" t="e">
        <f aca="false">IF(A107="","",AM106*F106)</f>
        <v>#N/A</v>
      </c>
    </row>
    <row r="107" customFormat="false" ht="12.75" hidden="false" customHeight="false" outlineLevel="0" collapsed="false">
      <c r="A107" s="196" t="n">
        <f aca="false">IF(A106&lt;mthend,EDATE(A106,1),"")</f>
        <v>39995</v>
      </c>
      <c r="B107" s="197" t="n">
        <f aca="false">IF(A107&lt;mthend,B106,"")</f>
        <v>36050</v>
      </c>
      <c r="C107" s="215"/>
      <c r="D107" s="197" t="n">
        <f aca="false">IF(A108&lt;&gt;"",B107+C107,"")</f>
        <v>36050</v>
      </c>
      <c r="E107" s="199" t="n">
        <f aca="false">IF(A108="","",IF(AND(AT107=1,$H$3=1),D107*AO107,IF($H$3=2,D107,"N/A")))</f>
        <v>1117550</v>
      </c>
      <c r="F107" s="199" t="n">
        <f aca="false">IF(A108="","",E107*AS107)</f>
        <v>5450280.06597516</v>
      </c>
      <c r="G107" s="200" t="e">
        <f aca="false">IF($A108="","",VLOOKUP($A107,Table,MATCH(G$4,Curves,0)))</f>
        <v>#N/A</v>
      </c>
      <c r="H107" s="201" t="e">
        <f aca="false">IF(A108="","",G107)</f>
        <v>#N/A</v>
      </c>
      <c r="I107" s="202"/>
      <c r="J107" s="200" t="e">
        <f aca="false">IF($A108="","",VLOOKUP($A107,Table,MATCH(J$4,Curves,0)))</f>
        <v>#N/A</v>
      </c>
      <c r="K107" s="201" t="e">
        <f aca="false">IF(A108="","",J107)</f>
        <v>#N/A</v>
      </c>
      <c r="L107" s="200" t="e">
        <f aca="false">IF($A108="","",VLOOKUP($A107,Table,MATCH(L$4,Curves,0)))</f>
        <v>#N/A</v>
      </c>
      <c r="M107" s="201" t="e">
        <f aca="false">IF(A108="","",L107)</f>
        <v>#N/A</v>
      </c>
      <c r="N107" s="203"/>
      <c r="O107" s="200" t="e">
        <f aca="false">IF(A108="","",L107+J107+G107)</f>
        <v>#N/A</v>
      </c>
      <c r="P107" s="200" t="e">
        <f aca="false">IF(A108="","",M107+K107+H107)</f>
        <v>#N/A</v>
      </c>
      <c r="Q107" s="204"/>
      <c r="R107" s="200" t="e">
        <f aca="false">IF($A108="","",VLOOKUP($A107,Table,MATCH(R$4,Curves,0)))</f>
        <v>#N/A</v>
      </c>
      <c r="S107" s="201" t="e">
        <f aca="false">IF(A108="","",R107)</f>
        <v>#N/A</v>
      </c>
      <c r="T107" s="200" t="e">
        <f aca="false">IF($A108="","",VLOOKUP($A107,Table,MATCH(T$4,Curves,0)))</f>
        <v>#N/A</v>
      </c>
      <c r="U107" s="201" t="e">
        <f aca="false">IF(A108="","",T107)</f>
        <v>#N/A</v>
      </c>
      <c r="V107" s="225" t="e">
        <f aca="false">IF($A108="","",IF(AND(MONTH(A107)&gt;3,MONTH(A107)&lt;11),(T107+R107+G107)*Summary!$T$9/(1-Summary!$T$9),(T107+R107+G107)*Summary!$U$9/(1-Summary!$U$9)))</f>
        <v>#N/A</v>
      </c>
      <c r="W107" s="200" t="e">
        <f aca="false">IF($A108="","",(T107+R107+G107+V107))</f>
        <v>#N/A</v>
      </c>
      <c r="X107" s="200" t="e">
        <f aca="false">IF($A108="","",(U107+S107+H107+V107))</f>
        <v>#N/A</v>
      </c>
      <c r="Y107" s="202"/>
      <c r="Z107" s="185" t="e">
        <f aca="false">IF($A108="","",VLOOKUP($A107,Table,MATCH(Z$4,Curves,0)))</f>
        <v>#N/A</v>
      </c>
      <c r="AA107" s="185" t="e">
        <f aca="false">IF($A108="","",VLOOKUP($A107,Table,MATCH(AA$4,Curves,0)))</f>
        <v>#N/A</v>
      </c>
      <c r="AB107" s="185" t="e">
        <f aca="false">SQRT((AA107^2*(A107-$D$3)+Z107^2*(DAY(EOMONTH(A107,0))/2))/AK107)</f>
        <v>#N/A</v>
      </c>
      <c r="AC107" s="185" t="e">
        <f aca="false">IF($A108="","",VLOOKUP($A107,Table,MATCH(AC$4,Curves,0)))</f>
        <v>#N/A</v>
      </c>
      <c r="AD107" s="185" t="e">
        <f aca="false">IF($A108="","",VLOOKUP($A107,Table,MATCH(AD$4,Curves,0)))</f>
        <v>#N/A</v>
      </c>
      <c r="AE107" s="185" t="e">
        <f aca="false">SQRT((AD107^2*(A107-$D$3)+AC107^2*(DAY(EOMONTH(A107,0))/2))/AK107)</f>
        <v>#N/A</v>
      </c>
      <c r="AF107" s="224" t="e">
        <f aca="false">((Summary!$N$9*(AA107*AD107)*(A107-$D$3))+(Summary!$M$9*Z107*AC107*(AJ107-EOMONTH(EDATE(A107,-1),0))))/(AK107*AB107*AE107)</f>
        <v>#N/A</v>
      </c>
      <c r="AG107" s="207" t="n">
        <f aca="false">IF($A108="","",Summary!$Q$9)</f>
        <v>0</v>
      </c>
      <c r="AH107" s="207" t="n">
        <f aca="false">IF($A108="","",IF(Summary!$R$9="Y",VLOOKUP($A107,Summary!$AD$6:$AF$9,3)+'Escalating commodity'!E120,'Escalating commodity'!E120))</f>
        <v>0.0707</v>
      </c>
      <c r="AI107" s="207" t="n">
        <f aca="false">IF($A108="","",AH107)</f>
        <v>0.0707</v>
      </c>
      <c r="AJ107" s="208" t="n">
        <f aca="false">A107+DAY(EOMONTH(A107,0))/2-1</f>
        <v>40009.5</v>
      </c>
      <c r="AK107" s="209" t="n">
        <f aca="false">IF($A108="","",$A107-$E$1)</f>
        <v>-5931</v>
      </c>
      <c r="AL107" s="182" t="e">
        <f aca="false">IF($A108="","",SPRDOPT(P107,X107,AI107,0,AB107,AE107,AF107,AK107,$AJ$2,0))</f>
        <v>#NAME?</v>
      </c>
      <c r="AM107" s="211" t="e">
        <f aca="false">IF($A108="","",MAX(0,O107-W107-AI107))</f>
        <v>#N/A</v>
      </c>
      <c r="AN107" s="211" t="e">
        <f aca="false">IF($A108="","",AL107-AM107)</f>
        <v>#N/A</v>
      </c>
      <c r="AO107" s="137" t="n">
        <f aca="false">IF(A108="","",A108-A107)</f>
        <v>31</v>
      </c>
      <c r="AP107" s="212" t="n">
        <f aca="false">IF(A108="","",CHOOSE(F$3,A108+24,A107))</f>
        <v>39995</v>
      </c>
      <c r="AQ107" s="209" t="n">
        <f aca="false">IF(A108="","",AP107-$E$1)</f>
        <v>-5931</v>
      </c>
      <c r="AR107" s="185" t="n">
        <f aca="false">'ANR OK vs ML7'!AR107</f>
        <v>0.1</v>
      </c>
      <c r="AS107" s="213" t="n">
        <f aca="false">IF(A108="","",1/(1+CHOOSE(F$3,(AR108+($I$3/10000))/2,(AR107+($I$3/10000))/2))^(2*AQ107/365.25))</f>
        <v>4.87698990289039</v>
      </c>
      <c r="AT107" s="137" t="n">
        <f aca="false">IF(A108="","",IF(AND(mthbeg&lt;=A107,mthend&gt;=A107),1,0))</f>
        <v>1</v>
      </c>
      <c r="AU107" s="137" t="n">
        <f aca="false">IF(A108="","",AO107*AT107)</f>
        <v>31</v>
      </c>
      <c r="AW107" s="195" t="e">
        <f aca="false">IF($A108="","",AL107*$E107)</f>
        <v>#NAME?</v>
      </c>
      <c r="AX107" s="195" t="e">
        <f aca="false">IF($A108="","",AM107*$E107)</f>
        <v>#N/A</v>
      </c>
      <c r="AY107" s="195" t="e">
        <f aca="false">IF($A108="","",AN107*$E107)</f>
        <v>#N/A</v>
      </c>
      <c r="BA107" s="195" t="n">
        <f aca="false">IF($A108="","",F107*Summary!$Q$9)</f>
        <v>0</v>
      </c>
      <c r="BC107" s="179" t="e">
        <f aca="false">IF(A108="","",AM107*F107)</f>
        <v>#N/A</v>
      </c>
    </row>
    <row r="108" customFormat="false" ht="12.75" hidden="false" customHeight="false" outlineLevel="0" collapsed="false">
      <c r="A108" s="196" t="n">
        <f aca="false">IF(A107&lt;mthend,EDATE(A107,1),"")</f>
        <v>40026</v>
      </c>
      <c r="B108" s="197" t="n">
        <f aca="false">IF(A108&lt;mthend,B107,"")</f>
        <v>36050</v>
      </c>
      <c r="C108" s="215"/>
      <c r="D108" s="197" t="n">
        <f aca="false">IF(A109&lt;&gt;"",B108+C108,"")</f>
        <v>36050</v>
      </c>
      <c r="E108" s="199" t="n">
        <f aca="false">IF(A109="","",IF(AND(AT108=1,$H$3=1),D108*AO108,IF($H$3=2,D108,"N/A")))</f>
        <v>1117550</v>
      </c>
      <c r="F108" s="199" t="n">
        <f aca="false">IF(A109="","",E108*AS108)</f>
        <v>5405327.40576302</v>
      </c>
      <c r="G108" s="200" t="e">
        <f aca="false">IF($A109="","",VLOOKUP($A108,Table,MATCH(G$4,Curves,0)))</f>
        <v>#N/A</v>
      </c>
      <c r="H108" s="201" t="e">
        <f aca="false">IF(A109="","",G108)</f>
        <v>#N/A</v>
      </c>
      <c r="I108" s="202"/>
      <c r="J108" s="200" t="e">
        <f aca="false">IF($A109="","",VLOOKUP($A108,Table,MATCH(J$4,Curves,0)))</f>
        <v>#N/A</v>
      </c>
      <c r="K108" s="201" t="e">
        <f aca="false">IF(A109="","",J108)</f>
        <v>#N/A</v>
      </c>
      <c r="L108" s="200" t="e">
        <f aca="false">IF($A109="","",VLOOKUP($A108,Table,MATCH(L$4,Curves,0)))</f>
        <v>#N/A</v>
      </c>
      <c r="M108" s="201" t="e">
        <f aca="false">IF(A109="","",L108)</f>
        <v>#N/A</v>
      </c>
      <c r="N108" s="203"/>
      <c r="O108" s="200" t="e">
        <f aca="false">IF(A109="","",L108+J108+G108)</f>
        <v>#N/A</v>
      </c>
      <c r="P108" s="200" t="e">
        <f aca="false">IF(A109="","",M108+K108+H108)</f>
        <v>#N/A</v>
      </c>
      <c r="Q108" s="204"/>
      <c r="R108" s="200" t="e">
        <f aca="false">IF($A109="","",VLOOKUP($A108,Table,MATCH(R$4,Curves,0)))</f>
        <v>#N/A</v>
      </c>
      <c r="S108" s="201" t="e">
        <f aca="false">IF(A109="","",R108)</f>
        <v>#N/A</v>
      </c>
      <c r="T108" s="200" t="e">
        <f aca="false">IF($A109="","",VLOOKUP($A108,Table,MATCH(T$4,Curves,0)))</f>
        <v>#N/A</v>
      </c>
      <c r="U108" s="201" t="e">
        <f aca="false">IF(A109="","",T108)</f>
        <v>#N/A</v>
      </c>
      <c r="V108" s="225" t="e">
        <f aca="false">IF($A109="","",IF(AND(MONTH(A108)&gt;3,MONTH(A108)&lt;11),(T108+R108+G108)*Summary!$T$9/(1-Summary!$T$9),(T108+R108+G108)*Summary!$U$9/(1-Summary!$U$9)))</f>
        <v>#N/A</v>
      </c>
      <c r="W108" s="200" t="e">
        <f aca="false">IF($A109="","",(T108+R108+G108+V108))</f>
        <v>#N/A</v>
      </c>
      <c r="X108" s="200" t="e">
        <f aca="false">IF($A109="","",(U108+S108+H108+V108))</f>
        <v>#N/A</v>
      </c>
      <c r="Y108" s="202"/>
      <c r="Z108" s="185" t="e">
        <f aca="false">IF($A109="","",VLOOKUP($A108,Table,MATCH(Z$4,Curves,0)))</f>
        <v>#N/A</v>
      </c>
      <c r="AA108" s="185" t="e">
        <f aca="false">IF($A109="","",VLOOKUP($A108,Table,MATCH(AA$4,Curves,0)))</f>
        <v>#N/A</v>
      </c>
      <c r="AB108" s="185" t="e">
        <f aca="false">SQRT((AA108^2*(A108-$D$3)+Z108^2*(DAY(EOMONTH(A108,0))/2))/AK108)</f>
        <v>#N/A</v>
      </c>
      <c r="AC108" s="185" t="e">
        <f aca="false">IF($A109="","",VLOOKUP($A108,Table,MATCH(AC$4,Curves,0)))</f>
        <v>#N/A</v>
      </c>
      <c r="AD108" s="185" t="e">
        <f aca="false">IF($A109="","",VLOOKUP($A108,Table,MATCH(AD$4,Curves,0)))</f>
        <v>#N/A</v>
      </c>
      <c r="AE108" s="185" t="e">
        <f aca="false">SQRT((AD108^2*(A108-$D$3)+AC108^2*(DAY(EOMONTH(A108,0))/2))/AK108)</f>
        <v>#N/A</v>
      </c>
      <c r="AF108" s="224" t="e">
        <f aca="false">((Summary!$N$9*(AA108*AD108)*(A108-$D$3))+(Summary!$M$9*Z108*AC108*(AJ108-EOMONTH(EDATE(A108,-1),0))))/(AK108*AB108*AE108)</f>
        <v>#N/A</v>
      </c>
      <c r="AG108" s="207" t="n">
        <f aca="false">IF($A109="","",Summary!$Q$9)</f>
        <v>0</v>
      </c>
      <c r="AH108" s="207" t="n">
        <f aca="false">IF($A109="","",IF(Summary!$R$9="Y",VLOOKUP($A108,Summary!$AD$6:$AF$9,3)+'Escalating commodity'!E121,'Escalating commodity'!E121))</f>
        <v>0.0707</v>
      </c>
      <c r="AI108" s="207" t="n">
        <f aca="false">IF($A109="","",AH108)</f>
        <v>0.0707</v>
      </c>
      <c r="AJ108" s="208" t="n">
        <f aca="false">A108+DAY(EOMONTH(A108,0))/2-1</f>
        <v>40040.5</v>
      </c>
      <c r="AK108" s="209" t="n">
        <f aca="false">IF($A109="","",$A108-$E$1)</f>
        <v>-5900</v>
      </c>
      <c r="AL108" s="182" t="e">
        <f aca="false">IF($A109="","",SPRDOPT(P108,X108,AI108,0,AB108,AE108,AF108,AK108,$AJ$2,0))</f>
        <v>#NAME?</v>
      </c>
      <c r="AM108" s="211" t="e">
        <f aca="false">IF($A109="","",MAX(0,O108-W108-AI108))</f>
        <v>#N/A</v>
      </c>
      <c r="AN108" s="211" t="e">
        <f aca="false">IF($A109="","",AL108-AM108)</f>
        <v>#N/A</v>
      </c>
      <c r="AO108" s="137" t="n">
        <f aca="false">IF(A109="","",A109-A108)</f>
        <v>31</v>
      </c>
      <c r="AP108" s="212" t="n">
        <f aca="false">IF(A109="","",CHOOSE(F$3,A109+24,A108))</f>
        <v>40026</v>
      </c>
      <c r="AQ108" s="209" t="n">
        <f aca="false">IF(A109="","",AP108-$E$1)</f>
        <v>-5900</v>
      </c>
      <c r="AR108" s="185" t="n">
        <f aca="false">'ANR OK vs ML7'!AR108</f>
        <v>0.1</v>
      </c>
      <c r="AS108" s="213" t="n">
        <f aca="false">IF(A109="","",1/(1+CHOOSE(F$3,(AR109+($I$3/10000))/2,(AR108+($I$3/10000))/2))^(2*AQ108/365.25))</f>
        <v>4.83676560848554</v>
      </c>
      <c r="AT108" s="137" t="n">
        <f aca="false">IF(A109="","",IF(AND(mthbeg&lt;=A108,mthend&gt;=A108),1,0))</f>
        <v>1</v>
      </c>
      <c r="AU108" s="137" t="n">
        <f aca="false">IF(A109="","",AO108*AT108)</f>
        <v>31</v>
      </c>
      <c r="AW108" s="195" t="e">
        <f aca="false">IF($A109="","",AL108*$E108)</f>
        <v>#NAME?</v>
      </c>
      <c r="AX108" s="195" t="e">
        <f aca="false">IF($A109="","",AM108*$E108)</f>
        <v>#N/A</v>
      </c>
      <c r="AY108" s="195" t="e">
        <f aca="false">IF($A109="","",AN108*$E108)</f>
        <v>#N/A</v>
      </c>
      <c r="BA108" s="195" t="n">
        <f aca="false">IF($A109="","",F108*Summary!$Q$9)</f>
        <v>0</v>
      </c>
      <c r="BC108" s="179" t="e">
        <f aca="false">IF(A109="","",AM108*F108)</f>
        <v>#N/A</v>
      </c>
    </row>
    <row r="109" customFormat="false" ht="12.75" hidden="false" customHeight="false" outlineLevel="0" collapsed="false">
      <c r="A109" s="196" t="n">
        <f aca="false">IF(A108&lt;mthend,EDATE(A108,1),"")</f>
        <v>40057</v>
      </c>
      <c r="B109" s="197" t="n">
        <f aca="false">IF(A109&lt;mthend,B108,"")</f>
        <v>36050</v>
      </c>
      <c r="C109" s="215"/>
      <c r="D109" s="197" t="n">
        <f aca="false">IF(A110&lt;&gt;"",B109+C109,"")</f>
        <v>36050</v>
      </c>
      <c r="E109" s="199" t="n">
        <f aca="false">IF(A110="","",IF(AND(AT109=1,$H$3=1),D109*AO109,IF($H$3=2,D109,"N/A")))</f>
        <v>1081500</v>
      </c>
      <c r="F109" s="199" t="n">
        <f aca="false">IF(A110="","",E109*AS109)</f>
        <v>5187818.23043659</v>
      </c>
      <c r="G109" s="200" t="e">
        <f aca="false">IF($A110="","",VLOOKUP($A109,Table,MATCH(G$4,Curves,0)))</f>
        <v>#N/A</v>
      </c>
      <c r="H109" s="201" t="e">
        <f aca="false">IF(A110="","",G109)</f>
        <v>#N/A</v>
      </c>
      <c r="I109" s="202"/>
      <c r="J109" s="200" t="e">
        <f aca="false">IF($A110="","",VLOOKUP($A109,Table,MATCH(J$4,Curves,0)))</f>
        <v>#N/A</v>
      </c>
      <c r="K109" s="201" t="e">
        <f aca="false">IF(A110="","",J109)</f>
        <v>#N/A</v>
      </c>
      <c r="L109" s="200" t="e">
        <f aca="false">IF($A110="","",VLOOKUP($A109,Table,MATCH(L$4,Curves,0)))</f>
        <v>#N/A</v>
      </c>
      <c r="M109" s="201" t="e">
        <f aca="false">IF(A110="","",L109)</f>
        <v>#N/A</v>
      </c>
      <c r="N109" s="203"/>
      <c r="O109" s="200" t="e">
        <f aca="false">IF(A110="","",L109+J109+G109)</f>
        <v>#N/A</v>
      </c>
      <c r="P109" s="200" t="e">
        <f aca="false">IF(A110="","",M109+K109+H109)</f>
        <v>#N/A</v>
      </c>
      <c r="Q109" s="204"/>
      <c r="R109" s="200" t="e">
        <f aca="false">IF($A110="","",VLOOKUP($A109,Table,MATCH(R$4,Curves,0)))</f>
        <v>#N/A</v>
      </c>
      <c r="S109" s="201" t="e">
        <f aca="false">IF(A110="","",R109)</f>
        <v>#N/A</v>
      </c>
      <c r="T109" s="200" t="e">
        <f aca="false">IF($A110="","",VLOOKUP($A109,Table,MATCH(T$4,Curves,0)))</f>
        <v>#N/A</v>
      </c>
      <c r="U109" s="201" t="e">
        <f aca="false">IF(A110="","",T109)</f>
        <v>#N/A</v>
      </c>
      <c r="V109" s="225" t="e">
        <f aca="false">IF($A110="","",IF(AND(MONTH(A109)&gt;3,MONTH(A109)&lt;11),(T109+R109+G109)*Summary!$T$9/(1-Summary!$T$9),(T109+R109+G109)*Summary!$U$9/(1-Summary!$U$9)))</f>
        <v>#N/A</v>
      </c>
      <c r="W109" s="200" t="e">
        <f aca="false">IF($A110="","",(T109+R109+G109+V109))</f>
        <v>#N/A</v>
      </c>
      <c r="X109" s="200" t="e">
        <f aca="false">IF($A110="","",(U109+S109+H109+V109))</f>
        <v>#N/A</v>
      </c>
      <c r="Y109" s="202"/>
      <c r="Z109" s="185" t="e">
        <f aca="false">IF($A110="","",VLOOKUP($A109,Table,MATCH(Z$4,Curves,0)))</f>
        <v>#N/A</v>
      </c>
      <c r="AA109" s="185" t="e">
        <f aca="false">IF($A110="","",VLOOKUP($A109,Table,MATCH(AA$4,Curves,0)))</f>
        <v>#N/A</v>
      </c>
      <c r="AB109" s="185" t="e">
        <f aca="false">SQRT((AA109^2*(A109-$D$3)+Z109^2*(DAY(EOMONTH(A109,0))/2))/AK109)</f>
        <v>#N/A</v>
      </c>
      <c r="AC109" s="185" t="e">
        <f aca="false">IF($A110="","",VLOOKUP($A109,Table,MATCH(AC$4,Curves,0)))</f>
        <v>#N/A</v>
      </c>
      <c r="AD109" s="185" t="e">
        <f aca="false">IF($A110="","",VLOOKUP($A109,Table,MATCH(AD$4,Curves,0)))</f>
        <v>#N/A</v>
      </c>
      <c r="AE109" s="185" t="e">
        <f aca="false">SQRT((AD109^2*(A109-$D$3)+AC109^2*(DAY(EOMONTH(A109,0))/2))/AK109)</f>
        <v>#N/A</v>
      </c>
      <c r="AF109" s="224" t="e">
        <f aca="false">((Summary!$N$9*(AA109*AD109)*(A109-$D$3))+(Summary!$M$9*Z109*AC109*(AJ109-EOMONTH(EDATE(A109,-1),0))))/(AK109*AB109*AE109)</f>
        <v>#N/A</v>
      </c>
      <c r="AG109" s="207" t="n">
        <f aca="false">IF($A110="","",Summary!$Q$9)</f>
        <v>0</v>
      </c>
      <c r="AH109" s="207" t="n">
        <f aca="false">IF($A110="","",IF(Summary!$R$9="Y",VLOOKUP($A109,Summary!$AD$6:$AF$9,3)+'Escalating commodity'!E122,'Escalating commodity'!E122))</f>
        <v>0.0707</v>
      </c>
      <c r="AI109" s="207" t="n">
        <f aca="false">IF($A110="","",AH109)</f>
        <v>0.0707</v>
      </c>
      <c r="AJ109" s="208" t="n">
        <f aca="false">A109+DAY(EOMONTH(A109,0))/2-1</f>
        <v>40071</v>
      </c>
      <c r="AK109" s="209" t="n">
        <f aca="false">IF($A110="","",$A109-$E$1)</f>
        <v>-5869</v>
      </c>
      <c r="AL109" s="182" t="e">
        <f aca="false">IF($A110="","",SPRDOPT(P109,X109,AI109,0,AB109,AE109,AF109,AK109,$AJ$2,0))</f>
        <v>#NAME?</v>
      </c>
      <c r="AM109" s="211" t="e">
        <f aca="false">IF($A110="","",MAX(0,O109-W109-AI109))</f>
        <v>#N/A</v>
      </c>
      <c r="AN109" s="211" t="e">
        <f aca="false">IF($A110="","",AL109-AM109)</f>
        <v>#N/A</v>
      </c>
      <c r="AO109" s="137" t="n">
        <f aca="false">IF(A110="","",A110-A109)</f>
        <v>30</v>
      </c>
      <c r="AP109" s="212" t="n">
        <f aca="false">IF(A110="","",CHOOSE(F$3,A110+24,A109))</f>
        <v>40057</v>
      </c>
      <c r="AQ109" s="209" t="n">
        <f aca="false">IF(A110="","",AP109-$E$1)</f>
        <v>-5869</v>
      </c>
      <c r="AR109" s="185" t="n">
        <f aca="false">'ANR OK vs ML7'!AR109</f>
        <v>0.1</v>
      </c>
      <c r="AS109" s="213" t="n">
        <f aca="false">IF(A110="","",1/(1+CHOOSE(F$3,(AR110+($I$3/10000))/2,(AR109+($I$3/10000))/2))^(2*AQ109/365.25))</f>
        <v>4.79687307483734</v>
      </c>
      <c r="AT109" s="137" t="n">
        <f aca="false">IF(A110="","",IF(AND(mthbeg&lt;=A109,mthend&gt;=A109),1,0))</f>
        <v>1</v>
      </c>
      <c r="AU109" s="137" t="n">
        <f aca="false">IF(A110="","",AO109*AT109)</f>
        <v>30</v>
      </c>
      <c r="AW109" s="195" t="e">
        <f aca="false">IF($A110="","",AL109*$E109)</f>
        <v>#NAME?</v>
      </c>
      <c r="AX109" s="195" t="e">
        <f aca="false">IF($A110="","",AM109*$E109)</f>
        <v>#N/A</v>
      </c>
      <c r="AY109" s="195" t="e">
        <f aca="false">IF($A110="","",AN109*$E109)</f>
        <v>#N/A</v>
      </c>
      <c r="BA109" s="195" t="n">
        <f aca="false">IF($A110="","",F109*Summary!$Q$9)</f>
        <v>0</v>
      </c>
      <c r="BC109" s="179" t="e">
        <f aca="false">IF(A110="","",AM109*F109)</f>
        <v>#N/A</v>
      </c>
    </row>
    <row r="110" customFormat="false" ht="12.75" hidden="false" customHeight="false" outlineLevel="0" collapsed="false">
      <c r="A110" s="196" t="n">
        <f aca="false">IF(A109&lt;mthend,EDATE(A109,1),"")</f>
        <v>40087</v>
      </c>
      <c r="B110" s="197" t="n">
        <f aca="false">IF(A110&lt;mthend,B109,"")</f>
        <v>36050</v>
      </c>
      <c r="C110" s="215"/>
      <c r="D110" s="197" t="n">
        <f aca="false">IF(A111&lt;&gt;"",B110+C110,"")</f>
        <v>36050</v>
      </c>
      <c r="E110" s="199" t="n">
        <f aca="false">IF(A111="","",IF(AND(AT110=1,$H$3=1),D110*AO110,IF($H$3=2,D110,"N/A")))</f>
        <v>1117550</v>
      </c>
      <c r="F110" s="199" t="n">
        <f aca="false">IF(A111="","",E110*AS110)</f>
        <v>5317951.86136923</v>
      </c>
      <c r="G110" s="200" t="e">
        <f aca="false">IF($A111="","",VLOOKUP($A110,Table,MATCH(G$4,Curves,0)))</f>
        <v>#N/A</v>
      </c>
      <c r="H110" s="201" t="e">
        <f aca="false">IF(A111="","",G110)</f>
        <v>#N/A</v>
      </c>
      <c r="I110" s="202"/>
      <c r="J110" s="200" t="e">
        <f aca="false">IF($A111="","",VLOOKUP($A110,Table,MATCH(J$4,Curves,0)))</f>
        <v>#N/A</v>
      </c>
      <c r="K110" s="201" t="e">
        <f aca="false">IF(A111="","",J110)</f>
        <v>#N/A</v>
      </c>
      <c r="L110" s="200" t="e">
        <f aca="false">IF($A111="","",VLOOKUP($A110,Table,MATCH(L$4,Curves,0)))</f>
        <v>#N/A</v>
      </c>
      <c r="M110" s="201" t="e">
        <f aca="false">IF(A111="","",L110)</f>
        <v>#N/A</v>
      </c>
      <c r="N110" s="203"/>
      <c r="O110" s="200" t="e">
        <f aca="false">IF(A111="","",L110+J110+G110)</f>
        <v>#N/A</v>
      </c>
      <c r="P110" s="200" t="e">
        <f aca="false">IF(A111="","",M110+K110+H110)</f>
        <v>#N/A</v>
      </c>
      <c r="Q110" s="204"/>
      <c r="R110" s="200" t="e">
        <f aca="false">IF($A111="","",VLOOKUP($A110,Table,MATCH(R$4,Curves,0)))</f>
        <v>#N/A</v>
      </c>
      <c r="S110" s="201" t="e">
        <f aca="false">IF(A111="","",R110)</f>
        <v>#N/A</v>
      </c>
      <c r="T110" s="200" t="e">
        <f aca="false">IF($A111="","",VLOOKUP($A110,Table,MATCH(T$4,Curves,0)))</f>
        <v>#N/A</v>
      </c>
      <c r="U110" s="201" t="e">
        <f aca="false">IF(A111="","",T110)</f>
        <v>#N/A</v>
      </c>
      <c r="V110" s="225" t="e">
        <f aca="false">IF($A111="","",IF(AND(MONTH(A110)&gt;3,MONTH(A110)&lt;11),(T110+R110+G110)*Summary!$T$9/(1-Summary!$T$9),(T110+R110+G110)*Summary!$U$9/(1-Summary!$U$9)))</f>
        <v>#N/A</v>
      </c>
      <c r="W110" s="200" t="e">
        <f aca="false">IF($A111="","",(T110+R110+G110+V110))</f>
        <v>#N/A</v>
      </c>
      <c r="X110" s="200" t="e">
        <f aca="false">IF($A111="","",(U110+S110+H110+V110))</f>
        <v>#N/A</v>
      </c>
      <c r="Y110" s="202"/>
      <c r="Z110" s="185" t="e">
        <f aca="false">IF($A111="","",VLOOKUP($A110,Table,MATCH(Z$4,Curves,0)))</f>
        <v>#N/A</v>
      </c>
      <c r="AA110" s="185" t="e">
        <f aca="false">IF($A111="","",VLOOKUP($A110,Table,MATCH(AA$4,Curves,0)))</f>
        <v>#N/A</v>
      </c>
      <c r="AB110" s="185" t="e">
        <f aca="false">SQRT((AA110^2*(A110-$D$3)+Z110^2*(DAY(EOMONTH(A110,0))/2))/AK110)</f>
        <v>#N/A</v>
      </c>
      <c r="AC110" s="185" t="e">
        <f aca="false">IF($A111="","",VLOOKUP($A110,Table,MATCH(AC$4,Curves,0)))</f>
        <v>#N/A</v>
      </c>
      <c r="AD110" s="185" t="e">
        <f aca="false">IF($A111="","",VLOOKUP($A110,Table,MATCH(AD$4,Curves,0)))</f>
        <v>#N/A</v>
      </c>
      <c r="AE110" s="185" t="e">
        <f aca="false">SQRT((AD110^2*(A110-$D$3)+AC110^2*(DAY(EOMONTH(A110,0))/2))/AK110)</f>
        <v>#N/A</v>
      </c>
      <c r="AF110" s="224" t="e">
        <f aca="false">((Summary!$N$9*(AA110*AD110)*(A110-$D$3))+(Summary!$M$9*Z110*AC110*(AJ110-EOMONTH(EDATE(A110,-1),0))))/(AK110*AB110*AE110)</f>
        <v>#N/A</v>
      </c>
      <c r="AG110" s="207" t="n">
        <f aca="false">IF($A111="","",Summary!$Q$9)</f>
        <v>0</v>
      </c>
      <c r="AH110" s="207" t="n">
        <f aca="false">IF($A111="","",IF(Summary!$R$9="Y",VLOOKUP($A110,Summary!$AD$6:$AF$9,3)+'Escalating commodity'!E123,'Escalating commodity'!E123))</f>
        <v>0.0707</v>
      </c>
      <c r="AI110" s="207" t="n">
        <f aca="false">IF($A111="","",AH110)</f>
        <v>0.0707</v>
      </c>
      <c r="AJ110" s="208" t="n">
        <f aca="false">A110+DAY(EOMONTH(A110,0))/2-1</f>
        <v>40101.5</v>
      </c>
      <c r="AK110" s="209" t="n">
        <f aca="false">IF($A111="","",$A110-$E$1)</f>
        <v>-5839</v>
      </c>
      <c r="AL110" s="182" t="e">
        <f aca="false">IF($A111="","",SPRDOPT(P110,X110,AI110,0,AB110,AE110,AF110,AK110,$AJ$2,0))</f>
        <v>#NAME?</v>
      </c>
      <c r="AM110" s="211" t="e">
        <f aca="false">IF($A111="","",MAX(0,O110-W110-AI110))</f>
        <v>#N/A</v>
      </c>
      <c r="AN110" s="211" t="e">
        <f aca="false">IF($A111="","",AL110-AM110)</f>
        <v>#N/A</v>
      </c>
      <c r="AO110" s="137" t="n">
        <f aca="false">IF(A111="","",A111-A110)</f>
        <v>31</v>
      </c>
      <c r="AP110" s="212" t="n">
        <f aca="false">IF(A111="","",CHOOSE(F$3,A111+24,A110))</f>
        <v>40087</v>
      </c>
      <c r="AQ110" s="209" t="n">
        <f aca="false">IF(A111="","",AP110-$E$1)</f>
        <v>-5839</v>
      </c>
      <c r="AR110" s="185" t="n">
        <f aca="false">'ANR OK vs ML7'!AR110</f>
        <v>0.1</v>
      </c>
      <c r="AS110" s="213" t="n">
        <f aca="false">IF(A111="","",1/(1+CHOOSE(F$3,(AR111+($I$3/10000))/2,(AR110+($I$3/10000))/2))^(2*AQ110/365.25))</f>
        <v>4.75858070007537</v>
      </c>
      <c r="AT110" s="137" t="n">
        <f aca="false">IF(A111="","",IF(AND(mthbeg&lt;=A110,mthend&gt;=A110),1,0))</f>
        <v>1</v>
      </c>
      <c r="AU110" s="137" t="n">
        <f aca="false">IF(A111="","",AO110*AT110)</f>
        <v>31</v>
      </c>
      <c r="AW110" s="195" t="e">
        <f aca="false">IF($A111="","",AL110*$E110)</f>
        <v>#NAME?</v>
      </c>
      <c r="AX110" s="195" t="e">
        <f aca="false">IF($A111="","",AM110*$E110)</f>
        <v>#N/A</v>
      </c>
      <c r="AY110" s="195" t="e">
        <f aca="false">IF($A111="","",AN110*$E110)</f>
        <v>#N/A</v>
      </c>
      <c r="BA110" s="195" t="n">
        <f aca="false">IF($A111="","",F110*Summary!$Q$9)</f>
        <v>0</v>
      </c>
      <c r="BC110" s="179" t="e">
        <f aca="false">IF(A111="","",AM110*F110)</f>
        <v>#N/A</v>
      </c>
    </row>
    <row r="111" customFormat="false" ht="12.75" hidden="false" customHeight="false" outlineLevel="0" collapsed="false">
      <c r="A111" s="196" t="n">
        <f aca="false">IF(A110&lt;mthend,EDATE(A110,1),"")</f>
        <v>40118</v>
      </c>
      <c r="B111" s="197" t="n">
        <f aca="false">IF(A111&lt;mthend,B110,"")</f>
        <v>36050</v>
      </c>
      <c r="C111" s="215"/>
      <c r="D111" s="197" t="n">
        <f aca="false">IF(A112&lt;&gt;"",B111+C111,"")</f>
        <v>36050</v>
      </c>
      <c r="E111" s="199" t="n">
        <f aca="false">IF(A112="","",IF(AND(AT111=1,$H$3=1),D111*AO111,IF($H$3=2,D111,"N/A")))</f>
        <v>1081500</v>
      </c>
      <c r="F111" s="199" t="n">
        <f aca="false">IF(A112="","",E111*AS111)</f>
        <v>5103958.65855993</v>
      </c>
      <c r="G111" s="200" t="e">
        <f aca="false">IF($A112="","",VLOOKUP($A111,Table,MATCH(G$4,Curves,0)))</f>
        <v>#N/A</v>
      </c>
      <c r="H111" s="201" t="e">
        <f aca="false">IF(A112="","",G111)</f>
        <v>#N/A</v>
      </c>
      <c r="I111" s="202"/>
      <c r="J111" s="200" t="e">
        <f aca="false">IF($A112="","",VLOOKUP($A111,Table,MATCH(J$4,Curves,0)))</f>
        <v>#N/A</v>
      </c>
      <c r="K111" s="201" t="e">
        <f aca="false">IF(A112="","",J111)</f>
        <v>#N/A</v>
      </c>
      <c r="L111" s="200" t="e">
        <f aca="false">IF($A112="","",VLOOKUP($A111,Table,MATCH(L$4,Curves,0)))</f>
        <v>#N/A</v>
      </c>
      <c r="M111" s="201" t="e">
        <f aca="false">IF(A112="","",L111)</f>
        <v>#N/A</v>
      </c>
      <c r="N111" s="203"/>
      <c r="O111" s="200" t="e">
        <f aca="false">IF(A112="","",L111+J111+G111)</f>
        <v>#N/A</v>
      </c>
      <c r="P111" s="200" t="e">
        <f aca="false">IF(A112="","",M111+K111+H111)</f>
        <v>#N/A</v>
      </c>
      <c r="Q111" s="204"/>
      <c r="R111" s="200" t="e">
        <f aca="false">IF($A112="","",VLOOKUP($A111,Table,MATCH(R$4,Curves,0)))</f>
        <v>#N/A</v>
      </c>
      <c r="S111" s="201" t="e">
        <f aca="false">IF(A112="","",R111)</f>
        <v>#N/A</v>
      </c>
      <c r="T111" s="200" t="e">
        <f aca="false">IF($A112="","",VLOOKUP($A111,Table,MATCH(T$4,Curves,0)))</f>
        <v>#N/A</v>
      </c>
      <c r="U111" s="201" t="e">
        <f aca="false">IF(A112="","",T111)</f>
        <v>#N/A</v>
      </c>
      <c r="V111" s="225" t="e">
        <f aca="false">IF($A112="","",IF(AND(MONTH(A111)&gt;3,MONTH(A111)&lt;11),(T111+R111+G111)*Summary!$T$9/(1-Summary!$T$9),(T111+R111+G111)*Summary!$U$9/(1-Summary!$U$9)))</f>
        <v>#N/A</v>
      </c>
      <c r="W111" s="200" t="e">
        <f aca="false">IF($A112="","",(T111+R111+G111+V111))</f>
        <v>#N/A</v>
      </c>
      <c r="X111" s="200" t="e">
        <f aca="false">IF($A112="","",(U111+S111+H111+V111))</f>
        <v>#N/A</v>
      </c>
      <c r="Y111" s="202"/>
      <c r="Z111" s="185" t="e">
        <f aca="false">IF($A112="","",VLOOKUP($A111,Table,MATCH(Z$4,Curves,0)))</f>
        <v>#N/A</v>
      </c>
      <c r="AA111" s="185" t="e">
        <f aca="false">IF($A112="","",VLOOKUP($A111,Table,MATCH(AA$4,Curves,0)))</f>
        <v>#N/A</v>
      </c>
      <c r="AB111" s="185" t="e">
        <f aca="false">SQRT((AA111^2*(A111-$D$3)+Z111^2*(DAY(EOMONTH(A111,0))/2))/AK111)</f>
        <v>#N/A</v>
      </c>
      <c r="AC111" s="185" t="e">
        <f aca="false">IF($A112="","",VLOOKUP($A111,Table,MATCH(AC$4,Curves,0)))</f>
        <v>#N/A</v>
      </c>
      <c r="AD111" s="185" t="e">
        <f aca="false">IF($A112="","",VLOOKUP($A111,Table,MATCH(AD$4,Curves,0)))</f>
        <v>#N/A</v>
      </c>
      <c r="AE111" s="185" t="e">
        <f aca="false">SQRT((AD111^2*(A111-$D$3)+AC111^2*(DAY(EOMONTH(A111,0))/2))/AK111)</f>
        <v>#N/A</v>
      </c>
      <c r="AF111" s="224" t="e">
        <f aca="false">((Summary!$N$9*(AA111*AD111)*(A111-$D$3))+(Summary!$M$9*Z111*AC111*(AJ111-EOMONTH(EDATE(A111,-1),0))))/(AK111*AB111*AE111)</f>
        <v>#N/A</v>
      </c>
      <c r="AG111" s="207" t="n">
        <f aca="false">IF($A112="","",Summary!$Q$9)</f>
        <v>0</v>
      </c>
      <c r="AH111" s="207" t="n">
        <f aca="false">IF($A112="","",IF(Summary!$R$9="Y",VLOOKUP($A111,Summary!$AD$6:$AF$9,3)+'Escalating commodity'!E124,'Escalating commodity'!E124))</f>
        <v>0.0707</v>
      </c>
      <c r="AI111" s="207" t="n">
        <f aca="false">IF($A112="","",AH111)</f>
        <v>0.0707</v>
      </c>
      <c r="AJ111" s="208" t="n">
        <f aca="false">A111+DAY(EOMONTH(A111,0))/2-1</f>
        <v>40132</v>
      </c>
      <c r="AK111" s="209" t="n">
        <f aca="false">IF($A112="","",$A111-$E$1)</f>
        <v>-5808</v>
      </c>
      <c r="AL111" s="182" t="e">
        <f aca="false">IF($A112="","",SPRDOPT(P111,X111,AI111,0,AB111,AE111,AF111,AK111,$AJ$2,0))</f>
        <v>#NAME?</v>
      </c>
      <c r="AM111" s="211" t="e">
        <f aca="false">IF($A112="","",MAX(0,O111-W111-AI111))</f>
        <v>#N/A</v>
      </c>
      <c r="AN111" s="211" t="e">
        <f aca="false">IF($A112="","",AL111-AM111)</f>
        <v>#N/A</v>
      </c>
      <c r="AO111" s="137" t="n">
        <f aca="false">IF(A112="","",A112-A111)</f>
        <v>30</v>
      </c>
      <c r="AP111" s="212" t="n">
        <f aca="false">IF(A112="","",CHOOSE(F$3,A112+24,A111))</f>
        <v>40118</v>
      </c>
      <c r="AQ111" s="209" t="n">
        <f aca="false">IF(A112="","",AP111-$E$1)</f>
        <v>-5808</v>
      </c>
      <c r="AR111" s="185" t="n">
        <f aca="false">'ANR OK vs ML7'!AR111</f>
        <v>0.1</v>
      </c>
      <c r="AS111" s="213" t="n">
        <f aca="false">IF(A112="","",1/(1+CHOOSE(F$3,(AR112+($I$3/10000))/2,(AR111+($I$3/10000))/2))^(2*AQ111/365.25))</f>
        <v>4.71933301762361</v>
      </c>
      <c r="AT111" s="137" t="n">
        <f aca="false">IF(A112="","",IF(AND(mthbeg&lt;=A111,mthend&gt;=A111),1,0))</f>
        <v>1</v>
      </c>
      <c r="AU111" s="137" t="n">
        <f aca="false">IF(A112="","",AO111*AT111)</f>
        <v>30</v>
      </c>
      <c r="AW111" s="195" t="e">
        <f aca="false">IF($A112="","",AL111*$E111)</f>
        <v>#NAME?</v>
      </c>
      <c r="AX111" s="195" t="e">
        <f aca="false">IF($A112="","",AM111*$E111)</f>
        <v>#N/A</v>
      </c>
      <c r="AY111" s="195" t="e">
        <f aca="false">IF($A112="","",AN111*$E111)</f>
        <v>#N/A</v>
      </c>
      <c r="BA111" s="195" t="n">
        <f aca="false">IF($A112="","",F111*Summary!$Q$9)</f>
        <v>0</v>
      </c>
      <c r="BC111" s="179" t="e">
        <f aca="false">IF(A112="","",AM111*F111)</f>
        <v>#N/A</v>
      </c>
    </row>
    <row r="112" customFormat="false" ht="12.75" hidden="false" customHeight="false" outlineLevel="0" collapsed="false">
      <c r="A112" s="196" t="n">
        <f aca="false">IF(A111&lt;mthend,EDATE(A111,1),"")</f>
        <v>40148</v>
      </c>
      <c r="B112" s="197" t="n">
        <f aca="false">IF(A112&lt;mthend,B111,"")</f>
        <v>36050</v>
      </c>
      <c r="C112" s="215"/>
      <c r="D112" s="197" t="n">
        <f aca="false">IF(A113&lt;&gt;"",B112+C112,"")</f>
        <v>36050</v>
      </c>
      <c r="E112" s="199" t="n">
        <f aca="false">IF(A113="","",IF(AND(AT112=1,$H$3=1),D112*AO112,IF($H$3=2,D112,"N/A")))</f>
        <v>1117550</v>
      </c>
      <c r="F112" s="199" t="n">
        <f aca="false">IF(A113="","",E112*AS112)</f>
        <v>5231988.71722153</v>
      </c>
      <c r="G112" s="200" t="e">
        <f aca="false">IF($A113="","",VLOOKUP($A112,Table,MATCH(G$4,Curves,0)))</f>
        <v>#N/A</v>
      </c>
      <c r="H112" s="201" t="e">
        <f aca="false">IF(A113="","",G112)</f>
        <v>#N/A</v>
      </c>
      <c r="I112" s="202"/>
      <c r="J112" s="200" t="e">
        <f aca="false">IF($A113="","",VLOOKUP($A112,Table,MATCH(J$4,Curves,0)))</f>
        <v>#N/A</v>
      </c>
      <c r="K112" s="201" t="e">
        <f aca="false">IF(A113="","",J112)</f>
        <v>#N/A</v>
      </c>
      <c r="L112" s="200" t="e">
        <f aca="false">IF($A113="","",VLOOKUP($A112,Table,MATCH(L$4,Curves,0)))</f>
        <v>#N/A</v>
      </c>
      <c r="M112" s="201" t="e">
        <f aca="false">IF(A113="","",L112)</f>
        <v>#N/A</v>
      </c>
      <c r="N112" s="203"/>
      <c r="O112" s="200" t="e">
        <f aca="false">IF(A113="","",L112+J112+G112)</f>
        <v>#N/A</v>
      </c>
      <c r="P112" s="200" t="e">
        <f aca="false">IF(A113="","",M112+K112+H112)</f>
        <v>#N/A</v>
      </c>
      <c r="Q112" s="204"/>
      <c r="R112" s="200" t="e">
        <f aca="false">IF($A113="","",VLOOKUP($A112,Table,MATCH(R$4,Curves,0)))</f>
        <v>#N/A</v>
      </c>
      <c r="S112" s="201" t="e">
        <f aca="false">IF(A113="","",R112)</f>
        <v>#N/A</v>
      </c>
      <c r="T112" s="200" t="e">
        <f aca="false">IF($A113="","",VLOOKUP($A112,Table,MATCH(T$4,Curves,0)))</f>
        <v>#N/A</v>
      </c>
      <c r="U112" s="201" t="e">
        <f aca="false">IF(A113="","",T112)</f>
        <v>#N/A</v>
      </c>
      <c r="V112" s="225" t="e">
        <f aca="false">IF($A113="","",IF(AND(MONTH(A112)&gt;3,MONTH(A112)&lt;11),(T112+R112+G112)*Summary!$T$9/(1-Summary!$T$9),(T112+R112+G112)*Summary!$U$9/(1-Summary!$U$9)))</f>
        <v>#N/A</v>
      </c>
      <c r="W112" s="200" t="e">
        <f aca="false">IF($A113="","",(T112+R112+G112+V112))</f>
        <v>#N/A</v>
      </c>
      <c r="X112" s="200" t="e">
        <f aca="false">IF($A113="","",(U112+S112+H112+V112))</f>
        <v>#N/A</v>
      </c>
      <c r="Y112" s="202"/>
      <c r="Z112" s="185" t="e">
        <f aca="false">IF($A113="","",VLOOKUP($A112,Table,MATCH(Z$4,Curves,0)))</f>
        <v>#N/A</v>
      </c>
      <c r="AA112" s="185" t="e">
        <f aca="false">IF($A113="","",VLOOKUP($A112,Table,MATCH(AA$4,Curves,0)))</f>
        <v>#N/A</v>
      </c>
      <c r="AB112" s="185" t="e">
        <f aca="false">SQRT((AA112^2*(A112-$D$3)+Z112^2*(DAY(EOMONTH(A112,0))/2))/AK112)</f>
        <v>#N/A</v>
      </c>
      <c r="AC112" s="185" t="e">
        <f aca="false">IF($A113="","",VLOOKUP($A112,Table,MATCH(AC$4,Curves,0)))</f>
        <v>#N/A</v>
      </c>
      <c r="AD112" s="185" t="e">
        <f aca="false">IF($A113="","",VLOOKUP($A112,Table,MATCH(AD$4,Curves,0)))</f>
        <v>#N/A</v>
      </c>
      <c r="AE112" s="185" t="e">
        <f aca="false">SQRT((AD112^2*(A112-$D$3)+AC112^2*(DAY(EOMONTH(A112,0))/2))/AK112)</f>
        <v>#N/A</v>
      </c>
      <c r="AF112" s="224" t="e">
        <f aca="false">((Summary!$N$9*(AA112*AD112)*(A112-$D$3))+(Summary!$M$9*Z112*AC112*(AJ112-EOMONTH(EDATE(A112,-1),0))))/(AK112*AB112*AE112)</f>
        <v>#N/A</v>
      </c>
      <c r="AG112" s="207" t="n">
        <f aca="false">IF($A113="","",Summary!$Q$9)</f>
        <v>0</v>
      </c>
      <c r="AH112" s="207" t="n">
        <f aca="false">IF($A113="","",IF(Summary!$R$9="Y",VLOOKUP($A112,Summary!$AD$6:$AF$9,3)+'Escalating commodity'!E125,'Escalating commodity'!E125))</f>
        <v>0.0707</v>
      </c>
      <c r="AI112" s="207" t="n">
        <f aca="false">IF($A113="","",AH112)</f>
        <v>0.0707</v>
      </c>
      <c r="AJ112" s="208" t="n">
        <f aca="false">A112+DAY(EOMONTH(A112,0))/2-1</f>
        <v>40162.5</v>
      </c>
      <c r="AK112" s="209" t="n">
        <f aca="false">IF($A113="","",$A112-$E$1)</f>
        <v>-5778</v>
      </c>
      <c r="AL112" s="182" t="e">
        <f aca="false">IF($A113="","",SPRDOPT(P112,X112,AI112,0,AB112,AE112,AF112,AK112,$AJ$2,0))</f>
        <v>#NAME?</v>
      </c>
      <c r="AM112" s="211" t="e">
        <f aca="false">IF($A113="","",MAX(0,O112-W112-AI112))</f>
        <v>#N/A</v>
      </c>
      <c r="AN112" s="211" t="e">
        <f aca="false">IF($A113="","",AL112-AM112)</f>
        <v>#N/A</v>
      </c>
      <c r="AO112" s="137" t="n">
        <f aca="false">IF(A113="","",A113-A112)</f>
        <v>31</v>
      </c>
      <c r="AP112" s="212" t="n">
        <f aca="false">IF(A113="","",CHOOSE(F$3,A113+24,A112))</f>
        <v>40148</v>
      </c>
      <c r="AQ112" s="209" t="n">
        <f aca="false">IF(A113="","",AP112-$E$1)</f>
        <v>-5778</v>
      </c>
      <c r="AR112" s="185" t="n">
        <f aca="false">'ANR OK vs ML7'!AR112</f>
        <v>0.1</v>
      </c>
      <c r="AS112" s="213" t="n">
        <f aca="false">IF(A113="","",1/(1+CHOOSE(F$3,(AR113+($I$3/10000))/2,(AR112+($I$3/10000))/2))^(2*AQ112/365.25))</f>
        <v>4.68165962795537</v>
      </c>
      <c r="AT112" s="137" t="n">
        <f aca="false">IF(A113="","",IF(AND(mthbeg&lt;=A112,mthend&gt;=A112),1,0))</f>
        <v>1</v>
      </c>
      <c r="AU112" s="137" t="n">
        <f aca="false">IF(A113="","",AO112*AT112)</f>
        <v>31</v>
      </c>
      <c r="AW112" s="195" t="e">
        <f aca="false">IF($A113="","",AL112*$E112)</f>
        <v>#NAME?</v>
      </c>
      <c r="AX112" s="195" t="e">
        <f aca="false">IF($A113="","",AM112*$E112)</f>
        <v>#N/A</v>
      </c>
      <c r="AY112" s="195" t="e">
        <f aca="false">IF($A113="","",AN112*$E112)</f>
        <v>#N/A</v>
      </c>
      <c r="BA112" s="195" t="n">
        <f aca="false">IF($A113="","",F112*Summary!$Q$9)</f>
        <v>0</v>
      </c>
      <c r="BC112" s="179" t="e">
        <f aca="false">IF(A113="","",AM112*F112)</f>
        <v>#N/A</v>
      </c>
    </row>
    <row r="113" customFormat="false" ht="12.75" hidden="false" customHeight="false" outlineLevel="0" collapsed="false">
      <c r="A113" s="196" t="n">
        <f aca="false">IF(A112&lt;mthend,EDATE(A112,1),"")</f>
        <v>40179</v>
      </c>
      <c r="B113" s="197" t="n">
        <f aca="false">IF(A113&lt;mthend,B112,"")</f>
        <v>36050</v>
      </c>
      <c r="C113" s="215"/>
      <c r="D113" s="197" t="n">
        <f aca="false">IF(A114&lt;&gt;"",B113+C113,"")</f>
        <v>36050</v>
      </c>
      <c r="E113" s="199" t="n">
        <f aca="false">IF(A114="","",IF(AND(AT113=1,$H$3=1),D113*AO113,IF($H$3=2,D113,"N/A")))</f>
        <v>1117550</v>
      </c>
      <c r="F113" s="199" t="n">
        <f aca="false">IF(A114="","",E113*AS113)</f>
        <v>5188836.47399879</v>
      </c>
      <c r="G113" s="200" t="e">
        <f aca="false">IF($A114="","",VLOOKUP($A113,Table,MATCH(G$4,Curves,0)))</f>
        <v>#N/A</v>
      </c>
      <c r="H113" s="201" t="e">
        <f aca="false">IF(A114="","",G113)</f>
        <v>#N/A</v>
      </c>
      <c r="I113" s="202"/>
      <c r="J113" s="200" t="e">
        <f aca="false">IF($A114="","",VLOOKUP($A113,Table,MATCH(J$4,Curves,0)))</f>
        <v>#N/A</v>
      </c>
      <c r="K113" s="201" t="e">
        <f aca="false">IF(A114="","",J113)</f>
        <v>#N/A</v>
      </c>
      <c r="L113" s="200" t="e">
        <f aca="false">IF($A114="","",VLOOKUP($A113,Table,MATCH(L$4,Curves,0)))</f>
        <v>#N/A</v>
      </c>
      <c r="M113" s="201" t="e">
        <f aca="false">IF(A114="","",L113)</f>
        <v>#N/A</v>
      </c>
      <c r="N113" s="203"/>
      <c r="O113" s="200" t="e">
        <f aca="false">IF(A114="","",L113+J113+G113)</f>
        <v>#N/A</v>
      </c>
      <c r="P113" s="200" t="e">
        <f aca="false">IF(A114="","",M113+K113+H113)</f>
        <v>#N/A</v>
      </c>
      <c r="Q113" s="204"/>
      <c r="R113" s="200" t="e">
        <f aca="false">IF($A114="","",VLOOKUP($A113,Table,MATCH(R$4,Curves,0)))</f>
        <v>#N/A</v>
      </c>
      <c r="S113" s="201" t="e">
        <f aca="false">IF(A114="","",R113)</f>
        <v>#N/A</v>
      </c>
      <c r="T113" s="200" t="e">
        <f aca="false">IF($A114="","",VLOOKUP($A113,Table,MATCH(T$4,Curves,0)))</f>
        <v>#N/A</v>
      </c>
      <c r="U113" s="201" t="e">
        <f aca="false">IF(A114="","",T113)</f>
        <v>#N/A</v>
      </c>
      <c r="V113" s="225" t="e">
        <f aca="false">IF($A114="","",IF(AND(MONTH(A113)&gt;3,MONTH(A113)&lt;11),(T113+R113+G113)*Summary!$T$9/(1-Summary!$T$9),(T113+R113+G113)*Summary!$U$9/(1-Summary!$U$9)))</f>
        <v>#N/A</v>
      </c>
      <c r="W113" s="200" t="e">
        <f aca="false">IF($A114="","",(T113+R113+G113+V113))</f>
        <v>#N/A</v>
      </c>
      <c r="X113" s="200" t="e">
        <f aca="false">IF($A114="","",(U113+S113+H113+V113))</f>
        <v>#N/A</v>
      </c>
      <c r="Y113" s="202"/>
      <c r="Z113" s="185" t="e">
        <f aca="false">IF($A114="","",VLOOKUP($A113,Table,MATCH(Z$4,Curves,0)))</f>
        <v>#N/A</v>
      </c>
      <c r="AA113" s="185" t="e">
        <f aca="false">IF($A114="","",VLOOKUP($A113,Table,MATCH(AA$4,Curves,0)))</f>
        <v>#N/A</v>
      </c>
      <c r="AB113" s="185" t="e">
        <f aca="false">SQRT((AA113^2*(A113-$D$3)+Z113^2*(DAY(EOMONTH(A113,0))/2))/AK113)</f>
        <v>#N/A</v>
      </c>
      <c r="AC113" s="185" t="e">
        <f aca="false">IF($A114="","",VLOOKUP($A113,Table,MATCH(AC$4,Curves,0)))</f>
        <v>#N/A</v>
      </c>
      <c r="AD113" s="185" t="e">
        <f aca="false">IF($A114="","",VLOOKUP($A113,Table,MATCH(AD$4,Curves,0)))</f>
        <v>#N/A</v>
      </c>
      <c r="AE113" s="185" t="e">
        <f aca="false">SQRT((AD113^2*(A113-$D$3)+AC113^2*(DAY(EOMONTH(A113,0))/2))/AK113)</f>
        <v>#N/A</v>
      </c>
      <c r="AF113" s="224" t="e">
        <f aca="false">((Summary!$N$9*(AA113*AD113)*(A113-$D$3))+(Summary!$M$9*Z113*AC113*(AJ113-EOMONTH(EDATE(A113,-1),0))))/(AK113*AB113*AE113)</f>
        <v>#N/A</v>
      </c>
      <c r="AG113" s="207" t="n">
        <f aca="false">IF($A114="","",Summary!$Q$9)</f>
        <v>0</v>
      </c>
      <c r="AH113" s="207" t="n">
        <f aca="false">IF($A114="","",IF(Summary!$R$9="Y",VLOOKUP($A113,Summary!$AD$6:$AF$9,3)+'Escalating commodity'!E126,'Escalating commodity'!E126))</f>
        <v>0.0707</v>
      </c>
      <c r="AI113" s="207" t="n">
        <f aca="false">IF($A114="","",AH113)</f>
        <v>0.0707</v>
      </c>
      <c r="AJ113" s="208" t="n">
        <f aca="false">A113+DAY(EOMONTH(A113,0))/2-1</f>
        <v>40193.5</v>
      </c>
      <c r="AK113" s="209" t="n">
        <f aca="false">IF($A114="","",$A113-$E$1)</f>
        <v>-5747</v>
      </c>
      <c r="AL113" s="182" t="e">
        <f aca="false">IF($A114="","",SPRDOPT(P113,X113,AI113,0,AB113,AE113,AF113,AK113,$AJ$2,0))</f>
        <v>#NAME?</v>
      </c>
      <c r="AM113" s="211" t="e">
        <f aca="false">IF($A114="","",MAX(0,O113-W113-AI113))</f>
        <v>#N/A</v>
      </c>
      <c r="AN113" s="211" t="e">
        <f aca="false">IF($A114="","",AL113-AM113)</f>
        <v>#N/A</v>
      </c>
      <c r="AO113" s="137" t="n">
        <f aca="false">IF(A114="","",A114-A113)</f>
        <v>31</v>
      </c>
      <c r="AP113" s="212" t="n">
        <f aca="false">IF(A114="","",CHOOSE(F$3,A114+24,A113))</f>
        <v>40179</v>
      </c>
      <c r="AQ113" s="209" t="n">
        <f aca="false">IF(A114="","",AP113-$E$1)</f>
        <v>-5747</v>
      </c>
      <c r="AR113" s="185" t="n">
        <f aca="false">'ANR OK vs ML7'!AR113</f>
        <v>0.1</v>
      </c>
      <c r="AS113" s="213" t="n">
        <f aca="false">IF(A114="","",1/(1+CHOOSE(F$3,(AR114+($I$3/10000))/2,(AR113+($I$3/10000))/2))^(2*AQ113/365.25))</f>
        <v>4.64304637286814</v>
      </c>
      <c r="AT113" s="137" t="n">
        <f aca="false">IF(A114="","",IF(AND(mthbeg&lt;=A113,mthend&gt;=A113),1,0))</f>
        <v>1</v>
      </c>
      <c r="AU113" s="137" t="n">
        <f aca="false">IF(A114="","",AO113*AT113)</f>
        <v>31</v>
      </c>
      <c r="AW113" s="195" t="e">
        <f aca="false">IF($A114="","",AL113*$E113)</f>
        <v>#NAME?</v>
      </c>
      <c r="AX113" s="195" t="e">
        <f aca="false">IF($A114="","",AM113*$E113)</f>
        <v>#N/A</v>
      </c>
      <c r="AY113" s="195" t="e">
        <f aca="false">IF($A114="","",AN113*$E113)</f>
        <v>#N/A</v>
      </c>
      <c r="BA113" s="195" t="n">
        <f aca="false">IF($A114="","",F113*Summary!$Q$9)</f>
        <v>0</v>
      </c>
      <c r="BC113" s="179" t="e">
        <f aca="false">IF(A114="","",AM113*F113)</f>
        <v>#N/A</v>
      </c>
    </row>
    <row r="114" customFormat="false" ht="12.75" hidden="false" customHeight="false" outlineLevel="0" collapsed="false">
      <c r="A114" s="196" t="n">
        <f aca="false">IF(A113&lt;mthend,EDATE(A113,1),"")</f>
        <v>40210</v>
      </c>
      <c r="B114" s="197" t="n">
        <f aca="false">IF(A114&lt;mthend,B113,"")</f>
        <v>36050</v>
      </c>
      <c r="C114" s="215"/>
      <c r="D114" s="197" t="n">
        <f aca="false">IF(A115&lt;&gt;"",B114+C114,"")</f>
        <v>36050</v>
      </c>
      <c r="E114" s="199" t="n">
        <f aca="false">IF(A115="","",IF(AND(AT114=1,$H$3=1),D114*AO114,IF($H$3=2,D114,"N/A")))</f>
        <v>1009400</v>
      </c>
      <c r="F114" s="199" t="n">
        <f aca="false">IF(A115="","",E114*AS114)</f>
        <v>4648036.25601059</v>
      </c>
      <c r="G114" s="200" t="e">
        <f aca="false">IF($A115="","",VLOOKUP($A114,Table,MATCH(G$4,Curves,0)))</f>
        <v>#N/A</v>
      </c>
      <c r="H114" s="201" t="e">
        <f aca="false">IF(A115="","",G114)</f>
        <v>#N/A</v>
      </c>
      <c r="I114" s="202"/>
      <c r="J114" s="200" t="e">
        <f aca="false">IF($A115="","",VLOOKUP($A114,Table,MATCH(J$4,Curves,0)))</f>
        <v>#N/A</v>
      </c>
      <c r="K114" s="201" t="e">
        <f aca="false">IF(A115="","",J114)</f>
        <v>#N/A</v>
      </c>
      <c r="L114" s="200" t="e">
        <f aca="false">IF($A115="","",VLOOKUP($A114,Table,MATCH(L$4,Curves,0)))</f>
        <v>#N/A</v>
      </c>
      <c r="M114" s="201" t="e">
        <f aca="false">IF(A115="","",L114)</f>
        <v>#N/A</v>
      </c>
      <c r="N114" s="203"/>
      <c r="O114" s="200" t="e">
        <f aca="false">IF(A115="","",L114+J114+G114)</f>
        <v>#N/A</v>
      </c>
      <c r="P114" s="200" t="e">
        <f aca="false">IF(A115="","",M114+K114+H114)</f>
        <v>#N/A</v>
      </c>
      <c r="Q114" s="204"/>
      <c r="R114" s="200" t="e">
        <f aca="false">IF($A115="","",VLOOKUP($A114,Table,MATCH(R$4,Curves,0)))</f>
        <v>#N/A</v>
      </c>
      <c r="S114" s="201" t="e">
        <f aca="false">IF(A115="","",R114)</f>
        <v>#N/A</v>
      </c>
      <c r="T114" s="200" t="e">
        <f aca="false">IF($A115="","",VLOOKUP($A114,Table,MATCH(T$4,Curves,0)))</f>
        <v>#N/A</v>
      </c>
      <c r="U114" s="201" t="e">
        <f aca="false">IF(A115="","",T114)</f>
        <v>#N/A</v>
      </c>
      <c r="V114" s="225" t="e">
        <f aca="false">IF($A115="","",IF(AND(MONTH(A114)&gt;3,MONTH(A114)&lt;11),(T114+R114+G114)*Summary!$T$9/(1-Summary!$T$9),(T114+R114+G114)*Summary!$U$9/(1-Summary!$U$9)))</f>
        <v>#N/A</v>
      </c>
      <c r="W114" s="200" t="e">
        <f aca="false">IF($A115="","",(T114+R114+G114+V114))</f>
        <v>#N/A</v>
      </c>
      <c r="X114" s="200" t="e">
        <f aca="false">IF($A115="","",(U114+S114+H114+V114))</f>
        <v>#N/A</v>
      </c>
      <c r="Y114" s="202"/>
      <c r="Z114" s="185" t="e">
        <f aca="false">IF($A115="","",VLOOKUP($A114,Table,MATCH(Z$4,Curves,0)))</f>
        <v>#N/A</v>
      </c>
      <c r="AA114" s="185" t="e">
        <f aca="false">IF($A115="","",VLOOKUP($A114,Table,MATCH(AA$4,Curves,0)))</f>
        <v>#N/A</v>
      </c>
      <c r="AB114" s="185" t="e">
        <f aca="false">SQRT((AA114^2*(A114-$D$3)+Z114^2*(DAY(EOMONTH(A114,0))/2))/AK114)</f>
        <v>#N/A</v>
      </c>
      <c r="AC114" s="185" t="e">
        <f aca="false">IF($A115="","",VLOOKUP($A114,Table,MATCH(AC$4,Curves,0)))</f>
        <v>#N/A</v>
      </c>
      <c r="AD114" s="185" t="e">
        <f aca="false">IF($A115="","",VLOOKUP($A114,Table,MATCH(AD$4,Curves,0)))</f>
        <v>#N/A</v>
      </c>
      <c r="AE114" s="185" t="e">
        <f aca="false">SQRT((AD114^2*(A114-$D$3)+AC114^2*(DAY(EOMONTH(A114,0))/2))/AK114)</f>
        <v>#N/A</v>
      </c>
      <c r="AF114" s="224" t="e">
        <f aca="false">((Summary!$N$9*(AA114*AD114)*(A114-$D$3))+(Summary!$M$9*Z114*AC114*(AJ114-EOMONTH(EDATE(A114,-1),0))))/(AK114*AB114*AE114)</f>
        <v>#N/A</v>
      </c>
      <c r="AG114" s="207" t="n">
        <f aca="false">IF($A115="","",Summary!$Q$9)</f>
        <v>0</v>
      </c>
      <c r="AH114" s="207" t="n">
        <f aca="false">IF($A115="","",IF(Summary!$R$9="Y",VLOOKUP($A114,Summary!$AD$6:$AF$9,3)+'Escalating commodity'!E127,'Escalating commodity'!E127))</f>
        <v>0.0707</v>
      </c>
      <c r="AI114" s="207" t="n">
        <f aca="false">IF($A115="","",AH114)</f>
        <v>0.0707</v>
      </c>
      <c r="AJ114" s="208" t="n">
        <f aca="false">A114+DAY(EOMONTH(A114,0))/2-1</f>
        <v>40223</v>
      </c>
      <c r="AK114" s="209" t="n">
        <f aca="false">IF($A115="","",$A114-$E$1)</f>
        <v>-5716</v>
      </c>
      <c r="AL114" s="182" t="e">
        <f aca="false">IF($A115="","",SPRDOPT(P114,X114,AI114,0,AB114,AE114,AF114,AK114,$AJ$2,0))</f>
        <v>#NAME?</v>
      </c>
      <c r="AM114" s="211" t="e">
        <f aca="false">IF($A115="","",MAX(0,O114-W114-AI114))</f>
        <v>#N/A</v>
      </c>
      <c r="AN114" s="211" t="e">
        <f aca="false">IF($A115="","",AL114-AM114)</f>
        <v>#N/A</v>
      </c>
      <c r="AO114" s="137" t="n">
        <f aca="false">IF(A115="","",A115-A114)</f>
        <v>28</v>
      </c>
      <c r="AP114" s="212" t="n">
        <f aca="false">IF(A115="","",CHOOSE(F$3,A115+24,A114))</f>
        <v>40210</v>
      </c>
      <c r="AQ114" s="209" t="n">
        <f aca="false">IF(A115="","",AP114-$E$1)</f>
        <v>-5716</v>
      </c>
      <c r="AR114" s="185" t="n">
        <f aca="false">'ANR OK vs ML7'!AR114</f>
        <v>0.1</v>
      </c>
      <c r="AS114" s="213" t="n">
        <f aca="false">IF(A115="","",1/(1+CHOOSE(F$3,(AR115+($I$3/10000))/2,(AR114+($I$3/10000))/2))^(2*AQ114/365.25))</f>
        <v>4.60475159105468</v>
      </c>
      <c r="AT114" s="137" t="n">
        <f aca="false">IF(A115="","",IF(AND(mthbeg&lt;=A114,mthend&gt;=A114),1,0))</f>
        <v>1</v>
      </c>
      <c r="AU114" s="137" t="n">
        <f aca="false">IF(A115="","",AO114*AT114)</f>
        <v>28</v>
      </c>
      <c r="AW114" s="195" t="e">
        <f aca="false">IF($A115="","",AL114*$E114)</f>
        <v>#NAME?</v>
      </c>
      <c r="AX114" s="195" t="e">
        <f aca="false">IF($A115="","",AM114*$E114)</f>
        <v>#N/A</v>
      </c>
      <c r="AY114" s="195" t="e">
        <f aca="false">IF($A115="","",AN114*$E114)</f>
        <v>#N/A</v>
      </c>
      <c r="BA114" s="195" t="n">
        <f aca="false">IF($A115="","",F114*Summary!$Q$9)</f>
        <v>0</v>
      </c>
      <c r="BC114" s="179" t="e">
        <f aca="false">IF(A115="","",AM114*F114)</f>
        <v>#N/A</v>
      </c>
    </row>
    <row r="115" customFormat="false" ht="12.75" hidden="false" customHeight="false" outlineLevel="0" collapsed="false">
      <c r="A115" s="196" t="n">
        <f aca="false">IF(A114&lt;mthend,EDATE(A114,1),"")</f>
        <v>40238</v>
      </c>
      <c r="B115" s="197" t="n">
        <f aca="false">IF(A115&lt;mthend,B114,"")</f>
        <v>36050</v>
      </c>
      <c r="C115" s="215"/>
      <c r="D115" s="197" t="n">
        <f aca="false">IF(A116&lt;&gt;"",B115+C115,"")</f>
        <v>36050</v>
      </c>
      <c r="E115" s="199" t="n">
        <f aca="false">IF(A116="","",IF(AND(AT115=1,$H$3=1),D115*AO115,IF($H$3=2,D115,"N/A")))</f>
        <v>1117550</v>
      </c>
      <c r="F115" s="199" t="n">
        <f aca="false">IF(A116="","",E115*AS115)</f>
        <v>5107688.85770147</v>
      </c>
      <c r="G115" s="200" t="e">
        <f aca="false">IF($A116="","",VLOOKUP($A115,Table,MATCH(G$4,Curves,0)))</f>
        <v>#N/A</v>
      </c>
      <c r="H115" s="201" t="e">
        <f aca="false">IF(A116="","",G115)</f>
        <v>#N/A</v>
      </c>
      <c r="I115" s="202"/>
      <c r="J115" s="200" t="e">
        <f aca="false">IF($A116="","",VLOOKUP($A115,Table,MATCH(J$4,Curves,0)))</f>
        <v>#N/A</v>
      </c>
      <c r="K115" s="201" t="e">
        <f aca="false">IF(A116="","",J115)</f>
        <v>#N/A</v>
      </c>
      <c r="L115" s="200" t="e">
        <f aca="false">IF($A116="","",VLOOKUP($A115,Table,MATCH(L$4,Curves,0)))</f>
        <v>#N/A</v>
      </c>
      <c r="M115" s="201" t="e">
        <f aca="false">IF(A116="","",L115)</f>
        <v>#N/A</v>
      </c>
      <c r="N115" s="203"/>
      <c r="O115" s="200" t="e">
        <f aca="false">IF(A116="","",L115+J115+G115)</f>
        <v>#N/A</v>
      </c>
      <c r="P115" s="200" t="e">
        <f aca="false">IF(A116="","",M115+K115+H115)</f>
        <v>#N/A</v>
      </c>
      <c r="Q115" s="204"/>
      <c r="R115" s="200" t="e">
        <f aca="false">IF($A116="","",VLOOKUP($A115,Table,MATCH(R$4,Curves,0)))</f>
        <v>#N/A</v>
      </c>
      <c r="S115" s="201" t="e">
        <f aca="false">IF(A116="","",R115)</f>
        <v>#N/A</v>
      </c>
      <c r="T115" s="200" t="e">
        <f aca="false">IF($A116="","",VLOOKUP($A115,Table,MATCH(T$4,Curves,0)))</f>
        <v>#N/A</v>
      </c>
      <c r="U115" s="201" t="e">
        <f aca="false">IF(A116="","",T115)</f>
        <v>#N/A</v>
      </c>
      <c r="V115" s="225" t="e">
        <f aca="false">IF($A116="","",IF(AND(MONTH(A115)&gt;3,MONTH(A115)&lt;11),(T115+R115+G115)*Summary!$T$9/(1-Summary!$T$9),(T115+R115+G115)*Summary!$U$9/(1-Summary!$U$9)))</f>
        <v>#N/A</v>
      </c>
      <c r="W115" s="200" t="e">
        <f aca="false">IF($A116="","",(T115+R115+G115+V115))</f>
        <v>#N/A</v>
      </c>
      <c r="X115" s="200" t="e">
        <f aca="false">IF($A116="","",(U115+S115+H115+V115))</f>
        <v>#N/A</v>
      </c>
      <c r="Y115" s="202"/>
      <c r="Z115" s="185" t="e">
        <f aca="false">IF($A116="","",VLOOKUP($A115,Table,MATCH(Z$4,Curves,0)))</f>
        <v>#N/A</v>
      </c>
      <c r="AA115" s="185" t="e">
        <f aca="false">IF($A116="","",VLOOKUP($A115,Table,MATCH(AA$4,Curves,0)))</f>
        <v>#N/A</v>
      </c>
      <c r="AB115" s="185" t="e">
        <f aca="false">SQRT((AA115^2*(A115-$D$3)+Z115^2*(DAY(EOMONTH(A115,0))/2))/AK115)</f>
        <v>#N/A</v>
      </c>
      <c r="AC115" s="185" t="e">
        <f aca="false">IF($A116="","",VLOOKUP($A115,Table,MATCH(AC$4,Curves,0)))</f>
        <v>#N/A</v>
      </c>
      <c r="AD115" s="185" t="e">
        <f aca="false">IF($A116="","",VLOOKUP($A115,Table,MATCH(AD$4,Curves,0)))</f>
        <v>#N/A</v>
      </c>
      <c r="AE115" s="185" t="e">
        <f aca="false">SQRT((AD115^2*(A115-$D$3)+AC115^2*(DAY(EOMONTH(A115,0))/2))/AK115)</f>
        <v>#N/A</v>
      </c>
      <c r="AF115" s="224" t="e">
        <f aca="false">((Summary!$N$9*(AA115*AD115)*(A115-$D$3))+(Summary!$M$9*Z115*AC115*(AJ115-EOMONTH(EDATE(A115,-1),0))))/(AK115*AB115*AE115)</f>
        <v>#N/A</v>
      </c>
      <c r="AG115" s="207" t="n">
        <f aca="false">IF($A116="","",Summary!$Q$9)</f>
        <v>0</v>
      </c>
      <c r="AH115" s="207" t="n">
        <f aca="false">IF($A116="","",IF(Summary!$R$9="Y",VLOOKUP($A115,Summary!$AD$6:$AF$9,3)+'Escalating commodity'!E128,'Escalating commodity'!E128))</f>
        <v>0.0707</v>
      </c>
      <c r="AI115" s="207" t="n">
        <f aca="false">IF($A116="","",AH115)</f>
        <v>0.0707</v>
      </c>
      <c r="AJ115" s="208" t="n">
        <f aca="false">A115+DAY(EOMONTH(A115,0))/2-1</f>
        <v>40252.5</v>
      </c>
      <c r="AK115" s="209" t="n">
        <f aca="false">IF($A116="","",$A115-$E$1)</f>
        <v>-5688</v>
      </c>
      <c r="AL115" s="182" t="e">
        <f aca="false">IF($A116="","",SPRDOPT(P115,X115,AI115,0,AB115,AE115,AF115,AK115,$AJ$2,0))</f>
        <v>#NAME?</v>
      </c>
      <c r="AM115" s="211" t="e">
        <f aca="false">IF($A116="","",MAX(0,O115-W115-AI115))</f>
        <v>#N/A</v>
      </c>
      <c r="AN115" s="211" t="e">
        <f aca="false">IF($A116="","",AL115-AM115)</f>
        <v>#N/A</v>
      </c>
      <c r="AO115" s="137" t="n">
        <f aca="false">IF(A116="","",A116-A115)</f>
        <v>31</v>
      </c>
      <c r="AP115" s="212" t="n">
        <f aca="false">IF(A116="","",CHOOSE(F$3,A116+24,A115))</f>
        <v>40238</v>
      </c>
      <c r="AQ115" s="209" t="n">
        <f aca="false">IF(A116="","",AP115-$E$1)</f>
        <v>-5688</v>
      </c>
      <c r="AR115" s="185" t="n">
        <f aca="false">'ANR OK vs ML7'!AR115</f>
        <v>0.1</v>
      </c>
      <c r="AS115" s="213" t="n">
        <f aca="false">IF(A116="","",1/(1+CHOOSE(F$3,(AR116+($I$3/10000))/2,(AR115+($I$3/10000))/2))^(2*AQ115/365.25))</f>
        <v>4.57043430513308</v>
      </c>
      <c r="AT115" s="137" t="n">
        <f aca="false">IF(A116="","",IF(AND(mthbeg&lt;=A115,mthend&gt;=A115),1,0))</f>
        <v>1</v>
      </c>
      <c r="AU115" s="137" t="n">
        <f aca="false">IF(A116="","",AO115*AT115)</f>
        <v>31</v>
      </c>
      <c r="AW115" s="195" t="e">
        <f aca="false">IF($A116="","",AL115*$E115)</f>
        <v>#NAME?</v>
      </c>
      <c r="AX115" s="195" t="e">
        <f aca="false">IF($A116="","",AM115*$E115)</f>
        <v>#N/A</v>
      </c>
      <c r="AY115" s="195" t="e">
        <f aca="false">IF($A116="","",AN115*$E115)</f>
        <v>#N/A</v>
      </c>
      <c r="BA115" s="195" t="n">
        <f aca="false">IF($A116="","",F115*Summary!$Q$9)</f>
        <v>0</v>
      </c>
      <c r="BC115" s="179" t="e">
        <f aca="false">IF(A116="","",AM115*F115)</f>
        <v>#N/A</v>
      </c>
    </row>
    <row r="116" customFormat="false" ht="12.75" hidden="false" customHeight="false" outlineLevel="0" collapsed="false">
      <c r="A116" s="196" t="n">
        <f aca="false">IF(A115&lt;mthend,EDATE(A115,1),"")</f>
        <v>40269</v>
      </c>
      <c r="B116" s="197" t="n">
        <f aca="false">IF(A116&lt;mthend,B115,"")</f>
        <v>36050</v>
      </c>
      <c r="C116" s="215"/>
      <c r="D116" s="197" t="n">
        <f aca="false">IF(A117&lt;&gt;"",B116+C116,"")</f>
        <v>36050</v>
      </c>
      <c r="E116" s="199" t="n">
        <f aca="false">IF(A117="","",IF(AND(AT116=1,$H$3=1),D116*AO116,IF($H$3=2,D116,"N/A")))</f>
        <v>1081500</v>
      </c>
      <c r="F116" s="199" t="n">
        <f aca="false">IF(A117="","",E116*AS116)</f>
        <v>4902156.59150088</v>
      </c>
      <c r="G116" s="200" t="e">
        <f aca="false">IF($A117="","",VLOOKUP($A116,Table,MATCH(G$4,Curves,0)))</f>
        <v>#N/A</v>
      </c>
      <c r="H116" s="201" t="e">
        <f aca="false">IF(A117="","",G116)</f>
        <v>#N/A</v>
      </c>
      <c r="I116" s="202"/>
      <c r="J116" s="200" t="e">
        <f aca="false">IF($A117="","",VLOOKUP($A116,Table,MATCH(J$4,Curves,0)))</f>
        <v>#N/A</v>
      </c>
      <c r="K116" s="201" t="e">
        <f aca="false">IF(A117="","",J116)</f>
        <v>#N/A</v>
      </c>
      <c r="L116" s="200" t="e">
        <f aca="false">IF($A117="","",VLOOKUP($A116,Table,MATCH(L$4,Curves,0)))</f>
        <v>#N/A</v>
      </c>
      <c r="M116" s="201" t="e">
        <f aca="false">IF(A117="","",L116)</f>
        <v>#N/A</v>
      </c>
      <c r="N116" s="203"/>
      <c r="O116" s="200" t="e">
        <f aca="false">IF(A117="","",L116+J116+G116)</f>
        <v>#N/A</v>
      </c>
      <c r="P116" s="200" t="e">
        <f aca="false">IF(A117="","",M116+K116+H116)</f>
        <v>#N/A</v>
      </c>
      <c r="Q116" s="204"/>
      <c r="R116" s="200" t="e">
        <f aca="false">IF($A117="","",VLOOKUP($A116,Table,MATCH(R$4,Curves,0)))</f>
        <v>#N/A</v>
      </c>
      <c r="S116" s="201" t="e">
        <f aca="false">IF(A117="","",R116)</f>
        <v>#N/A</v>
      </c>
      <c r="T116" s="200" t="e">
        <f aca="false">IF($A117="","",VLOOKUP($A116,Table,MATCH(T$4,Curves,0)))</f>
        <v>#N/A</v>
      </c>
      <c r="U116" s="201" t="e">
        <f aca="false">IF(A117="","",T116)</f>
        <v>#N/A</v>
      </c>
      <c r="V116" s="225" t="e">
        <f aca="false">IF($A117="","",IF(AND(MONTH(A116)&gt;3,MONTH(A116)&lt;11),(T116+R116+G116)*Summary!$T$9/(1-Summary!$T$9),(T116+R116+G116)*Summary!$U$9/(1-Summary!$U$9)))</f>
        <v>#N/A</v>
      </c>
      <c r="W116" s="200" t="e">
        <f aca="false">IF($A117="","",(T116+R116+G116+V116))</f>
        <v>#N/A</v>
      </c>
      <c r="X116" s="200" t="e">
        <f aca="false">IF($A117="","",(U116+S116+H116+V116))</f>
        <v>#N/A</v>
      </c>
      <c r="Y116" s="202"/>
      <c r="Z116" s="185" t="e">
        <f aca="false">IF($A117="","",VLOOKUP($A116,Table,MATCH(Z$4,Curves,0)))</f>
        <v>#N/A</v>
      </c>
      <c r="AA116" s="185" t="e">
        <f aca="false">IF($A117="","",VLOOKUP($A116,Table,MATCH(AA$4,Curves,0)))</f>
        <v>#N/A</v>
      </c>
      <c r="AB116" s="185" t="e">
        <f aca="false">SQRT((AA116^2*(A116-$D$3)+Z116^2*(DAY(EOMONTH(A116,0))/2))/AK116)</f>
        <v>#N/A</v>
      </c>
      <c r="AC116" s="185" t="e">
        <f aca="false">IF($A117="","",VLOOKUP($A116,Table,MATCH(AC$4,Curves,0)))</f>
        <v>#N/A</v>
      </c>
      <c r="AD116" s="185" t="e">
        <f aca="false">IF($A117="","",VLOOKUP($A116,Table,MATCH(AD$4,Curves,0)))</f>
        <v>#N/A</v>
      </c>
      <c r="AE116" s="185" t="e">
        <f aca="false">SQRT((AD116^2*(A116-$D$3)+AC116^2*(DAY(EOMONTH(A116,0))/2))/AK116)</f>
        <v>#N/A</v>
      </c>
      <c r="AF116" s="224" t="e">
        <f aca="false">((Summary!$N$9*(AA116*AD116)*(A116-$D$3))+(Summary!$M$9*Z116*AC116*(AJ116-EOMONTH(EDATE(A116,-1),0))))/(AK116*AB116*AE116)</f>
        <v>#N/A</v>
      </c>
      <c r="AG116" s="207" t="n">
        <f aca="false">IF($A117="","",Summary!$Q$9)</f>
        <v>0</v>
      </c>
      <c r="AH116" s="207" t="n">
        <f aca="false">IF($A117="","",IF(Summary!$R$9="Y",VLOOKUP($A116,Summary!$AD$6:$AF$9,3)+'Escalating commodity'!E129,'Escalating commodity'!E129))</f>
        <v>0.0707</v>
      </c>
      <c r="AI116" s="207" t="n">
        <f aca="false">IF($A117="","",AH116)</f>
        <v>0.0707</v>
      </c>
      <c r="AJ116" s="208" t="n">
        <f aca="false">A116+DAY(EOMONTH(A116,0))/2-1</f>
        <v>40283</v>
      </c>
      <c r="AK116" s="209" t="n">
        <f aca="false">IF($A117="","",$A116-$E$1)</f>
        <v>-5657</v>
      </c>
      <c r="AL116" s="182" t="e">
        <f aca="false">IF($A117="","",SPRDOPT(P116,X116,AI116,0,AB116,AE116,AF116,AK116,$AJ$2,0))</f>
        <v>#NAME?</v>
      </c>
      <c r="AM116" s="211" t="e">
        <f aca="false">IF($A117="","",MAX(0,O116-W116-AI116))</f>
        <v>#N/A</v>
      </c>
      <c r="AN116" s="211" t="e">
        <f aca="false">IF($A117="","",AL116-AM116)</f>
        <v>#N/A</v>
      </c>
      <c r="AO116" s="137" t="n">
        <f aca="false">IF(A117="","",A117-A116)</f>
        <v>30</v>
      </c>
      <c r="AP116" s="212" t="n">
        <f aca="false">IF(A117="","",CHOOSE(F$3,A117+24,A116))</f>
        <v>40269</v>
      </c>
      <c r="AQ116" s="209" t="n">
        <f aca="false">IF(A117="","",AP116-$E$1)</f>
        <v>-5657</v>
      </c>
      <c r="AR116" s="185" t="n">
        <f aca="false">'ANR OK vs ML7'!AR116</f>
        <v>0.1</v>
      </c>
      <c r="AS116" s="213" t="n">
        <f aca="false">IF(A117="","",1/(1+CHOOSE(F$3,(AR117+($I$3/10000))/2,(AR116+($I$3/10000))/2))^(2*AQ116/365.25))</f>
        <v>4.53273841100405</v>
      </c>
      <c r="AT116" s="137" t="n">
        <f aca="false">IF(A117="","",IF(AND(mthbeg&lt;=A116,mthend&gt;=A116),1,0))</f>
        <v>1</v>
      </c>
      <c r="AU116" s="137" t="n">
        <f aca="false">IF(A117="","",AO116*AT116)</f>
        <v>30</v>
      </c>
      <c r="AW116" s="195" t="e">
        <f aca="false">IF($A117="","",AL116*$E116)</f>
        <v>#NAME?</v>
      </c>
      <c r="AX116" s="195" t="e">
        <f aca="false">IF($A117="","",AM116*$E116)</f>
        <v>#N/A</v>
      </c>
      <c r="AY116" s="195" t="e">
        <f aca="false">IF($A117="","",AN116*$E116)</f>
        <v>#N/A</v>
      </c>
      <c r="BA116" s="195" t="n">
        <f aca="false">IF($A117="","",F116*Summary!$Q$9)</f>
        <v>0</v>
      </c>
      <c r="BC116" s="179" t="e">
        <f aca="false">IF(A117="","",AM116*F116)</f>
        <v>#N/A</v>
      </c>
    </row>
    <row r="117" customFormat="false" ht="12.75" hidden="false" customHeight="false" outlineLevel="0" collapsed="false">
      <c r="A117" s="196" t="n">
        <f aca="false">IF(A116&lt;mthend,EDATE(A116,1),"")</f>
        <v>40299</v>
      </c>
      <c r="B117" s="197" t="n">
        <f aca="false">IF(A117&lt;mthend,B116,"")</f>
        <v>36050</v>
      </c>
      <c r="C117" s="215"/>
      <c r="D117" s="197" t="n">
        <f aca="false">IF(A118&lt;&gt;"",B117+C117,"")</f>
        <v>36050</v>
      </c>
      <c r="E117" s="199" t="n">
        <f aca="false">IF(A118="","",IF(AND(AT117=1,$H$3=1),D117*AO117,IF($H$3=2,D117,"N/A")))</f>
        <v>1117550</v>
      </c>
      <c r="F117" s="199" t="n">
        <f aca="false">IF(A118="","",E117*AS117)</f>
        <v>5025124.55381491</v>
      </c>
      <c r="G117" s="200" t="e">
        <f aca="false">IF($A118="","",VLOOKUP($A117,Table,MATCH(G$4,Curves,0)))</f>
        <v>#N/A</v>
      </c>
      <c r="H117" s="201" t="e">
        <f aca="false">IF(A118="","",G117)</f>
        <v>#N/A</v>
      </c>
      <c r="I117" s="202"/>
      <c r="J117" s="200" t="e">
        <f aca="false">IF($A118="","",VLOOKUP($A117,Table,MATCH(J$4,Curves,0)))</f>
        <v>#N/A</v>
      </c>
      <c r="K117" s="201" t="e">
        <f aca="false">IF(A118="","",J117)</f>
        <v>#N/A</v>
      </c>
      <c r="L117" s="200" t="e">
        <f aca="false">IF($A118="","",VLOOKUP($A117,Table,MATCH(L$4,Curves,0)))</f>
        <v>#N/A</v>
      </c>
      <c r="M117" s="201" t="e">
        <f aca="false">IF(A118="","",L117)</f>
        <v>#N/A</v>
      </c>
      <c r="N117" s="203"/>
      <c r="O117" s="200" t="e">
        <f aca="false">IF(A118="","",L117+J117+G117)</f>
        <v>#N/A</v>
      </c>
      <c r="P117" s="200" t="e">
        <f aca="false">IF(A118="","",M117+K117+H117)</f>
        <v>#N/A</v>
      </c>
      <c r="Q117" s="204"/>
      <c r="R117" s="200" t="e">
        <f aca="false">IF($A118="","",VLOOKUP($A117,Table,MATCH(R$4,Curves,0)))</f>
        <v>#N/A</v>
      </c>
      <c r="S117" s="201" t="e">
        <f aca="false">IF(A118="","",R117)</f>
        <v>#N/A</v>
      </c>
      <c r="T117" s="200" t="e">
        <f aca="false">IF($A118="","",VLOOKUP($A117,Table,MATCH(T$4,Curves,0)))</f>
        <v>#N/A</v>
      </c>
      <c r="U117" s="201" t="e">
        <f aca="false">IF(A118="","",T117)</f>
        <v>#N/A</v>
      </c>
      <c r="V117" s="225" t="e">
        <f aca="false">IF($A118="","",IF(AND(MONTH(A117)&gt;3,MONTH(A117)&lt;11),(T117+R117+G117)*Summary!$T$9/(1-Summary!$T$9),(T117+R117+G117)*Summary!$U$9/(1-Summary!$U$9)))</f>
        <v>#N/A</v>
      </c>
      <c r="W117" s="200" t="e">
        <f aca="false">IF($A118="","",(T117+R117+G117+V117))</f>
        <v>#N/A</v>
      </c>
      <c r="X117" s="200" t="e">
        <f aca="false">IF($A118="","",(U117+S117+H117+V117))</f>
        <v>#N/A</v>
      </c>
      <c r="Y117" s="202"/>
      <c r="Z117" s="185" t="e">
        <f aca="false">IF($A118="","",VLOOKUP($A117,Table,MATCH(Z$4,Curves,0)))</f>
        <v>#N/A</v>
      </c>
      <c r="AA117" s="185" t="e">
        <f aca="false">IF($A118="","",VLOOKUP($A117,Table,MATCH(AA$4,Curves,0)))</f>
        <v>#N/A</v>
      </c>
      <c r="AB117" s="185" t="e">
        <f aca="false">SQRT((AA117^2*(A117-$D$3)+Z117^2*(DAY(EOMONTH(A117,0))/2))/AK117)</f>
        <v>#N/A</v>
      </c>
      <c r="AC117" s="185" t="e">
        <f aca="false">IF($A118="","",VLOOKUP($A117,Table,MATCH(AC$4,Curves,0)))</f>
        <v>#N/A</v>
      </c>
      <c r="AD117" s="185" t="e">
        <f aca="false">IF($A118="","",VLOOKUP($A117,Table,MATCH(AD$4,Curves,0)))</f>
        <v>#N/A</v>
      </c>
      <c r="AE117" s="185" t="e">
        <f aca="false">SQRT((AD117^2*(A117-$D$3)+AC117^2*(DAY(EOMONTH(A117,0))/2))/AK117)</f>
        <v>#N/A</v>
      </c>
      <c r="AF117" s="224" t="e">
        <f aca="false">((Summary!$N$9*(AA117*AD117)*(A117-$D$3))+(Summary!$M$9*Z117*AC117*(AJ117-EOMONTH(EDATE(A117,-1),0))))/(AK117*AB117*AE117)</f>
        <v>#N/A</v>
      </c>
      <c r="AG117" s="207" t="n">
        <f aca="false">IF($A118="","",Summary!$Q$9)</f>
        <v>0</v>
      </c>
      <c r="AH117" s="207" t="n">
        <f aca="false">IF($A118="","",IF(Summary!$R$9="Y",VLOOKUP($A117,Summary!$AD$6:$AF$9,3)+'Escalating commodity'!E130,'Escalating commodity'!E130))</f>
        <v>0.0707</v>
      </c>
      <c r="AI117" s="207" t="n">
        <f aca="false">IF($A118="","",AH117)</f>
        <v>0.0707</v>
      </c>
      <c r="AJ117" s="208" t="n">
        <f aca="false">A117+DAY(EOMONTH(A117,0))/2-1</f>
        <v>40313.5</v>
      </c>
      <c r="AK117" s="209" t="n">
        <f aca="false">IF($A118="","",$A117-$E$1)</f>
        <v>-5627</v>
      </c>
      <c r="AL117" s="182" t="e">
        <f aca="false">IF($A118="","",SPRDOPT(P117,X117,AI117,0,AB117,AE117,AF117,AK117,$AJ$2,0))</f>
        <v>#NAME?</v>
      </c>
      <c r="AM117" s="211" t="e">
        <f aca="false">IF($A118="","",MAX(0,O117-W117-AI117))</f>
        <v>#N/A</v>
      </c>
      <c r="AN117" s="211" t="e">
        <f aca="false">IF($A118="","",AL117-AM117)</f>
        <v>#N/A</v>
      </c>
      <c r="AO117" s="137" t="n">
        <f aca="false">IF(A118="","",A118-A117)</f>
        <v>31</v>
      </c>
      <c r="AP117" s="212" t="n">
        <f aca="false">IF(A118="","",CHOOSE(F$3,A118+24,A117))</f>
        <v>40299</v>
      </c>
      <c r="AQ117" s="209" t="n">
        <f aca="false">IF(A118="","",AP117-$E$1)</f>
        <v>-5627</v>
      </c>
      <c r="AR117" s="185" t="n">
        <f aca="false">'ANR OK vs ML7'!AR117</f>
        <v>0.1</v>
      </c>
      <c r="AS117" s="213" t="n">
        <f aca="false">IF(A118="","",1/(1+CHOOSE(F$3,(AR118+($I$3/10000))/2,(AR117+($I$3/10000))/2))^(2*AQ117/365.25))</f>
        <v>4.49655456473081</v>
      </c>
      <c r="AT117" s="137" t="n">
        <f aca="false">IF(A118="","",IF(AND(mthbeg&lt;=A117,mthend&gt;=A117),1,0))</f>
        <v>1</v>
      </c>
      <c r="AU117" s="137" t="n">
        <f aca="false">IF(A118="","",AO117*AT117)</f>
        <v>31</v>
      </c>
      <c r="AW117" s="195" t="e">
        <f aca="false">IF($A118="","",AL117*$E117)</f>
        <v>#NAME?</v>
      </c>
      <c r="AX117" s="195" t="e">
        <f aca="false">IF($A118="","",AM117*$E117)</f>
        <v>#N/A</v>
      </c>
      <c r="AY117" s="195" t="e">
        <f aca="false">IF($A118="","",AN117*$E117)</f>
        <v>#N/A</v>
      </c>
      <c r="BA117" s="195" t="n">
        <f aca="false">IF($A118="","",F117*Summary!$Q$9)</f>
        <v>0</v>
      </c>
      <c r="BC117" s="179" t="e">
        <f aca="false">IF(A118="","",AM117*F117)</f>
        <v>#N/A</v>
      </c>
    </row>
    <row r="118" customFormat="false" ht="12.75" hidden="false" customHeight="false" outlineLevel="0" collapsed="false">
      <c r="A118" s="196" t="n">
        <f aca="false">IF(A117&lt;mthend,EDATE(A117,1),"")</f>
        <v>40330</v>
      </c>
      <c r="B118" s="197" t="n">
        <f aca="false">IF(A118&lt;mthend,B117,"")</f>
        <v>36050</v>
      </c>
      <c r="C118" s="215"/>
      <c r="D118" s="197" t="n">
        <f aca="false">IF(A119&lt;&gt;"",B118+C118,"")</f>
        <v>36050</v>
      </c>
      <c r="E118" s="199" t="n">
        <f aca="false">IF(A119="","",IF(AND(AT118=1,$H$3=1),D118*AO118,IF($H$3=2,D118,"N/A")))</f>
        <v>1081500</v>
      </c>
      <c r="F118" s="199" t="n">
        <f aca="false">IF(A119="","",E118*AS118)</f>
        <v>4822914.6568811</v>
      </c>
      <c r="G118" s="200" t="e">
        <f aca="false">IF($A119="","",VLOOKUP($A118,Table,MATCH(G$4,Curves,0)))</f>
        <v>#N/A</v>
      </c>
      <c r="H118" s="201" t="e">
        <f aca="false">IF(A119="","",G118)</f>
        <v>#N/A</v>
      </c>
      <c r="I118" s="202"/>
      <c r="J118" s="200" t="e">
        <f aca="false">IF($A119="","",VLOOKUP($A118,Table,MATCH(J$4,Curves,0)))</f>
        <v>#N/A</v>
      </c>
      <c r="K118" s="201" t="e">
        <f aca="false">IF(A119="","",J118)</f>
        <v>#N/A</v>
      </c>
      <c r="L118" s="200" t="e">
        <f aca="false">IF($A119="","",VLOOKUP($A118,Table,MATCH(L$4,Curves,0)))</f>
        <v>#N/A</v>
      </c>
      <c r="M118" s="201" t="e">
        <f aca="false">IF(A119="","",L118)</f>
        <v>#N/A</v>
      </c>
      <c r="N118" s="203"/>
      <c r="O118" s="200" t="e">
        <f aca="false">IF(A119="","",L118+J118+G118)</f>
        <v>#N/A</v>
      </c>
      <c r="P118" s="200" t="e">
        <f aca="false">IF(A119="","",M118+K118+H118)</f>
        <v>#N/A</v>
      </c>
      <c r="Q118" s="204"/>
      <c r="R118" s="200" t="e">
        <f aca="false">IF($A119="","",VLOOKUP($A118,Table,MATCH(R$4,Curves,0)))</f>
        <v>#N/A</v>
      </c>
      <c r="S118" s="201" t="e">
        <f aca="false">IF(A119="","",R118)</f>
        <v>#N/A</v>
      </c>
      <c r="T118" s="200" t="e">
        <f aca="false">IF($A119="","",VLOOKUP($A118,Table,MATCH(T$4,Curves,0)))</f>
        <v>#N/A</v>
      </c>
      <c r="U118" s="201" t="e">
        <f aca="false">IF(A119="","",T118)</f>
        <v>#N/A</v>
      </c>
      <c r="V118" s="225" t="e">
        <f aca="false">IF($A119="","",IF(AND(MONTH(A118)&gt;3,MONTH(A118)&lt;11),(T118+R118+G118)*Summary!$T$9/(1-Summary!$T$9),(T118+R118+G118)*Summary!$U$9/(1-Summary!$U$9)))</f>
        <v>#N/A</v>
      </c>
      <c r="W118" s="200" t="e">
        <f aca="false">IF($A119="","",(T118+R118+G118+V118))</f>
        <v>#N/A</v>
      </c>
      <c r="X118" s="200" t="e">
        <f aca="false">IF($A119="","",(U118+S118+H118+V118))</f>
        <v>#N/A</v>
      </c>
      <c r="Y118" s="202"/>
      <c r="Z118" s="185" t="e">
        <f aca="false">IF($A119="","",VLOOKUP($A118,Table,MATCH(Z$4,Curves,0)))</f>
        <v>#N/A</v>
      </c>
      <c r="AA118" s="185" t="e">
        <f aca="false">IF($A119="","",VLOOKUP($A118,Table,MATCH(AA$4,Curves,0)))</f>
        <v>#N/A</v>
      </c>
      <c r="AB118" s="185" t="e">
        <f aca="false">SQRT((AA118^2*(A118-$D$3)+Z118^2*(DAY(EOMONTH(A118,0))/2))/AK118)</f>
        <v>#N/A</v>
      </c>
      <c r="AC118" s="185" t="e">
        <f aca="false">IF($A119="","",VLOOKUP($A118,Table,MATCH(AC$4,Curves,0)))</f>
        <v>#N/A</v>
      </c>
      <c r="AD118" s="185" t="e">
        <f aca="false">IF($A119="","",VLOOKUP($A118,Table,MATCH(AD$4,Curves,0)))</f>
        <v>#N/A</v>
      </c>
      <c r="AE118" s="185" t="e">
        <f aca="false">SQRT((AD118^2*(A118-$D$3)+AC118^2*(DAY(EOMONTH(A118,0))/2))/AK118)</f>
        <v>#N/A</v>
      </c>
      <c r="AF118" s="224" t="e">
        <f aca="false">((Summary!$N$9*(AA118*AD118)*(A118-$D$3))+(Summary!$M$9*Z118*AC118*(AJ118-EOMONTH(EDATE(A118,-1),0))))/(AK118*AB118*AE118)</f>
        <v>#N/A</v>
      </c>
      <c r="AG118" s="207" t="n">
        <f aca="false">IF($A119="","",Summary!$Q$9)</f>
        <v>0</v>
      </c>
      <c r="AH118" s="207" t="n">
        <f aca="false">IF($A119="","",IF(Summary!$R$9="Y",VLOOKUP($A118,Summary!$AD$6:$AF$9,3)+'Escalating commodity'!E131,'Escalating commodity'!E131))</f>
        <v>0.0707</v>
      </c>
      <c r="AI118" s="207" t="n">
        <f aca="false">IF($A119="","",AH118)</f>
        <v>0.0707</v>
      </c>
      <c r="AJ118" s="208" t="n">
        <f aca="false">A118+DAY(EOMONTH(A118,0))/2-1</f>
        <v>40344</v>
      </c>
      <c r="AK118" s="209" t="n">
        <f aca="false">IF($A119="","",$A118-$E$1)</f>
        <v>-5596</v>
      </c>
      <c r="AL118" s="182" t="e">
        <f aca="false">IF($A119="","",SPRDOPT(P118,X118,AI118,0,AB118,AE118,AF118,AK118,$AJ$2,0))</f>
        <v>#NAME?</v>
      </c>
      <c r="AM118" s="211" t="e">
        <f aca="false">IF($A119="","",MAX(0,O118-W118-AI118))</f>
        <v>#N/A</v>
      </c>
      <c r="AN118" s="211" t="e">
        <f aca="false">IF($A119="","",AL118-AM118)</f>
        <v>#N/A</v>
      </c>
      <c r="AO118" s="137" t="n">
        <f aca="false">IF(A119="","",A119-A118)</f>
        <v>30</v>
      </c>
      <c r="AP118" s="212" t="n">
        <f aca="false">IF(A119="","",CHOOSE(F$3,A119+24,A118))</f>
        <v>40330</v>
      </c>
      <c r="AQ118" s="209" t="n">
        <f aca="false">IF(A119="","",AP118-$E$1)</f>
        <v>-5596</v>
      </c>
      <c r="AR118" s="185" t="n">
        <f aca="false">'ANR OK vs ML7'!AR118</f>
        <v>0.1</v>
      </c>
      <c r="AS118" s="213" t="n">
        <f aca="false">IF(A119="","",1/(1+CHOOSE(F$3,(AR119+($I$3/10000))/2,(AR118+($I$3/10000))/2))^(2*AQ118/365.25))</f>
        <v>4.45946801375968</v>
      </c>
      <c r="AT118" s="137" t="n">
        <f aca="false">IF(A119="","",IF(AND(mthbeg&lt;=A118,mthend&gt;=A118),1,0))</f>
        <v>1</v>
      </c>
      <c r="AU118" s="137" t="n">
        <f aca="false">IF(A119="","",AO118*AT118)</f>
        <v>30</v>
      </c>
      <c r="AW118" s="195" t="e">
        <f aca="false">IF($A119="","",AL118*$E118)</f>
        <v>#NAME?</v>
      </c>
      <c r="AX118" s="195" t="e">
        <f aca="false">IF($A119="","",AM118*$E118)</f>
        <v>#N/A</v>
      </c>
      <c r="AY118" s="195" t="e">
        <f aca="false">IF($A119="","",AN118*$E118)</f>
        <v>#N/A</v>
      </c>
      <c r="BA118" s="195" t="n">
        <f aca="false">IF($A119="","",F118*Summary!$Q$9)</f>
        <v>0</v>
      </c>
      <c r="BC118" s="179" t="e">
        <f aca="false">IF(A119="","",AM118*F118)</f>
        <v>#N/A</v>
      </c>
    </row>
    <row r="119" customFormat="false" ht="12.75" hidden="false" customHeight="false" outlineLevel="0" collapsed="false">
      <c r="A119" s="196" t="n">
        <f aca="false">IF(A118&lt;mthend,EDATE(A118,1),"")</f>
        <v>40360</v>
      </c>
      <c r="B119" s="197" t="n">
        <f aca="false">IF(A119&lt;mthend,B118,"")</f>
        <v>36050</v>
      </c>
      <c r="C119" s="215"/>
      <c r="D119" s="197" t="n">
        <f aca="false">IF(A120&lt;&gt;"",B119+C119,"")</f>
        <v>36050</v>
      </c>
      <c r="E119" s="199" t="n">
        <f aca="false">IF(A120="","",IF(AND(AT119=1,$H$3=1),D119*AO119,IF($H$3=2,D119,"N/A")))</f>
        <v>1117550</v>
      </c>
      <c r="F119" s="199" t="n">
        <f aca="false">IF(A120="","",E119*AS119)</f>
        <v>4943894.87787187</v>
      </c>
      <c r="G119" s="200" t="e">
        <f aca="false">IF($A120="","",VLOOKUP($A119,Table,MATCH(G$4,Curves,0)))</f>
        <v>#N/A</v>
      </c>
      <c r="H119" s="201" t="e">
        <f aca="false">IF(A120="","",G119)</f>
        <v>#N/A</v>
      </c>
      <c r="I119" s="202"/>
      <c r="J119" s="200" t="e">
        <f aca="false">IF($A120="","",VLOOKUP($A119,Table,MATCH(J$4,Curves,0)))</f>
        <v>#N/A</v>
      </c>
      <c r="K119" s="201" t="e">
        <f aca="false">IF(A120="","",J119)</f>
        <v>#N/A</v>
      </c>
      <c r="L119" s="200" t="e">
        <f aca="false">IF($A120="","",VLOOKUP($A119,Table,MATCH(L$4,Curves,0)))</f>
        <v>#N/A</v>
      </c>
      <c r="M119" s="201" t="e">
        <f aca="false">IF(A120="","",L119)</f>
        <v>#N/A</v>
      </c>
      <c r="N119" s="203"/>
      <c r="O119" s="200" t="e">
        <f aca="false">IF(A120="","",L119+J119+G119)</f>
        <v>#N/A</v>
      </c>
      <c r="P119" s="200" t="e">
        <f aca="false">IF(A120="","",M119+K119+H119)</f>
        <v>#N/A</v>
      </c>
      <c r="Q119" s="204"/>
      <c r="R119" s="200" t="e">
        <f aca="false">IF($A120="","",VLOOKUP($A119,Table,MATCH(R$4,Curves,0)))</f>
        <v>#N/A</v>
      </c>
      <c r="S119" s="201" t="e">
        <f aca="false">IF(A120="","",R119)</f>
        <v>#N/A</v>
      </c>
      <c r="T119" s="200" t="e">
        <f aca="false">IF($A120="","",VLOOKUP($A119,Table,MATCH(T$4,Curves,0)))</f>
        <v>#N/A</v>
      </c>
      <c r="U119" s="201" t="e">
        <f aca="false">IF(A120="","",T119)</f>
        <v>#N/A</v>
      </c>
      <c r="V119" s="225" t="e">
        <f aca="false">IF($A120="","",IF(AND(MONTH(A119)&gt;3,MONTH(A119)&lt;11),(T119+R119+G119)*Summary!$T$9/(1-Summary!$T$9),(T119+R119+G119)*Summary!$U$9/(1-Summary!$U$9)))</f>
        <v>#N/A</v>
      </c>
      <c r="W119" s="200" t="e">
        <f aca="false">IF($A120="","",(T119+R119+G119+V119))</f>
        <v>#N/A</v>
      </c>
      <c r="X119" s="200" t="e">
        <f aca="false">IF($A120="","",(U119+S119+H119+V119))</f>
        <v>#N/A</v>
      </c>
      <c r="Y119" s="202"/>
      <c r="Z119" s="185" t="e">
        <f aca="false">IF($A120="","",VLOOKUP($A119,Table,MATCH(Z$4,Curves,0)))</f>
        <v>#N/A</v>
      </c>
      <c r="AA119" s="185" t="e">
        <f aca="false">IF($A120="","",VLOOKUP($A119,Table,MATCH(AA$4,Curves,0)))</f>
        <v>#N/A</v>
      </c>
      <c r="AB119" s="185" t="e">
        <f aca="false">SQRT((AA119^2*(A119-$D$3)+Z119^2*(DAY(EOMONTH(A119,0))/2))/AK119)</f>
        <v>#N/A</v>
      </c>
      <c r="AC119" s="185" t="e">
        <f aca="false">IF($A120="","",VLOOKUP($A119,Table,MATCH(AC$4,Curves,0)))</f>
        <v>#N/A</v>
      </c>
      <c r="AD119" s="185" t="e">
        <f aca="false">IF($A120="","",VLOOKUP($A119,Table,MATCH(AD$4,Curves,0)))</f>
        <v>#N/A</v>
      </c>
      <c r="AE119" s="185" t="e">
        <f aca="false">SQRT((AD119^2*(A119-$D$3)+AC119^2*(DAY(EOMONTH(A119,0))/2))/AK119)</f>
        <v>#N/A</v>
      </c>
      <c r="AF119" s="224" t="e">
        <f aca="false">((Summary!$N$9*(AA119*AD119)*(A119-$D$3))+(Summary!$M$9*Z119*AC119*(AJ119-EOMONTH(EDATE(A119,-1),0))))/(AK119*AB119*AE119)</f>
        <v>#N/A</v>
      </c>
      <c r="AG119" s="207" t="n">
        <f aca="false">IF($A120="","",Summary!$Q$9)</f>
        <v>0</v>
      </c>
      <c r="AH119" s="207" t="n">
        <f aca="false">IF($A120="","",IF(Summary!$R$9="Y",VLOOKUP($A119,Summary!$AD$6:$AF$9,3)+'Escalating commodity'!E132,'Escalating commodity'!E132))</f>
        <v>0.0707</v>
      </c>
      <c r="AI119" s="207" t="n">
        <f aca="false">IF($A120="","",AH119)</f>
        <v>0.0707</v>
      </c>
      <c r="AJ119" s="208" t="n">
        <f aca="false">A119+DAY(EOMONTH(A119,0))/2-1</f>
        <v>40374.5</v>
      </c>
      <c r="AK119" s="209" t="n">
        <f aca="false">IF($A120="","",$A119-$E$1)</f>
        <v>-5566</v>
      </c>
      <c r="AL119" s="182" t="e">
        <f aca="false">IF($A120="","",SPRDOPT(P119,X119,AI119,0,AB119,AE119,AF119,AK119,$AJ$2,0))</f>
        <v>#NAME?</v>
      </c>
      <c r="AM119" s="211" t="e">
        <f aca="false">IF($A120="","",MAX(0,O119-W119-AI119))</f>
        <v>#N/A</v>
      </c>
      <c r="AN119" s="211" t="e">
        <f aca="false">IF($A120="","",AL119-AM119)</f>
        <v>#N/A</v>
      </c>
      <c r="AO119" s="137" t="n">
        <f aca="false">IF(A120="","",A120-A119)</f>
        <v>31</v>
      </c>
      <c r="AP119" s="212" t="n">
        <f aca="false">IF(A120="","",CHOOSE(F$3,A120+24,A119))</f>
        <v>40360</v>
      </c>
      <c r="AQ119" s="209" t="n">
        <f aca="false">IF(A120="","",AP119-$E$1)</f>
        <v>-5566</v>
      </c>
      <c r="AR119" s="185" t="n">
        <f aca="false">'ANR OK vs ML7'!AR119</f>
        <v>0.1</v>
      </c>
      <c r="AS119" s="213" t="n">
        <f aca="false">IF(A120="","",1/(1+CHOOSE(F$3,(AR120+($I$3/10000))/2,(AR119+($I$3/10000))/2))^(2*AQ119/365.25))</f>
        <v>4.42386906883081</v>
      </c>
      <c r="AT119" s="137" t="n">
        <f aca="false">IF(A120="","",IF(AND(mthbeg&lt;=A119,mthend&gt;=A119),1,0))</f>
        <v>1</v>
      </c>
      <c r="AU119" s="137" t="n">
        <f aca="false">IF(A120="","",AO119*AT119)</f>
        <v>31</v>
      </c>
      <c r="AW119" s="195" t="e">
        <f aca="false">IF($A120="","",AL119*$E119)</f>
        <v>#NAME?</v>
      </c>
      <c r="AX119" s="195" t="e">
        <f aca="false">IF($A120="","",AM119*$E119)</f>
        <v>#N/A</v>
      </c>
      <c r="AY119" s="195" t="e">
        <f aca="false">IF($A120="","",AN119*$E119)</f>
        <v>#N/A</v>
      </c>
      <c r="BA119" s="195" t="n">
        <f aca="false">IF($A120="","",F119*Summary!$Q$9)</f>
        <v>0</v>
      </c>
      <c r="BC119" s="179" t="e">
        <f aca="false">IF(A120="","",AM119*F119)</f>
        <v>#N/A</v>
      </c>
    </row>
    <row r="120" customFormat="false" ht="12.75" hidden="false" customHeight="false" outlineLevel="0" collapsed="false">
      <c r="A120" s="196" t="n">
        <f aca="false">IF(A119&lt;mthend,EDATE(A119,1),"")</f>
        <v>40391</v>
      </c>
      <c r="B120" s="197" t="n">
        <f aca="false">IF(A120&lt;mthend,B119,"")</f>
        <v>36050</v>
      </c>
      <c r="C120" s="215"/>
      <c r="D120" s="197" t="n">
        <f aca="false">IF(A121&lt;&gt;"",B120+C120,"")</f>
        <v>36050</v>
      </c>
      <c r="E120" s="199" t="n">
        <f aca="false">IF(A121="","",IF(AND(AT120=1,$H$3=1),D120*AO120,IF($H$3=2,D120,"N/A")))</f>
        <v>1117550</v>
      </c>
      <c r="F120" s="199" t="n">
        <f aca="false">IF(A121="","",E120*AS120)</f>
        <v>4903118.76657496</v>
      </c>
      <c r="G120" s="200" t="e">
        <f aca="false">IF($A121="","",VLOOKUP($A120,Table,MATCH(G$4,Curves,0)))</f>
        <v>#N/A</v>
      </c>
      <c r="H120" s="201" t="e">
        <f aca="false">IF(A121="","",G120)</f>
        <v>#N/A</v>
      </c>
      <c r="I120" s="202"/>
      <c r="J120" s="200" t="e">
        <f aca="false">IF($A121="","",VLOOKUP($A120,Table,MATCH(J$4,Curves,0)))</f>
        <v>#N/A</v>
      </c>
      <c r="K120" s="201" t="e">
        <f aca="false">IF(A121="","",J120)</f>
        <v>#N/A</v>
      </c>
      <c r="L120" s="200" t="e">
        <f aca="false">IF($A121="","",VLOOKUP($A120,Table,MATCH(L$4,Curves,0)))</f>
        <v>#N/A</v>
      </c>
      <c r="M120" s="201" t="e">
        <f aca="false">IF(A121="","",L120)</f>
        <v>#N/A</v>
      </c>
      <c r="N120" s="203"/>
      <c r="O120" s="200" t="e">
        <f aca="false">IF(A121="","",L120+J120+G120)</f>
        <v>#N/A</v>
      </c>
      <c r="P120" s="200" t="e">
        <f aca="false">IF(A121="","",M120+K120+H120)</f>
        <v>#N/A</v>
      </c>
      <c r="Q120" s="204"/>
      <c r="R120" s="200" t="e">
        <f aca="false">IF($A121="","",VLOOKUP($A120,Table,MATCH(R$4,Curves,0)))</f>
        <v>#N/A</v>
      </c>
      <c r="S120" s="201" t="e">
        <f aca="false">IF(A121="","",R120)</f>
        <v>#N/A</v>
      </c>
      <c r="T120" s="200" t="e">
        <f aca="false">IF($A121="","",VLOOKUP($A120,Table,MATCH(T$4,Curves,0)))</f>
        <v>#N/A</v>
      </c>
      <c r="U120" s="201" t="e">
        <f aca="false">IF(A121="","",T120)</f>
        <v>#N/A</v>
      </c>
      <c r="V120" s="225" t="e">
        <f aca="false">IF($A121="","",IF(AND(MONTH(A120)&gt;3,MONTH(A120)&lt;11),(T120+R120+G120)*Summary!$T$9/(1-Summary!$T$9),(T120+R120+G120)*Summary!$U$9/(1-Summary!$U$9)))</f>
        <v>#N/A</v>
      </c>
      <c r="W120" s="200" t="e">
        <f aca="false">IF($A121="","",(T120+R120+G120+V120))</f>
        <v>#N/A</v>
      </c>
      <c r="X120" s="200" t="e">
        <f aca="false">IF($A121="","",(U120+S120+H120+V120))</f>
        <v>#N/A</v>
      </c>
      <c r="Y120" s="202"/>
      <c r="Z120" s="185" t="e">
        <f aca="false">IF($A121="","",VLOOKUP($A120,Table,MATCH(Z$4,Curves,0)))</f>
        <v>#N/A</v>
      </c>
      <c r="AA120" s="185" t="e">
        <f aca="false">IF($A121="","",VLOOKUP($A120,Table,MATCH(AA$4,Curves,0)))</f>
        <v>#N/A</v>
      </c>
      <c r="AB120" s="185" t="e">
        <f aca="false">SQRT((AA120^2*(A120-$D$3)+Z120^2*(DAY(EOMONTH(A120,0))/2))/AK120)</f>
        <v>#N/A</v>
      </c>
      <c r="AC120" s="185" t="e">
        <f aca="false">IF($A121="","",VLOOKUP($A120,Table,MATCH(AC$4,Curves,0)))</f>
        <v>#N/A</v>
      </c>
      <c r="AD120" s="185" t="e">
        <f aca="false">IF($A121="","",VLOOKUP($A120,Table,MATCH(AD$4,Curves,0)))</f>
        <v>#N/A</v>
      </c>
      <c r="AE120" s="185" t="e">
        <f aca="false">SQRT((AD120^2*(A120-$D$3)+AC120^2*(DAY(EOMONTH(A120,0))/2))/AK120)</f>
        <v>#N/A</v>
      </c>
      <c r="AF120" s="224" t="e">
        <f aca="false">((Summary!$N$9*(AA120*AD120)*(A120-$D$3))+(Summary!$M$9*Z120*AC120*(AJ120-EOMONTH(EDATE(A120,-1),0))))/(AK120*AB120*AE120)</f>
        <v>#N/A</v>
      </c>
      <c r="AG120" s="207" t="n">
        <f aca="false">IF($A121="","",Summary!$Q$9)</f>
        <v>0</v>
      </c>
      <c r="AH120" s="207" t="n">
        <f aca="false">IF($A121="","",IF(Summary!$R$9="Y",VLOOKUP($A120,Summary!$AD$6:$AF$9,3)+'Escalating commodity'!E133,'Escalating commodity'!E133))</f>
        <v>0.0707</v>
      </c>
      <c r="AI120" s="207" t="n">
        <f aca="false">IF($A121="","",AH120)</f>
        <v>0.0707</v>
      </c>
      <c r="AJ120" s="208" t="n">
        <f aca="false">A120+DAY(EOMONTH(A120,0))/2-1</f>
        <v>40405.5</v>
      </c>
      <c r="AK120" s="209" t="n">
        <f aca="false">IF($A121="","",$A120-$E$1)</f>
        <v>-5535</v>
      </c>
      <c r="AL120" s="182" t="e">
        <f aca="false">IF($A121="","",SPRDOPT(P120,X120,AI120,0,AB120,AE120,AF120,AK120,$AJ$2,0))</f>
        <v>#NAME?</v>
      </c>
      <c r="AM120" s="211" t="e">
        <f aca="false">IF($A121="","",MAX(0,O120-W120-AI120))</f>
        <v>#N/A</v>
      </c>
      <c r="AN120" s="211" t="e">
        <f aca="false">IF($A121="","",AL120-AM120)</f>
        <v>#N/A</v>
      </c>
      <c r="AO120" s="137" t="n">
        <f aca="false">IF(A121="","",A121-A120)</f>
        <v>31</v>
      </c>
      <c r="AP120" s="212" t="n">
        <f aca="false">IF(A121="","",CHOOSE(F$3,A121+24,A120))</f>
        <v>40391</v>
      </c>
      <c r="AQ120" s="209" t="n">
        <f aca="false">IF(A121="","",AP120-$E$1)</f>
        <v>-5535</v>
      </c>
      <c r="AR120" s="185" t="n">
        <f aca="false">'ANR OK vs ML7'!AR120</f>
        <v>0.1</v>
      </c>
      <c r="AS120" s="213" t="n">
        <f aca="false">IF(A121="","",1/(1+CHOOSE(F$3,(AR121+($I$3/10000))/2,(AR120+($I$3/10000))/2))^(2*AQ120/365.25))</f>
        <v>4.38738201116278</v>
      </c>
      <c r="AT120" s="137" t="n">
        <f aca="false">IF(A121="","",IF(AND(mthbeg&lt;=A120,mthend&gt;=A120),1,0))</f>
        <v>1</v>
      </c>
      <c r="AU120" s="137" t="n">
        <f aca="false">IF(A121="","",AO120*AT120)</f>
        <v>31</v>
      </c>
      <c r="AW120" s="195" t="e">
        <f aca="false">IF($A121="","",AL120*$E120)</f>
        <v>#NAME?</v>
      </c>
      <c r="AX120" s="195" t="e">
        <f aca="false">IF($A121="","",AM120*$E120)</f>
        <v>#N/A</v>
      </c>
      <c r="AY120" s="195" t="e">
        <f aca="false">IF($A121="","",AN120*$E120)</f>
        <v>#N/A</v>
      </c>
      <c r="BA120" s="195" t="n">
        <f aca="false">IF($A121="","",F120*Summary!$Q$9)</f>
        <v>0</v>
      </c>
      <c r="BC120" s="179" t="e">
        <f aca="false">IF(A121="","",AM120*F120)</f>
        <v>#N/A</v>
      </c>
    </row>
    <row r="121" customFormat="false" ht="12.75" hidden="false" customHeight="false" outlineLevel="0" collapsed="false">
      <c r="A121" s="196" t="n">
        <f aca="false">IF(A120&lt;mthend,EDATE(A120,1),"")</f>
        <v>40422</v>
      </c>
      <c r="B121" s="197" t="n">
        <f aca="false">IF(A121&lt;mthend,B120,"")</f>
        <v>36050</v>
      </c>
      <c r="C121" s="215"/>
      <c r="D121" s="197" t="n">
        <f aca="false">IF(A122&lt;&gt;"",B121+C121,"")</f>
        <v>36050</v>
      </c>
      <c r="E121" s="199" t="n">
        <f aca="false">IF(A122="","",IF(AND(AT121=1,$H$3=1),D121*AO121,IF($H$3=2,D121,"N/A")))</f>
        <v>1081500</v>
      </c>
      <c r="F121" s="199" t="n">
        <f aca="false">IF(A122="","",E121*AS121)</f>
        <v>4705818.35544571</v>
      </c>
      <c r="G121" s="200" t="e">
        <f aca="false">IF($A122="","",VLOOKUP($A121,Table,MATCH(G$4,Curves,0)))</f>
        <v>#N/A</v>
      </c>
      <c r="H121" s="201" t="e">
        <f aca="false">IF(A122="","",G121)</f>
        <v>#N/A</v>
      </c>
      <c r="I121" s="202"/>
      <c r="J121" s="200" t="e">
        <f aca="false">IF($A122="","",VLOOKUP($A121,Table,MATCH(J$4,Curves,0)))</f>
        <v>#N/A</v>
      </c>
      <c r="K121" s="201" t="e">
        <f aca="false">IF(A122="","",J121)</f>
        <v>#N/A</v>
      </c>
      <c r="L121" s="200" t="e">
        <f aca="false">IF($A122="","",VLOOKUP($A121,Table,MATCH(L$4,Curves,0)))</f>
        <v>#N/A</v>
      </c>
      <c r="M121" s="201" t="e">
        <f aca="false">IF(A122="","",L121)</f>
        <v>#N/A</v>
      </c>
      <c r="N121" s="203"/>
      <c r="O121" s="200" t="e">
        <f aca="false">IF(A122="","",L121+J121+G121)</f>
        <v>#N/A</v>
      </c>
      <c r="P121" s="200" t="e">
        <f aca="false">IF(A122="","",M121+K121+H121)</f>
        <v>#N/A</v>
      </c>
      <c r="Q121" s="204"/>
      <c r="R121" s="200" t="e">
        <f aca="false">IF($A122="","",VLOOKUP($A121,Table,MATCH(R$4,Curves,0)))</f>
        <v>#N/A</v>
      </c>
      <c r="S121" s="201" t="e">
        <f aca="false">IF(A122="","",R121)</f>
        <v>#N/A</v>
      </c>
      <c r="T121" s="200" t="e">
        <f aca="false">IF($A122="","",VLOOKUP($A121,Table,MATCH(T$4,Curves,0)))</f>
        <v>#N/A</v>
      </c>
      <c r="U121" s="201" t="e">
        <f aca="false">IF(A122="","",T121)</f>
        <v>#N/A</v>
      </c>
      <c r="V121" s="225" t="e">
        <f aca="false">IF($A122="","",IF(AND(MONTH(A121)&gt;3,MONTH(A121)&lt;11),(T121+R121+G121)*Summary!$T$9/(1-Summary!$T$9),(T121+R121+G121)*Summary!$U$9/(1-Summary!$U$9)))</f>
        <v>#N/A</v>
      </c>
      <c r="W121" s="200" t="e">
        <f aca="false">IF($A122="","",(T121+R121+G121+V121))</f>
        <v>#N/A</v>
      </c>
      <c r="X121" s="200" t="e">
        <f aca="false">IF($A122="","",(U121+S121+H121+V121))</f>
        <v>#N/A</v>
      </c>
      <c r="Y121" s="202"/>
      <c r="Z121" s="185" t="e">
        <f aca="false">IF($A122="","",VLOOKUP($A121,Table,MATCH(Z$4,Curves,0)))</f>
        <v>#N/A</v>
      </c>
      <c r="AA121" s="185" t="e">
        <f aca="false">IF($A122="","",VLOOKUP($A121,Table,MATCH(AA$4,Curves,0)))</f>
        <v>#N/A</v>
      </c>
      <c r="AB121" s="185" t="e">
        <f aca="false">SQRT((AA121^2*(A121-$D$3)+Z121^2*(DAY(EOMONTH(A121,0))/2))/AK121)</f>
        <v>#N/A</v>
      </c>
      <c r="AC121" s="185" t="e">
        <f aca="false">IF($A122="","",VLOOKUP($A121,Table,MATCH(AC$4,Curves,0)))</f>
        <v>#N/A</v>
      </c>
      <c r="AD121" s="185" t="e">
        <f aca="false">IF($A122="","",VLOOKUP($A121,Table,MATCH(AD$4,Curves,0)))</f>
        <v>#N/A</v>
      </c>
      <c r="AE121" s="185" t="e">
        <f aca="false">SQRT((AD121^2*(A121-$D$3)+AC121^2*(DAY(EOMONTH(A121,0))/2))/AK121)</f>
        <v>#N/A</v>
      </c>
      <c r="AF121" s="224" t="e">
        <f aca="false">((Summary!$N$9*(AA121*AD121)*(A121-$D$3))+(Summary!$M$9*Z121*AC121*(AJ121-EOMONTH(EDATE(A121,-1),0))))/(AK121*AB121*AE121)</f>
        <v>#N/A</v>
      </c>
      <c r="AG121" s="207" t="n">
        <f aca="false">IF($A122="","",Summary!$Q$9)</f>
        <v>0</v>
      </c>
      <c r="AH121" s="207" t="n">
        <f aca="false">IF($A122="","",IF(Summary!$R$9="Y",VLOOKUP($A121,Summary!$AD$6:$AF$9,3)+'Escalating commodity'!E134,'Escalating commodity'!E134))</f>
        <v>0.0707</v>
      </c>
      <c r="AI121" s="207" t="n">
        <f aca="false">IF($A122="","",AH121)</f>
        <v>0.0707</v>
      </c>
      <c r="AJ121" s="208" t="n">
        <f aca="false">A121+DAY(EOMONTH(A121,0))/2-1</f>
        <v>40436</v>
      </c>
      <c r="AK121" s="209" t="n">
        <f aca="false">IF($A122="","",$A121-$E$1)</f>
        <v>-5504</v>
      </c>
      <c r="AL121" s="182" t="e">
        <f aca="false">IF($A122="","",SPRDOPT(P121,X121,AI121,0,AB121,AE121,AF121,AK121,$AJ$2,0))</f>
        <v>#NAME?</v>
      </c>
      <c r="AM121" s="211" t="e">
        <f aca="false">IF($A122="","",MAX(0,O121-W121-AI121))</f>
        <v>#N/A</v>
      </c>
      <c r="AN121" s="211" t="e">
        <f aca="false">IF($A122="","",AL121-AM121)</f>
        <v>#N/A</v>
      </c>
      <c r="AO121" s="137" t="n">
        <f aca="false">IF(A122="","",A122-A121)</f>
        <v>30</v>
      </c>
      <c r="AP121" s="212" t="n">
        <f aca="false">IF(A122="","",CHOOSE(F$3,A122+24,A121))</f>
        <v>40422</v>
      </c>
      <c r="AQ121" s="209" t="n">
        <f aca="false">IF(A122="","",AP121-$E$1)</f>
        <v>-5504</v>
      </c>
      <c r="AR121" s="185" t="n">
        <f aca="false">'ANR OK vs ML7'!AR121</f>
        <v>0.1</v>
      </c>
      <c r="AS121" s="213" t="n">
        <f aca="false">IF(A122="","",1/(1+CHOOSE(F$3,(AR122+($I$3/10000))/2,(AR121+($I$3/10000))/2))^(2*AQ121/365.25))</f>
        <v>4.35119589037976</v>
      </c>
      <c r="AT121" s="137" t="n">
        <f aca="false">IF(A122="","",IF(AND(mthbeg&lt;=A121,mthend&gt;=A121),1,0))</f>
        <v>1</v>
      </c>
      <c r="AU121" s="137" t="n">
        <f aca="false">IF(A122="","",AO121*AT121)</f>
        <v>30</v>
      </c>
      <c r="AW121" s="195" t="e">
        <f aca="false">IF($A122="","",AL121*$E121)</f>
        <v>#NAME?</v>
      </c>
      <c r="AX121" s="195" t="e">
        <f aca="false">IF($A122="","",AM121*$E121)</f>
        <v>#N/A</v>
      </c>
      <c r="AY121" s="195" t="e">
        <f aca="false">IF($A122="","",AN121*$E121)</f>
        <v>#N/A</v>
      </c>
      <c r="BA121" s="195" t="n">
        <f aca="false">IF($A122="","",F121*Summary!$Q$9)</f>
        <v>0</v>
      </c>
      <c r="BC121" s="179" t="e">
        <f aca="false">IF(A122="","",AM121*F121)</f>
        <v>#N/A</v>
      </c>
    </row>
    <row r="122" customFormat="false" ht="12.75" hidden="false" customHeight="false" outlineLevel="0" collapsed="false">
      <c r="A122" s="196" t="n">
        <f aca="false">IF(A121&lt;mthend,EDATE(A121,1),"")</f>
        <v>40452</v>
      </c>
      <c r="B122" s="197" t="n">
        <f aca="false">IF(A122&lt;mthend,B121,"")</f>
        <v>36050</v>
      </c>
      <c r="C122" s="215"/>
      <c r="D122" s="197" t="n">
        <f aca="false">IF(A123&lt;&gt;"",B122+C122,"")</f>
        <v>36050</v>
      </c>
      <c r="E122" s="199" t="n">
        <f aca="false">IF(A123="","",IF(AND(AT122=1,$H$3=1),D122*AO122,IF($H$3=2,D122,"N/A")))</f>
        <v>1117550</v>
      </c>
      <c r="F122" s="199" t="n">
        <f aca="false">IF(A123="","",E122*AS122)</f>
        <v>4823861.27867513</v>
      </c>
      <c r="G122" s="200" t="e">
        <f aca="false">IF($A123="","",VLOOKUP($A122,Table,MATCH(G$4,Curves,0)))</f>
        <v>#N/A</v>
      </c>
      <c r="H122" s="201" t="e">
        <f aca="false">IF(A123="","",G122)</f>
        <v>#N/A</v>
      </c>
      <c r="I122" s="202"/>
      <c r="J122" s="200" t="e">
        <f aca="false">IF($A123="","",VLOOKUP($A122,Table,MATCH(J$4,Curves,0)))</f>
        <v>#N/A</v>
      </c>
      <c r="K122" s="201" t="e">
        <f aca="false">IF(A123="","",J122)</f>
        <v>#N/A</v>
      </c>
      <c r="L122" s="200" t="e">
        <f aca="false">IF($A123="","",VLOOKUP($A122,Table,MATCH(L$4,Curves,0)))</f>
        <v>#N/A</v>
      </c>
      <c r="M122" s="201" t="e">
        <f aca="false">IF(A123="","",L122)</f>
        <v>#N/A</v>
      </c>
      <c r="N122" s="203"/>
      <c r="O122" s="200" t="e">
        <f aca="false">IF(A123="","",L122+J122+G122)</f>
        <v>#N/A</v>
      </c>
      <c r="P122" s="200" t="e">
        <f aca="false">IF(A123="","",M122+K122+H122)</f>
        <v>#N/A</v>
      </c>
      <c r="Q122" s="204"/>
      <c r="R122" s="200" t="e">
        <f aca="false">IF($A123="","",VLOOKUP($A122,Table,MATCH(R$4,Curves,0)))</f>
        <v>#N/A</v>
      </c>
      <c r="S122" s="201" t="e">
        <f aca="false">IF(A123="","",R122)</f>
        <v>#N/A</v>
      </c>
      <c r="T122" s="200" t="e">
        <f aca="false">IF($A123="","",VLOOKUP($A122,Table,MATCH(T$4,Curves,0)))</f>
        <v>#N/A</v>
      </c>
      <c r="U122" s="201" t="e">
        <f aca="false">IF(A123="","",T122)</f>
        <v>#N/A</v>
      </c>
      <c r="V122" s="225" t="e">
        <f aca="false">IF($A123="","",IF(AND(MONTH(A122)&gt;3,MONTH(A122)&lt;11),(T122+R122+G122)*Summary!$T$9/(1-Summary!$T$9),(T122+R122+G122)*Summary!$U$9/(1-Summary!$U$9)))</f>
        <v>#N/A</v>
      </c>
      <c r="W122" s="200" t="e">
        <f aca="false">IF($A123="","",(T122+R122+G122+V122))</f>
        <v>#N/A</v>
      </c>
      <c r="X122" s="200" t="e">
        <f aca="false">IF($A123="","",(U122+S122+H122+V122))</f>
        <v>#N/A</v>
      </c>
      <c r="Y122" s="202"/>
      <c r="Z122" s="185" t="e">
        <f aca="false">IF($A123="","",VLOOKUP($A122,Table,MATCH(Z$4,Curves,0)))</f>
        <v>#N/A</v>
      </c>
      <c r="AA122" s="185" t="e">
        <f aca="false">IF($A123="","",VLOOKUP($A122,Table,MATCH(AA$4,Curves,0)))</f>
        <v>#N/A</v>
      </c>
      <c r="AB122" s="185" t="e">
        <f aca="false">SQRT((AA122^2*(A122-$D$3)+Z122^2*(DAY(EOMONTH(A122,0))/2))/AK122)</f>
        <v>#N/A</v>
      </c>
      <c r="AC122" s="185" t="e">
        <f aca="false">IF($A123="","",VLOOKUP($A122,Table,MATCH(AC$4,Curves,0)))</f>
        <v>#N/A</v>
      </c>
      <c r="AD122" s="185" t="e">
        <f aca="false">IF($A123="","",VLOOKUP($A122,Table,MATCH(AD$4,Curves,0)))</f>
        <v>#N/A</v>
      </c>
      <c r="AE122" s="185" t="e">
        <f aca="false">SQRT((AD122^2*(A122-$D$3)+AC122^2*(DAY(EOMONTH(A122,0))/2))/AK122)</f>
        <v>#N/A</v>
      </c>
      <c r="AF122" s="224" t="e">
        <f aca="false">((Summary!$N$9*(AA122*AD122)*(A122-$D$3))+(Summary!$M$9*Z122*AC122*(AJ122-EOMONTH(EDATE(A122,-1),0))))/(AK122*AB122*AE122)</f>
        <v>#N/A</v>
      </c>
      <c r="AG122" s="207" t="n">
        <f aca="false">IF($A123="","",Summary!$Q$9)</f>
        <v>0</v>
      </c>
      <c r="AH122" s="207" t="n">
        <f aca="false">IF($A123="","",IF(Summary!$R$9="Y",VLOOKUP($A122,Summary!$AD$6:$AF$9,3)+'Escalating commodity'!E135,'Escalating commodity'!E135))</f>
        <v>0.0707</v>
      </c>
      <c r="AI122" s="207" t="n">
        <f aca="false">IF($A123="","",AH122)</f>
        <v>0.0707</v>
      </c>
      <c r="AJ122" s="208" t="n">
        <f aca="false">A122+DAY(EOMONTH(A122,0))/2-1</f>
        <v>40466.5</v>
      </c>
      <c r="AK122" s="209" t="n">
        <f aca="false">IF($A123="","",$A122-$E$1)</f>
        <v>-5474</v>
      </c>
      <c r="AL122" s="182" t="e">
        <f aca="false">IF($A123="","",SPRDOPT(P122,X122,AI122,0,AB122,AE122,AF122,AK122,$AJ$2,0))</f>
        <v>#NAME?</v>
      </c>
      <c r="AM122" s="211" t="e">
        <f aca="false">IF($A123="","",MAX(0,O122-W122-AI122))</f>
        <v>#N/A</v>
      </c>
      <c r="AN122" s="211" t="e">
        <f aca="false">IF($A123="","",AL122-AM122)</f>
        <v>#N/A</v>
      </c>
      <c r="AO122" s="137" t="n">
        <f aca="false">IF(A123="","",A123-A122)</f>
        <v>31</v>
      </c>
      <c r="AP122" s="212" t="n">
        <f aca="false">IF(A123="","",CHOOSE(F$3,A123+24,A122))</f>
        <v>40452</v>
      </c>
      <c r="AQ122" s="209" t="n">
        <f aca="false">IF(A123="","",AP122-$E$1)</f>
        <v>-5474</v>
      </c>
      <c r="AR122" s="185" t="n">
        <f aca="false">'ANR OK vs ML7'!AR122</f>
        <v>0.1</v>
      </c>
      <c r="AS122" s="213" t="n">
        <f aca="false">IF(A123="","",1/(1+CHOOSE(F$3,(AR123+($I$3/10000))/2,(AR122+($I$3/10000))/2))^(2*AQ122/365.25))</f>
        <v>4.31646125781855</v>
      </c>
      <c r="AT122" s="137" t="n">
        <f aca="false">IF(A123="","",IF(AND(mthbeg&lt;=A122,mthend&gt;=A122),1,0))</f>
        <v>1</v>
      </c>
      <c r="AU122" s="137" t="n">
        <f aca="false">IF(A123="","",AO122*AT122)</f>
        <v>31</v>
      </c>
      <c r="AW122" s="195" t="e">
        <f aca="false">IF($A123="","",AL122*$E122)</f>
        <v>#NAME?</v>
      </c>
      <c r="AX122" s="195" t="e">
        <f aca="false">IF($A123="","",AM122*$E122)</f>
        <v>#N/A</v>
      </c>
      <c r="AY122" s="195" t="e">
        <f aca="false">IF($A123="","",AN122*$E122)</f>
        <v>#N/A</v>
      </c>
      <c r="BA122" s="195" t="n">
        <f aca="false">IF($A123="","",F122*Summary!$Q$9)</f>
        <v>0</v>
      </c>
      <c r="BC122" s="179" t="e">
        <f aca="false">IF(A123="","",AM122*F122)</f>
        <v>#N/A</v>
      </c>
    </row>
    <row r="123" customFormat="false" ht="12.75" hidden="false" customHeight="false" outlineLevel="0" collapsed="false">
      <c r="A123" s="196" t="n">
        <f aca="false">IF(A122&lt;mthend,EDATE(A122,1),"")</f>
        <v>40483</v>
      </c>
      <c r="B123" s="197" t="n">
        <f aca="false">IF(A123&lt;mthend,B122,"")</f>
        <v>36050</v>
      </c>
      <c r="C123" s="215"/>
      <c r="D123" s="197" t="n">
        <f aca="false">IF(A124&lt;&gt;"",B123+C123,"")</f>
        <v>36050</v>
      </c>
      <c r="E123" s="199" t="n">
        <f aca="false">IF(A124="","",IF(AND(AT123=1,$H$3=1),D123*AO123,IF($H$3=2,D123,"N/A")))</f>
        <v>1081500</v>
      </c>
      <c r="F123" s="199" t="n">
        <f aca="false">IF(A124="","",E123*AS123)</f>
        <v>4629750.17127115</v>
      </c>
      <c r="G123" s="200" t="e">
        <f aca="false">IF($A124="","",VLOOKUP($A123,Table,MATCH(G$4,Curves,0)))</f>
        <v>#N/A</v>
      </c>
      <c r="H123" s="201" t="e">
        <f aca="false">IF(A124="","",G123)</f>
        <v>#N/A</v>
      </c>
      <c r="I123" s="202"/>
      <c r="J123" s="200" t="e">
        <f aca="false">IF($A124="","",VLOOKUP($A123,Table,MATCH(J$4,Curves,0)))</f>
        <v>#N/A</v>
      </c>
      <c r="K123" s="201" t="e">
        <f aca="false">IF(A124="","",J123)</f>
        <v>#N/A</v>
      </c>
      <c r="L123" s="200" t="e">
        <f aca="false">IF($A124="","",VLOOKUP($A123,Table,MATCH(L$4,Curves,0)))</f>
        <v>#N/A</v>
      </c>
      <c r="M123" s="201" t="e">
        <f aca="false">IF(A124="","",L123)</f>
        <v>#N/A</v>
      </c>
      <c r="N123" s="203"/>
      <c r="O123" s="200" t="e">
        <f aca="false">IF(A124="","",L123+J123+G123)</f>
        <v>#N/A</v>
      </c>
      <c r="P123" s="200" t="e">
        <f aca="false">IF(A124="","",M123+K123+H123)</f>
        <v>#N/A</v>
      </c>
      <c r="Q123" s="204"/>
      <c r="R123" s="200" t="e">
        <f aca="false">IF($A124="","",VLOOKUP($A123,Table,MATCH(R$4,Curves,0)))</f>
        <v>#N/A</v>
      </c>
      <c r="S123" s="201" t="e">
        <f aca="false">IF(A124="","",R123)</f>
        <v>#N/A</v>
      </c>
      <c r="T123" s="200" t="e">
        <f aca="false">IF($A124="","",VLOOKUP($A123,Table,MATCH(T$4,Curves,0)))</f>
        <v>#N/A</v>
      </c>
      <c r="U123" s="201" t="e">
        <f aca="false">IF(A124="","",T123)</f>
        <v>#N/A</v>
      </c>
      <c r="V123" s="225" t="e">
        <f aca="false">IF($A124="","",IF(AND(MONTH(A123)&gt;3,MONTH(A123)&lt;11),(T123+R123+G123)*Summary!$T$9/(1-Summary!$T$9),(T123+R123+G123)*Summary!$U$9/(1-Summary!$U$9)))</f>
        <v>#N/A</v>
      </c>
      <c r="W123" s="200" t="e">
        <f aca="false">IF($A124="","",(T123+R123+G123+V123))</f>
        <v>#N/A</v>
      </c>
      <c r="X123" s="200" t="e">
        <f aca="false">IF($A124="","",(U123+S123+H123+V123))</f>
        <v>#N/A</v>
      </c>
      <c r="Y123" s="202"/>
      <c r="Z123" s="185" t="e">
        <f aca="false">IF($A124="","",VLOOKUP($A123,Table,MATCH(Z$4,Curves,0)))</f>
        <v>#N/A</v>
      </c>
      <c r="AA123" s="185" t="e">
        <f aca="false">IF($A124="","",VLOOKUP($A123,Table,MATCH(AA$4,Curves,0)))</f>
        <v>#N/A</v>
      </c>
      <c r="AB123" s="185" t="e">
        <f aca="false">SQRT((AA123^2*(A123-$D$3)+Z123^2*(DAY(EOMONTH(A123,0))/2))/AK123)</f>
        <v>#N/A</v>
      </c>
      <c r="AC123" s="185" t="e">
        <f aca="false">IF($A124="","",VLOOKUP($A123,Table,MATCH(AC$4,Curves,0)))</f>
        <v>#N/A</v>
      </c>
      <c r="AD123" s="185" t="e">
        <f aca="false">IF($A124="","",VLOOKUP($A123,Table,MATCH(AD$4,Curves,0)))</f>
        <v>#N/A</v>
      </c>
      <c r="AE123" s="185" t="e">
        <f aca="false">SQRT((AD123^2*(A123-$D$3)+AC123^2*(DAY(EOMONTH(A123,0))/2))/AK123)</f>
        <v>#N/A</v>
      </c>
      <c r="AF123" s="224" t="e">
        <f aca="false">((Summary!$N$9*(AA123*AD123)*(A123-$D$3))+(Summary!$M$9*Z123*AC123*(AJ123-EOMONTH(EDATE(A123,-1),0))))/(AK123*AB123*AE123)</f>
        <v>#N/A</v>
      </c>
      <c r="AG123" s="207" t="n">
        <f aca="false">IF($A124="","",Summary!$Q$9)</f>
        <v>0</v>
      </c>
      <c r="AH123" s="207" t="n">
        <f aca="false">IF($A124="","",IF(Summary!$R$9="Y",VLOOKUP($A123,Summary!$AD$6:$AF$9,3)+'Escalating commodity'!E136,'Escalating commodity'!E136))</f>
        <v>0.0707</v>
      </c>
      <c r="AI123" s="207" t="n">
        <f aca="false">IF($A124="","",AH123)</f>
        <v>0.0707</v>
      </c>
      <c r="AJ123" s="208" t="n">
        <f aca="false">A123+DAY(EOMONTH(A123,0))/2-1</f>
        <v>40497</v>
      </c>
      <c r="AK123" s="209" t="n">
        <f aca="false">IF($A124="","",$A123-$E$1)</f>
        <v>-5443</v>
      </c>
      <c r="AL123" s="182" t="e">
        <f aca="false">IF($A124="","",SPRDOPT(P123,X123,AI123,0,AB123,AE123,AF123,AK123,$AJ$2,0))</f>
        <v>#NAME?</v>
      </c>
      <c r="AM123" s="211" t="e">
        <f aca="false">IF($A124="","",MAX(0,O123-W123-AI123))</f>
        <v>#N/A</v>
      </c>
      <c r="AN123" s="211" t="e">
        <f aca="false">IF($A124="","",AL123-AM123)</f>
        <v>#N/A</v>
      </c>
      <c r="AO123" s="137" t="n">
        <f aca="false">IF(A124="","",A124-A123)</f>
        <v>30</v>
      </c>
      <c r="AP123" s="212" t="n">
        <f aca="false">IF(A124="","",CHOOSE(F$3,A124+24,A123))</f>
        <v>40483</v>
      </c>
      <c r="AQ123" s="209" t="n">
        <f aca="false">IF(A124="","",AP123-$E$1)</f>
        <v>-5443</v>
      </c>
      <c r="AR123" s="185" t="n">
        <f aca="false">'ANR OK vs ML7'!AR123</f>
        <v>0.1</v>
      </c>
      <c r="AS123" s="213" t="n">
        <f aca="false">IF(A124="","",1/(1+CHOOSE(F$3,(AR124+($I$3/10000))/2,(AR123+($I$3/10000))/2))^(2*AQ123/365.25))</f>
        <v>4.28086007514669</v>
      </c>
      <c r="AT123" s="137" t="n">
        <f aca="false">IF(A124="","",IF(AND(mthbeg&lt;=A123,mthend&gt;=A123),1,0))</f>
        <v>1</v>
      </c>
      <c r="AU123" s="137" t="n">
        <f aca="false">IF(A124="","",AO123*AT123)</f>
        <v>30</v>
      </c>
      <c r="AW123" s="195" t="e">
        <f aca="false">IF($A124="","",AL123*$E123)</f>
        <v>#NAME?</v>
      </c>
      <c r="AX123" s="195" t="e">
        <f aca="false">IF($A124="","",AM123*$E123)</f>
        <v>#N/A</v>
      </c>
      <c r="AY123" s="195" t="e">
        <f aca="false">IF($A124="","",AN123*$E123)</f>
        <v>#N/A</v>
      </c>
      <c r="BA123" s="195" t="n">
        <f aca="false">IF($A124="","",F123*Summary!$Q$9)</f>
        <v>0</v>
      </c>
      <c r="BC123" s="179" t="e">
        <f aca="false">IF(A124="","",AM123*F123)</f>
        <v>#N/A</v>
      </c>
    </row>
    <row r="124" customFormat="false" ht="12.75" hidden="false" customHeight="false" outlineLevel="0" collapsed="false">
      <c r="A124" s="196" t="n">
        <f aca="false">IF(A123&lt;mthend,EDATE(A123,1),"")</f>
        <v>40513</v>
      </c>
      <c r="B124" s="197" t="n">
        <f aca="false">IF(A124&lt;mthend,B123,"")</f>
        <v>36050</v>
      </c>
      <c r="C124" s="215"/>
      <c r="D124" s="197" t="n">
        <f aca="false">IF(A125&lt;&gt;"",B124+C124,"")</f>
        <v>36050</v>
      </c>
      <c r="E124" s="199" t="n">
        <f aca="false">IF(A125="","",IF(AND(AT124=1,$H$3=1),D124*AO124,IF($H$3=2,D124,"N/A")))</f>
        <v>1117550</v>
      </c>
      <c r="F124" s="199" t="n">
        <f aca="false">IF(A125="","",E124*AS124)</f>
        <v>4745884.96500077</v>
      </c>
      <c r="G124" s="200" t="e">
        <f aca="false">IF($A125="","",VLOOKUP($A124,Table,MATCH(G$4,Curves,0)))</f>
        <v>#N/A</v>
      </c>
      <c r="H124" s="201" t="e">
        <f aca="false">IF(A125="","",G124)</f>
        <v>#N/A</v>
      </c>
      <c r="I124" s="202"/>
      <c r="J124" s="200" t="e">
        <f aca="false">IF($A125="","",VLOOKUP($A124,Table,MATCH(J$4,Curves,0)))</f>
        <v>#N/A</v>
      </c>
      <c r="K124" s="201" t="e">
        <f aca="false">IF(A125="","",J124)</f>
        <v>#N/A</v>
      </c>
      <c r="L124" s="200" t="e">
        <f aca="false">IF($A125="","",VLOOKUP($A124,Table,MATCH(L$4,Curves,0)))</f>
        <v>#N/A</v>
      </c>
      <c r="M124" s="201" t="e">
        <f aca="false">IF(A125="","",L124)</f>
        <v>#N/A</v>
      </c>
      <c r="N124" s="203"/>
      <c r="O124" s="200" t="e">
        <f aca="false">IF(A125="","",L124+J124+G124)</f>
        <v>#N/A</v>
      </c>
      <c r="P124" s="200" t="e">
        <f aca="false">IF(A125="","",M124+K124+H124)</f>
        <v>#N/A</v>
      </c>
      <c r="Q124" s="204"/>
      <c r="R124" s="200" t="e">
        <f aca="false">IF($A125="","",VLOOKUP($A124,Table,MATCH(R$4,Curves,0)))</f>
        <v>#N/A</v>
      </c>
      <c r="S124" s="201" t="e">
        <f aca="false">IF(A125="","",R124)</f>
        <v>#N/A</v>
      </c>
      <c r="T124" s="200" t="e">
        <f aca="false">IF($A125="","",VLOOKUP($A124,Table,MATCH(T$4,Curves,0)))</f>
        <v>#N/A</v>
      </c>
      <c r="U124" s="201" t="e">
        <f aca="false">IF(A125="","",T124)</f>
        <v>#N/A</v>
      </c>
      <c r="V124" s="225" t="e">
        <f aca="false">IF($A125="","",IF(AND(MONTH(A124)&gt;3,MONTH(A124)&lt;11),(T124+R124+G124)*Summary!$T$9/(1-Summary!$T$9),(T124+R124+G124)*Summary!$U$9/(1-Summary!$U$9)))</f>
        <v>#N/A</v>
      </c>
      <c r="W124" s="200" t="e">
        <f aca="false">IF($A125="","",(T124+R124+G124+V124))</f>
        <v>#N/A</v>
      </c>
      <c r="X124" s="200" t="e">
        <f aca="false">IF($A125="","",(U124+S124+H124+V124))</f>
        <v>#N/A</v>
      </c>
      <c r="Y124" s="202"/>
      <c r="Z124" s="185" t="e">
        <f aca="false">IF($A125="","",VLOOKUP($A124,Table,MATCH(Z$4,Curves,0)))</f>
        <v>#N/A</v>
      </c>
      <c r="AA124" s="185" t="e">
        <f aca="false">IF($A125="","",VLOOKUP($A124,Table,MATCH(AA$4,Curves,0)))</f>
        <v>#N/A</v>
      </c>
      <c r="AB124" s="185" t="e">
        <f aca="false">SQRT((AA124^2*(A124-$D$3)+Z124^2*(DAY(EOMONTH(A124,0))/2))/AK124)</f>
        <v>#N/A</v>
      </c>
      <c r="AC124" s="185" t="e">
        <f aca="false">IF($A125="","",VLOOKUP($A124,Table,MATCH(AC$4,Curves,0)))</f>
        <v>#N/A</v>
      </c>
      <c r="AD124" s="185" t="e">
        <f aca="false">IF($A125="","",VLOOKUP($A124,Table,MATCH(AD$4,Curves,0)))</f>
        <v>#N/A</v>
      </c>
      <c r="AE124" s="185" t="e">
        <f aca="false">SQRT((AD124^2*(A124-$D$3)+AC124^2*(DAY(EOMONTH(A124,0))/2))/AK124)</f>
        <v>#N/A</v>
      </c>
      <c r="AF124" s="224" t="e">
        <f aca="false">((Summary!$N$9*(AA124*AD124)*(A124-$D$3))+(Summary!$M$9*Z124*AC124*(AJ124-EOMONTH(EDATE(A124,-1),0))))/(AK124*AB124*AE124)</f>
        <v>#N/A</v>
      </c>
      <c r="AG124" s="207" t="n">
        <f aca="false">IF($A125="","",Summary!$Q$9)</f>
        <v>0</v>
      </c>
      <c r="AH124" s="207" t="n">
        <f aca="false">IF($A125="","",IF(Summary!$R$9="Y",VLOOKUP($A124,Summary!$AD$6:$AF$9,3)+'Escalating commodity'!E137,'Escalating commodity'!E137))</f>
        <v>0.0707</v>
      </c>
      <c r="AI124" s="207" t="n">
        <f aca="false">IF($A125="","",AH124)</f>
        <v>0.0707</v>
      </c>
      <c r="AJ124" s="208" t="n">
        <f aca="false">A124+DAY(EOMONTH(A124,0))/2-1</f>
        <v>40527.5</v>
      </c>
      <c r="AK124" s="209" t="n">
        <f aca="false">IF($A125="","",$A124-$E$1)</f>
        <v>-5413</v>
      </c>
      <c r="AL124" s="182" t="e">
        <f aca="false">IF($A125="","",SPRDOPT(P124,X124,AI124,0,AB124,AE124,AF124,AK124,$AJ$2,0))</f>
        <v>#NAME?</v>
      </c>
      <c r="AM124" s="211" t="e">
        <f aca="false">IF($A125="","",MAX(0,O124-W124-AI124))</f>
        <v>#N/A</v>
      </c>
      <c r="AN124" s="211" t="e">
        <f aca="false">IF($A125="","",AL124-AM124)</f>
        <v>#N/A</v>
      </c>
      <c r="AO124" s="137" t="n">
        <f aca="false">IF(A125="","",A125-A124)</f>
        <v>31</v>
      </c>
      <c r="AP124" s="212" t="n">
        <f aca="false">IF(A125="","",CHOOSE(F$3,A125+24,A124))</f>
        <v>40513</v>
      </c>
      <c r="AQ124" s="209" t="n">
        <f aca="false">IF(A125="","",AP124-$E$1)</f>
        <v>-5413</v>
      </c>
      <c r="AR124" s="185" t="n">
        <f aca="false">'ANR OK vs ML7'!AR124</f>
        <v>0.1</v>
      </c>
      <c r="AS124" s="213" t="n">
        <f aca="false">IF(A125="","",1/(1+CHOOSE(F$3,(AR125+($I$3/10000))/2,(AR124+($I$3/10000))/2))^(2*AQ124/365.25))</f>
        <v>4.24668691781197</v>
      </c>
      <c r="AT124" s="137" t="n">
        <f aca="false">IF(A125="","",IF(AND(mthbeg&lt;=A124,mthend&gt;=A124),1,0))</f>
        <v>1</v>
      </c>
      <c r="AU124" s="137" t="n">
        <f aca="false">IF(A125="","",AO124*AT124)</f>
        <v>31</v>
      </c>
      <c r="AW124" s="195" t="e">
        <f aca="false">IF($A125="","",AL124*$E124)</f>
        <v>#NAME?</v>
      </c>
      <c r="AX124" s="195" t="e">
        <f aca="false">IF($A125="","",AM124*$E124)</f>
        <v>#N/A</v>
      </c>
      <c r="AY124" s="195" t="e">
        <f aca="false">IF($A125="","",AN124*$E124)</f>
        <v>#N/A</v>
      </c>
      <c r="BA124" s="195" t="n">
        <f aca="false">IF($A125="","",F124*Summary!$Q$9)</f>
        <v>0</v>
      </c>
      <c r="BC124" s="179" t="e">
        <f aca="false">IF(A125="","",AM124*F124)</f>
        <v>#N/A</v>
      </c>
    </row>
    <row r="125" customFormat="false" ht="12.75" hidden="false" customHeight="false" outlineLevel="0" collapsed="false">
      <c r="A125" s="196" t="n">
        <f aca="false">IF(A124&lt;mthend,EDATE(A124,1),"")</f>
        <v>40544</v>
      </c>
      <c r="B125" s="197" t="n">
        <f aca="false">IF(A125&lt;mthend,B124,"")</f>
        <v>36050</v>
      </c>
      <c r="C125" s="215"/>
      <c r="D125" s="197" t="n">
        <f aca="false">IF(A126&lt;&gt;"",B125+C125,"")</f>
        <v>36050</v>
      </c>
      <c r="E125" s="199" t="n">
        <f aca="false">IF(A126="","",IF(AND(AT125=1,$H$3=1),D125*AO125,IF($H$3=2,D125,"N/A")))</f>
        <v>1117550</v>
      </c>
      <c r="F125" s="199" t="n">
        <f aca="false">IF(A126="","",E125*AS125)</f>
        <v>4706741.99406072</v>
      </c>
      <c r="G125" s="200" t="e">
        <f aca="false">IF($A126="","",VLOOKUP($A125,Table,MATCH(G$4,Curves,0)))</f>
        <v>#N/A</v>
      </c>
      <c r="H125" s="201" t="e">
        <f aca="false">IF(A126="","",G125)</f>
        <v>#N/A</v>
      </c>
      <c r="I125" s="202"/>
      <c r="J125" s="200" t="e">
        <f aca="false">IF($A126="","",VLOOKUP($A125,Table,MATCH(J$4,Curves,0)))</f>
        <v>#N/A</v>
      </c>
      <c r="K125" s="201" t="e">
        <f aca="false">IF(A126="","",J125)</f>
        <v>#N/A</v>
      </c>
      <c r="L125" s="200" t="e">
        <f aca="false">IF($A126="","",VLOOKUP($A125,Table,MATCH(L$4,Curves,0)))</f>
        <v>#N/A</v>
      </c>
      <c r="M125" s="201" t="e">
        <f aca="false">IF(A126="","",L125)</f>
        <v>#N/A</v>
      </c>
      <c r="N125" s="203"/>
      <c r="O125" s="200" t="e">
        <f aca="false">IF(A126="","",L125+J125+G125)</f>
        <v>#N/A</v>
      </c>
      <c r="P125" s="200" t="e">
        <f aca="false">IF(A126="","",M125+K125+H125)</f>
        <v>#N/A</v>
      </c>
      <c r="Q125" s="204"/>
      <c r="R125" s="200" t="e">
        <f aca="false">IF($A126="","",VLOOKUP($A125,Table,MATCH(R$4,Curves,0)))</f>
        <v>#N/A</v>
      </c>
      <c r="S125" s="201" t="e">
        <f aca="false">IF(A126="","",R125)</f>
        <v>#N/A</v>
      </c>
      <c r="T125" s="200" t="e">
        <f aca="false">IF($A126="","",VLOOKUP($A125,Table,MATCH(T$4,Curves,0)))</f>
        <v>#N/A</v>
      </c>
      <c r="U125" s="201" t="e">
        <f aca="false">IF(A126="","",T125)</f>
        <v>#N/A</v>
      </c>
      <c r="V125" s="225" t="e">
        <f aca="false">IF($A126="","",IF(AND(MONTH(A125)&gt;3,MONTH(A125)&lt;11),(T125+R125+G125)*Summary!$T$9/(1-Summary!$T$9),(T125+R125+G125)*Summary!$U$9/(1-Summary!$U$9)))</f>
        <v>#N/A</v>
      </c>
      <c r="W125" s="200" t="e">
        <f aca="false">IF($A126="","",(T125+R125+G125+V125))</f>
        <v>#N/A</v>
      </c>
      <c r="X125" s="200" t="e">
        <f aca="false">IF($A126="","",(U125+S125+H125+V125))</f>
        <v>#N/A</v>
      </c>
      <c r="Y125" s="202"/>
      <c r="Z125" s="185" t="e">
        <f aca="false">IF($A126="","",VLOOKUP($A125,Table,MATCH(Z$4,Curves,0)))</f>
        <v>#N/A</v>
      </c>
      <c r="AA125" s="185" t="e">
        <f aca="false">IF($A126="","",VLOOKUP($A125,Table,MATCH(AA$4,Curves,0)))</f>
        <v>#N/A</v>
      </c>
      <c r="AB125" s="185" t="e">
        <f aca="false">SQRT((AA125^2*(A125-$D$3)+Z125^2*(DAY(EOMONTH(A125,0))/2))/AK125)</f>
        <v>#N/A</v>
      </c>
      <c r="AC125" s="185" t="e">
        <f aca="false">IF($A126="","",VLOOKUP($A125,Table,MATCH(AC$4,Curves,0)))</f>
        <v>#N/A</v>
      </c>
      <c r="AD125" s="185" t="e">
        <f aca="false">IF($A126="","",VLOOKUP($A125,Table,MATCH(AD$4,Curves,0)))</f>
        <v>#N/A</v>
      </c>
      <c r="AE125" s="185" t="e">
        <f aca="false">SQRT((AD125^2*(A125-$D$3)+AC125^2*(DAY(EOMONTH(A125,0))/2))/AK125)</f>
        <v>#N/A</v>
      </c>
      <c r="AF125" s="224" t="e">
        <f aca="false">((Summary!$N$9*(AA125*AD125)*(A125-$D$3))+(Summary!$M$9*Z125*AC125*(AJ125-EOMONTH(EDATE(A125,-1),0))))/(AK125*AB125*AE125)</f>
        <v>#N/A</v>
      </c>
      <c r="AG125" s="207" t="n">
        <f aca="false">IF($A126="","",Summary!$Q$9)</f>
        <v>0</v>
      </c>
      <c r="AH125" s="207" t="n">
        <f aca="false">IF($A126="","",IF(Summary!$R$9="Y",VLOOKUP($A125,Summary!$AD$6:$AF$9,3)+'Escalating commodity'!E138,'Escalating commodity'!E138))</f>
        <v>0.0707</v>
      </c>
      <c r="AI125" s="207" t="n">
        <f aca="false">IF($A126="","",AH125)</f>
        <v>0.0707</v>
      </c>
      <c r="AJ125" s="208" t="n">
        <f aca="false">A125+DAY(EOMONTH(A125,0))/2-1</f>
        <v>40558.5</v>
      </c>
      <c r="AK125" s="209" t="n">
        <f aca="false">IF($A126="","",$A125-$E$1)</f>
        <v>-5382</v>
      </c>
      <c r="AL125" s="182" t="e">
        <f aca="false">IF($A126="","",SPRDOPT(P125,X125,AI125,0,AB125,AE125,AF125,AK125,$AJ$2,0))</f>
        <v>#NAME?</v>
      </c>
      <c r="AM125" s="211" t="e">
        <f aca="false">IF($A126="","",MAX(0,O125-W125-AI125))</f>
        <v>#N/A</v>
      </c>
      <c r="AN125" s="211" t="e">
        <f aca="false">IF($A126="","",AL125-AM125)</f>
        <v>#N/A</v>
      </c>
      <c r="AO125" s="137" t="n">
        <f aca="false">IF(A126="","",A126-A125)</f>
        <v>31</v>
      </c>
      <c r="AP125" s="212" t="n">
        <f aca="false">IF(A126="","",CHOOSE(F$3,A126+24,A125))</f>
        <v>40544</v>
      </c>
      <c r="AQ125" s="209" t="n">
        <f aca="false">IF(A126="","",AP125-$E$1)</f>
        <v>-5382</v>
      </c>
      <c r="AR125" s="185" t="n">
        <f aca="false">'ANR OK vs ML7'!AR125</f>
        <v>0.1</v>
      </c>
      <c r="AS125" s="213" t="n">
        <f aca="false">IF(A126="","",1/(1+CHOOSE(F$3,(AR126+($I$3/10000))/2,(AR125+($I$3/10000))/2))^(2*AQ125/365.25))</f>
        <v>4.21166121789694</v>
      </c>
      <c r="AT125" s="137" t="n">
        <f aca="false">IF(A126="","",IF(AND(mthbeg&lt;=A125,mthend&gt;=A125),1,0))</f>
        <v>1</v>
      </c>
      <c r="AU125" s="137" t="n">
        <f aca="false">IF(A126="","",AO125*AT125)</f>
        <v>31</v>
      </c>
      <c r="AW125" s="195" t="e">
        <f aca="false">IF($A126="","",AL125*$E125)</f>
        <v>#NAME?</v>
      </c>
      <c r="AX125" s="195" t="e">
        <f aca="false">IF($A126="","",AM125*$E125)</f>
        <v>#N/A</v>
      </c>
      <c r="AY125" s="195" t="e">
        <f aca="false">IF($A126="","",AN125*$E125)</f>
        <v>#N/A</v>
      </c>
      <c r="BA125" s="195" t="n">
        <f aca="false">IF($A126="","",F125*Summary!$Q$9)</f>
        <v>0</v>
      </c>
      <c r="BC125" s="179" t="e">
        <f aca="false">IF(A126="","",AM125*F125)</f>
        <v>#N/A</v>
      </c>
    </row>
    <row r="126" customFormat="false" ht="12.75" hidden="false" customHeight="false" outlineLevel="0" collapsed="false">
      <c r="A126" s="196" t="n">
        <f aca="false">IF(A125&lt;mthend,EDATE(A125,1),"")</f>
        <v>40575</v>
      </c>
      <c r="B126" s="197" t="n">
        <f aca="false">IF(A126&lt;mthend,B125,"")</f>
        <v>36050</v>
      </c>
      <c r="C126" s="215"/>
      <c r="D126" s="197" t="n">
        <f aca="false">IF(A127&lt;&gt;"",B126+C126,"")</f>
        <v>36050</v>
      </c>
      <c r="E126" s="199" t="n">
        <f aca="false">IF(A127="","",IF(AND(AT126=1,$H$3=1),D126*AO126,IF($H$3=2,D126,"N/A")))</f>
        <v>1009400</v>
      </c>
      <c r="F126" s="199" t="n">
        <f aca="false">IF(A127="","",E126*AS126)</f>
        <v>4216187.49130134</v>
      </c>
      <c r="G126" s="200" t="e">
        <f aca="false">IF($A127="","",VLOOKUP($A126,Table,MATCH(G$4,Curves,0)))</f>
        <v>#N/A</v>
      </c>
      <c r="H126" s="201" t="e">
        <f aca="false">IF(A127="","",G126)</f>
        <v>#N/A</v>
      </c>
      <c r="I126" s="202"/>
      <c r="J126" s="200" t="e">
        <f aca="false">IF($A127="","",VLOOKUP($A126,Table,MATCH(J$4,Curves,0)))</f>
        <v>#N/A</v>
      </c>
      <c r="K126" s="201" t="e">
        <f aca="false">IF(A127="","",J126)</f>
        <v>#N/A</v>
      </c>
      <c r="L126" s="200" t="e">
        <f aca="false">IF($A127="","",VLOOKUP($A126,Table,MATCH(L$4,Curves,0)))</f>
        <v>#N/A</v>
      </c>
      <c r="M126" s="201" t="e">
        <f aca="false">IF(A127="","",L126)</f>
        <v>#N/A</v>
      </c>
      <c r="N126" s="203"/>
      <c r="O126" s="200" t="e">
        <f aca="false">IF(A127="","",L126+J126+G126)</f>
        <v>#N/A</v>
      </c>
      <c r="P126" s="200" t="e">
        <f aca="false">IF(A127="","",M126+K126+H126)</f>
        <v>#N/A</v>
      </c>
      <c r="Q126" s="204"/>
      <c r="R126" s="200" t="e">
        <f aca="false">IF($A127="","",VLOOKUP($A126,Table,MATCH(R$4,Curves,0)))</f>
        <v>#N/A</v>
      </c>
      <c r="S126" s="201" t="e">
        <f aca="false">IF(A127="","",R126)</f>
        <v>#N/A</v>
      </c>
      <c r="T126" s="200" t="e">
        <f aca="false">IF($A127="","",VLOOKUP($A126,Table,MATCH(T$4,Curves,0)))</f>
        <v>#N/A</v>
      </c>
      <c r="U126" s="201" t="e">
        <f aca="false">IF(A127="","",T126)</f>
        <v>#N/A</v>
      </c>
      <c r="V126" s="225" t="e">
        <f aca="false">IF($A127="","",IF(AND(MONTH(A126)&gt;3,MONTH(A126)&lt;11),(T126+R126+G126)*Summary!$T$9/(1-Summary!$T$9),(T126+R126+G126)*Summary!$U$9/(1-Summary!$U$9)))</f>
        <v>#N/A</v>
      </c>
      <c r="W126" s="200" t="e">
        <f aca="false">IF($A127="","",(T126+R126+G126+V126))</f>
        <v>#N/A</v>
      </c>
      <c r="X126" s="200" t="e">
        <f aca="false">IF($A127="","",(U126+S126+H126+V126))</f>
        <v>#N/A</v>
      </c>
      <c r="Y126" s="202"/>
      <c r="Z126" s="185" t="e">
        <f aca="false">IF($A127="","",VLOOKUP($A126,Table,MATCH(Z$4,Curves,0)))</f>
        <v>#N/A</v>
      </c>
      <c r="AA126" s="185" t="e">
        <f aca="false">IF($A127="","",VLOOKUP($A126,Table,MATCH(AA$4,Curves,0)))</f>
        <v>#N/A</v>
      </c>
      <c r="AB126" s="185" t="e">
        <f aca="false">SQRT((AA126^2*(A126-$D$3)+Z126^2*(DAY(EOMONTH(A126,0))/2))/AK126)</f>
        <v>#N/A</v>
      </c>
      <c r="AC126" s="185" t="e">
        <f aca="false">IF($A127="","",VLOOKUP($A126,Table,MATCH(AC$4,Curves,0)))</f>
        <v>#N/A</v>
      </c>
      <c r="AD126" s="185" t="e">
        <f aca="false">IF($A127="","",VLOOKUP($A126,Table,MATCH(AD$4,Curves,0)))</f>
        <v>#N/A</v>
      </c>
      <c r="AE126" s="185" t="e">
        <f aca="false">SQRT((AD126^2*(A126-$D$3)+AC126^2*(DAY(EOMONTH(A126,0))/2))/AK126)</f>
        <v>#N/A</v>
      </c>
      <c r="AF126" s="224" t="e">
        <f aca="false">((Summary!$N$9*(AA126*AD126)*(A126-$D$3))+(Summary!$M$9*Z126*AC126*(AJ126-EOMONTH(EDATE(A126,-1),0))))/(AK126*AB126*AE126)</f>
        <v>#N/A</v>
      </c>
      <c r="AG126" s="207" t="n">
        <f aca="false">IF($A127="","",Summary!$Q$9)</f>
        <v>0</v>
      </c>
      <c r="AH126" s="207" t="n">
        <f aca="false">IF($A127="","",IF(Summary!$R$9="Y",VLOOKUP($A126,Summary!$AD$6:$AF$9,3)+'Escalating commodity'!E139,'Escalating commodity'!E139))</f>
        <v>0.0707</v>
      </c>
      <c r="AI126" s="207" t="n">
        <f aca="false">IF($A127="","",AH126)</f>
        <v>0.0707</v>
      </c>
      <c r="AJ126" s="208" t="n">
        <f aca="false">A126+DAY(EOMONTH(A126,0))/2-1</f>
        <v>40588</v>
      </c>
      <c r="AK126" s="209" t="n">
        <f aca="false">IF($A127="","",$A126-$E$1)</f>
        <v>-5351</v>
      </c>
      <c r="AL126" s="182" t="e">
        <f aca="false">IF($A127="","",SPRDOPT(P126,X126,AI126,0,AB126,AE126,AF126,AK126,$AJ$2,0))</f>
        <v>#NAME?</v>
      </c>
      <c r="AM126" s="211" t="e">
        <f aca="false">IF($A127="","",MAX(0,O126-W126-AI126))</f>
        <v>#N/A</v>
      </c>
      <c r="AN126" s="211" t="e">
        <f aca="false">IF($A127="","",AL126-AM126)</f>
        <v>#N/A</v>
      </c>
      <c r="AO126" s="137" t="n">
        <f aca="false">IF(A127="","",A127-A126)</f>
        <v>28</v>
      </c>
      <c r="AP126" s="212" t="n">
        <f aca="false">IF(A127="","",CHOOSE(F$3,A127+24,A126))</f>
        <v>40575</v>
      </c>
      <c r="AQ126" s="209" t="n">
        <f aca="false">IF(A127="","",AP126-$E$1)</f>
        <v>-5351</v>
      </c>
      <c r="AR126" s="185" t="n">
        <f aca="false">'ANR OK vs ML7'!AR126</f>
        <v>0.1</v>
      </c>
      <c r="AS126" s="213" t="n">
        <f aca="false">IF(A127="","",1/(1+CHOOSE(F$3,(AR127+($I$3/10000))/2,(AR126+($I$3/10000))/2))^(2*AQ126/365.25))</f>
        <v>4.17692440192326</v>
      </c>
      <c r="AT126" s="137" t="n">
        <f aca="false">IF(A127="","",IF(AND(mthbeg&lt;=A126,mthend&gt;=A126),1,0))</f>
        <v>1</v>
      </c>
      <c r="AU126" s="137" t="n">
        <f aca="false">IF(A127="","",AO126*AT126)</f>
        <v>28</v>
      </c>
      <c r="AW126" s="195" t="e">
        <f aca="false">IF($A127="","",AL126*$E126)</f>
        <v>#NAME?</v>
      </c>
      <c r="AX126" s="195" t="e">
        <f aca="false">IF($A127="","",AM126*$E126)</f>
        <v>#N/A</v>
      </c>
      <c r="AY126" s="195" t="e">
        <f aca="false">IF($A127="","",AN126*$E126)</f>
        <v>#N/A</v>
      </c>
      <c r="BA126" s="195" t="n">
        <f aca="false">IF($A127="","",F126*Summary!$Q$9)</f>
        <v>0</v>
      </c>
      <c r="BC126" s="179" t="e">
        <f aca="false">IF(A127="","",AM126*F126)</f>
        <v>#N/A</v>
      </c>
    </row>
    <row r="127" customFormat="false" ht="12.75" hidden="false" customHeight="false" outlineLevel="0" collapsed="false">
      <c r="A127" s="196" t="n">
        <f aca="false">IF(A126&lt;mthend,EDATE(A126,1),"")</f>
        <v>40603</v>
      </c>
      <c r="B127" s="197" t="n">
        <f aca="false">IF(A127&lt;mthend,B126,"")</f>
        <v>36050</v>
      </c>
      <c r="C127" s="215"/>
      <c r="D127" s="197" t="n">
        <f aca="false">IF(A128&lt;&gt;"",B127+C127,"")</f>
        <v>36050</v>
      </c>
      <c r="E127" s="199" t="n">
        <f aca="false">IF(A128="","",IF(AND(AT127=1,$H$3=1),D127*AO127,IF($H$3=2,D127,"N/A")))</f>
        <v>1117550</v>
      </c>
      <c r="F127" s="199" t="n">
        <f aca="false">IF(A128="","",E127*AS127)</f>
        <v>4633133.79783824</v>
      </c>
      <c r="G127" s="200" t="e">
        <f aca="false">IF($A128="","",VLOOKUP($A127,Table,MATCH(G$4,Curves,0)))</f>
        <v>#N/A</v>
      </c>
      <c r="H127" s="201" t="e">
        <f aca="false">IF(A128="","",G127)</f>
        <v>#N/A</v>
      </c>
      <c r="I127" s="202"/>
      <c r="J127" s="200" t="e">
        <f aca="false">IF($A128="","",VLOOKUP($A127,Table,MATCH(J$4,Curves,0)))</f>
        <v>#N/A</v>
      </c>
      <c r="K127" s="201" t="e">
        <f aca="false">IF(A128="","",J127)</f>
        <v>#N/A</v>
      </c>
      <c r="L127" s="200" t="e">
        <f aca="false">IF($A128="","",VLOOKUP($A127,Table,MATCH(L$4,Curves,0)))</f>
        <v>#N/A</v>
      </c>
      <c r="M127" s="201" t="e">
        <f aca="false">IF(A128="","",L127)</f>
        <v>#N/A</v>
      </c>
      <c r="N127" s="203"/>
      <c r="O127" s="200" t="e">
        <f aca="false">IF(A128="","",L127+J127+G127)</f>
        <v>#N/A</v>
      </c>
      <c r="P127" s="200" t="e">
        <f aca="false">IF(A128="","",M127+K127+H127)</f>
        <v>#N/A</v>
      </c>
      <c r="Q127" s="204"/>
      <c r="R127" s="200" t="e">
        <f aca="false">IF($A128="","",VLOOKUP($A127,Table,MATCH(R$4,Curves,0)))</f>
        <v>#N/A</v>
      </c>
      <c r="S127" s="201" t="e">
        <f aca="false">IF(A128="","",R127)</f>
        <v>#N/A</v>
      </c>
      <c r="T127" s="200" t="e">
        <f aca="false">IF($A128="","",VLOOKUP($A127,Table,MATCH(T$4,Curves,0)))</f>
        <v>#N/A</v>
      </c>
      <c r="U127" s="201" t="e">
        <f aca="false">IF(A128="","",T127)</f>
        <v>#N/A</v>
      </c>
      <c r="V127" s="225" t="e">
        <f aca="false">IF($A128="","",IF(AND(MONTH(A127)&gt;3,MONTH(A127)&lt;11),(T127+R127+G127)*Summary!$T$9/(1-Summary!$T$9),(T127+R127+G127)*Summary!$U$9/(1-Summary!$U$9)))</f>
        <v>#N/A</v>
      </c>
      <c r="W127" s="200" t="e">
        <f aca="false">IF($A128="","",(T127+R127+G127+V127))</f>
        <v>#N/A</v>
      </c>
      <c r="X127" s="200" t="e">
        <f aca="false">IF($A128="","",(U127+S127+H127+V127))</f>
        <v>#N/A</v>
      </c>
      <c r="Y127" s="202"/>
      <c r="Z127" s="185" t="e">
        <f aca="false">IF($A128="","",VLOOKUP($A127,Table,MATCH(Z$4,Curves,0)))</f>
        <v>#N/A</v>
      </c>
      <c r="AA127" s="185" t="e">
        <f aca="false">IF($A128="","",VLOOKUP($A127,Table,MATCH(AA$4,Curves,0)))</f>
        <v>#N/A</v>
      </c>
      <c r="AB127" s="185" t="e">
        <f aca="false">SQRT((AA127^2*(A127-$D$3)+Z127^2*(DAY(EOMONTH(A127,0))/2))/AK127)</f>
        <v>#N/A</v>
      </c>
      <c r="AC127" s="185" t="e">
        <f aca="false">IF($A128="","",VLOOKUP($A127,Table,MATCH(AC$4,Curves,0)))</f>
        <v>#N/A</v>
      </c>
      <c r="AD127" s="185" t="e">
        <f aca="false">IF($A128="","",VLOOKUP($A127,Table,MATCH(AD$4,Curves,0)))</f>
        <v>#N/A</v>
      </c>
      <c r="AE127" s="185" t="e">
        <f aca="false">SQRT((AD127^2*(A127-$D$3)+AC127^2*(DAY(EOMONTH(A127,0))/2))/AK127)</f>
        <v>#N/A</v>
      </c>
      <c r="AF127" s="224" t="e">
        <f aca="false">((Summary!$N$9*(AA127*AD127)*(A127-$D$3))+(Summary!$M$9*Z127*AC127*(AJ127-EOMONTH(EDATE(A127,-1),0))))/(AK127*AB127*AE127)</f>
        <v>#N/A</v>
      </c>
      <c r="AG127" s="207" t="n">
        <f aca="false">IF($A128="","",Summary!$Q$9)</f>
        <v>0</v>
      </c>
      <c r="AH127" s="207" t="n">
        <f aca="false">IF($A128="","",IF(Summary!$R$9="Y",VLOOKUP($A127,Summary!$AD$6:$AF$9,3)+'Escalating commodity'!E140,'Escalating commodity'!E140))</f>
        <v>0.0707</v>
      </c>
      <c r="AI127" s="207" t="n">
        <f aca="false">IF($A128="","",AH127)</f>
        <v>0.0707</v>
      </c>
      <c r="AJ127" s="208" t="n">
        <f aca="false">A127+DAY(EOMONTH(A127,0))/2-1</f>
        <v>40617.5</v>
      </c>
      <c r="AK127" s="209" t="n">
        <f aca="false">IF($A128="","",$A127-$E$1)</f>
        <v>-5323</v>
      </c>
      <c r="AL127" s="182" t="e">
        <f aca="false">IF($A128="","",SPRDOPT(P127,X127,AI127,0,AB127,AE127,AF127,AK127,$AJ$2,0))</f>
        <v>#NAME?</v>
      </c>
      <c r="AM127" s="211" t="e">
        <f aca="false">IF($A128="","",MAX(0,O127-W127-AI127))</f>
        <v>#N/A</v>
      </c>
      <c r="AN127" s="211" t="e">
        <f aca="false">IF($A128="","",AL127-AM127)</f>
        <v>#N/A</v>
      </c>
      <c r="AO127" s="137" t="n">
        <f aca="false">IF(A128="","",A128-A127)</f>
        <v>31</v>
      </c>
      <c r="AP127" s="212" t="n">
        <f aca="false">IF(A128="","",CHOOSE(F$3,A128+24,A127))</f>
        <v>40603</v>
      </c>
      <c r="AQ127" s="209" t="n">
        <f aca="false">IF(A128="","",AP127-$E$1)</f>
        <v>-5323</v>
      </c>
      <c r="AR127" s="185" t="n">
        <f aca="false">'ANR OK vs ML7'!AR127</f>
        <v>0.1</v>
      </c>
      <c r="AS127" s="213" t="n">
        <f aca="false">IF(A128="","",1/(1+CHOOSE(F$3,(AR128+($I$3/10000))/2,(AR127+($I$3/10000))/2))^(2*AQ127/365.25))</f>
        <v>4.14579553294102</v>
      </c>
      <c r="AT127" s="137" t="n">
        <f aca="false">IF(A128="","",IF(AND(mthbeg&lt;=A127,mthend&gt;=A127),1,0))</f>
        <v>1</v>
      </c>
      <c r="AU127" s="137" t="n">
        <f aca="false">IF(A128="","",AO127*AT127)</f>
        <v>31</v>
      </c>
      <c r="AW127" s="195" t="e">
        <f aca="false">IF($A128="","",AL127*$E127)</f>
        <v>#NAME?</v>
      </c>
      <c r="AX127" s="195" t="e">
        <f aca="false">IF($A128="","",AM127*$E127)</f>
        <v>#N/A</v>
      </c>
      <c r="AY127" s="195" t="e">
        <f aca="false">IF($A128="","",AN127*$E127)</f>
        <v>#N/A</v>
      </c>
      <c r="BA127" s="195" t="n">
        <f aca="false">IF($A128="","",F127*Summary!$Q$9)</f>
        <v>0</v>
      </c>
      <c r="BC127" s="179" t="e">
        <f aca="false">IF(A128="","",AM127*F127)</f>
        <v>#N/A</v>
      </c>
    </row>
    <row r="128" customFormat="false" ht="12.75" hidden="false" customHeight="false" outlineLevel="0" collapsed="false">
      <c r="A128" s="196" t="n">
        <f aca="false">IF(A127&lt;mthend,EDATE(A127,1),"")</f>
        <v>40634</v>
      </c>
      <c r="B128" s="197" t="n">
        <f aca="false">IF(A128&lt;mthend,B127,"")</f>
        <v>36050</v>
      </c>
      <c r="C128" s="215"/>
      <c r="D128" s="197" t="n">
        <f aca="false">IF(A129&lt;&gt;"",B128+C128,"")</f>
        <v>36050</v>
      </c>
      <c r="E128" s="199" t="n">
        <f aca="false">IF(A129="","",IF(AND(AT128=1,$H$3=1),D128*AO128,IF($H$3=2,D128,"N/A")))</f>
        <v>1081500</v>
      </c>
      <c r="F128" s="199" t="n">
        <f aca="false">IF(A129="","",E128*AS128)</f>
        <v>4446697.52193932</v>
      </c>
      <c r="G128" s="200" t="e">
        <f aca="false">IF($A129="","",VLOOKUP($A128,Table,MATCH(G$4,Curves,0)))</f>
        <v>#N/A</v>
      </c>
      <c r="H128" s="201" t="e">
        <f aca="false">IF(A129="","",G128)</f>
        <v>#N/A</v>
      </c>
      <c r="I128" s="202"/>
      <c r="J128" s="200" t="e">
        <f aca="false">IF($A129="","",VLOOKUP($A128,Table,MATCH(J$4,Curves,0)))</f>
        <v>#N/A</v>
      </c>
      <c r="K128" s="201" t="e">
        <f aca="false">IF(A129="","",J128)</f>
        <v>#N/A</v>
      </c>
      <c r="L128" s="200" t="e">
        <f aca="false">IF($A129="","",VLOOKUP($A128,Table,MATCH(L$4,Curves,0)))</f>
        <v>#N/A</v>
      </c>
      <c r="M128" s="201" t="e">
        <f aca="false">IF(A129="","",L128)</f>
        <v>#N/A</v>
      </c>
      <c r="N128" s="203"/>
      <c r="O128" s="200" t="e">
        <f aca="false">IF(A129="","",L128+J128+G128)</f>
        <v>#N/A</v>
      </c>
      <c r="P128" s="200" t="e">
        <f aca="false">IF(A129="","",M128+K128+H128)</f>
        <v>#N/A</v>
      </c>
      <c r="Q128" s="204"/>
      <c r="R128" s="200" t="e">
        <f aca="false">IF($A129="","",VLOOKUP($A128,Table,MATCH(R$4,Curves,0)))</f>
        <v>#N/A</v>
      </c>
      <c r="S128" s="201" t="e">
        <f aca="false">IF(A129="","",R128)</f>
        <v>#N/A</v>
      </c>
      <c r="T128" s="200" t="e">
        <f aca="false">IF($A129="","",VLOOKUP($A128,Table,MATCH(T$4,Curves,0)))</f>
        <v>#N/A</v>
      </c>
      <c r="U128" s="201" t="e">
        <f aca="false">IF(A129="","",T128)</f>
        <v>#N/A</v>
      </c>
      <c r="V128" s="225" t="e">
        <f aca="false">IF($A129="","",IF(AND(MONTH(A128)&gt;3,MONTH(A128)&lt;11),(T128+R128+G128)*Summary!$T$9/(1-Summary!$T$9),(T128+R128+G128)*Summary!$U$9/(1-Summary!$U$9)))</f>
        <v>#N/A</v>
      </c>
      <c r="W128" s="200" t="e">
        <f aca="false">IF($A129="","",(T128+R128+G128+V128))</f>
        <v>#N/A</v>
      </c>
      <c r="X128" s="200" t="e">
        <f aca="false">IF($A129="","",(U128+S128+H128+V128))</f>
        <v>#N/A</v>
      </c>
      <c r="Y128" s="202"/>
      <c r="Z128" s="185" t="e">
        <f aca="false">IF($A129="","",VLOOKUP($A128,Table,MATCH(Z$4,Curves,0)))</f>
        <v>#N/A</v>
      </c>
      <c r="AA128" s="185" t="e">
        <f aca="false">IF($A129="","",VLOOKUP($A128,Table,MATCH(AA$4,Curves,0)))</f>
        <v>#N/A</v>
      </c>
      <c r="AB128" s="185" t="e">
        <f aca="false">SQRT((AA128^2*(A128-$D$3)+Z128^2*(DAY(EOMONTH(A128,0))/2))/AK128)</f>
        <v>#N/A</v>
      </c>
      <c r="AC128" s="185" t="e">
        <f aca="false">IF($A129="","",VLOOKUP($A128,Table,MATCH(AC$4,Curves,0)))</f>
        <v>#N/A</v>
      </c>
      <c r="AD128" s="185" t="e">
        <f aca="false">IF($A129="","",VLOOKUP($A128,Table,MATCH(AD$4,Curves,0)))</f>
        <v>#N/A</v>
      </c>
      <c r="AE128" s="185" t="e">
        <f aca="false">SQRT((AD128^2*(A128-$D$3)+AC128^2*(DAY(EOMONTH(A128,0))/2))/AK128)</f>
        <v>#N/A</v>
      </c>
      <c r="AF128" s="224" t="e">
        <f aca="false">((Summary!$N$9*(AA128*AD128)*(A128-$D$3))+(Summary!$M$9*Z128*AC128*(AJ128-EOMONTH(EDATE(A128,-1),0))))/(AK128*AB128*AE128)</f>
        <v>#N/A</v>
      </c>
      <c r="AG128" s="207" t="n">
        <f aca="false">IF($A129="","",Summary!$Q$9)</f>
        <v>0</v>
      </c>
      <c r="AH128" s="207" t="n">
        <f aca="false">IF($A129="","",IF(Summary!$R$9="Y",VLOOKUP($A128,Summary!$AD$6:$AF$9,3)+'Escalating commodity'!E141,'Escalating commodity'!E141))</f>
        <v>0.0707</v>
      </c>
      <c r="AI128" s="207" t="n">
        <f aca="false">IF($A129="","",AH128)</f>
        <v>0.0707</v>
      </c>
      <c r="AJ128" s="208" t="n">
        <f aca="false">A128+DAY(EOMONTH(A128,0))/2-1</f>
        <v>40648</v>
      </c>
      <c r="AK128" s="209" t="n">
        <f aca="false">IF($A129="","",$A128-$E$1)</f>
        <v>-5292</v>
      </c>
      <c r="AL128" s="182" t="e">
        <f aca="false">IF($A129="","",SPRDOPT(P128,X128,AI128,0,AB128,AE128,AF128,AK128,$AJ$2,0))</f>
        <v>#NAME?</v>
      </c>
      <c r="AM128" s="211" t="e">
        <f aca="false">IF($A129="","",MAX(0,O128-W128-AI128))</f>
        <v>#N/A</v>
      </c>
      <c r="AN128" s="211" t="e">
        <f aca="false">IF($A129="","",AL128-AM128)</f>
        <v>#N/A</v>
      </c>
      <c r="AO128" s="137" t="n">
        <f aca="false">IF(A129="","",A129-A128)</f>
        <v>30</v>
      </c>
      <c r="AP128" s="212" t="n">
        <f aca="false">IF(A129="","",CHOOSE(F$3,A129+24,A128))</f>
        <v>40634</v>
      </c>
      <c r="AQ128" s="209" t="n">
        <f aca="false">IF(A129="","",AP128-$E$1)</f>
        <v>-5292</v>
      </c>
      <c r="AR128" s="185" t="n">
        <f aca="false">'ANR OK vs ML7'!AR128</f>
        <v>0.1</v>
      </c>
      <c r="AS128" s="213" t="n">
        <f aca="false">IF(A129="","",1/(1+CHOOSE(F$3,(AR129+($I$3/10000))/2,(AR128+($I$3/10000))/2))^(2*AQ128/365.25))</f>
        <v>4.11160196203358</v>
      </c>
      <c r="AT128" s="137" t="n">
        <f aca="false">IF(A129="","",IF(AND(mthbeg&lt;=A128,mthend&gt;=A128),1,0))</f>
        <v>1</v>
      </c>
      <c r="AU128" s="137" t="n">
        <f aca="false">IF(A129="","",AO128*AT128)</f>
        <v>30</v>
      </c>
      <c r="AW128" s="195" t="e">
        <f aca="false">IF($A129="","",AL128*$E128)</f>
        <v>#NAME?</v>
      </c>
      <c r="AX128" s="195" t="e">
        <f aca="false">IF($A129="","",AM128*$E128)</f>
        <v>#N/A</v>
      </c>
      <c r="AY128" s="195" t="e">
        <f aca="false">IF($A129="","",AN128*$E128)</f>
        <v>#N/A</v>
      </c>
      <c r="BA128" s="195" t="n">
        <f aca="false">IF($A129="","",F128*Summary!$Q$9)</f>
        <v>0</v>
      </c>
      <c r="BC128" s="179" t="e">
        <f aca="false">IF(A129="","",AM128*F128)</f>
        <v>#N/A</v>
      </c>
    </row>
    <row r="129" customFormat="false" ht="12.75" hidden="false" customHeight="false" outlineLevel="0" collapsed="false">
      <c r="A129" s="196" t="n">
        <f aca="false">IF(A128&lt;mthend,EDATE(A128,1),"")</f>
        <v>40664</v>
      </c>
      <c r="B129" s="197" t="n">
        <f aca="false">IF(A129&lt;mthend,B128,"")</f>
        <v>36050</v>
      </c>
      <c r="C129" s="215"/>
      <c r="D129" s="197" t="n">
        <f aca="false">IF(A130&lt;&gt;"",B129+C129,"")</f>
        <v>36050</v>
      </c>
      <c r="E129" s="199" t="n">
        <f aca="false">IF(A130="","",IF(AND(AT129=1,$H$3=1),D129*AO129,IF($H$3=2,D129,"N/A")))</f>
        <v>1117550</v>
      </c>
      <c r="F129" s="199" t="n">
        <f aca="false">IF(A130="","",E129*AS129)</f>
        <v>4558240.53838391</v>
      </c>
      <c r="G129" s="200" t="e">
        <f aca="false">IF($A130="","",VLOOKUP($A129,Table,MATCH(G$4,Curves,0)))</f>
        <v>#N/A</v>
      </c>
      <c r="H129" s="201" t="e">
        <f aca="false">IF(A130="","",G129)</f>
        <v>#N/A</v>
      </c>
      <c r="I129" s="202"/>
      <c r="J129" s="200" t="e">
        <f aca="false">IF($A130="","",VLOOKUP($A129,Table,MATCH(J$4,Curves,0)))</f>
        <v>#N/A</v>
      </c>
      <c r="K129" s="201" t="e">
        <f aca="false">IF(A130="","",J129)</f>
        <v>#N/A</v>
      </c>
      <c r="L129" s="200" t="e">
        <f aca="false">IF($A130="","",VLOOKUP($A129,Table,MATCH(L$4,Curves,0)))</f>
        <v>#N/A</v>
      </c>
      <c r="M129" s="201" t="e">
        <f aca="false">IF(A130="","",L129)</f>
        <v>#N/A</v>
      </c>
      <c r="N129" s="203"/>
      <c r="O129" s="200" t="e">
        <f aca="false">IF(A130="","",L129+J129+G129)</f>
        <v>#N/A</v>
      </c>
      <c r="P129" s="200" t="e">
        <f aca="false">IF(A130="","",M129+K129+H129)</f>
        <v>#N/A</v>
      </c>
      <c r="Q129" s="204"/>
      <c r="R129" s="200" t="e">
        <f aca="false">IF($A130="","",VLOOKUP($A129,Table,MATCH(R$4,Curves,0)))</f>
        <v>#N/A</v>
      </c>
      <c r="S129" s="201" t="e">
        <f aca="false">IF(A130="","",R129)</f>
        <v>#N/A</v>
      </c>
      <c r="T129" s="200" t="e">
        <f aca="false">IF($A130="","",VLOOKUP($A129,Table,MATCH(T$4,Curves,0)))</f>
        <v>#N/A</v>
      </c>
      <c r="U129" s="201" t="e">
        <f aca="false">IF(A130="","",T129)</f>
        <v>#N/A</v>
      </c>
      <c r="V129" s="225" t="e">
        <f aca="false">IF($A130="","",IF(AND(MONTH(A129)&gt;3,MONTH(A129)&lt;11),(T129+R129+G129)*Summary!$T$9/(1-Summary!$T$9),(T129+R129+G129)*Summary!$U$9/(1-Summary!$U$9)))</f>
        <v>#N/A</v>
      </c>
      <c r="W129" s="200" t="e">
        <f aca="false">IF($A130="","",(T129+R129+G129+V129))</f>
        <v>#N/A</v>
      </c>
      <c r="X129" s="200" t="e">
        <f aca="false">IF($A130="","",(U129+S129+H129+V129))</f>
        <v>#N/A</v>
      </c>
      <c r="Y129" s="202"/>
      <c r="Z129" s="185" t="e">
        <f aca="false">IF($A130="","",VLOOKUP($A129,Table,MATCH(Z$4,Curves,0)))</f>
        <v>#N/A</v>
      </c>
      <c r="AA129" s="185" t="e">
        <f aca="false">IF($A130="","",VLOOKUP($A129,Table,MATCH(AA$4,Curves,0)))</f>
        <v>#N/A</v>
      </c>
      <c r="AB129" s="185" t="e">
        <f aca="false">SQRT((AA129^2*(A129-$D$3)+Z129^2*(DAY(EOMONTH(A129,0))/2))/AK129)</f>
        <v>#N/A</v>
      </c>
      <c r="AC129" s="185" t="e">
        <f aca="false">IF($A130="","",VLOOKUP($A129,Table,MATCH(AC$4,Curves,0)))</f>
        <v>#N/A</v>
      </c>
      <c r="AD129" s="185" t="e">
        <f aca="false">IF($A130="","",VLOOKUP($A129,Table,MATCH(AD$4,Curves,0)))</f>
        <v>#N/A</v>
      </c>
      <c r="AE129" s="185" t="e">
        <f aca="false">SQRT((AD129^2*(A129-$D$3)+AC129^2*(DAY(EOMONTH(A129,0))/2))/AK129)</f>
        <v>#N/A</v>
      </c>
      <c r="AF129" s="224" t="e">
        <f aca="false">((Summary!$N$9*(AA129*AD129)*(A129-$D$3))+(Summary!$M$9*Z129*AC129*(AJ129-EOMONTH(EDATE(A129,-1),0))))/(AK129*AB129*AE129)</f>
        <v>#N/A</v>
      </c>
      <c r="AG129" s="207" t="n">
        <f aca="false">IF($A130="","",Summary!$Q$9)</f>
        <v>0</v>
      </c>
      <c r="AH129" s="207" t="n">
        <f aca="false">IF($A130="","",IF(Summary!$R$9="Y",VLOOKUP($A129,Summary!$AD$6:$AF$9,3)+'Escalating commodity'!E142,'Escalating commodity'!E142))</f>
        <v>0.0707</v>
      </c>
      <c r="AI129" s="207" t="n">
        <f aca="false">IF($A130="","",AH129)</f>
        <v>0.0707</v>
      </c>
      <c r="AJ129" s="208" t="n">
        <f aca="false">A129+DAY(EOMONTH(A129,0))/2-1</f>
        <v>40678.5</v>
      </c>
      <c r="AK129" s="209" t="n">
        <f aca="false">IF($A130="","",$A129-$E$1)</f>
        <v>-5262</v>
      </c>
      <c r="AL129" s="182" t="e">
        <f aca="false">IF($A130="","",SPRDOPT(P129,X129,AI129,0,AB129,AE129,AF129,AK129,$AJ$2,0))</f>
        <v>#NAME?</v>
      </c>
      <c r="AM129" s="211" t="e">
        <f aca="false">IF($A130="","",MAX(0,O129-W129-AI129))</f>
        <v>#N/A</v>
      </c>
      <c r="AN129" s="211" t="e">
        <f aca="false">IF($A130="","",AL129-AM129)</f>
        <v>#N/A</v>
      </c>
      <c r="AO129" s="137" t="n">
        <f aca="false">IF(A130="","",A130-A129)</f>
        <v>31</v>
      </c>
      <c r="AP129" s="212" t="n">
        <f aca="false">IF(A130="","",CHOOSE(F$3,A130+24,A129))</f>
        <v>40664</v>
      </c>
      <c r="AQ129" s="209" t="n">
        <f aca="false">IF(A130="","",AP129-$E$1)</f>
        <v>-5262</v>
      </c>
      <c r="AR129" s="185" t="n">
        <f aca="false">'ANR OK vs ML7'!AR129</f>
        <v>0.1</v>
      </c>
      <c r="AS129" s="213" t="n">
        <f aca="false">IF(A130="","",1/(1+CHOOSE(F$3,(AR130+($I$3/10000))/2,(AR129+($I$3/10000))/2))^(2*AQ129/365.25))</f>
        <v>4.07877995470799</v>
      </c>
      <c r="AT129" s="137" t="n">
        <f aca="false">IF(A130="","",IF(AND(mthbeg&lt;=A129,mthend&gt;=A129),1,0))</f>
        <v>1</v>
      </c>
      <c r="AU129" s="137" t="n">
        <f aca="false">IF(A130="","",AO129*AT129)</f>
        <v>31</v>
      </c>
      <c r="AW129" s="195" t="e">
        <f aca="false">IF($A130="","",AL129*$E129)</f>
        <v>#NAME?</v>
      </c>
      <c r="AX129" s="195" t="e">
        <f aca="false">IF($A130="","",AM129*$E129)</f>
        <v>#N/A</v>
      </c>
      <c r="AY129" s="195" t="e">
        <f aca="false">IF($A130="","",AN129*$E129)</f>
        <v>#N/A</v>
      </c>
      <c r="BA129" s="195" t="n">
        <f aca="false">IF($A130="","",F129*Summary!$Q$9)</f>
        <v>0</v>
      </c>
      <c r="BC129" s="179" t="e">
        <f aca="false">IF(A130="","",AM129*F129)</f>
        <v>#N/A</v>
      </c>
    </row>
    <row r="130" customFormat="false" ht="12.75" hidden="false" customHeight="false" outlineLevel="0" collapsed="false">
      <c r="A130" s="196" t="n">
        <f aca="false">IF(A129&lt;mthend,EDATE(A129,1),"")</f>
        <v>40695</v>
      </c>
      <c r="B130" s="197" t="n">
        <f aca="false">IF(A130&lt;mthend,B129,"")</f>
        <v>36050</v>
      </c>
      <c r="C130" s="215"/>
      <c r="D130" s="197" t="n">
        <f aca="false">IF(A131&lt;&gt;"",B130+C130,"")</f>
        <v>36050</v>
      </c>
      <c r="E130" s="199" t="n">
        <f aca="false">IF(A131="","",IF(AND(AT130=1,$H$3=1),D130*AO130,IF($H$3=2,D130,"N/A")))</f>
        <v>1081500</v>
      </c>
      <c r="F130" s="199" t="n">
        <f aca="false">IF(A131="","",E130*AS130)</f>
        <v>4374817.95062608</v>
      </c>
      <c r="G130" s="200" t="e">
        <f aca="false">IF($A131="","",VLOOKUP($A130,Table,MATCH(G$4,Curves,0)))</f>
        <v>#N/A</v>
      </c>
      <c r="H130" s="201" t="e">
        <f aca="false">IF(A131="","",G130)</f>
        <v>#N/A</v>
      </c>
      <c r="I130" s="202"/>
      <c r="J130" s="200" t="e">
        <f aca="false">IF($A131="","",VLOOKUP($A130,Table,MATCH(J$4,Curves,0)))</f>
        <v>#N/A</v>
      </c>
      <c r="K130" s="201" t="e">
        <f aca="false">IF(A131="","",J130)</f>
        <v>#N/A</v>
      </c>
      <c r="L130" s="200" t="e">
        <f aca="false">IF($A131="","",VLOOKUP($A130,Table,MATCH(L$4,Curves,0)))</f>
        <v>#N/A</v>
      </c>
      <c r="M130" s="201" t="e">
        <f aca="false">IF(A131="","",L130)</f>
        <v>#N/A</v>
      </c>
      <c r="N130" s="203"/>
      <c r="O130" s="200" t="e">
        <f aca="false">IF(A131="","",L130+J130+G130)</f>
        <v>#N/A</v>
      </c>
      <c r="P130" s="200" t="e">
        <f aca="false">IF(A131="","",M130+K130+H130)</f>
        <v>#N/A</v>
      </c>
      <c r="Q130" s="204"/>
      <c r="R130" s="200" t="e">
        <f aca="false">IF($A131="","",VLOOKUP($A130,Table,MATCH(R$4,Curves,0)))</f>
        <v>#N/A</v>
      </c>
      <c r="S130" s="201" t="e">
        <f aca="false">IF(A131="","",R130)</f>
        <v>#N/A</v>
      </c>
      <c r="T130" s="200" t="e">
        <f aca="false">IF($A131="","",VLOOKUP($A130,Table,MATCH(T$4,Curves,0)))</f>
        <v>#N/A</v>
      </c>
      <c r="U130" s="201" t="e">
        <f aca="false">IF(A131="","",T130)</f>
        <v>#N/A</v>
      </c>
      <c r="V130" s="225" t="e">
        <f aca="false">IF($A131="","",IF(AND(MONTH(A130)&gt;3,MONTH(A130)&lt;11),(T130+R130+G130)*Summary!$T$9/(1-Summary!$T$9),(T130+R130+G130)*Summary!$U$9/(1-Summary!$U$9)))</f>
        <v>#N/A</v>
      </c>
      <c r="W130" s="200" t="e">
        <f aca="false">IF($A131="","",(T130+R130+G130+V130))</f>
        <v>#N/A</v>
      </c>
      <c r="X130" s="200" t="e">
        <f aca="false">IF($A131="","",(U130+S130+H130+V130))</f>
        <v>#N/A</v>
      </c>
      <c r="Y130" s="202"/>
      <c r="Z130" s="185" t="e">
        <f aca="false">IF($A131="","",VLOOKUP($A130,Table,MATCH(Z$4,Curves,0)))</f>
        <v>#N/A</v>
      </c>
      <c r="AA130" s="185" t="e">
        <f aca="false">IF($A131="","",VLOOKUP($A130,Table,MATCH(AA$4,Curves,0)))</f>
        <v>#N/A</v>
      </c>
      <c r="AB130" s="185" t="e">
        <f aca="false">SQRT((AA130^2*(A130-$D$3)+Z130^2*(DAY(EOMONTH(A130,0))/2))/AK130)</f>
        <v>#N/A</v>
      </c>
      <c r="AC130" s="185" t="e">
        <f aca="false">IF($A131="","",VLOOKUP($A130,Table,MATCH(AC$4,Curves,0)))</f>
        <v>#N/A</v>
      </c>
      <c r="AD130" s="185" t="e">
        <f aca="false">IF($A131="","",VLOOKUP($A130,Table,MATCH(AD$4,Curves,0)))</f>
        <v>#N/A</v>
      </c>
      <c r="AE130" s="185" t="e">
        <f aca="false">SQRT((AD130^2*(A130-$D$3)+AC130^2*(DAY(EOMONTH(A130,0))/2))/AK130)</f>
        <v>#N/A</v>
      </c>
      <c r="AF130" s="224" t="e">
        <f aca="false">((Summary!$N$9*(AA130*AD130)*(A130-$D$3))+(Summary!$M$9*Z130*AC130*(AJ130-EOMONTH(EDATE(A130,-1),0))))/(AK130*AB130*AE130)</f>
        <v>#N/A</v>
      </c>
      <c r="AG130" s="207" t="n">
        <f aca="false">IF($A131="","",Summary!$Q$9)</f>
        <v>0</v>
      </c>
      <c r="AH130" s="207" t="n">
        <f aca="false">IF($A131="","",IF(Summary!$R$9="Y",VLOOKUP($A130,Summary!$AD$6:$AF$9,3)+'Escalating commodity'!E143,'Escalating commodity'!E143))</f>
        <v>0.0707</v>
      </c>
      <c r="AI130" s="207" t="n">
        <f aca="false">IF($A131="","",AH130)</f>
        <v>0.0707</v>
      </c>
      <c r="AJ130" s="208" t="n">
        <f aca="false">A130+DAY(EOMONTH(A130,0))/2-1</f>
        <v>40709</v>
      </c>
      <c r="AK130" s="209" t="n">
        <f aca="false">IF($A131="","",$A130-$E$1)</f>
        <v>-5231</v>
      </c>
      <c r="AL130" s="182" t="e">
        <f aca="false">IF($A131="","",SPRDOPT(P130,X130,AI130,0,AB130,AE130,AF130,AK130,$AJ$2,0))</f>
        <v>#NAME?</v>
      </c>
      <c r="AM130" s="211" t="e">
        <f aca="false">IF($A131="","",MAX(0,O130-W130-AI130))</f>
        <v>#N/A</v>
      </c>
      <c r="AN130" s="211" t="e">
        <f aca="false">IF($A131="","",AL130-AM130)</f>
        <v>#N/A</v>
      </c>
      <c r="AO130" s="137" t="n">
        <f aca="false">IF(A131="","",A131-A130)</f>
        <v>30</v>
      </c>
      <c r="AP130" s="212" t="n">
        <f aca="false">IF(A131="","",CHOOSE(F$3,A131+24,A130))</f>
        <v>40695</v>
      </c>
      <c r="AQ130" s="209" t="n">
        <f aca="false">IF(A131="","",AP130-$E$1)</f>
        <v>-5231</v>
      </c>
      <c r="AR130" s="185" t="n">
        <f aca="false">'ANR OK vs ML7'!AR130</f>
        <v>0.1</v>
      </c>
      <c r="AS130" s="213" t="n">
        <f aca="false">IF(A131="","",1/(1+CHOOSE(F$3,(AR131+($I$3/10000))/2,(AR130+($I$3/10000))/2))^(2*AQ130/365.25))</f>
        <v>4.04513911292286</v>
      </c>
      <c r="AT130" s="137" t="n">
        <f aca="false">IF(A131="","",IF(AND(mthbeg&lt;=A130,mthend&gt;=A130),1,0))</f>
        <v>1</v>
      </c>
      <c r="AU130" s="137" t="n">
        <f aca="false">IF(A131="","",AO130*AT130)</f>
        <v>30</v>
      </c>
      <c r="AW130" s="195" t="e">
        <f aca="false">IF($A131="","",AL130*$E130)</f>
        <v>#NAME?</v>
      </c>
      <c r="AX130" s="195" t="e">
        <f aca="false">IF($A131="","",AM130*$E130)</f>
        <v>#N/A</v>
      </c>
      <c r="AY130" s="195" t="e">
        <f aca="false">IF($A131="","",AN130*$E130)</f>
        <v>#N/A</v>
      </c>
      <c r="BA130" s="195" t="n">
        <f aca="false">IF($A131="","",F130*Summary!$Q$9)</f>
        <v>0</v>
      </c>
      <c r="BC130" s="179" t="e">
        <f aca="false">IF(A131="","",AM130*F130)</f>
        <v>#N/A</v>
      </c>
    </row>
    <row r="131" customFormat="false" ht="12.75" hidden="false" customHeight="false" outlineLevel="0" collapsed="false">
      <c r="A131" s="196" t="n">
        <f aca="false">IF(A130&lt;mthend,EDATE(A130,1),"")</f>
        <v>40725</v>
      </c>
      <c r="B131" s="197" t="n">
        <f aca="false">IF(A131&lt;mthend,B130,"")</f>
        <v>36050</v>
      </c>
      <c r="C131" s="215"/>
      <c r="D131" s="197" t="n">
        <f aca="false">IF(A132&lt;&gt;"",B131+C131,"")</f>
        <v>36050</v>
      </c>
      <c r="E131" s="199" t="n">
        <f aca="false">IF(A132="","",IF(AND(AT131=1,$H$3=1),D131*AO131,IF($H$3=2,D131,"N/A")))</f>
        <v>1117550</v>
      </c>
      <c r="F131" s="199" t="n">
        <f aca="false">IF(A132="","",E131*AS131)</f>
        <v>4484557.90667237</v>
      </c>
      <c r="G131" s="200" t="e">
        <f aca="false">IF($A132="","",VLOOKUP($A131,Table,MATCH(G$4,Curves,0)))</f>
        <v>#N/A</v>
      </c>
      <c r="H131" s="201" t="e">
        <f aca="false">IF(A132="","",G131)</f>
        <v>#N/A</v>
      </c>
      <c r="I131" s="202"/>
      <c r="J131" s="200" t="e">
        <f aca="false">IF($A132="","",VLOOKUP($A131,Table,MATCH(J$4,Curves,0)))</f>
        <v>#N/A</v>
      </c>
      <c r="K131" s="201" t="e">
        <f aca="false">IF(A132="","",J131)</f>
        <v>#N/A</v>
      </c>
      <c r="L131" s="200" t="e">
        <f aca="false">IF($A132="","",VLOOKUP($A131,Table,MATCH(L$4,Curves,0)))</f>
        <v>#N/A</v>
      </c>
      <c r="M131" s="201" t="e">
        <f aca="false">IF(A132="","",L131)</f>
        <v>#N/A</v>
      </c>
      <c r="N131" s="203"/>
      <c r="O131" s="200" t="e">
        <f aca="false">IF(A132="","",L131+J131+G131)</f>
        <v>#N/A</v>
      </c>
      <c r="P131" s="200" t="e">
        <f aca="false">IF(A132="","",M131+K131+H131)</f>
        <v>#N/A</v>
      </c>
      <c r="Q131" s="204"/>
      <c r="R131" s="200" t="e">
        <f aca="false">IF($A132="","",VLOOKUP($A131,Table,MATCH(R$4,Curves,0)))</f>
        <v>#N/A</v>
      </c>
      <c r="S131" s="201" t="e">
        <f aca="false">IF(A132="","",R131)</f>
        <v>#N/A</v>
      </c>
      <c r="T131" s="200" t="e">
        <f aca="false">IF($A132="","",VLOOKUP($A131,Table,MATCH(T$4,Curves,0)))</f>
        <v>#N/A</v>
      </c>
      <c r="U131" s="201" t="e">
        <f aca="false">IF(A132="","",T131)</f>
        <v>#N/A</v>
      </c>
      <c r="V131" s="225" t="e">
        <f aca="false">IF($A132="","",IF(AND(MONTH(A131)&gt;3,MONTH(A131)&lt;11),(T131+R131+G131)*Summary!$T$9/(1-Summary!$T$9),(T131+R131+G131)*Summary!$U$9/(1-Summary!$U$9)))</f>
        <v>#N/A</v>
      </c>
      <c r="W131" s="200" t="e">
        <f aca="false">IF($A132="","",(T131+R131+G131+V131))</f>
        <v>#N/A</v>
      </c>
      <c r="X131" s="200" t="e">
        <f aca="false">IF($A132="","",(U131+S131+H131+V131))</f>
        <v>#N/A</v>
      </c>
      <c r="Y131" s="202"/>
      <c r="Z131" s="185" t="e">
        <f aca="false">IF($A132="","",VLOOKUP($A131,Table,MATCH(Z$4,Curves,0)))</f>
        <v>#N/A</v>
      </c>
      <c r="AA131" s="185" t="e">
        <f aca="false">IF($A132="","",VLOOKUP($A131,Table,MATCH(AA$4,Curves,0)))</f>
        <v>#N/A</v>
      </c>
      <c r="AB131" s="185" t="e">
        <f aca="false">SQRT((AA131^2*(A131-$D$3)+Z131^2*(DAY(EOMONTH(A131,0))/2))/AK131)</f>
        <v>#N/A</v>
      </c>
      <c r="AC131" s="185" t="e">
        <f aca="false">IF($A132="","",VLOOKUP($A131,Table,MATCH(AC$4,Curves,0)))</f>
        <v>#N/A</v>
      </c>
      <c r="AD131" s="185" t="e">
        <f aca="false">IF($A132="","",VLOOKUP($A131,Table,MATCH(AD$4,Curves,0)))</f>
        <v>#N/A</v>
      </c>
      <c r="AE131" s="185" t="e">
        <f aca="false">SQRT((AD131^2*(A131-$D$3)+AC131^2*(DAY(EOMONTH(A131,0))/2))/AK131)</f>
        <v>#N/A</v>
      </c>
      <c r="AF131" s="224" t="e">
        <f aca="false">((Summary!$N$9*(AA131*AD131)*(A131-$D$3))+(Summary!$M$9*Z131*AC131*(AJ131-EOMONTH(EDATE(A131,-1),0))))/(AK131*AB131*AE131)</f>
        <v>#N/A</v>
      </c>
      <c r="AG131" s="207" t="n">
        <f aca="false">IF($A132="","",Summary!$Q$9)</f>
        <v>0</v>
      </c>
      <c r="AH131" s="207" t="n">
        <f aca="false">IF($A132="","",IF(Summary!$R$9="Y",VLOOKUP($A131,Summary!$AD$6:$AF$9,3)+'Escalating commodity'!E144,'Escalating commodity'!E144))</f>
        <v>0.0707</v>
      </c>
      <c r="AI131" s="207" t="n">
        <f aca="false">IF($A132="","",AH131)</f>
        <v>0.0707</v>
      </c>
      <c r="AJ131" s="208" t="n">
        <f aca="false">A131+DAY(EOMONTH(A131,0))/2-1</f>
        <v>40739.5</v>
      </c>
      <c r="AK131" s="209" t="n">
        <f aca="false">IF($A132="","",$A131-$E$1)</f>
        <v>-5201</v>
      </c>
      <c r="AL131" s="182" t="e">
        <f aca="false">IF($A132="","",SPRDOPT(P131,X131,AI131,0,AB131,AE131,AF131,AK131,$AJ$2,0))</f>
        <v>#NAME?</v>
      </c>
      <c r="AM131" s="211" t="e">
        <f aca="false">IF($A132="","",MAX(0,O131-W131-AI131))</f>
        <v>#N/A</v>
      </c>
      <c r="AN131" s="211" t="e">
        <f aca="false">IF($A132="","",AL131-AM131)</f>
        <v>#N/A</v>
      </c>
      <c r="AO131" s="137" t="n">
        <f aca="false">IF(A132="","",A132-A131)</f>
        <v>31</v>
      </c>
      <c r="AP131" s="212" t="n">
        <f aca="false">IF(A132="","",CHOOSE(F$3,A132+24,A131))</f>
        <v>40725</v>
      </c>
      <c r="AQ131" s="209" t="n">
        <f aca="false">IF(A132="","",AP131-$E$1)</f>
        <v>-5201</v>
      </c>
      <c r="AR131" s="185" t="n">
        <f aca="false">'ANR OK vs ML7'!AR131</f>
        <v>0.1</v>
      </c>
      <c r="AS131" s="213" t="n">
        <f aca="false">IF(A132="","",1/(1+CHOOSE(F$3,(AR132+($I$3/10000))/2,(AR131+($I$3/10000))/2))^(2*AQ131/365.25))</f>
        <v>4.01284766379345</v>
      </c>
      <c r="AT131" s="137" t="n">
        <f aca="false">IF(A132="","",IF(AND(mthbeg&lt;=A131,mthend&gt;=A131),1,0))</f>
        <v>1</v>
      </c>
      <c r="AU131" s="137" t="n">
        <f aca="false">IF(A132="","",AO131*AT131)</f>
        <v>31</v>
      </c>
      <c r="AW131" s="195" t="e">
        <f aca="false">IF($A132="","",AL131*$E131)</f>
        <v>#NAME?</v>
      </c>
      <c r="AX131" s="195" t="e">
        <f aca="false">IF($A132="","",AM131*$E131)</f>
        <v>#N/A</v>
      </c>
      <c r="AY131" s="195" t="e">
        <f aca="false">IF($A132="","",AN131*$E131)</f>
        <v>#N/A</v>
      </c>
      <c r="BA131" s="195" t="n">
        <f aca="false">IF($A132="","",F131*Summary!$Q$9)</f>
        <v>0</v>
      </c>
      <c r="BC131" s="179" t="e">
        <f aca="false">IF(A132="","",AM131*F131)</f>
        <v>#N/A</v>
      </c>
    </row>
    <row r="132" customFormat="false" ht="12.75" hidden="false" customHeight="false" outlineLevel="0" collapsed="false">
      <c r="A132" s="196" t="n">
        <f aca="false">IF(A131&lt;mthend,EDATE(A131,1),"")</f>
        <v>40756</v>
      </c>
      <c r="B132" s="197" t="n">
        <f aca="false">IF(A132&lt;mthend,B131,"")</f>
        <v>36050</v>
      </c>
      <c r="C132" s="215"/>
      <c r="D132" s="197" t="n">
        <f aca="false">IF(A133&lt;&gt;"",B132+C132,"")</f>
        <v>36050</v>
      </c>
      <c r="E132" s="199" t="n">
        <f aca="false">IF(A133="","",IF(AND(AT132=1,$H$3=1),D132*AO132,IF($H$3=2,D132,"N/A")))</f>
        <v>1117550</v>
      </c>
      <c r="F132" s="199" t="n">
        <f aca="false">IF(A133="","",E132*AS132)</f>
        <v>4447570.30138602</v>
      </c>
      <c r="G132" s="200" t="e">
        <f aca="false">IF($A133="","",VLOOKUP($A132,Table,MATCH(G$4,Curves,0)))</f>
        <v>#N/A</v>
      </c>
      <c r="H132" s="201" t="e">
        <f aca="false">IF(A133="","",G132)</f>
        <v>#N/A</v>
      </c>
      <c r="I132" s="202"/>
      <c r="J132" s="200" t="e">
        <f aca="false">IF($A133="","",VLOOKUP($A132,Table,MATCH(J$4,Curves,0)))</f>
        <v>#N/A</v>
      </c>
      <c r="K132" s="201" t="e">
        <f aca="false">IF(A133="","",J132)</f>
        <v>#N/A</v>
      </c>
      <c r="L132" s="200" t="e">
        <f aca="false">IF($A133="","",VLOOKUP($A132,Table,MATCH(L$4,Curves,0)))</f>
        <v>#N/A</v>
      </c>
      <c r="M132" s="201" t="e">
        <f aca="false">IF(A133="","",L132)</f>
        <v>#N/A</v>
      </c>
      <c r="N132" s="203"/>
      <c r="O132" s="200" t="e">
        <f aca="false">IF(A133="","",L132+J132+G132)</f>
        <v>#N/A</v>
      </c>
      <c r="P132" s="200" t="e">
        <f aca="false">IF(A133="","",M132+K132+H132)</f>
        <v>#N/A</v>
      </c>
      <c r="Q132" s="204"/>
      <c r="R132" s="200" t="e">
        <f aca="false">IF($A133="","",VLOOKUP($A132,Table,MATCH(R$4,Curves,0)))</f>
        <v>#N/A</v>
      </c>
      <c r="S132" s="201" t="e">
        <f aca="false">IF(A133="","",R132)</f>
        <v>#N/A</v>
      </c>
      <c r="T132" s="200" t="e">
        <f aca="false">IF($A133="","",VLOOKUP($A132,Table,MATCH(T$4,Curves,0)))</f>
        <v>#N/A</v>
      </c>
      <c r="U132" s="201" t="e">
        <f aca="false">IF(A133="","",T132)</f>
        <v>#N/A</v>
      </c>
      <c r="V132" s="225" t="e">
        <f aca="false">IF($A133="","",IF(AND(MONTH(A132)&gt;3,MONTH(A132)&lt;11),(T132+R132+G132)*Summary!$T$9/(1-Summary!$T$9),(T132+R132+G132)*Summary!$U$9/(1-Summary!$U$9)))</f>
        <v>#N/A</v>
      </c>
      <c r="W132" s="200" t="e">
        <f aca="false">IF($A133="","",(T132+R132+G132+V132))</f>
        <v>#N/A</v>
      </c>
      <c r="X132" s="200" t="e">
        <f aca="false">IF($A133="","",(U132+S132+H132+V132))</f>
        <v>#N/A</v>
      </c>
      <c r="Y132" s="202"/>
      <c r="Z132" s="185" t="e">
        <f aca="false">IF($A133="","",VLOOKUP($A132,Table,MATCH(Z$4,Curves,0)))</f>
        <v>#N/A</v>
      </c>
      <c r="AA132" s="185" t="e">
        <f aca="false">IF($A133="","",VLOOKUP($A132,Table,MATCH(AA$4,Curves,0)))</f>
        <v>#N/A</v>
      </c>
      <c r="AB132" s="185" t="e">
        <f aca="false">SQRT((AA132^2*(A132-$D$3)+Z132^2*(DAY(EOMONTH(A132,0))/2))/AK132)</f>
        <v>#N/A</v>
      </c>
      <c r="AC132" s="185" t="e">
        <f aca="false">IF($A133="","",VLOOKUP($A132,Table,MATCH(AC$4,Curves,0)))</f>
        <v>#N/A</v>
      </c>
      <c r="AD132" s="185" t="e">
        <f aca="false">IF($A133="","",VLOOKUP($A132,Table,MATCH(AD$4,Curves,0)))</f>
        <v>#N/A</v>
      </c>
      <c r="AE132" s="185" t="e">
        <f aca="false">SQRT((AD132^2*(A132-$D$3)+AC132^2*(DAY(EOMONTH(A132,0))/2))/AK132)</f>
        <v>#N/A</v>
      </c>
      <c r="AF132" s="224" t="e">
        <f aca="false">((Summary!$N$9*(AA132*AD132)*(A132-$D$3))+(Summary!$M$9*Z132*AC132*(AJ132-EOMONTH(EDATE(A132,-1),0))))/(AK132*AB132*AE132)</f>
        <v>#N/A</v>
      </c>
      <c r="AG132" s="207" t="n">
        <f aca="false">IF($A133="","",Summary!$Q$9)</f>
        <v>0</v>
      </c>
      <c r="AH132" s="207" t="n">
        <f aca="false">IF($A133="","",IF(Summary!$R$9="Y",VLOOKUP($A132,Summary!$AD$6:$AF$9,3)+'Escalating commodity'!E145,'Escalating commodity'!E145))</f>
        <v>0.0707</v>
      </c>
      <c r="AI132" s="207" t="n">
        <f aca="false">IF($A133="","",AH132)</f>
        <v>0.0707</v>
      </c>
      <c r="AJ132" s="208" t="n">
        <f aca="false">A132+DAY(EOMONTH(A132,0))/2-1</f>
        <v>40770.5</v>
      </c>
      <c r="AK132" s="209" t="n">
        <f aca="false">IF($A133="","",$A132-$E$1)</f>
        <v>-5170</v>
      </c>
      <c r="AL132" s="182" t="e">
        <f aca="false">IF($A133="","",SPRDOPT(P132,X132,AI132,0,AB132,AE132,AF132,AK132,$AJ$2,0))</f>
        <v>#NAME?</v>
      </c>
      <c r="AM132" s="211" t="e">
        <f aca="false">IF($A133="","",MAX(0,O132-W132-AI132))</f>
        <v>#N/A</v>
      </c>
      <c r="AN132" s="211" t="e">
        <f aca="false">IF($A133="","",AL132-AM132)</f>
        <v>#N/A</v>
      </c>
      <c r="AO132" s="137" t="n">
        <f aca="false">IF(A133="","",A133-A132)</f>
        <v>31</v>
      </c>
      <c r="AP132" s="212" t="n">
        <f aca="false">IF(A133="","",CHOOSE(F$3,A133+24,A132))</f>
        <v>40756</v>
      </c>
      <c r="AQ132" s="209" t="n">
        <f aca="false">IF(A133="","",AP132-$E$1)</f>
        <v>-5170</v>
      </c>
      <c r="AR132" s="185" t="n">
        <f aca="false">'ANR OK vs ML7'!AR132</f>
        <v>0.1</v>
      </c>
      <c r="AS132" s="213" t="n">
        <f aca="false">IF(A133="","",1/(1+CHOOSE(F$3,(AR133+($I$3/10000))/2,(AR132+($I$3/10000))/2))^(2*AQ132/365.25))</f>
        <v>3.97975061642524</v>
      </c>
      <c r="AT132" s="137" t="n">
        <f aca="false">IF(A133="","",IF(AND(mthbeg&lt;=A132,mthend&gt;=A132),1,0))</f>
        <v>1</v>
      </c>
      <c r="AU132" s="137" t="n">
        <f aca="false">IF(A133="","",AO132*AT132)</f>
        <v>31</v>
      </c>
      <c r="AW132" s="195" t="e">
        <f aca="false">IF($A133="","",AL132*$E132)</f>
        <v>#NAME?</v>
      </c>
      <c r="AX132" s="195" t="e">
        <f aca="false">IF($A133="","",AM132*$E132)</f>
        <v>#N/A</v>
      </c>
      <c r="AY132" s="195" t="e">
        <f aca="false">IF($A133="","",AN132*$E132)</f>
        <v>#N/A</v>
      </c>
      <c r="BA132" s="195" t="n">
        <f aca="false">IF($A133="","",F132*Summary!$Q$9)</f>
        <v>0</v>
      </c>
      <c r="BC132" s="179" t="e">
        <f aca="false">IF(A133="","",AM132*F132)</f>
        <v>#N/A</v>
      </c>
    </row>
    <row r="133" customFormat="false" ht="12.75" hidden="false" customHeight="false" outlineLevel="0" collapsed="false">
      <c r="A133" s="196" t="n">
        <f aca="false">IF(A132&lt;mthend,EDATE(A132,1),"")</f>
        <v>40787</v>
      </c>
      <c r="B133" s="197" t="n">
        <f aca="false">IF(A133&lt;mthend,B132,"")</f>
        <v>36050</v>
      </c>
      <c r="C133" s="215"/>
      <c r="D133" s="197" t="n">
        <f aca="false">IF(A134&lt;&gt;"",B133+C133,"")</f>
        <v>36050</v>
      </c>
      <c r="E133" s="199" t="n">
        <f aca="false">IF(A134="","",IF(AND(AT133=1,$H$3=1),D133*AO133,IF($H$3=2,D133,"N/A")))</f>
        <v>1081500</v>
      </c>
      <c r="F133" s="199" t="n">
        <f aca="false">IF(A134="","",E133*AS133)</f>
        <v>4268601.05940646</v>
      </c>
      <c r="G133" s="200" t="e">
        <f aca="false">IF($A134="","",VLOOKUP($A133,Table,MATCH(G$4,Curves,0)))</f>
        <v>#N/A</v>
      </c>
      <c r="H133" s="201" t="e">
        <f aca="false">IF(A134="","",G133)</f>
        <v>#N/A</v>
      </c>
      <c r="I133" s="202"/>
      <c r="J133" s="200" t="e">
        <f aca="false">IF($A134="","",VLOOKUP($A133,Table,MATCH(J$4,Curves,0)))</f>
        <v>#N/A</v>
      </c>
      <c r="K133" s="201" t="e">
        <f aca="false">IF(A134="","",J133)</f>
        <v>#N/A</v>
      </c>
      <c r="L133" s="200" t="e">
        <f aca="false">IF($A134="","",VLOOKUP($A133,Table,MATCH(L$4,Curves,0)))</f>
        <v>#N/A</v>
      </c>
      <c r="M133" s="201" t="e">
        <f aca="false">IF(A134="","",L133)</f>
        <v>#N/A</v>
      </c>
      <c r="N133" s="203"/>
      <c r="O133" s="200" t="e">
        <f aca="false">IF(A134="","",L133+J133+G133)</f>
        <v>#N/A</v>
      </c>
      <c r="P133" s="200" t="e">
        <f aca="false">IF(A134="","",M133+K133+H133)</f>
        <v>#N/A</v>
      </c>
      <c r="Q133" s="204"/>
      <c r="R133" s="200" t="e">
        <f aca="false">IF($A134="","",VLOOKUP($A133,Table,MATCH(R$4,Curves,0)))</f>
        <v>#N/A</v>
      </c>
      <c r="S133" s="201" t="e">
        <f aca="false">IF(A134="","",R133)</f>
        <v>#N/A</v>
      </c>
      <c r="T133" s="200" t="e">
        <f aca="false">IF($A134="","",VLOOKUP($A133,Table,MATCH(T$4,Curves,0)))</f>
        <v>#N/A</v>
      </c>
      <c r="U133" s="201" t="e">
        <f aca="false">IF(A134="","",T133)</f>
        <v>#N/A</v>
      </c>
      <c r="V133" s="225" t="e">
        <f aca="false">IF($A134="","",IF(AND(MONTH(A133)&gt;3,MONTH(A133)&lt;11),(T133+R133+G133)*Summary!$T$9/(1-Summary!$T$9),(T133+R133+G133)*Summary!$U$9/(1-Summary!$U$9)))</f>
        <v>#N/A</v>
      </c>
      <c r="W133" s="200" t="e">
        <f aca="false">IF($A134="","",(T133+R133+G133+V133))</f>
        <v>#N/A</v>
      </c>
      <c r="X133" s="200" t="e">
        <f aca="false">IF($A134="","",(U133+S133+H133+V133))</f>
        <v>#N/A</v>
      </c>
      <c r="Y133" s="202"/>
      <c r="Z133" s="185" t="e">
        <f aca="false">IF($A134="","",VLOOKUP($A133,Table,MATCH(Z$4,Curves,0)))</f>
        <v>#N/A</v>
      </c>
      <c r="AA133" s="185" t="e">
        <f aca="false">IF($A134="","",VLOOKUP($A133,Table,MATCH(AA$4,Curves,0)))</f>
        <v>#N/A</v>
      </c>
      <c r="AB133" s="185" t="e">
        <f aca="false">SQRT((AA133^2*(A133-$D$3)+Z133^2*(DAY(EOMONTH(A133,0))/2))/AK133)</f>
        <v>#N/A</v>
      </c>
      <c r="AC133" s="185" t="e">
        <f aca="false">IF($A134="","",VLOOKUP($A133,Table,MATCH(AC$4,Curves,0)))</f>
        <v>#N/A</v>
      </c>
      <c r="AD133" s="185" t="e">
        <f aca="false">IF($A134="","",VLOOKUP($A133,Table,MATCH(AD$4,Curves,0)))</f>
        <v>#N/A</v>
      </c>
      <c r="AE133" s="185" t="e">
        <f aca="false">SQRT((AD133^2*(A133-$D$3)+AC133^2*(DAY(EOMONTH(A133,0))/2))/AK133)</f>
        <v>#N/A</v>
      </c>
      <c r="AF133" s="224" t="e">
        <f aca="false">((Summary!$N$9*(AA133*AD133)*(A133-$D$3))+(Summary!$M$9*Z133*AC133*(AJ133-EOMONTH(EDATE(A133,-1),0))))/(AK133*AB133*AE133)</f>
        <v>#N/A</v>
      </c>
      <c r="AG133" s="207" t="n">
        <f aca="false">IF($A134="","",Summary!$Q$9)</f>
        <v>0</v>
      </c>
      <c r="AH133" s="207" t="n">
        <f aca="false">IF($A134="","",IF(Summary!$R$9="Y",VLOOKUP($A133,Summary!$AD$6:$AF$9,3)+'Escalating commodity'!E146,'Escalating commodity'!E146))</f>
        <v>0.0707</v>
      </c>
      <c r="AI133" s="207" t="n">
        <f aca="false">IF($A134="","",AH133)</f>
        <v>0.0707</v>
      </c>
      <c r="AJ133" s="208" t="n">
        <f aca="false">A133+DAY(EOMONTH(A133,0))/2-1</f>
        <v>40801</v>
      </c>
      <c r="AK133" s="209" t="n">
        <f aca="false">IF($A134="","",$A133-$E$1)</f>
        <v>-5139</v>
      </c>
      <c r="AL133" s="182" t="e">
        <f aca="false">IF($A134="","",SPRDOPT(P133,X133,AI133,0,AB133,AE133,AF133,AK133,$AJ$2,0))</f>
        <v>#NAME?</v>
      </c>
      <c r="AM133" s="211" t="e">
        <f aca="false">IF($A134="","",MAX(0,O133-W133-AI133))</f>
        <v>#N/A</v>
      </c>
      <c r="AN133" s="211" t="e">
        <f aca="false">IF($A134="","",AL133-AM133)</f>
        <v>#N/A</v>
      </c>
      <c r="AO133" s="137" t="n">
        <f aca="false">IF(A134="","",A134-A133)</f>
        <v>30</v>
      </c>
      <c r="AP133" s="212" t="n">
        <f aca="false">IF(A134="","",CHOOSE(F$3,A134+24,A133))</f>
        <v>40787</v>
      </c>
      <c r="AQ133" s="209" t="n">
        <f aca="false">IF(A134="","",AP133-$E$1)</f>
        <v>-5139</v>
      </c>
      <c r="AR133" s="185" t="n">
        <f aca="false">'ANR OK vs ML7'!AR133</f>
        <v>0.1</v>
      </c>
      <c r="AS133" s="213" t="n">
        <f aca="false">IF(A134="","",1/(1+CHOOSE(F$3,(AR134+($I$3/10000))/2,(AR133+($I$3/10000))/2))^(2*AQ133/365.25))</f>
        <v>3.94692654591443</v>
      </c>
      <c r="AT133" s="137" t="n">
        <f aca="false">IF(A134="","",IF(AND(mthbeg&lt;=A133,mthend&gt;=A133),1,0))</f>
        <v>1</v>
      </c>
      <c r="AU133" s="137" t="n">
        <f aca="false">IF(A134="","",AO133*AT133)</f>
        <v>30</v>
      </c>
      <c r="AW133" s="195" t="e">
        <f aca="false">IF($A134="","",AL133*$E133)</f>
        <v>#NAME?</v>
      </c>
      <c r="AX133" s="195" t="e">
        <f aca="false">IF($A134="","",AM133*$E133)</f>
        <v>#N/A</v>
      </c>
      <c r="AY133" s="195" t="e">
        <f aca="false">IF($A134="","",AN133*$E133)</f>
        <v>#N/A</v>
      </c>
      <c r="BA133" s="195" t="n">
        <f aca="false">IF($A134="","",F133*Summary!$Q$9)</f>
        <v>0</v>
      </c>
      <c r="BC133" s="179" t="e">
        <f aca="false">IF(A134="","",AM133*F133)</f>
        <v>#N/A</v>
      </c>
    </row>
    <row r="134" customFormat="false" ht="12.75" hidden="false" customHeight="false" outlineLevel="0" collapsed="false">
      <c r="A134" s="196" t="n">
        <f aca="false">IF(A133&lt;mthend,EDATE(A133,1),"")</f>
        <v>40817</v>
      </c>
      <c r="B134" s="197" t="n">
        <f aca="false">IF(A134&lt;mthend,B133,"")</f>
        <v>36050</v>
      </c>
      <c r="C134" s="215"/>
      <c r="D134" s="197" t="n">
        <f aca="false">IF(A135&lt;&gt;"",B134+C134,"")</f>
        <v>36050</v>
      </c>
      <c r="E134" s="199" t="n">
        <f aca="false">IF(A135="","",IF(AND(AT134=1,$H$3=1),D134*AO134,IF($H$3=2,D134,"N/A")))</f>
        <v>1117550</v>
      </c>
      <c r="F134" s="199" t="n">
        <f aca="false">IF(A135="","",E134*AS134)</f>
        <v>4375676.62184703</v>
      </c>
      <c r="G134" s="200" t="e">
        <f aca="false">IF($A135="","",VLOOKUP($A134,Table,MATCH(G$4,Curves,0)))</f>
        <v>#N/A</v>
      </c>
      <c r="H134" s="201" t="e">
        <f aca="false">IF(A135="","",G134)</f>
        <v>#N/A</v>
      </c>
      <c r="I134" s="202"/>
      <c r="J134" s="200" t="e">
        <f aca="false">IF($A135="","",VLOOKUP($A134,Table,MATCH(J$4,Curves,0)))</f>
        <v>#N/A</v>
      </c>
      <c r="K134" s="201" t="e">
        <f aca="false">IF(A135="","",J134)</f>
        <v>#N/A</v>
      </c>
      <c r="L134" s="200" t="e">
        <f aca="false">IF($A135="","",VLOOKUP($A134,Table,MATCH(L$4,Curves,0)))</f>
        <v>#N/A</v>
      </c>
      <c r="M134" s="201" t="e">
        <f aca="false">IF(A135="","",L134)</f>
        <v>#N/A</v>
      </c>
      <c r="N134" s="203"/>
      <c r="O134" s="200" t="e">
        <f aca="false">IF(A135="","",L134+J134+G134)</f>
        <v>#N/A</v>
      </c>
      <c r="P134" s="200" t="e">
        <f aca="false">IF(A135="","",M134+K134+H134)</f>
        <v>#N/A</v>
      </c>
      <c r="Q134" s="204"/>
      <c r="R134" s="200" t="e">
        <f aca="false">IF($A135="","",VLOOKUP($A134,Table,MATCH(R$4,Curves,0)))</f>
        <v>#N/A</v>
      </c>
      <c r="S134" s="201" t="e">
        <f aca="false">IF(A135="","",R134)</f>
        <v>#N/A</v>
      </c>
      <c r="T134" s="200" t="e">
        <f aca="false">IF($A135="","",VLOOKUP($A134,Table,MATCH(T$4,Curves,0)))</f>
        <v>#N/A</v>
      </c>
      <c r="U134" s="201" t="e">
        <f aca="false">IF(A135="","",T134)</f>
        <v>#N/A</v>
      </c>
      <c r="V134" s="225" t="e">
        <f aca="false">IF($A135="","",IF(AND(MONTH(A134)&gt;3,MONTH(A134)&lt;11),(T134+R134+G134)*Summary!$T$9/(1-Summary!$T$9),(T134+R134+G134)*Summary!$U$9/(1-Summary!$U$9)))</f>
        <v>#N/A</v>
      </c>
      <c r="W134" s="200" t="e">
        <f aca="false">IF($A135="","",(T134+R134+G134+V134))</f>
        <v>#N/A</v>
      </c>
      <c r="X134" s="200" t="e">
        <f aca="false">IF($A135="","",(U134+S134+H134+V134))</f>
        <v>#N/A</v>
      </c>
      <c r="Y134" s="202"/>
      <c r="Z134" s="185" t="e">
        <f aca="false">IF($A135="","",VLOOKUP($A134,Table,MATCH(Z$4,Curves,0)))</f>
        <v>#N/A</v>
      </c>
      <c r="AA134" s="185" t="e">
        <f aca="false">IF($A135="","",VLOOKUP($A134,Table,MATCH(AA$4,Curves,0)))</f>
        <v>#N/A</v>
      </c>
      <c r="AB134" s="185" t="e">
        <f aca="false">SQRT((AA134^2*(A134-$D$3)+Z134^2*(DAY(EOMONTH(A134,0))/2))/AK134)</f>
        <v>#N/A</v>
      </c>
      <c r="AC134" s="185" t="e">
        <f aca="false">IF($A135="","",VLOOKUP($A134,Table,MATCH(AC$4,Curves,0)))</f>
        <v>#N/A</v>
      </c>
      <c r="AD134" s="185" t="e">
        <f aca="false">IF($A135="","",VLOOKUP($A134,Table,MATCH(AD$4,Curves,0)))</f>
        <v>#N/A</v>
      </c>
      <c r="AE134" s="185" t="e">
        <f aca="false">SQRT((AD134^2*(A134-$D$3)+AC134^2*(DAY(EOMONTH(A134,0))/2))/AK134)</f>
        <v>#N/A</v>
      </c>
      <c r="AF134" s="224" t="e">
        <f aca="false">((Summary!$N$9*(AA134*AD134)*(A134-$D$3))+(Summary!$M$9*Z134*AC134*(AJ134-EOMONTH(EDATE(A134,-1),0))))/(AK134*AB134*AE134)</f>
        <v>#N/A</v>
      </c>
      <c r="AG134" s="207" t="n">
        <f aca="false">IF($A135="","",Summary!$Q$9)</f>
        <v>0</v>
      </c>
      <c r="AH134" s="207" t="n">
        <f aca="false">IF($A135="","",IF(Summary!$R$9="Y",VLOOKUP($A134,Summary!$AD$6:$AF$9,3)+'Escalating commodity'!E147,'Escalating commodity'!E147))</f>
        <v>0.0707</v>
      </c>
      <c r="AI134" s="207" t="n">
        <f aca="false">IF($A135="","",AH134)</f>
        <v>0.0707</v>
      </c>
      <c r="AJ134" s="208" t="n">
        <f aca="false">A134+DAY(EOMONTH(A134,0))/2-1</f>
        <v>40831.5</v>
      </c>
      <c r="AK134" s="209" t="n">
        <f aca="false">IF($A135="","",$A134-$E$1)</f>
        <v>-5109</v>
      </c>
      <c r="AL134" s="182" t="e">
        <f aca="false">IF($A135="","",SPRDOPT(P134,X134,AI134,0,AB134,AE134,AF134,AK134,$AJ$2,0))</f>
        <v>#NAME?</v>
      </c>
      <c r="AM134" s="211" t="e">
        <f aca="false">IF($A135="","",MAX(0,O134-W134-AI134))</f>
        <v>#N/A</v>
      </c>
      <c r="AN134" s="211" t="e">
        <f aca="false">IF($A135="","",AL134-AM134)</f>
        <v>#N/A</v>
      </c>
      <c r="AO134" s="137" t="n">
        <f aca="false">IF(A135="","",A135-A134)</f>
        <v>31</v>
      </c>
      <c r="AP134" s="212" t="n">
        <f aca="false">IF(A135="","",CHOOSE(F$3,A135+24,A134))</f>
        <v>40817</v>
      </c>
      <c r="AQ134" s="209" t="n">
        <f aca="false">IF(A135="","",AP134-$E$1)</f>
        <v>-5109</v>
      </c>
      <c r="AR134" s="185" t="n">
        <f aca="false">'ANR OK vs ML7'!AR134</f>
        <v>0.1</v>
      </c>
      <c r="AS134" s="213" t="n">
        <f aca="false">IF(A135="","",1/(1+CHOOSE(F$3,(AR135+($I$3/10000))/2,(AR134+($I$3/10000))/2))^(2*AQ134/365.25))</f>
        <v>3.91541910594338</v>
      </c>
      <c r="AT134" s="137" t="n">
        <f aca="false">IF(A135="","",IF(AND(mthbeg&lt;=A134,mthend&gt;=A134),1,0))</f>
        <v>1</v>
      </c>
      <c r="AU134" s="137" t="n">
        <f aca="false">IF(A135="","",AO134*AT134)</f>
        <v>31</v>
      </c>
      <c r="AW134" s="195" t="e">
        <f aca="false">IF($A135="","",AL134*$E134)</f>
        <v>#NAME?</v>
      </c>
      <c r="AX134" s="195" t="e">
        <f aca="false">IF($A135="","",AM134*$E134)</f>
        <v>#N/A</v>
      </c>
      <c r="AY134" s="195" t="e">
        <f aca="false">IF($A135="","",AN134*$E134)</f>
        <v>#N/A</v>
      </c>
      <c r="BA134" s="195" t="n">
        <f aca="false">IF($A135="","",F134*Summary!$Q$9)</f>
        <v>0</v>
      </c>
      <c r="BC134" s="179" t="e">
        <f aca="false">IF(A135="","",AM134*F134)</f>
        <v>#N/A</v>
      </c>
    </row>
    <row r="135" customFormat="false" ht="12.75" hidden="false" customHeight="false" outlineLevel="0" collapsed="false">
      <c r="A135" s="196" t="n">
        <f aca="false">IF(A134&lt;mthend,EDATE(A134,1),"")</f>
        <v>40848</v>
      </c>
      <c r="B135" s="197" t="n">
        <f aca="false">IF(A135&lt;mthend,B134,"")</f>
        <v>36050</v>
      </c>
      <c r="C135" s="215"/>
      <c r="D135" s="197" t="n">
        <f aca="false">IF(A136&lt;&gt;"",B135+C135,"")</f>
        <v>36050</v>
      </c>
      <c r="E135" s="199" t="n">
        <f aca="false">IF(A136="","",IF(AND(AT135=1,$H$3=1),D135*AO135,IF($H$3=2,D135,"N/A")))</f>
        <v>1081500</v>
      </c>
      <c r="F135" s="199" t="n">
        <f aca="false">IF(A136="","",E135*AS135)</f>
        <v>4199600.36557838</v>
      </c>
      <c r="G135" s="200" t="e">
        <f aca="false">IF($A136="","",VLOOKUP($A135,Table,MATCH(G$4,Curves,0)))</f>
        <v>#N/A</v>
      </c>
      <c r="H135" s="201" t="e">
        <f aca="false">IF(A136="","",G135)</f>
        <v>#N/A</v>
      </c>
      <c r="I135" s="202"/>
      <c r="J135" s="200" t="e">
        <f aca="false">IF($A136="","",VLOOKUP($A135,Table,MATCH(J$4,Curves,0)))</f>
        <v>#N/A</v>
      </c>
      <c r="K135" s="201" t="e">
        <f aca="false">IF(A136="","",J135)</f>
        <v>#N/A</v>
      </c>
      <c r="L135" s="200" t="e">
        <f aca="false">IF($A136="","",VLOOKUP($A135,Table,MATCH(L$4,Curves,0)))</f>
        <v>#N/A</v>
      </c>
      <c r="M135" s="201" t="e">
        <f aca="false">IF(A136="","",L135)</f>
        <v>#N/A</v>
      </c>
      <c r="N135" s="203"/>
      <c r="O135" s="200" t="e">
        <f aca="false">IF(A136="","",L135+J135+G135)</f>
        <v>#N/A</v>
      </c>
      <c r="P135" s="200" t="e">
        <f aca="false">IF(A136="","",M135+K135+H135)</f>
        <v>#N/A</v>
      </c>
      <c r="Q135" s="204"/>
      <c r="R135" s="200" t="e">
        <f aca="false">IF($A136="","",VLOOKUP($A135,Table,MATCH(R$4,Curves,0)))</f>
        <v>#N/A</v>
      </c>
      <c r="S135" s="201" t="e">
        <f aca="false">IF(A136="","",R135)</f>
        <v>#N/A</v>
      </c>
      <c r="T135" s="200" t="e">
        <f aca="false">IF($A136="","",VLOOKUP($A135,Table,MATCH(T$4,Curves,0)))</f>
        <v>#N/A</v>
      </c>
      <c r="U135" s="201" t="e">
        <f aca="false">IF(A136="","",T135)</f>
        <v>#N/A</v>
      </c>
      <c r="V135" s="225" t="e">
        <f aca="false">IF($A136="","",IF(AND(MONTH(A135)&gt;3,MONTH(A135)&lt;11),(T135+R135+G135)*Summary!$T$9/(1-Summary!$T$9),(T135+R135+G135)*Summary!$U$9/(1-Summary!$U$9)))</f>
        <v>#N/A</v>
      </c>
      <c r="W135" s="200" t="e">
        <f aca="false">IF($A136="","",(T135+R135+G135+V135))</f>
        <v>#N/A</v>
      </c>
      <c r="X135" s="200" t="e">
        <f aca="false">IF($A136="","",(U135+S135+H135+V135))</f>
        <v>#N/A</v>
      </c>
      <c r="Y135" s="202"/>
      <c r="Z135" s="185" t="e">
        <f aca="false">IF($A136="","",VLOOKUP($A135,Table,MATCH(Z$4,Curves,0)))</f>
        <v>#N/A</v>
      </c>
      <c r="AA135" s="185" t="e">
        <f aca="false">IF($A136="","",VLOOKUP($A135,Table,MATCH(AA$4,Curves,0)))</f>
        <v>#N/A</v>
      </c>
      <c r="AB135" s="185" t="e">
        <f aca="false">SQRT((AA135^2*(A135-$D$3)+Z135^2*(DAY(EOMONTH(A135,0))/2))/AK135)</f>
        <v>#N/A</v>
      </c>
      <c r="AC135" s="185" t="e">
        <f aca="false">IF($A136="","",VLOOKUP($A135,Table,MATCH(AC$4,Curves,0)))</f>
        <v>#N/A</v>
      </c>
      <c r="AD135" s="185" t="e">
        <f aca="false">IF($A136="","",VLOOKUP($A135,Table,MATCH(AD$4,Curves,0)))</f>
        <v>#N/A</v>
      </c>
      <c r="AE135" s="185" t="e">
        <f aca="false">SQRT((AD135^2*(A135-$D$3)+AC135^2*(DAY(EOMONTH(A135,0))/2))/AK135)</f>
        <v>#N/A</v>
      </c>
      <c r="AF135" s="224" t="e">
        <f aca="false">((Summary!$N$9*(AA135*AD135)*(A135-$D$3))+(Summary!$M$9*Z135*AC135*(AJ135-EOMONTH(EDATE(A135,-1),0))))/(AK135*AB135*AE135)</f>
        <v>#N/A</v>
      </c>
      <c r="AG135" s="207" t="n">
        <f aca="false">IF($A136="","",Summary!$Q$9)</f>
        <v>0</v>
      </c>
      <c r="AH135" s="207" t="n">
        <f aca="false">IF($A136="","",IF(Summary!$R$9="Y",VLOOKUP($A135,Summary!$AD$6:$AF$9,3)+'Escalating commodity'!E148,'Escalating commodity'!E148))</f>
        <v>0.0707</v>
      </c>
      <c r="AI135" s="207" t="n">
        <f aca="false">IF($A136="","",AH135)</f>
        <v>0.0707</v>
      </c>
      <c r="AJ135" s="208" t="n">
        <f aca="false">A135+DAY(EOMONTH(A135,0))/2-1</f>
        <v>40862</v>
      </c>
      <c r="AK135" s="209" t="n">
        <f aca="false">IF($A136="","",$A135-$E$1)</f>
        <v>-5078</v>
      </c>
      <c r="AL135" s="182" t="e">
        <f aca="false">IF($A136="","",SPRDOPT(P135,X135,AI135,0,AB135,AE135,AF135,AK135,$AJ$2,0))</f>
        <v>#NAME?</v>
      </c>
      <c r="AM135" s="211" t="e">
        <f aca="false">IF($A136="","",MAX(0,O135-W135-AI135))</f>
        <v>#N/A</v>
      </c>
      <c r="AN135" s="211" t="e">
        <f aca="false">IF($A136="","",AL135-AM135)</f>
        <v>#N/A</v>
      </c>
      <c r="AO135" s="137" t="n">
        <f aca="false">IF(A136="","",A136-A135)</f>
        <v>30</v>
      </c>
      <c r="AP135" s="212" t="n">
        <f aca="false">IF(A136="","",CHOOSE(F$3,A136+24,A135))</f>
        <v>40848</v>
      </c>
      <c r="AQ135" s="209" t="n">
        <f aca="false">IF(A136="","",AP135-$E$1)</f>
        <v>-5078</v>
      </c>
      <c r="AR135" s="185" t="n">
        <f aca="false">'ANR OK vs ML7'!AR135</f>
        <v>0.1</v>
      </c>
      <c r="AS135" s="213" t="n">
        <f aca="false">IF(A136="","",1/(1+CHOOSE(F$3,(AR136+($I$3/10000))/2,(AR135+($I$3/10000))/2))^(2*AQ135/365.25))</f>
        <v>3.88312562697955</v>
      </c>
      <c r="AT135" s="137" t="n">
        <f aca="false">IF(A136="","",IF(AND(mthbeg&lt;=A135,mthend&gt;=A135),1,0))</f>
        <v>1</v>
      </c>
      <c r="AU135" s="137" t="n">
        <f aca="false">IF(A136="","",AO135*AT135)</f>
        <v>30</v>
      </c>
      <c r="AW135" s="195" t="e">
        <f aca="false">IF($A136="","",AL135*$E135)</f>
        <v>#NAME?</v>
      </c>
      <c r="AX135" s="195" t="e">
        <f aca="false">IF($A136="","",AM135*$E135)</f>
        <v>#N/A</v>
      </c>
      <c r="AY135" s="195" t="e">
        <f aca="false">IF($A136="","",AN135*$E135)</f>
        <v>#N/A</v>
      </c>
      <c r="BA135" s="195" t="n">
        <f aca="false">IF($A136="","",F135*Summary!$Q$9)</f>
        <v>0</v>
      </c>
      <c r="BC135" s="179" t="e">
        <f aca="false">IF(A136="","",AM135*F135)</f>
        <v>#N/A</v>
      </c>
    </row>
    <row r="136" customFormat="false" ht="12.75" hidden="false" customHeight="false" outlineLevel="0" collapsed="false">
      <c r="A136" s="196" t="n">
        <f aca="false">IF(A135&lt;mthend,EDATE(A135,1),"")</f>
        <v>40878</v>
      </c>
      <c r="B136" s="197" t="n">
        <f aca="false">IF(A136&lt;mthend,B135,"")</f>
        <v>36050</v>
      </c>
      <c r="C136" s="215"/>
      <c r="D136" s="197" t="n">
        <f aca="false">IF(A137&lt;&gt;"",B136+C136,"")</f>
        <v>36050</v>
      </c>
      <c r="E136" s="199" t="n">
        <f aca="false">IF(A137="","",IF(AND(AT136=1,$H$3=1),D136*AO136,IF($H$3=2,D136,"N/A")))</f>
        <v>1117550</v>
      </c>
      <c r="F136" s="199" t="n">
        <f aca="false">IF(A137="","",E136*AS136)</f>
        <v>4304945.08271446</v>
      </c>
      <c r="G136" s="200" t="e">
        <f aca="false">IF($A137="","",VLOOKUP($A136,Table,MATCH(G$4,Curves,0)))</f>
        <v>#N/A</v>
      </c>
      <c r="H136" s="201" t="e">
        <f aca="false">IF(A137="","",G136)</f>
        <v>#N/A</v>
      </c>
      <c r="I136" s="202"/>
      <c r="J136" s="200" t="e">
        <f aca="false">IF($A137="","",VLOOKUP($A136,Table,MATCH(J$4,Curves,0)))</f>
        <v>#N/A</v>
      </c>
      <c r="K136" s="201" t="e">
        <f aca="false">IF(A137="","",J136)</f>
        <v>#N/A</v>
      </c>
      <c r="L136" s="200" t="e">
        <f aca="false">IF($A137="","",VLOOKUP($A136,Table,MATCH(L$4,Curves,0)))</f>
        <v>#N/A</v>
      </c>
      <c r="M136" s="201" t="e">
        <f aca="false">IF(A137="","",L136)</f>
        <v>#N/A</v>
      </c>
      <c r="N136" s="203"/>
      <c r="O136" s="200" t="e">
        <f aca="false">IF(A137="","",L136+J136+G136)</f>
        <v>#N/A</v>
      </c>
      <c r="P136" s="200" t="e">
        <f aca="false">IF(A137="","",M136+K136+H136)</f>
        <v>#N/A</v>
      </c>
      <c r="Q136" s="204"/>
      <c r="R136" s="200" t="e">
        <f aca="false">IF($A137="","",VLOOKUP($A136,Table,MATCH(R$4,Curves,0)))</f>
        <v>#N/A</v>
      </c>
      <c r="S136" s="201" t="e">
        <f aca="false">IF(A137="","",R136)</f>
        <v>#N/A</v>
      </c>
      <c r="T136" s="200" t="e">
        <f aca="false">IF($A137="","",VLOOKUP($A136,Table,MATCH(T$4,Curves,0)))</f>
        <v>#N/A</v>
      </c>
      <c r="U136" s="201" t="e">
        <f aca="false">IF(A137="","",T136)</f>
        <v>#N/A</v>
      </c>
      <c r="V136" s="225" t="e">
        <f aca="false">IF($A137="","",IF(AND(MONTH(A136)&gt;3,MONTH(A136)&lt;11),(T136+R136+G136)*Summary!$T$9/(1-Summary!$T$9),(T136+R136+G136)*Summary!$U$9/(1-Summary!$U$9)))</f>
        <v>#N/A</v>
      </c>
      <c r="W136" s="200" t="e">
        <f aca="false">IF($A137="","",(T136+R136+G136+V136))</f>
        <v>#N/A</v>
      </c>
      <c r="X136" s="200" t="e">
        <f aca="false">IF($A137="","",(U136+S136+H136+V136))</f>
        <v>#N/A</v>
      </c>
      <c r="Y136" s="202"/>
      <c r="Z136" s="185" t="e">
        <f aca="false">IF($A137="","",VLOOKUP($A136,Table,MATCH(Z$4,Curves,0)))</f>
        <v>#N/A</v>
      </c>
      <c r="AA136" s="185" t="e">
        <f aca="false">IF($A137="","",VLOOKUP($A136,Table,MATCH(AA$4,Curves,0)))</f>
        <v>#N/A</v>
      </c>
      <c r="AB136" s="185" t="e">
        <f aca="false">SQRT((AA136^2*(A136-$D$3)+Z136^2*(DAY(EOMONTH(A136,0))/2))/AK136)</f>
        <v>#N/A</v>
      </c>
      <c r="AC136" s="185" t="e">
        <f aca="false">IF($A137="","",VLOOKUP($A136,Table,MATCH(AC$4,Curves,0)))</f>
        <v>#N/A</v>
      </c>
      <c r="AD136" s="185" t="e">
        <f aca="false">IF($A137="","",VLOOKUP($A136,Table,MATCH(AD$4,Curves,0)))</f>
        <v>#N/A</v>
      </c>
      <c r="AE136" s="185" t="e">
        <f aca="false">SQRT((AD136^2*(A136-$D$3)+AC136^2*(DAY(EOMONTH(A136,0))/2))/AK136)</f>
        <v>#N/A</v>
      </c>
      <c r="AF136" s="224" t="e">
        <f aca="false">((Summary!$N$9*(AA136*AD136)*(A136-$D$3))+(Summary!$M$9*Z136*AC136*(AJ136-EOMONTH(EDATE(A136,-1),0))))/(AK136*AB136*AE136)</f>
        <v>#N/A</v>
      </c>
      <c r="AG136" s="207" t="n">
        <f aca="false">IF($A137="","",Summary!$Q$9)</f>
        <v>0</v>
      </c>
      <c r="AH136" s="207" t="n">
        <f aca="false">IF($A137="","",IF(Summary!$R$9="Y",VLOOKUP($A136,Summary!$AD$6:$AF$9,3)+'Escalating commodity'!E149,'Escalating commodity'!E149))</f>
        <v>0.0707</v>
      </c>
      <c r="AI136" s="207" t="n">
        <f aca="false">IF($A137="","",AH136)</f>
        <v>0.0707</v>
      </c>
      <c r="AJ136" s="208" t="n">
        <f aca="false">A136+DAY(EOMONTH(A136,0))/2-1</f>
        <v>40892.5</v>
      </c>
      <c r="AK136" s="209" t="n">
        <f aca="false">IF($A137="","",$A136-$E$1)</f>
        <v>-5048</v>
      </c>
      <c r="AL136" s="182" t="e">
        <f aca="false">IF($A137="","",SPRDOPT(P136,X136,AI136,0,AB136,AE136,AF136,AK136,$AJ$2,0))</f>
        <v>#NAME?</v>
      </c>
      <c r="AM136" s="211" t="e">
        <f aca="false">IF($A137="","",MAX(0,O136-W136-AI136))</f>
        <v>#N/A</v>
      </c>
      <c r="AN136" s="211" t="e">
        <f aca="false">IF($A137="","",AL136-AM136)</f>
        <v>#N/A</v>
      </c>
      <c r="AO136" s="137" t="n">
        <f aca="false">IF(A137="","",A137-A136)</f>
        <v>31</v>
      </c>
      <c r="AP136" s="212" t="n">
        <f aca="false">IF(A137="","",CHOOSE(F$3,A137+24,A136))</f>
        <v>40878</v>
      </c>
      <c r="AQ136" s="209" t="n">
        <f aca="false">IF(A137="","",AP136-$E$1)</f>
        <v>-5048</v>
      </c>
      <c r="AR136" s="185" t="n">
        <f aca="false">'ANR OK vs ML7'!AR136</f>
        <v>0.1</v>
      </c>
      <c r="AS136" s="213" t="n">
        <f aca="false">IF(A137="","",1/(1+CHOOSE(F$3,(AR137+($I$3/10000))/2,(AR136+($I$3/10000))/2))^(2*AQ136/365.25))</f>
        <v>3.85212749560598</v>
      </c>
      <c r="AT136" s="137" t="n">
        <f aca="false">IF(A137="","",IF(AND(mthbeg&lt;=A136,mthend&gt;=A136),1,0))</f>
        <v>1</v>
      </c>
      <c r="AU136" s="137" t="n">
        <f aca="false">IF(A137="","",AO136*AT136)</f>
        <v>31</v>
      </c>
      <c r="AW136" s="195" t="e">
        <f aca="false">IF($A137="","",AL136*$E136)</f>
        <v>#NAME?</v>
      </c>
      <c r="AX136" s="195" t="e">
        <f aca="false">IF($A137="","",AM136*$E136)</f>
        <v>#N/A</v>
      </c>
      <c r="AY136" s="195" t="e">
        <f aca="false">IF($A137="","",AN136*$E136)</f>
        <v>#N/A</v>
      </c>
      <c r="BA136" s="195" t="n">
        <f aca="false">IF($A137="","",F136*Summary!$Q$9)</f>
        <v>0</v>
      </c>
      <c r="BC136" s="179" t="e">
        <f aca="false">IF(A137="","",AM136*F136)</f>
        <v>#N/A</v>
      </c>
    </row>
    <row r="137" customFormat="false" ht="12.75" hidden="false" customHeight="false" outlineLevel="0" collapsed="false">
      <c r="A137" s="196" t="n">
        <f aca="false">IF(A136&lt;mthend,EDATE(A136,1),"")</f>
        <v>40909</v>
      </c>
      <c r="B137" s="197" t="n">
        <f aca="false">IF(A137&lt;mthend,B136,"")</f>
        <v>36050</v>
      </c>
      <c r="C137" s="215"/>
      <c r="D137" s="197" t="n">
        <f aca="false">IF(A138&lt;&gt;"",B137+C137,"")</f>
        <v>36050</v>
      </c>
      <c r="E137" s="199" t="n">
        <f aca="false">IF(A138="","",IF(AND(AT137=1,$H$3=1),D137*AO137,IF($H$3=2,D137,"N/A")))</f>
        <v>1117550</v>
      </c>
      <c r="F137" s="199" t="n">
        <f aca="false">IF(A138="","",E137*AS137)</f>
        <v>4269438.88281415</v>
      </c>
      <c r="G137" s="200" t="e">
        <f aca="false">IF($A138="","",VLOOKUP($A137,Table,MATCH(G$4,Curves,0)))</f>
        <v>#N/A</v>
      </c>
      <c r="H137" s="201" t="e">
        <f aca="false">IF(A138="","",G137)</f>
        <v>#N/A</v>
      </c>
      <c r="I137" s="202"/>
      <c r="J137" s="200" t="e">
        <f aca="false">IF($A138="","",VLOOKUP($A137,Table,MATCH(J$4,Curves,0)))</f>
        <v>#N/A</v>
      </c>
      <c r="K137" s="201" t="e">
        <f aca="false">IF(A138="","",J137)</f>
        <v>#N/A</v>
      </c>
      <c r="L137" s="200" t="e">
        <f aca="false">IF($A138="","",VLOOKUP($A137,Table,MATCH(L$4,Curves,0)))</f>
        <v>#N/A</v>
      </c>
      <c r="M137" s="201" t="e">
        <f aca="false">IF(A138="","",L137)</f>
        <v>#N/A</v>
      </c>
      <c r="N137" s="203"/>
      <c r="O137" s="200" t="e">
        <f aca="false">IF(A138="","",L137+J137+G137)</f>
        <v>#N/A</v>
      </c>
      <c r="P137" s="200" t="e">
        <f aca="false">IF(A138="","",M137+K137+H137)</f>
        <v>#N/A</v>
      </c>
      <c r="Q137" s="204"/>
      <c r="R137" s="200" t="e">
        <f aca="false">IF($A138="","",VLOOKUP($A137,Table,MATCH(R$4,Curves,0)))</f>
        <v>#N/A</v>
      </c>
      <c r="S137" s="201" t="e">
        <f aca="false">IF(A138="","",R137)</f>
        <v>#N/A</v>
      </c>
      <c r="T137" s="200" t="e">
        <f aca="false">IF($A138="","",VLOOKUP($A137,Table,MATCH(T$4,Curves,0)))</f>
        <v>#N/A</v>
      </c>
      <c r="U137" s="201" t="e">
        <f aca="false">IF(A138="","",T137)</f>
        <v>#N/A</v>
      </c>
      <c r="V137" s="225" t="e">
        <f aca="false">IF($A138="","",IF(AND(MONTH(A137)&gt;3,MONTH(A137)&lt;11),(T137+R137+G137)*Summary!$T$9/(1-Summary!$T$9),(T137+R137+G137)*Summary!$U$9/(1-Summary!$U$9)))</f>
        <v>#N/A</v>
      </c>
      <c r="W137" s="200" t="e">
        <f aca="false">IF($A138="","",(T137+R137+G137+V137))</f>
        <v>#N/A</v>
      </c>
      <c r="X137" s="200" t="e">
        <f aca="false">IF($A138="","",(U137+S137+H137+V137))</f>
        <v>#N/A</v>
      </c>
      <c r="Y137" s="202"/>
      <c r="Z137" s="185" t="e">
        <f aca="false">IF($A138="","",VLOOKUP($A137,Table,MATCH(Z$4,Curves,0)))</f>
        <v>#N/A</v>
      </c>
      <c r="AA137" s="185" t="e">
        <f aca="false">IF($A138="","",VLOOKUP($A137,Table,MATCH(AA$4,Curves,0)))</f>
        <v>#N/A</v>
      </c>
      <c r="AB137" s="185" t="e">
        <f aca="false">SQRT((AA137^2*(A137-$D$3)+Z137^2*(DAY(EOMONTH(A137,0))/2))/AK137)</f>
        <v>#N/A</v>
      </c>
      <c r="AC137" s="185" t="e">
        <f aca="false">IF($A138="","",VLOOKUP($A137,Table,MATCH(AC$4,Curves,0)))</f>
        <v>#N/A</v>
      </c>
      <c r="AD137" s="185" t="e">
        <f aca="false">IF($A138="","",VLOOKUP($A137,Table,MATCH(AD$4,Curves,0)))</f>
        <v>#N/A</v>
      </c>
      <c r="AE137" s="185" t="e">
        <f aca="false">SQRT((AD137^2*(A137-$D$3)+AC137^2*(DAY(EOMONTH(A137,0))/2))/AK137)</f>
        <v>#N/A</v>
      </c>
      <c r="AF137" s="224" t="e">
        <f aca="false">((Summary!$N$9*(AA137*AD137)*(A137-$D$3))+(Summary!$M$9*Z137*AC137*(AJ137-EOMONTH(EDATE(A137,-1),0))))/(AK137*AB137*AE137)</f>
        <v>#N/A</v>
      </c>
      <c r="AG137" s="207" t="n">
        <f aca="false">IF($A138="","",Summary!$Q$9)</f>
        <v>0</v>
      </c>
      <c r="AH137" s="207" t="n">
        <f aca="false">IF($A138="","",IF(Summary!$R$9="Y",VLOOKUP($A137,Summary!$AD$6:$AF$9,3)+'Escalating commodity'!E150,'Escalating commodity'!E150))</f>
        <v>0.0707</v>
      </c>
      <c r="AI137" s="207" t="n">
        <f aca="false">IF($A138="","",AH137)</f>
        <v>0.0707</v>
      </c>
      <c r="AJ137" s="208" t="n">
        <f aca="false">A137+DAY(EOMONTH(A137,0))/2-1</f>
        <v>40923.5</v>
      </c>
      <c r="AK137" s="209" t="n">
        <f aca="false">IF($A138="","",$A137-$E$1)</f>
        <v>-5017</v>
      </c>
      <c r="AL137" s="182" t="e">
        <f aca="false">IF($A138="","",SPRDOPT(P137,X137,AI137,0,AB137,AE137,AF137,AK137,$AJ$2,0))</f>
        <v>#NAME?</v>
      </c>
      <c r="AM137" s="211" t="e">
        <f aca="false">IF($A138="","",MAX(0,O137-W137-AI137))</f>
        <v>#N/A</v>
      </c>
      <c r="AN137" s="211" t="e">
        <f aca="false">IF($A138="","",AL137-AM137)</f>
        <v>#N/A</v>
      </c>
      <c r="AO137" s="137" t="n">
        <f aca="false">IF(A138="","",A138-A137)</f>
        <v>31</v>
      </c>
      <c r="AP137" s="212" t="n">
        <f aca="false">IF(A138="","",CHOOSE(F$3,A138+24,A137))</f>
        <v>40909</v>
      </c>
      <c r="AQ137" s="209" t="n">
        <f aca="false">IF(A138="","",AP137-$E$1)</f>
        <v>-5017</v>
      </c>
      <c r="AR137" s="185" t="n">
        <f aca="false">'ANR OK vs ML7'!AR137</f>
        <v>0.1</v>
      </c>
      <c r="AS137" s="213" t="n">
        <f aca="false">IF(A138="","",1/(1+CHOOSE(F$3,(AR138+($I$3/10000))/2,(AR137+($I$3/10000))/2))^(2*AQ137/365.25))</f>
        <v>3.82035603133117</v>
      </c>
      <c r="AT137" s="137" t="n">
        <f aca="false">IF(A138="","",IF(AND(mthbeg&lt;=A137,mthend&gt;=A137),1,0))</f>
        <v>1</v>
      </c>
      <c r="AU137" s="137" t="n">
        <f aca="false">IF(A138="","",AO137*AT137)</f>
        <v>31</v>
      </c>
      <c r="AW137" s="195" t="e">
        <f aca="false">IF($A138="","",AL137*$E137)</f>
        <v>#NAME?</v>
      </c>
      <c r="AX137" s="195" t="e">
        <f aca="false">IF($A138="","",AM137*$E137)</f>
        <v>#N/A</v>
      </c>
      <c r="AY137" s="195" t="e">
        <f aca="false">IF($A138="","",AN137*$E137)</f>
        <v>#N/A</v>
      </c>
      <c r="BA137" s="195" t="n">
        <f aca="false">IF($A138="","",F137*Summary!$Q$9)</f>
        <v>0</v>
      </c>
      <c r="BC137" s="179" t="e">
        <f aca="false">IF(A138="","",AM137*F137)</f>
        <v>#N/A</v>
      </c>
    </row>
    <row r="138" customFormat="false" ht="12.75" hidden="false" customHeight="false" outlineLevel="0" collapsed="false">
      <c r="A138" s="196" t="n">
        <f aca="false">IF(A137&lt;mthend,EDATE(A137,1),"")</f>
        <v>40940</v>
      </c>
      <c r="B138" s="197" t="n">
        <f aca="false">IF(A138&lt;mthend,B137,"")</f>
        <v>36050</v>
      </c>
      <c r="C138" s="215"/>
      <c r="D138" s="197" t="n">
        <f aca="false">IF(A139&lt;&gt;"",B138+C138,"")</f>
        <v>36050</v>
      </c>
      <c r="E138" s="199" t="n">
        <f aca="false">IF(A139="","",IF(AND(AT138=1,$H$3=1),D138*AO138,IF($H$3=2,D138,"N/A")))</f>
        <v>1045450</v>
      </c>
      <c r="F138" s="199" t="n">
        <f aca="false">IF(A139="","",E138*AS138)</f>
        <v>3961049.68926961</v>
      </c>
      <c r="G138" s="200" t="e">
        <f aca="false">IF($A139="","",VLOOKUP($A138,Table,MATCH(G$4,Curves,0)))</f>
        <v>#N/A</v>
      </c>
      <c r="H138" s="201" t="e">
        <f aca="false">IF(A139="","",G138)</f>
        <v>#N/A</v>
      </c>
      <c r="I138" s="202"/>
      <c r="J138" s="200" t="e">
        <f aca="false">IF($A139="","",VLOOKUP($A138,Table,MATCH(J$4,Curves,0)))</f>
        <v>#N/A</v>
      </c>
      <c r="K138" s="201" t="e">
        <f aca="false">IF(A139="","",J138)</f>
        <v>#N/A</v>
      </c>
      <c r="L138" s="200" t="e">
        <f aca="false">IF($A139="","",VLOOKUP($A138,Table,MATCH(L$4,Curves,0)))</f>
        <v>#N/A</v>
      </c>
      <c r="M138" s="201" t="e">
        <f aca="false">IF(A139="","",L138)</f>
        <v>#N/A</v>
      </c>
      <c r="N138" s="203"/>
      <c r="O138" s="200" t="e">
        <f aca="false">IF(A139="","",L138+J138+G138)</f>
        <v>#N/A</v>
      </c>
      <c r="P138" s="200" t="e">
        <f aca="false">IF(A139="","",M138+K138+H138)</f>
        <v>#N/A</v>
      </c>
      <c r="Q138" s="204"/>
      <c r="R138" s="200" t="e">
        <f aca="false">IF($A139="","",VLOOKUP($A138,Table,MATCH(R$4,Curves,0)))</f>
        <v>#N/A</v>
      </c>
      <c r="S138" s="201" t="e">
        <f aca="false">IF(A139="","",R138)</f>
        <v>#N/A</v>
      </c>
      <c r="T138" s="200" t="e">
        <f aca="false">IF($A139="","",VLOOKUP($A138,Table,MATCH(T$4,Curves,0)))</f>
        <v>#N/A</v>
      </c>
      <c r="U138" s="201" t="e">
        <f aca="false">IF(A139="","",T138)</f>
        <v>#N/A</v>
      </c>
      <c r="V138" s="225" t="e">
        <f aca="false">IF($A139="","",IF(AND(MONTH(A138)&gt;3,MONTH(A138)&lt;11),(T138+R138+G138)*Summary!$T$9/(1-Summary!$T$9),(T138+R138+G138)*Summary!$U$9/(1-Summary!$U$9)))</f>
        <v>#N/A</v>
      </c>
      <c r="W138" s="200" t="e">
        <f aca="false">IF($A139="","",(T138+R138+G138+V138))</f>
        <v>#N/A</v>
      </c>
      <c r="X138" s="200" t="e">
        <f aca="false">IF($A139="","",(U138+S138+H138+V138))</f>
        <v>#N/A</v>
      </c>
      <c r="Y138" s="202"/>
      <c r="Z138" s="185" t="e">
        <f aca="false">IF($A139="","",VLOOKUP($A138,Table,MATCH(Z$4,Curves,0)))</f>
        <v>#N/A</v>
      </c>
      <c r="AA138" s="185" t="e">
        <f aca="false">IF($A139="","",VLOOKUP($A138,Table,MATCH(AA$4,Curves,0)))</f>
        <v>#N/A</v>
      </c>
      <c r="AB138" s="185" t="e">
        <f aca="false">SQRT((AA138^2*(A138-$D$3)+Z138^2*(DAY(EOMONTH(A138,0))/2))/AK138)</f>
        <v>#N/A</v>
      </c>
      <c r="AC138" s="185" t="e">
        <f aca="false">IF($A139="","",VLOOKUP($A138,Table,MATCH(AC$4,Curves,0)))</f>
        <v>#N/A</v>
      </c>
      <c r="AD138" s="185" t="e">
        <f aca="false">IF($A139="","",VLOOKUP($A138,Table,MATCH(AD$4,Curves,0)))</f>
        <v>#N/A</v>
      </c>
      <c r="AE138" s="185" t="e">
        <f aca="false">SQRT((AD138^2*(A138-$D$3)+AC138^2*(DAY(EOMONTH(A138,0))/2))/AK138)</f>
        <v>#N/A</v>
      </c>
      <c r="AF138" s="224" t="e">
        <f aca="false">((Summary!$N$9*(AA138*AD138)*(A138-$D$3))+(Summary!$M$9*Z138*AC138*(AJ138-EOMONTH(EDATE(A138,-1),0))))/(AK138*AB138*AE138)</f>
        <v>#N/A</v>
      </c>
      <c r="AG138" s="207" t="n">
        <f aca="false">IF($A139="","",Summary!$Q$9)</f>
        <v>0</v>
      </c>
      <c r="AH138" s="207" t="n">
        <f aca="false">IF($A139="","",IF(Summary!$R$9="Y",VLOOKUP($A138,Summary!$AD$6:$AF$9,3)+'Escalating commodity'!E151,'Escalating commodity'!E151))</f>
        <v>0.0707</v>
      </c>
      <c r="AI138" s="207" t="n">
        <f aca="false">IF($A139="","",AH138)</f>
        <v>0.0707</v>
      </c>
      <c r="AJ138" s="208" t="n">
        <f aca="false">A138+DAY(EOMONTH(A138,0))/2-1</f>
        <v>40953.5</v>
      </c>
      <c r="AK138" s="209" t="n">
        <f aca="false">IF($A139="","",$A138-$E$1)</f>
        <v>-4986</v>
      </c>
      <c r="AL138" s="182" t="e">
        <f aca="false">IF($A139="","",SPRDOPT(P138,X138,AI138,0,AB138,AE138,AF138,AK138,$AJ$2,0))</f>
        <v>#NAME?</v>
      </c>
      <c r="AM138" s="211" t="e">
        <f aca="false">IF($A139="","",MAX(0,O138-W138-AI138))</f>
        <v>#N/A</v>
      </c>
      <c r="AN138" s="211" t="e">
        <f aca="false">IF($A139="","",AL138-AM138)</f>
        <v>#N/A</v>
      </c>
      <c r="AO138" s="137" t="n">
        <f aca="false">IF(A139="","",A139-A138)</f>
        <v>29</v>
      </c>
      <c r="AP138" s="212" t="n">
        <f aca="false">IF(A139="","",CHOOSE(F$3,A139+24,A138))</f>
        <v>40940</v>
      </c>
      <c r="AQ138" s="209" t="n">
        <f aca="false">IF(A139="","",AP138-$E$1)</f>
        <v>-4986</v>
      </c>
      <c r="AR138" s="185" t="n">
        <f aca="false">'ANR OK vs ML7'!AR138</f>
        <v>0.1</v>
      </c>
      <c r="AS138" s="213" t="n">
        <f aca="false">IF(A139="","",1/(1+CHOOSE(F$3,(AR139+($I$3/10000))/2,(AR138+($I$3/10000))/2))^(2*AQ138/365.25))</f>
        <v>3.78884661080837</v>
      </c>
      <c r="AT138" s="137" t="n">
        <f aca="false">IF(A139="","",IF(AND(mthbeg&lt;=A138,mthend&gt;=A138),1,0))</f>
        <v>1</v>
      </c>
      <c r="AU138" s="137" t="n">
        <f aca="false">IF(A139="","",AO138*AT138)</f>
        <v>29</v>
      </c>
      <c r="AW138" s="195" t="e">
        <f aca="false">IF($A139="","",AL138*$E138)</f>
        <v>#NAME?</v>
      </c>
      <c r="AX138" s="195" t="e">
        <f aca="false">IF($A139="","",AM138*$E138)</f>
        <v>#N/A</v>
      </c>
      <c r="AY138" s="195" t="e">
        <f aca="false">IF($A139="","",AN138*$E138)</f>
        <v>#N/A</v>
      </c>
      <c r="BA138" s="195" t="n">
        <f aca="false">IF($A139="","",F138*Summary!$Q$9)</f>
        <v>0</v>
      </c>
      <c r="BC138" s="179" t="e">
        <f aca="false">IF(A139="","",AM138*F138)</f>
        <v>#N/A</v>
      </c>
    </row>
    <row r="139" customFormat="false" ht="12.75" hidden="false" customHeight="false" outlineLevel="0" collapsed="false">
      <c r="A139" s="196" t="n">
        <f aca="false">IF(A138&lt;mthend,EDATE(A138,1),"")</f>
        <v>40969</v>
      </c>
      <c r="B139" s="197" t="n">
        <f aca="false">IF(A139&lt;mthend,B138,"")</f>
        <v>36050</v>
      </c>
      <c r="C139" s="215"/>
      <c r="D139" s="197" t="n">
        <f aca="false">IF(A140&lt;&gt;"",B139+C139,"")</f>
        <v>36050</v>
      </c>
      <c r="E139" s="199" t="n">
        <f aca="false">IF(A140="","",IF(AND(AT139=1,$H$3=1),D139*AO139,IF($H$3=2,D139,"N/A")))</f>
        <v>1117550</v>
      </c>
      <c r="F139" s="199" t="n">
        <f aca="false">IF(A140="","",E139*AS139)</f>
        <v>4201546.98276912</v>
      </c>
      <c r="G139" s="200" t="e">
        <f aca="false">IF($A140="","",VLOOKUP($A139,Table,MATCH(G$4,Curves,0)))</f>
        <v>#N/A</v>
      </c>
      <c r="H139" s="201" t="e">
        <f aca="false">IF(A140="","",G139)</f>
        <v>#N/A</v>
      </c>
      <c r="I139" s="202"/>
      <c r="J139" s="200" t="e">
        <f aca="false">IF($A140="","",VLOOKUP($A139,Table,MATCH(J$4,Curves,0)))</f>
        <v>#N/A</v>
      </c>
      <c r="K139" s="201" t="e">
        <f aca="false">IF(A140="","",J139)</f>
        <v>#N/A</v>
      </c>
      <c r="L139" s="200" t="e">
        <f aca="false">IF($A140="","",VLOOKUP($A139,Table,MATCH(L$4,Curves,0)))</f>
        <v>#N/A</v>
      </c>
      <c r="M139" s="201" t="e">
        <f aca="false">IF(A140="","",L139)</f>
        <v>#N/A</v>
      </c>
      <c r="N139" s="203"/>
      <c r="O139" s="200" t="e">
        <f aca="false">IF(A140="","",L139+J139+G139)</f>
        <v>#N/A</v>
      </c>
      <c r="P139" s="200" t="e">
        <f aca="false">IF(A140="","",M139+K139+H139)</f>
        <v>#N/A</v>
      </c>
      <c r="Q139" s="204"/>
      <c r="R139" s="200" t="e">
        <f aca="false">IF($A140="","",VLOOKUP($A139,Table,MATCH(R$4,Curves,0)))</f>
        <v>#N/A</v>
      </c>
      <c r="S139" s="201" t="e">
        <f aca="false">IF(A140="","",R139)</f>
        <v>#N/A</v>
      </c>
      <c r="T139" s="200" t="e">
        <f aca="false">IF($A140="","",VLOOKUP($A139,Table,MATCH(T$4,Curves,0)))</f>
        <v>#N/A</v>
      </c>
      <c r="U139" s="201" t="e">
        <f aca="false">IF(A140="","",T139)</f>
        <v>#N/A</v>
      </c>
      <c r="V139" s="225" t="e">
        <f aca="false">IF($A140="","",IF(AND(MONTH(A139)&gt;3,MONTH(A139)&lt;11),(T139+R139+G139)*Summary!$T$9/(1-Summary!$T$9),(T139+R139+G139)*Summary!$U$9/(1-Summary!$U$9)))</f>
        <v>#N/A</v>
      </c>
      <c r="W139" s="200" t="e">
        <f aca="false">IF($A140="","",(T139+R139+G139+V139))</f>
        <v>#N/A</v>
      </c>
      <c r="X139" s="200" t="e">
        <f aca="false">IF($A140="","",(U139+S139+H139+V139))</f>
        <v>#N/A</v>
      </c>
      <c r="Y139" s="202"/>
      <c r="Z139" s="185" t="e">
        <f aca="false">IF($A140="","",VLOOKUP($A139,Table,MATCH(Z$4,Curves,0)))</f>
        <v>#N/A</v>
      </c>
      <c r="AA139" s="185" t="e">
        <f aca="false">IF($A140="","",VLOOKUP($A139,Table,MATCH(AA$4,Curves,0)))</f>
        <v>#N/A</v>
      </c>
      <c r="AB139" s="185" t="e">
        <f aca="false">SQRT((AA139^2*(A139-$D$3)+Z139^2*(DAY(EOMONTH(A139,0))/2))/AK139)</f>
        <v>#N/A</v>
      </c>
      <c r="AC139" s="185" t="e">
        <f aca="false">IF($A140="","",VLOOKUP($A139,Table,MATCH(AC$4,Curves,0)))</f>
        <v>#N/A</v>
      </c>
      <c r="AD139" s="185" t="e">
        <f aca="false">IF($A140="","",VLOOKUP($A139,Table,MATCH(AD$4,Curves,0)))</f>
        <v>#N/A</v>
      </c>
      <c r="AE139" s="185" t="e">
        <f aca="false">SQRT((AD139^2*(A139-$D$3)+AC139^2*(DAY(EOMONTH(A139,0))/2))/AK139)</f>
        <v>#N/A</v>
      </c>
      <c r="AF139" s="224" t="e">
        <f aca="false">((Summary!$N$9*(AA139*AD139)*(A139-$D$3))+(Summary!$M$9*Z139*AC139*(AJ139-EOMONTH(EDATE(A139,-1),0))))/(AK139*AB139*AE139)</f>
        <v>#N/A</v>
      </c>
      <c r="AG139" s="207" t="n">
        <f aca="false">IF($A140="","",Summary!$Q$9)</f>
        <v>0</v>
      </c>
      <c r="AH139" s="207" t="n">
        <f aca="false">IF($A140="","",IF(Summary!$R$9="Y",VLOOKUP($A139,Summary!$AD$6:$AF$9,3)+'Escalating commodity'!E152,'Escalating commodity'!E152))</f>
        <v>0.0707</v>
      </c>
      <c r="AI139" s="207" t="n">
        <f aca="false">IF($A140="","",AH139)</f>
        <v>0.0707</v>
      </c>
      <c r="AJ139" s="208" t="n">
        <f aca="false">A139+DAY(EOMONTH(A139,0))/2-1</f>
        <v>40983.5</v>
      </c>
      <c r="AK139" s="209" t="n">
        <f aca="false">IF($A140="","",$A139-$E$1)</f>
        <v>-4957</v>
      </c>
      <c r="AL139" s="182" t="e">
        <f aca="false">IF($A140="","",SPRDOPT(P139,X139,AI139,0,AB139,AE139,AF139,AK139,$AJ$2,0))</f>
        <v>#NAME?</v>
      </c>
      <c r="AM139" s="211" t="e">
        <f aca="false">IF($A140="","",MAX(0,O139-W139-AI139))</f>
        <v>#N/A</v>
      </c>
      <c r="AN139" s="211" t="e">
        <f aca="false">IF($A140="","",AL139-AM139)</f>
        <v>#N/A</v>
      </c>
      <c r="AO139" s="137" t="n">
        <f aca="false">IF(A140="","",A140-A139)</f>
        <v>31</v>
      </c>
      <c r="AP139" s="212" t="n">
        <f aca="false">IF(A140="","",CHOOSE(F$3,A140+24,A139))</f>
        <v>40969</v>
      </c>
      <c r="AQ139" s="209" t="n">
        <f aca="false">IF(A140="","",AP139-$E$1)</f>
        <v>-4957</v>
      </c>
      <c r="AR139" s="185" t="n">
        <f aca="false">'ANR OK vs ML7'!AR139</f>
        <v>0.1</v>
      </c>
      <c r="AS139" s="213" t="n">
        <f aca="false">IF(A140="","",1/(1+CHOOSE(F$3,(AR140+($I$3/10000))/2,(AR139+($I$3/10000))/2))^(2*AQ139/365.25))</f>
        <v>3.75960537136515</v>
      </c>
      <c r="AT139" s="137" t="n">
        <f aca="false">IF(A140="","",IF(AND(mthbeg&lt;=A139,mthend&gt;=A139),1,0))</f>
        <v>1</v>
      </c>
      <c r="AU139" s="137" t="n">
        <f aca="false">IF(A140="","",AO139*AT139)</f>
        <v>31</v>
      </c>
      <c r="AW139" s="195" t="e">
        <f aca="false">IF($A140="","",AL139*$E139)</f>
        <v>#NAME?</v>
      </c>
      <c r="AX139" s="195" t="e">
        <f aca="false">IF($A140="","",AM139*$E139)</f>
        <v>#N/A</v>
      </c>
      <c r="AY139" s="195" t="e">
        <f aca="false">IF($A140="","",AN139*$E139)</f>
        <v>#N/A</v>
      </c>
      <c r="BA139" s="195" t="n">
        <f aca="false">IF($A140="","",F139*Summary!$Q$9)</f>
        <v>0</v>
      </c>
      <c r="BC139" s="179" t="e">
        <f aca="false">IF(A140="","",AM139*F139)</f>
        <v>#N/A</v>
      </c>
    </row>
    <row r="140" customFormat="false" ht="12.75" hidden="false" customHeight="false" outlineLevel="0" collapsed="false">
      <c r="A140" s="196" t="n">
        <f aca="false">IF(A139&lt;mthend,EDATE(A139,1),"")</f>
        <v>41000</v>
      </c>
      <c r="B140" s="197" t="n">
        <f aca="false">IF(A140&lt;mthend,B139,"")</f>
        <v>36050</v>
      </c>
      <c r="C140" s="215"/>
      <c r="D140" s="197" t="n">
        <f aca="false">IF(A141&lt;&gt;"",B140+C140,"")</f>
        <v>36050</v>
      </c>
      <c r="E140" s="199" t="n">
        <f aca="false">IF(A141="","",IF(AND(AT140=1,$H$3=1),D140*AO140,IF($H$3=2,D140,"N/A")))</f>
        <v>1081500</v>
      </c>
      <c r="F140" s="199" t="n">
        <f aca="false">IF(A141="","",E140*AS140)</f>
        <v>4032477.66453633</v>
      </c>
      <c r="G140" s="200" t="e">
        <f aca="false">IF($A141="","",VLOOKUP($A140,Table,MATCH(G$4,Curves,0)))</f>
        <v>#N/A</v>
      </c>
      <c r="H140" s="201" t="e">
        <f aca="false">IF(A141="","",G140)</f>
        <v>#N/A</v>
      </c>
      <c r="I140" s="202"/>
      <c r="J140" s="200" t="e">
        <f aca="false">IF($A141="","",VLOOKUP($A140,Table,MATCH(J$4,Curves,0)))</f>
        <v>#N/A</v>
      </c>
      <c r="K140" s="201" t="e">
        <f aca="false">IF(A141="","",J140)</f>
        <v>#N/A</v>
      </c>
      <c r="L140" s="200" t="e">
        <f aca="false">IF($A141="","",VLOOKUP($A140,Table,MATCH(L$4,Curves,0)))</f>
        <v>#N/A</v>
      </c>
      <c r="M140" s="201" t="e">
        <f aca="false">IF(A141="","",L140)</f>
        <v>#N/A</v>
      </c>
      <c r="N140" s="203"/>
      <c r="O140" s="200" t="e">
        <f aca="false">IF(A141="","",L140+J140+G140)</f>
        <v>#N/A</v>
      </c>
      <c r="P140" s="200" t="e">
        <f aca="false">IF(A141="","",M140+K140+H140)</f>
        <v>#N/A</v>
      </c>
      <c r="Q140" s="204"/>
      <c r="R140" s="200" t="e">
        <f aca="false">IF($A141="","",VLOOKUP($A140,Table,MATCH(R$4,Curves,0)))</f>
        <v>#N/A</v>
      </c>
      <c r="S140" s="201" t="e">
        <f aca="false">IF(A141="","",R140)</f>
        <v>#N/A</v>
      </c>
      <c r="T140" s="200" t="e">
        <f aca="false">IF($A141="","",VLOOKUP($A140,Table,MATCH(T$4,Curves,0)))</f>
        <v>#N/A</v>
      </c>
      <c r="U140" s="201" t="e">
        <f aca="false">IF(A141="","",T140)</f>
        <v>#N/A</v>
      </c>
      <c r="V140" s="225" t="e">
        <f aca="false">IF($A141="","",IF(AND(MONTH(A140)&gt;3,MONTH(A140)&lt;11),(T140+R140+G140)*Summary!$T$9/(1-Summary!$T$9),(T140+R140+G140)*Summary!$U$9/(1-Summary!$U$9)))</f>
        <v>#N/A</v>
      </c>
      <c r="W140" s="200" t="e">
        <f aca="false">IF($A141="","",(T140+R140+G140+V140))</f>
        <v>#N/A</v>
      </c>
      <c r="X140" s="200" t="e">
        <f aca="false">IF($A141="","",(U140+S140+H140+V140))</f>
        <v>#N/A</v>
      </c>
      <c r="Y140" s="202"/>
      <c r="Z140" s="185" t="e">
        <f aca="false">IF($A141="","",VLOOKUP($A140,Table,MATCH(Z$4,Curves,0)))</f>
        <v>#N/A</v>
      </c>
      <c r="AA140" s="185" t="e">
        <f aca="false">IF($A141="","",VLOOKUP($A140,Table,MATCH(AA$4,Curves,0)))</f>
        <v>#N/A</v>
      </c>
      <c r="AB140" s="185" t="e">
        <f aca="false">SQRT((AA140^2*(A140-$D$3)+Z140^2*(DAY(EOMONTH(A140,0))/2))/AK140)</f>
        <v>#N/A</v>
      </c>
      <c r="AC140" s="185" t="e">
        <f aca="false">IF($A141="","",VLOOKUP($A140,Table,MATCH(AC$4,Curves,0)))</f>
        <v>#N/A</v>
      </c>
      <c r="AD140" s="185" t="e">
        <f aca="false">IF($A141="","",VLOOKUP($A140,Table,MATCH(AD$4,Curves,0)))</f>
        <v>#N/A</v>
      </c>
      <c r="AE140" s="185" t="e">
        <f aca="false">SQRT((AD140^2*(A140-$D$3)+AC140^2*(DAY(EOMONTH(A140,0))/2))/AK140)</f>
        <v>#N/A</v>
      </c>
      <c r="AF140" s="224" t="e">
        <f aca="false">((Summary!$N$9*(AA140*AD140)*(A140-$D$3))+(Summary!$M$9*Z140*AC140*(AJ140-EOMONTH(EDATE(A140,-1),0))))/(AK140*AB140*AE140)</f>
        <v>#N/A</v>
      </c>
      <c r="AG140" s="207" t="n">
        <f aca="false">IF($A141="","",Summary!$Q$9)</f>
        <v>0</v>
      </c>
      <c r="AH140" s="207" t="n">
        <f aca="false">IF($A141="","",IF(Summary!$R$9="Y",VLOOKUP($A140,Summary!$AD$6:$AF$9,3)+'Escalating commodity'!E153,'Escalating commodity'!E153))</f>
        <v>0.0707</v>
      </c>
      <c r="AI140" s="207" t="n">
        <f aca="false">IF($A141="","",AH140)</f>
        <v>0.0707</v>
      </c>
      <c r="AJ140" s="208" t="n">
        <f aca="false">A140+DAY(EOMONTH(A140,0))/2-1</f>
        <v>41014</v>
      </c>
      <c r="AK140" s="209" t="n">
        <f aca="false">IF($A141="","",$A140-$E$1)</f>
        <v>-4926</v>
      </c>
      <c r="AL140" s="182" t="e">
        <f aca="false">IF($A141="","",SPRDOPT(P140,X140,AI140,0,AB140,AE140,AF140,AK140,$AJ$2,0))</f>
        <v>#NAME?</v>
      </c>
      <c r="AM140" s="211" t="e">
        <f aca="false">IF($A141="","",MAX(0,O140-W140-AI140))</f>
        <v>#N/A</v>
      </c>
      <c r="AN140" s="211" t="e">
        <f aca="false">IF($A141="","",AL140-AM140)</f>
        <v>#N/A</v>
      </c>
      <c r="AO140" s="137" t="n">
        <f aca="false">IF(A141="","",A141-A140)</f>
        <v>30</v>
      </c>
      <c r="AP140" s="212" t="n">
        <f aca="false">IF(A141="","",CHOOSE(F$3,A141+24,A140))</f>
        <v>41000</v>
      </c>
      <c r="AQ140" s="209" t="n">
        <f aca="false">IF(A141="","",AP140-$E$1)</f>
        <v>-4926</v>
      </c>
      <c r="AR140" s="185" t="n">
        <f aca="false">'ANR OK vs ML7'!AR140</f>
        <v>0.1</v>
      </c>
      <c r="AS140" s="213" t="n">
        <f aca="false">IF(A141="","",1/(1+CHOOSE(F$3,(AR141+($I$3/10000))/2,(AR140+($I$3/10000))/2))^(2*AQ140/365.25))</f>
        <v>3.72859700835537</v>
      </c>
      <c r="AT140" s="137" t="n">
        <f aca="false">IF(A141="","",IF(AND(mthbeg&lt;=A140,mthend&gt;=A140),1,0))</f>
        <v>1</v>
      </c>
      <c r="AU140" s="137" t="n">
        <f aca="false">IF(A141="","",AO140*AT140)</f>
        <v>30</v>
      </c>
      <c r="AW140" s="195" t="e">
        <f aca="false">IF($A141="","",AL140*$E140)</f>
        <v>#NAME?</v>
      </c>
      <c r="AX140" s="195" t="e">
        <f aca="false">IF($A141="","",AM140*$E140)</f>
        <v>#N/A</v>
      </c>
      <c r="AY140" s="195" t="e">
        <f aca="false">IF($A141="","",AN140*$E140)</f>
        <v>#N/A</v>
      </c>
      <c r="BA140" s="195" t="n">
        <f aca="false">IF($A141="","",F140*Summary!$Q$9)</f>
        <v>0</v>
      </c>
      <c r="BC140" s="179" t="e">
        <f aca="false">IF(A141="","",AM140*F140)</f>
        <v>#N/A</v>
      </c>
    </row>
    <row r="141" customFormat="false" ht="12.75" hidden="false" customHeight="false" outlineLevel="0" collapsed="false">
      <c r="A141" s="196" t="n">
        <f aca="false">IF(A140&lt;mthend,EDATE(A140,1),"")</f>
        <v>41030</v>
      </c>
      <c r="B141" s="197" t="n">
        <f aca="false">IF(A141&lt;mthend,B140,"")</f>
        <v>36050</v>
      </c>
      <c r="C141" s="215"/>
      <c r="D141" s="197" t="n">
        <f aca="false">IF(A142&lt;&gt;"",B141+C141,"")</f>
        <v>36050</v>
      </c>
      <c r="E141" s="199" t="n">
        <f aca="false">IF(A142="","",IF(AND(AT141=1,$H$3=1),D141*AO141,IF($H$3=2,D141,"N/A")))</f>
        <v>1117550</v>
      </c>
      <c r="F141" s="199" t="n">
        <f aca="false">IF(A142="","",E141*AS141)</f>
        <v>4133630.19857504</v>
      </c>
      <c r="G141" s="200" t="e">
        <f aca="false">IF($A142="","",VLOOKUP($A141,Table,MATCH(G$4,Curves,0)))</f>
        <v>#N/A</v>
      </c>
      <c r="H141" s="201" t="e">
        <f aca="false">IF(A142="","",G141)</f>
        <v>#N/A</v>
      </c>
      <c r="I141" s="202"/>
      <c r="J141" s="200" t="e">
        <f aca="false">IF($A142="","",VLOOKUP($A141,Table,MATCH(J$4,Curves,0)))</f>
        <v>#N/A</v>
      </c>
      <c r="K141" s="201" t="e">
        <f aca="false">IF(A142="","",J141)</f>
        <v>#N/A</v>
      </c>
      <c r="L141" s="200" t="e">
        <f aca="false">IF($A142="","",VLOOKUP($A141,Table,MATCH(L$4,Curves,0)))</f>
        <v>#N/A</v>
      </c>
      <c r="M141" s="201" t="e">
        <f aca="false">IF(A142="","",L141)</f>
        <v>#N/A</v>
      </c>
      <c r="N141" s="203"/>
      <c r="O141" s="200" t="e">
        <f aca="false">IF(A142="","",L141+J141+G141)</f>
        <v>#N/A</v>
      </c>
      <c r="P141" s="200" t="e">
        <f aca="false">IF(A142="","",M141+K141+H141)</f>
        <v>#N/A</v>
      </c>
      <c r="Q141" s="204"/>
      <c r="R141" s="200" t="e">
        <f aca="false">IF($A142="","",VLOOKUP($A141,Table,MATCH(R$4,Curves,0)))</f>
        <v>#N/A</v>
      </c>
      <c r="S141" s="201" t="e">
        <f aca="false">IF(A142="","",R141)</f>
        <v>#N/A</v>
      </c>
      <c r="T141" s="200" t="e">
        <f aca="false">IF($A142="","",VLOOKUP($A141,Table,MATCH(T$4,Curves,0)))</f>
        <v>#N/A</v>
      </c>
      <c r="U141" s="201" t="e">
        <f aca="false">IF(A142="","",T141)</f>
        <v>#N/A</v>
      </c>
      <c r="V141" s="225" t="e">
        <f aca="false">IF($A142="","",IF(AND(MONTH(A141)&gt;3,MONTH(A141)&lt;11),(T141+R141+G141)*Summary!$T$9/(1-Summary!$T$9),(T141+R141+G141)*Summary!$U$9/(1-Summary!$U$9)))</f>
        <v>#N/A</v>
      </c>
      <c r="W141" s="200" t="e">
        <f aca="false">IF($A142="","",(T141+R141+G141+V141))</f>
        <v>#N/A</v>
      </c>
      <c r="X141" s="200" t="e">
        <f aca="false">IF($A142="","",(U141+S141+H141+V141))</f>
        <v>#N/A</v>
      </c>
      <c r="Y141" s="202"/>
      <c r="Z141" s="185" t="e">
        <f aca="false">IF($A142="","",VLOOKUP($A141,Table,MATCH(Z$4,Curves,0)))</f>
        <v>#N/A</v>
      </c>
      <c r="AA141" s="185" t="e">
        <f aca="false">IF($A142="","",VLOOKUP($A141,Table,MATCH(AA$4,Curves,0)))</f>
        <v>#N/A</v>
      </c>
      <c r="AB141" s="185" t="e">
        <f aca="false">SQRT((AA141^2*(A141-$D$3)+Z141^2*(DAY(EOMONTH(A141,0))/2))/AK141)</f>
        <v>#N/A</v>
      </c>
      <c r="AC141" s="185" t="e">
        <f aca="false">IF($A142="","",VLOOKUP($A141,Table,MATCH(AC$4,Curves,0)))</f>
        <v>#N/A</v>
      </c>
      <c r="AD141" s="185" t="e">
        <f aca="false">IF($A142="","",VLOOKUP($A141,Table,MATCH(AD$4,Curves,0)))</f>
        <v>#N/A</v>
      </c>
      <c r="AE141" s="185" t="e">
        <f aca="false">SQRT((AD141^2*(A141-$D$3)+AC141^2*(DAY(EOMONTH(A141,0))/2))/AK141)</f>
        <v>#N/A</v>
      </c>
      <c r="AF141" s="224" t="e">
        <f aca="false">((Summary!$N$9*(AA141*AD141)*(A141-$D$3))+(Summary!$M$9*Z141*AC141*(AJ141-EOMONTH(EDATE(A141,-1),0))))/(AK141*AB141*AE141)</f>
        <v>#N/A</v>
      </c>
      <c r="AG141" s="207" t="n">
        <f aca="false">IF($A142="","",Summary!$Q$9)</f>
        <v>0</v>
      </c>
      <c r="AH141" s="207" t="n">
        <f aca="false">IF($A142="","",IF(Summary!$R$9="Y",VLOOKUP($A141,Summary!$AD$6:$AF$9,3)+'Escalating commodity'!E154,'Escalating commodity'!E154))</f>
        <v>0.0707</v>
      </c>
      <c r="AI141" s="207" t="n">
        <f aca="false">IF($A142="","",AH141)</f>
        <v>0.0707</v>
      </c>
      <c r="AJ141" s="208" t="n">
        <f aca="false">A141+DAY(EOMONTH(A141,0))/2-1</f>
        <v>41044.5</v>
      </c>
      <c r="AK141" s="209" t="n">
        <f aca="false">IF($A142="","",$A141-$E$1)</f>
        <v>-4896</v>
      </c>
      <c r="AL141" s="182" t="e">
        <f aca="false">IF($A142="","",SPRDOPT(P141,X141,AI141,0,AB141,AE141,AF141,AK141,$AJ$2,0))</f>
        <v>#NAME?</v>
      </c>
      <c r="AM141" s="211" t="e">
        <f aca="false">IF($A142="","",MAX(0,O141-W141-AI141))</f>
        <v>#N/A</v>
      </c>
      <c r="AN141" s="211" t="e">
        <f aca="false">IF($A142="","",AL141-AM141)</f>
        <v>#N/A</v>
      </c>
      <c r="AO141" s="137" t="n">
        <f aca="false">IF(A142="","",A142-A141)</f>
        <v>31</v>
      </c>
      <c r="AP141" s="212" t="n">
        <f aca="false">IF(A142="","",CHOOSE(F$3,A142+24,A141))</f>
        <v>41030</v>
      </c>
      <c r="AQ141" s="209" t="n">
        <f aca="false">IF(A142="","",AP141-$E$1)</f>
        <v>-4896</v>
      </c>
      <c r="AR141" s="185" t="n">
        <f aca="false">'ANR OK vs ML7'!AR141</f>
        <v>0.1</v>
      </c>
      <c r="AS141" s="213" t="n">
        <f aca="false">IF(A142="","",1/(1+CHOOSE(F$3,(AR142+($I$3/10000))/2,(AR141+($I$3/10000))/2))^(2*AQ141/365.25))</f>
        <v>3.6988324447005</v>
      </c>
      <c r="AT141" s="137" t="n">
        <f aca="false">IF(A142="","",IF(AND(mthbeg&lt;=A141,mthend&gt;=A141),1,0))</f>
        <v>1</v>
      </c>
      <c r="AU141" s="137" t="n">
        <f aca="false">IF(A142="","",AO141*AT141)</f>
        <v>31</v>
      </c>
      <c r="AW141" s="195" t="e">
        <f aca="false">IF($A142="","",AL141*$E141)</f>
        <v>#NAME?</v>
      </c>
      <c r="AX141" s="195" t="e">
        <f aca="false">IF($A142="","",AM141*$E141)</f>
        <v>#N/A</v>
      </c>
      <c r="AY141" s="195" t="e">
        <f aca="false">IF($A142="","",AN141*$E141)</f>
        <v>#N/A</v>
      </c>
      <c r="BA141" s="195" t="n">
        <f aca="false">IF($A142="","",F141*Summary!$Q$9)</f>
        <v>0</v>
      </c>
      <c r="BC141" s="179" t="e">
        <f aca="false">IF(A142="","",AM141*F141)</f>
        <v>#N/A</v>
      </c>
    </row>
    <row r="142" customFormat="false" ht="12.75" hidden="false" customHeight="false" outlineLevel="0" collapsed="false">
      <c r="A142" s="196" t="n">
        <f aca="false">IF(A141&lt;mthend,EDATE(A141,1),"")</f>
        <v>41061</v>
      </c>
      <c r="B142" s="197" t="n">
        <f aca="false">IF(A142&lt;mthend,B141,"")</f>
        <v>36050</v>
      </c>
      <c r="C142" s="215"/>
      <c r="D142" s="197" t="n">
        <f aca="false">IF(A143&lt;&gt;"",B142+C142,"")</f>
        <v>36050</v>
      </c>
      <c r="E142" s="199" t="n">
        <f aca="false">IF(A143="","",IF(AND(AT142=1,$H$3=1),D142*AO142,IF($H$3=2,D142,"N/A")))</f>
        <v>1081500</v>
      </c>
      <c r="F142" s="199" t="n">
        <f aca="false">IF(A143="","",E142*AS142)</f>
        <v>3967293.836667</v>
      </c>
      <c r="G142" s="200" t="e">
        <f aca="false">IF($A143="","",VLOOKUP($A142,Table,MATCH(G$4,Curves,0)))</f>
        <v>#N/A</v>
      </c>
      <c r="H142" s="201" t="e">
        <f aca="false">IF(A143="","",G142)</f>
        <v>#N/A</v>
      </c>
      <c r="I142" s="202"/>
      <c r="J142" s="200" t="e">
        <f aca="false">IF($A143="","",VLOOKUP($A142,Table,MATCH(J$4,Curves,0)))</f>
        <v>#N/A</v>
      </c>
      <c r="K142" s="201" t="e">
        <f aca="false">IF(A143="","",J142)</f>
        <v>#N/A</v>
      </c>
      <c r="L142" s="200" t="e">
        <f aca="false">IF($A143="","",VLOOKUP($A142,Table,MATCH(L$4,Curves,0)))</f>
        <v>#N/A</v>
      </c>
      <c r="M142" s="201" t="e">
        <f aca="false">IF(A143="","",L142)</f>
        <v>#N/A</v>
      </c>
      <c r="N142" s="203"/>
      <c r="O142" s="200" t="e">
        <f aca="false">IF(A143="","",L142+J142+G142)</f>
        <v>#N/A</v>
      </c>
      <c r="P142" s="200" t="e">
        <f aca="false">IF(A143="","",M142+K142+H142)</f>
        <v>#N/A</v>
      </c>
      <c r="Q142" s="204"/>
      <c r="R142" s="200" t="e">
        <f aca="false">IF($A143="","",VLOOKUP($A142,Table,MATCH(R$4,Curves,0)))</f>
        <v>#N/A</v>
      </c>
      <c r="S142" s="201" t="e">
        <f aca="false">IF(A143="","",R142)</f>
        <v>#N/A</v>
      </c>
      <c r="T142" s="200" t="e">
        <f aca="false">IF($A143="","",VLOOKUP($A142,Table,MATCH(T$4,Curves,0)))</f>
        <v>#N/A</v>
      </c>
      <c r="U142" s="201" t="e">
        <f aca="false">IF(A143="","",T142)</f>
        <v>#N/A</v>
      </c>
      <c r="V142" s="225" t="e">
        <f aca="false">IF($A143="","",IF(AND(MONTH(A142)&gt;3,MONTH(A142)&lt;11),(T142+R142+G142)*Summary!$T$9/(1-Summary!$T$9),(T142+R142+G142)*Summary!$U$9/(1-Summary!$U$9)))</f>
        <v>#N/A</v>
      </c>
      <c r="W142" s="200" t="e">
        <f aca="false">IF($A143="","",(T142+R142+G142+V142))</f>
        <v>#N/A</v>
      </c>
      <c r="X142" s="200" t="e">
        <f aca="false">IF($A143="","",(U142+S142+H142+V142))</f>
        <v>#N/A</v>
      </c>
      <c r="Y142" s="202"/>
      <c r="Z142" s="185" t="e">
        <f aca="false">IF($A143="","",VLOOKUP($A142,Table,MATCH(Z$4,Curves,0)))</f>
        <v>#N/A</v>
      </c>
      <c r="AA142" s="185" t="e">
        <f aca="false">IF($A143="","",VLOOKUP($A142,Table,MATCH(AA$4,Curves,0)))</f>
        <v>#N/A</v>
      </c>
      <c r="AB142" s="185" t="e">
        <f aca="false">SQRT((AA142^2*(A142-$D$3)+Z142^2*(DAY(EOMONTH(A142,0))/2))/AK142)</f>
        <v>#N/A</v>
      </c>
      <c r="AC142" s="185" t="e">
        <f aca="false">IF($A143="","",VLOOKUP($A142,Table,MATCH(AC$4,Curves,0)))</f>
        <v>#N/A</v>
      </c>
      <c r="AD142" s="185" t="e">
        <f aca="false">IF($A143="","",VLOOKUP($A142,Table,MATCH(AD$4,Curves,0)))</f>
        <v>#N/A</v>
      </c>
      <c r="AE142" s="185" t="e">
        <f aca="false">SQRT((AD142^2*(A142-$D$3)+AC142^2*(DAY(EOMONTH(A142,0))/2))/AK142)</f>
        <v>#N/A</v>
      </c>
      <c r="AF142" s="224" t="e">
        <f aca="false">((Summary!$N$9*(AA142*AD142)*(A142-$D$3))+(Summary!$M$9*Z142*AC142*(AJ142-EOMONTH(EDATE(A142,-1),0))))/(AK142*AB142*AE142)</f>
        <v>#N/A</v>
      </c>
      <c r="AG142" s="207" t="n">
        <f aca="false">IF($A143="","",Summary!$Q$9)</f>
        <v>0</v>
      </c>
      <c r="AH142" s="207" t="n">
        <f aca="false">IF($A143="","",IF(Summary!$R$9="Y",VLOOKUP($A142,Summary!$AD$6:$AF$9,3)+'Escalating commodity'!E155,'Escalating commodity'!E155))</f>
        <v>0.0707</v>
      </c>
      <c r="AI142" s="207" t="n">
        <f aca="false">IF($A143="","",AH142)</f>
        <v>0.0707</v>
      </c>
      <c r="AJ142" s="208" t="n">
        <f aca="false">A142+DAY(EOMONTH(A142,0))/2-1</f>
        <v>41075</v>
      </c>
      <c r="AK142" s="209" t="n">
        <f aca="false">IF($A143="","",$A142-$E$1)</f>
        <v>-4865</v>
      </c>
      <c r="AL142" s="182" t="e">
        <f aca="false">IF($A143="","",SPRDOPT(P142,X142,AI142,0,AB142,AE142,AF142,AK142,$AJ$2,0))</f>
        <v>#NAME?</v>
      </c>
      <c r="AM142" s="211" t="e">
        <f aca="false">IF($A143="","",MAX(0,O142-W142-AI142))</f>
        <v>#N/A</v>
      </c>
      <c r="AN142" s="211" t="e">
        <f aca="false">IF($A143="","",AL142-AM142)</f>
        <v>#N/A</v>
      </c>
      <c r="AO142" s="137" t="n">
        <f aca="false">IF(A143="","",A143-A142)</f>
        <v>30</v>
      </c>
      <c r="AP142" s="212" t="n">
        <f aca="false">IF(A143="","",CHOOSE(F$3,A143+24,A142))</f>
        <v>41061</v>
      </c>
      <c r="AQ142" s="209" t="n">
        <f aca="false">IF(A143="","",AP142-$E$1)</f>
        <v>-4865</v>
      </c>
      <c r="AR142" s="185" t="n">
        <f aca="false">'ANR OK vs ML7'!AR142</f>
        <v>0.1</v>
      </c>
      <c r="AS142" s="213" t="n">
        <f aca="false">IF(A143="","",1/(1+CHOOSE(F$3,(AR143+($I$3/10000))/2,(AR142+($I$3/10000))/2))^(2*AQ142/365.25))</f>
        <v>3.66832532285436</v>
      </c>
      <c r="AT142" s="137" t="n">
        <f aca="false">IF(A143="","",IF(AND(mthbeg&lt;=A142,mthend&gt;=A142),1,0))</f>
        <v>1</v>
      </c>
      <c r="AU142" s="137" t="n">
        <f aca="false">IF(A143="","",AO142*AT142)</f>
        <v>30</v>
      </c>
      <c r="AW142" s="195" t="e">
        <f aca="false">IF($A143="","",AL142*$E142)</f>
        <v>#NAME?</v>
      </c>
      <c r="AX142" s="195" t="e">
        <f aca="false">IF($A143="","",AM142*$E142)</f>
        <v>#N/A</v>
      </c>
      <c r="AY142" s="195" t="e">
        <f aca="false">IF($A143="","",AN142*$E142)</f>
        <v>#N/A</v>
      </c>
      <c r="BA142" s="195" t="n">
        <f aca="false">IF($A143="","",F142*Summary!$Q$9)</f>
        <v>0</v>
      </c>
      <c r="BC142" s="179" t="e">
        <f aca="false">IF(A143="","",AM142*F142)</f>
        <v>#N/A</v>
      </c>
    </row>
    <row r="143" customFormat="false" ht="12.75" hidden="false" customHeight="false" outlineLevel="0" collapsed="false">
      <c r="A143" s="196" t="n">
        <f aca="false">IF(A142&lt;mthend,EDATE(A142,1),"")</f>
        <v>41091</v>
      </c>
      <c r="B143" s="197" t="n">
        <f aca="false">IF(A143&lt;mthend,B142,"")</f>
        <v>36050</v>
      </c>
      <c r="C143" s="215"/>
      <c r="D143" s="197" t="n">
        <f aca="false">IF(A144&lt;&gt;"",B143+C143,"")</f>
        <v>36050</v>
      </c>
      <c r="E143" s="199" t="n">
        <f aca="false">IF(A144="","",IF(AND(AT143=1,$H$3=1),D143*AO143,IF($H$3=2,D143,"N/A")))</f>
        <v>1117550</v>
      </c>
      <c r="F143" s="199" t="n">
        <f aca="false">IF(A144="","",E143*AS143)</f>
        <v>4066811.26943154</v>
      </c>
      <c r="G143" s="200" t="e">
        <f aca="false">IF($A144="","",VLOOKUP($A143,Table,MATCH(G$4,Curves,0)))</f>
        <v>#N/A</v>
      </c>
      <c r="H143" s="201" t="e">
        <f aca="false">IF(A144="","",G143)</f>
        <v>#N/A</v>
      </c>
      <c r="I143" s="202"/>
      <c r="J143" s="200" t="e">
        <f aca="false">IF($A144="","",VLOOKUP($A143,Table,MATCH(J$4,Curves,0)))</f>
        <v>#N/A</v>
      </c>
      <c r="K143" s="201" t="e">
        <f aca="false">IF(A144="","",J143)</f>
        <v>#N/A</v>
      </c>
      <c r="L143" s="200" t="e">
        <f aca="false">IF($A144="","",VLOOKUP($A143,Table,MATCH(L$4,Curves,0)))</f>
        <v>#N/A</v>
      </c>
      <c r="M143" s="201" t="e">
        <f aca="false">IF(A144="","",L143)</f>
        <v>#N/A</v>
      </c>
      <c r="N143" s="203"/>
      <c r="O143" s="200" t="e">
        <f aca="false">IF(A144="","",L143+J143+G143)</f>
        <v>#N/A</v>
      </c>
      <c r="P143" s="200" t="e">
        <f aca="false">IF(A144="","",M143+K143+H143)</f>
        <v>#N/A</v>
      </c>
      <c r="Q143" s="204"/>
      <c r="R143" s="200" t="e">
        <f aca="false">IF($A144="","",VLOOKUP($A143,Table,MATCH(R$4,Curves,0)))</f>
        <v>#N/A</v>
      </c>
      <c r="S143" s="201" t="e">
        <f aca="false">IF(A144="","",R143)</f>
        <v>#N/A</v>
      </c>
      <c r="T143" s="200" t="e">
        <f aca="false">IF($A144="","",VLOOKUP($A143,Table,MATCH(T$4,Curves,0)))</f>
        <v>#N/A</v>
      </c>
      <c r="U143" s="201" t="e">
        <f aca="false">IF(A144="","",T143)</f>
        <v>#N/A</v>
      </c>
      <c r="V143" s="225" t="e">
        <f aca="false">IF($A144="","",IF(AND(MONTH(A143)&gt;3,MONTH(A143)&lt;11),(T143+R143+G143)*Summary!$T$9/(1-Summary!$T$9),(T143+R143+G143)*Summary!$U$9/(1-Summary!$U$9)))</f>
        <v>#N/A</v>
      </c>
      <c r="W143" s="200" t="e">
        <f aca="false">IF($A144="","",(T143+R143+G143+V143))</f>
        <v>#N/A</v>
      </c>
      <c r="X143" s="200" t="e">
        <f aca="false">IF($A144="","",(U143+S143+H143+V143))</f>
        <v>#N/A</v>
      </c>
      <c r="Y143" s="202"/>
      <c r="Z143" s="185" t="e">
        <f aca="false">IF($A144="","",VLOOKUP($A143,Table,MATCH(Z$4,Curves,0)))</f>
        <v>#N/A</v>
      </c>
      <c r="AA143" s="185" t="e">
        <f aca="false">IF($A144="","",VLOOKUP($A143,Table,MATCH(AA$4,Curves,0)))</f>
        <v>#N/A</v>
      </c>
      <c r="AB143" s="185" t="e">
        <f aca="false">SQRT((AA143^2*(A143-$D$3)+Z143^2*(DAY(EOMONTH(A143,0))/2))/AK143)</f>
        <v>#N/A</v>
      </c>
      <c r="AC143" s="185" t="e">
        <f aca="false">IF($A144="","",VLOOKUP($A143,Table,MATCH(AC$4,Curves,0)))</f>
        <v>#N/A</v>
      </c>
      <c r="AD143" s="185" t="e">
        <f aca="false">IF($A144="","",VLOOKUP($A143,Table,MATCH(AD$4,Curves,0)))</f>
        <v>#N/A</v>
      </c>
      <c r="AE143" s="185" t="e">
        <f aca="false">SQRT((AD143^2*(A143-$D$3)+AC143^2*(DAY(EOMONTH(A143,0))/2))/AK143)</f>
        <v>#N/A</v>
      </c>
      <c r="AF143" s="224" t="e">
        <f aca="false">((Summary!$N$9*(AA143*AD143)*(A143-$D$3))+(Summary!$M$9*Z143*AC143*(AJ143-EOMONTH(EDATE(A143,-1),0))))/(AK143*AB143*AE143)</f>
        <v>#N/A</v>
      </c>
      <c r="AG143" s="207" t="n">
        <f aca="false">IF($A144="","",Summary!$Q$9)</f>
        <v>0</v>
      </c>
      <c r="AH143" s="207" t="n">
        <f aca="false">IF($A144="","",IF(Summary!$R$9="Y",VLOOKUP($A143,Summary!$AD$6:$AF$9,3)+'Escalating commodity'!E156,'Escalating commodity'!E156))</f>
        <v>0.0707</v>
      </c>
      <c r="AI143" s="207" t="n">
        <f aca="false">IF($A144="","",AH143)</f>
        <v>0.0707</v>
      </c>
      <c r="AJ143" s="208" t="n">
        <f aca="false">A143+DAY(EOMONTH(A143,0))/2-1</f>
        <v>41105.5</v>
      </c>
      <c r="AK143" s="209" t="n">
        <f aca="false">IF($A144="","",$A143-$E$1)</f>
        <v>-4835</v>
      </c>
      <c r="AL143" s="182" t="e">
        <f aca="false">IF($A144="","",SPRDOPT(P143,X143,AI143,0,AB143,AE143,AF143,AK143,$AJ$2,0))</f>
        <v>#NAME?</v>
      </c>
      <c r="AM143" s="211" t="e">
        <f aca="false">IF($A144="","",MAX(0,O143-W143-AI143))</f>
        <v>#N/A</v>
      </c>
      <c r="AN143" s="211" t="e">
        <f aca="false">IF($A144="","",AL143-AM143)</f>
        <v>#N/A</v>
      </c>
      <c r="AO143" s="137" t="n">
        <f aca="false">IF(A144="","",A144-A143)</f>
        <v>31</v>
      </c>
      <c r="AP143" s="212" t="n">
        <f aca="false">IF(A144="","",CHOOSE(F$3,A144+24,A143))</f>
        <v>41091</v>
      </c>
      <c r="AQ143" s="209" t="n">
        <f aca="false">IF(A144="","",AP143-$E$1)</f>
        <v>-4835</v>
      </c>
      <c r="AR143" s="185" t="n">
        <f aca="false">'ANR OK vs ML7'!AR143</f>
        <v>0.1</v>
      </c>
      <c r="AS143" s="213" t="n">
        <f aca="false">IF(A144="","",1/(1+CHOOSE(F$3,(AR144+($I$3/10000))/2,(AR143+($I$3/10000))/2))^(2*AQ143/365.25))</f>
        <v>3.63904189470855</v>
      </c>
      <c r="AT143" s="137" t="n">
        <f aca="false">IF(A144="","",IF(AND(mthbeg&lt;=A143,mthend&gt;=A143),1,0))</f>
        <v>1</v>
      </c>
      <c r="AU143" s="137" t="n">
        <f aca="false">IF(A144="","",AO143*AT143)</f>
        <v>31</v>
      </c>
      <c r="AW143" s="195" t="e">
        <f aca="false">IF($A144="","",AL143*$E143)</f>
        <v>#NAME?</v>
      </c>
      <c r="AX143" s="195" t="e">
        <f aca="false">IF($A144="","",AM143*$E143)</f>
        <v>#N/A</v>
      </c>
      <c r="AY143" s="195" t="e">
        <f aca="false">IF($A144="","",AN143*$E143)</f>
        <v>#N/A</v>
      </c>
      <c r="BA143" s="195" t="n">
        <f aca="false">IF($A144="","",F143*Summary!$Q$9)</f>
        <v>0</v>
      </c>
      <c r="BC143" s="179" t="e">
        <f aca="false">IF(A144="","",AM143*F143)</f>
        <v>#N/A</v>
      </c>
    </row>
    <row r="144" customFormat="false" ht="12.75" hidden="false" customHeight="false" outlineLevel="0" collapsed="false">
      <c r="A144" s="196" t="n">
        <f aca="false">IF(A143&lt;mthend,EDATE(A143,1),"")</f>
        <v>41122</v>
      </c>
      <c r="B144" s="197" t="n">
        <f aca="false">IF(A144&lt;mthend,B143,"")</f>
        <v>36050</v>
      </c>
      <c r="C144" s="215"/>
      <c r="D144" s="197" t="n">
        <f aca="false">IF(A145&lt;&gt;"",B144+C144,"")</f>
        <v>36050</v>
      </c>
      <c r="E144" s="199" t="n">
        <f aca="false">IF(A145="","",IF(AND(AT144=1,$H$3=1),D144*AO144,IF($H$3=2,D144,"N/A")))</f>
        <v>1117550</v>
      </c>
      <c r="F144" s="199" t="n">
        <f aca="false">IF(A145="","",E144*AS144)</f>
        <v>4033269.14261811</v>
      </c>
      <c r="G144" s="200" t="e">
        <f aca="false">IF($A145="","",VLOOKUP($A144,Table,MATCH(G$4,Curves,0)))</f>
        <v>#N/A</v>
      </c>
      <c r="H144" s="201" t="e">
        <f aca="false">IF(A145="","",G144)</f>
        <v>#N/A</v>
      </c>
      <c r="I144" s="202"/>
      <c r="J144" s="200" t="e">
        <f aca="false">IF($A145="","",VLOOKUP($A144,Table,MATCH(J$4,Curves,0)))</f>
        <v>#N/A</v>
      </c>
      <c r="K144" s="201" t="e">
        <f aca="false">IF(A145="","",J144)</f>
        <v>#N/A</v>
      </c>
      <c r="L144" s="200" t="e">
        <f aca="false">IF($A145="","",VLOOKUP($A144,Table,MATCH(L$4,Curves,0)))</f>
        <v>#N/A</v>
      </c>
      <c r="M144" s="201" t="e">
        <f aca="false">IF(A145="","",L144)</f>
        <v>#N/A</v>
      </c>
      <c r="N144" s="203"/>
      <c r="O144" s="200" t="e">
        <f aca="false">IF(A145="","",L144+J144+G144)</f>
        <v>#N/A</v>
      </c>
      <c r="P144" s="200" t="e">
        <f aca="false">IF(A145="","",M144+K144+H144)</f>
        <v>#N/A</v>
      </c>
      <c r="Q144" s="204"/>
      <c r="R144" s="200" t="e">
        <f aca="false">IF($A145="","",VLOOKUP($A144,Table,MATCH(R$4,Curves,0)))</f>
        <v>#N/A</v>
      </c>
      <c r="S144" s="201" t="e">
        <f aca="false">IF(A145="","",R144)</f>
        <v>#N/A</v>
      </c>
      <c r="T144" s="200" t="e">
        <f aca="false">IF($A145="","",VLOOKUP($A144,Table,MATCH(T$4,Curves,0)))</f>
        <v>#N/A</v>
      </c>
      <c r="U144" s="201" t="e">
        <f aca="false">IF(A145="","",T144)</f>
        <v>#N/A</v>
      </c>
      <c r="V144" s="225" t="e">
        <f aca="false">IF($A145="","",IF(AND(MONTH(A144)&gt;3,MONTH(A144)&lt;11),(T144+R144+G144)*Summary!$T$9/(1-Summary!$T$9),(T144+R144+G144)*Summary!$U$9/(1-Summary!$U$9)))</f>
        <v>#N/A</v>
      </c>
      <c r="W144" s="200" t="e">
        <f aca="false">IF($A145="","",(T144+R144+G144+V144))</f>
        <v>#N/A</v>
      </c>
      <c r="X144" s="200" t="e">
        <f aca="false">IF($A145="","",(U144+S144+H144+V144))</f>
        <v>#N/A</v>
      </c>
      <c r="Y144" s="202"/>
      <c r="Z144" s="185" t="e">
        <f aca="false">IF($A145="","",VLOOKUP($A144,Table,MATCH(Z$4,Curves,0)))</f>
        <v>#N/A</v>
      </c>
      <c r="AA144" s="185" t="e">
        <f aca="false">IF($A145="","",VLOOKUP($A144,Table,MATCH(AA$4,Curves,0)))</f>
        <v>#N/A</v>
      </c>
      <c r="AB144" s="185" t="e">
        <f aca="false">SQRT((AA144^2*(A144-$D$3)+Z144^2*(DAY(EOMONTH(A144,0))/2))/AK144)</f>
        <v>#N/A</v>
      </c>
      <c r="AC144" s="185" t="e">
        <f aca="false">IF($A145="","",VLOOKUP($A144,Table,MATCH(AC$4,Curves,0)))</f>
        <v>#N/A</v>
      </c>
      <c r="AD144" s="185" t="e">
        <f aca="false">IF($A145="","",VLOOKUP($A144,Table,MATCH(AD$4,Curves,0)))</f>
        <v>#N/A</v>
      </c>
      <c r="AE144" s="185" t="e">
        <f aca="false">SQRT((AD144^2*(A144-$D$3)+AC144^2*(DAY(EOMONTH(A144,0))/2))/AK144)</f>
        <v>#N/A</v>
      </c>
      <c r="AF144" s="224" t="e">
        <f aca="false">((Summary!$N$9*(AA144*AD144)*(A144-$D$3))+(Summary!$M$9*Z144*AC144*(AJ144-EOMONTH(EDATE(A144,-1),0))))/(AK144*AB144*AE144)</f>
        <v>#N/A</v>
      </c>
      <c r="AG144" s="207" t="n">
        <f aca="false">IF($A145="","",Summary!$Q$9)</f>
        <v>0</v>
      </c>
      <c r="AH144" s="207" t="n">
        <f aca="false">IF($A145="","",IF(Summary!$R$9="Y",VLOOKUP($A144,Summary!$AD$6:$AF$9,3)+'Escalating commodity'!E157,'Escalating commodity'!E157))</f>
        <v>0.0707</v>
      </c>
      <c r="AI144" s="207" t="n">
        <f aca="false">IF($A145="","",AH144)</f>
        <v>0.0707</v>
      </c>
      <c r="AJ144" s="208" t="n">
        <f aca="false">A144+DAY(EOMONTH(A144,0))/2-1</f>
        <v>41136.5</v>
      </c>
      <c r="AK144" s="209" t="n">
        <f aca="false">IF($A145="","",$A144-$E$1)</f>
        <v>-4804</v>
      </c>
      <c r="AL144" s="182" t="e">
        <f aca="false">IF($A145="","",SPRDOPT(P144,X144,AI144,0,AB144,AE144,AF144,AK144,$AJ$2,0))</f>
        <v>#NAME?</v>
      </c>
      <c r="AM144" s="211" t="e">
        <f aca="false">IF($A145="","",MAX(0,O144-W144-AI144))</f>
        <v>#N/A</v>
      </c>
      <c r="AN144" s="211" t="e">
        <f aca="false">IF($A145="","",AL144-AM144)</f>
        <v>#N/A</v>
      </c>
      <c r="AO144" s="137" t="n">
        <f aca="false">IF(A145="","",A145-A144)</f>
        <v>31</v>
      </c>
      <c r="AP144" s="212" t="n">
        <f aca="false">IF(A145="","",CHOOSE(F$3,A145+24,A144))</f>
        <v>41122</v>
      </c>
      <c r="AQ144" s="209" t="n">
        <f aca="false">IF(A145="","",AP144-$E$1)</f>
        <v>-4804</v>
      </c>
      <c r="AR144" s="185" t="n">
        <f aca="false">'ANR OK vs ML7'!AR144</f>
        <v>0.1</v>
      </c>
      <c r="AS144" s="213" t="n">
        <f aca="false">IF(A145="","",1/(1+CHOOSE(F$3,(AR145+($I$3/10000))/2,(AR144+($I$3/10000))/2))^(2*AQ144/365.25))</f>
        <v>3.60902791160853</v>
      </c>
      <c r="AT144" s="137" t="n">
        <f aca="false">IF(A145="","",IF(AND(mthbeg&lt;=A144,mthend&gt;=A144),1,0))</f>
        <v>1</v>
      </c>
      <c r="AU144" s="137" t="n">
        <f aca="false">IF(A145="","",AO144*AT144)</f>
        <v>31</v>
      </c>
      <c r="AW144" s="195" t="e">
        <f aca="false">IF($A145="","",AL144*$E144)</f>
        <v>#NAME?</v>
      </c>
      <c r="AX144" s="195" t="e">
        <f aca="false">IF($A145="","",AM144*$E144)</f>
        <v>#N/A</v>
      </c>
      <c r="AY144" s="195" t="e">
        <f aca="false">IF($A145="","",AN144*$E144)</f>
        <v>#N/A</v>
      </c>
      <c r="BA144" s="195" t="n">
        <f aca="false">IF($A145="","",F144*Summary!$Q$9)</f>
        <v>0</v>
      </c>
      <c r="BC144" s="179" t="e">
        <f aca="false">IF(A145="","",AM144*F144)</f>
        <v>#N/A</v>
      </c>
    </row>
    <row r="145" customFormat="false" ht="12.75" hidden="false" customHeight="false" outlineLevel="0" collapsed="false">
      <c r="A145" s="196" t="n">
        <f aca="false">IF(A144&lt;mthend,EDATE(A144,1),"")</f>
        <v>41153</v>
      </c>
      <c r="B145" s="197" t="n">
        <f aca="false">IF(A145&lt;mthend,B144,"")</f>
        <v>36050</v>
      </c>
      <c r="C145" s="215"/>
      <c r="D145" s="197" t="n">
        <f aca="false">IF(A146&lt;&gt;"",B145+C145,"")</f>
        <v>36050</v>
      </c>
      <c r="E145" s="199" t="n">
        <f aca="false">IF(A146="","",IF(AND(AT145=1,$H$3=1),D145*AO145,IF($H$3=2,D145,"N/A")))</f>
        <v>1081500</v>
      </c>
      <c r="F145" s="199" t="n">
        <f aca="false">IF(A146="","",E145*AS145)</f>
        <v>3870971.28733092</v>
      </c>
      <c r="G145" s="200" t="e">
        <f aca="false">IF($A146="","",VLOOKUP($A145,Table,MATCH(G$4,Curves,0)))</f>
        <v>#N/A</v>
      </c>
      <c r="H145" s="201" t="e">
        <f aca="false">IF(A146="","",G145)</f>
        <v>#N/A</v>
      </c>
      <c r="I145" s="202"/>
      <c r="J145" s="200" t="e">
        <f aca="false">IF($A146="","",VLOOKUP($A145,Table,MATCH(J$4,Curves,0)))</f>
        <v>#N/A</v>
      </c>
      <c r="K145" s="201" t="e">
        <f aca="false">IF(A146="","",J145)</f>
        <v>#N/A</v>
      </c>
      <c r="L145" s="200" t="e">
        <f aca="false">IF($A146="","",VLOOKUP($A145,Table,MATCH(L$4,Curves,0)))</f>
        <v>#N/A</v>
      </c>
      <c r="M145" s="201" t="e">
        <f aca="false">IF(A146="","",L145)</f>
        <v>#N/A</v>
      </c>
      <c r="N145" s="203"/>
      <c r="O145" s="200" t="e">
        <f aca="false">IF(A146="","",L145+J145+G145)</f>
        <v>#N/A</v>
      </c>
      <c r="P145" s="200" t="e">
        <f aca="false">IF(A146="","",M145+K145+H145)</f>
        <v>#N/A</v>
      </c>
      <c r="Q145" s="204"/>
      <c r="R145" s="200" t="e">
        <f aca="false">IF($A146="","",VLOOKUP($A145,Table,MATCH(R$4,Curves,0)))</f>
        <v>#N/A</v>
      </c>
      <c r="S145" s="201" t="e">
        <f aca="false">IF(A146="","",R145)</f>
        <v>#N/A</v>
      </c>
      <c r="T145" s="200" t="e">
        <f aca="false">IF($A146="","",VLOOKUP($A145,Table,MATCH(T$4,Curves,0)))</f>
        <v>#N/A</v>
      </c>
      <c r="U145" s="201" t="e">
        <f aca="false">IF(A146="","",T145)</f>
        <v>#N/A</v>
      </c>
      <c r="V145" s="225" t="e">
        <f aca="false">IF($A146="","",IF(AND(MONTH(A145)&gt;3,MONTH(A145)&lt;11),(T145+R145+G145)*Summary!$T$9/(1-Summary!$T$9),(T145+R145+G145)*Summary!$U$9/(1-Summary!$U$9)))</f>
        <v>#N/A</v>
      </c>
      <c r="W145" s="200" t="e">
        <f aca="false">IF($A146="","",(T145+R145+G145+V145))</f>
        <v>#N/A</v>
      </c>
      <c r="X145" s="200" t="e">
        <f aca="false">IF($A146="","",(U145+S145+H145+V145))</f>
        <v>#N/A</v>
      </c>
      <c r="Y145" s="202"/>
      <c r="Z145" s="185" t="e">
        <f aca="false">IF($A146="","",VLOOKUP($A145,Table,MATCH(Z$4,Curves,0)))</f>
        <v>#N/A</v>
      </c>
      <c r="AA145" s="185" t="e">
        <f aca="false">IF($A146="","",VLOOKUP($A145,Table,MATCH(AA$4,Curves,0)))</f>
        <v>#N/A</v>
      </c>
      <c r="AB145" s="185" t="e">
        <f aca="false">SQRT((AA145^2*(A145-$D$3)+Z145^2*(DAY(EOMONTH(A145,0))/2))/AK145)</f>
        <v>#N/A</v>
      </c>
      <c r="AC145" s="185" t="e">
        <f aca="false">IF($A146="","",VLOOKUP($A145,Table,MATCH(AC$4,Curves,0)))</f>
        <v>#N/A</v>
      </c>
      <c r="AD145" s="185" t="e">
        <f aca="false">IF($A146="","",VLOOKUP($A145,Table,MATCH(AD$4,Curves,0)))</f>
        <v>#N/A</v>
      </c>
      <c r="AE145" s="185" t="e">
        <f aca="false">SQRT((AD145^2*(A145-$D$3)+AC145^2*(DAY(EOMONTH(A145,0))/2))/AK145)</f>
        <v>#N/A</v>
      </c>
      <c r="AF145" s="224" t="e">
        <f aca="false">((Summary!$N$9*(AA145*AD145)*(A145-$D$3))+(Summary!$M$9*Z145*AC145*(AJ145-EOMONTH(EDATE(A145,-1),0))))/(AK145*AB145*AE145)</f>
        <v>#N/A</v>
      </c>
      <c r="AG145" s="207" t="n">
        <f aca="false">IF($A146="","",Summary!$Q$9)</f>
        <v>0</v>
      </c>
      <c r="AH145" s="207" t="n">
        <f aca="false">IF($A146="","",IF(Summary!$R$9="Y",VLOOKUP($A145,Summary!$AD$6:$AF$9,3)+'Escalating commodity'!E158,'Escalating commodity'!E158))</f>
        <v>0.0707</v>
      </c>
      <c r="AI145" s="207" t="n">
        <f aca="false">IF($A146="","",AH145)</f>
        <v>0.0707</v>
      </c>
      <c r="AJ145" s="208" t="n">
        <f aca="false">A145+DAY(EOMONTH(A145,0))/2-1</f>
        <v>41167</v>
      </c>
      <c r="AK145" s="209" t="n">
        <f aca="false">IF($A146="","",$A145-$E$1)</f>
        <v>-4773</v>
      </c>
      <c r="AL145" s="182" t="e">
        <f aca="false">IF($A146="","",SPRDOPT(P145,X145,AI145,0,AB145,AE145,AF145,AK145,$AJ$2,0))</f>
        <v>#NAME?</v>
      </c>
      <c r="AM145" s="211" t="e">
        <f aca="false">IF($A146="","",MAX(0,O145-W145-AI145))</f>
        <v>#N/A</v>
      </c>
      <c r="AN145" s="211" t="e">
        <f aca="false">IF($A146="","",AL145-AM145)</f>
        <v>#N/A</v>
      </c>
      <c r="AO145" s="137" t="n">
        <f aca="false">IF(A146="","",A146-A145)</f>
        <v>30</v>
      </c>
      <c r="AP145" s="212" t="n">
        <f aca="false">IF(A146="","",CHOOSE(F$3,A146+24,A145))</f>
        <v>41153</v>
      </c>
      <c r="AQ145" s="209" t="n">
        <f aca="false">IF(A146="","",AP145-$E$1)</f>
        <v>-4773</v>
      </c>
      <c r="AR145" s="185" t="n">
        <f aca="false">'ANR OK vs ML7'!AR145</f>
        <v>0.1</v>
      </c>
      <c r="AS145" s="213" t="n">
        <f aca="false">IF(A146="","",1/(1+CHOOSE(F$3,(AR146+($I$3/10000))/2,(AR145+($I$3/10000))/2))^(2*AQ145/365.25))</f>
        <v>3.57926147695878</v>
      </c>
      <c r="AT145" s="137" t="n">
        <f aca="false">IF(A146="","",IF(AND(mthbeg&lt;=A145,mthend&gt;=A145),1,0))</f>
        <v>1</v>
      </c>
      <c r="AU145" s="137" t="n">
        <f aca="false">IF(A146="","",AO145*AT145)</f>
        <v>30</v>
      </c>
      <c r="AW145" s="195" t="e">
        <f aca="false">IF($A146="","",AL145*$E145)</f>
        <v>#NAME?</v>
      </c>
      <c r="AX145" s="195" t="e">
        <f aca="false">IF($A146="","",AM145*$E145)</f>
        <v>#N/A</v>
      </c>
      <c r="AY145" s="195" t="e">
        <f aca="false">IF($A146="","",AN145*$E145)</f>
        <v>#N/A</v>
      </c>
      <c r="BA145" s="195" t="n">
        <f aca="false">IF($A146="","",F145*Summary!$Q$9)</f>
        <v>0</v>
      </c>
      <c r="BC145" s="179" t="e">
        <f aca="false">IF(A146="","",AM145*F145)</f>
        <v>#N/A</v>
      </c>
    </row>
    <row r="146" customFormat="false" ht="12.75" hidden="false" customHeight="false" outlineLevel="0" collapsed="false">
      <c r="A146" s="196" t="n">
        <f aca="false">IF(A145&lt;mthend,EDATE(A145,1),"")</f>
        <v>41183</v>
      </c>
      <c r="B146" s="197" t="n">
        <f aca="false">IF(A146&lt;mthend,B145,"")</f>
        <v>36050</v>
      </c>
      <c r="C146" s="215"/>
      <c r="D146" s="197" t="n">
        <f aca="false">IF(A147&lt;&gt;"",B146+C146,"")</f>
        <v>36050</v>
      </c>
      <c r="E146" s="199" t="n">
        <f aca="false">IF(A147="","",IF(AND(AT146=1,$H$3=1),D146*AO146,IF($H$3=2,D146,"N/A")))</f>
        <v>1117550</v>
      </c>
      <c r="F146" s="199" t="n">
        <f aca="false">IF(A147="","",E146*AS146)</f>
        <v>3968072.52073592</v>
      </c>
      <c r="G146" s="200" t="e">
        <f aca="false">IF($A147="","",VLOOKUP($A146,Table,MATCH(G$4,Curves,0)))</f>
        <v>#N/A</v>
      </c>
      <c r="H146" s="201" t="e">
        <f aca="false">IF(A147="","",G146)</f>
        <v>#N/A</v>
      </c>
      <c r="I146" s="202"/>
      <c r="J146" s="200" t="e">
        <f aca="false">IF($A147="","",VLOOKUP($A146,Table,MATCH(J$4,Curves,0)))</f>
        <v>#N/A</v>
      </c>
      <c r="K146" s="201" t="e">
        <f aca="false">IF(A147="","",J146)</f>
        <v>#N/A</v>
      </c>
      <c r="L146" s="200" t="e">
        <f aca="false">IF($A147="","",VLOOKUP($A146,Table,MATCH(L$4,Curves,0)))</f>
        <v>#N/A</v>
      </c>
      <c r="M146" s="201" t="e">
        <f aca="false">IF(A147="","",L146)</f>
        <v>#N/A</v>
      </c>
      <c r="N146" s="203"/>
      <c r="O146" s="200" t="e">
        <f aca="false">IF(A147="","",L146+J146+G146)</f>
        <v>#N/A</v>
      </c>
      <c r="P146" s="200" t="e">
        <f aca="false">IF(A147="","",M146+K146+H146)</f>
        <v>#N/A</v>
      </c>
      <c r="Q146" s="204"/>
      <c r="R146" s="200" t="e">
        <f aca="false">IF($A147="","",VLOOKUP($A146,Table,MATCH(R$4,Curves,0)))</f>
        <v>#N/A</v>
      </c>
      <c r="S146" s="201" t="e">
        <f aca="false">IF(A147="","",R146)</f>
        <v>#N/A</v>
      </c>
      <c r="T146" s="200" t="e">
        <f aca="false">IF($A147="","",VLOOKUP($A146,Table,MATCH(T$4,Curves,0)))</f>
        <v>#N/A</v>
      </c>
      <c r="U146" s="201" t="e">
        <f aca="false">IF(A147="","",T146)</f>
        <v>#N/A</v>
      </c>
      <c r="V146" s="225" t="e">
        <f aca="false">IF($A147="","",IF(AND(MONTH(A146)&gt;3,MONTH(A146)&lt;11),(T146+R146+G146)*Summary!$T$9/(1-Summary!$T$9),(T146+R146+G146)*Summary!$U$9/(1-Summary!$U$9)))</f>
        <v>#N/A</v>
      </c>
      <c r="W146" s="200" t="e">
        <f aca="false">IF($A147="","",(T146+R146+G146+V146))</f>
        <v>#N/A</v>
      </c>
      <c r="X146" s="200" t="e">
        <f aca="false">IF($A147="","",(U146+S146+H146+V146))</f>
        <v>#N/A</v>
      </c>
      <c r="Y146" s="202"/>
      <c r="Z146" s="185" t="e">
        <f aca="false">IF($A147="","",VLOOKUP($A146,Table,MATCH(Z$4,Curves,0)))</f>
        <v>#N/A</v>
      </c>
      <c r="AA146" s="185" t="e">
        <f aca="false">IF($A147="","",VLOOKUP($A146,Table,MATCH(AA$4,Curves,0)))</f>
        <v>#N/A</v>
      </c>
      <c r="AB146" s="185" t="e">
        <f aca="false">SQRT((AA146^2*(A146-$D$3)+Z146^2*(DAY(EOMONTH(A146,0))/2))/AK146)</f>
        <v>#N/A</v>
      </c>
      <c r="AC146" s="185" t="e">
        <f aca="false">IF($A147="","",VLOOKUP($A146,Table,MATCH(AC$4,Curves,0)))</f>
        <v>#N/A</v>
      </c>
      <c r="AD146" s="185" t="e">
        <f aca="false">IF($A147="","",VLOOKUP($A146,Table,MATCH(AD$4,Curves,0)))</f>
        <v>#N/A</v>
      </c>
      <c r="AE146" s="185" t="e">
        <f aca="false">SQRT((AD146^2*(A146-$D$3)+AC146^2*(DAY(EOMONTH(A146,0))/2))/AK146)</f>
        <v>#N/A</v>
      </c>
      <c r="AF146" s="224" t="e">
        <f aca="false">((Summary!$N$9*(AA146*AD146)*(A146-$D$3))+(Summary!$M$9*Z146*AC146*(AJ146-EOMONTH(EDATE(A146,-1),0))))/(AK146*AB146*AE146)</f>
        <v>#N/A</v>
      </c>
      <c r="AG146" s="207" t="n">
        <f aca="false">IF($A147="","",Summary!$Q$9)</f>
        <v>0</v>
      </c>
      <c r="AH146" s="207" t="n">
        <f aca="false">IF($A147="","",IF(Summary!$R$9="Y",VLOOKUP($A146,Summary!$AD$6:$AF$9,3)+'Escalating commodity'!E159,'Escalating commodity'!E159))</f>
        <v>0.0707</v>
      </c>
      <c r="AI146" s="207" t="n">
        <f aca="false">IF($A147="","",AH146)</f>
        <v>0.0707</v>
      </c>
      <c r="AJ146" s="208" t="n">
        <f aca="false">A146+DAY(EOMONTH(A146,0))/2-1</f>
        <v>41197.5</v>
      </c>
      <c r="AK146" s="209" t="n">
        <f aca="false">IF($A147="","",$A146-$E$1)</f>
        <v>-4743</v>
      </c>
      <c r="AL146" s="182" t="e">
        <f aca="false">IF($A147="","",SPRDOPT(P146,X146,AI146,0,AB146,AE146,AF146,AK146,$AJ$2,0))</f>
        <v>#NAME?</v>
      </c>
      <c r="AM146" s="211" t="e">
        <f aca="false">IF($A147="","",MAX(0,O146-W146-AI146))</f>
        <v>#N/A</v>
      </c>
      <c r="AN146" s="211" t="e">
        <f aca="false">IF($A147="","",AL146-AM146)</f>
        <v>#N/A</v>
      </c>
      <c r="AO146" s="137" t="n">
        <f aca="false">IF(A147="","",A147-A146)</f>
        <v>31</v>
      </c>
      <c r="AP146" s="212" t="n">
        <f aca="false">IF(A147="","",CHOOSE(F$3,A147+24,A146))</f>
        <v>41183</v>
      </c>
      <c r="AQ146" s="209" t="n">
        <f aca="false">IF(A147="","",AP146-$E$1)</f>
        <v>-4743</v>
      </c>
      <c r="AR146" s="185" t="n">
        <f aca="false">'ANR OK vs ML7'!AR146</f>
        <v>0.1</v>
      </c>
      <c r="AS146" s="213" t="n">
        <f aca="false">IF(A147="","",1/(1+CHOOSE(F$3,(AR147+($I$3/10000))/2,(AR146+($I$3/10000))/2))^(2*AQ146/365.25))</f>
        <v>3.55068902575806</v>
      </c>
      <c r="AT146" s="137" t="n">
        <f aca="false">IF(A147="","",IF(AND(mthbeg&lt;=A146,mthend&gt;=A146),1,0))</f>
        <v>1</v>
      </c>
      <c r="AU146" s="137" t="n">
        <f aca="false">IF(A147="","",AO146*AT146)</f>
        <v>31</v>
      </c>
      <c r="AW146" s="195" t="e">
        <f aca="false">IF($A147="","",AL146*$E146)</f>
        <v>#NAME?</v>
      </c>
      <c r="AX146" s="195" t="e">
        <f aca="false">IF($A147="","",AM146*$E146)</f>
        <v>#N/A</v>
      </c>
      <c r="AY146" s="195" t="e">
        <f aca="false">IF($A147="","",AN146*$E146)</f>
        <v>#N/A</v>
      </c>
      <c r="BA146" s="195" t="n">
        <f aca="false">IF($A147="","",F146*Summary!$Q$9)</f>
        <v>0</v>
      </c>
      <c r="BC146" s="179" t="e">
        <f aca="false">IF(A147="","",AM146*F146)</f>
        <v>#N/A</v>
      </c>
    </row>
    <row r="147" customFormat="false" ht="12.75" hidden="false" customHeight="false" outlineLevel="0" collapsed="false">
      <c r="A147" s="196" t="n">
        <f aca="false">IF(A146&lt;mthend,EDATE(A146,1),"")</f>
        <v>41214</v>
      </c>
      <c r="B147" s="197" t="n">
        <f aca="false">IF(A147&lt;mthend,B146,"")</f>
        <v>36050</v>
      </c>
      <c r="C147" s="215"/>
      <c r="D147" s="197" t="n">
        <f aca="false">IF(A148&lt;&gt;"",B147+C147,"")</f>
        <v>36050</v>
      </c>
      <c r="E147" s="199" t="n">
        <f aca="false">IF(A148="","",IF(AND(AT147=1,$H$3=1),D147*AO147,IF($H$3=2,D147,"N/A")))</f>
        <v>1081500</v>
      </c>
      <c r="F147" s="199" t="n">
        <f aca="false">IF(A148="","",E147*AS147)</f>
        <v>3808398.16304567</v>
      </c>
      <c r="G147" s="200" t="e">
        <f aca="false">IF($A148="","",VLOOKUP($A147,Table,MATCH(G$4,Curves,0)))</f>
        <v>#N/A</v>
      </c>
      <c r="H147" s="201" t="e">
        <f aca="false">IF(A148="","",G147)</f>
        <v>#N/A</v>
      </c>
      <c r="I147" s="202"/>
      <c r="J147" s="200" t="e">
        <f aca="false">IF($A148="","",VLOOKUP($A147,Table,MATCH(J$4,Curves,0)))</f>
        <v>#N/A</v>
      </c>
      <c r="K147" s="201" t="e">
        <f aca="false">IF(A148="","",J147)</f>
        <v>#N/A</v>
      </c>
      <c r="L147" s="200" t="e">
        <f aca="false">IF($A148="","",VLOOKUP($A147,Table,MATCH(L$4,Curves,0)))</f>
        <v>#N/A</v>
      </c>
      <c r="M147" s="201" t="e">
        <f aca="false">IF(A148="","",L147)</f>
        <v>#N/A</v>
      </c>
      <c r="N147" s="203"/>
      <c r="O147" s="200" t="e">
        <f aca="false">IF(A148="","",L147+J147+G147)</f>
        <v>#N/A</v>
      </c>
      <c r="P147" s="200" t="e">
        <f aca="false">IF(A148="","",M147+K147+H147)</f>
        <v>#N/A</v>
      </c>
      <c r="Q147" s="204"/>
      <c r="R147" s="200" t="e">
        <f aca="false">IF($A148="","",VLOOKUP($A147,Table,MATCH(R$4,Curves,0)))</f>
        <v>#N/A</v>
      </c>
      <c r="S147" s="201" t="e">
        <f aca="false">IF(A148="","",R147)</f>
        <v>#N/A</v>
      </c>
      <c r="T147" s="200" t="e">
        <f aca="false">IF($A148="","",VLOOKUP($A147,Table,MATCH(T$4,Curves,0)))</f>
        <v>#N/A</v>
      </c>
      <c r="U147" s="201" t="e">
        <f aca="false">IF(A148="","",T147)</f>
        <v>#N/A</v>
      </c>
      <c r="V147" s="225" t="e">
        <f aca="false">IF($A148="","",IF(AND(MONTH(A147)&gt;3,MONTH(A147)&lt;11),(T147+R147+G147)*Summary!$T$9/(1-Summary!$T$9),(T147+R147+G147)*Summary!$U$9/(1-Summary!$U$9)))</f>
        <v>#N/A</v>
      </c>
      <c r="W147" s="200" t="e">
        <f aca="false">IF($A148="","",(T147+R147+G147+V147))</f>
        <v>#N/A</v>
      </c>
      <c r="X147" s="200" t="e">
        <f aca="false">IF($A148="","",(U147+S147+H147+V147))</f>
        <v>#N/A</v>
      </c>
      <c r="Y147" s="202"/>
      <c r="Z147" s="185" t="e">
        <f aca="false">IF($A148="","",VLOOKUP($A147,Table,MATCH(Z$4,Curves,0)))</f>
        <v>#N/A</v>
      </c>
      <c r="AA147" s="185" t="e">
        <f aca="false">IF($A148="","",VLOOKUP($A147,Table,MATCH(AA$4,Curves,0)))</f>
        <v>#N/A</v>
      </c>
      <c r="AB147" s="185" t="e">
        <f aca="false">SQRT((AA147^2*(A147-$D$3)+Z147^2*(DAY(EOMONTH(A147,0))/2))/AK147)</f>
        <v>#N/A</v>
      </c>
      <c r="AC147" s="185" t="e">
        <f aca="false">IF($A148="","",VLOOKUP($A147,Table,MATCH(AC$4,Curves,0)))</f>
        <v>#N/A</v>
      </c>
      <c r="AD147" s="185" t="e">
        <f aca="false">IF($A148="","",VLOOKUP($A147,Table,MATCH(AD$4,Curves,0)))</f>
        <v>#N/A</v>
      </c>
      <c r="AE147" s="185" t="e">
        <f aca="false">SQRT((AD147^2*(A147-$D$3)+AC147^2*(DAY(EOMONTH(A147,0))/2))/AK147)</f>
        <v>#N/A</v>
      </c>
      <c r="AF147" s="224" t="e">
        <f aca="false">((Summary!$N$9*(AA147*AD147)*(A147-$D$3))+(Summary!$M$9*Z147*AC147*(AJ147-EOMONTH(EDATE(A147,-1),0))))/(AK147*AB147*AE147)</f>
        <v>#N/A</v>
      </c>
      <c r="AG147" s="207" t="n">
        <f aca="false">IF($A148="","",Summary!$Q$9)</f>
        <v>0</v>
      </c>
      <c r="AH147" s="207" t="n">
        <f aca="false">IF($A148="","",IF(Summary!$R$9="Y",VLOOKUP($A147,Summary!$AD$6:$AF$9,3)+'Escalating commodity'!E160,'Escalating commodity'!E160))</f>
        <v>0.0707</v>
      </c>
      <c r="AI147" s="207" t="n">
        <f aca="false">IF($A148="","",AH147)</f>
        <v>0.0707</v>
      </c>
      <c r="AJ147" s="208" t="n">
        <f aca="false">A147+DAY(EOMONTH(A147,0))/2-1</f>
        <v>41228</v>
      </c>
      <c r="AK147" s="209" t="n">
        <f aca="false">IF($A148="","",$A147-$E$1)</f>
        <v>-4712</v>
      </c>
      <c r="AL147" s="182" t="e">
        <f aca="false">IF($A148="","",SPRDOPT(P147,X147,AI147,0,AB147,AE147,AF147,AK147,$AJ$2,0))</f>
        <v>#NAME?</v>
      </c>
      <c r="AM147" s="211" t="e">
        <f aca="false">IF($A148="","",MAX(0,O147-W147-AI147))</f>
        <v>#N/A</v>
      </c>
      <c r="AN147" s="211" t="e">
        <f aca="false">IF($A148="","",AL147-AM147)</f>
        <v>#N/A</v>
      </c>
      <c r="AO147" s="137" t="n">
        <f aca="false">IF(A148="","",A148-A147)</f>
        <v>30</v>
      </c>
      <c r="AP147" s="212" t="n">
        <f aca="false">IF(A148="","",CHOOSE(F$3,A148+24,A147))</f>
        <v>41214</v>
      </c>
      <c r="AQ147" s="209" t="n">
        <f aca="false">IF(A148="","",AP147-$E$1)</f>
        <v>-4712</v>
      </c>
      <c r="AR147" s="185" t="n">
        <f aca="false">'ANR OK vs ML7'!AR147</f>
        <v>0.1</v>
      </c>
      <c r="AS147" s="213" t="n">
        <f aca="false">IF(A148="","",1/(1+CHOOSE(F$3,(AR148+($I$3/10000))/2,(AR147+($I$3/10000))/2))^(2*AQ147/365.25))</f>
        <v>3.52140375686146</v>
      </c>
      <c r="AT147" s="137" t="n">
        <f aca="false">IF(A148="","",IF(AND(mthbeg&lt;=A147,mthend&gt;=A147),1,0))</f>
        <v>1</v>
      </c>
      <c r="AU147" s="137" t="n">
        <f aca="false">IF(A148="","",AO147*AT147)</f>
        <v>30</v>
      </c>
      <c r="AW147" s="195" t="e">
        <f aca="false">IF($A148="","",AL147*$E147)</f>
        <v>#NAME?</v>
      </c>
      <c r="AX147" s="195" t="e">
        <f aca="false">IF($A148="","",AM147*$E147)</f>
        <v>#N/A</v>
      </c>
      <c r="AY147" s="195" t="e">
        <f aca="false">IF($A148="","",AN147*$E147)</f>
        <v>#N/A</v>
      </c>
      <c r="BA147" s="195" t="n">
        <f aca="false">IF($A148="","",F147*Summary!$Q$9)</f>
        <v>0</v>
      </c>
      <c r="BC147" s="179" t="e">
        <f aca="false">IF(A148="","",AM147*F147)</f>
        <v>#N/A</v>
      </c>
    </row>
    <row r="148" customFormat="false" ht="12.75" hidden="false" customHeight="false" outlineLevel="0" collapsed="false">
      <c r="A148" s="196" t="n">
        <f aca="false">IF(A147&lt;mthend,EDATE(A147,1),"")</f>
        <v>41244</v>
      </c>
      <c r="B148" s="197" t="n">
        <f aca="false">IF(A148&lt;mthend,B147,"")</f>
        <v>36050</v>
      </c>
      <c r="C148" s="215"/>
      <c r="D148" s="197" t="n">
        <f aca="false">IF(A149&lt;&gt;"",B148+C148,"")</f>
        <v>36050</v>
      </c>
      <c r="E148" s="199" t="n">
        <f aca="false">IF(A149="","",IF(AND(AT148=1,$H$3=1),D148*AO148,IF($H$3=2,D148,"N/A")))</f>
        <v>1117550</v>
      </c>
      <c r="F148" s="199" t="n">
        <f aca="false">IF(A149="","",E148*AS148)</f>
        <v>3903929.78327219</v>
      </c>
      <c r="G148" s="200" t="e">
        <f aca="false">IF($A149="","",VLOOKUP($A148,Table,MATCH(G$4,Curves,0)))</f>
        <v>#N/A</v>
      </c>
      <c r="H148" s="201" t="e">
        <f aca="false">IF(A149="","",G148)</f>
        <v>#N/A</v>
      </c>
      <c r="I148" s="202"/>
      <c r="J148" s="200" t="e">
        <f aca="false">IF($A149="","",VLOOKUP($A148,Table,MATCH(J$4,Curves,0)))</f>
        <v>#N/A</v>
      </c>
      <c r="K148" s="201" t="e">
        <f aca="false">IF(A149="","",J148)</f>
        <v>#N/A</v>
      </c>
      <c r="L148" s="200" t="e">
        <f aca="false">IF($A149="","",VLOOKUP($A148,Table,MATCH(L$4,Curves,0)))</f>
        <v>#N/A</v>
      </c>
      <c r="M148" s="201" t="e">
        <f aca="false">IF(A149="","",L148)</f>
        <v>#N/A</v>
      </c>
      <c r="N148" s="203"/>
      <c r="O148" s="200" t="e">
        <f aca="false">IF(A149="","",L148+J148+G148)</f>
        <v>#N/A</v>
      </c>
      <c r="P148" s="200" t="e">
        <f aca="false">IF(A149="","",M148+K148+H148)</f>
        <v>#N/A</v>
      </c>
      <c r="Q148" s="204"/>
      <c r="R148" s="200" t="e">
        <f aca="false">IF($A149="","",VLOOKUP($A148,Table,MATCH(R$4,Curves,0)))</f>
        <v>#N/A</v>
      </c>
      <c r="S148" s="201" t="e">
        <f aca="false">IF(A149="","",R148)</f>
        <v>#N/A</v>
      </c>
      <c r="T148" s="200" t="e">
        <f aca="false">IF($A149="","",VLOOKUP($A148,Table,MATCH(T$4,Curves,0)))</f>
        <v>#N/A</v>
      </c>
      <c r="U148" s="201" t="e">
        <f aca="false">IF(A149="","",T148)</f>
        <v>#N/A</v>
      </c>
      <c r="V148" s="225" t="e">
        <f aca="false">IF($A149="","",IF(AND(MONTH(A148)&gt;3,MONTH(A148)&lt;11),(T148+R148+G148)*Summary!$T$9/(1-Summary!$T$9),(T148+R148+G148)*Summary!$U$9/(1-Summary!$U$9)))</f>
        <v>#N/A</v>
      </c>
      <c r="W148" s="200" t="e">
        <f aca="false">IF($A149="","",(T148+R148+G148+V148))</f>
        <v>#N/A</v>
      </c>
      <c r="X148" s="200" t="e">
        <f aca="false">IF($A149="","",(U148+S148+H148+V148))</f>
        <v>#N/A</v>
      </c>
      <c r="Y148" s="202"/>
      <c r="Z148" s="185" t="e">
        <f aca="false">IF($A149="","",VLOOKUP($A148,Table,MATCH(Z$4,Curves,0)))</f>
        <v>#N/A</v>
      </c>
      <c r="AA148" s="185" t="e">
        <f aca="false">IF($A149="","",VLOOKUP($A148,Table,MATCH(AA$4,Curves,0)))</f>
        <v>#N/A</v>
      </c>
      <c r="AB148" s="185" t="e">
        <f aca="false">SQRT((AA148^2*(A148-$D$3)+Z148^2*(DAY(EOMONTH(A148,0))/2))/AK148)</f>
        <v>#N/A</v>
      </c>
      <c r="AC148" s="185" t="e">
        <f aca="false">IF($A149="","",VLOOKUP($A148,Table,MATCH(AC$4,Curves,0)))</f>
        <v>#N/A</v>
      </c>
      <c r="AD148" s="185" t="e">
        <f aca="false">IF($A149="","",VLOOKUP($A148,Table,MATCH(AD$4,Curves,0)))</f>
        <v>#N/A</v>
      </c>
      <c r="AE148" s="185" t="e">
        <f aca="false">SQRT((AD148^2*(A148-$D$3)+AC148^2*(DAY(EOMONTH(A148,0))/2))/AK148)</f>
        <v>#N/A</v>
      </c>
      <c r="AF148" s="224" t="e">
        <f aca="false">((Summary!$N$9*(AA148*AD148)*(A148-$D$3))+(Summary!$M$9*Z148*AC148*(AJ148-EOMONTH(EDATE(A148,-1),0))))/(AK148*AB148*AE148)</f>
        <v>#N/A</v>
      </c>
      <c r="AG148" s="207" t="n">
        <f aca="false">IF($A149="","",Summary!$Q$9)</f>
        <v>0</v>
      </c>
      <c r="AH148" s="207" t="n">
        <f aca="false">IF($A149="","",IF(Summary!$R$9="Y",VLOOKUP($A148,Summary!$AD$6:$AF$9,3)+'Escalating commodity'!E161,'Escalating commodity'!E161))</f>
        <v>0.0707</v>
      </c>
      <c r="AI148" s="207" t="n">
        <f aca="false">IF($A149="","",AH148)</f>
        <v>0.0707</v>
      </c>
      <c r="AJ148" s="208" t="n">
        <f aca="false">A148+DAY(EOMONTH(A148,0))/2-1</f>
        <v>41258.5</v>
      </c>
      <c r="AK148" s="209" t="n">
        <f aca="false">IF($A149="","",$A148-$E$1)</f>
        <v>-4682</v>
      </c>
      <c r="AL148" s="182" t="e">
        <f aca="false">IF($A149="","",SPRDOPT(P148,X148,AI148,0,AB148,AE148,AF148,AK148,$AJ$2,0))</f>
        <v>#NAME?</v>
      </c>
      <c r="AM148" s="211" t="e">
        <f aca="false">IF($A149="","",MAX(0,O148-W148-AI148))</f>
        <v>#N/A</v>
      </c>
      <c r="AN148" s="211" t="e">
        <f aca="false">IF($A149="","",AL148-AM148)</f>
        <v>#N/A</v>
      </c>
      <c r="AO148" s="137" t="n">
        <f aca="false">IF(A149="","",A149-A148)</f>
        <v>31</v>
      </c>
      <c r="AP148" s="212" t="n">
        <f aca="false">IF(A149="","",CHOOSE(F$3,A149+24,A148))</f>
        <v>41244</v>
      </c>
      <c r="AQ148" s="209" t="n">
        <f aca="false">IF(A149="","",AP148-$E$1)</f>
        <v>-4682</v>
      </c>
      <c r="AR148" s="185" t="n">
        <f aca="false">'ANR OK vs ML7'!AR148</f>
        <v>0.1</v>
      </c>
      <c r="AS148" s="213" t="n">
        <f aca="false">IF(A149="","",1/(1+CHOOSE(F$3,(AR149+($I$3/10000))/2,(AR148+($I$3/10000))/2))^(2*AQ148/365.25))</f>
        <v>3.49329317101892</v>
      </c>
      <c r="AT148" s="137" t="n">
        <f aca="false">IF(A149="","",IF(AND(mthbeg&lt;=A148,mthend&gt;=A148),1,0))</f>
        <v>1</v>
      </c>
      <c r="AU148" s="137" t="n">
        <f aca="false">IF(A149="","",AO148*AT148)</f>
        <v>31</v>
      </c>
      <c r="AW148" s="195" t="e">
        <f aca="false">IF($A149="","",AL148*$E148)</f>
        <v>#NAME?</v>
      </c>
      <c r="AX148" s="195" t="e">
        <f aca="false">IF($A149="","",AM148*$E148)</f>
        <v>#N/A</v>
      </c>
      <c r="AY148" s="195" t="e">
        <f aca="false">IF($A149="","",AN148*$E148)</f>
        <v>#N/A</v>
      </c>
      <c r="BA148" s="195" t="n">
        <f aca="false">IF($A149="","",F148*Summary!$Q$9)</f>
        <v>0</v>
      </c>
      <c r="BC148" s="179" t="e">
        <f aca="false">IF(A149="","",AM148*F148)</f>
        <v>#N/A</v>
      </c>
    </row>
    <row r="149" customFormat="false" ht="12.75" hidden="false" customHeight="false" outlineLevel="0" collapsed="false">
      <c r="A149" s="196" t="n">
        <f aca="false">IF(A148&lt;mthend,EDATE(A148,1),"")</f>
        <v>41275</v>
      </c>
      <c r="B149" s="197" t="n">
        <f aca="false">IF(A149&lt;mthend,B148,"")</f>
        <v>36050</v>
      </c>
      <c r="C149" s="215"/>
      <c r="D149" s="197" t="n">
        <f aca="false">IF(A150&lt;&gt;"",B149+C149,"")</f>
        <v>36050</v>
      </c>
      <c r="E149" s="199" t="n">
        <f aca="false">IF(A150="","",IF(AND(AT149=1,$H$3=1),D149*AO149,IF($H$3=2,D149,"N/A")))</f>
        <v>1117550</v>
      </c>
      <c r="F149" s="199" t="n">
        <f aca="false">IF(A150="","",E149*AS149)</f>
        <v>3871731.0656072</v>
      </c>
      <c r="G149" s="200" t="e">
        <f aca="false">IF($A150="","",VLOOKUP($A149,Table,MATCH(G$4,Curves,0)))</f>
        <v>#N/A</v>
      </c>
      <c r="H149" s="201" t="e">
        <f aca="false">IF(A150="","",G149)</f>
        <v>#N/A</v>
      </c>
      <c r="I149" s="202"/>
      <c r="J149" s="200" t="e">
        <f aca="false">IF($A150="","",VLOOKUP($A149,Table,MATCH(J$4,Curves,0)))</f>
        <v>#N/A</v>
      </c>
      <c r="K149" s="201" t="e">
        <f aca="false">IF(A150="","",J149)</f>
        <v>#N/A</v>
      </c>
      <c r="L149" s="200" t="e">
        <f aca="false">IF($A150="","",VLOOKUP($A149,Table,MATCH(L$4,Curves,0)))</f>
        <v>#N/A</v>
      </c>
      <c r="M149" s="201" t="e">
        <f aca="false">IF(A150="","",L149)</f>
        <v>#N/A</v>
      </c>
      <c r="N149" s="203"/>
      <c r="O149" s="200" t="e">
        <f aca="false">IF(A150="","",L149+J149+G149)</f>
        <v>#N/A</v>
      </c>
      <c r="P149" s="200" t="e">
        <f aca="false">IF(A150="","",M149+K149+H149)</f>
        <v>#N/A</v>
      </c>
      <c r="Q149" s="204"/>
      <c r="R149" s="200" t="e">
        <f aca="false">IF($A150="","",VLOOKUP($A149,Table,MATCH(R$4,Curves,0)))</f>
        <v>#N/A</v>
      </c>
      <c r="S149" s="201" t="e">
        <f aca="false">IF(A150="","",R149)</f>
        <v>#N/A</v>
      </c>
      <c r="T149" s="200" t="e">
        <f aca="false">IF($A150="","",VLOOKUP($A149,Table,MATCH(T$4,Curves,0)))</f>
        <v>#N/A</v>
      </c>
      <c r="U149" s="201" t="e">
        <f aca="false">IF(A150="","",T149)</f>
        <v>#N/A</v>
      </c>
      <c r="V149" s="225" t="e">
        <f aca="false">IF($A150="","",IF(AND(MONTH(A149)&gt;3,MONTH(A149)&lt;11),(T149+R149+G149)*Summary!$T$9/(1-Summary!$T$9),(T149+R149+G149)*Summary!$U$9/(1-Summary!$U$9)))</f>
        <v>#N/A</v>
      </c>
      <c r="W149" s="200" t="e">
        <f aca="false">IF($A150="","",(T149+R149+G149+V149))</f>
        <v>#N/A</v>
      </c>
      <c r="X149" s="200" t="e">
        <f aca="false">IF($A150="","",(U149+S149+H149+V149))</f>
        <v>#N/A</v>
      </c>
      <c r="Y149" s="202"/>
      <c r="Z149" s="185" t="e">
        <f aca="false">IF($A150="","",VLOOKUP($A149,Table,MATCH(Z$4,Curves,0)))</f>
        <v>#N/A</v>
      </c>
      <c r="AA149" s="185" t="e">
        <f aca="false">IF($A150="","",VLOOKUP($A149,Table,MATCH(AA$4,Curves,0)))</f>
        <v>#N/A</v>
      </c>
      <c r="AB149" s="185" t="e">
        <f aca="false">SQRT((AA149^2*(A149-$D$3)+Z149^2*(DAY(EOMONTH(A149,0))/2))/AK149)</f>
        <v>#N/A</v>
      </c>
      <c r="AC149" s="185" t="e">
        <f aca="false">IF($A150="","",VLOOKUP($A149,Table,MATCH(AC$4,Curves,0)))</f>
        <v>#N/A</v>
      </c>
      <c r="AD149" s="185" t="e">
        <f aca="false">IF($A150="","",VLOOKUP($A149,Table,MATCH(AD$4,Curves,0)))</f>
        <v>#N/A</v>
      </c>
      <c r="AE149" s="185" t="e">
        <f aca="false">SQRT((AD149^2*(A149-$D$3)+AC149^2*(DAY(EOMONTH(A149,0))/2))/AK149)</f>
        <v>#N/A</v>
      </c>
      <c r="AF149" s="224" t="e">
        <f aca="false">((Summary!$N$9*(AA149*AD149)*(A149-$D$3))+(Summary!$M$9*Z149*AC149*(AJ149-EOMONTH(EDATE(A149,-1),0))))/(AK149*AB149*AE149)</f>
        <v>#N/A</v>
      </c>
      <c r="AG149" s="207" t="n">
        <f aca="false">IF($A150="","",Summary!$Q$9)</f>
        <v>0</v>
      </c>
      <c r="AH149" s="207" t="n">
        <f aca="false">IF($A150="","",IF(Summary!$R$9="Y",VLOOKUP($A149,Summary!$AD$6:$AF$9,3)+'Escalating commodity'!E162,'Escalating commodity'!E162))</f>
        <v>0.0707</v>
      </c>
      <c r="AI149" s="207" t="n">
        <f aca="false">IF($A150="","",AH149)</f>
        <v>0.0707</v>
      </c>
      <c r="AJ149" s="208" t="n">
        <f aca="false">A149+DAY(EOMONTH(A149,0))/2-1</f>
        <v>41289.5</v>
      </c>
      <c r="AK149" s="209" t="n">
        <f aca="false">IF($A150="","",$A149-$E$1)</f>
        <v>-4651</v>
      </c>
      <c r="AL149" s="182" t="e">
        <f aca="false">IF($A150="","",SPRDOPT(P149,X149,AI149,0,AB149,AE149,AF149,AK149,$AJ$2,0))</f>
        <v>#NAME?</v>
      </c>
      <c r="AM149" s="211" t="e">
        <f aca="false">IF($A150="","",MAX(0,O149-W149-AI149))</f>
        <v>#N/A</v>
      </c>
      <c r="AN149" s="211" t="e">
        <f aca="false">IF($A150="","",AL149-AM149)</f>
        <v>#N/A</v>
      </c>
      <c r="AO149" s="137" t="n">
        <f aca="false">IF(A150="","",A150-A149)</f>
        <v>31</v>
      </c>
      <c r="AP149" s="212" t="n">
        <f aca="false">IF(A150="","",CHOOSE(F$3,A150+24,A149))</f>
        <v>41275</v>
      </c>
      <c r="AQ149" s="209" t="n">
        <f aca="false">IF(A150="","",AP149-$E$1)</f>
        <v>-4651</v>
      </c>
      <c r="AR149" s="185" t="n">
        <f aca="false">'ANR OK vs ML7'!AR149</f>
        <v>0.1</v>
      </c>
      <c r="AS149" s="213" t="n">
        <f aca="false">IF(A150="","",1/(1+CHOOSE(F$3,(AR150+($I$3/10000))/2,(AR149+($I$3/10000))/2))^(2*AQ149/365.25))</f>
        <v>3.4644812899711</v>
      </c>
      <c r="AT149" s="137" t="n">
        <f aca="false">IF(A150="","",IF(AND(mthbeg&lt;=A149,mthend&gt;=A149),1,0))</f>
        <v>1</v>
      </c>
      <c r="AU149" s="137" t="n">
        <f aca="false">IF(A150="","",AO149*AT149)</f>
        <v>31</v>
      </c>
      <c r="AW149" s="195" t="e">
        <f aca="false">IF($A150="","",AL149*$E149)</f>
        <v>#NAME?</v>
      </c>
      <c r="AX149" s="195" t="e">
        <f aca="false">IF($A150="","",AM149*$E149)</f>
        <v>#N/A</v>
      </c>
      <c r="AY149" s="195" t="e">
        <f aca="false">IF($A150="","",AN149*$E149)</f>
        <v>#N/A</v>
      </c>
      <c r="BA149" s="195" t="n">
        <f aca="false">IF($A150="","",F149*Summary!$Q$9)</f>
        <v>0</v>
      </c>
      <c r="BC149" s="179" t="e">
        <f aca="false">IF(A150="","",AM149*F149)</f>
        <v>#N/A</v>
      </c>
    </row>
    <row r="150" customFormat="false" ht="12.75" hidden="false" customHeight="false" outlineLevel="0" collapsed="false">
      <c r="A150" s="196" t="n">
        <f aca="false">IF(A149&lt;mthend,EDATE(A149,1),"")</f>
        <v>41306</v>
      </c>
      <c r="B150" s="197" t="n">
        <f aca="false">IF(A150&lt;mthend,B149,"")</f>
        <v>36050</v>
      </c>
      <c r="C150" s="215"/>
      <c r="D150" s="197" t="n">
        <f aca="false">IF(A151&lt;&gt;"",B150+C150,"")</f>
        <v>36050</v>
      </c>
      <c r="E150" s="199" t="n">
        <f aca="false">IF(A151="","",IF(AND(AT150=1,$H$3=1),D150*AO150,IF($H$3=2,D150,"N/A")))</f>
        <v>1009400</v>
      </c>
      <c r="F150" s="199" t="n">
        <f aca="false">IF(A151="","",E150*AS150)</f>
        <v>3468204.56891296</v>
      </c>
      <c r="G150" s="200" t="e">
        <f aca="false">IF($A151="","",VLOOKUP($A150,Table,MATCH(G$4,Curves,0)))</f>
        <v>#N/A</v>
      </c>
      <c r="H150" s="201" t="e">
        <f aca="false">IF(A151="","",G150)</f>
        <v>#N/A</v>
      </c>
      <c r="I150" s="202"/>
      <c r="J150" s="200" t="e">
        <f aca="false">IF($A151="","",VLOOKUP($A150,Table,MATCH(J$4,Curves,0)))</f>
        <v>#N/A</v>
      </c>
      <c r="K150" s="201" t="e">
        <f aca="false">IF(A151="","",J150)</f>
        <v>#N/A</v>
      </c>
      <c r="L150" s="200" t="e">
        <f aca="false">IF($A151="","",VLOOKUP($A150,Table,MATCH(L$4,Curves,0)))</f>
        <v>#N/A</v>
      </c>
      <c r="M150" s="201" t="e">
        <f aca="false">IF(A151="","",L150)</f>
        <v>#N/A</v>
      </c>
      <c r="N150" s="203"/>
      <c r="O150" s="200" t="e">
        <f aca="false">IF(A151="","",L150+J150+G150)</f>
        <v>#N/A</v>
      </c>
      <c r="P150" s="200" t="e">
        <f aca="false">IF(A151="","",M150+K150+H150)</f>
        <v>#N/A</v>
      </c>
      <c r="Q150" s="204"/>
      <c r="R150" s="200" t="e">
        <f aca="false">IF($A151="","",VLOOKUP($A150,Table,MATCH(R$4,Curves,0)))</f>
        <v>#N/A</v>
      </c>
      <c r="S150" s="201" t="e">
        <f aca="false">IF(A151="","",R150)</f>
        <v>#N/A</v>
      </c>
      <c r="T150" s="200" t="e">
        <f aca="false">IF($A151="","",VLOOKUP($A150,Table,MATCH(T$4,Curves,0)))</f>
        <v>#N/A</v>
      </c>
      <c r="U150" s="201" t="e">
        <f aca="false">IF(A151="","",T150)</f>
        <v>#N/A</v>
      </c>
      <c r="V150" s="225" t="e">
        <f aca="false">IF($A151="","",IF(AND(MONTH(A150)&gt;3,MONTH(A150)&lt;11),(T150+R150+G150)*Summary!$T$9/(1-Summary!$T$9),(T150+R150+G150)*Summary!$U$9/(1-Summary!$U$9)))</f>
        <v>#N/A</v>
      </c>
      <c r="W150" s="200" t="e">
        <f aca="false">IF($A151="","",(T150+R150+G150+V150))</f>
        <v>#N/A</v>
      </c>
      <c r="X150" s="200" t="e">
        <f aca="false">IF($A151="","",(U150+S150+H150+V150))</f>
        <v>#N/A</v>
      </c>
      <c r="Y150" s="202"/>
      <c r="Z150" s="185" t="e">
        <f aca="false">IF($A151="","",VLOOKUP($A150,Table,MATCH(Z$4,Curves,0)))</f>
        <v>#N/A</v>
      </c>
      <c r="AA150" s="185" t="e">
        <f aca="false">IF($A151="","",VLOOKUP($A150,Table,MATCH(AA$4,Curves,0)))</f>
        <v>#N/A</v>
      </c>
      <c r="AB150" s="185" t="e">
        <f aca="false">SQRT((AA150^2*(A150-$D$3)+Z150^2*(DAY(EOMONTH(A150,0))/2))/AK150)</f>
        <v>#N/A</v>
      </c>
      <c r="AC150" s="185" t="e">
        <f aca="false">IF($A151="","",VLOOKUP($A150,Table,MATCH(AC$4,Curves,0)))</f>
        <v>#N/A</v>
      </c>
      <c r="AD150" s="185" t="e">
        <f aca="false">IF($A151="","",VLOOKUP($A150,Table,MATCH(AD$4,Curves,0)))</f>
        <v>#N/A</v>
      </c>
      <c r="AE150" s="185" t="e">
        <f aca="false">SQRT((AD150^2*(A150-$D$3)+AC150^2*(DAY(EOMONTH(A150,0))/2))/AK150)</f>
        <v>#N/A</v>
      </c>
      <c r="AF150" s="224" t="e">
        <f aca="false">((Summary!$N$9*(AA150*AD150)*(A150-$D$3))+(Summary!$M$9*Z150*AC150*(AJ150-EOMONTH(EDATE(A150,-1),0))))/(AK150*AB150*AE150)</f>
        <v>#N/A</v>
      </c>
      <c r="AG150" s="207" t="n">
        <f aca="false">IF($A151="","",Summary!$Q$9)</f>
        <v>0</v>
      </c>
      <c r="AH150" s="207" t="n">
        <f aca="false">IF($A151="","",IF(Summary!$R$9="Y",VLOOKUP($A150,Summary!$AD$6:$AF$9,3)+'Escalating commodity'!E163,'Escalating commodity'!E163))</f>
        <v>0.0707</v>
      </c>
      <c r="AI150" s="207" t="n">
        <f aca="false">IF($A151="","",AH150)</f>
        <v>0.0707</v>
      </c>
      <c r="AJ150" s="208" t="n">
        <f aca="false">A150+DAY(EOMONTH(A150,0))/2-1</f>
        <v>41319</v>
      </c>
      <c r="AK150" s="209" t="n">
        <f aca="false">IF($A151="","",$A150-$E$1)</f>
        <v>-4620</v>
      </c>
      <c r="AL150" s="182" t="e">
        <f aca="false">IF($A151="","",SPRDOPT(P150,X150,AI150,0,AB150,AE150,AF150,AK150,$AJ$2,0))</f>
        <v>#NAME?</v>
      </c>
      <c r="AM150" s="211" t="e">
        <f aca="false">IF($A151="","",MAX(0,O150-W150-AI150))</f>
        <v>#N/A</v>
      </c>
      <c r="AN150" s="211" t="e">
        <f aca="false">IF($A151="","",AL150-AM150)</f>
        <v>#N/A</v>
      </c>
      <c r="AO150" s="137" t="n">
        <f aca="false">IF(A151="","",A151-A150)</f>
        <v>28</v>
      </c>
      <c r="AP150" s="212" t="n">
        <f aca="false">IF(A151="","",CHOOSE(F$3,A151+24,A150))</f>
        <v>41306</v>
      </c>
      <c r="AQ150" s="209" t="n">
        <f aca="false">IF(A151="","",AP150-$E$1)</f>
        <v>-4620</v>
      </c>
      <c r="AR150" s="185" t="n">
        <f aca="false">'ANR OK vs ML7'!AR150</f>
        <v>0.1</v>
      </c>
      <c r="AS150" s="213" t="n">
        <f aca="false">IF(A151="","",1/(1+CHOOSE(F$3,(AR151+($I$3/10000))/2,(AR150+($I$3/10000))/2))^(2*AQ150/365.25))</f>
        <v>3.43590704271147</v>
      </c>
      <c r="AT150" s="137" t="n">
        <f aca="false">IF(A151="","",IF(AND(mthbeg&lt;=A150,mthend&gt;=A150),1,0))</f>
        <v>1</v>
      </c>
      <c r="AU150" s="137" t="n">
        <f aca="false">IF(A151="","",AO150*AT150)</f>
        <v>28</v>
      </c>
      <c r="AW150" s="195" t="e">
        <f aca="false">IF($A151="","",AL150*$E150)</f>
        <v>#NAME?</v>
      </c>
      <c r="AX150" s="195" t="e">
        <f aca="false">IF($A151="","",AM150*$E150)</f>
        <v>#N/A</v>
      </c>
      <c r="AY150" s="195" t="e">
        <f aca="false">IF($A151="","",AN150*$E150)</f>
        <v>#N/A</v>
      </c>
      <c r="BA150" s="195" t="n">
        <f aca="false">IF($A151="","",F150*Summary!$Q$9)</f>
        <v>0</v>
      </c>
      <c r="BC150" s="179" t="e">
        <f aca="false">IF(A151="","",AM150*F150)</f>
        <v>#N/A</v>
      </c>
    </row>
    <row r="151" customFormat="false" ht="12.75" hidden="false" customHeight="false" outlineLevel="0" collapsed="false">
      <c r="A151" s="196" t="n">
        <f aca="false">IF(A150&lt;mthend,EDATE(A150,1),"")</f>
        <v>41334</v>
      </c>
      <c r="B151" s="197" t="n">
        <f aca="false">IF(A151&lt;mthend,B150,"")</f>
        <v>36050</v>
      </c>
      <c r="C151" s="215"/>
      <c r="D151" s="197" t="n">
        <f aca="false">IF(A152&lt;&gt;"",B151+C151,"")</f>
        <v>36050</v>
      </c>
      <c r="E151" s="199" t="n">
        <f aca="false">IF(A152="","",IF(AND(AT151=1,$H$3=1),D151*AO151,IF($H$3=2,D151,"N/A")))</f>
        <v>1117550</v>
      </c>
      <c r="F151" s="199" t="n">
        <f aca="false">IF(A152="","",E151*AS151)</f>
        <v>3811181.50917145</v>
      </c>
      <c r="G151" s="200" t="e">
        <f aca="false">IF($A152="","",VLOOKUP($A151,Table,MATCH(G$4,Curves,0)))</f>
        <v>#N/A</v>
      </c>
      <c r="H151" s="201" t="e">
        <f aca="false">IF(A152="","",G151)</f>
        <v>#N/A</v>
      </c>
      <c r="I151" s="202"/>
      <c r="J151" s="200" t="e">
        <f aca="false">IF($A152="","",VLOOKUP($A151,Table,MATCH(J$4,Curves,0)))</f>
        <v>#N/A</v>
      </c>
      <c r="K151" s="201" t="e">
        <f aca="false">IF(A152="","",J151)</f>
        <v>#N/A</v>
      </c>
      <c r="L151" s="200" t="e">
        <f aca="false">IF($A152="","",VLOOKUP($A151,Table,MATCH(L$4,Curves,0)))</f>
        <v>#N/A</v>
      </c>
      <c r="M151" s="201" t="e">
        <f aca="false">IF(A152="","",L151)</f>
        <v>#N/A</v>
      </c>
      <c r="N151" s="203"/>
      <c r="O151" s="200" t="e">
        <f aca="false">IF(A152="","",L151+J151+G151)</f>
        <v>#N/A</v>
      </c>
      <c r="P151" s="200" t="e">
        <f aca="false">IF(A152="","",M151+K151+H151)</f>
        <v>#N/A</v>
      </c>
      <c r="Q151" s="204"/>
      <c r="R151" s="200" t="e">
        <f aca="false">IF($A152="","",VLOOKUP($A151,Table,MATCH(R$4,Curves,0)))</f>
        <v>#N/A</v>
      </c>
      <c r="S151" s="201" t="e">
        <f aca="false">IF(A152="","",R151)</f>
        <v>#N/A</v>
      </c>
      <c r="T151" s="200" t="e">
        <f aca="false">IF($A152="","",VLOOKUP($A151,Table,MATCH(T$4,Curves,0)))</f>
        <v>#N/A</v>
      </c>
      <c r="U151" s="201" t="e">
        <f aca="false">IF(A152="","",T151)</f>
        <v>#N/A</v>
      </c>
      <c r="V151" s="225" t="e">
        <f aca="false">IF($A152="","",IF(AND(MONTH(A151)&gt;3,MONTH(A151)&lt;11),(T151+R151+G151)*Summary!$T$9/(1-Summary!$T$9),(T151+R151+G151)*Summary!$U$9/(1-Summary!$U$9)))</f>
        <v>#N/A</v>
      </c>
      <c r="W151" s="200" t="e">
        <f aca="false">IF($A152="","",(T151+R151+G151+V151))</f>
        <v>#N/A</v>
      </c>
      <c r="X151" s="200" t="e">
        <f aca="false">IF($A152="","",(U151+S151+H151+V151))</f>
        <v>#N/A</v>
      </c>
      <c r="Y151" s="202"/>
      <c r="Z151" s="185" t="e">
        <f aca="false">IF($A152="","",VLOOKUP($A151,Table,MATCH(Z$4,Curves,0)))</f>
        <v>#N/A</v>
      </c>
      <c r="AA151" s="185" t="e">
        <f aca="false">IF($A152="","",VLOOKUP($A151,Table,MATCH(AA$4,Curves,0)))</f>
        <v>#N/A</v>
      </c>
      <c r="AB151" s="185" t="e">
        <f aca="false">SQRT((AA151^2*(A151-$D$3)+Z151^2*(DAY(EOMONTH(A151,0))/2))/AK151)</f>
        <v>#N/A</v>
      </c>
      <c r="AC151" s="185" t="e">
        <f aca="false">IF($A152="","",VLOOKUP($A151,Table,MATCH(AC$4,Curves,0)))</f>
        <v>#N/A</v>
      </c>
      <c r="AD151" s="185" t="e">
        <f aca="false">IF($A152="","",VLOOKUP($A151,Table,MATCH(AD$4,Curves,0)))</f>
        <v>#N/A</v>
      </c>
      <c r="AE151" s="185" t="e">
        <f aca="false">SQRT((AD151^2*(A151-$D$3)+AC151^2*(DAY(EOMONTH(A151,0))/2))/AK151)</f>
        <v>#N/A</v>
      </c>
      <c r="AF151" s="224" t="e">
        <f aca="false">((Summary!$N$9*(AA151*AD151)*(A151-$D$3))+(Summary!$M$9*Z151*AC151*(AJ151-EOMONTH(EDATE(A151,-1),0))))/(AK151*AB151*AE151)</f>
        <v>#N/A</v>
      </c>
      <c r="AG151" s="207" t="n">
        <f aca="false">IF($A152="","",Summary!$Q$9)</f>
        <v>0</v>
      </c>
      <c r="AH151" s="207" t="n">
        <f aca="false">IF($A152="","",IF(Summary!$R$9="Y",VLOOKUP($A151,Summary!$AD$6:$AF$9,3)+'Escalating commodity'!E164,'Escalating commodity'!E164))</f>
        <v>0.0707</v>
      </c>
      <c r="AI151" s="207" t="n">
        <f aca="false">IF($A152="","",AH151)</f>
        <v>0.0707</v>
      </c>
      <c r="AJ151" s="208" t="n">
        <f aca="false">A151+DAY(EOMONTH(A151,0))/2-1</f>
        <v>41348.5</v>
      </c>
      <c r="AK151" s="209" t="n">
        <f aca="false">IF($A152="","",$A151-$E$1)</f>
        <v>-4592</v>
      </c>
      <c r="AL151" s="182" t="e">
        <f aca="false">IF($A152="","",SPRDOPT(P151,X151,AI151,0,AB151,AE151,AF151,AK151,$AJ$2,0))</f>
        <v>#NAME?</v>
      </c>
      <c r="AM151" s="211" t="e">
        <f aca="false">IF($A152="","",MAX(0,O151-W151-AI151))</f>
        <v>#N/A</v>
      </c>
      <c r="AN151" s="211" t="e">
        <f aca="false">IF($A152="","",AL151-AM151)</f>
        <v>#N/A</v>
      </c>
      <c r="AO151" s="137" t="n">
        <f aca="false">IF(A152="","",A152-A151)</f>
        <v>31</v>
      </c>
      <c r="AP151" s="212" t="n">
        <f aca="false">IF(A152="","",CHOOSE(F$3,A152+24,A151))</f>
        <v>41334</v>
      </c>
      <c r="AQ151" s="209" t="n">
        <f aca="false">IF(A152="","",AP151-$E$1)</f>
        <v>-4592</v>
      </c>
      <c r="AR151" s="185" t="n">
        <f aca="false">'ANR OK vs ML7'!AR151</f>
        <v>0.1</v>
      </c>
      <c r="AS151" s="213" t="n">
        <f aca="false">IF(A152="","",1/(1+CHOOSE(F$3,(AR152+($I$3/10000))/2,(AR151+($I$3/10000))/2))^(2*AQ151/365.25))</f>
        <v>3.41030066589544</v>
      </c>
      <c r="AT151" s="137" t="n">
        <f aca="false">IF(A152="","",IF(AND(mthbeg&lt;=A151,mthend&gt;=A151),1,0))</f>
        <v>1</v>
      </c>
      <c r="AU151" s="137" t="n">
        <f aca="false">IF(A152="","",AO151*AT151)</f>
        <v>31</v>
      </c>
      <c r="AW151" s="195" t="e">
        <f aca="false">IF($A152="","",AL151*$E151)</f>
        <v>#NAME?</v>
      </c>
      <c r="AX151" s="195" t="e">
        <f aca="false">IF($A152="","",AM151*$E151)</f>
        <v>#N/A</v>
      </c>
      <c r="AY151" s="195" t="e">
        <f aca="false">IF($A152="","",AN151*$E151)</f>
        <v>#N/A</v>
      </c>
      <c r="BA151" s="195" t="n">
        <f aca="false">IF($A152="","",F151*Summary!$Q$9)</f>
        <v>0</v>
      </c>
      <c r="BC151" s="179" t="e">
        <f aca="false">IF(A152="","",AM151*F151)</f>
        <v>#N/A</v>
      </c>
    </row>
    <row r="152" customFormat="false" ht="12.75" hidden="false" customHeight="false" outlineLevel="0" collapsed="false">
      <c r="A152" s="196" t="n">
        <f aca="false">IF(A151&lt;mthend,EDATE(A151,1),"")</f>
        <v>41365</v>
      </c>
      <c r="B152" s="197" t="n">
        <f aca="false">IF(A152&lt;mthend,B151,"")</f>
        <v>36050</v>
      </c>
      <c r="C152" s="215"/>
      <c r="D152" s="197" t="n">
        <f aca="false">IF(A153&lt;&gt;"",B152+C152,"")</f>
        <v>36050</v>
      </c>
      <c r="E152" s="199" t="n">
        <f aca="false">IF(A153="","",IF(AND(AT152=1,$H$3=1),D152*AO152,IF($H$3=2,D152,"N/A")))</f>
        <v>1081500</v>
      </c>
      <c r="F152" s="199" t="n">
        <f aca="false">IF(A153="","",E152*AS152)</f>
        <v>3657820.41097129</v>
      </c>
      <c r="G152" s="200" t="e">
        <f aca="false">IF($A153="","",VLOOKUP($A152,Table,MATCH(G$4,Curves,0)))</f>
        <v>#N/A</v>
      </c>
      <c r="H152" s="201" t="e">
        <f aca="false">IF(A153="","",G152)</f>
        <v>#N/A</v>
      </c>
      <c r="I152" s="202"/>
      <c r="J152" s="200" t="e">
        <f aca="false">IF($A153="","",VLOOKUP($A152,Table,MATCH(J$4,Curves,0)))</f>
        <v>#N/A</v>
      </c>
      <c r="K152" s="201" t="e">
        <f aca="false">IF(A153="","",J152)</f>
        <v>#N/A</v>
      </c>
      <c r="L152" s="200" t="e">
        <f aca="false">IF($A153="","",VLOOKUP($A152,Table,MATCH(L$4,Curves,0)))</f>
        <v>#N/A</v>
      </c>
      <c r="M152" s="201" t="e">
        <f aca="false">IF(A153="","",L152)</f>
        <v>#N/A</v>
      </c>
      <c r="N152" s="203"/>
      <c r="O152" s="200" t="e">
        <f aca="false">IF(A153="","",L152+J152+G152)</f>
        <v>#N/A</v>
      </c>
      <c r="P152" s="200" t="e">
        <f aca="false">IF(A153="","",M152+K152+H152)</f>
        <v>#N/A</v>
      </c>
      <c r="Q152" s="204"/>
      <c r="R152" s="200" t="e">
        <f aca="false">IF($A153="","",VLOOKUP($A152,Table,MATCH(R$4,Curves,0)))</f>
        <v>#N/A</v>
      </c>
      <c r="S152" s="201" t="e">
        <f aca="false">IF(A153="","",R152)</f>
        <v>#N/A</v>
      </c>
      <c r="T152" s="200" t="e">
        <f aca="false">IF($A153="","",VLOOKUP($A152,Table,MATCH(T$4,Curves,0)))</f>
        <v>#N/A</v>
      </c>
      <c r="U152" s="201" t="e">
        <f aca="false">IF(A153="","",T152)</f>
        <v>#N/A</v>
      </c>
      <c r="V152" s="225" t="e">
        <f aca="false">IF($A153="","",IF(AND(MONTH(A152)&gt;3,MONTH(A152)&lt;11),(T152+R152+G152)*Summary!$T$9/(1-Summary!$T$9),(T152+R152+G152)*Summary!$U$9/(1-Summary!$U$9)))</f>
        <v>#N/A</v>
      </c>
      <c r="W152" s="200" t="e">
        <f aca="false">IF($A153="","",(T152+R152+G152+V152))</f>
        <v>#N/A</v>
      </c>
      <c r="X152" s="200" t="e">
        <f aca="false">IF($A153="","",(U152+S152+H152+V152))</f>
        <v>#N/A</v>
      </c>
      <c r="Y152" s="202"/>
      <c r="Z152" s="185" t="e">
        <f aca="false">IF($A153="","",VLOOKUP($A152,Table,MATCH(Z$4,Curves,0)))</f>
        <v>#N/A</v>
      </c>
      <c r="AA152" s="185" t="e">
        <f aca="false">IF($A153="","",VLOOKUP($A152,Table,MATCH(AA$4,Curves,0)))</f>
        <v>#N/A</v>
      </c>
      <c r="AB152" s="185" t="e">
        <f aca="false">SQRT((AA152^2*(A152-$D$3)+Z152^2*(DAY(EOMONTH(A152,0))/2))/AK152)</f>
        <v>#N/A</v>
      </c>
      <c r="AC152" s="185" t="e">
        <f aca="false">IF($A153="","",VLOOKUP($A152,Table,MATCH(AC$4,Curves,0)))</f>
        <v>#N/A</v>
      </c>
      <c r="AD152" s="185" t="e">
        <f aca="false">IF($A153="","",VLOOKUP($A152,Table,MATCH(AD$4,Curves,0)))</f>
        <v>#N/A</v>
      </c>
      <c r="AE152" s="185" t="e">
        <f aca="false">SQRT((AD152^2*(A152-$D$3)+AC152^2*(DAY(EOMONTH(A152,0))/2))/AK152)</f>
        <v>#N/A</v>
      </c>
      <c r="AF152" s="224" t="e">
        <f aca="false">((Summary!$N$9*(AA152*AD152)*(A152-$D$3))+(Summary!$M$9*Z152*AC152*(AJ152-EOMONTH(EDATE(A152,-1),0))))/(AK152*AB152*AE152)</f>
        <v>#N/A</v>
      </c>
      <c r="AG152" s="207" t="n">
        <f aca="false">IF($A153="","",Summary!$Q$9)</f>
        <v>0</v>
      </c>
      <c r="AH152" s="207" t="n">
        <f aca="false">IF($A153="","",IF(Summary!$R$9="Y",VLOOKUP($A152,Summary!$AD$6:$AF$9,3)+'Escalating commodity'!E165,'Escalating commodity'!E165))</f>
        <v>0.0707</v>
      </c>
      <c r="AI152" s="207" t="n">
        <f aca="false">IF($A153="","",AH152)</f>
        <v>0.0707</v>
      </c>
      <c r="AJ152" s="208" t="n">
        <f aca="false">A152+DAY(EOMONTH(A152,0))/2-1</f>
        <v>41379</v>
      </c>
      <c r="AK152" s="209" t="n">
        <f aca="false">IF($A153="","",$A152-$E$1)</f>
        <v>-4561</v>
      </c>
      <c r="AL152" s="182" t="e">
        <f aca="false">IF($A153="","",SPRDOPT(P152,X152,AI152,0,AB152,AE152,AF152,AK152,$AJ$2,0))</f>
        <v>#NAME?</v>
      </c>
      <c r="AM152" s="211" t="e">
        <f aca="false">IF($A153="","",MAX(0,O152-W152-AI152))</f>
        <v>#N/A</v>
      </c>
      <c r="AN152" s="211" t="e">
        <f aca="false">IF($A153="","",AL152-AM152)</f>
        <v>#N/A</v>
      </c>
      <c r="AO152" s="137" t="n">
        <f aca="false">IF(A153="","",A153-A152)</f>
        <v>30</v>
      </c>
      <c r="AP152" s="212" t="n">
        <f aca="false">IF(A153="","",CHOOSE(F$3,A153+24,A152))</f>
        <v>41365</v>
      </c>
      <c r="AQ152" s="209" t="n">
        <f aca="false">IF(A153="","",AP152-$E$1)</f>
        <v>-4561</v>
      </c>
      <c r="AR152" s="185" t="n">
        <f aca="false">'ANR OK vs ML7'!AR152</f>
        <v>0.1</v>
      </c>
      <c r="AS152" s="213" t="n">
        <f aca="false">IF(A153="","",1/(1+CHOOSE(F$3,(AR153+($I$3/10000))/2,(AR152+($I$3/10000))/2))^(2*AQ152/365.25))</f>
        <v>3.38217328799934</v>
      </c>
      <c r="AT152" s="137" t="n">
        <f aca="false">IF(A153="","",IF(AND(mthbeg&lt;=A152,mthend&gt;=A152),1,0))</f>
        <v>1</v>
      </c>
      <c r="AU152" s="137" t="n">
        <f aca="false">IF(A153="","",AO152*AT152)</f>
        <v>30</v>
      </c>
      <c r="AW152" s="195" t="e">
        <f aca="false">IF($A153="","",AL152*$E152)</f>
        <v>#NAME?</v>
      </c>
      <c r="AX152" s="195" t="e">
        <f aca="false">IF($A153="","",AM152*$E152)</f>
        <v>#N/A</v>
      </c>
      <c r="AY152" s="195" t="e">
        <f aca="false">IF($A153="","",AN152*$E152)</f>
        <v>#N/A</v>
      </c>
      <c r="BA152" s="195" t="n">
        <f aca="false">IF($A153="","",F152*Summary!$Q$9)</f>
        <v>0</v>
      </c>
      <c r="BC152" s="179" t="e">
        <f aca="false">IF(A153="","",AM152*F152)</f>
        <v>#N/A</v>
      </c>
    </row>
    <row r="153" customFormat="false" ht="12.75" hidden="false" customHeight="false" outlineLevel="0" collapsed="false">
      <c r="A153" s="196" t="n">
        <f aca="false">IF(A152&lt;mthend,EDATE(A152,1),"")</f>
        <v>41395</v>
      </c>
      <c r="B153" s="197" t="n">
        <f aca="false">IF(A153&lt;mthend,B152,"")</f>
        <v>36050</v>
      </c>
      <c r="C153" s="215"/>
      <c r="D153" s="197" t="n">
        <f aca="false">IF(A154&lt;&gt;"",B153+C153,"")</f>
        <v>36050</v>
      </c>
      <c r="E153" s="199" t="n">
        <f aca="false">IF(A154="","",IF(AND(AT153=1,$H$3=1),D153*AO153,IF($H$3=2,D153,"N/A")))</f>
        <v>1117550</v>
      </c>
      <c r="F153" s="199" t="n">
        <f aca="false">IF(A154="","",E153*AS153)</f>
        <v>3749574.86924944</v>
      </c>
      <c r="G153" s="200" t="e">
        <f aca="false">IF($A154="","",VLOOKUP($A153,Table,MATCH(G$4,Curves,0)))</f>
        <v>#N/A</v>
      </c>
      <c r="H153" s="201" t="e">
        <f aca="false">IF(A154="","",G153)</f>
        <v>#N/A</v>
      </c>
      <c r="I153" s="202"/>
      <c r="J153" s="200" t="e">
        <f aca="false">IF($A154="","",VLOOKUP($A153,Table,MATCH(J$4,Curves,0)))</f>
        <v>#N/A</v>
      </c>
      <c r="K153" s="201" t="e">
        <f aca="false">IF(A154="","",J153)</f>
        <v>#N/A</v>
      </c>
      <c r="L153" s="200" t="e">
        <f aca="false">IF($A154="","",VLOOKUP($A153,Table,MATCH(L$4,Curves,0)))</f>
        <v>#N/A</v>
      </c>
      <c r="M153" s="201" t="e">
        <f aca="false">IF(A154="","",L153)</f>
        <v>#N/A</v>
      </c>
      <c r="N153" s="203"/>
      <c r="O153" s="200" t="e">
        <f aca="false">IF(A154="","",L153+J153+G153)</f>
        <v>#N/A</v>
      </c>
      <c r="P153" s="200" t="e">
        <f aca="false">IF(A154="","",M153+K153+H153)</f>
        <v>#N/A</v>
      </c>
      <c r="Q153" s="204"/>
      <c r="R153" s="200" t="e">
        <f aca="false">IF($A154="","",VLOOKUP($A153,Table,MATCH(R$4,Curves,0)))</f>
        <v>#N/A</v>
      </c>
      <c r="S153" s="201" t="e">
        <f aca="false">IF(A154="","",R153)</f>
        <v>#N/A</v>
      </c>
      <c r="T153" s="200" t="e">
        <f aca="false">IF($A154="","",VLOOKUP($A153,Table,MATCH(T$4,Curves,0)))</f>
        <v>#N/A</v>
      </c>
      <c r="U153" s="201" t="e">
        <f aca="false">IF(A154="","",T153)</f>
        <v>#N/A</v>
      </c>
      <c r="V153" s="225" t="e">
        <f aca="false">IF($A154="","",IF(AND(MONTH(A153)&gt;3,MONTH(A153)&lt;11),(T153+R153+G153)*Summary!$T$9/(1-Summary!$T$9),(T153+R153+G153)*Summary!$U$9/(1-Summary!$U$9)))</f>
        <v>#N/A</v>
      </c>
      <c r="W153" s="200" t="e">
        <f aca="false">IF($A154="","",(T153+R153+G153+V153))</f>
        <v>#N/A</v>
      </c>
      <c r="X153" s="200" t="e">
        <f aca="false">IF($A154="","",(U153+S153+H153+V153))</f>
        <v>#N/A</v>
      </c>
      <c r="Y153" s="202"/>
      <c r="Z153" s="185" t="e">
        <f aca="false">IF($A154="","",VLOOKUP($A153,Table,MATCH(Z$4,Curves,0)))</f>
        <v>#N/A</v>
      </c>
      <c r="AA153" s="185" t="e">
        <f aca="false">IF($A154="","",VLOOKUP($A153,Table,MATCH(AA$4,Curves,0)))</f>
        <v>#N/A</v>
      </c>
      <c r="AB153" s="185" t="e">
        <f aca="false">SQRT((AA153^2*(A153-$D$3)+Z153^2*(DAY(EOMONTH(A153,0))/2))/AK153)</f>
        <v>#N/A</v>
      </c>
      <c r="AC153" s="185" t="e">
        <f aca="false">IF($A154="","",VLOOKUP($A153,Table,MATCH(AC$4,Curves,0)))</f>
        <v>#N/A</v>
      </c>
      <c r="AD153" s="185" t="e">
        <f aca="false">IF($A154="","",VLOOKUP($A153,Table,MATCH(AD$4,Curves,0)))</f>
        <v>#N/A</v>
      </c>
      <c r="AE153" s="185" t="e">
        <f aca="false">SQRT((AD153^2*(A153-$D$3)+AC153^2*(DAY(EOMONTH(A153,0))/2))/AK153)</f>
        <v>#N/A</v>
      </c>
      <c r="AF153" s="224" t="e">
        <f aca="false">((Summary!$N$9*(AA153*AD153)*(A153-$D$3))+(Summary!$M$9*Z153*AC153*(AJ153-EOMONTH(EDATE(A153,-1),0))))/(AK153*AB153*AE153)</f>
        <v>#N/A</v>
      </c>
      <c r="AG153" s="207" t="n">
        <f aca="false">IF($A154="","",Summary!$Q$9)</f>
        <v>0</v>
      </c>
      <c r="AH153" s="207" t="n">
        <f aca="false">IF($A154="","",IF(Summary!$R$9="Y",VLOOKUP($A153,Summary!$AD$6:$AF$9,3)+'Escalating commodity'!E166,'Escalating commodity'!E166))</f>
        <v>0.0707</v>
      </c>
      <c r="AI153" s="207" t="n">
        <f aca="false">IF($A154="","",AH153)</f>
        <v>0.0707</v>
      </c>
      <c r="AJ153" s="208" t="n">
        <f aca="false">A153+DAY(EOMONTH(A153,0))/2-1</f>
        <v>41409.5</v>
      </c>
      <c r="AK153" s="209" t="n">
        <f aca="false">IF($A154="","",$A153-$E$1)</f>
        <v>-4531</v>
      </c>
      <c r="AL153" s="182" t="e">
        <f aca="false">IF($A154="","",SPRDOPT(P153,X153,AI153,0,AB153,AE153,AF153,AK153,$AJ$2,0))</f>
        <v>#NAME?</v>
      </c>
      <c r="AM153" s="211" t="e">
        <f aca="false">IF($A154="","",MAX(0,O153-W153-AI153))</f>
        <v>#N/A</v>
      </c>
      <c r="AN153" s="211" t="e">
        <f aca="false">IF($A154="","",AL153-AM153)</f>
        <v>#N/A</v>
      </c>
      <c r="AO153" s="137" t="n">
        <f aca="false">IF(A154="","",A154-A153)</f>
        <v>31</v>
      </c>
      <c r="AP153" s="212" t="n">
        <f aca="false">IF(A154="","",CHOOSE(F$3,A154+24,A153))</f>
        <v>41395</v>
      </c>
      <c r="AQ153" s="209" t="n">
        <f aca="false">IF(A154="","",AP153-$E$1)</f>
        <v>-4531</v>
      </c>
      <c r="AR153" s="185" t="n">
        <f aca="false">'ANR OK vs ML7'!AR153</f>
        <v>0.1</v>
      </c>
      <c r="AS153" s="213" t="n">
        <f aca="false">IF(A154="","",1/(1+CHOOSE(F$3,(AR154+($I$3/10000))/2,(AR153+($I$3/10000))/2))^(2*AQ153/365.25))</f>
        <v>3.35517414813605</v>
      </c>
      <c r="AT153" s="137" t="n">
        <f aca="false">IF(A154="","",IF(AND(mthbeg&lt;=A153,mthend&gt;=A153),1,0))</f>
        <v>1</v>
      </c>
      <c r="AU153" s="137" t="n">
        <f aca="false">IF(A154="","",AO153*AT153)</f>
        <v>31</v>
      </c>
      <c r="AW153" s="195" t="e">
        <f aca="false">IF($A154="","",AL153*$E153)</f>
        <v>#NAME?</v>
      </c>
      <c r="AX153" s="195" t="e">
        <f aca="false">IF($A154="","",AM153*$E153)</f>
        <v>#N/A</v>
      </c>
      <c r="AY153" s="195" t="e">
        <f aca="false">IF($A154="","",AN153*$E153)</f>
        <v>#N/A</v>
      </c>
      <c r="BA153" s="195" t="n">
        <f aca="false">IF($A154="","",F153*Summary!$Q$9)</f>
        <v>0</v>
      </c>
      <c r="BC153" s="179" t="e">
        <f aca="false">IF(A154="","",AM153*F153)</f>
        <v>#N/A</v>
      </c>
    </row>
    <row r="154" customFormat="false" ht="12.75" hidden="false" customHeight="false" outlineLevel="0" collapsed="false">
      <c r="A154" s="196" t="n">
        <f aca="false">IF(A153&lt;mthend,EDATE(A153,1),"")</f>
        <v>41426</v>
      </c>
      <c r="B154" s="197" t="n">
        <f aca="false">IF(A154&lt;mthend,B153,"")</f>
        <v>36050</v>
      </c>
      <c r="C154" s="215"/>
      <c r="D154" s="197" t="n">
        <f aca="false">IF(A155&lt;&gt;"",B154+C154,"")</f>
        <v>36050</v>
      </c>
      <c r="E154" s="199" t="n">
        <f aca="false">IF(A155="","",IF(AND(AT154=1,$H$3=1),D154*AO154,IF($H$3=2,D154,"N/A")))</f>
        <v>1081500</v>
      </c>
      <c r="F154" s="199" t="n">
        <f aca="false">IF(A155="","",E154*AS154)</f>
        <v>3598692.80856878</v>
      </c>
      <c r="G154" s="200" t="e">
        <f aca="false">IF($A155="","",VLOOKUP($A154,Table,MATCH(G$4,Curves,0)))</f>
        <v>#N/A</v>
      </c>
      <c r="H154" s="201" t="e">
        <f aca="false">IF(A155="","",G154)</f>
        <v>#N/A</v>
      </c>
      <c r="I154" s="202"/>
      <c r="J154" s="200" t="e">
        <f aca="false">IF($A155="","",VLOOKUP($A154,Table,MATCH(J$4,Curves,0)))</f>
        <v>#N/A</v>
      </c>
      <c r="K154" s="201" t="e">
        <f aca="false">IF(A155="","",J154)</f>
        <v>#N/A</v>
      </c>
      <c r="L154" s="200" t="e">
        <f aca="false">IF($A155="","",VLOOKUP($A154,Table,MATCH(L$4,Curves,0)))</f>
        <v>#N/A</v>
      </c>
      <c r="M154" s="201" t="e">
        <f aca="false">IF(A155="","",L154)</f>
        <v>#N/A</v>
      </c>
      <c r="N154" s="203"/>
      <c r="O154" s="200" t="e">
        <f aca="false">IF(A155="","",L154+J154+G154)</f>
        <v>#N/A</v>
      </c>
      <c r="P154" s="200" t="e">
        <f aca="false">IF(A155="","",M154+K154+H154)</f>
        <v>#N/A</v>
      </c>
      <c r="Q154" s="204"/>
      <c r="R154" s="200" t="e">
        <f aca="false">IF($A155="","",VLOOKUP($A154,Table,MATCH(R$4,Curves,0)))</f>
        <v>#N/A</v>
      </c>
      <c r="S154" s="201" t="e">
        <f aca="false">IF(A155="","",R154)</f>
        <v>#N/A</v>
      </c>
      <c r="T154" s="200" t="e">
        <f aca="false">IF($A155="","",VLOOKUP($A154,Table,MATCH(T$4,Curves,0)))</f>
        <v>#N/A</v>
      </c>
      <c r="U154" s="201" t="e">
        <f aca="false">IF(A155="","",T154)</f>
        <v>#N/A</v>
      </c>
      <c r="V154" s="225" t="e">
        <f aca="false">IF($A155="","",IF(AND(MONTH(A154)&gt;3,MONTH(A154)&lt;11),(T154+R154+G154)*Summary!$T$9/(1-Summary!$T$9),(T154+R154+G154)*Summary!$U$9/(1-Summary!$U$9)))</f>
        <v>#N/A</v>
      </c>
      <c r="W154" s="200" t="e">
        <f aca="false">IF($A155="","",(T154+R154+G154+V154))</f>
        <v>#N/A</v>
      </c>
      <c r="X154" s="200" t="e">
        <f aca="false">IF($A155="","",(U154+S154+H154+V154))</f>
        <v>#N/A</v>
      </c>
      <c r="Y154" s="202"/>
      <c r="Z154" s="185" t="e">
        <f aca="false">IF($A155="","",VLOOKUP($A154,Table,MATCH(Z$4,Curves,0)))</f>
        <v>#N/A</v>
      </c>
      <c r="AA154" s="185" t="e">
        <f aca="false">IF($A155="","",VLOOKUP($A154,Table,MATCH(AA$4,Curves,0)))</f>
        <v>#N/A</v>
      </c>
      <c r="AB154" s="185" t="e">
        <f aca="false">SQRT((AA154^2*(A154-$D$3)+Z154^2*(DAY(EOMONTH(A154,0))/2))/AK154)</f>
        <v>#N/A</v>
      </c>
      <c r="AC154" s="185" t="e">
        <f aca="false">IF($A155="","",VLOOKUP($A154,Table,MATCH(AC$4,Curves,0)))</f>
        <v>#N/A</v>
      </c>
      <c r="AD154" s="185" t="e">
        <f aca="false">IF($A155="","",VLOOKUP($A154,Table,MATCH(AD$4,Curves,0)))</f>
        <v>#N/A</v>
      </c>
      <c r="AE154" s="185" t="e">
        <f aca="false">SQRT((AD154^2*(A154-$D$3)+AC154^2*(DAY(EOMONTH(A154,0))/2))/AK154)</f>
        <v>#N/A</v>
      </c>
      <c r="AF154" s="224" t="e">
        <f aca="false">((Summary!$N$9*(AA154*AD154)*(A154-$D$3))+(Summary!$M$9*Z154*AC154*(AJ154-EOMONTH(EDATE(A154,-1),0))))/(AK154*AB154*AE154)</f>
        <v>#N/A</v>
      </c>
      <c r="AG154" s="207" t="n">
        <f aca="false">IF($A155="","",Summary!$Q$9)</f>
        <v>0</v>
      </c>
      <c r="AH154" s="207" t="n">
        <f aca="false">IF($A155="","",IF(Summary!$R$9="Y",VLOOKUP($A154,Summary!$AD$6:$AF$9,3)+'Escalating commodity'!E167,'Escalating commodity'!E167))</f>
        <v>0.0707</v>
      </c>
      <c r="AI154" s="207" t="n">
        <f aca="false">IF($A155="","",AH154)</f>
        <v>0.0707</v>
      </c>
      <c r="AJ154" s="208" t="n">
        <f aca="false">A154+DAY(EOMONTH(A154,0))/2-1</f>
        <v>41440</v>
      </c>
      <c r="AK154" s="209" t="n">
        <f aca="false">IF($A155="","",$A154-$E$1)</f>
        <v>-4500</v>
      </c>
      <c r="AL154" s="182" t="e">
        <f aca="false">IF($A155="","",SPRDOPT(P154,X154,AI154,0,AB154,AE154,AF154,AK154,$AJ$2,0))</f>
        <v>#NAME?</v>
      </c>
      <c r="AM154" s="211" t="e">
        <f aca="false">IF($A155="","",MAX(0,O154-W154-AI154))</f>
        <v>#N/A</v>
      </c>
      <c r="AN154" s="211" t="e">
        <f aca="false">IF($A155="","",AL154-AM154)</f>
        <v>#N/A</v>
      </c>
      <c r="AO154" s="137" t="n">
        <f aca="false">IF(A155="","",A155-A154)</f>
        <v>30</v>
      </c>
      <c r="AP154" s="212" t="n">
        <f aca="false">IF(A155="","",CHOOSE(F$3,A155+24,A154))</f>
        <v>41426</v>
      </c>
      <c r="AQ154" s="209" t="n">
        <f aca="false">IF(A155="","",AP154-$E$1)</f>
        <v>-4500</v>
      </c>
      <c r="AR154" s="185" t="n">
        <f aca="false">'ANR OK vs ML7'!AR154</f>
        <v>0.1</v>
      </c>
      <c r="AS154" s="213" t="n">
        <f aca="false">IF(A155="","",1/(1+CHOOSE(F$3,(AR155+($I$3/10000))/2,(AR154+($I$3/10000))/2))^(2*AQ154/365.25))</f>
        <v>3.32750144111769</v>
      </c>
      <c r="AT154" s="137" t="n">
        <f aca="false">IF(A155="","",IF(AND(mthbeg&lt;=A154,mthend&gt;=A154),1,0))</f>
        <v>1</v>
      </c>
      <c r="AU154" s="137" t="n">
        <f aca="false">IF(A155="","",AO154*AT154)</f>
        <v>30</v>
      </c>
      <c r="AW154" s="195" t="e">
        <f aca="false">IF($A155="","",AL154*$E154)</f>
        <v>#NAME?</v>
      </c>
      <c r="AX154" s="195" t="e">
        <f aca="false">IF($A155="","",AM154*$E154)</f>
        <v>#N/A</v>
      </c>
      <c r="AY154" s="195" t="e">
        <f aca="false">IF($A155="","",AN154*$E154)</f>
        <v>#N/A</v>
      </c>
      <c r="BA154" s="195" t="n">
        <f aca="false">IF($A155="","",F154*Summary!$Q$9)</f>
        <v>0</v>
      </c>
      <c r="BC154" s="179" t="e">
        <f aca="false">IF(A155="","",AM154*F154)</f>
        <v>#N/A</v>
      </c>
    </row>
    <row r="155" customFormat="false" ht="12.75" hidden="false" customHeight="false" outlineLevel="0" collapsed="false">
      <c r="A155" s="196" t="n">
        <f aca="false">IF(A154&lt;mthend,EDATE(A154,1),"")</f>
        <v>41456</v>
      </c>
      <c r="B155" s="197" t="n">
        <f aca="false">IF(A155&lt;mthend,B154,"")</f>
        <v>36050</v>
      </c>
      <c r="C155" s="215"/>
      <c r="D155" s="197" t="n">
        <f aca="false">IF(A156&lt;&gt;"",B155+C155,"")</f>
        <v>36050</v>
      </c>
      <c r="E155" s="199" t="n">
        <f aca="false">IF(A156="","",IF(AND(AT155=1,$H$3=1),D155*AO155,IF($H$3=2,D155,"N/A")))</f>
        <v>1117550</v>
      </c>
      <c r="F155" s="199" t="n">
        <f aca="false">IF(A156="","",E155*AS155)</f>
        <v>3688964.0827323</v>
      </c>
      <c r="G155" s="200" t="e">
        <f aca="false">IF($A156="","",VLOOKUP($A155,Table,MATCH(G$4,Curves,0)))</f>
        <v>#N/A</v>
      </c>
      <c r="H155" s="201" t="e">
        <f aca="false">IF(A156="","",G155)</f>
        <v>#N/A</v>
      </c>
      <c r="I155" s="202"/>
      <c r="J155" s="200" t="e">
        <f aca="false">IF($A156="","",VLOOKUP($A155,Table,MATCH(J$4,Curves,0)))</f>
        <v>#N/A</v>
      </c>
      <c r="K155" s="201" t="e">
        <f aca="false">IF(A156="","",J155)</f>
        <v>#N/A</v>
      </c>
      <c r="L155" s="200" t="e">
        <f aca="false">IF($A156="","",VLOOKUP($A155,Table,MATCH(L$4,Curves,0)))</f>
        <v>#N/A</v>
      </c>
      <c r="M155" s="201" t="e">
        <f aca="false">IF(A156="","",L155)</f>
        <v>#N/A</v>
      </c>
      <c r="N155" s="203"/>
      <c r="O155" s="200" t="e">
        <f aca="false">IF(A156="","",L155+J155+G155)</f>
        <v>#N/A</v>
      </c>
      <c r="P155" s="200" t="e">
        <f aca="false">IF(A156="","",M155+K155+H155)</f>
        <v>#N/A</v>
      </c>
      <c r="Q155" s="204"/>
      <c r="R155" s="200" t="e">
        <f aca="false">IF($A156="","",VLOOKUP($A155,Table,MATCH(R$4,Curves,0)))</f>
        <v>#N/A</v>
      </c>
      <c r="S155" s="201" t="e">
        <f aca="false">IF(A156="","",R155)</f>
        <v>#N/A</v>
      </c>
      <c r="T155" s="200" t="e">
        <f aca="false">IF($A156="","",VLOOKUP($A155,Table,MATCH(T$4,Curves,0)))</f>
        <v>#N/A</v>
      </c>
      <c r="U155" s="201" t="e">
        <f aca="false">IF(A156="","",T155)</f>
        <v>#N/A</v>
      </c>
      <c r="V155" s="225" t="e">
        <f aca="false">IF($A156="","",IF(AND(MONTH(A155)&gt;3,MONTH(A155)&lt;11),(T155+R155+G155)*Summary!$T$9/(1-Summary!$T$9),(T155+R155+G155)*Summary!$U$9/(1-Summary!$U$9)))</f>
        <v>#N/A</v>
      </c>
      <c r="W155" s="200" t="e">
        <f aca="false">IF($A156="","",(T155+R155+G155+V155))</f>
        <v>#N/A</v>
      </c>
      <c r="X155" s="200" t="e">
        <f aca="false">IF($A156="","",(U155+S155+H155+V155))</f>
        <v>#N/A</v>
      </c>
      <c r="Y155" s="202"/>
      <c r="Z155" s="185" t="e">
        <f aca="false">IF($A156="","",VLOOKUP($A155,Table,MATCH(Z$4,Curves,0)))</f>
        <v>#N/A</v>
      </c>
      <c r="AA155" s="185" t="e">
        <f aca="false">IF($A156="","",VLOOKUP($A155,Table,MATCH(AA$4,Curves,0)))</f>
        <v>#N/A</v>
      </c>
      <c r="AB155" s="185" t="e">
        <f aca="false">SQRT((AA155^2*(A155-$D$3)+Z155^2*(DAY(EOMONTH(A155,0))/2))/AK155)</f>
        <v>#N/A</v>
      </c>
      <c r="AC155" s="185" t="e">
        <f aca="false">IF($A156="","",VLOOKUP($A155,Table,MATCH(AC$4,Curves,0)))</f>
        <v>#N/A</v>
      </c>
      <c r="AD155" s="185" t="e">
        <f aca="false">IF($A156="","",VLOOKUP($A155,Table,MATCH(AD$4,Curves,0)))</f>
        <v>#N/A</v>
      </c>
      <c r="AE155" s="185" t="e">
        <f aca="false">SQRT((AD155^2*(A155-$D$3)+AC155^2*(DAY(EOMONTH(A155,0))/2))/AK155)</f>
        <v>#N/A</v>
      </c>
      <c r="AF155" s="224" t="e">
        <f aca="false">((Summary!$N$9*(AA155*AD155)*(A155-$D$3))+(Summary!$M$9*Z155*AC155*(AJ155-EOMONTH(EDATE(A155,-1),0))))/(AK155*AB155*AE155)</f>
        <v>#N/A</v>
      </c>
      <c r="AG155" s="207" t="n">
        <f aca="false">IF($A156="","",Summary!$Q$9)</f>
        <v>0</v>
      </c>
      <c r="AH155" s="207" t="n">
        <f aca="false">IF($A156="","",IF(Summary!$R$9="Y",VLOOKUP($A155,Summary!$AD$6:$AF$9,3)+'Escalating commodity'!E168,'Escalating commodity'!E168))</f>
        <v>0.0707</v>
      </c>
      <c r="AI155" s="207" t="n">
        <f aca="false">IF($A156="","",AH155)</f>
        <v>0.0707</v>
      </c>
      <c r="AJ155" s="208" t="n">
        <f aca="false">A155+DAY(EOMONTH(A155,0))/2-1</f>
        <v>41470.5</v>
      </c>
      <c r="AK155" s="209" t="n">
        <f aca="false">IF($A156="","",$A155-$E$1)</f>
        <v>-4470</v>
      </c>
      <c r="AL155" s="182" t="e">
        <f aca="false">IF($A156="","",SPRDOPT(P155,X155,AI155,0,AB155,AE155,AF155,AK155,$AJ$2,0))</f>
        <v>#NAME?</v>
      </c>
      <c r="AM155" s="211" t="e">
        <f aca="false">IF($A156="","",MAX(0,O155-W155-AI155))</f>
        <v>#N/A</v>
      </c>
      <c r="AN155" s="211" t="e">
        <f aca="false">IF($A156="","",AL155-AM155)</f>
        <v>#N/A</v>
      </c>
      <c r="AO155" s="137" t="n">
        <f aca="false">IF(A156="","",A156-A155)</f>
        <v>31</v>
      </c>
      <c r="AP155" s="212" t="n">
        <f aca="false">IF(A156="","",CHOOSE(F$3,A156+24,A155))</f>
        <v>41456</v>
      </c>
      <c r="AQ155" s="209" t="n">
        <f aca="false">IF(A156="","",AP155-$E$1)</f>
        <v>-4470</v>
      </c>
      <c r="AR155" s="185" t="n">
        <f aca="false">'ANR OK vs ML7'!AR155</f>
        <v>0.1</v>
      </c>
      <c r="AS155" s="213" t="n">
        <f aca="false">IF(A156="","",1/(1+CHOOSE(F$3,(AR156+($I$3/10000))/2,(AR155+($I$3/10000))/2))^(2*AQ155/365.25))</f>
        <v>3.30093873449268</v>
      </c>
      <c r="AT155" s="137" t="n">
        <f aca="false">IF(A156="","",IF(AND(mthbeg&lt;=A155,mthend&gt;=A155),1,0))</f>
        <v>1</v>
      </c>
      <c r="AU155" s="137" t="n">
        <f aca="false">IF(A156="","",AO155*AT155)</f>
        <v>31</v>
      </c>
      <c r="AW155" s="195" t="e">
        <f aca="false">IF($A156="","",AL155*$E155)</f>
        <v>#NAME?</v>
      </c>
      <c r="AX155" s="195" t="e">
        <f aca="false">IF($A156="","",AM155*$E155)</f>
        <v>#N/A</v>
      </c>
      <c r="AY155" s="195" t="e">
        <f aca="false">IF($A156="","",AN155*$E155)</f>
        <v>#N/A</v>
      </c>
      <c r="BA155" s="195" t="n">
        <f aca="false">IF($A156="","",F155*Summary!$Q$9)</f>
        <v>0</v>
      </c>
      <c r="BC155" s="179" t="e">
        <f aca="false">IF(A156="","",AM155*F155)</f>
        <v>#N/A</v>
      </c>
    </row>
    <row r="156" customFormat="false" ht="12.75" hidden="false" customHeight="false" outlineLevel="0" collapsed="false">
      <c r="A156" s="196" t="n">
        <f aca="false">IF(A155&lt;mthend,EDATE(A155,1),"")</f>
        <v>41487</v>
      </c>
      <c r="B156" s="197" t="n">
        <f aca="false">IF(A156&lt;mthend,B155,"")</f>
        <v>36050</v>
      </c>
      <c r="C156" s="215"/>
      <c r="D156" s="197" t="n">
        <f aca="false">IF(A157&lt;&gt;"",B156+C156,"")</f>
        <v>36050</v>
      </c>
      <c r="E156" s="199" t="n">
        <f aca="false">IF(A157="","",IF(AND(AT156=1,$H$3=1),D156*AO156,IF($H$3=2,D156,"N/A")))</f>
        <v>1117550</v>
      </c>
      <c r="F156" s="199" t="n">
        <f aca="false">IF(A157="","",E156*AS156)</f>
        <v>3658538.35287282</v>
      </c>
      <c r="G156" s="200" t="e">
        <f aca="false">IF($A157="","",VLOOKUP($A156,Table,MATCH(G$4,Curves,0)))</f>
        <v>#N/A</v>
      </c>
      <c r="H156" s="201" t="e">
        <f aca="false">IF(A157="","",G156)</f>
        <v>#N/A</v>
      </c>
      <c r="I156" s="202"/>
      <c r="J156" s="200" t="e">
        <f aca="false">IF($A157="","",VLOOKUP($A156,Table,MATCH(J$4,Curves,0)))</f>
        <v>#N/A</v>
      </c>
      <c r="K156" s="201" t="e">
        <f aca="false">IF(A157="","",J156)</f>
        <v>#N/A</v>
      </c>
      <c r="L156" s="200" t="e">
        <f aca="false">IF($A157="","",VLOOKUP($A156,Table,MATCH(L$4,Curves,0)))</f>
        <v>#N/A</v>
      </c>
      <c r="M156" s="201" t="e">
        <f aca="false">IF(A157="","",L156)</f>
        <v>#N/A</v>
      </c>
      <c r="N156" s="203"/>
      <c r="O156" s="200" t="e">
        <f aca="false">IF(A157="","",L156+J156+G156)</f>
        <v>#N/A</v>
      </c>
      <c r="P156" s="200" t="e">
        <f aca="false">IF(A157="","",M156+K156+H156)</f>
        <v>#N/A</v>
      </c>
      <c r="Q156" s="204"/>
      <c r="R156" s="200" t="e">
        <f aca="false">IF($A157="","",VLOOKUP($A156,Table,MATCH(R$4,Curves,0)))</f>
        <v>#N/A</v>
      </c>
      <c r="S156" s="201" t="e">
        <f aca="false">IF(A157="","",R156)</f>
        <v>#N/A</v>
      </c>
      <c r="T156" s="200" t="e">
        <f aca="false">IF($A157="","",VLOOKUP($A156,Table,MATCH(T$4,Curves,0)))</f>
        <v>#N/A</v>
      </c>
      <c r="U156" s="201" t="e">
        <f aca="false">IF(A157="","",T156)</f>
        <v>#N/A</v>
      </c>
      <c r="V156" s="225" t="e">
        <f aca="false">IF($A157="","",IF(AND(MONTH(A156)&gt;3,MONTH(A156)&lt;11),(T156+R156+G156)*Summary!$T$9/(1-Summary!$T$9),(T156+R156+G156)*Summary!$U$9/(1-Summary!$U$9)))</f>
        <v>#N/A</v>
      </c>
      <c r="W156" s="200" t="e">
        <f aca="false">IF($A157="","",(T156+R156+G156+V156))</f>
        <v>#N/A</v>
      </c>
      <c r="X156" s="200" t="e">
        <f aca="false">IF($A157="","",(U156+S156+H156+V156))</f>
        <v>#N/A</v>
      </c>
      <c r="Y156" s="202"/>
      <c r="Z156" s="185" t="e">
        <f aca="false">IF($A157="","",VLOOKUP($A156,Table,MATCH(Z$4,Curves,0)))</f>
        <v>#N/A</v>
      </c>
      <c r="AA156" s="185" t="e">
        <f aca="false">IF($A157="","",VLOOKUP($A156,Table,MATCH(AA$4,Curves,0)))</f>
        <v>#N/A</v>
      </c>
      <c r="AB156" s="185" t="e">
        <f aca="false">SQRT((AA156^2*(A156-$D$3)+Z156^2*(DAY(EOMONTH(A156,0))/2))/AK156)</f>
        <v>#N/A</v>
      </c>
      <c r="AC156" s="185" t="e">
        <f aca="false">IF($A157="","",VLOOKUP($A156,Table,MATCH(AC$4,Curves,0)))</f>
        <v>#N/A</v>
      </c>
      <c r="AD156" s="185" t="e">
        <f aca="false">IF($A157="","",VLOOKUP($A156,Table,MATCH(AD$4,Curves,0)))</f>
        <v>#N/A</v>
      </c>
      <c r="AE156" s="185" t="e">
        <f aca="false">SQRT((AD156^2*(A156-$D$3)+AC156^2*(DAY(EOMONTH(A156,0))/2))/AK156)</f>
        <v>#N/A</v>
      </c>
      <c r="AF156" s="224" t="e">
        <f aca="false">((Summary!$N$9*(AA156*AD156)*(A156-$D$3))+(Summary!$M$9*Z156*AC156*(AJ156-EOMONTH(EDATE(A156,-1),0))))/(AK156*AB156*AE156)</f>
        <v>#N/A</v>
      </c>
      <c r="AG156" s="207" t="n">
        <f aca="false">IF($A157="","",Summary!$Q$9)</f>
        <v>0</v>
      </c>
      <c r="AH156" s="207" t="n">
        <f aca="false">IF($A157="","",IF(Summary!$R$9="Y",VLOOKUP($A156,Summary!$AD$6:$AF$9,3)+'Escalating commodity'!E169,'Escalating commodity'!E169))</f>
        <v>0.0707</v>
      </c>
      <c r="AI156" s="207" t="n">
        <f aca="false">IF($A157="","",AH156)</f>
        <v>0.0707</v>
      </c>
      <c r="AJ156" s="208" t="n">
        <f aca="false">A156+DAY(EOMONTH(A156,0))/2-1</f>
        <v>41501.5</v>
      </c>
      <c r="AK156" s="209" t="n">
        <f aca="false">IF($A157="","",$A156-$E$1)</f>
        <v>-4439</v>
      </c>
      <c r="AL156" s="182" t="e">
        <f aca="false">IF($A157="","",SPRDOPT(P156,X156,AI156,0,AB156,AE156,AF156,AK156,$AJ$2,0))</f>
        <v>#NAME?</v>
      </c>
      <c r="AM156" s="211" t="e">
        <f aca="false">IF($A157="","",MAX(0,O156-W156-AI156))</f>
        <v>#N/A</v>
      </c>
      <c r="AN156" s="211" t="e">
        <f aca="false">IF($A157="","",AL156-AM156)</f>
        <v>#N/A</v>
      </c>
      <c r="AO156" s="137" t="n">
        <f aca="false">IF(A157="","",A157-A156)</f>
        <v>31</v>
      </c>
      <c r="AP156" s="212" t="n">
        <f aca="false">IF(A157="","",CHOOSE(F$3,A157+24,A156))</f>
        <v>41487</v>
      </c>
      <c r="AQ156" s="209" t="n">
        <f aca="false">IF(A157="","",AP156-$E$1)</f>
        <v>-4439</v>
      </c>
      <c r="AR156" s="185" t="n">
        <f aca="false">'ANR OK vs ML7'!AR156</f>
        <v>0.1</v>
      </c>
      <c r="AS156" s="213" t="n">
        <f aca="false">IF(A157="","",1/(1+CHOOSE(F$3,(AR157+($I$3/10000))/2,(AR156+($I$3/10000))/2))^(2*AQ156/365.25))</f>
        <v>3.27371334872965</v>
      </c>
      <c r="AT156" s="137" t="n">
        <f aca="false">IF(A157="","",IF(AND(mthbeg&lt;=A156,mthend&gt;=A156),1,0))</f>
        <v>1</v>
      </c>
      <c r="AU156" s="137" t="n">
        <f aca="false">IF(A157="","",AO156*AT156)</f>
        <v>31</v>
      </c>
      <c r="AW156" s="195" t="e">
        <f aca="false">IF($A157="","",AL156*$E156)</f>
        <v>#NAME?</v>
      </c>
      <c r="AX156" s="195" t="e">
        <f aca="false">IF($A157="","",AM156*$E156)</f>
        <v>#N/A</v>
      </c>
      <c r="AY156" s="195" t="e">
        <f aca="false">IF($A157="","",AN156*$E156)</f>
        <v>#N/A</v>
      </c>
      <c r="BA156" s="195" t="n">
        <f aca="false">IF($A157="","",F156*Summary!$Q$9)</f>
        <v>0</v>
      </c>
      <c r="BC156" s="179" t="e">
        <f aca="false">IF(A157="","",AM156*F156)</f>
        <v>#N/A</v>
      </c>
    </row>
    <row r="157" customFormat="false" ht="12.75" hidden="false" customHeight="false" outlineLevel="0" collapsed="false">
      <c r="A157" s="196" t="n">
        <f aca="false">IF(A156&lt;mthend,EDATE(A156,1),"")</f>
        <v>41518</v>
      </c>
      <c r="B157" s="197" t="n">
        <f aca="false">IF(A157&lt;mthend,B156,"")</f>
        <v>36050</v>
      </c>
      <c r="C157" s="215"/>
      <c r="D157" s="197" t="n">
        <f aca="false">IF(A158&lt;&gt;"",B157+C157,"")</f>
        <v>36050</v>
      </c>
      <c r="E157" s="199" t="n">
        <f aca="false">IF(A158="","",IF(AND(AT157=1,$H$3=1),D157*AO157,IF($H$3=2,D157,"N/A")))</f>
        <v>1081500</v>
      </c>
      <c r="F157" s="199" t="n">
        <f aca="false">IF(A158="","",E157*AS157)</f>
        <v>3511319.58140949</v>
      </c>
      <c r="G157" s="200" t="e">
        <f aca="false">IF($A158="","",VLOOKUP($A157,Table,MATCH(G$4,Curves,0)))</f>
        <v>#N/A</v>
      </c>
      <c r="H157" s="201" t="e">
        <f aca="false">IF(A158="","",G157)</f>
        <v>#N/A</v>
      </c>
      <c r="I157" s="202"/>
      <c r="J157" s="200" t="e">
        <f aca="false">IF($A158="","",VLOOKUP($A157,Table,MATCH(J$4,Curves,0)))</f>
        <v>#N/A</v>
      </c>
      <c r="K157" s="201" t="e">
        <f aca="false">IF(A158="","",J157)</f>
        <v>#N/A</v>
      </c>
      <c r="L157" s="200" t="e">
        <f aca="false">IF($A158="","",VLOOKUP($A157,Table,MATCH(L$4,Curves,0)))</f>
        <v>#N/A</v>
      </c>
      <c r="M157" s="201" t="e">
        <f aca="false">IF(A158="","",L157)</f>
        <v>#N/A</v>
      </c>
      <c r="N157" s="203"/>
      <c r="O157" s="200" t="e">
        <f aca="false">IF(A158="","",L157+J157+G157)</f>
        <v>#N/A</v>
      </c>
      <c r="P157" s="200" t="e">
        <f aca="false">IF(A158="","",M157+K157+H157)</f>
        <v>#N/A</v>
      </c>
      <c r="Q157" s="204"/>
      <c r="R157" s="200" t="e">
        <f aca="false">IF($A158="","",VLOOKUP($A157,Table,MATCH(R$4,Curves,0)))</f>
        <v>#N/A</v>
      </c>
      <c r="S157" s="201" t="e">
        <f aca="false">IF(A158="","",R157)</f>
        <v>#N/A</v>
      </c>
      <c r="T157" s="200" t="e">
        <f aca="false">IF($A158="","",VLOOKUP($A157,Table,MATCH(T$4,Curves,0)))</f>
        <v>#N/A</v>
      </c>
      <c r="U157" s="201" t="e">
        <f aca="false">IF(A158="","",T157)</f>
        <v>#N/A</v>
      </c>
      <c r="V157" s="225" t="e">
        <f aca="false">IF($A158="","",IF(AND(MONTH(A157)&gt;3,MONTH(A157)&lt;11),(T157+R157+G157)*Summary!$T$9/(1-Summary!$T$9),(T157+R157+G157)*Summary!$U$9/(1-Summary!$U$9)))</f>
        <v>#N/A</v>
      </c>
      <c r="W157" s="200" t="e">
        <f aca="false">IF($A158="","",(T157+R157+G157+V157))</f>
        <v>#N/A</v>
      </c>
      <c r="X157" s="200" t="e">
        <f aca="false">IF($A158="","",(U157+S157+H157+V157))</f>
        <v>#N/A</v>
      </c>
      <c r="Y157" s="202"/>
      <c r="Z157" s="185" t="e">
        <f aca="false">IF($A158="","",VLOOKUP($A157,Table,MATCH(Z$4,Curves,0)))</f>
        <v>#N/A</v>
      </c>
      <c r="AA157" s="185" t="e">
        <f aca="false">IF($A158="","",VLOOKUP($A157,Table,MATCH(AA$4,Curves,0)))</f>
        <v>#N/A</v>
      </c>
      <c r="AB157" s="185" t="e">
        <f aca="false">SQRT((AA157^2*(A157-$D$3)+Z157^2*(DAY(EOMONTH(A157,0))/2))/AK157)</f>
        <v>#N/A</v>
      </c>
      <c r="AC157" s="185" t="e">
        <f aca="false">IF($A158="","",VLOOKUP($A157,Table,MATCH(AC$4,Curves,0)))</f>
        <v>#N/A</v>
      </c>
      <c r="AD157" s="185" t="e">
        <f aca="false">IF($A158="","",VLOOKUP($A157,Table,MATCH(AD$4,Curves,0)))</f>
        <v>#N/A</v>
      </c>
      <c r="AE157" s="185" t="e">
        <f aca="false">SQRT((AD157^2*(A157-$D$3)+AC157^2*(DAY(EOMONTH(A157,0))/2))/AK157)</f>
        <v>#N/A</v>
      </c>
      <c r="AF157" s="224" t="e">
        <f aca="false">((Summary!$N$9*(AA157*AD157)*(A157-$D$3))+(Summary!$M$9*Z157*AC157*(AJ157-EOMONTH(EDATE(A157,-1),0))))/(AK157*AB157*AE157)</f>
        <v>#N/A</v>
      </c>
      <c r="AG157" s="207" t="n">
        <f aca="false">IF($A158="","",Summary!$Q$9)</f>
        <v>0</v>
      </c>
      <c r="AH157" s="207" t="n">
        <f aca="false">IF($A158="","",IF(Summary!$R$9="Y",VLOOKUP($A157,Summary!$AD$6:$AF$9,3)+'Escalating commodity'!E170,'Escalating commodity'!E170))</f>
        <v>0.0707</v>
      </c>
      <c r="AI157" s="207" t="n">
        <f aca="false">IF($A158="","",AH157)</f>
        <v>0.0707</v>
      </c>
      <c r="AJ157" s="208" t="n">
        <f aca="false">A157+DAY(EOMONTH(A157,0))/2-1</f>
        <v>41532</v>
      </c>
      <c r="AK157" s="209" t="n">
        <f aca="false">IF($A158="","",$A157-$E$1)</f>
        <v>-4408</v>
      </c>
      <c r="AL157" s="182" t="e">
        <f aca="false">IF($A158="","",SPRDOPT(P157,X157,AI157,0,AB157,AE157,AF157,AK157,$AJ$2,0))</f>
        <v>#NAME?</v>
      </c>
      <c r="AM157" s="211" t="e">
        <f aca="false">IF($A158="","",MAX(0,O157-W157-AI157))</f>
        <v>#N/A</v>
      </c>
      <c r="AN157" s="211" t="e">
        <f aca="false">IF($A158="","",AL157-AM157)</f>
        <v>#N/A</v>
      </c>
      <c r="AO157" s="137" t="n">
        <f aca="false">IF(A158="","",A158-A157)</f>
        <v>30</v>
      </c>
      <c r="AP157" s="212" t="n">
        <f aca="false">IF(A158="","",CHOOSE(F$3,A158+24,A157))</f>
        <v>41518</v>
      </c>
      <c r="AQ157" s="209" t="n">
        <f aca="false">IF(A158="","",AP157-$E$1)</f>
        <v>-4408</v>
      </c>
      <c r="AR157" s="185" t="n">
        <f aca="false">'ANR OK vs ML7'!AR157</f>
        <v>0.1</v>
      </c>
      <c r="AS157" s="213" t="n">
        <f aca="false">IF(A158="","",1/(1+CHOOSE(F$3,(AR158+($I$3/10000))/2,(AR157+($I$3/10000))/2))^(2*AQ157/365.25))</f>
        <v>3.2467125117055</v>
      </c>
      <c r="AT157" s="137" t="n">
        <f aca="false">IF(A158="","",IF(AND(mthbeg&lt;=A157,mthend&gt;=A157),1,0))</f>
        <v>1</v>
      </c>
      <c r="AU157" s="137" t="n">
        <f aca="false">IF(A158="","",AO157*AT157)</f>
        <v>30</v>
      </c>
      <c r="AW157" s="195" t="e">
        <f aca="false">IF($A158="","",AL157*$E157)</f>
        <v>#NAME?</v>
      </c>
      <c r="AX157" s="195" t="e">
        <f aca="false">IF($A158="","",AM157*$E157)</f>
        <v>#N/A</v>
      </c>
      <c r="AY157" s="195" t="e">
        <f aca="false">IF($A158="","",AN157*$E157)</f>
        <v>#N/A</v>
      </c>
      <c r="BA157" s="195" t="n">
        <f aca="false">IF($A158="","",F157*Summary!$Q$9)</f>
        <v>0</v>
      </c>
      <c r="BC157" s="179" t="e">
        <f aca="false">IF(A158="","",AM157*F157)</f>
        <v>#N/A</v>
      </c>
    </row>
    <row r="158" customFormat="false" ht="12.75" hidden="false" customHeight="false" outlineLevel="0" collapsed="false">
      <c r="A158" s="196" t="n">
        <f aca="false">IF(A157&lt;mthend,EDATE(A157,1),"")</f>
        <v>41548</v>
      </c>
      <c r="B158" s="197" t="n">
        <f aca="false">IF(A158&lt;mthend,B157,"")</f>
        <v>36050</v>
      </c>
      <c r="C158" s="215"/>
      <c r="D158" s="197" t="n">
        <f aca="false">IF(A159&lt;&gt;"",B158+C158,"")</f>
        <v>36050</v>
      </c>
      <c r="E158" s="199" t="n">
        <f aca="false">IF(A159="","",IF(AND(AT158=1,$H$3=1),D158*AO158,IF($H$3=2,D158,"N/A")))</f>
        <v>1117550</v>
      </c>
      <c r="F158" s="199" t="n">
        <f aca="false">IF(A159="","",E158*AS158)</f>
        <v>3599399.14514842</v>
      </c>
      <c r="G158" s="200" t="e">
        <f aca="false">IF($A159="","",VLOOKUP($A158,Table,MATCH(G$4,Curves,0)))</f>
        <v>#N/A</v>
      </c>
      <c r="H158" s="201" t="e">
        <f aca="false">IF(A159="","",G158)</f>
        <v>#N/A</v>
      </c>
      <c r="I158" s="202"/>
      <c r="J158" s="200" t="e">
        <f aca="false">IF($A159="","",VLOOKUP($A158,Table,MATCH(J$4,Curves,0)))</f>
        <v>#N/A</v>
      </c>
      <c r="K158" s="201" t="e">
        <f aca="false">IF(A159="","",J158)</f>
        <v>#N/A</v>
      </c>
      <c r="L158" s="200" t="e">
        <f aca="false">IF($A159="","",VLOOKUP($A158,Table,MATCH(L$4,Curves,0)))</f>
        <v>#N/A</v>
      </c>
      <c r="M158" s="201" t="e">
        <f aca="false">IF(A159="","",L158)</f>
        <v>#N/A</v>
      </c>
      <c r="N158" s="203"/>
      <c r="O158" s="200" t="e">
        <f aca="false">IF(A159="","",L158+J158+G158)</f>
        <v>#N/A</v>
      </c>
      <c r="P158" s="200" t="e">
        <f aca="false">IF(A159="","",M158+K158+H158)</f>
        <v>#N/A</v>
      </c>
      <c r="Q158" s="204"/>
      <c r="R158" s="200" t="e">
        <f aca="false">IF($A159="","",VLOOKUP($A158,Table,MATCH(R$4,Curves,0)))</f>
        <v>#N/A</v>
      </c>
      <c r="S158" s="201" t="e">
        <f aca="false">IF(A159="","",R158)</f>
        <v>#N/A</v>
      </c>
      <c r="T158" s="200" t="e">
        <f aca="false">IF($A159="","",VLOOKUP($A158,Table,MATCH(T$4,Curves,0)))</f>
        <v>#N/A</v>
      </c>
      <c r="U158" s="201" t="e">
        <f aca="false">IF(A159="","",T158)</f>
        <v>#N/A</v>
      </c>
      <c r="V158" s="225" t="e">
        <f aca="false">IF($A159="","",IF(AND(MONTH(A158)&gt;3,MONTH(A158)&lt;11),(T158+R158+G158)*Summary!$T$9/(1-Summary!$T$9),(T158+R158+G158)*Summary!$U$9/(1-Summary!$U$9)))</f>
        <v>#N/A</v>
      </c>
      <c r="W158" s="200" t="e">
        <f aca="false">IF($A159="","",(T158+R158+G158+V158))</f>
        <v>#N/A</v>
      </c>
      <c r="X158" s="200" t="e">
        <f aca="false">IF($A159="","",(U158+S158+H158+V158))</f>
        <v>#N/A</v>
      </c>
      <c r="Y158" s="202"/>
      <c r="Z158" s="185" t="e">
        <f aca="false">IF($A159="","",VLOOKUP($A158,Table,MATCH(Z$4,Curves,0)))</f>
        <v>#N/A</v>
      </c>
      <c r="AA158" s="185" t="e">
        <f aca="false">IF($A159="","",VLOOKUP($A158,Table,MATCH(AA$4,Curves,0)))</f>
        <v>#N/A</v>
      </c>
      <c r="AB158" s="185" t="e">
        <f aca="false">SQRT((AA158^2*(A158-$D$3)+Z158^2*(DAY(EOMONTH(A158,0))/2))/AK158)</f>
        <v>#N/A</v>
      </c>
      <c r="AC158" s="185" t="e">
        <f aca="false">IF($A159="","",VLOOKUP($A158,Table,MATCH(AC$4,Curves,0)))</f>
        <v>#N/A</v>
      </c>
      <c r="AD158" s="185" t="e">
        <f aca="false">IF($A159="","",VLOOKUP($A158,Table,MATCH(AD$4,Curves,0)))</f>
        <v>#N/A</v>
      </c>
      <c r="AE158" s="185" t="e">
        <f aca="false">SQRT((AD158^2*(A158-$D$3)+AC158^2*(DAY(EOMONTH(A158,0))/2))/AK158)</f>
        <v>#N/A</v>
      </c>
      <c r="AF158" s="224" t="e">
        <f aca="false">((Summary!$N$9*(AA158*AD158)*(A158-$D$3))+(Summary!$M$9*Z158*AC158*(AJ158-EOMONTH(EDATE(A158,-1),0))))/(AK158*AB158*AE158)</f>
        <v>#N/A</v>
      </c>
      <c r="AG158" s="207" t="n">
        <f aca="false">IF($A159="","",Summary!$Q$9)</f>
        <v>0</v>
      </c>
      <c r="AH158" s="207" t="n">
        <f aca="false">IF($A159="","",IF(Summary!$R$9="Y",VLOOKUP($A158,Summary!$AD$6:$AF$9,3)+'Escalating commodity'!E171,'Escalating commodity'!E171))</f>
        <v>0.0707</v>
      </c>
      <c r="AI158" s="207" t="n">
        <f aca="false">IF($A159="","",AH158)</f>
        <v>0.0707</v>
      </c>
      <c r="AJ158" s="208" t="n">
        <f aca="false">A158+DAY(EOMONTH(A158,0))/2-1</f>
        <v>41562.5</v>
      </c>
      <c r="AK158" s="209" t="n">
        <f aca="false">IF($A159="","",$A158-$E$1)</f>
        <v>-4378</v>
      </c>
      <c r="AL158" s="182" t="e">
        <f aca="false">IF($A159="","",SPRDOPT(P158,X158,AI158,0,AB158,AE158,AF158,AK158,$AJ$2,0))</f>
        <v>#NAME?</v>
      </c>
      <c r="AM158" s="211" t="e">
        <f aca="false">IF($A159="","",MAX(0,O158-W158-AI158))</f>
        <v>#N/A</v>
      </c>
      <c r="AN158" s="211" t="e">
        <f aca="false">IF($A159="","",AL158-AM158)</f>
        <v>#N/A</v>
      </c>
      <c r="AO158" s="137" t="n">
        <f aca="false">IF(A159="","",A159-A158)</f>
        <v>31</v>
      </c>
      <c r="AP158" s="212" t="n">
        <f aca="false">IF(A159="","",CHOOSE(F$3,A159+24,A158))</f>
        <v>41548</v>
      </c>
      <c r="AQ158" s="209" t="n">
        <f aca="false">IF(A159="","",AP158-$E$1)</f>
        <v>-4378</v>
      </c>
      <c r="AR158" s="185" t="n">
        <f aca="false">'ANR OK vs ML7'!AR158</f>
        <v>0.1</v>
      </c>
      <c r="AS158" s="213" t="n">
        <f aca="false">IF(A159="","",1/(1+CHOOSE(F$3,(AR159+($I$3/10000))/2,(AR158+($I$3/10000))/2))^(2*AQ158/365.25))</f>
        <v>3.22079472520103</v>
      </c>
      <c r="AT158" s="137" t="n">
        <f aca="false">IF(A159="","",IF(AND(mthbeg&lt;=A158,mthend&gt;=A158),1,0))</f>
        <v>1</v>
      </c>
      <c r="AU158" s="137" t="n">
        <f aca="false">IF(A159="","",AO158*AT158)</f>
        <v>31</v>
      </c>
      <c r="AW158" s="195" t="e">
        <f aca="false">IF($A159="","",AL158*$E158)</f>
        <v>#NAME?</v>
      </c>
      <c r="AX158" s="195" t="e">
        <f aca="false">IF($A159="","",AM158*$E158)</f>
        <v>#N/A</v>
      </c>
      <c r="AY158" s="195" t="e">
        <f aca="false">IF($A159="","",AN158*$E158)</f>
        <v>#N/A</v>
      </c>
      <c r="BA158" s="195" t="n">
        <f aca="false">IF($A159="","",F158*Summary!$Q$9)</f>
        <v>0</v>
      </c>
      <c r="BC158" s="179" t="e">
        <f aca="false">IF(A159="","",AM158*F158)</f>
        <v>#N/A</v>
      </c>
    </row>
    <row r="159" customFormat="false" ht="12.75" hidden="false" customHeight="false" outlineLevel="0" collapsed="false">
      <c r="A159" s="196" t="n">
        <f aca="false">IF(A158&lt;mthend,EDATE(A158,1),"")</f>
        <v>41579</v>
      </c>
      <c r="B159" s="197" t="n">
        <f aca="false">IF(A159&lt;mthend,B158,"")</f>
        <v>36050</v>
      </c>
      <c r="C159" s="215"/>
      <c r="D159" s="197" t="n">
        <f aca="false">IF(A160&lt;&gt;"",B159+C159,"")</f>
        <v>36050</v>
      </c>
      <c r="E159" s="199" t="n">
        <f aca="false">IF(A160="","",IF(AND(AT159=1,$H$3=1),D159*AO159,IF($H$3=2,D159,"N/A")))</f>
        <v>1081500</v>
      </c>
      <c r="F159" s="199" t="n">
        <f aca="false">IF(A160="","",E159*AS159)</f>
        <v>3454560.1222805</v>
      </c>
      <c r="G159" s="200" t="e">
        <f aca="false">IF($A160="","",VLOOKUP($A159,Table,MATCH(G$4,Curves,0)))</f>
        <v>#N/A</v>
      </c>
      <c r="H159" s="201" t="e">
        <f aca="false">IF(A160="","",G159)</f>
        <v>#N/A</v>
      </c>
      <c r="I159" s="202"/>
      <c r="J159" s="200" t="e">
        <f aca="false">IF($A160="","",VLOOKUP($A159,Table,MATCH(J$4,Curves,0)))</f>
        <v>#N/A</v>
      </c>
      <c r="K159" s="201" t="e">
        <f aca="false">IF(A160="","",J159)</f>
        <v>#N/A</v>
      </c>
      <c r="L159" s="200" t="e">
        <f aca="false">IF($A160="","",VLOOKUP($A159,Table,MATCH(L$4,Curves,0)))</f>
        <v>#N/A</v>
      </c>
      <c r="M159" s="201" t="e">
        <f aca="false">IF(A160="","",L159)</f>
        <v>#N/A</v>
      </c>
      <c r="N159" s="203"/>
      <c r="O159" s="200" t="e">
        <f aca="false">IF(A160="","",L159+J159+G159)</f>
        <v>#N/A</v>
      </c>
      <c r="P159" s="200" t="e">
        <f aca="false">IF(A160="","",M159+K159+H159)</f>
        <v>#N/A</v>
      </c>
      <c r="Q159" s="204"/>
      <c r="R159" s="200" t="e">
        <f aca="false">IF($A160="","",VLOOKUP($A159,Table,MATCH(R$4,Curves,0)))</f>
        <v>#N/A</v>
      </c>
      <c r="S159" s="201" t="e">
        <f aca="false">IF(A160="","",R159)</f>
        <v>#N/A</v>
      </c>
      <c r="T159" s="200" t="e">
        <f aca="false">IF($A160="","",VLOOKUP($A159,Table,MATCH(T$4,Curves,0)))</f>
        <v>#N/A</v>
      </c>
      <c r="U159" s="201" t="e">
        <f aca="false">IF(A160="","",T159)</f>
        <v>#N/A</v>
      </c>
      <c r="V159" s="225" t="e">
        <f aca="false">IF($A160="","",IF(AND(MONTH(A159)&gt;3,MONTH(A159)&lt;11),(T159+R159+G159)*Summary!$T$9/(1-Summary!$T$9),(T159+R159+G159)*Summary!$U$9/(1-Summary!$U$9)))</f>
        <v>#N/A</v>
      </c>
      <c r="W159" s="200" t="e">
        <f aca="false">IF($A160="","",(T159+R159+G159+V159))</f>
        <v>#N/A</v>
      </c>
      <c r="X159" s="200" t="e">
        <f aca="false">IF($A160="","",(U159+S159+H159+V159))</f>
        <v>#N/A</v>
      </c>
      <c r="Y159" s="202"/>
      <c r="Z159" s="185" t="e">
        <f aca="false">IF($A160="","",VLOOKUP($A159,Table,MATCH(Z$4,Curves,0)))</f>
        <v>#N/A</v>
      </c>
      <c r="AA159" s="185" t="e">
        <f aca="false">IF($A160="","",VLOOKUP($A159,Table,MATCH(AA$4,Curves,0)))</f>
        <v>#N/A</v>
      </c>
      <c r="AB159" s="185" t="e">
        <f aca="false">SQRT((AA159^2*(A159-$D$3)+Z159^2*(DAY(EOMONTH(A159,0))/2))/AK159)</f>
        <v>#N/A</v>
      </c>
      <c r="AC159" s="185" t="e">
        <f aca="false">IF($A160="","",VLOOKUP($A159,Table,MATCH(AC$4,Curves,0)))</f>
        <v>#N/A</v>
      </c>
      <c r="AD159" s="185" t="e">
        <f aca="false">IF($A160="","",VLOOKUP($A159,Table,MATCH(AD$4,Curves,0)))</f>
        <v>#N/A</v>
      </c>
      <c r="AE159" s="185" t="e">
        <f aca="false">SQRT((AD159^2*(A159-$D$3)+AC159^2*(DAY(EOMONTH(A159,0))/2))/AK159)</f>
        <v>#N/A</v>
      </c>
      <c r="AF159" s="224" t="e">
        <f aca="false">((Summary!$N$9*(AA159*AD159)*(A159-$D$3))+(Summary!$M$9*Z159*AC159*(AJ159-EOMONTH(EDATE(A159,-1),0))))/(AK159*AB159*AE159)</f>
        <v>#N/A</v>
      </c>
      <c r="AG159" s="207" t="n">
        <f aca="false">IF($A160="","",Summary!$Q$9)</f>
        <v>0</v>
      </c>
      <c r="AH159" s="207" t="n">
        <f aca="false">IF($A160="","",IF(Summary!$R$9="Y",VLOOKUP($A159,Summary!$AD$6:$AF$9,3)+'Escalating commodity'!E172,'Escalating commodity'!E172))</f>
        <v>0.0707</v>
      </c>
      <c r="AI159" s="207" t="n">
        <f aca="false">IF($A160="","",AH159)</f>
        <v>0.0707</v>
      </c>
      <c r="AJ159" s="208" t="n">
        <f aca="false">A159+DAY(EOMONTH(A159,0))/2-1</f>
        <v>41593</v>
      </c>
      <c r="AK159" s="209" t="n">
        <f aca="false">IF($A160="","",$A159-$E$1)</f>
        <v>-4347</v>
      </c>
      <c r="AL159" s="182" t="e">
        <f aca="false">IF($A160="","",SPRDOPT(P159,X159,AI159,0,AB159,AE159,AF159,AK159,$AJ$2,0))</f>
        <v>#NAME?</v>
      </c>
      <c r="AM159" s="211" t="e">
        <f aca="false">IF($A160="","",MAX(0,O159-W159-AI159))</f>
        <v>#N/A</v>
      </c>
      <c r="AN159" s="211" t="e">
        <f aca="false">IF($A160="","",AL159-AM159)</f>
        <v>#N/A</v>
      </c>
      <c r="AO159" s="137" t="n">
        <f aca="false">IF(A160="","",A160-A159)</f>
        <v>30</v>
      </c>
      <c r="AP159" s="212" t="n">
        <f aca="false">IF(A160="","",CHOOSE(F$3,A160+24,A159))</f>
        <v>41579</v>
      </c>
      <c r="AQ159" s="209" t="n">
        <f aca="false">IF(A160="","",AP159-$E$1)</f>
        <v>-4347</v>
      </c>
      <c r="AR159" s="185" t="n">
        <f aca="false">'ANR OK vs ML7'!AR159</f>
        <v>0.1</v>
      </c>
      <c r="AS159" s="213" t="n">
        <f aca="false">IF(A160="","",1/(1+CHOOSE(F$3,(AR160+($I$3/10000))/2,(AR159+($I$3/10000))/2))^(2*AQ159/365.25))</f>
        <v>3.19423034884928</v>
      </c>
      <c r="AT159" s="137" t="n">
        <f aca="false">IF(A160="","",IF(AND(mthbeg&lt;=A159,mthend&gt;=A159),1,0))</f>
        <v>1</v>
      </c>
      <c r="AU159" s="137" t="n">
        <f aca="false">IF(A160="","",AO159*AT159)</f>
        <v>30</v>
      </c>
      <c r="AW159" s="195" t="e">
        <f aca="false">IF($A160="","",AL159*$E159)</f>
        <v>#NAME?</v>
      </c>
      <c r="AX159" s="195" t="e">
        <f aca="false">IF($A160="","",AM159*$E159)</f>
        <v>#N/A</v>
      </c>
      <c r="AY159" s="195" t="e">
        <f aca="false">IF($A160="","",AN159*$E159)</f>
        <v>#N/A</v>
      </c>
      <c r="BA159" s="195" t="n">
        <f aca="false">IF($A160="","",F159*Summary!$Q$9)</f>
        <v>0</v>
      </c>
      <c r="BC159" s="179" t="e">
        <f aca="false">IF(A160="","",AM159*F159)</f>
        <v>#N/A</v>
      </c>
    </row>
    <row r="160" customFormat="false" ht="12.75" hidden="false" customHeight="false" outlineLevel="0" collapsed="false">
      <c r="A160" s="196" t="n">
        <f aca="false">IF(A159&lt;mthend,EDATE(A159,1),"")</f>
        <v>41609</v>
      </c>
      <c r="B160" s="197" t="n">
        <f aca="false">IF(A160&lt;mthend,B159,"")</f>
        <v>36050</v>
      </c>
      <c r="C160" s="215"/>
      <c r="D160" s="197" t="n">
        <f aca="false">IF(A161&lt;&gt;"",B160+C160,"")</f>
        <v>36050</v>
      </c>
      <c r="E160" s="199" t="n">
        <f aca="false">IF(A161="","",IF(AND(AT160=1,$H$3=1),D160*AO160,IF($H$3=2,D160,"N/A")))</f>
        <v>1117550</v>
      </c>
      <c r="F160" s="199" t="n">
        <f aca="false">IF(A161="","",E160*AS160)</f>
        <v>3541215.90550551</v>
      </c>
      <c r="G160" s="200" t="e">
        <f aca="false">IF($A161="","",VLOOKUP($A160,Table,MATCH(G$4,Curves,0)))</f>
        <v>#N/A</v>
      </c>
      <c r="H160" s="201" t="e">
        <f aca="false">IF(A161="","",G160)</f>
        <v>#N/A</v>
      </c>
      <c r="I160" s="202"/>
      <c r="J160" s="200" t="e">
        <f aca="false">IF($A161="","",VLOOKUP($A160,Table,MATCH(J$4,Curves,0)))</f>
        <v>#N/A</v>
      </c>
      <c r="K160" s="201" t="e">
        <f aca="false">IF(A161="","",J160)</f>
        <v>#N/A</v>
      </c>
      <c r="L160" s="200" t="e">
        <f aca="false">IF($A161="","",VLOOKUP($A160,Table,MATCH(L$4,Curves,0)))</f>
        <v>#N/A</v>
      </c>
      <c r="M160" s="201" t="e">
        <f aca="false">IF(A161="","",L160)</f>
        <v>#N/A</v>
      </c>
      <c r="N160" s="203"/>
      <c r="O160" s="200" t="e">
        <f aca="false">IF(A161="","",L160+J160+G160)</f>
        <v>#N/A</v>
      </c>
      <c r="P160" s="200" t="e">
        <f aca="false">IF(A161="","",M160+K160+H160)</f>
        <v>#N/A</v>
      </c>
      <c r="Q160" s="204"/>
      <c r="R160" s="200" t="e">
        <f aca="false">IF($A161="","",VLOOKUP($A160,Table,MATCH(R$4,Curves,0)))</f>
        <v>#N/A</v>
      </c>
      <c r="S160" s="201" t="e">
        <f aca="false">IF(A161="","",R160)</f>
        <v>#N/A</v>
      </c>
      <c r="T160" s="200" t="e">
        <f aca="false">IF($A161="","",VLOOKUP($A160,Table,MATCH(T$4,Curves,0)))</f>
        <v>#N/A</v>
      </c>
      <c r="U160" s="201" t="e">
        <f aca="false">IF(A161="","",T160)</f>
        <v>#N/A</v>
      </c>
      <c r="V160" s="225" t="e">
        <f aca="false">IF($A161="","",IF(AND(MONTH(A160)&gt;3,MONTH(A160)&lt;11),(T160+R160+G160)*Summary!$T$9/(1-Summary!$T$9),(T160+R160+G160)*Summary!$U$9/(1-Summary!$U$9)))</f>
        <v>#N/A</v>
      </c>
      <c r="W160" s="200" t="e">
        <f aca="false">IF($A161="","",(T160+R160+G160+V160))</f>
        <v>#N/A</v>
      </c>
      <c r="X160" s="200" t="e">
        <f aca="false">IF($A161="","",(U160+S160+H160+V160))</f>
        <v>#N/A</v>
      </c>
      <c r="Y160" s="202"/>
      <c r="Z160" s="185" t="e">
        <f aca="false">IF($A161="","",VLOOKUP($A160,Table,MATCH(Z$4,Curves,0)))</f>
        <v>#N/A</v>
      </c>
      <c r="AA160" s="185" t="e">
        <f aca="false">IF($A161="","",VLOOKUP($A160,Table,MATCH(AA$4,Curves,0)))</f>
        <v>#N/A</v>
      </c>
      <c r="AB160" s="185" t="e">
        <f aca="false">SQRT((AA160^2*(A160-$D$3)+Z160^2*(DAY(EOMONTH(A160,0))/2))/AK160)</f>
        <v>#N/A</v>
      </c>
      <c r="AC160" s="185" t="e">
        <f aca="false">IF($A161="","",VLOOKUP($A160,Table,MATCH(AC$4,Curves,0)))</f>
        <v>#N/A</v>
      </c>
      <c r="AD160" s="185" t="e">
        <f aca="false">IF($A161="","",VLOOKUP($A160,Table,MATCH(AD$4,Curves,0)))</f>
        <v>#N/A</v>
      </c>
      <c r="AE160" s="185" t="e">
        <f aca="false">SQRT((AD160^2*(A160-$D$3)+AC160^2*(DAY(EOMONTH(A160,0))/2))/AK160)</f>
        <v>#N/A</v>
      </c>
      <c r="AF160" s="224" t="e">
        <f aca="false">((Summary!$N$9*(AA160*AD160)*(A160-$D$3))+(Summary!$M$9*Z160*AC160*(AJ160-EOMONTH(EDATE(A160,-1),0))))/(AK160*AB160*AE160)</f>
        <v>#N/A</v>
      </c>
      <c r="AG160" s="207" t="n">
        <f aca="false">IF($A161="","",Summary!$Q$9)</f>
        <v>0</v>
      </c>
      <c r="AH160" s="207" t="n">
        <f aca="false">IF($A161="","",IF(Summary!$R$9="Y",VLOOKUP($A160,Summary!$AD$6:$AF$9,3)+'Escalating commodity'!E173,'Escalating commodity'!E173))</f>
        <v>0.0707</v>
      </c>
      <c r="AI160" s="207" t="n">
        <f aca="false">IF($A161="","",AH160)</f>
        <v>0.0707</v>
      </c>
      <c r="AJ160" s="208" t="n">
        <f aca="false">A160+DAY(EOMONTH(A160,0))/2-1</f>
        <v>41623.5</v>
      </c>
      <c r="AK160" s="209" t="n">
        <f aca="false">IF($A161="","",$A160-$E$1)</f>
        <v>-4317</v>
      </c>
      <c r="AL160" s="182" t="e">
        <f aca="false">IF($A161="","",SPRDOPT(P160,X160,AI160,0,AB160,AE160,AF160,AK160,$AJ$2,0))</f>
        <v>#NAME?</v>
      </c>
      <c r="AM160" s="211" t="e">
        <f aca="false">IF($A161="","",MAX(0,O160-W160-AI160))</f>
        <v>#N/A</v>
      </c>
      <c r="AN160" s="211" t="e">
        <f aca="false">IF($A161="","",AL160-AM160)</f>
        <v>#N/A</v>
      </c>
      <c r="AO160" s="137" t="n">
        <f aca="false">IF(A161="","",A161-A160)</f>
        <v>31</v>
      </c>
      <c r="AP160" s="212" t="n">
        <f aca="false">IF(A161="","",CHOOSE(F$3,A161+24,A160))</f>
        <v>41609</v>
      </c>
      <c r="AQ160" s="209" t="n">
        <f aca="false">IF(A161="","",AP160-$E$1)</f>
        <v>-4317</v>
      </c>
      <c r="AR160" s="185" t="n">
        <f aca="false">'ANR OK vs ML7'!AR160</f>
        <v>0.1</v>
      </c>
      <c r="AS160" s="213" t="n">
        <f aca="false">IF(A161="","",1/(1+CHOOSE(F$3,(AR161+($I$3/10000))/2,(AR160+($I$3/10000))/2))^(2*AQ160/365.25))</f>
        <v>3.16873151582077</v>
      </c>
      <c r="AT160" s="137" t="n">
        <f aca="false">IF(A161="","",IF(AND(mthbeg&lt;=A160,mthend&gt;=A160),1,0))</f>
        <v>1</v>
      </c>
      <c r="AU160" s="137" t="n">
        <f aca="false">IF(A161="","",AO160*AT160)</f>
        <v>31</v>
      </c>
      <c r="AW160" s="195" t="e">
        <f aca="false">IF($A161="","",AL160*$E160)</f>
        <v>#NAME?</v>
      </c>
      <c r="AX160" s="195" t="e">
        <f aca="false">IF($A161="","",AM160*$E160)</f>
        <v>#N/A</v>
      </c>
      <c r="AY160" s="195" t="e">
        <f aca="false">IF($A161="","",AN160*$E160)</f>
        <v>#N/A</v>
      </c>
      <c r="BA160" s="195" t="n">
        <f aca="false">IF($A161="","",F160*Summary!$Q$9)</f>
        <v>0</v>
      </c>
      <c r="BC160" s="179" t="e">
        <f aca="false">IF(A161="","",AM160*F160)</f>
        <v>#N/A</v>
      </c>
    </row>
    <row r="161" customFormat="false" ht="12.75" hidden="false" customHeight="false" outlineLevel="0" collapsed="false">
      <c r="A161" s="196" t="n">
        <f aca="false">IF(A160&lt;mthend,EDATE(A160,1),"")</f>
        <v>41640</v>
      </c>
      <c r="B161" s="197" t="n">
        <f aca="false">IF(A161&lt;mthend,B160,"")</f>
        <v>36050</v>
      </c>
      <c r="C161" s="215"/>
      <c r="D161" s="197" t="n">
        <f aca="false">IF(A162&lt;&gt;"",B161+C161,"")</f>
        <v>36050</v>
      </c>
      <c r="E161" s="199" t="n">
        <f aca="false">IF(A162="","",IF(AND(AT161=1,$H$3=1),D161*AO161,IF($H$3=2,D161,"N/A")))</f>
        <v>1117550</v>
      </c>
      <c r="F161" s="199" t="n">
        <f aca="false">IF(A162="","",E161*AS161)</f>
        <v>3512008.76873252</v>
      </c>
      <c r="G161" s="200" t="e">
        <f aca="false">IF($A162="","",VLOOKUP($A161,Table,MATCH(G$4,Curves,0)))</f>
        <v>#N/A</v>
      </c>
      <c r="H161" s="201" t="e">
        <f aca="false">IF(A162="","",G161)</f>
        <v>#N/A</v>
      </c>
      <c r="I161" s="202"/>
      <c r="J161" s="200" t="e">
        <f aca="false">IF($A162="","",VLOOKUP($A161,Table,MATCH(J$4,Curves,0)))</f>
        <v>#N/A</v>
      </c>
      <c r="K161" s="201" t="e">
        <f aca="false">IF(A162="","",J161)</f>
        <v>#N/A</v>
      </c>
      <c r="L161" s="200" t="e">
        <f aca="false">IF($A162="","",VLOOKUP($A161,Table,MATCH(L$4,Curves,0)))</f>
        <v>#N/A</v>
      </c>
      <c r="M161" s="201" t="e">
        <f aca="false">IF(A162="","",L161)</f>
        <v>#N/A</v>
      </c>
      <c r="N161" s="203"/>
      <c r="O161" s="200" t="e">
        <f aca="false">IF(A162="","",L161+J161+G161)</f>
        <v>#N/A</v>
      </c>
      <c r="P161" s="200" t="e">
        <f aca="false">IF(A162="","",M161+K161+H161)</f>
        <v>#N/A</v>
      </c>
      <c r="Q161" s="204"/>
      <c r="R161" s="200" t="e">
        <f aca="false">IF($A162="","",VLOOKUP($A161,Table,MATCH(R$4,Curves,0)))</f>
        <v>#N/A</v>
      </c>
      <c r="S161" s="201" t="e">
        <f aca="false">IF(A162="","",R161)</f>
        <v>#N/A</v>
      </c>
      <c r="T161" s="200" t="e">
        <f aca="false">IF($A162="","",VLOOKUP($A161,Table,MATCH(T$4,Curves,0)))</f>
        <v>#N/A</v>
      </c>
      <c r="U161" s="201" t="e">
        <f aca="false">IF(A162="","",T161)</f>
        <v>#N/A</v>
      </c>
      <c r="V161" s="225" t="e">
        <f aca="false">IF($A162="","",IF(AND(MONTH(A161)&gt;3,MONTH(A161)&lt;11),(T161+R161+G161)*Summary!$T$9/(1-Summary!$T$9),(T161+R161+G161)*Summary!$U$9/(1-Summary!$U$9)))</f>
        <v>#N/A</v>
      </c>
      <c r="W161" s="200" t="e">
        <f aca="false">IF($A162="","",(T161+R161+G161+V161))</f>
        <v>#N/A</v>
      </c>
      <c r="X161" s="200" t="e">
        <f aca="false">IF($A162="","",(U161+S161+H161+V161))</f>
        <v>#N/A</v>
      </c>
      <c r="Y161" s="202"/>
      <c r="Z161" s="185" t="e">
        <f aca="false">IF($A162="","",VLOOKUP($A161,Table,MATCH(Z$4,Curves,0)))</f>
        <v>#N/A</v>
      </c>
      <c r="AA161" s="185" t="e">
        <f aca="false">IF($A162="","",VLOOKUP($A161,Table,MATCH(AA$4,Curves,0)))</f>
        <v>#N/A</v>
      </c>
      <c r="AB161" s="185" t="e">
        <f aca="false">SQRT((AA161^2*(A161-$D$3)+Z161^2*(DAY(EOMONTH(A161,0))/2))/AK161)</f>
        <v>#N/A</v>
      </c>
      <c r="AC161" s="185" t="e">
        <f aca="false">IF($A162="","",VLOOKUP($A161,Table,MATCH(AC$4,Curves,0)))</f>
        <v>#N/A</v>
      </c>
      <c r="AD161" s="185" t="e">
        <f aca="false">IF($A162="","",VLOOKUP($A161,Table,MATCH(AD$4,Curves,0)))</f>
        <v>#N/A</v>
      </c>
      <c r="AE161" s="185" t="e">
        <f aca="false">SQRT((AD161^2*(A161-$D$3)+AC161^2*(DAY(EOMONTH(A161,0))/2))/AK161)</f>
        <v>#N/A</v>
      </c>
      <c r="AF161" s="224" t="e">
        <f aca="false">((Summary!$N$9*(AA161*AD161)*(A161-$D$3))+(Summary!$M$9*Z161*AC161*(AJ161-EOMONTH(EDATE(A161,-1),0))))/(AK161*AB161*AE161)</f>
        <v>#N/A</v>
      </c>
      <c r="AG161" s="207" t="n">
        <f aca="false">IF($A162="","",Summary!$Q$9)</f>
        <v>0</v>
      </c>
      <c r="AH161" s="207" t="n">
        <f aca="false">IF($A162="","",IF(Summary!$R$9="Y",VLOOKUP($A161,Summary!$AD$6:$AF$9,3)+'Escalating commodity'!E174,'Escalating commodity'!E174))</f>
        <v>0.0707</v>
      </c>
      <c r="AI161" s="207" t="n">
        <f aca="false">IF($A162="","",AH161)</f>
        <v>0.0707</v>
      </c>
      <c r="AJ161" s="208" t="n">
        <f aca="false">A161+DAY(EOMONTH(A161,0))/2-1</f>
        <v>41654.5</v>
      </c>
      <c r="AK161" s="209" t="n">
        <f aca="false">IF($A162="","",$A161-$E$1)</f>
        <v>-4286</v>
      </c>
      <c r="AL161" s="182" t="e">
        <f aca="false">IF($A162="","",SPRDOPT(P161,X161,AI161,0,AB161,AE161,AF161,AK161,$AJ$2,0))</f>
        <v>#NAME?</v>
      </c>
      <c r="AM161" s="211" t="e">
        <f aca="false">IF($A162="","",MAX(0,O161-W161-AI161))</f>
        <v>#N/A</v>
      </c>
      <c r="AN161" s="211" t="e">
        <f aca="false">IF($A162="","",AL161-AM161)</f>
        <v>#N/A</v>
      </c>
      <c r="AO161" s="137" t="n">
        <f aca="false">IF(A162="","",A162-A161)</f>
        <v>31</v>
      </c>
      <c r="AP161" s="212" t="n">
        <f aca="false">IF(A162="","",CHOOSE(F$3,A162+24,A161))</f>
        <v>41640</v>
      </c>
      <c r="AQ161" s="209" t="n">
        <f aca="false">IF(A162="","",AP161-$E$1)</f>
        <v>-4286</v>
      </c>
      <c r="AR161" s="185" t="n">
        <f aca="false">'ANR OK vs ML7'!AR161</f>
        <v>0.1</v>
      </c>
      <c r="AS161" s="213" t="n">
        <f aca="false">IF(A162="","",1/(1+CHOOSE(F$3,(AR162+($I$3/10000))/2,(AR161+($I$3/10000))/2))^(2*AQ161/365.25))</f>
        <v>3.14259654488168</v>
      </c>
      <c r="AT161" s="137" t="n">
        <f aca="false">IF(A162="","",IF(AND(mthbeg&lt;=A161,mthend&gt;=A161),1,0))</f>
        <v>1</v>
      </c>
      <c r="AU161" s="137" t="n">
        <f aca="false">IF(A162="","",AO161*AT161)</f>
        <v>31</v>
      </c>
      <c r="AW161" s="195" t="e">
        <f aca="false">IF($A162="","",AL161*$E161)</f>
        <v>#NAME?</v>
      </c>
      <c r="AX161" s="195" t="e">
        <f aca="false">IF($A162="","",AM161*$E161)</f>
        <v>#N/A</v>
      </c>
      <c r="AY161" s="195" t="e">
        <f aca="false">IF($A162="","",AN161*$E161)</f>
        <v>#N/A</v>
      </c>
      <c r="BA161" s="195" t="n">
        <f aca="false">IF($A162="","",F161*Summary!$Q$9)</f>
        <v>0</v>
      </c>
      <c r="BC161" s="179" t="e">
        <f aca="false">IF(A162="","",AM161*F161)</f>
        <v>#N/A</v>
      </c>
    </row>
    <row r="162" customFormat="false" ht="12.75" hidden="false" customHeight="false" outlineLevel="0" collapsed="false">
      <c r="A162" s="196" t="n">
        <f aca="false">IF(A161&lt;mthend,EDATE(A161,1),"")</f>
        <v>41671</v>
      </c>
      <c r="B162" s="197" t="n">
        <f aca="false">IF(A162&lt;mthend,B161,"")</f>
        <v>36050</v>
      </c>
      <c r="C162" s="215"/>
      <c r="D162" s="197" t="n">
        <f aca="false">IF(A163&lt;&gt;"",B162+C162,"")</f>
        <v>36050</v>
      </c>
      <c r="E162" s="199" t="n">
        <f aca="false">IF(A163="","",IF(AND(AT162=1,$H$3=1),D162*AO162,IF($H$3=2,D162,"N/A")))</f>
        <v>1009400</v>
      </c>
      <c r="F162" s="199" t="n">
        <f aca="false">IF(A163="","",E162*AS162)</f>
        <v>3145973.89420442</v>
      </c>
      <c r="G162" s="200" t="e">
        <f aca="false">IF($A163="","",VLOOKUP($A162,Table,MATCH(G$4,Curves,0)))</f>
        <v>#N/A</v>
      </c>
      <c r="H162" s="201" t="e">
        <f aca="false">IF(A163="","",G162)</f>
        <v>#N/A</v>
      </c>
      <c r="I162" s="202"/>
      <c r="J162" s="200" t="e">
        <f aca="false">IF($A163="","",VLOOKUP($A162,Table,MATCH(J$4,Curves,0)))</f>
        <v>#N/A</v>
      </c>
      <c r="K162" s="201" t="e">
        <f aca="false">IF(A163="","",J162)</f>
        <v>#N/A</v>
      </c>
      <c r="L162" s="200" t="e">
        <f aca="false">IF($A163="","",VLOOKUP($A162,Table,MATCH(L$4,Curves,0)))</f>
        <v>#N/A</v>
      </c>
      <c r="M162" s="201" t="e">
        <f aca="false">IF(A163="","",L162)</f>
        <v>#N/A</v>
      </c>
      <c r="N162" s="203"/>
      <c r="O162" s="200" t="e">
        <f aca="false">IF(A163="","",L162+J162+G162)</f>
        <v>#N/A</v>
      </c>
      <c r="P162" s="200" t="e">
        <f aca="false">IF(A163="","",M162+K162+H162)</f>
        <v>#N/A</v>
      </c>
      <c r="Q162" s="204"/>
      <c r="R162" s="200" t="e">
        <f aca="false">IF($A163="","",VLOOKUP($A162,Table,MATCH(R$4,Curves,0)))</f>
        <v>#N/A</v>
      </c>
      <c r="S162" s="201" t="e">
        <f aca="false">IF(A163="","",R162)</f>
        <v>#N/A</v>
      </c>
      <c r="T162" s="200" t="e">
        <f aca="false">IF($A163="","",VLOOKUP($A162,Table,MATCH(T$4,Curves,0)))</f>
        <v>#N/A</v>
      </c>
      <c r="U162" s="201" t="e">
        <f aca="false">IF(A163="","",T162)</f>
        <v>#N/A</v>
      </c>
      <c r="V162" s="225" t="e">
        <f aca="false">IF($A163="","",IF(AND(MONTH(A162)&gt;3,MONTH(A162)&lt;11),(T162+R162+G162)*Summary!$T$9/(1-Summary!$T$9),(T162+R162+G162)*Summary!$U$9/(1-Summary!$U$9)))</f>
        <v>#N/A</v>
      </c>
      <c r="W162" s="200" t="e">
        <f aca="false">IF($A163="","",(T162+R162+G162+V162))</f>
        <v>#N/A</v>
      </c>
      <c r="X162" s="200" t="e">
        <f aca="false">IF($A163="","",(U162+S162+H162+V162))</f>
        <v>#N/A</v>
      </c>
      <c r="Y162" s="202"/>
      <c r="Z162" s="185" t="e">
        <f aca="false">IF($A163="","",VLOOKUP($A162,Table,MATCH(Z$4,Curves,0)))</f>
        <v>#N/A</v>
      </c>
      <c r="AA162" s="185" t="e">
        <f aca="false">IF($A163="","",VLOOKUP($A162,Table,MATCH(AA$4,Curves,0)))</f>
        <v>#N/A</v>
      </c>
      <c r="AB162" s="185" t="e">
        <f aca="false">SQRT((AA162^2*(A162-$D$3)+Z162^2*(DAY(EOMONTH(A162,0))/2))/AK162)</f>
        <v>#N/A</v>
      </c>
      <c r="AC162" s="185" t="e">
        <f aca="false">IF($A163="","",VLOOKUP($A162,Table,MATCH(AC$4,Curves,0)))</f>
        <v>#N/A</v>
      </c>
      <c r="AD162" s="185" t="e">
        <f aca="false">IF($A163="","",VLOOKUP($A162,Table,MATCH(AD$4,Curves,0)))</f>
        <v>#N/A</v>
      </c>
      <c r="AE162" s="185" t="e">
        <f aca="false">SQRT((AD162^2*(A162-$D$3)+AC162^2*(DAY(EOMONTH(A162,0))/2))/AK162)</f>
        <v>#N/A</v>
      </c>
      <c r="AF162" s="224" t="e">
        <f aca="false">((Summary!$N$9*(AA162*AD162)*(A162-$D$3))+(Summary!$M$9*Z162*AC162*(AJ162-EOMONTH(EDATE(A162,-1),0))))/(AK162*AB162*AE162)</f>
        <v>#N/A</v>
      </c>
      <c r="AG162" s="207" t="n">
        <f aca="false">IF($A163="","",Summary!$Q$9)</f>
        <v>0</v>
      </c>
      <c r="AH162" s="207" t="n">
        <f aca="false">IF($A163="","",IF(Summary!$R$9="Y",VLOOKUP($A162,Summary!$AD$6:$AF$9,3)+'Escalating commodity'!E175,'Escalating commodity'!E175))</f>
        <v>0.0707</v>
      </c>
      <c r="AI162" s="207" t="n">
        <f aca="false">IF($A163="","",AH162)</f>
        <v>0.0707</v>
      </c>
      <c r="AJ162" s="208" t="n">
        <f aca="false">A162+DAY(EOMONTH(A162,0))/2-1</f>
        <v>41684</v>
      </c>
      <c r="AK162" s="209" t="n">
        <f aca="false">IF($A163="","",$A162-$E$1)</f>
        <v>-4255</v>
      </c>
      <c r="AL162" s="182" t="e">
        <f aca="false">IF($A163="","",SPRDOPT(P162,X162,AI162,0,AB162,AE162,AF162,AK162,$AJ$2,0))</f>
        <v>#NAME?</v>
      </c>
      <c r="AM162" s="211" t="e">
        <f aca="false">IF($A163="","",MAX(0,O162-W162-AI162))</f>
        <v>#N/A</v>
      </c>
      <c r="AN162" s="211" t="e">
        <f aca="false">IF($A163="","",AL162-AM162)</f>
        <v>#N/A</v>
      </c>
      <c r="AO162" s="137" t="n">
        <f aca="false">IF(A163="","",A163-A162)</f>
        <v>28</v>
      </c>
      <c r="AP162" s="212" t="n">
        <f aca="false">IF(A163="","",CHOOSE(F$3,A163+24,A162))</f>
        <v>41671</v>
      </c>
      <c r="AQ162" s="209" t="n">
        <f aca="false">IF(A163="","",AP162-$E$1)</f>
        <v>-4255</v>
      </c>
      <c r="AR162" s="185" t="n">
        <f aca="false">'ANR OK vs ML7'!AR162</f>
        <v>0.1</v>
      </c>
      <c r="AS162" s="213" t="n">
        <f aca="false">IF(A163="","",1/(1+CHOOSE(F$3,(AR163+($I$3/10000))/2,(AR162+($I$3/10000))/2))^(2*AQ162/365.25))</f>
        <v>3.11667712919003</v>
      </c>
      <c r="AT162" s="137" t="n">
        <f aca="false">IF(A163="","",IF(AND(mthbeg&lt;=A162,mthend&gt;=A162),1,0))</f>
        <v>1</v>
      </c>
      <c r="AU162" s="137" t="n">
        <f aca="false">IF(A163="","",AO162*AT162)</f>
        <v>28</v>
      </c>
      <c r="AW162" s="195" t="e">
        <f aca="false">IF($A163="","",AL162*$E162)</f>
        <v>#NAME?</v>
      </c>
      <c r="AX162" s="195" t="e">
        <f aca="false">IF($A163="","",AM162*$E162)</f>
        <v>#N/A</v>
      </c>
      <c r="AY162" s="195" t="e">
        <f aca="false">IF($A163="","",AN162*$E162)</f>
        <v>#N/A</v>
      </c>
      <c r="BA162" s="195" t="n">
        <f aca="false">IF($A163="","",F162*Summary!$Q$9)</f>
        <v>0</v>
      </c>
      <c r="BC162" s="179" t="e">
        <f aca="false">IF(A163="","",AM162*F162)</f>
        <v>#N/A</v>
      </c>
    </row>
    <row r="163" customFormat="false" ht="12.75" hidden="false" customHeight="false" outlineLevel="0" collapsed="false">
      <c r="A163" s="196" t="n">
        <f aca="false">IF(A162&lt;mthend,EDATE(A162,1),"")</f>
        <v>41699</v>
      </c>
      <c r="B163" s="197" t="n">
        <f aca="false">IF(A163&lt;mthend,B162,"")</f>
        <v>36050</v>
      </c>
      <c r="C163" s="215"/>
      <c r="D163" s="197" t="n">
        <f aca="false">IF(A164&lt;&gt;"",B163+C163,"")</f>
        <v>36050</v>
      </c>
      <c r="E163" s="199" t="n">
        <f aca="false">IF(A164="","",IF(AND(AT163=1,$H$3=1),D163*AO163,IF($H$3=2,D163,"N/A")))</f>
        <v>1117550</v>
      </c>
      <c r="F163" s="199" t="n">
        <f aca="false">IF(A164="","",E163*AS163)</f>
        <v>3457084.8678877</v>
      </c>
      <c r="G163" s="200" t="e">
        <f aca="false">IF($A164="","",VLOOKUP($A163,Table,MATCH(G$4,Curves,0)))</f>
        <v>#N/A</v>
      </c>
      <c r="H163" s="201" t="e">
        <f aca="false">IF(A164="","",G163)</f>
        <v>#N/A</v>
      </c>
      <c r="I163" s="202"/>
      <c r="J163" s="200" t="e">
        <f aca="false">IF($A164="","",VLOOKUP($A163,Table,MATCH(J$4,Curves,0)))</f>
        <v>#N/A</v>
      </c>
      <c r="K163" s="201" t="e">
        <f aca="false">IF(A164="","",J163)</f>
        <v>#N/A</v>
      </c>
      <c r="L163" s="200" t="e">
        <f aca="false">IF($A164="","",VLOOKUP($A163,Table,MATCH(L$4,Curves,0)))</f>
        <v>#N/A</v>
      </c>
      <c r="M163" s="201" t="e">
        <f aca="false">IF(A164="","",L163)</f>
        <v>#N/A</v>
      </c>
      <c r="N163" s="203"/>
      <c r="O163" s="200" t="e">
        <f aca="false">IF(A164="","",L163+J163+G163)</f>
        <v>#N/A</v>
      </c>
      <c r="P163" s="200" t="e">
        <f aca="false">IF(A164="","",M163+K163+H163)</f>
        <v>#N/A</v>
      </c>
      <c r="Q163" s="204"/>
      <c r="R163" s="200" t="e">
        <f aca="false">IF($A164="","",VLOOKUP($A163,Table,MATCH(R$4,Curves,0)))</f>
        <v>#N/A</v>
      </c>
      <c r="S163" s="201" t="e">
        <f aca="false">IF(A164="","",R163)</f>
        <v>#N/A</v>
      </c>
      <c r="T163" s="200" t="e">
        <f aca="false">IF($A164="","",VLOOKUP($A163,Table,MATCH(T$4,Curves,0)))</f>
        <v>#N/A</v>
      </c>
      <c r="U163" s="201" t="e">
        <f aca="false">IF(A164="","",T163)</f>
        <v>#N/A</v>
      </c>
      <c r="V163" s="225" t="e">
        <f aca="false">IF($A164="","",IF(AND(MONTH(A163)&gt;3,MONTH(A163)&lt;11),(T163+R163+G163)*Summary!$T$9/(1-Summary!$T$9),(T163+R163+G163)*Summary!$U$9/(1-Summary!$U$9)))</f>
        <v>#N/A</v>
      </c>
      <c r="W163" s="200" t="e">
        <f aca="false">IF($A164="","",(T163+R163+G163+V163))</f>
        <v>#N/A</v>
      </c>
      <c r="X163" s="200" t="e">
        <f aca="false">IF($A164="","",(U163+S163+H163+V163))</f>
        <v>#N/A</v>
      </c>
      <c r="Y163" s="202"/>
      <c r="Z163" s="185" t="e">
        <f aca="false">IF($A164="","",VLOOKUP($A163,Table,MATCH(Z$4,Curves,0)))</f>
        <v>#N/A</v>
      </c>
      <c r="AA163" s="185" t="e">
        <f aca="false">IF($A164="","",VLOOKUP($A163,Table,MATCH(AA$4,Curves,0)))</f>
        <v>#N/A</v>
      </c>
      <c r="AB163" s="185" t="e">
        <f aca="false">SQRT((AA163^2*(A163-$D$3)+Z163^2*(DAY(EOMONTH(A163,0))/2))/AK163)</f>
        <v>#N/A</v>
      </c>
      <c r="AC163" s="185" t="e">
        <f aca="false">IF($A164="","",VLOOKUP($A163,Table,MATCH(AC$4,Curves,0)))</f>
        <v>#N/A</v>
      </c>
      <c r="AD163" s="185" t="e">
        <f aca="false">IF($A164="","",VLOOKUP($A163,Table,MATCH(AD$4,Curves,0)))</f>
        <v>#N/A</v>
      </c>
      <c r="AE163" s="185" t="e">
        <f aca="false">SQRT((AD163^2*(A163-$D$3)+AC163^2*(DAY(EOMONTH(A163,0))/2))/AK163)</f>
        <v>#N/A</v>
      </c>
      <c r="AF163" s="224" t="e">
        <f aca="false">((Summary!$N$9*(AA163*AD163)*(A163-$D$3))+(Summary!$M$9*Z163*AC163*(AJ163-EOMONTH(EDATE(A163,-1),0))))/(AK163*AB163*AE163)</f>
        <v>#N/A</v>
      </c>
      <c r="AG163" s="207" t="n">
        <f aca="false">IF($A164="","",Summary!$Q$9)</f>
        <v>0</v>
      </c>
      <c r="AH163" s="207" t="n">
        <f aca="false">IF($A164="","",IF(Summary!$R$9="Y",VLOOKUP($A163,Summary!$AD$6:$AF$9,3)+'Escalating commodity'!E176,'Escalating commodity'!E176))</f>
        <v>0.0707</v>
      </c>
      <c r="AI163" s="207" t="n">
        <f aca="false">IF($A164="","",AH163)</f>
        <v>0.0707</v>
      </c>
      <c r="AJ163" s="208" t="n">
        <f aca="false">A163+DAY(EOMONTH(A163,0))/2-1</f>
        <v>41713.5</v>
      </c>
      <c r="AK163" s="209" t="n">
        <f aca="false">IF($A164="","",$A163-$E$1)</f>
        <v>-4227</v>
      </c>
      <c r="AL163" s="182" t="e">
        <f aca="false">IF($A164="","",SPRDOPT(P163,X163,AI163,0,AB163,AE163,AF163,AK163,$AJ$2,0))</f>
        <v>#NAME?</v>
      </c>
      <c r="AM163" s="211" t="e">
        <f aca="false">IF($A164="","",MAX(0,O163-W163-AI163))</f>
        <v>#N/A</v>
      </c>
      <c r="AN163" s="211" t="e">
        <f aca="false">IF($A164="","",AL163-AM163)</f>
        <v>#N/A</v>
      </c>
      <c r="AO163" s="137" t="n">
        <f aca="false">IF(A164="","",A164-A163)</f>
        <v>31</v>
      </c>
      <c r="AP163" s="212" t="n">
        <f aca="false">IF(A164="","",CHOOSE(F$3,A164+24,A163))</f>
        <v>41699</v>
      </c>
      <c r="AQ163" s="209" t="n">
        <f aca="false">IF(A164="","",AP163-$E$1)</f>
        <v>-4227</v>
      </c>
      <c r="AR163" s="185" t="n">
        <f aca="false">'ANR OK vs ML7'!AR163</f>
        <v>0.1</v>
      </c>
      <c r="AS163" s="213" t="n">
        <f aca="false">IF(A164="","",1/(1+CHOOSE(F$3,(AR164+($I$3/10000))/2,(AR163+($I$3/10000))/2))^(2*AQ163/365.25))</f>
        <v>3.0934498392803</v>
      </c>
      <c r="AT163" s="137" t="n">
        <f aca="false">IF(A164="","",IF(AND(mthbeg&lt;=A163,mthend&gt;=A163),1,0))</f>
        <v>1</v>
      </c>
      <c r="AU163" s="137" t="n">
        <f aca="false">IF(A164="","",AO163*AT163)</f>
        <v>31</v>
      </c>
      <c r="AW163" s="195" t="e">
        <f aca="false">IF($A164="","",AL163*$E163)</f>
        <v>#NAME?</v>
      </c>
      <c r="AX163" s="195" t="e">
        <f aca="false">IF($A164="","",AM163*$E163)</f>
        <v>#N/A</v>
      </c>
      <c r="AY163" s="195" t="e">
        <f aca="false">IF($A164="","",AN163*$E163)</f>
        <v>#N/A</v>
      </c>
      <c r="BA163" s="195" t="n">
        <f aca="false">IF($A164="","",F163*Summary!$Q$9)</f>
        <v>0</v>
      </c>
      <c r="BC163" s="179" t="e">
        <f aca="false">IF(A164="","",AM163*F163)</f>
        <v>#N/A</v>
      </c>
    </row>
    <row r="164" customFormat="false" ht="12.75" hidden="false" customHeight="false" outlineLevel="0" collapsed="false">
      <c r="A164" s="196" t="n">
        <f aca="false">IF(A163&lt;mthend,EDATE(A163,1),"")</f>
        <v>41730</v>
      </c>
      <c r="B164" s="197" t="n">
        <f aca="false">IF(A164&lt;mthend,B163,"")</f>
        <v>36050</v>
      </c>
      <c r="C164" s="215"/>
      <c r="D164" s="197" t="n">
        <f aca="false">IF(A165&lt;&gt;"",B164+C164,"")</f>
        <v>36050</v>
      </c>
      <c r="E164" s="199" t="n">
        <f aca="false">IF(A165="","",IF(AND(AT164=1,$H$3=1),D164*AO164,IF($H$3=2,D164,"N/A")))</f>
        <v>1081500</v>
      </c>
      <c r="F164" s="199" t="n">
        <f aca="false">IF(A165="","",E164*AS164)</f>
        <v>3317972.53995618</v>
      </c>
      <c r="G164" s="200" t="e">
        <f aca="false">IF($A165="","",VLOOKUP($A164,Table,MATCH(G$4,Curves,0)))</f>
        <v>#N/A</v>
      </c>
      <c r="H164" s="201" t="e">
        <f aca="false">IF(A165="","",G164)</f>
        <v>#N/A</v>
      </c>
      <c r="I164" s="202"/>
      <c r="J164" s="200" t="e">
        <f aca="false">IF($A165="","",VLOOKUP($A164,Table,MATCH(J$4,Curves,0)))</f>
        <v>#N/A</v>
      </c>
      <c r="K164" s="201" t="e">
        <f aca="false">IF(A165="","",J164)</f>
        <v>#N/A</v>
      </c>
      <c r="L164" s="200" t="e">
        <f aca="false">IF($A165="","",VLOOKUP($A164,Table,MATCH(L$4,Curves,0)))</f>
        <v>#N/A</v>
      </c>
      <c r="M164" s="201" t="e">
        <f aca="false">IF(A165="","",L164)</f>
        <v>#N/A</v>
      </c>
      <c r="N164" s="203"/>
      <c r="O164" s="200" t="e">
        <f aca="false">IF(A165="","",L164+J164+G164)</f>
        <v>#N/A</v>
      </c>
      <c r="P164" s="200" t="e">
        <f aca="false">IF(A165="","",M164+K164+H164)</f>
        <v>#N/A</v>
      </c>
      <c r="Q164" s="204"/>
      <c r="R164" s="200" t="e">
        <f aca="false">IF($A165="","",VLOOKUP($A164,Table,MATCH(R$4,Curves,0)))</f>
        <v>#N/A</v>
      </c>
      <c r="S164" s="201" t="e">
        <f aca="false">IF(A165="","",R164)</f>
        <v>#N/A</v>
      </c>
      <c r="T164" s="200" t="e">
        <f aca="false">IF($A165="","",VLOOKUP($A164,Table,MATCH(T$4,Curves,0)))</f>
        <v>#N/A</v>
      </c>
      <c r="U164" s="201" t="e">
        <f aca="false">IF(A165="","",T164)</f>
        <v>#N/A</v>
      </c>
      <c r="V164" s="225" t="e">
        <f aca="false">IF($A165="","",IF(AND(MONTH(A164)&gt;3,MONTH(A164)&lt;11),(T164+R164+G164)*Summary!$T$9/(1-Summary!$T$9),(T164+R164+G164)*Summary!$U$9/(1-Summary!$U$9)))</f>
        <v>#N/A</v>
      </c>
      <c r="W164" s="200" t="e">
        <f aca="false">IF($A165="","",(T164+R164+G164+V164))</f>
        <v>#N/A</v>
      </c>
      <c r="X164" s="200" t="e">
        <f aca="false">IF($A165="","",(U164+S164+H164+V164))</f>
        <v>#N/A</v>
      </c>
      <c r="Y164" s="202"/>
      <c r="Z164" s="185" t="e">
        <f aca="false">IF($A165="","",VLOOKUP($A164,Table,MATCH(Z$4,Curves,0)))</f>
        <v>#N/A</v>
      </c>
      <c r="AA164" s="185" t="e">
        <f aca="false">IF($A165="","",VLOOKUP($A164,Table,MATCH(AA$4,Curves,0)))</f>
        <v>#N/A</v>
      </c>
      <c r="AB164" s="185" t="e">
        <f aca="false">SQRT((AA164^2*(A164-$D$3)+Z164^2*(DAY(EOMONTH(A164,0))/2))/AK164)</f>
        <v>#N/A</v>
      </c>
      <c r="AC164" s="185" t="e">
        <f aca="false">IF($A165="","",VLOOKUP($A164,Table,MATCH(AC$4,Curves,0)))</f>
        <v>#N/A</v>
      </c>
      <c r="AD164" s="185" t="e">
        <f aca="false">IF($A165="","",VLOOKUP($A164,Table,MATCH(AD$4,Curves,0)))</f>
        <v>#N/A</v>
      </c>
      <c r="AE164" s="185" t="e">
        <f aca="false">SQRT((AD164^2*(A164-$D$3)+AC164^2*(DAY(EOMONTH(A164,0))/2))/AK164)</f>
        <v>#N/A</v>
      </c>
      <c r="AF164" s="224" t="e">
        <f aca="false">((Summary!$N$9*(AA164*AD164)*(A164-$D$3))+(Summary!$M$9*Z164*AC164*(AJ164-EOMONTH(EDATE(A164,-1),0))))/(AK164*AB164*AE164)</f>
        <v>#N/A</v>
      </c>
      <c r="AG164" s="207" t="n">
        <f aca="false">IF($A165="","",Summary!$Q$9)</f>
        <v>0</v>
      </c>
      <c r="AH164" s="207" t="n">
        <f aca="false">IF($A165="","",IF(Summary!$R$9="Y",VLOOKUP($A164,Summary!$AD$6:$AF$9,3)+'Escalating commodity'!E177,'Escalating commodity'!E177))</f>
        <v>0.0707</v>
      </c>
      <c r="AI164" s="207" t="n">
        <f aca="false">IF($A165="","",AH164)</f>
        <v>0.0707</v>
      </c>
      <c r="AJ164" s="208" t="n">
        <f aca="false">A164+DAY(EOMONTH(A164,0))/2-1</f>
        <v>41744</v>
      </c>
      <c r="AK164" s="209" t="n">
        <f aca="false">IF($A165="","",$A164-$E$1)</f>
        <v>-4196</v>
      </c>
      <c r="AL164" s="182" t="e">
        <f aca="false">IF($A165="","",SPRDOPT(P164,X164,AI164,0,AB164,AE164,AF164,AK164,$AJ$2,0))</f>
        <v>#NAME?</v>
      </c>
      <c r="AM164" s="211" t="e">
        <f aca="false">IF($A165="","",MAX(0,O164-W164-AI164))</f>
        <v>#N/A</v>
      </c>
      <c r="AN164" s="211" t="e">
        <f aca="false">IF($A165="","",AL164-AM164)</f>
        <v>#N/A</v>
      </c>
      <c r="AO164" s="137" t="n">
        <f aca="false">IF(A165="","",A165-A164)</f>
        <v>30</v>
      </c>
      <c r="AP164" s="212" t="n">
        <f aca="false">IF(A165="","",CHOOSE(F$3,A165+24,A164))</f>
        <v>41730</v>
      </c>
      <c r="AQ164" s="209" t="n">
        <f aca="false">IF(A165="","",AP164-$E$1)</f>
        <v>-4196</v>
      </c>
      <c r="AR164" s="185" t="n">
        <f aca="false">'ANR OK vs ML7'!AR164</f>
        <v>0.1</v>
      </c>
      <c r="AS164" s="213" t="n">
        <f aca="false">IF(A165="","",1/(1+CHOOSE(F$3,(AR165+($I$3/10000))/2,(AR164+($I$3/10000))/2))^(2*AQ164/365.25))</f>
        <v>3.06793577434691</v>
      </c>
      <c r="AT164" s="137" t="n">
        <f aca="false">IF(A165="","",IF(AND(mthbeg&lt;=A164,mthend&gt;=A164),1,0))</f>
        <v>1</v>
      </c>
      <c r="AU164" s="137" t="n">
        <f aca="false">IF(A165="","",AO164*AT164)</f>
        <v>30</v>
      </c>
      <c r="AW164" s="195" t="e">
        <f aca="false">IF($A165="","",AL164*$E164)</f>
        <v>#NAME?</v>
      </c>
      <c r="AX164" s="195" t="e">
        <f aca="false">IF($A165="","",AM164*$E164)</f>
        <v>#N/A</v>
      </c>
      <c r="AY164" s="195" t="e">
        <f aca="false">IF($A165="","",AN164*$E164)</f>
        <v>#N/A</v>
      </c>
      <c r="BA164" s="195" t="n">
        <f aca="false">IF($A165="","",F164*Summary!$Q$9)</f>
        <v>0</v>
      </c>
      <c r="BC164" s="179" t="e">
        <f aca="false">IF(A165="","",AM164*F164)</f>
        <v>#N/A</v>
      </c>
    </row>
    <row r="165" customFormat="false" ht="12.75" hidden="false" customHeight="false" outlineLevel="0" collapsed="false">
      <c r="A165" s="196" t="n">
        <f aca="false">IF(A164&lt;mthend,EDATE(A164,1),"")</f>
        <v>41760</v>
      </c>
      <c r="B165" s="197" t="n">
        <f aca="false">IF(A165&lt;mthend,B164,"")</f>
        <v>36050</v>
      </c>
      <c r="C165" s="215"/>
      <c r="D165" s="197" t="n">
        <f aca="false">IF(A166&lt;&gt;"",B165+C165,"")</f>
        <v>36050</v>
      </c>
      <c r="E165" s="199" t="n">
        <f aca="false">IF(A166="","",IF(AND(AT165=1,$H$3=1),D165*AO165,IF($H$3=2,D165,"N/A")))</f>
        <v>1117550</v>
      </c>
      <c r="F165" s="199" t="n">
        <f aca="false">IF(A166="","",E165*AS165)</f>
        <v>3401202.09711878</v>
      </c>
      <c r="G165" s="200" t="e">
        <f aca="false">IF($A166="","",VLOOKUP($A165,Table,MATCH(G$4,Curves,0)))</f>
        <v>#N/A</v>
      </c>
      <c r="H165" s="201" t="e">
        <f aca="false">IF(A166="","",G165)</f>
        <v>#N/A</v>
      </c>
      <c r="I165" s="202"/>
      <c r="J165" s="200" t="e">
        <f aca="false">IF($A166="","",VLOOKUP($A165,Table,MATCH(J$4,Curves,0)))</f>
        <v>#N/A</v>
      </c>
      <c r="K165" s="201" t="e">
        <f aca="false">IF(A166="","",J165)</f>
        <v>#N/A</v>
      </c>
      <c r="L165" s="200" t="e">
        <f aca="false">IF($A166="","",VLOOKUP($A165,Table,MATCH(L$4,Curves,0)))</f>
        <v>#N/A</v>
      </c>
      <c r="M165" s="201" t="e">
        <f aca="false">IF(A166="","",L165)</f>
        <v>#N/A</v>
      </c>
      <c r="N165" s="203"/>
      <c r="O165" s="200" t="e">
        <f aca="false">IF(A166="","",L165+J165+G165)</f>
        <v>#N/A</v>
      </c>
      <c r="P165" s="200" t="e">
        <f aca="false">IF(A166="","",M165+K165+H165)</f>
        <v>#N/A</v>
      </c>
      <c r="Q165" s="204"/>
      <c r="R165" s="200" t="e">
        <f aca="false">IF($A166="","",VLOOKUP($A165,Table,MATCH(R$4,Curves,0)))</f>
        <v>#N/A</v>
      </c>
      <c r="S165" s="201" t="e">
        <f aca="false">IF(A166="","",R165)</f>
        <v>#N/A</v>
      </c>
      <c r="T165" s="200" t="e">
        <f aca="false">IF($A166="","",VLOOKUP($A165,Table,MATCH(T$4,Curves,0)))</f>
        <v>#N/A</v>
      </c>
      <c r="U165" s="201" t="e">
        <f aca="false">IF(A166="","",T165)</f>
        <v>#N/A</v>
      </c>
      <c r="V165" s="225" t="e">
        <f aca="false">IF($A166="","",IF(AND(MONTH(A165)&gt;3,MONTH(A165)&lt;11),(T165+R165+G165)*Summary!$T$9/(1-Summary!$T$9),(T165+R165+G165)*Summary!$U$9/(1-Summary!$U$9)))</f>
        <v>#N/A</v>
      </c>
      <c r="W165" s="200" t="e">
        <f aca="false">IF($A166="","",(T165+R165+G165+V165))</f>
        <v>#N/A</v>
      </c>
      <c r="X165" s="200" t="e">
        <f aca="false">IF($A166="","",(U165+S165+H165+V165))</f>
        <v>#N/A</v>
      </c>
      <c r="Y165" s="202"/>
      <c r="Z165" s="185" t="e">
        <f aca="false">IF($A166="","",VLOOKUP($A165,Table,MATCH(Z$4,Curves,0)))</f>
        <v>#N/A</v>
      </c>
      <c r="AA165" s="185" t="e">
        <f aca="false">IF($A166="","",VLOOKUP($A165,Table,MATCH(AA$4,Curves,0)))</f>
        <v>#N/A</v>
      </c>
      <c r="AB165" s="185" t="e">
        <f aca="false">SQRT((AA165^2*(A165-$D$3)+Z165^2*(DAY(EOMONTH(A165,0))/2))/AK165)</f>
        <v>#N/A</v>
      </c>
      <c r="AC165" s="185" t="e">
        <f aca="false">IF($A166="","",VLOOKUP($A165,Table,MATCH(AC$4,Curves,0)))</f>
        <v>#N/A</v>
      </c>
      <c r="AD165" s="185" t="e">
        <f aca="false">IF($A166="","",VLOOKUP($A165,Table,MATCH(AD$4,Curves,0)))</f>
        <v>#N/A</v>
      </c>
      <c r="AE165" s="185" t="e">
        <f aca="false">SQRT((AD165^2*(A165-$D$3)+AC165^2*(DAY(EOMONTH(A165,0))/2))/AK165)</f>
        <v>#N/A</v>
      </c>
      <c r="AF165" s="224" t="e">
        <f aca="false">((Summary!$N$9*(AA165*AD165)*(A165-$D$3))+(Summary!$M$9*Z165*AC165*(AJ165-EOMONTH(EDATE(A165,-1),0))))/(AK165*AB165*AE165)</f>
        <v>#N/A</v>
      </c>
      <c r="AG165" s="207" t="n">
        <f aca="false">IF($A166="","",Summary!$Q$9)</f>
        <v>0</v>
      </c>
      <c r="AH165" s="207" t="n">
        <f aca="false">IF($A166="","",IF(Summary!$R$9="Y",VLOOKUP($A165,Summary!$AD$6:$AF$9,3)+'Escalating commodity'!E178,'Escalating commodity'!E178))</f>
        <v>0.0707</v>
      </c>
      <c r="AI165" s="207" t="n">
        <f aca="false">IF($A166="","",AH165)</f>
        <v>0.0707</v>
      </c>
      <c r="AJ165" s="208" t="n">
        <f aca="false">A165+DAY(EOMONTH(A165,0))/2-1</f>
        <v>41774.5</v>
      </c>
      <c r="AK165" s="209" t="n">
        <f aca="false">IF($A166="","",$A165-$E$1)</f>
        <v>-4166</v>
      </c>
      <c r="AL165" s="182" t="e">
        <f aca="false">IF($A166="","",SPRDOPT(P165,X165,AI165,0,AB165,AE165,AF165,AK165,$AJ$2,0))</f>
        <v>#NAME?</v>
      </c>
      <c r="AM165" s="211" t="e">
        <f aca="false">IF($A166="","",MAX(0,O165-W165-AI165))</f>
        <v>#N/A</v>
      </c>
      <c r="AN165" s="211" t="e">
        <f aca="false">IF($A166="","",AL165-AM165)</f>
        <v>#N/A</v>
      </c>
      <c r="AO165" s="137" t="n">
        <f aca="false">IF(A166="","",A166-A165)</f>
        <v>31</v>
      </c>
      <c r="AP165" s="212" t="n">
        <f aca="false">IF(A166="","",CHOOSE(F$3,A166+24,A165))</f>
        <v>41760</v>
      </c>
      <c r="AQ165" s="209" t="n">
        <f aca="false">IF(A166="","",AP165-$E$1)</f>
        <v>-4166</v>
      </c>
      <c r="AR165" s="185" t="n">
        <f aca="false">'ANR OK vs ML7'!AR165</f>
        <v>0.1</v>
      </c>
      <c r="AS165" s="213" t="n">
        <f aca="false">IF(A166="","",1/(1+CHOOSE(F$3,(AR166+($I$3/10000))/2,(AR165+($I$3/10000))/2))^(2*AQ165/365.25))</f>
        <v>3.04344512291958</v>
      </c>
      <c r="AT165" s="137" t="n">
        <f aca="false">IF(A166="","",IF(AND(mthbeg&lt;=A165,mthend&gt;=A165),1,0))</f>
        <v>1</v>
      </c>
      <c r="AU165" s="137" t="n">
        <f aca="false">IF(A166="","",AO165*AT165)</f>
        <v>31</v>
      </c>
      <c r="AW165" s="195" t="e">
        <f aca="false">IF($A166="","",AL165*$E165)</f>
        <v>#NAME?</v>
      </c>
      <c r="AX165" s="195" t="e">
        <f aca="false">IF($A166="","",AM165*$E165)</f>
        <v>#N/A</v>
      </c>
      <c r="AY165" s="195" t="e">
        <f aca="false">IF($A166="","",AN165*$E165)</f>
        <v>#N/A</v>
      </c>
      <c r="BA165" s="195" t="n">
        <f aca="false">IF($A166="","",F165*Summary!$Q$9)</f>
        <v>0</v>
      </c>
      <c r="BC165" s="179" t="e">
        <f aca="false">IF(A166="","",AM165*F165)</f>
        <v>#N/A</v>
      </c>
    </row>
    <row r="166" customFormat="false" ht="12.75" hidden="false" customHeight="false" outlineLevel="0" collapsed="false">
      <c r="A166" s="196" t="n">
        <f aca="false">IF(A165&lt;mthend,EDATE(A165,1),"")</f>
        <v>41791</v>
      </c>
      <c r="B166" s="197" t="n">
        <f aca="false">IF(A166&lt;mthend,B165,"")</f>
        <v>36050</v>
      </c>
      <c r="C166" s="215"/>
      <c r="D166" s="197" t="n">
        <f aca="false">IF(A167&lt;&gt;"",B166+C166,"")</f>
        <v>36050</v>
      </c>
      <c r="E166" s="199" t="n">
        <f aca="false">IF(A167="","",IF(AND(AT166=1,$H$3=1),D166*AO166,IF($H$3=2,D166,"N/A")))</f>
        <v>1081500</v>
      </c>
      <c r="F166" s="199" t="n">
        <f aca="false">IF(A167="","",E166*AS166)</f>
        <v>3264338.4794822</v>
      </c>
      <c r="G166" s="200" t="e">
        <f aca="false">IF($A167="","",VLOOKUP($A166,Table,MATCH(G$4,Curves,0)))</f>
        <v>#N/A</v>
      </c>
      <c r="H166" s="201" t="e">
        <f aca="false">IF(A167="","",G166)</f>
        <v>#N/A</v>
      </c>
      <c r="I166" s="202"/>
      <c r="J166" s="200" t="e">
        <f aca="false">IF($A167="","",VLOOKUP($A166,Table,MATCH(J$4,Curves,0)))</f>
        <v>#N/A</v>
      </c>
      <c r="K166" s="201" t="e">
        <f aca="false">IF(A167="","",J166)</f>
        <v>#N/A</v>
      </c>
      <c r="L166" s="200" t="e">
        <f aca="false">IF($A167="","",VLOOKUP($A166,Table,MATCH(L$4,Curves,0)))</f>
        <v>#N/A</v>
      </c>
      <c r="M166" s="201" t="e">
        <f aca="false">IF(A167="","",L166)</f>
        <v>#N/A</v>
      </c>
      <c r="N166" s="203"/>
      <c r="O166" s="200" t="e">
        <f aca="false">IF(A167="","",L166+J166+G166)</f>
        <v>#N/A</v>
      </c>
      <c r="P166" s="200" t="e">
        <f aca="false">IF(A167="","",M166+K166+H166)</f>
        <v>#N/A</v>
      </c>
      <c r="Q166" s="204"/>
      <c r="R166" s="200" t="e">
        <f aca="false">IF($A167="","",VLOOKUP($A166,Table,MATCH(R$4,Curves,0)))</f>
        <v>#N/A</v>
      </c>
      <c r="S166" s="201" t="e">
        <f aca="false">IF(A167="","",R166)</f>
        <v>#N/A</v>
      </c>
      <c r="T166" s="200" t="e">
        <f aca="false">IF($A167="","",VLOOKUP($A166,Table,MATCH(T$4,Curves,0)))</f>
        <v>#N/A</v>
      </c>
      <c r="U166" s="201" t="e">
        <f aca="false">IF(A167="","",T166)</f>
        <v>#N/A</v>
      </c>
      <c r="V166" s="225" t="e">
        <f aca="false">IF($A167="","",IF(AND(MONTH(A166)&gt;3,MONTH(A166)&lt;11),(T166+R166+G166)*Summary!$T$9/(1-Summary!$T$9),(T166+R166+G166)*Summary!$U$9/(1-Summary!$U$9)))</f>
        <v>#N/A</v>
      </c>
      <c r="W166" s="200" t="e">
        <f aca="false">IF($A167="","",(T166+R166+G166+V166))</f>
        <v>#N/A</v>
      </c>
      <c r="X166" s="200" t="e">
        <f aca="false">IF($A167="","",(U166+S166+H166+V166))</f>
        <v>#N/A</v>
      </c>
      <c r="Y166" s="202"/>
      <c r="Z166" s="185" t="e">
        <f aca="false">IF($A167="","",VLOOKUP($A166,Table,MATCH(Z$4,Curves,0)))</f>
        <v>#N/A</v>
      </c>
      <c r="AA166" s="185" t="e">
        <f aca="false">IF($A167="","",VLOOKUP($A166,Table,MATCH(AA$4,Curves,0)))</f>
        <v>#N/A</v>
      </c>
      <c r="AB166" s="185" t="e">
        <f aca="false">SQRT((AA166^2*(A166-$D$3)+Z166^2*(DAY(EOMONTH(A166,0))/2))/AK166)</f>
        <v>#N/A</v>
      </c>
      <c r="AC166" s="185" t="e">
        <f aca="false">IF($A167="","",VLOOKUP($A166,Table,MATCH(AC$4,Curves,0)))</f>
        <v>#N/A</v>
      </c>
      <c r="AD166" s="185" t="e">
        <f aca="false">IF($A167="","",VLOOKUP($A166,Table,MATCH(AD$4,Curves,0)))</f>
        <v>#N/A</v>
      </c>
      <c r="AE166" s="185" t="e">
        <f aca="false">SQRT((AD166^2*(A166-$D$3)+AC166^2*(DAY(EOMONTH(A166,0))/2))/AK166)</f>
        <v>#N/A</v>
      </c>
      <c r="AF166" s="224" t="e">
        <f aca="false">((Summary!$N$9*(AA166*AD166)*(A166-$D$3))+(Summary!$M$9*Z166*AC166*(AJ166-EOMONTH(EDATE(A166,-1),0))))/(AK166*AB166*AE166)</f>
        <v>#N/A</v>
      </c>
      <c r="AG166" s="207" t="n">
        <f aca="false">IF($A167="","",Summary!$Q$9)</f>
        <v>0</v>
      </c>
      <c r="AH166" s="207" t="n">
        <f aca="false">IF($A167="","",IF(Summary!$R$9="Y",VLOOKUP($A166,Summary!$AD$6:$AF$9,3)+'Escalating commodity'!E179,'Escalating commodity'!E179))</f>
        <v>0.0707</v>
      </c>
      <c r="AI166" s="207" t="n">
        <f aca="false">IF($A167="","",AH166)</f>
        <v>0.0707</v>
      </c>
      <c r="AJ166" s="208" t="n">
        <f aca="false">A166+DAY(EOMONTH(A166,0))/2-1</f>
        <v>41805</v>
      </c>
      <c r="AK166" s="209" t="n">
        <f aca="false">IF($A167="","",$A166-$E$1)</f>
        <v>-4135</v>
      </c>
      <c r="AL166" s="182" t="e">
        <f aca="false">IF($A167="","",SPRDOPT(P166,X166,AI166,0,AB166,AE166,AF166,AK166,$AJ$2,0))</f>
        <v>#NAME?</v>
      </c>
      <c r="AM166" s="211" t="e">
        <f aca="false">IF($A167="","",MAX(0,O166-W166-AI166))</f>
        <v>#N/A</v>
      </c>
      <c r="AN166" s="211" t="e">
        <f aca="false">IF($A167="","",AL166-AM166)</f>
        <v>#N/A</v>
      </c>
      <c r="AO166" s="137" t="n">
        <f aca="false">IF(A167="","",A167-A166)</f>
        <v>30</v>
      </c>
      <c r="AP166" s="212" t="n">
        <f aca="false">IF(A167="","",CHOOSE(F$3,A167+24,A166))</f>
        <v>41791</v>
      </c>
      <c r="AQ166" s="209" t="n">
        <f aca="false">IF(A167="","",AP166-$E$1)</f>
        <v>-4135</v>
      </c>
      <c r="AR166" s="185" t="n">
        <f aca="false">'ANR OK vs ML7'!AR166</f>
        <v>0.1</v>
      </c>
      <c r="AS166" s="213" t="n">
        <f aca="false">IF(A167="","",1/(1+CHOOSE(F$3,(AR167+($I$3/10000))/2,(AR166+($I$3/10000))/2))^(2*AQ166/365.25))</f>
        <v>3.01834348542044</v>
      </c>
      <c r="AT166" s="137" t="n">
        <f aca="false">IF(A167="","",IF(AND(mthbeg&lt;=A166,mthend&gt;=A166),1,0))</f>
        <v>1</v>
      </c>
      <c r="AU166" s="137" t="n">
        <f aca="false">IF(A167="","",AO166*AT166)</f>
        <v>30</v>
      </c>
      <c r="AW166" s="195" t="e">
        <f aca="false">IF($A167="","",AL166*$E166)</f>
        <v>#NAME?</v>
      </c>
      <c r="AX166" s="195" t="e">
        <f aca="false">IF($A167="","",AM166*$E166)</f>
        <v>#N/A</v>
      </c>
      <c r="AY166" s="195" t="e">
        <f aca="false">IF($A167="","",AN166*$E166)</f>
        <v>#N/A</v>
      </c>
      <c r="BA166" s="195" t="n">
        <f aca="false">IF($A167="","",F166*Summary!$Q$9)</f>
        <v>0</v>
      </c>
      <c r="BC166" s="179" t="e">
        <f aca="false">IF(A167="","",AM166*F166)</f>
        <v>#N/A</v>
      </c>
    </row>
    <row r="167" customFormat="false" ht="12.75" hidden="false" customHeight="false" outlineLevel="0" collapsed="false">
      <c r="A167" s="196" t="n">
        <f aca="false">IF(A166&lt;mthend,EDATE(A166,1),"")</f>
        <v>41821</v>
      </c>
      <c r="B167" s="197" t="n">
        <f aca="false">IF(A167&lt;mthend,B166,"")</f>
        <v>36050</v>
      </c>
      <c r="C167" s="215"/>
      <c r="D167" s="197" t="n">
        <f aca="false">IF(A168&lt;&gt;"",B167+C167,"")</f>
        <v>36050</v>
      </c>
      <c r="E167" s="199" t="n">
        <f aca="false">IF(A168="","",IF(AND(AT167=1,$H$3=1),D167*AO167,IF($H$3=2,D167,"N/A")))</f>
        <v>1117550</v>
      </c>
      <c r="F167" s="199" t="n">
        <f aca="false">IF(A168="","",E167*AS167)</f>
        <v>3346222.65507569</v>
      </c>
      <c r="G167" s="200" t="e">
        <f aca="false">IF($A168="","",VLOOKUP($A167,Table,MATCH(G$4,Curves,0)))</f>
        <v>#N/A</v>
      </c>
      <c r="H167" s="201" t="e">
        <f aca="false">IF(A168="","",G167)</f>
        <v>#N/A</v>
      </c>
      <c r="I167" s="202"/>
      <c r="J167" s="200" t="e">
        <f aca="false">IF($A168="","",VLOOKUP($A167,Table,MATCH(J$4,Curves,0)))</f>
        <v>#N/A</v>
      </c>
      <c r="K167" s="201" t="e">
        <f aca="false">IF(A168="","",J167)</f>
        <v>#N/A</v>
      </c>
      <c r="L167" s="200" t="e">
        <f aca="false">IF($A168="","",VLOOKUP($A167,Table,MATCH(L$4,Curves,0)))</f>
        <v>#N/A</v>
      </c>
      <c r="M167" s="201" t="e">
        <f aca="false">IF(A168="","",L167)</f>
        <v>#N/A</v>
      </c>
      <c r="N167" s="203"/>
      <c r="O167" s="200" t="e">
        <f aca="false">IF(A168="","",L167+J167+G167)</f>
        <v>#N/A</v>
      </c>
      <c r="P167" s="200" t="e">
        <f aca="false">IF(A168="","",M167+K167+H167)</f>
        <v>#N/A</v>
      </c>
      <c r="Q167" s="204"/>
      <c r="R167" s="200" t="e">
        <f aca="false">IF($A168="","",VLOOKUP($A167,Table,MATCH(R$4,Curves,0)))</f>
        <v>#N/A</v>
      </c>
      <c r="S167" s="201" t="e">
        <f aca="false">IF(A168="","",R167)</f>
        <v>#N/A</v>
      </c>
      <c r="T167" s="200" t="e">
        <f aca="false">IF($A168="","",VLOOKUP($A167,Table,MATCH(T$4,Curves,0)))</f>
        <v>#N/A</v>
      </c>
      <c r="U167" s="201" t="e">
        <f aca="false">IF(A168="","",T167)</f>
        <v>#N/A</v>
      </c>
      <c r="V167" s="225" t="e">
        <f aca="false">IF($A168="","",IF(AND(MONTH(A167)&gt;3,MONTH(A167)&lt;11),(T167+R167+G167)*Summary!$T$9/(1-Summary!$T$9),(T167+R167+G167)*Summary!$U$9/(1-Summary!$U$9)))</f>
        <v>#N/A</v>
      </c>
      <c r="W167" s="200" t="e">
        <f aca="false">IF($A168="","",(T167+R167+G167+V167))</f>
        <v>#N/A</v>
      </c>
      <c r="X167" s="200" t="e">
        <f aca="false">IF($A168="","",(U167+S167+H167+V167))</f>
        <v>#N/A</v>
      </c>
      <c r="Y167" s="202"/>
      <c r="Z167" s="185" t="e">
        <f aca="false">IF($A168="","",VLOOKUP($A167,Table,MATCH(Z$4,Curves,0)))</f>
        <v>#N/A</v>
      </c>
      <c r="AA167" s="185" t="e">
        <f aca="false">IF($A168="","",VLOOKUP($A167,Table,MATCH(AA$4,Curves,0)))</f>
        <v>#N/A</v>
      </c>
      <c r="AB167" s="185" t="e">
        <f aca="false">SQRT((AA167^2*(A167-$D$3)+Z167^2*(DAY(EOMONTH(A167,0))/2))/AK167)</f>
        <v>#N/A</v>
      </c>
      <c r="AC167" s="185" t="e">
        <f aca="false">IF($A168="","",VLOOKUP($A167,Table,MATCH(AC$4,Curves,0)))</f>
        <v>#N/A</v>
      </c>
      <c r="AD167" s="185" t="e">
        <f aca="false">IF($A168="","",VLOOKUP($A167,Table,MATCH(AD$4,Curves,0)))</f>
        <v>#N/A</v>
      </c>
      <c r="AE167" s="185" t="e">
        <f aca="false">SQRT((AD167^2*(A167-$D$3)+AC167^2*(DAY(EOMONTH(A167,0))/2))/AK167)</f>
        <v>#N/A</v>
      </c>
      <c r="AF167" s="224" t="e">
        <f aca="false">((Summary!$N$9*(AA167*AD167)*(A167-$D$3))+(Summary!$M$9*Z167*AC167*(AJ167-EOMONTH(EDATE(A167,-1),0))))/(AK167*AB167*AE167)</f>
        <v>#N/A</v>
      </c>
      <c r="AG167" s="207" t="n">
        <f aca="false">IF($A168="","",Summary!$Q$9)</f>
        <v>0</v>
      </c>
      <c r="AH167" s="207" t="n">
        <f aca="false">IF($A168="","",IF(Summary!$R$9="Y",VLOOKUP($A167,Summary!$AD$6:$AF$9,3)+'Escalating commodity'!E180,'Escalating commodity'!E180))</f>
        <v>0.0707</v>
      </c>
      <c r="AI167" s="207" t="n">
        <f aca="false">IF($A168="","",AH167)</f>
        <v>0.0707</v>
      </c>
      <c r="AJ167" s="208" t="n">
        <f aca="false">A167+DAY(EOMONTH(A167,0))/2-1</f>
        <v>41835.5</v>
      </c>
      <c r="AK167" s="209" t="n">
        <f aca="false">IF($A168="","",$A167-$E$1)</f>
        <v>-4105</v>
      </c>
      <c r="AL167" s="182" t="e">
        <f aca="false">IF($A168="","",SPRDOPT(P167,X167,AI167,0,AB167,AE167,AF167,AK167,$AJ$2,0))</f>
        <v>#NAME?</v>
      </c>
      <c r="AM167" s="211" t="e">
        <f aca="false">IF($A168="","",MAX(0,O167-W167-AI167))</f>
        <v>#N/A</v>
      </c>
      <c r="AN167" s="211" t="e">
        <f aca="false">IF($A168="","",AL167-AM167)</f>
        <v>#N/A</v>
      </c>
      <c r="AO167" s="137" t="n">
        <f aca="false">IF(A168="","",A168-A167)</f>
        <v>31</v>
      </c>
      <c r="AP167" s="212" t="n">
        <f aca="false">IF(A168="","",CHOOSE(F$3,A168+24,A167))</f>
        <v>41821</v>
      </c>
      <c r="AQ167" s="209" t="n">
        <f aca="false">IF(A168="","",AP167-$E$1)</f>
        <v>-4105</v>
      </c>
      <c r="AR167" s="185" t="n">
        <f aca="false">'ANR OK vs ML7'!AR167</f>
        <v>0.1</v>
      </c>
      <c r="AS167" s="213" t="n">
        <f aca="false">IF(A168="","",1/(1+CHOOSE(F$3,(AR168+($I$3/10000))/2,(AR167+($I$3/10000))/2))^(2*AQ167/365.25))</f>
        <v>2.99424871824588</v>
      </c>
      <c r="AT167" s="137" t="n">
        <f aca="false">IF(A168="","",IF(AND(mthbeg&lt;=A167,mthend&gt;=A167),1,0))</f>
        <v>1</v>
      </c>
      <c r="AU167" s="137" t="n">
        <f aca="false">IF(A168="","",AO167*AT167)</f>
        <v>31</v>
      </c>
      <c r="AW167" s="195" t="e">
        <f aca="false">IF($A168="","",AL167*$E167)</f>
        <v>#NAME?</v>
      </c>
      <c r="AX167" s="195" t="e">
        <f aca="false">IF($A168="","",AM167*$E167)</f>
        <v>#N/A</v>
      </c>
      <c r="AY167" s="195" t="e">
        <f aca="false">IF($A168="","",AN167*$E167)</f>
        <v>#N/A</v>
      </c>
      <c r="BA167" s="195" t="n">
        <f aca="false">IF($A168="","",F167*Summary!$Q$9)</f>
        <v>0</v>
      </c>
      <c r="BC167" s="179" t="e">
        <f aca="false">IF(A168="","",AM167*F167)</f>
        <v>#N/A</v>
      </c>
    </row>
    <row r="168" customFormat="false" ht="12.75" hidden="false" customHeight="false" outlineLevel="0" collapsed="false">
      <c r="A168" s="196" t="n">
        <f aca="false">IF(A167&lt;mthend,EDATE(A167,1),"")</f>
        <v>41852</v>
      </c>
      <c r="B168" s="197" t="n">
        <f aca="false">IF(A168&lt;mthend,B167,"")</f>
        <v>36050</v>
      </c>
      <c r="C168" s="215"/>
      <c r="D168" s="197" t="n">
        <f aca="false">IF(A169&lt;&gt;"",B168+C168,"")</f>
        <v>36050</v>
      </c>
      <c r="E168" s="199" t="n">
        <f aca="false">IF(A169="","",IF(AND(AT168=1,$H$3=1),D168*AO168,IF($H$3=2,D168,"N/A")))</f>
        <v>1117550</v>
      </c>
      <c r="F168" s="199" t="n">
        <f aca="false">IF(A169="","",E168*AS168)</f>
        <v>3318623.77791948</v>
      </c>
      <c r="G168" s="200" t="e">
        <f aca="false">IF($A169="","",VLOOKUP($A168,Table,MATCH(G$4,Curves,0)))</f>
        <v>#N/A</v>
      </c>
      <c r="H168" s="201" t="e">
        <f aca="false">IF(A169="","",G168)</f>
        <v>#N/A</v>
      </c>
      <c r="I168" s="202"/>
      <c r="J168" s="200" t="e">
        <f aca="false">IF($A169="","",VLOOKUP($A168,Table,MATCH(J$4,Curves,0)))</f>
        <v>#N/A</v>
      </c>
      <c r="K168" s="201" t="e">
        <f aca="false">IF(A169="","",J168)</f>
        <v>#N/A</v>
      </c>
      <c r="L168" s="200" t="e">
        <f aca="false">IF($A169="","",VLOOKUP($A168,Table,MATCH(L$4,Curves,0)))</f>
        <v>#N/A</v>
      </c>
      <c r="M168" s="201" t="e">
        <f aca="false">IF(A169="","",L168)</f>
        <v>#N/A</v>
      </c>
      <c r="N168" s="203"/>
      <c r="O168" s="200" t="e">
        <f aca="false">IF(A169="","",L168+J168+G168)</f>
        <v>#N/A</v>
      </c>
      <c r="P168" s="200" t="e">
        <f aca="false">IF(A169="","",M168+K168+H168)</f>
        <v>#N/A</v>
      </c>
      <c r="Q168" s="204"/>
      <c r="R168" s="200" t="e">
        <f aca="false">IF($A169="","",VLOOKUP($A168,Table,MATCH(R$4,Curves,0)))</f>
        <v>#N/A</v>
      </c>
      <c r="S168" s="201" t="e">
        <f aca="false">IF(A169="","",R168)</f>
        <v>#N/A</v>
      </c>
      <c r="T168" s="200" t="e">
        <f aca="false">IF($A169="","",VLOOKUP($A168,Table,MATCH(T$4,Curves,0)))</f>
        <v>#N/A</v>
      </c>
      <c r="U168" s="201" t="e">
        <f aca="false">IF(A169="","",T168)</f>
        <v>#N/A</v>
      </c>
      <c r="V168" s="225" t="e">
        <f aca="false">IF($A169="","",IF(AND(MONTH(A168)&gt;3,MONTH(A168)&lt;11),(T168+R168+G168)*Summary!$T$9/(1-Summary!$T$9),(T168+R168+G168)*Summary!$U$9/(1-Summary!$U$9)))</f>
        <v>#N/A</v>
      </c>
      <c r="W168" s="200" t="e">
        <f aca="false">IF($A169="","",(T168+R168+G168+V168))</f>
        <v>#N/A</v>
      </c>
      <c r="X168" s="200" t="e">
        <f aca="false">IF($A169="","",(U168+S168+H168+V168))</f>
        <v>#N/A</v>
      </c>
      <c r="Y168" s="202"/>
      <c r="Z168" s="185" t="e">
        <f aca="false">IF($A169="","",VLOOKUP($A168,Table,MATCH(Z$4,Curves,0)))</f>
        <v>#N/A</v>
      </c>
      <c r="AA168" s="185" t="e">
        <f aca="false">IF($A169="","",VLOOKUP($A168,Table,MATCH(AA$4,Curves,0)))</f>
        <v>#N/A</v>
      </c>
      <c r="AB168" s="185" t="e">
        <f aca="false">SQRT((AA168^2*(A168-$D$3)+Z168^2*(DAY(EOMONTH(A168,0))/2))/AK168)</f>
        <v>#N/A</v>
      </c>
      <c r="AC168" s="185" t="e">
        <f aca="false">IF($A169="","",VLOOKUP($A168,Table,MATCH(AC$4,Curves,0)))</f>
        <v>#N/A</v>
      </c>
      <c r="AD168" s="185" t="e">
        <f aca="false">IF($A169="","",VLOOKUP($A168,Table,MATCH(AD$4,Curves,0)))</f>
        <v>#N/A</v>
      </c>
      <c r="AE168" s="185" t="e">
        <f aca="false">SQRT((AD168^2*(A168-$D$3)+AC168^2*(DAY(EOMONTH(A168,0))/2))/AK168)</f>
        <v>#N/A</v>
      </c>
      <c r="AF168" s="224" t="e">
        <f aca="false">((Summary!$N$9*(AA168*AD168)*(A168-$D$3))+(Summary!$M$9*Z168*AC168*(AJ168-EOMONTH(EDATE(A168,-1),0))))/(AK168*AB168*AE168)</f>
        <v>#N/A</v>
      </c>
      <c r="AG168" s="207" t="n">
        <f aca="false">IF($A169="","",Summary!$Q$9)</f>
        <v>0</v>
      </c>
      <c r="AH168" s="207" t="n">
        <f aca="false">IF($A169="","",IF(Summary!$R$9="Y",VLOOKUP($A168,Summary!$AD$6:$AF$9,3)+'Escalating commodity'!E181,'Escalating commodity'!E181))</f>
        <v>0.0707</v>
      </c>
      <c r="AI168" s="207" t="n">
        <f aca="false">IF($A169="","",AH168)</f>
        <v>0.0707</v>
      </c>
      <c r="AJ168" s="208" t="n">
        <f aca="false">A168+DAY(EOMONTH(A168,0))/2-1</f>
        <v>41866.5</v>
      </c>
      <c r="AK168" s="209" t="n">
        <f aca="false">IF($A169="","",$A168-$E$1)</f>
        <v>-4074</v>
      </c>
      <c r="AL168" s="182" t="e">
        <f aca="false">IF($A169="","",SPRDOPT(P168,X168,AI168,0,AB168,AE168,AF168,AK168,$AJ$2,0))</f>
        <v>#NAME?</v>
      </c>
      <c r="AM168" s="211" t="e">
        <f aca="false">IF($A169="","",MAX(0,O168-W168-AI168))</f>
        <v>#N/A</v>
      </c>
      <c r="AN168" s="211" t="e">
        <f aca="false">IF($A169="","",AL168-AM168)</f>
        <v>#N/A</v>
      </c>
      <c r="AO168" s="137" t="n">
        <f aca="false">IF(A169="","",A169-A168)</f>
        <v>31</v>
      </c>
      <c r="AP168" s="212" t="n">
        <f aca="false">IF(A169="","",CHOOSE(F$3,A169+24,A168))</f>
        <v>41852</v>
      </c>
      <c r="AQ168" s="209" t="n">
        <f aca="false">IF(A169="","",AP168-$E$1)</f>
        <v>-4074</v>
      </c>
      <c r="AR168" s="185" t="n">
        <f aca="false">'ANR OK vs ML7'!AR168</f>
        <v>0.1</v>
      </c>
      <c r="AS168" s="213" t="n">
        <f aca="false">IF(A169="","",1/(1+CHOOSE(F$3,(AR169+($I$3/10000))/2,(AR168+($I$3/10000))/2))^(2*AQ168/365.25))</f>
        <v>2.96955284141155</v>
      </c>
      <c r="AT168" s="137" t="n">
        <f aca="false">IF(A169="","",IF(AND(mthbeg&lt;=A168,mthend&gt;=A168),1,0))</f>
        <v>1</v>
      </c>
      <c r="AU168" s="137" t="n">
        <f aca="false">IF(A169="","",AO168*AT168)</f>
        <v>31</v>
      </c>
      <c r="AW168" s="195" t="e">
        <f aca="false">IF($A169="","",AL168*$E168)</f>
        <v>#NAME?</v>
      </c>
      <c r="AX168" s="195" t="e">
        <f aca="false">IF($A169="","",AM168*$E168)</f>
        <v>#N/A</v>
      </c>
      <c r="AY168" s="195" t="e">
        <f aca="false">IF($A169="","",AN168*$E168)</f>
        <v>#N/A</v>
      </c>
      <c r="BA168" s="195" t="n">
        <f aca="false">IF($A169="","",F168*Summary!$Q$9)</f>
        <v>0</v>
      </c>
      <c r="BC168" s="179" t="e">
        <f aca="false">IF(A169="","",AM168*F168)</f>
        <v>#N/A</v>
      </c>
    </row>
    <row r="169" customFormat="false" ht="12.75" hidden="false" customHeight="false" outlineLevel="0" collapsed="false">
      <c r="A169" s="196" t="n">
        <f aca="false">IF(A168&lt;mthend,EDATE(A168,1),"")</f>
        <v>41883</v>
      </c>
      <c r="B169" s="197" t="n">
        <f aca="false">IF(A169&lt;mthend,B168,"")</f>
        <v>36050</v>
      </c>
      <c r="C169" s="215"/>
      <c r="D169" s="197" t="n">
        <f aca="false">IF(A170&lt;&gt;"",B169+C169,"")</f>
        <v>36050</v>
      </c>
      <c r="E169" s="199" t="n">
        <f aca="false">IF(A170="","",IF(AND(AT169=1,$H$3=1),D169*AO169,IF($H$3=2,D169,"N/A")))</f>
        <v>1081500</v>
      </c>
      <c r="F169" s="199" t="n">
        <f aca="false">IF(A170="","",E169*AS169)</f>
        <v>3185083.09352276</v>
      </c>
      <c r="G169" s="200" t="e">
        <f aca="false">IF($A170="","",VLOOKUP($A169,Table,MATCH(G$4,Curves,0)))</f>
        <v>#N/A</v>
      </c>
      <c r="H169" s="201" t="e">
        <f aca="false">IF(A170="","",G169)</f>
        <v>#N/A</v>
      </c>
      <c r="I169" s="202"/>
      <c r="J169" s="200" t="e">
        <f aca="false">IF($A170="","",VLOOKUP($A169,Table,MATCH(J$4,Curves,0)))</f>
        <v>#N/A</v>
      </c>
      <c r="K169" s="201" t="e">
        <f aca="false">IF(A170="","",J169)</f>
        <v>#N/A</v>
      </c>
      <c r="L169" s="200" t="e">
        <f aca="false">IF($A170="","",VLOOKUP($A169,Table,MATCH(L$4,Curves,0)))</f>
        <v>#N/A</v>
      </c>
      <c r="M169" s="201" t="e">
        <f aca="false">IF(A170="","",L169)</f>
        <v>#N/A</v>
      </c>
      <c r="N169" s="203"/>
      <c r="O169" s="200" t="e">
        <f aca="false">IF(A170="","",L169+J169+G169)</f>
        <v>#N/A</v>
      </c>
      <c r="P169" s="200" t="e">
        <f aca="false">IF(A170="","",M169+K169+H169)</f>
        <v>#N/A</v>
      </c>
      <c r="Q169" s="204"/>
      <c r="R169" s="200" t="e">
        <f aca="false">IF($A170="","",VLOOKUP($A169,Table,MATCH(R$4,Curves,0)))</f>
        <v>#N/A</v>
      </c>
      <c r="S169" s="201" t="e">
        <f aca="false">IF(A170="","",R169)</f>
        <v>#N/A</v>
      </c>
      <c r="T169" s="200" t="e">
        <f aca="false">IF($A170="","",VLOOKUP($A169,Table,MATCH(T$4,Curves,0)))</f>
        <v>#N/A</v>
      </c>
      <c r="U169" s="201" t="e">
        <f aca="false">IF(A170="","",T169)</f>
        <v>#N/A</v>
      </c>
      <c r="V169" s="225" t="e">
        <f aca="false">IF($A170="","",IF(AND(MONTH(A169)&gt;3,MONTH(A169)&lt;11),(T169+R169+G169)*Summary!$T$9/(1-Summary!$T$9),(T169+R169+G169)*Summary!$U$9/(1-Summary!$U$9)))</f>
        <v>#N/A</v>
      </c>
      <c r="W169" s="200" t="e">
        <f aca="false">IF($A170="","",(T169+R169+G169+V169))</f>
        <v>#N/A</v>
      </c>
      <c r="X169" s="200" t="e">
        <f aca="false">IF($A170="","",(U169+S169+H169+V169))</f>
        <v>#N/A</v>
      </c>
      <c r="Y169" s="202"/>
      <c r="Z169" s="185" t="e">
        <f aca="false">IF($A170="","",VLOOKUP($A169,Table,MATCH(Z$4,Curves,0)))</f>
        <v>#N/A</v>
      </c>
      <c r="AA169" s="185" t="e">
        <f aca="false">IF($A170="","",VLOOKUP($A169,Table,MATCH(AA$4,Curves,0)))</f>
        <v>#N/A</v>
      </c>
      <c r="AB169" s="185" t="e">
        <f aca="false">SQRT((AA169^2*(A169-$D$3)+Z169^2*(DAY(EOMONTH(A169,0))/2))/AK169)</f>
        <v>#N/A</v>
      </c>
      <c r="AC169" s="185" t="e">
        <f aca="false">IF($A170="","",VLOOKUP($A169,Table,MATCH(AC$4,Curves,0)))</f>
        <v>#N/A</v>
      </c>
      <c r="AD169" s="185" t="e">
        <f aca="false">IF($A170="","",VLOOKUP($A169,Table,MATCH(AD$4,Curves,0)))</f>
        <v>#N/A</v>
      </c>
      <c r="AE169" s="185" t="e">
        <f aca="false">SQRT((AD169^2*(A169-$D$3)+AC169^2*(DAY(EOMONTH(A169,0))/2))/AK169)</f>
        <v>#N/A</v>
      </c>
      <c r="AF169" s="224" t="e">
        <f aca="false">((Summary!$N$9*(AA169*AD169)*(A169-$D$3))+(Summary!$M$9*Z169*AC169*(AJ169-EOMONTH(EDATE(A169,-1),0))))/(AK169*AB169*AE169)</f>
        <v>#N/A</v>
      </c>
      <c r="AG169" s="207" t="n">
        <f aca="false">IF($A170="","",Summary!$Q$9)</f>
        <v>0</v>
      </c>
      <c r="AH169" s="207" t="n">
        <f aca="false">IF($A170="","",IF(Summary!$R$9="Y",VLOOKUP($A169,Summary!$AD$6:$AF$9,3)+'Escalating commodity'!E182,'Escalating commodity'!E182))</f>
        <v>0.0707</v>
      </c>
      <c r="AI169" s="207" t="n">
        <f aca="false">IF($A170="","",AH169)</f>
        <v>0.0707</v>
      </c>
      <c r="AJ169" s="208" t="n">
        <f aca="false">A169+DAY(EOMONTH(A169,0))/2-1</f>
        <v>41897</v>
      </c>
      <c r="AK169" s="209" t="n">
        <f aca="false">IF($A170="","",$A169-$E$1)</f>
        <v>-4043</v>
      </c>
      <c r="AL169" s="182" t="e">
        <f aca="false">IF($A170="","",SPRDOPT(P169,X169,AI169,0,AB169,AE169,AF169,AK169,$AJ$2,0))</f>
        <v>#NAME?</v>
      </c>
      <c r="AM169" s="211" t="e">
        <f aca="false">IF($A170="","",MAX(0,O169-W169-AI169))</f>
        <v>#N/A</v>
      </c>
      <c r="AN169" s="211" t="e">
        <f aca="false">IF($A170="","",AL169-AM169)</f>
        <v>#N/A</v>
      </c>
      <c r="AO169" s="137" t="n">
        <f aca="false">IF(A170="","",A170-A169)</f>
        <v>30</v>
      </c>
      <c r="AP169" s="212" t="n">
        <f aca="false">IF(A170="","",CHOOSE(F$3,A170+24,A169))</f>
        <v>41883</v>
      </c>
      <c r="AQ169" s="209" t="n">
        <f aca="false">IF(A170="","",AP169-$E$1)</f>
        <v>-4043</v>
      </c>
      <c r="AR169" s="185" t="n">
        <f aca="false">'ANR OK vs ML7'!AR169</f>
        <v>0.1</v>
      </c>
      <c r="AS169" s="213" t="n">
        <f aca="false">IF(A170="","",1/(1+CHOOSE(F$3,(AR170+($I$3/10000))/2,(AR169+($I$3/10000))/2))^(2*AQ169/365.25))</f>
        <v>2.94506065050648</v>
      </c>
      <c r="AT169" s="137" t="n">
        <f aca="false">IF(A170="","",IF(AND(mthbeg&lt;=A169,mthend&gt;=A169),1,0))</f>
        <v>1</v>
      </c>
      <c r="AU169" s="137" t="n">
        <f aca="false">IF(A170="","",AO169*AT169)</f>
        <v>30</v>
      </c>
      <c r="AW169" s="195" t="e">
        <f aca="false">IF($A170="","",AL169*$E169)</f>
        <v>#NAME?</v>
      </c>
      <c r="AX169" s="195" t="e">
        <f aca="false">IF($A170="","",AM169*$E169)</f>
        <v>#N/A</v>
      </c>
      <c r="AY169" s="195" t="e">
        <f aca="false">IF($A170="","",AN169*$E169)</f>
        <v>#N/A</v>
      </c>
      <c r="BA169" s="195" t="n">
        <f aca="false">IF($A170="","",F169*Summary!$Q$9)</f>
        <v>0</v>
      </c>
      <c r="BC169" s="179" t="e">
        <f aca="false">IF(A170="","",AM169*F169)</f>
        <v>#N/A</v>
      </c>
    </row>
    <row r="170" customFormat="false" ht="12" hidden="false" customHeight="true" outlineLevel="0" collapsed="false">
      <c r="A170" s="196" t="n">
        <f aca="false">IF(A169&lt;mthend,EDATE(A169,1),"")</f>
        <v>41913</v>
      </c>
      <c r="B170" s="197" t="n">
        <f aca="false">IF(A170&lt;mthend,B169,"")</f>
        <v>36050</v>
      </c>
      <c r="C170" s="215"/>
      <c r="D170" s="197" t="n">
        <f aca="false">IF(A171&lt;&gt;"",B170+C170,"")</f>
        <v>36050</v>
      </c>
      <c r="E170" s="199" t="n">
        <f aca="false">IF(A171="","",IF(AND(AT170=1,$H$3=1),D170*AO170,IF($H$3=2,D170,"N/A")))</f>
        <v>1117550</v>
      </c>
      <c r="F170" s="199" t="n">
        <f aca="false">IF(A171="","",E170*AS170)</f>
        <v>3264979.19037336</v>
      </c>
      <c r="G170" s="200" t="e">
        <f aca="false">IF($A171="","",VLOOKUP($A170,Table,MATCH(G$4,Curves,0)))</f>
        <v>#N/A</v>
      </c>
      <c r="H170" s="201" t="e">
        <f aca="false">IF(A171="","",G170)</f>
        <v>#N/A</v>
      </c>
      <c r="I170" s="202"/>
      <c r="J170" s="200" t="e">
        <f aca="false">IF($A171="","",VLOOKUP($A170,Table,MATCH(J$4,Curves,0)))</f>
        <v>#N/A</v>
      </c>
      <c r="K170" s="201" t="e">
        <f aca="false">IF(A171="","",J170)</f>
        <v>#N/A</v>
      </c>
      <c r="L170" s="200" t="e">
        <f aca="false">IF($A171="","",VLOOKUP($A170,Table,MATCH(L$4,Curves,0)))</f>
        <v>#N/A</v>
      </c>
      <c r="M170" s="201" t="e">
        <f aca="false">IF(A171="","",L170)</f>
        <v>#N/A</v>
      </c>
      <c r="N170" s="203"/>
      <c r="O170" s="200" t="e">
        <f aca="false">IF(A171="","",L170+J170+G170)</f>
        <v>#N/A</v>
      </c>
      <c r="P170" s="200" t="e">
        <f aca="false">IF(A171="","",M170+K170+H170)</f>
        <v>#N/A</v>
      </c>
      <c r="Q170" s="204"/>
      <c r="R170" s="200" t="e">
        <f aca="false">IF($A171="","",VLOOKUP($A170,Table,MATCH(R$4,Curves,0)))</f>
        <v>#N/A</v>
      </c>
      <c r="S170" s="201" t="e">
        <f aca="false">IF(A171="","",R170)</f>
        <v>#N/A</v>
      </c>
      <c r="T170" s="200" t="e">
        <f aca="false">IF($A171="","",VLOOKUP($A170,Table,MATCH(T$4,Curves,0)))</f>
        <v>#N/A</v>
      </c>
      <c r="U170" s="201" t="e">
        <f aca="false">IF(A171="","",T170)</f>
        <v>#N/A</v>
      </c>
      <c r="V170" s="225" t="e">
        <f aca="false">IF($A171="","",IF(AND(MONTH(A170)&gt;3,MONTH(A170)&lt;11),(T170+R170+G170)*Summary!$T$9/(1-Summary!$T$9),(T170+R170+G170)*Summary!$U$9/(1-Summary!$U$9)))</f>
        <v>#N/A</v>
      </c>
      <c r="W170" s="200" t="e">
        <f aca="false">IF($A171="","",(T170+R170+G170+V170))</f>
        <v>#N/A</v>
      </c>
      <c r="X170" s="200" t="e">
        <f aca="false">IF($A171="","",(U170+S170+H170+V170))</f>
        <v>#N/A</v>
      </c>
      <c r="Y170" s="202"/>
      <c r="Z170" s="185" t="e">
        <f aca="false">IF($A171="","",VLOOKUP($A170,Table,MATCH(Z$4,Curves,0)))</f>
        <v>#N/A</v>
      </c>
      <c r="AA170" s="185" t="e">
        <f aca="false">IF($A171="","",VLOOKUP($A170,Table,MATCH(AA$4,Curves,0)))</f>
        <v>#N/A</v>
      </c>
      <c r="AB170" s="185" t="e">
        <f aca="false">SQRT((AA170^2*(A170-$D$3)+Z170^2*(DAY(EOMONTH(A170,0))/2))/AK170)</f>
        <v>#N/A</v>
      </c>
      <c r="AC170" s="185" t="e">
        <f aca="false">IF($A171="","",VLOOKUP($A170,Table,MATCH(AC$4,Curves,0)))</f>
        <v>#N/A</v>
      </c>
      <c r="AD170" s="185" t="e">
        <f aca="false">IF($A171="","",VLOOKUP($A170,Table,MATCH(AD$4,Curves,0)))</f>
        <v>#N/A</v>
      </c>
      <c r="AE170" s="185" t="e">
        <f aca="false">SQRT((AD170^2*(A170-$D$3)+AC170^2*(DAY(EOMONTH(A170,0))/2))/AK170)</f>
        <v>#N/A</v>
      </c>
      <c r="AF170" s="224" t="e">
        <f aca="false">((Summary!$N$9*(AA170*AD170)*(A170-$D$3))+(Summary!$M$9*Z170*AC170*(AJ170-EOMONTH(EDATE(A170,-1),0))))/(AK170*AB170*AE170)</f>
        <v>#N/A</v>
      </c>
      <c r="AG170" s="207" t="n">
        <f aca="false">IF($A171="","",Summary!$Q$9)</f>
        <v>0</v>
      </c>
      <c r="AH170" s="207" t="n">
        <f aca="false">IF($A171="","",IF(Summary!$R$9="Y",VLOOKUP($A170,Summary!$AD$6:$AF$9,3)+'Escalating commodity'!E183,'Escalating commodity'!E183))</f>
        <v>0.0707</v>
      </c>
      <c r="AI170" s="207" t="n">
        <f aca="false">IF($A171="","",AH170)</f>
        <v>0.0707</v>
      </c>
      <c r="AJ170" s="208" t="n">
        <f aca="false">A170+DAY(EOMONTH(A170,0))/2-1</f>
        <v>41927.5</v>
      </c>
      <c r="AK170" s="209" t="n">
        <f aca="false">IF($A171="","",$A170-$E$1)</f>
        <v>-4013</v>
      </c>
      <c r="AL170" s="182" t="e">
        <f aca="false">IF($A171="","",SPRDOPT(P170,X170,AI170,0,AB170,AE170,AF170,AK170,$AJ$2,0))</f>
        <v>#NAME?</v>
      </c>
      <c r="AM170" s="211" t="e">
        <f aca="false">IF($A171="","",MAX(0,O170-W170-AI170))</f>
        <v>#N/A</v>
      </c>
      <c r="AN170" s="211" t="e">
        <f aca="false">IF($A171="","",AL170-AM170)</f>
        <v>#N/A</v>
      </c>
      <c r="AO170" s="137" t="n">
        <f aca="false">IF(A171="","",A171-A170)</f>
        <v>31</v>
      </c>
      <c r="AP170" s="212" t="n">
        <f aca="false">IF(A171="","",CHOOSE(F$3,A171+24,A170))</f>
        <v>41913</v>
      </c>
      <c r="AQ170" s="209" t="n">
        <f aca="false">IF(A171="","",AP170-$E$1)</f>
        <v>-4013</v>
      </c>
      <c r="AR170" s="185" t="n">
        <f aca="false">'ANR OK vs ML7'!AR170</f>
        <v>0.1</v>
      </c>
      <c r="AS170" s="213" t="n">
        <f aca="false">IF(A171="","",1/(1+CHOOSE(F$3,(AR171+($I$3/10000))/2,(AR170+($I$3/10000))/2))^(2*AQ170/365.25))</f>
        <v>2.92155088396345</v>
      </c>
      <c r="AT170" s="137" t="n">
        <f aca="false">IF(A171="","",IF(AND(mthbeg&lt;=A170,mthend&gt;=A170),1,0))</f>
        <v>1</v>
      </c>
      <c r="AU170" s="137" t="n">
        <f aca="false">IF(A171="","",AO170*AT170)</f>
        <v>31</v>
      </c>
      <c r="AW170" s="195" t="e">
        <f aca="false">IF($A171="","",AL170*$E170)</f>
        <v>#NAME?</v>
      </c>
      <c r="AX170" s="195" t="e">
        <f aca="false">IF($A171="","",AM170*$E170)</f>
        <v>#N/A</v>
      </c>
      <c r="AY170" s="195" t="e">
        <f aca="false">IF($A171="","",AN170*$E170)</f>
        <v>#N/A</v>
      </c>
      <c r="BA170" s="195" t="n">
        <f aca="false">IF($A171="","",F170*Summary!$Q$9)</f>
        <v>0</v>
      </c>
      <c r="BC170" s="179" t="e">
        <f aca="false">IF(A171="","",AM170*F170)</f>
        <v>#N/A</v>
      </c>
    </row>
    <row r="171" customFormat="false" ht="12" hidden="false" customHeight="true" outlineLevel="0" collapsed="false">
      <c r="A171" s="196" t="n">
        <f aca="false">IF(A170&lt;mthend,EDATE(A170,1),"")</f>
        <v>41944</v>
      </c>
      <c r="B171" s="197" t="n">
        <f aca="false">IF(A171&lt;mthend,B170,"")</f>
        <v>36050</v>
      </c>
      <c r="C171" s="215"/>
      <c r="D171" s="197" t="n">
        <f aca="false">IF(A172&lt;&gt;"",B171+C171,"")</f>
        <v>36050</v>
      </c>
      <c r="E171" s="199" t="n">
        <f aca="false">IF(A172="","",IF(AND(AT171=1,$H$3=1),D171*AO171,IF($H$3=2,D171,"N/A")))</f>
        <v>1081500</v>
      </c>
      <c r="F171" s="199" t="n">
        <f aca="false">IF(A172="","",E171*AS171)</f>
        <v>3133597.15227537</v>
      </c>
      <c r="G171" s="200" t="e">
        <f aca="false">IF($A172="","",VLOOKUP($A171,Table,MATCH(G$4,Curves,0)))</f>
        <v>#N/A</v>
      </c>
      <c r="H171" s="201" t="e">
        <f aca="false">IF(A172="","",G171)</f>
        <v>#N/A</v>
      </c>
      <c r="I171" s="202"/>
      <c r="J171" s="227" t="e">
        <f aca="false">J159</f>
        <v>#N/A</v>
      </c>
      <c r="K171" s="201" t="e">
        <f aca="false">IF(A172="","",J171)</f>
        <v>#N/A</v>
      </c>
      <c r="L171" s="200" t="e">
        <f aca="false">IF($A172="","",VLOOKUP($A171,Table,MATCH(L$4,Curves,0)))</f>
        <v>#N/A</v>
      </c>
      <c r="M171" s="201" t="e">
        <f aca="false">IF(A172="","",L171)</f>
        <v>#N/A</v>
      </c>
      <c r="N171" s="203"/>
      <c r="O171" s="200" t="e">
        <f aca="false">IF(A172="","",L171+J171+G171)</f>
        <v>#N/A</v>
      </c>
      <c r="P171" s="200" t="e">
        <f aca="false">IF(A172="","",M171+K171+H171)</f>
        <v>#N/A</v>
      </c>
      <c r="Q171" s="204"/>
      <c r="R171" s="200" t="e">
        <f aca="false">IF($A172="","",VLOOKUP($A171,Table,MATCH(R$4,Curves,0)))</f>
        <v>#N/A</v>
      </c>
      <c r="S171" s="201" t="e">
        <f aca="false">IF(A172="","",R171)</f>
        <v>#N/A</v>
      </c>
      <c r="T171" s="200" t="e">
        <f aca="false">IF($A172="","",VLOOKUP($A171,Table,MATCH(T$4,Curves,0)))</f>
        <v>#N/A</v>
      </c>
      <c r="U171" s="201" t="e">
        <f aca="false">IF(A172="","",T171)</f>
        <v>#N/A</v>
      </c>
      <c r="V171" s="225" t="e">
        <f aca="false">IF($A172="","",IF(AND(MONTH(A171)&gt;3,MONTH(A171)&lt;11),(T171+R171+G171)*Summary!$T$9/(1-Summary!$T$9),(T171+R171+G171)*Summary!$U$9/(1-Summary!$U$9)))</f>
        <v>#N/A</v>
      </c>
      <c r="W171" s="200" t="e">
        <f aca="false">IF($A172="","",(T171+R171+G171+V171))</f>
        <v>#N/A</v>
      </c>
      <c r="X171" s="200" t="e">
        <f aca="false">IF($A172="","",(U171+S171+H171+V171))</f>
        <v>#N/A</v>
      </c>
      <c r="Y171" s="202"/>
      <c r="Z171" s="185" t="e">
        <f aca="false">IF($A172="","",VLOOKUP($A171,Table,MATCH(Z$4,Curves,0)))</f>
        <v>#N/A</v>
      </c>
      <c r="AA171" s="185" t="e">
        <f aca="false">IF($A172="","",VLOOKUP($A171,Table,MATCH(AA$4,Curves,0)))</f>
        <v>#N/A</v>
      </c>
      <c r="AB171" s="185" t="e">
        <f aca="false">SQRT((AA171^2*(A171-$D$3)+Z171^2*(DAY(EOMONTH(A171,0))/2))/AK171)</f>
        <v>#N/A</v>
      </c>
      <c r="AC171" s="185" t="e">
        <f aca="false">IF($A172="","",VLOOKUP($A171,Table,MATCH(AC$4,Curves,0)))</f>
        <v>#N/A</v>
      </c>
      <c r="AD171" s="185" t="e">
        <f aca="false">IF($A172="","",VLOOKUP($A171,Table,MATCH(AD$4,Curves,0)))</f>
        <v>#N/A</v>
      </c>
      <c r="AE171" s="185" t="e">
        <f aca="false">SQRT((AD171^2*(A171-$D$3)+AC171^2*(DAY(EOMONTH(A171,0))/2))/AK171)</f>
        <v>#N/A</v>
      </c>
      <c r="AF171" s="224" t="e">
        <f aca="false">((Summary!$N$9*(AA171*AD171)*(A171-$D$3))+(Summary!$M$9*Z171*AC171*(AJ171-EOMONTH(EDATE(A171,-1),0))))/(AK171*AB171*AE171)</f>
        <v>#N/A</v>
      </c>
      <c r="AG171" s="207" t="n">
        <f aca="false">IF($A172="","",Summary!$Q$9)</f>
        <v>0</v>
      </c>
      <c r="AH171" s="207" t="n">
        <f aca="false">IF($A172="","",IF(Summary!$R$9="Y",VLOOKUP($A171,Summary!$AD$6:$AF$9,3)+'Escalating commodity'!E184,'Escalating commodity'!E184))</f>
        <v>0.0707</v>
      </c>
      <c r="AI171" s="207" t="n">
        <f aca="false">IF($A172="","",AH171)</f>
        <v>0.0707</v>
      </c>
      <c r="AJ171" s="208" t="n">
        <f aca="false">A171+DAY(EOMONTH(A171,0))/2-1</f>
        <v>41958</v>
      </c>
      <c r="AK171" s="209" t="n">
        <f aca="false">IF($A172="","",$A171-$E$1)</f>
        <v>-3982</v>
      </c>
      <c r="AL171" s="182" t="e">
        <f aca="false">IF($A172="","",SPRDOPT(P171,X171,AI171,0,AB171,AE171,AF171,AK171,$AJ$2,0))</f>
        <v>#NAME?</v>
      </c>
      <c r="AM171" s="211" t="e">
        <f aca="false">IF($A172="","",MAX(0,O171-W171-AI171))</f>
        <v>#N/A</v>
      </c>
      <c r="AN171" s="211" t="e">
        <f aca="false">IF($A172="","",AL171-AM171)</f>
        <v>#N/A</v>
      </c>
      <c r="AO171" s="137" t="n">
        <f aca="false">IF(A172="","",A172-A171)</f>
        <v>30</v>
      </c>
      <c r="AP171" s="212" t="n">
        <f aca="false">IF(A172="","",CHOOSE(F$3,A172+24,A171))</f>
        <v>41944</v>
      </c>
      <c r="AQ171" s="209" t="n">
        <f aca="false">IF(A172="","",AP171-$E$1)</f>
        <v>-3982</v>
      </c>
      <c r="AR171" s="185" t="n">
        <f aca="false">'ANR OK vs ML7'!AR171</f>
        <v>0.1</v>
      </c>
      <c r="AS171" s="213" t="n">
        <f aca="false">IF(A172="","",1/(1+CHOOSE(F$3,(AR172+($I$3/10000))/2,(AR171+($I$3/10000))/2))^(2*AQ171/365.25))</f>
        <v>2.89745460219636</v>
      </c>
      <c r="AT171" s="137" t="n">
        <f aca="false">IF(A172="","",IF(AND(mthbeg&lt;=A171,mthend&gt;=A171),1,0))</f>
        <v>1</v>
      </c>
      <c r="AU171" s="137" t="n">
        <f aca="false">IF(A172="","",AO171*AT171)</f>
        <v>30</v>
      </c>
      <c r="AW171" s="195" t="e">
        <f aca="false">IF($A172="","",AL171*$E171)</f>
        <v>#NAME?</v>
      </c>
      <c r="AX171" s="195" t="e">
        <f aca="false">IF($A172="","",AM171*$E171)</f>
        <v>#N/A</v>
      </c>
      <c r="AY171" s="195" t="e">
        <f aca="false">IF($A172="","",AN171*$E171)</f>
        <v>#N/A</v>
      </c>
      <c r="BA171" s="195" t="n">
        <f aca="false">IF($A172="","",F171*Summary!$Q$9)</f>
        <v>0</v>
      </c>
      <c r="BC171" s="179" t="e">
        <f aca="false">IF(A172="","",AM171*F171)</f>
        <v>#N/A</v>
      </c>
    </row>
    <row r="172" customFormat="false" ht="12" hidden="false" customHeight="true" outlineLevel="0" collapsed="false">
      <c r="A172" s="196" t="n">
        <f aca="false">IF(A171&lt;mthend,EDATE(A171,1),"")</f>
        <v>41974</v>
      </c>
      <c r="B172" s="197" t="n">
        <f aca="false">IF(A172&lt;mthend,B171,"")</f>
        <v>36050</v>
      </c>
      <c r="C172" s="215"/>
      <c r="D172" s="197" t="n">
        <f aca="false">IF(A173&lt;&gt;"",B172+C172,"")</f>
        <v>36050</v>
      </c>
      <c r="E172" s="199" t="n">
        <f aca="false">IF(A173="","",IF(AND(AT172=1,$H$3=1),D172*AO172,IF($H$3=2,D172,"N/A")))</f>
        <v>1117550</v>
      </c>
      <c r="F172" s="199" t="n">
        <f aca="false">IF(A173="","",E172*AS172)</f>
        <v>3212201.75197266</v>
      </c>
      <c r="G172" s="200" t="e">
        <f aca="false">IF($A173="","",VLOOKUP($A172,Table,MATCH(G$4,Curves,0)))</f>
        <v>#N/A</v>
      </c>
      <c r="H172" s="201" t="e">
        <f aca="false">IF(A173="","",G172)</f>
        <v>#N/A</v>
      </c>
      <c r="I172" s="202"/>
      <c r="J172" s="227" t="e">
        <f aca="false">J160</f>
        <v>#N/A</v>
      </c>
      <c r="K172" s="201" t="e">
        <f aca="false">IF(A173="","",J172)</f>
        <v>#N/A</v>
      </c>
      <c r="L172" s="200" t="e">
        <f aca="false">IF($A173="","",VLOOKUP($A172,Table,MATCH(L$4,Curves,0)))</f>
        <v>#N/A</v>
      </c>
      <c r="M172" s="201" t="e">
        <f aca="false">IF(A173="","",L172)</f>
        <v>#N/A</v>
      </c>
      <c r="N172" s="203"/>
      <c r="O172" s="200" t="e">
        <f aca="false">IF(A173="","",L172+J172+G172)</f>
        <v>#N/A</v>
      </c>
      <c r="P172" s="200" t="e">
        <f aca="false">IF(A173="","",M172+K172+H172)</f>
        <v>#N/A</v>
      </c>
      <c r="Q172" s="204"/>
      <c r="R172" s="200" t="e">
        <f aca="false">IF($A173="","",VLOOKUP($A172,Table,MATCH(R$4,Curves,0)))</f>
        <v>#N/A</v>
      </c>
      <c r="S172" s="201" t="e">
        <f aca="false">IF(A173="","",R172)</f>
        <v>#N/A</v>
      </c>
      <c r="T172" s="200" t="e">
        <f aca="false">IF($A173="","",VLOOKUP($A172,Table,MATCH(T$4,Curves,0)))</f>
        <v>#N/A</v>
      </c>
      <c r="U172" s="201" t="e">
        <f aca="false">IF(A173="","",T172)</f>
        <v>#N/A</v>
      </c>
      <c r="V172" s="225" t="e">
        <f aca="false">IF($A173="","",IF(AND(MONTH(A172)&gt;3,MONTH(A172)&lt;11),(T172+R172+G172)*Summary!$T$9/(1-Summary!$T$9),(T172+R172+G172)*Summary!$U$9/(1-Summary!$U$9)))</f>
        <v>#N/A</v>
      </c>
      <c r="W172" s="200" t="e">
        <f aca="false">IF($A173="","",(T172+R172+G172+V172))</f>
        <v>#N/A</v>
      </c>
      <c r="X172" s="200" t="e">
        <f aca="false">IF($A173="","",(U172+S172+H172+V172))</f>
        <v>#N/A</v>
      </c>
      <c r="Y172" s="202"/>
      <c r="Z172" s="185" t="e">
        <f aca="false">IF($A173="","",VLOOKUP($A172,Table,MATCH(Z$4,Curves,0)))</f>
        <v>#N/A</v>
      </c>
      <c r="AA172" s="185" t="e">
        <f aca="false">IF($A173="","",VLOOKUP($A172,Table,MATCH(AA$4,Curves,0)))</f>
        <v>#N/A</v>
      </c>
      <c r="AB172" s="185" t="e">
        <f aca="false">SQRT((AA172^2*(A172-$D$3)+Z172^2*(DAY(EOMONTH(A172,0))/2))/AK172)</f>
        <v>#N/A</v>
      </c>
      <c r="AC172" s="185" t="e">
        <f aca="false">IF($A173="","",VLOOKUP($A172,Table,MATCH(AC$4,Curves,0)))</f>
        <v>#N/A</v>
      </c>
      <c r="AD172" s="185" t="e">
        <f aca="false">IF($A173="","",VLOOKUP($A172,Table,MATCH(AD$4,Curves,0)))</f>
        <v>#N/A</v>
      </c>
      <c r="AE172" s="185" t="e">
        <f aca="false">SQRT((AD172^2*(A172-$D$3)+AC172^2*(DAY(EOMONTH(A172,0))/2))/AK172)</f>
        <v>#N/A</v>
      </c>
      <c r="AF172" s="224" t="e">
        <f aca="false">((Summary!$N$9*(AA172*AD172)*(A172-$D$3))+(Summary!$M$9*Z172*AC172*(AJ172-EOMONTH(EDATE(A172,-1),0))))/(AK172*AB172*AE172)</f>
        <v>#N/A</v>
      </c>
      <c r="AG172" s="207" t="n">
        <f aca="false">IF($A173="","",Summary!$Q$9)</f>
        <v>0</v>
      </c>
      <c r="AH172" s="207" t="n">
        <f aca="false">IF($A173="","",IF(Summary!$R$9="Y",VLOOKUP($A172,Summary!$AD$6:$AF$9,3)+'Escalating commodity'!E185,'Escalating commodity'!E185))</f>
        <v>0.0707</v>
      </c>
      <c r="AI172" s="207" t="n">
        <f aca="false">IF($A173="","",AH172)</f>
        <v>0.0707</v>
      </c>
      <c r="AJ172" s="208" t="n">
        <f aca="false">A172+DAY(EOMONTH(A172,0))/2-1</f>
        <v>41988.5</v>
      </c>
      <c r="AK172" s="209" t="n">
        <f aca="false">IF($A173="","",$A172-$E$1)</f>
        <v>-3952</v>
      </c>
      <c r="AL172" s="182" t="e">
        <f aca="false">IF($A173="","",SPRDOPT(P172,X172,AI172,0,AB172,AE172,AF172,AK172,$AJ$2,0))</f>
        <v>#NAME?</v>
      </c>
      <c r="AM172" s="211" t="e">
        <f aca="false">IF($A173="","",MAX(0,O172-W172-AI172))</f>
        <v>#N/A</v>
      </c>
      <c r="AN172" s="211" t="e">
        <f aca="false">IF($A173="","",AL172-AM172)</f>
        <v>#N/A</v>
      </c>
      <c r="AO172" s="137" t="n">
        <f aca="false">IF(A173="","",A173-A172)</f>
        <v>31</v>
      </c>
      <c r="AP172" s="212" t="n">
        <f aca="false">IF(A173="","",CHOOSE(F$3,A173+24,A172))</f>
        <v>41974</v>
      </c>
      <c r="AQ172" s="209" t="n">
        <f aca="false">IF(A173="","",AP172-$E$1)</f>
        <v>-3952</v>
      </c>
      <c r="AR172" s="185" t="n">
        <f aca="false">'ANR OK vs ML7'!AR172</f>
        <v>0.1</v>
      </c>
      <c r="AS172" s="213" t="n">
        <f aca="false">IF(A173="","",1/(1+CHOOSE(F$3,(AR173+($I$3/10000))/2,(AR172+($I$3/10000))/2))^(2*AQ172/365.25))</f>
        <v>2.87432486418743</v>
      </c>
      <c r="AT172" s="137" t="n">
        <f aca="false">IF(A173="","",IF(AND(mthbeg&lt;=A172,mthend&gt;=A172),1,0))</f>
        <v>1</v>
      </c>
      <c r="AU172" s="137" t="n">
        <f aca="false">IF(A173="","",AO172*AT172)</f>
        <v>31</v>
      </c>
      <c r="AW172" s="195" t="e">
        <f aca="false">IF($A173="","",AL172*$E172)</f>
        <v>#NAME?</v>
      </c>
      <c r="AX172" s="195" t="e">
        <f aca="false">IF($A173="","",AM172*$E172)</f>
        <v>#N/A</v>
      </c>
      <c r="AY172" s="195" t="e">
        <f aca="false">IF($A173="","",AN172*$E172)</f>
        <v>#N/A</v>
      </c>
      <c r="BA172" s="195" t="n">
        <f aca="false">IF($A173="","",F172*Summary!$Q$9)</f>
        <v>0</v>
      </c>
      <c r="BC172" s="179" t="e">
        <f aca="false">IF(A173="","",AM172*F172)</f>
        <v>#N/A</v>
      </c>
    </row>
    <row r="173" customFormat="false" ht="12" hidden="false" customHeight="true" outlineLevel="0" collapsed="false">
      <c r="A173" s="196" t="n">
        <f aca="false">IF(A172&lt;mthend,EDATE(A172,1),"")</f>
        <v>42005</v>
      </c>
      <c r="B173" s="197" t="n">
        <f aca="false">IF(A173&lt;mthend,B172,"")</f>
        <v>36050</v>
      </c>
      <c r="C173" s="215"/>
      <c r="D173" s="197" t="n">
        <f aca="false">IF(A174&lt;&gt;"",B173+C173,"")</f>
        <v>36050</v>
      </c>
      <c r="E173" s="199" t="n">
        <f aca="false">IF(A174="","",IF(AND(AT173=1,$H$3=1),D173*AO173,IF($H$3=2,D173,"N/A")))</f>
        <v>1117550</v>
      </c>
      <c r="F173" s="199" t="n">
        <f aca="false">IF(A174="","",E173*AS173)</f>
        <v>3185708.24849369</v>
      </c>
      <c r="G173" s="200" t="e">
        <f aca="false">IF($A174="","",VLOOKUP($A173,Table,MATCH(G$4,Curves,0)))</f>
        <v>#N/A</v>
      </c>
      <c r="H173" s="201" t="e">
        <f aca="false">IF(A174="","",G173)</f>
        <v>#N/A</v>
      </c>
      <c r="I173" s="202"/>
      <c r="J173" s="227" t="e">
        <f aca="false">J161</f>
        <v>#N/A</v>
      </c>
      <c r="K173" s="201" t="e">
        <f aca="false">IF(A174="","",J173)</f>
        <v>#N/A</v>
      </c>
      <c r="L173" s="200" t="e">
        <f aca="false">IF($A174="","",VLOOKUP($A173,Table,MATCH(L$4,Curves,0)))</f>
        <v>#N/A</v>
      </c>
      <c r="M173" s="201" t="e">
        <f aca="false">IF(A174="","",L173)</f>
        <v>#N/A</v>
      </c>
      <c r="N173" s="203"/>
      <c r="O173" s="200" t="e">
        <f aca="false">IF(A174="","",L173+J173+G173)</f>
        <v>#N/A</v>
      </c>
      <c r="P173" s="200" t="e">
        <f aca="false">IF(A174="","",M173+K173+H173)</f>
        <v>#N/A</v>
      </c>
      <c r="Q173" s="204"/>
      <c r="R173" s="200" t="e">
        <f aca="false">IF($A174="","",VLOOKUP($A173,Table,MATCH(R$4,Curves,0)))</f>
        <v>#N/A</v>
      </c>
      <c r="S173" s="201" t="e">
        <f aca="false">IF(A174="","",R173)</f>
        <v>#N/A</v>
      </c>
      <c r="T173" s="200" t="e">
        <f aca="false">IF($A174="","",VLOOKUP($A173,Table,MATCH(T$4,Curves,0)))</f>
        <v>#N/A</v>
      </c>
      <c r="U173" s="201" t="e">
        <f aca="false">IF(A174="","",T173)</f>
        <v>#N/A</v>
      </c>
      <c r="V173" s="225" t="e">
        <f aca="false">IF($A174="","",IF(AND(MONTH(A173)&gt;3,MONTH(A173)&lt;11),(T173+R173+G173)*Summary!$T$9/(1-Summary!$T$9),(T173+R173+G173)*Summary!$U$9/(1-Summary!$U$9)))</f>
        <v>#N/A</v>
      </c>
      <c r="W173" s="200" t="e">
        <f aca="false">IF($A174="","",(T173+R173+G173+V173))</f>
        <v>#N/A</v>
      </c>
      <c r="X173" s="200" t="e">
        <f aca="false">IF($A174="","",(U173+S173+H173+V173))</f>
        <v>#N/A</v>
      </c>
      <c r="Y173" s="202"/>
      <c r="Z173" s="185" t="e">
        <f aca="false">IF($A174="","",VLOOKUP($A173,Table,MATCH(Z$4,Curves,0)))</f>
        <v>#N/A</v>
      </c>
      <c r="AA173" s="185" t="e">
        <f aca="false">IF($A174="","",VLOOKUP($A173,Table,MATCH(AA$4,Curves,0)))</f>
        <v>#N/A</v>
      </c>
      <c r="AB173" s="185" t="e">
        <f aca="false">SQRT((AA173^2*(A173-$D$3)+Z173^2*(DAY(EOMONTH(A173,0))/2))/AK173)</f>
        <v>#N/A</v>
      </c>
      <c r="AC173" s="185" t="e">
        <f aca="false">IF($A174="","",VLOOKUP($A173,Table,MATCH(AC$4,Curves,0)))</f>
        <v>#N/A</v>
      </c>
      <c r="AD173" s="185" t="e">
        <f aca="false">IF($A174="","",VLOOKUP($A173,Table,MATCH(AD$4,Curves,0)))</f>
        <v>#N/A</v>
      </c>
      <c r="AE173" s="185" t="e">
        <f aca="false">SQRT((AD173^2*(A173-$D$3)+AC173^2*(DAY(EOMONTH(A173,0))/2))/AK173)</f>
        <v>#N/A</v>
      </c>
      <c r="AF173" s="224" t="e">
        <f aca="false">((Summary!$N$9*(AA173*AD173)*(A173-$D$3))+(Summary!$M$9*Z173*AC173*(AJ173-EOMONTH(EDATE(A173,-1),0))))/(AK173*AB173*AE173)</f>
        <v>#N/A</v>
      </c>
      <c r="AG173" s="207" t="n">
        <f aca="false">IF($A174="","",Summary!$Q$9)</f>
        <v>0</v>
      </c>
      <c r="AH173" s="207" t="n">
        <f aca="false">IF($A174="","",IF(Summary!$R$9="Y",VLOOKUP($A173,Summary!$AD$6:$AF$9,3)+'Escalating commodity'!E186,'Escalating commodity'!E186))</f>
        <v>0</v>
      </c>
      <c r="AI173" s="207" t="n">
        <f aca="false">IF($A174="","",AH173)</f>
        <v>0</v>
      </c>
      <c r="AJ173" s="208" t="n">
        <f aca="false">A173+DAY(EOMONTH(A173,0))/2-1</f>
        <v>42019.5</v>
      </c>
      <c r="AK173" s="209" t="n">
        <f aca="false">IF($A174="","",$A173-$E$1)</f>
        <v>-3921</v>
      </c>
      <c r="AL173" s="182" t="e">
        <f aca="false">IF($A174="","",SPRDOPT(P173,X173,AI173,0,AB173,AE173,AF173,AK173,$AJ$2,0))</f>
        <v>#NAME?</v>
      </c>
      <c r="AM173" s="211" t="e">
        <f aca="false">IF($A174="","",MAX(0,O173-W173-AI173))</f>
        <v>#N/A</v>
      </c>
      <c r="AN173" s="211" t="e">
        <f aca="false">IF($A174="","",AL173-AM173)</f>
        <v>#N/A</v>
      </c>
      <c r="AO173" s="137" t="n">
        <f aca="false">IF(A174="","",A174-A173)</f>
        <v>31</v>
      </c>
      <c r="AP173" s="212" t="n">
        <f aca="false">IF(A174="","",CHOOSE(F$3,A174+24,A173))</f>
        <v>42005</v>
      </c>
      <c r="AQ173" s="209" t="n">
        <f aca="false">IF(A174="","",AP173-$E$1)</f>
        <v>-3921</v>
      </c>
      <c r="AR173" s="185" t="n">
        <f aca="false">'ANR OK vs ML7'!AR173</f>
        <v>0.1</v>
      </c>
      <c r="AS173" s="213" t="n">
        <f aca="false">IF(A174="","",1/(1+CHOOSE(F$3,(AR174+($I$3/10000))/2,(AR173+($I$3/10000))/2))^(2*AQ173/365.25))</f>
        <v>2.85061809180233</v>
      </c>
      <c r="AT173" s="137" t="n">
        <f aca="false">IF(A174="","",IF(AND(mthbeg&lt;=A173,mthend&gt;=A173),1,0))</f>
        <v>1</v>
      </c>
      <c r="AU173" s="137" t="n">
        <f aca="false">IF(A174="","",AO173*AT173)</f>
        <v>31</v>
      </c>
      <c r="AW173" s="195" t="e">
        <f aca="false">IF($A174="","",AL173*$E173)</f>
        <v>#NAME?</v>
      </c>
      <c r="AX173" s="195" t="e">
        <f aca="false">IF($A174="","",AM173*$E173)</f>
        <v>#N/A</v>
      </c>
      <c r="AY173" s="195" t="e">
        <f aca="false">IF($A174="","",AN173*$E173)</f>
        <v>#N/A</v>
      </c>
      <c r="BA173" s="195" t="n">
        <f aca="false">IF($A174="","",F173*Summary!$Q$9)</f>
        <v>0</v>
      </c>
      <c r="BC173" s="179" t="e">
        <f aca="false">IF(A174="","",AM173*F173)</f>
        <v>#N/A</v>
      </c>
    </row>
    <row r="174" customFormat="false" ht="12" hidden="false" customHeight="true" outlineLevel="0" collapsed="false">
      <c r="A174" s="196" t="n">
        <f aca="false">IF(A173&lt;mthend,EDATE(A173,1),"")</f>
        <v>42036</v>
      </c>
      <c r="B174" s="197" t="str">
        <f aca="false">IF(A174&lt;mthend,B173,"")</f>
        <v/>
      </c>
      <c r="C174" s="215"/>
      <c r="D174" s="197" t="str">
        <f aca="false">IF(A175&lt;&gt;"",B174+C174,"")</f>
        <v/>
      </c>
      <c r="E174" s="199" t="str">
        <f aca="false">IF(A175="","",IF(AND(AT174=1,$H$3=1),D174*AO174,IF($H$3=2,D174,"N/A")))</f>
        <v/>
      </c>
      <c r="F174" s="199" t="str">
        <f aca="false">IF(A175="","",E174*AS174)</f>
        <v/>
      </c>
      <c r="G174" s="200" t="str">
        <f aca="false">IF($A175="","",VLOOKUP($A174,Table,MATCH(G$4,Curves,0)))</f>
        <v/>
      </c>
      <c r="H174" s="201" t="str">
        <f aca="false">IF(A175="","",G174)</f>
        <v/>
      </c>
      <c r="I174" s="202"/>
      <c r="J174" s="200" t="str">
        <f aca="false">IF($A175="","",VLOOKUP($A174,Table,MATCH(J$4,Curves,0)))</f>
        <v/>
      </c>
      <c r="K174" s="201" t="str">
        <f aca="false">IF(A175="","",J174)</f>
        <v/>
      </c>
      <c r="L174" s="200" t="str">
        <f aca="false">IF($A175="","",VLOOKUP($A174,Table,MATCH(L$4,Curves,0)))</f>
        <v/>
      </c>
      <c r="M174" s="201" t="str">
        <f aca="false">IF(A175="","",L174)</f>
        <v/>
      </c>
      <c r="N174" s="203"/>
      <c r="O174" s="200" t="str">
        <f aca="false">IF(A175="","",L174+J174+G174)</f>
        <v/>
      </c>
      <c r="P174" s="200" t="str">
        <f aca="false">IF(A175="","",M174+K174+H174)</f>
        <v/>
      </c>
      <c r="Q174" s="204"/>
      <c r="R174" s="200" t="str">
        <f aca="false">IF($A175="","",VLOOKUP($A174,Table,MATCH(R$4,Curves,0)))</f>
        <v/>
      </c>
      <c r="S174" s="201" t="str">
        <f aca="false">IF(A175="","",R174)</f>
        <v/>
      </c>
      <c r="T174" s="200" t="str">
        <f aca="false">IF($A175="","",VLOOKUP($A174,Table,MATCH(T$4,Curves,0)))</f>
        <v/>
      </c>
      <c r="U174" s="201" t="str">
        <f aca="false">IF(A175="","",T174)</f>
        <v/>
      </c>
      <c r="V174" s="225" t="str">
        <f aca="false">IF($A175="","",IF(AND(MONTH(A174)&gt;3,MONTH(A174)&lt;11),(T174+R174+G174)*Summary!$T$9/(1-Summary!$T$9),(T174+R174+G174)*Summary!$U$9/(1-Summary!$U$9)))</f>
        <v/>
      </c>
      <c r="W174" s="200" t="str">
        <f aca="false">IF($A175="","",(T174+R174+G174+V174))</f>
        <v/>
      </c>
      <c r="X174" s="200" t="str">
        <f aca="false">IF($A175="","",(U174+S174+H174+V174))</f>
        <v/>
      </c>
      <c r="Y174" s="202"/>
      <c r="Z174" s="185" t="str">
        <f aca="false">IF($A175="","",VLOOKUP($A174,Table,MATCH(Z$4,Curves,0)))</f>
        <v/>
      </c>
      <c r="AA174" s="185" t="str">
        <f aca="false">IF($A175="","",VLOOKUP($A174,Table,MATCH(AA$4,Curves,0)))</f>
        <v/>
      </c>
      <c r="AB174" s="185" t="e">
        <f aca="false">SQRT((AA174^2*(A174-$D$3)+Z174^2*(DAY(EOMONTH(A174,0))/2))/AK174)</f>
        <v>#VALUE!</v>
      </c>
      <c r="AC174" s="185" t="str">
        <f aca="false">IF($A175="","",VLOOKUP($A174,Table,MATCH(AC$4,Curves,0)))</f>
        <v/>
      </c>
      <c r="AD174" s="185" t="str">
        <f aca="false">IF($A175="","",VLOOKUP($A174,Table,MATCH(AD$4,Curves,0)))</f>
        <v/>
      </c>
      <c r="AE174" s="185" t="e">
        <f aca="false">SQRT((AD174^2*(A174-$D$3)+AC174^2*(DAY(EOMONTH(A174,0))/2))/AK174)</f>
        <v>#VALUE!</v>
      </c>
      <c r="AF174" s="224" t="e">
        <f aca="false">((Summary!$N$9*(AA174*AD174)*(A174-$D$3))+(Summary!$M$9*Z174*AC174*(AJ174-EOMONTH(EDATE(A174,-1),0))))/(AK174*AB174*AE174)</f>
        <v>#VALUE!</v>
      </c>
      <c r="AG174" s="207" t="str">
        <f aca="false">IF($A175="","",Summary!$Q$9)</f>
        <v/>
      </c>
      <c r="AH174" s="207" t="str">
        <f aca="false">IF($A175="","",IF(Summary!$R$9="Y",VLOOKUP($A174,Summary!$AD$6:$AF$9,3)+'Escalating commodity'!E187,'Escalating commodity'!E187))</f>
        <v/>
      </c>
      <c r="AI174" s="207" t="str">
        <f aca="false">IF($A175="","",AH174)</f>
        <v/>
      </c>
      <c r="AJ174" s="208" t="n">
        <f aca="false">A174+DAY(EOMONTH(A174,0))/2-1</f>
        <v>42049</v>
      </c>
      <c r="AK174" s="209" t="str">
        <f aca="false">IF($A175="","",$A174-$E$1)</f>
        <v/>
      </c>
      <c r="AL174" s="182" t="str">
        <f aca="false">IF($A175="","",SPRDOPT(P174,X174,AI174,0,AB174,AE174,AF174,AK174,$AJ$2,0))</f>
        <v/>
      </c>
      <c r="AM174" s="211" t="str">
        <f aca="false">IF($A175="","",MAX(0,O174-W174-AI174))</f>
        <v/>
      </c>
      <c r="AN174" s="211" t="str">
        <f aca="false">IF($A175="","",AL174-AM174)</f>
        <v/>
      </c>
      <c r="AO174" s="137" t="str">
        <f aca="false">IF(A175="","",A175-A174)</f>
        <v/>
      </c>
      <c r="AP174" s="212" t="str">
        <f aca="false">IF(A175="","",CHOOSE(F$3,A175+24,A174))</f>
        <v/>
      </c>
      <c r="AQ174" s="209" t="str">
        <f aca="false">IF(A175="","",AP174-$E$1)</f>
        <v/>
      </c>
      <c r="AR174" s="185" t="n">
        <f aca="false">'ANR OK vs ML7'!AR174</f>
        <v>0.1</v>
      </c>
      <c r="AS174" s="213" t="str">
        <f aca="false">IF(A175="","",1/(1+CHOOSE(F$3,(AR175+($I$3/10000))/2,(AR174+($I$3/10000))/2))^(2*AQ174/365.25))</f>
        <v/>
      </c>
      <c r="AT174" s="137" t="str">
        <f aca="false">IF(A175="","",IF(AND(mthbeg&lt;=A174,mthend&gt;=A174),1,0))</f>
        <v/>
      </c>
      <c r="AU174" s="137" t="str">
        <f aca="false">IF(A175="","",AO174*AT174)</f>
        <v/>
      </c>
      <c r="AW174" s="195" t="str">
        <f aca="false">IF($A175="","",AL174*$E174)</f>
        <v/>
      </c>
      <c r="AX174" s="195" t="str">
        <f aca="false">IF($A175="","",AM174*$E174)</f>
        <v/>
      </c>
      <c r="AY174" s="195" t="str">
        <f aca="false">IF($A175="","",AN174*$E174)</f>
        <v/>
      </c>
      <c r="BA174" s="195" t="str">
        <f aca="false">IF($A175="","",F174*Summary!$Q$9)</f>
        <v/>
      </c>
    </row>
    <row r="175" customFormat="false" ht="12" hidden="false" customHeight="true" outlineLevel="0" collapsed="false">
      <c r="A175" s="196" t="str">
        <f aca="false">IF(A174&lt;mthend,EDATE(A174,1),"")</f>
        <v/>
      </c>
      <c r="B175" s="197" t="str">
        <f aca="false">IF(A175&lt;mthend,B174,"")</f>
        <v/>
      </c>
      <c r="C175" s="215"/>
      <c r="D175" s="197" t="str">
        <f aca="false">IF(A176&lt;&gt;"",B175+C175,"")</f>
        <v/>
      </c>
      <c r="E175" s="199" t="str">
        <f aca="false">IF(A176="","",IF(AND(AT175=1,$H$3=1),D175*AO175,IF($H$3=2,D175,"N/A")))</f>
        <v/>
      </c>
      <c r="F175" s="199" t="str">
        <f aca="false">IF(A176="","",E175*AS175)</f>
        <v/>
      </c>
      <c r="G175" s="200" t="str">
        <f aca="false">IF($A176="","",VLOOKUP($A175,Table,MATCH(G$4,Curves,0)))</f>
        <v/>
      </c>
      <c r="H175" s="201" t="str">
        <f aca="false">IF(A176="","",G175)</f>
        <v/>
      </c>
      <c r="I175" s="202"/>
      <c r="J175" s="200" t="str">
        <f aca="false">IF($A176="","",VLOOKUP($A175,Table,MATCH(J$4,Curves,0)))</f>
        <v/>
      </c>
      <c r="K175" s="201" t="str">
        <f aca="false">IF(A176="","",J175)</f>
        <v/>
      </c>
      <c r="L175" s="200" t="str">
        <f aca="false">IF($A176="","",VLOOKUP($A175,Table,MATCH(L$4,Curves,0)))</f>
        <v/>
      </c>
      <c r="M175" s="201" t="str">
        <f aca="false">IF(A176="","",L175)</f>
        <v/>
      </c>
      <c r="N175" s="203"/>
      <c r="O175" s="200" t="str">
        <f aca="false">IF(A176="","",L175+J175+G175)</f>
        <v/>
      </c>
      <c r="P175" s="200" t="str">
        <f aca="false">IF(A176="","",M175+K175+H175)</f>
        <v/>
      </c>
      <c r="Q175" s="204"/>
      <c r="R175" s="200" t="str">
        <f aca="false">IF($A176="","",VLOOKUP($A175,Table,MATCH(R$4,Curves,0)))</f>
        <v/>
      </c>
      <c r="S175" s="201" t="str">
        <f aca="false">IF(A176="","",R175)</f>
        <v/>
      </c>
      <c r="T175" s="200" t="str">
        <f aca="false">IF($A176="","",VLOOKUP($A175,Table,MATCH(T$4,Curves,0)))</f>
        <v/>
      </c>
      <c r="U175" s="201" t="str">
        <f aca="false">IF(A176="","",T175)</f>
        <v/>
      </c>
      <c r="V175" s="225" t="str">
        <f aca="false">IF($A176="","",IF(AND(MONTH(A175)&gt;3,MONTH(A175)&lt;11),(T175+R175+G175)*Summary!$T$9/(1-Summary!$T$9),(T175+R175+G175)*Summary!$U$9/(1-Summary!$U$9)))</f>
        <v/>
      </c>
      <c r="W175" s="200" t="str">
        <f aca="false">IF($A176="","",(T175+R175+G175+V175))</f>
        <v/>
      </c>
      <c r="X175" s="200" t="str">
        <f aca="false">IF($A176="","",(U175+S175+H175+V175))</f>
        <v/>
      </c>
      <c r="Y175" s="202"/>
      <c r="Z175" s="185" t="str">
        <f aca="false">IF($A176="","",VLOOKUP($A175,Table,MATCH(Z$4,Curves,0)))</f>
        <v/>
      </c>
      <c r="AA175" s="185" t="str">
        <f aca="false">IF($A176="","",VLOOKUP($A175,Table,MATCH(AA$4,Curves,0)))</f>
        <v/>
      </c>
      <c r="AB175" s="185" t="e">
        <f aca="false">SQRT((AA175^2*(A175-$D$3)+Z175^2*(DAY(EOMONTH(A175,0))/2))/AK175)</f>
        <v>#VALUE!</v>
      </c>
      <c r="AC175" s="185" t="str">
        <f aca="false">IF($A176="","",VLOOKUP($A175,Table,MATCH(AC$4,Curves,0)))</f>
        <v/>
      </c>
      <c r="AD175" s="185" t="str">
        <f aca="false">IF($A176="","",VLOOKUP($A175,Table,MATCH(AD$4,Curves,0)))</f>
        <v/>
      </c>
      <c r="AE175" s="185" t="e">
        <f aca="false">SQRT((AD175^2*(A175-$D$3)+AC175^2*(DAY(EOMONTH(A175,0))/2))/AK175)</f>
        <v>#VALUE!</v>
      </c>
      <c r="AF175" s="224" t="e">
        <f aca="false">((Summary!$N$9*(AA175*AD175)*(A175-$D$3))+(Summary!$M$9*Z175*AC175*(AJ175-EOMONTH(EDATE(A175,-1),0))))/(AK175*AB175*AE175)</f>
        <v>#VALUE!</v>
      </c>
      <c r="AG175" s="207" t="str">
        <f aca="false">IF($A176="","",Summary!$Q$9)</f>
        <v/>
      </c>
      <c r="AH175" s="207" t="str">
        <f aca="false">IF($A176="","",IF(Summary!$R$9="Y",VLOOKUP($A175,Summary!$AD$6:$AF$9,3)+'Escalating commodity'!E188,'Escalating commodity'!E188))</f>
        <v/>
      </c>
      <c r="AI175" s="207" t="str">
        <f aca="false">IF($A176="","",AH175)</f>
        <v/>
      </c>
      <c r="AJ175" s="208" t="e">
        <f aca="false">A175+DAY(EOMONTH(A175,0))/2-1</f>
        <v>#VALUE!</v>
      </c>
      <c r="AK175" s="209" t="str">
        <f aca="false">IF($A176="","",$A175-$E$1)</f>
        <v/>
      </c>
      <c r="AL175" s="182" t="str">
        <f aca="false">IF($A176="","",SPRDOPT(P175,X175,AI175,0,AB175,AE175,AF175,AK175,$AJ$2,0))</f>
        <v/>
      </c>
      <c r="AM175" s="211" t="str">
        <f aca="false">IF($A176="","",MAX(0,O175-W175-AI175))</f>
        <v/>
      </c>
      <c r="AN175" s="211" t="str">
        <f aca="false">IF($A176="","",AL175-AM175)</f>
        <v/>
      </c>
      <c r="AO175" s="137" t="str">
        <f aca="false">IF(A176="","",A176-A175)</f>
        <v/>
      </c>
      <c r="AP175" s="212" t="str">
        <f aca="false">IF(A176="","",CHOOSE(F$3,A176+24,A175))</f>
        <v/>
      </c>
      <c r="AQ175" s="209" t="str">
        <f aca="false">IF(A176="","",AP175-$E$1)</f>
        <v/>
      </c>
      <c r="AR175" s="185" t="n">
        <f aca="false">'ANR OK vs ML7'!AR175</f>
        <v>0.1</v>
      </c>
      <c r="AS175" s="213" t="str">
        <f aca="false">IF(A176="","",1/(1+CHOOSE(F$3,(AR176+($I$3/10000))/2,(AR175+($I$3/10000))/2))^(2*AQ175/365.25))</f>
        <v/>
      </c>
      <c r="AT175" s="137" t="str">
        <f aca="false">IF(A176="","",IF(AND(mthbeg&lt;=A175,mthend&gt;=A175),1,0))</f>
        <v/>
      </c>
      <c r="AU175" s="137" t="str">
        <f aca="false">IF(A176="","",AO175*AT175)</f>
        <v/>
      </c>
      <c r="AW175" s="195" t="str">
        <f aca="false">IF($A176="","",AL175*$E175)</f>
        <v/>
      </c>
      <c r="AX175" s="195" t="str">
        <f aca="false">IF($A176="","",AM175*$E175)</f>
        <v/>
      </c>
      <c r="AY175" s="195" t="str">
        <f aca="false">IF($A176="","",AN175*$E175)</f>
        <v/>
      </c>
      <c r="BA175" s="195" t="str">
        <f aca="false">IF($A176="","",F175*Summary!$Q$9)</f>
        <v/>
      </c>
    </row>
    <row r="176" customFormat="false" ht="12" hidden="false" customHeight="true" outlineLevel="0" collapsed="false">
      <c r="A176" s="196" t="str">
        <f aca="false">IF(A175&lt;mthend,EDATE(A175,1),"")</f>
        <v/>
      </c>
      <c r="B176" s="197" t="str">
        <f aca="false">IF(A176&lt;mthend,B175,"")</f>
        <v/>
      </c>
      <c r="C176" s="215"/>
      <c r="D176" s="197" t="str">
        <f aca="false">IF(A177&lt;&gt;"",B176+C176,"")</f>
        <v/>
      </c>
      <c r="E176" s="199" t="str">
        <f aca="false">IF(A177="","",IF(AND(AT176=1,$H$3=1),D176*AO176,IF($H$3=2,D176,"N/A")))</f>
        <v/>
      </c>
      <c r="F176" s="199" t="str">
        <f aca="false">IF(A177="","",E176*AS176)</f>
        <v/>
      </c>
      <c r="G176" s="200" t="str">
        <f aca="false">IF($A177="","",VLOOKUP($A176,Table,MATCH(G$4,Curves,0)))</f>
        <v/>
      </c>
      <c r="H176" s="201" t="str">
        <f aca="false">IF(A177="","",G176)</f>
        <v/>
      </c>
      <c r="I176" s="202"/>
      <c r="J176" s="200" t="str">
        <f aca="false">IF($A177="","",VLOOKUP($A176,Table,MATCH(J$4,Curves,0)))</f>
        <v/>
      </c>
      <c r="K176" s="201" t="str">
        <f aca="false">IF(A177="","",J176)</f>
        <v/>
      </c>
      <c r="L176" s="200" t="str">
        <f aca="false">IF($A177="","",VLOOKUP($A176,Table,MATCH(L$4,Curves,0)))</f>
        <v/>
      </c>
      <c r="M176" s="201" t="str">
        <f aca="false">IF(A177="","",L176)</f>
        <v/>
      </c>
      <c r="N176" s="203"/>
      <c r="O176" s="200" t="str">
        <f aca="false">IF(A177="","",L176+J176+G176)</f>
        <v/>
      </c>
      <c r="P176" s="200" t="str">
        <f aca="false">IF(A177="","",M176+K176+H176)</f>
        <v/>
      </c>
      <c r="Q176" s="204"/>
      <c r="R176" s="200" t="str">
        <f aca="false">IF($A177="","",VLOOKUP($A176,Table,MATCH(R$4,Curves,0)))</f>
        <v/>
      </c>
      <c r="S176" s="201" t="str">
        <f aca="false">IF(A177="","",R176)</f>
        <v/>
      </c>
      <c r="T176" s="200" t="str">
        <f aca="false">IF($A177="","",VLOOKUP($A176,Table,MATCH(T$4,Curves,0)))</f>
        <v/>
      </c>
      <c r="U176" s="201" t="str">
        <f aca="false">IF(A177="","",T176)</f>
        <v/>
      </c>
      <c r="V176" s="225" t="str">
        <f aca="false">IF($A177="","",IF(AND(MONTH(A176)&gt;3,MONTH(A176)&lt;11),(T176+R176+G176)*Summary!$T$9/(1-Summary!$T$9),(T176+R176+G176)*Summary!$U$9/(1-Summary!$U$9)))</f>
        <v/>
      </c>
      <c r="W176" s="200" t="str">
        <f aca="false">IF($A177="","",(T176+R176+G176+V176))</f>
        <v/>
      </c>
      <c r="X176" s="200" t="str">
        <f aca="false">IF($A177="","",(U176+S176+H176+V176))</f>
        <v/>
      </c>
      <c r="Y176" s="202"/>
      <c r="Z176" s="185" t="str">
        <f aca="false">IF($A177="","",VLOOKUP($A176,Table,MATCH(Z$4,Curves,0)))</f>
        <v/>
      </c>
      <c r="AA176" s="185" t="str">
        <f aca="false">IF($A177="","",VLOOKUP($A176,Table,MATCH(AA$4,Curves,0)))</f>
        <v/>
      </c>
      <c r="AB176" s="185" t="e">
        <f aca="false">SQRT((AA176^2*(A176-$D$3)+Z176^2*(DAY(EOMONTH(A176,0))/2))/AK176)</f>
        <v>#VALUE!</v>
      </c>
      <c r="AC176" s="185" t="str">
        <f aca="false">IF($A177="","",VLOOKUP($A176,Table,MATCH(AC$4,Curves,0)))</f>
        <v/>
      </c>
      <c r="AD176" s="185" t="str">
        <f aca="false">IF($A177="","",VLOOKUP($A176,Table,MATCH(AD$4,Curves,0)))</f>
        <v/>
      </c>
      <c r="AE176" s="185" t="e">
        <f aca="false">SQRT((AD176^2*(A176-$D$3)+AC176^2*(DAY(EOMONTH(A176,0))/2))/AK176)</f>
        <v>#VALUE!</v>
      </c>
      <c r="AF176" s="224" t="e">
        <f aca="false">((Summary!$N$9*(AA176*AD176)*(A176-$D$3))+(Summary!$M$9*Z176*AC176*(AJ176-EOMONTH(EDATE(A176,-1),0))))/(AK176*AB176*AE176)</f>
        <v>#VALUE!</v>
      </c>
      <c r="AG176" s="207" t="str">
        <f aca="false">IF($A177="","",Summary!$Q$9)</f>
        <v/>
      </c>
      <c r="AH176" s="207" t="str">
        <f aca="false">IF($A177="","",IF(Summary!$R$9="Y",VLOOKUP($A176,Summary!$AD$6:$AF$9,3)+'Escalating commodity'!E189,'Escalating commodity'!E189))</f>
        <v/>
      </c>
      <c r="AI176" s="207" t="str">
        <f aca="false">IF($A177="","",AH176)</f>
        <v/>
      </c>
      <c r="AJ176" s="208" t="e">
        <f aca="false">A176+DAY(EOMONTH(A176,0))/2-1</f>
        <v>#VALUE!</v>
      </c>
      <c r="AK176" s="209" t="str">
        <f aca="false">IF($A177="","",$A176-$E$1)</f>
        <v/>
      </c>
      <c r="AL176" s="182" t="str">
        <f aca="false">IF($A177="","",SPRDOPT(P176,X176,AI176,0,AB176,AE176,AF176,AK176,$AJ$2,0))</f>
        <v/>
      </c>
      <c r="AM176" s="211" t="str">
        <f aca="false">IF($A177="","",MAX(0,O176-W176-AI176))</f>
        <v/>
      </c>
      <c r="AN176" s="211" t="str">
        <f aca="false">IF($A177="","",AL176-AM176)</f>
        <v/>
      </c>
      <c r="AO176" s="137" t="str">
        <f aca="false">IF(A177="","",A177-A176)</f>
        <v/>
      </c>
      <c r="AP176" s="212" t="str">
        <f aca="false">IF(A177="","",CHOOSE(F$3,A177+24,A176))</f>
        <v/>
      </c>
      <c r="AQ176" s="209" t="str">
        <f aca="false">IF(A177="","",AP176-$E$1)</f>
        <v/>
      </c>
      <c r="AR176" s="185" t="n">
        <f aca="false">'ANR OK vs ML7'!AR176</f>
        <v>0.1</v>
      </c>
      <c r="AS176" s="213" t="str">
        <f aca="false">IF(A177="","",1/(1+CHOOSE(F$3,(AR177+($I$3/10000))/2,(AR176+($I$3/10000))/2))^(2*AQ176/365.25))</f>
        <v/>
      </c>
      <c r="AT176" s="137" t="str">
        <f aca="false">IF(A177="","",IF(AND(mthbeg&lt;=A176,mthend&gt;=A176),1,0))</f>
        <v/>
      </c>
      <c r="AU176" s="137" t="str">
        <f aca="false">IF(A177="","",AO176*AT176)</f>
        <v/>
      </c>
      <c r="AW176" s="195" t="str">
        <f aca="false">IF($A177="","",AL176*$E176)</f>
        <v/>
      </c>
      <c r="AX176" s="195" t="str">
        <f aca="false">IF($A177="","",AM176*$E176)</f>
        <v/>
      </c>
      <c r="AY176" s="195" t="str">
        <f aca="false">IF($A177="","",AN176*$E176)</f>
        <v/>
      </c>
      <c r="BA176" s="195" t="str">
        <f aca="false">IF($A177="","",F176*Summary!$Q$9)</f>
        <v/>
      </c>
    </row>
    <row r="177" customFormat="false" ht="12" hidden="false" customHeight="true" outlineLevel="0" collapsed="false">
      <c r="A177" s="196" t="str">
        <f aca="false">IF(A176&lt;mthend,EDATE(A176,1),"")</f>
        <v/>
      </c>
      <c r="B177" s="197" t="str">
        <f aca="false">IF(A177&lt;mthend,B176,"")</f>
        <v/>
      </c>
      <c r="C177" s="215"/>
      <c r="D177" s="197" t="str">
        <f aca="false">IF(A178&lt;&gt;"",B177+C177,"")</f>
        <v/>
      </c>
      <c r="E177" s="199" t="str">
        <f aca="false">IF(A178="","",IF(AND(AT177=1,$H$3=1),D177*AO177,IF($H$3=2,D177,"N/A")))</f>
        <v/>
      </c>
      <c r="F177" s="199" t="str">
        <f aca="false">IF(A178="","",E177*AS177)</f>
        <v/>
      </c>
      <c r="G177" s="200" t="str">
        <f aca="false">IF($A178="","",VLOOKUP($A177,Table,MATCH(G$4,Curves,0)))</f>
        <v/>
      </c>
      <c r="H177" s="201" t="str">
        <f aca="false">IF(A178="","",G177)</f>
        <v/>
      </c>
      <c r="I177" s="202"/>
      <c r="J177" s="200" t="str">
        <f aca="false">IF($A178="","",VLOOKUP($A177,Table,MATCH(J$4,Curves,0)))</f>
        <v/>
      </c>
      <c r="K177" s="201" t="str">
        <f aca="false">IF(A178="","",J177)</f>
        <v/>
      </c>
      <c r="L177" s="200" t="str">
        <f aca="false">IF($A178="","",VLOOKUP($A177,Table,MATCH(L$4,Curves,0)))</f>
        <v/>
      </c>
      <c r="M177" s="201" t="str">
        <f aca="false">IF(A178="","",L177)</f>
        <v/>
      </c>
      <c r="N177" s="203"/>
      <c r="O177" s="200" t="str">
        <f aca="false">IF(A178="","",L177+J177+G177)</f>
        <v/>
      </c>
      <c r="P177" s="200" t="str">
        <f aca="false">IF(A178="","",M177+K177+H177)</f>
        <v/>
      </c>
      <c r="Q177" s="204"/>
      <c r="R177" s="200" t="str">
        <f aca="false">IF($A178="","",VLOOKUP($A177,Table,MATCH(R$4,Curves,0)))</f>
        <v/>
      </c>
      <c r="S177" s="201" t="str">
        <f aca="false">IF(A178="","",R177)</f>
        <v/>
      </c>
      <c r="T177" s="200" t="str">
        <f aca="false">IF($A178="","",VLOOKUP($A177,Table,MATCH(T$4,Curves,0)))</f>
        <v/>
      </c>
      <c r="U177" s="201" t="str">
        <f aca="false">IF(A178="","",T177)</f>
        <v/>
      </c>
      <c r="V177" s="225" t="str">
        <f aca="false">IF($A178="","",IF(AND(MONTH(A177)&gt;3,MONTH(A177)&lt;11),(T177+R177+G177)*Summary!$T$9/(1-Summary!$T$9),(T177+R177+G177)*Summary!$U$9/(1-Summary!$U$9)))</f>
        <v/>
      </c>
      <c r="W177" s="200" t="str">
        <f aca="false">IF($A178="","",(T177+R177+G177+V177))</f>
        <v/>
      </c>
      <c r="X177" s="200" t="str">
        <f aca="false">IF($A178="","",(U177+S177+H177+V177))</f>
        <v/>
      </c>
      <c r="Y177" s="202"/>
      <c r="Z177" s="185" t="str">
        <f aca="false">IF($A178="","",VLOOKUP($A177,Table,MATCH(Z$4,Curves,0)))</f>
        <v/>
      </c>
      <c r="AA177" s="185" t="str">
        <f aca="false">IF($A178="","",VLOOKUP($A177,Table,MATCH(AA$4,Curves,0)))</f>
        <v/>
      </c>
      <c r="AB177" s="185" t="e">
        <f aca="false">SQRT((AA177^2*(A177-$D$3)+Z177^2*(DAY(EOMONTH(A177,0))/2))/AK177)</f>
        <v>#VALUE!</v>
      </c>
      <c r="AC177" s="185" t="str">
        <f aca="false">IF($A178="","",VLOOKUP($A177,Table,MATCH(AC$4,Curves,0)))</f>
        <v/>
      </c>
      <c r="AD177" s="185" t="str">
        <f aca="false">IF($A178="","",VLOOKUP($A177,Table,MATCH(AD$4,Curves,0)))</f>
        <v/>
      </c>
      <c r="AE177" s="185" t="e">
        <f aca="false">SQRT((AD177^2*(A177-$D$3)+AC177^2*(DAY(EOMONTH(A177,0))/2))/AK177)</f>
        <v>#VALUE!</v>
      </c>
      <c r="AF177" s="224" t="e">
        <f aca="false">((Summary!$N$9*(AA177*AD177)*(A177-$D$3))+(Summary!$M$9*Z177*AC177*(AJ177-EOMONTH(EDATE(A177,-1),0))))/(AK177*AB177*AE177)</f>
        <v>#VALUE!</v>
      </c>
      <c r="AG177" s="207" t="str">
        <f aca="false">IF($A178="","",Summary!$Q$9)</f>
        <v/>
      </c>
      <c r="AH177" s="207" t="str">
        <f aca="false">IF($A178="","",IF(Summary!$R$9="Y",VLOOKUP($A177,Summary!$AD$6:$AF$9,3)+'Escalating commodity'!E190,'Escalating commodity'!E190))</f>
        <v/>
      </c>
      <c r="AI177" s="207" t="str">
        <f aca="false">IF($A178="","",AH177)</f>
        <v/>
      </c>
      <c r="AJ177" s="208" t="e">
        <f aca="false">A177+DAY(EOMONTH(A177,0))/2-1</f>
        <v>#VALUE!</v>
      </c>
      <c r="AK177" s="209" t="str">
        <f aca="false">IF($A178="","",$A177-$E$1)</f>
        <v/>
      </c>
      <c r="AL177" s="182" t="str">
        <f aca="false">IF($A178="","",SPRDOPT(P177,X177,AI177,0,AB177,AE177,AF177,AK177,$AJ$2,0))</f>
        <v/>
      </c>
      <c r="AM177" s="211" t="str">
        <f aca="false">IF($A178="","",MAX(0,O177-W177-AI177))</f>
        <v/>
      </c>
      <c r="AN177" s="211" t="str">
        <f aca="false">IF($A178="","",AL177-AM177)</f>
        <v/>
      </c>
      <c r="AO177" s="137" t="str">
        <f aca="false">IF(A178="","",A178-A177)</f>
        <v/>
      </c>
      <c r="AP177" s="212" t="str">
        <f aca="false">IF(A178="","",CHOOSE(F$3,A178+24,A177))</f>
        <v/>
      </c>
      <c r="AQ177" s="209" t="str">
        <f aca="false">IF(A178="","",AP177-$E$1)</f>
        <v/>
      </c>
      <c r="AR177" s="185" t="n">
        <f aca="false">'ANR OK vs ML7'!AR177</f>
        <v>0.1</v>
      </c>
      <c r="AS177" s="213" t="str">
        <f aca="false">IF(A178="","",1/(1+CHOOSE(F$3,(AR178+($I$3/10000))/2,(AR177+($I$3/10000))/2))^(2*AQ177/365.25))</f>
        <v/>
      </c>
      <c r="AT177" s="137" t="str">
        <f aca="false">IF(A178="","",IF(AND(mthbeg&lt;=A177,mthend&gt;=A177),1,0))</f>
        <v/>
      </c>
      <c r="AU177" s="137" t="str">
        <f aca="false">IF(A178="","",AO177*AT177)</f>
        <v/>
      </c>
      <c r="AW177" s="195" t="str">
        <f aca="false">IF($A178="","",AL177*$E177)</f>
        <v/>
      </c>
      <c r="AX177" s="195" t="str">
        <f aca="false">IF($A178="","",AM177*$E177)</f>
        <v/>
      </c>
      <c r="AY177" s="195" t="str">
        <f aca="false">IF($A178="","",AN177*$E177)</f>
        <v/>
      </c>
      <c r="BA177" s="195" t="str">
        <f aca="false">IF($A178="","",F177*Summary!$Q$9)</f>
        <v/>
      </c>
    </row>
    <row r="178" customFormat="false" ht="12" hidden="false" customHeight="true" outlineLevel="0" collapsed="false">
      <c r="A178" s="196" t="str">
        <f aca="false">IF(A177&lt;mthend,EDATE(A177,1),"")</f>
        <v/>
      </c>
      <c r="B178" s="197" t="str">
        <f aca="false">IF(A178&lt;mthend,B177,"")</f>
        <v/>
      </c>
      <c r="C178" s="215"/>
      <c r="D178" s="197" t="str">
        <f aca="false">IF(A179&lt;&gt;"",B178+C178,"")</f>
        <v/>
      </c>
      <c r="E178" s="199" t="str">
        <f aca="false">IF(A179="","",IF(AND(AT178=1,$H$3=1),D178*AO178,IF($H$3=2,D178,"N/A")))</f>
        <v/>
      </c>
      <c r="F178" s="199" t="str">
        <f aca="false">IF(A179="","",E178*AS178)</f>
        <v/>
      </c>
      <c r="G178" s="200" t="str">
        <f aca="false">IF($A179="","",VLOOKUP($A178,Table,MATCH(G$4,Curves,0)))</f>
        <v/>
      </c>
      <c r="H178" s="201" t="str">
        <f aca="false">IF(A179="","",G178)</f>
        <v/>
      </c>
      <c r="I178" s="202"/>
      <c r="J178" s="200" t="str">
        <f aca="false">IF($A179="","",VLOOKUP($A178,Table,MATCH(J$4,Curves,0)))</f>
        <v/>
      </c>
      <c r="K178" s="201" t="str">
        <f aca="false">IF(A179="","",J178)</f>
        <v/>
      </c>
      <c r="L178" s="200" t="str">
        <f aca="false">IF($A179="","",VLOOKUP($A178,Table,MATCH(L$4,Curves,0)))</f>
        <v/>
      </c>
      <c r="M178" s="201" t="str">
        <f aca="false">IF(A179="","",L178)</f>
        <v/>
      </c>
      <c r="N178" s="203"/>
      <c r="O178" s="200" t="str">
        <f aca="false">IF(A179="","",L178+J178+G178)</f>
        <v/>
      </c>
      <c r="P178" s="200" t="str">
        <f aca="false">IF(A179="","",M178+K178+H178)</f>
        <v/>
      </c>
      <c r="Q178" s="204"/>
      <c r="R178" s="200" t="str">
        <f aca="false">IF($A179="","",VLOOKUP($A178,Table,MATCH(R$4,Curves,0)))</f>
        <v/>
      </c>
      <c r="S178" s="201" t="str">
        <f aca="false">IF(A179="","",R178)</f>
        <v/>
      </c>
      <c r="T178" s="200" t="str">
        <f aca="false">IF($A179="","",VLOOKUP($A178,Table,MATCH(T$4,Curves,0)))</f>
        <v/>
      </c>
      <c r="U178" s="201" t="str">
        <f aca="false">IF(A179="","",T178)</f>
        <v/>
      </c>
      <c r="V178" s="225" t="str">
        <f aca="false">IF($A179="","",IF(AND(MONTH(A178)&gt;3,MONTH(A178)&lt;11),(T178+R178+G178)*Summary!$T$9/(1-Summary!$T$9),(T178+R178+G178)*Summary!$U$9/(1-Summary!$U$9)))</f>
        <v/>
      </c>
      <c r="W178" s="200" t="str">
        <f aca="false">IF($A179="","",(T178+R178+G178+V178))</f>
        <v/>
      </c>
      <c r="X178" s="200" t="str">
        <f aca="false">IF($A179="","",(U178+S178+H178+V178))</f>
        <v/>
      </c>
      <c r="Y178" s="202"/>
      <c r="Z178" s="185" t="str">
        <f aca="false">IF($A179="","",VLOOKUP($A178,Table,MATCH(Z$4,Curves,0)))</f>
        <v/>
      </c>
      <c r="AA178" s="185" t="str">
        <f aca="false">IF($A179="","",VLOOKUP($A178,Table,MATCH(AA$4,Curves,0)))</f>
        <v/>
      </c>
      <c r="AB178" s="185" t="e">
        <f aca="false">SQRT((AA178^2*(A178-$D$3)+Z178^2*(DAY(EOMONTH(A178,0))/2))/AK178)</f>
        <v>#VALUE!</v>
      </c>
      <c r="AC178" s="185" t="str">
        <f aca="false">IF($A179="","",VLOOKUP($A178,Table,MATCH(AC$4,Curves,0)))</f>
        <v/>
      </c>
      <c r="AD178" s="185" t="str">
        <f aca="false">IF($A179="","",VLOOKUP($A178,Table,MATCH(AD$4,Curves,0)))</f>
        <v/>
      </c>
      <c r="AE178" s="185" t="e">
        <f aca="false">SQRT((AD178^2*(A178-$D$3)+AC178^2*(DAY(EOMONTH(A178,0))/2))/AK178)</f>
        <v>#VALUE!</v>
      </c>
      <c r="AF178" s="224" t="e">
        <f aca="false">((Summary!$N$9*(AA178*AD178)*(A178-$D$3))+(Summary!$M$9*Z178*AC178*(AJ178-EOMONTH(EDATE(A178,-1),0))))/(AK178*AB178*AE178)</f>
        <v>#VALUE!</v>
      </c>
      <c r="AG178" s="207" t="str">
        <f aca="false">IF($A179="","",Summary!$Q$9)</f>
        <v/>
      </c>
      <c r="AH178" s="207" t="str">
        <f aca="false">IF($A179="","",IF(Summary!$R$9="Y",VLOOKUP($A178,Summary!$AD$6:$AF$9,3)+'Escalating commodity'!E191,'Escalating commodity'!E191))</f>
        <v/>
      </c>
      <c r="AI178" s="207" t="str">
        <f aca="false">IF($A179="","",AH178)</f>
        <v/>
      </c>
      <c r="AJ178" s="208" t="e">
        <f aca="false">A178+DAY(EOMONTH(A178,0))/2-1</f>
        <v>#VALUE!</v>
      </c>
      <c r="AK178" s="209" t="str">
        <f aca="false">IF($A179="","",$A178-$E$1)</f>
        <v/>
      </c>
      <c r="AL178" s="182" t="str">
        <f aca="false">IF($A179="","",SPRDOPT(P178,X178,AI178,0,AB178,AE178,AF178,AK178,$AJ$2,0))</f>
        <v/>
      </c>
      <c r="AM178" s="211" t="str">
        <f aca="false">IF($A179="","",MAX(0,O178-W178-AI178))</f>
        <v/>
      </c>
      <c r="AN178" s="211" t="str">
        <f aca="false">IF($A179="","",AL178-AM178)</f>
        <v/>
      </c>
      <c r="AO178" s="137" t="str">
        <f aca="false">IF(A179="","",A179-A178)</f>
        <v/>
      </c>
      <c r="AP178" s="212" t="str">
        <f aca="false">IF(A179="","",CHOOSE(F$3,A179+24,A178))</f>
        <v/>
      </c>
      <c r="AQ178" s="209" t="str">
        <f aca="false">IF(A179="","",AP178-$E$1)</f>
        <v/>
      </c>
      <c r="AR178" s="185" t="n">
        <f aca="false">'ANR OK vs ML7'!AR178</f>
        <v>0.1</v>
      </c>
      <c r="AS178" s="213" t="str">
        <f aca="false">IF(A179="","",1/(1+CHOOSE(F$3,(AR179+($I$3/10000))/2,(AR178+($I$3/10000))/2))^(2*AQ178/365.25))</f>
        <v/>
      </c>
      <c r="AT178" s="137" t="str">
        <f aca="false">IF(A179="","",IF(AND(mthbeg&lt;=A178,mthend&gt;=A178),1,0))</f>
        <v/>
      </c>
      <c r="AU178" s="137" t="str">
        <f aca="false">IF(A179="","",AO178*AT178)</f>
        <v/>
      </c>
      <c r="AW178" s="195" t="str">
        <f aca="false">IF($A179="","",AL178*$E178)</f>
        <v/>
      </c>
      <c r="AX178" s="195" t="str">
        <f aca="false">IF($A179="","",AM178*$E178)</f>
        <v/>
      </c>
      <c r="AY178" s="195" t="str">
        <f aca="false">IF($A179="","",AN178*$E178)</f>
        <v/>
      </c>
      <c r="BA178" s="195" t="str">
        <f aca="false">IF($A179="","",F178*Summary!$Q$9)</f>
        <v/>
      </c>
    </row>
    <row r="179" customFormat="false" ht="12" hidden="false" customHeight="true" outlineLevel="0" collapsed="false">
      <c r="A179" s="196" t="str">
        <f aca="false">IF(A178&lt;mthend,EDATE(A178,1),"")</f>
        <v/>
      </c>
      <c r="B179" s="197" t="str">
        <f aca="false">IF(A179&lt;mthend,B178,"")</f>
        <v/>
      </c>
      <c r="C179" s="215"/>
      <c r="D179" s="197" t="str">
        <f aca="false">IF(A180&lt;&gt;"",B179+C179,"")</f>
        <v/>
      </c>
      <c r="E179" s="199" t="str">
        <f aca="false">IF(A180="","",IF(AND(AT179=1,$H$3=1),D179*AO179,IF($H$3=2,D179,"N/A")))</f>
        <v/>
      </c>
      <c r="F179" s="199" t="str">
        <f aca="false">IF(A180="","",E179*AS179)</f>
        <v/>
      </c>
      <c r="G179" s="200" t="str">
        <f aca="false">IF($A180="","",VLOOKUP($A179,Table,MATCH(G$4,Curves,0)))</f>
        <v/>
      </c>
      <c r="H179" s="201" t="str">
        <f aca="false">IF(A180="","",G179)</f>
        <v/>
      </c>
      <c r="I179" s="202"/>
      <c r="J179" s="200" t="str">
        <f aca="false">IF($A180="","",VLOOKUP($A179,Table,MATCH(J$4,Curves,0)))</f>
        <v/>
      </c>
      <c r="K179" s="201" t="str">
        <f aca="false">IF(A180="","",J179)</f>
        <v/>
      </c>
      <c r="L179" s="200" t="str">
        <f aca="false">IF($A180="","",VLOOKUP($A179,Table,MATCH(L$4,Curves,0)))</f>
        <v/>
      </c>
      <c r="M179" s="201" t="str">
        <f aca="false">IF(A180="","",L179)</f>
        <v/>
      </c>
      <c r="N179" s="203"/>
      <c r="O179" s="200" t="str">
        <f aca="false">IF(A180="","",L179+J179+G179)</f>
        <v/>
      </c>
      <c r="P179" s="200" t="str">
        <f aca="false">IF(A180="","",M179+K179+H179)</f>
        <v/>
      </c>
      <c r="Q179" s="204"/>
      <c r="R179" s="200" t="str">
        <f aca="false">IF($A180="","",VLOOKUP($A179,Table,MATCH(R$4,Curves,0)))</f>
        <v/>
      </c>
      <c r="S179" s="201" t="str">
        <f aca="false">IF(A180="","",R179)</f>
        <v/>
      </c>
      <c r="T179" s="200" t="str">
        <f aca="false">IF($A180="","",VLOOKUP($A179,Table,MATCH(T$4,Curves,0)))</f>
        <v/>
      </c>
      <c r="U179" s="201" t="str">
        <f aca="false">IF(A180="","",T179)</f>
        <v/>
      </c>
      <c r="V179" s="225" t="str">
        <f aca="false">IF($A180="","",IF(AND(MONTH(A179)&gt;3,MONTH(A179)&lt;11),(T179+R179+G179)*Summary!$T$9/(1-Summary!$T$9),(T179+R179+G179)*Summary!$U$9/(1-Summary!$U$9)))</f>
        <v/>
      </c>
      <c r="W179" s="200" t="str">
        <f aca="false">IF($A180="","",(T179+R179+G179+V179))</f>
        <v/>
      </c>
      <c r="X179" s="200" t="str">
        <f aca="false">IF($A180="","",(U179+S179+H179+V179))</f>
        <v/>
      </c>
      <c r="Y179" s="202"/>
      <c r="Z179" s="185" t="str">
        <f aca="false">IF($A180="","",VLOOKUP($A179,Table,MATCH(Z$4,Curves,0)))</f>
        <v/>
      </c>
      <c r="AA179" s="185" t="str">
        <f aca="false">IF($A180="","",VLOOKUP($A179,Table,MATCH(AA$4,Curves,0)))</f>
        <v/>
      </c>
      <c r="AB179" s="185" t="e">
        <f aca="false">SQRT((AA179^2*(A179-$D$3)+Z179^2*(DAY(EOMONTH(A179,0))/2))/AK179)</f>
        <v>#VALUE!</v>
      </c>
      <c r="AC179" s="185" t="str">
        <f aca="false">IF($A180="","",VLOOKUP($A179,Table,MATCH(AC$4,Curves,0)))</f>
        <v/>
      </c>
      <c r="AD179" s="185" t="str">
        <f aca="false">IF($A180="","",VLOOKUP($A179,Table,MATCH(AD$4,Curves,0)))</f>
        <v/>
      </c>
      <c r="AE179" s="185" t="e">
        <f aca="false">SQRT((AD179^2*(A179-$D$3)+AC179^2*(DAY(EOMONTH(A179,0))/2))/AK179)</f>
        <v>#VALUE!</v>
      </c>
      <c r="AF179" s="224" t="e">
        <f aca="false">((Summary!$N$9*(AA179*AD179)*(A179-$D$3))+(Summary!$M$9*Z179*AC179*(AJ179-EOMONTH(EDATE(A179,-1),0))))/(AK179*AB179*AE179)</f>
        <v>#VALUE!</v>
      </c>
      <c r="AG179" s="207" t="str">
        <f aca="false">IF($A180="","",Summary!$Q$9)</f>
        <v/>
      </c>
      <c r="AH179" s="207" t="str">
        <f aca="false">IF($A180="","",IF(Summary!$R$9="Y",VLOOKUP($A179,Summary!$AD$6:$AF$9,3)+'Escalating commodity'!E192,'Escalating commodity'!E192))</f>
        <v/>
      </c>
      <c r="AI179" s="207" t="str">
        <f aca="false">IF($A180="","",AH179)</f>
        <v/>
      </c>
      <c r="AJ179" s="208" t="e">
        <f aca="false">A179+DAY(EOMONTH(A179,0))/2-1</f>
        <v>#VALUE!</v>
      </c>
      <c r="AK179" s="209" t="str">
        <f aca="false">IF($A180="","",$A179-$E$1)</f>
        <v/>
      </c>
      <c r="AL179" s="182" t="str">
        <f aca="false">IF($A180="","",SPRDOPT(P179,X179,AI179,0,AB179,AE179,AF179,AK179,$AJ$2,0))</f>
        <v/>
      </c>
      <c r="AM179" s="211" t="str">
        <f aca="false">IF($A180="","",MAX(0,O179-W179-AI179))</f>
        <v/>
      </c>
      <c r="AN179" s="211" t="str">
        <f aca="false">IF($A180="","",AL179-AM179)</f>
        <v/>
      </c>
      <c r="AO179" s="137" t="str">
        <f aca="false">IF(A180="","",A180-A179)</f>
        <v/>
      </c>
      <c r="AP179" s="212" t="str">
        <f aca="false">IF(A180="","",CHOOSE(F$3,A180+24,A179))</f>
        <v/>
      </c>
      <c r="AQ179" s="209" t="str">
        <f aca="false">IF(A180="","",AP179-$E$1)</f>
        <v/>
      </c>
      <c r="AR179" s="185" t="n">
        <f aca="false">'ANR OK vs ML7'!AR179</f>
        <v>0.1</v>
      </c>
      <c r="AS179" s="213" t="str">
        <f aca="false">IF(A180="","",1/(1+CHOOSE(F$3,(AR180+($I$3/10000))/2,(AR179+($I$3/10000))/2))^(2*AQ179/365.25))</f>
        <v/>
      </c>
      <c r="AT179" s="137" t="str">
        <f aca="false">IF(A180="","",IF(AND(mthbeg&lt;=A179,mthend&gt;=A179),1,0))</f>
        <v/>
      </c>
      <c r="AU179" s="137" t="str">
        <f aca="false">IF(A180="","",AO179*AT179)</f>
        <v/>
      </c>
      <c r="AW179" s="195" t="str">
        <f aca="false">IF($A180="","",AL179*$E179)</f>
        <v/>
      </c>
      <c r="AX179" s="195" t="str">
        <f aca="false">IF($A180="","",AM179*$E179)</f>
        <v/>
      </c>
      <c r="AY179" s="195" t="str">
        <f aca="false">IF($A180="","",AN179*$E179)</f>
        <v/>
      </c>
      <c r="BA179" s="195" t="str">
        <f aca="false">IF($A180="","",F179*Summary!$Q$9)</f>
        <v/>
      </c>
    </row>
    <row r="180" customFormat="false" ht="12" hidden="false" customHeight="true" outlineLevel="0" collapsed="false">
      <c r="A180" s="196" t="str">
        <f aca="false">IF(A179&lt;mthend,EDATE(A179,1),"")</f>
        <v/>
      </c>
      <c r="B180" s="197" t="str">
        <f aca="false">IF(A180&lt;mthend,B179,"")</f>
        <v/>
      </c>
      <c r="C180" s="215"/>
      <c r="D180" s="197" t="str">
        <f aca="false">IF(A181&lt;&gt;"",B180+C180,"")</f>
        <v/>
      </c>
      <c r="E180" s="199" t="str">
        <f aca="false">IF(A181="","",IF(AND(AT180=1,$H$3=1),D180*AO180,IF($H$3=2,D180,"N/A")))</f>
        <v/>
      </c>
      <c r="F180" s="199" t="str">
        <f aca="false">IF(A181="","",E180*AS180)</f>
        <v/>
      </c>
      <c r="G180" s="200" t="str">
        <f aca="false">IF($A181="","",VLOOKUP($A180,Table,MATCH(G$4,Curves,0)))</f>
        <v/>
      </c>
      <c r="H180" s="201" t="str">
        <f aca="false">IF(A181="","",G180)</f>
        <v/>
      </c>
      <c r="I180" s="202"/>
      <c r="J180" s="200" t="str">
        <f aca="false">IF($A181="","",VLOOKUP($A180,Table,MATCH(J$4,Curves,0)))</f>
        <v/>
      </c>
      <c r="K180" s="201" t="str">
        <f aca="false">IF(A181="","",J180)</f>
        <v/>
      </c>
      <c r="L180" s="200" t="str">
        <f aca="false">IF($A181="","",VLOOKUP($A180,Table,MATCH(L$4,Curves,0)))</f>
        <v/>
      </c>
      <c r="M180" s="201" t="str">
        <f aca="false">IF(A181="","",L180)</f>
        <v/>
      </c>
      <c r="N180" s="203"/>
      <c r="O180" s="200" t="str">
        <f aca="false">IF(A181="","",L180+J180+G180)</f>
        <v/>
      </c>
      <c r="P180" s="200" t="str">
        <f aca="false">IF(A181="","",M180+K180+H180)</f>
        <v/>
      </c>
      <c r="Q180" s="204"/>
      <c r="R180" s="200" t="str">
        <f aca="false">IF($A181="","",VLOOKUP($A180,Table,MATCH(R$4,Curves,0)))</f>
        <v/>
      </c>
      <c r="S180" s="201" t="str">
        <f aca="false">IF(A181="","",R180)</f>
        <v/>
      </c>
      <c r="T180" s="200" t="str">
        <f aca="false">IF($A181="","",VLOOKUP($A180,Table,MATCH(T$4,Curves,0)))</f>
        <v/>
      </c>
      <c r="U180" s="201" t="str">
        <f aca="false">IF(A181="","",T180)</f>
        <v/>
      </c>
      <c r="V180" s="225" t="str">
        <f aca="false">IF($A181="","",IF(AND(MONTH(A180)&gt;3,MONTH(A180)&lt;11),(T180+R180+G180)*Summary!$T$9/(1-Summary!$T$9),(T180+R180+G180)*Summary!$U$9/(1-Summary!$U$9)))</f>
        <v/>
      </c>
      <c r="W180" s="200" t="str">
        <f aca="false">IF($A181="","",(T180+R180+G180+V180))</f>
        <v/>
      </c>
      <c r="X180" s="200" t="str">
        <f aca="false">IF($A181="","",(U180+S180+H180+V180))</f>
        <v/>
      </c>
      <c r="Y180" s="202"/>
      <c r="Z180" s="185" t="str">
        <f aca="false">IF($A181="","",VLOOKUP($A180,Table,MATCH(Z$4,Curves,0)))</f>
        <v/>
      </c>
      <c r="AA180" s="185" t="str">
        <f aca="false">IF($A181="","",VLOOKUP($A180,Table,MATCH(AA$4,Curves,0)))</f>
        <v/>
      </c>
      <c r="AB180" s="185" t="e">
        <f aca="false">SQRT((AA180^2*(A180-$D$3)+Z180^2*(DAY(EOMONTH(A180,0))/2))/AK180)</f>
        <v>#VALUE!</v>
      </c>
      <c r="AC180" s="185" t="str">
        <f aca="false">IF($A181="","",VLOOKUP($A180,Table,MATCH(AC$4,Curves,0)))</f>
        <v/>
      </c>
      <c r="AD180" s="185" t="str">
        <f aca="false">IF($A181="","",VLOOKUP($A180,Table,MATCH(AD$4,Curves,0)))</f>
        <v/>
      </c>
      <c r="AE180" s="185" t="e">
        <f aca="false">SQRT((AD180^2*(A180-$D$3)+AC180^2*(DAY(EOMONTH(A180,0))/2))/AK180)</f>
        <v>#VALUE!</v>
      </c>
      <c r="AF180" s="224" t="e">
        <f aca="false">((Summary!$N$9*(AA180*AD180)*(A180-$D$3))+(Summary!$M$9*Z180*AC180*(AJ180-EOMONTH(EDATE(A180,-1),0))))/(AK180*AB180*AE180)</f>
        <v>#VALUE!</v>
      </c>
      <c r="AG180" s="207" t="str">
        <f aca="false">IF($A181="","",Summary!$Q$9)</f>
        <v/>
      </c>
      <c r="AH180" s="207" t="str">
        <f aca="false">IF($A181="","",IF(Summary!$R$9="Y",VLOOKUP($A180,Summary!$AD$6:$AF$9,3)+'Escalating commodity'!E193,'Escalating commodity'!E193))</f>
        <v/>
      </c>
      <c r="AI180" s="207" t="str">
        <f aca="false">IF($A181="","",AH180)</f>
        <v/>
      </c>
      <c r="AJ180" s="208" t="e">
        <f aca="false">A180+DAY(EOMONTH(A180,0))/2-1</f>
        <v>#VALUE!</v>
      </c>
      <c r="AK180" s="209" t="str">
        <f aca="false">IF($A181="","",$A180-$E$1)</f>
        <v/>
      </c>
      <c r="AL180" s="182" t="str">
        <f aca="false">IF($A181="","",SPRDOPT(P180,X180,AI180,0,AB180,AE180,AF180,AK180,$AJ$2,0))</f>
        <v/>
      </c>
      <c r="AM180" s="211" t="str">
        <f aca="false">IF($A181="","",MAX(0,O180-W180-AI180))</f>
        <v/>
      </c>
      <c r="AN180" s="211" t="str">
        <f aca="false">IF($A181="","",AL180-AM180)</f>
        <v/>
      </c>
      <c r="AO180" s="137" t="str">
        <f aca="false">IF(A181="","",A181-A180)</f>
        <v/>
      </c>
      <c r="AP180" s="212" t="str">
        <f aca="false">IF(A181="","",CHOOSE(F$3,A181+24,A180))</f>
        <v/>
      </c>
      <c r="AQ180" s="209" t="str">
        <f aca="false">IF(A181="","",AP180-$E$1)</f>
        <v/>
      </c>
      <c r="AR180" s="185" t="n">
        <f aca="false">'ANR OK vs ML7'!AR180</f>
        <v>0.1</v>
      </c>
      <c r="AS180" s="213" t="str">
        <f aca="false">IF(A181="","",1/(1+CHOOSE(F$3,(AR181+($I$3/10000))/2,(AR180+($I$3/10000))/2))^(2*AQ180/365.25))</f>
        <v/>
      </c>
      <c r="AT180" s="137" t="str">
        <f aca="false">IF(A181="","",IF(AND(mthbeg&lt;=A180,mthend&gt;=A180),1,0))</f>
        <v/>
      </c>
      <c r="AU180" s="137" t="str">
        <f aca="false">IF(A181="","",AO180*AT180)</f>
        <v/>
      </c>
      <c r="AW180" s="195" t="str">
        <f aca="false">IF($A181="","",AL180*$E180)</f>
        <v/>
      </c>
      <c r="AX180" s="195" t="str">
        <f aca="false">IF($A181="","",AM180*$E180)</f>
        <v/>
      </c>
      <c r="AY180" s="195" t="str">
        <f aca="false">IF($A181="","",AN180*$E180)</f>
        <v/>
      </c>
      <c r="BA180" s="195" t="str">
        <f aca="false">IF($A181="","",F180*Summary!$Q$9)</f>
        <v/>
      </c>
    </row>
    <row r="181" customFormat="false" ht="12" hidden="false" customHeight="true" outlineLevel="0" collapsed="false">
      <c r="A181" s="196" t="str">
        <f aca="false">IF(A180&lt;mthend,EDATE(A180,1),"")</f>
        <v/>
      </c>
      <c r="B181" s="197" t="str">
        <f aca="false">IF(A181&lt;mthend,B180,"")</f>
        <v/>
      </c>
      <c r="C181" s="215"/>
      <c r="D181" s="197" t="str">
        <f aca="false">IF(A182&lt;&gt;"",B181+C181,"")</f>
        <v/>
      </c>
      <c r="E181" s="199" t="str">
        <f aca="false">IF(A182="","",IF(AND(AT181=1,$H$3=1),D181*AO181,IF($H$3=2,D181,"N/A")))</f>
        <v/>
      </c>
      <c r="F181" s="199" t="str">
        <f aca="false">IF(A182="","",E181*AS181)</f>
        <v/>
      </c>
      <c r="G181" s="200" t="str">
        <f aca="false">IF($A182="","",VLOOKUP($A181,Table,MATCH(G$4,Curves,0)))</f>
        <v/>
      </c>
      <c r="H181" s="201" t="str">
        <f aca="false">IF(A182="","",G181)</f>
        <v/>
      </c>
      <c r="I181" s="202"/>
      <c r="J181" s="200" t="str">
        <f aca="false">IF($A182="","",VLOOKUP($A181,Table,MATCH(J$4,Curves,0)))</f>
        <v/>
      </c>
      <c r="K181" s="201" t="str">
        <f aca="false">IF(A182="","",J181)</f>
        <v/>
      </c>
      <c r="L181" s="200" t="str">
        <f aca="false">IF($A182="","",VLOOKUP($A181,Table,MATCH(L$4,Curves,0)))</f>
        <v/>
      </c>
      <c r="M181" s="201" t="str">
        <f aca="false">IF(A182="","",L181)</f>
        <v/>
      </c>
      <c r="N181" s="203"/>
      <c r="O181" s="200" t="str">
        <f aca="false">IF(A182="","",L181+J181+G181)</f>
        <v/>
      </c>
      <c r="P181" s="200" t="str">
        <f aca="false">IF(A182="","",M181+K181+H181)</f>
        <v/>
      </c>
      <c r="Q181" s="204"/>
      <c r="R181" s="200" t="str">
        <f aca="false">IF($A182="","",VLOOKUP($A181,Table,MATCH(R$4,Curves,0)))</f>
        <v/>
      </c>
      <c r="S181" s="201" t="str">
        <f aca="false">IF(A182="","",R181)</f>
        <v/>
      </c>
      <c r="T181" s="200" t="str">
        <f aca="false">IF($A182="","",VLOOKUP($A181,Table,MATCH(T$4,Curves,0)))</f>
        <v/>
      </c>
      <c r="U181" s="201" t="str">
        <f aca="false">IF(A182="","",T181)</f>
        <v/>
      </c>
      <c r="V181" s="225" t="str">
        <f aca="false">IF($A182="","",IF(AND(MONTH(A181)&gt;3,MONTH(A181)&lt;11),(T181+R181+G181)*Summary!$T$9/(1-Summary!$T$9),(T181+R181+G181)*Summary!$U$9/(1-Summary!$U$9)))</f>
        <v/>
      </c>
      <c r="W181" s="200" t="str">
        <f aca="false">IF($A182="","",(T181+R181+G181+V181))</f>
        <v/>
      </c>
      <c r="X181" s="200" t="str">
        <f aca="false">IF($A182="","",(U181+S181+H181+V181))</f>
        <v/>
      </c>
      <c r="Y181" s="202"/>
      <c r="Z181" s="185" t="str">
        <f aca="false">IF($A182="","",VLOOKUP($A181,Table,MATCH(Z$4,Curves,0)))</f>
        <v/>
      </c>
      <c r="AA181" s="185" t="str">
        <f aca="false">IF($A182="","",VLOOKUP($A181,Table,MATCH(AA$4,Curves,0)))</f>
        <v/>
      </c>
      <c r="AB181" s="185" t="e">
        <f aca="false">SQRT((AA181^2*(A181-$D$3)+Z181^2*(DAY(EOMONTH(A181,0))/2))/AK181)</f>
        <v>#VALUE!</v>
      </c>
      <c r="AC181" s="185" t="str">
        <f aca="false">IF($A182="","",VLOOKUP($A181,Table,MATCH(AC$4,Curves,0)))</f>
        <v/>
      </c>
      <c r="AD181" s="185" t="str">
        <f aca="false">IF($A182="","",VLOOKUP($A181,Table,MATCH(AD$4,Curves,0)))</f>
        <v/>
      </c>
      <c r="AE181" s="185" t="e">
        <f aca="false">SQRT((AD181^2*(A181-$D$3)+AC181^2*(DAY(EOMONTH(A181,0))/2))/AK181)</f>
        <v>#VALUE!</v>
      </c>
      <c r="AF181" s="224" t="e">
        <f aca="false">((Summary!$N$9*(AA181*AD181)*(A181-$D$3))+(Summary!$M$9*Z181*AC181*(AJ181-EOMONTH(EDATE(A181,-1),0))))/(AK181*AB181*AE181)</f>
        <v>#VALUE!</v>
      </c>
      <c r="AG181" s="207" t="str">
        <f aca="false">IF($A182="","",Summary!$Q$9)</f>
        <v/>
      </c>
      <c r="AH181" s="207" t="str">
        <f aca="false">IF($A182="","",IF(Summary!$R$9="Y",VLOOKUP($A181,Summary!$AD$6:$AF$9,3)+'Escalating commodity'!E194,'Escalating commodity'!E194))</f>
        <v/>
      </c>
      <c r="AI181" s="207" t="str">
        <f aca="false">IF($A182="","",AH181)</f>
        <v/>
      </c>
      <c r="AJ181" s="208" t="e">
        <f aca="false">A181+DAY(EOMONTH(A181,0))/2-1</f>
        <v>#VALUE!</v>
      </c>
      <c r="AK181" s="209" t="str">
        <f aca="false">IF($A182="","",$A181-$E$1)</f>
        <v/>
      </c>
      <c r="AL181" s="182" t="str">
        <f aca="false">IF($A182="","",SPRDOPT(P181,X181,AI181,0,AB181,AE181,AF181,AK181,$AJ$2,0))</f>
        <v/>
      </c>
      <c r="AM181" s="211" t="str">
        <f aca="false">IF($A182="","",MAX(0,O181-W181-AI181))</f>
        <v/>
      </c>
      <c r="AN181" s="211" t="str">
        <f aca="false">IF($A182="","",AL181-AM181)</f>
        <v/>
      </c>
      <c r="AO181" s="137" t="str">
        <f aca="false">IF(A182="","",A182-A181)</f>
        <v/>
      </c>
      <c r="AP181" s="212" t="str">
        <f aca="false">IF(A182="","",CHOOSE(F$3,A182+24,A181))</f>
        <v/>
      </c>
      <c r="AQ181" s="209" t="str">
        <f aca="false">IF(A182="","",AP181-$E$1)</f>
        <v/>
      </c>
      <c r="AR181" s="185" t="n">
        <f aca="false">'ANR OK vs ML7'!AR181</f>
        <v>0.1</v>
      </c>
      <c r="AS181" s="213" t="str">
        <f aca="false">IF(A182="","",1/(1+CHOOSE(F$3,(AR182+($I$3/10000))/2,(AR181+($I$3/10000))/2))^(2*AQ181/365.25))</f>
        <v/>
      </c>
      <c r="AT181" s="137" t="str">
        <f aca="false">IF(A182="","",IF(AND(mthbeg&lt;=A181,mthend&gt;=A181),1,0))</f>
        <v/>
      </c>
      <c r="AU181" s="137" t="str">
        <f aca="false">IF(A182="","",AO181*AT181)</f>
        <v/>
      </c>
      <c r="AW181" s="195" t="str">
        <f aca="false">IF($A182="","",AL181*$E181)</f>
        <v/>
      </c>
      <c r="AX181" s="195" t="str">
        <f aca="false">IF($A182="","",AM181*$E181)</f>
        <v/>
      </c>
      <c r="AY181" s="195" t="str">
        <f aca="false">IF($A182="","",AN181*$E181)</f>
        <v/>
      </c>
      <c r="BA181" s="195" t="str">
        <f aca="false">IF($A182="","",F181*Summary!$Q$9)</f>
        <v/>
      </c>
    </row>
    <row r="182" customFormat="false" ht="12" hidden="false" customHeight="true" outlineLevel="0" collapsed="false">
      <c r="A182" s="196" t="str">
        <f aca="false">IF(A181&lt;mthend,EDATE(A181,1),"")</f>
        <v/>
      </c>
      <c r="B182" s="197" t="str">
        <f aca="false">IF(A182&lt;mthend,B181,"")</f>
        <v/>
      </c>
      <c r="C182" s="215"/>
      <c r="D182" s="197" t="str">
        <f aca="false">IF(A183&lt;&gt;"",B182+C182,"")</f>
        <v/>
      </c>
      <c r="E182" s="199" t="str">
        <f aca="false">IF(A183="","",IF(AND(AT182=1,$H$3=1),D182*AO182,IF($H$3=2,D182,"N/A")))</f>
        <v/>
      </c>
      <c r="F182" s="199" t="str">
        <f aca="false">IF(A183="","",E182*AS182)</f>
        <v/>
      </c>
      <c r="G182" s="200" t="str">
        <f aca="false">IF($A183="","",VLOOKUP($A182,Table,MATCH(G$4,Curves,0)))</f>
        <v/>
      </c>
      <c r="H182" s="201" t="str">
        <f aca="false">IF(A183="","",G182)</f>
        <v/>
      </c>
      <c r="I182" s="202"/>
      <c r="J182" s="200" t="str">
        <f aca="false">IF($A183="","",VLOOKUP($A182,Table,MATCH(J$4,Curves,0)))</f>
        <v/>
      </c>
      <c r="K182" s="201" t="str">
        <f aca="false">IF(A183="","",J182)</f>
        <v/>
      </c>
      <c r="L182" s="200" t="str">
        <f aca="false">IF($A183="","",VLOOKUP($A182,Table,MATCH(L$4,Curves,0)))</f>
        <v/>
      </c>
      <c r="M182" s="201" t="str">
        <f aca="false">IF(A183="","",L182)</f>
        <v/>
      </c>
      <c r="N182" s="203"/>
      <c r="O182" s="200" t="str">
        <f aca="false">IF(A183="","",L182+J182+G182)</f>
        <v/>
      </c>
      <c r="P182" s="200" t="str">
        <f aca="false">IF(A183="","",M182+K182+H182)</f>
        <v/>
      </c>
      <c r="Q182" s="204"/>
      <c r="R182" s="200" t="str">
        <f aca="false">IF($A183="","",VLOOKUP($A182,Table,MATCH(R$4,Curves,0)))</f>
        <v/>
      </c>
      <c r="S182" s="201" t="str">
        <f aca="false">IF(A183="","",R182)</f>
        <v/>
      </c>
      <c r="T182" s="200" t="str">
        <f aca="false">IF($A183="","",VLOOKUP($A182,Table,MATCH(T$4,Curves,0)))</f>
        <v/>
      </c>
      <c r="U182" s="201" t="str">
        <f aca="false">IF(A183="","",T182)</f>
        <v/>
      </c>
      <c r="V182" s="225" t="str">
        <f aca="false">IF($A183="","",IF(AND(MONTH(A182)&gt;3,MONTH(A182)&lt;11),(T182+R182+G182)*Summary!$T$9/(1-Summary!$T$9),(T182+R182+G182)*Summary!$U$9/(1-Summary!$U$9)))</f>
        <v/>
      </c>
      <c r="W182" s="200" t="str">
        <f aca="false">IF($A183="","",(T182+R182+G182+V182))</f>
        <v/>
      </c>
      <c r="X182" s="200" t="str">
        <f aca="false">IF($A183="","",(U182+S182+H182+V182))</f>
        <v/>
      </c>
      <c r="Y182" s="202"/>
      <c r="Z182" s="185" t="str">
        <f aca="false">IF($A183="","",VLOOKUP($A182,Table,MATCH(Z$4,Curves,0)))</f>
        <v/>
      </c>
      <c r="AA182" s="185" t="str">
        <f aca="false">IF($A183="","",VLOOKUP($A182,Table,MATCH(AA$4,Curves,0)))</f>
        <v/>
      </c>
      <c r="AB182" s="185" t="e">
        <f aca="false">SQRT((AA182^2*(A182-$D$3)+Z182^2*(DAY(EOMONTH(A182,0))/2))/AK182)</f>
        <v>#VALUE!</v>
      </c>
      <c r="AC182" s="185" t="str">
        <f aca="false">IF($A183="","",VLOOKUP($A182,Table,MATCH(AC$4,Curves,0)))</f>
        <v/>
      </c>
      <c r="AD182" s="185" t="str">
        <f aca="false">IF($A183="","",VLOOKUP($A182,Table,MATCH(AD$4,Curves,0)))</f>
        <v/>
      </c>
      <c r="AE182" s="185" t="e">
        <f aca="false">SQRT((AD182^2*(A182-$D$3)+AC182^2*(DAY(EOMONTH(A182,0))/2))/AK182)</f>
        <v>#VALUE!</v>
      </c>
      <c r="AF182" s="224" t="e">
        <f aca="false">((Summary!$N$9*(AA182*AD182)*(A182-$D$3))+(Summary!$M$9*Z182*AC182*(AJ182-EOMONTH(EDATE(A182,-1),0))))/(AK182*AB182*AE182)</f>
        <v>#VALUE!</v>
      </c>
      <c r="AG182" s="207" t="str">
        <f aca="false">IF($A183="","",Summary!$Q$9)</f>
        <v/>
      </c>
      <c r="AH182" s="207" t="str">
        <f aca="false">IF($A183="","",IF(Summary!$R$9="Y",VLOOKUP($A182,Summary!$AD$6:$AF$9,3)+'Escalating commodity'!E195,'Escalating commodity'!E195))</f>
        <v/>
      </c>
      <c r="AI182" s="207" t="str">
        <f aca="false">IF($A183="","",AH182)</f>
        <v/>
      </c>
      <c r="AJ182" s="208" t="e">
        <f aca="false">A182+DAY(EOMONTH(A182,0))/2-1</f>
        <v>#VALUE!</v>
      </c>
      <c r="AK182" s="209" t="str">
        <f aca="false">IF($A183="","",$A182-$E$1)</f>
        <v/>
      </c>
      <c r="AL182" s="182" t="str">
        <f aca="false">IF($A183="","",SPRDOPT(P182,X182,AI182,0,AB182,AE182,AF182,AK182,$AJ$2,0))</f>
        <v/>
      </c>
      <c r="AM182" s="211" t="str">
        <f aca="false">IF($A183="","",MAX(0,O182-W182-AI182))</f>
        <v/>
      </c>
      <c r="AN182" s="211" t="str">
        <f aca="false">IF($A183="","",AL182-AM182)</f>
        <v/>
      </c>
      <c r="AO182" s="137" t="str">
        <f aca="false">IF(A183="","",A183-A182)</f>
        <v/>
      </c>
      <c r="AP182" s="212" t="str">
        <f aca="false">IF(A183="","",CHOOSE(F$3,A183+24,A182))</f>
        <v/>
      </c>
      <c r="AQ182" s="209" t="str">
        <f aca="false">IF(A183="","",AP182-$E$1)</f>
        <v/>
      </c>
      <c r="AR182" s="185" t="n">
        <f aca="false">'ANR OK vs ML7'!AR182</f>
        <v>0.1</v>
      </c>
      <c r="AS182" s="213" t="str">
        <f aca="false">IF(A183="","",1/(1+CHOOSE(F$3,(AR183+($I$3/10000))/2,(AR182+($I$3/10000))/2))^(2*AQ182/365.25))</f>
        <v/>
      </c>
      <c r="AT182" s="137" t="str">
        <f aca="false">IF(A183="","",IF(AND(mthbeg&lt;=A182,mthend&gt;=A182),1,0))</f>
        <v/>
      </c>
      <c r="AU182" s="137" t="str">
        <f aca="false">IF(A183="","",AO182*AT182)</f>
        <v/>
      </c>
      <c r="AW182" s="195" t="str">
        <f aca="false">IF($A183="","",AL182*$E182)</f>
        <v/>
      </c>
      <c r="AX182" s="195" t="str">
        <f aca="false">IF($A183="","",AM182*$E182)</f>
        <v/>
      </c>
      <c r="AY182" s="195" t="str">
        <f aca="false">IF($A183="","",AN182*$E182)</f>
        <v/>
      </c>
      <c r="BA182" s="195" t="str">
        <f aca="false">IF($A183="","",F182*Summary!$Q$9)</f>
        <v/>
      </c>
    </row>
    <row r="183" customFormat="false" ht="12" hidden="false" customHeight="true" outlineLevel="0" collapsed="false">
      <c r="A183" s="196" t="str">
        <f aca="false">IF(A182&lt;mthend,EDATE(A182,1),"")</f>
        <v/>
      </c>
      <c r="B183" s="197" t="str">
        <f aca="false">IF(A183&lt;mthend,B182,"")</f>
        <v/>
      </c>
      <c r="C183" s="215"/>
      <c r="D183" s="197" t="str">
        <f aca="false">IF(A184&lt;&gt;"",B183+C183,"")</f>
        <v/>
      </c>
      <c r="E183" s="199" t="str">
        <f aca="false">IF(A184="","",IF(AND(AT183=1,$H$3=1),D183*AO183,IF($H$3=2,D183,"N/A")))</f>
        <v/>
      </c>
      <c r="F183" s="199" t="str">
        <f aca="false">IF(A184="","",E183*AS183)</f>
        <v/>
      </c>
      <c r="G183" s="200" t="str">
        <f aca="false">IF($A184="","",VLOOKUP($A183,Table,MATCH(G$4,Curves,0)))</f>
        <v/>
      </c>
      <c r="H183" s="201" t="str">
        <f aca="false">IF(A184="","",G183)</f>
        <v/>
      </c>
      <c r="I183" s="202"/>
      <c r="J183" s="200" t="str">
        <f aca="false">IF($A184="","",VLOOKUP($A183,Table,MATCH(J$4,Curves,0)))</f>
        <v/>
      </c>
      <c r="K183" s="201" t="str">
        <f aca="false">IF(A184="","",J183)</f>
        <v/>
      </c>
      <c r="L183" s="200" t="str">
        <f aca="false">IF($A184="","",VLOOKUP($A183,Table,MATCH(L$4,Curves,0)))</f>
        <v/>
      </c>
      <c r="M183" s="201" t="str">
        <f aca="false">IF(A184="","",L183)</f>
        <v/>
      </c>
      <c r="N183" s="203"/>
      <c r="O183" s="200" t="str">
        <f aca="false">IF(A184="","",L183+J183+G183)</f>
        <v/>
      </c>
      <c r="P183" s="200" t="str">
        <f aca="false">IF(A184="","",M183+K183+H183)</f>
        <v/>
      </c>
      <c r="Q183" s="204"/>
      <c r="R183" s="200" t="str">
        <f aca="false">IF($A184="","",VLOOKUP($A183,Table,MATCH(R$4,Curves,0)))</f>
        <v/>
      </c>
      <c r="S183" s="201" t="str">
        <f aca="false">IF(A184="","",R183)</f>
        <v/>
      </c>
      <c r="T183" s="200" t="str">
        <f aca="false">IF($A184="","",VLOOKUP($A183,Table,MATCH(T$4,Curves,0)))</f>
        <v/>
      </c>
      <c r="U183" s="201" t="str">
        <f aca="false">IF(A184="","",T183)</f>
        <v/>
      </c>
      <c r="V183" s="225" t="str">
        <f aca="false">IF($A184="","",IF(AND(MONTH(A183)&gt;3,MONTH(A183)&lt;11),(T183+R183+G183)*Summary!$T$9/(1-Summary!$T$9),(T183+R183+G183)*Summary!$U$9/(1-Summary!$U$9)))</f>
        <v/>
      </c>
      <c r="W183" s="200" t="str">
        <f aca="false">IF($A184="","",(T183+R183+G183+V183))</f>
        <v/>
      </c>
      <c r="X183" s="200" t="str">
        <f aca="false">IF($A184="","",(U183+S183+H183+V183))</f>
        <v/>
      </c>
      <c r="Y183" s="202"/>
      <c r="Z183" s="185" t="str">
        <f aca="false">IF($A184="","",VLOOKUP($A183,Table,MATCH(Z$4,Curves,0)))</f>
        <v/>
      </c>
      <c r="AA183" s="185" t="str">
        <f aca="false">IF($A184="","",VLOOKUP($A183,Table,MATCH(AA$4,Curves,0)))</f>
        <v/>
      </c>
      <c r="AB183" s="185" t="e">
        <f aca="false">SQRT((AA183^2*(A183-$D$3)+Z183^2*(DAY(EOMONTH(A183,0))/2))/AK183)</f>
        <v>#VALUE!</v>
      </c>
      <c r="AC183" s="185" t="str">
        <f aca="false">IF($A184="","",VLOOKUP($A183,Table,MATCH(AC$4,Curves,0)))</f>
        <v/>
      </c>
      <c r="AD183" s="185" t="str">
        <f aca="false">IF($A184="","",VLOOKUP($A183,Table,MATCH(AD$4,Curves,0)))</f>
        <v/>
      </c>
      <c r="AE183" s="185" t="e">
        <f aca="false">SQRT((AD183^2*(A183-$D$3)+AC183^2*(DAY(EOMONTH(A183,0))/2))/AK183)</f>
        <v>#VALUE!</v>
      </c>
      <c r="AF183" s="224" t="e">
        <f aca="false">((Summary!$N$9*(AA183*AD183)*(A183-$D$3))+(Summary!$M$9*Z183*AC183*(AJ183-EOMONTH(EDATE(A183,-1),0))))/(AK183*AB183*AE183)</f>
        <v>#VALUE!</v>
      </c>
      <c r="AG183" s="207" t="str">
        <f aca="false">IF($A184="","",Summary!$Q$9)</f>
        <v/>
      </c>
      <c r="AH183" s="207" t="str">
        <f aca="false">IF($A184="","",IF(Summary!$R$9="Y",VLOOKUP($A183,Summary!$AD$6:$AF$9,3)+'Escalating commodity'!E196,'Escalating commodity'!E196))</f>
        <v/>
      </c>
      <c r="AI183" s="207" t="str">
        <f aca="false">IF($A184="","",AH183)</f>
        <v/>
      </c>
      <c r="AJ183" s="208" t="e">
        <f aca="false">A183+DAY(EOMONTH(A183,0))/2-1</f>
        <v>#VALUE!</v>
      </c>
      <c r="AK183" s="209" t="str">
        <f aca="false">IF($A184="","",$A183-$E$1)</f>
        <v/>
      </c>
      <c r="AL183" s="182" t="str">
        <f aca="false">IF($A184="","",SPRDOPT(P183,X183,AI183,0,AB183,AE183,AF183,AK183,$AJ$2,0))</f>
        <v/>
      </c>
      <c r="AM183" s="211" t="str">
        <f aca="false">IF($A184="","",MAX(0,O183-W183-AI183))</f>
        <v/>
      </c>
      <c r="AN183" s="211" t="str">
        <f aca="false">IF($A184="","",AL183-AM183)</f>
        <v/>
      </c>
      <c r="AO183" s="137" t="str">
        <f aca="false">IF(A184="","",A184-A183)</f>
        <v/>
      </c>
      <c r="AP183" s="212" t="str">
        <f aca="false">IF(A184="","",CHOOSE(F$3,A184+24,A183))</f>
        <v/>
      </c>
      <c r="AQ183" s="209" t="str">
        <f aca="false">IF(A184="","",AP183-$E$1)</f>
        <v/>
      </c>
      <c r="AR183" s="185" t="n">
        <f aca="false">'ANR OK vs ML7'!AR183</f>
        <v>0.1</v>
      </c>
      <c r="AS183" s="213" t="str">
        <f aca="false">IF(A184="","",1/(1+CHOOSE(F$3,(AR184+($I$3/10000))/2,(AR183+($I$3/10000))/2))^(2*AQ183/365.25))</f>
        <v/>
      </c>
      <c r="AT183" s="137" t="str">
        <f aca="false">IF(A184="","",IF(AND(mthbeg&lt;=A183,mthend&gt;=A183),1,0))</f>
        <v/>
      </c>
      <c r="AU183" s="137" t="str">
        <f aca="false">IF(A184="","",AO183*AT183)</f>
        <v/>
      </c>
      <c r="AW183" s="195" t="str">
        <f aca="false">IF($A184="","",AL183*$E183)</f>
        <v/>
      </c>
      <c r="AX183" s="195" t="str">
        <f aca="false">IF($A184="","",AM183*$E183)</f>
        <v/>
      </c>
      <c r="AY183" s="195" t="str">
        <f aca="false">IF($A184="","",AN183*$E183)</f>
        <v/>
      </c>
      <c r="BA183" s="195" t="str">
        <f aca="false">IF($A184="","",F183*Summary!$Q$9)</f>
        <v/>
      </c>
    </row>
    <row r="184" customFormat="false" ht="12" hidden="false" customHeight="true" outlineLevel="0" collapsed="false">
      <c r="A184" s="196" t="str">
        <f aca="false">IF(A183&lt;mthend,EDATE(A183,1),"")</f>
        <v/>
      </c>
      <c r="B184" s="197" t="str">
        <f aca="false">IF(A184&lt;mthend,B183,"")</f>
        <v/>
      </c>
      <c r="C184" s="215"/>
      <c r="D184" s="197" t="str">
        <f aca="false">IF(A185&lt;&gt;"",B184+C184,"")</f>
        <v/>
      </c>
      <c r="E184" s="199" t="str">
        <f aca="false">IF(A185="","",IF(AND(AT184=1,$H$3=1),D184*AO184,IF($H$3=2,D184,"N/A")))</f>
        <v/>
      </c>
      <c r="F184" s="199" t="str">
        <f aca="false">IF(A185="","",E184*AS184)</f>
        <v/>
      </c>
      <c r="G184" s="200" t="str">
        <f aca="false">IF($A185="","",VLOOKUP($A184,Table,MATCH(G$4,Curves,0)))</f>
        <v/>
      </c>
      <c r="H184" s="201" t="str">
        <f aca="false">IF(A185="","",G184)</f>
        <v/>
      </c>
      <c r="I184" s="202"/>
      <c r="J184" s="200" t="str">
        <f aca="false">IF($A185="","",VLOOKUP($A184,Table,MATCH(J$4,Curves,0)))</f>
        <v/>
      </c>
      <c r="K184" s="201" t="str">
        <f aca="false">IF(A185="","",J184)</f>
        <v/>
      </c>
      <c r="L184" s="200" t="str">
        <f aca="false">IF($A185="","",VLOOKUP($A184,Table,MATCH(L$4,Curves,0)))</f>
        <v/>
      </c>
      <c r="M184" s="201" t="str">
        <f aca="false">IF(A185="","",L184)</f>
        <v/>
      </c>
      <c r="N184" s="203"/>
      <c r="O184" s="200" t="str">
        <f aca="false">IF(A185="","",L184+J184+G184)</f>
        <v/>
      </c>
      <c r="P184" s="200" t="str">
        <f aca="false">IF(A185="","",M184+K184+H184)</f>
        <v/>
      </c>
      <c r="Q184" s="204"/>
      <c r="R184" s="200" t="str">
        <f aca="false">IF($A185="","",VLOOKUP($A184,Table,MATCH(R$4,Curves,0)))</f>
        <v/>
      </c>
      <c r="S184" s="201" t="str">
        <f aca="false">IF(A185="","",R184)</f>
        <v/>
      </c>
      <c r="T184" s="200" t="str">
        <f aca="false">IF($A185="","",VLOOKUP($A184,Table,MATCH(T$4,Curves,0)))</f>
        <v/>
      </c>
      <c r="U184" s="201" t="str">
        <f aca="false">IF(A185="","",T184)</f>
        <v/>
      </c>
      <c r="V184" s="225" t="str">
        <f aca="false">IF($A185="","",IF(AND(MONTH(A184)&gt;3,MONTH(A184)&lt;11),(T184+R184+G184)*Summary!$T$9/(1-Summary!$T$9),(T184+R184+G184)*Summary!$U$9/(1-Summary!$U$9)))</f>
        <v/>
      </c>
      <c r="W184" s="200" t="str">
        <f aca="false">IF($A185="","",(T184+R184+G184+V184))</f>
        <v/>
      </c>
      <c r="X184" s="200" t="str">
        <f aca="false">IF($A185="","",(U184+S184+H184+V184))</f>
        <v/>
      </c>
      <c r="Y184" s="202"/>
      <c r="Z184" s="185" t="str">
        <f aca="false">IF($A185="","",VLOOKUP($A184,Table,MATCH(Z$4,Curves,0)))</f>
        <v/>
      </c>
      <c r="AA184" s="185" t="str">
        <f aca="false">IF($A185="","",VLOOKUP($A184,Table,MATCH(AA$4,Curves,0)))</f>
        <v/>
      </c>
      <c r="AB184" s="185" t="e">
        <f aca="false">SQRT((AA184^2*(A184-$D$3)+Z184^2*(DAY(EOMONTH(A184,0))/2))/AK184)</f>
        <v>#VALUE!</v>
      </c>
      <c r="AC184" s="185" t="str">
        <f aca="false">IF($A185="","",VLOOKUP($A184,Table,MATCH(AC$4,Curves,0)))</f>
        <v/>
      </c>
      <c r="AD184" s="185" t="str">
        <f aca="false">IF($A185="","",VLOOKUP($A184,Table,MATCH(AD$4,Curves,0)))</f>
        <v/>
      </c>
      <c r="AE184" s="185" t="e">
        <f aca="false">SQRT((AD184^2*(A184-$D$3)+AC184^2*(DAY(EOMONTH(A184,0))/2))/AK184)</f>
        <v>#VALUE!</v>
      </c>
      <c r="AF184" s="224" t="e">
        <f aca="false">((Summary!$N$9*(AA184*AD184)*(A184-$D$3))+(Summary!$M$9*Z184*AC184*(AJ184-EOMONTH(EDATE(A184,-1),0))))/(AK184*AB184*AE184)</f>
        <v>#VALUE!</v>
      </c>
      <c r="AG184" s="207" t="str">
        <f aca="false">IF($A185="","",Summary!$Q$9)</f>
        <v/>
      </c>
      <c r="AH184" s="207" t="str">
        <f aca="false">IF($A185="","",IF(Summary!$R$9="Y",VLOOKUP($A184,Summary!$AD$6:$AF$9,3)+'Escalating commodity'!E197,'Escalating commodity'!E197))</f>
        <v/>
      </c>
      <c r="AI184" s="207" t="str">
        <f aca="false">IF($A185="","",AH184)</f>
        <v/>
      </c>
      <c r="AJ184" s="208" t="e">
        <f aca="false">A184+DAY(EOMONTH(A184,0))/2-1</f>
        <v>#VALUE!</v>
      </c>
      <c r="AK184" s="209" t="str">
        <f aca="false">IF($A185="","",$A184-$E$1)</f>
        <v/>
      </c>
      <c r="AL184" s="182" t="str">
        <f aca="false">IF($A185="","",SPRDOPT(P184,X184,AI184,0,AB184,AE184,AF184,AK184,$AJ$2,0))</f>
        <v/>
      </c>
      <c r="AM184" s="211" t="str">
        <f aca="false">IF($A185="","",MAX(0,O184-W184-AI184))</f>
        <v/>
      </c>
      <c r="AN184" s="211" t="str">
        <f aca="false">IF($A185="","",AL184-AM184)</f>
        <v/>
      </c>
      <c r="AO184" s="137" t="str">
        <f aca="false">IF(A185="","",A185-A184)</f>
        <v/>
      </c>
      <c r="AP184" s="212" t="str">
        <f aca="false">IF(A185="","",CHOOSE(F$3,A185+24,A184))</f>
        <v/>
      </c>
      <c r="AQ184" s="209" t="str">
        <f aca="false">IF(A185="","",AP184-$E$1)</f>
        <v/>
      </c>
      <c r="AR184" s="185" t="n">
        <f aca="false">'ANR OK vs ML7'!AR184</f>
        <v>0.1</v>
      </c>
      <c r="AS184" s="213" t="str">
        <f aca="false">IF(A185="","",1/(1+CHOOSE(F$3,(AR185+($I$3/10000))/2,(AR184+($I$3/10000))/2))^(2*AQ184/365.25))</f>
        <v/>
      </c>
      <c r="AT184" s="137" t="str">
        <f aca="false">IF(A185="","",IF(AND(mthbeg&lt;=A184,mthend&gt;=A184),1,0))</f>
        <v/>
      </c>
      <c r="AU184" s="137" t="str">
        <f aca="false">IF(A185="","",AO184*AT184)</f>
        <v/>
      </c>
      <c r="AW184" s="195" t="str">
        <f aca="false">IF($A185="","",AL184*$E184)</f>
        <v/>
      </c>
      <c r="AX184" s="195" t="str">
        <f aca="false">IF($A185="","",AM184*$E184)</f>
        <v/>
      </c>
      <c r="AY184" s="195" t="str">
        <f aca="false">IF($A185="","",AN184*$E184)</f>
        <v/>
      </c>
      <c r="BA184" s="195" t="str">
        <f aca="false">IF($A185="","",F184*Summary!$Q$9)</f>
        <v/>
      </c>
    </row>
    <row r="185" customFormat="false" ht="12" hidden="false" customHeight="true" outlineLevel="0" collapsed="false">
      <c r="A185" s="196" t="str">
        <f aca="false">IF(A184&lt;mthend,EDATE(A184,1),"")</f>
        <v/>
      </c>
      <c r="B185" s="197" t="str">
        <f aca="false">IF(A185&lt;mthend,B184,"")</f>
        <v/>
      </c>
      <c r="C185" s="215"/>
      <c r="D185" s="197" t="str">
        <f aca="false">IF(A186&lt;&gt;"",B185+C185,"")</f>
        <v/>
      </c>
      <c r="E185" s="199" t="str">
        <f aca="false">IF(A186="","",IF(AND(AT185=1,$H$3=1),D185*AO185,IF($H$3=2,D185,"N/A")))</f>
        <v/>
      </c>
      <c r="F185" s="199" t="str">
        <f aca="false">IF(A186="","",E185*AS185)</f>
        <v/>
      </c>
      <c r="G185" s="200" t="str">
        <f aca="false">IF($A186="","",VLOOKUP($A185,Table,MATCH(G$4,Curves,0)))</f>
        <v/>
      </c>
      <c r="H185" s="201" t="str">
        <f aca="false">IF(A186="","",G185)</f>
        <v/>
      </c>
      <c r="I185" s="202"/>
      <c r="J185" s="200" t="str">
        <f aca="false">IF($A186="","",VLOOKUP($A185,Table,MATCH(J$4,Curves,0)))</f>
        <v/>
      </c>
      <c r="K185" s="201" t="str">
        <f aca="false">IF(A186="","",J185)</f>
        <v/>
      </c>
      <c r="L185" s="200" t="str">
        <f aca="false">IF($A186="","",VLOOKUP($A185,Table,MATCH(L$4,Curves,0)))</f>
        <v/>
      </c>
      <c r="M185" s="201" t="str">
        <f aca="false">IF(A186="","",L185)</f>
        <v/>
      </c>
      <c r="N185" s="203"/>
      <c r="O185" s="200" t="str">
        <f aca="false">IF(A186="","",L185+J185+G185)</f>
        <v/>
      </c>
      <c r="P185" s="200" t="str">
        <f aca="false">IF(A186="","",M185+K185+H185)</f>
        <v/>
      </c>
      <c r="Q185" s="204"/>
      <c r="R185" s="200" t="str">
        <f aca="false">IF($A186="","",VLOOKUP($A185,Table,MATCH(R$4,Curves,0)))</f>
        <v/>
      </c>
      <c r="S185" s="201" t="str">
        <f aca="false">IF(A186="","",R185)</f>
        <v/>
      </c>
      <c r="T185" s="200" t="str">
        <f aca="false">IF($A186="","",VLOOKUP($A185,Table,MATCH(T$4,Curves,0)))</f>
        <v/>
      </c>
      <c r="U185" s="201" t="str">
        <f aca="false">IF(A186="","",T185)</f>
        <v/>
      </c>
      <c r="V185" s="225" t="str">
        <f aca="false">IF($A186="","",IF(AND(MONTH(A185)&gt;3,MONTH(A185)&lt;11),(T185+R185+G185)*Summary!$T$9/(1-Summary!$T$9),(T185+R185+G185)*Summary!$U$9/(1-Summary!$U$9)))</f>
        <v/>
      </c>
      <c r="W185" s="200" t="str">
        <f aca="false">IF($A186="","",(T185+R185+G185+V185))</f>
        <v/>
      </c>
      <c r="X185" s="200" t="str">
        <f aca="false">IF($A186="","",(U185+S185+H185+V185))</f>
        <v/>
      </c>
      <c r="Y185" s="202"/>
      <c r="Z185" s="185" t="str">
        <f aca="false">IF($A186="","",VLOOKUP($A185,Table,MATCH(Z$4,Curves,0)))</f>
        <v/>
      </c>
      <c r="AA185" s="185" t="str">
        <f aca="false">IF($A186="","",VLOOKUP($A185,Table,MATCH(AA$4,Curves,0)))</f>
        <v/>
      </c>
      <c r="AB185" s="185" t="e">
        <f aca="false">SQRT((AA185^2*(A185-$D$3)+Z185^2*(DAY(EOMONTH(A185,0))/2))/AK185)</f>
        <v>#VALUE!</v>
      </c>
      <c r="AC185" s="185" t="str">
        <f aca="false">IF($A186="","",VLOOKUP($A185,Table,MATCH(AC$4,Curves,0)))</f>
        <v/>
      </c>
      <c r="AD185" s="185" t="str">
        <f aca="false">IF($A186="","",VLOOKUP($A185,Table,MATCH(AD$4,Curves,0)))</f>
        <v/>
      </c>
      <c r="AE185" s="185" t="e">
        <f aca="false">SQRT((AD185^2*(A185-$D$3)+AC185^2*(DAY(EOMONTH(A185,0))/2))/AK185)</f>
        <v>#VALUE!</v>
      </c>
      <c r="AF185" s="224" t="e">
        <f aca="false">((Summary!$N$9*(AA185*AD185)*(A185-$D$3))+(Summary!$M$9*Z185*AC185*(AJ185-EOMONTH(EDATE(A185,-1),0))))/(AK185*AB185*AE185)</f>
        <v>#VALUE!</v>
      </c>
      <c r="AG185" s="207" t="str">
        <f aca="false">IF($A186="","",Summary!$Q$9)</f>
        <v/>
      </c>
      <c r="AH185" s="207" t="str">
        <f aca="false">IF($A186="","",IF(Summary!$R$9="Y",VLOOKUP($A185,Summary!$AD$6:$AF$9,3)+'Escalating commodity'!E198,'Escalating commodity'!E198))</f>
        <v/>
      </c>
      <c r="AI185" s="207" t="str">
        <f aca="false">IF($A186="","",AH185)</f>
        <v/>
      </c>
      <c r="AJ185" s="208" t="e">
        <f aca="false">A185+DAY(EOMONTH(A185,0))/2-1</f>
        <v>#VALUE!</v>
      </c>
      <c r="AK185" s="209" t="str">
        <f aca="false">IF($A186="","",$A185-$E$1)</f>
        <v/>
      </c>
      <c r="AL185" s="182" t="str">
        <f aca="false">IF($A186="","",SPRDOPT(P185,X185,AI185,0,AB185,AE185,AF185,AK185,$AJ$2,0))</f>
        <v/>
      </c>
      <c r="AM185" s="211" t="str">
        <f aca="false">IF($A186="","",MAX(0,O185-W185-AI185))</f>
        <v/>
      </c>
      <c r="AN185" s="211" t="str">
        <f aca="false">IF($A186="","",AL185-AM185)</f>
        <v/>
      </c>
      <c r="AO185" s="137" t="str">
        <f aca="false">IF(A186="","",A186-A185)</f>
        <v/>
      </c>
      <c r="AP185" s="212" t="str">
        <f aca="false">IF(A186="","",CHOOSE(F$3,A186+24,A185))</f>
        <v/>
      </c>
      <c r="AQ185" s="209" t="str">
        <f aca="false">IF(A186="","",AP185-$E$1)</f>
        <v/>
      </c>
      <c r="AR185" s="185" t="n">
        <f aca="false">'ANR OK vs ML7'!AR185</f>
        <v>0.1</v>
      </c>
      <c r="AS185" s="213" t="str">
        <f aca="false">IF(A186="","",1/(1+CHOOSE(F$3,(AR186+($I$3/10000))/2,(AR185+($I$3/10000))/2))^(2*AQ185/365.25))</f>
        <v/>
      </c>
      <c r="AT185" s="137" t="str">
        <f aca="false">IF(A186="","",IF(AND(mthbeg&lt;=A185,mthend&gt;=A185),1,0))</f>
        <v/>
      </c>
      <c r="AU185" s="137" t="str">
        <f aca="false">IF(A186="","",AO185*AT185)</f>
        <v/>
      </c>
      <c r="AW185" s="195" t="str">
        <f aca="false">IF($A186="","",AL185*$E185)</f>
        <v/>
      </c>
      <c r="AX185" s="195" t="str">
        <f aca="false">IF($A186="","",AM185*$E185)</f>
        <v/>
      </c>
      <c r="AY185" s="195" t="str">
        <f aca="false">IF($A186="","",AN185*$E185)</f>
        <v/>
      </c>
      <c r="BA185" s="195" t="str">
        <f aca="false">IF($A186="","",F185*Summary!$Q$9)</f>
        <v/>
      </c>
    </row>
    <row r="186" customFormat="false" ht="12" hidden="false" customHeight="true" outlineLevel="0" collapsed="false">
      <c r="A186" s="196" t="str">
        <f aca="false">IF(A185&lt;mthend,EDATE(A185,1),"")</f>
        <v/>
      </c>
      <c r="B186" s="197" t="str">
        <f aca="false">IF(A186&lt;mthend,B185,"")</f>
        <v/>
      </c>
      <c r="C186" s="215"/>
      <c r="D186" s="197" t="str">
        <f aca="false">IF(A187&lt;&gt;"",B186+C186,"")</f>
        <v/>
      </c>
      <c r="E186" s="199" t="str">
        <f aca="false">IF(A187="","",IF(AND(AT186=1,$H$3=1),D186*AO186,IF($H$3=2,D186,"N/A")))</f>
        <v/>
      </c>
      <c r="F186" s="199" t="str">
        <f aca="false">IF(A187="","",E186*AS186)</f>
        <v/>
      </c>
      <c r="G186" s="200" t="str">
        <f aca="false">IF($A187="","",VLOOKUP($A186,Table,MATCH(G$4,Curves,0)))</f>
        <v/>
      </c>
      <c r="H186" s="201" t="str">
        <f aca="false">IF(A187="","",G186)</f>
        <v/>
      </c>
      <c r="I186" s="202"/>
      <c r="J186" s="200" t="str">
        <f aca="false">IF($A187="","",VLOOKUP($A186,Table,MATCH(J$4,Curves,0)))</f>
        <v/>
      </c>
      <c r="K186" s="201" t="str">
        <f aca="false">IF(A187="","",J186)</f>
        <v/>
      </c>
      <c r="L186" s="200" t="str">
        <f aca="false">IF($A187="","",VLOOKUP($A186,Table,MATCH(L$4,Curves,0)))</f>
        <v/>
      </c>
      <c r="M186" s="201" t="str">
        <f aca="false">IF(A187="","",L186)</f>
        <v/>
      </c>
      <c r="N186" s="203"/>
      <c r="O186" s="200" t="str">
        <f aca="false">IF(A187="","",L186+J186+G186)</f>
        <v/>
      </c>
      <c r="P186" s="200" t="str">
        <f aca="false">IF(A187="","",M186+K186+H186)</f>
        <v/>
      </c>
      <c r="Q186" s="204"/>
      <c r="R186" s="200" t="str">
        <f aca="false">IF($A187="","",VLOOKUP($A186,Table,MATCH(R$4,Curves,0)))</f>
        <v/>
      </c>
      <c r="S186" s="201" t="str">
        <f aca="false">IF(A187="","",R186)</f>
        <v/>
      </c>
      <c r="T186" s="200" t="str">
        <f aca="false">IF($A187="","",VLOOKUP($A186,Table,MATCH(T$4,Curves,0)))</f>
        <v/>
      </c>
      <c r="U186" s="201" t="str">
        <f aca="false">IF(A187="","",T186)</f>
        <v/>
      </c>
      <c r="V186" s="225" t="str">
        <f aca="false">IF($A187="","",IF(AND(MONTH(A186)&gt;3,MONTH(A186)&lt;11),(T186+R186+G186)*Summary!$T$9/(1-Summary!$T$9),(T186+R186+G186)*Summary!$U$9/(1-Summary!$U$9)))</f>
        <v/>
      </c>
      <c r="W186" s="200" t="str">
        <f aca="false">IF($A187="","",(T186+R186+G186+V186))</f>
        <v/>
      </c>
      <c r="X186" s="200" t="str">
        <f aca="false">IF($A187="","",(U186+S186+H186+V186))</f>
        <v/>
      </c>
      <c r="Y186" s="202"/>
      <c r="Z186" s="185" t="str">
        <f aca="false">IF($A187="","",VLOOKUP($A186,Table,MATCH(Z$4,Curves,0)))</f>
        <v/>
      </c>
      <c r="AA186" s="185" t="str">
        <f aca="false">IF($A187="","",VLOOKUP($A186,Table,MATCH(AA$4,Curves,0)))</f>
        <v/>
      </c>
      <c r="AB186" s="185" t="e">
        <f aca="false">SQRT((AA186^2*(A186-$D$3)+Z186^2*(DAY(EOMONTH(A186,0))/2))/AK186)</f>
        <v>#VALUE!</v>
      </c>
      <c r="AC186" s="185" t="str">
        <f aca="false">IF($A187="","",VLOOKUP($A186,Table,MATCH(AC$4,Curves,0)))</f>
        <v/>
      </c>
      <c r="AD186" s="185" t="str">
        <f aca="false">IF($A187="","",VLOOKUP($A186,Table,MATCH(AD$4,Curves,0)))</f>
        <v/>
      </c>
      <c r="AE186" s="185" t="e">
        <f aca="false">SQRT((AD186^2*(A186-$D$3)+AC186^2*(DAY(EOMONTH(A186,0))/2))/AK186)</f>
        <v>#VALUE!</v>
      </c>
      <c r="AF186" s="224" t="e">
        <f aca="false">((Summary!$N$9*(AA186*AD186)*(A186-$D$3))+(Summary!$M$9*Z186*AC186*(AJ186-EOMONTH(EDATE(A186,-1),0))))/(AK186*AB186*AE186)</f>
        <v>#VALUE!</v>
      </c>
      <c r="AG186" s="207" t="str">
        <f aca="false">IF($A187="","",Summary!$Q$9)</f>
        <v/>
      </c>
      <c r="AH186" s="207" t="str">
        <f aca="false">IF($A187="","",IF(Summary!$R$9="Y",VLOOKUP($A186,Summary!$AD$6:$AF$9,3)+'Escalating commodity'!E199,'Escalating commodity'!E199))</f>
        <v/>
      </c>
      <c r="AI186" s="207" t="str">
        <f aca="false">IF($A187="","",AH186)</f>
        <v/>
      </c>
      <c r="AJ186" s="208" t="e">
        <f aca="false">A186+DAY(EOMONTH(A186,0))/2-1</f>
        <v>#VALUE!</v>
      </c>
      <c r="AK186" s="209" t="str">
        <f aca="false">IF($A187="","",$A186-$E$1)</f>
        <v/>
      </c>
      <c r="AL186" s="182" t="str">
        <f aca="false">IF($A187="","",SPRDOPT(P186,X186,AI186,0,AB186,AE186,AF186,AK186,$AJ$2,0))</f>
        <v/>
      </c>
      <c r="AM186" s="211" t="str">
        <f aca="false">IF($A187="","",MAX(0,O186-W186-AI186))</f>
        <v/>
      </c>
      <c r="AN186" s="211" t="str">
        <f aca="false">IF($A187="","",AL186-AM186)</f>
        <v/>
      </c>
      <c r="AO186" s="137" t="str">
        <f aca="false">IF(A187="","",A187-A186)</f>
        <v/>
      </c>
      <c r="AP186" s="212" t="str">
        <f aca="false">IF(A187="","",CHOOSE(F$3,A187+24,A186))</f>
        <v/>
      </c>
      <c r="AQ186" s="209" t="str">
        <f aca="false">IF(A187="","",AP186-$E$1)</f>
        <v/>
      </c>
      <c r="AR186" s="185" t="n">
        <f aca="false">'ANR OK vs ML7'!AR186</f>
        <v>0.1</v>
      </c>
      <c r="AS186" s="213" t="str">
        <f aca="false">IF(A187="","",1/(1+CHOOSE(F$3,(AR187+($I$3/10000))/2,(AR186+($I$3/10000))/2))^(2*AQ186/365.25))</f>
        <v/>
      </c>
      <c r="AT186" s="137" t="str">
        <f aca="false">IF(A187="","",IF(AND(mthbeg&lt;=A186,mthend&gt;=A186),1,0))</f>
        <v/>
      </c>
      <c r="AU186" s="137" t="str">
        <f aca="false">IF(A187="","",AO186*AT186)</f>
        <v/>
      </c>
      <c r="AW186" s="195" t="str">
        <f aca="false">IF($A187="","",AL186*$E186)</f>
        <v/>
      </c>
      <c r="AX186" s="195" t="str">
        <f aca="false">IF($A187="","",AM186*$E186)</f>
        <v/>
      </c>
      <c r="AY186" s="195" t="str">
        <f aca="false">IF($A187="","",AN186*$E186)</f>
        <v/>
      </c>
      <c r="BA186" s="195" t="str">
        <f aca="false">IF($A187="","",F186*Summary!$Q$9)</f>
        <v/>
      </c>
    </row>
    <row r="187" customFormat="false" ht="12" hidden="false" customHeight="true" outlineLevel="0" collapsed="false">
      <c r="A187" s="196" t="str">
        <f aca="false">IF(A186&lt;mthend,EDATE(A186,1),"")</f>
        <v/>
      </c>
      <c r="B187" s="197" t="str">
        <f aca="false">IF(A187&lt;mthend,B186,"")</f>
        <v/>
      </c>
      <c r="C187" s="215"/>
      <c r="D187" s="197" t="str">
        <f aca="false">IF(A188&lt;&gt;"",B187+C187,"")</f>
        <v/>
      </c>
      <c r="E187" s="199" t="str">
        <f aca="false">IF(A188="","",IF(AND(AT187=1,$H$3=1),D187*AO187,IF($H$3=2,D187,"N/A")))</f>
        <v/>
      </c>
      <c r="F187" s="199" t="str">
        <f aca="false">IF(A188="","",E187*AS187)</f>
        <v/>
      </c>
      <c r="G187" s="200" t="str">
        <f aca="false">IF($A188="","",VLOOKUP($A187,Table,MATCH(G$4,Curves,0)))</f>
        <v/>
      </c>
      <c r="H187" s="201" t="str">
        <f aca="false">IF(A188="","",G187)</f>
        <v/>
      </c>
      <c r="I187" s="202"/>
      <c r="J187" s="200" t="str">
        <f aca="false">IF($A188="","",VLOOKUP($A187,Table,MATCH(J$4,Curves,0)))</f>
        <v/>
      </c>
      <c r="K187" s="201" t="str">
        <f aca="false">IF(A188="","",J187)</f>
        <v/>
      </c>
      <c r="L187" s="200" t="str">
        <f aca="false">IF($A188="","",VLOOKUP($A187,Table,MATCH(L$4,Curves,0)))</f>
        <v/>
      </c>
      <c r="M187" s="201" t="str">
        <f aca="false">IF(A188="","",L187)</f>
        <v/>
      </c>
      <c r="N187" s="203"/>
      <c r="O187" s="200" t="str">
        <f aca="false">IF(A188="","",L187+J187+G187)</f>
        <v/>
      </c>
      <c r="P187" s="200" t="str">
        <f aca="false">IF(A188="","",M187+K187+H187)</f>
        <v/>
      </c>
      <c r="Q187" s="204"/>
      <c r="R187" s="200" t="str">
        <f aca="false">IF($A188="","",VLOOKUP($A187,Table,MATCH(R$4,Curves,0)))</f>
        <v/>
      </c>
      <c r="S187" s="201" t="str">
        <f aca="false">IF(A188="","",R187)</f>
        <v/>
      </c>
      <c r="T187" s="200" t="str">
        <f aca="false">IF($A188="","",VLOOKUP($A187,Table,MATCH(T$4,Curves,0)))</f>
        <v/>
      </c>
      <c r="U187" s="201" t="str">
        <f aca="false">IF(A188="","",T187)</f>
        <v/>
      </c>
      <c r="V187" s="225" t="str">
        <f aca="false">IF($A188="","",IF(AND(MONTH(A187)&gt;3,MONTH(A187)&lt;11),(T187+R187+G187)*Summary!$T$9/(1-Summary!$T$9),(T187+R187+G187)*Summary!$U$9/(1-Summary!$U$9)))</f>
        <v/>
      </c>
      <c r="W187" s="200" t="str">
        <f aca="false">IF($A188="","",(T187+R187+G187+V187))</f>
        <v/>
      </c>
      <c r="X187" s="200" t="str">
        <f aca="false">IF($A188="","",(U187+S187+H187+V187))</f>
        <v/>
      </c>
      <c r="Y187" s="202"/>
      <c r="Z187" s="185" t="str">
        <f aca="false">IF($A188="","",VLOOKUP($A187,Table,MATCH(Z$4,Curves,0)))</f>
        <v/>
      </c>
      <c r="AA187" s="185" t="str">
        <f aca="false">IF($A188="","",VLOOKUP($A187,Table,MATCH(AA$4,Curves,0)))</f>
        <v/>
      </c>
      <c r="AB187" s="185" t="e">
        <f aca="false">SQRT((AA187^2*(A187-$D$3)+Z187^2*(DAY(EOMONTH(A187,0))/2))/AK187)</f>
        <v>#VALUE!</v>
      </c>
      <c r="AC187" s="185" t="str">
        <f aca="false">IF($A188="","",VLOOKUP($A187,Table,MATCH(AC$4,Curves,0)))</f>
        <v/>
      </c>
      <c r="AD187" s="185" t="str">
        <f aca="false">IF($A188="","",VLOOKUP($A187,Table,MATCH(AD$4,Curves,0)))</f>
        <v/>
      </c>
      <c r="AE187" s="185" t="e">
        <f aca="false">SQRT((AD187^2*(A187-$D$3)+AC187^2*(DAY(EOMONTH(A187,0))/2))/AK187)</f>
        <v>#VALUE!</v>
      </c>
      <c r="AF187" s="224" t="e">
        <f aca="false">((Summary!$N$9*(AA187*AD187)*(A187-$D$3))+(Summary!$M$9*Z187*AC187*(AJ187-EOMONTH(EDATE(A187,-1),0))))/(AK187*AB187*AE187)</f>
        <v>#VALUE!</v>
      </c>
      <c r="AG187" s="207" t="str">
        <f aca="false">IF($A188="","",Summary!$Q$9)</f>
        <v/>
      </c>
      <c r="AH187" s="207" t="str">
        <f aca="false">IF($A188="","",IF(Summary!$R$9="Y",VLOOKUP($A187,Summary!$AD$6:$AF$9,3)+'Escalating commodity'!E200,'Escalating commodity'!E200))</f>
        <v/>
      </c>
      <c r="AI187" s="207" t="str">
        <f aca="false">IF($A188="","",AH187)</f>
        <v/>
      </c>
      <c r="AJ187" s="208" t="e">
        <f aca="false">A187+DAY(EOMONTH(A187,0))/2-1</f>
        <v>#VALUE!</v>
      </c>
      <c r="AK187" s="209" t="str">
        <f aca="false">IF($A188="","",$A187-$E$1)</f>
        <v/>
      </c>
      <c r="AL187" s="182" t="str">
        <f aca="false">IF($A188="","",SPRDOPT(P187,X187,AI187,0,AB187,AE187,AF187,AK187,$AJ$2,0))</f>
        <v/>
      </c>
      <c r="AM187" s="211" t="str">
        <f aca="false">IF($A188="","",MAX(0,O187-W187-AI187))</f>
        <v/>
      </c>
      <c r="AN187" s="211" t="str">
        <f aca="false">IF($A188="","",AL187-AM187)</f>
        <v/>
      </c>
      <c r="AO187" s="137" t="str">
        <f aca="false">IF(A188="","",A188-A187)</f>
        <v/>
      </c>
      <c r="AP187" s="212" t="str">
        <f aca="false">IF(A188="","",CHOOSE(F$3,A188+24,A187))</f>
        <v/>
      </c>
      <c r="AQ187" s="209" t="str">
        <f aca="false">IF(A188="","",AP187-$E$1)</f>
        <v/>
      </c>
      <c r="AR187" s="185" t="n">
        <f aca="false">'ANR OK vs ML7'!AR187</f>
        <v>0.1</v>
      </c>
      <c r="AS187" s="213" t="str">
        <f aca="false">IF(A188="","",1/(1+CHOOSE(F$3,(AR188+($I$3/10000))/2,(AR187+($I$3/10000))/2))^(2*AQ187/365.25))</f>
        <v/>
      </c>
      <c r="AT187" s="137" t="str">
        <f aca="false">IF(A188="","",IF(AND(mthbeg&lt;=A187,mthend&gt;=A187),1,0))</f>
        <v/>
      </c>
      <c r="AU187" s="137" t="str">
        <f aca="false">IF(A188="","",AO187*AT187)</f>
        <v/>
      </c>
      <c r="AW187" s="195" t="str">
        <f aca="false">IF($A188="","",AL187*$E187)</f>
        <v/>
      </c>
      <c r="AX187" s="195" t="str">
        <f aca="false">IF($A188="","",AM187*$E187)</f>
        <v/>
      </c>
      <c r="AY187" s="195" t="str">
        <f aca="false">IF($A188="","",AN187*$E187)</f>
        <v/>
      </c>
      <c r="BA187" s="195" t="str">
        <f aca="false">IF($A188="","",F187*Summary!$Q$9)</f>
        <v/>
      </c>
    </row>
    <row r="188" customFormat="false" ht="12" hidden="false" customHeight="true" outlineLevel="0" collapsed="false">
      <c r="A188" s="196" t="str">
        <f aca="false">IF(A187&lt;mthend,EDATE(A187,1),"")</f>
        <v/>
      </c>
      <c r="B188" s="197" t="str">
        <f aca="false">IF(A188&lt;mthend,B187,"")</f>
        <v/>
      </c>
      <c r="C188" s="215"/>
      <c r="D188" s="197" t="str">
        <f aca="false">IF(A189&lt;&gt;"",B188+C188,"")</f>
        <v/>
      </c>
      <c r="E188" s="199" t="str">
        <f aca="false">IF(A189="","",IF(AND(AT188=1,$H$3=1),D188*AO188,IF($H$3=2,D188,"N/A")))</f>
        <v/>
      </c>
      <c r="F188" s="199" t="str">
        <f aca="false">IF(A189="","",E188*AS188)</f>
        <v/>
      </c>
      <c r="G188" s="200" t="str">
        <f aca="false">IF($A189="","",VLOOKUP($A188,Table,MATCH(G$4,Curves,0)))</f>
        <v/>
      </c>
      <c r="H188" s="201" t="str">
        <f aca="false">IF(A189="","",G188)</f>
        <v/>
      </c>
      <c r="I188" s="202"/>
      <c r="J188" s="200" t="str">
        <f aca="false">IF($A189="","",VLOOKUP($A188,Table,MATCH(J$4,Curves,0)))</f>
        <v/>
      </c>
      <c r="K188" s="201" t="str">
        <f aca="false">IF(A189="","",J188)</f>
        <v/>
      </c>
      <c r="L188" s="200" t="str">
        <f aca="false">IF($A189="","",VLOOKUP($A188,Table,MATCH(L$4,Curves,0)))</f>
        <v/>
      </c>
      <c r="M188" s="201" t="str">
        <f aca="false">IF(A189="","",L188)</f>
        <v/>
      </c>
      <c r="N188" s="203"/>
      <c r="O188" s="200" t="str">
        <f aca="false">IF(A189="","",L188+J188+G188)</f>
        <v/>
      </c>
      <c r="P188" s="200" t="str">
        <f aca="false">IF(A189="","",M188+K188+H188)</f>
        <v/>
      </c>
      <c r="Q188" s="204"/>
      <c r="R188" s="200" t="str">
        <f aca="false">IF($A189="","",VLOOKUP($A188,Table,MATCH(R$4,Curves,0)))</f>
        <v/>
      </c>
      <c r="S188" s="201" t="str">
        <f aca="false">IF(A189="","",R188)</f>
        <v/>
      </c>
      <c r="T188" s="200" t="str">
        <f aca="false">IF($A189="","",VLOOKUP($A188,Table,MATCH(T$4,Curves,0)))</f>
        <v/>
      </c>
      <c r="U188" s="201" t="str">
        <f aca="false">IF(A189="","",T188)</f>
        <v/>
      </c>
      <c r="V188" s="225" t="str">
        <f aca="false">IF($A189="","",IF(AND(MONTH(A188)&gt;3,MONTH(A188)&lt;11),(T188+R188+G188)*Summary!$T$9/(1-Summary!$T$9),(T188+R188+G188)*Summary!$U$9/(1-Summary!$U$9)))</f>
        <v/>
      </c>
      <c r="W188" s="200" t="str">
        <f aca="false">IF($A189="","",(T188+R188+G188+V188))</f>
        <v/>
      </c>
      <c r="X188" s="200" t="str">
        <f aca="false">IF($A189="","",(U188+S188+H188+V188))</f>
        <v/>
      </c>
      <c r="Y188" s="202"/>
      <c r="Z188" s="185" t="str">
        <f aca="false">IF($A189="","",VLOOKUP($A188,Table,MATCH(Z$4,Curves,0)))</f>
        <v/>
      </c>
      <c r="AA188" s="185" t="str">
        <f aca="false">IF($A189="","",VLOOKUP($A188,Table,MATCH(AA$4,Curves,0)))</f>
        <v/>
      </c>
      <c r="AB188" s="185" t="e">
        <f aca="false">SQRT((AA188^2*(A188-$D$3)+Z188^2*(DAY(EOMONTH(A188,0))/2))/AK188)</f>
        <v>#VALUE!</v>
      </c>
      <c r="AC188" s="185" t="str">
        <f aca="false">IF($A189="","",VLOOKUP($A188,Table,MATCH(AC$4,Curves,0)))</f>
        <v/>
      </c>
      <c r="AD188" s="185" t="str">
        <f aca="false">IF($A189="","",VLOOKUP($A188,Table,MATCH(AD$4,Curves,0)))</f>
        <v/>
      </c>
      <c r="AE188" s="185" t="e">
        <f aca="false">SQRT((AD188^2*(A188-$D$3)+AC188^2*(DAY(EOMONTH(A188,0))/2))/AK188)</f>
        <v>#VALUE!</v>
      </c>
      <c r="AF188" s="224" t="e">
        <f aca="false">((Summary!$N$9*(AA188*AD188)*(A188-$D$3))+(Summary!$M$9*Z188*AC188*(AJ188-EOMONTH(EDATE(A188,-1),0))))/(AK188*AB188*AE188)</f>
        <v>#VALUE!</v>
      </c>
      <c r="AG188" s="207" t="str">
        <f aca="false">IF($A189="","",Summary!$Q$9)</f>
        <v/>
      </c>
      <c r="AH188" s="207" t="str">
        <f aca="false">IF($A189="","",IF(Summary!$R$9="Y",VLOOKUP($A188,Summary!$AD$6:$AF$9,3)+'Escalating commodity'!E201,'Escalating commodity'!E201))</f>
        <v/>
      </c>
      <c r="AI188" s="207" t="str">
        <f aca="false">IF($A189="","",AH188)</f>
        <v/>
      </c>
      <c r="AJ188" s="208" t="e">
        <f aca="false">A188+DAY(EOMONTH(A188,0))/2-1</f>
        <v>#VALUE!</v>
      </c>
      <c r="AK188" s="209" t="str">
        <f aca="false">IF($A189="","",$A188-$E$1)</f>
        <v/>
      </c>
      <c r="AL188" s="182" t="str">
        <f aca="false">IF($A189="","",SPRDOPT(P188,X188,AI188,0,AB188,AE188,AF188,AK188,$AJ$2,0))</f>
        <v/>
      </c>
      <c r="AM188" s="211" t="str">
        <f aca="false">IF($A189="","",MAX(0,O188-W188-AI188))</f>
        <v/>
      </c>
      <c r="AN188" s="211" t="str">
        <f aca="false">IF($A189="","",AL188-AM188)</f>
        <v/>
      </c>
      <c r="AO188" s="137" t="str">
        <f aca="false">IF(A189="","",A189-A188)</f>
        <v/>
      </c>
      <c r="AP188" s="212" t="str">
        <f aca="false">IF(A189="","",CHOOSE(F$3,A189+24,A188))</f>
        <v/>
      </c>
      <c r="AQ188" s="209" t="str">
        <f aca="false">IF(A189="","",AP188-$E$1)</f>
        <v/>
      </c>
      <c r="AR188" s="185" t="n">
        <f aca="false">'ANR OK vs ML7'!AR188</f>
        <v>0.1</v>
      </c>
      <c r="AS188" s="213" t="str">
        <f aca="false">IF(A189="","",1/(1+CHOOSE(F$3,(AR189+($I$3/10000))/2,(AR188+($I$3/10000))/2))^(2*AQ188/365.25))</f>
        <v/>
      </c>
      <c r="AT188" s="137" t="str">
        <f aca="false">IF(A189="","",IF(AND(mthbeg&lt;=A188,mthend&gt;=A188),1,0))</f>
        <v/>
      </c>
      <c r="AU188" s="137" t="str">
        <f aca="false">IF(A189="","",AO188*AT188)</f>
        <v/>
      </c>
      <c r="AW188" s="195" t="str">
        <f aca="false">IF($A189="","",AL188*$E188)</f>
        <v/>
      </c>
      <c r="AX188" s="195" t="str">
        <f aca="false">IF($A189="","",AM188*$E188)</f>
        <v/>
      </c>
      <c r="AY188" s="195" t="str">
        <f aca="false">IF($A189="","",AN188*$E188)</f>
        <v/>
      </c>
      <c r="BA188" s="195" t="str">
        <f aca="false">IF($A189="","",F188*Summary!$Q$9)</f>
        <v/>
      </c>
    </row>
    <row r="189" customFormat="false" ht="12" hidden="false" customHeight="true" outlineLevel="0" collapsed="false">
      <c r="A189" s="196" t="str">
        <f aca="false">IF(A188&lt;mthend,EDATE(A188,1),"")</f>
        <v/>
      </c>
      <c r="B189" s="197" t="str">
        <f aca="false">IF(A189&lt;mthend,B188,"")</f>
        <v/>
      </c>
      <c r="C189" s="215"/>
      <c r="D189" s="197" t="str">
        <f aca="false">IF(A190&lt;&gt;"",B189+C189,"")</f>
        <v/>
      </c>
      <c r="E189" s="199" t="str">
        <f aca="false">IF(A190="","",IF(AND(AT189=1,$H$3=1),D189*AO189,IF($H$3=2,D189,"N/A")))</f>
        <v/>
      </c>
      <c r="F189" s="199" t="str">
        <f aca="false">IF(A190="","",E189*AS189)</f>
        <v/>
      </c>
      <c r="G189" s="200" t="str">
        <f aca="false">IF($A190="","",VLOOKUP($A189,Table,MATCH(G$4,Curves,0)))</f>
        <v/>
      </c>
      <c r="H189" s="201" t="str">
        <f aca="false">IF(A190="","",G189)</f>
        <v/>
      </c>
      <c r="I189" s="202"/>
      <c r="J189" s="200" t="str">
        <f aca="false">IF($A190="","",VLOOKUP($A189,Table,MATCH(J$4,Curves,0)))</f>
        <v/>
      </c>
      <c r="K189" s="201" t="str">
        <f aca="false">IF(A190="","",J189)</f>
        <v/>
      </c>
      <c r="L189" s="200" t="str">
        <f aca="false">IF($A190="","",VLOOKUP($A189,Table,MATCH(L$4,Curves,0)))</f>
        <v/>
      </c>
      <c r="M189" s="201" t="str">
        <f aca="false">IF(A190="","",L189)</f>
        <v/>
      </c>
      <c r="N189" s="203"/>
      <c r="O189" s="200" t="str">
        <f aca="false">IF(A190="","",L189+J189+G189)</f>
        <v/>
      </c>
      <c r="P189" s="200" t="str">
        <f aca="false">IF(A190="","",M189+K189+H189)</f>
        <v/>
      </c>
      <c r="Q189" s="204"/>
      <c r="R189" s="200" t="str">
        <f aca="false">IF($A190="","",VLOOKUP($A189,Table,MATCH(R$4,Curves,0)))</f>
        <v/>
      </c>
      <c r="S189" s="201" t="str">
        <f aca="false">IF(A190="","",R189)</f>
        <v/>
      </c>
      <c r="T189" s="200" t="str">
        <f aca="false">IF($A190="","",VLOOKUP($A189,Table,MATCH(T$4,Curves,0)))</f>
        <v/>
      </c>
      <c r="U189" s="201" t="str">
        <f aca="false">IF(A190="","",T189)</f>
        <v/>
      </c>
      <c r="V189" s="225" t="str">
        <f aca="false">IF($A190="","",IF(AND(MONTH(A189)&gt;3,MONTH(A189)&lt;11),(T189+R189+G189)*Summary!$T$9/(1-Summary!$T$9),(T189+R189+G189)*Summary!$U$9/(1-Summary!$U$9)))</f>
        <v/>
      </c>
      <c r="W189" s="200" t="str">
        <f aca="false">IF($A190="","",(T189+R189+G189+V189))</f>
        <v/>
      </c>
      <c r="X189" s="200" t="str">
        <f aca="false">IF($A190="","",(U189+S189+H189+V189))</f>
        <v/>
      </c>
      <c r="Y189" s="202"/>
      <c r="Z189" s="185" t="str">
        <f aca="false">IF($A190="","",VLOOKUP($A189,Table,MATCH(Z$4,Curves,0)))</f>
        <v/>
      </c>
      <c r="AA189" s="185" t="str">
        <f aca="false">IF($A190="","",VLOOKUP($A189,Table,MATCH(AA$4,Curves,0)))</f>
        <v/>
      </c>
      <c r="AB189" s="185" t="e">
        <f aca="false">SQRT((AA189^2*(A189-$D$3)+Z189^2*(DAY(EOMONTH(A189,0))/2))/AK189)</f>
        <v>#VALUE!</v>
      </c>
      <c r="AC189" s="185" t="str">
        <f aca="false">IF($A190="","",VLOOKUP($A189,Table,MATCH(AC$4,Curves,0)))</f>
        <v/>
      </c>
      <c r="AD189" s="185" t="str">
        <f aca="false">IF($A190="","",VLOOKUP($A189,Table,MATCH(AD$4,Curves,0)))</f>
        <v/>
      </c>
      <c r="AE189" s="185" t="e">
        <f aca="false">SQRT((AD189^2*(A189-$D$3)+AC189^2*(DAY(EOMONTH(A189,0))/2))/AK189)</f>
        <v>#VALUE!</v>
      </c>
      <c r="AF189" s="224" t="e">
        <f aca="false">((Summary!$N$9*(AA189*AD189)*(A189-$D$3))+(Summary!$M$9*Z189*AC189*(AJ189-EOMONTH(EDATE(A189,-1),0))))/(AK189*AB189*AE189)</f>
        <v>#VALUE!</v>
      </c>
      <c r="AG189" s="207" t="str">
        <f aca="false">IF($A190="","",Summary!$Q$9)</f>
        <v/>
      </c>
      <c r="AH189" s="207" t="str">
        <f aca="false">IF($A190="","",IF(Summary!$R$9="Y",VLOOKUP($A189,Summary!$AD$6:$AF$9,3)+'Escalating commodity'!E202,'Escalating commodity'!E202))</f>
        <v/>
      </c>
      <c r="AI189" s="207" t="str">
        <f aca="false">IF($A190="","",AH189)</f>
        <v/>
      </c>
      <c r="AJ189" s="208" t="e">
        <f aca="false">A189+DAY(EOMONTH(A189,0))/2-1</f>
        <v>#VALUE!</v>
      </c>
      <c r="AK189" s="209" t="str">
        <f aca="false">IF($A190="","",$A189-$E$1)</f>
        <v/>
      </c>
      <c r="AL189" s="182" t="str">
        <f aca="false">IF($A190="","",SPRDOPT(P189,X189,AI189,0,AB189,AE189,AF189,AK189,$AJ$2,0))</f>
        <v/>
      </c>
      <c r="AM189" s="211" t="str">
        <f aca="false">IF($A190="","",MAX(0,O189-W189-AI189))</f>
        <v/>
      </c>
      <c r="AN189" s="211" t="str">
        <f aca="false">IF($A190="","",AL189-AM189)</f>
        <v/>
      </c>
      <c r="AO189" s="137" t="str">
        <f aca="false">IF(A190="","",A190-A189)</f>
        <v/>
      </c>
      <c r="AP189" s="212" t="str">
        <f aca="false">IF(A190="","",CHOOSE(F$3,A190+24,A189))</f>
        <v/>
      </c>
      <c r="AQ189" s="209" t="str">
        <f aca="false">IF(A190="","",AP189-$E$1)</f>
        <v/>
      </c>
      <c r="AR189" s="185" t="n">
        <f aca="false">'ANR OK vs ML7'!AR189</f>
        <v>0.1</v>
      </c>
      <c r="AS189" s="213" t="str">
        <f aca="false">IF(A190="","",1/(1+CHOOSE(F$3,(AR190+($I$3/10000))/2,(AR189+($I$3/10000))/2))^(2*AQ189/365.25))</f>
        <v/>
      </c>
      <c r="AT189" s="137" t="str">
        <f aca="false">IF(A190="","",IF(AND(mthbeg&lt;=A189,mthend&gt;=A189),1,0))</f>
        <v/>
      </c>
      <c r="AU189" s="137" t="str">
        <f aca="false">IF(A190="","",AO189*AT189)</f>
        <v/>
      </c>
      <c r="AW189" s="195" t="str">
        <f aca="false">IF($A190="","",AL189*$E189)</f>
        <v/>
      </c>
      <c r="AX189" s="195" t="str">
        <f aca="false">IF($A190="","",AM189*$E189)</f>
        <v/>
      </c>
      <c r="AY189" s="195" t="str">
        <f aca="false">IF($A190="","",AN189*$E189)</f>
        <v/>
      </c>
      <c r="BA189" s="195" t="str">
        <f aca="false">IF($A190="","",F189*Summary!$Q$9)</f>
        <v/>
      </c>
    </row>
    <row r="190" customFormat="false" ht="12" hidden="false" customHeight="true" outlineLevel="0" collapsed="false">
      <c r="A190" s="196" t="str">
        <f aca="false">IF(A189&lt;mthend,EDATE(A189,1),"")</f>
        <v/>
      </c>
      <c r="B190" s="197" t="str">
        <f aca="false">IF(A190&lt;mthend,B189,"")</f>
        <v/>
      </c>
      <c r="C190" s="215"/>
      <c r="D190" s="197" t="str">
        <f aca="false">IF(A191&lt;&gt;"",B190+C190,"")</f>
        <v/>
      </c>
      <c r="E190" s="199" t="str">
        <f aca="false">IF(A191="","",IF(AND(AT190=1,$H$3=1),D190*AO190,IF($H$3=2,D190,"N/A")))</f>
        <v/>
      </c>
      <c r="F190" s="199" t="str">
        <f aca="false">IF(A191="","",E190*AS190)</f>
        <v/>
      </c>
      <c r="G190" s="200" t="str">
        <f aca="false">IF($A191="","",VLOOKUP($A190,Table,MATCH(G$4,Curves,0)))</f>
        <v/>
      </c>
      <c r="H190" s="201" t="str">
        <f aca="false">IF(A191="","",G190)</f>
        <v/>
      </c>
      <c r="I190" s="202"/>
      <c r="J190" s="200" t="str">
        <f aca="false">IF($A191="","",VLOOKUP($A190,Table,MATCH(J$4,Curves,0)))</f>
        <v/>
      </c>
      <c r="K190" s="201" t="str">
        <f aca="false">IF(A191="","",J190)</f>
        <v/>
      </c>
      <c r="L190" s="200" t="str">
        <f aca="false">IF($A191="","",VLOOKUP($A190,Table,MATCH(L$4,Curves,0)))</f>
        <v/>
      </c>
      <c r="M190" s="201" t="str">
        <f aca="false">IF(A191="","",L190)</f>
        <v/>
      </c>
      <c r="N190" s="203"/>
      <c r="O190" s="200" t="str">
        <f aca="false">IF(A191="","",L190+J190+G190)</f>
        <v/>
      </c>
      <c r="P190" s="200" t="str">
        <f aca="false">IF(A191="","",M190+K190+H190)</f>
        <v/>
      </c>
      <c r="Q190" s="204"/>
      <c r="R190" s="200" t="str">
        <f aca="false">IF($A191="","",VLOOKUP($A190,Table,MATCH(R$4,Curves,0)))</f>
        <v/>
      </c>
      <c r="S190" s="201" t="str">
        <f aca="false">IF(A191="","",R190)</f>
        <v/>
      </c>
      <c r="T190" s="200" t="str">
        <f aca="false">IF($A191="","",VLOOKUP($A190,Table,MATCH(T$4,Curves,0)))</f>
        <v/>
      </c>
      <c r="U190" s="201" t="str">
        <f aca="false">IF(A191="","",T190)</f>
        <v/>
      </c>
      <c r="V190" s="225" t="str">
        <f aca="false">IF($A191="","",IF(AND(MONTH(A190)&gt;3,MONTH(A190)&lt;11),(T190+R190+G190)*Summary!$T$9/(1-Summary!$T$9),(T190+R190+G190)*Summary!$U$9/(1-Summary!$U$9)))</f>
        <v/>
      </c>
      <c r="W190" s="200" t="str">
        <f aca="false">IF($A191="","",(T190+R190+G190+V190))</f>
        <v/>
      </c>
      <c r="X190" s="200" t="str">
        <f aca="false">IF($A191="","",(U190+S190+H190+V190))</f>
        <v/>
      </c>
      <c r="Y190" s="202"/>
      <c r="Z190" s="185" t="str">
        <f aca="false">IF($A191="","",VLOOKUP($A190,Table,MATCH(Z$4,Curves,0)))</f>
        <v/>
      </c>
      <c r="AA190" s="185" t="str">
        <f aca="false">IF($A191="","",VLOOKUP($A190,Table,MATCH(AA$4,Curves,0)))</f>
        <v/>
      </c>
      <c r="AB190" s="185" t="e">
        <f aca="false">SQRT((AA190^2*(A190-$D$3)+Z190^2*(DAY(EOMONTH(A190,0))/2))/AK190)</f>
        <v>#VALUE!</v>
      </c>
      <c r="AC190" s="185" t="str">
        <f aca="false">IF($A191="","",VLOOKUP($A190,Table,MATCH(AC$4,Curves,0)))</f>
        <v/>
      </c>
      <c r="AD190" s="185" t="str">
        <f aca="false">IF($A191="","",VLOOKUP($A190,Table,MATCH(AD$4,Curves,0)))</f>
        <v/>
      </c>
      <c r="AE190" s="185" t="e">
        <f aca="false">SQRT((AD190^2*(A190-$D$3)+AC190^2*(DAY(EOMONTH(A190,0))/2))/AK190)</f>
        <v>#VALUE!</v>
      </c>
      <c r="AF190" s="224" t="e">
        <f aca="false">((Summary!$N$9*(AA190*AD190)*(A190-$D$3))+(Summary!$M$9*Z190*AC190*(AJ190-EOMONTH(EDATE(A190,-1),0))))/(AK190*AB190*AE190)</f>
        <v>#VALUE!</v>
      </c>
      <c r="AG190" s="207" t="str">
        <f aca="false">IF($A191="","",Summary!$Q$9)</f>
        <v/>
      </c>
      <c r="AH190" s="207" t="str">
        <f aca="false">IF($A191="","",IF(Summary!$R$9="Y",VLOOKUP($A190,Summary!$AD$6:$AF$9,3)+'Escalating commodity'!E203,'Escalating commodity'!E203))</f>
        <v/>
      </c>
      <c r="AI190" s="207" t="str">
        <f aca="false">IF($A191="","",AH190)</f>
        <v/>
      </c>
      <c r="AJ190" s="208" t="e">
        <f aca="false">A190+DAY(EOMONTH(A190,0))/2-1</f>
        <v>#VALUE!</v>
      </c>
      <c r="AK190" s="209" t="str">
        <f aca="false">IF($A191="","",$A190-$E$1)</f>
        <v/>
      </c>
      <c r="AL190" s="182" t="str">
        <f aca="false">IF($A191="","",SPRDOPT(P190,X190,AI190,0,AB190,AE190,AF190,AK190,$AJ$2,0))</f>
        <v/>
      </c>
      <c r="AM190" s="211" t="str">
        <f aca="false">IF($A191="","",MAX(0,O190-W190-AI190))</f>
        <v/>
      </c>
      <c r="AN190" s="211" t="str">
        <f aca="false">IF($A191="","",AL190-AM190)</f>
        <v/>
      </c>
      <c r="AO190" s="137" t="str">
        <f aca="false">IF(A191="","",A191-A190)</f>
        <v/>
      </c>
      <c r="AP190" s="212" t="str">
        <f aca="false">IF(A191="","",CHOOSE(F$3,A191+24,A190))</f>
        <v/>
      </c>
      <c r="AQ190" s="209" t="str">
        <f aca="false">IF(A191="","",AP190-$E$1)</f>
        <v/>
      </c>
      <c r="AR190" s="185" t="n">
        <f aca="false">'ANR OK vs ML7'!AR190</f>
        <v>0.1</v>
      </c>
      <c r="AS190" s="213" t="str">
        <f aca="false">IF(A191="","",1/(1+CHOOSE(F$3,(AR191+($I$3/10000))/2,(AR190+($I$3/10000))/2))^(2*AQ190/365.25))</f>
        <v/>
      </c>
      <c r="AT190" s="137" t="str">
        <f aca="false">IF(A191="","",IF(AND(mthbeg&lt;=A190,mthend&gt;=A190),1,0))</f>
        <v/>
      </c>
      <c r="AU190" s="137" t="str">
        <f aca="false">IF(A191="","",AO190*AT190)</f>
        <v/>
      </c>
      <c r="AW190" s="195" t="str">
        <f aca="false">IF($A191="","",AL190*$E190)</f>
        <v/>
      </c>
      <c r="AX190" s="195" t="str">
        <f aca="false">IF($A191="","",AM190*$E190)</f>
        <v/>
      </c>
      <c r="AY190" s="195" t="str">
        <f aca="false">IF($A191="","",AN190*$E190)</f>
        <v/>
      </c>
      <c r="BA190" s="195" t="str">
        <f aca="false">IF($A191="","",F190*Summary!$Q$9)</f>
        <v/>
      </c>
    </row>
    <row r="191" customFormat="false" ht="12" hidden="false" customHeight="true" outlineLevel="0" collapsed="false">
      <c r="A191" s="196" t="str">
        <f aca="false">IF(A190&lt;mthend,EDATE(A190,1),"")</f>
        <v/>
      </c>
      <c r="B191" s="197" t="str">
        <f aca="false">IF(A191&lt;mthend,B190,"")</f>
        <v/>
      </c>
      <c r="C191" s="215"/>
      <c r="D191" s="197" t="str">
        <f aca="false">IF(A192&lt;&gt;"",B191+C191,"")</f>
        <v/>
      </c>
      <c r="E191" s="199" t="str">
        <f aca="false">IF(A192="","",IF(AND(AT191=1,$H$3=1),D191*AO191,IF($H$3=2,D191,"N/A")))</f>
        <v/>
      </c>
      <c r="F191" s="199" t="str">
        <f aca="false">IF(A192="","",E191*AS191)</f>
        <v/>
      </c>
      <c r="G191" s="200" t="str">
        <f aca="false">IF($A192="","",VLOOKUP($A191,Table,MATCH(G$4,Curves,0)))</f>
        <v/>
      </c>
      <c r="H191" s="201" t="str">
        <f aca="false">IF(A192="","",G191)</f>
        <v/>
      </c>
      <c r="I191" s="202"/>
      <c r="J191" s="200" t="str">
        <f aca="false">IF($A192="","",VLOOKUP($A191,Table,MATCH(J$4,Curves,0)))</f>
        <v/>
      </c>
      <c r="K191" s="201" t="str">
        <f aca="false">IF(A192="","",J191)</f>
        <v/>
      </c>
      <c r="L191" s="200" t="str">
        <f aca="false">IF($A192="","",VLOOKUP($A191,Table,MATCH(L$4,Curves,0)))</f>
        <v/>
      </c>
      <c r="M191" s="201" t="str">
        <f aca="false">IF(A192="","",L191)</f>
        <v/>
      </c>
      <c r="N191" s="203"/>
      <c r="O191" s="200" t="str">
        <f aca="false">IF(A192="","",L191+J191+G191)</f>
        <v/>
      </c>
      <c r="P191" s="200" t="str">
        <f aca="false">IF(A192="","",M191+K191+H191)</f>
        <v/>
      </c>
      <c r="Q191" s="204"/>
      <c r="R191" s="200" t="str">
        <f aca="false">IF($A192="","",VLOOKUP($A191,Table,MATCH(R$4,Curves,0)))</f>
        <v/>
      </c>
      <c r="S191" s="201" t="str">
        <f aca="false">IF(A192="","",R191)</f>
        <v/>
      </c>
      <c r="T191" s="200" t="str">
        <f aca="false">IF($A192="","",VLOOKUP($A191,Table,MATCH(T$4,Curves,0)))</f>
        <v/>
      </c>
      <c r="U191" s="201" t="str">
        <f aca="false">IF(A192="","",T191)</f>
        <v/>
      </c>
      <c r="V191" s="225" t="str">
        <f aca="false">IF($A192="","",IF(AND(MONTH(A191)&gt;3,MONTH(A191)&lt;11),(T191+R191+G191)*Summary!$T$9/(1-Summary!$T$9),(T191+R191+G191)*Summary!$U$9/(1-Summary!$U$9)))</f>
        <v/>
      </c>
      <c r="W191" s="200" t="str">
        <f aca="false">IF($A192="","",(T191+R191+G191+V191))</f>
        <v/>
      </c>
      <c r="X191" s="200" t="str">
        <f aca="false">IF($A192="","",(U191+S191+H191+V191))</f>
        <v/>
      </c>
      <c r="Y191" s="202"/>
      <c r="Z191" s="185" t="str">
        <f aca="false">IF($A192="","",VLOOKUP($A191,Table,MATCH(Z$4,Curves,0)))</f>
        <v/>
      </c>
      <c r="AA191" s="185" t="str">
        <f aca="false">IF($A192="","",VLOOKUP($A191,Table,MATCH(AA$4,Curves,0)))</f>
        <v/>
      </c>
      <c r="AB191" s="185" t="e">
        <f aca="false">SQRT((AA191^2*(A191-$D$3)+Z191^2*(DAY(EOMONTH(A191,0))/2))/AK191)</f>
        <v>#VALUE!</v>
      </c>
      <c r="AC191" s="185" t="str">
        <f aca="false">IF($A192="","",VLOOKUP($A191,Table,MATCH(AC$4,Curves,0)))</f>
        <v/>
      </c>
      <c r="AD191" s="185" t="str">
        <f aca="false">IF($A192="","",VLOOKUP($A191,Table,MATCH(AD$4,Curves,0)))</f>
        <v/>
      </c>
      <c r="AE191" s="185" t="e">
        <f aca="false">SQRT((AD191^2*(A191-$D$3)+AC191^2*(DAY(EOMONTH(A191,0))/2))/AK191)</f>
        <v>#VALUE!</v>
      </c>
      <c r="AF191" s="224" t="e">
        <f aca="false">((Summary!$N$9*(AA191*AD191)*(A191-$D$3))+(Summary!$M$9*Z191*AC191*(AJ191-EOMONTH(EDATE(A191,-1),0))))/(AK191*AB191*AE191)</f>
        <v>#VALUE!</v>
      </c>
      <c r="AG191" s="207" t="str">
        <f aca="false">IF($A192="","",Summary!$Q$9)</f>
        <v/>
      </c>
      <c r="AH191" s="207" t="str">
        <f aca="false">IF($A192="","",IF(Summary!$R$9="Y",VLOOKUP($A191,Summary!$AD$6:$AF$9,3)+'Escalating commodity'!E204,'Escalating commodity'!E204))</f>
        <v/>
      </c>
      <c r="AI191" s="207" t="str">
        <f aca="false">IF($A192="","",AH191)</f>
        <v/>
      </c>
      <c r="AJ191" s="208" t="e">
        <f aca="false">A191+DAY(EOMONTH(A191,0))/2-1</f>
        <v>#VALUE!</v>
      </c>
      <c r="AK191" s="209" t="str">
        <f aca="false">IF($A192="","",$A191-$E$1)</f>
        <v/>
      </c>
      <c r="AL191" s="182" t="str">
        <f aca="false">IF($A192="","",SPRDOPT(P191,X191,AI191,0,AB191,AE191,AF191,AK191,$AJ$2,0))</f>
        <v/>
      </c>
      <c r="AM191" s="211" t="str">
        <f aca="false">IF($A192="","",MAX(0,O191-W191-AI191))</f>
        <v/>
      </c>
      <c r="AN191" s="211" t="str">
        <f aca="false">IF($A192="","",AL191-AM191)</f>
        <v/>
      </c>
      <c r="AO191" s="137" t="str">
        <f aca="false">IF(A192="","",A192-A191)</f>
        <v/>
      </c>
      <c r="AP191" s="212" t="str">
        <f aca="false">IF(A192="","",CHOOSE(F$3,A192+24,A191))</f>
        <v/>
      </c>
      <c r="AQ191" s="209" t="str">
        <f aca="false">IF(A192="","",AP191-$E$1)</f>
        <v/>
      </c>
      <c r="AR191" s="185" t="n">
        <f aca="false">'ANR OK vs ML7'!AR191</f>
        <v>0.1</v>
      </c>
      <c r="AS191" s="213" t="str">
        <f aca="false">IF(A192="","",1/(1+CHOOSE(F$3,(AR192+($I$3/10000))/2,(AR191+($I$3/10000))/2))^(2*AQ191/365.25))</f>
        <v/>
      </c>
      <c r="AT191" s="137" t="str">
        <f aca="false">IF(A192="","",IF(AND(mthbeg&lt;=A191,mthend&gt;=A191),1,0))</f>
        <v/>
      </c>
      <c r="AU191" s="137" t="str">
        <f aca="false">IF(A192="","",AO191*AT191)</f>
        <v/>
      </c>
      <c r="AW191" s="195" t="str">
        <f aca="false">IF($A192="","",AL191*$E191)</f>
        <v/>
      </c>
      <c r="AX191" s="195" t="str">
        <f aca="false">IF($A192="","",AM191*$E191)</f>
        <v/>
      </c>
      <c r="AY191" s="195" t="str">
        <f aca="false">IF($A192="","",AN191*$E191)</f>
        <v/>
      </c>
      <c r="BA191" s="195" t="str">
        <f aca="false">IF($A192="","",F191*Summary!$Q$9)</f>
        <v/>
      </c>
    </row>
    <row r="192" customFormat="false" ht="12" hidden="false" customHeight="true" outlineLevel="0" collapsed="false">
      <c r="A192" s="196" t="str">
        <f aca="false">IF(A191&lt;mthend,EDATE(A191,1),"")</f>
        <v/>
      </c>
      <c r="B192" s="197" t="str">
        <f aca="false">IF(A192&lt;mthend,B191,"")</f>
        <v/>
      </c>
      <c r="C192" s="215"/>
      <c r="D192" s="197" t="str">
        <f aca="false">IF(A193&lt;&gt;"",B192+C192,"")</f>
        <v/>
      </c>
      <c r="E192" s="199" t="str">
        <f aca="false">IF(A193="","",IF(AND(AT192=1,$H$3=1),D192*AO192,IF($H$3=2,D192,"N/A")))</f>
        <v/>
      </c>
      <c r="F192" s="199" t="str">
        <f aca="false">IF(A193="","",E192*AS192)</f>
        <v/>
      </c>
      <c r="G192" s="200" t="str">
        <f aca="false">IF($A193="","",VLOOKUP($A192,Table,MATCH(G$4,Curves,0)))</f>
        <v/>
      </c>
      <c r="H192" s="201" t="str">
        <f aca="false">IF(A193="","",G192)</f>
        <v/>
      </c>
      <c r="I192" s="202"/>
      <c r="J192" s="200" t="str">
        <f aca="false">IF($A193="","",VLOOKUP($A192,Table,MATCH(J$4,Curves,0)))</f>
        <v/>
      </c>
      <c r="K192" s="201" t="str">
        <f aca="false">IF(A193="","",J192)</f>
        <v/>
      </c>
      <c r="L192" s="200" t="str">
        <f aca="false">IF($A193="","",VLOOKUP($A192,Table,MATCH(L$4,Curves,0)))</f>
        <v/>
      </c>
      <c r="M192" s="201" t="str">
        <f aca="false">IF(A193="","",L192)</f>
        <v/>
      </c>
      <c r="N192" s="203"/>
      <c r="O192" s="200" t="str">
        <f aca="false">IF(A193="","",L192+J192+G192)</f>
        <v/>
      </c>
      <c r="P192" s="200" t="str">
        <f aca="false">IF(A193="","",M192+K192+H192)</f>
        <v/>
      </c>
      <c r="Q192" s="204"/>
      <c r="R192" s="200" t="str">
        <f aca="false">IF($A193="","",VLOOKUP($A192,Table,MATCH(R$4,Curves,0)))</f>
        <v/>
      </c>
      <c r="S192" s="201" t="str">
        <f aca="false">IF(A193="","",R192)</f>
        <v/>
      </c>
      <c r="T192" s="200" t="str">
        <f aca="false">IF($A193="","",VLOOKUP($A192,Table,MATCH(T$4,Curves,0)))</f>
        <v/>
      </c>
      <c r="U192" s="201" t="str">
        <f aca="false">IF(A193="","",T192)</f>
        <v/>
      </c>
      <c r="V192" s="225" t="str">
        <f aca="false">IF($A193="","",IF(AND(MONTH(A192)&gt;3,MONTH(A192)&lt;11),(T192+R192+G192)*Summary!$T$9/(1-Summary!$T$9),(T192+R192+G192)*Summary!$U$9/(1-Summary!$U$9)))</f>
        <v/>
      </c>
      <c r="W192" s="200" t="str">
        <f aca="false">IF($A193="","",(T192+R192+G192+V192))</f>
        <v/>
      </c>
      <c r="X192" s="200" t="str">
        <f aca="false">IF($A193="","",(U192+S192+H192+V192))</f>
        <v/>
      </c>
      <c r="Y192" s="202"/>
      <c r="Z192" s="185" t="str">
        <f aca="false">IF($A193="","",VLOOKUP($A192,Table,MATCH(Z$4,Curves,0)))</f>
        <v/>
      </c>
      <c r="AA192" s="185" t="str">
        <f aca="false">IF($A193="","",VLOOKUP($A192,Table,MATCH(AA$4,Curves,0)))</f>
        <v/>
      </c>
      <c r="AB192" s="185" t="e">
        <f aca="false">SQRT((AA192^2*(A192-$D$3)+Z192^2*(DAY(EOMONTH(A192,0))/2))/AK192)</f>
        <v>#VALUE!</v>
      </c>
      <c r="AC192" s="185" t="str">
        <f aca="false">IF($A193="","",VLOOKUP($A192,Table,MATCH(AC$4,Curves,0)))</f>
        <v/>
      </c>
      <c r="AD192" s="185" t="str">
        <f aca="false">IF($A193="","",VLOOKUP($A192,Table,MATCH(AD$4,Curves,0)))</f>
        <v/>
      </c>
      <c r="AE192" s="185" t="e">
        <f aca="false">SQRT((AD192^2*(A192-$D$3)+AC192^2*(DAY(EOMONTH(A192,0))/2))/AK192)</f>
        <v>#VALUE!</v>
      </c>
      <c r="AF192" s="224" t="e">
        <f aca="false">((Summary!$N$9*(AA192*AD192)*(A192-$D$3))+(Summary!$M$9*Z192*AC192*(AJ192-EOMONTH(EDATE(A192,-1),0))))/(AK192*AB192*AE192)</f>
        <v>#VALUE!</v>
      </c>
      <c r="AG192" s="207" t="str">
        <f aca="false">IF($A193="","",Summary!$Q$9)</f>
        <v/>
      </c>
      <c r="AH192" s="207" t="str">
        <f aca="false">IF($A193="","",IF(Summary!$R$9="Y",VLOOKUP($A192,Summary!$AD$6:$AF$9,3)+'Escalating commodity'!E205,'Escalating commodity'!E205))</f>
        <v/>
      </c>
      <c r="AI192" s="207" t="str">
        <f aca="false">IF($A193="","",AH192)</f>
        <v/>
      </c>
      <c r="AJ192" s="208" t="e">
        <f aca="false">A192+DAY(EOMONTH(A192,0))/2-1</f>
        <v>#VALUE!</v>
      </c>
      <c r="AK192" s="209" t="str">
        <f aca="false">IF($A193="","",$A192-$E$1)</f>
        <v/>
      </c>
      <c r="AL192" s="182" t="str">
        <f aca="false">IF($A193="","",SPRDOPT(P192,X192,AI192,0,AB192,AE192,AF192,AK192,$AJ$2,0))</f>
        <v/>
      </c>
      <c r="AM192" s="211" t="str">
        <f aca="false">IF($A193="","",MAX(0,O192-W192-AI192))</f>
        <v/>
      </c>
      <c r="AN192" s="211" t="str">
        <f aca="false">IF($A193="","",AL192-AM192)</f>
        <v/>
      </c>
      <c r="AO192" s="137" t="str">
        <f aca="false">IF(A193="","",A193-A192)</f>
        <v/>
      </c>
      <c r="AP192" s="212" t="str">
        <f aca="false">IF(A193="","",CHOOSE(F$3,A193+24,A192))</f>
        <v/>
      </c>
      <c r="AQ192" s="209" t="str">
        <f aca="false">IF(A193="","",AP192-$E$1)</f>
        <v/>
      </c>
      <c r="AR192" s="185" t="n">
        <f aca="false">'ANR OK vs ML7'!AR192</f>
        <v>0.1</v>
      </c>
      <c r="AS192" s="213" t="str">
        <f aca="false">IF(A193="","",1/(1+CHOOSE(F$3,(AR193+($I$3/10000))/2,(AR192+($I$3/10000))/2))^(2*AQ192/365.25))</f>
        <v/>
      </c>
      <c r="AT192" s="137" t="str">
        <f aca="false">IF(A193="","",IF(AND(mthbeg&lt;=A192,mthend&gt;=A192),1,0))</f>
        <v/>
      </c>
      <c r="AU192" s="137" t="str">
        <f aca="false">IF(A193="","",AO192*AT192)</f>
        <v/>
      </c>
      <c r="AW192" s="195" t="str">
        <f aca="false">IF($A193="","",AL192*$E192)</f>
        <v/>
      </c>
      <c r="AX192" s="195" t="str">
        <f aca="false">IF($A193="","",AM192*$E192)</f>
        <v/>
      </c>
      <c r="AY192" s="195" t="str">
        <f aca="false">IF($A193="","",AN192*$E192)</f>
        <v/>
      </c>
      <c r="BA192" s="195" t="str">
        <f aca="false">IF($A193="","",F192*Summary!$Q$9)</f>
        <v/>
      </c>
    </row>
    <row r="193" customFormat="false" ht="12" hidden="false" customHeight="true" outlineLevel="0" collapsed="false">
      <c r="A193" s="196" t="str">
        <f aca="false">IF(A192&lt;mthend,EDATE(A192,1),"")</f>
        <v/>
      </c>
      <c r="B193" s="197" t="str">
        <f aca="false">IF(A193&lt;mthend,B192,"")</f>
        <v/>
      </c>
      <c r="C193" s="215"/>
      <c r="D193" s="197" t="str">
        <f aca="false">IF(A194&lt;&gt;"",B193+C193,"")</f>
        <v/>
      </c>
      <c r="E193" s="199" t="str">
        <f aca="false">IF(A194="","",IF(AND(AT193=1,$H$3=1),D193*AO193,IF($H$3=2,D193,"N/A")))</f>
        <v/>
      </c>
      <c r="F193" s="199" t="str">
        <f aca="false">IF(A194="","",E193*AS193)</f>
        <v/>
      </c>
      <c r="G193" s="200" t="str">
        <f aca="false">IF($A194="","",VLOOKUP($A193,Table,MATCH(G$4,Curves,0)))</f>
        <v/>
      </c>
      <c r="H193" s="201" t="str">
        <f aca="false">IF(A194="","",G193)</f>
        <v/>
      </c>
      <c r="I193" s="202"/>
      <c r="J193" s="200" t="str">
        <f aca="false">IF($A194="","",VLOOKUP($A193,Table,MATCH(J$4,Curves,0)))</f>
        <v/>
      </c>
      <c r="K193" s="201" t="str">
        <f aca="false">IF(A194="","",J193)</f>
        <v/>
      </c>
      <c r="L193" s="200" t="str">
        <f aca="false">IF($A194="","",VLOOKUP($A193,Table,MATCH(L$4,Curves,0)))</f>
        <v/>
      </c>
      <c r="M193" s="201" t="str">
        <f aca="false">IF(A194="","",L193)</f>
        <v/>
      </c>
      <c r="N193" s="203"/>
      <c r="O193" s="200" t="str">
        <f aca="false">IF(A194="","",L193+J193+G193)</f>
        <v/>
      </c>
      <c r="P193" s="200" t="str">
        <f aca="false">IF(A194="","",M193+K193+H193)</f>
        <v/>
      </c>
      <c r="Q193" s="204"/>
      <c r="R193" s="200" t="str">
        <f aca="false">IF($A194="","",VLOOKUP($A193,Table,MATCH(R$4,Curves,0)))</f>
        <v/>
      </c>
      <c r="S193" s="201" t="str">
        <f aca="false">IF(A194="","",R193)</f>
        <v/>
      </c>
      <c r="T193" s="200" t="str">
        <f aca="false">IF($A194="","",VLOOKUP($A193,Table,MATCH(T$4,Curves,0)))</f>
        <v/>
      </c>
      <c r="U193" s="201" t="str">
        <f aca="false">IF(A194="","",T193)</f>
        <v/>
      </c>
      <c r="V193" s="225" t="str">
        <f aca="false">IF($A194="","",IF(AND(MONTH(A193)&gt;3,MONTH(A193)&lt;11),(T193+R193+G193)*Summary!$T$9/(1-Summary!$T$9),(T193+R193+G193)*Summary!$U$9/(1-Summary!$U$9)))</f>
        <v/>
      </c>
      <c r="W193" s="200" t="str">
        <f aca="false">IF($A194="","",(T193+R193+G193+V193))</f>
        <v/>
      </c>
      <c r="X193" s="200" t="str">
        <f aca="false">IF($A194="","",(U193+S193+H193+V193))</f>
        <v/>
      </c>
      <c r="Y193" s="202"/>
      <c r="Z193" s="185" t="str">
        <f aca="false">IF($A194="","",VLOOKUP($A193,Table,MATCH(Z$4,Curves,0)))</f>
        <v/>
      </c>
      <c r="AA193" s="185" t="str">
        <f aca="false">IF($A194="","",VLOOKUP($A193,Table,MATCH(AA$4,Curves,0)))</f>
        <v/>
      </c>
      <c r="AB193" s="185" t="e">
        <f aca="false">SQRT((AA193^2*(A193-$D$3)+Z193^2*(DAY(EOMONTH(A193,0))/2))/AK193)</f>
        <v>#VALUE!</v>
      </c>
      <c r="AC193" s="185" t="str">
        <f aca="false">IF($A194="","",VLOOKUP($A193,Table,MATCH(AC$4,Curves,0)))</f>
        <v/>
      </c>
      <c r="AD193" s="185" t="str">
        <f aca="false">IF($A194="","",VLOOKUP($A193,Table,MATCH(AD$4,Curves,0)))</f>
        <v/>
      </c>
      <c r="AE193" s="185" t="e">
        <f aca="false">SQRT((AD193^2*(A193-$D$3)+AC193^2*(DAY(EOMONTH(A193,0))/2))/AK193)</f>
        <v>#VALUE!</v>
      </c>
      <c r="AF193" s="224" t="e">
        <f aca="false">((Summary!$N$9*(AA193*AD193)*(A193-$D$3))+(Summary!$M$9*Z193*AC193*(AJ193-EOMONTH(EDATE(A193,-1),0))))/(AK193*AB193*AE193)</f>
        <v>#VALUE!</v>
      </c>
      <c r="AG193" s="207" t="str">
        <f aca="false">IF($A194="","",Summary!$Q$9)</f>
        <v/>
      </c>
      <c r="AH193" s="207" t="str">
        <f aca="false">IF($A194="","",IF(Summary!$R$9="Y",VLOOKUP($A193,Summary!$AD$6:$AF$9,3)+'Escalating commodity'!E206,'Escalating commodity'!E206))</f>
        <v/>
      </c>
      <c r="AI193" s="207" t="str">
        <f aca="false">IF($A194="","",AH193)</f>
        <v/>
      </c>
      <c r="AJ193" s="208" t="e">
        <f aca="false">A193+DAY(EOMONTH(A193,0))/2-1</f>
        <v>#VALUE!</v>
      </c>
      <c r="AK193" s="209" t="str">
        <f aca="false">IF($A194="","",$A193-$E$1)</f>
        <v/>
      </c>
      <c r="AL193" s="182" t="str">
        <f aca="false">IF($A194="","",SPRDOPT(P193,X193,AI193,0,AB193,AE193,AF193,AK193,$AJ$2,0))</f>
        <v/>
      </c>
      <c r="AM193" s="211" t="str">
        <f aca="false">IF($A194="","",MAX(0,O193-W193-AI193))</f>
        <v/>
      </c>
      <c r="AN193" s="211" t="str">
        <f aca="false">IF($A194="","",AL193-AM193)</f>
        <v/>
      </c>
      <c r="AO193" s="137" t="str">
        <f aca="false">IF(A194="","",A194-A193)</f>
        <v/>
      </c>
      <c r="AP193" s="212" t="str">
        <f aca="false">IF(A194="","",CHOOSE(F$3,A194+24,A193))</f>
        <v/>
      </c>
      <c r="AQ193" s="209" t="str">
        <f aca="false">IF(A194="","",AP193-$E$1)</f>
        <v/>
      </c>
      <c r="AR193" s="185" t="n">
        <f aca="false">'ANR OK vs ML7'!AR193</f>
        <v>0.1</v>
      </c>
      <c r="AS193" s="213" t="str">
        <f aca="false">IF(A194="","",1/(1+CHOOSE(F$3,(AR194+($I$3/10000))/2,(AR193+($I$3/10000))/2))^(2*AQ193/365.25))</f>
        <v/>
      </c>
      <c r="AT193" s="137" t="str">
        <f aca="false">IF(A194="","",IF(AND(mthbeg&lt;=A193,mthend&gt;=A193),1,0))</f>
        <v/>
      </c>
      <c r="AU193" s="137" t="str">
        <f aca="false">IF(A194="","",AO193*AT193)</f>
        <v/>
      </c>
      <c r="AW193" s="195" t="str">
        <f aca="false">IF($A194="","",AL193*$E193)</f>
        <v/>
      </c>
      <c r="AX193" s="195" t="str">
        <f aca="false">IF($A194="","",AM193*$E193)</f>
        <v/>
      </c>
      <c r="AY193" s="195" t="str">
        <f aca="false">IF($A194="","",AN193*$E193)</f>
        <v/>
      </c>
      <c r="BA193" s="195" t="str">
        <f aca="false">IF($A194="","",F193*Summary!$Q$9)</f>
        <v/>
      </c>
    </row>
    <row r="194" customFormat="false" ht="12" hidden="false" customHeight="true" outlineLevel="0" collapsed="false">
      <c r="A194" s="196" t="str">
        <f aca="false">IF(A193&lt;mthend,EDATE(A193,1),"")</f>
        <v/>
      </c>
      <c r="B194" s="197" t="str">
        <f aca="false">IF(A194&lt;mthend,B193,"")</f>
        <v/>
      </c>
      <c r="C194" s="215"/>
      <c r="D194" s="197" t="str">
        <f aca="false">IF(A195&lt;&gt;"",B194+C194,"")</f>
        <v/>
      </c>
      <c r="E194" s="199" t="str">
        <f aca="false">IF(A195="","",IF(AND(AT194=1,$H$3=1),D194*AO194,IF($H$3=2,D194,"N/A")))</f>
        <v/>
      </c>
      <c r="F194" s="199" t="str">
        <f aca="false">IF(A195="","",E194*AS194)</f>
        <v/>
      </c>
      <c r="G194" s="200" t="str">
        <f aca="false">IF($A195="","",VLOOKUP($A194,Table,MATCH(G$4,Curves,0)))</f>
        <v/>
      </c>
      <c r="H194" s="201" t="str">
        <f aca="false">IF(A195="","",G194)</f>
        <v/>
      </c>
      <c r="I194" s="202"/>
      <c r="J194" s="200" t="str">
        <f aca="false">IF($A195="","",VLOOKUP($A194,Table,MATCH(J$4,Curves,0)))</f>
        <v/>
      </c>
      <c r="K194" s="201" t="str">
        <f aca="false">IF(A195="","",J194)</f>
        <v/>
      </c>
      <c r="L194" s="200" t="str">
        <f aca="false">IF($A195="","",VLOOKUP($A194,Table,MATCH(L$4,Curves,0)))</f>
        <v/>
      </c>
      <c r="M194" s="201" t="str">
        <f aca="false">IF(A195="","",L194)</f>
        <v/>
      </c>
      <c r="N194" s="203"/>
      <c r="O194" s="200" t="str">
        <f aca="false">IF(A195="","",L194+J194+G194)</f>
        <v/>
      </c>
      <c r="P194" s="200" t="str">
        <f aca="false">IF(A195="","",M194+K194+H194)</f>
        <v/>
      </c>
      <c r="Q194" s="204"/>
      <c r="R194" s="200" t="str">
        <f aca="false">IF($A195="","",VLOOKUP($A194,Table,MATCH(R$4,Curves,0)))</f>
        <v/>
      </c>
      <c r="S194" s="201" t="str">
        <f aca="false">IF(A195="","",R194)</f>
        <v/>
      </c>
      <c r="T194" s="200" t="str">
        <f aca="false">IF($A195="","",VLOOKUP($A194,Table,MATCH(T$4,Curves,0)))</f>
        <v/>
      </c>
      <c r="U194" s="201" t="str">
        <f aca="false">IF(A195="","",T194)</f>
        <v/>
      </c>
      <c r="V194" s="225" t="str">
        <f aca="false">IF($A195="","",IF(AND(MONTH(A194)&gt;3,MONTH(A194)&lt;11),(T194+R194+G194)*Summary!$T$9/(1-Summary!$T$9),(T194+R194+G194)*Summary!$U$9/(1-Summary!$U$9)))</f>
        <v/>
      </c>
      <c r="W194" s="200" t="str">
        <f aca="false">IF($A195="","",(T194+R194+G194+V194))</f>
        <v/>
      </c>
      <c r="X194" s="200" t="str">
        <f aca="false">IF($A195="","",(U194+S194+H194+V194))</f>
        <v/>
      </c>
      <c r="Y194" s="202"/>
      <c r="Z194" s="185" t="str">
        <f aca="false">IF($A195="","",VLOOKUP($A194,Table,MATCH(Z$4,Curves,0)))</f>
        <v/>
      </c>
      <c r="AA194" s="185" t="str">
        <f aca="false">IF($A195="","",VLOOKUP($A194,Table,MATCH(AA$4,Curves,0)))</f>
        <v/>
      </c>
      <c r="AB194" s="185" t="e">
        <f aca="false">SQRT((AA194^2*(A194-$D$3)+Z194^2*(DAY(EOMONTH(A194,0))/2))/AK194)</f>
        <v>#VALUE!</v>
      </c>
      <c r="AC194" s="185" t="str">
        <f aca="false">IF($A195="","",VLOOKUP($A194,Table,MATCH(AC$4,Curves,0)))</f>
        <v/>
      </c>
      <c r="AD194" s="185" t="str">
        <f aca="false">IF($A195="","",VLOOKUP($A194,Table,MATCH(AD$4,Curves,0)))</f>
        <v/>
      </c>
      <c r="AE194" s="185" t="e">
        <f aca="false">SQRT((AD194^2*(A194-$D$3)+AC194^2*(DAY(EOMONTH(A194,0))/2))/AK194)</f>
        <v>#VALUE!</v>
      </c>
      <c r="AF194" s="224" t="e">
        <f aca="false">((Summary!$N$9*(AA194*AD194)*(A194-$D$3))+(Summary!$M$9*Z194*AC194*(AJ194-EOMONTH(EDATE(A194,-1),0))))/(AK194*AB194*AE194)</f>
        <v>#VALUE!</v>
      </c>
      <c r="AG194" s="207" t="str">
        <f aca="false">IF($A195="","",Summary!$Q$9)</f>
        <v/>
      </c>
      <c r="AH194" s="207" t="str">
        <f aca="false">IF($A195="","",IF(Summary!$R$9="Y",VLOOKUP($A194,Summary!$AD$6:$AF$9,3)+'Escalating commodity'!E207,'Escalating commodity'!E207))</f>
        <v/>
      </c>
      <c r="AI194" s="207" t="str">
        <f aca="false">IF($A195="","",AH194)</f>
        <v/>
      </c>
      <c r="AJ194" s="208" t="e">
        <f aca="false">A194+DAY(EOMONTH(A194,0))/2-1</f>
        <v>#VALUE!</v>
      </c>
      <c r="AK194" s="209" t="str">
        <f aca="false">IF($A195="","",$A194-$E$1)</f>
        <v/>
      </c>
      <c r="AL194" s="182" t="str">
        <f aca="false">IF($A195="","",SPRDOPT(P194,X194,AI194,0,AB194,AE194,AF194,AK194,$AJ$2,0))</f>
        <v/>
      </c>
      <c r="AM194" s="211" t="str">
        <f aca="false">IF($A195="","",MAX(0,O194-W194-AI194))</f>
        <v/>
      </c>
      <c r="AN194" s="211" t="str">
        <f aca="false">IF($A195="","",AL194-AM194)</f>
        <v/>
      </c>
      <c r="AO194" s="137" t="str">
        <f aca="false">IF(A195="","",A195-A194)</f>
        <v/>
      </c>
      <c r="AP194" s="212" t="str">
        <f aca="false">IF(A195="","",CHOOSE(F$3,A195+24,A194))</f>
        <v/>
      </c>
      <c r="AQ194" s="209" t="str">
        <f aca="false">IF(A195="","",AP194-$E$1)</f>
        <v/>
      </c>
      <c r="AR194" s="185" t="n">
        <f aca="false">'ANR OK vs ML7'!AR194</f>
        <v>0.1</v>
      </c>
      <c r="AS194" s="213" t="str">
        <f aca="false">IF(A195="","",1/(1+CHOOSE(F$3,(AR195+($I$3/10000))/2,(AR194+($I$3/10000))/2))^(2*AQ194/365.25))</f>
        <v/>
      </c>
      <c r="AT194" s="137" t="str">
        <f aca="false">IF(A195="","",IF(AND(mthbeg&lt;=A194,mthend&gt;=A194),1,0))</f>
        <v/>
      </c>
      <c r="AU194" s="137" t="str">
        <f aca="false">IF(A195="","",AO194*AT194)</f>
        <v/>
      </c>
      <c r="AW194" s="195" t="str">
        <f aca="false">IF($A195="","",AL194*$E194)</f>
        <v/>
      </c>
      <c r="AX194" s="195" t="str">
        <f aca="false">IF($A195="","",AM194*$E194)</f>
        <v/>
      </c>
      <c r="AY194" s="195" t="str">
        <f aca="false">IF($A195="","",AN194*$E194)</f>
        <v/>
      </c>
      <c r="BA194" s="195" t="str">
        <f aca="false">IF($A195="","",F194*Summary!$Q$9)</f>
        <v/>
      </c>
    </row>
    <row r="195" customFormat="false" ht="12" hidden="false" customHeight="true" outlineLevel="0" collapsed="false">
      <c r="A195" s="196" t="str">
        <f aca="false">IF(A194&lt;mthend,EDATE(A194,1),"")</f>
        <v/>
      </c>
      <c r="B195" s="197" t="str">
        <f aca="false">IF(A195&lt;mthend,B194,"")</f>
        <v/>
      </c>
      <c r="C195" s="215"/>
      <c r="D195" s="197" t="str">
        <f aca="false">IF(A196&lt;&gt;"",B195+C195,"")</f>
        <v/>
      </c>
      <c r="E195" s="199" t="str">
        <f aca="false">IF(A196="","",IF(AND(AT195=1,$H$3=1),D195*AO195,IF($H$3=2,D195,"N/A")))</f>
        <v/>
      </c>
      <c r="F195" s="199" t="str">
        <f aca="false">IF(A196="","",E195*AS195)</f>
        <v/>
      </c>
      <c r="G195" s="200" t="str">
        <f aca="false">IF($A196="","",VLOOKUP($A195,Table,MATCH(G$4,Curves,0)))</f>
        <v/>
      </c>
      <c r="H195" s="201" t="str">
        <f aca="false">IF(A196="","",G195)</f>
        <v/>
      </c>
      <c r="I195" s="202"/>
      <c r="J195" s="200" t="str">
        <f aca="false">IF($A196="","",VLOOKUP($A195,Table,MATCH(J$4,Curves,0)))</f>
        <v/>
      </c>
      <c r="K195" s="201" t="str">
        <f aca="false">IF(A196="","",J195)</f>
        <v/>
      </c>
      <c r="L195" s="200" t="str">
        <f aca="false">IF($A196="","",VLOOKUP($A195,Table,MATCH(L$4,Curves,0)))</f>
        <v/>
      </c>
      <c r="M195" s="201" t="str">
        <f aca="false">IF(A196="","",L195)</f>
        <v/>
      </c>
      <c r="N195" s="203"/>
      <c r="O195" s="200" t="str">
        <f aca="false">IF(A196="","",L195+J195+G195)</f>
        <v/>
      </c>
      <c r="P195" s="200" t="str">
        <f aca="false">IF(A196="","",M195+K195+H195)</f>
        <v/>
      </c>
      <c r="Q195" s="204"/>
      <c r="R195" s="200" t="str">
        <f aca="false">IF($A196="","",VLOOKUP($A195,Table,MATCH(R$4,Curves,0)))</f>
        <v/>
      </c>
      <c r="S195" s="201" t="str">
        <f aca="false">IF(A196="","",R195)</f>
        <v/>
      </c>
      <c r="T195" s="200" t="str">
        <f aca="false">IF($A196="","",VLOOKUP($A195,Table,MATCH(T$4,Curves,0)))</f>
        <v/>
      </c>
      <c r="U195" s="201" t="str">
        <f aca="false">IF(A196="","",T195)</f>
        <v/>
      </c>
      <c r="V195" s="225" t="str">
        <f aca="false">IF($A196="","",IF(AND(MONTH(A195)&gt;3,MONTH(A195)&lt;11),(T195+R195+G195)*Summary!$T$9/(1-Summary!$T$9),(T195+R195+G195)*Summary!$U$9/(1-Summary!$U$9)))</f>
        <v/>
      </c>
      <c r="W195" s="200" t="str">
        <f aca="false">IF($A196="","",(T195+R195+G195+V195))</f>
        <v/>
      </c>
      <c r="X195" s="200" t="str">
        <f aca="false">IF($A196="","",(U195+S195+H195+V195))</f>
        <v/>
      </c>
      <c r="Y195" s="202"/>
      <c r="Z195" s="185" t="str">
        <f aca="false">IF($A196="","",VLOOKUP($A195,Table,MATCH(Z$4,Curves,0)))</f>
        <v/>
      </c>
      <c r="AA195" s="185" t="str">
        <f aca="false">IF($A196="","",VLOOKUP($A195,Table,MATCH(AA$4,Curves,0)))</f>
        <v/>
      </c>
      <c r="AB195" s="185" t="e">
        <f aca="false">SQRT((AA195^2*(A195-$D$3)+Z195^2*(DAY(EOMONTH(A195,0))/2))/AK195)</f>
        <v>#VALUE!</v>
      </c>
      <c r="AC195" s="185" t="str">
        <f aca="false">IF($A196="","",VLOOKUP($A195,Table,MATCH(AC$4,Curves,0)))</f>
        <v/>
      </c>
      <c r="AD195" s="185" t="str">
        <f aca="false">IF($A196="","",VLOOKUP($A195,Table,MATCH(AD$4,Curves,0)))</f>
        <v/>
      </c>
      <c r="AE195" s="185" t="e">
        <f aca="false">SQRT((AD195^2*(A195-$D$3)+AC195^2*(DAY(EOMONTH(A195,0))/2))/AK195)</f>
        <v>#VALUE!</v>
      </c>
      <c r="AF195" s="224" t="e">
        <f aca="false">((Summary!$N$9*(AA195*AD195)*(A195-$D$3))+(Summary!$M$9*Z195*AC195*(AJ195-EOMONTH(EDATE(A195,-1),0))))/(AK195*AB195*AE195)</f>
        <v>#VALUE!</v>
      </c>
      <c r="AG195" s="207" t="str">
        <f aca="false">IF($A196="","",Summary!$Q$9)</f>
        <v/>
      </c>
      <c r="AH195" s="207" t="str">
        <f aca="false">IF($A196="","",IF(Summary!$R$9="Y",VLOOKUP($A195,Summary!$AD$6:$AF$9,3)+'Escalating commodity'!E208,'Escalating commodity'!E208))</f>
        <v/>
      </c>
      <c r="AI195" s="207" t="str">
        <f aca="false">IF($A196="","",AH195)</f>
        <v/>
      </c>
      <c r="AJ195" s="208" t="e">
        <f aca="false">A195+DAY(EOMONTH(A195,0))/2-1</f>
        <v>#VALUE!</v>
      </c>
      <c r="AK195" s="209" t="str">
        <f aca="false">IF($A196="","",$A195-$E$1)</f>
        <v/>
      </c>
      <c r="AL195" s="182" t="str">
        <f aca="false">IF($A196="","",SPRDOPT(P195,X195,AI195,0,AB195,AE195,AF195,AK195,$AJ$2,0))</f>
        <v/>
      </c>
      <c r="AM195" s="211" t="str">
        <f aca="false">IF($A196="","",MAX(0,O195-W195-AI195))</f>
        <v/>
      </c>
      <c r="AN195" s="211" t="str">
        <f aca="false">IF($A196="","",AL195-AM195)</f>
        <v/>
      </c>
      <c r="AO195" s="137" t="str">
        <f aca="false">IF(A196="","",A196-A195)</f>
        <v/>
      </c>
      <c r="AP195" s="212" t="str">
        <f aca="false">IF(A196="","",CHOOSE(F$3,A196+24,A195))</f>
        <v/>
      </c>
      <c r="AQ195" s="209" t="str">
        <f aca="false">IF(A196="","",AP195-$E$1)</f>
        <v/>
      </c>
      <c r="AR195" s="185" t="n">
        <f aca="false">'ANR OK vs ML7'!AR195</f>
        <v>0.1</v>
      </c>
      <c r="AS195" s="213" t="str">
        <f aca="false">IF(A196="","",1/(1+CHOOSE(F$3,(AR196+($I$3/10000))/2,(AR195+($I$3/10000))/2))^(2*AQ195/365.25))</f>
        <v/>
      </c>
      <c r="AT195" s="137" t="str">
        <f aca="false">IF(A196="","",IF(AND(mthbeg&lt;=A195,mthend&gt;=A195),1,0))</f>
        <v/>
      </c>
      <c r="AU195" s="137" t="str">
        <f aca="false">IF(A196="","",AO195*AT195)</f>
        <v/>
      </c>
      <c r="AW195" s="195" t="str">
        <f aca="false">IF($A196="","",AL195*$E195)</f>
        <v/>
      </c>
      <c r="AX195" s="195" t="str">
        <f aca="false">IF($A196="","",AM195*$E195)</f>
        <v/>
      </c>
      <c r="AY195" s="195" t="str">
        <f aca="false">IF($A196="","",AN195*$E195)</f>
        <v/>
      </c>
      <c r="BA195" s="195" t="str">
        <f aca="false">IF($A196="","",F195*Summary!$Q$9)</f>
        <v/>
      </c>
    </row>
    <row r="196" customFormat="false" ht="12" hidden="false" customHeight="true" outlineLevel="0" collapsed="false">
      <c r="A196" s="196" t="str">
        <f aca="false">IF(A195&lt;mthend,EDATE(A195,1),"")</f>
        <v/>
      </c>
      <c r="B196" s="197" t="str">
        <f aca="false">IF(A196&lt;mthend,B195,"")</f>
        <v/>
      </c>
      <c r="C196" s="215"/>
      <c r="D196" s="197" t="str">
        <f aca="false">IF(A197&lt;&gt;"",B196+C196,"")</f>
        <v/>
      </c>
      <c r="E196" s="199" t="str">
        <f aca="false">IF(A197="","",IF(AND(AT196=1,$H$3=1),D196*AO196,IF($H$3=2,D196,"N/A")))</f>
        <v/>
      </c>
      <c r="F196" s="199" t="str">
        <f aca="false">IF(A197="","",E196*AS196)</f>
        <v/>
      </c>
      <c r="G196" s="200" t="str">
        <f aca="false">IF($A197="","",VLOOKUP($A196,Table,MATCH(G$4,Curves,0)))</f>
        <v/>
      </c>
      <c r="H196" s="201" t="str">
        <f aca="false">IF(A197="","",G196)</f>
        <v/>
      </c>
      <c r="I196" s="202"/>
      <c r="J196" s="200" t="str">
        <f aca="false">IF($A197="","",VLOOKUP($A196,Table,MATCH(J$4,Curves,0)))</f>
        <v/>
      </c>
      <c r="K196" s="201" t="str">
        <f aca="false">IF(A197="","",J196)</f>
        <v/>
      </c>
      <c r="L196" s="200" t="str">
        <f aca="false">IF($A197="","",VLOOKUP($A196,Table,MATCH(L$4,Curves,0)))</f>
        <v/>
      </c>
      <c r="M196" s="201" t="str">
        <f aca="false">IF(A197="","",L196)</f>
        <v/>
      </c>
      <c r="N196" s="203"/>
      <c r="O196" s="200" t="str">
        <f aca="false">IF(A197="","",L196+J196+G196)</f>
        <v/>
      </c>
      <c r="P196" s="200" t="str">
        <f aca="false">IF(A197="","",M196+K196+H196)</f>
        <v/>
      </c>
      <c r="Q196" s="204"/>
      <c r="R196" s="200" t="str">
        <f aca="false">IF($A197="","",VLOOKUP($A196,Table,MATCH(R$4,Curves,0)))</f>
        <v/>
      </c>
      <c r="S196" s="201" t="str">
        <f aca="false">IF(A197="","",R196)</f>
        <v/>
      </c>
      <c r="T196" s="200" t="str">
        <f aca="false">IF($A197="","",VLOOKUP($A196,Table,MATCH(T$4,Curves,0)))</f>
        <v/>
      </c>
      <c r="U196" s="201" t="str">
        <f aca="false">IF(A197="","",T196)</f>
        <v/>
      </c>
      <c r="V196" s="225" t="str">
        <f aca="false">IF($A197="","",IF(AND(MONTH(A196)&gt;3,MONTH(A196)&lt;11),(T196+R196+G196)*Summary!$T$9/(1-Summary!$T$9),(T196+R196+G196)*Summary!$U$9/(1-Summary!$U$9)))</f>
        <v/>
      </c>
      <c r="W196" s="200" t="str">
        <f aca="false">IF($A197="","",(T196+R196+G196+V196))</f>
        <v/>
      </c>
      <c r="X196" s="200" t="str">
        <f aca="false">IF($A197="","",(U196+S196+H196+V196))</f>
        <v/>
      </c>
      <c r="Y196" s="202"/>
      <c r="Z196" s="185" t="str">
        <f aca="false">IF($A197="","",VLOOKUP($A196,Table,MATCH(Z$4,Curves,0)))</f>
        <v/>
      </c>
      <c r="AA196" s="185" t="str">
        <f aca="false">IF($A197="","",VLOOKUP($A196,Table,MATCH(AA$4,Curves,0)))</f>
        <v/>
      </c>
      <c r="AB196" s="185" t="e">
        <f aca="false">SQRT((AA196^2*(A196-$D$3)+Z196^2*(DAY(EOMONTH(A196,0))/2))/AK196)</f>
        <v>#VALUE!</v>
      </c>
      <c r="AC196" s="185" t="str">
        <f aca="false">IF($A197="","",VLOOKUP($A196,Table,MATCH(AC$4,Curves,0)))</f>
        <v/>
      </c>
      <c r="AD196" s="185" t="str">
        <f aca="false">IF($A197="","",VLOOKUP($A196,Table,MATCH(AD$4,Curves,0)))</f>
        <v/>
      </c>
      <c r="AE196" s="185" t="e">
        <f aca="false">SQRT((AD196^2*(A196-$D$3)+AC196^2*(DAY(EOMONTH(A196,0))/2))/AK196)</f>
        <v>#VALUE!</v>
      </c>
      <c r="AF196" s="224" t="e">
        <f aca="false">((Summary!$N$9*(AA196*AD196)*(A196-$D$3))+(Summary!$M$9*Z196*AC196*(AJ196-EOMONTH(EDATE(A196,-1),0))))/(AK196*AB196*AE196)</f>
        <v>#VALUE!</v>
      </c>
      <c r="AG196" s="207" t="str">
        <f aca="false">IF($A197="","",Summary!$Q$9)</f>
        <v/>
      </c>
      <c r="AH196" s="207" t="str">
        <f aca="false">IF($A197="","",IF(Summary!$R$9="Y",VLOOKUP($A196,Summary!$AD$6:$AF$9,3)+'Escalating commodity'!E209,'Escalating commodity'!E209))</f>
        <v/>
      </c>
      <c r="AI196" s="207" t="str">
        <f aca="false">IF($A197="","",AH196)</f>
        <v/>
      </c>
      <c r="AJ196" s="208" t="e">
        <f aca="false">A196+DAY(EOMONTH(A196,0))/2-1</f>
        <v>#VALUE!</v>
      </c>
      <c r="AK196" s="209" t="str">
        <f aca="false">IF($A197="","",$A196-$E$1)</f>
        <v/>
      </c>
      <c r="AL196" s="182" t="str">
        <f aca="false">IF($A197="","",SPRDOPT(P196,X196,AI196,0,AB196,AE196,AF196,AK196,$AJ$2,0))</f>
        <v/>
      </c>
      <c r="AM196" s="211" t="str">
        <f aca="false">IF($A197="","",MAX(0,O196-W196-AI196))</f>
        <v/>
      </c>
      <c r="AN196" s="211" t="str">
        <f aca="false">IF($A197="","",AL196-AM196)</f>
        <v/>
      </c>
      <c r="AO196" s="137" t="str">
        <f aca="false">IF(A197="","",A197-A196)</f>
        <v/>
      </c>
      <c r="AP196" s="212" t="str">
        <f aca="false">IF(A197="","",CHOOSE(F$3,A197+24,A196))</f>
        <v/>
      </c>
      <c r="AQ196" s="209" t="str">
        <f aca="false">IF(A197="","",AP196-$E$1)</f>
        <v/>
      </c>
      <c r="AR196" s="185" t="n">
        <f aca="false">'ANR OK vs ML7'!AR196</f>
        <v>0.1</v>
      </c>
      <c r="AS196" s="213" t="str">
        <f aca="false">IF(A197="","",1/(1+CHOOSE(F$3,(AR197+($I$3/10000))/2,(AR196+($I$3/10000))/2))^(2*AQ196/365.25))</f>
        <v/>
      </c>
      <c r="AT196" s="137" t="str">
        <f aca="false">IF(A197="","",IF(AND(mthbeg&lt;=A196,mthend&gt;=A196),1,0))</f>
        <v/>
      </c>
      <c r="AU196" s="137" t="str">
        <f aca="false">IF(A197="","",AO196*AT196)</f>
        <v/>
      </c>
      <c r="AW196" s="195" t="str">
        <f aca="false">IF($A197="","",AL196*$E196)</f>
        <v/>
      </c>
      <c r="AX196" s="195" t="str">
        <f aca="false">IF($A197="","",AM196*$E196)</f>
        <v/>
      </c>
      <c r="AY196" s="195" t="str">
        <f aca="false">IF($A197="","",AN196*$E196)</f>
        <v/>
      </c>
      <c r="BA196" s="195" t="str">
        <f aca="false">IF($A197="","",F196*Summary!$Q$9)</f>
        <v/>
      </c>
    </row>
    <row r="197" customFormat="false" ht="12" hidden="false" customHeight="true" outlineLevel="0" collapsed="false">
      <c r="A197" s="196" t="str">
        <f aca="false">IF(A196&lt;mthend,EDATE(A196,1),"")</f>
        <v/>
      </c>
      <c r="B197" s="197" t="str">
        <f aca="false">IF(A197&lt;mthend,B196,"")</f>
        <v/>
      </c>
      <c r="C197" s="215"/>
      <c r="D197" s="197" t="str">
        <f aca="false">IF(A198&lt;&gt;"",B197+C197,"")</f>
        <v/>
      </c>
      <c r="E197" s="199" t="str">
        <f aca="false">IF(A198="","",IF(AND(AT197=1,$H$3=1),D197*AO197,IF($H$3=2,D197,"N/A")))</f>
        <v/>
      </c>
      <c r="F197" s="199" t="str">
        <f aca="false">IF(A198="","",E197*AS197)</f>
        <v/>
      </c>
      <c r="G197" s="200" t="str">
        <f aca="false">IF($A198="","",VLOOKUP($A197,Table,MATCH(G$4,Curves,0)))</f>
        <v/>
      </c>
      <c r="H197" s="201" t="str">
        <f aca="false">IF(A198="","",G197)</f>
        <v/>
      </c>
      <c r="I197" s="202"/>
      <c r="J197" s="200" t="str">
        <f aca="false">IF($A198="","",VLOOKUP($A197,Table,MATCH(J$4,Curves,0)))</f>
        <v/>
      </c>
      <c r="K197" s="201" t="str">
        <f aca="false">IF(A198="","",J197)</f>
        <v/>
      </c>
      <c r="L197" s="200" t="str">
        <f aca="false">IF($A198="","",VLOOKUP($A197,Table,MATCH(L$4,Curves,0)))</f>
        <v/>
      </c>
      <c r="M197" s="201" t="str">
        <f aca="false">IF(A198="","",L197)</f>
        <v/>
      </c>
      <c r="N197" s="203"/>
      <c r="O197" s="200" t="str">
        <f aca="false">IF(A198="","",L197+J197+G197)</f>
        <v/>
      </c>
      <c r="P197" s="200" t="str">
        <f aca="false">IF(A198="","",M197+K197+H197)</f>
        <v/>
      </c>
      <c r="Q197" s="204"/>
      <c r="R197" s="200" t="str">
        <f aca="false">IF($A198="","",VLOOKUP($A197,Table,MATCH(R$4,Curves,0)))</f>
        <v/>
      </c>
      <c r="S197" s="201" t="str">
        <f aca="false">IF(A198="","",R197)</f>
        <v/>
      </c>
      <c r="T197" s="200" t="str">
        <f aca="false">IF($A198="","",VLOOKUP($A197,Table,MATCH(T$4,Curves,0)))</f>
        <v/>
      </c>
      <c r="U197" s="201" t="str">
        <f aca="false">IF(A198="","",T197)</f>
        <v/>
      </c>
      <c r="V197" s="225" t="str">
        <f aca="false">IF($A198="","",IF(AND(MONTH(A197)&gt;3,MONTH(A197)&lt;11),(T197+R197+G197)*Summary!$T$9/(1-Summary!$T$9),(T197+R197+G197)*Summary!$U$9/(1-Summary!$U$9)))</f>
        <v/>
      </c>
      <c r="W197" s="200" t="str">
        <f aca="false">IF($A198="","",(T197+R197+G197+V197))</f>
        <v/>
      </c>
      <c r="X197" s="200" t="str">
        <f aca="false">IF($A198="","",(U197+S197+H197+V197))</f>
        <v/>
      </c>
      <c r="Y197" s="202"/>
      <c r="Z197" s="185" t="str">
        <f aca="false">IF($A198="","",VLOOKUP($A197,Table,MATCH(Z$4,Curves,0)))</f>
        <v/>
      </c>
      <c r="AA197" s="185" t="str">
        <f aca="false">IF($A198="","",VLOOKUP($A197,Table,MATCH(AA$4,Curves,0)))</f>
        <v/>
      </c>
      <c r="AB197" s="185" t="e">
        <f aca="false">SQRT((AA197^2*(A197-$D$3)+Z197^2*(DAY(EOMONTH(A197,0))/2))/AK197)</f>
        <v>#VALUE!</v>
      </c>
      <c r="AC197" s="185" t="str">
        <f aca="false">IF($A198="","",VLOOKUP($A197,Table,MATCH(AC$4,Curves,0)))</f>
        <v/>
      </c>
      <c r="AD197" s="185" t="str">
        <f aca="false">IF($A198="","",VLOOKUP($A197,Table,MATCH(AD$4,Curves,0)))</f>
        <v/>
      </c>
      <c r="AE197" s="185" t="e">
        <f aca="false">SQRT((AD197^2*(A197-$D$3)+AC197^2*(DAY(EOMONTH(A197,0))/2))/AK197)</f>
        <v>#VALUE!</v>
      </c>
      <c r="AF197" s="224" t="e">
        <f aca="false">((Summary!$N$9*(AA197*AD197)*(A197-$D$3))+(Summary!$M$9*Z197*AC197*(AJ197-EOMONTH(EDATE(A197,-1),0))))/(AK197*AB197*AE197)</f>
        <v>#VALUE!</v>
      </c>
      <c r="AG197" s="207" t="str">
        <f aca="false">IF($A198="","",Summary!$Q$9)</f>
        <v/>
      </c>
      <c r="AH197" s="207" t="str">
        <f aca="false">IF($A198="","",IF(Summary!$R$9="Y",VLOOKUP($A197,Summary!$AD$6:$AF$9,3)+'Escalating commodity'!E210,'Escalating commodity'!E210))</f>
        <v/>
      </c>
      <c r="AI197" s="207" t="str">
        <f aca="false">IF($A198="","",AH197)</f>
        <v/>
      </c>
      <c r="AJ197" s="208" t="e">
        <f aca="false">A197+DAY(EOMONTH(A197,0))/2-1</f>
        <v>#VALUE!</v>
      </c>
      <c r="AK197" s="209" t="str">
        <f aca="false">IF($A198="","",$A197-$E$1)</f>
        <v/>
      </c>
      <c r="AL197" s="182" t="str">
        <f aca="false">IF($A198="","",SPRDOPT(P197,X197,AI197,0,AB197,AE197,AF197,AK197,$AJ$2,0))</f>
        <v/>
      </c>
      <c r="AM197" s="211" t="str">
        <f aca="false">IF($A198="","",MAX(0,O197-W197-AI197))</f>
        <v/>
      </c>
      <c r="AN197" s="211" t="str">
        <f aca="false">IF($A198="","",AL197-AM197)</f>
        <v/>
      </c>
      <c r="AO197" s="137" t="str">
        <f aca="false">IF(A198="","",A198-A197)</f>
        <v/>
      </c>
      <c r="AP197" s="212" t="str">
        <f aca="false">IF(A198="","",CHOOSE(F$3,A198+24,A197))</f>
        <v/>
      </c>
      <c r="AQ197" s="209" t="str">
        <f aca="false">IF(A198="","",AP197-$E$1)</f>
        <v/>
      </c>
      <c r="AR197" s="185" t="n">
        <f aca="false">'ANR OK vs ML7'!AR197</f>
        <v>0.1</v>
      </c>
      <c r="AS197" s="213" t="str">
        <f aca="false">IF(A198="","",1/(1+CHOOSE(F$3,(AR198+($I$3/10000))/2,(AR197+($I$3/10000))/2))^(2*AQ197/365.25))</f>
        <v/>
      </c>
      <c r="AT197" s="137" t="str">
        <f aca="false">IF(A198="","",IF(AND(mthbeg&lt;=A197,mthend&gt;=A197),1,0))</f>
        <v/>
      </c>
      <c r="AU197" s="137" t="str">
        <f aca="false">IF(A198="","",AO197*AT197)</f>
        <v/>
      </c>
      <c r="AW197" s="195" t="str">
        <f aca="false">IF($A198="","",AL197*$E197)</f>
        <v/>
      </c>
      <c r="AX197" s="195" t="str">
        <f aca="false">IF($A198="","",AM197*$E197)</f>
        <v/>
      </c>
      <c r="AY197" s="195" t="str">
        <f aca="false">IF($A198="","",AN197*$E197)</f>
        <v/>
      </c>
      <c r="BA197" s="195" t="str">
        <f aca="false">IF($A198="","",F197*Summary!$Q$9)</f>
        <v/>
      </c>
    </row>
    <row r="198" customFormat="false" ht="12" hidden="false" customHeight="true" outlineLevel="0" collapsed="false">
      <c r="A198" s="196" t="str">
        <f aca="false">IF(A197&lt;mthend,EDATE(A197,1),"")</f>
        <v/>
      </c>
      <c r="B198" s="197" t="str">
        <f aca="false">IF(A198&lt;mthend,B197,"")</f>
        <v/>
      </c>
      <c r="C198" s="215"/>
      <c r="D198" s="197" t="str">
        <f aca="false">IF(A199&lt;&gt;"",B198+C198,"")</f>
        <v/>
      </c>
      <c r="E198" s="199" t="str">
        <f aca="false">IF(A199="","",IF(AND(AT198=1,$H$3=1),D198*AO198,IF($H$3=2,D198,"N/A")))</f>
        <v/>
      </c>
      <c r="F198" s="199" t="str">
        <f aca="false">IF(A199="","",E198*AS198)</f>
        <v/>
      </c>
      <c r="G198" s="200" t="str">
        <f aca="false">IF($A199="","",VLOOKUP($A198,Table,MATCH(G$4,Curves,0)))</f>
        <v/>
      </c>
      <c r="H198" s="201" t="str">
        <f aca="false">IF(A199="","",G198)</f>
        <v/>
      </c>
      <c r="I198" s="202"/>
      <c r="J198" s="200" t="str">
        <f aca="false">IF($A199="","",VLOOKUP($A198,Table,MATCH(J$4,Curves,0)))</f>
        <v/>
      </c>
      <c r="K198" s="201" t="str">
        <f aca="false">IF(A199="","",J198)</f>
        <v/>
      </c>
      <c r="L198" s="200" t="str">
        <f aca="false">IF($A199="","",VLOOKUP($A198,Table,MATCH(L$4,Curves,0)))</f>
        <v/>
      </c>
      <c r="M198" s="201" t="str">
        <f aca="false">IF(A199="","",L198)</f>
        <v/>
      </c>
      <c r="N198" s="203"/>
      <c r="O198" s="200" t="str">
        <f aca="false">IF(A199="","",L198+J198+G198)</f>
        <v/>
      </c>
      <c r="P198" s="200" t="str">
        <f aca="false">IF(A199="","",M198+K198+H198)</f>
        <v/>
      </c>
      <c r="Q198" s="204"/>
      <c r="R198" s="200" t="str">
        <f aca="false">IF($A199="","",VLOOKUP($A198,Table,MATCH(R$4,Curves,0)))</f>
        <v/>
      </c>
      <c r="S198" s="201" t="str">
        <f aca="false">IF(A199="","",R198)</f>
        <v/>
      </c>
      <c r="T198" s="200" t="str">
        <f aca="false">IF($A199="","",VLOOKUP($A198,Table,MATCH(T$4,Curves,0)))</f>
        <v/>
      </c>
      <c r="U198" s="201" t="str">
        <f aca="false">IF(A199="","",T198)</f>
        <v/>
      </c>
      <c r="V198" s="225" t="str">
        <f aca="false">IF($A199="","",IF(AND(MONTH(A198)&gt;3,MONTH(A198)&lt;11),(T198+R198+G198)*Summary!$T$9/(1-Summary!$T$9),(T198+R198+G198)*Summary!$U$9/(1-Summary!$U$9)))</f>
        <v/>
      </c>
      <c r="W198" s="200" t="str">
        <f aca="false">IF($A199="","",(T198+R198+G198+V198))</f>
        <v/>
      </c>
      <c r="X198" s="200" t="str">
        <f aca="false">IF($A199="","",(U198+S198+H198+V198))</f>
        <v/>
      </c>
      <c r="Y198" s="202"/>
      <c r="Z198" s="185" t="str">
        <f aca="false">IF($A199="","",VLOOKUP($A198,Table,MATCH(Z$4,Curves,0)))</f>
        <v/>
      </c>
      <c r="AA198" s="185" t="str">
        <f aca="false">IF($A199="","",VLOOKUP($A198,Table,MATCH(AA$4,Curves,0)))</f>
        <v/>
      </c>
      <c r="AB198" s="185" t="e">
        <f aca="false">SQRT((AA198^2*(A198-$D$3)+Z198^2*(DAY(EOMONTH(A198,0))/2))/AK198)</f>
        <v>#VALUE!</v>
      </c>
      <c r="AC198" s="185" t="str">
        <f aca="false">IF($A199="","",VLOOKUP($A198,Table,MATCH(AC$4,Curves,0)))</f>
        <v/>
      </c>
      <c r="AD198" s="185" t="str">
        <f aca="false">IF($A199="","",VLOOKUP($A198,Table,MATCH(AD$4,Curves,0)))</f>
        <v/>
      </c>
      <c r="AE198" s="185" t="e">
        <f aca="false">SQRT((AD198^2*(A198-$D$3)+AC198^2*(DAY(EOMONTH(A198,0))/2))/AK198)</f>
        <v>#VALUE!</v>
      </c>
      <c r="AF198" s="224" t="e">
        <f aca="false">((Summary!$N$9*(AA198*AD198)*(A198-$D$3))+(Summary!$M$9*Z198*AC198*(AJ198-EOMONTH(EDATE(A198,-1),0))))/(AK198*AB198*AE198)</f>
        <v>#VALUE!</v>
      </c>
      <c r="AG198" s="207" t="str">
        <f aca="false">IF($A199="","",Summary!$Q$9)</f>
        <v/>
      </c>
      <c r="AH198" s="207" t="str">
        <f aca="false">IF($A199="","",IF(Summary!$R$9="Y",VLOOKUP($A198,Summary!$AD$6:$AF$9,3)+'Escalating commodity'!E211,'Escalating commodity'!E211))</f>
        <v/>
      </c>
      <c r="AI198" s="207" t="str">
        <f aca="false">IF($A199="","",AH198)</f>
        <v/>
      </c>
      <c r="AJ198" s="208" t="e">
        <f aca="false">A198+DAY(EOMONTH(A198,0))/2-1</f>
        <v>#VALUE!</v>
      </c>
      <c r="AK198" s="209" t="str">
        <f aca="false">IF($A199="","",$A198-$E$1)</f>
        <v/>
      </c>
      <c r="AL198" s="182" t="str">
        <f aca="false">IF($A199="","",SPRDOPT(P198,X198,AI198,0,AB198,AE198,AF198,AK198,$AJ$2,0))</f>
        <v/>
      </c>
      <c r="AM198" s="211" t="str">
        <f aca="false">IF($A199="","",MAX(0,O198-W198-AI198))</f>
        <v/>
      </c>
      <c r="AN198" s="211" t="str">
        <f aca="false">IF($A199="","",AL198-AM198)</f>
        <v/>
      </c>
      <c r="AO198" s="137" t="str">
        <f aca="false">IF(A199="","",A199-A198)</f>
        <v/>
      </c>
      <c r="AP198" s="212" t="str">
        <f aca="false">IF(A199="","",CHOOSE(F$3,A199+24,A198))</f>
        <v/>
      </c>
      <c r="AQ198" s="209" t="str">
        <f aca="false">IF(A199="","",AP198-$E$1)</f>
        <v/>
      </c>
      <c r="AR198" s="185" t="n">
        <f aca="false">'ANR OK vs ML7'!AR198</f>
        <v>0.1</v>
      </c>
      <c r="AS198" s="213" t="str">
        <f aca="false">IF(A199="","",1/(1+CHOOSE(F$3,(AR199+($I$3/10000))/2,(AR198+($I$3/10000))/2))^(2*AQ198/365.25))</f>
        <v/>
      </c>
      <c r="AT198" s="137" t="str">
        <f aca="false">IF(A199="","",IF(AND(mthbeg&lt;=A198,mthend&gt;=A198),1,0))</f>
        <v/>
      </c>
      <c r="AU198" s="137" t="str">
        <f aca="false">IF(A199="","",AO198*AT198)</f>
        <v/>
      </c>
      <c r="AW198" s="195" t="str">
        <f aca="false">IF($A199="","",AL198*$E198)</f>
        <v/>
      </c>
      <c r="AX198" s="195" t="str">
        <f aca="false">IF($A199="","",AM198*$E198)</f>
        <v/>
      </c>
      <c r="AY198" s="195" t="str">
        <f aca="false">IF($A199="","",AN198*$E198)</f>
        <v/>
      </c>
      <c r="BA198" s="195" t="str">
        <f aca="false">IF($A199="","",F198*Summary!$Q$9)</f>
        <v/>
      </c>
    </row>
    <row r="199" customFormat="false" ht="12" hidden="false" customHeight="true" outlineLevel="0" collapsed="false">
      <c r="A199" s="196" t="str">
        <f aca="false">IF(A198&lt;mthend,EDATE(A198,1),"")</f>
        <v/>
      </c>
      <c r="B199" s="197" t="str">
        <f aca="false">IF(A199&lt;mthend,B198,"")</f>
        <v/>
      </c>
      <c r="C199" s="215"/>
      <c r="D199" s="197" t="str">
        <f aca="false">IF(A200&lt;&gt;"",B199+C199,"")</f>
        <v/>
      </c>
      <c r="E199" s="199" t="str">
        <f aca="false">IF(A200="","",IF(AND(AT199=1,$H$3=1),D199*AO199,IF($H$3=2,D199,"N/A")))</f>
        <v/>
      </c>
      <c r="F199" s="199" t="str">
        <f aca="false">IF(A200="","",E199*AS199)</f>
        <v/>
      </c>
      <c r="G199" s="200" t="str">
        <f aca="false">IF($A200="","",VLOOKUP($A199,Table,MATCH(G$4,Curves,0)))</f>
        <v/>
      </c>
      <c r="H199" s="201" t="str">
        <f aca="false">IF(A200="","",G199)</f>
        <v/>
      </c>
      <c r="I199" s="202"/>
      <c r="J199" s="200" t="str">
        <f aca="false">IF($A200="","",VLOOKUP($A199,Table,MATCH(J$4,Curves,0)))</f>
        <v/>
      </c>
      <c r="K199" s="201" t="str">
        <f aca="false">IF(A200="","",J199)</f>
        <v/>
      </c>
      <c r="L199" s="200" t="str">
        <f aca="false">IF($A200="","",VLOOKUP($A199,Table,MATCH(L$4,Curves,0)))</f>
        <v/>
      </c>
      <c r="M199" s="201" t="str">
        <f aca="false">IF(A200="","",L199)</f>
        <v/>
      </c>
      <c r="N199" s="203"/>
      <c r="O199" s="200" t="str">
        <f aca="false">IF(A200="","",L199+J199+G199)</f>
        <v/>
      </c>
      <c r="P199" s="200" t="str">
        <f aca="false">IF(A200="","",M199+K199+H199)</f>
        <v/>
      </c>
      <c r="Q199" s="204"/>
      <c r="R199" s="200" t="str">
        <f aca="false">IF($A200="","",VLOOKUP($A199,Table,MATCH(R$4,Curves,0)))</f>
        <v/>
      </c>
      <c r="S199" s="201" t="str">
        <f aca="false">IF(A200="","",R199)</f>
        <v/>
      </c>
      <c r="T199" s="200" t="str">
        <f aca="false">IF($A200="","",VLOOKUP($A199,Table,MATCH(T$4,Curves,0)))</f>
        <v/>
      </c>
      <c r="U199" s="201" t="str">
        <f aca="false">IF(A200="","",T199)</f>
        <v/>
      </c>
      <c r="V199" s="225" t="str">
        <f aca="false">IF($A200="","",IF(AND(MONTH(A199)&gt;3,MONTH(A199)&lt;11),(T199+R199+G199)*Summary!$T$9/(1-Summary!$T$9),(T199+R199+G199)*Summary!$U$9/(1-Summary!$U$9)))</f>
        <v/>
      </c>
      <c r="W199" s="200" t="str">
        <f aca="false">IF($A200="","",(T199+R199+G199+V199))</f>
        <v/>
      </c>
      <c r="X199" s="200" t="str">
        <f aca="false">IF($A200="","",(U199+S199+H199+V199))</f>
        <v/>
      </c>
      <c r="Y199" s="202"/>
      <c r="Z199" s="185" t="str">
        <f aca="false">IF($A200="","",VLOOKUP($A199,Table,MATCH(Z$4,Curves,0)))</f>
        <v/>
      </c>
      <c r="AA199" s="185" t="str">
        <f aca="false">IF($A200="","",VLOOKUP($A199,Table,MATCH(AA$4,Curves,0)))</f>
        <v/>
      </c>
      <c r="AB199" s="185" t="e">
        <f aca="false">SQRT((AA199^2*(A199-$D$3)+Z199^2*(DAY(EOMONTH(A199,0))/2))/AK199)</f>
        <v>#VALUE!</v>
      </c>
      <c r="AC199" s="185" t="str">
        <f aca="false">IF($A200="","",VLOOKUP($A199,Table,MATCH(AC$4,Curves,0)))</f>
        <v/>
      </c>
      <c r="AD199" s="185" t="str">
        <f aca="false">IF($A200="","",VLOOKUP($A199,Table,MATCH(AD$4,Curves,0)))</f>
        <v/>
      </c>
      <c r="AE199" s="185" t="e">
        <f aca="false">SQRT((AD199^2*(A199-$D$3)+AC199^2*(DAY(EOMONTH(A199,0))/2))/AK199)</f>
        <v>#VALUE!</v>
      </c>
      <c r="AF199" s="224" t="e">
        <f aca="false">((Summary!$N$9*(AA199*AD199)*(A199-$D$3))+(Summary!$M$9*Z199*AC199*(AJ199-EOMONTH(EDATE(A199,-1),0))))/(AK199*AB199*AE199)</f>
        <v>#VALUE!</v>
      </c>
      <c r="AG199" s="207" t="str">
        <f aca="false">IF($A200="","",Summary!$Q$9)</f>
        <v/>
      </c>
      <c r="AH199" s="207" t="str">
        <f aca="false">IF($A200="","",IF(Summary!$R$9="Y",VLOOKUP($A199,Summary!$AD$6:$AF$9,3)+'Escalating commodity'!E212,'Escalating commodity'!E212))</f>
        <v/>
      </c>
      <c r="AI199" s="207" t="str">
        <f aca="false">IF($A200="","",AH199)</f>
        <v/>
      </c>
      <c r="AJ199" s="208" t="e">
        <f aca="false">A199+DAY(EOMONTH(A199,0))/2-1</f>
        <v>#VALUE!</v>
      </c>
      <c r="AK199" s="209" t="str">
        <f aca="false">IF($A200="","",$A199-$E$1)</f>
        <v/>
      </c>
      <c r="AL199" s="182" t="str">
        <f aca="false">IF($A200="","",SPRDOPT(P199,X199,AI199,0,AB199,AE199,AF199,AK199,$AJ$2,0))</f>
        <v/>
      </c>
      <c r="AM199" s="211" t="str">
        <f aca="false">IF($A200="","",MAX(0,O199-W199-AI199))</f>
        <v/>
      </c>
      <c r="AN199" s="211" t="str">
        <f aca="false">IF($A200="","",AL199-AM199)</f>
        <v/>
      </c>
      <c r="AO199" s="137" t="str">
        <f aca="false">IF(A200="","",A200-A199)</f>
        <v/>
      </c>
      <c r="AP199" s="212" t="str">
        <f aca="false">IF(A200="","",CHOOSE(F$3,A200+24,A199))</f>
        <v/>
      </c>
      <c r="AQ199" s="209" t="str">
        <f aca="false">IF(A200="","",AP199-$E$1)</f>
        <v/>
      </c>
      <c r="AR199" s="185" t="n">
        <f aca="false">'ANR OK vs ML7'!AR199</f>
        <v>0.1</v>
      </c>
      <c r="AS199" s="213" t="str">
        <f aca="false">IF(A200="","",1/(1+CHOOSE(F$3,(AR200+($I$3/10000))/2,(AR199+($I$3/10000))/2))^(2*AQ199/365.25))</f>
        <v/>
      </c>
      <c r="AT199" s="137" t="str">
        <f aca="false">IF(A200="","",IF(AND(mthbeg&lt;=A199,mthend&gt;=A199),1,0))</f>
        <v/>
      </c>
      <c r="AU199" s="137" t="str">
        <f aca="false">IF(A200="","",AO199*AT199)</f>
        <v/>
      </c>
      <c r="AW199" s="195" t="str">
        <f aca="false">IF($A200="","",AL199*$E199)</f>
        <v/>
      </c>
      <c r="AX199" s="195" t="str">
        <f aca="false">IF($A200="","",AM199*$E199)</f>
        <v/>
      </c>
      <c r="AY199" s="195" t="str">
        <f aca="false">IF($A200="","",AN199*$E199)</f>
        <v/>
      </c>
      <c r="BA199" s="195" t="str">
        <f aca="false">IF($A200="","",F199*Summary!$Q$9)</f>
        <v/>
      </c>
    </row>
    <row r="200" customFormat="false" ht="12" hidden="false" customHeight="true" outlineLevel="0" collapsed="false">
      <c r="A200" s="196" t="str">
        <f aca="false">IF(A199&lt;mthend,EDATE(A199,1),"")</f>
        <v/>
      </c>
      <c r="B200" s="197" t="str">
        <f aca="false">IF(A200&lt;mthend,B199,"")</f>
        <v/>
      </c>
      <c r="C200" s="215"/>
      <c r="D200" s="197" t="str">
        <f aca="false">IF(A201&lt;&gt;"",B200+C200,"")</f>
        <v/>
      </c>
      <c r="E200" s="199" t="str">
        <f aca="false">IF(A201="","",IF(AND(AT200=1,$H$3=1),D200*AO200,IF($H$3=2,D200,"N/A")))</f>
        <v/>
      </c>
      <c r="F200" s="199" t="str">
        <f aca="false">IF(A201="","",E200*AS200)</f>
        <v/>
      </c>
      <c r="G200" s="200" t="str">
        <f aca="false">IF($A201="","",VLOOKUP($A200,Table,MATCH(G$4,Curves,0)))</f>
        <v/>
      </c>
      <c r="H200" s="201" t="str">
        <f aca="false">IF(A201="","",G200)</f>
        <v/>
      </c>
      <c r="I200" s="202"/>
      <c r="J200" s="200" t="str">
        <f aca="false">IF($A201="","",VLOOKUP($A200,Table,MATCH(J$4,Curves,0)))</f>
        <v/>
      </c>
      <c r="K200" s="201" t="str">
        <f aca="false">IF(A201="","",J200)</f>
        <v/>
      </c>
      <c r="L200" s="200" t="str">
        <f aca="false">IF($A201="","",VLOOKUP($A200,Table,MATCH(L$4,Curves,0)))</f>
        <v/>
      </c>
      <c r="M200" s="201" t="str">
        <f aca="false">IF(A201="","",L200)</f>
        <v/>
      </c>
      <c r="N200" s="203"/>
      <c r="O200" s="200" t="str">
        <f aca="false">IF(A201="","",L200+J200+G200)</f>
        <v/>
      </c>
      <c r="P200" s="200" t="str">
        <f aca="false">IF(A201="","",M200+K200+H200)</f>
        <v/>
      </c>
      <c r="Q200" s="204"/>
      <c r="R200" s="200" t="str">
        <f aca="false">IF($A201="","",VLOOKUP($A200,Table,MATCH(R$4,Curves,0)))</f>
        <v/>
      </c>
      <c r="S200" s="201" t="str">
        <f aca="false">IF(A201="","",R200)</f>
        <v/>
      </c>
      <c r="T200" s="200" t="str">
        <f aca="false">IF($A201="","",VLOOKUP($A200,Table,MATCH(T$4,Curves,0)))</f>
        <v/>
      </c>
      <c r="U200" s="201" t="str">
        <f aca="false">IF(A201="","",T200)</f>
        <v/>
      </c>
      <c r="V200" s="225" t="str">
        <f aca="false">IF($A201="","",IF(AND(MONTH(A200)&gt;3,MONTH(A200)&lt;11),(T200+R200+G200)*Summary!$T$9/(1-Summary!$T$9),(T200+R200+G200)*Summary!$U$9/(1-Summary!$U$9)))</f>
        <v/>
      </c>
      <c r="W200" s="200" t="str">
        <f aca="false">IF($A201="","",(T200+R200+G200+V200))</f>
        <v/>
      </c>
      <c r="X200" s="200" t="str">
        <f aca="false">IF($A201="","",(U200+S200+H200+V200))</f>
        <v/>
      </c>
      <c r="Y200" s="202"/>
      <c r="Z200" s="185" t="str">
        <f aca="false">IF($A201="","",VLOOKUP($A200,Table,MATCH(Z$4,Curves,0)))</f>
        <v/>
      </c>
      <c r="AA200" s="185" t="str">
        <f aca="false">IF($A201="","",VLOOKUP($A200,Table,MATCH(AA$4,Curves,0)))</f>
        <v/>
      </c>
      <c r="AB200" s="185" t="e">
        <f aca="false">SQRT((AA200^2*(A200-$D$3)+Z200^2*(DAY(EOMONTH(A200,0))/2))/AK200)</f>
        <v>#VALUE!</v>
      </c>
      <c r="AC200" s="185" t="str">
        <f aca="false">IF($A201="","",VLOOKUP($A200,Table,MATCH(AC$4,Curves,0)))</f>
        <v/>
      </c>
      <c r="AD200" s="185" t="str">
        <f aca="false">IF($A201="","",VLOOKUP($A200,Table,MATCH(AD$4,Curves,0)))</f>
        <v/>
      </c>
      <c r="AE200" s="185" t="e">
        <f aca="false">SQRT((AD200^2*(A200-$D$3)+AC200^2*(DAY(EOMONTH(A200,0))/2))/AK200)</f>
        <v>#VALUE!</v>
      </c>
      <c r="AF200" s="224" t="e">
        <f aca="false">((Summary!$N$9*(AA200*AD200)*(A200-$D$3))+(Summary!$M$9*Z200*AC200*(AJ200-EOMONTH(EDATE(A200,-1),0))))/(AK200*AB200*AE200)</f>
        <v>#VALUE!</v>
      </c>
      <c r="AG200" s="207" t="str">
        <f aca="false">IF($A201="","",Summary!$Q$9)</f>
        <v/>
      </c>
      <c r="AH200" s="207" t="str">
        <f aca="false">IF($A201="","",IF(Summary!$R$9="Y",VLOOKUP($A200,Summary!$AD$6:$AF$9,3)+'Escalating commodity'!E213,'Escalating commodity'!E213))</f>
        <v/>
      </c>
      <c r="AI200" s="207" t="str">
        <f aca="false">IF($A201="","",AH200)</f>
        <v/>
      </c>
      <c r="AJ200" s="208" t="e">
        <f aca="false">A200+DAY(EOMONTH(A200,0))/2-1</f>
        <v>#VALUE!</v>
      </c>
      <c r="AK200" s="209" t="str">
        <f aca="false">IF($A201="","",$A200-$E$1)</f>
        <v/>
      </c>
      <c r="AL200" s="182" t="str">
        <f aca="false">IF($A201="","",SPRDOPT(P200,X200,AI200,0,AB200,AE200,AF200,AK200,$AJ$2,0))</f>
        <v/>
      </c>
      <c r="AM200" s="211" t="str">
        <f aca="false">IF($A201="","",MAX(0,O200-W200-AI200))</f>
        <v/>
      </c>
      <c r="AN200" s="211" t="str">
        <f aca="false">IF($A201="","",AL200-AM200)</f>
        <v/>
      </c>
      <c r="AO200" s="137" t="str">
        <f aca="false">IF(A201="","",A201-A200)</f>
        <v/>
      </c>
      <c r="AP200" s="212" t="str">
        <f aca="false">IF(A201="","",CHOOSE(F$3,A201+24,A200))</f>
        <v/>
      </c>
      <c r="AQ200" s="209" t="str">
        <f aca="false">IF(A201="","",AP200-$E$1)</f>
        <v/>
      </c>
      <c r="AR200" s="185" t="n">
        <f aca="false">'ANR OK vs ML7'!AR200</f>
        <v>0.1</v>
      </c>
      <c r="AS200" s="213" t="str">
        <f aca="false">IF(A201="","",1/(1+CHOOSE(F$3,(AR201+($I$3/10000))/2,(AR200+($I$3/10000))/2))^(2*AQ200/365.25))</f>
        <v/>
      </c>
      <c r="AT200" s="137" t="str">
        <f aca="false">IF(A201="","",IF(AND(mthbeg&lt;=A200,mthend&gt;=A200),1,0))</f>
        <v/>
      </c>
      <c r="AU200" s="137" t="str">
        <f aca="false">IF(A201="","",AO200*AT200)</f>
        <v/>
      </c>
      <c r="AW200" s="195" t="str">
        <f aca="false">IF($A201="","",AL200*$E200)</f>
        <v/>
      </c>
      <c r="AX200" s="195" t="str">
        <f aca="false">IF($A201="","",AM200*$E200)</f>
        <v/>
      </c>
      <c r="AY200" s="195" t="str">
        <f aca="false">IF($A201="","",AN200*$E200)</f>
        <v/>
      </c>
      <c r="BA200" s="195" t="str">
        <f aca="false">IF($A201="","",F200*Summary!$Q$9)</f>
        <v/>
      </c>
    </row>
    <row r="201" customFormat="false" ht="12" hidden="false" customHeight="true" outlineLevel="0" collapsed="false">
      <c r="A201" s="196" t="str">
        <f aca="false">IF(A200&lt;mthend,EDATE(A200,1),"")</f>
        <v/>
      </c>
      <c r="B201" s="197" t="str">
        <f aca="false">IF(A201&lt;mthend,B200,"")</f>
        <v/>
      </c>
      <c r="C201" s="215"/>
      <c r="D201" s="197" t="str">
        <f aca="false">IF(A202&lt;&gt;"",B201+C201,"")</f>
        <v/>
      </c>
      <c r="E201" s="199" t="str">
        <f aca="false">IF(A202="","",IF(AND(AT201=1,$H$3=1),D201*AO201,IF($H$3=2,D201,"N/A")))</f>
        <v/>
      </c>
      <c r="F201" s="199" t="str">
        <f aca="false">IF(A202="","",E201*AS201)</f>
        <v/>
      </c>
      <c r="G201" s="200" t="str">
        <f aca="false">IF($A202="","",VLOOKUP($A201,Table,MATCH(G$4,Curves,0)))</f>
        <v/>
      </c>
      <c r="H201" s="201" t="str">
        <f aca="false">IF(A202="","",G201)</f>
        <v/>
      </c>
      <c r="I201" s="202"/>
      <c r="J201" s="200" t="str">
        <f aca="false">IF($A202="","",VLOOKUP($A201,Table,MATCH(J$4,Curves,0)))</f>
        <v/>
      </c>
      <c r="K201" s="201" t="str">
        <f aca="false">IF(A202="","",J201)</f>
        <v/>
      </c>
      <c r="L201" s="200" t="str">
        <f aca="false">IF($A202="","",VLOOKUP($A201,Table,MATCH(L$4,Curves,0)))</f>
        <v/>
      </c>
      <c r="M201" s="201" t="str">
        <f aca="false">IF(A202="","",L201)</f>
        <v/>
      </c>
      <c r="N201" s="203"/>
      <c r="O201" s="200" t="str">
        <f aca="false">IF(A202="","",L201+J201+G201)</f>
        <v/>
      </c>
      <c r="P201" s="200" t="str">
        <f aca="false">IF(A202="","",M201+K201+H201)</f>
        <v/>
      </c>
      <c r="Q201" s="204"/>
      <c r="R201" s="200" t="str">
        <f aca="false">IF($A202="","",VLOOKUP($A201,Table,MATCH(R$4,Curves,0)))</f>
        <v/>
      </c>
      <c r="S201" s="201" t="str">
        <f aca="false">IF(A202="","",R201)</f>
        <v/>
      </c>
      <c r="T201" s="200" t="str">
        <f aca="false">IF($A202="","",VLOOKUP($A201,Table,MATCH(T$4,Curves,0)))</f>
        <v/>
      </c>
      <c r="U201" s="201" t="str">
        <f aca="false">IF(A202="","",T201)</f>
        <v/>
      </c>
      <c r="V201" s="225" t="str">
        <f aca="false">IF($A202="","",IF(AND(MONTH(A201)&gt;3,MONTH(A201)&lt;11),(T201+R201+G201)*Summary!$T$9/(1-Summary!$T$9),(T201+R201+G201)*Summary!$U$9/(1-Summary!$U$9)))</f>
        <v/>
      </c>
      <c r="W201" s="200" t="str">
        <f aca="false">IF($A202="","",(T201+R201+G201+V201))</f>
        <v/>
      </c>
      <c r="X201" s="200" t="str">
        <f aca="false">IF($A202="","",(U201+S201+H201+V201))</f>
        <v/>
      </c>
      <c r="Y201" s="202"/>
      <c r="Z201" s="185" t="str">
        <f aca="false">IF($A202="","",VLOOKUP($A201,Table,MATCH(Z$4,Curves,0)))</f>
        <v/>
      </c>
      <c r="AA201" s="185" t="str">
        <f aca="false">IF($A202="","",VLOOKUP($A201,Table,MATCH(AA$4,Curves,0)))</f>
        <v/>
      </c>
      <c r="AB201" s="185" t="e">
        <f aca="false">SQRT((AA201^2*(A201-$D$3)+Z201^2*(DAY(EOMONTH(A201,0))/2))/AK201)</f>
        <v>#VALUE!</v>
      </c>
      <c r="AC201" s="185" t="str">
        <f aca="false">IF($A202="","",VLOOKUP($A201,Table,MATCH(AC$4,Curves,0)))</f>
        <v/>
      </c>
      <c r="AD201" s="185" t="str">
        <f aca="false">IF($A202="","",VLOOKUP($A201,Table,MATCH(AD$4,Curves,0)))</f>
        <v/>
      </c>
      <c r="AE201" s="185" t="e">
        <f aca="false">SQRT((AD201^2*(A201-$D$3)+AC201^2*(DAY(EOMONTH(A201,0))/2))/AK201)</f>
        <v>#VALUE!</v>
      </c>
      <c r="AF201" s="224" t="e">
        <f aca="false">((Summary!$N$9*(AA201*AD201)*(A201-$D$3))+(Summary!$M$9*Z201*AC201*(AJ201-EOMONTH(EDATE(A201,-1),0))))/(AK201*AB201*AE201)</f>
        <v>#VALUE!</v>
      </c>
      <c r="AG201" s="207" t="str">
        <f aca="false">IF($A202="","",Summary!$Q$9)</f>
        <v/>
      </c>
      <c r="AH201" s="207" t="str">
        <f aca="false">IF($A202="","",IF(Summary!$R$9="Y",VLOOKUP($A201,Summary!$AD$6:$AF$9,3)+'Escalating commodity'!E214,'Escalating commodity'!E214))</f>
        <v/>
      </c>
      <c r="AI201" s="207" t="str">
        <f aca="false">IF($A202="","",AH201)</f>
        <v/>
      </c>
      <c r="AJ201" s="208" t="e">
        <f aca="false">A201+DAY(EOMONTH(A201,0))/2-1</f>
        <v>#VALUE!</v>
      </c>
      <c r="AK201" s="209" t="str">
        <f aca="false">IF($A202="","",$A201-$E$1)</f>
        <v/>
      </c>
      <c r="AL201" s="182" t="str">
        <f aca="false">IF($A202="","",SPRDOPT(P201,X201,AI201,0,AB201,AE201,AF201,AK201,$AJ$2,0))</f>
        <v/>
      </c>
      <c r="AM201" s="211" t="str">
        <f aca="false">IF($A202="","",MAX(0,O201-W201-AI201))</f>
        <v/>
      </c>
      <c r="AN201" s="211" t="str">
        <f aca="false">IF($A202="","",AL201-AM201)</f>
        <v/>
      </c>
      <c r="AO201" s="137" t="str">
        <f aca="false">IF(A202="","",A202-A201)</f>
        <v/>
      </c>
      <c r="AP201" s="212" t="str">
        <f aca="false">IF(A202="","",CHOOSE(F$3,A202+24,A201))</f>
        <v/>
      </c>
      <c r="AQ201" s="209" t="str">
        <f aca="false">IF(A202="","",AP201-$E$1)</f>
        <v/>
      </c>
      <c r="AR201" s="185" t="n">
        <f aca="false">'ANR OK vs ML7'!AR201</f>
        <v>0.1</v>
      </c>
      <c r="AS201" s="213" t="str">
        <f aca="false">IF(A202="","",1/(1+CHOOSE(F$3,(AR202+($I$3/10000))/2,(AR201+($I$3/10000))/2))^(2*AQ201/365.25))</f>
        <v/>
      </c>
      <c r="AT201" s="137" t="str">
        <f aca="false">IF(A202="","",IF(AND(mthbeg&lt;=A201,mthend&gt;=A201),1,0))</f>
        <v/>
      </c>
      <c r="AU201" s="137" t="str">
        <f aca="false">IF(A202="","",AO201*AT201)</f>
        <v/>
      </c>
      <c r="AW201" s="195" t="str">
        <f aca="false">IF($A202="","",AL201*$E201)</f>
        <v/>
      </c>
      <c r="AX201" s="195" t="str">
        <f aca="false">IF($A202="","",AM201*$E201)</f>
        <v/>
      </c>
      <c r="AY201" s="195" t="str">
        <f aca="false">IF($A202="","",AN201*$E201)</f>
        <v/>
      </c>
      <c r="BA201" s="195" t="str">
        <f aca="false">IF($A202="","",F201*Summary!$Q$9)</f>
        <v/>
      </c>
    </row>
    <row r="202" customFormat="false" ht="12" hidden="false" customHeight="true" outlineLevel="0" collapsed="false">
      <c r="A202" s="196" t="str">
        <f aca="false">IF(A201&lt;mthend,EDATE(A201,1),"")</f>
        <v/>
      </c>
      <c r="B202" s="197" t="str">
        <f aca="false">IF(A202&lt;mthend,B201,"")</f>
        <v/>
      </c>
      <c r="C202" s="215"/>
      <c r="D202" s="197" t="str">
        <f aca="false">IF(A203&lt;&gt;"",B202+C202,"")</f>
        <v/>
      </c>
      <c r="E202" s="199" t="str">
        <f aca="false">IF(A203="","",IF(AND(AT202=1,$H$3=1),D202*AO202,IF($H$3=2,D202,"N/A")))</f>
        <v/>
      </c>
      <c r="F202" s="199" t="str">
        <f aca="false">IF(A203="","",E202*AS202)</f>
        <v/>
      </c>
      <c r="G202" s="200" t="str">
        <f aca="false">IF($A203="","",VLOOKUP($A202,Table,MATCH(G$4,Curves,0)))</f>
        <v/>
      </c>
      <c r="H202" s="201" t="str">
        <f aca="false">IF(A203="","",G202)</f>
        <v/>
      </c>
      <c r="I202" s="202"/>
      <c r="J202" s="200" t="str">
        <f aca="false">IF($A203="","",VLOOKUP($A202,Table,MATCH(J$4,Curves,0)))</f>
        <v/>
      </c>
      <c r="K202" s="201" t="str">
        <f aca="false">IF(A203="","",J202)</f>
        <v/>
      </c>
      <c r="L202" s="200" t="str">
        <f aca="false">IF($A203="","",VLOOKUP($A202,Table,MATCH(L$4,Curves,0)))</f>
        <v/>
      </c>
      <c r="M202" s="201" t="str">
        <f aca="false">IF(A203="","",L202)</f>
        <v/>
      </c>
      <c r="N202" s="203"/>
      <c r="O202" s="200" t="str">
        <f aca="false">IF(A203="","",L202+J202+G202)</f>
        <v/>
      </c>
      <c r="P202" s="200" t="str">
        <f aca="false">IF(A203="","",M202+K202+H202)</f>
        <v/>
      </c>
      <c r="Q202" s="204"/>
      <c r="R202" s="200" t="str">
        <f aca="false">IF($A203="","",VLOOKUP($A202,Table,MATCH(R$4,Curves,0)))</f>
        <v/>
      </c>
      <c r="S202" s="201" t="str">
        <f aca="false">IF(A203="","",R202)</f>
        <v/>
      </c>
      <c r="T202" s="200" t="str">
        <f aca="false">IF($A203="","",VLOOKUP($A202,Table,MATCH(T$4,Curves,0)))</f>
        <v/>
      </c>
      <c r="U202" s="201" t="str">
        <f aca="false">IF(A203="","",T202)</f>
        <v/>
      </c>
      <c r="V202" s="225" t="str">
        <f aca="false">IF($A203="","",IF(AND(MONTH(A202)&gt;3,MONTH(A202)&lt;11),(T202+R202+G202)*Summary!$T$9/(1-Summary!$T$9),(T202+R202+G202)*Summary!$U$9/(1-Summary!$U$9)))</f>
        <v/>
      </c>
      <c r="W202" s="200" t="str">
        <f aca="false">IF($A203="","",(T202+R202+G202+V202))</f>
        <v/>
      </c>
      <c r="X202" s="200" t="str">
        <f aca="false">IF($A203="","",(U202+S202+H202+V202))</f>
        <v/>
      </c>
      <c r="Y202" s="202"/>
      <c r="Z202" s="185" t="str">
        <f aca="false">IF($A203="","",VLOOKUP($A202,Table,MATCH(Z$4,Curves,0)))</f>
        <v/>
      </c>
      <c r="AA202" s="185" t="str">
        <f aca="false">IF($A203="","",VLOOKUP($A202,Table,MATCH(AA$4,Curves,0)))</f>
        <v/>
      </c>
      <c r="AB202" s="185" t="e">
        <f aca="false">SQRT((AA202^2*(A202-$D$3)+Z202^2*(DAY(EOMONTH(A202,0))/2))/AK202)</f>
        <v>#VALUE!</v>
      </c>
      <c r="AC202" s="185" t="str">
        <f aca="false">IF($A203="","",VLOOKUP($A202,Table,MATCH(AC$4,Curves,0)))</f>
        <v/>
      </c>
      <c r="AD202" s="185" t="str">
        <f aca="false">IF($A203="","",VLOOKUP($A202,Table,MATCH(AD$4,Curves,0)))</f>
        <v/>
      </c>
      <c r="AE202" s="185" t="e">
        <f aca="false">SQRT((AD202^2*(A202-$D$3)+AC202^2*(DAY(EOMONTH(A202,0))/2))/AK202)</f>
        <v>#VALUE!</v>
      </c>
      <c r="AF202" s="224" t="e">
        <f aca="false">((Summary!$N$9*(AA202*AD202)*(A202-$D$3))+(Summary!$M$9*Z202*AC202*(AJ202-EOMONTH(EDATE(A202,-1),0))))/(AK202*AB202*AE202)</f>
        <v>#VALUE!</v>
      </c>
      <c r="AG202" s="207" t="str">
        <f aca="false">IF($A203="","",Summary!$Q$9)</f>
        <v/>
      </c>
      <c r="AH202" s="207" t="str">
        <f aca="false">IF($A203="","",IF(Summary!$R$9="Y",VLOOKUP($A202,Summary!$AD$6:$AF$9,3)+'Escalating commodity'!E215,'Escalating commodity'!E215))</f>
        <v/>
      </c>
      <c r="AI202" s="207" t="str">
        <f aca="false">IF($A203="","",AH202)</f>
        <v/>
      </c>
      <c r="AJ202" s="208" t="e">
        <f aca="false">A202+DAY(EOMONTH(A202,0))/2-1</f>
        <v>#VALUE!</v>
      </c>
      <c r="AK202" s="209" t="str">
        <f aca="false">IF($A203="","",$A202-$E$1)</f>
        <v/>
      </c>
      <c r="AL202" s="182" t="str">
        <f aca="false">IF($A203="","",SPRDOPT(P202,X202,AI202,0,AB202,AE202,AF202,AK202,$AJ$2,0))</f>
        <v/>
      </c>
      <c r="AM202" s="211" t="str">
        <f aca="false">IF($A203="","",MAX(0,O202-W202-AI202))</f>
        <v/>
      </c>
      <c r="AN202" s="211" t="str">
        <f aca="false">IF($A203="","",AL202-AM202)</f>
        <v/>
      </c>
      <c r="AO202" s="137" t="str">
        <f aca="false">IF(A203="","",A203-A202)</f>
        <v/>
      </c>
      <c r="AP202" s="212" t="str">
        <f aca="false">IF(A203="","",CHOOSE(F$3,A203+24,A202))</f>
        <v/>
      </c>
      <c r="AQ202" s="209" t="str">
        <f aca="false">IF(A203="","",AP202-$E$1)</f>
        <v/>
      </c>
      <c r="AR202" s="185" t="n">
        <f aca="false">'ANR OK vs ML7'!AR202</f>
        <v>0.1</v>
      </c>
      <c r="AS202" s="213" t="str">
        <f aca="false">IF(A203="","",1/(1+CHOOSE(F$3,(AR203+($I$3/10000))/2,(AR202+($I$3/10000))/2))^(2*AQ202/365.25))</f>
        <v/>
      </c>
      <c r="AT202" s="137" t="str">
        <f aca="false">IF(A203="","",IF(AND(mthbeg&lt;=A202,mthend&gt;=A202),1,0))</f>
        <v/>
      </c>
      <c r="AU202" s="137" t="str">
        <f aca="false">IF(A203="","",AO202*AT202)</f>
        <v/>
      </c>
      <c r="AW202" s="195" t="str">
        <f aca="false">IF($A203="","",AL202*$E202)</f>
        <v/>
      </c>
      <c r="AX202" s="195" t="str">
        <f aca="false">IF($A203="","",AM202*$E202)</f>
        <v/>
      </c>
      <c r="AY202" s="195" t="str">
        <f aca="false">IF($A203="","",AN202*$E202)</f>
        <v/>
      </c>
      <c r="BA202" s="195" t="str">
        <f aca="false">IF($A203="","",F202*Summary!$Q$9)</f>
        <v/>
      </c>
    </row>
    <row r="203" customFormat="false" ht="12" hidden="false" customHeight="true" outlineLevel="0" collapsed="false">
      <c r="A203" s="196" t="str">
        <f aca="false">IF(A202&lt;mthend,EDATE(A202,1),"")</f>
        <v/>
      </c>
      <c r="B203" s="197" t="str">
        <f aca="false">IF(A203&lt;mthend,B202,"")</f>
        <v/>
      </c>
      <c r="C203" s="215"/>
      <c r="D203" s="197" t="str">
        <f aca="false">IF(A204&lt;&gt;"",B203+C203,"")</f>
        <v/>
      </c>
      <c r="E203" s="199" t="str">
        <f aca="false">IF(A204="","",IF(AND(AT203=1,$H$3=1),D203*AO203,IF($H$3=2,D203,"N/A")))</f>
        <v/>
      </c>
      <c r="F203" s="199" t="str">
        <f aca="false">IF(A204="","",E203*AS203)</f>
        <v/>
      </c>
      <c r="G203" s="200" t="str">
        <f aca="false">IF($A204="","",VLOOKUP($A203,Table,MATCH(G$4,Curves,0)))</f>
        <v/>
      </c>
      <c r="H203" s="201" t="str">
        <f aca="false">IF(A204="","",G203)</f>
        <v/>
      </c>
      <c r="I203" s="202"/>
      <c r="J203" s="200" t="str">
        <f aca="false">IF($A204="","",VLOOKUP($A203,Table,MATCH(J$4,Curves,0)))</f>
        <v/>
      </c>
      <c r="K203" s="201" t="str">
        <f aca="false">IF(A204="","",J203)</f>
        <v/>
      </c>
      <c r="L203" s="200" t="str">
        <f aca="false">IF($A204="","",VLOOKUP($A203,Table,MATCH(L$4,Curves,0)))</f>
        <v/>
      </c>
      <c r="M203" s="201" t="str">
        <f aca="false">IF(A204="","",L203)</f>
        <v/>
      </c>
      <c r="N203" s="203"/>
      <c r="O203" s="200" t="str">
        <f aca="false">IF(A204="","",L203+J203+G203)</f>
        <v/>
      </c>
      <c r="P203" s="200" t="str">
        <f aca="false">IF(A204="","",M203+K203+H203)</f>
        <v/>
      </c>
      <c r="Q203" s="204"/>
      <c r="R203" s="200" t="str">
        <f aca="false">IF($A204="","",VLOOKUP($A203,Table,MATCH(R$4,Curves,0)))</f>
        <v/>
      </c>
      <c r="S203" s="201" t="str">
        <f aca="false">IF(A204="","",R203)</f>
        <v/>
      </c>
      <c r="T203" s="200" t="str">
        <f aca="false">IF($A204="","",VLOOKUP($A203,Table,MATCH(T$4,Curves,0)))</f>
        <v/>
      </c>
      <c r="U203" s="201" t="str">
        <f aca="false">IF(A204="","",T203)</f>
        <v/>
      </c>
      <c r="V203" s="225" t="str">
        <f aca="false">IF($A204="","",IF(AND(MONTH(A203)&gt;3,MONTH(A203)&lt;11),(T203+R203+G203)*Summary!$T$9/(1-Summary!$T$9),(T203+R203+G203)*Summary!$U$9/(1-Summary!$U$9)))</f>
        <v/>
      </c>
      <c r="W203" s="200" t="str">
        <f aca="false">IF($A204="","",(T203+R203+G203+V203))</f>
        <v/>
      </c>
      <c r="X203" s="200" t="str">
        <f aca="false">IF($A204="","",(U203+S203+H203+V203))</f>
        <v/>
      </c>
      <c r="Y203" s="202"/>
      <c r="Z203" s="185" t="str">
        <f aca="false">IF($A204="","",VLOOKUP($A203,Table,MATCH(Z$4,Curves,0)))</f>
        <v/>
      </c>
      <c r="AA203" s="185" t="str">
        <f aca="false">IF($A204="","",VLOOKUP($A203,Table,MATCH(AA$4,Curves,0)))</f>
        <v/>
      </c>
      <c r="AB203" s="185" t="e">
        <f aca="false">SQRT((AA203^2*(A203-$D$3)+Z203^2*(DAY(EOMONTH(A203,0))/2))/AK203)</f>
        <v>#VALUE!</v>
      </c>
      <c r="AC203" s="185" t="str">
        <f aca="false">IF($A204="","",VLOOKUP($A203,Table,MATCH(AC$4,Curves,0)))</f>
        <v/>
      </c>
      <c r="AD203" s="185" t="str">
        <f aca="false">IF($A204="","",VLOOKUP($A203,Table,MATCH(AD$4,Curves,0)))</f>
        <v/>
      </c>
      <c r="AE203" s="185" t="e">
        <f aca="false">SQRT((AD203^2*(A203-$D$3)+AC203^2*(DAY(EOMONTH(A203,0))/2))/AK203)</f>
        <v>#VALUE!</v>
      </c>
      <c r="AF203" s="224" t="e">
        <f aca="false">((Summary!$N$9*(AA203*AD203)*(A203-$D$3))+(Summary!$M$9*Z203*AC203*(AJ203-EOMONTH(EDATE(A203,-1),0))))/(AK203*AB203*AE203)</f>
        <v>#VALUE!</v>
      </c>
      <c r="AG203" s="207" t="str">
        <f aca="false">IF($A204="","",Summary!$Q$9)</f>
        <v/>
      </c>
      <c r="AH203" s="207" t="str">
        <f aca="false">IF($A204="","",IF(Summary!$R$9="Y",VLOOKUP($A203,Summary!$AD$6:$AF$9,3)+'Escalating commodity'!E216,'Escalating commodity'!E216))</f>
        <v/>
      </c>
      <c r="AI203" s="207" t="str">
        <f aca="false">IF($A204="","",AH203)</f>
        <v/>
      </c>
      <c r="AJ203" s="208" t="e">
        <f aca="false">A203+DAY(EOMONTH(A203,0))/2-1</f>
        <v>#VALUE!</v>
      </c>
      <c r="AK203" s="209" t="str">
        <f aca="false">IF($A204="","",$A203-$E$1)</f>
        <v/>
      </c>
      <c r="AL203" s="182" t="str">
        <f aca="false">IF($A204="","",SPRDOPT(P203,X203,AI203,0,AB203,AE203,AF203,AK203,$AJ$2,0))</f>
        <v/>
      </c>
      <c r="AM203" s="211" t="str">
        <f aca="false">IF($A204="","",MAX(0,O203-W203-AI203))</f>
        <v/>
      </c>
      <c r="AN203" s="211" t="str">
        <f aca="false">IF($A204="","",AL203-AM203)</f>
        <v/>
      </c>
      <c r="AO203" s="137" t="str">
        <f aca="false">IF(A204="","",A204-A203)</f>
        <v/>
      </c>
      <c r="AP203" s="212" t="str">
        <f aca="false">IF(A204="","",CHOOSE(F$3,A204+24,A203))</f>
        <v/>
      </c>
      <c r="AQ203" s="209" t="str">
        <f aca="false">IF(A204="","",AP203-$E$1)</f>
        <v/>
      </c>
      <c r="AR203" s="185" t="n">
        <f aca="false">'ANR OK vs ML7'!AR203</f>
        <v>0.1</v>
      </c>
      <c r="AS203" s="213" t="str">
        <f aca="false">IF(A204="","",1/(1+CHOOSE(F$3,(AR204+($I$3/10000))/2,(AR203+($I$3/10000))/2))^(2*AQ203/365.25))</f>
        <v/>
      </c>
      <c r="AT203" s="137" t="str">
        <f aca="false">IF(A204="","",IF(AND(mthbeg&lt;=A203,mthend&gt;=A203),1,0))</f>
        <v/>
      </c>
      <c r="AU203" s="137" t="str">
        <f aca="false">IF(A204="","",AO203*AT203)</f>
        <v/>
      </c>
      <c r="AW203" s="195" t="str">
        <f aca="false">IF($A204="","",AL203*$E203)</f>
        <v/>
      </c>
      <c r="AX203" s="195" t="str">
        <f aca="false">IF($A204="","",AM203*$E203)</f>
        <v/>
      </c>
      <c r="AY203" s="195" t="str">
        <f aca="false">IF($A204="","",AN203*$E203)</f>
        <v/>
      </c>
      <c r="BA203" s="195" t="str">
        <f aca="false">IF($A204="","",F203*Summary!$Q$9)</f>
        <v/>
      </c>
    </row>
    <row r="204" customFormat="false" ht="12" hidden="false" customHeight="true" outlineLevel="0" collapsed="false">
      <c r="A204" s="196" t="str">
        <f aca="false">IF(A203&lt;mthend,EDATE(A203,1),"")</f>
        <v/>
      </c>
      <c r="B204" s="197" t="str">
        <f aca="false">IF(A204&lt;mthend,B203,"")</f>
        <v/>
      </c>
      <c r="C204" s="215"/>
      <c r="D204" s="197" t="str">
        <f aca="false">IF(A205&lt;&gt;"",B204+C204,"")</f>
        <v/>
      </c>
      <c r="E204" s="199" t="str">
        <f aca="false">IF(A205="","",IF(AND(AT204=1,$H$3=1),D204*AO204,IF($H$3=2,D204,"N/A")))</f>
        <v/>
      </c>
      <c r="F204" s="199" t="str">
        <f aca="false">IF(A205="","",E204*AS204)</f>
        <v/>
      </c>
      <c r="G204" s="200" t="str">
        <f aca="false">IF($A205="","",VLOOKUP($A204,Table,MATCH(G$4,Curves,0)))</f>
        <v/>
      </c>
      <c r="H204" s="201" t="str">
        <f aca="false">IF(A205="","",G204)</f>
        <v/>
      </c>
      <c r="I204" s="202"/>
      <c r="J204" s="200" t="str">
        <f aca="false">IF($A205="","",VLOOKUP($A204,Table,MATCH(J$4,Curves,0)))</f>
        <v/>
      </c>
      <c r="K204" s="201" t="str">
        <f aca="false">IF(A205="","",J204)</f>
        <v/>
      </c>
      <c r="L204" s="200" t="str">
        <f aca="false">IF($A205="","",VLOOKUP($A204,Table,MATCH(L$4,Curves,0)))</f>
        <v/>
      </c>
      <c r="M204" s="201" t="str">
        <f aca="false">IF(A205="","",L204)</f>
        <v/>
      </c>
      <c r="N204" s="203"/>
      <c r="O204" s="200" t="str">
        <f aca="false">IF(A205="","",L204+J204+G204)</f>
        <v/>
      </c>
      <c r="P204" s="200" t="str">
        <f aca="false">IF(A205="","",M204+K204+H204)</f>
        <v/>
      </c>
      <c r="Q204" s="204"/>
      <c r="R204" s="200" t="str">
        <f aca="false">IF($A205="","",VLOOKUP($A204,Table,MATCH(R$4,Curves,0)))</f>
        <v/>
      </c>
      <c r="S204" s="201" t="str">
        <f aca="false">IF(A205="","",R204)</f>
        <v/>
      </c>
      <c r="T204" s="200" t="str">
        <f aca="false">IF($A205="","",VLOOKUP($A204,Table,MATCH(T$4,Curves,0)))</f>
        <v/>
      </c>
      <c r="U204" s="201" t="str">
        <f aca="false">IF(A205="","",T204)</f>
        <v/>
      </c>
      <c r="V204" s="225" t="str">
        <f aca="false">IF($A205="","",IF(AND(MONTH(A204)&gt;3,MONTH(A204)&lt;11),(T204+R204+G204)*Summary!$T$9/(1-Summary!$T$9),(T204+R204+G204)*Summary!$U$9/(1-Summary!$U$9)))</f>
        <v/>
      </c>
      <c r="W204" s="200" t="str">
        <f aca="false">IF($A205="","",(T204+R204+G204+V204))</f>
        <v/>
      </c>
      <c r="X204" s="200" t="str">
        <f aca="false">IF($A205="","",(U204+S204+H204+V204))</f>
        <v/>
      </c>
      <c r="Y204" s="202"/>
      <c r="Z204" s="185" t="str">
        <f aca="false">IF($A205="","",VLOOKUP($A204,Table,MATCH(Z$4,Curves,0)))</f>
        <v/>
      </c>
      <c r="AA204" s="185" t="str">
        <f aca="false">IF($A205="","",VLOOKUP($A204,Table,MATCH(AA$4,Curves,0)))</f>
        <v/>
      </c>
      <c r="AB204" s="185" t="e">
        <f aca="false">SQRT((AA204^2*(A204-$D$3)+Z204^2*(DAY(EOMONTH(A204,0))/2))/AK204)</f>
        <v>#VALUE!</v>
      </c>
      <c r="AC204" s="185" t="str">
        <f aca="false">IF($A205="","",VLOOKUP($A204,Table,MATCH(AC$4,Curves,0)))</f>
        <v/>
      </c>
      <c r="AD204" s="185" t="str">
        <f aca="false">IF($A205="","",VLOOKUP($A204,Table,MATCH(AD$4,Curves,0)))</f>
        <v/>
      </c>
      <c r="AE204" s="185" t="e">
        <f aca="false">SQRT((AD204^2*(A204-$D$3)+AC204^2*(DAY(EOMONTH(A204,0))/2))/AK204)</f>
        <v>#VALUE!</v>
      </c>
      <c r="AF204" s="224" t="e">
        <f aca="false">((Summary!$N$9*(AA204*AD204)*(A204-$D$3))+(Summary!$M$9*Z204*AC204*(AJ204-EOMONTH(EDATE(A204,-1),0))))/(AK204*AB204*AE204)</f>
        <v>#VALUE!</v>
      </c>
      <c r="AG204" s="207" t="str">
        <f aca="false">IF($A205="","",Summary!$Q$9)</f>
        <v/>
      </c>
      <c r="AH204" s="207" t="str">
        <f aca="false">IF($A205="","",IF(Summary!$R$9="Y",VLOOKUP($A204,Summary!$AD$6:$AF$9,3)+'Escalating commodity'!E217,'Escalating commodity'!E217))</f>
        <v/>
      </c>
      <c r="AI204" s="207" t="str">
        <f aca="false">IF($A205="","",AH204)</f>
        <v/>
      </c>
      <c r="AJ204" s="208" t="e">
        <f aca="false">A204+DAY(EOMONTH(A204,0))/2-1</f>
        <v>#VALUE!</v>
      </c>
      <c r="AK204" s="209" t="str">
        <f aca="false">IF($A205="","",$A204-$E$1)</f>
        <v/>
      </c>
      <c r="AL204" s="182" t="str">
        <f aca="false">IF($A205="","",SPRDOPT(P204,X204,AI204,0,AB204,AE204,AF204,AK204,$AJ$2,0))</f>
        <v/>
      </c>
      <c r="AM204" s="211" t="str">
        <f aca="false">IF($A205="","",MAX(0,O204-W204-AI204))</f>
        <v/>
      </c>
      <c r="AN204" s="211" t="str">
        <f aca="false">IF($A205="","",AL204-AM204)</f>
        <v/>
      </c>
      <c r="AO204" s="137" t="str">
        <f aca="false">IF(A205="","",A205-A204)</f>
        <v/>
      </c>
      <c r="AP204" s="212" t="str">
        <f aca="false">IF(A205="","",CHOOSE(F$3,A205+24,A204))</f>
        <v/>
      </c>
      <c r="AQ204" s="209" t="str">
        <f aca="false">IF(A205="","",AP204-$E$1)</f>
        <v/>
      </c>
      <c r="AR204" s="185" t="n">
        <f aca="false">'ANR OK vs ML7'!AR204</f>
        <v>0.1</v>
      </c>
      <c r="AS204" s="213" t="str">
        <f aca="false">IF(A205="","",1/(1+CHOOSE(F$3,(AR205+($I$3/10000))/2,(AR204+($I$3/10000))/2))^(2*AQ204/365.25))</f>
        <v/>
      </c>
      <c r="AT204" s="137" t="str">
        <f aca="false">IF(A205="","",IF(AND(mthbeg&lt;=A204,mthend&gt;=A204),1,0))</f>
        <v/>
      </c>
      <c r="AU204" s="137" t="str">
        <f aca="false">IF(A205="","",AO204*AT204)</f>
        <v/>
      </c>
      <c r="AW204" s="195" t="str">
        <f aca="false">IF($A205="","",AL204*$E204)</f>
        <v/>
      </c>
      <c r="AX204" s="195" t="str">
        <f aca="false">IF($A205="","",AM204*$E204)</f>
        <v/>
      </c>
      <c r="AY204" s="195" t="str">
        <f aca="false">IF($A205="","",AN204*$E204)</f>
        <v/>
      </c>
      <c r="BA204" s="195" t="str">
        <f aca="false">IF($A205="","",F204*Summary!$Q$9)</f>
        <v/>
      </c>
    </row>
    <row r="205" customFormat="false" ht="12" hidden="false" customHeight="true" outlineLevel="0" collapsed="false">
      <c r="A205" s="196" t="str">
        <f aca="false">IF(A204&lt;mthend,EDATE(A204,1),"")</f>
        <v/>
      </c>
      <c r="B205" s="197" t="str">
        <f aca="false">IF(A205&lt;mthend,B204,"")</f>
        <v/>
      </c>
      <c r="C205" s="215"/>
      <c r="D205" s="197" t="str">
        <f aca="false">IF(A206&lt;&gt;"",B205+C205,"")</f>
        <v/>
      </c>
      <c r="E205" s="199" t="str">
        <f aca="false">IF(A206="","",IF(AND(AT205=1,$H$3=1),D205*AO205,IF($H$3=2,D205,"N/A")))</f>
        <v/>
      </c>
      <c r="F205" s="199" t="str">
        <f aca="false">IF(A206="","",E205*AS205)</f>
        <v/>
      </c>
      <c r="G205" s="200" t="str">
        <f aca="false">IF($A206="","",VLOOKUP($A205,Table,MATCH(G$4,Curves,0)))</f>
        <v/>
      </c>
      <c r="H205" s="201" t="str">
        <f aca="false">IF(A206="","",G205)</f>
        <v/>
      </c>
      <c r="I205" s="202"/>
      <c r="J205" s="200" t="str">
        <f aca="false">IF($A206="","",VLOOKUP($A205,Table,MATCH(J$4,Curves,0)))</f>
        <v/>
      </c>
      <c r="K205" s="201" t="str">
        <f aca="false">IF(A206="","",J205)</f>
        <v/>
      </c>
      <c r="L205" s="200" t="str">
        <f aca="false">IF($A206="","",VLOOKUP($A205,Table,MATCH(L$4,Curves,0)))</f>
        <v/>
      </c>
      <c r="M205" s="201" t="str">
        <f aca="false">IF(A206="","",L205)</f>
        <v/>
      </c>
      <c r="N205" s="203"/>
      <c r="O205" s="200" t="str">
        <f aca="false">IF(A206="","",L205+J205+G205)</f>
        <v/>
      </c>
      <c r="P205" s="200" t="str">
        <f aca="false">IF(A206="","",M205+K205+H205)</f>
        <v/>
      </c>
      <c r="Q205" s="204"/>
      <c r="R205" s="200" t="str">
        <f aca="false">IF($A206="","",VLOOKUP($A205,Table,MATCH(R$4,Curves,0)))</f>
        <v/>
      </c>
      <c r="S205" s="201" t="str">
        <f aca="false">IF(A206="","",R205)</f>
        <v/>
      </c>
      <c r="T205" s="200" t="str">
        <f aca="false">IF($A206="","",VLOOKUP($A205,Table,MATCH(T$4,Curves,0)))</f>
        <v/>
      </c>
      <c r="U205" s="201" t="str">
        <f aca="false">IF(A206="","",T205)</f>
        <v/>
      </c>
      <c r="V205" s="225" t="str">
        <f aca="false">IF($A206="","",IF(AND(MONTH(A205)&gt;3,MONTH(A205)&lt;11),(T205+R205+G205)*Summary!$T$9/(1-Summary!$T$9),(T205+R205+G205)*Summary!$U$9/(1-Summary!$U$9)))</f>
        <v/>
      </c>
      <c r="W205" s="200" t="str">
        <f aca="false">IF($A206="","",(T205+R205+G205+V205))</f>
        <v/>
      </c>
      <c r="X205" s="200" t="str">
        <f aca="false">IF($A206="","",(U205+S205+H205+V205))</f>
        <v/>
      </c>
      <c r="Y205" s="202"/>
      <c r="Z205" s="185" t="str">
        <f aca="false">IF($A206="","",VLOOKUP($A205,Table,MATCH(Z$4,Curves,0)))</f>
        <v/>
      </c>
      <c r="AA205" s="185" t="str">
        <f aca="false">IF($A206="","",VLOOKUP($A205,Table,MATCH(AA$4,Curves,0)))</f>
        <v/>
      </c>
      <c r="AB205" s="185" t="e">
        <f aca="false">SQRT((AA205^2*(A205-$D$3)+Z205^2*(DAY(EOMONTH(A205,0))/2))/AK205)</f>
        <v>#VALUE!</v>
      </c>
      <c r="AC205" s="185" t="str">
        <f aca="false">IF($A206="","",VLOOKUP($A205,Table,MATCH(AC$4,Curves,0)))</f>
        <v/>
      </c>
      <c r="AD205" s="185" t="str">
        <f aca="false">IF($A206="","",VLOOKUP($A205,Table,MATCH(AD$4,Curves,0)))</f>
        <v/>
      </c>
      <c r="AE205" s="185" t="e">
        <f aca="false">SQRT((AD205^2*(A205-$D$3)+AC205^2*(DAY(EOMONTH(A205,0))/2))/AK205)</f>
        <v>#VALUE!</v>
      </c>
      <c r="AF205" s="224" t="e">
        <f aca="false">((Summary!$N$9*(AA205*AD205)*(A205-$D$3))+(Summary!$M$9*Z205*AC205*(AJ205-EOMONTH(EDATE(A205,-1),0))))/(AK205*AB205*AE205)</f>
        <v>#VALUE!</v>
      </c>
      <c r="AG205" s="207" t="str">
        <f aca="false">IF($A206="","",Summary!$Q$9)</f>
        <v/>
      </c>
      <c r="AH205" s="207" t="str">
        <f aca="false">IF($A206="","",IF(Summary!$R$9="Y",VLOOKUP($A205,Summary!$AD$6:$AF$9,3)+'Escalating commodity'!E218,'Escalating commodity'!E218))</f>
        <v/>
      </c>
      <c r="AI205" s="207" t="str">
        <f aca="false">IF($A206="","",AH205)</f>
        <v/>
      </c>
      <c r="AJ205" s="208" t="e">
        <f aca="false">A205+DAY(EOMONTH(A205,0))/2-1</f>
        <v>#VALUE!</v>
      </c>
      <c r="AK205" s="209" t="str">
        <f aca="false">IF($A206="","",$A205-$E$1)</f>
        <v/>
      </c>
      <c r="AL205" s="182" t="str">
        <f aca="false">IF($A206="","",SPRDOPT(P205,X205,AI205,0,AB205,AE205,AF205,AK205,$AJ$2,0))</f>
        <v/>
      </c>
      <c r="AM205" s="211" t="str">
        <f aca="false">IF($A206="","",MAX(0,O205-W205-AI205))</f>
        <v/>
      </c>
      <c r="AN205" s="211" t="str">
        <f aca="false">IF($A206="","",AL205-AM205)</f>
        <v/>
      </c>
      <c r="AO205" s="137" t="str">
        <f aca="false">IF(A206="","",A206-A205)</f>
        <v/>
      </c>
      <c r="AP205" s="212" t="str">
        <f aca="false">IF(A206="","",CHOOSE(F$3,A206+24,A205))</f>
        <v/>
      </c>
      <c r="AQ205" s="209" t="str">
        <f aca="false">IF(A206="","",AP205-$E$1)</f>
        <v/>
      </c>
      <c r="AR205" s="185" t="n">
        <f aca="false">'ANR OK vs ML7'!AR205</f>
        <v>0.1</v>
      </c>
      <c r="AS205" s="213" t="str">
        <f aca="false">IF(A206="","",1/(1+CHOOSE(F$3,(AR206+($I$3/10000))/2,(AR205+($I$3/10000))/2))^(2*AQ205/365.25))</f>
        <v/>
      </c>
      <c r="AT205" s="137" t="str">
        <f aca="false">IF(A206="","",IF(AND(mthbeg&lt;=A205,mthend&gt;=A205),1,0))</f>
        <v/>
      </c>
      <c r="AU205" s="137" t="str">
        <f aca="false">IF(A206="","",AO205*AT205)</f>
        <v/>
      </c>
      <c r="AW205" s="195" t="str">
        <f aca="false">IF($A206="","",AL205*$E205)</f>
        <v/>
      </c>
      <c r="AX205" s="195" t="str">
        <f aca="false">IF($A206="","",AM205*$E205)</f>
        <v/>
      </c>
      <c r="AY205" s="195" t="str">
        <f aca="false">IF($A206="","",AN205*$E205)</f>
        <v/>
      </c>
      <c r="BA205" s="195" t="str">
        <f aca="false">IF($A206="","",F205*Summary!$Q$9)</f>
        <v/>
      </c>
    </row>
    <row r="206" customFormat="false" ht="12" hidden="false" customHeight="true" outlineLevel="0" collapsed="false">
      <c r="A206" s="196" t="str">
        <f aca="false">IF(A205&lt;mthend,EDATE(A205,1),"")</f>
        <v/>
      </c>
      <c r="B206" s="197" t="str">
        <f aca="false">IF(A206&lt;mthend,B205,"")</f>
        <v/>
      </c>
      <c r="C206" s="215"/>
      <c r="D206" s="197" t="str">
        <f aca="false">IF(A207&lt;&gt;"",B206+C206,"")</f>
        <v/>
      </c>
      <c r="E206" s="199" t="str">
        <f aca="false">IF(A207="","",IF(AND(AT206=1,$H$3=1),D206*AO206,IF($H$3=2,D206,"N/A")))</f>
        <v/>
      </c>
      <c r="F206" s="199" t="str">
        <f aca="false">IF(A207="","",E206*AS206)</f>
        <v/>
      </c>
      <c r="G206" s="200" t="str">
        <f aca="false">IF($A207="","",VLOOKUP($A206,Table,MATCH(G$4,Curves,0)))</f>
        <v/>
      </c>
      <c r="H206" s="201" t="str">
        <f aca="false">IF(A207="","",G206)</f>
        <v/>
      </c>
      <c r="I206" s="202"/>
      <c r="J206" s="200" t="str">
        <f aca="false">IF($A207="","",VLOOKUP($A206,Table,MATCH(J$4,Curves,0)))</f>
        <v/>
      </c>
      <c r="K206" s="201" t="str">
        <f aca="false">IF(A207="","",J206)</f>
        <v/>
      </c>
      <c r="L206" s="200" t="str">
        <f aca="false">IF($A207="","",VLOOKUP($A206,Table,MATCH(L$4,Curves,0)))</f>
        <v/>
      </c>
      <c r="M206" s="201" t="str">
        <f aca="false">IF(A207="","",L206)</f>
        <v/>
      </c>
      <c r="N206" s="203"/>
      <c r="O206" s="200" t="str">
        <f aca="false">IF(A207="","",L206+J206+G206)</f>
        <v/>
      </c>
      <c r="P206" s="200" t="str">
        <f aca="false">IF(A207="","",M206+K206+H206)</f>
        <v/>
      </c>
      <c r="Q206" s="204"/>
      <c r="R206" s="200" t="str">
        <f aca="false">IF($A207="","",VLOOKUP($A206,Table,MATCH(R$4,Curves,0)))</f>
        <v/>
      </c>
      <c r="S206" s="201" t="str">
        <f aca="false">IF(A207="","",R206)</f>
        <v/>
      </c>
      <c r="T206" s="200" t="str">
        <f aca="false">IF($A207="","",VLOOKUP($A206,Table,MATCH(T$4,Curves,0)))</f>
        <v/>
      </c>
      <c r="U206" s="201" t="str">
        <f aca="false">IF(A207="","",T206)</f>
        <v/>
      </c>
      <c r="V206" s="225" t="str">
        <f aca="false">IF($A207="","",IF(AND(MONTH(A206)&gt;3,MONTH(A206)&lt;11),(T206+R206+G206)*Summary!$T$9/(1-Summary!$T$9),(T206+R206+G206)*Summary!$U$9/(1-Summary!$U$9)))</f>
        <v/>
      </c>
      <c r="W206" s="200" t="str">
        <f aca="false">IF($A207="","",(T206+R206+G206+V206))</f>
        <v/>
      </c>
      <c r="X206" s="200" t="str">
        <f aca="false">IF($A207="","",(U206+S206+H206+V206))</f>
        <v/>
      </c>
      <c r="Y206" s="202"/>
      <c r="Z206" s="185" t="str">
        <f aca="false">IF($A207="","",VLOOKUP($A206,Table,MATCH(Z$4,Curves,0)))</f>
        <v/>
      </c>
      <c r="AA206" s="185" t="str">
        <f aca="false">IF($A207="","",VLOOKUP($A206,Table,MATCH(AA$4,Curves,0)))</f>
        <v/>
      </c>
      <c r="AB206" s="185" t="e">
        <f aca="false">SQRT((AA206^2*(A206-$D$3)+Z206^2*(DAY(EOMONTH(A206,0))/2))/AK206)</f>
        <v>#VALUE!</v>
      </c>
      <c r="AC206" s="185" t="str">
        <f aca="false">IF($A207="","",VLOOKUP($A206,Table,MATCH(AC$4,Curves,0)))</f>
        <v/>
      </c>
      <c r="AD206" s="185" t="str">
        <f aca="false">IF($A207="","",VLOOKUP($A206,Table,MATCH(AD$4,Curves,0)))</f>
        <v/>
      </c>
      <c r="AE206" s="185" t="e">
        <f aca="false">SQRT((AD206^2*(A206-$D$3)+AC206^2*(DAY(EOMONTH(A206,0))/2))/AK206)</f>
        <v>#VALUE!</v>
      </c>
      <c r="AF206" s="224" t="e">
        <f aca="false">((Summary!$N$9*(AA206*AD206)*(A206-$D$3))+(Summary!$M$9*Z206*AC206*(AJ206-EOMONTH(EDATE(A206,-1),0))))/(AK206*AB206*AE206)</f>
        <v>#VALUE!</v>
      </c>
      <c r="AG206" s="207" t="str">
        <f aca="false">IF($A207="","",Summary!$Q$9)</f>
        <v/>
      </c>
      <c r="AH206" s="207" t="str">
        <f aca="false">IF($A207="","",IF(Summary!$R$9="Y",VLOOKUP($A206,Summary!$AD$6:$AF$9,3)+'Escalating commodity'!E219,'Escalating commodity'!E219))</f>
        <v/>
      </c>
      <c r="AI206" s="207" t="str">
        <f aca="false">IF($A207="","",AH206)</f>
        <v/>
      </c>
      <c r="AJ206" s="208" t="e">
        <f aca="false">A206+DAY(EOMONTH(A206,0))/2-1</f>
        <v>#VALUE!</v>
      </c>
      <c r="AK206" s="209" t="str">
        <f aca="false">IF($A207="","",$A206-$E$1)</f>
        <v/>
      </c>
      <c r="AL206" s="182" t="str">
        <f aca="false">IF($A207="","",SPRDOPT(P206,X206,AI206,0,AB206,AE206,AF206,AK206,$AJ$2,0))</f>
        <v/>
      </c>
      <c r="AM206" s="211" t="str">
        <f aca="false">IF($A207="","",MAX(0,O206-W206-AI206))</f>
        <v/>
      </c>
      <c r="AN206" s="211" t="str">
        <f aca="false">IF($A207="","",AL206-AM206)</f>
        <v/>
      </c>
      <c r="AO206" s="137" t="str">
        <f aca="false">IF(A207="","",A207-A206)</f>
        <v/>
      </c>
      <c r="AP206" s="212" t="str">
        <f aca="false">IF(A207="","",CHOOSE(F$3,A207+24,A206))</f>
        <v/>
      </c>
      <c r="AQ206" s="209" t="str">
        <f aca="false">IF(A207="","",AP206-$E$1)</f>
        <v/>
      </c>
      <c r="AR206" s="185" t="n">
        <f aca="false">'ANR OK vs ML7'!AR206</f>
        <v>0.1</v>
      </c>
      <c r="AS206" s="213" t="str">
        <f aca="false">IF(A207="","",1/(1+CHOOSE(F$3,(AR207+($I$3/10000))/2,(AR206+($I$3/10000))/2))^(2*AQ206/365.25))</f>
        <v/>
      </c>
      <c r="AT206" s="137" t="str">
        <f aca="false">IF(A207="","",IF(AND(mthbeg&lt;=A206,mthend&gt;=A206),1,0))</f>
        <v/>
      </c>
      <c r="AU206" s="137" t="str">
        <f aca="false">IF(A207="","",AO206*AT206)</f>
        <v/>
      </c>
      <c r="AW206" s="195" t="str">
        <f aca="false">IF($A207="","",AL206*$E206)</f>
        <v/>
      </c>
      <c r="AX206" s="195" t="str">
        <f aca="false">IF($A207="","",AM206*$E206)</f>
        <v/>
      </c>
      <c r="AY206" s="195" t="str">
        <f aca="false">IF($A207="","",AN206*$E206)</f>
        <v/>
      </c>
      <c r="BA206" s="195" t="str">
        <f aca="false">IF($A207="","",F206*Summary!$Q$9)</f>
        <v/>
      </c>
    </row>
    <row r="207" customFormat="false" ht="12" hidden="false" customHeight="true" outlineLevel="0" collapsed="false">
      <c r="A207" s="196" t="str">
        <f aca="false">IF(A206&lt;mthend,EDATE(A206,1),"")</f>
        <v/>
      </c>
      <c r="B207" s="197" t="str">
        <f aca="false">IF(A207&lt;mthend,B206,"")</f>
        <v/>
      </c>
      <c r="C207" s="215"/>
      <c r="D207" s="197" t="str">
        <f aca="false">IF(A208&lt;&gt;"",B207+C207,"")</f>
        <v/>
      </c>
      <c r="E207" s="199" t="str">
        <f aca="false">IF(A208="","",IF(AND(AT207=1,$H$3=1),D207*AO207,IF($H$3=2,D207,"N/A")))</f>
        <v/>
      </c>
      <c r="F207" s="199" t="str">
        <f aca="false">IF(A208="","",E207*AS207)</f>
        <v/>
      </c>
      <c r="G207" s="200" t="str">
        <f aca="false">IF($A208="","",VLOOKUP($A207,Table,MATCH(G$4,Curves,0)))</f>
        <v/>
      </c>
      <c r="H207" s="201" t="str">
        <f aca="false">IF(A208="","",G207)</f>
        <v/>
      </c>
      <c r="I207" s="202"/>
      <c r="J207" s="200" t="str">
        <f aca="false">IF($A208="","",VLOOKUP($A207,Table,MATCH(J$4,Curves,0)))</f>
        <v/>
      </c>
      <c r="K207" s="201" t="str">
        <f aca="false">IF(A208="","",J207)</f>
        <v/>
      </c>
      <c r="L207" s="200" t="str">
        <f aca="false">IF($A208="","",VLOOKUP($A207,Table,MATCH(L$4,Curves,0)))</f>
        <v/>
      </c>
      <c r="M207" s="201" t="str">
        <f aca="false">IF(A208="","",L207)</f>
        <v/>
      </c>
      <c r="N207" s="203"/>
      <c r="O207" s="200" t="str">
        <f aca="false">IF(A208="","",L207+J207+G207)</f>
        <v/>
      </c>
      <c r="P207" s="200" t="str">
        <f aca="false">IF(A208="","",M207+K207+H207)</f>
        <v/>
      </c>
      <c r="Q207" s="204"/>
      <c r="R207" s="200" t="str">
        <f aca="false">IF($A208="","",VLOOKUP($A207,Table,MATCH(R$4,Curves,0)))</f>
        <v/>
      </c>
      <c r="S207" s="201" t="str">
        <f aca="false">IF(A208="","",R207)</f>
        <v/>
      </c>
      <c r="T207" s="200" t="str">
        <f aca="false">IF($A208="","",VLOOKUP($A207,Table,MATCH(T$4,Curves,0)))</f>
        <v/>
      </c>
      <c r="U207" s="201" t="str">
        <f aca="false">IF(A208="","",T207)</f>
        <v/>
      </c>
      <c r="V207" s="225" t="str">
        <f aca="false">IF($A208="","",IF(AND(MONTH(A207)&gt;3,MONTH(A207)&lt;11),(T207+R207+G207)*Summary!$T$9/(1-Summary!$T$9),(T207+R207+G207)*Summary!$U$9/(1-Summary!$U$9)))</f>
        <v/>
      </c>
      <c r="W207" s="200" t="str">
        <f aca="false">IF($A208="","",(T207+R207+G207+V207))</f>
        <v/>
      </c>
      <c r="X207" s="200" t="str">
        <f aca="false">IF($A208="","",(U207+S207+H207+V207))</f>
        <v/>
      </c>
      <c r="Y207" s="202"/>
      <c r="Z207" s="185" t="str">
        <f aca="false">IF($A208="","",VLOOKUP($A207,Table,MATCH(Z$4,Curves,0)))</f>
        <v/>
      </c>
      <c r="AA207" s="185" t="str">
        <f aca="false">IF($A208="","",VLOOKUP($A207,Table,MATCH(AA$4,Curves,0)))</f>
        <v/>
      </c>
      <c r="AB207" s="185" t="e">
        <f aca="false">SQRT((AA207^2*(A207-$D$3)+Z207^2*(DAY(EOMONTH(A207,0))/2))/AK207)</f>
        <v>#VALUE!</v>
      </c>
      <c r="AC207" s="185" t="str">
        <f aca="false">IF($A208="","",VLOOKUP($A207,Table,MATCH(AC$4,Curves,0)))</f>
        <v/>
      </c>
      <c r="AD207" s="185" t="str">
        <f aca="false">IF($A208="","",VLOOKUP($A207,Table,MATCH(AD$4,Curves,0)))</f>
        <v/>
      </c>
      <c r="AE207" s="185" t="e">
        <f aca="false">SQRT((AD207^2*(A207-$D$3)+AC207^2*(DAY(EOMONTH(A207,0))/2))/AK207)</f>
        <v>#VALUE!</v>
      </c>
      <c r="AF207" s="224" t="e">
        <f aca="false">((Summary!$N$9*(AA207*AD207)*(A207-$D$3))+(Summary!$M$9*Z207*AC207*(AJ207-EOMONTH(EDATE(A207,-1),0))))/(AK207*AB207*AE207)</f>
        <v>#VALUE!</v>
      </c>
      <c r="AG207" s="207" t="str">
        <f aca="false">IF($A208="","",Summary!$Q$9)</f>
        <v/>
      </c>
      <c r="AH207" s="207" t="str">
        <f aca="false">IF($A208="","",IF(Summary!$R$9="Y",VLOOKUP($A207,Summary!$AD$6:$AF$9,3)+'Escalating commodity'!E220,'Escalating commodity'!E220))</f>
        <v/>
      </c>
      <c r="AI207" s="207" t="str">
        <f aca="false">IF($A208="","",AH207)</f>
        <v/>
      </c>
      <c r="AJ207" s="208" t="e">
        <f aca="false">A207+DAY(EOMONTH(A207,0))/2-1</f>
        <v>#VALUE!</v>
      </c>
      <c r="AK207" s="209" t="str">
        <f aca="false">IF($A208="","",$A207-$E$1)</f>
        <v/>
      </c>
      <c r="AL207" s="182" t="str">
        <f aca="false">IF($A208="","",SPRDOPT(P207,X207,AI207,0,AB207,AE207,AF207,AK207,$AJ$2,0))</f>
        <v/>
      </c>
      <c r="AM207" s="211" t="str">
        <f aca="false">IF($A208="","",MAX(0,O207-W207-AI207))</f>
        <v/>
      </c>
      <c r="AN207" s="211" t="str">
        <f aca="false">IF($A208="","",AL207-AM207)</f>
        <v/>
      </c>
      <c r="AO207" s="137" t="str">
        <f aca="false">IF(A208="","",A208-A207)</f>
        <v/>
      </c>
      <c r="AP207" s="212" t="str">
        <f aca="false">IF(A208="","",CHOOSE(F$3,A208+24,A207))</f>
        <v/>
      </c>
      <c r="AQ207" s="209" t="str">
        <f aca="false">IF(A208="","",AP207-$E$1)</f>
        <v/>
      </c>
      <c r="AR207" s="185" t="n">
        <f aca="false">'ANR OK vs ML7'!AR207</f>
        <v>0.1</v>
      </c>
      <c r="AS207" s="213" t="str">
        <f aca="false">IF(A208="","",1/(1+CHOOSE(F$3,(AR208+($I$3/10000))/2,(AR207+($I$3/10000))/2))^(2*AQ207/365.25))</f>
        <v/>
      </c>
      <c r="AT207" s="137" t="str">
        <f aca="false">IF(A208="","",IF(AND(mthbeg&lt;=A207,mthend&gt;=A207),1,0))</f>
        <v/>
      </c>
      <c r="AU207" s="137" t="str">
        <f aca="false">IF(A208="","",AO207*AT207)</f>
        <v/>
      </c>
      <c r="AW207" s="195" t="str">
        <f aca="false">IF($A208="","",AL207*$E207)</f>
        <v/>
      </c>
      <c r="AX207" s="195" t="str">
        <f aca="false">IF($A208="","",AM207*$E207)</f>
        <v/>
      </c>
      <c r="AY207" s="195" t="str">
        <f aca="false">IF($A208="","",AN207*$E207)</f>
        <v/>
      </c>
      <c r="BA207" s="195" t="str">
        <f aca="false">IF($A208="","",F207*Summary!$Q$9)</f>
        <v/>
      </c>
    </row>
    <row r="208" customFormat="false" ht="12" hidden="false" customHeight="true" outlineLevel="0" collapsed="false">
      <c r="A208" s="196" t="str">
        <f aca="false">IF(A207&lt;mthend,EDATE(A207,1),"")</f>
        <v/>
      </c>
      <c r="B208" s="197" t="str">
        <f aca="false">IF(A208&lt;mthend,B207,"")</f>
        <v/>
      </c>
      <c r="C208" s="215"/>
      <c r="D208" s="197" t="str">
        <f aca="false">IF(A209&lt;&gt;"",B208+C208,"")</f>
        <v/>
      </c>
      <c r="E208" s="199" t="str">
        <f aca="false">IF(A209="","",IF(AND(AT208=1,$H$3=1),D208*AO208,IF($H$3=2,D208,"N/A")))</f>
        <v/>
      </c>
      <c r="F208" s="199" t="str">
        <f aca="false">IF(A209="","",E208*AS208)</f>
        <v/>
      </c>
      <c r="G208" s="200" t="str">
        <f aca="false">IF($A209="","",VLOOKUP($A208,Table,MATCH(G$4,Curves,0)))</f>
        <v/>
      </c>
      <c r="H208" s="201" t="str">
        <f aca="false">IF(A209="","",G208)</f>
        <v/>
      </c>
      <c r="I208" s="202"/>
      <c r="J208" s="200" t="str">
        <f aca="false">IF($A209="","",VLOOKUP($A208,Table,MATCH(J$4,Curves,0)))</f>
        <v/>
      </c>
      <c r="K208" s="201" t="str">
        <f aca="false">IF(A209="","",J208)</f>
        <v/>
      </c>
      <c r="L208" s="200" t="str">
        <f aca="false">IF($A209="","",VLOOKUP($A208,Table,MATCH(L$4,Curves,0)))</f>
        <v/>
      </c>
      <c r="M208" s="201" t="str">
        <f aca="false">IF(A209="","",L208)</f>
        <v/>
      </c>
      <c r="N208" s="203"/>
      <c r="O208" s="200" t="str">
        <f aca="false">IF(A209="","",L208+J208+G208)</f>
        <v/>
      </c>
      <c r="P208" s="200" t="str">
        <f aca="false">IF(A209="","",M208+K208+H208)</f>
        <v/>
      </c>
      <c r="Q208" s="204"/>
      <c r="R208" s="200" t="str">
        <f aca="false">IF($A209="","",VLOOKUP($A208,Table,MATCH(R$4,Curves,0)))</f>
        <v/>
      </c>
      <c r="S208" s="201" t="str">
        <f aca="false">IF(A209="","",R208)</f>
        <v/>
      </c>
      <c r="T208" s="200" t="str">
        <f aca="false">IF($A209="","",VLOOKUP($A208,Table,MATCH(T$4,Curves,0)))</f>
        <v/>
      </c>
      <c r="U208" s="201" t="str">
        <f aca="false">IF(A209="","",T208)</f>
        <v/>
      </c>
      <c r="V208" s="225" t="str">
        <f aca="false">IF($A209="","",IF(AND(MONTH(A208)&gt;3,MONTH(A208)&lt;11),(T208+R208+G208)*Summary!$T$9/(1-Summary!$T$9),(T208+R208+G208)*Summary!$U$9/(1-Summary!$U$9)))</f>
        <v/>
      </c>
      <c r="W208" s="200" t="str">
        <f aca="false">IF($A209="","",(T208+R208+G208+V208))</f>
        <v/>
      </c>
      <c r="X208" s="200" t="str">
        <f aca="false">IF($A209="","",(U208+S208+H208+V208))</f>
        <v/>
      </c>
      <c r="Y208" s="202"/>
      <c r="Z208" s="185" t="str">
        <f aca="false">IF($A209="","",VLOOKUP($A208,Table,MATCH(Z$4,Curves,0)))</f>
        <v/>
      </c>
      <c r="AA208" s="185" t="str">
        <f aca="false">IF($A209="","",VLOOKUP($A208,Table,MATCH(AA$4,Curves,0)))</f>
        <v/>
      </c>
      <c r="AB208" s="185" t="e">
        <f aca="false">SQRT((AA208^2*(A208-$D$3)+Z208^2*(DAY(EOMONTH(A208,0))/2))/AK208)</f>
        <v>#VALUE!</v>
      </c>
      <c r="AC208" s="185" t="str">
        <f aca="false">IF($A209="","",VLOOKUP($A208,Table,MATCH(AC$4,Curves,0)))</f>
        <v/>
      </c>
      <c r="AD208" s="185" t="str">
        <f aca="false">IF($A209="","",VLOOKUP($A208,Table,MATCH(AD$4,Curves,0)))</f>
        <v/>
      </c>
      <c r="AE208" s="185" t="e">
        <f aca="false">SQRT((AD208^2*(A208-$D$3)+AC208^2*(DAY(EOMONTH(A208,0))/2))/AK208)</f>
        <v>#VALUE!</v>
      </c>
      <c r="AF208" s="224" t="e">
        <f aca="false">((Summary!$N$9*(AA208*AD208)*(A208-$D$3))+(Summary!$M$9*Z208*AC208*(AJ208-EOMONTH(EDATE(A208,-1),0))))/(AK208*AB208*AE208)</f>
        <v>#VALUE!</v>
      </c>
      <c r="AG208" s="207" t="str">
        <f aca="false">IF($A209="","",Summary!$Q$9)</f>
        <v/>
      </c>
      <c r="AH208" s="207" t="str">
        <f aca="false">IF($A209="","",IF(Summary!$R$9="Y",VLOOKUP($A208,Summary!$AD$6:$AF$9,3)+'Escalating commodity'!E221,'Escalating commodity'!E221))</f>
        <v/>
      </c>
      <c r="AI208" s="207" t="str">
        <f aca="false">IF($A209="","",AH208)</f>
        <v/>
      </c>
      <c r="AJ208" s="208" t="e">
        <f aca="false">A208+DAY(EOMONTH(A208,0))/2-1</f>
        <v>#VALUE!</v>
      </c>
      <c r="AK208" s="209" t="str">
        <f aca="false">IF($A209="","",$A208-$E$1)</f>
        <v/>
      </c>
      <c r="AL208" s="182" t="str">
        <f aca="false">IF($A209="","",SPRDOPT(P208,X208,AI208,0,AB208,AE208,AF208,AK208,$AJ$2,0))</f>
        <v/>
      </c>
      <c r="AM208" s="211" t="str">
        <f aca="false">IF($A209="","",MAX(0,O208-W208-AI208))</f>
        <v/>
      </c>
      <c r="AN208" s="211" t="str">
        <f aca="false">IF($A209="","",AL208-AM208)</f>
        <v/>
      </c>
      <c r="AO208" s="137" t="str">
        <f aca="false">IF(A209="","",A209-A208)</f>
        <v/>
      </c>
      <c r="AP208" s="212" t="str">
        <f aca="false">IF(A209="","",CHOOSE(F$3,A209+24,A208))</f>
        <v/>
      </c>
      <c r="AQ208" s="209" t="str">
        <f aca="false">IF(A209="","",AP208-$E$1)</f>
        <v/>
      </c>
      <c r="AR208" s="185" t="n">
        <f aca="false">'ANR OK vs ML7'!AR208</f>
        <v>0.1</v>
      </c>
      <c r="AS208" s="213" t="str">
        <f aca="false">IF(A209="","",1/(1+CHOOSE(F$3,(AR209+($I$3/10000))/2,(AR208+($I$3/10000))/2))^(2*AQ208/365.25))</f>
        <v/>
      </c>
      <c r="AT208" s="137" t="str">
        <f aca="false">IF(A209="","",IF(AND(mthbeg&lt;=A208,mthend&gt;=A208),1,0))</f>
        <v/>
      </c>
      <c r="AU208" s="137" t="str">
        <f aca="false">IF(A209="","",AO208*AT208)</f>
        <v/>
      </c>
      <c r="AW208" s="195" t="str">
        <f aca="false">IF($A209="","",AL208*$E208)</f>
        <v/>
      </c>
      <c r="AX208" s="195" t="str">
        <f aca="false">IF($A209="","",AM208*$E208)</f>
        <v/>
      </c>
      <c r="AY208" s="195" t="str">
        <f aca="false">IF($A209="","",AN208*$E208)</f>
        <v/>
      </c>
      <c r="BA208" s="195" t="str">
        <f aca="false">IF($A209="","",F208*Summary!$Q$9)</f>
        <v/>
      </c>
    </row>
    <row r="209" customFormat="false" ht="12" hidden="false" customHeight="true" outlineLevel="0" collapsed="false">
      <c r="A209" s="196" t="str">
        <f aca="false">IF(A208&lt;mthend,EDATE(A208,1),"")</f>
        <v/>
      </c>
      <c r="B209" s="197" t="str">
        <f aca="false">IF(A209&lt;mthend,B208,"")</f>
        <v/>
      </c>
      <c r="C209" s="215"/>
      <c r="D209" s="197" t="str">
        <f aca="false">IF(A210&lt;&gt;"",B209+C209,"")</f>
        <v/>
      </c>
      <c r="E209" s="199" t="str">
        <f aca="false">IF(A210="","",IF(AND(AT209=1,$H$3=1),D209*AO209,IF($H$3=2,D209,"N/A")))</f>
        <v/>
      </c>
      <c r="F209" s="199" t="str">
        <f aca="false">IF(A210="","",E209*AS209)</f>
        <v/>
      </c>
      <c r="G209" s="200" t="str">
        <f aca="false">IF($A210="","",VLOOKUP($A209,Table,MATCH(G$4,Curves,0)))</f>
        <v/>
      </c>
      <c r="H209" s="201" t="str">
        <f aca="false">IF(A210="","",G209)</f>
        <v/>
      </c>
      <c r="I209" s="202"/>
      <c r="J209" s="200" t="str">
        <f aca="false">IF($A210="","",VLOOKUP($A209,Table,MATCH(J$4,Curves,0)))</f>
        <v/>
      </c>
      <c r="K209" s="201" t="str">
        <f aca="false">IF(A210="","",J209)</f>
        <v/>
      </c>
      <c r="L209" s="200" t="str">
        <f aca="false">IF($A210="","",VLOOKUP($A209,Table,MATCH(L$4,Curves,0)))</f>
        <v/>
      </c>
      <c r="M209" s="201" t="str">
        <f aca="false">IF(A210="","",L209)</f>
        <v/>
      </c>
      <c r="N209" s="203"/>
      <c r="O209" s="200" t="str">
        <f aca="false">IF(A210="","",L209+J209+G209)</f>
        <v/>
      </c>
      <c r="P209" s="200" t="str">
        <f aca="false">IF(A210="","",M209+K209+H209)</f>
        <v/>
      </c>
      <c r="Q209" s="204"/>
      <c r="R209" s="200" t="str">
        <f aca="false">IF($A210="","",VLOOKUP($A209,Table,MATCH(R$4,Curves,0)))</f>
        <v/>
      </c>
      <c r="S209" s="201" t="str">
        <f aca="false">IF(A210="","",R209)</f>
        <v/>
      </c>
      <c r="T209" s="200" t="str">
        <f aca="false">IF($A210="","",VLOOKUP($A209,Table,MATCH(T$4,Curves,0)))</f>
        <v/>
      </c>
      <c r="U209" s="201" t="str">
        <f aca="false">IF(A210="","",T209)</f>
        <v/>
      </c>
      <c r="V209" s="225" t="str">
        <f aca="false">IF($A210="","",IF(AND(MONTH(A209)&gt;3,MONTH(A209)&lt;11),(T209+R209+G209)*Summary!$T$9/(1-Summary!$T$9),(T209+R209+G209)*Summary!$U$9/(1-Summary!$U$9)))</f>
        <v/>
      </c>
      <c r="W209" s="200" t="str">
        <f aca="false">IF($A210="","",(T209+R209+G209+V209))</f>
        <v/>
      </c>
      <c r="X209" s="200" t="str">
        <f aca="false">IF($A210="","",(U209+S209+H209+V209))</f>
        <v/>
      </c>
      <c r="Y209" s="202"/>
      <c r="Z209" s="185" t="str">
        <f aca="false">IF($A210="","",VLOOKUP($A209,Table,MATCH(Z$4,Curves,0)))</f>
        <v/>
      </c>
      <c r="AA209" s="185" t="str">
        <f aca="false">IF($A210="","",VLOOKUP($A209,Table,MATCH(AA$4,Curves,0)))</f>
        <v/>
      </c>
      <c r="AB209" s="185" t="e">
        <f aca="false">SQRT((AA209^2*(A209-$D$3)+Z209^2*(DAY(EOMONTH(A209,0))/2))/AK209)</f>
        <v>#VALUE!</v>
      </c>
      <c r="AC209" s="185" t="str">
        <f aca="false">IF($A210="","",VLOOKUP($A209,Table,MATCH(AC$4,Curves,0)))</f>
        <v/>
      </c>
      <c r="AD209" s="185" t="str">
        <f aca="false">IF($A210="","",VLOOKUP($A209,Table,MATCH(AD$4,Curves,0)))</f>
        <v/>
      </c>
      <c r="AE209" s="185" t="e">
        <f aca="false">SQRT((AD209^2*(A209-$D$3)+AC209^2*(DAY(EOMONTH(A209,0))/2))/AK209)</f>
        <v>#VALUE!</v>
      </c>
      <c r="AF209" s="224" t="e">
        <f aca="false">((Summary!$N$9*(AA209*AD209)*(A209-$D$3))+(Summary!$M$9*Z209*AC209*(AJ209-EOMONTH(EDATE(A209,-1),0))))/(AK209*AB209*AE209)</f>
        <v>#VALUE!</v>
      </c>
      <c r="AG209" s="207" t="str">
        <f aca="false">IF($A210="","",Summary!$Q$9)</f>
        <v/>
      </c>
      <c r="AH209" s="207" t="str">
        <f aca="false">IF($A210="","",IF(Summary!$R$9="Y",VLOOKUP($A209,Summary!$AD$6:$AF$9,3)+'Escalating commodity'!E222,'Escalating commodity'!E222))</f>
        <v/>
      </c>
      <c r="AI209" s="207" t="str">
        <f aca="false">IF($A210="","",AH209)</f>
        <v/>
      </c>
      <c r="AJ209" s="208" t="e">
        <f aca="false">A209+DAY(EOMONTH(A209,0))/2-1</f>
        <v>#VALUE!</v>
      </c>
      <c r="AK209" s="209" t="str">
        <f aca="false">IF($A210="","",$A209-$E$1)</f>
        <v/>
      </c>
      <c r="AL209" s="182" t="str">
        <f aca="false">IF($A210="","",SPRDOPT(P209,X209,AI209,0,AB209,AE209,AF209,AK209,$AJ$2,0))</f>
        <v/>
      </c>
      <c r="AM209" s="211" t="str">
        <f aca="false">IF($A210="","",MAX(0,O209-W209-AI209))</f>
        <v/>
      </c>
      <c r="AN209" s="211" t="str">
        <f aca="false">IF($A210="","",AL209-AM209)</f>
        <v/>
      </c>
      <c r="AO209" s="137" t="str">
        <f aca="false">IF(A210="","",A210-A209)</f>
        <v/>
      </c>
      <c r="AP209" s="212" t="str">
        <f aca="false">IF(A210="","",CHOOSE(F$3,A210+24,A209))</f>
        <v/>
      </c>
      <c r="AQ209" s="209" t="str">
        <f aca="false">IF(A210="","",AP209-$E$1)</f>
        <v/>
      </c>
      <c r="AR209" s="185" t="n">
        <f aca="false">'ANR OK vs ML7'!AR209</f>
        <v>0.1</v>
      </c>
      <c r="AS209" s="213" t="str">
        <f aca="false">IF(A210="","",1/(1+CHOOSE(F$3,(AR210+($I$3/10000))/2,(AR209+($I$3/10000))/2))^(2*AQ209/365.25))</f>
        <v/>
      </c>
      <c r="AT209" s="137" t="str">
        <f aca="false">IF(A210="","",IF(AND(mthbeg&lt;=A209,mthend&gt;=A209),1,0))</f>
        <v/>
      </c>
      <c r="AU209" s="137" t="str">
        <f aca="false">IF(A210="","",AO209*AT209)</f>
        <v/>
      </c>
      <c r="AW209" s="195" t="str">
        <f aca="false">IF($A210="","",AL209*$E209)</f>
        <v/>
      </c>
      <c r="AX209" s="195" t="str">
        <f aca="false">IF($A210="","",AM209*$E209)</f>
        <v/>
      </c>
      <c r="AY209" s="195" t="str">
        <f aca="false">IF($A210="","",AN209*$E209)</f>
        <v/>
      </c>
      <c r="BA209" s="195" t="str">
        <f aca="false">IF($A210="","",F209*Summary!$Q$9)</f>
        <v/>
      </c>
    </row>
    <row r="210" customFormat="false" ht="12" hidden="false" customHeight="true" outlineLevel="0" collapsed="false">
      <c r="A210" s="196" t="str">
        <f aca="false">IF(A209&lt;mthend,EDATE(A209,1),"")</f>
        <v/>
      </c>
      <c r="B210" s="197" t="str">
        <f aca="false">IF(A210&lt;mthend,B209,"")</f>
        <v/>
      </c>
      <c r="C210" s="215"/>
      <c r="D210" s="197" t="str">
        <f aca="false">IF(A211&lt;&gt;"",B210+C210,"")</f>
        <v/>
      </c>
      <c r="E210" s="199" t="str">
        <f aca="false">IF(A211="","",IF(AND(AT210=1,$H$3=1),D210*AO210,IF($H$3=2,D210,"N/A")))</f>
        <v/>
      </c>
      <c r="F210" s="199" t="str">
        <f aca="false">IF(A211="","",E210*AS210)</f>
        <v/>
      </c>
      <c r="G210" s="200" t="str">
        <f aca="false">IF($A211="","",VLOOKUP($A210,Table,MATCH(G$4,Curves,0)))</f>
        <v/>
      </c>
      <c r="H210" s="201" t="str">
        <f aca="false">IF(A211="","",G210)</f>
        <v/>
      </c>
      <c r="I210" s="202"/>
      <c r="J210" s="200" t="str">
        <f aca="false">IF($A211="","",VLOOKUP($A210,Table,MATCH(J$4,Curves,0)))</f>
        <v/>
      </c>
      <c r="K210" s="201" t="str">
        <f aca="false">IF(A211="","",J210)</f>
        <v/>
      </c>
      <c r="L210" s="200" t="str">
        <f aca="false">IF($A211="","",VLOOKUP($A210,Table,MATCH(L$4,Curves,0)))</f>
        <v/>
      </c>
      <c r="M210" s="201" t="str">
        <f aca="false">IF(A211="","",L210)</f>
        <v/>
      </c>
      <c r="N210" s="203"/>
      <c r="O210" s="200" t="str">
        <f aca="false">IF(A211="","",L210+J210+G210)</f>
        <v/>
      </c>
      <c r="P210" s="200" t="str">
        <f aca="false">IF(A211="","",M210+K210+H210)</f>
        <v/>
      </c>
      <c r="Q210" s="204"/>
      <c r="R210" s="200" t="str">
        <f aca="false">IF($A211="","",VLOOKUP($A210,Table,MATCH(R$4,Curves,0)))</f>
        <v/>
      </c>
      <c r="S210" s="201" t="str">
        <f aca="false">IF(A211="","",R210)</f>
        <v/>
      </c>
      <c r="T210" s="200" t="str">
        <f aca="false">IF($A211="","",VLOOKUP($A210,Table,MATCH(T$4,Curves,0)))</f>
        <v/>
      </c>
      <c r="U210" s="201" t="str">
        <f aca="false">IF(A211="","",T210)</f>
        <v/>
      </c>
      <c r="V210" s="225" t="str">
        <f aca="false">IF($A211="","",IF(AND(MONTH(A210)&gt;3,MONTH(A210)&lt;11),(T210+R210+G210)*Summary!$T$9/(1-Summary!$T$9),(T210+R210+G210)*Summary!$U$9/(1-Summary!$U$9)))</f>
        <v/>
      </c>
      <c r="W210" s="200" t="str">
        <f aca="false">IF($A211="","",(T210+R210+G210+V210))</f>
        <v/>
      </c>
      <c r="X210" s="200" t="str">
        <f aca="false">IF($A211="","",(U210+S210+H210+V210))</f>
        <v/>
      </c>
      <c r="Y210" s="202"/>
      <c r="Z210" s="185" t="str">
        <f aca="false">IF($A211="","",VLOOKUP($A210,Table,MATCH(Z$4,Curves,0)))</f>
        <v/>
      </c>
      <c r="AA210" s="185" t="str">
        <f aca="false">IF($A211="","",VLOOKUP($A210,Table,MATCH(AA$4,Curves,0)))</f>
        <v/>
      </c>
      <c r="AB210" s="185" t="e">
        <f aca="false">SQRT((AA210^2*(A210-$D$3)+Z210^2*(DAY(EOMONTH(A210,0))/2))/AK210)</f>
        <v>#VALUE!</v>
      </c>
      <c r="AC210" s="185" t="str">
        <f aca="false">IF($A211="","",VLOOKUP($A210,Table,MATCH(AC$4,Curves,0)))</f>
        <v/>
      </c>
      <c r="AD210" s="185" t="str">
        <f aca="false">IF($A211="","",VLOOKUP($A210,Table,MATCH(AD$4,Curves,0)))</f>
        <v/>
      </c>
      <c r="AE210" s="185" t="e">
        <f aca="false">SQRT((AD210^2*(A210-$D$3)+AC210^2*(DAY(EOMONTH(A210,0))/2))/AK210)</f>
        <v>#VALUE!</v>
      </c>
      <c r="AF210" s="224" t="e">
        <f aca="false">((Summary!$N$9*(AA210*AD210)*(A210-$D$3))+(Summary!$M$9*Z210*AC210*(AJ210-EOMONTH(EDATE(A210,-1),0))))/(AK210*AB210*AE210)</f>
        <v>#VALUE!</v>
      </c>
      <c r="AG210" s="207" t="str">
        <f aca="false">IF($A211="","",Summary!$Q$9)</f>
        <v/>
      </c>
      <c r="AH210" s="207" t="str">
        <f aca="false">IF($A211="","",IF(Summary!$R$9="Y",VLOOKUP($A210,Summary!$AD$6:$AF$9,3)+'Escalating commodity'!E223,'Escalating commodity'!E223))</f>
        <v/>
      </c>
      <c r="AI210" s="207" t="str">
        <f aca="false">IF($A211="","",AH210)</f>
        <v/>
      </c>
      <c r="AJ210" s="208" t="e">
        <f aca="false">A210+DAY(EOMONTH(A210,0))/2-1</f>
        <v>#VALUE!</v>
      </c>
      <c r="AK210" s="209" t="str">
        <f aca="false">IF($A211="","",$A210-$E$1)</f>
        <v/>
      </c>
      <c r="AL210" s="182" t="str">
        <f aca="false">IF($A211="","",SPRDOPT(P210,X210,AI210,0,AB210,AE210,AF210,AK210,$AJ$2,0))</f>
        <v/>
      </c>
      <c r="AM210" s="211" t="str">
        <f aca="false">IF($A211="","",MAX(0,O210-W210-AI210))</f>
        <v/>
      </c>
      <c r="AN210" s="211" t="str">
        <f aca="false">IF($A211="","",AL210-AM210)</f>
        <v/>
      </c>
      <c r="AO210" s="137" t="str">
        <f aca="false">IF(A211="","",A211-A210)</f>
        <v/>
      </c>
      <c r="AP210" s="212" t="str">
        <f aca="false">IF(A211="","",CHOOSE(F$3,A211+24,A210))</f>
        <v/>
      </c>
      <c r="AQ210" s="209" t="str">
        <f aca="false">IF(A211="","",AP210-$E$1)</f>
        <v/>
      </c>
      <c r="AR210" s="185" t="n">
        <f aca="false">'ANR OK vs ML7'!AR210</f>
        <v>0.1</v>
      </c>
      <c r="AS210" s="213" t="str">
        <f aca="false">IF(A211="","",1/(1+CHOOSE(F$3,(AR211+($I$3/10000))/2,(AR210+($I$3/10000))/2))^(2*AQ210/365.25))</f>
        <v/>
      </c>
      <c r="AT210" s="137" t="str">
        <f aca="false">IF(A211="","",IF(AND(mthbeg&lt;=A210,mthend&gt;=A210),1,0))</f>
        <v/>
      </c>
      <c r="AU210" s="137" t="str">
        <f aca="false">IF(A211="","",AO210*AT210)</f>
        <v/>
      </c>
      <c r="AW210" s="195" t="str">
        <f aca="false">IF($A211="","",AL210*$E210)</f>
        <v/>
      </c>
      <c r="AX210" s="195" t="str">
        <f aca="false">IF($A211="","",AM210*$E210)</f>
        <v/>
      </c>
      <c r="AY210" s="195" t="str">
        <f aca="false">IF($A211="","",AN210*$E210)</f>
        <v/>
      </c>
      <c r="BA210" s="195" t="str">
        <f aca="false">IF($A211="","",F210*Summary!$Q$9)</f>
        <v/>
      </c>
    </row>
    <row r="211" customFormat="false" ht="12" hidden="false" customHeight="true" outlineLevel="0" collapsed="false">
      <c r="A211" s="196" t="str">
        <f aca="false">IF(A210&lt;mthend,EDATE(A210,1),"")</f>
        <v/>
      </c>
      <c r="B211" s="197" t="str">
        <f aca="false">IF(A211&lt;mthend,B210,"")</f>
        <v/>
      </c>
      <c r="C211" s="215"/>
      <c r="D211" s="197" t="str">
        <f aca="false">IF(A212&lt;&gt;"",B211+C211,"")</f>
        <v/>
      </c>
      <c r="E211" s="199" t="str">
        <f aca="false">IF(A212="","",IF(AND(AT211=1,$H$3=1),D211*AO211,IF($H$3=2,D211,"N/A")))</f>
        <v/>
      </c>
      <c r="F211" s="199" t="str">
        <f aca="false">IF(A212="","",E211*AS211)</f>
        <v/>
      </c>
      <c r="G211" s="200" t="str">
        <f aca="false">IF($A212="","",VLOOKUP($A211,Table,MATCH(G$4,Curves,0)))</f>
        <v/>
      </c>
      <c r="H211" s="201" t="str">
        <f aca="false">IF(A212="","",G211)</f>
        <v/>
      </c>
      <c r="I211" s="202"/>
      <c r="J211" s="200" t="str">
        <f aca="false">IF($A212="","",VLOOKUP($A211,Table,MATCH(J$4,Curves,0)))</f>
        <v/>
      </c>
      <c r="K211" s="201" t="str">
        <f aca="false">IF(A212="","",J211)</f>
        <v/>
      </c>
      <c r="L211" s="200" t="str">
        <f aca="false">IF($A212="","",VLOOKUP($A211,Table,MATCH(L$4,Curves,0)))</f>
        <v/>
      </c>
      <c r="M211" s="201" t="str">
        <f aca="false">IF(A212="","",L211)</f>
        <v/>
      </c>
      <c r="N211" s="203"/>
      <c r="O211" s="200" t="str">
        <f aca="false">IF(A212="","",L211+J211+G211)</f>
        <v/>
      </c>
      <c r="P211" s="200" t="str">
        <f aca="false">IF(A212="","",M211+K211+H211)</f>
        <v/>
      </c>
      <c r="Q211" s="204"/>
      <c r="R211" s="200" t="str">
        <f aca="false">IF($A212="","",VLOOKUP($A211,Table,MATCH(R$4,Curves,0)))</f>
        <v/>
      </c>
      <c r="S211" s="201" t="str">
        <f aca="false">IF(A212="","",R211)</f>
        <v/>
      </c>
      <c r="T211" s="200" t="str">
        <f aca="false">IF($A212="","",VLOOKUP($A211,Table,MATCH(T$4,Curves,0)))</f>
        <v/>
      </c>
      <c r="U211" s="201" t="str">
        <f aca="false">IF(A212="","",T211)</f>
        <v/>
      </c>
      <c r="V211" s="225" t="str">
        <f aca="false">IF($A212="","",IF(AND(MONTH(A211)&gt;3,MONTH(A211)&lt;11),(T211+R211+G211)*Summary!$T$9/(1-Summary!$T$9),(T211+R211+G211)*Summary!$U$9/(1-Summary!$U$9)))</f>
        <v/>
      </c>
      <c r="W211" s="200" t="str">
        <f aca="false">IF($A212="","",(T211+R211+G211+V211))</f>
        <v/>
      </c>
      <c r="X211" s="200" t="str">
        <f aca="false">IF($A212="","",(U211+S211+H211+V211))</f>
        <v/>
      </c>
      <c r="Y211" s="202"/>
      <c r="Z211" s="185" t="str">
        <f aca="false">IF($A212="","",VLOOKUP($A211,Table,MATCH(Z$4,Curves,0)))</f>
        <v/>
      </c>
      <c r="AA211" s="185" t="str">
        <f aca="false">IF($A212="","",VLOOKUP($A211,Table,MATCH(AA$4,Curves,0)))</f>
        <v/>
      </c>
      <c r="AB211" s="185" t="e">
        <f aca="false">SQRT((AA211^2*(A211-$D$3)+Z211^2*(DAY(EOMONTH(A211,0))/2))/AK211)</f>
        <v>#VALUE!</v>
      </c>
      <c r="AC211" s="185" t="str">
        <f aca="false">IF($A212="","",VLOOKUP($A211,Table,MATCH(AC$4,Curves,0)))</f>
        <v/>
      </c>
      <c r="AD211" s="185" t="str">
        <f aca="false">IF($A212="","",VLOOKUP($A211,Table,MATCH(AD$4,Curves,0)))</f>
        <v/>
      </c>
      <c r="AE211" s="185" t="e">
        <f aca="false">SQRT((AD211^2*(A211-$D$3)+AC211^2*(DAY(EOMONTH(A211,0))/2))/AK211)</f>
        <v>#VALUE!</v>
      </c>
      <c r="AF211" s="224" t="e">
        <f aca="false">((Summary!$N$9*(AA211*AD211)*(A211-$D$3))+(Summary!$M$9*Z211*AC211*(AJ211-EOMONTH(EDATE(A211,-1),0))))/(AK211*AB211*AE211)</f>
        <v>#VALUE!</v>
      </c>
      <c r="AG211" s="207" t="str">
        <f aca="false">IF($A212="","",Summary!$Q$9)</f>
        <v/>
      </c>
      <c r="AH211" s="207" t="str">
        <f aca="false">IF($A212="","",IF(Summary!$R$9="Y",VLOOKUP($A211,Summary!$AD$6:$AF$9,3)+'Escalating commodity'!E224,'Escalating commodity'!E224))</f>
        <v/>
      </c>
      <c r="AI211" s="207" t="str">
        <f aca="false">IF($A212="","",AH211)</f>
        <v/>
      </c>
      <c r="AJ211" s="208" t="e">
        <f aca="false">A211+DAY(EOMONTH(A211,0))/2-1</f>
        <v>#VALUE!</v>
      </c>
      <c r="AK211" s="209" t="str">
        <f aca="false">IF($A212="","",$A211-$E$1)</f>
        <v/>
      </c>
      <c r="AL211" s="182" t="str">
        <f aca="false">IF($A212="","",SPRDOPT(P211,X211,AI211,0,AB211,AE211,AF211,AK211,$AJ$2,0))</f>
        <v/>
      </c>
      <c r="AM211" s="211" t="str">
        <f aca="false">IF($A212="","",MAX(0,O211-W211-AI211))</f>
        <v/>
      </c>
      <c r="AN211" s="211" t="str">
        <f aca="false">IF($A212="","",AL211-AM211)</f>
        <v/>
      </c>
      <c r="AO211" s="137" t="str">
        <f aca="false">IF(A212="","",A212-A211)</f>
        <v/>
      </c>
      <c r="AP211" s="212" t="str">
        <f aca="false">IF(A212="","",CHOOSE(F$3,A212+24,A211))</f>
        <v/>
      </c>
      <c r="AQ211" s="209" t="str">
        <f aca="false">IF(A212="","",AP211-$E$1)</f>
        <v/>
      </c>
      <c r="AR211" s="185" t="n">
        <f aca="false">'ANR OK vs ML7'!AR211</f>
        <v>0.1</v>
      </c>
      <c r="AS211" s="213" t="str">
        <f aca="false">IF(A212="","",1/(1+CHOOSE(F$3,(AR212+($I$3/10000))/2,(AR211+($I$3/10000))/2))^(2*AQ211/365.25))</f>
        <v/>
      </c>
      <c r="AT211" s="137" t="str">
        <f aca="false">IF(A212="","",IF(AND(mthbeg&lt;=A211,mthend&gt;=A211),1,0))</f>
        <v/>
      </c>
      <c r="AU211" s="137" t="str">
        <f aca="false">IF(A212="","",AO211*AT211)</f>
        <v/>
      </c>
      <c r="AW211" s="195" t="str">
        <f aca="false">IF($A212="","",AL211*$E211)</f>
        <v/>
      </c>
      <c r="AX211" s="195" t="str">
        <f aca="false">IF($A212="","",AM211*$E211)</f>
        <v/>
      </c>
      <c r="AY211" s="195" t="str">
        <f aca="false">IF($A212="","",AN211*$E211)</f>
        <v/>
      </c>
      <c r="BA211" s="195" t="str">
        <f aca="false">IF($A212="","",F211*Summary!$Q$9)</f>
        <v/>
      </c>
    </row>
    <row r="212" customFormat="false" ht="12" hidden="false" customHeight="true" outlineLevel="0" collapsed="false">
      <c r="A212" s="196" t="str">
        <f aca="false">IF(A211&lt;mthend,EDATE(A211,1),"")</f>
        <v/>
      </c>
      <c r="B212" s="197" t="str">
        <f aca="false">IF(A212&lt;mthend,B211,"")</f>
        <v/>
      </c>
      <c r="C212" s="215"/>
      <c r="D212" s="197" t="str">
        <f aca="false">IF(A213&lt;&gt;"",B212+C212,"")</f>
        <v/>
      </c>
      <c r="E212" s="199" t="str">
        <f aca="false">IF(A213="","",IF(AND(AT212=1,$H$3=1),D212*AO212,IF($H$3=2,D212,"N/A")))</f>
        <v/>
      </c>
      <c r="F212" s="199" t="str">
        <f aca="false">IF(A213="","",E212*AS212)</f>
        <v/>
      </c>
      <c r="G212" s="200" t="str">
        <f aca="false">IF($A213="","",VLOOKUP($A212,Table,MATCH(G$4,Curves,0)))</f>
        <v/>
      </c>
      <c r="H212" s="201" t="str">
        <f aca="false">IF(A213="","",G212)</f>
        <v/>
      </c>
      <c r="I212" s="202"/>
      <c r="J212" s="200" t="str">
        <f aca="false">IF($A213="","",VLOOKUP($A212,Table,MATCH(J$4,Curves,0)))</f>
        <v/>
      </c>
      <c r="K212" s="201" t="str">
        <f aca="false">IF(A213="","",J212)</f>
        <v/>
      </c>
      <c r="L212" s="200" t="str">
        <f aca="false">IF($A213="","",VLOOKUP($A212,Table,MATCH(L$4,Curves,0)))</f>
        <v/>
      </c>
      <c r="M212" s="201" t="str">
        <f aca="false">IF(A213="","",L212)</f>
        <v/>
      </c>
      <c r="N212" s="203"/>
      <c r="O212" s="200" t="str">
        <f aca="false">IF(A213="","",L212+J212+G212)</f>
        <v/>
      </c>
      <c r="P212" s="200" t="str">
        <f aca="false">IF(A213="","",M212+K212+H212)</f>
        <v/>
      </c>
      <c r="Q212" s="204"/>
      <c r="R212" s="200" t="str">
        <f aca="false">IF($A213="","",VLOOKUP($A212,Table,MATCH(R$4,Curves,0)))</f>
        <v/>
      </c>
      <c r="S212" s="201" t="str">
        <f aca="false">IF(A213="","",R212)</f>
        <v/>
      </c>
      <c r="T212" s="200" t="str">
        <f aca="false">IF($A213="","",VLOOKUP($A212,Table,MATCH(T$4,Curves,0)))</f>
        <v/>
      </c>
      <c r="U212" s="201" t="str">
        <f aca="false">IF(A213="","",T212)</f>
        <v/>
      </c>
      <c r="V212" s="225" t="str">
        <f aca="false">IF($A213="","",IF(AND(MONTH(A212)&gt;3,MONTH(A212)&lt;11),(T212+R212+G212)*Summary!$T$9/(1-Summary!$T$9),(T212+R212+G212)*Summary!$U$9/(1-Summary!$U$9)))</f>
        <v/>
      </c>
      <c r="W212" s="200" t="str">
        <f aca="false">IF($A213="","",(T212+R212+G212+V212))</f>
        <v/>
      </c>
      <c r="X212" s="200" t="str">
        <f aca="false">IF($A213="","",(U212+S212+H212+V212))</f>
        <v/>
      </c>
      <c r="Y212" s="202"/>
      <c r="Z212" s="185" t="str">
        <f aca="false">IF($A213="","",VLOOKUP($A212,Table,MATCH(Z$4,Curves,0)))</f>
        <v/>
      </c>
      <c r="AA212" s="185" t="str">
        <f aca="false">IF($A213="","",VLOOKUP($A212,Table,MATCH(AA$4,Curves,0)))</f>
        <v/>
      </c>
      <c r="AB212" s="185" t="e">
        <f aca="false">SQRT((AA212^2*(A212-$D$3)+Z212^2*(DAY(EOMONTH(A212,0))/2))/AK212)</f>
        <v>#VALUE!</v>
      </c>
      <c r="AC212" s="185" t="str">
        <f aca="false">IF($A213="","",VLOOKUP($A212,Table,MATCH(AC$4,Curves,0)))</f>
        <v/>
      </c>
      <c r="AD212" s="185" t="str">
        <f aca="false">IF($A213="","",VLOOKUP($A212,Table,MATCH(AD$4,Curves,0)))</f>
        <v/>
      </c>
      <c r="AE212" s="185" t="e">
        <f aca="false">SQRT((AD212^2*(A212-$D$3)+AC212^2*(DAY(EOMONTH(A212,0))/2))/AK212)</f>
        <v>#VALUE!</v>
      </c>
      <c r="AF212" s="224" t="e">
        <f aca="false">((Summary!$N$9*(AA212*AD212)*(A212-$D$3))+(Summary!$M$9*Z212*AC212*(AJ212-EOMONTH(EDATE(A212,-1),0))))/(AK212*AB212*AE212)</f>
        <v>#VALUE!</v>
      </c>
      <c r="AG212" s="207" t="str">
        <f aca="false">IF($A213="","",Summary!$Q$9)</f>
        <v/>
      </c>
      <c r="AH212" s="207" t="str">
        <f aca="false">IF($A213="","",IF(Summary!$R$9="Y",VLOOKUP($A212,Summary!$AD$6:$AF$9,3)+'Escalating commodity'!E225,'Escalating commodity'!E225))</f>
        <v/>
      </c>
      <c r="AI212" s="207" t="str">
        <f aca="false">IF($A213="","",AH212)</f>
        <v/>
      </c>
      <c r="AJ212" s="208" t="e">
        <f aca="false">A212+DAY(EOMONTH(A212,0))/2-1</f>
        <v>#VALUE!</v>
      </c>
      <c r="AK212" s="209" t="str">
        <f aca="false">IF($A213="","",$A212-$E$1)</f>
        <v/>
      </c>
      <c r="AL212" s="182" t="str">
        <f aca="false">IF($A213="","",SPRDOPT(P212,X212,AI212,0,AB212,AE212,AF212,AK212,$AJ$2,0))</f>
        <v/>
      </c>
      <c r="AM212" s="211" t="str">
        <f aca="false">IF($A213="","",MAX(0,O212-W212-AI212))</f>
        <v/>
      </c>
      <c r="AN212" s="211" t="str">
        <f aca="false">IF($A213="","",AL212-AM212)</f>
        <v/>
      </c>
      <c r="AO212" s="137" t="str">
        <f aca="false">IF(A213="","",A213-A212)</f>
        <v/>
      </c>
      <c r="AP212" s="212" t="str">
        <f aca="false">IF(A213="","",CHOOSE(F$3,A213+24,A212))</f>
        <v/>
      </c>
      <c r="AQ212" s="209" t="str">
        <f aca="false">IF(A213="","",AP212-$E$1)</f>
        <v/>
      </c>
      <c r="AR212" s="185" t="n">
        <f aca="false">'ANR OK vs ML7'!AR212</f>
        <v>0.1</v>
      </c>
      <c r="AS212" s="213" t="str">
        <f aca="false">IF(A213="","",1/(1+CHOOSE(F$3,(AR213+($I$3/10000))/2,(AR212+($I$3/10000))/2))^(2*AQ212/365.25))</f>
        <v/>
      </c>
      <c r="AT212" s="137" t="str">
        <f aca="false">IF(A213="","",IF(AND(mthbeg&lt;=A212,mthend&gt;=A212),1,0))</f>
        <v/>
      </c>
      <c r="AU212" s="137" t="str">
        <f aca="false">IF(A213="","",AO212*AT212)</f>
        <v/>
      </c>
      <c r="AW212" s="195" t="str">
        <f aca="false">IF($A213="","",AL212*$E212)</f>
        <v/>
      </c>
      <c r="AX212" s="195" t="str">
        <f aca="false">IF($A213="","",AM212*$E212)</f>
        <v/>
      </c>
      <c r="AY212" s="195" t="str">
        <f aca="false">IF($A213="","",AN212*$E212)</f>
        <v/>
      </c>
      <c r="BA212" s="195" t="str">
        <f aca="false">IF($A213="","",F212*Summary!$Q$9)</f>
        <v/>
      </c>
    </row>
    <row r="213" customFormat="false" ht="12" hidden="false" customHeight="true" outlineLevel="0" collapsed="false">
      <c r="A213" s="196" t="str">
        <f aca="false">IF(A212&lt;mthend,EDATE(A212,1),"")</f>
        <v/>
      </c>
      <c r="B213" s="197" t="str">
        <f aca="false">IF(A213&lt;mthend,B212,"")</f>
        <v/>
      </c>
      <c r="C213" s="215"/>
      <c r="D213" s="197" t="str">
        <f aca="false">IF(A214&lt;&gt;"",B213+C213,"")</f>
        <v/>
      </c>
      <c r="E213" s="199" t="str">
        <f aca="false">IF(A214="","",IF(AND(AT213=1,$H$3=1),D213*AO213,IF($H$3=2,D213,"N/A")))</f>
        <v/>
      </c>
      <c r="F213" s="199" t="str">
        <f aca="false">IF(A214="","",E213*AS213)</f>
        <v/>
      </c>
      <c r="G213" s="200" t="str">
        <f aca="false">IF($A214="","",VLOOKUP($A213,Table,MATCH(G$4,Curves,0)))</f>
        <v/>
      </c>
      <c r="H213" s="201" t="str">
        <f aca="false">IF(A214="","",G213)</f>
        <v/>
      </c>
      <c r="I213" s="202"/>
      <c r="J213" s="200" t="str">
        <f aca="false">IF($A214="","",VLOOKUP($A213,Table,MATCH(J$4,Curves,0)))</f>
        <v/>
      </c>
      <c r="K213" s="201" t="str">
        <f aca="false">IF(A214="","",J213)</f>
        <v/>
      </c>
      <c r="L213" s="200" t="str">
        <f aca="false">IF($A214="","",VLOOKUP($A213,Table,MATCH(L$4,Curves,0)))</f>
        <v/>
      </c>
      <c r="M213" s="201" t="str">
        <f aca="false">IF(A214="","",L213)</f>
        <v/>
      </c>
      <c r="N213" s="203"/>
      <c r="O213" s="200" t="str">
        <f aca="false">IF(A214="","",L213+J213+G213)</f>
        <v/>
      </c>
      <c r="P213" s="200" t="str">
        <f aca="false">IF(A214="","",M213+K213+H213)</f>
        <v/>
      </c>
      <c r="Q213" s="204"/>
      <c r="R213" s="200" t="str">
        <f aca="false">IF($A214="","",VLOOKUP($A213,Table,MATCH(R$4,Curves,0)))</f>
        <v/>
      </c>
      <c r="S213" s="201" t="str">
        <f aca="false">IF(A214="","",R213)</f>
        <v/>
      </c>
      <c r="T213" s="200" t="str">
        <f aca="false">IF($A214="","",VLOOKUP($A213,Table,MATCH(T$4,Curves,0)))</f>
        <v/>
      </c>
      <c r="U213" s="201" t="str">
        <f aca="false">IF(A214="","",T213)</f>
        <v/>
      </c>
      <c r="V213" s="225" t="str">
        <f aca="false">IF($A214="","",IF(AND(MONTH(A213)&gt;3,MONTH(A213)&lt;11),(T213+R213+G213)*Summary!$T$9/(1-Summary!$T$9),(T213+R213+G213)*Summary!$U$9/(1-Summary!$U$9)))</f>
        <v/>
      </c>
      <c r="W213" s="200" t="str">
        <f aca="false">IF($A214="","",(T213+R213+G213+V213))</f>
        <v/>
      </c>
      <c r="X213" s="200" t="str">
        <f aca="false">IF($A214="","",(U213+S213+H213+V213))</f>
        <v/>
      </c>
      <c r="Y213" s="202"/>
      <c r="Z213" s="185" t="str">
        <f aca="false">IF($A214="","",VLOOKUP($A213,Table,MATCH(Z$4,Curves,0)))</f>
        <v/>
      </c>
      <c r="AA213" s="185" t="str">
        <f aca="false">IF($A214="","",VLOOKUP($A213,Table,MATCH(AA$4,Curves,0)))</f>
        <v/>
      </c>
      <c r="AB213" s="185" t="e">
        <f aca="false">SQRT((AA213^2*(A213-$D$3)+Z213^2*(DAY(EOMONTH(A213,0))/2))/AK213)</f>
        <v>#VALUE!</v>
      </c>
      <c r="AC213" s="185" t="str">
        <f aca="false">IF($A214="","",VLOOKUP($A213,Table,MATCH(AC$4,Curves,0)))</f>
        <v/>
      </c>
      <c r="AD213" s="185" t="str">
        <f aca="false">IF($A214="","",VLOOKUP($A213,Table,MATCH(AD$4,Curves,0)))</f>
        <v/>
      </c>
      <c r="AE213" s="185" t="e">
        <f aca="false">SQRT((AD213^2*(A213-$D$3)+AC213^2*(DAY(EOMONTH(A213,0))/2))/AK213)</f>
        <v>#VALUE!</v>
      </c>
      <c r="AF213" s="224" t="e">
        <f aca="false">((Summary!$N$9*(AA213*AD213)*(A213-$D$3))+(Summary!$M$9*Z213*AC213*(AJ213-EOMONTH(EDATE(A213,-1),0))))/(AK213*AB213*AE213)</f>
        <v>#VALUE!</v>
      </c>
      <c r="AG213" s="207" t="str">
        <f aca="false">IF($A214="","",Summary!$Q$9)</f>
        <v/>
      </c>
      <c r="AH213" s="207" t="str">
        <f aca="false">IF($A214="","",IF(Summary!$R$9="Y",VLOOKUP($A213,Summary!$AD$6:$AF$9,3)+'Escalating commodity'!E226,'Escalating commodity'!E226))</f>
        <v/>
      </c>
      <c r="AI213" s="207" t="str">
        <f aca="false">IF($A214="","",AH213)</f>
        <v/>
      </c>
      <c r="AJ213" s="208" t="e">
        <f aca="false">A213+DAY(EOMONTH(A213,0))/2-1</f>
        <v>#VALUE!</v>
      </c>
      <c r="AK213" s="209" t="str">
        <f aca="false">IF($A214="","",$A213-$E$1)</f>
        <v/>
      </c>
      <c r="AL213" s="182" t="str">
        <f aca="false">IF($A214="","",SPRDOPT(P213,X213,AI213,0,AB213,AE213,AF213,AK213,$AJ$2,0))</f>
        <v/>
      </c>
      <c r="AM213" s="211" t="str">
        <f aca="false">IF($A214="","",MAX(0,O213-W213-AI213))</f>
        <v/>
      </c>
      <c r="AN213" s="211" t="str">
        <f aca="false">IF($A214="","",AL213-AM213)</f>
        <v/>
      </c>
      <c r="AO213" s="137" t="str">
        <f aca="false">IF(A214="","",A214-A213)</f>
        <v/>
      </c>
      <c r="AP213" s="212" t="str">
        <f aca="false">IF(A214="","",CHOOSE(F$3,A214+24,A213))</f>
        <v/>
      </c>
      <c r="AQ213" s="209" t="str">
        <f aca="false">IF(A214="","",AP213-$E$1)</f>
        <v/>
      </c>
      <c r="AR213" s="185" t="n">
        <f aca="false">'ANR OK vs ML7'!AR213</f>
        <v>0.1</v>
      </c>
      <c r="AS213" s="213" t="str">
        <f aca="false">IF(A214="","",1/(1+CHOOSE(F$3,(AR214+($I$3/10000))/2,(AR213+($I$3/10000))/2))^(2*AQ213/365.25))</f>
        <v/>
      </c>
      <c r="AT213" s="137" t="str">
        <f aca="false">IF(A214="","",IF(AND(mthbeg&lt;=A213,mthend&gt;=A213),1,0))</f>
        <v/>
      </c>
      <c r="AU213" s="137" t="str">
        <f aca="false">IF(A214="","",AO213*AT213)</f>
        <v/>
      </c>
      <c r="AW213" s="195" t="str">
        <f aca="false">IF($A214="","",AL213*$E213)</f>
        <v/>
      </c>
      <c r="AX213" s="195" t="str">
        <f aca="false">IF($A214="","",AM213*$E213)</f>
        <v/>
      </c>
      <c r="AY213" s="195" t="str">
        <f aca="false">IF($A214="","",AN213*$E213)</f>
        <v/>
      </c>
      <c r="BA213" s="195" t="str">
        <f aca="false">IF($A214="","",F213*Summary!$Q$9)</f>
        <v/>
      </c>
    </row>
    <row r="214" customFormat="false" ht="12" hidden="false" customHeight="true" outlineLevel="0" collapsed="false">
      <c r="A214" s="196" t="str">
        <f aca="false">IF(A213&lt;mthend,EDATE(A213,1),"")</f>
        <v/>
      </c>
      <c r="B214" s="197" t="str">
        <f aca="false">IF(A214&lt;mthend,B213,"")</f>
        <v/>
      </c>
      <c r="C214" s="215"/>
      <c r="D214" s="197" t="str">
        <f aca="false">IF(A215&lt;&gt;"",B214+C214,"")</f>
        <v/>
      </c>
      <c r="E214" s="199" t="str">
        <f aca="false">IF(A215="","",IF(AND(AT214=1,$H$3=1),D214*AO214,IF($H$3=2,D214,"N/A")))</f>
        <v/>
      </c>
      <c r="F214" s="199" t="str">
        <f aca="false">IF(A215="","",E214*AS214)</f>
        <v/>
      </c>
      <c r="G214" s="200" t="str">
        <f aca="false">IF($A215="","",VLOOKUP($A214,Table,MATCH(G$4,Curves,0)))</f>
        <v/>
      </c>
      <c r="H214" s="201" t="str">
        <f aca="false">IF(A215="","",G214)</f>
        <v/>
      </c>
      <c r="I214" s="202"/>
      <c r="J214" s="200" t="str">
        <f aca="false">IF($A215="","",VLOOKUP($A214,Table,MATCH(J$4,Curves,0)))</f>
        <v/>
      </c>
      <c r="K214" s="201" t="str">
        <f aca="false">IF(A215="","",J214)</f>
        <v/>
      </c>
      <c r="L214" s="200" t="str">
        <f aca="false">IF($A215="","",VLOOKUP($A214,Table,MATCH(L$4,Curves,0)))</f>
        <v/>
      </c>
      <c r="M214" s="201" t="str">
        <f aca="false">IF(A215="","",L214)</f>
        <v/>
      </c>
      <c r="N214" s="203"/>
      <c r="O214" s="200" t="str">
        <f aca="false">IF(A215="","",L214+J214+G214)</f>
        <v/>
      </c>
      <c r="P214" s="200" t="str">
        <f aca="false">IF(A215="","",M214+K214+H214)</f>
        <v/>
      </c>
      <c r="Q214" s="204"/>
      <c r="R214" s="200" t="str">
        <f aca="false">IF($A215="","",VLOOKUP($A214,Table,MATCH(R$4,Curves,0)))</f>
        <v/>
      </c>
      <c r="S214" s="201" t="str">
        <f aca="false">IF(A215="","",R214)</f>
        <v/>
      </c>
      <c r="T214" s="200" t="str">
        <f aca="false">IF($A215="","",VLOOKUP($A214,Table,MATCH(T$4,Curves,0)))</f>
        <v/>
      </c>
      <c r="U214" s="201" t="str">
        <f aca="false">IF(A215="","",T214)</f>
        <v/>
      </c>
      <c r="V214" s="225" t="str">
        <f aca="false">IF($A215="","",IF(AND(MONTH(A214)&gt;3,MONTH(A214)&lt;11),(T214+R214+G214)*Summary!$T$9/(1-Summary!$T$9),(T214+R214+G214)*Summary!$U$9/(1-Summary!$U$9)))</f>
        <v/>
      </c>
      <c r="W214" s="200" t="str">
        <f aca="false">IF($A215="","",(T214+R214+G214+V214))</f>
        <v/>
      </c>
      <c r="X214" s="200" t="str">
        <f aca="false">IF($A215="","",(U214+S214+H214+V214))</f>
        <v/>
      </c>
      <c r="Y214" s="202"/>
      <c r="Z214" s="185" t="str">
        <f aca="false">IF($A215="","",VLOOKUP($A214,Table,MATCH(Z$4,Curves,0)))</f>
        <v/>
      </c>
      <c r="AA214" s="185" t="str">
        <f aca="false">IF($A215="","",VLOOKUP($A214,Table,MATCH(AA$4,Curves,0)))</f>
        <v/>
      </c>
      <c r="AB214" s="185" t="e">
        <f aca="false">SQRT((AA214^2*(A214-$D$3)+Z214^2*(DAY(EOMONTH(A214,0))/2))/AK214)</f>
        <v>#VALUE!</v>
      </c>
      <c r="AC214" s="185" t="str">
        <f aca="false">IF($A215="","",VLOOKUP($A214,Table,MATCH(AC$4,Curves,0)))</f>
        <v/>
      </c>
      <c r="AD214" s="185" t="str">
        <f aca="false">IF($A215="","",VLOOKUP($A214,Table,MATCH(AD$4,Curves,0)))</f>
        <v/>
      </c>
      <c r="AE214" s="185" t="e">
        <f aca="false">SQRT((AD214^2*(A214-$D$3)+AC214^2*(DAY(EOMONTH(A214,0))/2))/AK214)</f>
        <v>#VALUE!</v>
      </c>
      <c r="AF214" s="224" t="e">
        <f aca="false">((Summary!$N$9*(AA214*AD214)*(A214-$D$3))+(Summary!$M$9*Z214*AC214*(AJ214-EOMONTH(EDATE(A214,-1),0))))/(AK214*AB214*AE214)</f>
        <v>#VALUE!</v>
      </c>
      <c r="AG214" s="207" t="str">
        <f aca="false">IF($A215="","",Summary!$Q$9)</f>
        <v/>
      </c>
      <c r="AH214" s="207" t="str">
        <f aca="false">IF($A215="","",IF(Summary!$R$9="Y",VLOOKUP($A214,Summary!$AD$6:$AF$9,3)+'Escalating commodity'!E227,'Escalating commodity'!E227))</f>
        <v/>
      </c>
      <c r="AI214" s="207" t="str">
        <f aca="false">IF($A215="","",AH214)</f>
        <v/>
      </c>
      <c r="AJ214" s="208" t="e">
        <f aca="false">A214+DAY(EOMONTH(A214,0))/2-1</f>
        <v>#VALUE!</v>
      </c>
      <c r="AK214" s="209" t="str">
        <f aca="false">IF($A215="","",$A214-$E$1)</f>
        <v/>
      </c>
      <c r="AL214" s="182" t="str">
        <f aca="false">IF($A215="","",SPRDOPT(P214,X214,AI214,0,AB214,AE214,AF214,AK214,$AJ$2,0))</f>
        <v/>
      </c>
      <c r="AM214" s="211" t="str">
        <f aca="false">IF($A215="","",MAX(0,O214-W214-AI214))</f>
        <v/>
      </c>
      <c r="AN214" s="211" t="str">
        <f aca="false">IF($A215="","",AL214-AM214)</f>
        <v/>
      </c>
      <c r="AO214" s="137" t="str">
        <f aca="false">IF(A215="","",A215-A214)</f>
        <v/>
      </c>
      <c r="AP214" s="212" t="str">
        <f aca="false">IF(A215="","",CHOOSE(F$3,A215+24,A214))</f>
        <v/>
      </c>
      <c r="AQ214" s="209" t="str">
        <f aca="false">IF(A215="","",AP214-$E$1)</f>
        <v/>
      </c>
      <c r="AR214" s="185" t="n">
        <f aca="false">'ANR OK vs ML7'!AR214</f>
        <v>0.1</v>
      </c>
      <c r="AS214" s="213" t="str">
        <f aca="false">IF(A215="","",1/(1+CHOOSE(F$3,(AR215+($I$3/10000))/2,(AR214+($I$3/10000))/2))^(2*AQ214/365.25))</f>
        <v/>
      </c>
      <c r="AT214" s="137" t="str">
        <f aca="false">IF(A215="","",IF(AND(mthbeg&lt;=A214,mthend&gt;=A214),1,0))</f>
        <v/>
      </c>
      <c r="AU214" s="137" t="str">
        <f aca="false">IF(A215="","",AO214*AT214)</f>
        <v/>
      </c>
      <c r="AW214" s="195" t="str">
        <f aca="false">IF($A215="","",AL214*$E214)</f>
        <v/>
      </c>
      <c r="AX214" s="195" t="str">
        <f aca="false">IF($A215="","",AM214*$E214)</f>
        <v/>
      </c>
      <c r="AY214" s="195" t="str">
        <f aca="false">IF($A215="","",AN214*$E214)</f>
        <v/>
      </c>
      <c r="BA214" s="195" t="str">
        <f aca="false">IF($A215="","",F214*Summary!$Q$9)</f>
        <v/>
      </c>
    </row>
    <row r="215" customFormat="false" ht="12" hidden="false" customHeight="true" outlineLevel="0" collapsed="false">
      <c r="A215" s="196" t="str">
        <f aca="false">IF(A214&lt;mthend,EDATE(A214,1),"")</f>
        <v/>
      </c>
      <c r="B215" s="197" t="str">
        <f aca="false">IF(A215&lt;mthend,B214,"")</f>
        <v/>
      </c>
      <c r="C215" s="215"/>
      <c r="D215" s="197" t="str">
        <f aca="false">IF(A216&lt;&gt;"",B215+C215,"")</f>
        <v/>
      </c>
      <c r="E215" s="199" t="str">
        <f aca="false">IF(A216="","",IF(AND(AT215=1,$H$3=1),D215*AO215,IF($H$3=2,D215,"N/A")))</f>
        <v/>
      </c>
      <c r="F215" s="199" t="str">
        <f aca="false">IF(A216="","",E215*AS215)</f>
        <v/>
      </c>
      <c r="G215" s="200" t="str">
        <f aca="false">IF($A216="","",VLOOKUP($A215,Table,MATCH(G$4,Curves,0)))</f>
        <v/>
      </c>
      <c r="H215" s="201" t="str">
        <f aca="false">IF(A216="","",G215)</f>
        <v/>
      </c>
      <c r="I215" s="202"/>
      <c r="J215" s="200" t="str">
        <f aca="false">IF($A216="","",VLOOKUP($A215,Table,MATCH(J$4,Curves,0)))</f>
        <v/>
      </c>
      <c r="K215" s="201" t="str">
        <f aca="false">IF(A216="","",J215)</f>
        <v/>
      </c>
      <c r="L215" s="200" t="str">
        <f aca="false">IF($A216="","",VLOOKUP($A215,Table,MATCH(L$4,Curves,0)))</f>
        <v/>
      </c>
      <c r="M215" s="201" t="str">
        <f aca="false">IF(A216="","",L215)</f>
        <v/>
      </c>
      <c r="N215" s="203"/>
      <c r="O215" s="200" t="str">
        <f aca="false">IF(A216="","",L215+J215+G215)</f>
        <v/>
      </c>
      <c r="P215" s="200" t="str">
        <f aca="false">IF(A216="","",M215+K215+H215)</f>
        <v/>
      </c>
      <c r="Q215" s="204"/>
      <c r="R215" s="200" t="str">
        <f aca="false">IF($A216="","",VLOOKUP($A215,Table,MATCH(R$4,Curves,0)))</f>
        <v/>
      </c>
      <c r="S215" s="201" t="str">
        <f aca="false">IF(A216="","",R215)</f>
        <v/>
      </c>
      <c r="T215" s="200" t="str">
        <f aca="false">IF($A216="","",VLOOKUP($A215,Table,MATCH(T$4,Curves,0)))</f>
        <v/>
      </c>
      <c r="U215" s="201" t="str">
        <f aca="false">IF(A216="","",T215)</f>
        <v/>
      </c>
      <c r="V215" s="225" t="str">
        <f aca="false">IF($A216="","",IF(AND(MONTH(A215)&gt;3,MONTH(A215)&lt;11),(T215+R215+G215)*Summary!$T$9/(1-Summary!$T$9),(T215+R215+G215)*Summary!$U$9/(1-Summary!$U$9)))</f>
        <v/>
      </c>
      <c r="W215" s="200" t="str">
        <f aca="false">IF($A216="","",(T215+R215+G215+V215))</f>
        <v/>
      </c>
      <c r="X215" s="200" t="str">
        <f aca="false">IF($A216="","",(U215+S215+H215+V215))</f>
        <v/>
      </c>
      <c r="Y215" s="202"/>
      <c r="Z215" s="185" t="str">
        <f aca="false">IF($A216="","",VLOOKUP($A215,Table,MATCH(Z$4,Curves,0)))</f>
        <v/>
      </c>
      <c r="AA215" s="185" t="str">
        <f aca="false">IF($A216="","",VLOOKUP($A215,Table,MATCH(AA$4,Curves,0)))</f>
        <v/>
      </c>
      <c r="AB215" s="185" t="e">
        <f aca="false">SQRT((AA215^2*(A215-$D$3)+Z215^2*(DAY(EOMONTH(A215,0))/2))/AK215)</f>
        <v>#VALUE!</v>
      </c>
      <c r="AC215" s="185" t="str">
        <f aca="false">IF($A216="","",VLOOKUP($A215,Table,MATCH(AC$4,Curves,0)))</f>
        <v/>
      </c>
      <c r="AD215" s="185" t="str">
        <f aca="false">IF($A216="","",VLOOKUP($A215,Table,MATCH(AD$4,Curves,0)))</f>
        <v/>
      </c>
      <c r="AE215" s="185" t="e">
        <f aca="false">SQRT((AD215^2*(A215-$D$3)+AC215^2*(DAY(EOMONTH(A215,0))/2))/AK215)</f>
        <v>#VALUE!</v>
      </c>
      <c r="AF215" s="224" t="e">
        <f aca="false">((Summary!$N$9*(AA215*AD215)*(A215-$D$3))+(Summary!$M$9*Z215*AC215*(AJ215-EOMONTH(EDATE(A215,-1),0))))/(AK215*AB215*AE215)</f>
        <v>#VALUE!</v>
      </c>
      <c r="AG215" s="207" t="str">
        <f aca="false">IF($A216="","",Summary!$Q$9)</f>
        <v/>
      </c>
      <c r="AH215" s="207" t="str">
        <f aca="false">IF($A216="","",IF(Summary!$R$9="Y",VLOOKUP($A215,Summary!$AD$6:$AF$9,3)+'Escalating commodity'!E228,'Escalating commodity'!E228))</f>
        <v/>
      </c>
      <c r="AI215" s="207" t="str">
        <f aca="false">IF($A216="","",AH215)</f>
        <v/>
      </c>
      <c r="AJ215" s="208" t="e">
        <f aca="false">A215+DAY(EOMONTH(A215,0))/2-1</f>
        <v>#VALUE!</v>
      </c>
      <c r="AK215" s="209" t="str">
        <f aca="false">IF($A216="","",$A215-$E$1)</f>
        <v/>
      </c>
      <c r="AL215" s="182" t="str">
        <f aca="false">IF($A216="","",SPRDOPT(P215,X215,AI215,0,AB215,AE215,AF215,AK215,$AJ$2,0))</f>
        <v/>
      </c>
      <c r="AM215" s="211" t="str">
        <f aca="false">IF($A216="","",MAX(0,O215-W215-AI215))</f>
        <v/>
      </c>
      <c r="AN215" s="211" t="str">
        <f aca="false">IF($A216="","",AL215-AM215)</f>
        <v/>
      </c>
      <c r="AO215" s="137" t="str">
        <f aca="false">IF(A216="","",A216-A215)</f>
        <v/>
      </c>
      <c r="AP215" s="212" t="str">
        <f aca="false">IF(A216="","",CHOOSE(F$3,A216+24,A215))</f>
        <v/>
      </c>
      <c r="AQ215" s="209" t="str">
        <f aca="false">IF(A216="","",AP215-$E$1)</f>
        <v/>
      </c>
      <c r="AR215" s="185" t="n">
        <f aca="false">'ANR OK vs ML7'!AR215</f>
        <v>0.1</v>
      </c>
      <c r="AS215" s="213" t="str">
        <f aca="false">IF(A216="","",1/(1+CHOOSE(F$3,(AR216+($I$3/10000))/2,(AR215+($I$3/10000))/2))^(2*AQ215/365.25))</f>
        <v/>
      </c>
      <c r="AT215" s="137" t="str">
        <f aca="false">IF(A216="","",IF(AND(mthbeg&lt;=A215,mthend&gt;=A215),1,0))</f>
        <v/>
      </c>
      <c r="AU215" s="137" t="str">
        <f aca="false">IF(A216="","",AO215*AT215)</f>
        <v/>
      </c>
      <c r="AW215" s="195" t="str">
        <f aca="false">IF($A216="","",AL215*$E215)</f>
        <v/>
      </c>
      <c r="AX215" s="195" t="str">
        <f aca="false">IF($A216="","",AM215*$E215)</f>
        <v/>
      </c>
      <c r="AY215" s="195" t="str">
        <f aca="false">IF($A216="","",AN215*$E215)</f>
        <v/>
      </c>
      <c r="BA215" s="195" t="str">
        <f aca="false">IF($A216="","",F215*Summary!$Q$9)</f>
        <v/>
      </c>
    </row>
    <row r="216" customFormat="false" ht="12" hidden="false" customHeight="true" outlineLevel="0" collapsed="false">
      <c r="A216" s="196" t="str">
        <f aca="false">IF(A215&lt;mthend,EDATE(A215,1),"")</f>
        <v/>
      </c>
      <c r="B216" s="197" t="str">
        <f aca="false">IF(A216&lt;mthend,B215,"")</f>
        <v/>
      </c>
      <c r="C216" s="215"/>
      <c r="D216" s="197" t="str">
        <f aca="false">IF(A217&lt;&gt;"",B216+C216,"")</f>
        <v/>
      </c>
      <c r="E216" s="199" t="str">
        <f aca="false">IF(A217="","",IF(AND(AT216=1,$H$3=1),D216*AO216,IF($H$3=2,D216,"N/A")))</f>
        <v/>
      </c>
      <c r="F216" s="199" t="str">
        <f aca="false">IF(A217="","",E216*AS216)</f>
        <v/>
      </c>
      <c r="G216" s="200" t="str">
        <f aca="false">IF($A217="","",VLOOKUP($A216,Table,MATCH(G$4,Curves,0)))</f>
        <v/>
      </c>
      <c r="H216" s="201" t="str">
        <f aca="false">IF(A217="","",G216)</f>
        <v/>
      </c>
      <c r="I216" s="202"/>
      <c r="J216" s="200" t="str">
        <f aca="false">IF($A217="","",VLOOKUP($A216,Table,MATCH(J$4,Curves,0)))</f>
        <v/>
      </c>
      <c r="K216" s="201" t="str">
        <f aca="false">IF(A217="","",J216)</f>
        <v/>
      </c>
      <c r="L216" s="200" t="str">
        <f aca="false">IF($A217="","",VLOOKUP($A216,Table,MATCH(L$4,Curves,0)))</f>
        <v/>
      </c>
      <c r="M216" s="201" t="str">
        <f aca="false">IF(A217="","",L216)</f>
        <v/>
      </c>
      <c r="N216" s="203"/>
      <c r="O216" s="200" t="str">
        <f aca="false">IF(A217="","",L216+J216+G216)</f>
        <v/>
      </c>
      <c r="P216" s="200" t="str">
        <f aca="false">IF(A217="","",M216+K216+H216)</f>
        <v/>
      </c>
      <c r="Q216" s="204"/>
      <c r="R216" s="200" t="str">
        <f aca="false">IF($A217="","",VLOOKUP($A216,Table,MATCH(R$4,Curves,0)))</f>
        <v/>
      </c>
      <c r="S216" s="201" t="str">
        <f aca="false">IF(A217="","",R216)</f>
        <v/>
      </c>
      <c r="T216" s="200" t="str">
        <f aca="false">IF($A217="","",VLOOKUP($A216,Table,MATCH(T$4,Curves,0)))</f>
        <v/>
      </c>
      <c r="U216" s="201" t="str">
        <f aca="false">IF(A217="","",T216)</f>
        <v/>
      </c>
      <c r="V216" s="225" t="str">
        <f aca="false">IF($A217="","",IF(AND(MONTH(A216)&gt;3,MONTH(A216)&lt;11),(T216+R216+G216)*Summary!$T$9/(1-Summary!$T$9),(T216+R216+G216)*Summary!$U$9/(1-Summary!$U$9)))</f>
        <v/>
      </c>
      <c r="W216" s="200" t="str">
        <f aca="false">IF($A217="","",(T216+R216+G216+V216))</f>
        <v/>
      </c>
      <c r="X216" s="200" t="str">
        <f aca="false">IF($A217="","",(U216+S216+H216+V216))</f>
        <v/>
      </c>
      <c r="Y216" s="202"/>
      <c r="Z216" s="185" t="str">
        <f aca="false">IF($A217="","",VLOOKUP($A216,Table,MATCH(Z$4,Curves,0)))</f>
        <v/>
      </c>
      <c r="AA216" s="185" t="str">
        <f aca="false">IF($A217="","",VLOOKUP($A216,Table,MATCH(AA$4,Curves,0)))</f>
        <v/>
      </c>
      <c r="AB216" s="185" t="e">
        <f aca="false">SQRT((AA216^2*(A216-$D$3)+Z216^2*(DAY(EOMONTH(A216,0))/2))/AK216)</f>
        <v>#VALUE!</v>
      </c>
      <c r="AC216" s="185" t="str">
        <f aca="false">IF($A217="","",VLOOKUP($A216,Table,MATCH(AC$4,Curves,0)))</f>
        <v/>
      </c>
      <c r="AD216" s="185" t="str">
        <f aca="false">IF($A217="","",VLOOKUP($A216,Table,MATCH(AD$4,Curves,0)))</f>
        <v/>
      </c>
      <c r="AE216" s="185" t="e">
        <f aca="false">SQRT((AD216^2*(A216-$D$3)+AC216^2*(DAY(EOMONTH(A216,0))/2))/AK216)</f>
        <v>#VALUE!</v>
      </c>
      <c r="AF216" s="224" t="e">
        <f aca="false">((Summary!$N$9*(AA216*AD216)*(A216-$D$3))+(Summary!$M$9*Z216*AC216*(AJ216-EOMONTH(EDATE(A216,-1),0))))/(AK216*AB216*AE216)</f>
        <v>#VALUE!</v>
      </c>
      <c r="AG216" s="207" t="str">
        <f aca="false">IF($A217="","",Summary!$Q$9)</f>
        <v/>
      </c>
      <c r="AH216" s="207" t="str">
        <f aca="false">IF($A217="","",IF(Summary!$R$9="Y",VLOOKUP($A216,Summary!$AD$6:$AF$9,3)+'Escalating commodity'!E229,'Escalating commodity'!E229))</f>
        <v/>
      </c>
      <c r="AI216" s="207" t="str">
        <f aca="false">IF($A217="","",AH216)</f>
        <v/>
      </c>
      <c r="AJ216" s="208" t="e">
        <f aca="false">A216+DAY(EOMONTH(A216,0))/2-1</f>
        <v>#VALUE!</v>
      </c>
      <c r="AK216" s="209" t="str">
        <f aca="false">IF($A217="","",$A216-$E$1)</f>
        <v/>
      </c>
      <c r="AL216" s="182" t="str">
        <f aca="false">IF($A217="","",SPRDOPT(P216,X216,AI216,0,AB216,AE216,AF216,AK216,$AJ$2,0))</f>
        <v/>
      </c>
      <c r="AM216" s="211" t="str">
        <f aca="false">IF($A217="","",MAX(0,O216-W216-AI216))</f>
        <v/>
      </c>
      <c r="AN216" s="211" t="str">
        <f aca="false">IF($A217="","",AL216-AM216)</f>
        <v/>
      </c>
      <c r="AO216" s="137" t="str">
        <f aca="false">IF(A217="","",A217-A216)</f>
        <v/>
      </c>
      <c r="AP216" s="212" t="str">
        <f aca="false">IF(A217="","",CHOOSE(F$3,A217+24,A216))</f>
        <v/>
      </c>
      <c r="AQ216" s="209" t="str">
        <f aca="false">IF(A217="","",AP216-$E$1)</f>
        <v/>
      </c>
      <c r="AR216" s="185" t="n">
        <f aca="false">'ANR OK vs ML7'!AR216</f>
        <v>0.1</v>
      </c>
      <c r="AS216" s="213" t="str">
        <f aca="false">IF(A217="","",1/(1+CHOOSE(F$3,(AR217+($I$3/10000))/2,(AR216+($I$3/10000))/2))^(2*AQ216/365.25))</f>
        <v/>
      </c>
      <c r="AT216" s="137" t="str">
        <f aca="false">IF(A217="","",IF(AND(mthbeg&lt;=A216,mthend&gt;=A216),1,0))</f>
        <v/>
      </c>
      <c r="AU216" s="137" t="str">
        <f aca="false">IF(A217="","",AO216*AT216)</f>
        <v/>
      </c>
      <c r="AW216" s="195" t="str">
        <f aca="false">IF($A217="","",AL216*$E216)</f>
        <v/>
      </c>
      <c r="AX216" s="195" t="str">
        <f aca="false">IF($A217="","",AM216*$E216)</f>
        <v/>
      </c>
      <c r="AY216" s="195" t="str">
        <f aca="false">IF($A217="","",AN216*$E216)</f>
        <v/>
      </c>
      <c r="BA216" s="195" t="str">
        <f aca="false">IF($A217="","",F216*Summary!$Q$9)</f>
        <v/>
      </c>
    </row>
    <row r="217" customFormat="false" ht="12" hidden="false" customHeight="true" outlineLevel="0" collapsed="false">
      <c r="A217" s="196" t="str">
        <f aca="false">IF(A216&lt;mthend,EDATE(A216,1),"")</f>
        <v/>
      </c>
      <c r="B217" s="197" t="str">
        <f aca="false">IF(A217&lt;mthend,B216,"")</f>
        <v/>
      </c>
      <c r="C217" s="215"/>
      <c r="D217" s="197" t="str">
        <f aca="false">IF(A218&lt;&gt;"",B217+C217,"")</f>
        <v/>
      </c>
      <c r="E217" s="199" t="str">
        <f aca="false">IF(A218="","",IF(AND(AT217=1,$H$3=1),D217*AO217,IF($H$3=2,D217,"N/A")))</f>
        <v/>
      </c>
      <c r="F217" s="199" t="str">
        <f aca="false">IF(A218="","",E217*AS217)</f>
        <v/>
      </c>
      <c r="G217" s="200" t="str">
        <f aca="false">IF($A218="","",VLOOKUP($A217,Table,MATCH(G$4,Curves,0)))</f>
        <v/>
      </c>
      <c r="H217" s="201" t="str">
        <f aca="false">IF(A218="","",G217)</f>
        <v/>
      </c>
      <c r="I217" s="202"/>
      <c r="J217" s="200" t="str">
        <f aca="false">IF($A218="","",VLOOKUP($A217,Table,MATCH(J$4,Curves,0)))</f>
        <v/>
      </c>
      <c r="K217" s="201" t="str">
        <f aca="false">IF(A218="","",J217)</f>
        <v/>
      </c>
      <c r="L217" s="200" t="str">
        <f aca="false">IF($A218="","",VLOOKUP($A217,Table,MATCH(L$4,Curves,0)))</f>
        <v/>
      </c>
      <c r="M217" s="201" t="str">
        <f aca="false">IF(A218="","",L217)</f>
        <v/>
      </c>
      <c r="N217" s="203"/>
      <c r="O217" s="200" t="str">
        <f aca="false">IF(A218="","",L217+J217+G217)</f>
        <v/>
      </c>
      <c r="P217" s="200" t="str">
        <f aca="false">IF(A218="","",M217+K217+H217)</f>
        <v/>
      </c>
      <c r="Q217" s="204"/>
      <c r="R217" s="200" t="str">
        <f aca="false">IF($A218="","",VLOOKUP($A217,Table,MATCH(R$4,Curves,0)))</f>
        <v/>
      </c>
      <c r="S217" s="201" t="str">
        <f aca="false">IF(A218="","",R217)</f>
        <v/>
      </c>
      <c r="T217" s="200" t="str">
        <f aca="false">IF($A218="","",VLOOKUP($A217,Table,MATCH(T$4,Curves,0)))</f>
        <v/>
      </c>
      <c r="U217" s="201" t="str">
        <f aca="false">IF(A218="","",T217)</f>
        <v/>
      </c>
      <c r="V217" s="225" t="str">
        <f aca="false">IF($A218="","",IF(AND(MONTH(A217)&gt;3,MONTH(A217)&lt;11),(T217+R217+G217)*Summary!$T$9/(1-Summary!$T$9),(T217+R217+G217)*Summary!$U$9/(1-Summary!$U$9)))</f>
        <v/>
      </c>
      <c r="W217" s="200" t="str">
        <f aca="false">IF($A218="","",(T217+R217+G217+V217))</f>
        <v/>
      </c>
      <c r="X217" s="200" t="str">
        <f aca="false">IF($A218="","",(U217+S217+H217+V217))</f>
        <v/>
      </c>
      <c r="Y217" s="202"/>
      <c r="Z217" s="185" t="str">
        <f aca="false">IF($A218="","",VLOOKUP($A217,Table,MATCH(Z$4,Curves,0)))</f>
        <v/>
      </c>
      <c r="AA217" s="185" t="str">
        <f aca="false">IF($A218="","",VLOOKUP($A217,Table,MATCH(AA$4,Curves,0)))</f>
        <v/>
      </c>
      <c r="AB217" s="185" t="e">
        <f aca="false">SQRT((AA217^2*(A217-$D$3)+Z217^2*(DAY(EOMONTH(A217,0))/2))/AK217)</f>
        <v>#VALUE!</v>
      </c>
      <c r="AC217" s="185" t="str">
        <f aca="false">IF($A218="","",VLOOKUP($A217,Table,MATCH(AC$4,Curves,0)))</f>
        <v/>
      </c>
      <c r="AD217" s="185" t="str">
        <f aca="false">IF($A218="","",VLOOKUP($A217,Table,MATCH(AD$4,Curves,0)))</f>
        <v/>
      </c>
      <c r="AE217" s="185" t="e">
        <f aca="false">SQRT((AD217^2*(A217-$D$3)+AC217^2*(DAY(EOMONTH(A217,0))/2))/AK217)</f>
        <v>#VALUE!</v>
      </c>
      <c r="AF217" s="224" t="e">
        <f aca="false">((Summary!$N$9*(AA217*AD217)*(A217-$D$3))+(Summary!$M$9*Z217*AC217*(AJ217-EOMONTH(EDATE(A217,-1),0))))/(AK217*AB217*AE217)</f>
        <v>#VALUE!</v>
      </c>
      <c r="AG217" s="207" t="str">
        <f aca="false">IF($A218="","",Summary!$Q$9)</f>
        <v/>
      </c>
      <c r="AH217" s="207" t="str">
        <f aca="false">IF($A218="","",IF(Summary!$R$9="Y",VLOOKUP($A217,Summary!$AD$6:$AF$9,3)+'Escalating commodity'!E230,'Escalating commodity'!E230))</f>
        <v/>
      </c>
      <c r="AI217" s="207" t="str">
        <f aca="false">IF($A218="","",AH217)</f>
        <v/>
      </c>
      <c r="AJ217" s="208" t="e">
        <f aca="false">A217+DAY(EOMONTH(A217,0))/2-1</f>
        <v>#VALUE!</v>
      </c>
      <c r="AK217" s="209" t="str">
        <f aca="false">IF($A218="","",$A217-$E$1)</f>
        <v/>
      </c>
      <c r="AL217" s="182" t="str">
        <f aca="false">IF($A218="","",SPRDOPT(P217,X217,AI217,0,AB217,AE217,AF217,AK217,$AJ$2,0))</f>
        <v/>
      </c>
      <c r="AM217" s="211" t="str">
        <f aca="false">IF($A218="","",MAX(0,O217-W217-AI217))</f>
        <v/>
      </c>
      <c r="AN217" s="211" t="str">
        <f aca="false">IF($A218="","",AL217-AM217)</f>
        <v/>
      </c>
      <c r="AO217" s="137" t="str">
        <f aca="false">IF(A218="","",A218-A217)</f>
        <v/>
      </c>
      <c r="AP217" s="212" t="str">
        <f aca="false">IF(A218="","",CHOOSE(F$3,A218+24,A217))</f>
        <v/>
      </c>
      <c r="AQ217" s="209" t="str">
        <f aca="false">IF(A218="","",AP217-$E$1)</f>
        <v/>
      </c>
      <c r="AR217" s="185" t="n">
        <f aca="false">'ANR OK vs ML7'!AR217</f>
        <v>0.1</v>
      </c>
      <c r="AS217" s="213" t="str">
        <f aca="false">IF(A218="","",1/(1+CHOOSE(F$3,(AR218+($I$3/10000))/2,(AR217+($I$3/10000))/2))^(2*AQ217/365.25))</f>
        <v/>
      </c>
      <c r="AT217" s="137" t="str">
        <f aca="false">IF(A218="","",IF(AND(mthbeg&lt;=A217,mthend&gt;=A217),1,0))</f>
        <v/>
      </c>
      <c r="AU217" s="137" t="str">
        <f aca="false">IF(A218="","",AO217*AT217)</f>
        <v/>
      </c>
      <c r="AW217" s="195" t="str">
        <f aca="false">IF($A218="","",AL217*$E217)</f>
        <v/>
      </c>
      <c r="AX217" s="195" t="str">
        <f aca="false">IF($A218="","",AM217*$E217)</f>
        <v/>
      </c>
      <c r="AY217" s="195" t="str">
        <f aca="false">IF($A218="","",AN217*$E217)</f>
        <v/>
      </c>
      <c r="BA217" s="195" t="str">
        <f aca="false">IF($A218="","",F217*Summary!$Q$9)</f>
        <v/>
      </c>
    </row>
    <row r="218" customFormat="false" ht="12" hidden="false" customHeight="true" outlineLevel="0" collapsed="false">
      <c r="A218" s="196" t="str">
        <f aca="false">IF(A217&lt;mthend,EDATE(A217,1),"")</f>
        <v/>
      </c>
      <c r="B218" s="197" t="str">
        <f aca="false">IF(A218&lt;mthend,B217,"")</f>
        <v/>
      </c>
      <c r="C218" s="215"/>
      <c r="D218" s="197" t="str">
        <f aca="false">IF(A219&lt;&gt;"",B218+C218,"")</f>
        <v/>
      </c>
      <c r="E218" s="199" t="str">
        <f aca="false">IF(A219="","",IF(AND(AT218=1,$H$3=1),D218*AO218,IF($H$3=2,D218,"N/A")))</f>
        <v/>
      </c>
      <c r="F218" s="199" t="str">
        <f aca="false">IF(A219="","",E218*AS218)</f>
        <v/>
      </c>
      <c r="G218" s="200" t="str">
        <f aca="false">IF($A219="","",VLOOKUP($A218,Table,MATCH(G$4,Curves,0)))</f>
        <v/>
      </c>
      <c r="H218" s="201" t="str">
        <f aca="false">IF(A219="","",G218)</f>
        <v/>
      </c>
      <c r="I218" s="202"/>
      <c r="J218" s="200" t="str">
        <f aca="false">IF($A219="","",VLOOKUP($A218,Table,MATCH(J$4,Curves,0)))</f>
        <v/>
      </c>
      <c r="K218" s="201" t="str">
        <f aca="false">IF(A219="","",J218)</f>
        <v/>
      </c>
      <c r="L218" s="200" t="str">
        <f aca="false">IF($A219="","",VLOOKUP($A218,Table,MATCH(L$4,Curves,0)))</f>
        <v/>
      </c>
      <c r="M218" s="201" t="str">
        <f aca="false">IF(A219="","",L218)</f>
        <v/>
      </c>
      <c r="N218" s="203"/>
      <c r="O218" s="200" t="str">
        <f aca="false">IF(A219="","",L218+J218+G218)</f>
        <v/>
      </c>
      <c r="P218" s="200" t="str">
        <f aca="false">IF(A219="","",M218+K218+H218)</f>
        <v/>
      </c>
      <c r="Q218" s="204"/>
      <c r="R218" s="200" t="str">
        <f aca="false">IF($A219="","",VLOOKUP($A218,Table,MATCH(R$4,Curves,0)))</f>
        <v/>
      </c>
      <c r="S218" s="201" t="str">
        <f aca="false">IF(A219="","",R218)</f>
        <v/>
      </c>
      <c r="T218" s="200" t="str">
        <f aca="false">IF($A219="","",VLOOKUP($A218,Table,MATCH(T$4,Curves,0)))</f>
        <v/>
      </c>
      <c r="U218" s="201" t="str">
        <f aca="false">IF(A219="","",T218)</f>
        <v/>
      </c>
      <c r="V218" s="225" t="str">
        <f aca="false">IF($A219="","",IF(AND(MONTH(A218)&gt;3,MONTH(A218)&lt;11),(T218+R218+G218)*Summary!$T$9/(1-Summary!$T$9),(T218+R218+G218)*Summary!$U$9/(1-Summary!$U$9)))</f>
        <v/>
      </c>
      <c r="W218" s="200" t="str">
        <f aca="false">IF($A219="","",(T218+R218+G218+V218))</f>
        <v/>
      </c>
      <c r="X218" s="200" t="str">
        <f aca="false">IF($A219="","",(U218+S218+H218+V218))</f>
        <v/>
      </c>
      <c r="Y218" s="202"/>
      <c r="Z218" s="185" t="str">
        <f aca="false">IF($A219="","",VLOOKUP($A218,Table,MATCH(Z$4,Curves,0)))</f>
        <v/>
      </c>
      <c r="AA218" s="185" t="str">
        <f aca="false">IF($A219="","",VLOOKUP($A218,Table,MATCH(AA$4,Curves,0)))</f>
        <v/>
      </c>
      <c r="AB218" s="185" t="e">
        <f aca="false">SQRT((AA218^2*(A218-$D$3)+Z218^2*(DAY(EOMONTH(A218,0))/2))/AK218)</f>
        <v>#VALUE!</v>
      </c>
      <c r="AC218" s="185" t="str">
        <f aca="false">IF($A219="","",VLOOKUP($A218,Table,MATCH(AC$4,Curves,0)))</f>
        <v/>
      </c>
      <c r="AD218" s="185" t="str">
        <f aca="false">IF($A219="","",VLOOKUP($A218,Table,MATCH(AD$4,Curves,0)))</f>
        <v/>
      </c>
      <c r="AE218" s="185" t="e">
        <f aca="false">SQRT((AD218^2*(A218-$D$3)+AC218^2*(DAY(EOMONTH(A218,0))/2))/AK218)</f>
        <v>#VALUE!</v>
      </c>
      <c r="AF218" s="224" t="e">
        <f aca="false">((Summary!$N$9*(AA218*AD218)*(A218-$D$3))+(Summary!$M$9*Z218*AC218*(AJ218-EOMONTH(EDATE(A218,-1),0))))/(AK218*AB218*AE218)</f>
        <v>#VALUE!</v>
      </c>
      <c r="AG218" s="207" t="str">
        <f aca="false">IF($A219="","",Summary!$Q$9)</f>
        <v/>
      </c>
      <c r="AH218" s="207" t="str">
        <f aca="false">IF($A219="","",IF(Summary!$R$9="Y",VLOOKUP($A218,Summary!$AD$6:$AF$9,3)+'Escalating commodity'!E231,'Escalating commodity'!E231))</f>
        <v/>
      </c>
      <c r="AI218" s="207" t="str">
        <f aca="false">IF($A219="","",AH218)</f>
        <v/>
      </c>
      <c r="AJ218" s="208" t="e">
        <f aca="false">A218+DAY(EOMONTH(A218,0))/2-1</f>
        <v>#VALUE!</v>
      </c>
      <c r="AK218" s="209" t="str">
        <f aca="false">IF($A219="","",$A218-$E$1)</f>
        <v/>
      </c>
      <c r="AL218" s="182" t="str">
        <f aca="false">IF($A219="","",SPRDOPT(P218,X218,AI218,0,AB218,AE218,AF218,AK218,$AJ$2,0))</f>
        <v/>
      </c>
      <c r="AM218" s="211" t="str">
        <f aca="false">IF($A219="","",MAX(0,O218-W218-AI218))</f>
        <v/>
      </c>
      <c r="AN218" s="211" t="str">
        <f aca="false">IF($A219="","",AL218-AM218)</f>
        <v/>
      </c>
      <c r="AO218" s="137" t="str">
        <f aca="false">IF(A219="","",A219-A218)</f>
        <v/>
      </c>
      <c r="AP218" s="212" t="str">
        <f aca="false">IF(A219="","",CHOOSE(F$3,A219+24,A218))</f>
        <v/>
      </c>
      <c r="AQ218" s="209" t="str">
        <f aca="false">IF(A219="","",AP218-$E$1)</f>
        <v/>
      </c>
      <c r="AR218" s="185" t="n">
        <f aca="false">'ANR OK vs ML7'!AR218</f>
        <v>0.1</v>
      </c>
      <c r="AS218" s="213" t="str">
        <f aca="false">IF(A219="","",1/(1+CHOOSE(F$3,(AR219+($I$3/10000))/2,(AR218+($I$3/10000))/2))^(2*AQ218/365.25))</f>
        <v/>
      </c>
      <c r="AT218" s="137" t="str">
        <f aca="false">IF(A219="","",IF(AND(mthbeg&lt;=A218,mthend&gt;=A218),1,0))</f>
        <v/>
      </c>
      <c r="AU218" s="137" t="str">
        <f aca="false">IF(A219="","",AO218*AT218)</f>
        <v/>
      </c>
      <c r="AW218" s="195" t="str">
        <f aca="false">IF($A219="","",AL218*$E218)</f>
        <v/>
      </c>
      <c r="AX218" s="195" t="str">
        <f aca="false">IF($A219="","",AM218*$E218)</f>
        <v/>
      </c>
      <c r="AY218" s="195" t="str">
        <f aca="false">IF($A219="","",AN218*$E218)</f>
        <v/>
      </c>
      <c r="BA218" s="195" t="str">
        <f aca="false">IF($A219="","",F218*Summary!$Q$9)</f>
        <v/>
      </c>
    </row>
    <row r="219" customFormat="false" ht="12" hidden="false" customHeight="true" outlineLevel="0" collapsed="false">
      <c r="A219" s="196" t="str">
        <f aca="false">IF(A218&lt;mthend,EDATE(A218,1),"")</f>
        <v/>
      </c>
      <c r="B219" s="197" t="str">
        <f aca="false">IF(A219&lt;mthend,B218,"")</f>
        <v/>
      </c>
      <c r="C219" s="215"/>
      <c r="D219" s="197" t="str">
        <f aca="false">IF(A220&lt;&gt;"",B219+C219,"")</f>
        <v/>
      </c>
      <c r="E219" s="199" t="str">
        <f aca="false">IF(A220="","",IF(AND(AT219=1,$H$3=1),D219*AO219,IF($H$3=2,D219,"N/A")))</f>
        <v/>
      </c>
      <c r="F219" s="199" t="str">
        <f aca="false">IF(A220="","",E219*AS219)</f>
        <v/>
      </c>
      <c r="G219" s="200" t="str">
        <f aca="false">IF($A220="","",VLOOKUP($A219,Table,MATCH(G$4,Curves,0)))</f>
        <v/>
      </c>
      <c r="H219" s="201" t="str">
        <f aca="false">IF(A220="","",G219)</f>
        <v/>
      </c>
      <c r="I219" s="202"/>
      <c r="J219" s="200" t="str">
        <f aca="false">IF($A220="","",VLOOKUP($A219,Table,MATCH(J$4,Curves,0)))</f>
        <v/>
      </c>
      <c r="K219" s="201" t="str">
        <f aca="false">IF(A220="","",J219)</f>
        <v/>
      </c>
      <c r="L219" s="200" t="str">
        <f aca="false">IF($A220="","",VLOOKUP($A219,Table,MATCH(L$4,Curves,0)))</f>
        <v/>
      </c>
      <c r="M219" s="201" t="str">
        <f aca="false">IF(A220="","",L219)</f>
        <v/>
      </c>
      <c r="N219" s="203"/>
      <c r="O219" s="200" t="str">
        <f aca="false">IF(A220="","",L219+J219+G219)</f>
        <v/>
      </c>
      <c r="P219" s="200" t="str">
        <f aca="false">IF(A220="","",M219+K219+H219)</f>
        <v/>
      </c>
      <c r="Q219" s="204"/>
      <c r="R219" s="200" t="str">
        <f aca="false">IF($A220="","",VLOOKUP($A219,Table,MATCH(R$4,Curves,0)))</f>
        <v/>
      </c>
      <c r="S219" s="201" t="str">
        <f aca="false">IF(A220="","",R219)</f>
        <v/>
      </c>
      <c r="T219" s="200" t="str">
        <f aca="false">IF($A220="","",VLOOKUP($A219,Table,MATCH(T$4,Curves,0)))</f>
        <v/>
      </c>
      <c r="U219" s="201" t="str">
        <f aca="false">IF(A220="","",T219)</f>
        <v/>
      </c>
      <c r="V219" s="225" t="str">
        <f aca="false">IF($A220="","",IF(AND(MONTH(A219)&gt;3,MONTH(A219)&lt;11),(T219+R219+G219)*Summary!$T$9/(1-Summary!$T$9),(T219+R219+G219)*Summary!$U$9/(1-Summary!$U$9)))</f>
        <v/>
      </c>
      <c r="W219" s="200" t="str">
        <f aca="false">IF($A220="","",(T219+R219+G219+V219))</f>
        <v/>
      </c>
      <c r="X219" s="200" t="str">
        <f aca="false">IF($A220="","",(U219+S219+H219+V219))</f>
        <v/>
      </c>
      <c r="Y219" s="202"/>
      <c r="Z219" s="185" t="str">
        <f aca="false">IF($A220="","",VLOOKUP($A219,Table,MATCH(Z$4,Curves,0)))</f>
        <v/>
      </c>
      <c r="AA219" s="185" t="str">
        <f aca="false">IF($A220="","",VLOOKUP($A219,Table,MATCH(AA$4,Curves,0)))</f>
        <v/>
      </c>
      <c r="AB219" s="185" t="e">
        <f aca="false">SQRT((AA219^2*(A219-$D$3)+Z219^2*(DAY(EOMONTH(A219,0))/2))/AK219)</f>
        <v>#VALUE!</v>
      </c>
      <c r="AC219" s="185" t="str">
        <f aca="false">IF($A220="","",VLOOKUP($A219,Table,MATCH(AC$4,Curves,0)))</f>
        <v/>
      </c>
      <c r="AD219" s="185" t="str">
        <f aca="false">IF($A220="","",VLOOKUP($A219,Table,MATCH(AD$4,Curves,0)))</f>
        <v/>
      </c>
      <c r="AE219" s="185" t="e">
        <f aca="false">SQRT((AD219^2*(A219-$D$3)+AC219^2*(DAY(EOMONTH(A219,0))/2))/AK219)</f>
        <v>#VALUE!</v>
      </c>
      <c r="AF219" s="224" t="e">
        <f aca="false">((Summary!$N$9*(AA219*AD219)*(A219-$D$3))+(Summary!$M$9*Z219*AC219*(AJ219-EOMONTH(EDATE(A219,-1),0))))/(AK219*AB219*AE219)</f>
        <v>#VALUE!</v>
      </c>
      <c r="AG219" s="207" t="str">
        <f aca="false">IF($A220="","",Summary!$Q$9)</f>
        <v/>
      </c>
      <c r="AH219" s="207" t="str">
        <f aca="false">IF($A220="","",IF(Summary!$R$9="Y",VLOOKUP($A219,Summary!$AD$6:$AF$9,3)+'Escalating commodity'!E232,'Escalating commodity'!E232))</f>
        <v/>
      </c>
      <c r="AI219" s="207" t="str">
        <f aca="false">IF($A220="","",AH219)</f>
        <v/>
      </c>
      <c r="AJ219" s="208" t="e">
        <f aca="false">A219+DAY(EOMONTH(A219,0))/2-1</f>
        <v>#VALUE!</v>
      </c>
      <c r="AK219" s="209" t="str">
        <f aca="false">IF($A220="","",$A219-$E$1)</f>
        <v/>
      </c>
      <c r="AL219" s="182" t="str">
        <f aca="false">IF($A220="","",SPRDOPT(P219,X219,AI219,0,AB219,AE219,AF219,AK219,$AJ$2,0))</f>
        <v/>
      </c>
      <c r="AM219" s="211" t="str">
        <f aca="false">IF($A220="","",MAX(0,O219-W219-AI219))</f>
        <v/>
      </c>
      <c r="AN219" s="211" t="str">
        <f aca="false">IF($A220="","",AL219-AM219)</f>
        <v/>
      </c>
      <c r="AO219" s="137" t="str">
        <f aca="false">IF(A220="","",A220-A219)</f>
        <v/>
      </c>
      <c r="AP219" s="212" t="str">
        <f aca="false">IF(A220="","",CHOOSE(F$3,A220+24,A219))</f>
        <v/>
      </c>
      <c r="AQ219" s="209" t="str">
        <f aca="false">IF(A220="","",AP219-$E$1)</f>
        <v/>
      </c>
      <c r="AR219" s="185" t="n">
        <f aca="false">'ANR OK vs ML7'!AR219</f>
        <v>0.1</v>
      </c>
      <c r="AS219" s="213" t="str">
        <f aca="false">IF(A220="","",1/(1+CHOOSE(F$3,(AR220+($I$3/10000))/2,(AR219+($I$3/10000))/2))^(2*AQ219/365.25))</f>
        <v/>
      </c>
      <c r="AT219" s="137" t="str">
        <f aca="false">IF(A220="","",IF(AND(mthbeg&lt;=A219,mthend&gt;=A219),1,0))</f>
        <v/>
      </c>
      <c r="AU219" s="137" t="str">
        <f aca="false">IF(A220="","",AO219*AT219)</f>
        <v/>
      </c>
      <c r="AW219" s="195" t="str">
        <f aca="false">IF($A220="","",AL219*$E219)</f>
        <v/>
      </c>
      <c r="AX219" s="195" t="str">
        <f aca="false">IF($A220="","",AM219*$E219)</f>
        <v/>
      </c>
      <c r="AY219" s="195" t="str">
        <f aca="false">IF($A220="","",AN219*$E219)</f>
        <v/>
      </c>
      <c r="BA219" s="195" t="str">
        <f aca="false">IF($A220="","",F219*Summary!$Q$9)</f>
        <v/>
      </c>
    </row>
    <row r="220" customFormat="false" ht="12" hidden="false" customHeight="true" outlineLevel="0" collapsed="false">
      <c r="A220" s="196" t="str">
        <f aca="false">IF(A219&lt;mthend,EDATE(A219,1),"")</f>
        <v/>
      </c>
      <c r="B220" s="197" t="str">
        <f aca="false">IF(A220&lt;mthend,B219,"")</f>
        <v/>
      </c>
      <c r="C220" s="215"/>
      <c r="D220" s="197" t="str">
        <f aca="false">IF(A221&lt;&gt;"",B220+C220,"")</f>
        <v/>
      </c>
      <c r="E220" s="199" t="str">
        <f aca="false">IF(A221="","",IF(AND(AT220=1,$H$3=1),D220*AO220,IF($H$3=2,D220,"N/A")))</f>
        <v/>
      </c>
      <c r="F220" s="199" t="str">
        <f aca="false">IF(A221="","",E220*AS220)</f>
        <v/>
      </c>
      <c r="G220" s="200" t="str">
        <f aca="false">IF($A221="","",VLOOKUP($A220,Table,MATCH(G$4,Curves,0)))</f>
        <v/>
      </c>
      <c r="H220" s="201" t="str">
        <f aca="false">IF(A221="","",G220)</f>
        <v/>
      </c>
      <c r="I220" s="202"/>
      <c r="J220" s="200" t="str">
        <f aca="false">IF($A221="","",VLOOKUP($A220,Table,MATCH(J$4,Curves,0)))</f>
        <v/>
      </c>
      <c r="K220" s="201" t="str">
        <f aca="false">IF(A221="","",J220)</f>
        <v/>
      </c>
      <c r="L220" s="200" t="str">
        <f aca="false">IF($A221="","",VLOOKUP($A220,Table,MATCH(L$4,Curves,0)))</f>
        <v/>
      </c>
      <c r="M220" s="201" t="str">
        <f aca="false">IF(A221="","",L220)</f>
        <v/>
      </c>
      <c r="N220" s="203"/>
      <c r="O220" s="200" t="str">
        <f aca="false">IF(A221="","",L220+J220+G220)</f>
        <v/>
      </c>
      <c r="P220" s="200" t="str">
        <f aca="false">IF(A221="","",M220+K220+H220)</f>
        <v/>
      </c>
      <c r="Q220" s="204"/>
      <c r="R220" s="200" t="str">
        <f aca="false">IF($A221="","",VLOOKUP($A220,Table,MATCH(R$4,Curves,0)))</f>
        <v/>
      </c>
      <c r="S220" s="201" t="str">
        <f aca="false">IF(A221="","",R220)</f>
        <v/>
      </c>
      <c r="T220" s="200" t="str">
        <f aca="false">IF($A221="","",VLOOKUP($A220,Table,MATCH(T$4,Curves,0)))</f>
        <v/>
      </c>
      <c r="U220" s="201" t="str">
        <f aca="false">IF(A221="","",T220)</f>
        <v/>
      </c>
      <c r="V220" s="225" t="str">
        <f aca="false">IF($A221="","",IF(AND(MONTH(A220)&gt;3,MONTH(A220)&lt;11),(T220+R220+G220)*Summary!$T$9/(1-Summary!$T$9),(T220+R220+G220)*Summary!$U$9/(1-Summary!$U$9)))</f>
        <v/>
      </c>
      <c r="W220" s="200" t="str">
        <f aca="false">IF($A221="","",(T220+R220+G220+V220))</f>
        <v/>
      </c>
      <c r="X220" s="200" t="str">
        <f aca="false">IF($A221="","",(U220+S220+H220+V220))</f>
        <v/>
      </c>
      <c r="Y220" s="202"/>
      <c r="Z220" s="185" t="str">
        <f aca="false">IF($A221="","",VLOOKUP($A220,Table,MATCH(Z$4,Curves,0)))</f>
        <v/>
      </c>
      <c r="AA220" s="185" t="str">
        <f aca="false">IF($A221="","",VLOOKUP($A220,Table,MATCH(AA$4,Curves,0)))</f>
        <v/>
      </c>
      <c r="AB220" s="185" t="e">
        <f aca="false">SQRT((AA220^2*(A220-$D$3)+Z220^2*(DAY(EOMONTH(A220,0))/2))/AK220)</f>
        <v>#VALUE!</v>
      </c>
      <c r="AC220" s="185" t="str">
        <f aca="false">IF($A221="","",VLOOKUP($A220,Table,MATCH(AC$4,Curves,0)))</f>
        <v/>
      </c>
      <c r="AD220" s="185" t="str">
        <f aca="false">IF($A221="","",VLOOKUP($A220,Table,MATCH(AD$4,Curves,0)))</f>
        <v/>
      </c>
      <c r="AE220" s="185" t="e">
        <f aca="false">SQRT((AD220^2*(A220-$D$3)+AC220^2*(DAY(EOMONTH(A220,0))/2))/AK220)</f>
        <v>#VALUE!</v>
      </c>
      <c r="AF220" s="224" t="e">
        <f aca="false">((Summary!$N$9*(AA220*AD220)*(A220-$D$3))+(Summary!$M$9*Z220*AC220*(AJ220-EOMONTH(EDATE(A220,-1),0))))/(AK220*AB220*AE220)</f>
        <v>#VALUE!</v>
      </c>
      <c r="AG220" s="207" t="str">
        <f aca="false">IF($A221="","",Summary!$Q$9)</f>
        <v/>
      </c>
      <c r="AH220" s="207" t="str">
        <f aca="false">IF($A221="","",IF(Summary!$R$9="Y",VLOOKUP($A220,Summary!$AD$6:$AF$9,3)+'Escalating commodity'!E233,'Escalating commodity'!E233))</f>
        <v/>
      </c>
      <c r="AI220" s="207" t="str">
        <f aca="false">IF($A221="","",AH220)</f>
        <v/>
      </c>
      <c r="AJ220" s="208" t="e">
        <f aca="false">A220+DAY(EOMONTH(A220,0))/2-1</f>
        <v>#VALUE!</v>
      </c>
      <c r="AK220" s="209" t="str">
        <f aca="false">IF($A221="","",$A220-$E$1)</f>
        <v/>
      </c>
      <c r="AL220" s="182" t="str">
        <f aca="false">IF($A221="","",SPRDOPT(P220,X220,AI220,0,AB220,AE220,AF220,AK220,$AJ$2,0))</f>
        <v/>
      </c>
      <c r="AM220" s="211" t="str">
        <f aca="false">IF($A221="","",MAX(0,O220-W220-AI220))</f>
        <v/>
      </c>
      <c r="AN220" s="211" t="str">
        <f aca="false">IF($A221="","",AL220-AM220)</f>
        <v/>
      </c>
      <c r="AO220" s="137" t="str">
        <f aca="false">IF(A221="","",A221-A220)</f>
        <v/>
      </c>
      <c r="AP220" s="212" t="str">
        <f aca="false">IF(A221="","",CHOOSE(F$3,A221+24,A220))</f>
        <v/>
      </c>
      <c r="AQ220" s="209" t="str">
        <f aca="false">IF(A221="","",AP220-$E$1)</f>
        <v/>
      </c>
      <c r="AR220" s="185" t="n">
        <f aca="false">'ANR OK vs ML7'!AR220</f>
        <v>0.1</v>
      </c>
      <c r="AS220" s="213" t="str">
        <f aca="false">IF(A221="","",1/(1+CHOOSE(F$3,(AR221+($I$3/10000))/2,(AR220+($I$3/10000))/2))^(2*AQ220/365.25))</f>
        <v/>
      </c>
      <c r="AT220" s="137" t="str">
        <f aca="false">IF(A221="","",IF(AND(mthbeg&lt;=A220,mthend&gt;=A220),1,0))</f>
        <v/>
      </c>
      <c r="AU220" s="137" t="str">
        <f aca="false">IF(A221="","",AO220*AT220)</f>
        <v/>
      </c>
      <c r="AW220" s="195" t="str">
        <f aca="false">IF($A221="","",AL220*$E220)</f>
        <v/>
      </c>
      <c r="AX220" s="195" t="str">
        <f aca="false">IF($A221="","",AM220*$E220)</f>
        <v/>
      </c>
      <c r="AY220" s="195" t="str">
        <f aca="false">IF($A221="","",AN220*$E220)</f>
        <v/>
      </c>
      <c r="BA220" s="195" t="str">
        <f aca="false">IF($A221="","",F220*Summary!$Q$9)</f>
        <v/>
      </c>
    </row>
    <row r="221" customFormat="false" ht="12" hidden="false" customHeight="true" outlineLevel="0" collapsed="false">
      <c r="A221" s="196" t="str">
        <f aca="false">IF(A220&lt;mthend,EDATE(A220,1),"")</f>
        <v/>
      </c>
      <c r="B221" s="197" t="str">
        <f aca="false">IF(A221&lt;mthend,B220,"")</f>
        <v/>
      </c>
      <c r="C221" s="215"/>
      <c r="D221" s="197" t="str">
        <f aca="false">IF(A222&lt;&gt;"",B221+C221,"")</f>
        <v/>
      </c>
      <c r="E221" s="199" t="str">
        <f aca="false">IF(A222="","",IF(AND(AT221=1,$H$3=1),D221*AO221,IF($H$3=2,D221,"N/A")))</f>
        <v/>
      </c>
      <c r="F221" s="199" t="str">
        <f aca="false">IF(A222="","",E221*AS221)</f>
        <v/>
      </c>
      <c r="G221" s="200" t="str">
        <f aca="false">IF($A222="","",VLOOKUP($A221,Table,MATCH(G$4,Curves,0)))</f>
        <v/>
      </c>
      <c r="H221" s="201" t="str">
        <f aca="false">IF(A222="","",G221)</f>
        <v/>
      </c>
      <c r="I221" s="202"/>
      <c r="J221" s="200" t="str">
        <f aca="false">IF($A222="","",VLOOKUP($A221,Table,MATCH(J$4,Curves,0)))</f>
        <v/>
      </c>
      <c r="K221" s="201" t="str">
        <f aca="false">IF(A222="","",J221)</f>
        <v/>
      </c>
      <c r="L221" s="200" t="str">
        <f aca="false">IF($A222="","",VLOOKUP($A221,Table,MATCH(L$4,Curves,0)))</f>
        <v/>
      </c>
      <c r="M221" s="201" t="str">
        <f aca="false">IF(A222="","",L221)</f>
        <v/>
      </c>
      <c r="N221" s="203"/>
      <c r="O221" s="200" t="str">
        <f aca="false">IF(A222="","",L221+J221+G221)</f>
        <v/>
      </c>
      <c r="P221" s="200" t="str">
        <f aca="false">IF(A222="","",M221+K221+H221)</f>
        <v/>
      </c>
      <c r="Q221" s="204"/>
      <c r="R221" s="200" t="str">
        <f aca="false">IF($A222="","",VLOOKUP($A221,Table,MATCH(R$4,Curves,0)))</f>
        <v/>
      </c>
      <c r="S221" s="201" t="str">
        <f aca="false">IF(A222="","",R221)</f>
        <v/>
      </c>
      <c r="T221" s="200" t="str">
        <f aca="false">IF($A222="","",VLOOKUP($A221,Table,MATCH(T$4,Curves,0)))</f>
        <v/>
      </c>
      <c r="U221" s="201" t="str">
        <f aca="false">IF(A222="","",T221)</f>
        <v/>
      </c>
      <c r="V221" s="225" t="str">
        <f aca="false">IF($A222="","",IF(AND(MONTH(A221)&gt;3,MONTH(A221)&lt;11),(T221+R221+G221)*Summary!$T$9/(1-Summary!$T$9),(T221+R221+G221)*Summary!$U$9/(1-Summary!$U$9)))</f>
        <v/>
      </c>
      <c r="W221" s="200" t="str">
        <f aca="false">IF($A222="","",(T221+R221+G221+V221))</f>
        <v/>
      </c>
      <c r="X221" s="200" t="str">
        <f aca="false">IF($A222="","",(U221+S221+H221+V221))</f>
        <v/>
      </c>
      <c r="Y221" s="202"/>
      <c r="Z221" s="185" t="str">
        <f aca="false">IF($A222="","",VLOOKUP($A221,Table,MATCH(Z$4,Curves,0)))</f>
        <v/>
      </c>
      <c r="AA221" s="185" t="str">
        <f aca="false">IF($A222="","",VLOOKUP($A221,Table,MATCH(AA$4,Curves,0)))</f>
        <v/>
      </c>
      <c r="AB221" s="185" t="e">
        <f aca="false">SQRT((AA221^2*(A221-$D$3)+Z221^2*(DAY(EOMONTH(A221,0))/2))/AK221)</f>
        <v>#VALUE!</v>
      </c>
      <c r="AC221" s="185" t="str">
        <f aca="false">IF($A222="","",VLOOKUP($A221,Table,MATCH(AC$4,Curves,0)))</f>
        <v/>
      </c>
      <c r="AD221" s="185" t="str">
        <f aca="false">IF($A222="","",VLOOKUP($A221,Table,MATCH(AD$4,Curves,0)))</f>
        <v/>
      </c>
      <c r="AE221" s="185" t="e">
        <f aca="false">SQRT((AD221^2*(A221-$D$3)+AC221^2*(DAY(EOMONTH(A221,0))/2))/AK221)</f>
        <v>#VALUE!</v>
      </c>
      <c r="AF221" s="224" t="e">
        <f aca="false">((Summary!$N$9*(AA221*AD221)*(A221-$D$3))+(Summary!$M$9*Z221*AC221*(AJ221-EOMONTH(EDATE(A221,-1),0))))/(AK221*AB221*AE221)</f>
        <v>#VALUE!</v>
      </c>
      <c r="AG221" s="207" t="str">
        <f aca="false">IF($A222="","",Summary!$Q$9)</f>
        <v/>
      </c>
      <c r="AH221" s="207" t="str">
        <f aca="false">IF($A222="","",IF(Summary!$R$9="Y",VLOOKUP($A221,Summary!$AD$6:$AF$9,3)+'Escalating commodity'!E234,'Escalating commodity'!E234))</f>
        <v/>
      </c>
      <c r="AI221" s="207" t="str">
        <f aca="false">IF($A222="","",AH221)</f>
        <v/>
      </c>
      <c r="AJ221" s="208" t="e">
        <f aca="false">A221+DAY(EOMONTH(A221,0))/2-1</f>
        <v>#VALUE!</v>
      </c>
      <c r="AK221" s="209" t="str">
        <f aca="false">IF($A222="","",$A221-$E$1)</f>
        <v/>
      </c>
      <c r="AL221" s="182" t="str">
        <f aca="false">IF($A222="","",SPRDOPT(P221,X221,AI221,0,AB221,AE221,AF221,AK221,$AJ$2,0))</f>
        <v/>
      </c>
      <c r="AM221" s="211" t="str">
        <f aca="false">IF($A222="","",MAX(0,O221-W221-AI221))</f>
        <v/>
      </c>
      <c r="AN221" s="211" t="str">
        <f aca="false">IF($A222="","",AL221-AM221)</f>
        <v/>
      </c>
      <c r="AO221" s="137" t="str">
        <f aca="false">IF(A222="","",A222-A221)</f>
        <v/>
      </c>
      <c r="AP221" s="212" t="str">
        <f aca="false">IF(A222="","",CHOOSE(F$3,A222+24,A221))</f>
        <v/>
      </c>
      <c r="AQ221" s="209" t="str">
        <f aca="false">IF(A222="","",AP221-$E$1)</f>
        <v/>
      </c>
      <c r="AR221" s="185" t="n">
        <f aca="false">'ANR OK vs ML7'!AR221</f>
        <v>0.1</v>
      </c>
      <c r="AS221" s="213" t="str">
        <f aca="false">IF(A222="","",1/(1+CHOOSE(F$3,(AR222+($I$3/10000))/2,(AR221+($I$3/10000))/2))^(2*AQ221/365.25))</f>
        <v/>
      </c>
      <c r="AT221" s="137" t="str">
        <f aca="false">IF(A222="","",IF(AND(mthbeg&lt;=A221,mthend&gt;=A221),1,0))</f>
        <v/>
      </c>
      <c r="AU221" s="137" t="str">
        <f aca="false">IF(A222="","",AO221*AT221)</f>
        <v/>
      </c>
      <c r="AW221" s="195" t="str">
        <f aca="false">IF($A222="","",AL221*$E221)</f>
        <v/>
      </c>
      <c r="AX221" s="195" t="str">
        <f aca="false">IF($A222="","",AM221*$E221)</f>
        <v/>
      </c>
      <c r="AY221" s="195" t="str">
        <f aca="false">IF($A222="","",AN221*$E221)</f>
        <v/>
      </c>
      <c r="BA221" s="195" t="str">
        <f aca="false">IF($A222="","",F221*Summary!$Q$9)</f>
        <v/>
      </c>
    </row>
    <row r="222" customFormat="false" ht="12" hidden="false" customHeight="true" outlineLevel="0" collapsed="false">
      <c r="A222" s="196" t="str">
        <f aca="false">IF(A221&lt;mthend,EDATE(A221,1),"")</f>
        <v/>
      </c>
      <c r="B222" s="197" t="str">
        <f aca="false">IF(A222&lt;mthend,B221,"")</f>
        <v/>
      </c>
      <c r="C222" s="215"/>
      <c r="D222" s="197" t="str">
        <f aca="false">IF(A223&lt;&gt;"",B222+C222,"")</f>
        <v/>
      </c>
      <c r="E222" s="199" t="str">
        <f aca="false">IF(A223="","",IF(AND(AT222=1,$H$3=1),D222*AO222,IF($H$3=2,D222,"N/A")))</f>
        <v/>
      </c>
      <c r="F222" s="199" t="str">
        <f aca="false">IF(A223="","",E222*AS222)</f>
        <v/>
      </c>
      <c r="G222" s="200" t="str">
        <f aca="false">IF($A223="","",VLOOKUP($A222,Table,MATCH(G$4,Curves,0)))</f>
        <v/>
      </c>
      <c r="H222" s="201" t="str">
        <f aca="false">IF(A223="","",G222)</f>
        <v/>
      </c>
      <c r="I222" s="202"/>
      <c r="J222" s="200" t="str">
        <f aca="false">IF($A223="","",VLOOKUP($A222,Table,MATCH(J$4,Curves,0)))</f>
        <v/>
      </c>
      <c r="K222" s="201" t="str">
        <f aca="false">IF(A223="","",J222)</f>
        <v/>
      </c>
      <c r="L222" s="200" t="str">
        <f aca="false">IF($A223="","",VLOOKUP($A222,Table,MATCH(L$4,Curves,0)))</f>
        <v/>
      </c>
      <c r="M222" s="201" t="str">
        <f aca="false">IF(A223="","",L222)</f>
        <v/>
      </c>
      <c r="N222" s="203"/>
      <c r="O222" s="200" t="str">
        <f aca="false">IF(A223="","",L222+J222+G222)</f>
        <v/>
      </c>
      <c r="P222" s="200" t="str">
        <f aca="false">IF(A223="","",M222+K222+H222)</f>
        <v/>
      </c>
      <c r="Q222" s="204"/>
      <c r="R222" s="200" t="str">
        <f aca="false">IF($A223="","",VLOOKUP($A222,Table,MATCH(R$4,Curves,0)))</f>
        <v/>
      </c>
      <c r="S222" s="201" t="str">
        <f aca="false">IF(A223="","",R222)</f>
        <v/>
      </c>
      <c r="T222" s="200" t="str">
        <f aca="false">IF($A223="","",VLOOKUP($A222,Table,MATCH(T$4,Curves,0)))</f>
        <v/>
      </c>
      <c r="U222" s="201" t="str">
        <f aca="false">IF(A223="","",T222)</f>
        <v/>
      </c>
      <c r="V222" s="225" t="str">
        <f aca="false">IF($A223="","",IF(AND(MONTH(A222)&gt;3,MONTH(A222)&lt;11),(T222+R222+G222)*Summary!$T$9/(1-Summary!$T$9),(T222+R222+G222)*Summary!$U$9/(1-Summary!$U$9)))</f>
        <v/>
      </c>
      <c r="W222" s="200" t="str">
        <f aca="false">IF($A223="","",(T222+R222+G222+V222))</f>
        <v/>
      </c>
      <c r="X222" s="200" t="str">
        <f aca="false">IF($A223="","",(U222+S222+H222+V222))</f>
        <v/>
      </c>
      <c r="Y222" s="202"/>
      <c r="Z222" s="185" t="str">
        <f aca="false">IF($A223="","",VLOOKUP($A222,Table,MATCH(Z$4,Curves,0)))</f>
        <v/>
      </c>
      <c r="AA222" s="185" t="str">
        <f aca="false">IF($A223="","",VLOOKUP($A222,Table,MATCH(AA$4,Curves,0)))</f>
        <v/>
      </c>
      <c r="AB222" s="185" t="e">
        <f aca="false">SQRT((AA222^2*(A222-$D$3)+Z222^2*(DAY(EOMONTH(A222,0))/2))/AK222)</f>
        <v>#VALUE!</v>
      </c>
      <c r="AC222" s="185" t="str">
        <f aca="false">IF($A223="","",VLOOKUP($A222,Table,MATCH(AC$4,Curves,0)))</f>
        <v/>
      </c>
      <c r="AD222" s="185" t="str">
        <f aca="false">IF($A223="","",VLOOKUP($A222,Table,MATCH(AD$4,Curves,0)))</f>
        <v/>
      </c>
      <c r="AE222" s="185" t="e">
        <f aca="false">SQRT((AD222^2*(A222-$D$3)+AC222^2*(DAY(EOMONTH(A222,0))/2))/AK222)</f>
        <v>#VALUE!</v>
      </c>
      <c r="AF222" s="224" t="e">
        <f aca="false">((Summary!$N$9*(AA222*AD222)*(A222-$D$3))+(Summary!$M$9*Z222*AC222*(AJ222-EOMONTH(EDATE(A222,-1),0))))/(AK222*AB222*AE222)</f>
        <v>#VALUE!</v>
      </c>
      <c r="AG222" s="207" t="str">
        <f aca="false">IF($A223="","",Summary!$Q$9)</f>
        <v/>
      </c>
      <c r="AH222" s="207" t="str">
        <f aca="false">IF($A223="","",IF(Summary!$R$9="Y",VLOOKUP($A222,Summary!$AD$6:$AF$9,3)+'Escalating commodity'!E235,'Escalating commodity'!E235))</f>
        <v/>
      </c>
      <c r="AI222" s="207" t="str">
        <f aca="false">IF($A223="","",AH222)</f>
        <v/>
      </c>
      <c r="AJ222" s="208" t="e">
        <f aca="false">A222+DAY(EOMONTH(A222,0))/2-1</f>
        <v>#VALUE!</v>
      </c>
      <c r="AK222" s="209" t="str">
        <f aca="false">IF($A223="","",$A222-$E$1)</f>
        <v/>
      </c>
      <c r="AL222" s="182" t="str">
        <f aca="false">IF($A223="","",SPRDOPT(P222,X222,AI222,0,AB222,AE222,AF222,AK222,$AJ$2,0))</f>
        <v/>
      </c>
      <c r="AM222" s="211" t="str">
        <f aca="false">IF($A223="","",MAX(0,O222-W222-AI222))</f>
        <v/>
      </c>
      <c r="AN222" s="211" t="str">
        <f aca="false">IF($A223="","",AL222-AM222)</f>
        <v/>
      </c>
      <c r="AO222" s="137" t="str">
        <f aca="false">IF(A223="","",A223-A222)</f>
        <v/>
      </c>
      <c r="AP222" s="212" t="str">
        <f aca="false">IF(A223="","",CHOOSE(F$3,A223+24,A222))</f>
        <v/>
      </c>
      <c r="AQ222" s="209" t="str">
        <f aca="false">IF(A223="","",AP222-$E$1)</f>
        <v/>
      </c>
      <c r="AR222" s="185" t="n">
        <f aca="false">'ANR OK vs ML7'!AR222</f>
        <v>0.1</v>
      </c>
      <c r="AS222" s="213" t="str">
        <f aca="false">IF(A223="","",1/(1+CHOOSE(F$3,(AR223+($I$3/10000))/2,(AR222+($I$3/10000))/2))^(2*AQ222/365.25))</f>
        <v/>
      </c>
      <c r="AT222" s="137" t="str">
        <f aca="false">IF(A223="","",IF(AND(mthbeg&lt;=A222,mthend&gt;=A222),1,0))</f>
        <v/>
      </c>
      <c r="AU222" s="137" t="str">
        <f aca="false">IF(A223="","",AO222*AT222)</f>
        <v/>
      </c>
      <c r="AW222" s="195" t="str">
        <f aca="false">IF($A223="","",AL222*$E222)</f>
        <v/>
      </c>
      <c r="AX222" s="195" t="str">
        <f aca="false">IF($A223="","",AM222*$E222)</f>
        <v/>
      </c>
      <c r="AY222" s="195" t="str">
        <f aca="false">IF($A223="","",AN222*$E222)</f>
        <v/>
      </c>
      <c r="BA222" s="195" t="str">
        <f aca="false">IF($A223="","",F222*Summary!$Q$9)</f>
        <v/>
      </c>
    </row>
    <row r="223" customFormat="false" ht="12" hidden="false" customHeight="true" outlineLevel="0" collapsed="false">
      <c r="A223" s="196" t="str">
        <f aca="false">IF(A222&lt;mthend,EDATE(A222,1),"")</f>
        <v/>
      </c>
      <c r="B223" s="197" t="str">
        <f aca="false">IF(A223&lt;mthend,B222,"")</f>
        <v/>
      </c>
      <c r="C223" s="215"/>
      <c r="D223" s="197" t="str">
        <f aca="false">IF(A224&lt;&gt;"",B223+C223,"")</f>
        <v/>
      </c>
      <c r="E223" s="199" t="str">
        <f aca="false">IF(A224="","",IF(AND(AT223=1,$H$3=1),D223*AO223,IF($H$3=2,D223,"N/A")))</f>
        <v/>
      </c>
      <c r="F223" s="199" t="str">
        <f aca="false">IF(A224="","",E223*AS223)</f>
        <v/>
      </c>
      <c r="G223" s="200" t="str">
        <f aca="false">IF($A224="","",VLOOKUP($A223,Table,MATCH(G$4,Curves,0)))</f>
        <v/>
      </c>
      <c r="H223" s="201" t="str">
        <f aca="false">IF(A224="","",G223)</f>
        <v/>
      </c>
      <c r="I223" s="202"/>
      <c r="J223" s="200" t="str">
        <f aca="false">IF($A224="","",VLOOKUP($A223,Table,MATCH(J$4,Curves,0)))</f>
        <v/>
      </c>
      <c r="K223" s="201" t="str">
        <f aca="false">IF(A224="","",J223)</f>
        <v/>
      </c>
      <c r="L223" s="200" t="str">
        <f aca="false">IF($A224="","",VLOOKUP($A223,Table,MATCH(L$4,Curves,0)))</f>
        <v/>
      </c>
      <c r="M223" s="201" t="str">
        <f aca="false">IF(A224="","",L223)</f>
        <v/>
      </c>
      <c r="N223" s="203"/>
      <c r="O223" s="200" t="str">
        <f aca="false">IF(A224="","",L223+J223+G223)</f>
        <v/>
      </c>
      <c r="P223" s="200" t="str">
        <f aca="false">IF(A224="","",M223+K223+H223)</f>
        <v/>
      </c>
      <c r="Q223" s="204"/>
      <c r="R223" s="200" t="str">
        <f aca="false">IF($A224="","",VLOOKUP($A223,Table,MATCH(R$4,Curves,0)))</f>
        <v/>
      </c>
      <c r="S223" s="201" t="str">
        <f aca="false">IF(A224="","",R223)</f>
        <v/>
      </c>
      <c r="T223" s="200" t="str">
        <f aca="false">IF($A224="","",VLOOKUP($A223,Table,MATCH(T$4,Curves,0)))</f>
        <v/>
      </c>
      <c r="U223" s="201" t="str">
        <f aca="false">IF(A224="","",T223)</f>
        <v/>
      </c>
      <c r="V223" s="225" t="str">
        <f aca="false">IF($A224="","",IF(AND(MONTH(A223)&gt;3,MONTH(A223)&lt;11),(T223+R223+G223)*Summary!$T$9/(1-Summary!$T$9),(T223+R223+G223)*Summary!$U$9/(1-Summary!$U$9)))</f>
        <v/>
      </c>
      <c r="W223" s="200" t="str">
        <f aca="false">IF($A224="","",(T223+R223+G223+V223))</f>
        <v/>
      </c>
      <c r="X223" s="200" t="str">
        <f aca="false">IF($A224="","",(U223+S223+H223+V223))</f>
        <v/>
      </c>
      <c r="Y223" s="202"/>
      <c r="Z223" s="185" t="str">
        <f aca="false">IF($A224="","",VLOOKUP($A223,Table,MATCH(Z$4,Curves,0)))</f>
        <v/>
      </c>
      <c r="AA223" s="185" t="str">
        <f aca="false">IF($A224="","",VLOOKUP($A223,Table,MATCH(AA$4,Curves,0)))</f>
        <v/>
      </c>
      <c r="AB223" s="185" t="e">
        <f aca="false">SQRT((AA223^2*(A223-$D$3)+Z223^2*(DAY(EOMONTH(A223,0))/2))/AK223)</f>
        <v>#VALUE!</v>
      </c>
      <c r="AC223" s="185" t="str">
        <f aca="false">IF($A224="","",VLOOKUP($A223,Table,MATCH(AC$4,Curves,0)))</f>
        <v/>
      </c>
      <c r="AD223" s="185" t="str">
        <f aca="false">IF($A224="","",VLOOKUP($A223,Table,MATCH(AD$4,Curves,0)))</f>
        <v/>
      </c>
      <c r="AE223" s="185" t="e">
        <f aca="false">SQRT((AD223^2*(A223-$D$3)+AC223^2*(DAY(EOMONTH(A223,0))/2))/AK223)</f>
        <v>#VALUE!</v>
      </c>
      <c r="AF223" s="224" t="e">
        <f aca="false">((Summary!$N$9*(AA223*AD223)*(A223-$D$3))+(Summary!$M$9*Z223*AC223*(AJ223-EOMONTH(EDATE(A223,-1),0))))/(AK223*AB223*AE223)</f>
        <v>#VALUE!</v>
      </c>
      <c r="AG223" s="207" t="str">
        <f aca="false">IF($A224="","",Summary!$Q$9)</f>
        <v/>
      </c>
      <c r="AH223" s="207" t="str">
        <f aca="false">IF($A224="","",IF(Summary!$R$9="Y",VLOOKUP($A223,Summary!$AD$6:$AF$9,3)+'Escalating commodity'!E236,'Escalating commodity'!E236))</f>
        <v/>
      </c>
      <c r="AI223" s="207" t="str">
        <f aca="false">IF($A224="","",AH223)</f>
        <v/>
      </c>
      <c r="AJ223" s="208" t="e">
        <f aca="false">A223+DAY(EOMONTH(A223,0))/2-1</f>
        <v>#VALUE!</v>
      </c>
      <c r="AK223" s="209" t="str">
        <f aca="false">IF($A224="","",$A223-$E$1)</f>
        <v/>
      </c>
      <c r="AL223" s="182" t="str">
        <f aca="false">IF($A224="","",SPRDOPT(P223,X223,AI223,0,AB223,AE223,AF223,AK223,$AJ$2,0))</f>
        <v/>
      </c>
      <c r="AM223" s="211" t="str">
        <f aca="false">IF($A224="","",MAX(0,O223-W223-AI223))</f>
        <v/>
      </c>
      <c r="AN223" s="211" t="str">
        <f aca="false">IF($A224="","",AL223-AM223)</f>
        <v/>
      </c>
      <c r="AO223" s="137" t="str">
        <f aca="false">IF(A224="","",A224-A223)</f>
        <v/>
      </c>
      <c r="AP223" s="212" t="str">
        <f aca="false">IF(A224="","",CHOOSE(F$3,A224+24,A223))</f>
        <v/>
      </c>
      <c r="AQ223" s="209" t="str">
        <f aca="false">IF(A224="","",AP223-$E$1)</f>
        <v/>
      </c>
      <c r="AR223" s="185" t="n">
        <f aca="false">'ANR OK vs ML7'!AR223</f>
        <v>0.1</v>
      </c>
      <c r="AS223" s="213" t="str">
        <f aca="false">IF(A224="","",1/(1+CHOOSE(F$3,(AR224+($I$3/10000))/2,(AR223+($I$3/10000))/2))^(2*AQ223/365.25))</f>
        <v/>
      </c>
      <c r="AT223" s="137" t="str">
        <f aca="false">IF(A224="","",IF(AND(mthbeg&lt;=A223,mthend&gt;=A223),1,0))</f>
        <v/>
      </c>
      <c r="AU223" s="137" t="str">
        <f aca="false">IF(A224="","",AO223*AT223)</f>
        <v/>
      </c>
      <c r="AW223" s="195" t="str">
        <f aca="false">IF($A224="","",AL223*$E223)</f>
        <v/>
      </c>
      <c r="AX223" s="195" t="str">
        <f aca="false">IF($A224="","",AM223*$E223)</f>
        <v/>
      </c>
      <c r="AY223" s="195" t="str">
        <f aca="false">IF($A224="","",AN223*$E223)</f>
        <v/>
      </c>
      <c r="BA223" s="195" t="str">
        <f aca="false">IF($A224="","",F223*Summary!$Q$9)</f>
        <v/>
      </c>
    </row>
    <row r="224" customFormat="false" ht="12" hidden="false" customHeight="true" outlineLevel="0" collapsed="false">
      <c r="A224" s="196" t="str">
        <f aca="false">IF(A223&lt;mthend,EDATE(A223,1),"")</f>
        <v/>
      </c>
      <c r="B224" s="197" t="str">
        <f aca="false">IF(A224&lt;mthend,B223,"")</f>
        <v/>
      </c>
      <c r="C224" s="215"/>
      <c r="D224" s="197" t="str">
        <f aca="false">IF(A225&lt;&gt;"",B224+C224,"")</f>
        <v/>
      </c>
      <c r="E224" s="199" t="str">
        <f aca="false">IF(A225="","",IF(AND(AT224=1,$H$3=1),D224*AO224,IF($H$3=2,D224,"N/A")))</f>
        <v/>
      </c>
      <c r="F224" s="199" t="str">
        <f aca="false">IF(A225="","",E224*AS224)</f>
        <v/>
      </c>
      <c r="G224" s="200" t="str">
        <f aca="false">IF($A225="","",VLOOKUP($A224,Table,MATCH(G$4,Curves,0)))</f>
        <v/>
      </c>
      <c r="H224" s="201" t="str">
        <f aca="false">IF(A225="","",G224)</f>
        <v/>
      </c>
      <c r="I224" s="202"/>
      <c r="J224" s="200" t="str">
        <f aca="false">IF($A225="","",VLOOKUP($A224,Table,MATCH(J$4,Curves,0)))</f>
        <v/>
      </c>
      <c r="K224" s="201" t="str">
        <f aca="false">IF(A225="","",J224)</f>
        <v/>
      </c>
      <c r="L224" s="200" t="str">
        <f aca="false">IF($A225="","",VLOOKUP($A224,Table,MATCH(L$4,Curves,0)))</f>
        <v/>
      </c>
      <c r="M224" s="201" t="str">
        <f aca="false">IF(A225="","",L224)</f>
        <v/>
      </c>
      <c r="N224" s="203"/>
      <c r="O224" s="200" t="str">
        <f aca="false">IF(A225="","",L224+J224+G224)</f>
        <v/>
      </c>
      <c r="P224" s="200" t="str">
        <f aca="false">IF(A225="","",M224+K224+H224)</f>
        <v/>
      </c>
      <c r="Q224" s="204"/>
      <c r="R224" s="200" t="str">
        <f aca="false">IF($A225="","",VLOOKUP($A224,Table,MATCH(R$4,Curves,0)))</f>
        <v/>
      </c>
      <c r="S224" s="201" t="str">
        <f aca="false">IF(A225="","",R224)</f>
        <v/>
      </c>
      <c r="T224" s="200" t="str">
        <f aca="false">IF($A225="","",VLOOKUP($A224,Table,MATCH(T$4,Curves,0)))</f>
        <v/>
      </c>
      <c r="U224" s="201" t="str">
        <f aca="false">IF(A225="","",T224)</f>
        <v/>
      </c>
      <c r="V224" s="225" t="str">
        <f aca="false">IF($A225="","",IF(AND(MONTH(A224)&gt;3,MONTH(A224)&lt;11),(T224+R224+G224)*Summary!$T$9/(1-Summary!$T$9),(T224+R224+G224)*Summary!$U$9/(1-Summary!$U$9)))</f>
        <v/>
      </c>
      <c r="W224" s="200" t="str">
        <f aca="false">IF($A225="","",(T224+R224+G224+V224))</f>
        <v/>
      </c>
      <c r="X224" s="200" t="str">
        <f aca="false">IF($A225="","",(U224+S224+H224+V224))</f>
        <v/>
      </c>
      <c r="Y224" s="202"/>
      <c r="Z224" s="185" t="str">
        <f aca="false">IF($A225="","",VLOOKUP($A224,Table,MATCH(Z$4,Curves,0)))</f>
        <v/>
      </c>
      <c r="AA224" s="185" t="str">
        <f aca="false">IF($A225="","",VLOOKUP($A224,Table,MATCH(AA$4,Curves,0)))</f>
        <v/>
      </c>
      <c r="AB224" s="185" t="e">
        <f aca="false">SQRT((AA224^2*(A224-$D$3)+Z224^2*(DAY(EOMONTH(A224,0))/2))/AK224)</f>
        <v>#VALUE!</v>
      </c>
      <c r="AC224" s="185" t="str">
        <f aca="false">IF($A225="","",VLOOKUP($A224,Table,MATCH(AC$4,Curves,0)))</f>
        <v/>
      </c>
      <c r="AD224" s="185" t="str">
        <f aca="false">IF($A225="","",VLOOKUP($A224,Table,MATCH(AD$4,Curves,0)))</f>
        <v/>
      </c>
      <c r="AE224" s="185" t="e">
        <f aca="false">SQRT((AD224^2*(A224-$D$3)+AC224^2*(DAY(EOMONTH(A224,0))/2))/AK224)</f>
        <v>#VALUE!</v>
      </c>
      <c r="AF224" s="224" t="e">
        <f aca="false">((Summary!$N$9*(AA224*AD224)*(A224-$D$3))+(Summary!$M$9*Z224*AC224*(AJ224-EOMONTH(EDATE(A224,-1),0))))/(AK224*AB224*AE224)</f>
        <v>#VALUE!</v>
      </c>
      <c r="AG224" s="207" t="str">
        <f aca="false">IF($A225="","",Summary!$Q$9)</f>
        <v/>
      </c>
      <c r="AH224" s="207" t="str">
        <f aca="false">IF($A225="","",IF(Summary!$R$9="Y",VLOOKUP($A224,Summary!$AD$6:$AF$9,3)+'Escalating commodity'!E237,'Escalating commodity'!E237))</f>
        <v/>
      </c>
      <c r="AI224" s="207" t="str">
        <f aca="false">IF($A225="","",AH224)</f>
        <v/>
      </c>
      <c r="AJ224" s="208" t="e">
        <f aca="false">A224+DAY(EOMONTH(A224,0))/2-1</f>
        <v>#VALUE!</v>
      </c>
      <c r="AK224" s="209" t="str">
        <f aca="false">IF($A225="","",$A224-$E$1)</f>
        <v/>
      </c>
      <c r="AL224" s="182" t="str">
        <f aca="false">IF($A225="","",SPRDOPT(P224,X224,AI224,0,AB224,AE224,AF224,AK224,$AJ$2,0))</f>
        <v/>
      </c>
      <c r="AM224" s="211" t="str">
        <f aca="false">IF($A225="","",MAX(0,O224-W224-AI224))</f>
        <v/>
      </c>
      <c r="AN224" s="211" t="str">
        <f aca="false">IF($A225="","",AL224-AM224)</f>
        <v/>
      </c>
      <c r="AO224" s="137" t="str">
        <f aca="false">IF(A225="","",A225-A224)</f>
        <v/>
      </c>
      <c r="AP224" s="212" t="str">
        <f aca="false">IF(A225="","",CHOOSE(F$3,A225+24,A224))</f>
        <v/>
      </c>
      <c r="AQ224" s="209" t="str">
        <f aca="false">IF(A225="","",AP224-$E$1)</f>
        <v/>
      </c>
      <c r="AR224" s="185" t="n">
        <f aca="false">'ANR OK vs ML7'!AR224</f>
        <v>0.1</v>
      </c>
      <c r="AS224" s="213" t="str">
        <f aca="false">IF(A225="","",1/(1+CHOOSE(F$3,(AR225+($I$3/10000))/2,(AR224+($I$3/10000))/2))^(2*AQ224/365.25))</f>
        <v/>
      </c>
      <c r="AT224" s="137" t="str">
        <f aca="false">IF(A225="","",IF(AND(mthbeg&lt;=A224,mthend&gt;=A224),1,0))</f>
        <v/>
      </c>
      <c r="AU224" s="137" t="str">
        <f aca="false">IF(A225="","",AO224*AT224)</f>
        <v/>
      </c>
      <c r="AW224" s="195" t="str">
        <f aca="false">IF($A225="","",AL224*$E224)</f>
        <v/>
      </c>
      <c r="AX224" s="195" t="str">
        <f aca="false">IF($A225="","",AM224*$E224)</f>
        <v/>
      </c>
      <c r="AY224" s="195" t="str">
        <f aca="false">IF($A225="","",AN224*$E224)</f>
        <v/>
      </c>
      <c r="BA224" s="195" t="str">
        <f aca="false">IF($A225="","",F224*Summary!$Q$9)</f>
        <v/>
      </c>
    </row>
    <row r="225" customFormat="false" ht="12" hidden="false" customHeight="true" outlineLevel="0" collapsed="false">
      <c r="A225" s="196" t="str">
        <f aca="false">IF(A224&lt;mthend,EDATE(A224,1),"")</f>
        <v/>
      </c>
      <c r="B225" s="197" t="str">
        <f aca="false">IF(A225&lt;mthend,B224,"")</f>
        <v/>
      </c>
      <c r="C225" s="215"/>
      <c r="D225" s="197" t="str">
        <f aca="false">IF(A226&lt;&gt;"",B225+C225,"")</f>
        <v/>
      </c>
      <c r="E225" s="199" t="str">
        <f aca="false">IF(A226="","",IF(AND(AT225=1,$H$3=1),D225*AO225,IF($H$3=2,D225,"N/A")))</f>
        <v/>
      </c>
      <c r="F225" s="199" t="str">
        <f aca="false">IF(A226="","",E225*AS225)</f>
        <v/>
      </c>
      <c r="G225" s="200" t="str">
        <f aca="false">IF($A226="","",VLOOKUP($A225,Table,MATCH(G$4,Curves,0)))</f>
        <v/>
      </c>
      <c r="H225" s="201" t="str">
        <f aca="false">IF(A226="","",G225)</f>
        <v/>
      </c>
      <c r="I225" s="202"/>
      <c r="J225" s="200" t="str">
        <f aca="false">IF($A226="","",VLOOKUP($A225,Table,MATCH(J$4,Curves,0)))</f>
        <v/>
      </c>
      <c r="K225" s="201" t="str">
        <f aca="false">IF(A226="","",J225)</f>
        <v/>
      </c>
      <c r="L225" s="200" t="str">
        <f aca="false">IF($A226="","",VLOOKUP($A225,Table,MATCH(L$4,Curves,0)))</f>
        <v/>
      </c>
      <c r="M225" s="201" t="str">
        <f aca="false">IF(A226="","",L225)</f>
        <v/>
      </c>
      <c r="N225" s="203"/>
      <c r="O225" s="200" t="str">
        <f aca="false">IF(A226="","",L225+J225+G225)</f>
        <v/>
      </c>
      <c r="P225" s="200" t="str">
        <f aca="false">IF(A226="","",M225+K225+H225)</f>
        <v/>
      </c>
      <c r="Q225" s="204"/>
      <c r="R225" s="200" t="str">
        <f aca="false">IF($A226="","",VLOOKUP($A225,Table,MATCH(R$4,Curves,0)))</f>
        <v/>
      </c>
      <c r="S225" s="201" t="str">
        <f aca="false">IF(A226="","",R225)</f>
        <v/>
      </c>
      <c r="T225" s="200" t="str">
        <f aca="false">IF($A226="","",VLOOKUP($A225,Table,MATCH(T$4,Curves,0)))</f>
        <v/>
      </c>
      <c r="U225" s="201" t="str">
        <f aca="false">IF(A226="","",T225)</f>
        <v/>
      </c>
      <c r="V225" s="225" t="str">
        <f aca="false">IF($A226="","",IF(AND(MONTH(A225)&gt;3,MONTH(A225)&lt;11),(T225+R225+G225)*Summary!$T$9/(1-Summary!$T$9),(T225+R225+G225)*Summary!$U$9/(1-Summary!$U$9)))</f>
        <v/>
      </c>
      <c r="W225" s="200" t="str">
        <f aca="false">IF($A226="","",(T225+R225+G225+V225))</f>
        <v/>
      </c>
      <c r="X225" s="200" t="str">
        <f aca="false">IF($A226="","",(U225+S225+H225+V225))</f>
        <v/>
      </c>
      <c r="Y225" s="202"/>
      <c r="Z225" s="185" t="str">
        <f aca="false">IF($A226="","",VLOOKUP($A225,Table,MATCH(Z$4,Curves,0)))</f>
        <v/>
      </c>
      <c r="AA225" s="185" t="str">
        <f aca="false">IF($A226="","",VLOOKUP($A225,Table,MATCH(AA$4,Curves,0)))</f>
        <v/>
      </c>
      <c r="AB225" s="185" t="e">
        <f aca="false">SQRT((AA225^2*(A225-$D$3)+Z225^2*(DAY(EOMONTH(A225,0))/2))/AK225)</f>
        <v>#VALUE!</v>
      </c>
      <c r="AC225" s="185" t="str">
        <f aca="false">IF($A226="","",VLOOKUP($A225,Table,MATCH(AC$4,Curves,0)))</f>
        <v/>
      </c>
      <c r="AD225" s="185" t="str">
        <f aca="false">IF($A226="","",VLOOKUP($A225,Table,MATCH(AD$4,Curves,0)))</f>
        <v/>
      </c>
      <c r="AE225" s="185" t="e">
        <f aca="false">SQRT((AD225^2*(A225-$D$3)+AC225^2*(DAY(EOMONTH(A225,0))/2))/AK225)</f>
        <v>#VALUE!</v>
      </c>
      <c r="AF225" s="224" t="e">
        <f aca="false">((Summary!$N$9*(AA225*AD225)*(A225-$D$3))+(Summary!$M$9*Z225*AC225*(AJ225-EOMONTH(EDATE(A225,-1),0))))/(AK225*AB225*AE225)</f>
        <v>#VALUE!</v>
      </c>
      <c r="AG225" s="207" t="str">
        <f aca="false">IF($A226="","",Summary!$Q$9)</f>
        <v/>
      </c>
      <c r="AH225" s="207" t="str">
        <f aca="false">IF($A226="","",IF(Summary!$R$9="Y",VLOOKUP($A225,Summary!$AD$6:$AF$9,3)+'Escalating commodity'!E238,'Escalating commodity'!E238))</f>
        <v/>
      </c>
      <c r="AI225" s="207" t="str">
        <f aca="false">IF($A226="","",AH225)</f>
        <v/>
      </c>
      <c r="AJ225" s="208" t="e">
        <f aca="false">A225+DAY(EOMONTH(A225,0))/2-1</f>
        <v>#VALUE!</v>
      </c>
      <c r="AK225" s="209" t="str">
        <f aca="false">IF($A226="","",$A225-$E$1)</f>
        <v/>
      </c>
      <c r="AL225" s="182" t="str">
        <f aca="false">IF($A226="","",SPRDOPT(P225,X225,AI225,0,AB225,AE225,AF225,AK225,$AJ$2,0))</f>
        <v/>
      </c>
      <c r="AM225" s="211" t="str">
        <f aca="false">IF($A226="","",MAX(0,O225-W225-AI225))</f>
        <v/>
      </c>
      <c r="AN225" s="211" t="str">
        <f aca="false">IF($A226="","",AL225-AM225)</f>
        <v/>
      </c>
      <c r="AO225" s="137" t="str">
        <f aca="false">IF(A226="","",A226-A225)</f>
        <v/>
      </c>
      <c r="AP225" s="212" t="str">
        <f aca="false">IF(A226="","",CHOOSE(F$3,A226+24,A225))</f>
        <v/>
      </c>
      <c r="AQ225" s="209" t="str">
        <f aca="false">IF(A226="","",AP225-$E$1)</f>
        <v/>
      </c>
      <c r="AR225" s="185" t="n">
        <f aca="false">'ANR OK vs ML7'!AR225</f>
        <v>0.1</v>
      </c>
      <c r="AS225" s="213" t="str">
        <f aca="false">IF(A226="","",1/(1+CHOOSE(F$3,(AR226+($I$3/10000))/2,(AR225+($I$3/10000))/2))^(2*AQ225/365.25))</f>
        <v/>
      </c>
      <c r="AT225" s="137" t="str">
        <f aca="false">IF(A226="","",IF(AND(mthbeg&lt;=A225,mthend&gt;=A225),1,0))</f>
        <v/>
      </c>
      <c r="AU225" s="137" t="str">
        <f aca="false">IF(A226="","",AO225*AT225)</f>
        <v/>
      </c>
      <c r="AW225" s="195" t="str">
        <f aca="false">IF($A226="","",AL225*$E225)</f>
        <v/>
      </c>
      <c r="AX225" s="195" t="str">
        <f aca="false">IF($A226="","",AM225*$E225)</f>
        <v/>
      </c>
      <c r="AY225" s="195" t="str">
        <f aca="false">IF($A226="","",AN225*$E225)</f>
        <v/>
      </c>
      <c r="BA225" s="195" t="str">
        <f aca="false">IF($A226="","",F225*Summary!$Q$9)</f>
        <v/>
      </c>
    </row>
    <row r="226" customFormat="false" ht="12" hidden="false" customHeight="true" outlineLevel="0" collapsed="false">
      <c r="A226" s="196" t="str">
        <f aca="false">IF(A225&lt;mthend,EDATE(A225,1),"")</f>
        <v/>
      </c>
      <c r="B226" s="197" t="str">
        <f aca="false">IF(A226&lt;mthend,B225,"")</f>
        <v/>
      </c>
      <c r="C226" s="215"/>
      <c r="D226" s="197" t="str">
        <f aca="false">IF(A227&lt;&gt;"",B226+C226,"")</f>
        <v/>
      </c>
      <c r="E226" s="199" t="str">
        <f aca="false">IF(A227="","",IF(AND(AT226=1,$H$3=1),D226*AO226,IF($H$3=2,D226,"N/A")))</f>
        <v/>
      </c>
      <c r="F226" s="199" t="str">
        <f aca="false">IF(A227="","",E226*AS226)</f>
        <v/>
      </c>
      <c r="G226" s="200" t="str">
        <f aca="false">IF($A227="","",VLOOKUP($A226,Table,MATCH(G$4,Curves,0)))</f>
        <v/>
      </c>
      <c r="H226" s="201" t="str">
        <f aca="false">IF(A227="","",G226)</f>
        <v/>
      </c>
      <c r="I226" s="202"/>
      <c r="J226" s="200" t="str">
        <f aca="false">IF($A227="","",VLOOKUP($A226,Table,MATCH(J$4,Curves,0)))</f>
        <v/>
      </c>
      <c r="K226" s="201" t="str">
        <f aca="false">IF(A227="","",J226)</f>
        <v/>
      </c>
      <c r="L226" s="200" t="str">
        <f aca="false">IF($A227="","",VLOOKUP($A226,Table,MATCH(L$4,Curves,0)))</f>
        <v/>
      </c>
      <c r="M226" s="201" t="str">
        <f aca="false">IF(A227="","",L226)</f>
        <v/>
      </c>
      <c r="N226" s="203"/>
      <c r="O226" s="200" t="str">
        <f aca="false">IF(A227="","",L226+J226+G226)</f>
        <v/>
      </c>
      <c r="P226" s="200" t="str">
        <f aca="false">IF(A227="","",M226+K226+H226)</f>
        <v/>
      </c>
      <c r="Q226" s="204"/>
      <c r="R226" s="200" t="str">
        <f aca="false">IF($A227="","",VLOOKUP($A226,Table,MATCH(R$4,Curves,0)))</f>
        <v/>
      </c>
      <c r="S226" s="201" t="str">
        <f aca="false">IF(A227="","",R226)</f>
        <v/>
      </c>
      <c r="T226" s="200" t="str">
        <f aca="false">IF($A227="","",VLOOKUP($A226,Table,MATCH(T$4,Curves,0)))</f>
        <v/>
      </c>
      <c r="U226" s="201" t="str">
        <f aca="false">IF(A227="","",T226)</f>
        <v/>
      </c>
      <c r="V226" s="225" t="str">
        <f aca="false">IF($A227="","",IF(AND(MONTH(A226)&gt;3,MONTH(A226)&lt;11),(T226+R226+G226)*Summary!$T$9/(1-Summary!$T$9),(T226+R226+G226)*Summary!$U$9/(1-Summary!$U$9)))</f>
        <v/>
      </c>
      <c r="W226" s="200" t="str">
        <f aca="false">IF($A227="","",(T226+R226+G226+V226))</f>
        <v/>
      </c>
      <c r="X226" s="200" t="str">
        <f aca="false">IF($A227="","",(U226+S226+H226+V226))</f>
        <v/>
      </c>
      <c r="Y226" s="202"/>
      <c r="Z226" s="185" t="str">
        <f aca="false">IF($A227="","",VLOOKUP($A226,Table,MATCH(Z$4,Curves,0)))</f>
        <v/>
      </c>
      <c r="AA226" s="185" t="str">
        <f aca="false">IF($A227="","",VLOOKUP($A226,Table,MATCH(AA$4,Curves,0)))</f>
        <v/>
      </c>
      <c r="AB226" s="185" t="e">
        <f aca="false">SQRT((AA226^2*(A226-$D$3)+Z226^2*(DAY(EOMONTH(A226,0))/2))/AK226)</f>
        <v>#VALUE!</v>
      </c>
      <c r="AC226" s="185" t="str">
        <f aca="false">IF($A227="","",VLOOKUP($A226,Table,MATCH(AC$4,Curves,0)))</f>
        <v/>
      </c>
      <c r="AD226" s="185" t="str">
        <f aca="false">IF($A227="","",VLOOKUP($A226,Table,MATCH(AD$4,Curves,0)))</f>
        <v/>
      </c>
      <c r="AE226" s="185" t="e">
        <f aca="false">SQRT((AD226^2*(A226-$D$3)+AC226^2*(DAY(EOMONTH(A226,0))/2))/AK226)</f>
        <v>#VALUE!</v>
      </c>
      <c r="AF226" s="224" t="e">
        <f aca="false">((Summary!$N$9*(AA226*AD226)*(A226-$D$3))+(Summary!$M$9*Z226*AC226*(AJ226-EOMONTH(EDATE(A226,-1),0))))/(AK226*AB226*AE226)</f>
        <v>#VALUE!</v>
      </c>
      <c r="AG226" s="207" t="str">
        <f aca="false">IF($A227="","",Summary!$Q$9)</f>
        <v/>
      </c>
      <c r="AH226" s="207" t="str">
        <f aca="false">IF($A227="","",IF(Summary!$R$9="Y",VLOOKUP($A226,Summary!$AD$6:$AF$9,3)+'Escalating commodity'!E239,'Escalating commodity'!E239))</f>
        <v/>
      </c>
      <c r="AI226" s="207" t="str">
        <f aca="false">IF($A227="","",AH226)</f>
        <v/>
      </c>
      <c r="AJ226" s="208" t="e">
        <f aca="false">A226+DAY(EOMONTH(A226,0))/2-1</f>
        <v>#VALUE!</v>
      </c>
      <c r="AK226" s="209" t="str">
        <f aca="false">IF($A227="","",$A226-$E$1)</f>
        <v/>
      </c>
      <c r="AL226" s="182" t="str">
        <f aca="false">IF($A227="","",SPRDOPT(P226,X226,AI226,0,AB226,AE226,AF226,AK226,$AJ$2,0))</f>
        <v/>
      </c>
      <c r="AM226" s="211" t="str">
        <f aca="false">IF($A227="","",MAX(0,O226-W226-AI226))</f>
        <v/>
      </c>
      <c r="AN226" s="211" t="str">
        <f aca="false">IF($A227="","",AL226-AM226)</f>
        <v/>
      </c>
      <c r="AO226" s="137" t="str">
        <f aca="false">IF(A227="","",A227-A226)</f>
        <v/>
      </c>
      <c r="AP226" s="212" t="str">
        <f aca="false">IF(A227="","",CHOOSE(F$3,A227+24,A226))</f>
        <v/>
      </c>
      <c r="AQ226" s="209" t="str">
        <f aca="false">IF(A227="","",AP226-$E$1)</f>
        <v/>
      </c>
      <c r="AR226" s="185" t="n">
        <f aca="false">'ANR OK vs ML7'!AR226</f>
        <v>0.1</v>
      </c>
      <c r="AS226" s="213" t="str">
        <f aca="false">IF(A227="","",1/(1+CHOOSE(F$3,(AR227+($I$3/10000))/2,(AR226+($I$3/10000))/2))^(2*AQ226/365.25))</f>
        <v/>
      </c>
      <c r="AT226" s="137" t="str">
        <f aca="false">IF(A227="","",IF(AND(mthbeg&lt;=A226,mthend&gt;=A226),1,0))</f>
        <v/>
      </c>
      <c r="AU226" s="137" t="str">
        <f aca="false">IF(A227="","",AO226*AT226)</f>
        <v/>
      </c>
      <c r="AW226" s="195" t="str">
        <f aca="false">IF($A227="","",AL226*$E226)</f>
        <v/>
      </c>
      <c r="AX226" s="195" t="str">
        <f aca="false">IF($A227="","",AM226*$E226)</f>
        <v/>
      </c>
      <c r="AY226" s="195" t="str">
        <f aca="false">IF($A227="","",AN226*$E226)</f>
        <v/>
      </c>
      <c r="BA226" s="195" t="str">
        <f aca="false">IF($A227="","",F226*Summary!$Q$9)</f>
        <v/>
      </c>
    </row>
    <row r="227" customFormat="false" ht="12" hidden="false" customHeight="true" outlineLevel="0" collapsed="false">
      <c r="A227" s="196" t="str">
        <f aca="false">IF(A226&lt;mthend,EDATE(A226,1),"")</f>
        <v/>
      </c>
      <c r="B227" s="197" t="str">
        <f aca="false">IF(A227&lt;mthend,B226,"")</f>
        <v/>
      </c>
      <c r="C227" s="215"/>
      <c r="D227" s="197" t="str">
        <f aca="false">IF(A228&lt;&gt;"",B227+C227,"")</f>
        <v/>
      </c>
      <c r="E227" s="199" t="str">
        <f aca="false">IF(A228="","",IF(AND(AT227=1,$H$3=1),D227*AO227,IF($H$3=2,D227,"N/A")))</f>
        <v/>
      </c>
      <c r="F227" s="199" t="str">
        <f aca="false">IF(A228="","",E227*AS227)</f>
        <v/>
      </c>
      <c r="G227" s="200" t="str">
        <f aca="false">IF($A228="","",VLOOKUP($A227,Table,MATCH(G$4,Curves,0)))</f>
        <v/>
      </c>
      <c r="H227" s="201" t="str">
        <f aca="false">IF(A228="","",G227)</f>
        <v/>
      </c>
      <c r="I227" s="202"/>
      <c r="J227" s="200" t="str">
        <f aca="false">IF($A228="","",VLOOKUP($A227,Table,MATCH(J$4,Curves,0)))</f>
        <v/>
      </c>
      <c r="K227" s="201" t="str">
        <f aca="false">IF(A228="","",J227)</f>
        <v/>
      </c>
      <c r="L227" s="200" t="str">
        <f aca="false">IF($A228="","",VLOOKUP($A227,Table,MATCH(L$4,Curves,0)))</f>
        <v/>
      </c>
      <c r="M227" s="201" t="str">
        <f aca="false">IF(A228="","",L227)</f>
        <v/>
      </c>
      <c r="N227" s="203"/>
      <c r="O227" s="200" t="str">
        <f aca="false">IF(A228="","",L227+J227+G227)</f>
        <v/>
      </c>
      <c r="P227" s="200" t="str">
        <f aca="false">IF(A228="","",M227+K227+H227)</f>
        <v/>
      </c>
      <c r="Q227" s="204"/>
      <c r="R227" s="200" t="str">
        <f aca="false">IF($A228="","",VLOOKUP($A227,Table,MATCH(R$4,Curves,0)))</f>
        <v/>
      </c>
      <c r="S227" s="201" t="str">
        <f aca="false">IF(A228="","",R227)</f>
        <v/>
      </c>
      <c r="T227" s="200" t="str">
        <f aca="false">IF($A228="","",VLOOKUP($A227,Table,MATCH(T$4,Curves,0)))</f>
        <v/>
      </c>
      <c r="U227" s="201" t="str">
        <f aca="false">IF(A228="","",T227)</f>
        <v/>
      </c>
      <c r="V227" s="225" t="str">
        <f aca="false">IF($A228="","",IF(AND(MONTH(A227)&gt;3,MONTH(A227)&lt;11),(T227+R227+G227)*Summary!$T$9/(1-Summary!$T$9),(T227+R227+G227)*Summary!$U$9/(1-Summary!$U$9)))</f>
        <v/>
      </c>
      <c r="W227" s="200" t="str">
        <f aca="false">IF($A228="","",(T227+R227+G227+V227))</f>
        <v/>
      </c>
      <c r="X227" s="200" t="str">
        <f aca="false">IF($A228="","",(U227+S227+H227+V227))</f>
        <v/>
      </c>
      <c r="Y227" s="202"/>
      <c r="Z227" s="185" t="str">
        <f aca="false">IF($A228="","",VLOOKUP($A227,Table,MATCH(Z$4,Curves,0)))</f>
        <v/>
      </c>
      <c r="AA227" s="185" t="str">
        <f aca="false">IF($A228="","",VLOOKUP($A227,Table,MATCH(AA$4,Curves,0)))</f>
        <v/>
      </c>
      <c r="AB227" s="185" t="e">
        <f aca="false">SQRT((AA227^2*(A227-$D$3)+Z227^2*(DAY(EOMONTH(A227,0))/2))/AK227)</f>
        <v>#VALUE!</v>
      </c>
      <c r="AC227" s="185" t="str">
        <f aca="false">IF($A228="","",VLOOKUP($A227,Table,MATCH(AC$4,Curves,0)))</f>
        <v/>
      </c>
      <c r="AD227" s="185" t="str">
        <f aca="false">IF($A228="","",VLOOKUP($A227,Table,MATCH(AD$4,Curves,0)))</f>
        <v/>
      </c>
      <c r="AE227" s="185" t="e">
        <f aca="false">SQRT((AD227^2*(A227-$D$3)+AC227^2*(DAY(EOMONTH(A227,0))/2))/AK227)</f>
        <v>#VALUE!</v>
      </c>
      <c r="AF227" s="224" t="e">
        <f aca="false">((Summary!$N$9*(AA227*AD227)*(A227-$D$3))+(Summary!$M$9*Z227*AC227*(AJ227-EOMONTH(EDATE(A227,-1),0))))/(AK227*AB227*AE227)</f>
        <v>#VALUE!</v>
      </c>
      <c r="AG227" s="207" t="str">
        <f aca="false">IF($A228="","",Summary!$Q$9)</f>
        <v/>
      </c>
      <c r="AH227" s="207" t="str">
        <f aca="false">IF($A228="","",IF(Summary!$R$9="Y",VLOOKUP($A227,Summary!$AD$6:$AF$9,3)+'Escalating commodity'!E240,'Escalating commodity'!E240))</f>
        <v/>
      </c>
      <c r="AI227" s="207" t="str">
        <f aca="false">IF($A228="","",AH227)</f>
        <v/>
      </c>
      <c r="AJ227" s="208" t="e">
        <f aca="false">A227+DAY(EOMONTH(A227,0))/2-1</f>
        <v>#VALUE!</v>
      </c>
      <c r="AK227" s="209" t="str">
        <f aca="false">IF($A228="","",$A227-$E$1)</f>
        <v/>
      </c>
      <c r="AL227" s="182" t="str">
        <f aca="false">IF($A228="","",SPRDOPT(P227,X227,AI227,0,AB227,AE227,AF227,AK227,$AJ$2,0))</f>
        <v/>
      </c>
      <c r="AM227" s="211" t="str">
        <f aca="false">IF($A228="","",MAX(0,O227-W227-AI227))</f>
        <v/>
      </c>
      <c r="AN227" s="211" t="str">
        <f aca="false">IF($A228="","",AL227-AM227)</f>
        <v/>
      </c>
      <c r="AO227" s="137" t="str">
        <f aca="false">IF(A228="","",A228-A227)</f>
        <v/>
      </c>
      <c r="AP227" s="212" t="str">
        <f aca="false">IF(A228="","",CHOOSE(F$3,A228+24,A227))</f>
        <v/>
      </c>
      <c r="AQ227" s="209" t="str">
        <f aca="false">IF(A228="","",AP227-$E$1)</f>
        <v/>
      </c>
      <c r="AR227" s="185" t="n">
        <f aca="false">'ANR OK vs ML7'!AR227</f>
        <v>0.1</v>
      </c>
      <c r="AS227" s="213" t="str">
        <f aca="false">IF(A228="","",1/(1+CHOOSE(F$3,(AR228+($I$3/10000))/2,(AR227+($I$3/10000))/2))^(2*AQ227/365.25))</f>
        <v/>
      </c>
      <c r="AT227" s="137" t="str">
        <f aca="false">IF(A228="","",IF(AND(mthbeg&lt;=A227,mthend&gt;=A227),1,0))</f>
        <v/>
      </c>
      <c r="AU227" s="137" t="str">
        <f aca="false">IF(A228="","",AO227*AT227)</f>
        <v/>
      </c>
      <c r="AW227" s="195" t="str">
        <f aca="false">IF($A228="","",AL227*$E227)</f>
        <v/>
      </c>
      <c r="AX227" s="195" t="str">
        <f aca="false">IF($A228="","",AM227*$E227)</f>
        <v/>
      </c>
      <c r="AY227" s="195" t="str">
        <f aca="false">IF($A228="","",AN227*$E227)</f>
        <v/>
      </c>
      <c r="BA227" s="195" t="str">
        <f aca="false">IF($A228="","",F227*Summary!$Q$9)</f>
        <v/>
      </c>
    </row>
    <row r="228" customFormat="false" ht="12" hidden="false" customHeight="true" outlineLevel="0" collapsed="false">
      <c r="A228" s="196" t="str">
        <f aca="false">IF(A227&lt;mthend,EDATE(A227,1),"")</f>
        <v/>
      </c>
      <c r="B228" s="197" t="str">
        <f aca="false">IF(A228&lt;mthend,B227,"")</f>
        <v/>
      </c>
      <c r="C228" s="215"/>
      <c r="D228" s="197" t="str">
        <f aca="false">IF(A229&lt;&gt;"",B228+C228,"")</f>
        <v/>
      </c>
      <c r="E228" s="199" t="str">
        <f aca="false">IF(A229="","",IF(AND(AT228=1,$H$3=1),D228*AO228,IF($H$3=2,D228,"N/A")))</f>
        <v/>
      </c>
      <c r="F228" s="199" t="str">
        <f aca="false">IF(A229="","",E228*AS228)</f>
        <v/>
      </c>
      <c r="G228" s="200" t="str">
        <f aca="false">IF($A229="","",VLOOKUP($A228,Table,MATCH(G$4,Curves,0)))</f>
        <v/>
      </c>
      <c r="H228" s="201" t="str">
        <f aca="false">IF(A229="","",G228)</f>
        <v/>
      </c>
      <c r="I228" s="202"/>
      <c r="J228" s="200" t="str">
        <f aca="false">IF($A229="","",VLOOKUP($A228,Table,MATCH(J$4,Curves,0)))</f>
        <v/>
      </c>
      <c r="K228" s="201" t="str">
        <f aca="false">IF(A229="","",J228)</f>
        <v/>
      </c>
      <c r="L228" s="200" t="str">
        <f aca="false">IF($A229="","",VLOOKUP($A228,Table,MATCH(L$4,Curves,0)))</f>
        <v/>
      </c>
      <c r="M228" s="201" t="str">
        <f aca="false">IF(A229="","",L228)</f>
        <v/>
      </c>
      <c r="N228" s="203"/>
      <c r="O228" s="200" t="str">
        <f aca="false">IF(A229="","",L228+J228+G228)</f>
        <v/>
      </c>
      <c r="P228" s="200" t="str">
        <f aca="false">IF(A229="","",M228+K228+H228)</f>
        <v/>
      </c>
      <c r="Q228" s="204"/>
      <c r="R228" s="200" t="str">
        <f aca="false">IF($A229="","",VLOOKUP($A228,Table,MATCH(R$4,Curves,0)))</f>
        <v/>
      </c>
      <c r="S228" s="201" t="str">
        <f aca="false">IF(A229="","",R228)</f>
        <v/>
      </c>
      <c r="T228" s="200" t="str">
        <f aca="false">IF($A229="","",VLOOKUP($A228,Table,MATCH(T$4,Curves,0)))</f>
        <v/>
      </c>
      <c r="U228" s="201" t="str">
        <f aca="false">IF(A229="","",T228)</f>
        <v/>
      </c>
      <c r="V228" s="225" t="str">
        <f aca="false">IF($A229="","",IF(AND(MONTH(A228)&gt;3,MONTH(A228)&lt;11),(T228+R228+G228)*Summary!$T$9/(1-Summary!$T$9),(T228+R228+G228)*Summary!$U$9/(1-Summary!$U$9)))</f>
        <v/>
      </c>
      <c r="W228" s="200" t="str">
        <f aca="false">IF($A229="","",(T228+R228+G228+V228))</f>
        <v/>
      </c>
      <c r="X228" s="200" t="str">
        <f aca="false">IF($A229="","",(U228+S228+H228+V228))</f>
        <v/>
      </c>
      <c r="Y228" s="202"/>
      <c r="Z228" s="185" t="str">
        <f aca="false">IF($A229="","",VLOOKUP($A228,Table,MATCH(Z$4,Curves,0)))</f>
        <v/>
      </c>
      <c r="AA228" s="185" t="str">
        <f aca="false">IF($A229="","",VLOOKUP($A228,Table,MATCH(AA$4,Curves,0)))</f>
        <v/>
      </c>
      <c r="AB228" s="185" t="e">
        <f aca="false">SQRT((AA228^2*(A228-$D$3)+Z228^2*(DAY(EOMONTH(A228,0))/2))/AK228)</f>
        <v>#VALUE!</v>
      </c>
      <c r="AC228" s="185" t="str">
        <f aca="false">IF($A229="","",VLOOKUP($A228,Table,MATCH(AC$4,Curves,0)))</f>
        <v/>
      </c>
      <c r="AD228" s="185" t="str">
        <f aca="false">IF($A229="","",VLOOKUP($A228,Table,MATCH(AD$4,Curves,0)))</f>
        <v/>
      </c>
      <c r="AE228" s="185" t="e">
        <f aca="false">SQRT((AD228^2*(A228-$D$3)+AC228^2*(DAY(EOMONTH(A228,0))/2))/AK228)</f>
        <v>#VALUE!</v>
      </c>
      <c r="AF228" s="224" t="e">
        <f aca="false">((Summary!$N$9*(AA228*AD228)*(A228-$D$3))+(Summary!$M$9*Z228*AC228*(AJ228-EOMONTH(EDATE(A228,-1),0))))/(AK228*AB228*AE228)</f>
        <v>#VALUE!</v>
      </c>
      <c r="AG228" s="207" t="str">
        <f aca="false">IF($A229="","",Summary!$Q$9)</f>
        <v/>
      </c>
      <c r="AH228" s="207" t="str">
        <f aca="false">IF($A229="","",IF(Summary!$R$9="Y",VLOOKUP($A228,Summary!$AD$6:$AF$9,3)+'Escalating commodity'!E241,'Escalating commodity'!E241))</f>
        <v/>
      </c>
      <c r="AI228" s="207" t="str">
        <f aca="false">IF($A229="","",AH228)</f>
        <v/>
      </c>
      <c r="AJ228" s="208" t="e">
        <f aca="false">A228+DAY(EOMONTH(A228,0))/2-1</f>
        <v>#VALUE!</v>
      </c>
      <c r="AK228" s="209" t="str">
        <f aca="false">IF($A229="","",$A228-$E$1)</f>
        <v/>
      </c>
      <c r="AL228" s="182" t="str">
        <f aca="false">IF($A229="","",SPRDOPT(P228,X228,AI228,0,AB228,AE228,AF228,AK228,$AJ$2,0))</f>
        <v/>
      </c>
      <c r="AM228" s="211" t="str">
        <f aca="false">IF($A229="","",MAX(0,O228-W228-AI228))</f>
        <v/>
      </c>
      <c r="AN228" s="211" t="str">
        <f aca="false">IF($A229="","",AL228-AM228)</f>
        <v/>
      </c>
      <c r="AO228" s="137" t="str">
        <f aca="false">IF(A229="","",A229-A228)</f>
        <v/>
      </c>
      <c r="AP228" s="212" t="str">
        <f aca="false">IF(A229="","",CHOOSE(F$3,A229+24,A228))</f>
        <v/>
      </c>
      <c r="AQ228" s="209" t="str">
        <f aca="false">IF(A229="","",AP228-$E$1)</f>
        <v/>
      </c>
      <c r="AR228" s="185" t="n">
        <f aca="false">'ANR OK vs ML7'!AR228</f>
        <v>0.1</v>
      </c>
      <c r="AS228" s="213" t="str">
        <f aca="false">IF(A229="","",1/(1+CHOOSE(F$3,(AR229+($I$3/10000))/2,(AR228+($I$3/10000))/2))^(2*AQ228/365.25))</f>
        <v/>
      </c>
      <c r="AT228" s="137" t="str">
        <f aca="false">IF(A229="","",IF(AND(mthbeg&lt;=A228,mthend&gt;=A228),1,0))</f>
        <v/>
      </c>
      <c r="AU228" s="137" t="str">
        <f aca="false">IF(A229="","",AO228*AT228)</f>
        <v/>
      </c>
      <c r="AW228" s="195" t="str">
        <f aca="false">IF($A229="","",AL228*$E228)</f>
        <v/>
      </c>
      <c r="AX228" s="195" t="str">
        <f aca="false">IF($A229="","",AM228*$E228)</f>
        <v/>
      </c>
      <c r="AY228" s="195" t="str">
        <f aca="false">IF($A229="","",AN228*$E228)</f>
        <v/>
      </c>
      <c r="BA228" s="195" t="str">
        <f aca="false">IF($A229="","",F228*Summary!$Q$9)</f>
        <v/>
      </c>
    </row>
    <row r="229" customFormat="false" ht="12" hidden="false" customHeight="true" outlineLevel="0" collapsed="false">
      <c r="A229" s="196" t="str">
        <f aca="false">IF(A228&lt;mthend,EDATE(A228,1),"")</f>
        <v/>
      </c>
      <c r="B229" s="197" t="str">
        <f aca="false">IF(A229&lt;mthend,B228,"")</f>
        <v/>
      </c>
      <c r="C229" s="215"/>
      <c r="D229" s="197" t="str">
        <f aca="false">IF(A230&lt;&gt;"",B229+C229,"")</f>
        <v/>
      </c>
      <c r="E229" s="199" t="str">
        <f aca="false">IF(A230="","",IF(AND(AT229=1,$H$3=1),D229*AO229,IF($H$3=2,D229,"N/A")))</f>
        <v/>
      </c>
      <c r="F229" s="199" t="str">
        <f aca="false">IF(A230="","",E229*AS229)</f>
        <v/>
      </c>
      <c r="G229" s="200" t="str">
        <f aca="false">IF($A230="","",VLOOKUP($A229,Table,MATCH(G$4,Curves,0)))</f>
        <v/>
      </c>
      <c r="H229" s="201" t="str">
        <f aca="false">IF(A230="","",G229)</f>
        <v/>
      </c>
      <c r="I229" s="202"/>
      <c r="J229" s="200" t="str">
        <f aca="false">IF($A230="","",VLOOKUP($A229,Table,MATCH(J$4,Curves,0)))</f>
        <v/>
      </c>
      <c r="K229" s="201" t="str">
        <f aca="false">IF(A230="","",J229)</f>
        <v/>
      </c>
      <c r="L229" s="200" t="str">
        <f aca="false">IF($A230="","",VLOOKUP($A229,Table,MATCH(L$4,Curves,0)))</f>
        <v/>
      </c>
      <c r="M229" s="201" t="str">
        <f aca="false">IF(A230="","",L229)</f>
        <v/>
      </c>
      <c r="N229" s="203"/>
      <c r="O229" s="200" t="str">
        <f aca="false">IF(A230="","",L229+J229+G229)</f>
        <v/>
      </c>
      <c r="P229" s="200" t="str">
        <f aca="false">IF(A230="","",M229+K229+H229)</f>
        <v/>
      </c>
      <c r="Q229" s="204"/>
      <c r="R229" s="200" t="str">
        <f aca="false">IF($A230="","",VLOOKUP($A229,Table,MATCH(R$4,Curves,0)))</f>
        <v/>
      </c>
      <c r="S229" s="201" t="str">
        <f aca="false">IF(A230="","",R229)</f>
        <v/>
      </c>
      <c r="T229" s="200" t="str">
        <f aca="false">IF($A230="","",VLOOKUP($A229,Table,MATCH(T$4,Curves,0)))</f>
        <v/>
      </c>
      <c r="U229" s="201" t="str">
        <f aca="false">IF(A230="","",T229)</f>
        <v/>
      </c>
      <c r="V229" s="225" t="str">
        <f aca="false">IF($A230="","",IF(AND(MONTH(A229)&gt;3,MONTH(A229)&lt;11),(T229+R229+G229)*Summary!$T$9/(1-Summary!$T$9),(T229+R229+G229)*Summary!$U$9/(1-Summary!$U$9)))</f>
        <v/>
      </c>
      <c r="W229" s="200" t="str">
        <f aca="false">IF($A230="","",(T229+R229+G229+V229))</f>
        <v/>
      </c>
      <c r="X229" s="200" t="str">
        <f aca="false">IF($A230="","",(U229+S229+H229+V229))</f>
        <v/>
      </c>
      <c r="Y229" s="202"/>
      <c r="Z229" s="185" t="str">
        <f aca="false">IF($A230="","",VLOOKUP($A229,Table,MATCH(Z$4,Curves,0)))</f>
        <v/>
      </c>
      <c r="AA229" s="185" t="str">
        <f aca="false">IF($A230="","",VLOOKUP($A229,Table,MATCH(AA$4,Curves,0)))</f>
        <v/>
      </c>
      <c r="AB229" s="185" t="e">
        <f aca="false">SQRT((AA229^2*(A229-$D$3)+Z229^2*(DAY(EOMONTH(A229,0))/2))/AK229)</f>
        <v>#VALUE!</v>
      </c>
      <c r="AC229" s="185" t="str">
        <f aca="false">IF($A230="","",VLOOKUP($A229,Table,MATCH(AC$4,Curves,0)))</f>
        <v/>
      </c>
      <c r="AD229" s="185" t="str">
        <f aca="false">IF($A230="","",VLOOKUP($A229,Table,MATCH(AD$4,Curves,0)))</f>
        <v/>
      </c>
      <c r="AE229" s="185" t="e">
        <f aca="false">SQRT((AD229^2*(A229-$D$3)+AC229^2*(DAY(EOMONTH(A229,0))/2))/AK229)</f>
        <v>#VALUE!</v>
      </c>
      <c r="AF229" s="224" t="e">
        <f aca="false">((Summary!$N$9*(AA229*AD229)*(A229-$D$3))+(Summary!$M$9*Z229*AC229*(AJ229-EOMONTH(EDATE(A229,-1),0))))/(AK229*AB229*AE229)</f>
        <v>#VALUE!</v>
      </c>
      <c r="AG229" s="207" t="str">
        <f aca="false">IF($A230="","",Summary!$Q$9)</f>
        <v/>
      </c>
      <c r="AH229" s="207" t="str">
        <f aca="false">IF($A230="","",IF(Summary!$R$9="Y",VLOOKUP($A229,Summary!$AD$6:$AF$9,3)+'Escalating commodity'!E242,'Escalating commodity'!E242))</f>
        <v/>
      </c>
      <c r="AI229" s="207" t="str">
        <f aca="false">IF($A230="","",AH229)</f>
        <v/>
      </c>
      <c r="AJ229" s="208" t="e">
        <f aca="false">A229+DAY(EOMONTH(A229,0))/2-1</f>
        <v>#VALUE!</v>
      </c>
      <c r="AK229" s="209" t="str">
        <f aca="false">IF($A230="","",$A229-$E$1)</f>
        <v/>
      </c>
      <c r="AL229" s="182" t="str">
        <f aca="false">IF($A230="","",SPRDOPT(P229,X229,AI229,0,AB229,AE229,AF229,AK229,$AJ$2,0))</f>
        <v/>
      </c>
      <c r="AM229" s="211" t="str">
        <f aca="false">IF($A230="","",MAX(0,O229-W229-AI229))</f>
        <v/>
      </c>
      <c r="AN229" s="211" t="str">
        <f aca="false">IF($A230="","",AL229-AM229)</f>
        <v/>
      </c>
      <c r="AO229" s="137" t="str">
        <f aca="false">IF(A230="","",A230-A229)</f>
        <v/>
      </c>
      <c r="AP229" s="212" t="str">
        <f aca="false">IF(A230="","",CHOOSE(F$3,A230+24,A229))</f>
        <v/>
      </c>
      <c r="AQ229" s="209" t="str">
        <f aca="false">IF(A230="","",AP229-$E$1)</f>
        <v/>
      </c>
      <c r="AR229" s="185" t="n">
        <f aca="false">'ANR OK vs ML7'!AR229</f>
        <v>0.1</v>
      </c>
      <c r="AS229" s="213" t="str">
        <f aca="false">IF(A230="","",1/(1+CHOOSE(F$3,(AR230+($I$3/10000))/2,(AR229+($I$3/10000))/2))^(2*AQ229/365.25))</f>
        <v/>
      </c>
      <c r="AT229" s="137" t="str">
        <f aca="false">IF(A230="","",IF(AND(mthbeg&lt;=A229,mthend&gt;=A229),1,0))</f>
        <v/>
      </c>
      <c r="AU229" s="137" t="str">
        <f aca="false">IF(A230="","",AO229*AT229)</f>
        <v/>
      </c>
      <c r="AW229" s="195" t="str">
        <f aca="false">IF($A230="","",AL229*$E229)</f>
        <v/>
      </c>
      <c r="AX229" s="195" t="str">
        <f aca="false">IF($A230="","",AM229*$E229)</f>
        <v/>
      </c>
      <c r="AY229" s="195" t="str">
        <f aca="false">IF($A230="","",AN229*$E229)</f>
        <v/>
      </c>
      <c r="BA229" s="195" t="str">
        <f aca="false">IF($A230="","",F229*Summary!$Q$9)</f>
        <v/>
      </c>
    </row>
    <row r="230" customFormat="false" ht="12" hidden="false" customHeight="true" outlineLevel="0" collapsed="false">
      <c r="A230" s="196" t="str">
        <f aca="false">IF(A229&lt;mthend,EDATE(A229,1),"")</f>
        <v/>
      </c>
      <c r="B230" s="197" t="str">
        <f aca="false">IF(A230&lt;mthend,B229,"")</f>
        <v/>
      </c>
      <c r="C230" s="215"/>
      <c r="D230" s="197" t="str">
        <f aca="false">IF(A231&lt;&gt;"",B230+C230,"")</f>
        <v/>
      </c>
      <c r="E230" s="199" t="str">
        <f aca="false">IF(A231="","",IF(AND(AT230=1,$H$3=1),D230*AO230,IF($H$3=2,D230,"N/A")))</f>
        <v/>
      </c>
      <c r="F230" s="199" t="str">
        <f aca="false">IF(A231="","",E230*AS230)</f>
        <v/>
      </c>
      <c r="G230" s="200" t="str">
        <f aca="false">IF($A231="","",VLOOKUP($A230,Table,MATCH(G$4,Curves,0)))</f>
        <v/>
      </c>
      <c r="H230" s="201" t="str">
        <f aca="false">IF(A231="","",G230)</f>
        <v/>
      </c>
      <c r="I230" s="202"/>
      <c r="J230" s="200" t="str">
        <f aca="false">IF($A231="","",VLOOKUP($A230,Table,MATCH(J$4,Curves,0)))</f>
        <v/>
      </c>
      <c r="K230" s="201" t="str">
        <f aca="false">IF(A231="","",J230)</f>
        <v/>
      </c>
      <c r="L230" s="200" t="str">
        <f aca="false">IF($A231="","",VLOOKUP($A230,Table,MATCH(L$4,Curves,0)))</f>
        <v/>
      </c>
      <c r="M230" s="201" t="str">
        <f aca="false">IF(A231="","",L230)</f>
        <v/>
      </c>
      <c r="N230" s="203"/>
      <c r="O230" s="200" t="str">
        <f aca="false">IF(A231="","",L230+J230+G230)</f>
        <v/>
      </c>
      <c r="P230" s="200" t="str">
        <f aca="false">IF(A231="","",M230+K230+H230)</f>
        <v/>
      </c>
      <c r="Q230" s="204"/>
      <c r="R230" s="200" t="str">
        <f aca="false">IF($A231="","",VLOOKUP($A230,Table,MATCH(R$4,Curves,0)))</f>
        <v/>
      </c>
      <c r="S230" s="201" t="str">
        <f aca="false">IF(A231="","",R230)</f>
        <v/>
      </c>
      <c r="T230" s="200" t="str">
        <f aca="false">IF($A231="","",VLOOKUP($A230,Table,MATCH(T$4,Curves,0)))</f>
        <v/>
      </c>
      <c r="U230" s="201" t="str">
        <f aca="false">IF(A231="","",T230)</f>
        <v/>
      </c>
      <c r="V230" s="225" t="str">
        <f aca="false">IF($A231="","",IF(AND(MONTH(A230)&gt;3,MONTH(A230)&lt;11),(T230+R230+G230)*Summary!$T$9/(1-Summary!$T$9),(T230+R230+G230)*Summary!$U$9/(1-Summary!$U$9)))</f>
        <v/>
      </c>
      <c r="W230" s="200" t="str">
        <f aca="false">IF($A231="","",(T230+R230+G230+V230))</f>
        <v/>
      </c>
      <c r="X230" s="200" t="str">
        <f aca="false">IF($A231="","",(U230+S230+H230+V230))</f>
        <v/>
      </c>
      <c r="Y230" s="202"/>
      <c r="Z230" s="185" t="str">
        <f aca="false">IF($A231="","",VLOOKUP($A230,Table,MATCH(Z$4,Curves,0)))</f>
        <v/>
      </c>
      <c r="AA230" s="185" t="str">
        <f aca="false">IF($A231="","",VLOOKUP($A230,Table,MATCH(AA$4,Curves,0)))</f>
        <v/>
      </c>
      <c r="AB230" s="185" t="e">
        <f aca="false">SQRT((AA230^2*(A230-$D$3)+Z230^2*(DAY(EOMONTH(A230,0))/2))/AK230)</f>
        <v>#VALUE!</v>
      </c>
      <c r="AC230" s="185" t="str">
        <f aca="false">IF($A231="","",VLOOKUP($A230,Table,MATCH(AC$4,Curves,0)))</f>
        <v/>
      </c>
      <c r="AD230" s="185" t="str">
        <f aca="false">IF($A231="","",VLOOKUP($A230,Table,MATCH(AD$4,Curves,0)))</f>
        <v/>
      </c>
      <c r="AE230" s="185" t="e">
        <f aca="false">SQRT((AD230^2*(A230-$D$3)+AC230^2*(DAY(EOMONTH(A230,0))/2))/AK230)</f>
        <v>#VALUE!</v>
      </c>
      <c r="AF230" s="224" t="e">
        <f aca="false">((Summary!$N$9*(AA230*AD230)*(A230-$D$3))+(Summary!$M$9*Z230*AC230*(AJ230-EOMONTH(EDATE(A230,-1),0))))/(AK230*AB230*AE230)</f>
        <v>#VALUE!</v>
      </c>
      <c r="AG230" s="207" t="str">
        <f aca="false">IF($A231="","",Summary!$Q$9)</f>
        <v/>
      </c>
      <c r="AH230" s="207" t="str">
        <f aca="false">IF($A231="","",IF(Summary!$R$9="Y",VLOOKUP($A230,Summary!$AD$6:$AF$9,3)+'Escalating commodity'!E243,'Escalating commodity'!E243))</f>
        <v/>
      </c>
      <c r="AI230" s="207" t="str">
        <f aca="false">IF($A231="","",AH230)</f>
        <v/>
      </c>
      <c r="AJ230" s="208" t="e">
        <f aca="false">A230+DAY(EOMONTH(A230,0))/2-1</f>
        <v>#VALUE!</v>
      </c>
      <c r="AK230" s="209" t="str">
        <f aca="false">IF($A231="","",$A230-$E$1)</f>
        <v/>
      </c>
      <c r="AL230" s="182" t="str">
        <f aca="false">IF($A231="","",SPRDOPT(P230,X230,AI230,0,AB230,AE230,AF230,AK230,$AJ$2,0))</f>
        <v/>
      </c>
      <c r="AM230" s="211" t="str">
        <f aca="false">IF($A231="","",MAX(0,O230-W230-AI230))</f>
        <v/>
      </c>
      <c r="AN230" s="211" t="str">
        <f aca="false">IF($A231="","",AL230-AM230)</f>
        <v/>
      </c>
      <c r="AO230" s="137" t="str">
        <f aca="false">IF(A231="","",A231-A230)</f>
        <v/>
      </c>
      <c r="AP230" s="212" t="str">
        <f aca="false">IF(A231="","",CHOOSE(F$3,A231+24,A230))</f>
        <v/>
      </c>
      <c r="AQ230" s="209" t="str">
        <f aca="false">IF(A231="","",AP230-$E$1)</f>
        <v/>
      </c>
      <c r="AR230" s="185" t="n">
        <f aca="false">'ANR OK vs ML7'!AR230</f>
        <v>0.1</v>
      </c>
      <c r="AS230" s="213" t="str">
        <f aca="false">IF(A231="","",1/(1+CHOOSE(F$3,(AR231+($I$3/10000))/2,(AR230+($I$3/10000))/2))^(2*AQ230/365.25))</f>
        <v/>
      </c>
      <c r="AT230" s="137" t="str">
        <f aca="false">IF(A231="","",IF(AND(mthbeg&lt;=A230,mthend&gt;=A230),1,0))</f>
        <v/>
      </c>
      <c r="AU230" s="137" t="str">
        <f aca="false">IF(A231="","",AO230*AT230)</f>
        <v/>
      </c>
      <c r="AW230" s="195" t="str">
        <f aca="false">IF($A231="","",AL230*$E230)</f>
        <v/>
      </c>
      <c r="AX230" s="195" t="str">
        <f aca="false">IF($A231="","",AM230*$E230)</f>
        <v/>
      </c>
      <c r="AY230" s="195" t="str">
        <f aca="false">IF($A231="","",AN230*$E230)</f>
        <v/>
      </c>
      <c r="BA230" s="195" t="str">
        <f aca="false">IF($A231="","",F230*Summary!$Q$9)</f>
        <v/>
      </c>
    </row>
    <row r="231" customFormat="false" ht="12" hidden="false" customHeight="true" outlineLevel="0" collapsed="false">
      <c r="A231" s="196" t="str">
        <f aca="false">IF(A230&lt;mthend,EDATE(A230,1),"")</f>
        <v/>
      </c>
      <c r="B231" s="197" t="str">
        <f aca="false">IF(A231&lt;mthend,B230,"")</f>
        <v/>
      </c>
      <c r="C231" s="215"/>
      <c r="D231" s="197" t="str">
        <f aca="false">IF(A232&lt;&gt;"",B231+C231,"")</f>
        <v/>
      </c>
      <c r="E231" s="199" t="str">
        <f aca="false">IF(A232="","",IF(AND(AT231=1,$H$3=1),D231*AO231,IF($H$3=2,D231,"N/A")))</f>
        <v/>
      </c>
      <c r="F231" s="199" t="str">
        <f aca="false">IF(A232="","",E231*AS231)</f>
        <v/>
      </c>
      <c r="G231" s="200" t="str">
        <f aca="false">IF($A232="","",VLOOKUP($A231,Table,MATCH(G$4,Curves,0)))</f>
        <v/>
      </c>
      <c r="H231" s="201" t="str">
        <f aca="false">IF(A232="","",G231)</f>
        <v/>
      </c>
      <c r="I231" s="202"/>
      <c r="J231" s="200" t="str">
        <f aca="false">IF($A232="","",VLOOKUP($A231,Table,MATCH(J$4,Curves,0)))</f>
        <v/>
      </c>
      <c r="K231" s="201" t="str">
        <f aca="false">IF(A232="","",J231)</f>
        <v/>
      </c>
      <c r="L231" s="200" t="str">
        <f aca="false">IF($A232="","",VLOOKUP($A231,Table,MATCH(L$4,Curves,0)))</f>
        <v/>
      </c>
      <c r="M231" s="201" t="str">
        <f aca="false">IF(A232="","",L231)</f>
        <v/>
      </c>
      <c r="N231" s="203"/>
      <c r="O231" s="200" t="str">
        <f aca="false">IF(A232="","",L231+J231+G231)</f>
        <v/>
      </c>
      <c r="P231" s="200" t="str">
        <f aca="false">IF(A232="","",M231+K231+H231)</f>
        <v/>
      </c>
      <c r="Q231" s="204"/>
      <c r="R231" s="200" t="str">
        <f aca="false">IF($A232="","",VLOOKUP($A231,Table,MATCH(R$4,Curves,0)))</f>
        <v/>
      </c>
      <c r="S231" s="201" t="str">
        <f aca="false">IF(A232="","",R231)</f>
        <v/>
      </c>
      <c r="T231" s="200" t="str">
        <f aca="false">IF($A232="","",VLOOKUP($A231,Table,MATCH(T$4,Curves,0)))</f>
        <v/>
      </c>
      <c r="U231" s="201" t="str">
        <f aca="false">IF(A232="","",T231)</f>
        <v/>
      </c>
      <c r="V231" s="225" t="str">
        <f aca="false">IF($A232="","",IF(AND(MONTH(A231)&gt;3,MONTH(A231)&lt;11),(T231+R231+G231)*Summary!$T$9/(1-Summary!$T$9),(T231+R231+G231)*Summary!$U$9/(1-Summary!$U$9)))</f>
        <v/>
      </c>
      <c r="W231" s="200" t="str">
        <f aca="false">IF($A232="","",(T231+R231+G231+V231))</f>
        <v/>
      </c>
      <c r="X231" s="200" t="str">
        <f aca="false">IF($A232="","",(U231+S231+H231+V231))</f>
        <v/>
      </c>
      <c r="Y231" s="202"/>
      <c r="Z231" s="185" t="str">
        <f aca="false">IF($A232="","",VLOOKUP($A231,Table,MATCH(Z$4,Curves,0)))</f>
        <v/>
      </c>
      <c r="AA231" s="185" t="str">
        <f aca="false">IF($A232="","",VLOOKUP($A231,Table,MATCH(AA$4,Curves,0)))</f>
        <v/>
      </c>
      <c r="AB231" s="185" t="e">
        <f aca="false">SQRT((AA231^2*(A231-$D$3)+Z231^2*(DAY(EOMONTH(A231,0))/2))/AK231)</f>
        <v>#VALUE!</v>
      </c>
      <c r="AC231" s="185" t="str">
        <f aca="false">IF($A232="","",VLOOKUP($A231,Table,MATCH(AC$4,Curves,0)))</f>
        <v/>
      </c>
      <c r="AD231" s="185" t="str">
        <f aca="false">IF($A232="","",VLOOKUP($A231,Table,MATCH(AD$4,Curves,0)))</f>
        <v/>
      </c>
      <c r="AE231" s="185" t="e">
        <f aca="false">SQRT((AD231^2*(A231-$D$3)+AC231^2*(DAY(EOMONTH(A231,0))/2))/AK231)</f>
        <v>#VALUE!</v>
      </c>
      <c r="AF231" s="224" t="e">
        <f aca="false">((Summary!$N$9*(AA231*AD231)*(A231-$D$3))+(Summary!$M$9*Z231*AC231*(AJ231-EOMONTH(EDATE(A231,-1),0))))/(AK231*AB231*AE231)</f>
        <v>#VALUE!</v>
      </c>
      <c r="AG231" s="207" t="str">
        <f aca="false">IF($A232="","",Summary!$Q$9)</f>
        <v/>
      </c>
      <c r="AH231" s="207" t="str">
        <f aca="false">IF($A232="","",IF(Summary!$R$9="Y",VLOOKUP($A231,Summary!$AD$6:$AF$9,3)+'Escalating commodity'!E244,'Escalating commodity'!E244))</f>
        <v/>
      </c>
      <c r="AI231" s="207" t="str">
        <f aca="false">IF($A232="","",AH231)</f>
        <v/>
      </c>
      <c r="AJ231" s="208" t="e">
        <f aca="false">A231+DAY(EOMONTH(A231,0))/2-1</f>
        <v>#VALUE!</v>
      </c>
      <c r="AK231" s="209" t="str">
        <f aca="false">IF($A232="","",$A231-$E$1)</f>
        <v/>
      </c>
      <c r="AL231" s="182" t="str">
        <f aca="false">IF($A232="","",SPRDOPT(P231,X231,AI231,0,AB231,AE231,AF231,AK231,$AJ$2,0))</f>
        <v/>
      </c>
      <c r="AM231" s="211" t="str">
        <f aca="false">IF($A232="","",MAX(0,O231-W231-AI231))</f>
        <v/>
      </c>
      <c r="AN231" s="211" t="str">
        <f aca="false">IF($A232="","",AL231-AM231)</f>
        <v/>
      </c>
      <c r="AO231" s="137" t="str">
        <f aca="false">IF(A232="","",A232-A231)</f>
        <v/>
      </c>
      <c r="AP231" s="212" t="str">
        <f aca="false">IF(A232="","",CHOOSE(F$3,A232+24,A231))</f>
        <v/>
      </c>
      <c r="AQ231" s="209" t="str">
        <f aca="false">IF(A232="","",AP231-$E$1)</f>
        <v/>
      </c>
      <c r="AR231" s="185" t="n">
        <f aca="false">'ANR OK vs ML7'!AR231</f>
        <v>0.1</v>
      </c>
      <c r="AS231" s="213" t="str">
        <f aca="false">IF(A232="","",1/(1+CHOOSE(F$3,(AR232+($I$3/10000))/2,(AR231+($I$3/10000))/2))^(2*AQ231/365.25))</f>
        <v/>
      </c>
      <c r="AT231" s="137" t="str">
        <f aca="false">IF(A232="","",IF(AND(mthbeg&lt;=A231,mthend&gt;=A231),1,0))</f>
        <v/>
      </c>
      <c r="AU231" s="137" t="str">
        <f aca="false">IF(A232="","",AO231*AT231)</f>
        <v/>
      </c>
      <c r="AW231" s="195" t="str">
        <f aca="false">IF($A232="","",AL231*$E231)</f>
        <v/>
      </c>
      <c r="AX231" s="195" t="str">
        <f aca="false">IF($A232="","",AM231*$E231)</f>
        <v/>
      </c>
      <c r="AY231" s="195" t="str">
        <f aca="false">IF($A232="","",AN231*$E231)</f>
        <v/>
      </c>
      <c r="BA231" s="195" t="str">
        <f aca="false">IF($A232="","",F231*Summary!$Q$9)</f>
        <v/>
      </c>
    </row>
    <row r="232" customFormat="false" ht="12" hidden="false" customHeight="true" outlineLevel="0" collapsed="false">
      <c r="A232" s="196" t="str">
        <f aca="false">IF(A231&lt;mthend,EDATE(A231,1),"")</f>
        <v/>
      </c>
      <c r="B232" s="197" t="str">
        <f aca="false">IF(A232&lt;mthend,B231,"")</f>
        <v/>
      </c>
      <c r="C232" s="215"/>
      <c r="D232" s="197" t="str">
        <f aca="false">IF(A233&lt;&gt;"",B232+C232,"")</f>
        <v/>
      </c>
      <c r="E232" s="199" t="str">
        <f aca="false">IF(A233="","",IF(AND(AT232=1,$H$3=1),D232*AO232,IF($H$3=2,D232,"N/A")))</f>
        <v/>
      </c>
      <c r="F232" s="199" t="str">
        <f aca="false">IF(A233="","",E232*AS232)</f>
        <v/>
      </c>
      <c r="G232" s="200" t="str">
        <f aca="false">IF($A233="","",VLOOKUP($A232,Table,MATCH(G$4,Curves,0)))</f>
        <v/>
      </c>
      <c r="H232" s="201" t="str">
        <f aca="false">IF(A233="","",G232)</f>
        <v/>
      </c>
      <c r="I232" s="202"/>
      <c r="J232" s="200" t="str">
        <f aca="false">IF($A233="","",VLOOKUP($A232,Table,MATCH(J$4,Curves,0)))</f>
        <v/>
      </c>
      <c r="K232" s="201" t="str">
        <f aca="false">IF(A233="","",J232)</f>
        <v/>
      </c>
      <c r="L232" s="200" t="str">
        <f aca="false">IF($A233="","",VLOOKUP($A232,Table,MATCH(L$4,Curves,0)))</f>
        <v/>
      </c>
      <c r="M232" s="201" t="str">
        <f aca="false">IF(A233="","",L232)</f>
        <v/>
      </c>
      <c r="N232" s="203"/>
      <c r="O232" s="200" t="str">
        <f aca="false">IF(A233="","",L232+J232+G232)</f>
        <v/>
      </c>
      <c r="P232" s="200" t="str">
        <f aca="false">IF(A233="","",M232+K232+H232)</f>
        <v/>
      </c>
      <c r="Q232" s="204"/>
      <c r="R232" s="200" t="str">
        <f aca="false">IF($A233="","",VLOOKUP($A232,Table,MATCH(R$4,Curves,0)))</f>
        <v/>
      </c>
      <c r="S232" s="201" t="str">
        <f aca="false">IF(A233="","",R232)</f>
        <v/>
      </c>
      <c r="T232" s="200" t="str">
        <f aca="false">IF($A233="","",VLOOKUP($A232,Table,MATCH(T$4,Curves,0)))</f>
        <v/>
      </c>
      <c r="U232" s="201" t="str">
        <f aca="false">IF(A233="","",T232)</f>
        <v/>
      </c>
      <c r="V232" s="225" t="str">
        <f aca="false">IF($A233="","",IF(AND(MONTH(A232)&gt;3,MONTH(A232)&lt;11),(T232+R232+G232)*Summary!$T$9/(1-Summary!$T$9),(T232+R232+G232)*Summary!$U$9/(1-Summary!$U$9)))</f>
        <v/>
      </c>
      <c r="W232" s="200" t="str">
        <f aca="false">IF($A233="","",(T232+R232+G232+V232))</f>
        <v/>
      </c>
      <c r="X232" s="200" t="str">
        <f aca="false">IF($A233="","",(U232+S232+H232+V232))</f>
        <v/>
      </c>
      <c r="Y232" s="202"/>
      <c r="Z232" s="185" t="str">
        <f aca="false">IF($A233="","",VLOOKUP($A232,Table,MATCH(Z$4,Curves,0)))</f>
        <v/>
      </c>
      <c r="AA232" s="185" t="str">
        <f aca="false">IF($A233="","",VLOOKUP($A232,Table,MATCH(AA$4,Curves,0)))</f>
        <v/>
      </c>
      <c r="AB232" s="185" t="e">
        <f aca="false">SQRT((AA232^2*(A232-$D$3)+Z232^2*(DAY(EOMONTH(A232,0))/2))/AK232)</f>
        <v>#VALUE!</v>
      </c>
      <c r="AC232" s="185" t="str">
        <f aca="false">IF($A233="","",VLOOKUP($A232,Table,MATCH(AC$4,Curves,0)))</f>
        <v/>
      </c>
      <c r="AD232" s="185" t="str">
        <f aca="false">IF($A233="","",VLOOKUP($A232,Table,MATCH(AD$4,Curves,0)))</f>
        <v/>
      </c>
      <c r="AE232" s="185" t="e">
        <f aca="false">SQRT((AD232^2*(A232-$D$3)+AC232^2*(DAY(EOMONTH(A232,0))/2))/AK232)</f>
        <v>#VALUE!</v>
      </c>
      <c r="AF232" s="224" t="e">
        <f aca="false">((Summary!$N$9*(AA232*AD232)*(A232-$D$3))+(Summary!$M$9*Z232*AC232*(AJ232-EOMONTH(EDATE(A232,-1),0))))/(AK232*AB232*AE232)</f>
        <v>#VALUE!</v>
      </c>
      <c r="AG232" s="207" t="str">
        <f aca="false">IF($A233="","",Summary!$Q$9)</f>
        <v/>
      </c>
      <c r="AH232" s="207" t="str">
        <f aca="false">IF($A233="","",IF(Summary!$R$9="Y",VLOOKUP($A232,Summary!$AD$6:$AF$9,3)+'Escalating commodity'!E245,'Escalating commodity'!E245))</f>
        <v/>
      </c>
      <c r="AI232" s="207" t="str">
        <f aca="false">IF($A233="","",AH232)</f>
        <v/>
      </c>
      <c r="AJ232" s="208" t="e">
        <f aca="false">A232+DAY(EOMONTH(A232,0))/2-1</f>
        <v>#VALUE!</v>
      </c>
      <c r="AK232" s="209" t="str">
        <f aca="false">IF($A233="","",$A232-$E$1)</f>
        <v/>
      </c>
      <c r="AL232" s="182" t="str">
        <f aca="false">IF($A233="","",SPRDOPT(P232,X232,AI232,0,AB232,AE232,AF232,AK232,$AJ$2,0))</f>
        <v/>
      </c>
      <c r="AM232" s="211" t="str">
        <f aca="false">IF($A233="","",MAX(0,O232-W232-AI232))</f>
        <v/>
      </c>
      <c r="AN232" s="211" t="str">
        <f aca="false">IF($A233="","",AL232-AM232)</f>
        <v/>
      </c>
      <c r="AO232" s="137" t="str">
        <f aca="false">IF(A233="","",A233-A232)</f>
        <v/>
      </c>
      <c r="AP232" s="212" t="str">
        <f aca="false">IF(A233="","",CHOOSE(F$3,A233+24,A232))</f>
        <v/>
      </c>
      <c r="AQ232" s="209" t="str">
        <f aca="false">IF(A233="","",AP232-$E$1)</f>
        <v/>
      </c>
      <c r="AR232" s="185" t="n">
        <f aca="false">'ANR OK vs ML7'!AR232</f>
        <v>0.1</v>
      </c>
      <c r="AS232" s="213" t="str">
        <f aca="false">IF(A233="","",1/(1+CHOOSE(F$3,(AR233+($I$3/10000))/2,(AR232+($I$3/10000))/2))^(2*AQ232/365.25))</f>
        <v/>
      </c>
      <c r="AT232" s="137" t="str">
        <f aca="false">IF(A233="","",IF(AND(mthbeg&lt;=A232,mthend&gt;=A232),1,0))</f>
        <v/>
      </c>
      <c r="AU232" s="137" t="str">
        <f aca="false">IF(A233="","",AO232*AT232)</f>
        <v/>
      </c>
      <c r="AW232" s="195" t="str">
        <f aca="false">IF($A233="","",AL232*$E232)</f>
        <v/>
      </c>
      <c r="AX232" s="195" t="str">
        <f aca="false">IF($A233="","",AM232*$E232)</f>
        <v/>
      </c>
      <c r="AY232" s="195" t="str">
        <f aca="false">IF($A233="","",AN232*$E232)</f>
        <v/>
      </c>
      <c r="BA232" s="195" t="str">
        <f aca="false">IF($A233="","",F232*Summary!$Q$9)</f>
        <v/>
      </c>
    </row>
    <row r="233" customFormat="false" ht="12" hidden="false" customHeight="true" outlineLevel="0" collapsed="false">
      <c r="A233" s="196" t="str">
        <f aca="false">IF(A232&lt;mthend,EDATE(A232,1),"")</f>
        <v/>
      </c>
      <c r="B233" s="197" t="str">
        <f aca="false">IF(A233&lt;mthend,B232,"")</f>
        <v/>
      </c>
      <c r="C233" s="215"/>
      <c r="D233" s="197" t="str">
        <f aca="false">IF(A234&lt;&gt;"",B233+C233,"")</f>
        <v/>
      </c>
      <c r="E233" s="199" t="str">
        <f aca="false">IF(A234="","",IF(AND(AT233=1,$H$3=1),D233*AO233,IF($H$3=2,D233,"N/A")))</f>
        <v/>
      </c>
      <c r="F233" s="199" t="str">
        <f aca="false">IF(A234="","",E233*AS233)</f>
        <v/>
      </c>
      <c r="G233" s="200" t="str">
        <f aca="false">IF($A234="","",VLOOKUP($A233,Table,MATCH(G$4,Curves,0)))</f>
        <v/>
      </c>
      <c r="H233" s="201" t="str">
        <f aca="false">IF(A234="","",G233)</f>
        <v/>
      </c>
      <c r="I233" s="202"/>
      <c r="J233" s="200" t="str">
        <f aca="false">IF($A234="","",VLOOKUP($A233,Table,MATCH(J$4,Curves,0)))</f>
        <v/>
      </c>
      <c r="K233" s="201" t="str">
        <f aca="false">IF(A234="","",J233)</f>
        <v/>
      </c>
      <c r="L233" s="200" t="str">
        <f aca="false">IF($A234="","",VLOOKUP($A233,Table,MATCH(L$4,Curves,0)))</f>
        <v/>
      </c>
      <c r="M233" s="201" t="str">
        <f aca="false">IF(A234="","",L233)</f>
        <v/>
      </c>
      <c r="N233" s="203"/>
      <c r="O233" s="200" t="str">
        <f aca="false">IF(A234="","",L233+J233+G233)</f>
        <v/>
      </c>
      <c r="P233" s="200" t="str">
        <f aca="false">IF(A234="","",M233+K233+H233)</f>
        <v/>
      </c>
      <c r="Q233" s="204"/>
      <c r="R233" s="200" t="str">
        <f aca="false">IF($A234="","",VLOOKUP($A233,Table,MATCH(R$4,Curves,0)))</f>
        <v/>
      </c>
      <c r="S233" s="201" t="str">
        <f aca="false">IF(A234="","",R233)</f>
        <v/>
      </c>
      <c r="T233" s="200" t="str">
        <f aca="false">IF($A234="","",VLOOKUP($A233,Table,MATCH(T$4,Curves,0)))</f>
        <v/>
      </c>
      <c r="U233" s="201" t="str">
        <f aca="false">IF(A234="","",T233)</f>
        <v/>
      </c>
      <c r="V233" s="225" t="str">
        <f aca="false">IF($A234="","",IF(AND(MONTH(A233)&gt;3,MONTH(A233)&lt;11),(T233+R233+G233)*Summary!$T$9/(1-Summary!$T$9),(T233+R233+G233)*Summary!$U$9/(1-Summary!$U$9)))</f>
        <v/>
      </c>
      <c r="W233" s="200" t="str">
        <f aca="false">IF($A234="","",(T233+R233+G233+V233))</f>
        <v/>
      </c>
      <c r="X233" s="200" t="str">
        <f aca="false">IF($A234="","",(U233+S233+H233+V233))</f>
        <v/>
      </c>
      <c r="Y233" s="202"/>
      <c r="Z233" s="185" t="str">
        <f aca="false">IF($A234="","",VLOOKUP($A233,Table,MATCH(Z$4,Curves,0)))</f>
        <v/>
      </c>
      <c r="AA233" s="185" t="str">
        <f aca="false">IF($A234="","",VLOOKUP($A233,Table,MATCH(AA$4,Curves,0)))</f>
        <v/>
      </c>
      <c r="AB233" s="185" t="e">
        <f aca="false">SQRT((AA233^2*(A233-$D$3)+Z233^2*(DAY(EOMONTH(A233,0))/2))/AK233)</f>
        <v>#VALUE!</v>
      </c>
      <c r="AC233" s="185" t="str">
        <f aca="false">IF($A234="","",VLOOKUP($A233,Table,MATCH(AC$4,Curves,0)))</f>
        <v/>
      </c>
      <c r="AD233" s="185" t="str">
        <f aca="false">IF($A234="","",VLOOKUP($A233,Table,MATCH(AD$4,Curves,0)))</f>
        <v/>
      </c>
      <c r="AE233" s="185" t="e">
        <f aca="false">SQRT((AD233^2*(A233-$D$3)+AC233^2*(DAY(EOMONTH(A233,0))/2))/AK233)</f>
        <v>#VALUE!</v>
      </c>
      <c r="AF233" s="224" t="e">
        <f aca="false">((Summary!$N$9*(AA233*AD233)*(A233-$D$3))+(Summary!$M$9*Z233*AC233*(AJ233-EOMONTH(EDATE(A233,-1),0))))/(AK233*AB233*AE233)</f>
        <v>#VALUE!</v>
      </c>
      <c r="AG233" s="207" t="str">
        <f aca="false">IF($A234="","",Summary!$Q$9)</f>
        <v/>
      </c>
      <c r="AH233" s="207" t="str">
        <f aca="false">IF($A234="","",IF(Summary!$R$9="Y",VLOOKUP($A233,Summary!$AD$6:$AF$9,3)+'Escalating commodity'!E246,'Escalating commodity'!E246))</f>
        <v/>
      </c>
      <c r="AI233" s="207" t="str">
        <f aca="false">IF($A234="","",AH233)</f>
        <v/>
      </c>
      <c r="AJ233" s="208" t="e">
        <f aca="false">A233+DAY(EOMONTH(A233,0))/2-1</f>
        <v>#VALUE!</v>
      </c>
      <c r="AK233" s="209" t="str">
        <f aca="false">IF($A234="","",$A233-$E$1)</f>
        <v/>
      </c>
      <c r="AL233" s="182" t="str">
        <f aca="false">IF($A234="","",SPRDOPT(P233,X233,AI233,0,AB233,AE233,AF233,AK233,$AJ$2,0))</f>
        <v/>
      </c>
      <c r="AM233" s="211" t="str">
        <f aca="false">IF($A234="","",MAX(0,O233-W233-AI233))</f>
        <v/>
      </c>
      <c r="AN233" s="211" t="str">
        <f aca="false">IF($A234="","",AL233-AM233)</f>
        <v/>
      </c>
      <c r="AO233" s="137" t="str">
        <f aca="false">IF(A234="","",A234-A233)</f>
        <v/>
      </c>
      <c r="AP233" s="212" t="str">
        <f aca="false">IF(A234="","",CHOOSE(F$3,A234+24,A233))</f>
        <v/>
      </c>
      <c r="AQ233" s="209" t="str">
        <f aca="false">IF(A234="","",AP233-$E$1)</f>
        <v/>
      </c>
      <c r="AR233" s="185" t="n">
        <f aca="false">'ANR OK vs ML7'!AR233</f>
        <v>0.1</v>
      </c>
      <c r="AS233" s="213" t="str">
        <f aca="false">IF(A234="","",1/(1+CHOOSE(F$3,(AR234+($I$3/10000))/2,(AR233+($I$3/10000))/2))^(2*AQ233/365.25))</f>
        <v/>
      </c>
      <c r="AT233" s="137" t="str">
        <f aca="false">IF(A234="","",IF(AND(mthbeg&lt;=A233,mthend&gt;=A233),1,0))</f>
        <v/>
      </c>
      <c r="AU233" s="137" t="str">
        <f aca="false">IF(A234="","",AO233*AT233)</f>
        <v/>
      </c>
      <c r="AW233" s="195" t="str">
        <f aca="false">IF($A234="","",AL233*$E233)</f>
        <v/>
      </c>
      <c r="AX233" s="195" t="str">
        <f aca="false">IF($A234="","",AM233*$E233)</f>
        <v/>
      </c>
      <c r="AY233" s="195" t="str">
        <f aca="false">IF($A234="","",AN233*$E233)</f>
        <v/>
      </c>
      <c r="BA233" s="195" t="str">
        <f aca="false">IF($A234="","",F233*Summary!$Q$9)</f>
        <v/>
      </c>
    </row>
    <row r="234" customFormat="false" ht="12" hidden="false" customHeight="true" outlineLevel="0" collapsed="false">
      <c r="A234" s="196" t="str">
        <f aca="false">IF(A233&lt;mthend,EDATE(A233,1),"")</f>
        <v/>
      </c>
      <c r="B234" s="197" t="str">
        <f aca="false">IF(A234&lt;mthend,B233,"")</f>
        <v/>
      </c>
      <c r="C234" s="215"/>
      <c r="D234" s="197" t="str">
        <f aca="false">IF(A235&lt;&gt;"",B234+C234,"")</f>
        <v/>
      </c>
      <c r="E234" s="199" t="str">
        <f aca="false">IF(A235="","",IF(AND(AT234=1,$H$3=1),D234*AO234,IF($H$3=2,D234,"N/A")))</f>
        <v/>
      </c>
      <c r="F234" s="199" t="str">
        <f aca="false">IF(A235="","",E234*AS234)</f>
        <v/>
      </c>
      <c r="G234" s="200" t="str">
        <f aca="false">IF($A235="","",VLOOKUP($A234,Table,MATCH(G$4,Curves,0)))</f>
        <v/>
      </c>
      <c r="H234" s="201" t="str">
        <f aca="false">IF(A235="","",G234)</f>
        <v/>
      </c>
      <c r="I234" s="202"/>
      <c r="J234" s="200" t="str">
        <f aca="false">IF($A235="","",VLOOKUP($A234,Table,MATCH(J$4,Curves,0)))</f>
        <v/>
      </c>
      <c r="K234" s="201" t="str">
        <f aca="false">IF(A235="","",J234)</f>
        <v/>
      </c>
      <c r="L234" s="200" t="str">
        <f aca="false">IF($A235="","",VLOOKUP($A234,Table,MATCH(L$4,Curves,0)))</f>
        <v/>
      </c>
      <c r="M234" s="201" t="str">
        <f aca="false">IF(A235="","",L234)</f>
        <v/>
      </c>
      <c r="N234" s="203"/>
      <c r="O234" s="200" t="str">
        <f aca="false">IF(A235="","",L234+J234+G234)</f>
        <v/>
      </c>
      <c r="P234" s="200" t="str">
        <f aca="false">IF(A235="","",M234+K234+H234)</f>
        <v/>
      </c>
      <c r="Q234" s="204"/>
      <c r="R234" s="200" t="str">
        <f aca="false">IF($A235="","",VLOOKUP($A234,Table,MATCH(R$4,Curves,0)))</f>
        <v/>
      </c>
      <c r="S234" s="201" t="str">
        <f aca="false">IF(A235="","",R234)</f>
        <v/>
      </c>
      <c r="T234" s="200" t="str">
        <f aca="false">IF($A235="","",VLOOKUP($A234,Table,MATCH(T$4,Curves,0)))</f>
        <v/>
      </c>
      <c r="U234" s="201" t="str">
        <f aca="false">IF(A235="","",T234)</f>
        <v/>
      </c>
      <c r="V234" s="225" t="str">
        <f aca="false">IF($A235="","",IF(AND(MONTH(A234)&gt;3,MONTH(A234)&lt;11),(T234+R234+G234)*Summary!$T$9/(1-Summary!$T$9),(T234+R234+G234)*Summary!$U$9/(1-Summary!$U$9)))</f>
        <v/>
      </c>
      <c r="W234" s="200" t="str">
        <f aca="false">IF($A235="","",(T234+R234+G234+V234))</f>
        <v/>
      </c>
      <c r="X234" s="200" t="str">
        <f aca="false">IF($A235="","",(U234+S234+H234+V234))</f>
        <v/>
      </c>
      <c r="Y234" s="202"/>
      <c r="Z234" s="185" t="str">
        <f aca="false">IF($A235="","",VLOOKUP($A234,Table,MATCH(Z$4,Curves,0)))</f>
        <v/>
      </c>
      <c r="AA234" s="185" t="str">
        <f aca="false">IF($A235="","",VLOOKUP($A234,Table,MATCH(AA$4,Curves,0)))</f>
        <v/>
      </c>
      <c r="AB234" s="185" t="e">
        <f aca="false">SQRT((AA234^2*(A234-$D$3)+Z234^2*(DAY(EOMONTH(A234,0))/2))/AK234)</f>
        <v>#VALUE!</v>
      </c>
      <c r="AC234" s="185" t="str">
        <f aca="false">IF($A235="","",VLOOKUP($A234,Table,MATCH(AC$4,Curves,0)))</f>
        <v/>
      </c>
      <c r="AD234" s="185" t="str">
        <f aca="false">IF($A235="","",VLOOKUP($A234,Table,MATCH(AD$4,Curves,0)))</f>
        <v/>
      </c>
      <c r="AE234" s="185" t="e">
        <f aca="false">SQRT((AD234^2*(A234-$D$3)+AC234^2*(DAY(EOMONTH(A234,0))/2))/AK234)</f>
        <v>#VALUE!</v>
      </c>
      <c r="AF234" s="224" t="e">
        <f aca="false">((Summary!$N$9*(AA234*AD234)*(A234-$D$3))+(Summary!$M$9*Z234*AC234*(AJ234-EOMONTH(EDATE(A234,-1),0))))/(AK234*AB234*AE234)</f>
        <v>#VALUE!</v>
      </c>
      <c r="AG234" s="207" t="str">
        <f aca="false">IF($A235="","",Summary!$Q$9)</f>
        <v/>
      </c>
      <c r="AH234" s="207" t="str">
        <f aca="false">IF($A235="","",IF(Summary!$R$9="Y",VLOOKUP($A234,Summary!$AD$6:$AF$9,3)+'Escalating commodity'!E247,'Escalating commodity'!E247))</f>
        <v/>
      </c>
      <c r="AI234" s="207" t="str">
        <f aca="false">IF($A235="","",AH234)</f>
        <v/>
      </c>
      <c r="AJ234" s="208" t="e">
        <f aca="false">A234+DAY(EOMONTH(A234,0))/2-1</f>
        <v>#VALUE!</v>
      </c>
      <c r="AK234" s="209" t="str">
        <f aca="false">IF($A235="","",$A234-$E$1)</f>
        <v/>
      </c>
      <c r="AL234" s="182" t="str">
        <f aca="false">IF($A235="","",SPRDOPT(P234,X234,AI234,0,AB234,AE234,AF234,AK234,$AJ$2,0))</f>
        <v/>
      </c>
      <c r="AM234" s="211" t="str">
        <f aca="false">IF($A235="","",MAX(0,O234-W234-AI234))</f>
        <v/>
      </c>
      <c r="AN234" s="211" t="str">
        <f aca="false">IF($A235="","",AL234-AM234)</f>
        <v/>
      </c>
      <c r="AO234" s="137" t="str">
        <f aca="false">IF(A235="","",A235-A234)</f>
        <v/>
      </c>
      <c r="AP234" s="212" t="str">
        <f aca="false">IF(A235="","",CHOOSE(F$3,A235+24,A234))</f>
        <v/>
      </c>
      <c r="AQ234" s="209" t="str">
        <f aca="false">IF(A235="","",AP234-$E$1)</f>
        <v/>
      </c>
      <c r="AR234" s="185" t="n">
        <f aca="false">'ANR OK vs ML7'!AR234</f>
        <v>0.1</v>
      </c>
      <c r="AS234" s="213" t="str">
        <f aca="false">IF(A235="","",1/(1+CHOOSE(F$3,(AR235+($I$3/10000))/2,(AR234+($I$3/10000))/2))^(2*AQ234/365.25))</f>
        <v/>
      </c>
      <c r="AT234" s="137" t="str">
        <f aca="false">IF(A235="","",IF(AND(mthbeg&lt;=A234,mthend&gt;=A234),1,0))</f>
        <v/>
      </c>
      <c r="AU234" s="137" t="str">
        <f aca="false">IF(A235="","",AO234*AT234)</f>
        <v/>
      </c>
      <c r="AW234" s="195" t="str">
        <f aca="false">IF($A235="","",AL234*$E234)</f>
        <v/>
      </c>
      <c r="AX234" s="195" t="str">
        <f aca="false">IF($A235="","",AM234*$E234)</f>
        <v/>
      </c>
      <c r="AY234" s="195" t="str">
        <f aca="false">IF($A235="","",AN234*$E234)</f>
        <v/>
      </c>
      <c r="BA234" s="195" t="str">
        <f aca="false">IF($A235="","",F234*Summary!$Q$9)</f>
        <v/>
      </c>
    </row>
    <row r="235" customFormat="false" ht="12" hidden="false" customHeight="true" outlineLevel="0" collapsed="false">
      <c r="A235" s="196" t="str">
        <f aca="false">IF(A234&lt;mthend,EDATE(A234,1),"")</f>
        <v/>
      </c>
      <c r="B235" s="197" t="str">
        <f aca="false">IF(A235&lt;mthend,B234,"")</f>
        <v/>
      </c>
      <c r="C235" s="215"/>
      <c r="D235" s="197" t="str">
        <f aca="false">IF(A236&lt;&gt;"",B235+C235,"")</f>
        <v/>
      </c>
      <c r="E235" s="199" t="str">
        <f aca="false">IF(A236="","",IF(AND(AT235=1,$H$3=1),D235*AO235,IF($H$3=2,D235,"N/A")))</f>
        <v/>
      </c>
      <c r="F235" s="199" t="str">
        <f aca="false">IF(A236="","",E235*AS235)</f>
        <v/>
      </c>
      <c r="G235" s="200" t="str">
        <f aca="false">IF($A236="","",VLOOKUP($A235,Table,MATCH(G$4,Curves,0)))</f>
        <v/>
      </c>
      <c r="H235" s="201" t="str">
        <f aca="false">IF(A236="","",G235)</f>
        <v/>
      </c>
      <c r="I235" s="202"/>
      <c r="J235" s="200" t="str">
        <f aca="false">IF($A236="","",VLOOKUP($A235,Table,MATCH(J$4,Curves,0)))</f>
        <v/>
      </c>
      <c r="K235" s="201" t="str">
        <f aca="false">IF(A236="","",J235)</f>
        <v/>
      </c>
      <c r="L235" s="200" t="str">
        <f aca="false">IF($A236="","",VLOOKUP($A235,Table,MATCH(L$4,Curves,0)))</f>
        <v/>
      </c>
      <c r="M235" s="201" t="str">
        <f aca="false">IF(A236="","",L235)</f>
        <v/>
      </c>
      <c r="N235" s="203"/>
      <c r="O235" s="200" t="str">
        <f aca="false">IF(A236="","",L235+J235+G235)</f>
        <v/>
      </c>
      <c r="P235" s="200" t="str">
        <f aca="false">IF(A236="","",M235+K235+H235)</f>
        <v/>
      </c>
      <c r="Q235" s="204"/>
      <c r="R235" s="200" t="str">
        <f aca="false">IF($A236="","",VLOOKUP($A235,Table,MATCH(R$4,Curves,0)))</f>
        <v/>
      </c>
      <c r="S235" s="201" t="str">
        <f aca="false">IF(A236="","",R235)</f>
        <v/>
      </c>
      <c r="T235" s="200" t="str">
        <f aca="false">IF($A236="","",VLOOKUP($A235,Table,MATCH(T$4,Curves,0)))</f>
        <v/>
      </c>
      <c r="U235" s="201" t="str">
        <f aca="false">IF(A236="","",T235)</f>
        <v/>
      </c>
      <c r="V235" s="225" t="str">
        <f aca="false">IF($A236="","",IF(AND(MONTH(A235)&gt;3,MONTH(A235)&lt;11),(T235+R235+G235)*Summary!$T$9/(1-Summary!$T$9),(T235+R235+G235)*Summary!$U$9/(1-Summary!$U$9)))</f>
        <v/>
      </c>
      <c r="W235" s="200" t="str">
        <f aca="false">IF($A236="","",(T235+R235+G235+V235))</f>
        <v/>
      </c>
      <c r="X235" s="200" t="str">
        <f aca="false">IF($A236="","",(U235+S235+H235+V235))</f>
        <v/>
      </c>
      <c r="Y235" s="202"/>
      <c r="Z235" s="185" t="str">
        <f aca="false">IF($A236="","",VLOOKUP($A235,Table,MATCH(Z$4,Curves,0)))</f>
        <v/>
      </c>
      <c r="AA235" s="185" t="str">
        <f aca="false">IF($A236="","",VLOOKUP($A235,Table,MATCH(AA$4,Curves,0)))</f>
        <v/>
      </c>
      <c r="AB235" s="185" t="e">
        <f aca="false">SQRT((AA235^2*(A235-$D$3)+Z235^2*(DAY(EOMONTH(A235,0))/2))/AK235)</f>
        <v>#VALUE!</v>
      </c>
      <c r="AC235" s="185" t="str">
        <f aca="false">IF($A236="","",VLOOKUP($A235,Table,MATCH(AC$4,Curves,0)))</f>
        <v/>
      </c>
      <c r="AD235" s="185" t="str">
        <f aca="false">IF($A236="","",VLOOKUP($A235,Table,MATCH(AD$4,Curves,0)))</f>
        <v/>
      </c>
      <c r="AE235" s="185" t="e">
        <f aca="false">SQRT((AD235^2*(A235-$D$3)+AC235^2*(DAY(EOMONTH(A235,0))/2))/AK235)</f>
        <v>#VALUE!</v>
      </c>
      <c r="AF235" s="224" t="e">
        <f aca="false">((Summary!$N$9*(AA235*AD235)*(A235-$D$3))+(Summary!$M$9*Z235*AC235*(AJ235-EOMONTH(EDATE(A235,-1),0))))/(AK235*AB235*AE235)</f>
        <v>#VALUE!</v>
      </c>
      <c r="AG235" s="207" t="str">
        <f aca="false">IF($A236="","",Summary!$Q$9)</f>
        <v/>
      </c>
      <c r="AH235" s="207" t="str">
        <f aca="false">IF($A236="","",IF(Summary!$R$9="Y",VLOOKUP($A235,Summary!$AD$6:$AF$9,3)+'Escalating commodity'!E248,'Escalating commodity'!E248))</f>
        <v/>
      </c>
      <c r="AI235" s="207" t="str">
        <f aca="false">IF($A236="","",AH235)</f>
        <v/>
      </c>
      <c r="AJ235" s="208" t="e">
        <f aca="false">A235+DAY(EOMONTH(A235,0))/2-1</f>
        <v>#VALUE!</v>
      </c>
      <c r="AK235" s="209" t="str">
        <f aca="false">IF($A236="","",$A235-$E$1)</f>
        <v/>
      </c>
      <c r="AL235" s="182" t="str">
        <f aca="false">IF($A236="","",SPRDOPT(P235,X235,AI235,0,AB235,AE235,AF235,AK235,$AJ$2,0))</f>
        <v/>
      </c>
      <c r="AM235" s="211" t="str">
        <f aca="false">IF($A236="","",MAX(0,O235-W235-AI235))</f>
        <v/>
      </c>
      <c r="AN235" s="211" t="str">
        <f aca="false">IF($A236="","",AL235-AM235)</f>
        <v/>
      </c>
      <c r="AO235" s="137" t="str">
        <f aca="false">IF(A236="","",A236-A235)</f>
        <v/>
      </c>
      <c r="AP235" s="212" t="str">
        <f aca="false">IF(A236="","",CHOOSE(F$3,A236+24,A235))</f>
        <v/>
      </c>
      <c r="AQ235" s="209" t="str">
        <f aca="false">IF(A236="","",AP235-$E$1)</f>
        <v/>
      </c>
      <c r="AR235" s="185" t="n">
        <f aca="false">'ANR OK vs ML7'!AR235</f>
        <v>0.1</v>
      </c>
      <c r="AS235" s="213" t="str">
        <f aca="false">IF(A236="","",1/(1+CHOOSE(F$3,(AR236+($I$3/10000))/2,(AR235+($I$3/10000))/2))^(2*AQ235/365.25))</f>
        <v/>
      </c>
      <c r="AT235" s="137" t="str">
        <f aca="false">IF(A236="","",IF(AND(mthbeg&lt;=A235,mthend&gt;=A235),1,0))</f>
        <v/>
      </c>
      <c r="AU235" s="137" t="str">
        <f aca="false">IF(A236="","",AO235*AT235)</f>
        <v/>
      </c>
      <c r="AW235" s="195" t="str">
        <f aca="false">IF($A236="","",AL235*$E235)</f>
        <v/>
      </c>
      <c r="AX235" s="195" t="str">
        <f aca="false">IF($A236="","",AM235*$E235)</f>
        <v/>
      </c>
      <c r="AY235" s="195" t="str">
        <f aca="false">IF($A236="","",AN235*$E235)</f>
        <v/>
      </c>
      <c r="BA235" s="195" t="str">
        <f aca="false">IF($A236="","",F235*Summary!$Q$9)</f>
        <v/>
      </c>
    </row>
    <row r="236" customFormat="false" ht="12" hidden="false" customHeight="true" outlineLevel="0" collapsed="false">
      <c r="A236" s="196" t="str">
        <f aca="false">IF(A235&lt;mthend,EDATE(A235,1),"")</f>
        <v/>
      </c>
      <c r="B236" s="197" t="str">
        <f aca="false">IF(A236&lt;mthend,B235,"")</f>
        <v/>
      </c>
      <c r="C236" s="215"/>
      <c r="D236" s="197" t="str">
        <f aca="false">IF(A237&lt;&gt;"",B236+C236,"")</f>
        <v/>
      </c>
      <c r="E236" s="199" t="str">
        <f aca="false">IF(A237="","",IF(AND(AT236=1,$H$3=1),D236*AO236,IF($H$3=2,D236,"N/A")))</f>
        <v/>
      </c>
      <c r="F236" s="199" t="str">
        <f aca="false">IF(A237="","",E236*AS236)</f>
        <v/>
      </c>
      <c r="G236" s="200" t="str">
        <f aca="false">IF($A237="","",VLOOKUP($A236,Table,MATCH(G$4,Curves,0)))</f>
        <v/>
      </c>
      <c r="H236" s="201" t="str">
        <f aca="false">IF(A237="","",G236)</f>
        <v/>
      </c>
      <c r="I236" s="202"/>
      <c r="J236" s="200" t="str">
        <f aca="false">IF($A237="","",VLOOKUP($A236,Table,MATCH(J$4,Curves,0)))</f>
        <v/>
      </c>
      <c r="K236" s="201" t="str">
        <f aca="false">IF(A237="","",J236)</f>
        <v/>
      </c>
      <c r="L236" s="200" t="str">
        <f aca="false">IF($A237="","",VLOOKUP($A236,Table,MATCH(L$4,Curves,0)))</f>
        <v/>
      </c>
      <c r="M236" s="201" t="str">
        <f aca="false">IF(A237="","",L236)</f>
        <v/>
      </c>
      <c r="N236" s="203"/>
      <c r="O236" s="200" t="str">
        <f aca="false">IF(A237="","",L236+J236+G236)</f>
        <v/>
      </c>
      <c r="P236" s="200" t="str">
        <f aca="false">IF(A237="","",M236+K236+H236)</f>
        <v/>
      </c>
      <c r="Q236" s="204"/>
      <c r="R236" s="200" t="str">
        <f aca="false">IF($A237="","",VLOOKUP($A236,Table,MATCH(R$4,Curves,0)))</f>
        <v/>
      </c>
      <c r="S236" s="201" t="str">
        <f aca="false">IF(A237="","",R236)</f>
        <v/>
      </c>
      <c r="T236" s="200" t="str">
        <f aca="false">IF($A237="","",VLOOKUP($A236,Table,MATCH(T$4,Curves,0)))</f>
        <v/>
      </c>
      <c r="U236" s="201" t="str">
        <f aca="false">IF(A237="","",T236)</f>
        <v/>
      </c>
      <c r="V236" s="225" t="str">
        <f aca="false">IF($A237="","",IF(AND(MONTH(A236)&gt;3,MONTH(A236)&lt;11),(T236+R236+G236)*Summary!$T$9/(1-Summary!$T$9),(T236+R236+G236)*Summary!$U$9/(1-Summary!$U$9)))</f>
        <v/>
      </c>
      <c r="W236" s="200" t="str">
        <f aca="false">IF($A237="","",(T236+R236+G236+V236))</f>
        <v/>
      </c>
      <c r="X236" s="200" t="str">
        <f aca="false">IF($A237="","",(U236+S236+H236+V236))</f>
        <v/>
      </c>
      <c r="Y236" s="202"/>
      <c r="Z236" s="185" t="str">
        <f aca="false">IF($A237="","",VLOOKUP($A236,Table,MATCH(Z$4,Curves,0)))</f>
        <v/>
      </c>
      <c r="AA236" s="185" t="str">
        <f aca="false">IF($A237="","",VLOOKUP($A236,Table,MATCH(AA$4,Curves,0)))</f>
        <v/>
      </c>
      <c r="AB236" s="185" t="e">
        <f aca="false">SQRT((AA236^2*(A236-$D$3)+Z236^2*(DAY(EOMONTH(A236,0))/2))/AK236)</f>
        <v>#VALUE!</v>
      </c>
      <c r="AC236" s="185" t="str">
        <f aca="false">IF($A237="","",VLOOKUP($A236,Table,MATCH(AC$4,Curves,0)))</f>
        <v/>
      </c>
      <c r="AD236" s="185" t="str">
        <f aca="false">IF($A237="","",VLOOKUP($A236,Table,MATCH(AD$4,Curves,0)))</f>
        <v/>
      </c>
      <c r="AE236" s="185" t="e">
        <f aca="false">SQRT((AD236^2*(A236-$D$3)+AC236^2*(DAY(EOMONTH(A236,0))/2))/AK236)</f>
        <v>#VALUE!</v>
      </c>
      <c r="AF236" s="224" t="e">
        <f aca="false">((Summary!$N$9*(AA236*AD236)*(A236-$D$3))+(Summary!$M$9*Z236*AC236*(AJ236-EOMONTH(EDATE(A236,-1),0))))/(AK236*AB236*AE236)</f>
        <v>#VALUE!</v>
      </c>
      <c r="AG236" s="207" t="str">
        <f aca="false">IF($A237="","",Summary!$Q$9)</f>
        <v/>
      </c>
      <c r="AH236" s="207" t="str">
        <f aca="false">IF($A237="","",IF(Summary!$R$9="Y",VLOOKUP($A236,Summary!$AD$6:$AF$9,3)+'Escalating commodity'!E249,'Escalating commodity'!E249))</f>
        <v/>
      </c>
      <c r="AI236" s="207" t="str">
        <f aca="false">IF($A237="","",AH236)</f>
        <v/>
      </c>
      <c r="AJ236" s="208" t="e">
        <f aca="false">A236+DAY(EOMONTH(A236,0))/2-1</f>
        <v>#VALUE!</v>
      </c>
      <c r="AK236" s="209" t="str">
        <f aca="false">IF($A237="","",$A236-$E$1)</f>
        <v/>
      </c>
      <c r="AL236" s="182" t="str">
        <f aca="false">IF($A237="","",SPRDOPT(P236,X236,AI236,0,AB236,AE236,AF236,AK236,$AJ$2,0))</f>
        <v/>
      </c>
      <c r="AM236" s="211" t="str">
        <f aca="false">IF($A237="","",MAX(0,O236-W236-AI236))</f>
        <v/>
      </c>
      <c r="AN236" s="211" t="str">
        <f aca="false">IF($A237="","",AL236-AM236)</f>
        <v/>
      </c>
      <c r="AO236" s="137" t="str">
        <f aca="false">IF(A237="","",A237-A236)</f>
        <v/>
      </c>
      <c r="AP236" s="212" t="str">
        <f aca="false">IF(A237="","",CHOOSE(F$3,A237+24,A236))</f>
        <v/>
      </c>
      <c r="AQ236" s="209" t="str">
        <f aca="false">IF(A237="","",AP236-$E$1)</f>
        <v/>
      </c>
      <c r="AR236" s="185" t="n">
        <f aca="false">'ANR OK vs ML7'!AR236</f>
        <v>0.1</v>
      </c>
      <c r="AS236" s="213" t="str">
        <f aca="false">IF(A237="","",1/(1+CHOOSE(F$3,(AR237+($I$3/10000))/2,(AR236+($I$3/10000))/2))^(2*AQ236/365.25))</f>
        <v/>
      </c>
      <c r="AT236" s="137" t="str">
        <f aca="false">IF(A237="","",IF(AND(mthbeg&lt;=A236,mthend&gt;=A236),1,0))</f>
        <v/>
      </c>
      <c r="AU236" s="137" t="str">
        <f aca="false">IF(A237="","",AO236*AT236)</f>
        <v/>
      </c>
      <c r="AW236" s="195" t="str">
        <f aca="false">IF($A237="","",AL236*$E236)</f>
        <v/>
      </c>
      <c r="AX236" s="195" t="str">
        <f aca="false">IF($A237="","",AM236*$E236)</f>
        <v/>
      </c>
      <c r="AY236" s="195" t="str">
        <f aca="false">IF($A237="","",AN236*$E236)</f>
        <v/>
      </c>
      <c r="BA236" s="195" t="str">
        <f aca="false">IF($A237="","",F236*Summary!$Q$9)</f>
        <v/>
      </c>
    </row>
    <row r="237" customFormat="false" ht="12" hidden="false" customHeight="true" outlineLevel="0" collapsed="false">
      <c r="A237" s="196" t="str">
        <f aca="false">IF(A236&lt;mthend,EDATE(A236,1),"")</f>
        <v/>
      </c>
      <c r="B237" s="197" t="str">
        <f aca="false">IF(A237&lt;mthend,B236,"")</f>
        <v/>
      </c>
      <c r="C237" s="215"/>
      <c r="D237" s="197" t="str">
        <f aca="false">IF(A238&lt;&gt;"",B237+C237,"")</f>
        <v/>
      </c>
      <c r="E237" s="199" t="str">
        <f aca="false">IF(A238="","",IF(AND(AT237=1,$H$3=1),D237*AO237,IF($H$3=2,D237,"N/A")))</f>
        <v/>
      </c>
      <c r="F237" s="199" t="str">
        <f aca="false">IF(A238="","",E237*AS237)</f>
        <v/>
      </c>
      <c r="G237" s="200" t="str">
        <f aca="false">IF($A238="","",VLOOKUP($A237,Table,MATCH(G$4,Curves,0)))</f>
        <v/>
      </c>
      <c r="H237" s="201" t="str">
        <f aca="false">IF(A238="","",G237)</f>
        <v/>
      </c>
      <c r="I237" s="202"/>
      <c r="J237" s="200" t="str">
        <f aca="false">IF($A238="","",VLOOKUP($A237,Table,MATCH(J$4,Curves,0)))</f>
        <v/>
      </c>
      <c r="K237" s="201" t="str">
        <f aca="false">IF(A238="","",J237)</f>
        <v/>
      </c>
      <c r="L237" s="200" t="str">
        <f aca="false">IF($A238="","",VLOOKUP($A237,Table,MATCH(L$4,Curves,0)))</f>
        <v/>
      </c>
      <c r="M237" s="201" t="str">
        <f aca="false">IF(A238="","",L237)</f>
        <v/>
      </c>
      <c r="N237" s="203"/>
      <c r="O237" s="200" t="str">
        <f aca="false">IF(A238="","",L237+J237+G237)</f>
        <v/>
      </c>
      <c r="P237" s="200" t="str">
        <f aca="false">IF(A238="","",M237+K237+H237)</f>
        <v/>
      </c>
      <c r="Q237" s="204"/>
      <c r="R237" s="200" t="str">
        <f aca="false">IF($A238="","",VLOOKUP($A237,Table,MATCH(R$4,Curves,0)))</f>
        <v/>
      </c>
      <c r="S237" s="201" t="str">
        <f aca="false">IF(A238="","",R237)</f>
        <v/>
      </c>
      <c r="T237" s="200" t="str">
        <f aca="false">IF($A238="","",VLOOKUP($A237,Table,MATCH(T$4,Curves,0)))</f>
        <v/>
      </c>
      <c r="U237" s="201" t="str">
        <f aca="false">IF(A238="","",T237)</f>
        <v/>
      </c>
      <c r="V237" s="225" t="str">
        <f aca="false">IF($A238="","",IF(AND(MONTH(A237)&gt;3,MONTH(A237)&lt;11),(T237+R237+G237)*Summary!$T$9/(1-Summary!$T$9),(T237+R237+G237)*Summary!$U$9/(1-Summary!$U$9)))</f>
        <v/>
      </c>
      <c r="W237" s="200" t="str">
        <f aca="false">IF($A238="","",(T237+R237+G237+V237))</f>
        <v/>
      </c>
      <c r="X237" s="200" t="str">
        <f aca="false">IF($A238="","",(U237+S237+H237+V237))</f>
        <v/>
      </c>
      <c r="Y237" s="202"/>
      <c r="Z237" s="185" t="str">
        <f aca="false">IF($A238="","",VLOOKUP($A237,Table,MATCH(Z$4,Curves,0)))</f>
        <v/>
      </c>
      <c r="AA237" s="185" t="str">
        <f aca="false">IF($A238="","",VLOOKUP($A237,Table,MATCH(AA$4,Curves,0)))</f>
        <v/>
      </c>
      <c r="AB237" s="185" t="e">
        <f aca="false">SQRT((AA237^2*(A237-$D$3)+Z237^2*(DAY(EOMONTH(A237,0))/2))/AK237)</f>
        <v>#VALUE!</v>
      </c>
      <c r="AC237" s="185" t="str">
        <f aca="false">IF($A238="","",VLOOKUP($A237,Table,MATCH(AC$4,Curves,0)))</f>
        <v/>
      </c>
      <c r="AD237" s="185" t="str">
        <f aca="false">IF($A238="","",VLOOKUP($A237,Table,MATCH(AD$4,Curves,0)))</f>
        <v/>
      </c>
      <c r="AE237" s="185" t="e">
        <f aca="false">SQRT((AD237^2*(A237-$D$3)+AC237^2*(DAY(EOMONTH(A237,0))/2))/AK237)</f>
        <v>#VALUE!</v>
      </c>
      <c r="AF237" s="224" t="e">
        <f aca="false">((Summary!$N$9*(AA237*AD237)*(A237-$D$3))+(Summary!$M$9*Z237*AC237*(AJ237-EOMONTH(EDATE(A237,-1),0))))/(AK237*AB237*AE237)</f>
        <v>#VALUE!</v>
      </c>
      <c r="AG237" s="207" t="str">
        <f aca="false">IF($A238="","",Summary!$Q$9)</f>
        <v/>
      </c>
      <c r="AH237" s="207" t="str">
        <f aca="false">IF($A238="","",IF(Summary!$R$9="Y",VLOOKUP($A237,Summary!$AD$6:$AF$9,3)+'Escalating commodity'!E250,'Escalating commodity'!E250))</f>
        <v/>
      </c>
      <c r="AI237" s="207" t="str">
        <f aca="false">IF($A238="","",AH237)</f>
        <v/>
      </c>
      <c r="AJ237" s="208" t="e">
        <f aca="false">A237+DAY(EOMONTH(A237,0))/2-1</f>
        <v>#VALUE!</v>
      </c>
      <c r="AK237" s="209" t="str">
        <f aca="false">IF($A238="","",$A237-$E$1)</f>
        <v/>
      </c>
      <c r="AL237" s="182" t="str">
        <f aca="false">IF($A238="","",SPRDOPT(P237,X237,AI237,0,AB237,AE237,AF237,AK237,$AJ$2,0))</f>
        <v/>
      </c>
      <c r="AM237" s="211" t="str">
        <f aca="false">IF($A238="","",MAX(0,O237-W237-AI237))</f>
        <v/>
      </c>
      <c r="AN237" s="211" t="str">
        <f aca="false">IF($A238="","",AL237-AM237)</f>
        <v/>
      </c>
      <c r="AO237" s="137" t="str">
        <f aca="false">IF(A238="","",A238-A237)</f>
        <v/>
      </c>
      <c r="AP237" s="212" t="str">
        <f aca="false">IF(A238="","",CHOOSE(F$3,A238+24,A237))</f>
        <v/>
      </c>
      <c r="AQ237" s="209" t="str">
        <f aca="false">IF(A238="","",AP237-$E$1)</f>
        <v/>
      </c>
      <c r="AR237" s="185" t="n">
        <f aca="false">'ANR OK vs ML7'!AR237</f>
        <v>0.1</v>
      </c>
      <c r="AS237" s="213" t="str">
        <f aca="false">IF(A238="","",1/(1+CHOOSE(F$3,(AR238+($I$3/10000))/2,(AR237+($I$3/10000))/2))^(2*AQ237/365.25))</f>
        <v/>
      </c>
      <c r="AT237" s="137" t="str">
        <f aca="false">IF(A238="","",IF(AND(mthbeg&lt;=A237,mthend&gt;=A237),1,0))</f>
        <v/>
      </c>
      <c r="AU237" s="137" t="str">
        <f aca="false">IF(A238="","",AO237*AT237)</f>
        <v/>
      </c>
      <c r="AW237" s="195" t="str">
        <f aca="false">IF($A238="","",AL237*$E237)</f>
        <v/>
      </c>
      <c r="AX237" s="195" t="str">
        <f aca="false">IF($A238="","",AM237*$E237)</f>
        <v/>
      </c>
      <c r="AY237" s="195" t="str">
        <f aca="false">IF($A238="","",AN237*$E237)</f>
        <v/>
      </c>
      <c r="BA237" s="195" t="str">
        <f aca="false">IF($A238="","",F237*Summary!$Q$9)</f>
        <v/>
      </c>
    </row>
    <row r="238" customFormat="false" ht="12" hidden="false" customHeight="true" outlineLevel="0" collapsed="false">
      <c r="A238" s="196" t="str">
        <f aca="false">IF(A237&lt;mthend,EDATE(A237,1),"")</f>
        <v/>
      </c>
      <c r="B238" s="197" t="str">
        <f aca="false">IF(A238&lt;mthend,B237,"")</f>
        <v/>
      </c>
      <c r="C238" s="215"/>
      <c r="D238" s="197" t="str">
        <f aca="false">IF(A239&lt;&gt;"",B238+C238,"")</f>
        <v/>
      </c>
      <c r="E238" s="199" t="str">
        <f aca="false">IF(A239="","",IF(AND(AT238=1,$H$3=1),D238*AO238,IF($H$3=2,D238,"N/A")))</f>
        <v/>
      </c>
      <c r="F238" s="199" t="str">
        <f aca="false">IF(A239="","",E238*AS238)</f>
        <v/>
      </c>
      <c r="G238" s="200" t="str">
        <f aca="false">IF($A239="","",VLOOKUP($A238,Table,MATCH(G$4,Curves,0)))</f>
        <v/>
      </c>
      <c r="H238" s="201" t="str">
        <f aca="false">IF(A239="","",G238)</f>
        <v/>
      </c>
      <c r="I238" s="202"/>
      <c r="J238" s="200" t="str">
        <f aca="false">IF($A239="","",VLOOKUP($A238,Table,MATCH(J$4,Curves,0)))</f>
        <v/>
      </c>
      <c r="K238" s="201" t="str">
        <f aca="false">IF(A239="","",J238)</f>
        <v/>
      </c>
      <c r="L238" s="200" t="str">
        <f aca="false">IF($A239="","",VLOOKUP($A238,Table,MATCH(L$4,Curves,0)))</f>
        <v/>
      </c>
      <c r="M238" s="201" t="str">
        <f aca="false">IF(A239="","",L238)</f>
        <v/>
      </c>
      <c r="N238" s="203"/>
      <c r="O238" s="200" t="str">
        <f aca="false">IF(A239="","",L238+J238+G238)</f>
        <v/>
      </c>
      <c r="P238" s="200" t="str">
        <f aca="false">IF(A239="","",M238+K238+H238)</f>
        <v/>
      </c>
      <c r="Q238" s="204"/>
      <c r="R238" s="200" t="str">
        <f aca="false">IF($A239="","",VLOOKUP($A238,Table,MATCH(R$4,Curves,0)))</f>
        <v/>
      </c>
      <c r="S238" s="201" t="str">
        <f aca="false">IF(A239="","",R238)</f>
        <v/>
      </c>
      <c r="T238" s="200" t="str">
        <f aca="false">IF($A239="","",VLOOKUP($A238,Table,MATCH(T$4,Curves,0)))</f>
        <v/>
      </c>
      <c r="U238" s="201" t="str">
        <f aca="false">IF(A239="","",T238)</f>
        <v/>
      </c>
      <c r="V238" s="225" t="str">
        <f aca="false">IF($A239="","",IF(AND(MONTH(A238)&gt;3,MONTH(A238)&lt;11),(T238+R238+G238)*Summary!$T$9/(1-Summary!$T$9),(T238+R238+G238)*Summary!$U$9/(1-Summary!$U$9)))</f>
        <v/>
      </c>
      <c r="W238" s="200" t="str">
        <f aca="false">IF($A239="","",(T238+R238+G238+V238))</f>
        <v/>
      </c>
      <c r="X238" s="200" t="str">
        <f aca="false">IF($A239="","",(U238+S238+H238+V238))</f>
        <v/>
      </c>
      <c r="Y238" s="202"/>
      <c r="Z238" s="185" t="str">
        <f aca="false">IF($A239="","",VLOOKUP($A238,Table,MATCH(Z$4,Curves,0)))</f>
        <v/>
      </c>
      <c r="AA238" s="185" t="str">
        <f aca="false">IF($A239="","",VLOOKUP($A238,Table,MATCH(AA$4,Curves,0)))</f>
        <v/>
      </c>
      <c r="AB238" s="185" t="e">
        <f aca="false">SQRT((AA238^2*(A238-$D$3)+Z238^2*(DAY(EOMONTH(A238,0))/2))/AK238)</f>
        <v>#VALUE!</v>
      </c>
      <c r="AC238" s="185" t="str">
        <f aca="false">IF($A239="","",VLOOKUP($A238,Table,MATCH(AC$4,Curves,0)))</f>
        <v/>
      </c>
      <c r="AD238" s="185" t="str">
        <f aca="false">IF($A239="","",VLOOKUP($A238,Table,MATCH(AD$4,Curves,0)))</f>
        <v/>
      </c>
      <c r="AE238" s="185" t="e">
        <f aca="false">SQRT((AD238^2*(A238-$D$3)+AC238^2*(DAY(EOMONTH(A238,0))/2))/AK238)</f>
        <v>#VALUE!</v>
      </c>
      <c r="AF238" s="224" t="e">
        <f aca="false">((Summary!$N$9*(AA238*AD238)*(A238-$D$3))+(Summary!$M$9*Z238*AC238*(AJ238-EOMONTH(EDATE(A238,-1),0))))/(AK238*AB238*AE238)</f>
        <v>#VALUE!</v>
      </c>
      <c r="AG238" s="207" t="str">
        <f aca="false">IF($A239="","",Summary!$Q$9)</f>
        <v/>
      </c>
      <c r="AH238" s="207" t="str">
        <f aca="false">IF($A239="","",IF(Summary!$R$9="Y",VLOOKUP($A238,Summary!$AD$6:$AF$9,3)+'Escalating commodity'!E251,'Escalating commodity'!E251))</f>
        <v/>
      </c>
      <c r="AI238" s="207" t="str">
        <f aca="false">IF($A239="","",AH238)</f>
        <v/>
      </c>
      <c r="AJ238" s="208" t="e">
        <f aca="false">A238+DAY(EOMONTH(A238,0))/2-1</f>
        <v>#VALUE!</v>
      </c>
      <c r="AK238" s="209" t="str">
        <f aca="false">IF($A239="","",$A238-$E$1)</f>
        <v/>
      </c>
      <c r="AL238" s="182" t="str">
        <f aca="false">IF($A239="","",SPRDOPT(P238,X238,AI238,0,AB238,AE238,AF238,AK238,$AJ$2,0))</f>
        <v/>
      </c>
      <c r="AM238" s="211" t="str">
        <f aca="false">IF($A239="","",MAX(0,O238-W238-AI238))</f>
        <v/>
      </c>
      <c r="AN238" s="211" t="str">
        <f aca="false">IF($A239="","",AL238-AM238)</f>
        <v/>
      </c>
      <c r="AO238" s="137" t="str">
        <f aca="false">IF(A239="","",A239-A238)</f>
        <v/>
      </c>
      <c r="AP238" s="212" t="str">
        <f aca="false">IF(A239="","",CHOOSE(F$3,A239+24,A238))</f>
        <v/>
      </c>
      <c r="AQ238" s="209" t="str">
        <f aca="false">IF(A239="","",AP238-$E$1)</f>
        <v/>
      </c>
      <c r="AR238" s="185" t="n">
        <f aca="false">'ANR OK vs ML7'!AR238</f>
        <v>0.1</v>
      </c>
      <c r="AS238" s="213" t="str">
        <f aca="false">IF(A239="","",1/(1+CHOOSE(F$3,(AR239+($I$3/10000))/2,(AR238+($I$3/10000))/2))^(2*AQ238/365.25))</f>
        <v/>
      </c>
      <c r="AT238" s="137" t="str">
        <f aca="false">IF(A239="","",IF(AND(mthbeg&lt;=A238,mthend&gt;=A238),1,0))</f>
        <v/>
      </c>
      <c r="AU238" s="137" t="str">
        <f aca="false">IF(A239="","",AO238*AT238)</f>
        <v/>
      </c>
      <c r="AW238" s="195" t="str">
        <f aca="false">IF($A239="","",AL238*$E238)</f>
        <v/>
      </c>
      <c r="AX238" s="195" t="str">
        <f aca="false">IF($A239="","",AM238*$E238)</f>
        <v/>
      </c>
      <c r="AY238" s="195" t="str">
        <f aca="false">IF($A239="","",AN238*$E238)</f>
        <v/>
      </c>
      <c r="BA238" s="195" t="str">
        <f aca="false">IF($A239="","",F238*Summary!$Q$9)</f>
        <v/>
      </c>
    </row>
    <row r="239" customFormat="false" ht="12" hidden="false" customHeight="true" outlineLevel="0" collapsed="false">
      <c r="A239" s="196" t="str">
        <f aca="false">IF(A238&lt;mthend,EDATE(A238,1),"")</f>
        <v/>
      </c>
      <c r="B239" s="197" t="str">
        <f aca="false">IF(A239&lt;mthend,B238,"")</f>
        <v/>
      </c>
      <c r="C239" s="215"/>
      <c r="D239" s="197" t="str">
        <f aca="false">IF(A240&lt;&gt;"",B239+C239,"")</f>
        <v/>
      </c>
      <c r="E239" s="199" t="str">
        <f aca="false">IF(A240="","",IF(AND(AT239=1,$H$3=1),D239*AO239,IF($H$3=2,D239,"N/A")))</f>
        <v/>
      </c>
      <c r="F239" s="199" t="str">
        <f aca="false">IF(A240="","",E239*AS239)</f>
        <v/>
      </c>
      <c r="G239" s="200" t="str">
        <f aca="false">IF($A240="","",VLOOKUP($A239,Table,MATCH(G$4,Curves,0)))</f>
        <v/>
      </c>
      <c r="H239" s="201" t="str">
        <f aca="false">IF(A240="","",G239)</f>
        <v/>
      </c>
      <c r="I239" s="202"/>
      <c r="J239" s="200" t="str">
        <f aca="false">IF($A240="","",VLOOKUP($A239,Table,MATCH(J$4,Curves,0)))</f>
        <v/>
      </c>
      <c r="K239" s="201" t="str">
        <f aca="false">IF(A240="","",J239)</f>
        <v/>
      </c>
      <c r="L239" s="200" t="str">
        <f aca="false">IF($A240="","",VLOOKUP($A239,Table,MATCH(L$4,Curves,0)))</f>
        <v/>
      </c>
      <c r="M239" s="201" t="str">
        <f aca="false">IF(A240="","",L239)</f>
        <v/>
      </c>
      <c r="N239" s="203"/>
      <c r="O239" s="200" t="str">
        <f aca="false">IF(A240="","",L239+J239+G239)</f>
        <v/>
      </c>
      <c r="P239" s="200" t="str">
        <f aca="false">IF(A240="","",M239+K239+H239)</f>
        <v/>
      </c>
      <c r="Q239" s="204"/>
      <c r="R239" s="200" t="str">
        <f aca="false">IF($A240="","",VLOOKUP($A239,Table,MATCH(R$4,Curves,0)))</f>
        <v/>
      </c>
      <c r="S239" s="201" t="str">
        <f aca="false">IF(A240="","",R239)</f>
        <v/>
      </c>
      <c r="T239" s="200" t="str">
        <f aca="false">IF($A240="","",VLOOKUP($A239,Table,MATCH(T$4,Curves,0)))</f>
        <v/>
      </c>
      <c r="U239" s="201" t="str">
        <f aca="false">IF(A240="","",T239)</f>
        <v/>
      </c>
      <c r="V239" s="225" t="str">
        <f aca="false">IF($A240="","",IF(AND(MONTH(A239)&gt;3,MONTH(A239)&lt;11),(T239+R239+G239)*Summary!$T$9/(1-Summary!$T$9),(T239+R239+G239)*Summary!$U$9/(1-Summary!$U$9)))</f>
        <v/>
      </c>
      <c r="W239" s="200" t="str">
        <f aca="false">IF($A240="","",(T239+R239+G239+V239))</f>
        <v/>
      </c>
      <c r="X239" s="200" t="str">
        <f aca="false">IF($A240="","",(U239+S239+H239+V239))</f>
        <v/>
      </c>
      <c r="Y239" s="202"/>
      <c r="Z239" s="185" t="str">
        <f aca="false">IF($A240="","",VLOOKUP($A239,Table,MATCH(Z$4,Curves,0)))</f>
        <v/>
      </c>
      <c r="AA239" s="185" t="str">
        <f aca="false">IF($A240="","",VLOOKUP($A239,Table,MATCH(AA$4,Curves,0)))</f>
        <v/>
      </c>
      <c r="AB239" s="185" t="e">
        <f aca="false">SQRT((AA239^2*(A239-$D$3)+Z239^2*(DAY(EOMONTH(A239,0))/2))/AK239)</f>
        <v>#VALUE!</v>
      </c>
      <c r="AC239" s="185" t="str">
        <f aca="false">IF($A240="","",VLOOKUP($A239,Table,MATCH(AC$4,Curves,0)))</f>
        <v/>
      </c>
      <c r="AD239" s="185" t="str">
        <f aca="false">IF($A240="","",VLOOKUP($A239,Table,MATCH(AD$4,Curves,0)))</f>
        <v/>
      </c>
      <c r="AE239" s="185" t="e">
        <f aca="false">SQRT((AD239^2*(A239-$D$3)+AC239^2*(DAY(EOMONTH(A239,0))/2))/AK239)</f>
        <v>#VALUE!</v>
      </c>
      <c r="AF239" s="224" t="e">
        <f aca="false">((Summary!$N$9*(AA239*AD239)*(A239-$D$3))+(Summary!$M$9*Z239*AC239*(AJ239-EOMONTH(EDATE(A239,-1),0))))/(AK239*AB239*AE239)</f>
        <v>#VALUE!</v>
      </c>
      <c r="AG239" s="207" t="str">
        <f aca="false">IF($A240="","",Summary!$Q$9)</f>
        <v/>
      </c>
      <c r="AH239" s="207" t="str">
        <f aca="false">IF($A240="","",IF(Summary!$R$9="Y",VLOOKUP($A239,Summary!$AD$6:$AF$9,3)+'Escalating commodity'!E252,'Escalating commodity'!E252))</f>
        <v/>
      </c>
      <c r="AI239" s="207" t="str">
        <f aca="false">IF($A240="","",AH239)</f>
        <v/>
      </c>
      <c r="AJ239" s="208" t="e">
        <f aca="false">A239+DAY(EOMONTH(A239,0))/2-1</f>
        <v>#VALUE!</v>
      </c>
      <c r="AK239" s="209" t="str">
        <f aca="false">IF($A240="","",$A239-$E$1)</f>
        <v/>
      </c>
      <c r="AL239" s="182" t="str">
        <f aca="false">IF($A240="","",SPRDOPT(P239,X239,AI239,0,AB239,AE239,AF239,AK239,$AJ$2,0))</f>
        <v/>
      </c>
      <c r="AM239" s="211" t="str">
        <f aca="false">IF($A240="","",MAX(0,O239-W239-AI239))</f>
        <v/>
      </c>
      <c r="AN239" s="211" t="str">
        <f aca="false">IF($A240="","",AL239-AM239)</f>
        <v/>
      </c>
      <c r="AO239" s="137" t="str">
        <f aca="false">IF(A240="","",A240-A239)</f>
        <v/>
      </c>
      <c r="AP239" s="212" t="str">
        <f aca="false">IF(A240="","",CHOOSE(F$3,A240+24,A239))</f>
        <v/>
      </c>
      <c r="AQ239" s="209" t="str">
        <f aca="false">IF(A240="","",AP239-$E$1)</f>
        <v/>
      </c>
      <c r="AR239" s="185" t="n">
        <f aca="false">'ANR OK vs ML7'!AR239</f>
        <v>0.1</v>
      </c>
      <c r="AS239" s="213" t="str">
        <f aca="false">IF(A240="","",1/(1+CHOOSE(F$3,(AR240+($I$3/10000))/2,(AR239+($I$3/10000))/2))^(2*AQ239/365.25))</f>
        <v/>
      </c>
      <c r="AT239" s="137" t="str">
        <f aca="false">IF(A240="","",IF(AND(mthbeg&lt;=A239,mthend&gt;=A239),1,0))</f>
        <v/>
      </c>
      <c r="AU239" s="137" t="str">
        <f aca="false">IF(A240="","",AO239*AT239)</f>
        <v/>
      </c>
      <c r="AW239" s="195" t="str">
        <f aca="false">IF($A240="","",AL239*$E239)</f>
        <v/>
      </c>
      <c r="AX239" s="195" t="str">
        <f aca="false">IF($A240="","",AM239*$E239)</f>
        <v/>
      </c>
      <c r="AY239" s="195" t="str">
        <f aca="false">IF($A240="","",AN239*$E239)</f>
        <v/>
      </c>
      <c r="BA239" s="195" t="str">
        <f aca="false">IF($A240="","",F239*Summary!$Q$9)</f>
        <v/>
      </c>
    </row>
    <row r="240" customFormat="false" ht="12" hidden="false" customHeight="true" outlineLevel="0" collapsed="false">
      <c r="A240" s="196" t="str">
        <f aca="false">IF(A239&lt;mthend,EDATE(A239,1),"")</f>
        <v/>
      </c>
      <c r="B240" s="197" t="str">
        <f aca="false">IF(A240&lt;mthend,B239,"")</f>
        <v/>
      </c>
      <c r="C240" s="215"/>
      <c r="D240" s="197" t="str">
        <f aca="false">IF(A241&lt;&gt;"",B240+C240,"")</f>
        <v/>
      </c>
      <c r="E240" s="199" t="str">
        <f aca="false">IF(A241="","",IF(AND(AT240=1,$H$3=1),D240*AO240,IF($H$3=2,D240,"N/A")))</f>
        <v/>
      </c>
      <c r="F240" s="199" t="str">
        <f aca="false">IF(A241="","",E240*AS240)</f>
        <v/>
      </c>
      <c r="G240" s="200" t="str">
        <f aca="false">IF($A241="","",VLOOKUP($A240,Table,MATCH(G$4,Curves,0)))</f>
        <v/>
      </c>
      <c r="H240" s="201" t="str">
        <f aca="false">IF(A241="","",G240)</f>
        <v/>
      </c>
      <c r="I240" s="202"/>
      <c r="J240" s="200" t="str">
        <f aca="false">IF($A241="","",VLOOKUP($A240,Table,MATCH(J$4,Curves,0)))</f>
        <v/>
      </c>
      <c r="K240" s="201" t="str">
        <f aca="false">IF(A241="","",J240)</f>
        <v/>
      </c>
      <c r="L240" s="200" t="str">
        <f aca="false">IF($A241="","",VLOOKUP($A240,Table,MATCH(L$4,Curves,0)))</f>
        <v/>
      </c>
      <c r="M240" s="201" t="str">
        <f aca="false">IF(A241="","",L240)</f>
        <v/>
      </c>
      <c r="N240" s="203"/>
      <c r="O240" s="200" t="str">
        <f aca="false">IF(A241="","",L240+J240+G240)</f>
        <v/>
      </c>
      <c r="P240" s="200" t="str">
        <f aca="false">IF(A241="","",M240+K240+H240)</f>
        <v/>
      </c>
      <c r="Q240" s="204"/>
      <c r="R240" s="200" t="str">
        <f aca="false">IF($A241="","",VLOOKUP($A240,Table,MATCH(R$4,Curves,0)))</f>
        <v/>
      </c>
      <c r="S240" s="201" t="str">
        <f aca="false">IF(A241="","",R240)</f>
        <v/>
      </c>
      <c r="T240" s="200" t="str">
        <f aca="false">IF($A241="","",VLOOKUP($A240,Table,MATCH(T$4,Curves,0)))</f>
        <v/>
      </c>
      <c r="U240" s="201" t="str">
        <f aca="false">IF(A241="","",T240)</f>
        <v/>
      </c>
      <c r="V240" s="225" t="str">
        <f aca="false">IF($A241="","",IF(AND(MONTH(A240)&gt;3,MONTH(A240)&lt;11),(T240+R240+G240)*Summary!$T$9/(1-Summary!$T$9),(T240+R240+G240)*Summary!$U$9/(1-Summary!$U$9)))</f>
        <v/>
      </c>
      <c r="W240" s="200" t="str">
        <f aca="false">IF($A241="","",(T240+R240+G240+V240))</f>
        <v/>
      </c>
      <c r="X240" s="200" t="str">
        <f aca="false">IF($A241="","",(U240+S240+H240+V240))</f>
        <v/>
      </c>
      <c r="Y240" s="202"/>
      <c r="Z240" s="185" t="str">
        <f aca="false">IF($A241="","",VLOOKUP($A240,Table,MATCH(Z$4,Curves,0)))</f>
        <v/>
      </c>
      <c r="AA240" s="185" t="str">
        <f aca="false">IF($A241="","",VLOOKUP($A240,Table,MATCH(AA$4,Curves,0)))</f>
        <v/>
      </c>
      <c r="AB240" s="185" t="e">
        <f aca="false">SQRT((AA240^2*(A240-$D$3)+Z240^2*(DAY(EOMONTH(A240,0))/2))/AK240)</f>
        <v>#VALUE!</v>
      </c>
      <c r="AC240" s="185" t="str">
        <f aca="false">IF($A241="","",VLOOKUP($A240,Table,MATCH(AC$4,Curves,0)))</f>
        <v/>
      </c>
      <c r="AD240" s="185" t="str">
        <f aca="false">IF($A241="","",VLOOKUP($A240,Table,MATCH(AD$4,Curves,0)))</f>
        <v/>
      </c>
      <c r="AE240" s="185" t="e">
        <f aca="false">SQRT((AD240^2*(A240-$D$3)+AC240^2*(DAY(EOMONTH(A240,0))/2))/AK240)</f>
        <v>#VALUE!</v>
      </c>
      <c r="AF240" s="224" t="e">
        <f aca="false">((Summary!$N$9*(AA240*AD240)*(A240-$D$3))+(Summary!$M$9*Z240*AC240*(AJ240-EOMONTH(EDATE(A240,-1),0))))/(AK240*AB240*AE240)</f>
        <v>#VALUE!</v>
      </c>
      <c r="AG240" s="207" t="str">
        <f aca="false">IF($A241="","",Summary!$Q$9)</f>
        <v/>
      </c>
      <c r="AH240" s="207" t="str">
        <f aca="false">IF($A241="","",IF(Summary!$R$9="Y",VLOOKUP($A240,Summary!$AD$6:$AF$9,3)+'Escalating commodity'!E253,'Escalating commodity'!E253))</f>
        <v/>
      </c>
      <c r="AI240" s="207" t="str">
        <f aca="false">IF($A241="","",AH240)</f>
        <v/>
      </c>
      <c r="AJ240" s="208" t="e">
        <f aca="false">A240+DAY(EOMONTH(A240,0))/2-1</f>
        <v>#VALUE!</v>
      </c>
      <c r="AK240" s="209" t="str">
        <f aca="false">IF($A241="","",$A240-$E$1)</f>
        <v/>
      </c>
      <c r="AL240" s="182" t="str">
        <f aca="false">IF($A241="","",SPRDOPT(P240,X240,AI240,0,AB240,AE240,AF240,AK240,$AJ$2,0))</f>
        <v/>
      </c>
      <c r="AM240" s="211" t="str">
        <f aca="false">IF($A241="","",MAX(0,O240-W240-AI240))</f>
        <v/>
      </c>
      <c r="AN240" s="211" t="str">
        <f aca="false">IF($A241="","",AL240-AM240)</f>
        <v/>
      </c>
      <c r="AO240" s="137" t="str">
        <f aca="false">IF(A241="","",A241-A240)</f>
        <v/>
      </c>
      <c r="AP240" s="212" t="str">
        <f aca="false">IF(A241="","",CHOOSE(F$3,A241+24,A240))</f>
        <v/>
      </c>
      <c r="AQ240" s="209" t="str">
        <f aca="false">IF(A241="","",AP240-$E$1)</f>
        <v/>
      </c>
      <c r="AR240" s="185" t="n">
        <f aca="false">'ANR OK vs ML7'!AR240</f>
        <v>0.1</v>
      </c>
      <c r="AS240" s="213" t="str">
        <f aca="false">IF(A241="","",1/(1+CHOOSE(F$3,(AR241+($I$3/10000))/2,(AR240+($I$3/10000))/2))^(2*AQ240/365.25))</f>
        <v/>
      </c>
      <c r="AT240" s="137" t="str">
        <f aca="false">IF(A241="","",IF(AND(mthbeg&lt;=A240,mthend&gt;=A240),1,0))</f>
        <v/>
      </c>
      <c r="AU240" s="137" t="str">
        <f aca="false">IF(A241="","",AO240*AT240)</f>
        <v/>
      </c>
      <c r="AW240" s="195" t="str">
        <f aca="false">IF($A241="","",AL240*$E240)</f>
        <v/>
      </c>
      <c r="AX240" s="195" t="str">
        <f aca="false">IF($A241="","",AM240*$E240)</f>
        <v/>
      </c>
      <c r="AY240" s="195" t="str">
        <f aca="false">IF($A241="","",AN240*$E240)</f>
        <v/>
      </c>
      <c r="BA240" s="195" t="str">
        <f aca="false">IF($A241="","",F240*Summary!$Q$9)</f>
        <v/>
      </c>
    </row>
    <row r="241" customFormat="false" ht="12" hidden="false" customHeight="true" outlineLevel="0" collapsed="false">
      <c r="A241" s="196" t="str">
        <f aca="false">IF(A240&lt;mthend,EDATE(A240,1),"")</f>
        <v/>
      </c>
      <c r="B241" s="197" t="str">
        <f aca="false">IF(A241&lt;mthend,B240,"")</f>
        <v/>
      </c>
      <c r="C241" s="215"/>
      <c r="D241" s="197" t="str">
        <f aca="false">IF(A242&lt;&gt;"",B241+C241,"")</f>
        <v/>
      </c>
      <c r="E241" s="199" t="str">
        <f aca="false">IF(A242="","",IF(AND(AT241=1,$H$3=1),D241*AO241,IF($H$3=2,D241,"N/A")))</f>
        <v/>
      </c>
      <c r="F241" s="199" t="str">
        <f aca="false">IF(A242="","",E241*AS241)</f>
        <v/>
      </c>
      <c r="G241" s="200" t="str">
        <f aca="false">IF($A242="","",VLOOKUP($A241,Table,MATCH(G$4,Curves,0)))</f>
        <v/>
      </c>
      <c r="H241" s="201" t="str">
        <f aca="false">IF(A242="","",G241)</f>
        <v/>
      </c>
      <c r="I241" s="202"/>
      <c r="J241" s="200" t="str">
        <f aca="false">IF($A242="","",VLOOKUP($A241,Table,MATCH(J$4,Curves,0)))</f>
        <v/>
      </c>
      <c r="K241" s="201" t="str">
        <f aca="false">IF(A242="","",J241)</f>
        <v/>
      </c>
      <c r="L241" s="200" t="str">
        <f aca="false">IF($A242="","",VLOOKUP($A241,Table,MATCH(L$4,Curves,0)))</f>
        <v/>
      </c>
      <c r="M241" s="201" t="str">
        <f aca="false">IF(A242="","",L241)</f>
        <v/>
      </c>
      <c r="N241" s="203"/>
      <c r="O241" s="200" t="str">
        <f aca="false">IF(A242="","",L241+J241+G241)</f>
        <v/>
      </c>
      <c r="P241" s="200" t="str">
        <f aca="false">IF(A242="","",M241+K241+H241)</f>
        <v/>
      </c>
      <c r="Q241" s="204"/>
      <c r="R241" s="200" t="str">
        <f aca="false">IF($A242="","",VLOOKUP($A241,Table,MATCH(R$4,Curves,0)))</f>
        <v/>
      </c>
      <c r="S241" s="201" t="str">
        <f aca="false">IF(A242="","",R241)</f>
        <v/>
      </c>
      <c r="T241" s="200" t="str">
        <f aca="false">IF($A242="","",VLOOKUP($A241,Table,MATCH(T$4,Curves,0)))</f>
        <v/>
      </c>
      <c r="U241" s="201" t="str">
        <f aca="false">IF(A242="","",T241)</f>
        <v/>
      </c>
      <c r="V241" s="225" t="str">
        <f aca="false">IF($A242="","",IF(AND(MONTH(A241)&gt;3,MONTH(A241)&lt;11),(T241+R241+G241)*Summary!$T$9/(1-Summary!$T$9),(T241+R241+G241)*Summary!$U$9/(1-Summary!$U$9)))</f>
        <v/>
      </c>
      <c r="W241" s="200" t="str">
        <f aca="false">IF($A242="","",(T241+R241+G241+V241))</f>
        <v/>
      </c>
      <c r="X241" s="200" t="str">
        <f aca="false">IF($A242="","",(U241+S241+H241+V241))</f>
        <v/>
      </c>
      <c r="Y241" s="202"/>
      <c r="Z241" s="185" t="str">
        <f aca="false">IF($A242="","",VLOOKUP($A241,Table,MATCH(Z$4,Curves,0)))</f>
        <v/>
      </c>
      <c r="AA241" s="185" t="str">
        <f aca="false">IF($A242="","",VLOOKUP($A241,Table,MATCH(AA$4,Curves,0)))</f>
        <v/>
      </c>
      <c r="AB241" s="185" t="e">
        <f aca="false">SQRT((AA241^2*(A241-$D$3)+Z241^2*(DAY(EOMONTH(A241,0))/2))/AK241)</f>
        <v>#VALUE!</v>
      </c>
      <c r="AC241" s="185" t="str">
        <f aca="false">IF($A242="","",VLOOKUP($A241,Table,MATCH(AC$4,Curves,0)))</f>
        <v/>
      </c>
      <c r="AD241" s="185" t="str">
        <f aca="false">IF($A242="","",VLOOKUP($A241,Table,MATCH(AD$4,Curves,0)))</f>
        <v/>
      </c>
      <c r="AE241" s="185" t="e">
        <f aca="false">SQRT((AD241^2*(A241-$D$3)+AC241^2*(DAY(EOMONTH(A241,0))/2))/AK241)</f>
        <v>#VALUE!</v>
      </c>
      <c r="AF241" s="224" t="e">
        <f aca="false">((Summary!$N$9*(AA241*AD241)*(A241-$D$3))+(Summary!$M$9*Z241*AC241*(AJ241-EOMONTH(EDATE(A241,-1),0))))/(AK241*AB241*AE241)</f>
        <v>#VALUE!</v>
      </c>
      <c r="AG241" s="207" t="str">
        <f aca="false">IF($A242="","",Summary!$Q$9)</f>
        <v/>
      </c>
      <c r="AH241" s="207" t="str">
        <f aca="false">IF($A242="","",IF(Summary!$R$9="Y",VLOOKUP($A241,Summary!$AD$6:$AF$9,3)+'Escalating commodity'!E254,'Escalating commodity'!E254))</f>
        <v/>
      </c>
      <c r="AI241" s="207" t="str">
        <f aca="false">IF($A242="","",AH241)</f>
        <v/>
      </c>
      <c r="AJ241" s="208" t="e">
        <f aca="false">A241+DAY(EOMONTH(A241,0))/2-1</f>
        <v>#VALUE!</v>
      </c>
      <c r="AK241" s="209" t="str">
        <f aca="false">IF($A242="","",$A241-$E$1)</f>
        <v/>
      </c>
      <c r="AL241" s="182" t="str">
        <f aca="false">IF($A242="","",SPRDOPT(P241,X241,AI241,0,AB241,AE241,AF241,AK241,$AJ$2,0))</f>
        <v/>
      </c>
      <c r="AM241" s="211" t="str">
        <f aca="false">IF($A242="","",MAX(0,O241-W241-AI241))</f>
        <v/>
      </c>
      <c r="AN241" s="211" t="str">
        <f aca="false">IF($A242="","",AL241-AM241)</f>
        <v/>
      </c>
      <c r="AO241" s="137" t="str">
        <f aca="false">IF(A242="","",A242-A241)</f>
        <v/>
      </c>
      <c r="AP241" s="212" t="str">
        <f aca="false">IF(A242="","",CHOOSE(F$3,A242+24,A241))</f>
        <v/>
      </c>
      <c r="AQ241" s="209" t="str">
        <f aca="false">IF(A242="","",AP241-$E$1)</f>
        <v/>
      </c>
      <c r="AR241" s="185" t="n">
        <f aca="false">'ANR OK vs ML7'!AR241</f>
        <v>0.1</v>
      </c>
      <c r="AS241" s="213" t="str">
        <f aca="false">IF(A242="","",1/(1+CHOOSE(F$3,(AR242+($I$3/10000))/2,(AR241+($I$3/10000))/2))^(2*AQ241/365.25))</f>
        <v/>
      </c>
      <c r="AT241" s="137" t="str">
        <f aca="false">IF(A242="","",IF(AND(mthbeg&lt;=A241,mthend&gt;=A241),1,0))</f>
        <v/>
      </c>
      <c r="AU241" s="137" t="str">
        <f aca="false">IF(A242="","",AO241*AT241)</f>
        <v/>
      </c>
      <c r="AW241" s="195" t="str">
        <f aca="false">IF($A242="","",AL241*$E241)</f>
        <v/>
      </c>
      <c r="AX241" s="195" t="str">
        <f aca="false">IF($A242="","",AM241*$E241)</f>
        <v/>
      </c>
      <c r="AY241" s="195" t="str">
        <f aca="false">IF($A242="","",AN241*$E241)</f>
        <v/>
      </c>
      <c r="BA241" s="195" t="str">
        <f aca="false">IF($A242="","",F241*Summary!$Q$9)</f>
        <v/>
      </c>
    </row>
    <row r="242" customFormat="false" ht="12" hidden="false" customHeight="true" outlineLevel="0" collapsed="false">
      <c r="A242" s="196" t="str">
        <f aca="false">IF(A241&lt;mthend,EDATE(A241,1),"")</f>
        <v/>
      </c>
      <c r="B242" s="197" t="str">
        <f aca="false">IF(A242&lt;mthend,B241,"")</f>
        <v/>
      </c>
      <c r="C242" s="215"/>
      <c r="D242" s="197" t="str">
        <f aca="false">IF(A243&lt;&gt;"",B242+C242,"")</f>
        <v/>
      </c>
      <c r="E242" s="199" t="str">
        <f aca="false">IF(A243="","",IF(AND(AT242=1,$H$3=1),D242*AO242,IF($H$3=2,D242,"N/A")))</f>
        <v/>
      </c>
      <c r="F242" s="199" t="str">
        <f aca="false">IF(A243="","",E242*AS242)</f>
        <v/>
      </c>
      <c r="G242" s="200" t="str">
        <f aca="false">IF($A243="","",VLOOKUP($A242,Table,MATCH(G$4,Curves,0)))</f>
        <v/>
      </c>
      <c r="H242" s="201" t="str">
        <f aca="false">IF(A243="","",G242)</f>
        <v/>
      </c>
      <c r="I242" s="202"/>
      <c r="J242" s="200" t="str">
        <f aca="false">IF($A243="","",VLOOKUP($A242,Table,MATCH(J$4,Curves,0)))</f>
        <v/>
      </c>
      <c r="K242" s="201" t="str">
        <f aca="false">IF(A243="","",J242)</f>
        <v/>
      </c>
      <c r="L242" s="200" t="str">
        <f aca="false">IF($A243="","",VLOOKUP($A242,Table,MATCH(L$4,Curves,0)))</f>
        <v/>
      </c>
      <c r="M242" s="201" t="str">
        <f aca="false">IF(A243="","",L242)</f>
        <v/>
      </c>
      <c r="N242" s="203"/>
      <c r="O242" s="200" t="str">
        <f aca="false">IF(A243="","",L242+J242+G242)</f>
        <v/>
      </c>
      <c r="P242" s="200" t="str">
        <f aca="false">IF(A243="","",M242+K242+H242)</f>
        <v/>
      </c>
      <c r="Q242" s="204"/>
      <c r="R242" s="200" t="str">
        <f aca="false">IF($A243="","",VLOOKUP($A242,Table,MATCH(R$4,Curves,0)))</f>
        <v/>
      </c>
      <c r="S242" s="201" t="str">
        <f aca="false">IF(A243="","",R242)</f>
        <v/>
      </c>
      <c r="T242" s="200" t="str">
        <f aca="false">IF($A243="","",VLOOKUP($A242,Table,MATCH(T$4,Curves,0)))</f>
        <v/>
      </c>
      <c r="U242" s="201" t="str">
        <f aca="false">IF(A243="","",T242)</f>
        <v/>
      </c>
      <c r="V242" s="225" t="str">
        <f aca="false">IF($A243="","",IF(AND(MONTH(A242)&gt;3,MONTH(A242)&lt;11),(T242+R242+G242)*Summary!$T$9/(1-Summary!$T$9),(T242+R242+G242)*Summary!$U$9/(1-Summary!$U$9)))</f>
        <v/>
      </c>
      <c r="W242" s="200" t="str">
        <f aca="false">IF($A243="","",(T242+R242+G242+V242))</f>
        <v/>
      </c>
      <c r="X242" s="200" t="str">
        <f aca="false">IF($A243="","",(U242+S242+H242+V242))</f>
        <v/>
      </c>
      <c r="Y242" s="202"/>
      <c r="Z242" s="185" t="str">
        <f aca="false">IF($A243="","",VLOOKUP($A242,Table,MATCH(Z$4,Curves,0)))</f>
        <v/>
      </c>
      <c r="AA242" s="185" t="str">
        <f aca="false">IF($A243="","",VLOOKUP($A242,Table,MATCH(AA$4,Curves,0)))</f>
        <v/>
      </c>
      <c r="AB242" s="185" t="e">
        <f aca="false">SQRT((AA242^2*(A242-$D$3)+Z242^2*(DAY(EOMONTH(A242,0))/2))/AK242)</f>
        <v>#VALUE!</v>
      </c>
      <c r="AC242" s="185" t="str">
        <f aca="false">IF($A243="","",VLOOKUP($A242,Table,MATCH(AC$4,Curves,0)))</f>
        <v/>
      </c>
      <c r="AD242" s="185" t="str">
        <f aca="false">IF($A243="","",VLOOKUP($A242,Table,MATCH(AD$4,Curves,0)))</f>
        <v/>
      </c>
      <c r="AE242" s="185" t="e">
        <f aca="false">SQRT((AD242^2*(A242-$D$3)+AC242^2*(DAY(EOMONTH(A242,0))/2))/AK242)</f>
        <v>#VALUE!</v>
      </c>
      <c r="AF242" s="224" t="e">
        <f aca="false">((Summary!$N$9*(AA242*AD242)*(A242-$D$3))+(Summary!$M$9*Z242*AC242*(AJ242-EOMONTH(EDATE(A242,-1),0))))/(AK242*AB242*AE242)</f>
        <v>#VALUE!</v>
      </c>
      <c r="AG242" s="207" t="str">
        <f aca="false">IF($A243="","",Summary!$Q$9)</f>
        <v/>
      </c>
      <c r="AH242" s="207" t="str">
        <f aca="false">IF($A243="","",IF(Summary!$R$9="Y",VLOOKUP($A242,Summary!$AD$6:$AF$9,3)+'Escalating commodity'!E255,'Escalating commodity'!E255))</f>
        <v/>
      </c>
      <c r="AI242" s="207" t="str">
        <f aca="false">IF($A243="","",AH242)</f>
        <v/>
      </c>
      <c r="AJ242" s="208" t="e">
        <f aca="false">A242+DAY(EOMONTH(A242,0))/2-1</f>
        <v>#VALUE!</v>
      </c>
      <c r="AK242" s="209" t="str">
        <f aca="false">IF($A243="","",$A242-$E$1)</f>
        <v/>
      </c>
      <c r="AL242" s="182" t="str">
        <f aca="false">IF($A243="","",SPRDOPT(P242,X242,AI242,0,AB242,AE242,AF242,AK242,$AJ$2,0))</f>
        <v/>
      </c>
      <c r="AM242" s="211" t="str">
        <f aca="false">IF($A243="","",MAX(0,O242-W242-AI242))</f>
        <v/>
      </c>
      <c r="AN242" s="211" t="str">
        <f aca="false">IF($A243="","",AL242-AM242)</f>
        <v/>
      </c>
      <c r="AO242" s="137" t="str">
        <f aca="false">IF(A243="","",A243-A242)</f>
        <v/>
      </c>
      <c r="AP242" s="212" t="str">
        <f aca="false">IF(A243="","",CHOOSE(F$3,A243+24,A242))</f>
        <v/>
      </c>
      <c r="AQ242" s="209" t="str">
        <f aca="false">IF(A243="","",AP242-$E$1)</f>
        <v/>
      </c>
      <c r="AR242" s="185" t="n">
        <f aca="false">'ANR OK vs ML7'!AR242</f>
        <v>0.1</v>
      </c>
      <c r="AS242" s="213" t="str">
        <f aca="false">IF(A243="","",1/(1+CHOOSE(F$3,(AR243+($I$3/10000))/2,(AR242+($I$3/10000))/2))^(2*AQ242/365.25))</f>
        <v/>
      </c>
      <c r="AT242" s="137" t="str">
        <f aca="false">IF(A243="","",IF(AND(mthbeg&lt;=A242,mthend&gt;=A242),1,0))</f>
        <v/>
      </c>
      <c r="AU242" s="137" t="str">
        <f aca="false">IF(A243="","",AO242*AT242)</f>
        <v/>
      </c>
      <c r="AW242" s="195" t="str">
        <f aca="false">IF($A243="","",AL242*$E242)</f>
        <v/>
      </c>
      <c r="AX242" s="195" t="str">
        <f aca="false">IF($A243="","",AM242*$E242)</f>
        <v/>
      </c>
      <c r="AY242" s="195" t="str">
        <f aca="false">IF($A243="","",AN242*$E242)</f>
        <v/>
      </c>
      <c r="BA242" s="195" t="str">
        <f aca="false">IF($A243="","",F242*Summary!$Q$9)</f>
        <v/>
      </c>
    </row>
    <row r="243" customFormat="false" ht="12" hidden="false" customHeight="true" outlineLevel="0" collapsed="false">
      <c r="A243" s="196" t="str">
        <f aca="false">IF(A242&lt;mthend,EDATE(A242,1),"")</f>
        <v/>
      </c>
      <c r="B243" s="197" t="str">
        <f aca="false">IF(A243&lt;mthend,B242,"")</f>
        <v/>
      </c>
      <c r="C243" s="215"/>
      <c r="D243" s="197" t="str">
        <f aca="false">IF(A244&lt;&gt;"",B243+C243,"")</f>
        <v/>
      </c>
      <c r="E243" s="199" t="str">
        <f aca="false">IF(A244="","",IF(AND(AT243=1,$H$3=1),D243*AO243,IF($H$3=2,D243,"N/A")))</f>
        <v/>
      </c>
      <c r="F243" s="199" t="str">
        <f aca="false">IF(A244="","",E243*AS243)</f>
        <v/>
      </c>
      <c r="G243" s="200" t="str">
        <f aca="false">IF($A244="","",VLOOKUP($A243,Table,MATCH(G$4,Curves,0)))</f>
        <v/>
      </c>
      <c r="H243" s="201" t="str">
        <f aca="false">IF(A244="","",G243)</f>
        <v/>
      </c>
      <c r="I243" s="202"/>
      <c r="J243" s="200" t="str">
        <f aca="false">IF($A244="","",VLOOKUP($A243,Table,MATCH(J$4,Curves,0)))</f>
        <v/>
      </c>
      <c r="K243" s="201" t="str">
        <f aca="false">IF(A244="","",J243)</f>
        <v/>
      </c>
      <c r="L243" s="200" t="str">
        <f aca="false">IF($A244="","",VLOOKUP($A243,Table,MATCH(L$4,Curves,0)))</f>
        <v/>
      </c>
      <c r="M243" s="201" t="str">
        <f aca="false">IF(A244="","",L243)</f>
        <v/>
      </c>
      <c r="N243" s="203"/>
      <c r="O243" s="200" t="str">
        <f aca="false">IF(A244="","",L243+J243+G243)</f>
        <v/>
      </c>
      <c r="P243" s="200" t="str">
        <f aca="false">IF(A244="","",M243+K243+H243)</f>
        <v/>
      </c>
      <c r="Q243" s="204"/>
      <c r="R243" s="200" t="str">
        <f aca="false">IF($A244="","",VLOOKUP($A243,Table,MATCH(R$4,Curves,0)))</f>
        <v/>
      </c>
      <c r="S243" s="201" t="str">
        <f aca="false">IF(A244="","",R243)</f>
        <v/>
      </c>
      <c r="T243" s="200" t="str">
        <f aca="false">IF($A244="","",VLOOKUP($A243,Table,MATCH(T$4,Curves,0)))</f>
        <v/>
      </c>
      <c r="U243" s="201" t="str">
        <f aca="false">IF(A244="","",T243)</f>
        <v/>
      </c>
      <c r="V243" s="225" t="str">
        <f aca="false">IF($A244="","",IF(AND(MONTH(A243)&gt;3,MONTH(A243)&lt;11),(T243+R243+G243)*Summary!$T$9/(1-Summary!$T$9),(T243+R243+G243)*Summary!$U$9/(1-Summary!$U$9)))</f>
        <v/>
      </c>
      <c r="W243" s="200" t="str">
        <f aca="false">IF($A244="","",(T243+R243+G243+V243))</f>
        <v/>
      </c>
      <c r="X243" s="200" t="str">
        <f aca="false">IF($A244="","",(U243+S243+H243+V243))</f>
        <v/>
      </c>
      <c r="Y243" s="202"/>
      <c r="Z243" s="185" t="str">
        <f aca="false">IF($A244="","",VLOOKUP($A243,Table,MATCH(Z$4,Curves,0)))</f>
        <v/>
      </c>
      <c r="AA243" s="185" t="str">
        <f aca="false">IF($A244="","",VLOOKUP($A243,Table,MATCH(AA$4,Curves,0)))</f>
        <v/>
      </c>
      <c r="AB243" s="185" t="e">
        <f aca="false">SQRT((AA243^2*(A243-$D$3)+Z243^2*(DAY(EOMONTH(A243,0))/2))/AK243)</f>
        <v>#VALUE!</v>
      </c>
      <c r="AC243" s="185" t="str">
        <f aca="false">IF($A244="","",VLOOKUP($A243,Table,MATCH(AC$4,Curves,0)))</f>
        <v/>
      </c>
      <c r="AD243" s="185" t="str">
        <f aca="false">IF($A244="","",VLOOKUP($A243,Table,MATCH(AD$4,Curves,0)))</f>
        <v/>
      </c>
      <c r="AE243" s="185" t="e">
        <f aca="false">SQRT((AD243^2*(A243-$D$3)+AC243^2*(DAY(EOMONTH(A243,0))/2))/AK243)</f>
        <v>#VALUE!</v>
      </c>
      <c r="AF243" s="224" t="e">
        <f aca="false">((Summary!$N$9*(AA243*AD243)*(A243-$D$3))+(Summary!$M$9*Z243*AC243*(AJ243-EOMONTH(EDATE(A243,-1),0))))/(AK243*AB243*AE243)</f>
        <v>#VALUE!</v>
      </c>
      <c r="AG243" s="207" t="str">
        <f aca="false">IF($A244="","",Summary!$Q$9)</f>
        <v/>
      </c>
      <c r="AH243" s="207" t="str">
        <f aca="false">IF($A244="","",IF(Summary!$R$9="Y",VLOOKUP($A243,Summary!$AD$6:$AF$9,3)+'Escalating commodity'!E256,'Escalating commodity'!E256))</f>
        <v/>
      </c>
      <c r="AI243" s="207" t="str">
        <f aca="false">IF($A244="","",AH243)</f>
        <v/>
      </c>
      <c r="AJ243" s="208" t="e">
        <f aca="false">A243+DAY(EOMONTH(A243,0))/2-1</f>
        <v>#VALUE!</v>
      </c>
      <c r="AK243" s="209" t="str">
        <f aca="false">IF($A244="","",$A243-$E$1)</f>
        <v/>
      </c>
      <c r="AL243" s="182" t="str">
        <f aca="false">IF($A244="","",SPRDOPT(P243,X243,AI243,0,AB243,AE243,AF243,AK243,$AJ$2,0))</f>
        <v/>
      </c>
      <c r="AM243" s="211" t="str">
        <f aca="false">IF($A244="","",MAX(0,O243-W243-AI243))</f>
        <v/>
      </c>
      <c r="AN243" s="211" t="str">
        <f aca="false">IF($A244="","",AL243-AM243)</f>
        <v/>
      </c>
      <c r="AO243" s="137" t="str">
        <f aca="false">IF(A244="","",A244-A243)</f>
        <v/>
      </c>
      <c r="AP243" s="212" t="str">
        <f aca="false">IF(A244="","",CHOOSE(F$3,A244+24,A243))</f>
        <v/>
      </c>
      <c r="AQ243" s="209" t="str">
        <f aca="false">IF(A244="","",AP243-$E$1)</f>
        <v/>
      </c>
      <c r="AR243" s="185" t="n">
        <f aca="false">'ANR OK vs ML7'!AR243</f>
        <v>0.1</v>
      </c>
      <c r="AS243" s="213" t="str">
        <f aca="false">IF(A244="","",1/(1+CHOOSE(F$3,(AR244+($I$3/10000))/2,(AR243+($I$3/10000))/2))^(2*AQ243/365.25))</f>
        <v/>
      </c>
      <c r="AT243" s="137" t="str">
        <f aca="false">IF(A244="","",IF(AND(mthbeg&lt;=A243,mthend&gt;=A243),1,0))</f>
        <v/>
      </c>
      <c r="AU243" s="137" t="str">
        <f aca="false">IF(A244="","",AO243*AT243)</f>
        <v/>
      </c>
      <c r="AW243" s="195" t="str">
        <f aca="false">IF($A244="","",AL243*$E243)</f>
        <v/>
      </c>
      <c r="AX243" s="195" t="str">
        <f aca="false">IF($A244="","",AM243*$E243)</f>
        <v/>
      </c>
      <c r="AY243" s="195" t="str">
        <f aca="false">IF($A244="","",AN243*$E243)</f>
        <v/>
      </c>
      <c r="BA243" s="195" t="str">
        <f aca="false">IF($A244="","",F243*Summary!$Q$9)</f>
        <v/>
      </c>
    </row>
    <row r="244" customFormat="false" ht="12" hidden="false" customHeight="true" outlineLevel="0" collapsed="false">
      <c r="A244" s="196" t="str">
        <f aca="false">IF(A243&lt;mthend,EDATE(A243,1),"")</f>
        <v/>
      </c>
      <c r="B244" s="197" t="str">
        <f aca="false">IF(A244&lt;mthend,B243,"")</f>
        <v/>
      </c>
      <c r="C244" s="215"/>
      <c r="D244" s="197" t="str">
        <f aca="false">IF(A245&lt;&gt;"",B244+C244,"")</f>
        <v/>
      </c>
      <c r="E244" s="199" t="str">
        <f aca="false">IF(A245="","",IF(AND(AT244=1,$H$3=1),D244*AO244,IF($H$3=2,D244,"N/A")))</f>
        <v/>
      </c>
      <c r="F244" s="199" t="str">
        <f aca="false">IF(A245="","",E244*AS244)</f>
        <v/>
      </c>
      <c r="G244" s="200" t="str">
        <f aca="false">IF($A245="","",VLOOKUP($A244,Table,MATCH(G$4,Curves,0)))</f>
        <v/>
      </c>
      <c r="H244" s="201" t="str">
        <f aca="false">IF(A245="","",G244)</f>
        <v/>
      </c>
      <c r="I244" s="202"/>
      <c r="J244" s="200" t="str">
        <f aca="false">IF($A245="","",VLOOKUP($A244,Table,MATCH(J$4,Curves,0)))</f>
        <v/>
      </c>
      <c r="K244" s="201" t="str">
        <f aca="false">IF(A245="","",J244)</f>
        <v/>
      </c>
      <c r="L244" s="200" t="str">
        <f aca="false">IF($A245="","",VLOOKUP($A244,Table,MATCH(L$4,Curves,0)))</f>
        <v/>
      </c>
      <c r="M244" s="201" t="str">
        <f aca="false">IF(A245="","",L244)</f>
        <v/>
      </c>
      <c r="N244" s="203"/>
      <c r="O244" s="200" t="str">
        <f aca="false">IF(A245="","",L244+J244+G244)</f>
        <v/>
      </c>
      <c r="P244" s="200" t="str">
        <f aca="false">IF(A245="","",M244+K244+H244)</f>
        <v/>
      </c>
      <c r="Q244" s="204"/>
      <c r="R244" s="200" t="str">
        <f aca="false">IF($A245="","",VLOOKUP($A244,Table,MATCH(R$4,Curves,0)))</f>
        <v/>
      </c>
      <c r="S244" s="201" t="str">
        <f aca="false">IF(A245="","",R244)</f>
        <v/>
      </c>
      <c r="T244" s="200" t="str">
        <f aca="false">IF($A245="","",VLOOKUP($A244,Table,MATCH(T$4,Curves,0)))</f>
        <v/>
      </c>
      <c r="U244" s="201" t="str">
        <f aca="false">IF(A245="","",T244)</f>
        <v/>
      </c>
      <c r="V244" s="225" t="str">
        <f aca="false">IF($A245="","",IF(AND(MONTH(A244)&gt;3,MONTH(A244)&lt;11),(T244+R244+G244)*Summary!$T$9/(1-Summary!$T$9),(T244+R244+G244)*Summary!$U$9/(1-Summary!$U$9)))</f>
        <v/>
      </c>
      <c r="W244" s="200" t="str">
        <f aca="false">IF($A245="","",(T244+R244+G244+V244))</f>
        <v/>
      </c>
      <c r="X244" s="200" t="str">
        <f aca="false">IF($A245="","",(U244+S244+H244+V244))</f>
        <v/>
      </c>
      <c r="Y244" s="202"/>
      <c r="Z244" s="185" t="str">
        <f aca="false">IF($A245="","",VLOOKUP($A244,Table,MATCH(Z$4,Curves,0)))</f>
        <v/>
      </c>
      <c r="AA244" s="185" t="str">
        <f aca="false">IF($A245="","",VLOOKUP($A244,Table,MATCH(AA$4,Curves,0)))</f>
        <v/>
      </c>
      <c r="AB244" s="185" t="e">
        <f aca="false">SQRT((AA244^2*(A244-$D$3)+Z244^2*(DAY(EOMONTH(A244,0))/2))/AK244)</f>
        <v>#VALUE!</v>
      </c>
      <c r="AC244" s="185" t="str">
        <f aca="false">IF($A245="","",VLOOKUP($A244,Table,MATCH(AC$4,Curves,0)))</f>
        <v/>
      </c>
      <c r="AD244" s="185" t="str">
        <f aca="false">IF($A245="","",VLOOKUP($A244,Table,MATCH(AD$4,Curves,0)))</f>
        <v/>
      </c>
      <c r="AE244" s="185" t="e">
        <f aca="false">SQRT((AD244^2*(A244-$D$3)+AC244^2*(DAY(EOMONTH(A244,0))/2))/AK244)</f>
        <v>#VALUE!</v>
      </c>
      <c r="AF244" s="224" t="e">
        <f aca="false">((Summary!$N$9*(AA244*AD244)*(A244-$D$3))+(Summary!$M$9*Z244*AC244*(AJ244-EOMONTH(EDATE(A244,-1),0))))/(AK244*AB244*AE244)</f>
        <v>#VALUE!</v>
      </c>
      <c r="AG244" s="207" t="str">
        <f aca="false">IF($A245="","",Summary!$Q$9)</f>
        <v/>
      </c>
      <c r="AH244" s="207" t="str">
        <f aca="false">IF($A245="","",IF(Summary!$R$9="Y",VLOOKUP($A244,Summary!$AD$6:$AF$9,3)+'Escalating commodity'!E257,'Escalating commodity'!E257))</f>
        <v/>
      </c>
      <c r="AI244" s="207" t="str">
        <f aca="false">IF($A245="","",AH244)</f>
        <v/>
      </c>
      <c r="AJ244" s="208" t="e">
        <f aca="false">A244+DAY(EOMONTH(A244,0))/2-1</f>
        <v>#VALUE!</v>
      </c>
      <c r="AK244" s="209" t="str">
        <f aca="false">IF($A245="","",$A244-$E$1)</f>
        <v/>
      </c>
      <c r="AL244" s="182" t="str">
        <f aca="false">IF($A245="","",SPRDOPT(P244,X244,AI244,0,AB244,AE244,AF244,AK244,$AJ$2,0))</f>
        <v/>
      </c>
      <c r="AM244" s="211" t="str">
        <f aca="false">IF($A245="","",MAX(0,O244-W244-AI244))</f>
        <v/>
      </c>
      <c r="AN244" s="211" t="str">
        <f aca="false">IF($A245="","",AL244-AM244)</f>
        <v/>
      </c>
      <c r="AO244" s="137" t="str">
        <f aca="false">IF(A245="","",A245-A244)</f>
        <v/>
      </c>
      <c r="AP244" s="212" t="str">
        <f aca="false">IF(A245="","",CHOOSE(F$3,A245+24,A244))</f>
        <v/>
      </c>
      <c r="AQ244" s="209" t="str">
        <f aca="false">IF(A245="","",AP244-$E$1)</f>
        <v/>
      </c>
      <c r="AR244" s="185" t="n">
        <f aca="false">'ANR OK vs ML7'!AR244</f>
        <v>0.1</v>
      </c>
      <c r="AS244" s="213" t="str">
        <f aca="false">IF(A245="","",1/(1+CHOOSE(F$3,(AR245+($I$3/10000))/2,(AR244+($I$3/10000))/2))^(2*AQ244/365.25))</f>
        <v/>
      </c>
      <c r="AT244" s="137" t="str">
        <f aca="false">IF(A245="","",IF(AND(mthbeg&lt;=A244,mthend&gt;=A244),1,0))</f>
        <v/>
      </c>
      <c r="AU244" s="137" t="str">
        <f aca="false">IF(A245="","",AO244*AT244)</f>
        <v/>
      </c>
      <c r="AW244" s="195" t="str">
        <f aca="false">IF($A245="","",AL244*$E244)</f>
        <v/>
      </c>
      <c r="AX244" s="195" t="str">
        <f aca="false">IF($A245="","",AM244*$E244)</f>
        <v/>
      </c>
      <c r="AY244" s="195" t="str">
        <f aca="false">IF($A245="","",AN244*$E244)</f>
        <v/>
      </c>
      <c r="BA244" s="195" t="str">
        <f aca="false">IF($A245="","",F244*Summary!$Q$9)</f>
        <v/>
      </c>
    </row>
    <row r="245" customFormat="false" ht="12" hidden="false" customHeight="true" outlineLevel="0" collapsed="false">
      <c r="A245" s="196" t="str">
        <f aca="false">IF(A244&lt;mthend,EDATE(A244,1),"")</f>
        <v/>
      </c>
      <c r="B245" s="197" t="str">
        <f aca="false">IF(A245&lt;mthend,B244,"")</f>
        <v/>
      </c>
      <c r="C245" s="215"/>
      <c r="D245" s="197" t="str">
        <f aca="false">IF(A246&lt;&gt;"",B245+C245,"")</f>
        <v/>
      </c>
      <c r="E245" s="199" t="str">
        <f aca="false">IF(A246="","",IF(AND(AT245=1,$H$3=1),D245*AO245,IF($H$3=2,D245,"N/A")))</f>
        <v/>
      </c>
      <c r="F245" s="199" t="str">
        <f aca="false">IF(A246="","",E245*AS245)</f>
        <v/>
      </c>
      <c r="G245" s="200" t="str">
        <f aca="false">IF($A246="","",VLOOKUP($A245,Table,MATCH(G$4,Curves,0)))</f>
        <v/>
      </c>
      <c r="H245" s="201" t="str">
        <f aca="false">IF(A246="","",G245)</f>
        <v/>
      </c>
      <c r="I245" s="202"/>
      <c r="J245" s="200" t="str">
        <f aca="false">IF($A246="","",VLOOKUP($A245,Table,MATCH(J$4,Curves,0)))</f>
        <v/>
      </c>
      <c r="K245" s="201" t="str">
        <f aca="false">IF(A246="","",J245)</f>
        <v/>
      </c>
      <c r="L245" s="200" t="str">
        <f aca="false">IF($A246="","",VLOOKUP($A245,Table,MATCH(L$4,Curves,0)))</f>
        <v/>
      </c>
      <c r="M245" s="201" t="str">
        <f aca="false">IF(A246="","",L245)</f>
        <v/>
      </c>
      <c r="N245" s="203"/>
      <c r="O245" s="200" t="str">
        <f aca="false">IF(A246="","",L245+J245+G245)</f>
        <v/>
      </c>
      <c r="P245" s="200" t="str">
        <f aca="false">IF(A246="","",M245+K245+H245)</f>
        <v/>
      </c>
      <c r="Q245" s="204"/>
      <c r="R245" s="200" t="str">
        <f aca="false">IF($A246="","",VLOOKUP($A245,Table,MATCH(R$4,Curves,0)))</f>
        <v/>
      </c>
      <c r="S245" s="201" t="str">
        <f aca="false">IF(A246="","",R245)</f>
        <v/>
      </c>
      <c r="T245" s="200" t="str">
        <f aca="false">IF($A246="","",VLOOKUP($A245,Table,MATCH(T$4,Curves,0)))</f>
        <v/>
      </c>
      <c r="U245" s="201" t="str">
        <f aca="false">IF(A246="","",T245)</f>
        <v/>
      </c>
      <c r="V245" s="225" t="str">
        <f aca="false">IF($A246="","",IF(AND(MONTH(A245)&gt;3,MONTH(A245)&lt;11),(T245+R245+G245)*Summary!$T$9/(1-Summary!$T$9),(T245+R245+G245)*Summary!$U$9/(1-Summary!$U$9)))</f>
        <v/>
      </c>
      <c r="W245" s="200" t="str">
        <f aca="false">IF($A246="","",(T245+R245+G245+V245))</f>
        <v/>
      </c>
      <c r="X245" s="200" t="str">
        <f aca="false">IF($A246="","",(U245+S245+H245+V245))</f>
        <v/>
      </c>
      <c r="Y245" s="202"/>
      <c r="Z245" s="185" t="str">
        <f aca="false">IF($A246="","",VLOOKUP($A245,Table,MATCH(Z$4,Curves,0)))</f>
        <v/>
      </c>
      <c r="AA245" s="185" t="str">
        <f aca="false">IF($A246="","",VLOOKUP($A245,Table,MATCH(AA$4,Curves,0)))</f>
        <v/>
      </c>
      <c r="AB245" s="185" t="e">
        <f aca="false">SQRT((AA245^2*(A245-$D$3)+Z245^2*(DAY(EOMONTH(A245,0))/2))/AK245)</f>
        <v>#VALUE!</v>
      </c>
      <c r="AC245" s="185" t="str">
        <f aca="false">IF($A246="","",VLOOKUP($A245,Table,MATCH(AC$4,Curves,0)))</f>
        <v/>
      </c>
      <c r="AD245" s="185" t="str">
        <f aca="false">IF($A246="","",VLOOKUP($A245,Table,MATCH(AD$4,Curves,0)))</f>
        <v/>
      </c>
      <c r="AE245" s="185" t="e">
        <f aca="false">SQRT((AD245^2*(A245-$D$3)+AC245^2*(DAY(EOMONTH(A245,0))/2))/AK245)</f>
        <v>#VALUE!</v>
      </c>
      <c r="AF245" s="224" t="e">
        <f aca="false">((Summary!$N$9*(AA245*AD245)*(A245-$D$3))+(Summary!$M$9*Z245*AC245*(AJ245-EOMONTH(EDATE(A245,-1),0))))/(AK245*AB245*AE245)</f>
        <v>#VALUE!</v>
      </c>
      <c r="AG245" s="207" t="str">
        <f aca="false">IF($A246="","",Summary!$Q$9)</f>
        <v/>
      </c>
      <c r="AH245" s="207" t="str">
        <f aca="false">IF($A246="","",IF(Summary!$R$9="Y",VLOOKUP($A245,Summary!$AD$6:$AF$9,3)+'Escalating commodity'!E258,'Escalating commodity'!E258))</f>
        <v/>
      </c>
      <c r="AI245" s="207" t="str">
        <f aca="false">IF($A246="","",AH245)</f>
        <v/>
      </c>
      <c r="AJ245" s="208" t="e">
        <f aca="false">A245+DAY(EOMONTH(A245,0))/2-1</f>
        <v>#VALUE!</v>
      </c>
      <c r="AK245" s="209" t="str">
        <f aca="false">IF($A246="","",$A245-$E$1)</f>
        <v/>
      </c>
      <c r="AL245" s="182" t="str">
        <f aca="false">IF($A246="","",SPRDOPT(P245,X245,AI245,0,AB245,AE245,AF245,AK245,$AJ$2,0))</f>
        <v/>
      </c>
      <c r="AM245" s="211" t="str">
        <f aca="false">IF($A246="","",MAX(0,O245-W245-AI245))</f>
        <v/>
      </c>
      <c r="AN245" s="211" t="str">
        <f aca="false">IF($A246="","",AL245-AM245)</f>
        <v/>
      </c>
      <c r="AO245" s="137" t="str">
        <f aca="false">IF(A246="","",A246-A245)</f>
        <v/>
      </c>
      <c r="AP245" s="212" t="str">
        <f aca="false">IF(A246="","",CHOOSE(F$3,A246+24,A245))</f>
        <v/>
      </c>
      <c r="AQ245" s="209" t="str">
        <f aca="false">IF(A246="","",AP245-$E$1)</f>
        <v/>
      </c>
      <c r="AR245" s="185" t="n">
        <f aca="false">'ANR OK vs ML7'!AR245</f>
        <v>0.1</v>
      </c>
      <c r="AS245" s="213" t="str">
        <f aca="false">IF(A246="","",1/(1+CHOOSE(F$3,(AR246+($I$3/10000))/2,(AR245+($I$3/10000))/2))^(2*AQ245/365.25))</f>
        <v/>
      </c>
      <c r="AT245" s="137" t="str">
        <f aca="false">IF(A246="","",IF(AND(mthbeg&lt;=A245,mthend&gt;=A245),1,0))</f>
        <v/>
      </c>
      <c r="AU245" s="137" t="str">
        <f aca="false">IF(A246="","",AO245*AT245)</f>
        <v/>
      </c>
      <c r="AW245" s="195" t="str">
        <f aca="false">IF($A246="","",AL245*$E245)</f>
        <v/>
      </c>
      <c r="AX245" s="195" t="str">
        <f aca="false">IF($A246="","",AM245*$E245)</f>
        <v/>
      </c>
      <c r="AY245" s="195" t="str">
        <f aca="false">IF($A246="","",AN245*$E245)</f>
        <v/>
      </c>
      <c r="BA245" s="195" t="str">
        <f aca="false">IF($A246="","",F245*Summary!$Q$9)</f>
        <v/>
      </c>
    </row>
    <row r="246" customFormat="false" ht="12" hidden="false" customHeight="true" outlineLevel="0" collapsed="false">
      <c r="A246" s="196" t="str">
        <f aca="false">IF(A245&lt;mthend,EDATE(A245,1),"")</f>
        <v/>
      </c>
      <c r="B246" s="197" t="str">
        <f aca="false">IF(A246&lt;mthend,B245,"")</f>
        <v/>
      </c>
      <c r="C246" s="215"/>
      <c r="D246" s="197" t="str">
        <f aca="false">IF(A247&lt;&gt;"",B246+C246,"")</f>
        <v/>
      </c>
      <c r="E246" s="199" t="str">
        <f aca="false">IF(A247="","",IF(AND(AT246=1,$H$3=1),D246*AO246,IF($H$3=2,D246,"N/A")))</f>
        <v/>
      </c>
      <c r="F246" s="199" t="str">
        <f aca="false">IF(A247="","",E246*AS246)</f>
        <v/>
      </c>
      <c r="G246" s="200" t="str">
        <f aca="false">IF($A247="","",VLOOKUP($A246,Table,MATCH(G$4,Curves,0)))</f>
        <v/>
      </c>
      <c r="H246" s="201" t="str">
        <f aca="false">IF(A247="","",G246)</f>
        <v/>
      </c>
      <c r="I246" s="202"/>
      <c r="J246" s="200" t="str">
        <f aca="false">IF($A247="","",VLOOKUP($A246,Table,MATCH(J$4,Curves,0)))</f>
        <v/>
      </c>
      <c r="K246" s="201" t="str">
        <f aca="false">IF(A247="","",J246)</f>
        <v/>
      </c>
      <c r="L246" s="200" t="str">
        <f aca="false">IF($A247="","",VLOOKUP($A246,Table,MATCH(L$4,Curves,0)))</f>
        <v/>
      </c>
      <c r="M246" s="201" t="str">
        <f aca="false">IF(A247="","",L246)</f>
        <v/>
      </c>
      <c r="N246" s="203"/>
      <c r="O246" s="200" t="str">
        <f aca="false">IF(A247="","",L246+J246+G246)</f>
        <v/>
      </c>
      <c r="P246" s="200" t="str">
        <f aca="false">IF(A247="","",M246+K246+H246)</f>
        <v/>
      </c>
      <c r="Q246" s="204"/>
      <c r="R246" s="200" t="str">
        <f aca="false">IF($A247="","",VLOOKUP($A246,Table,MATCH(R$4,Curves,0)))</f>
        <v/>
      </c>
      <c r="S246" s="201" t="str">
        <f aca="false">IF(A247="","",R246)</f>
        <v/>
      </c>
      <c r="T246" s="200" t="str">
        <f aca="false">IF($A247="","",VLOOKUP($A246,Table,MATCH(T$4,Curves,0)))</f>
        <v/>
      </c>
      <c r="U246" s="201" t="str">
        <f aca="false">IF(A247="","",T246)</f>
        <v/>
      </c>
      <c r="V246" s="225" t="str">
        <f aca="false">IF($A247="","",IF(AND(MONTH(A246)&gt;3,MONTH(A246)&lt;11),(T246+R246+G246)*Summary!$T$9/(1-Summary!$T$9),(T246+R246+G246)*Summary!$U$9/(1-Summary!$U$9)))</f>
        <v/>
      </c>
      <c r="W246" s="200" t="str">
        <f aca="false">IF($A247="","",(T246+R246+G246+V246))</f>
        <v/>
      </c>
      <c r="X246" s="200" t="str">
        <f aca="false">IF($A247="","",(U246+S246+H246+V246))</f>
        <v/>
      </c>
      <c r="Y246" s="202"/>
      <c r="Z246" s="185" t="str">
        <f aca="false">IF($A247="","",VLOOKUP($A246,Table,MATCH(Z$4,Curves,0)))</f>
        <v/>
      </c>
      <c r="AA246" s="185" t="str">
        <f aca="false">IF($A247="","",VLOOKUP($A246,Table,MATCH(AA$4,Curves,0)))</f>
        <v/>
      </c>
      <c r="AB246" s="185" t="e">
        <f aca="false">SQRT((AA246^2*(A246-$D$3)+Z246^2*(DAY(EOMONTH(A246,0))/2))/AK246)</f>
        <v>#VALUE!</v>
      </c>
      <c r="AC246" s="185" t="str">
        <f aca="false">IF($A247="","",VLOOKUP($A246,Table,MATCH(AC$4,Curves,0)))</f>
        <v/>
      </c>
      <c r="AD246" s="185" t="str">
        <f aca="false">IF($A247="","",VLOOKUP($A246,Table,MATCH(AD$4,Curves,0)))</f>
        <v/>
      </c>
      <c r="AE246" s="185" t="e">
        <f aca="false">SQRT((AD246^2*(A246-$D$3)+AC246^2*(DAY(EOMONTH(A246,0))/2))/AK246)</f>
        <v>#VALUE!</v>
      </c>
      <c r="AF246" s="224" t="e">
        <f aca="false">((Summary!$N$9*(AA246*AD246)*(A246-$D$3))+(Summary!$M$9*Z246*AC246*(AJ246-EOMONTH(EDATE(A246,-1),0))))/(AK246*AB246*AE246)</f>
        <v>#VALUE!</v>
      </c>
      <c r="AG246" s="207" t="str">
        <f aca="false">IF($A247="","",Summary!$Q$9)</f>
        <v/>
      </c>
      <c r="AH246" s="207" t="str">
        <f aca="false">IF($A247="","",IF(Summary!$R$9="Y",VLOOKUP($A246,Summary!$AD$6:$AF$9,3)+'Escalating commodity'!E259,'Escalating commodity'!E259))</f>
        <v/>
      </c>
      <c r="AI246" s="207" t="str">
        <f aca="false">IF($A247="","",AH246)</f>
        <v/>
      </c>
      <c r="AJ246" s="208" t="e">
        <f aca="false">A246+DAY(EOMONTH(A246,0))/2-1</f>
        <v>#VALUE!</v>
      </c>
      <c r="AK246" s="209" t="str">
        <f aca="false">IF($A247="","",$A246-$E$1)</f>
        <v/>
      </c>
      <c r="AL246" s="182" t="str">
        <f aca="false">IF($A247="","",SPRDOPT(P246,X246,AI246,0,AB246,AE246,AF246,AK246,$AJ$2,0))</f>
        <v/>
      </c>
      <c r="AM246" s="211" t="str">
        <f aca="false">IF($A247="","",MAX(0,O246-W246-AI246))</f>
        <v/>
      </c>
      <c r="AN246" s="211" t="str">
        <f aca="false">IF($A247="","",AL246-AM246)</f>
        <v/>
      </c>
      <c r="AO246" s="137" t="str">
        <f aca="false">IF(A247="","",A247-A246)</f>
        <v/>
      </c>
      <c r="AP246" s="212" t="str">
        <f aca="false">IF(A247="","",CHOOSE(F$3,A247+24,A246))</f>
        <v/>
      </c>
      <c r="AQ246" s="209" t="str">
        <f aca="false">IF(A247="","",AP246-$E$1)</f>
        <v/>
      </c>
      <c r="AR246" s="185" t="n">
        <f aca="false">'ANR OK vs ML7'!AR246</f>
        <v>0.1</v>
      </c>
      <c r="AS246" s="213" t="str">
        <f aca="false">IF(A247="","",1/(1+CHOOSE(F$3,(AR247+($I$3/10000))/2,(AR246+($I$3/10000))/2))^(2*AQ246/365.25))</f>
        <v/>
      </c>
      <c r="AT246" s="137" t="str">
        <f aca="false">IF(A247="","",IF(AND(mthbeg&lt;=A246,mthend&gt;=A246),1,0))</f>
        <v/>
      </c>
      <c r="AU246" s="137" t="str">
        <f aca="false">IF(A247="","",AO246*AT246)</f>
        <v/>
      </c>
      <c r="AW246" s="195" t="str">
        <f aca="false">IF($A247="","",AL246*$E246)</f>
        <v/>
      </c>
      <c r="AX246" s="195" t="str">
        <f aca="false">IF($A247="","",AM246*$E246)</f>
        <v/>
      </c>
      <c r="AY246" s="195" t="str">
        <f aca="false">IF($A247="","",AN246*$E246)</f>
        <v/>
      </c>
      <c r="BA246" s="195" t="str">
        <f aca="false">IF($A247="","",F246*Summary!$Q$9)</f>
        <v/>
      </c>
    </row>
    <row r="247" customFormat="false" ht="12" hidden="false" customHeight="true" outlineLevel="0" collapsed="false">
      <c r="A247" s="196" t="str">
        <f aca="false">IF(A246&lt;mthend,EDATE(A246,1),"")</f>
        <v/>
      </c>
      <c r="B247" s="197" t="str">
        <f aca="false">IF(A247&lt;mthend,B246,"")</f>
        <v/>
      </c>
      <c r="C247" s="215"/>
      <c r="D247" s="197" t="str">
        <f aca="false">IF(A248&lt;&gt;"",B247+C247,"")</f>
        <v/>
      </c>
      <c r="E247" s="199" t="str">
        <f aca="false">IF(A248="","",IF(AND(AT247=1,$H$3=1),D247*AO247,IF($H$3=2,D247,"N/A")))</f>
        <v/>
      </c>
      <c r="F247" s="199" t="str">
        <f aca="false">IF(A248="","",E247*AS247)</f>
        <v/>
      </c>
      <c r="G247" s="200" t="str">
        <f aca="false">IF($A248="","",VLOOKUP($A247,Table,MATCH(G$4,Curves,0)))</f>
        <v/>
      </c>
      <c r="H247" s="201" t="str">
        <f aca="false">IF(A248="","",G247)</f>
        <v/>
      </c>
      <c r="I247" s="202"/>
      <c r="J247" s="200" t="str">
        <f aca="false">IF($A248="","",VLOOKUP($A247,Table,MATCH(J$4,Curves,0)))</f>
        <v/>
      </c>
      <c r="K247" s="201" t="str">
        <f aca="false">IF(A248="","",J247)</f>
        <v/>
      </c>
      <c r="L247" s="200" t="str">
        <f aca="false">IF($A248="","",VLOOKUP($A247,Table,MATCH(L$4,Curves,0)))</f>
        <v/>
      </c>
      <c r="M247" s="201" t="str">
        <f aca="false">IF(A248="","",L247)</f>
        <v/>
      </c>
      <c r="N247" s="203"/>
      <c r="O247" s="200" t="str">
        <f aca="false">IF(A248="","",L247+J247+G247)</f>
        <v/>
      </c>
      <c r="P247" s="200" t="str">
        <f aca="false">IF(A248="","",M247+K247+H247)</f>
        <v/>
      </c>
      <c r="Q247" s="204"/>
      <c r="R247" s="200" t="str">
        <f aca="false">IF($A248="","",VLOOKUP($A247,Table,MATCH(R$4,Curves,0)))</f>
        <v/>
      </c>
      <c r="S247" s="201" t="str">
        <f aca="false">IF(A248="","",R247)</f>
        <v/>
      </c>
      <c r="T247" s="200" t="str">
        <f aca="false">IF($A248="","",VLOOKUP($A247,Table,MATCH(T$4,Curves,0)))</f>
        <v/>
      </c>
      <c r="U247" s="201" t="str">
        <f aca="false">IF(A248="","",T247)</f>
        <v/>
      </c>
      <c r="V247" s="225" t="str">
        <f aca="false">IF($A248="","",IF(AND(MONTH(A247)&gt;3,MONTH(A247)&lt;11),(T247+R247+G247)*Summary!$T$9/(1-Summary!$T$9),(T247+R247+G247)*Summary!$U$9/(1-Summary!$U$9)))</f>
        <v/>
      </c>
      <c r="W247" s="200" t="str">
        <f aca="false">IF($A248="","",(T247+R247+G247+V247))</f>
        <v/>
      </c>
      <c r="X247" s="200" t="str">
        <f aca="false">IF($A248="","",(U247+S247+H247+V247))</f>
        <v/>
      </c>
      <c r="Y247" s="202"/>
      <c r="Z247" s="185" t="str">
        <f aca="false">IF($A248="","",VLOOKUP($A247,Table,MATCH(Z$4,Curves,0)))</f>
        <v/>
      </c>
      <c r="AA247" s="185" t="str">
        <f aca="false">IF($A248="","",VLOOKUP($A247,Table,MATCH(AA$4,Curves,0)))</f>
        <v/>
      </c>
      <c r="AB247" s="185" t="e">
        <f aca="false">SQRT((AA247^2*(A247-$D$3)+Z247^2*(DAY(EOMONTH(A247,0))/2))/AK247)</f>
        <v>#VALUE!</v>
      </c>
      <c r="AC247" s="185" t="str">
        <f aca="false">IF($A248="","",VLOOKUP($A247,Table,MATCH(AC$4,Curves,0)))</f>
        <v/>
      </c>
      <c r="AD247" s="185" t="str">
        <f aca="false">IF($A248="","",VLOOKUP($A247,Table,MATCH(AD$4,Curves,0)))</f>
        <v/>
      </c>
      <c r="AE247" s="185" t="e">
        <f aca="false">SQRT((AD247^2*(A247-$D$3)+AC247^2*(DAY(EOMONTH(A247,0))/2))/AK247)</f>
        <v>#VALUE!</v>
      </c>
      <c r="AF247" s="224" t="e">
        <f aca="false">((Summary!$N$9*(AA247*AD247)*(A247-$D$3))+(Summary!$M$9*Z247*AC247*(AJ247-EOMONTH(EDATE(A247,-1),0))))/(AK247*AB247*AE247)</f>
        <v>#VALUE!</v>
      </c>
      <c r="AG247" s="207" t="str">
        <f aca="false">IF($A248="","",Summary!$Q$9)</f>
        <v/>
      </c>
      <c r="AH247" s="207" t="str">
        <f aca="false">IF($A248="","",IF(Summary!$R$9="Y",VLOOKUP($A247,Summary!$AD$6:$AF$9,3)+'Escalating commodity'!E260,'Escalating commodity'!E260))</f>
        <v/>
      </c>
      <c r="AI247" s="207" t="str">
        <f aca="false">IF($A248="","",AH247)</f>
        <v/>
      </c>
      <c r="AJ247" s="208" t="e">
        <f aca="false">A247+DAY(EOMONTH(A247,0))/2-1</f>
        <v>#VALUE!</v>
      </c>
      <c r="AK247" s="209" t="str">
        <f aca="false">IF($A248="","",$A247-$E$1)</f>
        <v/>
      </c>
      <c r="AL247" s="182" t="str">
        <f aca="false">IF($A248="","",SPRDOPT(P247,X247,AI247,0,AB247,AE247,AF247,AK247,$AJ$2,0))</f>
        <v/>
      </c>
      <c r="AM247" s="211" t="str">
        <f aca="false">IF($A248="","",MAX(0,O247-W247-AI247))</f>
        <v/>
      </c>
      <c r="AN247" s="211" t="str">
        <f aca="false">IF($A248="","",AL247-AM247)</f>
        <v/>
      </c>
      <c r="AO247" s="137" t="str">
        <f aca="false">IF(A248="","",A248-A247)</f>
        <v/>
      </c>
      <c r="AP247" s="212" t="str">
        <f aca="false">IF(A248="","",CHOOSE(F$3,A248+24,A247))</f>
        <v/>
      </c>
      <c r="AQ247" s="209" t="str">
        <f aca="false">IF(A248="","",AP247-$E$1)</f>
        <v/>
      </c>
      <c r="AR247" s="185" t="n">
        <f aca="false">'ANR OK vs ML7'!AR247</f>
        <v>0.1</v>
      </c>
      <c r="AS247" s="213" t="str">
        <f aca="false">IF(A248="","",1/(1+CHOOSE(F$3,(AR248+($I$3/10000))/2,(AR247+($I$3/10000))/2))^(2*AQ247/365.25))</f>
        <v/>
      </c>
      <c r="AT247" s="137" t="str">
        <f aca="false">IF(A248="","",IF(AND(mthbeg&lt;=A247,mthend&gt;=A247),1,0))</f>
        <v/>
      </c>
      <c r="AU247" s="137" t="str">
        <f aca="false">IF(A248="","",AO247*AT247)</f>
        <v/>
      </c>
      <c r="AW247" s="195" t="str">
        <f aca="false">IF($A248="","",AL247*$E247)</f>
        <v/>
      </c>
      <c r="AX247" s="195" t="str">
        <f aca="false">IF($A248="","",AM247*$E247)</f>
        <v/>
      </c>
      <c r="AY247" s="195" t="str">
        <f aca="false">IF($A248="","",AN247*$E247)</f>
        <v/>
      </c>
      <c r="BA247" s="195" t="str">
        <f aca="false">IF($A248="","",F247*Summary!$Q$9)</f>
        <v/>
      </c>
    </row>
    <row r="248" customFormat="false" ht="12" hidden="false" customHeight="true" outlineLevel="0" collapsed="false">
      <c r="A248" s="196" t="str">
        <f aca="false">IF(A247&lt;mthend,EDATE(A247,1),"")</f>
        <v/>
      </c>
      <c r="B248" s="197" t="str">
        <f aca="false">IF(A248&lt;mthend,B247,"")</f>
        <v/>
      </c>
      <c r="C248" s="215"/>
      <c r="D248" s="197" t="str">
        <f aca="false">IF(A249&lt;&gt;"",B248+C248,"")</f>
        <v/>
      </c>
      <c r="E248" s="199" t="str">
        <f aca="false">IF(A249="","",IF(AND(AT248=1,$H$3=1),D248*AO248,IF($H$3=2,D248,"N/A")))</f>
        <v/>
      </c>
      <c r="F248" s="199" t="str">
        <f aca="false">IF(A249="","",E248*AS248)</f>
        <v/>
      </c>
      <c r="G248" s="200" t="str">
        <f aca="false">IF($A249="","",VLOOKUP($A248,Table,MATCH(G$4,Curves,0)))</f>
        <v/>
      </c>
      <c r="H248" s="201" t="str">
        <f aca="false">IF(A249="","",G248)</f>
        <v/>
      </c>
      <c r="I248" s="202"/>
      <c r="J248" s="200" t="str">
        <f aca="false">IF($A249="","",VLOOKUP($A248,Table,MATCH(J$4,Curves,0)))</f>
        <v/>
      </c>
      <c r="K248" s="201" t="str">
        <f aca="false">IF(A249="","",J248)</f>
        <v/>
      </c>
      <c r="L248" s="200" t="str">
        <f aca="false">IF($A249="","",VLOOKUP($A248,Table,MATCH(L$4,Curves,0)))</f>
        <v/>
      </c>
      <c r="M248" s="201" t="str">
        <f aca="false">IF(A249="","",L248)</f>
        <v/>
      </c>
      <c r="N248" s="203"/>
      <c r="O248" s="200" t="str">
        <f aca="false">IF(A249="","",L248+J248+G248)</f>
        <v/>
      </c>
      <c r="P248" s="200" t="str">
        <f aca="false">IF(A249="","",M248+K248+H248)</f>
        <v/>
      </c>
      <c r="Q248" s="204"/>
      <c r="R248" s="200" t="str">
        <f aca="false">IF($A249="","",VLOOKUP($A248,Table,MATCH(R$4,Curves,0)))</f>
        <v/>
      </c>
      <c r="S248" s="201" t="str">
        <f aca="false">IF(A249="","",R248)</f>
        <v/>
      </c>
      <c r="T248" s="200" t="str">
        <f aca="false">IF($A249="","",VLOOKUP($A248,Table,MATCH(T$4,Curves,0)))</f>
        <v/>
      </c>
      <c r="U248" s="201" t="str">
        <f aca="false">IF(A249="","",T248)</f>
        <v/>
      </c>
      <c r="V248" s="225" t="str">
        <f aca="false">IF($A249="","",IF(AND(MONTH(A248)&gt;3,MONTH(A248)&lt;11),(T248+R248+G248)*Summary!$T$9/(1-Summary!$T$9),(T248+R248+G248)*Summary!$U$9/(1-Summary!$U$9)))</f>
        <v/>
      </c>
      <c r="W248" s="200" t="str">
        <f aca="false">IF($A249="","",(T248+R248+G248+V248))</f>
        <v/>
      </c>
      <c r="X248" s="200" t="str">
        <f aca="false">IF($A249="","",(U248+S248+H248+V248))</f>
        <v/>
      </c>
      <c r="Y248" s="202"/>
      <c r="Z248" s="185" t="str">
        <f aca="false">IF($A249="","",VLOOKUP($A248,Table,MATCH(Z$4,Curves,0)))</f>
        <v/>
      </c>
      <c r="AA248" s="185" t="str">
        <f aca="false">IF($A249="","",VLOOKUP($A248,Table,MATCH(AA$4,Curves,0)))</f>
        <v/>
      </c>
      <c r="AB248" s="185" t="e">
        <f aca="false">SQRT((AA248^2*(A248-$D$3)+Z248^2*(DAY(EOMONTH(A248,0))/2))/AK248)</f>
        <v>#VALUE!</v>
      </c>
      <c r="AC248" s="185" t="str">
        <f aca="false">IF($A249="","",VLOOKUP($A248,Table,MATCH(AC$4,Curves,0)))</f>
        <v/>
      </c>
      <c r="AD248" s="185" t="str">
        <f aca="false">IF($A249="","",VLOOKUP($A248,Table,MATCH(AD$4,Curves,0)))</f>
        <v/>
      </c>
      <c r="AE248" s="185" t="e">
        <f aca="false">SQRT((AD248^2*(A248-$D$3)+AC248^2*(DAY(EOMONTH(A248,0))/2))/AK248)</f>
        <v>#VALUE!</v>
      </c>
      <c r="AF248" s="224" t="e">
        <f aca="false">((Summary!$N$9*(AA248*AD248)*(A248-$D$3))+(Summary!$M$9*Z248*AC248*(AJ248-EOMONTH(EDATE(A248,-1),0))))/(AK248*AB248*AE248)</f>
        <v>#VALUE!</v>
      </c>
      <c r="AG248" s="207" t="str">
        <f aca="false">IF($A249="","",Summary!$Q$9)</f>
        <v/>
      </c>
      <c r="AH248" s="207" t="str">
        <f aca="false">IF($A249="","",IF(Summary!$R$9="Y",VLOOKUP($A248,Summary!$AD$6:$AF$9,3)+'Escalating commodity'!E261,'Escalating commodity'!E261))</f>
        <v/>
      </c>
      <c r="AI248" s="207" t="str">
        <f aca="false">IF($A249="","",AH248)</f>
        <v/>
      </c>
      <c r="AJ248" s="208" t="e">
        <f aca="false">A248+DAY(EOMONTH(A248,0))/2-1</f>
        <v>#VALUE!</v>
      </c>
      <c r="AK248" s="209" t="str">
        <f aca="false">IF($A249="","",$A248-$E$1)</f>
        <v/>
      </c>
      <c r="AL248" s="182" t="str">
        <f aca="false">IF($A249="","",SPRDOPT(P248,X248,AI248,0,AB248,AE248,AF248,AK248,$AJ$2,0))</f>
        <v/>
      </c>
      <c r="AM248" s="211" t="str">
        <f aca="false">IF($A249="","",MAX(0,O248-W248-AI248))</f>
        <v/>
      </c>
      <c r="AN248" s="211" t="str">
        <f aca="false">IF($A249="","",AL248-AM248)</f>
        <v/>
      </c>
      <c r="AO248" s="137" t="str">
        <f aca="false">IF(A249="","",A249-A248)</f>
        <v/>
      </c>
      <c r="AP248" s="212" t="str">
        <f aca="false">IF(A249="","",CHOOSE(F$3,A249+24,A248))</f>
        <v/>
      </c>
      <c r="AQ248" s="209" t="str">
        <f aca="false">IF(A249="","",AP248-$E$1)</f>
        <v/>
      </c>
      <c r="AR248" s="185" t="n">
        <f aca="false">'ANR OK vs ML7'!AR248</f>
        <v>0.1</v>
      </c>
      <c r="AS248" s="213" t="str">
        <f aca="false">IF(A249="","",1/(1+CHOOSE(F$3,(AR249+($I$3/10000))/2,(AR248+($I$3/10000))/2))^(2*AQ248/365.25))</f>
        <v/>
      </c>
      <c r="AT248" s="137" t="str">
        <f aca="false">IF(A249="","",IF(AND(mthbeg&lt;=A248,mthend&gt;=A248),1,0))</f>
        <v/>
      </c>
      <c r="AU248" s="137" t="str">
        <f aca="false">IF(A249="","",AO248*AT248)</f>
        <v/>
      </c>
      <c r="AW248" s="195" t="str">
        <f aca="false">IF($A249="","",AL248*$E248)</f>
        <v/>
      </c>
      <c r="AX248" s="195" t="str">
        <f aca="false">IF($A249="","",AM248*$E248)</f>
        <v/>
      </c>
      <c r="AY248" s="195" t="str">
        <f aca="false">IF($A249="","",AN248*$E248)</f>
        <v/>
      </c>
      <c r="BA248" s="195" t="str">
        <f aca="false">IF($A249="","",F248*Summary!$Q$9)</f>
        <v/>
      </c>
    </row>
    <row r="249" customFormat="false" ht="12" hidden="false" customHeight="true" outlineLevel="0" collapsed="false">
      <c r="A249" s="196" t="str">
        <f aca="false">IF(A248&lt;mthend,EDATE(A248,1),"")</f>
        <v/>
      </c>
      <c r="B249" s="197" t="str">
        <f aca="false">IF(A249&lt;mthend,B248,"")</f>
        <v/>
      </c>
      <c r="C249" s="215"/>
      <c r="D249" s="197" t="str">
        <f aca="false">IF(A250&lt;&gt;"",B249+C249,"")</f>
        <v/>
      </c>
      <c r="E249" s="199" t="str">
        <f aca="false">IF(A250="","",IF(AND(AT249=1,$H$3=1),D249*AO249,IF($H$3=2,D249,"N/A")))</f>
        <v/>
      </c>
      <c r="F249" s="199" t="str">
        <f aca="false">IF(A250="","",E249*AS249)</f>
        <v/>
      </c>
      <c r="G249" s="200" t="str">
        <f aca="false">IF($A250="","",VLOOKUP($A249,Table,MATCH(G$4,Curves,0)))</f>
        <v/>
      </c>
      <c r="H249" s="201" t="str">
        <f aca="false">IF(A250="","",G249)</f>
        <v/>
      </c>
      <c r="I249" s="202"/>
      <c r="J249" s="200" t="str">
        <f aca="false">IF($A250="","",VLOOKUP($A249,Table,MATCH(J$4,Curves,0)))</f>
        <v/>
      </c>
      <c r="K249" s="201" t="str">
        <f aca="false">IF(A250="","",J249)</f>
        <v/>
      </c>
      <c r="L249" s="200" t="str">
        <f aca="false">IF($A250="","",VLOOKUP($A249,Table,MATCH(L$4,Curves,0)))</f>
        <v/>
      </c>
      <c r="M249" s="201" t="str">
        <f aca="false">IF(A250="","",L249)</f>
        <v/>
      </c>
      <c r="N249" s="203"/>
      <c r="O249" s="200" t="str">
        <f aca="false">IF(A250="","",L249+J249+G249)</f>
        <v/>
      </c>
      <c r="P249" s="200" t="str">
        <f aca="false">IF(A250="","",M249+K249+H249)</f>
        <v/>
      </c>
      <c r="Q249" s="204"/>
      <c r="R249" s="200" t="str">
        <f aca="false">IF($A250="","",VLOOKUP($A249,Table,MATCH(R$4,Curves,0)))</f>
        <v/>
      </c>
      <c r="S249" s="201" t="str">
        <f aca="false">IF(A250="","",R249)</f>
        <v/>
      </c>
      <c r="T249" s="200" t="str">
        <f aca="false">IF($A250="","",VLOOKUP($A249,Table,MATCH(T$4,Curves,0)))</f>
        <v/>
      </c>
      <c r="U249" s="201" t="str">
        <f aca="false">IF(A250="","",T249)</f>
        <v/>
      </c>
      <c r="V249" s="225" t="str">
        <f aca="false">IF($A250="","",IF(AND(MONTH(A249)&gt;3,MONTH(A249)&lt;11),(T249+R249+G249)*Summary!$T$9/(1-Summary!$T$9),(T249+R249+G249)*Summary!$U$9/(1-Summary!$U$9)))</f>
        <v/>
      </c>
      <c r="W249" s="200" t="str">
        <f aca="false">IF($A250="","",(T249+R249+G249+V249))</f>
        <v/>
      </c>
      <c r="X249" s="200" t="str">
        <f aca="false">IF($A250="","",(U249+S249+H249+V249))</f>
        <v/>
      </c>
      <c r="Y249" s="202"/>
      <c r="Z249" s="185" t="str">
        <f aca="false">IF($A250="","",VLOOKUP($A249,Table,MATCH(Z$4,Curves,0)))</f>
        <v/>
      </c>
      <c r="AA249" s="185" t="str">
        <f aca="false">IF($A250="","",VLOOKUP($A249,Table,MATCH(AA$4,Curves,0)))</f>
        <v/>
      </c>
      <c r="AB249" s="185" t="e">
        <f aca="false">SQRT((AA249^2*(A249-$D$3)+Z249^2*(DAY(EOMONTH(A249,0))/2))/AK249)</f>
        <v>#VALUE!</v>
      </c>
      <c r="AC249" s="185" t="str">
        <f aca="false">IF($A250="","",VLOOKUP($A249,Table,MATCH(AC$4,Curves,0)))</f>
        <v/>
      </c>
      <c r="AD249" s="185" t="str">
        <f aca="false">IF($A250="","",VLOOKUP($A249,Table,MATCH(AD$4,Curves,0)))</f>
        <v/>
      </c>
      <c r="AE249" s="185" t="e">
        <f aca="false">SQRT((AD249^2*(A249-$D$3)+AC249^2*(DAY(EOMONTH(A249,0))/2))/AK249)</f>
        <v>#VALUE!</v>
      </c>
      <c r="AF249" s="224" t="e">
        <f aca="false">((Summary!$N$9*(AA249*AD249)*(A249-$D$3))+(Summary!$M$9*Z249*AC249*(AJ249-EOMONTH(EDATE(A249,-1),0))))/(AK249*AB249*AE249)</f>
        <v>#VALUE!</v>
      </c>
      <c r="AG249" s="207" t="str">
        <f aca="false">IF($A250="","",Summary!$Q$9)</f>
        <v/>
      </c>
      <c r="AH249" s="207" t="str">
        <f aca="false">IF($A250="","",IF(Summary!$R$9="Y",VLOOKUP($A249,Summary!$AD$6:$AF$9,3)+'Escalating commodity'!E262,'Escalating commodity'!E262))</f>
        <v/>
      </c>
      <c r="AI249" s="207" t="str">
        <f aca="false">IF($A250="","",AH249)</f>
        <v/>
      </c>
      <c r="AJ249" s="208" t="e">
        <f aca="false">A249+DAY(EOMONTH(A249,0))/2-1</f>
        <v>#VALUE!</v>
      </c>
      <c r="AK249" s="209" t="str">
        <f aca="false">IF($A250="","",$A249-$E$1)</f>
        <v/>
      </c>
      <c r="AL249" s="182" t="str">
        <f aca="false">IF($A250="","",SPRDOPT(P249,X249,AI249,0,AB249,AE249,AF249,AK249,$AJ$2,0))</f>
        <v/>
      </c>
      <c r="AM249" s="211" t="str">
        <f aca="false">IF($A250="","",MAX(0,O249-W249-AI249))</f>
        <v/>
      </c>
      <c r="AN249" s="211" t="str">
        <f aca="false">IF($A250="","",AL249-AM249)</f>
        <v/>
      </c>
      <c r="AO249" s="137" t="str">
        <f aca="false">IF(A250="","",A250-A249)</f>
        <v/>
      </c>
      <c r="AP249" s="212" t="str">
        <f aca="false">IF(A250="","",CHOOSE(F$3,A250+24,A249))</f>
        <v/>
      </c>
      <c r="AQ249" s="209" t="str">
        <f aca="false">IF(A250="","",AP249-$E$1)</f>
        <v/>
      </c>
      <c r="AR249" s="185" t="n">
        <f aca="false">'ANR OK vs ML7'!AR249</f>
        <v>0.1</v>
      </c>
      <c r="AS249" s="213" t="str">
        <f aca="false">IF(A250="","",1/(1+CHOOSE(F$3,(AR250+($I$3/10000))/2,(AR249+($I$3/10000))/2))^(2*AQ249/365.25))</f>
        <v/>
      </c>
      <c r="AT249" s="137" t="str">
        <f aca="false">IF(A250="","",IF(AND(mthbeg&lt;=A249,mthend&gt;=A249),1,0))</f>
        <v/>
      </c>
      <c r="AU249" s="137" t="str">
        <f aca="false">IF(A250="","",AO249*AT249)</f>
        <v/>
      </c>
      <c r="AW249" s="195" t="str">
        <f aca="false">IF($A250="","",AL249*$E249)</f>
        <v/>
      </c>
      <c r="AX249" s="195" t="str">
        <f aca="false">IF($A250="","",AM249*$E249)</f>
        <v/>
      </c>
      <c r="AY249" s="195" t="str">
        <f aca="false">IF($A250="","",AN249*$E249)</f>
        <v/>
      </c>
      <c r="BA249" s="195" t="str">
        <f aca="false">IF($A250="","",F249*Summary!$Q$9)</f>
        <v/>
      </c>
    </row>
    <row r="250" customFormat="false" ht="12" hidden="false" customHeight="true" outlineLevel="0" collapsed="false">
      <c r="A250" s="196" t="str">
        <f aca="false">IF(A249&lt;mthend,EDATE(A249,1),"")</f>
        <v/>
      </c>
      <c r="B250" s="197" t="str">
        <f aca="false">IF(A250&lt;mthend,B249,"")</f>
        <v/>
      </c>
      <c r="C250" s="215"/>
      <c r="D250" s="197" t="str">
        <f aca="false">IF(A251&lt;&gt;"",B250+C250,"")</f>
        <v/>
      </c>
      <c r="E250" s="199" t="str">
        <f aca="false">IF(A251="","",IF(AND(AT250=1,$H$3=1),D250*AO250,IF($H$3=2,D250,"N/A")))</f>
        <v/>
      </c>
      <c r="F250" s="199" t="str">
        <f aca="false">IF(A251="","",E250*AS250)</f>
        <v/>
      </c>
      <c r="G250" s="200" t="str">
        <f aca="false">IF($A251="","",VLOOKUP($A250,Table,MATCH(G$4,Curves,0)))</f>
        <v/>
      </c>
      <c r="H250" s="201" t="str">
        <f aca="false">IF(A251="","",G250)</f>
        <v/>
      </c>
      <c r="I250" s="202"/>
      <c r="J250" s="200" t="str">
        <f aca="false">IF($A251="","",VLOOKUP($A250,Table,MATCH(J$4,Curves,0)))</f>
        <v/>
      </c>
      <c r="K250" s="201" t="str">
        <f aca="false">IF(A251="","",J250)</f>
        <v/>
      </c>
      <c r="L250" s="200" t="str">
        <f aca="false">IF($A251="","",VLOOKUP($A250,Table,MATCH(L$4,Curves,0)))</f>
        <v/>
      </c>
      <c r="M250" s="201" t="str">
        <f aca="false">IF(A251="","",L250)</f>
        <v/>
      </c>
      <c r="N250" s="203"/>
      <c r="O250" s="200" t="str">
        <f aca="false">IF(A251="","",L250+J250+G250)</f>
        <v/>
      </c>
      <c r="P250" s="200" t="str">
        <f aca="false">IF(A251="","",M250+K250+H250)</f>
        <v/>
      </c>
      <c r="Q250" s="204"/>
      <c r="R250" s="200" t="str">
        <f aca="false">IF($A251="","",VLOOKUP($A250,Table,MATCH(R$4,Curves,0)))</f>
        <v/>
      </c>
      <c r="S250" s="201" t="str">
        <f aca="false">IF(A251="","",R250)</f>
        <v/>
      </c>
      <c r="T250" s="200" t="str">
        <f aca="false">IF($A251="","",VLOOKUP($A250,Table,MATCH(T$4,Curves,0)))</f>
        <v/>
      </c>
      <c r="U250" s="201" t="str">
        <f aca="false">IF(A251="","",T250)</f>
        <v/>
      </c>
      <c r="V250" s="225" t="str">
        <f aca="false">IF($A251="","",IF(AND(MONTH(A250)&gt;3,MONTH(A250)&lt;11),(T250+R250+G250)*Summary!$T$9/(1-Summary!$T$9),(T250+R250+G250)*Summary!$U$9/(1-Summary!$U$9)))</f>
        <v/>
      </c>
      <c r="W250" s="200" t="str">
        <f aca="false">IF($A251="","",(T250+R250+G250+V250))</f>
        <v/>
      </c>
      <c r="X250" s="200" t="str">
        <f aca="false">IF($A251="","",(U250+S250+H250+V250))</f>
        <v/>
      </c>
      <c r="Y250" s="202"/>
      <c r="Z250" s="185" t="str">
        <f aca="false">IF($A251="","",VLOOKUP($A250,Table,MATCH(Z$4,Curves,0)))</f>
        <v/>
      </c>
      <c r="AA250" s="185" t="str">
        <f aca="false">IF($A251="","",VLOOKUP($A250,Table,MATCH(AA$4,Curves,0)))</f>
        <v/>
      </c>
      <c r="AB250" s="185" t="e">
        <f aca="false">SQRT((AA250^2*(A250-$D$3)+Z250^2*(DAY(EOMONTH(A250,0))/2))/AK250)</f>
        <v>#VALUE!</v>
      </c>
      <c r="AC250" s="185" t="str">
        <f aca="false">IF($A251="","",VLOOKUP($A250,Table,MATCH(AC$4,Curves,0)))</f>
        <v/>
      </c>
      <c r="AD250" s="185" t="str">
        <f aca="false">IF($A251="","",VLOOKUP($A250,Table,MATCH(AD$4,Curves,0)))</f>
        <v/>
      </c>
      <c r="AE250" s="185" t="e">
        <f aca="false">SQRT((AD250^2*(A250-$D$3)+AC250^2*(DAY(EOMONTH(A250,0))/2))/AK250)</f>
        <v>#VALUE!</v>
      </c>
      <c r="AF250" s="224" t="e">
        <f aca="false">((Summary!$N$9*(AA250*AD250)*(A250-$D$3))+(Summary!$M$9*Z250*AC250*(AJ250-EOMONTH(EDATE(A250,-1),0))))/(AK250*AB250*AE250)</f>
        <v>#VALUE!</v>
      </c>
      <c r="AG250" s="207" t="str">
        <f aca="false">IF($A251="","",Summary!$Q$9)</f>
        <v/>
      </c>
      <c r="AH250" s="207" t="str">
        <f aca="false">IF($A251="","",IF(Summary!$R$9="Y",VLOOKUP($A250,Summary!$AD$6:$AF$9,3)+'Escalating commodity'!E263,'Escalating commodity'!E263))</f>
        <v/>
      </c>
      <c r="AI250" s="207" t="str">
        <f aca="false">IF($A251="","",AH250)</f>
        <v/>
      </c>
      <c r="AJ250" s="208" t="e">
        <f aca="false">A250+DAY(EOMONTH(A250,0))/2-1</f>
        <v>#VALUE!</v>
      </c>
      <c r="AK250" s="209" t="str">
        <f aca="false">IF($A251="","",$A250-$E$1)</f>
        <v/>
      </c>
      <c r="AL250" s="182" t="str">
        <f aca="false">IF($A251="","",SPRDOPT(P250,X250,AI250,0,AB250,AE250,AF250,AK250,$AJ$2,0))</f>
        <v/>
      </c>
      <c r="AM250" s="211" t="str">
        <f aca="false">IF($A251="","",MAX(0,O250-W250-AI250))</f>
        <v/>
      </c>
      <c r="AN250" s="211" t="str">
        <f aca="false">IF($A251="","",AL250-AM250)</f>
        <v/>
      </c>
      <c r="AO250" s="137" t="str">
        <f aca="false">IF(A251="","",A251-A250)</f>
        <v/>
      </c>
      <c r="AP250" s="212" t="str">
        <f aca="false">IF(A251="","",CHOOSE(F$3,A251+24,A250))</f>
        <v/>
      </c>
      <c r="AQ250" s="209" t="str">
        <f aca="false">IF(A251="","",AP250-$E$1)</f>
        <v/>
      </c>
      <c r="AR250" s="185" t="n">
        <f aca="false">'ANR OK vs ML7'!AR250</f>
        <v>0.1</v>
      </c>
      <c r="AS250" s="213" t="str">
        <f aca="false">IF(A251="","",1/(1+CHOOSE(F$3,(AR251+($I$3/10000))/2,(AR250+($I$3/10000))/2))^(2*AQ250/365.25))</f>
        <v/>
      </c>
      <c r="AT250" s="137" t="str">
        <f aca="false">IF(A251="","",IF(AND(mthbeg&lt;=A250,mthend&gt;=A250),1,0))</f>
        <v/>
      </c>
      <c r="AU250" s="137" t="str">
        <f aca="false">IF(A251="","",AO250*AT250)</f>
        <v/>
      </c>
      <c r="AW250" s="195" t="str">
        <f aca="false">IF($A251="","",AL250*$E250)</f>
        <v/>
      </c>
      <c r="AX250" s="195" t="str">
        <f aca="false">IF($A251="","",AM250*$E250)</f>
        <v/>
      </c>
      <c r="AY250" s="195" t="str">
        <f aca="false">IF($A251="","",AN250*$E250)</f>
        <v/>
      </c>
      <c r="BA250" s="195" t="str">
        <f aca="false">IF($A251="","",F250*Summary!$Q$9)</f>
        <v/>
      </c>
    </row>
    <row r="251" customFormat="false" ht="12" hidden="false" customHeight="true" outlineLevel="0" collapsed="false">
      <c r="A251" s="196" t="str">
        <f aca="false">IF(A250&lt;mthend,EDATE(A250,1),"")</f>
        <v/>
      </c>
      <c r="B251" s="197" t="str">
        <f aca="false">IF(A251&lt;mthend,B250,"")</f>
        <v/>
      </c>
      <c r="C251" s="215"/>
      <c r="D251" s="197" t="str">
        <f aca="false">IF(A252&lt;&gt;"",B251+C251,"")</f>
        <v/>
      </c>
      <c r="E251" s="199" t="str">
        <f aca="false">IF(A252="","",IF(AND(AT251=1,$H$3=1),D251*AO251,IF($H$3=2,D251,"N/A")))</f>
        <v/>
      </c>
      <c r="F251" s="199" t="str">
        <f aca="false">IF(A252="","",E251*AS251)</f>
        <v/>
      </c>
      <c r="G251" s="200" t="str">
        <f aca="false">IF($A252="","",VLOOKUP($A251,Table,MATCH(G$4,Curves,0)))</f>
        <v/>
      </c>
      <c r="H251" s="201" t="str">
        <f aca="false">IF(A252="","",G251)</f>
        <v/>
      </c>
      <c r="I251" s="202"/>
      <c r="J251" s="200" t="str">
        <f aca="false">IF($A252="","",VLOOKUP($A251,Table,MATCH(J$4,Curves,0)))</f>
        <v/>
      </c>
      <c r="K251" s="201" t="str">
        <f aca="false">IF(A252="","",J251)</f>
        <v/>
      </c>
      <c r="L251" s="200" t="str">
        <f aca="false">IF($A252="","",VLOOKUP($A251,Table,MATCH(L$4,Curves,0)))</f>
        <v/>
      </c>
      <c r="M251" s="201" t="str">
        <f aca="false">IF(A252="","",L251)</f>
        <v/>
      </c>
      <c r="N251" s="203"/>
      <c r="O251" s="200" t="str">
        <f aca="false">IF(A252="","",L251+J251+G251)</f>
        <v/>
      </c>
      <c r="P251" s="200" t="str">
        <f aca="false">IF(A252="","",M251+K251+H251)</f>
        <v/>
      </c>
      <c r="Q251" s="204"/>
      <c r="R251" s="200" t="str">
        <f aca="false">IF($A252="","",VLOOKUP($A251,Table,MATCH(R$4,Curves,0)))</f>
        <v/>
      </c>
      <c r="S251" s="201" t="str">
        <f aca="false">IF(A252="","",R251)</f>
        <v/>
      </c>
      <c r="T251" s="200" t="str">
        <f aca="false">IF($A252="","",VLOOKUP($A251,Table,MATCH(T$4,Curves,0)))</f>
        <v/>
      </c>
      <c r="U251" s="201" t="str">
        <f aca="false">IF(A252="","",T251)</f>
        <v/>
      </c>
      <c r="V251" s="225" t="str">
        <f aca="false">IF($A252="","",IF(AND(MONTH(A251)&gt;3,MONTH(A251)&lt;11),(T251+R251+G251)*Summary!$T$9/(1-Summary!$T$9),(T251+R251+G251)*Summary!$U$9/(1-Summary!$U$9)))</f>
        <v/>
      </c>
      <c r="W251" s="200" t="str">
        <f aca="false">IF($A252="","",(T251+R251+G251+V251))</f>
        <v/>
      </c>
      <c r="X251" s="200" t="str">
        <f aca="false">IF($A252="","",(U251+S251+H251+V251))</f>
        <v/>
      </c>
      <c r="Y251" s="202"/>
      <c r="Z251" s="185" t="str">
        <f aca="false">IF($A252="","",VLOOKUP($A251,Table,MATCH(Z$4,Curves,0)))</f>
        <v/>
      </c>
      <c r="AA251" s="185" t="str">
        <f aca="false">IF($A252="","",VLOOKUP($A251,Table,MATCH(AA$4,Curves,0)))</f>
        <v/>
      </c>
      <c r="AB251" s="185" t="e">
        <f aca="false">SQRT((AA251^2*(A251-$D$3)+Z251^2*(DAY(EOMONTH(A251,0))/2))/AK251)</f>
        <v>#VALUE!</v>
      </c>
      <c r="AC251" s="185" t="str">
        <f aca="false">IF($A252="","",VLOOKUP($A251,Table,MATCH(AC$4,Curves,0)))</f>
        <v/>
      </c>
      <c r="AD251" s="185" t="str">
        <f aca="false">IF($A252="","",VLOOKUP($A251,Table,MATCH(AD$4,Curves,0)))</f>
        <v/>
      </c>
      <c r="AE251" s="185" t="e">
        <f aca="false">SQRT((AD251^2*(A251-$D$3)+AC251^2*(DAY(EOMONTH(A251,0))/2))/AK251)</f>
        <v>#VALUE!</v>
      </c>
      <c r="AF251" s="224" t="e">
        <f aca="false">((Summary!$N$9*(AA251*AD251)*(A251-$D$3))+(Summary!$M$9*Z251*AC251*(AJ251-EOMONTH(EDATE(A251,-1),0))))/(AK251*AB251*AE251)</f>
        <v>#VALUE!</v>
      </c>
      <c r="AG251" s="207" t="str">
        <f aca="false">IF($A252="","",Summary!$Q$9)</f>
        <v/>
      </c>
      <c r="AH251" s="207" t="str">
        <f aca="false">IF($A252="","",IF(Summary!$R$9="Y",VLOOKUP($A251,Summary!$AD$6:$AF$9,3)+'Escalating commodity'!E264,'Escalating commodity'!E264))</f>
        <v/>
      </c>
      <c r="AI251" s="207" t="str">
        <f aca="false">IF($A252="","",AH251)</f>
        <v/>
      </c>
      <c r="AJ251" s="208" t="e">
        <f aca="false">A251+DAY(EOMONTH(A251,0))/2-1</f>
        <v>#VALUE!</v>
      </c>
      <c r="AK251" s="209" t="str">
        <f aca="false">IF($A252="","",$A251-$E$1)</f>
        <v/>
      </c>
      <c r="AL251" s="182" t="str">
        <f aca="false">IF($A252="","",SPRDOPT(P251,X251,AI251,0,AB251,AE251,AF251,AK251,$AJ$2,0))</f>
        <v/>
      </c>
      <c r="AM251" s="211" t="str">
        <f aca="false">IF($A252="","",MAX(0,O251-W251-AI251))</f>
        <v/>
      </c>
      <c r="AN251" s="211" t="str">
        <f aca="false">IF($A252="","",AL251-AM251)</f>
        <v/>
      </c>
      <c r="AO251" s="137" t="str">
        <f aca="false">IF(A252="","",A252-A251)</f>
        <v/>
      </c>
      <c r="AP251" s="212" t="str">
        <f aca="false">IF(A252="","",CHOOSE(F$3,A252+24,A251))</f>
        <v/>
      </c>
      <c r="AQ251" s="209" t="str">
        <f aca="false">IF(A252="","",AP251-$E$1)</f>
        <v/>
      </c>
      <c r="AR251" s="185" t="n">
        <f aca="false">'ANR OK vs ML7'!AR251</f>
        <v>0.1</v>
      </c>
      <c r="AS251" s="213" t="str">
        <f aca="false">IF(A252="","",1/(1+CHOOSE(F$3,(AR252+($I$3/10000))/2,(AR251+($I$3/10000))/2))^(2*AQ251/365.25))</f>
        <v/>
      </c>
      <c r="AT251" s="137" t="str">
        <f aca="false">IF(A252="","",IF(AND(mthbeg&lt;=A251,mthend&gt;=A251),1,0))</f>
        <v/>
      </c>
      <c r="AU251" s="137" t="str">
        <f aca="false">IF(A252="","",AO251*AT251)</f>
        <v/>
      </c>
      <c r="AW251" s="195" t="str">
        <f aca="false">IF($A252="","",AL251*$E251)</f>
        <v/>
      </c>
      <c r="AX251" s="195" t="str">
        <f aca="false">IF($A252="","",AM251*$E251)</f>
        <v/>
      </c>
      <c r="AY251" s="195" t="str">
        <f aca="false">IF($A252="","",AN251*$E251)</f>
        <v/>
      </c>
      <c r="BA251" s="195" t="str">
        <f aca="false">IF($A252="","",F251*Summary!$Q$9)</f>
        <v/>
      </c>
    </row>
    <row r="252" customFormat="false" ht="12" hidden="false" customHeight="true" outlineLevel="0" collapsed="false">
      <c r="A252" s="196" t="str">
        <f aca="false">IF(A251&lt;mthend,EDATE(A251,1),"")</f>
        <v/>
      </c>
      <c r="B252" s="197" t="str">
        <f aca="false">IF(A252&lt;mthend,B251,"")</f>
        <v/>
      </c>
      <c r="C252" s="215"/>
      <c r="D252" s="197" t="str">
        <f aca="false">IF(A253&lt;&gt;"",B252+C252,"")</f>
        <v/>
      </c>
      <c r="E252" s="199" t="str">
        <f aca="false">IF(A253="","",IF(AND(AT252=1,$H$3=1),D252*AO252,IF($H$3=2,D252,"N/A")))</f>
        <v/>
      </c>
      <c r="F252" s="199" t="str">
        <f aca="false">IF(A253="","",E252*AS252)</f>
        <v/>
      </c>
      <c r="G252" s="200" t="str">
        <f aca="false">IF($A253="","",VLOOKUP($A252,Table,MATCH(G$4,Curves,0)))</f>
        <v/>
      </c>
      <c r="H252" s="201" t="str">
        <f aca="false">IF(A253="","",G252)</f>
        <v/>
      </c>
      <c r="I252" s="202"/>
      <c r="J252" s="200" t="str">
        <f aca="false">IF($A253="","",VLOOKUP($A252,Table,MATCH(J$4,Curves,0)))</f>
        <v/>
      </c>
      <c r="K252" s="201" t="str">
        <f aca="false">IF(A253="","",J252)</f>
        <v/>
      </c>
      <c r="L252" s="200" t="str">
        <f aca="false">IF($A253="","",VLOOKUP($A252,Table,MATCH(L$4,Curves,0)))</f>
        <v/>
      </c>
      <c r="M252" s="201" t="str">
        <f aca="false">IF(A253="","",L252)</f>
        <v/>
      </c>
      <c r="N252" s="203"/>
      <c r="O252" s="200" t="str">
        <f aca="false">IF(A253="","",L252+J252+G252)</f>
        <v/>
      </c>
      <c r="P252" s="200" t="str">
        <f aca="false">IF(A253="","",M252+K252+H252)</f>
        <v/>
      </c>
      <c r="Q252" s="204"/>
      <c r="R252" s="200" t="str">
        <f aca="false">IF($A253="","",VLOOKUP($A252,Table,MATCH(R$4,Curves,0)))</f>
        <v/>
      </c>
      <c r="S252" s="201" t="str">
        <f aca="false">IF(A253="","",R252)</f>
        <v/>
      </c>
      <c r="T252" s="200" t="str">
        <f aca="false">IF($A253="","",VLOOKUP($A252,Table,MATCH(T$4,Curves,0)))</f>
        <v/>
      </c>
      <c r="U252" s="201" t="str">
        <f aca="false">IF(A253="","",T252)</f>
        <v/>
      </c>
      <c r="V252" s="225" t="str">
        <f aca="false">IF($A253="","",IF(AND(MONTH(A252)&gt;3,MONTH(A252)&lt;11),(T252+R252+G252)*Summary!$T$9/(1-Summary!$T$9),(T252+R252+G252)*Summary!$U$9/(1-Summary!$U$9)))</f>
        <v/>
      </c>
      <c r="W252" s="200" t="str">
        <f aca="false">IF($A253="","",(T252+R252+G252+V252))</f>
        <v/>
      </c>
      <c r="X252" s="200" t="str">
        <f aca="false">IF($A253="","",(U252+S252+H252+V252))</f>
        <v/>
      </c>
      <c r="Y252" s="202"/>
      <c r="Z252" s="185" t="str">
        <f aca="false">IF($A253="","",VLOOKUP($A252,Table,MATCH(Z$4,Curves,0)))</f>
        <v/>
      </c>
      <c r="AA252" s="185" t="str">
        <f aca="false">IF($A253="","",VLOOKUP($A252,Table,MATCH(AA$4,Curves,0)))</f>
        <v/>
      </c>
      <c r="AB252" s="185" t="e">
        <f aca="false">SQRT((AA252^2*(A252-$D$3)+Z252^2*(DAY(EOMONTH(A252,0))/2))/AK252)</f>
        <v>#VALUE!</v>
      </c>
      <c r="AC252" s="185" t="str">
        <f aca="false">IF($A253="","",VLOOKUP($A252,Table,MATCH(AC$4,Curves,0)))</f>
        <v/>
      </c>
      <c r="AD252" s="185" t="str">
        <f aca="false">IF($A253="","",VLOOKUP($A252,Table,MATCH(AD$4,Curves,0)))</f>
        <v/>
      </c>
      <c r="AE252" s="185" t="e">
        <f aca="false">SQRT((AD252^2*(A252-$D$3)+AC252^2*(DAY(EOMONTH(A252,0))/2))/AK252)</f>
        <v>#VALUE!</v>
      </c>
      <c r="AF252" s="224" t="e">
        <f aca="false">((Summary!$N$9*(AA252*AD252)*(A252-$D$3))+(Summary!$M$9*Z252*AC252*(AJ252-EOMONTH(EDATE(A252,-1),0))))/(AK252*AB252*AE252)</f>
        <v>#VALUE!</v>
      </c>
      <c r="AG252" s="207" t="str">
        <f aca="false">IF($A253="","",Summary!$Q$9)</f>
        <v/>
      </c>
      <c r="AH252" s="207" t="str">
        <f aca="false">IF($A253="","",IF(Summary!$R$9="Y",VLOOKUP($A252,Summary!$AD$6:$AF$9,3)+'Escalating commodity'!E265,'Escalating commodity'!E265))</f>
        <v/>
      </c>
      <c r="AI252" s="207" t="str">
        <f aca="false">IF($A253="","",AH252)</f>
        <v/>
      </c>
      <c r="AJ252" s="208" t="e">
        <f aca="false">A252+DAY(EOMONTH(A252,0))/2-1</f>
        <v>#VALUE!</v>
      </c>
      <c r="AK252" s="209" t="str">
        <f aca="false">IF($A253="","",$A252-$E$1)</f>
        <v/>
      </c>
      <c r="AL252" s="182" t="str">
        <f aca="false">IF($A253="","",SPRDOPT(P252,X252,AI252,0,AB252,AE252,AF252,AK252,$AJ$2,0))</f>
        <v/>
      </c>
      <c r="AM252" s="211" t="str">
        <f aca="false">IF($A253="","",MAX(0,O252-W252-AI252))</f>
        <v/>
      </c>
      <c r="AN252" s="211" t="str">
        <f aca="false">IF($A253="","",AL252-AM252)</f>
        <v/>
      </c>
      <c r="AO252" s="137" t="str">
        <f aca="false">IF(A253="","",A253-A252)</f>
        <v/>
      </c>
      <c r="AP252" s="212" t="str">
        <f aca="false">IF(A253="","",CHOOSE(F$3,A253+24,A252))</f>
        <v/>
      </c>
      <c r="AQ252" s="209" t="str">
        <f aca="false">IF(A253="","",AP252-$E$1)</f>
        <v/>
      </c>
      <c r="AR252" s="185" t="n">
        <f aca="false">'ANR OK vs ML7'!AR252</f>
        <v>0.1</v>
      </c>
      <c r="AS252" s="213" t="str">
        <f aca="false">IF(A253="","",1/(1+CHOOSE(F$3,(AR253+($I$3/10000))/2,(AR252+($I$3/10000))/2))^(2*AQ252/365.25))</f>
        <v/>
      </c>
      <c r="AT252" s="137" t="str">
        <f aca="false">IF(A253="","",IF(AND(mthbeg&lt;=A252,mthend&gt;=A252),1,0))</f>
        <v/>
      </c>
      <c r="AU252" s="137" t="str">
        <f aca="false">IF(A253="","",AO252*AT252)</f>
        <v/>
      </c>
      <c r="AW252" s="195" t="str">
        <f aca="false">IF($A253="","",AL252*$E252)</f>
        <v/>
      </c>
      <c r="AX252" s="195" t="str">
        <f aca="false">IF($A253="","",AM252*$E252)</f>
        <v/>
      </c>
      <c r="AY252" s="195" t="str">
        <f aca="false">IF($A253="","",AN252*$E252)</f>
        <v/>
      </c>
      <c r="BA252" s="195" t="str">
        <f aca="false">IF($A253="","",F252*Summary!$Q$9)</f>
        <v/>
      </c>
    </row>
    <row r="253" customFormat="false" ht="12" hidden="false" customHeight="true" outlineLevel="0" collapsed="false">
      <c r="A253" s="196" t="str">
        <f aca="false">IF(A252&lt;mthend,EDATE(A252,1),"")</f>
        <v/>
      </c>
      <c r="B253" s="197" t="str">
        <f aca="false">IF(A253&lt;mthend,B252,"")</f>
        <v/>
      </c>
      <c r="C253" s="215"/>
      <c r="D253" s="197" t="str">
        <f aca="false">IF(A254&lt;&gt;"",B253+C253,"")</f>
        <v/>
      </c>
      <c r="E253" s="199" t="str">
        <f aca="false">IF(A254="","",IF(AND(AT253=1,$H$3=1),D253*AO253,IF($H$3=2,D253,"N/A")))</f>
        <v/>
      </c>
      <c r="F253" s="199" t="str">
        <f aca="false">IF(A254="","",E253*AS253)</f>
        <v/>
      </c>
      <c r="G253" s="200" t="str">
        <f aca="false">IF($A254="","",VLOOKUP($A253,Table,MATCH(G$4,Curves,0)))</f>
        <v/>
      </c>
      <c r="H253" s="201" t="str">
        <f aca="false">IF(A254="","",G253)</f>
        <v/>
      </c>
      <c r="I253" s="202"/>
      <c r="J253" s="200" t="str">
        <f aca="false">IF($A254="","",VLOOKUP($A253,Table,MATCH(J$4,Curves,0)))</f>
        <v/>
      </c>
      <c r="K253" s="201" t="str">
        <f aca="false">IF(A254="","",J253)</f>
        <v/>
      </c>
      <c r="L253" s="200" t="str">
        <f aca="false">IF($A254="","",VLOOKUP($A253,Table,MATCH(L$4,Curves,0)))</f>
        <v/>
      </c>
      <c r="M253" s="201" t="str">
        <f aca="false">IF(A254="","",L253)</f>
        <v/>
      </c>
      <c r="N253" s="203"/>
      <c r="O253" s="200" t="str">
        <f aca="false">IF(A254="","",L253+J253+G253)</f>
        <v/>
      </c>
      <c r="P253" s="200" t="str">
        <f aca="false">IF(A254="","",M253+K253+H253)</f>
        <v/>
      </c>
      <c r="Q253" s="204"/>
      <c r="R253" s="200" t="str">
        <f aca="false">IF($A254="","",VLOOKUP($A253,Table,MATCH(R$4,Curves,0)))</f>
        <v/>
      </c>
      <c r="S253" s="201" t="str">
        <f aca="false">IF(A254="","",R253)</f>
        <v/>
      </c>
      <c r="T253" s="200" t="str">
        <f aca="false">IF($A254="","",VLOOKUP($A253,Table,MATCH(T$4,Curves,0)))</f>
        <v/>
      </c>
      <c r="U253" s="201" t="str">
        <f aca="false">IF(A254="","",T253)</f>
        <v/>
      </c>
      <c r="V253" s="225" t="str">
        <f aca="false">IF($A254="","",IF(AND(MONTH(A253)&gt;3,MONTH(A253)&lt;11),(T253+R253+G253)*Summary!$T$9/(1-Summary!$T$9),(T253+R253+G253)*Summary!$U$9/(1-Summary!$U$9)))</f>
        <v/>
      </c>
      <c r="W253" s="200" t="str">
        <f aca="false">IF($A254="","",(T253+R253+G253+V253))</f>
        <v/>
      </c>
      <c r="X253" s="200" t="str">
        <f aca="false">IF($A254="","",(U253+S253+H253+V253))</f>
        <v/>
      </c>
      <c r="Y253" s="202"/>
      <c r="Z253" s="185" t="str">
        <f aca="false">IF($A254="","",VLOOKUP($A253,Table,MATCH(Z$4,Curves,0)))</f>
        <v/>
      </c>
      <c r="AA253" s="185" t="str">
        <f aca="false">IF($A254="","",VLOOKUP($A253,Table,MATCH(AA$4,Curves,0)))</f>
        <v/>
      </c>
      <c r="AB253" s="185" t="e">
        <f aca="false">SQRT((AA253^2*(A253-$D$3)+Z253^2*(DAY(EOMONTH(A253,0))/2))/AK253)</f>
        <v>#VALUE!</v>
      </c>
      <c r="AC253" s="185" t="str">
        <f aca="false">IF($A254="","",VLOOKUP($A253,Table,MATCH(AC$4,Curves,0)))</f>
        <v/>
      </c>
      <c r="AD253" s="185" t="str">
        <f aca="false">IF($A254="","",VLOOKUP($A253,Table,MATCH(AD$4,Curves,0)))</f>
        <v/>
      </c>
      <c r="AE253" s="185" t="e">
        <f aca="false">SQRT((AD253^2*(A253-$D$3)+AC253^2*(DAY(EOMONTH(A253,0))/2))/AK253)</f>
        <v>#VALUE!</v>
      </c>
      <c r="AF253" s="224" t="e">
        <f aca="false">((Summary!$N$9*(AA253*AD253)*(A253-$D$3))+(Summary!$M$9*Z253*AC253*(AJ253-EOMONTH(EDATE(A253,-1),0))))/(AK253*AB253*AE253)</f>
        <v>#VALUE!</v>
      </c>
      <c r="AG253" s="207" t="str">
        <f aca="false">IF($A254="","",Summary!$Q$9)</f>
        <v/>
      </c>
      <c r="AH253" s="207" t="str">
        <f aca="false">IF($A254="","",IF(Summary!$R$9="Y",VLOOKUP($A253,Summary!$AD$6:$AF$9,3)+'Escalating commodity'!E266,'Escalating commodity'!E266))</f>
        <v/>
      </c>
      <c r="AI253" s="207" t="str">
        <f aca="false">IF($A254="","",AH253)</f>
        <v/>
      </c>
      <c r="AJ253" s="208" t="e">
        <f aca="false">A253+DAY(EOMONTH(A253,0))/2-1</f>
        <v>#VALUE!</v>
      </c>
      <c r="AK253" s="209" t="str">
        <f aca="false">IF($A254="","",$A253-$E$1)</f>
        <v/>
      </c>
      <c r="AL253" s="182" t="str">
        <f aca="false">IF($A254="","",SPRDOPT(P253,X253,AI253,0,AB253,AE253,AF253,AK253,$AJ$2,0))</f>
        <v/>
      </c>
      <c r="AM253" s="211" t="str">
        <f aca="false">IF($A254="","",MAX(0,O253-W253-AI253))</f>
        <v/>
      </c>
      <c r="AN253" s="211" t="str">
        <f aca="false">IF($A254="","",AL253-AM253)</f>
        <v/>
      </c>
      <c r="AO253" s="137" t="str">
        <f aca="false">IF(A254="","",A254-A253)</f>
        <v/>
      </c>
      <c r="AP253" s="212" t="str">
        <f aca="false">IF(A254="","",CHOOSE(F$3,A254+24,A253))</f>
        <v/>
      </c>
      <c r="AQ253" s="209" t="str">
        <f aca="false">IF(A254="","",AP253-$E$1)</f>
        <v/>
      </c>
      <c r="AR253" s="185" t="n">
        <f aca="false">'ANR OK vs ML7'!AR253</f>
        <v>0.1</v>
      </c>
      <c r="AS253" s="213" t="str">
        <f aca="false">IF(A254="","",1/(1+CHOOSE(F$3,(AR254+($I$3/10000))/2,(AR253+($I$3/10000))/2))^(2*AQ253/365.25))</f>
        <v/>
      </c>
      <c r="AT253" s="137" t="str">
        <f aca="false">IF(A254="","",IF(AND(mthbeg&lt;=A253,mthend&gt;=A253),1,0))</f>
        <v/>
      </c>
      <c r="AU253" s="137" t="str">
        <f aca="false">IF(A254="","",AO253*AT253)</f>
        <v/>
      </c>
      <c r="AW253" s="195" t="str">
        <f aca="false">IF($A254="","",AL253*$E253)</f>
        <v/>
      </c>
      <c r="AX253" s="195" t="str">
        <f aca="false">IF($A254="","",AM253*$E253)</f>
        <v/>
      </c>
      <c r="AY253" s="195" t="str">
        <f aca="false">IF($A254="","",AN253*$E253)</f>
        <v/>
      </c>
      <c r="BA253" s="195" t="str">
        <f aca="false">IF($A254="","",F253*Summary!$Q$9)</f>
        <v/>
      </c>
    </row>
    <row r="254" customFormat="false" ht="12" hidden="false" customHeight="true" outlineLevel="0" collapsed="false">
      <c r="A254" s="196" t="str">
        <f aca="false">IF(A253&lt;mthend,EDATE(A253,1),"")</f>
        <v/>
      </c>
      <c r="B254" s="197" t="str">
        <f aca="false">IF(A254&lt;mthend,B253,"")</f>
        <v/>
      </c>
      <c r="C254" s="215"/>
      <c r="D254" s="197" t="str">
        <f aca="false">IF(A255&lt;&gt;"",B254+C254,"")</f>
        <v/>
      </c>
      <c r="E254" s="199" t="str">
        <f aca="false">IF(A255="","",IF(AND(AT254=1,$H$3=1),D254*AO254,IF($H$3=2,D254,"N/A")))</f>
        <v/>
      </c>
      <c r="F254" s="199" t="str">
        <f aca="false">IF(A255="","",E254*AS254)</f>
        <v/>
      </c>
      <c r="G254" s="200" t="str">
        <f aca="false">IF($A255="","",VLOOKUP($A254,Table,MATCH(G$4,Curves,0)))</f>
        <v/>
      </c>
      <c r="H254" s="201" t="str">
        <f aca="false">IF(A255="","",G254)</f>
        <v/>
      </c>
      <c r="I254" s="202"/>
      <c r="J254" s="200" t="str">
        <f aca="false">IF($A255="","",VLOOKUP($A254,Table,MATCH(J$4,Curves,0)))</f>
        <v/>
      </c>
      <c r="K254" s="201" t="str">
        <f aca="false">IF(A255="","",J254)</f>
        <v/>
      </c>
      <c r="L254" s="200" t="str">
        <f aca="false">IF($A255="","",VLOOKUP($A254,Table,MATCH(L$4,Curves,0)))</f>
        <v/>
      </c>
      <c r="M254" s="201" t="str">
        <f aca="false">IF(A255="","",L254)</f>
        <v/>
      </c>
      <c r="N254" s="203"/>
      <c r="O254" s="200" t="str">
        <f aca="false">IF(A255="","",L254+J254+G254)</f>
        <v/>
      </c>
      <c r="P254" s="200" t="str">
        <f aca="false">IF(A255="","",M254+K254+H254)</f>
        <v/>
      </c>
      <c r="Q254" s="204"/>
      <c r="R254" s="200" t="str">
        <f aca="false">IF($A255="","",VLOOKUP($A254,Table,MATCH(R$4,Curves,0)))</f>
        <v/>
      </c>
      <c r="S254" s="201" t="str">
        <f aca="false">IF(A255="","",R254)</f>
        <v/>
      </c>
      <c r="T254" s="200" t="str">
        <f aca="false">IF($A255="","",VLOOKUP($A254,Table,MATCH(T$4,Curves,0)))</f>
        <v/>
      </c>
      <c r="U254" s="201" t="str">
        <f aca="false">IF(A255="","",T254)</f>
        <v/>
      </c>
      <c r="V254" s="225" t="str">
        <f aca="false">IF($A255="","",IF(AND(MONTH(A254)&gt;3,MONTH(A254)&lt;11),(T254+R254+G254)*Summary!$T$9/(1-Summary!$T$9),(T254+R254+G254)*Summary!$U$9/(1-Summary!$U$9)))</f>
        <v/>
      </c>
      <c r="W254" s="200" t="str">
        <f aca="false">IF($A255="","",(T254+R254+G254+V254))</f>
        <v/>
      </c>
      <c r="X254" s="200" t="str">
        <f aca="false">IF($A255="","",(U254+S254+H254+V254))</f>
        <v/>
      </c>
      <c r="Y254" s="202"/>
      <c r="Z254" s="185" t="str">
        <f aca="false">IF($A255="","",VLOOKUP($A254,Table,MATCH(Z$4,Curves,0)))</f>
        <v/>
      </c>
      <c r="AA254" s="185" t="str">
        <f aca="false">IF($A255="","",VLOOKUP($A254,Table,MATCH(AA$4,Curves,0)))</f>
        <v/>
      </c>
      <c r="AB254" s="185" t="e">
        <f aca="false">SQRT((AA254^2*(A254-$D$3)+Z254^2*(DAY(EOMONTH(A254,0))/2))/AK254)</f>
        <v>#VALUE!</v>
      </c>
      <c r="AC254" s="185" t="str">
        <f aca="false">IF($A255="","",VLOOKUP($A254,Table,MATCH(AC$4,Curves,0)))</f>
        <v/>
      </c>
      <c r="AD254" s="185" t="str">
        <f aca="false">IF($A255="","",VLOOKUP($A254,Table,MATCH(AD$4,Curves,0)))</f>
        <v/>
      </c>
      <c r="AE254" s="185" t="e">
        <f aca="false">SQRT((AD254^2*(A254-$D$3)+AC254^2*(DAY(EOMONTH(A254,0))/2))/AK254)</f>
        <v>#VALUE!</v>
      </c>
      <c r="AF254" s="224" t="e">
        <f aca="false">((Summary!$N$9*(AA254*AD254)*(A254-$D$3))+(Summary!$M$9*Z254*AC254*(AJ254-EOMONTH(EDATE(A254,-1),0))))/(AK254*AB254*AE254)</f>
        <v>#VALUE!</v>
      </c>
      <c r="AG254" s="207" t="str">
        <f aca="false">IF($A255="","",Summary!$Q$9)</f>
        <v/>
      </c>
      <c r="AH254" s="207" t="str">
        <f aca="false">IF($A255="","",IF(Summary!$R$9="Y",VLOOKUP($A254,Summary!$AD$6:$AF$9,3)+'Escalating commodity'!E267,'Escalating commodity'!E267))</f>
        <v/>
      </c>
      <c r="AI254" s="207" t="str">
        <f aca="false">IF($A255="","",AH254)</f>
        <v/>
      </c>
      <c r="AJ254" s="208" t="e">
        <f aca="false">A254+DAY(EOMONTH(A254,0))/2-1</f>
        <v>#VALUE!</v>
      </c>
      <c r="AK254" s="209" t="str">
        <f aca="false">IF($A255="","",$A254-$E$1)</f>
        <v/>
      </c>
      <c r="AL254" s="182" t="str">
        <f aca="false">IF($A255="","",SPRDOPT(P254,X254,AI254,0,AB254,AE254,AF254,AK254,$AJ$2,0))</f>
        <v/>
      </c>
      <c r="AM254" s="211" t="str">
        <f aca="false">IF($A255="","",MAX(0,O254-W254-AI254))</f>
        <v/>
      </c>
      <c r="AN254" s="211" t="str">
        <f aca="false">IF($A255="","",AL254-AM254)</f>
        <v/>
      </c>
      <c r="AO254" s="137" t="str">
        <f aca="false">IF(A255="","",A255-A254)</f>
        <v/>
      </c>
      <c r="AP254" s="212" t="str">
        <f aca="false">IF(A255="","",CHOOSE(F$3,A255+24,A254))</f>
        <v/>
      </c>
      <c r="AQ254" s="209" t="str">
        <f aca="false">IF(A255="","",AP254-$E$1)</f>
        <v/>
      </c>
      <c r="AR254" s="185" t="n">
        <f aca="false">'ANR OK vs ML7'!AR254</f>
        <v>0.1</v>
      </c>
      <c r="AS254" s="213" t="str">
        <f aca="false">IF(A255="","",1/(1+CHOOSE(F$3,(AR255+($I$3/10000))/2,(AR254+($I$3/10000))/2))^(2*AQ254/365.25))</f>
        <v/>
      </c>
      <c r="AT254" s="137" t="str">
        <f aca="false">IF(A255="","",IF(AND(mthbeg&lt;=A254,mthend&gt;=A254),1,0))</f>
        <v/>
      </c>
      <c r="AU254" s="137" t="str">
        <f aca="false">IF(A255="","",AO254*AT254)</f>
        <v/>
      </c>
      <c r="AW254" s="195" t="str">
        <f aca="false">IF($A255="","",AL254*$E254)</f>
        <v/>
      </c>
      <c r="AX254" s="195" t="str">
        <f aca="false">IF($A255="","",AM254*$E254)</f>
        <v/>
      </c>
      <c r="AY254" s="195" t="str">
        <f aca="false">IF($A255="","",AN254*$E254)</f>
        <v/>
      </c>
      <c r="BA254" s="195" t="str">
        <f aca="false">IF($A255="","",F254*Summary!$Q$9)</f>
        <v/>
      </c>
    </row>
    <row r="255" customFormat="false" ht="12" hidden="false" customHeight="true" outlineLevel="0" collapsed="false">
      <c r="A255" s="196" t="str">
        <f aca="false">IF(A254&lt;mthend,EDATE(A254,1),"")</f>
        <v/>
      </c>
      <c r="B255" s="197" t="str">
        <f aca="false">IF(A255&lt;mthend,B254,"")</f>
        <v/>
      </c>
      <c r="C255" s="215"/>
      <c r="D255" s="197" t="str">
        <f aca="false">IF(A256&lt;&gt;"",B255+C255,"")</f>
        <v/>
      </c>
      <c r="E255" s="199" t="str">
        <f aca="false">IF(A256="","",IF(AND(AT255=1,$H$3=1),D255*AO255,IF($H$3=2,D255,"N/A")))</f>
        <v/>
      </c>
      <c r="F255" s="199" t="str">
        <f aca="false">IF(A256="","",E255*AS255)</f>
        <v/>
      </c>
      <c r="G255" s="200" t="str">
        <f aca="false">IF($A256="","",VLOOKUP($A255,Table,MATCH(G$4,Curves,0)))</f>
        <v/>
      </c>
      <c r="H255" s="201" t="str">
        <f aca="false">IF(A256="","",G255)</f>
        <v/>
      </c>
      <c r="I255" s="202"/>
      <c r="J255" s="200" t="str">
        <f aca="false">IF($A256="","",VLOOKUP($A255,Table,MATCH(J$4,Curves,0)))</f>
        <v/>
      </c>
      <c r="K255" s="201" t="str">
        <f aca="false">IF(A256="","",J255)</f>
        <v/>
      </c>
      <c r="L255" s="200" t="str">
        <f aca="false">IF($A256="","",VLOOKUP($A255,Table,MATCH(L$4,Curves,0)))</f>
        <v/>
      </c>
      <c r="M255" s="201" t="str">
        <f aca="false">IF(A256="","",L255)</f>
        <v/>
      </c>
      <c r="N255" s="203"/>
      <c r="O255" s="200" t="str">
        <f aca="false">IF(A256="","",L255+J255+G255)</f>
        <v/>
      </c>
      <c r="P255" s="200" t="str">
        <f aca="false">IF(A256="","",M255+K255+H255)</f>
        <v/>
      </c>
      <c r="Q255" s="204"/>
      <c r="R255" s="200" t="str">
        <f aca="false">IF($A256="","",VLOOKUP($A255,Table,MATCH(R$4,Curves,0)))</f>
        <v/>
      </c>
      <c r="S255" s="201" t="str">
        <f aca="false">IF(A256="","",R255)</f>
        <v/>
      </c>
      <c r="T255" s="200" t="str">
        <f aca="false">IF($A256="","",VLOOKUP($A255,Table,MATCH(T$4,Curves,0)))</f>
        <v/>
      </c>
      <c r="U255" s="201" t="str">
        <f aca="false">IF(A256="","",T255)</f>
        <v/>
      </c>
      <c r="V255" s="225" t="str">
        <f aca="false">IF($A256="","",IF(AND(MONTH(A255)&gt;3,MONTH(A255)&lt;11),(T255+R255+G255)*Summary!$T$9/(1-Summary!$T$9),(T255+R255+G255)*Summary!$U$9/(1-Summary!$U$9)))</f>
        <v/>
      </c>
      <c r="W255" s="200" t="str">
        <f aca="false">IF($A256="","",(T255+R255+G255+V255))</f>
        <v/>
      </c>
      <c r="X255" s="200" t="str">
        <f aca="false">IF($A256="","",(U255+S255+H255+V255))</f>
        <v/>
      </c>
      <c r="Y255" s="202"/>
      <c r="Z255" s="185" t="str">
        <f aca="false">IF($A256="","",VLOOKUP($A255,Table,MATCH(Z$4,Curves,0)))</f>
        <v/>
      </c>
      <c r="AA255" s="185" t="str">
        <f aca="false">IF($A256="","",VLOOKUP($A255,Table,MATCH(AA$4,Curves,0)))</f>
        <v/>
      </c>
      <c r="AB255" s="185" t="e">
        <f aca="false">SQRT((AA255^2*(A255-$D$3)+Z255^2*(DAY(EOMONTH(A255,0))/2))/AK255)</f>
        <v>#VALUE!</v>
      </c>
      <c r="AC255" s="185" t="str">
        <f aca="false">IF($A256="","",VLOOKUP($A255,Table,MATCH(AC$4,Curves,0)))</f>
        <v/>
      </c>
      <c r="AD255" s="185" t="str">
        <f aca="false">IF($A256="","",VLOOKUP($A255,Table,MATCH(AD$4,Curves,0)))</f>
        <v/>
      </c>
      <c r="AE255" s="185" t="e">
        <f aca="false">SQRT((AD255^2*(A255-$D$3)+AC255^2*(DAY(EOMONTH(A255,0))/2))/AK255)</f>
        <v>#VALUE!</v>
      </c>
      <c r="AF255" s="224" t="e">
        <f aca="false">((Summary!$N$9*(AA255*AD255)*(A255-$D$3))+(Summary!$M$9*Z255*AC255*(AJ255-EOMONTH(EDATE(A255,-1),0))))/(AK255*AB255*AE255)</f>
        <v>#VALUE!</v>
      </c>
      <c r="AG255" s="207" t="str">
        <f aca="false">IF($A256="","",Summary!$Q$9)</f>
        <v/>
      </c>
      <c r="AH255" s="207" t="str">
        <f aca="false">IF($A256="","",IF(Summary!$R$9="Y",VLOOKUP($A255,Summary!$AD$6:$AF$9,3)+'Escalating commodity'!E268,'Escalating commodity'!E268))</f>
        <v/>
      </c>
      <c r="AI255" s="207" t="str">
        <f aca="false">IF($A256="","",AH255)</f>
        <v/>
      </c>
      <c r="AJ255" s="208" t="e">
        <f aca="false">A255+DAY(EOMONTH(A255,0))/2-1</f>
        <v>#VALUE!</v>
      </c>
      <c r="AK255" s="209" t="str">
        <f aca="false">IF($A256="","",$A255-$E$1)</f>
        <v/>
      </c>
      <c r="AL255" s="182" t="str">
        <f aca="false">IF($A256="","",SPRDOPT(P255,X255,AI255,0,AB255,AE255,AF255,AK255,$AJ$2,0))</f>
        <v/>
      </c>
      <c r="AM255" s="211" t="str">
        <f aca="false">IF($A256="","",MAX(0,O255-W255-AI255))</f>
        <v/>
      </c>
      <c r="AN255" s="211" t="str">
        <f aca="false">IF($A256="","",AL255-AM255)</f>
        <v/>
      </c>
      <c r="AO255" s="137" t="str">
        <f aca="false">IF(A256="","",A256-A255)</f>
        <v/>
      </c>
      <c r="AP255" s="212" t="str">
        <f aca="false">IF(A256="","",CHOOSE(F$3,A256+24,A255))</f>
        <v/>
      </c>
      <c r="AQ255" s="209" t="str">
        <f aca="false">IF(A256="","",AP255-$E$1)</f>
        <v/>
      </c>
      <c r="AR255" s="185" t="n">
        <f aca="false">'ANR OK vs ML7'!AR255</f>
        <v>0.1</v>
      </c>
      <c r="AS255" s="213" t="str">
        <f aca="false">IF(A256="","",1/(1+CHOOSE(F$3,(AR256+($I$3/10000))/2,(AR255+($I$3/10000))/2))^(2*AQ255/365.25))</f>
        <v/>
      </c>
      <c r="AT255" s="137" t="str">
        <f aca="false">IF(A256="","",IF(AND(mthbeg&lt;=A255,mthend&gt;=A255),1,0))</f>
        <v/>
      </c>
      <c r="AU255" s="137" t="str">
        <f aca="false">IF(A256="","",AO255*AT255)</f>
        <v/>
      </c>
      <c r="AW255" s="195" t="str">
        <f aca="false">IF($A256="","",AL255*$E255)</f>
        <v/>
      </c>
      <c r="AX255" s="195" t="str">
        <f aca="false">IF($A256="","",AM255*$E255)</f>
        <v/>
      </c>
      <c r="AY255" s="195" t="str">
        <f aca="false">IF($A256="","",AN255*$E255)</f>
        <v/>
      </c>
      <c r="BA255" s="195" t="str">
        <f aca="false">IF($A256="","",F255*Summary!$Q$9)</f>
        <v/>
      </c>
    </row>
    <row r="256" customFormat="false" ht="12" hidden="false" customHeight="true" outlineLevel="0" collapsed="false">
      <c r="A256" s="196" t="str">
        <f aca="false">IF(A255&lt;mthend,EDATE(A255,1),"")</f>
        <v/>
      </c>
      <c r="B256" s="197" t="str">
        <f aca="false">IF(A256&lt;mthend,B255,"")</f>
        <v/>
      </c>
      <c r="C256" s="215"/>
      <c r="D256" s="197" t="str">
        <f aca="false">IF(A257&lt;&gt;"",B256+C256,"")</f>
        <v/>
      </c>
      <c r="E256" s="199" t="str">
        <f aca="false">IF(A257="","",IF(AND(AT256=1,$H$3=1),D256*AO256,IF($H$3=2,D256,"N/A")))</f>
        <v/>
      </c>
      <c r="F256" s="199" t="str">
        <f aca="false">IF(A257="","",E256*AS256)</f>
        <v/>
      </c>
      <c r="G256" s="200" t="str">
        <f aca="false">IF($A257="","",VLOOKUP($A256,Table,MATCH(G$4,Curves,0)))</f>
        <v/>
      </c>
      <c r="H256" s="201" t="str">
        <f aca="false">IF(A257="","",G256)</f>
        <v/>
      </c>
      <c r="I256" s="202"/>
      <c r="J256" s="200" t="str">
        <f aca="false">IF($A257="","",VLOOKUP($A256,Table,MATCH(J$4,Curves,0)))</f>
        <v/>
      </c>
      <c r="K256" s="201" t="str">
        <f aca="false">IF(A257="","",J256)</f>
        <v/>
      </c>
      <c r="L256" s="200" t="str">
        <f aca="false">IF($A257="","",VLOOKUP($A256,Table,MATCH(L$4,Curves,0)))</f>
        <v/>
      </c>
      <c r="M256" s="201" t="str">
        <f aca="false">IF(A257="","",L256)</f>
        <v/>
      </c>
      <c r="N256" s="203"/>
      <c r="O256" s="200" t="str">
        <f aca="false">IF(A257="","",L256+J256+G256)</f>
        <v/>
      </c>
      <c r="P256" s="200" t="str">
        <f aca="false">IF(A257="","",M256+K256+H256)</f>
        <v/>
      </c>
      <c r="Q256" s="204"/>
      <c r="R256" s="200" t="str">
        <f aca="false">IF($A257="","",VLOOKUP($A256,Table,MATCH(R$4,Curves,0)))</f>
        <v/>
      </c>
      <c r="S256" s="201" t="str">
        <f aca="false">IF(A257="","",R256)</f>
        <v/>
      </c>
      <c r="T256" s="200" t="str">
        <f aca="false">IF($A257="","",VLOOKUP($A256,Table,MATCH(T$4,Curves,0)))</f>
        <v/>
      </c>
      <c r="U256" s="201" t="str">
        <f aca="false">IF(A257="","",T256)</f>
        <v/>
      </c>
      <c r="V256" s="225" t="str">
        <f aca="false">IF($A257="","",IF(AND(MONTH(A256)&gt;3,MONTH(A256)&lt;11),(T256+R256+G256)*Summary!$T$9/(1-Summary!$T$9),(T256+R256+G256)*Summary!$U$9/(1-Summary!$U$9)))</f>
        <v/>
      </c>
      <c r="W256" s="200" t="str">
        <f aca="false">IF($A257="","",(T256+R256+G256+V256))</f>
        <v/>
      </c>
      <c r="X256" s="200" t="str">
        <f aca="false">IF($A257="","",(U256+S256+H256+V256))</f>
        <v/>
      </c>
      <c r="Y256" s="202"/>
      <c r="Z256" s="185" t="str">
        <f aca="false">IF($A257="","",VLOOKUP($A256,Table,MATCH(Z$4,Curves,0)))</f>
        <v/>
      </c>
      <c r="AA256" s="185" t="str">
        <f aca="false">IF($A257="","",VLOOKUP($A256,Table,MATCH(AA$4,Curves,0)))</f>
        <v/>
      </c>
      <c r="AB256" s="185" t="e">
        <f aca="false">SQRT((AA256^2*(A256-$D$3)+Z256^2*(DAY(EOMONTH(A256,0))/2))/AK256)</f>
        <v>#VALUE!</v>
      </c>
      <c r="AC256" s="185" t="str">
        <f aca="false">IF($A257="","",VLOOKUP($A256,Table,MATCH(AC$4,Curves,0)))</f>
        <v/>
      </c>
      <c r="AD256" s="185" t="str">
        <f aca="false">IF($A257="","",VLOOKUP($A256,Table,MATCH(AD$4,Curves,0)))</f>
        <v/>
      </c>
      <c r="AE256" s="185" t="e">
        <f aca="false">SQRT((AD256^2*(A256-$D$3)+AC256^2*(DAY(EOMONTH(A256,0))/2))/AK256)</f>
        <v>#VALUE!</v>
      </c>
      <c r="AF256" s="224" t="e">
        <f aca="false">((Summary!$N$9*(AA256*AD256)*(A256-$D$3))+(Summary!$M$9*Z256*AC256*(AJ256-EOMONTH(EDATE(A256,-1),0))))/(AK256*AB256*AE256)</f>
        <v>#VALUE!</v>
      </c>
      <c r="AG256" s="207" t="str">
        <f aca="false">IF($A257="","",Summary!$Q$9)</f>
        <v/>
      </c>
      <c r="AH256" s="207" t="str">
        <f aca="false">IF($A257="","",IF(Summary!$R$9="Y",VLOOKUP($A256,Summary!$AD$6:$AF$9,3)+'Escalating commodity'!E269,'Escalating commodity'!E269))</f>
        <v/>
      </c>
      <c r="AI256" s="207" t="str">
        <f aca="false">IF($A257="","",AH256)</f>
        <v/>
      </c>
      <c r="AJ256" s="208" t="e">
        <f aca="false">A256+DAY(EOMONTH(A256,0))/2-1</f>
        <v>#VALUE!</v>
      </c>
      <c r="AK256" s="209" t="str">
        <f aca="false">IF($A257="","",$A256-$E$1)</f>
        <v/>
      </c>
      <c r="AL256" s="182" t="str">
        <f aca="false">IF($A257="","",SPRDOPT(P256,X256,AI256,0,AB256,AE256,AF256,AK256,$AJ$2,0))</f>
        <v/>
      </c>
      <c r="AM256" s="211" t="str">
        <f aca="false">IF($A257="","",MAX(0,O256-W256-AI256))</f>
        <v/>
      </c>
      <c r="AN256" s="211" t="str">
        <f aca="false">IF($A257="","",AL256-AM256)</f>
        <v/>
      </c>
      <c r="AO256" s="137" t="str">
        <f aca="false">IF(A257="","",A257-A256)</f>
        <v/>
      </c>
      <c r="AP256" s="212" t="str">
        <f aca="false">IF(A257="","",CHOOSE(F$3,A257+24,A256))</f>
        <v/>
      </c>
      <c r="AQ256" s="209" t="str">
        <f aca="false">IF(A257="","",AP256-$E$1)</f>
        <v/>
      </c>
      <c r="AR256" s="185" t="n">
        <f aca="false">'ANR OK vs ML7'!AR256</f>
        <v>0.1</v>
      </c>
      <c r="AS256" s="213" t="str">
        <f aca="false">IF(A257="","",1/(1+CHOOSE(F$3,(AR257+($I$3/10000))/2,(AR256+($I$3/10000))/2))^(2*AQ256/365.25))</f>
        <v/>
      </c>
      <c r="AT256" s="137" t="str">
        <f aca="false">IF(A257="","",IF(AND(mthbeg&lt;=A256,mthend&gt;=A256),1,0))</f>
        <v/>
      </c>
      <c r="AU256" s="137" t="str">
        <f aca="false">IF(A257="","",AO256*AT256)</f>
        <v/>
      </c>
      <c r="AW256" s="195" t="str">
        <f aca="false">IF($A257="","",AL256*$E256)</f>
        <v/>
      </c>
      <c r="AX256" s="195" t="str">
        <f aca="false">IF($A257="","",AM256*$E256)</f>
        <v/>
      </c>
      <c r="AY256" s="195" t="str">
        <f aca="false">IF($A257="","",AN256*$E256)</f>
        <v/>
      </c>
      <c r="BA256" s="195" t="str">
        <f aca="false">IF($A257="","",F256*Summary!$Q$9)</f>
        <v/>
      </c>
    </row>
    <row r="257" customFormat="false" ht="12" hidden="false" customHeight="true" outlineLevel="0" collapsed="false">
      <c r="A257" s="196" t="str">
        <f aca="false">IF(A256&lt;mthend,EDATE(A256,1),"")</f>
        <v/>
      </c>
      <c r="B257" s="197" t="str">
        <f aca="false">IF(A257&lt;mthend,B256,"")</f>
        <v/>
      </c>
      <c r="C257" s="215"/>
      <c r="D257" s="197" t="str">
        <f aca="false">IF(A258&lt;&gt;"",B257+C257,"")</f>
        <v/>
      </c>
      <c r="E257" s="199" t="str">
        <f aca="false">IF(A258="","",IF(AND(AT257=1,$H$3=1),D257*AO257,IF($H$3=2,D257,"N/A")))</f>
        <v/>
      </c>
      <c r="F257" s="199" t="str">
        <f aca="false">IF(A258="","",E257*AS257)</f>
        <v/>
      </c>
      <c r="G257" s="200" t="str">
        <f aca="false">IF($A258="","",VLOOKUP($A257,Table,MATCH(G$4,Curves,0)))</f>
        <v/>
      </c>
      <c r="H257" s="201" t="str">
        <f aca="false">IF(A258="","",G257)</f>
        <v/>
      </c>
      <c r="I257" s="202"/>
      <c r="J257" s="200" t="str">
        <f aca="false">IF($A258="","",VLOOKUP($A257,Table,MATCH(J$4,Curves,0)))</f>
        <v/>
      </c>
      <c r="K257" s="201" t="str">
        <f aca="false">IF(A258="","",J257)</f>
        <v/>
      </c>
      <c r="L257" s="200" t="str">
        <f aca="false">IF($A258="","",VLOOKUP($A257,Table,MATCH(L$4,Curves,0)))</f>
        <v/>
      </c>
      <c r="M257" s="201" t="str">
        <f aca="false">IF(A258="","",L257)</f>
        <v/>
      </c>
      <c r="N257" s="203"/>
      <c r="O257" s="200" t="str">
        <f aca="false">IF(A258="","",L257+J257+G257)</f>
        <v/>
      </c>
      <c r="P257" s="200" t="str">
        <f aca="false">IF(A258="","",M257+K257+H257)</f>
        <v/>
      </c>
      <c r="Q257" s="204"/>
      <c r="R257" s="200" t="str">
        <f aca="false">IF($A258="","",VLOOKUP($A257,Table,MATCH(R$4,Curves,0)))</f>
        <v/>
      </c>
      <c r="S257" s="201" t="str">
        <f aca="false">IF(A258="","",R257)</f>
        <v/>
      </c>
      <c r="T257" s="200" t="str">
        <f aca="false">IF($A258="","",VLOOKUP($A257,Table,MATCH(T$4,Curves,0)))</f>
        <v/>
      </c>
      <c r="U257" s="201" t="str">
        <f aca="false">IF(A258="","",T257)</f>
        <v/>
      </c>
      <c r="V257" s="225" t="str">
        <f aca="false">IF($A258="","",IF(AND(MONTH(A257)&gt;3,MONTH(A257)&lt;11),(T257+R257+G257)*Summary!$T$9/(1-Summary!$T$9),(T257+R257+G257)*Summary!$U$9/(1-Summary!$U$9)))</f>
        <v/>
      </c>
      <c r="W257" s="200" t="str">
        <f aca="false">IF($A258="","",(T257+R257+G257+V257))</f>
        <v/>
      </c>
      <c r="X257" s="200" t="str">
        <f aca="false">IF($A258="","",(U257+S257+H257+V257))</f>
        <v/>
      </c>
      <c r="Y257" s="202"/>
      <c r="Z257" s="185" t="str">
        <f aca="false">IF($A258="","",VLOOKUP($A257,Table,MATCH(Z$4,Curves,0)))</f>
        <v/>
      </c>
      <c r="AA257" s="185" t="str">
        <f aca="false">IF($A258="","",VLOOKUP($A257,Table,MATCH(AA$4,Curves,0)))</f>
        <v/>
      </c>
      <c r="AB257" s="185" t="e">
        <f aca="false">SQRT((AA257^2*(A257-$D$3)+Z257^2*(DAY(EOMONTH(A257,0))/2))/AK257)</f>
        <v>#VALUE!</v>
      </c>
      <c r="AC257" s="185" t="str">
        <f aca="false">IF($A258="","",VLOOKUP($A257,Table,MATCH(AC$4,Curves,0)))</f>
        <v/>
      </c>
      <c r="AD257" s="185" t="str">
        <f aca="false">IF($A258="","",VLOOKUP($A257,Table,MATCH(AD$4,Curves,0)))</f>
        <v/>
      </c>
      <c r="AE257" s="185" t="e">
        <f aca="false">SQRT((AD257^2*(A257-$D$3)+AC257^2*(DAY(EOMONTH(A257,0))/2))/AK257)</f>
        <v>#VALUE!</v>
      </c>
      <c r="AF257" s="224" t="e">
        <f aca="false">((Summary!$N$9*(AA257*AD257)*(A257-$D$3))+(Summary!$M$9*Z257*AC257*(AJ257-EOMONTH(EDATE(A257,-1),0))))/(AK257*AB257*AE257)</f>
        <v>#VALUE!</v>
      </c>
      <c r="AG257" s="207" t="str">
        <f aca="false">IF($A258="","",Summary!$Q$9)</f>
        <v/>
      </c>
      <c r="AH257" s="207" t="str">
        <f aca="false">IF($A258="","",IF(Summary!$R$9="Y",VLOOKUP($A257,Summary!$AD$6:$AF$9,3)+'Escalating commodity'!E270,'Escalating commodity'!E270))</f>
        <v/>
      </c>
      <c r="AI257" s="207" t="str">
        <f aca="false">IF($A258="","",AH257)</f>
        <v/>
      </c>
      <c r="AJ257" s="208" t="e">
        <f aca="false">A257+DAY(EOMONTH(A257,0))/2-1</f>
        <v>#VALUE!</v>
      </c>
      <c r="AK257" s="209" t="str">
        <f aca="false">IF($A258="","",$A257-$E$1)</f>
        <v/>
      </c>
      <c r="AL257" s="182" t="str">
        <f aca="false">IF($A258="","",SPRDOPT(P257,X257,AI257,0,AB257,AE257,AF257,AK257,$AJ$2,0))</f>
        <v/>
      </c>
      <c r="AM257" s="211" t="str">
        <f aca="false">IF($A258="","",MAX(0,O257-W257-AI257))</f>
        <v/>
      </c>
      <c r="AN257" s="211" t="str">
        <f aca="false">IF($A258="","",AL257-AM257)</f>
        <v/>
      </c>
      <c r="AO257" s="137" t="str">
        <f aca="false">IF(A258="","",A258-A257)</f>
        <v/>
      </c>
      <c r="AP257" s="212" t="str">
        <f aca="false">IF(A258="","",CHOOSE(F$3,A258+24,A257))</f>
        <v/>
      </c>
      <c r="AQ257" s="209" t="str">
        <f aca="false">IF(A258="","",AP257-$E$1)</f>
        <v/>
      </c>
      <c r="AR257" s="185" t="n">
        <f aca="false">'ANR OK vs ML7'!AR257</f>
        <v>0.1</v>
      </c>
      <c r="AS257" s="213" t="str">
        <f aca="false">IF(A258="","",1/(1+CHOOSE(F$3,(AR258+($I$3/10000))/2,(AR257+($I$3/10000))/2))^(2*AQ257/365.25))</f>
        <v/>
      </c>
      <c r="AT257" s="137" t="str">
        <f aca="false">IF(A258="","",IF(AND(mthbeg&lt;=A257,mthend&gt;=A257),1,0))</f>
        <v/>
      </c>
      <c r="AU257" s="137" t="str">
        <f aca="false">IF(A258="","",AO257*AT257)</f>
        <v/>
      </c>
      <c r="AW257" s="195" t="str">
        <f aca="false">IF($A258="","",AL257*$E257)</f>
        <v/>
      </c>
      <c r="AX257" s="195" t="str">
        <f aca="false">IF($A258="","",AM257*$E257)</f>
        <v/>
      </c>
      <c r="AY257" s="195" t="str">
        <f aca="false">IF($A258="","",AN257*$E257)</f>
        <v/>
      </c>
      <c r="BA257" s="195" t="str">
        <f aca="false">IF($A258="","",F257*Summary!$Q$9)</f>
        <v/>
      </c>
    </row>
    <row r="258" customFormat="false" ht="12" hidden="false" customHeight="true" outlineLevel="0" collapsed="false">
      <c r="A258" s="196" t="str">
        <f aca="false">IF(A257&lt;mthend,EDATE(A257,1),"")</f>
        <v/>
      </c>
      <c r="B258" s="197" t="str">
        <f aca="false">IF(A258&lt;mthend,B257,"")</f>
        <v/>
      </c>
      <c r="C258" s="215"/>
      <c r="D258" s="197" t="str">
        <f aca="false">IF(A259&lt;&gt;"",B258+C258,"")</f>
        <v/>
      </c>
      <c r="E258" s="199" t="str">
        <f aca="false">IF(A259="","",IF(AND(AT258=1,$H$3=1),D258*AO258,IF($H$3=2,D258,"N/A")))</f>
        <v/>
      </c>
      <c r="F258" s="199" t="str">
        <f aca="false">IF(A259="","",E258*AS258)</f>
        <v/>
      </c>
      <c r="G258" s="200" t="str">
        <f aca="false">IF($A259="","",VLOOKUP($A258,Table,MATCH(G$4,Curves,0)))</f>
        <v/>
      </c>
      <c r="H258" s="201" t="str">
        <f aca="false">IF(A259="","",G258)</f>
        <v/>
      </c>
      <c r="I258" s="202"/>
      <c r="J258" s="200" t="str">
        <f aca="false">IF($A259="","",VLOOKUP($A258,Table,MATCH(J$4,Curves,0)))</f>
        <v/>
      </c>
      <c r="K258" s="201" t="str">
        <f aca="false">IF(A259="","",J258)</f>
        <v/>
      </c>
      <c r="L258" s="200" t="str">
        <f aca="false">IF($A259="","",VLOOKUP($A258,Table,MATCH(L$4,Curves,0)))</f>
        <v/>
      </c>
      <c r="M258" s="201" t="str">
        <f aca="false">IF(A259="","",L258)</f>
        <v/>
      </c>
      <c r="N258" s="203"/>
      <c r="O258" s="200" t="str">
        <f aca="false">IF(A259="","",L258+J258+G258)</f>
        <v/>
      </c>
      <c r="P258" s="200" t="str">
        <f aca="false">IF(A259="","",M258+K258+H258)</f>
        <v/>
      </c>
      <c r="Q258" s="204"/>
      <c r="R258" s="200" t="str">
        <f aca="false">IF($A259="","",VLOOKUP($A258,Table,MATCH(R$4,Curves,0)))</f>
        <v/>
      </c>
      <c r="S258" s="201" t="str">
        <f aca="false">IF(A259="","",R258)</f>
        <v/>
      </c>
      <c r="T258" s="200" t="str">
        <f aca="false">IF($A259="","",VLOOKUP($A258,Table,MATCH(T$4,Curves,0)))</f>
        <v/>
      </c>
      <c r="U258" s="201" t="str">
        <f aca="false">IF(A259="","",T258)</f>
        <v/>
      </c>
      <c r="V258" s="225" t="str">
        <f aca="false">IF($A259="","",IF(AND(MONTH(A258)&gt;3,MONTH(A258)&lt;11),(T258+R258+G258)*Summary!$T$9/(1-Summary!$T$9),(T258+R258+G258)*Summary!$U$9/(1-Summary!$U$9)))</f>
        <v/>
      </c>
      <c r="W258" s="200" t="str">
        <f aca="false">IF($A259="","",(T258+R258+G258+V258))</f>
        <v/>
      </c>
      <c r="X258" s="200" t="str">
        <f aca="false">IF($A259="","",(U258+S258+H258+V258))</f>
        <v/>
      </c>
      <c r="Y258" s="202"/>
      <c r="Z258" s="185" t="str">
        <f aca="false">IF($A259="","",VLOOKUP($A258,Table,MATCH(Z$4,Curves,0)))</f>
        <v/>
      </c>
      <c r="AA258" s="185" t="str">
        <f aca="false">IF($A259="","",VLOOKUP($A258,Table,MATCH(AA$4,Curves,0)))</f>
        <v/>
      </c>
      <c r="AB258" s="185" t="e">
        <f aca="false">SQRT((AA258^2*(A258-$D$3)+Z258^2*(DAY(EOMONTH(A258,0))/2))/AK258)</f>
        <v>#VALUE!</v>
      </c>
      <c r="AC258" s="185" t="str">
        <f aca="false">IF($A259="","",VLOOKUP($A258,Table,MATCH(AC$4,Curves,0)))</f>
        <v/>
      </c>
      <c r="AD258" s="185" t="str">
        <f aca="false">IF($A259="","",VLOOKUP($A258,Table,MATCH(AD$4,Curves,0)))</f>
        <v/>
      </c>
      <c r="AE258" s="185" t="e">
        <f aca="false">SQRT((AD258^2*(A258-$D$3)+AC258^2*(DAY(EOMONTH(A258,0))/2))/AK258)</f>
        <v>#VALUE!</v>
      </c>
      <c r="AF258" s="224" t="e">
        <f aca="false">((Summary!$N$9*(AA258*AD258)*(A258-$D$3))+(Summary!$M$9*Z258*AC258*(AJ258-EOMONTH(EDATE(A258,-1),0))))/(AK258*AB258*AE258)</f>
        <v>#VALUE!</v>
      </c>
      <c r="AG258" s="207" t="str">
        <f aca="false">IF($A259="","",Summary!$Q$9)</f>
        <v/>
      </c>
      <c r="AH258" s="207" t="str">
        <f aca="false">IF($A259="","",IF(Summary!$R$9="Y",VLOOKUP($A258,Summary!$AD$6:$AF$9,3)+'Escalating commodity'!E271,'Escalating commodity'!E271))</f>
        <v/>
      </c>
      <c r="AI258" s="207" t="str">
        <f aca="false">IF($A259="","",AH258)</f>
        <v/>
      </c>
      <c r="AJ258" s="208" t="e">
        <f aca="false">A258+DAY(EOMONTH(A258,0))/2-1</f>
        <v>#VALUE!</v>
      </c>
      <c r="AK258" s="209" t="str">
        <f aca="false">IF($A259="","",$A258-$E$1)</f>
        <v/>
      </c>
      <c r="AL258" s="182" t="str">
        <f aca="false">IF($A259="","",SPRDOPT(P258,X258,AI258,0,AB258,AE258,AF258,AK258,$AJ$2,0))</f>
        <v/>
      </c>
      <c r="AM258" s="211" t="str">
        <f aca="false">IF($A259="","",MAX(0,O258-W258-AI258))</f>
        <v/>
      </c>
      <c r="AN258" s="211" t="str">
        <f aca="false">IF($A259="","",AL258-AM258)</f>
        <v/>
      </c>
      <c r="AO258" s="137" t="str">
        <f aca="false">IF(A259="","",A259-A258)</f>
        <v/>
      </c>
      <c r="AP258" s="212" t="str">
        <f aca="false">IF(A259="","",CHOOSE(F$3,A259+24,A258))</f>
        <v/>
      </c>
      <c r="AQ258" s="209" t="str">
        <f aca="false">IF(A259="","",AP258-$E$1)</f>
        <v/>
      </c>
      <c r="AR258" s="185" t="n">
        <f aca="false">'ANR OK vs ML7'!AR258</f>
        <v>0.1</v>
      </c>
      <c r="AS258" s="213" t="str">
        <f aca="false">IF(A259="","",1/(1+CHOOSE(F$3,(AR259+($I$3/10000))/2,(AR258+($I$3/10000))/2))^(2*AQ258/365.25))</f>
        <v/>
      </c>
      <c r="AT258" s="137" t="str">
        <f aca="false">IF(A259="","",IF(AND(mthbeg&lt;=A258,mthend&gt;=A258),1,0))</f>
        <v/>
      </c>
      <c r="AU258" s="137" t="str">
        <f aca="false">IF(A259="","",AO258*AT258)</f>
        <v/>
      </c>
      <c r="AW258" s="195" t="str">
        <f aca="false">IF($A259="","",AL258*$E258)</f>
        <v/>
      </c>
      <c r="AX258" s="195" t="str">
        <f aca="false">IF($A259="","",AM258*$E258)</f>
        <v/>
      </c>
      <c r="AY258" s="195" t="str">
        <f aca="false">IF($A259="","",AN258*$E258)</f>
        <v/>
      </c>
      <c r="BA258" s="195" t="str">
        <f aca="false">IF($A259="","",F258*Summary!$Q$9)</f>
        <v/>
      </c>
    </row>
    <row r="259" customFormat="false" ht="12" hidden="false" customHeight="true" outlineLevel="0" collapsed="false">
      <c r="A259" s="196" t="str">
        <f aca="false">IF(A258&lt;mthend,EDATE(A258,1),"")</f>
        <v/>
      </c>
      <c r="B259" s="197" t="str">
        <f aca="false">IF(A259&lt;mthend,B258,"")</f>
        <v/>
      </c>
      <c r="C259" s="215"/>
      <c r="D259" s="197" t="str">
        <f aca="false">IF(A260&lt;&gt;"",B259+C259,"")</f>
        <v/>
      </c>
      <c r="E259" s="199" t="str">
        <f aca="false">IF(A260="","",IF(AND(AT259=1,$H$3=1),D259*AO259,IF($H$3=2,D259,"N/A")))</f>
        <v/>
      </c>
      <c r="F259" s="199" t="str">
        <f aca="false">IF(A260="","",E259*AS259)</f>
        <v/>
      </c>
      <c r="G259" s="200" t="str">
        <f aca="false">IF($A260="","",VLOOKUP($A259,Table,MATCH(G$4,Curves,0)))</f>
        <v/>
      </c>
      <c r="H259" s="201" t="str">
        <f aca="false">IF(A260="","",G259)</f>
        <v/>
      </c>
      <c r="I259" s="202"/>
      <c r="J259" s="200" t="str">
        <f aca="false">IF($A260="","",VLOOKUP($A259,Table,MATCH(J$4,Curves,0)))</f>
        <v/>
      </c>
      <c r="K259" s="201" t="str">
        <f aca="false">IF(A260="","",J259)</f>
        <v/>
      </c>
      <c r="L259" s="200" t="str">
        <f aca="false">IF($A260="","",VLOOKUP($A259,Table,MATCH(L$4,Curves,0)))</f>
        <v/>
      </c>
      <c r="M259" s="201" t="str">
        <f aca="false">IF(A260="","",L259)</f>
        <v/>
      </c>
      <c r="N259" s="203"/>
      <c r="O259" s="200" t="str">
        <f aca="false">IF(A260="","",L259+J259+G259)</f>
        <v/>
      </c>
      <c r="P259" s="200" t="str">
        <f aca="false">IF(A260="","",M259+K259+H259)</f>
        <v/>
      </c>
      <c r="Q259" s="204"/>
      <c r="R259" s="200" t="str">
        <f aca="false">IF($A260="","",VLOOKUP($A259,Table,MATCH(R$4,Curves,0)))</f>
        <v/>
      </c>
      <c r="S259" s="201" t="str">
        <f aca="false">IF(A260="","",R259)</f>
        <v/>
      </c>
      <c r="T259" s="200" t="str">
        <f aca="false">IF($A260="","",VLOOKUP($A259,Table,MATCH(T$4,Curves,0)))</f>
        <v/>
      </c>
      <c r="U259" s="201" t="str">
        <f aca="false">IF(A260="","",T259)</f>
        <v/>
      </c>
      <c r="V259" s="225" t="str">
        <f aca="false">IF($A260="","",IF(AND(MONTH(A259)&gt;3,MONTH(A259)&lt;11),(T259+R259+G259)*Summary!$T$9/(1-Summary!$T$9),(T259+R259+G259)*Summary!$U$9/(1-Summary!$U$9)))</f>
        <v/>
      </c>
      <c r="W259" s="200" t="str">
        <f aca="false">IF($A260="","",(T259+R259+G259+V259))</f>
        <v/>
      </c>
      <c r="X259" s="200" t="str">
        <f aca="false">IF($A260="","",(U259+S259+H259+V259))</f>
        <v/>
      </c>
      <c r="Y259" s="202"/>
      <c r="Z259" s="185" t="str">
        <f aca="false">IF($A260="","",VLOOKUP($A259,Table,MATCH(Z$4,Curves,0)))</f>
        <v/>
      </c>
      <c r="AA259" s="185" t="str">
        <f aca="false">IF($A260="","",VLOOKUP($A259,Table,MATCH(AA$4,Curves,0)))</f>
        <v/>
      </c>
      <c r="AB259" s="185" t="e">
        <f aca="false">SQRT((AA259^2*(A259-$D$3)+Z259^2*(DAY(EOMONTH(A259,0))/2))/AK259)</f>
        <v>#VALUE!</v>
      </c>
      <c r="AC259" s="185" t="str">
        <f aca="false">IF($A260="","",VLOOKUP($A259,Table,MATCH(AC$4,Curves,0)))</f>
        <v/>
      </c>
      <c r="AD259" s="185" t="str">
        <f aca="false">IF($A260="","",VLOOKUP($A259,Table,MATCH(AD$4,Curves,0)))</f>
        <v/>
      </c>
      <c r="AE259" s="185" t="e">
        <f aca="false">SQRT((AD259^2*(A259-$D$3)+AC259^2*(DAY(EOMONTH(A259,0))/2))/AK259)</f>
        <v>#VALUE!</v>
      </c>
      <c r="AF259" s="224" t="e">
        <f aca="false">((Summary!$N$9*(AA259*AD259)*(A259-$D$3))+(Summary!$M$9*Z259*AC259*(AJ259-EOMONTH(EDATE(A259,-1),0))))/(AK259*AB259*AE259)</f>
        <v>#VALUE!</v>
      </c>
      <c r="AG259" s="207" t="str">
        <f aca="false">IF($A260="","",Summary!$Q$9)</f>
        <v/>
      </c>
      <c r="AH259" s="207" t="str">
        <f aca="false">IF($A260="","",IF(Summary!$R$9="Y",VLOOKUP($A259,Summary!$AD$6:$AF$9,3)+'Escalating commodity'!E272,'Escalating commodity'!E272))</f>
        <v/>
      </c>
      <c r="AI259" s="207" t="str">
        <f aca="false">IF($A260="","",AH259)</f>
        <v/>
      </c>
      <c r="AJ259" s="208" t="e">
        <f aca="false">A259+DAY(EOMONTH(A259,0))/2-1</f>
        <v>#VALUE!</v>
      </c>
      <c r="AK259" s="209" t="str">
        <f aca="false">IF($A260="","",$A259-$E$1)</f>
        <v/>
      </c>
      <c r="AL259" s="182" t="str">
        <f aca="false">IF($A260="","",SPRDOPT(P259,X259,AI259,0,AB259,AE259,AF259,AK259,$AJ$2,0))</f>
        <v/>
      </c>
      <c r="AM259" s="211" t="str">
        <f aca="false">IF($A260="","",MAX(0,O259-W259-AI259))</f>
        <v/>
      </c>
      <c r="AN259" s="211" t="str">
        <f aca="false">IF($A260="","",AL259-AM259)</f>
        <v/>
      </c>
      <c r="AO259" s="137" t="str">
        <f aca="false">IF(A260="","",A260-A259)</f>
        <v/>
      </c>
      <c r="AP259" s="212" t="str">
        <f aca="false">IF(A260="","",CHOOSE(F$3,A260+24,A259))</f>
        <v/>
      </c>
      <c r="AQ259" s="209" t="str">
        <f aca="false">IF(A260="","",AP259-$E$1)</f>
        <v/>
      </c>
      <c r="AR259" s="185" t="n">
        <f aca="false">'ANR OK vs ML7'!AR259</f>
        <v>0.1</v>
      </c>
      <c r="AS259" s="213" t="str">
        <f aca="false">IF(A260="","",1/(1+CHOOSE(F$3,(AR260+($I$3/10000))/2,(AR259+($I$3/10000))/2))^(2*AQ259/365.25))</f>
        <v/>
      </c>
      <c r="AT259" s="137" t="str">
        <f aca="false">IF(A260="","",IF(AND(mthbeg&lt;=A259,mthend&gt;=A259),1,0))</f>
        <v/>
      </c>
      <c r="AU259" s="137" t="str">
        <f aca="false">IF(A260="","",AO259*AT259)</f>
        <v/>
      </c>
      <c r="AW259" s="195" t="str">
        <f aca="false">IF($A260="","",AL259*$E259)</f>
        <v/>
      </c>
      <c r="AX259" s="195" t="str">
        <f aca="false">IF($A260="","",AM259*$E259)</f>
        <v/>
      </c>
      <c r="AY259" s="195" t="str">
        <f aca="false">IF($A260="","",AN259*$E259)</f>
        <v/>
      </c>
      <c r="BA259" s="195" t="str">
        <f aca="false">IF($A260="","",F259*Summary!$Q$9)</f>
        <v/>
      </c>
    </row>
    <row r="260" customFormat="false" ht="12" hidden="false" customHeight="true" outlineLevel="0" collapsed="false">
      <c r="A260" s="196" t="str">
        <f aca="false">IF(A259&lt;mthend,EDATE(A259,1),"")</f>
        <v/>
      </c>
      <c r="B260" s="197" t="str">
        <f aca="false">IF(A260&lt;mthend,B259,"")</f>
        <v/>
      </c>
      <c r="C260" s="215"/>
      <c r="D260" s="197" t="str">
        <f aca="false">IF(A261&lt;&gt;"",B260+C260,"")</f>
        <v/>
      </c>
      <c r="E260" s="199" t="str">
        <f aca="false">IF(A261="","",IF(AND(AT260=1,$H$3=1),D260*AO260,IF($H$3=2,D260,"N/A")))</f>
        <v/>
      </c>
      <c r="F260" s="199" t="str">
        <f aca="false">IF(A261="","",E260*AS260)</f>
        <v/>
      </c>
      <c r="G260" s="200" t="str">
        <f aca="false">IF($A261="","",VLOOKUP($A260,Table,MATCH(G$4,Curves,0)))</f>
        <v/>
      </c>
      <c r="H260" s="201" t="str">
        <f aca="false">IF(A261="","",G260)</f>
        <v/>
      </c>
      <c r="I260" s="202"/>
      <c r="J260" s="200" t="str">
        <f aca="false">IF($A261="","",VLOOKUP($A260,Table,MATCH(J$4,Curves,0)))</f>
        <v/>
      </c>
      <c r="K260" s="201" t="str">
        <f aca="false">IF(A261="","",J260)</f>
        <v/>
      </c>
      <c r="L260" s="200" t="str">
        <f aca="false">IF($A261="","",VLOOKUP($A260,Table,MATCH(L$4,Curves,0)))</f>
        <v/>
      </c>
      <c r="M260" s="201" t="str">
        <f aca="false">IF(A261="","",L260)</f>
        <v/>
      </c>
      <c r="N260" s="203"/>
      <c r="O260" s="200" t="str">
        <f aca="false">IF(A261="","",L260+J260+G260)</f>
        <v/>
      </c>
      <c r="P260" s="200" t="str">
        <f aca="false">IF(A261="","",M260+K260+H260)</f>
        <v/>
      </c>
      <c r="Q260" s="204"/>
      <c r="R260" s="200" t="str">
        <f aca="false">IF($A261="","",VLOOKUP($A260,Table,MATCH(R$4,Curves,0)))</f>
        <v/>
      </c>
      <c r="S260" s="201" t="str">
        <f aca="false">IF(A261="","",R260)</f>
        <v/>
      </c>
      <c r="T260" s="200" t="str">
        <f aca="false">IF($A261="","",VLOOKUP($A260,Table,MATCH(T$4,Curves,0)))</f>
        <v/>
      </c>
      <c r="U260" s="201" t="str">
        <f aca="false">IF(A261="","",T260)</f>
        <v/>
      </c>
      <c r="V260" s="225" t="str">
        <f aca="false">IF($A261="","",IF(AND(MONTH(A260)&gt;3,MONTH(A260)&lt;11),(T260+R260+G260)*Summary!$T$9/(1-Summary!$T$9),(T260+R260+G260)*Summary!$U$9/(1-Summary!$U$9)))</f>
        <v/>
      </c>
      <c r="W260" s="200" t="str">
        <f aca="false">IF($A261="","",(T260+R260+G260+V260))</f>
        <v/>
      </c>
      <c r="X260" s="200" t="str">
        <f aca="false">IF($A261="","",(U260+S260+H260+V260))</f>
        <v/>
      </c>
      <c r="Y260" s="202"/>
      <c r="Z260" s="185" t="str">
        <f aca="false">IF($A261="","",VLOOKUP($A260,Table,MATCH(Z$4,Curves,0)))</f>
        <v/>
      </c>
      <c r="AA260" s="185" t="str">
        <f aca="false">IF($A261="","",VLOOKUP($A260,Table,MATCH(AA$4,Curves,0)))</f>
        <v/>
      </c>
      <c r="AB260" s="185" t="e">
        <f aca="false">SQRT((AA260^2*(A260-$D$3)+Z260^2*(DAY(EOMONTH(A260,0))/2))/AK260)</f>
        <v>#VALUE!</v>
      </c>
      <c r="AC260" s="185" t="str">
        <f aca="false">IF($A261="","",VLOOKUP($A260,Table,MATCH(AC$4,Curves,0)))</f>
        <v/>
      </c>
      <c r="AD260" s="185" t="str">
        <f aca="false">IF($A261="","",VLOOKUP($A260,Table,MATCH(AD$4,Curves,0)))</f>
        <v/>
      </c>
      <c r="AE260" s="185" t="e">
        <f aca="false">SQRT((AD260^2*(A260-$D$3)+AC260^2*(DAY(EOMONTH(A260,0))/2))/AK260)</f>
        <v>#VALUE!</v>
      </c>
      <c r="AF260" s="224" t="e">
        <f aca="false">((Summary!$N$9*(AA260*AD260)*(A260-$D$3))+(Summary!$M$9*Z260*AC260*(AJ260-EOMONTH(EDATE(A260,-1),0))))/(AK260*AB260*AE260)</f>
        <v>#VALUE!</v>
      </c>
      <c r="AG260" s="207" t="str">
        <f aca="false">IF($A261="","",Summary!$Q$9)</f>
        <v/>
      </c>
      <c r="AH260" s="207" t="str">
        <f aca="false">IF($A261="","",IF(Summary!$R$9="Y",VLOOKUP($A260,Summary!$AD$6:$AF$9,3)+'Escalating commodity'!E273,'Escalating commodity'!E273))</f>
        <v/>
      </c>
      <c r="AI260" s="207" t="str">
        <f aca="false">IF($A261="","",AH260)</f>
        <v/>
      </c>
      <c r="AJ260" s="208" t="e">
        <f aca="false">A260+DAY(EOMONTH(A260,0))/2-1</f>
        <v>#VALUE!</v>
      </c>
      <c r="AK260" s="209" t="str">
        <f aca="false">IF($A261="","",$A260-$E$1)</f>
        <v/>
      </c>
      <c r="AL260" s="182" t="str">
        <f aca="false">IF($A261="","",SPRDOPT(P260,X260,AI260,0,AB260,AE260,AF260,AK260,$AJ$2,0))</f>
        <v/>
      </c>
      <c r="AM260" s="211" t="str">
        <f aca="false">IF($A261="","",MAX(0,O260-W260-AI260))</f>
        <v/>
      </c>
      <c r="AN260" s="211" t="str">
        <f aca="false">IF($A261="","",AL260-AM260)</f>
        <v/>
      </c>
      <c r="AO260" s="137" t="str">
        <f aca="false">IF(A261="","",A261-A260)</f>
        <v/>
      </c>
      <c r="AP260" s="212" t="str">
        <f aca="false">IF(A261="","",CHOOSE(F$3,A261+24,A260))</f>
        <v/>
      </c>
      <c r="AQ260" s="209" t="str">
        <f aca="false">IF(A261="","",AP260-$E$1)</f>
        <v/>
      </c>
      <c r="AR260" s="185" t="n">
        <f aca="false">'ANR OK vs ML7'!AR260</f>
        <v>0.1</v>
      </c>
      <c r="AS260" s="213" t="str">
        <f aca="false">IF(A261="","",1/(1+CHOOSE(F$3,(AR261+($I$3/10000))/2,(AR260+($I$3/10000))/2))^(2*AQ260/365.25))</f>
        <v/>
      </c>
      <c r="AT260" s="137" t="str">
        <f aca="false">IF(A261="","",IF(AND(mthbeg&lt;=A260,mthend&gt;=A260),1,0))</f>
        <v/>
      </c>
      <c r="AU260" s="137" t="str">
        <f aca="false">IF(A261="","",AO260*AT260)</f>
        <v/>
      </c>
      <c r="AW260" s="195" t="str">
        <f aca="false">IF($A261="","",AL260*$E260)</f>
        <v/>
      </c>
      <c r="AX260" s="195" t="str">
        <f aca="false">IF($A261="","",AM260*$E260)</f>
        <v/>
      </c>
      <c r="AY260" s="195" t="str">
        <f aca="false">IF($A261="","",AN260*$E260)</f>
        <v/>
      </c>
      <c r="BA260" s="195" t="str">
        <f aca="false">IF($A261="","",F260*Summary!$Q$9)</f>
        <v/>
      </c>
    </row>
    <row r="261" customFormat="false" ht="12" hidden="false" customHeight="true" outlineLevel="0" collapsed="false">
      <c r="A261" s="196" t="str">
        <f aca="false">IF(A260&lt;mthend,EDATE(A260,1),"")</f>
        <v/>
      </c>
      <c r="B261" s="197" t="str">
        <f aca="false">IF(A261&lt;mthend,B260,"")</f>
        <v/>
      </c>
      <c r="C261" s="215"/>
      <c r="D261" s="197" t="str">
        <f aca="false">IF(A262&lt;&gt;"",B261+C261,"")</f>
        <v/>
      </c>
      <c r="E261" s="199" t="str">
        <f aca="false">IF(A262="","",IF(AND(AT261=1,$H$3=1),D261*AO261,IF($H$3=2,D261,"N/A")))</f>
        <v/>
      </c>
      <c r="F261" s="199" t="str">
        <f aca="false">IF(A262="","",E261*AS261)</f>
        <v/>
      </c>
      <c r="G261" s="200" t="str">
        <f aca="false">IF($A262="","",VLOOKUP($A261,Table,MATCH(G$4,Curves,0)))</f>
        <v/>
      </c>
      <c r="H261" s="201" t="str">
        <f aca="false">IF(A262="","",G261)</f>
        <v/>
      </c>
      <c r="I261" s="202"/>
      <c r="J261" s="200" t="str">
        <f aca="false">IF($A262="","",VLOOKUP($A261,Table,MATCH(J$4,Curves,0)))</f>
        <v/>
      </c>
      <c r="K261" s="201" t="str">
        <f aca="false">IF(A262="","",J261)</f>
        <v/>
      </c>
      <c r="L261" s="200" t="str">
        <f aca="false">IF($A262="","",VLOOKUP($A261,Table,MATCH(L$4,Curves,0)))</f>
        <v/>
      </c>
      <c r="M261" s="201" t="str">
        <f aca="false">IF(A262="","",L261)</f>
        <v/>
      </c>
      <c r="N261" s="203"/>
      <c r="O261" s="200" t="str">
        <f aca="false">IF(A262="","",L261+J261+G261)</f>
        <v/>
      </c>
      <c r="P261" s="200" t="str">
        <f aca="false">IF(A262="","",M261+K261+H261)</f>
        <v/>
      </c>
      <c r="Q261" s="204"/>
      <c r="R261" s="200" t="str">
        <f aca="false">IF($A262="","",VLOOKUP($A261,Table,MATCH(R$4,Curves,0)))</f>
        <v/>
      </c>
      <c r="S261" s="201" t="str">
        <f aca="false">IF(A262="","",R261)</f>
        <v/>
      </c>
      <c r="T261" s="200" t="str">
        <f aca="false">IF($A262="","",VLOOKUP($A261,Table,MATCH(T$4,Curves,0)))</f>
        <v/>
      </c>
      <c r="U261" s="201" t="str">
        <f aca="false">IF(A262="","",T261)</f>
        <v/>
      </c>
      <c r="V261" s="225" t="str">
        <f aca="false">IF($A262="","",IF(AND(MONTH(A261)&gt;3,MONTH(A261)&lt;11),(T261+R261+G261)*Summary!$T$9/(1-Summary!$T$9),(T261+R261+G261)*Summary!$U$9/(1-Summary!$U$9)))</f>
        <v/>
      </c>
      <c r="W261" s="200" t="str">
        <f aca="false">IF($A262="","",(T261+R261+G261+V261))</f>
        <v/>
      </c>
      <c r="X261" s="200" t="str">
        <f aca="false">IF($A262="","",(U261+S261+H261+V261))</f>
        <v/>
      </c>
      <c r="Y261" s="202"/>
      <c r="Z261" s="185" t="str">
        <f aca="false">IF($A262="","",VLOOKUP($A261,Table,MATCH(Z$4,Curves,0)))</f>
        <v/>
      </c>
      <c r="AA261" s="185" t="str">
        <f aca="false">IF($A262="","",VLOOKUP($A261,Table,MATCH(AA$4,Curves,0)))</f>
        <v/>
      </c>
      <c r="AB261" s="185" t="e">
        <f aca="false">SQRT((AA261^2*(A261-$D$3)+Z261^2*(DAY(EOMONTH(A261,0))/2))/AK261)</f>
        <v>#VALUE!</v>
      </c>
      <c r="AC261" s="185" t="str">
        <f aca="false">IF($A262="","",VLOOKUP($A261,Table,MATCH(AC$4,Curves,0)))</f>
        <v/>
      </c>
      <c r="AD261" s="185" t="str">
        <f aca="false">IF($A262="","",VLOOKUP($A261,Table,MATCH(AD$4,Curves,0)))</f>
        <v/>
      </c>
      <c r="AE261" s="185" t="e">
        <f aca="false">SQRT((AD261^2*(A261-$D$3)+AC261^2*(DAY(EOMONTH(A261,0))/2))/AK261)</f>
        <v>#VALUE!</v>
      </c>
      <c r="AF261" s="224" t="e">
        <f aca="false">((Summary!$N$9*(AA261*AD261)*(A261-$D$3))+(Summary!$M$9*Z261*AC261*(AJ261-EOMONTH(EDATE(A261,-1),0))))/(AK261*AB261*AE261)</f>
        <v>#VALUE!</v>
      </c>
      <c r="AG261" s="207" t="str">
        <f aca="false">IF($A262="","",Summary!$Q$9)</f>
        <v/>
      </c>
      <c r="AH261" s="207" t="str">
        <f aca="false">IF($A262="","",IF(Summary!$R$9="Y",VLOOKUP($A261,Summary!$AD$6:$AF$9,3)+'Escalating commodity'!E274,'Escalating commodity'!E274))</f>
        <v/>
      </c>
      <c r="AI261" s="207" t="str">
        <f aca="false">IF($A262="","",AH261)</f>
        <v/>
      </c>
      <c r="AJ261" s="208" t="e">
        <f aca="false">A261+DAY(EOMONTH(A261,0))/2-1</f>
        <v>#VALUE!</v>
      </c>
      <c r="AK261" s="209" t="str">
        <f aca="false">IF($A262="","",$A261-$E$1)</f>
        <v/>
      </c>
      <c r="AL261" s="182" t="str">
        <f aca="false">IF($A262="","",SPRDOPT(P261,X261,AI261,0,AB261,AE261,AF261,AK261,$AJ$2,0))</f>
        <v/>
      </c>
      <c r="AM261" s="211" t="str">
        <f aca="false">IF($A262="","",MAX(0,O261-W261-AI261))</f>
        <v/>
      </c>
      <c r="AN261" s="211" t="str">
        <f aca="false">IF($A262="","",AL261-AM261)</f>
        <v/>
      </c>
      <c r="AO261" s="137" t="str">
        <f aca="false">IF(A262="","",A262-A261)</f>
        <v/>
      </c>
      <c r="AP261" s="212" t="str">
        <f aca="false">IF(A262="","",CHOOSE(F$3,A262+24,A261))</f>
        <v/>
      </c>
      <c r="AQ261" s="209" t="str">
        <f aca="false">IF(A262="","",AP261-$E$1)</f>
        <v/>
      </c>
      <c r="AR261" s="185" t="n">
        <f aca="false">'ANR OK vs ML7'!AR261</f>
        <v>0.1</v>
      </c>
      <c r="AS261" s="213" t="str">
        <f aca="false">IF(A262="","",1/(1+CHOOSE(F$3,(AR262+($I$3/10000))/2,(AR261+($I$3/10000))/2))^(2*AQ261/365.25))</f>
        <v/>
      </c>
      <c r="AT261" s="137" t="str">
        <f aca="false">IF(A262="","",IF(AND(mthbeg&lt;=A261,mthend&gt;=A261),1,0))</f>
        <v/>
      </c>
      <c r="AU261" s="137" t="str">
        <f aca="false">IF(A262="","",AO261*AT261)</f>
        <v/>
      </c>
      <c r="AW261" s="195" t="str">
        <f aca="false">IF($A262="","",AL261*$E261)</f>
        <v/>
      </c>
      <c r="AX261" s="195" t="str">
        <f aca="false">IF($A262="","",AM261*$E261)</f>
        <v/>
      </c>
      <c r="AY261" s="195" t="str">
        <f aca="false">IF($A262="","",AN261*$E261)</f>
        <v/>
      </c>
      <c r="BA261" s="195" t="str">
        <f aca="false">IF($A262="","",F261*Summary!$Q$9)</f>
        <v/>
      </c>
    </row>
    <row r="262" customFormat="false" ht="12" hidden="false" customHeight="true" outlineLevel="0" collapsed="false">
      <c r="A262" s="196" t="str">
        <f aca="false">IF(A261&lt;mthend,EDATE(A261,1),"")</f>
        <v/>
      </c>
      <c r="B262" s="197" t="str">
        <f aca="false">IF(A262&lt;mthend,B261,"")</f>
        <v/>
      </c>
      <c r="C262" s="215"/>
      <c r="D262" s="197" t="str">
        <f aca="false">IF(A263&lt;&gt;"",B262+C262,"")</f>
        <v/>
      </c>
      <c r="E262" s="199" t="str">
        <f aca="false">IF(A263="","",IF(AND(AT262=1,$H$3=1),D262*AO262,IF($H$3=2,D262,"N/A")))</f>
        <v/>
      </c>
      <c r="F262" s="199" t="str">
        <f aca="false">IF(A263="","",E262*AS262)</f>
        <v/>
      </c>
      <c r="G262" s="200" t="str">
        <f aca="false">IF($A263="","",VLOOKUP($A262,Table,MATCH(G$4,Curves,0)))</f>
        <v/>
      </c>
      <c r="H262" s="201" t="str">
        <f aca="false">IF(A263="","",G262)</f>
        <v/>
      </c>
      <c r="I262" s="202"/>
      <c r="J262" s="200" t="str">
        <f aca="false">IF($A263="","",VLOOKUP($A262,Table,MATCH(J$4,Curves,0)))</f>
        <v/>
      </c>
      <c r="K262" s="201" t="str">
        <f aca="false">IF(A263="","",J262)</f>
        <v/>
      </c>
      <c r="L262" s="200" t="str">
        <f aca="false">IF($A263="","",VLOOKUP($A262,Table,MATCH(L$4,Curves,0)))</f>
        <v/>
      </c>
      <c r="M262" s="201" t="str">
        <f aca="false">IF(A263="","",L262)</f>
        <v/>
      </c>
      <c r="N262" s="203"/>
      <c r="O262" s="200" t="str">
        <f aca="false">IF(A263="","",L262+J262+G262)</f>
        <v/>
      </c>
      <c r="P262" s="200" t="str">
        <f aca="false">IF(A263="","",M262+K262+H262)</f>
        <v/>
      </c>
      <c r="Q262" s="204"/>
      <c r="R262" s="200" t="str">
        <f aca="false">IF($A263="","",VLOOKUP($A262,Table,MATCH(R$4,Curves,0)))</f>
        <v/>
      </c>
      <c r="S262" s="201" t="str">
        <f aca="false">IF(A263="","",R262)</f>
        <v/>
      </c>
      <c r="T262" s="200" t="str">
        <f aca="false">IF($A263="","",VLOOKUP($A262,Table,MATCH(T$4,Curves,0)))</f>
        <v/>
      </c>
      <c r="U262" s="201" t="str">
        <f aca="false">IF(A263="","",T262)</f>
        <v/>
      </c>
      <c r="V262" s="225" t="str">
        <f aca="false">IF($A263="","",IF(AND(MONTH(A262)&gt;3,MONTH(A262)&lt;11),(T262+R262+G262)*Summary!$T$9/(1-Summary!$T$9),(T262+R262+G262)*Summary!$U$9/(1-Summary!$U$9)))</f>
        <v/>
      </c>
      <c r="W262" s="200" t="str">
        <f aca="false">IF($A263="","",(T262+R262+G262+V262))</f>
        <v/>
      </c>
      <c r="X262" s="200" t="str">
        <f aca="false">IF($A263="","",(U262+S262+H262+V262))</f>
        <v/>
      </c>
      <c r="Y262" s="202"/>
      <c r="Z262" s="185" t="str">
        <f aca="false">IF($A263="","",VLOOKUP($A262,Table,MATCH(Z$4,Curves,0)))</f>
        <v/>
      </c>
      <c r="AA262" s="185" t="str">
        <f aca="false">IF($A263="","",VLOOKUP($A262,Table,MATCH(AA$4,Curves,0)))</f>
        <v/>
      </c>
      <c r="AB262" s="185" t="e">
        <f aca="false">SQRT((AA262^2*(A262-$D$3)+Z262^2*(DAY(EOMONTH(A262,0))/2))/AK262)</f>
        <v>#VALUE!</v>
      </c>
      <c r="AC262" s="185" t="str">
        <f aca="false">IF($A263="","",VLOOKUP($A262,Table,MATCH(AC$4,Curves,0)))</f>
        <v/>
      </c>
      <c r="AD262" s="185" t="str">
        <f aca="false">IF($A263="","",VLOOKUP($A262,Table,MATCH(AD$4,Curves,0)))</f>
        <v/>
      </c>
      <c r="AE262" s="185" t="e">
        <f aca="false">SQRT((AD262^2*(A262-$D$3)+AC262^2*(DAY(EOMONTH(A262,0))/2))/AK262)</f>
        <v>#VALUE!</v>
      </c>
      <c r="AF262" s="224" t="e">
        <f aca="false">((Summary!$N$9*(AA262*AD262)*(A262-$D$3))+(Summary!$M$9*Z262*AC262*(AJ262-EOMONTH(EDATE(A262,-1),0))))/(AK262*AB262*AE262)</f>
        <v>#VALUE!</v>
      </c>
      <c r="AG262" s="207" t="str">
        <f aca="false">IF($A263="","",Summary!$Q$9)</f>
        <v/>
      </c>
      <c r="AH262" s="207" t="str">
        <f aca="false">IF($A263="","",IF(Summary!$R$9="Y",VLOOKUP($A262,Summary!$AD$6:$AF$9,3)+'Escalating commodity'!E275,'Escalating commodity'!E275))</f>
        <v/>
      </c>
      <c r="AI262" s="207" t="str">
        <f aca="false">IF($A263="","",AH262)</f>
        <v/>
      </c>
      <c r="AJ262" s="208" t="e">
        <f aca="false">A262+DAY(EOMONTH(A262,0))/2-1</f>
        <v>#VALUE!</v>
      </c>
      <c r="AK262" s="209" t="str">
        <f aca="false">IF($A263="","",$A262-$E$1)</f>
        <v/>
      </c>
      <c r="AL262" s="182" t="str">
        <f aca="false">IF($A263="","",SPRDOPT(P262,X262,AI262,0,AB262,AE262,AF262,AK262,$AJ$2,0))</f>
        <v/>
      </c>
      <c r="AM262" s="211" t="str">
        <f aca="false">IF($A263="","",MAX(0,O262-W262-AI262))</f>
        <v/>
      </c>
      <c r="AN262" s="211" t="str">
        <f aca="false">IF($A263="","",AL262-AM262)</f>
        <v/>
      </c>
      <c r="AO262" s="137" t="str">
        <f aca="false">IF(A263="","",A263-A262)</f>
        <v/>
      </c>
      <c r="AP262" s="212" t="str">
        <f aca="false">IF(A263="","",CHOOSE(F$3,A263+24,A262))</f>
        <v/>
      </c>
      <c r="AQ262" s="209" t="str">
        <f aca="false">IF(A263="","",AP262-$E$1)</f>
        <v/>
      </c>
      <c r="AR262" s="185" t="n">
        <f aca="false">'ANR OK vs ML7'!AR262</f>
        <v>0.1</v>
      </c>
      <c r="AS262" s="213" t="str">
        <f aca="false">IF(A263="","",1/(1+CHOOSE(F$3,(AR263+($I$3/10000))/2,(AR262+($I$3/10000))/2))^(2*AQ262/365.25))</f>
        <v/>
      </c>
      <c r="AT262" s="137" t="str">
        <f aca="false">IF(A263="","",IF(AND(mthbeg&lt;=A262,mthend&gt;=A262),1,0))</f>
        <v/>
      </c>
      <c r="AU262" s="137" t="str">
        <f aca="false">IF(A263="","",AO262*AT262)</f>
        <v/>
      </c>
      <c r="AW262" s="195" t="str">
        <f aca="false">IF($A263="","",AL262*$E262)</f>
        <v/>
      </c>
      <c r="AX262" s="195" t="str">
        <f aca="false">IF($A263="","",AM262*$E262)</f>
        <v/>
      </c>
      <c r="AY262" s="195" t="str">
        <f aca="false">IF($A263="","",AN262*$E262)</f>
        <v/>
      </c>
      <c r="BA262" s="195" t="str">
        <f aca="false">IF($A263="","",F262*Summary!$Q$9)</f>
        <v/>
      </c>
    </row>
    <row r="263" customFormat="false" ht="12" hidden="false" customHeight="true" outlineLevel="0" collapsed="false">
      <c r="A263" s="196" t="str">
        <f aca="false">IF(A262&lt;mthend,EDATE(A262,1),"")</f>
        <v/>
      </c>
      <c r="B263" s="197" t="str">
        <f aca="false">IF(A263&lt;mthend,B262,"")</f>
        <v/>
      </c>
      <c r="C263" s="215"/>
      <c r="D263" s="197" t="str">
        <f aca="false">IF(A264&lt;&gt;"",B263+C263,"")</f>
        <v/>
      </c>
      <c r="E263" s="199" t="str">
        <f aca="false">IF(A264="","",IF(AND(AT263=1,$H$3=1),D263*AO263,IF($H$3=2,D263,"N/A")))</f>
        <v/>
      </c>
      <c r="F263" s="199" t="str">
        <f aca="false">IF(A264="","",E263*AS263)</f>
        <v/>
      </c>
      <c r="G263" s="200" t="str">
        <f aca="false">IF($A264="","",VLOOKUP($A263,Table,MATCH(G$4,Curves,0)))</f>
        <v/>
      </c>
      <c r="H263" s="201" t="str">
        <f aca="false">IF(A264="","",G263)</f>
        <v/>
      </c>
      <c r="I263" s="202"/>
      <c r="J263" s="200" t="str">
        <f aca="false">IF($A264="","",VLOOKUP($A263,Table,MATCH(J$4,Curves,0)))</f>
        <v/>
      </c>
      <c r="K263" s="201" t="str">
        <f aca="false">IF(A264="","",J263)</f>
        <v/>
      </c>
      <c r="L263" s="200" t="str">
        <f aca="false">IF($A264="","",VLOOKUP($A263,Table,MATCH(L$4,Curves,0)))</f>
        <v/>
      </c>
      <c r="M263" s="201" t="str">
        <f aca="false">IF(A264="","",L263)</f>
        <v/>
      </c>
      <c r="N263" s="203"/>
      <c r="O263" s="200" t="str">
        <f aca="false">IF(A264="","",L263+J263+G263)</f>
        <v/>
      </c>
      <c r="P263" s="200" t="str">
        <f aca="false">IF(A264="","",M263+K263+H263)</f>
        <v/>
      </c>
      <c r="Q263" s="204"/>
      <c r="R263" s="200" t="str">
        <f aca="false">IF($A264="","",VLOOKUP($A263,Table,MATCH(R$4,Curves,0)))</f>
        <v/>
      </c>
      <c r="S263" s="201" t="str">
        <f aca="false">IF(A264="","",R263)</f>
        <v/>
      </c>
      <c r="T263" s="200" t="str">
        <f aca="false">IF($A264="","",VLOOKUP($A263,Table,MATCH(T$4,Curves,0)))</f>
        <v/>
      </c>
      <c r="U263" s="201" t="str">
        <f aca="false">IF(A264="","",T263)</f>
        <v/>
      </c>
      <c r="V263" s="225" t="str">
        <f aca="false">IF($A264="","",IF(AND(MONTH(A263)&gt;3,MONTH(A263)&lt;11),(T263+R263+G263)*Summary!$T$9/(1-Summary!$T$9),(T263+R263+G263)*Summary!$U$9/(1-Summary!$U$9)))</f>
        <v/>
      </c>
      <c r="W263" s="200" t="str">
        <f aca="false">IF($A264="","",(T263+R263+G263+V263))</f>
        <v/>
      </c>
      <c r="X263" s="200" t="str">
        <f aca="false">IF($A264="","",(U263+S263+H263+V263))</f>
        <v/>
      </c>
      <c r="Y263" s="202"/>
      <c r="Z263" s="185" t="str">
        <f aca="false">IF($A264="","",VLOOKUP($A263,Table,MATCH(Z$4,Curves,0)))</f>
        <v/>
      </c>
      <c r="AA263" s="185" t="str">
        <f aca="false">IF($A264="","",VLOOKUP($A263,Table,MATCH(AA$4,Curves,0)))</f>
        <v/>
      </c>
      <c r="AB263" s="185" t="e">
        <f aca="false">SQRT((AA263^2*(A263-$D$3)+Z263^2*(DAY(EOMONTH(A263,0))/2))/AK263)</f>
        <v>#VALUE!</v>
      </c>
      <c r="AC263" s="185" t="str">
        <f aca="false">IF($A264="","",VLOOKUP($A263,Table,MATCH(AC$4,Curves,0)))</f>
        <v/>
      </c>
      <c r="AD263" s="185" t="str">
        <f aca="false">IF($A264="","",VLOOKUP($A263,Table,MATCH(AD$4,Curves,0)))</f>
        <v/>
      </c>
      <c r="AE263" s="185" t="e">
        <f aca="false">SQRT((AD263^2*(A263-$D$3)+AC263^2*(DAY(EOMONTH(A263,0))/2))/AK263)</f>
        <v>#VALUE!</v>
      </c>
      <c r="AF263" s="224" t="e">
        <f aca="false">((Summary!$N$9*(AA263*AD263)*(A263-$D$3))+(Summary!$M$9*Z263*AC263*(AJ263-EOMONTH(EDATE(A263,-1),0))))/(AK263*AB263*AE263)</f>
        <v>#VALUE!</v>
      </c>
      <c r="AG263" s="207" t="str">
        <f aca="false">IF($A264="","",Summary!$Q$9)</f>
        <v/>
      </c>
      <c r="AH263" s="207" t="str">
        <f aca="false">IF($A264="","",IF(Summary!$R$9="Y",VLOOKUP($A263,Summary!$AD$6:$AF$9,3)+'Escalating commodity'!E276,'Escalating commodity'!E276))</f>
        <v/>
      </c>
      <c r="AI263" s="207" t="str">
        <f aca="false">IF($A264="","",AH263)</f>
        <v/>
      </c>
      <c r="AJ263" s="208" t="e">
        <f aca="false">A263+DAY(EOMONTH(A263,0))/2-1</f>
        <v>#VALUE!</v>
      </c>
      <c r="AK263" s="209" t="str">
        <f aca="false">IF($A264="","",$A263-$E$1)</f>
        <v/>
      </c>
      <c r="AL263" s="182" t="str">
        <f aca="false">IF($A264="","",SPRDOPT(P263,X263,AI263,0,AB263,AE263,AF263,AK263,$AJ$2,0))</f>
        <v/>
      </c>
      <c r="AM263" s="211" t="str">
        <f aca="false">IF($A264="","",MAX(0,O263-W263-AI263))</f>
        <v/>
      </c>
      <c r="AN263" s="211" t="str">
        <f aca="false">IF($A264="","",AL263-AM263)</f>
        <v/>
      </c>
      <c r="AO263" s="137" t="str">
        <f aca="false">IF(A264="","",A264-A263)</f>
        <v/>
      </c>
      <c r="AP263" s="212" t="str">
        <f aca="false">IF(A264="","",CHOOSE(F$3,A264+24,A263))</f>
        <v/>
      </c>
      <c r="AQ263" s="209" t="str">
        <f aca="false">IF(A264="","",AP263-$E$1)</f>
        <v/>
      </c>
      <c r="AR263" s="185" t="n">
        <f aca="false">'ANR OK vs ML7'!AR263</f>
        <v>0.1</v>
      </c>
      <c r="AS263" s="213" t="str">
        <f aca="false">IF(A264="","",1/(1+CHOOSE(F$3,(AR264+($I$3/10000))/2,(AR263+($I$3/10000))/2))^(2*AQ263/365.25))</f>
        <v/>
      </c>
      <c r="AT263" s="137" t="str">
        <f aca="false">IF(A264="","",IF(AND(mthbeg&lt;=A263,mthend&gt;=A263),1,0))</f>
        <v/>
      </c>
      <c r="AU263" s="137" t="str">
        <f aca="false">IF(A264="","",AO263*AT263)</f>
        <v/>
      </c>
      <c r="AW263" s="195" t="str">
        <f aca="false">IF($A264="","",AL263*$E263)</f>
        <v/>
      </c>
      <c r="AX263" s="195" t="str">
        <f aca="false">IF($A264="","",AM263*$E263)</f>
        <v/>
      </c>
      <c r="AY263" s="195" t="str">
        <f aca="false">IF($A264="","",AN263*$E263)</f>
        <v/>
      </c>
      <c r="BA263" s="195" t="str">
        <f aca="false">IF($A264="","",F263*Summary!$Q$9)</f>
        <v/>
      </c>
    </row>
    <row r="264" customFormat="false" ht="12" hidden="false" customHeight="true" outlineLevel="0" collapsed="false">
      <c r="A264" s="196" t="str">
        <f aca="false">IF(A263&lt;mthend,EDATE(A263,1),"")</f>
        <v/>
      </c>
      <c r="B264" s="197" t="str">
        <f aca="false">IF(A264&lt;mthend,B263,"")</f>
        <v/>
      </c>
      <c r="C264" s="215"/>
      <c r="D264" s="197" t="str">
        <f aca="false">IF(A265&lt;&gt;"",B264+C264,"")</f>
        <v/>
      </c>
      <c r="E264" s="199" t="str">
        <f aca="false">IF(A265="","",IF(AND(AT264=1,$H$3=1),D264*AO264,IF($H$3=2,D264,"N/A")))</f>
        <v/>
      </c>
      <c r="F264" s="199" t="str">
        <f aca="false">IF(A265="","",E264*AS264)</f>
        <v/>
      </c>
      <c r="G264" s="200" t="str">
        <f aca="false">IF($A265="","",VLOOKUP($A264,Table,MATCH(G$4,Curves,0)))</f>
        <v/>
      </c>
      <c r="H264" s="201" t="str">
        <f aca="false">IF(A265="","",G264)</f>
        <v/>
      </c>
      <c r="I264" s="202"/>
      <c r="J264" s="200" t="str">
        <f aca="false">IF($A265="","",VLOOKUP($A264,Table,MATCH(J$4,Curves,0)))</f>
        <v/>
      </c>
      <c r="K264" s="201" t="str">
        <f aca="false">IF(A265="","",J264)</f>
        <v/>
      </c>
      <c r="L264" s="200" t="str">
        <f aca="false">IF($A265="","",VLOOKUP($A264,Table,MATCH(L$4,Curves,0)))</f>
        <v/>
      </c>
      <c r="M264" s="201" t="str">
        <f aca="false">IF(A265="","",L264)</f>
        <v/>
      </c>
      <c r="N264" s="203"/>
      <c r="O264" s="200" t="str">
        <f aca="false">IF(A265="","",L264+J264+G264)</f>
        <v/>
      </c>
      <c r="P264" s="200" t="str">
        <f aca="false">IF(A265="","",M264+K264+H264)</f>
        <v/>
      </c>
      <c r="Q264" s="204"/>
      <c r="R264" s="200" t="str">
        <f aca="false">IF($A265="","",VLOOKUP($A264,Table,MATCH(R$4,Curves,0)))</f>
        <v/>
      </c>
      <c r="S264" s="201" t="str">
        <f aca="false">IF(A265="","",R264)</f>
        <v/>
      </c>
      <c r="T264" s="200" t="str">
        <f aca="false">IF($A265="","",VLOOKUP($A264,Table,MATCH(T$4,Curves,0)))</f>
        <v/>
      </c>
      <c r="U264" s="201" t="str">
        <f aca="false">IF(A265="","",T264)</f>
        <v/>
      </c>
      <c r="V264" s="225" t="str">
        <f aca="false">IF($A265="","",IF(AND(MONTH(A264)&gt;3,MONTH(A264)&lt;11),(T264+R264+G264)*Summary!$T$9/(1-Summary!$T$9),(T264+R264+G264)*Summary!$U$9/(1-Summary!$U$9)))</f>
        <v/>
      </c>
      <c r="W264" s="200" t="str">
        <f aca="false">IF($A265="","",(T264+R264+G264+V264))</f>
        <v/>
      </c>
      <c r="X264" s="200" t="str">
        <f aca="false">IF($A265="","",(U264+S264+H264+V264))</f>
        <v/>
      </c>
      <c r="Y264" s="202"/>
      <c r="Z264" s="185" t="str">
        <f aca="false">IF($A265="","",VLOOKUP($A264,Table,MATCH(Z$4,Curves,0)))</f>
        <v/>
      </c>
      <c r="AA264" s="185" t="str">
        <f aca="false">IF($A265="","",VLOOKUP($A264,Table,MATCH(AA$4,Curves,0)))</f>
        <v/>
      </c>
      <c r="AB264" s="185" t="e">
        <f aca="false">SQRT((AA264^2*(A264-$D$3)+Z264^2*(DAY(EOMONTH(A264,0))/2))/AK264)</f>
        <v>#VALUE!</v>
      </c>
      <c r="AC264" s="185" t="str">
        <f aca="false">IF($A265="","",VLOOKUP($A264,Table,MATCH(AC$4,Curves,0)))</f>
        <v/>
      </c>
      <c r="AD264" s="185" t="str">
        <f aca="false">IF($A265="","",VLOOKUP($A264,Table,MATCH(AD$4,Curves,0)))</f>
        <v/>
      </c>
      <c r="AE264" s="185" t="e">
        <f aca="false">SQRT((AD264^2*(A264-$D$3)+AC264^2*(DAY(EOMONTH(A264,0))/2))/AK264)</f>
        <v>#VALUE!</v>
      </c>
      <c r="AF264" s="224" t="e">
        <f aca="false">((Summary!$N$9*(AA264*AD264)*(A264-$D$3))+(Summary!$M$9*Z264*AC264*(AJ264-EOMONTH(EDATE(A264,-1),0))))/(AK264*AB264*AE264)</f>
        <v>#VALUE!</v>
      </c>
      <c r="AG264" s="207" t="str">
        <f aca="false">IF($A265="","",Summary!$Q$9)</f>
        <v/>
      </c>
      <c r="AH264" s="207" t="str">
        <f aca="false">IF($A265="","",IF(Summary!$R$9="Y",VLOOKUP($A264,Summary!$AD$6:$AF$9,3)+'Escalating commodity'!E277,'Escalating commodity'!E277))</f>
        <v/>
      </c>
      <c r="AI264" s="207" t="str">
        <f aca="false">IF($A265="","",AH264)</f>
        <v/>
      </c>
      <c r="AJ264" s="208" t="e">
        <f aca="false">A264+DAY(EOMONTH(A264,0))/2-1</f>
        <v>#VALUE!</v>
      </c>
      <c r="AK264" s="209" t="str">
        <f aca="false">IF($A265="","",$A264-$E$1)</f>
        <v/>
      </c>
      <c r="AL264" s="182" t="str">
        <f aca="false">IF($A265="","",SPRDOPT(P264,X264,AI264,0,AB264,AE264,AF264,AK264,$AJ$2,0))</f>
        <v/>
      </c>
      <c r="AM264" s="211" t="str">
        <f aca="false">IF($A265="","",MAX(0,O264-W264-AI264))</f>
        <v/>
      </c>
      <c r="AN264" s="211" t="str">
        <f aca="false">IF($A265="","",AL264-AM264)</f>
        <v/>
      </c>
      <c r="AO264" s="137" t="str">
        <f aca="false">IF(A265="","",A265-A264)</f>
        <v/>
      </c>
      <c r="AP264" s="212" t="str">
        <f aca="false">IF(A265="","",CHOOSE(F$3,A265+24,A264))</f>
        <v/>
      </c>
      <c r="AQ264" s="209" t="str">
        <f aca="false">IF(A265="","",AP264-$E$1)</f>
        <v/>
      </c>
      <c r="AR264" s="185" t="n">
        <f aca="false">'ANR OK vs ML7'!AR264</f>
        <v>0.1</v>
      </c>
      <c r="AS264" s="213" t="str">
        <f aca="false">IF(A265="","",1/(1+CHOOSE(F$3,(AR265+($I$3/10000))/2,(AR264+($I$3/10000))/2))^(2*AQ264/365.25))</f>
        <v/>
      </c>
      <c r="AT264" s="137" t="str">
        <f aca="false">IF(A265="","",IF(AND(mthbeg&lt;=A264,mthend&gt;=A264),1,0))</f>
        <v/>
      </c>
      <c r="AU264" s="137" t="str">
        <f aca="false">IF(A265="","",AO264*AT264)</f>
        <v/>
      </c>
      <c r="AW264" s="195" t="str">
        <f aca="false">IF($A265="","",AL264*$E264)</f>
        <v/>
      </c>
      <c r="AX264" s="195" t="str">
        <f aca="false">IF($A265="","",AM264*$E264)</f>
        <v/>
      </c>
      <c r="AY264" s="195" t="str">
        <f aca="false">IF($A265="","",AN264*$E264)</f>
        <v/>
      </c>
      <c r="BA264" s="195" t="str">
        <f aca="false">IF($A265="","",F264*Summary!$Q$9)</f>
        <v/>
      </c>
    </row>
    <row r="265" customFormat="false" ht="12" hidden="false" customHeight="true" outlineLevel="0" collapsed="false">
      <c r="A265" s="196" t="str">
        <f aca="false">IF(A264&lt;mthend,EDATE(A264,1),"")</f>
        <v/>
      </c>
      <c r="B265" s="197" t="str">
        <f aca="false">IF(A265&lt;mthend,B264,"")</f>
        <v/>
      </c>
      <c r="C265" s="215"/>
      <c r="D265" s="197" t="str">
        <f aca="false">IF(A266&lt;&gt;"",B265+C265,"")</f>
        <v/>
      </c>
      <c r="E265" s="199" t="str">
        <f aca="false">IF(A266="","",IF(AND(AT265=1,$H$3=1),D265*AO265,IF($H$3=2,D265,"N/A")))</f>
        <v/>
      </c>
      <c r="F265" s="199" t="str">
        <f aca="false">IF(A266="","",E265*AS265)</f>
        <v/>
      </c>
      <c r="G265" s="200" t="str">
        <f aca="false">IF($A266="","",VLOOKUP($A265,Table,MATCH(G$4,Curves,0)))</f>
        <v/>
      </c>
      <c r="H265" s="201" t="str">
        <f aca="false">IF(A266="","",G265)</f>
        <v/>
      </c>
      <c r="I265" s="202"/>
      <c r="J265" s="200" t="str">
        <f aca="false">IF($A266="","",VLOOKUP($A265,Table,MATCH(J$4,Curves,0)))</f>
        <v/>
      </c>
      <c r="K265" s="201" t="str">
        <f aca="false">IF(A266="","",J265)</f>
        <v/>
      </c>
      <c r="L265" s="200" t="str">
        <f aca="false">IF($A266="","",VLOOKUP($A265,Table,MATCH(L$4,Curves,0)))</f>
        <v/>
      </c>
      <c r="M265" s="201" t="str">
        <f aca="false">IF(A266="","",L265)</f>
        <v/>
      </c>
      <c r="N265" s="203"/>
      <c r="O265" s="200" t="str">
        <f aca="false">IF(A266="","",L265+J265+G265)</f>
        <v/>
      </c>
      <c r="P265" s="200" t="str">
        <f aca="false">IF(A266="","",M265+K265+H265)</f>
        <v/>
      </c>
      <c r="Q265" s="204"/>
      <c r="R265" s="200" t="str">
        <f aca="false">IF($A266="","",VLOOKUP($A265,Table,MATCH(R$4,Curves,0)))</f>
        <v/>
      </c>
      <c r="S265" s="201" t="str">
        <f aca="false">IF(A266="","",R265)</f>
        <v/>
      </c>
      <c r="T265" s="200" t="str">
        <f aca="false">IF($A266="","",VLOOKUP($A265,Table,MATCH(T$4,Curves,0)))</f>
        <v/>
      </c>
      <c r="U265" s="201" t="str">
        <f aca="false">IF(A266="","",T265)</f>
        <v/>
      </c>
      <c r="V265" s="225" t="str">
        <f aca="false">IF($A266="","",IF(AND(MONTH(A265)&gt;3,MONTH(A265)&lt;11),(T265+R265+G265)*Summary!$T$9/(1-Summary!$T$9),(T265+R265+G265)*Summary!$U$9/(1-Summary!$U$9)))</f>
        <v/>
      </c>
      <c r="W265" s="200" t="str">
        <f aca="false">IF($A266="","",(T265+R265+G265+V265))</f>
        <v/>
      </c>
      <c r="X265" s="200" t="str">
        <f aca="false">IF($A266="","",(U265+S265+H265+V265))</f>
        <v/>
      </c>
      <c r="Y265" s="202"/>
      <c r="Z265" s="185" t="str">
        <f aca="false">IF($A266="","",VLOOKUP($A265,Table,MATCH(Z$4,Curves,0)))</f>
        <v/>
      </c>
      <c r="AA265" s="185" t="str">
        <f aca="false">IF($A266="","",VLOOKUP($A265,Table,MATCH(AA$4,Curves,0)))</f>
        <v/>
      </c>
      <c r="AB265" s="185" t="e">
        <f aca="false">SQRT((AA265^2*(A265-$D$3)+Z265^2*(DAY(EOMONTH(A265,0))/2))/AK265)</f>
        <v>#VALUE!</v>
      </c>
      <c r="AC265" s="185" t="str">
        <f aca="false">IF($A266="","",VLOOKUP($A265,Table,MATCH(AC$4,Curves,0)))</f>
        <v/>
      </c>
      <c r="AD265" s="185" t="str">
        <f aca="false">IF($A266="","",VLOOKUP($A265,Table,MATCH(AD$4,Curves,0)))</f>
        <v/>
      </c>
      <c r="AE265" s="185" t="e">
        <f aca="false">SQRT((AD265^2*(A265-$D$3)+AC265^2*(DAY(EOMONTH(A265,0))/2))/AK265)</f>
        <v>#VALUE!</v>
      </c>
      <c r="AF265" s="224" t="e">
        <f aca="false">((Summary!$N$9*(AA265*AD265)*(A265-$D$3))+(Summary!$M$9*Z265*AC265*(AJ265-EOMONTH(EDATE(A265,-1),0))))/(AK265*AB265*AE265)</f>
        <v>#VALUE!</v>
      </c>
      <c r="AG265" s="207" t="str">
        <f aca="false">IF($A266="","",Summary!$Q$9)</f>
        <v/>
      </c>
      <c r="AH265" s="207" t="str">
        <f aca="false">IF($A266="","",IF(Summary!$R$9="Y",VLOOKUP($A265,Summary!$AD$6:$AF$9,3)+'Escalating commodity'!E278,'Escalating commodity'!E278))</f>
        <v/>
      </c>
      <c r="AI265" s="207" t="str">
        <f aca="false">IF($A266="","",AH265)</f>
        <v/>
      </c>
      <c r="AJ265" s="208" t="e">
        <f aca="false">A265+DAY(EOMONTH(A265,0))/2-1</f>
        <v>#VALUE!</v>
      </c>
      <c r="AK265" s="209" t="str">
        <f aca="false">IF($A266="","",$A265-$E$1)</f>
        <v/>
      </c>
      <c r="AL265" s="182" t="str">
        <f aca="false">IF($A266="","",SPRDOPT(P265,X265,AI265,0,AB265,AE265,AF265,AK265,$AJ$2,0))</f>
        <v/>
      </c>
      <c r="AM265" s="211" t="str">
        <f aca="false">IF($A266="","",MAX(0,O265-W265-AI265))</f>
        <v/>
      </c>
      <c r="AN265" s="211" t="str">
        <f aca="false">IF($A266="","",AL265-AM265)</f>
        <v/>
      </c>
      <c r="AO265" s="137" t="str">
        <f aca="false">IF(A266="","",A266-A265)</f>
        <v/>
      </c>
      <c r="AP265" s="212" t="str">
        <f aca="false">IF(A266="","",CHOOSE(F$3,A266+24,A265))</f>
        <v/>
      </c>
      <c r="AQ265" s="209" t="str">
        <f aca="false">IF(A266="","",AP265-$E$1)</f>
        <v/>
      </c>
      <c r="AR265" s="185" t="n">
        <f aca="false">'ANR OK vs ML7'!AR265</f>
        <v>0.1</v>
      </c>
      <c r="AS265" s="213" t="str">
        <f aca="false">IF(A266="","",1/(1+CHOOSE(F$3,(AR266+($I$3/10000))/2,(AR265+($I$3/10000))/2))^(2*AQ265/365.25))</f>
        <v/>
      </c>
      <c r="AT265" s="137" t="str">
        <f aca="false">IF(A266="","",IF(AND(mthbeg&lt;=A265,mthend&gt;=A265),1,0))</f>
        <v/>
      </c>
      <c r="AU265" s="137" t="str">
        <f aca="false">IF(A266="","",AO265*AT265)</f>
        <v/>
      </c>
      <c r="AW265" s="195" t="str">
        <f aca="false">IF($A266="","",AL265*$E265)</f>
        <v/>
      </c>
      <c r="AX265" s="195" t="str">
        <f aca="false">IF($A266="","",AM265*$E265)</f>
        <v/>
      </c>
      <c r="AY265" s="195" t="str">
        <f aca="false">IF($A266="","",AN265*$E265)</f>
        <v/>
      </c>
      <c r="BA265" s="195" t="str">
        <f aca="false">IF($A266="","",F265*Summary!$Q$9)</f>
        <v/>
      </c>
    </row>
    <row r="266" customFormat="false" ht="12" hidden="false" customHeight="true" outlineLevel="0" collapsed="false">
      <c r="A266" s="196" t="str">
        <f aca="false">IF(A265&lt;mthend,EDATE(A265,1),"")</f>
        <v/>
      </c>
      <c r="B266" s="197" t="str">
        <f aca="false">IF(A266&lt;mthend,B265,"")</f>
        <v/>
      </c>
      <c r="C266" s="215"/>
      <c r="D266" s="197" t="str">
        <f aca="false">IF(A267&lt;&gt;"",B266+C266,"")</f>
        <v/>
      </c>
      <c r="E266" s="199" t="str">
        <f aca="false">IF(A267="","",IF(AND(AT266=1,$H$3=1),D266*AO266,IF($H$3=2,D266,"N/A")))</f>
        <v/>
      </c>
      <c r="F266" s="199" t="str">
        <f aca="false">IF(A267="","",E266*AS266)</f>
        <v/>
      </c>
      <c r="G266" s="200" t="str">
        <f aca="false">IF($A267="","",VLOOKUP($A266,Table,MATCH(G$4,Curves,0)))</f>
        <v/>
      </c>
      <c r="H266" s="201" t="str">
        <f aca="false">IF(A267="","",G266)</f>
        <v/>
      </c>
      <c r="I266" s="202"/>
      <c r="J266" s="200" t="str">
        <f aca="false">IF($A267="","",VLOOKUP($A266,Table,MATCH(J$4,Curves,0)))</f>
        <v/>
      </c>
      <c r="K266" s="201" t="str">
        <f aca="false">IF(A267="","",J266)</f>
        <v/>
      </c>
      <c r="L266" s="200" t="str">
        <f aca="false">IF($A267="","",VLOOKUP($A266,Table,MATCH(L$4,Curves,0)))</f>
        <v/>
      </c>
      <c r="M266" s="201" t="str">
        <f aca="false">IF(A267="","",L266)</f>
        <v/>
      </c>
      <c r="N266" s="203"/>
      <c r="O266" s="200" t="str">
        <f aca="false">IF(A267="","",L266+J266+G266)</f>
        <v/>
      </c>
      <c r="P266" s="200" t="str">
        <f aca="false">IF(A267="","",M266+K266+H266)</f>
        <v/>
      </c>
      <c r="Q266" s="204"/>
      <c r="R266" s="200" t="str">
        <f aca="false">IF($A267="","",VLOOKUP($A266,Table,MATCH(R$4,Curves,0)))</f>
        <v/>
      </c>
      <c r="S266" s="201" t="str">
        <f aca="false">IF(A267="","",R266)</f>
        <v/>
      </c>
      <c r="T266" s="200" t="str">
        <f aca="false">IF($A267="","",VLOOKUP($A266,Table,MATCH(T$4,Curves,0)))</f>
        <v/>
      </c>
      <c r="U266" s="201" t="str">
        <f aca="false">IF(A267="","",T266)</f>
        <v/>
      </c>
      <c r="V266" s="225" t="str">
        <f aca="false">IF($A267="","",IF(AND(MONTH(A266)&gt;3,MONTH(A266)&lt;11),(T266+R266+G266)*Summary!$T$9/(1-Summary!$T$9),(T266+R266+G266)*Summary!$U$9/(1-Summary!$U$9)))</f>
        <v/>
      </c>
      <c r="W266" s="200" t="str">
        <f aca="false">IF($A267="","",(T266+R266+G266+V266))</f>
        <v/>
      </c>
      <c r="X266" s="200" t="str">
        <f aca="false">IF($A267="","",(U266+S266+H266+V266))</f>
        <v/>
      </c>
      <c r="Y266" s="202"/>
      <c r="Z266" s="185" t="str">
        <f aca="false">IF($A267="","",VLOOKUP($A266,Table,MATCH(Z$4,Curves,0)))</f>
        <v/>
      </c>
      <c r="AA266" s="185" t="str">
        <f aca="false">IF($A267="","",VLOOKUP($A266,Table,MATCH(AA$4,Curves,0)))</f>
        <v/>
      </c>
      <c r="AB266" s="185" t="e">
        <f aca="false">SQRT((AA266^2*(A266-$D$3)+Z266^2*(DAY(EOMONTH(A266,0))/2))/AK266)</f>
        <v>#VALUE!</v>
      </c>
      <c r="AC266" s="185" t="str">
        <f aca="false">IF($A267="","",VLOOKUP($A266,Table,MATCH(AC$4,Curves,0)))</f>
        <v/>
      </c>
      <c r="AD266" s="185" t="str">
        <f aca="false">IF($A267="","",VLOOKUP($A266,Table,MATCH(AD$4,Curves,0)))</f>
        <v/>
      </c>
      <c r="AE266" s="185" t="e">
        <f aca="false">SQRT((AD266^2*(A266-$D$3)+AC266^2*(DAY(EOMONTH(A266,0))/2))/AK266)</f>
        <v>#VALUE!</v>
      </c>
      <c r="AF266" s="224" t="e">
        <f aca="false">((Summary!$N$9*(AA266*AD266)*(A266-$D$3))+(Summary!$M$9*Z266*AC266*(AJ266-EOMONTH(EDATE(A266,-1),0))))/(AK266*AB266*AE266)</f>
        <v>#VALUE!</v>
      </c>
      <c r="AG266" s="207" t="str">
        <f aca="false">IF($A267="","",Summary!$Q$9)</f>
        <v/>
      </c>
      <c r="AH266" s="207" t="str">
        <f aca="false">IF($A267="","",IF(Summary!$R$9="Y",VLOOKUP($A266,Summary!$AD$6:$AF$9,3)+'Escalating commodity'!E279,'Escalating commodity'!E279))</f>
        <v/>
      </c>
      <c r="AI266" s="207" t="str">
        <f aca="false">IF($A267="","",AH266)</f>
        <v/>
      </c>
      <c r="AJ266" s="208" t="e">
        <f aca="false">A266+DAY(EOMONTH(A266,0))/2-1</f>
        <v>#VALUE!</v>
      </c>
      <c r="AK266" s="209" t="str">
        <f aca="false">IF($A267="","",$A266-$E$1)</f>
        <v/>
      </c>
      <c r="AL266" s="182" t="str">
        <f aca="false">IF($A267="","",SPRDOPT(P266,X266,AI266,0,AB266,AE266,AF266,AK266,$AJ$2,0))</f>
        <v/>
      </c>
      <c r="AM266" s="211" t="str">
        <f aca="false">IF($A267="","",MAX(0,O266-W266-AI266))</f>
        <v/>
      </c>
      <c r="AN266" s="211" t="str">
        <f aca="false">IF($A267="","",AL266-AM266)</f>
        <v/>
      </c>
      <c r="AO266" s="137" t="str">
        <f aca="false">IF(A267="","",A267-A266)</f>
        <v/>
      </c>
      <c r="AP266" s="212" t="str">
        <f aca="false">IF(A267="","",CHOOSE(F$3,A267+24,A266))</f>
        <v/>
      </c>
      <c r="AQ266" s="209" t="str">
        <f aca="false">IF(A267="","",AP266-$E$1)</f>
        <v/>
      </c>
      <c r="AR266" s="185" t="n">
        <f aca="false">'ANR OK vs ML7'!AR266</f>
        <v>0.1</v>
      </c>
      <c r="AS266" s="213" t="str">
        <f aca="false">IF(A267="","",1/(1+CHOOSE(F$3,(AR267+($I$3/10000))/2,(AR266+($I$3/10000))/2))^(2*AQ266/365.25))</f>
        <v/>
      </c>
      <c r="AT266" s="137" t="str">
        <f aca="false">IF(A267="","",IF(AND(mthbeg&lt;=A266,mthend&gt;=A266),1,0))</f>
        <v/>
      </c>
      <c r="AU266" s="137" t="str">
        <f aca="false">IF(A267="","",AO266*AT266)</f>
        <v/>
      </c>
      <c r="AW266" s="195" t="str">
        <f aca="false">IF($A267="","",AL266*$E266)</f>
        <v/>
      </c>
      <c r="AX266" s="195" t="str">
        <f aca="false">IF($A267="","",AM266*$E266)</f>
        <v/>
      </c>
      <c r="AY266" s="195" t="str">
        <f aca="false">IF($A267="","",AN266*$E266)</f>
        <v/>
      </c>
      <c r="BA266" s="195" t="str">
        <f aca="false">IF($A267="","",F266*Summary!$Q$9)</f>
        <v/>
      </c>
    </row>
    <row r="267" customFormat="false" ht="12" hidden="false" customHeight="true" outlineLevel="0" collapsed="false">
      <c r="A267" s="196" t="str">
        <f aca="false">IF(A266&lt;mthend,EDATE(A266,1),"")</f>
        <v/>
      </c>
      <c r="B267" s="197" t="str">
        <f aca="false">IF(A267&lt;mthend,B266,"")</f>
        <v/>
      </c>
      <c r="C267" s="215"/>
      <c r="D267" s="197" t="str">
        <f aca="false">IF(A268&lt;&gt;"",B267+C267,"")</f>
        <v/>
      </c>
      <c r="E267" s="199" t="str">
        <f aca="false">IF(A268="","",IF(AND(AT267=1,$H$3=1),D267*AO267,IF($H$3=2,D267,"N/A")))</f>
        <v/>
      </c>
      <c r="F267" s="199" t="str">
        <f aca="false">IF(A268="","",E267*AS267)</f>
        <v/>
      </c>
      <c r="G267" s="200" t="str">
        <f aca="false">IF($A268="","",VLOOKUP($A267,Table,MATCH(G$4,Curves,0)))</f>
        <v/>
      </c>
      <c r="H267" s="201" t="str">
        <f aca="false">IF(A268="","",G267)</f>
        <v/>
      </c>
      <c r="I267" s="202"/>
      <c r="J267" s="200" t="str">
        <f aca="false">IF($A268="","",VLOOKUP($A267,Table,MATCH(J$4,Curves,0)))</f>
        <v/>
      </c>
      <c r="K267" s="201" t="str">
        <f aca="false">IF(A268="","",J267)</f>
        <v/>
      </c>
      <c r="L267" s="200" t="str">
        <f aca="false">IF($A268="","",VLOOKUP($A267,Table,MATCH(L$4,Curves,0)))</f>
        <v/>
      </c>
      <c r="M267" s="201" t="str">
        <f aca="false">IF(A268="","",L267)</f>
        <v/>
      </c>
      <c r="N267" s="203"/>
      <c r="O267" s="200" t="str">
        <f aca="false">IF(A268="","",L267+J267+G267)</f>
        <v/>
      </c>
      <c r="P267" s="200" t="str">
        <f aca="false">IF(A268="","",M267+K267+H267)</f>
        <v/>
      </c>
      <c r="Q267" s="204"/>
      <c r="R267" s="200" t="str">
        <f aca="false">IF($A268="","",VLOOKUP($A267,Table,MATCH(R$4,Curves,0)))</f>
        <v/>
      </c>
      <c r="S267" s="201" t="str">
        <f aca="false">IF(A268="","",R267)</f>
        <v/>
      </c>
      <c r="T267" s="200" t="str">
        <f aca="false">IF($A268="","",VLOOKUP($A267,Table,MATCH(T$4,Curves,0)))</f>
        <v/>
      </c>
      <c r="U267" s="201" t="str">
        <f aca="false">IF(A268="","",T267)</f>
        <v/>
      </c>
      <c r="V267" s="225" t="str">
        <f aca="false">IF($A268="","",IF(AND(MONTH(A267)&gt;3,MONTH(A267)&lt;11),(T267+R267+G267)*Summary!$T$9/(1-Summary!$T$9),(T267+R267+G267)*Summary!$U$9/(1-Summary!$U$9)))</f>
        <v/>
      </c>
      <c r="W267" s="200" t="str">
        <f aca="false">IF($A268="","",(T267+R267+G267+V267))</f>
        <v/>
      </c>
      <c r="X267" s="200" t="str">
        <f aca="false">IF($A268="","",(U267+S267+H267+V267))</f>
        <v/>
      </c>
      <c r="Y267" s="202"/>
      <c r="Z267" s="185" t="str">
        <f aca="false">IF($A268="","",VLOOKUP($A267,Table,MATCH(Z$4,Curves,0)))</f>
        <v/>
      </c>
      <c r="AA267" s="185" t="str">
        <f aca="false">IF($A268="","",VLOOKUP($A267,Table,MATCH(AA$4,Curves,0)))</f>
        <v/>
      </c>
      <c r="AB267" s="185" t="e">
        <f aca="false">SQRT((AA267^2*(A267-$D$3)+Z267^2*(DAY(EOMONTH(A267,0))/2))/AK267)</f>
        <v>#VALUE!</v>
      </c>
      <c r="AC267" s="185" t="str">
        <f aca="false">IF($A268="","",VLOOKUP($A267,Table,MATCH(AC$4,Curves,0)))</f>
        <v/>
      </c>
      <c r="AD267" s="185" t="str">
        <f aca="false">IF($A268="","",VLOOKUP($A267,Table,MATCH(AD$4,Curves,0)))</f>
        <v/>
      </c>
      <c r="AE267" s="185" t="e">
        <f aca="false">SQRT((AD267^2*(A267-$D$3)+AC267^2*(DAY(EOMONTH(A267,0))/2))/AK267)</f>
        <v>#VALUE!</v>
      </c>
      <c r="AF267" s="224" t="e">
        <f aca="false">((Summary!$N$9*(AA267*AD267)*(A267-$D$3))+(Summary!$M$9*Z267*AC267*(AJ267-EOMONTH(EDATE(A267,-1),0))))/(AK267*AB267*AE267)</f>
        <v>#VALUE!</v>
      </c>
      <c r="AG267" s="207" t="str">
        <f aca="false">IF($A268="","",Summary!$Q$9)</f>
        <v/>
      </c>
      <c r="AH267" s="207" t="str">
        <f aca="false">IF($A268="","",IF(Summary!$R$9="Y",VLOOKUP($A267,Summary!$AD$6:$AF$9,3)+'Escalating commodity'!E280,'Escalating commodity'!E280))</f>
        <v/>
      </c>
      <c r="AI267" s="207" t="str">
        <f aca="false">IF($A268="","",AH267)</f>
        <v/>
      </c>
      <c r="AJ267" s="208" t="e">
        <f aca="false">A267+DAY(EOMONTH(A267,0))/2-1</f>
        <v>#VALUE!</v>
      </c>
      <c r="AK267" s="209" t="str">
        <f aca="false">IF($A268="","",$A267-$E$1)</f>
        <v/>
      </c>
      <c r="AL267" s="182" t="str">
        <f aca="false">IF($A268="","",SPRDOPT(P267,X267,AI267,0,AB267,AE267,AF267,AK267,$AJ$2,0))</f>
        <v/>
      </c>
      <c r="AM267" s="211" t="str">
        <f aca="false">IF($A268="","",MAX(0,O267-W267-AI267))</f>
        <v/>
      </c>
      <c r="AN267" s="211" t="str">
        <f aca="false">IF($A268="","",AL267-AM267)</f>
        <v/>
      </c>
      <c r="AO267" s="137" t="str">
        <f aca="false">IF(A268="","",A268-A267)</f>
        <v/>
      </c>
      <c r="AP267" s="212" t="str">
        <f aca="false">IF(A268="","",CHOOSE(F$3,A268+24,A267))</f>
        <v/>
      </c>
      <c r="AQ267" s="209" t="str">
        <f aca="false">IF(A268="","",AP267-$E$1)</f>
        <v/>
      </c>
      <c r="AR267" s="185" t="n">
        <f aca="false">'ANR OK vs ML7'!AR267</f>
        <v>0.1</v>
      </c>
      <c r="AS267" s="213" t="str">
        <f aca="false">IF(A268="","",1/(1+CHOOSE(F$3,(AR268+($I$3/10000))/2,(AR267+($I$3/10000))/2))^(2*AQ267/365.25))</f>
        <v/>
      </c>
      <c r="AT267" s="137" t="str">
        <f aca="false">IF(A268="","",IF(AND(mthbeg&lt;=A267,mthend&gt;=A267),1,0))</f>
        <v/>
      </c>
      <c r="AU267" s="137" t="str">
        <f aca="false">IF(A268="","",AO267*AT267)</f>
        <v/>
      </c>
      <c r="AW267" s="195" t="str">
        <f aca="false">IF($A268="","",AL267*$E267)</f>
        <v/>
      </c>
      <c r="AX267" s="195" t="str">
        <f aca="false">IF($A268="","",AM267*$E267)</f>
        <v/>
      </c>
      <c r="AY267" s="195" t="str">
        <f aca="false">IF($A268="","",AN267*$E267)</f>
        <v/>
      </c>
      <c r="BA267" s="195" t="str">
        <f aca="false">IF($A268="","",F267*Summary!$Q$9)</f>
        <v/>
      </c>
    </row>
    <row r="268" customFormat="false" ht="12" hidden="false" customHeight="true" outlineLevel="0" collapsed="false">
      <c r="A268" s="196" t="str">
        <f aca="false">IF(A267&lt;mthend,EDATE(A267,1),"")</f>
        <v/>
      </c>
      <c r="B268" s="197" t="str">
        <f aca="false">IF(A268&lt;mthend,B267,"")</f>
        <v/>
      </c>
      <c r="C268" s="215"/>
      <c r="D268" s="197" t="str">
        <f aca="false">IF(A269&lt;&gt;"",B268+C268,"")</f>
        <v/>
      </c>
      <c r="E268" s="199" t="str">
        <f aca="false">IF(A269="","",IF(AND(AT268=1,$H$3=1),D268*AO268,IF($H$3=2,D268,"N/A")))</f>
        <v/>
      </c>
      <c r="F268" s="199" t="str">
        <f aca="false">IF(A269="","",E268*AS268)</f>
        <v/>
      </c>
      <c r="G268" s="200" t="str">
        <f aca="false">IF($A269="","",VLOOKUP($A268,Table,MATCH(G$4,Curves,0)))</f>
        <v/>
      </c>
      <c r="H268" s="201" t="str">
        <f aca="false">IF(A269="","",G268)</f>
        <v/>
      </c>
      <c r="I268" s="202"/>
      <c r="J268" s="200" t="str">
        <f aca="false">IF($A269="","",VLOOKUP($A268,Table,MATCH(J$4,Curves,0)))</f>
        <v/>
      </c>
      <c r="K268" s="201" t="str">
        <f aca="false">IF(A269="","",J268)</f>
        <v/>
      </c>
      <c r="L268" s="200" t="str">
        <f aca="false">IF($A269="","",VLOOKUP($A268,Table,MATCH(L$4,Curves,0)))</f>
        <v/>
      </c>
      <c r="M268" s="201" t="str">
        <f aca="false">IF(A269="","",L268)</f>
        <v/>
      </c>
      <c r="N268" s="203"/>
      <c r="O268" s="200" t="str">
        <f aca="false">IF(A269="","",L268+J268+G268)</f>
        <v/>
      </c>
      <c r="P268" s="200" t="str">
        <f aca="false">IF(A269="","",M268+K268+H268)</f>
        <v/>
      </c>
      <c r="Q268" s="204"/>
      <c r="R268" s="200" t="str">
        <f aca="false">IF($A269="","",VLOOKUP($A268,Table,MATCH(R$4,Curves,0)))</f>
        <v/>
      </c>
      <c r="S268" s="201" t="str">
        <f aca="false">IF(A269="","",R268)</f>
        <v/>
      </c>
      <c r="T268" s="200" t="str">
        <f aca="false">IF($A269="","",VLOOKUP($A268,Table,MATCH(T$4,Curves,0)))</f>
        <v/>
      </c>
      <c r="U268" s="201" t="str">
        <f aca="false">IF(A269="","",T268)</f>
        <v/>
      </c>
      <c r="V268" s="225" t="str">
        <f aca="false">IF($A269="","",IF(AND(MONTH(A268)&gt;3,MONTH(A268)&lt;11),(T268+R268+G268)*Summary!$T$9/(1-Summary!$T$9),(T268+R268+G268)*Summary!$U$9/(1-Summary!$U$9)))</f>
        <v/>
      </c>
      <c r="W268" s="200" t="str">
        <f aca="false">IF($A269="","",(T268+R268+G268+V268))</f>
        <v/>
      </c>
      <c r="X268" s="200" t="str">
        <f aca="false">IF($A269="","",(U268+S268+H268+V268))</f>
        <v/>
      </c>
      <c r="Y268" s="202"/>
      <c r="Z268" s="185" t="str">
        <f aca="false">IF($A269="","",VLOOKUP($A268,Table,MATCH(Z$4,Curves,0)))</f>
        <v/>
      </c>
      <c r="AA268" s="185" t="str">
        <f aca="false">IF($A269="","",VLOOKUP($A268,Table,MATCH(AA$4,Curves,0)))</f>
        <v/>
      </c>
      <c r="AB268" s="185" t="e">
        <f aca="false">SQRT((AA268^2*(A268-$D$3)+Z268^2*(DAY(EOMONTH(A268,0))/2))/AK268)</f>
        <v>#VALUE!</v>
      </c>
      <c r="AC268" s="185" t="str">
        <f aca="false">IF($A269="","",VLOOKUP($A268,Table,MATCH(AC$4,Curves,0)))</f>
        <v/>
      </c>
      <c r="AD268" s="185" t="str">
        <f aca="false">IF($A269="","",VLOOKUP($A268,Table,MATCH(AD$4,Curves,0)))</f>
        <v/>
      </c>
      <c r="AE268" s="185" t="e">
        <f aca="false">SQRT((AD268^2*(A268-$D$3)+AC268^2*(DAY(EOMONTH(A268,0))/2))/AK268)</f>
        <v>#VALUE!</v>
      </c>
      <c r="AF268" s="224" t="e">
        <f aca="false">((Summary!$N$9*(AA268*AD268)*(A268-$D$3))+(Summary!$M$9*Z268*AC268*(AJ268-EOMONTH(EDATE(A268,-1),0))))/(AK268*AB268*AE268)</f>
        <v>#VALUE!</v>
      </c>
      <c r="AG268" s="207" t="str">
        <f aca="false">IF($A269="","",Summary!$Q$9)</f>
        <v/>
      </c>
      <c r="AH268" s="207" t="str">
        <f aca="false">IF($A269="","",IF(Summary!$R$9="Y",VLOOKUP($A268,Summary!$AD$6:$AF$9,3)+'Escalating commodity'!E281,'Escalating commodity'!E281))</f>
        <v/>
      </c>
      <c r="AI268" s="207" t="str">
        <f aca="false">IF($A269="","",AH268)</f>
        <v/>
      </c>
      <c r="AJ268" s="208" t="e">
        <f aca="false">A268+DAY(EOMONTH(A268,0))/2-1</f>
        <v>#VALUE!</v>
      </c>
      <c r="AK268" s="209" t="str">
        <f aca="false">IF($A269="","",$A268-$E$1)</f>
        <v/>
      </c>
      <c r="AL268" s="182" t="str">
        <f aca="false">IF($A269="","",SPRDOPT(P268,X268,AI268,0,AB268,AE268,AF268,AK268,$AJ$2,0))</f>
        <v/>
      </c>
      <c r="AM268" s="211" t="str">
        <f aca="false">IF($A269="","",MAX(0,O268-W268-AI268))</f>
        <v/>
      </c>
      <c r="AN268" s="211" t="str">
        <f aca="false">IF($A269="","",AL268-AM268)</f>
        <v/>
      </c>
      <c r="AO268" s="137" t="str">
        <f aca="false">IF(A269="","",A269-A268)</f>
        <v/>
      </c>
      <c r="AP268" s="212" t="str">
        <f aca="false">IF(A269="","",CHOOSE(F$3,A269+24,A268))</f>
        <v/>
      </c>
      <c r="AQ268" s="209" t="str">
        <f aca="false">IF(A269="","",AP268-$E$1)</f>
        <v/>
      </c>
      <c r="AR268" s="185" t="n">
        <f aca="false">'ANR OK vs ML7'!AR268</f>
        <v>0.1</v>
      </c>
      <c r="AS268" s="213" t="str">
        <f aca="false">IF(A269="","",1/(1+CHOOSE(F$3,(AR269+($I$3/10000))/2,(AR268+($I$3/10000))/2))^(2*AQ268/365.25))</f>
        <v/>
      </c>
      <c r="AT268" s="137" t="str">
        <f aca="false">IF(A269="","",IF(AND(mthbeg&lt;=A268,mthend&gt;=A268),1,0))</f>
        <v/>
      </c>
      <c r="AU268" s="137" t="str">
        <f aca="false">IF(A269="","",AO268*AT268)</f>
        <v/>
      </c>
      <c r="AW268" s="195" t="str">
        <f aca="false">IF($A269="","",AL268*$E268)</f>
        <v/>
      </c>
      <c r="AX268" s="195" t="str">
        <f aca="false">IF($A269="","",AM268*$E268)</f>
        <v/>
      </c>
      <c r="AY268" s="195" t="str">
        <f aca="false">IF($A269="","",AN268*$E268)</f>
        <v/>
      </c>
      <c r="BA268" s="195" t="str">
        <f aca="false">IF($A269="","",F268*Summary!$Q$9)</f>
        <v/>
      </c>
    </row>
    <row r="269" customFormat="false" ht="12" hidden="false" customHeight="true" outlineLevel="0" collapsed="false">
      <c r="A269" s="196" t="str">
        <f aca="false">IF(A268&lt;mthend,EDATE(A268,1),"")</f>
        <v/>
      </c>
      <c r="B269" s="197" t="str">
        <f aca="false">IF(A269&lt;mthend,B268,"")</f>
        <v/>
      </c>
      <c r="C269" s="215"/>
      <c r="D269" s="197" t="str">
        <f aca="false">IF(A270&lt;&gt;"",B269+C269,"")</f>
        <v/>
      </c>
      <c r="E269" s="199" t="str">
        <f aca="false">IF(A270="","",IF(AND(AT269=1,$H$3=1),D269*AO269,IF($H$3=2,D269,"N/A")))</f>
        <v/>
      </c>
      <c r="F269" s="199" t="str">
        <f aca="false">IF(A270="","",E269*AS269)</f>
        <v/>
      </c>
      <c r="G269" s="200" t="str">
        <f aca="false">IF($A270="","",VLOOKUP($A269,Table,MATCH(G$4,Curves,0)))</f>
        <v/>
      </c>
      <c r="H269" s="201" t="str">
        <f aca="false">IF(A270="","",G269)</f>
        <v/>
      </c>
      <c r="I269" s="202"/>
      <c r="J269" s="200" t="str">
        <f aca="false">IF($A270="","",VLOOKUP($A269,Table,MATCH(J$4,Curves,0)))</f>
        <v/>
      </c>
      <c r="K269" s="201" t="str">
        <f aca="false">IF(A270="","",J269)</f>
        <v/>
      </c>
      <c r="L269" s="200" t="str">
        <f aca="false">IF($A270="","",VLOOKUP($A269,Table,MATCH(L$4,Curves,0)))</f>
        <v/>
      </c>
      <c r="M269" s="201" t="str">
        <f aca="false">IF(A270="","",L269)</f>
        <v/>
      </c>
      <c r="N269" s="203"/>
      <c r="O269" s="200" t="str">
        <f aca="false">IF(A270="","",L269+J269+G269)</f>
        <v/>
      </c>
      <c r="P269" s="200" t="str">
        <f aca="false">IF(A270="","",M269+K269+H269)</f>
        <v/>
      </c>
      <c r="Q269" s="204"/>
      <c r="R269" s="200" t="str">
        <f aca="false">IF($A270="","",VLOOKUP($A269,Table,MATCH(R$4,Curves,0)))</f>
        <v/>
      </c>
      <c r="S269" s="201" t="str">
        <f aca="false">IF(A270="","",R269)</f>
        <v/>
      </c>
      <c r="T269" s="200" t="str">
        <f aca="false">IF($A270="","",VLOOKUP($A269,Table,MATCH(T$4,Curves,0)))</f>
        <v/>
      </c>
      <c r="U269" s="201" t="str">
        <f aca="false">IF(A270="","",T269)</f>
        <v/>
      </c>
      <c r="V269" s="225" t="str">
        <f aca="false">IF($A270="","",IF(AND(MONTH(A269)&gt;3,MONTH(A269)&lt;11),(T269+R269+G269)*Summary!$T$9/(1-Summary!$T$9),(T269+R269+G269)*Summary!$U$9/(1-Summary!$U$9)))</f>
        <v/>
      </c>
      <c r="W269" s="200" t="str">
        <f aca="false">IF($A270="","",(T269+R269+G269+V269))</f>
        <v/>
      </c>
      <c r="X269" s="200" t="str">
        <f aca="false">IF($A270="","",(U269+S269+H269+V269))</f>
        <v/>
      </c>
      <c r="Y269" s="202"/>
      <c r="Z269" s="185" t="str">
        <f aca="false">IF($A270="","",VLOOKUP($A269,Table,MATCH(Z$4,Curves,0)))</f>
        <v/>
      </c>
      <c r="AA269" s="185" t="str">
        <f aca="false">IF($A270="","",VLOOKUP($A269,Table,MATCH(AA$4,Curves,0)))</f>
        <v/>
      </c>
      <c r="AB269" s="185" t="e">
        <f aca="false">SQRT((AA269^2*(A269-$D$3)+Z269^2*(DAY(EOMONTH(A269,0))/2))/AK269)</f>
        <v>#VALUE!</v>
      </c>
      <c r="AC269" s="185" t="str">
        <f aca="false">IF($A270="","",VLOOKUP($A269,Table,MATCH(AC$4,Curves,0)))</f>
        <v/>
      </c>
      <c r="AD269" s="185" t="str">
        <f aca="false">IF($A270="","",VLOOKUP($A269,Table,MATCH(AD$4,Curves,0)))</f>
        <v/>
      </c>
      <c r="AE269" s="185" t="e">
        <f aca="false">SQRT((AD269^2*(A269-$D$3)+AC269^2*(DAY(EOMONTH(A269,0))/2))/AK269)</f>
        <v>#VALUE!</v>
      </c>
      <c r="AF269" s="224" t="e">
        <f aca="false">((Summary!$N$9*(AA269*AD269)*(A269-$D$3))+(Summary!$M$9*Z269*AC269*(AJ269-EOMONTH(EDATE(A269,-1),0))))/(AK269*AB269*AE269)</f>
        <v>#VALUE!</v>
      </c>
      <c r="AG269" s="207" t="str">
        <f aca="false">IF($A270="","",Summary!$Q$9)</f>
        <v/>
      </c>
      <c r="AH269" s="207" t="str">
        <f aca="false">IF($A270="","",IF(Summary!$R$9="Y",VLOOKUP($A269,Summary!$AD$6:$AF$9,3)+'Escalating commodity'!E282,'Escalating commodity'!E282))</f>
        <v/>
      </c>
      <c r="AI269" s="207" t="str">
        <f aca="false">IF($A270="","",AH269)</f>
        <v/>
      </c>
      <c r="AJ269" s="208" t="e">
        <f aca="false">A269+DAY(EOMONTH(A269,0))/2-1</f>
        <v>#VALUE!</v>
      </c>
      <c r="AK269" s="209" t="str">
        <f aca="false">IF($A270="","",$A269-$E$1)</f>
        <v/>
      </c>
      <c r="AL269" s="182" t="str">
        <f aca="false">IF($A270="","",SPRDOPT(P269,X269,AI269,0,AB269,AE269,AF269,AK269,$AJ$2,0))</f>
        <v/>
      </c>
      <c r="AM269" s="211" t="str">
        <f aca="false">IF($A270="","",MAX(0,O269-W269-AI269))</f>
        <v/>
      </c>
      <c r="AN269" s="211" t="str">
        <f aca="false">IF($A270="","",AL269-AM269)</f>
        <v/>
      </c>
      <c r="AO269" s="137" t="str">
        <f aca="false">IF(A270="","",A270-A269)</f>
        <v/>
      </c>
      <c r="AP269" s="212" t="str">
        <f aca="false">IF(A270="","",CHOOSE(F$3,A270+24,A269))</f>
        <v/>
      </c>
      <c r="AQ269" s="209" t="str">
        <f aca="false">IF(A270="","",AP269-$E$1)</f>
        <v/>
      </c>
      <c r="AR269" s="185" t="n">
        <f aca="false">'ANR OK vs ML7'!AR269</f>
        <v>0.1</v>
      </c>
      <c r="AS269" s="213" t="str">
        <f aca="false">IF(A270="","",1/(1+CHOOSE(F$3,(AR270+($I$3/10000))/2,(AR269+($I$3/10000))/2))^(2*AQ269/365.25))</f>
        <v/>
      </c>
      <c r="AT269" s="137" t="str">
        <f aca="false">IF(A270="","",IF(AND(mthbeg&lt;=A269,mthend&gt;=A269),1,0))</f>
        <v/>
      </c>
      <c r="AU269" s="137" t="str">
        <f aca="false">IF(A270="","",AO269*AT269)</f>
        <v/>
      </c>
      <c r="AW269" s="195" t="str">
        <f aca="false">IF($A270="","",AL269*$E269)</f>
        <v/>
      </c>
      <c r="AX269" s="195" t="str">
        <f aca="false">IF($A270="","",AM269*$E269)</f>
        <v/>
      </c>
      <c r="AY269" s="195" t="str">
        <f aca="false">IF($A270="","",AN269*$E269)</f>
        <v/>
      </c>
      <c r="BA269" s="195" t="str">
        <f aca="false">IF($A270="","",F269*Summary!$Q$9)</f>
        <v/>
      </c>
    </row>
    <row r="270" customFormat="false" ht="12" hidden="false" customHeight="true" outlineLevel="0" collapsed="false">
      <c r="A270" s="196" t="str">
        <f aca="false">IF(A269&lt;mthend,EDATE(A269,1),"")</f>
        <v/>
      </c>
      <c r="B270" s="197" t="str">
        <f aca="false">IF(A270&lt;mthend,B269,"")</f>
        <v/>
      </c>
      <c r="C270" s="215"/>
      <c r="D270" s="197" t="str">
        <f aca="false">IF(A271&lt;&gt;"",B270+C270,"")</f>
        <v/>
      </c>
      <c r="E270" s="199" t="str">
        <f aca="false">IF(A271="","",IF(AND(AT270=1,$H$3=1),D270*AO270,IF($H$3=2,D270,"N/A")))</f>
        <v/>
      </c>
      <c r="F270" s="199" t="str">
        <f aca="false">IF(A271="","",E270*AS270)</f>
        <v/>
      </c>
      <c r="G270" s="200" t="str">
        <f aca="false">IF($A271="","",VLOOKUP($A270,Table,MATCH(G$4,Curves,0)))</f>
        <v/>
      </c>
      <c r="H270" s="201" t="str">
        <f aca="false">IF(A271="","",G270)</f>
        <v/>
      </c>
      <c r="I270" s="202"/>
      <c r="J270" s="200" t="str">
        <f aca="false">IF($A271="","",VLOOKUP($A270,Table,MATCH(J$4,Curves,0)))</f>
        <v/>
      </c>
      <c r="K270" s="201" t="str">
        <f aca="false">IF(A271="","",J270)</f>
        <v/>
      </c>
      <c r="L270" s="200" t="str">
        <f aca="false">IF($A271="","",VLOOKUP($A270,Table,MATCH(L$4,Curves,0)))</f>
        <v/>
      </c>
      <c r="M270" s="201" t="str">
        <f aca="false">IF(A271="","",L270)</f>
        <v/>
      </c>
      <c r="N270" s="203"/>
      <c r="O270" s="200" t="str">
        <f aca="false">IF(A271="","",L270+J270+G270)</f>
        <v/>
      </c>
      <c r="P270" s="200" t="str">
        <f aca="false">IF(A271="","",M270+K270+H270)</f>
        <v/>
      </c>
      <c r="Q270" s="204"/>
      <c r="R270" s="200" t="str">
        <f aca="false">IF($A271="","",VLOOKUP($A270,Table,MATCH(R$4,Curves,0)))</f>
        <v/>
      </c>
      <c r="S270" s="201" t="str">
        <f aca="false">IF(A271="","",R270)</f>
        <v/>
      </c>
      <c r="T270" s="200" t="str">
        <f aca="false">IF($A271="","",VLOOKUP($A270,Table,MATCH(T$4,Curves,0)))</f>
        <v/>
      </c>
      <c r="U270" s="201" t="str">
        <f aca="false">IF(A271="","",T270)</f>
        <v/>
      </c>
      <c r="V270" s="225" t="str">
        <f aca="false">IF($A271="","",IF(AND(MONTH(A270)&gt;3,MONTH(A270)&lt;11),(T270+R270+G270)*Summary!$T$9/(1-Summary!$T$9),(T270+R270+G270)*Summary!$U$9/(1-Summary!$U$9)))</f>
        <v/>
      </c>
      <c r="W270" s="200" t="str">
        <f aca="false">IF($A271="","",(T270+R270+G270+V270))</f>
        <v/>
      </c>
      <c r="X270" s="200" t="str">
        <f aca="false">IF($A271="","",(U270+S270+H270+V270))</f>
        <v/>
      </c>
      <c r="Y270" s="202"/>
      <c r="Z270" s="185" t="str">
        <f aca="false">IF($A271="","",VLOOKUP($A270,Table,MATCH(Z$4,Curves,0)))</f>
        <v/>
      </c>
      <c r="AA270" s="185" t="str">
        <f aca="false">IF($A271="","",VLOOKUP($A270,Table,MATCH(AA$4,Curves,0)))</f>
        <v/>
      </c>
      <c r="AB270" s="185" t="e">
        <f aca="false">SQRT((AA270^2*(A270-$D$3)+Z270^2*(DAY(EOMONTH(A270,0))/2))/AK270)</f>
        <v>#VALUE!</v>
      </c>
      <c r="AC270" s="185" t="str">
        <f aca="false">IF($A271="","",VLOOKUP($A270,Table,MATCH(AC$4,Curves,0)))</f>
        <v/>
      </c>
      <c r="AD270" s="185" t="str">
        <f aca="false">IF($A271="","",VLOOKUP($A270,Table,MATCH(AD$4,Curves,0)))</f>
        <v/>
      </c>
      <c r="AE270" s="185" t="e">
        <f aca="false">SQRT((AD270^2*(A270-$D$3)+AC270^2*(DAY(EOMONTH(A270,0))/2))/AK270)</f>
        <v>#VALUE!</v>
      </c>
      <c r="AF270" s="224" t="e">
        <f aca="false">((Summary!$N$9*(AA270*AD270)*(A270-$D$3))+(Summary!$M$9*Z270*AC270*(AJ270-EOMONTH(EDATE(A270,-1),0))))/(AK270*AB270*AE270)</f>
        <v>#VALUE!</v>
      </c>
      <c r="AG270" s="207" t="str">
        <f aca="false">IF($A271="","",Summary!$Q$9)</f>
        <v/>
      </c>
      <c r="AH270" s="207" t="str">
        <f aca="false">IF($A271="","",IF(Summary!$R$9="Y",VLOOKUP($A270,Summary!$AD$6:$AF$9,3)+'Escalating commodity'!E283,'Escalating commodity'!E283))</f>
        <v/>
      </c>
      <c r="AI270" s="207" t="str">
        <f aca="false">IF($A271="","",AH270)</f>
        <v/>
      </c>
      <c r="AJ270" s="208" t="e">
        <f aca="false">A270+DAY(EOMONTH(A270,0))/2-1</f>
        <v>#VALUE!</v>
      </c>
      <c r="AK270" s="209" t="str">
        <f aca="false">IF($A271="","",$A270-$E$1)</f>
        <v/>
      </c>
      <c r="AL270" s="182" t="str">
        <f aca="false">IF($A271="","",SPRDOPT(P270,X270,AI270,0,AB270,AE270,AF270,AK270,$AJ$2,0))</f>
        <v/>
      </c>
      <c r="AM270" s="211" t="str">
        <f aca="false">IF($A271="","",MAX(0,O270-W270-AI270))</f>
        <v/>
      </c>
      <c r="AN270" s="211" t="str">
        <f aca="false">IF($A271="","",AL270-AM270)</f>
        <v/>
      </c>
      <c r="AO270" s="137" t="str">
        <f aca="false">IF(A271="","",A271-A270)</f>
        <v/>
      </c>
      <c r="AP270" s="212" t="str">
        <f aca="false">IF(A271="","",CHOOSE(F$3,A271+24,A270))</f>
        <v/>
      </c>
      <c r="AQ270" s="209" t="str">
        <f aca="false">IF(A271="","",AP270-$E$1)</f>
        <v/>
      </c>
      <c r="AR270" s="185" t="n">
        <f aca="false">'ANR OK vs ML7'!AR270</f>
        <v>0.1</v>
      </c>
      <c r="AS270" s="213" t="str">
        <f aca="false">IF(A271="","",1/(1+CHOOSE(F$3,(AR271+($I$3/10000))/2,(AR270+($I$3/10000))/2))^(2*AQ270/365.25))</f>
        <v/>
      </c>
      <c r="AT270" s="137" t="str">
        <f aca="false">IF(A271="","",IF(AND(mthbeg&lt;=A270,mthend&gt;=A270),1,0))</f>
        <v/>
      </c>
      <c r="AU270" s="137" t="str">
        <f aca="false">IF(A271="","",AO270*AT270)</f>
        <v/>
      </c>
      <c r="AW270" s="195" t="str">
        <f aca="false">IF($A271="","",AL270*$E270)</f>
        <v/>
      </c>
      <c r="AX270" s="195" t="str">
        <f aca="false">IF($A271="","",AM270*$E270)</f>
        <v/>
      </c>
      <c r="AY270" s="195" t="str">
        <f aca="false">IF($A271="","",AN270*$E270)</f>
        <v/>
      </c>
      <c r="BA270" s="195" t="str">
        <f aca="false">IF($A271="","",F270*Summary!$Q$9)</f>
        <v/>
      </c>
    </row>
    <row r="271" customFormat="false" ht="12" hidden="false" customHeight="true" outlineLevel="0" collapsed="false">
      <c r="A271" s="196" t="str">
        <f aca="false">IF(A270&lt;mthend,EDATE(A270,1),"")</f>
        <v/>
      </c>
      <c r="B271" s="197" t="str">
        <f aca="false">IF(A271&lt;mthend,B270,"")</f>
        <v/>
      </c>
      <c r="C271" s="215"/>
      <c r="D271" s="197" t="str">
        <f aca="false">IF(A272&lt;&gt;"",B271+C271,"")</f>
        <v/>
      </c>
      <c r="E271" s="199" t="str">
        <f aca="false">IF(A272="","",IF(AND(AT271=1,$H$3=1),D271*AO271,IF($H$3=2,D271,"N/A")))</f>
        <v/>
      </c>
      <c r="F271" s="199" t="str">
        <f aca="false">IF(A272="","",E271*AS271)</f>
        <v/>
      </c>
      <c r="G271" s="200" t="str">
        <f aca="false">IF($A272="","",VLOOKUP($A271,Table,MATCH(G$4,Curves,0)))</f>
        <v/>
      </c>
      <c r="H271" s="201" t="str">
        <f aca="false">IF(A272="","",G271)</f>
        <v/>
      </c>
      <c r="I271" s="202"/>
      <c r="J271" s="200" t="str">
        <f aca="false">IF($A272="","",VLOOKUP($A271,Table,MATCH(J$4,Curves,0)))</f>
        <v/>
      </c>
      <c r="K271" s="201" t="str">
        <f aca="false">IF(A272="","",J271)</f>
        <v/>
      </c>
      <c r="L271" s="200" t="str">
        <f aca="false">IF($A272="","",VLOOKUP($A271,Table,MATCH(L$4,Curves,0)))</f>
        <v/>
      </c>
      <c r="M271" s="201" t="str">
        <f aca="false">IF(A272="","",L271)</f>
        <v/>
      </c>
      <c r="N271" s="203"/>
      <c r="O271" s="200" t="str">
        <f aca="false">IF(A272="","",L271+J271+G271)</f>
        <v/>
      </c>
      <c r="P271" s="200" t="str">
        <f aca="false">IF(A272="","",M271+K271+H271)</f>
        <v/>
      </c>
      <c r="Q271" s="204"/>
      <c r="R271" s="200" t="str">
        <f aca="false">IF($A272="","",VLOOKUP($A271,Table,MATCH(R$4,Curves,0)))</f>
        <v/>
      </c>
      <c r="S271" s="201" t="str">
        <f aca="false">IF(A272="","",R271)</f>
        <v/>
      </c>
      <c r="T271" s="200" t="str">
        <f aca="false">IF($A272="","",VLOOKUP($A271,Table,MATCH(T$4,Curves,0)))</f>
        <v/>
      </c>
      <c r="U271" s="201" t="str">
        <f aca="false">IF(A272="","",T271)</f>
        <v/>
      </c>
      <c r="V271" s="225" t="str">
        <f aca="false">IF($A272="","",IF(AND(MONTH(A271)&gt;3,MONTH(A271)&lt;11),(T271+R271+G271)*Summary!$T$9/(1-Summary!$T$9),(T271+R271+G271)*Summary!$U$9/(1-Summary!$U$9)))</f>
        <v/>
      </c>
      <c r="W271" s="200" t="str">
        <f aca="false">IF($A272="","",(T271+R271+G271+V271))</f>
        <v/>
      </c>
      <c r="X271" s="200" t="str">
        <f aca="false">IF($A272="","",(U271+S271+H271+V271))</f>
        <v/>
      </c>
      <c r="Y271" s="202"/>
      <c r="Z271" s="185" t="str">
        <f aca="false">IF($A272="","",VLOOKUP($A271,Table,MATCH(Z$4,Curves,0)))</f>
        <v/>
      </c>
      <c r="AA271" s="185" t="str">
        <f aca="false">IF($A272="","",VLOOKUP($A271,Table,MATCH(AA$4,Curves,0)))</f>
        <v/>
      </c>
      <c r="AB271" s="185" t="e">
        <f aca="false">SQRT((AA271^2*(A271-$D$3)+Z271^2*(DAY(EOMONTH(A271,0))/2))/AK271)</f>
        <v>#VALUE!</v>
      </c>
      <c r="AC271" s="185" t="str">
        <f aca="false">IF($A272="","",VLOOKUP($A271,Table,MATCH(AC$4,Curves,0)))</f>
        <v/>
      </c>
      <c r="AD271" s="185" t="str">
        <f aca="false">IF($A272="","",VLOOKUP($A271,Table,MATCH(AD$4,Curves,0)))</f>
        <v/>
      </c>
      <c r="AE271" s="185" t="e">
        <f aca="false">SQRT((AD271^2*(A271-$D$3)+AC271^2*(DAY(EOMONTH(A271,0))/2))/AK271)</f>
        <v>#VALUE!</v>
      </c>
      <c r="AF271" s="224" t="e">
        <f aca="false">((Summary!$N$9*(AA271*AD271)*(A271-$D$3))+(Summary!$M$9*Z271*AC271*(AJ271-EOMONTH(EDATE(A271,-1),0))))/(AK271*AB271*AE271)</f>
        <v>#VALUE!</v>
      </c>
      <c r="AG271" s="207" t="str">
        <f aca="false">IF($A272="","",Summary!$Q$9)</f>
        <v/>
      </c>
      <c r="AH271" s="207" t="str">
        <f aca="false">IF($A272="","",IF(Summary!$R$9="Y",VLOOKUP($A271,Summary!$AD$6:$AF$9,3)+'Escalating commodity'!E284,'Escalating commodity'!E284))</f>
        <v/>
      </c>
      <c r="AI271" s="207" t="str">
        <f aca="false">IF($A272="","",AH271)</f>
        <v/>
      </c>
      <c r="AJ271" s="208" t="e">
        <f aca="false">A271+DAY(EOMONTH(A271,0))/2-1</f>
        <v>#VALUE!</v>
      </c>
      <c r="AK271" s="209" t="str">
        <f aca="false">IF($A272="","",$A271-$E$1)</f>
        <v/>
      </c>
      <c r="AL271" s="182" t="str">
        <f aca="false">IF($A272="","",SPRDOPT(P271,X271,AI271,0,AB271,AE271,AF271,AK271,$AJ$2,0))</f>
        <v/>
      </c>
      <c r="AM271" s="211" t="str">
        <f aca="false">IF($A272="","",MAX(0,O271-W271-AI271))</f>
        <v/>
      </c>
      <c r="AN271" s="211" t="str">
        <f aca="false">IF($A272="","",AL271-AM271)</f>
        <v/>
      </c>
      <c r="AO271" s="137" t="str">
        <f aca="false">IF(A272="","",A272-A271)</f>
        <v/>
      </c>
      <c r="AP271" s="212" t="str">
        <f aca="false">IF(A272="","",CHOOSE(F$3,A272+24,A271))</f>
        <v/>
      </c>
      <c r="AQ271" s="209" t="str">
        <f aca="false">IF(A272="","",AP271-$E$1)</f>
        <v/>
      </c>
      <c r="AR271" s="185" t="n">
        <f aca="false">'ANR OK vs ML7'!AR271</f>
        <v>0.1</v>
      </c>
      <c r="AS271" s="213" t="str">
        <f aca="false">IF(A272="","",1/(1+CHOOSE(F$3,(AR272+($I$3/10000))/2,(AR271+($I$3/10000))/2))^(2*AQ271/365.25))</f>
        <v/>
      </c>
      <c r="AT271" s="137" t="str">
        <f aca="false">IF(A272="","",IF(AND(mthbeg&lt;=A271,mthend&gt;=A271),1,0))</f>
        <v/>
      </c>
      <c r="AU271" s="137" t="str">
        <f aca="false">IF(A272="","",AO271*AT271)</f>
        <v/>
      </c>
      <c r="AW271" s="195" t="str">
        <f aca="false">IF($A272="","",AL271*$E271)</f>
        <v/>
      </c>
      <c r="AX271" s="195" t="str">
        <f aca="false">IF($A272="","",AM271*$E271)</f>
        <v/>
      </c>
      <c r="AY271" s="195" t="str">
        <f aca="false">IF($A272="","",AN271*$E271)</f>
        <v/>
      </c>
      <c r="BA271" s="195" t="str">
        <f aca="false">IF($A272="","",F271*Summary!$Q$9)</f>
        <v/>
      </c>
    </row>
    <row r="272" customFormat="false" ht="12" hidden="false" customHeight="true" outlineLevel="0" collapsed="false">
      <c r="A272" s="196" t="str">
        <f aca="false">IF(A271&lt;mthend,EDATE(A271,1),"")</f>
        <v/>
      </c>
      <c r="B272" s="197" t="str">
        <f aca="false">IF(A272&lt;mthend,B271,"")</f>
        <v/>
      </c>
      <c r="C272" s="215"/>
      <c r="D272" s="197" t="str">
        <f aca="false">IF(A273&lt;&gt;"",B272+C272,"")</f>
        <v/>
      </c>
      <c r="E272" s="199" t="str">
        <f aca="false">IF(A273="","",IF(AND(AT272=1,$H$3=1),D272*AO272,IF($H$3=2,D272,"N/A")))</f>
        <v/>
      </c>
      <c r="F272" s="199" t="str">
        <f aca="false">IF(A273="","",E272*AS272)</f>
        <v/>
      </c>
      <c r="G272" s="200" t="str">
        <f aca="false">IF($A273="","",VLOOKUP($A272,Table,MATCH(G$4,Curves,0)))</f>
        <v/>
      </c>
      <c r="H272" s="201" t="str">
        <f aca="false">IF(A273="","",G272)</f>
        <v/>
      </c>
      <c r="I272" s="202"/>
      <c r="J272" s="200" t="str">
        <f aca="false">IF($A273="","",VLOOKUP($A272,Table,MATCH(J$4,Curves,0)))</f>
        <v/>
      </c>
      <c r="K272" s="201" t="str">
        <f aca="false">IF(A273="","",J272)</f>
        <v/>
      </c>
      <c r="L272" s="200" t="str">
        <f aca="false">IF($A273="","",VLOOKUP($A272,Table,MATCH(L$4,Curves,0)))</f>
        <v/>
      </c>
      <c r="M272" s="201" t="str">
        <f aca="false">IF(A273="","",L272)</f>
        <v/>
      </c>
      <c r="N272" s="203"/>
      <c r="O272" s="200" t="str">
        <f aca="false">IF(A273="","",L272+J272+G272)</f>
        <v/>
      </c>
      <c r="P272" s="200" t="str">
        <f aca="false">IF(A273="","",M272+K272+H272)</f>
        <v/>
      </c>
      <c r="Q272" s="204"/>
      <c r="R272" s="200" t="str">
        <f aca="false">IF($A273="","",VLOOKUP($A272,Table,MATCH(R$4,Curves,0)))</f>
        <v/>
      </c>
      <c r="S272" s="201" t="str">
        <f aca="false">IF(A273="","",R272)</f>
        <v/>
      </c>
      <c r="T272" s="200" t="str">
        <f aca="false">IF($A273="","",VLOOKUP($A272,Table,MATCH(T$4,Curves,0)))</f>
        <v/>
      </c>
      <c r="U272" s="201" t="str">
        <f aca="false">IF(A273="","",T272)</f>
        <v/>
      </c>
      <c r="V272" s="225" t="str">
        <f aca="false">IF($A273="","",IF(AND(MONTH(A272)&gt;3,MONTH(A272)&lt;11),(T272+R272+G272)*Summary!$T$9/(1-Summary!$T$9),(T272+R272+G272)*Summary!$U$9/(1-Summary!$U$9)))</f>
        <v/>
      </c>
      <c r="W272" s="200" t="str">
        <f aca="false">IF($A273="","",(T272+R272+G272+V272))</f>
        <v/>
      </c>
      <c r="X272" s="200" t="str">
        <f aca="false">IF($A273="","",(U272+S272+H272+V272))</f>
        <v/>
      </c>
      <c r="Y272" s="202"/>
      <c r="Z272" s="185" t="str">
        <f aca="false">IF($A273="","",VLOOKUP($A272,Table,MATCH(Z$4,Curves,0)))</f>
        <v/>
      </c>
      <c r="AA272" s="185" t="str">
        <f aca="false">IF($A273="","",VLOOKUP($A272,Table,MATCH(AA$4,Curves,0)))</f>
        <v/>
      </c>
      <c r="AB272" s="185" t="e">
        <f aca="false">SQRT((AA272^2*(A272-$D$3)+Z272^2*(DAY(EOMONTH(A272,0))/2))/AK272)</f>
        <v>#VALUE!</v>
      </c>
      <c r="AC272" s="185" t="str">
        <f aca="false">IF($A273="","",VLOOKUP($A272,Table,MATCH(AC$4,Curves,0)))</f>
        <v/>
      </c>
      <c r="AD272" s="185" t="str">
        <f aca="false">IF($A273="","",VLOOKUP($A272,Table,MATCH(AD$4,Curves,0)))</f>
        <v/>
      </c>
      <c r="AE272" s="185" t="e">
        <f aca="false">SQRT((AD272^2*(A272-$D$3)+AC272^2*(DAY(EOMONTH(A272,0))/2))/AK272)</f>
        <v>#VALUE!</v>
      </c>
      <c r="AF272" s="224" t="e">
        <f aca="false">((Summary!$N$9*(AA272*AD272)*(A272-$D$3))+(Summary!$M$9*Z272*AC272*(AJ272-EOMONTH(EDATE(A272,-1),0))))/(AK272*AB272*AE272)</f>
        <v>#VALUE!</v>
      </c>
      <c r="AG272" s="207" t="str">
        <f aca="false">IF($A273="","",Summary!$Q$9)</f>
        <v/>
      </c>
      <c r="AH272" s="207" t="str">
        <f aca="false">IF($A273="","",IF(Summary!$R$9="Y",VLOOKUP($A272,Summary!$AD$6:$AF$9,3)+'Escalating commodity'!E285,'Escalating commodity'!E285))</f>
        <v/>
      </c>
      <c r="AI272" s="207" t="str">
        <f aca="false">IF($A273="","",AH272)</f>
        <v/>
      </c>
      <c r="AJ272" s="208" t="e">
        <f aca="false">A272+DAY(EOMONTH(A272,0))/2-1</f>
        <v>#VALUE!</v>
      </c>
      <c r="AK272" s="209" t="str">
        <f aca="false">IF($A273="","",$A272-$E$1)</f>
        <v/>
      </c>
      <c r="AL272" s="182" t="str">
        <f aca="false">IF($A273="","",SPRDOPT(P272,X272,AI272,0,AB272,AE272,AF272,AK272,$AJ$2,0))</f>
        <v/>
      </c>
      <c r="AM272" s="211" t="str">
        <f aca="false">IF($A273="","",MAX(0,O272-W272-AI272))</f>
        <v/>
      </c>
      <c r="AN272" s="211" t="str">
        <f aca="false">IF($A273="","",AL272-AM272)</f>
        <v/>
      </c>
      <c r="AO272" s="137" t="str">
        <f aca="false">IF(A273="","",A273-A272)</f>
        <v/>
      </c>
      <c r="AP272" s="212" t="str">
        <f aca="false">IF(A273="","",CHOOSE(F$3,A273+24,A272))</f>
        <v/>
      </c>
      <c r="AQ272" s="209" t="str">
        <f aca="false">IF(A273="","",AP272-$E$1)</f>
        <v/>
      </c>
      <c r="AR272" s="185" t="n">
        <f aca="false">'ANR OK vs ML7'!AR272</f>
        <v>0.1</v>
      </c>
      <c r="AS272" s="213" t="str">
        <f aca="false">IF(A273="","",1/(1+CHOOSE(F$3,(AR273+($I$3/10000))/2,(AR272+($I$3/10000))/2))^(2*AQ272/365.25))</f>
        <v/>
      </c>
      <c r="AT272" s="137" t="str">
        <f aca="false">IF(A273="","",IF(AND(mthbeg&lt;=A272,mthend&gt;=A272),1,0))</f>
        <v/>
      </c>
      <c r="AU272" s="137" t="str">
        <f aca="false">IF(A273="","",AO272*AT272)</f>
        <v/>
      </c>
      <c r="AW272" s="195" t="str">
        <f aca="false">IF($A273="","",AL272*$E272)</f>
        <v/>
      </c>
      <c r="AX272" s="195" t="str">
        <f aca="false">IF($A273="","",AM272*$E272)</f>
        <v/>
      </c>
      <c r="AY272" s="195" t="str">
        <f aca="false">IF($A273="","",AN272*$E272)</f>
        <v/>
      </c>
      <c r="BA272" s="195" t="str">
        <f aca="false">IF($A273="","",F272*Summary!$Q$9)</f>
        <v/>
      </c>
    </row>
    <row r="273" customFormat="false" ht="12" hidden="false" customHeight="true" outlineLevel="0" collapsed="false">
      <c r="A273" s="196" t="str">
        <f aca="false">IF(A272&lt;mthend,EDATE(A272,1),"")</f>
        <v/>
      </c>
      <c r="B273" s="197" t="str">
        <f aca="false">IF(A273&lt;mthend,B272,"")</f>
        <v/>
      </c>
      <c r="C273" s="215"/>
      <c r="D273" s="197" t="str">
        <f aca="false">IF(A274&lt;&gt;"",B273+C273,"")</f>
        <v/>
      </c>
      <c r="E273" s="199" t="str">
        <f aca="false">IF(A274="","",IF(AND(AT273=1,$H$3=1),D273*AO273,IF($H$3=2,D273,"N/A")))</f>
        <v/>
      </c>
      <c r="F273" s="199" t="str">
        <f aca="false">IF(A274="","",E273*AS273)</f>
        <v/>
      </c>
      <c r="G273" s="200" t="str">
        <f aca="false">IF($A274="","",VLOOKUP($A273,Table,MATCH(G$4,Curves,0)))</f>
        <v/>
      </c>
      <c r="H273" s="201" t="str">
        <f aca="false">IF(A274="","",G273)</f>
        <v/>
      </c>
      <c r="I273" s="202"/>
      <c r="J273" s="200" t="str">
        <f aca="false">IF($A274="","",VLOOKUP($A273,Table,MATCH(J$4,Curves,0)))</f>
        <v/>
      </c>
      <c r="K273" s="201" t="str">
        <f aca="false">IF(A274="","",J273)</f>
        <v/>
      </c>
      <c r="L273" s="200" t="str">
        <f aca="false">IF($A274="","",VLOOKUP($A273,Table,MATCH(L$4,Curves,0)))</f>
        <v/>
      </c>
      <c r="M273" s="201" t="str">
        <f aca="false">IF(A274="","",L273)</f>
        <v/>
      </c>
      <c r="N273" s="203"/>
      <c r="O273" s="200" t="str">
        <f aca="false">IF(A274="","",L273+J273+G273)</f>
        <v/>
      </c>
      <c r="P273" s="200" t="str">
        <f aca="false">IF(A274="","",M273+K273+H273)</f>
        <v/>
      </c>
      <c r="Q273" s="204"/>
      <c r="R273" s="200" t="str">
        <f aca="false">IF($A274="","",VLOOKUP($A273,Table,MATCH(R$4,Curves,0)))</f>
        <v/>
      </c>
      <c r="S273" s="201" t="str">
        <f aca="false">IF(A274="","",R273)</f>
        <v/>
      </c>
      <c r="T273" s="200" t="str">
        <f aca="false">IF($A274="","",VLOOKUP($A273,Table,MATCH(T$4,Curves,0)))</f>
        <v/>
      </c>
      <c r="U273" s="201" t="str">
        <f aca="false">IF(A274="","",T273)</f>
        <v/>
      </c>
      <c r="V273" s="225" t="str">
        <f aca="false">IF($A274="","",IF(AND(MONTH(A273)&gt;3,MONTH(A273)&lt;11),(T273+R273+G273)*Summary!$T$9/(1-Summary!$T$9),(T273+R273+G273)*Summary!$U$9/(1-Summary!$U$9)))</f>
        <v/>
      </c>
      <c r="W273" s="200" t="str">
        <f aca="false">IF($A274="","",(T273+R273+G273+V273))</f>
        <v/>
      </c>
      <c r="X273" s="200" t="str">
        <f aca="false">IF($A274="","",(U273+S273+H273+V273))</f>
        <v/>
      </c>
      <c r="Y273" s="202"/>
      <c r="Z273" s="185" t="str">
        <f aca="false">IF($A274="","",VLOOKUP($A273,Table,MATCH(Z$4,Curves,0)))</f>
        <v/>
      </c>
      <c r="AA273" s="185" t="str">
        <f aca="false">IF($A274="","",VLOOKUP($A273,Table,MATCH(AA$4,Curves,0)))</f>
        <v/>
      </c>
      <c r="AB273" s="185" t="e">
        <f aca="false">SQRT((AA273^2*(A273-$D$3)+Z273^2*(DAY(EOMONTH(A273,0))/2))/AK273)</f>
        <v>#VALUE!</v>
      </c>
      <c r="AC273" s="185" t="str">
        <f aca="false">IF($A274="","",VLOOKUP($A273,Table,MATCH(AC$4,Curves,0)))</f>
        <v/>
      </c>
      <c r="AD273" s="185" t="str">
        <f aca="false">IF($A274="","",VLOOKUP($A273,Table,MATCH(AD$4,Curves,0)))</f>
        <v/>
      </c>
      <c r="AE273" s="185" t="e">
        <f aca="false">SQRT((AD273^2*(A273-$D$3)+AC273^2*(DAY(EOMONTH(A273,0))/2))/AK273)</f>
        <v>#VALUE!</v>
      </c>
      <c r="AF273" s="224" t="e">
        <f aca="false">((Summary!$N$9*(AA273*AD273)*(A273-$D$3))+(Summary!$M$9*Z273*AC273*(AJ273-EOMONTH(EDATE(A273,-1),0))))/(AK273*AB273*AE273)</f>
        <v>#VALUE!</v>
      </c>
      <c r="AG273" s="207" t="str">
        <f aca="false">IF($A274="","",Summary!$Q$9)</f>
        <v/>
      </c>
      <c r="AH273" s="207" t="str">
        <f aca="false">IF($A274="","",IF(Summary!$R$9="Y",VLOOKUP($A273,Summary!$AD$6:$AF$9,3)+'Escalating commodity'!E286,'Escalating commodity'!E286))</f>
        <v/>
      </c>
      <c r="AI273" s="207" t="str">
        <f aca="false">IF($A274="","",AH273)</f>
        <v/>
      </c>
      <c r="AJ273" s="208" t="e">
        <f aca="false">A273+DAY(EOMONTH(A273,0))/2-1</f>
        <v>#VALUE!</v>
      </c>
      <c r="AK273" s="209" t="str">
        <f aca="false">IF($A274="","",$A273-$E$1)</f>
        <v/>
      </c>
      <c r="AL273" s="182" t="str">
        <f aca="false">IF($A274="","",SPRDOPT(P273,X273,AI273,0,AB273,AE273,AF273,AK273,$AJ$2,0))</f>
        <v/>
      </c>
      <c r="AM273" s="211" t="str">
        <f aca="false">IF($A274="","",MAX(0,O273-W273-AI273))</f>
        <v/>
      </c>
      <c r="AN273" s="211" t="str">
        <f aca="false">IF($A274="","",AL273-AM273)</f>
        <v/>
      </c>
      <c r="AO273" s="137" t="str">
        <f aca="false">IF(A274="","",A274-A273)</f>
        <v/>
      </c>
      <c r="AP273" s="212" t="str">
        <f aca="false">IF(A274="","",CHOOSE(F$3,A274+24,A273))</f>
        <v/>
      </c>
      <c r="AQ273" s="209" t="str">
        <f aca="false">IF(A274="","",AP273-$E$1)</f>
        <v/>
      </c>
      <c r="AR273" s="185" t="n">
        <f aca="false">'ANR OK vs ML7'!AR273</f>
        <v>0.1</v>
      </c>
      <c r="AS273" s="213" t="str">
        <f aca="false">IF(A274="","",1/(1+CHOOSE(F$3,(AR274+($I$3/10000))/2,(AR273+($I$3/10000))/2))^(2*AQ273/365.25))</f>
        <v/>
      </c>
      <c r="AT273" s="137" t="str">
        <f aca="false">IF(A274="","",IF(AND(mthbeg&lt;=A273,mthend&gt;=A273),1,0))</f>
        <v/>
      </c>
      <c r="AU273" s="137" t="str">
        <f aca="false">IF(A274="","",AO273*AT273)</f>
        <v/>
      </c>
      <c r="AW273" s="195" t="str">
        <f aca="false">IF($A274="","",AL273*$E273)</f>
        <v/>
      </c>
      <c r="AX273" s="195" t="str">
        <f aca="false">IF($A274="","",AM273*$E273)</f>
        <v/>
      </c>
      <c r="AY273" s="195" t="str">
        <f aca="false">IF($A274="","",AN273*$E273)</f>
        <v/>
      </c>
      <c r="BA273" s="195" t="str">
        <f aca="false">IF($A274="","",F273*Summary!$Q$9)</f>
        <v/>
      </c>
    </row>
    <row r="274" customFormat="false" ht="12" hidden="false" customHeight="true" outlineLevel="0" collapsed="false">
      <c r="A274" s="196" t="str">
        <f aca="false">IF(A273&lt;mthend,EDATE(A273,1),"")</f>
        <v/>
      </c>
      <c r="B274" s="197" t="str">
        <f aca="false">IF(A274&lt;mthend,B273,"")</f>
        <v/>
      </c>
      <c r="C274" s="215"/>
      <c r="D274" s="197" t="str">
        <f aca="false">IF(A275&lt;&gt;"",B274+C274,"")</f>
        <v/>
      </c>
      <c r="E274" s="199" t="str">
        <f aca="false">IF(A275="","",IF(AND(AT274=1,$H$3=1),D274*AO274,IF($H$3=2,D274,"N/A")))</f>
        <v/>
      </c>
      <c r="F274" s="199" t="str">
        <f aca="false">IF(A275="","",E274*AS274)</f>
        <v/>
      </c>
      <c r="G274" s="200" t="str">
        <f aca="false">IF($A275="","",VLOOKUP($A274,Table,MATCH(G$4,Curves,0)))</f>
        <v/>
      </c>
      <c r="H274" s="201" t="str">
        <f aca="false">IF(A275="","",G274)</f>
        <v/>
      </c>
      <c r="I274" s="202"/>
      <c r="J274" s="200" t="str">
        <f aca="false">IF($A275="","",VLOOKUP($A274,Table,MATCH(J$4,Curves,0)))</f>
        <v/>
      </c>
      <c r="K274" s="201" t="str">
        <f aca="false">IF(A275="","",J274)</f>
        <v/>
      </c>
      <c r="L274" s="200" t="str">
        <f aca="false">IF($A275="","",VLOOKUP($A274,Table,MATCH(L$4,Curves,0)))</f>
        <v/>
      </c>
      <c r="M274" s="201" t="str">
        <f aca="false">IF(A275="","",L274)</f>
        <v/>
      </c>
      <c r="N274" s="203"/>
      <c r="O274" s="200" t="str">
        <f aca="false">IF(A275="","",L274+J274+G274)</f>
        <v/>
      </c>
      <c r="P274" s="200" t="str">
        <f aca="false">IF(A275="","",M274+K274+H274)</f>
        <v/>
      </c>
      <c r="Q274" s="204"/>
      <c r="R274" s="200" t="str">
        <f aca="false">IF($A275="","",VLOOKUP($A274,Table,MATCH(R$4,Curves,0)))</f>
        <v/>
      </c>
      <c r="S274" s="201" t="str">
        <f aca="false">IF(A275="","",R274)</f>
        <v/>
      </c>
      <c r="T274" s="200" t="str">
        <f aca="false">IF($A275="","",VLOOKUP($A274,Table,MATCH(T$4,Curves,0)))</f>
        <v/>
      </c>
      <c r="U274" s="201" t="str">
        <f aca="false">IF(A275="","",T274)</f>
        <v/>
      </c>
      <c r="V274" s="225" t="str">
        <f aca="false">IF($A275="","",IF(AND(MONTH(A274)&gt;3,MONTH(A274)&lt;11),(T274+R274+G274)*Summary!$T$9/(1-Summary!$T$9),(T274+R274+G274)*Summary!$U$9/(1-Summary!$U$9)))</f>
        <v/>
      </c>
      <c r="W274" s="200" t="str">
        <f aca="false">IF($A275="","",(T274+R274+G274+V274))</f>
        <v/>
      </c>
      <c r="X274" s="200" t="str">
        <f aca="false">IF($A275="","",(U274+S274+H274+V274))</f>
        <v/>
      </c>
      <c r="Y274" s="202"/>
      <c r="Z274" s="185" t="str">
        <f aca="false">IF($A275="","",VLOOKUP($A274,Table,MATCH(Z$4,Curves,0)))</f>
        <v/>
      </c>
      <c r="AA274" s="185" t="str">
        <f aca="false">IF($A275="","",VLOOKUP($A274,Table,MATCH(AA$4,Curves,0)))</f>
        <v/>
      </c>
      <c r="AB274" s="185" t="e">
        <f aca="false">SQRT((AA274^2*(A274-$D$3)+Z274^2*(DAY(EOMONTH(A274,0))/2))/AK274)</f>
        <v>#VALUE!</v>
      </c>
      <c r="AC274" s="185" t="str">
        <f aca="false">IF($A275="","",VLOOKUP($A274,Table,MATCH(AC$4,Curves,0)))</f>
        <v/>
      </c>
      <c r="AD274" s="185" t="str">
        <f aca="false">IF($A275="","",VLOOKUP($A274,Table,MATCH(AD$4,Curves,0)))</f>
        <v/>
      </c>
      <c r="AE274" s="185" t="e">
        <f aca="false">SQRT((AD274^2*(A274-$D$3)+AC274^2*(DAY(EOMONTH(A274,0))/2))/AK274)</f>
        <v>#VALUE!</v>
      </c>
      <c r="AF274" s="224" t="e">
        <f aca="false">((Summary!$N$9*(AA274*AD274)*(A274-$D$3))+(Summary!$M$9*Z274*AC274*(AJ274-EOMONTH(EDATE(A274,-1),0))))/(AK274*AB274*AE274)</f>
        <v>#VALUE!</v>
      </c>
      <c r="AG274" s="207" t="str">
        <f aca="false">IF($A275="","",Summary!$Q$9)</f>
        <v/>
      </c>
      <c r="AH274" s="207" t="str">
        <f aca="false">IF($A275="","",IF(Summary!$R$9="Y",VLOOKUP($A274,Summary!$AD$6:$AF$9,3)+'Escalating commodity'!E287,'Escalating commodity'!E287))</f>
        <v/>
      </c>
      <c r="AI274" s="207" t="str">
        <f aca="false">IF($A275="","",AH274)</f>
        <v/>
      </c>
      <c r="AJ274" s="208" t="e">
        <f aca="false">A274+DAY(EOMONTH(A274,0))/2-1</f>
        <v>#VALUE!</v>
      </c>
      <c r="AK274" s="209" t="str">
        <f aca="false">IF($A275="","",$A274-$E$1)</f>
        <v/>
      </c>
      <c r="AL274" s="182" t="str">
        <f aca="false">IF($A275="","",SPRDOPT(P274,X274,AI274,0,AB274,AE274,AF274,AK274,$AJ$2,0))</f>
        <v/>
      </c>
      <c r="AM274" s="211" t="str">
        <f aca="false">IF($A275="","",MAX(0,O274-W274-AI274))</f>
        <v/>
      </c>
      <c r="AN274" s="211" t="str">
        <f aca="false">IF($A275="","",AL274-AM274)</f>
        <v/>
      </c>
      <c r="AO274" s="137" t="str">
        <f aca="false">IF(A275="","",A275-A274)</f>
        <v/>
      </c>
      <c r="AP274" s="212" t="str">
        <f aca="false">IF(A275="","",CHOOSE(F$3,A275+24,A274))</f>
        <v/>
      </c>
      <c r="AQ274" s="209" t="str">
        <f aca="false">IF(A275="","",AP274-$E$1)</f>
        <v/>
      </c>
      <c r="AR274" s="185" t="n">
        <f aca="false">'ANR OK vs ML7'!AR274</f>
        <v>0.1</v>
      </c>
      <c r="AS274" s="213" t="str">
        <f aca="false">IF(A275="","",1/(1+CHOOSE(F$3,(AR275+($I$3/10000))/2,(AR274+($I$3/10000))/2))^(2*AQ274/365.25))</f>
        <v/>
      </c>
      <c r="AT274" s="137" t="str">
        <f aca="false">IF(A275="","",IF(AND(mthbeg&lt;=A274,mthend&gt;=A274),1,0))</f>
        <v/>
      </c>
      <c r="AU274" s="137" t="str">
        <f aca="false">IF(A275="","",AO274*AT274)</f>
        <v/>
      </c>
      <c r="AW274" s="195" t="str">
        <f aca="false">IF($A275="","",AL274*$E274)</f>
        <v/>
      </c>
      <c r="AX274" s="195" t="str">
        <f aca="false">IF($A275="","",AM274*$E274)</f>
        <v/>
      </c>
      <c r="AY274" s="195" t="str">
        <f aca="false">IF($A275="","",AN274*$E274)</f>
        <v/>
      </c>
      <c r="BA274" s="195" t="str">
        <f aca="false">IF($A275="","",F274*Summary!$Q$9)</f>
        <v/>
      </c>
    </row>
    <row r="275" customFormat="false" ht="12" hidden="false" customHeight="true" outlineLevel="0" collapsed="false">
      <c r="A275" s="196" t="str">
        <f aca="false">IF(A274&lt;mthend,EDATE(A274,1),"")</f>
        <v/>
      </c>
      <c r="B275" s="197" t="str">
        <f aca="false">IF(A275&lt;mthend,B274,"")</f>
        <v/>
      </c>
      <c r="C275" s="215"/>
      <c r="D275" s="197" t="str">
        <f aca="false">IF(A276&lt;&gt;"",B275+C275,"")</f>
        <v/>
      </c>
      <c r="E275" s="199" t="str">
        <f aca="false">IF(A276="","",IF(AND(AT275=1,$H$3=1),D275*AO275,IF($H$3=2,D275,"N/A")))</f>
        <v/>
      </c>
      <c r="F275" s="199" t="str">
        <f aca="false">IF(A276="","",E275*AS275)</f>
        <v/>
      </c>
      <c r="G275" s="200" t="str">
        <f aca="false">IF($A276="","",VLOOKUP($A275,Table,MATCH(G$4,Curves,0)))</f>
        <v/>
      </c>
      <c r="H275" s="201" t="str">
        <f aca="false">IF(A276="","",G275)</f>
        <v/>
      </c>
      <c r="I275" s="202"/>
      <c r="J275" s="200" t="str">
        <f aca="false">IF($A276="","",VLOOKUP($A275,Table,MATCH(J$4,Curves,0)))</f>
        <v/>
      </c>
      <c r="K275" s="201" t="str">
        <f aca="false">IF(A276="","",J275)</f>
        <v/>
      </c>
      <c r="L275" s="200" t="str">
        <f aca="false">IF($A276="","",VLOOKUP($A275,Table,MATCH(L$4,Curves,0)))</f>
        <v/>
      </c>
      <c r="M275" s="201" t="str">
        <f aca="false">IF(A276="","",L275)</f>
        <v/>
      </c>
      <c r="N275" s="203"/>
      <c r="O275" s="200" t="str">
        <f aca="false">IF(A276="","",L275+J275+G275)</f>
        <v/>
      </c>
      <c r="P275" s="200" t="str">
        <f aca="false">IF(A276="","",M275+K275+H275)</f>
        <v/>
      </c>
      <c r="Q275" s="204"/>
      <c r="R275" s="200" t="str">
        <f aca="false">IF($A276="","",VLOOKUP($A275,Table,MATCH(R$4,Curves,0)))</f>
        <v/>
      </c>
      <c r="S275" s="201" t="str">
        <f aca="false">IF(A276="","",R275)</f>
        <v/>
      </c>
      <c r="T275" s="200" t="str">
        <f aca="false">IF($A276="","",VLOOKUP($A275,Table,MATCH(T$4,Curves,0)))</f>
        <v/>
      </c>
      <c r="U275" s="201" t="str">
        <f aca="false">IF(A276="","",T275)</f>
        <v/>
      </c>
      <c r="V275" s="225" t="str">
        <f aca="false">IF($A276="","",IF(AND(MONTH(A275)&gt;3,MONTH(A275)&lt;11),(T275+R275+G275)*Summary!$T$9/(1-Summary!$T$9),(T275+R275+G275)*Summary!$U$9/(1-Summary!$U$9)))</f>
        <v/>
      </c>
      <c r="W275" s="200" t="str">
        <f aca="false">IF($A276="","",(T275+R275+G275+V275))</f>
        <v/>
      </c>
      <c r="X275" s="200" t="str">
        <f aca="false">IF($A276="","",(U275+S275+H275+V275))</f>
        <v/>
      </c>
      <c r="Y275" s="202"/>
      <c r="Z275" s="185" t="str">
        <f aca="false">IF($A276="","",VLOOKUP($A275,Table,MATCH(Z$4,Curves,0)))</f>
        <v/>
      </c>
      <c r="AA275" s="185" t="str">
        <f aca="false">IF($A276="","",VLOOKUP($A275,Table,MATCH(AA$4,Curves,0)))</f>
        <v/>
      </c>
      <c r="AB275" s="185" t="e">
        <f aca="false">SQRT((AA275^2*(A275-$D$3)+Z275^2*(DAY(EOMONTH(A275,0))/2))/AK275)</f>
        <v>#VALUE!</v>
      </c>
      <c r="AC275" s="185" t="str">
        <f aca="false">IF($A276="","",VLOOKUP($A275,Table,MATCH(AC$4,Curves,0)))</f>
        <v/>
      </c>
      <c r="AD275" s="185" t="str">
        <f aca="false">IF($A276="","",VLOOKUP($A275,Table,MATCH(AD$4,Curves,0)))</f>
        <v/>
      </c>
      <c r="AE275" s="185" t="e">
        <f aca="false">SQRT((AD275^2*(A275-$D$3)+AC275^2*(DAY(EOMONTH(A275,0))/2))/AK275)</f>
        <v>#VALUE!</v>
      </c>
      <c r="AF275" s="224" t="e">
        <f aca="false">((Summary!$N$9*(AA275*AD275)*(A275-$D$3))+(Summary!$M$9*Z275*AC275*(AJ275-EOMONTH(EDATE(A275,-1),0))))/(AK275*AB275*AE275)</f>
        <v>#VALUE!</v>
      </c>
      <c r="AG275" s="207" t="str">
        <f aca="false">IF($A276="","",Summary!$Q$9)</f>
        <v/>
      </c>
      <c r="AH275" s="207" t="str">
        <f aca="false">IF($A276="","",IF(Summary!$R$9="Y",VLOOKUP($A275,Summary!$AD$6:$AF$9,3)+'Escalating commodity'!E288,'Escalating commodity'!E288))</f>
        <v/>
      </c>
      <c r="AI275" s="207" t="str">
        <f aca="false">IF($A276="","",AH275)</f>
        <v/>
      </c>
      <c r="AJ275" s="208" t="e">
        <f aca="false">A275+DAY(EOMONTH(A275,0))/2-1</f>
        <v>#VALUE!</v>
      </c>
      <c r="AK275" s="209" t="str">
        <f aca="false">IF($A276="","",$A275-$E$1)</f>
        <v/>
      </c>
      <c r="AL275" s="182" t="str">
        <f aca="false">IF($A276="","",SPRDOPT(P275,X275,AI275,0,AB275,AE275,AF275,AK275,$AJ$2,0))</f>
        <v/>
      </c>
      <c r="AM275" s="211" t="str">
        <f aca="false">IF($A276="","",MAX(0,O275-W275-AI275))</f>
        <v/>
      </c>
      <c r="AN275" s="211" t="str">
        <f aca="false">IF($A276="","",AL275-AM275)</f>
        <v/>
      </c>
      <c r="AO275" s="137" t="str">
        <f aca="false">IF(A276="","",A276-A275)</f>
        <v/>
      </c>
      <c r="AP275" s="212" t="str">
        <f aca="false">IF(A276="","",CHOOSE(F$3,A276+24,A275))</f>
        <v/>
      </c>
      <c r="AQ275" s="209" t="str">
        <f aca="false">IF(A276="","",AP275-$E$1)</f>
        <v/>
      </c>
      <c r="AR275" s="185" t="n">
        <f aca="false">'ANR OK vs ML7'!AR275</f>
        <v>0.1</v>
      </c>
      <c r="AS275" s="213" t="str">
        <f aca="false">IF(A276="","",1/(1+CHOOSE(F$3,(AR276+($I$3/10000))/2,(AR275+($I$3/10000))/2))^(2*AQ275/365.25))</f>
        <v/>
      </c>
      <c r="AT275" s="137" t="str">
        <f aca="false">IF(A276="","",IF(AND(mthbeg&lt;=A275,mthend&gt;=A275),1,0))</f>
        <v/>
      </c>
      <c r="AU275" s="137" t="str">
        <f aca="false">IF(A276="","",AO275*AT275)</f>
        <v/>
      </c>
      <c r="AW275" s="195" t="str">
        <f aca="false">IF($A276="","",AL275*$E275)</f>
        <v/>
      </c>
      <c r="AX275" s="195" t="str">
        <f aca="false">IF($A276="","",AM275*$E275)</f>
        <v/>
      </c>
      <c r="AY275" s="195" t="str">
        <f aca="false">IF($A276="","",AN275*$E275)</f>
        <v/>
      </c>
      <c r="BA275" s="195" t="str">
        <f aca="false">IF($A276="","",F275*Summary!$Q$9)</f>
        <v/>
      </c>
    </row>
    <row r="276" customFormat="false" ht="12" hidden="false" customHeight="true" outlineLevel="0" collapsed="false">
      <c r="A276" s="196" t="str">
        <f aca="false">IF(A275&lt;mthend,EDATE(A275,1),"")</f>
        <v/>
      </c>
      <c r="B276" s="197" t="str">
        <f aca="false">IF(A276&lt;mthend,B275,"")</f>
        <v/>
      </c>
      <c r="C276" s="215"/>
      <c r="D276" s="197" t="str">
        <f aca="false">IF(A277&lt;&gt;"",B276+C276,"")</f>
        <v/>
      </c>
      <c r="E276" s="199" t="str">
        <f aca="false">IF(A277="","",IF(AND(AT276=1,$H$3=1),D276*AO276,IF($H$3=2,D276,"N/A")))</f>
        <v/>
      </c>
      <c r="F276" s="199" t="str">
        <f aca="false">IF(A277="","",E276*AS276)</f>
        <v/>
      </c>
      <c r="G276" s="200" t="str">
        <f aca="false">IF($A277="","",VLOOKUP($A276,Table,MATCH(G$4,Curves,0)))</f>
        <v/>
      </c>
      <c r="H276" s="201" t="str">
        <f aca="false">IF(A277="","",G276)</f>
        <v/>
      </c>
      <c r="I276" s="202"/>
      <c r="J276" s="200" t="str">
        <f aca="false">IF($A277="","",VLOOKUP($A276,Table,MATCH(J$4,Curves,0)))</f>
        <v/>
      </c>
      <c r="K276" s="201" t="str">
        <f aca="false">IF(A277="","",J276)</f>
        <v/>
      </c>
      <c r="L276" s="200" t="str">
        <f aca="false">IF($A277="","",VLOOKUP($A276,Table,MATCH(L$4,Curves,0)))</f>
        <v/>
      </c>
      <c r="M276" s="201" t="str">
        <f aca="false">IF(A277="","",L276)</f>
        <v/>
      </c>
      <c r="N276" s="203"/>
      <c r="O276" s="200" t="str">
        <f aca="false">IF(A277="","",L276+J276+G276)</f>
        <v/>
      </c>
      <c r="P276" s="200" t="str">
        <f aca="false">IF(A277="","",M276+K276+H276)</f>
        <v/>
      </c>
      <c r="Q276" s="204"/>
      <c r="R276" s="200" t="str">
        <f aca="false">IF($A277="","",VLOOKUP($A276,Table,MATCH(R$4,Curves,0)))</f>
        <v/>
      </c>
      <c r="S276" s="201" t="str">
        <f aca="false">IF(A277="","",R276)</f>
        <v/>
      </c>
      <c r="T276" s="200" t="str">
        <f aca="false">IF($A277="","",VLOOKUP($A276,Table,MATCH(T$4,Curves,0)))</f>
        <v/>
      </c>
      <c r="U276" s="201" t="str">
        <f aca="false">IF(A277="","",T276)</f>
        <v/>
      </c>
      <c r="V276" s="225" t="str">
        <f aca="false">IF($A277="","",IF(AND(MONTH(A276)&gt;3,MONTH(A276)&lt;11),(T276+R276+G276)*Summary!$T$9/(1-Summary!$T$9),(T276+R276+G276)*Summary!$U$9/(1-Summary!$U$9)))</f>
        <v/>
      </c>
      <c r="W276" s="200" t="str">
        <f aca="false">IF($A277="","",(T276+R276+G276+V276))</f>
        <v/>
      </c>
      <c r="X276" s="200" t="str">
        <f aca="false">IF($A277="","",(U276+S276+H276+V276))</f>
        <v/>
      </c>
      <c r="Y276" s="202"/>
      <c r="Z276" s="185" t="str">
        <f aca="false">IF($A277="","",VLOOKUP($A276,Table,MATCH(Z$4,Curves,0)))</f>
        <v/>
      </c>
      <c r="AA276" s="185" t="str">
        <f aca="false">IF($A277="","",VLOOKUP($A276,Table,MATCH(AA$4,Curves,0)))</f>
        <v/>
      </c>
      <c r="AB276" s="185" t="e">
        <f aca="false">SQRT((AA276^2*(A276-$D$3)+Z276^2*(DAY(EOMONTH(A276,0))/2))/AK276)</f>
        <v>#VALUE!</v>
      </c>
      <c r="AC276" s="185" t="str">
        <f aca="false">IF($A277="","",VLOOKUP($A276,Table,MATCH(AC$4,Curves,0)))</f>
        <v/>
      </c>
      <c r="AD276" s="185" t="str">
        <f aca="false">IF($A277="","",VLOOKUP($A276,Table,MATCH(AD$4,Curves,0)))</f>
        <v/>
      </c>
      <c r="AE276" s="185" t="e">
        <f aca="false">SQRT((AD276^2*(A276-$D$3)+AC276^2*(DAY(EOMONTH(A276,0))/2))/AK276)</f>
        <v>#VALUE!</v>
      </c>
      <c r="AF276" s="224" t="e">
        <f aca="false">((Summary!$N$9*(AA276*AD276)*(A276-$D$3))+(Summary!$M$9*Z276*AC276*(AJ276-EOMONTH(EDATE(A276,-1),0))))/(AK276*AB276*AE276)</f>
        <v>#VALUE!</v>
      </c>
      <c r="AG276" s="207" t="str">
        <f aca="false">IF($A277="","",Summary!$Q$9)</f>
        <v/>
      </c>
      <c r="AH276" s="207" t="str">
        <f aca="false">IF($A277="","",IF(Summary!$R$9="Y",VLOOKUP($A276,Summary!$AD$6:$AF$9,3)+'Escalating commodity'!E289,'Escalating commodity'!E289))</f>
        <v/>
      </c>
      <c r="AI276" s="207" t="str">
        <f aca="false">IF($A277="","",AH276)</f>
        <v/>
      </c>
      <c r="AJ276" s="208" t="e">
        <f aca="false">A276+DAY(EOMONTH(A276,0))/2-1</f>
        <v>#VALUE!</v>
      </c>
      <c r="AK276" s="209" t="str">
        <f aca="false">IF($A277="","",$A276-$E$1)</f>
        <v/>
      </c>
      <c r="AL276" s="182" t="str">
        <f aca="false">IF($A277="","",SPRDOPT(P276,X276,AI276,0,AB276,AE276,AF276,AK276,$AJ$2,0))</f>
        <v/>
      </c>
      <c r="AM276" s="211" t="str">
        <f aca="false">IF($A277="","",MAX(0,O276-W276-AI276))</f>
        <v/>
      </c>
      <c r="AN276" s="211" t="str">
        <f aca="false">IF($A277="","",AL276-AM276)</f>
        <v/>
      </c>
      <c r="AO276" s="137" t="str">
        <f aca="false">IF(A277="","",A277-A276)</f>
        <v/>
      </c>
      <c r="AP276" s="212" t="str">
        <f aca="false">IF(A277="","",CHOOSE(F$3,A277+24,A276))</f>
        <v/>
      </c>
      <c r="AQ276" s="209" t="str">
        <f aca="false">IF(A277="","",AP276-$E$1)</f>
        <v/>
      </c>
      <c r="AR276" s="185" t="n">
        <f aca="false">'ANR OK vs ML7'!AR276</f>
        <v>0.1</v>
      </c>
      <c r="AS276" s="213" t="str">
        <f aca="false">IF(A277="","",1/(1+CHOOSE(F$3,(AR277+($I$3/10000))/2,(AR276+($I$3/10000))/2))^(2*AQ276/365.25))</f>
        <v/>
      </c>
      <c r="AT276" s="137" t="str">
        <f aca="false">IF(A277="","",IF(AND(mthbeg&lt;=A276,mthend&gt;=A276),1,0))</f>
        <v/>
      </c>
      <c r="AU276" s="137" t="str">
        <f aca="false">IF(A277="","",AO276*AT276)</f>
        <v/>
      </c>
      <c r="AW276" s="195" t="str">
        <f aca="false">IF($A277="","",AL276*$E276)</f>
        <v/>
      </c>
      <c r="AX276" s="195" t="str">
        <f aca="false">IF($A277="","",AM276*$E276)</f>
        <v/>
      </c>
      <c r="AY276" s="195" t="str">
        <f aca="false">IF($A277="","",AN276*$E276)</f>
        <v/>
      </c>
      <c r="BA276" s="195" t="str">
        <f aca="false">IF($A277="","",F276*Summary!$Q$9)</f>
        <v/>
      </c>
    </row>
    <row r="277" customFormat="false" ht="12" hidden="false" customHeight="true" outlineLevel="0" collapsed="false">
      <c r="A277" s="196" t="str">
        <f aca="false">IF(A276&lt;mthend,EDATE(A276,1),"")</f>
        <v/>
      </c>
      <c r="B277" s="197" t="str">
        <f aca="false">IF(A277&lt;mthend,B276,"")</f>
        <v/>
      </c>
      <c r="C277" s="215"/>
      <c r="D277" s="197" t="str">
        <f aca="false">IF(A278&lt;&gt;"",B277+C277,"")</f>
        <v/>
      </c>
      <c r="E277" s="199" t="str">
        <f aca="false">IF(A278="","",IF(AND(AT277=1,$H$3=1),D277*AO277,IF($H$3=2,D277,"N/A")))</f>
        <v/>
      </c>
      <c r="F277" s="199" t="str">
        <f aca="false">IF(A278="","",E277*AS277)</f>
        <v/>
      </c>
      <c r="G277" s="200" t="str">
        <f aca="false">IF($A278="","",VLOOKUP($A277,Table,MATCH(G$4,Curves,0)))</f>
        <v/>
      </c>
      <c r="H277" s="201" t="str">
        <f aca="false">IF(A278="","",G277)</f>
        <v/>
      </c>
      <c r="I277" s="202"/>
      <c r="J277" s="200" t="str">
        <f aca="false">IF($A278="","",VLOOKUP($A277,Table,MATCH(J$4,Curves,0)))</f>
        <v/>
      </c>
      <c r="K277" s="201" t="str">
        <f aca="false">IF(A278="","",J277)</f>
        <v/>
      </c>
      <c r="L277" s="200" t="str">
        <f aca="false">IF($A278="","",VLOOKUP($A277,Table,MATCH(L$4,Curves,0)))</f>
        <v/>
      </c>
      <c r="M277" s="201" t="str">
        <f aca="false">IF(A278="","",L277)</f>
        <v/>
      </c>
      <c r="N277" s="203"/>
      <c r="O277" s="200" t="str">
        <f aca="false">IF(A278="","",L277+J277+G277)</f>
        <v/>
      </c>
      <c r="P277" s="200" t="str">
        <f aca="false">IF(A278="","",M277+K277+H277)</f>
        <v/>
      </c>
      <c r="Q277" s="204"/>
      <c r="R277" s="200" t="str">
        <f aca="false">IF($A278="","",VLOOKUP($A277,Table,MATCH(R$4,Curves,0)))</f>
        <v/>
      </c>
      <c r="S277" s="201" t="str">
        <f aca="false">IF(A278="","",R277)</f>
        <v/>
      </c>
      <c r="T277" s="200" t="str">
        <f aca="false">IF($A278="","",VLOOKUP($A277,Table,MATCH(T$4,Curves,0)))</f>
        <v/>
      </c>
      <c r="U277" s="201" t="str">
        <f aca="false">IF(A278="","",T277)</f>
        <v/>
      </c>
      <c r="V277" s="225" t="str">
        <f aca="false">IF($A278="","",IF(AND(MONTH(A277)&gt;3,MONTH(A277)&lt;11),(T277+R277+G277)*Summary!$T$9/(1-Summary!$T$9),(T277+R277+G277)*Summary!$U$9/(1-Summary!$U$9)))</f>
        <v/>
      </c>
      <c r="W277" s="200" t="str">
        <f aca="false">IF($A278="","",(T277+R277+G277+V277))</f>
        <v/>
      </c>
      <c r="X277" s="200" t="str">
        <f aca="false">IF($A278="","",(U277+S277+H277+V277))</f>
        <v/>
      </c>
      <c r="Y277" s="202"/>
      <c r="Z277" s="185" t="str">
        <f aca="false">IF($A278="","",VLOOKUP($A277,Table,MATCH(Z$4,Curves,0)))</f>
        <v/>
      </c>
      <c r="AA277" s="185" t="str">
        <f aca="false">IF($A278="","",VLOOKUP($A277,Table,MATCH(AA$4,Curves,0)))</f>
        <v/>
      </c>
      <c r="AB277" s="185" t="e">
        <f aca="false">SQRT((AA277^2*(A277-$D$3)+Z277^2*(DAY(EOMONTH(A277,0))/2))/AK277)</f>
        <v>#VALUE!</v>
      </c>
      <c r="AC277" s="185" t="str">
        <f aca="false">IF($A278="","",VLOOKUP($A277,Table,MATCH(AC$4,Curves,0)))</f>
        <v/>
      </c>
      <c r="AD277" s="185" t="str">
        <f aca="false">IF($A278="","",VLOOKUP($A277,Table,MATCH(AD$4,Curves,0)))</f>
        <v/>
      </c>
      <c r="AE277" s="185" t="e">
        <f aca="false">SQRT((AD277^2*(A277-$D$3)+AC277^2*(DAY(EOMONTH(A277,0))/2))/AK277)</f>
        <v>#VALUE!</v>
      </c>
      <c r="AF277" s="224" t="e">
        <f aca="false">((Summary!$N$9*(AA277*AD277)*(A277-$D$3))+(Summary!$M$9*Z277*AC277*(AJ277-EOMONTH(EDATE(A277,-1),0))))/(AK277*AB277*AE277)</f>
        <v>#VALUE!</v>
      </c>
      <c r="AG277" s="207" t="str">
        <f aca="false">IF($A278="","",Summary!$Q$9)</f>
        <v/>
      </c>
      <c r="AH277" s="207" t="str">
        <f aca="false">IF($A278="","",IF(Summary!$R$9="Y",VLOOKUP($A277,Summary!$AD$6:$AF$9,3)+'Escalating commodity'!E290,'Escalating commodity'!E290))</f>
        <v/>
      </c>
      <c r="AI277" s="207" t="str">
        <f aca="false">IF($A278="","",AH277)</f>
        <v/>
      </c>
      <c r="AJ277" s="208" t="e">
        <f aca="false">A277+DAY(EOMONTH(A277,0))/2-1</f>
        <v>#VALUE!</v>
      </c>
      <c r="AK277" s="209" t="str">
        <f aca="false">IF($A278="","",$A277-$E$1)</f>
        <v/>
      </c>
      <c r="AL277" s="182" t="str">
        <f aca="false">IF($A278="","",SPRDOPT(P277,X277,AI277,0,AB277,AE277,AF277,AK277,$AJ$2,0))</f>
        <v/>
      </c>
      <c r="AM277" s="211" t="str">
        <f aca="false">IF($A278="","",MAX(0,O277-W277-AI277))</f>
        <v/>
      </c>
      <c r="AN277" s="211" t="str">
        <f aca="false">IF($A278="","",AL277-AM277)</f>
        <v/>
      </c>
      <c r="AO277" s="137" t="str">
        <f aca="false">IF(A278="","",A278-A277)</f>
        <v/>
      </c>
      <c r="AP277" s="212" t="str">
        <f aca="false">IF(A278="","",CHOOSE(F$3,A278+24,A277))</f>
        <v/>
      </c>
      <c r="AQ277" s="209" t="str">
        <f aca="false">IF(A278="","",AP277-$E$1)</f>
        <v/>
      </c>
      <c r="AR277" s="185" t="n">
        <f aca="false">'ANR OK vs ML7'!AR277</f>
        <v>0.1</v>
      </c>
      <c r="AS277" s="213" t="str">
        <f aca="false">IF(A278="","",1/(1+CHOOSE(F$3,(AR278+($I$3/10000))/2,(AR277+($I$3/10000))/2))^(2*AQ277/365.25))</f>
        <v/>
      </c>
      <c r="AT277" s="137" t="str">
        <f aca="false">IF(A278="","",IF(AND(mthbeg&lt;=A277,mthend&gt;=A277),1,0))</f>
        <v/>
      </c>
      <c r="AU277" s="137" t="str">
        <f aca="false">IF(A278="","",AO277*AT277)</f>
        <v/>
      </c>
      <c r="AW277" s="195" t="str">
        <f aca="false">IF($A278="","",AL277*$E277)</f>
        <v/>
      </c>
      <c r="AX277" s="195" t="str">
        <f aca="false">IF($A278="","",AM277*$E277)</f>
        <v/>
      </c>
      <c r="AY277" s="195" t="str">
        <f aca="false">IF($A278="","",AN277*$E277)</f>
        <v/>
      </c>
      <c r="BA277" s="195" t="str">
        <f aca="false">IF($A278="","",F277*Summary!$Q$9)</f>
        <v/>
      </c>
    </row>
    <row r="278" customFormat="false" ht="12" hidden="false" customHeight="true" outlineLevel="0" collapsed="false">
      <c r="A278" s="196" t="str">
        <f aca="false">IF(A277&lt;mthend,EDATE(A277,1),"")</f>
        <v/>
      </c>
      <c r="B278" s="197" t="str">
        <f aca="false">IF(A278&lt;mthend,B277,"")</f>
        <v/>
      </c>
      <c r="C278" s="215"/>
      <c r="D278" s="197" t="str">
        <f aca="false">IF(A279&lt;&gt;"",B278+C278,"")</f>
        <v/>
      </c>
      <c r="E278" s="199" t="str">
        <f aca="false">IF(A279="","",IF(AND(AT278=1,$H$3=1),D278*AO278,IF($H$3=2,D278,"N/A")))</f>
        <v/>
      </c>
      <c r="F278" s="199" t="str">
        <f aca="false">IF(A279="","",E278*AS278)</f>
        <v/>
      </c>
      <c r="G278" s="200" t="str">
        <f aca="false">IF($A279="","",VLOOKUP($A278,Table,MATCH(G$4,Curves,0)))</f>
        <v/>
      </c>
      <c r="H278" s="201" t="str">
        <f aca="false">IF(A279="","",G278)</f>
        <v/>
      </c>
      <c r="I278" s="202"/>
      <c r="J278" s="200" t="str">
        <f aca="false">IF($A279="","",VLOOKUP($A278,Table,MATCH(J$4,Curves,0)))</f>
        <v/>
      </c>
      <c r="K278" s="201" t="str">
        <f aca="false">IF(A279="","",J278)</f>
        <v/>
      </c>
      <c r="L278" s="200" t="str">
        <f aca="false">IF($A279="","",VLOOKUP($A278,Table,MATCH(L$4,Curves,0)))</f>
        <v/>
      </c>
      <c r="M278" s="201" t="str">
        <f aca="false">IF(A279="","",L278)</f>
        <v/>
      </c>
      <c r="N278" s="203"/>
      <c r="O278" s="200" t="str">
        <f aca="false">IF(A279="","",L278+J278+G278)</f>
        <v/>
      </c>
      <c r="P278" s="200" t="str">
        <f aca="false">IF(A279="","",M278+K278+H278)</f>
        <v/>
      </c>
      <c r="Q278" s="204"/>
      <c r="R278" s="200" t="str">
        <f aca="false">IF($A279="","",VLOOKUP($A278,Table,MATCH(R$4,Curves,0)))</f>
        <v/>
      </c>
      <c r="S278" s="201" t="str">
        <f aca="false">IF(A279="","",R278)</f>
        <v/>
      </c>
      <c r="T278" s="200" t="str">
        <f aca="false">IF($A279="","",VLOOKUP($A278,Table,MATCH(T$4,Curves,0)))</f>
        <v/>
      </c>
      <c r="U278" s="201" t="str">
        <f aca="false">IF(A279="","",T278)</f>
        <v/>
      </c>
      <c r="V278" s="225" t="str">
        <f aca="false">IF($A279="","",IF(AND(MONTH(A278)&gt;3,MONTH(A278)&lt;11),(T278+R278+G278)*Summary!$T$9/(1-Summary!$T$9),(T278+R278+G278)*Summary!$U$9/(1-Summary!$U$9)))</f>
        <v/>
      </c>
      <c r="W278" s="200" t="str">
        <f aca="false">IF($A279="","",(T278+R278+G278+V278))</f>
        <v/>
      </c>
      <c r="X278" s="200" t="str">
        <f aca="false">IF($A279="","",(U278+S278+H278+V278))</f>
        <v/>
      </c>
      <c r="Y278" s="202"/>
      <c r="Z278" s="185" t="str">
        <f aca="false">IF($A279="","",VLOOKUP($A278,Table,MATCH(Z$4,Curves,0)))</f>
        <v/>
      </c>
      <c r="AA278" s="185" t="str">
        <f aca="false">IF($A279="","",VLOOKUP($A278,Table,MATCH(AA$4,Curves,0)))</f>
        <v/>
      </c>
      <c r="AB278" s="185" t="e">
        <f aca="false">SQRT((AA278^2*(A278-$D$3)+Z278^2*(DAY(EOMONTH(A278,0))/2))/AK278)</f>
        <v>#VALUE!</v>
      </c>
      <c r="AC278" s="185" t="str">
        <f aca="false">IF($A279="","",VLOOKUP($A278,Table,MATCH(AC$4,Curves,0)))</f>
        <v/>
      </c>
      <c r="AD278" s="185" t="str">
        <f aca="false">IF($A279="","",VLOOKUP($A278,Table,MATCH(AD$4,Curves,0)))</f>
        <v/>
      </c>
      <c r="AE278" s="185" t="e">
        <f aca="false">SQRT((AD278^2*(A278-$D$3)+AC278^2*(DAY(EOMONTH(A278,0))/2))/AK278)</f>
        <v>#VALUE!</v>
      </c>
      <c r="AF278" s="224" t="e">
        <f aca="false">((Summary!$N$9*(AA278*AD278)*(A278-$D$3))+(Summary!$M$9*Z278*AC278*(AJ278-EOMONTH(EDATE(A278,-1),0))))/(AK278*AB278*AE278)</f>
        <v>#VALUE!</v>
      </c>
      <c r="AG278" s="207" t="str">
        <f aca="false">IF($A279="","",Summary!$Q$9)</f>
        <v/>
      </c>
      <c r="AH278" s="207" t="str">
        <f aca="false">IF($A279="","",IF(Summary!$R$9="Y",VLOOKUP($A278,Summary!$AD$6:$AF$9,3)+'Escalating commodity'!E291,'Escalating commodity'!E291))</f>
        <v/>
      </c>
      <c r="AI278" s="207" t="str">
        <f aca="false">IF($A279="","",AH278)</f>
        <v/>
      </c>
      <c r="AJ278" s="208" t="e">
        <f aca="false">A278+DAY(EOMONTH(A278,0))/2-1</f>
        <v>#VALUE!</v>
      </c>
      <c r="AK278" s="209" t="str">
        <f aca="false">IF($A279="","",$A278-$E$1)</f>
        <v/>
      </c>
      <c r="AL278" s="182" t="str">
        <f aca="false">IF($A279="","",SPRDOPT(P278,X278,AI278,0,AB278,AE278,AF278,AK278,$AJ$2,0))</f>
        <v/>
      </c>
      <c r="AM278" s="211" t="str">
        <f aca="false">IF($A279="","",MAX(0,O278-W278-AI278))</f>
        <v/>
      </c>
      <c r="AN278" s="211" t="str">
        <f aca="false">IF($A279="","",AL278-AM278)</f>
        <v/>
      </c>
      <c r="AO278" s="137" t="str">
        <f aca="false">IF(A279="","",A279-A278)</f>
        <v/>
      </c>
      <c r="AP278" s="212" t="str">
        <f aca="false">IF(A279="","",CHOOSE(F$3,A279+24,A278))</f>
        <v/>
      </c>
      <c r="AQ278" s="209" t="str">
        <f aca="false">IF(A279="","",AP278-$E$1)</f>
        <v/>
      </c>
      <c r="AR278" s="185" t="n">
        <f aca="false">'ANR OK vs ML7'!AR278</f>
        <v>0.1</v>
      </c>
      <c r="AS278" s="213" t="str">
        <f aca="false">IF(A279="","",1/(1+CHOOSE(F$3,(AR279+($I$3/10000))/2,(AR278+($I$3/10000))/2))^(2*AQ278/365.25))</f>
        <v/>
      </c>
      <c r="AT278" s="137" t="str">
        <f aca="false">IF(A279="","",IF(AND(mthbeg&lt;=A278,mthend&gt;=A278),1,0))</f>
        <v/>
      </c>
      <c r="AU278" s="137" t="str">
        <f aca="false">IF(A279="","",AO278*AT278)</f>
        <v/>
      </c>
      <c r="AW278" s="195" t="str">
        <f aca="false">IF($A279="","",AL278*$E278)</f>
        <v/>
      </c>
      <c r="AX278" s="195" t="str">
        <f aca="false">IF($A279="","",AM278*$E278)</f>
        <v/>
      </c>
      <c r="AY278" s="195" t="str">
        <f aca="false">IF($A279="","",AN278*$E278)</f>
        <v/>
      </c>
      <c r="BA278" s="195" t="str">
        <f aca="false">IF($A279="","",F278*Summary!$Q$9)</f>
        <v/>
      </c>
    </row>
    <row r="279" customFormat="false" ht="12" hidden="false" customHeight="true" outlineLevel="0" collapsed="false">
      <c r="A279" s="196" t="str">
        <f aca="false">IF(A278&lt;mthend,EDATE(A278,1),"")</f>
        <v/>
      </c>
      <c r="B279" s="197" t="str">
        <f aca="false">IF(A279&lt;mthend,B278,"")</f>
        <v/>
      </c>
      <c r="C279" s="215"/>
      <c r="D279" s="197" t="str">
        <f aca="false">IF(A280&lt;&gt;"",B279+C279,"")</f>
        <v/>
      </c>
      <c r="E279" s="199" t="str">
        <f aca="false">IF(A280="","",IF(AND(AT279=1,$H$3=1),D279*AO279,IF($H$3=2,D279,"N/A")))</f>
        <v/>
      </c>
      <c r="F279" s="199" t="str">
        <f aca="false">IF(A280="","",E279*AS279)</f>
        <v/>
      </c>
      <c r="G279" s="200" t="str">
        <f aca="false">IF($A280="","",VLOOKUP($A279,Table,MATCH(G$4,Curves,0)))</f>
        <v/>
      </c>
      <c r="H279" s="201" t="str">
        <f aca="false">IF(A280="","",G279)</f>
        <v/>
      </c>
      <c r="I279" s="202"/>
      <c r="J279" s="200" t="str">
        <f aca="false">IF($A280="","",VLOOKUP($A279,Table,MATCH(J$4,Curves,0)))</f>
        <v/>
      </c>
      <c r="K279" s="201" t="str">
        <f aca="false">IF(A280="","",J279)</f>
        <v/>
      </c>
      <c r="L279" s="200" t="str">
        <f aca="false">IF($A280="","",VLOOKUP($A279,Table,MATCH(L$4,Curves,0)))</f>
        <v/>
      </c>
      <c r="M279" s="201" t="str">
        <f aca="false">IF(A280="","",L279)</f>
        <v/>
      </c>
      <c r="N279" s="203"/>
      <c r="O279" s="200" t="str">
        <f aca="false">IF(A280="","",L279+J279+G279)</f>
        <v/>
      </c>
      <c r="P279" s="200" t="str">
        <f aca="false">IF(A280="","",M279+K279+H279)</f>
        <v/>
      </c>
      <c r="Q279" s="204"/>
      <c r="R279" s="200" t="str">
        <f aca="false">IF($A280="","",VLOOKUP($A279,Table,MATCH(R$4,Curves,0)))</f>
        <v/>
      </c>
      <c r="S279" s="201" t="str">
        <f aca="false">IF(A280="","",R279)</f>
        <v/>
      </c>
      <c r="T279" s="200" t="str">
        <f aca="false">IF($A280="","",VLOOKUP($A279,Table,MATCH(T$4,Curves,0)))</f>
        <v/>
      </c>
      <c r="U279" s="201" t="str">
        <f aca="false">IF(A280="","",T279)</f>
        <v/>
      </c>
      <c r="V279" s="225" t="str">
        <f aca="false">IF($A280="","",IF(AND(MONTH(A279)&gt;3,MONTH(A279)&lt;11),(T279+R279+G279)*Summary!$T$9/(1-Summary!$T$9),(T279+R279+G279)*Summary!$U$9/(1-Summary!$U$9)))</f>
        <v/>
      </c>
      <c r="W279" s="200" t="str">
        <f aca="false">IF($A280="","",(T279+R279+G279+V279))</f>
        <v/>
      </c>
      <c r="X279" s="200" t="str">
        <f aca="false">IF($A280="","",(U279+S279+H279+V279))</f>
        <v/>
      </c>
      <c r="Y279" s="202"/>
      <c r="Z279" s="185" t="str">
        <f aca="false">IF($A280="","",VLOOKUP($A279,Table,MATCH(Z$4,Curves,0)))</f>
        <v/>
      </c>
      <c r="AA279" s="185" t="str">
        <f aca="false">IF($A280="","",VLOOKUP($A279,Table,MATCH(AA$4,Curves,0)))</f>
        <v/>
      </c>
      <c r="AB279" s="185" t="e">
        <f aca="false">SQRT((AA279^2*(A279-$D$3)+Z279^2*(DAY(EOMONTH(A279,0))/2))/AK279)</f>
        <v>#VALUE!</v>
      </c>
      <c r="AC279" s="185" t="str">
        <f aca="false">IF($A280="","",VLOOKUP($A279,Table,MATCH(AC$4,Curves,0)))</f>
        <v/>
      </c>
      <c r="AD279" s="185" t="str">
        <f aca="false">IF($A280="","",VLOOKUP($A279,Table,MATCH(AD$4,Curves,0)))</f>
        <v/>
      </c>
      <c r="AE279" s="185" t="e">
        <f aca="false">SQRT((AD279^2*(A279-$D$3)+AC279^2*(DAY(EOMONTH(A279,0))/2))/AK279)</f>
        <v>#VALUE!</v>
      </c>
      <c r="AF279" s="224" t="e">
        <f aca="false">((Summary!$N$9*(AA279*AD279)*(A279-$D$3))+(Summary!$M$9*Z279*AC279*(AJ279-EOMONTH(EDATE(A279,-1),0))))/(AK279*AB279*AE279)</f>
        <v>#VALUE!</v>
      </c>
      <c r="AG279" s="207" t="str">
        <f aca="false">IF($A280="","",Summary!$Q$9)</f>
        <v/>
      </c>
      <c r="AH279" s="207" t="str">
        <f aca="false">IF($A280="","",IF(Summary!$R$9="Y",VLOOKUP($A279,Summary!$AD$6:$AF$9,3)+'Escalating commodity'!E292,'Escalating commodity'!E292))</f>
        <v/>
      </c>
      <c r="AI279" s="207" t="str">
        <f aca="false">IF($A280="","",AH279)</f>
        <v/>
      </c>
      <c r="AJ279" s="208" t="e">
        <f aca="false">A279+DAY(EOMONTH(A279,0))/2-1</f>
        <v>#VALUE!</v>
      </c>
      <c r="AK279" s="209" t="str">
        <f aca="false">IF($A280="","",$A279-$E$1)</f>
        <v/>
      </c>
      <c r="AL279" s="182" t="str">
        <f aca="false">IF($A280="","",SPRDOPT(P279,X279,AI279,0,AB279,AE279,AF279,AK279,$AJ$2,0))</f>
        <v/>
      </c>
      <c r="AM279" s="211" t="str">
        <f aca="false">IF($A280="","",MAX(0,O279-W279-AI279))</f>
        <v/>
      </c>
      <c r="AN279" s="211" t="str">
        <f aca="false">IF($A280="","",AL279-AM279)</f>
        <v/>
      </c>
      <c r="AO279" s="137" t="str">
        <f aca="false">IF(A280="","",A280-A279)</f>
        <v/>
      </c>
      <c r="AP279" s="212" t="str">
        <f aca="false">IF(A280="","",CHOOSE(F$3,A280+24,A279))</f>
        <v/>
      </c>
      <c r="AQ279" s="209" t="str">
        <f aca="false">IF(A280="","",AP279-$E$1)</f>
        <v/>
      </c>
      <c r="AR279" s="185" t="n">
        <f aca="false">'ANR OK vs ML7'!AR279</f>
        <v>0.1</v>
      </c>
      <c r="AS279" s="213" t="str">
        <f aca="false">IF(A280="","",1/(1+CHOOSE(F$3,(AR280+($I$3/10000))/2,(AR279+($I$3/10000))/2))^(2*AQ279/365.25))</f>
        <v/>
      </c>
      <c r="AT279" s="137" t="str">
        <f aca="false">IF(A280="","",IF(AND(mthbeg&lt;=A279,mthend&gt;=A279),1,0))</f>
        <v/>
      </c>
      <c r="AU279" s="137" t="str">
        <f aca="false">IF(A280="","",AO279*AT279)</f>
        <v/>
      </c>
      <c r="AW279" s="195" t="str">
        <f aca="false">IF($A280="","",AL279*$E279)</f>
        <v/>
      </c>
      <c r="AX279" s="195" t="str">
        <f aca="false">IF($A280="","",AM279*$E279)</f>
        <v/>
      </c>
      <c r="AY279" s="195" t="str">
        <f aca="false">IF($A280="","",AN279*$E279)</f>
        <v/>
      </c>
      <c r="BA279" s="195" t="str">
        <f aca="false">IF($A280="","",F279*Summary!$Q$9)</f>
        <v/>
      </c>
    </row>
    <row r="280" customFormat="false" ht="12" hidden="false" customHeight="true" outlineLevel="0" collapsed="false">
      <c r="A280" s="196" t="str">
        <f aca="false">IF(A279&lt;mthend,EDATE(A279,1),"")</f>
        <v/>
      </c>
      <c r="B280" s="197" t="str">
        <f aca="false">IF(A280&lt;mthend,B279,"")</f>
        <v/>
      </c>
      <c r="C280" s="215"/>
      <c r="D280" s="197" t="str">
        <f aca="false">IF(A281&lt;&gt;"",B280+C280,"")</f>
        <v/>
      </c>
      <c r="E280" s="199" t="str">
        <f aca="false">IF(A281="","",IF(AND(AT280=1,$H$3=1),D280*AO280,IF($H$3=2,D280,"N/A")))</f>
        <v/>
      </c>
      <c r="F280" s="199" t="str">
        <f aca="false">IF(A281="","",E280*AS280)</f>
        <v/>
      </c>
      <c r="G280" s="200" t="str">
        <f aca="false">IF($A281="","",VLOOKUP($A280,Table,MATCH(G$4,Curves,0)))</f>
        <v/>
      </c>
      <c r="H280" s="201" t="str">
        <f aca="false">IF(A281="","",G280)</f>
        <v/>
      </c>
      <c r="I280" s="202"/>
      <c r="J280" s="200" t="str">
        <f aca="false">IF($A281="","",VLOOKUP($A280,Table,MATCH(J$4,Curves,0)))</f>
        <v/>
      </c>
      <c r="K280" s="201" t="str">
        <f aca="false">IF(A281="","",J280)</f>
        <v/>
      </c>
      <c r="L280" s="200" t="str">
        <f aca="false">IF($A281="","",VLOOKUP($A280,Table,MATCH(L$4,Curves,0)))</f>
        <v/>
      </c>
      <c r="M280" s="201" t="str">
        <f aca="false">IF(A281="","",L280)</f>
        <v/>
      </c>
      <c r="N280" s="203"/>
      <c r="O280" s="200" t="str">
        <f aca="false">IF(A281="","",L280+J280+G280)</f>
        <v/>
      </c>
      <c r="P280" s="200" t="str">
        <f aca="false">IF(A281="","",M280+K280+H280)</f>
        <v/>
      </c>
      <c r="Q280" s="204"/>
      <c r="R280" s="200" t="str">
        <f aca="false">IF($A281="","",VLOOKUP($A280,Table,MATCH(R$4,Curves,0)))</f>
        <v/>
      </c>
      <c r="S280" s="201" t="str">
        <f aca="false">IF(A281="","",R280)</f>
        <v/>
      </c>
      <c r="T280" s="200" t="str">
        <f aca="false">IF($A281="","",VLOOKUP($A280,Table,MATCH(T$4,Curves,0)))</f>
        <v/>
      </c>
      <c r="U280" s="201" t="str">
        <f aca="false">IF(A281="","",T280)</f>
        <v/>
      </c>
      <c r="V280" s="225" t="str">
        <f aca="false">IF($A281="","",IF(AND(MONTH(A280)&gt;3,MONTH(A280)&lt;11),(T280+R280+G280)*Summary!$T$9/(1-Summary!$T$9),(T280+R280+G280)*Summary!$U$9/(1-Summary!$U$9)))</f>
        <v/>
      </c>
      <c r="W280" s="200" t="str">
        <f aca="false">IF($A281="","",(T280+R280+G280+V280))</f>
        <v/>
      </c>
      <c r="X280" s="200" t="str">
        <f aca="false">IF($A281="","",(U280+S280+H280+V280))</f>
        <v/>
      </c>
      <c r="Y280" s="202"/>
      <c r="Z280" s="185" t="str">
        <f aca="false">IF($A281="","",VLOOKUP($A280,Table,MATCH(Z$4,Curves,0)))</f>
        <v/>
      </c>
      <c r="AA280" s="185" t="str">
        <f aca="false">IF($A281="","",VLOOKUP($A280,Table,MATCH(AA$4,Curves,0)))</f>
        <v/>
      </c>
      <c r="AB280" s="185" t="e">
        <f aca="false">SQRT((AA280^2*(A280-$D$3)+Z280^2*(DAY(EOMONTH(A280,0))/2))/AK280)</f>
        <v>#VALUE!</v>
      </c>
      <c r="AC280" s="185" t="str">
        <f aca="false">IF($A281="","",VLOOKUP($A280,Table,MATCH(AC$4,Curves,0)))</f>
        <v/>
      </c>
      <c r="AD280" s="185" t="str">
        <f aca="false">IF($A281="","",VLOOKUP($A280,Table,MATCH(AD$4,Curves,0)))</f>
        <v/>
      </c>
      <c r="AE280" s="185" t="e">
        <f aca="false">SQRT((AD280^2*(A280-$D$3)+AC280^2*(DAY(EOMONTH(A280,0))/2))/AK280)</f>
        <v>#VALUE!</v>
      </c>
      <c r="AF280" s="224" t="e">
        <f aca="false">((Summary!$N$9*(AA280*AD280)*(A280-$D$3))+(Summary!$M$9*Z280*AC280*(AJ280-EOMONTH(EDATE(A280,-1),0))))/(AK280*AB280*AE280)</f>
        <v>#VALUE!</v>
      </c>
      <c r="AG280" s="207" t="str">
        <f aca="false">IF($A281="","",Summary!$Q$9)</f>
        <v/>
      </c>
      <c r="AH280" s="207" t="str">
        <f aca="false">IF($A281="","",IF(Summary!$R$9="Y",VLOOKUP($A280,Summary!$AD$6:$AF$9,3)+'Escalating commodity'!E293,'Escalating commodity'!E293))</f>
        <v/>
      </c>
      <c r="AI280" s="207" t="str">
        <f aca="false">IF($A281="","",AH280)</f>
        <v/>
      </c>
      <c r="AJ280" s="208" t="e">
        <f aca="false">A280+DAY(EOMONTH(A280,0))/2-1</f>
        <v>#VALUE!</v>
      </c>
      <c r="AK280" s="209" t="str">
        <f aca="false">IF($A281="","",$A280-$E$1)</f>
        <v/>
      </c>
      <c r="AL280" s="182" t="str">
        <f aca="false">IF($A281="","",SPRDOPT(P280,X280,AI280,0,AB280,AE280,AF280,AK280,$AJ$2,0))</f>
        <v/>
      </c>
      <c r="AM280" s="211" t="str">
        <f aca="false">IF($A281="","",MAX(0,O280-W280-AI280))</f>
        <v/>
      </c>
      <c r="AN280" s="211" t="str">
        <f aca="false">IF($A281="","",AL280-AM280)</f>
        <v/>
      </c>
      <c r="AO280" s="137" t="str">
        <f aca="false">IF(A281="","",A281-A280)</f>
        <v/>
      </c>
      <c r="AP280" s="212" t="str">
        <f aca="false">IF(A281="","",CHOOSE(F$3,A281+24,A280))</f>
        <v/>
      </c>
      <c r="AQ280" s="209" t="str">
        <f aca="false">IF(A281="","",AP280-$E$1)</f>
        <v/>
      </c>
      <c r="AR280" s="185" t="n">
        <f aca="false">'ANR OK vs ML7'!AR280</f>
        <v>0.1</v>
      </c>
      <c r="AS280" s="213" t="str">
        <f aca="false">IF(A281="","",1/(1+CHOOSE(F$3,(AR281+($I$3/10000))/2,(AR280+($I$3/10000))/2))^(2*AQ280/365.25))</f>
        <v/>
      </c>
      <c r="AT280" s="137" t="str">
        <f aca="false">IF(A281="","",IF(AND(mthbeg&lt;=A280,mthend&gt;=A280),1,0))</f>
        <v/>
      </c>
      <c r="AU280" s="137" t="str">
        <f aca="false">IF(A281="","",AO280*AT280)</f>
        <v/>
      </c>
      <c r="AW280" s="195" t="str">
        <f aca="false">IF($A281="","",AL280*$E280)</f>
        <v/>
      </c>
      <c r="AX280" s="195" t="str">
        <f aca="false">IF($A281="","",AM280*$E280)</f>
        <v/>
      </c>
      <c r="AY280" s="195" t="str">
        <f aca="false">IF($A281="","",AN280*$E280)</f>
        <v/>
      </c>
      <c r="BA280" s="195" t="str">
        <f aca="false">IF($A281="","",F280*Summary!$Q$9)</f>
        <v/>
      </c>
    </row>
    <row r="281" customFormat="false" ht="12" hidden="false" customHeight="true" outlineLevel="0" collapsed="false">
      <c r="A281" s="196" t="str">
        <f aca="false">IF(A280&lt;mthend,EDATE(A280,1),"")</f>
        <v/>
      </c>
      <c r="B281" s="197" t="str">
        <f aca="false">IF(A281&lt;mthend,B280,"")</f>
        <v/>
      </c>
      <c r="C281" s="215"/>
      <c r="D281" s="197" t="str">
        <f aca="false">IF(A282&lt;&gt;"",B281+C281,"")</f>
        <v/>
      </c>
      <c r="E281" s="199" t="str">
        <f aca="false">IF(A282="","",IF(AND(AT281=1,$H$3=1),D281*AO281,IF($H$3=2,D281,"N/A")))</f>
        <v/>
      </c>
      <c r="F281" s="199" t="str">
        <f aca="false">IF(A282="","",E281*AS281)</f>
        <v/>
      </c>
      <c r="G281" s="200" t="str">
        <f aca="false">IF($A282="","",VLOOKUP($A281,Table,MATCH(G$4,Curves,0)))</f>
        <v/>
      </c>
      <c r="H281" s="201" t="str">
        <f aca="false">IF(A282="","",G281)</f>
        <v/>
      </c>
      <c r="I281" s="202"/>
      <c r="J281" s="200" t="str">
        <f aca="false">IF($A282="","",VLOOKUP($A281,Table,MATCH(J$4,Curves,0)))</f>
        <v/>
      </c>
      <c r="K281" s="201" t="str">
        <f aca="false">IF(A282="","",J281)</f>
        <v/>
      </c>
      <c r="L281" s="200" t="str">
        <f aca="false">IF($A282="","",VLOOKUP($A281,Table,MATCH(L$4,Curves,0)))</f>
        <v/>
      </c>
      <c r="M281" s="201" t="str">
        <f aca="false">IF(A282="","",L281)</f>
        <v/>
      </c>
      <c r="N281" s="203"/>
      <c r="O281" s="200" t="str">
        <f aca="false">IF(A282="","",L281+J281+G281)</f>
        <v/>
      </c>
      <c r="P281" s="200" t="str">
        <f aca="false">IF(A282="","",M281+K281+H281)</f>
        <v/>
      </c>
      <c r="Q281" s="204"/>
      <c r="R281" s="200" t="str">
        <f aca="false">IF($A282="","",VLOOKUP($A281,Table,MATCH(R$4,Curves,0)))</f>
        <v/>
      </c>
      <c r="S281" s="201" t="str">
        <f aca="false">IF(A282="","",R281)</f>
        <v/>
      </c>
      <c r="T281" s="200" t="str">
        <f aca="false">IF($A282="","",VLOOKUP($A281,Table,MATCH(T$4,Curves,0)))</f>
        <v/>
      </c>
      <c r="U281" s="201" t="str">
        <f aca="false">IF(A282="","",T281)</f>
        <v/>
      </c>
      <c r="V281" s="225" t="str">
        <f aca="false">IF($A282="","",IF(AND(MONTH(A281)&gt;3,MONTH(A281)&lt;11),(T281+R281+G281)*Summary!$T$9/(1-Summary!$T$9),(T281+R281+G281)*Summary!$U$9/(1-Summary!$U$9)))</f>
        <v/>
      </c>
      <c r="W281" s="200" t="str">
        <f aca="false">IF($A282="","",(T281+R281+G281+V281))</f>
        <v/>
      </c>
      <c r="X281" s="200" t="str">
        <f aca="false">IF($A282="","",(U281+S281+H281+V281))</f>
        <v/>
      </c>
      <c r="Y281" s="202"/>
      <c r="Z281" s="185" t="str">
        <f aca="false">IF($A282="","",VLOOKUP($A281,Table,MATCH(Z$4,Curves,0)))</f>
        <v/>
      </c>
      <c r="AA281" s="185" t="str">
        <f aca="false">IF($A282="","",VLOOKUP($A281,Table,MATCH(AA$4,Curves,0)))</f>
        <v/>
      </c>
      <c r="AB281" s="185" t="e">
        <f aca="false">SQRT((AA281^2*(A281-$D$3)+Z281^2*(DAY(EOMONTH(A281,0))/2))/AK281)</f>
        <v>#VALUE!</v>
      </c>
      <c r="AC281" s="185" t="str">
        <f aca="false">IF($A282="","",VLOOKUP($A281,Table,MATCH(AC$4,Curves,0)))</f>
        <v/>
      </c>
      <c r="AD281" s="185" t="str">
        <f aca="false">IF($A282="","",VLOOKUP($A281,Table,MATCH(AD$4,Curves,0)))</f>
        <v/>
      </c>
      <c r="AE281" s="185" t="e">
        <f aca="false">SQRT((AD281^2*(A281-$D$3)+AC281^2*(DAY(EOMONTH(A281,0))/2))/AK281)</f>
        <v>#VALUE!</v>
      </c>
      <c r="AF281" s="224" t="e">
        <f aca="false">((Summary!$N$9*(AA281*AD281)*(A281-$D$3))+(Summary!$M$9*Z281*AC281*(AJ281-EOMONTH(EDATE(A281,-1),0))))/(AK281*AB281*AE281)</f>
        <v>#VALUE!</v>
      </c>
      <c r="AG281" s="207" t="str">
        <f aca="false">IF($A282="","",Summary!$Q$9)</f>
        <v/>
      </c>
      <c r="AH281" s="207" t="str">
        <f aca="false">IF($A282="","",IF(Summary!$R$9="Y",VLOOKUP($A281,Summary!$AD$6:$AF$9,3)+'Escalating commodity'!E294,'Escalating commodity'!E294))</f>
        <v/>
      </c>
      <c r="AI281" s="207" t="str">
        <f aca="false">IF($A282="","",AH281)</f>
        <v/>
      </c>
      <c r="AJ281" s="208" t="e">
        <f aca="false">A281+DAY(EOMONTH(A281,0))/2-1</f>
        <v>#VALUE!</v>
      </c>
      <c r="AK281" s="209" t="str">
        <f aca="false">IF($A282="","",$A281-$E$1)</f>
        <v/>
      </c>
      <c r="AL281" s="182" t="str">
        <f aca="false">IF($A282="","",SPRDOPT(P281,X281,AI281,0,AB281,AE281,AF281,AK281,$AJ$2,0))</f>
        <v/>
      </c>
      <c r="AM281" s="211" t="str">
        <f aca="false">IF($A282="","",MAX(0,O281-W281-AI281))</f>
        <v/>
      </c>
      <c r="AN281" s="211" t="str">
        <f aca="false">IF($A282="","",AL281-AM281)</f>
        <v/>
      </c>
      <c r="AO281" s="137" t="str">
        <f aca="false">IF(A282="","",A282-A281)</f>
        <v/>
      </c>
      <c r="AP281" s="212" t="str">
        <f aca="false">IF(A282="","",CHOOSE(F$3,A282+24,A281))</f>
        <v/>
      </c>
      <c r="AQ281" s="209" t="str">
        <f aca="false">IF(A282="","",AP281-$E$1)</f>
        <v/>
      </c>
      <c r="AR281" s="185" t="n">
        <f aca="false">'ANR OK vs ML7'!AR281</f>
        <v>0.1</v>
      </c>
      <c r="AS281" s="213" t="str">
        <f aca="false">IF(A282="","",1/(1+CHOOSE(F$3,(AR282+($I$3/10000))/2,(AR281+($I$3/10000))/2))^(2*AQ281/365.25))</f>
        <v/>
      </c>
      <c r="AT281" s="137" t="str">
        <f aca="false">IF(A282="","",IF(AND(mthbeg&lt;=A281,mthend&gt;=A281),1,0))</f>
        <v/>
      </c>
      <c r="AU281" s="137" t="str">
        <f aca="false">IF(A282="","",AO281*AT281)</f>
        <v/>
      </c>
      <c r="AW281" s="195" t="str">
        <f aca="false">IF($A282="","",AL281*$E281)</f>
        <v/>
      </c>
      <c r="AX281" s="195" t="str">
        <f aca="false">IF($A282="","",AM281*$E281)</f>
        <v/>
      </c>
      <c r="AY281" s="195" t="str">
        <f aca="false">IF($A282="","",AN281*$E281)</f>
        <v/>
      </c>
      <c r="BA281" s="195" t="str">
        <f aca="false">IF($A282="","",F281*Summary!$Q$9)</f>
        <v/>
      </c>
    </row>
    <row r="282" customFormat="false" ht="12" hidden="false" customHeight="true" outlineLevel="0" collapsed="false">
      <c r="A282" s="196" t="str">
        <f aca="false">IF(A281&lt;mthend,EDATE(A281,1),"")</f>
        <v/>
      </c>
      <c r="B282" s="197" t="str">
        <f aca="false">IF(A282&lt;mthend,B281,"")</f>
        <v/>
      </c>
      <c r="C282" s="215"/>
      <c r="D282" s="197" t="str">
        <f aca="false">IF(A283&lt;&gt;"",B282+C282,"")</f>
        <v/>
      </c>
      <c r="E282" s="199" t="str">
        <f aca="false">IF(A283="","",IF(AND(AT282=1,$H$3=1),D282*AO282,IF($H$3=2,D282,"N/A")))</f>
        <v/>
      </c>
      <c r="F282" s="199" t="str">
        <f aca="false">IF(A283="","",E282*AS282)</f>
        <v/>
      </c>
      <c r="G282" s="200" t="str">
        <f aca="false">IF($A283="","",VLOOKUP($A282,Table,MATCH(G$4,Curves,0)))</f>
        <v/>
      </c>
      <c r="H282" s="201" t="str">
        <f aca="false">IF(A283="","",G282)</f>
        <v/>
      </c>
      <c r="I282" s="202"/>
      <c r="J282" s="200" t="str">
        <f aca="false">IF($A283="","",VLOOKUP($A282,Table,MATCH(J$4,Curves,0)))</f>
        <v/>
      </c>
      <c r="K282" s="201" t="str">
        <f aca="false">IF(A283="","",J282)</f>
        <v/>
      </c>
      <c r="L282" s="200" t="str">
        <f aca="false">IF($A283="","",VLOOKUP($A282,Table,MATCH(L$4,Curves,0)))</f>
        <v/>
      </c>
      <c r="M282" s="201" t="str">
        <f aca="false">IF(A283="","",L282)</f>
        <v/>
      </c>
      <c r="N282" s="203"/>
      <c r="O282" s="200" t="str">
        <f aca="false">IF(A283="","",L282+J282+G282)</f>
        <v/>
      </c>
      <c r="P282" s="200" t="str">
        <f aca="false">IF(A283="","",M282+K282+H282)</f>
        <v/>
      </c>
      <c r="Q282" s="204"/>
      <c r="R282" s="200" t="str">
        <f aca="false">IF($A283="","",VLOOKUP($A282,Table,MATCH(R$4,Curves,0)))</f>
        <v/>
      </c>
      <c r="S282" s="201" t="str">
        <f aca="false">IF(A283="","",R282)</f>
        <v/>
      </c>
      <c r="T282" s="200" t="str">
        <f aca="false">IF($A283="","",VLOOKUP($A282,Table,MATCH(T$4,Curves,0)))</f>
        <v/>
      </c>
      <c r="U282" s="201" t="str">
        <f aca="false">IF(A283="","",T282)</f>
        <v/>
      </c>
      <c r="V282" s="225" t="str">
        <f aca="false">IF($A283="","",IF(AND(MONTH(A282)&gt;3,MONTH(A282)&lt;11),(T282+R282+G282)*Summary!$T$9/(1-Summary!$T$9),(T282+R282+G282)*Summary!$U$9/(1-Summary!$U$9)))</f>
        <v/>
      </c>
      <c r="W282" s="200" t="str">
        <f aca="false">IF($A283="","",(T282+R282+G282+V282))</f>
        <v/>
      </c>
      <c r="X282" s="200" t="str">
        <f aca="false">IF($A283="","",(U282+S282+H282+V282))</f>
        <v/>
      </c>
      <c r="Y282" s="202"/>
      <c r="Z282" s="185" t="str">
        <f aca="false">IF($A283="","",VLOOKUP($A282,Table,MATCH(Z$4,Curves,0)))</f>
        <v/>
      </c>
      <c r="AA282" s="185" t="str">
        <f aca="false">IF($A283="","",VLOOKUP($A282,Table,MATCH(AA$4,Curves,0)))</f>
        <v/>
      </c>
      <c r="AB282" s="185" t="e">
        <f aca="false">SQRT((AA282^2*(A282-$D$3)+Z282^2*(DAY(EOMONTH(A282,0))/2))/AK282)</f>
        <v>#VALUE!</v>
      </c>
      <c r="AC282" s="185" t="str">
        <f aca="false">IF($A283="","",VLOOKUP($A282,Table,MATCH(AC$4,Curves,0)))</f>
        <v/>
      </c>
      <c r="AD282" s="185" t="str">
        <f aca="false">IF($A283="","",VLOOKUP($A282,Table,MATCH(AD$4,Curves,0)))</f>
        <v/>
      </c>
      <c r="AE282" s="185" t="e">
        <f aca="false">SQRT((AD282^2*(A282-$D$3)+AC282^2*(DAY(EOMONTH(A282,0))/2))/AK282)</f>
        <v>#VALUE!</v>
      </c>
      <c r="AF282" s="224" t="e">
        <f aca="false">((Summary!$N$9*(AA282*AD282)*(A282-$D$3))+(Summary!$M$9*Z282*AC282*(AJ282-EOMONTH(EDATE(A282,-1),0))))/(AK282*AB282*AE282)</f>
        <v>#VALUE!</v>
      </c>
      <c r="AG282" s="207" t="str">
        <f aca="false">IF($A283="","",Summary!$Q$9)</f>
        <v/>
      </c>
      <c r="AH282" s="207" t="str">
        <f aca="false">IF($A283="","",IF(Summary!$R$9="Y",VLOOKUP($A282,Summary!$AD$6:$AF$9,3)+'Escalating commodity'!E295,'Escalating commodity'!E295))</f>
        <v/>
      </c>
      <c r="AI282" s="207" t="str">
        <f aca="false">IF($A283="","",AH282)</f>
        <v/>
      </c>
      <c r="AJ282" s="208" t="e">
        <f aca="false">A282+DAY(EOMONTH(A282,0))/2-1</f>
        <v>#VALUE!</v>
      </c>
      <c r="AK282" s="209" t="str">
        <f aca="false">IF($A283="","",$A282-$E$1)</f>
        <v/>
      </c>
      <c r="AL282" s="182" t="str">
        <f aca="false">IF($A283="","",SPRDOPT(P282,X282,AI282,0,AB282,AE282,AF282,AK282,$AJ$2,0))</f>
        <v/>
      </c>
      <c r="AM282" s="211" t="str">
        <f aca="false">IF($A283="","",MAX(0,O282-W282-AI282))</f>
        <v/>
      </c>
      <c r="AN282" s="211" t="str">
        <f aca="false">IF($A283="","",AL282-AM282)</f>
        <v/>
      </c>
      <c r="AO282" s="137" t="str">
        <f aca="false">IF(A283="","",A283-A282)</f>
        <v/>
      </c>
      <c r="AP282" s="212" t="str">
        <f aca="false">IF(A283="","",CHOOSE(F$3,A283+24,A282))</f>
        <v/>
      </c>
      <c r="AQ282" s="209" t="str">
        <f aca="false">IF(A283="","",AP282-$E$1)</f>
        <v/>
      </c>
      <c r="AR282" s="185" t="n">
        <f aca="false">'ANR OK vs ML7'!AR282</f>
        <v>0.1</v>
      </c>
      <c r="AS282" s="213" t="str">
        <f aca="false">IF(A283="","",1/(1+CHOOSE(F$3,(AR283+($I$3/10000))/2,(AR282+($I$3/10000))/2))^(2*AQ282/365.25))</f>
        <v/>
      </c>
      <c r="AT282" s="137" t="str">
        <f aca="false">IF(A283="","",IF(AND(mthbeg&lt;=A282,mthend&gt;=A282),1,0))</f>
        <v/>
      </c>
      <c r="AU282" s="137" t="str">
        <f aca="false">IF(A283="","",AO282*AT282)</f>
        <v/>
      </c>
      <c r="AW282" s="195" t="str">
        <f aca="false">IF($A283="","",AL282*$E282)</f>
        <v/>
      </c>
      <c r="AX282" s="195" t="str">
        <f aca="false">IF($A283="","",AM282*$E282)</f>
        <v/>
      </c>
      <c r="AY282" s="195" t="str">
        <f aca="false">IF($A283="","",AN282*$E282)</f>
        <v/>
      </c>
      <c r="BA282" s="195" t="str">
        <f aca="false">IF($A283="","",F282*Summary!$Q$9)</f>
        <v/>
      </c>
    </row>
    <row r="283" customFormat="false" ht="12" hidden="false" customHeight="true" outlineLevel="0" collapsed="false">
      <c r="A283" s="196" t="str">
        <f aca="false">IF(A282&lt;mthend,EDATE(A282,1),"")</f>
        <v/>
      </c>
      <c r="B283" s="197" t="str">
        <f aca="false">IF(A283&lt;mthend,B282,"")</f>
        <v/>
      </c>
      <c r="C283" s="215"/>
      <c r="D283" s="197" t="str">
        <f aca="false">IF(A284&lt;&gt;"",B283+C283,"")</f>
        <v/>
      </c>
      <c r="E283" s="199" t="str">
        <f aca="false">IF(A284="","",IF(AND(AT283=1,$H$3=1),D283*AO283,IF($H$3=2,D283,"N/A")))</f>
        <v/>
      </c>
      <c r="F283" s="199" t="str">
        <f aca="false">IF(A284="","",E283*AS283)</f>
        <v/>
      </c>
      <c r="G283" s="200" t="str">
        <f aca="false">IF($A284="","",VLOOKUP($A283,Table,MATCH(G$4,Curves,0)))</f>
        <v/>
      </c>
      <c r="H283" s="201" t="str">
        <f aca="false">IF(A284="","",G283)</f>
        <v/>
      </c>
      <c r="I283" s="202"/>
      <c r="J283" s="200" t="str">
        <f aca="false">IF($A284="","",VLOOKUP($A283,Table,MATCH(J$4,Curves,0)))</f>
        <v/>
      </c>
      <c r="K283" s="201" t="str">
        <f aca="false">IF(A284="","",J283)</f>
        <v/>
      </c>
      <c r="L283" s="200" t="str">
        <f aca="false">IF($A284="","",VLOOKUP($A283,Table,MATCH(L$4,Curves,0)))</f>
        <v/>
      </c>
      <c r="M283" s="201" t="str">
        <f aca="false">IF(A284="","",L283)</f>
        <v/>
      </c>
      <c r="N283" s="203"/>
      <c r="O283" s="200" t="str">
        <f aca="false">IF(A284="","",L283+J283+G283)</f>
        <v/>
      </c>
      <c r="P283" s="200" t="str">
        <f aca="false">IF(A284="","",M283+K283+H283)</f>
        <v/>
      </c>
      <c r="Q283" s="204"/>
      <c r="R283" s="200" t="str">
        <f aca="false">IF($A284="","",VLOOKUP($A283,Table,MATCH(R$4,Curves,0)))</f>
        <v/>
      </c>
      <c r="S283" s="201" t="str">
        <f aca="false">IF(A284="","",R283)</f>
        <v/>
      </c>
      <c r="T283" s="200" t="str">
        <f aca="false">IF($A284="","",VLOOKUP($A283,Table,MATCH(T$4,Curves,0)))</f>
        <v/>
      </c>
      <c r="U283" s="201" t="str">
        <f aca="false">IF(A284="","",T283)</f>
        <v/>
      </c>
      <c r="V283" s="225" t="str">
        <f aca="false">IF($A284="","",IF(AND(MONTH(A283)&gt;3,MONTH(A283)&lt;11),(T283+R283+G283)*Summary!$T$9/(1-Summary!$T$9),(T283+R283+G283)*Summary!$U$9/(1-Summary!$U$9)))</f>
        <v/>
      </c>
      <c r="W283" s="200" t="str">
        <f aca="false">IF($A284="","",(T283+R283+G283+V283))</f>
        <v/>
      </c>
      <c r="X283" s="200" t="str">
        <f aca="false">IF($A284="","",(U283+S283+H283+V283))</f>
        <v/>
      </c>
      <c r="Y283" s="202"/>
      <c r="Z283" s="185" t="str">
        <f aca="false">IF($A284="","",VLOOKUP($A283,Table,MATCH(Z$4,Curves,0)))</f>
        <v/>
      </c>
      <c r="AA283" s="185" t="str">
        <f aca="false">IF($A284="","",VLOOKUP($A283,Table,MATCH(AA$4,Curves,0)))</f>
        <v/>
      </c>
      <c r="AB283" s="185" t="e">
        <f aca="false">SQRT((AA283^2*(A283-$D$3)+Z283^2*(DAY(EOMONTH(A283,0))/2))/AK283)</f>
        <v>#VALUE!</v>
      </c>
      <c r="AC283" s="185" t="str">
        <f aca="false">IF($A284="","",VLOOKUP($A283,Table,MATCH(AC$4,Curves,0)))</f>
        <v/>
      </c>
      <c r="AD283" s="185" t="str">
        <f aca="false">IF($A284="","",VLOOKUP($A283,Table,MATCH(AD$4,Curves,0)))</f>
        <v/>
      </c>
      <c r="AE283" s="185" t="e">
        <f aca="false">SQRT((AD283^2*(A283-$D$3)+AC283^2*(DAY(EOMONTH(A283,0))/2))/AK283)</f>
        <v>#VALUE!</v>
      </c>
      <c r="AF283" s="224" t="e">
        <f aca="false">((Summary!$N$9*(AA283*AD283)*(A283-$D$3))+(Summary!$M$9*Z283*AC283*(AJ283-EOMONTH(EDATE(A283,-1),0))))/(AK283*AB283*AE283)</f>
        <v>#VALUE!</v>
      </c>
      <c r="AG283" s="207" t="str">
        <f aca="false">IF($A284="","",Summary!$Q$9)</f>
        <v/>
      </c>
      <c r="AH283" s="207" t="str">
        <f aca="false">IF($A284="","",IF(Summary!$R$9="Y",VLOOKUP($A283,Summary!$AD$6:$AF$9,3)+'Escalating commodity'!E296,'Escalating commodity'!E296))</f>
        <v/>
      </c>
      <c r="AI283" s="207" t="str">
        <f aca="false">IF($A284="","",AH283)</f>
        <v/>
      </c>
      <c r="AJ283" s="208" t="e">
        <f aca="false">A283+DAY(EOMONTH(A283,0))/2-1</f>
        <v>#VALUE!</v>
      </c>
      <c r="AK283" s="209" t="str">
        <f aca="false">IF($A284="","",$A283-$E$1)</f>
        <v/>
      </c>
      <c r="AL283" s="182" t="str">
        <f aca="false">IF($A284="","",SPRDOPT(P283,X283,AI283,0,AB283,AE283,AF283,AK283,$AJ$2,0))</f>
        <v/>
      </c>
      <c r="AM283" s="211" t="str">
        <f aca="false">IF($A284="","",MAX(0,O283-W283-AI283))</f>
        <v/>
      </c>
      <c r="AN283" s="211" t="str">
        <f aca="false">IF($A284="","",AL283-AM283)</f>
        <v/>
      </c>
      <c r="AO283" s="137" t="str">
        <f aca="false">IF(A284="","",A284-A283)</f>
        <v/>
      </c>
      <c r="AP283" s="212" t="str">
        <f aca="false">IF(A284="","",CHOOSE(F$3,A284+24,A283))</f>
        <v/>
      </c>
      <c r="AQ283" s="209" t="str">
        <f aca="false">IF(A284="","",AP283-$E$1)</f>
        <v/>
      </c>
      <c r="AR283" s="185" t="n">
        <f aca="false">'ANR OK vs ML7'!AR283</f>
        <v>0.1</v>
      </c>
      <c r="AS283" s="213" t="str">
        <f aca="false">IF(A284="","",1/(1+CHOOSE(F$3,(AR284+($I$3/10000))/2,(AR283+($I$3/10000))/2))^(2*AQ283/365.25))</f>
        <v/>
      </c>
      <c r="AT283" s="137" t="str">
        <f aca="false">IF(A284="","",IF(AND(mthbeg&lt;=A283,mthend&gt;=A283),1,0))</f>
        <v/>
      </c>
      <c r="AU283" s="137" t="str">
        <f aca="false">IF(A284="","",AO283*AT283)</f>
        <v/>
      </c>
      <c r="AW283" s="195" t="str">
        <f aca="false">IF($A284="","",AL283*$E283)</f>
        <v/>
      </c>
      <c r="AX283" s="195" t="str">
        <f aca="false">IF($A284="","",AM283*$E283)</f>
        <v/>
      </c>
      <c r="AY283" s="195" t="str">
        <f aca="false">IF($A284="","",AN283*$E283)</f>
        <v/>
      </c>
      <c r="BA283" s="195" t="str">
        <f aca="false">IF($A284="","",F283*Summary!$Q$9)</f>
        <v/>
      </c>
    </row>
    <row r="284" customFormat="false" ht="12" hidden="false" customHeight="true" outlineLevel="0" collapsed="false">
      <c r="A284" s="196" t="str">
        <f aca="false">IF(A283&lt;mthend,EDATE(A283,1),"")</f>
        <v/>
      </c>
      <c r="B284" s="197" t="str">
        <f aca="false">IF(A284&lt;mthend,B283,"")</f>
        <v/>
      </c>
      <c r="C284" s="215"/>
      <c r="D284" s="197" t="str">
        <f aca="false">IF(A285&lt;&gt;"",B284+C284,"")</f>
        <v/>
      </c>
      <c r="E284" s="199" t="str">
        <f aca="false">IF(A285="","",IF(AND(AT284=1,$H$3=1),D284*AO284,IF($H$3=2,D284,"N/A")))</f>
        <v/>
      </c>
      <c r="F284" s="199" t="str">
        <f aca="false">IF(A285="","",E284*AS284)</f>
        <v/>
      </c>
      <c r="G284" s="200" t="str">
        <f aca="false">IF($A285="","",VLOOKUP($A284,Table,MATCH(G$4,Curves,0)))</f>
        <v/>
      </c>
      <c r="H284" s="201" t="str">
        <f aca="false">IF(A285="","",G284)</f>
        <v/>
      </c>
      <c r="I284" s="202"/>
      <c r="J284" s="200" t="str">
        <f aca="false">IF($A285="","",VLOOKUP($A284,Table,MATCH(J$4,Curves,0)))</f>
        <v/>
      </c>
      <c r="K284" s="201" t="str">
        <f aca="false">IF(A285="","",J284)</f>
        <v/>
      </c>
      <c r="L284" s="200" t="str">
        <f aca="false">IF($A285="","",VLOOKUP($A284,Table,MATCH(L$4,Curves,0)))</f>
        <v/>
      </c>
      <c r="M284" s="201" t="str">
        <f aca="false">IF(A285="","",L284)</f>
        <v/>
      </c>
      <c r="N284" s="203"/>
      <c r="O284" s="200" t="str">
        <f aca="false">IF(A285="","",L284+J284+G284)</f>
        <v/>
      </c>
      <c r="P284" s="200" t="str">
        <f aca="false">IF(A285="","",M284+K284+H284)</f>
        <v/>
      </c>
      <c r="Q284" s="204"/>
      <c r="R284" s="200" t="str">
        <f aca="false">IF($A285="","",VLOOKUP($A284,Table,MATCH(R$4,Curves,0)))</f>
        <v/>
      </c>
      <c r="S284" s="201" t="str">
        <f aca="false">IF(A285="","",R284)</f>
        <v/>
      </c>
      <c r="T284" s="200" t="str">
        <f aca="false">IF($A285="","",VLOOKUP($A284,Table,MATCH(T$4,Curves,0)))</f>
        <v/>
      </c>
      <c r="U284" s="201" t="str">
        <f aca="false">IF(A285="","",T284)</f>
        <v/>
      </c>
      <c r="V284" s="225" t="str">
        <f aca="false">IF($A285="","",IF(AND(MONTH(A284)&gt;3,MONTH(A284)&lt;11),(T284+R284+G284)*Summary!$T$9/(1-Summary!$T$9),(T284+R284+G284)*Summary!$U$9/(1-Summary!$U$9)))</f>
        <v/>
      </c>
      <c r="W284" s="200" t="str">
        <f aca="false">IF($A285="","",(T284+R284+G284+V284))</f>
        <v/>
      </c>
      <c r="X284" s="200" t="str">
        <f aca="false">IF($A285="","",(U284+S284+H284+V284))</f>
        <v/>
      </c>
      <c r="Y284" s="202"/>
      <c r="Z284" s="185" t="str">
        <f aca="false">IF($A285="","",VLOOKUP($A284,Table,MATCH(Z$4,Curves,0)))</f>
        <v/>
      </c>
      <c r="AA284" s="185" t="str">
        <f aca="false">IF($A285="","",VLOOKUP($A284,Table,MATCH(AA$4,Curves,0)))</f>
        <v/>
      </c>
      <c r="AB284" s="185" t="e">
        <f aca="false">SQRT((AA284^2*(A284-$D$3)+Z284^2*(DAY(EOMONTH(A284,0))/2))/AK284)</f>
        <v>#VALUE!</v>
      </c>
      <c r="AC284" s="185" t="str">
        <f aca="false">IF($A285="","",VLOOKUP($A284,Table,MATCH(AC$4,Curves,0)))</f>
        <v/>
      </c>
      <c r="AD284" s="185" t="str">
        <f aca="false">IF($A285="","",VLOOKUP($A284,Table,MATCH(AD$4,Curves,0)))</f>
        <v/>
      </c>
      <c r="AE284" s="185" t="e">
        <f aca="false">SQRT((AD284^2*(A284-$D$3)+AC284^2*(DAY(EOMONTH(A284,0))/2))/AK284)</f>
        <v>#VALUE!</v>
      </c>
      <c r="AF284" s="224" t="e">
        <f aca="false">((Summary!$N$9*(AA284*AD284)*(A284-$D$3))+(Summary!$M$9*Z284*AC284*(AJ284-EOMONTH(EDATE(A284,-1),0))))/(AK284*AB284*AE284)</f>
        <v>#VALUE!</v>
      </c>
      <c r="AG284" s="207" t="str">
        <f aca="false">IF($A285="","",Summary!$Q$9)</f>
        <v/>
      </c>
      <c r="AH284" s="207" t="str">
        <f aca="false">IF($A285="","",IF(Summary!$R$9="Y",VLOOKUP($A284,Summary!$AD$6:$AF$9,3)+'Escalating commodity'!E297,'Escalating commodity'!E297))</f>
        <v/>
      </c>
      <c r="AI284" s="207" t="str">
        <f aca="false">IF($A285="","",AH284)</f>
        <v/>
      </c>
      <c r="AJ284" s="208" t="e">
        <f aca="false">A284+DAY(EOMONTH(A284,0))/2-1</f>
        <v>#VALUE!</v>
      </c>
      <c r="AK284" s="209" t="str">
        <f aca="false">IF($A285="","",$A284-$E$1)</f>
        <v/>
      </c>
      <c r="AL284" s="182" t="str">
        <f aca="false">IF($A285="","",SPRDOPT(P284,X284,AI284,0,AB284,AE284,AF284,AK284,$AJ$2,0))</f>
        <v/>
      </c>
      <c r="AM284" s="211" t="str">
        <f aca="false">IF($A285="","",MAX(0,O284-W284-AI284))</f>
        <v/>
      </c>
      <c r="AN284" s="211" t="str">
        <f aca="false">IF($A285="","",AL284-AM284)</f>
        <v/>
      </c>
      <c r="AO284" s="137" t="str">
        <f aca="false">IF(A285="","",A285-A284)</f>
        <v/>
      </c>
      <c r="AP284" s="212" t="str">
        <f aca="false">IF(A285="","",CHOOSE(F$3,A285+24,A284))</f>
        <v/>
      </c>
      <c r="AQ284" s="209" t="str">
        <f aca="false">IF(A285="","",AP284-$E$1)</f>
        <v/>
      </c>
      <c r="AR284" s="185" t="n">
        <f aca="false">'ANR OK vs ML7'!AR284</f>
        <v>0.1</v>
      </c>
      <c r="AS284" s="213" t="str">
        <f aca="false">IF(A285="","",1/(1+CHOOSE(F$3,(AR285+($I$3/10000))/2,(AR284+($I$3/10000))/2))^(2*AQ284/365.25))</f>
        <v/>
      </c>
      <c r="AT284" s="137" t="str">
        <f aca="false">IF(A285="","",IF(AND(mthbeg&lt;=A284,mthend&gt;=A284),1,0))</f>
        <v/>
      </c>
      <c r="AU284" s="137" t="str">
        <f aca="false">IF(A285="","",AO284*AT284)</f>
        <v/>
      </c>
      <c r="AW284" s="195" t="str">
        <f aca="false">IF($A285="","",AL284*$E284)</f>
        <v/>
      </c>
      <c r="AX284" s="195" t="str">
        <f aca="false">IF($A285="","",AM284*$E284)</f>
        <v/>
      </c>
      <c r="AY284" s="195" t="str">
        <f aca="false">IF($A285="","",AN284*$E284)</f>
        <v/>
      </c>
      <c r="BA284" s="195" t="str">
        <f aca="false">IF($A285="","",F284*Summary!$Q$9)</f>
        <v/>
      </c>
    </row>
    <row r="285" customFormat="false" ht="12" hidden="false" customHeight="true" outlineLevel="0" collapsed="false">
      <c r="A285" s="196" t="str">
        <f aca="false">IF(A284&lt;mthend,EDATE(A284,1),"")</f>
        <v/>
      </c>
      <c r="B285" s="197" t="str">
        <f aca="false">IF(A285&lt;mthend,B284,"")</f>
        <v/>
      </c>
      <c r="C285" s="215"/>
      <c r="D285" s="197" t="str">
        <f aca="false">IF(A286&lt;&gt;"",B285+C285,"")</f>
        <v/>
      </c>
      <c r="E285" s="199" t="str">
        <f aca="false">IF(A286="","",IF(AND(AT285=1,$H$3=1),D285*AO285,IF($H$3=2,D285,"N/A")))</f>
        <v/>
      </c>
      <c r="F285" s="199" t="str">
        <f aca="false">IF(A286="","",E285*AS285)</f>
        <v/>
      </c>
      <c r="G285" s="200" t="str">
        <f aca="false">IF($A286="","",VLOOKUP($A285,Table,MATCH(G$4,Curves,0)))</f>
        <v/>
      </c>
      <c r="H285" s="201" t="str">
        <f aca="false">IF(A286="","",G285)</f>
        <v/>
      </c>
      <c r="I285" s="202"/>
      <c r="J285" s="200" t="str">
        <f aca="false">IF($A286="","",VLOOKUP($A285,Table,MATCH(J$4,Curves,0)))</f>
        <v/>
      </c>
      <c r="K285" s="201" t="str">
        <f aca="false">IF(A286="","",J285)</f>
        <v/>
      </c>
      <c r="L285" s="200" t="str">
        <f aca="false">IF($A286="","",VLOOKUP($A285,Table,MATCH(L$4,Curves,0)))</f>
        <v/>
      </c>
      <c r="M285" s="201" t="str">
        <f aca="false">IF(A286="","",L285)</f>
        <v/>
      </c>
      <c r="N285" s="203"/>
      <c r="O285" s="200" t="str">
        <f aca="false">IF(A286="","",L285+J285+G285)</f>
        <v/>
      </c>
      <c r="P285" s="200" t="str">
        <f aca="false">IF(A286="","",M285+K285+H285)</f>
        <v/>
      </c>
      <c r="Q285" s="204"/>
      <c r="R285" s="200" t="str">
        <f aca="false">IF($A286="","",VLOOKUP($A285,Table,MATCH(R$4,Curves,0)))</f>
        <v/>
      </c>
      <c r="S285" s="201" t="str">
        <f aca="false">IF(A286="","",R285)</f>
        <v/>
      </c>
      <c r="T285" s="200" t="str">
        <f aca="false">IF($A286="","",VLOOKUP($A285,Table,MATCH(T$4,Curves,0)))</f>
        <v/>
      </c>
      <c r="U285" s="201" t="str">
        <f aca="false">IF(A286="","",T285)</f>
        <v/>
      </c>
      <c r="V285" s="225" t="str">
        <f aca="false">IF($A286="","",IF(AND(MONTH(A285)&gt;3,MONTH(A285)&lt;11),(T285+R285+G285)*Summary!$T$9/(1-Summary!$T$9),(T285+R285+G285)*Summary!$U$9/(1-Summary!$U$9)))</f>
        <v/>
      </c>
      <c r="W285" s="200" t="str">
        <f aca="false">IF($A286="","",(T285+R285+G285+V285))</f>
        <v/>
      </c>
      <c r="X285" s="200" t="str">
        <f aca="false">IF($A286="","",(U285+S285+H285+V285))</f>
        <v/>
      </c>
      <c r="Y285" s="202"/>
      <c r="Z285" s="185" t="str">
        <f aca="false">IF($A286="","",VLOOKUP($A285,Table,MATCH(Z$4,Curves,0)))</f>
        <v/>
      </c>
      <c r="AA285" s="185" t="str">
        <f aca="false">IF($A286="","",VLOOKUP($A285,Table,MATCH(AA$4,Curves,0)))</f>
        <v/>
      </c>
      <c r="AB285" s="185" t="e">
        <f aca="false">SQRT((AA285^2*(A285-$D$3)+Z285^2*(DAY(EOMONTH(A285,0))/2))/AK285)</f>
        <v>#VALUE!</v>
      </c>
      <c r="AC285" s="185" t="str">
        <f aca="false">IF($A286="","",VLOOKUP($A285,Table,MATCH(AC$4,Curves,0)))</f>
        <v/>
      </c>
      <c r="AD285" s="185" t="str">
        <f aca="false">IF($A286="","",VLOOKUP($A285,Table,MATCH(AD$4,Curves,0)))</f>
        <v/>
      </c>
      <c r="AE285" s="185" t="e">
        <f aca="false">SQRT((AD285^2*(A285-$D$3)+AC285^2*(DAY(EOMONTH(A285,0))/2))/AK285)</f>
        <v>#VALUE!</v>
      </c>
      <c r="AF285" s="224" t="e">
        <f aca="false">((Summary!$N$9*(AA285*AD285)*(A285-$D$3))+(Summary!$M$9*Z285*AC285*(AJ285-EOMONTH(EDATE(A285,-1),0))))/(AK285*AB285*AE285)</f>
        <v>#VALUE!</v>
      </c>
      <c r="AG285" s="207" t="str">
        <f aca="false">IF($A286="","",Summary!$Q$9)</f>
        <v/>
      </c>
      <c r="AH285" s="207" t="str">
        <f aca="false">IF($A286="","",IF(Summary!$R$9="Y",VLOOKUP($A285,Summary!$AD$6:$AF$9,3)+'Escalating commodity'!E298,'Escalating commodity'!E298))</f>
        <v/>
      </c>
      <c r="AI285" s="207" t="str">
        <f aca="false">IF($A286="","",AH285)</f>
        <v/>
      </c>
      <c r="AJ285" s="208" t="e">
        <f aca="false">A285+DAY(EOMONTH(A285,0))/2-1</f>
        <v>#VALUE!</v>
      </c>
      <c r="AK285" s="209" t="str">
        <f aca="false">IF($A286="","",$A285-$E$1)</f>
        <v/>
      </c>
      <c r="AL285" s="182" t="str">
        <f aca="false">IF($A286="","",SPRDOPT(P285,X285,AI285,0,AB285,AE285,AF285,AK285,$AJ$2,0))</f>
        <v/>
      </c>
      <c r="AM285" s="211" t="str">
        <f aca="false">IF($A286="","",MAX(0,O285-W285-AI285))</f>
        <v/>
      </c>
      <c r="AN285" s="211" t="str">
        <f aca="false">IF($A286="","",AL285-AM285)</f>
        <v/>
      </c>
      <c r="AO285" s="137" t="str">
        <f aca="false">IF(A286="","",A286-A285)</f>
        <v/>
      </c>
      <c r="AP285" s="212" t="str">
        <f aca="false">IF(A286="","",CHOOSE(F$3,A286+24,A285))</f>
        <v/>
      </c>
      <c r="AQ285" s="209" t="str">
        <f aca="false">IF(A286="","",AP285-$E$1)</f>
        <v/>
      </c>
      <c r="AR285" s="185" t="n">
        <f aca="false">'ANR OK vs ML7'!AR285</f>
        <v>0.1</v>
      </c>
      <c r="AS285" s="213" t="str">
        <f aca="false">IF(A286="","",1/(1+CHOOSE(F$3,(AR286+($I$3/10000))/2,(AR285+($I$3/10000))/2))^(2*AQ285/365.25))</f>
        <v/>
      </c>
      <c r="AT285" s="137" t="str">
        <f aca="false">IF(A286="","",IF(AND(mthbeg&lt;=A285,mthend&gt;=A285),1,0))</f>
        <v/>
      </c>
      <c r="AU285" s="137" t="str">
        <f aca="false">IF(A286="","",AO285*AT285)</f>
        <v/>
      </c>
      <c r="AW285" s="195" t="str">
        <f aca="false">IF($A286="","",AL285*$E285)</f>
        <v/>
      </c>
      <c r="AX285" s="195" t="str">
        <f aca="false">IF($A286="","",AM285*$E285)</f>
        <v/>
      </c>
      <c r="AY285" s="195" t="str">
        <f aca="false">IF($A286="","",AN285*$E285)</f>
        <v/>
      </c>
      <c r="BA285" s="195" t="str">
        <f aca="false">IF($A286="","",F285*Summary!$Q$9)</f>
        <v/>
      </c>
    </row>
    <row r="286" customFormat="false" ht="12" hidden="false" customHeight="true" outlineLevel="0" collapsed="false">
      <c r="A286" s="196" t="str">
        <f aca="false">IF(A285&lt;mthend,EDATE(A285,1),"")</f>
        <v/>
      </c>
      <c r="B286" s="197" t="str">
        <f aca="false">IF(A286&lt;mthend,B285,"")</f>
        <v/>
      </c>
      <c r="C286" s="215"/>
      <c r="D286" s="197" t="str">
        <f aca="false">IF(A287&lt;&gt;"",B286+C286,"")</f>
        <v/>
      </c>
      <c r="E286" s="199" t="str">
        <f aca="false">IF(A287="","",IF(AND(AT286=1,$H$3=1),D286*AO286,IF($H$3=2,D286,"N/A")))</f>
        <v/>
      </c>
      <c r="F286" s="199" t="str">
        <f aca="false">IF(A287="","",E286*AS286)</f>
        <v/>
      </c>
      <c r="G286" s="200" t="str">
        <f aca="false">IF($A287="","",VLOOKUP($A286,Table,MATCH(G$4,Curves,0)))</f>
        <v/>
      </c>
      <c r="H286" s="201" t="str">
        <f aca="false">IF(A287="","",G286)</f>
        <v/>
      </c>
      <c r="I286" s="202"/>
      <c r="J286" s="200" t="str">
        <f aca="false">IF($A287="","",VLOOKUP($A286,Table,MATCH(J$4,Curves,0)))</f>
        <v/>
      </c>
      <c r="K286" s="201" t="str">
        <f aca="false">IF(A287="","",J286)</f>
        <v/>
      </c>
      <c r="L286" s="200" t="str">
        <f aca="false">IF($A287="","",VLOOKUP($A286,Table,MATCH(L$4,Curves,0)))</f>
        <v/>
      </c>
      <c r="M286" s="201" t="str">
        <f aca="false">IF(A287="","",L286)</f>
        <v/>
      </c>
      <c r="N286" s="203"/>
      <c r="O286" s="200" t="str">
        <f aca="false">IF(A287="","",L286+J286+G286)</f>
        <v/>
      </c>
      <c r="P286" s="200" t="str">
        <f aca="false">IF(A287="","",M286+K286+H286)</f>
        <v/>
      </c>
      <c r="Q286" s="204"/>
      <c r="R286" s="200" t="str">
        <f aca="false">IF($A287="","",VLOOKUP($A286,Table,MATCH(R$4,Curves,0)))</f>
        <v/>
      </c>
      <c r="S286" s="201" t="str">
        <f aca="false">IF(A287="","",R286)</f>
        <v/>
      </c>
      <c r="T286" s="200" t="str">
        <f aca="false">IF($A287="","",VLOOKUP($A286,Table,MATCH(T$4,Curves,0)))</f>
        <v/>
      </c>
      <c r="U286" s="201" t="str">
        <f aca="false">IF(A287="","",T286)</f>
        <v/>
      </c>
      <c r="V286" s="225" t="str">
        <f aca="false">IF($A287="","",IF(AND(MONTH(A286)&gt;3,MONTH(A286)&lt;11),(T286+R286+G286)*Summary!$T$9/(1-Summary!$T$9),(T286+R286+G286)*Summary!$U$9/(1-Summary!$U$9)))</f>
        <v/>
      </c>
      <c r="W286" s="200" t="str">
        <f aca="false">IF($A287="","",(T286+R286+G286+V286))</f>
        <v/>
      </c>
      <c r="X286" s="200" t="str">
        <f aca="false">IF($A287="","",(U286+S286+H286+V286))</f>
        <v/>
      </c>
      <c r="Y286" s="202"/>
      <c r="Z286" s="185" t="str">
        <f aca="false">IF($A287="","",VLOOKUP($A286,Table,MATCH(Z$4,Curves,0)))</f>
        <v/>
      </c>
      <c r="AA286" s="185" t="str">
        <f aca="false">IF($A287="","",VLOOKUP($A286,Table,MATCH(AA$4,Curves,0)))</f>
        <v/>
      </c>
      <c r="AB286" s="185" t="e">
        <f aca="false">SQRT((AA286^2*(A286-$D$3)+Z286^2*(DAY(EOMONTH(A286,0))/2))/AK286)</f>
        <v>#VALUE!</v>
      </c>
      <c r="AC286" s="185" t="str">
        <f aca="false">IF($A287="","",VLOOKUP($A286,Table,MATCH(AC$4,Curves,0)))</f>
        <v/>
      </c>
      <c r="AD286" s="185" t="str">
        <f aca="false">IF($A287="","",VLOOKUP($A286,Table,MATCH(AD$4,Curves,0)))</f>
        <v/>
      </c>
      <c r="AE286" s="185" t="e">
        <f aca="false">SQRT((AD286^2*(A286-$D$3)+AC286^2*(DAY(EOMONTH(A286,0))/2))/AK286)</f>
        <v>#VALUE!</v>
      </c>
      <c r="AF286" s="224" t="e">
        <f aca="false">((Summary!$N$9*(AA286*AD286)*(A286-$D$3))+(Summary!$M$9*Z286*AC286*(AJ286-EOMONTH(EDATE(A286,-1),0))))/(AK286*AB286*AE286)</f>
        <v>#VALUE!</v>
      </c>
      <c r="AG286" s="207" t="str">
        <f aca="false">IF($A287="","",Summary!$Q$9)</f>
        <v/>
      </c>
      <c r="AH286" s="207" t="str">
        <f aca="false">IF($A287="","",IF(Summary!$R$9="Y",VLOOKUP($A286,Summary!$AD$6:$AF$9,3)+'Escalating commodity'!E299,'Escalating commodity'!E299))</f>
        <v/>
      </c>
      <c r="AI286" s="207" t="str">
        <f aca="false">IF($A287="","",AH286)</f>
        <v/>
      </c>
      <c r="AJ286" s="208" t="e">
        <f aca="false">A286+DAY(EOMONTH(A286,0))/2-1</f>
        <v>#VALUE!</v>
      </c>
      <c r="AK286" s="209" t="str">
        <f aca="false">IF($A287="","",$A286-$E$1)</f>
        <v/>
      </c>
      <c r="AL286" s="182" t="str">
        <f aca="false">IF($A287="","",SPRDOPT(P286,X286,AI286,0,AB286,AE286,AF286,AK286,$AJ$2,0))</f>
        <v/>
      </c>
      <c r="AM286" s="211" t="str">
        <f aca="false">IF($A287="","",MAX(0,O286-W286-AI286))</f>
        <v/>
      </c>
      <c r="AN286" s="211" t="str">
        <f aca="false">IF($A287="","",AL286-AM286)</f>
        <v/>
      </c>
      <c r="AO286" s="137" t="str">
        <f aca="false">IF(A287="","",A287-A286)</f>
        <v/>
      </c>
      <c r="AP286" s="212" t="str">
        <f aca="false">IF(A287="","",CHOOSE(F$3,A287+24,A286))</f>
        <v/>
      </c>
      <c r="AQ286" s="209" t="str">
        <f aca="false">IF(A287="","",AP286-$E$1)</f>
        <v/>
      </c>
      <c r="AR286" s="185" t="n">
        <f aca="false">'ANR OK vs ML7'!AR286</f>
        <v>0.1</v>
      </c>
      <c r="AS286" s="213" t="str">
        <f aca="false">IF(A287="","",1/(1+CHOOSE(F$3,(AR287+($I$3/10000))/2,(AR286+($I$3/10000))/2))^(2*AQ286/365.25))</f>
        <v/>
      </c>
      <c r="AT286" s="137" t="str">
        <f aca="false">IF(A287="","",IF(AND(mthbeg&lt;=A286,mthend&gt;=A286),1,0))</f>
        <v/>
      </c>
      <c r="AU286" s="137" t="str">
        <f aca="false">IF(A287="","",AO286*AT286)</f>
        <v/>
      </c>
      <c r="AW286" s="195" t="str">
        <f aca="false">IF($A287="","",AL286*$E286)</f>
        <v/>
      </c>
      <c r="AX286" s="195" t="str">
        <f aca="false">IF($A287="","",AM286*$E286)</f>
        <v/>
      </c>
      <c r="AY286" s="195" t="str">
        <f aca="false">IF($A287="","",AN286*$E286)</f>
        <v/>
      </c>
      <c r="BA286" s="195" t="str">
        <f aca="false">IF($A287="","",F286*Summary!$Q$9)</f>
        <v/>
      </c>
    </row>
    <row r="287" customFormat="false" ht="12" hidden="false" customHeight="true" outlineLevel="0" collapsed="false">
      <c r="A287" s="196" t="str">
        <f aca="false">IF(A286&lt;mthend,EDATE(A286,1),"")</f>
        <v/>
      </c>
      <c r="B287" s="197" t="str">
        <f aca="false">IF(A287&lt;mthend,B286,"")</f>
        <v/>
      </c>
      <c r="C287" s="215"/>
      <c r="D287" s="197" t="str">
        <f aca="false">IF(A288&lt;&gt;"",B287+C287,"")</f>
        <v/>
      </c>
      <c r="E287" s="199" t="str">
        <f aca="false">IF(A288="","",IF(AND(AT287=1,$H$3=1),D287*AO287,IF($H$3=2,D287,"N/A")))</f>
        <v/>
      </c>
      <c r="F287" s="199" t="str">
        <f aca="false">IF(A288="","",E287*AS287)</f>
        <v/>
      </c>
      <c r="G287" s="200" t="str">
        <f aca="false">IF($A288="","",VLOOKUP($A287,Table,MATCH(G$4,Curves,0)))</f>
        <v/>
      </c>
      <c r="H287" s="201" t="str">
        <f aca="false">IF(A288="","",G287)</f>
        <v/>
      </c>
      <c r="I287" s="202"/>
      <c r="J287" s="200" t="str">
        <f aca="false">IF($A288="","",VLOOKUP($A287,Table,MATCH(J$4,Curves,0)))</f>
        <v/>
      </c>
      <c r="K287" s="201" t="str">
        <f aca="false">IF(A288="","",J287)</f>
        <v/>
      </c>
      <c r="L287" s="200" t="str">
        <f aca="false">IF($A288="","",VLOOKUP($A287,Table,MATCH(L$4,Curves,0)))</f>
        <v/>
      </c>
      <c r="M287" s="201" t="str">
        <f aca="false">IF(A288="","",L287)</f>
        <v/>
      </c>
      <c r="N287" s="203"/>
      <c r="O287" s="200" t="str">
        <f aca="false">IF(A288="","",L287+J287+G287)</f>
        <v/>
      </c>
      <c r="P287" s="200" t="str">
        <f aca="false">IF(A288="","",M287+K287+H287)</f>
        <v/>
      </c>
      <c r="Q287" s="204"/>
      <c r="R287" s="200" t="str">
        <f aca="false">IF($A288="","",VLOOKUP($A287,Table,MATCH(R$4,Curves,0)))</f>
        <v/>
      </c>
      <c r="S287" s="201" t="str">
        <f aca="false">IF(A288="","",R287)</f>
        <v/>
      </c>
      <c r="T287" s="200" t="str">
        <f aca="false">IF($A288="","",VLOOKUP($A287,Table,MATCH(T$4,Curves,0)))</f>
        <v/>
      </c>
      <c r="U287" s="201" t="str">
        <f aca="false">IF(A288="","",T287)</f>
        <v/>
      </c>
      <c r="V287" s="225" t="str">
        <f aca="false">IF($A288="","",IF(AND(MONTH(A287)&gt;3,MONTH(A287)&lt;11),(T287+R287+G287)*Summary!$T$9/(1-Summary!$T$9),(T287+R287+G287)*Summary!$U$9/(1-Summary!$U$9)))</f>
        <v/>
      </c>
      <c r="W287" s="200" t="str">
        <f aca="false">IF($A288="","",(T287+R287+G287+V287))</f>
        <v/>
      </c>
      <c r="X287" s="200" t="str">
        <f aca="false">IF($A288="","",(U287+S287+H287+V287))</f>
        <v/>
      </c>
      <c r="Y287" s="202"/>
      <c r="Z287" s="185" t="str">
        <f aca="false">IF($A288="","",VLOOKUP($A287,Table,MATCH(Z$4,Curves,0)))</f>
        <v/>
      </c>
      <c r="AA287" s="185" t="str">
        <f aca="false">IF($A288="","",VLOOKUP($A287,Table,MATCH(AA$4,Curves,0)))</f>
        <v/>
      </c>
      <c r="AB287" s="185" t="e">
        <f aca="false">SQRT((AA287^2*(A287-$D$3)+Z287^2*(DAY(EOMONTH(A287,0))/2))/AK287)</f>
        <v>#VALUE!</v>
      </c>
      <c r="AC287" s="185" t="str">
        <f aca="false">IF($A288="","",VLOOKUP($A287,Table,MATCH(AC$4,Curves,0)))</f>
        <v/>
      </c>
      <c r="AD287" s="185" t="str">
        <f aca="false">IF($A288="","",VLOOKUP($A287,Table,MATCH(AD$4,Curves,0)))</f>
        <v/>
      </c>
      <c r="AE287" s="185" t="e">
        <f aca="false">SQRT((AD287^2*(A287-$D$3)+AC287^2*(DAY(EOMONTH(A287,0))/2))/AK287)</f>
        <v>#VALUE!</v>
      </c>
      <c r="AF287" s="224" t="e">
        <f aca="false">((Summary!$N$9*(AA287*AD287)*(A287-$D$3))+(Summary!$M$9*Z287*AC287*(AJ287-EOMONTH(EDATE(A287,-1),0))))/(AK287*AB287*AE287)</f>
        <v>#VALUE!</v>
      </c>
      <c r="AG287" s="207" t="str">
        <f aca="false">IF($A288="","",Summary!$Q$9)</f>
        <v/>
      </c>
      <c r="AH287" s="207" t="str">
        <f aca="false">IF($A288="","",IF(Summary!$R$9="Y",VLOOKUP($A287,Summary!$AD$6:$AF$9,3)+'Escalating commodity'!E300,'Escalating commodity'!E300))</f>
        <v/>
      </c>
      <c r="AI287" s="207" t="str">
        <f aca="false">IF($A288="","",AH287)</f>
        <v/>
      </c>
      <c r="AJ287" s="208" t="e">
        <f aca="false">A287+DAY(EOMONTH(A287,0))/2-1</f>
        <v>#VALUE!</v>
      </c>
      <c r="AK287" s="209" t="str">
        <f aca="false">IF($A288="","",$A287-$E$1)</f>
        <v/>
      </c>
      <c r="AL287" s="182" t="str">
        <f aca="false">IF($A288="","",SPRDOPT(P287,X287,AI287,0,AB287,AE287,AF287,AK287,$AJ$2,0))</f>
        <v/>
      </c>
      <c r="AM287" s="211" t="str">
        <f aca="false">IF($A288="","",MAX(0,O287-W287-AI287))</f>
        <v/>
      </c>
      <c r="AN287" s="211" t="str">
        <f aca="false">IF($A288="","",AL287-AM287)</f>
        <v/>
      </c>
      <c r="AO287" s="137" t="str">
        <f aca="false">IF(A288="","",A288-A287)</f>
        <v/>
      </c>
      <c r="AP287" s="212" t="str">
        <f aca="false">IF(A288="","",CHOOSE(F$3,A288+24,A287))</f>
        <v/>
      </c>
      <c r="AQ287" s="209" t="str">
        <f aca="false">IF(A288="","",AP287-$E$1)</f>
        <v/>
      </c>
      <c r="AR287" s="185" t="n">
        <f aca="false">'ANR OK vs ML7'!AR287</f>
        <v>0.1</v>
      </c>
      <c r="AS287" s="213" t="str">
        <f aca="false">IF(A288="","",1/(1+CHOOSE(F$3,(AR288+($I$3/10000))/2,(AR287+($I$3/10000))/2))^(2*AQ287/365.25))</f>
        <v/>
      </c>
      <c r="AT287" s="137" t="str">
        <f aca="false">IF(A288="","",IF(AND(mthbeg&lt;=A287,mthend&gt;=A287),1,0))</f>
        <v/>
      </c>
      <c r="AU287" s="137" t="str">
        <f aca="false">IF(A288="","",AO287*AT287)</f>
        <v/>
      </c>
      <c r="AW287" s="195" t="str">
        <f aca="false">IF($A288="","",AL287*$E287)</f>
        <v/>
      </c>
      <c r="AX287" s="195" t="str">
        <f aca="false">IF($A288="","",AM287*$E287)</f>
        <v/>
      </c>
      <c r="AY287" s="195" t="str">
        <f aca="false">IF($A288="","",AN287*$E287)</f>
        <v/>
      </c>
      <c r="BA287" s="195" t="str">
        <f aca="false">IF($A288="","",F287*Summary!$Q$9)</f>
        <v/>
      </c>
    </row>
    <row r="288" customFormat="false" ht="12" hidden="false" customHeight="true" outlineLevel="0" collapsed="false">
      <c r="A288" s="196" t="str">
        <f aca="false">IF(A287&lt;mthend,EDATE(A287,1),"")</f>
        <v/>
      </c>
      <c r="B288" s="197" t="str">
        <f aca="false">IF(A288&lt;mthend,B287,"")</f>
        <v/>
      </c>
      <c r="C288" s="215"/>
      <c r="D288" s="197" t="str">
        <f aca="false">IF(A289&lt;&gt;"",B288+C288,"")</f>
        <v/>
      </c>
      <c r="E288" s="199" t="str">
        <f aca="false">IF(A289="","",IF(AND(AT288=1,$H$3=1),D288*AO288,IF($H$3=2,D288,"N/A")))</f>
        <v/>
      </c>
      <c r="F288" s="199" t="str">
        <f aca="false">IF(A289="","",E288*AS288)</f>
        <v/>
      </c>
      <c r="G288" s="200" t="str">
        <f aca="false">IF($A289="","",VLOOKUP($A288,Table,MATCH(G$4,Curves,0)))</f>
        <v/>
      </c>
      <c r="H288" s="201" t="str">
        <f aca="false">IF(A289="","",G288)</f>
        <v/>
      </c>
      <c r="I288" s="202"/>
      <c r="J288" s="200" t="str">
        <f aca="false">IF($A289="","",VLOOKUP($A288,Table,MATCH(J$4,Curves,0)))</f>
        <v/>
      </c>
      <c r="K288" s="201" t="str">
        <f aca="false">IF(A289="","",J288)</f>
        <v/>
      </c>
      <c r="L288" s="200" t="str">
        <f aca="false">IF($A289="","",VLOOKUP($A288,Table,MATCH(L$4,Curves,0)))</f>
        <v/>
      </c>
      <c r="M288" s="201" t="str">
        <f aca="false">IF(A289="","",L288)</f>
        <v/>
      </c>
      <c r="N288" s="203"/>
      <c r="O288" s="200" t="str">
        <f aca="false">IF(A289="","",L288+J288+G288)</f>
        <v/>
      </c>
      <c r="P288" s="200" t="str">
        <f aca="false">IF(A289="","",M288+K288+H288)</f>
        <v/>
      </c>
      <c r="Q288" s="204"/>
      <c r="R288" s="200" t="str">
        <f aca="false">IF($A289="","",VLOOKUP($A288,Table,MATCH(R$4,Curves,0)))</f>
        <v/>
      </c>
      <c r="S288" s="201" t="str">
        <f aca="false">IF(A289="","",R288)</f>
        <v/>
      </c>
      <c r="T288" s="200" t="str">
        <f aca="false">IF($A289="","",VLOOKUP($A288,Table,MATCH(T$4,Curves,0)))</f>
        <v/>
      </c>
      <c r="U288" s="201" t="str">
        <f aca="false">IF(A289="","",T288)</f>
        <v/>
      </c>
      <c r="V288" s="225" t="str">
        <f aca="false">IF($A289="","",IF(AND(MONTH(A288)&gt;3,MONTH(A288)&lt;11),(T288+R288+G288)*Summary!$T$9/(1-Summary!$T$9),(T288+R288+G288)*Summary!$U$9/(1-Summary!$U$9)))</f>
        <v/>
      </c>
      <c r="W288" s="200" t="str">
        <f aca="false">IF($A289="","",(T288+R288+G288+V288))</f>
        <v/>
      </c>
      <c r="X288" s="200" t="str">
        <f aca="false">IF($A289="","",(U288+S288+H288+V288))</f>
        <v/>
      </c>
      <c r="Y288" s="202"/>
      <c r="Z288" s="185" t="str">
        <f aca="false">IF($A289="","",VLOOKUP($A288,Table,MATCH(Z$4,Curves,0)))</f>
        <v/>
      </c>
      <c r="AA288" s="185" t="str">
        <f aca="false">IF($A289="","",VLOOKUP($A288,Table,MATCH(AA$4,Curves,0)))</f>
        <v/>
      </c>
      <c r="AB288" s="185" t="e">
        <f aca="false">SQRT((AA288^2*(A288-$D$3)+Z288^2*(DAY(EOMONTH(A288,0))/2))/AK288)</f>
        <v>#VALUE!</v>
      </c>
      <c r="AC288" s="185" t="str">
        <f aca="false">IF($A289="","",VLOOKUP($A288,Table,MATCH(AC$4,Curves,0)))</f>
        <v/>
      </c>
      <c r="AD288" s="185" t="str">
        <f aca="false">IF($A289="","",VLOOKUP($A288,Table,MATCH(AD$4,Curves,0)))</f>
        <v/>
      </c>
      <c r="AE288" s="185" t="e">
        <f aca="false">SQRT((AD288^2*(A288-$D$3)+AC288^2*(DAY(EOMONTH(A288,0))/2))/AK288)</f>
        <v>#VALUE!</v>
      </c>
      <c r="AF288" s="224" t="e">
        <f aca="false">((Summary!$N$9*(AA288*AD288)*(A288-$D$3))+(Summary!$M$9*Z288*AC288*(AJ288-EOMONTH(EDATE(A288,-1),0))))/(AK288*AB288*AE288)</f>
        <v>#VALUE!</v>
      </c>
      <c r="AG288" s="207" t="str">
        <f aca="false">IF($A289="","",Summary!$Q$9)</f>
        <v/>
      </c>
      <c r="AH288" s="207" t="str">
        <f aca="false">IF($A289="","",IF(Summary!$R$9="Y",VLOOKUP($A288,Summary!$AD$6:$AF$9,3)+'Escalating commodity'!E301,'Escalating commodity'!E301))</f>
        <v/>
      </c>
      <c r="AI288" s="207" t="str">
        <f aca="false">IF($A289="","",AH288)</f>
        <v/>
      </c>
      <c r="AJ288" s="208" t="e">
        <f aca="false">A288+DAY(EOMONTH(A288,0))/2-1</f>
        <v>#VALUE!</v>
      </c>
      <c r="AK288" s="209" t="str">
        <f aca="false">IF($A289="","",$A288-$E$1)</f>
        <v/>
      </c>
      <c r="AL288" s="182" t="str">
        <f aca="false">IF($A289="","",SPRDOPT(P288,X288,AI288,0,AB288,AE288,AF288,AK288,$AJ$2,0))</f>
        <v/>
      </c>
      <c r="AM288" s="211" t="str">
        <f aca="false">IF($A289="","",MAX(0,O288-W288-AI288))</f>
        <v/>
      </c>
      <c r="AN288" s="211" t="str">
        <f aca="false">IF($A289="","",AL288-AM288)</f>
        <v/>
      </c>
      <c r="AO288" s="137" t="str">
        <f aca="false">IF(A289="","",A289-A288)</f>
        <v/>
      </c>
      <c r="AP288" s="212" t="str">
        <f aca="false">IF(A289="","",CHOOSE(F$3,A289+24,A288))</f>
        <v/>
      </c>
      <c r="AQ288" s="209" t="str">
        <f aca="false">IF(A289="","",AP288-$E$1)</f>
        <v/>
      </c>
      <c r="AR288" s="185" t="n">
        <f aca="false">'ANR OK vs ML7'!AR288</f>
        <v>0.1</v>
      </c>
      <c r="AS288" s="213" t="str">
        <f aca="false">IF(A289="","",1/(1+CHOOSE(F$3,(AR289+($I$3/10000))/2,(AR288+($I$3/10000))/2))^(2*AQ288/365.25))</f>
        <v/>
      </c>
      <c r="AT288" s="137" t="str">
        <f aca="false">IF(A289="","",IF(AND(mthbeg&lt;=A288,mthend&gt;=A288),1,0))</f>
        <v/>
      </c>
      <c r="AU288" s="137" t="str">
        <f aca="false">IF(A289="","",AO288*AT288)</f>
        <v/>
      </c>
      <c r="AW288" s="195" t="str">
        <f aca="false">IF($A289="","",AL288*$E288)</f>
        <v/>
      </c>
      <c r="AX288" s="195" t="str">
        <f aca="false">IF($A289="","",AM288*$E288)</f>
        <v/>
      </c>
      <c r="AY288" s="195" t="str">
        <f aca="false">IF($A289="","",AN288*$E288)</f>
        <v/>
      </c>
      <c r="BA288" s="195" t="str">
        <f aca="false">IF($A289="","",F288*Summary!$Q$9)</f>
        <v/>
      </c>
    </row>
    <row r="289" customFormat="false" ht="12" hidden="false" customHeight="true" outlineLevel="0" collapsed="false">
      <c r="A289" s="196" t="str">
        <f aca="false">IF(A288&lt;mthend,EDATE(A288,1),"")</f>
        <v/>
      </c>
      <c r="B289" s="197" t="str">
        <f aca="false">IF(A289&lt;mthend,B288,"")</f>
        <v/>
      </c>
      <c r="C289" s="215"/>
      <c r="D289" s="197" t="str">
        <f aca="false">IF(A290&lt;&gt;"",B289+C289,"")</f>
        <v/>
      </c>
      <c r="E289" s="199" t="str">
        <f aca="false">IF(A290="","",IF(AND(AT289=1,$H$3=1),D289*AO289,IF($H$3=2,D289,"N/A")))</f>
        <v/>
      </c>
      <c r="F289" s="199" t="str">
        <f aca="false">IF(A290="","",E289*AS289)</f>
        <v/>
      </c>
      <c r="G289" s="200" t="str">
        <f aca="false">IF($A290="","",VLOOKUP($A289,Table,MATCH(G$4,Curves,0)))</f>
        <v/>
      </c>
      <c r="H289" s="201" t="str">
        <f aca="false">IF(A290="","",G289)</f>
        <v/>
      </c>
      <c r="I289" s="202"/>
      <c r="J289" s="200" t="str">
        <f aca="false">IF($A290="","",VLOOKUP($A289,Table,MATCH(J$4,Curves,0)))</f>
        <v/>
      </c>
      <c r="K289" s="201" t="str">
        <f aca="false">IF(A290="","",J289)</f>
        <v/>
      </c>
      <c r="L289" s="200" t="str">
        <f aca="false">IF($A290="","",VLOOKUP($A289,Table,MATCH(L$4,Curves,0)))</f>
        <v/>
      </c>
      <c r="M289" s="201" t="str">
        <f aca="false">IF(A290="","",L289)</f>
        <v/>
      </c>
      <c r="N289" s="203"/>
      <c r="O289" s="200" t="str">
        <f aca="false">IF(A290="","",L289+J289+G289)</f>
        <v/>
      </c>
      <c r="P289" s="200" t="str">
        <f aca="false">IF(A290="","",M289+K289+H289)</f>
        <v/>
      </c>
      <c r="Q289" s="204"/>
      <c r="R289" s="200" t="str">
        <f aca="false">IF($A290="","",VLOOKUP($A289,Table,MATCH(R$4,Curves,0)))</f>
        <v/>
      </c>
      <c r="S289" s="201" t="str">
        <f aca="false">IF(A290="","",R289)</f>
        <v/>
      </c>
      <c r="T289" s="200" t="str">
        <f aca="false">IF($A290="","",VLOOKUP($A289,Table,MATCH(T$4,Curves,0)))</f>
        <v/>
      </c>
      <c r="U289" s="201" t="str">
        <f aca="false">IF(A290="","",T289)</f>
        <v/>
      </c>
      <c r="V289" s="225" t="str">
        <f aca="false">IF($A290="","",IF(AND(MONTH(A289)&gt;3,MONTH(A289)&lt;11),(T289+R289+G289)*Summary!$T$9/(1-Summary!$T$9),(T289+R289+G289)*Summary!$U$9/(1-Summary!$U$9)))</f>
        <v/>
      </c>
      <c r="W289" s="200" t="str">
        <f aca="false">IF($A290="","",(T289+R289+G289+V289))</f>
        <v/>
      </c>
      <c r="X289" s="200" t="str">
        <f aca="false">IF($A290="","",(U289+S289+H289+V289))</f>
        <v/>
      </c>
      <c r="Y289" s="202"/>
      <c r="Z289" s="185" t="str">
        <f aca="false">IF($A290="","",VLOOKUP($A289,Table,MATCH(Z$4,Curves,0)))</f>
        <v/>
      </c>
      <c r="AA289" s="185" t="str">
        <f aca="false">IF($A290="","",VLOOKUP($A289,Table,MATCH(AA$4,Curves,0)))</f>
        <v/>
      </c>
      <c r="AB289" s="185" t="e">
        <f aca="false">SQRT((AA289^2*(A289-$D$3)+Z289^2*(DAY(EOMONTH(A289,0))/2))/AK289)</f>
        <v>#VALUE!</v>
      </c>
      <c r="AC289" s="185" t="str">
        <f aca="false">IF($A290="","",VLOOKUP($A289,Table,MATCH(AC$4,Curves,0)))</f>
        <v/>
      </c>
      <c r="AD289" s="185" t="str">
        <f aca="false">IF($A290="","",VLOOKUP($A289,Table,MATCH(AD$4,Curves,0)))</f>
        <v/>
      </c>
      <c r="AE289" s="185" t="e">
        <f aca="false">SQRT((AD289^2*(A289-$D$3)+AC289^2*(DAY(EOMONTH(A289,0))/2))/AK289)</f>
        <v>#VALUE!</v>
      </c>
      <c r="AF289" s="224" t="e">
        <f aca="false">((Summary!$N$9*(AA289*AD289)*(A289-$D$3))+(Summary!$M$9*Z289*AC289*(AJ289-EOMONTH(EDATE(A289,-1),0))))/(AK289*AB289*AE289)</f>
        <v>#VALUE!</v>
      </c>
      <c r="AG289" s="207" t="str">
        <f aca="false">IF($A290="","",Summary!$Q$9)</f>
        <v/>
      </c>
      <c r="AH289" s="207" t="str">
        <f aca="false">IF($A290="","",IF(Summary!$R$9="Y",VLOOKUP($A289,Summary!$AD$6:$AF$9,3)+'Escalating commodity'!E302,'Escalating commodity'!E302))</f>
        <v/>
      </c>
      <c r="AI289" s="207" t="str">
        <f aca="false">IF($A290="","",AH289)</f>
        <v/>
      </c>
      <c r="AJ289" s="208" t="e">
        <f aca="false">A289+DAY(EOMONTH(A289,0))/2-1</f>
        <v>#VALUE!</v>
      </c>
      <c r="AK289" s="209" t="str">
        <f aca="false">IF($A290="","",$A289-$E$1)</f>
        <v/>
      </c>
      <c r="AL289" s="182" t="str">
        <f aca="false">IF($A290="","",SPRDOPT(P289,X289,AI289,0,AB289,AE289,AF289,AK289,$AJ$2,0))</f>
        <v/>
      </c>
      <c r="AM289" s="211" t="str">
        <f aca="false">IF($A290="","",MAX(0,O289-W289-AI289))</f>
        <v/>
      </c>
      <c r="AN289" s="211" t="str">
        <f aca="false">IF($A290="","",AL289-AM289)</f>
        <v/>
      </c>
      <c r="AO289" s="137" t="str">
        <f aca="false">IF(A290="","",A290-A289)</f>
        <v/>
      </c>
      <c r="AP289" s="212" t="str">
        <f aca="false">IF(A290="","",CHOOSE(F$3,A290+24,A289))</f>
        <v/>
      </c>
      <c r="AQ289" s="209" t="str">
        <f aca="false">IF(A290="","",AP289-$E$1)</f>
        <v/>
      </c>
      <c r="AR289" s="185" t="n">
        <f aca="false">'ANR OK vs ML7'!AR289</f>
        <v>0.1</v>
      </c>
      <c r="AS289" s="213" t="str">
        <f aca="false">IF(A290="","",1/(1+CHOOSE(F$3,(AR290+($I$3/10000))/2,(AR289+($I$3/10000))/2))^(2*AQ289/365.25))</f>
        <v/>
      </c>
      <c r="AT289" s="137" t="str">
        <f aca="false">IF(A290="","",IF(AND(mthbeg&lt;=A289,mthend&gt;=A289),1,0))</f>
        <v/>
      </c>
      <c r="AU289" s="137" t="str">
        <f aca="false">IF(A290="","",AO289*AT289)</f>
        <v/>
      </c>
      <c r="AW289" s="195" t="str">
        <f aca="false">IF($A290="","",AL289*$E289)</f>
        <v/>
      </c>
      <c r="AX289" s="195" t="str">
        <f aca="false">IF($A290="","",AM289*$E289)</f>
        <v/>
      </c>
      <c r="AY289" s="195" t="str">
        <f aca="false">IF($A290="","",AN289*$E289)</f>
        <v/>
      </c>
      <c r="BA289" s="195" t="str">
        <f aca="false">IF($A290="","",F289*Summary!$Q$9)</f>
        <v/>
      </c>
    </row>
    <row r="290" customFormat="false" ht="12" hidden="false" customHeight="true" outlineLevel="0" collapsed="false">
      <c r="A290" s="196" t="str">
        <f aca="false">IF(A289&lt;mthend,EDATE(A289,1),"")</f>
        <v/>
      </c>
      <c r="B290" s="197" t="str">
        <f aca="false">IF(A290&lt;mthend,B289,"")</f>
        <v/>
      </c>
      <c r="C290" s="215"/>
      <c r="D290" s="197" t="str">
        <f aca="false">IF(A291&lt;&gt;"",B290+C290,"")</f>
        <v/>
      </c>
      <c r="E290" s="199" t="str">
        <f aca="false">IF(A291="","",IF(AND(AT290=1,$H$3=1),D290*AO290,IF($H$3=2,D290,"N/A")))</f>
        <v/>
      </c>
      <c r="F290" s="199" t="str">
        <f aca="false">IF(A291="","",E290*AS290)</f>
        <v/>
      </c>
      <c r="G290" s="200" t="str">
        <f aca="false">IF($A291="","",VLOOKUP($A290,Table,MATCH(G$4,Curves,0)))</f>
        <v/>
      </c>
      <c r="H290" s="201" t="str">
        <f aca="false">IF(A291="","",G290)</f>
        <v/>
      </c>
      <c r="I290" s="202"/>
      <c r="J290" s="200" t="str">
        <f aca="false">IF($A291="","",VLOOKUP($A290,Table,MATCH(J$4,Curves,0)))</f>
        <v/>
      </c>
      <c r="K290" s="201" t="str">
        <f aca="false">IF(A291="","",J290)</f>
        <v/>
      </c>
      <c r="L290" s="200" t="str">
        <f aca="false">IF($A291="","",VLOOKUP($A290,Table,MATCH(L$4,Curves,0)))</f>
        <v/>
      </c>
      <c r="M290" s="201" t="str">
        <f aca="false">IF(A291="","",L290)</f>
        <v/>
      </c>
      <c r="N290" s="203"/>
      <c r="O290" s="200" t="str">
        <f aca="false">IF(A291="","",L290+J290+G290)</f>
        <v/>
      </c>
      <c r="P290" s="200" t="str">
        <f aca="false">IF(A291="","",M290+K290+H290)</f>
        <v/>
      </c>
      <c r="Q290" s="204"/>
      <c r="R290" s="200" t="str">
        <f aca="false">IF($A291="","",VLOOKUP($A290,Table,MATCH(R$4,Curves,0)))</f>
        <v/>
      </c>
      <c r="S290" s="201" t="str">
        <f aca="false">IF(A291="","",R290)</f>
        <v/>
      </c>
      <c r="T290" s="200" t="str">
        <f aca="false">IF($A291="","",VLOOKUP($A290,Table,MATCH(T$4,Curves,0)))</f>
        <v/>
      </c>
      <c r="U290" s="201" t="str">
        <f aca="false">IF(A291="","",T290)</f>
        <v/>
      </c>
      <c r="V290" s="225" t="str">
        <f aca="false">IF($A291="","",IF(AND(MONTH(A290)&gt;3,MONTH(A290)&lt;11),(T290+R290+G290)*Summary!$T$9/(1-Summary!$T$9),(T290+R290+G290)*Summary!$U$9/(1-Summary!$U$9)))</f>
        <v/>
      </c>
      <c r="W290" s="200" t="str">
        <f aca="false">IF($A291="","",(T290+R290+G290+V290))</f>
        <v/>
      </c>
      <c r="X290" s="200" t="str">
        <f aca="false">IF($A291="","",(U290+S290+H290+V290))</f>
        <v/>
      </c>
      <c r="Y290" s="202"/>
      <c r="Z290" s="185" t="str">
        <f aca="false">IF($A291="","",VLOOKUP($A290,Table,MATCH(Z$4,Curves,0)))</f>
        <v/>
      </c>
      <c r="AA290" s="185" t="str">
        <f aca="false">IF($A291="","",VLOOKUP($A290,Table,MATCH(AA$4,Curves,0)))</f>
        <v/>
      </c>
      <c r="AB290" s="185" t="e">
        <f aca="false">SQRT((AA290^2*(A290-$D$3)+Z290^2*(DAY(EOMONTH(A290,0))/2))/AK290)</f>
        <v>#VALUE!</v>
      </c>
      <c r="AC290" s="185" t="str">
        <f aca="false">IF($A291="","",VLOOKUP($A290,Table,MATCH(AC$4,Curves,0)))</f>
        <v/>
      </c>
      <c r="AD290" s="185" t="str">
        <f aca="false">IF($A291="","",VLOOKUP($A290,Table,MATCH(AD$4,Curves,0)))</f>
        <v/>
      </c>
      <c r="AE290" s="185" t="e">
        <f aca="false">SQRT((AD290^2*(A290-$D$3)+AC290^2*(DAY(EOMONTH(A290,0))/2))/AK290)</f>
        <v>#VALUE!</v>
      </c>
      <c r="AF290" s="224" t="e">
        <f aca="false">((Summary!$N$9*(AA290*AD290)*(A290-$D$3))+(Summary!$M$9*Z290*AC290*(AJ290-EOMONTH(EDATE(A290,-1),0))))/(AK290*AB290*AE290)</f>
        <v>#VALUE!</v>
      </c>
      <c r="AG290" s="207" t="str">
        <f aca="false">IF($A291="","",Summary!$Q$9)</f>
        <v/>
      </c>
      <c r="AH290" s="207" t="str">
        <f aca="false">IF($A291="","",IF(Summary!$R$9="Y",VLOOKUP($A290,Summary!$AD$6:$AF$9,3)+'Escalating commodity'!E303,'Escalating commodity'!E303))</f>
        <v/>
      </c>
      <c r="AI290" s="207" t="str">
        <f aca="false">IF($A291="","",AH290)</f>
        <v/>
      </c>
      <c r="AJ290" s="208" t="e">
        <f aca="false">A290+DAY(EOMONTH(A290,0))/2-1</f>
        <v>#VALUE!</v>
      </c>
      <c r="AK290" s="209" t="str">
        <f aca="false">IF($A291="","",$A290-$E$1)</f>
        <v/>
      </c>
      <c r="AL290" s="182" t="str">
        <f aca="false">IF($A291="","",SPRDOPT(P290,X290,AI290,0,AB290,AE290,AF290,AK290,$AJ$2,0))</f>
        <v/>
      </c>
      <c r="AM290" s="211" t="str">
        <f aca="false">IF($A291="","",MAX(0,O290-W290-AI290))</f>
        <v/>
      </c>
      <c r="AN290" s="211" t="str">
        <f aca="false">IF($A291="","",AL290-AM290)</f>
        <v/>
      </c>
      <c r="AO290" s="137" t="str">
        <f aca="false">IF(A291="","",A291-A290)</f>
        <v/>
      </c>
      <c r="AP290" s="212" t="str">
        <f aca="false">IF(A291="","",CHOOSE(F$3,A291+24,A290))</f>
        <v/>
      </c>
      <c r="AQ290" s="209" t="str">
        <f aca="false">IF(A291="","",AP290-$E$1)</f>
        <v/>
      </c>
      <c r="AR290" s="185" t="n">
        <f aca="false">'ANR OK vs ML7'!AR290</f>
        <v>0.1</v>
      </c>
      <c r="AS290" s="213" t="str">
        <f aca="false">IF(A291="","",1/(1+CHOOSE(F$3,(AR291+($I$3/10000))/2,(AR290+($I$3/10000))/2))^(2*AQ290/365.25))</f>
        <v/>
      </c>
      <c r="AT290" s="137" t="str">
        <f aca="false">IF(A291="","",IF(AND(mthbeg&lt;=A290,mthend&gt;=A290),1,0))</f>
        <v/>
      </c>
      <c r="AU290" s="137" t="str">
        <f aca="false">IF(A291="","",AO290*AT290)</f>
        <v/>
      </c>
      <c r="AW290" s="195" t="str">
        <f aca="false">IF($A291="","",AL290*$E290)</f>
        <v/>
      </c>
      <c r="AX290" s="195" t="str">
        <f aca="false">IF($A291="","",AM290*$E290)</f>
        <v/>
      </c>
      <c r="AY290" s="195" t="str">
        <f aca="false">IF($A291="","",AN290*$E290)</f>
        <v/>
      </c>
      <c r="BA290" s="195" t="str">
        <f aca="false">IF($A291="","",F290*Summary!$Q$9)</f>
        <v/>
      </c>
    </row>
    <row r="291" customFormat="false" ht="12" hidden="false" customHeight="true" outlineLevel="0" collapsed="false">
      <c r="A291" s="196" t="str">
        <f aca="false">IF(A290&lt;mthend,EDATE(A290,1),"")</f>
        <v/>
      </c>
      <c r="B291" s="197" t="str">
        <f aca="false">IF(A291&lt;mthend,B290,"")</f>
        <v/>
      </c>
      <c r="C291" s="215"/>
      <c r="D291" s="197" t="str">
        <f aca="false">IF(A292&lt;&gt;"",B291+C291,"")</f>
        <v/>
      </c>
      <c r="E291" s="199" t="str">
        <f aca="false">IF(A292="","",IF(AND(AT291=1,$H$3=1),D291*AO291,IF($H$3=2,D291,"N/A")))</f>
        <v/>
      </c>
      <c r="F291" s="199" t="str">
        <f aca="false">IF(A292="","",E291*AS291)</f>
        <v/>
      </c>
      <c r="G291" s="200" t="str">
        <f aca="false">IF($A292="","",VLOOKUP($A291,Table,MATCH(G$4,Curves,0)))</f>
        <v/>
      </c>
      <c r="H291" s="201" t="str">
        <f aca="false">IF(A292="","",G291)</f>
        <v/>
      </c>
      <c r="I291" s="202"/>
      <c r="J291" s="200" t="str">
        <f aca="false">IF($A292="","",VLOOKUP($A291,Table,MATCH(J$4,Curves,0)))</f>
        <v/>
      </c>
      <c r="K291" s="201" t="str">
        <f aca="false">IF(A292="","",J291)</f>
        <v/>
      </c>
      <c r="L291" s="200" t="str">
        <f aca="false">IF($A292="","",VLOOKUP($A291,Table,MATCH(L$4,Curves,0)))</f>
        <v/>
      </c>
      <c r="M291" s="201" t="str">
        <f aca="false">IF(A292="","",L291)</f>
        <v/>
      </c>
      <c r="N291" s="203"/>
      <c r="O291" s="200" t="str">
        <f aca="false">IF(A292="","",L291+J291+G291)</f>
        <v/>
      </c>
      <c r="P291" s="200" t="str">
        <f aca="false">IF(A292="","",M291+K291+H291)</f>
        <v/>
      </c>
      <c r="Q291" s="204"/>
      <c r="R291" s="200" t="str">
        <f aca="false">IF($A292="","",VLOOKUP($A291,Table,MATCH(R$4,Curves,0)))</f>
        <v/>
      </c>
      <c r="S291" s="201" t="str">
        <f aca="false">IF(A292="","",R291)</f>
        <v/>
      </c>
      <c r="T291" s="200" t="str">
        <f aca="false">IF($A292="","",VLOOKUP($A291,Table,MATCH(T$4,Curves,0)))</f>
        <v/>
      </c>
      <c r="U291" s="201" t="str">
        <f aca="false">IF(A292="","",T291)</f>
        <v/>
      </c>
      <c r="V291" s="225" t="str">
        <f aca="false">IF($A292="","",IF(AND(MONTH(A291)&gt;3,MONTH(A291)&lt;11),(T291+R291+G291)*Summary!$T$9/(1-Summary!$T$9),(T291+R291+G291)*Summary!$U$9/(1-Summary!$U$9)))</f>
        <v/>
      </c>
      <c r="W291" s="200" t="str">
        <f aca="false">IF($A292="","",(T291+R291+G291+V291))</f>
        <v/>
      </c>
      <c r="X291" s="200" t="str">
        <f aca="false">IF($A292="","",(U291+S291+H291+V291))</f>
        <v/>
      </c>
      <c r="Y291" s="202"/>
      <c r="Z291" s="185" t="str">
        <f aca="false">IF($A292="","",VLOOKUP($A291,Table,MATCH(Z$4,Curves,0)))</f>
        <v/>
      </c>
      <c r="AA291" s="185" t="str">
        <f aca="false">IF($A292="","",VLOOKUP($A291,Table,MATCH(AA$4,Curves,0)))</f>
        <v/>
      </c>
      <c r="AB291" s="185" t="e">
        <f aca="false">SQRT((AA291^2*(A291-$D$3)+Z291^2*(DAY(EOMONTH(A291,0))/2))/AK291)</f>
        <v>#VALUE!</v>
      </c>
      <c r="AC291" s="185" t="str">
        <f aca="false">IF($A292="","",VLOOKUP($A291,Table,MATCH(AC$4,Curves,0)))</f>
        <v/>
      </c>
      <c r="AD291" s="185" t="str">
        <f aca="false">IF($A292="","",VLOOKUP($A291,Table,MATCH(AD$4,Curves,0)))</f>
        <v/>
      </c>
      <c r="AE291" s="185" t="e">
        <f aca="false">SQRT((AD291^2*(A291-$D$3)+AC291^2*(DAY(EOMONTH(A291,0))/2))/AK291)</f>
        <v>#VALUE!</v>
      </c>
      <c r="AF291" s="224" t="e">
        <f aca="false">((Summary!$N$9*(AA291*AD291)*(A291-$D$3))+(Summary!$M$9*Z291*AC291*(AJ291-EOMONTH(EDATE(A291,-1),0))))/(AK291*AB291*AE291)</f>
        <v>#VALUE!</v>
      </c>
      <c r="AG291" s="207" t="str">
        <f aca="false">IF($A292="","",Summary!$Q$9)</f>
        <v/>
      </c>
      <c r="AH291" s="207" t="str">
        <f aca="false">IF($A292="","",IF(Summary!$R$9="Y",VLOOKUP($A291,Summary!$AD$6:$AF$9,3)+'Escalating commodity'!E304,'Escalating commodity'!E304))</f>
        <v/>
      </c>
      <c r="AI291" s="207" t="str">
        <f aca="false">IF($A292="","",AH291)</f>
        <v/>
      </c>
      <c r="AJ291" s="208" t="e">
        <f aca="false">A291+DAY(EOMONTH(A291,0))/2-1</f>
        <v>#VALUE!</v>
      </c>
      <c r="AK291" s="209" t="str">
        <f aca="false">IF($A292="","",$A291-$E$1)</f>
        <v/>
      </c>
      <c r="AL291" s="182" t="str">
        <f aca="false">IF($A292="","",SPRDOPT(P291,X291,AI291,0,AB291,AE291,AF291,AK291,$AJ$2,0))</f>
        <v/>
      </c>
      <c r="AM291" s="211" t="str">
        <f aca="false">IF($A292="","",MAX(0,O291-W291-AI291))</f>
        <v/>
      </c>
      <c r="AN291" s="211" t="str">
        <f aca="false">IF($A292="","",AL291-AM291)</f>
        <v/>
      </c>
      <c r="AO291" s="137" t="str">
        <f aca="false">IF(A292="","",A292-A291)</f>
        <v/>
      </c>
      <c r="AP291" s="212" t="str">
        <f aca="false">IF(A292="","",CHOOSE(F$3,A292+24,A291))</f>
        <v/>
      </c>
      <c r="AQ291" s="209" t="str">
        <f aca="false">IF(A292="","",AP291-$E$1)</f>
        <v/>
      </c>
      <c r="AR291" s="185" t="n">
        <f aca="false">'ANR OK vs ML7'!AR291</f>
        <v>0.1</v>
      </c>
      <c r="AS291" s="213" t="str">
        <f aca="false">IF(A292="","",1/(1+CHOOSE(F$3,(AR292+($I$3/10000))/2,(AR291+($I$3/10000))/2))^(2*AQ291/365.25))</f>
        <v/>
      </c>
      <c r="AT291" s="137" t="str">
        <f aca="false">IF(A292="","",IF(AND(mthbeg&lt;=A291,mthend&gt;=A291),1,0))</f>
        <v/>
      </c>
      <c r="AU291" s="137" t="str">
        <f aca="false">IF(A292="","",AO291*AT291)</f>
        <v/>
      </c>
      <c r="AW291" s="195" t="str">
        <f aca="false">IF($A292="","",AL291*$E291)</f>
        <v/>
      </c>
      <c r="AX291" s="195" t="str">
        <f aca="false">IF($A292="","",AM291*$E291)</f>
        <v/>
      </c>
      <c r="AY291" s="195" t="str">
        <f aca="false">IF($A292="","",AN291*$E291)</f>
        <v/>
      </c>
      <c r="BA291" s="195" t="str">
        <f aca="false">IF($A292="","",F291*Summary!$Q$9)</f>
        <v/>
      </c>
    </row>
    <row r="292" customFormat="false" ht="12" hidden="false" customHeight="true" outlineLevel="0" collapsed="false">
      <c r="A292" s="196" t="str">
        <f aca="false">IF(A291&lt;mthend,EDATE(A291,1),"")</f>
        <v/>
      </c>
      <c r="B292" s="197" t="str">
        <f aca="false">IF(A292&lt;mthend,B291,"")</f>
        <v/>
      </c>
      <c r="C292" s="215"/>
      <c r="D292" s="197" t="str">
        <f aca="false">IF(A293&lt;&gt;"",B292+C292,"")</f>
        <v/>
      </c>
      <c r="E292" s="199" t="str">
        <f aca="false">IF(A293="","",IF(AND(AT292=1,$H$3=1),D292*AO292,IF($H$3=2,D292,"N/A")))</f>
        <v/>
      </c>
      <c r="F292" s="199" t="str">
        <f aca="false">IF(A293="","",E292*AS292)</f>
        <v/>
      </c>
      <c r="G292" s="200" t="str">
        <f aca="false">IF($A293="","",VLOOKUP($A292,Table,MATCH(G$4,Curves,0)))</f>
        <v/>
      </c>
      <c r="H292" s="201" t="str">
        <f aca="false">IF(A293="","",G292)</f>
        <v/>
      </c>
      <c r="I292" s="202"/>
      <c r="J292" s="200" t="str">
        <f aca="false">IF($A293="","",VLOOKUP($A292,Table,MATCH(J$4,Curves,0)))</f>
        <v/>
      </c>
      <c r="K292" s="201" t="str">
        <f aca="false">IF(A293="","",J292)</f>
        <v/>
      </c>
      <c r="L292" s="200" t="str">
        <f aca="false">IF($A293="","",VLOOKUP($A292,Table,MATCH(L$4,Curves,0)))</f>
        <v/>
      </c>
      <c r="M292" s="201" t="str">
        <f aca="false">IF(A293="","",L292)</f>
        <v/>
      </c>
      <c r="N292" s="203"/>
      <c r="O292" s="200" t="str">
        <f aca="false">IF(A293="","",L292+J292+G292)</f>
        <v/>
      </c>
      <c r="P292" s="200" t="str">
        <f aca="false">IF(A293="","",M292+K292+H292)</f>
        <v/>
      </c>
      <c r="Q292" s="204"/>
      <c r="R292" s="200" t="str">
        <f aca="false">IF($A293="","",VLOOKUP($A292,Table,MATCH(R$4,Curves,0)))</f>
        <v/>
      </c>
      <c r="S292" s="201" t="str">
        <f aca="false">IF(A293="","",R292)</f>
        <v/>
      </c>
      <c r="T292" s="200" t="str">
        <f aca="false">IF($A293="","",VLOOKUP($A292,Table,MATCH(T$4,Curves,0)))</f>
        <v/>
      </c>
      <c r="U292" s="201" t="str">
        <f aca="false">IF(A293="","",T292)</f>
        <v/>
      </c>
      <c r="V292" s="225" t="str">
        <f aca="false">IF($A293="","",IF(AND(MONTH(A292)&gt;3,MONTH(A292)&lt;11),(T292+R292+G292)*Summary!$T$9/(1-Summary!$T$9),(T292+R292+G292)*Summary!$U$9/(1-Summary!$U$9)))</f>
        <v/>
      </c>
      <c r="W292" s="200" t="str">
        <f aca="false">IF($A293="","",(T292+R292+G292+V292))</f>
        <v/>
      </c>
      <c r="X292" s="200" t="str">
        <f aca="false">IF($A293="","",(U292+S292+H292+V292))</f>
        <v/>
      </c>
      <c r="Y292" s="202"/>
      <c r="Z292" s="185" t="str">
        <f aca="false">IF($A293="","",VLOOKUP($A292,Table,MATCH(Z$4,Curves,0)))</f>
        <v/>
      </c>
      <c r="AA292" s="185" t="str">
        <f aca="false">IF($A293="","",VLOOKUP($A292,Table,MATCH(AA$4,Curves,0)))</f>
        <v/>
      </c>
      <c r="AB292" s="185" t="e">
        <f aca="false">SQRT((AA292^2*(A292-$D$3)+Z292^2*(DAY(EOMONTH(A292,0))/2))/AK292)</f>
        <v>#VALUE!</v>
      </c>
      <c r="AC292" s="185" t="str">
        <f aca="false">IF($A293="","",VLOOKUP($A292,Table,MATCH(AC$4,Curves,0)))</f>
        <v/>
      </c>
      <c r="AD292" s="185" t="str">
        <f aca="false">IF($A293="","",VLOOKUP($A292,Table,MATCH(AD$4,Curves,0)))</f>
        <v/>
      </c>
      <c r="AE292" s="185" t="e">
        <f aca="false">SQRT((AD292^2*(A292-$D$3)+AC292^2*(DAY(EOMONTH(A292,0))/2))/AK292)</f>
        <v>#VALUE!</v>
      </c>
      <c r="AF292" s="224" t="e">
        <f aca="false">((Summary!$N$9*(AA292*AD292)*(A292-$D$3))+(Summary!$M$9*Z292*AC292*(AJ292-EOMONTH(EDATE(A292,-1),0))))/(AK292*AB292*AE292)</f>
        <v>#VALUE!</v>
      </c>
      <c r="AG292" s="207" t="str">
        <f aca="false">IF($A293="","",Summary!$Q$9)</f>
        <v/>
      </c>
      <c r="AH292" s="207" t="str">
        <f aca="false">IF($A293="","",IF(Summary!$R$9="Y",VLOOKUP($A292,Summary!$AD$6:$AF$9,3)+'Escalating commodity'!E305,'Escalating commodity'!E305))</f>
        <v/>
      </c>
      <c r="AI292" s="207" t="str">
        <f aca="false">IF($A293="","",AH292)</f>
        <v/>
      </c>
      <c r="AJ292" s="208" t="e">
        <f aca="false">A292+DAY(EOMONTH(A292,0))/2-1</f>
        <v>#VALUE!</v>
      </c>
      <c r="AK292" s="209" t="str">
        <f aca="false">IF($A293="","",$A292-$E$1)</f>
        <v/>
      </c>
      <c r="AL292" s="182" t="str">
        <f aca="false">IF($A293="","",SPRDOPT(P292,X292,AI292,0,AB292,AE292,AF292,AK292,$AJ$2,0))</f>
        <v/>
      </c>
      <c r="AM292" s="211" t="str">
        <f aca="false">IF($A293="","",MAX(0,O292-W292-AI292))</f>
        <v/>
      </c>
      <c r="AN292" s="211" t="str">
        <f aca="false">IF($A293="","",AL292-AM292)</f>
        <v/>
      </c>
      <c r="AO292" s="137" t="str">
        <f aca="false">IF(A293="","",A293-A292)</f>
        <v/>
      </c>
      <c r="AP292" s="212" t="str">
        <f aca="false">IF(A293="","",CHOOSE(F$3,A293+24,A292))</f>
        <v/>
      </c>
      <c r="AQ292" s="209" t="str">
        <f aca="false">IF(A293="","",AP292-$E$1)</f>
        <v/>
      </c>
      <c r="AR292" s="185" t="n">
        <f aca="false">'ANR OK vs ML7'!AR292</f>
        <v>0.1</v>
      </c>
      <c r="AS292" s="213" t="str">
        <f aca="false">IF(A293="","",1/(1+CHOOSE(F$3,(AR293+($I$3/10000))/2,(AR292+($I$3/10000))/2))^(2*AQ292/365.25))</f>
        <v/>
      </c>
      <c r="AT292" s="137" t="str">
        <f aca="false">IF(A293="","",IF(AND(mthbeg&lt;=A292,mthend&gt;=A292),1,0))</f>
        <v/>
      </c>
      <c r="AU292" s="137" t="str">
        <f aca="false">IF(A293="","",AO292*AT292)</f>
        <v/>
      </c>
      <c r="AW292" s="195" t="str">
        <f aca="false">IF($A293="","",AL292*$E292)</f>
        <v/>
      </c>
      <c r="AX292" s="195" t="str">
        <f aca="false">IF($A293="","",AM292*$E292)</f>
        <v/>
      </c>
      <c r="AY292" s="195" t="str">
        <f aca="false">IF($A293="","",AN292*$E292)</f>
        <v/>
      </c>
      <c r="BA292" s="195" t="str">
        <f aca="false">IF($A293="","",F292*Summary!$Q$9)</f>
        <v/>
      </c>
    </row>
    <row r="293" customFormat="false" ht="12" hidden="false" customHeight="true" outlineLevel="0" collapsed="false">
      <c r="A293" s="196" t="str">
        <f aca="false">IF(A292&lt;mthend,EDATE(A292,1),"")</f>
        <v/>
      </c>
      <c r="B293" s="197" t="str">
        <f aca="false">IF(A293&lt;mthend,B292,"")</f>
        <v/>
      </c>
      <c r="C293" s="215"/>
      <c r="D293" s="197" t="str">
        <f aca="false">IF(A294&lt;&gt;"",B293+C293,"")</f>
        <v/>
      </c>
      <c r="E293" s="199" t="str">
        <f aca="false">IF(A294="","",IF(AND(AT293=1,$H$3=1),D293*AO293,IF($H$3=2,D293,"N/A")))</f>
        <v/>
      </c>
      <c r="F293" s="199" t="str">
        <f aca="false">IF(A294="","",E293*AS293)</f>
        <v/>
      </c>
      <c r="G293" s="200" t="str">
        <f aca="false">IF($A294="","",VLOOKUP($A293,Table,MATCH(G$4,Curves,0)))</f>
        <v/>
      </c>
      <c r="H293" s="201" t="str">
        <f aca="false">IF(A294="","",G293)</f>
        <v/>
      </c>
      <c r="I293" s="202"/>
      <c r="J293" s="200" t="str">
        <f aca="false">IF($A294="","",VLOOKUP($A293,Table,MATCH(J$4,Curves,0)))</f>
        <v/>
      </c>
      <c r="K293" s="201" t="str">
        <f aca="false">IF(A294="","",J293)</f>
        <v/>
      </c>
      <c r="L293" s="200" t="str">
        <f aca="false">IF($A294="","",VLOOKUP($A293,Table,MATCH(L$4,Curves,0)))</f>
        <v/>
      </c>
      <c r="M293" s="201" t="str">
        <f aca="false">IF(A294="","",L293)</f>
        <v/>
      </c>
      <c r="N293" s="203"/>
      <c r="O293" s="200" t="str">
        <f aca="false">IF(A294="","",L293+J293+G293)</f>
        <v/>
      </c>
      <c r="P293" s="200" t="str">
        <f aca="false">IF(A294="","",M293+K293+H293)</f>
        <v/>
      </c>
      <c r="Q293" s="204"/>
      <c r="R293" s="200" t="str">
        <f aca="false">IF($A294="","",VLOOKUP($A293,Table,MATCH(R$4,Curves,0)))</f>
        <v/>
      </c>
      <c r="S293" s="201" t="str">
        <f aca="false">IF(A294="","",R293)</f>
        <v/>
      </c>
      <c r="T293" s="200" t="str">
        <f aca="false">IF($A294="","",VLOOKUP($A293,Table,MATCH(T$4,Curves,0)))</f>
        <v/>
      </c>
      <c r="U293" s="201" t="str">
        <f aca="false">IF(A294="","",T293)</f>
        <v/>
      </c>
      <c r="V293" s="225" t="str">
        <f aca="false">IF($A294="","",IF(AND(MONTH(A293)&gt;3,MONTH(A293)&lt;11),(T293+R293+G293)*Summary!$T$9/(1-Summary!$T$9),(T293+R293+G293)*Summary!$U$9/(1-Summary!$U$9)))</f>
        <v/>
      </c>
      <c r="W293" s="200" t="str">
        <f aca="false">IF($A294="","",(T293+R293+G293+V293))</f>
        <v/>
      </c>
      <c r="X293" s="200" t="str">
        <f aca="false">IF($A294="","",(U293+S293+H293+V293))</f>
        <v/>
      </c>
      <c r="Y293" s="202"/>
      <c r="Z293" s="185" t="str">
        <f aca="false">IF($A294="","",VLOOKUP($A293,Table,MATCH(Z$4,Curves,0)))</f>
        <v/>
      </c>
      <c r="AA293" s="185" t="str">
        <f aca="false">IF($A294="","",VLOOKUP($A293,Table,MATCH(AA$4,Curves,0)))</f>
        <v/>
      </c>
      <c r="AB293" s="185" t="e">
        <f aca="false">SQRT((AA293^2*(A293-$D$3)+Z293^2*(DAY(EOMONTH(A293,0))/2))/AK293)</f>
        <v>#VALUE!</v>
      </c>
      <c r="AC293" s="185" t="str">
        <f aca="false">IF($A294="","",VLOOKUP($A293,Table,MATCH(AC$4,Curves,0)))</f>
        <v/>
      </c>
      <c r="AD293" s="185" t="str">
        <f aca="false">IF($A294="","",VLOOKUP($A293,Table,MATCH(AD$4,Curves,0)))</f>
        <v/>
      </c>
      <c r="AE293" s="185" t="e">
        <f aca="false">SQRT((AD293^2*(A293-$D$3)+AC293^2*(DAY(EOMONTH(A293,0))/2))/AK293)</f>
        <v>#VALUE!</v>
      </c>
      <c r="AF293" s="224" t="e">
        <f aca="false">((Summary!$N$9*(AA293*AD293)*(A293-$D$3))+(Summary!$M$9*Z293*AC293*(AJ293-EOMONTH(EDATE(A293,-1),0))))/(AK293*AB293*AE293)</f>
        <v>#VALUE!</v>
      </c>
      <c r="AG293" s="207" t="str">
        <f aca="false">IF($A294="","",Summary!$Q$9)</f>
        <v/>
      </c>
      <c r="AH293" s="207" t="str">
        <f aca="false">IF($A294="","",IF(Summary!$R$9="Y",VLOOKUP($A293,Summary!$AD$6:$AF$9,3)+'Escalating commodity'!E306,'Escalating commodity'!E306))</f>
        <v/>
      </c>
      <c r="AI293" s="207" t="str">
        <f aca="false">IF($A294="","",AH293)</f>
        <v/>
      </c>
      <c r="AJ293" s="208" t="e">
        <f aca="false">A293+DAY(EOMONTH(A293,0))/2-1</f>
        <v>#VALUE!</v>
      </c>
      <c r="AK293" s="209" t="str">
        <f aca="false">IF($A294="","",$A293-$E$1)</f>
        <v/>
      </c>
      <c r="AL293" s="182" t="str">
        <f aca="false">IF($A294="","",SPRDOPT(P293,X293,AI293,0,AB293,AE293,AF293,AK293,$AJ$2,0))</f>
        <v/>
      </c>
      <c r="AM293" s="211" t="str">
        <f aca="false">IF($A294="","",MAX(0,O293-W293-AI293))</f>
        <v/>
      </c>
      <c r="AN293" s="211" t="str">
        <f aca="false">IF($A294="","",AL293-AM293)</f>
        <v/>
      </c>
      <c r="AO293" s="137" t="str">
        <f aca="false">IF(A294="","",A294-A293)</f>
        <v/>
      </c>
      <c r="AP293" s="212" t="str">
        <f aca="false">IF(A294="","",CHOOSE(F$3,A294+24,A293))</f>
        <v/>
      </c>
      <c r="AQ293" s="209" t="str">
        <f aca="false">IF(A294="","",AP293-$E$1)</f>
        <v/>
      </c>
      <c r="AR293" s="185" t="n">
        <f aca="false">'ANR OK vs ML7'!AR293</f>
        <v>0.1</v>
      </c>
      <c r="AS293" s="213" t="str">
        <f aca="false">IF(A294="","",1/(1+CHOOSE(F$3,(AR294+($I$3/10000))/2,(AR293+($I$3/10000))/2))^(2*AQ293/365.25))</f>
        <v/>
      </c>
      <c r="AT293" s="137" t="str">
        <f aca="false">IF(A294="","",IF(AND(mthbeg&lt;=A293,mthend&gt;=A293),1,0))</f>
        <v/>
      </c>
      <c r="AU293" s="137" t="str">
        <f aca="false">IF(A294="","",AO293*AT293)</f>
        <v/>
      </c>
      <c r="AW293" s="195" t="str">
        <f aca="false">IF($A294="","",AL293*$E293)</f>
        <v/>
      </c>
      <c r="AX293" s="195" t="str">
        <f aca="false">IF($A294="","",AM293*$E293)</f>
        <v/>
      </c>
      <c r="AY293" s="195" t="str">
        <f aca="false">IF($A294="","",AN293*$E293)</f>
        <v/>
      </c>
      <c r="BA293" s="195" t="str">
        <f aca="false">IF($A294="","",F293*Summary!$Q$9)</f>
        <v/>
      </c>
    </row>
    <row r="294" customFormat="false" ht="12" hidden="false" customHeight="true" outlineLevel="0" collapsed="false">
      <c r="A294" s="196" t="str">
        <f aca="false">IF(A293&lt;mthend,EDATE(A293,1),"")</f>
        <v/>
      </c>
      <c r="B294" s="197" t="str">
        <f aca="false">IF(A294&lt;mthend,B293,"")</f>
        <v/>
      </c>
      <c r="C294" s="215"/>
      <c r="D294" s="197" t="str">
        <f aca="false">IF(A295&lt;&gt;"",B294+C294,"")</f>
        <v/>
      </c>
      <c r="E294" s="199" t="str">
        <f aca="false">IF(A295="","",IF(AND(AT294=1,$H$3=1),D294*AO294,IF($H$3=2,D294,"N/A")))</f>
        <v/>
      </c>
      <c r="F294" s="199" t="str">
        <f aca="false">IF(A295="","",E294*AS294)</f>
        <v/>
      </c>
      <c r="G294" s="200" t="str">
        <f aca="false">IF($A295="","",VLOOKUP($A294,Table,MATCH(G$4,Curves,0)))</f>
        <v/>
      </c>
      <c r="H294" s="201" t="str">
        <f aca="false">IF(A295="","",G294)</f>
        <v/>
      </c>
      <c r="I294" s="202"/>
      <c r="J294" s="200" t="str">
        <f aca="false">IF($A295="","",VLOOKUP($A294,Table,MATCH(J$4,Curves,0)))</f>
        <v/>
      </c>
      <c r="K294" s="201" t="str">
        <f aca="false">IF(A295="","",J294)</f>
        <v/>
      </c>
      <c r="L294" s="200" t="str">
        <f aca="false">IF($A295="","",VLOOKUP($A294,Table,MATCH(L$4,Curves,0)))</f>
        <v/>
      </c>
      <c r="M294" s="201" t="str">
        <f aca="false">IF(A295="","",L294)</f>
        <v/>
      </c>
      <c r="N294" s="203"/>
      <c r="O294" s="200" t="str">
        <f aca="false">IF(A295="","",L294+J294+G294)</f>
        <v/>
      </c>
      <c r="P294" s="200" t="str">
        <f aca="false">IF(A295="","",M294+K294+H294)</f>
        <v/>
      </c>
      <c r="Q294" s="204"/>
      <c r="R294" s="200" t="str">
        <f aca="false">IF($A295="","",VLOOKUP($A294,Table,MATCH(R$4,Curves,0)))</f>
        <v/>
      </c>
      <c r="S294" s="201" t="str">
        <f aca="false">IF(A295="","",R294)</f>
        <v/>
      </c>
      <c r="T294" s="200" t="str">
        <f aca="false">IF($A295="","",VLOOKUP($A294,Table,MATCH(T$4,Curves,0)))</f>
        <v/>
      </c>
      <c r="U294" s="201" t="str">
        <f aca="false">IF(A295="","",T294)</f>
        <v/>
      </c>
      <c r="V294" s="225" t="str">
        <f aca="false">IF($A295="","",IF(AND(MONTH(A294)&gt;3,MONTH(A294)&lt;11),(T294+R294+G294)*Summary!$T$9/(1-Summary!$T$9),(T294+R294+G294)*Summary!$U$9/(1-Summary!$U$9)))</f>
        <v/>
      </c>
      <c r="W294" s="200" t="str">
        <f aca="false">IF($A295="","",(T294+R294+G294+V294))</f>
        <v/>
      </c>
      <c r="X294" s="200" t="str">
        <f aca="false">IF($A295="","",(U294+S294+H294+V294))</f>
        <v/>
      </c>
      <c r="Y294" s="202"/>
      <c r="Z294" s="185" t="str">
        <f aca="false">IF($A295="","",VLOOKUP($A294,Table,MATCH(Z$4,Curves,0)))</f>
        <v/>
      </c>
      <c r="AA294" s="185" t="str">
        <f aca="false">IF($A295="","",VLOOKUP($A294,Table,MATCH(AA$4,Curves,0)))</f>
        <v/>
      </c>
      <c r="AB294" s="185" t="e">
        <f aca="false">SQRT((AA294^2*(A294-$D$3)+Z294^2*(DAY(EOMONTH(A294,0))/2))/AK294)</f>
        <v>#VALUE!</v>
      </c>
      <c r="AC294" s="185" t="str">
        <f aca="false">IF($A295="","",VLOOKUP($A294,Table,MATCH(AC$4,Curves,0)))</f>
        <v/>
      </c>
      <c r="AD294" s="185" t="str">
        <f aca="false">IF($A295="","",VLOOKUP($A294,Table,MATCH(AD$4,Curves,0)))</f>
        <v/>
      </c>
      <c r="AE294" s="185" t="e">
        <f aca="false">SQRT((AD294^2*(A294-$D$3)+AC294^2*(DAY(EOMONTH(A294,0))/2))/AK294)</f>
        <v>#VALUE!</v>
      </c>
      <c r="AF294" s="224" t="e">
        <f aca="false">((Summary!$N$9*(AA294*AD294)*(A294-$D$3))+(Summary!$M$9*Z294*AC294*(AJ294-EOMONTH(EDATE(A294,-1),0))))/(AK294*AB294*AE294)</f>
        <v>#VALUE!</v>
      </c>
      <c r="AG294" s="207" t="str">
        <f aca="false">IF($A295="","",Summary!$Q$9)</f>
        <v/>
      </c>
      <c r="AH294" s="207" t="str">
        <f aca="false">IF($A295="","",IF(Summary!$R$9="Y",VLOOKUP($A294,Summary!$AD$6:$AF$9,3)+'Escalating commodity'!E307,'Escalating commodity'!E307))</f>
        <v/>
      </c>
      <c r="AI294" s="207" t="str">
        <f aca="false">IF($A295="","",AH294)</f>
        <v/>
      </c>
      <c r="AJ294" s="208" t="e">
        <f aca="false">A294+DAY(EOMONTH(A294,0))/2-1</f>
        <v>#VALUE!</v>
      </c>
      <c r="AK294" s="209" t="str">
        <f aca="false">IF($A295="","",$A294-$E$1)</f>
        <v/>
      </c>
      <c r="AL294" s="182" t="str">
        <f aca="false">IF($A295="","",SPRDOPT(P294,X294,AI294,0,AB294,AE294,AF294,AK294,$AJ$2,0))</f>
        <v/>
      </c>
      <c r="AM294" s="211" t="str">
        <f aca="false">IF($A295="","",MAX(0,O294-W294-AI294))</f>
        <v/>
      </c>
      <c r="AN294" s="211" t="str">
        <f aca="false">IF($A295="","",AL294-AM294)</f>
        <v/>
      </c>
      <c r="AO294" s="137" t="str">
        <f aca="false">IF(A295="","",A295-A294)</f>
        <v/>
      </c>
      <c r="AP294" s="212" t="str">
        <f aca="false">IF(A295="","",CHOOSE(F$3,A295+24,A294))</f>
        <v/>
      </c>
      <c r="AQ294" s="209" t="str">
        <f aca="false">IF(A295="","",AP294-$E$1)</f>
        <v/>
      </c>
      <c r="AR294" s="185" t="n">
        <f aca="false">'ANR OK vs ML7'!AR294</f>
        <v>0.1</v>
      </c>
      <c r="AS294" s="213" t="str">
        <f aca="false">IF(A295="","",1/(1+CHOOSE(F$3,(AR295+($I$3/10000))/2,(AR294+($I$3/10000))/2))^(2*AQ294/365.25))</f>
        <v/>
      </c>
      <c r="AT294" s="137" t="str">
        <f aca="false">IF(A295="","",IF(AND(mthbeg&lt;=A294,mthend&gt;=A294),1,0))</f>
        <v/>
      </c>
      <c r="AU294" s="137" t="str">
        <f aca="false">IF(A295="","",AO294*AT294)</f>
        <v/>
      </c>
      <c r="AW294" s="195" t="str">
        <f aca="false">IF($A295="","",AL294*$E294)</f>
        <v/>
      </c>
      <c r="AX294" s="195" t="str">
        <f aca="false">IF($A295="","",AM294*$E294)</f>
        <v/>
      </c>
      <c r="AY294" s="195" t="str">
        <f aca="false">IF($A295="","",AN294*$E294)</f>
        <v/>
      </c>
      <c r="BA294" s="195" t="str">
        <f aca="false">IF($A295="","",F294*Summary!$Q$9)</f>
        <v/>
      </c>
    </row>
    <row r="295" customFormat="false" ht="12" hidden="false" customHeight="true" outlineLevel="0" collapsed="false">
      <c r="A295" s="196" t="str">
        <f aca="false">IF(A294&lt;mthend,EDATE(A294,1),"")</f>
        <v/>
      </c>
      <c r="B295" s="197" t="str">
        <f aca="false">IF(A295&lt;mthend,B294,"")</f>
        <v/>
      </c>
      <c r="C295" s="215"/>
      <c r="D295" s="197" t="str">
        <f aca="false">IF(A296&lt;&gt;"",B295+C295,"")</f>
        <v/>
      </c>
      <c r="E295" s="199" t="str">
        <f aca="false">IF(A296="","",IF(AND(AT295=1,$H$3=1),D295*AO295,IF($H$3=2,D295,"N/A")))</f>
        <v/>
      </c>
      <c r="F295" s="199" t="str">
        <f aca="false">IF(A296="","",E295*AS295)</f>
        <v/>
      </c>
      <c r="G295" s="200" t="str">
        <f aca="false">IF($A296="","",VLOOKUP($A295,Table,MATCH(G$4,Curves,0)))</f>
        <v/>
      </c>
      <c r="H295" s="201" t="str">
        <f aca="false">IF(A296="","",G295)</f>
        <v/>
      </c>
      <c r="I295" s="202"/>
      <c r="J295" s="200" t="str">
        <f aca="false">IF($A296="","",VLOOKUP($A295,Table,MATCH(J$4,Curves,0)))</f>
        <v/>
      </c>
      <c r="K295" s="201" t="str">
        <f aca="false">IF(A296="","",J295)</f>
        <v/>
      </c>
      <c r="L295" s="200" t="str">
        <f aca="false">IF($A296="","",VLOOKUP($A295,Table,MATCH(L$4,Curves,0)))</f>
        <v/>
      </c>
      <c r="M295" s="201" t="str">
        <f aca="false">IF(A296="","",L295)</f>
        <v/>
      </c>
      <c r="N295" s="203"/>
      <c r="O295" s="200" t="str">
        <f aca="false">IF(A296="","",L295+J295+G295)</f>
        <v/>
      </c>
      <c r="P295" s="200" t="str">
        <f aca="false">IF(A296="","",M295+K295+H295)</f>
        <v/>
      </c>
      <c r="Q295" s="204"/>
      <c r="R295" s="200" t="str">
        <f aca="false">IF($A296="","",VLOOKUP($A295,Table,MATCH(R$4,Curves,0)))</f>
        <v/>
      </c>
      <c r="S295" s="201" t="str">
        <f aca="false">IF(A296="","",R295)</f>
        <v/>
      </c>
      <c r="T295" s="200" t="str">
        <f aca="false">IF($A296="","",VLOOKUP($A295,Table,MATCH(T$4,Curves,0)))</f>
        <v/>
      </c>
      <c r="U295" s="201" t="str">
        <f aca="false">IF(A296="","",T295)</f>
        <v/>
      </c>
      <c r="V295" s="225" t="str">
        <f aca="false">IF($A296="","",IF(AND(MONTH(A295)&gt;3,MONTH(A295)&lt;11),(T295+R295+G295)*Summary!$T$9/(1-Summary!$T$9),(T295+R295+G295)*Summary!$U$9/(1-Summary!$U$9)))</f>
        <v/>
      </c>
      <c r="W295" s="200" t="str">
        <f aca="false">IF($A296="","",(T295+R295+G295+V295))</f>
        <v/>
      </c>
      <c r="X295" s="200" t="str">
        <f aca="false">IF($A296="","",(U295+S295+H295+V295))</f>
        <v/>
      </c>
      <c r="Y295" s="202"/>
      <c r="Z295" s="185" t="str">
        <f aca="false">IF($A296="","",VLOOKUP($A295,Table,MATCH(Z$4,Curves,0)))</f>
        <v/>
      </c>
      <c r="AA295" s="185" t="str">
        <f aca="false">IF($A296="","",VLOOKUP($A295,Table,MATCH(AA$4,Curves,0)))</f>
        <v/>
      </c>
      <c r="AB295" s="185" t="e">
        <f aca="false">SQRT((AA295^2*(A295-$D$3)+Z295^2*(DAY(EOMONTH(A295,0))/2))/AK295)</f>
        <v>#VALUE!</v>
      </c>
      <c r="AC295" s="185" t="str">
        <f aca="false">IF($A296="","",VLOOKUP($A295,Table,MATCH(AC$4,Curves,0)))</f>
        <v/>
      </c>
      <c r="AD295" s="185" t="str">
        <f aca="false">IF($A296="","",VLOOKUP($A295,Table,MATCH(AD$4,Curves,0)))</f>
        <v/>
      </c>
      <c r="AE295" s="185" t="e">
        <f aca="false">SQRT((AD295^2*(A295-$D$3)+AC295^2*(DAY(EOMONTH(A295,0))/2))/AK295)</f>
        <v>#VALUE!</v>
      </c>
      <c r="AF295" s="224" t="e">
        <f aca="false">((Summary!$N$9*(AA295*AD295)*(A295-$D$3))+(Summary!$M$9*Z295*AC295*(AJ295-EOMONTH(EDATE(A295,-1),0))))/(AK295*AB295*AE295)</f>
        <v>#VALUE!</v>
      </c>
      <c r="AG295" s="207" t="str">
        <f aca="false">IF($A296="","",Summary!$Q$9)</f>
        <v/>
      </c>
      <c r="AH295" s="207" t="str">
        <f aca="false">IF($A296="","",IF(Summary!$R$9="Y",VLOOKUP($A295,Summary!$AD$6:$AF$9,3)+'Escalating commodity'!E308,'Escalating commodity'!E308))</f>
        <v/>
      </c>
      <c r="AI295" s="207" t="str">
        <f aca="false">IF($A296="","",AH295)</f>
        <v/>
      </c>
      <c r="AJ295" s="208" t="e">
        <f aca="false">A295+DAY(EOMONTH(A295,0))/2-1</f>
        <v>#VALUE!</v>
      </c>
      <c r="AK295" s="209" t="str">
        <f aca="false">IF($A296="","",$A295-$E$1)</f>
        <v/>
      </c>
      <c r="AL295" s="182" t="str">
        <f aca="false">IF($A296="","",SPRDOPT(P295,X295,AI295,0,AB295,AE295,AF295,AK295,$AJ$2,0))</f>
        <v/>
      </c>
      <c r="AM295" s="211" t="str">
        <f aca="false">IF($A296="","",MAX(0,O295-W295-AI295))</f>
        <v/>
      </c>
      <c r="AN295" s="211" t="str">
        <f aca="false">IF($A296="","",AL295-AM295)</f>
        <v/>
      </c>
      <c r="AO295" s="137" t="str">
        <f aca="false">IF(A296="","",A296-A295)</f>
        <v/>
      </c>
      <c r="AP295" s="212" t="str">
        <f aca="false">IF(A296="","",CHOOSE(F$3,A296+24,A295))</f>
        <v/>
      </c>
      <c r="AQ295" s="209" t="str">
        <f aca="false">IF(A296="","",AP295-$E$1)</f>
        <v/>
      </c>
      <c r="AR295" s="185" t="n">
        <f aca="false">'ANR OK vs ML7'!AR295</f>
        <v>0.1</v>
      </c>
      <c r="AS295" s="213" t="str">
        <f aca="false">IF(A296="","",1/(1+CHOOSE(F$3,(AR296+($I$3/10000))/2,(AR295+($I$3/10000))/2))^(2*AQ295/365.25))</f>
        <v/>
      </c>
      <c r="AT295" s="137" t="str">
        <f aca="false">IF(A296="","",IF(AND(mthbeg&lt;=A295,mthend&gt;=A295),1,0))</f>
        <v/>
      </c>
      <c r="AU295" s="137" t="str">
        <f aca="false">IF(A296="","",AO295*AT295)</f>
        <v/>
      </c>
      <c r="AW295" s="195" t="str">
        <f aca="false">IF($A296="","",AL295*$E295)</f>
        <v/>
      </c>
      <c r="AX295" s="195" t="str">
        <f aca="false">IF($A296="","",AM295*$E295)</f>
        <v/>
      </c>
      <c r="AY295" s="195" t="str">
        <f aca="false">IF($A296="","",AN295*$E295)</f>
        <v/>
      </c>
      <c r="BA295" s="195" t="str">
        <f aca="false">IF($A296="","",F295*Summary!$Q$9)</f>
        <v/>
      </c>
    </row>
    <row r="296" customFormat="false" ht="12" hidden="false" customHeight="true" outlineLevel="0" collapsed="false">
      <c r="A296" s="196" t="str">
        <f aca="false">IF(A295&lt;mthend,EDATE(A295,1),"")</f>
        <v/>
      </c>
      <c r="B296" s="197" t="str">
        <f aca="false">IF(A296&lt;mthend,B295,"")</f>
        <v/>
      </c>
      <c r="C296" s="215"/>
      <c r="D296" s="197" t="str">
        <f aca="false">IF(A297&lt;&gt;"",B296+C296,"")</f>
        <v/>
      </c>
      <c r="E296" s="199" t="str">
        <f aca="false">IF(A297="","",IF(AND(AT296=1,$H$3=1),D296*AO296,IF($H$3=2,D296,"N/A")))</f>
        <v/>
      </c>
      <c r="F296" s="199" t="str">
        <f aca="false">IF(A297="","",E296*AS296)</f>
        <v/>
      </c>
      <c r="G296" s="200" t="str">
        <f aca="false">IF($A297="","",VLOOKUP($A296,Table,MATCH(G$4,Curves,0)))</f>
        <v/>
      </c>
      <c r="H296" s="201" t="str">
        <f aca="false">IF(A297="","",G296)</f>
        <v/>
      </c>
      <c r="I296" s="202"/>
      <c r="J296" s="200" t="str">
        <f aca="false">IF($A297="","",VLOOKUP($A296,Table,MATCH(J$4,Curves,0)))</f>
        <v/>
      </c>
      <c r="K296" s="201" t="str">
        <f aca="false">IF(A297="","",J296)</f>
        <v/>
      </c>
      <c r="L296" s="200" t="str">
        <f aca="false">IF($A297="","",VLOOKUP($A296,Table,MATCH(L$4,Curves,0)))</f>
        <v/>
      </c>
      <c r="M296" s="201" t="str">
        <f aca="false">IF(A297="","",L296)</f>
        <v/>
      </c>
      <c r="N296" s="203"/>
      <c r="O296" s="200" t="str">
        <f aca="false">IF(A297="","",L296+J296+G296)</f>
        <v/>
      </c>
      <c r="P296" s="200" t="str">
        <f aca="false">IF(A297="","",M296+K296+H296)</f>
        <v/>
      </c>
      <c r="Q296" s="204"/>
      <c r="R296" s="200" t="str">
        <f aca="false">IF($A297="","",VLOOKUP($A296,Table,MATCH(R$4,Curves,0)))</f>
        <v/>
      </c>
      <c r="S296" s="201" t="str">
        <f aca="false">IF(A297="","",R296)</f>
        <v/>
      </c>
      <c r="T296" s="200" t="str">
        <f aca="false">IF($A297="","",VLOOKUP($A296,Table,MATCH(T$4,Curves,0)))</f>
        <v/>
      </c>
      <c r="U296" s="201" t="str">
        <f aca="false">IF(A297="","",T296)</f>
        <v/>
      </c>
      <c r="V296" s="225" t="str">
        <f aca="false">IF($A297="","",IF(AND(MONTH(A296)&gt;3,MONTH(A296)&lt;11),(T296+R296+G296)*Summary!$T$9/(1-Summary!$T$9),(T296+R296+G296)*Summary!$U$9/(1-Summary!$U$9)))</f>
        <v/>
      </c>
      <c r="W296" s="200" t="str">
        <f aca="false">IF($A297="","",(T296+R296+G296+V296))</f>
        <v/>
      </c>
      <c r="X296" s="200" t="str">
        <f aca="false">IF($A297="","",(U296+S296+H296+V296))</f>
        <v/>
      </c>
      <c r="Y296" s="202"/>
      <c r="Z296" s="185" t="str">
        <f aca="false">IF($A297="","",VLOOKUP($A296,Table,MATCH(Z$4,Curves,0)))</f>
        <v/>
      </c>
      <c r="AA296" s="185" t="str">
        <f aca="false">IF($A297="","",VLOOKUP($A296,Table,MATCH(AA$4,Curves,0)))</f>
        <v/>
      </c>
      <c r="AB296" s="185" t="e">
        <f aca="false">SQRT((AA296^2*(A296-$D$3)+Z296^2*(DAY(EOMONTH(A296,0))/2))/AK296)</f>
        <v>#VALUE!</v>
      </c>
      <c r="AC296" s="185" t="str">
        <f aca="false">IF($A297="","",VLOOKUP($A296,Table,MATCH(AC$4,Curves,0)))</f>
        <v/>
      </c>
      <c r="AD296" s="185" t="str">
        <f aca="false">IF($A297="","",VLOOKUP($A296,Table,MATCH(AD$4,Curves,0)))</f>
        <v/>
      </c>
      <c r="AE296" s="185" t="e">
        <f aca="false">SQRT((AD296^2*(A296-$D$3)+AC296^2*(DAY(EOMONTH(A296,0))/2))/AK296)</f>
        <v>#VALUE!</v>
      </c>
      <c r="AF296" s="224" t="e">
        <f aca="false">((Summary!$N$9*(AA296*AD296)*(A296-$D$3))+(Summary!$M$9*Z296*AC296*(AJ296-EOMONTH(EDATE(A296,-1),0))))/(AK296*AB296*AE296)</f>
        <v>#VALUE!</v>
      </c>
      <c r="AG296" s="207" t="str">
        <f aca="false">IF($A297="","",Summary!$Q$9)</f>
        <v/>
      </c>
      <c r="AH296" s="207" t="str">
        <f aca="false">IF($A297="","",IF(Summary!$R$9="Y",VLOOKUP($A296,Summary!$AD$6:$AF$9,3)+'Escalating commodity'!E309,'Escalating commodity'!E309))</f>
        <v/>
      </c>
      <c r="AI296" s="207" t="str">
        <f aca="false">IF($A297="","",AH296)</f>
        <v/>
      </c>
      <c r="AJ296" s="208" t="e">
        <f aca="false">A296+DAY(EOMONTH(A296,0))/2-1</f>
        <v>#VALUE!</v>
      </c>
      <c r="AK296" s="209" t="str">
        <f aca="false">IF($A297="","",$A296-$E$1)</f>
        <v/>
      </c>
      <c r="AL296" s="182" t="str">
        <f aca="false">IF($A297="","",SPRDOPT(P296,X296,AI296,0,AB296,AE296,AF296,AK296,$AJ$2,0))</f>
        <v/>
      </c>
      <c r="AM296" s="211" t="str">
        <f aca="false">IF($A297="","",MAX(0,O296-W296-AI296))</f>
        <v/>
      </c>
      <c r="AN296" s="211" t="str">
        <f aca="false">IF($A297="","",AL296-AM296)</f>
        <v/>
      </c>
      <c r="AO296" s="137" t="str">
        <f aca="false">IF(A297="","",A297-A296)</f>
        <v/>
      </c>
      <c r="AP296" s="212" t="str">
        <f aca="false">IF(A297="","",CHOOSE(F$3,A297+24,A296))</f>
        <v/>
      </c>
      <c r="AQ296" s="209" t="str">
        <f aca="false">IF(A297="","",AP296-$E$1)</f>
        <v/>
      </c>
      <c r="AR296" s="185" t="n">
        <f aca="false">'ANR OK vs ML7'!AR296</f>
        <v>0.1</v>
      </c>
      <c r="AS296" s="213" t="str">
        <f aca="false">IF(A297="","",1/(1+CHOOSE(F$3,(AR297+($I$3/10000))/2,(AR296+($I$3/10000))/2))^(2*AQ296/365.25))</f>
        <v/>
      </c>
      <c r="AT296" s="137" t="str">
        <f aca="false">IF(A297="","",IF(AND(mthbeg&lt;=A296,mthend&gt;=A296),1,0))</f>
        <v/>
      </c>
      <c r="AU296" s="137" t="str">
        <f aca="false">IF(A297="","",AO296*AT296)</f>
        <v/>
      </c>
      <c r="AW296" s="195" t="str">
        <f aca="false">IF($A297="","",AL296*$E296)</f>
        <v/>
      </c>
      <c r="AX296" s="195" t="str">
        <f aca="false">IF($A297="","",AM296*$E296)</f>
        <v/>
      </c>
      <c r="AY296" s="195" t="str">
        <f aca="false">IF($A297="","",AN296*$E296)</f>
        <v/>
      </c>
      <c r="BA296" s="195" t="str">
        <f aca="false">IF($A297="","",F296*Summary!$Q$9)</f>
        <v/>
      </c>
    </row>
    <row r="297" customFormat="false" ht="12" hidden="false" customHeight="true" outlineLevel="0" collapsed="false">
      <c r="A297" s="196" t="str">
        <f aca="false">IF(A296&lt;mthend,EDATE(A296,1),"")</f>
        <v/>
      </c>
      <c r="B297" s="197" t="str">
        <f aca="false">IF(A297&lt;mthend,B296,"")</f>
        <v/>
      </c>
      <c r="C297" s="215"/>
      <c r="D297" s="197" t="str">
        <f aca="false">IF(A298&lt;&gt;"",B297+C297,"")</f>
        <v/>
      </c>
      <c r="E297" s="199" t="str">
        <f aca="false">IF(A298="","",IF(AND(AT297=1,$H$3=1),D297*AO297,IF($H$3=2,D297,"N/A")))</f>
        <v/>
      </c>
      <c r="F297" s="199" t="str">
        <f aca="false">IF(A298="","",E297*AS297)</f>
        <v/>
      </c>
      <c r="G297" s="200" t="str">
        <f aca="false">IF($A298="","",VLOOKUP($A297,Table,MATCH(G$4,Curves,0)))</f>
        <v/>
      </c>
      <c r="H297" s="201" t="str">
        <f aca="false">IF(A298="","",G297)</f>
        <v/>
      </c>
      <c r="I297" s="202"/>
      <c r="J297" s="200" t="str">
        <f aca="false">IF($A298="","",VLOOKUP($A297,Table,MATCH(J$4,Curves,0)))</f>
        <v/>
      </c>
      <c r="K297" s="201" t="str">
        <f aca="false">IF(A298="","",J297)</f>
        <v/>
      </c>
      <c r="L297" s="200" t="str">
        <f aca="false">IF($A298="","",VLOOKUP($A297,Table,MATCH(L$4,Curves,0)))</f>
        <v/>
      </c>
      <c r="M297" s="201" t="str">
        <f aca="false">IF(A298="","",L297)</f>
        <v/>
      </c>
      <c r="N297" s="203"/>
      <c r="O297" s="200" t="str">
        <f aca="false">IF(A298="","",L297+J297+G297)</f>
        <v/>
      </c>
      <c r="P297" s="200" t="str">
        <f aca="false">IF(A298="","",M297+K297+H297)</f>
        <v/>
      </c>
      <c r="Q297" s="204"/>
      <c r="R297" s="200" t="str">
        <f aca="false">IF($A298="","",VLOOKUP($A297,Table,MATCH(R$4,Curves,0)))</f>
        <v/>
      </c>
      <c r="S297" s="201" t="str">
        <f aca="false">IF(A298="","",R297)</f>
        <v/>
      </c>
      <c r="T297" s="200" t="str">
        <f aca="false">IF($A298="","",VLOOKUP($A297,Table,MATCH(T$4,Curves,0)))</f>
        <v/>
      </c>
      <c r="U297" s="201" t="str">
        <f aca="false">IF(A298="","",T297)</f>
        <v/>
      </c>
      <c r="V297" s="225" t="str">
        <f aca="false">IF($A298="","",IF(AND(MONTH(A297)&gt;3,MONTH(A297)&lt;11),(T297+R297+G297)*Summary!$T$9/(1-Summary!$T$9),(T297+R297+G297)*Summary!$U$9/(1-Summary!$U$9)))</f>
        <v/>
      </c>
      <c r="W297" s="200" t="str">
        <f aca="false">IF($A298="","",(T297+R297+G297+V297))</f>
        <v/>
      </c>
      <c r="X297" s="200" t="str">
        <f aca="false">IF($A298="","",(U297+S297+H297+V297))</f>
        <v/>
      </c>
      <c r="Y297" s="202"/>
      <c r="Z297" s="185" t="str">
        <f aca="false">IF($A298="","",VLOOKUP($A297,Table,MATCH(Z$4,Curves,0)))</f>
        <v/>
      </c>
      <c r="AA297" s="185" t="str">
        <f aca="false">IF($A298="","",VLOOKUP($A297,Table,MATCH(AA$4,Curves,0)))</f>
        <v/>
      </c>
      <c r="AB297" s="185" t="e">
        <f aca="false">SQRT((AA297^2*(A297-$D$3)+Z297^2*(DAY(EOMONTH(A297,0))/2))/AK297)</f>
        <v>#VALUE!</v>
      </c>
      <c r="AC297" s="185" t="str">
        <f aca="false">IF($A298="","",VLOOKUP($A297,Table,MATCH(AC$4,Curves,0)))</f>
        <v/>
      </c>
      <c r="AD297" s="185" t="str">
        <f aca="false">IF($A298="","",VLOOKUP($A297,Table,MATCH(AD$4,Curves,0)))</f>
        <v/>
      </c>
      <c r="AE297" s="185" t="e">
        <f aca="false">SQRT((AD297^2*(A297-$D$3)+AC297^2*(DAY(EOMONTH(A297,0))/2))/AK297)</f>
        <v>#VALUE!</v>
      </c>
      <c r="AF297" s="224" t="e">
        <f aca="false">((Summary!$N$9*(AA297*AD297)*(A297-$D$3))+(Summary!$M$9*Z297*AC297*(AJ297-EOMONTH(EDATE(A297,-1),0))))/(AK297*AB297*AE297)</f>
        <v>#VALUE!</v>
      </c>
      <c r="AG297" s="207" t="str">
        <f aca="false">IF($A298="","",Summary!$Q$9)</f>
        <v/>
      </c>
      <c r="AH297" s="207" t="str">
        <f aca="false">IF($A298="","",IF(Summary!$R$9="Y",VLOOKUP($A297,Summary!$AD$6:$AF$9,3)+'Escalating commodity'!E310,'Escalating commodity'!E310))</f>
        <v/>
      </c>
      <c r="AI297" s="207" t="str">
        <f aca="false">IF($A298="","",AH297)</f>
        <v/>
      </c>
      <c r="AJ297" s="208" t="e">
        <f aca="false">A297+DAY(EOMONTH(A297,0))/2-1</f>
        <v>#VALUE!</v>
      </c>
      <c r="AK297" s="209" t="str">
        <f aca="false">IF($A298="","",$A297-$E$1)</f>
        <v/>
      </c>
      <c r="AL297" s="182" t="str">
        <f aca="false">IF($A298="","",SPRDOPT(P297,X297,AI297,0,AB297,AE297,AF297,AK297,$AJ$2,0))</f>
        <v/>
      </c>
      <c r="AM297" s="211" t="str">
        <f aca="false">IF($A298="","",MAX(0,O297-W297-AI297))</f>
        <v/>
      </c>
      <c r="AN297" s="211" t="str">
        <f aca="false">IF($A298="","",AL297-AM297)</f>
        <v/>
      </c>
      <c r="AO297" s="137" t="str">
        <f aca="false">IF(A298="","",A298-A297)</f>
        <v/>
      </c>
      <c r="AP297" s="212" t="str">
        <f aca="false">IF(A298="","",CHOOSE(F$3,A298+24,A297))</f>
        <v/>
      </c>
      <c r="AQ297" s="209" t="str">
        <f aca="false">IF(A298="","",AP297-$E$1)</f>
        <v/>
      </c>
      <c r="AR297" s="185" t="n">
        <f aca="false">'ANR OK vs ML7'!AR297</f>
        <v>0.1</v>
      </c>
      <c r="AS297" s="213" t="str">
        <f aca="false">IF(A298="","",1/(1+CHOOSE(F$3,(AR298+($I$3/10000))/2,(AR297+($I$3/10000))/2))^(2*AQ297/365.25))</f>
        <v/>
      </c>
      <c r="AT297" s="137" t="str">
        <f aca="false">IF(A298="","",IF(AND(mthbeg&lt;=A297,mthend&gt;=A297),1,0))</f>
        <v/>
      </c>
      <c r="AU297" s="137" t="str">
        <f aca="false">IF(A298="","",AO297*AT297)</f>
        <v/>
      </c>
      <c r="AW297" s="195" t="str">
        <f aca="false">IF($A298="","",AL297*$E297)</f>
        <v/>
      </c>
      <c r="AX297" s="195" t="str">
        <f aca="false">IF($A298="","",AM297*$E297)</f>
        <v/>
      </c>
      <c r="AY297" s="195" t="str">
        <f aca="false">IF($A298="","",AN297*$E297)</f>
        <v/>
      </c>
      <c r="BA297" s="195" t="str">
        <f aca="false">IF($A298="","",F297*Summary!$Q$9)</f>
        <v/>
      </c>
    </row>
    <row r="298" customFormat="false" ht="12" hidden="false" customHeight="true" outlineLevel="0" collapsed="false">
      <c r="A298" s="196" t="str">
        <f aca="false">IF(A297&lt;mthend,EDATE(A297,1),"")</f>
        <v/>
      </c>
      <c r="B298" s="197" t="str">
        <f aca="false">IF(A298&lt;mthend,B297,"")</f>
        <v/>
      </c>
      <c r="C298" s="215"/>
      <c r="D298" s="197" t="str">
        <f aca="false">IF(A299&lt;&gt;"",B298+C298,"")</f>
        <v/>
      </c>
      <c r="E298" s="199" t="str">
        <f aca="false">IF(A299="","",IF(AND(AT298=1,$H$3=1),D298*AO298,IF($H$3=2,D298,"N/A")))</f>
        <v/>
      </c>
      <c r="F298" s="199" t="str">
        <f aca="false">IF(A299="","",E298*AS298)</f>
        <v/>
      </c>
      <c r="G298" s="200" t="str">
        <f aca="false">IF($A299="","",VLOOKUP($A298,Table,MATCH(G$4,Curves,0)))</f>
        <v/>
      </c>
      <c r="H298" s="201" t="str">
        <f aca="false">IF(A299="","",G298)</f>
        <v/>
      </c>
      <c r="I298" s="202"/>
      <c r="J298" s="200" t="str">
        <f aca="false">IF($A299="","",VLOOKUP($A298,Table,MATCH(J$4,Curves,0)))</f>
        <v/>
      </c>
      <c r="K298" s="201" t="str">
        <f aca="false">IF(A299="","",J298)</f>
        <v/>
      </c>
      <c r="L298" s="200" t="str">
        <f aca="false">IF($A299="","",VLOOKUP($A298,Table,MATCH(L$4,Curves,0)))</f>
        <v/>
      </c>
      <c r="M298" s="201" t="str">
        <f aca="false">IF(A299="","",L298)</f>
        <v/>
      </c>
      <c r="N298" s="203"/>
      <c r="O298" s="200" t="str">
        <f aca="false">IF(A299="","",L298+J298+G298)</f>
        <v/>
      </c>
      <c r="P298" s="200" t="str">
        <f aca="false">IF(A299="","",M298+K298+H298)</f>
        <v/>
      </c>
      <c r="Q298" s="204"/>
      <c r="R298" s="200" t="str">
        <f aca="false">IF($A299="","",VLOOKUP($A298,Table,MATCH(R$4,Curves,0)))</f>
        <v/>
      </c>
      <c r="S298" s="201" t="str">
        <f aca="false">IF(A299="","",R298)</f>
        <v/>
      </c>
      <c r="T298" s="200" t="str">
        <f aca="false">IF($A299="","",VLOOKUP($A298,Table,MATCH(T$4,Curves,0)))</f>
        <v/>
      </c>
      <c r="U298" s="201" t="str">
        <f aca="false">IF(A299="","",T298)</f>
        <v/>
      </c>
      <c r="V298" s="225" t="str">
        <f aca="false">IF($A299="","",IF(AND(MONTH(A298)&gt;3,MONTH(A298)&lt;11),(T298+R298+G298)*Summary!$T$9/(1-Summary!$T$9),(T298+R298+G298)*Summary!$U$9/(1-Summary!$U$9)))</f>
        <v/>
      </c>
      <c r="W298" s="200" t="str">
        <f aca="false">IF($A299="","",(T298+R298+G298+V298))</f>
        <v/>
      </c>
      <c r="X298" s="200" t="str">
        <f aca="false">IF($A299="","",(U298+S298+H298+V298))</f>
        <v/>
      </c>
      <c r="Y298" s="202"/>
      <c r="Z298" s="185" t="str">
        <f aca="false">IF($A299="","",VLOOKUP($A298,Table,MATCH(Z$4,Curves,0)))</f>
        <v/>
      </c>
      <c r="AA298" s="185" t="str">
        <f aca="false">IF($A299="","",VLOOKUP($A298,Table,MATCH(AA$4,Curves,0)))</f>
        <v/>
      </c>
      <c r="AB298" s="185" t="e">
        <f aca="false">SQRT((AA298^2*(A298-$D$3)+Z298^2*(DAY(EOMONTH(A298,0))/2))/AK298)</f>
        <v>#VALUE!</v>
      </c>
      <c r="AC298" s="185" t="str">
        <f aca="false">IF($A299="","",VLOOKUP($A298,Table,MATCH(AC$4,Curves,0)))</f>
        <v/>
      </c>
      <c r="AD298" s="185" t="str">
        <f aca="false">IF($A299="","",VLOOKUP($A298,Table,MATCH(AD$4,Curves,0)))</f>
        <v/>
      </c>
      <c r="AE298" s="185" t="e">
        <f aca="false">SQRT((AD298^2*(A298-$D$3)+AC298^2*(DAY(EOMONTH(A298,0))/2))/AK298)</f>
        <v>#VALUE!</v>
      </c>
      <c r="AF298" s="224" t="e">
        <f aca="false">((Summary!$N$9*(AA298*AD298)*(A298-$D$3))+(Summary!$M$9*Z298*AC298*(AJ298-EOMONTH(EDATE(A298,-1),0))))/(AK298*AB298*AE298)</f>
        <v>#VALUE!</v>
      </c>
      <c r="AG298" s="207" t="str">
        <f aca="false">IF($A299="","",Summary!$Q$9)</f>
        <v/>
      </c>
      <c r="AH298" s="207" t="str">
        <f aca="false">IF($A299="","",IF(Summary!$R$9="Y",VLOOKUP($A298,Summary!$AD$6:$AF$9,3)+'Escalating commodity'!E311,'Escalating commodity'!E311))</f>
        <v/>
      </c>
      <c r="AI298" s="207" t="str">
        <f aca="false">IF($A299="","",AH298)</f>
        <v/>
      </c>
      <c r="AJ298" s="208" t="e">
        <f aca="false">A298+DAY(EOMONTH(A298,0))/2-1</f>
        <v>#VALUE!</v>
      </c>
      <c r="AK298" s="209" t="str">
        <f aca="false">IF($A299="","",$A298-$E$1)</f>
        <v/>
      </c>
      <c r="AL298" s="182" t="str">
        <f aca="false">IF($A299="","",SPRDOPT(P298,X298,AI298,0,AB298,AE298,AF298,AK298,$AJ$2,0))</f>
        <v/>
      </c>
      <c r="AM298" s="211" t="str">
        <f aca="false">IF($A299="","",MAX(0,O298-W298-AI298))</f>
        <v/>
      </c>
      <c r="AN298" s="211" t="str">
        <f aca="false">IF($A299="","",AL298-AM298)</f>
        <v/>
      </c>
      <c r="AO298" s="137" t="str">
        <f aca="false">IF(A299="","",A299-A298)</f>
        <v/>
      </c>
      <c r="AP298" s="212" t="str">
        <f aca="false">IF(A299="","",CHOOSE(F$3,A299+24,A298))</f>
        <v/>
      </c>
      <c r="AQ298" s="209" t="str">
        <f aca="false">IF(A299="","",AP298-$E$1)</f>
        <v/>
      </c>
      <c r="AR298" s="185" t="n">
        <f aca="false">'ANR OK vs ML7'!AR298</f>
        <v>0.1</v>
      </c>
      <c r="AS298" s="213" t="str">
        <f aca="false">IF(A299="","",1/(1+CHOOSE(F$3,(AR299+($I$3/10000))/2,(AR298+($I$3/10000))/2))^(2*AQ298/365.25))</f>
        <v/>
      </c>
      <c r="AT298" s="137" t="str">
        <f aca="false">IF(A299="","",IF(AND(mthbeg&lt;=A298,mthend&gt;=A298),1,0))</f>
        <v/>
      </c>
      <c r="AU298" s="137" t="str">
        <f aca="false">IF(A299="","",AO298*AT298)</f>
        <v/>
      </c>
      <c r="AW298" s="195" t="str">
        <f aca="false">IF($A299="","",AL298*$E298)</f>
        <v/>
      </c>
      <c r="AX298" s="195" t="str">
        <f aca="false">IF($A299="","",AM298*$E298)</f>
        <v/>
      </c>
      <c r="AY298" s="195" t="str">
        <f aca="false">IF($A299="","",AN298*$E298)</f>
        <v/>
      </c>
      <c r="BA298" s="195" t="str">
        <f aca="false">IF($A299="","",F298*Summary!$Q$9)</f>
        <v/>
      </c>
    </row>
    <row r="299" customFormat="false" ht="12" hidden="false" customHeight="true" outlineLevel="0" collapsed="false">
      <c r="A299" s="196" t="str">
        <f aca="false">IF(A298&lt;mthend,EDATE(A298,1),"")</f>
        <v/>
      </c>
      <c r="B299" s="197" t="str">
        <f aca="false">IF(A299&lt;mthend,B298,"")</f>
        <v/>
      </c>
      <c r="C299" s="215"/>
      <c r="D299" s="197" t="str">
        <f aca="false">IF(A300&lt;&gt;"",B299+C299,"")</f>
        <v/>
      </c>
      <c r="E299" s="199" t="str">
        <f aca="false">IF(A300="","",IF(AND(AT299=1,$H$3=1),D299*AO299,IF($H$3=2,D299,"N/A")))</f>
        <v/>
      </c>
      <c r="F299" s="199" t="str">
        <f aca="false">IF(A300="","",E299*AS299)</f>
        <v/>
      </c>
      <c r="G299" s="200" t="str">
        <f aca="false">IF($A300="","",VLOOKUP($A299,Table,MATCH(G$4,Curves,0)))</f>
        <v/>
      </c>
      <c r="H299" s="201" t="str">
        <f aca="false">IF(A300="","",G299)</f>
        <v/>
      </c>
      <c r="I299" s="202"/>
      <c r="J299" s="200" t="str">
        <f aca="false">IF($A300="","",VLOOKUP($A299,Table,MATCH(J$4,Curves,0)))</f>
        <v/>
      </c>
      <c r="K299" s="201" t="str">
        <f aca="false">IF(A300="","",J299)</f>
        <v/>
      </c>
      <c r="L299" s="200" t="str">
        <f aca="false">IF($A300="","",VLOOKUP($A299,Table,MATCH(L$4,Curves,0)))</f>
        <v/>
      </c>
      <c r="M299" s="201" t="str">
        <f aca="false">IF(A300="","",L299)</f>
        <v/>
      </c>
      <c r="N299" s="203"/>
      <c r="O299" s="200" t="str">
        <f aca="false">IF(A300="","",L299+J299+G299)</f>
        <v/>
      </c>
      <c r="P299" s="200" t="str">
        <f aca="false">IF(A300="","",M299+K299+H299)</f>
        <v/>
      </c>
      <c r="Q299" s="204"/>
      <c r="R299" s="200" t="str">
        <f aca="false">IF($A300="","",VLOOKUP($A299,Table,MATCH(R$4,Curves,0)))</f>
        <v/>
      </c>
      <c r="S299" s="201" t="str">
        <f aca="false">IF(A300="","",R299)</f>
        <v/>
      </c>
      <c r="T299" s="200" t="str">
        <f aca="false">IF($A300="","",VLOOKUP($A299,Table,MATCH(T$4,Curves,0)))</f>
        <v/>
      </c>
      <c r="U299" s="201" t="str">
        <f aca="false">IF(A300="","",T299)</f>
        <v/>
      </c>
      <c r="V299" s="225" t="str">
        <f aca="false">IF($A300="","",IF(AND(MONTH(A299)&gt;3,MONTH(A299)&lt;11),(T299+R299+G299)*Summary!$T$9/(1-Summary!$T$9),(T299+R299+G299)*Summary!$U$9/(1-Summary!$U$9)))</f>
        <v/>
      </c>
      <c r="W299" s="200" t="str">
        <f aca="false">IF($A300="","",(T299+R299+G299+V299))</f>
        <v/>
      </c>
      <c r="X299" s="200" t="str">
        <f aca="false">IF($A300="","",(U299+S299+H299+V299))</f>
        <v/>
      </c>
      <c r="Y299" s="202"/>
      <c r="Z299" s="185" t="str">
        <f aca="false">IF($A300="","",VLOOKUP($A299,Table,MATCH(Z$4,Curves,0)))</f>
        <v/>
      </c>
      <c r="AA299" s="185" t="str">
        <f aca="false">IF($A300="","",VLOOKUP($A299,Table,MATCH(AA$4,Curves,0)))</f>
        <v/>
      </c>
      <c r="AB299" s="185" t="e">
        <f aca="false">SQRT((AA299^2*(A299-$D$3)+Z299^2*(DAY(EOMONTH(A299,0))/2))/AK299)</f>
        <v>#VALUE!</v>
      </c>
      <c r="AC299" s="185" t="str">
        <f aca="false">IF($A300="","",VLOOKUP($A299,Table,MATCH(AC$4,Curves,0)))</f>
        <v/>
      </c>
      <c r="AD299" s="185" t="str">
        <f aca="false">IF($A300="","",VLOOKUP($A299,Table,MATCH(AD$4,Curves,0)))</f>
        <v/>
      </c>
      <c r="AE299" s="185" t="e">
        <f aca="false">SQRT((AD299^2*(A299-$D$3)+AC299^2*(DAY(EOMONTH(A299,0))/2))/AK299)</f>
        <v>#VALUE!</v>
      </c>
      <c r="AF299" s="224" t="e">
        <f aca="false">((Summary!$N$9*(AA299*AD299)*(A299-$D$3))+(Summary!$M$9*Z299*AC299*(AJ299-EOMONTH(EDATE(A299,-1),0))))/(AK299*AB299*AE299)</f>
        <v>#VALUE!</v>
      </c>
      <c r="AG299" s="207" t="str">
        <f aca="false">IF($A300="","",Summary!$Q$9)</f>
        <v/>
      </c>
      <c r="AH299" s="207" t="str">
        <f aca="false">IF($A300="","",IF(Summary!$R$9="Y",VLOOKUP($A299,Summary!$AD$6:$AF$9,3)+'Escalating commodity'!E312,'Escalating commodity'!E312))</f>
        <v/>
      </c>
      <c r="AI299" s="207" t="str">
        <f aca="false">IF($A300="","",AH299)</f>
        <v/>
      </c>
      <c r="AJ299" s="208" t="e">
        <f aca="false">A299+DAY(EOMONTH(A299,0))/2-1</f>
        <v>#VALUE!</v>
      </c>
      <c r="AK299" s="209" t="str">
        <f aca="false">IF($A300="","",$A299-$E$1)</f>
        <v/>
      </c>
      <c r="AL299" s="182" t="str">
        <f aca="false">IF($A300="","",SPRDOPT(P299,X299,AI299,0,AB299,AE299,AF299,AK299,$AJ$2,0))</f>
        <v/>
      </c>
      <c r="AM299" s="211" t="str">
        <f aca="false">IF($A300="","",MAX(0,O299-W299-AI299))</f>
        <v/>
      </c>
      <c r="AN299" s="211" t="str">
        <f aca="false">IF($A300="","",AL299-AM299)</f>
        <v/>
      </c>
      <c r="AO299" s="137" t="str">
        <f aca="false">IF(A300="","",A300-A299)</f>
        <v/>
      </c>
      <c r="AP299" s="212" t="str">
        <f aca="false">IF(A300="","",CHOOSE(F$3,A300+24,A299))</f>
        <v/>
      </c>
      <c r="AQ299" s="209" t="str">
        <f aca="false">IF(A300="","",AP299-$E$1)</f>
        <v/>
      </c>
      <c r="AR299" s="185" t="n">
        <f aca="false">'ANR OK vs ML7'!AR299</f>
        <v>0.1</v>
      </c>
      <c r="AS299" s="213" t="str">
        <f aca="false">IF(A300="","",1/(1+CHOOSE(F$3,(AR300+($I$3/10000))/2,(AR299+($I$3/10000))/2))^(2*AQ299/365.25))</f>
        <v/>
      </c>
      <c r="AT299" s="137" t="str">
        <f aca="false">IF(A300="","",IF(AND(mthbeg&lt;=A299,mthend&gt;=A299),1,0))</f>
        <v/>
      </c>
      <c r="AU299" s="137" t="str">
        <f aca="false">IF(A300="","",AO299*AT299)</f>
        <v/>
      </c>
      <c r="AW299" s="195" t="str">
        <f aca="false">IF($A300="","",AL299*$E299)</f>
        <v/>
      </c>
      <c r="AX299" s="195" t="str">
        <f aca="false">IF($A300="","",AM299*$E299)</f>
        <v/>
      </c>
      <c r="AY299" s="195" t="str">
        <f aca="false">IF($A300="","",AN299*$E299)</f>
        <v/>
      </c>
      <c r="BA299" s="195" t="str">
        <f aca="false">IF($A300="","",F299*Summary!$Q$9)</f>
        <v/>
      </c>
    </row>
    <row r="300" customFormat="false" ht="12" hidden="false" customHeight="true" outlineLevel="0" collapsed="false">
      <c r="A300" s="196" t="str">
        <f aca="false">IF(A299&lt;mthend,EDATE(A299,1),"")</f>
        <v/>
      </c>
      <c r="B300" s="197" t="str">
        <f aca="false">IF(A300&lt;mthend,B299,"")</f>
        <v/>
      </c>
      <c r="C300" s="215"/>
      <c r="D300" s="197" t="str">
        <f aca="false">IF(A301&lt;&gt;"",B300+C300,"")</f>
        <v/>
      </c>
      <c r="E300" s="199" t="str">
        <f aca="false">IF(A301="","",IF(AND(AT300=1,$H$3=1),D300*AO300,IF($H$3=2,D300,"N/A")))</f>
        <v/>
      </c>
      <c r="F300" s="199" t="str">
        <f aca="false">IF(A301="","",E300*AS300)</f>
        <v/>
      </c>
      <c r="G300" s="200" t="str">
        <f aca="false">IF($A301="","",VLOOKUP($A300,Table,MATCH(G$4,Curves,0)))</f>
        <v/>
      </c>
      <c r="H300" s="201" t="str">
        <f aca="false">IF(A301="","",G300)</f>
        <v/>
      </c>
      <c r="I300" s="202"/>
      <c r="J300" s="200" t="str">
        <f aca="false">IF($A301="","",VLOOKUP($A300,Table,MATCH(J$4,Curves,0)))</f>
        <v/>
      </c>
      <c r="K300" s="201" t="str">
        <f aca="false">IF(A301="","",J300)</f>
        <v/>
      </c>
      <c r="L300" s="200" t="str">
        <f aca="false">IF($A301="","",VLOOKUP($A300,Table,MATCH(L$4,Curves,0)))</f>
        <v/>
      </c>
      <c r="M300" s="201" t="str">
        <f aca="false">IF(A301="","",L300)</f>
        <v/>
      </c>
      <c r="N300" s="203"/>
      <c r="O300" s="200" t="str">
        <f aca="false">IF(A301="","",L300+J300+G300)</f>
        <v/>
      </c>
      <c r="P300" s="200" t="str">
        <f aca="false">IF(A301="","",M300+K300+H300)</f>
        <v/>
      </c>
      <c r="Q300" s="204"/>
      <c r="R300" s="200" t="str">
        <f aca="false">IF($A301="","",VLOOKUP($A300,Table,MATCH(R$4,Curves,0)))</f>
        <v/>
      </c>
      <c r="S300" s="201" t="str">
        <f aca="false">IF(A301="","",R300)</f>
        <v/>
      </c>
      <c r="T300" s="200" t="str">
        <f aca="false">IF($A301="","",VLOOKUP($A300,Table,MATCH(T$4,Curves,0)))</f>
        <v/>
      </c>
      <c r="U300" s="201" t="str">
        <f aca="false">IF(A301="","",T300)</f>
        <v/>
      </c>
      <c r="V300" s="225" t="str">
        <f aca="false">IF($A301="","",IF(AND(MONTH(A300)&gt;3,MONTH(A300)&lt;11),(T300+R300+G300)*Summary!$T$9/(1-Summary!$T$9),(T300+R300+G300)*Summary!$U$9/(1-Summary!$U$9)))</f>
        <v/>
      </c>
      <c r="W300" s="200" t="str">
        <f aca="false">IF($A301="","",(T300+R300+G300+V300))</f>
        <v/>
      </c>
      <c r="X300" s="200" t="str">
        <f aca="false">IF($A301="","",(U300+S300+H300+V300))</f>
        <v/>
      </c>
      <c r="Y300" s="202"/>
      <c r="Z300" s="185" t="str">
        <f aca="false">IF($A301="","",VLOOKUP($A300,Table,MATCH(Z$4,Curves,0)))</f>
        <v/>
      </c>
      <c r="AA300" s="185" t="str">
        <f aca="false">IF($A301="","",VLOOKUP($A300,Table,MATCH(AA$4,Curves,0)))</f>
        <v/>
      </c>
      <c r="AB300" s="185" t="e">
        <f aca="false">SQRT((AA300^2*(A300-$D$3)+Z300^2*(DAY(EOMONTH(A300,0))/2))/AK300)</f>
        <v>#VALUE!</v>
      </c>
      <c r="AC300" s="185" t="str">
        <f aca="false">IF($A301="","",VLOOKUP($A300,Table,MATCH(AC$4,Curves,0)))</f>
        <v/>
      </c>
      <c r="AD300" s="185" t="str">
        <f aca="false">IF($A301="","",VLOOKUP($A300,Table,MATCH(AD$4,Curves,0)))</f>
        <v/>
      </c>
      <c r="AE300" s="185" t="e">
        <f aca="false">SQRT((AD300^2*(A300-$D$3)+AC300^2*(DAY(EOMONTH(A300,0))/2))/AK300)</f>
        <v>#VALUE!</v>
      </c>
      <c r="AF300" s="224" t="e">
        <f aca="false">((Summary!$N$9*(AA300*AD300)*(A300-$D$3))+(Summary!$M$9*Z300*AC300*(AJ300-EOMONTH(EDATE(A300,-1),0))))/(AK300*AB300*AE300)</f>
        <v>#VALUE!</v>
      </c>
      <c r="AG300" s="207" t="str">
        <f aca="false">IF($A301="","",Summary!$Q$9)</f>
        <v/>
      </c>
      <c r="AH300" s="207" t="str">
        <f aca="false">IF($A301="","",IF(Summary!$R$9="Y",VLOOKUP($A300,Summary!$AD$6:$AF$9,3)+'Escalating commodity'!E313,'Escalating commodity'!E313))</f>
        <v/>
      </c>
      <c r="AI300" s="207" t="str">
        <f aca="false">IF($A301="","",AH300)</f>
        <v/>
      </c>
      <c r="AJ300" s="208" t="e">
        <f aca="false">A300+DAY(EOMONTH(A300,0))/2-1</f>
        <v>#VALUE!</v>
      </c>
      <c r="AK300" s="209" t="str">
        <f aca="false">IF($A301="","",$A300-$E$1)</f>
        <v/>
      </c>
      <c r="AL300" s="182" t="str">
        <f aca="false">IF($A301="","",SPRDOPT(P300,X300,AI300,0,AB300,AE300,AF300,AK300,$AJ$2,0))</f>
        <v/>
      </c>
      <c r="AM300" s="211" t="str">
        <f aca="false">IF($A301="","",MAX(0,O300-W300-AI300))</f>
        <v/>
      </c>
      <c r="AN300" s="211" t="str">
        <f aca="false">IF($A301="","",AL300-AM300)</f>
        <v/>
      </c>
      <c r="AO300" s="137" t="str">
        <f aca="false">IF(A301="","",A301-A300)</f>
        <v/>
      </c>
      <c r="AP300" s="212" t="str">
        <f aca="false">IF(A301="","",CHOOSE(F$3,A301+24,A300))</f>
        <v/>
      </c>
      <c r="AQ300" s="209" t="str">
        <f aca="false">IF(A301="","",AP300-$E$1)</f>
        <v/>
      </c>
      <c r="AR300" s="185" t="n">
        <f aca="false">'ANR OK vs ML7'!AR300</f>
        <v>0.1</v>
      </c>
      <c r="AS300" s="213" t="str">
        <f aca="false">IF(A301="","",1/(1+CHOOSE(F$3,(AR301+($I$3/10000))/2,(AR300+($I$3/10000))/2))^(2*AQ300/365.25))</f>
        <v/>
      </c>
      <c r="AT300" s="137" t="str">
        <f aca="false">IF(A301="","",IF(AND(mthbeg&lt;=A300,mthend&gt;=A300),1,0))</f>
        <v/>
      </c>
      <c r="AU300" s="137" t="str">
        <f aca="false">IF(A301="","",AO300*AT300)</f>
        <v/>
      </c>
      <c r="AW300" s="195" t="str">
        <f aca="false">IF($A301="","",AL300*$E300)</f>
        <v/>
      </c>
      <c r="AX300" s="195" t="str">
        <f aca="false">IF($A301="","",AM300*$E300)</f>
        <v/>
      </c>
      <c r="AY300" s="195" t="str">
        <f aca="false">IF($A301="","",AN300*$E300)</f>
        <v/>
      </c>
      <c r="BA300" s="195" t="str">
        <f aca="false">IF($A301="","",F300*Summary!$Q$9)</f>
        <v/>
      </c>
    </row>
    <row r="301" customFormat="false" ht="12" hidden="false" customHeight="true" outlineLevel="0" collapsed="false">
      <c r="A301" s="196" t="str">
        <f aca="false">IF(A300&lt;mthend,EDATE(A300,1),"")</f>
        <v/>
      </c>
      <c r="B301" s="197" t="str">
        <f aca="false">IF(A301&lt;mthend,B300,"")</f>
        <v/>
      </c>
      <c r="C301" s="215"/>
      <c r="D301" s="197" t="str">
        <f aca="false">IF(A302&lt;&gt;"",B301+C301,"")</f>
        <v/>
      </c>
      <c r="E301" s="199" t="str">
        <f aca="false">IF(A302="","",IF(AND(AT301=1,$H$3=1),D301*AO301,IF($H$3=2,D301,"N/A")))</f>
        <v/>
      </c>
      <c r="F301" s="199" t="str">
        <f aca="false">IF(A302="","",E301*AS301)</f>
        <v/>
      </c>
      <c r="G301" s="200" t="str">
        <f aca="false">IF($A302="","",VLOOKUP($A301,Table,MATCH(G$4,Curves,0)))</f>
        <v/>
      </c>
      <c r="H301" s="201" t="str">
        <f aca="false">IF(A302="","",G301)</f>
        <v/>
      </c>
      <c r="I301" s="202"/>
      <c r="J301" s="200" t="str">
        <f aca="false">IF($A302="","",VLOOKUP($A301,Table,MATCH(J$4,Curves,0)))</f>
        <v/>
      </c>
      <c r="K301" s="201" t="str">
        <f aca="false">IF(A302="","",J301)</f>
        <v/>
      </c>
      <c r="L301" s="200" t="str">
        <f aca="false">IF($A302="","",VLOOKUP($A301,Table,MATCH(L$4,Curves,0)))</f>
        <v/>
      </c>
      <c r="M301" s="201" t="str">
        <f aca="false">IF(A302="","",L301)</f>
        <v/>
      </c>
      <c r="N301" s="203"/>
      <c r="O301" s="200" t="str">
        <f aca="false">IF(A302="","",L301+J301+G301)</f>
        <v/>
      </c>
      <c r="P301" s="200" t="str">
        <f aca="false">IF(A302="","",M301+K301+H301)</f>
        <v/>
      </c>
      <c r="Q301" s="204"/>
      <c r="R301" s="200" t="str">
        <f aca="false">IF($A302="","",VLOOKUP($A301,Table,MATCH(R$4,Curves,0)))</f>
        <v/>
      </c>
      <c r="S301" s="201" t="str">
        <f aca="false">IF(A302="","",R301)</f>
        <v/>
      </c>
      <c r="T301" s="200" t="str">
        <f aca="false">IF($A302="","",VLOOKUP($A301,Table,MATCH(T$4,Curves,0)))</f>
        <v/>
      </c>
      <c r="U301" s="201" t="str">
        <f aca="false">IF(A302="","",T301)</f>
        <v/>
      </c>
      <c r="V301" s="225" t="str">
        <f aca="false">IF($A302="","",IF(AND(MONTH(A301)&gt;3,MONTH(A301)&lt;11),(T301+R301+G301)*Summary!$T$9/(1-Summary!$T$9),(T301+R301+G301)*Summary!$U$9/(1-Summary!$U$9)))</f>
        <v/>
      </c>
      <c r="W301" s="200" t="str">
        <f aca="false">IF($A302="","",(T301+R301+G301+V301))</f>
        <v/>
      </c>
      <c r="X301" s="200" t="str">
        <f aca="false">IF($A302="","",(U301+S301+H301+V301))</f>
        <v/>
      </c>
      <c r="Y301" s="202"/>
      <c r="Z301" s="185" t="str">
        <f aca="false">IF($A302="","",VLOOKUP($A301,Table,MATCH(Z$4,Curves,0)))</f>
        <v/>
      </c>
      <c r="AA301" s="185" t="str">
        <f aca="false">IF($A302="","",VLOOKUP($A301,Table,MATCH(AA$4,Curves,0)))</f>
        <v/>
      </c>
      <c r="AB301" s="185" t="e">
        <f aca="false">SQRT((AA301^2*(A301-$D$3)+Z301^2*(DAY(EOMONTH(A301,0))/2))/AK301)</f>
        <v>#VALUE!</v>
      </c>
      <c r="AC301" s="185" t="str">
        <f aca="false">IF($A302="","",VLOOKUP($A301,Table,MATCH(AC$4,Curves,0)))</f>
        <v/>
      </c>
      <c r="AD301" s="185" t="str">
        <f aca="false">IF($A302="","",VLOOKUP($A301,Table,MATCH(AD$4,Curves,0)))</f>
        <v/>
      </c>
      <c r="AE301" s="185" t="e">
        <f aca="false">SQRT((AD301^2*(A301-$D$3)+AC301^2*(DAY(EOMONTH(A301,0))/2))/AK301)</f>
        <v>#VALUE!</v>
      </c>
      <c r="AF301" s="224" t="e">
        <f aca="false">((Summary!$N$9*(AA301*AD301)*(A301-$D$3))+(Summary!$M$9*Z301*AC301*(AJ301-EOMONTH(EDATE(A301,-1),0))))/(AK301*AB301*AE301)</f>
        <v>#VALUE!</v>
      </c>
      <c r="AG301" s="207" t="str">
        <f aca="false">IF($A302="","",Summary!$Q$9)</f>
        <v/>
      </c>
      <c r="AH301" s="207" t="str">
        <f aca="false">IF($A302="","",IF(Summary!$R$9="Y",VLOOKUP($A301,Summary!$AD$6:$AF$9,3)+'Escalating commodity'!E314,'Escalating commodity'!E314))</f>
        <v/>
      </c>
      <c r="AI301" s="207" t="str">
        <f aca="false">IF($A302="","",AH301)</f>
        <v/>
      </c>
      <c r="AJ301" s="208" t="e">
        <f aca="false">A301+DAY(EOMONTH(A301,0))/2-1</f>
        <v>#VALUE!</v>
      </c>
      <c r="AK301" s="209" t="str">
        <f aca="false">IF($A302="","",$A301-$E$1)</f>
        <v/>
      </c>
      <c r="AL301" s="182" t="str">
        <f aca="false">IF($A302="","",SPRDOPT(P301,X301,AI301,0,AB301,AE301,AF301,AK301,$AJ$2,0))</f>
        <v/>
      </c>
      <c r="AM301" s="211" t="str">
        <f aca="false">IF($A302="","",MAX(0,O301-W301-AI301))</f>
        <v/>
      </c>
      <c r="AN301" s="211" t="str">
        <f aca="false">IF($A302="","",AL301-AM301)</f>
        <v/>
      </c>
      <c r="AO301" s="137" t="str">
        <f aca="false">IF(A302="","",A302-A301)</f>
        <v/>
      </c>
      <c r="AP301" s="212" t="str">
        <f aca="false">IF(A302="","",CHOOSE(F$3,A302+24,A301))</f>
        <v/>
      </c>
      <c r="AQ301" s="209" t="str">
        <f aca="false">IF(A302="","",AP301-$E$1)</f>
        <v/>
      </c>
      <c r="AR301" s="185" t="n">
        <f aca="false">'ANR OK vs ML7'!AR301</f>
        <v>0.1</v>
      </c>
      <c r="AS301" s="213" t="str">
        <f aca="false">IF(A302="","",1/(1+CHOOSE(F$3,(AR302+($I$3/10000))/2,(AR301+($I$3/10000))/2))^(2*AQ301/365.25))</f>
        <v/>
      </c>
      <c r="AT301" s="137" t="str">
        <f aca="false">IF(A302="","",IF(AND(mthbeg&lt;=A301,mthend&gt;=A301),1,0))</f>
        <v/>
      </c>
      <c r="AU301" s="137" t="str">
        <f aca="false">IF(A302="","",AO301*AT301)</f>
        <v/>
      </c>
      <c r="AW301" s="195" t="str">
        <f aca="false">IF($A302="","",AL301*$E301)</f>
        <v/>
      </c>
      <c r="AX301" s="195" t="str">
        <f aca="false">IF($A302="","",AM301*$E301)</f>
        <v/>
      </c>
      <c r="AY301" s="195" t="str">
        <f aca="false">IF($A302="","",AN301*$E301)</f>
        <v/>
      </c>
      <c r="BA301" s="195" t="str">
        <f aca="false">IF($A302="","",F301*Summary!$Q$9)</f>
        <v/>
      </c>
    </row>
    <row r="302" customFormat="false" ht="12" hidden="false" customHeight="true" outlineLevel="0" collapsed="false">
      <c r="A302" s="196" t="str">
        <f aca="false">IF(A301&lt;mthend,EDATE(A301,1),"")</f>
        <v/>
      </c>
      <c r="B302" s="197" t="str">
        <f aca="false">IF(A302&lt;mthend,B301,"")</f>
        <v/>
      </c>
      <c r="C302" s="215"/>
      <c r="D302" s="197" t="str">
        <f aca="false">IF(A303&lt;&gt;"",B302+C302,"")</f>
        <v/>
      </c>
      <c r="E302" s="199" t="str">
        <f aca="false">IF(A303="","",IF(AND(AT302=1,$H$3=1),D302*AO302,IF($H$3=2,D302,"N/A")))</f>
        <v/>
      </c>
      <c r="F302" s="199" t="str">
        <f aca="false">IF(A303="","",E302*AS302)</f>
        <v/>
      </c>
      <c r="G302" s="200" t="str">
        <f aca="false">IF($A303="","",VLOOKUP($A302,Table,MATCH(G$4,Curves,0)))</f>
        <v/>
      </c>
      <c r="H302" s="201" t="str">
        <f aca="false">IF(A303="","",G302)</f>
        <v/>
      </c>
      <c r="I302" s="202"/>
      <c r="J302" s="200" t="str">
        <f aca="false">IF($A303="","",VLOOKUP($A302,Table,MATCH(J$4,Curves,0)))</f>
        <v/>
      </c>
      <c r="K302" s="201" t="str">
        <f aca="false">IF(A303="","",J302)</f>
        <v/>
      </c>
      <c r="L302" s="200" t="str">
        <f aca="false">IF($A303="","",VLOOKUP($A302,Table,MATCH(L$4,Curves,0)))</f>
        <v/>
      </c>
      <c r="M302" s="201" t="str">
        <f aca="false">IF(A303="","",L302)</f>
        <v/>
      </c>
      <c r="N302" s="203"/>
      <c r="O302" s="200" t="str">
        <f aca="false">IF(A303="","",L302+J302+G302)</f>
        <v/>
      </c>
      <c r="P302" s="200" t="str">
        <f aca="false">IF(A303="","",M302+K302+H302)</f>
        <v/>
      </c>
      <c r="Q302" s="204"/>
      <c r="R302" s="200" t="str">
        <f aca="false">IF($A303="","",VLOOKUP($A302,Table,MATCH(R$4,Curves,0)))</f>
        <v/>
      </c>
      <c r="S302" s="201" t="str">
        <f aca="false">IF(A303="","",R302)</f>
        <v/>
      </c>
      <c r="T302" s="200" t="str">
        <f aca="false">IF($A303="","",VLOOKUP($A302,Table,MATCH(T$4,Curves,0)))</f>
        <v/>
      </c>
      <c r="U302" s="201" t="str">
        <f aca="false">IF(A303="","",T302)</f>
        <v/>
      </c>
      <c r="V302" s="225" t="str">
        <f aca="false">IF($A303="","",IF(AND(MONTH(A302)&gt;3,MONTH(A302)&lt;11),(T302+R302+G302)*Summary!$T$9/(1-Summary!$T$9),(T302+R302+G302)*Summary!$U$9/(1-Summary!$U$9)))</f>
        <v/>
      </c>
      <c r="W302" s="200" t="str">
        <f aca="false">IF($A303="","",(T302+R302+G302+V302))</f>
        <v/>
      </c>
      <c r="X302" s="200" t="str">
        <f aca="false">IF($A303="","",(U302+S302+H302+V302))</f>
        <v/>
      </c>
      <c r="Y302" s="202"/>
      <c r="Z302" s="185" t="str">
        <f aca="false">IF($A303="","",VLOOKUP($A302,Table,MATCH(Z$4,Curves,0)))</f>
        <v/>
      </c>
      <c r="AA302" s="185" t="str">
        <f aca="false">IF($A303="","",VLOOKUP($A302,Table,MATCH(AA$4,Curves,0)))</f>
        <v/>
      </c>
      <c r="AB302" s="185" t="e">
        <f aca="false">SQRT((AA302^2*(A302-$D$3)+Z302^2*(DAY(EOMONTH(A302,0))/2))/AK302)</f>
        <v>#VALUE!</v>
      </c>
      <c r="AC302" s="185" t="str">
        <f aca="false">IF($A303="","",VLOOKUP($A302,Table,MATCH(AC$4,Curves,0)))</f>
        <v/>
      </c>
      <c r="AD302" s="185" t="str">
        <f aca="false">IF($A303="","",VLOOKUP($A302,Table,MATCH(AD$4,Curves,0)))</f>
        <v/>
      </c>
      <c r="AE302" s="185" t="e">
        <f aca="false">SQRT((AD302^2*(A302-$D$3)+AC302^2*(DAY(EOMONTH(A302,0))/2))/AK302)</f>
        <v>#VALUE!</v>
      </c>
      <c r="AF302" s="224" t="e">
        <f aca="false">((Summary!$N$9*(AA302*AD302)*(A302-$D$3))+(Summary!$M$9*Z302*AC302*(AJ302-EOMONTH(EDATE(A302,-1),0))))/(AK302*AB302*AE302)</f>
        <v>#VALUE!</v>
      </c>
      <c r="AG302" s="207" t="str">
        <f aca="false">IF($A303="","",Summary!$Q$9)</f>
        <v/>
      </c>
      <c r="AH302" s="207" t="str">
        <f aca="false">IF($A303="","",IF(Summary!$R$9="Y",VLOOKUP($A302,Summary!$AD$6:$AF$9,3)+'Escalating commodity'!E315,'Escalating commodity'!E315))</f>
        <v/>
      </c>
      <c r="AI302" s="207" t="str">
        <f aca="false">IF($A303="","",AH302)</f>
        <v/>
      </c>
      <c r="AJ302" s="208" t="e">
        <f aca="false">A302+DAY(EOMONTH(A302,0))/2-1</f>
        <v>#VALUE!</v>
      </c>
      <c r="AK302" s="209" t="str">
        <f aca="false">IF($A303="","",$A302-$E$1)</f>
        <v/>
      </c>
      <c r="AL302" s="182" t="str">
        <f aca="false">IF($A303="","",SPRDOPT(P302,X302,AI302,0,AB302,AE302,AF302,AK302,$AJ$2,0))</f>
        <v/>
      </c>
      <c r="AM302" s="211" t="str">
        <f aca="false">IF($A303="","",MAX(0,O302-W302-AI302))</f>
        <v/>
      </c>
      <c r="AN302" s="211" t="str">
        <f aca="false">IF($A303="","",AL302-AM302)</f>
        <v/>
      </c>
      <c r="AO302" s="137" t="str">
        <f aca="false">IF(A303="","",A303-A302)</f>
        <v/>
      </c>
      <c r="AP302" s="212" t="str">
        <f aca="false">IF(A303="","",CHOOSE(F$3,A303+24,A302))</f>
        <v/>
      </c>
      <c r="AQ302" s="209" t="str">
        <f aca="false">IF(A303="","",AP302-$E$1)</f>
        <v/>
      </c>
      <c r="AR302" s="185" t="n">
        <f aca="false">'ANR OK vs ML7'!AR302</f>
        <v>0.1</v>
      </c>
      <c r="AS302" s="213" t="str">
        <f aca="false">IF(A303="","",1/(1+CHOOSE(F$3,(AR303+($I$3/10000))/2,(AR302+($I$3/10000))/2))^(2*AQ302/365.25))</f>
        <v/>
      </c>
      <c r="AT302" s="137" t="str">
        <f aca="false">IF(A303="","",IF(AND(mthbeg&lt;=A302,mthend&gt;=A302),1,0))</f>
        <v/>
      </c>
      <c r="AU302" s="137" t="str">
        <f aca="false">IF(A303="","",AO302*AT302)</f>
        <v/>
      </c>
      <c r="AW302" s="195" t="str">
        <f aca="false">IF($A303="","",AL302*$E302)</f>
        <v/>
      </c>
      <c r="AX302" s="195" t="str">
        <f aca="false">IF($A303="","",AM302*$E302)</f>
        <v/>
      </c>
      <c r="AY302" s="195" t="str">
        <f aca="false">IF($A303="","",AN302*$E302)</f>
        <v/>
      </c>
      <c r="BA302" s="195" t="str">
        <f aca="false">IF($A303="","",F302*Summary!$Q$9)</f>
        <v/>
      </c>
    </row>
    <row r="303" customFormat="false" ht="12" hidden="false" customHeight="true" outlineLevel="0" collapsed="false">
      <c r="A303" s="196" t="str">
        <f aca="false">IF(A302&lt;mthend,EDATE(A302,1),"")</f>
        <v/>
      </c>
      <c r="B303" s="197" t="str">
        <f aca="false">IF(A303&lt;mthend,B302,"")</f>
        <v/>
      </c>
      <c r="C303" s="215"/>
      <c r="D303" s="197" t="str">
        <f aca="false">IF(A304&lt;&gt;"",B303+C303,"")</f>
        <v/>
      </c>
      <c r="E303" s="199" t="str">
        <f aca="false">IF(A304="","",IF(AND(AT303=1,$H$3=1),D303*AO303,IF($H$3=2,D303,"N/A")))</f>
        <v/>
      </c>
      <c r="F303" s="199" t="str">
        <f aca="false">IF(A304="","",E303*AS303)</f>
        <v/>
      </c>
      <c r="G303" s="200" t="str">
        <f aca="false">IF($A304="","",VLOOKUP($A303,Table,MATCH(G$4,Curves,0)))</f>
        <v/>
      </c>
      <c r="H303" s="201" t="str">
        <f aca="false">IF(A304="","",G303)</f>
        <v/>
      </c>
      <c r="I303" s="202"/>
      <c r="J303" s="200" t="str">
        <f aca="false">IF($A304="","",VLOOKUP($A303,Table,MATCH(J$4,Curves,0)))</f>
        <v/>
      </c>
      <c r="K303" s="201" t="str">
        <f aca="false">IF(A304="","",J303)</f>
        <v/>
      </c>
      <c r="L303" s="200" t="str">
        <f aca="false">IF($A304="","",VLOOKUP($A303,Table,MATCH(L$4,Curves,0)))</f>
        <v/>
      </c>
      <c r="M303" s="201" t="str">
        <f aca="false">IF(A304="","",L303)</f>
        <v/>
      </c>
      <c r="N303" s="203"/>
      <c r="O303" s="200" t="str">
        <f aca="false">IF(A304="","",L303+J303+G303)</f>
        <v/>
      </c>
      <c r="P303" s="200" t="str">
        <f aca="false">IF(A304="","",M303+K303+H303)</f>
        <v/>
      </c>
      <c r="Q303" s="204"/>
      <c r="R303" s="200" t="str">
        <f aca="false">IF($A304="","",VLOOKUP($A303,Table,MATCH(R$4,Curves,0)))</f>
        <v/>
      </c>
      <c r="S303" s="201" t="str">
        <f aca="false">IF(A304="","",R303)</f>
        <v/>
      </c>
      <c r="T303" s="200" t="str">
        <f aca="false">IF($A304="","",VLOOKUP($A303,Table,MATCH(T$4,Curves,0)))</f>
        <v/>
      </c>
      <c r="U303" s="201" t="str">
        <f aca="false">IF(A304="","",T303)</f>
        <v/>
      </c>
      <c r="V303" s="225" t="str">
        <f aca="false">IF($A304="","",IF(AND(MONTH(A303)&gt;3,MONTH(A303)&lt;11),(T303+R303+G303)*Summary!$T$9/(1-Summary!$T$9),(T303+R303+G303)*Summary!$U$9/(1-Summary!$U$9)))</f>
        <v/>
      </c>
      <c r="W303" s="200" t="str">
        <f aca="false">IF($A304="","",(T303+R303+G303+V303))</f>
        <v/>
      </c>
      <c r="X303" s="200" t="str">
        <f aca="false">IF($A304="","",(U303+S303+H303+V303))</f>
        <v/>
      </c>
      <c r="Y303" s="202"/>
      <c r="Z303" s="185" t="str">
        <f aca="false">IF($A304="","",VLOOKUP($A303,Table,MATCH(Z$4,Curves,0)))</f>
        <v/>
      </c>
      <c r="AA303" s="185" t="str">
        <f aca="false">IF($A304="","",VLOOKUP($A303,Table,MATCH(AA$4,Curves,0)))</f>
        <v/>
      </c>
      <c r="AB303" s="185" t="e">
        <f aca="false">SQRT((AA303^2*(A303-$D$3)+Z303^2*(DAY(EOMONTH(A303,0))/2))/AK303)</f>
        <v>#VALUE!</v>
      </c>
      <c r="AC303" s="185" t="str">
        <f aca="false">IF($A304="","",VLOOKUP($A303,Table,MATCH(AC$4,Curves,0)))</f>
        <v/>
      </c>
      <c r="AD303" s="185" t="str">
        <f aca="false">IF($A304="","",VLOOKUP($A303,Table,MATCH(AD$4,Curves,0)))</f>
        <v/>
      </c>
      <c r="AE303" s="185" t="e">
        <f aca="false">SQRT((AD303^2*(A303-$D$3)+AC303^2*(DAY(EOMONTH(A303,0))/2))/AK303)</f>
        <v>#VALUE!</v>
      </c>
      <c r="AF303" s="224" t="e">
        <f aca="false">((Summary!$N$9*(AA303*AD303)*(A303-$D$3))+(Summary!$M$9*Z303*AC303*(AJ303-EOMONTH(EDATE(A303,-1),0))))/(AK303*AB303*AE303)</f>
        <v>#VALUE!</v>
      </c>
      <c r="AG303" s="207" t="str">
        <f aca="false">IF($A304="","",Summary!$Q$9)</f>
        <v/>
      </c>
      <c r="AH303" s="207" t="str">
        <f aca="false">IF($A304="","",IF(Summary!$R$9="Y",VLOOKUP($A303,Summary!$AD$6:$AF$9,3)+'Escalating commodity'!E316,'Escalating commodity'!E316))</f>
        <v/>
      </c>
      <c r="AI303" s="207" t="str">
        <f aca="false">IF($A304="","",AH303)</f>
        <v/>
      </c>
      <c r="AJ303" s="208" t="e">
        <f aca="false">A303+DAY(EOMONTH(A303,0))/2-1</f>
        <v>#VALUE!</v>
      </c>
      <c r="AK303" s="209" t="str">
        <f aca="false">IF($A304="","",$A303-$E$1)</f>
        <v/>
      </c>
      <c r="AL303" s="182" t="str">
        <f aca="false">IF($A304="","",SPRDOPT(P303,X303,AI303,0,AB303,AE303,AF303,AK303,$AJ$2,0))</f>
        <v/>
      </c>
      <c r="AM303" s="211" t="str">
        <f aca="false">IF($A304="","",MAX(0,O303-W303-AI303))</f>
        <v/>
      </c>
      <c r="AN303" s="211" t="str">
        <f aca="false">IF($A304="","",AL303-AM303)</f>
        <v/>
      </c>
      <c r="AO303" s="137" t="str">
        <f aca="false">IF(A304="","",A304-A303)</f>
        <v/>
      </c>
      <c r="AP303" s="212" t="str">
        <f aca="false">IF(A304="","",CHOOSE(F$3,A304+24,A303))</f>
        <v/>
      </c>
      <c r="AQ303" s="209" t="str">
        <f aca="false">IF(A304="","",AP303-$E$1)</f>
        <v/>
      </c>
      <c r="AR303" s="185" t="n">
        <f aca="false">'ANR OK vs ML7'!AR303</f>
        <v>0.1</v>
      </c>
      <c r="AS303" s="213" t="str">
        <f aca="false">IF(A304="","",1/(1+CHOOSE(F$3,(AR304+($I$3/10000))/2,(AR303+($I$3/10000))/2))^(2*AQ303/365.25))</f>
        <v/>
      </c>
      <c r="AT303" s="137" t="str">
        <f aca="false">IF(A304="","",IF(AND(mthbeg&lt;=A303,mthend&gt;=A303),1,0))</f>
        <v/>
      </c>
      <c r="AU303" s="137" t="str">
        <f aca="false">IF(A304="","",AO303*AT303)</f>
        <v/>
      </c>
      <c r="AW303" s="195" t="str">
        <f aca="false">IF($A304="","",AL303*$E303)</f>
        <v/>
      </c>
      <c r="AX303" s="195" t="str">
        <f aca="false">IF($A304="","",AM303*$E303)</f>
        <v/>
      </c>
      <c r="AY303" s="195" t="str">
        <f aca="false">IF($A304="","",AN303*$E303)</f>
        <v/>
      </c>
      <c r="BA303" s="195" t="str">
        <f aca="false">IF($A304="","",F303*Summary!$Q$9)</f>
        <v/>
      </c>
    </row>
    <row r="304" customFormat="false" ht="12" hidden="false" customHeight="true" outlineLevel="0" collapsed="false">
      <c r="A304" s="196" t="str">
        <f aca="false">IF(A303&lt;mthend,EDATE(A303,1),"")</f>
        <v/>
      </c>
      <c r="B304" s="197" t="str">
        <f aca="false">IF(A304&lt;mthend,B303,"")</f>
        <v/>
      </c>
      <c r="C304" s="215"/>
      <c r="D304" s="197" t="str">
        <f aca="false">IF(A305&lt;&gt;"",B304+C304,"")</f>
        <v/>
      </c>
      <c r="E304" s="199" t="str">
        <f aca="false">IF(A305="","",IF(AND(AT304=1,$H$3=1),D304*AO304,IF($H$3=2,D304,"N/A")))</f>
        <v/>
      </c>
      <c r="F304" s="199" t="str">
        <f aca="false">IF(A305="","",E304*AS304)</f>
        <v/>
      </c>
      <c r="G304" s="200" t="str">
        <f aca="false">IF($A305="","",VLOOKUP($A304,Table,MATCH(G$4,Curves,0)))</f>
        <v/>
      </c>
      <c r="H304" s="201" t="str">
        <f aca="false">IF(A305="","",G304)</f>
        <v/>
      </c>
      <c r="I304" s="202"/>
      <c r="J304" s="200" t="str">
        <f aca="false">IF($A305="","",VLOOKUP($A304,Table,MATCH(J$4,Curves,0)))</f>
        <v/>
      </c>
      <c r="K304" s="201" t="str">
        <f aca="false">IF(A305="","",J304)</f>
        <v/>
      </c>
      <c r="L304" s="200" t="str">
        <f aca="false">IF($A305="","",VLOOKUP($A304,Table,MATCH(L$4,Curves,0)))</f>
        <v/>
      </c>
      <c r="M304" s="201" t="str">
        <f aca="false">IF(A305="","",L304)</f>
        <v/>
      </c>
      <c r="N304" s="203"/>
      <c r="O304" s="200" t="str">
        <f aca="false">IF(A305="","",L304+J304+G304)</f>
        <v/>
      </c>
      <c r="P304" s="200" t="str">
        <f aca="false">IF(A305="","",M304+K304+H304)</f>
        <v/>
      </c>
      <c r="Q304" s="204"/>
      <c r="R304" s="200" t="str">
        <f aca="false">IF($A305="","",VLOOKUP($A304,Table,MATCH(R$4,Curves,0)))</f>
        <v/>
      </c>
      <c r="S304" s="201" t="str">
        <f aca="false">IF(A305="","",R304)</f>
        <v/>
      </c>
      <c r="T304" s="200" t="str">
        <f aca="false">IF($A305="","",VLOOKUP($A304,Table,MATCH(T$4,Curves,0)))</f>
        <v/>
      </c>
      <c r="U304" s="201" t="str">
        <f aca="false">IF(A305="","",T304)</f>
        <v/>
      </c>
      <c r="V304" s="225" t="str">
        <f aca="false">IF($A305="","",IF(AND(MONTH(A304)&gt;3,MONTH(A304)&lt;11),(T304+R304+G304)*Summary!$T$9/(1-Summary!$T$9),(T304+R304+G304)*Summary!$U$9/(1-Summary!$U$9)))</f>
        <v/>
      </c>
      <c r="W304" s="200" t="str">
        <f aca="false">IF($A305="","",(T304+R304+G304+V304))</f>
        <v/>
      </c>
      <c r="X304" s="200" t="str">
        <f aca="false">IF($A305="","",(U304+S304+H304+V304))</f>
        <v/>
      </c>
      <c r="Y304" s="202"/>
      <c r="Z304" s="185" t="str">
        <f aca="false">IF($A305="","",VLOOKUP($A304,Table,MATCH(Z$4,Curves,0)))</f>
        <v/>
      </c>
      <c r="AA304" s="185" t="str">
        <f aca="false">IF($A305="","",VLOOKUP($A304,Table,MATCH(AA$4,Curves,0)))</f>
        <v/>
      </c>
      <c r="AB304" s="185" t="e">
        <f aca="false">SQRT((AA304^2*(A304-$D$3)+Z304^2*(DAY(EOMONTH(A304,0))/2))/AK304)</f>
        <v>#VALUE!</v>
      </c>
      <c r="AC304" s="185" t="str">
        <f aca="false">IF($A305="","",VLOOKUP($A304,Table,MATCH(AC$4,Curves,0)))</f>
        <v/>
      </c>
      <c r="AD304" s="185" t="str">
        <f aca="false">IF($A305="","",VLOOKUP($A304,Table,MATCH(AD$4,Curves,0)))</f>
        <v/>
      </c>
      <c r="AE304" s="185" t="e">
        <f aca="false">SQRT((AD304^2*(A304-$D$3)+AC304^2*(DAY(EOMONTH(A304,0))/2))/AK304)</f>
        <v>#VALUE!</v>
      </c>
      <c r="AF304" s="224" t="e">
        <f aca="false">((Summary!$N$9*(AA304*AD304)*(A304-$D$3))+(Summary!$M$9*Z304*AC304*(AJ304-EOMONTH(EDATE(A304,-1),0))))/(AK304*AB304*AE304)</f>
        <v>#VALUE!</v>
      </c>
      <c r="AG304" s="207" t="str">
        <f aca="false">IF($A305="","",Summary!$Q$9)</f>
        <v/>
      </c>
      <c r="AH304" s="207" t="str">
        <f aca="false">IF($A305="","",IF(Summary!$R$9="Y",VLOOKUP($A304,Summary!$AD$6:$AF$9,3)+'Escalating commodity'!E317,'Escalating commodity'!E317))</f>
        <v/>
      </c>
      <c r="AI304" s="207" t="str">
        <f aca="false">IF($A305="","",AH304)</f>
        <v/>
      </c>
      <c r="AJ304" s="208" t="e">
        <f aca="false">A304+DAY(EOMONTH(A304,0))/2-1</f>
        <v>#VALUE!</v>
      </c>
      <c r="AK304" s="209" t="str">
        <f aca="false">IF($A305="","",$A304-$E$1)</f>
        <v/>
      </c>
      <c r="AL304" s="182" t="str">
        <f aca="false">IF($A305="","",SPRDOPT(P304,X304,AI304,0,AB304,AE304,AF304,AK304,$AJ$2,0))</f>
        <v/>
      </c>
      <c r="AM304" s="211" t="str">
        <f aca="false">IF($A305="","",MAX(0,O304-W304-AI304))</f>
        <v/>
      </c>
      <c r="AN304" s="211" t="str">
        <f aca="false">IF($A305="","",AL304-AM304)</f>
        <v/>
      </c>
      <c r="AO304" s="137" t="str">
        <f aca="false">IF(A305="","",A305-A304)</f>
        <v/>
      </c>
      <c r="AP304" s="212" t="str">
        <f aca="false">IF(A305="","",CHOOSE(F$3,A305+24,A304))</f>
        <v/>
      </c>
      <c r="AQ304" s="209" t="str">
        <f aca="false">IF(A305="","",AP304-$E$1)</f>
        <v/>
      </c>
      <c r="AR304" s="185" t="n">
        <f aca="false">'ANR OK vs ML7'!AR304</f>
        <v>0.1</v>
      </c>
      <c r="AS304" s="213" t="str">
        <f aca="false">IF(A305="","",1/(1+CHOOSE(F$3,(AR305+($I$3/10000))/2,(AR304+($I$3/10000))/2))^(2*AQ304/365.25))</f>
        <v/>
      </c>
      <c r="AT304" s="137" t="str">
        <f aca="false">IF(A305="","",IF(AND(mthbeg&lt;=A304,mthend&gt;=A304),1,0))</f>
        <v/>
      </c>
      <c r="AU304" s="137" t="str">
        <f aca="false">IF(A305="","",AO304*AT304)</f>
        <v/>
      </c>
      <c r="AW304" s="195" t="str">
        <f aca="false">IF($A305="","",AL304*$E304)</f>
        <v/>
      </c>
      <c r="AX304" s="195" t="str">
        <f aca="false">IF($A305="","",AM304*$E304)</f>
        <v/>
      </c>
      <c r="AY304" s="195" t="str">
        <f aca="false">IF($A305="","",AN304*$E304)</f>
        <v/>
      </c>
      <c r="BA304" s="195" t="str">
        <f aca="false">IF($A305="","",F304*Summary!$Q$9)</f>
        <v/>
      </c>
    </row>
    <row r="305" customFormat="false" ht="12" hidden="false" customHeight="true" outlineLevel="0" collapsed="false">
      <c r="A305" s="196" t="str">
        <f aca="false">IF(A304&lt;mthend,EDATE(A304,1),"")</f>
        <v/>
      </c>
      <c r="B305" s="197" t="str">
        <f aca="false">IF(A305&lt;mthend,B304,"")</f>
        <v/>
      </c>
      <c r="C305" s="215"/>
      <c r="D305" s="197" t="str">
        <f aca="false">IF(A306&lt;&gt;"",B305+C305,"")</f>
        <v/>
      </c>
      <c r="E305" s="199" t="str">
        <f aca="false">IF(A306="","",IF(AND(AT305=1,$H$3=1),D305*AO305,IF($H$3=2,D305,"N/A")))</f>
        <v/>
      </c>
      <c r="F305" s="199" t="str">
        <f aca="false">IF(A306="","",E305*AS305)</f>
        <v/>
      </c>
      <c r="G305" s="200" t="str">
        <f aca="false">IF($A306="","",VLOOKUP($A305,Table,MATCH(G$4,Curves,0)))</f>
        <v/>
      </c>
      <c r="H305" s="201" t="str">
        <f aca="false">IF(A306="","",G305)</f>
        <v/>
      </c>
      <c r="I305" s="202"/>
      <c r="J305" s="200" t="str">
        <f aca="false">IF($A306="","",VLOOKUP($A305,Table,MATCH(J$4,Curves,0)))</f>
        <v/>
      </c>
      <c r="K305" s="201" t="str">
        <f aca="false">IF(A306="","",J305)</f>
        <v/>
      </c>
      <c r="L305" s="200" t="str">
        <f aca="false">IF($A306="","",VLOOKUP($A305,Table,MATCH(L$4,Curves,0)))</f>
        <v/>
      </c>
      <c r="M305" s="201" t="str">
        <f aca="false">IF(A306="","",L305)</f>
        <v/>
      </c>
      <c r="N305" s="203"/>
      <c r="O305" s="200" t="str">
        <f aca="false">IF(A306="","",L305+J305+G305)</f>
        <v/>
      </c>
      <c r="P305" s="200" t="str">
        <f aca="false">IF(A306="","",M305+K305+H305)</f>
        <v/>
      </c>
      <c r="Q305" s="204"/>
      <c r="R305" s="200" t="str">
        <f aca="false">IF($A306="","",VLOOKUP($A305,Table,MATCH(R$4,Curves,0)))</f>
        <v/>
      </c>
      <c r="S305" s="201" t="str">
        <f aca="false">IF(A306="","",R305)</f>
        <v/>
      </c>
      <c r="T305" s="200" t="str">
        <f aca="false">IF($A306="","",VLOOKUP($A305,Table,MATCH(T$4,Curves,0)))</f>
        <v/>
      </c>
      <c r="U305" s="201" t="str">
        <f aca="false">IF(A306="","",T305)</f>
        <v/>
      </c>
      <c r="V305" s="225" t="str">
        <f aca="false">IF($A306="","",IF(AND(MONTH(A305)&gt;3,MONTH(A305)&lt;11),(T305+R305+G305)*Summary!$T$9/(1-Summary!$T$9),(T305+R305+G305)*Summary!$U$9/(1-Summary!$U$9)))</f>
        <v/>
      </c>
      <c r="W305" s="200" t="str">
        <f aca="false">IF($A306="","",(T305+R305+G305+V305))</f>
        <v/>
      </c>
      <c r="X305" s="200" t="str">
        <f aca="false">IF($A306="","",(U305+S305+H305+V305))</f>
        <v/>
      </c>
      <c r="Y305" s="202"/>
      <c r="Z305" s="185" t="str">
        <f aca="false">IF($A306="","",VLOOKUP($A305,Table,MATCH(Z$4,Curves,0)))</f>
        <v/>
      </c>
      <c r="AA305" s="185" t="str">
        <f aca="false">IF($A306="","",VLOOKUP($A305,Table,MATCH(AA$4,Curves,0)))</f>
        <v/>
      </c>
      <c r="AB305" s="185" t="e">
        <f aca="false">SQRT((AA305^2*(A305-$D$3)+Z305^2*(DAY(EOMONTH(A305,0))/2))/AK305)</f>
        <v>#VALUE!</v>
      </c>
      <c r="AC305" s="185" t="str">
        <f aca="false">IF($A306="","",VLOOKUP($A305,Table,MATCH(AC$4,Curves,0)))</f>
        <v/>
      </c>
      <c r="AD305" s="185" t="str">
        <f aca="false">IF($A306="","",VLOOKUP($A305,Table,MATCH(AD$4,Curves,0)))</f>
        <v/>
      </c>
      <c r="AE305" s="185" t="e">
        <f aca="false">SQRT((AD305^2*(A305-$D$3)+AC305^2*(DAY(EOMONTH(A305,0))/2))/AK305)</f>
        <v>#VALUE!</v>
      </c>
      <c r="AF305" s="224" t="e">
        <f aca="false">((Summary!$N$9*(AA305*AD305)*(A305-$D$3))+(Summary!$M$9*Z305*AC305*(AJ305-EOMONTH(EDATE(A305,-1),0))))/(AK305*AB305*AE305)</f>
        <v>#VALUE!</v>
      </c>
      <c r="AG305" s="207" t="str">
        <f aca="false">IF($A306="","",Summary!$Q$9)</f>
        <v/>
      </c>
      <c r="AH305" s="207" t="str">
        <f aca="false">IF($A306="","",IF(Summary!$R$9="Y",VLOOKUP($A305,Summary!$AD$6:$AF$9,3)+'Escalating commodity'!E318,'Escalating commodity'!E318))</f>
        <v/>
      </c>
      <c r="AI305" s="207" t="str">
        <f aca="false">IF($A306="","",AH305)</f>
        <v/>
      </c>
      <c r="AJ305" s="208" t="e">
        <f aca="false">A305+DAY(EOMONTH(A305,0))/2-1</f>
        <v>#VALUE!</v>
      </c>
      <c r="AK305" s="209" t="str">
        <f aca="false">IF($A306="","",$A305-$E$1)</f>
        <v/>
      </c>
      <c r="AL305" s="182" t="str">
        <f aca="false">IF($A306="","",SPRDOPT(P305,X305,AI305,0,AB305,AE305,AF305,AK305,$AJ$2,0))</f>
        <v/>
      </c>
      <c r="AM305" s="211" t="str">
        <f aca="false">IF($A306="","",MAX(0,O305-W305-AI305))</f>
        <v/>
      </c>
      <c r="AN305" s="211" t="str">
        <f aca="false">IF($A306="","",AL305-AM305)</f>
        <v/>
      </c>
      <c r="AO305" s="137" t="str">
        <f aca="false">IF(A306="","",A306-A305)</f>
        <v/>
      </c>
      <c r="AP305" s="212" t="str">
        <f aca="false">IF(A306="","",CHOOSE(F$3,A306+24,A305))</f>
        <v/>
      </c>
      <c r="AQ305" s="209" t="str">
        <f aca="false">IF(A306="","",AP305-$E$1)</f>
        <v/>
      </c>
      <c r="AR305" s="185" t="n">
        <f aca="false">'ANR OK vs ML7'!AR305</f>
        <v>0.1</v>
      </c>
      <c r="AS305" s="213" t="str">
        <f aca="false">IF(A306="","",1/(1+CHOOSE(F$3,(AR306+($I$3/10000))/2,(AR305+($I$3/10000))/2))^(2*AQ305/365.25))</f>
        <v/>
      </c>
      <c r="AT305" s="137" t="str">
        <f aca="false">IF(A306="","",IF(AND(mthbeg&lt;=A305,mthend&gt;=A305),1,0))</f>
        <v/>
      </c>
      <c r="AU305" s="137" t="str">
        <f aca="false">IF(A306="","",AO305*AT305)</f>
        <v/>
      </c>
      <c r="AW305" s="195" t="str">
        <f aca="false">IF($A306="","",AL305*$E305)</f>
        <v/>
      </c>
      <c r="AX305" s="195" t="str">
        <f aca="false">IF($A306="","",AM305*$E305)</f>
        <v/>
      </c>
      <c r="AY305" s="195" t="str">
        <f aca="false">IF($A306="","",AN305*$E305)</f>
        <v/>
      </c>
      <c r="BA305" s="195" t="str">
        <f aca="false">IF($A306="","",F305*Summary!$Q$9)</f>
        <v/>
      </c>
    </row>
    <row r="306" customFormat="false" ht="12" hidden="false" customHeight="true" outlineLevel="0" collapsed="false">
      <c r="A306" s="196" t="str">
        <f aca="false">IF(A305&lt;mthend,EDATE(A305,1),"")</f>
        <v/>
      </c>
      <c r="B306" s="197" t="str">
        <f aca="false">IF(A306&lt;mthend,B305,"")</f>
        <v/>
      </c>
      <c r="C306" s="215"/>
      <c r="D306" s="197" t="str">
        <f aca="false">IF(A307&lt;&gt;"",B306+C306,"")</f>
        <v/>
      </c>
      <c r="E306" s="199" t="str">
        <f aca="false">IF(A307="","",IF(AND(AT306=1,$H$3=1),D306*AO306,IF($H$3=2,D306,"N/A")))</f>
        <v/>
      </c>
      <c r="F306" s="199" t="str">
        <f aca="false">IF(A307="","",E306*AS306)</f>
        <v/>
      </c>
      <c r="G306" s="200" t="str">
        <f aca="false">IF($A307="","",VLOOKUP($A306,Table,MATCH(G$4,Curves,0)))</f>
        <v/>
      </c>
      <c r="H306" s="201" t="str">
        <f aca="false">IF(A307="","",G306)</f>
        <v/>
      </c>
      <c r="I306" s="202"/>
      <c r="J306" s="200" t="str">
        <f aca="false">IF($A307="","",VLOOKUP($A306,Table,MATCH(J$4,Curves,0)))</f>
        <v/>
      </c>
      <c r="K306" s="201" t="str">
        <f aca="false">IF(A307="","",J306)</f>
        <v/>
      </c>
      <c r="L306" s="200" t="str">
        <f aca="false">IF($A307="","",VLOOKUP($A306,Table,MATCH(L$4,Curves,0)))</f>
        <v/>
      </c>
      <c r="M306" s="201" t="str">
        <f aca="false">IF(A307="","",L306)</f>
        <v/>
      </c>
      <c r="N306" s="203"/>
      <c r="O306" s="200" t="str">
        <f aca="false">IF(A307="","",L306+J306+G306)</f>
        <v/>
      </c>
      <c r="P306" s="200" t="str">
        <f aca="false">IF(A307="","",M306+K306+H306)</f>
        <v/>
      </c>
      <c r="Q306" s="204"/>
      <c r="R306" s="200" t="str">
        <f aca="false">IF($A307="","",VLOOKUP($A306,Table,MATCH(R$4,Curves,0)))</f>
        <v/>
      </c>
      <c r="S306" s="201" t="str">
        <f aca="false">IF(A307="","",R306)</f>
        <v/>
      </c>
      <c r="T306" s="200" t="str">
        <f aca="false">IF($A307="","",VLOOKUP($A306,Table,MATCH(T$4,Curves,0)))</f>
        <v/>
      </c>
      <c r="U306" s="201" t="str">
        <f aca="false">IF(A307="","",T306)</f>
        <v/>
      </c>
      <c r="V306" s="225" t="str">
        <f aca="false">IF($A307="","",IF(AND(MONTH(A306)&gt;3,MONTH(A306)&lt;11),(T306+R306+G306)*Summary!$T$9/(1-Summary!$T$9),(T306+R306+G306)*Summary!$U$9/(1-Summary!$U$9)))</f>
        <v/>
      </c>
      <c r="W306" s="200" t="str">
        <f aca="false">IF($A307="","",(T306+R306+G306+V306))</f>
        <v/>
      </c>
      <c r="X306" s="200" t="str">
        <f aca="false">IF($A307="","",(U306+S306+H306+V306))</f>
        <v/>
      </c>
      <c r="Y306" s="202"/>
      <c r="Z306" s="185" t="str">
        <f aca="false">IF($A307="","",VLOOKUP($A306,Table,MATCH(Z$4,Curves,0)))</f>
        <v/>
      </c>
      <c r="AA306" s="185" t="str">
        <f aca="false">IF($A307="","",VLOOKUP($A306,Table,MATCH(AA$4,Curves,0)))</f>
        <v/>
      </c>
      <c r="AB306" s="185" t="e">
        <f aca="false">SQRT((AA306^2*(A306-$D$3)+Z306^2*(DAY(EOMONTH(A306,0))/2))/AK306)</f>
        <v>#VALUE!</v>
      </c>
      <c r="AC306" s="185" t="str">
        <f aca="false">IF($A307="","",VLOOKUP($A306,Table,MATCH(AC$4,Curves,0)))</f>
        <v/>
      </c>
      <c r="AD306" s="185" t="str">
        <f aca="false">IF($A307="","",VLOOKUP($A306,Table,MATCH(AD$4,Curves,0)))</f>
        <v/>
      </c>
      <c r="AE306" s="185" t="e">
        <f aca="false">SQRT((AD306^2*(A306-$D$3)+AC306^2*(DAY(EOMONTH(A306,0))/2))/AK306)</f>
        <v>#VALUE!</v>
      </c>
      <c r="AF306" s="224" t="e">
        <f aca="false">((Summary!$N$9*(AA306*AD306)*(A306-$D$3))+(Summary!$M$9*Z306*AC306*(AJ306-EOMONTH(EDATE(A306,-1),0))))/(AK306*AB306*AE306)</f>
        <v>#VALUE!</v>
      </c>
      <c r="AG306" s="207" t="str">
        <f aca="false">IF($A307="","",Summary!$Q$9)</f>
        <v/>
      </c>
      <c r="AH306" s="207" t="str">
        <f aca="false">IF($A307="","",IF(Summary!$R$9="Y",VLOOKUP($A306,Summary!$AD$6:$AF$9,3)+'Escalating commodity'!E319,'Escalating commodity'!E319))</f>
        <v/>
      </c>
      <c r="AI306" s="207" t="str">
        <f aca="false">IF($A307="","",AH306)</f>
        <v/>
      </c>
      <c r="AJ306" s="208" t="e">
        <f aca="false">A306+DAY(EOMONTH(A306,0))/2-1</f>
        <v>#VALUE!</v>
      </c>
      <c r="AK306" s="209" t="str">
        <f aca="false">IF($A307="","",$A306-$E$1)</f>
        <v/>
      </c>
      <c r="AL306" s="182" t="str">
        <f aca="false">IF($A307="","",SPRDOPT(P306,X306,AI306,0,AB306,AE306,AF306,AK306,$AJ$2,0))</f>
        <v/>
      </c>
      <c r="AM306" s="211" t="str">
        <f aca="false">IF($A307="","",MAX(0,O306-W306-AI306))</f>
        <v/>
      </c>
      <c r="AN306" s="211" t="str">
        <f aca="false">IF($A307="","",AL306-AM306)</f>
        <v/>
      </c>
      <c r="AO306" s="137" t="str">
        <f aca="false">IF(A307="","",A307-A306)</f>
        <v/>
      </c>
      <c r="AP306" s="212" t="str">
        <f aca="false">IF(A307="","",CHOOSE(F$3,A307+24,A306))</f>
        <v/>
      </c>
      <c r="AQ306" s="209" t="str">
        <f aca="false">IF(A307="","",AP306-$E$1)</f>
        <v/>
      </c>
      <c r="AR306" s="185" t="n">
        <f aca="false">'ANR OK vs ML7'!AR306</f>
        <v>0.1</v>
      </c>
      <c r="AS306" s="213" t="str">
        <f aca="false">IF(A307="","",1/(1+CHOOSE(F$3,(AR307+($I$3/10000))/2,(AR306+($I$3/10000))/2))^(2*AQ306/365.25))</f>
        <v/>
      </c>
      <c r="AT306" s="137" t="str">
        <f aca="false">IF(A307="","",IF(AND(mthbeg&lt;=A306,mthend&gt;=A306),1,0))</f>
        <v/>
      </c>
      <c r="AU306" s="137" t="str">
        <f aca="false">IF(A307="","",AO306*AT306)</f>
        <v/>
      </c>
      <c r="AW306" s="195" t="str">
        <f aca="false">IF($A307="","",AL306*$E306)</f>
        <v/>
      </c>
      <c r="AX306" s="195" t="str">
        <f aca="false">IF($A307="","",AM306*$E306)</f>
        <v/>
      </c>
      <c r="AY306" s="195" t="str">
        <f aca="false">IF($A307="","",AN306*$E306)</f>
        <v/>
      </c>
      <c r="BA306" s="195" t="str">
        <f aca="false">IF($A307="","",F306*Summary!$Q$9)</f>
        <v/>
      </c>
    </row>
    <row r="307" customFormat="false" ht="12" hidden="false" customHeight="true" outlineLevel="0" collapsed="false">
      <c r="A307" s="196" t="str">
        <f aca="false">IF(A306&lt;mthend,EDATE(A306,1),"")</f>
        <v/>
      </c>
      <c r="B307" s="197" t="str">
        <f aca="false">IF(A307&lt;mthend,B306,"")</f>
        <v/>
      </c>
      <c r="C307" s="215"/>
      <c r="D307" s="197" t="str">
        <f aca="false">IF(A308&lt;&gt;"",B307+C307,"")</f>
        <v/>
      </c>
      <c r="E307" s="199" t="str">
        <f aca="false">IF(A308="","",IF(AND(AT307=1,$H$3=1),D307*AO307,IF($H$3=2,D307,"N/A")))</f>
        <v/>
      </c>
      <c r="F307" s="199" t="str">
        <f aca="false">IF(A308="","",E307*AS307)</f>
        <v/>
      </c>
      <c r="G307" s="200" t="str">
        <f aca="false">IF($A308="","",VLOOKUP($A307,Table,MATCH(G$4,Curves,0)))</f>
        <v/>
      </c>
      <c r="H307" s="201" t="str">
        <f aca="false">IF(A308="","",G307)</f>
        <v/>
      </c>
      <c r="I307" s="202"/>
      <c r="J307" s="200" t="str">
        <f aca="false">IF($A308="","",VLOOKUP($A307,Table,MATCH(J$4,Curves,0)))</f>
        <v/>
      </c>
      <c r="K307" s="201" t="str">
        <f aca="false">IF(A308="","",J307)</f>
        <v/>
      </c>
      <c r="L307" s="200" t="str">
        <f aca="false">IF($A308="","",VLOOKUP($A307,Table,MATCH(L$4,Curves,0)))</f>
        <v/>
      </c>
      <c r="M307" s="201" t="str">
        <f aca="false">IF(A308="","",L307)</f>
        <v/>
      </c>
      <c r="N307" s="203"/>
      <c r="O307" s="200" t="str">
        <f aca="false">IF(A308="","",L307+J307+G307)</f>
        <v/>
      </c>
      <c r="P307" s="200" t="str">
        <f aca="false">IF(A308="","",M307+K307+H307)</f>
        <v/>
      </c>
      <c r="Q307" s="204"/>
      <c r="R307" s="200" t="str">
        <f aca="false">IF($A308="","",VLOOKUP($A307,Table,MATCH(R$4,Curves,0)))</f>
        <v/>
      </c>
      <c r="S307" s="201" t="str">
        <f aca="false">IF(A308="","",R307)</f>
        <v/>
      </c>
      <c r="T307" s="200" t="str">
        <f aca="false">IF($A308="","",VLOOKUP($A307,Table,MATCH(T$4,Curves,0)))</f>
        <v/>
      </c>
      <c r="U307" s="201" t="str">
        <f aca="false">IF(A308="","",T307)</f>
        <v/>
      </c>
      <c r="V307" s="225" t="str">
        <f aca="false">IF($A308="","",IF(AND(MONTH(A307)&gt;3,MONTH(A307)&lt;11),(T307+R307+G307)*Summary!$T$9/(1-Summary!$T$9),(T307+R307+G307)*Summary!$U$9/(1-Summary!$U$9)))</f>
        <v/>
      </c>
      <c r="W307" s="200" t="str">
        <f aca="false">IF($A308="","",(T307+R307+G307+V307))</f>
        <v/>
      </c>
      <c r="X307" s="200" t="str">
        <f aca="false">IF($A308="","",(U307+S307+H307+V307))</f>
        <v/>
      </c>
      <c r="Y307" s="202"/>
      <c r="Z307" s="185" t="str">
        <f aca="false">IF($A308="","",VLOOKUP($A307,Table,MATCH(Z$4,Curves,0)))</f>
        <v/>
      </c>
      <c r="AA307" s="185" t="str">
        <f aca="false">IF($A308="","",VLOOKUP($A307,Table,MATCH(AA$4,Curves,0)))</f>
        <v/>
      </c>
      <c r="AB307" s="185" t="e">
        <f aca="false">SQRT((AA307^2*(A307-$D$3)+Z307^2*(DAY(EOMONTH(A307,0))/2))/AK307)</f>
        <v>#VALUE!</v>
      </c>
      <c r="AC307" s="185" t="str">
        <f aca="false">IF($A308="","",VLOOKUP($A307,Table,MATCH(AC$4,Curves,0)))</f>
        <v/>
      </c>
      <c r="AD307" s="185" t="str">
        <f aca="false">IF($A308="","",VLOOKUP($A307,Table,MATCH(AD$4,Curves,0)))</f>
        <v/>
      </c>
      <c r="AE307" s="185" t="e">
        <f aca="false">SQRT((AD307^2*(A307-$D$3)+AC307^2*(DAY(EOMONTH(A307,0))/2))/AK307)</f>
        <v>#VALUE!</v>
      </c>
      <c r="AF307" s="224" t="e">
        <f aca="false">((Summary!$N$9*(AA307*AD307)*(A307-$D$3))+(Summary!$M$9*Z307*AC307*(AJ307-EOMONTH(EDATE(A307,-1),0))))/(AK307*AB307*AE307)</f>
        <v>#VALUE!</v>
      </c>
      <c r="AG307" s="207" t="str">
        <f aca="false">IF($A308="","",Summary!$Q$9)</f>
        <v/>
      </c>
      <c r="AH307" s="207" t="str">
        <f aca="false">IF($A308="","",IF(Summary!$R$9="Y",VLOOKUP($A307,Summary!$AD$6:$AF$9,3)+'Escalating commodity'!E320,'Escalating commodity'!E320))</f>
        <v/>
      </c>
      <c r="AI307" s="207" t="str">
        <f aca="false">IF($A308="","",AH307)</f>
        <v/>
      </c>
      <c r="AJ307" s="208" t="e">
        <f aca="false">A307+DAY(EOMONTH(A307,0))/2-1</f>
        <v>#VALUE!</v>
      </c>
      <c r="AK307" s="209" t="str">
        <f aca="false">IF($A308="","",$A307-$E$1)</f>
        <v/>
      </c>
      <c r="AL307" s="182" t="str">
        <f aca="false">IF($A308="","",SPRDOPT(P307,X307,AI307,0,AB307,AE307,AF307,AK307,$AJ$2,0))</f>
        <v/>
      </c>
      <c r="AM307" s="211" t="str">
        <f aca="false">IF($A308="","",MAX(0,O307-W307-AI307))</f>
        <v/>
      </c>
      <c r="AN307" s="211" t="str">
        <f aca="false">IF($A308="","",AL307-AM307)</f>
        <v/>
      </c>
      <c r="AO307" s="137" t="str">
        <f aca="false">IF(A308="","",A308-A307)</f>
        <v/>
      </c>
      <c r="AP307" s="212" t="str">
        <f aca="false">IF(A308="","",CHOOSE(F$3,A308+24,A307))</f>
        <v/>
      </c>
      <c r="AQ307" s="209" t="str">
        <f aca="false">IF(A308="","",AP307-$E$1)</f>
        <v/>
      </c>
      <c r="AR307" s="185" t="n">
        <f aca="false">'ANR OK vs ML7'!AR307</f>
        <v>0.1</v>
      </c>
      <c r="AS307" s="213" t="str">
        <f aca="false">IF(A308="","",1/(1+CHOOSE(F$3,(AR308+($I$3/10000))/2,(AR307+($I$3/10000))/2))^(2*AQ307/365.25))</f>
        <v/>
      </c>
      <c r="AT307" s="137" t="str">
        <f aca="false">IF(A308="","",IF(AND(mthbeg&lt;=A307,mthend&gt;=A307),1,0))</f>
        <v/>
      </c>
      <c r="AU307" s="137" t="str">
        <f aca="false">IF(A308="","",AO307*AT307)</f>
        <v/>
      </c>
      <c r="AW307" s="195" t="str">
        <f aca="false">IF($A308="","",AL307*$E307)</f>
        <v/>
      </c>
      <c r="AX307" s="195" t="str">
        <f aca="false">IF($A308="","",AM307*$E307)</f>
        <v/>
      </c>
      <c r="AY307" s="195" t="str">
        <f aca="false">IF($A308="","",AN307*$E307)</f>
        <v/>
      </c>
      <c r="BA307" s="195" t="str">
        <f aca="false">IF($A308="","",F307*Summary!$Q$9)</f>
        <v/>
      </c>
    </row>
    <row r="308" customFormat="false" ht="12" hidden="false" customHeight="true" outlineLevel="0" collapsed="false">
      <c r="A308" s="196" t="str">
        <f aca="false">IF(A307&lt;mthend,EDATE(A307,1),"")</f>
        <v/>
      </c>
      <c r="B308" s="197" t="str">
        <f aca="false">IF(A308&lt;mthend,B307,"")</f>
        <v/>
      </c>
      <c r="C308" s="215"/>
      <c r="D308" s="197" t="str">
        <f aca="false">IF(A309&lt;&gt;"",B308+C308,"")</f>
        <v/>
      </c>
      <c r="E308" s="199" t="str">
        <f aca="false">IF(A309="","",IF(AND(AT308=1,$H$3=1),D308*AO308,IF($H$3=2,D308,"N/A")))</f>
        <v/>
      </c>
      <c r="F308" s="199" t="str">
        <f aca="false">IF(A309="","",E308*AS308)</f>
        <v/>
      </c>
      <c r="G308" s="200" t="str">
        <f aca="false">IF($A309="","",VLOOKUP($A308,Table,MATCH(G$4,Curves,0)))</f>
        <v/>
      </c>
      <c r="H308" s="201" t="str">
        <f aca="false">IF(A309="","",G308)</f>
        <v/>
      </c>
      <c r="I308" s="202"/>
      <c r="J308" s="200" t="str">
        <f aca="false">IF($A309="","",VLOOKUP($A308,Table,MATCH(J$4,Curves,0)))</f>
        <v/>
      </c>
      <c r="K308" s="201" t="str">
        <f aca="false">IF(A309="","",J308)</f>
        <v/>
      </c>
      <c r="L308" s="200" t="str">
        <f aca="false">IF($A309="","",VLOOKUP($A308,Table,MATCH(L$4,Curves,0)))</f>
        <v/>
      </c>
      <c r="M308" s="201" t="str">
        <f aca="false">IF(A309="","",L308)</f>
        <v/>
      </c>
      <c r="N308" s="203"/>
      <c r="O308" s="200" t="str">
        <f aca="false">IF(A309="","",L308+J308+G308)</f>
        <v/>
      </c>
      <c r="P308" s="200" t="str">
        <f aca="false">IF(A309="","",M308+K308+H308)</f>
        <v/>
      </c>
      <c r="Q308" s="204"/>
      <c r="R308" s="200" t="str">
        <f aca="false">IF($A309="","",VLOOKUP($A308,Table,MATCH(R$4,Curves,0)))</f>
        <v/>
      </c>
      <c r="S308" s="201" t="str">
        <f aca="false">IF(A309="","",R308)</f>
        <v/>
      </c>
      <c r="T308" s="200" t="str">
        <f aca="false">IF($A309="","",VLOOKUP($A308,Table,MATCH(T$4,Curves,0)))</f>
        <v/>
      </c>
      <c r="U308" s="201" t="str">
        <f aca="false">IF(A309="","",T308)</f>
        <v/>
      </c>
      <c r="V308" s="225" t="str">
        <f aca="false">IF($A309="","",IF(AND(MONTH(A308)&gt;3,MONTH(A308)&lt;11),(T308+R308+G308)*Summary!$T$9/(1-Summary!$T$9),(T308+R308+G308)*Summary!$U$9/(1-Summary!$U$9)))</f>
        <v/>
      </c>
      <c r="W308" s="200" t="str">
        <f aca="false">IF($A309="","",(T308+R308+G308+V308))</f>
        <v/>
      </c>
      <c r="X308" s="200" t="str">
        <f aca="false">IF($A309="","",(U308+S308+H308+V308))</f>
        <v/>
      </c>
      <c r="Y308" s="202"/>
      <c r="Z308" s="185" t="str">
        <f aca="false">IF($A309="","",VLOOKUP($A308,Table,MATCH(Z$4,Curves,0)))</f>
        <v/>
      </c>
      <c r="AA308" s="185" t="str">
        <f aca="false">IF($A309="","",VLOOKUP($A308,Table,MATCH(AA$4,Curves,0)))</f>
        <v/>
      </c>
      <c r="AB308" s="185" t="e">
        <f aca="false">SQRT((AA308^2*(A308-$D$3)+Z308^2*(DAY(EOMONTH(A308,0))/2))/AK308)</f>
        <v>#VALUE!</v>
      </c>
      <c r="AC308" s="185" t="str">
        <f aca="false">IF($A309="","",VLOOKUP($A308,Table,MATCH(AC$4,Curves,0)))</f>
        <v/>
      </c>
      <c r="AD308" s="185" t="str">
        <f aca="false">IF($A309="","",VLOOKUP($A308,Table,MATCH(AD$4,Curves,0)))</f>
        <v/>
      </c>
      <c r="AE308" s="185" t="e">
        <f aca="false">SQRT((AD308^2*(A308-$D$3)+AC308^2*(DAY(EOMONTH(A308,0))/2))/AK308)</f>
        <v>#VALUE!</v>
      </c>
      <c r="AF308" s="224" t="e">
        <f aca="false">((Summary!$N$9*(AA308*AD308)*(A308-$D$3))+(Summary!$M$9*Z308*AC308*(AJ308-EOMONTH(EDATE(A308,-1),0))))/(AK308*AB308*AE308)</f>
        <v>#VALUE!</v>
      </c>
      <c r="AG308" s="207" t="str">
        <f aca="false">IF($A309="","",Summary!$Q$9)</f>
        <v/>
      </c>
      <c r="AH308" s="207" t="str">
        <f aca="false">IF($A309="","",IF(Summary!$R$9="Y",VLOOKUP($A308,Summary!$AD$6:$AF$9,3)+'Escalating commodity'!E321,'Escalating commodity'!E321))</f>
        <v/>
      </c>
      <c r="AI308" s="207" t="str">
        <f aca="false">IF($A309="","",AH308)</f>
        <v/>
      </c>
      <c r="AJ308" s="208" t="e">
        <f aca="false">A308+DAY(EOMONTH(A308,0))/2-1</f>
        <v>#VALUE!</v>
      </c>
      <c r="AK308" s="209" t="str">
        <f aca="false">IF($A309="","",$A308-$E$1)</f>
        <v/>
      </c>
      <c r="AL308" s="182" t="str">
        <f aca="false">IF($A309="","",SPRDOPT(P308,X308,AI308,0,AB308,AE308,AF308,AK308,$AJ$2,0))</f>
        <v/>
      </c>
      <c r="AM308" s="211" t="str">
        <f aca="false">IF($A309="","",MAX(0,O308-W308-AI308))</f>
        <v/>
      </c>
      <c r="AN308" s="211" t="str">
        <f aca="false">IF($A309="","",AL308-AM308)</f>
        <v/>
      </c>
      <c r="AO308" s="137" t="str">
        <f aca="false">IF(A309="","",A309-A308)</f>
        <v/>
      </c>
      <c r="AP308" s="212" t="str">
        <f aca="false">IF(A309="","",CHOOSE(F$3,A309+24,A308))</f>
        <v/>
      </c>
      <c r="AQ308" s="209" t="str">
        <f aca="false">IF(A309="","",AP308-$E$1)</f>
        <v/>
      </c>
      <c r="AR308" s="185" t="n">
        <f aca="false">'ANR OK vs ML7'!AR308</f>
        <v>0.1</v>
      </c>
      <c r="AS308" s="213" t="str">
        <f aca="false">IF(A309="","",1/(1+CHOOSE(F$3,(AR309+($I$3/10000))/2,(AR308+($I$3/10000))/2))^(2*AQ308/365.25))</f>
        <v/>
      </c>
      <c r="AT308" s="137" t="str">
        <f aca="false">IF(A309="","",IF(AND(mthbeg&lt;=A308,mthend&gt;=A308),1,0))</f>
        <v/>
      </c>
      <c r="AU308" s="137" t="str">
        <f aca="false">IF(A309="","",AO308*AT308)</f>
        <v/>
      </c>
      <c r="AW308" s="195" t="str">
        <f aca="false">IF($A309="","",AL308*$E308)</f>
        <v/>
      </c>
      <c r="AX308" s="195" t="str">
        <f aca="false">IF($A309="","",AM308*$E308)</f>
        <v/>
      </c>
      <c r="AY308" s="195" t="str">
        <f aca="false">IF($A309="","",AN308*$E308)</f>
        <v/>
      </c>
      <c r="BA308" s="195" t="str">
        <f aca="false">IF($A309="","",F308*Summary!$Q$9)</f>
        <v/>
      </c>
    </row>
    <row r="309" customFormat="false" ht="12" hidden="false" customHeight="true" outlineLevel="0" collapsed="false">
      <c r="A309" s="196" t="str">
        <f aca="false">IF(A308&lt;mthend,EDATE(A308,1),"")</f>
        <v/>
      </c>
      <c r="B309" s="197" t="str">
        <f aca="false">IF(A309&lt;mthend,B308,"")</f>
        <v/>
      </c>
      <c r="C309" s="215"/>
      <c r="D309" s="197" t="str">
        <f aca="false">IF(A310&lt;&gt;"",B309+C309,"")</f>
        <v/>
      </c>
      <c r="E309" s="199" t="str">
        <f aca="false">IF(A310="","",IF(AND(AT309=1,$H$3=1),D309*AO309,IF($H$3=2,D309,"N/A")))</f>
        <v/>
      </c>
      <c r="F309" s="199" t="str">
        <f aca="false">IF(A310="","",E309*AS309)</f>
        <v/>
      </c>
      <c r="G309" s="200" t="str">
        <f aca="false">IF($A310="","",VLOOKUP($A309,Table,MATCH(G$4,Curves,0)))</f>
        <v/>
      </c>
      <c r="H309" s="201" t="str">
        <f aca="false">IF(A310="","",G309)</f>
        <v/>
      </c>
      <c r="I309" s="202"/>
      <c r="J309" s="200" t="str">
        <f aca="false">IF($A310="","",VLOOKUP($A309,Table,MATCH(J$4,Curves,0)))</f>
        <v/>
      </c>
      <c r="K309" s="201" t="str">
        <f aca="false">IF(A310="","",J309)</f>
        <v/>
      </c>
      <c r="L309" s="200" t="str">
        <f aca="false">IF($A310="","",VLOOKUP($A309,Table,MATCH(L$4,Curves,0)))</f>
        <v/>
      </c>
      <c r="M309" s="201" t="str">
        <f aca="false">IF(A310="","",L309)</f>
        <v/>
      </c>
      <c r="N309" s="203"/>
      <c r="O309" s="200" t="str">
        <f aca="false">IF(A310="","",L309+J309+G309)</f>
        <v/>
      </c>
      <c r="P309" s="200" t="str">
        <f aca="false">IF(A310="","",M309+K309+H309)</f>
        <v/>
      </c>
      <c r="Q309" s="204"/>
      <c r="R309" s="200" t="str">
        <f aca="false">IF($A310="","",VLOOKUP($A309,Table,MATCH(R$4,Curves,0)))</f>
        <v/>
      </c>
      <c r="S309" s="201" t="str">
        <f aca="false">IF(A310="","",R309)</f>
        <v/>
      </c>
      <c r="T309" s="200" t="str">
        <f aca="false">IF($A310="","",VLOOKUP($A309,Table,MATCH(T$4,Curves,0)))</f>
        <v/>
      </c>
      <c r="U309" s="201" t="str">
        <f aca="false">IF(A310="","",T309)</f>
        <v/>
      </c>
      <c r="V309" s="225" t="str">
        <f aca="false">IF($A310="","",IF(AND(MONTH(A309)&gt;3,MONTH(A309)&lt;11),(T309+R309+G309)*Summary!$T$9/(1-Summary!$T$9),(T309+R309+G309)*Summary!$U$9/(1-Summary!$U$9)))</f>
        <v/>
      </c>
      <c r="W309" s="200" t="str">
        <f aca="false">IF($A310="","",(T309+R309+G309+V309))</f>
        <v/>
      </c>
      <c r="X309" s="200" t="str">
        <f aca="false">IF($A310="","",(U309+S309+H309+V309))</f>
        <v/>
      </c>
      <c r="Y309" s="202"/>
      <c r="Z309" s="185" t="str">
        <f aca="false">IF($A310="","",VLOOKUP($A309,Table,MATCH(Z$4,Curves,0)))</f>
        <v/>
      </c>
      <c r="AA309" s="185" t="str">
        <f aca="false">IF($A310="","",VLOOKUP($A309,Table,MATCH(AA$4,Curves,0)))</f>
        <v/>
      </c>
      <c r="AB309" s="185" t="e">
        <f aca="false">SQRT((AA309^2*(A309-$D$3)+Z309^2*(DAY(EOMONTH(A309,0))/2))/AK309)</f>
        <v>#VALUE!</v>
      </c>
      <c r="AC309" s="185" t="str">
        <f aca="false">IF($A310="","",VLOOKUP($A309,Table,MATCH(AC$4,Curves,0)))</f>
        <v/>
      </c>
      <c r="AD309" s="185" t="str">
        <f aca="false">IF($A310="","",VLOOKUP($A309,Table,MATCH(AD$4,Curves,0)))</f>
        <v/>
      </c>
      <c r="AE309" s="185" t="e">
        <f aca="false">SQRT((AD309^2*(A309-$D$3)+AC309^2*(DAY(EOMONTH(A309,0))/2))/AK309)</f>
        <v>#VALUE!</v>
      </c>
      <c r="AF309" s="224" t="e">
        <f aca="false">((Summary!$N$9*(AA309*AD309)*(A309-$D$3))+(Summary!$M$9*Z309*AC309*(AJ309-EOMONTH(EDATE(A309,-1),0))))/(AK309*AB309*AE309)</f>
        <v>#VALUE!</v>
      </c>
      <c r="AG309" s="207" t="str">
        <f aca="false">IF($A310="","",Summary!$Q$9)</f>
        <v/>
      </c>
      <c r="AH309" s="207" t="str">
        <f aca="false">IF($A310="","",IF(Summary!$R$9="Y",VLOOKUP($A309,Summary!$AD$6:$AF$9,3)+'Escalating commodity'!E322,'Escalating commodity'!E322))</f>
        <v/>
      </c>
      <c r="AI309" s="207" t="str">
        <f aca="false">IF($A310="","",AH309)</f>
        <v/>
      </c>
      <c r="AJ309" s="208" t="e">
        <f aca="false">A309+DAY(EOMONTH(A309,0))/2-1</f>
        <v>#VALUE!</v>
      </c>
      <c r="AK309" s="209" t="str">
        <f aca="false">IF($A310="","",$A309-$E$1)</f>
        <v/>
      </c>
      <c r="AL309" s="182" t="str">
        <f aca="false">IF($A310="","",SPRDOPT(P309,X309,AI309,0,AB309,AE309,AF309,AK309,$AJ$2,0))</f>
        <v/>
      </c>
      <c r="AM309" s="211" t="str">
        <f aca="false">IF($A310="","",MAX(0,O309-W309-AI309))</f>
        <v/>
      </c>
      <c r="AN309" s="211" t="str">
        <f aca="false">IF($A310="","",AL309-AM309)</f>
        <v/>
      </c>
      <c r="AO309" s="137" t="str">
        <f aca="false">IF(A310="","",A310-A309)</f>
        <v/>
      </c>
      <c r="AP309" s="212" t="str">
        <f aca="false">IF(A310="","",CHOOSE(F$3,A310+24,A309))</f>
        <v/>
      </c>
      <c r="AQ309" s="209" t="str">
        <f aca="false">IF(A310="","",AP309-$E$1)</f>
        <v/>
      </c>
      <c r="AR309" s="185" t="n">
        <f aca="false">'ANR OK vs ML7'!AR309</f>
        <v>0.1</v>
      </c>
      <c r="AS309" s="213" t="str">
        <f aca="false">IF(A310="","",1/(1+CHOOSE(F$3,(AR310+($I$3/10000))/2,(AR309+($I$3/10000))/2))^(2*AQ309/365.25))</f>
        <v/>
      </c>
      <c r="AT309" s="137" t="str">
        <f aca="false">IF(A310="","",IF(AND(mthbeg&lt;=A309,mthend&gt;=A309),1,0))</f>
        <v/>
      </c>
      <c r="AU309" s="137" t="str">
        <f aca="false">IF(A310="","",AO309*AT309)</f>
        <v/>
      </c>
      <c r="AW309" s="195" t="str">
        <f aca="false">IF($A310="","",AL309*$E309)</f>
        <v/>
      </c>
      <c r="AX309" s="195" t="str">
        <f aca="false">IF($A310="","",AM309*$E309)</f>
        <v/>
      </c>
      <c r="AY309" s="195" t="str">
        <f aca="false">IF($A310="","",AN309*$E309)</f>
        <v/>
      </c>
      <c r="BA309" s="195" t="str">
        <f aca="false">IF($A310="","",F309*Summary!$Q$9)</f>
        <v/>
      </c>
    </row>
    <row r="310" customFormat="false" ht="12" hidden="false" customHeight="true" outlineLevel="0" collapsed="false">
      <c r="A310" s="196" t="str">
        <f aca="false">IF(A309&lt;mthend,EDATE(A309,1),"")</f>
        <v/>
      </c>
      <c r="B310" s="197" t="str">
        <f aca="false">IF(A310&lt;mthend,B309,"")</f>
        <v/>
      </c>
      <c r="C310" s="215"/>
      <c r="D310" s="197" t="str">
        <f aca="false">IF(A311&lt;&gt;"",B310+C310,"")</f>
        <v/>
      </c>
      <c r="E310" s="199" t="str">
        <f aca="false">IF(A311="","",IF(AND(AT310=1,$H$3=1),D310*AO310,IF($H$3=2,D310,"N/A")))</f>
        <v/>
      </c>
      <c r="F310" s="199" t="str">
        <f aca="false">IF(A311="","",E310*AS310)</f>
        <v/>
      </c>
      <c r="G310" s="200" t="str">
        <f aca="false">IF($A311="","",VLOOKUP($A310,Table,MATCH(G$4,Curves,0)))</f>
        <v/>
      </c>
      <c r="H310" s="201" t="str">
        <f aca="false">IF(A311="","",G310)</f>
        <v/>
      </c>
      <c r="I310" s="202"/>
      <c r="J310" s="200" t="str">
        <f aca="false">IF($A311="","",VLOOKUP($A310,Table,MATCH(J$4,Curves,0)))</f>
        <v/>
      </c>
      <c r="K310" s="201" t="str">
        <f aca="false">IF(A311="","",J310)</f>
        <v/>
      </c>
      <c r="L310" s="200" t="str">
        <f aca="false">IF($A311="","",VLOOKUP($A310,Table,MATCH(L$4,Curves,0)))</f>
        <v/>
      </c>
      <c r="M310" s="201" t="str">
        <f aca="false">IF(A311="","",L310)</f>
        <v/>
      </c>
      <c r="N310" s="203"/>
      <c r="O310" s="200" t="str">
        <f aca="false">IF(A311="","",L310+J310+G310)</f>
        <v/>
      </c>
      <c r="P310" s="200" t="str">
        <f aca="false">IF(A311="","",M310+K310+H310)</f>
        <v/>
      </c>
      <c r="Q310" s="204"/>
      <c r="R310" s="200" t="str">
        <f aca="false">IF($A311="","",VLOOKUP($A310,Table,MATCH(R$4,Curves,0)))</f>
        <v/>
      </c>
      <c r="S310" s="201" t="str">
        <f aca="false">IF(A311="","",R310)</f>
        <v/>
      </c>
      <c r="T310" s="200" t="str">
        <f aca="false">IF($A311="","",VLOOKUP($A310,Table,MATCH(T$4,Curves,0)))</f>
        <v/>
      </c>
      <c r="U310" s="201" t="str">
        <f aca="false">IF(A311="","",T310)</f>
        <v/>
      </c>
      <c r="V310" s="225" t="str">
        <f aca="false">IF($A311="","",IF(AND(MONTH(A310)&gt;3,MONTH(A310)&lt;11),(T310+R310+G310)*Summary!$T$9/(1-Summary!$T$9),(T310+R310+G310)*Summary!$U$9/(1-Summary!$U$9)))</f>
        <v/>
      </c>
      <c r="W310" s="200" t="str">
        <f aca="false">IF($A311="","",(T310+R310+G310+V310))</f>
        <v/>
      </c>
      <c r="X310" s="200" t="str">
        <f aca="false">IF($A311="","",(U310+S310+H310+V310))</f>
        <v/>
      </c>
      <c r="Y310" s="202"/>
      <c r="Z310" s="185" t="str">
        <f aca="false">IF($A311="","",VLOOKUP($A310,Table,MATCH(Z$4,Curves,0)))</f>
        <v/>
      </c>
      <c r="AA310" s="185" t="str">
        <f aca="false">IF($A311="","",VLOOKUP($A310,Table,MATCH(AA$4,Curves,0)))</f>
        <v/>
      </c>
      <c r="AB310" s="185" t="e">
        <f aca="false">SQRT((AA310^2*(A310-$D$3)+Z310^2*(DAY(EOMONTH(A310,0))/2))/AK310)</f>
        <v>#VALUE!</v>
      </c>
      <c r="AC310" s="185" t="str">
        <f aca="false">IF($A311="","",VLOOKUP($A310,Table,MATCH(AC$4,Curves,0)))</f>
        <v/>
      </c>
      <c r="AD310" s="185" t="str">
        <f aca="false">IF($A311="","",VLOOKUP($A310,Table,MATCH(AD$4,Curves,0)))</f>
        <v/>
      </c>
      <c r="AE310" s="185" t="e">
        <f aca="false">SQRT((AD310^2*(A310-$D$3)+AC310^2*(DAY(EOMONTH(A310,0))/2))/AK310)</f>
        <v>#VALUE!</v>
      </c>
      <c r="AF310" s="224" t="e">
        <f aca="false">((Summary!$N$9*(AA310*AD310)*(A310-$D$3))+(Summary!$M$9*Z310*AC310*(AJ310-EOMONTH(EDATE(A310,-1),0))))/(AK310*AB310*AE310)</f>
        <v>#VALUE!</v>
      </c>
      <c r="AG310" s="207" t="str">
        <f aca="false">IF($A311="","",Summary!$Q$9)</f>
        <v/>
      </c>
      <c r="AH310" s="207" t="str">
        <f aca="false">IF($A311="","",IF(Summary!$R$9="Y",VLOOKUP($A310,Summary!$AD$6:$AF$9,3)+'Escalating commodity'!E323,'Escalating commodity'!E323))</f>
        <v/>
      </c>
      <c r="AI310" s="207" t="str">
        <f aca="false">IF($A311="","",AH310)</f>
        <v/>
      </c>
      <c r="AJ310" s="208" t="e">
        <f aca="false">A310+DAY(EOMONTH(A310,0))/2-1</f>
        <v>#VALUE!</v>
      </c>
      <c r="AK310" s="209" t="str">
        <f aca="false">IF($A311="","",$A310-$E$1)</f>
        <v/>
      </c>
      <c r="AL310" s="182" t="str">
        <f aca="false">IF($A311="","",SPRDOPT(P310,X310,AI310,0,AB310,AE310,AF310,AK310,$AJ$2,0))</f>
        <v/>
      </c>
      <c r="AM310" s="211" t="str">
        <f aca="false">IF($A311="","",MAX(0,O310-W310-AI310))</f>
        <v/>
      </c>
      <c r="AN310" s="211" t="str">
        <f aca="false">IF($A311="","",AL310-AM310)</f>
        <v/>
      </c>
      <c r="AO310" s="137" t="str">
        <f aca="false">IF(A311="","",A311-A310)</f>
        <v/>
      </c>
      <c r="AP310" s="212" t="str">
        <f aca="false">IF(A311="","",CHOOSE(F$3,A311+24,A310))</f>
        <v/>
      </c>
      <c r="AQ310" s="209" t="str">
        <f aca="false">IF(A311="","",AP310-$E$1)</f>
        <v/>
      </c>
      <c r="AR310" s="185" t="n">
        <f aca="false">'ANR OK vs ML7'!AR310</f>
        <v>0.1</v>
      </c>
      <c r="AS310" s="213" t="str">
        <f aca="false">IF(A311="","",1/(1+CHOOSE(F$3,(AR311+($I$3/10000))/2,(AR310+($I$3/10000))/2))^(2*AQ310/365.25))</f>
        <v/>
      </c>
      <c r="AT310" s="137" t="str">
        <f aca="false">IF(A311="","",IF(AND(mthbeg&lt;=A310,mthend&gt;=A310),1,0))</f>
        <v/>
      </c>
      <c r="AU310" s="137" t="str">
        <f aca="false">IF(A311="","",AO310*AT310)</f>
        <v/>
      </c>
      <c r="AW310" s="195" t="str">
        <f aca="false">IF($A311="","",AL310*$E310)</f>
        <v/>
      </c>
      <c r="AX310" s="195" t="str">
        <f aca="false">IF($A311="","",AM310*$E310)</f>
        <v/>
      </c>
      <c r="AY310" s="195" t="str">
        <f aca="false">IF($A311="","",AN310*$E310)</f>
        <v/>
      </c>
      <c r="BA310" s="195" t="str">
        <f aca="false">IF($A311="","",F310*Summary!$Q$9)</f>
        <v/>
      </c>
    </row>
    <row r="311" customFormat="false" ht="12" hidden="false" customHeight="true" outlineLevel="0" collapsed="false">
      <c r="A311" s="196" t="str">
        <f aca="false">IF(A310&lt;mthend,EDATE(A310,1),"")</f>
        <v/>
      </c>
      <c r="B311" s="197" t="str">
        <f aca="false">IF(A311&lt;mthend,B310,"")</f>
        <v/>
      </c>
      <c r="C311" s="215"/>
      <c r="D311" s="197" t="str">
        <f aca="false">IF(A312&lt;&gt;"",B311+C311,"")</f>
        <v/>
      </c>
      <c r="E311" s="199" t="str">
        <f aca="false">IF(A312="","",IF(AND(AT311=1,$H$3=1),D311*AO311,IF($H$3=2,D311,"N/A")))</f>
        <v/>
      </c>
      <c r="F311" s="199" t="str">
        <f aca="false">IF(A312="","",E311*AS311)</f>
        <v/>
      </c>
      <c r="G311" s="200" t="str">
        <f aca="false">IF($A312="","",VLOOKUP($A311,Table,MATCH(G$4,Curves,0)))</f>
        <v/>
      </c>
      <c r="H311" s="201" t="str">
        <f aca="false">IF(A312="","",G311)</f>
        <v/>
      </c>
      <c r="I311" s="202"/>
      <c r="J311" s="200" t="str">
        <f aca="false">IF($A312="","",VLOOKUP($A311,Table,MATCH(J$4,Curves,0)))</f>
        <v/>
      </c>
      <c r="K311" s="201" t="str">
        <f aca="false">IF(A312="","",J311)</f>
        <v/>
      </c>
      <c r="L311" s="200" t="str">
        <f aca="false">IF($A312="","",VLOOKUP($A311,Table,MATCH(L$4,Curves,0)))</f>
        <v/>
      </c>
      <c r="M311" s="201" t="str">
        <f aca="false">IF(A312="","",L311)</f>
        <v/>
      </c>
      <c r="N311" s="203"/>
      <c r="O311" s="200" t="str">
        <f aca="false">IF(A312="","",L311+J311+G311)</f>
        <v/>
      </c>
      <c r="P311" s="200" t="str">
        <f aca="false">IF(A312="","",M311+K311+H311)</f>
        <v/>
      </c>
      <c r="Q311" s="204"/>
      <c r="R311" s="200" t="str">
        <f aca="false">IF($A312="","",VLOOKUP($A311,Table,MATCH(R$4,Curves,0)))</f>
        <v/>
      </c>
      <c r="S311" s="201" t="str">
        <f aca="false">IF(A312="","",R311)</f>
        <v/>
      </c>
      <c r="T311" s="200" t="str">
        <f aca="false">IF($A312="","",VLOOKUP($A311,Table,MATCH(T$4,Curves,0)))</f>
        <v/>
      </c>
      <c r="U311" s="201" t="str">
        <f aca="false">IF(A312="","",T311)</f>
        <v/>
      </c>
      <c r="V311" s="225" t="str">
        <f aca="false">IF($A312="","",IF(AND(MONTH(A311)&gt;3,MONTH(A311)&lt;11),(T311+R311+G311)*Summary!$T$9/(1-Summary!$T$9),(T311+R311+G311)*Summary!$U$9/(1-Summary!$U$9)))</f>
        <v/>
      </c>
      <c r="W311" s="200" t="str">
        <f aca="false">IF($A312="","",(T311+R311+G311+V311))</f>
        <v/>
      </c>
      <c r="X311" s="200" t="str">
        <f aca="false">IF($A312="","",(U311+S311+H311+V311))</f>
        <v/>
      </c>
      <c r="Y311" s="202"/>
      <c r="Z311" s="185" t="str">
        <f aca="false">IF($A312="","",VLOOKUP($A311,Table,MATCH(Z$4,Curves,0)))</f>
        <v/>
      </c>
      <c r="AA311" s="185" t="str">
        <f aca="false">IF($A312="","",VLOOKUP($A311,Table,MATCH(AA$4,Curves,0)))</f>
        <v/>
      </c>
      <c r="AB311" s="185" t="e">
        <f aca="false">SQRT((AA311^2*(A311-$D$3)+Z311^2*(DAY(EOMONTH(A311,0))/2))/AK311)</f>
        <v>#VALUE!</v>
      </c>
      <c r="AC311" s="185" t="str">
        <f aca="false">IF($A312="","",VLOOKUP($A311,Table,MATCH(AC$4,Curves,0)))</f>
        <v/>
      </c>
      <c r="AD311" s="185" t="str">
        <f aca="false">IF($A312="","",VLOOKUP($A311,Table,MATCH(AD$4,Curves,0)))</f>
        <v/>
      </c>
      <c r="AE311" s="185" t="e">
        <f aca="false">SQRT((AD311^2*(A311-$D$3)+AC311^2*(DAY(EOMONTH(A311,0))/2))/AK311)</f>
        <v>#VALUE!</v>
      </c>
      <c r="AF311" s="224" t="e">
        <f aca="false">((Summary!$N$9*(AA311*AD311)*(A311-$D$3))+(Summary!$M$9*Z311*AC311*(AJ311-EOMONTH(EDATE(A311,-1),0))))/(AK311*AB311*AE311)</f>
        <v>#VALUE!</v>
      </c>
      <c r="AG311" s="207" t="str">
        <f aca="false">IF($A312="","",Summary!$Q$9)</f>
        <v/>
      </c>
      <c r="AH311" s="207" t="str">
        <f aca="false">IF($A312="","",IF(Summary!$R$9="Y",VLOOKUP($A311,Summary!$AD$6:$AF$9,3)+'Escalating commodity'!E324,'Escalating commodity'!E324))</f>
        <v/>
      </c>
      <c r="AI311" s="207" t="str">
        <f aca="false">IF($A312="","",AH311)</f>
        <v/>
      </c>
      <c r="AJ311" s="208" t="e">
        <f aca="false">A311+DAY(EOMONTH(A311,0))/2-1</f>
        <v>#VALUE!</v>
      </c>
      <c r="AK311" s="209" t="str">
        <f aca="false">IF($A312="","",$A311-$E$1)</f>
        <v/>
      </c>
      <c r="AL311" s="182" t="str">
        <f aca="false">IF($A312="","",SPRDOPT(P311,X311,AI311,0,AB311,AE311,AF311,AK311,$AJ$2,0))</f>
        <v/>
      </c>
      <c r="AM311" s="211" t="str">
        <f aca="false">IF($A312="","",MAX(0,O311-W311-AI311))</f>
        <v/>
      </c>
      <c r="AN311" s="211" t="str">
        <f aca="false">IF($A312="","",AL311-AM311)</f>
        <v/>
      </c>
      <c r="AO311" s="137" t="str">
        <f aca="false">IF(A312="","",A312-A311)</f>
        <v/>
      </c>
      <c r="AP311" s="212" t="str">
        <f aca="false">IF(A312="","",CHOOSE(F$3,A312+24,A311))</f>
        <v/>
      </c>
      <c r="AQ311" s="209" t="str">
        <f aca="false">IF(A312="","",AP311-$E$1)</f>
        <v/>
      </c>
      <c r="AR311" s="185" t="n">
        <f aca="false">'ANR OK vs ML7'!AR311</f>
        <v>0.1</v>
      </c>
      <c r="AS311" s="213" t="str">
        <f aca="false">IF(A312="","",1/(1+CHOOSE(F$3,(AR312+($I$3/10000))/2,(AR311+($I$3/10000))/2))^(2*AQ311/365.25))</f>
        <v/>
      </c>
      <c r="AT311" s="137" t="str">
        <f aca="false">IF(A312="","",IF(AND(mthbeg&lt;=A311,mthend&gt;=A311),1,0))</f>
        <v/>
      </c>
      <c r="AU311" s="137" t="str">
        <f aca="false">IF(A312="","",AO311*AT311)</f>
        <v/>
      </c>
      <c r="AW311" s="195" t="str">
        <f aca="false">IF($A312="","",AL311*$E311)</f>
        <v/>
      </c>
      <c r="AX311" s="195" t="str">
        <f aca="false">IF($A312="","",AM311*$E311)</f>
        <v/>
      </c>
      <c r="AY311" s="195" t="str">
        <f aca="false">IF($A312="","",AN311*$E311)</f>
        <v/>
      </c>
      <c r="BA311" s="195" t="str">
        <f aca="false">IF($A312="","",F311*Summary!$Q$9)</f>
        <v/>
      </c>
    </row>
    <row r="312" customFormat="false" ht="12" hidden="false" customHeight="true" outlineLevel="0" collapsed="false">
      <c r="A312" s="196" t="str">
        <f aca="false">IF(A311&lt;mthend,EDATE(A311,1),"")</f>
        <v/>
      </c>
      <c r="B312" s="197" t="str">
        <f aca="false">IF(A312&lt;mthend,B311,"")</f>
        <v/>
      </c>
      <c r="C312" s="215"/>
      <c r="D312" s="197" t="str">
        <f aca="false">IF(A313&lt;&gt;"",B312+C312,"")</f>
        <v/>
      </c>
      <c r="E312" s="199" t="str">
        <f aca="false">IF(A313="","",IF(AND(AT312=1,$H$3=1),D312*AO312,IF($H$3=2,D312,"N/A")))</f>
        <v/>
      </c>
      <c r="F312" s="199" t="str">
        <f aca="false">IF(A313="","",E312*AS312)</f>
        <v/>
      </c>
      <c r="G312" s="200" t="str">
        <f aca="false">IF($A313="","",VLOOKUP($A312,Table,MATCH(G$4,Curves,0)))</f>
        <v/>
      </c>
      <c r="H312" s="201" t="str">
        <f aca="false">IF(A313="","",G312)</f>
        <v/>
      </c>
      <c r="I312" s="202"/>
      <c r="J312" s="200" t="str">
        <f aca="false">IF($A313="","",VLOOKUP($A312,Table,MATCH(J$4,Curves,0)))</f>
        <v/>
      </c>
      <c r="K312" s="201" t="str">
        <f aca="false">IF(A313="","",J312)</f>
        <v/>
      </c>
      <c r="L312" s="200" t="str">
        <f aca="false">IF($A313="","",VLOOKUP($A312,Table,MATCH(L$4,Curves,0)))</f>
        <v/>
      </c>
      <c r="M312" s="201" t="str">
        <f aca="false">IF(A313="","",L312)</f>
        <v/>
      </c>
      <c r="N312" s="203"/>
      <c r="O312" s="200" t="str">
        <f aca="false">IF(A313="","",L312+J312+G312)</f>
        <v/>
      </c>
      <c r="P312" s="200" t="str">
        <f aca="false">IF(A313="","",M312+K312+H312)</f>
        <v/>
      </c>
      <c r="Q312" s="204"/>
      <c r="R312" s="200" t="str">
        <f aca="false">IF($A313="","",VLOOKUP($A312,Table,MATCH(R$4,Curves,0)))</f>
        <v/>
      </c>
      <c r="S312" s="201" t="str">
        <f aca="false">IF(A313="","",R312)</f>
        <v/>
      </c>
      <c r="T312" s="200" t="str">
        <f aca="false">IF($A313="","",VLOOKUP($A312,Table,MATCH(T$4,Curves,0)))</f>
        <v/>
      </c>
      <c r="U312" s="201" t="str">
        <f aca="false">IF(A313="","",T312)</f>
        <v/>
      </c>
      <c r="V312" s="225" t="str">
        <f aca="false">IF($A313="","",IF(AND(MONTH(A312)&gt;3,MONTH(A312)&lt;11),(T312+R312+G312)*Summary!$T$9/(1-Summary!$T$9),(T312+R312+G312)*Summary!$U$9/(1-Summary!$U$9)))</f>
        <v/>
      </c>
      <c r="W312" s="200" t="str">
        <f aca="false">IF($A313="","",(T312+R312+G312+V312))</f>
        <v/>
      </c>
      <c r="X312" s="200" t="str">
        <f aca="false">IF($A313="","",(U312+S312+H312+V312))</f>
        <v/>
      </c>
      <c r="Y312" s="202"/>
      <c r="Z312" s="185" t="str">
        <f aca="false">IF($A313="","",VLOOKUP($A312,Table,MATCH(Z$4,Curves,0)))</f>
        <v/>
      </c>
      <c r="AA312" s="185" t="str">
        <f aca="false">IF($A313="","",VLOOKUP($A312,Table,MATCH(AA$4,Curves,0)))</f>
        <v/>
      </c>
      <c r="AB312" s="185" t="e">
        <f aca="false">SQRT((AA312^2*(A312-$D$3)+Z312^2*(DAY(EOMONTH(A312,0))/2))/AK312)</f>
        <v>#VALUE!</v>
      </c>
      <c r="AC312" s="185" t="str">
        <f aca="false">IF($A313="","",VLOOKUP($A312,Table,MATCH(AC$4,Curves,0)))</f>
        <v/>
      </c>
      <c r="AD312" s="185" t="str">
        <f aca="false">IF($A313="","",VLOOKUP($A312,Table,MATCH(AD$4,Curves,0)))</f>
        <v/>
      </c>
      <c r="AE312" s="185" t="e">
        <f aca="false">SQRT((AD312^2*(A312-$D$3)+AC312^2*(DAY(EOMONTH(A312,0))/2))/AK312)</f>
        <v>#VALUE!</v>
      </c>
      <c r="AF312" s="224" t="e">
        <f aca="false">((Summary!$N$9*(AA312*AD312)*(A312-$D$3))+(Summary!$M$9*Z312*AC312*(AJ312-EOMONTH(EDATE(A312,-1),0))))/(AK312*AB312*AE312)</f>
        <v>#VALUE!</v>
      </c>
      <c r="AG312" s="207" t="str">
        <f aca="false">IF($A313="","",Summary!$Q$9)</f>
        <v/>
      </c>
      <c r="AH312" s="207" t="str">
        <f aca="false">IF($A313="","",IF(Summary!$R$9="Y",VLOOKUP($A312,Summary!$AD$6:$AF$9,3)+'Escalating commodity'!E325,'Escalating commodity'!E325))</f>
        <v/>
      </c>
      <c r="AI312" s="207" t="str">
        <f aca="false">IF($A313="","",AH312)</f>
        <v/>
      </c>
      <c r="AJ312" s="208" t="e">
        <f aca="false">A312+DAY(EOMONTH(A312,0))/2-1</f>
        <v>#VALUE!</v>
      </c>
      <c r="AK312" s="209" t="str">
        <f aca="false">IF($A313="","",$A312-$E$1)</f>
        <v/>
      </c>
      <c r="AL312" s="182" t="str">
        <f aca="false">IF($A313="","",SPRDOPT(P312,X312,AI312,0,AB312,AE312,AF312,AK312,$AJ$2,0))</f>
        <v/>
      </c>
      <c r="AM312" s="211" t="str">
        <f aca="false">IF($A313="","",MAX(0,O312-W312-AI312))</f>
        <v/>
      </c>
      <c r="AN312" s="211" t="str">
        <f aca="false">IF($A313="","",AL312-AM312)</f>
        <v/>
      </c>
      <c r="AO312" s="137" t="str">
        <f aca="false">IF(A313="","",A313-A312)</f>
        <v/>
      </c>
      <c r="AP312" s="212" t="str">
        <f aca="false">IF(A313="","",CHOOSE(F$3,A313+24,A312))</f>
        <v/>
      </c>
      <c r="AQ312" s="209" t="str">
        <f aca="false">IF(A313="","",AP312-$E$1)</f>
        <v/>
      </c>
      <c r="AR312" s="185" t="n">
        <f aca="false">'ANR OK vs ML7'!AR312</f>
        <v>0.1</v>
      </c>
      <c r="AS312" s="213" t="str">
        <f aca="false">IF(A313="","",1/(1+CHOOSE(F$3,(AR313+($I$3/10000))/2,(AR312+($I$3/10000))/2))^(2*AQ312/365.25))</f>
        <v/>
      </c>
      <c r="AT312" s="137" t="str">
        <f aca="false">IF(A313="","",IF(AND(mthbeg&lt;=A312,mthend&gt;=A312),1,0))</f>
        <v/>
      </c>
      <c r="AU312" s="137" t="str">
        <f aca="false">IF(A313="","",AO312*AT312)</f>
        <v/>
      </c>
      <c r="AW312" s="195" t="str">
        <f aca="false">IF($A313="","",AL312*$E312)</f>
        <v/>
      </c>
      <c r="AX312" s="195" t="str">
        <f aca="false">IF($A313="","",AM312*$E312)</f>
        <v/>
      </c>
      <c r="AY312" s="195" t="str">
        <f aca="false">IF($A313="","",AN312*$E312)</f>
        <v/>
      </c>
      <c r="BA312" s="195" t="str">
        <f aca="false">IF($A313="","",F312*Summary!$Q$9)</f>
        <v/>
      </c>
    </row>
    <row r="313" customFormat="false" ht="12" hidden="false" customHeight="true" outlineLevel="0" collapsed="false">
      <c r="A313" s="196" t="str">
        <f aca="false">IF(A312&lt;mthend,EDATE(A312,1),"")</f>
        <v/>
      </c>
      <c r="B313" s="197" t="str">
        <f aca="false">IF(A313&lt;mthend,B312,"")</f>
        <v/>
      </c>
      <c r="C313" s="215"/>
      <c r="D313" s="197" t="str">
        <f aca="false">IF(A314&lt;&gt;"",B313+C313,"")</f>
        <v/>
      </c>
      <c r="E313" s="199" t="str">
        <f aca="false">IF(A314="","",IF(AND(AT313=1,$H$3=1),D313*AO313,IF($H$3=2,D313,"N/A")))</f>
        <v/>
      </c>
      <c r="F313" s="199" t="str">
        <f aca="false">IF(A314="","",E313*AS313)</f>
        <v/>
      </c>
      <c r="G313" s="200" t="str">
        <f aca="false">IF($A314="","",VLOOKUP($A313,Table,MATCH(G$4,Curves,0)))</f>
        <v/>
      </c>
      <c r="H313" s="201" t="str">
        <f aca="false">IF(A314="","",G313)</f>
        <v/>
      </c>
      <c r="I313" s="202"/>
      <c r="J313" s="200" t="str">
        <f aca="false">IF($A314="","",VLOOKUP($A313,Table,MATCH(J$4,Curves,0)))</f>
        <v/>
      </c>
      <c r="K313" s="201" t="str">
        <f aca="false">IF(A314="","",J313)</f>
        <v/>
      </c>
      <c r="L313" s="200" t="str">
        <f aca="false">IF($A314="","",VLOOKUP($A313,Table,MATCH(L$4,Curves,0)))</f>
        <v/>
      </c>
      <c r="M313" s="201" t="str">
        <f aca="false">IF(A314="","",L313)</f>
        <v/>
      </c>
      <c r="N313" s="203"/>
      <c r="O313" s="200" t="str">
        <f aca="false">IF(A314="","",L313+J313+G313)</f>
        <v/>
      </c>
      <c r="P313" s="200" t="str">
        <f aca="false">IF(A314="","",M313+K313+H313)</f>
        <v/>
      </c>
      <c r="Q313" s="204"/>
      <c r="R313" s="200" t="str">
        <f aca="false">IF($A314="","",VLOOKUP($A313,Table,MATCH(R$4,Curves,0)))</f>
        <v/>
      </c>
      <c r="S313" s="201" t="str">
        <f aca="false">IF(A314="","",R313)</f>
        <v/>
      </c>
      <c r="T313" s="200" t="str">
        <f aca="false">IF($A314="","",VLOOKUP($A313,Table,MATCH(T$4,Curves,0)))</f>
        <v/>
      </c>
      <c r="U313" s="201" t="str">
        <f aca="false">IF(A314="","",T313)</f>
        <v/>
      </c>
      <c r="V313" s="225" t="str">
        <f aca="false">IF($A314="","",IF(AND(MONTH(A313)&gt;3,MONTH(A313)&lt;11),(T313+R313+G313)*Summary!$T$9/(1-Summary!$T$9),(T313+R313+G313)*Summary!$U$9/(1-Summary!$U$9)))</f>
        <v/>
      </c>
      <c r="W313" s="200" t="str">
        <f aca="false">IF($A314="","",(T313+R313+G313+V313))</f>
        <v/>
      </c>
      <c r="X313" s="200" t="str">
        <f aca="false">IF($A314="","",(U313+S313+H313+V313))</f>
        <v/>
      </c>
      <c r="Y313" s="202"/>
      <c r="Z313" s="185" t="str">
        <f aca="false">IF($A314="","",VLOOKUP($A313,Table,MATCH(Z$4,Curves,0)))</f>
        <v/>
      </c>
      <c r="AA313" s="185" t="str">
        <f aca="false">IF($A314="","",VLOOKUP($A313,Table,MATCH(AA$4,Curves,0)))</f>
        <v/>
      </c>
      <c r="AB313" s="185" t="e">
        <f aca="false">SQRT((AA313^2*(A313-$D$3)+Z313^2*(DAY(EOMONTH(A313,0))/2))/AK313)</f>
        <v>#VALUE!</v>
      </c>
      <c r="AC313" s="185" t="str">
        <f aca="false">IF($A314="","",VLOOKUP($A313,Table,MATCH(AC$4,Curves,0)))</f>
        <v/>
      </c>
      <c r="AD313" s="185" t="str">
        <f aca="false">IF($A314="","",VLOOKUP($A313,Table,MATCH(AD$4,Curves,0)))</f>
        <v/>
      </c>
      <c r="AE313" s="185" t="e">
        <f aca="false">SQRT((AD313^2*(A313-$D$3)+AC313^2*(DAY(EOMONTH(A313,0))/2))/AK313)</f>
        <v>#VALUE!</v>
      </c>
      <c r="AF313" s="224" t="e">
        <f aca="false">((Summary!$N$9*(AA313*AD313)*(A313-$D$3))+(Summary!$M$9*Z313*AC313*(AJ313-EOMONTH(EDATE(A313,-1),0))))/(AK313*AB313*AE313)</f>
        <v>#VALUE!</v>
      </c>
      <c r="AG313" s="207" t="str">
        <f aca="false">IF($A314="","",Summary!$Q$9)</f>
        <v/>
      </c>
      <c r="AH313" s="207" t="str">
        <f aca="false">IF($A314="","",IF(Summary!$R$9="Y",VLOOKUP($A313,Summary!$AD$6:$AF$9,3)+'Escalating commodity'!E326,'Escalating commodity'!E326))</f>
        <v/>
      </c>
      <c r="AI313" s="207" t="str">
        <f aca="false">IF($A314="","",AH313)</f>
        <v/>
      </c>
      <c r="AJ313" s="208" t="e">
        <f aca="false">A313+DAY(EOMONTH(A313,0))/2-1</f>
        <v>#VALUE!</v>
      </c>
      <c r="AK313" s="209" t="str">
        <f aca="false">IF($A314="","",$A313-$E$1)</f>
        <v/>
      </c>
      <c r="AL313" s="182" t="str">
        <f aca="false">IF($A314="","",SPRDOPT(P313,X313,AI313,0,AB313,AE313,AF313,AK313,$AJ$2,0))</f>
        <v/>
      </c>
      <c r="AM313" s="211" t="str">
        <f aca="false">IF($A314="","",MAX(0,O313-W313-AI313))</f>
        <v/>
      </c>
      <c r="AN313" s="211" t="str">
        <f aca="false">IF($A314="","",AL313-AM313)</f>
        <v/>
      </c>
      <c r="AO313" s="137" t="str">
        <f aca="false">IF(A314="","",A314-A313)</f>
        <v/>
      </c>
      <c r="AP313" s="212" t="str">
        <f aca="false">IF(A314="","",CHOOSE(F$3,A314+24,A313))</f>
        <v/>
      </c>
      <c r="AQ313" s="209" t="str">
        <f aca="false">IF(A314="","",AP313-$E$1)</f>
        <v/>
      </c>
      <c r="AR313" s="185" t="n">
        <f aca="false">'ANR OK vs ML7'!AR313</f>
        <v>0.1</v>
      </c>
      <c r="AS313" s="213" t="str">
        <f aca="false">IF(A314="","",1/(1+CHOOSE(F$3,(AR314+($I$3/10000))/2,(AR313+($I$3/10000))/2))^(2*AQ313/365.25))</f>
        <v/>
      </c>
      <c r="AT313" s="137" t="str">
        <f aca="false">IF(A314="","",IF(AND(mthbeg&lt;=A313,mthend&gt;=A313),1,0))</f>
        <v/>
      </c>
      <c r="AU313" s="137" t="str">
        <f aca="false">IF(A314="","",AO313*AT313)</f>
        <v/>
      </c>
      <c r="AW313" s="195" t="str">
        <f aca="false">IF($A314="","",AL313*$E313)</f>
        <v/>
      </c>
      <c r="AX313" s="195" t="str">
        <f aca="false">IF($A314="","",AM313*$E313)</f>
        <v/>
      </c>
      <c r="AY313" s="195" t="str">
        <f aca="false">IF($A314="","",AN313*$E313)</f>
        <v/>
      </c>
      <c r="BA313" s="195" t="str">
        <f aca="false">IF($A314="","",F313*Summary!$Q$9)</f>
        <v/>
      </c>
    </row>
    <row r="314" customFormat="false" ht="12" hidden="false" customHeight="true" outlineLevel="0" collapsed="false">
      <c r="A314" s="196" t="str">
        <f aca="false">IF(A313&lt;mthend,EDATE(A313,1),"")</f>
        <v/>
      </c>
      <c r="B314" s="197" t="str">
        <f aca="false">IF(A314&lt;mthend,B313,"")</f>
        <v/>
      </c>
      <c r="C314" s="215"/>
      <c r="D314" s="197" t="str">
        <f aca="false">IF(A315&lt;&gt;"",B314+C314,"")</f>
        <v/>
      </c>
      <c r="E314" s="199" t="str">
        <f aca="false">IF(A315="","",IF(AND(AT314=1,$H$3=1),D314*AO314,IF($H$3=2,D314,"N/A")))</f>
        <v/>
      </c>
      <c r="F314" s="199" t="str">
        <f aca="false">IF(A315="","",E314*AS314)</f>
        <v/>
      </c>
      <c r="G314" s="200" t="str">
        <f aca="false">IF($A315="","",VLOOKUP($A314,Table,MATCH(G$4,Curves,0)))</f>
        <v/>
      </c>
      <c r="H314" s="201" t="str">
        <f aca="false">IF(A315="","",G314)</f>
        <v/>
      </c>
      <c r="I314" s="202"/>
      <c r="J314" s="200" t="str">
        <f aca="false">IF($A315="","",VLOOKUP($A314,Table,MATCH(J$4,Curves,0)))</f>
        <v/>
      </c>
      <c r="K314" s="201" t="str">
        <f aca="false">IF(A315="","",J314)</f>
        <v/>
      </c>
      <c r="L314" s="200" t="str">
        <f aca="false">IF($A315="","",VLOOKUP($A314,Table,MATCH(L$4,Curves,0)))</f>
        <v/>
      </c>
      <c r="M314" s="201" t="str">
        <f aca="false">IF(A315="","",L314)</f>
        <v/>
      </c>
      <c r="N314" s="203"/>
      <c r="O314" s="200" t="str">
        <f aca="false">IF(A315="","",L314+J314+G314)</f>
        <v/>
      </c>
      <c r="P314" s="200" t="str">
        <f aca="false">IF(A315="","",M314+K314+H314)</f>
        <v/>
      </c>
      <c r="Q314" s="204"/>
      <c r="R314" s="200" t="str">
        <f aca="false">IF($A315="","",VLOOKUP($A314,Table,MATCH(R$4,Curves,0)))</f>
        <v/>
      </c>
      <c r="S314" s="201" t="str">
        <f aca="false">IF(A315="","",R314)</f>
        <v/>
      </c>
      <c r="T314" s="200" t="str">
        <f aca="false">IF($A315="","",VLOOKUP($A314,Table,MATCH(T$4,Curves,0)))</f>
        <v/>
      </c>
      <c r="U314" s="201" t="str">
        <f aca="false">IF(A315="","",T314)</f>
        <v/>
      </c>
      <c r="V314" s="225" t="str">
        <f aca="false">IF($A315="","",IF(AND(MONTH(A314)&gt;3,MONTH(A314)&lt;11),(T314+R314+G314)*Summary!$T$9/(1-Summary!$T$9),(T314+R314+G314)*Summary!$U$9/(1-Summary!$U$9)))</f>
        <v/>
      </c>
      <c r="W314" s="200" t="str">
        <f aca="false">IF($A315="","",(T314+R314+G314+V314))</f>
        <v/>
      </c>
      <c r="X314" s="200" t="str">
        <f aca="false">IF($A315="","",(U314+S314+H314+V314))</f>
        <v/>
      </c>
      <c r="Y314" s="202"/>
      <c r="Z314" s="185" t="str">
        <f aca="false">IF($A315="","",VLOOKUP($A314,Table,MATCH(Z$4,Curves,0)))</f>
        <v/>
      </c>
      <c r="AA314" s="185" t="str">
        <f aca="false">IF($A315="","",VLOOKUP($A314,Table,MATCH(AA$4,Curves,0)))</f>
        <v/>
      </c>
      <c r="AB314" s="185" t="e">
        <f aca="false">SQRT((AA314^2*(A314-$D$3)+Z314^2*(DAY(EOMONTH(A314,0))/2))/AK314)</f>
        <v>#VALUE!</v>
      </c>
      <c r="AC314" s="185" t="str">
        <f aca="false">IF($A315="","",VLOOKUP($A314,Table,MATCH(AC$4,Curves,0)))</f>
        <v/>
      </c>
      <c r="AD314" s="185" t="str">
        <f aca="false">IF($A315="","",VLOOKUP($A314,Table,MATCH(AD$4,Curves,0)))</f>
        <v/>
      </c>
      <c r="AE314" s="185" t="e">
        <f aca="false">SQRT((AD314^2*(A314-$D$3)+AC314^2*(DAY(EOMONTH(A314,0))/2))/AK314)</f>
        <v>#VALUE!</v>
      </c>
      <c r="AF314" s="224" t="e">
        <f aca="false">((Summary!$N$9*(AA314*AD314)*(A314-$D$3))+(Summary!$M$9*Z314*AC314*(AJ314-EOMONTH(EDATE(A314,-1),0))))/(AK314*AB314*AE314)</f>
        <v>#VALUE!</v>
      </c>
      <c r="AG314" s="207" t="str">
        <f aca="false">IF($A315="","",Summary!$Q$9)</f>
        <v/>
      </c>
      <c r="AH314" s="207" t="str">
        <f aca="false">IF($A315="","",IF(Summary!$R$9="Y",VLOOKUP($A314,Summary!$AD$6:$AF$9,3)+'Escalating commodity'!E327,'Escalating commodity'!E327))</f>
        <v/>
      </c>
      <c r="AI314" s="207" t="str">
        <f aca="false">IF($A315="","",AH314)</f>
        <v/>
      </c>
      <c r="AJ314" s="208" t="e">
        <f aca="false">A314+DAY(EOMONTH(A314,0))/2-1</f>
        <v>#VALUE!</v>
      </c>
      <c r="AK314" s="209" t="str">
        <f aca="false">IF($A315="","",$A314-$E$1)</f>
        <v/>
      </c>
      <c r="AL314" s="182" t="str">
        <f aca="false">IF($A315="","",SPRDOPT(P314,X314,AI314,0,AB314,AE314,AF314,AK314,$AJ$2,0))</f>
        <v/>
      </c>
      <c r="AM314" s="211" t="str">
        <f aca="false">IF($A315="","",MAX(0,O314-W314-AI314))</f>
        <v/>
      </c>
      <c r="AN314" s="211" t="str">
        <f aca="false">IF($A315="","",AL314-AM314)</f>
        <v/>
      </c>
      <c r="AO314" s="137" t="str">
        <f aca="false">IF(A315="","",A315-A314)</f>
        <v/>
      </c>
      <c r="AP314" s="212" t="str">
        <f aca="false">IF(A315="","",CHOOSE(F$3,A315+24,A314))</f>
        <v/>
      </c>
      <c r="AQ314" s="209" t="str">
        <f aca="false">IF(A315="","",AP314-$E$1)</f>
        <v/>
      </c>
      <c r="AR314" s="185" t="n">
        <f aca="false">'ANR OK vs ML7'!AR314</f>
        <v>0.1</v>
      </c>
      <c r="AS314" s="213" t="str">
        <f aca="false">IF(A315="","",1/(1+CHOOSE(F$3,(AR315+($I$3/10000))/2,(AR314+($I$3/10000))/2))^(2*AQ314/365.25))</f>
        <v/>
      </c>
      <c r="AT314" s="137" t="str">
        <f aca="false">IF(A315="","",IF(AND(mthbeg&lt;=A314,mthend&gt;=A314),1,0))</f>
        <v/>
      </c>
      <c r="AU314" s="137" t="str">
        <f aca="false">IF(A315="","",AO314*AT314)</f>
        <v/>
      </c>
      <c r="AW314" s="195" t="str">
        <f aca="false">IF($A315="","",AL314*$E314)</f>
        <v/>
      </c>
      <c r="AX314" s="195" t="str">
        <f aca="false">IF($A315="","",AM314*$E314)</f>
        <v/>
      </c>
      <c r="AY314" s="195" t="str">
        <f aca="false">IF($A315="","",AN314*$E314)</f>
        <v/>
      </c>
      <c r="BA314" s="195" t="str">
        <f aca="false">IF($A315="","",F314*Summary!$Q$9)</f>
        <v/>
      </c>
    </row>
    <row r="315" customFormat="false" ht="12" hidden="false" customHeight="true" outlineLevel="0" collapsed="false">
      <c r="A315" s="196" t="str">
        <f aca="false">IF(A314&lt;mthend,EDATE(A314,1),"")</f>
        <v/>
      </c>
      <c r="B315" s="197" t="str">
        <f aca="false">IF(A315&lt;mthend,B314,"")</f>
        <v/>
      </c>
      <c r="C315" s="215"/>
      <c r="D315" s="197" t="str">
        <f aca="false">IF(A316&lt;&gt;"",B315+C315,"")</f>
        <v/>
      </c>
      <c r="E315" s="199" t="str">
        <f aca="false">IF(A316="","",IF(AND(AT315=1,$H$3=1),D315*AO315,IF($H$3=2,D315,"N/A")))</f>
        <v/>
      </c>
      <c r="F315" s="199" t="str">
        <f aca="false">IF(A316="","",E315*AS315)</f>
        <v/>
      </c>
      <c r="G315" s="200" t="str">
        <f aca="false">IF($A316="","",VLOOKUP($A315,Table,MATCH(G$4,Curves,0)))</f>
        <v/>
      </c>
      <c r="H315" s="201" t="str">
        <f aca="false">IF(A316="","",G315)</f>
        <v/>
      </c>
      <c r="I315" s="202"/>
      <c r="J315" s="200" t="str">
        <f aca="false">IF($A316="","",VLOOKUP($A315,Table,MATCH(J$4,Curves,0)))</f>
        <v/>
      </c>
      <c r="K315" s="201" t="str">
        <f aca="false">IF(A316="","",J315)</f>
        <v/>
      </c>
      <c r="L315" s="200" t="str">
        <f aca="false">IF($A316="","",VLOOKUP($A315,Table,MATCH(L$4,Curves,0)))</f>
        <v/>
      </c>
      <c r="M315" s="201" t="str">
        <f aca="false">IF(A316="","",L315)</f>
        <v/>
      </c>
      <c r="N315" s="203"/>
      <c r="O315" s="200" t="str">
        <f aca="false">IF(A316="","",L315+J315+G315)</f>
        <v/>
      </c>
      <c r="P315" s="200" t="str">
        <f aca="false">IF(A316="","",M315+K315+H315)</f>
        <v/>
      </c>
      <c r="Q315" s="204"/>
      <c r="R315" s="200" t="str">
        <f aca="false">IF($A316="","",VLOOKUP($A315,Table,MATCH(R$4,Curves,0)))</f>
        <v/>
      </c>
      <c r="S315" s="201" t="str">
        <f aca="false">IF(A316="","",R315)</f>
        <v/>
      </c>
      <c r="T315" s="200" t="str">
        <f aca="false">IF($A316="","",VLOOKUP($A315,Table,MATCH(T$4,Curves,0)))</f>
        <v/>
      </c>
      <c r="U315" s="201" t="str">
        <f aca="false">IF(A316="","",T315)</f>
        <v/>
      </c>
      <c r="V315" s="225" t="str">
        <f aca="false">IF($A316="","",IF(AND(MONTH(A315)&gt;3,MONTH(A315)&lt;11),(T315+R315+G315)*Summary!$T$9/(1-Summary!$T$9),(T315+R315+G315)*Summary!$U$9/(1-Summary!$U$9)))</f>
        <v/>
      </c>
      <c r="W315" s="200" t="str">
        <f aca="false">IF($A316="","",(T315+R315+G315+V315))</f>
        <v/>
      </c>
      <c r="X315" s="200" t="str">
        <f aca="false">IF($A316="","",(U315+S315+H315+V315))</f>
        <v/>
      </c>
      <c r="Y315" s="202"/>
      <c r="Z315" s="185" t="str">
        <f aca="false">IF($A316="","",VLOOKUP($A315,Table,MATCH(Z$4,Curves,0)))</f>
        <v/>
      </c>
      <c r="AA315" s="185" t="str">
        <f aca="false">IF($A316="","",VLOOKUP($A315,Table,MATCH(AA$4,Curves,0)))</f>
        <v/>
      </c>
      <c r="AB315" s="185" t="e">
        <f aca="false">SQRT((AA315^2*(A315-$D$3)+Z315^2*(DAY(EOMONTH(A315,0))/2))/AK315)</f>
        <v>#VALUE!</v>
      </c>
      <c r="AC315" s="185" t="str">
        <f aca="false">IF($A316="","",VLOOKUP($A315,Table,MATCH(AC$4,Curves,0)))</f>
        <v/>
      </c>
      <c r="AD315" s="185" t="str">
        <f aca="false">IF($A316="","",VLOOKUP($A315,Table,MATCH(AD$4,Curves,0)))</f>
        <v/>
      </c>
      <c r="AE315" s="185" t="e">
        <f aca="false">SQRT((AD315^2*(A315-$D$3)+AC315^2*(DAY(EOMONTH(A315,0))/2))/AK315)</f>
        <v>#VALUE!</v>
      </c>
      <c r="AF315" s="224" t="e">
        <f aca="false">((Summary!$N$9*(AA315*AD315)*(A315-$D$3))+(Summary!$M$9*Z315*AC315*(AJ315-EOMONTH(EDATE(A315,-1),0))))/(AK315*AB315*AE315)</f>
        <v>#VALUE!</v>
      </c>
      <c r="AG315" s="207" t="str">
        <f aca="false">IF($A316="","",Summary!$Q$9)</f>
        <v/>
      </c>
      <c r="AH315" s="207" t="str">
        <f aca="false">IF($A316="","",IF(Summary!$R$9="Y",VLOOKUP($A315,Summary!$AD$6:$AF$9,3)+'Escalating commodity'!E328,'Escalating commodity'!E328))</f>
        <v/>
      </c>
      <c r="AI315" s="207" t="str">
        <f aca="false">IF($A316="","",AH315)</f>
        <v/>
      </c>
      <c r="AJ315" s="208" t="e">
        <f aca="false">A315+DAY(EOMONTH(A315,0))/2-1</f>
        <v>#VALUE!</v>
      </c>
      <c r="AK315" s="209" t="str">
        <f aca="false">IF($A316="","",$A315-$E$1)</f>
        <v/>
      </c>
      <c r="AL315" s="182" t="str">
        <f aca="false">IF($A316="","",SPRDOPT(P315,X315,AI315,0,AB315,AE315,AF315,AK315,$AJ$2,0))</f>
        <v/>
      </c>
      <c r="AM315" s="211" t="str">
        <f aca="false">IF($A316="","",MAX(0,O315-W315-AI315))</f>
        <v/>
      </c>
      <c r="AN315" s="211" t="str">
        <f aca="false">IF($A316="","",AL315-AM315)</f>
        <v/>
      </c>
      <c r="AO315" s="137" t="str">
        <f aca="false">IF(A316="","",A316-A315)</f>
        <v/>
      </c>
      <c r="AP315" s="212" t="str">
        <f aca="false">IF(A316="","",CHOOSE(F$3,A316+24,A315))</f>
        <v/>
      </c>
      <c r="AQ315" s="209" t="str">
        <f aca="false">IF(A316="","",AP315-$E$1)</f>
        <v/>
      </c>
      <c r="AR315" s="185" t="n">
        <f aca="false">'ANR OK vs ML7'!AR315</f>
        <v>0.1</v>
      </c>
      <c r="AS315" s="213" t="str">
        <f aca="false">IF(A316="","",1/(1+CHOOSE(F$3,(AR316+($I$3/10000))/2,(AR315+($I$3/10000))/2))^(2*AQ315/365.25))</f>
        <v/>
      </c>
      <c r="AT315" s="137" t="str">
        <f aca="false">IF(A316="","",IF(AND(mthbeg&lt;=A315,mthend&gt;=A315),1,0))</f>
        <v/>
      </c>
      <c r="AU315" s="137" t="str">
        <f aca="false">IF(A316="","",AO315*AT315)</f>
        <v/>
      </c>
      <c r="AW315" s="195" t="str">
        <f aca="false">IF($A316="","",AL315*$E315)</f>
        <v/>
      </c>
      <c r="AX315" s="195" t="str">
        <f aca="false">IF($A316="","",AM315*$E315)</f>
        <v/>
      </c>
      <c r="AY315" s="195" t="str">
        <f aca="false">IF($A316="","",AN315*$E315)</f>
        <v/>
      </c>
      <c r="BA315" s="195" t="str">
        <f aca="false">IF($A316="","",F315*Summary!$Q$9)</f>
        <v/>
      </c>
    </row>
    <row r="316" customFormat="false" ht="12" hidden="false" customHeight="true" outlineLevel="0" collapsed="false">
      <c r="A316" s="196" t="str">
        <f aca="false">IF(A315&lt;mthend,EDATE(A315,1),"")</f>
        <v/>
      </c>
      <c r="B316" s="197" t="str">
        <f aca="false">IF(A316&lt;mthend,B315,"")</f>
        <v/>
      </c>
      <c r="C316" s="215"/>
      <c r="D316" s="197" t="str">
        <f aca="false">IF(A317&lt;&gt;"",B316+C316,"")</f>
        <v/>
      </c>
      <c r="E316" s="199" t="str">
        <f aca="false">IF(A317="","",IF(AND(AT316=1,$H$3=1),D316*AO316,IF($H$3=2,D316,"N/A")))</f>
        <v/>
      </c>
      <c r="F316" s="199" t="str">
        <f aca="false">IF(A317="","",E316*AS316)</f>
        <v/>
      </c>
      <c r="G316" s="200" t="str">
        <f aca="false">IF($A317="","",VLOOKUP($A316,Table,MATCH(G$4,Curves,0)))</f>
        <v/>
      </c>
      <c r="H316" s="201" t="str">
        <f aca="false">IF(A317="","",G316)</f>
        <v/>
      </c>
      <c r="I316" s="202"/>
      <c r="J316" s="200" t="str">
        <f aca="false">IF($A317="","",VLOOKUP($A316,Table,MATCH(J$4,Curves,0)))</f>
        <v/>
      </c>
      <c r="K316" s="201" t="str">
        <f aca="false">IF(A317="","",J316)</f>
        <v/>
      </c>
      <c r="L316" s="200" t="str">
        <f aca="false">IF($A317="","",VLOOKUP($A316,Table,MATCH(L$4,Curves,0)))</f>
        <v/>
      </c>
      <c r="M316" s="201" t="str">
        <f aca="false">IF(A317="","",L316)</f>
        <v/>
      </c>
      <c r="N316" s="203"/>
      <c r="O316" s="200" t="str">
        <f aca="false">IF(A317="","",L316+J316+G316)</f>
        <v/>
      </c>
      <c r="P316" s="200" t="str">
        <f aca="false">IF(A317="","",M316+K316+H316)</f>
        <v/>
      </c>
      <c r="Q316" s="204"/>
      <c r="R316" s="200" t="str">
        <f aca="false">IF($A317="","",VLOOKUP($A316,Table,MATCH(R$4,Curves,0)))</f>
        <v/>
      </c>
      <c r="S316" s="201" t="str">
        <f aca="false">IF(A317="","",R316)</f>
        <v/>
      </c>
      <c r="T316" s="200" t="str">
        <f aca="false">IF($A317="","",VLOOKUP($A316,Table,MATCH(T$4,Curves,0)))</f>
        <v/>
      </c>
      <c r="U316" s="201" t="str">
        <f aca="false">IF(A317="","",T316)</f>
        <v/>
      </c>
      <c r="V316" s="225" t="str">
        <f aca="false">IF($A317="","",IF(AND(MONTH(A316)&gt;3,MONTH(A316)&lt;11),(T316+R316+G316)*Summary!$T$9/(1-Summary!$T$9),(T316+R316+G316)*Summary!$U$9/(1-Summary!$U$9)))</f>
        <v/>
      </c>
      <c r="W316" s="200" t="str">
        <f aca="false">IF($A317="","",(T316+R316+G316+V316))</f>
        <v/>
      </c>
      <c r="X316" s="200" t="str">
        <f aca="false">IF($A317="","",(U316+S316+H316+V316))</f>
        <v/>
      </c>
      <c r="Y316" s="202"/>
      <c r="Z316" s="185" t="str">
        <f aca="false">IF($A317="","",VLOOKUP($A316,Table,MATCH(Z$4,Curves,0)))</f>
        <v/>
      </c>
      <c r="AA316" s="185" t="str">
        <f aca="false">IF($A317="","",VLOOKUP($A316,Table,MATCH(AA$4,Curves,0)))</f>
        <v/>
      </c>
      <c r="AB316" s="185" t="e">
        <f aca="false">SQRT((AA316^2*(A316-$D$3)+Z316^2*(DAY(EOMONTH(A316,0))/2))/AK316)</f>
        <v>#VALUE!</v>
      </c>
      <c r="AC316" s="185" t="str">
        <f aca="false">IF($A317="","",VLOOKUP($A316,Table,MATCH(AC$4,Curves,0)))</f>
        <v/>
      </c>
      <c r="AD316" s="185" t="str">
        <f aca="false">IF($A317="","",VLOOKUP($A316,Table,MATCH(AD$4,Curves,0)))</f>
        <v/>
      </c>
      <c r="AE316" s="185" t="e">
        <f aca="false">SQRT((AD316^2*(A316-$D$3)+AC316^2*(DAY(EOMONTH(A316,0))/2))/AK316)</f>
        <v>#VALUE!</v>
      </c>
      <c r="AF316" s="224" t="e">
        <f aca="false">((Summary!$N$9*(AA316*AD316)*(A316-$D$3))+(Summary!$M$9*Z316*AC316*(AJ316-EOMONTH(EDATE(A316,-1),0))))/(AK316*AB316*AE316)</f>
        <v>#VALUE!</v>
      </c>
      <c r="AG316" s="207" t="str">
        <f aca="false">IF($A317="","",Summary!$Q$9)</f>
        <v/>
      </c>
      <c r="AH316" s="207" t="str">
        <f aca="false">IF($A317="","",IF(Summary!$R$9="Y",VLOOKUP($A316,Summary!$AD$6:$AF$9,3)+'Escalating commodity'!E329,'Escalating commodity'!E329))</f>
        <v/>
      </c>
      <c r="AI316" s="207" t="str">
        <f aca="false">IF($A317="","",AH316)</f>
        <v/>
      </c>
      <c r="AJ316" s="208" t="e">
        <f aca="false">A316+DAY(EOMONTH(A316,0))/2-1</f>
        <v>#VALUE!</v>
      </c>
      <c r="AK316" s="209" t="str">
        <f aca="false">IF($A317="","",$A316-$E$1)</f>
        <v/>
      </c>
      <c r="AL316" s="182" t="str">
        <f aca="false">IF($A317="","",SPRDOPT(P316,X316,AI316,0,AB316,AE316,AF316,AK316,$AJ$2,0))</f>
        <v/>
      </c>
      <c r="AM316" s="211" t="str">
        <f aca="false">IF($A317="","",MAX(0,O316-W316-AI316))</f>
        <v/>
      </c>
      <c r="AN316" s="211" t="str">
        <f aca="false">IF($A317="","",AL316-AM316)</f>
        <v/>
      </c>
      <c r="AO316" s="137" t="str">
        <f aca="false">IF(A317="","",A317-A316)</f>
        <v/>
      </c>
      <c r="AP316" s="212" t="str">
        <f aca="false">IF(A317="","",CHOOSE(F$3,A317+24,A316))</f>
        <v/>
      </c>
      <c r="AQ316" s="209" t="str">
        <f aca="false">IF(A317="","",AP316-$E$1)</f>
        <v/>
      </c>
      <c r="AR316" s="185" t="n">
        <f aca="false">'ANR OK vs ML7'!AR316</f>
        <v>0.1</v>
      </c>
      <c r="AS316" s="213" t="str">
        <f aca="false">IF(A317="","",1/(1+CHOOSE(F$3,(AR317+($I$3/10000))/2,(AR316+($I$3/10000))/2))^(2*AQ316/365.25))</f>
        <v/>
      </c>
      <c r="AT316" s="137" t="str">
        <f aca="false">IF(A317="","",IF(AND(mthbeg&lt;=A316,mthend&gt;=A316),1,0))</f>
        <v/>
      </c>
      <c r="AU316" s="137" t="str">
        <f aca="false">IF(A317="","",AO316*AT316)</f>
        <v/>
      </c>
      <c r="AW316" s="195" t="str">
        <f aca="false">IF($A317="","",AL316*$E316)</f>
        <v/>
      </c>
      <c r="AX316" s="195" t="str">
        <f aca="false">IF($A317="","",AM316*$E316)</f>
        <v/>
      </c>
      <c r="AY316" s="195" t="str">
        <f aca="false">IF($A317="","",AN316*$E316)</f>
        <v/>
      </c>
      <c r="BA316" s="195" t="str">
        <f aca="false">IF($A317="","",F316*Summary!$Q$9)</f>
        <v/>
      </c>
    </row>
    <row r="317" customFormat="false" ht="12" hidden="false" customHeight="true" outlineLevel="0" collapsed="false">
      <c r="A317" s="196" t="str">
        <f aca="false">IF(A316&lt;mthend,EDATE(A316,1),"")</f>
        <v/>
      </c>
      <c r="B317" s="197" t="str">
        <f aca="false">IF(A317&lt;mthend,B316,"")</f>
        <v/>
      </c>
      <c r="C317" s="215"/>
      <c r="D317" s="197" t="str">
        <f aca="false">IF(A318&lt;&gt;"",B317+C317,"")</f>
        <v/>
      </c>
      <c r="E317" s="199" t="str">
        <f aca="false">IF(A318="","",IF(AND(AT317=1,$H$3=1),D317*AO317,IF($H$3=2,D317,"N/A")))</f>
        <v/>
      </c>
      <c r="F317" s="199" t="str">
        <f aca="false">IF(A318="","",E317*AS317)</f>
        <v/>
      </c>
      <c r="G317" s="200" t="str">
        <f aca="false">IF($A318="","",VLOOKUP($A317,Table,MATCH(G$4,Curves,0)))</f>
        <v/>
      </c>
      <c r="H317" s="201" t="str">
        <f aca="false">IF(A318="","",G317)</f>
        <v/>
      </c>
      <c r="I317" s="202"/>
      <c r="J317" s="200" t="str">
        <f aca="false">IF($A318="","",VLOOKUP($A317,Table,MATCH(J$4,Curves,0)))</f>
        <v/>
      </c>
      <c r="K317" s="201" t="str">
        <f aca="false">IF(A318="","",J317)</f>
        <v/>
      </c>
      <c r="L317" s="200" t="str">
        <f aca="false">IF($A318="","",VLOOKUP($A317,Table,MATCH(L$4,Curves,0)))</f>
        <v/>
      </c>
      <c r="M317" s="201" t="str">
        <f aca="false">IF(A318="","",L317)</f>
        <v/>
      </c>
      <c r="N317" s="203"/>
      <c r="O317" s="200" t="str">
        <f aca="false">IF(A318="","",L317+J317+G317)</f>
        <v/>
      </c>
      <c r="P317" s="200" t="str">
        <f aca="false">IF(A318="","",M317+K317+H317)</f>
        <v/>
      </c>
      <c r="Q317" s="204"/>
      <c r="R317" s="200" t="str">
        <f aca="false">IF($A318="","",VLOOKUP($A317,Table,MATCH(R$4,Curves,0)))</f>
        <v/>
      </c>
      <c r="S317" s="201" t="str">
        <f aca="false">IF(A318="","",R317)</f>
        <v/>
      </c>
      <c r="T317" s="200" t="str">
        <f aca="false">IF($A318="","",VLOOKUP($A317,Table,MATCH(T$4,Curves,0)))</f>
        <v/>
      </c>
      <c r="U317" s="201" t="str">
        <f aca="false">IF(A318="","",T317)</f>
        <v/>
      </c>
      <c r="V317" s="225" t="str">
        <f aca="false">IF($A318="","",IF(AND(MONTH(A317)&gt;3,MONTH(A317)&lt;11),(T317+R317+G317)*Summary!$T$9/(1-Summary!$T$9),(T317+R317+G317)*Summary!$U$9/(1-Summary!$U$9)))</f>
        <v/>
      </c>
      <c r="W317" s="200" t="str">
        <f aca="false">IF($A318="","",(T317+R317+G317+V317))</f>
        <v/>
      </c>
      <c r="X317" s="200" t="str">
        <f aca="false">IF($A318="","",(U317+S317+H317+V317))</f>
        <v/>
      </c>
      <c r="Y317" s="202"/>
      <c r="Z317" s="185" t="str">
        <f aca="false">IF($A318="","",VLOOKUP($A317,Table,MATCH(Z$4,Curves,0)))</f>
        <v/>
      </c>
      <c r="AA317" s="185" t="str">
        <f aca="false">IF($A318="","",VLOOKUP($A317,Table,MATCH(AA$4,Curves,0)))</f>
        <v/>
      </c>
      <c r="AB317" s="185" t="e">
        <f aca="false">SQRT((AA317^2*(A317-$D$3)+Z317^2*(DAY(EOMONTH(A317,0))/2))/AK317)</f>
        <v>#VALUE!</v>
      </c>
      <c r="AC317" s="185" t="str">
        <f aca="false">IF($A318="","",VLOOKUP($A317,Table,MATCH(AC$4,Curves,0)))</f>
        <v/>
      </c>
      <c r="AD317" s="185" t="str">
        <f aca="false">IF($A318="","",VLOOKUP($A317,Table,MATCH(AD$4,Curves,0)))</f>
        <v/>
      </c>
      <c r="AE317" s="185" t="e">
        <f aca="false">SQRT((AD317^2*(A317-$D$3)+AC317^2*(DAY(EOMONTH(A317,0))/2))/AK317)</f>
        <v>#VALUE!</v>
      </c>
      <c r="AF317" s="224" t="e">
        <f aca="false">((Summary!$N$9*(AA317*AD317)*(A317-$D$3))+(Summary!$M$9*Z317*AC317*(AJ317-EOMONTH(EDATE(A317,-1),0))))/(AK317*AB317*AE317)</f>
        <v>#VALUE!</v>
      </c>
      <c r="AG317" s="207" t="str">
        <f aca="false">IF($A318="","",Summary!$Q$9)</f>
        <v/>
      </c>
      <c r="AH317" s="207" t="str">
        <f aca="false">IF($A318="","",IF(Summary!$R$9="Y",VLOOKUP($A317,Summary!$AD$6:$AF$9,3)+'Escalating commodity'!E330,'Escalating commodity'!E330))</f>
        <v/>
      </c>
      <c r="AI317" s="207" t="str">
        <f aca="false">IF($A318="","",AH317)</f>
        <v/>
      </c>
      <c r="AJ317" s="208" t="e">
        <f aca="false">A317+DAY(EOMONTH(A317,0))/2-1</f>
        <v>#VALUE!</v>
      </c>
      <c r="AK317" s="209" t="str">
        <f aca="false">IF($A318="","",$A317-$E$1)</f>
        <v/>
      </c>
      <c r="AL317" s="182" t="str">
        <f aca="false">IF($A318="","",SPRDOPT(P317,X317,AI317,0,AB317,AE317,AF317,AK317,$AJ$2,0))</f>
        <v/>
      </c>
      <c r="AM317" s="211" t="str">
        <f aca="false">IF($A318="","",MAX(0,O317-W317-AI317))</f>
        <v/>
      </c>
      <c r="AN317" s="211" t="str">
        <f aca="false">IF($A318="","",AL317-AM317)</f>
        <v/>
      </c>
      <c r="AO317" s="137" t="str">
        <f aca="false">IF(A318="","",A318-A317)</f>
        <v/>
      </c>
      <c r="AP317" s="212" t="str">
        <f aca="false">IF(A318="","",CHOOSE(F$3,A318+24,A317))</f>
        <v/>
      </c>
      <c r="AQ317" s="209" t="str">
        <f aca="false">IF(A318="","",AP317-$E$1)</f>
        <v/>
      </c>
      <c r="AR317" s="185" t="n">
        <f aca="false">'ANR OK vs ML7'!AR317</f>
        <v>0.1</v>
      </c>
      <c r="AS317" s="213" t="str">
        <f aca="false">IF(A318="","",1/(1+CHOOSE(F$3,(AR318+($I$3/10000))/2,(AR317+($I$3/10000))/2))^(2*AQ317/365.25))</f>
        <v/>
      </c>
      <c r="AT317" s="137" t="str">
        <f aca="false">IF(A318="","",IF(AND(mthbeg&lt;=A317,mthend&gt;=A317),1,0))</f>
        <v/>
      </c>
      <c r="AU317" s="137" t="str">
        <f aca="false">IF(A318="","",AO317*AT317)</f>
        <v/>
      </c>
      <c r="AW317" s="195" t="str">
        <f aca="false">IF($A318="","",AL317*$E317)</f>
        <v/>
      </c>
      <c r="AX317" s="195" t="str">
        <f aca="false">IF($A318="","",AM317*$E317)</f>
        <v/>
      </c>
      <c r="AY317" s="195" t="str">
        <f aca="false">IF($A318="","",AN317*$E317)</f>
        <v/>
      </c>
      <c r="BA317" s="195" t="str">
        <f aca="false">IF($A318="","",F317*Summary!$Q$9)</f>
        <v/>
      </c>
    </row>
    <row r="318" customFormat="false" ht="12" hidden="false" customHeight="true" outlineLevel="0" collapsed="false">
      <c r="A318" s="196" t="str">
        <f aca="false">IF(A317&lt;mthend,EDATE(A317,1),"")</f>
        <v/>
      </c>
      <c r="B318" s="197" t="str">
        <f aca="false">IF(A318&lt;mthend,B317,"")</f>
        <v/>
      </c>
      <c r="C318" s="215"/>
      <c r="D318" s="197" t="str">
        <f aca="false">IF(A319&lt;&gt;"",B318+C318,"")</f>
        <v/>
      </c>
      <c r="E318" s="199" t="str">
        <f aca="false">IF(A319="","",IF(AND(AT318=1,$H$3=1),D318*AO318,IF($H$3=2,D318,"N/A")))</f>
        <v/>
      </c>
      <c r="F318" s="199" t="str">
        <f aca="false">IF(A319="","",E318*AS318)</f>
        <v/>
      </c>
      <c r="G318" s="200" t="str">
        <f aca="false">IF($A319="","",VLOOKUP($A318,Table,MATCH(G$4,Curves,0)))</f>
        <v/>
      </c>
      <c r="H318" s="201" t="str">
        <f aca="false">IF(A319="","",G318)</f>
        <v/>
      </c>
      <c r="I318" s="202"/>
      <c r="J318" s="200" t="str">
        <f aca="false">IF($A319="","",VLOOKUP($A318,Table,MATCH(J$4,Curves,0)))</f>
        <v/>
      </c>
      <c r="K318" s="201" t="str">
        <f aca="false">IF(A319="","",J318)</f>
        <v/>
      </c>
      <c r="L318" s="200" t="str">
        <f aca="false">IF($A319="","",VLOOKUP($A318,Table,MATCH(L$4,Curves,0)))</f>
        <v/>
      </c>
      <c r="M318" s="201" t="str">
        <f aca="false">IF(A319="","",L318)</f>
        <v/>
      </c>
      <c r="N318" s="203"/>
      <c r="O318" s="200" t="str">
        <f aca="false">IF(A319="","",L318+J318+G318)</f>
        <v/>
      </c>
      <c r="P318" s="200" t="str">
        <f aca="false">IF(A319="","",M318+K318+H318)</f>
        <v/>
      </c>
      <c r="Q318" s="204"/>
      <c r="R318" s="200" t="str">
        <f aca="false">IF($A319="","",VLOOKUP($A318,Table,MATCH(R$4,Curves,0)))</f>
        <v/>
      </c>
      <c r="S318" s="201" t="str">
        <f aca="false">IF(A319="","",R318)</f>
        <v/>
      </c>
      <c r="T318" s="200" t="str">
        <f aca="false">IF($A319="","",VLOOKUP($A318,Table,MATCH(T$4,Curves,0)))</f>
        <v/>
      </c>
      <c r="U318" s="201" t="str">
        <f aca="false">IF(A319="","",T318)</f>
        <v/>
      </c>
      <c r="V318" s="225" t="str">
        <f aca="false">IF($A319="","",IF(AND(MONTH(A318)&gt;3,MONTH(A318)&lt;11),(T318+R318+G318)*Summary!$T$9/(1-Summary!$T$9),(T318+R318+G318)*Summary!$U$9/(1-Summary!$U$9)))</f>
        <v/>
      </c>
      <c r="W318" s="200" t="str">
        <f aca="false">IF($A319="","",(T318+R318+G318+V318))</f>
        <v/>
      </c>
      <c r="X318" s="200" t="str">
        <f aca="false">IF($A319="","",(U318+S318+H318+V318))</f>
        <v/>
      </c>
      <c r="Y318" s="202"/>
      <c r="Z318" s="185" t="str">
        <f aca="false">IF($A319="","",VLOOKUP($A318,Table,MATCH(Z$4,Curves,0)))</f>
        <v/>
      </c>
      <c r="AA318" s="185" t="str">
        <f aca="false">IF($A319="","",VLOOKUP($A318,Table,MATCH(AA$4,Curves,0)))</f>
        <v/>
      </c>
      <c r="AB318" s="185" t="e">
        <f aca="false">SQRT((AA318^2*(A318-$D$3)+Z318^2*(DAY(EOMONTH(A318,0))/2))/AK318)</f>
        <v>#VALUE!</v>
      </c>
      <c r="AC318" s="185" t="str">
        <f aca="false">IF($A319="","",VLOOKUP($A318,Table,MATCH(AC$4,Curves,0)))</f>
        <v/>
      </c>
      <c r="AD318" s="185" t="str">
        <f aca="false">IF($A319="","",VLOOKUP($A318,Table,MATCH(AD$4,Curves,0)))</f>
        <v/>
      </c>
      <c r="AE318" s="185" t="e">
        <f aca="false">SQRT((AD318^2*(A318-$D$3)+AC318^2*(DAY(EOMONTH(A318,0))/2))/AK318)</f>
        <v>#VALUE!</v>
      </c>
      <c r="AF318" s="224" t="e">
        <f aca="false">((Summary!$N$9*(AA318*AD318)*(A318-$D$3))+(Summary!$M$9*Z318*AC318*(AJ318-EOMONTH(EDATE(A318,-1),0))))/(AK318*AB318*AE318)</f>
        <v>#VALUE!</v>
      </c>
      <c r="AG318" s="207" t="str">
        <f aca="false">IF($A319="","",Summary!$Q$9)</f>
        <v/>
      </c>
      <c r="AH318" s="207" t="str">
        <f aca="false">IF($A319="","",IF(Summary!$R$9="Y",VLOOKUP($A318,Summary!$AD$6:$AF$9,3)+'Escalating commodity'!E331,'Escalating commodity'!E331))</f>
        <v/>
      </c>
      <c r="AI318" s="207" t="str">
        <f aca="false">IF($A319="","",AH318)</f>
        <v/>
      </c>
      <c r="AJ318" s="208" t="e">
        <f aca="false">A318+DAY(EOMONTH(A318,0))/2-1</f>
        <v>#VALUE!</v>
      </c>
      <c r="AK318" s="209" t="str">
        <f aca="false">IF($A319="","",$A318-$E$1)</f>
        <v/>
      </c>
      <c r="AL318" s="182" t="str">
        <f aca="false">IF($A319="","",SPRDOPT(P318,X318,AI318,0,AB318,AE318,AF318,AK318,$AJ$2,0))</f>
        <v/>
      </c>
      <c r="AM318" s="211" t="str">
        <f aca="false">IF($A319="","",MAX(0,O318-W318-AI318))</f>
        <v/>
      </c>
      <c r="AN318" s="211" t="str">
        <f aca="false">IF($A319="","",AL318-AM318)</f>
        <v/>
      </c>
      <c r="AO318" s="137" t="str">
        <f aca="false">IF(A319="","",A319-A318)</f>
        <v/>
      </c>
      <c r="AP318" s="212" t="str">
        <f aca="false">IF(A319="","",CHOOSE(F$3,A319+24,A318))</f>
        <v/>
      </c>
      <c r="AQ318" s="209" t="str">
        <f aca="false">IF(A319="","",AP318-$E$1)</f>
        <v/>
      </c>
      <c r="AR318" s="185" t="n">
        <f aca="false">'ANR OK vs ML7'!AR318</f>
        <v>0.1</v>
      </c>
      <c r="AS318" s="213" t="str">
        <f aca="false">IF(A319="","",1/(1+CHOOSE(F$3,(AR319+($I$3/10000))/2,(AR318+($I$3/10000))/2))^(2*AQ318/365.25))</f>
        <v/>
      </c>
      <c r="AT318" s="137" t="str">
        <f aca="false">IF(A319="","",IF(AND(mthbeg&lt;=A318,mthend&gt;=A318),1,0))</f>
        <v/>
      </c>
      <c r="AU318" s="137" t="str">
        <f aca="false">IF(A319="","",AO318*AT318)</f>
        <v/>
      </c>
      <c r="AW318" s="195" t="str">
        <f aca="false">IF($A319="","",AL318*$E318)</f>
        <v/>
      </c>
      <c r="AX318" s="195" t="str">
        <f aca="false">IF($A319="","",AM318*$E318)</f>
        <v/>
      </c>
      <c r="AY318" s="195" t="str">
        <f aca="false">IF($A319="","",AN318*$E318)</f>
        <v/>
      </c>
      <c r="BA318" s="195" t="str">
        <f aca="false">IF($A319="","",F318*Summary!$Q$9)</f>
        <v/>
      </c>
    </row>
    <row r="319" customFormat="false" ht="12" hidden="false" customHeight="true" outlineLevel="0" collapsed="false">
      <c r="A319" s="196" t="str">
        <f aca="false">IF(A318&lt;mthend,EDATE(A318,1),"")</f>
        <v/>
      </c>
      <c r="B319" s="197" t="str">
        <f aca="false">IF(A319&lt;mthend,B318,"")</f>
        <v/>
      </c>
      <c r="C319" s="215"/>
      <c r="D319" s="197" t="str">
        <f aca="false">IF(A320&lt;&gt;"",B319+C319,"")</f>
        <v/>
      </c>
      <c r="E319" s="199" t="str">
        <f aca="false">IF(A320="","",IF(AND(AT319=1,$H$3=1),D319*AO319,IF($H$3=2,D319,"N/A")))</f>
        <v/>
      </c>
      <c r="F319" s="199" t="str">
        <f aca="false">IF(A320="","",E319*AS319)</f>
        <v/>
      </c>
      <c r="G319" s="200" t="str">
        <f aca="false">IF($A320="","",VLOOKUP($A319,Table,MATCH(G$4,Curves,0)))</f>
        <v/>
      </c>
      <c r="H319" s="201" t="str">
        <f aca="false">IF(A320="","",G319)</f>
        <v/>
      </c>
      <c r="I319" s="202"/>
      <c r="J319" s="200" t="str">
        <f aca="false">IF($A320="","",VLOOKUP($A319,Table,MATCH(J$4,Curves,0)))</f>
        <v/>
      </c>
      <c r="K319" s="201" t="str">
        <f aca="false">IF(A320="","",J319)</f>
        <v/>
      </c>
      <c r="L319" s="200" t="str">
        <f aca="false">IF($A320="","",VLOOKUP($A319,Table,MATCH(L$4,Curves,0)))</f>
        <v/>
      </c>
      <c r="M319" s="201" t="str">
        <f aca="false">IF(A320="","",L319)</f>
        <v/>
      </c>
      <c r="N319" s="203"/>
      <c r="O319" s="200" t="str">
        <f aca="false">IF(A320="","",L319+J319+G319)</f>
        <v/>
      </c>
      <c r="P319" s="200" t="str">
        <f aca="false">IF(A320="","",M319+K319+H319)</f>
        <v/>
      </c>
      <c r="Q319" s="204"/>
      <c r="R319" s="200" t="str">
        <f aca="false">IF($A320="","",VLOOKUP($A319,Table,MATCH(R$4,Curves,0)))</f>
        <v/>
      </c>
      <c r="S319" s="201" t="str">
        <f aca="false">IF(A320="","",R319)</f>
        <v/>
      </c>
      <c r="T319" s="200" t="str">
        <f aca="false">IF($A320="","",VLOOKUP($A319,Table,MATCH(T$4,Curves,0)))</f>
        <v/>
      </c>
      <c r="U319" s="201" t="str">
        <f aca="false">IF(A320="","",T319)</f>
        <v/>
      </c>
      <c r="V319" s="225" t="str">
        <f aca="false">IF($A320="","",IF(AND(MONTH(A319)&gt;3,MONTH(A319)&lt;11),(T319+R319+G319)*Summary!$T$9/(1-Summary!$T$9),(T319+R319+G319)*Summary!$U$9/(1-Summary!$U$9)))</f>
        <v/>
      </c>
      <c r="W319" s="200" t="str">
        <f aca="false">IF($A320="","",(T319+R319+G319+V319))</f>
        <v/>
      </c>
      <c r="X319" s="200" t="str">
        <f aca="false">IF($A320="","",(U319+S319+H319+V319))</f>
        <v/>
      </c>
      <c r="Y319" s="202"/>
      <c r="Z319" s="185" t="str">
        <f aca="false">IF($A320="","",VLOOKUP($A319,Table,MATCH(Z$4,Curves,0)))</f>
        <v/>
      </c>
      <c r="AA319" s="185" t="str">
        <f aca="false">IF($A320="","",VLOOKUP($A319,Table,MATCH(AA$4,Curves,0)))</f>
        <v/>
      </c>
      <c r="AB319" s="185" t="e">
        <f aca="false">SQRT((AA319^2*(A319-$D$3)+Z319^2*(DAY(EOMONTH(A319,0))/2))/AK319)</f>
        <v>#VALUE!</v>
      </c>
      <c r="AC319" s="185" t="str">
        <f aca="false">IF($A320="","",VLOOKUP($A319,Table,MATCH(AC$4,Curves,0)))</f>
        <v/>
      </c>
      <c r="AD319" s="185" t="str">
        <f aca="false">IF($A320="","",VLOOKUP($A319,Table,MATCH(AD$4,Curves,0)))</f>
        <v/>
      </c>
      <c r="AE319" s="185" t="e">
        <f aca="false">SQRT((AD319^2*(A319-$D$3)+AC319^2*(DAY(EOMONTH(A319,0))/2))/AK319)</f>
        <v>#VALUE!</v>
      </c>
      <c r="AF319" s="224" t="e">
        <f aca="false">((Summary!$N$9*(AA319*AD319)*(A319-$D$3))+(Summary!$M$9*Z319*AC319*(AJ319-EOMONTH(EDATE(A319,-1),0))))/(AK319*AB319*AE319)</f>
        <v>#VALUE!</v>
      </c>
      <c r="AG319" s="207" t="str">
        <f aca="false">IF($A320="","",Summary!$Q$9)</f>
        <v/>
      </c>
      <c r="AH319" s="207" t="str">
        <f aca="false">IF($A320="","",IF(Summary!$R$9="Y",VLOOKUP($A319,Summary!$AD$6:$AF$9,3)+'Escalating commodity'!E332,'Escalating commodity'!E332))</f>
        <v/>
      </c>
      <c r="AI319" s="207" t="str">
        <f aca="false">IF($A320="","",AH319)</f>
        <v/>
      </c>
      <c r="AJ319" s="208" t="e">
        <f aca="false">A319+DAY(EOMONTH(A319,0))/2-1</f>
        <v>#VALUE!</v>
      </c>
      <c r="AK319" s="209" t="str">
        <f aca="false">IF($A320="","",$A319-$E$1)</f>
        <v/>
      </c>
      <c r="AL319" s="182" t="str">
        <f aca="false">IF($A320="","",SPRDOPT(P319,X319,AI319,0,AB319,AE319,AF319,AK319,$AJ$2,0))</f>
        <v/>
      </c>
      <c r="AM319" s="211" t="str">
        <f aca="false">IF($A320="","",MAX(0,O319-W319-AI319))</f>
        <v/>
      </c>
      <c r="AN319" s="211" t="str">
        <f aca="false">IF($A320="","",AL319-AM319)</f>
        <v/>
      </c>
      <c r="AO319" s="137" t="str">
        <f aca="false">IF(A320="","",A320-A319)</f>
        <v/>
      </c>
      <c r="AP319" s="212" t="str">
        <f aca="false">IF(A320="","",CHOOSE(F$3,A320+24,A319))</f>
        <v/>
      </c>
      <c r="AQ319" s="209" t="str">
        <f aca="false">IF(A320="","",AP319-$E$1)</f>
        <v/>
      </c>
      <c r="AR319" s="185" t="n">
        <f aca="false">'ANR OK vs ML7'!AR319</f>
        <v>0.1</v>
      </c>
      <c r="AS319" s="213" t="str">
        <f aca="false">IF(A320="","",1/(1+CHOOSE(F$3,(AR320+($I$3/10000))/2,(AR319+($I$3/10000))/2))^(2*AQ319/365.25))</f>
        <v/>
      </c>
      <c r="AT319" s="137" t="str">
        <f aca="false">IF(A320="","",IF(AND(mthbeg&lt;=A319,mthend&gt;=A319),1,0))</f>
        <v/>
      </c>
      <c r="AU319" s="137" t="str">
        <f aca="false">IF(A320="","",AO319*AT319)</f>
        <v/>
      </c>
      <c r="AW319" s="195" t="str">
        <f aca="false">IF($A320="","",AL319*$E319)</f>
        <v/>
      </c>
      <c r="AX319" s="195" t="str">
        <f aca="false">IF($A320="","",AM319*$E319)</f>
        <v/>
      </c>
      <c r="AY319" s="195" t="str">
        <f aca="false">IF($A320="","",AN319*$E319)</f>
        <v/>
      </c>
      <c r="BA319" s="195" t="str">
        <f aca="false">IF($A320="","",F319*Summary!$Q$9)</f>
        <v/>
      </c>
    </row>
    <row r="320" customFormat="false" ht="12" hidden="false" customHeight="true" outlineLevel="0" collapsed="false">
      <c r="A320" s="196" t="str">
        <f aca="false">IF(A319&lt;mthend,EDATE(A319,1),"")</f>
        <v/>
      </c>
      <c r="B320" s="197" t="str">
        <f aca="false">IF(A320&lt;mthend,B319,"")</f>
        <v/>
      </c>
      <c r="C320" s="215"/>
      <c r="D320" s="197" t="str">
        <f aca="false">IF(A321&lt;&gt;"",B320+C320,"")</f>
        <v/>
      </c>
      <c r="E320" s="199" t="str">
        <f aca="false">IF(A321="","",IF(AND(AT320=1,$H$3=1),D320*AO320,IF($H$3=2,D320,"N/A")))</f>
        <v/>
      </c>
      <c r="F320" s="199" t="str">
        <f aca="false">IF(A321="","",E320*AS320)</f>
        <v/>
      </c>
      <c r="G320" s="200" t="str">
        <f aca="false">IF($A321="","",VLOOKUP($A320,Table,MATCH(G$4,Curves,0)))</f>
        <v/>
      </c>
      <c r="H320" s="201" t="str">
        <f aca="false">IF(A321="","",G320)</f>
        <v/>
      </c>
      <c r="I320" s="202"/>
      <c r="J320" s="200" t="str">
        <f aca="false">IF($A321="","",VLOOKUP($A320,Table,MATCH(J$4,Curves,0)))</f>
        <v/>
      </c>
      <c r="K320" s="201" t="str">
        <f aca="false">IF(A321="","",J320)</f>
        <v/>
      </c>
      <c r="L320" s="200" t="str">
        <f aca="false">IF($A321="","",VLOOKUP($A320,Table,MATCH(L$4,Curves,0)))</f>
        <v/>
      </c>
      <c r="M320" s="201" t="str">
        <f aca="false">IF(A321="","",L320)</f>
        <v/>
      </c>
      <c r="N320" s="203"/>
      <c r="O320" s="200" t="str">
        <f aca="false">IF(A321="","",L320+J320+G320)</f>
        <v/>
      </c>
      <c r="P320" s="200" t="str">
        <f aca="false">IF(A321="","",M320+K320+H320)</f>
        <v/>
      </c>
      <c r="Q320" s="204"/>
      <c r="R320" s="200" t="str">
        <f aca="false">IF($A321="","",VLOOKUP($A320,Table,MATCH(R$4,Curves,0)))</f>
        <v/>
      </c>
      <c r="S320" s="201" t="str">
        <f aca="false">IF(A321="","",R320)</f>
        <v/>
      </c>
      <c r="T320" s="200" t="str">
        <f aca="false">IF($A321="","",VLOOKUP($A320,Table,MATCH(T$4,Curves,0)))</f>
        <v/>
      </c>
      <c r="U320" s="201" t="str">
        <f aca="false">IF(A321="","",T320)</f>
        <v/>
      </c>
      <c r="V320" s="225" t="str">
        <f aca="false">IF($A321="","",IF(AND(MONTH(A320)&gt;3,MONTH(A320)&lt;11),(T320+R320+G320)*Summary!$T$9/(1-Summary!$T$9),(T320+R320+G320)*Summary!$U$9/(1-Summary!$U$9)))</f>
        <v/>
      </c>
      <c r="W320" s="200" t="str">
        <f aca="false">IF($A321="","",(T320+R320+G320+V320))</f>
        <v/>
      </c>
      <c r="X320" s="200" t="str">
        <f aca="false">IF($A321="","",(U320+S320+H320+V320))</f>
        <v/>
      </c>
      <c r="Y320" s="202"/>
      <c r="Z320" s="185" t="str">
        <f aca="false">IF($A321="","",VLOOKUP($A320,Table,MATCH(Z$4,Curves,0)))</f>
        <v/>
      </c>
      <c r="AA320" s="185" t="str">
        <f aca="false">IF($A321="","",VLOOKUP($A320,Table,MATCH(AA$4,Curves,0)))</f>
        <v/>
      </c>
      <c r="AB320" s="185" t="e">
        <f aca="false">SQRT((AA320^2*(A320-$D$3)+Z320^2*(DAY(EOMONTH(A320,0))/2))/AK320)</f>
        <v>#VALUE!</v>
      </c>
      <c r="AC320" s="185" t="str">
        <f aca="false">IF($A321="","",VLOOKUP($A320,Table,MATCH(AC$4,Curves,0)))</f>
        <v/>
      </c>
      <c r="AD320" s="185" t="str">
        <f aca="false">IF($A321="","",VLOOKUP($A320,Table,MATCH(AD$4,Curves,0)))</f>
        <v/>
      </c>
      <c r="AE320" s="185" t="e">
        <f aca="false">SQRT((AD320^2*(A320-$D$3)+AC320^2*(DAY(EOMONTH(A320,0))/2))/AK320)</f>
        <v>#VALUE!</v>
      </c>
      <c r="AF320" s="224" t="e">
        <f aca="false">((Summary!$N$9*(AA320*AD320)*(A320-$D$3))+(Summary!$M$9*Z320*AC320*(AJ320-EOMONTH(EDATE(A320,-1),0))))/(AK320*AB320*AE320)</f>
        <v>#VALUE!</v>
      </c>
      <c r="AG320" s="207" t="str">
        <f aca="false">IF($A321="","",Summary!$Q$9)</f>
        <v/>
      </c>
      <c r="AH320" s="207" t="str">
        <f aca="false">IF($A321="","",IF(Summary!$R$9="Y",VLOOKUP($A320,Summary!$AD$6:$AF$9,3)+'Escalating commodity'!E333,'Escalating commodity'!E333))</f>
        <v/>
      </c>
      <c r="AI320" s="207" t="str">
        <f aca="false">IF($A321="","",AH320)</f>
        <v/>
      </c>
      <c r="AJ320" s="208" t="e">
        <f aca="false">A320+DAY(EOMONTH(A320,0))/2-1</f>
        <v>#VALUE!</v>
      </c>
      <c r="AK320" s="209" t="str">
        <f aca="false">IF($A321="","",$A320-$E$1)</f>
        <v/>
      </c>
      <c r="AL320" s="182" t="str">
        <f aca="false">IF($A321="","",SPRDOPT(P320,X320,AI320,0,AB320,AE320,AF320,AK320,$AJ$2,0))</f>
        <v/>
      </c>
      <c r="AM320" s="211" t="str">
        <f aca="false">IF($A321="","",MAX(0,O320-W320-AI320))</f>
        <v/>
      </c>
      <c r="AN320" s="211" t="str">
        <f aca="false">IF($A321="","",AL320-AM320)</f>
        <v/>
      </c>
      <c r="AO320" s="137" t="str">
        <f aca="false">IF(A321="","",A321-A320)</f>
        <v/>
      </c>
      <c r="AP320" s="212" t="str">
        <f aca="false">IF(A321="","",CHOOSE(F$3,A321+24,A320))</f>
        <v/>
      </c>
      <c r="AQ320" s="209" t="str">
        <f aca="false">IF(A321="","",AP320-$E$1)</f>
        <v/>
      </c>
      <c r="AR320" s="185" t="n">
        <f aca="false">'ANR OK vs ML7'!AR320</f>
        <v>0.1</v>
      </c>
      <c r="AS320" s="213" t="str">
        <f aca="false">IF(A321="","",1/(1+CHOOSE(F$3,(AR321+($I$3/10000))/2,(AR320+($I$3/10000))/2))^(2*AQ320/365.25))</f>
        <v/>
      </c>
      <c r="AT320" s="137" t="str">
        <f aca="false">IF(A321="","",IF(AND(mthbeg&lt;=A320,mthend&gt;=A320),1,0))</f>
        <v/>
      </c>
      <c r="AU320" s="137" t="str">
        <f aca="false">IF(A321="","",AO320*AT320)</f>
        <v/>
      </c>
      <c r="AW320" s="195" t="str">
        <f aca="false">IF($A321="","",AL320*$E320)</f>
        <v/>
      </c>
      <c r="AX320" s="195" t="str">
        <f aca="false">IF($A321="","",AM320*$E320)</f>
        <v/>
      </c>
      <c r="AY320" s="195" t="str">
        <f aca="false">IF($A321="","",AN320*$E320)</f>
        <v/>
      </c>
      <c r="BA320" s="195" t="str">
        <f aca="false">IF($A321="","",F320*Summary!$Q$9)</f>
        <v/>
      </c>
    </row>
    <row r="321" customFormat="false" ht="12" hidden="false" customHeight="true" outlineLevel="0" collapsed="false">
      <c r="A321" s="196" t="str">
        <f aca="false">IF(A320&lt;mthend,EDATE(A320,1),"")</f>
        <v/>
      </c>
      <c r="B321" s="197" t="str">
        <f aca="false">IF(A321&lt;mthend,B320,"")</f>
        <v/>
      </c>
      <c r="C321" s="215"/>
      <c r="D321" s="197" t="str">
        <f aca="false">IF(A322&lt;&gt;"",B321+C321,"")</f>
        <v/>
      </c>
      <c r="E321" s="199" t="str">
        <f aca="false">IF(A322="","",IF(AND(AT321=1,$H$3=1),D321*AO321,IF($H$3=2,D321,"N/A")))</f>
        <v/>
      </c>
      <c r="F321" s="199" t="str">
        <f aca="false">IF(A322="","",E321*AS321)</f>
        <v/>
      </c>
      <c r="G321" s="200" t="str">
        <f aca="false">IF($A322="","",VLOOKUP($A321,Table,MATCH(G$4,Curves,0)))</f>
        <v/>
      </c>
      <c r="H321" s="201" t="str">
        <f aca="false">IF(A322="","",G321)</f>
        <v/>
      </c>
      <c r="I321" s="202"/>
      <c r="J321" s="200" t="str">
        <f aca="false">IF($A322="","",VLOOKUP($A321,Table,MATCH(J$4,Curves,0)))</f>
        <v/>
      </c>
      <c r="K321" s="201" t="str">
        <f aca="false">IF(A322="","",J321)</f>
        <v/>
      </c>
      <c r="L321" s="200" t="str">
        <f aca="false">IF($A322="","",VLOOKUP($A321,Table,MATCH(L$4,Curves,0)))</f>
        <v/>
      </c>
      <c r="M321" s="201" t="str">
        <f aca="false">IF(A322="","",L321)</f>
        <v/>
      </c>
      <c r="N321" s="203"/>
      <c r="O321" s="200" t="str">
        <f aca="false">IF(A322="","",L321+J321+G321)</f>
        <v/>
      </c>
      <c r="P321" s="200" t="str">
        <f aca="false">IF(A322="","",M321+K321+H321)</f>
        <v/>
      </c>
      <c r="Q321" s="204"/>
      <c r="R321" s="200" t="str">
        <f aca="false">IF($A322="","",VLOOKUP($A321,Table,MATCH(R$4,Curves,0)))</f>
        <v/>
      </c>
      <c r="S321" s="201" t="str">
        <f aca="false">IF(A322="","",R321)</f>
        <v/>
      </c>
      <c r="T321" s="200" t="str">
        <f aca="false">IF($A322="","",VLOOKUP($A321,Table,MATCH(T$4,Curves,0)))</f>
        <v/>
      </c>
      <c r="U321" s="201" t="str">
        <f aca="false">IF(A322="","",T321)</f>
        <v/>
      </c>
      <c r="V321" s="225" t="str">
        <f aca="false">IF($A322="","",IF(AND(MONTH(A321)&gt;3,MONTH(A321)&lt;11),(T321+R321+G321)*Summary!$T$9/(1-Summary!$T$9),(T321+R321+G321)*Summary!$U$9/(1-Summary!$U$9)))</f>
        <v/>
      </c>
      <c r="W321" s="200" t="str">
        <f aca="false">IF($A322="","",(T321+R321+G321+V321))</f>
        <v/>
      </c>
      <c r="X321" s="200" t="str">
        <f aca="false">IF($A322="","",(U321+S321+H321+V321))</f>
        <v/>
      </c>
      <c r="Y321" s="202"/>
      <c r="Z321" s="185" t="str">
        <f aca="false">IF($A322="","",VLOOKUP($A321,Table,MATCH(Z$4,Curves,0)))</f>
        <v/>
      </c>
      <c r="AA321" s="185" t="str">
        <f aca="false">IF($A322="","",VLOOKUP($A321,Table,MATCH(AA$4,Curves,0)))</f>
        <v/>
      </c>
      <c r="AB321" s="185" t="e">
        <f aca="false">SQRT((AA321^2*(A321-$D$3)+Z321^2*(DAY(EOMONTH(A321,0))/2))/AK321)</f>
        <v>#VALUE!</v>
      </c>
      <c r="AC321" s="185" t="str">
        <f aca="false">IF($A322="","",VLOOKUP($A321,Table,MATCH(AC$4,Curves,0)))</f>
        <v/>
      </c>
      <c r="AD321" s="185" t="str">
        <f aca="false">IF($A322="","",VLOOKUP($A321,Table,MATCH(AD$4,Curves,0)))</f>
        <v/>
      </c>
      <c r="AE321" s="185" t="e">
        <f aca="false">SQRT((AD321^2*(A321-$D$3)+AC321^2*(DAY(EOMONTH(A321,0))/2))/AK321)</f>
        <v>#VALUE!</v>
      </c>
      <c r="AF321" s="224" t="e">
        <f aca="false">((Summary!$N$9*(AA321*AD321)*(A321-$D$3))+(Summary!$M$9*Z321*AC321*(AJ321-EOMONTH(EDATE(A321,-1),0))))/(AK321*AB321*AE321)</f>
        <v>#VALUE!</v>
      </c>
      <c r="AG321" s="207" t="str">
        <f aca="false">IF($A322="","",Summary!$Q$9)</f>
        <v/>
      </c>
      <c r="AH321" s="207" t="str">
        <f aca="false">IF($A322="","",IF(Summary!$R$9="Y",VLOOKUP($A321,Summary!$AD$6:$AF$9,3)+'Escalating commodity'!E334,'Escalating commodity'!E334))</f>
        <v/>
      </c>
      <c r="AI321" s="207" t="str">
        <f aca="false">IF($A322="","",AH321)</f>
        <v/>
      </c>
      <c r="AJ321" s="208" t="e">
        <f aca="false">A321+DAY(EOMONTH(A321,0))/2-1</f>
        <v>#VALUE!</v>
      </c>
      <c r="AK321" s="209" t="str">
        <f aca="false">IF($A322="","",$A321-$E$1)</f>
        <v/>
      </c>
      <c r="AL321" s="182" t="str">
        <f aca="false">IF($A322="","",SPRDOPT(P321,X321,AI321,0,AB321,AE321,AF321,AK321,$AJ$2,0))</f>
        <v/>
      </c>
      <c r="AM321" s="211" t="str">
        <f aca="false">IF($A322="","",MAX(0,O321-W321-AI321))</f>
        <v/>
      </c>
      <c r="AN321" s="211" t="str">
        <f aca="false">IF($A322="","",AL321-AM321)</f>
        <v/>
      </c>
      <c r="AO321" s="137" t="str">
        <f aca="false">IF(A322="","",A322-A321)</f>
        <v/>
      </c>
      <c r="AP321" s="212" t="str">
        <f aca="false">IF(A322="","",CHOOSE(F$3,A322+24,A321))</f>
        <v/>
      </c>
      <c r="AQ321" s="209" t="str">
        <f aca="false">IF(A322="","",AP321-$E$1)</f>
        <v/>
      </c>
      <c r="AR321" s="185" t="n">
        <f aca="false">'ANR OK vs ML7'!AR321</f>
        <v>0.1</v>
      </c>
      <c r="AS321" s="213" t="str">
        <f aca="false">IF(A322="","",1/(1+CHOOSE(F$3,(AR322+($I$3/10000))/2,(AR321+($I$3/10000))/2))^(2*AQ321/365.25))</f>
        <v/>
      </c>
      <c r="AT321" s="137" t="str">
        <f aca="false">IF(A322="","",IF(AND(mthbeg&lt;=A321,mthend&gt;=A321),1,0))</f>
        <v/>
      </c>
      <c r="AU321" s="137" t="str">
        <f aca="false">IF(A322="","",AO321*AT321)</f>
        <v/>
      </c>
      <c r="AW321" s="195" t="str">
        <f aca="false">IF($A322="","",AL321*$E321)</f>
        <v/>
      </c>
      <c r="AX321" s="195" t="str">
        <f aca="false">IF($A322="","",AM321*$E321)</f>
        <v/>
      </c>
      <c r="AY321" s="195" t="str">
        <f aca="false">IF($A322="","",AN321*$E321)</f>
        <v/>
      </c>
      <c r="BA321" s="195" t="str">
        <f aca="false">IF($A322="","",F321*Summary!$Q$9)</f>
        <v/>
      </c>
    </row>
    <row r="322" customFormat="false" ht="12" hidden="false" customHeight="true" outlineLevel="0" collapsed="false">
      <c r="A322" s="196" t="str">
        <f aca="false">IF(A321&lt;mthend,EDATE(A321,1),"")</f>
        <v/>
      </c>
      <c r="B322" s="197" t="str">
        <f aca="false">IF(A322&lt;mthend,B321,"")</f>
        <v/>
      </c>
      <c r="C322" s="215"/>
      <c r="D322" s="197" t="str">
        <f aca="false">IF(A323&lt;&gt;"",B322+C322,"")</f>
        <v/>
      </c>
      <c r="E322" s="199" t="str">
        <f aca="false">IF(A323="","",IF(AND(AT322=1,$H$3=1),D322*AO322,IF($H$3=2,D322,"N/A")))</f>
        <v/>
      </c>
      <c r="F322" s="199" t="str">
        <f aca="false">IF(A323="","",E322*AS322)</f>
        <v/>
      </c>
      <c r="G322" s="200" t="str">
        <f aca="false">IF($A323="","",VLOOKUP($A322,Table,MATCH(G$4,Curves,0)))</f>
        <v/>
      </c>
      <c r="H322" s="201" t="str">
        <f aca="false">IF(A323="","",G322)</f>
        <v/>
      </c>
      <c r="I322" s="202"/>
      <c r="J322" s="200" t="str">
        <f aca="false">IF($A323="","",VLOOKUP($A322,Table,MATCH(J$4,Curves,0)))</f>
        <v/>
      </c>
      <c r="K322" s="201" t="str">
        <f aca="false">IF(A323="","",J322)</f>
        <v/>
      </c>
      <c r="L322" s="200" t="str">
        <f aca="false">IF($A323="","",VLOOKUP($A322,Table,MATCH(L$4,Curves,0)))</f>
        <v/>
      </c>
      <c r="M322" s="201" t="str">
        <f aca="false">IF(A323="","",L322)</f>
        <v/>
      </c>
      <c r="N322" s="203"/>
      <c r="O322" s="200" t="str">
        <f aca="false">IF(A323="","",L322+J322+G322)</f>
        <v/>
      </c>
      <c r="P322" s="200" t="str">
        <f aca="false">IF(A323="","",M322+K322+H322)</f>
        <v/>
      </c>
      <c r="Q322" s="204"/>
      <c r="R322" s="200" t="str">
        <f aca="false">IF($A323="","",VLOOKUP($A322,Table,MATCH(R$4,Curves,0)))</f>
        <v/>
      </c>
      <c r="S322" s="201" t="str">
        <f aca="false">IF(A323="","",R322)</f>
        <v/>
      </c>
      <c r="T322" s="200" t="str">
        <f aca="false">IF($A323="","",VLOOKUP($A322,Table,MATCH(T$4,Curves,0)))</f>
        <v/>
      </c>
      <c r="U322" s="201" t="str">
        <f aca="false">IF(A323="","",T322)</f>
        <v/>
      </c>
      <c r="V322" s="225" t="str">
        <f aca="false">IF($A323="","",IF(AND(MONTH(A322)&gt;3,MONTH(A322)&lt;11),(T322+R322+G322)*Summary!$T$9/(1-Summary!$T$9),(T322+R322+G322)*Summary!$U$9/(1-Summary!$U$9)))</f>
        <v/>
      </c>
      <c r="W322" s="200" t="str">
        <f aca="false">IF($A323="","",(T322+R322+G322+V322))</f>
        <v/>
      </c>
      <c r="X322" s="200" t="str">
        <f aca="false">IF($A323="","",(U322+S322+H322+V322))</f>
        <v/>
      </c>
      <c r="Y322" s="202"/>
      <c r="Z322" s="185" t="str">
        <f aca="false">IF($A323="","",VLOOKUP($A322,Table,MATCH(Z$4,Curves,0)))</f>
        <v/>
      </c>
      <c r="AA322" s="185" t="str">
        <f aca="false">IF($A323="","",VLOOKUP($A322,Table,MATCH(AA$4,Curves,0)))</f>
        <v/>
      </c>
      <c r="AB322" s="185" t="e">
        <f aca="false">SQRT((AA322^2*(A322-$D$3)+Z322^2*(DAY(EOMONTH(A322,0))/2))/AK322)</f>
        <v>#VALUE!</v>
      </c>
      <c r="AC322" s="185" t="str">
        <f aca="false">IF($A323="","",VLOOKUP($A322,Table,MATCH(AC$4,Curves,0)))</f>
        <v/>
      </c>
      <c r="AD322" s="185" t="str">
        <f aca="false">IF($A323="","",VLOOKUP($A322,Table,MATCH(AD$4,Curves,0)))</f>
        <v/>
      </c>
      <c r="AE322" s="185" t="e">
        <f aca="false">SQRT((AD322^2*(A322-$D$3)+AC322^2*(DAY(EOMONTH(A322,0))/2))/AK322)</f>
        <v>#VALUE!</v>
      </c>
      <c r="AF322" s="224" t="e">
        <f aca="false">((Summary!$N$9*(AA322*AD322)*(A322-$D$3))+(Summary!$M$9*Z322*AC322*(AJ322-EOMONTH(EDATE(A322,-1),0))))/(AK322*AB322*AE322)</f>
        <v>#VALUE!</v>
      </c>
      <c r="AG322" s="207" t="str">
        <f aca="false">IF($A323="","",Summary!$Q$9)</f>
        <v/>
      </c>
      <c r="AH322" s="207" t="str">
        <f aca="false">IF($A323="","",IF(Summary!$R$9="Y",VLOOKUP($A322,Summary!$AD$6:$AF$9,3)+'Escalating commodity'!E335,'Escalating commodity'!E335))</f>
        <v/>
      </c>
      <c r="AI322" s="207" t="str">
        <f aca="false">IF($A323="","",AH322)</f>
        <v/>
      </c>
      <c r="AJ322" s="208" t="e">
        <f aca="false">A322+DAY(EOMONTH(A322,0))/2-1</f>
        <v>#VALUE!</v>
      </c>
      <c r="AK322" s="209" t="str">
        <f aca="false">IF($A323="","",$A322-$E$1)</f>
        <v/>
      </c>
      <c r="AL322" s="182" t="str">
        <f aca="false">IF($A323="","",SPRDOPT(P322,X322,AI322,0,AB322,AE322,AF322,AK322,$AJ$2,0))</f>
        <v/>
      </c>
      <c r="AM322" s="211" t="str">
        <f aca="false">IF($A323="","",MAX(0,O322-W322-AI322))</f>
        <v/>
      </c>
      <c r="AN322" s="211" t="str">
        <f aca="false">IF($A323="","",AL322-AM322)</f>
        <v/>
      </c>
      <c r="AO322" s="137" t="str">
        <f aca="false">IF(A323="","",A323-A322)</f>
        <v/>
      </c>
      <c r="AP322" s="212" t="str">
        <f aca="false">IF(A323="","",CHOOSE(F$3,A323+24,A322))</f>
        <v/>
      </c>
      <c r="AQ322" s="209" t="str">
        <f aca="false">IF(A323="","",AP322-$E$1)</f>
        <v/>
      </c>
      <c r="AR322" s="185" t="n">
        <f aca="false">'ANR OK vs ML7'!AR322</f>
        <v>0.1</v>
      </c>
      <c r="AS322" s="213" t="str">
        <f aca="false">IF(A323="","",1/(1+CHOOSE(F$3,(AR323+($I$3/10000))/2,(AR322+($I$3/10000))/2))^(2*AQ322/365.25))</f>
        <v/>
      </c>
      <c r="AT322" s="137" t="str">
        <f aca="false">IF(A323="","",IF(AND(mthbeg&lt;=A322,mthend&gt;=A322),1,0))</f>
        <v/>
      </c>
      <c r="AU322" s="137" t="str">
        <f aca="false">IF(A323="","",AO322*AT322)</f>
        <v/>
      </c>
      <c r="AW322" s="195" t="str">
        <f aca="false">IF($A323="","",AL322*$E322)</f>
        <v/>
      </c>
      <c r="AX322" s="195" t="str">
        <f aca="false">IF($A323="","",AM322*$E322)</f>
        <v/>
      </c>
      <c r="AY322" s="195" t="str">
        <f aca="false">IF($A323="","",AN322*$E322)</f>
        <v/>
      </c>
      <c r="BA322" s="195" t="str">
        <f aca="false">IF($A323="","",F322*Summary!$Q$9)</f>
        <v/>
      </c>
    </row>
    <row r="323" customFormat="false" ht="12" hidden="false" customHeight="true" outlineLevel="0" collapsed="false">
      <c r="A323" s="196" t="str">
        <f aca="false">IF(A322&lt;mthend,EDATE(A322,1),"")</f>
        <v/>
      </c>
      <c r="B323" s="197" t="str">
        <f aca="false">IF(A323&lt;mthend,B322,"")</f>
        <v/>
      </c>
      <c r="C323" s="215"/>
      <c r="D323" s="197" t="str">
        <f aca="false">IF(A324&lt;&gt;"",B323+C323,"")</f>
        <v/>
      </c>
      <c r="E323" s="199" t="str">
        <f aca="false">IF(A324="","",IF(AND(AT323=1,$H$3=1),D323*AO323,IF($H$3=2,D323,"N/A")))</f>
        <v/>
      </c>
      <c r="F323" s="199" t="str">
        <f aca="false">IF(A324="","",E323*AS323)</f>
        <v/>
      </c>
      <c r="G323" s="200" t="str">
        <f aca="false">IF($A324="","",VLOOKUP($A323,Table,MATCH(G$4,Curves,0)))</f>
        <v/>
      </c>
      <c r="H323" s="201" t="str">
        <f aca="false">IF(A324="","",G323)</f>
        <v/>
      </c>
      <c r="I323" s="202"/>
      <c r="J323" s="200" t="str">
        <f aca="false">IF($A324="","",VLOOKUP($A323,Table,MATCH(J$4,Curves,0)))</f>
        <v/>
      </c>
      <c r="K323" s="201" t="str">
        <f aca="false">IF(A324="","",J323)</f>
        <v/>
      </c>
      <c r="L323" s="200" t="str">
        <f aca="false">IF($A324="","",VLOOKUP($A323,Table,MATCH(L$4,Curves,0)))</f>
        <v/>
      </c>
      <c r="M323" s="201" t="str">
        <f aca="false">IF(A324="","",L323)</f>
        <v/>
      </c>
      <c r="N323" s="203"/>
      <c r="O323" s="200" t="str">
        <f aca="false">IF(A324="","",L323+J323+G323)</f>
        <v/>
      </c>
      <c r="P323" s="200" t="str">
        <f aca="false">IF(A324="","",M323+K323+H323)</f>
        <v/>
      </c>
      <c r="Q323" s="204"/>
      <c r="R323" s="200" t="str">
        <f aca="false">IF($A324="","",VLOOKUP($A323,Table,MATCH(R$4,Curves,0)))</f>
        <v/>
      </c>
      <c r="S323" s="201" t="str">
        <f aca="false">IF(A324="","",R323)</f>
        <v/>
      </c>
      <c r="T323" s="200" t="str">
        <f aca="false">IF($A324="","",VLOOKUP($A323,Table,MATCH(T$4,Curves,0)))</f>
        <v/>
      </c>
      <c r="U323" s="201" t="str">
        <f aca="false">IF(A324="","",T323)</f>
        <v/>
      </c>
      <c r="V323" s="225" t="str">
        <f aca="false">IF($A324="","",IF(AND(MONTH(A323)&gt;3,MONTH(A323)&lt;11),(T323+R323+G323)*Summary!$T$9/(1-Summary!$T$9),(T323+R323+G323)*Summary!$U$9/(1-Summary!$U$9)))</f>
        <v/>
      </c>
      <c r="W323" s="200" t="str">
        <f aca="false">IF($A324="","",(T323+R323+G323+V323))</f>
        <v/>
      </c>
      <c r="X323" s="200" t="str">
        <f aca="false">IF($A324="","",(U323+S323+H323+V323))</f>
        <v/>
      </c>
      <c r="Y323" s="202"/>
      <c r="Z323" s="185" t="str">
        <f aca="false">IF($A324="","",VLOOKUP($A323,Table,MATCH(Z$4,Curves,0)))</f>
        <v/>
      </c>
      <c r="AA323" s="185" t="str">
        <f aca="false">IF($A324="","",VLOOKUP($A323,Table,MATCH(AA$4,Curves,0)))</f>
        <v/>
      </c>
      <c r="AB323" s="185" t="e">
        <f aca="false">SQRT((AA323^2*(A323-$D$3)+Z323^2*(DAY(EOMONTH(A323,0))/2))/AK323)</f>
        <v>#VALUE!</v>
      </c>
      <c r="AC323" s="185" t="str">
        <f aca="false">IF($A324="","",VLOOKUP($A323,Table,MATCH(AC$4,Curves,0)))</f>
        <v/>
      </c>
      <c r="AD323" s="185" t="str">
        <f aca="false">IF($A324="","",VLOOKUP($A323,Table,MATCH(AD$4,Curves,0)))</f>
        <v/>
      </c>
      <c r="AE323" s="185" t="e">
        <f aca="false">SQRT((AD323^2*(A323-$D$3)+AC323^2*(DAY(EOMONTH(A323,0))/2))/AK323)</f>
        <v>#VALUE!</v>
      </c>
      <c r="AF323" s="224" t="e">
        <f aca="false">((Summary!$N$9*(AA323*AD323)*(A323-$D$3))+(Summary!$M$9*Z323*AC323*(AJ323-EOMONTH(EDATE(A323,-1),0))))/(AK323*AB323*AE323)</f>
        <v>#VALUE!</v>
      </c>
      <c r="AG323" s="207" t="str">
        <f aca="false">IF($A324="","",Summary!$Q$9)</f>
        <v/>
      </c>
      <c r="AH323" s="207" t="str">
        <f aca="false">IF($A324="","",IF(Summary!$R$9="Y",VLOOKUP($A323,Summary!$AD$6:$AF$9,3)+'Escalating commodity'!E336,'Escalating commodity'!E336))</f>
        <v/>
      </c>
      <c r="AI323" s="207" t="str">
        <f aca="false">IF($A324="","",AH323)</f>
        <v/>
      </c>
      <c r="AJ323" s="208" t="e">
        <f aca="false">A323+DAY(EOMONTH(A323,0))/2-1</f>
        <v>#VALUE!</v>
      </c>
      <c r="AK323" s="209" t="str">
        <f aca="false">IF($A324="","",$A323-$E$1)</f>
        <v/>
      </c>
      <c r="AL323" s="182" t="str">
        <f aca="false">IF($A324="","",SPRDOPT(P323,X323,AI323,0,AB323,AE323,AF323,AK323,$AJ$2,0))</f>
        <v/>
      </c>
      <c r="AM323" s="211" t="str">
        <f aca="false">IF($A324="","",MAX(0,O323-W323-AI323))</f>
        <v/>
      </c>
      <c r="AN323" s="211" t="str">
        <f aca="false">IF($A324="","",AL323-AM323)</f>
        <v/>
      </c>
      <c r="AO323" s="137" t="str">
        <f aca="false">IF(A324="","",A324-A323)</f>
        <v/>
      </c>
      <c r="AP323" s="212" t="str">
        <f aca="false">IF(A324="","",CHOOSE(F$3,A324+24,A323))</f>
        <v/>
      </c>
      <c r="AQ323" s="209" t="str">
        <f aca="false">IF(A324="","",AP323-$E$1)</f>
        <v/>
      </c>
      <c r="AR323" s="185" t="n">
        <f aca="false">'ANR OK vs ML7'!AR323</f>
        <v>0.1</v>
      </c>
      <c r="AS323" s="213" t="str">
        <f aca="false">IF(A324="","",1/(1+CHOOSE(F$3,(AR324+($I$3/10000))/2,(AR323+($I$3/10000))/2))^(2*AQ323/365.25))</f>
        <v/>
      </c>
      <c r="AT323" s="137" t="str">
        <f aca="false">IF(A324="","",IF(AND(mthbeg&lt;=A323,mthend&gt;=A323),1,0))</f>
        <v/>
      </c>
      <c r="AU323" s="137" t="str">
        <f aca="false">IF(A324="","",AO323*AT323)</f>
        <v/>
      </c>
      <c r="AW323" s="195" t="str">
        <f aca="false">IF($A324="","",AL323*$E323)</f>
        <v/>
      </c>
      <c r="AX323" s="195" t="str">
        <f aca="false">IF($A324="","",AM323*$E323)</f>
        <v/>
      </c>
      <c r="AY323" s="195" t="str">
        <f aca="false">IF($A324="","",AN323*$E323)</f>
        <v/>
      </c>
      <c r="BA323" s="195" t="str">
        <f aca="false">IF($A324="","",F323*Summary!$Q$9)</f>
        <v/>
      </c>
    </row>
    <row r="324" customFormat="false" ht="12" hidden="false" customHeight="true" outlineLevel="0" collapsed="false">
      <c r="A324" s="196" t="str">
        <f aca="false">IF(A323&lt;mthend,EDATE(A323,1),"")</f>
        <v/>
      </c>
      <c r="B324" s="197" t="str">
        <f aca="false">IF(A324&lt;mthend,B323,"")</f>
        <v/>
      </c>
      <c r="C324" s="215"/>
      <c r="D324" s="197" t="str">
        <f aca="false">IF(A325&lt;&gt;"",B324+C324,"")</f>
        <v/>
      </c>
      <c r="E324" s="199" t="str">
        <f aca="false">IF(A325="","",IF(AND(AT324=1,$H$3=1),D324*AO324,IF($H$3=2,D324,"N/A")))</f>
        <v/>
      </c>
      <c r="F324" s="199" t="str">
        <f aca="false">IF(A325="","",E324*AS324)</f>
        <v/>
      </c>
      <c r="G324" s="200" t="str">
        <f aca="false">IF($A325="","",VLOOKUP($A324,Table,MATCH(G$4,Curves,0)))</f>
        <v/>
      </c>
      <c r="H324" s="201" t="str">
        <f aca="false">IF(A325="","",G324)</f>
        <v/>
      </c>
      <c r="I324" s="202"/>
      <c r="J324" s="200" t="str">
        <f aca="false">IF($A325="","",VLOOKUP($A324,Table,MATCH(J$4,Curves,0)))</f>
        <v/>
      </c>
      <c r="K324" s="201" t="str">
        <f aca="false">IF(A325="","",J324)</f>
        <v/>
      </c>
      <c r="L324" s="200" t="str">
        <f aca="false">IF($A325="","",VLOOKUP($A324,Table,MATCH(L$4,Curves,0)))</f>
        <v/>
      </c>
      <c r="M324" s="201" t="str">
        <f aca="false">IF(A325="","",L324)</f>
        <v/>
      </c>
      <c r="N324" s="203"/>
      <c r="O324" s="200" t="str">
        <f aca="false">IF(A325="","",L324+J324+G324)</f>
        <v/>
      </c>
      <c r="P324" s="200" t="str">
        <f aca="false">IF(A325="","",M324+K324+H324)</f>
        <v/>
      </c>
      <c r="Q324" s="204"/>
      <c r="R324" s="200" t="str">
        <f aca="false">IF($A325="","",VLOOKUP($A324,Table,MATCH(R$4,Curves,0)))</f>
        <v/>
      </c>
      <c r="S324" s="201" t="str">
        <f aca="false">IF(A325="","",R324)</f>
        <v/>
      </c>
      <c r="T324" s="200" t="str">
        <f aca="false">IF($A325="","",VLOOKUP($A324,Table,MATCH(T$4,Curves,0)))</f>
        <v/>
      </c>
      <c r="U324" s="201" t="str">
        <f aca="false">IF(A325="","",T324)</f>
        <v/>
      </c>
      <c r="V324" s="225" t="str">
        <f aca="false">IF($A325="","",IF(AND(MONTH(A324)&gt;3,MONTH(A324)&lt;11),(T324+R324+G324)*Summary!$T$9/(1-Summary!$T$9),(T324+R324+G324)*Summary!$U$9/(1-Summary!$U$9)))</f>
        <v/>
      </c>
      <c r="W324" s="200" t="str">
        <f aca="false">IF($A325="","",(T324+R324+G324+V324))</f>
        <v/>
      </c>
      <c r="X324" s="200" t="str">
        <f aca="false">IF($A325="","",(U324+S324+H324+V324))</f>
        <v/>
      </c>
      <c r="Y324" s="202"/>
      <c r="Z324" s="185" t="str">
        <f aca="false">IF($A325="","",VLOOKUP($A324,Table,MATCH(Z$4,Curves,0)))</f>
        <v/>
      </c>
      <c r="AA324" s="185" t="str">
        <f aca="false">IF($A325="","",VLOOKUP($A324,Table,MATCH(AA$4,Curves,0)))</f>
        <v/>
      </c>
      <c r="AB324" s="185" t="e">
        <f aca="false">SQRT((AA324^2*(A324-$D$3)+Z324^2*(DAY(EOMONTH(A324,0))/2))/AK324)</f>
        <v>#VALUE!</v>
      </c>
      <c r="AC324" s="185" t="str">
        <f aca="false">IF($A325="","",VLOOKUP($A324,Table,MATCH(AC$4,Curves,0)))</f>
        <v/>
      </c>
      <c r="AD324" s="185" t="str">
        <f aca="false">IF($A325="","",VLOOKUP($A324,Table,MATCH(AD$4,Curves,0)))</f>
        <v/>
      </c>
      <c r="AE324" s="185" t="e">
        <f aca="false">SQRT((AD324^2*(A324-$D$3)+AC324^2*(DAY(EOMONTH(A324,0))/2))/AK324)</f>
        <v>#VALUE!</v>
      </c>
      <c r="AF324" s="224" t="e">
        <f aca="false">((Summary!$N$9*(AA324*AD324)*(A324-$D$3))+(Summary!$M$9*Z324*AC324*(AJ324-EOMONTH(EDATE(A324,-1),0))))/(AK324*AB324*AE324)</f>
        <v>#VALUE!</v>
      </c>
      <c r="AG324" s="207" t="str">
        <f aca="false">IF($A325="","",Summary!$Q$9)</f>
        <v/>
      </c>
      <c r="AH324" s="207" t="str">
        <f aca="false">IF($A325="","",IF(Summary!$R$9="Y",VLOOKUP($A324,Summary!$AD$6:$AF$9,3)+'Escalating commodity'!E337,'Escalating commodity'!E337))</f>
        <v/>
      </c>
      <c r="AI324" s="207" t="str">
        <f aca="false">IF($A325="","",AH324)</f>
        <v/>
      </c>
      <c r="AJ324" s="208" t="e">
        <f aca="false">A324+DAY(EOMONTH(A324,0))/2-1</f>
        <v>#VALUE!</v>
      </c>
      <c r="AK324" s="209" t="str">
        <f aca="false">IF($A325="","",$A324-$E$1)</f>
        <v/>
      </c>
      <c r="AL324" s="182" t="str">
        <f aca="false">IF($A325="","",SPRDOPT(P324,X324,AI324,0,AB324,AE324,AF324,AK324,$AJ$2,0))</f>
        <v/>
      </c>
      <c r="AM324" s="211" t="str">
        <f aca="false">IF($A325="","",MAX(0,O324-W324-AI324))</f>
        <v/>
      </c>
      <c r="AN324" s="211" t="str">
        <f aca="false">IF($A325="","",AL324-AM324)</f>
        <v/>
      </c>
      <c r="AO324" s="137" t="str">
        <f aca="false">IF(A325="","",A325-A324)</f>
        <v/>
      </c>
      <c r="AP324" s="212" t="str">
        <f aca="false">IF(A325="","",CHOOSE(F$3,A325+24,A324))</f>
        <v/>
      </c>
      <c r="AQ324" s="209" t="str">
        <f aca="false">IF(A325="","",AP324-$E$1)</f>
        <v/>
      </c>
      <c r="AR324" s="185" t="n">
        <f aca="false">'ANR OK vs ML7'!AR324</f>
        <v>0.1</v>
      </c>
      <c r="AS324" s="213" t="str">
        <f aca="false">IF(A325="","",1/(1+CHOOSE(F$3,(AR325+($I$3/10000))/2,(AR324+($I$3/10000))/2))^(2*AQ324/365.25))</f>
        <v/>
      </c>
      <c r="AT324" s="137" t="str">
        <f aca="false">IF(A325="","",IF(AND(mthbeg&lt;=A324,mthend&gt;=A324),1,0))</f>
        <v/>
      </c>
      <c r="AU324" s="137" t="str">
        <f aca="false">IF(A325="","",AO324*AT324)</f>
        <v/>
      </c>
      <c r="AW324" s="195" t="str">
        <f aca="false">IF($A325="","",AL324*$E324)</f>
        <v/>
      </c>
      <c r="AX324" s="195" t="str">
        <f aca="false">IF($A325="","",AM324*$E324)</f>
        <v/>
      </c>
      <c r="AY324" s="195" t="str">
        <f aca="false">IF($A325="","",AN324*$E324)</f>
        <v/>
      </c>
      <c r="BA324" s="195" t="str">
        <f aca="false">IF($A325="","",F324*Summary!$Q$9)</f>
        <v/>
      </c>
    </row>
    <row r="325" customFormat="false" ht="12" hidden="false" customHeight="true" outlineLevel="0" collapsed="false">
      <c r="A325" s="196" t="str">
        <f aca="false">IF(A324&lt;mthend,EDATE(A324,1),"")</f>
        <v/>
      </c>
      <c r="B325" s="197" t="str">
        <f aca="false">IF(A325&lt;mthend,B324,"")</f>
        <v/>
      </c>
      <c r="C325" s="215"/>
      <c r="D325" s="197" t="str">
        <f aca="false">IF(A326&lt;&gt;"",B325+C325,"")</f>
        <v/>
      </c>
      <c r="E325" s="199" t="str">
        <f aca="false">IF(A326="","",IF(AND(AT325=1,$H$3=1),D325*AO325,IF($H$3=2,D325,"N/A")))</f>
        <v/>
      </c>
      <c r="F325" s="199" t="str">
        <f aca="false">IF(A326="","",E325*AS325)</f>
        <v/>
      </c>
      <c r="G325" s="200" t="str">
        <f aca="false">IF($A326="","",VLOOKUP($A325,Table,MATCH(G$4,Curves,0)))</f>
        <v/>
      </c>
      <c r="H325" s="201" t="str">
        <f aca="false">IF(A326="","",G325)</f>
        <v/>
      </c>
      <c r="I325" s="202"/>
      <c r="J325" s="200" t="str">
        <f aca="false">IF($A326="","",VLOOKUP($A325,Table,MATCH(J$4,Curves,0)))</f>
        <v/>
      </c>
      <c r="K325" s="201" t="str">
        <f aca="false">IF(A326="","",J325)</f>
        <v/>
      </c>
      <c r="L325" s="200" t="str">
        <f aca="false">IF($A326="","",VLOOKUP($A325,Table,MATCH(L$4,Curves,0)))</f>
        <v/>
      </c>
      <c r="M325" s="201" t="str">
        <f aca="false">IF(A326="","",L325)</f>
        <v/>
      </c>
      <c r="N325" s="203"/>
      <c r="O325" s="200" t="str">
        <f aca="false">IF(A326="","",L325+J325+G325)</f>
        <v/>
      </c>
      <c r="P325" s="200" t="str">
        <f aca="false">IF(A326="","",M325+K325+H325)</f>
        <v/>
      </c>
      <c r="Q325" s="204"/>
      <c r="R325" s="200" t="str">
        <f aca="false">IF($A326="","",VLOOKUP($A325,Table,MATCH(R$4,Curves,0)))</f>
        <v/>
      </c>
      <c r="S325" s="201" t="str">
        <f aca="false">IF(A326="","",R325)</f>
        <v/>
      </c>
      <c r="T325" s="200" t="str">
        <f aca="false">IF($A326="","",VLOOKUP($A325,Table,MATCH(T$4,Curves,0)))</f>
        <v/>
      </c>
      <c r="U325" s="201" t="str">
        <f aca="false">IF(A326="","",T325)</f>
        <v/>
      </c>
      <c r="V325" s="225" t="str">
        <f aca="false">IF($A326="","",IF(AND(MONTH(A325)&gt;3,MONTH(A325)&lt;11),(T325+R325+G325)*Summary!$T$9/(1-Summary!$T$9),(T325+R325+G325)*Summary!$U$9/(1-Summary!$U$9)))</f>
        <v/>
      </c>
      <c r="W325" s="200" t="str">
        <f aca="false">IF($A326="","",(T325+R325+G325+V325))</f>
        <v/>
      </c>
      <c r="X325" s="200" t="str">
        <f aca="false">IF($A326="","",(U325+S325+H325+V325))</f>
        <v/>
      </c>
      <c r="Y325" s="202"/>
      <c r="Z325" s="185" t="str">
        <f aca="false">IF($A326="","",VLOOKUP($A325,Table,MATCH(Z$4,Curves,0)))</f>
        <v/>
      </c>
      <c r="AA325" s="185" t="str">
        <f aca="false">IF($A326="","",VLOOKUP($A325,Table,MATCH(AA$4,Curves,0)))</f>
        <v/>
      </c>
      <c r="AB325" s="185" t="e">
        <f aca="false">SQRT((AA325^2*(A325-$D$3)+Z325^2*(DAY(EOMONTH(A325,0))/2))/AK325)</f>
        <v>#VALUE!</v>
      </c>
      <c r="AC325" s="185" t="str">
        <f aca="false">IF($A326="","",VLOOKUP($A325,Table,MATCH(AC$4,Curves,0)))</f>
        <v/>
      </c>
      <c r="AD325" s="185" t="str">
        <f aca="false">IF($A326="","",VLOOKUP($A325,Table,MATCH(AD$4,Curves,0)))</f>
        <v/>
      </c>
      <c r="AE325" s="185" t="e">
        <f aca="false">SQRT((AD325^2*(A325-$D$3)+AC325^2*(DAY(EOMONTH(A325,0))/2))/AK325)</f>
        <v>#VALUE!</v>
      </c>
      <c r="AF325" s="224" t="e">
        <f aca="false">((Summary!$N$9*(AA325*AD325)*(A325-$D$3))+(Summary!$M$9*Z325*AC325*(AJ325-EOMONTH(EDATE(A325,-1),0))))/(AK325*AB325*AE325)</f>
        <v>#VALUE!</v>
      </c>
      <c r="AG325" s="207" t="str">
        <f aca="false">IF($A326="","",Summary!$Q$9)</f>
        <v/>
      </c>
      <c r="AH325" s="207" t="str">
        <f aca="false">IF($A326="","",IF(Summary!$R$9="Y",VLOOKUP($A325,Summary!$AD$6:$AF$9,3)+'Escalating commodity'!E338,'Escalating commodity'!E338))</f>
        <v/>
      </c>
      <c r="AI325" s="207" t="str">
        <f aca="false">IF($A326="","",AH325)</f>
        <v/>
      </c>
      <c r="AJ325" s="208" t="e">
        <f aca="false">A325+DAY(EOMONTH(A325,0))/2-1</f>
        <v>#VALUE!</v>
      </c>
      <c r="AK325" s="209" t="str">
        <f aca="false">IF($A326="","",$A325-$E$1)</f>
        <v/>
      </c>
      <c r="AL325" s="182" t="str">
        <f aca="false">IF($A326="","",SPRDOPT(P325,X325,AI325,0,AB325,AE325,AF325,AK325,$AJ$2,0))</f>
        <v/>
      </c>
      <c r="AM325" s="211" t="str">
        <f aca="false">IF($A326="","",MAX(0,O325-W325-AI325))</f>
        <v/>
      </c>
      <c r="AN325" s="211" t="str">
        <f aca="false">IF($A326="","",AL325-AM325)</f>
        <v/>
      </c>
      <c r="AO325" s="137" t="str">
        <f aca="false">IF(A326="","",A326-A325)</f>
        <v/>
      </c>
      <c r="AP325" s="212" t="str">
        <f aca="false">IF(A326="","",CHOOSE(F$3,A326+24,A325))</f>
        <v/>
      </c>
      <c r="AQ325" s="209" t="str">
        <f aca="false">IF(A326="","",AP325-$E$1)</f>
        <v/>
      </c>
      <c r="AR325" s="185" t="n">
        <f aca="false">'ANR OK vs ML7'!AR325</f>
        <v>0.1</v>
      </c>
      <c r="AS325" s="213" t="str">
        <f aca="false">IF(A326="","",1/(1+CHOOSE(F$3,(AR326+($I$3/10000))/2,(AR325+($I$3/10000))/2))^(2*AQ325/365.25))</f>
        <v/>
      </c>
      <c r="AT325" s="137" t="str">
        <f aca="false">IF(A326="","",IF(AND(mthbeg&lt;=A325,mthend&gt;=A325),1,0))</f>
        <v/>
      </c>
      <c r="AU325" s="137" t="str">
        <f aca="false">IF(A326="","",AO325*AT325)</f>
        <v/>
      </c>
      <c r="AW325" s="195" t="str">
        <f aca="false">IF($A326="","",AL325*$E325)</f>
        <v/>
      </c>
      <c r="AX325" s="195" t="str">
        <f aca="false">IF($A326="","",AM325*$E325)</f>
        <v/>
      </c>
      <c r="AY325" s="195" t="str">
        <f aca="false">IF($A326="","",AN325*$E325)</f>
        <v/>
      </c>
      <c r="BA325" s="195" t="str">
        <f aca="false">IF($A326="","",F325*Summary!$Q$9)</f>
        <v/>
      </c>
    </row>
    <row r="326" customFormat="false" ht="12" hidden="false" customHeight="true" outlineLevel="0" collapsed="false">
      <c r="A326" s="196" t="str">
        <f aca="false">IF(A325&lt;mthend,EDATE(A325,1),"")</f>
        <v/>
      </c>
      <c r="B326" s="197" t="str">
        <f aca="false">IF(A326&lt;mthend,B325,"")</f>
        <v/>
      </c>
      <c r="C326" s="215"/>
      <c r="D326" s="197" t="str">
        <f aca="false">IF(A327&lt;&gt;"",B326+C326,"")</f>
        <v/>
      </c>
      <c r="E326" s="199" t="str">
        <f aca="false">IF(A327="","",IF(AND(AT326=1,$H$3=1),D326*AO326,IF($H$3=2,D326,"N/A")))</f>
        <v/>
      </c>
      <c r="F326" s="199" t="str">
        <f aca="false">IF(A327="","",E326*AS326)</f>
        <v/>
      </c>
      <c r="G326" s="200" t="str">
        <f aca="false">IF($A327="","",VLOOKUP($A326,Table,MATCH(G$4,Curves,0)))</f>
        <v/>
      </c>
      <c r="H326" s="201" t="str">
        <f aca="false">IF(A327="","",G326)</f>
        <v/>
      </c>
      <c r="I326" s="202"/>
      <c r="J326" s="200" t="str">
        <f aca="false">IF($A327="","",VLOOKUP($A326,Table,MATCH(J$4,Curves,0)))</f>
        <v/>
      </c>
      <c r="K326" s="201" t="str">
        <f aca="false">IF(A327="","",J326)</f>
        <v/>
      </c>
      <c r="L326" s="200" t="str">
        <f aca="false">IF($A327="","",VLOOKUP($A326,Table,MATCH(L$4,Curves,0)))</f>
        <v/>
      </c>
      <c r="M326" s="201" t="str">
        <f aca="false">IF(A327="","",L326)</f>
        <v/>
      </c>
      <c r="N326" s="203"/>
      <c r="O326" s="200" t="str">
        <f aca="false">IF(A327="","",L326+J326+G326)</f>
        <v/>
      </c>
      <c r="P326" s="200" t="str">
        <f aca="false">IF(A327="","",M326+K326+H326)</f>
        <v/>
      </c>
      <c r="Q326" s="204"/>
      <c r="R326" s="200" t="str">
        <f aca="false">IF($A327="","",VLOOKUP($A326,Table,MATCH(R$4,Curves,0)))</f>
        <v/>
      </c>
      <c r="S326" s="201" t="str">
        <f aca="false">IF(A327="","",R326)</f>
        <v/>
      </c>
      <c r="T326" s="200" t="str">
        <f aca="false">IF($A327="","",VLOOKUP($A326,Table,MATCH(T$4,Curves,0)))</f>
        <v/>
      </c>
      <c r="U326" s="201" t="str">
        <f aca="false">IF(A327="","",T326)</f>
        <v/>
      </c>
      <c r="V326" s="225" t="str">
        <f aca="false">IF($A327="","",IF(AND(MONTH(A326)&gt;3,MONTH(A326)&lt;11),(T326+R326+G326)*Summary!$T$9/(1-Summary!$T$9),(T326+R326+G326)*Summary!$U$9/(1-Summary!$U$9)))</f>
        <v/>
      </c>
      <c r="W326" s="200" t="str">
        <f aca="false">IF($A327="","",(T326+R326+G326+V326))</f>
        <v/>
      </c>
      <c r="X326" s="200" t="str">
        <f aca="false">IF($A327="","",(U326+S326+H326+V326))</f>
        <v/>
      </c>
      <c r="Y326" s="202"/>
      <c r="Z326" s="185" t="str">
        <f aca="false">IF($A327="","",VLOOKUP($A326,Table,MATCH(Z$4,Curves,0)))</f>
        <v/>
      </c>
      <c r="AA326" s="185" t="str">
        <f aca="false">IF($A327="","",VLOOKUP($A326,Table,MATCH(AA$4,Curves,0)))</f>
        <v/>
      </c>
      <c r="AB326" s="185" t="e">
        <f aca="false">SQRT((AA326^2*(A326-$D$3)+Z326^2*(DAY(EOMONTH(A326,0))/2))/AK326)</f>
        <v>#VALUE!</v>
      </c>
      <c r="AC326" s="185" t="str">
        <f aca="false">IF($A327="","",VLOOKUP($A326,Table,MATCH(AC$4,Curves,0)))</f>
        <v/>
      </c>
      <c r="AD326" s="185" t="str">
        <f aca="false">IF($A327="","",VLOOKUP($A326,Table,MATCH(AD$4,Curves,0)))</f>
        <v/>
      </c>
      <c r="AE326" s="185" t="e">
        <f aca="false">SQRT((AD326^2*(A326-$D$3)+AC326^2*(DAY(EOMONTH(A326,0))/2))/AK326)</f>
        <v>#VALUE!</v>
      </c>
      <c r="AF326" s="224" t="e">
        <f aca="false">((Summary!$N$9*(AA326*AD326)*(A326-$D$3))+(Summary!$M$9*Z326*AC326*(AJ326-EOMONTH(EDATE(A326,-1),0))))/(AK326*AB326*AE326)</f>
        <v>#VALUE!</v>
      </c>
      <c r="AG326" s="207" t="str">
        <f aca="false">IF($A327="","",Summary!$Q$9)</f>
        <v/>
      </c>
      <c r="AH326" s="207" t="str">
        <f aca="false">IF($A327="","",IF(Summary!$R$9="Y",VLOOKUP($A326,Summary!$AD$6:$AF$9,3)+'Escalating commodity'!E339,'Escalating commodity'!E339))</f>
        <v/>
      </c>
      <c r="AI326" s="207" t="str">
        <f aca="false">IF($A327="","",AH326)</f>
        <v/>
      </c>
      <c r="AJ326" s="208" t="e">
        <f aca="false">A326+DAY(EOMONTH(A326,0))/2-1</f>
        <v>#VALUE!</v>
      </c>
      <c r="AK326" s="209" t="str">
        <f aca="false">IF($A327="","",$A326-$E$1)</f>
        <v/>
      </c>
      <c r="AL326" s="182" t="str">
        <f aca="false">IF($A327="","",SPRDOPT(P326,X326,AI326,0,AB326,AE326,AF326,AK326,$AJ$2,0))</f>
        <v/>
      </c>
      <c r="AM326" s="211" t="str">
        <f aca="false">IF($A327="","",MAX(0,O326-W326-AI326))</f>
        <v/>
      </c>
      <c r="AN326" s="211" t="str">
        <f aca="false">IF($A327="","",AL326-AM326)</f>
        <v/>
      </c>
      <c r="AO326" s="137" t="str">
        <f aca="false">IF(A327="","",A327-A326)</f>
        <v/>
      </c>
      <c r="AP326" s="212" t="str">
        <f aca="false">IF(A327="","",CHOOSE(F$3,A327+24,A326))</f>
        <v/>
      </c>
      <c r="AQ326" s="209" t="str">
        <f aca="false">IF(A327="","",AP326-$E$1)</f>
        <v/>
      </c>
      <c r="AR326" s="185" t="n">
        <f aca="false">'ANR OK vs ML7'!AR326</f>
        <v>0.1</v>
      </c>
      <c r="AS326" s="213" t="str">
        <f aca="false">IF(A327="","",1/(1+CHOOSE(F$3,(AR327+($I$3/10000))/2,(AR326+($I$3/10000))/2))^(2*AQ326/365.25))</f>
        <v/>
      </c>
      <c r="AT326" s="137" t="str">
        <f aca="false">IF(A327="","",IF(AND(mthbeg&lt;=A326,mthend&gt;=A326),1,0))</f>
        <v/>
      </c>
      <c r="AU326" s="137" t="str">
        <f aca="false">IF(A327="","",AO326*AT326)</f>
        <v/>
      </c>
      <c r="AW326" s="195" t="str">
        <f aca="false">IF($A327="","",AL326*$E326)</f>
        <v/>
      </c>
      <c r="AX326" s="195" t="str">
        <f aca="false">IF($A327="","",AM326*$E326)</f>
        <v/>
      </c>
      <c r="AY326" s="195" t="str">
        <f aca="false">IF($A327="","",AN326*$E326)</f>
        <v/>
      </c>
      <c r="BA326" s="195" t="str">
        <f aca="false">IF($A327="","",F326*Summary!$Q$9)</f>
        <v/>
      </c>
    </row>
    <row r="327" customFormat="false" ht="12" hidden="false" customHeight="true" outlineLevel="0" collapsed="false">
      <c r="A327" s="196" t="str">
        <f aca="false">IF(A326&lt;mthend,EDATE(A326,1),"")</f>
        <v/>
      </c>
      <c r="B327" s="197" t="str">
        <f aca="false">IF(A327&lt;mthend,B326,"")</f>
        <v/>
      </c>
      <c r="C327" s="215"/>
      <c r="D327" s="197" t="str">
        <f aca="false">IF(A328&lt;&gt;"",B327+C327,"")</f>
        <v/>
      </c>
      <c r="E327" s="199" t="str">
        <f aca="false">IF(A328="","",IF(AND(AT327=1,$H$3=1),D327*AO327,IF($H$3=2,D327,"N/A")))</f>
        <v/>
      </c>
      <c r="F327" s="199" t="str">
        <f aca="false">IF(A328="","",E327*AS327)</f>
        <v/>
      </c>
      <c r="G327" s="200" t="str">
        <f aca="false">IF($A328="","",VLOOKUP($A327,Table,MATCH(G$4,Curves,0)))</f>
        <v/>
      </c>
      <c r="H327" s="201" t="str">
        <f aca="false">IF(A328="","",G327)</f>
        <v/>
      </c>
      <c r="I327" s="202"/>
      <c r="J327" s="200" t="str">
        <f aca="false">IF($A328="","",VLOOKUP($A327,Table,MATCH(J$4,Curves,0)))</f>
        <v/>
      </c>
      <c r="K327" s="201" t="str">
        <f aca="false">IF(A328="","",J327)</f>
        <v/>
      </c>
      <c r="L327" s="200" t="str">
        <f aca="false">IF($A328="","",VLOOKUP($A327,Table,MATCH(L$4,Curves,0)))</f>
        <v/>
      </c>
      <c r="M327" s="201" t="str">
        <f aca="false">IF(A328="","",L327)</f>
        <v/>
      </c>
      <c r="N327" s="203"/>
      <c r="O327" s="200" t="str">
        <f aca="false">IF(A328="","",L327+J327+G327)</f>
        <v/>
      </c>
      <c r="P327" s="200" t="str">
        <f aca="false">IF(A328="","",M327+K327+H327)</f>
        <v/>
      </c>
      <c r="Q327" s="204"/>
      <c r="R327" s="200" t="str">
        <f aca="false">IF($A328="","",VLOOKUP($A327,Table,MATCH(R$4,Curves,0)))</f>
        <v/>
      </c>
      <c r="S327" s="201" t="str">
        <f aca="false">IF(A328="","",R327)</f>
        <v/>
      </c>
      <c r="T327" s="200" t="str">
        <f aca="false">IF($A328="","",VLOOKUP($A327,Table,MATCH(T$4,Curves,0)))</f>
        <v/>
      </c>
      <c r="U327" s="201" t="str">
        <f aca="false">IF(A328="","",T327)</f>
        <v/>
      </c>
      <c r="V327" s="225" t="str">
        <f aca="false">IF($A328="","",IF(AND(MONTH(A327)&gt;3,MONTH(A327)&lt;11),(T327+R327+G327)*Summary!$T$9/(1-Summary!$T$9),(T327+R327+G327)*Summary!$U$9/(1-Summary!$U$9)))</f>
        <v/>
      </c>
      <c r="W327" s="200" t="str">
        <f aca="false">IF($A328="","",(T327+R327+G327+V327))</f>
        <v/>
      </c>
      <c r="X327" s="200" t="str">
        <f aca="false">IF($A328="","",(U327+S327+H327+V327))</f>
        <v/>
      </c>
      <c r="Y327" s="202"/>
      <c r="Z327" s="185" t="str">
        <f aca="false">IF($A328="","",VLOOKUP($A327,Table,MATCH(Z$4,Curves,0)))</f>
        <v/>
      </c>
      <c r="AA327" s="185" t="str">
        <f aca="false">IF($A328="","",VLOOKUP($A327,Table,MATCH(AA$4,Curves,0)))</f>
        <v/>
      </c>
      <c r="AB327" s="185" t="e">
        <f aca="false">SQRT((AA327^2*(A327-$D$3)+Z327^2*(DAY(EOMONTH(A327,0))/2))/AK327)</f>
        <v>#VALUE!</v>
      </c>
      <c r="AC327" s="185" t="str">
        <f aca="false">IF($A328="","",VLOOKUP($A327,Table,MATCH(AC$4,Curves,0)))</f>
        <v/>
      </c>
      <c r="AD327" s="185" t="str">
        <f aca="false">IF($A328="","",VLOOKUP($A327,Table,MATCH(AD$4,Curves,0)))</f>
        <v/>
      </c>
      <c r="AE327" s="185" t="e">
        <f aca="false">SQRT((AD327^2*(A327-$D$3)+AC327^2*(DAY(EOMONTH(A327,0))/2))/AK327)</f>
        <v>#VALUE!</v>
      </c>
      <c r="AF327" s="224" t="e">
        <f aca="false">((Summary!$N$9*(AA327*AD327)*(A327-$D$3))+(Summary!$M$9*Z327*AC327*(AJ327-EOMONTH(EDATE(A327,-1),0))))/(AK327*AB327*AE327)</f>
        <v>#VALUE!</v>
      </c>
      <c r="AG327" s="207" t="str">
        <f aca="false">IF($A328="","",Summary!$Q$9)</f>
        <v/>
      </c>
      <c r="AH327" s="207" t="str">
        <f aca="false">IF($A328="","",IF(Summary!$R$9="Y",VLOOKUP($A327,Summary!$AD$6:$AF$9,3)+'Escalating commodity'!E340,'Escalating commodity'!E340))</f>
        <v/>
      </c>
      <c r="AI327" s="207" t="str">
        <f aca="false">IF($A328="","",AH327)</f>
        <v/>
      </c>
      <c r="AJ327" s="208" t="e">
        <f aca="false">A327+DAY(EOMONTH(A327,0))/2-1</f>
        <v>#VALUE!</v>
      </c>
      <c r="AK327" s="209" t="str">
        <f aca="false">IF($A328="","",$A327-$E$1)</f>
        <v/>
      </c>
      <c r="AL327" s="182" t="str">
        <f aca="false">IF($A328="","",SPRDOPT(P327,X327,AI327,0,AB327,AE327,AF327,AK327,$AJ$2,0))</f>
        <v/>
      </c>
      <c r="AM327" s="211" t="str">
        <f aca="false">IF($A328="","",MAX(0,O327-W327-AI327))</f>
        <v/>
      </c>
      <c r="AN327" s="211" t="str">
        <f aca="false">IF($A328="","",AL327-AM327)</f>
        <v/>
      </c>
      <c r="AO327" s="137" t="str">
        <f aca="false">IF(A328="","",A328-A327)</f>
        <v/>
      </c>
      <c r="AP327" s="212" t="str">
        <f aca="false">IF(A328="","",CHOOSE(F$3,A328+24,A327))</f>
        <v/>
      </c>
      <c r="AQ327" s="209" t="str">
        <f aca="false">IF(A328="","",AP327-$E$1)</f>
        <v/>
      </c>
      <c r="AR327" s="185" t="n">
        <f aca="false">'ANR OK vs ML7'!AR327</f>
        <v>0.1</v>
      </c>
      <c r="AS327" s="213" t="str">
        <f aca="false">IF(A328="","",1/(1+CHOOSE(F$3,(AR328+($I$3/10000))/2,(AR327+($I$3/10000))/2))^(2*AQ327/365.25))</f>
        <v/>
      </c>
      <c r="AT327" s="137" t="str">
        <f aca="false">IF(A328="","",IF(AND(mthbeg&lt;=A327,mthend&gt;=A327),1,0))</f>
        <v/>
      </c>
      <c r="AU327" s="137" t="str">
        <f aca="false">IF(A328="","",AO327*AT327)</f>
        <v/>
      </c>
      <c r="AW327" s="195" t="str">
        <f aca="false">IF($A328="","",AL327*$E327)</f>
        <v/>
      </c>
      <c r="AX327" s="195" t="str">
        <f aca="false">IF($A328="","",AM327*$E327)</f>
        <v/>
      </c>
      <c r="AY327" s="195" t="str">
        <f aca="false">IF($A328="","",AN327*$E327)</f>
        <v/>
      </c>
      <c r="BA327" s="195" t="str">
        <f aca="false">IF($A328="","",F327*Summary!$Q$9)</f>
        <v/>
      </c>
    </row>
    <row r="328" customFormat="false" ht="12" hidden="false" customHeight="true" outlineLevel="0" collapsed="false">
      <c r="A328" s="196" t="str">
        <f aca="false">IF(A327&lt;mthend,EDATE(A327,1),"")</f>
        <v/>
      </c>
      <c r="B328" s="197" t="str">
        <f aca="false">IF(A328&lt;mthend,B327,"")</f>
        <v/>
      </c>
      <c r="C328" s="215"/>
      <c r="D328" s="197" t="str">
        <f aca="false">IF(A329&lt;&gt;"",B328+C328,"")</f>
        <v/>
      </c>
      <c r="E328" s="199" t="str">
        <f aca="false">IF(A329="","",IF(AND(AT328=1,$H$3=1),D328*AO328,IF($H$3=2,D328,"N/A")))</f>
        <v/>
      </c>
      <c r="F328" s="199" t="str">
        <f aca="false">IF(A329="","",E328*AS328)</f>
        <v/>
      </c>
      <c r="G328" s="200" t="str">
        <f aca="false">IF($A329="","",VLOOKUP($A328,Table,MATCH(G$4,Curves,0)))</f>
        <v/>
      </c>
      <c r="H328" s="201" t="str">
        <f aca="false">IF(A329="","",G328)</f>
        <v/>
      </c>
      <c r="I328" s="202"/>
      <c r="J328" s="200" t="str">
        <f aca="false">IF($A329="","",VLOOKUP($A328,Table,MATCH(J$4,Curves,0)))</f>
        <v/>
      </c>
      <c r="K328" s="201" t="str">
        <f aca="false">IF(A329="","",J328)</f>
        <v/>
      </c>
      <c r="L328" s="200" t="str">
        <f aca="false">IF($A329="","",VLOOKUP($A328,Table,MATCH(L$4,Curves,0)))</f>
        <v/>
      </c>
      <c r="M328" s="201" t="str">
        <f aca="false">IF(A329="","",L328)</f>
        <v/>
      </c>
      <c r="N328" s="203"/>
      <c r="O328" s="200" t="str">
        <f aca="false">IF(A329="","",L328+J328+G328)</f>
        <v/>
      </c>
      <c r="P328" s="200" t="str">
        <f aca="false">IF(A329="","",M328+K328+H328)</f>
        <v/>
      </c>
      <c r="Q328" s="204"/>
      <c r="R328" s="200" t="str">
        <f aca="false">IF($A329="","",VLOOKUP($A328,Table,MATCH(R$4,Curves,0)))</f>
        <v/>
      </c>
      <c r="S328" s="201" t="str">
        <f aca="false">IF(A329="","",R328)</f>
        <v/>
      </c>
      <c r="T328" s="200" t="str">
        <f aca="false">IF($A329="","",VLOOKUP($A328,Table,MATCH(T$4,Curves,0)))</f>
        <v/>
      </c>
      <c r="U328" s="201" t="str">
        <f aca="false">IF(A329="","",T328)</f>
        <v/>
      </c>
      <c r="V328" s="225" t="str">
        <f aca="false">IF($A329="","",IF(AND(MONTH(A328)&gt;3,MONTH(A328)&lt;11),(T328+R328+G328)*Summary!$T$9/(1-Summary!$T$9),(T328+R328+G328)*Summary!$U$9/(1-Summary!$U$9)))</f>
        <v/>
      </c>
      <c r="W328" s="200" t="str">
        <f aca="false">IF($A329="","",(T328+R328+G328+V328))</f>
        <v/>
      </c>
      <c r="X328" s="200" t="str">
        <f aca="false">IF($A329="","",(U328+S328+H328+V328))</f>
        <v/>
      </c>
      <c r="Y328" s="202"/>
      <c r="Z328" s="185" t="str">
        <f aca="false">IF($A329="","",VLOOKUP($A328,Table,MATCH(Z$4,Curves,0)))</f>
        <v/>
      </c>
      <c r="AA328" s="185" t="str">
        <f aca="false">IF($A329="","",VLOOKUP($A328,Table,MATCH(AA$4,Curves,0)))</f>
        <v/>
      </c>
      <c r="AB328" s="185" t="e">
        <f aca="false">SQRT((AA328^2*(A328-$D$3)+Z328^2*(DAY(EOMONTH(A328,0))/2))/AK328)</f>
        <v>#VALUE!</v>
      </c>
      <c r="AC328" s="185" t="str">
        <f aca="false">IF($A329="","",VLOOKUP($A328,Table,MATCH(AC$4,Curves,0)))</f>
        <v/>
      </c>
      <c r="AD328" s="185" t="str">
        <f aca="false">IF($A329="","",VLOOKUP($A328,Table,MATCH(AD$4,Curves,0)))</f>
        <v/>
      </c>
      <c r="AE328" s="185" t="e">
        <f aca="false">SQRT((AD328^2*(A328-$D$3)+AC328^2*(DAY(EOMONTH(A328,0))/2))/AK328)</f>
        <v>#VALUE!</v>
      </c>
      <c r="AF328" s="224" t="e">
        <f aca="false">((Summary!$N$9*(AA328*AD328)*(A328-$D$3))+(Summary!$M$9*Z328*AC328*(AJ328-EOMONTH(EDATE(A328,-1),0))))/(AK328*AB328*AE328)</f>
        <v>#VALUE!</v>
      </c>
      <c r="AG328" s="207" t="str">
        <f aca="false">IF($A329="","",Summary!$Q$9)</f>
        <v/>
      </c>
      <c r="AH328" s="207" t="str">
        <f aca="false">IF($A329="","",IF(Summary!$R$9="Y",VLOOKUP($A328,Summary!$AD$6:$AF$9,3)+'Escalating commodity'!E341,'Escalating commodity'!E341))</f>
        <v/>
      </c>
      <c r="AI328" s="207" t="str">
        <f aca="false">IF($A329="","",AH328)</f>
        <v/>
      </c>
      <c r="AJ328" s="208" t="e">
        <f aca="false">A328+DAY(EOMONTH(A328,0))/2-1</f>
        <v>#VALUE!</v>
      </c>
      <c r="AK328" s="209" t="str">
        <f aca="false">IF($A329="","",$A328-$E$1)</f>
        <v/>
      </c>
      <c r="AL328" s="182" t="str">
        <f aca="false">IF($A329="","",SPRDOPT(P328,X328,AI328,0,AB328,AE328,AF328,AK328,$AJ$2,0))</f>
        <v/>
      </c>
      <c r="AM328" s="211" t="str">
        <f aca="false">IF($A329="","",MAX(0,O328-W328-AI328))</f>
        <v/>
      </c>
      <c r="AN328" s="211" t="str">
        <f aca="false">IF($A329="","",AL328-AM328)</f>
        <v/>
      </c>
      <c r="AO328" s="137" t="str">
        <f aca="false">IF(A329="","",A329-A328)</f>
        <v/>
      </c>
      <c r="AP328" s="212" t="str">
        <f aca="false">IF(A329="","",CHOOSE(F$3,A329+24,A328))</f>
        <v/>
      </c>
      <c r="AQ328" s="209" t="str">
        <f aca="false">IF(A329="","",AP328-$E$1)</f>
        <v/>
      </c>
      <c r="AR328" s="185" t="n">
        <f aca="false">'ANR OK vs ML7'!AR328</f>
        <v>0.1</v>
      </c>
      <c r="AS328" s="213" t="str">
        <f aca="false">IF(A329="","",1/(1+CHOOSE(F$3,(AR329+($I$3/10000))/2,(AR328+($I$3/10000))/2))^(2*AQ328/365.25))</f>
        <v/>
      </c>
      <c r="AT328" s="137" t="str">
        <f aca="false">IF(A329="","",IF(AND(mthbeg&lt;=A328,mthend&gt;=A328),1,0))</f>
        <v/>
      </c>
      <c r="AU328" s="137" t="str">
        <f aca="false">IF(A329="","",AO328*AT328)</f>
        <v/>
      </c>
      <c r="AW328" s="195" t="str">
        <f aca="false">IF($A329="","",AL328*$E328)</f>
        <v/>
      </c>
      <c r="AX328" s="195" t="str">
        <f aca="false">IF($A329="","",AM328*$E328)</f>
        <v/>
      </c>
      <c r="AY328" s="195" t="str">
        <f aca="false">IF($A329="","",AN328*$E328)</f>
        <v/>
      </c>
      <c r="BA328" s="195" t="str">
        <f aca="false">IF($A329="","",F328*Summary!$Q$9)</f>
        <v/>
      </c>
    </row>
    <row r="329" customFormat="false" ht="12" hidden="false" customHeight="true" outlineLevel="0" collapsed="false">
      <c r="A329" s="196" t="str">
        <f aca="false">IF(A328&lt;mthend,EDATE(A328,1),"")</f>
        <v/>
      </c>
      <c r="B329" s="197" t="str">
        <f aca="false">IF(A329&lt;mthend,B328,"")</f>
        <v/>
      </c>
      <c r="C329" s="215"/>
      <c r="D329" s="197" t="str">
        <f aca="false">IF(A330&lt;&gt;"",B329+C329,"")</f>
        <v/>
      </c>
      <c r="E329" s="199" t="str">
        <f aca="false">IF(A330="","",IF(AND(AT329=1,$H$3=1),D329*AO329,IF($H$3=2,D329,"N/A")))</f>
        <v/>
      </c>
      <c r="F329" s="199" t="str">
        <f aca="false">IF(A330="","",E329*AS329)</f>
        <v/>
      </c>
      <c r="G329" s="200" t="str">
        <f aca="false">IF($A330="","",VLOOKUP($A329,Table,MATCH(G$4,Curves,0)))</f>
        <v/>
      </c>
      <c r="H329" s="201" t="str">
        <f aca="false">IF(A330="","",G329)</f>
        <v/>
      </c>
      <c r="I329" s="202"/>
      <c r="J329" s="200" t="str">
        <f aca="false">IF($A330="","",VLOOKUP($A329,Table,MATCH(J$4,Curves,0)))</f>
        <v/>
      </c>
      <c r="K329" s="201" t="str">
        <f aca="false">IF(A330="","",J329)</f>
        <v/>
      </c>
      <c r="L329" s="200" t="str">
        <f aca="false">IF($A330="","",VLOOKUP($A329,Table,MATCH(L$4,Curves,0)))</f>
        <v/>
      </c>
      <c r="M329" s="201" t="str">
        <f aca="false">IF(A330="","",L329)</f>
        <v/>
      </c>
      <c r="N329" s="203"/>
      <c r="O329" s="200" t="str">
        <f aca="false">IF(A330="","",L329+J329+G329)</f>
        <v/>
      </c>
      <c r="P329" s="200" t="str">
        <f aca="false">IF(A330="","",M329+K329+H329)</f>
        <v/>
      </c>
      <c r="Q329" s="204"/>
      <c r="R329" s="200" t="str">
        <f aca="false">IF($A330="","",VLOOKUP($A329,Table,MATCH(R$4,Curves,0)))</f>
        <v/>
      </c>
      <c r="S329" s="201" t="str">
        <f aca="false">IF(A330="","",R329)</f>
        <v/>
      </c>
      <c r="T329" s="200" t="str">
        <f aca="false">IF($A330="","",VLOOKUP($A329,Table,MATCH(T$4,Curves,0)))</f>
        <v/>
      </c>
      <c r="U329" s="201" t="str">
        <f aca="false">IF(A330="","",T329)</f>
        <v/>
      </c>
      <c r="V329" s="225" t="str">
        <f aca="false">IF($A330="","",IF(AND(MONTH(A329)&gt;3,MONTH(A329)&lt;11),(T329+R329+G329)*Summary!$T$9/(1-Summary!$T$9),(T329+R329+G329)*Summary!$U$9/(1-Summary!$U$9)))</f>
        <v/>
      </c>
      <c r="W329" s="200" t="str">
        <f aca="false">IF($A330="","",(T329+R329+G329+V329))</f>
        <v/>
      </c>
      <c r="X329" s="200" t="str">
        <f aca="false">IF($A330="","",(U329+S329+H329+V329))</f>
        <v/>
      </c>
      <c r="Y329" s="202"/>
      <c r="Z329" s="185" t="str">
        <f aca="false">IF($A330="","",VLOOKUP($A329,Table,MATCH(Z$4,Curves,0)))</f>
        <v/>
      </c>
      <c r="AA329" s="185" t="str">
        <f aca="false">IF($A330="","",VLOOKUP($A329,Table,MATCH(AA$4,Curves,0)))</f>
        <v/>
      </c>
      <c r="AB329" s="185" t="e">
        <f aca="false">SQRT((AA329^2*(A329-$D$3)+Z329^2*(DAY(EOMONTH(A329,0))/2))/AK329)</f>
        <v>#VALUE!</v>
      </c>
      <c r="AC329" s="185" t="str">
        <f aca="false">IF($A330="","",VLOOKUP($A329,Table,MATCH(AC$4,Curves,0)))</f>
        <v/>
      </c>
      <c r="AD329" s="185" t="str">
        <f aca="false">IF($A330="","",VLOOKUP($A329,Table,MATCH(AD$4,Curves,0)))</f>
        <v/>
      </c>
      <c r="AE329" s="185" t="e">
        <f aca="false">SQRT((AD329^2*(A329-$D$3)+AC329^2*(DAY(EOMONTH(A329,0))/2))/AK329)</f>
        <v>#VALUE!</v>
      </c>
      <c r="AF329" s="224" t="e">
        <f aca="false">((Summary!$N$9*(AA329*AD329)*(A329-$D$3))+(Summary!$M$9*Z329*AC329*(AJ329-EOMONTH(EDATE(A329,-1),0))))/(AK329*AB329*AE329)</f>
        <v>#VALUE!</v>
      </c>
      <c r="AG329" s="207" t="str">
        <f aca="false">IF($A330="","",Summary!$Q$9)</f>
        <v/>
      </c>
      <c r="AH329" s="207" t="str">
        <f aca="false">IF($A330="","",IF(Summary!$R$9="Y",VLOOKUP($A329,Summary!$AD$6:$AF$9,3)+'Escalating commodity'!E342,'Escalating commodity'!E342))</f>
        <v/>
      </c>
      <c r="AI329" s="207" t="str">
        <f aca="false">IF($A330="","",AH329)</f>
        <v/>
      </c>
      <c r="AJ329" s="208" t="e">
        <f aca="false">A329+DAY(EOMONTH(A329,0))/2-1</f>
        <v>#VALUE!</v>
      </c>
      <c r="AK329" s="209" t="str">
        <f aca="false">IF($A330="","",$A329-$E$1)</f>
        <v/>
      </c>
      <c r="AL329" s="182" t="str">
        <f aca="false">IF($A330="","",SPRDOPT(P329,X329,AI329,0,AB329,AE329,AF329,AK329,$AJ$2,0))</f>
        <v/>
      </c>
      <c r="AM329" s="211" t="str">
        <f aca="false">IF($A330="","",MAX(0,O329-W329-AI329))</f>
        <v/>
      </c>
      <c r="AN329" s="211" t="str">
        <f aca="false">IF($A330="","",AL329-AM329)</f>
        <v/>
      </c>
      <c r="AO329" s="137" t="str">
        <f aca="false">IF(A330="","",A330-A329)</f>
        <v/>
      </c>
      <c r="AP329" s="212" t="str">
        <f aca="false">IF(A330="","",CHOOSE(F$3,A330+24,A329))</f>
        <v/>
      </c>
      <c r="AQ329" s="209" t="str">
        <f aca="false">IF(A330="","",AP329-$E$1)</f>
        <v/>
      </c>
      <c r="AR329" s="185" t="n">
        <f aca="false">'ANR OK vs ML7'!AR329</f>
        <v>0.1</v>
      </c>
      <c r="AS329" s="213" t="str">
        <f aca="false">IF(A330="","",1/(1+CHOOSE(F$3,(AR330+($I$3/10000))/2,(AR329+($I$3/10000))/2))^(2*AQ329/365.25))</f>
        <v/>
      </c>
      <c r="AT329" s="137" t="str">
        <f aca="false">IF(A330="","",IF(AND(mthbeg&lt;=A329,mthend&gt;=A329),1,0))</f>
        <v/>
      </c>
      <c r="AU329" s="137" t="str">
        <f aca="false">IF(A330="","",AO329*AT329)</f>
        <v/>
      </c>
      <c r="AW329" s="195" t="str">
        <f aca="false">IF($A330="","",AL329*$E329)</f>
        <v/>
      </c>
      <c r="AX329" s="195" t="str">
        <f aca="false">IF($A330="","",AM329*$E329)</f>
        <v/>
      </c>
      <c r="AY329" s="195" t="str">
        <f aca="false">IF($A330="","",AN329*$E329)</f>
        <v/>
      </c>
      <c r="BA329" s="195" t="str">
        <f aca="false">IF($A330="","",F329*Summary!$Q$9)</f>
        <v/>
      </c>
    </row>
    <row r="330" customFormat="false" ht="12" hidden="false" customHeight="true" outlineLevel="0" collapsed="false">
      <c r="A330" s="196" t="str">
        <f aca="false">IF(A329&lt;mthend,EDATE(A329,1),"")</f>
        <v/>
      </c>
      <c r="B330" s="197" t="str">
        <f aca="false">IF(A330&lt;mthend,B329,"")</f>
        <v/>
      </c>
      <c r="C330" s="215"/>
      <c r="D330" s="197" t="str">
        <f aca="false">IF(A331&lt;&gt;"",B330+C330,"")</f>
        <v/>
      </c>
      <c r="E330" s="199" t="str">
        <f aca="false">IF(A331="","",IF(AND(AT330=1,$H$3=1),D330*AO330,IF($H$3=2,D330,"N/A")))</f>
        <v/>
      </c>
      <c r="F330" s="199" t="str">
        <f aca="false">IF(A331="","",E330*AS330)</f>
        <v/>
      </c>
      <c r="G330" s="200" t="str">
        <f aca="false">IF($A331="","",VLOOKUP($A330,Table,MATCH(G$4,Curves,0)))</f>
        <v/>
      </c>
      <c r="H330" s="201" t="str">
        <f aca="false">IF(A331="","",G330)</f>
        <v/>
      </c>
      <c r="I330" s="202"/>
      <c r="J330" s="200" t="str">
        <f aca="false">IF($A331="","",VLOOKUP($A330,Table,MATCH(J$4,Curves,0)))</f>
        <v/>
      </c>
      <c r="K330" s="201" t="str">
        <f aca="false">IF(A331="","",J330)</f>
        <v/>
      </c>
      <c r="L330" s="200" t="str">
        <f aca="false">IF($A331="","",VLOOKUP($A330,Table,MATCH(L$4,Curves,0)))</f>
        <v/>
      </c>
      <c r="M330" s="201" t="str">
        <f aca="false">IF(A331="","",L330)</f>
        <v/>
      </c>
      <c r="N330" s="203"/>
      <c r="O330" s="200" t="str">
        <f aca="false">IF(A331="","",L330+J330+G330)</f>
        <v/>
      </c>
      <c r="P330" s="200" t="str">
        <f aca="false">IF(A331="","",M330+K330+H330)</f>
        <v/>
      </c>
      <c r="Q330" s="204"/>
      <c r="R330" s="200" t="str">
        <f aca="false">IF($A331="","",VLOOKUP($A330,Table,MATCH(R$4,Curves,0)))</f>
        <v/>
      </c>
      <c r="S330" s="201" t="str">
        <f aca="false">IF(A331="","",R330)</f>
        <v/>
      </c>
      <c r="T330" s="200" t="str">
        <f aca="false">IF($A331="","",VLOOKUP($A330,Table,MATCH(T$4,Curves,0)))</f>
        <v/>
      </c>
      <c r="U330" s="201" t="str">
        <f aca="false">IF(A331="","",T330)</f>
        <v/>
      </c>
      <c r="V330" s="225" t="str">
        <f aca="false">IF($A331="","",IF(AND(MONTH(A330)&gt;3,MONTH(A330)&lt;11),(T330+R330+G330)*Summary!$T$9/(1-Summary!$T$9),(T330+R330+G330)*Summary!$U$9/(1-Summary!$U$9)))</f>
        <v/>
      </c>
      <c r="W330" s="200" t="str">
        <f aca="false">IF($A331="","",(T330+R330+G330+V330))</f>
        <v/>
      </c>
      <c r="X330" s="200" t="str">
        <f aca="false">IF($A331="","",(U330+S330+H330+V330))</f>
        <v/>
      </c>
      <c r="Y330" s="202"/>
      <c r="Z330" s="185" t="str">
        <f aca="false">IF($A331="","",VLOOKUP($A330,Table,MATCH(Z$4,Curves,0)))</f>
        <v/>
      </c>
      <c r="AA330" s="185" t="str">
        <f aca="false">IF($A331="","",VLOOKUP($A330,Table,MATCH(AA$4,Curves,0)))</f>
        <v/>
      </c>
      <c r="AB330" s="185" t="e">
        <f aca="false">SQRT((AA330^2*(A330-$D$3)+Z330^2*(DAY(EOMONTH(A330,0))/2))/AK330)</f>
        <v>#VALUE!</v>
      </c>
      <c r="AC330" s="185" t="str">
        <f aca="false">IF($A331="","",VLOOKUP($A330,Table,MATCH(AC$4,Curves,0)))</f>
        <v/>
      </c>
      <c r="AD330" s="185" t="str">
        <f aca="false">IF($A331="","",VLOOKUP($A330,Table,MATCH(AD$4,Curves,0)))</f>
        <v/>
      </c>
      <c r="AE330" s="185" t="e">
        <f aca="false">SQRT((AD330^2*(A330-$D$3)+AC330^2*(DAY(EOMONTH(A330,0))/2))/AK330)</f>
        <v>#VALUE!</v>
      </c>
      <c r="AF330" s="224" t="e">
        <f aca="false">((Summary!$N$9*(AA330*AD330)*(A330-$D$3))+(Summary!$M$9*Z330*AC330*(AJ330-EOMONTH(EDATE(A330,-1),0))))/(AK330*AB330*AE330)</f>
        <v>#VALUE!</v>
      </c>
      <c r="AG330" s="207" t="str">
        <f aca="false">IF($A331="","",Summary!$Q$9)</f>
        <v/>
      </c>
      <c r="AH330" s="207" t="str">
        <f aca="false">IF($A331="","",IF(Summary!$R$9="Y",VLOOKUP($A330,Summary!$AD$6:$AF$9,3)+'Escalating commodity'!E343,'Escalating commodity'!E343))</f>
        <v/>
      </c>
      <c r="AI330" s="207" t="str">
        <f aca="false">IF($A331="","",AH330)</f>
        <v/>
      </c>
      <c r="AJ330" s="208" t="e">
        <f aca="false">A330+DAY(EOMONTH(A330,0))/2-1</f>
        <v>#VALUE!</v>
      </c>
      <c r="AK330" s="209" t="str">
        <f aca="false">IF($A331="","",$A330-$E$1)</f>
        <v/>
      </c>
      <c r="AL330" s="182" t="str">
        <f aca="false">IF($A331="","",SPRDOPT(P330,X330,AI330,0,AB330,AE330,AF330,AK330,$AJ$2,0))</f>
        <v/>
      </c>
      <c r="AM330" s="211" t="str">
        <f aca="false">IF($A331="","",MAX(0,O330-W330-AI330))</f>
        <v/>
      </c>
      <c r="AN330" s="211" t="str">
        <f aca="false">IF($A331="","",AL330-AM330)</f>
        <v/>
      </c>
      <c r="AO330" s="137" t="str">
        <f aca="false">IF(A331="","",A331-A330)</f>
        <v/>
      </c>
      <c r="AP330" s="212" t="str">
        <f aca="false">IF(A331="","",CHOOSE(F$3,A331+24,A330))</f>
        <v/>
      </c>
      <c r="AQ330" s="209" t="str">
        <f aca="false">IF(A331="","",AP330-$E$1)</f>
        <v/>
      </c>
      <c r="AR330" s="185" t="n">
        <f aca="false">'ANR OK vs ML7'!AR330</f>
        <v>0.1</v>
      </c>
      <c r="AS330" s="213" t="str">
        <f aca="false">IF(A331="","",1/(1+CHOOSE(F$3,(AR331+($I$3/10000))/2,(AR330+($I$3/10000))/2))^(2*AQ330/365.25))</f>
        <v/>
      </c>
      <c r="AT330" s="137" t="str">
        <f aca="false">IF(A331="","",IF(AND(mthbeg&lt;=A330,mthend&gt;=A330),1,0))</f>
        <v/>
      </c>
      <c r="AU330" s="137" t="str">
        <f aca="false">IF(A331="","",AO330*AT330)</f>
        <v/>
      </c>
      <c r="AW330" s="195" t="str">
        <f aca="false">IF($A331="","",AL330*$E330)</f>
        <v/>
      </c>
      <c r="AX330" s="195" t="str">
        <f aca="false">IF($A331="","",AM330*$E330)</f>
        <v/>
      </c>
      <c r="AY330" s="195" t="str">
        <f aca="false">IF($A331="","",AN330*$E330)</f>
        <v/>
      </c>
      <c r="BA330" s="195" t="str">
        <f aca="false">IF($A331="","",F330*Summary!$Q$9)</f>
        <v/>
      </c>
    </row>
    <row r="331" customFormat="false" ht="12" hidden="false" customHeight="true" outlineLevel="0" collapsed="false">
      <c r="A331" s="196" t="str">
        <f aca="false">IF(A330&lt;mthend,EDATE(A330,1),"")</f>
        <v/>
      </c>
      <c r="B331" s="197" t="str">
        <f aca="false">IF(A331&lt;mthend,B330,"")</f>
        <v/>
      </c>
      <c r="C331" s="215"/>
      <c r="D331" s="197" t="str">
        <f aca="false">IF(A332&lt;&gt;"",B331+C331,"")</f>
        <v/>
      </c>
      <c r="E331" s="199" t="str">
        <f aca="false">IF(A332="","",IF(AND(AT331=1,$H$3=1),D331*AO331,IF($H$3=2,D331,"N/A")))</f>
        <v/>
      </c>
      <c r="F331" s="199" t="str">
        <f aca="false">IF(A332="","",E331*AS331)</f>
        <v/>
      </c>
      <c r="G331" s="200" t="str">
        <f aca="false">IF($A332="","",VLOOKUP($A331,Table,MATCH(G$4,Curves,0)))</f>
        <v/>
      </c>
      <c r="H331" s="201" t="str">
        <f aca="false">IF(A332="","",G331)</f>
        <v/>
      </c>
      <c r="I331" s="202"/>
      <c r="J331" s="200" t="str">
        <f aca="false">IF($A332="","",VLOOKUP($A331,Table,MATCH(J$4,Curves,0)))</f>
        <v/>
      </c>
      <c r="K331" s="201" t="str">
        <f aca="false">IF(A332="","",J331)</f>
        <v/>
      </c>
      <c r="L331" s="200" t="str">
        <f aca="false">IF($A332="","",VLOOKUP($A331,Table,MATCH(L$4,Curves,0)))</f>
        <v/>
      </c>
      <c r="M331" s="201" t="str">
        <f aca="false">IF(A332="","",L331)</f>
        <v/>
      </c>
      <c r="N331" s="203"/>
      <c r="O331" s="200" t="str">
        <f aca="false">IF(A332="","",L331+J331+G331)</f>
        <v/>
      </c>
      <c r="P331" s="200" t="str">
        <f aca="false">IF(A332="","",M331+K331+H331)</f>
        <v/>
      </c>
      <c r="Q331" s="204"/>
      <c r="R331" s="200" t="str">
        <f aca="false">IF($A332="","",VLOOKUP($A331,Table,MATCH(R$4,Curves,0)))</f>
        <v/>
      </c>
      <c r="S331" s="201" t="str">
        <f aca="false">IF(A332="","",R331)</f>
        <v/>
      </c>
      <c r="T331" s="200" t="str">
        <f aca="false">IF($A332="","",VLOOKUP($A331,Table,MATCH(T$4,Curves,0)))</f>
        <v/>
      </c>
      <c r="U331" s="201" t="str">
        <f aca="false">IF(A332="","",T331)</f>
        <v/>
      </c>
      <c r="V331" s="225" t="str">
        <f aca="false">IF($A332="","",IF(AND(MONTH(A331)&gt;3,MONTH(A331)&lt;11),(T331+R331+G331)*Summary!$T$9/(1-Summary!$T$9),(T331+R331+G331)*Summary!$U$9/(1-Summary!$U$9)))</f>
        <v/>
      </c>
      <c r="W331" s="200" t="str">
        <f aca="false">IF($A332="","",(T331+R331+G331+V331))</f>
        <v/>
      </c>
      <c r="X331" s="200" t="str">
        <f aca="false">IF($A332="","",(U331+S331+H331+V331))</f>
        <v/>
      </c>
      <c r="Y331" s="202"/>
      <c r="Z331" s="185" t="str">
        <f aca="false">IF($A332="","",VLOOKUP($A331,Table,MATCH(Z$4,Curves,0)))</f>
        <v/>
      </c>
      <c r="AA331" s="185" t="str">
        <f aca="false">IF($A332="","",VLOOKUP($A331,Table,MATCH(AA$4,Curves,0)))</f>
        <v/>
      </c>
      <c r="AB331" s="185" t="e">
        <f aca="false">SQRT((AA331^2*(A331-$D$3)+Z331^2*(DAY(EOMONTH(A331,0))/2))/AK331)</f>
        <v>#VALUE!</v>
      </c>
      <c r="AC331" s="185" t="str">
        <f aca="false">IF($A332="","",VLOOKUP($A331,Table,MATCH(AC$4,Curves,0)))</f>
        <v/>
      </c>
      <c r="AD331" s="185" t="str">
        <f aca="false">IF($A332="","",VLOOKUP($A331,Table,MATCH(AD$4,Curves,0)))</f>
        <v/>
      </c>
      <c r="AE331" s="185" t="e">
        <f aca="false">SQRT((AD331^2*(A331-$D$3)+AC331^2*(DAY(EOMONTH(A331,0))/2))/AK331)</f>
        <v>#VALUE!</v>
      </c>
      <c r="AF331" s="224" t="e">
        <f aca="false">((Summary!$N$9*(AA331*AD331)*(A331-$D$3))+(Summary!$M$9*Z331*AC331*(AJ331-EOMONTH(EDATE(A331,-1),0))))/(AK331*AB331*AE331)</f>
        <v>#VALUE!</v>
      </c>
      <c r="AG331" s="207" t="str">
        <f aca="false">IF($A332="","",Summary!$Q$9)</f>
        <v/>
      </c>
      <c r="AH331" s="207" t="str">
        <f aca="false">IF($A332="","",IF(Summary!$R$9="Y",VLOOKUP($A331,Summary!$AD$6:$AF$9,3)+'Escalating commodity'!E344,'Escalating commodity'!E344))</f>
        <v/>
      </c>
      <c r="AI331" s="207" t="str">
        <f aca="false">IF($A332="","",AH331)</f>
        <v/>
      </c>
      <c r="AJ331" s="208" t="e">
        <f aca="false">A331+DAY(EOMONTH(A331,0))/2-1</f>
        <v>#VALUE!</v>
      </c>
      <c r="AK331" s="209" t="str">
        <f aca="false">IF($A332="","",$A331-$E$1)</f>
        <v/>
      </c>
      <c r="AL331" s="182" t="str">
        <f aca="false">IF($A332="","",SPRDOPT(P331,X331,AI331,0,AB331,AE331,AF331,AK331,$AJ$2,0))</f>
        <v/>
      </c>
      <c r="AM331" s="211" t="str">
        <f aca="false">IF($A332="","",MAX(0,O331-W331-AI331))</f>
        <v/>
      </c>
      <c r="AN331" s="211" t="str">
        <f aca="false">IF($A332="","",AL331-AM331)</f>
        <v/>
      </c>
      <c r="AO331" s="137" t="str">
        <f aca="false">IF(A332="","",A332-A331)</f>
        <v/>
      </c>
      <c r="AP331" s="212" t="str">
        <f aca="false">IF(A332="","",CHOOSE(F$3,A332+24,A331))</f>
        <v/>
      </c>
      <c r="AQ331" s="209" t="str">
        <f aca="false">IF(A332="","",AP331-$E$1)</f>
        <v/>
      </c>
      <c r="AR331" s="185" t="n">
        <f aca="false">'ANR OK vs ML7'!AR331</f>
        <v>0.1</v>
      </c>
      <c r="AS331" s="213" t="str">
        <f aca="false">IF(A332="","",1/(1+CHOOSE(F$3,(AR332+($I$3/10000))/2,(AR331+($I$3/10000))/2))^(2*AQ331/365.25))</f>
        <v/>
      </c>
      <c r="AT331" s="137" t="str">
        <f aca="false">IF(A332="","",IF(AND(mthbeg&lt;=A331,mthend&gt;=A331),1,0))</f>
        <v/>
      </c>
      <c r="AU331" s="137" t="str">
        <f aca="false">IF(A332="","",AO331*AT331)</f>
        <v/>
      </c>
      <c r="AW331" s="195" t="str">
        <f aca="false">IF($A332="","",AL331*$E331)</f>
        <v/>
      </c>
      <c r="AX331" s="195" t="str">
        <f aca="false">IF($A332="","",AM331*$E331)</f>
        <v/>
      </c>
      <c r="AY331" s="195" t="str">
        <f aca="false">IF($A332="","",AN331*$E331)</f>
        <v/>
      </c>
      <c r="BA331" s="195" t="str">
        <f aca="false">IF($A332="","",F331*Summary!$Q$9)</f>
        <v/>
      </c>
    </row>
    <row r="332" customFormat="false" ht="12" hidden="false" customHeight="true" outlineLevel="0" collapsed="false">
      <c r="A332" s="196" t="str">
        <f aca="false">IF(A331&lt;mthend,EDATE(A331,1),"")</f>
        <v/>
      </c>
      <c r="B332" s="197" t="str">
        <f aca="false">IF(A332&lt;mthend,B331,"")</f>
        <v/>
      </c>
      <c r="C332" s="215"/>
      <c r="D332" s="197" t="str">
        <f aca="false">IF(A333&lt;&gt;"",B332+C332,"")</f>
        <v/>
      </c>
      <c r="E332" s="199" t="str">
        <f aca="false">IF(A333="","",IF(AND(AT332=1,$H$3=1),D332*AO332,IF($H$3=2,D332,"N/A")))</f>
        <v/>
      </c>
      <c r="F332" s="199" t="str">
        <f aca="false">IF(A333="","",E332*AS332)</f>
        <v/>
      </c>
      <c r="G332" s="200" t="str">
        <f aca="false">IF($A333="","",VLOOKUP($A332,Table,MATCH(G$4,Curves,0)))</f>
        <v/>
      </c>
      <c r="H332" s="201" t="str">
        <f aca="false">IF(A333="","",G332)</f>
        <v/>
      </c>
      <c r="I332" s="202"/>
      <c r="J332" s="200" t="str">
        <f aca="false">IF($A333="","",VLOOKUP($A332,Table,MATCH(J$4,Curves,0)))</f>
        <v/>
      </c>
      <c r="K332" s="201" t="str">
        <f aca="false">IF(A333="","",J332)</f>
        <v/>
      </c>
      <c r="L332" s="200" t="str">
        <f aca="false">IF($A333="","",VLOOKUP($A332,Table,MATCH(L$4,Curves,0)))</f>
        <v/>
      </c>
      <c r="M332" s="201" t="str">
        <f aca="false">IF(A333="","",L332)</f>
        <v/>
      </c>
      <c r="N332" s="203"/>
      <c r="O332" s="200" t="str">
        <f aca="false">IF(A333="","",L332+J332+G332)</f>
        <v/>
      </c>
      <c r="P332" s="200" t="str">
        <f aca="false">IF(A333="","",M332+K332+H332)</f>
        <v/>
      </c>
      <c r="Q332" s="204"/>
      <c r="R332" s="200" t="str">
        <f aca="false">IF($A333="","",VLOOKUP($A332,Table,MATCH(R$4,Curves,0)))</f>
        <v/>
      </c>
      <c r="S332" s="201" t="str">
        <f aca="false">IF(A333="","",R332)</f>
        <v/>
      </c>
      <c r="T332" s="200" t="str">
        <f aca="false">IF($A333="","",VLOOKUP($A332,Table,MATCH(T$4,Curves,0)))</f>
        <v/>
      </c>
      <c r="U332" s="201" t="str">
        <f aca="false">IF(A333="","",T332)</f>
        <v/>
      </c>
      <c r="V332" s="225" t="str">
        <f aca="false">IF($A333="","",IF(AND(MONTH(A332)&gt;3,MONTH(A332)&lt;11),(T332+R332+G332)*Summary!$T$9/(1-Summary!$T$9),(T332+R332+G332)*Summary!$U$9/(1-Summary!$U$9)))</f>
        <v/>
      </c>
      <c r="W332" s="200" t="str">
        <f aca="false">IF($A333="","",(T332+R332+G332+V332))</f>
        <v/>
      </c>
      <c r="X332" s="200" t="str">
        <f aca="false">IF($A333="","",(U332+S332+H332+V332))</f>
        <v/>
      </c>
      <c r="Y332" s="202"/>
      <c r="Z332" s="185" t="str">
        <f aca="false">IF($A333="","",VLOOKUP($A332,Table,MATCH(Z$4,Curves,0)))</f>
        <v/>
      </c>
      <c r="AA332" s="185" t="str">
        <f aca="false">IF($A333="","",VLOOKUP($A332,Table,MATCH(AA$4,Curves,0)))</f>
        <v/>
      </c>
      <c r="AB332" s="185" t="e">
        <f aca="false">SQRT((AA332^2*(A332-$D$3)+Z332^2*(DAY(EOMONTH(A332,0))/2))/AK332)</f>
        <v>#VALUE!</v>
      </c>
      <c r="AC332" s="185" t="str">
        <f aca="false">IF($A333="","",VLOOKUP($A332,Table,MATCH(AC$4,Curves,0)))</f>
        <v/>
      </c>
      <c r="AD332" s="185" t="str">
        <f aca="false">IF($A333="","",VLOOKUP($A332,Table,MATCH(AD$4,Curves,0)))</f>
        <v/>
      </c>
      <c r="AE332" s="185" t="e">
        <f aca="false">SQRT((AD332^2*(A332-$D$3)+AC332^2*(DAY(EOMONTH(A332,0))/2))/AK332)</f>
        <v>#VALUE!</v>
      </c>
      <c r="AF332" s="224" t="e">
        <f aca="false">((Summary!$N$9*(AA332*AD332)*(A332-$D$3))+(Summary!$M$9*Z332*AC332*(AJ332-EOMONTH(EDATE(A332,-1),0))))/(AK332*AB332*AE332)</f>
        <v>#VALUE!</v>
      </c>
      <c r="AG332" s="207" t="str">
        <f aca="false">IF($A333="","",Summary!$Q$9)</f>
        <v/>
      </c>
      <c r="AH332" s="207" t="str">
        <f aca="false">IF($A333="","",IF(Summary!$R$9="Y",VLOOKUP($A332,Summary!$AD$6:$AF$9,3)+'Escalating commodity'!E345,'Escalating commodity'!E345))</f>
        <v/>
      </c>
      <c r="AI332" s="207" t="str">
        <f aca="false">IF($A333="","",AH332)</f>
        <v/>
      </c>
      <c r="AJ332" s="208" t="e">
        <f aca="false">A332+DAY(EOMONTH(A332,0))/2-1</f>
        <v>#VALUE!</v>
      </c>
      <c r="AK332" s="209" t="str">
        <f aca="false">IF($A333="","",$A332-$E$1)</f>
        <v/>
      </c>
      <c r="AL332" s="182" t="str">
        <f aca="false">IF($A333="","",SPRDOPT(P332,X332,AI332,0,AB332,AE332,AF332,AK332,$AJ$2,0))</f>
        <v/>
      </c>
      <c r="AM332" s="211" t="str">
        <f aca="false">IF($A333="","",MAX(0,O332-W332-AI332))</f>
        <v/>
      </c>
      <c r="AN332" s="211" t="str">
        <f aca="false">IF($A333="","",AL332-AM332)</f>
        <v/>
      </c>
      <c r="AO332" s="137" t="str">
        <f aca="false">IF(A333="","",A333-A332)</f>
        <v/>
      </c>
      <c r="AP332" s="212" t="str">
        <f aca="false">IF(A333="","",CHOOSE(F$3,A333+24,A332))</f>
        <v/>
      </c>
      <c r="AQ332" s="209" t="str">
        <f aca="false">IF(A333="","",AP332-$E$1)</f>
        <v/>
      </c>
      <c r="AR332" s="185" t="n">
        <f aca="false">'ANR OK vs ML7'!AR332</f>
        <v>0.1</v>
      </c>
      <c r="AS332" s="213" t="str">
        <f aca="false">IF(A333="","",1/(1+CHOOSE(F$3,(AR333+($I$3/10000))/2,(AR332+($I$3/10000))/2))^(2*AQ332/365.25))</f>
        <v/>
      </c>
      <c r="AT332" s="137" t="str">
        <f aca="false">IF(A333="","",IF(AND(mthbeg&lt;=A332,mthend&gt;=A332),1,0))</f>
        <v/>
      </c>
      <c r="AU332" s="137" t="str">
        <f aca="false">IF(A333="","",AO332*AT332)</f>
        <v/>
      </c>
      <c r="AW332" s="195" t="str">
        <f aca="false">IF($A333="","",AL332*$E332)</f>
        <v/>
      </c>
      <c r="AX332" s="195" t="str">
        <f aca="false">IF($A333="","",AM332*$E332)</f>
        <v/>
      </c>
      <c r="AY332" s="195" t="str">
        <f aca="false">IF($A333="","",AN332*$E332)</f>
        <v/>
      </c>
      <c r="BA332" s="195" t="str">
        <f aca="false">IF($A333="","",F332*Summary!$Q$9)</f>
        <v/>
      </c>
    </row>
    <row r="333" customFormat="false" ht="12" hidden="false" customHeight="true" outlineLevel="0" collapsed="false">
      <c r="A333" s="196" t="str">
        <f aca="false">IF(A332&lt;mthend,EDATE(A332,1),"")</f>
        <v/>
      </c>
      <c r="B333" s="197" t="str">
        <f aca="false">IF(A333&lt;mthend,B332,"")</f>
        <v/>
      </c>
      <c r="C333" s="215"/>
      <c r="D333" s="197" t="str">
        <f aca="false">IF(A334&lt;&gt;"",B333+C333,"")</f>
        <v/>
      </c>
      <c r="E333" s="199" t="str">
        <f aca="false">IF(A334="","",IF(AND(AT333=1,$H$3=1),D333*AO333,IF($H$3=2,D333,"N/A")))</f>
        <v/>
      </c>
      <c r="F333" s="199" t="str">
        <f aca="false">IF(A334="","",E333*AS333)</f>
        <v/>
      </c>
      <c r="G333" s="200" t="str">
        <f aca="false">IF($A334="","",VLOOKUP($A333,Table,MATCH(G$4,Curves,0)))</f>
        <v/>
      </c>
      <c r="H333" s="201" t="str">
        <f aca="false">IF(A334="","",G333)</f>
        <v/>
      </c>
      <c r="I333" s="202"/>
      <c r="J333" s="200" t="str">
        <f aca="false">IF($A334="","",VLOOKUP($A333,Table,MATCH(J$4,Curves,0)))</f>
        <v/>
      </c>
      <c r="K333" s="201" t="str">
        <f aca="false">IF(A334="","",J333)</f>
        <v/>
      </c>
      <c r="L333" s="200" t="str">
        <f aca="false">IF($A334="","",VLOOKUP($A333,Table,MATCH(L$4,Curves,0)))</f>
        <v/>
      </c>
      <c r="M333" s="201" t="str">
        <f aca="false">IF(A334="","",L333)</f>
        <v/>
      </c>
      <c r="N333" s="203"/>
      <c r="O333" s="200" t="str">
        <f aca="false">IF(A334="","",L333+J333+G333)</f>
        <v/>
      </c>
      <c r="P333" s="200" t="str">
        <f aca="false">IF(A334="","",M333+K333+H333)</f>
        <v/>
      </c>
      <c r="Q333" s="204"/>
      <c r="R333" s="200" t="str">
        <f aca="false">IF($A334="","",VLOOKUP($A333,Table,MATCH(R$4,Curves,0)))</f>
        <v/>
      </c>
      <c r="S333" s="201" t="str">
        <f aca="false">IF(A334="","",R333)</f>
        <v/>
      </c>
      <c r="T333" s="200" t="str">
        <f aca="false">IF($A334="","",VLOOKUP($A333,Table,MATCH(T$4,Curves,0)))</f>
        <v/>
      </c>
      <c r="U333" s="201" t="str">
        <f aca="false">IF(A334="","",T333)</f>
        <v/>
      </c>
      <c r="V333" s="225" t="str">
        <f aca="false">IF($A334="","",IF(AND(MONTH(A333)&gt;3,MONTH(A333)&lt;11),(T333+R333+G333)*Summary!$T$9/(1-Summary!$T$9),(T333+R333+G333)*Summary!$U$9/(1-Summary!$U$9)))</f>
        <v/>
      </c>
      <c r="W333" s="200" t="str">
        <f aca="false">IF($A334="","",(T333+R333+G333+V333))</f>
        <v/>
      </c>
      <c r="X333" s="200" t="str">
        <f aca="false">IF($A334="","",(U333+S333+H333+V333))</f>
        <v/>
      </c>
      <c r="Y333" s="202"/>
      <c r="Z333" s="185" t="str">
        <f aca="false">IF($A334="","",VLOOKUP($A333,Table,MATCH(Z$4,Curves,0)))</f>
        <v/>
      </c>
      <c r="AA333" s="185" t="str">
        <f aca="false">IF($A334="","",VLOOKUP($A333,Table,MATCH(AA$4,Curves,0)))</f>
        <v/>
      </c>
      <c r="AB333" s="185" t="e">
        <f aca="false">SQRT((AA333^2*(A333-$D$3)+Z333^2*(DAY(EOMONTH(A333,0))/2))/AK333)</f>
        <v>#VALUE!</v>
      </c>
      <c r="AC333" s="185" t="str">
        <f aca="false">IF($A334="","",VLOOKUP($A333,Table,MATCH(AC$4,Curves,0)))</f>
        <v/>
      </c>
      <c r="AD333" s="185" t="str">
        <f aca="false">IF($A334="","",VLOOKUP($A333,Table,MATCH(AD$4,Curves,0)))</f>
        <v/>
      </c>
      <c r="AE333" s="185" t="e">
        <f aca="false">SQRT((AD333^2*(A333-$D$3)+AC333^2*(DAY(EOMONTH(A333,0))/2))/AK333)</f>
        <v>#VALUE!</v>
      </c>
      <c r="AF333" s="224" t="e">
        <f aca="false">((Summary!$N$9*(AA333*AD333)*(A333-$D$3))+(Summary!$M$9*Z333*AC333*(AJ333-EOMONTH(EDATE(A333,-1),0))))/(AK333*AB333*AE333)</f>
        <v>#VALUE!</v>
      </c>
      <c r="AG333" s="207" t="str">
        <f aca="false">IF($A334="","",Summary!$Q$9)</f>
        <v/>
      </c>
      <c r="AH333" s="207" t="str">
        <f aca="false">IF($A334="","",IF(Summary!$R$9="Y",VLOOKUP($A333,Summary!$AD$6:$AF$9,3)+'Escalating commodity'!E346,'Escalating commodity'!E346))</f>
        <v/>
      </c>
      <c r="AI333" s="207" t="str">
        <f aca="false">IF($A334="","",AH333)</f>
        <v/>
      </c>
      <c r="AJ333" s="208" t="e">
        <f aca="false">A333+DAY(EOMONTH(A333,0))/2-1</f>
        <v>#VALUE!</v>
      </c>
      <c r="AK333" s="209" t="str">
        <f aca="false">IF($A334="","",$A333-$E$1)</f>
        <v/>
      </c>
      <c r="AL333" s="182" t="str">
        <f aca="false">IF($A334="","",SPRDOPT(P333,X333,AI333,0,AB333,AE333,AF333,AK333,$AJ$2,0))</f>
        <v/>
      </c>
      <c r="AM333" s="211" t="str">
        <f aca="false">IF($A334="","",MAX(0,O333-W333-AI333))</f>
        <v/>
      </c>
      <c r="AN333" s="211" t="str">
        <f aca="false">IF($A334="","",AL333-AM333)</f>
        <v/>
      </c>
      <c r="AO333" s="137" t="str">
        <f aca="false">IF(A334="","",A334-A333)</f>
        <v/>
      </c>
      <c r="AP333" s="212" t="str">
        <f aca="false">IF(A334="","",CHOOSE(F$3,A334+24,A333))</f>
        <v/>
      </c>
      <c r="AQ333" s="209" t="str">
        <f aca="false">IF(A334="","",AP333-$E$1)</f>
        <v/>
      </c>
      <c r="AR333" s="185" t="n">
        <f aca="false">'ANR OK vs ML7'!AR333</f>
        <v>0.1</v>
      </c>
      <c r="AS333" s="213" t="str">
        <f aca="false">IF(A334="","",1/(1+CHOOSE(F$3,(AR334+($I$3/10000))/2,(AR333+($I$3/10000))/2))^(2*AQ333/365.25))</f>
        <v/>
      </c>
      <c r="AT333" s="137" t="str">
        <f aca="false">IF(A334="","",IF(AND(mthbeg&lt;=A333,mthend&gt;=A333),1,0))</f>
        <v/>
      </c>
      <c r="AU333" s="137" t="str">
        <f aca="false">IF(A334="","",AO333*AT333)</f>
        <v/>
      </c>
      <c r="AW333" s="195" t="str">
        <f aca="false">IF($A334="","",AL333*$E333)</f>
        <v/>
      </c>
      <c r="AX333" s="195" t="str">
        <f aca="false">IF($A334="","",AM333*$E333)</f>
        <v/>
      </c>
      <c r="AY333" s="195" t="str">
        <f aca="false">IF($A334="","",AN333*$E333)</f>
        <v/>
      </c>
      <c r="BA333" s="195" t="str">
        <f aca="false">IF($A334="","",F333*Summary!$Q$9)</f>
        <v/>
      </c>
    </row>
    <row r="334" customFormat="false" ht="12" hidden="false" customHeight="true" outlineLevel="0" collapsed="false">
      <c r="A334" s="196" t="str">
        <f aca="false">IF(A333&lt;mthend,EDATE(A333,1),"")</f>
        <v/>
      </c>
      <c r="B334" s="197" t="str">
        <f aca="false">IF(A334&lt;mthend,B333,"")</f>
        <v/>
      </c>
      <c r="C334" s="215"/>
      <c r="D334" s="197" t="str">
        <f aca="false">IF(A335&lt;&gt;"",B334+C334,"")</f>
        <v/>
      </c>
      <c r="E334" s="199" t="str">
        <f aca="false">IF(A335="","",IF(AND(AT334=1,$H$3=1),D334*AO334,IF($H$3=2,D334,"N/A")))</f>
        <v/>
      </c>
      <c r="F334" s="199" t="str">
        <f aca="false">IF(A335="","",E334*AS334)</f>
        <v/>
      </c>
      <c r="G334" s="200" t="str">
        <f aca="false">IF($A335="","",VLOOKUP($A334,Table,MATCH(G$4,Curves,0)))</f>
        <v/>
      </c>
      <c r="H334" s="201" t="str">
        <f aca="false">IF(A335="","",G334)</f>
        <v/>
      </c>
      <c r="I334" s="202"/>
      <c r="J334" s="200" t="str">
        <f aca="false">IF($A335="","",VLOOKUP($A334,Table,MATCH(J$4,Curves,0)))</f>
        <v/>
      </c>
      <c r="K334" s="201" t="str">
        <f aca="false">IF(A335="","",J334)</f>
        <v/>
      </c>
      <c r="L334" s="200" t="str">
        <f aca="false">IF($A335="","",VLOOKUP($A334,Table,MATCH(L$4,Curves,0)))</f>
        <v/>
      </c>
      <c r="M334" s="201" t="str">
        <f aca="false">IF(A335="","",L334)</f>
        <v/>
      </c>
      <c r="N334" s="203"/>
      <c r="O334" s="200" t="str">
        <f aca="false">IF(A335="","",L334+J334+G334)</f>
        <v/>
      </c>
      <c r="P334" s="200" t="str">
        <f aca="false">IF(A335="","",M334+K334+H334)</f>
        <v/>
      </c>
      <c r="Q334" s="204"/>
      <c r="R334" s="200" t="str">
        <f aca="false">IF($A335="","",VLOOKUP($A334,Table,MATCH(R$4,Curves,0)))</f>
        <v/>
      </c>
      <c r="S334" s="201" t="str">
        <f aca="false">IF(A335="","",R334)</f>
        <v/>
      </c>
      <c r="T334" s="200" t="str">
        <f aca="false">IF($A335="","",VLOOKUP($A334,Table,MATCH(T$4,Curves,0)))</f>
        <v/>
      </c>
      <c r="U334" s="201" t="str">
        <f aca="false">IF(A335="","",T334)</f>
        <v/>
      </c>
      <c r="V334" s="225" t="str">
        <f aca="false">IF($A335="","",IF(AND(MONTH(A334)&gt;3,MONTH(A334)&lt;11),(T334+R334+G334)*Summary!$T$9/(1-Summary!$T$9),(T334+R334+G334)*Summary!$U$9/(1-Summary!$U$9)))</f>
        <v/>
      </c>
      <c r="W334" s="200" t="str">
        <f aca="false">IF($A335="","",(T334+R334+G334+V334))</f>
        <v/>
      </c>
      <c r="X334" s="200" t="str">
        <f aca="false">IF($A335="","",(U334+S334+H334+V334))</f>
        <v/>
      </c>
      <c r="Y334" s="202"/>
      <c r="Z334" s="185" t="str">
        <f aca="false">IF($A335="","",VLOOKUP($A334,Table,MATCH(Z$4,Curves,0)))</f>
        <v/>
      </c>
      <c r="AA334" s="185" t="str">
        <f aca="false">IF($A335="","",VLOOKUP($A334,Table,MATCH(AA$4,Curves,0)))</f>
        <v/>
      </c>
      <c r="AB334" s="185" t="e">
        <f aca="false">SQRT((AA334^2*(A334-$D$3)+Z334^2*(DAY(EOMONTH(A334,0))/2))/AK334)</f>
        <v>#VALUE!</v>
      </c>
      <c r="AC334" s="185" t="str">
        <f aca="false">IF($A335="","",VLOOKUP($A334,Table,MATCH(AC$4,Curves,0)))</f>
        <v/>
      </c>
      <c r="AD334" s="185" t="str">
        <f aca="false">IF($A335="","",VLOOKUP($A334,Table,MATCH(AD$4,Curves,0)))</f>
        <v/>
      </c>
      <c r="AE334" s="185" t="e">
        <f aca="false">SQRT((AD334^2*(A334-$D$3)+AC334^2*(DAY(EOMONTH(A334,0))/2))/AK334)</f>
        <v>#VALUE!</v>
      </c>
      <c r="AF334" s="224" t="e">
        <f aca="false">((Summary!$N$9*(AA334*AD334)*(A334-$D$3))+(Summary!$M$9*Z334*AC334*(AJ334-EOMONTH(EDATE(A334,-1),0))))/(AK334*AB334*AE334)</f>
        <v>#VALUE!</v>
      </c>
      <c r="AG334" s="207" t="str">
        <f aca="false">IF($A335="","",Summary!$Q$9)</f>
        <v/>
      </c>
      <c r="AH334" s="207" t="str">
        <f aca="false">IF($A335="","",IF(Summary!$R$9="Y",VLOOKUP($A334,Summary!$AD$6:$AF$9,3)+'Escalating commodity'!E347,'Escalating commodity'!E347))</f>
        <v/>
      </c>
      <c r="AI334" s="207" t="str">
        <f aca="false">IF($A335="","",AH334)</f>
        <v/>
      </c>
      <c r="AJ334" s="208" t="e">
        <f aca="false">A334+DAY(EOMONTH(A334,0))/2-1</f>
        <v>#VALUE!</v>
      </c>
      <c r="AK334" s="209" t="str">
        <f aca="false">IF($A335="","",$A334-$E$1)</f>
        <v/>
      </c>
      <c r="AL334" s="182" t="str">
        <f aca="false">IF($A335="","",SPRDOPT(P334,X334,AI334,0,AB334,AE334,AF334,AK334,$AJ$2,0))</f>
        <v/>
      </c>
      <c r="AM334" s="211" t="str">
        <f aca="false">IF($A335="","",MAX(0,O334-W334-AI334))</f>
        <v/>
      </c>
      <c r="AN334" s="211" t="str">
        <f aca="false">IF($A335="","",AL334-AM334)</f>
        <v/>
      </c>
      <c r="AO334" s="137" t="str">
        <f aca="false">IF(A335="","",A335-A334)</f>
        <v/>
      </c>
      <c r="AP334" s="212" t="str">
        <f aca="false">IF(A335="","",CHOOSE(F$3,A335+24,A334))</f>
        <v/>
      </c>
      <c r="AQ334" s="209" t="str">
        <f aca="false">IF(A335="","",AP334-$E$1)</f>
        <v/>
      </c>
      <c r="AR334" s="185" t="n">
        <f aca="false">'ANR OK vs ML7'!AR334</f>
        <v>0.1</v>
      </c>
      <c r="AS334" s="213" t="str">
        <f aca="false">IF(A335="","",1/(1+CHOOSE(F$3,(AR335+($I$3/10000))/2,(AR334+($I$3/10000))/2))^(2*AQ334/365.25))</f>
        <v/>
      </c>
      <c r="AT334" s="137" t="str">
        <f aca="false">IF(A335="","",IF(AND(mthbeg&lt;=A334,mthend&gt;=A334),1,0))</f>
        <v/>
      </c>
      <c r="AU334" s="137" t="str">
        <f aca="false">IF(A335="","",AO334*AT334)</f>
        <v/>
      </c>
      <c r="AW334" s="195" t="str">
        <f aca="false">IF($A335="","",AL334*$E334)</f>
        <v/>
      </c>
      <c r="AX334" s="195" t="str">
        <f aca="false">IF($A335="","",AM334*$E334)</f>
        <v/>
      </c>
      <c r="AY334" s="195" t="str">
        <f aca="false">IF($A335="","",AN334*$E334)</f>
        <v/>
      </c>
      <c r="BA334" s="195" t="str">
        <f aca="false">IF($A335="","",F334*Summary!$Q$9)</f>
        <v/>
      </c>
    </row>
    <row r="335" customFormat="false" ht="12" hidden="false" customHeight="true" outlineLevel="0" collapsed="false">
      <c r="A335" s="196" t="str">
        <f aca="false">IF(A334&lt;mthend,EDATE(A334,1),"")</f>
        <v/>
      </c>
      <c r="B335" s="197" t="str">
        <f aca="false">IF(A335&lt;mthend,B334,"")</f>
        <v/>
      </c>
      <c r="C335" s="215"/>
      <c r="D335" s="197" t="str">
        <f aca="false">IF(A336&lt;&gt;"",B335+C335,"")</f>
        <v/>
      </c>
      <c r="E335" s="199" t="str">
        <f aca="false">IF(A336="","",IF(AND(AT335=1,$H$3=1),D335*AO335,IF($H$3=2,D335,"N/A")))</f>
        <v/>
      </c>
      <c r="F335" s="199" t="str">
        <f aca="false">IF(A336="","",E335*AS335)</f>
        <v/>
      </c>
      <c r="G335" s="200" t="str">
        <f aca="false">IF($A336="","",VLOOKUP($A335,Table,MATCH(G$4,Curves,0)))</f>
        <v/>
      </c>
      <c r="H335" s="201" t="str">
        <f aca="false">IF(A336="","",G335)</f>
        <v/>
      </c>
      <c r="I335" s="202"/>
      <c r="J335" s="200" t="str">
        <f aca="false">IF($A336="","",VLOOKUP($A335,Table,MATCH(J$4,Curves,0)))</f>
        <v/>
      </c>
      <c r="K335" s="201" t="str">
        <f aca="false">IF(A336="","",J335)</f>
        <v/>
      </c>
      <c r="L335" s="200" t="str">
        <f aca="false">IF($A336="","",VLOOKUP($A335,Table,MATCH(L$4,Curves,0)))</f>
        <v/>
      </c>
      <c r="M335" s="201" t="str">
        <f aca="false">IF(A336="","",L335)</f>
        <v/>
      </c>
      <c r="N335" s="203"/>
      <c r="O335" s="200" t="str">
        <f aca="false">IF(A336="","",L335+J335+G335)</f>
        <v/>
      </c>
      <c r="P335" s="200" t="str">
        <f aca="false">IF(A336="","",M335+K335+H335)</f>
        <v/>
      </c>
      <c r="Q335" s="204"/>
      <c r="R335" s="200" t="str">
        <f aca="false">IF($A336="","",VLOOKUP($A335,Table,MATCH(R$4,Curves,0)))</f>
        <v/>
      </c>
      <c r="S335" s="201" t="str">
        <f aca="false">IF(A336="","",R335)</f>
        <v/>
      </c>
      <c r="T335" s="200" t="str">
        <f aca="false">IF($A336="","",VLOOKUP($A335,Table,MATCH(T$4,Curves,0)))</f>
        <v/>
      </c>
      <c r="U335" s="201" t="str">
        <f aca="false">IF(A336="","",T335)</f>
        <v/>
      </c>
      <c r="V335" s="225" t="str">
        <f aca="false">IF($A336="","",IF(AND(MONTH(A335)&gt;3,MONTH(A335)&lt;11),(T335+R335+G335)*Summary!$T$9/(1-Summary!$T$9),(T335+R335+G335)*Summary!$U$9/(1-Summary!$U$9)))</f>
        <v/>
      </c>
      <c r="W335" s="200" t="str">
        <f aca="false">IF($A336="","",(T335+R335+G335+V335))</f>
        <v/>
      </c>
      <c r="X335" s="200" t="str">
        <f aca="false">IF($A336="","",(U335+S335+H335+V335))</f>
        <v/>
      </c>
      <c r="Y335" s="202"/>
      <c r="Z335" s="185" t="str">
        <f aca="false">IF($A336="","",VLOOKUP($A335,Table,MATCH(Z$4,Curves,0)))</f>
        <v/>
      </c>
      <c r="AA335" s="185" t="str">
        <f aca="false">IF($A336="","",VLOOKUP($A335,Table,MATCH(AA$4,Curves,0)))</f>
        <v/>
      </c>
      <c r="AB335" s="185" t="e">
        <f aca="false">SQRT((AA335^2*(A335-$D$3)+Z335^2*(DAY(EOMONTH(A335,0))/2))/AK335)</f>
        <v>#VALUE!</v>
      </c>
      <c r="AC335" s="185" t="str">
        <f aca="false">IF($A336="","",VLOOKUP($A335,Table,MATCH(AC$4,Curves,0)))</f>
        <v/>
      </c>
      <c r="AD335" s="185" t="str">
        <f aca="false">IF($A336="","",VLOOKUP($A335,Table,MATCH(AD$4,Curves,0)))</f>
        <v/>
      </c>
      <c r="AE335" s="185" t="e">
        <f aca="false">SQRT((AD335^2*(A335-$D$3)+AC335^2*(DAY(EOMONTH(A335,0))/2))/AK335)</f>
        <v>#VALUE!</v>
      </c>
      <c r="AF335" s="224" t="e">
        <f aca="false">((Summary!$N$9*(AA335*AD335)*(A335-$D$3))+(Summary!$M$9*Z335*AC335*(AJ335-EOMONTH(EDATE(A335,-1),0))))/(AK335*AB335*AE335)</f>
        <v>#VALUE!</v>
      </c>
      <c r="AG335" s="207" t="str">
        <f aca="false">IF($A336="","",Summary!$Q$9)</f>
        <v/>
      </c>
      <c r="AH335" s="207" t="str">
        <f aca="false">IF($A336="","",IF(Summary!$R$9="Y",VLOOKUP($A335,Summary!$AD$6:$AF$9,3)+'Escalating commodity'!E348,'Escalating commodity'!E348))</f>
        <v/>
      </c>
      <c r="AI335" s="207" t="str">
        <f aca="false">IF($A336="","",AH335)</f>
        <v/>
      </c>
      <c r="AJ335" s="208" t="e">
        <f aca="false">A335+DAY(EOMONTH(A335,0))/2-1</f>
        <v>#VALUE!</v>
      </c>
      <c r="AK335" s="209" t="str">
        <f aca="false">IF($A336="","",$A335-$E$1)</f>
        <v/>
      </c>
      <c r="AL335" s="182" t="str">
        <f aca="false">IF($A336="","",SPRDOPT(P335,X335,AI335,0,AB335,AE335,AF335,AK335,$AJ$2,0))</f>
        <v/>
      </c>
      <c r="AM335" s="211" t="str">
        <f aca="false">IF($A336="","",MAX(0,O335-W335-AI335))</f>
        <v/>
      </c>
      <c r="AN335" s="211" t="str">
        <f aca="false">IF($A336="","",AL335-AM335)</f>
        <v/>
      </c>
      <c r="AO335" s="137" t="str">
        <f aca="false">IF(A336="","",A336-A335)</f>
        <v/>
      </c>
      <c r="AP335" s="212" t="str">
        <f aca="false">IF(A336="","",CHOOSE(F$3,A336+24,A335))</f>
        <v/>
      </c>
      <c r="AQ335" s="209" t="str">
        <f aca="false">IF(A336="","",AP335-$E$1)</f>
        <v/>
      </c>
      <c r="AR335" s="185" t="n">
        <f aca="false">'ANR OK vs ML7'!AR335</f>
        <v>0.1</v>
      </c>
      <c r="AS335" s="213" t="str">
        <f aca="false">IF(A336="","",1/(1+CHOOSE(F$3,(AR336+($I$3/10000))/2,(AR335+($I$3/10000))/2))^(2*AQ335/365.25))</f>
        <v/>
      </c>
      <c r="AT335" s="137" t="str">
        <f aca="false">IF(A336="","",IF(AND(mthbeg&lt;=A335,mthend&gt;=A335),1,0))</f>
        <v/>
      </c>
      <c r="AU335" s="137" t="str">
        <f aca="false">IF(A336="","",AO335*AT335)</f>
        <v/>
      </c>
      <c r="AW335" s="195" t="str">
        <f aca="false">IF($A336="","",AL335*$E335)</f>
        <v/>
      </c>
      <c r="AX335" s="195" t="str">
        <f aca="false">IF($A336="","",AM335*$E335)</f>
        <v/>
      </c>
      <c r="AY335" s="195" t="str">
        <f aca="false">IF($A336="","",AN335*$E335)</f>
        <v/>
      </c>
      <c r="BA335" s="195" t="str">
        <f aca="false">IF($A336="","",F335*Summary!$Q$9)</f>
        <v/>
      </c>
    </row>
    <row r="336" customFormat="false" ht="12" hidden="false" customHeight="true" outlineLevel="0" collapsed="false">
      <c r="A336" s="196" t="str">
        <f aca="false">IF(A335&lt;mthend,EDATE(A335,1),"")</f>
        <v/>
      </c>
      <c r="B336" s="197" t="str">
        <f aca="false">IF(A336&lt;mthend,B335,"")</f>
        <v/>
      </c>
      <c r="C336" s="215"/>
      <c r="D336" s="197" t="str">
        <f aca="false">IF(A337&lt;&gt;"",B336+C336,"")</f>
        <v/>
      </c>
      <c r="E336" s="199" t="str">
        <f aca="false">IF(A337="","",IF(AND(AT336=1,$H$3=1),D336*AO336,IF($H$3=2,D336,"N/A")))</f>
        <v/>
      </c>
      <c r="F336" s="199" t="str">
        <f aca="false">IF(A337="","",E336*AS336)</f>
        <v/>
      </c>
      <c r="G336" s="200" t="str">
        <f aca="false">IF($A337="","",VLOOKUP($A336,Table,MATCH(G$4,Curves,0)))</f>
        <v/>
      </c>
      <c r="H336" s="201" t="str">
        <f aca="false">IF(A337="","",G336)</f>
        <v/>
      </c>
      <c r="I336" s="202"/>
      <c r="J336" s="200" t="str">
        <f aca="false">IF($A337="","",VLOOKUP($A336,Table,MATCH(J$4,Curves,0)))</f>
        <v/>
      </c>
      <c r="K336" s="201" t="str">
        <f aca="false">IF(A337="","",J336)</f>
        <v/>
      </c>
      <c r="L336" s="200" t="str">
        <f aca="false">IF($A337="","",VLOOKUP($A336,Table,MATCH(L$4,Curves,0)))</f>
        <v/>
      </c>
      <c r="M336" s="201" t="str">
        <f aca="false">IF(A337="","",L336)</f>
        <v/>
      </c>
      <c r="N336" s="203"/>
      <c r="O336" s="200" t="str">
        <f aca="false">IF(A337="","",L336+J336+G336)</f>
        <v/>
      </c>
      <c r="P336" s="200" t="str">
        <f aca="false">IF(A337="","",M336+K336+H336)</f>
        <v/>
      </c>
      <c r="Q336" s="204"/>
      <c r="R336" s="200" t="str">
        <f aca="false">IF($A337="","",VLOOKUP($A336,Table,MATCH(R$4,Curves,0)))</f>
        <v/>
      </c>
      <c r="S336" s="201" t="str">
        <f aca="false">IF(A337="","",R336)</f>
        <v/>
      </c>
      <c r="T336" s="200" t="str">
        <f aca="false">IF($A337="","",VLOOKUP($A336,Table,MATCH(T$4,Curves,0)))</f>
        <v/>
      </c>
      <c r="U336" s="201" t="str">
        <f aca="false">IF(A337="","",T336)</f>
        <v/>
      </c>
      <c r="V336" s="225" t="str">
        <f aca="false">IF($A337="","",IF(AND(MONTH(A336)&gt;3,MONTH(A336)&lt;11),(T336+R336+G336)*Summary!$T$9/(1-Summary!$T$9),(T336+R336+G336)*Summary!$U$9/(1-Summary!$U$9)))</f>
        <v/>
      </c>
      <c r="W336" s="200" t="str">
        <f aca="false">IF($A337="","",(T336+R336+G336+V336))</f>
        <v/>
      </c>
      <c r="X336" s="200" t="str">
        <f aca="false">IF($A337="","",(U336+S336+H336+V336))</f>
        <v/>
      </c>
      <c r="Y336" s="202"/>
      <c r="Z336" s="185" t="str">
        <f aca="false">IF($A337="","",VLOOKUP($A336,Table,MATCH(Z$4,Curves,0)))</f>
        <v/>
      </c>
      <c r="AA336" s="185" t="str">
        <f aca="false">IF($A337="","",VLOOKUP($A336,Table,MATCH(AA$4,Curves,0)))</f>
        <v/>
      </c>
      <c r="AB336" s="185" t="e">
        <f aca="false">SQRT((AA336^2*(A336-$D$3)+Z336^2*(DAY(EOMONTH(A336,0))/2))/AK336)</f>
        <v>#VALUE!</v>
      </c>
      <c r="AC336" s="185" t="str">
        <f aca="false">IF($A337="","",VLOOKUP($A336,Table,MATCH(AC$4,Curves,0)))</f>
        <v/>
      </c>
      <c r="AD336" s="185" t="str">
        <f aca="false">IF($A337="","",VLOOKUP($A336,Table,MATCH(AD$4,Curves,0)))</f>
        <v/>
      </c>
      <c r="AE336" s="185" t="e">
        <f aca="false">SQRT((AD336^2*(A336-$D$3)+AC336^2*(DAY(EOMONTH(A336,0))/2))/AK336)</f>
        <v>#VALUE!</v>
      </c>
      <c r="AF336" s="224" t="e">
        <f aca="false">((Summary!$N$9*(AA336*AD336)*(A336-$D$3))+(Summary!$M$9*Z336*AC336*(AJ336-EOMONTH(EDATE(A336,-1),0))))/(AK336*AB336*AE336)</f>
        <v>#VALUE!</v>
      </c>
      <c r="AG336" s="207" t="str">
        <f aca="false">IF($A337="","",Summary!$Q$9)</f>
        <v/>
      </c>
      <c r="AH336" s="207" t="str">
        <f aca="false">IF($A337="","",IF(Summary!$R$9="Y",VLOOKUP($A336,Summary!$AD$6:$AF$9,3)+'Escalating commodity'!E349,'Escalating commodity'!E349))</f>
        <v/>
      </c>
      <c r="AI336" s="207" t="str">
        <f aca="false">IF($A337="","",AH336)</f>
        <v/>
      </c>
      <c r="AJ336" s="208" t="e">
        <f aca="false">A336+DAY(EOMONTH(A336,0))/2-1</f>
        <v>#VALUE!</v>
      </c>
      <c r="AK336" s="209" t="str">
        <f aca="false">IF($A337="","",$A336-$E$1)</f>
        <v/>
      </c>
      <c r="AL336" s="182" t="str">
        <f aca="false">IF($A337="","",SPRDOPT(P336,X336,AI336,0,AB336,AE336,AF336,AK336,$AJ$2,0))</f>
        <v/>
      </c>
      <c r="AM336" s="211" t="str">
        <f aca="false">IF($A337="","",MAX(0,O336-W336-AI336))</f>
        <v/>
      </c>
      <c r="AN336" s="211" t="str">
        <f aca="false">IF($A337="","",AL336-AM336)</f>
        <v/>
      </c>
      <c r="AO336" s="137" t="str">
        <f aca="false">IF(A337="","",A337-A336)</f>
        <v/>
      </c>
      <c r="AP336" s="212" t="str">
        <f aca="false">IF(A337="","",CHOOSE(F$3,A337+24,A336))</f>
        <v/>
      </c>
      <c r="AQ336" s="209" t="str">
        <f aca="false">IF(A337="","",AP336-$E$1)</f>
        <v/>
      </c>
      <c r="AR336" s="185" t="n">
        <f aca="false">'ANR OK vs ML7'!AR336</f>
        <v>0.1</v>
      </c>
      <c r="AS336" s="213" t="str">
        <f aca="false">IF(A337="","",1/(1+CHOOSE(F$3,(AR337+($I$3/10000))/2,(AR336+($I$3/10000))/2))^(2*AQ336/365.25))</f>
        <v/>
      </c>
      <c r="AT336" s="137" t="str">
        <f aca="false">IF(A337="","",IF(AND(mthbeg&lt;=A336,mthend&gt;=A336),1,0))</f>
        <v/>
      </c>
      <c r="AU336" s="137" t="str">
        <f aca="false">IF(A337="","",AO336*AT336)</f>
        <v/>
      </c>
      <c r="AW336" s="195" t="str">
        <f aca="false">IF($A337="","",AL336*$E336)</f>
        <v/>
      </c>
      <c r="AX336" s="195" t="str">
        <f aca="false">IF($A337="","",AM336*$E336)</f>
        <v/>
      </c>
      <c r="AY336" s="195" t="str">
        <f aca="false">IF($A337="","",AN336*$E336)</f>
        <v/>
      </c>
      <c r="BA336" s="195" t="str">
        <f aca="false">IF($A337="","",F336*Summary!$Q$9)</f>
        <v/>
      </c>
    </row>
    <row r="337" customFormat="false" ht="12" hidden="false" customHeight="true" outlineLevel="0" collapsed="false">
      <c r="A337" s="196" t="str">
        <f aca="false">IF(A336&lt;mthend,EDATE(A336,1),"")</f>
        <v/>
      </c>
      <c r="B337" s="197" t="str">
        <f aca="false">IF(A337&lt;mthend,B336,"")</f>
        <v/>
      </c>
      <c r="C337" s="215"/>
      <c r="D337" s="197" t="str">
        <f aca="false">IF(A338&lt;&gt;"",B337+C337,"")</f>
        <v/>
      </c>
      <c r="E337" s="199" t="str">
        <f aca="false">IF(A338="","",IF(AND(AT337=1,$H$3=1),D337*AO337,IF($H$3=2,D337,"N/A")))</f>
        <v/>
      </c>
      <c r="F337" s="199" t="str">
        <f aca="false">IF(A338="","",E337*AS337)</f>
        <v/>
      </c>
      <c r="G337" s="200" t="str">
        <f aca="false">IF($A338="","",VLOOKUP($A337,Table,MATCH(G$4,Curves,0)))</f>
        <v/>
      </c>
      <c r="H337" s="201" t="str">
        <f aca="false">IF(A338="","",G337)</f>
        <v/>
      </c>
      <c r="I337" s="202"/>
      <c r="J337" s="200" t="str">
        <f aca="false">IF($A338="","",VLOOKUP($A337,Table,MATCH(J$4,Curves,0)))</f>
        <v/>
      </c>
      <c r="K337" s="201" t="str">
        <f aca="false">IF(A338="","",J337)</f>
        <v/>
      </c>
      <c r="L337" s="200" t="str">
        <f aca="false">IF($A338="","",VLOOKUP($A337,Table,MATCH(L$4,Curves,0)))</f>
        <v/>
      </c>
      <c r="M337" s="201" t="str">
        <f aca="false">IF(A338="","",L337)</f>
        <v/>
      </c>
      <c r="N337" s="203"/>
      <c r="O337" s="200" t="str">
        <f aca="false">IF(A338="","",L337+J337+G337)</f>
        <v/>
      </c>
      <c r="P337" s="200" t="str">
        <f aca="false">IF(A338="","",M337+K337+H337)</f>
        <v/>
      </c>
      <c r="Q337" s="204"/>
      <c r="R337" s="200" t="str">
        <f aca="false">IF($A338="","",VLOOKUP($A337,Table,MATCH(R$4,Curves,0)))</f>
        <v/>
      </c>
      <c r="S337" s="201" t="str">
        <f aca="false">IF(A338="","",R337)</f>
        <v/>
      </c>
      <c r="T337" s="200" t="str">
        <f aca="false">IF($A338="","",VLOOKUP($A337,Table,MATCH(T$4,Curves,0)))</f>
        <v/>
      </c>
      <c r="U337" s="201" t="str">
        <f aca="false">IF(A338="","",T337)</f>
        <v/>
      </c>
      <c r="V337" s="225" t="str">
        <f aca="false">IF($A338="","",IF(AND(MONTH(A337)&gt;3,MONTH(A337)&lt;11),(T337+R337+G337)*Summary!$T$9/(1-Summary!$T$9),(T337+R337+G337)*Summary!$U$9/(1-Summary!$U$9)))</f>
        <v/>
      </c>
      <c r="W337" s="200" t="str">
        <f aca="false">IF($A338="","",(T337+R337+G337+V337))</f>
        <v/>
      </c>
      <c r="X337" s="200" t="str">
        <f aca="false">IF($A338="","",(U337+S337+H337+V337))</f>
        <v/>
      </c>
      <c r="Y337" s="202"/>
      <c r="Z337" s="185" t="str">
        <f aca="false">IF($A338="","",VLOOKUP($A337,Table,MATCH(Z$4,Curves,0)))</f>
        <v/>
      </c>
      <c r="AA337" s="185" t="str">
        <f aca="false">IF($A338="","",VLOOKUP($A337,Table,MATCH(AA$4,Curves,0)))</f>
        <v/>
      </c>
      <c r="AB337" s="185" t="e">
        <f aca="false">SQRT((AA337^2*(A337-$D$3)+Z337^2*(DAY(EOMONTH(A337,0))/2))/AK337)</f>
        <v>#VALUE!</v>
      </c>
      <c r="AC337" s="185" t="str">
        <f aca="false">IF($A338="","",VLOOKUP($A337,Table,MATCH(AC$4,Curves,0)))</f>
        <v/>
      </c>
      <c r="AD337" s="185" t="str">
        <f aca="false">IF($A338="","",VLOOKUP($A337,Table,MATCH(AD$4,Curves,0)))</f>
        <v/>
      </c>
      <c r="AE337" s="185" t="e">
        <f aca="false">SQRT((AD337^2*(A337-$D$3)+AC337^2*(DAY(EOMONTH(A337,0))/2))/AK337)</f>
        <v>#VALUE!</v>
      </c>
      <c r="AF337" s="224" t="e">
        <f aca="false">((Summary!$N$9*(AA337*AD337)*(A337-$D$3))+(Summary!$M$9*Z337*AC337*(AJ337-EOMONTH(EDATE(A337,-1),0))))/(AK337*AB337*AE337)</f>
        <v>#VALUE!</v>
      </c>
      <c r="AG337" s="207" t="str">
        <f aca="false">IF($A338="","",Summary!$Q$9)</f>
        <v/>
      </c>
      <c r="AH337" s="207" t="str">
        <f aca="false">IF($A338="","",IF(Summary!$R$9="Y",VLOOKUP($A337,Summary!$AD$6:$AF$9,3)+'Escalating commodity'!E350,'Escalating commodity'!E350))</f>
        <v/>
      </c>
      <c r="AI337" s="207" t="str">
        <f aca="false">IF($A338="","",AH337)</f>
        <v/>
      </c>
      <c r="AJ337" s="208" t="e">
        <f aca="false">A337+DAY(EOMONTH(A337,0))/2-1</f>
        <v>#VALUE!</v>
      </c>
      <c r="AK337" s="209" t="str">
        <f aca="false">IF($A338="","",$A337-$E$1)</f>
        <v/>
      </c>
      <c r="AL337" s="182" t="str">
        <f aca="false">IF($A338="","",SPRDOPT(P337,X337,AI337,0,AB337,AE337,AF337,AK337,$AJ$2,0))</f>
        <v/>
      </c>
      <c r="AM337" s="211" t="str">
        <f aca="false">IF($A338="","",MAX(0,O337-W337-AI337))</f>
        <v/>
      </c>
      <c r="AN337" s="211" t="str">
        <f aca="false">IF($A338="","",AL337-AM337)</f>
        <v/>
      </c>
      <c r="AO337" s="137" t="str">
        <f aca="false">IF(A338="","",A338-A337)</f>
        <v/>
      </c>
      <c r="AP337" s="212" t="str">
        <f aca="false">IF(A338="","",CHOOSE(F$3,A338+24,A337))</f>
        <v/>
      </c>
      <c r="AQ337" s="209" t="str">
        <f aca="false">IF(A338="","",AP337-$E$1)</f>
        <v/>
      </c>
      <c r="AR337" s="185" t="n">
        <f aca="false">'ANR OK vs ML7'!AR337</f>
        <v>0.1</v>
      </c>
      <c r="AS337" s="213" t="str">
        <f aca="false">IF(A338="","",1/(1+CHOOSE(F$3,(AR338+($I$3/10000))/2,(AR337+($I$3/10000))/2))^(2*AQ337/365.25))</f>
        <v/>
      </c>
      <c r="AT337" s="137" t="str">
        <f aca="false">IF(A338="","",IF(AND(mthbeg&lt;=A337,mthend&gt;=A337),1,0))</f>
        <v/>
      </c>
      <c r="AU337" s="137" t="str">
        <f aca="false">IF(A338="","",AO337*AT337)</f>
        <v/>
      </c>
      <c r="AW337" s="195" t="str">
        <f aca="false">IF($A338="","",AL337*$E337)</f>
        <v/>
      </c>
      <c r="AX337" s="195" t="str">
        <f aca="false">IF($A338="","",AM337*$E337)</f>
        <v/>
      </c>
      <c r="AY337" s="195" t="str">
        <f aca="false">IF($A338="","",AN337*$E337)</f>
        <v/>
      </c>
      <c r="BA337" s="195" t="str">
        <f aca="false">IF($A338="","",F337*Summary!$Q$9)</f>
        <v/>
      </c>
    </row>
    <row r="338" customFormat="false" ht="12" hidden="false" customHeight="true" outlineLevel="0" collapsed="false">
      <c r="A338" s="196" t="str">
        <f aca="false">IF(A337&lt;mthend,EDATE(A337,1),"")</f>
        <v/>
      </c>
      <c r="B338" s="197" t="str">
        <f aca="false">IF(A338&lt;mthend,B337,"")</f>
        <v/>
      </c>
      <c r="C338" s="215"/>
      <c r="D338" s="197" t="str">
        <f aca="false">IF(A339&lt;&gt;"",B338+C338,"")</f>
        <v/>
      </c>
      <c r="E338" s="199" t="str">
        <f aca="false">IF(A339="","",IF(AND(AT338=1,$H$3=1),D338*AO338,IF($H$3=2,D338,"N/A")))</f>
        <v/>
      </c>
      <c r="F338" s="199" t="str">
        <f aca="false">IF(A339="","",E338*AS338)</f>
        <v/>
      </c>
      <c r="G338" s="200" t="str">
        <f aca="false">IF($A339="","",VLOOKUP($A338,Table,MATCH(G$4,Curves,0)))</f>
        <v/>
      </c>
      <c r="H338" s="201" t="str">
        <f aca="false">IF(A339="","",G338)</f>
        <v/>
      </c>
      <c r="I338" s="202"/>
      <c r="J338" s="200" t="str">
        <f aca="false">IF($A339="","",VLOOKUP($A338,Table,MATCH(J$4,Curves,0)))</f>
        <v/>
      </c>
      <c r="K338" s="201" t="str">
        <f aca="false">IF(A339="","",J338)</f>
        <v/>
      </c>
      <c r="L338" s="200" t="str">
        <f aca="false">IF($A339="","",VLOOKUP($A338,Table,MATCH(L$4,Curves,0)))</f>
        <v/>
      </c>
      <c r="M338" s="201" t="str">
        <f aca="false">IF(A339="","",L338)</f>
        <v/>
      </c>
      <c r="N338" s="203"/>
      <c r="O338" s="200" t="str">
        <f aca="false">IF(A339="","",L338+J338+G338)</f>
        <v/>
      </c>
      <c r="P338" s="200" t="str">
        <f aca="false">IF(A339="","",M338+K338+H338)</f>
        <v/>
      </c>
      <c r="Q338" s="204"/>
      <c r="R338" s="200" t="str">
        <f aca="false">IF($A339="","",VLOOKUP($A338,Table,MATCH(R$4,Curves,0)))</f>
        <v/>
      </c>
      <c r="S338" s="201" t="str">
        <f aca="false">IF(A339="","",R338)</f>
        <v/>
      </c>
      <c r="T338" s="200" t="str">
        <f aca="false">IF($A339="","",VLOOKUP($A338,Table,MATCH(T$4,Curves,0)))</f>
        <v/>
      </c>
      <c r="U338" s="201" t="str">
        <f aca="false">IF(A339="","",T338)</f>
        <v/>
      </c>
      <c r="V338" s="225" t="str">
        <f aca="false">IF($A339="","",IF(AND(MONTH(A338)&gt;3,MONTH(A338)&lt;11),(T338+R338+G338)*Summary!$T$9/(1-Summary!$T$9),(T338+R338+G338)*Summary!$U$9/(1-Summary!$U$9)))</f>
        <v/>
      </c>
      <c r="W338" s="200" t="str">
        <f aca="false">IF($A339="","",(T338+R338+G338+V338))</f>
        <v/>
      </c>
      <c r="X338" s="200" t="str">
        <f aca="false">IF($A339="","",(U338+S338+H338+V338))</f>
        <v/>
      </c>
      <c r="Y338" s="202"/>
      <c r="Z338" s="185" t="str">
        <f aca="false">IF($A339="","",VLOOKUP($A338,Table,MATCH(Z$4,Curves,0)))</f>
        <v/>
      </c>
      <c r="AA338" s="185" t="str">
        <f aca="false">IF($A339="","",VLOOKUP($A338,Table,MATCH(AA$4,Curves,0)))</f>
        <v/>
      </c>
      <c r="AB338" s="185" t="e">
        <f aca="false">SQRT((AA338^2*(A338-$D$3)+Z338^2*(DAY(EOMONTH(A338,0))/2))/AK338)</f>
        <v>#VALUE!</v>
      </c>
      <c r="AC338" s="185" t="str">
        <f aca="false">IF($A339="","",VLOOKUP($A338,Table,MATCH(AC$4,Curves,0)))</f>
        <v/>
      </c>
      <c r="AD338" s="185" t="str">
        <f aca="false">IF($A339="","",VLOOKUP($A338,Table,MATCH(AD$4,Curves,0)))</f>
        <v/>
      </c>
      <c r="AE338" s="185" t="e">
        <f aca="false">SQRT((AD338^2*(A338-$D$3)+AC338^2*(DAY(EOMONTH(A338,0))/2))/AK338)</f>
        <v>#VALUE!</v>
      </c>
      <c r="AF338" s="224" t="e">
        <f aca="false">((Summary!$N$9*(AA338*AD338)*(A338-$D$3))+(Summary!$M$9*Z338*AC338*(AJ338-EOMONTH(EDATE(A338,-1),0))))/(AK338*AB338*AE338)</f>
        <v>#VALUE!</v>
      </c>
      <c r="AG338" s="207" t="str">
        <f aca="false">IF($A339="","",Summary!$Q$9)</f>
        <v/>
      </c>
      <c r="AH338" s="207" t="str">
        <f aca="false">IF($A339="","",IF(Summary!$R$9="Y",VLOOKUP($A338,Summary!$AD$6:$AF$9,3)+'Escalating commodity'!E351,'Escalating commodity'!E351))</f>
        <v/>
      </c>
      <c r="AI338" s="207" t="str">
        <f aca="false">IF($A339="","",AH338)</f>
        <v/>
      </c>
      <c r="AJ338" s="208" t="e">
        <f aca="false">A338+DAY(EOMONTH(A338,0))/2-1</f>
        <v>#VALUE!</v>
      </c>
      <c r="AK338" s="209" t="str">
        <f aca="false">IF($A339="","",$A338-$E$1)</f>
        <v/>
      </c>
      <c r="AL338" s="182" t="str">
        <f aca="false">IF($A339="","",SPRDOPT(P338,X338,AI338,0,AB338,AE338,AF338,AK338,$AJ$2,0))</f>
        <v/>
      </c>
      <c r="AM338" s="211" t="str">
        <f aca="false">IF($A339="","",MAX(0,O338-W338-AI338))</f>
        <v/>
      </c>
      <c r="AN338" s="211" t="str">
        <f aca="false">IF($A339="","",AL338-AM338)</f>
        <v/>
      </c>
      <c r="AO338" s="137" t="str">
        <f aca="false">IF(A339="","",A339-A338)</f>
        <v/>
      </c>
      <c r="AP338" s="212" t="str">
        <f aca="false">IF(A339="","",CHOOSE(F$3,A339+24,A338))</f>
        <v/>
      </c>
      <c r="AQ338" s="209" t="str">
        <f aca="false">IF(A339="","",AP338-$E$1)</f>
        <v/>
      </c>
      <c r="AR338" s="185" t="n">
        <f aca="false">'ANR OK vs ML7'!AR338</f>
        <v>0.1</v>
      </c>
      <c r="AS338" s="213" t="str">
        <f aca="false">IF(A339="","",1/(1+CHOOSE(F$3,(AR339+($I$3/10000))/2,(AR338+($I$3/10000))/2))^(2*AQ338/365.25))</f>
        <v/>
      </c>
      <c r="AT338" s="137" t="str">
        <f aca="false">IF(A339="","",IF(AND(mthbeg&lt;=A338,mthend&gt;=A338),1,0))</f>
        <v/>
      </c>
      <c r="AU338" s="137" t="str">
        <f aca="false">IF(A339="","",AO338*AT338)</f>
        <v/>
      </c>
      <c r="AW338" s="195" t="str">
        <f aca="false">IF($A339="","",AL338*$E338)</f>
        <v/>
      </c>
      <c r="AX338" s="195" t="str">
        <f aca="false">IF($A339="","",AM338*$E338)</f>
        <v/>
      </c>
      <c r="AY338" s="195" t="str">
        <f aca="false">IF($A339="","",AN338*$E338)</f>
        <v/>
      </c>
      <c r="BA338" s="195" t="str">
        <f aca="false">IF($A339="","",F338*Summary!$Q$9)</f>
        <v/>
      </c>
    </row>
    <row r="339" customFormat="false" ht="12" hidden="false" customHeight="true" outlineLevel="0" collapsed="false">
      <c r="A339" s="196" t="str">
        <f aca="false">IF(A338&lt;mthend,EDATE(A338,1),"")</f>
        <v/>
      </c>
      <c r="B339" s="197" t="str">
        <f aca="false">IF(A339&lt;mthend,B338,"")</f>
        <v/>
      </c>
      <c r="C339" s="215"/>
      <c r="D339" s="197" t="str">
        <f aca="false">IF(A340&lt;&gt;"",B339+C339,"")</f>
        <v/>
      </c>
      <c r="E339" s="199" t="str">
        <f aca="false">IF(A340="","",IF(AND(AT339=1,$H$3=1),D339*AO339,IF($H$3=2,D339,"N/A")))</f>
        <v/>
      </c>
      <c r="F339" s="199" t="str">
        <f aca="false">IF(A340="","",E339*AS339)</f>
        <v/>
      </c>
      <c r="G339" s="200" t="str">
        <f aca="false">IF($A340="","",VLOOKUP($A339,Table,MATCH(G$4,Curves,0)))</f>
        <v/>
      </c>
      <c r="H339" s="201" t="str">
        <f aca="false">IF(A340="","",G339)</f>
        <v/>
      </c>
      <c r="I339" s="202"/>
      <c r="J339" s="200" t="str">
        <f aca="false">IF($A340="","",VLOOKUP($A339,Table,MATCH(J$4,Curves,0)))</f>
        <v/>
      </c>
      <c r="K339" s="201" t="str">
        <f aca="false">IF(A340="","",J339)</f>
        <v/>
      </c>
      <c r="L339" s="200" t="str">
        <f aca="false">IF($A340="","",VLOOKUP($A339,Table,MATCH(L$4,Curves,0)))</f>
        <v/>
      </c>
      <c r="M339" s="201" t="str">
        <f aca="false">IF(A340="","",L339)</f>
        <v/>
      </c>
      <c r="N339" s="203"/>
      <c r="O339" s="200" t="str">
        <f aca="false">IF(A340="","",L339+J339+G339)</f>
        <v/>
      </c>
      <c r="P339" s="200" t="str">
        <f aca="false">IF(A340="","",M339+K339+H339)</f>
        <v/>
      </c>
      <c r="Q339" s="204"/>
      <c r="R339" s="200" t="str">
        <f aca="false">IF($A340="","",VLOOKUP($A339,Table,MATCH(R$4,Curves,0)))</f>
        <v/>
      </c>
      <c r="S339" s="201" t="str">
        <f aca="false">IF(A340="","",R339)</f>
        <v/>
      </c>
      <c r="T339" s="200" t="str">
        <f aca="false">IF($A340="","",VLOOKUP($A339,Table,MATCH(T$4,Curves,0)))</f>
        <v/>
      </c>
      <c r="U339" s="201" t="str">
        <f aca="false">IF(A340="","",T339)</f>
        <v/>
      </c>
      <c r="V339" s="225" t="str">
        <f aca="false">IF($A340="","",IF(AND(MONTH(A339)&gt;3,MONTH(A339)&lt;11),(T339+R339+G339)*Summary!$T$9/(1-Summary!$T$9),(T339+R339+G339)*Summary!$U$9/(1-Summary!$U$9)))</f>
        <v/>
      </c>
      <c r="W339" s="200" t="str">
        <f aca="false">IF($A340="","",(T339+R339+G339+V339))</f>
        <v/>
      </c>
      <c r="X339" s="200" t="str">
        <f aca="false">IF($A340="","",(U339+S339+H339+V339))</f>
        <v/>
      </c>
      <c r="Y339" s="202"/>
      <c r="Z339" s="185" t="str">
        <f aca="false">IF($A340="","",VLOOKUP($A339,Table,MATCH(Z$4,Curves,0)))</f>
        <v/>
      </c>
      <c r="AA339" s="185" t="str">
        <f aca="false">IF($A340="","",VLOOKUP($A339,Table,MATCH(AA$4,Curves,0)))</f>
        <v/>
      </c>
      <c r="AB339" s="185" t="e">
        <f aca="false">SQRT((AA339^2*(A339-$D$3)+Z339^2*(DAY(EOMONTH(A339,0))/2))/AK339)</f>
        <v>#VALUE!</v>
      </c>
      <c r="AC339" s="185" t="str">
        <f aca="false">IF($A340="","",VLOOKUP($A339,Table,MATCH(AC$4,Curves,0)))</f>
        <v/>
      </c>
      <c r="AD339" s="185" t="str">
        <f aca="false">IF($A340="","",VLOOKUP($A339,Table,MATCH(AD$4,Curves,0)))</f>
        <v/>
      </c>
      <c r="AE339" s="185" t="e">
        <f aca="false">SQRT((AD339^2*(A339-$D$3)+AC339^2*(DAY(EOMONTH(A339,0))/2))/AK339)</f>
        <v>#VALUE!</v>
      </c>
      <c r="AF339" s="224" t="e">
        <f aca="false">((Summary!$N$9*(AA339*AD339)*(A339-$D$3))+(Summary!$M$9*Z339*AC339*(AJ339-EOMONTH(EDATE(A339,-1),0))))/(AK339*AB339*AE339)</f>
        <v>#VALUE!</v>
      </c>
      <c r="AG339" s="207" t="str">
        <f aca="false">IF($A340="","",Summary!$Q$9)</f>
        <v/>
      </c>
      <c r="AH339" s="207" t="str">
        <f aca="false">IF($A340="","",IF(Summary!$R$9="Y",VLOOKUP($A339,Summary!$AD$6:$AF$9,3)+'Escalating commodity'!E352,'Escalating commodity'!E352))</f>
        <v/>
      </c>
      <c r="AI339" s="207" t="str">
        <f aca="false">IF($A340="","",AH339)</f>
        <v/>
      </c>
      <c r="AJ339" s="208" t="e">
        <f aca="false">A339+DAY(EOMONTH(A339,0))/2-1</f>
        <v>#VALUE!</v>
      </c>
      <c r="AK339" s="209" t="str">
        <f aca="false">IF($A340="","",$A339-$E$1)</f>
        <v/>
      </c>
      <c r="AL339" s="182" t="str">
        <f aca="false">IF($A340="","",SPRDOPT(P339,X339,AI339,0,AB339,AE339,AF339,AK339,$AJ$2,0))</f>
        <v/>
      </c>
      <c r="AM339" s="211" t="str">
        <f aca="false">IF($A340="","",MAX(0,O339-W339-AI339))</f>
        <v/>
      </c>
      <c r="AN339" s="211" t="str">
        <f aca="false">IF($A340="","",AL339-AM339)</f>
        <v/>
      </c>
      <c r="AO339" s="137" t="str">
        <f aca="false">IF(A340="","",A340-A339)</f>
        <v/>
      </c>
      <c r="AP339" s="212" t="str">
        <f aca="false">IF(A340="","",CHOOSE(F$3,A340+24,A339))</f>
        <v/>
      </c>
      <c r="AQ339" s="209" t="str">
        <f aca="false">IF(A340="","",AP339-$E$1)</f>
        <v/>
      </c>
      <c r="AR339" s="185" t="n">
        <f aca="false">'ANR OK vs ML7'!AR339</f>
        <v>0.1</v>
      </c>
      <c r="AS339" s="213" t="str">
        <f aca="false">IF(A340="","",1/(1+CHOOSE(F$3,(AR340+($I$3/10000))/2,(AR339+($I$3/10000))/2))^(2*AQ339/365.25))</f>
        <v/>
      </c>
      <c r="AT339" s="137" t="str">
        <f aca="false">IF(A340="","",IF(AND(mthbeg&lt;=A339,mthend&gt;=A339),1,0))</f>
        <v/>
      </c>
      <c r="AU339" s="137" t="str">
        <f aca="false">IF(A340="","",AO339*AT339)</f>
        <v/>
      </c>
      <c r="AW339" s="195" t="str">
        <f aca="false">IF($A340="","",AL339*$E339)</f>
        <v/>
      </c>
      <c r="AX339" s="195" t="str">
        <f aca="false">IF($A340="","",AM339*$E339)</f>
        <v/>
      </c>
      <c r="AY339" s="195" t="str">
        <f aca="false">IF($A340="","",AN339*$E339)</f>
        <v/>
      </c>
      <c r="BA339" s="195" t="str">
        <f aca="false">IF($A340="","",F339*Summary!$Q$9)</f>
        <v/>
      </c>
    </row>
    <row r="340" customFormat="false" ht="12" hidden="false" customHeight="true" outlineLevel="0" collapsed="false">
      <c r="A340" s="196" t="str">
        <f aca="false">IF(A339&lt;mthend,EDATE(A339,1),"")</f>
        <v/>
      </c>
      <c r="B340" s="197" t="str">
        <f aca="false">IF(A340&lt;mthend,B339,"")</f>
        <v/>
      </c>
      <c r="C340" s="215"/>
      <c r="D340" s="197" t="str">
        <f aca="false">IF(A341&lt;&gt;"",B340+C340,"")</f>
        <v/>
      </c>
      <c r="E340" s="199" t="str">
        <f aca="false">IF(A341="","",IF(AND(AT340=1,$H$3=1),D340*AO340,IF($H$3=2,D340,"N/A")))</f>
        <v/>
      </c>
      <c r="F340" s="199" t="str">
        <f aca="false">IF(A341="","",E340*AS340)</f>
        <v/>
      </c>
      <c r="G340" s="200" t="str">
        <f aca="false">IF($A341="","",VLOOKUP($A340,Table,MATCH(G$4,Curves,0)))</f>
        <v/>
      </c>
      <c r="H340" s="201" t="str">
        <f aca="false">IF(A341="","",G340)</f>
        <v/>
      </c>
      <c r="I340" s="202"/>
      <c r="J340" s="200" t="str">
        <f aca="false">IF($A341="","",VLOOKUP($A340,Table,MATCH(J$4,Curves,0)))</f>
        <v/>
      </c>
      <c r="K340" s="201" t="str">
        <f aca="false">IF(A341="","",J340)</f>
        <v/>
      </c>
      <c r="L340" s="200" t="str">
        <f aca="false">IF($A341="","",VLOOKUP($A340,Table,MATCH(L$4,Curves,0)))</f>
        <v/>
      </c>
      <c r="M340" s="201" t="str">
        <f aca="false">IF(A341="","",L340)</f>
        <v/>
      </c>
      <c r="N340" s="203"/>
      <c r="O340" s="200" t="str">
        <f aca="false">IF(A341="","",L340+J340+G340)</f>
        <v/>
      </c>
      <c r="P340" s="200" t="str">
        <f aca="false">IF(A341="","",M340+K340+H340)</f>
        <v/>
      </c>
      <c r="Q340" s="204"/>
      <c r="R340" s="200" t="str">
        <f aca="false">IF($A341="","",VLOOKUP($A340,Table,MATCH(R$4,Curves,0)))</f>
        <v/>
      </c>
      <c r="S340" s="201" t="str">
        <f aca="false">IF(A341="","",R340)</f>
        <v/>
      </c>
      <c r="T340" s="200" t="str">
        <f aca="false">IF($A341="","",VLOOKUP($A340,Table,MATCH(T$4,Curves,0)))</f>
        <v/>
      </c>
      <c r="U340" s="201" t="str">
        <f aca="false">IF(A341="","",T340)</f>
        <v/>
      </c>
      <c r="V340" s="225" t="str">
        <f aca="false">IF($A341="","",IF(AND(MONTH(A340)&gt;3,MONTH(A340)&lt;11),(T340+R340+G340)*Summary!$T$9/(1-Summary!$T$9),(T340+R340+G340)*Summary!$U$9/(1-Summary!$U$9)))</f>
        <v/>
      </c>
      <c r="W340" s="200" t="str">
        <f aca="false">IF($A341="","",(T340+R340+G340+V340))</f>
        <v/>
      </c>
      <c r="X340" s="200" t="str">
        <f aca="false">IF($A341="","",(U340+S340+H340+V340))</f>
        <v/>
      </c>
      <c r="Y340" s="202"/>
      <c r="Z340" s="185" t="str">
        <f aca="false">IF($A341="","",VLOOKUP($A340,Table,MATCH(Z$4,Curves,0)))</f>
        <v/>
      </c>
      <c r="AA340" s="185" t="str">
        <f aca="false">IF($A341="","",VLOOKUP($A340,Table,MATCH(AA$4,Curves,0)))</f>
        <v/>
      </c>
      <c r="AB340" s="185" t="e">
        <f aca="false">SQRT((AA340^2*(A340-$D$3)+Z340^2*(DAY(EOMONTH(A340,0))/2))/AK340)</f>
        <v>#VALUE!</v>
      </c>
      <c r="AC340" s="185" t="str">
        <f aca="false">IF($A341="","",VLOOKUP($A340,Table,MATCH(AC$4,Curves,0)))</f>
        <v/>
      </c>
      <c r="AD340" s="185" t="str">
        <f aca="false">IF($A341="","",VLOOKUP($A340,Table,MATCH(AD$4,Curves,0)))</f>
        <v/>
      </c>
      <c r="AE340" s="185" t="e">
        <f aca="false">SQRT((AD340^2*(A340-$D$3)+AC340^2*(DAY(EOMONTH(A340,0))/2))/AK340)</f>
        <v>#VALUE!</v>
      </c>
      <c r="AF340" s="224" t="e">
        <f aca="false">((Summary!$N$9*(AA340*AD340)*(A340-$D$3))+(Summary!$M$9*Z340*AC340*(AJ340-EOMONTH(EDATE(A340,-1),0))))/(AK340*AB340*AE340)</f>
        <v>#VALUE!</v>
      </c>
      <c r="AG340" s="207" t="str">
        <f aca="false">IF($A341="","",Summary!$Q$9)</f>
        <v/>
      </c>
      <c r="AH340" s="207" t="str">
        <f aca="false">IF($A341="","",IF(Summary!$R$9="Y",VLOOKUP($A340,Summary!$AD$6:$AF$9,3)+'Escalating commodity'!E353,'Escalating commodity'!E353))</f>
        <v/>
      </c>
      <c r="AI340" s="207" t="str">
        <f aca="false">IF($A341="","",AH340)</f>
        <v/>
      </c>
      <c r="AJ340" s="208" t="e">
        <f aca="false">A340+DAY(EOMONTH(A340,0))/2-1</f>
        <v>#VALUE!</v>
      </c>
      <c r="AK340" s="209" t="str">
        <f aca="false">IF($A341="","",$A340-$E$1)</f>
        <v/>
      </c>
      <c r="AL340" s="182" t="str">
        <f aca="false">IF($A341="","",SPRDOPT(P340,X340,AI340,0,AB340,AE340,AF340,AK340,$AJ$2,0))</f>
        <v/>
      </c>
      <c r="AM340" s="211" t="str">
        <f aca="false">IF($A341="","",MAX(0,O340-W340-AI340))</f>
        <v/>
      </c>
      <c r="AN340" s="211" t="str">
        <f aca="false">IF($A341="","",AL340-AM340)</f>
        <v/>
      </c>
      <c r="AO340" s="137" t="str">
        <f aca="false">IF(A341="","",A341-A340)</f>
        <v/>
      </c>
      <c r="AP340" s="212" t="str">
        <f aca="false">IF(A341="","",CHOOSE(F$3,A341+24,A340))</f>
        <v/>
      </c>
      <c r="AQ340" s="209" t="str">
        <f aca="false">IF(A341="","",AP340-$E$1)</f>
        <v/>
      </c>
      <c r="AR340" s="185" t="n">
        <f aca="false">'ANR OK vs ML7'!AR340</f>
        <v>0.1</v>
      </c>
      <c r="AS340" s="213" t="str">
        <f aca="false">IF(A341="","",1/(1+CHOOSE(F$3,(AR341+($I$3/10000))/2,(AR340+($I$3/10000))/2))^(2*AQ340/365.25))</f>
        <v/>
      </c>
      <c r="AT340" s="137" t="str">
        <f aca="false">IF(A341="","",IF(AND(mthbeg&lt;=A340,mthend&gt;=A340),1,0))</f>
        <v/>
      </c>
      <c r="AU340" s="137" t="str">
        <f aca="false">IF(A341="","",AO340*AT340)</f>
        <v/>
      </c>
      <c r="AW340" s="195" t="str">
        <f aca="false">IF($A341="","",AL340*$E340)</f>
        <v/>
      </c>
      <c r="AX340" s="195" t="str">
        <f aca="false">IF($A341="","",AM340*$E340)</f>
        <v/>
      </c>
      <c r="AY340" s="195" t="str">
        <f aca="false">IF($A341="","",AN340*$E340)</f>
        <v/>
      </c>
      <c r="BA340" s="195" t="str">
        <f aca="false">IF($A341="","",F340*Summary!$Q$9)</f>
        <v/>
      </c>
    </row>
    <row r="341" customFormat="false" ht="12" hidden="false" customHeight="true" outlineLevel="0" collapsed="false">
      <c r="A341" s="196" t="str">
        <f aca="false">IF(A340&lt;mthend,EDATE(A340,1),"")</f>
        <v/>
      </c>
      <c r="B341" s="197" t="str">
        <f aca="false">IF(A341&lt;mthend,B340,"")</f>
        <v/>
      </c>
      <c r="C341" s="215"/>
      <c r="D341" s="197" t="str">
        <f aca="false">IF(A342&lt;&gt;"",B341+C341,"")</f>
        <v/>
      </c>
      <c r="E341" s="199" t="str">
        <f aca="false">IF(A342="","",IF(AND(AT341=1,$H$3=1),D341*AO341,IF($H$3=2,D341,"N/A")))</f>
        <v/>
      </c>
      <c r="F341" s="199" t="str">
        <f aca="false">IF(A342="","",E341*AS341)</f>
        <v/>
      </c>
      <c r="G341" s="200" t="str">
        <f aca="false">IF($A342="","",VLOOKUP($A341,Table,MATCH(G$4,Curves,0)))</f>
        <v/>
      </c>
      <c r="H341" s="201" t="str">
        <f aca="false">IF(A342="","",G341)</f>
        <v/>
      </c>
      <c r="I341" s="202"/>
      <c r="J341" s="200" t="str">
        <f aca="false">IF($A342="","",VLOOKUP($A341,Table,MATCH(J$4,Curves,0)))</f>
        <v/>
      </c>
      <c r="K341" s="201" t="str">
        <f aca="false">IF(A342="","",J341)</f>
        <v/>
      </c>
      <c r="L341" s="200" t="str">
        <f aca="false">IF($A342="","",VLOOKUP($A341,Table,MATCH(L$4,Curves,0)))</f>
        <v/>
      </c>
      <c r="M341" s="201" t="str">
        <f aca="false">IF(A342="","",L341)</f>
        <v/>
      </c>
      <c r="N341" s="203"/>
      <c r="O341" s="200" t="str">
        <f aca="false">IF(A342="","",L341+J341+G341)</f>
        <v/>
      </c>
      <c r="P341" s="200" t="str">
        <f aca="false">IF(A342="","",M341+K341+H341)</f>
        <v/>
      </c>
      <c r="Q341" s="204"/>
      <c r="R341" s="200" t="str">
        <f aca="false">IF($A342="","",VLOOKUP($A341,Table,MATCH(R$4,Curves,0)))</f>
        <v/>
      </c>
      <c r="S341" s="201" t="str">
        <f aca="false">IF(A342="","",R341)</f>
        <v/>
      </c>
      <c r="T341" s="200" t="str">
        <f aca="false">IF($A342="","",VLOOKUP($A341,Table,MATCH(T$4,Curves,0)))</f>
        <v/>
      </c>
      <c r="U341" s="201" t="str">
        <f aca="false">IF(A342="","",T341)</f>
        <v/>
      </c>
      <c r="V341" s="225" t="str">
        <f aca="false">IF($A342="","",IF(AND(MONTH(A341)&gt;3,MONTH(A341)&lt;11),(T341+R341+G341)*Summary!$T$9/(1-Summary!$T$9),(T341+R341+G341)*Summary!$U$9/(1-Summary!$U$9)))</f>
        <v/>
      </c>
      <c r="W341" s="200" t="str">
        <f aca="false">IF($A342="","",(T341+R341+G341+V341))</f>
        <v/>
      </c>
      <c r="X341" s="200" t="str">
        <f aca="false">IF($A342="","",(U341+S341+H341+V341))</f>
        <v/>
      </c>
      <c r="Y341" s="202"/>
      <c r="Z341" s="185" t="str">
        <f aca="false">IF($A342="","",VLOOKUP($A341,Table,MATCH(Z$4,Curves,0)))</f>
        <v/>
      </c>
      <c r="AA341" s="185" t="str">
        <f aca="false">IF($A342="","",VLOOKUP($A341,Table,MATCH(AA$4,Curves,0)))</f>
        <v/>
      </c>
      <c r="AB341" s="185" t="e">
        <f aca="false">SQRT((AA341^2*(A341-$D$3)+Z341^2*(DAY(EOMONTH(A341,0))/2))/AK341)</f>
        <v>#VALUE!</v>
      </c>
      <c r="AC341" s="185" t="str">
        <f aca="false">IF($A342="","",VLOOKUP($A341,Table,MATCH(AC$4,Curves,0)))</f>
        <v/>
      </c>
      <c r="AD341" s="185" t="str">
        <f aca="false">IF($A342="","",VLOOKUP($A341,Table,MATCH(AD$4,Curves,0)))</f>
        <v/>
      </c>
      <c r="AE341" s="185" t="e">
        <f aca="false">SQRT((AD341^2*(A341-$D$3)+AC341^2*(DAY(EOMONTH(A341,0))/2))/AK341)</f>
        <v>#VALUE!</v>
      </c>
      <c r="AF341" s="224" t="e">
        <f aca="false">((Summary!$N$9*(AA341*AD341)*(A341-$D$3))+(Summary!$M$9*Z341*AC341*(AJ341-EOMONTH(EDATE(A341,-1),0))))/(AK341*AB341*AE341)</f>
        <v>#VALUE!</v>
      </c>
      <c r="AG341" s="207" t="str">
        <f aca="false">IF($A342="","",Summary!$Q$9)</f>
        <v/>
      </c>
      <c r="AH341" s="207" t="str">
        <f aca="false">IF($A342="","",IF(Summary!$R$9="Y",VLOOKUP($A341,Summary!$AD$6:$AF$9,3)+'Escalating commodity'!E354,'Escalating commodity'!E354))</f>
        <v/>
      </c>
      <c r="AI341" s="207" t="str">
        <f aca="false">IF($A342="","",AH341)</f>
        <v/>
      </c>
      <c r="AJ341" s="208" t="e">
        <f aca="false">A341+DAY(EOMONTH(A341,0))/2-1</f>
        <v>#VALUE!</v>
      </c>
      <c r="AK341" s="209" t="str">
        <f aca="false">IF($A342="","",$A341-$E$1)</f>
        <v/>
      </c>
      <c r="AL341" s="182" t="str">
        <f aca="false">IF($A342="","",SPRDOPT(P341,X341,AI341,0,AB341,AE341,AF341,AK341,$AJ$2,0))</f>
        <v/>
      </c>
      <c r="AM341" s="211" t="str">
        <f aca="false">IF($A342="","",MAX(0,O341-W341-AI341))</f>
        <v/>
      </c>
      <c r="AN341" s="211" t="str">
        <f aca="false">IF($A342="","",AL341-AM341)</f>
        <v/>
      </c>
      <c r="AO341" s="137" t="str">
        <f aca="false">IF(A342="","",A342-A341)</f>
        <v/>
      </c>
      <c r="AP341" s="212" t="str">
        <f aca="false">IF(A342="","",CHOOSE(F$3,A342+24,A341))</f>
        <v/>
      </c>
      <c r="AQ341" s="209" t="str">
        <f aca="false">IF(A342="","",AP341-$E$1)</f>
        <v/>
      </c>
      <c r="AR341" s="185" t="n">
        <f aca="false">'ANR OK vs ML7'!AR341</f>
        <v>0.1</v>
      </c>
      <c r="AS341" s="213" t="str">
        <f aca="false">IF(A342="","",1/(1+CHOOSE(F$3,(AR342+($I$3/10000))/2,(AR341+($I$3/10000))/2))^(2*AQ341/365.25))</f>
        <v/>
      </c>
      <c r="AT341" s="137" t="str">
        <f aca="false">IF(A342="","",IF(AND(mthbeg&lt;=A341,mthend&gt;=A341),1,0))</f>
        <v/>
      </c>
      <c r="AU341" s="137" t="str">
        <f aca="false">IF(A342="","",AO341*AT341)</f>
        <v/>
      </c>
      <c r="AW341" s="195" t="str">
        <f aca="false">IF($A342="","",AL341*$E341)</f>
        <v/>
      </c>
      <c r="AX341" s="195" t="str">
        <f aca="false">IF($A342="","",AM341*$E341)</f>
        <v/>
      </c>
      <c r="AY341" s="195" t="str">
        <f aca="false">IF($A342="","",AN341*$E341)</f>
        <v/>
      </c>
      <c r="BA341" s="195" t="str">
        <f aca="false">IF($A342="","",F341*Summary!$Q$9)</f>
        <v/>
      </c>
    </row>
    <row r="342" customFormat="false" ht="12" hidden="false" customHeight="true" outlineLevel="0" collapsed="false">
      <c r="A342" s="196" t="str">
        <f aca="false">IF(A341&lt;mthend,EDATE(A341,1),"")</f>
        <v/>
      </c>
      <c r="B342" s="197" t="str">
        <f aca="false">IF(A342&lt;mthend,B341,"")</f>
        <v/>
      </c>
      <c r="C342" s="215"/>
      <c r="D342" s="197" t="str">
        <f aca="false">IF(A343&lt;&gt;"",B342+C342,"")</f>
        <v/>
      </c>
      <c r="E342" s="199" t="str">
        <f aca="false">IF(A343="","",IF(AND(AT342=1,$H$3=1),D342*AO342,IF($H$3=2,D342,"N/A")))</f>
        <v/>
      </c>
      <c r="F342" s="199" t="str">
        <f aca="false">IF(A343="","",E342*AS342)</f>
        <v/>
      </c>
      <c r="G342" s="200" t="str">
        <f aca="false">IF($A343="","",VLOOKUP($A342,Table,MATCH(G$4,Curves,0)))</f>
        <v/>
      </c>
      <c r="H342" s="201" t="str">
        <f aca="false">IF(A343="","",G342)</f>
        <v/>
      </c>
      <c r="I342" s="202"/>
      <c r="J342" s="200" t="str">
        <f aca="false">IF($A343="","",VLOOKUP($A342,Table,MATCH(J$4,Curves,0)))</f>
        <v/>
      </c>
      <c r="K342" s="201" t="str">
        <f aca="false">IF(A343="","",J342)</f>
        <v/>
      </c>
      <c r="L342" s="200" t="str">
        <f aca="false">IF($A343="","",VLOOKUP($A342,Table,MATCH(L$4,Curves,0)))</f>
        <v/>
      </c>
      <c r="M342" s="201" t="str">
        <f aca="false">IF(A343="","",L342)</f>
        <v/>
      </c>
      <c r="N342" s="203"/>
      <c r="O342" s="200" t="str">
        <f aca="false">IF(A343="","",L342+J342+G342)</f>
        <v/>
      </c>
      <c r="P342" s="200" t="str">
        <f aca="false">IF(A343="","",M342+K342+H342)</f>
        <v/>
      </c>
      <c r="Q342" s="204"/>
      <c r="R342" s="200" t="str">
        <f aca="false">IF($A343="","",VLOOKUP($A342,Table,MATCH(R$4,Curves,0)))</f>
        <v/>
      </c>
      <c r="S342" s="201" t="str">
        <f aca="false">IF(A343="","",R342)</f>
        <v/>
      </c>
      <c r="T342" s="200" t="str">
        <f aca="false">IF($A343="","",VLOOKUP($A342,Table,MATCH(T$4,Curves,0)))</f>
        <v/>
      </c>
      <c r="U342" s="201" t="str">
        <f aca="false">IF(A343="","",T342)</f>
        <v/>
      </c>
      <c r="V342" s="225" t="str">
        <f aca="false">IF($A343="","",IF(AND(MONTH(A342)&gt;3,MONTH(A342)&lt;11),(T342+R342+G342)*Summary!$T$9/(1-Summary!$T$9),(T342+R342+G342)*Summary!$U$9/(1-Summary!$U$9)))</f>
        <v/>
      </c>
      <c r="W342" s="200" t="str">
        <f aca="false">IF($A343="","",(T342+R342+G342+V342))</f>
        <v/>
      </c>
      <c r="X342" s="200" t="str">
        <f aca="false">IF($A343="","",(U342+S342+H342+V342))</f>
        <v/>
      </c>
      <c r="Y342" s="202"/>
      <c r="Z342" s="185" t="str">
        <f aca="false">IF($A343="","",VLOOKUP($A342,Table,MATCH(Z$4,Curves,0)))</f>
        <v/>
      </c>
      <c r="AA342" s="185" t="str">
        <f aca="false">IF($A343="","",VLOOKUP($A342,Table,MATCH(AA$4,Curves,0)))</f>
        <v/>
      </c>
      <c r="AB342" s="185" t="e">
        <f aca="false">SQRT((AA342^2*(A342-$D$3)+Z342^2*(DAY(EOMONTH(A342,0))/2))/AK342)</f>
        <v>#VALUE!</v>
      </c>
      <c r="AC342" s="185" t="str">
        <f aca="false">IF($A343="","",VLOOKUP($A342,Table,MATCH(AC$4,Curves,0)))</f>
        <v/>
      </c>
      <c r="AD342" s="185" t="str">
        <f aca="false">IF($A343="","",VLOOKUP($A342,Table,MATCH(AD$4,Curves,0)))</f>
        <v/>
      </c>
      <c r="AE342" s="185" t="e">
        <f aca="false">SQRT((AD342^2*(A342-$D$3)+AC342^2*(DAY(EOMONTH(A342,0))/2))/AK342)</f>
        <v>#VALUE!</v>
      </c>
      <c r="AF342" s="224" t="e">
        <f aca="false">((Summary!$N$9*(AA342*AD342)*(A342-$D$3))+(Summary!$M$9*Z342*AC342*(AJ342-EOMONTH(EDATE(A342,-1),0))))/(AK342*AB342*AE342)</f>
        <v>#VALUE!</v>
      </c>
      <c r="AG342" s="207" t="str">
        <f aca="false">IF($A343="","",Summary!$Q$9)</f>
        <v/>
      </c>
      <c r="AH342" s="207" t="str">
        <f aca="false">IF($A343="","",IF(Summary!$R$9="Y",VLOOKUP($A342,Summary!$AD$6:$AF$9,3)+'Escalating commodity'!E355,'Escalating commodity'!E355))</f>
        <v/>
      </c>
      <c r="AI342" s="207" t="str">
        <f aca="false">IF($A343="","",AH342)</f>
        <v/>
      </c>
      <c r="AJ342" s="208" t="e">
        <f aca="false">A342+DAY(EOMONTH(A342,0))/2-1</f>
        <v>#VALUE!</v>
      </c>
      <c r="AK342" s="209" t="str">
        <f aca="false">IF($A343="","",$A342-$E$1)</f>
        <v/>
      </c>
      <c r="AL342" s="182" t="str">
        <f aca="false">IF($A343="","",SPRDOPT(P342,X342,AI342,0,AB342,AE342,AF342,AK342,$AJ$2,0))</f>
        <v/>
      </c>
      <c r="AM342" s="211" t="str">
        <f aca="false">IF($A343="","",MAX(0,O342-W342-AI342))</f>
        <v/>
      </c>
      <c r="AN342" s="211" t="str">
        <f aca="false">IF($A343="","",AL342-AM342)</f>
        <v/>
      </c>
      <c r="AO342" s="137" t="str">
        <f aca="false">IF(A343="","",A343-A342)</f>
        <v/>
      </c>
      <c r="AP342" s="212" t="str">
        <f aca="false">IF(A343="","",CHOOSE(F$3,A343+24,A342))</f>
        <v/>
      </c>
      <c r="AQ342" s="209" t="str">
        <f aca="false">IF(A343="","",AP342-$E$1)</f>
        <v/>
      </c>
      <c r="AR342" s="185" t="n">
        <f aca="false">'ANR OK vs ML7'!AR342</f>
        <v>0.1</v>
      </c>
      <c r="AS342" s="213" t="str">
        <f aca="false">IF(A343="","",1/(1+CHOOSE(F$3,(AR343+($I$3/10000))/2,(AR342+($I$3/10000))/2))^(2*AQ342/365.25))</f>
        <v/>
      </c>
      <c r="AT342" s="137" t="str">
        <f aca="false">IF(A343="","",IF(AND(mthbeg&lt;=A342,mthend&gt;=A342),1,0))</f>
        <v/>
      </c>
      <c r="AU342" s="137" t="str">
        <f aca="false">IF(A343="","",AO342*AT342)</f>
        <v/>
      </c>
      <c r="AW342" s="195" t="str">
        <f aca="false">IF($A343="","",AL342*$E342)</f>
        <v/>
      </c>
      <c r="AX342" s="195" t="str">
        <f aca="false">IF($A343="","",AM342*$E342)</f>
        <v/>
      </c>
      <c r="AY342" s="195" t="str">
        <f aca="false">IF($A343="","",AN342*$E342)</f>
        <v/>
      </c>
      <c r="BA342" s="195" t="str">
        <f aca="false">IF($A343="","",F342*Summary!$Q$9)</f>
        <v/>
      </c>
    </row>
    <row r="343" customFormat="false" ht="12" hidden="false" customHeight="true" outlineLevel="0" collapsed="false">
      <c r="A343" s="196" t="str">
        <f aca="false">IF(A342&lt;mthend,EDATE(A342,1),"")</f>
        <v/>
      </c>
      <c r="B343" s="197" t="str">
        <f aca="false">IF(A343&lt;mthend,B342,"")</f>
        <v/>
      </c>
      <c r="C343" s="215"/>
      <c r="D343" s="197" t="str">
        <f aca="false">IF(A344&lt;&gt;"",B343+C343,"")</f>
        <v/>
      </c>
      <c r="E343" s="199" t="str">
        <f aca="false">IF(A344="","",IF(AND(AT343=1,$H$3=1),D343*AO343,IF($H$3=2,D343,"N/A")))</f>
        <v/>
      </c>
      <c r="F343" s="199" t="str">
        <f aca="false">IF(A344="","",E343*AS343)</f>
        <v/>
      </c>
      <c r="G343" s="200" t="str">
        <f aca="false">IF($A344="","",VLOOKUP($A343,Table,MATCH(G$4,Curves,0)))</f>
        <v/>
      </c>
      <c r="H343" s="201" t="str">
        <f aca="false">IF(A344="","",G343)</f>
        <v/>
      </c>
      <c r="I343" s="202"/>
      <c r="J343" s="200" t="str">
        <f aca="false">IF($A344="","",VLOOKUP($A343,Table,MATCH(J$4,Curves,0)))</f>
        <v/>
      </c>
      <c r="K343" s="201" t="str">
        <f aca="false">IF(A344="","",J343)</f>
        <v/>
      </c>
      <c r="L343" s="200" t="str">
        <f aca="false">IF($A344="","",VLOOKUP($A343,Table,MATCH(L$4,Curves,0)))</f>
        <v/>
      </c>
      <c r="M343" s="201" t="str">
        <f aca="false">IF(A344="","",L343)</f>
        <v/>
      </c>
      <c r="N343" s="203"/>
      <c r="O343" s="200" t="str">
        <f aca="false">IF(A344="","",L343+J343+G343)</f>
        <v/>
      </c>
      <c r="P343" s="200" t="str">
        <f aca="false">IF(A344="","",M343+K343+H343)</f>
        <v/>
      </c>
      <c r="Q343" s="204"/>
      <c r="R343" s="200" t="str">
        <f aca="false">IF($A344="","",VLOOKUP($A343,Table,MATCH(R$4,Curves,0)))</f>
        <v/>
      </c>
      <c r="S343" s="201" t="str">
        <f aca="false">IF(A344="","",R343)</f>
        <v/>
      </c>
      <c r="T343" s="200" t="str">
        <f aca="false">IF($A344="","",VLOOKUP($A343,Table,MATCH(T$4,Curves,0)))</f>
        <v/>
      </c>
      <c r="U343" s="201" t="str">
        <f aca="false">IF(A344="","",T343)</f>
        <v/>
      </c>
      <c r="V343" s="225" t="str">
        <f aca="false">IF($A344="","",IF(AND(MONTH(A343)&gt;3,MONTH(A343)&lt;11),(T343+R343+G343)*Summary!$T$9/(1-Summary!$T$9),(T343+R343+G343)*Summary!$U$9/(1-Summary!$U$9)))</f>
        <v/>
      </c>
      <c r="W343" s="200" t="str">
        <f aca="false">IF($A344="","",(T343+R343+G343+V343))</f>
        <v/>
      </c>
      <c r="X343" s="200" t="str">
        <f aca="false">IF($A344="","",(U343+S343+H343+V343))</f>
        <v/>
      </c>
      <c r="Y343" s="202"/>
      <c r="Z343" s="185" t="str">
        <f aca="false">IF($A344="","",VLOOKUP($A343,Table,MATCH(Z$4,Curves,0)))</f>
        <v/>
      </c>
      <c r="AA343" s="185" t="str">
        <f aca="false">IF($A344="","",VLOOKUP($A343,Table,MATCH(AA$4,Curves,0)))</f>
        <v/>
      </c>
      <c r="AB343" s="185" t="e">
        <f aca="false">SQRT((AA343^2*(A343-$D$3)+Z343^2*(DAY(EOMONTH(A343,0))/2))/AK343)</f>
        <v>#VALUE!</v>
      </c>
      <c r="AC343" s="185" t="str">
        <f aca="false">IF($A344="","",VLOOKUP($A343,Table,MATCH(AC$4,Curves,0)))</f>
        <v/>
      </c>
      <c r="AD343" s="185" t="str">
        <f aca="false">IF($A344="","",VLOOKUP($A343,Table,MATCH(AD$4,Curves,0)))</f>
        <v/>
      </c>
      <c r="AE343" s="185" t="e">
        <f aca="false">SQRT((AD343^2*(A343-$D$3)+AC343^2*(DAY(EOMONTH(A343,0))/2))/AK343)</f>
        <v>#VALUE!</v>
      </c>
      <c r="AF343" s="224" t="e">
        <f aca="false">((Summary!$N$9*(AA343*AD343)*(A343-$D$3))+(Summary!$M$9*Z343*AC343*(AJ343-EOMONTH(EDATE(A343,-1),0))))/(AK343*AB343*AE343)</f>
        <v>#VALUE!</v>
      </c>
      <c r="AG343" s="207" t="str">
        <f aca="false">IF($A344="","",Summary!$Q$9)</f>
        <v/>
      </c>
      <c r="AH343" s="207" t="str">
        <f aca="false">IF($A344="","",IF(Summary!$R$9="Y",VLOOKUP($A343,Summary!$AD$6:$AF$9,3)+'Escalating commodity'!E356,'Escalating commodity'!E356))</f>
        <v/>
      </c>
      <c r="AI343" s="207" t="str">
        <f aca="false">IF($A344="","",AH343)</f>
        <v/>
      </c>
      <c r="AJ343" s="208" t="e">
        <f aca="false">A343+DAY(EOMONTH(A343,0))/2-1</f>
        <v>#VALUE!</v>
      </c>
      <c r="AK343" s="209" t="str">
        <f aca="false">IF($A344="","",$A343-$E$1)</f>
        <v/>
      </c>
      <c r="AL343" s="182" t="str">
        <f aca="false">IF($A344="","",SPRDOPT(P343,X343,AI343,0,AB343,AE343,AF343,AK343,$AJ$2,0))</f>
        <v/>
      </c>
      <c r="AM343" s="211" t="str">
        <f aca="false">IF($A344="","",MAX(0,O343-W343-AI343))</f>
        <v/>
      </c>
      <c r="AN343" s="211" t="str">
        <f aca="false">IF($A344="","",AL343-AM343)</f>
        <v/>
      </c>
      <c r="AO343" s="137" t="str">
        <f aca="false">IF(A344="","",A344-A343)</f>
        <v/>
      </c>
      <c r="AP343" s="212" t="str">
        <f aca="false">IF(A344="","",CHOOSE(F$3,A344+24,A343))</f>
        <v/>
      </c>
      <c r="AQ343" s="209" t="str">
        <f aca="false">IF(A344="","",AP343-$E$1)</f>
        <v/>
      </c>
      <c r="AR343" s="185" t="n">
        <f aca="false">'ANR OK vs ML7'!AR343</f>
        <v>0.1</v>
      </c>
      <c r="AS343" s="213" t="str">
        <f aca="false">IF(A344="","",1/(1+CHOOSE(F$3,(AR344+($I$3/10000))/2,(AR343+($I$3/10000))/2))^(2*AQ343/365.25))</f>
        <v/>
      </c>
      <c r="AT343" s="137" t="str">
        <f aca="false">IF(A344="","",IF(AND(mthbeg&lt;=A343,mthend&gt;=A343),1,0))</f>
        <v/>
      </c>
      <c r="AU343" s="137" t="str">
        <f aca="false">IF(A344="","",AO343*AT343)</f>
        <v/>
      </c>
      <c r="AW343" s="195" t="str">
        <f aca="false">IF($A344="","",AL343*$E343)</f>
        <v/>
      </c>
      <c r="AX343" s="195" t="str">
        <f aca="false">IF($A344="","",AM343*$E343)</f>
        <v/>
      </c>
      <c r="AY343" s="195" t="str">
        <f aca="false">IF($A344="","",AN343*$E343)</f>
        <v/>
      </c>
      <c r="BA343" s="195" t="str">
        <f aca="false">IF($A344="","",F343*Summary!$Q$9)</f>
        <v/>
      </c>
    </row>
    <row r="344" customFormat="false" ht="12" hidden="false" customHeight="true" outlineLevel="0" collapsed="false">
      <c r="A344" s="196" t="str">
        <f aca="false">IF(A343&lt;mthend,EDATE(A343,1),"")</f>
        <v/>
      </c>
      <c r="B344" s="197" t="str">
        <f aca="false">IF(A344&lt;mthend,B343,"")</f>
        <v/>
      </c>
      <c r="C344" s="215"/>
      <c r="D344" s="197" t="str">
        <f aca="false">IF(A345&lt;&gt;"",B344+C344,"")</f>
        <v/>
      </c>
      <c r="E344" s="199" t="str">
        <f aca="false">IF(A345="","",IF(AND(AT344=1,$H$3=1),D344*AO344,IF($H$3=2,D344,"N/A")))</f>
        <v/>
      </c>
      <c r="F344" s="199" t="str">
        <f aca="false">IF(A345="","",E344*AS344)</f>
        <v/>
      </c>
      <c r="G344" s="200" t="str">
        <f aca="false">IF($A345="","",VLOOKUP($A344,Table,MATCH(G$4,Curves,0)))</f>
        <v/>
      </c>
      <c r="H344" s="201" t="str">
        <f aca="false">IF(A345="","",G344)</f>
        <v/>
      </c>
      <c r="I344" s="202"/>
      <c r="J344" s="200" t="str">
        <f aca="false">IF($A345="","",VLOOKUP($A344,Table,MATCH(J$4,Curves,0)))</f>
        <v/>
      </c>
      <c r="K344" s="201" t="str">
        <f aca="false">IF(A345="","",J344)</f>
        <v/>
      </c>
      <c r="L344" s="200" t="str">
        <f aca="false">IF($A345="","",VLOOKUP($A344,Table,MATCH(L$4,Curves,0)))</f>
        <v/>
      </c>
      <c r="M344" s="201" t="str">
        <f aca="false">IF(A345="","",L344)</f>
        <v/>
      </c>
      <c r="N344" s="203"/>
      <c r="O344" s="200" t="str">
        <f aca="false">IF(A345="","",L344+J344+G344)</f>
        <v/>
      </c>
      <c r="P344" s="200" t="str">
        <f aca="false">IF(A345="","",M344+K344+H344)</f>
        <v/>
      </c>
      <c r="Q344" s="204"/>
      <c r="R344" s="200" t="str">
        <f aca="false">IF($A345="","",VLOOKUP($A344,Table,MATCH(R$4,Curves,0)))</f>
        <v/>
      </c>
      <c r="S344" s="201" t="str">
        <f aca="false">IF(A345="","",R344)</f>
        <v/>
      </c>
      <c r="T344" s="200" t="str">
        <f aca="false">IF($A345="","",VLOOKUP($A344,Table,MATCH(T$4,Curves,0)))</f>
        <v/>
      </c>
      <c r="U344" s="201" t="str">
        <f aca="false">IF(A345="","",T344)</f>
        <v/>
      </c>
      <c r="V344" s="225" t="str">
        <f aca="false">IF($A345="","",IF(AND(MONTH(A344)&gt;3,MONTH(A344)&lt;11),(T344+R344+G344)*Summary!$T$9/(1-Summary!$T$9),(T344+R344+G344)*Summary!$U$9/(1-Summary!$U$9)))</f>
        <v/>
      </c>
      <c r="W344" s="200" t="str">
        <f aca="false">IF($A345="","",(T344+R344+G344+V344))</f>
        <v/>
      </c>
      <c r="X344" s="200" t="str">
        <f aca="false">IF($A345="","",(U344+S344+H344+V344))</f>
        <v/>
      </c>
      <c r="Y344" s="202"/>
      <c r="Z344" s="185" t="str">
        <f aca="false">IF($A345="","",VLOOKUP($A344,Table,MATCH(Z$4,Curves,0)))</f>
        <v/>
      </c>
      <c r="AA344" s="185" t="str">
        <f aca="false">IF($A345="","",VLOOKUP($A344,Table,MATCH(AA$4,Curves,0)))</f>
        <v/>
      </c>
      <c r="AB344" s="185" t="e">
        <f aca="false">SQRT((AA344^2*(A344-$D$3)+Z344^2*(DAY(EOMONTH(A344,0))/2))/AK344)</f>
        <v>#VALUE!</v>
      </c>
      <c r="AC344" s="185" t="str">
        <f aca="false">IF($A345="","",VLOOKUP($A344,Table,MATCH(AC$4,Curves,0)))</f>
        <v/>
      </c>
      <c r="AD344" s="185" t="str">
        <f aca="false">IF($A345="","",VLOOKUP($A344,Table,MATCH(AD$4,Curves,0)))</f>
        <v/>
      </c>
      <c r="AE344" s="185" t="e">
        <f aca="false">SQRT((AD344^2*(A344-$D$3)+AC344^2*(DAY(EOMONTH(A344,0))/2))/AK344)</f>
        <v>#VALUE!</v>
      </c>
      <c r="AF344" s="224" t="e">
        <f aca="false">((Summary!$N$9*(AA344*AD344)*(A344-$D$3))+(Summary!$M$9*Z344*AC344*(AJ344-EOMONTH(EDATE(A344,-1),0))))/(AK344*AB344*AE344)</f>
        <v>#VALUE!</v>
      </c>
      <c r="AG344" s="207" t="str">
        <f aca="false">IF($A345="","",Summary!$Q$9)</f>
        <v/>
      </c>
      <c r="AH344" s="207" t="str">
        <f aca="false">IF($A345="","",IF(Summary!$R$9="Y",VLOOKUP($A344,Summary!$AD$6:$AF$9,3)+'Escalating commodity'!E357,'Escalating commodity'!E357))</f>
        <v/>
      </c>
      <c r="AI344" s="207" t="str">
        <f aca="false">IF($A345="","",AH344)</f>
        <v/>
      </c>
      <c r="AJ344" s="208" t="e">
        <f aca="false">A344+DAY(EOMONTH(A344,0))/2-1</f>
        <v>#VALUE!</v>
      </c>
      <c r="AK344" s="209" t="str">
        <f aca="false">IF($A345="","",$A344-$E$1)</f>
        <v/>
      </c>
      <c r="AL344" s="182" t="str">
        <f aca="false">IF($A345="","",SPRDOPT(P344,X344,AI344,0,AB344,AE344,AF344,AK344,$AJ$2,0))</f>
        <v/>
      </c>
      <c r="AM344" s="211" t="str">
        <f aca="false">IF($A345="","",MAX(0,O344-W344-AI344))</f>
        <v/>
      </c>
      <c r="AN344" s="211" t="str">
        <f aca="false">IF($A345="","",AL344-AM344)</f>
        <v/>
      </c>
      <c r="AO344" s="137" t="str">
        <f aca="false">IF(A345="","",A345-A344)</f>
        <v/>
      </c>
      <c r="AP344" s="212" t="str">
        <f aca="false">IF(A345="","",CHOOSE(F$3,A345+24,A344))</f>
        <v/>
      </c>
      <c r="AQ344" s="209" t="str">
        <f aca="false">IF(A345="","",AP344-$E$1)</f>
        <v/>
      </c>
      <c r="AR344" s="185" t="n">
        <f aca="false">'ANR OK vs ML7'!AR344</f>
        <v>0.1</v>
      </c>
      <c r="AS344" s="213" t="str">
        <f aca="false">IF(A345="","",1/(1+CHOOSE(F$3,(AR345+($I$3/10000))/2,(AR344+($I$3/10000))/2))^(2*AQ344/365.25))</f>
        <v/>
      </c>
      <c r="AT344" s="137" t="str">
        <f aca="false">IF(A345="","",IF(AND(mthbeg&lt;=A344,mthend&gt;=A344),1,0))</f>
        <v/>
      </c>
      <c r="AU344" s="137" t="str">
        <f aca="false">IF(A345="","",AO344*AT344)</f>
        <v/>
      </c>
      <c r="AW344" s="195" t="str">
        <f aca="false">IF($A345="","",AL344*$E344)</f>
        <v/>
      </c>
      <c r="AX344" s="195" t="str">
        <f aca="false">IF($A345="","",AM344*$E344)</f>
        <v/>
      </c>
      <c r="AY344" s="195" t="str">
        <f aca="false">IF($A345="","",AN344*$E344)</f>
        <v/>
      </c>
      <c r="BA344" s="195" t="str">
        <f aca="false">IF($A345="","",F344*Summary!$Q$9)</f>
        <v/>
      </c>
    </row>
    <row r="345" customFormat="false" ht="12" hidden="false" customHeight="true" outlineLevel="0" collapsed="false">
      <c r="A345" s="196" t="str">
        <f aca="false">IF(A344&lt;mthend,EDATE(A344,1),"")</f>
        <v/>
      </c>
      <c r="B345" s="197" t="str">
        <f aca="false">IF(A345&lt;mthend,B344,"")</f>
        <v/>
      </c>
      <c r="C345" s="215"/>
      <c r="D345" s="197" t="str">
        <f aca="false">IF(A346&lt;&gt;"",B345+C345,"")</f>
        <v/>
      </c>
      <c r="E345" s="199" t="str">
        <f aca="false">IF(A346="","",IF(AND(AT345=1,$H$3=1),D345*AO345,IF($H$3=2,D345,"N/A")))</f>
        <v/>
      </c>
      <c r="F345" s="199" t="str">
        <f aca="false">IF(A346="","",E345*AS345)</f>
        <v/>
      </c>
      <c r="G345" s="200" t="str">
        <f aca="false">IF($A346="","",VLOOKUP($A345,Table,MATCH(G$4,Curves,0)))</f>
        <v/>
      </c>
      <c r="H345" s="201" t="str">
        <f aca="false">IF(A346="","",G345)</f>
        <v/>
      </c>
      <c r="I345" s="202"/>
      <c r="J345" s="200" t="str">
        <f aca="false">IF($A346="","",VLOOKUP($A345,Table,MATCH(J$4,Curves,0)))</f>
        <v/>
      </c>
      <c r="K345" s="201" t="str">
        <f aca="false">IF(A346="","",J345)</f>
        <v/>
      </c>
      <c r="L345" s="200" t="str">
        <f aca="false">IF($A346="","",VLOOKUP($A345,Table,MATCH(L$4,Curves,0)))</f>
        <v/>
      </c>
      <c r="M345" s="201" t="str">
        <f aca="false">IF(A346="","",L345)</f>
        <v/>
      </c>
      <c r="N345" s="203"/>
      <c r="O345" s="200" t="str">
        <f aca="false">IF(A346="","",L345+J345+G345)</f>
        <v/>
      </c>
      <c r="P345" s="200" t="str">
        <f aca="false">IF(A346="","",M345+K345+H345)</f>
        <v/>
      </c>
      <c r="Q345" s="204"/>
      <c r="R345" s="200" t="str">
        <f aca="false">IF($A346="","",VLOOKUP($A345,Table,MATCH(R$4,Curves,0)))</f>
        <v/>
      </c>
      <c r="S345" s="201" t="str">
        <f aca="false">IF(A346="","",R345)</f>
        <v/>
      </c>
      <c r="T345" s="200" t="str">
        <f aca="false">IF($A346="","",VLOOKUP($A345,Table,MATCH(T$4,Curves,0)))</f>
        <v/>
      </c>
      <c r="U345" s="201" t="str">
        <f aca="false">IF(A346="","",T345)</f>
        <v/>
      </c>
      <c r="V345" s="225" t="str">
        <f aca="false">IF($A346="","",IF(AND(MONTH(A345)&gt;3,MONTH(A345)&lt;11),(T345+R345+G345)*Summary!$T$9/(1-Summary!$T$9),(T345+R345+G345)*Summary!$U$9/(1-Summary!$U$9)))</f>
        <v/>
      </c>
      <c r="W345" s="200" t="str">
        <f aca="false">IF($A346="","",(T345+R345+G345+V345))</f>
        <v/>
      </c>
      <c r="X345" s="200" t="str">
        <f aca="false">IF($A346="","",(U345+S345+H345+V345))</f>
        <v/>
      </c>
      <c r="Y345" s="202"/>
      <c r="Z345" s="185" t="str">
        <f aca="false">IF($A346="","",VLOOKUP($A345,Table,MATCH(Z$4,Curves,0)))</f>
        <v/>
      </c>
      <c r="AA345" s="185" t="str">
        <f aca="false">IF($A346="","",VLOOKUP($A345,Table,MATCH(AA$4,Curves,0)))</f>
        <v/>
      </c>
      <c r="AB345" s="185" t="e">
        <f aca="false">SQRT((AA345^2*(A345-$D$3)+Z345^2*(DAY(EOMONTH(A345,0))/2))/AK345)</f>
        <v>#VALUE!</v>
      </c>
      <c r="AC345" s="185" t="str">
        <f aca="false">IF($A346="","",VLOOKUP($A345,Table,MATCH(AC$4,Curves,0)))</f>
        <v/>
      </c>
      <c r="AD345" s="185" t="str">
        <f aca="false">IF($A346="","",VLOOKUP($A345,Table,MATCH(AD$4,Curves,0)))</f>
        <v/>
      </c>
      <c r="AE345" s="185" t="e">
        <f aca="false">SQRT((AD345^2*(A345-$D$3)+AC345^2*(DAY(EOMONTH(A345,0))/2))/AK345)</f>
        <v>#VALUE!</v>
      </c>
      <c r="AF345" s="224" t="e">
        <f aca="false">((Summary!$N$9*(AA345*AD345)*(A345-$D$3))+(Summary!$M$9*Z345*AC345*(AJ345-EOMONTH(EDATE(A345,-1),0))))/(AK345*AB345*AE345)</f>
        <v>#VALUE!</v>
      </c>
      <c r="AG345" s="207" t="str">
        <f aca="false">IF($A346="","",Summary!$Q$9)</f>
        <v/>
      </c>
      <c r="AH345" s="207" t="str">
        <f aca="false">IF($A346="","",IF(Summary!$R$9="Y",VLOOKUP($A345,Summary!$AD$6:$AF$9,3)+'Escalating commodity'!E358,'Escalating commodity'!E358))</f>
        <v/>
      </c>
      <c r="AI345" s="207" t="str">
        <f aca="false">IF($A346="","",AH345)</f>
        <v/>
      </c>
      <c r="AJ345" s="208" t="e">
        <f aca="false">A345+DAY(EOMONTH(A345,0))/2-1</f>
        <v>#VALUE!</v>
      </c>
      <c r="AK345" s="209" t="str">
        <f aca="false">IF($A346="","",$A345-$E$1)</f>
        <v/>
      </c>
      <c r="AL345" s="182" t="str">
        <f aca="false">IF($A346="","",SPRDOPT(P345,X345,AI345,0,AB345,AE345,AF345,AK345,$AJ$2,0))</f>
        <v/>
      </c>
      <c r="AM345" s="211" t="str">
        <f aca="false">IF($A346="","",MAX(0,O345-W345-AI345))</f>
        <v/>
      </c>
      <c r="AN345" s="211" t="str">
        <f aca="false">IF($A346="","",AL345-AM345)</f>
        <v/>
      </c>
      <c r="AO345" s="137" t="str">
        <f aca="false">IF(A346="","",A346-A345)</f>
        <v/>
      </c>
      <c r="AP345" s="212" t="str">
        <f aca="false">IF(A346="","",CHOOSE(F$3,A346+24,A345))</f>
        <v/>
      </c>
      <c r="AQ345" s="209" t="str">
        <f aca="false">IF(A346="","",AP345-$E$1)</f>
        <v/>
      </c>
      <c r="AR345" s="185" t="n">
        <f aca="false">'ANR OK vs ML7'!AR345</f>
        <v>0.1</v>
      </c>
      <c r="AS345" s="213" t="str">
        <f aca="false">IF(A346="","",1/(1+CHOOSE(F$3,(AR346+($I$3/10000))/2,(AR345+($I$3/10000))/2))^(2*AQ345/365.25))</f>
        <v/>
      </c>
      <c r="AT345" s="137" t="str">
        <f aca="false">IF(A346="","",IF(AND(mthbeg&lt;=A345,mthend&gt;=A345),1,0))</f>
        <v/>
      </c>
      <c r="AU345" s="137" t="str">
        <f aca="false">IF(A346="","",AO345*AT345)</f>
        <v/>
      </c>
      <c r="AW345" s="195" t="str">
        <f aca="false">IF($A346="","",AL345*$E345)</f>
        <v/>
      </c>
      <c r="AX345" s="195" t="str">
        <f aca="false">IF($A346="","",AM345*$E345)</f>
        <v/>
      </c>
      <c r="AY345" s="195" t="str">
        <f aca="false">IF($A346="","",AN345*$E345)</f>
        <v/>
      </c>
      <c r="BA345" s="195" t="str">
        <f aca="false">IF($A346="","",F345*Summary!$Q$9)</f>
        <v/>
      </c>
    </row>
    <row r="346" customFormat="false" ht="12" hidden="false" customHeight="true" outlineLevel="0" collapsed="false">
      <c r="A346" s="196" t="str">
        <f aca="false">IF(A345&lt;mthend,EDATE(A345,1),"")</f>
        <v/>
      </c>
      <c r="B346" s="197" t="str">
        <f aca="false">IF(A346&lt;mthend,B345,"")</f>
        <v/>
      </c>
      <c r="C346" s="215"/>
      <c r="D346" s="197" t="str">
        <f aca="false">IF(A347&lt;&gt;"",B346+C346,"")</f>
        <v/>
      </c>
      <c r="E346" s="199" t="str">
        <f aca="false">IF(A347="","",IF(AND(AT346=1,$H$3=1),D346*AO346,IF($H$3=2,D346,"N/A")))</f>
        <v/>
      </c>
      <c r="F346" s="199" t="str">
        <f aca="false">IF(A347="","",E346*AS346)</f>
        <v/>
      </c>
      <c r="G346" s="200" t="str">
        <f aca="false">IF($A347="","",VLOOKUP($A346,Table,MATCH(G$4,Curves,0)))</f>
        <v/>
      </c>
      <c r="H346" s="201" t="str">
        <f aca="false">IF(A347="","",G346)</f>
        <v/>
      </c>
      <c r="I346" s="202"/>
      <c r="J346" s="200" t="str">
        <f aca="false">IF($A347="","",VLOOKUP($A346,Table,MATCH(J$4,Curves,0)))</f>
        <v/>
      </c>
      <c r="K346" s="201" t="str">
        <f aca="false">IF(A347="","",J346)</f>
        <v/>
      </c>
      <c r="L346" s="200" t="str">
        <f aca="false">IF($A347="","",VLOOKUP($A346,Table,MATCH(L$4,Curves,0)))</f>
        <v/>
      </c>
      <c r="M346" s="201" t="str">
        <f aca="false">IF(A347="","",L346)</f>
        <v/>
      </c>
      <c r="N346" s="203"/>
      <c r="O346" s="200" t="str">
        <f aca="false">IF(A347="","",L346+J346+G346)</f>
        <v/>
      </c>
      <c r="P346" s="200" t="str">
        <f aca="false">IF(A347="","",M346+K346+H346)</f>
        <v/>
      </c>
      <c r="Q346" s="204"/>
      <c r="R346" s="200" t="str">
        <f aca="false">IF($A347="","",VLOOKUP($A346,Table,MATCH(R$4,Curves,0)))</f>
        <v/>
      </c>
      <c r="S346" s="201" t="str">
        <f aca="false">IF(A347="","",R346)</f>
        <v/>
      </c>
      <c r="T346" s="200" t="str">
        <f aca="false">IF($A347="","",VLOOKUP($A346,Table,MATCH(T$4,Curves,0)))</f>
        <v/>
      </c>
      <c r="U346" s="201" t="str">
        <f aca="false">IF(A347="","",T346)</f>
        <v/>
      </c>
      <c r="V346" s="225" t="str">
        <f aca="false">IF($A347="","",IF(AND(MONTH(A346)&gt;3,MONTH(A346)&lt;11),(T346+R346+G346)*Summary!$T$9/(1-Summary!$T$9),(T346+R346+G346)*Summary!$U$9/(1-Summary!$U$9)))</f>
        <v/>
      </c>
      <c r="W346" s="200" t="str">
        <f aca="false">IF($A347="","",(T346+R346+G346+V346))</f>
        <v/>
      </c>
      <c r="X346" s="200" t="str">
        <f aca="false">IF($A347="","",(U346+S346+H346+V346))</f>
        <v/>
      </c>
      <c r="Y346" s="202"/>
      <c r="Z346" s="185" t="str">
        <f aca="false">IF($A347="","",VLOOKUP($A346,Table,MATCH(Z$4,Curves,0)))</f>
        <v/>
      </c>
      <c r="AA346" s="185" t="str">
        <f aca="false">IF($A347="","",VLOOKUP($A346,Table,MATCH(AA$4,Curves,0)))</f>
        <v/>
      </c>
      <c r="AB346" s="185" t="e">
        <f aca="false">SQRT((AA346^2*(A346-$D$3)+Z346^2*(DAY(EOMONTH(A346,0))/2))/AK346)</f>
        <v>#VALUE!</v>
      </c>
      <c r="AC346" s="185" t="str">
        <f aca="false">IF($A347="","",VLOOKUP($A346,Table,MATCH(AC$4,Curves,0)))</f>
        <v/>
      </c>
      <c r="AD346" s="185" t="str">
        <f aca="false">IF($A347="","",VLOOKUP($A346,Table,MATCH(AD$4,Curves,0)))</f>
        <v/>
      </c>
      <c r="AE346" s="185" t="e">
        <f aca="false">SQRT((AD346^2*(A346-$D$3)+AC346^2*(DAY(EOMONTH(A346,0))/2))/AK346)</f>
        <v>#VALUE!</v>
      </c>
      <c r="AF346" s="224" t="e">
        <f aca="false">((Summary!$N$9*(AA346*AD346)*(A346-$D$3))+(Summary!$M$9*Z346*AC346*(AJ346-EOMONTH(EDATE(A346,-1),0))))/(AK346*AB346*AE346)</f>
        <v>#VALUE!</v>
      </c>
      <c r="AG346" s="207" t="str">
        <f aca="false">IF($A347="","",Summary!$Q$9)</f>
        <v/>
      </c>
      <c r="AH346" s="207" t="str">
        <f aca="false">IF($A347="","",IF(Summary!$R$9="Y",VLOOKUP($A346,Summary!$AD$6:$AF$9,3)+'Escalating commodity'!E359,'Escalating commodity'!E359))</f>
        <v/>
      </c>
      <c r="AI346" s="207" t="str">
        <f aca="false">IF($A347="","",AH346)</f>
        <v/>
      </c>
      <c r="AJ346" s="208" t="e">
        <f aca="false">A346+DAY(EOMONTH(A346,0))/2-1</f>
        <v>#VALUE!</v>
      </c>
      <c r="AK346" s="209" t="str">
        <f aca="false">IF($A347="","",$A346-$E$1)</f>
        <v/>
      </c>
      <c r="AL346" s="182" t="str">
        <f aca="false">IF($A347="","",SPRDOPT(P346,X346,AI346,0,AB346,AE346,AF346,AK346,$AJ$2,0))</f>
        <v/>
      </c>
      <c r="AM346" s="211" t="str">
        <f aca="false">IF($A347="","",MAX(0,O346-W346-AI346))</f>
        <v/>
      </c>
      <c r="AN346" s="211" t="str">
        <f aca="false">IF($A347="","",AL346-AM346)</f>
        <v/>
      </c>
      <c r="AO346" s="137" t="str">
        <f aca="false">IF(A347="","",A347-A346)</f>
        <v/>
      </c>
      <c r="AP346" s="212" t="str">
        <f aca="false">IF(A347="","",CHOOSE(F$3,A347+24,A346))</f>
        <v/>
      </c>
      <c r="AQ346" s="209" t="str">
        <f aca="false">IF(A347="","",AP346-$E$1)</f>
        <v/>
      </c>
      <c r="AR346" s="185" t="n">
        <f aca="false">'ANR OK vs ML7'!AR346</f>
        <v>0.1</v>
      </c>
      <c r="AS346" s="213" t="str">
        <f aca="false">IF(A347="","",1/(1+CHOOSE(F$3,(AR347+($I$3/10000))/2,(AR346+($I$3/10000))/2))^(2*AQ346/365.25))</f>
        <v/>
      </c>
      <c r="AT346" s="137" t="str">
        <f aca="false">IF(A347="","",IF(AND(mthbeg&lt;=A346,mthend&gt;=A346),1,0))</f>
        <v/>
      </c>
      <c r="AU346" s="137" t="str">
        <f aca="false">IF(A347="","",AO346*AT346)</f>
        <v/>
      </c>
      <c r="AW346" s="195" t="str">
        <f aca="false">IF($A347="","",AL346*$E346)</f>
        <v/>
      </c>
      <c r="AX346" s="195" t="str">
        <f aca="false">IF($A347="","",AM346*$E346)</f>
        <v/>
      </c>
      <c r="AY346" s="195" t="str">
        <f aca="false">IF($A347="","",AN346*$E346)</f>
        <v/>
      </c>
      <c r="BA346" s="195" t="str">
        <f aca="false">IF($A347="","",F346*Summary!$Q$9)</f>
        <v/>
      </c>
    </row>
    <row r="347" customFormat="false" ht="12" hidden="false" customHeight="true" outlineLevel="0" collapsed="false">
      <c r="A347" s="196" t="str">
        <f aca="false">IF(A346&lt;mthend,EDATE(A346,1),"")</f>
        <v/>
      </c>
      <c r="B347" s="197" t="str">
        <f aca="false">IF(A347&lt;mthend,B346,"")</f>
        <v/>
      </c>
      <c r="C347" s="215"/>
      <c r="D347" s="197" t="str">
        <f aca="false">IF(A348&lt;&gt;"",B347+C347,"")</f>
        <v/>
      </c>
      <c r="E347" s="199" t="str">
        <f aca="false">IF(A348="","",IF(AND(AT347=1,$H$3=1),D347*AO347,IF($H$3=2,D347,"N/A")))</f>
        <v/>
      </c>
      <c r="F347" s="199" t="str">
        <f aca="false">IF(A348="","",E347*AS347)</f>
        <v/>
      </c>
      <c r="G347" s="200" t="str">
        <f aca="false">IF($A348="","",VLOOKUP($A347,Table,MATCH(G$4,Curves,0)))</f>
        <v/>
      </c>
      <c r="H347" s="201" t="str">
        <f aca="false">IF(A348="","",G347)</f>
        <v/>
      </c>
      <c r="I347" s="202"/>
      <c r="J347" s="200" t="str">
        <f aca="false">IF($A348="","",VLOOKUP($A347,Table,MATCH(J$4,Curves,0)))</f>
        <v/>
      </c>
      <c r="K347" s="201" t="str">
        <f aca="false">IF(A348="","",J347)</f>
        <v/>
      </c>
      <c r="L347" s="200" t="str">
        <f aca="false">IF($A348="","",VLOOKUP($A347,Table,MATCH(L$4,Curves,0)))</f>
        <v/>
      </c>
      <c r="M347" s="201" t="str">
        <f aca="false">IF(A348="","",L347)</f>
        <v/>
      </c>
      <c r="N347" s="203"/>
      <c r="O347" s="200" t="str">
        <f aca="false">IF(A348="","",L347+J347+G347)</f>
        <v/>
      </c>
      <c r="P347" s="200" t="str">
        <f aca="false">IF(A348="","",M347+K347+H347)</f>
        <v/>
      </c>
      <c r="Q347" s="204"/>
      <c r="R347" s="200" t="str">
        <f aca="false">IF($A348="","",VLOOKUP($A347,Table,MATCH(R$4,Curves,0)))</f>
        <v/>
      </c>
      <c r="S347" s="201" t="str">
        <f aca="false">IF(A348="","",R347)</f>
        <v/>
      </c>
      <c r="T347" s="200" t="str">
        <f aca="false">IF($A348="","",VLOOKUP($A347,Table,MATCH(T$4,Curves,0)))</f>
        <v/>
      </c>
      <c r="U347" s="201" t="str">
        <f aca="false">IF(A348="","",T347)</f>
        <v/>
      </c>
      <c r="V347" s="225" t="str">
        <f aca="false">IF($A348="","",IF(AND(MONTH(A347)&gt;3,MONTH(A347)&lt;11),(T347+R347+G347)*Summary!$T$9/(1-Summary!$T$9),(T347+R347+G347)*Summary!$U$9/(1-Summary!$U$9)))</f>
        <v/>
      </c>
      <c r="W347" s="200" t="str">
        <f aca="false">IF($A348="","",(T347+R347+G347+V347))</f>
        <v/>
      </c>
      <c r="X347" s="200" t="str">
        <f aca="false">IF($A348="","",(U347+S347+H347+V347))</f>
        <v/>
      </c>
      <c r="Y347" s="202"/>
      <c r="Z347" s="185" t="str">
        <f aca="false">IF($A348="","",VLOOKUP($A347,Table,MATCH(Z$4,Curves,0)))</f>
        <v/>
      </c>
      <c r="AA347" s="185" t="str">
        <f aca="false">IF($A348="","",VLOOKUP($A347,Table,MATCH(AA$4,Curves,0)))</f>
        <v/>
      </c>
      <c r="AB347" s="185" t="e">
        <f aca="false">SQRT((AA347^2*(A347-$D$3)+Z347^2*(DAY(EOMONTH(A347,0))/2))/AK347)</f>
        <v>#VALUE!</v>
      </c>
      <c r="AC347" s="185" t="str">
        <f aca="false">IF($A348="","",VLOOKUP($A347,Table,MATCH(AC$4,Curves,0)))</f>
        <v/>
      </c>
      <c r="AD347" s="185" t="str">
        <f aca="false">IF($A348="","",VLOOKUP($A347,Table,MATCH(AD$4,Curves,0)))</f>
        <v/>
      </c>
      <c r="AE347" s="185" t="e">
        <f aca="false">SQRT((AD347^2*(A347-$D$3)+AC347^2*(DAY(EOMONTH(A347,0))/2))/AK347)</f>
        <v>#VALUE!</v>
      </c>
      <c r="AF347" s="224" t="e">
        <f aca="false">((Summary!$N$9*(AA347*AD347)*(A347-$D$3))+(Summary!$M$9*Z347*AC347*(AJ347-EOMONTH(EDATE(A347,-1),0))))/(AK347*AB347*AE347)</f>
        <v>#VALUE!</v>
      </c>
      <c r="AG347" s="207" t="str">
        <f aca="false">IF($A348="","",Summary!$Q$9)</f>
        <v/>
      </c>
      <c r="AH347" s="207" t="str">
        <f aca="false">IF($A348="","",IF(Summary!$R$9="Y",VLOOKUP($A347,Summary!$AD$6:$AF$9,3)+'Escalating commodity'!E360,'Escalating commodity'!E360))</f>
        <v/>
      </c>
      <c r="AI347" s="207" t="str">
        <f aca="false">IF($A348="","",AH347)</f>
        <v/>
      </c>
      <c r="AJ347" s="208" t="e">
        <f aca="false">A347+DAY(EOMONTH(A347,0))/2-1</f>
        <v>#VALUE!</v>
      </c>
      <c r="AK347" s="209" t="str">
        <f aca="false">IF($A348="","",$A347-$E$1)</f>
        <v/>
      </c>
      <c r="AL347" s="182" t="str">
        <f aca="false">IF($A348="","",SPRDOPT(P347,X347,AI347,0,AB347,AE347,AF347,AK347,$AJ$2,0))</f>
        <v/>
      </c>
      <c r="AM347" s="211" t="str">
        <f aca="false">IF($A348="","",MAX(0,O347-W347-AI347))</f>
        <v/>
      </c>
      <c r="AN347" s="211" t="str">
        <f aca="false">IF($A348="","",AL347-AM347)</f>
        <v/>
      </c>
      <c r="AO347" s="137" t="str">
        <f aca="false">IF(A348="","",A348-A347)</f>
        <v/>
      </c>
      <c r="AP347" s="212" t="str">
        <f aca="false">IF(A348="","",CHOOSE(F$3,A348+24,A347))</f>
        <v/>
      </c>
      <c r="AQ347" s="209" t="str">
        <f aca="false">IF(A348="","",AP347-$E$1)</f>
        <v/>
      </c>
      <c r="AR347" s="185" t="n">
        <f aca="false">'ANR OK vs ML7'!AR347</f>
        <v>0.1</v>
      </c>
      <c r="AS347" s="213" t="str">
        <f aca="false">IF(A348="","",1/(1+CHOOSE(F$3,(AR348+($I$3/10000))/2,(AR347+($I$3/10000))/2))^(2*AQ347/365.25))</f>
        <v/>
      </c>
      <c r="AT347" s="137" t="str">
        <f aca="false">IF(A348="","",IF(AND(mthbeg&lt;=A347,mthend&gt;=A347),1,0))</f>
        <v/>
      </c>
      <c r="AU347" s="137" t="str">
        <f aca="false">IF(A348="","",AO347*AT347)</f>
        <v/>
      </c>
      <c r="AW347" s="195" t="str">
        <f aca="false">IF($A348="","",AL347*$E347)</f>
        <v/>
      </c>
      <c r="AX347" s="195" t="str">
        <f aca="false">IF($A348="","",AM347*$E347)</f>
        <v/>
      </c>
      <c r="AY347" s="195" t="str">
        <f aca="false">IF($A348="","",AN347*$E347)</f>
        <v/>
      </c>
      <c r="BA347" s="195" t="str">
        <f aca="false">IF($A348="","",F347*Summary!$Q$9)</f>
        <v/>
      </c>
    </row>
    <row r="348" customFormat="false" ht="12" hidden="false" customHeight="true" outlineLevel="0" collapsed="false">
      <c r="A348" s="196" t="str">
        <f aca="false">IF(A347&lt;mthend,EDATE(A347,1),"")</f>
        <v/>
      </c>
      <c r="B348" s="197" t="str">
        <f aca="false">IF(A348&lt;mthend,B347,"")</f>
        <v/>
      </c>
      <c r="C348" s="215"/>
      <c r="D348" s="197" t="str">
        <f aca="false">IF(A349&lt;&gt;"",B348+C348,"")</f>
        <v/>
      </c>
      <c r="E348" s="199" t="str">
        <f aca="false">IF(A349="","",IF(AND(AT348=1,$H$3=1),D348*AO348,IF($H$3=2,D348,"N/A")))</f>
        <v/>
      </c>
      <c r="F348" s="199" t="str">
        <f aca="false">IF(A349="","",E348*AS348)</f>
        <v/>
      </c>
      <c r="G348" s="200" t="str">
        <f aca="false">IF($A349="","",VLOOKUP($A348,Table,MATCH(G$4,Curves,0)))</f>
        <v/>
      </c>
      <c r="H348" s="201" t="str">
        <f aca="false">IF(A349="","",G348)</f>
        <v/>
      </c>
      <c r="I348" s="202"/>
      <c r="J348" s="200" t="str">
        <f aca="false">IF($A349="","",VLOOKUP($A348,Table,MATCH(J$4,Curves,0)))</f>
        <v/>
      </c>
      <c r="K348" s="201" t="str">
        <f aca="false">IF(A349="","",J348)</f>
        <v/>
      </c>
      <c r="L348" s="200" t="str">
        <f aca="false">IF($A349="","",VLOOKUP($A348,Table,MATCH(L$4,Curves,0)))</f>
        <v/>
      </c>
      <c r="M348" s="201" t="str">
        <f aca="false">IF(A349="","",L348)</f>
        <v/>
      </c>
      <c r="N348" s="203"/>
      <c r="O348" s="200" t="str">
        <f aca="false">IF(A349="","",L348+J348+G348)</f>
        <v/>
      </c>
      <c r="P348" s="200" t="str">
        <f aca="false">IF(A349="","",M348+K348+H348)</f>
        <v/>
      </c>
      <c r="Q348" s="204"/>
      <c r="R348" s="200" t="str">
        <f aca="false">IF($A349="","",VLOOKUP($A348,Table,MATCH(R$4,Curves,0)))</f>
        <v/>
      </c>
      <c r="S348" s="201" t="str">
        <f aca="false">IF(A349="","",R348)</f>
        <v/>
      </c>
      <c r="T348" s="200" t="str">
        <f aca="false">IF($A349="","",VLOOKUP($A348,Table,MATCH(T$4,Curves,0)))</f>
        <v/>
      </c>
      <c r="U348" s="201" t="str">
        <f aca="false">IF(A349="","",T348)</f>
        <v/>
      </c>
      <c r="V348" s="225" t="str">
        <f aca="false">IF($A349="","",IF(AND(MONTH(A348)&gt;3,MONTH(A348)&lt;11),(T348+R348+G348)*Summary!$T$9/(1-Summary!$T$9),(T348+R348+G348)*Summary!$U$9/(1-Summary!$U$9)))</f>
        <v/>
      </c>
      <c r="W348" s="200" t="str">
        <f aca="false">IF($A349="","",(T348+R348+G348+V348))</f>
        <v/>
      </c>
      <c r="X348" s="200" t="str">
        <f aca="false">IF($A349="","",(U348+S348+H348+V348))</f>
        <v/>
      </c>
      <c r="Y348" s="202"/>
      <c r="Z348" s="185" t="str">
        <f aca="false">IF($A349="","",VLOOKUP($A348,Table,MATCH(Z$4,Curves,0)))</f>
        <v/>
      </c>
      <c r="AA348" s="185" t="str">
        <f aca="false">IF($A349="","",VLOOKUP($A348,Table,MATCH(AA$4,Curves,0)))</f>
        <v/>
      </c>
      <c r="AB348" s="185" t="e">
        <f aca="false">SQRT((AA348^2*(A348-$D$3)+Z348^2*(DAY(EOMONTH(A348,0))/2))/AK348)</f>
        <v>#VALUE!</v>
      </c>
      <c r="AC348" s="185" t="str">
        <f aca="false">IF($A349="","",VLOOKUP($A348,Table,MATCH(AC$4,Curves,0)))</f>
        <v/>
      </c>
      <c r="AD348" s="185" t="str">
        <f aca="false">IF($A349="","",VLOOKUP($A348,Table,MATCH(AD$4,Curves,0)))</f>
        <v/>
      </c>
      <c r="AE348" s="185" t="e">
        <f aca="false">SQRT((AD348^2*(A348-$D$3)+AC348^2*(DAY(EOMONTH(A348,0))/2))/AK348)</f>
        <v>#VALUE!</v>
      </c>
      <c r="AF348" s="224" t="e">
        <f aca="false">((Summary!$N$9*(AA348*AD348)*(A348-$D$3))+(Summary!$M$9*Z348*AC348*(AJ348-EOMONTH(EDATE(A348,-1),0))))/(AK348*AB348*AE348)</f>
        <v>#VALUE!</v>
      </c>
      <c r="AG348" s="207" t="str">
        <f aca="false">IF($A349="","",Summary!$Q$9)</f>
        <v/>
      </c>
      <c r="AH348" s="207" t="str">
        <f aca="false">IF($A349="","",IF(Summary!$R$9="Y",VLOOKUP($A348,Summary!$AD$6:$AF$9,3)+'Escalating commodity'!E361,'Escalating commodity'!E361))</f>
        <v/>
      </c>
      <c r="AI348" s="207" t="str">
        <f aca="false">IF($A349="","",AH348)</f>
        <v/>
      </c>
      <c r="AJ348" s="208" t="e">
        <f aca="false">A348+DAY(EOMONTH(A348,0))/2-1</f>
        <v>#VALUE!</v>
      </c>
      <c r="AK348" s="209" t="str">
        <f aca="false">IF($A349="","",$A348-$E$1)</f>
        <v/>
      </c>
      <c r="AL348" s="182" t="str">
        <f aca="false">IF($A349="","",SPRDOPT(P348,X348,AI348,0,AB348,AE348,AF348,AK348,$AJ$2,0))</f>
        <v/>
      </c>
      <c r="AM348" s="211" t="str">
        <f aca="false">IF($A349="","",MAX(0,O348-W348-AI348))</f>
        <v/>
      </c>
      <c r="AN348" s="211" t="str">
        <f aca="false">IF($A349="","",AL348-AM348)</f>
        <v/>
      </c>
      <c r="AO348" s="137" t="str">
        <f aca="false">IF(A349="","",A349-A348)</f>
        <v/>
      </c>
      <c r="AP348" s="212" t="str">
        <f aca="false">IF(A349="","",CHOOSE(F$3,A349+24,A348))</f>
        <v/>
      </c>
      <c r="AQ348" s="209" t="str">
        <f aca="false">IF(A349="","",AP348-$E$1)</f>
        <v/>
      </c>
      <c r="AR348" s="185" t="n">
        <f aca="false">'ANR OK vs ML7'!AR348</f>
        <v>0.1</v>
      </c>
      <c r="AS348" s="213" t="str">
        <f aca="false">IF(A349="","",1/(1+CHOOSE(F$3,(AR349+($I$3/10000))/2,(AR348+($I$3/10000))/2))^(2*AQ348/365.25))</f>
        <v/>
      </c>
      <c r="AT348" s="137" t="str">
        <f aca="false">IF(A349="","",IF(AND(mthbeg&lt;=A348,mthend&gt;=A348),1,0))</f>
        <v/>
      </c>
      <c r="AU348" s="137" t="str">
        <f aca="false">IF(A349="","",AO348*AT348)</f>
        <v/>
      </c>
      <c r="AW348" s="195" t="str">
        <f aca="false">IF($A349="","",AL348*$E348)</f>
        <v/>
      </c>
      <c r="AX348" s="195" t="str">
        <f aca="false">IF($A349="","",AM348*$E348)</f>
        <v/>
      </c>
      <c r="AY348" s="195" t="str">
        <f aca="false">IF($A349="","",AN348*$E348)</f>
        <v/>
      </c>
      <c r="BA348" s="195" t="str">
        <f aca="false">IF($A349="","",F348*Summary!$Q$9)</f>
        <v/>
      </c>
    </row>
    <row r="349" customFormat="false" ht="12" hidden="false" customHeight="true" outlineLevel="0" collapsed="false">
      <c r="A349" s="196" t="str">
        <f aca="false">IF(A348&lt;mthend,EDATE(A348,1),"")</f>
        <v/>
      </c>
      <c r="B349" s="197" t="str">
        <f aca="false">IF(A349&lt;mthend,B348,"")</f>
        <v/>
      </c>
      <c r="C349" s="215"/>
      <c r="D349" s="197" t="str">
        <f aca="false">IF(A350&lt;&gt;"",B349+C349,"")</f>
        <v/>
      </c>
      <c r="E349" s="199" t="str">
        <f aca="false">IF(A350="","",IF(AND(AT349=1,$H$3=1),D349*AO349,IF($H$3=2,D349,"N/A")))</f>
        <v/>
      </c>
      <c r="F349" s="199" t="str">
        <f aca="false">IF(A350="","",E349*AS349)</f>
        <v/>
      </c>
      <c r="G349" s="200" t="str">
        <f aca="false">IF($A350="","",VLOOKUP($A349,Table,MATCH(G$4,Curves,0)))</f>
        <v/>
      </c>
      <c r="H349" s="201" t="str">
        <f aca="false">IF(A350="","",G349)</f>
        <v/>
      </c>
      <c r="I349" s="202"/>
      <c r="J349" s="200" t="str">
        <f aca="false">IF($A350="","",VLOOKUP($A349,Table,MATCH(J$4,Curves,0)))</f>
        <v/>
      </c>
      <c r="K349" s="201" t="str">
        <f aca="false">IF(A350="","",J349)</f>
        <v/>
      </c>
      <c r="L349" s="200" t="str">
        <f aca="false">IF($A350="","",VLOOKUP($A349,Table,MATCH(L$4,Curves,0)))</f>
        <v/>
      </c>
      <c r="M349" s="201" t="str">
        <f aca="false">IF(A350="","",L349)</f>
        <v/>
      </c>
      <c r="N349" s="203"/>
      <c r="O349" s="200" t="str">
        <f aca="false">IF(A350="","",L349+J349+G349)</f>
        <v/>
      </c>
      <c r="P349" s="200" t="str">
        <f aca="false">IF(A350="","",M349+K349+H349)</f>
        <v/>
      </c>
      <c r="Q349" s="204"/>
      <c r="R349" s="200" t="str">
        <f aca="false">IF($A350="","",VLOOKUP($A349,Table,MATCH(R$4,Curves,0)))</f>
        <v/>
      </c>
      <c r="S349" s="201" t="str">
        <f aca="false">IF(A350="","",R349)</f>
        <v/>
      </c>
      <c r="T349" s="200" t="str">
        <f aca="false">IF($A350="","",VLOOKUP($A349,Table,MATCH(T$4,Curves,0)))</f>
        <v/>
      </c>
      <c r="U349" s="201" t="str">
        <f aca="false">IF(A350="","",T349)</f>
        <v/>
      </c>
      <c r="V349" s="225" t="str">
        <f aca="false">IF($A350="","",IF(AND(MONTH(A349)&gt;3,MONTH(A349)&lt;11),(T349+R349+G349)*Summary!$T$9/(1-Summary!$T$9),(T349+R349+G349)*Summary!$U$9/(1-Summary!$U$9)))</f>
        <v/>
      </c>
      <c r="W349" s="200" t="str">
        <f aca="false">IF($A350="","",(T349+R349+G349+V349))</f>
        <v/>
      </c>
      <c r="X349" s="200" t="str">
        <f aca="false">IF($A350="","",(U349+S349+H349+V349))</f>
        <v/>
      </c>
      <c r="Y349" s="202"/>
      <c r="Z349" s="185" t="str">
        <f aca="false">IF($A350="","",VLOOKUP($A349,Table,MATCH(Z$4,Curves,0)))</f>
        <v/>
      </c>
      <c r="AA349" s="185" t="str">
        <f aca="false">IF($A350="","",VLOOKUP($A349,Table,MATCH(AA$4,Curves,0)))</f>
        <v/>
      </c>
      <c r="AB349" s="185" t="e">
        <f aca="false">SQRT((AA349^2*(A349-$D$3)+Z349^2*(DAY(EOMONTH(A349,0))/2))/AK349)</f>
        <v>#VALUE!</v>
      </c>
      <c r="AC349" s="185" t="str">
        <f aca="false">IF($A350="","",VLOOKUP($A349,Table,MATCH(AC$4,Curves,0)))</f>
        <v/>
      </c>
      <c r="AD349" s="185" t="str">
        <f aca="false">IF($A350="","",VLOOKUP($A349,Table,MATCH(AD$4,Curves,0)))</f>
        <v/>
      </c>
      <c r="AE349" s="185" t="e">
        <f aca="false">SQRT((AD349^2*(A349-$D$3)+AC349^2*(DAY(EOMONTH(A349,0))/2))/AK349)</f>
        <v>#VALUE!</v>
      </c>
      <c r="AF349" s="224" t="e">
        <f aca="false">((Summary!$N$9*(AA349*AD349)*(A349-$D$3))+(Summary!$M$9*Z349*AC349*(AJ349-EOMONTH(EDATE(A349,-1),0))))/(AK349*AB349*AE349)</f>
        <v>#VALUE!</v>
      </c>
      <c r="AG349" s="207" t="str">
        <f aca="false">IF($A350="","",Summary!$Q$9)</f>
        <v/>
      </c>
      <c r="AH349" s="207" t="str">
        <f aca="false">IF($A350="","",IF(Summary!$R$9="Y",VLOOKUP($A349,Summary!$AD$6:$AF$9,3)+'Escalating commodity'!E362,'Escalating commodity'!E362))</f>
        <v/>
      </c>
      <c r="AI349" s="207" t="str">
        <f aca="false">IF($A350="","",AH349)</f>
        <v/>
      </c>
      <c r="AJ349" s="208" t="e">
        <f aca="false">A349+DAY(EOMONTH(A349,0))/2-1</f>
        <v>#VALUE!</v>
      </c>
      <c r="AK349" s="209" t="str">
        <f aca="false">IF($A350="","",$A349-$E$1)</f>
        <v/>
      </c>
      <c r="AL349" s="182" t="str">
        <f aca="false">IF($A350="","",SPRDOPT(P349,X349,AI349,0,AB349,AE349,AF349,AK349,$AJ$2,0))</f>
        <v/>
      </c>
      <c r="AM349" s="211" t="str">
        <f aca="false">IF($A350="","",MAX(0,O349-W349-AI349))</f>
        <v/>
      </c>
      <c r="AN349" s="211" t="str">
        <f aca="false">IF($A350="","",AL349-AM349)</f>
        <v/>
      </c>
      <c r="AO349" s="137" t="str">
        <f aca="false">IF(A350="","",A350-A349)</f>
        <v/>
      </c>
      <c r="AP349" s="212" t="str">
        <f aca="false">IF(A350="","",CHOOSE(F$3,A350+24,A349))</f>
        <v/>
      </c>
      <c r="AQ349" s="209" t="str">
        <f aca="false">IF(A350="","",AP349-$E$1)</f>
        <v/>
      </c>
      <c r="AR349" s="185" t="n">
        <f aca="false">'ANR OK vs ML7'!AR349</f>
        <v>0.1</v>
      </c>
      <c r="AS349" s="213" t="str">
        <f aca="false">IF(A350="","",1/(1+CHOOSE(F$3,(AR350+($I$3/10000))/2,(AR349+($I$3/10000))/2))^(2*AQ349/365.25))</f>
        <v/>
      </c>
      <c r="AT349" s="137" t="str">
        <f aca="false">IF(A350="","",IF(AND(mthbeg&lt;=A349,mthend&gt;=A349),1,0))</f>
        <v/>
      </c>
      <c r="AU349" s="137" t="str">
        <f aca="false">IF(A350="","",AO349*AT349)</f>
        <v/>
      </c>
      <c r="AW349" s="195" t="str">
        <f aca="false">IF($A350="","",AL349*$E349)</f>
        <v/>
      </c>
      <c r="AX349" s="195" t="str">
        <f aca="false">IF($A350="","",AM349*$E349)</f>
        <v/>
      </c>
      <c r="AY349" s="195" t="str">
        <f aca="false">IF($A350="","",AN349*$E349)</f>
        <v/>
      </c>
      <c r="BA349" s="195" t="str">
        <f aca="false">IF($A350="","",F349*Summary!$Q$9)</f>
        <v/>
      </c>
    </row>
    <row r="350" customFormat="false" ht="12" hidden="false" customHeight="true" outlineLevel="0" collapsed="false">
      <c r="A350" s="196" t="str">
        <f aca="false">IF(A349&lt;mthend,EDATE(A349,1),"")</f>
        <v/>
      </c>
      <c r="B350" s="197" t="str">
        <f aca="false">IF(A350&lt;mthend,B349,"")</f>
        <v/>
      </c>
      <c r="C350" s="215"/>
      <c r="D350" s="197" t="str">
        <f aca="false">IF(A351&lt;&gt;"",B350+C350,"")</f>
        <v/>
      </c>
      <c r="E350" s="199" t="str">
        <f aca="false">IF(A351="","",IF(AND(AT350=1,$H$3=1),D350*AO350,IF($H$3=2,D350,"N/A")))</f>
        <v/>
      </c>
      <c r="F350" s="199" t="str">
        <f aca="false">IF(A351="","",E350*AS350)</f>
        <v/>
      </c>
      <c r="G350" s="200" t="str">
        <f aca="false">IF($A351="","",VLOOKUP($A350,Table,MATCH(G$4,Curves,0)))</f>
        <v/>
      </c>
      <c r="H350" s="201" t="str">
        <f aca="false">IF(A351="","",G350)</f>
        <v/>
      </c>
      <c r="I350" s="202"/>
      <c r="J350" s="200" t="str">
        <f aca="false">IF($A351="","",VLOOKUP($A350,Table,MATCH(J$4,Curves,0)))</f>
        <v/>
      </c>
      <c r="K350" s="201" t="str">
        <f aca="false">IF(A351="","",J350)</f>
        <v/>
      </c>
      <c r="L350" s="200" t="str">
        <f aca="false">IF($A351="","",VLOOKUP($A350,Table,MATCH(L$4,Curves,0)))</f>
        <v/>
      </c>
      <c r="M350" s="201" t="str">
        <f aca="false">IF(A351="","",L350)</f>
        <v/>
      </c>
      <c r="N350" s="203"/>
      <c r="O350" s="200" t="str">
        <f aca="false">IF(A351="","",L350+J350+G350)</f>
        <v/>
      </c>
      <c r="P350" s="200" t="str">
        <f aca="false">IF(A351="","",M350+K350+H350)</f>
        <v/>
      </c>
      <c r="Q350" s="204"/>
      <c r="R350" s="200" t="str">
        <f aca="false">IF($A351="","",VLOOKUP($A350,Table,MATCH(R$4,Curves,0)))</f>
        <v/>
      </c>
      <c r="S350" s="201" t="str">
        <f aca="false">IF(A351="","",R350)</f>
        <v/>
      </c>
      <c r="T350" s="200" t="str">
        <f aca="false">IF($A351="","",VLOOKUP($A350,Table,MATCH(T$4,Curves,0)))</f>
        <v/>
      </c>
      <c r="U350" s="201" t="str">
        <f aca="false">IF(A351="","",T350)</f>
        <v/>
      </c>
      <c r="V350" s="225" t="str">
        <f aca="false">IF($A351="","",IF(AND(MONTH(A350)&gt;3,MONTH(A350)&lt;11),(T350+R350+G350)*Summary!$T$9/(1-Summary!$T$9),(T350+R350+G350)*Summary!$U$9/(1-Summary!$U$9)))</f>
        <v/>
      </c>
      <c r="W350" s="200" t="str">
        <f aca="false">IF($A351="","",(T350+R350+G350+V350))</f>
        <v/>
      </c>
      <c r="X350" s="200" t="str">
        <f aca="false">IF($A351="","",(U350+S350+H350+V350))</f>
        <v/>
      </c>
      <c r="Y350" s="202"/>
      <c r="Z350" s="185" t="str">
        <f aca="false">IF($A351="","",VLOOKUP($A350,Table,MATCH(Z$4,Curves,0)))</f>
        <v/>
      </c>
      <c r="AA350" s="185" t="str">
        <f aca="false">IF($A351="","",VLOOKUP($A350,Table,MATCH(AA$4,Curves,0)))</f>
        <v/>
      </c>
      <c r="AB350" s="185" t="e">
        <f aca="false">SQRT((AA350^2*(A350-$D$3)+Z350^2*(DAY(EOMONTH(A350,0))/2))/AK350)</f>
        <v>#VALUE!</v>
      </c>
      <c r="AC350" s="185" t="str">
        <f aca="false">IF($A351="","",VLOOKUP($A350,Table,MATCH(AC$4,Curves,0)))</f>
        <v/>
      </c>
      <c r="AD350" s="185" t="str">
        <f aca="false">IF($A351="","",VLOOKUP($A350,Table,MATCH(AD$4,Curves,0)))</f>
        <v/>
      </c>
      <c r="AE350" s="185" t="e">
        <f aca="false">SQRT((AD350^2*(A350-$D$3)+AC350^2*(DAY(EOMONTH(A350,0))/2))/AK350)</f>
        <v>#VALUE!</v>
      </c>
      <c r="AF350" s="224" t="e">
        <f aca="false">((Summary!$N$9*(AA350*AD350)*(A350-$D$3))+(Summary!$M$9*Z350*AC350*(AJ350-EOMONTH(EDATE(A350,-1),0))))/(AK350*AB350*AE350)</f>
        <v>#VALUE!</v>
      </c>
      <c r="AG350" s="207" t="str">
        <f aca="false">IF($A351="","",Summary!$Q$9)</f>
        <v/>
      </c>
      <c r="AH350" s="207" t="str">
        <f aca="false">IF($A351="","",IF(Summary!$R$9="Y",VLOOKUP($A350,Summary!$AD$6:$AF$9,3)+'Escalating commodity'!E363,'Escalating commodity'!E363))</f>
        <v/>
      </c>
      <c r="AI350" s="207" t="str">
        <f aca="false">IF($A351="","",AH350)</f>
        <v/>
      </c>
      <c r="AJ350" s="208" t="e">
        <f aca="false">A350+DAY(EOMONTH(A350,0))/2-1</f>
        <v>#VALUE!</v>
      </c>
      <c r="AK350" s="209" t="str">
        <f aca="false">IF($A351="","",$A350-$E$1)</f>
        <v/>
      </c>
      <c r="AL350" s="182" t="str">
        <f aca="false">IF($A351="","",SPRDOPT(P350,X350,AI350,0,AB350,AE350,AF350,AK350,$AJ$2,0))</f>
        <v/>
      </c>
      <c r="AM350" s="211" t="str">
        <f aca="false">IF($A351="","",MAX(0,O350-W350-AI350))</f>
        <v/>
      </c>
      <c r="AN350" s="211" t="str">
        <f aca="false">IF($A351="","",AL350-AM350)</f>
        <v/>
      </c>
      <c r="AO350" s="137" t="str">
        <f aca="false">IF(A351="","",A351-A350)</f>
        <v/>
      </c>
      <c r="AP350" s="212" t="str">
        <f aca="false">IF(A351="","",CHOOSE(F$3,A351+24,A350))</f>
        <v/>
      </c>
      <c r="AQ350" s="209" t="str">
        <f aca="false">IF(A351="","",AP350-$E$1)</f>
        <v/>
      </c>
      <c r="AR350" s="185" t="n">
        <f aca="false">'ANR OK vs ML7'!AR350</f>
        <v>0.1</v>
      </c>
      <c r="AS350" s="213" t="str">
        <f aca="false">IF(A351="","",1/(1+CHOOSE(F$3,(AR351+($I$3/10000))/2,(AR350+($I$3/10000))/2))^(2*AQ350/365.25))</f>
        <v/>
      </c>
      <c r="AT350" s="137" t="str">
        <f aca="false">IF(A351="","",IF(AND(mthbeg&lt;=A350,mthend&gt;=A350),1,0))</f>
        <v/>
      </c>
      <c r="AU350" s="137" t="str">
        <f aca="false">IF(A351="","",AO350*AT350)</f>
        <v/>
      </c>
      <c r="AW350" s="195" t="str">
        <f aca="false">IF($A351="","",AL350*$E350)</f>
        <v/>
      </c>
      <c r="AX350" s="195" t="str">
        <f aca="false">IF($A351="","",AM350*$E350)</f>
        <v/>
      </c>
      <c r="AY350" s="195" t="str">
        <f aca="false">IF($A351="","",AN350*$E350)</f>
        <v/>
      </c>
      <c r="BA350" s="195" t="str">
        <f aca="false">IF($A351="","",F350*Summary!$Q$9)</f>
        <v/>
      </c>
    </row>
    <row r="351" customFormat="false" ht="12" hidden="false" customHeight="true" outlineLevel="0" collapsed="false">
      <c r="A351" s="196" t="str">
        <f aca="false">IF(A350&lt;mthend,EDATE(A350,1),"")</f>
        <v/>
      </c>
      <c r="B351" s="197" t="str">
        <f aca="false">IF(A351&lt;mthend,B350,"")</f>
        <v/>
      </c>
      <c r="C351" s="215"/>
      <c r="D351" s="197" t="str">
        <f aca="false">IF(A352&lt;&gt;"",B351+C351,"")</f>
        <v/>
      </c>
      <c r="E351" s="199" t="str">
        <f aca="false">IF(A352="","",IF(AND(AT351=1,$H$3=1),D351*AO351,IF($H$3=2,D351,"N/A")))</f>
        <v/>
      </c>
      <c r="F351" s="199" t="str">
        <f aca="false">IF(A352="","",E351*AS351)</f>
        <v/>
      </c>
      <c r="G351" s="200" t="str">
        <f aca="false">IF($A352="","",VLOOKUP($A351,Table,MATCH(G$4,Curves,0)))</f>
        <v/>
      </c>
      <c r="H351" s="201" t="str">
        <f aca="false">IF(A352="","",G351)</f>
        <v/>
      </c>
      <c r="I351" s="202"/>
      <c r="J351" s="200" t="str">
        <f aca="false">IF($A352="","",VLOOKUP($A351,Table,MATCH(J$4,Curves,0)))</f>
        <v/>
      </c>
      <c r="K351" s="201" t="str">
        <f aca="false">IF(A352="","",J351)</f>
        <v/>
      </c>
      <c r="L351" s="200" t="str">
        <f aca="false">IF($A352="","",VLOOKUP($A351,Table,MATCH(L$4,Curves,0)))</f>
        <v/>
      </c>
      <c r="M351" s="201" t="str">
        <f aca="false">IF(A352="","",L351)</f>
        <v/>
      </c>
      <c r="N351" s="203"/>
      <c r="O351" s="200" t="str">
        <f aca="false">IF(A352="","",L351+J351+G351)</f>
        <v/>
      </c>
      <c r="P351" s="200" t="str">
        <f aca="false">IF(A352="","",M351+K351+H351)</f>
        <v/>
      </c>
      <c r="Q351" s="204"/>
      <c r="R351" s="200" t="str">
        <f aca="false">IF($A352="","",VLOOKUP($A351,Table,MATCH(R$4,Curves,0)))</f>
        <v/>
      </c>
      <c r="S351" s="201" t="str">
        <f aca="false">IF(A352="","",R351)</f>
        <v/>
      </c>
      <c r="T351" s="200" t="str">
        <f aca="false">IF($A352="","",VLOOKUP($A351,Table,MATCH(T$4,Curves,0)))</f>
        <v/>
      </c>
      <c r="U351" s="201" t="str">
        <f aca="false">IF(A352="","",T351)</f>
        <v/>
      </c>
      <c r="V351" s="225" t="str">
        <f aca="false">IF($A352="","",IF(AND(MONTH(A351)&gt;3,MONTH(A351)&lt;11),(T351+R351+G351)*Summary!$T$9/(1-Summary!$T$9),(T351+R351+G351)*Summary!$U$9/(1-Summary!$U$9)))</f>
        <v/>
      </c>
      <c r="W351" s="200" t="str">
        <f aca="false">IF($A352="","",(T351+R351+G351+V351))</f>
        <v/>
      </c>
      <c r="X351" s="200" t="str">
        <f aca="false">IF($A352="","",(U351+S351+H351+V351))</f>
        <v/>
      </c>
      <c r="Y351" s="202"/>
      <c r="Z351" s="185" t="str">
        <f aca="false">IF($A352="","",VLOOKUP($A351,Table,MATCH(Z$4,Curves,0)))</f>
        <v/>
      </c>
      <c r="AA351" s="185" t="str">
        <f aca="false">IF($A352="","",VLOOKUP($A351,Table,MATCH(AA$4,Curves,0)))</f>
        <v/>
      </c>
      <c r="AB351" s="185" t="e">
        <f aca="false">SQRT((AA351^2*(A351-$D$3)+Z351^2*(DAY(EOMONTH(A351,0))/2))/AK351)</f>
        <v>#VALUE!</v>
      </c>
      <c r="AC351" s="185" t="str">
        <f aca="false">IF($A352="","",VLOOKUP($A351,Table,MATCH(AC$4,Curves,0)))</f>
        <v/>
      </c>
      <c r="AD351" s="185" t="str">
        <f aca="false">IF($A352="","",VLOOKUP($A351,Table,MATCH(AD$4,Curves,0)))</f>
        <v/>
      </c>
      <c r="AE351" s="185" t="e">
        <f aca="false">SQRT((AD351^2*(A351-$D$3)+AC351^2*(DAY(EOMONTH(A351,0))/2))/AK351)</f>
        <v>#VALUE!</v>
      </c>
      <c r="AF351" s="224" t="e">
        <f aca="false">((Summary!$N$9*(AA351*AD351)*(A351-$D$3))+(Summary!$M$9*Z351*AC351*(AJ351-EOMONTH(EDATE(A351,-1),0))))/(AK351*AB351*AE351)</f>
        <v>#VALUE!</v>
      </c>
      <c r="AG351" s="207" t="str">
        <f aca="false">IF($A352="","",Summary!$Q$9)</f>
        <v/>
      </c>
      <c r="AH351" s="207" t="str">
        <f aca="false">IF($A352="","",IF(Summary!$R$9="Y",VLOOKUP($A351,Summary!$AD$6:$AF$9,3)+'Escalating commodity'!E364,'Escalating commodity'!E364))</f>
        <v/>
      </c>
      <c r="AI351" s="207" t="str">
        <f aca="false">IF($A352="","",AH351)</f>
        <v/>
      </c>
      <c r="AJ351" s="208" t="e">
        <f aca="false">A351+DAY(EOMONTH(A351,0))/2-1</f>
        <v>#VALUE!</v>
      </c>
      <c r="AK351" s="209" t="str">
        <f aca="false">IF($A352="","",$A351-$E$1)</f>
        <v/>
      </c>
      <c r="AL351" s="182" t="str">
        <f aca="false">IF($A352="","",SPRDOPT(P351,X351,AI351,0,AB351,AE351,AF351,AK351,$AJ$2,0))</f>
        <v/>
      </c>
      <c r="AM351" s="211" t="str">
        <f aca="false">IF($A352="","",MAX(0,O351-W351-AI351))</f>
        <v/>
      </c>
      <c r="AN351" s="211" t="str">
        <f aca="false">IF($A352="","",AL351-AM351)</f>
        <v/>
      </c>
      <c r="AO351" s="137" t="str">
        <f aca="false">IF(A352="","",A352-A351)</f>
        <v/>
      </c>
      <c r="AP351" s="212" t="str">
        <f aca="false">IF(A352="","",CHOOSE(F$3,A352+24,A351))</f>
        <v/>
      </c>
      <c r="AQ351" s="209" t="str">
        <f aca="false">IF(A352="","",AP351-$E$1)</f>
        <v/>
      </c>
      <c r="AR351" s="185" t="n">
        <f aca="false">'ANR OK vs ML7'!AR351</f>
        <v>0.1</v>
      </c>
      <c r="AS351" s="213" t="str">
        <f aca="false">IF(A352="","",1/(1+CHOOSE(F$3,(AR352+($I$3/10000))/2,(AR351+($I$3/10000))/2))^(2*AQ351/365.25))</f>
        <v/>
      </c>
      <c r="AT351" s="137" t="str">
        <f aca="false">IF(A352="","",IF(AND(mthbeg&lt;=A351,mthend&gt;=A351),1,0))</f>
        <v/>
      </c>
      <c r="AU351" s="137" t="str">
        <f aca="false">IF(A352="","",AO351*AT351)</f>
        <v/>
      </c>
      <c r="AW351" s="195" t="str">
        <f aca="false">IF($A352="","",AL351*$E351)</f>
        <v/>
      </c>
      <c r="AX351" s="195" t="str">
        <f aca="false">IF($A352="","",AM351*$E351)</f>
        <v/>
      </c>
      <c r="AY351" s="195" t="str">
        <f aca="false">IF($A352="","",AN351*$E351)</f>
        <v/>
      </c>
      <c r="BA351" s="195" t="str">
        <f aca="false">IF($A352="","",F351*Summary!$Q$9)</f>
        <v/>
      </c>
    </row>
    <row r="352" customFormat="false" ht="12" hidden="false" customHeight="true" outlineLevel="0" collapsed="false">
      <c r="A352" s="196" t="str">
        <f aca="false">IF(A351&lt;mthend,EDATE(A351,1),"")</f>
        <v/>
      </c>
      <c r="B352" s="197" t="str">
        <f aca="false">IF(A352&lt;mthend,B351,"")</f>
        <v/>
      </c>
      <c r="C352" s="215"/>
      <c r="D352" s="197" t="str">
        <f aca="false">IF(A353&lt;&gt;"",B352+C352,"")</f>
        <v/>
      </c>
      <c r="E352" s="199" t="str">
        <f aca="false">IF(A353="","",IF(AND(AT352=1,$H$3=1),D352*AO352,IF($H$3=2,D352,"N/A")))</f>
        <v/>
      </c>
      <c r="F352" s="199" t="str">
        <f aca="false">IF(A353="","",E352*AS352)</f>
        <v/>
      </c>
      <c r="G352" s="200" t="str">
        <f aca="false">IF($A353="","",VLOOKUP($A352,Table,MATCH(G$4,Curves,0)))</f>
        <v/>
      </c>
      <c r="H352" s="201" t="str">
        <f aca="false">IF(A353="","",G352)</f>
        <v/>
      </c>
      <c r="I352" s="202"/>
      <c r="J352" s="200" t="str">
        <f aca="false">IF($A353="","",VLOOKUP($A352,Table,MATCH(J$4,Curves,0)))</f>
        <v/>
      </c>
      <c r="K352" s="201" t="str">
        <f aca="false">IF(A353="","",J352)</f>
        <v/>
      </c>
      <c r="L352" s="200" t="str">
        <f aca="false">IF($A353="","",VLOOKUP($A352,Table,MATCH(L$4,Curves,0)))</f>
        <v/>
      </c>
      <c r="M352" s="201" t="str">
        <f aca="false">IF(A353="","",L352)</f>
        <v/>
      </c>
      <c r="N352" s="203"/>
      <c r="O352" s="200" t="str">
        <f aca="false">IF(A353="","",L352+J352+G352)</f>
        <v/>
      </c>
      <c r="P352" s="200" t="str">
        <f aca="false">IF(A353="","",M352+K352+H352)</f>
        <v/>
      </c>
      <c r="Q352" s="204"/>
      <c r="R352" s="200" t="str">
        <f aca="false">IF($A353="","",VLOOKUP($A352,Table,MATCH(R$4,Curves,0)))</f>
        <v/>
      </c>
      <c r="S352" s="201" t="str">
        <f aca="false">IF(A353="","",R352)</f>
        <v/>
      </c>
      <c r="T352" s="200" t="str">
        <f aca="false">IF($A353="","",VLOOKUP($A352,Table,MATCH(T$4,Curves,0)))</f>
        <v/>
      </c>
      <c r="U352" s="201" t="str">
        <f aca="false">IF(A353="","",T352)</f>
        <v/>
      </c>
      <c r="V352" s="225" t="str">
        <f aca="false">IF($A353="","",IF(AND(MONTH(A352)&gt;3,MONTH(A352)&lt;11),(T352+R352+G352)*Summary!$T$9/(1-Summary!$T$9),(T352+R352+G352)*Summary!$U$9/(1-Summary!$U$9)))</f>
        <v/>
      </c>
      <c r="W352" s="200" t="str">
        <f aca="false">IF($A353="","",(T352+R352+G352+V352))</f>
        <v/>
      </c>
      <c r="X352" s="200" t="str">
        <f aca="false">IF($A353="","",(U352+S352+H352+V352))</f>
        <v/>
      </c>
      <c r="Y352" s="202"/>
      <c r="Z352" s="185" t="str">
        <f aca="false">IF($A353="","",VLOOKUP($A352,Table,MATCH(Z$4,Curves,0)))</f>
        <v/>
      </c>
      <c r="AA352" s="185" t="str">
        <f aca="false">IF($A353="","",VLOOKUP($A352,Table,MATCH(AA$4,Curves,0)))</f>
        <v/>
      </c>
      <c r="AB352" s="185" t="e">
        <f aca="false">SQRT((AA352^2*(A352-$D$3)+Z352^2*(DAY(EOMONTH(A352,0))/2))/AK352)</f>
        <v>#VALUE!</v>
      </c>
      <c r="AC352" s="185" t="str">
        <f aca="false">IF($A353="","",VLOOKUP($A352,Table,MATCH(AC$4,Curves,0)))</f>
        <v/>
      </c>
      <c r="AD352" s="185" t="str">
        <f aca="false">IF($A353="","",VLOOKUP($A352,Table,MATCH(AD$4,Curves,0)))</f>
        <v/>
      </c>
      <c r="AE352" s="185" t="e">
        <f aca="false">SQRT((AD352^2*(A352-$D$3)+AC352^2*(DAY(EOMONTH(A352,0))/2))/AK352)</f>
        <v>#VALUE!</v>
      </c>
      <c r="AF352" s="224" t="e">
        <f aca="false">((Summary!$N$9*(AA352*AD352)*(A352-$D$3))+(Summary!$M$9*Z352*AC352*(AJ352-EOMONTH(EDATE(A352,-1),0))))/(AK352*AB352*AE352)</f>
        <v>#VALUE!</v>
      </c>
      <c r="AG352" s="207" t="str">
        <f aca="false">IF($A353="","",Summary!$Q$9)</f>
        <v/>
      </c>
      <c r="AH352" s="207" t="str">
        <f aca="false">IF($A353="","",IF(Summary!$R$9="Y",VLOOKUP($A352,Summary!$AD$6:$AF$9,3)+'Escalating commodity'!E365,'Escalating commodity'!E365))</f>
        <v/>
      </c>
      <c r="AI352" s="207" t="str">
        <f aca="false">IF($A353="","",AH352)</f>
        <v/>
      </c>
      <c r="AJ352" s="208" t="e">
        <f aca="false">A352+DAY(EOMONTH(A352,0))/2-1</f>
        <v>#VALUE!</v>
      </c>
      <c r="AK352" s="209" t="str">
        <f aca="false">IF($A353="","",$A352-$E$1)</f>
        <v/>
      </c>
      <c r="AL352" s="182" t="str">
        <f aca="false">IF($A353="","",SPRDOPT(P352,X352,AI352,0,AB352,AE352,AF352,AK352,$AJ$2,0))</f>
        <v/>
      </c>
      <c r="AM352" s="211" t="str">
        <f aca="false">IF($A353="","",MAX(0,O352-W352-AI352))</f>
        <v/>
      </c>
      <c r="AN352" s="211" t="str">
        <f aca="false">IF($A353="","",AL352-AM352)</f>
        <v/>
      </c>
      <c r="AO352" s="137" t="str">
        <f aca="false">IF(A353="","",A353-A352)</f>
        <v/>
      </c>
      <c r="AP352" s="212" t="str">
        <f aca="false">IF(A353="","",CHOOSE(F$3,A353+24,A352))</f>
        <v/>
      </c>
      <c r="AQ352" s="209" t="str">
        <f aca="false">IF(A353="","",AP352-$E$1)</f>
        <v/>
      </c>
      <c r="AR352" s="185" t="n">
        <f aca="false">'ANR OK vs ML7'!AR352</f>
        <v>0.1</v>
      </c>
      <c r="AS352" s="213" t="str">
        <f aca="false">IF(A353="","",1/(1+CHOOSE(F$3,(AR353+($I$3/10000))/2,(AR352+($I$3/10000))/2))^(2*AQ352/365.25))</f>
        <v/>
      </c>
      <c r="AT352" s="137" t="str">
        <f aca="false">IF(A353="","",IF(AND(mthbeg&lt;=A352,mthend&gt;=A352),1,0))</f>
        <v/>
      </c>
      <c r="AU352" s="137" t="str">
        <f aca="false">IF(A353="","",AO352*AT352)</f>
        <v/>
      </c>
      <c r="AW352" s="195" t="str">
        <f aca="false">IF($A353="","",AL352*$E352)</f>
        <v/>
      </c>
      <c r="AX352" s="195" t="str">
        <f aca="false">IF($A353="","",AM352*$E352)</f>
        <v/>
      </c>
      <c r="AY352" s="195" t="str">
        <f aca="false">IF($A353="","",AN352*$E352)</f>
        <v/>
      </c>
      <c r="BA352" s="195" t="str">
        <f aca="false">IF($A353="","",F352*Summary!$Q$9)</f>
        <v/>
      </c>
    </row>
    <row r="353" customFormat="false" ht="12" hidden="false" customHeight="true" outlineLevel="0" collapsed="false">
      <c r="A353" s="196" t="str">
        <f aca="false">IF(A352&lt;mthend,EDATE(A352,1),"")</f>
        <v/>
      </c>
      <c r="B353" s="197" t="str">
        <f aca="false">IF(A353&lt;mthend,B352,"")</f>
        <v/>
      </c>
      <c r="C353" s="215"/>
      <c r="D353" s="197" t="str">
        <f aca="false">IF(A354&lt;&gt;"",B353+C353,"")</f>
        <v/>
      </c>
      <c r="E353" s="199" t="str">
        <f aca="false">IF(A354="","",IF(AND(AT353=1,$H$3=1),D353*AO353,IF($H$3=2,D353,"N/A")))</f>
        <v/>
      </c>
      <c r="F353" s="199" t="str">
        <f aca="false">IF(A354="","",E353*AS353)</f>
        <v/>
      </c>
      <c r="G353" s="200" t="str">
        <f aca="false">IF($A354="","",VLOOKUP($A353,Table,MATCH(G$4,Curves,0)))</f>
        <v/>
      </c>
      <c r="H353" s="201" t="str">
        <f aca="false">IF(A354="","",G353)</f>
        <v/>
      </c>
      <c r="I353" s="202"/>
      <c r="J353" s="200" t="str">
        <f aca="false">IF($A354="","",VLOOKUP($A353,Table,MATCH(J$4,Curves,0)))</f>
        <v/>
      </c>
      <c r="K353" s="201" t="str">
        <f aca="false">IF(A354="","",J353)</f>
        <v/>
      </c>
      <c r="L353" s="200" t="str">
        <f aca="false">IF($A354="","",VLOOKUP($A353,Table,MATCH(L$4,Curves,0)))</f>
        <v/>
      </c>
      <c r="M353" s="201" t="str">
        <f aca="false">IF(A354="","",L353)</f>
        <v/>
      </c>
      <c r="N353" s="203"/>
      <c r="O353" s="200" t="str">
        <f aca="false">IF(A354="","",L353+J353+G353)</f>
        <v/>
      </c>
      <c r="P353" s="200" t="str">
        <f aca="false">IF(A354="","",M353+K353+H353)</f>
        <v/>
      </c>
      <c r="Q353" s="204"/>
      <c r="R353" s="200" t="str">
        <f aca="false">IF($A354="","",VLOOKUP($A353,Table,MATCH(R$4,Curves,0)))</f>
        <v/>
      </c>
      <c r="S353" s="201" t="str">
        <f aca="false">IF(A354="","",R353)</f>
        <v/>
      </c>
      <c r="T353" s="200" t="str">
        <f aca="false">IF($A354="","",VLOOKUP($A353,Table,MATCH(T$4,Curves,0)))</f>
        <v/>
      </c>
      <c r="U353" s="201" t="str">
        <f aca="false">IF(A354="","",T353)</f>
        <v/>
      </c>
      <c r="V353" s="225" t="str">
        <f aca="false">IF($A354="","",IF(AND(MONTH(A353)&gt;3,MONTH(A353)&lt;11),(T353+R353+G353)*Summary!$T$9/(1-Summary!$T$9),(T353+R353+G353)*Summary!$U$9/(1-Summary!$U$9)))</f>
        <v/>
      </c>
      <c r="W353" s="200" t="str">
        <f aca="false">IF($A354="","",(T353+R353+G353+V353))</f>
        <v/>
      </c>
      <c r="X353" s="200" t="str">
        <f aca="false">IF($A354="","",(U353+S353+H353+V353))</f>
        <v/>
      </c>
      <c r="Y353" s="202"/>
      <c r="Z353" s="185" t="str">
        <f aca="false">IF($A354="","",VLOOKUP($A353,Table,MATCH(Z$4,Curves,0)))</f>
        <v/>
      </c>
      <c r="AA353" s="185" t="str">
        <f aca="false">IF($A354="","",VLOOKUP($A353,Table,MATCH(AA$4,Curves,0)))</f>
        <v/>
      </c>
      <c r="AB353" s="185" t="e">
        <f aca="false">SQRT((AA353^2*(A353-$D$3)+Z353^2*(DAY(EOMONTH(A353,0))/2))/AK353)</f>
        <v>#VALUE!</v>
      </c>
      <c r="AC353" s="185" t="str">
        <f aca="false">IF($A354="","",VLOOKUP($A353,Table,MATCH(AC$4,Curves,0)))</f>
        <v/>
      </c>
      <c r="AD353" s="185" t="str">
        <f aca="false">IF($A354="","",VLOOKUP($A353,Table,MATCH(AD$4,Curves,0)))</f>
        <v/>
      </c>
      <c r="AE353" s="185" t="e">
        <f aca="false">SQRT((AD353^2*(A353-$D$3)+AC353^2*(DAY(EOMONTH(A353,0))/2))/AK353)</f>
        <v>#VALUE!</v>
      </c>
      <c r="AF353" s="224" t="e">
        <f aca="false">((Summary!$N$9*(AA353*AD353)*(A353-$D$3))+(Summary!$M$9*Z353*AC353*(AJ353-EOMONTH(EDATE(A353,-1),0))))/(AK353*AB353*AE353)</f>
        <v>#VALUE!</v>
      </c>
      <c r="AG353" s="207" t="str">
        <f aca="false">IF($A354="","",Summary!$Q$9)</f>
        <v/>
      </c>
      <c r="AH353" s="207" t="str">
        <f aca="false">IF($A354="","",IF(Summary!$R$9="Y",VLOOKUP($A353,Summary!$AD$6:$AF$9,3)+'Escalating commodity'!E366,'Escalating commodity'!E366))</f>
        <v/>
      </c>
      <c r="AI353" s="207" t="str">
        <f aca="false">IF($A354="","",AH353)</f>
        <v/>
      </c>
      <c r="AJ353" s="208" t="e">
        <f aca="false">A353+DAY(EOMONTH(A353,0))/2-1</f>
        <v>#VALUE!</v>
      </c>
      <c r="AK353" s="209" t="str">
        <f aca="false">IF($A354="","",$A353-$E$1)</f>
        <v/>
      </c>
      <c r="AL353" s="182" t="str">
        <f aca="false">IF($A354="","",SPRDOPT(P353,X353,AI353,0,AB353,AE353,AF353,AK353,$AJ$2,0))</f>
        <v/>
      </c>
      <c r="AM353" s="211" t="str">
        <f aca="false">IF($A354="","",MAX(0,O353-W353-AI353))</f>
        <v/>
      </c>
      <c r="AN353" s="211" t="str">
        <f aca="false">IF($A354="","",AL353-AM353)</f>
        <v/>
      </c>
      <c r="AO353" s="137" t="str">
        <f aca="false">IF(A354="","",A354-A353)</f>
        <v/>
      </c>
      <c r="AP353" s="212" t="str">
        <f aca="false">IF(A354="","",CHOOSE(F$3,A354+24,A353))</f>
        <v/>
      </c>
      <c r="AQ353" s="209" t="str">
        <f aca="false">IF(A354="","",AP353-$E$1)</f>
        <v/>
      </c>
      <c r="AR353" s="185" t="n">
        <f aca="false">'ANR OK vs ML7'!AR353</f>
        <v>0.1</v>
      </c>
      <c r="AS353" s="213" t="str">
        <f aca="false">IF(A354="","",1/(1+CHOOSE(F$3,(AR354+($I$3/10000))/2,(AR353+($I$3/10000))/2))^(2*AQ353/365.25))</f>
        <v/>
      </c>
      <c r="AT353" s="137" t="str">
        <f aca="false">IF(A354="","",IF(AND(mthbeg&lt;=A353,mthend&gt;=A353),1,0))</f>
        <v/>
      </c>
      <c r="AU353" s="137" t="str">
        <f aca="false">IF(A354="","",AO353*AT353)</f>
        <v/>
      </c>
      <c r="AW353" s="195" t="str">
        <f aca="false">IF($A354="","",AL353*$E353)</f>
        <v/>
      </c>
      <c r="AX353" s="195" t="str">
        <f aca="false">IF($A354="","",AM353*$E353)</f>
        <v/>
      </c>
      <c r="AY353" s="195" t="str">
        <f aca="false">IF($A354="","",AN353*$E353)</f>
        <v/>
      </c>
      <c r="BA353" s="195" t="str">
        <f aca="false">IF($A354="","",F353*Summary!$Q$9)</f>
        <v/>
      </c>
    </row>
    <row r="354" customFormat="false" ht="12" hidden="false" customHeight="true" outlineLevel="0" collapsed="false">
      <c r="A354" s="196" t="str">
        <f aca="false">IF(A353&lt;mthend,EDATE(A353,1),"")</f>
        <v/>
      </c>
      <c r="B354" s="197" t="str">
        <f aca="false">IF(A354&lt;mthend,B353,"")</f>
        <v/>
      </c>
      <c r="C354" s="215"/>
      <c r="D354" s="197" t="str">
        <f aca="false">IF(A355&lt;&gt;"",B354+C354,"")</f>
        <v/>
      </c>
      <c r="E354" s="199" t="str">
        <f aca="false">IF(A355="","",IF(AND(AT354=1,$H$3=1),D354*AO354,IF($H$3=2,D354,"N/A")))</f>
        <v/>
      </c>
      <c r="F354" s="199" t="str">
        <f aca="false">IF(A355="","",E354*AS354)</f>
        <v/>
      </c>
      <c r="G354" s="200" t="str">
        <f aca="false">IF($A355="","",VLOOKUP($A354,Table,MATCH(G$4,Curves,0)))</f>
        <v/>
      </c>
      <c r="H354" s="201" t="str">
        <f aca="false">IF(A355="","",G354)</f>
        <v/>
      </c>
      <c r="I354" s="202"/>
      <c r="J354" s="200" t="str">
        <f aca="false">IF($A355="","",VLOOKUP($A354,Table,MATCH(J$4,Curves,0)))</f>
        <v/>
      </c>
      <c r="K354" s="201" t="str">
        <f aca="false">IF(A355="","",J354)</f>
        <v/>
      </c>
      <c r="L354" s="200" t="str">
        <f aca="false">IF($A355="","",VLOOKUP($A354,Table,MATCH(L$4,Curves,0)))</f>
        <v/>
      </c>
      <c r="M354" s="201" t="str">
        <f aca="false">IF(A355="","",L354)</f>
        <v/>
      </c>
      <c r="N354" s="203"/>
      <c r="O354" s="200" t="str">
        <f aca="false">IF(A355="","",L354+J354+G354)</f>
        <v/>
      </c>
      <c r="P354" s="200" t="str">
        <f aca="false">IF(A355="","",M354+K354+H354)</f>
        <v/>
      </c>
      <c r="Q354" s="204"/>
      <c r="R354" s="200" t="str">
        <f aca="false">IF($A355="","",VLOOKUP($A354,Table,MATCH(R$4,Curves,0)))</f>
        <v/>
      </c>
      <c r="S354" s="201" t="str">
        <f aca="false">IF(A355="","",R354)</f>
        <v/>
      </c>
      <c r="T354" s="200" t="str">
        <f aca="false">IF($A355="","",VLOOKUP($A354,Table,MATCH(T$4,Curves,0)))</f>
        <v/>
      </c>
      <c r="U354" s="201" t="str">
        <f aca="false">IF(A355="","",T354)</f>
        <v/>
      </c>
      <c r="V354" s="225" t="str">
        <f aca="false">IF($A355="","",IF(AND(MONTH(A354)&gt;3,MONTH(A354)&lt;11),(T354+R354+G354)*Summary!$T$9/(1-Summary!$T$9),(T354+R354+G354)*Summary!$U$9/(1-Summary!$U$9)))</f>
        <v/>
      </c>
      <c r="W354" s="200" t="str">
        <f aca="false">IF($A355="","",(T354+R354+G354+V354))</f>
        <v/>
      </c>
      <c r="X354" s="200" t="str">
        <f aca="false">IF($A355="","",(U354+S354+H354+V354))</f>
        <v/>
      </c>
      <c r="Y354" s="202"/>
      <c r="Z354" s="185" t="str">
        <f aca="false">IF($A355="","",VLOOKUP($A354,Table,MATCH(Z$4,Curves,0)))</f>
        <v/>
      </c>
      <c r="AA354" s="185" t="str">
        <f aca="false">IF($A355="","",VLOOKUP($A354,Table,MATCH(AA$4,Curves,0)))</f>
        <v/>
      </c>
      <c r="AB354" s="185" t="e">
        <f aca="false">SQRT((AA354^2*(A354-$D$3)+Z354^2*(DAY(EOMONTH(A354,0))/2))/AK354)</f>
        <v>#VALUE!</v>
      </c>
      <c r="AC354" s="185" t="str">
        <f aca="false">IF($A355="","",VLOOKUP($A354,Table,MATCH(AC$4,Curves,0)))</f>
        <v/>
      </c>
      <c r="AD354" s="185" t="str">
        <f aca="false">IF($A355="","",VLOOKUP($A354,Table,MATCH(AD$4,Curves,0)))</f>
        <v/>
      </c>
      <c r="AE354" s="185" t="e">
        <f aca="false">SQRT((AD354^2*(A354-$D$3)+AC354^2*(DAY(EOMONTH(A354,0))/2))/AK354)</f>
        <v>#VALUE!</v>
      </c>
      <c r="AF354" s="224" t="e">
        <f aca="false">((Summary!$N$9*(AA354*AD354)*(A354-$D$3))+(Summary!$M$9*Z354*AC354*(AJ354-EOMONTH(EDATE(A354,-1),0))))/(AK354*AB354*AE354)</f>
        <v>#VALUE!</v>
      </c>
      <c r="AG354" s="207" t="str">
        <f aca="false">IF($A355="","",Summary!$Q$9)</f>
        <v/>
      </c>
      <c r="AH354" s="207" t="str">
        <f aca="false">IF($A355="","",IF(Summary!$R$9="Y",VLOOKUP($A354,Summary!$AD$6:$AF$9,3)+'Escalating commodity'!E367,'Escalating commodity'!E367))</f>
        <v/>
      </c>
      <c r="AI354" s="207" t="str">
        <f aca="false">IF($A355="","",AH354)</f>
        <v/>
      </c>
      <c r="AJ354" s="208" t="e">
        <f aca="false">A354+DAY(EOMONTH(A354,0))/2-1</f>
        <v>#VALUE!</v>
      </c>
      <c r="AK354" s="209" t="str">
        <f aca="false">IF($A355="","",$A354-$E$1)</f>
        <v/>
      </c>
      <c r="AL354" s="182" t="str">
        <f aca="false">IF($A355="","",SPRDOPT(P354,X354,AI354,0,AB354,AE354,AF354,AK354,$AJ$2,0))</f>
        <v/>
      </c>
      <c r="AM354" s="211" t="str">
        <f aca="false">IF($A355="","",MAX(0,O354-W354-AI354))</f>
        <v/>
      </c>
      <c r="AN354" s="211" t="str">
        <f aca="false">IF($A355="","",AL354-AM354)</f>
        <v/>
      </c>
      <c r="AO354" s="137" t="str">
        <f aca="false">IF(A355="","",A355-A354)</f>
        <v/>
      </c>
      <c r="AP354" s="212" t="str">
        <f aca="false">IF(A355="","",CHOOSE(F$3,A355+24,A354))</f>
        <v/>
      </c>
      <c r="AQ354" s="209" t="str">
        <f aca="false">IF(A355="","",AP354-$E$1)</f>
        <v/>
      </c>
      <c r="AR354" s="185" t="n">
        <f aca="false">'ANR OK vs ML7'!AR354</f>
        <v>0.1</v>
      </c>
      <c r="AS354" s="213" t="str">
        <f aca="false">IF(A355="","",1/(1+CHOOSE(F$3,(AR355+($I$3/10000))/2,(AR354+($I$3/10000))/2))^(2*AQ354/365.25))</f>
        <v/>
      </c>
      <c r="AT354" s="137" t="str">
        <f aca="false">IF(A355="","",IF(AND(mthbeg&lt;=A354,mthend&gt;=A354),1,0))</f>
        <v/>
      </c>
      <c r="AU354" s="137" t="str">
        <f aca="false">IF(A355="","",AO354*AT354)</f>
        <v/>
      </c>
      <c r="AW354" s="195" t="str">
        <f aca="false">IF($A355="","",AL354*$E354)</f>
        <v/>
      </c>
      <c r="AX354" s="195" t="str">
        <f aca="false">IF($A355="","",AM354*$E354)</f>
        <v/>
      </c>
      <c r="AY354" s="195" t="str">
        <f aca="false">IF($A355="","",AN354*$E354)</f>
        <v/>
      </c>
      <c r="BA354" s="195" t="str">
        <f aca="false">IF($A355="","",F354*Summary!$Q$9)</f>
        <v/>
      </c>
    </row>
    <row r="355" customFormat="false" ht="12" hidden="false" customHeight="true" outlineLevel="0" collapsed="false">
      <c r="A355" s="196" t="str">
        <f aca="false">IF(A354&lt;mthend,EDATE(A354,1),"")</f>
        <v/>
      </c>
      <c r="B355" s="197" t="str">
        <f aca="false">IF(A355&lt;mthend,B354,"")</f>
        <v/>
      </c>
      <c r="C355" s="215"/>
      <c r="D355" s="197" t="str">
        <f aca="false">IF(A356&lt;&gt;"",B355+C355,"")</f>
        <v/>
      </c>
      <c r="E355" s="199" t="str">
        <f aca="false">IF(A356="","",IF(AND(AT355=1,$H$3=1),D355*AO355,IF($H$3=2,D355,"N/A")))</f>
        <v/>
      </c>
      <c r="F355" s="199" t="str">
        <f aca="false">IF(A356="","",E355*AS355)</f>
        <v/>
      </c>
      <c r="G355" s="200" t="str">
        <f aca="false">IF($A356="","",VLOOKUP($A355,Table,MATCH(G$4,Curves,0)))</f>
        <v/>
      </c>
      <c r="H355" s="201" t="str">
        <f aca="false">IF(A356="","",G355)</f>
        <v/>
      </c>
      <c r="I355" s="202"/>
      <c r="J355" s="200" t="str">
        <f aca="false">IF($A356="","",VLOOKUP($A355,Table,MATCH(J$4,Curves,0)))</f>
        <v/>
      </c>
      <c r="K355" s="201" t="str">
        <f aca="false">IF(A356="","",J355)</f>
        <v/>
      </c>
      <c r="L355" s="200" t="str">
        <f aca="false">IF($A356="","",VLOOKUP($A355,Table,MATCH(L$4,Curves,0)))</f>
        <v/>
      </c>
      <c r="M355" s="201" t="str">
        <f aca="false">IF(A356="","",L355)</f>
        <v/>
      </c>
      <c r="N355" s="203"/>
      <c r="O355" s="200" t="str">
        <f aca="false">IF(A356="","",L355+J355+G355)</f>
        <v/>
      </c>
      <c r="P355" s="200" t="str">
        <f aca="false">IF(A356="","",M355+K355+H355)</f>
        <v/>
      </c>
      <c r="Q355" s="204"/>
      <c r="R355" s="200" t="str">
        <f aca="false">IF($A356="","",VLOOKUP($A355,Table,MATCH(R$4,Curves,0)))</f>
        <v/>
      </c>
      <c r="S355" s="201" t="str">
        <f aca="false">IF(A356="","",R355)</f>
        <v/>
      </c>
      <c r="T355" s="200" t="str">
        <f aca="false">IF($A356="","",VLOOKUP($A355,Table,MATCH(T$4,Curves,0)))</f>
        <v/>
      </c>
      <c r="U355" s="201" t="str">
        <f aca="false">IF(A356="","",T355)</f>
        <v/>
      </c>
      <c r="V355" s="225" t="str">
        <f aca="false">IF($A356="","",IF(AND(MONTH(A355)&gt;3,MONTH(A355)&lt;11),(T355+R355+G355)*Summary!$T$9/(1-Summary!$T$9),(T355+R355+G355)*Summary!$U$9/(1-Summary!$U$9)))</f>
        <v/>
      </c>
      <c r="W355" s="200" t="str">
        <f aca="false">IF($A356="","",(T355+R355+G355+V355))</f>
        <v/>
      </c>
      <c r="X355" s="200" t="str">
        <f aca="false">IF($A356="","",(U355+S355+H355+V355))</f>
        <v/>
      </c>
      <c r="Y355" s="202"/>
      <c r="Z355" s="185" t="str">
        <f aca="false">IF($A356="","",VLOOKUP($A355,Table,MATCH(Z$4,Curves,0)))</f>
        <v/>
      </c>
      <c r="AA355" s="185" t="str">
        <f aca="false">IF($A356="","",VLOOKUP($A355,Table,MATCH(AA$4,Curves,0)))</f>
        <v/>
      </c>
      <c r="AB355" s="185" t="e">
        <f aca="false">SQRT((AA355^2*(A355-$D$3)+Z355^2*(DAY(EOMONTH(A355,0))/2))/AK355)</f>
        <v>#VALUE!</v>
      </c>
      <c r="AC355" s="185" t="str">
        <f aca="false">IF($A356="","",VLOOKUP($A355,Table,MATCH(AC$4,Curves,0)))</f>
        <v/>
      </c>
      <c r="AD355" s="185" t="str">
        <f aca="false">IF($A356="","",VLOOKUP($A355,Table,MATCH(AD$4,Curves,0)))</f>
        <v/>
      </c>
      <c r="AE355" s="185" t="e">
        <f aca="false">SQRT((AD355^2*(A355-$D$3)+AC355^2*(DAY(EOMONTH(A355,0))/2))/AK355)</f>
        <v>#VALUE!</v>
      </c>
      <c r="AF355" s="224" t="e">
        <f aca="false">((Summary!$N$9*(AA355*AD355)*(A355-$D$3))+(Summary!$M$9*Z355*AC355*(AJ355-EOMONTH(EDATE(A355,-1),0))))/(AK355*AB355*AE355)</f>
        <v>#VALUE!</v>
      </c>
      <c r="AG355" s="207" t="str">
        <f aca="false">IF($A356="","",Summary!$Q$9)</f>
        <v/>
      </c>
      <c r="AH355" s="207" t="str">
        <f aca="false">IF($A356="","",IF(Summary!$R$9="Y",VLOOKUP($A355,Summary!$AD$6:$AF$9,3)+'Escalating commodity'!E368,'Escalating commodity'!E368))</f>
        <v/>
      </c>
      <c r="AI355" s="207" t="str">
        <f aca="false">IF($A356="","",AH355)</f>
        <v/>
      </c>
      <c r="AJ355" s="208" t="e">
        <f aca="false">A355+DAY(EOMONTH(A355,0))/2-1</f>
        <v>#VALUE!</v>
      </c>
      <c r="AK355" s="209" t="str">
        <f aca="false">IF($A356="","",$A355-$E$1)</f>
        <v/>
      </c>
      <c r="AL355" s="182" t="str">
        <f aca="false">IF($A356="","",SPRDOPT(P355,X355,AI355,0,AB355,AE355,AF355,AK355,$AJ$2,0))</f>
        <v/>
      </c>
      <c r="AM355" s="211" t="str">
        <f aca="false">IF($A356="","",MAX(0,O355-W355-AI355))</f>
        <v/>
      </c>
      <c r="AN355" s="211" t="str">
        <f aca="false">IF($A356="","",AL355-AM355)</f>
        <v/>
      </c>
      <c r="AO355" s="137" t="str">
        <f aca="false">IF(A356="","",A356-A355)</f>
        <v/>
      </c>
      <c r="AP355" s="212" t="str">
        <f aca="false">IF(A356="","",CHOOSE(F$3,A356+24,A355))</f>
        <v/>
      </c>
      <c r="AQ355" s="209" t="str">
        <f aca="false">IF(A356="","",AP355-$E$1)</f>
        <v/>
      </c>
      <c r="AR355" s="185" t="n">
        <f aca="false">'ANR OK vs ML7'!AR355</f>
        <v>0.1</v>
      </c>
      <c r="AS355" s="213" t="str">
        <f aca="false">IF(A356="","",1/(1+CHOOSE(F$3,(AR356+($I$3/10000))/2,(AR355+($I$3/10000))/2))^(2*AQ355/365.25))</f>
        <v/>
      </c>
      <c r="AT355" s="137" t="str">
        <f aca="false">IF(A356="","",IF(AND(mthbeg&lt;=A355,mthend&gt;=A355),1,0))</f>
        <v/>
      </c>
      <c r="AU355" s="137" t="str">
        <f aca="false">IF(A356="","",AO355*AT355)</f>
        <v/>
      </c>
      <c r="AW355" s="195" t="str">
        <f aca="false">IF($A356="","",AL355*$E355)</f>
        <v/>
      </c>
      <c r="AX355" s="195" t="str">
        <f aca="false">IF($A356="","",AM355*$E355)</f>
        <v/>
      </c>
      <c r="AY355" s="195" t="str">
        <f aca="false">IF($A356="","",AN355*$E355)</f>
        <v/>
      </c>
      <c r="BA355" s="195" t="str">
        <f aca="false">IF($A356="","",F355*Summary!$Q$9)</f>
        <v/>
      </c>
    </row>
    <row r="356" customFormat="false" ht="12" hidden="false" customHeight="true" outlineLevel="0" collapsed="false">
      <c r="A356" s="196" t="str">
        <f aca="false">IF(A355&lt;mthend,EDATE(A355,1),"")</f>
        <v/>
      </c>
      <c r="B356" s="197" t="str">
        <f aca="false">IF(A356&lt;mthend,B355,"")</f>
        <v/>
      </c>
      <c r="C356" s="215"/>
      <c r="D356" s="197" t="str">
        <f aca="false">IF(A357&lt;&gt;"",B356+C356,"")</f>
        <v/>
      </c>
      <c r="E356" s="199" t="str">
        <f aca="false">IF(A357="","",IF(AND(AT356=1,$H$3=1),D356*AO356,IF($H$3=2,D356,"N/A")))</f>
        <v/>
      </c>
      <c r="F356" s="199" t="str">
        <f aca="false">IF(A357="","",E356*AS356)</f>
        <v/>
      </c>
      <c r="G356" s="200" t="str">
        <f aca="false">IF($A357="","",VLOOKUP($A356,Table,MATCH(G$4,Curves,0)))</f>
        <v/>
      </c>
      <c r="H356" s="201" t="str">
        <f aca="false">IF(A357="","",G356)</f>
        <v/>
      </c>
      <c r="I356" s="202"/>
      <c r="J356" s="200" t="str">
        <f aca="false">IF($A357="","",VLOOKUP($A356,Table,MATCH(J$4,Curves,0)))</f>
        <v/>
      </c>
      <c r="K356" s="201" t="str">
        <f aca="false">IF(A357="","",J356)</f>
        <v/>
      </c>
      <c r="L356" s="200" t="str">
        <f aca="false">IF($A357="","",VLOOKUP($A356,Table,MATCH(L$4,Curves,0)))</f>
        <v/>
      </c>
      <c r="M356" s="201" t="str">
        <f aca="false">IF(A357="","",L356)</f>
        <v/>
      </c>
      <c r="N356" s="203"/>
      <c r="O356" s="200" t="str">
        <f aca="false">IF(A357="","",L356+J356+G356)</f>
        <v/>
      </c>
      <c r="P356" s="200" t="str">
        <f aca="false">IF(A357="","",M356+K356+H356)</f>
        <v/>
      </c>
      <c r="Q356" s="204"/>
      <c r="R356" s="200" t="str">
        <f aca="false">IF($A357="","",VLOOKUP($A356,Table,MATCH(R$4,Curves,0)))</f>
        <v/>
      </c>
      <c r="S356" s="201" t="str">
        <f aca="false">IF(A357="","",R356)</f>
        <v/>
      </c>
      <c r="T356" s="200" t="str">
        <f aca="false">IF($A357="","",VLOOKUP($A356,Table,MATCH(T$4,Curves,0)))</f>
        <v/>
      </c>
      <c r="U356" s="201" t="str">
        <f aca="false">IF(A357="","",T356)</f>
        <v/>
      </c>
      <c r="V356" s="225" t="str">
        <f aca="false">IF($A357="","",IF(AND(MONTH(A356)&gt;3,MONTH(A356)&lt;11),(T356+R356+G356)*Summary!$T$9/(1-Summary!$T$9),(T356+R356+G356)*Summary!$U$9/(1-Summary!$U$9)))</f>
        <v/>
      </c>
      <c r="W356" s="200" t="str">
        <f aca="false">IF($A357="","",(T356+R356+G356+V356))</f>
        <v/>
      </c>
      <c r="X356" s="200" t="str">
        <f aca="false">IF($A357="","",(U356+S356+H356+V356))</f>
        <v/>
      </c>
      <c r="Y356" s="202"/>
      <c r="Z356" s="185" t="str">
        <f aca="false">IF($A357="","",VLOOKUP($A356,Table,MATCH(Z$4,Curves,0)))</f>
        <v/>
      </c>
      <c r="AA356" s="185" t="str">
        <f aca="false">IF($A357="","",VLOOKUP($A356,Table,MATCH(AA$4,Curves,0)))</f>
        <v/>
      </c>
      <c r="AB356" s="185" t="e">
        <f aca="false">SQRT((AA356^2*(A356-$D$3)+Z356^2*(DAY(EOMONTH(A356,0))/2))/AK356)</f>
        <v>#VALUE!</v>
      </c>
      <c r="AC356" s="185" t="str">
        <f aca="false">IF($A357="","",VLOOKUP($A356,Table,MATCH(AC$4,Curves,0)))</f>
        <v/>
      </c>
      <c r="AD356" s="185" t="str">
        <f aca="false">IF($A357="","",VLOOKUP($A356,Table,MATCH(AD$4,Curves,0)))</f>
        <v/>
      </c>
      <c r="AE356" s="185" t="e">
        <f aca="false">SQRT((AD356^2*(A356-$D$3)+AC356^2*(DAY(EOMONTH(A356,0))/2))/AK356)</f>
        <v>#VALUE!</v>
      </c>
      <c r="AF356" s="224" t="e">
        <f aca="false">((Summary!$N$9*(AA356*AD356)*(A356-$D$3))+(Summary!$M$9*Z356*AC356*(AJ356-EOMONTH(EDATE(A356,-1),0))))/(AK356*AB356*AE356)</f>
        <v>#VALUE!</v>
      </c>
      <c r="AG356" s="207" t="str">
        <f aca="false">IF($A357="","",Summary!$Q$9)</f>
        <v/>
      </c>
      <c r="AH356" s="207" t="str">
        <f aca="false">IF($A357="","",IF(Summary!$R$9="Y",VLOOKUP($A356,Summary!$AD$6:$AF$9,3)+'Escalating commodity'!E369,'Escalating commodity'!E369))</f>
        <v/>
      </c>
      <c r="AI356" s="207" t="str">
        <f aca="false">IF($A357="","",AH356)</f>
        <v/>
      </c>
      <c r="AJ356" s="208" t="e">
        <f aca="false">A356+DAY(EOMONTH(A356,0))/2-1</f>
        <v>#VALUE!</v>
      </c>
      <c r="AK356" s="209" t="str">
        <f aca="false">IF($A357="","",$A356-$E$1)</f>
        <v/>
      </c>
      <c r="AL356" s="182" t="str">
        <f aca="false">IF($A357="","",SPRDOPT(P356,X356,AI356,0,AB356,AE356,AF356,AK356,$AJ$2,0))</f>
        <v/>
      </c>
      <c r="AM356" s="211" t="str">
        <f aca="false">IF($A357="","",MAX(0,O356-W356-AI356))</f>
        <v/>
      </c>
      <c r="AN356" s="211" t="str">
        <f aca="false">IF($A357="","",AL356-AM356)</f>
        <v/>
      </c>
      <c r="AO356" s="137" t="str">
        <f aca="false">IF(A357="","",A357-A356)</f>
        <v/>
      </c>
      <c r="AP356" s="212" t="str">
        <f aca="false">IF(A357="","",CHOOSE(F$3,A357+24,A356))</f>
        <v/>
      </c>
      <c r="AQ356" s="209" t="str">
        <f aca="false">IF(A357="","",AP356-$E$1)</f>
        <v/>
      </c>
      <c r="AR356" s="185" t="n">
        <f aca="false">'ANR OK vs ML7'!AR356</f>
        <v>0.1</v>
      </c>
      <c r="AS356" s="213" t="str">
        <f aca="false">IF(A357="","",1/(1+CHOOSE(F$3,(AR357+($I$3/10000))/2,(AR356+($I$3/10000))/2))^(2*AQ356/365.25))</f>
        <v/>
      </c>
      <c r="AT356" s="137" t="str">
        <f aca="false">IF(A357="","",IF(AND(mthbeg&lt;=A356,mthend&gt;=A356),1,0))</f>
        <v/>
      </c>
      <c r="AU356" s="137" t="str">
        <f aca="false">IF(A357="","",AO356*AT356)</f>
        <v/>
      </c>
      <c r="AW356" s="195" t="str">
        <f aca="false">IF($A357="","",AL356*$E356)</f>
        <v/>
      </c>
      <c r="AX356" s="195" t="str">
        <f aca="false">IF($A357="","",AM356*$E356)</f>
        <v/>
      </c>
      <c r="AY356" s="195" t="str">
        <f aca="false">IF($A357="","",AN356*$E356)</f>
        <v/>
      </c>
      <c r="BA356" s="195" t="str">
        <f aca="false">IF($A357="","",F356*Summary!$Q$9)</f>
        <v/>
      </c>
    </row>
    <row r="357" customFormat="false" ht="12" hidden="false" customHeight="true" outlineLevel="0" collapsed="false">
      <c r="A357" s="196" t="str">
        <f aca="false">IF(A356&lt;mthend,EDATE(A356,1),"")</f>
        <v/>
      </c>
      <c r="B357" s="197" t="str">
        <f aca="false">IF(A357&lt;mthend,B356,"")</f>
        <v/>
      </c>
      <c r="C357" s="215"/>
      <c r="D357" s="197" t="str">
        <f aca="false">IF(A358&lt;&gt;"",B357+C357,"")</f>
        <v/>
      </c>
      <c r="E357" s="199" t="str">
        <f aca="false">IF(A358="","",IF(AND(AT357=1,$H$3=1),D357*AO357,IF($H$3=2,D357,"N/A")))</f>
        <v/>
      </c>
      <c r="F357" s="199" t="str">
        <f aca="false">IF(A358="","",E357*AS357)</f>
        <v/>
      </c>
      <c r="G357" s="200" t="str">
        <f aca="false">IF($A358="","",VLOOKUP($A357,Table,MATCH(G$4,Curves,0)))</f>
        <v/>
      </c>
      <c r="H357" s="201" t="str">
        <f aca="false">IF(A358="","",G357)</f>
        <v/>
      </c>
      <c r="I357" s="202"/>
      <c r="J357" s="200" t="str">
        <f aca="false">IF($A358="","",VLOOKUP($A357,Table,MATCH(J$4,Curves,0)))</f>
        <v/>
      </c>
      <c r="K357" s="201" t="str">
        <f aca="false">IF(A358="","",J357)</f>
        <v/>
      </c>
      <c r="L357" s="200" t="str">
        <f aca="false">IF($A358="","",VLOOKUP($A357,Table,MATCH(L$4,Curves,0)))</f>
        <v/>
      </c>
      <c r="M357" s="201" t="str">
        <f aca="false">IF(A358="","",L357)</f>
        <v/>
      </c>
      <c r="N357" s="203"/>
      <c r="O357" s="200" t="str">
        <f aca="false">IF(A358="","",L357+J357+G357)</f>
        <v/>
      </c>
      <c r="P357" s="200" t="str">
        <f aca="false">IF(A358="","",M357+K357+H357)</f>
        <v/>
      </c>
      <c r="Q357" s="204"/>
      <c r="R357" s="200" t="str">
        <f aca="false">IF($A358="","",VLOOKUP($A357,Table,MATCH(R$4,Curves,0)))</f>
        <v/>
      </c>
      <c r="S357" s="201" t="str">
        <f aca="false">IF(A358="","",R357)</f>
        <v/>
      </c>
      <c r="T357" s="200" t="str">
        <f aca="false">IF($A358="","",VLOOKUP($A357,Table,MATCH(T$4,Curves,0)))</f>
        <v/>
      </c>
      <c r="U357" s="201" t="str">
        <f aca="false">IF(A358="","",T357)</f>
        <v/>
      </c>
      <c r="V357" s="225" t="str">
        <f aca="false">IF($A358="","",IF(AND(MONTH(A357)&gt;3,MONTH(A357)&lt;11),(T357+R357+G357)*Summary!$T$9/(1-Summary!$T$9),(T357+R357+G357)*Summary!$U$9/(1-Summary!$U$9)))</f>
        <v/>
      </c>
      <c r="W357" s="200" t="str">
        <f aca="false">IF($A358="","",(T357+R357+G357+V357))</f>
        <v/>
      </c>
      <c r="X357" s="200" t="str">
        <f aca="false">IF($A358="","",(U357+S357+H357+V357))</f>
        <v/>
      </c>
      <c r="Y357" s="202"/>
      <c r="Z357" s="185" t="str">
        <f aca="false">IF($A358="","",VLOOKUP($A357,Table,MATCH(Z$4,Curves,0)))</f>
        <v/>
      </c>
      <c r="AA357" s="185" t="str">
        <f aca="false">IF($A358="","",VLOOKUP($A357,Table,MATCH(AA$4,Curves,0)))</f>
        <v/>
      </c>
      <c r="AB357" s="185" t="e">
        <f aca="false">SQRT((AA357^2*(A357-$D$3)+Z357^2*(DAY(EOMONTH(A357,0))/2))/AK357)</f>
        <v>#VALUE!</v>
      </c>
      <c r="AC357" s="185" t="str">
        <f aca="false">IF($A358="","",VLOOKUP($A357,Table,MATCH(AC$4,Curves,0)))</f>
        <v/>
      </c>
      <c r="AD357" s="185" t="str">
        <f aca="false">IF($A358="","",VLOOKUP($A357,Table,MATCH(AD$4,Curves,0)))</f>
        <v/>
      </c>
      <c r="AE357" s="185" t="e">
        <f aca="false">SQRT((AD357^2*(A357-$D$3)+AC357^2*(DAY(EOMONTH(A357,0))/2))/AK357)</f>
        <v>#VALUE!</v>
      </c>
      <c r="AF357" s="224" t="e">
        <f aca="false">((Summary!$N$9*(AA357*AD357)*(A357-$D$3))+(Summary!$M$9*Z357*AC357*(AJ357-EOMONTH(EDATE(A357,-1),0))))/(AK357*AB357*AE357)</f>
        <v>#VALUE!</v>
      </c>
      <c r="AG357" s="207" t="str">
        <f aca="false">IF($A358="","",Summary!$Q$9)</f>
        <v/>
      </c>
      <c r="AH357" s="207" t="str">
        <f aca="false">IF($A358="","",IF(Summary!$R$9="Y",VLOOKUP($A357,Summary!$AD$6:$AF$9,3)+'Escalating commodity'!E370,'Escalating commodity'!E370))</f>
        <v/>
      </c>
      <c r="AI357" s="207" t="str">
        <f aca="false">IF($A358="","",AH357)</f>
        <v/>
      </c>
      <c r="AJ357" s="208" t="e">
        <f aca="false">A357+DAY(EOMONTH(A357,0))/2-1</f>
        <v>#VALUE!</v>
      </c>
      <c r="AK357" s="209" t="str">
        <f aca="false">IF($A358="","",$A357-$E$1)</f>
        <v/>
      </c>
      <c r="AL357" s="182" t="str">
        <f aca="false">IF($A358="","",SPRDOPT(P357,X357,AI357,0,AB357,AE357,AF357,AK357,$AJ$2,0))</f>
        <v/>
      </c>
      <c r="AM357" s="211" t="str">
        <f aca="false">IF($A358="","",MAX(0,O357-W357-AI357))</f>
        <v/>
      </c>
      <c r="AN357" s="211" t="str">
        <f aca="false">IF($A358="","",AL357-AM357)</f>
        <v/>
      </c>
      <c r="AO357" s="137" t="str">
        <f aca="false">IF(A358="","",A358-A357)</f>
        <v/>
      </c>
      <c r="AP357" s="212" t="str">
        <f aca="false">IF(A358="","",CHOOSE(F$3,A358+24,A357))</f>
        <v/>
      </c>
      <c r="AQ357" s="209" t="str">
        <f aca="false">IF(A358="","",AP357-$E$1)</f>
        <v/>
      </c>
      <c r="AR357" s="185" t="n">
        <f aca="false">'ANR OK vs ML7'!AR357</f>
        <v>0.1</v>
      </c>
      <c r="AS357" s="213" t="str">
        <f aca="false">IF(A358="","",1/(1+CHOOSE(F$3,(AR358+($I$3/10000))/2,(AR357+($I$3/10000))/2))^(2*AQ357/365.25))</f>
        <v/>
      </c>
      <c r="AT357" s="137" t="str">
        <f aca="false">IF(A358="","",IF(AND(mthbeg&lt;=A357,mthend&gt;=A357),1,0))</f>
        <v/>
      </c>
      <c r="AU357" s="137" t="str">
        <f aca="false">IF(A358="","",AO357*AT357)</f>
        <v/>
      </c>
      <c r="AW357" s="195" t="str">
        <f aca="false">IF($A358="","",AL357*$E357)</f>
        <v/>
      </c>
      <c r="AX357" s="195" t="str">
        <f aca="false">IF($A358="","",AM357*$E357)</f>
        <v/>
      </c>
      <c r="AY357" s="195" t="str">
        <f aca="false">IF($A358="","",AN357*$E357)</f>
        <v/>
      </c>
      <c r="BA357" s="195" t="str">
        <f aca="false">IF($A358="","",F357*Summary!$Q$9)</f>
        <v/>
      </c>
    </row>
    <row r="358" customFormat="false" ht="12" hidden="false" customHeight="true" outlineLevel="0" collapsed="false">
      <c r="A358" s="196" t="str">
        <f aca="false">IF(A357&lt;mthend,EDATE(A357,1),"")</f>
        <v/>
      </c>
      <c r="B358" s="197" t="str">
        <f aca="false">IF(A358&lt;mthend,B357,"")</f>
        <v/>
      </c>
      <c r="C358" s="215"/>
      <c r="D358" s="197" t="str">
        <f aca="false">IF(A359&lt;&gt;"",B358+C358,"")</f>
        <v/>
      </c>
      <c r="E358" s="199" t="str">
        <f aca="false">IF(A359="","",IF(AND(AT358=1,$H$3=1),D358*AO358,IF($H$3=2,D358,"N/A")))</f>
        <v/>
      </c>
      <c r="F358" s="199" t="str">
        <f aca="false">IF(A359="","",E358*AS358)</f>
        <v/>
      </c>
      <c r="G358" s="200" t="str">
        <f aca="false">IF($A359="","",VLOOKUP($A358,Table,MATCH(G$4,Curves,0)))</f>
        <v/>
      </c>
      <c r="H358" s="201" t="str">
        <f aca="false">IF(A359="","",G358)</f>
        <v/>
      </c>
      <c r="I358" s="202"/>
      <c r="J358" s="200" t="str">
        <f aca="false">IF($A359="","",VLOOKUP($A358,Table,MATCH(J$4,Curves,0)))</f>
        <v/>
      </c>
      <c r="K358" s="201" t="str">
        <f aca="false">IF(A359="","",J358)</f>
        <v/>
      </c>
      <c r="L358" s="200" t="str">
        <f aca="false">IF($A359="","",VLOOKUP($A358,Table,MATCH(L$4,Curves,0)))</f>
        <v/>
      </c>
      <c r="M358" s="201" t="str">
        <f aca="false">IF(A359="","",L358)</f>
        <v/>
      </c>
      <c r="N358" s="203"/>
      <c r="O358" s="200" t="str">
        <f aca="false">IF(A359="","",L358+J358+G358)</f>
        <v/>
      </c>
      <c r="P358" s="200" t="str">
        <f aca="false">IF(A359="","",M358+K358+H358)</f>
        <v/>
      </c>
      <c r="Q358" s="204"/>
      <c r="R358" s="200" t="str">
        <f aca="false">IF($A359="","",VLOOKUP($A358,Table,MATCH(R$4,Curves,0)))</f>
        <v/>
      </c>
      <c r="S358" s="201" t="str">
        <f aca="false">IF(A359="","",R358)</f>
        <v/>
      </c>
      <c r="T358" s="200" t="str">
        <f aca="false">IF($A359="","",VLOOKUP($A358,Table,MATCH(T$4,Curves,0)))</f>
        <v/>
      </c>
      <c r="U358" s="201" t="str">
        <f aca="false">IF(A359="","",T358)</f>
        <v/>
      </c>
      <c r="V358" s="225" t="str">
        <f aca="false">IF($A359="","",IF(AND(MONTH(A358)&gt;3,MONTH(A358)&lt;11),(T358+R358+G358)*Summary!$T$9/(1-Summary!$T$9),(T358+R358+G358)*Summary!$U$9/(1-Summary!$U$9)))</f>
        <v/>
      </c>
      <c r="W358" s="200" t="str">
        <f aca="false">IF($A359="","",(T358+R358+G358+V358))</f>
        <v/>
      </c>
      <c r="X358" s="200" t="str">
        <f aca="false">IF($A359="","",(U358+S358+H358+V358))</f>
        <v/>
      </c>
      <c r="Y358" s="202"/>
      <c r="Z358" s="185" t="str">
        <f aca="false">IF($A359="","",VLOOKUP($A358,Table,MATCH(Z$4,Curves,0)))</f>
        <v/>
      </c>
      <c r="AA358" s="185" t="str">
        <f aca="false">IF($A359="","",VLOOKUP($A358,Table,MATCH(AA$4,Curves,0)))</f>
        <v/>
      </c>
      <c r="AB358" s="185" t="e">
        <f aca="false">SQRT((AA358^2*(A358-$D$3)+Z358^2*(DAY(EOMONTH(A358,0))/2))/AK358)</f>
        <v>#VALUE!</v>
      </c>
      <c r="AC358" s="185" t="str">
        <f aca="false">IF($A359="","",VLOOKUP($A358,Table,MATCH(AC$4,Curves,0)))</f>
        <v/>
      </c>
      <c r="AD358" s="185" t="str">
        <f aca="false">IF($A359="","",VLOOKUP($A358,Table,MATCH(AD$4,Curves,0)))</f>
        <v/>
      </c>
      <c r="AE358" s="185" t="e">
        <f aca="false">SQRT((AD358^2*(A358-$D$3)+AC358^2*(DAY(EOMONTH(A358,0))/2))/AK358)</f>
        <v>#VALUE!</v>
      </c>
      <c r="AF358" s="224" t="e">
        <f aca="false">((Summary!$N$9*(AA358*AD358)*(A358-$D$3))+(Summary!$M$9*Z358*AC358*(AJ358-EOMONTH(EDATE(A358,-1),0))))/(AK358*AB358*AE358)</f>
        <v>#VALUE!</v>
      </c>
      <c r="AG358" s="207" t="str">
        <f aca="false">IF($A359="","",Summary!$Q$9)</f>
        <v/>
      </c>
      <c r="AH358" s="207" t="str">
        <f aca="false">IF($A359="","",IF(Summary!$R$9="Y",VLOOKUP($A358,Summary!$AD$6:$AF$9,3)+'Escalating commodity'!E371,'Escalating commodity'!E371))</f>
        <v/>
      </c>
      <c r="AI358" s="207" t="str">
        <f aca="false">IF($A359="","",AH358)</f>
        <v/>
      </c>
      <c r="AJ358" s="208" t="e">
        <f aca="false">A358+DAY(EOMONTH(A358,0))/2-1</f>
        <v>#VALUE!</v>
      </c>
      <c r="AK358" s="209" t="str">
        <f aca="false">IF($A359="","",$A358-$E$1)</f>
        <v/>
      </c>
      <c r="AL358" s="182" t="str">
        <f aca="false">IF($A359="","",SPRDOPT(P358,X358,AI358,0,AB358,AE358,AF358,AK358,$AJ$2,0))</f>
        <v/>
      </c>
      <c r="AM358" s="211" t="str">
        <f aca="false">IF($A359="","",MAX(0,O358-W358-AI358))</f>
        <v/>
      </c>
      <c r="AN358" s="211" t="str">
        <f aca="false">IF($A359="","",AL358-AM358)</f>
        <v/>
      </c>
      <c r="AO358" s="137" t="str">
        <f aca="false">IF(A359="","",A359-A358)</f>
        <v/>
      </c>
      <c r="AP358" s="212" t="str">
        <f aca="false">IF(A359="","",CHOOSE(F$3,A359+24,A358))</f>
        <v/>
      </c>
      <c r="AQ358" s="209" t="str">
        <f aca="false">IF(A359="","",AP358-$E$1)</f>
        <v/>
      </c>
      <c r="AR358" s="185" t="n">
        <f aca="false">'ANR OK vs ML7'!AR358</f>
        <v>0.1</v>
      </c>
      <c r="AS358" s="213" t="str">
        <f aca="false">IF(A359="","",1/(1+CHOOSE(F$3,(AR359+($I$3/10000))/2,(AR358+($I$3/10000))/2))^(2*AQ358/365.25))</f>
        <v/>
      </c>
      <c r="AT358" s="137" t="str">
        <f aca="false">IF(A359="","",IF(AND(mthbeg&lt;=A358,mthend&gt;=A358),1,0))</f>
        <v/>
      </c>
      <c r="AU358" s="137" t="str">
        <f aca="false">IF(A359="","",AO358*AT358)</f>
        <v/>
      </c>
      <c r="AW358" s="195" t="str">
        <f aca="false">IF($A359="","",AL358*$E358)</f>
        <v/>
      </c>
      <c r="AX358" s="195" t="str">
        <f aca="false">IF($A359="","",AM358*$E358)</f>
        <v/>
      </c>
      <c r="AY358" s="195" t="str">
        <f aca="false">IF($A359="","",AN358*$E358)</f>
        <v/>
      </c>
      <c r="BA358" s="195" t="str">
        <f aca="false">IF($A359="","",F358*Summary!$Q$9)</f>
        <v/>
      </c>
    </row>
    <row r="359" customFormat="false" ht="12" hidden="false" customHeight="true" outlineLevel="0" collapsed="false">
      <c r="A359" s="196" t="str">
        <f aca="false">IF(A358&lt;mthend,EDATE(A358,1),"")</f>
        <v/>
      </c>
      <c r="B359" s="197" t="str">
        <f aca="false">IF(A359&lt;mthend,B358,"")</f>
        <v/>
      </c>
      <c r="C359" s="215"/>
      <c r="D359" s="197" t="str">
        <f aca="false">IF(A360&lt;&gt;"",B359+C359,"")</f>
        <v/>
      </c>
      <c r="E359" s="199" t="str">
        <f aca="false">IF(A360="","",IF(AND(AT359=1,$H$3=1),D359*AO359,IF($H$3=2,D359,"N/A")))</f>
        <v/>
      </c>
      <c r="F359" s="199" t="str">
        <f aca="false">IF(A360="","",E359*AS359)</f>
        <v/>
      </c>
      <c r="G359" s="200" t="str">
        <f aca="false">IF($A360="","",VLOOKUP($A359,Table,MATCH(G$4,Curves,0)))</f>
        <v/>
      </c>
      <c r="H359" s="201" t="str">
        <f aca="false">IF(A360="","",G359)</f>
        <v/>
      </c>
      <c r="I359" s="202"/>
      <c r="J359" s="200" t="str">
        <f aca="false">IF($A360="","",VLOOKUP($A359,Table,MATCH(J$4,Curves,0)))</f>
        <v/>
      </c>
      <c r="K359" s="201" t="str">
        <f aca="false">IF(A360="","",J359)</f>
        <v/>
      </c>
      <c r="L359" s="200" t="str">
        <f aca="false">IF($A360="","",VLOOKUP($A359,Table,MATCH(L$4,Curves,0)))</f>
        <v/>
      </c>
      <c r="M359" s="201" t="str">
        <f aca="false">IF(A360="","",L359)</f>
        <v/>
      </c>
      <c r="N359" s="203"/>
      <c r="O359" s="200" t="str">
        <f aca="false">IF(A360="","",L359+J359+G359)</f>
        <v/>
      </c>
      <c r="P359" s="200" t="str">
        <f aca="false">IF(A360="","",M359+K359+H359)</f>
        <v/>
      </c>
      <c r="Q359" s="204"/>
      <c r="R359" s="200" t="str">
        <f aca="false">IF($A360="","",VLOOKUP($A359,Table,MATCH(R$4,Curves,0)))</f>
        <v/>
      </c>
      <c r="S359" s="201" t="str">
        <f aca="false">IF(A360="","",R359)</f>
        <v/>
      </c>
      <c r="T359" s="200" t="str">
        <f aca="false">IF($A360="","",VLOOKUP($A359,Table,MATCH(T$4,Curves,0)))</f>
        <v/>
      </c>
      <c r="U359" s="201" t="str">
        <f aca="false">IF(A360="","",T359)</f>
        <v/>
      </c>
      <c r="V359" s="225" t="str">
        <f aca="false">IF($A360="","",IF(AND(MONTH(A359)&gt;3,MONTH(A359)&lt;11),(T359+R359+G359)*Summary!$T$9/(1-Summary!$T$9),(T359+R359+G359)*Summary!$U$9/(1-Summary!$U$9)))</f>
        <v/>
      </c>
      <c r="W359" s="200" t="str">
        <f aca="false">IF($A360="","",(T359+R359+G359+V359))</f>
        <v/>
      </c>
      <c r="X359" s="200" t="str">
        <f aca="false">IF($A360="","",(U359+S359+H359+V359))</f>
        <v/>
      </c>
      <c r="Y359" s="202"/>
      <c r="Z359" s="185" t="str">
        <f aca="false">IF($A360="","",VLOOKUP($A359,Table,MATCH(Z$4,Curves,0)))</f>
        <v/>
      </c>
      <c r="AA359" s="185" t="str">
        <f aca="false">IF($A360="","",VLOOKUP($A359,Table,MATCH(AA$4,Curves,0)))</f>
        <v/>
      </c>
      <c r="AB359" s="185" t="e">
        <f aca="false">SQRT((AA359^2*(A359-$D$3)+Z359^2*(DAY(EOMONTH(A359,0))/2))/AK359)</f>
        <v>#VALUE!</v>
      </c>
      <c r="AC359" s="185" t="str">
        <f aca="false">IF($A360="","",VLOOKUP($A359,Table,MATCH(AC$4,Curves,0)))</f>
        <v/>
      </c>
      <c r="AD359" s="185" t="str">
        <f aca="false">IF($A360="","",VLOOKUP($A359,Table,MATCH(AD$4,Curves,0)))</f>
        <v/>
      </c>
      <c r="AE359" s="185" t="e">
        <f aca="false">SQRT((AD359^2*(A359-$D$3)+AC359^2*(DAY(EOMONTH(A359,0))/2))/AK359)</f>
        <v>#VALUE!</v>
      </c>
      <c r="AF359" s="224" t="e">
        <f aca="false">((Summary!$N$9*(AA359*AD359)*(A359-$D$3))+(Summary!$M$9*Z359*AC359*(AJ359-EOMONTH(EDATE(A359,-1),0))))/(AK359*AB359*AE359)</f>
        <v>#VALUE!</v>
      </c>
      <c r="AG359" s="207" t="str">
        <f aca="false">IF($A360="","",Summary!$Q$9)</f>
        <v/>
      </c>
      <c r="AH359" s="207" t="str">
        <f aca="false">IF($A360="","",IF(Summary!$R$9="Y",VLOOKUP($A359,Summary!$AD$6:$AF$9,3)+'Escalating commodity'!E372,'Escalating commodity'!E372))</f>
        <v/>
      </c>
      <c r="AI359" s="207" t="str">
        <f aca="false">IF($A360="","",AH359)</f>
        <v/>
      </c>
      <c r="AJ359" s="208" t="e">
        <f aca="false">A359+DAY(EOMONTH(A359,0))/2-1</f>
        <v>#VALUE!</v>
      </c>
      <c r="AK359" s="209" t="str">
        <f aca="false">IF($A360="","",$A359-$E$1)</f>
        <v/>
      </c>
      <c r="AL359" s="182" t="str">
        <f aca="false">IF($A360="","",SPRDOPT(P359,X359,AI359,0,AB359,AE359,AF359,AK359,$AJ$2,0))</f>
        <v/>
      </c>
      <c r="AM359" s="211" t="str">
        <f aca="false">IF($A360="","",MAX(0,O359-W359-AI359))</f>
        <v/>
      </c>
      <c r="AN359" s="211" t="str">
        <f aca="false">IF($A360="","",AL359-AM359)</f>
        <v/>
      </c>
      <c r="AO359" s="137" t="str">
        <f aca="false">IF(A360="","",A360-A359)</f>
        <v/>
      </c>
      <c r="AP359" s="212" t="str">
        <f aca="false">IF(A360="","",CHOOSE(F$3,A360+24,A359))</f>
        <v/>
      </c>
      <c r="AQ359" s="209" t="str">
        <f aca="false">IF(A360="","",AP359-$E$1)</f>
        <v/>
      </c>
      <c r="AR359" s="185" t="n">
        <f aca="false">'ANR OK vs ML7'!AR359</f>
        <v>0.1</v>
      </c>
      <c r="AS359" s="213" t="str">
        <f aca="false">IF(A360="","",1/(1+CHOOSE(F$3,(AR360+($I$3/10000))/2,(AR359+($I$3/10000))/2))^(2*AQ359/365.25))</f>
        <v/>
      </c>
      <c r="AT359" s="137" t="str">
        <f aca="false">IF(A360="","",IF(AND(mthbeg&lt;=A359,mthend&gt;=A359),1,0))</f>
        <v/>
      </c>
      <c r="AU359" s="137" t="str">
        <f aca="false">IF(A360="","",AO359*AT359)</f>
        <v/>
      </c>
      <c r="AW359" s="195" t="str">
        <f aca="false">IF($A360="","",AL359*$E359)</f>
        <v/>
      </c>
      <c r="AX359" s="195" t="str">
        <f aca="false">IF($A360="","",AM359*$E359)</f>
        <v/>
      </c>
      <c r="AY359" s="195" t="str">
        <f aca="false">IF($A360="","",AN359*$E359)</f>
        <v/>
      </c>
      <c r="BA359" s="195" t="str">
        <f aca="false">IF($A360="","",F359*Summary!$Q$9)</f>
        <v/>
      </c>
    </row>
    <row r="360" customFormat="false" ht="12" hidden="false" customHeight="true" outlineLevel="0" collapsed="false">
      <c r="A360" s="196" t="str">
        <f aca="false">IF(A359&lt;mthend,EDATE(A359,1),"")</f>
        <v/>
      </c>
      <c r="B360" s="197" t="str">
        <f aca="false">IF(A360&lt;mthend,B359,"")</f>
        <v/>
      </c>
      <c r="C360" s="215"/>
      <c r="D360" s="197" t="str">
        <f aca="false">IF(A361&lt;&gt;"",B360+C360,"")</f>
        <v/>
      </c>
      <c r="E360" s="199" t="str">
        <f aca="false">IF(A361="","",IF(AND(AT360=1,$H$3=1),D360*AO360,IF($H$3=2,D360,"N/A")))</f>
        <v/>
      </c>
      <c r="F360" s="199" t="str">
        <f aca="false">IF(A361="","",E360*AS360)</f>
        <v/>
      </c>
      <c r="G360" s="200" t="str">
        <f aca="false">IF($A361="","",VLOOKUP($A360,Table,MATCH(G$4,Curves,0)))</f>
        <v/>
      </c>
      <c r="H360" s="201" t="str">
        <f aca="false">IF(A361="","",G360)</f>
        <v/>
      </c>
      <c r="I360" s="202"/>
      <c r="J360" s="200" t="str">
        <f aca="false">IF($A361="","",VLOOKUP($A360,Table,MATCH(J$4,Curves,0)))</f>
        <v/>
      </c>
      <c r="K360" s="201" t="str">
        <f aca="false">IF(A361="","",J360)</f>
        <v/>
      </c>
      <c r="L360" s="200" t="str">
        <f aca="false">IF($A361="","",VLOOKUP($A360,Table,MATCH(L$4,Curves,0)))</f>
        <v/>
      </c>
      <c r="M360" s="201" t="str">
        <f aca="false">IF(A361="","",L360)</f>
        <v/>
      </c>
      <c r="N360" s="203"/>
      <c r="O360" s="200" t="str">
        <f aca="false">IF(A361="","",L360+J360+G360)</f>
        <v/>
      </c>
      <c r="P360" s="200" t="str">
        <f aca="false">IF(A361="","",M360+K360+H360)</f>
        <v/>
      </c>
      <c r="Q360" s="204"/>
      <c r="R360" s="200" t="str">
        <f aca="false">IF($A361="","",VLOOKUP($A360,Table,MATCH(R$4,Curves,0)))</f>
        <v/>
      </c>
      <c r="S360" s="201" t="str">
        <f aca="false">IF(A361="","",R360)</f>
        <v/>
      </c>
      <c r="T360" s="200" t="str">
        <f aca="false">IF($A361="","",VLOOKUP($A360,Table,MATCH(T$4,Curves,0)))</f>
        <v/>
      </c>
      <c r="U360" s="201" t="str">
        <f aca="false">IF(A361="","",T360)</f>
        <v/>
      </c>
      <c r="V360" s="225" t="str">
        <f aca="false">IF($A361="","",IF(AND(MONTH(A360)&gt;3,MONTH(A360)&lt;11),(T360+R360+G360)*Summary!$T$9/(1-Summary!$T$9),(T360+R360+G360)*Summary!$U$9/(1-Summary!$U$9)))</f>
        <v/>
      </c>
      <c r="W360" s="200" t="str">
        <f aca="false">IF($A361="","",(T360+R360+G360+V360))</f>
        <v/>
      </c>
      <c r="X360" s="200" t="str">
        <f aca="false">IF($A361="","",(U360+S360+H360+V360))</f>
        <v/>
      </c>
      <c r="Y360" s="202"/>
      <c r="Z360" s="185" t="str">
        <f aca="false">IF($A361="","",VLOOKUP($A360,Table,MATCH(Z$4,Curves,0)))</f>
        <v/>
      </c>
      <c r="AA360" s="185" t="str">
        <f aca="false">IF($A361="","",VLOOKUP($A360,Table,MATCH(AA$4,Curves,0)))</f>
        <v/>
      </c>
      <c r="AB360" s="185" t="e">
        <f aca="false">SQRT((AA360^2*(A360-$D$3)+Z360^2*(DAY(EOMONTH(A360,0))/2))/AK360)</f>
        <v>#VALUE!</v>
      </c>
      <c r="AC360" s="185" t="str">
        <f aca="false">IF($A361="","",VLOOKUP($A360,Table,MATCH(AC$4,Curves,0)))</f>
        <v/>
      </c>
      <c r="AD360" s="185" t="str">
        <f aca="false">IF($A361="","",VLOOKUP($A360,Table,MATCH(AD$4,Curves,0)))</f>
        <v/>
      </c>
      <c r="AE360" s="185" t="e">
        <f aca="false">SQRT((AD360^2*(A360-$D$3)+AC360^2*(DAY(EOMONTH(A360,0))/2))/AK360)</f>
        <v>#VALUE!</v>
      </c>
      <c r="AF360" s="224" t="e">
        <f aca="false">((Summary!$N$9*(AA360*AD360)*(A360-$D$3))+(Summary!$M$9*Z360*AC360*(AJ360-EOMONTH(EDATE(A360,-1),0))))/(AK360*AB360*AE360)</f>
        <v>#VALUE!</v>
      </c>
      <c r="AG360" s="207" t="str">
        <f aca="false">IF($A361="","",Summary!$Q$9)</f>
        <v/>
      </c>
      <c r="AH360" s="207" t="str">
        <f aca="false">IF($A361="","",IF(Summary!$R$9="Y",VLOOKUP($A360,Summary!$AD$6:$AF$9,3)+'Escalating commodity'!E373,'Escalating commodity'!E373))</f>
        <v/>
      </c>
      <c r="AI360" s="207" t="str">
        <f aca="false">IF($A361="","",AH360)</f>
        <v/>
      </c>
      <c r="AJ360" s="208" t="e">
        <f aca="false">A360+DAY(EOMONTH(A360,0))/2-1</f>
        <v>#VALUE!</v>
      </c>
      <c r="AK360" s="209" t="str">
        <f aca="false">IF($A361="","",$A360-$E$1)</f>
        <v/>
      </c>
      <c r="AL360" s="182" t="str">
        <f aca="false">IF($A361="","",SPRDOPT(P360,X360,AI360,0,AB360,AE360,AF360,AK360,$AJ$2,0))</f>
        <v/>
      </c>
      <c r="AM360" s="211" t="str">
        <f aca="false">IF($A361="","",MAX(0,O360-W360-AI360))</f>
        <v/>
      </c>
      <c r="AN360" s="211" t="str">
        <f aca="false">IF($A361="","",AL360-AM360)</f>
        <v/>
      </c>
      <c r="AO360" s="137" t="str">
        <f aca="false">IF(A361="","",A361-A360)</f>
        <v/>
      </c>
      <c r="AP360" s="212" t="str">
        <f aca="false">IF(A361="","",CHOOSE(F$3,A361+24,A360))</f>
        <v/>
      </c>
      <c r="AQ360" s="209" t="str">
        <f aca="false">IF(A361="","",AP360-$E$1)</f>
        <v/>
      </c>
      <c r="AR360" s="185" t="n">
        <f aca="false">'ANR OK vs ML7'!AR360</f>
        <v>0.1</v>
      </c>
      <c r="AS360" s="213" t="str">
        <f aca="false">IF(A361="","",1/(1+CHOOSE(F$3,(AR361+($I$3/10000))/2,(AR360+($I$3/10000))/2))^(2*AQ360/365.25))</f>
        <v/>
      </c>
      <c r="AT360" s="137" t="str">
        <f aca="false">IF(A361="","",IF(AND(mthbeg&lt;=A360,mthend&gt;=A360),1,0))</f>
        <v/>
      </c>
      <c r="AU360" s="137" t="str">
        <f aca="false">IF(A361="","",AO360*AT360)</f>
        <v/>
      </c>
      <c r="AW360" s="195" t="str">
        <f aca="false">IF($A361="","",AL360*$E360)</f>
        <v/>
      </c>
      <c r="AX360" s="195" t="str">
        <f aca="false">IF($A361="","",AM360*$E360)</f>
        <v/>
      </c>
      <c r="AY360" s="195" t="str">
        <f aca="false">IF($A361="","",AN360*$E360)</f>
        <v/>
      </c>
      <c r="BA360" s="195" t="str">
        <f aca="false">IF($A361="","",F360*Summary!$Q$9)</f>
        <v/>
      </c>
    </row>
    <row r="361" customFormat="false" ht="12" hidden="false" customHeight="true" outlineLevel="0" collapsed="false">
      <c r="A361" s="196" t="str">
        <f aca="false">IF(A360&lt;mthend,EDATE(A360,1),"")</f>
        <v/>
      </c>
      <c r="B361" s="197" t="str">
        <f aca="false">IF(A361&lt;mthend,B360,"")</f>
        <v/>
      </c>
      <c r="C361" s="215"/>
      <c r="D361" s="197" t="str">
        <f aca="false">IF(A362&lt;&gt;"",B361+C361,"")</f>
        <v/>
      </c>
      <c r="E361" s="199" t="str">
        <f aca="false">IF(A362="","",IF(AND(AT361=1,$H$3=1),D361*AO361,IF($H$3=2,D361,"N/A")))</f>
        <v/>
      </c>
      <c r="F361" s="199" t="str">
        <f aca="false">IF(A362="","",E361*AS361)</f>
        <v/>
      </c>
      <c r="G361" s="200" t="str">
        <f aca="false">IF($A362="","",VLOOKUP($A361,Table,MATCH(G$4,Curves,0)))</f>
        <v/>
      </c>
      <c r="H361" s="201" t="str">
        <f aca="false">IF(A362="","",G361)</f>
        <v/>
      </c>
      <c r="I361" s="202"/>
      <c r="J361" s="200" t="str">
        <f aca="false">IF($A362="","",VLOOKUP($A361,Table,MATCH(J$4,Curves,0)))</f>
        <v/>
      </c>
      <c r="K361" s="201" t="str">
        <f aca="false">IF(A362="","",J361)</f>
        <v/>
      </c>
      <c r="L361" s="200" t="str">
        <f aca="false">IF($A362="","",VLOOKUP($A361,Table,MATCH(L$4,Curves,0)))</f>
        <v/>
      </c>
      <c r="M361" s="201" t="str">
        <f aca="false">IF(A362="","",L361)</f>
        <v/>
      </c>
      <c r="N361" s="203"/>
      <c r="O361" s="200" t="str">
        <f aca="false">IF(A362="","",L361+J361+G361)</f>
        <v/>
      </c>
      <c r="P361" s="200" t="str">
        <f aca="false">IF(A362="","",M361+K361+H361)</f>
        <v/>
      </c>
      <c r="Q361" s="204"/>
      <c r="R361" s="200" t="str">
        <f aca="false">IF($A362="","",VLOOKUP($A361,Table,MATCH(R$4,Curves,0)))</f>
        <v/>
      </c>
      <c r="S361" s="201" t="str">
        <f aca="false">IF(A362="","",R361)</f>
        <v/>
      </c>
      <c r="T361" s="200" t="str">
        <f aca="false">IF($A362="","",VLOOKUP($A361,Table,MATCH(T$4,Curves,0)))</f>
        <v/>
      </c>
      <c r="U361" s="201" t="str">
        <f aca="false">IF(A362="","",T361)</f>
        <v/>
      </c>
      <c r="V361" s="225" t="str">
        <f aca="false">IF($A362="","",IF(AND(MONTH(A361)&gt;3,MONTH(A361)&lt;11),(T361+R361+G361)*Summary!$T$9/(1-Summary!$T$9),(T361+R361+G361)*Summary!$U$9/(1-Summary!$U$9)))</f>
        <v/>
      </c>
      <c r="W361" s="200" t="str">
        <f aca="false">IF($A362="","",(T361+R361+G361+V361))</f>
        <v/>
      </c>
      <c r="X361" s="200" t="str">
        <f aca="false">IF($A362="","",(U361+S361+H361+V361))</f>
        <v/>
      </c>
      <c r="Y361" s="202"/>
      <c r="Z361" s="185" t="str">
        <f aca="false">IF($A362="","",VLOOKUP($A361,Table,MATCH(Z$4,Curves,0)))</f>
        <v/>
      </c>
      <c r="AA361" s="185" t="str">
        <f aca="false">IF($A362="","",VLOOKUP($A361,Table,MATCH(AA$4,Curves,0)))</f>
        <v/>
      </c>
      <c r="AB361" s="185" t="e">
        <f aca="false">SQRT((AA361^2*(A361-$D$3)+Z361^2*(DAY(EOMONTH(A361,0))/2))/AK361)</f>
        <v>#VALUE!</v>
      </c>
      <c r="AC361" s="185" t="str">
        <f aca="false">IF($A362="","",VLOOKUP($A361,Table,MATCH(AC$4,Curves,0)))</f>
        <v/>
      </c>
      <c r="AD361" s="185" t="str">
        <f aca="false">IF($A362="","",VLOOKUP($A361,Table,MATCH(AD$4,Curves,0)))</f>
        <v/>
      </c>
      <c r="AE361" s="185" t="e">
        <f aca="false">SQRT((AD361^2*(A361-$D$3)+AC361^2*(DAY(EOMONTH(A361,0))/2))/AK361)</f>
        <v>#VALUE!</v>
      </c>
      <c r="AF361" s="224" t="e">
        <f aca="false">((Summary!$N$9*(AA361*AD361)*(A361-$D$3))+(Summary!$M$9*Z361*AC361*(AJ361-EOMONTH(EDATE(A361,-1),0))))/(AK361*AB361*AE361)</f>
        <v>#VALUE!</v>
      </c>
      <c r="AG361" s="207" t="str">
        <f aca="false">IF($A362="","",Summary!$Q$9)</f>
        <v/>
      </c>
      <c r="AH361" s="207" t="str">
        <f aca="false">IF($A362="","",IF(Summary!$R$9="Y",VLOOKUP($A361,Summary!$AD$6:$AF$9,3)+'Escalating commodity'!E374,'Escalating commodity'!E374))</f>
        <v/>
      </c>
      <c r="AI361" s="207" t="str">
        <f aca="false">IF($A362="","",AH361)</f>
        <v/>
      </c>
      <c r="AJ361" s="208" t="e">
        <f aca="false">A361+DAY(EOMONTH(A361,0))/2-1</f>
        <v>#VALUE!</v>
      </c>
      <c r="AK361" s="209" t="str">
        <f aca="false">IF($A362="","",$A361-$E$1)</f>
        <v/>
      </c>
      <c r="AL361" s="182" t="str">
        <f aca="false">IF($A362="","",SPRDOPT(P361,X361,AI361,0,AB361,AE361,AF361,AK361,$AJ$2,0))</f>
        <v/>
      </c>
      <c r="AM361" s="211" t="str">
        <f aca="false">IF($A362="","",MAX(0,O361-W361-AI361))</f>
        <v/>
      </c>
      <c r="AN361" s="211" t="str">
        <f aca="false">IF($A362="","",AL361-AM361)</f>
        <v/>
      </c>
      <c r="AO361" s="137" t="str">
        <f aca="false">IF(A362="","",A362-A361)</f>
        <v/>
      </c>
      <c r="AP361" s="212" t="str">
        <f aca="false">IF(A362="","",CHOOSE(F$3,A362+24,A361))</f>
        <v/>
      </c>
      <c r="AQ361" s="209" t="str">
        <f aca="false">IF(A362="","",AP361-$E$1)</f>
        <v/>
      </c>
      <c r="AR361" s="185" t="n">
        <f aca="false">'ANR OK vs ML7'!AR361</f>
        <v>0.1</v>
      </c>
      <c r="AS361" s="213" t="str">
        <f aca="false">IF(A362="","",1/(1+CHOOSE(F$3,(AR362+($I$3/10000))/2,(AR361+($I$3/10000))/2))^(2*AQ361/365.25))</f>
        <v/>
      </c>
      <c r="AT361" s="137" t="str">
        <f aca="false">IF(A362="","",IF(AND(mthbeg&lt;=A361,mthend&gt;=A361),1,0))</f>
        <v/>
      </c>
      <c r="AU361" s="137" t="str">
        <f aca="false">IF(A362="","",AO361*AT361)</f>
        <v/>
      </c>
      <c r="AW361" s="195" t="str">
        <f aca="false">IF($A362="","",AL361*$E361)</f>
        <v/>
      </c>
      <c r="AX361" s="195" t="str">
        <f aca="false">IF($A362="","",AM361*$E361)</f>
        <v/>
      </c>
      <c r="AY361" s="195" t="str">
        <f aca="false">IF($A362="","",AN361*$E361)</f>
        <v/>
      </c>
      <c r="BA361" s="195" t="str">
        <f aca="false">IF($A362="","",F361*Summary!$Q$9)</f>
        <v/>
      </c>
    </row>
    <row r="362" customFormat="false" ht="12" hidden="false" customHeight="true" outlineLevel="0" collapsed="false">
      <c r="A362" s="196" t="str">
        <f aca="false">IF(A361&lt;mthend,EDATE(A361,1),"")</f>
        <v/>
      </c>
      <c r="B362" s="197" t="str">
        <f aca="false">IF(A362&lt;mthend,B361,"")</f>
        <v/>
      </c>
      <c r="C362" s="215"/>
      <c r="D362" s="197" t="str">
        <f aca="false">IF(A363&lt;&gt;"",B362+C362,"")</f>
        <v/>
      </c>
      <c r="E362" s="199" t="str">
        <f aca="false">IF(A363="","",IF(AND(AT362=1,$H$3=1),D362*AO362,IF($H$3=2,D362,"N/A")))</f>
        <v/>
      </c>
      <c r="F362" s="199" t="str">
        <f aca="false">IF(A363="","",E362*AS362)</f>
        <v/>
      </c>
      <c r="G362" s="200" t="str">
        <f aca="false">IF($A363="","",VLOOKUP($A362,Table,MATCH(G$4,Curves,0)))</f>
        <v/>
      </c>
      <c r="H362" s="201" t="str">
        <f aca="false">IF(A363="","",G362)</f>
        <v/>
      </c>
      <c r="I362" s="202"/>
      <c r="J362" s="200" t="str">
        <f aca="false">IF($A363="","",VLOOKUP($A362,Table,MATCH(J$4,Curves,0)))</f>
        <v/>
      </c>
      <c r="K362" s="201" t="str">
        <f aca="false">IF(A363="","",J362)</f>
        <v/>
      </c>
      <c r="L362" s="200" t="str">
        <f aca="false">IF($A363="","",VLOOKUP($A362,Table,MATCH(L$4,Curves,0)))</f>
        <v/>
      </c>
      <c r="M362" s="201" t="str">
        <f aca="false">IF(A363="","",L362)</f>
        <v/>
      </c>
      <c r="N362" s="203"/>
      <c r="O362" s="200" t="str">
        <f aca="false">IF(A363="","",L362+J362+G362)</f>
        <v/>
      </c>
      <c r="P362" s="200" t="str">
        <f aca="false">IF(A363="","",M362+K362+H362)</f>
        <v/>
      </c>
      <c r="Q362" s="204"/>
      <c r="R362" s="200" t="str">
        <f aca="false">IF($A363="","",VLOOKUP($A362,Table,MATCH(R$4,Curves,0)))</f>
        <v/>
      </c>
      <c r="S362" s="201" t="str">
        <f aca="false">IF(A363="","",R362)</f>
        <v/>
      </c>
      <c r="T362" s="200" t="str">
        <f aca="false">IF($A363="","",VLOOKUP($A362,Table,MATCH(T$4,Curves,0)))</f>
        <v/>
      </c>
      <c r="U362" s="201" t="str">
        <f aca="false">IF(A363="","",T362)</f>
        <v/>
      </c>
      <c r="V362" s="225" t="str">
        <f aca="false">IF($A363="","",IF(AND(MONTH(A362)&gt;3,MONTH(A362)&lt;11),(T362+R362+G362)*Summary!$T$9/(1-Summary!$T$9),(T362+R362+G362)*Summary!$U$9/(1-Summary!$U$9)))</f>
        <v/>
      </c>
      <c r="W362" s="200" t="str">
        <f aca="false">IF($A363="","",(T362+R362+G362+V362))</f>
        <v/>
      </c>
      <c r="X362" s="200" t="str">
        <f aca="false">IF($A363="","",(U362+S362+H362+V362))</f>
        <v/>
      </c>
      <c r="Y362" s="202"/>
      <c r="Z362" s="185" t="str">
        <f aca="false">IF($A363="","",VLOOKUP($A362,Table,MATCH(Z$4,Curves,0)))</f>
        <v/>
      </c>
      <c r="AA362" s="185" t="str">
        <f aca="false">IF($A363="","",VLOOKUP($A362,Table,MATCH(AA$4,Curves,0)))</f>
        <v/>
      </c>
      <c r="AB362" s="185" t="e">
        <f aca="false">SQRT((AA362^2*(A362-$D$3)+Z362^2*(DAY(EOMONTH(A362,0))/2))/AK362)</f>
        <v>#VALUE!</v>
      </c>
      <c r="AC362" s="185" t="str">
        <f aca="false">IF($A363="","",VLOOKUP($A362,Table,MATCH(AC$4,Curves,0)))</f>
        <v/>
      </c>
      <c r="AD362" s="185" t="str">
        <f aca="false">IF($A363="","",VLOOKUP($A362,Table,MATCH(AD$4,Curves,0)))</f>
        <v/>
      </c>
      <c r="AE362" s="185" t="e">
        <f aca="false">SQRT((AD362^2*(A362-$D$3)+AC362^2*(DAY(EOMONTH(A362,0))/2))/AK362)</f>
        <v>#VALUE!</v>
      </c>
      <c r="AF362" s="224" t="e">
        <f aca="false">((Summary!$N$9*(AA362*AD362)*(A362-$D$3))+(Summary!$M$9*Z362*AC362*(AJ362-EOMONTH(EDATE(A362,-1),0))))/(AK362*AB362*AE362)</f>
        <v>#VALUE!</v>
      </c>
      <c r="AG362" s="207" t="str">
        <f aca="false">IF($A363="","",Summary!$Q$9)</f>
        <v/>
      </c>
      <c r="AH362" s="207" t="str">
        <f aca="false">IF($A363="","",IF(Summary!$R$9="Y",VLOOKUP($A362,Summary!$AD$6:$AF$9,3)+'Escalating commodity'!E375,'Escalating commodity'!E375))</f>
        <v/>
      </c>
      <c r="AI362" s="207" t="str">
        <f aca="false">IF($A363="","",AH362)</f>
        <v/>
      </c>
      <c r="AJ362" s="208" t="e">
        <f aca="false">A362+DAY(EOMONTH(A362,0))/2-1</f>
        <v>#VALUE!</v>
      </c>
      <c r="AK362" s="209" t="str">
        <f aca="false">IF($A363="","",$A362-$E$1)</f>
        <v/>
      </c>
      <c r="AL362" s="182" t="str">
        <f aca="false">IF($A363="","",SPRDOPT(P362,X362,AI362,0,AB362,AE362,AF362,AK362,$AJ$2,0))</f>
        <v/>
      </c>
      <c r="AM362" s="211" t="str">
        <f aca="false">IF($A363="","",MAX(0,O362-W362-AI362))</f>
        <v/>
      </c>
      <c r="AN362" s="211" t="str">
        <f aca="false">IF($A363="","",AL362-AM362)</f>
        <v/>
      </c>
      <c r="AO362" s="137" t="str">
        <f aca="false">IF(A363="","",A363-A362)</f>
        <v/>
      </c>
      <c r="AP362" s="212" t="str">
        <f aca="false">IF(A363="","",CHOOSE(F$3,A363+24,A362))</f>
        <v/>
      </c>
      <c r="AQ362" s="209" t="str">
        <f aca="false">IF(A363="","",AP362-$E$1)</f>
        <v/>
      </c>
      <c r="AR362" s="185" t="n">
        <f aca="false">'ANR OK vs ML7'!AR362</f>
        <v>0.1</v>
      </c>
      <c r="AS362" s="213" t="str">
        <f aca="false">IF(A363="","",1/(1+CHOOSE(F$3,(AR363+($I$3/10000))/2,(AR362+($I$3/10000))/2))^(2*AQ362/365.25))</f>
        <v/>
      </c>
      <c r="AT362" s="137" t="str">
        <f aca="false">IF(A363="","",IF(AND(mthbeg&lt;=A362,mthend&gt;=A362),1,0))</f>
        <v/>
      </c>
      <c r="AU362" s="137" t="str">
        <f aca="false">IF(A363="","",AO362*AT362)</f>
        <v/>
      </c>
      <c r="AW362" s="195" t="str">
        <f aca="false">IF($A363="","",AL362*$E362)</f>
        <v/>
      </c>
      <c r="AX362" s="195" t="str">
        <f aca="false">IF($A363="","",AM362*$E362)</f>
        <v/>
      </c>
      <c r="AY362" s="195" t="str">
        <f aca="false">IF($A363="","",AN362*$E362)</f>
        <v/>
      </c>
      <c r="BA362" s="195" t="str">
        <f aca="false">IF($A363="","",F362*Summary!$Q$9)</f>
        <v/>
      </c>
    </row>
    <row r="363" customFormat="false" ht="12" hidden="false" customHeight="true" outlineLevel="0" collapsed="false">
      <c r="A363" s="196" t="str">
        <f aca="false">IF(A362&lt;mthend,EDATE(A362,1),"")</f>
        <v/>
      </c>
      <c r="B363" s="197" t="str">
        <f aca="false">IF(A363&lt;mthend,B362,"")</f>
        <v/>
      </c>
      <c r="C363" s="215"/>
      <c r="D363" s="197" t="str">
        <f aca="false">IF(A364&lt;&gt;"",B363+C363,"")</f>
        <v/>
      </c>
      <c r="E363" s="199" t="str">
        <f aca="false">IF(A364="","",IF(AND(AT363=1,$H$3=1),D363*AO363,IF($H$3=2,D363,"N/A")))</f>
        <v/>
      </c>
      <c r="F363" s="199" t="str">
        <f aca="false">IF(A364="","",E363*AS363)</f>
        <v/>
      </c>
      <c r="G363" s="200" t="str">
        <f aca="false">IF($A364="","",VLOOKUP($A363,Table,MATCH(G$4,Curves,0)))</f>
        <v/>
      </c>
      <c r="H363" s="201" t="str">
        <f aca="false">IF(A364="","",G363)</f>
        <v/>
      </c>
      <c r="I363" s="202"/>
      <c r="J363" s="200" t="str">
        <f aca="false">IF($A364="","",VLOOKUP($A363,Table,MATCH(J$4,Curves,0)))</f>
        <v/>
      </c>
      <c r="K363" s="201" t="str">
        <f aca="false">IF(A364="","",J363)</f>
        <v/>
      </c>
      <c r="L363" s="200" t="str">
        <f aca="false">IF($A364="","",VLOOKUP($A363,Table,MATCH(L$4,Curves,0)))</f>
        <v/>
      </c>
      <c r="M363" s="201" t="str">
        <f aca="false">IF(A364="","",L363)</f>
        <v/>
      </c>
      <c r="N363" s="203"/>
      <c r="O363" s="200" t="str">
        <f aca="false">IF(A364="","",L363+J363+G363)</f>
        <v/>
      </c>
      <c r="P363" s="200" t="str">
        <f aca="false">IF(A364="","",M363+K363+H363)</f>
        <v/>
      </c>
      <c r="Q363" s="204"/>
      <c r="R363" s="200" t="str">
        <f aca="false">IF($A364="","",VLOOKUP($A363,Table,MATCH(R$4,Curves,0)))</f>
        <v/>
      </c>
      <c r="S363" s="201" t="str">
        <f aca="false">IF(A364="","",R363)</f>
        <v/>
      </c>
      <c r="T363" s="200" t="str">
        <f aca="false">IF($A364="","",VLOOKUP($A363,Table,MATCH(T$4,Curves,0)))</f>
        <v/>
      </c>
      <c r="U363" s="201" t="str">
        <f aca="false">IF(A364="","",T363)</f>
        <v/>
      </c>
      <c r="V363" s="225" t="str">
        <f aca="false">IF($A364="","",IF(AND(MONTH(A363)&gt;3,MONTH(A363)&lt;11),(T363+R363+G363)*Summary!$T$9/(1-Summary!$T$9),(T363+R363+G363)*Summary!$U$9/(1-Summary!$U$9)))</f>
        <v/>
      </c>
      <c r="W363" s="200" t="str">
        <f aca="false">IF($A364="","",(T363+R363+G363+V363))</f>
        <v/>
      </c>
      <c r="X363" s="200" t="str">
        <f aca="false">IF($A364="","",(U363+S363+H363+V363))</f>
        <v/>
      </c>
      <c r="Y363" s="202"/>
      <c r="Z363" s="185" t="str">
        <f aca="false">IF($A364="","",VLOOKUP($A363,Table,MATCH(Z$4,Curves,0)))</f>
        <v/>
      </c>
      <c r="AA363" s="185" t="str">
        <f aca="false">IF($A364="","",VLOOKUP($A363,Table,MATCH(AA$4,Curves,0)))</f>
        <v/>
      </c>
      <c r="AB363" s="185" t="e">
        <f aca="false">SQRT((AA363^2*(A363-$D$3)+Z363^2*(DAY(EOMONTH(A363,0))/2))/AK363)</f>
        <v>#VALUE!</v>
      </c>
      <c r="AC363" s="185" t="str">
        <f aca="false">IF($A364="","",VLOOKUP($A363,Table,MATCH(AC$4,Curves,0)))</f>
        <v/>
      </c>
      <c r="AD363" s="185" t="str">
        <f aca="false">IF($A364="","",VLOOKUP($A363,Table,MATCH(AD$4,Curves,0)))</f>
        <v/>
      </c>
      <c r="AE363" s="185" t="e">
        <f aca="false">SQRT((AD363^2*(A363-$D$3)+AC363^2*(DAY(EOMONTH(A363,0))/2))/AK363)</f>
        <v>#VALUE!</v>
      </c>
      <c r="AF363" s="224" t="e">
        <f aca="false">((Summary!$N$9*(AA363*AD363)*(A363-$D$3))+(Summary!$M$9*Z363*AC363*(AJ363-EOMONTH(EDATE(A363,-1),0))))/(AK363*AB363*AE363)</f>
        <v>#VALUE!</v>
      </c>
      <c r="AG363" s="207" t="str">
        <f aca="false">IF($A364="","",Summary!$Q$9)</f>
        <v/>
      </c>
      <c r="AH363" s="207" t="str">
        <f aca="false">IF($A364="","",IF(Summary!$R$9="Y",VLOOKUP($A363,Summary!$AD$6:$AF$9,3)+'Escalating commodity'!E376,'Escalating commodity'!E376))</f>
        <v/>
      </c>
      <c r="AI363" s="207" t="str">
        <f aca="false">IF($A364="","",AH363)</f>
        <v/>
      </c>
      <c r="AJ363" s="208" t="e">
        <f aca="false">A363+DAY(EOMONTH(A363,0))/2-1</f>
        <v>#VALUE!</v>
      </c>
      <c r="AK363" s="209" t="str">
        <f aca="false">IF($A364="","",$A363-$E$1)</f>
        <v/>
      </c>
      <c r="AL363" s="182" t="str">
        <f aca="false">IF($A364="","",SPRDOPT(P363,X363,AI363,0,AB363,AE363,AF363,AK363,$AJ$2,0))</f>
        <v/>
      </c>
      <c r="AM363" s="211" t="str">
        <f aca="false">IF($A364="","",MAX(0,O363-W363-AI363))</f>
        <v/>
      </c>
      <c r="AN363" s="211" t="str">
        <f aca="false">IF($A364="","",AL363-AM363)</f>
        <v/>
      </c>
      <c r="AO363" s="137" t="str">
        <f aca="false">IF(A364="","",A364-A363)</f>
        <v/>
      </c>
      <c r="AP363" s="212" t="str">
        <f aca="false">IF(A364="","",CHOOSE(F$3,A364+24,A363))</f>
        <v/>
      </c>
      <c r="AQ363" s="209" t="str">
        <f aca="false">IF(A364="","",AP363-$E$1)</f>
        <v/>
      </c>
      <c r="AR363" s="185" t="n">
        <f aca="false">'ANR OK vs ML7'!AR363</f>
        <v>0.1</v>
      </c>
      <c r="AS363" s="213" t="str">
        <f aca="false">IF(A364="","",1/(1+CHOOSE(F$3,(AR364+($I$3/10000))/2,(AR363+($I$3/10000))/2))^(2*AQ363/365.25))</f>
        <v/>
      </c>
      <c r="AT363" s="137" t="str">
        <f aca="false">IF(A364="","",IF(AND(mthbeg&lt;=A363,mthend&gt;=A363),1,0))</f>
        <v/>
      </c>
      <c r="AU363" s="137" t="str">
        <f aca="false">IF(A364="","",AO363*AT363)</f>
        <v/>
      </c>
      <c r="AW363" s="195" t="str">
        <f aca="false">IF($A364="","",AL363*$E363)</f>
        <v/>
      </c>
      <c r="AX363" s="195" t="str">
        <f aca="false">IF($A364="","",AM363*$E363)</f>
        <v/>
      </c>
      <c r="AY363" s="195" t="str">
        <f aca="false">IF($A364="","",AN363*$E363)</f>
        <v/>
      </c>
      <c r="BA363" s="195" t="str">
        <f aca="false">IF($A364="","",F363*Summary!$Q$9)</f>
        <v/>
      </c>
    </row>
    <row r="364" customFormat="false" ht="12" hidden="false" customHeight="true" outlineLevel="0" collapsed="false">
      <c r="A364" s="196" t="str">
        <f aca="false">IF(A363&lt;mthend,EDATE(A363,1),"")</f>
        <v/>
      </c>
      <c r="B364" s="197" t="str">
        <f aca="false">IF(A364&lt;mthend,B363,"")</f>
        <v/>
      </c>
      <c r="C364" s="215"/>
      <c r="D364" s="197" t="str">
        <f aca="false">IF(A365&lt;&gt;"",B364+C364,"")</f>
        <v/>
      </c>
      <c r="E364" s="199" t="str">
        <f aca="false">IF(A365="","",IF(AND(AT364=1,$H$3=1),D364*AO364,IF($H$3=2,D364,"N/A")))</f>
        <v/>
      </c>
      <c r="F364" s="199" t="str">
        <f aca="false">IF(A365="","",E364*AS364)</f>
        <v/>
      </c>
      <c r="G364" s="200" t="str">
        <f aca="false">IF($A365="","",VLOOKUP($A364,Table,MATCH(G$4,Curves,0)))</f>
        <v/>
      </c>
      <c r="H364" s="201" t="str">
        <f aca="false">IF(A365="","",G364)</f>
        <v/>
      </c>
      <c r="I364" s="202"/>
      <c r="J364" s="200" t="str">
        <f aca="false">IF($A365="","",VLOOKUP($A364,Table,MATCH(J$4,Curves,0)))</f>
        <v/>
      </c>
      <c r="K364" s="201" t="str">
        <f aca="false">IF(A365="","",J364)</f>
        <v/>
      </c>
      <c r="L364" s="200" t="str">
        <f aca="false">IF($A365="","",VLOOKUP($A364,Table,MATCH(L$4,Curves,0)))</f>
        <v/>
      </c>
      <c r="M364" s="201" t="str">
        <f aca="false">IF(A365="","",L364)</f>
        <v/>
      </c>
      <c r="N364" s="203"/>
      <c r="O364" s="200" t="str">
        <f aca="false">IF(A365="","",L364+J364+G364)</f>
        <v/>
      </c>
      <c r="P364" s="200" t="str">
        <f aca="false">IF(A365="","",M364+K364+H364)</f>
        <v/>
      </c>
      <c r="Q364" s="204"/>
      <c r="R364" s="200" t="str">
        <f aca="false">IF($A365="","",VLOOKUP($A364,Table,MATCH(R$4,Curves,0)))</f>
        <v/>
      </c>
      <c r="S364" s="201" t="str">
        <f aca="false">IF(A365="","",R364)</f>
        <v/>
      </c>
      <c r="T364" s="200" t="str">
        <f aca="false">IF($A365="","",VLOOKUP($A364,Table,MATCH(T$4,Curves,0)))</f>
        <v/>
      </c>
      <c r="U364" s="201" t="str">
        <f aca="false">IF(A365="","",T364)</f>
        <v/>
      </c>
      <c r="V364" s="225" t="str">
        <f aca="false">IF($A365="","",IF(AND(MONTH(A364)&gt;3,MONTH(A364)&lt;11),(T364+R364+G364)*Summary!$T$9/(1-Summary!$T$9),(T364+R364+G364)*Summary!$U$9/(1-Summary!$U$9)))</f>
        <v/>
      </c>
      <c r="W364" s="200" t="str">
        <f aca="false">IF($A365="","",(T364+R364+G364+V364))</f>
        <v/>
      </c>
      <c r="X364" s="200" t="str">
        <f aca="false">IF($A365="","",(U364+S364+H364+V364))</f>
        <v/>
      </c>
      <c r="Y364" s="202"/>
      <c r="Z364" s="185" t="str">
        <f aca="false">IF($A365="","",VLOOKUP($A364,Table,MATCH(Z$4,Curves,0)))</f>
        <v/>
      </c>
      <c r="AA364" s="185" t="str">
        <f aca="false">IF($A365="","",VLOOKUP($A364,Table,MATCH(AA$4,Curves,0)))</f>
        <v/>
      </c>
      <c r="AB364" s="185" t="e">
        <f aca="false">SQRT((AA364^2*(A364-$D$3)+Z364^2*(DAY(EOMONTH(A364,0))/2))/AK364)</f>
        <v>#VALUE!</v>
      </c>
      <c r="AC364" s="185" t="str">
        <f aca="false">IF($A365="","",VLOOKUP($A364,Table,MATCH(AC$4,Curves,0)))</f>
        <v/>
      </c>
      <c r="AD364" s="185" t="str">
        <f aca="false">IF($A365="","",VLOOKUP($A364,Table,MATCH(AD$4,Curves,0)))</f>
        <v/>
      </c>
      <c r="AE364" s="185" t="e">
        <f aca="false">SQRT((AD364^2*(A364-$D$3)+AC364^2*(DAY(EOMONTH(A364,0))/2))/AK364)</f>
        <v>#VALUE!</v>
      </c>
      <c r="AF364" s="224" t="e">
        <f aca="false">((Summary!$N$9*(AA364*AD364)*(A364-$D$3))+(Summary!$M$9*Z364*AC364*(AJ364-EOMONTH(EDATE(A364,-1),0))))/(AK364*AB364*AE364)</f>
        <v>#VALUE!</v>
      </c>
      <c r="AG364" s="207" t="str">
        <f aca="false">IF($A365="","",Summary!$Q$9)</f>
        <v/>
      </c>
      <c r="AH364" s="207" t="str">
        <f aca="false">IF($A365="","",IF(Summary!$R$9="Y",VLOOKUP($A364,Summary!$AD$6:$AF$9,3)+'Escalating commodity'!E377,'Escalating commodity'!E377))</f>
        <v/>
      </c>
      <c r="AI364" s="207" t="str">
        <f aca="false">IF($A365="","",AH364)</f>
        <v/>
      </c>
      <c r="AJ364" s="208" t="e">
        <f aca="false">A364+DAY(EOMONTH(A364,0))/2-1</f>
        <v>#VALUE!</v>
      </c>
      <c r="AK364" s="209" t="str">
        <f aca="false">IF($A365="","",$A364-$E$1)</f>
        <v/>
      </c>
      <c r="AL364" s="182" t="str">
        <f aca="false">IF($A365="","",SPRDOPT(P364,X364,AI364,0,AB364,AE364,AF364,AK364,$AJ$2,0))</f>
        <v/>
      </c>
      <c r="AM364" s="211" t="str">
        <f aca="false">IF($A365="","",MAX(0,O364-W364-AI364))</f>
        <v/>
      </c>
      <c r="AN364" s="211" t="str">
        <f aca="false">IF($A365="","",AL364-AM364)</f>
        <v/>
      </c>
      <c r="AO364" s="137" t="str">
        <f aca="false">IF(A365="","",A365-A364)</f>
        <v/>
      </c>
      <c r="AP364" s="212" t="str">
        <f aca="false">IF(A365="","",CHOOSE(F$3,A365+24,A364))</f>
        <v/>
      </c>
      <c r="AQ364" s="209" t="str">
        <f aca="false">IF(A365="","",AP364-$E$1)</f>
        <v/>
      </c>
      <c r="AR364" s="185" t="n">
        <f aca="false">'ANR OK vs ML7'!AR364</f>
        <v>0.1</v>
      </c>
      <c r="AS364" s="213" t="str">
        <f aca="false">IF(A365="","",1/(1+CHOOSE(F$3,(AR365+($I$3/10000))/2,(AR364+($I$3/10000))/2))^(2*AQ364/365.25))</f>
        <v/>
      </c>
      <c r="AT364" s="137" t="str">
        <f aca="false">IF(A365="","",IF(AND(mthbeg&lt;=A364,mthend&gt;=A364),1,0))</f>
        <v/>
      </c>
      <c r="AU364" s="137" t="str">
        <f aca="false">IF(A365="","",AO364*AT364)</f>
        <v/>
      </c>
      <c r="AW364" s="195" t="str">
        <f aca="false">IF($A365="","",AL364*$E364)</f>
        <v/>
      </c>
      <c r="AX364" s="195" t="str">
        <f aca="false">IF($A365="","",AM364*$E364)</f>
        <v/>
      </c>
      <c r="AY364" s="195" t="str">
        <f aca="false">IF($A365="","",AN364*$E364)</f>
        <v/>
      </c>
      <c r="BA364" s="195" t="str">
        <f aca="false">IF($A365="","",F364*Summary!$Q$9)</f>
        <v/>
      </c>
    </row>
    <row r="365" customFormat="false" ht="12" hidden="false" customHeight="true" outlineLevel="0" collapsed="false">
      <c r="A365" s="196" t="str">
        <f aca="false">IF(A364&lt;mthend,EDATE(A364,1),"")</f>
        <v/>
      </c>
      <c r="B365" s="197" t="str">
        <f aca="false">IF(A365&lt;mthend,B364,"")</f>
        <v/>
      </c>
      <c r="C365" s="215"/>
      <c r="D365" s="197" t="str">
        <f aca="false">IF(A366&lt;&gt;"",B365+C365,"")</f>
        <v/>
      </c>
      <c r="E365" s="199" t="str">
        <f aca="false">IF(A366="","",IF(AND(AT365=1,$H$3=1),D365*AO365,IF($H$3=2,D365,"N/A")))</f>
        <v/>
      </c>
      <c r="F365" s="199" t="str">
        <f aca="false">IF(A366="","",E365*AS365)</f>
        <v/>
      </c>
      <c r="G365" s="200" t="str">
        <f aca="false">IF($A366="","",VLOOKUP($A365,Table,MATCH(G$4,Curves,0)))</f>
        <v/>
      </c>
      <c r="H365" s="201" t="str">
        <f aca="false">IF(A366="","",G365)</f>
        <v/>
      </c>
      <c r="I365" s="202"/>
      <c r="J365" s="200" t="str">
        <f aca="false">IF($A366="","",VLOOKUP($A365,Table,MATCH(J$4,Curves,0)))</f>
        <v/>
      </c>
      <c r="K365" s="201" t="str">
        <f aca="false">IF(A366="","",J365)</f>
        <v/>
      </c>
      <c r="L365" s="200" t="str">
        <f aca="false">IF($A366="","",VLOOKUP($A365,Table,MATCH(L$4,Curves,0)))</f>
        <v/>
      </c>
      <c r="M365" s="201" t="str">
        <f aca="false">IF(A366="","",L365)</f>
        <v/>
      </c>
      <c r="N365" s="203"/>
      <c r="O365" s="200" t="str">
        <f aca="false">IF(A366="","",L365+J365+G365)</f>
        <v/>
      </c>
      <c r="P365" s="200" t="str">
        <f aca="false">IF(A366="","",M365+K365+H365)</f>
        <v/>
      </c>
      <c r="Q365" s="204"/>
      <c r="R365" s="200" t="str">
        <f aca="false">IF($A366="","",VLOOKUP($A365,Table,MATCH(R$4,Curves,0)))</f>
        <v/>
      </c>
      <c r="S365" s="201" t="str">
        <f aca="false">IF(A366="","",R365)</f>
        <v/>
      </c>
      <c r="T365" s="200" t="str">
        <f aca="false">IF($A366="","",VLOOKUP($A365,Table,MATCH(T$4,Curves,0)))</f>
        <v/>
      </c>
      <c r="U365" s="201" t="str">
        <f aca="false">IF(A366="","",T365)</f>
        <v/>
      </c>
      <c r="V365" s="225" t="str">
        <f aca="false">IF($A366="","",IF(AND(MONTH(A365)&gt;3,MONTH(A365)&lt;11),(T365+R365+G365)*Summary!$T$9/(1-Summary!$T$9),(T365+R365+G365)*Summary!$U$9/(1-Summary!$U$9)))</f>
        <v/>
      </c>
      <c r="W365" s="200" t="str">
        <f aca="false">IF($A366="","",(T365+R365+G365+V365))</f>
        <v/>
      </c>
      <c r="X365" s="200" t="str">
        <f aca="false">IF($A366="","",(U365+S365+H365+V365))</f>
        <v/>
      </c>
      <c r="Y365" s="202"/>
      <c r="Z365" s="185" t="str">
        <f aca="false">IF($A366="","",VLOOKUP($A365,Table,MATCH(Z$4,Curves,0)))</f>
        <v/>
      </c>
      <c r="AA365" s="185" t="str">
        <f aca="false">IF($A366="","",VLOOKUP($A365,Table,MATCH(AA$4,Curves,0)))</f>
        <v/>
      </c>
      <c r="AB365" s="185" t="e">
        <f aca="false">SQRT((AA365^2*(A365-$D$3)+Z365^2*(DAY(EOMONTH(A365,0))/2))/AK365)</f>
        <v>#VALUE!</v>
      </c>
      <c r="AC365" s="185" t="str">
        <f aca="false">IF($A366="","",VLOOKUP($A365,Table,MATCH(AC$4,Curves,0)))</f>
        <v/>
      </c>
      <c r="AD365" s="185" t="str">
        <f aca="false">IF($A366="","",VLOOKUP($A365,Table,MATCH(AD$4,Curves,0)))</f>
        <v/>
      </c>
      <c r="AE365" s="185" t="e">
        <f aca="false">SQRT((AD365^2*(A365-$D$3)+AC365^2*(DAY(EOMONTH(A365,0))/2))/AK365)</f>
        <v>#VALUE!</v>
      </c>
      <c r="AF365" s="224" t="e">
        <f aca="false">((Summary!$N$9*(AA365*AD365)*(A365-$D$3))+(Summary!$M$9*Z365*AC365*(AJ365-EOMONTH(EDATE(A365,-1),0))))/(AK365*AB365*AE365)</f>
        <v>#VALUE!</v>
      </c>
      <c r="AG365" s="207" t="str">
        <f aca="false">IF($A366="","",Summary!$Q$9)</f>
        <v/>
      </c>
      <c r="AH365" s="207" t="str">
        <f aca="false">IF($A366="","",IF(Summary!$R$9="Y",VLOOKUP($A365,Summary!$AD$6:$AF$9,3)+'Escalating commodity'!E378,'Escalating commodity'!E378))</f>
        <v/>
      </c>
      <c r="AI365" s="207" t="str">
        <f aca="false">IF($A366="","",AH365)</f>
        <v/>
      </c>
      <c r="AJ365" s="208" t="e">
        <f aca="false">A365+DAY(EOMONTH(A365,0))/2-1</f>
        <v>#VALUE!</v>
      </c>
      <c r="AK365" s="209" t="str">
        <f aca="false">IF($A366="","",$A365-$E$1)</f>
        <v/>
      </c>
      <c r="AL365" s="182" t="str">
        <f aca="false">IF($A366="","",SPRDOPT(P365,X365,AI365,0,AB365,AE365,AF365,AK365,$AJ$2,0))</f>
        <v/>
      </c>
      <c r="AM365" s="211" t="str">
        <f aca="false">IF($A366="","",MAX(0,O365-W365-AI365))</f>
        <v/>
      </c>
      <c r="AN365" s="211" t="str">
        <f aca="false">IF($A366="","",AL365-AM365)</f>
        <v/>
      </c>
      <c r="AO365" s="137" t="str">
        <f aca="false">IF(A366="","",A366-A365)</f>
        <v/>
      </c>
      <c r="AP365" s="212" t="str">
        <f aca="false">IF(A366="","",CHOOSE(F$3,A366+24,A365))</f>
        <v/>
      </c>
      <c r="AQ365" s="209" t="str">
        <f aca="false">IF(A366="","",AP365-$E$1)</f>
        <v/>
      </c>
      <c r="AR365" s="185" t="n">
        <f aca="false">'ANR OK vs ML7'!AR365</f>
        <v>0.1</v>
      </c>
      <c r="AS365" s="213" t="str">
        <f aca="false">IF(A366="","",1/(1+CHOOSE(F$3,(AR366+($I$3/10000))/2,(AR365+($I$3/10000))/2))^(2*AQ365/365.25))</f>
        <v/>
      </c>
      <c r="AT365" s="137" t="str">
        <f aca="false">IF(A366="","",IF(AND(mthbeg&lt;=A365,mthend&gt;=A365),1,0))</f>
        <v/>
      </c>
      <c r="AU365" s="137" t="str">
        <f aca="false">IF(A366="","",AO365*AT365)</f>
        <v/>
      </c>
      <c r="AW365" s="195" t="str">
        <f aca="false">IF($A366="","",AL365*$E365)</f>
        <v/>
      </c>
      <c r="AX365" s="195" t="str">
        <f aca="false">IF($A366="","",AM365*$E365)</f>
        <v/>
      </c>
      <c r="AY365" s="195" t="str">
        <f aca="false">IF($A366="","",AN365*$E365)</f>
        <v/>
      </c>
      <c r="BA365" s="195" t="str">
        <f aca="false">IF($A366="","",F365*Summary!$Q$9)</f>
        <v/>
      </c>
    </row>
    <row r="366" customFormat="false" ht="12" hidden="false" customHeight="true" outlineLevel="0" collapsed="false">
      <c r="A366" s="196" t="str">
        <f aca="false">IF(A365&lt;mthend,EDATE(A365,1),"")</f>
        <v/>
      </c>
      <c r="B366" s="197" t="str">
        <f aca="false">IF(A366&lt;mthend,B365,"")</f>
        <v/>
      </c>
      <c r="C366" s="215"/>
      <c r="D366" s="197" t="str">
        <f aca="false">IF(A367&lt;&gt;"",B366+C366,"")</f>
        <v/>
      </c>
      <c r="E366" s="199" t="str">
        <f aca="false">IF(A367="","",IF(AND(AT366=1,$H$3=1),D366*AO366,IF($H$3=2,D366,"N/A")))</f>
        <v/>
      </c>
      <c r="F366" s="199" t="str">
        <f aca="false">IF(A367="","",E366*AS366)</f>
        <v/>
      </c>
      <c r="G366" s="200" t="str">
        <f aca="false">IF($A367="","",VLOOKUP($A366,Table,MATCH(G$4,Curves,0)))</f>
        <v/>
      </c>
      <c r="H366" s="201" t="str">
        <f aca="false">IF(A367="","",G366)</f>
        <v/>
      </c>
      <c r="I366" s="202"/>
      <c r="J366" s="200" t="str">
        <f aca="false">IF($A367="","",VLOOKUP($A366,Table,MATCH(J$4,Curves,0)))</f>
        <v/>
      </c>
      <c r="K366" s="201" t="str">
        <f aca="false">IF(A367="","",J366)</f>
        <v/>
      </c>
      <c r="L366" s="200" t="str">
        <f aca="false">IF($A367="","",VLOOKUP($A366,Table,MATCH(L$4,Curves,0)))</f>
        <v/>
      </c>
      <c r="M366" s="201" t="str">
        <f aca="false">IF(A367="","",L366)</f>
        <v/>
      </c>
      <c r="N366" s="203"/>
      <c r="O366" s="200" t="str">
        <f aca="false">IF(A367="","",L366+J366+G366)</f>
        <v/>
      </c>
      <c r="P366" s="200" t="str">
        <f aca="false">IF(A367="","",M366+K366+H366)</f>
        <v/>
      </c>
      <c r="Q366" s="204"/>
      <c r="R366" s="200" t="str">
        <f aca="false">IF($A367="","",VLOOKUP($A366,Table,MATCH(R$4,Curves,0)))</f>
        <v/>
      </c>
      <c r="S366" s="201" t="str">
        <f aca="false">IF(A367="","",R366)</f>
        <v/>
      </c>
      <c r="T366" s="200" t="str">
        <f aca="false">IF($A367="","",VLOOKUP($A366,Table,MATCH(T$4,Curves,0)))</f>
        <v/>
      </c>
      <c r="U366" s="201" t="str">
        <f aca="false">IF(A367="","",T366)</f>
        <v/>
      </c>
      <c r="V366" s="225" t="str">
        <f aca="false">IF($A367="","",IF(AND(MONTH(A366)&gt;3,MONTH(A366)&lt;11),(T366+R366+G366)*Summary!$T$9/(1-Summary!$T$9),(T366+R366+G366)*Summary!$U$9/(1-Summary!$U$9)))</f>
        <v/>
      </c>
      <c r="W366" s="200" t="str">
        <f aca="false">IF($A367="","",(T366+R366+G366+V366))</f>
        <v/>
      </c>
      <c r="X366" s="200" t="str">
        <f aca="false">IF($A367="","",(U366+S366+H366+V366))</f>
        <v/>
      </c>
      <c r="Y366" s="202"/>
      <c r="Z366" s="185" t="str">
        <f aca="false">IF($A367="","",VLOOKUP($A366,Table,MATCH(Z$4,Curves,0)))</f>
        <v/>
      </c>
      <c r="AA366" s="185" t="str">
        <f aca="false">IF($A367="","",VLOOKUP($A366,Table,MATCH(AA$4,Curves,0)))</f>
        <v/>
      </c>
      <c r="AB366" s="185" t="e">
        <f aca="false">SQRT((AA366^2*(A366-$D$3)+Z366^2*(DAY(EOMONTH(A366,0))/2))/AK366)</f>
        <v>#VALUE!</v>
      </c>
      <c r="AC366" s="185" t="str">
        <f aca="false">IF($A367="","",VLOOKUP($A366,Table,MATCH(AC$4,Curves,0)))</f>
        <v/>
      </c>
      <c r="AD366" s="185" t="str">
        <f aca="false">IF($A367="","",VLOOKUP($A366,Table,MATCH(AD$4,Curves,0)))</f>
        <v/>
      </c>
      <c r="AE366" s="185" t="e">
        <f aca="false">SQRT((AD366^2*(A366-$D$3)+AC366^2*(DAY(EOMONTH(A366,0))/2))/AK366)</f>
        <v>#VALUE!</v>
      </c>
      <c r="AF366" s="224" t="e">
        <f aca="false">((Summary!$N$9*(AA366*AD366)*(A366-$D$3))+(Summary!$M$9*Z366*AC366*(AJ366-EOMONTH(EDATE(A366,-1),0))))/(AK366*AB366*AE366)</f>
        <v>#VALUE!</v>
      </c>
      <c r="AG366" s="207" t="str">
        <f aca="false">IF($A367="","",Summary!$Q$9)</f>
        <v/>
      </c>
      <c r="AH366" s="207" t="str">
        <f aca="false">IF($A367="","",IF(Summary!$R$9="Y",VLOOKUP($A366,Summary!$AD$6:$AF$9,3)+'Escalating commodity'!E379,'Escalating commodity'!E379))</f>
        <v/>
      </c>
      <c r="AI366" s="207" t="str">
        <f aca="false">IF($A367="","",AH366)</f>
        <v/>
      </c>
      <c r="AJ366" s="208" t="e">
        <f aca="false">A366+DAY(EOMONTH(A366,0))/2-1</f>
        <v>#VALUE!</v>
      </c>
      <c r="AK366" s="209" t="str">
        <f aca="false">IF($A367="","",$A366-$E$1)</f>
        <v/>
      </c>
      <c r="AL366" s="182" t="str">
        <f aca="false">IF($A367="","",SPRDOPT(P366,X366,AI366,0,AB366,AE366,AF366,AK366,$AJ$2,0))</f>
        <v/>
      </c>
      <c r="AM366" s="211" t="str">
        <f aca="false">IF($A367="","",MAX(0,O366-W366-AI366))</f>
        <v/>
      </c>
      <c r="AN366" s="211" t="str">
        <f aca="false">IF($A367="","",AL366-AM366)</f>
        <v/>
      </c>
      <c r="AO366" s="137" t="str">
        <f aca="false">IF(A367="","",A367-A366)</f>
        <v/>
      </c>
      <c r="AP366" s="212" t="str">
        <f aca="false">IF(A367="","",CHOOSE(F$3,A367+24,A366))</f>
        <v/>
      </c>
      <c r="AQ366" s="209" t="str">
        <f aca="false">IF(A367="","",AP366-$E$1)</f>
        <v/>
      </c>
      <c r="AR366" s="185" t="n">
        <f aca="false">'ANR OK vs ML7'!AR366</f>
        <v>0.1</v>
      </c>
      <c r="AS366" s="213" t="str">
        <f aca="false">IF(A367="","",1/(1+CHOOSE(F$3,(AR367+($I$3/10000))/2,(AR366+($I$3/10000))/2))^(2*AQ366/365.25))</f>
        <v/>
      </c>
      <c r="AT366" s="137" t="str">
        <f aca="false">IF(A367="","",IF(AND(mthbeg&lt;=A366,mthend&gt;=A366),1,0))</f>
        <v/>
      </c>
      <c r="AU366" s="137" t="str">
        <f aca="false">IF(A367="","",AO366*AT366)</f>
        <v/>
      </c>
      <c r="AW366" s="195" t="str">
        <f aca="false">IF($A367="","",AL366*$E366)</f>
        <v/>
      </c>
      <c r="AX366" s="195" t="str">
        <f aca="false">IF($A367="","",AM366*$E366)</f>
        <v/>
      </c>
      <c r="AY366" s="195" t="str">
        <f aca="false">IF($A367="","",AN366*$E366)</f>
        <v/>
      </c>
      <c r="BA366" s="195" t="str">
        <f aca="false">IF($A367="","",F366*Summary!$Q$9)</f>
        <v/>
      </c>
    </row>
    <row r="367" customFormat="false" ht="12" hidden="false" customHeight="true" outlineLevel="0" collapsed="false">
      <c r="A367" s="196" t="str">
        <f aca="false">IF(A366&lt;mthend,EDATE(A366,1),"")</f>
        <v/>
      </c>
      <c r="B367" s="197" t="str">
        <f aca="false">IF(A367&lt;mthend,B366,"")</f>
        <v/>
      </c>
      <c r="C367" s="215"/>
      <c r="D367" s="197" t="str">
        <f aca="false">IF(A368&lt;&gt;"",B367+C367,"")</f>
        <v/>
      </c>
      <c r="E367" s="199" t="str">
        <f aca="false">IF(A368="","",IF(AND(AT367=1,$H$3=1),D367*AO367,IF($H$3=2,D367,"N/A")))</f>
        <v/>
      </c>
      <c r="F367" s="199" t="str">
        <f aca="false">IF(A368="","",E367*AS367)</f>
        <v/>
      </c>
      <c r="G367" s="200" t="str">
        <f aca="false">IF($A368="","",VLOOKUP($A367,Table,MATCH(G$4,Curves,0)))</f>
        <v/>
      </c>
      <c r="H367" s="201" t="str">
        <f aca="false">IF(A368="","",G367)</f>
        <v/>
      </c>
      <c r="I367" s="202"/>
      <c r="J367" s="200" t="str">
        <f aca="false">IF($A368="","",VLOOKUP($A367,Table,MATCH(J$4,Curves,0)))</f>
        <v/>
      </c>
      <c r="K367" s="201" t="str">
        <f aca="false">IF(A368="","",J367)</f>
        <v/>
      </c>
      <c r="L367" s="200" t="str">
        <f aca="false">IF($A368="","",VLOOKUP($A367,Table,MATCH(L$4,Curves,0)))</f>
        <v/>
      </c>
      <c r="M367" s="201" t="str">
        <f aca="false">IF(A368="","",L367)</f>
        <v/>
      </c>
      <c r="N367" s="203"/>
      <c r="O367" s="200" t="str">
        <f aca="false">IF(A368="","",L367+J367+G367)</f>
        <v/>
      </c>
      <c r="P367" s="200" t="str">
        <f aca="false">IF(A368="","",M367+K367+H367)</f>
        <v/>
      </c>
      <c r="Q367" s="204"/>
      <c r="R367" s="200" t="str">
        <f aca="false">IF($A368="","",VLOOKUP($A367,Table,MATCH(R$4,Curves,0)))</f>
        <v/>
      </c>
      <c r="S367" s="201" t="str">
        <f aca="false">IF(A368="","",R367)</f>
        <v/>
      </c>
      <c r="T367" s="200" t="str">
        <f aca="false">IF($A368="","",VLOOKUP($A367,Table,MATCH(T$4,Curves,0)))</f>
        <v/>
      </c>
      <c r="U367" s="201" t="str">
        <f aca="false">IF(A368="","",T367)</f>
        <v/>
      </c>
      <c r="V367" s="225" t="str">
        <f aca="false">IF($A368="","",IF(AND(MONTH(A367)&gt;3,MONTH(A367)&lt;11),(T367+R367+G367)*Summary!$T$9/(1-Summary!$T$9),(T367+R367+G367)*Summary!$U$9/(1-Summary!$U$9)))</f>
        <v/>
      </c>
      <c r="W367" s="200" t="str">
        <f aca="false">IF($A368="","",(T367+R367+G367+V367))</f>
        <v/>
      </c>
      <c r="X367" s="200" t="str">
        <f aca="false">IF($A368="","",(U367+S367+H367+V367))</f>
        <v/>
      </c>
      <c r="Y367" s="202"/>
      <c r="Z367" s="185" t="str">
        <f aca="false">IF($A368="","",VLOOKUP($A367,Table,MATCH(Z$4,Curves,0)))</f>
        <v/>
      </c>
      <c r="AA367" s="185" t="str">
        <f aca="false">IF($A368="","",VLOOKUP($A367,Table,MATCH(AA$4,Curves,0)))</f>
        <v/>
      </c>
      <c r="AB367" s="185" t="e">
        <f aca="false">SQRT((AA367^2*(A367-$D$3)+Z367^2*(DAY(EOMONTH(A367,0))/2))/AK367)</f>
        <v>#VALUE!</v>
      </c>
      <c r="AC367" s="185" t="str">
        <f aca="false">IF($A368="","",VLOOKUP($A367,Table,MATCH(AC$4,Curves,0)))</f>
        <v/>
      </c>
      <c r="AD367" s="185" t="str">
        <f aca="false">IF($A368="","",VLOOKUP($A367,Table,MATCH(AD$4,Curves,0)))</f>
        <v/>
      </c>
      <c r="AE367" s="185" t="e">
        <f aca="false">SQRT((AD367^2*(A367-$D$3)+AC367^2*(DAY(EOMONTH(A367,0))/2))/AK367)</f>
        <v>#VALUE!</v>
      </c>
      <c r="AF367" s="224" t="e">
        <f aca="false">((Summary!$N$9*(AA367*AD367)*(A367-$D$3))+(Summary!$M$9*Z367*AC367*(AJ367-EOMONTH(EDATE(A367,-1),0))))/(AK367*AB367*AE367)</f>
        <v>#VALUE!</v>
      </c>
      <c r="AG367" s="207" t="str">
        <f aca="false">IF($A368="","",Summary!$Q$9)</f>
        <v/>
      </c>
      <c r="AH367" s="207" t="str">
        <f aca="false">IF($A368="","",IF(Summary!$R$9="Y",VLOOKUP($A367,Summary!$AD$6:$AF$9,3)+'Escalating commodity'!E380,'Escalating commodity'!E380))</f>
        <v/>
      </c>
      <c r="AI367" s="207" t="str">
        <f aca="false">IF($A368="","",AH367)</f>
        <v/>
      </c>
      <c r="AJ367" s="208" t="e">
        <f aca="false">A367+DAY(EOMONTH(A367,0))/2-1</f>
        <v>#VALUE!</v>
      </c>
      <c r="AK367" s="209" t="str">
        <f aca="false">IF($A368="","",$A367-$E$1)</f>
        <v/>
      </c>
      <c r="AL367" s="182" t="str">
        <f aca="false">IF($A368="","",SPRDOPT(P367,X367,AI367,0,AB367,AE367,AF367,AK367,$AJ$2,0))</f>
        <v/>
      </c>
      <c r="AM367" s="211" t="str">
        <f aca="false">IF($A368="","",MAX(0,O367-W367-AI367))</f>
        <v/>
      </c>
      <c r="AN367" s="211" t="str">
        <f aca="false">IF($A368="","",AL367-AM367)</f>
        <v/>
      </c>
      <c r="AO367" s="137" t="str">
        <f aca="false">IF(A368="","",A368-A367)</f>
        <v/>
      </c>
      <c r="AP367" s="212" t="str">
        <f aca="false">IF(A368="","",CHOOSE(F$3,A368+24,A367))</f>
        <v/>
      </c>
      <c r="AQ367" s="209" t="str">
        <f aca="false">IF(A368="","",AP367-$E$1)</f>
        <v/>
      </c>
      <c r="AR367" s="185" t="n">
        <f aca="false">'ANR OK vs ML7'!AR367</f>
        <v>0.1</v>
      </c>
      <c r="AS367" s="213" t="str">
        <f aca="false">IF(A368="","",1/(1+CHOOSE(F$3,(AR368+($I$3/10000))/2,(AR367+($I$3/10000))/2))^(2*AQ367/365.25))</f>
        <v/>
      </c>
      <c r="AT367" s="137" t="str">
        <f aca="false">IF(A368="","",IF(AND(mthbeg&lt;=A367,mthend&gt;=A367),1,0))</f>
        <v/>
      </c>
      <c r="AU367" s="137" t="str">
        <f aca="false">IF(A368="","",AO367*AT367)</f>
        <v/>
      </c>
      <c r="AW367" s="195" t="str">
        <f aca="false">IF($A368="","",AL367*$E367)</f>
        <v/>
      </c>
      <c r="AX367" s="195" t="str">
        <f aca="false">IF($A368="","",AM367*$E367)</f>
        <v/>
      </c>
      <c r="AY367" s="195" t="str">
        <f aca="false">IF($A368="","",AN367*$E367)</f>
        <v/>
      </c>
      <c r="BA367" s="195" t="str">
        <f aca="false">IF($A368="","",F367*Summary!$Q$9)</f>
        <v/>
      </c>
    </row>
    <row r="368" customFormat="false" ht="12" hidden="false" customHeight="true" outlineLevel="0" collapsed="false">
      <c r="A368" s="196" t="str">
        <f aca="false">IF(A367&lt;mthend,EDATE(A367,1),"")</f>
        <v/>
      </c>
      <c r="B368" s="197" t="str">
        <f aca="false">IF(A368&lt;mthend,B367,"")</f>
        <v/>
      </c>
      <c r="C368" s="215"/>
      <c r="D368" s="197" t="str">
        <f aca="false">IF(A369&lt;&gt;"",B368+C368,"")</f>
        <v/>
      </c>
      <c r="E368" s="199" t="str">
        <f aca="false">IF(A369="","",IF(AND(AT368=1,$H$3=1),D368*AO368,IF($H$3=2,D368,"N/A")))</f>
        <v/>
      </c>
      <c r="F368" s="199" t="str">
        <f aca="false">IF(A369="","",E368*AS368)</f>
        <v/>
      </c>
      <c r="G368" s="200" t="str">
        <f aca="false">IF($A369="","",VLOOKUP($A368,Table,MATCH(G$4,Curves,0)))</f>
        <v/>
      </c>
      <c r="H368" s="201" t="str">
        <f aca="false">IF(A369="","",G368)</f>
        <v/>
      </c>
      <c r="I368" s="202"/>
      <c r="J368" s="200" t="str">
        <f aca="false">IF($A369="","",VLOOKUP($A368,Table,MATCH(J$4,Curves,0)))</f>
        <v/>
      </c>
      <c r="K368" s="201" t="str">
        <f aca="false">IF(A369="","",J368)</f>
        <v/>
      </c>
      <c r="L368" s="200" t="str">
        <f aca="false">IF($A369="","",VLOOKUP($A368,Table,MATCH(L$4,Curves,0)))</f>
        <v/>
      </c>
      <c r="M368" s="201" t="str">
        <f aca="false">IF(A369="","",L368)</f>
        <v/>
      </c>
      <c r="N368" s="203"/>
      <c r="O368" s="200" t="str">
        <f aca="false">IF(A369="","",L368+J368+G368)</f>
        <v/>
      </c>
      <c r="P368" s="200" t="str">
        <f aca="false">IF(A369="","",M368+K368+H368)</f>
        <v/>
      </c>
      <c r="Q368" s="204"/>
      <c r="R368" s="200" t="str">
        <f aca="false">IF($A369="","",VLOOKUP($A368,Table,MATCH(R$4,Curves,0)))</f>
        <v/>
      </c>
      <c r="S368" s="201" t="str">
        <f aca="false">IF(A369="","",R368)</f>
        <v/>
      </c>
      <c r="T368" s="200" t="str">
        <f aca="false">IF($A369="","",VLOOKUP($A368,Table,MATCH(T$4,Curves,0)))</f>
        <v/>
      </c>
      <c r="U368" s="201" t="str">
        <f aca="false">IF(A369="","",T368)</f>
        <v/>
      </c>
      <c r="V368" s="225" t="str">
        <f aca="false">IF($A369="","",IF(AND(MONTH(A368)&gt;3,MONTH(A368)&lt;11),(T368+R368+G368)*Summary!$T$9/(1-Summary!$T$9),(T368+R368+G368)*Summary!$U$9/(1-Summary!$U$9)))</f>
        <v/>
      </c>
      <c r="W368" s="200" t="str">
        <f aca="false">IF($A369="","",(T368+R368+G368+V368))</f>
        <v/>
      </c>
      <c r="X368" s="200" t="str">
        <f aca="false">IF($A369="","",(U368+S368+H368+V368))</f>
        <v/>
      </c>
      <c r="Y368" s="202"/>
      <c r="Z368" s="185" t="str">
        <f aca="false">IF($A369="","",VLOOKUP($A368,Table,MATCH(Z$4,Curves,0)))</f>
        <v/>
      </c>
      <c r="AA368" s="185" t="str">
        <f aca="false">IF($A369="","",VLOOKUP($A368,Table,MATCH(AA$4,Curves,0)))</f>
        <v/>
      </c>
      <c r="AB368" s="185" t="e">
        <f aca="false">SQRT((AA368^2*(A368-$D$3)+Z368^2*(DAY(EOMONTH(A368,0))/2))/AK368)</f>
        <v>#VALUE!</v>
      </c>
      <c r="AC368" s="185" t="str">
        <f aca="false">IF($A369="","",VLOOKUP($A368,Table,MATCH(AC$4,Curves,0)))</f>
        <v/>
      </c>
      <c r="AD368" s="185" t="str">
        <f aca="false">IF($A369="","",VLOOKUP($A368,Table,MATCH(AD$4,Curves,0)))</f>
        <v/>
      </c>
      <c r="AE368" s="185" t="e">
        <f aca="false">SQRT((AD368^2*(A368-$D$3)+AC368^2*(DAY(EOMONTH(A368,0))/2))/AK368)</f>
        <v>#VALUE!</v>
      </c>
      <c r="AF368" s="224" t="e">
        <f aca="false">((Summary!$N$9*(AA368*AD368)*(A368-$D$3))+(Summary!$M$9*Z368*AC368*(AJ368-EOMONTH(EDATE(A368,-1),0))))/(AK368*AB368*AE368)</f>
        <v>#VALUE!</v>
      </c>
      <c r="AG368" s="207" t="str">
        <f aca="false">IF($A369="","",Summary!$Q$9)</f>
        <v/>
      </c>
      <c r="AH368" s="207" t="str">
        <f aca="false">IF($A369="","",IF(Summary!$R$9="Y",VLOOKUP($A368,Summary!$AD$6:$AF$9,3)+'Escalating commodity'!E381,'Escalating commodity'!E381))</f>
        <v/>
      </c>
      <c r="AI368" s="207" t="str">
        <f aca="false">IF($A369="","",AH368)</f>
        <v/>
      </c>
      <c r="AJ368" s="208" t="e">
        <f aca="false">A368+DAY(EOMONTH(A368,0))/2-1</f>
        <v>#VALUE!</v>
      </c>
      <c r="AK368" s="209" t="str">
        <f aca="false">IF($A369="","",$A368-$E$1)</f>
        <v/>
      </c>
      <c r="AL368" s="182" t="str">
        <f aca="false">IF($A369="","",SPRDOPT(P368,X368,AI368,0,AB368,AE368,AF368,AK368,$AJ$2,0))</f>
        <v/>
      </c>
      <c r="AM368" s="211" t="str">
        <f aca="false">IF($A369="","",MAX(0,O368-W368-AI368))</f>
        <v/>
      </c>
      <c r="AN368" s="211" t="str">
        <f aca="false">IF($A369="","",AL368-AM368)</f>
        <v/>
      </c>
      <c r="AO368" s="137" t="str">
        <f aca="false">IF(A369="","",A369-A368)</f>
        <v/>
      </c>
      <c r="AP368" s="212" t="str">
        <f aca="false">IF(A369="","",CHOOSE(F$3,A369+24,A368))</f>
        <v/>
      </c>
      <c r="AQ368" s="209" t="str">
        <f aca="false">IF(A369="","",AP368-$E$1)</f>
        <v/>
      </c>
      <c r="AR368" s="185" t="n">
        <f aca="false">'ANR OK vs ML7'!AR368</f>
        <v>0.1</v>
      </c>
      <c r="AS368" s="213" t="str">
        <f aca="false">IF(A369="","",1/(1+CHOOSE(F$3,(AR369+($I$3/10000))/2,(AR368+($I$3/10000))/2))^(2*AQ368/365.25))</f>
        <v/>
      </c>
      <c r="AT368" s="137" t="str">
        <f aca="false">IF(A369="","",IF(AND(mthbeg&lt;=A368,mthend&gt;=A368),1,0))</f>
        <v/>
      </c>
      <c r="AU368" s="137" t="str">
        <f aca="false">IF(A369="","",AO368*AT368)</f>
        <v/>
      </c>
      <c r="AW368" s="195" t="str">
        <f aca="false">IF($A369="","",AL368*$E368)</f>
        <v/>
      </c>
      <c r="AX368" s="195" t="str">
        <f aca="false">IF($A369="","",AM368*$E368)</f>
        <v/>
      </c>
      <c r="AY368" s="195" t="str">
        <f aca="false">IF($A369="","",AN368*$E368)</f>
        <v/>
      </c>
      <c r="BA368" s="195" t="str">
        <f aca="false">IF($A369="","",F368*Summary!$Q$9)</f>
        <v/>
      </c>
    </row>
    <row r="369" customFormat="false" ht="12" hidden="false" customHeight="true" outlineLevel="0" collapsed="false">
      <c r="A369" s="196" t="str">
        <f aca="false">IF(A368&lt;mthend,EDATE(A368,1),"")</f>
        <v/>
      </c>
      <c r="B369" s="197" t="str">
        <f aca="false">IF(A369&lt;mthend,B368,"")</f>
        <v/>
      </c>
      <c r="C369" s="215"/>
      <c r="D369" s="197" t="str">
        <f aca="false">IF(A370&lt;&gt;"",B369+C369,"")</f>
        <v/>
      </c>
      <c r="E369" s="199" t="str">
        <f aca="false">IF(A370="","",IF(AND(AT369=1,$H$3=1),D369*AO369,IF($H$3=2,D369,"N/A")))</f>
        <v/>
      </c>
      <c r="F369" s="199" t="str">
        <f aca="false">IF(A370="","",E369*AS369)</f>
        <v/>
      </c>
      <c r="G369" s="200" t="str">
        <f aca="false">IF($A370="","",VLOOKUP($A369,Table,MATCH(G$4,Curves,0)))</f>
        <v/>
      </c>
      <c r="H369" s="201" t="str">
        <f aca="false">IF(A370="","",G369)</f>
        <v/>
      </c>
      <c r="I369" s="202"/>
      <c r="J369" s="200" t="str">
        <f aca="false">IF($A370="","",VLOOKUP($A369,Table,MATCH(J$4,Curves,0)))</f>
        <v/>
      </c>
      <c r="K369" s="201" t="str">
        <f aca="false">IF(A370="","",J369)</f>
        <v/>
      </c>
      <c r="L369" s="200" t="str">
        <f aca="false">IF($A370="","",VLOOKUP($A369,Table,MATCH(L$4,Curves,0)))</f>
        <v/>
      </c>
      <c r="M369" s="201" t="str">
        <f aca="false">IF(A370="","",L369)</f>
        <v/>
      </c>
      <c r="N369" s="203"/>
      <c r="O369" s="200" t="str">
        <f aca="false">IF(A370="","",L369+J369+G369)</f>
        <v/>
      </c>
      <c r="P369" s="200" t="str">
        <f aca="false">IF(A370="","",M369+K369+H369)</f>
        <v/>
      </c>
      <c r="Q369" s="204"/>
      <c r="R369" s="200" t="str">
        <f aca="false">IF($A370="","",VLOOKUP($A369,Table,MATCH(R$4,Curves,0)))</f>
        <v/>
      </c>
      <c r="S369" s="201" t="str">
        <f aca="false">IF(A370="","",R369)</f>
        <v/>
      </c>
      <c r="T369" s="200" t="str">
        <f aca="false">IF($A370="","",VLOOKUP($A369,Table,MATCH(T$4,Curves,0)))</f>
        <v/>
      </c>
      <c r="U369" s="201" t="str">
        <f aca="false">IF(A370="","",T369)</f>
        <v/>
      </c>
      <c r="V369" s="225" t="str">
        <f aca="false">IF($A370="","",IF(AND(MONTH(A369)&gt;3,MONTH(A369)&lt;11),(T369+R369+G369)*Summary!$T$9/(1-Summary!$T$9),(T369+R369+G369)*Summary!$U$9/(1-Summary!$U$9)))</f>
        <v/>
      </c>
      <c r="W369" s="200" t="str">
        <f aca="false">IF($A370="","",(T369+R369+G369+V369))</f>
        <v/>
      </c>
      <c r="X369" s="200" t="str">
        <f aca="false">IF($A370="","",(U369+S369+H369+V369))</f>
        <v/>
      </c>
      <c r="Y369" s="202"/>
      <c r="Z369" s="185" t="str">
        <f aca="false">IF($A370="","",VLOOKUP($A369,Table,MATCH(Z$4,Curves,0)))</f>
        <v/>
      </c>
      <c r="AA369" s="185" t="str">
        <f aca="false">IF($A370="","",VLOOKUP($A369,Table,MATCH(AA$4,Curves,0)))</f>
        <v/>
      </c>
      <c r="AB369" s="185" t="e">
        <f aca="false">SQRT((AA369^2*(A369-$D$3)+Z369^2*(DAY(EOMONTH(A369,0))/2))/AK369)</f>
        <v>#VALUE!</v>
      </c>
      <c r="AC369" s="185" t="str">
        <f aca="false">IF($A370="","",VLOOKUP($A369,Table,MATCH(AC$4,Curves,0)))</f>
        <v/>
      </c>
      <c r="AD369" s="185" t="str">
        <f aca="false">IF($A370="","",VLOOKUP($A369,Table,MATCH(AD$4,Curves,0)))</f>
        <v/>
      </c>
      <c r="AE369" s="185" t="e">
        <f aca="false">SQRT((AD369^2*(A369-$D$3)+AC369^2*(DAY(EOMONTH(A369,0))/2))/AK369)</f>
        <v>#VALUE!</v>
      </c>
      <c r="AF369" s="224" t="e">
        <f aca="false">((Summary!$N$9*(AA369*AD369)*(A369-$D$3))+(Summary!$M$9*Z369*AC369*(AJ369-EOMONTH(EDATE(A369,-1),0))))/(AK369*AB369*AE369)</f>
        <v>#VALUE!</v>
      </c>
      <c r="AG369" s="207" t="str">
        <f aca="false">IF($A370="","",Summary!$Q$9)</f>
        <v/>
      </c>
      <c r="AH369" s="207" t="str">
        <f aca="false">IF($A370="","",IF(Summary!$R$9="Y",VLOOKUP($A369,Summary!$AD$6:$AF$9,3)+'Escalating commodity'!E382,'Escalating commodity'!E382))</f>
        <v/>
      </c>
      <c r="AI369" s="207" t="str">
        <f aca="false">IF($A370="","",AH369)</f>
        <v/>
      </c>
      <c r="AJ369" s="208" t="e">
        <f aca="false">A369+DAY(EOMONTH(A369,0))/2-1</f>
        <v>#VALUE!</v>
      </c>
      <c r="AK369" s="209" t="str">
        <f aca="false">IF($A370="","",$A369-$E$1)</f>
        <v/>
      </c>
      <c r="AL369" s="182" t="str">
        <f aca="false">IF($A370="","",SPRDOPT(P369,X369,AI369,0,AB369,AE369,AF369,AK369,$AJ$2,0))</f>
        <v/>
      </c>
      <c r="AM369" s="211" t="str">
        <f aca="false">IF($A370="","",MAX(0,O369-W369-AI369))</f>
        <v/>
      </c>
      <c r="AN369" s="211" t="str">
        <f aca="false">IF($A370="","",AL369-AM369)</f>
        <v/>
      </c>
      <c r="AO369" s="137" t="str">
        <f aca="false">IF(A370="","",A370-A369)</f>
        <v/>
      </c>
      <c r="AP369" s="212" t="str">
        <f aca="false">IF(A370="","",CHOOSE(F$3,A370+24,A369))</f>
        <v/>
      </c>
      <c r="AQ369" s="209" t="str">
        <f aca="false">IF(A370="","",AP369-$E$1)</f>
        <v/>
      </c>
      <c r="AR369" s="185" t="n">
        <f aca="false">'ANR OK vs ML7'!AR369</f>
        <v>0.1</v>
      </c>
      <c r="AS369" s="213" t="str">
        <f aca="false">IF(A370="","",1/(1+CHOOSE(F$3,(AR370+($I$3/10000))/2,(AR369+($I$3/10000))/2))^(2*AQ369/365.25))</f>
        <v/>
      </c>
      <c r="AT369" s="137" t="str">
        <f aca="false">IF(A370="","",IF(AND(mthbeg&lt;=A369,mthend&gt;=A369),1,0))</f>
        <v/>
      </c>
      <c r="AU369" s="137" t="str">
        <f aca="false">IF(A370="","",AO369*AT369)</f>
        <v/>
      </c>
      <c r="AW369" s="195" t="str">
        <f aca="false">IF($A370="","",AL369*$E369)</f>
        <v/>
      </c>
      <c r="AX369" s="195" t="str">
        <f aca="false">IF($A370="","",AM369*$E369)</f>
        <v/>
      </c>
      <c r="AY369" s="195" t="str">
        <f aca="false">IF($A370="","",AN369*$E369)</f>
        <v/>
      </c>
      <c r="BA369" s="195" t="str">
        <f aca="false">IF($A370="","",F369*Summary!$Q$9)</f>
        <v/>
      </c>
    </row>
    <row r="370" customFormat="false" ht="12.75" hidden="false" customHeight="false" outlineLevel="0" collapsed="false">
      <c r="A370" s="196" t="str">
        <f aca="false">IF(A369&lt;mthend,EDATE(A369,1),"")</f>
        <v/>
      </c>
      <c r="B370" s="197" t="str">
        <f aca="false">IF(A370&lt;mthend,B369,"")</f>
        <v/>
      </c>
      <c r="C370" s="216"/>
      <c r="D370" s="197" t="str">
        <f aca="false">IF(A371&lt;&gt;"",B370+C370,"")</f>
        <v/>
      </c>
      <c r="E370" s="199" t="str">
        <f aca="false">IF(A371="","",IF(AND(AT370=1,$H$3=1),D370*AO370,IF($H$3=2,D370,"N/A")))</f>
        <v/>
      </c>
      <c r="F370" s="199" t="str">
        <f aca="false">IF(A371="","",E370*AS370)</f>
        <v/>
      </c>
      <c r="G370" s="200" t="str">
        <f aca="false">IF($A371="","",VLOOKUP($A370,Table,MATCH(G$4,Curves,0)))</f>
        <v/>
      </c>
      <c r="H370" s="201" t="str">
        <f aca="false">IF(A371="","",G370)</f>
        <v/>
      </c>
      <c r="J370" s="200" t="str">
        <f aca="false">IF($A371="","",VLOOKUP($A370,Table,MATCH(J$4,Curves,0)))</f>
        <v/>
      </c>
      <c r="K370" s="201" t="str">
        <f aca="false">IF(A371="","",J370)</f>
        <v/>
      </c>
      <c r="L370" s="200" t="str">
        <f aca="false">IF($A371="","",VLOOKUP($A370,Table,MATCH(L$4,Curves,0)))</f>
        <v/>
      </c>
      <c r="M370" s="201" t="str">
        <f aca="false">IF(A371="","",L370)</f>
        <v/>
      </c>
      <c r="O370" s="200" t="str">
        <f aca="false">IF(A371="","",L370+J370+G370)</f>
        <v/>
      </c>
      <c r="P370" s="200" t="str">
        <f aca="false">IF(A371="","",M370+K370+H370)</f>
        <v/>
      </c>
      <c r="R370" s="200" t="str">
        <f aca="false">IF($A371="","",VLOOKUP($A370,Table,MATCH(R$4,Curves,0)))</f>
        <v/>
      </c>
      <c r="S370" s="201" t="str">
        <f aca="false">IF(A371="","",R370)</f>
        <v/>
      </c>
      <c r="T370" s="200" t="str">
        <f aca="false">IF($A371="","",VLOOKUP($A370,Table,MATCH(T$4,Curves,0)))</f>
        <v/>
      </c>
      <c r="U370" s="201" t="str">
        <f aca="false">IF(A371="","",T370)</f>
        <v/>
      </c>
      <c r="V370" s="225" t="str">
        <f aca="false">IF($A371="","",IF(AND(MONTH(A370)&gt;3,MONTH(A370)&lt;11),(T370+R370+G370)*Summary!$T$9/(1-Summary!$T$9),(T370+R370+G370)*Summary!$U$9/(1-Summary!$U$9)))</f>
        <v/>
      </c>
      <c r="W370" s="200" t="str">
        <f aca="false">IF($A371="","",(T370+R370+G370+V370))</f>
        <v/>
      </c>
      <c r="X370" s="200" t="str">
        <f aca="false">IF($A371="","",(U370+S370+H370+V370))</f>
        <v/>
      </c>
      <c r="Y370" s="202"/>
      <c r="Z370" s="185"/>
      <c r="AA370" s="21"/>
      <c r="AB370" s="21"/>
      <c r="AC370" s="21"/>
      <c r="AD370" s="21"/>
      <c r="AE370" s="21"/>
      <c r="AF370" s="21"/>
      <c r="AG370" s="182"/>
      <c r="AH370" s="182"/>
      <c r="AI370" s="182"/>
      <c r="AO370" s="137" t="str">
        <f aca="false">IF(A371="","",A371-A370)</f>
        <v/>
      </c>
      <c r="AP370" s="212" t="str">
        <f aca="false">IF(A371="","",CHOOSE(F$3,A371+24,A370))</f>
        <v/>
      </c>
      <c r="AQ370" s="209" t="str">
        <f aca="false">IF(A371="","",AP370-$E$1)</f>
        <v/>
      </c>
      <c r="AR370" s="185" t="n">
        <f aca="false">'ANR OK vs ML7'!AR370</f>
        <v>0.1</v>
      </c>
      <c r="AS370" s="213" t="str">
        <f aca="false">IF(A371="","",1/(1+CHOOSE(F$3,(AR371+($I$3/10000))/2,(AR370+($I$3/10000))/2))^(2*AQ370/365.25))</f>
        <v/>
      </c>
      <c r="AT370" s="137" t="str">
        <f aca="false">IF(A371="","",IF(AND(mthbeg&lt;=A370,mthend&gt;=A370),1,0))</f>
        <v/>
      </c>
      <c r="AU370" s="137" t="str">
        <f aca="false">IF(A371="","",AO370*AT370)</f>
        <v/>
      </c>
      <c r="AW370" s="195" t="str">
        <f aca="false">IF($A371="","",AL370*$E370)</f>
        <v/>
      </c>
      <c r="AX370" s="195" t="str">
        <f aca="false">IF($A371="","",AM370*$E370)</f>
        <v/>
      </c>
      <c r="AY370" s="195" t="str">
        <f aca="false">IF($A371="","",AN370*$E370)</f>
        <v/>
      </c>
      <c r="BA370" s="195" t="str">
        <f aca="false">IF($A371="","",F370*Summary!$Q$9)</f>
        <v/>
      </c>
    </row>
    <row r="371" customFormat="false" ht="12.75" hidden="false" customHeight="false" outlineLevel="0" collapsed="false">
      <c r="A371" s="196" t="str">
        <f aca="false">IF(A370&lt;mthend,EDATE(A370,1),"")</f>
        <v/>
      </c>
      <c r="B371" s="197" t="str">
        <f aca="false">IF(A371&lt;mthend,B370,"")</f>
        <v/>
      </c>
      <c r="D371" s="197" t="str">
        <f aca="false">IF(A372&lt;&gt;"",B371+C371,"")</f>
        <v/>
      </c>
      <c r="E371" s="199" t="str">
        <f aca="false">IF(A372="","",IF(AND(AT371=1,$H$3=1),D371*AO371,IF($H$3=2,D371,"N/A")))</f>
        <v/>
      </c>
      <c r="F371" s="199" t="str">
        <f aca="false">IF(A372="","",E371*AS371)</f>
        <v/>
      </c>
      <c r="G371" s="200" t="str">
        <f aca="false">IF($A372="","",VLOOKUP($A371,Table,MATCH(G$4,Curves,0)))</f>
        <v/>
      </c>
      <c r="H371" s="201" t="str">
        <f aca="false">IF(A372="","",G371)</f>
        <v/>
      </c>
      <c r="J371" s="200" t="str">
        <f aca="false">IF($A372="","",VLOOKUP($A371,Table,MATCH(J$4,Curves,0)))</f>
        <v/>
      </c>
      <c r="K371" s="201" t="str">
        <f aca="false">IF(A372="","",J371)</f>
        <v/>
      </c>
      <c r="L371" s="200" t="str">
        <f aca="false">IF($A372="","",VLOOKUP($A371,Table,MATCH(L$4,Curves,0)))</f>
        <v/>
      </c>
      <c r="M371" s="201" t="str">
        <f aca="false">IF(A372="","",L371)</f>
        <v/>
      </c>
      <c r="O371" s="200" t="str">
        <f aca="false">IF(A372="","",L371+J371+G371)</f>
        <v/>
      </c>
      <c r="P371" s="200" t="str">
        <f aca="false">IF(A372="","",M371+K371+H371)</f>
        <v/>
      </c>
      <c r="R371" s="200" t="str">
        <f aca="false">IF($A372="","",VLOOKUP($A371,Table,MATCH(R$4,Curves,0)))</f>
        <v/>
      </c>
      <c r="S371" s="201" t="str">
        <f aca="false">IF(A372="","",R371)</f>
        <v/>
      </c>
      <c r="T371" s="200" t="str">
        <f aca="false">IF($A372="","",VLOOKUP($A371,Table,MATCH(T$4,Curves,0)))</f>
        <v/>
      </c>
      <c r="U371" s="201" t="str">
        <f aca="false">IF(A372="","",T371)</f>
        <v/>
      </c>
      <c r="V371" s="225" t="str">
        <f aca="false">IF($A372="","",IF(AND(MONTH(A371)&gt;3,MONTH(A371)&lt;11),(T371+R371+G371)*Summary!$T$9/(1-Summary!$T$9),(T371+R371+G371)*Summary!$U$9/(1-Summary!$U$9)))</f>
        <v/>
      </c>
      <c r="W371" s="200" t="str">
        <f aca="false">IF($A372="","",(T371+R371+G371+V371))</f>
        <v/>
      </c>
      <c r="X371" s="200" t="str">
        <f aca="false">IF($A372="","",(U371+S371+H371+V371))</f>
        <v/>
      </c>
      <c r="Y371" s="202"/>
      <c r="Z371" s="185"/>
      <c r="AG371" s="182"/>
      <c r="AH371" s="182"/>
      <c r="AI371" s="182"/>
      <c r="AJ371" s="217"/>
      <c r="AK371" s="217"/>
      <c r="AL371" s="217"/>
      <c r="AM371" s="217"/>
      <c r="AN371" s="217"/>
      <c r="AO371" s="137" t="str">
        <f aca="false">IF(A372="","",A372-A371)</f>
        <v/>
      </c>
      <c r="AP371" s="212" t="str">
        <f aca="false">IF(A372="","",CHOOSE(F$3,A372+24,A371))</f>
        <v/>
      </c>
      <c r="AQ371" s="209" t="str">
        <f aca="false">IF(A372="","",AP371-$E$1)</f>
        <v/>
      </c>
      <c r="AR371" s="185" t="n">
        <f aca="false">'ANR OK vs ML7'!AR371</f>
        <v>0.1</v>
      </c>
      <c r="AS371" s="213" t="str">
        <f aca="false">IF(A372="","",1/(1+CHOOSE(F$3,(AR372+($I$3/10000))/2,(AR371+($I$3/10000))/2))^(2*AQ371/365.25))</f>
        <v/>
      </c>
      <c r="AT371" s="137" t="str">
        <f aca="false">IF(A372="","",IF(AND(mthbeg&lt;=A371,mthend&gt;=A371),1,0))</f>
        <v/>
      </c>
      <c r="AU371" s="137" t="str">
        <f aca="false">IF(A372="","",AO371*AT371)</f>
        <v/>
      </c>
      <c r="AW371" s="195" t="str">
        <f aca="false">IF($A372="","",AL371*$E371)</f>
        <v/>
      </c>
      <c r="AX371" s="195" t="str">
        <f aca="false">IF($A372="","",AM371*$E371)</f>
        <v/>
      </c>
      <c r="AY371" s="195" t="str">
        <f aca="false">IF($A372="","",AN371*$E371)</f>
        <v/>
      </c>
      <c r="BA371" s="195" t="str">
        <f aca="false">IF($A372="","",F371*Summary!$Q$9)</f>
        <v/>
      </c>
    </row>
    <row r="372" customFormat="false" ht="12.75" hidden="false" customHeight="false" outlineLevel="0" collapsed="false">
      <c r="A372" s="196" t="str">
        <f aca="false">IF(A371&lt;mthend,EDATE(A371,1),"")</f>
        <v/>
      </c>
      <c r="B372" s="197" t="str">
        <f aca="false">IF(A372&lt;mthend,B371,"")</f>
        <v/>
      </c>
      <c r="D372" s="197" t="str">
        <f aca="false">IF(A373&lt;&gt;"",B372+C372,"")</f>
        <v/>
      </c>
      <c r="E372" s="199" t="str">
        <f aca="false">IF(A373="","",IF(AND(AT372=1,$H$3=1),D372*AO372,IF($H$3=2,D372,"N/A")))</f>
        <v/>
      </c>
      <c r="F372" s="199" t="str">
        <f aca="false">IF(A373="","",E372*AS372)</f>
        <v/>
      </c>
      <c r="G372" s="200" t="str">
        <f aca="false">IF($A373="","",VLOOKUP($A372,Table,MATCH(G$4,Curves,0)))</f>
        <v/>
      </c>
      <c r="H372" s="201" t="str">
        <f aca="false">IF(A373="","",G372)</f>
        <v/>
      </c>
      <c r="J372" s="200" t="str">
        <f aca="false">IF($A373="","",VLOOKUP($A372,Table,MATCH(J$4,Curves,0)))</f>
        <v/>
      </c>
      <c r="K372" s="201" t="str">
        <f aca="false">IF(A373="","",J372)</f>
        <v/>
      </c>
      <c r="L372" s="200" t="str">
        <f aca="false">IF($A373="","",VLOOKUP($A372,Table,MATCH(L$4,Curves,0)))</f>
        <v/>
      </c>
      <c r="M372" s="201" t="str">
        <f aca="false">IF(A373="","",L372)</f>
        <v/>
      </c>
      <c r="O372" s="200" t="str">
        <f aca="false">IF(A373="","",L372+J372+G372)</f>
        <v/>
      </c>
      <c r="P372" s="200" t="str">
        <f aca="false">IF(A373="","",M372+K372+H372)</f>
        <v/>
      </c>
      <c r="R372" s="200" t="str">
        <f aca="false">IF($A373="","",VLOOKUP($A372,Table,MATCH(R$4,Curves,0)))</f>
        <v/>
      </c>
      <c r="S372" s="201" t="str">
        <f aca="false">IF(A373="","",R372)</f>
        <v/>
      </c>
      <c r="T372" s="200" t="str">
        <f aca="false">IF($A373="","",VLOOKUP($A372,Table,MATCH(T$4,Curves,0)))</f>
        <v/>
      </c>
      <c r="U372" s="201" t="str">
        <f aca="false">IF(A373="","",T372)</f>
        <v/>
      </c>
      <c r="V372" s="225" t="str">
        <f aca="false">IF($A373="","",IF(AND(MONTH(A372)&gt;3,MONTH(A372)&lt;11),(T372+R372+G372)*Summary!$T$9/(1-Summary!$T$9),(T372+R372+G372)*Summary!$U$9/(1-Summary!$U$9)))</f>
        <v/>
      </c>
      <c r="W372" s="200" t="str">
        <f aca="false">IF($A373="","",(T372+R372+G372+V372))</f>
        <v/>
      </c>
      <c r="X372" s="200" t="str">
        <f aca="false">IF($A373="","",(U372+S372+H372+V372))</f>
        <v/>
      </c>
      <c r="Y372" s="202"/>
      <c r="Z372" s="185"/>
      <c r="AG372" s="182"/>
      <c r="AH372" s="182"/>
      <c r="AI372" s="182"/>
      <c r="AJ372" s="218"/>
      <c r="AK372" s="218"/>
      <c r="AL372" s="218"/>
      <c r="AM372" s="218"/>
      <c r="AN372" s="218"/>
      <c r="AO372" s="137" t="str">
        <f aca="false">IF(A373="","",A373-A372)</f>
        <v/>
      </c>
      <c r="AP372" s="212" t="str">
        <f aca="false">IF(A373="","",CHOOSE(F$3,A373+24,A372))</f>
        <v/>
      </c>
      <c r="AQ372" s="209" t="str">
        <f aca="false">IF(A373="","",AP372-$E$1)</f>
        <v/>
      </c>
      <c r="AR372" s="185" t="n">
        <f aca="false">'ANR OK vs ML7'!AR372</f>
        <v>0.1</v>
      </c>
      <c r="AS372" s="213" t="str">
        <f aca="false">IF(A373="","",1/(1+CHOOSE(F$3,(AR373+($I$3/10000))/2,(AR372+($I$3/10000))/2))^(2*AQ372/365.25))</f>
        <v/>
      </c>
      <c r="AT372" s="137" t="str">
        <f aca="false">IF(A373="","",IF(AND(mthbeg&lt;=A372,mthend&gt;=A372),1,0))</f>
        <v/>
      </c>
      <c r="AU372" s="137" t="str">
        <f aca="false">IF(A373="","",AO372*AT372)</f>
        <v/>
      </c>
      <c r="AW372" s="195" t="str">
        <f aca="false">IF($A373="","",AL372*$E372)</f>
        <v/>
      </c>
      <c r="AX372" s="195" t="str">
        <f aca="false">IF($A373="","",AM372*$E372)</f>
        <v/>
      </c>
      <c r="AY372" s="195" t="str">
        <f aca="false">IF($A373="","",AN372*$E372)</f>
        <v/>
      </c>
      <c r="BA372" s="195" t="str">
        <f aca="false">IF($A373="","",F372*Summary!$Q$9)</f>
        <v/>
      </c>
    </row>
    <row r="373" customFormat="false" ht="12.75" hidden="false" customHeight="false" outlineLevel="0" collapsed="false">
      <c r="A373" s="196" t="str">
        <f aca="false">IF(A372&lt;mthend,EDATE(A372,1),"")</f>
        <v/>
      </c>
      <c r="B373" s="197" t="str">
        <f aca="false">IF(A373&lt;mthend,B372,"")</f>
        <v/>
      </c>
      <c r="D373" s="197" t="str">
        <f aca="false">IF(A374&lt;&gt;"",B373+C373,"")</f>
        <v/>
      </c>
      <c r="E373" s="199" t="str">
        <f aca="false">IF(A374="","",IF(AND(AT373=1,$H$3=1),D373*AO373,IF($H$3=2,D373,"N/A")))</f>
        <v/>
      </c>
      <c r="F373" s="199" t="str">
        <f aca="false">IF(A374="","",E373*AS373)</f>
        <v/>
      </c>
      <c r="G373" s="200" t="str">
        <f aca="false">IF($A374="","",VLOOKUP($A373,Table,MATCH(G$4,Curves,0)))</f>
        <v/>
      </c>
      <c r="H373" s="201" t="str">
        <f aca="false">IF(A374="","",G373)</f>
        <v/>
      </c>
      <c r="J373" s="200" t="str">
        <f aca="false">IF($A374="","",VLOOKUP($A373,Table,MATCH(J$4,Curves,0)))</f>
        <v/>
      </c>
      <c r="K373" s="201" t="str">
        <f aca="false">IF(A374="","",J373)</f>
        <v/>
      </c>
      <c r="L373" s="200" t="str">
        <f aca="false">IF($A374="","",VLOOKUP($A373,Table,MATCH(L$4,Curves,0)))</f>
        <v/>
      </c>
      <c r="M373" s="201" t="str">
        <f aca="false">IF(A374="","",L373)</f>
        <v/>
      </c>
      <c r="O373" s="200" t="str">
        <f aca="false">IF(A374="","",L373+J373+G373)</f>
        <v/>
      </c>
      <c r="P373" s="200" t="str">
        <f aca="false">IF(A374="","",M373+K373+H373)</f>
        <v/>
      </c>
      <c r="R373" s="200" t="str">
        <f aca="false">IF($A374="","",VLOOKUP($A373,Table,MATCH(R$4,Curves,0)))</f>
        <v/>
      </c>
      <c r="S373" s="201" t="str">
        <f aca="false">IF(A374="","",R373)</f>
        <v/>
      </c>
      <c r="T373" s="200" t="str">
        <f aca="false">IF($A374="","",VLOOKUP($A373,Table,MATCH(T$4,Curves,0)))</f>
        <v/>
      </c>
      <c r="U373" s="201" t="str">
        <f aca="false">IF(A374="","",T373)</f>
        <v/>
      </c>
      <c r="V373" s="225" t="str">
        <f aca="false">IF($A374="","",IF(AND(MONTH(A373)&gt;3,MONTH(A373)&lt;11),(T373+R373+G373)*Summary!$T$9/(1-Summary!$T$9),(T373+R373+G373)*Summary!$U$9/(1-Summary!$U$9)))</f>
        <v/>
      </c>
      <c r="W373" s="200" t="str">
        <f aca="false">IF($A374="","",(T373+R373+G373+V373))</f>
        <v/>
      </c>
      <c r="X373" s="200" t="str">
        <f aca="false">IF($A374="","",(U373+S373+H373+V373))</f>
        <v/>
      </c>
      <c r="Y373" s="202"/>
      <c r="Z373" s="185"/>
      <c r="AG373" s="182"/>
      <c r="AH373" s="182"/>
      <c r="AI373" s="182"/>
      <c r="AJ373" s="218"/>
      <c r="AK373" s="218"/>
      <c r="AL373" s="218"/>
      <c r="AM373" s="218"/>
      <c r="AN373" s="218"/>
      <c r="AO373" s="137" t="str">
        <f aca="false">IF(A374="","",A374-A373)</f>
        <v/>
      </c>
      <c r="AP373" s="212" t="str">
        <f aca="false">IF(A374="","",CHOOSE(F$3,A374+24,A373))</f>
        <v/>
      </c>
      <c r="AQ373" s="209" t="str">
        <f aca="false">IF(A374="","",AP373-$E$1)</f>
        <v/>
      </c>
      <c r="AR373" s="185" t="n">
        <f aca="false">'ANR OK vs ML7'!AR373</f>
        <v>0.1</v>
      </c>
      <c r="AS373" s="213" t="str">
        <f aca="false">IF(A374="","",1/(1+CHOOSE(F$3,(AR374+($I$3/10000))/2,(AR373+($I$3/10000))/2))^(2*AQ373/365.25))</f>
        <v/>
      </c>
      <c r="AT373" s="137" t="str">
        <f aca="false">IF(A374="","",IF(AND(mthbeg&lt;=A373,mthend&gt;=A373),1,0))</f>
        <v/>
      </c>
      <c r="AU373" s="137" t="str">
        <f aca="false">IF(A374="","",AO373*AT373)</f>
        <v/>
      </c>
      <c r="AW373" s="195" t="str">
        <f aca="false">IF($A374="","",AL373*$E373)</f>
        <v/>
      </c>
      <c r="AX373" s="195" t="str">
        <f aca="false">IF($A374="","",AM373*$E373)</f>
        <v/>
      </c>
      <c r="AY373" s="195" t="str">
        <f aca="false">IF($A374="","",AN373*$E373)</f>
        <v/>
      </c>
      <c r="BA373" s="195" t="str">
        <f aca="false">IF($A374="","",F373*Summary!$Q$9)</f>
        <v/>
      </c>
    </row>
    <row r="374" customFormat="false" ht="12.75" hidden="false" customHeight="false" outlineLevel="0" collapsed="false">
      <c r="A374" s="196" t="str">
        <f aca="false">IF(A373&lt;mthend,EDATE(A373,1),"")</f>
        <v/>
      </c>
      <c r="B374" s="197" t="str">
        <f aca="false">IF(A374&lt;mthend,B373,"")</f>
        <v/>
      </c>
      <c r="D374" s="197" t="str">
        <f aca="false">IF(A375&lt;&gt;"",B374+C374,"")</f>
        <v/>
      </c>
      <c r="E374" s="199" t="str">
        <f aca="false">IF(A375="","",IF(AND(AT374=1,$H$3=1),D374*AO374,IF($H$3=2,D374,"N/A")))</f>
        <v/>
      </c>
      <c r="F374" s="199" t="str">
        <f aca="false">IF(A375="","",E374*AS374)</f>
        <v/>
      </c>
      <c r="G374" s="200" t="str">
        <f aca="false">IF($A375="","",VLOOKUP($A374,Table,MATCH(G$4,Curves,0)))</f>
        <v/>
      </c>
      <c r="H374" s="201" t="str">
        <f aca="false">IF(A375="","",G374)</f>
        <v/>
      </c>
      <c r="J374" s="200" t="str">
        <f aca="false">IF($A375="","",VLOOKUP($A374,Table,MATCH(J$4,Curves,0)))</f>
        <v/>
      </c>
      <c r="K374" s="201" t="str">
        <f aca="false">IF(A375="","",J374)</f>
        <v/>
      </c>
      <c r="L374" s="200" t="str">
        <f aca="false">IF($A375="","",VLOOKUP($A374,Table,MATCH(L$4,Curves,0)))</f>
        <v/>
      </c>
      <c r="M374" s="201" t="str">
        <f aca="false">IF(A375="","",L374)</f>
        <v/>
      </c>
      <c r="O374" s="200" t="str">
        <f aca="false">IF(A375="","",L374+J374+G374)</f>
        <v/>
      </c>
      <c r="P374" s="200" t="str">
        <f aca="false">IF(A375="","",M374+K374+H374)</f>
        <v/>
      </c>
      <c r="R374" s="200" t="str">
        <f aca="false">IF($A375="","",VLOOKUP($A374,Table,MATCH(R$4,Curves,0)))</f>
        <v/>
      </c>
      <c r="S374" s="201" t="str">
        <f aca="false">IF(A375="","",R374)</f>
        <v/>
      </c>
      <c r="T374" s="200" t="str">
        <f aca="false">IF($A375="","",VLOOKUP($A374,Table,MATCH(T$4,Curves,0)))</f>
        <v/>
      </c>
      <c r="U374" s="201" t="str">
        <f aca="false">IF(A375="","",T374)</f>
        <v/>
      </c>
      <c r="V374" s="225" t="str">
        <f aca="false">IF($A375="","",IF(AND(MONTH(A374)&gt;3,MONTH(A374)&lt;11),(T374+R374+G374)*Summary!$T$9/(1-Summary!$T$9),(T374+R374+G374)*Summary!$U$9/(1-Summary!$U$9)))</f>
        <v/>
      </c>
      <c r="W374" s="200" t="str">
        <f aca="false">IF($A375="","",(T374+R374+G374+V374))</f>
        <v/>
      </c>
      <c r="X374" s="200" t="str">
        <f aca="false">IF($A375="","",(U374+S374+H374+V374))</f>
        <v/>
      </c>
      <c r="Y374" s="202"/>
      <c r="Z374" s="185"/>
      <c r="AG374" s="182"/>
      <c r="AH374" s="182"/>
      <c r="AI374" s="182"/>
      <c r="AJ374" s="218"/>
      <c r="AK374" s="218"/>
      <c r="AL374" s="218"/>
      <c r="AM374" s="218"/>
      <c r="AN374" s="218"/>
      <c r="AO374" s="137" t="str">
        <f aca="false">IF(A375="","",A375-A374)</f>
        <v/>
      </c>
      <c r="AP374" s="212" t="str">
        <f aca="false">IF(A375="","",CHOOSE(F$3,A375+24,A374))</f>
        <v/>
      </c>
      <c r="AQ374" s="209" t="str">
        <f aca="false">IF(A375="","",AP374-$E$1)</f>
        <v/>
      </c>
      <c r="AR374" s="185" t="n">
        <f aca="false">'ANR OK vs ML7'!AR374</f>
        <v>0.1</v>
      </c>
      <c r="AS374" s="213" t="str">
        <f aca="false">IF(A375="","",1/(1+CHOOSE(F$3,(AR375+($I$3/10000))/2,(AR374+($I$3/10000))/2))^(2*AQ374/365.25))</f>
        <v/>
      </c>
      <c r="AT374" s="137" t="str">
        <f aca="false">IF(A375="","",IF(AND(mthbeg&lt;=A374,mthend&gt;=A374),1,0))</f>
        <v/>
      </c>
      <c r="AU374" s="137" t="str">
        <f aca="false">IF(A375="","",AO374*AT374)</f>
        <v/>
      </c>
      <c r="AW374" s="195" t="str">
        <f aca="false">IF($A375="","",AL374*$E374)</f>
        <v/>
      </c>
      <c r="AX374" s="195" t="str">
        <f aca="false">IF($A375="","",AM374*$E374)</f>
        <v/>
      </c>
      <c r="AY374" s="195" t="str">
        <f aca="false">IF($A375="","",AN374*$E374)</f>
        <v/>
      </c>
      <c r="BA374" s="195" t="str">
        <f aca="false">IF($A375="","",F374*Summary!$Q$9)</f>
        <v/>
      </c>
    </row>
    <row r="375" customFormat="false" ht="12.75" hidden="false" customHeight="false" outlineLevel="0" collapsed="false">
      <c r="A375" s="196" t="str">
        <f aca="false">IF(A374&lt;mthend,EDATE(A374,1),"")</f>
        <v/>
      </c>
      <c r="B375" s="197" t="str">
        <f aca="false">IF(A375&lt;mthend,B374,"")</f>
        <v/>
      </c>
      <c r="D375" s="197" t="str">
        <f aca="false">IF(A376&lt;&gt;"",B375+C375,"")</f>
        <v/>
      </c>
      <c r="E375" s="199" t="str">
        <f aca="false">IF(A376="","",IF(AND(AT375=1,$H$3=1),D375*AO375,IF($H$3=2,D375,"N/A")))</f>
        <v/>
      </c>
      <c r="F375" s="199" t="str">
        <f aca="false">IF(A376="","",E375*AS375)</f>
        <v/>
      </c>
      <c r="G375" s="200" t="str">
        <f aca="false">IF($A376="","",VLOOKUP($A375,Table,MATCH(G$4,Curves,0)))</f>
        <v/>
      </c>
      <c r="H375" s="201" t="str">
        <f aca="false">IF(A376="","",G375)</f>
        <v/>
      </c>
      <c r="J375" s="200" t="str">
        <f aca="false">IF($A376="","",VLOOKUP($A375,Table,MATCH(J$4,Curves,0)))</f>
        <v/>
      </c>
      <c r="K375" s="201" t="str">
        <f aca="false">IF(A376="","",J375)</f>
        <v/>
      </c>
      <c r="L375" s="200" t="str">
        <f aca="false">IF($A376="","",VLOOKUP($A375,Table,MATCH(L$4,Curves,0)))</f>
        <v/>
      </c>
      <c r="M375" s="201" t="str">
        <f aca="false">IF(A376="","",L375)</f>
        <v/>
      </c>
      <c r="O375" s="200" t="str">
        <f aca="false">IF(A376="","",L375+J375+G375)</f>
        <v/>
      </c>
      <c r="P375" s="200" t="str">
        <f aca="false">IF(A376="","",M375+K375+H375)</f>
        <v/>
      </c>
      <c r="R375" s="200" t="str">
        <f aca="false">IF($A376="","",VLOOKUP($A375,Table,MATCH(R$4,Curves,0)))</f>
        <v/>
      </c>
      <c r="S375" s="201" t="str">
        <f aca="false">IF(A376="","",R375)</f>
        <v/>
      </c>
      <c r="T375" s="200" t="str">
        <f aca="false">IF($A376="","",VLOOKUP($A375,Table,MATCH(T$4,Curves,0)))</f>
        <v/>
      </c>
      <c r="U375" s="201" t="str">
        <f aca="false">IF(A376="","",T375)</f>
        <v/>
      </c>
      <c r="V375" s="225" t="str">
        <f aca="false">IF($A376="","",IF(AND(MONTH(A375)&gt;3,MONTH(A375)&lt;11),(T375+R375+G375)*Summary!$T$9/(1-Summary!$T$9),(T375+R375+G375)*Summary!$U$9/(1-Summary!$U$9)))</f>
        <v/>
      </c>
      <c r="W375" s="200" t="str">
        <f aca="false">IF($A376="","",(T375+R375+G375+V375))</f>
        <v/>
      </c>
      <c r="X375" s="200" t="str">
        <f aca="false">IF($A376="","",(U375+S375+H375+V375))</f>
        <v/>
      </c>
      <c r="Y375" s="202"/>
      <c r="Z375" s="185"/>
      <c r="AG375" s="182"/>
      <c r="AH375" s="182"/>
      <c r="AI375" s="182"/>
      <c r="AJ375" s="218"/>
      <c r="AK375" s="218"/>
      <c r="AL375" s="218"/>
      <c r="AM375" s="218"/>
      <c r="AN375" s="218"/>
      <c r="AO375" s="137" t="str">
        <f aca="false">IF(A376="","",A376-A375)</f>
        <v/>
      </c>
      <c r="AP375" s="212" t="str">
        <f aca="false">IF(A376="","",CHOOSE(F$3,A376+24,A375))</f>
        <v/>
      </c>
      <c r="AQ375" s="209" t="str">
        <f aca="false">IF(A376="","",AP375-$E$1)</f>
        <v/>
      </c>
      <c r="AR375" s="185" t="n">
        <f aca="false">'ANR OK vs ML7'!AR375</f>
        <v>0.1</v>
      </c>
      <c r="AS375" s="213" t="str">
        <f aca="false">IF(A376="","",1/(1+CHOOSE(F$3,(AR376+($I$3/10000))/2,(AR375+($I$3/10000))/2))^(2*AQ375/365.25))</f>
        <v/>
      </c>
      <c r="AT375" s="137" t="str">
        <f aca="false">IF(A376="","",IF(AND(mthbeg&lt;=A375,mthend&gt;=A375),1,0))</f>
        <v/>
      </c>
      <c r="AU375" s="137" t="str">
        <f aca="false">IF(A376="","",AO375*AT375)</f>
        <v/>
      </c>
      <c r="AW375" s="195" t="str">
        <f aca="false">IF($A376="","",AL375*$E375)</f>
        <v/>
      </c>
      <c r="AX375" s="195" t="str">
        <f aca="false">IF($A376="","",AM375*$E375)</f>
        <v/>
      </c>
      <c r="AY375" s="195" t="str">
        <f aca="false">IF($A376="","",AN375*$E375)</f>
        <v/>
      </c>
      <c r="BA375" s="195" t="str">
        <f aca="false">IF($A376="","",F375*Summary!$Q$9)</f>
        <v/>
      </c>
    </row>
    <row r="376" customFormat="false" ht="12.75" hidden="false" customHeight="false" outlineLevel="0" collapsed="false">
      <c r="A376" s="196" t="str">
        <f aca="false">IF(A375&lt;mthend,EDATE(A375,1),"")</f>
        <v/>
      </c>
      <c r="B376" s="197" t="str">
        <f aca="false">IF(A376&lt;mthend,B375,"")</f>
        <v/>
      </c>
      <c r="D376" s="197" t="str">
        <f aca="false">IF(A377&lt;&gt;"",B376+C376,"")</f>
        <v/>
      </c>
      <c r="E376" s="199" t="str">
        <f aca="false">IF(A377="","",IF(AND(AT376=1,$H$3=1),D376*AO376,IF($H$3=2,D376,"N/A")))</f>
        <v/>
      </c>
      <c r="F376" s="199" t="str">
        <f aca="false">IF(A377="","",E376*AS376)</f>
        <v/>
      </c>
      <c r="G376" s="200" t="str">
        <f aca="false">IF($A377="","",VLOOKUP($A376,Table,MATCH(G$4,Curves,0)))</f>
        <v/>
      </c>
      <c r="H376" s="201" t="str">
        <f aca="false">IF(A377="","",G376)</f>
        <v/>
      </c>
      <c r="J376" s="200" t="str">
        <f aca="false">IF($A377="","",VLOOKUP($A376,Table,MATCH(J$4,Curves,0)))</f>
        <v/>
      </c>
      <c r="K376" s="201" t="str">
        <f aca="false">IF(A377="","",J376)</f>
        <v/>
      </c>
      <c r="L376" s="200" t="str">
        <f aca="false">IF($A377="","",VLOOKUP($A376,Table,MATCH(L$4,Curves,0)))</f>
        <v/>
      </c>
      <c r="M376" s="201" t="str">
        <f aca="false">IF(A377="","",L376)</f>
        <v/>
      </c>
      <c r="O376" s="200" t="str">
        <f aca="false">IF(A377="","",L376+J376+G376)</f>
        <v/>
      </c>
      <c r="P376" s="200" t="str">
        <f aca="false">IF(A377="","",M376+K376+H376)</f>
        <v/>
      </c>
      <c r="R376" s="200" t="str">
        <f aca="false">IF($A377="","",VLOOKUP($A376,Table,MATCH(R$4,Curves,0)))</f>
        <v/>
      </c>
      <c r="S376" s="201" t="str">
        <f aca="false">IF(A377="","",R376)</f>
        <v/>
      </c>
      <c r="T376" s="200" t="str">
        <f aca="false">IF($A377="","",VLOOKUP($A376,Table,MATCH(T$4,Curves,0)))</f>
        <v/>
      </c>
      <c r="U376" s="201" t="str">
        <f aca="false">IF(A377="","",T376)</f>
        <v/>
      </c>
      <c r="V376" s="225" t="str">
        <f aca="false">IF($A377="","",IF(AND(MONTH(A376)&gt;3,MONTH(A376)&lt;11),(T376+R376+G376)*Summary!$T$9/(1-Summary!$T$9),(T376+R376+G376)*Summary!$U$9/(1-Summary!$U$9)))</f>
        <v/>
      </c>
      <c r="W376" s="200" t="str">
        <f aca="false">IF($A377="","",(T376+R376+G376+V376))</f>
        <v/>
      </c>
      <c r="X376" s="200" t="str">
        <f aca="false">IF($A377="","",(U376+S376+H376+V376))</f>
        <v/>
      </c>
      <c r="Y376" s="202"/>
      <c r="Z376" s="185"/>
      <c r="AG376" s="182"/>
      <c r="AH376" s="182"/>
      <c r="AI376" s="182"/>
      <c r="AJ376" s="218"/>
      <c r="AK376" s="218"/>
      <c r="AL376" s="218"/>
      <c r="AM376" s="218"/>
      <c r="AN376" s="218"/>
      <c r="AO376" s="137" t="str">
        <f aca="false">IF(A377="","",A377-A376)</f>
        <v/>
      </c>
      <c r="AP376" s="212" t="str">
        <f aca="false">IF(A377="","",CHOOSE(F$3,A377+24,A376))</f>
        <v/>
      </c>
      <c r="AQ376" s="209" t="str">
        <f aca="false">IF(A377="","",AP376-$E$1)</f>
        <v/>
      </c>
      <c r="AR376" s="185" t="n">
        <f aca="false">'ANR OK vs ML7'!AR376</f>
        <v>0.1</v>
      </c>
      <c r="AS376" s="213" t="str">
        <f aca="false">IF(A377="","",1/(1+CHOOSE(F$3,(AR377+($I$3/10000))/2,(AR376+($I$3/10000))/2))^(2*AQ376/365.25))</f>
        <v/>
      </c>
      <c r="AT376" s="137" t="str">
        <f aca="false">IF(A377="","",IF(AND(mthbeg&lt;=A376,mthend&gt;=A376),1,0))</f>
        <v/>
      </c>
      <c r="AU376" s="137" t="str">
        <f aca="false">IF(A377="","",AO376*AT376)</f>
        <v/>
      </c>
      <c r="AW376" s="195" t="str">
        <f aca="false">IF($A377="","",AL376*$E376)</f>
        <v/>
      </c>
      <c r="AX376" s="195" t="str">
        <f aca="false">IF($A377="","",AM376*$E376)</f>
        <v/>
      </c>
      <c r="AY376" s="195" t="str">
        <f aca="false">IF($A377="","",AN376*$E376)</f>
        <v/>
      </c>
      <c r="BA376" s="195" t="str">
        <f aca="false">IF($A377="","",F376*Summary!$Q$9)</f>
        <v/>
      </c>
    </row>
    <row r="377" customFormat="false" ht="12.75" hidden="false" customHeight="false" outlineLevel="0" collapsed="false">
      <c r="A377" s="196" t="str">
        <f aca="false">IF(A376&lt;mthend,EDATE(A376,1),"")</f>
        <v/>
      </c>
      <c r="B377" s="197" t="str">
        <f aca="false">IF(A377&lt;mthend,B376,"")</f>
        <v/>
      </c>
      <c r="D377" s="197" t="str">
        <f aca="false">IF(A378&lt;&gt;"",B377+C377,"")</f>
        <v/>
      </c>
      <c r="E377" s="199" t="str">
        <f aca="false">IF(A378="","",IF(AND(AT377=1,$H$3=1),D377*AO377,IF($H$3=2,D377,"N/A")))</f>
        <v/>
      </c>
      <c r="F377" s="199" t="str">
        <f aca="false">IF(A378="","",E377*AS377)</f>
        <v/>
      </c>
      <c r="G377" s="200" t="str">
        <f aca="false">IF($A378="","",VLOOKUP($A377,Table,MATCH(G$4,Curves,0)))</f>
        <v/>
      </c>
      <c r="H377" s="201" t="str">
        <f aca="false">IF(A378="","",G377)</f>
        <v/>
      </c>
      <c r="J377" s="200" t="str">
        <f aca="false">IF($A378="","",VLOOKUP($A377,Table,MATCH(J$4,Curves,0)))</f>
        <v/>
      </c>
      <c r="K377" s="201" t="str">
        <f aca="false">IF(A378="","",J377)</f>
        <v/>
      </c>
      <c r="L377" s="200" t="str">
        <f aca="false">IF($A378="","",VLOOKUP($A377,Table,MATCH(L$4,Curves,0)))</f>
        <v/>
      </c>
      <c r="M377" s="201" t="str">
        <f aca="false">IF(A378="","",L377)</f>
        <v/>
      </c>
      <c r="O377" s="200" t="str">
        <f aca="false">IF(A378="","",L377+J377+G377)</f>
        <v/>
      </c>
      <c r="P377" s="200" t="str">
        <f aca="false">IF(A378="","",M377+K377+H377)</f>
        <v/>
      </c>
      <c r="R377" s="200" t="str">
        <f aca="false">IF($A378="","",VLOOKUP($A377,Table,MATCH(R$4,Curves,0)))</f>
        <v/>
      </c>
      <c r="S377" s="201" t="str">
        <f aca="false">IF(A378="","",R377)</f>
        <v/>
      </c>
      <c r="T377" s="200" t="str">
        <f aca="false">IF($A378="","",VLOOKUP($A377,Table,MATCH(T$4,Curves,0)))</f>
        <v/>
      </c>
      <c r="U377" s="201" t="str">
        <f aca="false">IF(A378="","",T377)</f>
        <v/>
      </c>
      <c r="V377" s="225" t="str">
        <f aca="false">IF($A378="","",IF(AND(MONTH(A377)&gt;3,MONTH(A377)&lt;11),(T377+R377+G377)*Summary!$T$9/(1-Summary!$T$9),(T377+R377+G377)*Summary!$U$9/(1-Summary!$U$9)))</f>
        <v/>
      </c>
      <c r="W377" s="200" t="str">
        <f aca="false">IF($A378="","",(T377+R377+G377+V377))</f>
        <v/>
      </c>
      <c r="X377" s="200" t="str">
        <f aca="false">IF($A378="","",(U377+S377+H377+V377))</f>
        <v/>
      </c>
      <c r="Y377" s="202"/>
      <c r="Z377" s="185"/>
      <c r="AG377" s="182"/>
      <c r="AH377" s="182"/>
      <c r="AI377" s="182"/>
      <c r="AJ377" s="218"/>
      <c r="AK377" s="218"/>
      <c r="AL377" s="218"/>
      <c r="AM377" s="218"/>
      <c r="AN377" s="218"/>
      <c r="AO377" s="137" t="str">
        <f aca="false">IF(A378="","",A378-A377)</f>
        <v/>
      </c>
      <c r="AP377" s="212" t="str">
        <f aca="false">IF(A378="","",CHOOSE(F$3,A378+24,A377))</f>
        <v/>
      </c>
      <c r="AQ377" s="209" t="str">
        <f aca="false">IF(A378="","",AP377-$E$1)</f>
        <v/>
      </c>
      <c r="AR377" s="185" t="n">
        <f aca="false">'ANR OK vs ML7'!AR377</f>
        <v>0.1</v>
      </c>
      <c r="AS377" s="213" t="str">
        <f aca="false">IF(A378="","",1/(1+CHOOSE(F$3,(AR378+($I$3/10000))/2,(AR377+($I$3/10000))/2))^(2*AQ377/365.25))</f>
        <v/>
      </c>
      <c r="AT377" s="137" t="str">
        <f aca="false">IF(A378="","",IF(AND(mthbeg&lt;=A377,mthend&gt;=A377),1,0))</f>
        <v/>
      </c>
      <c r="AU377" s="137" t="str">
        <f aca="false">IF(A378="","",AO377*AT377)</f>
        <v/>
      </c>
      <c r="AW377" s="195" t="str">
        <f aca="false">IF($A378="","",AL377*$E377)</f>
        <v/>
      </c>
      <c r="AX377" s="195" t="str">
        <f aca="false">IF($A378="","",AM377*$E377)</f>
        <v/>
      </c>
      <c r="AY377" s="195" t="str">
        <f aca="false">IF($A378="","",AN377*$E377)</f>
        <v/>
      </c>
      <c r="BA377" s="195" t="str">
        <f aca="false">IF($A378="","",F377*Summary!$Q$9)</f>
        <v/>
      </c>
    </row>
    <row r="378" customFormat="false" ht="12.75" hidden="false" customHeight="false" outlineLevel="0" collapsed="false">
      <c r="A378" s="196" t="str">
        <f aca="false">IF(A377&lt;mthend,EDATE(A377,1),"")</f>
        <v/>
      </c>
      <c r="B378" s="197" t="str">
        <f aca="false">IF(A378&lt;mthend,B377,"")</f>
        <v/>
      </c>
      <c r="D378" s="197" t="str">
        <f aca="false">IF(A379&lt;&gt;"",B378+C378,"")</f>
        <v/>
      </c>
      <c r="E378" s="199" t="str">
        <f aca="false">IF(A379="","",IF(AND(AT378=1,$H$3=1),D378*AO378,IF($H$3=2,D378,"N/A")))</f>
        <v/>
      </c>
      <c r="F378" s="199" t="str">
        <f aca="false">IF(A379="","",E378*AS378)</f>
        <v/>
      </c>
      <c r="G378" s="200" t="str">
        <f aca="false">IF($A379="","",VLOOKUP($A378,Table,MATCH(G$4,Curves,0)))</f>
        <v/>
      </c>
      <c r="H378" s="201" t="str">
        <f aca="false">IF(A379="","",G378)</f>
        <v/>
      </c>
      <c r="J378" s="200" t="str">
        <f aca="false">IF($A379="","",VLOOKUP($A378,Table,MATCH(J$4,Curves,0)))</f>
        <v/>
      </c>
      <c r="K378" s="201" t="str">
        <f aca="false">IF(A379="","",J378)</f>
        <v/>
      </c>
      <c r="L378" s="200" t="str">
        <f aca="false">IF($A379="","",VLOOKUP($A378,Table,MATCH(L$4,Curves,0)))</f>
        <v/>
      </c>
      <c r="M378" s="201" t="str">
        <f aca="false">IF(A379="","",L378)</f>
        <v/>
      </c>
      <c r="O378" s="200" t="str">
        <f aca="false">IF(A379="","",L378+J378+G378)</f>
        <v/>
      </c>
      <c r="P378" s="200" t="str">
        <f aca="false">IF(A379="","",M378+K378+H378)</f>
        <v/>
      </c>
      <c r="R378" s="200" t="str">
        <f aca="false">IF($A379="","",VLOOKUP($A378,Table,MATCH(R$4,Curves,0)))</f>
        <v/>
      </c>
      <c r="S378" s="201" t="str">
        <f aca="false">IF(A379="","",R378)</f>
        <v/>
      </c>
      <c r="T378" s="200" t="str">
        <f aca="false">IF($A379="","",VLOOKUP($A378,Table,MATCH(T$4,Curves,0)))</f>
        <v/>
      </c>
      <c r="U378" s="201" t="str">
        <f aca="false">IF(A379="","",T378)</f>
        <v/>
      </c>
      <c r="V378" s="225" t="str">
        <f aca="false">IF($A379="","",IF(AND(MONTH(A378)&gt;3,MONTH(A378)&lt;11),(T378+R378+G378)*Summary!$T$9/(1-Summary!$T$9),(T378+R378+G378)*Summary!$U$9/(1-Summary!$U$9)))</f>
        <v/>
      </c>
      <c r="W378" s="200" t="str">
        <f aca="false">IF($A379="","",(T378+R378+G378+V378))</f>
        <v/>
      </c>
      <c r="X378" s="200" t="str">
        <f aca="false">IF($A379="","",(U378+S378+H378+V378))</f>
        <v/>
      </c>
      <c r="Y378" s="202"/>
      <c r="Z378" s="185"/>
      <c r="AG378" s="182"/>
      <c r="AH378" s="182"/>
      <c r="AI378" s="182"/>
      <c r="AJ378" s="218"/>
      <c r="AK378" s="218"/>
      <c r="AL378" s="218"/>
      <c r="AM378" s="218"/>
      <c r="AN378" s="218"/>
      <c r="AO378" s="137" t="str">
        <f aca="false">IF(A379="","",A379-A378)</f>
        <v/>
      </c>
      <c r="AP378" s="212" t="str">
        <f aca="false">IF(A379="","",CHOOSE(F$3,A379+24,A378))</f>
        <v/>
      </c>
      <c r="AQ378" s="209" t="str">
        <f aca="false">IF(A379="","",AP378-$E$1)</f>
        <v/>
      </c>
      <c r="AR378" s="185" t="n">
        <f aca="false">'ANR OK vs ML7'!AR378</f>
        <v>0.1</v>
      </c>
      <c r="AS378" s="213" t="str">
        <f aca="false">IF(A379="","",1/(1+CHOOSE(F$3,(AR379+($I$3/10000))/2,(AR378+($I$3/10000))/2))^(2*AQ378/365.25))</f>
        <v/>
      </c>
      <c r="AT378" s="137" t="str">
        <f aca="false">IF(A379="","",IF(AND(mthbeg&lt;=A378,mthend&gt;=A378),1,0))</f>
        <v/>
      </c>
      <c r="AU378" s="137" t="str">
        <f aca="false">IF(A379="","",AO378*AT378)</f>
        <v/>
      </c>
      <c r="AW378" s="195" t="str">
        <f aca="false">IF($A379="","",AL378*$E378)</f>
        <v/>
      </c>
      <c r="AX378" s="195" t="str">
        <f aca="false">IF($A379="","",AM378*$E378)</f>
        <v/>
      </c>
      <c r="AY378" s="195" t="str">
        <f aca="false">IF($A379="","",AN378*$E378)</f>
        <v/>
      </c>
      <c r="BA378" s="195" t="str">
        <f aca="false">IF($A379="","",F378*Summary!$Q$9)</f>
        <v/>
      </c>
    </row>
    <row r="379" customFormat="false" ht="12.75" hidden="false" customHeight="false" outlineLevel="0" collapsed="false">
      <c r="A379" s="196" t="str">
        <f aca="false">IF(A378&lt;mthend,EDATE(A378,1),"")</f>
        <v/>
      </c>
      <c r="B379" s="197" t="str">
        <f aca="false">IF(A379&lt;mthend,B378,"")</f>
        <v/>
      </c>
      <c r="D379" s="197" t="str">
        <f aca="false">IF(A380&lt;&gt;"",B379+C379,"")</f>
        <v/>
      </c>
      <c r="E379" s="199" t="str">
        <f aca="false">IF(A380="","",IF(AND(AT379=1,$H$3=1),D379*AO379,IF($H$3=2,D379,"N/A")))</f>
        <v/>
      </c>
      <c r="F379" s="199" t="str">
        <f aca="false">IF(A380="","",E379*AS379)</f>
        <v/>
      </c>
      <c r="G379" s="200" t="str">
        <f aca="false">IF($A380="","",VLOOKUP($A379,Table,MATCH(G$4,Curves,0)))</f>
        <v/>
      </c>
      <c r="H379" s="201" t="str">
        <f aca="false">IF(A380="","",G379)</f>
        <v/>
      </c>
      <c r="J379" s="200" t="str">
        <f aca="false">IF($A380="","",VLOOKUP($A379,Table,MATCH(J$4,Curves,0)))</f>
        <v/>
      </c>
      <c r="K379" s="201" t="str">
        <f aca="false">IF(A380="","",J379)</f>
        <v/>
      </c>
      <c r="L379" s="200" t="str">
        <f aca="false">IF($A380="","",VLOOKUP($A379,Table,MATCH(L$4,Curves,0)))</f>
        <v/>
      </c>
      <c r="M379" s="201" t="str">
        <f aca="false">IF(A380="","",L379)</f>
        <v/>
      </c>
      <c r="O379" s="200" t="str">
        <f aca="false">IF(A380="","",L379+J379+G379)</f>
        <v/>
      </c>
      <c r="P379" s="200" t="str">
        <f aca="false">IF(A380="","",M379+K379+H379)</f>
        <v/>
      </c>
      <c r="R379" s="200" t="str">
        <f aca="false">IF($A380="","",VLOOKUP($A379,Table,MATCH(R$4,Curves,0)))</f>
        <v/>
      </c>
      <c r="S379" s="201" t="str">
        <f aca="false">IF(A380="","",R379)</f>
        <v/>
      </c>
      <c r="T379" s="200" t="str">
        <f aca="false">IF($A380="","",VLOOKUP($A379,Table,MATCH(T$4,Curves,0)))</f>
        <v/>
      </c>
      <c r="U379" s="201" t="str">
        <f aca="false">IF(A380="","",T379)</f>
        <v/>
      </c>
      <c r="V379" s="225" t="str">
        <f aca="false">IF($A380="","",IF(AND(MONTH(A379)&gt;3,MONTH(A379)&lt;11),(T379+R379+G379)*Summary!$T$9/(1-Summary!$T$9),(T379+R379+G379)*Summary!$U$9/(1-Summary!$U$9)))</f>
        <v/>
      </c>
      <c r="W379" s="200" t="str">
        <f aca="false">IF($A380="","",(T379+R379+G379+V379))</f>
        <v/>
      </c>
      <c r="X379" s="200" t="str">
        <f aca="false">IF($A380="","",(U379+S379+H379+V379))</f>
        <v/>
      </c>
      <c r="Y379" s="202"/>
      <c r="Z379" s="185"/>
      <c r="AG379" s="182"/>
      <c r="AH379" s="182"/>
      <c r="AI379" s="182"/>
      <c r="AJ379" s="218"/>
      <c r="AK379" s="218"/>
      <c r="AL379" s="218"/>
      <c r="AM379" s="218"/>
      <c r="AN379" s="218"/>
      <c r="AO379" s="137" t="str">
        <f aca="false">IF(A380="","",A380-A379)</f>
        <v/>
      </c>
      <c r="AP379" s="212" t="str">
        <f aca="false">IF(A380="","",CHOOSE(F$3,A380+24,A379))</f>
        <v/>
      </c>
      <c r="AQ379" s="209" t="str">
        <f aca="false">IF(A380="","",AP379-$E$1)</f>
        <v/>
      </c>
      <c r="AR379" s="185" t="n">
        <f aca="false">'ANR OK vs ML7'!AR379</f>
        <v>0.1</v>
      </c>
      <c r="AS379" s="213" t="str">
        <f aca="false">IF(A380="","",1/(1+CHOOSE(F$3,(AR380+($I$3/10000))/2,(AR379+($I$3/10000))/2))^(2*AQ379/365.25))</f>
        <v/>
      </c>
      <c r="AT379" s="137" t="str">
        <f aca="false">IF(A380="","",IF(AND(mthbeg&lt;=A379,mthend&gt;=A379),1,0))</f>
        <v/>
      </c>
      <c r="AU379" s="137" t="str">
        <f aca="false">IF(A380="","",AO379*AT379)</f>
        <v/>
      </c>
      <c r="AW379" s="195" t="str">
        <f aca="false">IF($A380="","",AL379*$E379)</f>
        <v/>
      </c>
      <c r="AX379" s="195" t="str">
        <f aca="false">IF($A380="","",AM379*$E379)</f>
        <v/>
      </c>
      <c r="AY379" s="195" t="str">
        <f aca="false">IF($A380="","",AN379*$E379)</f>
        <v/>
      </c>
      <c r="BA379" s="195" t="str">
        <f aca="false">IF($A380="","",F379*Summary!$Q$9)</f>
        <v/>
      </c>
    </row>
    <row r="380" customFormat="false" ht="12.75" hidden="false" customHeight="false" outlineLevel="0" collapsed="false">
      <c r="A380" s="196" t="str">
        <f aca="false">IF(A379&lt;mthend,EDATE(A379,1),"")</f>
        <v/>
      </c>
      <c r="B380" s="197" t="str">
        <f aca="false">IF(A380&lt;mthend,B379,"")</f>
        <v/>
      </c>
      <c r="D380" s="197" t="str">
        <f aca="false">IF(A381&lt;&gt;"",B380+C380,"")</f>
        <v/>
      </c>
      <c r="E380" s="199" t="str">
        <f aca="false">IF(A381="","",IF(AND(AT380=1,$H$3=1),D380*AO380,IF($H$3=2,D380,"N/A")))</f>
        <v/>
      </c>
      <c r="F380" s="199" t="str">
        <f aca="false">IF(A381="","",E380*AS380)</f>
        <v/>
      </c>
      <c r="G380" s="200" t="str">
        <f aca="false">IF($A381="","",VLOOKUP($A380,Table,MATCH(G$4,Curves,0)))</f>
        <v/>
      </c>
      <c r="H380" s="201" t="str">
        <f aca="false">IF(A381="","",G380)</f>
        <v/>
      </c>
      <c r="J380" s="200" t="str">
        <f aca="false">IF($A381="","",VLOOKUP($A380,Table,MATCH(J$4,Curves,0)))</f>
        <v/>
      </c>
      <c r="K380" s="201" t="str">
        <f aca="false">IF(A381="","",J380)</f>
        <v/>
      </c>
      <c r="L380" s="200" t="str">
        <f aca="false">IF($A381="","",VLOOKUP($A380,Table,MATCH(L$4,Curves,0)))</f>
        <v/>
      </c>
      <c r="M380" s="201" t="str">
        <f aca="false">IF(A381="","",L380)</f>
        <v/>
      </c>
      <c r="O380" s="200" t="str">
        <f aca="false">IF(A381="","",L380+J380+G380)</f>
        <v/>
      </c>
      <c r="P380" s="200" t="str">
        <f aca="false">IF(A381="","",M380+K380+H380)</f>
        <v/>
      </c>
      <c r="R380" s="200" t="str">
        <f aca="false">IF($A381="","",VLOOKUP($A380,Table,MATCH(R$4,Curves,0)))</f>
        <v/>
      </c>
      <c r="S380" s="201" t="str">
        <f aca="false">IF(A381="","",R380)</f>
        <v/>
      </c>
      <c r="T380" s="200" t="str">
        <f aca="false">IF($A381="","",VLOOKUP($A380,Table,MATCH(T$4,Curves,0)))</f>
        <v/>
      </c>
      <c r="U380" s="201" t="str">
        <f aca="false">IF(A381="","",T380)</f>
        <v/>
      </c>
      <c r="V380" s="225" t="str">
        <f aca="false">IF($A381="","",IF(AND(MONTH(A380)&gt;3,MONTH(A380)&lt;11),(T380+R380+G380)*Summary!$T$9/(1-Summary!$T$9),(T380+R380+G380)*Summary!$U$9/(1-Summary!$U$9)))</f>
        <v/>
      </c>
      <c r="W380" s="200" t="str">
        <f aca="false">IF($A381="","",(T380+R380+G380+V380))</f>
        <v/>
      </c>
      <c r="X380" s="200" t="str">
        <f aca="false">IF($A381="","",(U380+S380+H380+V380))</f>
        <v/>
      </c>
      <c r="Y380" s="202"/>
      <c r="Z380" s="185"/>
      <c r="AG380" s="182"/>
      <c r="AH380" s="182"/>
      <c r="AI380" s="182"/>
      <c r="AJ380" s="218"/>
      <c r="AK380" s="218"/>
      <c r="AL380" s="218"/>
      <c r="AM380" s="218"/>
      <c r="AN380" s="218"/>
      <c r="AO380" s="137" t="str">
        <f aca="false">IF(A381="","",A381-A380)</f>
        <v/>
      </c>
      <c r="AP380" s="212" t="str">
        <f aca="false">IF(A381="","",CHOOSE(F$3,A381+24,A380))</f>
        <v/>
      </c>
      <c r="AQ380" s="209" t="str">
        <f aca="false">IF(A381="","",AP380-$E$1)</f>
        <v/>
      </c>
      <c r="AR380" s="185" t="n">
        <f aca="false">'ANR OK vs ML7'!AR380</f>
        <v>0.1</v>
      </c>
      <c r="AS380" s="213" t="str">
        <f aca="false">IF(A381="","",1/(1+CHOOSE(F$3,(AR381+($I$3/10000))/2,(AR380+($I$3/10000))/2))^(2*AQ380/365.25))</f>
        <v/>
      </c>
      <c r="AT380" s="137" t="str">
        <f aca="false">IF(A381="","",IF(AND(mthbeg&lt;=A380,mthend&gt;=A380),1,0))</f>
        <v/>
      </c>
      <c r="AU380" s="137" t="str">
        <f aca="false">IF(A381="","",AO380*AT380)</f>
        <v/>
      </c>
      <c r="AW380" s="195" t="str">
        <f aca="false">IF($A381="","",AL380*$E380)</f>
        <v/>
      </c>
      <c r="AX380" s="195" t="str">
        <f aca="false">IF($A381="","",AM380*$E380)</f>
        <v/>
      </c>
      <c r="AY380" s="195" t="str">
        <f aca="false">IF($A381="","",AN380*$E380)</f>
        <v/>
      </c>
      <c r="BA380" s="195" t="str">
        <f aca="false">IF($A381="","",F380*Summary!$Q$9)</f>
        <v/>
      </c>
    </row>
    <row r="381" customFormat="false" ht="12.75" hidden="false" customHeight="false" outlineLevel="0" collapsed="false">
      <c r="A381" s="196" t="str">
        <f aca="false">IF(A380&lt;mthend,EDATE(A380,1),"")</f>
        <v/>
      </c>
      <c r="B381" s="197" t="str">
        <f aca="false">IF(A381&lt;mthend,B380,"")</f>
        <v/>
      </c>
      <c r="D381" s="197" t="str">
        <f aca="false">IF(A382&lt;&gt;"",B381+C381,"")</f>
        <v/>
      </c>
      <c r="E381" s="199" t="str">
        <f aca="false">IF(A382="","",IF(AND(AT381=1,$H$3=1),D381*AO381,IF($H$3=2,D381,"N/A")))</f>
        <v/>
      </c>
      <c r="F381" s="199" t="str">
        <f aca="false">IF(A382="","",E381*AS381)</f>
        <v/>
      </c>
      <c r="G381" s="200" t="str">
        <f aca="false">IF($A382="","",VLOOKUP($A381,Table,MATCH(G$4,Curves,0)))</f>
        <v/>
      </c>
      <c r="H381" s="201" t="str">
        <f aca="false">IF(A382="","",G381)</f>
        <v/>
      </c>
      <c r="J381" s="200" t="str">
        <f aca="false">IF($A382="","",VLOOKUP($A381,Table,MATCH(J$4,Curves,0)))</f>
        <v/>
      </c>
      <c r="K381" s="201" t="str">
        <f aca="false">IF(A382="","",J381)</f>
        <v/>
      </c>
      <c r="L381" s="200" t="str">
        <f aca="false">IF($A382="","",VLOOKUP($A381,Table,MATCH(L$4,Curves,0)))</f>
        <v/>
      </c>
      <c r="M381" s="201" t="str">
        <f aca="false">IF(A382="","",L381)</f>
        <v/>
      </c>
      <c r="O381" s="200" t="str">
        <f aca="false">IF(A382="","",L381+J381+G381)</f>
        <v/>
      </c>
      <c r="P381" s="200" t="str">
        <f aca="false">IF(A382="","",M381+K381+H381)</f>
        <v/>
      </c>
      <c r="R381" s="200" t="str">
        <f aca="false">IF($A382="","",VLOOKUP($A381,Table,MATCH(R$4,Curves,0)))</f>
        <v/>
      </c>
      <c r="S381" s="201" t="str">
        <f aca="false">IF(A382="","",R381)</f>
        <v/>
      </c>
      <c r="T381" s="200" t="str">
        <f aca="false">IF($A382="","",VLOOKUP($A381,Table,MATCH(T$4,Curves,0)))</f>
        <v/>
      </c>
      <c r="U381" s="201" t="str">
        <f aca="false">IF(A382="","",T381)</f>
        <v/>
      </c>
      <c r="V381" s="225" t="str">
        <f aca="false">IF($A382="","",IF(AND(MONTH(A381)&gt;3,MONTH(A381)&lt;11),(T381+R381+G381)*Summary!$T$9/(1-Summary!$T$9),(T381+R381+G381)*Summary!$U$9/(1-Summary!$U$9)))</f>
        <v/>
      </c>
      <c r="W381" s="200" t="str">
        <f aca="false">IF($A382="","",(T381+R381+G381+V381))</f>
        <v/>
      </c>
      <c r="X381" s="200" t="str">
        <f aca="false">IF($A382="","",(U381+S381+H381+V381))</f>
        <v/>
      </c>
      <c r="Y381" s="202"/>
      <c r="Z381" s="185"/>
      <c r="AG381" s="182"/>
      <c r="AH381" s="182"/>
      <c r="AI381" s="182"/>
      <c r="AJ381" s="218"/>
      <c r="AK381" s="218"/>
      <c r="AL381" s="218"/>
      <c r="AM381" s="218"/>
      <c r="AN381" s="218"/>
      <c r="AO381" s="137" t="str">
        <f aca="false">IF(A382="","",A382-A381)</f>
        <v/>
      </c>
      <c r="AP381" s="212" t="str">
        <f aca="false">IF(A382="","",CHOOSE(F$3,A382+24,A381))</f>
        <v/>
      </c>
      <c r="AQ381" s="209" t="str">
        <f aca="false">IF(A382="","",AP381-$E$1)</f>
        <v/>
      </c>
      <c r="AR381" s="185" t="n">
        <f aca="false">'ANR OK vs ML7'!AR381</f>
        <v>0.1</v>
      </c>
      <c r="AS381" s="213" t="str">
        <f aca="false">IF(A382="","",1/(1+CHOOSE(F$3,(AR382+($I$3/10000))/2,(AR381+($I$3/10000))/2))^(2*AQ381/365.25))</f>
        <v/>
      </c>
      <c r="AT381" s="137" t="str">
        <f aca="false">IF(A382="","",IF(AND(mthbeg&lt;=A381,mthend&gt;=A381),1,0))</f>
        <v/>
      </c>
      <c r="AU381" s="137" t="str">
        <f aca="false">IF(A382="","",AO381*AT381)</f>
        <v/>
      </c>
      <c r="AW381" s="195" t="str">
        <f aca="false">IF($A382="","",AL381*$E381)</f>
        <v/>
      </c>
      <c r="AX381" s="195" t="str">
        <f aca="false">IF($A382="","",AM381*$E381)</f>
        <v/>
      </c>
      <c r="AY381" s="195" t="str">
        <f aca="false">IF($A382="","",AN381*$E381)</f>
        <v/>
      </c>
      <c r="BA381" s="195" t="str">
        <f aca="false">IF($A382="","",F381*Summary!$Q$9)</f>
        <v/>
      </c>
    </row>
    <row r="382" customFormat="false" ht="12.75" hidden="false" customHeight="false" outlineLevel="0" collapsed="false">
      <c r="A382" s="196" t="str">
        <f aca="false">IF(A381&lt;mthend,EDATE(A381,1),"")</f>
        <v/>
      </c>
      <c r="B382" s="197" t="str">
        <f aca="false">IF(A382&lt;mthend,B381,"")</f>
        <v/>
      </c>
      <c r="D382" s="197" t="str">
        <f aca="false">IF(A383&lt;&gt;"",B382+C382,"")</f>
        <v/>
      </c>
      <c r="E382" s="199" t="str">
        <f aca="false">IF(A383="","",IF(AND(AT382=1,$H$3=1),D382*AO382,IF($H$3=2,D382,"N/A")))</f>
        <v/>
      </c>
      <c r="F382" s="199" t="str">
        <f aca="false">IF(A383="","",E382*AS382)</f>
        <v/>
      </c>
      <c r="G382" s="200" t="str">
        <f aca="false">IF($A383="","",VLOOKUP($A382,Table,MATCH(G$4,Curves,0)))</f>
        <v/>
      </c>
      <c r="H382" s="201" t="str">
        <f aca="false">IF(A383="","",G382)</f>
        <v/>
      </c>
      <c r="J382" s="200" t="str">
        <f aca="false">IF($A383="","",VLOOKUP($A382,Table,MATCH(J$4,Curves,0)))</f>
        <v/>
      </c>
      <c r="K382" s="201" t="str">
        <f aca="false">IF(A383="","",J382)</f>
        <v/>
      </c>
      <c r="L382" s="200" t="str">
        <f aca="false">IF($A383="","",VLOOKUP($A382,Table,MATCH(L$4,Curves,0)))</f>
        <v/>
      </c>
      <c r="M382" s="201" t="str">
        <f aca="false">IF(A383="","",L382)</f>
        <v/>
      </c>
      <c r="O382" s="200" t="str">
        <f aca="false">IF(A383="","",L382+J382+G382)</f>
        <v/>
      </c>
      <c r="P382" s="200" t="str">
        <f aca="false">IF(A383="","",M382+K382+H382)</f>
        <v/>
      </c>
      <c r="R382" s="200" t="str">
        <f aca="false">IF($A383="","",VLOOKUP($A382,Table,MATCH(R$4,Curves,0)))</f>
        <v/>
      </c>
      <c r="S382" s="201" t="str">
        <f aca="false">IF(A383="","",R382)</f>
        <v/>
      </c>
      <c r="T382" s="200" t="str">
        <f aca="false">IF($A383="","",VLOOKUP($A382,Table,MATCH(T$4,Curves,0)))</f>
        <v/>
      </c>
      <c r="U382" s="201" t="str">
        <f aca="false">IF(A383="","",T382)</f>
        <v/>
      </c>
      <c r="V382" s="225" t="str">
        <f aca="false">IF($A383="","",IF(AND(MONTH(A382)&gt;3,MONTH(A382)&lt;11),(T382+R382+G382)*Summary!$T$9/(1-Summary!$T$9),(T382+R382+G382)*Summary!$U$9/(1-Summary!$U$9)))</f>
        <v/>
      </c>
      <c r="W382" s="200" t="str">
        <f aca="false">IF($A383="","",(T382+R382+G382+V382))</f>
        <v/>
      </c>
      <c r="X382" s="200" t="str">
        <f aca="false">IF($A383="","",(U382+S382+H382+V382))</f>
        <v/>
      </c>
      <c r="Y382" s="202"/>
      <c r="Z382" s="185"/>
      <c r="AG382" s="182"/>
      <c r="AH382" s="182"/>
      <c r="AI382" s="182"/>
      <c r="AJ382" s="218"/>
      <c r="AK382" s="218"/>
      <c r="AL382" s="218"/>
      <c r="AM382" s="218"/>
      <c r="AN382" s="218"/>
      <c r="AO382" s="137" t="str">
        <f aca="false">IF(A383="","",A383-A382)</f>
        <v/>
      </c>
      <c r="AP382" s="212" t="str">
        <f aca="false">IF(A383="","",CHOOSE(F$3,A383+24,A382))</f>
        <v/>
      </c>
      <c r="AQ382" s="209" t="str">
        <f aca="false">IF(A383="","",AP382-$E$1)</f>
        <v/>
      </c>
      <c r="AR382" s="185" t="n">
        <f aca="false">'ANR OK vs ML7'!AR382</f>
        <v>0.1</v>
      </c>
      <c r="AS382" s="213" t="str">
        <f aca="false">IF(A383="","",1/(1+CHOOSE(F$3,(AR383+($I$3/10000))/2,(AR382+($I$3/10000))/2))^(2*AQ382/365.25))</f>
        <v/>
      </c>
      <c r="AT382" s="137" t="str">
        <f aca="false">IF(A383="","",IF(AND(mthbeg&lt;=A382,mthend&gt;=A382),1,0))</f>
        <v/>
      </c>
      <c r="AU382" s="137" t="str">
        <f aca="false">IF(A383="","",AO382*AT382)</f>
        <v/>
      </c>
      <c r="AW382" s="195" t="str">
        <f aca="false">IF($A383="","",AL382*$E382)</f>
        <v/>
      </c>
      <c r="AX382" s="195" t="str">
        <f aca="false">IF($A383="","",AM382*$E382)</f>
        <v/>
      </c>
      <c r="AY382" s="195" t="str">
        <f aca="false">IF($A383="","",AN382*$E382)</f>
        <v/>
      </c>
      <c r="BA382" s="195" t="str">
        <f aca="false">IF($A383="","",F382*Summary!$Q$9)</f>
        <v/>
      </c>
    </row>
    <row r="383" customFormat="false" ht="12.75" hidden="false" customHeight="false" outlineLevel="0" collapsed="false">
      <c r="A383" s="196" t="str">
        <f aca="false">IF(A382&lt;mthend,EDATE(A382,1),"")</f>
        <v/>
      </c>
      <c r="B383" s="197" t="str">
        <f aca="false">IF(A383&lt;mthend,B382,"")</f>
        <v/>
      </c>
      <c r="D383" s="197" t="str">
        <f aca="false">IF(A384&lt;&gt;"",B383+C383,"")</f>
        <v/>
      </c>
      <c r="E383" s="199" t="str">
        <f aca="false">IF(A384="","",IF(AND(AT383=1,$H$3=1),D383*AO383,IF($H$3=2,D383,"N/A")))</f>
        <v/>
      </c>
      <c r="F383" s="199" t="str">
        <f aca="false">IF(A384="","",E383*AS383)</f>
        <v/>
      </c>
      <c r="G383" s="200" t="str">
        <f aca="false">IF($A384="","",VLOOKUP($A383,Table,MATCH(G$4,Curves,0)))</f>
        <v/>
      </c>
      <c r="H383" s="201" t="str">
        <f aca="false">IF(A384="","",G383)</f>
        <v/>
      </c>
      <c r="J383" s="200" t="str">
        <f aca="false">IF($A384="","",VLOOKUP($A383,Table,MATCH(J$4,Curves,0)))</f>
        <v/>
      </c>
      <c r="K383" s="201" t="str">
        <f aca="false">IF(A384="","",J383)</f>
        <v/>
      </c>
      <c r="L383" s="200" t="str">
        <f aca="false">IF($A384="","",VLOOKUP($A383,Table,MATCH(L$4,Curves,0)))</f>
        <v/>
      </c>
      <c r="M383" s="201" t="str">
        <f aca="false">IF(A384="","",L383)</f>
        <v/>
      </c>
      <c r="O383" s="200" t="str">
        <f aca="false">IF(A384="","",L383+J383+G383)</f>
        <v/>
      </c>
      <c r="P383" s="200" t="str">
        <f aca="false">IF(A384="","",M383+K383+H383)</f>
        <v/>
      </c>
      <c r="R383" s="200" t="str">
        <f aca="false">IF($A384="","",VLOOKUP($A383,Table,MATCH(R$4,Curves,0)))</f>
        <v/>
      </c>
      <c r="S383" s="201" t="str">
        <f aca="false">IF(A384="","",R383)</f>
        <v/>
      </c>
      <c r="T383" s="200" t="str">
        <f aca="false">IF($A384="","",VLOOKUP($A383,Table,MATCH(T$4,Curves,0)))</f>
        <v/>
      </c>
      <c r="U383" s="201" t="str">
        <f aca="false">IF(A384="","",T383)</f>
        <v/>
      </c>
      <c r="V383" s="225" t="str">
        <f aca="false">IF($A384="","",IF(AND(MONTH(A383)&gt;3,MONTH(A383)&lt;11),(T383+R383+G383)*Summary!$T$9/(1-Summary!$T$9),(T383+R383+G383)*Summary!$U$9/(1-Summary!$U$9)))</f>
        <v/>
      </c>
      <c r="W383" s="200" t="str">
        <f aca="false">IF($A384="","",(T383+R383+G383+V383))</f>
        <v/>
      </c>
      <c r="X383" s="200" t="str">
        <f aca="false">IF($A384="","",(U383+S383+H383+V383))</f>
        <v/>
      </c>
      <c r="Y383" s="202"/>
      <c r="Z383" s="185"/>
      <c r="AG383" s="182"/>
      <c r="AH383" s="182"/>
      <c r="AI383" s="182"/>
      <c r="AJ383" s="218"/>
      <c r="AK383" s="218"/>
      <c r="AL383" s="218"/>
      <c r="AM383" s="218"/>
      <c r="AN383" s="218"/>
      <c r="AO383" s="137" t="str">
        <f aca="false">IF(A384="","",A384-A383)</f>
        <v/>
      </c>
      <c r="AP383" s="212" t="str">
        <f aca="false">IF(A384="","",CHOOSE(F$3,A384+24,A383))</f>
        <v/>
      </c>
      <c r="AQ383" s="209" t="str">
        <f aca="false">IF(A384="","",AP383-$E$1)</f>
        <v/>
      </c>
      <c r="AR383" s="185" t="n">
        <f aca="false">'ANR OK vs ML7'!AR383</f>
        <v>0.1</v>
      </c>
      <c r="AS383" s="213" t="str">
        <f aca="false">IF(A384="","",1/(1+CHOOSE(F$3,(AR384+($I$3/10000))/2,(AR383+($I$3/10000))/2))^(2*AQ383/365.25))</f>
        <v/>
      </c>
      <c r="AT383" s="137" t="str">
        <f aca="false">IF(A384="","",IF(AND(mthbeg&lt;=A383,mthend&gt;=A383),1,0))</f>
        <v/>
      </c>
      <c r="AU383" s="137" t="str">
        <f aca="false">IF(A384="","",AO383*AT383)</f>
        <v/>
      </c>
      <c r="AW383" s="195" t="str">
        <f aca="false">IF($A384="","",AL383*$E383)</f>
        <v/>
      </c>
      <c r="AX383" s="195" t="str">
        <f aca="false">IF($A384="","",AM383*$E383)</f>
        <v/>
      </c>
      <c r="AY383" s="195" t="str">
        <f aca="false">IF($A384="","",AN383*$E383)</f>
        <v/>
      </c>
      <c r="BA383" s="195" t="str">
        <f aca="false">IF($A384="","",F383*Summary!$Q$9)</f>
        <v/>
      </c>
    </row>
    <row r="384" customFormat="false" ht="12.75" hidden="false" customHeight="false" outlineLevel="0" collapsed="false">
      <c r="A384" s="196" t="str">
        <f aca="false">IF(A383&lt;mthend,EDATE(A383,1),"")</f>
        <v/>
      </c>
      <c r="B384" s="197" t="str">
        <f aca="false">IF(A384&lt;mthend,B383,"")</f>
        <v/>
      </c>
      <c r="D384" s="197" t="str">
        <f aca="false">IF(A385&lt;&gt;"",B384+C384,"")</f>
        <v/>
      </c>
      <c r="E384" s="199" t="str">
        <f aca="false">IF(A385="","",IF(AND(AT384=1,$H$3=1),D384*AO384,IF($H$3=2,D384,"N/A")))</f>
        <v/>
      </c>
      <c r="F384" s="199" t="str">
        <f aca="false">IF(A385="","",E384*AS384)</f>
        <v/>
      </c>
      <c r="G384" s="200" t="str">
        <f aca="false">IF($A385="","",VLOOKUP($A384,Table,MATCH(G$4,Curves,0)))</f>
        <v/>
      </c>
      <c r="H384" s="201" t="str">
        <f aca="false">IF(A385="","",G384)</f>
        <v/>
      </c>
      <c r="J384" s="200" t="str">
        <f aca="false">IF($A385="","",VLOOKUP($A384,Table,MATCH(J$4,Curves,0)))</f>
        <v/>
      </c>
      <c r="K384" s="201" t="str">
        <f aca="false">IF(A385="","",J384)</f>
        <v/>
      </c>
      <c r="L384" s="200" t="str">
        <f aca="false">IF($A385="","",VLOOKUP($A384,Table,MATCH(L$4,Curves,0)))</f>
        <v/>
      </c>
      <c r="M384" s="201" t="str">
        <f aca="false">IF(A385="","",L384)</f>
        <v/>
      </c>
      <c r="O384" s="200" t="str">
        <f aca="false">IF(A385="","",L384+J384+G384)</f>
        <v/>
      </c>
      <c r="P384" s="200" t="str">
        <f aca="false">IF(A385="","",M384+K384+H384)</f>
        <v/>
      </c>
      <c r="R384" s="200" t="str">
        <f aca="false">IF($A385="","",VLOOKUP($A384,Table,MATCH(R$4,Curves,0)))</f>
        <v/>
      </c>
      <c r="S384" s="201" t="str">
        <f aca="false">IF(A385="","",R384)</f>
        <v/>
      </c>
      <c r="T384" s="200" t="str">
        <f aca="false">IF($A385="","",VLOOKUP($A384,Table,MATCH(T$4,Curves,0)))</f>
        <v/>
      </c>
      <c r="U384" s="201" t="str">
        <f aca="false">IF(A385="","",T384)</f>
        <v/>
      </c>
      <c r="V384" s="225" t="str">
        <f aca="false">IF($A385="","",IF(AND(MONTH(A384)&gt;3,MONTH(A384)&lt;11),(T384+R384+G384)*Summary!$T$9/(1-Summary!$T$9),(T384+R384+G384)*Summary!$U$9/(1-Summary!$U$9)))</f>
        <v/>
      </c>
      <c r="W384" s="200" t="str">
        <f aca="false">IF($A385="","",(T384+R384+G384+V384))</f>
        <v/>
      </c>
      <c r="X384" s="200" t="str">
        <f aca="false">IF($A385="","",(U384+S384+H384+V384))</f>
        <v/>
      </c>
      <c r="Y384" s="202"/>
      <c r="Z384" s="185"/>
      <c r="AG384" s="182"/>
      <c r="AH384" s="182"/>
      <c r="AI384" s="182"/>
      <c r="AJ384" s="218"/>
      <c r="AK384" s="218"/>
      <c r="AL384" s="218"/>
      <c r="AM384" s="218"/>
      <c r="AN384" s="218"/>
      <c r="AO384" s="137" t="str">
        <f aca="false">IF(A385="","",A385-A384)</f>
        <v/>
      </c>
      <c r="AP384" s="212" t="str">
        <f aca="false">IF(A385="","",CHOOSE(F$3,A385+24,A384))</f>
        <v/>
      </c>
      <c r="AQ384" s="209" t="str">
        <f aca="false">IF(A385="","",AP384-$E$1)</f>
        <v/>
      </c>
      <c r="AR384" s="185" t="n">
        <f aca="false">'ANR OK vs ML7'!AR384</f>
        <v>0.1</v>
      </c>
      <c r="AS384" s="213" t="str">
        <f aca="false">IF(A385="","",1/(1+CHOOSE(F$3,(AR385+($I$3/10000))/2,(AR384+($I$3/10000))/2))^(2*AQ384/365.25))</f>
        <v/>
      </c>
      <c r="AT384" s="137" t="str">
        <f aca="false">IF(A385="","",IF(AND(mthbeg&lt;=A384,mthend&gt;=A384),1,0))</f>
        <v/>
      </c>
      <c r="AU384" s="137" t="str">
        <f aca="false">IF(A385="","",AO384*AT384)</f>
        <v/>
      </c>
      <c r="AW384" s="195" t="str">
        <f aca="false">IF($A385="","",AL384*$E384)</f>
        <v/>
      </c>
      <c r="AX384" s="195" t="str">
        <f aca="false">IF($A385="","",AM384*$E384)</f>
        <v/>
      </c>
      <c r="AY384" s="195" t="str">
        <f aca="false">IF($A385="","",AN384*$E384)</f>
        <v/>
      </c>
      <c r="BA384" s="195" t="str">
        <f aca="false">IF($A385="","",F384*Summary!$Q$9)</f>
        <v/>
      </c>
    </row>
    <row r="385" customFormat="false" ht="12.75" hidden="false" customHeight="false" outlineLevel="0" collapsed="false">
      <c r="A385" s="196" t="str">
        <f aca="false">IF(A384&lt;mthend,EDATE(A384,1),"")</f>
        <v/>
      </c>
      <c r="B385" s="197" t="str">
        <f aca="false">IF(A385&lt;mthend,B384,"")</f>
        <v/>
      </c>
      <c r="D385" s="197" t="str">
        <f aca="false">IF(A386&lt;&gt;"",B385+C385,"")</f>
        <v/>
      </c>
      <c r="E385" s="199" t="str">
        <f aca="false">IF(A386="","",IF(AND(AT385=1,$H$3=1),D385*AO385,IF($H$3=2,D385,"N/A")))</f>
        <v/>
      </c>
      <c r="F385" s="199" t="str">
        <f aca="false">IF(A386="","",E385*AS385)</f>
        <v/>
      </c>
      <c r="G385" s="200" t="str">
        <f aca="false">IF($A386="","",VLOOKUP($A385,Table,MATCH(G$4,Curves,0)))</f>
        <v/>
      </c>
      <c r="H385" s="201" t="str">
        <f aca="false">IF(A386="","",G385)</f>
        <v/>
      </c>
      <c r="J385" s="200" t="str">
        <f aca="false">IF($A386="","",VLOOKUP($A385,Table,MATCH(J$4,Curves,0)))</f>
        <v/>
      </c>
      <c r="K385" s="201" t="str">
        <f aca="false">IF(A386="","",J385)</f>
        <v/>
      </c>
      <c r="L385" s="200" t="str">
        <f aca="false">IF($A386="","",VLOOKUP($A385,Table,MATCH(L$4,Curves,0)))</f>
        <v/>
      </c>
      <c r="M385" s="201" t="str">
        <f aca="false">IF(A386="","",L385)</f>
        <v/>
      </c>
      <c r="O385" s="200" t="str">
        <f aca="false">IF(A386="","",L385+J385+G385)</f>
        <v/>
      </c>
      <c r="P385" s="200" t="str">
        <f aca="false">IF(A386="","",M385+K385+H385)</f>
        <v/>
      </c>
      <c r="R385" s="200" t="str">
        <f aca="false">IF($A386="","",VLOOKUP($A385,Table,MATCH(R$4,Curves,0)))</f>
        <v/>
      </c>
      <c r="S385" s="201" t="str">
        <f aca="false">IF(A386="","",R385)</f>
        <v/>
      </c>
      <c r="T385" s="200" t="str">
        <f aca="false">IF($A386="","",VLOOKUP($A385,Table,MATCH(T$4,Curves,0)))</f>
        <v/>
      </c>
      <c r="U385" s="201" t="str">
        <f aca="false">IF(A386="","",T385)</f>
        <v/>
      </c>
      <c r="V385" s="225" t="str">
        <f aca="false">IF($A386="","",IF(AND(MONTH(A385)&gt;3,MONTH(A385)&lt;11),(T385+R385+G385)*Summary!$T$9/(1-Summary!$T$9),(T385+R385+G385)*Summary!$U$9/(1-Summary!$U$9)))</f>
        <v/>
      </c>
      <c r="W385" s="200" t="str">
        <f aca="false">IF($A386="","",(T385+R385+G385+V385))</f>
        <v/>
      </c>
      <c r="X385" s="200" t="str">
        <f aca="false">IF($A386="","",(U385+S385+H385+V385))</f>
        <v/>
      </c>
      <c r="Y385" s="202"/>
      <c r="Z385" s="185"/>
      <c r="AG385" s="182"/>
      <c r="AH385" s="182"/>
      <c r="AI385" s="182"/>
      <c r="AJ385" s="218"/>
      <c r="AK385" s="218"/>
      <c r="AL385" s="218"/>
      <c r="AM385" s="218"/>
      <c r="AN385" s="218"/>
      <c r="AO385" s="137" t="str">
        <f aca="false">IF(A386="","",A386-A385)</f>
        <v/>
      </c>
      <c r="AP385" s="212" t="str">
        <f aca="false">IF(A386="","",CHOOSE(F$3,A386+24,A385))</f>
        <v/>
      </c>
      <c r="AQ385" s="209" t="str">
        <f aca="false">IF(A386="","",AP385-$E$1)</f>
        <v/>
      </c>
      <c r="AR385" s="185" t="n">
        <f aca="false">'ANR OK vs ML7'!AR385</f>
        <v>0.1</v>
      </c>
      <c r="AS385" s="213" t="str">
        <f aca="false">IF(A386="","",1/(1+CHOOSE(F$3,(AR386+($I$3/10000))/2,(AR385+($I$3/10000))/2))^(2*AQ385/365.25))</f>
        <v/>
      </c>
      <c r="AT385" s="137" t="str">
        <f aca="false">IF(A386="","",IF(AND(mthbeg&lt;=A385,mthend&gt;=A385),1,0))</f>
        <v/>
      </c>
      <c r="AU385" s="137" t="str">
        <f aca="false">IF(A386="","",AO385*AT385)</f>
        <v/>
      </c>
      <c r="AW385" s="195" t="str">
        <f aca="false">IF($A386="","",AL385*$E385)</f>
        <v/>
      </c>
      <c r="AX385" s="195" t="str">
        <f aca="false">IF($A386="","",AM385*$E385)</f>
        <v/>
      </c>
      <c r="AY385" s="195" t="str">
        <f aca="false">IF($A386="","",AN385*$E385)</f>
        <v/>
      </c>
      <c r="BA385" s="195" t="str">
        <f aca="false">IF($A386="","",F385*Summary!$Q$9)</f>
        <v/>
      </c>
    </row>
    <row r="386" customFormat="false" ht="12.75" hidden="false" customHeight="false" outlineLevel="0" collapsed="false">
      <c r="A386" s="196" t="str">
        <f aca="false">IF(A385&lt;mthend,EDATE(A385,1),"")</f>
        <v/>
      </c>
      <c r="B386" s="197" t="str">
        <f aca="false">IF(A386&lt;mthend,B385,"")</f>
        <v/>
      </c>
      <c r="D386" s="197" t="str">
        <f aca="false">IF(A387&lt;&gt;"",B386+C386,"")</f>
        <v/>
      </c>
      <c r="E386" s="199" t="str">
        <f aca="false">IF(A387="","",IF(AND(AT386=1,$H$3=1),D386*AO386,IF($H$3=2,D386,"N/A")))</f>
        <v/>
      </c>
      <c r="F386" s="199" t="str">
        <f aca="false">IF(A387="","",E386*AS386)</f>
        <v/>
      </c>
      <c r="G386" s="200" t="str">
        <f aca="false">IF($A387="","",VLOOKUP($A386,Table,MATCH(G$4,Curves,0)))</f>
        <v/>
      </c>
      <c r="H386" s="201" t="str">
        <f aca="false">IF(A387="","",G386)</f>
        <v/>
      </c>
      <c r="J386" s="200" t="str">
        <f aca="false">IF($A387="","",VLOOKUP($A386,Table,MATCH(J$4,Curves,0)))</f>
        <v/>
      </c>
      <c r="K386" s="201" t="str">
        <f aca="false">IF(A387="","",J386)</f>
        <v/>
      </c>
      <c r="L386" s="200" t="str">
        <f aca="false">IF($A387="","",VLOOKUP($A386,Table,MATCH(L$4,Curves,0)))</f>
        <v/>
      </c>
      <c r="M386" s="201" t="str">
        <f aca="false">IF(A387="","",L386)</f>
        <v/>
      </c>
      <c r="O386" s="200" t="str">
        <f aca="false">IF(A387="","",L386+J386+G386)</f>
        <v/>
      </c>
      <c r="P386" s="200" t="str">
        <f aca="false">IF(A387="","",M386+K386+H386)</f>
        <v/>
      </c>
      <c r="R386" s="200" t="str">
        <f aca="false">IF($A387="","",VLOOKUP($A386,Table,MATCH(R$4,Curves,0)))</f>
        <v/>
      </c>
      <c r="S386" s="201" t="str">
        <f aca="false">IF(A387="","",R386)</f>
        <v/>
      </c>
      <c r="T386" s="200" t="str">
        <f aca="false">IF($A387="","",VLOOKUP($A386,Table,MATCH(T$4,Curves,0)))</f>
        <v/>
      </c>
      <c r="U386" s="201" t="str">
        <f aca="false">IF(A387="","",T386)</f>
        <v/>
      </c>
      <c r="V386" s="225" t="str">
        <f aca="false">IF($A387="","",IF(AND(MONTH(A386)&gt;3,MONTH(A386)&lt;11),(T386+R386+G386)*Summary!$T$9/(1-Summary!$T$9),(T386+R386+G386)*Summary!$U$9/(1-Summary!$U$9)))</f>
        <v/>
      </c>
      <c r="W386" s="200" t="str">
        <f aca="false">IF($A387="","",(T386+R386+G386+V386))</f>
        <v/>
      </c>
      <c r="X386" s="200" t="str">
        <f aca="false">IF($A387="","",(U386+S386+H386+V386))</f>
        <v/>
      </c>
      <c r="Y386" s="202"/>
      <c r="Z386" s="185"/>
      <c r="AG386" s="182"/>
      <c r="AH386" s="182"/>
      <c r="AI386" s="182"/>
      <c r="AJ386" s="218"/>
      <c r="AK386" s="218"/>
      <c r="AL386" s="218"/>
      <c r="AM386" s="218"/>
      <c r="AN386" s="218"/>
      <c r="AO386" s="137" t="str">
        <f aca="false">IF(A387="","",A387-A386)</f>
        <v/>
      </c>
      <c r="AP386" s="212" t="str">
        <f aca="false">IF(A387="","",CHOOSE(F$3,A387+24,A386))</f>
        <v/>
      </c>
      <c r="AQ386" s="209" t="str">
        <f aca="false">IF(A387="","",AP386-$E$1)</f>
        <v/>
      </c>
      <c r="AR386" s="185" t="n">
        <f aca="false">'ANR OK vs ML7'!AR386</f>
        <v>0.1</v>
      </c>
      <c r="AS386" s="213" t="str">
        <f aca="false">IF(A387="","",1/(1+CHOOSE(F$3,(AR387+($I$3/10000))/2,(AR386+($I$3/10000))/2))^(2*AQ386/365.25))</f>
        <v/>
      </c>
      <c r="AT386" s="137" t="str">
        <f aca="false">IF(A387="","",IF(AND(mthbeg&lt;=A386,mthend&gt;=A386),1,0))</f>
        <v/>
      </c>
      <c r="AU386" s="137" t="str">
        <f aca="false">IF(A387="","",AO386*AT386)</f>
        <v/>
      </c>
      <c r="AW386" s="195" t="str">
        <f aca="false">IF($A387="","",AL386*$E386)</f>
        <v/>
      </c>
      <c r="AX386" s="195" t="str">
        <f aca="false">IF($A387="","",AM386*$E386)</f>
        <v/>
      </c>
      <c r="AY386" s="195" t="str">
        <f aca="false">IF($A387="","",AN386*$E386)</f>
        <v/>
      </c>
      <c r="BA386" s="195" t="str">
        <f aca="false">IF($A387="","",F386*Summary!$Q$9)</f>
        <v/>
      </c>
    </row>
    <row r="387" customFormat="false" ht="12.75" hidden="false" customHeight="false" outlineLevel="0" collapsed="false">
      <c r="A387" s="196" t="str">
        <f aca="false">IF(A386&lt;mthend,EDATE(A386,1),"")</f>
        <v/>
      </c>
      <c r="B387" s="197" t="str">
        <f aca="false">IF(A387&lt;mthend,B386,"")</f>
        <v/>
      </c>
      <c r="D387" s="197" t="str">
        <f aca="false">IF(A388&lt;&gt;"",B387+C387,"")</f>
        <v/>
      </c>
      <c r="E387" s="199" t="str">
        <f aca="false">IF(A388="","",IF(AND(AT387=1,$H$3=1),D387*AO387,IF($H$3=2,D387,"N/A")))</f>
        <v/>
      </c>
      <c r="F387" s="199" t="str">
        <f aca="false">IF(A388="","",E387*AS387)</f>
        <v/>
      </c>
      <c r="G387" s="200" t="str">
        <f aca="false">IF($A388="","",VLOOKUP($A387,Table,MATCH(G$4,Curves,0)))</f>
        <v/>
      </c>
      <c r="H387" s="201" t="str">
        <f aca="false">IF(A388="","",G387)</f>
        <v/>
      </c>
      <c r="J387" s="200" t="str">
        <f aca="false">IF($A388="","",VLOOKUP($A387,Table,MATCH(J$4,Curves,0)))</f>
        <v/>
      </c>
      <c r="K387" s="201" t="str">
        <f aca="false">IF(A388="","",J387)</f>
        <v/>
      </c>
      <c r="L387" s="200" t="str">
        <f aca="false">IF($A388="","",VLOOKUP($A387,Table,MATCH(L$4,Curves,0)))</f>
        <v/>
      </c>
      <c r="M387" s="201" t="str">
        <f aca="false">IF(A388="","",L387)</f>
        <v/>
      </c>
      <c r="O387" s="200" t="str">
        <f aca="false">IF(A388="","",L387+J387+G387)</f>
        <v/>
      </c>
      <c r="P387" s="200" t="str">
        <f aca="false">IF(A388="","",M387+K387+H387)</f>
        <v/>
      </c>
      <c r="R387" s="200" t="str">
        <f aca="false">IF($A388="","",VLOOKUP($A387,Table,MATCH(R$4,Curves,0)))</f>
        <v/>
      </c>
      <c r="S387" s="201" t="str">
        <f aca="false">IF(A388="","",R387)</f>
        <v/>
      </c>
      <c r="T387" s="200" t="str">
        <f aca="false">IF($A388="","",VLOOKUP($A387,Table,MATCH(T$4,Curves,0)))</f>
        <v/>
      </c>
      <c r="U387" s="201" t="str">
        <f aca="false">IF(A388="","",T387)</f>
        <v/>
      </c>
      <c r="V387" s="225" t="str">
        <f aca="false">IF($A388="","",IF(AND(MONTH(A387)&gt;3,MONTH(A387)&lt;11),(T387+R387+G387)*Summary!$T$9/(1-Summary!$T$9),(T387+R387+G387)*Summary!$U$9/(1-Summary!$U$9)))</f>
        <v/>
      </c>
      <c r="W387" s="200" t="str">
        <f aca="false">IF($A388="","",(T387+R387+G387+V387))</f>
        <v/>
      </c>
      <c r="X387" s="200" t="str">
        <f aca="false">IF($A388="","",(U387+S387+H387+V387))</f>
        <v/>
      </c>
      <c r="Y387" s="202"/>
      <c r="Z387" s="185"/>
      <c r="AG387" s="182"/>
      <c r="AH387" s="182"/>
      <c r="AI387" s="182"/>
      <c r="AJ387" s="218"/>
      <c r="AK387" s="218"/>
      <c r="AL387" s="218"/>
      <c r="AM387" s="218"/>
      <c r="AN387" s="218"/>
      <c r="AO387" s="137" t="str">
        <f aca="false">IF(A388="","",A388-A387)</f>
        <v/>
      </c>
      <c r="AP387" s="212" t="str">
        <f aca="false">IF(A388="","",CHOOSE(F$3,A388+24,A387))</f>
        <v/>
      </c>
      <c r="AQ387" s="209" t="str">
        <f aca="false">IF(A388="","",AP387-$E$1)</f>
        <v/>
      </c>
      <c r="AR387" s="185" t="n">
        <f aca="false">'ANR OK vs ML7'!AR387</f>
        <v>0.1</v>
      </c>
      <c r="AS387" s="213" t="str">
        <f aca="false">IF(A388="","",1/(1+CHOOSE(F$3,(AR388+($I$3/10000))/2,(AR387+($I$3/10000))/2))^(2*AQ387/365.25))</f>
        <v/>
      </c>
      <c r="AT387" s="137" t="str">
        <f aca="false">IF(A388="","",IF(AND(mthbeg&lt;=A387,mthend&gt;=A387),1,0))</f>
        <v/>
      </c>
      <c r="AU387" s="137" t="str">
        <f aca="false">IF(A388="","",AO387*AT387)</f>
        <v/>
      </c>
      <c r="AW387" s="195" t="str">
        <f aca="false">IF($A388="","",AL387*$E387)</f>
        <v/>
      </c>
      <c r="AX387" s="195" t="str">
        <f aca="false">IF($A388="","",AM387*$E387)</f>
        <v/>
      </c>
      <c r="AY387" s="195" t="str">
        <f aca="false">IF($A388="","",AN387*$E387)</f>
        <v/>
      </c>
      <c r="BA387" s="195" t="str">
        <f aca="false">IF($A388="","",F387*Summary!$Q$9)</f>
        <v/>
      </c>
    </row>
    <row r="388" customFormat="false" ht="12.75" hidden="false" customHeight="false" outlineLevel="0" collapsed="false">
      <c r="A388" s="196" t="str">
        <f aca="false">IF(A387&lt;mthend,EDATE(A387,1),"")</f>
        <v/>
      </c>
      <c r="B388" s="197" t="str">
        <f aca="false">IF(A388&lt;mthend,B387,"")</f>
        <v/>
      </c>
      <c r="D388" s="197" t="str">
        <f aca="false">IF(A389&lt;&gt;"",B388+C388,"")</f>
        <v/>
      </c>
      <c r="E388" s="199" t="str">
        <f aca="false">IF(A389="","",IF(AND(AT388=1,$H$3=1),D388*AO388,IF($H$3=2,D388,"N/A")))</f>
        <v/>
      </c>
      <c r="F388" s="199" t="str">
        <f aca="false">IF(A389="","",E388*AS388)</f>
        <v/>
      </c>
      <c r="G388" s="200" t="str">
        <f aca="false">IF($A389="","",VLOOKUP($A388,Table,MATCH(G$4,Curves,0)))</f>
        <v/>
      </c>
      <c r="H388" s="201" t="str">
        <f aca="false">IF(A389="","",G388)</f>
        <v/>
      </c>
      <c r="J388" s="200" t="str">
        <f aca="false">IF($A389="","",VLOOKUP($A388,Table,MATCH(J$4,Curves,0)))</f>
        <v/>
      </c>
      <c r="K388" s="201" t="str">
        <f aca="false">IF(A389="","",J388)</f>
        <v/>
      </c>
      <c r="L388" s="200" t="str">
        <f aca="false">IF($A389="","",VLOOKUP($A388,Table,MATCH(L$4,Curves,0)))</f>
        <v/>
      </c>
      <c r="M388" s="201" t="str">
        <f aca="false">IF(A389="","",L388)</f>
        <v/>
      </c>
      <c r="O388" s="200" t="str">
        <f aca="false">IF(A389="","",L388+J388+G388)</f>
        <v/>
      </c>
      <c r="P388" s="200" t="str">
        <f aca="false">IF(A389="","",M388+K388+H388)</f>
        <v/>
      </c>
      <c r="R388" s="200" t="str">
        <f aca="false">IF($A389="","",VLOOKUP($A388,Table,MATCH(R$4,Curves,0)))</f>
        <v/>
      </c>
      <c r="S388" s="201" t="str">
        <f aca="false">IF(A389="","",R388)</f>
        <v/>
      </c>
      <c r="T388" s="200" t="str">
        <f aca="false">IF($A389="","",VLOOKUP($A388,Table,MATCH(T$4,Curves,0)))</f>
        <v/>
      </c>
      <c r="U388" s="201" t="str">
        <f aca="false">IF(A389="","",T388)</f>
        <v/>
      </c>
      <c r="V388" s="225" t="str">
        <f aca="false">IF($A389="","",IF(AND(MONTH(A388)&gt;3,MONTH(A388)&lt;11),(T388+R388+G388)*Summary!$T$9/(1-Summary!$T$9),(T388+R388+G388)*Summary!$U$9/(1-Summary!$U$9)))</f>
        <v/>
      </c>
      <c r="W388" s="200" t="str">
        <f aca="false">IF($A389="","",(T388+R388+G388+V388))</f>
        <v/>
      </c>
      <c r="X388" s="200" t="str">
        <f aca="false">IF($A389="","",(U388+S388+H388+V388))</f>
        <v/>
      </c>
      <c r="Y388" s="202"/>
      <c r="Z388" s="185"/>
      <c r="AG388" s="182"/>
      <c r="AH388" s="182"/>
      <c r="AI388" s="182"/>
      <c r="AJ388" s="218"/>
      <c r="AK388" s="218"/>
      <c r="AL388" s="218"/>
      <c r="AM388" s="218"/>
      <c r="AN388" s="218"/>
      <c r="AO388" s="137" t="str">
        <f aca="false">IF(A389="","",A389-A388)</f>
        <v/>
      </c>
      <c r="AP388" s="212" t="str">
        <f aca="false">IF(A389="","",CHOOSE(F$3,A389+24,A388))</f>
        <v/>
      </c>
      <c r="AQ388" s="209" t="str">
        <f aca="false">IF(A389="","",AP388-$E$1)</f>
        <v/>
      </c>
      <c r="AR388" s="185" t="n">
        <f aca="false">'ANR OK vs ML7'!AR388</f>
        <v>0.1</v>
      </c>
      <c r="AS388" s="213" t="str">
        <f aca="false">IF(A389="","",1/(1+CHOOSE(F$3,(AR389+($I$3/10000))/2,(AR388+($I$3/10000))/2))^(2*AQ388/365.25))</f>
        <v/>
      </c>
      <c r="AT388" s="137" t="str">
        <f aca="false">IF(A389="","",IF(AND(mthbeg&lt;=A388,mthend&gt;=A388),1,0))</f>
        <v/>
      </c>
      <c r="AU388" s="137" t="str">
        <f aca="false">IF(A389="","",AO388*AT388)</f>
        <v/>
      </c>
      <c r="AW388" s="195" t="str">
        <f aca="false">IF($A389="","",AL388*$E388)</f>
        <v/>
      </c>
      <c r="AX388" s="195" t="str">
        <f aca="false">IF($A389="","",AM388*$E388)</f>
        <v/>
      </c>
      <c r="AY388" s="195" t="str">
        <f aca="false">IF($A389="","",AN388*$E388)</f>
        <v/>
      </c>
      <c r="BA388" s="195" t="str">
        <f aca="false">IF($A389="","",F388*Summary!$Q$9)</f>
        <v/>
      </c>
    </row>
    <row r="389" customFormat="false" ht="12.75" hidden="false" customHeight="false" outlineLevel="0" collapsed="false">
      <c r="A389" s="196" t="str">
        <f aca="false">IF(A388&lt;mthend,EDATE(A388,1),"")</f>
        <v/>
      </c>
      <c r="B389" s="197" t="str">
        <f aca="false">IF(A389&lt;mthend,B388,"")</f>
        <v/>
      </c>
      <c r="D389" s="197" t="str">
        <f aca="false">IF(A390&lt;&gt;"",B389+C389,"")</f>
        <v/>
      </c>
      <c r="E389" s="199" t="str">
        <f aca="false">IF(A390="","",IF(AND(AT389=1,$H$3=1),D389*AO389,IF($H$3=2,D389,"N/A")))</f>
        <v/>
      </c>
      <c r="F389" s="199" t="str">
        <f aca="false">IF(A390="","",E389*AS389)</f>
        <v/>
      </c>
      <c r="G389" s="200" t="str">
        <f aca="false">IF($A390="","",VLOOKUP($A389,Table,MATCH(G$4,Curves,0)))</f>
        <v/>
      </c>
      <c r="H389" s="201" t="str">
        <f aca="false">IF(A390="","",G389)</f>
        <v/>
      </c>
      <c r="J389" s="200" t="str">
        <f aca="false">IF($A390="","",VLOOKUP($A389,Table,MATCH(J$4,Curves,0)))</f>
        <v/>
      </c>
      <c r="K389" s="201" t="str">
        <f aca="false">IF(A390="","",J389)</f>
        <v/>
      </c>
      <c r="L389" s="200" t="str">
        <f aca="false">IF($A390="","",VLOOKUP($A389,Table,MATCH(L$4,Curves,0)))</f>
        <v/>
      </c>
      <c r="M389" s="201" t="str">
        <f aca="false">IF(A390="","",L389)</f>
        <v/>
      </c>
      <c r="O389" s="200" t="str">
        <f aca="false">IF(A390="","",L389+J389+G389)</f>
        <v/>
      </c>
      <c r="P389" s="200" t="str">
        <f aca="false">IF(A390="","",M389+K389+H389)</f>
        <v/>
      </c>
      <c r="R389" s="200" t="str">
        <f aca="false">IF($A390="","",VLOOKUP($A389,Table,MATCH(R$4,Curves,0)))</f>
        <v/>
      </c>
      <c r="S389" s="201" t="str">
        <f aca="false">IF(A390="","",R389)</f>
        <v/>
      </c>
      <c r="T389" s="200" t="str">
        <f aca="false">IF($A390="","",VLOOKUP($A389,Table,MATCH(T$4,Curves,0)))</f>
        <v/>
      </c>
      <c r="U389" s="201" t="str">
        <f aca="false">IF(A390="","",T389)</f>
        <v/>
      </c>
      <c r="V389" s="225" t="str">
        <f aca="false">IF($A390="","",IF(AND(MONTH(A389)&gt;3,MONTH(A389)&lt;11),(T389+R389+G389)*Summary!$T$9/(1-Summary!$T$9),(T389+R389+G389)*Summary!$U$9/(1-Summary!$U$9)))</f>
        <v/>
      </c>
      <c r="W389" s="200" t="str">
        <f aca="false">IF($A390="","",(T389+R389+G389+V389))</f>
        <v/>
      </c>
      <c r="X389" s="200" t="str">
        <f aca="false">IF($A390="","",(U389+S389+H389+V389))</f>
        <v/>
      </c>
      <c r="Y389" s="202"/>
      <c r="Z389" s="185"/>
      <c r="AG389" s="182"/>
      <c r="AH389" s="182"/>
      <c r="AI389" s="182"/>
      <c r="AJ389" s="218"/>
      <c r="AK389" s="218"/>
      <c r="AL389" s="218"/>
      <c r="AM389" s="218"/>
      <c r="AN389" s="218"/>
      <c r="AO389" s="137" t="str">
        <f aca="false">IF(A390="","",A390-A389)</f>
        <v/>
      </c>
      <c r="AP389" s="212" t="str">
        <f aca="false">IF(A390="","",CHOOSE(F$3,A390+24,A389))</f>
        <v/>
      </c>
      <c r="AQ389" s="209" t="str">
        <f aca="false">IF(A390="","",AP389-$E$1)</f>
        <v/>
      </c>
      <c r="AR389" s="185" t="n">
        <f aca="false">'ANR OK vs ML7'!AR389</f>
        <v>0.1</v>
      </c>
      <c r="AS389" s="213" t="str">
        <f aca="false">IF(A390="","",1/(1+CHOOSE(F$3,(AR390+($I$3/10000))/2,(AR389+($I$3/10000))/2))^(2*AQ389/365.25))</f>
        <v/>
      </c>
      <c r="AT389" s="137" t="str">
        <f aca="false">IF(A390="","",IF(AND(mthbeg&lt;=A389,mthend&gt;=A389),1,0))</f>
        <v/>
      </c>
      <c r="AU389" s="137" t="str">
        <f aca="false">IF(A390="","",AO389*AT389)</f>
        <v/>
      </c>
      <c r="AW389" s="195" t="str">
        <f aca="false">IF($A390="","",AL389*$E389)</f>
        <v/>
      </c>
      <c r="AX389" s="195" t="str">
        <f aca="false">IF($A390="","",AM389*$E389)</f>
        <v/>
      </c>
      <c r="AY389" s="195" t="str">
        <f aca="false">IF($A390="","",AN389*$E389)</f>
        <v/>
      </c>
      <c r="BA389" s="195" t="str">
        <f aca="false">IF($A390="","",F389*Summary!$Q$9)</f>
        <v/>
      </c>
    </row>
    <row r="390" customFormat="false" ht="12.75" hidden="false" customHeight="false" outlineLevel="0" collapsed="false">
      <c r="A390" s="196" t="str">
        <f aca="false">IF(A389&lt;mthend,EDATE(A389,1),"")</f>
        <v/>
      </c>
      <c r="B390" s="197" t="str">
        <f aca="false">IF(A390&lt;mthend,B389,"")</f>
        <v/>
      </c>
      <c r="D390" s="197" t="str">
        <f aca="false">IF(A391&lt;&gt;"",B390+C390,"")</f>
        <v/>
      </c>
      <c r="E390" s="199" t="str">
        <f aca="false">IF(A391="","",IF(AND(AT390=1,$H$3=1),D390*AO390,IF($H$3=2,D390,"N/A")))</f>
        <v/>
      </c>
      <c r="F390" s="199" t="str">
        <f aca="false">IF(A391="","",E390*AS390)</f>
        <v/>
      </c>
      <c r="G390" s="200" t="str">
        <f aca="false">IF($A391="","",VLOOKUP($A390,Table,MATCH(G$4,Curves,0)))</f>
        <v/>
      </c>
      <c r="H390" s="201" t="str">
        <f aca="false">IF(A391="","",G390)</f>
        <v/>
      </c>
      <c r="J390" s="200" t="str">
        <f aca="false">IF($A391="","",VLOOKUP($A390,Table,MATCH(J$4,Curves,0)))</f>
        <v/>
      </c>
      <c r="K390" s="201" t="str">
        <f aca="false">IF(A391="","",J390)</f>
        <v/>
      </c>
      <c r="L390" s="200" t="str">
        <f aca="false">IF($A391="","",VLOOKUP($A390,Table,MATCH(L$4,Curves,0)))</f>
        <v/>
      </c>
      <c r="M390" s="201" t="str">
        <f aca="false">IF(A391="","",L390)</f>
        <v/>
      </c>
      <c r="O390" s="200" t="str">
        <f aca="false">IF(A391="","",L390+J390+G390)</f>
        <v/>
      </c>
      <c r="P390" s="200" t="str">
        <f aca="false">IF(A391="","",M390+K390+H390)</f>
        <v/>
      </c>
      <c r="R390" s="200" t="str">
        <f aca="false">IF($A391="","",VLOOKUP($A390,Table,MATCH(R$4,Curves,0)))</f>
        <v/>
      </c>
      <c r="S390" s="201" t="str">
        <f aca="false">IF(A391="","",R390)</f>
        <v/>
      </c>
      <c r="T390" s="200" t="str">
        <f aca="false">IF($A391="","",VLOOKUP($A390,Table,MATCH(T$4,Curves,0)))</f>
        <v/>
      </c>
      <c r="U390" s="201" t="str">
        <f aca="false">IF(A391="","",T390)</f>
        <v/>
      </c>
      <c r="V390" s="225" t="str">
        <f aca="false">IF($A391="","",IF(AND(MONTH(A390)&gt;3,MONTH(A390)&lt;11),(T390+R390+G390)*Summary!$T$9/(1-Summary!$T$9),(T390+R390+G390)*Summary!$U$9/(1-Summary!$U$9)))</f>
        <v/>
      </c>
      <c r="W390" s="200" t="str">
        <f aca="false">IF($A391="","",(T390+R390+G390+V390))</f>
        <v/>
      </c>
      <c r="X390" s="200" t="str">
        <f aca="false">IF($A391="","",(U390+S390+H390+V390))</f>
        <v/>
      </c>
      <c r="Y390" s="202"/>
      <c r="Z390" s="185"/>
      <c r="AG390" s="182"/>
      <c r="AH390" s="182"/>
      <c r="AI390" s="182"/>
      <c r="AJ390" s="218"/>
      <c r="AK390" s="218"/>
      <c r="AL390" s="218"/>
      <c r="AM390" s="218"/>
      <c r="AN390" s="218"/>
      <c r="AO390" s="137" t="str">
        <f aca="false">IF(A391="","",A391-A390)</f>
        <v/>
      </c>
      <c r="AP390" s="212" t="str">
        <f aca="false">IF(A391="","",CHOOSE(F$3,A391+24,A390))</f>
        <v/>
      </c>
      <c r="AQ390" s="209" t="str">
        <f aca="false">IF(A391="","",AP390-$E$1)</f>
        <v/>
      </c>
      <c r="AR390" s="185" t="n">
        <f aca="false">'ANR OK vs ML7'!AR390</f>
        <v>0.1</v>
      </c>
      <c r="AS390" s="213" t="str">
        <f aca="false">IF(A391="","",1/(1+CHOOSE(F$3,(AR391+($I$3/10000))/2,(AR390+($I$3/10000))/2))^(2*AQ390/365.25))</f>
        <v/>
      </c>
      <c r="AT390" s="137" t="str">
        <f aca="false">IF(A391="","",IF(AND(mthbeg&lt;=A390,mthend&gt;=A390),1,0))</f>
        <v/>
      </c>
      <c r="AU390" s="137" t="str">
        <f aca="false">IF(A391="","",AO390*AT390)</f>
        <v/>
      </c>
      <c r="AW390" s="195" t="str">
        <f aca="false">IF($A391="","",AL390*$E390)</f>
        <v/>
      </c>
      <c r="AX390" s="195" t="str">
        <f aca="false">IF($A391="","",AM390*$E390)</f>
        <v/>
      </c>
      <c r="AY390" s="195" t="str">
        <f aca="false">IF($A391="","",AN390*$E390)</f>
        <v/>
      </c>
      <c r="BA390" s="195" t="str">
        <f aca="false">IF($A391="","",F390*Summary!$Q$9)</f>
        <v/>
      </c>
    </row>
    <row r="391" customFormat="false" ht="12.75" hidden="false" customHeight="false" outlineLevel="0" collapsed="false">
      <c r="A391" s="196" t="str">
        <f aca="false">IF(A390&lt;mthend,EDATE(A390,1),"")</f>
        <v/>
      </c>
      <c r="B391" s="197" t="str">
        <f aca="false">IF(A391&lt;mthend,B390,"")</f>
        <v/>
      </c>
      <c r="D391" s="197" t="str">
        <f aca="false">IF(A392&lt;&gt;"",B391+C391,"")</f>
        <v/>
      </c>
      <c r="E391" s="199" t="str">
        <f aca="false">IF(A392="","",IF(AND(AT391=1,$H$3=1),D391*AO391,IF($H$3=2,D391,"N/A")))</f>
        <v/>
      </c>
      <c r="F391" s="199" t="str">
        <f aca="false">IF(A392="","",E391*AS391)</f>
        <v/>
      </c>
      <c r="G391" s="200" t="str">
        <f aca="false">IF($A392="","",VLOOKUP($A391,Table,MATCH(G$4,Curves,0)))</f>
        <v/>
      </c>
      <c r="H391" s="201" t="str">
        <f aca="false">IF(A392="","",G391)</f>
        <v/>
      </c>
      <c r="J391" s="200" t="str">
        <f aca="false">IF($A392="","",VLOOKUP($A391,Table,MATCH(J$4,Curves,0)))</f>
        <v/>
      </c>
      <c r="K391" s="201" t="str">
        <f aca="false">IF(A392="","",J391)</f>
        <v/>
      </c>
      <c r="L391" s="200" t="str">
        <f aca="false">IF($A392="","",VLOOKUP($A391,Table,MATCH(L$4,Curves,0)))</f>
        <v/>
      </c>
      <c r="M391" s="201" t="str">
        <f aca="false">IF(A392="","",L391)</f>
        <v/>
      </c>
      <c r="O391" s="200" t="str">
        <f aca="false">IF(A392="","",L391+J391+G391)</f>
        <v/>
      </c>
      <c r="P391" s="200" t="str">
        <f aca="false">IF(A392="","",M391+K391+H391)</f>
        <v/>
      </c>
      <c r="R391" s="200" t="str">
        <f aca="false">IF($A392="","",VLOOKUP($A391,Table,MATCH(R$4,Curves,0)))</f>
        <v/>
      </c>
      <c r="S391" s="201" t="str">
        <f aca="false">IF(A392="","",R391)</f>
        <v/>
      </c>
      <c r="T391" s="200" t="str">
        <f aca="false">IF($A392="","",VLOOKUP($A391,Table,MATCH(T$4,Curves,0)))</f>
        <v/>
      </c>
      <c r="U391" s="201" t="str">
        <f aca="false">IF(A392="","",T391)</f>
        <v/>
      </c>
      <c r="V391" s="225" t="str">
        <f aca="false">IF($A392="","",IF(AND(MONTH(A391)&gt;3,MONTH(A391)&lt;11),(T391+R391+G391)*Summary!$T$9/(1-Summary!$T$9),(T391+R391+G391)*Summary!$U$9/(1-Summary!$U$9)))</f>
        <v/>
      </c>
      <c r="W391" s="200" t="str">
        <f aca="false">IF($A392="","",(T391+R391+G391+V391))</f>
        <v/>
      </c>
      <c r="X391" s="200" t="str">
        <f aca="false">IF($A392="","",(U391+S391+H391+V391))</f>
        <v/>
      </c>
      <c r="Y391" s="202"/>
      <c r="Z391" s="185"/>
      <c r="AG391" s="182"/>
      <c r="AH391" s="182"/>
      <c r="AI391" s="182"/>
      <c r="AJ391" s="218"/>
      <c r="AK391" s="218"/>
      <c r="AL391" s="218"/>
      <c r="AM391" s="218"/>
      <c r="AN391" s="218"/>
      <c r="AO391" s="137" t="str">
        <f aca="false">IF(A392="","",A392-A391)</f>
        <v/>
      </c>
      <c r="AP391" s="212" t="str">
        <f aca="false">IF(A392="","",CHOOSE(F$3,A392+24,A391))</f>
        <v/>
      </c>
      <c r="AQ391" s="209" t="str">
        <f aca="false">IF(A392="","",AP391-$E$1)</f>
        <v/>
      </c>
      <c r="AR391" s="185" t="n">
        <f aca="false">'ANR OK vs ML7'!AR391</f>
        <v>0.1</v>
      </c>
      <c r="AS391" s="213" t="str">
        <f aca="false">IF(A392="","",1/(1+CHOOSE(F$3,(AR392+($I$3/10000))/2,(AR391+($I$3/10000))/2))^(2*AQ391/365.25))</f>
        <v/>
      </c>
      <c r="AT391" s="137" t="str">
        <f aca="false">IF(A392="","",IF(AND(mthbeg&lt;=A391,mthend&gt;=A391),1,0))</f>
        <v/>
      </c>
      <c r="AU391" s="137" t="str">
        <f aca="false">IF(A392="","",AO391*AT391)</f>
        <v/>
      </c>
      <c r="AW391" s="195" t="str">
        <f aca="false">IF($A392="","",AL391*$E391)</f>
        <v/>
      </c>
      <c r="AX391" s="195" t="str">
        <f aca="false">IF($A392="","",AM391*$E391)</f>
        <v/>
      </c>
      <c r="AY391" s="195" t="str">
        <f aca="false">IF($A392="","",AN391*$E391)</f>
        <v/>
      </c>
      <c r="BA391" s="195" t="str">
        <f aca="false">IF($A392="","",F391*Summary!$Q$9)</f>
        <v/>
      </c>
    </row>
    <row r="392" customFormat="false" ht="12.75" hidden="false" customHeight="false" outlineLevel="0" collapsed="false">
      <c r="A392" s="196" t="str">
        <f aca="false">IF(A391&lt;mthend,EDATE(A391,1),"")</f>
        <v/>
      </c>
      <c r="B392" s="197" t="str">
        <f aca="false">IF(A392&lt;mthend,B391,"")</f>
        <v/>
      </c>
      <c r="D392" s="197" t="str">
        <f aca="false">IF(A393&lt;&gt;"",B392+C392,"")</f>
        <v/>
      </c>
      <c r="E392" s="199" t="str">
        <f aca="false">IF(A393="","",IF(AND(AT392=1,$H$3=1),D392*AO392,IF($H$3=2,D392,"N/A")))</f>
        <v/>
      </c>
      <c r="F392" s="199" t="str">
        <f aca="false">IF(A393="","",E392*AS392)</f>
        <v/>
      </c>
      <c r="G392" s="200" t="str">
        <f aca="false">IF($A393="","",VLOOKUP($A392,Table,MATCH(G$4,Curves,0)))</f>
        <v/>
      </c>
      <c r="H392" s="201" t="str">
        <f aca="false">IF(A393="","",G392)</f>
        <v/>
      </c>
      <c r="J392" s="200" t="str">
        <f aca="false">IF($A393="","",VLOOKUP($A392,Table,MATCH(J$4,Curves,0)))</f>
        <v/>
      </c>
      <c r="K392" s="201" t="str">
        <f aca="false">IF(A393="","",J392)</f>
        <v/>
      </c>
      <c r="L392" s="200" t="str">
        <f aca="false">IF($A393="","",VLOOKUP($A392,Table,MATCH(L$4,Curves,0)))</f>
        <v/>
      </c>
      <c r="M392" s="201" t="str">
        <f aca="false">IF(A393="","",L392)</f>
        <v/>
      </c>
      <c r="O392" s="200" t="str">
        <f aca="false">IF(A393="","",L392+J392+G392)</f>
        <v/>
      </c>
      <c r="P392" s="200" t="str">
        <f aca="false">IF(A393="","",M392+K392+H392)</f>
        <v/>
      </c>
      <c r="R392" s="200" t="str">
        <f aca="false">IF($A393="","",VLOOKUP($A392,Table,MATCH(R$4,Curves,0)))</f>
        <v/>
      </c>
      <c r="S392" s="201" t="str">
        <f aca="false">IF(A393="","",R392)</f>
        <v/>
      </c>
      <c r="T392" s="200" t="str">
        <f aca="false">IF($A393="","",VLOOKUP($A392,Table,MATCH(T$4,Curves,0)))</f>
        <v/>
      </c>
      <c r="U392" s="201" t="str">
        <f aca="false">IF(A393="","",T392)</f>
        <v/>
      </c>
      <c r="V392" s="225" t="str">
        <f aca="false">IF($A393="","",IF(AND(MONTH(A392)&gt;3,MONTH(A392)&lt;11),(T392+R392+G392)*Summary!$T$9/(1-Summary!$T$9),(T392+R392+G392)*Summary!$U$9/(1-Summary!$U$9)))</f>
        <v/>
      </c>
      <c r="W392" s="200" t="str">
        <f aca="false">IF($A393="","",(T392+R392+G392+V392))</f>
        <v/>
      </c>
      <c r="X392" s="200" t="str">
        <f aca="false">IF($A393="","",(U392+S392+H392+V392))</f>
        <v/>
      </c>
      <c r="Y392" s="202"/>
      <c r="Z392" s="185"/>
      <c r="AG392" s="182"/>
      <c r="AH392" s="182"/>
      <c r="AI392" s="182"/>
      <c r="AJ392" s="218"/>
      <c r="AK392" s="218"/>
      <c r="AL392" s="218"/>
      <c r="AM392" s="218"/>
      <c r="AN392" s="218"/>
      <c r="AO392" s="137" t="str">
        <f aca="false">IF(A393="","",A393-A392)</f>
        <v/>
      </c>
      <c r="AP392" s="212" t="str">
        <f aca="false">IF(A393="","",CHOOSE(F$3,A393+24,A392))</f>
        <v/>
      </c>
      <c r="AQ392" s="209" t="str">
        <f aca="false">IF(A393="","",AP392-$E$1)</f>
        <v/>
      </c>
      <c r="AR392" s="185" t="n">
        <f aca="false">'ANR OK vs ML7'!AR392</f>
        <v>0.1</v>
      </c>
      <c r="AS392" s="213" t="str">
        <f aca="false">IF(A393="","",1/(1+CHOOSE(F$3,(AR393+($I$3/10000))/2,(AR392+($I$3/10000))/2))^(2*AQ392/365.25))</f>
        <v/>
      </c>
      <c r="AT392" s="137" t="str">
        <f aca="false">IF(A393="","",IF(AND(mthbeg&lt;=A392,mthend&gt;=A392),1,0))</f>
        <v/>
      </c>
      <c r="AU392" s="137" t="str">
        <f aca="false">IF(A393="","",AO392*AT392)</f>
        <v/>
      </c>
      <c r="AW392" s="195" t="str">
        <f aca="false">IF($A393="","",AL392*$E392)</f>
        <v/>
      </c>
      <c r="AX392" s="195" t="str">
        <f aca="false">IF($A393="","",AM392*$E392)</f>
        <v/>
      </c>
      <c r="AY392" s="195" t="str">
        <f aca="false">IF($A393="","",AN392*$E392)</f>
        <v/>
      </c>
      <c r="BA392" s="195" t="str">
        <f aca="false">IF($A393="","",F392*Summary!$Q$9)</f>
        <v/>
      </c>
    </row>
    <row r="393" customFormat="false" ht="12.75" hidden="false" customHeight="false" outlineLevel="0" collapsed="false">
      <c r="A393" s="196" t="str">
        <f aca="false">IF(A392&lt;mthend,EDATE(A392,1),"")</f>
        <v/>
      </c>
      <c r="B393" s="197" t="str">
        <f aca="false">IF(A393&lt;mthend,B392,"")</f>
        <v/>
      </c>
      <c r="D393" s="197" t="str">
        <f aca="false">IF(A394&lt;&gt;"",B393+C393,"")</f>
        <v/>
      </c>
      <c r="E393" s="199" t="str">
        <f aca="false">IF(A394="","",IF(AND(AT393=1,$H$3=1),D393*AO393,IF($H$3=2,D393,"N/A")))</f>
        <v/>
      </c>
      <c r="F393" s="199" t="str">
        <f aca="false">IF(A394="","",E393*AS393)</f>
        <v/>
      </c>
      <c r="G393" s="200" t="str">
        <f aca="false">IF($A394="","",VLOOKUP($A393,Table,MATCH(G$4,Curves,0)))</f>
        <v/>
      </c>
      <c r="H393" s="201" t="str">
        <f aca="false">IF(A394="","",G393)</f>
        <v/>
      </c>
      <c r="J393" s="200" t="str">
        <f aca="false">IF($A394="","",VLOOKUP($A393,Table,MATCH(J$4,Curves,0)))</f>
        <v/>
      </c>
      <c r="K393" s="201" t="str">
        <f aca="false">IF(A394="","",J393)</f>
        <v/>
      </c>
      <c r="L393" s="200" t="str">
        <f aca="false">IF($A394="","",VLOOKUP($A393,Table,MATCH(L$4,Curves,0)))</f>
        <v/>
      </c>
      <c r="M393" s="201" t="str">
        <f aca="false">IF(A394="","",L393)</f>
        <v/>
      </c>
      <c r="O393" s="200" t="str">
        <f aca="false">IF(A394="","",L393+J393+G393)</f>
        <v/>
      </c>
      <c r="P393" s="200" t="str">
        <f aca="false">IF(A394="","",M393+K393+H393)</f>
        <v/>
      </c>
      <c r="R393" s="200" t="str">
        <f aca="false">IF($A394="","",VLOOKUP($A393,Table,MATCH(R$4,Curves,0)))</f>
        <v/>
      </c>
      <c r="S393" s="201" t="str">
        <f aca="false">IF(A394="","",R393)</f>
        <v/>
      </c>
      <c r="T393" s="200" t="str">
        <f aca="false">IF($A394="","",VLOOKUP($A393,Table,MATCH(T$4,Curves,0)))</f>
        <v/>
      </c>
      <c r="U393" s="201" t="str">
        <f aca="false">IF(A394="","",T393)</f>
        <v/>
      </c>
      <c r="V393" s="225" t="str">
        <f aca="false">IF($A394="","",IF(AND(MONTH(A393)&gt;3,MONTH(A393)&lt;11),(T393+R393+G393)*Summary!$T$9/(1-Summary!$T$9),(T393+R393+G393)*Summary!$U$9/(1-Summary!$U$9)))</f>
        <v/>
      </c>
      <c r="W393" s="200" t="str">
        <f aca="false">IF($A394="","",(T393+R393+G393+V393))</f>
        <v/>
      </c>
      <c r="X393" s="200" t="str">
        <f aca="false">IF($A394="","",(U393+S393+H393+V393))</f>
        <v/>
      </c>
      <c r="Y393" s="202"/>
      <c r="Z393" s="185"/>
      <c r="AG393" s="182"/>
      <c r="AH393" s="182"/>
      <c r="AI393" s="182"/>
      <c r="AJ393" s="218"/>
      <c r="AK393" s="218"/>
      <c r="AL393" s="218"/>
      <c r="AM393" s="218"/>
      <c r="AN393" s="218"/>
      <c r="AO393" s="137" t="str">
        <f aca="false">IF(A394="","",A394-A393)</f>
        <v/>
      </c>
      <c r="AP393" s="212" t="str">
        <f aca="false">IF(A394="","",CHOOSE(F$3,A394+24,A393))</f>
        <v/>
      </c>
      <c r="AQ393" s="209" t="str">
        <f aca="false">IF(A394="","",AP393-$E$1)</f>
        <v/>
      </c>
      <c r="AR393" s="185" t="n">
        <f aca="false">'ANR OK vs ML7'!AR393</f>
        <v>0.1</v>
      </c>
      <c r="AS393" s="213" t="str">
        <f aca="false">IF(A394="","",1/(1+CHOOSE(F$3,(AR394+($I$3/10000))/2,(AR393+($I$3/10000))/2))^(2*AQ393/365.25))</f>
        <v/>
      </c>
      <c r="AT393" s="137" t="str">
        <f aca="false">IF(A394="","",IF(AND(mthbeg&lt;=A393,mthend&gt;=A393),1,0))</f>
        <v/>
      </c>
      <c r="AU393" s="137" t="str">
        <f aca="false">IF(A394="","",AO393*AT393)</f>
        <v/>
      </c>
      <c r="AW393" s="195" t="str">
        <f aca="false">IF($A394="","",AL393*$E393)</f>
        <v/>
      </c>
      <c r="AX393" s="195" t="str">
        <f aca="false">IF($A394="","",AM393*$E393)</f>
        <v/>
      </c>
      <c r="AY393" s="195" t="str">
        <f aca="false">IF($A394="","",AN393*$E393)</f>
        <v/>
      </c>
      <c r="BA393" s="195" t="str">
        <f aca="false">IF($A394="","",F393*Summary!$Q$9)</f>
        <v/>
      </c>
    </row>
    <row r="394" customFormat="false" ht="12.75" hidden="false" customHeight="false" outlineLevel="0" collapsed="false">
      <c r="A394" s="196" t="str">
        <f aca="false">IF(A393&lt;mthend,EDATE(A393,1),"")</f>
        <v/>
      </c>
      <c r="B394" s="197" t="str">
        <f aca="false">IF(A394&lt;mthend,B393,"")</f>
        <v/>
      </c>
      <c r="D394" s="197" t="str">
        <f aca="false">IF(A395&lt;&gt;"",B394+C394,"")</f>
        <v/>
      </c>
      <c r="E394" s="199" t="str">
        <f aca="false">IF(A395="","",IF(AND(AT394=1,$H$3=1),D394*AO394,IF($H$3=2,D394,"N/A")))</f>
        <v/>
      </c>
      <c r="F394" s="199" t="str">
        <f aca="false">IF(A395="","",E394*AS394)</f>
        <v/>
      </c>
      <c r="G394" s="200" t="str">
        <f aca="false">IF($A395="","",VLOOKUP($A394,Table,MATCH(G$4,Curves,0)))</f>
        <v/>
      </c>
      <c r="H394" s="201" t="str">
        <f aca="false">IF(A395="","",G394)</f>
        <v/>
      </c>
      <c r="J394" s="200" t="str">
        <f aca="false">IF($A395="","",VLOOKUP($A394,Table,MATCH(J$4,Curves,0)))</f>
        <v/>
      </c>
      <c r="K394" s="201" t="str">
        <f aca="false">IF(A395="","",J394)</f>
        <v/>
      </c>
      <c r="L394" s="200" t="str">
        <f aca="false">IF($A395="","",VLOOKUP($A394,Table,MATCH(L$4,Curves,0)))</f>
        <v/>
      </c>
      <c r="M394" s="201" t="str">
        <f aca="false">IF(A395="","",L394)</f>
        <v/>
      </c>
      <c r="O394" s="200" t="str">
        <f aca="false">IF(A395="","",L394+J394+G394)</f>
        <v/>
      </c>
      <c r="P394" s="200" t="str">
        <f aca="false">IF(A395="","",M394+K394+H394)</f>
        <v/>
      </c>
      <c r="R394" s="200" t="str">
        <f aca="false">IF($A395="","",VLOOKUP($A394,Table,MATCH(R$4,Curves,0)))</f>
        <v/>
      </c>
      <c r="S394" s="201" t="str">
        <f aca="false">IF(A395="","",R394)</f>
        <v/>
      </c>
      <c r="T394" s="200" t="str">
        <f aca="false">IF($A395="","",VLOOKUP($A394,Table,MATCH(T$4,Curves,0)))</f>
        <v/>
      </c>
      <c r="U394" s="201" t="str">
        <f aca="false">IF(A395="","",T394)</f>
        <v/>
      </c>
      <c r="V394" s="225" t="str">
        <f aca="false">IF($A395="","",IF(AND(MONTH(A394)&gt;3,MONTH(A394)&lt;11),(T394+R394+G394)*Summary!$T$9/(1-Summary!$T$9),(T394+R394+G394)*Summary!$U$9/(1-Summary!$U$9)))</f>
        <v/>
      </c>
      <c r="W394" s="200" t="str">
        <f aca="false">IF($A395="","",(T394+R394+G394+V394))</f>
        <v/>
      </c>
      <c r="X394" s="200" t="str">
        <f aca="false">IF($A395="","",(U394+S394+H394+V394))</f>
        <v/>
      </c>
      <c r="Y394" s="202"/>
      <c r="Z394" s="185"/>
      <c r="AG394" s="182"/>
      <c r="AH394" s="182"/>
      <c r="AI394" s="182"/>
      <c r="AJ394" s="218"/>
      <c r="AK394" s="218"/>
      <c r="AL394" s="218"/>
      <c r="AM394" s="218"/>
      <c r="AN394" s="218"/>
      <c r="AO394" s="137" t="str">
        <f aca="false">IF(A395="","",A395-A394)</f>
        <v/>
      </c>
      <c r="AP394" s="212" t="str">
        <f aca="false">IF(A395="","",CHOOSE(F$3,A395+24,A394))</f>
        <v/>
      </c>
      <c r="AQ394" s="209" t="str">
        <f aca="false">IF(A395="","",AP394-$E$1)</f>
        <v/>
      </c>
      <c r="AR394" s="185" t="n">
        <f aca="false">'ANR OK vs ML7'!AR394</f>
        <v>0.1</v>
      </c>
      <c r="AS394" s="213" t="str">
        <f aca="false">IF(A395="","",1/(1+CHOOSE(F$3,(AR395+($I$3/10000))/2,(AR394+($I$3/10000))/2))^(2*AQ394/365.25))</f>
        <v/>
      </c>
      <c r="AT394" s="137" t="str">
        <f aca="false">IF(A395="","",IF(AND(mthbeg&lt;=A394,mthend&gt;=A394),1,0))</f>
        <v/>
      </c>
      <c r="AU394" s="137" t="str">
        <f aca="false">IF(A395="","",AO394*AT394)</f>
        <v/>
      </c>
      <c r="AW394" s="195" t="str">
        <f aca="false">IF($A395="","",AL394*$E394)</f>
        <v/>
      </c>
      <c r="AX394" s="195" t="str">
        <f aca="false">IF($A395="","",AM394*$E394)</f>
        <v/>
      </c>
      <c r="AY394" s="195" t="str">
        <f aca="false">IF($A395="","",AN394*$E394)</f>
        <v/>
      </c>
      <c r="BA394" s="195" t="str">
        <f aca="false">IF($A395="","",F394*Summary!$Q$9)</f>
        <v/>
      </c>
    </row>
    <row r="395" customFormat="false" ht="12.75" hidden="false" customHeight="false" outlineLevel="0" collapsed="false">
      <c r="A395" s="196" t="str">
        <f aca="false">IF(A394&lt;mthend,EDATE(A394,1),"")</f>
        <v/>
      </c>
      <c r="B395" s="197" t="str">
        <f aca="false">IF(A395&lt;mthend,B394,"")</f>
        <v/>
      </c>
      <c r="D395" s="197" t="str">
        <f aca="false">IF(A396&lt;&gt;"",B395+C395,"")</f>
        <v/>
      </c>
      <c r="E395" s="199" t="str">
        <f aca="false">IF(A396="","",IF(AND(AT395=1,$H$3=1),D395*AO395,IF($H$3=2,D395,"N/A")))</f>
        <v/>
      </c>
      <c r="F395" s="199" t="str">
        <f aca="false">IF(A396="","",E395*AS395)</f>
        <v/>
      </c>
      <c r="G395" s="200" t="str">
        <f aca="false">IF($A396="","",VLOOKUP($A395,Table,MATCH(G$4,Curves,0)))</f>
        <v/>
      </c>
      <c r="H395" s="201" t="str">
        <f aca="false">IF(A396="","",G395)</f>
        <v/>
      </c>
      <c r="J395" s="200" t="str">
        <f aca="false">IF($A396="","",VLOOKUP($A395,Table,MATCH(J$4,Curves,0)))</f>
        <v/>
      </c>
      <c r="K395" s="201" t="str">
        <f aca="false">IF(A396="","",J395)</f>
        <v/>
      </c>
      <c r="L395" s="200" t="str">
        <f aca="false">IF($A396="","",VLOOKUP($A395,Table,MATCH(L$4,Curves,0)))</f>
        <v/>
      </c>
      <c r="M395" s="201" t="str">
        <f aca="false">IF(A396="","",L395)</f>
        <v/>
      </c>
      <c r="O395" s="200" t="str">
        <f aca="false">IF(A396="","",L395+J395+G395)</f>
        <v/>
      </c>
      <c r="P395" s="200" t="str">
        <f aca="false">IF(A396="","",M395+K395+H395)</f>
        <v/>
      </c>
      <c r="R395" s="200" t="str">
        <f aca="false">IF($A396="","",VLOOKUP($A395,Table,MATCH(R$4,Curves,0)))</f>
        <v/>
      </c>
      <c r="S395" s="201" t="str">
        <f aca="false">IF(A396="","",R395)</f>
        <v/>
      </c>
      <c r="T395" s="200" t="str">
        <f aca="false">IF($A396="","",VLOOKUP($A395,Table,MATCH(T$4,Curves,0)))</f>
        <v/>
      </c>
      <c r="U395" s="201" t="str">
        <f aca="false">IF(A396="","",T395)</f>
        <v/>
      </c>
      <c r="V395" s="225" t="str">
        <f aca="false">IF($A396="","",IF(AND(MONTH(A395)&gt;3,MONTH(A395)&lt;11),(T395+R395+G395)*Summary!$T$9/(1-Summary!$T$9),(T395+R395+G395)*Summary!$U$9/(1-Summary!$U$9)))</f>
        <v/>
      </c>
      <c r="W395" s="200" t="str">
        <f aca="false">IF($A396="","",(T395+R395+G395+V395))</f>
        <v/>
      </c>
      <c r="X395" s="200" t="str">
        <f aca="false">IF($A396="","",(U395+S395+H395+V395))</f>
        <v/>
      </c>
      <c r="Y395" s="202"/>
      <c r="Z395" s="185"/>
      <c r="AG395" s="182"/>
      <c r="AH395" s="182"/>
      <c r="AI395" s="182"/>
      <c r="AJ395" s="218"/>
      <c r="AK395" s="218"/>
      <c r="AL395" s="218"/>
      <c r="AM395" s="218"/>
      <c r="AN395" s="218"/>
      <c r="AO395" s="137" t="str">
        <f aca="false">IF(A396="","",A396-A395)</f>
        <v/>
      </c>
      <c r="AP395" s="212" t="str">
        <f aca="false">IF(A396="","",CHOOSE(F$3,A396+24,A395))</f>
        <v/>
      </c>
      <c r="AQ395" s="209" t="str">
        <f aca="false">IF(A396="","",AP395-$E$1)</f>
        <v/>
      </c>
      <c r="AR395" s="185" t="n">
        <f aca="false">'ANR OK vs ML7'!AR395</f>
        <v>0.1</v>
      </c>
      <c r="AS395" s="213" t="str">
        <f aca="false">IF(A396="","",1/(1+CHOOSE(F$3,(AR396+($I$3/10000))/2,(AR395+($I$3/10000))/2))^(2*AQ395/365.25))</f>
        <v/>
      </c>
      <c r="AT395" s="137" t="str">
        <f aca="false">IF(A396="","",IF(AND(mthbeg&lt;=A395,mthend&gt;=A395),1,0))</f>
        <v/>
      </c>
      <c r="AU395" s="137" t="str">
        <f aca="false">IF(A396="","",AO395*AT395)</f>
        <v/>
      </c>
      <c r="AW395" s="195" t="str">
        <f aca="false">IF($A396="","",AL395*$E395)</f>
        <v/>
      </c>
      <c r="AX395" s="195" t="str">
        <f aca="false">IF($A396="","",AM395*$E395)</f>
        <v/>
      </c>
      <c r="AY395" s="195" t="str">
        <f aca="false">IF($A396="","",AN395*$E395)</f>
        <v/>
      </c>
      <c r="BA395" s="195" t="str">
        <f aca="false">IF($A396="","",F395*Summary!$Q$9)</f>
        <v/>
      </c>
    </row>
    <row r="396" customFormat="false" ht="12.75" hidden="false" customHeight="false" outlineLevel="0" collapsed="false">
      <c r="A396" s="196" t="str">
        <f aca="false">IF(A395&lt;mthend,EDATE(A395,1),"")</f>
        <v/>
      </c>
      <c r="B396" s="197" t="str">
        <f aca="false">IF(A396&lt;mthend,B395,"")</f>
        <v/>
      </c>
      <c r="D396" s="197" t="str">
        <f aca="false">IF(A397&lt;&gt;"",B396+C396,"")</f>
        <v/>
      </c>
      <c r="E396" s="199" t="str">
        <f aca="false">IF(A397="","",IF(AND(AT396=1,$H$3=1),D396*AO396,IF($H$3=2,D396,"N/A")))</f>
        <v/>
      </c>
      <c r="F396" s="199" t="str">
        <f aca="false">IF(A397="","",E396*AS396)</f>
        <v/>
      </c>
      <c r="G396" s="200" t="str">
        <f aca="false">IF($A397="","",VLOOKUP($A396,Table,MATCH(G$4,Curves,0)))</f>
        <v/>
      </c>
      <c r="H396" s="201" t="str">
        <f aca="false">IF(A397="","",G396)</f>
        <v/>
      </c>
      <c r="J396" s="200" t="str">
        <f aca="false">IF($A397="","",VLOOKUP($A396,Table,MATCH(J$4,Curves,0)))</f>
        <v/>
      </c>
      <c r="K396" s="201" t="str">
        <f aca="false">IF(A397="","",J396)</f>
        <v/>
      </c>
      <c r="L396" s="200" t="str">
        <f aca="false">IF($A397="","",VLOOKUP($A396,Table,MATCH(L$4,Curves,0)))</f>
        <v/>
      </c>
      <c r="M396" s="201" t="str">
        <f aca="false">IF(A397="","",L396)</f>
        <v/>
      </c>
      <c r="O396" s="200" t="str">
        <f aca="false">IF(A397="","",L396+J396+G396)</f>
        <v/>
      </c>
      <c r="P396" s="200" t="str">
        <f aca="false">IF(A397="","",M396+K396+H396)</f>
        <v/>
      </c>
      <c r="R396" s="200" t="str">
        <f aca="false">IF($A397="","",VLOOKUP($A396,Table,MATCH(R$4,Curves,0)))</f>
        <v/>
      </c>
      <c r="S396" s="201" t="str">
        <f aca="false">IF(A397="","",R396)</f>
        <v/>
      </c>
      <c r="T396" s="200" t="str">
        <f aca="false">IF($A397="","",VLOOKUP($A396,Table,MATCH(T$4,Curves,0)))</f>
        <v/>
      </c>
      <c r="U396" s="201" t="str">
        <f aca="false">IF(A397="","",T396)</f>
        <v/>
      </c>
      <c r="V396" s="225" t="str">
        <f aca="false">IF($A397="","",IF(AND(MONTH(A396)&gt;3,MONTH(A396)&lt;11),(T396+R396+G396)*Summary!$T$9/(1-Summary!$T$9),(T396+R396+G396)*Summary!$U$9/(1-Summary!$U$9)))</f>
        <v/>
      </c>
      <c r="W396" s="200" t="str">
        <f aca="false">IF($A397="","",(T396+R396+G396+V396))</f>
        <v/>
      </c>
      <c r="X396" s="200" t="str">
        <f aca="false">IF($A397="","",(U396+S396+H396+V396))</f>
        <v/>
      </c>
      <c r="Y396" s="202"/>
      <c r="Z396" s="185"/>
      <c r="AG396" s="182"/>
      <c r="AH396" s="182"/>
      <c r="AI396" s="182"/>
      <c r="AJ396" s="218"/>
      <c r="AK396" s="218"/>
      <c r="AL396" s="218"/>
      <c r="AM396" s="218"/>
      <c r="AN396" s="218"/>
      <c r="AO396" s="137" t="str">
        <f aca="false">IF(A397="","",A397-A396)</f>
        <v/>
      </c>
      <c r="AP396" s="212" t="str">
        <f aca="false">IF(A397="","",CHOOSE(F$3,A397+24,A396))</f>
        <v/>
      </c>
      <c r="AQ396" s="209" t="str">
        <f aca="false">IF(A397="","",AP396-$E$1)</f>
        <v/>
      </c>
      <c r="AR396" s="185" t="n">
        <f aca="false">'ANR OK vs ML7'!AR396</f>
        <v>0.1</v>
      </c>
      <c r="AS396" s="213" t="str">
        <f aca="false">IF(A397="","",1/(1+CHOOSE(F$3,(AR397+($I$3/10000))/2,(AR396+($I$3/10000))/2))^(2*AQ396/365.25))</f>
        <v/>
      </c>
      <c r="AT396" s="137" t="str">
        <f aca="false">IF(A397="","",IF(AND(mthbeg&lt;=A396,mthend&gt;=A396),1,0))</f>
        <v/>
      </c>
      <c r="AU396" s="137" t="str">
        <f aca="false">IF(A397="","",AO396*AT396)</f>
        <v/>
      </c>
      <c r="AW396" s="195" t="str">
        <f aca="false">IF($A397="","",AL396*$E396)</f>
        <v/>
      </c>
      <c r="AX396" s="195" t="str">
        <f aca="false">IF($A397="","",AM396*$E396)</f>
        <v/>
      </c>
      <c r="AY396" s="195" t="str">
        <f aca="false">IF($A397="","",AN396*$E396)</f>
        <v/>
      </c>
      <c r="BA396" s="195" t="str">
        <f aca="false">IF($A397="","",F396*Summary!$Q$9)</f>
        <v/>
      </c>
    </row>
    <row r="397" customFormat="false" ht="12.75" hidden="false" customHeight="false" outlineLevel="0" collapsed="false">
      <c r="A397" s="196" t="str">
        <f aca="false">IF(A396&lt;mthend,EDATE(A396,1),"")</f>
        <v/>
      </c>
      <c r="B397" s="197" t="str">
        <f aca="false">IF(A397&lt;mthend,B396,"")</f>
        <v/>
      </c>
      <c r="D397" s="197" t="str">
        <f aca="false">IF(A398&lt;&gt;"",B397+C397,"")</f>
        <v/>
      </c>
      <c r="E397" s="199" t="str">
        <f aca="false">IF(A398="","",IF(AND(AT397=1,$H$3=1),D397*AO397,IF($H$3=2,D397,"N/A")))</f>
        <v/>
      </c>
      <c r="F397" s="199" t="str">
        <f aca="false">IF(A398="","",E397*AS397)</f>
        <v/>
      </c>
      <c r="G397" s="200" t="str">
        <f aca="false">IF($A398="","",VLOOKUP($A397,Table,MATCH(G$4,Curves,0)))</f>
        <v/>
      </c>
      <c r="H397" s="201" t="str">
        <f aca="false">IF(A398="","",G397)</f>
        <v/>
      </c>
      <c r="J397" s="200" t="str">
        <f aca="false">IF($A398="","",VLOOKUP($A397,Table,MATCH(J$4,Curves,0)))</f>
        <v/>
      </c>
      <c r="K397" s="201" t="str">
        <f aca="false">IF(A398="","",J397)</f>
        <v/>
      </c>
      <c r="L397" s="200" t="str">
        <f aca="false">IF($A398="","",VLOOKUP($A397,Table,MATCH(L$4,Curves,0)))</f>
        <v/>
      </c>
      <c r="M397" s="201" t="str">
        <f aca="false">IF(A398="","",L397)</f>
        <v/>
      </c>
      <c r="O397" s="200" t="str">
        <f aca="false">IF(A398="","",L397+J397+G397)</f>
        <v/>
      </c>
      <c r="P397" s="200" t="str">
        <f aca="false">IF(A398="","",M397+K397+H397)</f>
        <v/>
      </c>
      <c r="R397" s="200" t="str">
        <f aca="false">IF($A398="","",VLOOKUP($A397,Table,MATCH(R$4,Curves,0)))</f>
        <v/>
      </c>
      <c r="S397" s="201" t="str">
        <f aca="false">IF(A398="","",R397)</f>
        <v/>
      </c>
      <c r="T397" s="200" t="str">
        <f aca="false">IF($A398="","",VLOOKUP($A397,Table,MATCH(T$4,Curves,0)))</f>
        <v/>
      </c>
      <c r="U397" s="201" t="str">
        <f aca="false">IF(A398="","",T397)</f>
        <v/>
      </c>
      <c r="V397" s="225" t="str">
        <f aca="false">IF($A398="","",IF(AND(MONTH(A397)&gt;3,MONTH(A397)&lt;11),(T397+R397+G397)*Summary!$T$9/(1-Summary!$T$9),(T397+R397+G397)*Summary!$U$9/(1-Summary!$U$9)))</f>
        <v/>
      </c>
      <c r="W397" s="200" t="str">
        <f aca="false">IF($A398="","",(T397+R397+G397+V397))</f>
        <v/>
      </c>
      <c r="X397" s="200" t="str">
        <f aca="false">IF($A398="","",(U397+S397+H397+V397))</f>
        <v/>
      </c>
      <c r="Y397" s="202"/>
      <c r="Z397" s="185"/>
      <c r="AJ397" s="218"/>
      <c r="AK397" s="218"/>
      <c r="AL397" s="218"/>
      <c r="AM397" s="218"/>
      <c r="AN397" s="218"/>
      <c r="AO397" s="137" t="str">
        <f aca="false">IF(A398="","",A398-A397)</f>
        <v/>
      </c>
      <c r="AP397" s="212" t="str">
        <f aca="false">IF(A398="","",CHOOSE(F$3,A398+24,A397))</f>
        <v/>
      </c>
      <c r="AQ397" s="209" t="str">
        <f aca="false">IF(A398="","",AP397-$E$1)</f>
        <v/>
      </c>
      <c r="AR397" s="185" t="n">
        <f aca="false">'ANR OK vs ML7'!AR397</f>
        <v>0.1</v>
      </c>
      <c r="AS397" s="213" t="str">
        <f aca="false">IF(A398="","",1/(1+CHOOSE(F$3,(AR398+($I$3/10000))/2,(AR397+($I$3/10000))/2))^(2*AQ397/365.25))</f>
        <v/>
      </c>
      <c r="AT397" s="137" t="str">
        <f aca="false">IF(A398="","",IF(AND(mthbeg&lt;=A397,mthend&gt;=A397),1,0))</f>
        <v/>
      </c>
      <c r="AU397" s="137" t="str">
        <f aca="false">IF(A398="","",AO397*AT397)</f>
        <v/>
      </c>
      <c r="AW397" s="195" t="str">
        <f aca="false">IF($A398="","",AL397*$E397)</f>
        <v/>
      </c>
      <c r="AX397" s="195" t="str">
        <f aca="false">IF($A398="","",AM397*$E397)</f>
        <v/>
      </c>
      <c r="AY397" s="195" t="str">
        <f aca="false">IF($A398="","",AN397*$E397)</f>
        <v/>
      </c>
      <c r="BA397" s="195" t="str">
        <f aca="false">IF($A398="","",F397*Summary!$Q$9)</f>
        <v/>
      </c>
    </row>
    <row r="398" customFormat="false" ht="12.75" hidden="false" customHeight="false" outlineLevel="0" collapsed="false">
      <c r="A398" s="196" t="str">
        <f aca="false">IF(A397&lt;mthend,EDATE(A397,1),"")</f>
        <v/>
      </c>
      <c r="B398" s="197" t="str">
        <f aca="false">IF(A398&lt;mthend,B397,"")</f>
        <v/>
      </c>
      <c r="D398" s="197" t="str">
        <f aca="false">IF(A399&lt;&gt;"",B398+C398,"")</f>
        <v/>
      </c>
      <c r="E398" s="199" t="str">
        <f aca="false">IF(A399="","",IF(AND(AT398=1,$H$3=1),D398*AO398,IF($H$3=2,D398,"N/A")))</f>
        <v/>
      </c>
      <c r="F398" s="199" t="str">
        <f aca="false">IF(A399="","",E398*AS398)</f>
        <v/>
      </c>
      <c r="G398" s="200" t="str">
        <f aca="false">IF($A399="","",VLOOKUP($A398,Table,MATCH(G$4,Curves,0)))</f>
        <v/>
      </c>
      <c r="H398" s="201" t="str">
        <f aca="false">IF(A399="","",G398)</f>
        <v/>
      </c>
      <c r="J398" s="200" t="str">
        <f aca="false">IF($A399="","",VLOOKUP($A398,Table,MATCH(J$4,Curves,0)))</f>
        <v/>
      </c>
      <c r="K398" s="201" t="str">
        <f aca="false">IF(A399="","",J398)</f>
        <v/>
      </c>
      <c r="L398" s="200" t="str">
        <f aca="false">IF($A399="","",VLOOKUP($A398,Table,MATCH(L$4,Curves,0)))</f>
        <v/>
      </c>
      <c r="M398" s="201" t="str">
        <f aca="false">IF(A399="","",L398)</f>
        <v/>
      </c>
      <c r="O398" s="200" t="str">
        <f aca="false">IF(A399="","",L398+J398+G398)</f>
        <v/>
      </c>
      <c r="P398" s="200" t="str">
        <f aca="false">IF(A399="","",M398+K398+H398)</f>
        <v/>
      </c>
      <c r="R398" s="200" t="str">
        <f aca="false">IF($A399="","",VLOOKUP($A398,Table,MATCH(R$4,Curves,0)))</f>
        <v/>
      </c>
      <c r="S398" s="201" t="str">
        <f aca="false">IF(A399="","",R398)</f>
        <v/>
      </c>
      <c r="T398" s="200" t="str">
        <f aca="false">IF($A399="","",VLOOKUP($A398,Table,MATCH(T$4,Curves,0)))</f>
        <v/>
      </c>
      <c r="U398" s="201" t="str">
        <f aca="false">IF(A399="","",T398)</f>
        <v/>
      </c>
      <c r="V398" s="225" t="str">
        <f aca="false">IF($A399="","",IF(AND(MONTH(A398)&gt;3,MONTH(A398)&lt;11),(T398+R398+G398)*Summary!$T$9/(1-Summary!$T$9),(T398+R398+G398)*Summary!$U$9/(1-Summary!$U$9)))</f>
        <v/>
      </c>
      <c r="W398" s="200" t="str">
        <f aca="false">IF($A399="","",(T398+R398+G398+V398))</f>
        <v/>
      </c>
      <c r="X398" s="200" t="str">
        <f aca="false">IF($A399="","",(U398+S398+H398+V398))</f>
        <v/>
      </c>
      <c r="Y398" s="202"/>
      <c r="Z398" s="185"/>
      <c r="AJ398" s="218"/>
      <c r="AK398" s="218"/>
      <c r="AL398" s="218"/>
      <c r="AM398" s="218"/>
      <c r="AN398" s="218"/>
      <c r="AO398" s="137" t="str">
        <f aca="false">IF(A399="","",A399-A398)</f>
        <v/>
      </c>
      <c r="AP398" s="212" t="str">
        <f aca="false">IF(A399="","",CHOOSE(F$3,A399+24,A398))</f>
        <v/>
      </c>
      <c r="AQ398" s="209" t="str">
        <f aca="false">IF(A399="","",AP398-$E$1)</f>
        <v/>
      </c>
      <c r="AR398" s="185" t="n">
        <f aca="false">'ANR OK vs ML7'!AR398</f>
        <v>0.1</v>
      </c>
      <c r="AS398" s="213" t="str">
        <f aca="false">IF(A399="","",1/(1+CHOOSE(F$3,(AR399+($I$3/10000))/2,(AR398+($I$3/10000))/2))^(2*AQ398/365.25))</f>
        <v/>
      </c>
      <c r="AT398" s="137" t="str">
        <f aca="false">IF(A399="","",IF(AND(mthbeg&lt;=A398,mthend&gt;=A398),1,0))</f>
        <v/>
      </c>
      <c r="AU398" s="137" t="str">
        <f aca="false">IF(A399="","",AO398*AT398)</f>
        <v/>
      </c>
      <c r="AW398" s="195" t="str">
        <f aca="false">IF($A399="","",AL398*$E398)</f>
        <v/>
      </c>
      <c r="AX398" s="195" t="str">
        <f aca="false">IF($A399="","",AM398*$E398)</f>
        <v/>
      </c>
      <c r="AY398" s="195" t="str">
        <f aca="false">IF($A399="","",AN398*$E398)</f>
        <v/>
      </c>
      <c r="BA398" s="195" t="str">
        <f aca="false">IF($A399="","",F398*Summary!$Q$9)</f>
        <v/>
      </c>
    </row>
    <row r="399" customFormat="false" ht="12.75" hidden="false" customHeight="false" outlineLevel="0" collapsed="false">
      <c r="A399" s="196" t="str">
        <f aca="false">IF(A398&lt;mthend,EDATE(A398,1),"")</f>
        <v/>
      </c>
      <c r="B399" s="197" t="str">
        <f aca="false">IF(A399&lt;mthend,B398,"")</f>
        <v/>
      </c>
      <c r="D399" s="197" t="str">
        <f aca="false">IF(A400&lt;&gt;"",B399+C399,"")</f>
        <v/>
      </c>
      <c r="E399" s="199" t="str">
        <f aca="false">IF(A400="","",IF(AND(AT399=1,$H$3=1),D399*AO399,IF($H$3=2,D399,"N/A")))</f>
        <v/>
      </c>
      <c r="F399" s="199" t="str">
        <f aca="false">IF(A400="","",E399*AS399)</f>
        <v/>
      </c>
      <c r="G399" s="200" t="str">
        <f aca="false">IF($A400="","",VLOOKUP($A399,Table,MATCH(G$4,Curves,0)))</f>
        <v/>
      </c>
      <c r="H399" s="201" t="str">
        <f aca="false">IF(A400="","",G399)</f>
        <v/>
      </c>
      <c r="J399" s="200" t="str">
        <f aca="false">IF($A400="","",VLOOKUP($A399,Table,MATCH(J$4,Curves,0)))</f>
        <v/>
      </c>
      <c r="K399" s="201" t="str">
        <f aca="false">IF(A400="","",J399)</f>
        <v/>
      </c>
      <c r="L399" s="200" t="str">
        <f aca="false">IF($A400="","",VLOOKUP($A399,Table,MATCH(L$4,Curves,0)))</f>
        <v/>
      </c>
      <c r="M399" s="201" t="str">
        <f aca="false">IF(A400="","",L399)</f>
        <v/>
      </c>
      <c r="O399" s="200" t="str">
        <f aca="false">IF(A400="","",L399+J399+G399)</f>
        <v/>
      </c>
      <c r="P399" s="200" t="str">
        <f aca="false">IF(A400="","",M399+K399+H399)</f>
        <v/>
      </c>
      <c r="R399" s="200" t="str">
        <f aca="false">IF($A400="","",VLOOKUP($A399,Table,MATCH(R$4,Curves,0)))</f>
        <v/>
      </c>
      <c r="S399" s="201" t="str">
        <f aca="false">IF(A400="","",R399)</f>
        <v/>
      </c>
      <c r="T399" s="200" t="str">
        <f aca="false">IF($A400="","",VLOOKUP($A399,Table,MATCH(T$4,Curves,0)))</f>
        <v/>
      </c>
      <c r="U399" s="201" t="str">
        <f aca="false">IF(A400="","",T399)</f>
        <v/>
      </c>
      <c r="V399" s="225" t="str">
        <f aca="false">IF($A400="","",IF(AND(MONTH(A399)&gt;3,MONTH(A399)&lt;11),(T399+R399+G399)*Summary!$T$9/(1-Summary!$T$9),(T399+R399+G399)*Summary!$U$9/(1-Summary!$U$9)))</f>
        <v/>
      </c>
      <c r="W399" s="200" t="str">
        <f aca="false">IF($A400="","",(T399+R399+G399+V399))</f>
        <v/>
      </c>
      <c r="X399" s="200" t="str">
        <f aca="false">IF($A400="","",(U399+S399+H399+V399))</f>
        <v/>
      </c>
      <c r="Y399" s="202"/>
      <c r="Z399" s="185"/>
      <c r="AJ399" s="218"/>
      <c r="AK399" s="218"/>
      <c r="AL399" s="218"/>
      <c r="AM399" s="218"/>
      <c r="AN399" s="218"/>
      <c r="AO399" s="137" t="str">
        <f aca="false">IF(A400="","",A400-A399)</f>
        <v/>
      </c>
      <c r="AP399" s="212" t="str">
        <f aca="false">IF(A400="","",CHOOSE(F$3,A400+24,A399))</f>
        <v/>
      </c>
      <c r="AQ399" s="209" t="str">
        <f aca="false">IF(A400="","",AP399-$E$1)</f>
        <v/>
      </c>
      <c r="AR399" s="185" t="n">
        <f aca="false">'ANR OK vs ML7'!AR399</f>
        <v>0.1</v>
      </c>
      <c r="AS399" s="213" t="str">
        <f aca="false">IF(A400="","",1/(1+CHOOSE(F$3,(AR400+($I$3/10000))/2,(AR399+($I$3/10000))/2))^(2*AQ399/365.25))</f>
        <v/>
      </c>
      <c r="AT399" s="137" t="str">
        <f aca="false">IF(A400="","",IF(AND(mthbeg&lt;=A399,mthend&gt;=A399),1,0))</f>
        <v/>
      </c>
      <c r="AU399" s="137" t="str">
        <f aca="false">IF(A400="","",AO399*AT399)</f>
        <v/>
      </c>
      <c r="AW399" s="195" t="str">
        <f aca="false">IF($A400="","",AL399*$E399)</f>
        <v/>
      </c>
      <c r="AX399" s="195" t="str">
        <f aca="false">IF($A400="","",AM399*$E399)</f>
        <v/>
      </c>
      <c r="AY399" s="195" t="str">
        <f aca="false">IF($A400="","",AN399*$E399)</f>
        <v/>
      </c>
      <c r="BA399" s="195" t="str">
        <f aca="false">IF($A400="","",F399*Summary!$Q$9)</f>
        <v/>
      </c>
    </row>
    <row r="400" customFormat="false" ht="12.75" hidden="false" customHeight="false" outlineLevel="0" collapsed="false">
      <c r="A400" s="196" t="str">
        <f aca="false">IF(A399&lt;mthend,EDATE(A399,1),"")</f>
        <v/>
      </c>
      <c r="B400" s="197" t="str">
        <f aca="false">IF(A400&lt;mthend,B399,"")</f>
        <v/>
      </c>
      <c r="D400" s="197" t="str">
        <f aca="false">IF(A401&lt;&gt;"",B400+C400,"")</f>
        <v/>
      </c>
      <c r="E400" s="199" t="str">
        <f aca="false">IF(A401="","",IF(AND(AT400=1,$H$3=1),D400*AO400,IF($H$3=2,D400,"N/A")))</f>
        <v/>
      </c>
      <c r="F400" s="199" t="str">
        <f aca="false">IF(A401="","",E400*AS400)</f>
        <v/>
      </c>
      <c r="G400" s="200" t="str">
        <f aca="false">IF($A401="","",VLOOKUP($A400,Table,MATCH(G$4,Curves,0)))</f>
        <v/>
      </c>
      <c r="H400" s="201" t="str">
        <f aca="false">IF(A401="","",G400)</f>
        <v/>
      </c>
      <c r="J400" s="200" t="str">
        <f aca="false">IF($A401="","",VLOOKUP($A400,Table,MATCH(J$4,Curves,0)))</f>
        <v/>
      </c>
      <c r="K400" s="201" t="str">
        <f aca="false">IF(A401="","",J400)</f>
        <v/>
      </c>
      <c r="L400" s="200" t="str">
        <f aca="false">IF($A401="","",VLOOKUP($A400,Table,MATCH(L$4,Curves,0)))</f>
        <v/>
      </c>
      <c r="M400" s="201" t="str">
        <f aca="false">IF(A401="","",L400)</f>
        <v/>
      </c>
      <c r="O400" s="200" t="str">
        <f aca="false">IF(A401="","",L400+J400+G400)</f>
        <v/>
      </c>
      <c r="P400" s="200" t="str">
        <f aca="false">IF(A401="","",M400+K400+H400)</f>
        <v/>
      </c>
      <c r="R400" s="200" t="str">
        <f aca="false">IF($A401="","",VLOOKUP($A400,Table,MATCH(R$4,Curves,0)))</f>
        <v/>
      </c>
      <c r="S400" s="201" t="str">
        <f aca="false">IF(A401="","",R400)</f>
        <v/>
      </c>
      <c r="T400" s="200" t="str">
        <f aca="false">IF($A401="","",VLOOKUP($A400,Table,MATCH(T$4,Curves,0)))</f>
        <v/>
      </c>
      <c r="U400" s="201" t="str">
        <f aca="false">IF(A401="","",T400)</f>
        <v/>
      </c>
      <c r="V400" s="225" t="str">
        <f aca="false">IF($A401="","",IF(AND(MONTH(A400)&gt;3,MONTH(A400)&lt;11),(T400+R400+G400)*Summary!$T$9/(1-Summary!$T$9),(T400+R400+G400)*Summary!$U$9/(1-Summary!$U$9)))</f>
        <v/>
      </c>
      <c r="W400" s="200" t="str">
        <f aca="false">IF($A401="","",(T400+R400+G400+V400))</f>
        <v/>
      </c>
      <c r="X400" s="200" t="str">
        <f aca="false">IF($A401="","",(U400+S400+H400+V400))</f>
        <v/>
      </c>
      <c r="Y400" s="202"/>
      <c r="Z400" s="185"/>
      <c r="AJ400" s="218"/>
      <c r="AK400" s="218"/>
      <c r="AL400" s="218"/>
      <c r="AM400" s="218"/>
      <c r="AN400" s="218"/>
      <c r="AO400" s="137" t="str">
        <f aca="false">IF(A401="","",A401-A400)</f>
        <v/>
      </c>
      <c r="AP400" s="212" t="str">
        <f aca="false">IF(A401="","",CHOOSE(F$3,A401+24,A400))</f>
        <v/>
      </c>
      <c r="AQ400" s="209" t="str">
        <f aca="false">IF(A401="","",AP400-$E$1)</f>
        <v/>
      </c>
      <c r="AR400" s="185" t="n">
        <f aca="false">'ANR OK vs ML7'!AR400</f>
        <v>0.1</v>
      </c>
      <c r="AS400" s="213" t="str">
        <f aca="false">IF(A401="","",1/(1+CHOOSE(F$3,(AR401+($I$3/10000))/2,(AR400+($I$3/10000))/2))^(2*AQ400/365.25))</f>
        <v/>
      </c>
      <c r="AT400" s="137" t="str">
        <f aca="false">IF(A401="","",IF(AND(mthbeg&lt;=A400,mthend&gt;=A400),1,0))</f>
        <v/>
      </c>
      <c r="AU400" s="137" t="str">
        <f aca="false">IF(A401="","",AO400*AT400)</f>
        <v/>
      </c>
      <c r="AW400" s="195" t="str">
        <f aca="false">IF($A401="","",AL400*$E400)</f>
        <v/>
      </c>
      <c r="AX400" s="195" t="str">
        <f aca="false">IF($A401="","",AM400*$E400)</f>
        <v/>
      </c>
      <c r="AY400" s="195" t="str">
        <f aca="false">IF($A401="","",AN400*$E400)</f>
        <v/>
      </c>
      <c r="BA400" s="195" t="str">
        <f aca="false">IF($A401="","",F400*Summary!$Q$9)</f>
        <v/>
      </c>
    </row>
    <row r="401" customFormat="false" ht="12.75" hidden="false" customHeight="false" outlineLevel="0" collapsed="false">
      <c r="A401" s="196" t="str">
        <f aca="false">IF(A400&lt;mthend,EDATE(A400,1),"")</f>
        <v/>
      </c>
      <c r="B401" s="197" t="str">
        <f aca="false">IF(A401&lt;mthend,B400,"")</f>
        <v/>
      </c>
      <c r="D401" s="197" t="str">
        <f aca="false">IF(A402&lt;&gt;"",B401+C401,"")</f>
        <v/>
      </c>
      <c r="E401" s="199" t="str">
        <f aca="false">IF(A402="","",IF(AND(AT401=1,$H$3=1),D401*AO401,IF($H$3=2,D401,"N/A")))</f>
        <v/>
      </c>
      <c r="F401" s="199" t="str">
        <f aca="false">IF(A402="","",E401*AS401)</f>
        <v/>
      </c>
      <c r="G401" s="200" t="str">
        <f aca="false">IF($A402="","",VLOOKUP($A401,Table,MATCH(G$4,Curves,0)))</f>
        <v/>
      </c>
      <c r="H401" s="201" t="str">
        <f aca="false">IF(A402="","",G401)</f>
        <v/>
      </c>
      <c r="J401" s="200" t="str">
        <f aca="false">IF($A402="","",VLOOKUP($A401,Table,MATCH(J$4,Curves,0)))</f>
        <v/>
      </c>
      <c r="K401" s="201" t="str">
        <f aca="false">IF(A402="","",J401)</f>
        <v/>
      </c>
      <c r="L401" s="200" t="str">
        <f aca="false">IF($A402="","",VLOOKUP($A401,Table,MATCH(L$4,Curves,0)))</f>
        <v/>
      </c>
      <c r="M401" s="201" t="str">
        <f aca="false">IF(A402="","",L401)</f>
        <v/>
      </c>
      <c r="O401" s="200" t="str">
        <f aca="false">IF(A402="","",L401+J401+G401)</f>
        <v/>
      </c>
      <c r="P401" s="200" t="str">
        <f aca="false">IF(A402="","",M401+K401+H401)</f>
        <v/>
      </c>
      <c r="R401" s="200" t="str">
        <f aca="false">IF($A402="","",VLOOKUP($A401,Table,MATCH(R$4,Curves,0)))</f>
        <v/>
      </c>
      <c r="S401" s="201" t="str">
        <f aca="false">IF(A402="","",R401)</f>
        <v/>
      </c>
      <c r="T401" s="200" t="str">
        <f aca="false">IF($A402="","",VLOOKUP($A401,Table,MATCH(T$4,Curves,0)))</f>
        <v/>
      </c>
      <c r="U401" s="201" t="str">
        <f aca="false">IF(A402="","",T401)</f>
        <v/>
      </c>
      <c r="V401" s="225" t="str">
        <f aca="false">IF($A402="","",IF(AND(MONTH(A401)&gt;3,MONTH(A401)&lt;11),(T401+R401+G401)*Summary!$T$9/(1-Summary!$T$9),(T401+R401+G401)*Summary!$U$9/(1-Summary!$U$9)))</f>
        <v/>
      </c>
      <c r="W401" s="200" t="str">
        <f aca="false">IF($A402="","",(T401+R401+G401+V401))</f>
        <v/>
      </c>
      <c r="X401" s="200" t="str">
        <f aca="false">IF($A402="","",(U401+S401+H401+V401))</f>
        <v/>
      </c>
      <c r="Y401" s="202"/>
      <c r="Z401" s="185"/>
      <c r="AJ401" s="218"/>
      <c r="AK401" s="218"/>
      <c r="AL401" s="218"/>
      <c r="AM401" s="218"/>
      <c r="AN401" s="218"/>
      <c r="AO401" s="137" t="str">
        <f aca="false">IF(A402="","",A402-A401)</f>
        <v/>
      </c>
      <c r="AP401" s="212" t="str">
        <f aca="false">IF(A402="","",CHOOSE(F$3,A402+24,A401))</f>
        <v/>
      </c>
      <c r="AQ401" s="209" t="str">
        <f aca="false">IF(A402="","",AP401-$E$1)</f>
        <v/>
      </c>
      <c r="AR401" s="185" t="n">
        <f aca="false">'ANR OK vs ML7'!AR401</f>
        <v>0.1</v>
      </c>
      <c r="AS401" s="213" t="str">
        <f aca="false">IF(A402="","",1/(1+CHOOSE(F$3,(AR402+($I$3/10000))/2,(AR401+($I$3/10000))/2))^(2*AQ401/365.25))</f>
        <v/>
      </c>
      <c r="AT401" s="137" t="str">
        <f aca="false">IF(A402="","",IF(AND(mthbeg&lt;=A401,mthend&gt;=A401),1,0))</f>
        <v/>
      </c>
      <c r="AU401" s="137" t="str">
        <f aca="false">IF(A402="","",AO401*AT401)</f>
        <v/>
      </c>
      <c r="AW401" s="195" t="str">
        <f aca="false">IF($A402="","",AL401*$E401)</f>
        <v/>
      </c>
      <c r="AX401" s="195" t="str">
        <f aca="false">IF($A402="","",AM401*$E401)</f>
        <v/>
      </c>
      <c r="AY401" s="195" t="str">
        <f aca="false">IF($A402="","",AN401*$E401)</f>
        <v/>
      </c>
      <c r="BA401" s="195" t="str">
        <f aca="false">IF($A402="","",F401*Summary!$Q$9)</f>
        <v/>
      </c>
    </row>
    <row r="402" customFormat="false" ht="12.75" hidden="false" customHeight="false" outlineLevel="0" collapsed="false">
      <c r="A402" s="196" t="str">
        <f aca="false">IF(A401&lt;mthend,EDATE(A401,1),"")</f>
        <v/>
      </c>
      <c r="B402" s="197" t="str">
        <f aca="false">IF(A402&lt;mthend,B401,"")</f>
        <v/>
      </c>
      <c r="D402" s="197" t="str">
        <f aca="false">IF(A403&lt;&gt;"",B402+C402,"")</f>
        <v/>
      </c>
      <c r="E402" s="199" t="str">
        <f aca="false">IF(A403="","",IF(AND(AT402=1,$H$3=1),D402*AO402,IF($H$3=2,D402,"N/A")))</f>
        <v/>
      </c>
      <c r="F402" s="199" t="str">
        <f aca="false">IF(A403="","",E402*AS402)</f>
        <v/>
      </c>
      <c r="G402" s="200" t="str">
        <f aca="false">IF($A403="","",VLOOKUP($A402,Table,MATCH(G$4,Curves,0)))</f>
        <v/>
      </c>
      <c r="H402" s="201" t="str">
        <f aca="false">IF(A403="","",G402)</f>
        <v/>
      </c>
      <c r="J402" s="200" t="str">
        <f aca="false">IF($A403="","",VLOOKUP($A402,Table,MATCH(J$4,Curves,0)))</f>
        <v/>
      </c>
      <c r="K402" s="201" t="str">
        <f aca="false">IF(A403="","",J402)</f>
        <v/>
      </c>
      <c r="L402" s="200" t="str">
        <f aca="false">IF($A403="","",VLOOKUP($A402,Table,MATCH(L$4,Curves,0)))</f>
        <v/>
      </c>
      <c r="M402" s="201" t="str">
        <f aca="false">IF(A403="","",L402)</f>
        <v/>
      </c>
      <c r="O402" s="200" t="str">
        <f aca="false">IF(A403="","",L402+J402+G402)</f>
        <v/>
      </c>
      <c r="P402" s="200" t="str">
        <f aca="false">IF(A403="","",M402+K402+H402)</f>
        <v/>
      </c>
      <c r="R402" s="200" t="str">
        <f aca="false">IF($A403="","",VLOOKUP($A402,Table,MATCH(R$4,Curves,0)))</f>
        <v/>
      </c>
      <c r="S402" s="201" t="str">
        <f aca="false">IF(A403="","",R402)</f>
        <v/>
      </c>
      <c r="T402" s="200" t="str">
        <f aca="false">IF($A403="","",VLOOKUP($A402,Table,MATCH(T$4,Curves,0)))</f>
        <v/>
      </c>
      <c r="U402" s="201" t="str">
        <f aca="false">IF(A403="","",T402)</f>
        <v/>
      </c>
      <c r="V402" s="225" t="str">
        <f aca="false">IF($A403="","",IF(AND(MONTH(A402)&gt;3,MONTH(A402)&lt;11),(T402+R402+G402)*Summary!$T$9/(1-Summary!$T$9),(T402+R402+G402)*Summary!$U$9/(1-Summary!$U$9)))</f>
        <v/>
      </c>
      <c r="W402" s="200" t="str">
        <f aca="false">IF($A403="","",(T402+R402+G402+V402))</f>
        <v/>
      </c>
      <c r="X402" s="200" t="str">
        <f aca="false">IF($A403="","",(U402+S402+H402+V402))</f>
        <v/>
      </c>
      <c r="Y402" s="202"/>
      <c r="Z402" s="185"/>
      <c r="AJ402" s="218"/>
      <c r="AK402" s="218"/>
      <c r="AL402" s="218"/>
      <c r="AM402" s="218"/>
      <c r="AN402" s="218"/>
      <c r="AO402" s="137" t="str">
        <f aca="false">IF(A403="","",A403-A402)</f>
        <v/>
      </c>
      <c r="AP402" s="212" t="str">
        <f aca="false">IF(A403="","",CHOOSE(F$3,A403+24,A402))</f>
        <v/>
      </c>
      <c r="AQ402" s="209" t="str">
        <f aca="false">IF(A403="","",AP402-$E$1)</f>
        <v/>
      </c>
      <c r="AR402" s="185" t="n">
        <f aca="false">'ANR OK vs ML7'!AR402</f>
        <v>0.1</v>
      </c>
      <c r="AS402" s="213" t="str">
        <f aca="false">IF(A403="","",1/(1+CHOOSE(F$3,(AR403+($I$3/10000))/2,(AR402+($I$3/10000))/2))^(2*AQ402/365.25))</f>
        <v/>
      </c>
      <c r="AT402" s="137" t="str">
        <f aca="false">IF(A403="","",IF(AND(mthbeg&lt;=A402,mthend&gt;=A402),1,0))</f>
        <v/>
      </c>
      <c r="AU402" s="137" t="str">
        <f aca="false">IF(A403="","",AO402*AT402)</f>
        <v/>
      </c>
      <c r="AW402" s="195" t="str">
        <f aca="false">IF($A403="","",AL402*$E402)</f>
        <v/>
      </c>
      <c r="AX402" s="195" t="str">
        <f aca="false">IF($A403="","",AM402*$E402)</f>
        <v/>
      </c>
      <c r="AY402" s="195" t="str">
        <f aca="false">IF($A403="","",AN402*$E402)</f>
        <v/>
      </c>
      <c r="BA402" s="195" t="str">
        <f aca="false">IF($A403="","",F402*Summary!$Q$9)</f>
        <v/>
      </c>
    </row>
    <row r="403" customFormat="false" ht="12.75" hidden="false" customHeight="false" outlineLevel="0" collapsed="false">
      <c r="A403" s="196" t="str">
        <f aca="false">IF(A402&lt;mthend,EDATE(A402,1),"")</f>
        <v/>
      </c>
      <c r="B403" s="197" t="str">
        <f aca="false">IF(A403&lt;mthend,B402,"")</f>
        <v/>
      </c>
      <c r="D403" s="197" t="str">
        <f aca="false">IF(A404&lt;&gt;"",B403+C403,"")</f>
        <v/>
      </c>
      <c r="E403" s="199" t="str">
        <f aca="false">IF(A404="","",IF(AND(AT403=1,$H$3=1),D403*AO403,IF($H$3=2,D403,"N/A")))</f>
        <v/>
      </c>
      <c r="F403" s="199" t="str">
        <f aca="false">IF(A404="","",E403*AS403)</f>
        <v/>
      </c>
      <c r="G403" s="200" t="str">
        <f aca="false">IF($A404="","",VLOOKUP($A403,Table,MATCH(G$4,Curves,0)))</f>
        <v/>
      </c>
      <c r="H403" s="201" t="str">
        <f aca="false">IF(A404="","",G403)</f>
        <v/>
      </c>
      <c r="J403" s="200" t="str">
        <f aca="false">IF($A404="","",VLOOKUP($A403,Table,MATCH(J$4,Curves,0)))</f>
        <v/>
      </c>
      <c r="K403" s="201" t="str">
        <f aca="false">IF(A404="","",J403)</f>
        <v/>
      </c>
      <c r="L403" s="200" t="str">
        <f aca="false">IF($A404="","",VLOOKUP($A403,Table,MATCH(L$4,Curves,0)))</f>
        <v/>
      </c>
      <c r="M403" s="201" t="str">
        <f aca="false">IF(A404="","",L403)</f>
        <v/>
      </c>
      <c r="O403" s="200" t="str">
        <f aca="false">IF(A404="","",L403+J403+G403)</f>
        <v/>
      </c>
      <c r="P403" s="200" t="str">
        <f aca="false">IF(A404="","",M403+K403+H403)</f>
        <v/>
      </c>
      <c r="R403" s="200" t="str">
        <f aca="false">IF($A404="","",VLOOKUP($A403,Table,MATCH(R$4,Curves,0)))</f>
        <v/>
      </c>
      <c r="S403" s="201" t="str">
        <f aca="false">IF(A404="","",R403)</f>
        <v/>
      </c>
      <c r="T403" s="200" t="str">
        <f aca="false">IF($A404="","",VLOOKUP($A403,Table,MATCH(T$4,Curves,0)))</f>
        <v/>
      </c>
      <c r="U403" s="201" t="str">
        <f aca="false">IF(A404="","",T403)</f>
        <v/>
      </c>
      <c r="V403" s="225" t="str">
        <f aca="false">IF($A404="","",IF(AND(MONTH(A403)&gt;3,MONTH(A403)&lt;11),(T403+R403+G403)*Summary!$T$9/(1-Summary!$T$9),(T403+R403+G403)*Summary!$U$9/(1-Summary!$U$9)))</f>
        <v/>
      </c>
      <c r="W403" s="200" t="str">
        <f aca="false">IF($A404="","",(T403+R403+G403+V403))</f>
        <v/>
      </c>
      <c r="X403" s="200" t="str">
        <f aca="false">IF($A404="","",(U403+S403+H403+V403))</f>
        <v/>
      </c>
      <c r="Y403" s="202"/>
      <c r="Z403" s="185"/>
      <c r="AJ403" s="77"/>
      <c r="AK403" s="77"/>
      <c r="AL403" s="77"/>
      <c r="AM403" s="77"/>
      <c r="AN403" s="77"/>
      <c r="AO403" s="137" t="str">
        <f aca="false">IF(A404="","",A404-A403)</f>
        <v/>
      </c>
      <c r="AP403" s="212" t="str">
        <f aca="false">IF(A404="","",CHOOSE(F$3,A404+24,A403))</f>
        <v/>
      </c>
      <c r="AQ403" s="209" t="str">
        <f aca="false">IF(A404="","",AP403-$E$1)</f>
        <v/>
      </c>
      <c r="AR403" s="185" t="n">
        <f aca="false">'ANR OK vs ML7'!AR403</f>
        <v>0.1</v>
      </c>
      <c r="AS403" s="213" t="str">
        <f aca="false">IF(A404="","",1/(1+CHOOSE(F$3,(AR404+($I$3/10000))/2,(AR403+($I$3/10000))/2))^(2*AQ403/365.25))</f>
        <v/>
      </c>
      <c r="AT403" s="137" t="str">
        <f aca="false">IF(A404="","",IF(AND(mthbeg&lt;=A403,mthend&gt;=A403),1,0))</f>
        <v/>
      </c>
      <c r="AU403" s="137" t="str">
        <f aca="false">IF(A404="","",AO403*AT403)</f>
        <v/>
      </c>
      <c r="AW403" s="195" t="str">
        <f aca="false">IF($A404="","",AL403*$E403)</f>
        <v/>
      </c>
      <c r="AX403" s="195" t="str">
        <f aca="false">IF($A404="","",AM403*$E403)</f>
        <v/>
      </c>
      <c r="AY403" s="195" t="str">
        <f aca="false">IF($A404="","",AN403*$E403)</f>
        <v/>
      </c>
      <c r="BA403" s="195" t="str">
        <f aca="false">IF($A404="","",F403*Summary!$Q$9)</f>
        <v/>
      </c>
    </row>
    <row r="404" customFormat="false" ht="12.75" hidden="false" customHeight="false" outlineLevel="0" collapsed="false">
      <c r="A404" s="196" t="str">
        <f aca="false">IF(A403&lt;mthend,EDATE(A403,1),"")</f>
        <v/>
      </c>
      <c r="B404" s="197" t="str">
        <f aca="false">IF(A404&lt;mthend,B403,"")</f>
        <v/>
      </c>
      <c r="D404" s="197" t="str">
        <f aca="false">IF(A405&lt;&gt;"",B404+C404,"")</f>
        <v/>
      </c>
      <c r="E404" s="199" t="str">
        <f aca="false">IF(A405="","",IF(AND(AT404=1,$H$3=1),D404*AO404,IF($H$3=2,D404,"N/A")))</f>
        <v/>
      </c>
      <c r="F404" s="199" t="str">
        <f aca="false">IF(A405="","",E404*AS404)</f>
        <v/>
      </c>
      <c r="G404" s="200" t="str">
        <f aca="false">IF($A405="","",VLOOKUP($A404,Table,MATCH(G$4,Curves,0)))</f>
        <v/>
      </c>
      <c r="H404" s="201" t="str">
        <f aca="false">IF(A405="","",G404)</f>
        <v/>
      </c>
      <c r="J404" s="200" t="str">
        <f aca="false">IF($A405="","",VLOOKUP($A404,Table,MATCH(J$4,Curves,0)))</f>
        <v/>
      </c>
      <c r="K404" s="201" t="str">
        <f aca="false">IF(A405="","",J404)</f>
        <v/>
      </c>
      <c r="L404" s="200" t="str">
        <f aca="false">IF($A405="","",VLOOKUP($A404,Table,MATCH(L$4,Curves,0)))</f>
        <v/>
      </c>
      <c r="M404" s="201" t="str">
        <f aca="false">IF(A405="","",L404)</f>
        <v/>
      </c>
      <c r="O404" s="200" t="str">
        <f aca="false">IF(A405="","",L404+J404+G404)</f>
        <v/>
      </c>
      <c r="P404" s="200" t="str">
        <f aca="false">IF(A405="","",M404+K404+H404)</f>
        <v/>
      </c>
      <c r="R404" s="200" t="str">
        <f aca="false">IF($A405="","",VLOOKUP($A404,Table,MATCH(R$4,Curves,0)))</f>
        <v/>
      </c>
      <c r="S404" s="201" t="str">
        <f aca="false">IF(A405="","",R404)</f>
        <v/>
      </c>
      <c r="T404" s="200" t="str">
        <f aca="false">IF($A405="","",VLOOKUP($A404,Table,MATCH(T$4,Curves,0)))</f>
        <v/>
      </c>
      <c r="U404" s="201" t="str">
        <f aca="false">IF(A405="","",T404)</f>
        <v/>
      </c>
      <c r="V404" s="225" t="str">
        <f aca="false">IF($A405="","",IF(AND(MONTH(A404)&gt;3,MONTH(A404)&lt;11),(T404+R404+G404)*Summary!$T$9/(1-Summary!$T$9),(T404+R404+G404)*Summary!$U$9/(1-Summary!$U$9)))</f>
        <v/>
      </c>
      <c r="W404" s="200" t="str">
        <f aca="false">IF($A405="","",(T404+R404+G404+V404))</f>
        <v/>
      </c>
      <c r="X404" s="200" t="str">
        <f aca="false">IF($A405="","",(U404+S404+H404+V404))</f>
        <v/>
      </c>
      <c r="Y404" s="202"/>
      <c r="Z404" s="185"/>
      <c r="AJ404" s="77"/>
      <c r="AK404" s="77"/>
      <c r="AL404" s="77"/>
      <c r="AM404" s="77"/>
      <c r="AN404" s="77"/>
      <c r="AO404" s="137" t="str">
        <f aca="false">IF(A405="","",A405-A404)</f>
        <v/>
      </c>
      <c r="AP404" s="212" t="str">
        <f aca="false">IF(A405="","",CHOOSE(F$3,A405+24,A404))</f>
        <v/>
      </c>
      <c r="AQ404" s="209" t="str">
        <f aca="false">IF(A405="","",AP404-$E$1)</f>
        <v/>
      </c>
      <c r="AR404" s="185" t="n">
        <f aca="false">'ANR OK vs ML7'!AR404</f>
        <v>0.1</v>
      </c>
      <c r="AS404" s="213" t="str">
        <f aca="false">IF(A405="","",1/(1+CHOOSE(F$3,(AR405+($I$3/10000))/2,(AR404+($I$3/10000))/2))^(2*AQ404/365.25))</f>
        <v/>
      </c>
      <c r="AT404" s="137" t="str">
        <f aca="false">IF(A405="","",IF(AND(mthbeg&lt;=A404,mthend&gt;=A404),1,0))</f>
        <v/>
      </c>
      <c r="AU404" s="137" t="str">
        <f aca="false">IF(A405="","",AO404*AT404)</f>
        <v/>
      </c>
      <c r="AW404" s="195" t="str">
        <f aca="false">IF($A405="","",AL404*$E404)</f>
        <v/>
      </c>
      <c r="AX404" s="195" t="str">
        <f aca="false">IF($A405="","",AM404*$E404)</f>
        <v/>
      </c>
      <c r="AY404" s="195" t="str">
        <f aca="false">IF($A405="","",AN404*$E404)</f>
        <v/>
      </c>
      <c r="BA404" s="195" t="str">
        <f aca="false">IF($A405="","",F404*Summary!$Q$9)</f>
        <v/>
      </c>
    </row>
    <row r="405" customFormat="false" ht="12.75" hidden="false" customHeight="false" outlineLevel="0" collapsed="false">
      <c r="A405" s="196" t="str">
        <f aca="false">IF(A404&lt;mthend,EDATE(A404,1),"")</f>
        <v/>
      </c>
      <c r="B405" s="197" t="str">
        <f aca="false">IF(A405&lt;mthend,B404,"")</f>
        <v/>
      </c>
      <c r="D405" s="197" t="str">
        <f aca="false">IF(A406&lt;&gt;"",B405+C405,"")</f>
        <v/>
      </c>
      <c r="E405" s="199" t="str">
        <f aca="false">IF(A406="","",IF(AND(AT405=1,$H$3=1),D405*AO405,IF($H$3=2,D405,"N/A")))</f>
        <v/>
      </c>
      <c r="F405" s="199" t="str">
        <f aca="false">IF(A406="","",E405*AS405)</f>
        <v/>
      </c>
      <c r="G405" s="200" t="str">
        <f aca="false">IF($A406="","",VLOOKUP($A405,Table,MATCH(G$4,Curves,0)))</f>
        <v/>
      </c>
      <c r="H405" s="201" t="str">
        <f aca="false">IF(A406="","",G405)</f>
        <v/>
      </c>
      <c r="J405" s="200" t="str">
        <f aca="false">IF($A406="","",VLOOKUP($A405,Table,MATCH(J$4,Curves,0)))</f>
        <v/>
      </c>
      <c r="K405" s="201" t="str">
        <f aca="false">IF(A406="","",J405)</f>
        <v/>
      </c>
      <c r="L405" s="200" t="str">
        <f aca="false">IF($A406="","",VLOOKUP($A405,Table,MATCH(L$4,Curves,0)))</f>
        <v/>
      </c>
      <c r="M405" s="201" t="str">
        <f aca="false">IF(A406="","",L405)</f>
        <v/>
      </c>
      <c r="O405" s="200" t="str">
        <f aca="false">IF(A406="","",L405+J405+G405)</f>
        <v/>
      </c>
      <c r="P405" s="200" t="str">
        <f aca="false">IF(A406="","",M405+K405+H405)</f>
        <v/>
      </c>
      <c r="R405" s="200" t="str">
        <f aca="false">IF($A406="","",VLOOKUP($A405,Table,MATCH(R$4,Curves,0)))</f>
        <v/>
      </c>
      <c r="S405" s="201" t="str">
        <f aca="false">IF(A406="","",R405)</f>
        <v/>
      </c>
      <c r="T405" s="200" t="str">
        <f aca="false">IF($A406="","",VLOOKUP($A405,Table,MATCH(T$4,Curves,0)))</f>
        <v/>
      </c>
      <c r="U405" s="201" t="str">
        <f aca="false">IF(A406="","",T405)</f>
        <v/>
      </c>
      <c r="V405" s="225" t="str">
        <f aca="false">IF($A406="","",IF(AND(MONTH(A405)&gt;3,MONTH(A405)&lt;11),(T405+R405+G405)*Summary!$T$9/(1-Summary!$T$9),(T405+R405+G405)*Summary!$U$9/(1-Summary!$U$9)))</f>
        <v/>
      </c>
      <c r="W405" s="200" t="str">
        <f aca="false">IF($A406="","",(T405+R405+G405+V405))</f>
        <v/>
      </c>
      <c r="X405" s="200" t="str">
        <f aca="false">IF($A406="","",(U405+S405+H405+V405))</f>
        <v/>
      </c>
      <c r="Y405" s="202"/>
      <c r="Z405" s="185"/>
      <c r="AJ405" s="77"/>
      <c r="AK405" s="77"/>
      <c r="AL405" s="77"/>
      <c r="AM405" s="77"/>
      <c r="AN405" s="77"/>
      <c r="AO405" s="137" t="str">
        <f aca="false">IF(A406="","",A406-A405)</f>
        <v/>
      </c>
      <c r="AP405" s="212" t="str">
        <f aca="false">IF(A406="","",CHOOSE(F$3,A406+24,A405))</f>
        <v/>
      </c>
      <c r="AQ405" s="209" t="str">
        <f aca="false">IF(A406="","",AP405-$E$1)</f>
        <v/>
      </c>
      <c r="AR405" s="185" t="n">
        <f aca="false">'ANR OK vs ML7'!AR405</f>
        <v>0.1</v>
      </c>
      <c r="AS405" s="213" t="str">
        <f aca="false">IF(A406="","",1/(1+CHOOSE(F$3,(AR406+($I$3/10000))/2,(AR405+($I$3/10000))/2))^(2*AQ405/365.25))</f>
        <v/>
      </c>
      <c r="AT405" s="137" t="str">
        <f aca="false">IF(A406="","",IF(AND(mthbeg&lt;=A405,mthend&gt;=A405),1,0))</f>
        <v/>
      </c>
      <c r="AU405" s="137" t="str">
        <f aca="false">IF(A406="","",AO405*AT405)</f>
        <v/>
      </c>
      <c r="AW405" s="195" t="str">
        <f aca="false">IF($A406="","",AL405*$E405)</f>
        <v/>
      </c>
      <c r="AX405" s="195" t="str">
        <f aca="false">IF($A406="","",AM405*$E405)</f>
        <v/>
      </c>
      <c r="AY405" s="195" t="str">
        <f aca="false">IF($A406="","",AN405*$E405)</f>
        <v/>
      </c>
      <c r="BA405" s="195" t="str">
        <f aca="false">IF($A406="","",F405*Summary!$Q$9)</f>
        <v/>
      </c>
    </row>
    <row r="406" customFormat="false" ht="12.75" hidden="false" customHeight="false" outlineLevel="0" collapsed="false">
      <c r="A406" s="196" t="str">
        <f aca="false">IF(A405&lt;mthend,EDATE(A405,1),"")</f>
        <v/>
      </c>
      <c r="B406" s="197" t="str">
        <f aca="false">IF(A406&lt;mthend,B405,"")</f>
        <v/>
      </c>
      <c r="D406" s="197" t="str">
        <f aca="false">IF(A407&lt;&gt;"",B406+C406,"")</f>
        <v/>
      </c>
      <c r="E406" s="199" t="str">
        <f aca="false">IF(A407="","",IF(AND(AT406=1,$H$3=1),D406*AO406,IF($H$3=2,D406,"N/A")))</f>
        <v/>
      </c>
      <c r="F406" s="199" t="str">
        <f aca="false">IF(A407="","",E406*AS406)</f>
        <v/>
      </c>
      <c r="G406" s="200" t="str">
        <f aca="false">IF($A407="","",VLOOKUP($A406,Table,MATCH(G$4,Curves,0)))</f>
        <v/>
      </c>
      <c r="H406" s="201" t="str">
        <f aca="false">IF(A407="","",G406)</f>
        <v/>
      </c>
      <c r="J406" s="200" t="str">
        <f aca="false">IF($A407="","",VLOOKUP($A406,Table,MATCH(J$4,Curves,0)))</f>
        <v/>
      </c>
      <c r="K406" s="201" t="str">
        <f aca="false">IF(A407="","",J406)</f>
        <v/>
      </c>
      <c r="L406" s="200" t="str">
        <f aca="false">IF($A407="","",VLOOKUP($A406,Table,MATCH(L$4,Curves,0)))</f>
        <v/>
      </c>
      <c r="M406" s="201" t="str">
        <f aca="false">IF(A407="","",L406)</f>
        <v/>
      </c>
      <c r="O406" s="200" t="str">
        <f aca="false">IF(A407="","",L406+J406+G406)</f>
        <v/>
      </c>
      <c r="P406" s="200" t="str">
        <f aca="false">IF(A407="","",M406+K406+H406)</f>
        <v/>
      </c>
      <c r="R406" s="200" t="str">
        <f aca="false">IF($A407="","",VLOOKUP($A406,Table,MATCH(R$4,Curves,0)))</f>
        <v/>
      </c>
      <c r="S406" s="201" t="str">
        <f aca="false">IF(A407="","",R406)</f>
        <v/>
      </c>
      <c r="T406" s="200" t="str">
        <f aca="false">IF($A407="","",VLOOKUP($A406,Table,MATCH(T$4,Curves,0)))</f>
        <v/>
      </c>
      <c r="U406" s="201" t="str">
        <f aca="false">IF(A407="","",T406)</f>
        <v/>
      </c>
      <c r="V406" s="225" t="str">
        <f aca="false">IF($A407="","",IF(AND(MONTH(A406)&gt;3,MONTH(A406)&lt;11),(T406+R406+G406)*Summary!$T$9/(1-Summary!$T$9),(T406+R406+G406)*Summary!$U$9/(1-Summary!$U$9)))</f>
        <v/>
      </c>
      <c r="W406" s="200" t="str">
        <f aca="false">IF($A407="","",(T406+R406+G406+V406))</f>
        <v/>
      </c>
      <c r="X406" s="200" t="str">
        <f aca="false">IF($A407="","",(U406+S406+H406+V406))</f>
        <v/>
      </c>
      <c r="Y406" s="202"/>
      <c r="Z406" s="185"/>
      <c r="AJ406" s="77"/>
      <c r="AK406" s="77"/>
      <c r="AL406" s="77"/>
      <c r="AM406" s="77"/>
      <c r="AN406" s="77"/>
      <c r="AO406" s="137" t="str">
        <f aca="false">IF(A407="","",A407-A406)</f>
        <v/>
      </c>
      <c r="AP406" s="212" t="str">
        <f aca="false">IF(A407="","",CHOOSE(F$3,A407+24,A406))</f>
        <v/>
      </c>
      <c r="AQ406" s="209" t="str">
        <f aca="false">IF(A407="","",AP406-$E$1)</f>
        <v/>
      </c>
      <c r="AR406" s="185" t="n">
        <f aca="false">'ANR OK vs ML7'!AR406</f>
        <v>0.1</v>
      </c>
      <c r="AS406" s="213" t="str">
        <f aca="false">IF(A407="","",1/(1+CHOOSE(F$3,(AR407+($I$3/10000))/2,(AR406+($I$3/10000))/2))^(2*AQ406/365.25))</f>
        <v/>
      </c>
      <c r="AT406" s="137" t="str">
        <f aca="false">IF(A407="","",IF(AND(mthbeg&lt;=A406,mthend&gt;=A406),1,0))</f>
        <v/>
      </c>
      <c r="AU406" s="137" t="str">
        <f aca="false">IF(A407="","",AO406*AT406)</f>
        <v/>
      </c>
      <c r="AW406" s="195" t="str">
        <f aca="false">IF($A407="","",AL406*$E406)</f>
        <v/>
      </c>
      <c r="AX406" s="195" t="str">
        <f aca="false">IF($A407="","",AM406*$E406)</f>
        <v/>
      </c>
      <c r="AY406" s="195" t="str">
        <f aca="false">IF($A407="","",AN406*$E406)</f>
        <v/>
      </c>
      <c r="BA406" s="195" t="str">
        <f aca="false">IF($A407="","",F406*Summary!$Q$9)</f>
        <v/>
      </c>
    </row>
    <row r="407" customFormat="false" ht="12.75" hidden="false" customHeight="false" outlineLevel="0" collapsed="false">
      <c r="A407" s="196" t="str">
        <f aca="false">IF(A406&lt;mthend,EDATE(A406,1),"")</f>
        <v/>
      </c>
      <c r="B407" s="197" t="str">
        <f aca="false">IF(A407&lt;mthend,B406,"")</f>
        <v/>
      </c>
      <c r="D407" s="197" t="str">
        <f aca="false">IF(A408&lt;&gt;"",B407+C407,"")</f>
        <v/>
      </c>
      <c r="E407" s="199" t="str">
        <f aca="false">IF(A408="","",IF(AND(AT407=1,$H$3=1),D407*AO407,IF($H$3=2,D407,"N/A")))</f>
        <v/>
      </c>
      <c r="F407" s="199" t="str">
        <f aca="false">IF(A408="","",E407*AS407)</f>
        <v/>
      </c>
      <c r="G407" s="200" t="str">
        <f aca="false">IF($A408="","",VLOOKUP($A407,Table,MATCH(G$4,Curves,0)))</f>
        <v/>
      </c>
      <c r="H407" s="201" t="str">
        <f aca="false">IF(A408="","",G407)</f>
        <v/>
      </c>
      <c r="J407" s="200" t="str">
        <f aca="false">IF($A408="","",VLOOKUP($A407,Table,MATCH(J$4,Curves,0)))</f>
        <v/>
      </c>
      <c r="K407" s="201" t="str">
        <f aca="false">IF(A408="","",J407)</f>
        <v/>
      </c>
      <c r="L407" s="200" t="str">
        <f aca="false">IF($A408="","",VLOOKUP($A407,Table,MATCH(L$4,Curves,0)))</f>
        <v/>
      </c>
      <c r="M407" s="201" t="str">
        <f aca="false">IF(A408="","",L407)</f>
        <v/>
      </c>
      <c r="O407" s="200" t="str">
        <f aca="false">IF(A408="","",L407+J407+G407)</f>
        <v/>
      </c>
      <c r="P407" s="200" t="str">
        <f aca="false">IF(A408="","",M407+K407+H407)</f>
        <v/>
      </c>
      <c r="R407" s="200" t="str">
        <f aca="false">IF($A408="","",VLOOKUP($A407,Table,MATCH(R$4,Curves,0)))</f>
        <v/>
      </c>
      <c r="S407" s="201" t="str">
        <f aca="false">IF(A408="","",R407)</f>
        <v/>
      </c>
      <c r="T407" s="200" t="str">
        <f aca="false">IF($A408="","",VLOOKUP($A407,Table,MATCH(T$4,Curves,0)))</f>
        <v/>
      </c>
      <c r="U407" s="201" t="str">
        <f aca="false">IF(A408="","",T407)</f>
        <v/>
      </c>
      <c r="V407" s="225" t="str">
        <f aca="false">IF($A408="","",IF(AND(MONTH(A407)&gt;3,MONTH(A407)&lt;11),(T407+R407+G407)*Summary!$T$9/(1-Summary!$T$9),(T407+R407+G407)*Summary!$U$9/(1-Summary!$U$9)))</f>
        <v/>
      </c>
      <c r="W407" s="200" t="str">
        <f aca="false">IF($A408="","",(T407+R407+G407+V407))</f>
        <v/>
      </c>
      <c r="X407" s="200" t="str">
        <f aca="false">IF($A408="","",(U407+S407+H407+V407))</f>
        <v/>
      </c>
      <c r="Y407" s="202"/>
      <c r="Z407" s="185"/>
      <c r="AJ407" s="77"/>
      <c r="AK407" s="77"/>
      <c r="AL407" s="77"/>
      <c r="AM407" s="77"/>
      <c r="AN407" s="77"/>
      <c r="AO407" s="137" t="str">
        <f aca="false">IF(A408="","",A408-A407)</f>
        <v/>
      </c>
      <c r="AP407" s="212" t="str">
        <f aca="false">IF(A408="","",CHOOSE(F$3,A408+24,A407))</f>
        <v/>
      </c>
      <c r="AQ407" s="209" t="str">
        <f aca="false">IF(A408="","",AP407-$E$1)</f>
        <v/>
      </c>
      <c r="AR407" s="185" t="n">
        <f aca="false">'ANR OK vs ML7'!AR407</f>
        <v>0.1</v>
      </c>
      <c r="AS407" s="213" t="str">
        <f aca="false">IF(A408="","",1/(1+CHOOSE(F$3,(AR408+($I$3/10000))/2,(AR407+($I$3/10000))/2))^(2*AQ407/365.25))</f>
        <v/>
      </c>
      <c r="AT407" s="137" t="str">
        <f aca="false">IF(A408="","",IF(AND(mthbeg&lt;=A407,mthend&gt;=A407),1,0))</f>
        <v/>
      </c>
      <c r="AU407" s="137" t="str">
        <f aca="false">IF(A408="","",AO407*AT407)</f>
        <v/>
      </c>
      <c r="AW407" s="195" t="str">
        <f aca="false">IF($A408="","",AL407*$E407)</f>
        <v/>
      </c>
      <c r="AX407" s="195" t="str">
        <f aca="false">IF($A408="","",AM407*$E407)</f>
        <v/>
      </c>
      <c r="AY407" s="195" t="str">
        <f aca="false">IF($A408="","",AN407*$E407)</f>
        <v/>
      </c>
      <c r="BA407" s="195" t="str">
        <f aca="false">IF($A408="","",F407*Summary!$Q$9)</f>
        <v/>
      </c>
    </row>
    <row r="408" customFormat="false" ht="12.75" hidden="false" customHeight="false" outlineLevel="0" collapsed="false">
      <c r="A408" s="196" t="str">
        <f aca="false">IF(A407&lt;mthend,EDATE(A407,1),"")</f>
        <v/>
      </c>
      <c r="B408" s="197" t="str">
        <f aca="false">IF(A408&lt;mthend,B407,"")</f>
        <v/>
      </c>
      <c r="D408" s="197" t="str">
        <f aca="false">IF(A409&lt;&gt;"",B408+C408,"")</f>
        <v/>
      </c>
      <c r="E408" s="199" t="str">
        <f aca="false">IF(A409="","",IF(AND(AT408=1,$H$3=1),D408*AO408,IF($H$3=2,D408,"N/A")))</f>
        <v/>
      </c>
      <c r="F408" s="199" t="str">
        <f aca="false">IF(A409="","",E408*AS408)</f>
        <v/>
      </c>
      <c r="G408" s="200" t="str">
        <f aca="false">IF($A409="","",VLOOKUP($A408,Table,MATCH(G$4,Curves,0)))</f>
        <v/>
      </c>
      <c r="H408" s="201" t="str">
        <f aca="false">IF(A409="","",G408)</f>
        <v/>
      </c>
      <c r="J408" s="200" t="str">
        <f aca="false">IF($A409="","",VLOOKUP($A408,Table,MATCH(J$4,Curves,0)))</f>
        <v/>
      </c>
      <c r="K408" s="201" t="str">
        <f aca="false">IF(A409="","",J408)</f>
        <v/>
      </c>
      <c r="L408" s="200" t="str">
        <f aca="false">IF($A409="","",VLOOKUP($A408,Table,MATCH(L$4,Curves,0)))</f>
        <v/>
      </c>
      <c r="M408" s="201" t="str">
        <f aca="false">IF(A409="","",L408)</f>
        <v/>
      </c>
      <c r="O408" s="200" t="str">
        <f aca="false">IF(A409="","",L408+J408+G408)</f>
        <v/>
      </c>
      <c r="P408" s="200" t="str">
        <f aca="false">IF(A409="","",M408+K408+H408)</f>
        <v/>
      </c>
      <c r="R408" s="200" t="str">
        <f aca="false">IF($A409="","",VLOOKUP($A408,Table,MATCH(R$4,Curves,0)))</f>
        <v/>
      </c>
      <c r="S408" s="201" t="str">
        <f aca="false">IF(A409="","",R408)</f>
        <v/>
      </c>
      <c r="T408" s="200" t="str">
        <f aca="false">IF($A409="","",VLOOKUP($A408,Table,MATCH(T$4,Curves,0)))</f>
        <v/>
      </c>
      <c r="U408" s="201" t="str">
        <f aca="false">IF(A409="","",T408)</f>
        <v/>
      </c>
      <c r="V408" s="225" t="str">
        <f aca="false">IF($A409="","",IF(AND(MONTH(A408)&gt;3,MONTH(A408)&lt;11),(T408+R408+G408)*Summary!$T$9/(1-Summary!$T$9),(T408+R408+G408)*Summary!$U$9/(1-Summary!$U$9)))</f>
        <v/>
      </c>
      <c r="W408" s="200" t="str">
        <f aca="false">IF($A409="","",(T408+R408+G408+V408))</f>
        <v/>
      </c>
      <c r="X408" s="200" t="str">
        <f aca="false">IF($A409="","",(U408+S408+H408+V408))</f>
        <v/>
      </c>
      <c r="Y408" s="202"/>
      <c r="Z408" s="185"/>
      <c r="AJ408" s="77"/>
      <c r="AK408" s="77"/>
      <c r="AL408" s="77"/>
      <c r="AM408" s="77"/>
      <c r="AN408" s="77"/>
      <c r="AO408" s="137" t="str">
        <f aca="false">IF(A409="","",A409-A408)</f>
        <v/>
      </c>
      <c r="AP408" s="212" t="str">
        <f aca="false">IF(A409="","",CHOOSE(F$3,A409+24,A408))</f>
        <v/>
      </c>
      <c r="AQ408" s="209" t="str">
        <f aca="false">IF(A409="","",AP408-$E$1)</f>
        <v/>
      </c>
      <c r="AR408" s="185" t="n">
        <f aca="false">'ANR OK vs ML7'!AR408</f>
        <v>0.1</v>
      </c>
      <c r="AS408" s="213" t="str">
        <f aca="false">IF(A409="","",1/(1+CHOOSE(F$3,(AR409+($I$3/10000))/2,(AR408+($I$3/10000))/2))^(2*AQ408/365.25))</f>
        <v/>
      </c>
      <c r="AT408" s="137" t="str">
        <f aca="false">IF(A409="","",IF(AND(mthbeg&lt;=A408,mthend&gt;=A408),1,0))</f>
        <v/>
      </c>
      <c r="AU408" s="137" t="str">
        <f aca="false">IF(A409="","",AO408*AT408)</f>
        <v/>
      </c>
      <c r="AW408" s="195" t="str">
        <f aca="false">IF($A409="","",AL408*$E408)</f>
        <v/>
      </c>
      <c r="AX408" s="195" t="str">
        <f aca="false">IF($A409="","",AM408*$E408)</f>
        <v/>
      </c>
      <c r="AY408" s="195" t="str">
        <f aca="false">IF($A409="","",AN408*$E408)</f>
        <v/>
      </c>
      <c r="BA408" s="195" t="str">
        <f aca="false">IF($A409="","",F408*Summary!$Q$9)</f>
        <v/>
      </c>
    </row>
    <row r="409" customFormat="false" ht="12.75" hidden="false" customHeight="false" outlineLevel="0" collapsed="false">
      <c r="A409" s="196" t="str">
        <f aca="false">IF(A408&lt;mthend,EDATE(A408,1),"")</f>
        <v/>
      </c>
      <c r="B409" s="197" t="str">
        <f aca="false">IF(A409&lt;mthend,B408,"")</f>
        <v/>
      </c>
      <c r="D409" s="197" t="str">
        <f aca="false">IF(A410&lt;&gt;"",B409+C409,"")</f>
        <v/>
      </c>
      <c r="E409" s="199" t="str">
        <f aca="false">IF(A410="","",IF(AND(AT409=1,$H$3=1),D409*AO409,IF($H$3=2,D409,"N/A")))</f>
        <v/>
      </c>
      <c r="F409" s="199" t="str">
        <f aca="false">IF(A410="","",E409*AS409)</f>
        <v/>
      </c>
      <c r="G409" s="200" t="str">
        <f aca="false">IF($A410="","",VLOOKUP($A409,Table,MATCH(G$4,Curves,0)))</f>
        <v/>
      </c>
      <c r="H409" s="201" t="str">
        <f aca="false">IF(A410="","",G409)</f>
        <v/>
      </c>
      <c r="J409" s="200" t="str">
        <f aca="false">IF($A410="","",VLOOKUP($A409,Table,MATCH(J$4,Curves,0)))</f>
        <v/>
      </c>
      <c r="K409" s="201" t="str">
        <f aca="false">IF(A410="","",J409)</f>
        <v/>
      </c>
      <c r="L409" s="200" t="str">
        <f aca="false">IF($A410="","",VLOOKUP($A409,Table,MATCH(L$4,Curves,0)))</f>
        <v/>
      </c>
      <c r="M409" s="201" t="str">
        <f aca="false">IF(A410="","",L409)</f>
        <v/>
      </c>
      <c r="O409" s="200" t="str">
        <f aca="false">IF(A410="","",L409+J409+G409)</f>
        <v/>
      </c>
      <c r="P409" s="200" t="str">
        <f aca="false">IF(A410="","",M409+K409+H409)</f>
        <v/>
      </c>
      <c r="R409" s="200" t="str">
        <f aca="false">IF($A410="","",VLOOKUP($A409,Table,MATCH(R$4,Curves,0)))</f>
        <v/>
      </c>
      <c r="S409" s="201" t="str">
        <f aca="false">IF(A410="","",R409)</f>
        <v/>
      </c>
      <c r="T409" s="200" t="str">
        <f aca="false">IF($A410="","",VLOOKUP($A409,Table,MATCH(T$4,Curves,0)))</f>
        <v/>
      </c>
      <c r="U409" s="201" t="str">
        <f aca="false">IF(A410="","",T409)</f>
        <v/>
      </c>
      <c r="V409" s="225" t="str">
        <f aca="false">IF($A410="","",IF(AND(MONTH(A409)&gt;3,MONTH(A409)&lt;11),(T409+R409+G409)*Summary!$T$9/(1-Summary!$T$9),(T409+R409+G409)*Summary!$U$9/(1-Summary!$U$9)))</f>
        <v/>
      </c>
      <c r="W409" s="200" t="str">
        <f aca="false">IF($A410="","",(T409+R409+G409+V409))</f>
        <v/>
      </c>
      <c r="X409" s="200" t="str">
        <f aca="false">IF($A410="","",(U409+S409+H409+V409))</f>
        <v/>
      </c>
      <c r="Y409" s="202"/>
      <c r="Z409" s="185"/>
      <c r="AJ409" s="77"/>
      <c r="AK409" s="77"/>
      <c r="AL409" s="77"/>
      <c r="AM409" s="77"/>
      <c r="AN409" s="77"/>
      <c r="AO409" s="137" t="str">
        <f aca="false">IF(A410="","",A410-A409)</f>
        <v/>
      </c>
      <c r="AP409" s="212" t="str">
        <f aca="false">IF(A410="","",CHOOSE(F$3,A410+24,A409))</f>
        <v/>
      </c>
      <c r="AQ409" s="209" t="str">
        <f aca="false">IF(A410="","",AP409-$E$1)</f>
        <v/>
      </c>
      <c r="AR409" s="185" t="n">
        <f aca="false">'ANR OK vs ML7'!AR409</f>
        <v>0.1</v>
      </c>
      <c r="AS409" s="213" t="str">
        <f aca="false">IF(A410="","",1/(1+CHOOSE(F$3,(AR410+($I$3/10000))/2,(AR409+($I$3/10000))/2))^(2*AQ409/365.25))</f>
        <v/>
      </c>
      <c r="AT409" s="137" t="str">
        <f aca="false">IF(A410="","",IF(AND(mthbeg&lt;=A409,mthend&gt;=A409),1,0))</f>
        <v/>
      </c>
      <c r="AU409" s="137" t="str">
        <f aca="false">IF(A410="","",AO409*AT409)</f>
        <v/>
      </c>
      <c r="AW409" s="195" t="str">
        <f aca="false">IF($A410="","",AL409*$E409)</f>
        <v/>
      </c>
      <c r="AX409" s="195" t="str">
        <f aca="false">IF($A410="","",AM409*$E409)</f>
        <v/>
      </c>
      <c r="AY409" s="195" t="str">
        <f aca="false">IF($A410="","",AN409*$E409)</f>
        <v/>
      </c>
      <c r="BA409" s="195" t="str">
        <f aca="false">IF($A410="","",F409*Summary!$Q$9)</f>
        <v/>
      </c>
    </row>
    <row r="410" customFormat="false" ht="12.75" hidden="false" customHeight="false" outlineLevel="0" collapsed="false">
      <c r="A410" s="196" t="str">
        <f aca="false">IF(A409&lt;mthend,EDATE(A409,1),"")</f>
        <v/>
      </c>
      <c r="B410" s="197" t="str">
        <f aca="false">IF(A410&lt;mthend,B409,"")</f>
        <v/>
      </c>
      <c r="D410" s="197" t="str">
        <f aca="false">IF(A411&lt;&gt;"",B410+C410,"")</f>
        <v/>
      </c>
      <c r="E410" s="199" t="str">
        <f aca="false">IF(A411="","",IF(AND(AT410=1,$H$3=1),D410*AO410,IF($H$3=2,D410,"N/A")))</f>
        <v/>
      </c>
      <c r="F410" s="199" t="str">
        <f aca="false">IF(A411="","",E410*AS410)</f>
        <v/>
      </c>
      <c r="G410" s="200" t="str">
        <f aca="false">IF($A411="","",VLOOKUP($A410,Table,MATCH(G$4,Curves,0)))</f>
        <v/>
      </c>
      <c r="H410" s="201" t="str">
        <f aca="false">IF(A411="","",G410)</f>
        <v/>
      </c>
      <c r="J410" s="200" t="str">
        <f aca="false">IF($A411="","",VLOOKUP($A410,Table,MATCH(J$4,Curves,0)))</f>
        <v/>
      </c>
      <c r="K410" s="201" t="str">
        <f aca="false">IF(A411="","",J410)</f>
        <v/>
      </c>
      <c r="L410" s="200" t="str">
        <f aca="false">IF($A411="","",VLOOKUP($A410,Table,MATCH(L$4,Curves,0)))</f>
        <v/>
      </c>
      <c r="M410" s="201" t="str">
        <f aca="false">IF(A411="","",L410)</f>
        <v/>
      </c>
      <c r="O410" s="200" t="str">
        <f aca="false">IF(A411="","",L410+J410+G410)</f>
        <v/>
      </c>
      <c r="P410" s="200" t="str">
        <f aca="false">IF(A411="","",M410+K410+H410)</f>
        <v/>
      </c>
      <c r="R410" s="200" t="str">
        <f aca="false">IF($A411="","",VLOOKUP($A410,Table,MATCH(R$4,Curves,0)))</f>
        <v/>
      </c>
      <c r="S410" s="201" t="str">
        <f aca="false">IF(A411="","",R410)</f>
        <v/>
      </c>
      <c r="T410" s="200" t="str">
        <f aca="false">IF($A411="","",VLOOKUP($A410,Table,MATCH(T$4,Curves,0)))</f>
        <v/>
      </c>
      <c r="U410" s="201" t="str">
        <f aca="false">IF(A411="","",T410)</f>
        <v/>
      </c>
      <c r="V410" s="225" t="str">
        <f aca="false">IF($A411="","",IF(AND(MONTH(A410)&gt;3,MONTH(A410)&lt;11),(T410+R410+G410)*Summary!$T$9/(1-Summary!$T$9),(T410+R410+G410)*Summary!$U$9/(1-Summary!$U$9)))</f>
        <v/>
      </c>
      <c r="W410" s="200" t="str">
        <f aca="false">IF($A411="","",(T410+R410+G410+V410))</f>
        <v/>
      </c>
      <c r="X410" s="200" t="str">
        <f aca="false">IF($A411="","",(U410+S410+H410+V410))</f>
        <v/>
      </c>
      <c r="Y410" s="202"/>
      <c r="Z410" s="185"/>
      <c r="AJ410" s="77"/>
      <c r="AK410" s="77"/>
      <c r="AL410" s="77"/>
      <c r="AM410" s="77"/>
      <c r="AN410" s="77"/>
      <c r="AO410" s="137" t="str">
        <f aca="false">IF(A411="","",A411-A410)</f>
        <v/>
      </c>
      <c r="AP410" s="212" t="str">
        <f aca="false">IF(A411="","",CHOOSE(F$3,A411+24,A410))</f>
        <v/>
      </c>
      <c r="AQ410" s="209" t="str">
        <f aca="false">IF(A411="","",AP410-$E$1)</f>
        <v/>
      </c>
      <c r="AR410" s="185" t="n">
        <f aca="false">'ANR OK vs ML7'!AR410</f>
        <v>0.1</v>
      </c>
      <c r="AS410" s="213" t="str">
        <f aca="false">IF(A411="","",1/(1+CHOOSE(F$3,(AR411+($I$3/10000))/2,(AR410+($I$3/10000))/2))^(2*AQ410/365.25))</f>
        <v/>
      </c>
      <c r="AT410" s="137" t="str">
        <f aca="false">IF(A411="","",IF(AND(mthbeg&lt;=A410,mthend&gt;=A410),1,0))</f>
        <v/>
      </c>
      <c r="AU410" s="137" t="str">
        <f aca="false">IF(A411="","",AO410*AT410)</f>
        <v/>
      </c>
      <c r="AW410" s="195" t="str">
        <f aca="false">IF($A411="","",AL410*$E410)</f>
        <v/>
      </c>
      <c r="AX410" s="195" t="str">
        <f aca="false">IF($A411="","",AM410*$E410)</f>
        <v/>
      </c>
      <c r="AY410" s="195" t="str">
        <f aca="false">IF($A411="","",AN410*$E410)</f>
        <v/>
      </c>
      <c r="BA410" s="195" t="str">
        <f aca="false">IF($A411="","",F410*Summary!$Q$9)</f>
        <v/>
      </c>
    </row>
    <row r="411" customFormat="false" ht="12.75" hidden="false" customHeight="false" outlineLevel="0" collapsed="false">
      <c r="A411" s="196" t="str">
        <f aca="false">IF(A410&lt;mthend,EDATE(A410,1),"")</f>
        <v/>
      </c>
      <c r="B411" s="197" t="str">
        <f aca="false">IF(A411&lt;mthend,B410,"")</f>
        <v/>
      </c>
      <c r="D411" s="197" t="str">
        <f aca="false">IF(A412&lt;&gt;"",B411+C411,"")</f>
        <v/>
      </c>
      <c r="E411" s="199" t="str">
        <f aca="false">IF(A412="","",IF(AND(AT411=1,$H$3=1),D411*AO411,IF($H$3=2,D411,"N/A")))</f>
        <v/>
      </c>
      <c r="F411" s="199" t="str">
        <f aca="false">IF(A412="","",E411*AS411)</f>
        <v/>
      </c>
      <c r="G411" s="200" t="str">
        <f aca="false">IF($A412="","",VLOOKUP($A411,Table,MATCH(G$4,Curves,0)))</f>
        <v/>
      </c>
      <c r="H411" s="201" t="str">
        <f aca="false">IF(A412="","",G411)</f>
        <v/>
      </c>
      <c r="J411" s="200" t="str">
        <f aca="false">IF($A412="","",VLOOKUP($A411,Table,MATCH(J$4,Curves,0)))</f>
        <v/>
      </c>
      <c r="K411" s="201" t="str">
        <f aca="false">IF(A412="","",J411)</f>
        <v/>
      </c>
      <c r="L411" s="200" t="str">
        <f aca="false">IF($A412="","",VLOOKUP($A411,Table,MATCH(L$4,Curves,0)))</f>
        <v/>
      </c>
      <c r="M411" s="201" t="str">
        <f aca="false">IF(A412="","",L411)</f>
        <v/>
      </c>
      <c r="O411" s="200" t="str">
        <f aca="false">IF(A412="","",L411+J411+G411)</f>
        <v/>
      </c>
      <c r="P411" s="200" t="str">
        <f aca="false">IF(A412="","",M411+K411+H411)</f>
        <v/>
      </c>
      <c r="R411" s="200" t="str">
        <f aca="false">IF($A412="","",VLOOKUP($A411,Table,MATCH(R$4,Curves,0)))</f>
        <v/>
      </c>
      <c r="S411" s="201" t="str">
        <f aca="false">IF(A412="","",R411)</f>
        <v/>
      </c>
      <c r="T411" s="200" t="str">
        <f aca="false">IF($A412="","",VLOOKUP($A411,Table,MATCH(T$4,Curves,0)))</f>
        <v/>
      </c>
      <c r="U411" s="201" t="str">
        <f aca="false">IF(A412="","",T411)</f>
        <v/>
      </c>
      <c r="V411" s="225" t="str">
        <f aca="false">IF($A412="","",IF(AND(MONTH(A411)&gt;3,MONTH(A411)&lt;11),(T411+R411+G411)*Summary!$T$9/(1-Summary!$T$9),(T411+R411+G411)*Summary!$U$9/(1-Summary!$U$9)))</f>
        <v/>
      </c>
      <c r="W411" s="200" t="str">
        <f aca="false">IF($A412="","",(T411+R411+G411+V411))</f>
        <v/>
      </c>
      <c r="X411" s="200" t="str">
        <f aca="false">IF($A412="","",(U411+S411+H411+V411))</f>
        <v/>
      </c>
      <c r="Y411" s="202"/>
      <c r="Z411" s="185"/>
      <c r="AJ411" s="77"/>
      <c r="AK411" s="77"/>
      <c r="AL411" s="77"/>
      <c r="AM411" s="77"/>
      <c r="AN411" s="77"/>
      <c r="AO411" s="137" t="str">
        <f aca="false">IF(A412="","",A412-A411)</f>
        <v/>
      </c>
      <c r="AP411" s="212" t="str">
        <f aca="false">IF(A412="","",CHOOSE(F$3,A412+24,A411))</f>
        <v/>
      </c>
      <c r="AQ411" s="209" t="str">
        <f aca="false">IF(A412="","",AP411-$E$1)</f>
        <v/>
      </c>
      <c r="AR411" s="185" t="n">
        <f aca="false">'ANR OK vs ML7'!AR411</f>
        <v>0.1</v>
      </c>
      <c r="AS411" s="213" t="str">
        <f aca="false">IF(A412="","",1/(1+CHOOSE(F$3,(AR412+($I$3/10000))/2,(AR411+($I$3/10000))/2))^(2*AQ411/365.25))</f>
        <v/>
      </c>
      <c r="AT411" s="137" t="str">
        <f aca="false">IF(A412="","",IF(AND(mthbeg&lt;=A411,mthend&gt;=A411),1,0))</f>
        <v/>
      </c>
      <c r="AU411" s="137" t="str">
        <f aca="false">IF(A412="","",AO411*AT411)</f>
        <v/>
      </c>
      <c r="AW411" s="195" t="str">
        <f aca="false">IF($A412="","",AL411*$E411)</f>
        <v/>
      </c>
      <c r="AX411" s="195" t="str">
        <f aca="false">IF($A412="","",AM411*$E411)</f>
        <v/>
      </c>
      <c r="AY411" s="195" t="str">
        <f aca="false">IF($A412="","",AN411*$E411)</f>
        <v/>
      </c>
      <c r="BA411" s="195" t="str">
        <f aca="false">IF($A412="","",F411*Summary!$Q$9)</f>
        <v/>
      </c>
    </row>
    <row r="412" customFormat="false" ht="12.75" hidden="false" customHeight="false" outlineLevel="0" collapsed="false">
      <c r="A412" s="196" t="str">
        <f aca="false">IF(A411&lt;mthend,EDATE(A411,1),"")</f>
        <v/>
      </c>
      <c r="B412" s="197" t="str">
        <f aca="false">IF(A412&lt;mthend,B411,"")</f>
        <v/>
      </c>
      <c r="D412" s="197" t="str">
        <f aca="false">IF(A413&lt;&gt;"",B412+C412,"")</f>
        <v/>
      </c>
      <c r="E412" s="199" t="str">
        <f aca="false">IF(A413="","",IF(AND(AT412=1,$H$3=1),D412*AO412,IF($H$3=2,D412,"N/A")))</f>
        <v/>
      </c>
      <c r="F412" s="199" t="str">
        <f aca="false">IF(A413="","",E412*AS412)</f>
        <v/>
      </c>
      <c r="G412" s="200" t="str">
        <f aca="false">IF($A413="","",VLOOKUP($A412,Table,MATCH(G$4,Curves,0)))</f>
        <v/>
      </c>
      <c r="H412" s="201" t="str">
        <f aca="false">IF(A413="","",G412)</f>
        <v/>
      </c>
      <c r="J412" s="200" t="str">
        <f aca="false">IF($A413="","",VLOOKUP($A412,Table,MATCH(J$4,Curves,0)))</f>
        <v/>
      </c>
      <c r="K412" s="201" t="str">
        <f aca="false">IF(A413="","",J412)</f>
        <v/>
      </c>
      <c r="L412" s="200" t="str">
        <f aca="false">IF($A413="","",VLOOKUP($A412,Table,MATCH(L$4,Curves,0)))</f>
        <v/>
      </c>
      <c r="M412" s="201" t="str">
        <f aca="false">IF(A413="","",L412)</f>
        <v/>
      </c>
      <c r="O412" s="200" t="str">
        <f aca="false">IF(A413="","",L412+J412+G412)</f>
        <v/>
      </c>
      <c r="P412" s="200" t="str">
        <f aca="false">IF(A413="","",M412+K412+H412)</f>
        <v/>
      </c>
      <c r="R412" s="200" t="str">
        <f aca="false">IF($A413="","",VLOOKUP($A412,Table,MATCH(R$4,Curves,0)))</f>
        <v/>
      </c>
      <c r="S412" s="201" t="str">
        <f aca="false">IF(A413="","",R412)</f>
        <v/>
      </c>
      <c r="T412" s="200" t="str">
        <f aca="false">IF($A413="","",VLOOKUP($A412,Table,MATCH(T$4,Curves,0)))</f>
        <v/>
      </c>
      <c r="U412" s="201" t="str">
        <f aca="false">IF(A413="","",T412)</f>
        <v/>
      </c>
      <c r="V412" s="225" t="str">
        <f aca="false">IF($A413="","",IF(AND(MONTH(A412)&gt;3,MONTH(A412)&lt;11),(T412+R412+G412)*Summary!$T$9/(1-Summary!$T$9),(T412+R412+G412)*Summary!$U$9/(1-Summary!$U$9)))</f>
        <v/>
      </c>
      <c r="W412" s="200" t="str">
        <f aca="false">IF($A413="","",(T412+R412+G412+V412))</f>
        <v/>
      </c>
      <c r="X412" s="200" t="str">
        <f aca="false">IF($A413="","",(U412+S412+H412+V412))</f>
        <v/>
      </c>
      <c r="Y412" s="202"/>
      <c r="Z412" s="185"/>
      <c r="AJ412" s="77"/>
      <c r="AK412" s="77"/>
      <c r="AL412" s="77"/>
      <c r="AM412" s="77"/>
      <c r="AN412" s="77"/>
      <c r="AO412" s="137" t="str">
        <f aca="false">IF(A413="","",A413-A412)</f>
        <v/>
      </c>
      <c r="AP412" s="212" t="str">
        <f aca="false">IF(A413="","",CHOOSE(F$3,A413+24,A412))</f>
        <v/>
      </c>
      <c r="AQ412" s="209" t="str">
        <f aca="false">IF(A413="","",AP412-$E$1)</f>
        <v/>
      </c>
      <c r="AR412" s="185" t="n">
        <f aca="false">'ANR OK vs ML7'!AR412</f>
        <v>0.1</v>
      </c>
      <c r="AS412" s="213" t="str">
        <f aca="false">IF(A413="","",1/(1+CHOOSE(F$3,(AR413+($I$3/10000))/2,(AR412+($I$3/10000))/2))^(2*AQ412/365.25))</f>
        <v/>
      </c>
      <c r="AT412" s="137" t="str">
        <f aca="false">IF(A413="","",IF(AND(mthbeg&lt;=A412,mthend&gt;=A412),1,0))</f>
        <v/>
      </c>
      <c r="AU412" s="137" t="str">
        <f aca="false">IF(A413="","",AO412*AT412)</f>
        <v/>
      </c>
      <c r="AW412" s="195" t="str">
        <f aca="false">IF($A413="","",AL412*$E412)</f>
        <v/>
      </c>
      <c r="AX412" s="195" t="str">
        <f aca="false">IF($A413="","",AM412*$E412)</f>
        <v/>
      </c>
      <c r="AY412" s="195" t="str">
        <f aca="false">IF($A413="","",AN412*$E412)</f>
        <v/>
      </c>
      <c r="BA412" s="195" t="str">
        <f aca="false">IF($A413="","",F412*Summary!$Q$9)</f>
        <v/>
      </c>
    </row>
    <row r="413" customFormat="false" ht="12.75" hidden="false" customHeight="false" outlineLevel="0" collapsed="false">
      <c r="A413" s="196" t="str">
        <f aca="false">IF(A412&lt;mthend,EDATE(A412,1),"")</f>
        <v/>
      </c>
      <c r="B413" s="197" t="str">
        <f aca="false">IF(A413&lt;mthend,B412,"")</f>
        <v/>
      </c>
      <c r="D413" s="197" t="str">
        <f aca="false">IF(A414&lt;&gt;"",B413+C413,"")</f>
        <v/>
      </c>
      <c r="E413" s="199" t="str">
        <f aca="false">IF(A414="","",IF(AND(AT413=1,$H$3=1),D413*AO413,IF($H$3=2,D413,"N/A")))</f>
        <v/>
      </c>
      <c r="F413" s="199" t="str">
        <f aca="false">IF(A414="","",E413*AS413)</f>
        <v/>
      </c>
      <c r="G413" s="200" t="str">
        <f aca="false">IF($A414="","",VLOOKUP($A413,Table,MATCH(G$4,Curves,0)))</f>
        <v/>
      </c>
      <c r="H413" s="201" t="str">
        <f aca="false">IF(A414="","",G413)</f>
        <v/>
      </c>
      <c r="J413" s="200" t="str">
        <f aca="false">IF($A414="","",VLOOKUP($A413,Table,MATCH(J$4,Curves,0)))</f>
        <v/>
      </c>
      <c r="K413" s="201" t="str">
        <f aca="false">IF(A414="","",J413)</f>
        <v/>
      </c>
      <c r="L413" s="200" t="str">
        <f aca="false">IF($A414="","",VLOOKUP($A413,Table,MATCH(L$4,Curves,0)))</f>
        <v/>
      </c>
      <c r="M413" s="201" t="str">
        <f aca="false">IF(A414="","",L413)</f>
        <v/>
      </c>
      <c r="O413" s="200" t="str">
        <f aca="false">IF(A414="","",L413+J413+G413)</f>
        <v/>
      </c>
      <c r="P413" s="200" t="str">
        <f aca="false">IF(A414="","",M413+K413+H413)</f>
        <v/>
      </c>
      <c r="R413" s="200" t="str">
        <f aca="false">IF($A414="","",VLOOKUP($A413,Table,MATCH(R$4,Curves,0)))</f>
        <v/>
      </c>
      <c r="S413" s="201" t="str">
        <f aca="false">IF(A414="","",R413)</f>
        <v/>
      </c>
      <c r="T413" s="200" t="str">
        <f aca="false">IF($A414="","",VLOOKUP($A413,Table,MATCH(T$4,Curves,0)))</f>
        <v/>
      </c>
      <c r="U413" s="201" t="str">
        <f aca="false">IF(A414="","",T413)</f>
        <v/>
      </c>
      <c r="V413" s="225" t="str">
        <f aca="false">IF($A414="","",IF(AND(MONTH(A413)&gt;3,MONTH(A413)&lt;11),(T413+R413+G413)*Summary!$T$9/(1-Summary!$T$9),(T413+R413+G413)*Summary!$U$9/(1-Summary!$U$9)))</f>
        <v/>
      </c>
      <c r="W413" s="200" t="str">
        <f aca="false">IF($A414="","",(T413+R413+G413+V413))</f>
        <v/>
      </c>
      <c r="X413" s="200" t="str">
        <f aca="false">IF($A414="","",(U413+S413+H413+V413))</f>
        <v/>
      </c>
      <c r="Y413" s="202"/>
      <c r="Z413" s="185"/>
      <c r="AJ413" s="77"/>
      <c r="AK413" s="77"/>
      <c r="AL413" s="77"/>
      <c r="AM413" s="77"/>
      <c r="AN413" s="77"/>
      <c r="AO413" s="137" t="str">
        <f aca="false">IF(A414="","",A414-A413)</f>
        <v/>
      </c>
      <c r="AP413" s="212" t="str">
        <f aca="false">IF(A414="","",CHOOSE(F$3,A414+24,A413))</f>
        <v/>
      </c>
      <c r="AQ413" s="209" t="str">
        <f aca="false">IF(A414="","",AP413-$E$1)</f>
        <v/>
      </c>
      <c r="AR413" s="185" t="n">
        <f aca="false">'ANR OK vs ML7'!AR413</f>
        <v>0.1</v>
      </c>
      <c r="AS413" s="213" t="str">
        <f aca="false">IF(A414="","",1/(1+CHOOSE(F$3,(AR414+($I$3/10000))/2,(AR413+($I$3/10000))/2))^(2*AQ413/365.25))</f>
        <v/>
      </c>
      <c r="AT413" s="137" t="str">
        <f aca="false">IF(A414="","",IF(AND(mthbeg&lt;=A413,mthend&gt;=A413),1,0))</f>
        <v/>
      </c>
      <c r="AU413" s="137" t="str">
        <f aca="false">IF(A414="","",AO413*AT413)</f>
        <v/>
      </c>
      <c r="AW413" s="195" t="str">
        <f aca="false">IF($A414="","",AL413*$E413)</f>
        <v/>
      </c>
      <c r="AX413" s="195" t="str">
        <f aca="false">IF($A414="","",AM413*$E413)</f>
        <v/>
      </c>
      <c r="AY413" s="195" t="str">
        <f aca="false">IF($A414="","",AN413*$E413)</f>
        <v/>
      </c>
      <c r="BA413" s="195" t="str">
        <f aca="false">IF($A414="","",F413*Summary!$Q$9)</f>
        <v/>
      </c>
    </row>
    <row r="414" customFormat="false" ht="12.75" hidden="false" customHeight="false" outlineLevel="0" collapsed="false">
      <c r="A414" s="196" t="str">
        <f aca="false">IF(A413&lt;mthend,EDATE(A413,1),"")</f>
        <v/>
      </c>
      <c r="B414" s="197" t="str">
        <f aca="false">IF(A414&lt;mthend,B413,"")</f>
        <v/>
      </c>
      <c r="D414" s="197" t="str">
        <f aca="false">IF(A415&lt;&gt;"",B414+C414,"")</f>
        <v/>
      </c>
      <c r="E414" s="199" t="str">
        <f aca="false">IF(A415="","",IF(AND(AT414=1,$H$3=1),D414*AO414,IF($H$3=2,D414,"N/A")))</f>
        <v/>
      </c>
      <c r="F414" s="199" t="str">
        <f aca="false">IF(A415="","",E414*AS414)</f>
        <v/>
      </c>
      <c r="G414" s="200" t="str">
        <f aca="false">IF($A415="","",VLOOKUP($A414,Table,MATCH(G$4,Curves,0)))</f>
        <v/>
      </c>
      <c r="H414" s="201" t="str">
        <f aca="false">IF(A415="","",G414)</f>
        <v/>
      </c>
      <c r="J414" s="200" t="str">
        <f aca="false">IF($A415="","",VLOOKUP($A414,Table,MATCH(J$4,Curves,0)))</f>
        <v/>
      </c>
      <c r="K414" s="201" t="str">
        <f aca="false">IF(A415="","",J414)</f>
        <v/>
      </c>
      <c r="L414" s="200" t="str">
        <f aca="false">IF($A415="","",VLOOKUP($A414,Table,MATCH(L$4,Curves,0)))</f>
        <v/>
      </c>
      <c r="M414" s="201" t="str">
        <f aca="false">IF(A415="","",L414)</f>
        <v/>
      </c>
      <c r="O414" s="200" t="str">
        <f aca="false">IF(A415="","",L414+J414+G414)</f>
        <v/>
      </c>
      <c r="P414" s="200" t="str">
        <f aca="false">IF(A415="","",M414+K414+H414)</f>
        <v/>
      </c>
      <c r="R414" s="200" t="str">
        <f aca="false">IF($A415="","",VLOOKUP($A414,Table,MATCH(R$4,Curves,0)))</f>
        <v/>
      </c>
      <c r="S414" s="201" t="str">
        <f aca="false">IF(A415="","",R414)</f>
        <v/>
      </c>
      <c r="T414" s="200" t="str">
        <f aca="false">IF($A415="","",VLOOKUP($A414,Table,MATCH(T$4,Curves,0)))</f>
        <v/>
      </c>
      <c r="U414" s="201" t="str">
        <f aca="false">IF(A415="","",T414)</f>
        <v/>
      </c>
      <c r="V414" s="225" t="str">
        <f aca="false">IF($A415="","",IF(AND(MONTH(A414)&gt;3,MONTH(A414)&lt;11),(T414+R414+G414)*Summary!$T$9/(1-Summary!$T$9),(T414+R414+G414)*Summary!$U$9/(1-Summary!$U$9)))</f>
        <v/>
      </c>
      <c r="W414" s="200" t="str">
        <f aca="false">IF($A415="","",(T414+R414+G414+V414))</f>
        <v/>
      </c>
      <c r="X414" s="200" t="str">
        <f aca="false">IF($A415="","",(U414+S414+H414+V414))</f>
        <v/>
      </c>
      <c r="Y414" s="202"/>
      <c r="Z414" s="185"/>
      <c r="AJ414" s="77"/>
      <c r="AK414" s="77"/>
      <c r="AL414" s="77"/>
      <c r="AM414" s="77"/>
      <c r="AN414" s="77"/>
      <c r="AO414" s="137" t="str">
        <f aca="false">IF(A415="","",A415-A414)</f>
        <v/>
      </c>
      <c r="AP414" s="212" t="str">
        <f aca="false">IF(A415="","",CHOOSE(F$3,A415+24,A414))</f>
        <v/>
      </c>
      <c r="AQ414" s="209" t="str">
        <f aca="false">IF(A415="","",AP414-$E$1)</f>
        <v/>
      </c>
      <c r="AR414" s="185" t="n">
        <f aca="false">'ANR OK vs ML7'!AR414</f>
        <v>0.1</v>
      </c>
      <c r="AS414" s="213" t="str">
        <f aca="false">IF(A415="","",1/(1+CHOOSE(F$3,(AR415+($I$3/10000))/2,(AR414+($I$3/10000))/2))^(2*AQ414/365.25))</f>
        <v/>
      </c>
      <c r="AT414" s="137" t="str">
        <f aca="false">IF(A415="","",IF(AND(mthbeg&lt;=A414,mthend&gt;=A414),1,0))</f>
        <v/>
      </c>
      <c r="AU414" s="137" t="str">
        <f aca="false">IF(A415="","",AO414*AT414)</f>
        <v/>
      </c>
      <c r="AW414" s="195" t="str">
        <f aca="false">IF($A415="","",AL414*$E414)</f>
        <v/>
      </c>
      <c r="AX414" s="195" t="str">
        <f aca="false">IF($A415="","",AM414*$E414)</f>
        <v/>
      </c>
      <c r="AY414" s="195" t="str">
        <f aca="false">IF($A415="","",AN414*$E414)</f>
        <v/>
      </c>
      <c r="BA414" s="195" t="str">
        <f aca="false">IF($A415="","",F414*Summary!$Q$9)</f>
        <v/>
      </c>
    </row>
    <row r="415" customFormat="false" ht="12.75" hidden="false" customHeight="false" outlineLevel="0" collapsed="false">
      <c r="A415" s="196" t="str">
        <f aca="false">IF(A414&lt;mthend,EDATE(A414,1),"")</f>
        <v/>
      </c>
      <c r="B415" s="197" t="str">
        <f aca="false">IF(A415&lt;mthend,B414,"")</f>
        <v/>
      </c>
      <c r="D415" s="197" t="str">
        <f aca="false">IF(A416&lt;&gt;"",B415+C415,"")</f>
        <v/>
      </c>
      <c r="E415" s="199" t="str">
        <f aca="false">IF(A416="","",IF(AND(AT415=1,$H$3=1),D415*AO415,IF($H$3=2,D415,"N/A")))</f>
        <v/>
      </c>
      <c r="F415" s="199" t="str">
        <f aca="false">IF(A416="","",E415*AS415)</f>
        <v/>
      </c>
      <c r="G415" s="200" t="str">
        <f aca="false">IF($A416="","",VLOOKUP($A415,Table,MATCH(G$4,Curves,0)))</f>
        <v/>
      </c>
      <c r="H415" s="201" t="str">
        <f aca="false">IF(A416="","",G415)</f>
        <v/>
      </c>
      <c r="J415" s="200" t="str">
        <f aca="false">IF($A416="","",VLOOKUP($A415,Table,MATCH(J$4,Curves,0)))</f>
        <v/>
      </c>
      <c r="K415" s="201" t="str">
        <f aca="false">IF(A416="","",J415)</f>
        <v/>
      </c>
      <c r="L415" s="200" t="str">
        <f aca="false">IF($A416="","",VLOOKUP($A415,Table,MATCH(L$4,Curves,0)))</f>
        <v/>
      </c>
      <c r="M415" s="201" t="str">
        <f aca="false">IF(A416="","",L415)</f>
        <v/>
      </c>
      <c r="O415" s="200" t="str">
        <f aca="false">IF(A416="","",L415+J415+G415)</f>
        <v/>
      </c>
      <c r="P415" s="200" t="str">
        <f aca="false">IF(A416="","",M415+K415+H415)</f>
        <v/>
      </c>
      <c r="R415" s="200" t="str">
        <f aca="false">IF($A416="","",VLOOKUP($A415,Table,MATCH(R$4,Curves,0)))</f>
        <v/>
      </c>
      <c r="S415" s="201" t="str">
        <f aca="false">IF(A416="","",R415)</f>
        <v/>
      </c>
      <c r="T415" s="200" t="str">
        <f aca="false">IF($A416="","",VLOOKUP($A415,Table,MATCH(T$4,Curves,0)))</f>
        <v/>
      </c>
      <c r="U415" s="201" t="str">
        <f aca="false">IF(A416="","",T415)</f>
        <v/>
      </c>
      <c r="V415" s="225" t="str">
        <f aca="false">IF($A416="","",IF(AND(MONTH(A415)&gt;3,MONTH(A415)&lt;11),(T415+R415+G415)*Summary!$T$9/(1-Summary!$T$9),(T415+R415+G415)*Summary!$U$9/(1-Summary!$U$9)))</f>
        <v/>
      </c>
      <c r="W415" s="200" t="str">
        <f aca="false">IF($A416="","",(T415+R415+G415+V415))</f>
        <v/>
      </c>
      <c r="X415" s="200" t="str">
        <f aca="false">IF($A416="","",(U415+S415+H415+V415))</f>
        <v/>
      </c>
      <c r="Y415" s="202"/>
      <c r="Z415" s="185"/>
      <c r="AJ415" s="77"/>
      <c r="AK415" s="77"/>
      <c r="AL415" s="77"/>
      <c r="AM415" s="77"/>
      <c r="AN415" s="77"/>
      <c r="AO415" s="137" t="str">
        <f aca="false">IF(A416="","",A416-A415)</f>
        <v/>
      </c>
      <c r="AP415" s="212" t="str">
        <f aca="false">IF(A416="","",CHOOSE(F$3,A416+24,A415))</f>
        <v/>
      </c>
      <c r="AQ415" s="209" t="str">
        <f aca="false">IF(A416="","",AP415-$E$1)</f>
        <v/>
      </c>
      <c r="AR415" s="185" t="n">
        <f aca="false">'ANR OK vs ML7'!AR415</f>
        <v>0.1</v>
      </c>
      <c r="AS415" s="213" t="str">
        <f aca="false">IF(A416="","",1/(1+CHOOSE(F$3,(AR416+($I$3/10000))/2,(AR415+($I$3/10000))/2))^(2*AQ415/365.25))</f>
        <v/>
      </c>
      <c r="AT415" s="137" t="str">
        <f aca="false">IF(A416="","",IF(AND(mthbeg&lt;=A415,mthend&gt;=A415),1,0))</f>
        <v/>
      </c>
      <c r="AU415" s="137" t="str">
        <f aca="false">IF(A416="","",AO415*AT415)</f>
        <v/>
      </c>
      <c r="AW415" s="195" t="str">
        <f aca="false">IF($A416="","",AL415*$E415)</f>
        <v/>
      </c>
      <c r="AX415" s="195" t="str">
        <f aca="false">IF($A416="","",AM415*$E415)</f>
        <v/>
      </c>
      <c r="AY415" s="195" t="str">
        <f aca="false">IF($A416="","",AN415*$E415)</f>
        <v/>
      </c>
      <c r="BA415" s="195" t="str">
        <f aca="false">IF($A416="","",F415*Summary!$Q$9)</f>
        <v/>
      </c>
    </row>
    <row r="416" customFormat="false" ht="12.75" hidden="false" customHeight="false" outlineLevel="0" collapsed="false">
      <c r="A416" s="196" t="str">
        <f aca="false">IF(A415&lt;mthend,EDATE(A415,1),"")</f>
        <v/>
      </c>
      <c r="B416" s="197" t="str">
        <f aca="false">IF(A416&lt;mthend,B415,"")</f>
        <v/>
      </c>
      <c r="D416" s="197" t="str">
        <f aca="false">IF(A417&lt;&gt;"",B416+C416,"")</f>
        <v/>
      </c>
      <c r="E416" s="199" t="str">
        <f aca="false">IF(A417="","",IF(AND(AT416=1,$H$3=1),D416*AO416,IF($H$3=2,D416,"N/A")))</f>
        <v/>
      </c>
      <c r="F416" s="199" t="str">
        <f aca="false">IF(A417="","",E416*AS416)</f>
        <v/>
      </c>
      <c r="G416" s="200" t="str">
        <f aca="false">IF($A417="","",VLOOKUP($A416,Table,MATCH(G$4,Curves,0)))</f>
        <v/>
      </c>
      <c r="H416" s="201" t="str">
        <f aca="false">IF(A417="","",G416)</f>
        <v/>
      </c>
      <c r="J416" s="200" t="str">
        <f aca="false">IF($A417="","",VLOOKUP($A416,Table,MATCH(J$4,Curves,0)))</f>
        <v/>
      </c>
      <c r="K416" s="201" t="str">
        <f aca="false">IF(A417="","",J416)</f>
        <v/>
      </c>
      <c r="L416" s="200" t="str">
        <f aca="false">IF($A417="","",VLOOKUP($A416,Table,MATCH(L$4,Curves,0)))</f>
        <v/>
      </c>
      <c r="M416" s="201" t="str">
        <f aca="false">IF(A417="","",L416)</f>
        <v/>
      </c>
      <c r="O416" s="200" t="str">
        <f aca="false">IF(A417="","",L416+J416+G416)</f>
        <v/>
      </c>
      <c r="P416" s="200" t="str">
        <f aca="false">IF(A417="","",M416+K416+H416)</f>
        <v/>
      </c>
      <c r="R416" s="200" t="str">
        <f aca="false">IF($A417="","",VLOOKUP($A416,Table,MATCH(R$4,Curves,0)))</f>
        <v/>
      </c>
      <c r="S416" s="201" t="str">
        <f aca="false">IF(A417="","",R416)</f>
        <v/>
      </c>
      <c r="T416" s="200" t="str">
        <f aca="false">IF($A417="","",VLOOKUP($A416,Table,MATCH(T$4,Curves,0)))</f>
        <v/>
      </c>
      <c r="U416" s="201" t="str">
        <f aca="false">IF(A417="","",T416)</f>
        <v/>
      </c>
      <c r="V416" s="225" t="str">
        <f aca="false">IF($A417="","",IF(AND(MONTH(A416)&gt;3,MONTH(A416)&lt;11),(T416+R416+G416)*Summary!$T$9/(1-Summary!$T$9),(T416+R416+G416)*Summary!$U$9/(1-Summary!$U$9)))</f>
        <v/>
      </c>
      <c r="W416" s="200" t="str">
        <f aca="false">IF($A417="","",(T416+R416+G416+V416))</f>
        <v/>
      </c>
      <c r="X416" s="200" t="str">
        <f aca="false">IF($A417="","",(U416+S416+H416+V416))</f>
        <v/>
      </c>
      <c r="Y416" s="202"/>
      <c r="Z416" s="185"/>
      <c r="AJ416" s="77"/>
      <c r="AK416" s="77"/>
      <c r="AL416" s="77"/>
      <c r="AM416" s="77"/>
      <c r="AN416" s="77"/>
      <c r="AO416" s="137" t="str">
        <f aca="false">IF(A417="","",A417-A416)</f>
        <v/>
      </c>
      <c r="AP416" s="212" t="str">
        <f aca="false">IF(A417="","",CHOOSE(F$3,A417+24,A416))</f>
        <v/>
      </c>
      <c r="AQ416" s="209" t="str">
        <f aca="false">IF(A417="","",AP416-$E$1)</f>
        <v/>
      </c>
      <c r="AR416" s="185" t="n">
        <f aca="false">'ANR OK vs ML7'!AR416</f>
        <v>0.1</v>
      </c>
      <c r="AS416" s="213" t="str">
        <f aca="false">IF(A417="","",1/(1+CHOOSE(F$3,(AR417+($I$3/10000))/2,(AR416+($I$3/10000))/2))^(2*AQ416/365.25))</f>
        <v/>
      </c>
      <c r="AT416" s="137" t="str">
        <f aca="false">IF(A417="","",IF(AND(mthbeg&lt;=A416,mthend&gt;=A416),1,0))</f>
        <v/>
      </c>
      <c r="AU416" s="137" t="str">
        <f aca="false">IF(A417="","",AO416*AT416)</f>
        <v/>
      </c>
      <c r="AW416" s="195" t="str">
        <f aca="false">IF($A417="","",AL416*$E416)</f>
        <v/>
      </c>
      <c r="AX416" s="195" t="str">
        <f aca="false">IF($A417="","",AM416*$E416)</f>
        <v/>
      </c>
      <c r="AY416" s="195" t="str">
        <f aca="false">IF($A417="","",AN416*$E416)</f>
        <v/>
      </c>
      <c r="BA416" s="195" t="str">
        <f aca="false">IF($A417="","",F416*Summary!$Q$9)</f>
        <v/>
      </c>
    </row>
    <row r="417" customFormat="false" ht="12.75" hidden="false" customHeight="false" outlineLevel="0" collapsed="false">
      <c r="A417" s="196" t="str">
        <f aca="false">IF(A416&lt;mthend,EDATE(A416,1),"")</f>
        <v/>
      </c>
      <c r="B417" s="197" t="str">
        <f aca="false">IF(A417&lt;mthend,B416,"")</f>
        <v/>
      </c>
      <c r="D417" s="197" t="str">
        <f aca="false">IF(A418&lt;&gt;"",B417+C417,"")</f>
        <v/>
      </c>
      <c r="E417" s="199" t="str">
        <f aca="false">IF(A418="","",IF(AND(AT417=1,$H$3=1),D417*AO417,IF($H$3=2,D417,"N/A")))</f>
        <v/>
      </c>
      <c r="F417" s="199" t="str">
        <f aca="false">IF(A418="","",E417*AS417)</f>
        <v/>
      </c>
      <c r="G417" s="200" t="str">
        <f aca="false">IF($A418="","",VLOOKUP($A417,Table,MATCH(G$4,Curves,0)))</f>
        <v/>
      </c>
      <c r="H417" s="201" t="str">
        <f aca="false">IF(A418="","",G417)</f>
        <v/>
      </c>
      <c r="J417" s="200" t="str">
        <f aca="false">IF($A418="","",VLOOKUP($A417,Table,MATCH(J$4,Curves,0)))</f>
        <v/>
      </c>
      <c r="K417" s="201" t="str">
        <f aca="false">IF(A418="","",J417)</f>
        <v/>
      </c>
      <c r="L417" s="200" t="str">
        <f aca="false">IF($A418="","",VLOOKUP($A417,Table,MATCH(L$4,Curves,0)))</f>
        <v/>
      </c>
      <c r="M417" s="201" t="str">
        <f aca="false">IF(A418="","",L417)</f>
        <v/>
      </c>
      <c r="O417" s="200" t="str">
        <f aca="false">IF(A418="","",L417+J417+G417)</f>
        <v/>
      </c>
      <c r="P417" s="200" t="str">
        <f aca="false">IF(A418="","",M417+K417+H417)</f>
        <v/>
      </c>
      <c r="R417" s="200" t="str">
        <f aca="false">IF($A418="","",VLOOKUP($A417,Table,MATCH(R$4,Curves,0)))</f>
        <v/>
      </c>
      <c r="S417" s="201" t="str">
        <f aca="false">IF(A418="","",R417)</f>
        <v/>
      </c>
      <c r="T417" s="200" t="str">
        <f aca="false">IF($A418="","",VLOOKUP($A417,Table,MATCH(T$4,Curves,0)))</f>
        <v/>
      </c>
      <c r="U417" s="201" t="str">
        <f aca="false">IF(A418="","",T417)</f>
        <v/>
      </c>
      <c r="V417" s="225" t="str">
        <f aca="false">IF($A418="","",IF(AND(MONTH(A417)&gt;3,MONTH(A417)&lt;11),(T417+R417+G417)*Summary!$T$9/(1-Summary!$T$9),(T417+R417+G417)*Summary!$U$9/(1-Summary!$U$9)))</f>
        <v/>
      </c>
      <c r="W417" s="200" t="str">
        <f aca="false">IF($A418="","",(T417+R417+G417+V417))</f>
        <v/>
      </c>
      <c r="X417" s="200" t="str">
        <f aca="false">IF($A418="","",(U417+S417+H417+V417))</f>
        <v/>
      </c>
      <c r="Y417" s="202"/>
      <c r="Z417" s="185"/>
      <c r="AJ417" s="77"/>
      <c r="AK417" s="77"/>
      <c r="AL417" s="77"/>
      <c r="AM417" s="77"/>
      <c r="AN417" s="77"/>
      <c r="AO417" s="137" t="str">
        <f aca="false">IF(A418="","",A418-A417)</f>
        <v/>
      </c>
      <c r="AP417" s="212" t="str">
        <f aca="false">IF(A418="","",CHOOSE(F$3,A418+24,A417))</f>
        <v/>
      </c>
      <c r="AQ417" s="209" t="str">
        <f aca="false">IF(A418="","",AP417-$E$1)</f>
        <v/>
      </c>
      <c r="AR417" s="185" t="n">
        <f aca="false">'ANR OK vs ML7'!AR417</f>
        <v>0.1</v>
      </c>
      <c r="AS417" s="213" t="str">
        <f aca="false">IF(A418="","",1/(1+CHOOSE(F$3,(AR418+($I$3/10000))/2,(AR417+($I$3/10000))/2))^(2*AQ417/365.25))</f>
        <v/>
      </c>
      <c r="AT417" s="137" t="str">
        <f aca="false">IF(A418="","",IF(AND(mthbeg&lt;=A417,mthend&gt;=A417),1,0))</f>
        <v/>
      </c>
      <c r="AU417" s="137" t="str">
        <f aca="false">IF(A418="","",AO417*AT417)</f>
        <v/>
      </c>
      <c r="AW417" s="195" t="str">
        <f aca="false">IF($A418="","",AL417*$E417)</f>
        <v/>
      </c>
      <c r="AX417" s="195" t="str">
        <f aca="false">IF($A418="","",AM417*$E417)</f>
        <v/>
      </c>
      <c r="AY417" s="195" t="str">
        <f aca="false">IF($A418="","",AN417*$E417)</f>
        <v/>
      </c>
      <c r="BA417" s="195" t="str">
        <f aca="false">IF($A418="","",F417*Summary!$Q$9)</f>
        <v/>
      </c>
    </row>
    <row r="418" customFormat="false" ht="12.75" hidden="false" customHeight="false" outlineLevel="0" collapsed="false">
      <c r="A418" s="196" t="str">
        <f aca="false">IF(A417&lt;mthend,EDATE(A417,1),"")</f>
        <v/>
      </c>
      <c r="B418" s="197" t="str">
        <f aca="false">IF(A418&lt;mthend,B417,"")</f>
        <v/>
      </c>
      <c r="D418" s="197" t="str">
        <f aca="false">IF(A419&lt;&gt;"",B418+C418,"")</f>
        <v/>
      </c>
      <c r="E418" s="199" t="str">
        <f aca="false">IF(A419="","",IF(AND(AT418=1,$H$3=1),D418*AO418,IF($H$3=2,D418,"N/A")))</f>
        <v/>
      </c>
      <c r="F418" s="199" t="str">
        <f aca="false">IF(A419="","",E418*AS418)</f>
        <v/>
      </c>
      <c r="G418" s="200" t="str">
        <f aca="false">IF($A419="","",VLOOKUP($A418,Table,MATCH(G$4,Curves,0)))</f>
        <v/>
      </c>
      <c r="H418" s="201" t="str">
        <f aca="false">IF(A419="","",G418)</f>
        <v/>
      </c>
      <c r="J418" s="200" t="str">
        <f aca="false">IF($A419="","",VLOOKUP($A418,Table,MATCH(J$4,Curves,0)))</f>
        <v/>
      </c>
      <c r="K418" s="201" t="str">
        <f aca="false">IF(A419="","",J418)</f>
        <v/>
      </c>
      <c r="L418" s="200" t="str">
        <f aca="false">IF($A419="","",VLOOKUP($A418,Table,MATCH(L$4,Curves,0)))</f>
        <v/>
      </c>
      <c r="M418" s="201" t="str">
        <f aca="false">IF(A419="","",L418)</f>
        <v/>
      </c>
      <c r="O418" s="200" t="str">
        <f aca="false">IF(A419="","",L418+J418+G418)</f>
        <v/>
      </c>
      <c r="P418" s="200" t="str">
        <f aca="false">IF(A419="","",M418+K418+H418)</f>
        <v/>
      </c>
      <c r="R418" s="200" t="str">
        <f aca="false">IF($A419="","",VLOOKUP($A418,Table,MATCH(R$4,Curves,0)))</f>
        <v/>
      </c>
      <c r="S418" s="201" t="str">
        <f aca="false">IF(A419="","",R418)</f>
        <v/>
      </c>
      <c r="T418" s="200" t="str">
        <f aca="false">IF($A419="","",VLOOKUP($A418,Table,MATCH(T$4,Curves,0)))</f>
        <v/>
      </c>
      <c r="U418" s="201" t="str">
        <f aca="false">IF(A419="","",T418)</f>
        <v/>
      </c>
      <c r="V418" s="225" t="str">
        <f aca="false">IF($A419="","",IF(AND(MONTH(A418)&gt;3,MONTH(A418)&lt;11),(T418+R418+G418)*Summary!$T$9/(1-Summary!$T$9),(T418+R418+G418)*Summary!$U$9/(1-Summary!$U$9)))</f>
        <v/>
      </c>
      <c r="W418" s="200" t="str">
        <f aca="false">IF($A419="","",(T418+R418+G418+V418))</f>
        <v/>
      </c>
      <c r="X418" s="200" t="str">
        <f aca="false">IF($A419="","",(U418+S418+H418+V418))</f>
        <v/>
      </c>
      <c r="Y418" s="202"/>
      <c r="Z418" s="185"/>
      <c r="AJ418" s="77"/>
      <c r="AK418" s="77"/>
      <c r="AL418" s="77"/>
      <c r="AM418" s="77"/>
      <c r="AN418" s="77"/>
      <c r="AO418" s="137" t="str">
        <f aca="false">IF(A419="","",A419-A418)</f>
        <v/>
      </c>
      <c r="AP418" s="212" t="str">
        <f aca="false">IF(A419="","",CHOOSE(F$3,A419+24,A418))</f>
        <v/>
      </c>
      <c r="AQ418" s="209" t="str">
        <f aca="false">IF(A419="","",AP418-$E$1)</f>
        <v/>
      </c>
      <c r="AR418" s="185" t="n">
        <f aca="false">'ANR OK vs ML7'!AR418</f>
        <v>0.1</v>
      </c>
      <c r="AS418" s="213" t="str">
        <f aca="false">IF(A419="","",1/(1+CHOOSE(F$3,(AR419+($I$3/10000))/2,(AR418+($I$3/10000))/2))^(2*AQ418/365.25))</f>
        <v/>
      </c>
      <c r="AT418" s="137" t="str">
        <f aca="false">IF(A419="","",IF(AND(mthbeg&lt;=A418,mthend&gt;=A418),1,0))</f>
        <v/>
      </c>
      <c r="AU418" s="137" t="str">
        <f aca="false">IF(A419="","",AO418*AT418)</f>
        <v/>
      </c>
      <c r="AW418" s="195" t="str">
        <f aca="false">IF($A419="","",AL418*$E418)</f>
        <v/>
      </c>
      <c r="AX418" s="195" t="str">
        <f aca="false">IF($A419="","",AM418*$E418)</f>
        <v/>
      </c>
      <c r="AY418" s="195" t="str">
        <f aca="false">IF($A419="","",AN418*$E418)</f>
        <v/>
      </c>
      <c r="BA418" s="195" t="str">
        <f aca="false">IF($A419="","",F418*Summary!$Q$9)</f>
        <v/>
      </c>
    </row>
    <row r="419" customFormat="false" ht="12.75" hidden="false" customHeight="false" outlineLevel="0" collapsed="false">
      <c r="A419" s="196" t="str">
        <f aca="false">IF(A418&lt;mthend,EDATE(A418,1),"")</f>
        <v/>
      </c>
      <c r="B419" s="197" t="str">
        <f aca="false">IF(A419&lt;mthend,B418,"")</f>
        <v/>
      </c>
      <c r="D419" s="197" t="str">
        <f aca="false">IF(A420&lt;&gt;"",B419+C419,"")</f>
        <v/>
      </c>
      <c r="E419" s="199" t="str">
        <f aca="false">IF(A420="","",IF(AND(AT419=1,$H$3=1),D419*AO419,IF($H$3=2,D419,"N/A")))</f>
        <v/>
      </c>
      <c r="F419" s="199" t="str">
        <f aca="false">IF(A420="","",E419*AS419)</f>
        <v/>
      </c>
      <c r="G419" s="200" t="str">
        <f aca="false">IF($A420="","",VLOOKUP($A419,Table,MATCH(G$4,Curves,0)))</f>
        <v/>
      </c>
      <c r="H419" s="201" t="str">
        <f aca="false">IF(A420="","",G419)</f>
        <v/>
      </c>
      <c r="J419" s="200" t="str">
        <f aca="false">IF($A420="","",VLOOKUP($A419,Table,MATCH(J$4,Curves,0)))</f>
        <v/>
      </c>
      <c r="K419" s="201" t="str">
        <f aca="false">IF(A420="","",J419)</f>
        <v/>
      </c>
      <c r="L419" s="200" t="str">
        <f aca="false">IF($A420="","",VLOOKUP($A419,Table,MATCH(L$4,Curves,0)))</f>
        <v/>
      </c>
      <c r="M419" s="201" t="str">
        <f aca="false">IF(A420="","",L419)</f>
        <v/>
      </c>
      <c r="O419" s="200" t="str">
        <f aca="false">IF(A420="","",L419+J419+G419)</f>
        <v/>
      </c>
      <c r="P419" s="200" t="str">
        <f aca="false">IF(A420="","",M419+K419+H419)</f>
        <v/>
      </c>
      <c r="R419" s="200" t="str">
        <f aca="false">IF($A420="","",VLOOKUP($A419,Table,MATCH(R$4,Curves,0)))</f>
        <v/>
      </c>
      <c r="S419" s="201" t="str">
        <f aca="false">IF(A420="","",R419)</f>
        <v/>
      </c>
      <c r="T419" s="200" t="str">
        <f aca="false">IF($A420="","",VLOOKUP($A419,Table,MATCH(T$4,Curves,0)))</f>
        <v/>
      </c>
      <c r="U419" s="201" t="str">
        <f aca="false">IF(A420="","",T419)</f>
        <v/>
      </c>
      <c r="V419" s="225" t="str">
        <f aca="false">IF($A420="","",IF(AND(MONTH(A419)&gt;3,MONTH(A419)&lt;11),(T419+R419+G419)*Summary!$T$9/(1-Summary!$T$9),(T419+R419+G419)*Summary!$U$9/(1-Summary!$U$9)))</f>
        <v/>
      </c>
      <c r="W419" s="200" t="str">
        <f aca="false">IF($A420="","",(T419+R419+G419+V419))</f>
        <v/>
      </c>
      <c r="X419" s="200" t="str">
        <f aca="false">IF($A420="","",(U419+S419+H419+V419))</f>
        <v/>
      </c>
      <c r="Y419" s="202"/>
      <c r="Z419" s="185"/>
      <c r="AJ419" s="77"/>
      <c r="AK419" s="77"/>
      <c r="AL419" s="77"/>
      <c r="AM419" s="77"/>
      <c r="AN419" s="77"/>
      <c r="AO419" s="137" t="str">
        <f aca="false">IF(A420="","",A420-A419)</f>
        <v/>
      </c>
      <c r="AP419" s="212" t="str">
        <f aca="false">IF(A420="","",CHOOSE(F$3,A420+24,A419))</f>
        <v/>
      </c>
      <c r="AQ419" s="209" t="str">
        <f aca="false">IF(A420="","",AP419-$E$1)</f>
        <v/>
      </c>
      <c r="AR419" s="185" t="n">
        <f aca="false">'ANR OK vs ML7'!AR419</f>
        <v>0.1</v>
      </c>
      <c r="AS419" s="213" t="str">
        <f aca="false">IF(A420="","",1/(1+CHOOSE(F$3,(AR420+($I$3/10000))/2,(AR419+($I$3/10000))/2))^(2*AQ419/365.25))</f>
        <v/>
      </c>
      <c r="AT419" s="137" t="str">
        <f aca="false">IF(A420="","",IF(AND(mthbeg&lt;=A419,mthend&gt;=A419),1,0))</f>
        <v/>
      </c>
      <c r="AU419" s="137" t="str">
        <f aca="false">IF(A420="","",AO419*AT419)</f>
        <v/>
      </c>
      <c r="AW419" s="195" t="str">
        <f aca="false">IF($A420="","",AL419*$E419)</f>
        <v/>
      </c>
      <c r="AX419" s="195" t="str">
        <f aca="false">IF($A420="","",AM419*$E419)</f>
        <v/>
      </c>
      <c r="AY419" s="195" t="str">
        <f aca="false">IF($A420="","",AN419*$E419)</f>
        <v/>
      </c>
      <c r="BA419" s="195" t="str">
        <f aca="false">IF($A420="","",F419*Summary!$Q$9)</f>
        <v/>
      </c>
    </row>
    <row r="420" customFormat="false" ht="12.75" hidden="false" customHeight="false" outlineLevel="0" collapsed="false">
      <c r="A420" s="196" t="str">
        <f aca="false">IF(A419&lt;mthend,EDATE(A419,1),"")</f>
        <v/>
      </c>
      <c r="B420" s="197" t="str">
        <f aca="false">IF(A420&lt;mthend,B419,"")</f>
        <v/>
      </c>
      <c r="D420" s="197" t="str">
        <f aca="false">IF(A421&lt;&gt;"",B420+C420,"")</f>
        <v/>
      </c>
      <c r="E420" s="199" t="str">
        <f aca="false">IF(A421="","",IF(AND(AT420=1,$H$3=1),D420*AO420,IF($H$3=2,D420,"N/A")))</f>
        <v/>
      </c>
      <c r="F420" s="199" t="str">
        <f aca="false">IF(A421="","",E420*AS420)</f>
        <v/>
      </c>
      <c r="G420" s="200" t="str">
        <f aca="false">IF($A421="","",VLOOKUP($A420,Table,MATCH(G$4,Curves,0)))</f>
        <v/>
      </c>
      <c r="H420" s="201" t="str">
        <f aca="false">IF(A421="","",G420)</f>
        <v/>
      </c>
      <c r="J420" s="200" t="str">
        <f aca="false">IF($A421="","",VLOOKUP($A420,Table,MATCH(J$4,Curves,0)))</f>
        <v/>
      </c>
      <c r="K420" s="201" t="str">
        <f aca="false">IF(A421="","",J420)</f>
        <v/>
      </c>
      <c r="L420" s="200" t="str">
        <f aca="false">IF($A421="","",VLOOKUP($A420,Table,MATCH(L$4,Curves,0)))</f>
        <v/>
      </c>
      <c r="M420" s="201" t="str">
        <f aca="false">IF(A421="","",L420)</f>
        <v/>
      </c>
      <c r="O420" s="200" t="str">
        <f aca="false">IF(A421="","",L420+J420+G420)</f>
        <v/>
      </c>
      <c r="P420" s="200" t="str">
        <f aca="false">IF(A421="","",M420+K420+H420)</f>
        <v/>
      </c>
      <c r="R420" s="200" t="str">
        <f aca="false">IF($A421="","",VLOOKUP($A420,Table,MATCH(R$4,Curves,0)))</f>
        <v/>
      </c>
      <c r="S420" s="201" t="str">
        <f aca="false">IF(A421="","",R420)</f>
        <v/>
      </c>
      <c r="T420" s="200" t="str">
        <f aca="false">IF($A421="","",VLOOKUP($A420,Table,MATCH(T$4,Curves,0)))</f>
        <v/>
      </c>
      <c r="U420" s="201" t="str">
        <f aca="false">IF(A421="","",T420)</f>
        <v/>
      </c>
      <c r="V420" s="225" t="str">
        <f aca="false">IF($A421="","",IF(AND(MONTH(A420)&gt;3,MONTH(A420)&lt;11),(T420+R420+G420)*Summary!$T$9/(1-Summary!$T$9),(T420+R420+G420)*Summary!$U$9/(1-Summary!$U$9)))</f>
        <v/>
      </c>
      <c r="W420" s="200" t="str">
        <f aca="false">IF($A421="","",(T420+R420+G420+V420))</f>
        <v/>
      </c>
      <c r="X420" s="200" t="str">
        <f aca="false">IF($A421="","",(U420+S420+H420+V420))</f>
        <v/>
      </c>
      <c r="Y420" s="202"/>
      <c r="Z420" s="185"/>
      <c r="AJ420" s="77"/>
      <c r="AK420" s="77"/>
      <c r="AL420" s="77"/>
      <c r="AM420" s="77"/>
      <c r="AN420" s="77"/>
      <c r="AO420" s="137" t="str">
        <f aca="false">IF(A421="","",A421-A420)</f>
        <v/>
      </c>
      <c r="AP420" s="212" t="str">
        <f aca="false">IF(A421="","",CHOOSE(F$3,A421+24,A420))</f>
        <v/>
      </c>
      <c r="AQ420" s="209" t="str">
        <f aca="false">IF(A421="","",AP420-$E$1)</f>
        <v/>
      </c>
      <c r="AR420" s="185" t="n">
        <f aca="false">'ANR OK vs ML7'!AR420</f>
        <v>0.1</v>
      </c>
      <c r="AS420" s="213" t="str">
        <f aca="false">IF(A421="","",1/(1+CHOOSE(F$3,(AR421+($I$3/10000))/2,(AR420+($I$3/10000))/2))^(2*AQ420/365.25))</f>
        <v/>
      </c>
      <c r="AT420" s="137" t="str">
        <f aca="false">IF(A421="","",IF(AND(mthbeg&lt;=A420,mthend&gt;=A420),1,0))</f>
        <v/>
      </c>
      <c r="AU420" s="137" t="str">
        <f aca="false">IF(A421="","",AO420*AT420)</f>
        <v/>
      </c>
      <c r="AW420" s="195" t="str">
        <f aca="false">IF($A421="","",AL420*$E420)</f>
        <v/>
      </c>
      <c r="AX420" s="195" t="str">
        <f aca="false">IF($A421="","",AM420*$E420)</f>
        <v/>
      </c>
      <c r="AY420" s="195" t="str">
        <f aca="false">IF($A421="","",AN420*$E420)</f>
        <v/>
      </c>
      <c r="BA420" s="195" t="str">
        <f aca="false">IF($A421="","",F420*Summary!$Q$9)</f>
        <v/>
      </c>
    </row>
    <row r="421" customFormat="false" ht="12.75" hidden="false" customHeight="false" outlineLevel="0" collapsed="false">
      <c r="A421" s="196" t="str">
        <f aca="false">IF(A420&lt;mthend,EDATE(A420,1),"")</f>
        <v/>
      </c>
      <c r="B421" s="197" t="str">
        <f aca="false">IF(A421&lt;mthend,B420,"")</f>
        <v/>
      </c>
      <c r="D421" s="197" t="str">
        <f aca="false">IF(A422&lt;&gt;"",B421+C421,"")</f>
        <v/>
      </c>
      <c r="E421" s="199" t="str">
        <f aca="false">IF(A422="","",IF(AND(AT421=1,$H$3=1),D421*AO421,IF($H$3=2,D421,"N/A")))</f>
        <v/>
      </c>
      <c r="F421" s="199" t="str">
        <f aca="false">IF(A422="","",E421*AS421)</f>
        <v/>
      </c>
      <c r="G421" s="200" t="str">
        <f aca="false">IF($A422="","",VLOOKUP($A421,Table,MATCH(G$4,Curves,0)))</f>
        <v/>
      </c>
      <c r="H421" s="201" t="str">
        <f aca="false">IF(A422="","",G421)</f>
        <v/>
      </c>
      <c r="J421" s="200" t="str">
        <f aca="false">IF($A422="","",VLOOKUP($A421,Table,MATCH(J$4,Curves,0)))</f>
        <v/>
      </c>
      <c r="K421" s="201" t="str">
        <f aca="false">IF(A422="","",J421)</f>
        <v/>
      </c>
      <c r="L421" s="200" t="str">
        <f aca="false">IF($A422="","",VLOOKUP($A421,Table,MATCH(L$4,Curves,0)))</f>
        <v/>
      </c>
      <c r="M421" s="201" t="str">
        <f aca="false">IF(A422="","",L421)</f>
        <v/>
      </c>
      <c r="O421" s="200" t="str">
        <f aca="false">IF(A422="","",L421+J421+G421)</f>
        <v/>
      </c>
      <c r="P421" s="200" t="str">
        <f aca="false">IF(A422="","",M421+K421+H421)</f>
        <v/>
      </c>
      <c r="R421" s="200" t="str">
        <f aca="false">IF($A422="","",VLOOKUP($A421,Table,MATCH(R$4,Curves,0)))</f>
        <v/>
      </c>
      <c r="S421" s="201" t="str">
        <f aca="false">IF(A422="","",R421)</f>
        <v/>
      </c>
      <c r="T421" s="200" t="str">
        <f aca="false">IF($A422="","",VLOOKUP($A421,Table,MATCH(T$4,Curves,0)))</f>
        <v/>
      </c>
      <c r="U421" s="201" t="str">
        <f aca="false">IF(A422="","",T421)</f>
        <v/>
      </c>
      <c r="V421" s="225" t="str">
        <f aca="false">IF($A422="","",IF(AND(MONTH(A421)&gt;3,MONTH(A421)&lt;11),(T421+R421+G421)*Summary!$T$9/(1-Summary!$T$9),(T421+R421+G421)*Summary!$U$9/(1-Summary!$U$9)))</f>
        <v/>
      </c>
      <c r="W421" s="200" t="str">
        <f aca="false">IF($A422="","",(T421+R421+G421+V421))</f>
        <v/>
      </c>
      <c r="X421" s="200" t="str">
        <f aca="false">IF($A422="","",(U421+S421+H421+V421))</f>
        <v/>
      </c>
      <c r="Y421" s="202"/>
      <c r="Z421" s="185"/>
      <c r="AJ421" s="77"/>
      <c r="AK421" s="77"/>
      <c r="AL421" s="77"/>
      <c r="AM421" s="77"/>
      <c r="AN421" s="77"/>
      <c r="AO421" s="137" t="str">
        <f aca="false">IF(A422="","",A422-A421)</f>
        <v/>
      </c>
      <c r="AP421" s="212" t="str">
        <f aca="false">IF(A422="","",CHOOSE(F$3,A422+24,A421))</f>
        <v/>
      </c>
      <c r="AQ421" s="209" t="str">
        <f aca="false">IF(A422="","",AP421-$E$1)</f>
        <v/>
      </c>
      <c r="AR421" s="185" t="n">
        <f aca="false">'ANR OK vs ML7'!AR421</f>
        <v>0.1</v>
      </c>
      <c r="AS421" s="213" t="str">
        <f aca="false">IF(A422="","",1/(1+CHOOSE(F$3,(AR422+($I$3/10000))/2,(AR421+($I$3/10000))/2))^(2*AQ421/365.25))</f>
        <v/>
      </c>
      <c r="AT421" s="137" t="str">
        <f aca="false">IF(A422="","",IF(AND(mthbeg&lt;=A421,mthend&gt;=A421),1,0))</f>
        <v/>
      </c>
      <c r="AU421" s="137" t="str">
        <f aca="false">IF(A422="","",AO421*AT421)</f>
        <v/>
      </c>
      <c r="AW421" s="195" t="str">
        <f aca="false">IF($A422="","",AL421*$E421)</f>
        <v/>
      </c>
      <c r="AX421" s="195" t="str">
        <f aca="false">IF($A422="","",AM421*$E421)</f>
        <v/>
      </c>
      <c r="AY421" s="195" t="str">
        <f aca="false">IF($A422="","",AN421*$E421)</f>
        <v/>
      </c>
      <c r="BA421" s="195" t="str">
        <f aca="false">IF($A422="","",F421*Summary!$Q$9)</f>
        <v/>
      </c>
    </row>
    <row r="422" customFormat="false" ht="12.75" hidden="false" customHeight="false" outlineLevel="0" collapsed="false">
      <c r="A422" s="196" t="str">
        <f aca="false">IF(A421&lt;mthend,EDATE(A421,1),"")</f>
        <v/>
      </c>
      <c r="B422" s="197" t="str">
        <f aca="false">IF(A422&lt;mthend,B421,"")</f>
        <v/>
      </c>
      <c r="D422" s="197" t="str">
        <f aca="false">IF(A423&lt;&gt;"",B422+C422,"")</f>
        <v/>
      </c>
      <c r="E422" s="199" t="str">
        <f aca="false">IF(A423="","",IF(AND(AT422=1,$H$3=1),D422*AO422,IF($H$3=2,D422,"N/A")))</f>
        <v/>
      </c>
      <c r="F422" s="199" t="str">
        <f aca="false">IF(A423="","",E422*AS422)</f>
        <v/>
      </c>
      <c r="G422" s="200" t="str">
        <f aca="false">IF($A423="","",VLOOKUP($A422,Table,MATCH(G$4,Curves,0)))</f>
        <v/>
      </c>
      <c r="H422" s="201" t="str">
        <f aca="false">IF(A423="","",G422)</f>
        <v/>
      </c>
      <c r="J422" s="200" t="str">
        <f aca="false">IF($A423="","",VLOOKUP($A422,Table,MATCH(J$4,Curves,0)))</f>
        <v/>
      </c>
      <c r="K422" s="201" t="str">
        <f aca="false">IF(A423="","",J422)</f>
        <v/>
      </c>
      <c r="L422" s="200" t="str">
        <f aca="false">IF($A423="","",VLOOKUP($A422,Table,MATCH(L$4,Curves,0)))</f>
        <v/>
      </c>
      <c r="M422" s="201" t="str">
        <f aca="false">IF(A423="","",L422)</f>
        <v/>
      </c>
      <c r="O422" s="200" t="str">
        <f aca="false">IF(A423="","",L422+J422+G422)</f>
        <v/>
      </c>
      <c r="P422" s="200" t="str">
        <f aca="false">IF(A423="","",M422+K422+H422)</f>
        <v/>
      </c>
      <c r="R422" s="200" t="str">
        <f aca="false">IF($A423="","",VLOOKUP($A422,Table,MATCH(R$4,Curves,0)))</f>
        <v/>
      </c>
      <c r="S422" s="201" t="str">
        <f aca="false">IF(A423="","",R422)</f>
        <v/>
      </c>
      <c r="T422" s="200" t="str">
        <f aca="false">IF($A423="","",VLOOKUP($A422,Table,MATCH(T$4,Curves,0)))</f>
        <v/>
      </c>
      <c r="U422" s="201" t="str">
        <f aca="false">IF(A423="","",T422)</f>
        <v/>
      </c>
      <c r="V422" s="225" t="str">
        <f aca="false">IF($A423="","",IF(AND(MONTH(A422)&gt;3,MONTH(A422)&lt;11),(T422+R422+G422)*Summary!$T$9/(1-Summary!$T$9),(T422+R422+G422)*Summary!$U$9/(1-Summary!$U$9)))</f>
        <v/>
      </c>
      <c r="W422" s="200" t="str">
        <f aca="false">IF($A423="","",(T422+R422+G422+V422))</f>
        <v/>
      </c>
      <c r="X422" s="200" t="str">
        <f aca="false">IF($A423="","",(U422+S422+H422+V422))</f>
        <v/>
      </c>
      <c r="Y422" s="202"/>
      <c r="Z422" s="185"/>
      <c r="AJ422" s="77"/>
      <c r="AK422" s="77"/>
      <c r="AL422" s="77"/>
      <c r="AM422" s="77"/>
      <c r="AN422" s="77"/>
      <c r="AO422" s="137" t="str">
        <f aca="false">IF(A423="","",A423-A422)</f>
        <v/>
      </c>
      <c r="AP422" s="212" t="str">
        <f aca="false">IF(A423="","",CHOOSE(F$3,A423+24,A422))</f>
        <v/>
      </c>
      <c r="AQ422" s="209" t="str">
        <f aca="false">IF(A423="","",AP422-$E$1)</f>
        <v/>
      </c>
      <c r="AR422" s="185" t="n">
        <f aca="false">'ANR OK vs ML7'!AR422</f>
        <v>0.1</v>
      </c>
      <c r="AS422" s="213" t="str">
        <f aca="false">IF(A423="","",1/(1+CHOOSE(F$3,(AR423+($I$3/10000))/2,(AR422+($I$3/10000))/2))^(2*AQ422/365.25))</f>
        <v/>
      </c>
      <c r="AT422" s="137" t="str">
        <f aca="false">IF(A423="","",IF(AND(mthbeg&lt;=A422,mthend&gt;=A422),1,0))</f>
        <v/>
      </c>
      <c r="AU422" s="137" t="str">
        <f aca="false">IF(A423="","",AO422*AT422)</f>
        <v/>
      </c>
      <c r="AW422" s="195" t="str">
        <f aca="false">IF($A423="","",AL422*$E422)</f>
        <v/>
      </c>
      <c r="AX422" s="195" t="str">
        <f aca="false">IF($A423="","",AM422*$E422)</f>
        <v/>
      </c>
      <c r="AY422" s="195" t="str">
        <f aca="false">IF($A423="","",AN422*$E422)</f>
        <v/>
      </c>
      <c r="BA422" s="195" t="str">
        <f aca="false">IF($A423="","",F422*Summary!$Q$9)</f>
        <v/>
      </c>
    </row>
    <row r="423" customFormat="false" ht="12.75" hidden="false" customHeight="false" outlineLevel="0" collapsed="false">
      <c r="A423" s="196" t="str">
        <f aca="false">IF(A422&lt;mthend,EDATE(A422,1),"")</f>
        <v/>
      </c>
      <c r="B423" s="197" t="str">
        <f aca="false">IF(A423&lt;mthend,B422,"")</f>
        <v/>
      </c>
      <c r="D423" s="197" t="str">
        <f aca="false">IF(A424&lt;&gt;"",B423+C423,"")</f>
        <v/>
      </c>
      <c r="E423" s="199" t="str">
        <f aca="false">IF(A424="","",IF(AND(AT423=1,$H$3=1),D423*AO423,IF($H$3=2,D423,"N/A")))</f>
        <v/>
      </c>
      <c r="F423" s="199" t="str">
        <f aca="false">IF(A424="","",E423*AS423)</f>
        <v/>
      </c>
      <c r="G423" s="200" t="str">
        <f aca="false">IF($A424="","",VLOOKUP($A423,Table,MATCH(G$4,Curves,0)))</f>
        <v/>
      </c>
      <c r="H423" s="201" t="str">
        <f aca="false">IF(A424="","",G423)</f>
        <v/>
      </c>
      <c r="J423" s="200" t="str">
        <f aca="false">IF($A424="","",VLOOKUP($A423,Table,MATCH(J$4,Curves,0)))</f>
        <v/>
      </c>
      <c r="K423" s="201" t="str">
        <f aca="false">IF(A424="","",J423)</f>
        <v/>
      </c>
      <c r="L423" s="200" t="str">
        <f aca="false">IF($A424="","",VLOOKUP($A423,Table,MATCH(L$4,Curves,0)))</f>
        <v/>
      </c>
      <c r="M423" s="201" t="str">
        <f aca="false">IF(A424="","",L423)</f>
        <v/>
      </c>
      <c r="O423" s="200" t="str">
        <f aca="false">IF(A424="","",L423+J423+G423)</f>
        <v/>
      </c>
      <c r="P423" s="200" t="str">
        <f aca="false">IF(A424="","",M423+K423+H423)</f>
        <v/>
      </c>
      <c r="R423" s="200" t="str">
        <f aca="false">IF($A424="","",VLOOKUP($A423,Table,MATCH(R$4,Curves,0)))</f>
        <v/>
      </c>
      <c r="S423" s="201" t="str">
        <f aca="false">IF(A424="","",R423)</f>
        <v/>
      </c>
      <c r="T423" s="200" t="str">
        <f aca="false">IF($A424="","",VLOOKUP($A423,Table,MATCH(T$4,Curves,0)))</f>
        <v/>
      </c>
      <c r="U423" s="201" t="str">
        <f aca="false">IF(A424="","",T423)</f>
        <v/>
      </c>
      <c r="V423" s="225" t="str">
        <f aca="false">IF($A424="","",IF(AND(MONTH(A423)&gt;3,MONTH(A423)&lt;11),(T423+R423+G423)*Summary!$T$9/(1-Summary!$T$9),(T423+R423+G423)*Summary!$U$9/(1-Summary!$U$9)))</f>
        <v/>
      </c>
      <c r="W423" s="200" t="str">
        <f aca="false">IF($A424="","",(T423+R423+G423+V423))</f>
        <v/>
      </c>
      <c r="X423" s="200" t="str">
        <f aca="false">IF($A424="","",(U423+S423+H423+V423))</f>
        <v/>
      </c>
      <c r="Y423" s="202"/>
      <c r="Z423" s="185"/>
      <c r="AJ423" s="77"/>
      <c r="AK423" s="77"/>
      <c r="AL423" s="77"/>
      <c r="AM423" s="77"/>
      <c r="AN423" s="77"/>
      <c r="AO423" s="137" t="str">
        <f aca="false">IF(A424="","",A424-A423)</f>
        <v/>
      </c>
      <c r="AP423" s="212" t="str">
        <f aca="false">IF(A424="","",CHOOSE(F$3,A424+24,A423))</f>
        <v/>
      </c>
      <c r="AQ423" s="209" t="str">
        <f aca="false">IF(A424="","",AP423-$E$1)</f>
        <v/>
      </c>
      <c r="AR423" s="185" t="n">
        <f aca="false">'ANR OK vs ML7'!AR423</f>
        <v>0.1</v>
      </c>
      <c r="AS423" s="213" t="str">
        <f aca="false">IF(A424="","",1/(1+CHOOSE(F$3,(AR424+($I$3/10000))/2,(AR423+($I$3/10000))/2))^(2*AQ423/365.25))</f>
        <v/>
      </c>
      <c r="AT423" s="137" t="str">
        <f aca="false">IF(A424="","",IF(AND(mthbeg&lt;=A423,mthend&gt;=A423),1,0))</f>
        <v/>
      </c>
      <c r="AU423" s="137" t="str">
        <f aca="false">IF(A424="","",AO423*AT423)</f>
        <v/>
      </c>
      <c r="AW423" s="195" t="str">
        <f aca="false">IF($A424="","",AL423*$E423)</f>
        <v/>
      </c>
      <c r="AX423" s="195" t="str">
        <f aca="false">IF($A424="","",AM423*$E423)</f>
        <v/>
      </c>
      <c r="AY423" s="195" t="str">
        <f aca="false">IF($A424="","",AN423*$E423)</f>
        <v/>
      </c>
      <c r="BA423" s="195" t="str">
        <f aca="false">IF($A424="","",F423*Summary!$Q$9)</f>
        <v/>
      </c>
    </row>
    <row r="424" customFormat="false" ht="12.75" hidden="false" customHeight="false" outlineLevel="0" collapsed="false">
      <c r="A424" s="196" t="str">
        <f aca="false">IF(A423&lt;mthend,EDATE(A423,1),"")</f>
        <v/>
      </c>
      <c r="B424" s="197" t="str">
        <f aca="false">IF(A424&lt;mthend,B423,"")</f>
        <v/>
      </c>
      <c r="D424" s="197" t="str">
        <f aca="false">IF(A425&lt;&gt;"",B424+C424,"")</f>
        <v/>
      </c>
      <c r="E424" s="199" t="str">
        <f aca="false">IF(A425="","",IF(AND(AT424=1,$H$3=1),D424*AO424,IF($H$3=2,D424,"N/A")))</f>
        <v/>
      </c>
      <c r="F424" s="199" t="str">
        <f aca="false">IF(A425="","",E424*AS424)</f>
        <v/>
      </c>
      <c r="G424" s="200" t="str">
        <f aca="false">IF($A425="","",VLOOKUP($A424,Table,MATCH(G$4,Curves,0)))</f>
        <v/>
      </c>
      <c r="H424" s="201" t="str">
        <f aca="false">IF(A425="","",G424)</f>
        <v/>
      </c>
      <c r="J424" s="200" t="str">
        <f aca="false">IF($A425="","",VLOOKUP($A424,Table,MATCH(J$4,Curves,0)))</f>
        <v/>
      </c>
      <c r="K424" s="201" t="str">
        <f aca="false">IF(A425="","",J424)</f>
        <v/>
      </c>
      <c r="L424" s="200" t="str">
        <f aca="false">IF($A425="","",VLOOKUP($A424,Table,MATCH(L$4,Curves,0)))</f>
        <v/>
      </c>
      <c r="M424" s="201" t="str">
        <f aca="false">IF(A425="","",L424)</f>
        <v/>
      </c>
      <c r="O424" s="200" t="str">
        <f aca="false">IF(A425="","",L424+J424+G424)</f>
        <v/>
      </c>
      <c r="P424" s="200" t="str">
        <f aca="false">IF(A425="","",M424+K424+H424)</f>
        <v/>
      </c>
      <c r="R424" s="200" t="str">
        <f aca="false">IF($A425="","",VLOOKUP($A424,Table,MATCH(R$4,Curves,0)))</f>
        <v/>
      </c>
      <c r="S424" s="201" t="str">
        <f aca="false">IF(A425="","",R424)</f>
        <v/>
      </c>
      <c r="T424" s="200" t="str">
        <f aca="false">IF($A425="","",VLOOKUP($A424,Table,MATCH(T$4,Curves,0)))</f>
        <v/>
      </c>
      <c r="U424" s="201" t="str">
        <f aca="false">IF(A425="","",T424)</f>
        <v/>
      </c>
      <c r="V424" s="225" t="str">
        <f aca="false">IF($A425="","",IF(AND(MONTH(A424)&gt;3,MONTH(A424)&lt;11),(T424+R424+G424)*Summary!$T$9/(1-Summary!$T$9),(T424+R424+G424)*Summary!$U$9/(1-Summary!$U$9)))</f>
        <v/>
      </c>
      <c r="W424" s="200" t="str">
        <f aca="false">IF($A425="","",(T424+R424+G424+V424))</f>
        <v/>
      </c>
      <c r="X424" s="200" t="str">
        <f aca="false">IF($A425="","",(U424+S424+H424+V424))</f>
        <v/>
      </c>
      <c r="Y424" s="202"/>
      <c r="Z424" s="185"/>
      <c r="AJ424" s="77"/>
      <c r="AK424" s="77"/>
      <c r="AL424" s="77"/>
      <c r="AM424" s="77"/>
      <c r="AN424" s="77"/>
      <c r="AO424" s="137" t="str">
        <f aca="false">IF(A425="","",A425-A424)</f>
        <v/>
      </c>
      <c r="AP424" s="212" t="str">
        <f aca="false">IF(A425="","",CHOOSE(F$3,A425+24,A424))</f>
        <v/>
      </c>
      <c r="AQ424" s="209" t="str">
        <f aca="false">IF(A425="","",AP424-$E$1)</f>
        <v/>
      </c>
      <c r="AR424" s="185" t="n">
        <f aca="false">'ANR OK vs ML7'!AR424</f>
        <v>0.1</v>
      </c>
      <c r="AS424" s="213" t="str">
        <f aca="false">IF(A425="","",1/(1+CHOOSE(F$3,(AR425+($I$3/10000))/2,(AR424+($I$3/10000))/2))^(2*AQ424/365.25))</f>
        <v/>
      </c>
      <c r="AT424" s="137" t="str">
        <f aca="false">IF(A425="","",IF(AND(mthbeg&lt;=A424,mthend&gt;=A424),1,0))</f>
        <v/>
      </c>
      <c r="AU424" s="137" t="str">
        <f aca="false">IF(A425="","",AO424*AT424)</f>
        <v/>
      </c>
      <c r="AW424" s="195" t="str">
        <f aca="false">IF($A425="","",AL424*$E424)</f>
        <v/>
      </c>
      <c r="AX424" s="195" t="str">
        <f aca="false">IF($A425="","",AM424*$E424)</f>
        <v/>
      </c>
      <c r="AY424" s="195" t="str">
        <f aca="false">IF($A425="","",AN424*$E424)</f>
        <v/>
      </c>
      <c r="BA424" s="195" t="str">
        <f aca="false">IF($A425="","",F424*Summary!$Q$9)</f>
        <v/>
      </c>
    </row>
    <row r="425" customFormat="false" ht="12.75" hidden="false" customHeight="false" outlineLevel="0" collapsed="false">
      <c r="A425" s="196" t="str">
        <f aca="false">IF(A424&lt;mthend,EDATE(A424,1),"")</f>
        <v/>
      </c>
      <c r="B425" s="197" t="str">
        <f aca="false">IF(A425&lt;mthend,B424,"")</f>
        <v/>
      </c>
      <c r="D425" s="197" t="str">
        <f aca="false">IF(A426&lt;&gt;"",B425+C425,"")</f>
        <v/>
      </c>
      <c r="E425" s="199" t="str">
        <f aca="false">IF(A426="","",IF(AND(AT425=1,$H$3=1),D425*AO425,IF($H$3=2,D425,"N/A")))</f>
        <v/>
      </c>
      <c r="F425" s="199" t="str">
        <f aca="false">IF(A426="","",E425*AS425)</f>
        <v/>
      </c>
      <c r="G425" s="200" t="str">
        <f aca="false">IF($A426="","",VLOOKUP($A425,Table,MATCH(G$4,Curves,0)))</f>
        <v/>
      </c>
      <c r="H425" s="201" t="str">
        <f aca="false">IF(A426="","",G425)</f>
        <v/>
      </c>
      <c r="J425" s="200" t="str">
        <f aca="false">IF($A426="","",VLOOKUP($A425,Table,MATCH(J$4,Curves,0)))</f>
        <v/>
      </c>
      <c r="K425" s="201" t="str">
        <f aca="false">IF(A426="","",J425)</f>
        <v/>
      </c>
      <c r="L425" s="200" t="str">
        <f aca="false">IF($A426="","",VLOOKUP($A425,Table,MATCH(L$4,Curves,0)))</f>
        <v/>
      </c>
      <c r="M425" s="201" t="str">
        <f aca="false">IF(A426="","",L425)</f>
        <v/>
      </c>
      <c r="O425" s="200" t="str">
        <f aca="false">IF(A426="","",L425+J425+G425)</f>
        <v/>
      </c>
      <c r="P425" s="200" t="str">
        <f aca="false">IF(A426="","",M425+K425+H425)</f>
        <v/>
      </c>
      <c r="R425" s="200" t="str">
        <f aca="false">IF($A426="","",VLOOKUP($A425,Table,MATCH(R$4,Curves,0)))</f>
        <v/>
      </c>
      <c r="S425" s="201" t="str">
        <f aca="false">IF(A426="","",R425)</f>
        <v/>
      </c>
      <c r="T425" s="200" t="str">
        <f aca="false">IF($A426="","",VLOOKUP($A425,Table,MATCH(T$4,Curves,0)))</f>
        <v/>
      </c>
      <c r="U425" s="201" t="str">
        <f aca="false">IF(A426="","",T425)</f>
        <v/>
      </c>
      <c r="V425" s="225" t="str">
        <f aca="false">IF($A426="","",IF(AND(MONTH(A425)&gt;3,MONTH(A425)&lt;11),(T425+R425+G425)*Summary!$T$9/(1-Summary!$T$9),(T425+R425+G425)*Summary!$U$9/(1-Summary!$U$9)))</f>
        <v/>
      </c>
      <c r="W425" s="200" t="str">
        <f aca="false">IF($A426="","",(T425+R425+G425+V425))</f>
        <v/>
      </c>
      <c r="X425" s="200" t="str">
        <f aca="false">IF($A426="","",(U425+S425+H425+V425))</f>
        <v/>
      </c>
      <c r="Y425" s="202"/>
      <c r="Z425" s="185"/>
      <c r="AJ425" s="77"/>
      <c r="AK425" s="77"/>
      <c r="AL425" s="77"/>
      <c r="AM425" s="77"/>
      <c r="AN425" s="77"/>
      <c r="AO425" s="137" t="str">
        <f aca="false">IF(A426="","",A426-A425)</f>
        <v/>
      </c>
      <c r="AP425" s="212" t="str">
        <f aca="false">IF(A426="","",CHOOSE(F$3,A426+24,A425))</f>
        <v/>
      </c>
      <c r="AQ425" s="209" t="str">
        <f aca="false">IF(A426="","",AP425-$E$1)</f>
        <v/>
      </c>
      <c r="AR425" s="185" t="n">
        <f aca="false">'ANR OK vs ML7'!AR425</f>
        <v>0.1</v>
      </c>
      <c r="AS425" s="213" t="str">
        <f aca="false">IF(A426="","",1/(1+CHOOSE(F$3,(AR426+($I$3/10000))/2,(AR425+($I$3/10000))/2))^(2*AQ425/365.25))</f>
        <v/>
      </c>
      <c r="AT425" s="137" t="str">
        <f aca="false">IF(A426="","",IF(AND(mthbeg&lt;=A425,mthend&gt;=A425),1,0))</f>
        <v/>
      </c>
      <c r="AU425" s="137" t="str">
        <f aca="false">IF(A426="","",AO425*AT425)</f>
        <v/>
      </c>
      <c r="AW425" s="195" t="str">
        <f aca="false">IF($A426="","",AL425*$E425)</f>
        <v/>
      </c>
      <c r="AX425" s="195" t="str">
        <f aca="false">IF($A426="","",AM425*$E425)</f>
        <v/>
      </c>
      <c r="AY425" s="195" t="str">
        <f aca="false">IF($A426="","",AN425*$E425)</f>
        <v/>
      </c>
      <c r="BA425" s="195" t="str">
        <f aca="false">IF($A426="","",F425*Summary!$Q$9)</f>
        <v/>
      </c>
    </row>
    <row r="426" customFormat="false" ht="12.75" hidden="false" customHeight="false" outlineLevel="0" collapsed="false">
      <c r="A426" s="196" t="str">
        <f aca="false">IF(A425&lt;mthend,EDATE(A425,1),"")</f>
        <v/>
      </c>
      <c r="B426" s="197" t="str">
        <f aca="false">IF(A426&lt;mthend,B425,"")</f>
        <v/>
      </c>
      <c r="D426" s="197" t="str">
        <f aca="false">IF(A427&lt;&gt;"",B426+C426,"")</f>
        <v/>
      </c>
      <c r="E426" s="199" t="str">
        <f aca="false">IF(A427="","",IF(AND(AT426=1,$H$3=1),D426*AO426,IF($H$3=2,D426,"N/A")))</f>
        <v/>
      </c>
      <c r="F426" s="199" t="str">
        <f aca="false">IF(A427="","",E426*AS426)</f>
        <v/>
      </c>
      <c r="G426" s="200" t="str">
        <f aca="false">IF($A427="","",VLOOKUP($A426,Table,MATCH(G$4,Curves,0)))</f>
        <v/>
      </c>
      <c r="H426" s="201" t="str">
        <f aca="false">IF(A427="","",G426)</f>
        <v/>
      </c>
      <c r="J426" s="200" t="str">
        <f aca="false">IF($A427="","",VLOOKUP($A426,Table,MATCH(J$4,Curves,0)))</f>
        <v/>
      </c>
      <c r="K426" s="201" t="str">
        <f aca="false">IF(A427="","",J426)</f>
        <v/>
      </c>
      <c r="L426" s="200" t="str">
        <f aca="false">IF($A427="","",VLOOKUP($A426,Table,MATCH(L$4,Curves,0)))</f>
        <v/>
      </c>
      <c r="M426" s="201" t="str">
        <f aca="false">IF(A427="","",L426)</f>
        <v/>
      </c>
      <c r="O426" s="200" t="str">
        <f aca="false">IF(A427="","",L426+J426+G426)</f>
        <v/>
      </c>
      <c r="P426" s="200" t="str">
        <f aca="false">IF(A427="","",M426+K426+H426)</f>
        <v/>
      </c>
      <c r="R426" s="200" t="str">
        <f aca="false">IF($A427="","",VLOOKUP($A426,Table,MATCH(R$4,Curves,0)))</f>
        <v/>
      </c>
      <c r="S426" s="201" t="str">
        <f aca="false">IF(A427="","",R426)</f>
        <v/>
      </c>
      <c r="T426" s="200" t="str">
        <f aca="false">IF($A427="","",VLOOKUP($A426,Table,MATCH(T$4,Curves,0)))</f>
        <v/>
      </c>
      <c r="U426" s="201" t="str">
        <f aca="false">IF(A427="","",T426)</f>
        <v/>
      </c>
      <c r="V426" s="225" t="str">
        <f aca="false">IF($A427="","",IF(AND(MONTH(A426)&gt;3,MONTH(A426)&lt;11),(T426+R426+G426)*Summary!$T$9/(1-Summary!$T$9),(T426+R426+G426)*Summary!$U$9/(1-Summary!$U$9)))</f>
        <v/>
      </c>
      <c r="W426" s="200" t="str">
        <f aca="false">IF($A427="","",(T426+R426+G426+V426))</f>
        <v/>
      </c>
      <c r="X426" s="200" t="str">
        <f aca="false">IF($A427="","",(U426+S426+H426+V426))</f>
        <v/>
      </c>
      <c r="Y426" s="202"/>
      <c r="Z426" s="185"/>
      <c r="AJ426" s="77"/>
      <c r="AK426" s="77"/>
      <c r="AL426" s="77"/>
      <c r="AM426" s="77"/>
      <c r="AN426" s="77"/>
      <c r="AO426" s="137" t="str">
        <f aca="false">IF(A427="","",A427-A426)</f>
        <v/>
      </c>
      <c r="AP426" s="212" t="str">
        <f aca="false">IF(A427="","",CHOOSE(F$3,A427+24,A426))</f>
        <v/>
      </c>
      <c r="AQ426" s="209" t="str">
        <f aca="false">IF(A427="","",AP426-$E$1)</f>
        <v/>
      </c>
      <c r="AR426" s="185" t="n">
        <f aca="false">'ANR OK vs ML7'!AR426</f>
        <v>0.1</v>
      </c>
      <c r="AS426" s="213" t="str">
        <f aca="false">IF(A427="","",1/(1+CHOOSE(F$3,(AR427+($I$3/10000))/2,(AR426+($I$3/10000))/2))^(2*AQ426/365.25))</f>
        <v/>
      </c>
      <c r="AT426" s="137" t="str">
        <f aca="false">IF(A427="","",IF(AND(mthbeg&lt;=A426,mthend&gt;=A426),1,0))</f>
        <v/>
      </c>
      <c r="AU426" s="137" t="str">
        <f aca="false">IF(A427="","",AO426*AT426)</f>
        <v/>
      </c>
      <c r="AW426" s="195" t="str">
        <f aca="false">IF($A427="","",AL426*$E426)</f>
        <v/>
      </c>
      <c r="AX426" s="195" t="str">
        <f aca="false">IF($A427="","",AM426*$E426)</f>
        <v/>
      </c>
      <c r="AY426" s="195" t="str">
        <f aca="false">IF($A427="","",AN426*$E426)</f>
        <v/>
      </c>
      <c r="BA426" s="195" t="str">
        <f aca="false">IF($A427="","",F426*Summary!$Q$9)</f>
        <v/>
      </c>
    </row>
    <row r="427" customFormat="false" ht="12.75" hidden="false" customHeight="false" outlineLevel="0" collapsed="false">
      <c r="A427" s="196" t="str">
        <f aca="false">IF(A426&lt;mthend,EDATE(A426,1),"")</f>
        <v/>
      </c>
      <c r="B427" s="197" t="str">
        <f aca="false">IF(A427&lt;mthend,B426,"")</f>
        <v/>
      </c>
      <c r="D427" s="197" t="str">
        <f aca="false">IF(A428&lt;&gt;"",B427+C427,"")</f>
        <v/>
      </c>
      <c r="E427" s="199" t="str">
        <f aca="false">IF(A428="","",IF(AND(AT427=1,$H$3=1),D427*AO427,IF($H$3=2,D427,"N/A")))</f>
        <v/>
      </c>
      <c r="F427" s="199" t="str">
        <f aca="false">IF(A428="","",E427*AS427)</f>
        <v/>
      </c>
      <c r="G427" s="200" t="str">
        <f aca="false">IF($A428="","",VLOOKUP($A427,Table,MATCH(G$4,Curves,0)))</f>
        <v/>
      </c>
      <c r="H427" s="201" t="str">
        <f aca="false">IF(A428="","",G427)</f>
        <v/>
      </c>
      <c r="J427" s="200" t="str">
        <f aca="false">IF($A428="","",VLOOKUP($A427,Table,MATCH(J$4,Curves,0)))</f>
        <v/>
      </c>
      <c r="K427" s="201" t="str">
        <f aca="false">IF(A428="","",J427)</f>
        <v/>
      </c>
      <c r="L427" s="200" t="str">
        <f aca="false">IF($A428="","",VLOOKUP($A427,Table,MATCH(L$4,Curves,0)))</f>
        <v/>
      </c>
      <c r="M427" s="201" t="str">
        <f aca="false">IF(A428="","",L427)</f>
        <v/>
      </c>
      <c r="O427" s="200" t="str">
        <f aca="false">IF(A428="","",L427+J427+G427)</f>
        <v/>
      </c>
      <c r="P427" s="200" t="str">
        <f aca="false">IF(A428="","",M427+K427+H427)</f>
        <v/>
      </c>
      <c r="R427" s="200" t="str">
        <f aca="false">IF($A428="","",VLOOKUP($A427,Table,MATCH(R$4,Curves,0)))</f>
        <v/>
      </c>
      <c r="S427" s="201" t="str">
        <f aca="false">IF(A428="","",R427)</f>
        <v/>
      </c>
      <c r="T427" s="200" t="str">
        <f aca="false">IF($A428="","",VLOOKUP($A427,Table,MATCH(T$4,Curves,0)))</f>
        <v/>
      </c>
      <c r="U427" s="201" t="str">
        <f aca="false">IF(A428="","",T427)</f>
        <v/>
      </c>
      <c r="V427" s="225" t="str">
        <f aca="false">IF($A428="","",IF(AND(MONTH(A427)&gt;3,MONTH(A427)&lt;11),(T427+R427+G427)*Summary!$T$9/(1-Summary!$T$9),(T427+R427+G427)*Summary!$U$9/(1-Summary!$U$9)))</f>
        <v/>
      </c>
      <c r="W427" s="200" t="str">
        <f aca="false">IF($A428="","",(T427+R427+G427+V427))</f>
        <v/>
      </c>
      <c r="X427" s="200" t="str">
        <f aca="false">IF($A428="","",(U427+S427+H427+V427))</f>
        <v/>
      </c>
      <c r="Y427" s="202"/>
      <c r="Z427" s="185"/>
      <c r="AJ427" s="77"/>
      <c r="AK427" s="77"/>
      <c r="AL427" s="77"/>
      <c r="AM427" s="77"/>
      <c r="AN427" s="77"/>
      <c r="AO427" s="137" t="str">
        <f aca="false">IF(A428="","",A428-A427)</f>
        <v/>
      </c>
      <c r="AP427" s="212" t="str">
        <f aca="false">IF(A428="","",CHOOSE(F$3,A428+24,A427))</f>
        <v/>
      </c>
      <c r="AQ427" s="209" t="str">
        <f aca="false">IF(A428="","",AP427-$E$1)</f>
        <v/>
      </c>
      <c r="AR427" s="185" t="n">
        <f aca="false">'ANR OK vs ML7'!AR427</f>
        <v>0.1</v>
      </c>
      <c r="AS427" s="213" t="str">
        <f aca="false">IF(A428="","",1/(1+CHOOSE(F$3,(AR428+($I$3/10000))/2,(AR427+($I$3/10000))/2))^(2*AQ427/365.25))</f>
        <v/>
      </c>
      <c r="AT427" s="137" t="str">
        <f aca="false">IF(A428="","",IF(AND(mthbeg&lt;=A427,mthend&gt;=A427),1,0))</f>
        <v/>
      </c>
      <c r="AU427" s="137" t="str">
        <f aca="false">IF(A428="","",AO427*AT427)</f>
        <v/>
      </c>
      <c r="AW427" s="195" t="str">
        <f aca="false">IF($A428="","",AL427*$E427)</f>
        <v/>
      </c>
      <c r="AX427" s="195" t="str">
        <f aca="false">IF($A428="","",AM427*$E427)</f>
        <v/>
      </c>
      <c r="AY427" s="195" t="str">
        <f aca="false">IF($A428="","",AN427*$E427)</f>
        <v/>
      </c>
      <c r="BA427" s="195" t="str">
        <f aca="false">IF($A428="","",F427*Summary!$Q$9)</f>
        <v/>
      </c>
    </row>
    <row r="428" customFormat="false" ht="12.75" hidden="false" customHeight="false" outlineLevel="0" collapsed="false">
      <c r="A428" s="196" t="str">
        <f aca="false">IF(A427&lt;mthend,EDATE(A427,1),"")</f>
        <v/>
      </c>
      <c r="B428" s="197" t="str">
        <f aca="false">IF(A428&lt;mthend,B427,"")</f>
        <v/>
      </c>
      <c r="D428" s="197" t="str">
        <f aca="false">IF(A429&lt;&gt;"",B428+C428,"")</f>
        <v/>
      </c>
      <c r="E428" s="199" t="str">
        <f aca="false">IF(A429="","",IF(AND(AT428=1,$H$3=1),D428*AO428,IF($H$3=2,D428,"N/A")))</f>
        <v/>
      </c>
      <c r="F428" s="199" t="str">
        <f aca="false">IF(A429="","",E428*AS428)</f>
        <v/>
      </c>
      <c r="G428" s="200" t="str">
        <f aca="false">IF($A429="","",VLOOKUP($A428,Table,MATCH(G$4,Curves,0)))</f>
        <v/>
      </c>
      <c r="H428" s="201" t="str">
        <f aca="false">IF(A429="","",G428)</f>
        <v/>
      </c>
      <c r="J428" s="200" t="str">
        <f aca="false">IF($A429="","",VLOOKUP($A428,Table,MATCH(J$4,Curves,0)))</f>
        <v/>
      </c>
      <c r="K428" s="201" t="str">
        <f aca="false">IF(A429="","",J428)</f>
        <v/>
      </c>
      <c r="L428" s="200" t="str">
        <f aca="false">IF($A429="","",VLOOKUP($A428,Table,MATCH(L$4,Curves,0)))</f>
        <v/>
      </c>
      <c r="M428" s="201" t="str">
        <f aca="false">IF(A429="","",L428)</f>
        <v/>
      </c>
      <c r="O428" s="200" t="str">
        <f aca="false">IF(A429="","",L428+J428+G428)</f>
        <v/>
      </c>
      <c r="P428" s="200" t="str">
        <f aca="false">IF(A429="","",M428+K428+H428)</f>
        <v/>
      </c>
      <c r="R428" s="200" t="str">
        <f aca="false">IF($A429="","",VLOOKUP($A428,Table,MATCH(R$4,Curves,0)))</f>
        <v/>
      </c>
      <c r="S428" s="201" t="str">
        <f aca="false">IF(A429="","",R428)</f>
        <v/>
      </c>
      <c r="T428" s="200" t="str">
        <f aca="false">IF($A429="","",VLOOKUP($A428,Table,MATCH(T$4,Curves,0)))</f>
        <v/>
      </c>
      <c r="U428" s="201" t="str">
        <f aca="false">IF(A429="","",T428)</f>
        <v/>
      </c>
      <c r="V428" s="225" t="str">
        <f aca="false">IF($A429="","",IF(AND(MONTH(A428)&gt;3,MONTH(A428)&lt;11),(T428+R428+G428)*Summary!$T$9/(1-Summary!$T$9),(T428+R428+G428)*Summary!$U$9/(1-Summary!$U$9)))</f>
        <v/>
      </c>
      <c r="W428" s="200" t="str">
        <f aca="false">IF($A429="","",(T428+R428+G428+V428))</f>
        <v/>
      </c>
      <c r="X428" s="200" t="str">
        <f aca="false">IF($A429="","",(U428+S428+H428+V428))</f>
        <v/>
      </c>
      <c r="Y428" s="202"/>
      <c r="Z428" s="185"/>
      <c r="AJ428" s="77"/>
      <c r="AK428" s="77"/>
      <c r="AL428" s="77"/>
      <c r="AM428" s="77"/>
      <c r="AN428" s="77"/>
      <c r="AO428" s="137" t="str">
        <f aca="false">IF(A429="","",A429-A428)</f>
        <v/>
      </c>
      <c r="AP428" s="212" t="str">
        <f aca="false">IF(A429="","",CHOOSE(F$3,A429+24,A428))</f>
        <v/>
      </c>
      <c r="AQ428" s="209" t="str">
        <f aca="false">IF(A429="","",AP428-$E$1)</f>
        <v/>
      </c>
      <c r="AR428" s="185" t="n">
        <f aca="false">'ANR OK vs ML7'!AR428</f>
        <v>0.1</v>
      </c>
      <c r="AS428" s="213" t="str">
        <f aca="false">IF(A429="","",1/(1+CHOOSE(F$3,(AR429+($I$3/10000))/2,(AR428+($I$3/10000))/2))^(2*AQ428/365.25))</f>
        <v/>
      </c>
      <c r="AT428" s="137" t="str">
        <f aca="false">IF(A429="","",IF(AND(mthbeg&lt;=A428,mthend&gt;=A428),1,0))</f>
        <v/>
      </c>
      <c r="AU428" s="137" t="str">
        <f aca="false">IF(A429="","",AO428*AT428)</f>
        <v/>
      </c>
      <c r="AW428" s="195" t="str">
        <f aca="false">IF($A429="","",AL428*$E428)</f>
        <v/>
      </c>
      <c r="AX428" s="195" t="str">
        <f aca="false">IF($A429="","",AM428*$E428)</f>
        <v/>
      </c>
      <c r="AY428" s="195" t="str">
        <f aca="false">IF($A429="","",AN428*$E428)</f>
        <v/>
      </c>
      <c r="BA428" s="195" t="str">
        <f aca="false">IF($A429="","",F428*Summary!$Q$9)</f>
        <v/>
      </c>
    </row>
    <row r="429" customFormat="false" ht="12.75" hidden="false" customHeight="false" outlineLevel="0" collapsed="false">
      <c r="A429" s="196" t="str">
        <f aca="false">IF(A428&lt;mthend,EDATE(A428,1),"")</f>
        <v/>
      </c>
      <c r="B429" s="197" t="str">
        <f aca="false">IF(A429&lt;mthend,B428,"")</f>
        <v/>
      </c>
      <c r="D429" s="197" t="str">
        <f aca="false">IF(A430&lt;&gt;"",B429+C429,"")</f>
        <v/>
      </c>
      <c r="E429" s="199" t="str">
        <f aca="false">IF(A430="","",IF(AND(AT429=1,$H$3=1),D429*AO429,IF($H$3=2,D429,"N/A")))</f>
        <v/>
      </c>
      <c r="F429" s="199" t="str">
        <f aca="false">IF(A430="","",E429*AS429)</f>
        <v/>
      </c>
      <c r="G429" s="200" t="str">
        <f aca="false">IF($A430="","",VLOOKUP($A429,Table,MATCH(G$4,Curves,0)))</f>
        <v/>
      </c>
      <c r="H429" s="201" t="str">
        <f aca="false">IF(A430="","",G429)</f>
        <v/>
      </c>
      <c r="J429" s="200" t="str">
        <f aca="false">IF($A430="","",VLOOKUP($A429,Table,MATCH(J$4,Curves,0)))</f>
        <v/>
      </c>
      <c r="K429" s="201" t="str">
        <f aca="false">IF(A430="","",J429)</f>
        <v/>
      </c>
      <c r="L429" s="200" t="str">
        <f aca="false">IF($A430="","",VLOOKUP($A429,Table,MATCH(L$4,Curves,0)))</f>
        <v/>
      </c>
      <c r="M429" s="201" t="str">
        <f aca="false">IF(A430="","",L429)</f>
        <v/>
      </c>
      <c r="O429" s="200" t="str">
        <f aca="false">IF(A430="","",L429+J429+G429)</f>
        <v/>
      </c>
      <c r="P429" s="200" t="str">
        <f aca="false">IF(A430="","",M429+K429+H429)</f>
        <v/>
      </c>
      <c r="R429" s="200" t="str">
        <f aca="false">IF($A430="","",VLOOKUP($A429,Table,MATCH(R$4,Curves,0)))</f>
        <v/>
      </c>
      <c r="S429" s="201" t="str">
        <f aca="false">IF(A430="","",R429)</f>
        <v/>
      </c>
      <c r="T429" s="200" t="str">
        <f aca="false">IF($A430="","",VLOOKUP($A429,Table,MATCH(T$4,Curves,0)))</f>
        <v/>
      </c>
      <c r="U429" s="201" t="str">
        <f aca="false">IF(A430="","",T429)</f>
        <v/>
      </c>
      <c r="V429" s="225" t="str">
        <f aca="false">IF($A430="","",IF(AND(MONTH(A429)&gt;3,MONTH(A429)&lt;11),(T429+R429+G429)*Summary!$T$9/(1-Summary!$T$9),(T429+R429+G429)*Summary!$U$9/(1-Summary!$U$9)))</f>
        <v/>
      </c>
      <c r="W429" s="200" t="str">
        <f aca="false">IF($A430="","",(T429+R429+G429+V429))</f>
        <v/>
      </c>
      <c r="X429" s="200" t="str">
        <f aca="false">IF($A430="","",(U429+S429+H429+V429))</f>
        <v/>
      </c>
      <c r="Y429" s="202"/>
      <c r="Z429" s="185"/>
      <c r="AJ429" s="77"/>
      <c r="AK429" s="77"/>
      <c r="AL429" s="77"/>
      <c r="AM429" s="77"/>
      <c r="AN429" s="77"/>
      <c r="AO429" s="137" t="str">
        <f aca="false">IF(A430="","",A430-A429)</f>
        <v/>
      </c>
      <c r="AP429" s="212" t="str">
        <f aca="false">IF(A430="","",CHOOSE(F$3,A430+24,A429))</f>
        <v/>
      </c>
      <c r="AQ429" s="209" t="str">
        <f aca="false">IF(A430="","",AP429-$E$1)</f>
        <v/>
      </c>
      <c r="AR429" s="185" t="n">
        <f aca="false">'ANR OK vs ML7'!AR429</f>
        <v>0.1</v>
      </c>
      <c r="AS429" s="213" t="str">
        <f aca="false">IF(A430="","",1/(1+CHOOSE(F$3,(AR430+($I$3/10000))/2,(AR429+($I$3/10000))/2))^(2*AQ429/365.25))</f>
        <v/>
      </c>
      <c r="AT429" s="137" t="str">
        <f aca="false">IF(A430="","",IF(AND(mthbeg&lt;=A429,mthend&gt;=A429),1,0))</f>
        <v/>
      </c>
      <c r="AU429" s="137" t="str">
        <f aca="false">IF(A430="","",AO429*AT429)</f>
        <v/>
      </c>
      <c r="AW429" s="195" t="str">
        <f aca="false">IF($A430="","",AL429*$E429)</f>
        <v/>
      </c>
      <c r="AX429" s="195" t="str">
        <f aca="false">IF($A430="","",AM429*$E429)</f>
        <v/>
      </c>
      <c r="AY429" s="195" t="str">
        <f aca="false">IF($A430="","",AN429*$E429)</f>
        <v/>
      </c>
      <c r="BA429" s="195" t="str">
        <f aca="false">IF($A430="","",F429*Summary!$Q$9)</f>
        <v/>
      </c>
    </row>
    <row r="430" customFormat="false" ht="12.75" hidden="false" customHeight="false" outlineLevel="0" collapsed="false">
      <c r="A430" s="196" t="str">
        <f aca="false">IF(A429&lt;mthend,EDATE(A429,1),"")</f>
        <v/>
      </c>
      <c r="B430" s="197" t="str">
        <f aca="false">IF(A430&lt;mthend,B429,"")</f>
        <v/>
      </c>
      <c r="D430" s="197" t="str">
        <f aca="false">IF(A431&lt;&gt;"",B430+C430,"")</f>
        <v/>
      </c>
      <c r="E430" s="199" t="str">
        <f aca="false">IF(A431="","",IF(AND(AT430=1,$H$3=1),D430*AO430,IF($H$3=2,D430,"N/A")))</f>
        <v/>
      </c>
      <c r="F430" s="199" t="str">
        <f aca="false">IF(A431="","",E430*AS430)</f>
        <v/>
      </c>
      <c r="G430" s="200" t="str">
        <f aca="false">IF($A431="","",VLOOKUP($A430,Table,MATCH(G$4,Curves,0)))</f>
        <v/>
      </c>
      <c r="H430" s="201" t="str">
        <f aca="false">IF(A431="","",G430)</f>
        <v/>
      </c>
      <c r="J430" s="200" t="str">
        <f aca="false">IF($A431="","",VLOOKUP($A430,Table,MATCH(J$4,Curves,0)))</f>
        <v/>
      </c>
      <c r="K430" s="201" t="str">
        <f aca="false">IF(A431="","",J430)</f>
        <v/>
      </c>
      <c r="L430" s="200" t="str">
        <f aca="false">IF($A431="","",VLOOKUP($A430,Table,MATCH(L$4,Curves,0)))</f>
        <v/>
      </c>
      <c r="M430" s="201" t="str">
        <f aca="false">IF(A431="","",L430)</f>
        <v/>
      </c>
      <c r="O430" s="200" t="str">
        <f aca="false">IF(A431="","",L430+J430+G430)</f>
        <v/>
      </c>
      <c r="P430" s="200" t="str">
        <f aca="false">IF(A431="","",M430+K430+H430)</f>
        <v/>
      </c>
      <c r="R430" s="200" t="str">
        <f aca="false">IF($A431="","",VLOOKUP($A430,Table,MATCH(R$4,Curves,0)))</f>
        <v/>
      </c>
      <c r="S430" s="201" t="str">
        <f aca="false">IF(A431="","",R430)</f>
        <v/>
      </c>
      <c r="T430" s="200" t="str">
        <f aca="false">IF($A431="","",VLOOKUP($A430,Table,MATCH(T$4,Curves,0)))</f>
        <v/>
      </c>
      <c r="U430" s="201" t="str">
        <f aca="false">IF(A431="","",T430)</f>
        <v/>
      </c>
      <c r="V430" s="225" t="str">
        <f aca="false">IF($A431="","",IF(AND(MONTH(A430)&gt;3,MONTH(A430)&lt;11),(T430+R430+G430)*Summary!$T$9/(1-Summary!$T$9),(T430+R430+G430)*Summary!$U$9/(1-Summary!$U$9)))</f>
        <v/>
      </c>
      <c r="W430" s="200" t="str">
        <f aca="false">IF($A431="","",(T430+R430+G430+V430))</f>
        <v/>
      </c>
      <c r="X430" s="200" t="str">
        <f aca="false">IF($A431="","",(U430+S430+H430+V430))</f>
        <v/>
      </c>
      <c r="Y430" s="202"/>
      <c r="Z430" s="185"/>
      <c r="AJ430" s="77"/>
      <c r="AK430" s="77"/>
      <c r="AL430" s="77"/>
      <c r="AM430" s="77"/>
      <c r="AN430" s="77"/>
      <c r="AO430" s="137" t="str">
        <f aca="false">IF(A431="","",A431-A430)</f>
        <v/>
      </c>
      <c r="AP430" s="212" t="str">
        <f aca="false">IF(A431="","",CHOOSE(F$3,A431+24,A430))</f>
        <v/>
      </c>
      <c r="AQ430" s="209" t="str">
        <f aca="false">IF(A431="","",AP430-$E$1)</f>
        <v/>
      </c>
      <c r="AR430" s="185" t="n">
        <f aca="false">'ANR OK vs ML7'!AR430</f>
        <v>0.1</v>
      </c>
      <c r="AS430" s="213" t="str">
        <f aca="false">IF(A431="","",1/(1+CHOOSE(F$3,(AR431+($I$3/10000))/2,(AR430+($I$3/10000))/2))^(2*AQ430/365.25))</f>
        <v/>
      </c>
      <c r="AT430" s="137" t="str">
        <f aca="false">IF(A431="","",IF(AND(mthbeg&lt;=A430,mthend&gt;=A430),1,0))</f>
        <v/>
      </c>
      <c r="AU430" s="137" t="str">
        <f aca="false">IF(A431="","",AO430*AT430)</f>
        <v/>
      </c>
      <c r="AW430" s="195" t="str">
        <f aca="false">IF($A431="","",AL430*$E430)</f>
        <v/>
      </c>
      <c r="AX430" s="195" t="str">
        <f aca="false">IF($A431="","",AM430*$E430)</f>
        <v/>
      </c>
      <c r="AY430" s="195" t="str">
        <f aca="false">IF($A431="","",AN430*$E430)</f>
        <v/>
      </c>
      <c r="BA430" s="195" t="str">
        <f aca="false">IF($A431="","",F430*Summary!$Q$9)</f>
        <v/>
      </c>
    </row>
    <row r="431" customFormat="false" ht="12.75" hidden="false" customHeight="false" outlineLevel="0" collapsed="false">
      <c r="A431" s="196" t="str">
        <f aca="false">IF(A430&lt;mthend,EDATE(A430,1),"")</f>
        <v/>
      </c>
      <c r="B431" s="197" t="str">
        <f aca="false">IF(A431&lt;mthend,B430,"")</f>
        <v/>
      </c>
      <c r="D431" s="197" t="str">
        <f aca="false">IF(A432&lt;&gt;"",B431+C431,"")</f>
        <v/>
      </c>
      <c r="E431" s="199" t="str">
        <f aca="false">IF(A432="","",IF(AND(AT431=1,$H$3=1),D431*AO431,IF($H$3=2,D431,"N/A")))</f>
        <v/>
      </c>
      <c r="F431" s="199" t="str">
        <f aca="false">IF(A432="","",E431*AS431)</f>
        <v/>
      </c>
      <c r="G431" s="200" t="str">
        <f aca="false">IF($A432="","",VLOOKUP($A431,Table,MATCH(G$4,Curves,0)))</f>
        <v/>
      </c>
      <c r="H431" s="201" t="str">
        <f aca="false">IF(A432="","",G431)</f>
        <v/>
      </c>
      <c r="J431" s="200" t="str">
        <f aca="false">IF($A432="","",VLOOKUP($A431,Table,MATCH(J$4,Curves,0)))</f>
        <v/>
      </c>
      <c r="K431" s="201" t="str">
        <f aca="false">IF(A432="","",J431)</f>
        <v/>
      </c>
      <c r="L431" s="200" t="str">
        <f aca="false">IF($A432="","",VLOOKUP($A431,Table,MATCH(L$4,Curves,0)))</f>
        <v/>
      </c>
      <c r="M431" s="201" t="str">
        <f aca="false">IF(A432="","",L431)</f>
        <v/>
      </c>
      <c r="O431" s="200" t="str">
        <f aca="false">IF(A432="","",L431+J431+G431)</f>
        <v/>
      </c>
      <c r="P431" s="200" t="str">
        <f aca="false">IF(A432="","",M431+K431+H431)</f>
        <v/>
      </c>
      <c r="R431" s="200" t="str">
        <f aca="false">IF($A432="","",VLOOKUP($A431,Table,MATCH(R$4,Curves,0)))</f>
        <v/>
      </c>
      <c r="S431" s="201" t="str">
        <f aca="false">IF(A432="","",R431)</f>
        <v/>
      </c>
      <c r="T431" s="200" t="str">
        <f aca="false">IF($A432="","",VLOOKUP($A431,Table,MATCH(T$4,Curves,0)))</f>
        <v/>
      </c>
      <c r="U431" s="201" t="str">
        <f aca="false">IF(A432="","",T431)</f>
        <v/>
      </c>
      <c r="V431" s="225" t="str">
        <f aca="false">IF($A432="","",IF(AND(MONTH(A431)&gt;3,MONTH(A431)&lt;11),(T431+R431+G431)*Summary!$T$9/(1-Summary!$T$9),(T431+R431+G431)*Summary!$U$9/(1-Summary!$U$9)))</f>
        <v/>
      </c>
      <c r="W431" s="200" t="str">
        <f aca="false">IF($A432="","",(T431+R431+G431+V431))</f>
        <v/>
      </c>
      <c r="X431" s="200" t="str">
        <f aca="false">IF($A432="","",(U431+S431+H431+V431))</f>
        <v/>
      </c>
      <c r="Y431" s="202"/>
      <c r="Z431" s="185"/>
      <c r="AJ431" s="77"/>
      <c r="AK431" s="77"/>
      <c r="AL431" s="77"/>
      <c r="AM431" s="77"/>
      <c r="AN431" s="77"/>
      <c r="AO431" s="137" t="str">
        <f aca="false">IF(A432="","",A432-A431)</f>
        <v/>
      </c>
      <c r="AP431" s="212" t="str">
        <f aca="false">IF(A432="","",CHOOSE(F$3,A432+24,A431))</f>
        <v/>
      </c>
      <c r="AQ431" s="209" t="str">
        <f aca="false">IF(A432="","",AP431-$E$1)</f>
        <v/>
      </c>
      <c r="AR431" s="185" t="n">
        <f aca="false">'ANR OK vs ML7'!AR431</f>
        <v>0.1</v>
      </c>
      <c r="AS431" s="213" t="str">
        <f aca="false">IF(A432="","",1/(1+CHOOSE(F$3,(AR432+($I$3/10000))/2,(AR431+($I$3/10000))/2))^(2*AQ431/365.25))</f>
        <v/>
      </c>
      <c r="AT431" s="137" t="str">
        <f aca="false">IF(A432="","",IF(AND(mthbeg&lt;=A431,mthend&gt;=A431),1,0))</f>
        <v/>
      </c>
      <c r="AU431" s="137" t="str">
        <f aca="false">IF(A432="","",AO431*AT431)</f>
        <v/>
      </c>
      <c r="AW431" s="195" t="str">
        <f aca="false">IF($A432="","",AL431*$E431)</f>
        <v/>
      </c>
      <c r="AX431" s="195" t="str">
        <f aca="false">IF($A432="","",AM431*$E431)</f>
        <v/>
      </c>
      <c r="AY431" s="195" t="str">
        <f aca="false">IF($A432="","",AN431*$E431)</f>
        <v/>
      </c>
      <c r="BA431" s="195" t="str">
        <f aca="false">IF($A432="","",F431*Summary!$Q$9)</f>
        <v/>
      </c>
    </row>
    <row r="432" customFormat="false" ht="12.75" hidden="false" customHeight="false" outlineLevel="0" collapsed="false">
      <c r="A432" s="196" t="str">
        <f aca="false">IF(A431&lt;mthend,EDATE(A431,1),"")</f>
        <v/>
      </c>
      <c r="B432" s="197" t="str">
        <f aca="false">IF(A432&lt;mthend,B431,"")</f>
        <v/>
      </c>
      <c r="D432" s="197" t="str">
        <f aca="false">IF(A433&lt;&gt;"",B432+C432,"")</f>
        <v/>
      </c>
      <c r="E432" s="199" t="str">
        <f aca="false">IF(A433="","",IF(AND(AT432=1,$H$3=1),D432*AO432,IF($H$3=2,D432,"N/A")))</f>
        <v/>
      </c>
      <c r="F432" s="199" t="str">
        <f aca="false">IF(A433="","",E432*AS432)</f>
        <v/>
      </c>
      <c r="G432" s="200" t="str">
        <f aca="false">IF($A433="","",VLOOKUP($A432,Table,MATCH(G$4,Curves,0)))</f>
        <v/>
      </c>
      <c r="H432" s="201" t="str">
        <f aca="false">IF(A433="","",G432)</f>
        <v/>
      </c>
      <c r="J432" s="200" t="str">
        <f aca="false">IF($A433="","",VLOOKUP($A432,Table,MATCH(J$4,Curves,0)))</f>
        <v/>
      </c>
      <c r="K432" s="201" t="str">
        <f aca="false">IF(A433="","",J432)</f>
        <v/>
      </c>
      <c r="L432" s="200" t="str">
        <f aca="false">IF($A433="","",VLOOKUP($A432,Table,MATCH(L$4,Curves,0)))</f>
        <v/>
      </c>
      <c r="M432" s="201" t="str">
        <f aca="false">IF(A433="","",L432)</f>
        <v/>
      </c>
      <c r="O432" s="200" t="str">
        <f aca="false">IF(A433="","",L432+J432+G432)</f>
        <v/>
      </c>
      <c r="P432" s="200" t="str">
        <f aca="false">IF(A433="","",M432+K432+H432)</f>
        <v/>
      </c>
      <c r="R432" s="200" t="str">
        <f aca="false">IF($A433="","",VLOOKUP($A432,Table,MATCH(R$4,Curves,0)))</f>
        <v/>
      </c>
      <c r="S432" s="201" t="str">
        <f aca="false">IF(A433="","",R432)</f>
        <v/>
      </c>
      <c r="T432" s="200" t="str">
        <f aca="false">IF($A433="","",VLOOKUP($A432,Table,MATCH(T$4,Curves,0)))</f>
        <v/>
      </c>
      <c r="U432" s="201" t="str">
        <f aca="false">IF(A433="","",T432)</f>
        <v/>
      </c>
      <c r="V432" s="225" t="str">
        <f aca="false">IF($A433="","",IF(AND(MONTH(A432)&gt;3,MONTH(A432)&lt;11),(T432+R432+G432)*Summary!$T$9/(1-Summary!$T$9),(T432+R432+G432)*Summary!$U$9/(1-Summary!$U$9)))</f>
        <v/>
      </c>
      <c r="W432" s="200" t="str">
        <f aca="false">IF($A433="","",(T432+R432+G432+V432))</f>
        <v/>
      </c>
      <c r="X432" s="200" t="str">
        <f aca="false">IF($A433="","",(U432+S432+H432+V432))</f>
        <v/>
      </c>
      <c r="Y432" s="202"/>
      <c r="Z432" s="185"/>
      <c r="AJ432" s="77"/>
      <c r="AK432" s="77"/>
      <c r="AL432" s="77"/>
      <c r="AM432" s="77"/>
      <c r="AN432" s="77"/>
      <c r="AO432" s="137" t="str">
        <f aca="false">IF(A433="","",A433-A432)</f>
        <v/>
      </c>
      <c r="AP432" s="212" t="str">
        <f aca="false">IF(A433="","",CHOOSE(F$3,A433+24,A432))</f>
        <v/>
      </c>
      <c r="AQ432" s="209" t="str">
        <f aca="false">IF(A433="","",AP432-$E$1)</f>
        <v/>
      </c>
      <c r="AR432" s="185" t="n">
        <f aca="false">'ANR OK vs ML7'!AR432</f>
        <v>0.1</v>
      </c>
      <c r="AS432" s="213" t="str">
        <f aca="false">IF(A433="","",1/(1+CHOOSE(F$3,(AR433+($I$3/10000))/2,(AR432+($I$3/10000))/2))^(2*AQ432/365.25))</f>
        <v/>
      </c>
      <c r="AT432" s="137" t="str">
        <f aca="false">IF(A433="","",IF(AND(mthbeg&lt;=A432,mthend&gt;=A432),1,0))</f>
        <v/>
      </c>
      <c r="AU432" s="137" t="str">
        <f aca="false">IF(A433="","",AO432*AT432)</f>
        <v/>
      </c>
      <c r="AW432" s="195" t="str">
        <f aca="false">IF($A433="","",AL432*$E432)</f>
        <v/>
      </c>
      <c r="AX432" s="195" t="str">
        <f aca="false">IF($A433="","",AM432*$E432)</f>
        <v/>
      </c>
      <c r="AY432" s="195" t="str">
        <f aca="false">IF($A433="","",AN432*$E432)</f>
        <v/>
      </c>
      <c r="BA432" s="195" t="str">
        <f aca="false">IF($A433="","",F432*Summary!$Q$9)</f>
        <v/>
      </c>
    </row>
    <row r="433" customFormat="false" ht="12.75" hidden="false" customHeight="false" outlineLevel="0" collapsed="false">
      <c r="A433" s="196" t="str">
        <f aca="false">IF(A432&lt;mthend,EDATE(A432,1),"")</f>
        <v/>
      </c>
      <c r="B433" s="197" t="str">
        <f aca="false">IF(A433&lt;mthend,B432,"")</f>
        <v/>
      </c>
      <c r="D433" s="197" t="str">
        <f aca="false">IF(A434&lt;&gt;"",B433+C433,"")</f>
        <v/>
      </c>
      <c r="E433" s="199" t="str">
        <f aca="false">IF(A434="","",IF(AND(AT433=1,$H$3=1),D433*AO433,IF($H$3=2,D433,"N/A")))</f>
        <v/>
      </c>
      <c r="F433" s="199" t="str">
        <f aca="false">IF(A434="","",E433*AS433)</f>
        <v/>
      </c>
      <c r="G433" s="200" t="str">
        <f aca="false">IF($A434="","",VLOOKUP($A433,Table,MATCH(G$4,Curves,0)))</f>
        <v/>
      </c>
      <c r="H433" s="201" t="str">
        <f aca="false">IF(A434="","",G433)</f>
        <v/>
      </c>
      <c r="J433" s="200" t="str">
        <f aca="false">IF($A434="","",VLOOKUP($A433,Table,MATCH(J$4,Curves,0)))</f>
        <v/>
      </c>
      <c r="K433" s="201" t="str">
        <f aca="false">IF(A434="","",J433)</f>
        <v/>
      </c>
      <c r="L433" s="200" t="str">
        <f aca="false">IF($A434="","",VLOOKUP($A433,Table,MATCH(L$4,Curves,0)))</f>
        <v/>
      </c>
      <c r="M433" s="201" t="str">
        <f aca="false">IF(A434="","",L433)</f>
        <v/>
      </c>
      <c r="O433" s="200" t="str">
        <f aca="false">IF(A434="","",L433+J433+G433)</f>
        <v/>
      </c>
      <c r="P433" s="200" t="str">
        <f aca="false">IF(A434="","",M433+K433+H433)</f>
        <v/>
      </c>
      <c r="R433" s="200" t="str">
        <f aca="false">IF($A434="","",VLOOKUP($A433,Table,MATCH(R$4,Curves,0)))</f>
        <v/>
      </c>
      <c r="S433" s="201" t="str">
        <f aca="false">IF(A434="","",R433)</f>
        <v/>
      </c>
      <c r="T433" s="200" t="str">
        <f aca="false">IF($A434="","",VLOOKUP($A433,Table,MATCH(T$4,Curves,0)))</f>
        <v/>
      </c>
      <c r="U433" s="201" t="str">
        <f aca="false">IF(A434="","",T433)</f>
        <v/>
      </c>
      <c r="V433" s="225" t="str">
        <f aca="false">IF($A434="","",IF(AND(MONTH(A433)&gt;3,MONTH(A433)&lt;11),(T433+R433+G433)*Summary!$T$9/(1-Summary!$T$9),(T433+R433+G433)*Summary!$U$9/(1-Summary!$U$9)))</f>
        <v/>
      </c>
      <c r="W433" s="200" t="str">
        <f aca="false">IF($A434="","",(T433+R433+G433+V433))</f>
        <v/>
      </c>
      <c r="X433" s="200" t="str">
        <f aca="false">IF($A434="","",(U433+S433+H433+V433))</f>
        <v/>
      </c>
      <c r="Y433" s="202"/>
      <c r="Z433" s="185"/>
      <c r="AJ433" s="77"/>
      <c r="AK433" s="77"/>
      <c r="AL433" s="77"/>
      <c r="AM433" s="77"/>
      <c r="AN433" s="77"/>
      <c r="AO433" s="137" t="str">
        <f aca="false">IF(A434="","",A434-A433)</f>
        <v/>
      </c>
      <c r="AP433" s="212" t="str">
        <f aca="false">IF(A434="","",CHOOSE(F$3,A434+24,A433))</f>
        <v/>
      </c>
      <c r="AQ433" s="209" t="str">
        <f aca="false">IF(A434="","",AP433-$E$1)</f>
        <v/>
      </c>
      <c r="AR433" s="185" t="n">
        <f aca="false">'ANR OK vs ML7'!AR433</f>
        <v>0.1</v>
      </c>
      <c r="AS433" s="213" t="str">
        <f aca="false">IF(A434="","",1/(1+CHOOSE(F$3,(AR434+($I$3/10000))/2,(AR433+($I$3/10000))/2))^(2*AQ433/365.25))</f>
        <v/>
      </c>
      <c r="AT433" s="137" t="str">
        <f aca="false">IF(A434="","",IF(AND(mthbeg&lt;=A433,mthend&gt;=A433),1,0))</f>
        <v/>
      </c>
      <c r="AU433" s="137" t="str">
        <f aca="false">IF(A434="","",AO433*AT433)</f>
        <v/>
      </c>
      <c r="AW433" s="195" t="str">
        <f aca="false">IF($A434="","",AL433*$E433)</f>
        <v/>
      </c>
      <c r="AX433" s="195" t="str">
        <f aca="false">IF($A434="","",AM433*$E433)</f>
        <v/>
      </c>
      <c r="AY433" s="195" t="str">
        <f aca="false">IF($A434="","",AN433*$E433)</f>
        <v/>
      </c>
      <c r="BA433" s="195" t="str">
        <f aca="false">IF($A434="","",F433*Summary!$Q$9)</f>
        <v/>
      </c>
    </row>
    <row r="434" customFormat="false" ht="12.75" hidden="false" customHeight="false" outlineLevel="0" collapsed="false">
      <c r="A434" s="196" t="str">
        <f aca="false">IF(A433&lt;mthend,EDATE(A433,1),"")</f>
        <v/>
      </c>
      <c r="B434" s="197" t="str">
        <f aca="false">IF(A434&lt;mthend,B433,"")</f>
        <v/>
      </c>
      <c r="D434" s="197" t="str">
        <f aca="false">IF(A435&lt;&gt;"",B434+C434,"")</f>
        <v/>
      </c>
      <c r="E434" s="199" t="str">
        <f aca="false">IF(A435="","",IF(AND(AT434=1,$H$3=1),D434*AO434,IF($H$3=2,D434,"N/A")))</f>
        <v/>
      </c>
      <c r="F434" s="199" t="str">
        <f aca="false">IF(A435="","",E434*AS434)</f>
        <v/>
      </c>
      <c r="G434" s="200" t="str">
        <f aca="false">IF($A435="","",VLOOKUP($A434,Table,MATCH(G$4,Curves,0)))</f>
        <v/>
      </c>
      <c r="H434" s="201" t="str">
        <f aca="false">IF(A435="","",G434)</f>
        <v/>
      </c>
      <c r="J434" s="200" t="str">
        <f aca="false">IF($A435="","",VLOOKUP($A434,Table,MATCH(J$4,Curves,0)))</f>
        <v/>
      </c>
      <c r="K434" s="201" t="str">
        <f aca="false">IF(A435="","",J434)</f>
        <v/>
      </c>
      <c r="L434" s="200" t="str">
        <f aca="false">IF($A435="","",VLOOKUP($A434,Table,MATCH(L$4,Curves,0)))</f>
        <v/>
      </c>
      <c r="M434" s="201" t="str">
        <f aca="false">IF(A435="","",L434)</f>
        <v/>
      </c>
      <c r="O434" s="200" t="str">
        <f aca="false">IF(A435="","",L434+J434+G434)</f>
        <v/>
      </c>
      <c r="P434" s="200" t="str">
        <f aca="false">IF(A435="","",M434+K434+H434)</f>
        <v/>
      </c>
      <c r="R434" s="200" t="str">
        <f aca="false">IF($A435="","",VLOOKUP($A434,Table,MATCH(R$4,Curves,0)))</f>
        <v/>
      </c>
      <c r="S434" s="201" t="str">
        <f aca="false">IF(A435="","",R434)</f>
        <v/>
      </c>
      <c r="T434" s="200" t="str">
        <f aca="false">IF($A435="","",VLOOKUP($A434,Table,MATCH(T$4,Curves,0)))</f>
        <v/>
      </c>
      <c r="U434" s="201" t="str">
        <f aca="false">IF(A435="","",T434)</f>
        <v/>
      </c>
      <c r="V434" s="225" t="str">
        <f aca="false">IF($A435="","",IF(AND(MONTH(A434)&gt;3,MONTH(A434)&lt;11),(T434+R434+G434)*Summary!$T$9/(1-Summary!$T$9),(T434+R434+G434)*Summary!$U$9/(1-Summary!$U$9)))</f>
        <v/>
      </c>
      <c r="W434" s="200" t="str">
        <f aca="false">IF($A435="","",(T434+R434+G434+V434))</f>
        <v/>
      </c>
      <c r="X434" s="200" t="str">
        <f aca="false">IF($A435="","",(U434+S434+H434+V434))</f>
        <v/>
      </c>
      <c r="Y434" s="202"/>
      <c r="Z434" s="185"/>
      <c r="AJ434" s="77"/>
      <c r="AK434" s="77"/>
      <c r="AL434" s="77"/>
      <c r="AM434" s="77"/>
      <c r="AN434" s="77"/>
      <c r="AO434" s="137" t="str">
        <f aca="false">IF(A435="","",A435-A434)</f>
        <v/>
      </c>
      <c r="AP434" s="212" t="str">
        <f aca="false">IF(A435="","",CHOOSE(F$3,A435+24,A434))</f>
        <v/>
      </c>
      <c r="AQ434" s="209" t="str">
        <f aca="false">IF(A435="","",AP434-$E$1)</f>
        <v/>
      </c>
      <c r="AR434" s="185" t="n">
        <f aca="false">'ANR OK vs ML7'!AR434</f>
        <v>0.1</v>
      </c>
      <c r="AS434" s="213" t="str">
        <f aca="false">IF(A435="","",1/(1+CHOOSE(F$3,(AR435+($I$3/10000))/2,(AR434+($I$3/10000))/2))^(2*AQ434/365.25))</f>
        <v/>
      </c>
      <c r="AT434" s="137" t="str">
        <f aca="false">IF(A435="","",IF(AND(mthbeg&lt;=A434,mthend&gt;=A434),1,0))</f>
        <v/>
      </c>
      <c r="AU434" s="137" t="str">
        <f aca="false">IF(A435="","",AO434*AT434)</f>
        <v/>
      </c>
      <c r="AW434" s="195" t="str">
        <f aca="false">IF($A435="","",AL434*$E434)</f>
        <v/>
      </c>
      <c r="AX434" s="195" t="str">
        <f aca="false">IF($A435="","",AM434*$E434)</f>
        <v/>
      </c>
      <c r="AY434" s="195" t="str">
        <f aca="false">IF($A435="","",AN434*$E434)</f>
        <v/>
      </c>
      <c r="BA434" s="195" t="str">
        <f aca="false">IF($A435="","",F434*Summary!$Q$9)</f>
        <v/>
      </c>
    </row>
    <row r="435" customFormat="false" ht="12.75" hidden="false" customHeight="false" outlineLevel="0" collapsed="false">
      <c r="A435" s="196" t="str">
        <f aca="false">IF(A434&lt;mthend,EDATE(A434,1),"")</f>
        <v/>
      </c>
      <c r="B435" s="197" t="str">
        <f aca="false">IF(A435&lt;mthend,B434,"")</f>
        <v/>
      </c>
      <c r="D435" s="197" t="str">
        <f aca="false">IF(A436&lt;&gt;"",B435+C435,"")</f>
        <v/>
      </c>
      <c r="E435" s="199" t="str">
        <f aca="false">IF(A436="","",IF(AND(AT435=1,$H$3=1),D435*AO435,IF($H$3=2,D435,"N/A")))</f>
        <v/>
      </c>
      <c r="F435" s="199" t="str">
        <f aca="false">IF(A436="","",E435*AS435)</f>
        <v/>
      </c>
      <c r="G435" s="200" t="str">
        <f aca="false">IF($A436="","",VLOOKUP($A435,Table,MATCH(G$4,Curves,0)))</f>
        <v/>
      </c>
      <c r="H435" s="201" t="str">
        <f aca="false">IF(A436="","",G435)</f>
        <v/>
      </c>
      <c r="J435" s="200" t="str">
        <f aca="false">IF($A436="","",VLOOKUP($A435,Table,MATCH(J$4,Curves,0)))</f>
        <v/>
      </c>
      <c r="K435" s="201" t="str">
        <f aca="false">IF(A436="","",J435)</f>
        <v/>
      </c>
      <c r="L435" s="200" t="str">
        <f aca="false">IF($A436="","",VLOOKUP($A435,Table,MATCH(L$4,Curves,0)))</f>
        <v/>
      </c>
      <c r="M435" s="201" t="str">
        <f aca="false">IF(A436="","",L435)</f>
        <v/>
      </c>
      <c r="O435" s="200" t="str">
        <f aca="false">IF(A436="","",L435+J435+G435)</f>
        <v/>
      </c>
      <c r="P435" s="200" t="str">
        <f aca="false">IF(A436="","",M435+K435+H435)</f>
        <v/>
      </c>
      <c r="R435" s="200" t="str">
        <f aca="false">IF($A436="","",VLOOKUP($A435,Table,MATCH(R$4,Curves,0)))</f>
        <v/>
      </c>
      <c r="S435" s="201" t="str">
        <f aca="false">IF(A436="","",R435)</f>
        <v/>
      </c>
      <c r="T435" s="200" t="str">
        <f aca="false">IF($A436="","",VLOOKUP($A435,Table,MATCH(T$4,Curves,0)))</f>
        <v/>
      </c>
      <c r="U435" s="201" t="str">
        <f aca="false">IF(A436="","",T435)</f>
        <v/>
      </c>
      <c r="V435" s="225" t="str">
        <f aca="false">IF($A436="","",IF(AND(MONTH(A435)&gt;3,MONTH(A435)&lt;11),(T435+R435+G435)*Summary!$T$9/(1-Summary!$T$9),(T435+R435+G435)*Summary!$U$9/(1-Summary!$U$9)))</f>
        <v/>
      </c>
      <c r="W435" s="200" t="str">
        <f aca="false">IF($A436="","",(T435+R435+G435+V435))</f>
        <v/>
      </c>
      <c r="X435" s="200" t="str">
        <f aca="false">IF($A436="","",(U435+S435+H435+V435))</f>
        <v/>
      </c>
      <c r="Y435" s="202"/>
      <c r="Z435" s="185"/>
      <c r="AJ435" s="77"/>
      <c r="AK435" s="77"/>
      <c r="AL435" s="77"/>
      <c r="AM435" s="77"/>
      <c r="AN435" s="77"/>
      <c r="AO435" s="137" t="str">
        <f aca="false">IF(A436="","",A436-A435)</f>
        <v/>
      </c>
      <c r="AP435" s="212" t="str">
        <f aca="false">IF(A436="","",CHOOSE(F$3,A436+24,A435))</f>
        <v/>
      </c>
      <c r="AQ435" s="209" t="str">
        <f aca="false">IF(A436="","",AP435-$E$1)</f>
        <v/>
      </c>
      <c r="AR435" s="185" t="n">
        <f aca="false">'ANR OK vs ML7'!AR435</f>
        <v>0.1</v>
      </c>
      <c r="AS435" s="213" t="str">
        <f aca="false">IF(A436="","",1/(1+CHOOSE(F$3,(AR436+($I$3/10000))/2,(AR435+($I$3/10000))/2))^(2*AQ435/365.25))</f>
        <v/>
      </c>
      <c r="AT435" s="137" t="str">
        <f aca="false">IF(A436="","",IF(AND(mthbeg&lt;=A435,mthend&gt;=A435),1,0))</f>
        <v/>
      </c>
      <c r="AU435" s="137" t="str">
        <f aca="false">IF(A436="","",AO435*AT435)</f>
        <v/>
      </c>
      <c r="AW435" s="195" t="str">
        <f aca="false">IF($A436="","",AL435*$E435)</f>
        <v/>
      </c>
      <c r="AX435" s="195" t="str">
        <f aca="false">IF($A436="","",AM435*$E435)</f>
        <v/>
      </c>
      <c r="AY435" s="195" t="str">
        <f aca="false">IF($A436="","",AN435*$E435)</f>
        <v/>
      </c>
      <c r="BA435" s="195" t="str">
        <f aca="false">IF($A436="","",F435*Summary!$Q$9)</f>
        <v/>
      </c>
    </row>
    <row r="436" customFormat="false" ht="12.75" hidden="false" customHeight="false" outlineLevel="0" collapsed="false">
      <c r="A436" s="196" t="str">
        <f aca="false">IF(A435&lt;mthend,EDATE(A435,1),"")</f>
        <v/>
      </c>
      <c r="B436" s="197" t="str">
        <f aca="false">IF(A436&lt;mthend,B435,"")</f>
        <v/>
      </c>
      <c r="D436" s="197" t="str">
        <f aca="false">IF(A437&lt;&gt;"",B436+C436,"")</f>
        <v/>
      </c>
      <c r="E436" s="199" t="str">
        <f aca="false">IF(A437="","",IF(AND(AT436=1,$H$3=1),D436*AO436,IF($H$3=2,D436,"N/A")))</f>
        <v/>
      </c>
      <c r="F436" s="199" t="str">
        <f aca="false">IF(A437="","",E436*AS436)</f>
        <v/>
      </c>
      <c r="G436" s="200" t="str">
        <f aca="false">IF($A437="","",VLOOKUP($A436,Table,MATCH(G$4,Curves,0)))</f>
        <v/>
      </c>
      <c r="H436" s="201" t="str">
        <f aca="false">IF(A437="","",G436)</f>
        <v/>
      </c>
      <c r="J436" s="200" t="str">
        <f aca="false">IF($A437="","",VLOOKUP($A436,Table,MATCH(J$4,Curves,0)))</f>
        <v/>
      </c>
      <c r="K436" s="201" t="str">
        <f aca="false">IF(A437="","",J436)</f>
        <v/>
      </c>
      <c r="L436" s="200" t="str">
        <f aca="false">IF($A437="","",VLOOKUP($A436,Table,MATCH(L$4,Curves,0)))</f>
        <v/>
      </c>
      <c r="M436" s="201" t="str">
        <f aca="false">IF(A437="","",L436)</f>
        <v/>
      </c>
      <c r="O436" s="200" t="str">
        <f aca="false">IF(A437="","",L436+J436+G436)</f>
        <v/>
      </c>
      <c r="P436" s="200" t="str">
        <f aca="false">IF(A437="","",M436+K436+H436)</f>
        <v/>
      </c>
      <c r="R436" s="200" t="str">
        <f aca="false">IF($A437="","",VLOOKUP($A436,Table,MATCH(R$4,Curves,0)))</f>
        <v/>
      </c>
      <c r="S436" s="201" t="str">
        <f aca="false">IF(A437="","",R436)</f>
        <v/>
      </c>
      <c r="T436" s="200" t="str">
        <f aca="false">IF($A437="","",VLOOKUP($A436,Table,MATCH(T$4,Curves,0)))</f>
        <v/>
      </c>
      <c r="U436" s="201" t="str">
        <f aca="false">IF(A437="","",T436)</f>
        <v/>
      </c>
      <c r="V436" s="225" t="str">
        <f aca="false">IF($A437="","",IF(AND(MONTH(A436)&gt;3,MONTH(A436)&lt;11),(T436+R436+G436)*Summary!$T$9/(1-Summary!$T$9),(T436+R436+G436)*Summary!$U$9/(1-Summary!$U$9)))</f>
        <v/>
      </c>
      <c r="W436" s="200" t="str">
        <f aca="false">IF($A437="","",(T436+R436+G436+V436))</f>
        <v/>
      </c>
      <c r="X436" s="200" t="str">
        <f aca="false">IF($A437="","",(U436+S436+H436+V436))</f>
        <v/>
      </c>
      <c r="Y436" s="202"/>
      <c r="Z436" s="185"/>
      <c r="AJ436" s="77"/>
      <c r="AK436" s="77"/>
      <c r="AL436" s="77"/>
      <c r="AM436" s="77"/>
      <c r="AN436" s="77"/>
      <c r="AO436" s="137" t="str">
        <f aca="false">IF(A437="","",A437-A436)</f>
        <v/>
      </c>
      <c r="AP436" s="212" t="str">
        <f aca="false">IF(A437="","",CHOOSE(F$3,A437+24,A436))</f>
        <v/>
      </c>
      <c r="AQ436" s="209" t="str">
        <f aca="false">IF(A437="","",AP436-$E$1)</f>
        <v/>
      </c>
      <c r="AR436" s="185" t="n">
        <f aca="false">'ANR OK vs ML7'!AR436</f>
        <v>0.1</v>
      </c>
      <c r="AS436" s="213" t="str">
        <f aca="false">IF(A437="","",1/(1+CHOOSE(F$3,(AR437+($I$3/10000))/2,(AR436+($I$3/10000))/2))^(2*AQ436/365.25))</f>
        <v/>
      </c>
      <c r="AT436" s="137" t="str">
        <f aca="false">IF(A437="","",IF(AND(mthbeg&lt;=A436,mthend&gt;=A436),1,0))</f>
        <v/>
      </c>
      <c r="AU436" s="137" t="str">
        <f aca="false">IF(A437="","",AO436*AT436)</f>
        <v/>
      </c>
      <c r="AW436" s="195" t="str">
        <f aca="false">IF($A437="","",AL436*$E436)</f>
        <v/>
      </c>
      <c r="AX436" s="195" t="str">
        <f aca="false">IF($A437="","",AM436*$E436)</f>
        <v/>
      </c>
      <c r="AY436" s="195" t="str">
        <f aca="false">IF($A437="","",AN436*$E436)</f>
        <v/>
      </c>
      <c r="BA436" s="195" t="str">
        <f aca="false">IF($A437="","",F436*Summary!$Q$9)</f>
        <v/>
      </c>
    </row>
    <row r="437" customFormat="false" ht="12.75" hidden="false" customHeight="false" outlineLevel="0" collapsed="false">
      <c r="A437" s="196" t="str">
        <f aca="false">IF(A436&lt;mthend,EDATE(A436,1),"")</f>
        <v/>
      </c>
      <c r="B437" s="197" t="str">
        <f aca="false">IF(A437&lt;mthend,B436,"")</f>
        <v/>
      </c>
      <c r="D437" s="197" t="str">
        <f aca="false">IF(A438&lt;&gt;"",B437+C437,"")</f>
        <v/>
      </c>
      <c r="E437" s="199" t="str">
        <f aca="false">IF(A438="","",IF(AND(AT437=1,$H$3=1),D437*AO437,IF($H$3=2,D437,"N/A")))</f>
        <v/>
      </c>
      <c r="F437" s="199" t="str">
        <f aca="false">IF(A438="","",E437*AS437)</f>
        <v/>
      </c>
      <c r="G437" s="200" t="str">
        <f aca="false">IF($A438="","",VLOOKUP($A437,Table,MATCH(G$4,Curves,0)))</f>
        <v/>
      </c>
      <c r="H437" s="201" t="str">
        <f aca="false">IF(A438="","",G437)</f>
        <v/>
      </c>
      <c r="J437" s="200" t="str">
        <f aca="false">IF($A438="","",VLOOKUP($A437,Table,MATCH(J$4,Curves,0)))</f>
        <v/>
      </c>
      <c r="K437" s="201" t="str">
        <f aca="false">IF(A438="","",J437)</f>
        <v/>
      </c>
      <c r="L437" s="200" t="str">
        <f aca="false">IF($A438="","",VLOOKUP($A437,Table,MATCH(L$4,Curves,0)))</f>
        <v/>
      </c>
      <c r="M437" s="201" t="str">
        <f aca="false">IF(A438="","",L437)</f>
        <v/>
      </c>
      <c r="O437" s="200" t="str">
        <f aca="false">IF(A438="","",L437+J437+G437)</f>
        <v/>
      </c>
      <c r="P437" s="200" t="str">
        <f aca="false">IF(A438="","",M437+K437+H437)</f>
        <v/>
      </c>
      <c r="R437" s="200" t="str">
        <f aca="false">IF($A438="","",VLOOKUP($A437,Table,MATCH(R$4,Curves,0)))</f>
        <v/>
      </c>
      <c r="S437" s="201" t="str">
        <f aca="false">IF(A438="","",R437)</f>
        <v/>
      </c>
      <c r="T437" s="200" t="str">
        <f aca="false">IF($A438="","",VLOOKUP($A437,Table,MATCH(T$4,Curves,0)))</f>
        <v/>
      </c>
      <c r="U437" s="201" t="str">
        <f aca="false">IF(A438="","",T437)</f>
        <v/>
      </c>
      <c r="V437" s="225" t="str">
        <f aca="false">IF($A438="","",IF(AND(MONTH(A437)&gt;3,MONTH(A437)&lt;11),(T437+R437+G437)*Summary!$T$9/(1-Summary!$T$9),(T437+R437+G437)*Summary!$U$9/(1-Summary!$U$9)))</f>
        <v/>
      </c>
      <c r="W437" s="200" t="str">
        <f aca="false">IF($A438="","",(T437+R437+G437+V437))</f>
        <v/>
      </c>
      <c r="X437" s="200" t="str">
        <f aca="false">IF($A438="","",(U437+S437+H437+V437))</f>
        <v/>
      </c>
      <c r="Y437" s="202"/>
      <c r="Z437" s="185"/>
      <c r="AJ437" s="77"/>
      <c r="AK437" s="77"/>
      <c r="AL437" s="77"/>
      <c r="AM437" s="77"/>
      <c r="AN437" s="77"/>
      <c r="AO437" s="137" t="str">
        <f aca="false">IF(A438="","",A438-A437)</f>
        <v/>
      </c>
      <c r="AP437" s="212" t="str">
        <f aca="false">IF(A438="","",CHOOSE(F$3,A438+24,A437))</f>
        <v/>
      </c>
      <c r="AQ437" s="209" t="str">
        <f aca="false">IF(A438="","",AP437-$E$1)</f>
        <v/>
      </c>
      <c r="AR437" s="185" t="n">
        <f aca="false">'ANR OK vs ML7'!AR437</f>
        <v>0.1</v>
      </c>
      <c r="AS437" s="213" t="str">
        <f aca="false">IF(A438="","",1/(1+CHOOSE(F$3,(AR438+($I$3/10000))/2,(AR437+($I$3/10000))/2))^(2*AQ437/365.25))</f>
        <v/>
      </c>
      <c r="AT437" s="137" t="str">
        <f aca="false">IF(A438="","",IF(AND(mthbeg&lt;=A437,mthend&gt;=A437),1,0))</f>
        <v/>
      </c>
      <c r="AU437" s="137" t="str">
        <f aca="false">IF(A438="","",AO437*AT437)</f>
        <v/>
      </c>
      <c r="AW437" s="195" t="str">
        <f aca="false">IF($A438="","",AL437*$E437)</f>
        <v/>
      </c>
      <c r="AX437" s="195" t="str">
        <f aca="false">IF($A438="","",AM437*$E437)</f>
        <v/>
      </c>
      <c r="AY437" s="195" t="str">
        <f aca="false">IF($A438="","",AN437*$E437)</f>
        <v/>
      </c>
      <c r="BA437" s="195" t="str">
        <f aca="false">IF($A438="","",F437*Summary!$Q$9)</f>
        <v/>
      </c>
    </row>
    <row r="438" customFormat="false" ht="12.75" hidden="false" customHeight="false" outlineLevel="0" collapsed="false">
      <c r="A438" s="196" t="str">
        <f aca="false">IF(A437&lt;mthend,EDATE(A437,1),"")</f>
        <v/>
      </c>
      <c r="B438" s="197" t="str">
        <f aca="false">IF(A438&lt;mthend,B437,"")</f>
        <v/>
      </c>
      <c r="D438" s="197" t="str">
        <f aca="false">IF(A439&lt;&gt;"",B438+C438,"")</f>
        <v/>
      </c>
      <c r="E438" s="199" t="str">
        <f aca="false">IF(A439="","",IF(AND(AT438=1,$H$3=1),D438*AO438,IF($H$3=2,D438,"N/A")))</f>
        <v/>
      </c>
      <c r="F438" s="199" t="str">
        <f aca="false">IF(A439="","",E438*AS438)</f>
        <v/>
      </c>
      <c r="G438" s="200" t="str">
        <f aca="false">IF($A439="","",VLOOKUP($A438,Table,MATCH(G$4,Curves,0)))</f>
        <v/>
      </c>
      <c r="H438" s="201" t="str">
        <f aca="false">IF(A439="","",G438)</f>
        <v/>
      </c>
      <c r="J438" s="200" t="str">
        <f aca="false">IF($A439="","",VLOOKUP($A438,Table,MATCH(J$4,Curves,0)))</f>
        <v/>
      </c>
      <c r="K438" s="201" t="str">
        <f aca="false">IF(A439="","",J438)</f>
        <v/>
      </c>
      <c r="L438" s="200" t="str">
        <f aca="false">IF($A439="","",VLOOKUP($A438,Table,MATCH(L$4,Curves,0)))</f>
        <v/>
      </c>
      <c r="M438" s="201" t="str">
        <f aca="false">IF(A439="","",L438)</f>
        <v/>
      </c>
      <c r="O438" s="200" t="str">
        <f aca="false">IF(A439="","",L438+J438+G438)</f>
        <v/>
      </c>
      <c r="P438" s="200" t="str">
        <f aca="false">IF(A439="","",M438+K438+H438)</f>
        <v/>
      </c>
      <c r="R438" s="200" t="str">
        <f aca="false">IF($A439="","",VLOOKUP($A438,Table,MATCH(R$4,Curves,0)))</f>
        <v/>
      </c>
      <c r="S438" s="201" t="str">
        <f aca="false">IF(A439="","",R438)</f>
        <v/>
      </c>
      <c r="T438" s="200" t="str">
        <f aca="false">IF($A439="","",VLOOKUP($A438,Table,MATCH(T$4,Curves,0)))</f>
        <v/>
      </c>
      <c r="U438" s="201" t="str">
        <f aca="false">IF(A439="","",T438)</f>
        <v/>
      </c>
      <c r="V438" s="225" t="str">
        <f aca="false">IF($A439="","",IF(AND(MONTH(A438)&gt;3,MONTH(A438)&lt;11),(T438+R438+G438)*Summary!$T$9/(1-Summary!$T$9),(T438+R438+G438)*Summary!$U$9/(1-Summary!$U$9)))</f>
        <v/>
      </c>
      <c r="W438" s="200" t="str">
        <f aca="false">IF($A439="","",(T438+R438+G438+V438))</f>
        <v/>
      </c>
      <c r="X438" s="200" t="str">
        <f aca="false">IF($A439="","",(U438+S438+H438+V438))</f>
        <v/>
      </c>
      <c r="Y438" s="202"/>
      <c r="Z438" s="185"/>
      <c r="AJ438" s="77"/>
      <c r="AK438" s="77"/>
      <c r="AL438" s="77"/>
      <c r="AM438" s="77"/>
      <c r="AN438" s="77"/>
      <c r="AO438" s="137" t="str">
        <f aca="false">IF(A439="","",A439-A438)</f>
        <v/>
      </c>
      <c r="AP438" s="212" t="str">
        <f aca="false">IF(A439="","",CHOOSE(F$3,A439+24,A438))</f>
        <v/>
      </c>
      <c r="AQ438" s="209" t="str">
        <f aca="false">IF(A439="","",AP438-$E$1)</f>
        <v/>
      </c>
      <c r="AR438" s="185" t="n">
        <f aca="false">'ANR OK vs ML7'!AR438</f>
        <v>0.1</v>
      </c>
      <c r="AS438" s="213" t="str">
        <f aca="false">IF(A439="","",1/(1+CHOOSE(F$3,(AR439+($I$3/10000))/2,(AR438+($I$3/10000))/2))^(2*AQ438/365.25))</f>
        <v/>
      </c>
      <c r="AT438" s="137" t="str">
        <f aca="false">IF(A439="","",IF(AND(mthbeg&lt;=A438,mthend&gt;=A438),1,0))</f>
        <v/>
      </c>
      <c r="AU438" s="137" t="str">
        <f aca="false">IF(A439="","",AO438*AT438)</f>
        <v/>
      </c>
      <c r="AW438" s="195" t="str">
        <f aca="false">IF($A439="","",AL438*$E438)</f>
        <v/>
      </c>
      <c r="AX438" s="195" t="str">
        <f aca="false">IF($A439="","",AM438*$E438)</f>
        <v/>
      </c>
      <c r="AY438" s="195" t="str">
        <f aca="false">IF($A439="","",AN438*$E438)</f>
        <v/>
      </c>
      <c r="BA438" s="195" t="str">
        <f aca="false">IF($A439="","",F438*Summary!$Q$9)</f>
        <v/>
      </c>
    </row>
    <row r="439" customFormat="false" ht="12.75" hidden="false" customHeight="false" outlineLevel="0" collapsed="false">
      <c r="A439" s="196" t="str">
        <f aca="false">IF(A438&lt;mthend,EDATE(A438,1),"")</f>
        <v/>
      </c>
      <c r="B439" s="197" t="str">
        <f aca="false">IF(A439&lt;mthend,B438,"")</f>
        <v/>
      </c>
      <c r="D439" s="197" t="str">
        <f aca="false">IF(A440&lt;&gt;"",B439+C439,"")</f>
        <v/>
      </c>
      <c r="E439" s="199" t="str">
        <f aca="false">IF(A440="","",IF(AND(AT439=1,$H$3=1),D439*AO439,IF($H$3=2,D439,"N/A")))</f>
        <v/>
      </c>
      <c r="F439" s="199" t="str">
        <f aca="false">IF(A440="","",E439*AS439)</f>
        <v/>
      </c>
      <c r="G439" s="200" t="str">
        <f aca="false">IF($A440="","",VLOOKUP($A439,Table,MATCH(G$4,Curves,0)))</f>
        <v/>
      </c>
      <c r="H439" s="201" t="str">
        <f aca="false">IF(A440="","",G439)</f>
        <v/>
      </c>
      <c r="J439" s="200" t="str">
        <f aca="false">IF($A440="","",VLOOKUP($A439,Table,MATCH(J$4,Curves,0)))</f>
        <v/>
      </c>
      <c r="K439" s="201" t="str">
        <f aca="false">IF(A440="","",J439)</f>
        <v/>
      </c>
      <c r="L439" s="200" t="str">
        <f aca="false">IF($A440="","",VLOOKUP($A439,Table,MATCH(L$4,Curves,0)))</f>
        <v/>
      </c>
      <c r="M439" s="201" t="str">
        <f aca="false">IF(A440="","",L439)</f>
        <v/>
      </c>
      <c r="O439" s="200" t="str">
        <f aca="false">IF(A440="","",L439+J439+G439)</f>
        <v/>
      </c>
      <c r="P439" s="200" t="str">
        <f aca="false">IF(A440="","",M439+K439+H439)</f>
        <v/>
      </c>
      <c r="R439" s="200" t="str">
        <f aca="false">IF($A440="","",VLOOKUP($A439,Table,MATCH(R$4,Curves,0)))</f>
        <v/>
      </c>
      <c r="S439" s="201" t="str">
        <f aca="false">IF(A440="","",R439)</f>
        <v/>
      </c>
      <c r="T439" s="200" t="str">
        <f aca="false">IF($A440="","",VLOOKUP($A439,Table,MATCH(T$4,Curves,0)))</f>
        <v/>
      </c>
      <c r="U439" s="201" t="str">
        <f aca="false">IF(A440="","",T439)</f>
        <v/>
      </c>
      <c r="V439" s="225" t="str">
        <f aca="false">IF($A440="","",IF(AND(MONTH(A439)&gt;3,MONTH(A439)&lt;11),(T439+R439+G439)*Summary!$T$9/(1-Summary!$T$9),(T439+R439+G439)*Summary!$U$9/(1-Summary!$U$9)))</f>
        <v/>
      </c>
      <c r="W439" s="200" t="str">
        <f aca="false">IF($A440="","",(T439+R439+G439+V439))</f>
        <v/>
      </c>
      <c r="X439" s="200" t="str">
        <f aca="false">IF($A440="","",(U439+S439+H439+V439))</f>
        <v/>
      </c>
      <c r="Y439" s="202"/>
      <c r="Z439" s="185"/>
      <c r="AJ439" s="77"/>
      <c r="AK439" s="77"/>
      <c r="AL439" s="77"/>
      <c r="AM439" s="77"/>
      <c r="AN439" s="77"/>
      <c r="AO439" s="137" t="str">
        <f aca="false">IF(A440="","",A440-A439)</f>
        <v/>
      </c>
      <c r="AP439" s="212" t="str">
        <f aca="false">IF(A440="","",CHOOSE(F$3,A440+24,A439))</f>
        <v/>
      </c>
      <c r="AQ439" s="209" t="str">
        <f aca="false">IF(A440="","",AP439-$E$1)</f>
        <v/>
      </c>
      <c r="AR439" s="185" t="n">
        <f aca="false">'ANR OK vs ML7'!AR439</f>
        <v>0.1</v>
      </c>
      <c r="AS439" s="213" t="str">
        <f aca="false">IF(A440="","",1/(1+CHOOSE(F$3,(AR440+($I$3/10000))/2,(AR439+($I$3/10000))/2))^(2*AQ439/365.25))</f>
        <v/>
      </c>
      <c r="AT439" s="137" t="str">
        <f aca="false">IF(A440="","",IF(AND(mthbeg&lt;=A439,mthend&gt;=A439),1,0))</f>
        <v/>
      </c>
      <c r="AU439" s="137" t="str">
        <f aca="false">IF(A440="","",AO439*AT439)</f>
        <v/>
      </c>
      <c r="AW439" s="195" t="str">
        <f aca="false">IF($A440="","",AL439*$E439)</f>
        <v/>
      </c>
      <c r="AX439" s="195" t="str">
        <f aca="false">IF($A440="","",AM439*$E439)</f>
        <v/>
      </c>
      <c r="AY439" s="195" t="str">
        <f aca="false">IF($A440="","",AN439*$E439)</f>
        <v/>
      </c>
      <c r="BA439" s="195" t="str">
        <f aca="false">IF($A440="","",F439*Summary!$Q$9)</f>
        <v/>
      </c>
    </row>
    <row r="440" customFormat="false" ht="12.75" hidden="false" customHeight="false" outlineLevel="0" collapsed="false">
      <c r="A440" s="196" t="str">
        <f aca="false">IF(A439&lt;mthend,EDATE(A439,1),"")</f>
        <v/>
      </c>
      <c r="B440" s="197" t="str">
        <f aca="false">IF(A440&lt;mthend,B439,"")</f>
        <v/>
      </c>
      <c r="D440" s="197" t="str">
        <f aca="false">IF(A441&lt;&gt;"",B440+C440,"")</f>
        <v/>
      </c>
      <c r="E440" s="199" t="str">
        <f aca="false">IF(A441="","",IF(AND(AT440=1,$H$3=1),D440*AO440,IF($H$3=2,D440,"N/A")))</f>
        <v/>
      </c>
      <c r="F440" s="199" t="str">
        <f aca="false">IF(A441="","",E440*AS440)</f>
        <v/>
      </c>
      <c r="G440" s="200" t="str">
        <f aca="false">IF($A441="","",VLOOKUP($A440,Table,MATCH(G$4,Curves,0)))</f>
        <v/>
      </c>
      <c r="H440" s="201" t="str">
        <f aca="false">IF(A441="","",G440)</f>
        <v/>
      </c>
      <c r="J440" s="200" t="str">
        <f aca="false">IF($A441="","",VLOOKUP($A440,Table,MATCH(J$4,Curves,0)))</f>
        <v/>
      </c>
      <c r="K440" s="201" t="str">
        <f aca="false">IF(A441="","",J440)</f>
        <v/>
      </c>
      <c r="L440" s="200" t="str">
        <f aca="false">IF($A441="","",VLOOKUP($A440,Table,MATCH(L$4,Curves,0)))</f>
        <v/>
      </c>
      <c r="M440" s="201" t="str">
        <f aca="false">IF(A441="","",L440)</f>
        <v/>
      </c>
      <c r="O440" s="200" t="str">
        <f aca="false">IF(A441="","",L440+J440+G440)</f>
        <v/>
      </c>
      <c r="P440" s="200" t="str">
        <f aca="false">IF(A441="","",M440+K440+H440)</f>
        <v/>
      </c>
      <c r="R440" s="200" t="str">
        <f aca="false">IF($A441="","",VLOOKUP($A440,Table,MATCH(R$4,Curves,0)))</f>
        <v/>
      </c>
      <c r="S440" s="201" t="str">
        <f aca="false">IF(A441="","",R440)</f>
        <v/>
      </c>
      <c r="T440" s="200" t="str">
        <f aca="false">IF($A441="","",VLOOKUP($A440,Table,MATCH(T$4,Curves,0)))</f>
        <v/>
      </c>
      <c r="U440" s="201" t="str">
        <f aca="false">IF(A441="","",T440)</f>
        <v/>
      </c>
      <c r="V440" s="225" t="str">
        <f aca="false">IF($A441="","",IF(AND(MONTH(A440)&gt;3,MONTH(A440)&lt;11),(T440+R440+G440)*Summary!$T$9/(1-Summary!$T$9),(T440+R440+G440)*Summary!$U$9/(1-Summary!$U$9)))</f>
        <v/>
      </c>
      <c r="W440" s="200" t="str">
        <f aca="false">IF($A441="","",(T440+R440+G440+V440))</f>
        <v/>
      </c>
      <c r="X440" s="200" t="str">
        <f aca="false">IF($A441="","",(U440+S440+H440+V440))</f>
        <v/>
      </c>
      <c r="Y440" s="202"/>
      <c r="Z440" s="185"/>
      <c r="AJ440" s="77"/>
      <c r="AK440" s="77"/>
      <c r="AL440" s="77"/>
      <c r="AM440" s="77"/>
      <c r="AN440" s="77"/>
      <c r="AO440" s="137" t="str">
        <f aca="false">IF(A441="","",A441-A440)</f>
        <v/>
      </c>
      <c r="AP440" s="212" t="str">
        <f aca="false">IF(A441="","",CHOOSE(F$3,A441+24,A440))</f>
        <v/>
      </c>
      <c r="AQ440" s="209" t="str">
        <f aca="false">IF(A441="","",AP440-$E$1)</f>
        <v/>
      </c>
      <c r="AR440" s="185" t="n">
        <f aca="false">'ANR OK vs ML7'!AR440</f>
        <v>0.1</v>
      </c>
      <c r="AS440" s="213" t="str">
        <f aca="false">IF(A441="","",1/(1+CHOOSE(F$3,(AR441+($I$3/10000))/2,(AR440+($I$3/10000))/2))^(2*AQ440/365.25))</f>
        <v/>
      </c>
      <c r="AT440" s="137" t="str">
        <f aca="false">IF(A441="","",IF(AND(mthbeg&lt;=A440,mthend&gt;=A440),1,0))</f>
        <v/>
      </c>
      <c r="AU440" s="137" t="str">
        <f aca="false">IF(A441="","",AO440*AT440)</f>
        <v/>
      </c>
      <c r="AW440" s="195" t="str">
        <f aca="false">IF($A441="","",AL440*$E440)</f>
        <v/>
      </c>
      <c r="AX440" s="195" t="str">
        <f aca="false">IF($A441="","",AM440*$E440)</f>
        <v/>
      </c>
      <c r="AY440" s="195" t="str">
        <f aca="false">IF($A441="","",AN440*$E440)</f>
        <v/>
      </c>
      <c r="BA440" s="195" t="str">
        <f aca="false">IF($A441="","",F440*Summary!$Q$9)</f>
        <v/>
      </c>
    </row>
    <row r="441" customFormat="false" ht="12.75" hidden="false" customHeight="false" outlineLevel="0" collapsed="false">
      <c r="A441" s="196" t="str">
        <f aca="false">IF(A440&lt;mthend,EDATE(A440,1),"")</f>
        <v/>
      </c>
      <c r="B441" s="197" t="str">
        <f aca="false">IF(A441&lt;mthend,B440,"")</f>
        <v/>
      </c>
      <c r="D441" s="197" t="str">
        <f aca="false">IF(A442&lt;&gt;"",B441+C441,"")</f>
        <v/>
      </c>
      <c r="E441" s="199" t="str">
        <f aca="false">IF(A442="","",IF(AND(AT441=1,$H$3=1),D441*AO441,IF($H$3=2,D441,"N/A")))</f>
        <v/>
      </c>
      <c r="F441" s="199" t="str">
        <f aca="false">IF(A442="","",E441*AS441)</f>
        <v/>
      </c>
      <c r="G441" s="200" t="str">
        <f aca="false">IF($A442="","",VLOOKUP($A441,Table,MATCH(G$4,Curves,0)))</f>
        <v/>
      </c>
      <c r="H441" s="201" t="str">
        <f aca="false">IF(A442="","",G441)</f>
        <v/>
      </c>
      <c r="J441" s="200" t="str">
        <f aca="false">IF($A442="","",VLOOKUP($A441,Table,MATCH(J$4,Curves,0)))</f>
        <v/>
      </c>
      <c r="K441" s="201" t="str">
        <f aca="false">IF(A442="","",J441)</f>
        <v/>
      </c>
      <c r="L441" s="200" t="str">
        <f aca="false">IF($A442="","",VLOOKUP($A441,Table,MATCH(L$4,Curves,0)))</f>
        <v/>
      </c>
      <c r="M441" s="201" t="str">
        <f aca="false">IF(A442="","",L441)</f>
        <v/>
      </c>
      <c r="O441" s="200" t="str">
        <f aca="false">IF(A442="","",L441+J441+G441)</f>
        <v/>
      </c>
      <c r="P441" s="200" t="str">
        <f aca="false">IF(A442="","",M441+K441+H441)</f>
        <v/>
      </c>
      <c r="R441" s="200" t="str">
        <f aca="false">IF($A442="","",VLOOKUP($A441,Table,MATCH(R$4,Curves,0)))</f>
        <v/>
      </c>
      <c r="S441" s="201" t="str">
        <f aca="false">IF(A442="","",R441)</f>
        <v/>
      </c>
      <c r="T441" s="200" t="str">
        <f aca="false">IF($A442="","",VLOOKUP($A441,Table,MATCH(T$4,Curves,0)))</f>
        <v/>
      </c>
      <c r="U441" s="201" t="str">
        <f aca="false">IF(A442="","",T441)</f>
        <v/>
      </c>
      <c r="V441" s="225" t="str">
        <f aca="false">IF($A442="","",IF(AND(MONTH(A441)&gt;3,MONTH(A441)&lt;11),(T441+R441+G441)*Summary!$T$9/(1-Summary!$T$9),(T441+R441+G441)*Summary!$U$9/(1-Summary!$U$9)))</f>
        <v/>
      </c>
      <c r="W441" s="200" t="str">
        <f aca="false">IF($A442="","",(T441+R441+G441+V441))</f>
        <v/>
      </c>
      <c r="X441" s="200" t="str">
        <f aca="false">IF($A442="","",(U441+S441+H441+V441))</f>
        <v/>
      </c>
      <c r="Y441" s="202"/>
      <c r="Z441" s="185"/>
      <c r="AJ441" s="77"/>
      <c r="AK441" s="77"/>
      <c r="AL441" s="77"/>
      <c r="AM441" s="77"/>
      <c r="AN441" s="77"/>
      <c r="AO441" s="137" t="str">
        <f aca="false">IF(A442="","",A442-A441)</f>
        <v/>
      </c>
      <c r="AP441" s="212" t="str">
        <f aca="false">IF(A442="","",CHOOSE(F$3,A442+24,A441))</f>
        <v/>
      </c>
      <c r="AQ441" s="209" t="str">
        <f aca="false">IF(A442="","",AP441-$E$1)</f>
        <v/>
      </c>
      <c r="AR441" s="185" t="n">
        <f aca="false">'ANR OK vs ML7'!AR441</f>
        <v>0.1</v>
      </c>
      <c r="AS441" s="213" t="str">
        <f aca="false">IF(A442="","",1/(1+CHOOSE(F$3,(AR442+($I$3/10000))/2,(AR441+($I$3/10000))/2))^(2*AQ441/365.25))</f>
        <v/>
      </c>
      <c r="AT441" s="137" t="str">
        <f aca="false">IF(A442="","",IF(AND(mthbeg&lt;=A441,mthend&gt;=A441),1,0))</f>
        <v/>
      </c>
      <c r="AU441" s="137" t="str">
        <f aca="false">IF(A442="","",AO441*AT441)</f>
        <v/>
      </c>
      <c r="AW441" s="195" t="str">
        <f aca="false">IF($A442="","",AL441*$E441)</f>
        <v/>
      </c>
      <c r="AX441" s="195" t="str">
        <f aca="false">IF($A442="","",AM441*$E441)</f>
        <v/>
      </c>
      <c r="AY441" s="195" t="str">
        <f aca="false">IF($A442="","",AN441*$E441)</f>
        <v/>
      </c>
      <c r="BA441" s="195" t="str">
        <f aca="false">IF($A442="","",F441*Summary!$Q$9)</f>
        <v/>
      </c>
    </row>
    <row r="442" customFormat="false" ht="12.75" hidden="false" customHeight="false" outlineLevel="0" collapsed="false">
      <c r="A442" s="196" t="str">
        <f aca="false">IF(A441&lt;mthend,EDATE(A441,1),"")</f>
        <v/>
      </c>
      <c r="B442" s="197" t="str">
        <f aca="false">IF(A442&lt;mthend,B441,"")</f>
        <v/>
      </c>
      <c r="D442" s="197" t="str">
        <f aca="false">IF(A443&lt;&gt;"",B442+C442,"")</f>
        <v/>
      </c>
      <c r="E442" s="199" t="str">
        <f aca="false">IF(A443="","",IF(AND(AT442=1,$H$3=1),D442*AO442,IF($H$3=2,D442,"N/A")))</f>
        <v/>
      </c>
      <c r="F442" s="199" t="str">
        <f aca="false">IF(A443="","",E442*AS442)</f>
        <v/>
      </c>
      <c r="G442" s="200" t="str">
        <f aca="false">IF($A443="","",VLOOKUP($A442,Table,MATCH(G$4,Curves,0)))</f>
        <v/>
      </c>
      <c r="H442" s="201" t="str">
        <f aca="false">IF(A443="","",G442)</f>
        <v/>
      </c>
      <c r="J442" s="200" t="str">
        <f aca="false">IF($A443="","",VLOOKUP($A442,Table,MATCH(J$4,Curves,0)))</f>
        <v/>
      </c>
      <c r="K442" s="201" t="str">
        <f aca="false">IF(A443="","",J442)</f>
        <v/>
      </c>
      <c r="L442" s="200" t="str">
        <f aca="false">IF($A443="","",VLOOKUP($A442,Table,MATCH(L$4,Curves,0)))</f>
        <v/>
      </c>
      <c r="M442" s="201" t="str">
        <f aca="false">IF(A443="","",L442)</f>
        <v/>
      </c>
      <c r="O442" s="200" t="str">
        <f aca="false">IF(A443="","",L442+J442+G442)</f>
        <v/>
      </c>
      <c r="P442" s="200" t="str">
        <f aca="false">IF(A443="","",M442+K442+H442)</f>
        <v/>
      </c>
      <c r="R442" s="200" t="str">
        <f aca="false">IF($A443="","",VLOOKUP($A442,Table,MATCH(R$4,Curves,0)))</f>
        <v/>
      </c>
      <c r="S442" s="201" t="str">
        <f aca="false">IF(A443="","",R442)</f>
        <v/>
      </c>
      <c r="T442" s="200" t="str">
        <f aca="false">IF($A443="","",VLOOKUP($A442,Table,MATCH(T$4,Curves,0)))</f>
        <v/>
      </c>
      <c r="U442" s="201" t="str">
        <f aca="false">IF(A443="","",T442)</f>
        <v/>
      </c>
      <c r="V442" s="225" t="str">
        <f aca="false">IF($A443="","",IF(AND(MONTH(A442)&gt;3,MONTH(A442)&lt;11),(T442+R442+G442)*Summary!$T$9/(1-Summary!$T$9),(T442+R442+G442)*Summary!$U$9/(1-Summary!$U$9)))</f>
        <v/>
      </c>
      <c r="W442" s="200" t="str">
        <f aca="false">IF($A443="","",(T442+R442+G442+V442))</f>
        <v/>
      </c>
      <c r="X442" s="200" t="str">
        <f aca="false">IF($A443="","",(U442+S442+H442+V442))</f>
        <v/>
      </c>
      <c r="Y442" s="202"/>
      <c r="Z442" s="185"/>
      <c r="AJ442" s="77"/>
      <c r="AK442" s="77"/>
      <c r="AL442" s="77"/>
      <c r="AM442" s="77"/>
      <c r="AN442" s="77"/>
      <c r="AO442" s="137" t="str">
        <f aca="false">IF(A443="","",A443-A442)</f>
        <v/>
      </c>
      <c r="AP442" s="212" t="str">
        <f aca="false">IF(A443="","",CHOOSE(F$3,A443+24,A442))</f>
        <v/>
      </c>
      <c r="AQ442" s="209" t="str">
        <f aca="false">IF(A443="","",AP442-$E$1)</f>
        <v/>
      </c>
      <c r="AR442" s="185" t="n">
        <f aca="false">'ANR OK vs ML7'!AR442</f>
        <v>0.1</v>
      </c>
      <c r="AS442" s="213" t="str">
        <f aca="false">IF(A443="","",1/(1+CHOOSE(F$3,(AR443+($I$3/10000))/2,(AR442+($I$3/10000))/2))^(2*AQ442/365.25))</f>
        <v/>
      </c>
      <c r="AT442" s="137" t="str">
        <f aca="false">IF(A443="","",IF(AND(mthbeg&lt;=A442,mthend&gt;=A442),1,0))</f>
        <v/>
      </c>
      <c r="AU442" s="137" t="str">
        <f aca="false">IF(A443="","",AO442*AT442)</f>
        <v/>
      </c>
      <c r="AW442" s="195" t="str">
        <f aca="false">IF($A443="","",AL442*$E442)</f>
        <v/>
      </c>
      <c r="AX442" s="195" t="str">
        <f aca="false">IF($A443="","",AM442*$E442)</f>
        <v/>
      </c>
      <c r="AY442" s="195" t="str">
        <f aca="false">IF($A443="","",AN442*$E442)</f>
        <v/>
      </c>
      <c r="BA442" s="195" t="str">
        <f aca="false">IF($A443="","",F442*Summary!$Q$9)</f>
        <v/>
      </c>
    </row>
    <row r="443" customFormat="false" ht="12.75" hidden="false" customHeight="false" outlineLevel="0" collapsed="false">
      <c r="A443" s="196" t="str">
        <f aca="false">IF(A442&lt;mthend,EDATE(A442,1),"")</f>
        <v/>
      </c>
      <c r="B443" s="197" t="str">
        <f aca="false">IF(A443&lt;mthend,B442,"")</f>
        <v/>
      </c>
      <c r="D443" s="197" t="str">
        <f aca="false">IF(A444&lt;&gt;"",B443+C443,"")</f>
        <v/>
      </c>
      <c r="E443" s="199" t="str">
        <f aca="false">IF(A444="","",IF(AND(AT443=1,$H$3=1),D443*AO443,IF($H$3=2,D443,"N/A")))</f>
        <v/>
      </c>
      <c r="F443" s="199" t="str">
        <f aca="false">IF(A444="","",E443*AS443)</f>
        <v/>
      </c>
      <c r="G443" s="200" t="str">
        <f aca="false">IF($A444="","",VLOOKUP($A443,Table,MATCH(G$4,Curves,0)))</f>
        <v/>
      </c>
      <c r="H443" s="201" t="str">
        <f aca="false">IF(A444="","",G443)</f>
        <v/>
      </c>
      <c r="J443" s="200" t="str">
        <f aca="false">IF($A444="","",VLOOKUP($A443,Table,MATCH(J$4,Curves,0)))</f>
        <v/>
      </c>
      <c r="K443" s="201" t="str">
        <f aca="false">IF(A444="","",J443)</f>
        <v/>
      </c>
      <c r="L443" s="200" t="str">
        <f aca="false">IF($A444="","",VLOOKUP($A443,Table,MATCH(L$4,Curves,0)))</f>
        <v/>
      </c>
      <c r="M443" s="201" t="str">
        <f aca="false">IF(A444="","",L443)</f>
        <v/>
      </c>
      <c r="O443" s="200" t="str">
        <f aca="false">IF(A444="","",L443+J443+G443)</f>
        <v/>
      </c>
      <c r="P443" s="200" t="str">
        <f aca="false">IF(A444="","",M443+K443+H443)</f>
        <v/>
      </c>
      <c r="R443" s="200" t="str">
        <f aca="false">IF($A444="","",VLOOKUP($A443,Table,MATCH(R$4,Curves,0)))</f>
        <v/>
      </c>
      <c r="S443" s="201" t="str">
        <f aca="false">IF(A444="","",R443)</f>
        <v/>
      </c>
      <c r="T443" s="200" t="str">
        <f aca="false">IF($A444="","",VLOOKUP($A443,Table,MATCH(T$4,Curves,0)))</f>
        <v/>
      </c>
      <c r="U443" s="201" t="str">
        <f aca="false">IF(A444="","",T443)</f>
        <v/>
      </c>
      <c r="V443" s="225" t="str">
        <f aca="false">IF($A444="","",IF(AND(MONTH(A443)&gt;3,MONTH(A443)&lt;11),(T443+R443+G443)*Summary!$T$9/(1-Summary!$T$9),(T443+R443+G443)*Summary!$U$9/(1-Summary!$U$9)))</f>
        <v/>
      </c>
      <c r="W443" s="200" t="str">
        <f aca="false">IF($A444="","",(T443+R443+G443+V443))</f>
        <v/>
      </c>
      <c r="X443" s="200" t="str">
        <f aca="false">IF($A444="","",(U443+S443+H443+V443))</f>
        <v/>
      </c>
      <c r="Y443" s="202"/>
      <c r="Z443" s="185"/>
      <c r="AJ443" s="77"/>
      <c r="AK443" s="77"/>
      <c r="AL443" s="77"/>
      <c r="AM443" s="77"/>
      <c r="AN443" s="77"/>
      <c r="AO443" s="137" t="str">
        <f aca="false">IF(A444="","",A444-A443)</f>
        <v/>
      </c>
      <c r="AP443" s="212" t="str">
        <f aca="false">IF(A444="","",CHOOSE(F$3,A444+24,A443))</f>
        <v/>
      </c>
      <c r="AQ443" s="209" t="str">
        <f aca="false">IF(A444="","",AP443-$E$1)</f>
        <v/>
      </c>
      <c r="AR443" s="185" t="n">
        <f aca="false">'ANR OK vs ML7'!AR443</f>
        <v>0.1</v>
      </c>
      <c r="AS443" s="213" t="str">
        <f aca="false">IF(A444="","",1/(1+CHOOSE(F$3,(AR444+($I$3/10000))/2,(AR443+($I$3/10000))/2))^(2*AQ443/365.25))</f>
        <v/>
      </c>
      <c r="AT443" s="137" t="str">
        <f aca="false">IF(A444="","",IF(AND(mthbeg&lt;=A443,mthend&gt;=A443),1,0))</f>
        <v/>
      </c>
      <c r="AU443" s="137" t="str">
        <f aca="false">IF(A444="","",AO443*AT443)</f>
        <v/>
      </c>
      <c r="AW443" s="195" t="str">
        <f aca="false">IF($A444="","",AL443*$E443)</f>
        <v/>
      </c>
      <c r="AX443" s="195" t="str">
        <f aca="false">IF($A444="","",AM443*$E443)</f>
        <v/>
      </c>
      <c r="AY443" s="195" t="str">
        <f aca="false">IF($A444="","",AN443*$E443)</f>
        <v/>
      </c>
      <c r="BA443" s="195" t="str">
        <f aca="false">IF($A444="","",F443*Summary!$Q$9)</f>
        <v/>
      </c>
    </row>
    <row r="444" customFormat="false" ht="12.75" hidden="false" customHeight="false" outlineLevel="0" collapsed="false">
      <c r="A444" s="196" t="str">
        <f aca="false">IF(A443&lt;mthend,EDATE(A443,1),"")</f>
        <v/>
      </c>
      <c r="B444" s="197" t="str">
        <f aca="false">IF(A444&lt;mthend,B443,"")</f>
        <v/>
      </c>
      <c r="D444" s="197" t="str">
        <f aca="false">IF(A445&lt;&gt;"",B444+C444,"")</f>
        <v/>
      </c>
      <c r="E444" s="199" t="str">
        <f aca="false">IF(A445="","",IF(AND(AT444=1,$H$3=1),D444*AO444,IF($H$3=2,D444,"N/A")))</f>
        <v/>
      </c>
      <c r="F444" s="199" t="str">
        <f aca="false">IF(A445="","",E444*AS444)</f>
        <v/>
      </c>
      <c r="G444" s="200" t="str">
        <f aca="false">IF($A445="","",VLOOKUP($A444,Table,MATCH(G$4,Curves,0)))</f>
        <v/>
      </c>
      <c r="H444" s="201" t="str">
        <f aca="false">IF(A445="","",G444)</f>
        <v/>
      </c>
      <c r="J444" s="200" t="str">
        <f aca="false">IF($A445="","",VLOOKUP($A444,Table,MATCH(J$4,Curves,0)))</f>
        <v/>
      </c>
      <c r="K444" s="201" t="str">
        <f aca="false">IF(A445="","",J444)</f>
        <v/>
      </c>
      <c r="L444" s="200" t="str">
        <f aca="false">IF($A445="","",VLOOKUP($A444,Table,MATCH(L$4,Curves,0)))</f>
        <v/>
      </c>
      <c r="M444" s="201" t="str">
        <f aca="false">IF(A445="","",L444)</f>
        <v/>
      </c>
      <c r="O444" s="200" t="str">
        <f aca="false">IF(A445="","",L444+J444+G444)</f>
        <v/>
      </c>
      <c r="P444" s="200" t="str">
        <f aca="false">IF(A445="","",M444+K444+H444)</f>
        <v/>
      </c>
      <c r="R444" s="200" t="str">
        <f aca="false">IF($A445="","",VLOOKUP($A444,Table,MATCH(R$4,Curves,0)))</f>
        <v/>
      </c>
      <c r="S444" s="201" t="str">
        <f aca="false">IF(A445="","",R444)</f>
        <v/>
      </c>
      <c r="T444" s="200" t="str">
        <f aca="false">IF($A445="","",VLOOKUP($A444,Table,MATCH(T$4,Curves,0)))</f>
        <v/>
      </c>
      <c r="U444" s="201" t="str">
        <f aca="false">IF(A445="","",T444)</f>
        <v/>
      </c>
      <c r="V444" s="225" t="str">
        <f aca="false">IF($A445="","",IF(AND(MONTH(A444)&gt;3,MONTH(A444)&lt;11),(T444+R444+G444)*Summary!$T$9/(1-Summary!$T$9),(T444+R444+G444)*Summary!$U$9/(1-Summary!$U$9)))</f>
        <v/>
      </c>
      <c r="W444" s="200" t="str">
        <f aca="false">IF($A445="","",(T444+R444+G444+V444))</f>
        <v/>
      </c>
      <c r="X444" s="200" t="str">
        <f aca="false">IF($A445="","",(U444+S444+H444+V444))</f>
        <v/>
      </c>
      <c r="Y444" s="202"/>
      <c r="Z444" s="185"/>
      <c r="AJ444" s="77"/>
      <c r="AK444" s="77"/>
      <c r="AL444" s="77"/>
      <c r="AM444" s="77"/>
      <c r="AN444" s="77"/>
      <c r="AO444" s="137" t="str">
        <f aca="false">IF(A445="","",A445-A444)</f>
        <v/>
      </c>
      <c r="AP444" s="212" t="str">
        <f aca="false">IF(A445="","",CHOOSE(F$3,A445+24,A444))</f>
        <v/>
      </c>
      <c r="AQ444" s="209" t="str">
        <f aca="false">IF(A445="","",AP444-$E$1)</f>
        <v/>
      </c>
      <c r="AR444" s="185" t="n">
        <f aca="false">'ANR OK vs ML7'!AR444</f>
        <v>0.1</v>
      </c>
      <c r="AS444" s="213" t="str">
        <f aca="false">IF(A445="","",1/(1+CHOOSE(F$3,(AR445+($I$3/10000))/2,(AR444+($I$3/10000))/2))^(2*AQ444/365.25))</f>
        <v/>
      </c>
      <c r="AT444" s="137" t="str">
        <f aca="false">IF(A445="","",IF(AND(mthbeg&lt;=A444,mthend&gt;=A444),1,0))</f>
        <v/>
      </c>
      <c r="AU444" s="137" t="str">
        <f aca="false">IF(A445="","",AO444*AT444)</f>
        <v/>
      </c>
      <c r="AW444" s="195" t="str">
        <f aca="false">IF($A445="","",AL444*$E444)</f>
        <v/>
      </c>
      <c r="AX444" s="195" t="str">
        <f aca="false">IF($A445="","",AM444*$E444)</f>
        <v/>
      </c>
      <c r="AY444" s="195" t="str">
        <f aca="false">IF($A445="","",AN444*$E444)</f>
        <v/>
      </c>
      <c r="BA444" s="195" t="str">
        <f aca="false">IF($A445="","",F444*Summary!$Q$9)</f>
        <v/>
      </c>
    </row>
    <row r="445" customFormat="false" ht="12.75" hidden="false" customHeight="false" outlineLevel="0" collapsed="false">
      <c r="A445" s="196" t="str">
        <f aca="false">IF(A444&lt;mthend,EDATE(A444,1),"")</f>
        <v/>
      </c>
      <c r="B445" s="197" t="str">
        <f aca="false">IF(A445&lt;mthend,B444,"")</f>
        <v/>
      </c>
      <c r="D445" s="197" t="str">
        <f aca="false">IF(A446&lt;&gt;"",B445+C445,"")</f>
        <v/>
      </c>
      <c r="E445" s="199" t="str">
        <f aca="false">IF(A446="","",IF(AND(AT445=1,$H$3=1),D445*AO445,IF($H$3=2,D445,"N/A")))</f>
        <v/>
      </c>
      <c r="F445" s="199" t="str">
        <f aca="false">IF(A446="","",E445*AS445)</f>
        <v/>
      </c>
      <c r="G445" s="200" t="str">
        <f aca="false">IF($A446="","",VLOOKUP($A445,Table,MATCH(G$4,Curves,0)))</f>
        <v/>
      </c>
      <c r="H445" s="201" t="str">
        <f aca="false">IF(A446="","",G445)</f>
        <v/>
      </c>
      <c r="J445" s="200" t="str">
        <f aca="false">IF($A446="","",VLOOKUP($A445,Table,MATCH(J$4,Curves,0)))</f>
        <v/>
      </c>
      <c r="K445" s="201" t="str">
        <f aca="false">IF(A446="","",J445)</f>
        <v/>
      </c>
      <c r="L445" s="200" t="str">
        <f aca="false">IF($A446="","",VLOOKUP($A445,Table,MATCH(L$4,Curves,0)))</f>
        <v/>
      </c>
      <c r="M445" s="201" t="str">
        <f aca="false">IF(A446="","",L445)</f>
        <v/>
      </c>
      <c r="O445" s="200" t="str">
        <f aca="false">IF(A446="","",L445+J445+G445)</f>
        <v/>
      </c>
      <c r="P445" s="200" t="str">
        <f aca="false">IF(A446="","",M445+K445+H445)</f>
        <v/>
      </c>
      <c r="R445" s="200" t="str">
        <f aca="false">IF($A446="","",VLOOKUP($A445,Table,MATCH(R$4,Curves,0)))</f>
        <v/>
      </c>
      <c r="S445" s="201" t="str">
        <f aca="false">IF(A446="","",R445)</f>
        <v/>
      </c>
      <c r="T445" s="200" t="str">
        <f aca="false">IF($A446="","",VLOOKUP($A445,Table,MATCH(T$4,Curves,0)))</f>
        <v/>
      </c>
      <c r="U445" s="201" t="str">
        <f aca="false">IF(A446="","",T445)</f>
        <v/>
      </c>
      <c r="V445" s="225" t="str">
        <f aca="false">IF($A446="","",IF(AND(MONTH(A445)&gt;3,MONTH(A445)&lt;11),(T445+R445+G445)*Summary!$T$9/(1-Summary!$T$9),(T445+R445+G445)*Summary!$U$9/(1-Summary!$U$9)))</f>
        <v/>
      </c>
      <c r="W445" s="200" t="str">
        <f aca="false">IF($A446="","",(T445+R445+G445+V445))</f>
        <v/>
      </c>
      <c r="X445" s="200" t="str">
        <f aca="false">IF($A446="","",(U445+S445+H445+V445))</f>
        <v/>
      </c>
      <c r="Y445" s="202"/>
      <c r="Z445" s="185"/>
      <c r="AJ445" s="77"/>
      <c r="AK445" s="77"/>
      <c r="AL445" s="77"/>
      <c r="AM445" s="77"/>
      <c r="AN445" s="77"/>
      <c r="AO445" s="137" t="str">
        <f aca="false">IF(A446="","",A446-A445)</f>
        <v/>
      </c>
      <c r="AP445" s="212" t="str">
        <f aca="false">IF(A446="","",CHOOSE(F$3,A446+24,A445))</f>
        <v/>
      </c>
      <c r="AQ445" s="209" t="str">
        <f aca="false">IF(A446="","",AP445-$E$1)</f>
        <v/>
      </c>
      <c r="AR445" s="185" t="n">
        <f aca="false">'ANR OK vs ML7'!AR445</f>
        <v>0.1</v>
      </c>
      <c r="AS445" s="213" t="str">
        <f aca="false">IF(A446="","",1/(1+CHOOSE(F$3,(AR446+($I$3/10000))/2,(AR445+($I$3/10000))/2))^(2*AQ445/365.25))</f>
        <v/>
      </c>
      <c r="AT445" s="137" t="str">
        <f aca="false">IF(A446="","",IF(AND(mthbeg&lt;=A445,mthend&gt;=A445),1,0))</f>
        <v/>
      </c>
      <c r="AU445" s="137" t="str">
        <f aca="false">IF(A446="","",AO445*AT445)</f>
        <v/>
      </c>
      <c r="AW445" s="195" t="str">
        <f aca="false">IF($A446="","",AL445*$E445)</f>
        <v/>
      </c>
      <c r="AX445" s="195" t="str">
        <f aca="false">IF($A446="","",AM445*$E445)</f>
        <v/>
      </c>
      <c r="AY445" s="195" t="str">
        <f aca="false">IF($A446="","",AN445*$E445)</f>
        <v/>
      </c>
      <c r="BA445" s="195" t="str">
        <f aca="false">IF($A446="","",F445*Summary!$Q$9)</f>
        <v/>
      </c>
    </row>
    <row r="446" customFormat="false" ht="12.75" hidden="false" customHeight="false" outlineLevel="0" collapsed="false">
      <c r="A446" s="196" t="str">
        <f aca="false">IF(A445&lt;mthend,EDATE(A445,1),"")</f>
        <v/>
      </c>
      <c r="B446" s="197" t="str">
        <f aca="false">IF(A446&lt;mthend,B445,"")</f>
        <v/>
      </c>
      <c r="D446" s="197" t="str">
        <f aca="false">IF(A447&lt;&gt;"",B446+C446,"")</f>
        <v/>
      </c>
      <c r="E446" s="199" t="str">
        <f aca="false">IF(A447="","",IF(AND(AT446=1,$H$3=1),D446*AO446,IF($H$3=2,D446,"N/A")))</f>
        <v/>
      </c>
      <c r="F446" s="199" t="str">
        <f aca="false">IF(A447="","",E446*AS446)</f>
        <v/>
      </c>
      <c r="G446" s="200" t="str">
        <f aca="false">IF($A447="","",VLOOKUP($A446,Table,MATCH(G$4,Curves,0)))</f>
        <v/>
      </c>
      <c r="H446" s="201" t="str">
        <f aca="false">IF(A447="","",G446)</f>
        <v/>
      </c>
      <c r="J446" s="200" t="str">
        <f aca="false">IF($A447="","",VLOOKUP($A446,Table,MATCH(J$4,Curves,0)))</f>
        <v/>
      </c>
      <c r="K446" s="201" t="str">
        <f aca="false">IF(A447="","",J446)</f>
        <v/>
      </c>
      <c r="L446" s="200" t="str">
        <f aca="false">IF($A447="","",VLOOKUP($A446,Table,MATCH(L$4,Curves,0)))</f>
        <v/>
      </c>
      <c r="M446" s="201" t="str">
        <f aca="false">IF(A447="","",L446)</f>
        <v/>
      </c>
      <c r="O446" s="200" t="str">
        <f aca="false">IF(A447="","",L446+J446+G446)</f>
        <v/>
      </c>
      <c r="P446" s="200" t="str">
        <f aca="false">IF(A447="","",M446+K446+H446)</f>
        <v/>
      </c>
      <c r="R446" s="200" t="str">
        <f aca="false">IF($A447="","",VLOOKUP($A446,Table,MATCH(R$4,Curves,0)))</f>
        <v/>
      </c>
      <c r="S446" s="201" t="str">
        <f aca="false">IF(A447="","",R446)</f>
        <v/>
      </c>
      <c r="T446" s="200" t="str">
        <f aca="false">IF($A447="","",VLOOKUP($A446,Table,MATCH(T$4,Curves,0)))</f>
        <v/>
      </c>
      <c r="U446" s="201" t="str">
        <f aca="false">IF(A447="","",T446)</f>
        <v/>
      </c>
      <c r="V446" s="225" t="str">
        <f aca="false">IF($A447="","",IF(AND(MONTH(A446)&gt;3,MONTH(A446)&lt;11),(T446+R446+G446)*Summary!$T$9/(1-Summary!$T$9),(T446+R446+G446)*Summary!$U$9/(1-Summary!$U$9)))</f>
        <v/>
      </c>
      <c r="W446" s="200" t="str">
        <f aca="false">IF($A447="","",(T446+R446+G446+V446))</f>
        <v/>
      </c>
      <c r="X446" s="200" t="str">
        <f aca="false">IF($A447="","",(U446+S446+H446+V446))</f>
        <v/>
      </c>
      <c r="Y446" s="202"/>
      <c r="Z446" s="185"/>
      <c r="AJ446" s="77"/>
      <c r="AK446" s="77"/>
      <c r="AL446" s="77"/>
      <c r="AM446" s="77"/>
      <c r="AN446" s="77"/>
      <c r="AO446" s="137" t="str">
        <f aca="false">IF(A447="","",A447-A446)</f>
        <v/>
      </c>
      <c r="AP446" s="212" t="str">
        <f aca="false">IF(A447="","",CHOOSE(F$3,A447+24,A446))</f>
        <v/>
      </c>
      <c r="AQ446" s="209" t="str">
        <f aca="false">IF(A447="","",AP446-$E$1)</f>
        <v/>
      </c>
      <c r="AR446" s="185" t="n">
        <f aca="false">'ANR OK vs ML7'!AR446</f>
        <v>0.1</v>
      </c>
      <c r="AS446" s="213" t="str">
        <f aca="false">IF(A447="","",1/(1+CHOOSE(F$3,(AR447+($I$3/10000))/2,(AR446+($I$3/10000))/2))^(2*AQ446/365.25))</f>
        <v/>
      </c>
      <c r="AT446" s="137" t="str">
        <f aca="false">IF(A447="","",IF(AND(mthbeg&lt;=A446,mthend&gt;=A446),1,0))</f>
        <v/>
      </c>
      <c r="AU446" s="137" t="str">
        <f aca="false">IF(A447="","",AO446*AT446)</f>
        <v/>
      </c>
      <c r="AW446" s="195" t="str">
        <f aca="false">IF($A447="","",AL446*$E446)</f>
        <v/>
      </c>
      <c r="AX446" s="195" t="str">
        <f aca="false">IF($A447="","",AM446*$E446)</f>
        <v/>
      </c>
      <c r="AY446" s="195" t="str">
        <f aca="false">IF($A447="","",AN446*$E446)</f>
        <v/>
      </c>
      <c r="BA446" s="195" t="str">
        <f aca="false">IF($A447="","",F446*Summary!$Q$9)</f>
        <v/>
      </c>
    </row>
    <row r="447" customFormat="false" ht="12.75" hidden="false" customHeight="false" outlineLevel="0" collapsed="false">
      <c r="A447" s="196" t="str">
        <f aca="false">IF(A446&lt;mthend,EDATE(A446,1),"")</f>
        <v/>
      </c>
      <c r="B447" s="197" t="str">
        <f aca="false">IF(A447&lt;mthend,B446,"")</f>
        <v/>
      </c>
      <c r="D447" s="197" t="str">
        <f aca="false">IF(A448&lt;&gt;"",B447+C447,"")</f>
        <v/>
      </c>
      <c r="E447" s="199" t="str">
        <f aca="false">IF(A448="","",IF(AND(AT447=1,$H$3=1),D447*AO447,IF($H$3=2,D447,"N/A")))</f>
        <v/>
      </c>
      <c r="F447" s="199" t="str">
        <f aca="false">IF(A448="","",E447*AS447)</f>
        <v/>
      </c>
      <c r="G447" s="200" t="str">
        <f aca="false">IF($A448="","",VLOOKUP($A447,Table,MATCH(G$4,Curves,0)))</f>
        <v/>
      </c>
      <c r="H447" s="201" t="str">
        <f aca="false">IF(A448="","",G447)</f>
        <v/>
      </c>
      <c r="J447" s="200" t="str">
        <f aca="false">IF($A448="","",VLOOKUP($A447,Table,MATCH(J$4,Curves,0)))</f>
        <v/>
      </c>
      <c r="K447" s="201" t="str">
        <f aca="false">IF(A448="","",J447)</f>
        <v/>
      </c>
      <c r="L447" s="200" t="str">
        <f aca="false">IF($A448="","",VLOOKUP($A447,Table,MATCH(L$4,Curves,0)))</f>
        <v/>
      </c>
      <c r="M447" s="201" t="str">
        <f aca="false">IF(A448="","",L447)</f>
        <v/>
      </c>
      <c r="O447" s="200" t="str">
        <f aca="false">IF(A448="","",L447+J447+G447)</f>
        <v/>
      </c>
      <c r="P447" s="200" t="str">
        <f aca="false">IF(A448="","",M447+K447+H447)</f>
        <v/>
      </c>
      <c r="R447" s="200" t="str">
        <f aca="false">IF($A448="","",VLOOKUP($A447,Table,MATCH(R$4,Curves,0)))</f>
        <v/>
      </c>
      <c r="S447" s="201" t="str">
        <f aca="false">IF(A448="","",R447)</f>
        <v/>
      </c>
      <c r="T447" s="200" t="str">
        <f aca="false">IF($A448="","",VLOOKUP($A447,Table,MATCH(T$4,Curves,0)))</f>
        <v/>
      </c>
      <c r="U447" s="201" t="str">
        <f aca="false">IF(A448="","",T447)</f>
        <v/>
      </c>
      <c r="V447" s="225" t="str">
        <f aca="false">IF($A448="","",IF(AND(MONTH(A447)&gt;3,MONTH(A447)&lt;11),(T447+R447+G447)*Summary!$T$9/(1-Summary!$T$9),(T447+R447+G447)*Summary!$U$9/(1-Summary!$U$9)))</f>
        <v/>
      </c>
      <c r="W447" s="200" t="str">
        <f aca="false">IF($A448="","",(T447+R447+G447+V447))</f>
        <v/>
      </c>
      <c r="X447" s="200" t="str">
        <f aca="false">IF($A448="","",(U447+S447+H447+V447))</f>
        <v/>
      </c>
      <c r="Y447" s="202"/>
      <c r="Z447" s="185"/>
      <c r="AJ447" s="77"/>
      <c r="AK447" s="77"/>
      <c r="AL447" s="77"/>
      <c r="AM447" s="77"/>
      <c r="AN447" s="77"/>
      <c r="AO447" s="137" t="str">
        <f aca="false">IF(A448="","",A448-A447)</f>
        <v/>
      </c>
      <c r="AP447" s="212" t="str">
        <f aca="false">IF(A448="","",CHOOSE(F$3,A448+24,A447))</f>
        <v/>
      </c>
      <c r="AQ447" s="209" t="str">
        <f aca="false">IF(A448="","",AP447-$E$1)</f>
        <v/>
      </c>
      <c r="AR447" s="185" t="n">
        <f aca="false">'ANR OK vs ML7'!AR447</f>
        <v>0.1</v>
      </c>
      <c r="AS447" s="213" t="str">
        <f aca="false">IF(A448="","",1/(1+CHOOSE(F$3,(AR448+($I$3/10000))/2,(AR447+($I$3/10000))/2))^(2*AQ447/365.25))</f>
        <v/>
      </c>
      <c r="AT447" s="137" t="str">
        <f aca="false">IF(A448="","",IF(AND(mthbeg&lt;=A447,mthend&gt;=A447),1,0))</f>
        <v/>
      </c>
      <c r="AU447" s="137" t="str">
        <f aca="false">IF(A448="","",AO447*AT447)</f>
        <v/>
      </c>
      <c r="AW447" s="195" t="str">
        <f aca="false">IF($A448="","",AL447*$E447)</f>
        <v/>
      </c>
      <c r="AX447" s="195" t="str">
        <f aca="false">IF($A448="","",AM447*$E447)</f>
        <v/>
      </c>
      <c r="AY447" s="195" t="str">
        <f aca="false">IF($A448="","",AN447*$E447)</f>
        <v/>
      </c>
      <c r="BA447" s="195" t="str">
        <f aca="false">IF($A448="","",F447*Summary!$Q$9)</f>
        <v/>
      </c>
    </row>
    <row r="448" customFormat="false" ht="12.75" hidden="false" customHeight="false" outlineLevel="0" collapsed="false">
      <c r="A448" s="196" t="str">
        <f aca="false">IF(A447&lt;mthend,EDATE(A447,1),"")</f>
        <v/>
      </c>
      <c r="B448" s="197" t="str">
        <f aca="false">IF(A448&lt;mthend,B447,"")</f>
        <v/>
      </c>
      <c r="D448" s="197" t="str">
        <f aca="false">IF(A449&lt;&gt;"",B448+C448,"")</f>
        <v/>
      </c>
      <c r="E448" s="199" t="str">
        <f aca="false">IF(A449="","",IF(AND(AT448=1,$H$3=1),D448*AO448,IF($H$3=2,D448,"N/A")))</f>
        <v/>
      </c>
      <c r="F448" s="199" t="str">
        <f aca="false">IF(A449="","",E448*AS448)</f>
        <v/>
      </c>
      <c r="G448" s="200" t="str">
        <f aca="false">IF($A449="","",VLOOKUP($A448,Table,MATCH(G$4,Curves,0)))</f>
        <v/>
      </c>
      <c r="H448" s="201" t="str">
        <f aca="false">IF(A449="","",G448)</f>
        <v/>
      </c>
      <c r="J448" s="200" t="str">
        <f aca="false">IF($A449="","",VLOOKUP($A448,Table,MATCH(J$4,Curves,0)))</f>
        <v/>
      </c>
      <c r="K448" s="201" t="str">
        <f aca="false">IF(A449="","",J448)</f>
        <v/>
      </c>
      <c r="L448" s="200" t="str">
        <f aca="false">IF($A449="","",VLOOKUP($A448,Table,MATCH(L$4,Curves,0)))</f>
        <v/>
      </c>
      <c r="M448" s="201" t="str">
        <f aca="false">IF(A449="","",L448)</f>
        <v/>
      </c>
      <c r="O448" s="200" t="str">
        <f aca="false">IF(A449="","",L448+J448+G448)</f>
        <v/>
      </c>
      <c r="P448" s="200" t="str">
        <f aca="false">IF(A449="","",M448+K448+H448)</f>
        <v/>
      </c>
      <c r="R448" s="200" t="str">
        <f aca="false">IF($A449="","",VLOOKUP($A448,Table,MATCH(R$4,Curves,0)))</f>
        <v/>
      </c>
      <c r="S448" s="201" t="str">
        <f aca="false">IF(A449="","",R448)</f>
        <v/>
      </c>
      <c r="T448" s="200" t="str">
        <f aca="false">IF($A449="","",VLOOKUP($A448,Table,MATCH(T$4,Curves,0)))</f>
        <v/>
      </c>
      <c r="U448" s="201" t="str">
        <f aca="false">IF(A449="","",T448)</f>
        <v/>
      </c>
      <c r="V448" s="225" t="str">
        <f aca="false">IF($A449="","",IF(AND(MONTH(A448)&gt;3,MONTH(A448)&lt;11),(T448+R448+G448)*Summary!$T$9/(1-Summary!$T$9),(T448+R448+G448)*Summary!$U$9/(1-Summary!$U$9)))</f>
        <v/>
      </c>
      <c r="W448" s="200" t="str">
        <f aca="false">IF($A449="","",(T448+R448+G448+V448))</f>
        <v/>
      </c>
      <c r="X448" s="200" t="str">
        <f aca="false">IF($A449="","",(U448+S448+H448+V448))</f>
        <v/>
      </c>
      <c r="Y448" s="202"/>
      <c r="Z448" s="185"/>
      <c r="AJ448" s="77"/>
      <c r="AK448" s="77"/>
      <c r="AL448" s="77"/>
      <c r="AM448" s="77"/>
      <c r="AN448" s="77"/>
      <c r="AO448" s="137" t="str">
        <f aca="false">IF(A449="","",A449-A448)</f>
        <v/>
      </c>
      <c r="AP448" s="212" t="str">
        <f aca="false">IF(A449="","",CHOOSE(F$3,A449+24,A448))</f>
        <v/>
      </c>
      <c r="AQ448" s="209" t="str">
        <f aca="false">IF(A449="","",AP448-$E$1)</f>
        <v/>
      </c>
      <c r="AR448" s="185" t="n">
        <f aca="false">'ANR OK vs ML7'!AR448</f>
        <v>0.1</v>
      </c>
      <c r="AS448" s="213" t="str">
        <f aca="false">IF(A449="","",1/(1+CHOOSE(F$3,(AR449+($I$3/10000))/2,(AR448+($I$3/10000))/2))^(2*AQ448/365.25))</f>
        <v/>
      </c>
      <c r="AT448" s="137" t="str">
        <f aca="false">IF(A449="","",IF(AND(mthbeg&lt;=A448,mthend&gt;=A448),1,0))</f>
        <v/>
      </c>
      <c r="AU448" s="137" t="str">
        <f aca="false">IF(A449="","",AO448*AT448)</f>
        <v/>
      </c>
      <c r="AW448" s="195" t="str">
        <f aca="false">IF($A449="","",AL448*$E448)</f>
        <v/>
      </c>
      <c r="AX448" s="195" t="str">
        <f aca="false">IF($A449="","",AM448*$E448)</f>
        <v/>
      </c>
      <c r="AY448" s="195" t="str">
        <f aca="false">IF($A449="","",AN448*$E448)</f>
        <v/>
      </c>
      <c r="BA448" s="195" t="str">
        <f aca="false">IF($A449="","",F448*Summary!$Q$9)</f>
        <v/>
      </c>
    </row>
    <row r="449" customFormat="false" ht="12.75" hidden="false" customHeight="false" outlineLevel="0" collapsed="false">
      <c r="A449" s="196" t="str">
        <f aca="false">IF(A448&lt;mthend,EDATE(A448,1),"")</f>
        <v/>
      </c>
      <c r="B449" s="197" t="str">
        <f aca="false">IF(A449&lt;mthend,B448,"")</f>
        <v/>
      </c>
      <c r="D449" s="197" t="str">
        <f aca="false">IF(A450&lt;&gt;"",B449+C449,"")</f>
        <v/>
      </c>
      <c r="E449" s="199" t="str">
        <f aca="false">IF(A450="","",IF(AND(AT449=1,$H$3=1),D449*AO449,IF($H$3=2,D449,"N/A")))</f>
        <v/>
      </c>
      <c r="F449" s="199" t="str">
        <f aca="false">IF(A450="","",E449*AS449)</f>
        <v/>
      </c>
      <c r="G449" s="200" t="str">
        <f aca="false">IF($A450="","",VLOOKUP($A449,Table,MATCH(G$4,Curves,0)))</f>
        <v/>
      </c>
      <c r="H449" s="201" t="str">
        <f aca="false">IF(A450="","",G449)</f>
        <v/>
      </c>
      <c r="J449" s="200" t="str">
        <f aca="false">IF($A450="","",VLOOKUP($A449,Table,MATCH(J$4,Curves,0)))</f>
        <v/>
      </c>
      <c r="K449" s="201" t="str">
        <f aca="false">IF(A450="","",J449)</f>
        <v/>
      </c>
      <c r="L449" s="200" t="str">
        <f aca="false">IF($A450="","",VLOOKUP($A449,Table,MATCH(L$4,Curves,0)))</f>
        <v/>
      </c>
      <c r="M449" s="201" t="str">
        <f aca="false">IF(A450="","",L449)</f>
        <v/>
      </c>
      <c r="O449" s="200" t="str">
        <f aca="false">IF(A450="","",L449+J449+G449)</f>
        <v/>
      </c>
      <c r="P449" s="200" t="str">
        <f aca="false">IF(A450="","",M449+K449+H449)</f>
        <v/>
      </c>
      <c r="R449" s="200" t="str">
        <f aca="false">IF($A450="","",VLOOKUP($A449,Table,MATCH(R$4,Curves,0)))</f>
        <v/>
      </c>
      <c r="S449" s="201" t="str">
        <f aca="false">IF(A450="","",R449)</f>
        <v/>
      </c>
      <c r="T449" s="200" t="str">
        <f aca="false">IF($A450="","",VLOOKUP($A449,Table,MATCH(T$4,Curves,0)))</f>
        <v/>
      </c>
      <c r="U449" s="201" t="str">
        <f aca="false">IF(A450="","",T449)</f>
        <v/>
      </c>
      <c r="V449" s="225" t="str">
        <f aca="false">IF($A450="","",IF(AND(MONTH(A449)&gt;3,MONTH(A449)&lt;11),(T449+R449+G449)*Summary!$T$9/(1-Summary!$T$9),(T449+R449+G449)*Summary!$U$9/(1-Summary!$U$9)))</f>
        <v/>
      </c>
      <c r="W449" s="200" t="str">
        <f aca="false">IF($A450="","",(T449+R449+G449+V449))</f>
        <v/>
      </c>
      <c r="X449" s="200" t="str">
        <f aca="false">IF($A450="","",(U449+S449+H449+V449))</f>
        <v/>
      </c>
      <c r="Y449" s="202"/>
      <c r="Z449" s="185"/>
      <c r="AJ449" s="77"/>
      <c r="AK449" s="77"/>
      <c r="AL449" s="77"/>
      <c r="AM449" s="77"/>
      <c r="AN449" s="77"/>
      <c r="AO449" s="137" t="str">
        <f aca="false">IF(A450="","",A450-A449)</f>
        <v/>
      </c>
      <c r="AP449" s="212" t="str">
        <f aca="false">IF(A450="","",CHOOSE(F$3,A450+24,A449))</f>
        <v/>
      </c>
      <c r="AQ449" s="209" t="str">
        <f aca="false">IF(A450="","",AP449-$E$1)</f>
        <v/>
      </c>
      <c r="AR449" s="185" t="n">
        <f aca="false">'ANR OK vs ML7'!AR449</f>
        <v>0.1</v>
      </c>
      <c r="AS449" s="213" t="str">
        <f aca="false">IF(A450="","",1/(1+CHOOSE(F$3,(AR450+($I$3/10000))/2,(AR449+($I$3/10000))/2))^(2*AQ449/365.25))</f>
        <v/>
      </c>
      <c r="AT449" s="137" t="str">
        <f aca="false">IF(A450="","",IF(AND(mthbeg&lt;=A449,mthend&gt;=A449),1,0))</f>
        <v/>
      </c>
      <c r="AU449" s="137" t="str">
        <f aca="false">IF(A450="","",AO449*AT449)</f>
        <v/>
      </c>
      <c r="AW449" s="195" t="str">
        <f aca="false">IF($A450="","",AL449*$E449)</f>
        <v/>
      </c>
      <c r="AX449" s="195" t="str">
        <f aca="false">IF($A450="","",AM449*$E449)</f>
        <v/>
      </c>
      <c r="AY449" s="195" t="str">
        <f aca="false">IF($A450="","",AN449*$E449)</f>
        <v/>
      </c>
      <c r="BA449" s="195" t="str">
        <f aca="false">IF($A450="","",F449*Summary!$Q$9)</f>
        <v/>
      </c>
    </row>
    <row r="450" customFormat="false" ht="12.75" hidden="false" customHeight="false" outlineLevel="0" collapsed="false">
      <c r="A450" s="196" t="str">
        <f aca="false">IF(A449&lt;mthend,EDATE(A449,1),"")</f>
        <v/>
      </c>
      <c r="B450" s="197" t="str">
        <f aca="false">IF(A450&lt;mthend,B449,"")</f>
        <v/>
      </c>
      <c r="D450" s="197" t="str">
        <f aca="false">IF(A451&lt;&gt;"",B450+C450,"")</f>
        <v/>
      </c>
      <c r="E450" s="199" t="str">
        <f aca="false">IF(A451="","",IF(AND(AT450=1,$H$3=1),D450*AO450,IF($H$3=2,D450,"N/A")))</f>
        <v/>
      </c>
      <c r="F450" s="199" t="str">
        <f aca="false">IF(A451="","",E450*AS450)</f>
        <v/>
      </c>
      <c r="G450" s="200" t="str">
        <f aca="false">IF($A451="","",VLOOKUP($A450,Table,MATCH(G$4,Curves,0)))</f>
        <v/>
      </c>
      <c r="H450" s="201" t="str">
        <f aca="false">IF(A451="","",G450)</f>
        <v/>
      </c>
      <c r="J450" s="200" t="str">
        <f aca="false">IF($A451="","",VLOOKUP($A450,Table,MATCH(J$4,Curves,0)))</f>
        <v/>
      </c>
      <c r="K450" s="201" t="str">
        <f aca="false">IF(A451="","",J450)</f>
        <v/>
      </c>
      <c r="L450" s="200" t="str">
        <f aca="false">IF($A451="","",VLOOKUP($A450,Table,MATCH(L$4,Curves,0)))</f>
        <v/>
      </c>
      <c r="M450" s="201" t="str">
        <f aca="false">IF(A451="","",L450)</f>
        <v/>
      </c>
      <c r="O450" s="200" t="str">
        <f aca="false">IF(A451="","",L450+J450+G450)</f>
        <v/>
      </c>
      <c r="P450" s="200" t="str">
        <f aca="false">IF(A451="","",M450+K450+H450)</f>
        <v/>
      </c>
      <c r="R450" s="200" t="str">
        <f aca="false">IF($A451="","",VLOOKUP($A450,Table,MATCH(R$4,Curves,0)))</f>
        <v/>
      </c>
      <c r="S450" s="201" t="str">
        <f aca="false">IF(A451="","",R450)</f>
        <v/>
      </c>
      <c r="T450" s="200" t="str">
        <f aca="false">IF($A451="","",VLOOKUP($A450,Table,MATCH(T$4,Curves,0)))</f>
        <v/>
      </c>
      <c r="U450" s="201" t="str">
        <f aca="false">IF(A451="","",T450)</f>
        <v/>
      </c>
      <c r="V450" s="225" t="str">
        <f aca="false">IF($A451="","",IF(AND(MONTH(A450)&gt;3,MONTH(A450)&lt;11),(T450+R450+G450)*Summary!$T$9/(1-Summary!$T$9),(T450+R450+G450)*Summary!$U$9/(1-Summary!$U$9)))</f>
        <v/>
      </c>
      <c r="W450" s="200" t="str">
        <f aca="false">IF($A451="","",(T450+R450+G450+V450))</f>
        <v/>
      </c>
      <c r="X450" s="200" t="str">
        <f aca="false">IF($A451="","",(U450+S450+H450+V450))</f>
        <v/>
      </c>
      <c r="Y450" s="202"/>
      <c r="Z450" s="185"/>
      <c r="AJ450" s="77"/>
      <c r="AK450" s="77"/>
      <c r="AL450" s="77"/>
      <c r="AM450" s="77"/>
      <c r="AN450" s="77"/>
      <c r="AO450" s="137" t="str">
        <f aca="false">IF(A451="","",A451-A450)</f>
        <v/>
      </c>
      <c r="AP450" s="212" t="str">
        <f aca="false">IF(A451="","",CHOOSE(F$3,A451+24,A450))</f>
        <v/>
      </c>
      <c r="AQ450" s="209" t="str">
        <f aca="false">IF(A451="","",AP450-$E$1)</f>
        <v/>
      </c>
      <c r="AR450" s="185" t="n">
        <f aca="false">'ANR OK vs ML7'!AR450</f>
        <v>0.1</v>
      </c>
      <c r="AS450" s="213" t="str">
        <f aca="false">IF(A451="","",1/(1+CHOOSE(F$3,(AR451+($I$3/10000))/2,(AR450+($I$3/10000))/2))^(2*AQ450/365.25))</f>
        <v/>
      </c>
      <c r="AT450" s="137" t="str">
        <f aca="false">IF(A451="","",IF(AND(mthbeg&lt;=A450,mthend&gt;=A450),1,0))</f>
        <v/>
      </c>
      <c r="AU450" s="137" t="str">
        <f aca="false">IF(A451="","",AO450*AT450)</f>
        <v/>
      </c>
      <c r="AW450" s="195" t="str">
        <f aca="false">IF($A451="","",AL450*$E450)</f>
        <v/>
      </c>
      <c r="AX450" s="195" t="str">
        <f aca="false">IF($A451="","",AM450*$E450)</f>
        <v/>
      </c>
      <c r="AY450" s="195" t="str">
        <f aca="false">IF($A451="","",AN450*$E450)</f>
        <v/>
      </c>
      <c r="BA450" s="195" t="str">
        <f aca="false">IF($A451="","",F450*Summary!$Q$9)</f>
        <v/>
      </c>
    </row>
    <row r="451" customFormat="false" ht="12.75" hidden="false" customHeight="false" outlineLevel="0" collapsed="false">
      <c r="A451" s="196" t="str">
        <f aca="false">IF(A450&lt;mthend,EDATE(A450,1),"")</f>
        <v/>
      </c>
      <c r="B451" s="197" t="str">
        <f aca="false">IF(A451&lt;mthend,B450,"")</f>
        <v/>
      </c>
      <c r="D451" s="197" t="str">
        <f aca="false">IF(A452&lt;&gt;"",B451+C451,"")</f>
        <v/>
      </c>
      <c r="E451" s="199" t="str">
        <f aca="false">IF(A452="","",IF(AND(AT451=1,$H$3=1),D451*AO451,IF($H$3=2,D451,"N/A")))</f>
        <v/>
      </c>
      <c r="F451" s="199" t="str">
        <f aca="false">IF(A452="","",E451*AS451)</f>
        <v/>
      </c>
      <c r="G451" s="200" t="str">
        <f aca="false">IF($A452="","",VLOOKUP($A451,Table,MATCH(G$4,Curves,0)))</f>
        <v/>
      </c>
      <c r="H451" s="201" t="str">
        <f aca="false">IF(A452="","",G451)</f>
        <v/>
      </c>
      <c r="J451" s="200" t="str">
        <f aca="false">IF($A452="","",VLOOKUP($A451,Table,MATCH(J$4,Curves,0)))</f>
        <v/>
      </c>
      <c r="K451" s="201" t="str">
        <f aca="false">IF(A452="","",J451)</f>
        <v/>
      </c>
      <c r="L451" s="200" t="str">
        <f aca="false">IF($A452="","",VLOOKUP($A451,Table,MATCH(L$4,Curves,0)))</f>
        <v/>
      </c>
      <c r="M451" s="201" t="str">
        <f aca="false">IF(A452="","",L451)</f>
        <v/>
      </c>
      <c r="O451" s="200" t="str">
        <f aca="false">IF(A452="","",L451+J451+G451)</f>
        <v/>
      </c>
      <c r="P451" s="200" t="str">
        <f aca="false">IF(A452="","",M451+K451+H451)</f>
        <v/>
      </c>
      <c r="R451" s="200" t="str">
        <f aca="false">IF($A452="","",VLOOKUP($A451,Table,MATCH(R$4,Curves,0)))</f>
        <v/>
      </c>
      <c r="S451" s="201" t="str">
        <f aca="false">IF(A452="","",R451)</f>
        <v/>
      </c>
      <c r="T451" s="200" t="str">
        <f aca="false">IF($A452="","",VLOOKUP($A451,Table,MATCH(T$4,Curves,0)))</f>
        <v/>
      </c>
      <c r="U451" s="201" t="str">
        <f aca="false">IF(A452="","",T451)</f>
        <v/>
      </c>
      <c r="V451" s="225" t="str">
        <f aca="false">IF($A452="","",IF(AND(MONTH(A451)&gt;3,MONTH(A451)&lt;11),(T451+R451+G451)*Summary!$T$9/(1-Summary!$T$9),(T451+R451+G451)*Summary!$U$9/(1-Summary!$U$9)))</f>
        <v/>
      </c>
      <c r="W451" s="200" t="str">
        <f aca="false">IF($A452="","",(T451+R451+G451+V451))</f>
        <v/>
      </c>
      <c r="X451" s="200" t="str">
        <f aca="false">IF($A452="","",(U451+S451+H451+V451))</f>
        <v/>
      </c>
      <c r="Y451" s="202"/>
      <c r="Z451" s="185"/>
      <c r="AJ451" s="77"/>
      <c r="AK451" s="77"/>
      <c r="AL451" s="77"/>
      <c r="AM451" s="77"/>
      <c r="AN451" s="77"/>
      <c r="AO451" s="137" t="str">
        <f aca="false">IF(A452="","",A452-A451)</f>
        <v/>
      </c>
      <c r="AP451" s="212" t="str">
        <f aca="false">IF(A452="","",CHOOSE(F$3,A452+24,A451))</f>
        <v/>
      </c>
      <c r="AQ451" s="209" t="str">
        <f aca="false">IF(A452="","",AP451-$E$1)</f>
        <v/>
      </c>
      <c r="AR451" s="185" t="n">
        <f aca="false">'ANR OK vs ML7'!AR451</f>
        <v>0.1</v>
      </c>
      <c r="AS451" s="213" t="str">
        <f aca="false">IF(A452="","",1/(1+CHOOSE(F$3,(AR452+($I$3/10000))/2,(AR451+($I$3/10000))/2))^(2*AQ451/365.25))</f>
        <v/>
      </c>
      <c r="AT451" s="137" t="str">
        <f aca="false">IF(A452="","",IF(AND(mthbeg&lt;=A451,mthend&gt;=A451),1,0))</f>
        <v/>
      </c>
      <c r="AU451" s="137" t="str">
        <f aca="false">IF(A452="","",AO451*AT451)</f>
        <v/>
      </c>
      <c r="AW451" s="195" t="str">
        <f aca="false">IF($A452="","",AL451*$E451)</f>
        <v/>
      </c>
      <c r="AX451" s="195" t="str">
        <f aca="false">IF($A452="","",AM451*$E451)</f>
        <v/>
      </c>
      <c r="AY451" s="195" t="str">
        <f aca="false">IF($A452="","",AN451*$E451)</f>
        <v/>
      </c>
      <c r="BA451" s="195" t="str">
        <f aca="false">IF($A452="","",F451*Summary!$Q$9)</f>
        <v/>
      </c>
    </row>
    <row r="452" customFormat="false" ht="12.75" hidden="false" customHeight="false" outlineLevel="0" collapsed="false">
      <c r="A452" s="196" t="str">
        <f aca="false">IF(A451&lt;mthend,EDATE(A451,1),"")</f>
        <v/>
      </c>
      <c r="B452" s="197" t="str">
        <f aca="false">IF(A452&lt;mthend,B451,"")</f>
        <v/>
      </c>
      <c r="D452" s="197" t="str">
        <f aca="false">IF(A453&lt;&gt;"",B452+C452,"")</f>
        <v/>
      </c>
      <c r="E452" s="199" t="str">
        <f aca="false">IF(A453="","",IF(AND(AT452=1,$H$3=1),D452*AO452,IF($H$3=2,D452,"N/A")))</f>
        <v/>
      </c>
      <c r="F452" s="199" t="str">
        <f aca="false">IF(A453="","",E452*AS452)</f>
        <v/>
      </c>
      <c r="G452" s="200" t="str">
        <f aca="false">IF($A453="","",VLOOKUP($A452,Table,MATCH(G$4,Curves,0)))</f>
        <v/>
      </c>
      <c r="H452" s="201" t="str">
        <f aca="false">IF(A453="","",G452)</f>
        <v/>
      </c>
      <c r="J452" s="200" t="str">
        <f aca="false">IF($A453="","",VLOOKUP($A452,Table,MATCH(J$4,Curves,0)))</f>
        <v/>
      </c>
      <c r="K452" s="201" t="str">
        <f aca="false">IF(A453="","",J452)</f>
        <v/>
      </c>
      <c r="L452" s="200" t="str">
        <f aca="false">IF($A453="","",VLOOKUP($A452,Table,MATCH(L$4,Curves,0)))</f>
        <v/>
      </c>
      <c r="M452" s="201" t="str">
        <f aca="false">IF(A453="","",L452)</f>
        <v/>
      </c>
      <c r="O452" s="200" t="str">
        <f aca="false">IF(A453="","",L452+J452+G452)</f>
        <v/>
      </c>
      <c r="P452" s="200" t="str">
        <f aca="false">IF(A453="","",M452+K452+H452)</f>
        <v/>
      </c>
      <c r="R452" s="200" t="str">
        <f aca="false">IF($A453="","",VLOOKUP($A452,Table,MATCH(R$4,Curves,0)))</f>
        <v/>
      </c>
      <c r="S452" s="201" t="str">
        <f aca="false">IF(A453="","",R452)</f>
        <v/>
      </c>
      <c r="T452" s="200" t="str">
        <f aca="false">IF($A453="","",VLOOKUP($A452,Table,MATCH(T$4,Curves,0)))</f>
        <v/>
      </c>
      <c r="U452" s="201" t="str">
        <f aca="false">IF(A453="","",T452)</f>
        <v/>
      </c>
      <c r="V452" s="225" t="str">
        <f aca="false">IF($A453="","",IF(AND(MONTH(A452)&gt;3,MONTH(A452)&lt;11),(T452+R452+G452)*Summary!$T$9/(1-Summary!$T$9),(T452+R452+G452)*Summary!$U$9/(1-Summary!$U$9)))</f>
        <v/>
      </c>
      <c r="W452" s="200" t="str">
        <f aca="false">IF($A453="","",(T452+R452+G452+V452))</f>
        <v/>
      </c>
      <c r="X452" s="200" t="str">
        <f aca="false">IF($A453="","",(U452+S452+H452+V452))</f>
        <v/>
      </c>
      <c r="Y452" s="202"/>
      <c r="Z452" s="185"/>
      <c r="AJ452" s="77"/>
      <c r="AK452" s="77"/>
      <c r="AL452" s="77"/>
      <c r="AM452" s="77"/>
      <c r="AN452" s="77"/>
      <c r="AO452" s="137" t="str">
        <f aca="false">IF(A453="","",A453-A452)</f>
        <v/>
      </c>
      <c r="AP452" s="212" t="str">
        <f aca="false">IF(A453="","",CHOOSE(F$3,A453+24,A452))</f>
        <v/>
      </c>
      <c r="AQ452" s="209" t="str">
        <f aca="false">IF(A453="","",AP452-$E$1)</f>
        <v/>
      </c>
      <c r="AR452" s="185" t="n">
        <f aca="false">'ANR OK vs ML7'!AR452</f>
        <v>0.1</v>
      </c>
      <c r="AS452" s="213" t="str">
        <f aca="false">IF(A453="","",1/(1+CHOOSE(F$3,(AR453+($I$3/10000))/2,(AR452+($I$3/10000))/2))^(2*AQ452/365.25))</f>
        <v/>
      </c>
      <c r="AT452" s="137" t="str">
        <f aca="false">IF(A453="","",IF(AND(mthbeg&lt;=A452,mthend&gt;=A452),1,0))</f>
        <v/>
      </c>
      <c r="AU452" s="137" t="str">
        <f aca="false">IF(A453="","",AO452*AT452)</f>
        <v/>
      </c>
      <c r="AW452" s="195" t="str">
        <f aca="false">IF($A453="","",AL452*$E452)</f>
        <v/>
      </c>
      <c r="AX452" s="195" t="str">
        <f aca="false">IF($A453="","",AM452*$E452)</f>
        <v/>
      </c>
      <c r="AY452" s="195" t="str">
        <f aca="false">IF($A453="","",AN452*$E452)</f>
        <v/>
      </c>
      <c r="BA452" s="195" t="str">
        <f aca="false">IF($A453="","",F452*Summary!$Q$9)</f>
        <v/>
      </c>
    </row>
    <row r="453" customFormat="false" ht="12.75" hidden="false" customHeight="false" outlineLevel="0" collapsed="false">
      <c r="A453" s="196" t="str">
        <f aca="false">IF(A452&lt;mthend,EDATE(A452,1),"")</f>
        <v/>
      </c>
      <c r="B453" s="197" t="str">
        <f aca="false">IF(A453&lt;mthend,B452,"")</f>
        <v/>
      </c>
      <c r="D453" s="197" t="str">
        <f aca="false">IF(A454&lt;&gt;"",B453+C453,"")</f>
        <v/>
      </c>
      <c r="E453" s="199" t="str">
        <f aca="false">IF(A454="","",IF(AND(AT453=1,$H$3=1),D453*AO453,IF($H$3=2,D453,"N/A")))</f>
        <v/>
      </c>
      <c r="F453" s="199" t="str">
        <f aca="false">IF(A454="","",E453*AS453)</f>
        <v/>
      </c>
      <c r="G453" s="200" t="str">
        <f aca="false">IF($A454="","",VLOOKUP($A453,Table,MATCH(G$4,Curves,0)))</f>
        <v/>
      </c>
      <c r="H453" s="201" t="str">
        <f aca="false">IF(A454="","",G453)</f>
        <v/>
      </c>
      <c r="J453" s="200" t="str">
        <f aca="false">IF($A454="","",VLOOKUP($A453,Table,MATCH(J$4,Curves,0)))</f>
        <v/>
      </c>
      <c r="K453" s="201" t="str">
        <f aca="false">IF(A454="","",J453)</f>
        <v/>
      </c>
      <c r="L453" s="200" t="str">
        <f aca="false">IF($A454="","",VLOOKUP($A453,Table,MATCH(L$4,Curves,0)))</f>
        <v/>
      </c>
      <c r="M453" s="201" t="str">
        <f aca="false">IF(A454="","",L453)</f>
        <v/>
      </c>
      <c r="O453" s="200" t="str">
        <f aca="false">IF(A454="","",L453+J453+G453)</f>
        <v/>
      </c>
      <c r="P453" s="200" t="str">
        <f aca="false">IF(A454="","",M453+K453+H453)</f>
        <v/>
      </c>
      <c r="R453" s="200" t="str">
        <f aca="false">IF($A454="","",VLOOKUP($A453,Table,MATCH(R$4,Curves,0)))</f>
        <v/>
      </c>
      <c r="S453" s="201" t="str">
        <f aca="false">IF(A454="","",R453)</f>
        <v/>
      </c>
      <c r="T453" s="200" t="str">
        <f aca="false">IF($A454="","",VLOOKUP($A453,Table,MATCH(T$4,Curves,0)))</f>
        <v/>
      </c>
      <c r="U453" s="201" t="str">
        <f aca="false">IF(A454="","",T453)</f>
        <v/>
      </c>
      <c r="V453" s="225" t="str">
        <f aca="false">IF($A454="","",IF(AND(MONTH(A453)&gt;3,MONTH(A453)&lt;11),(T453+R453+G453)*Summary!$T$9/(1-Summary!$T$9),(T453+R453+G453)*Summary!$U$9/(1-Summary!$U$9)))</f>
        <v/>
      </c>
      <c r="W453" s="200" t="str">
        <f aca="false">IF($A454="","",(T453+R453+G453+V453))</f>
        <v/>
      </c>
      <c r="X453" s="200" t="str">
        <f aca="false">IF($A454="","",(U453+S453+H453+V453))</f>
        <v/>
      </c>
      <c r="Y453" s="202"/>
      <c r="Z453" s="185"/>
      <c r="AJ453" s="77"/>
      <c r="AK453" s="77"/>
      <c r="AL453" s="77"/>
      <c r="AM453" s="77"/>
      <c r="AN453" s="77"/>
      <c r="AO453" s="137" t="str">
        <f aca="false">IF(A454="","",A454-A453)</f>
        <v/>
      </c>
      <c r="AP453" s="212" t="str">
        <f aca="false">IF(A454="","",CHOOSE(F$3,A454+24,A453))</f>
        <v/>
      </c>
      <c r="AQ453" s="209" t="str">
        <f aca="false">IF(A454="","",AP453-$E$1)</f>
        <v/>
      </c>
      <c r="AR453" s="185" t="n">
        <f aca="false">'ANR OK vs ML7'!AR453</f>
        <v>0.1</v>
      </c>
      <c r="AS453" s="213" t="str">
        <f aca="false">IF(A454="","",1/(1+CHOOSE(F$3,(AR454+($I$3/10000))/2,(AR453+($I$3/10000))/2))^(2*AQ453/365.25))</f>
        <v/>
      </c>
      <c r="AT453" s="137" t="str">
        <f aca="false">IF(A454="","",IF(AND(mthbeg&lt;=A453,mthend&gt;=A453),1,0))</f>
        <v/>
      </c>
      <c r="AU453" s="137" t="str">
        <f aca="false">IF(A454="","",AO453*AT453)</f>
        <v/>
      </c>
      <c r="AW453" s="195" t="str">
        <f aca="false">IF($A454="","",AL453*$E453)</f>
        <v/>
      </c>
      <c r="AX453" s="195" t="str">
        <f aca="false">IF($A454="","",AM453*$E453)</f>
        <v/>
      </c>
      <c r="AY453" s="195" t="str">
        <f aca="false">IF($A454="","",AN453*$E453)</f>
        <v/>
      </c>
      <c r="BA453" s="195" t="str">
        <f aca="false">IF($A454="","",F453*Summary!$Q$9)</f>
        <v/>
      </c>
    </row>
    <row r="454" customFormat="false" ht="12.75" hidden="false" customHeight="false" outlineLevel="0" collapsed="false">
      <c r="A454" s="196" t="str">
        <f aca="false">IF(A453&lt;mthend,EDATE(A453,1),"")</f>
        <v/>
      </c>
      <c r="B454" s="197" t="str">
        <f aca="false">IF(A454&lt;mthend,B453,"")</f>
        <v/>
      </c>
      <c r="D454" s="197" t="str">
        <f aca="false">IF(A455&lt;&gt;"",B454+C454,"")</f>
        <v/>
      </c>
      <c r="E454" s="199" t="str">
        <f aca="false">IF(A455="","",IF(AND(AT454=1,$H$3=1),D454*AO454,IF($H$3=2,D454,"N/A")))</f>
        <v/>
      </c>
      <c r="F454" s="199" t="str">
        <f aca="false">IF(A455="","",E454*AS454)</f>
        <v/>
      </c>
      <c r="G454" s="200" t="str">
        <f aca="false">IF($A455="","",VLOOKUP($A454,Table,MATCH(G$4,Curves,0)))</f>
        <v/>
      </c>
      <c r="H454" s="201" t="str">
        <f aca="false">IF(A455="","",G454)</f>
        <v/>
      </c>
      <c r="J454" s="200" t="str">
        <f aca="false">IF($A455="","",VLOOKUP($A454,Table,MATCH(J$4,Curves,0)))</f>
        <v/>
      </c>
      <c r="K454" s="201" t="str">
        <f aca="false">IF(A455="","",J454)</f>
        <v/>
      </c>
      <c r="L454" s="200" t="str">
        <f aca="false">IF($A455="","",VLOOKUP($A454,Table,MATCH(L$4,Curves,0)))</f>
        <v/>
      </c>
      <c r="M454" s="201" t="str">
        <f aca="false">IF(A455="","",L454)</f>
        <v/>
      </c>
      <c r="O454" s="200" t="str">
        <f aca="false">IF(A455="","",L454+J454+G454)</f>
        <v/>
      </c>
      <c r="P454" s="200" t="str">
        <f aca="false">IF(A455="","",M454+K454+H454)</f>
        <v/>
      </c>
      <c r="R454" s="200" t="str">
        <f aca="false">IF($A455="","",VLOOKUP($A454,Table,MATCH(R$4,Curves,0)))</f>
        <v/>
      </c>
      <c r="S454" s="201" t="str">
        <f aca="false">IF(A455="","",R454)</f>
        <v/>
      </c>
      <c r="T454" s="200" t="str">
        <f aca="false">IF($A455="","",VLOOKUP($A454,Table,MATCH(T$4,Curves,0)))</f>
        <v/>
      </c>
      <c r="U454" s="201" t="str">
        <f aca="false">IF(A455="","",T454)</f>
        <v/>
      </c>
      <c r="V454" s="225" t="str">
        <f aca="false">IF($A455="","",IF(AND(MONTH(A454)&gt;3,MONTH(A454)&lt;11),(T454+R454+G454)*Summary!$T$9/(1-Summary!$T$9),(T454+R454+G454)*Summary!$U$9/(1-Summary!$U$9)))</f>
        <v/>
      </c>
      <c r="W454" s="200" t="str">
        <f aca="false">IF($A455="","",(T454+R454+G454+V454))</f>
        <v/>
      </c>
      <c r="X454" s="200" t="str">
        <f aca="false">IF($A455="","",(U454+S454+H454+V454))</f>
        <v/>
      </c>
      <c r="Y454" s="202"/>
      <c r="Z454" s="185"/>
      <c r="AJ454" s="77"/>
      <c r="AK454" s="77"/>
      <c r="AL454" s="77"/>
      <c r="AM454" s="77"/>
      <c r="AN454" s="77"/>
      <c r="AO454" s="137" t="str">
        <f aca="false">IF(A455="","",A455-A454)</f>
        <v/>
      </c>
      <c r="AP454" s="212" t="str">
        <f aca="false">IF(A455="","",CHOOSE(F$3,A455+24,A454))</f>
        <v/>
      </c>
      <c r="AQ454" s="209" t="str">
        <f aca="false">IF(A455="","",AP454-$E$1)</f>
        <v/>
      </c>
      <c r="AR454" s="185" t="n">
        <f aca="false">'ANR OK vs ML7'!AR454</f>
        <v>0.1</v>
      </c>
      <c r="AS454" s="213" t="str">
        <f aca="false">IF(A455="","",1/(1+CHOOSE(F$3,(AR455+($I$3/10000))/2,(AR454+($I$3/10000))/2))^(2*AQ454/365.25))</f>
        <v/>
      </c>
      <c r="AT454" s="137" t="str">
        <f aca="false">IF(A455="","",IF(AND(mthbeg&lt;=A454,mthend&gt;=A454),1,0))</f>
        <v/>
      </c>
      <c r="AU454" s="137" t="str">
        <f aca="false">IF(A455="","",AO454*AT454)</f>
        <v/>
      </c>
      <c r="AW454" s="195" t="str">
        <f aca="false">IF($A455="","",AL454*$E454)</f>
        <v/>
      </c>
      <c r="AX454" s="195" t="str">
        <f aca="false">IF($A455="","",AM454*$E454)</f>
        <v/>
      </c>
      <c r="AY454" s="195" t="str">
        <f aca="false">IF($A455="","",AN454*$E454)</f>
        <v/>
      </c>
      <c r="BA454" s="195" t="str">
        <f aca="false">IF($A455="","",F454*Summary!$Q$9)</f>
        <v/>
      </c>
    </row>
    <row r="455" customFormat="false" ht="12.75" hidden="false" customHeight="false" outlineLevel="0" collapsed="false">
      <c r="A455" s="196" t="str">
        <f aca="false">IF(A454&lt;mthend,EDATE(A454,1),"")</f>
        <v/>
      </c>
      <c r="B455" s="197" t="str">
        <f aca="false">IF(A455&lt;mthend,B454,"")</f>
        <v/>
      </c>
      <c r="D455" s="197" t="str">
        <f aca="false">IF(A456&lt;&gt;"",B455+C455,"")</f>
        <v/>
      </c>
      <c r="E455" s="199" t="str">
        <f aca="false">IF(A456="","",IF(AND(AT455=1,$H$3=1),D455*AO455,IF($H$3=2,D455,"N/A")))</f>
        <v/>
      </c>
      <c r="F455" s="199" t="str">
        <f aca="false">IF(A456="","",E455*AS455)</f>
        <v/>
      </c>
      <c r="G455" s="200" t="str">
        <f aca="false">IF($A456="","",VLOOKUP($A455,Table,MATCH(G$4,Curves,0)))</f>
        <v/>
      </c>
      <c r="H455" s="201" t="str">
        <f aca="false">IF(A456="","",G455)</f>
        <v/>
      </c>
      <c r="J455" s="200" t="str">
        <f aca="false">IF($A456="","",VLOOKUP($A455,Table,MATCH(J$4,Curves,0)))</f>
        <v/>
      </c>
      <c r="K455" s="201" t="str">
        <f aca="false">IF(A456="","",J455)</f>
        <v/>
      </c>
      <c r="L455" s="200" t="str">
        <f aca="false">IF($A456="","",VLOOKUP($A455,Table,MATCH(L$4,Curves,0)))</f>
        <v/>
      </c>
      <c r="M455" s="201" t="str">
        <f aca="false">IF(A456="","",L455)</f>
        <v/>
      </c>
      <c r="O455" s="200" t="str">
        <f aca="false">IF(A456="","",L455+J455+G455)</f>
        <v/>
      </c>
      <c r="P455" s="200" t="str">
        <f aca="false">IF(A456="","",M455+K455+H455)</f>
        <v/>
      </c>
      <c r="R455" s="200" t="str">
        <f aca="false">IF($A456="","",VLOOKUP($A455,Table,MATCH(R$4,Curves,0)))</f>
        <v/>
      </c>
      <c r="S455" s="201" t="str">
        <f aca="false">IF(A456="","",R455)</f>
        <v/>
      </c>
      <c r="T455" s="200" t="str">
        <f aca="false">IF($A456="","",VLOOKUP($A455,Table,MATCH(T$4,Curves,0)))</f>
        <v/>
      </c>
      <c r="U455" s="201" t="str">
        <f aca="false">IF(A456="","",T455)</f>
        <v/>
      </c>
      <c r="V455" s="225" t="str">
        <f aca="false">IF($A456="","",IF(AND(MONTH(A455)&gt;3,MONTH(A455)&lt;11),(T455+R455+G455)*Summary!$T$9/(1-Summary!$T$9),(T455+R455+G455)*Summary!$U$9/(1-Summary!$U$9)))</f>
        <v/>
      </c>
      <c r="W455" s="200" t="str">
        <f aca="false">IF($A456="","",(T455+R455+G455+V455))</f>
        <v/>
      </c>
      <c r="X455" s="200" t="str">
        <f aca="false">IF($A456="","",(U455+S455+H455+V455))</f>
        <v/>
      </c>
      <c r="Y455" s="202"/>
      <c r="Z455" s="185"/>
      <c r="AJ455" s="77"/>
      <c r="AK455" s="77"/>
      <c r="AL455" s="77"/>
      <c r="AM455" s="77"/>
      <c r="AN455" s="77"/>
      <c r="AO455" s="137" t="str">
        <f aca="false">IF(A456="","",A456-A455)</f>
        <v/>
      </c>
      <c r="AP455" s="212" t="str">
        <f aca="false">IF(A456="","",CHOOSE(F$3,A456+24,A455))</f>
        <v/>
      </c>
      <c r="AQ455" s="209" t="str">
        <f aca="false">IF(A456="","",AP455-$E$1)</f>
        <v/>
      </c>
      <c r="AR455" s="185" t="n">
        <f aca="false">'ANR OK vs ML7'!AR455</f>
        <v>0.1</v>
      </c>
      <c r="AS455" s="213" t="str">
        <f aca="false">IF(A456="","",1/(1+CHOOSE(F$3,(AR456+($I$3/10000))/2,(AR455+($I$3/10000))/2))^(2*AQ455/365.25))</f>
        <v/>
      </c>
      <c r="AT455" s="137" t="str">
        <f aca="false">IF(A456="","",IF(AND(mthbeg&lt;=A455,mthend&gt;=A455),1,0))</f>
        <v/>
      </c>
      <c r="AU455" s="137" t="str">
        <f aca="false">IF(A456="","",AO455*AT455)</f>
        <v/>
      </c>
      <c r="AW455" s="195" t="str">
        <f aca="false">IF($A456="","",AL455*$E455)</f>
        <v/>
      </c>
      <c r="AX455" s="195" t="str">
        <f aca="false">IF($A456="","",AM455*$E455)</f>
        <v/>
      </c>
      <c r="AY455" s="195" t="str">
        <f aca="false">IF($A456="","",AN455*$E455)</f>
        <v/>
      </c>
      <c r="BA455" s="195" t="str">
        <f aca="false">IF($A456="","",F455*Summary!$Q$9)</f>
        <v/>
      </c>
    </row>
    <row r="456" customFormat="false" ht="12.75" hidden="false" customHeight="false" outlineLevel="0" collapsed="false">
      <c r="A456" s="196" t="str">
        <f aca="false">IF(A455&lt;mthend,EDATE(A455,1),"")</f>
        <v/>
      </c>
      <c r="B456" s="197" t="str">
        <f aca="false">IF(A456&lt;mthend,B455,"")</f>
        <v/>
      </c>
      <c r="D456" s="197" t="str">
        <f aca="false">IF(A457&lt;&gt;"",B456+C456,"")</f>
        <v/>
      </c>
      <c r="E456" s="199" t="str">
        <f aca="false">IF(A457="","",IF(AND(AT456=1,$H$3=1),D456*AO456,IF($H$3=2,D456,"N/A")))</f>
        <v/>
      </c>
      <c r="F456" s="199" t="str">
        <f aca="false">IF(A457="","",E456*AS456)</f>
        <v/>
      </c>
      <c r="G456" s="200" t="str">
        <f aca="false">IF($A457="","",VLOOKUP($A456,Table,MATCH(G$4,Curves,0)))</f>
        <v/>
      </c>
      <c r="H456" s="201" t="str">
        <f aca="false">IF(A457="","",G456)</f>
        <v/>
      </c>
      <c r="J456" s="200" t="str">
        <f aca="false">IF($A457="","",VLOOKUP($A456,Table,MATCH(J$4,Curves,0)))</f>
        <v/>
      </c>
      <c r="K456" s="201" t="str">
        <f aca="false">IF(A457="","",J456)</f>
        <v/>
      </c>
      <c r="L456" s="200" t="str">
        <f aca="false">IF($A457="","",VLOOKUP($A456,Table,MATCH(L$4,Curves,0)))</f>
        <v/>
      </c>
      <c r="M456" s="201" t="str">
        <f aca="false">IF(A457="","",L456)</f>
        <v/>
      </c>
      <c r="O456" s="200" t="str">
        <f aca="false">IF(A457="","",L456+J456+G456)</f>
        <v/>
      </c>
      <c r="P456" s="200" t="str">
        <f aca="false">IF(A457="","",M456+K456+H456)</f>
        <v/>
      </c>
      <c r="R456" s="200" t="str">
        <f aca="false">IF($A457="","",VLOOKUP($A456,Table,MATCH(R$4,Curves,0)))</f>
        <v/>
      </c>
      <c r="S456" s="201" t="str">
        <f aca="false">IF(A457="","",R456)</f>
        <v/>
      </c>
      <c r="T456" s="200" t="str">
        <f aca="false">IF($A457="","",VLOOKUP($A456,Table,MATCH(T$4,Curves,0)))</f>
        <v/>
      </c>
      <c r="U456" s="201" t="str">
        <f aca="false">IF(A457="","",T456)</f>
        <v/>
      </c>
      <c r="V456" s="225" t="str">
        <f aca="false">IF($A457="","",IF(AND(MONTH(A456)&gt;3,MONTH(A456)&lt;11),(T456+R456+G456)*Summary!$T$9/(1-Summary!$T$9),(T456+R456+G456)*Summary!$U$9/(1-Summary!$U$9)))</f>
        <v/>
      </c>
      <c r="W456" s="200" t="str">
        <f aca="false">IF($A457="","",(T456+R456+G456+V456))</f>
        <v/>
      </c>
      <c r="X456" s="200" t="str">
        <f aca="false">IF($A457="","",(U456+S456+H456+V456))</f>
        <v/>
      </c>
      <c r="Y456" s="202"/>
      <c r="Z456" s="185"/>
      <c r="AJ456" s="77"/>
      <c r="AK456" s="77"/>
      <c r="AL456" s="77"/>
      <c r="AM456" s="77"/>
      <c r="AN456" s="77"/>
      <c r="AO456" s="137" t="str">
        <f aca="false">IF(A457="","",A457-A456)</f>
        <v/>
      </c>
      <c r="AP456" s="212" t="str">
        <f aca="false">IF(A457="","",CHOOSE(F$3,A457+24,A456))</f>
        <v/>
      </c>
      <c r="AQ456" s="209" t="str">
        <f aca="false">IF(A457="","",AP456-$E$1)</f>
        <v/>
      </c>
      <c r="AR456" s="185" t="n">
        <f aca="false">'ANR OK vs ML7'!AR456</f>
        <v>0.1</v>
      </c>
      <c r="AS456" s="213" t="str">
        <f aca="false">IF(A457="","",1/(1+CHOOSE(F$3,(AR457+($I$3/10000))/2,(AR456+($I$3/10000))/2))^(2*AQ456/365.25))</f>
        <v/>
      </c>
      <c r="AT456" s="137" t="str">
        <f aca="false">IF(A457="","",IF(AND(mthbeg&lt;=A456,mthend&gt;=A456),1,0))</f>
        <v/>
      </c>
      <c r="AU456" s="137" t="str">
        <f aca="false">IF(A457="","",AO456*AT456)</f>
        <v/>
      </c>
      <c r="AW456" s="195" t="str">
        <f aca="false">IF($A457="","",AL456*$E456)</f>
        <v/>
      </c>
      <c r="AX456" s="195" t="str">
        <f aca="false">IF($A457="","",AM456*$E456)</f>
        <v/>
      </c>
      <c r="AY456" s="195" t="str">
        <f aca="false">IF($A457="","",AN456*$E456)</f>
        <v/>
      </c>
      <c r="BA456" s="195" t="str">
        <f aca="false">IF($A457="","",F456*Summary!$Q$9)</f>
        <v/>
      </c>
    </row>
    <row r="457" customFormat="false" ht="12.75" hidden="false" customHeight="false" outlineLevel="0" collapsed="false">
      <c r="A457" s="196" t="str">
        <f aca="false">IF(A456&lt;mthend,EDATE(A456,1),"")</f>
        <v/>
      </c>
      <c r="B457" s="197" t="str">
        <f aca="false">IF(A457&lt;mthend,B456,"")</f>
        <v/>
      </c>
      <c r="D457" s="197" t="str">
        <f aca="false">IF(A458&lt;&gt;"",B457+C457,"")</f>
        <v/>
      </c>
      <c r="E457" s="199" t="str">
        <f aca="false">IF(A458="","",IF(AND(AT457=1,$H$3=1),D457*AO457,IF($H$3=2,D457,"N/A")))</f>
        <v/>
      </c>
      <c r="F457" s="199" t="str">
        <f aca="false">IF(A458="","",E457*AS457)</f>
        <v/>
      </c>
      <c r="G457" s="200" t="str">
        <f aca="false">IF($A458="","",VLOOKUP($A457,Table,MATCH(G$4,Curves,0)))</f>
        <v/>
      </c>
      <c r="H457" s="201" t="str">
        <f aca="false">IF(A458="","",G457)</f>
        <v/>
      </c>
      <c r="J457" s="200" t="str">
        <f aca="false">IF($A458="","",VLOOKUP($A457,Table,MATCH(J$4,Curves,0)))</f>
        <v/>
      </c>
      <c r="K457" s="201" t="str">
        <f aca="false">IF(A458="","",J457)</f>
        <v/>
      </c>
      <c r="L457" s="200" t="str">
        <f aca="false">IF($A458="","",VLOOKUP($A457,Table,MATCH(L$4,Curves,0)))</f>
        <v/>
      </c>
      <c r="M457" s="201" t="str">
        <f aca="false">IF(A458="","",L457)</f>
        <v/>
      </c>
      <c r="O457" s="200" t="str">
        <f aca="false">IF(A458="","",L457+J457+G457)</f>
        <v/>
      </c>
      <c r="P457" s="200" t="str">
        <f aca="false">IF(A458="","",M457+K457+H457)</f>
        <v/>
      </c>
      <c r="R457" s="200" t="str">
        <f aca="false">IF($A458="","",VLOOKUP($A457,Table,MATCH(R$4,Curves,0)))</f>
        <v/>
      </c>
      <c r="S457" s="201" t="str">
        <f aca="false">IF(A458="","",R457)</f>
        <v/>
      </c>
      <c r="T457" s="200" t="str">
        <f aca="false">IF($A458="","",VLOOKUP($A457,Table,MATCH(T$4,Curves,0)))</f>
        <v/>
      </c>
      <c r="U457" s="201" t="str">
        <f aca="false">IF(A458="","",T457)</f>
        <v/>
      </c>
      <c r="V457" s="225" t="str">
        <f aca="false">IF($A458="","",IF(AND(MONTH(A457)&gt;3,MONTH(A457)&lt;11),(T457+R457+G457)*Summary!$T$9/(1-Summary!$T$9),(T457+R457+G457)*Summary!$U$9/(1-Summary!$U$9)))</f>
        <v/>
      </c>
      <c r="W457" s="200" t="str">
        <f aca="false">IF($A458="","",(T457+R457+G457+V457))</f>
        <v/>
      </c>
      <c r="X457" s="200" t="str">
        <f aca="false">IF($A458="","",(U457+S457+H457+V457))</f>
        <v/>
      </c>
      <c r="Y457" s="202"/>
      <c r="Z457" s="185"/>
      <c r="AJ457" s="77"/>
      <c r="AK457" s="77"/>
      <c r="AL457" s="77"/>
      <c r="AM457" s="77"/>
      <c r="AN457" s="77"/>
      <c r="AO457" s="137" t="str">
        <f aca="false">IF(A458="","",A458-A457)</f>
        <v/>
      </c>
      <c r="AP457" s="212" t="str">
        <f aca="false">IF(A458="","",CHOOSE(F$3,A458+24,A457))</f>
        <v/>
      </c>
      <c r="AQ457" s="209" t="str">
        <f aca="false">IF(A458="","",AP457-$E$1)</f>
        <v/>
      </c>
      <c r="AR457" s="185" t="n">
        <f aca="false">'ANR OK vs ML7'!AR457</f>
        <v>0.1</v>
      </c>
      <c r="AS457" s="213" t="str">
        <f aca="false">IF(A458="","",1/(1+CHOOSE(F$3,(AR458+($I$3/10000))/2,(AR457+($I$3/10000))/2))^(2*AQ457/365.25))</f>
        <v/>
      </c>
      <c r="AT457" s="137" t="str">
        <f aca="false">IF(A458="","",IF(AND(mthbeg&lt;=A457,mthend&gt;=A457),1,0))</f>
        <v/>
      </c>
      <c r="AU457" s="137" t="str">
        <f aca="false">IF(A458="","",AO457*AT457)</f>
        <v/>
      </c>
      <c r="AW457" s="195" t="str">
        <f aca="false">IF($A458="","",AL457*$E457)</f>
        <v/>
      </c>
      <c r="AX457" s="195" t="str">
        <f aca="false">IF($A458="","",AM457*$E457)</f>
        <v/>
      </c>
      <c r="AY457" s="195" t="str">
        <f aca="false">IF($A458="","",AN457*$E457)</f>
        <v/>
      </c>
      <c r="BA457" s="195" t="str">
        <f aca="false">IF($A458="","",F457*Summary!$Q$9)</f>
        <v/>
      </c>
    </row>
    <row r="458" customFormat="false" ht="12.75" hidden="false" customHeight="false" outlineLevel="0" collapsed="false">
      <c r="A458" s="196" t="str">
        <f aca="false">IF(A457&lt;mthend,EDATE(A457,1),"")</f>
        <v/>
      </c>
      <c r="B458" s="197" t="str">
        <f aca="false">IF(A458&lt;mthend,B457,"")</f>
        <v/>
      </c>
      <c r="D458" s="197" t="str">
        <f aca="false">IF(A459&lt;&gt;"",B458+C458,"")</f>
        <v/>
      </c>
      <c r="E458" s="199" t="str">
        <f aca="false">IF(A459="","",IF(AND(AT458=1,$H$3=1),D458*AO458,IF($H$3=2,D458,"N/A")))</f>
        <v/>
      </c>
      <c r="F458" s="199" t="str">
        <f aca="false">IF(A459="","",E458*AS458)</f>
        <v/>
      </c>
      <c r="G458" s="200" t="str">
        <f aca="false">IF($A459="","",VLOOKUP($A458,Table,MATCH(G$4,Curves,0)))</f>
        <v/>
      </c>
      <c r="H458" s="201" t="str">
        <f aca="false">IF(A459="","",G458)</f>
        <v/>
      </c>
      <c r="J458" s="200" t="str">
        <f aca="false">IF($A459="","",VLOOKUP($A458,Table,MATCH(J$4,Curves,0)))</f>
        <v/>
      </c>
      <c r="K458" s="201" t="str">
        <f aca="false">IF(A459="","",J458)</f>
        <v/>
      </c>
      <c r="L458" s="200" t="str">
        <f aca="false">IF($A459="","",VLOOKUP($A458,Table,MATCH(L$4,Curves,0)))</f>
        <v/>
      </c>
      <c r="M458" s="201" t="str">
        <f aca="false">IF(A459="","",L458)</f>
        <v/>
      </c>
      <c r="O458" s="200" t="str">
        <f aca="false">IF(A459="","",L458+J458+G458)</f>
        <v/>
      </c>
      <c r="P458" s="200" t="str">
        <f aca="false">IF(A459="","",M458+K458+H458)</f>
        <v/>
      </c>
      <c r="R458" s="200" t="str">
        <f aca="false">IF($A459="","",VLOOKUP($A458,Table,MATCH(R$4,Curves,0)))</f>
        <v/>
      </c>
      <c r="S458" s="201" t="str">
        <f aca="false">IF(A459="","",R458)</f>
        <v/>
      </c>
      <c r="T458" s="200" t="str">
        <f aca="false">IF($A459="","",VLOOKUP($A458,Table,MATCH(T$4,Curves,0)))</f>
        <v/>
      </c>
      <c r="U458" s="201" t="str">
        <f aca="false">IF(A459="","",T458)</f>
        <v/>
      </c>
      <c r="V458" s="225" t="str">
        <f aca="false">IF($A459="","",IF(AND(MONTH(A458)&gt;3,MONTH(A458)&lt;11),(T458+R458+G458)*Summary!$T$9/(1-Summary!$T$9),(T458+R458+G458)*Summary!$U$9/(1-Summary!$U$9)))</f>
        <v/>
      </c>
      <c r="W458" s="200" t="str">
        <f aca="false">IF($A459="","",(T458+R458+G458+V458))</f>
        <v/>
      </c>
      <c r="X458" s="200" t="str">
        <f aca="false">IF($A459="","",(U458+S458+H458+V458))</f>
        <v/>
      </c>
      <c r="Y458" s="202"/>
      <c r="Z458" s="185"/>
      <c r="AJ458" s="77"/>
      <c r="AK458" s="77"/>
      <c r="AL458" s="77"/>
      <c r="AM458" s="77"/>
      <c r="AN458" s="77"/>
      <c r="AO458" s="137" t="str">
        <f aca="false">IF(A459="","",A459-A458)</f>
        <v/>
      </c>
      <c r="AP458" s="212" t="str">
        <f aca="false">IF(A459="","",CHOOSE(F$3,A459+24,A458))</f>
        <v/>
      </c>
      <c r="AQ458" s="209" t="str">
        <f aca="false">IF(A459="","",AP458-$E$1)</f>
        <v/>
      </c>
      <c r="AR458" s="185" t="n">
        <f aca="false">'ANR OK vs ML7'!AR458</f>
        <v>0.1</v>
      </c>
      <c r="AS458" s="213" t="str">
        <f aca="false">IF(A459="","",1/(1+CHOOSE(F$3,(AR459+($I$3/10000))/2,(AR458+($I$3/10000))/2))^(2*AQ458/365.25))</f>
        <v/>
      </c>
      <c r="AT458" s="137" t="str">
        <f aca="false">IF(A459="","",IF(AND(mthbeg&lt;=A458,mthend&gt;=A458),1,0))</f>
        <v/>
      </c>
      <c r="AU458" s="137" t="str">
        <f aca="false">IF(A459="","",AO458*AT458)</f>
        <v/>
      </c>
      <c r="AW458" s="195" t="str">
        <f aca="false">IF($A459="","",AL458*$E458)</f>
        <v/>
      </c>
      <c r="AX458" s="195" t="str">
        <f aca="false">IF($A459="","",AM458*$E458)</f>
        <v/>
      </c>
      <c r="AY458" s="195" t="str">
        <f aca="false">IF($A459="","",AN458*$E458)</f>
        <v/>
      </c>
      <c r="BA458" s="195" t="str">
        <f aca="false">IF($A459="","",F458*Summary!$Q$9)</f>
        <v/>
      </c>
    </row>
    <row r="459" customFormat="false" ht="12.75" hidden="false" customHeight="false" outlineLevel="0" collapsed="false">
      <c r="A459" s="196" t="str">
        <f aca="false">IF(A458&lt;mthend,EDATE(A458,1),"")</f>
        <v/>
      </c>
      <c r="B459" s="197" t="str">
        <f aca="false">IF(A459&lt;mthend,B458,"")</f>
        <v/>
      </c>
      <c r="D459" s="197" t="str">
        <f aca="false">IF(A460&lt;&gt;"",B459+C459,"")</f>
        <v/>
      </c>
      <c r="E459" s="199" t="str">
        <f aca="false">IF(A460="","",IF(AND(AT459=1,$H$3=1),D459*AO459,IF($H$3=2,D459,"N/A")))</f>
        <v/>
      </c>
      <c r="F459" s="199" t="str">
        <f aca="false">IF(A460="","",E459*AS459)</f>
        <v/>
      </c>
      <c r="G459" s="200" t="str">
        <f aca="false">IF($A460="","",VLOOKUP($A459,Table,MATCH(G$4,Curves,0)))</f>
        <v/>
      </c>
      <c r="H459" s="201" t="str">
        <f aca="false">IF(A460="","",G459)</f>
        <v/>
      </c>
      <c r="J459" s="200" t="str">
        <f aca="false">IF($A460="","",VLOOKUP($A459,Table,MATCH(J$4,Curves,0)))</f>
        <v/>
      </c>
      <c r="K459" s="201" t="str">
        <f aca="false">IF(A460="","",J459)</f>
        <v/>
      </c>
      <c r="L459" s="200" t="str">
        <f aca="false">IF($A460="","",VLOOKUP($A459,Table,MATCH(L$4,Curves,0)))</f>
        <v/>
      </c>
      <c r="M459" s="201" t="str">
        <f aca="false">IF(A460="","",L459)</f>
        <v/>
      </c>
      <c r="O459" s="200" t="str">
        <f aca="false">IF(A460="","",L459+J459+G459)</f>
        <v/>
      </c>
      <c r="P459" s="200" t="str">
        <f aca="false">IF(A460="","",M459+K459+H459)</f>
        <v/>
      </c>
      <c r="R459" s="200" t="str">
        <f aca="false">IF($A460="","",VLOOKUP($A459,Table,MATCH(R$4,Curves,0)))</f>
        <v/>
      </c>
      <c r="S459" s="201" t="str">
        <f aca="false">IF(A460="","",R459)</f>
        <v/>
      </c>
      <c r="T459" s="200" t="str">
        <f aca="false">IF($A460="","",VLOOKUP($A459,Table,MATCH(T$4,Curves,0)))</f>
        <v/>
      </c>
      <c r="U459" s="201" t="str">
        <f aca="false">IF(A460="","",T459)</f>
        <v/>
      </c>
      <c r="V459" s="225" t="str">
        <f aca="false">IF($A460="","",IF(AND(MONTH(A459)&gt;3,MONTH(A459)&lt;11),(T459+R459+G459)*Summary!$T$9/(1-Summary!$T$9),(T459+R459+G459)*Summary!$U$9/(1-Summary!$U$9)))</f>
        <v/>
      </c>
      <c r="W459" s="200" t="str">
        <f aca="false">IF($A460="","",(T459+R459+G459+V459))</f>
        <v/>
      </c>
      <c r="X459" s="200" t="str">
        <f aca="false">IF($A460="","",(U459+S459+H459+V459))</f>
        <v/>
      </c>
      <c r="Y459" s="202"/>
      <c r="Z459" s="185"/>
      <c r="AJ459" s="77"/>
      <c r="AK459" s="77"/>
      <c r="AL459" s="77"/>
      <c r="AM459" s="77"/>
      <c r="AN459" s="77"/>
      <c r="AO459" s="137" t="str">
        <f aca="false">IF(A460="","",A460-A459)</f>
        <v/>
      </c>
      <c r="AP459" s="212" t="str">
        <f aca="false">IF(A460="","",CHOOSE(F$3,A460+24,A459))</f>
        <v/>
      </c>
      <c r="AQ459" s="209" t="str">
        <f aca="false">IF(A460="","",AP459-$E$1)</f>
        <v/>
      </c>
      <c r="AR459" s="185" t="n">
        <f aca="false">'ANR OK vs ML7'!AR459</f>
        <v>0.1</v>
      </c>
      <c r="AS459" s="213" t="str">
        <f aca="false">IF(A460="","",1/(1+CHOOSE(F$3,(AR460+($I$3/10000))/2,(AR459+($I$3/10000))/2))^(2*AQ459/365.25))</f>
        <v/>
      </c>
      <c r="AT459" s="137" t="str">
        <f aca="false">IF(A460="","",IF(AND(mthbeg&lt;=A459,mthend&gt;=A459),1,0))</f>
        <v/>
      </c>
      <c r="AU459" s="137" t="str">
        <f aca="false">IF(A460="","",AO459*AT459)</f>
        <v/>
      </c>
      <c r="AW459" s="195" t="str">
        <f aca="false">IF($A460="","",AL459*$E459)</f>
        <v/>
      </c>
      <c r="AX459" s="195" t="str">
        <f aca="false">IF($A460="","",AM459*$E459)</f>
        <v/>
      </c>
      <c r="AY459" s="195" t="str">
        <f aca="false">IF($A460="","",AN459*$E459)</f>
        <v/>
      </c>
      <c r="BA459" s="195" t="str">
        <f aca="false">IF($A460="","",F459*Summary!$Q$9)</f>
        <v/>
      </c>
    </row>
    <row r="460" customFormat="false" ht="12.75" hidden="false" customHeight="false" outlineLevel="0" collapsed="false">
      <c r="A460" s="196" t="str">
        <f aca="false">IF(A459&lt;mthend,EDATE(A459,1),"")</f>
        <v/>
      </c>
      <c r="B460" s="197" t="str">
        <f aca="false">IF(A460&lt;mthend,B459,"")</f>
        <v/>
      </c>
      <c r="D460" s="197" t="str">
        <f aca="false">IF(A461&lt;&gt;"",B460+C460,"")</f>
        <v/>
      </c>
      <c r="E460" s="199" t="str">
        <f aca="false">IF(A461="","",IF(AND(AT460=1,$H$3=1),D460*AO460,IF($H$3=2,D460,"N/A")))</f>
        <v/>
      </c>
      <c r="F460" s="199" t="str">
        <f aca="false">IF(A461="","",E460*AS460)</f>
        <v/>
      </c>
      <c r="G460" s="200" t="str">
        <f aca="false">IF($A461="","",VLOOKUP($A460,Table,MATCH(G$4,Curves,0)))</f>
        <v/>
      </c>
      <c r="H460" s="201" t="str">
        <f aca="false">IF(A461="","",G460)</f>
        <v/>
      </c>
      <c r="J460" s="200" t="str">
        <f aca="false">IF($A461="","",VLOOKUP($A460,Table,MATCH(J$4,Curves,0)))</f>
        <v/>
      </c>
      <c r="K460" s="201" t="str">
        <f aca="false">IF(A461="","",J460)</f>
        <v/>
      </c>
      <c r="L460" s="200" t="str">
        <f aca="false">IF($A461="","",VLOOKUP($A460,Table,MATCH(L$4,Curves,0)))</f>
        <v/>
      </c>
      <c r="M460" s="201" t="str">
        <f aca="false">IF(A461="","",L460)</f>
        <v/>
      </c>
      <c r="O460" s="200" t="str">
        <f aca="false">IF(A461="","",L460+J460+G460)</f>
        <v/>
      </c>
      <c r="P460" s="200" t="str">
        <f aca="false">IF(A461="","",M460+K460+H460)</f>
        <v/>
      </c>
      <c r="R460" s="200" t="str">
        <f aca="false">IF($A461="","",VLOOKUP($A460,Table,MATCH(R$4,Curves,0)))</f>
        <v/>
      </c>
      <c r="S460" s="201" t="str">
        <f aca="false">IF(A461="","",R460)</f>
        <v/>
      </c>
      <c r="T460" s="200" t="str">
        <f aca="false">IF($A461="","",VLOOKUP($A460,Table,MATCH(T$4,Curves,0)))</f>
        <v/>
      </c>
      <c r="U460" s="201" t="str">
        <f aca="false">IF(A461="","",T460)</f>
        <v/>
      </c>
      <c r="V460" s="225" t="str">
        <f aca="false">IF($A461="","",IF(AND(MONTH(A460)&gt;3,MONTH(A460)&lt;11),(T460+R460+G460)*Summary!$T$9/(1-Summary!$T$9),(T460+R460+G460)*Summary!$U$9/(1-Summary!$U$9)))</f>
        <v/>
      </c>
      <c r="W460" s="200" t="str">
        <f aca="false">IF($A461="","",(T460+R460+G460+V460))</f>
        <v/>
      </c>
      <c r="X460" s="200" t="str">
        <f aca="false">IF($A461="","",(U460+S460+H460+V460))</f>
        <v/>
      </c>
      <c r="Y460" s="202"/>
      <c r="Z460" s="185"/>
      <c r="AJ460" s="77"/>
      <c r="AK460" s="77"/>
      <c r="AL460" s="77"/>
      <c r="AM460" s="77"/>
      <c r="AN460" s="77"/>
      <c r="AO460" s="137" t="str">
        <f aca="false">IF(A461="","",A461-A460)</f>
        <v/>
      </c>
      <c r="AP460" s="212" t="str">
        <f aca="false">IF(A461="","",CHOOSE(F$3,A461+24,A460))</f>
        <v/>
      </c>
      <c r="AQ460" s="209" t="str">
        <f aca="false">IF(A461="","",AP460-$E$1)</f>
        <v/>
      </c>
      <c r="AR460" s="185" t="n">
        <f aca="false">'ANR OK vs ML7'!AR460</f>
        <v>0.1</v>
      </c>
      <c r="AS460" s="213" t="str">
        <f aca="false">IF(A461="","",1/(1+CHOOSE(F$3,(AR461+($I$3/10000))/2,(AR460+($I$3/10000))/2))^(2*AQ460/365.25))</f>
        <v/>
      </c>
      <c r="AT460" s="137" t="str">
        <f aca="false">IF(A461="","",IF(AND(mthbeg&lt;=A460,mthend&gt;=A460),1,0))</f>
        <v/>
      </c>
      <c r="AU460" s="137" t="str">
        <f aca="false">IF(A461="","",AO460*AT460)</f>
        <v/>
      </c>
      <c r="AW460" s="195" t="str">
        <f aca="false">IF($A461="","",AL460*$E460)</f>
        <v/>
      </c>
      <c r="AX460" s="195" t="str">
        <f aca="false">IF($A461="","",AM460*$E460)</f>
        <v/>
      </c>
      <c r="AY460" s="195" t="str">
        <f aca="false">IF($A461="","",AN460*$E460)</f>
        <v/>
      </c>
      <c r="BA460" s="195" t="str">
        <f aca="false">IF($A461="","",F460*Summary!$Q$9)</f>
        <v/>
      </c>
    </row>
    <row r="461" customFormat="false" ht="12.75" hidden="false" customHeight="false" outlineLevel="0" collapsed="false">
      <c r="A461" s="196" t="str">
        <f aca="false">IF(A460&lt;mthend,EDATE(A460,1),"")</f>
        <v/>
      </c>
      <c r="B461" s="197" t="str">
        <f aca="false">IF(A461&lt;mthend,B460,"")</f>
        <v/>
      </c>
      <c r="D461" s="197" t="str">
        <f aca="false">IF(A462&lt;&gt;"",B461+C461,"")</f>
        <v/>
      </c>
      <c r="E461" s="199" t="str">
        <f aca="false">IF(A462="","",IF(AND(AT461=1,$H$3=1),D461*AO461,IF($H$3=2,D461,"N/A")))</f>
        <v/>
      </c>
      <c r="F461" s="199" t="str">
        <f aca="false">IF(A462="","",E461*AS461)</f>
        <v/>
      </c>
      <c r="G461" s="200" t="str">
        <f aca="false">IF($A462="","",VLOOKUP($A461,Table,MATCH(G$4,Curves,0)))</f>
        <v/>
      </c>
      <c r="H461" s="201" t="str">
        <f aca="false">IF(A462="","",G461)</f>
        <v/>
      </c>
      <c r="J461" s="200" t="str">
        <f aca="false">IF($A462="","",VLOOKUP($A461,Table,MATCH(J$4,Curves,0)))</f>
        <v/>
      </c>
      <c r="K461" s="201" t="str">
        <f aca="false">IF(A462="","",J461)</f>
        <v/>
      </c>
      <c r="L461" s="200" t="str">
        <f aca="false">IF($A462="","",VLOOKUP($A461,Table,MATCH(L$4,Curves,0)))</f>
        <v/>
      </c>
      <c r="M461" s="201" t="str">
        <f aca="false">IF(A462="","",L461)</f>
        <v/>
      </c>
      <c r="O461" s="200" t="str">
        <f aca="false">IF(A462="","",L461+J461+G461)</f>
        <v/>
      </c>
      <c r="P461" s="200" t="str">
        <f aca="false">IF(A462="","",M461+K461+H461)</f>
        <v/>
      </c>
      <c r="R461" s="200" t="str">
        <f aca="false">IF($A462="","",VLOOKUP($A461,Table,MATCH(R$4,Curves,0)))</f>
        <v/>
      </c>
      <c r="S461" s="201" t="str">
        <f aca="false">IF(A462="","",R461)</f>
        <v/>
      </c>
      <c r="T461" s="200" t="str">
        <f aca="false">IF($A462="","",VLOOKUP($A461,Table,MATCH(T$4,Curves,0)))</f>
        <v/>
      </c>
      <c r="U461" s="201" t="str">
        <f aca="false">IF(A462="","",T461)</f>
        <v/>
      </c>
      <c r="V461" s="225" t="str">
        <f aca="false">IF($A462="","",IF(AND(MONTH(A461)&gt;3,MONTH(A461)&lt;11),(T461+R461+G461)*Summary!$T$9/(1-Summary!$T$9),(T461+R461+G461)*Summary!$U$9/(1-Summary!$U$9)))</f>
        <v/>
      </c>
      <c r="W461" s="200" t="str">
        <f aca="false">IF($A462="","",(T461+R461+G461+V461))</f>
        <v/>
      </c>
      <c r="X461" s="200" t="str">
        <f aca="false">IF($A462="","",(U461+S461+H461+V461))</f>
        <v/>
      </c>
      <c r="Y461" s="202"/>
      <c r="Z461" s="185"/>
      <c r="AJ461" s="77"/>
      <c r="AK461" s="77"/>
      <c r="AL461" s="77"/>
      <c r="AM461" s="77"/>
      <c r="AN461" s="77"/>
      <c r="AO461" s="137" t="str">
        <f aca="false">IF(A462="","",A462-A461)</f>
        <v/>
      </c>
      <c r="AP461" s="212" t="str">
        <f aca="false">IF(A462="","",CHOOSE(F$3,A462+24,A461))</f>
        <v/>
      </c>
      <c r="AQ461" s="209" t="str">
        <f aca="false">IF(A462="","",AP461-$E$1)</f>
        <v/>
      </c>
      <c r="AR461" s="185" t="n">
        <f aca="false">'ANR OK vs ML7'!AR461</f>
        <v>0.1</v>
      </c>
      <c r="AS461" s="213" t="str">
        <f aca="false">IF(A462="","",1/(1+CHOOSE(F$3,(AR462+($I$3/10000))/2,(AR461+($I$3/10000))/2))^(2*AQ461/365.25))</f>
        <v/>
      </c>
      <c r="AT461" s="137" t="str">
        <f aca="false">IF(A462="","",IF(AND(mthbeg&lt;=A461,mthend&gt;=A461),1,0))</f>
        <v/>
      </c>
      <c r="AU461" s="137" t="str">
        <f aca="false">IF(A462="","",AO461*AT461)</f>
        <v/>
      </c>
      <c r="AW461" s="195" t="str">
        <f aca="false">IF($A462="","",AL461*$E461)</f>
        <v/>
      </c>
      <c r="AX461" s="195" t="str">
        <f aca="false">IF($A462="","",AM461*$E461)</f>
        <v/>
      </c>
      <c r="AY461" s="195" t="str">
        <f aca="false">IF($A462="","",AN461*$E461)</f>
        <v/>
      </c>
      <c r="BA461" s="195" t="str">
        <f aca="false">IF($A462="","",F461*Summary!$Q$9)</f>
        <v/>
      </c>
    </row>
    <row r="462" customFormat="false" ht="12.75" hidden="false" customHeight="false" outlineLevel="0" collapsed="false">
      <c r="A462" s="196" t="str">
        <f aca="false">IF(A461&lt;mthend,EDATE(A461,1),"")</f>
        <v/>
      </c>
      <c r="B462" s="197" t="str">
        <f aca="false">IF(A462&lt;mthend,B461,"")</f>
        <v/>
      </c>
      <c r="D462" s="197" t="str">
        <f aca="false">IF(A463&lt;&gt;"",B462+C462,"")</f>
        <v/>
      </c>
      <c r="E462" s="199" t="str">
        <f aca="false">IF(A463="","",IF(AND(AT462=1,$H$3=1),D462*AO462,IF($H$3=2,D462,"N/A")))</f>
        <v/>
      </c>
      <c r="F462" s="199" t="str">
        <f aca="false">IF(A463="","",E462*AS462)</f>
        <v/>
      </c>
      <c r="G462" s="200" t="str">
        <f aca="false">IF($A463="","",VLOOKUP($A462,Table,MATCH(G$4,Curves,0)))</f>
        <v/>
      </c>
      <c r="H462" s="201" t="str">
        <f aca="false">IF(A463="","",G462)</f>
        <v/>
      </c>
      <c r="J462" s="200" t="str">
        <f aca="false">IF($A463="","",VLOOKUP($A462,Table,MATCH(J$4,Curves,0)))</f>
        <v/>
      </c>
      <c r="K462" s="201" t="str">
        <f aca="false">IF(A463="","",J462)</f>
        <v/>
      </c>
      <c r="L462" s="200" t="str">
        <f aca="false">IF($A463="","",VLOOKUP($A462,Table,MATCH(L$4,Curves,0)))</f>
        <v/>
      </c>
      <c r="M462" s="201" t="str">
        <f aca="false">IF(A463="","",L462)</f>
        <v/>
      </c>
      <c r="O462" s="200" t="str">
        <f aca="false">IF(A463="","",L462+J462+G462)</f>
        <v/>
      </c>
      <c r="P462" s="200" t="str">
        <f aca="false">IF(A463="","",M462+K462+H462)</f>
        <v/>
      </c>
      <c r="R462" s="200" t="str">
        <f aca="false">IF($A463="","",VLOOKUP($A462,Table,MATCH(R$4,Curves,0)))</f>
        <v/>
      </c>
      <c r="S462" s="201" t="str">
        <f aca="false">IF(A463="","",R462)</f>
        <v/>
      </c>
      <c r="T462" s="200" t="str">
        <f aca="false">IF($A463="","",VLOOKUP($A462,Table,MATCH(T$4,Curves,0)))</f>
        <v/>
      </c>
      <c r="U462" s="201" t="str">
        <f aca="false">IF(A463="","",T462)</f>
        <v/>
      </c>
      <c r="V462" s="225" t="str">
        <f aca="false">IF($A463="","",IF(AND(MONTH(A462)&gt;3,MONTH(A462)&lt;11),(T462+R462+G462)*Summary!$T$9/(1-Summary!$T$9),(T462+R462+G462)*Summary!$U$9/(1-Summary!$U$9)))</f>
        <v/>
      </c>
      <c r="W462" s="200" t="str">
        <f aca="false">IF($A463="","",(T462+R462+G462+V462))</f>
        <v/>
      </c>
      <c r="X462" s="200" t="str">
        <f aca="false">IF($A463="","",(U462+S462+H462+V462))</f>
        <v/>
      </c>
      <c r="Y462" s="202"/>
      <c r="Z462" s="185"/>
      <c r="AJ462" s="77"/>
      <c r="AK462" s="77"/>
      <c r="AL462" s="77"/>
      <c r="AM462" s="77"/>
      <c r="AN462" s="77"/>
      <c r="AO462" s="137" t="str">
        <f aca="false">IF(A463="","",A463-A462)</f>
        <v/>
      </c>
      <c r="AP462" s="212" t="str">
        <f aca="false">IF(A463="","",CHOOSE(F$3,A463+24,A462))</f>
        <v/>
      </c>
      <c r="AQ462" s="209" t="str">
        <f aca="false">IF(A463="","",AP462-$E$1)</f>
        <v/>
      </c>
      <c r="AR462" s="185" t="n">
        <f aca="false">'ANR OK vs ML7'!AR462</f>
        <v>0.1</v>
      </c>
      <c r="AS462" s="213" t="str">
        <f aca="false">IF(A463="","",1/(1+CHOOSE(F$3,(AR463+($I$3/10000))/2,(AR462+($I$3/10000))/2))^(2*AQ462/365.25))</f>
        <v/>
      </c>
      <c r="AT462" s="137" t="str">
        <f aca="false">IF(A463="","",IF(AND(mthbeg&lt;=A462,mthend&gt;=A462),1,0))</f>
        <v/>
      </c>
      <c r="AU462" s="137" t="str">
        <f aca="false">IF(A463="","",AO462*AT462)</f>
        <v/>
      </c>
      <c r="AW462" s="195" t="str">
        <f aca="false">IF($A463="","",AL462*$E462)</f>
        <v/>
      </c>
      <c r="AX462" s="195" t="str">
        <f aca="false">IF($A463="","",AM462*$E462)</f>
        <v/>
      </c>
      <c r="AY462" s="195" t="str">
        <f aca="false">IF($A463="","",AN462*$E462)</f>
        <v/>
      </c>
      <c r="BA462" s="195" t="str">
        <f aca="false">IF($A463="","",F462*Summary!$Q$9)</f>
        <v/>
      </c>
    </row>
    <row r="463" customFormat="false" ht="12.75" hidden="false" customHeight="false" outlineLevel="0" collapsed="false">
      <c r="A463" s="196" t="str">
        <f aca="false">IF(A462&lt;mthend,EDATE(A462,1),"")</f>
        <v/>
      </c>
      <c r="B463" s="197" t="str">
        <f aca="false">IF(A463&lt;mthend,B462,"")</f>
        <v/>
      </c>
      <c r="D463" s="197" t="str">
        <f aca="false">IF(A464&lt;&gt;"",B463+C463,"")</f>
        <v/>
      </c>
      <c r="E463" s="199" t="str">
        <f aca="false">IF(A464="","",IF(AND(AT463=1,$H$3=1),D463*AO463,IF($H$3=2,D463,"N/A")))</f>
        <v/>
      </c>
      <c r="F463" s="199" t="str">
        <f aca="false">IF(A464="","",E463*AS463)</f>
        <v/>
      </c>
      <c r="G463" s="200" t="str">
        <f aca="false">IF($A464="","",VLOOKUP($A463,Table,MATCH(G$4,Curves,0)))</f>
        <v/>
      </c>
      <c r="H463" s="201" t="str">
        <f aca="false">IF(A464="","",G463)</f>
        <v/>
      </c>
      <c r="J463" s="200" t="str">
        <f aca="false">IF($A464="","",VLOOKUP($A463,Table,MATCH(J$4,Curves,0)))</f>
        <v/>
      </c>
      <c r="K463" s="201" t="str">
        <f aca="false">IF(A464="","",J463)</f>
        <v/>
      </c>
      <c r="L463" s="200" t="str">
        <f aca="false">IF($A464="","",VLOOKUP($A463,Table,MATCH(L$4,Curves,0)))</f>
        <v/>
      </c>
      <c r="M463" s="201" t="str">
        <f aca="false">IF(A464="","",L463)</f>
        <v/>
      </c>
      <c r="O463" s="200" t="str">
        <f aca="false">IF(A464="","",L463+J463+G463)</f>
        <v/>
      </c>
      <c r="P463" s="200" t="str">
        <f aca="false">IF(A464="","",M463+K463+H463)</f>
        <v/>
      </c>
      <c r="R463" s="200" t="str">
        <f aca="false">IF($A464="","",VLOOKUP($A463,Table,MATCH(R$4,Curves,0)))</f>
        <v/>
      </c>
      <c r="S463" s="201" t="str">
        <f aca="false">IF(A464="","",R463)</f>
        <v/>
      </c>
      <c r="T463" s="200" t="str">
        <f aca="false">IF($A464="","",VLOOKUP($A463,Table,MATCH(T$4,Curves,0)))</f>
        <v/>
      </c>
      <c r="U463" s="201" t="str">
        <f aca="false">IF(A464="","",T463)</f>
        <v/>
      </c>
      <c r="V463" s="225" t="str">
        <f aca="false">IF($A464="","",IF(AND(MONTH(A463)&gt;3,MONTH(A463)&lt;11),(T463+R463+G463)*Summary!$T$9/(1-Summary!$T$9),(T463+R463+G463)*Summary!$U$9/(1-Summary!$U$9)))</f>
        <v/>
      </c>
      <c r="W463" s="200" t="str">
        <f aca="false">IF($A464="","",(T463+R463+G463+V463))</f>
        <v/>
      </c>
      <c r="X463" s="200" t="str">
        <f aca="false">IF($A464="","",(U463+S463+H463+V463))</f>
        <v/>
      </c>
      <c r="Y463" s="202"/>
      <c r="Z463" s="185"/>
      <c r="AJ463" s="77"/>
      <c r="AK463" s="77"/>
      <c r="AL463" s="77"/>
      <c r="AM463" s="77"/>
      <c r="AN463" s="77"/>
      <c r="AO463" s="137" t="str">
        <f aca="false">IF(A464="","",A464-A463)</f>
        <v/>
      </c>
      <c r="AP463" s="212" t="str">
        <f aca="false">IF(A464="","",CHOOSE(F$3,A464+24,A463))</f>
        <v/>
      </c>
      <c r="AQ463" s="209" t="str">
        <f aca="false">IF(A464="","",AP463-$E$1)</f>
        <v/>
      </c>
      <c r="AR463" s="185" t="n">
        <f aca="false">'ANR OK vs ML7'!AR463</f>
        <v>0.1</v>
      </c>
      <c r="AS463" s="213" t="str">
        <f aca="false">IF(A464="","",1/(1+CHOOSE(F$3,(AR464+($I$3/10000))/2,(AR463+($I$3/10000))/2))^(2*AQ463/365.25))</f>
        <v/>
      </c>
      <c r="AT463" s="137" t="str">
        <f aca="false">IF(A464="","",IF(AND(mthbeg&lt;=A463,mthend&gt;=A463),1,0))</f>
        <v/>
      </c>
      <c r="AU463" s="137" t="str">
        <f aca="false">IF(A464="","",AO463*AT463)</f>
        <v/>
      </c>
      <c r="AW463" s="195" t="str">
        <f aca="false">IF($A464="","",AL463*$E463)</f>
        <v/>
      </c>
      <c r="AX463" s="195" t="str">
        <f aca="false">IF($A464="","",AM463*$E463)</f>
        <v/>
      </c>
      <c r="AY463" s="195" t="str">
        <f aca="false">IF($A464="","",AN463*$E463)</f>
        <v/>
      </c>
      <c r="BA463" s="195" t="str">
        <f aca="false">IF($A464="","",F463*Summary!$Q$9)</f>
        <v/>
      </c>
    </row>
    <row r="464" customFormat="false" ht="12.75" hidden="false" customHeight="false" outlineLevel="0" collapsed="false">
      <c r="A464" s="196" t="str">
        <f aca="false">IF(A463&lt;mthend,EDATE(A463,1),"")</f>
        <v/>
      </c>
      <c r="B464" s="197" t="str">
        <f aca="false">IF(A464&lt;mthend,B463,"")</f>
        <v/>
      </c>
      <c r="D464" s="197" t="str">
        <f aca="false">IF(A465&lt;&gt;"",B464+C464,"")</f>
        <v/>
      </c>
      <c r="E464" s="199" t="str">
        <f aca="false">IF(A465="","",IF(AND(AT464=1,$H$3=1),D464*AO464,IF($H$3=2,D464,"N/A")))</f>
        <v/>
      </c>
      <c r="F464" s="199" t="str">
        <f aca="false">IF(A465="","",E464*AS464)</f>
        <v/>
      </c>
      <c r="G464" s="200" t="str">
        <f aca="false">IF($A465="","",VLOOKUP($A464,Table,MATCH(G$4,Curves,0)))</f>
        <v/>
      </c>
      <c r="H464" s="201" t="str">
        <f aca="false">IF(A465="","",G464)</f>
        <v/>
      </c>
      <c r="J464" s="200" t="str">
        <f aca="false">IF($A465="","",VLOOKUP($A464,Table,MATCH(J$4,Curves,0)))</f>
        <v/>
      </c>
      <c r="K464" s="201" t="str">
        <f aca="false">IF(A465="","",J464)</f>
        <v/>
      </c>
      <c r="L464" s="200" t="str">
        <f aca="false">IF($A465="","",VLOOKUP($A464,Table,MATCH(L$4,Curves,0)))</f>
        <v/>
      </c>
      <c r="M464" s="201" t="str">
        <f aca="false">IF(A465="","",L464)</f>
        <v/>
      </c>
      <c r="O464" s="200" t="str">
        <f aca="false">IF(A465="","",L464+J464+G464)</f>
        <v/>
      </c>
      <c r="P464" s="200" t="str">
        <f aca="false">IF(A465="","",M464+K464+H464)</f>
        <v/>
      </c>
      <c r="R464" s="200" t="str">
        <f aca="false">IF($A465="","",VLOOKUP($A464,Table,MATCH(R$4,Curves,0)))</f>
        <v/>
      </c>
      <c r="S464" s="201" t="str">
        <f aca="false">IF(A465="","",R464)</f>
        <v/>
      </c>
      <c r="T464" s="200" t="str">
        <f aca="false">IF($A465="","",VLOOKUP($A464,Table,MATCH(T$4,Curves,0)))</f>
        <v/>
      </c>
      <c r="U464" s="201" t="str">
        <f aca="false">IF(A465="","",T464)</f>
        <v/>
      </c>
      <c r="V464" s="225" t="str">
        <f aca="false">IF($A465="","",IF(AND(MONTH(A464)&gt;3,MONTH(A464)&lt;11),(T464+R464+G464)*Summary!$T$9/(1-Summary!$T$9),(T464+R464+G464)*Summary!$U$9/(1-Summary!$U$9)))</f>
        <v/>
      </c>
      <c r="W464" s="200" t="str">
        <f aca="false">IF($A465="","",(T464+R464+G464+V464))</f>
        <v/>
      </c>
      <c r="X464" s="200" t="str">
        <f aca="false">IF($A465="","",(U464+S464+H464+V464))</f>
        <v/>
      </c>
      <c r="Y464" s="202"/>
      <c r="Z464" s="185"/>
      <c r="AJ464" s="77"/>
      <c r="AK464" s="77"/>
      <c r="AL464" s="77"/>
      <c r="AM464" s="77"/>
      <c r="AN464" s="77"/>
      <c r="AO464" s="137" t="str">
        <f aca="false">IF(A465="","",A465-A464)</f>
        <v/>
      </c>
      <c r="AP464" s="212" t="str">
        <f aca="false">IF(A465="","",CHOOSE(F$3,A465+24,A464))</f>
        <v/>
      </c>
      <c r="AQ464" s="209" t="str">
        <f aca="false">IF(A465="","",AP464-$E$1)</f>
        <v/>
      </c>
      <c r="AR464" s="185" t="n">
        <f aca="false">'ANR OK vs ML7'!AR464</f>
        <v>0.1</v>
      </c>
      <c r="AS464" s="213" t="str">
        <f aca="false">IF(A465="","",1/(1+CHOOSE(F$3,(AR465+($I$3/10000))/2,(AR464+($I$3/10000))/2))^(2*AQ464/365.25))</f>
        <v/>
      </c>
      <c r="AT464" s="137" t="str">
        <f aca="false">IF(A465="","",IF(AND(mthbeg&lt;=A464,mthend&gt;=A464),1,0))</f>
        <v/>
      </c>
      <c r="AU464" s="137" t="str">
        <f aca="false">IF(A465="","",AO464*AT464)</f>
        <v/>
      </c>
      <c r="AW464" s="195" t="str">
        <f aca="false">IF($A465="","",AL464*$E464)</f>
        <v/>
      </c>
      <c r="AX464" s="195" t="str">
        <f aca="false">IF($A465="","",AM464*$E464)</f>
        <v/>
      </c>
      <c r="AY464" s="195" t="str">
        <f aca="false">IF($A465="","",AN464*$E464)</f>
        <v/>
      </c>
      <c r="BA464" s="195" t="str">
        <f aca="false">IF($A465="","",F464*Summary!$Q$9)</f>
        <v/>
      </c>
    </row>
    <row r="465" customFormat="false" ht="12.75" hidden="false" customHeight="false" outlineLevel="0" collapsed="false">
      <c r="A465" s="196" t="str">
        <f aca="false">IF(A464&lt;mthend,EDATE(A464,1),"")</f>
        <v/>
      </c>
      <c r="B465" s="197" t="str">
        <f aca="false">IF(A465&lt;mthend,B464,"")</f>
        <v/>
      </c>
      <c r="D465" s="197" t="str">
        <f aca="false">IF(A466&lt;&gt;"",B465+C465,"")</f>
        <v/>
      </c>
      <c r="E465" s="199" t="str">
        <f aca="false">IF(A466="","",IF(AND(AT465=1,$H$3=1),D465*AO465,IF($H$3=2,D465,"N/A")))</f>
        <v/>
      </c>
      <c r="F465" s="199" t="str">
        <f aca="false">IF(A466="","",E465*AS465)</f>
        <v/>
      </c>
      <c r="G465" s="200" t="str">
        <f aca="false">IF($A466="","",VLOOKUP($A465,Table,MATCH(G$4,Curves,0)))</f>
        <v/>
      </c>
      <c r="H465" s="201" t="str">
        <f aca="false">IF(A466="","",G465)</f>
        <v/>
      </c>
      <c r="J465" s="200" t="str">
        <f aca="false">IF($A466="","",VLOOKUP($A465,Table,MATCH(J$4,Curves,0)))</f>
        <v/>
      </c>
      <c r="K465" s="201" t="str">
        <f aca="false">IF(A466="","",J465)</f>
        <v/>
      </c>
      <c r="L465" s="200" t="str">
        <f aca="false">IF($A466="","",VLOOKUP($A465,Table,MATCH(L$4,Curves,0)))</f>
        <v/>
      </c>
      <c r="M465" s="201" t="str">
        <f aca="false">IF(A466="","",L465)</f>
        <v/>
      </c>
      <c r="O465" s="200" t="str">
        <f aca="false">IF(A466="","",L465+J465+G465)</f>
        <v/>
      </c>
      <c r="P465" s="200" t="str">
        <f aca="false">IF(A466="","",M465+K465+H465)</f>
        <v/>
      </c>
      <c r="R465" s="200" t="str">
        <f aca="false">IF($A466="","",VLOOKUP($A465,Table,MATCH(R$4,Curves,0)))</f>
        <v/>
      </c>
      <c r="S465" s="201" t="str">
        <f aca="false">IF(A466="","",R465)</f>
        <v/>
      </c>
      <c r="T465" s="200" t="str">
        <f aca="false">IF($A466="","",VLOOKUP($A465,Table,MATCH(T$4,Curves,0)))</f>
        <v/>
      </c>
      <c r="U465" s="201" t="str">
        <f aca="false">IF(A466="","",T465)</f>
        <v/>
      </c>
      <c r="V465" s="225" t="str">
        <f aca="false">IF($A466="","",IF(AND(MONTH(A465)&gt;3,MONTH(A465)&lt;11),(T465+R465+G465)*Summary!$T$9/(1-Summary!$T$9),(T465+R465+G465)*Summary!$U$9/(1-Summary!$U$9)))</f>
        <v/>
      </c>
      <c r="W465" s="200" t="str">
        <f aca="false">IF($A466="","",(T465+R465+G465+V465))</f>
        <v/>
      </c>
      <c r="X465" s="200" t="str">
        <f aca="false">IF($A466="","",(U465+S465+H465+V465))</f>
        <v/>
      </c>
      <c r="Y465" s="202"/>
      <c r="Z465" s="185"/>
      <c r="AJ465" s="77"/>
      <c r="AK465" s="77"/>
      <c r="AL465" s="77"/>
      <c r="AM465" s="77"/>
      <c r="AN465" s="77"/>
      <c r="AO465" s="137" t="str">
        <f aca="false">IF(A466="","",A466-A465)</f>
        <v/>
      </c>
      <c r="AP465" s="212" t="str">
        <f aca="false">IF(A466="","",CHOOSE(F$3,A466+24,A465))</f>
        <v/>
      </c>
      <c r="AQ465" s="209" t="str">
        <f aca="false">IF(A466="","",AP465-$E$1)</f>
        <v/>
      </c>
      <c r="AR465" s="185" t="n">
        <f aca="false">'ANR OK vs ML7'!AR465</f>
        <v>0.1</v>
      </c>
      <c r="AS465" s="213" t="str">
        <f aca="false">IF(A466="","",1/(1+CHOOSE(F$3,(AR466+($I$3/10000))/2,(AR465+($I$3/10000))/2))^(2*AQ465/365.25))</f>
        <v/>
      </c>
      <c r="AT465" s="137" t="str">
        <f aca="false">IF(A466="","",IF(AND(mthbeg&lt;=A465,mthend&gt;=A465),1,0))</f>
        <v/>
      </c>
      <c r="AU465" s="137" t="str">
        <f aca="false">IF(A466="","",AO465*AT465)</f>
        <v/>
      </c>
      <c r="AW465" s="195" t="str">
        <f aca="false">IF($A466="","",AL465*$E465)</f>
        <v/>
      </c>
      <c r="AX465" s="195" t="str">
        <f aca="false">IF($A466="","",AM465*$E465)</f>
        <v/>
      </c>
      <c r="AY465" s="195" t="str">
        <f aca="false">IF($A466="","",AN465*$E465)</f>
        <v/>
      </c>
      <c r="BA465" s="195" t="str">
        <f aca="false">IF($A466="","",F465*Summary!$Q$9)</f>
        <v/>
      </c>
    </row>
    <row r="466" customFormat="false" ht="12.75" hidden="false" customHeight="false" outlineLevel="0" collapsed="false">
      <c r="A466" s="196" t="str">
        <f aca="false">IF(A465&lt;mthend,EDATE(A465,1),"")</f>
        <v/>
      </c>
      <c r="B466" s="197" t="str">
        <f aca="false">IF(A466&lt;mthend,B465,"")</f>
        <v/>
      </c>
      <c r="D466" s="197" t="str">
        <f aca="false">IF(A467&lt;&gt;"",B466+C466,"")</f>
        <v/>
      </c>
      <c r="E466" s="199" t="str">
        <f aca="false">IF(A467="","",IF(AND(AT466=1,$H$3=1),D466*AO466,IF($H$3=2,D466,"N/A")))</f>
        <v/>
      </c>
      <c r="F466" s="199" t="str">
        <f aca="false">IF(A467="","",E466*AS466)</f>
        <v/>
      </c>
      <c r="G466" s="200" t="str">
        <f aca="false">IF($A467="","",VLOOKUP($A466,Table,MATCH(G$4,Curves,0)))</f>
        <v/>
      </c>
      <c r="H466" s="201" t="str">
        <f aca="false">IF(A467="","",G466)</f>
        <v/>
      </c>
      <c r="J466" s="200" t="str">
        <f aca="false">IF($A467="","",VLOOKUP($A466,Table,MATCH(J$4,Curves,0)))</f>
        <v/>
      </c>
      <c r="K466" s="201" t="str">
        <f aca="false">IF(A467="","",J466)</f>
        <v/>
      </c>
      <c r="L466" s="200" t="str">
        <f aca="false">IF($A467="","",VLOOKUP($A466,Table,MATCH(L$4,Curves,0)))</f>
        <v/>
      </c>
      <c r="M466" s="201" t="str">
        <f aca="false">IF(A467="","",L466)</f>
        <v/>
      </c>
      <c r="O466" s="200" t="str">
        <f aca="false">IF(A467="","",L466+J466+G466)</f>
        <v/>
      </c>
      <c r="P466" s="200" t="str">
        <f aca="false">IF(A467="","",M466+K466+H466)</f>
        <v/>
      </c>
      <c r="R466" s="200" t="str">
        <f aca="false">IF($A467="","",VLOOKUP($A466,Table,MATCH(R$4,Curves,0)))</f>
        <v/>
      </c>
      <c r="S466" s="201" t="str">
        <f aca="false">IF(A467="","",R466)</f>
        <v/>
      </c>
      <c r="T466" s="200" t="str">
        <f aca="false">IF($A467="","",VLOOKUP($A466,Table,MATCH(T$4,Curves,0)))</f>
        <v/>
      </c>
      <c r="U466" s="201" t="str">
        <f aca="false">IF(A467="","",T466)</f>
        <v/>
      </c>
      <c r="V466" s="225" t="str">
        <f aca="false">IF($A467="","",IF(AND(MONTH(A466)&gt;3,MONTH(A466)&lt;11),(T466+R466+G466)*Summary!$T$9/(1-Summary!$T$9),(T466+R466+G466)*Summary!$U$9/(1-Summary!$U$9)))</f>
        <v/>
      </c>
      <c r="W466" s="200" t="str">
        <f aca="false">IF($A467="","",(T466+R466+G466+V466))</f>
        <v/>
      </c>
      <c r="X466" s="200" t="str">
        <f aca="false">IF($A467="","",(U466+S466+H466+V466))</f>
        <v/>
      </c>
      <c r="Y466" s="202"/>
      <c r="Z466" s="185"/>
      <c r="AJ466" s="77"/>
      <c r="AK466" s="77"/>
      <c r="AL466" s="77"/>
      <c r="AM466" s="77"/>
      <c r="AN466" s="77"/>
      <c r="AO466" s="137" t="str">
        <f aca="false">IF(A467="","",A467-A466)</f>
        <v/>
      </c>
      <c r="AP466" s="212" t="str">
        <f aca="false">IF(A467="","",CHOOSE(F$3,A467+24,A466))</f>
        <v/>
      </c>
      <c r="AQ466" s="209" t="str">
        <f aca="false">IF(A467="","",AP466-$E$1)</f>
        <v/>
      </c>
      <c r="AR466" s="185" t="n">
        <f aca="false">'ANR OK vs ML7'!AR466</f>
        <v>0.1</v>
      </c>
      <c r="AS466" s="213" t="str">
        <f aca="false">IF(A467="","",1/(1+CHOOSE(F$3,(AR467+($I$3/10000))/2,(AR466+($I$3/10000))/2))^(2*AQ466/365.25))</f>
        <v/>
      </c>
      <c r="AT466" s="137" t="str">
        <f aca="false">IF(A467="","",IF(AND(mthbeg&lt;=A466,mthend&gt;=A466),1,0))</f>
        <v/>
      </c>
      <c r="AU466" s="137" t="str">
        <f aca="false">IF(A467="","",AO466*AT466)</f>
        <v/>
      </c>
      <c r="AW466" s="195" t="str">
        <f aca="false">IF($A467="","",AL466*$E466)</f>
        <v/>
      </c>
      <c r="AX466" s="195" t="str">
        <f aca="false">IF($A467="","",AM466*$E466)</f>
        <v/>
      </c>
      <c r="AY466" s="195" t="str">
        <f aca="false">IF($A467="","",AN466*$E466)</f>
        <v/>
      </c>
      <c r="BA466" s="195" t="str">
        <f aca="false">IF($A467="","",F466*Summary!$Q$9)</f>
        <v/>
      </c>
    </row>
    <row r="467" customFormat="false" ht="12.75" hidden="false" customHeight="false" outlineLevel="0" collapsed="false">
      <c r="A467" s="196" t="str">
        <f aca="false">IF(A466&lt;mthend,EDATE(A466,1),"")</f>
        <v/>
      </c>
      <c r="B467" s="197" t="str">
        <f aca="false">IF(A467&lt;mthend,B466,"")</f>
        <v/>
      </c>
      <c r="D467" s="197" t="str">
        <f aca="false">IF(A468&lt;&gt;"",B467+C467,"")</f>
        <v/>
      </c>
      <c r="E467" s="199" t="str">
        <f aca="false">IF(A468="","",IF(AND(AT467=1,$H$3=1),D467*AO467,IF($H$3=2,D467,"N/A")))</f>
        <v/>
      </c>
      <c r="F467" s="199" t="str">
        <f aca="false">IF(A468="","",E467*AS467)</f>
        <v/>
      </c>
      <c r="G467" s="200" t="str">
        <f aca="false">IF($A468="","",VLOOKUP($A467,Table,MATCH(G$4,Curves,0)))</f>
        <v/>
      </c>
      <c r="H467" s="201" t="str">
        <f aca="false">IF(A468="","",G467)</f>
        <v/>
      </c>
      <c r="J467" s="200" t="str">
        <f aca="false">IF($A468="","",VLOOKUP($A467,Table,MATCH(J$4,Curves,0)))</f>
        <v/>
      </c>
      <c r="K467" s="201" t="str">
        <f aca="false">IF(A468="","",J467)</f>
        <v/>
      </c>
      <c r="L467" s="200" t="str">
        <f aca="false">IF($A468="","",VLOOKUP($A467,Table,MATCH(L$4,Curves,0)))</f>
        <v/>
      </c>
      <c r="M467" s="201" t="str">
        <f aca="false">IF(A468="","",L467)</f>
        <v/>
      </c>
      <c r="O467" s="200" t="str">
        <f aca="false">IF(A468="","",L467+J467+G467)</f>
        <v/>
      </c>
      <c r="P467" s="200" t="str">
        <f aca="false">IF(A468="","",M467+K467+H467)</f>
        <v/>
      </c>
      <c r="R467" s="200" t="str">
        <f aca="false">IF($A468="","",VLOOKUP($A467,Table,MATCH(R$4,Curves,0)))</f>
        <v/>
      </c>
      <c r="S467" s="201" t="str">
        <f aca="false">IF(A468="","",R467)</f>
        <v/>
      </c>
      <c r="T467" s="200" t="str">
        <f aca="false">IF($A468="","",VLOOKUP($A467,Table,MATCH(T$4,Curves,0)))</f>
        <v/>
      </c>
      <c r="U467" s="201" t="str">
        <f aca="false">IF(A468="","",T467)</f>
        <v/>
      </c>
      <c r="V467" s="225" t="str">
        <f aca="false">IF($A468="","",IF(AND(MONTH(A467)&gt;3,MONTH(A467)&lt;11),(T467+R467+G467)*Summary!$T$9/(1-Summary!$T$9),(T467+R467+G467)*Summary!$U$9/(1-Summary!$U$9)))</f>
        <v/>
      </c>
      <c r="W467" s="200" t="str">
        <f aca="false">IF($A468="","",(T467+R467+G467+V467))</f>
        <v/>
      </c>
      <c r="X467" s="200" t="str">
        <f aca="false">IF($A468="","",(U467+S467+H467+V467))</f>
        <v/>
      </c>
      <c r="Y467" s="202"/>
      <c r="Z467" s="185"/>
      <c r="AJ467" s="77"/>
      <c r="AK467" s="77"/>
      <c r="AL467" s="77"/>
      <c r="AM467" s="77"/>
      <c r="AN467" s="77"/>
      <c r="AO467" s="137" t="str">
        <f aca="false">IF(A468="","",A468-A467)</f>
        <v/>
      </c>
      <c r="AP467" s="212" t="str">
        <f aca="false">IF(A468="","",CHOOSE(F$3,A468+24,A467))</f>
        <v/>
      </c>
      <c r="AQ467" s="209" t="str">
        <f aca="false">IF(A468="","",AP467-$E$1)</f>
        <v/>
      </c>
      <c r="AR467" s="185" t="n">
        <f aca="false">'ANR OK vs ML7'!AR467</f>
        <v>0.1</v>
      </c>
      <c r="AS467" s="213" t="str">
        <f aca="false">IF(A468="","",1/(1+CHOOSE(F$3,(AR468+($I$3/10000))/2,(AR467+($I$3/10000))/2))^(2*AQ467/365.25))</f>
        <v/>
      </c>
      <c r="AT467" s="137" t="str">
        <f aca="false">IF(A468="","",IF(AND(mthbeg&lt;=A467,mthend&gt;=A467),1,0))</f>
        <v/>
      </c>
      <c r="AU467" s="137" t="str">
        <f aca="false">IF(A468="","",AO467*AT467)</f>
        <v/>
      </c>
      <c r="AW467" s="195" t="str">
        <f aca="false">IF($A468="","",AL467*$E467)</f>
        <v/>
      </c>
      <c r="AX467" s="195" t="str">
        <f aca="false">IF($A468="","",AM467*$E467)</f>
        <v/>
      </c>
      <c r="AY467" s="195" t="str">
        <f aca="false">IF($A468="","",AN467*$E467)</f>
        <v/>
      </c>
      <c r="BA467" s="195" t="str">
        <f aca="false">IF($A468="","",F467*Summary!$Q$9)</f>
        <v/>
      </c>
    </row>
    <row r="468" customFormat="false" ht="12.75" hidden="false" customHeight="false" outlineLevel="0" collapsed="false">
      <c r="A468" s="196" t="str">
        <f aca="false">IF(A467&lt;mthend,EDATE(A467,1),"")</f>
        <v/>
      </c>
      <c r="B468" s="197" t="str">
        <f aca="false">IF(A468&lt;mthend,B467,"")</f>
        <v/>
      </c>
      <c r="D468" s="197" t="str">
        <f aca="false">IF(A469&lt;&gt;"",B468+C468,"")</f>
        <v/>
      </c>
      <c r="E468" s="199" t="str">
        <f aca="false">IF(A469="","",IF(AND(AT468=1,$H$3=1),D468*AO468,IF($H$3=2,D468,"N/A")))</f>
        <v/>
      </c>
      <c r="F468" s="199" t="str">
        <f aca="false">IF(A469="","",E468*AS468)</f>
        <v/>
      </c>
      <c r="G468" s="200" t="str">
        <f aca="false">IF($A469="","",VLOOKUP($A468,Table,MATCH(G$4,Curves,0)))</f>
        <v/>
      </c>
      <c r="H468" s="201" t="str">
        <f aca="false">IF(A469="","",G468)</f>
        <v/>
      </c>
      <c r="J468" s="200" t="str">
        <f aca="false">IF($A469="","",VLOOKUP($A468,Table,MATCH(J$4,Curves,0)))</f>
        <v/>
      </c>
      <c r="K468" s="201" t="str">
        <f aca="false">IF(A469="","",J468)</f>
        <v/>
      </c>
      <c r="L468" s="200" t="str">
        <f aca="false">IF($A469="","",VLOOKUP($A468,Table,MATCH(L$4,Curves,0)))</f>
        <v/>
      </c>
      <c r="M468" s="201" t="str">
        <f aca="false">IF(A469="","",L468)</f>
        <v/>
      </c>
      <c r="O468" s="200" t="str">
        <f aca="false">IF(A469="","",L468+J468+G468)</f>
        <v/>
      </c>
      <c r="P468" s="200" t="str">
        <f aca="false">IF(A469="","",M468+K468+H468)</f>
        <v/>
      </c>
      <c r="R468" s="200" t="str">
        <f aca="false">IF($A469="","",VLOOKUP($A468,Table,MATCH(R$4,Curves,0)))</f>
        <v/>
      </c>
      <c r="S468" s="201" t="str">
        <f aca="false">IF(A469="","",R468)</f>
        <v/>
      </c>
      <c r="T468" s="200" t="str">
        <f aca="false">IF($A469="","",VLOOKUP($A468,Table,MATCH(T$4,Curves,0)))</f>
        <v/>
      </c>
      <c r="U468" s="201" t="str">
        <f aca="false">IF(A469="","",T468)</f>
        <v/>
      </c>
      <c r="V468" s="225" t="str">
        <f aca="false">IF($A469="","",IF(AND(MONTH(A468)&gt;3,MONTH(A468)&lt;11),(T468+R468+G468)*Summary!$T$9/(1-Summary!$T$9),(T468+R468+G468)*Summary!$U$9/(1-Summary!$U$9)))</f>
        <v/>
      </c>
      <c r="W468" s="200" t="str">
        <f aca="false">IF($A469="","",(T468+R468+G468+V468))</f>
        <v/>
      </c>
      <c r="X468" s="200" t="str">
        <f aca="false">IF($A469="","",(U468+S468+H468+V468))</f>
        <v/>
      </c>
      <c r="Y468" s="202"/>
      <c r="Z468" s="185"/>
      <c r="AJ468" s="77"/>
      <c r="AK468" s="77"/>
      <c r="AL468" s="77"/>
      <c r="AM468" s="77"/>
      <c r="AN468" s="77"/>
      <c r="AO468" s="137" t="str">
        <f aca="false">IF(A469="","",A469-A468)</f>
        <v/>
      </c>
      <c r="AP468" s="212" t="str">
        <f aca="false">IF(A469="","",CHOOSE(F$3,A469+24,A468))</f>
        <v/>
      </c>
      <c r="AQ468" s="209" t="str">
        <f aca="false">IF(A469="","",AP468-$E$1)</f>
        <v/>
      </c>
      <c r="AR468" s="185" t="n">
        <f aca="false">'ANR OK vs ML7'!AR468</f>
        <v>0.1</v>
      </c>
      <c r="AS468" s="213" t="str">
        <f aca="false">IF(A469="","",1/(1+CHOOSE(F$3,(AR469+($I$3/10000))/2,(AR468+($I$3/10000))/2))^(2*AQ468/365.25))</f>
        <v/>
      </c>
      <c r="AT468" s="137" t="str">
        <f aca="false">IF(A469="","",IF(AND(mthbeg&lt;=A468,mthend&gt;=A468),1,0))</f>
        <v/>
      </c>
      <c r="AU468" s="137" t="str">
        <f aca="false">IF(A469="","",AO468*AT468)</f>
        <v/>
      </c>
      <c r="AW468" s="195" t="str">
        <f aca="false">IF($A469="","",AL468*$E468)</f>
        <v/>
      </c>
      <c r="AX468" s="195" t="str">
        <f aca="false">IF($A469="","",AM468*$E468)</f>
        <v/>
      </c>
      <c r="AY468" s="195" t="str">
        <f aca="false">IF($A469="","",AN468*$E468)</f>
        <v/>
      </c>
      <c r="BA468" s="195" t="str">
        <f aca="false">IF($A469="","",F468*Summary!$Q$9)</f>
        <v/>
      </c>
    </row>
    <row r="469" customFormat="false" ht="12.75" hidden="false" customHeight="false" outlineLevel="0" collapsed="false">
      <c r="A469" s="196" t="str">
        <f aca="false">IF(A468&lt;mthend,EDATE(A468,1),"")</f>
        <v/>
      </c>
      <c r="B469" s="197" t="str">
        <f aca="false">IF(A469&lt;mthend,B468,"")</f>
        <v/>
      </c>
      <c r="D469" s="197" t="str">
        <f aca="false">IF(A470&lt;&gt;"",B469+C469,"")</f>
        <v/>
      </c>
      <c r="E469" s="199" t="str">
        <f aca="false">IF(A470="","",IF(AND(AT469=1,$H$3=1),D469*AO469,IF($H$3=2,D469,"N/A")))</f>
        <v/>
      </c>
      <c r="F469" s="199" t="str">
        <f aca="false">IF(A470="","",E469*AS469)</f>
        <v/>
      </c>
      <c r="G469" s="200" t="str">
        <f aca="false">IF($A470="","",VLOOKUP($A469,Table,MATCH(G$4,Curves,0)))</f>
        <v/>
      </c>
      <c r="H469" s="201" t="str">
        <f aca="false">IF(A470="","",G469)</f>
        <v/>
      </c>
      <c r="J469" s="200" t="str">
        <f aca="false">IF($A470="","",VLOOKUP($A469,Table,MATCH(J$4,Curves,0)))</f>
        <v/>
      </c>
      <c r="K469" s="201" t="str">
        <f aca="false">IF(A470="","",J469)</f>
        <v/>
      </c>
      <c r="L469" s="200" t="str">
        <f aca="false">IF($A470="","",VLOOKUP($A469,Table,MATCH(L$4,Curves,0)))</f>
        <v/>
      </c>
      <c r="M469" s="201" t="str">
        <f aca="false">IF(A470="","",L469)</f>
        <v/>
      </c>
      <c r="O469" s="200" t="str">
        <f aca="false">IF(A470="","",L469+J469+G469)</f>
        <v/>
      </c>
      <c r="P469" s="200" t="str">
        <f aca="false">IF(A470="","",M469+K469+H469)</f>
        <v/>
      </c>
      <c r="R469" s="200" t="str">
        <f aca="false">IF($A470="","",VLOOKUP($A469,Table,MATCH(R$4,Curves,0)))</f>
        <v/>
      </c>
      <c r="S469" s="201" t="str">
        <f aca="false">IF(A470="","",R469)</f>
        <v/>
      </c>
      <c r="T469" s="200" t="str">
        <f aca="false">IF($A470="","",VLOOKUP($A469,Table,MATCH(T$4,Curves,0)))</f>
        <v/>
      </c>
      <c r="U469" s="201" t="str">
        <f aca="false">IF(A470="","",T469)</f>
        <v/>
      </c>
      <c r="V469" s="225" t="str">
        <f aca="false">IF($A470="","",IF(AND(MONTH(A469)&gt;3,MONTH(A469)&lt;11),(T469+R469+G469)*Summary!$T$9/(1-Summary!$T$9),(T469+R469+G469)*Summary!$U$9/(1-Summary!$U$9)))</f>
        <v/>
      </c>
      <c r="W469" s="200" t="str">
        <f aca="false">IF($A470="","",(T469+R469+G469+V469))</f>
        <v/>
      </c>
      <c r="X469" s="200" t="str">
        <f aca="false">IF($A470="","",(U469+S469+H469+V469))</f>
        <v/>
      </c>
      <c r="Y469" s="202"/>
      <c r="Z469" s="185"/>
      <c r="AJ469" s="77"/>
      <c r="AK469" s="77"/>
      <c r="AL469" s="77"/>
      <c r="AM469" s="77"/>
      <c r="AN469" s="77"/>
      <c r="AO469" s="137" t="str">
        <f aca="false">IF(A470="","",A470-A469)</f>
        <v/>
      </c>
      <c r="AP469" s="212" t="str">
        <f aca="false">IF(A470="","",CHOOSE(F$3,A470+24,A469))</f>
        <v/>
      </c>
      <c r="AQ469" s="209" t="str">
        <f aca="false">IF(A470="","",AP469-$E$1)</f>
        <v/>
      </c>
      <c r="AR469" s="185" t="n">
        <f aca="false">'ANR OK vs ML7'!AR469</f>
        <v>0.1</v>
      </c>
      <c r="AS469" s="213" t="str">
        <f aca="false">IF(A470="","",1/(1+CHOOSE(F$3,(AR470+($I$3/10000))/2,(AR469+($I$3/10000))/2))^(2*AQ469/365.25))</f>
        <v/>
      </c>
      <c r="AT469" s="137" t="str">
        <f aca="false">IF(A470="","",IF(AND(mthbeg&lt;=A469,mthend&gt;=A469),1,0))</f>
        <v/>
      </c>
      <c r="AU469" s="137" t="str">
        <f aca="false">IF(A470="","",AO469*AT469)</f>
        <v/>
      </c>
      <c r="AW469" s="195" t="str">
        <f aca="false">IF($A470="","",AL469*$E469)</f>
        <v/>
      </c>
      <c r="AX469" s="195" t="str">
        <f aca="false">IF($A470="","",AM469*$E469)</f>
        <v/>
      </c>
      <c r="AY469" s="195" t="str">
        <f aca="false">IF($A470="","",AN469*$E469)</f>
        <v/>
      </c>
      <c r="BA469" s="195" t="str">
        <f aca="false">IF($A470="","",F469*Summary!$Q$9)</f>
        <v/>
      </c>
    </row>
    <row r="470" customFormat="false" ht="12.75" hidden="false" customHeight="false" outlineLevel="0" collapsed="false">
      <c r="A470" s="196" t="str">
        <f aca="false">IF(A469&lt;mthend,EDATE(A469,1),"")</f>
        <v/>
      </c>
      <c r="B470" s="197" t="str">
        <f aca="false">IF(A470&lt;mthend,B469,"")</f>
        <v/>
      </c>
      <c r="D470" s="197" t="str">
        <f aca="false">IF(A471&lt;&gt;"",B470+C470,"")</f>
        <v/>
      </c>
      <c r="E470" s="199" t="str">
        <f aca="false">IF(A471="","",IF(AND(AT470=1,$H$3=1),D470*AO470,IF($H$3=2,D470,"N/A")))</f>
        <v/>
      </c>
      <c r="F470" s="199" t="str">
        <f aca="false">IF(A471="","",E470*AS470)</f>
        <v/>
      </c>
      <c r="G470" s="200" t="str">
        <f aca="false">IF($A471="","",VLOOKUP($A470,Table,MATCH(G$4,Curves,0)))</f>
        <v/>
      </c>
      <c r="H470" s="201" t="str">
        <f aca="false">IF(A471="","",G470)</f>
        <v/>
      </c>
      <c r="J470" s="200" t="str">
        <f aca="false">IF($A471="","",VLOOKUP($A470,Table,MATCH(J$4,Curves,0)))</f>
        <v/>
      </c>
      <c r="K470" s="201" t="str">
        <f aca="false">IF(A471="","",J470)</f>
        <v/>
      </c>
      <c r="L470" s="200" t="str">
        <f aca="false">IF($A471="","",VLOOKUP($A470,Table,MATCH(L$4,Curves,0)))</f>
        <v/>
      </c>
      <c r="M470" s="201" t="str">
        <f aca="false">IF(A471="","",L470)</f>
        <v/>
      </c>
      <c r="O470" s="200" t="str">
        <f aca="false">IF(A471="","",L470+J470+G470)</f>
        <v/>
      </c>
      <c r="P470" s="200" t="str">
        <f aca="false">IF(A471="","",M470+K470+H470)</f>
        <v/>
      </c>
      <c r="R470" s="200" t="str">
        <f aca="false">IF($A471="","",VLOOKUP($A470,Table,MATCH(R$4,Curves,0)))</f>
        <v/>
      </c>
      <c r="S470" s="201" t="str">
        <f aca="false">IF(A471="","",R470)</f>
        <v/>
      </c>
      <c r="T470" s="200" t="str">
        <f aca="false">IF($A471="","",VLOOKUP($A470,Table,MATCH(T$4,Curves,0)))</f>
        <v/>
      </c>
      <c r="U470" s="201" t="str">
        <f aca="false">IF(A471="","",T470)</f>
        <v/>
      </c>
      <c r="V470" s="225" t="str">
        <f aca="false">IF($A471="","",IF(AND(MONTH(A470)&gt;3,MONTH(A470)&lt;11),(T470+R470+G470)*Summary!$T$9/(1-Summary!$T$9),(T470+R470+G470)*Summary!$U$9/(1-Summary!$U$9)))</f>
        <v/>
      </c>
      <c r="W470" s="200" t="str">
        <f aca="false">IF($A471="","",(T470+R470+G470+V470))</f>
        <v/>
      </c>
      <c r="X470" s="200" t="str">
        <f aca="false">IF($A471="","",(U470+S470+H470+V470))</f>
        <v/>
      </c>
      <c r="Y470" s="202"/>
      <c r="Z470" s="185"/>
      <c r="AJ470" s="77"/>
      <c r="AK470" s="77"/>
      <c r="AL470" s="77"/>
      <c r="AM470" s="77"/>
      <c r="AN470" s="77"/>
      <c r="AO470" s="137" t="str">
        <f aca="false">IF(A471="","",A471-A470)</f>
        <v/>
      </c>
      <c r="AP470" s="212" t="str">
        <f aca="false">IF(A471="","",CHOOSE(F$3,A471+24,A470))</f>
        <v/>
      </c>
      <c r="AQ470" s="209" t="str">
        <f aca="false">IF(A471="","",AP470-$E$1)</f>
        <v/>
      </c>
      <c r="AR470" s="185" t="n">
        <f aca="false">'ANR OK vs ML7'!AR470</f>
        <v>0.1</v>
      </c>
      <c r="AS470" s="213" t="str">
        <f aca="false">IF(A471="","",1/(1+CHOOSE(F$3,(AR471+($I$3/10000))/2,(AR470+($I$3/10000))/2))^(2*AQ470/365.25))</f>
        <v/>
      </c>
      <c r="AT470" s="137" t="str">
        <f aca="false">IF(A471="","",IF(AND(mthbeg&lt;=A470,mthend&gt;=A470),1,0))</f>
        <v/>
      </c>
      <c r="AU470" s="137" t="str">
        <f aca="false">IF(A471="","",AO470*AT470)</f>
        <v/>
      </c>
      <c r="AW470" s="195" t="str">
        <f aca="false">IF($A471="","",AL470*$E470)</f>
        <v/>
      </c>
      <c r="AX470" s="195" t="str">
        <f aca="false">IF($A471="","",AM470*$E470)</f>
        <v/>
      </c>
      <c r="AY470" s="195" t="str">
        <f aca="false">IF($A471="","",AN470*$E470)</f>
        <v/>
      </c>
      <c r="BA470" s="195" t="str">
        <f aca="false">IF($A471="","",F470*Summary!$Q$9)</f>
        <v/>
      </c>
    </row>
    <row r="471" customFormat="false" ht="12.75" hidden="false" customHeight="false" outlineLevel="0" collapsed="false">
      <c r="A471" s="196" t="str">
        <f aca="false">IF(A470&lt;mthend,EDATE(A470,1),"")</f>
        <v/>
      </c>
      <c r="B471" s="197" t="str">
        <f aca="false">IF(A471&lt;mthend,B470,"")</f>
        <v/>
      </c>
      <c r="D471" s="197" t="str">
        <f aca="false">IF(A472&lt;&gt;"",B471+C471,"")</f>
        <v/>
      </c>
      <c r="E471" s="199" t="str">
        <f aca="false">IF(A472="","",IF(AND(AT471=1,$H$3=1),D471*AO471,IF($H$3=2,D471,"N/A")))</f>
        <v/>
      </c>
      <c r="F471" s="199" t="str">
        <f aca="false">IF(A472="","",E471*AS471)</f>
        <v/>
      </c>
      <c r="G471" s="200" t="str">
        <f aca="false">IF($A472="","",VLOOKUP($A471,Table,MATCH(G$4,Curves,0)))</f>
        <v/>
      </c>
      <c r="H471" s="201" t="str">
        <f aca="false">IF(A472="","",G471)</f>
        <v/>
      </c>
      <c r="J471" s="200" t="str">
        <f aca="false">IF($A472="","",VLOOKUP($A471,Table,MATCH(J$4,Curves,0)))</f>
        <v/>
      </c>
      <c r="K471" s="201" t="str">
        <f aca="false">IF(A472="","",J471)</f>
        <v/>
      </c>
      <c r="L471" s="200" t="str">
        <f aca="false">IF($A472="","",VLOOKUP($A471,Table,MATCH(L$4,Curves,0)))</f>
        <v/>
      </c>
      <c r="M471" s="201" t="str">
        <f aca="false">IF(A472="","",L471)</f>
        <v/>
      </c>
      <c r="O471" s="200" t="str">
        <f aca="false">IF(A472="","",L471+J471+G471)</f>
        <v/>
      </c>
      <c r="P471" s="200" t="str">
        <f aca="false">IF(A472="","",M471+K471+H471)</f>
        <v/>
      </c>
      <c r="R471" s="200" t="str">
        <f aca="false">IF($A472="","",VLOOKUP($A471,Table,MATCH(R$4,Curves,0)))</f>
        <v/>
      </c>
      <c r="S471" s="201" t="str">
        <f aca="false">IF(A472="","",R471)</f>
        <v/>
      </c>
      <c r="T471" s="200" t="str">
        <f aca="false">IF($A472="","",VLOOKUP($A471,Table,MATCH(T$4,Curves,0)))</f>
        <v/>
      </c>
      <c r="U471" s="201" t="str">
        <f aca="false">IF(A472="","",T471)</f>
        <v/>
      </c>
      <c r="V471" s="225" t="str">
        <f aca="false">IF($A472="","",IF(AND(MONTH(A471)&gt;3,MONTH(A471)&lt;11),(T471+R471+G471)*Summary!$T$9/(1-Summary!$T$9),(T471+R471+G471)*Summary!$U$9/(1-Summary!$U$9)))</f>
        <v/>
      </c>
      <c r="W471" s="200" t="str">
        <f aca="false">IF($A472="","",(T471+R471+G471+V471))</f>
        <v/>
      </c>
      <c r="X471" s="200" t="str">
        <f aca="false">IF($A472="","",(U471+S471+H471+V471))</f>
        <v/>
      </c>
      <c r="Y471" s="202"/>
      <c r="Z471" s="21"/>
      <c r="AJ471" s="77"/>
      <c r="AK471" s="77"/>
      <c r="AL471" s="77"/>
      <c r="AM471" s="77"/>
      <c r="AN471" s="77"/>
      <c r="AO471" s="137" t="str">
        <f aca="false">IF(A472="","",A472-A471)</f>
        <v/>
      </c>
      <c r="AP471" s="212" t="str">
        <f aca="false">IF(A472="","",CHOOSE(F$3,A472+24,A471))</f>
        <v/>
      </c>
      <c r="AQ471" s="209" t="str">
        <f aca="false">IF(A472="","",AP471-$E$1)</f>
        <v/>
      </c>
      <c r="AR471" s="185" t="n">
        <f aca="false">'ANR OK vs ML7'!AR471</f>
        <v>0.1</v>
      </c>
      <c r="AS471" s="213" t="str">
        <f aca="false">IF(A472="","",1/(1+CHOOSE(F$3,(AR472+($I$3/10000))/2,(AR471+($I$3/10000))/2))^(2*AQ471/365.25))</f>
        <v/>
      </c>
      <c r="AT471" s="137" t="str">
        <f aca="false">IF(A472="","",IF(AND(mthbeg&lt;=A471,mthend&gt;=A471),1,0))</f>
        <v/>
      </c>
      <c r="AU471" s="137" t="str">
        <f aca="false">IF(A472="","",AO471*AT471)</f>
        <v/>
      </c>
      <c r="AW471" s="195" t="str">
        <f aca="false">IF($A472="","",AL471*$E471)</f>
        <v/>
      </c>
      <c r="AX471" s="195" t="str">
        <f aca="false">IF($A472="","",AM471*$E471)</f>
        <v/>
      </c>
      <c r="AY471" s="195" t="str">
        <f aca="false">IF($A472="","",AN471*$E471)</f>
        <v/>
      </c>
      <c r="BA471" s="195" t="str">
        <f aca="false">IF($A472="","",F471*Summary!$Q$9)</f>
        <v/>
      </c>
    </row>
    <row r="472" customFormat="false" ht="12.75" hidden="false" customHeight="false" outlineLevel="0" collapsed="false">
      <c r="A472" s="196" t="str">
        <f aca="false">IF(A471&lt;mthend,EDATE(A471,1),"")</f>
        <v/>
      </c>
      <c r="B472" s="197" t="str">
        <f aca="false">IF(A472&lt;mthend,B471,"")</f>
        <v/>
      </c>
      <c r="D472" s="197" t="str">
        <f aca="false">IF(A473&lt;&gt;"",B472+C472,"")</f>
        <v/>
      </c>
      <c r="E472" s="199" t="str">
        <f aca="false">IF(A473="","",IF(AND(AT472=1,$H$3=1),D472*AO472,IF($H$3=2,D472,"N/A")))</f>
        <v/>
      </c>
      <c r="F472" s="199" t="str">
        <f aca="false">IF(A473="","",E472*AS472)</f>
        <v/>
      </c>
      <c r="G472" s="200" t="str">
        <f aca="false">IF($A473="","",VLOOKUP($A472,Table,MATCH(G$4,Curves,0)))</f>
        <v/>
      </c>
      <c r="H472" s="201" t="str">
        <f aca="false">IF(A473="","",G472)</f>
        <v/>
      </c>
      <c r="J472" s="200" t="str">
        <f aca="false">IF($A473="","",VLOOKUP($A472,Table,MATCH(J$4,Curves,0)))</f>
        <v/>
      </c>
      <c r="K472" s="201" t="str">
        <f aca="false">IF(A473="","",J472)</f>
        <v/>
      </c>
      <c r="L472" s="200" t="str">
        <f aca="false">IF($A473="","",VLOOKUP($A472,Table,MATCH(L$4,Curves,0)))</f>
        <v/>
      </c>
      <c r="M472" s="201" t="str">
        <f aca="false">IF(A473="","",L472)</f>
        <v/>
      </c>
      <c r="O472" s="200" t="str">
        <f aca="false">IF(A473="","",L472+J472+G472)</f>
        <v/>
      </c>
      <c r="P472" s="200" t="str">
        <f aca="false">IF(A473="","",M472+K472+H472)</f>
        <v/>
      </c>
      <c r="R472" s="200" t="str">
        <f aca="false">IF($A473="","",VLOOKUP($A472,Table,MATCH(R$4,Curves,0)))</f>
        <v/>
      </c>
      <c r="S472" s="201" t="str">
        <f aca="false">IF(A473="","",R472)</f>
        <v/>
      </c>
      <c r="T472" s="200" t="str">
        <f aca="false">IF($A473="","",VLOOKUP($A472,Table,MATCH(T$4,Curves,0)))</f>
        <v/>
      </c>
      <c r="U472" s="201" t="str">
        <f aca="false">IF(A473="","",T472)</f>
        <v/>
      </c>
      <c r="V472" s="225" t="str">
        <f aca="false">IF($A473="","",IF(AND(MONTH(A472)&gt;3,MONTH(A472)&lt;11),(T472+R472+G472)*Summary!$T$9/(1-Summary!$T$9),(T472+R472+G472)*Summary!$U$9/(1-Summary!$U$9)))</f>
        <v/>
      </c>
      <c r="W472" s="200" t="str">
        <f aca="false">IF($A473="","",(T472+R472+G472+V472))</f>
        <v/>
      </c>
      <c r="X472" s="200" t="str">
        <f aca="false">IF($A473="","",(U472+S472+H472+V472))</f>
        <v/>
      </c>
      <c r="Y472" s="202"/>
      <c r="AJ472" s="77"/>
      <c r="AK472" s="77"/>
      <c r="AL472" s="77"/>
      <c r="AM472" s="77"/>
      <c r="AN472" s="77"/>
      <c r="AO472" s="137" t="str">
        <f aca="false">IF(A473="","",A473-A472)</f>
        <v/>
      </c>
      <c r="AP472" s="212" t="str">
        <f aca="false">IF(A473="","",CHOOSE(F$3,A473+24,A472))</f>
        <v/>
      </c>
      <c r="AQ472" s="209" t="str">
        <f aca="false">IF(A473="","",AP472-$E$1)</f>
        <v/>
      </c>
      <c r="AR472" s="185" t="n">
        <f aca="false">'ANR OK vs ML7'!AR472</f>
        <v>0.1</v>
      </c>
      <c r="AS472" s="213" t="str">
        <f aca="false">IF(A473="","",1/(1+CHOOSE(F$3,(AR473+($I$3/10000))/2,(AR472+($I$3/10000))/2))^(2*AQ472/365.25))</f>
        <v/>
      </c>
      <c r="AT472" s="137" t="str">
        <f aca="false">IF(A473="","",IF(AND(mthbeg&lt;=A472,mthend&gt;=A472),1,0))</f>
        <v/>
      </c>
      <c r="AU472" s="137" t="str">
        <f aca="false">IF(A473="","",AO472*AT472)</f>
        <v/>
      </c>
      <c r="AW472" s="195" t="str">
        <f aca="false">IF($A473="","",AL472*$E472)</f>
        <v/>
      </c>
      <c r="AX472" s="195" t="str">
        <f aca="false">IF($A473="","",AM472*$E472)</f>
        <v/>
      </c>
      <c r="AY472" s="195" t="str">
        <f aca="false">IF($A473="","",AN472*$E472)</f>
        <v/>
      </c>
      <c r="BA472" s="195" t="str">
        <f aca="false">IF($A473="","",F472*Summary!$Q$9)</f>
        <v/>
      </c>
    </row>
    <row r="473" customFormat="false" ht="12.75" hidden="false" customHeight="false" outlineLevel="0" collapsed="false">
      <c r="A473" s="196" t="str">
        <f aca="false">IF(A472&lt;mthend,EDATE(A472,1),"")</f>
        <v/>
      </c>
      <c r="B473" s="197" t="str">
        <f aca="false">IF(A473&lt;mthend,B472,"")</f>
        <v/>
      </c>
      <c r="D473" s="197" t="str">
        <f aca="false">IF(A474&lt;&gt;"",B473+C473,"")</f>
        <v/>
      </c>
      <c r="E473" s="199" t="str">
        <f aca="false">IF(A474="","",IF(AND(AT473=1,$H$3=1),D473*AO473,IF($H$3=2,D473,"N/A")))</f>
        <v/>
      </c>
      <c r="F473" s="199" t="str">
        <f aca="false">IF(A474="","",E473*AS473)</f>
        <v/>
      </c>
      <c r="G473" s="200" t="str">
        <f aca="false">IF($A474="","",VLOOKUP($A473,Table,MATCH(G$4,Curves,0)))</f>
        <v/>
      </c>
      <c r="H473" s="201" t="str">
        <f aca="false">IF(A474="","",G473)</f>
        <v/>
      </c>
      <c r="J473" s="200" t="str">
        <f aca="false">IF($A474="","",VLOOKUP($A473,Table,MATCH(J$4,Curves,0)))</f>
        <v/>
      </c>
      <c r="K473" s="201" t="str">
        <f aca="false">IF(A474="","",J473)</f>
        <v/>
      </c>
      <c r="L473" s="200" t="str">
        <f aca="false">IF($A474="","",VLOOKUP($A473,Table,MATCH(L$4,Curves,0)))</f>
        <v/>
      </c>
      <c r="M473" s="201" t="str">
        <f aca="false">IF(A474="","",L473)</f>
        <v/>
      </c>
      <c r="O473" s="200" t="str">
        <f aca="false">IF(A474="","",L473+J473+G473)</f>
        <v/>
      </c>
      <c r="P473" s="200" t="str">
        <f aca="false">IF(A474="","",M473+K473+H473)</f>
        <v/>
      </c>
      <c r="R473" s="200" t="str">
        <f aca="false">IF($A474="","",VLOOKUP($A473,Table,MATCH(R$4,Curves,0)))</f>
        <v/>
      </c>
      <c r="S473" s="201" t="str">
        <f aca="false">IF(A474="","",R473)</f>
        <v/>
      </c>
      <c r="T473" s="200" t="str">
        <f aca="false">IF($A474="","",VLOOKUP($A473,Table,MATCH(T$4,Curves,0)))</f>
        <v/>
      </c>
      <c r="U473" s="201" t="str">
        <f aca="false">IF(A474="","",T473)</f>
        <v/>
      </c>
      <c r="V473" s="225" t="str">
        <f aca="false">IF($A474="","",IF(AND(MONTH(A473)&gt;3,MONTH(A473)&lt;11),(T473+R473+G473)*Summary!$T$9/(1-Summary!$T$9),(T473+R473+G473)*Summary!$U$9/(1-Summary!$U$9)))</f>
        <v/>
      </c>
      <c r="W473" s="200" t="str">
        <f aca="false">IF($A474="","",(T473+R473+G473+V473))</f>
        <v/>
      </c>
      <c r="X473" s="200" t="str">
        <f aca="false">IF($A474="","",(U473+S473+H473+V473))</f>
        <v/>
      </c>
      <c r="Y473" s="202"/>
      <c r="AJ473" s="77"/>
      <c r="AK473" s="77"/>
      <c r="AL473" s="77"/>
      <c r="AM473" s="77"/>
      <c r="AN473" s="77"/>
      <c r="AO473" s="137" t="str">
        <f aca="false">IF(A474="","",A474-A473)</f>
        <v/>
      </c>
      <c r="AP473" s="212" t="str">
        <f aca="false">IF(A474="","",CHOOSE(F$3,A474+24,A473))</f>
        <v/>
      </c>
      <c r="AQ473" s="209" t="str">
        <f aca="false">IF(A474="","",AP473-$E$1)</f>
        <v/>
      </c>
      <c r="AR473" s="185" t="n">
        <f aca="false">'ANR OK vs ML7'!AR473</f>
        <v>0.1</v>
      </c>
      <c r="AS473" s="213" t="str">
        <f aca="false">IF(A474="","",1/(1+CHOOSE(F$3,(AR474+($I$3/10000))/2,(AR473+($I$3/10000))/2))^(2*AQ473/365.25))</f>
        <v/>
      </c>
      <c r="AT473" s="137" t="str">
        <f aca="false">IF(A474="","",IF(AND(mthbeg&lt;=A473,mthend&gt;=A473),1,0))</f>
        <v/>
      </c>
      <c r="AU473" s="137" t="str">
        <f aca="false">IF(A474="","",AO473*AT473)</f>
        <v/>
      </c>
      <c r="AW473" s="195" t="str">
        <f aca="false">IF($A474="","",AL473*$E473)</f>
        <v/>
      </c>
      <c r="AX473" s="195" t="str">
        <f aca="false">IF($A474="","",AM473*$E473)</f>
        <v/>
      </c>
      <c r="AY473" s="195" t="str">
        <f aca="false">IF($A474="","",AN473*$E473)</f>
        <v/>
      </c>
      <c r="BA473" s="195" t="str">
        <f aca="false">IF($A474="","",F473*Summary!$Q$9)</f>
        <v/>
      </c>
    </row>
    <row r="474" customFormat="false" ht="12.75" hidden="false" customHeight="false" outlineLevel="0" collapsed="false">
      <c r="A474" s="196" t="str">
        <f aca="false">IF(A473&lt;mthend,EDATE(A473,1),"")</f>
        <v/>
      </c>
      <c r="B474" s="197" t="str">
        <f aca="false">IF(A474&lt;mthend,B473,"")</f>
        <v/>
      </c>
      <c r="D474" s="197" t="str">
        <f aca="false">IF(A475&lt;&gt;"",B474+C474,"")</f>
        <v/>
      </c>
      <c r="E474" s="199" t="str">
        <f aca="false">IF(A475="","",IF(AND(AT474=1,$H$3=1),D474*AO474,IF($H$3=2,D474,"N/A")))</f>
        <v/>
      </c>
      <c r="F474" s="199" t="str">
        <f aca="false">IF(A475="","",E474*AS474)</f>
        <v/>
      </c>
      <c r="G474" s="200" t="str">
        <f aca="false">IF($A475="","",VLOOKUP($A474,Table,MATCH(G$4,Curves,0)))</f>
        <v/>
      </c>
      <c r="H474" s="201" t="str">
        <f aca="false">IF(A475="","",G474)</f>
        <v/>
      </c>
      <c r="J474" s="200" t="str">
        <f aca="false">IF($A475="","",VLOOKUP($A474,Table,MATCH(J$4,Curves,0)))</f>
        <v/>
      </c>
      <c r="K474" s="201" t="str">
        <f aca="false">IF(A475="","",J474)</f>
        <v/>
      </c>
      <c r="L474" s="200" t="str">
        <f aca="false">IF($A475="","",VLOOKUP($A474,Table,MATCH(L$4,Curves,0)))</f>
        <v/>
      </c>
      <c r="M474" s="201" t="str">
        <f aca="false">IF(A475="","",L474)</f>
        <v/>
      </c>
      <c r="O474" s="200" t="str">
        <f aca="false">IF(A475="","",L474+J474+G474)</f>
        <v/>
      </c>
      <c r="P474" s="200" t="str">
        <f aca="false">IF(A475="","",M474+K474+H474)</f>
        <v/>
      </c>
      <c r="R474" s="200" t="str">
        <f aca="false">IF($A475="","",VLOOKUP($A474,Table,MATCH(R$4,Curves,0)))</f>
        <v/>
      </c>
      <c r="S474" s="201" t="str">
        <f aca="false">IF(A475="","",R474)</f>
        <v/>
      </c>
      <c r="T474" s="200" t="str">
        <f aca="false">IF($A475="","",VLOOKUP($A474,Table,MATCH(T$4,Curves,0)))</f>
        <v/>
      </c>
      <c r="U474" s="201" t="str">
        <f aca="false">IF(A475="","",T474)</f>
        <v/>
      </c>
      <c r="V474" s="225" t="str">
        <f aca="false">IF($A475="","",IF(AND(MONTH(A474)&gt;3,MONTH(A474)&lt;11),(T474+R474+G474)*Summary!$T$9/(1-Summary!$T$9),(T474+R474+G474)*Summary!$U$9/(1-Summary!$U$9)))</f>
        <v/>
      </c>
      <c r="W474" s="200" t="str">
        <f aca="false">IF($A475="","",(T474+R474+G474+V474))</f>
        <v/>
      </c>
      <c r="X474" s="200" t="str">
        <f aca="false">IF($A475="","",(U474+S474+H474+V474))</f>
        <v/>
      </c>
      <c r="Y474" s="202"/>
      <c r="AJ474" s="77"/>
      <c r="AK474" s="77"/>
      <c r="AL474" s="77"/>
      <c r="AM474" s="77"/>
      <c r="AN474" s="77"/>
      <c r="AO474" s="137" t="str">
        <f aca="false">IF(A475="","",A475-A474)</f>
        <v/>
      </c>
      <c r="AP474" s="212" t="str">
        <f aca="false">IF(A475="","",CHOOSE(F$3,A475+24,A474))</f>
        <v/>
      </c>
      <c r="AQ474" s="209" t="str">
        <f aca="false">IF(A475="","",AP474-$E$1)</f>
        <v/>
      </c>
      <c r="AR474" s="185" t="n">
        <f aca="false">'ANR OK vs ML7'!AR474</f>
        <v>0.1</v>
      </c>
      <c r="AS474" s="213" t="str">
        <f aca="false">IF(A475="","",1/(1+CHOOSE(F$3,(AR475+($I$3/10000))/2,(AR474+($I$3/10000))/2))^(2*AQ474/365.25))</f>
        <v/>
      </c>
      <c r="AT474" s="137" t="str">
        <f aca="false">IF(A475="","",IF(AND(mthbeg&lt;=A474,mthend&gt;=A474),1,0))</f>
        <v/>
      </c>
      <c r="AU474" s="137" t="str">
        <f aca="false">IF(A475="","",AO474*AT474)</f>
        <v/>
      </c>
      <c r="AW474" s="195" t="str">
        <f aca="false">IF($A475="","",AL474*$E474)</f>
        <v/>
      </c>
      <c r="AX474" s="195" t="str">
        <f aca="false">IF($A475="","",AM474*$E474)</f>
        <v/>
      </c>
      <c r="AY474" s="195" t="str">
        <f aca="false">IF($A475="","",AN474*$E474)</f>
        <v/>
      </c>
      <c r="BA474" s="195" t="str">
        <f aca="false">IF($A475="","",F474*Summary!$Q$9)</f>
        <v/>
      </c>
    </row>
    <row r="475" customFormat="false" ht="12.75" hidden="false" customHeight="false" outlineLevel="0" collapsed="false">
      <c r="A475" s="196" t="str">
        <f aca="false">IF(A474&lt;mthend,EDATE(A474,1),"")</f>
        <v/>
      </c>
      <c r="B475" s="197" t="str">
        <f aca="false">IF(A475&lt;mthend,B474,"")</f>
        <v/>
      </c>
      <c r="D475" s="197" t="str">
        <f aca="false">IF(A476&lt;&gt;"",B475+C475,"")</f>
        <v/>
      </c>
      <c r="E475" s="199" t="str">
        <f aca="false">IF(A476="","",IF(AND(AT475=1,$H$3=1),D475*AO475,IF($H$3=2,D475,"N/A")))</f>
        <v/>
      </c>
      <c r="F475" s="199" t="str">
        <f aca="false">IF(A476="","",E475*AS475)</f>
        <v/>
      </c>
      <c r="G475" s="200" t="str">
        <f aca="false">IF($A476="","",VLOOKUP($A475,Table,MATCH(G$4,Curves,0)))</f>
        <v/>
      </c>
      <c r="H475" s="201" t="str">
        <f aca="false">IF(A476="","",G475)</f>
        <v/>
      </c>
      <c r="J475" s="200" t="str">
        <f aca="false">IF($A476="","",VLOOKUP($A475,Table,MATCH(J$4,Curves,0)))</f>
        <v/>
      </c>
      <c r="K475" s="201" t="str">
        <f aca="false">IF(A476="","",J475)</f>
        <v/>
      </c>
      <c r="L475" s="200" t="str">
        <f aca="false">IF($A476="","",VLOOKUP($A475,Table,MATCH(L$4,Curves,0)))</f>
        <v/>
      </c>
      <c r="M475" s="201" t="str">
        <f aca="false">IF(A476="","",L475)</f>
        <v/>
      </c>
      <c r="O475" s="200" t="str">
        <f aca="false">IF(A476="","",L475+J475+G475)</f>
        <v/>
      </c>
      <c r="P475" s="200" t="str">
        <f aca="false">IF(A476="","",M475+K475+H475)</f>
        <v/>
      </c>
      <c r="R475" s="200" t="str">
        <f aca="false">IF($A476="","",VLOOKUP($A475,Table,MATCH(R$4,Curves,0)))</f>
        <v/>
      </c>
      <c r="S475" s="201" t="str">
        <f aca="false">IF(A476="","",R475)</f>
        <v/>
      </c>
      <c r="T475" s="200" t="str">
        <f aca="false">IF($A476="","",VLOOKUP($A475,Table,MATCH(T$4,Curves,0)))</f>
        <v/>
      </c>
      <c r="U475" s="201" t="str">
        <f aca="false">IF(A476="","",T475)</f>
        <v/>
      </c>
      <c r="V475" s="225" t="str">
        <f aca="false">IF($A476="","",IF(AND(MONTH(A475)&gt;3,MONTH(A475)&lt;11),(T475+R475+G475)*Summary!$T$9/(1-Summary!$T$9),(T475+R475+G475)*Summary!$U$9/(1-Summary!$U$9)))</f>
        <v/>
      </c>
      <c r="W475" s="200" t="str">
        <f aca="false">IF($A476="","",(T475+R475+G475+V475))</f>
        <v/>
      </c>
      <c r="X475" s="200" t="str">
        <f aca="false">IF($A476="","",(U475+S475+H475+V475))</f>
        <v/>
      </c>
      <c r="Y475" s="202"/>
      <c r="AJ475" s="77"/>
      <c r="AK475" s="77"/>
      <c r="AL475" s="77"/>
      <c r="AM475" s="77"/>
      <c r="AN475" s="77"/>
      <c r="AO475" s="137" t="str">
        <f aca="false">IF(A476="","",A476-A475)</f>
        <v/>
      </c>
      <c r="AP475" s="212" t="str">
        <f aca="false">IF(A476="","",CHOOSE(F$3,A476+24,A475))</f>
        <v/>
      </c>
      <c r="AQ475" s="209" t="str">
        <f aca="false">IF(A476="","",AP475-$E$1)</f>
        <v/>
      </c>
      <c r="AR475" s="185" t="n">
        <f aca="false">'ANR OK vs ML7'!AR475</f>
        <v>0.1</v>
      </c>
      <c r="AS475" s="213" t="str">
        <f aca="false">IF(A476="","",1/(1+CHOOSE(F$3,(AR476+($I$3/10000))/2,(AR475+($I$3/10000))/2))^(2*AQ475/365.25))</f>
        <v/>
      </c>
      <c r="AT475" s="137" t="str">
        <f aca="false">IF(A476="","",IF(AND(mthbeg&lt;=A475,mthend&gt;=A475),1,0))</f>
        <v/>
      </c>
      <c r="AU475" s="137" t="str">
        <f aca="false">IF(A476="","",AO475*AT475)</f>
        <v/>
      </c>
      <c r="AW475" s="195" t="str">
        <f aca="false">IF($A476="","",AL475*$E475)</f>
        <v/>
      </c>
      <c r="AX475" s="195" t="str">
        <f aca="false">IF($A476="","",AM475*$E475)</f>
        <v/>
      </c>
      <c r="AY475" s="195" t="str">
        <f aca="false">IF($A476="","",AN475*$E475)</f>
        <v/>
      </c>
      <c r="BA475" s="195" t="str">
        <f aca="false">IF($A476="","",F475*Summary!$Q$9)</f>
        <v/>
      </c>
    </row>
    <row r="476" customFormat="false" ht="12.75" hidden="false" customHeight="false" outlineLevel="0" collapsed="false">
      <c r="A476" s="196" t="str">
        <f aca="false">IF(A475&lt;mthend,EDATE(A475,1),"")</f>
        <v/>
      </c>
      <c r="B476" s="197" t="str">
        <f aca="false">IF(A476&lt;mthend,B475,"")</f>
        <v/>
      </c>
      <c r="D476" s="197" t="str">
        <f aca="false">IF(A477&lt;&gt;"",B476+C476,"")</f>
        <v/>
      </c>
      <c r="E476" s="199" t="str">
        <f aca="false">IF(A477="","",IF(AND(AT476=1,$H$3=1),D476*AO476,IF($H$3=2,D476,"N/A")))</f>
        <v/>
      </c>
      <c r="F476" s="199" t="str">
        <f aca="false">IF(A477="","",E476*AS476)</f>
        <v/>
      </c>
      <c r="G476" s="200" t="str">
        <f aca="false">IF($A477="","",VLOOKUP($A476,Table,MATCH(G$4,Curves,0)))</f>
        <v/>
      </c>
      <c r="H476" s="201" t="str">
        <f aca="false">IF(A477="","",G476)</f>
        <v/>
      </c>
      <c r="J476" s="200" t="str">
        <f aca="false">IF($A477="","",VLOOKUP($A476,Table,MATCH(J$4,Curves,0)))</f>
        <v/>
      </c>
      <c r="K476" s="201" t="str">
        <f aca="false">IF(A477="","",J476)</f>
        <v/>
      </c>
      <c r="L476" s="200" t="str">
        <f aca="false">IF($A477="","",VLOOKUP($A476,Table,MATCH(L$4,Curves,0)))</f>
        <v/>
      </c>
      <c r="M476" s="201" t="str">
        <f aca="false">IF(A477="","",L476)</f>
        <v/>
      </c>
      <c r="O476" s="200" t="str">
        <f aca="false">IF(A477="","",L476+J476+G476)</f>
        <v/>
      </c>
      <c r="P476" s="200" t="str">
        <f aca="false">IF(A477="","",M476+K476+H476)</f>
        <v/>
      </c>
      <c r="R476" s="200" t="str">
        <f aca="false">IF($A477="","",VLOOKUP($A476,Table,MATCH(R$4,Curves,0)))</f>
        <v/>
      </c>
      <c r="S476" s="201" t="str">
        <f aca="false">IF(A477="","",R476)</f>
        <v/>
      </c>
      <c r="T476" s="200" t="str">
        <f aca="false">IF($A477="","",VLOOKUP($A476,Table,MATCH(T$4,Curves,0)))</f>
        <v/>
      </c>
      <c r="U476" s="201" t="str">
        <f aca="false">IF(A477="","",T476)</f>
        <v/>
      </c>
      <c r="V476" s="225" t="str">
        <f aca="false">IF($A477="","",IF(AND(MONTH(A476)&gt;3,MONTH(A476)&lt;11),(T476+R476+G476)*Summary!$T$9/(1-Summary!$T$9),(T476+R476+G476)*Summary!$U$9/(1-Summary!$U$9)))</f>
        <v/>
      </c>
      <c r="W476" s="200" t="str">
        <f aca="false">IF($A477="","",(T476+R476+G476+V476))</f>
        <v/>
      </c>
      <c r="X476" s="200" t="str">
        <f aca="false">IF($A477="","",(U476+S476+H476+V476))</f>
        <v/>
      </c>
      <c r="Y476" s="202"/>
      <c r="AJ476" s="77"/>
      <c r="AK476" s="77"/>
      <c r="AL476" s="77"/>
      <c r="AM476" s="77"/>
      <c r="AN476" s="77"/>
      <c r="AO476" s="137" t="str">
        <f aca="false">IF(A477="","",A477-A476)</f>
        <v/>
      </c>
      <c r="AP476" s="212" t="str">
        <f aca="false">IF(A477="","",CHOOSE(F$3,A477+24,A476))</f>
        <v/>
      </c>
      <c r="AQ476" s="209" t="str">
        <f aca="false">IF(A477="","",AP476-$E$1)</f>
        <v/>
      </c>
      <c r="AR476" s="185" t="n">
        <f aca="false">'ANR OK vs ML7'!AR476</f>
        <v>0.1</v>
      </c>
      <c r="AS476" s="213" t="str">
        <f aca="false">IF(A477="","",1/(1+CHOOSE(F$3,(AR477+($I$3/10000))/2,(AR476+($I$3/10000))/2))^(2*AQ476/365.25))</f>
        <v/>
      </c>
      <c r="AT476" s="137" t="str">
        <f aca="false">IF(A477="","",IF(AND(mthbeg&lt;=A476,mthend&gt;=A476),1,0))</f>
        <v/>
      </c>
      <c r="AU476" s="137" t="str">
        <f aca="false">IF(A477="","",AO476*AT476)</f>
        <v/>
      </c>
      <c r="AW476" s="195" t="str">
        <f aca="false">IF($A477="","",AL476*$E476)</f>
        <v/>
      </c>
      <c r="AX476" s="195" t="str">
        <f aca="false">IF($A477="","",AM476*$E476)</f>
        <v/>
      </c>
      <c r="AY476" s="195" t="str">
        <f aca="false">IF($A477="","",AN476*$E476)</f>
        <v/>
      </c>
      <c r="BA476" s="195" t="str">
        <f aca="false">IF($A477="","",F476*Summary!$Q$9)</f>
        <v/>
      </c>
    </row>
    <row r="477" customFormat="false" ht="12.75" hidden="false" customHeight="false" outlineLevel="0" collapsed="false">
      <c r="A477" s="196" t="str">
        <f aca="false">IF(A476&lt;mthend,EDATE(A476,1),"")</f>
        <v/>
      </c>
      <c r="B477" s="197" t="str">
        <f aca="false">IF(A477&lt;mthend,B476,"")</f>
        <v/>
      </c>
      <c r="D477" s="197" t="str">
        <f aca="false">IF(A478&lt;&gt;"",B477+C477,"")</f>
        <v/>
      </c>
      <c r="E477" s="199" t="str">
        <f aca="false">IF(A478="","",IF(AND(AT477=1,$H$3=1),D477*AO477,IF($H$3=2,D477,"N/A")))</f>
        <v/>
      </c>
      <c r="F477" s="199" t="str">
        <f aca="false">IF(A478="","",E477*AS477)</f>
        <v/>
      </c>
      <c r="G477" s="200" t="str">
        <f aca="false">IF($A478="","",VLOOKUP($A477,Table,MATCH(G$4,Curves,0)))</f>
        <v/>
      </c>
      <c r="H477" s="201" t="str">
        <f aca="false">IF(A478="","",G477)</f>
        <v/>
      </c>
      <c r="J477" s="200" t="str">
        <f aca="false">IF($A478="","",VLOOKUP($A477,Table,MATCH(J$4,Curves,0)))</f>
        <v/>
      </c>
      <c r="K477" s="201" t="str">
        <f aca="false">IF(A478="","",J477)</f>
        <v/>
      </c>
      <c r="L477" s="200" t="str">
        <f aca="false">IF($A478="","",VLOOKUP($A477,Table,MATCH(L$4,Curves,0)))</f>
        <v/>
      </c>
      <c r="M477" s="201" t="str">
        <f aca="false">IF(A478="","",L477)</f>
        <v/>
      </c>
      <c r="O477" s="200" t="str">
        <f aca="false">IF(A478="","",L477+J477+G477)</f>
        <v/>
      </c>
      <c r="P477" s="200" t="str">
        <f aca="false">IF(A478="","",M477+K477+H477)</f>
        <v/>
      </c>
      <c r="R477" s="200" t="str">
        <f aca="false">IF($A478="","",VLOOKUP($A477,Table,MATCH(R$4,Curves,0)))</f>
        <v/>
      </c>
      <c r="S477" s="201" t="str">
        <f aca="false">IF(A478="","",R477)</f>
        <v/>
      </c>
      <c r="T477" s="200" t="str">
        <f aca="false">IF($A478="","",VLOOKUP($A477,Table,MATCH(T$4,Curves,0)))</f>
        <v/>
      </c>
      <c r="U477" s="201" t="str">
        <f aca="false">IF(A478="","",T477)</f>
        <v/>
      </c>
      <c r="V477" s="225" t="str">
        <f aca="false">IF($A478="","",IF(AND(MONTH(A477)&gt;3,MONTH(A477)&lt;11),(T477+R477+G477)*Summary!$T$9/(1-Summary!$T$9),(T477+R477+G477)*Summary!$U$9/(1-Summary!$U$9)))</f>
        <v/>
      </c>
      <c r="W477" s="200" t="str">
        <f aca="false">IF($A478="","",(T477+R477+G477+V477))</f>
        <v/>
      </c>
      <c r="X477" s="200" t="str">
        <f aca="false">IF($A478="","",(U477+S477+H477+V477))</f>
        <v/>
      </c>
      <c r="Y477" s="202"/>
      <c r="AJ477" s="77"/>
      <c r="AK477" s="77"/>
      <c r="AL477" s="77"/>
      <c r="AM477" s="77"/>
      <c r="AN477" s="77"/>
      <c r="AO477" s="137" t="str">
        <f aca="false">IF(A478="","",A478-A477)</f>
        <v/>
      </c>
      <c r="AP477" s="212" t="str">
        <f aca="false">IF(A478="","",CHOOSE(F$3,A478+24,A477))</f>
        <v/>
      </c>
      <c r="AQ477" s="209" t="str">
        <f aca="false">IF(A478="","",AP477-$E$1)</f>
        <v/>
      </c>
      <c r="AR477" s="185" t="n">
        <f aca="false">'ANR OK vs ML7'!AR477</f>
        <v>0.1</v>
      </c>
      <c r="AS477" s="213" t="str">
        <f aca="false">IF(A478="","",1/(1+CHOOSE(F$3,(AR478+($I$3/10000))/2,(AR477+($I$3/10000))/2))^(2*AQ477/365.25))</f>
        <v/>
      </c>
      <c r="AT477" s="137" t="str">
        <f aca="false">IF(A478="","",IF(AND(mthbeg&lt;=A477,mthend&gt;=A477),1,0))</f>
        <v/>
      </c>
      <c r="AU477" s="137" t="str">
        <f aca="false">IF(A478="","",AO477*AT477)</f>
        <v/>
      </c>
      <c r="AW477" s="195" t="str">
        <f aca="false">IF($A478="","",AL477*$E477)</f>
        <v/>
      </c>
      <c r="AX477" s="195" t="str">
        <f aca="false">IF($A478="","",AM477*$E477)</f>
        <v/>
      </c>
      <c r="AY477" s="195" t="str">
        <f aca="false">IF($A478="","",AN477*$E477)</f>
        <v/>
      </c>
      <c r="BA477" s="195" t="str">
        <f aca="false">IF($A478="","",F477*Summary!$Q$9)</f>
        <v/>
      </c>
    </row>
    <row r="478" customFormat="false" ht="12.75" hidden="false" customHeight="false" outlineLevel="0" collapsed="false">
      <c r="A478" s="196" t="str">
        <f aca="false">IF(A477&lt;mthend,EDATE(A477,1),"")</f>
        <v/>
      </c>
      <c r="B478" s="197" t="str">
        <f aca="false">IF(A478&lt;mthend,B477,"")</f>
        <v/>
      </c>
      <c r="D478" s="197" t="str">
        <f aca="false">IF(A479&lt;&gt;"",B478+C478,"")</f>
        <v/>
      </c>
      <c r="E478" s="199" t="str">
        <f aca="false">IF(A479="","",IF(AND(AT478=1,$H$3=1),D478*AO478,IF($H$3=2,D478,"N/A")))</f>
        <v/>
      </c>
      <c r="F478" s="199" t="str">
        <f aca="false">IF(A479="","",E478*AS478)</f>
        <v/>
      </c>
      <c r="G478" s="200" t="str">
        <f aca="false">IF($A479="","",VLOOKUP($A478,Table,MATCH(G$4,Curves,0)))</f>
        <v/>
      </c>
      <c r="H478" s="201" t="str">
        <f aca="false">IF(A479="","",G478)</f>
        <v/>
      </c>
      <c r="J478" s="200" t="str">
        <f aca="false">IF($A479="","",VLOOKUP($A478,Table,MATCH(J$4,Curves,0)))</f>
        <v/>
      </c>
      <c r="K478" s="201" t="str">
        <f aca="false">IF(A479="","",J478)</f>
        <v/>
      </c>
      <c r="L478" s="200" t="str">
        <f aca="false">IF($A479="","",VLOOKUP($A478,Table,MATCH(L$4,Curves,0)))</f>
        <v/>
      </c>
      <c r="M478" s="201" t="str">
        <f aca="false">IF(A479="","",L478)</f>
        <v/>
      </c>
      <c r="O478" s="200" t="str">
        <f aca="false">IF(A479="","",L478+J478+G478)</f>
        <v/>
      </c>
      <c r="P478" s="200" t="str">
        <f aca="false">IF(A479="","",M478+K478+H478)</f>
        <v/>
      </c>
      <c r="R478" s="200" t="str">
        <f aca="false">IF($A479="","",VLOOKUP($A478,Table,MATCH(R$4,Curves,0)))</f>
        <v/>
      </c>
      <c r="S478" s="201" t="str">
        <f aca="false">IF(A479="","",R478)</f>
        <v/>
      </c>
      <c r="T478" s="200" t="str">
        <f aca="false">IF($A479="","",VLOOKUP($A478,Table,MATCH(T$4,Curves,0)))</f>
        <v/>
      </c>
      <c r="U478" s="201" t="str">
        <f aca="false">IF(A479="","",T478)</f>
        <v/>
      </c>
      <c r="V478" s="225" t="str">
        <f aca="false">IF($A479="","",IF(AND(MONTH(A478)&gt;3,MONTH(A478)&lt;11),(T478+R478+G478)*Summary!$T$9/(1-Summary!$T$9),(T478+R478+G478)*Summary!$U$9/(1-Summary!$U$9)))</f>
        <v/>
      </c>
      <c r="W478" s="200" t="str">
        <f aca="false">IF($A479="","",(T478+R478+G478+V478))</f>
        <v/>
      </c>
      <c r="X478" s="200" t="str">
        <f aca="false">IF($A479="","",(U478+S478+H478+V478))</f>
        <v/>
      </c>
      <c r="Y478" s="202"/>
      <c r="AJ478" s="77"/>
      <c r="AK478" s="77"/>
      <c r="AL478" s="77"/>
      <c r="AM478" s="77"/>
      <c r="AN478" s="77"/>
      <c r="AO478" s="137" t="str">
        <f aca="false">IF(A479="","",A479-A478)</f>
        <v/>
      </c>
      <c r="AP478" s="212" t="str">
        <f aca="false">IF(A479="","",CHOOSE(F$3,A479+24,A478))</f>
        <v/>
      </c>
      <c r="AQ478" s="209" t="str">
        <f aca="false">IF(A479="","",AP478-$E$1)</f>
        <v/>
      </c>
      <c r="AR478" s="185" t="n">
        <f aca="false">'ANR OK vs ML7'!AR478</f>
        <v>0.1</v>
      </c>
      <c r="AS478" s="213" t="str">
        <f aca="false">IF(A479="","",1/(1+CHOOSE(F$3,(AR479+($I$3/10000))/2,(AR478+($I$3/10000))/2))^(2*AQ478/365.25))</f>
        <v/>
      </c>
      <c r="AT478" s="137" t="str">
        <f aca="false">IF(A479="","",IF(AND(mthbeg&lt;=A478,mthend&gt;=A478),1,0))</f>
        <v/>
      </c>
      <c r="AU478" s="137" t="str">
        <f aca="false">IF(A479="","",AO478*AT478)</f>
        <v/>
      </c>
      <c r="AW478" s="195" t="str">
        <f aca="false">IF($A479="","",AL478*$E478)</f>
        <v/>
      </c>
      <c r="AX478" s="195" t="str">
        <f aca="false">IF($A479="","",AM478*$E478)</f>
        <v/>
      </c>
      <c r="AY478" s="195" t="str">
        <f aca="false">IF($A479="","",AN478*$E478)</f>
        <v/>
      </c>
      <c r="BA478" s="195" t="str">
        <f aca="false">IF($A479="","",F478*Summary!$Q$9)</f>
        <v/>
      </c>
    </row>
    <row r="479" customFormat="false" ht="12.75" hidden="false" customHeight="false" outlineLevel="0" collapsed="false">
      <c r="A479" s="196" t="str">
        <f aca="false">IF(A478&lt;mthend,EDATE(A478,1),"")</f>
        <v/>
      </c>
      <c r="B479" s="197" t="str">
        <f aca="false">IF(A479&lt;mthend,B478,"")</f>
        <v/>
      </c>
      <c r="D479" s="197" t="str">
        <f aca="false">IF(A480&lt;&gt;"",B479+C479,"")</f>
        <v/>
      </c>
      <c r="E479" s="199" t="str">
        <f aca="false">IF(A480="","",IF(AND(AT479=1,$H$3=1),D479*AO479,IF($H$3=2,D479,"N/A")))</f>
        <v/>
      </c>
      <c r="F479" s="199" t="str">
        <f aca="false">IF(A480="","",E479*AS479)</f>
        <v/>
      </c>
      <c r="G479" s="200" t="str">
        <f aca="false">IF($A480="","",VLOOKUP($A479,Table,MATCH(G$4,Curves,0)))</f>
        <v/>
      </c>
      <c r="H479" s="201" t="str">
        <f aca="false">IF(A480="","",G479)</f>
        <v/>
      </c>
      <c r="J479" s="200" t="str">
        <f aca="false">IF($A480="","",VLOOKUP($A479,Table,MATCH(J$4,Curves,0)))</f>
        <v/>
      </c>
      <c r="K479" s="201" t="str">
        <f aca="false">IF(A480="","",J479)</f>
        <v/>
      </c>
      <c r="L479" s="200" t="str">
        <f aca="false">IF($A480="","",VLOOKUP($A479,Table,MATCH(L$4,Curves,0)))</f>
        <v/>
      </c>
      <c r="M479" s="201" t="str">
        <f aca="false">IF(A480="","",L479)</f>
        <v/>
      </c>
      <c r="O479" s="200" t="str">
        <f aca="false">IF(A480="","",L479+J479+G479)</f>
        <v/>
      </c>
      <c r="P479" s="200" t="str">
        <f aca="false">IF(A480="","",M479+K479+H479)</f>
        <v/>
      </c>
      <c r="R479" s="200" t="str">
        <f aca="false">IF($A480="","",VLOOKUP($A479,Table,MATCH(R$4,Curves,0)))</f>
        <v/>
      </c>
      <c r="S479" s="201" t="str">
        <f aca="false">IF(A480="","",R479)</f>
        <v/>
      </c>
      <c r="T479" s="200" t="str">
        <f aca="false">IF($A480="","",VLOOKUP($A479,Table,MATCH(T$4,Curves,0)))</f>
        <v/>
      </c>
      <c r="U479" s="201" t="str">
        <f aca="false">IF(A480="","",T479)</f>
        <v/>
      </c>
      <c r="V479" s="225" t="str">
        <f aca="false">IF($A480="","",IF(AND(MONTH(A479)&gt;3,MONTH(A479)&lt;11),(T479+R479+G479)*Summary!$T$9/(1-Summary!$T$9),(T479+R479+G479)*Summary!$U$9/(1-Summary!$U$9)))</f>
        <v/>
      </c>
      <c r="W479" s="200" t="str">
        <f aca="false">IF($A480="","",(T479+R479+G479+V479))</f>
        <v/>
      </c>
      <c r="X479" s="200" t="str">
        <f aca="false">IF($A480="","",(U479+S479+H479+V479))</f>
        <v/>
      </c>
      <c r="Y479" s="202"/>
      <c r="AJ479" s="77"/>
      <c r="AK479" s="77"/>
      <c r="AL479" s="77"/>
      <c r="AM479" s="77"/>
      <c r="AN479" s="77"/>
      <c r="AO479" s="137" t="str">
        <f aca="false">IF(A480="","",A480-A479)</f>
        <v/>
      </c>
      <c r="AP479" s="212" t="str">
        <f aca="false">IF(A480="","",CHOOSE(F$3,A480+24,A479))</f>
        <v/>
      </c>
      <c r="AQ479" s="209" t="str">
        <f aca="false">IF(A480="","",AP479-$E$1)</f>
        <v/>
      </c>
      <c r="AR479" s="185" t="n">
        <f aca="false">'ANR OK vs ML7'!AR479</f>
        <v>0.1</v>
      </c>
      <c r="AS479" s="213" t="str">
        <f aca="false">IF(A480="","",1/(1+CHOOSE(F$3,(AR480+($I$3/10000))/2,(AR479+($I$3/10000))/2))^(2*AQ479/365.25))</f>
        <v/>
      </c>
      <c r="AT479" s="137" t="str">
        <f aca="false">IF(A480="","",IF(AND(mthbeg&lt;=A479,mthend&gt;=A479),1,0))</f>
        <v/>
      </c>
      <c r="AU479" s="137" t="str">
        <f aca="false">IF(A480="","",AO479*AT479)</f>
        <v/>
      </c>
      <c r="AW479" s="195" t="str">
        <f aca="false">IF($A480="","",AL479*$E479)</f>
        <v/>
      </c>
      <c r="AX479" s="195" t="str">
        <f aca="false">IF($A480="","",AM479*$E479)</f>
        <v/>
      </c>
      <c r="AY479" s="195" t="str">
        <f aca="false">IF($A480="","",AN479*$E479)</f>
        <v/>
      </c>
      <c r="BA479" s="195" t="str">
        <f aca="false">IF($A480="","",F479*Summary!$Q$9)</f>
        <v/>
      </c>
    </row>
    <row r="480" customFormat="false" ht="12.75" hidden="false" customHeight="false" outlineLevel="0" collapsed="false">
      <c r="A480" s="196" t="str">
        <f aca="false">IF(A479&lt;mthend,EDATE(A479,1),"")</f>
        <v/>
      </c>
      <c r="B480" s="197" t="str">
        <f aca="false">IF(A480&lt;mthend,B479,"")</f>
        <v/>
      </c>
      <c r="D480" s="197" t="str">
        <f aca="false">IF(A481&lt;&gt;"",B480+C480,"")</f>
        <v/>
      </c>
      <c r="E480" s="199" t="str">
        <f aca="false">IF(A481="","",IF(AND(AT480=1,$H$3=1),D480*AO480,IF($H$3=2,D480,"N/A")))</f>
        <v/>
      </c>
      <c r="F480" s="199" t="str">
        <f aca="false">IF(A481="","",E480*AS480)</f>
        <v/>
      </c>
      <c r="G480" s="200" t="str">
        <f aca="false">IF($A481="","",VLOOKUP($A480,Table,MATCH(G$4,Curves,0)))</f>
        <v/>
      </c>
      <c r="H480" s="201" t="str">
        <f aca="false">IF(A481="","",G480)</f>
        <v/>
      </c>
      <c r="J480" s="200" t="str">
        <f aca="false">IF($A481="","",VLOOKUP($A480,Table,MATCH(J$4,Curves,0)))</f>
        <v/>
      </c>
      <c r="K480" s="201" t="str">
        <f aca="false">IF(A481="","",J480)</f>
        <v/>
      </c>
      <c r="L480" s="200" t="str">
        <f aca="false">IF($A481="","",VLOOKUP($A480,Table,MATCH(L$4,Curves,0)))</f>
        <v/>
      </c>
      <c r="M480" s="201" t="str">
        <f aca="false">IF(A481="","",L480)</f>
        <v/>
      </c>
      <c r="O480" s="200" t="str">
        <f aca="false">IF(A481="","",L480+J480+G480)</f>
        <v/>
      </c>
      <c r="P480" s="200" t="str">
        <f aca="false">IF(A481="","",M480+K480+H480)</f>
        <v/>
      </c>
      <c r="R480" s="200" t="str">
        <f aca="false">IF($A481="","",VLOOKUP($A480,Table,MATCH(R$4,Curves,0)))</f>
        <v/>
      </c>
      <c r="S480" s="201" t="str">
        <f aca="false">IF(A481="","",R480)</f>
        <v/>
      </c>
      <c r="T480" s="200" t="str">
        <f aca="false">IF($A481="","",VLOOKUP($A480,Table,MATCH(T$4,Curves,0)))</f>
        <v/>
      </c>
      <c r="U480" s="201" t="str">
        <f aca="false">IF(A481="","",T480)</f>
        <v/>
      </c>
      <c r="V480" s="225" t="str">
        <f aca="false">IF($A481="","",IF(AND(MONTH(A480)&gt;3,MONTH(A480)&lt;11),(T480+R480+G480)*Summary!$T$9/(1-Summary!$T$9),(T480+R480+G480)*Summary!$U$9/(1-Summary!$U$9)))</f>
        <v/>
      </c>
      <c r="W480" s="200" t="str">
        <f aca="false">IF($A481="","",(T480+R480+G480+V480))</f>
        <v/>
      </c>
      <c r="X480" s="200" t="str">
        <f aca="false">IF($A481="","",(U480+S480+H480+V480))</f>
        <v/>
      </c>
      <c r="Y480" s="202"/>
      <c r="AJ480" s="77"/>
      <c r="AK480" s="77"/>
      <c r="AL480" s="77"/>
      <c r="AM480" s="77"/>
      <c r="AN480" s="77"/>
      <c r="AO480" s="137" t="str">
        <f aca="false">IF(A481="","",A481-A480)</f>
        <v/>
      </c>
      <c r="AP480" s="212" t="str">
        <f aca="false">IF(A481="","",CHOOSE(F$3,A481+24,A480))</f>
        <v/>
      </c>
      <c r="AQ480" s="209" t="str">
        <f aca="false">IF(A481="","",AP480-$E$1)</f>
        <v/>
      </c>
      <c r="AR480" s="185" t="n">
        <f aca="false">'ANR OK vs ML7'!AR480</f>
        <v>0.1</v>
      </c>
      <c r="AS480" s="213" t="str">
        <f aca="false">IF(A481="","",1/(1+CHOOSE(F$3,(AR481+($I$3/10000))/2,(AR480+($I$3/10000))/2))^(2*AQ480/365.25))</f>
        <v/>
      </c>
      <c r="AT480" s="137" t="str">
        <f aca="false">IF(A481="","",IF(AND(mthbeg&lt;=A480,mthend&gt;=A480),1,0))</f>
        <v/>
      </c>
      <c r="AU480" s="137" t="str">
        <f aca="false">IF(A481="","",AO480*AT480)</f>
        <v/>
      </c>
      <c r="AW480" s="195" t="str">
        <f aca="false">IF($A481="","",AL480*$E480)</f>
        <v/>
      </c>
      <c r="AX480" s="195" t="str">
        <f aca="false">IF($A481="","",AM480*$E480)</f>
        <v/>
      </c>
      <c r="AY480" s="195" t="str">
        <f aca="false">IF($A481="","",AN480*$E480)</f>
        <v/>
      </c>
      <c r="BA480" s="195" t="str">
        <f aca="false">IF($A481="","",F480*Summary!$Q$9)</f>
        <v/>
      </c>
    </row>
    <row r="481" customFormat="false" ht="12.75" hidden="false" customHeight="false" outlineLevel="0" collapsed="false">
      <c r="A481" s="196" t="str">
        <f aca="false">IF(A480&lt;mthend,EDATE(A480,1),"")</f>
        <v/>
      </c>
      <c r="B481" s="197" t="str">
        <f aca="false">IF(A481&lt;mthend,B480,"")</f>
        <v/>
      </c>
      <c r="D481" s="197" t="str">
        <f aca="false">IF(A482&lt;&gt;"",B481+C481,"")</f>
        <v/>
      </c>
      <c r="E481" s="199" t="str">
        <f aca="false">IF(A482="","",IF(AND(AT481=1,$H$3=1),D481*AO481,IF($H$3=2,D481,"N/A")))</f>
        <v/>
      </c>
      <c r="F481" s="199" t="str">
        <f aca="false">IF(A482="","",E481*AS481)</f>
        <v/>
      </c>
      <c r="G481" s="200" t="str">
        <f aca="false">IF($A482="","",VLOOKUP($A481,Table,MATCH(G$4,Curves,0)))</f>
        <v/>
      </c>
      <c r="H481" s="201" t="str">
        <f aca="false">IF(A482="","",G481)</f>
        <v/>
      </c>
      <c r="J481" s="200" t="str">
        <f aca="false">IF($A482="","",VLOOKUP($A481,Table,MATCH(J$4,Curves,0)))</f>
        <v/>
      </c>
      <c r="K481" s="201" t="str">
        <f aca="false">IF(A482="","",J481)</f>
        <v/>
      </c>
      <c r="L481" s="200" t="str">
        <f aca="false">IF($A482="","",VLOOKUP($A481,Table,MATCH(L$4,Curves,0)))</f>
        <v/>
      </c>
      <c r="M481" s="201" t="str">
        <f aca="false">IF(A482="","",L481)</f>
        <v/>
      </c>
      <c r="O481" s="200" t="str">
        <f aca="false">IF(A482="","",L481+J481+G481)</f>
        <v/>
      </c>
      <c r="P481" s="200" t="str">
        <f aca="false">IF(A482="","",M481+K481+H481)</f>
        <v/>
      </c>
      <c r="R481" s="200" t="str">
        <f aca="false">IF($A482="","",VLOOKUP($A481,Table,MATCH(R$4,Curves,0)))</f>
        <v/>
      </c>
      <c r="S481" s="201" t="str">
        <f aca="false">IF(A482="","",R481)</f>
        <v/>
      </c>
      <c r="T481" s="200" t="str">
        <f aca="false">IF($A482="","",VLOOKUP($A481,Table,MATCH(T$4,Curves,0)))</f>
        <v/>
      </c>
      <c r="U481" s="201" t="str">
        <f aca="false">IF(A482="","",T481)</f>
        <v/>
      </c>
      <c r="V481" s="225" t="str">
        <f aca="false">IF($A482="","",IF(AND(MONTH(A481)&gt;3,MONTH(A481)&lt;11),(T481+R481+G481)*Summary!$T$9/(1-Summary!$T$9),(T481+R481+G481)*Summary!$U$9/(1-Summary!$U$9)))</f>
        <v/>
      </c>
      <c r="W481" s="200" t="str">
        <f aca="false">IF($A482="","",(T481+R481+G481+V481))</f>
        <v/>
      </c>
      <c r="X481" s="200" t="str">
        <f aca="false">IF($A482="","",(U481+S481+H481+V481))</f>
        <v/>
      </c>
      <c r="Y481" s="202"/>
      <c r="AJ481" s="77"/>
      <c r="AK481" s="77"/>
      <c r="AL481" s="77"/>
      <c r="AM481" s="77"/>
      <c r="AN481" s="77"/>
      <c r="AO481" s="137" t="str">
        <f aca="false">IF(A482="","",A482-A481)</f>
        <v/>
      </c>
      <c r="AP481" s="212" t="str">
        <f aca="false">IF(A482="","",CHOOSE(F$3,A482+24,A481))</f>
        <v/>
      </c>
      <c r="AQ481" s="209" t="str">
        <f aca="false">IF(A482="","",AP481-$E$1)</f>
        <v/>
      </c>
      <c r="AR481" s="185" t="n">
        <f aca="false">'ANR OK vs ML7'!AR481</f>
        <v>0.1</v>
      </c>
      <c r="AS481" s="213" t="str">
        <f aca="false">IF(A482="","",1/(1+CHOOSE(F$3,(AR482+($I$3/10000))/2,(AR481+($I$3/10000))/2))^(2*AQ481/365.25))</f>
        <v/>
      </c>
      <c r="AT481" s="137" t="str">
        <f aca="false">IF(A482="","",IF(AND(mthbeg&lt;=A481,mthend&gt;=A481),1,0))</f>
        <v/>
      </c>
      <c r="AU481" s="137" t="str">
        <f aca="false">IF(A482="","",AO481*AT481)</f>
        <v/>
      </c>
      <c r="AW481" s="195" t="str">
        <f aca="false">IF($A482="","",AL481*$E481)</f>
        <v/>
      </c>
      <c r="AX481" s="195" t="str">
        <f aca="false">IF($A482="","",AM481*$E481)</f>
        <v/>
      </c>
      <c r="AY481" s="195" t="str">
        <f aca="false">IF($A482="","",AN481*$E481)</f>
        <v/>
      </c>
      <c r="BA481" s="195" t="str">
        <f aca="false">IF($A482="","",F481*Summary!$Q$9)</f>
        <v/>
      </c>
    </row>
    <row r="482" customFormat="false" ht="12.75" hidden="false" customHeight="false" outlineLevel="0" collapsed="false">
      <c r="A482" s="196" t="str">
        <f aca="false">IF(A481&lt;mthend,EDATE(A481,1),"")</f>
        <v/>
      </c>
      <c r="B482" s="197" t="str">
        <f aca="false">IF(A482&lt;mthend,B481,"")</f>
        <v/>
      </c>
      <c r="D482" s="197" t="str">
        <f aca="false">IF(A483&lt;&gt;"",B482+C482,"")</f>
        <v/>
      </c>
      <c r="E482" s="199" t="str">
        <f aca="false">IF(A483="","",IF(AND(AT482=1,$H$3=1),D482*AO482,IF($H$3=2,D482,"N/A")))</f>
        <v/>
      </c>
      <c r="F482" s="199" t="str">
        <f aca="false">IF(A483="","",E482*AS482)</f>
        <v/>
      </c>
      <c r="G482" s="200" t="str">
        <f aca="false">IF($A483="","",VLOOKUP($A482,Table,MATCH(G$4,Curves,0)))</f>
        <v/>
      </c>
      <c r="H482" s="201" t="str">
        <f aca="false">IF(A483="","",G482)</f>
        <v/>
      </c>
      <c r="J482" s="200" t="str">
        <f aca="false">IF($A483="","",VLOOKUP($A482,Table,MATCH(J$4,Curves,0)))</f>
        <v/>
      </c>
      <c r="K482" s="201" t="str">
        <f aca="false">IF(A483="","",J482)</f>
        <v/>
      </c>
      <c r="L482" s="200" t="str">
        <f aca="false">IF($A483="","",VLOOKUP($A482,Table,MATCH(L$4,Curves,0)))</f>
        <v/>
      </c>
      <c r="M482" s="201" t="str">
        <f aca="false">IF(A483="","",L482)</f>
        <v/>
      </c>
      <c r="O482" s="200" t="str">
        <f aca="false">IF(A483="","",L482+J482+G482)</f>
        <v/>
      </c>
      <c r="P482" s="200" t="str">
        <f aca="false">IF(A483="","",M482+K482+H482)</f>
        <v/>
      </c>
      <c r="R482" s="200" t="str">
        <f aca="false">IF($A483="","",VLOOKUP($A482,Table,MATCH(R$4,Curves,0)))</f>
        <v/>
      </c>
      <c r="S482" s="201" t="str">
        <f aca="false">IF(A483="","",R482)</f>
        <v/>
      </c>
      <c r="T482" s="200" t="str">
        <f aca="false">IF($A483="","",VLOOKUP($A482,Table,MATCH(T$4,Curves,0)))</f>
        <v/>
      </c>
      <c r="U482" s="201" t="str">
        <f aca="false">IF(A483="","",T482)</f>
        <v/>
      </c>
      <c r="V482" s="225" t="str">
        <f aca="false">IF($A483="","",IF(AND(MONTH(A482)&gt;3,MONTH(A482)&lt;11),(T482+R482+G482)*Summary!$T$9/(1-Summary!$T$9),(T482+R482+G482)*Summary!$U$9/(1-Summary!$U$9)))</f>
        <v/>
      </c>
      <c r="W482" s="200" t="str">
        <f aca="false">IF($A483="","",(T482+R482+G482+V482))</f>
        <v/>
      </c>
      <c r="X482" s="200" t="str">
        <f aca="false">IF($A483="","",(U482+S482+H482+V482))</f>
        <v/>
      </c>
      <c r="Y482" s="202"/>
      <c r="AJ482" s="77"/>
      <c r="AK482" s="77"/>
      <c r="AL482" s="77"/>
      <c r="AM482" s="77"/>
      <c r="AN482" s="77"/>
      <c r="AO482" s="137" t="str">
        <f aca="false">IF(A483="","",A483-A482)</f>
        <v/>
      </c>
      <c r="AP482" s="212" t="str">
        <f aca="false">IF(A483="","",CHOOSE(F$3,A483+24,A482))</f>
        <v/>
      </c>
      <c r="AQ482" s="209" t="str">
        <f aca="false">IF(A483="","",AP482-$E$1)</f>
        <v/>
      </c>
      <c r="AR482" s="185" t="n">
        <f aca="false">'ANR OK vs ML7'!AR482</f>
        <v>0.1</v>
      </c>
      <c r="AS482" s="213" t="str">
        <f aca="false">IF(A483="","",1/(1+CHOOSE(F$3,(AR483+($I$3/10000))/2,(AR482+($I$3/10000))/2))^(2*AQ482/365.25))</f>
        <v/>
      </c>
      <c r="AT482" s="137" t="str">
        <f aca="false">IF(A483="","",IF(AND(mthbeg&lt;=A482,mthend&gt;=A482),1,0))</f>
        <v/>
      </c>
      <c r="AU482" s="137" t="str">
        <f aca="false">IF(A483="","",AO482*AT482)</f>
        <v/>
      </c>
      <c r="AW482" s="195" t="str">
        <f aca="false">IF($A483="","",AL482*$E482)</f>
        <v/>
      </c>
      <c r="AX482" s="195" t="str">
        <f aca="false">IF($A483="","",AM482*$E482)</f>
        <v/>
      </c>
      <c r="AY482" s="195" t="str">
        <f aca="false">IF($A483="","",AN482*$E482)</f>
        <v/>
      </c>
      <c r="BA482" s="195" t="str">
        <f aca="false">IF($A483="","",F482*Summary!$Q$9)</f>
        <v/>
      </c>
    </row>
    <row r="483" customFormat="false" ht="12.75" hidden="false" customHeight="false" outlineLevel="0" collapsed="false">
      <c r="A483" s="196" t="str">
        <f aca="false">IF(A482&lt;mthend,EDATE(A482,1),"")</f>
        <v/>
      </c>
      <c r="B483" s="197" t="str">
        <f aca="false">IF(A483&lt;mthend,B482,"")</f>
        <v/>
      </c>
      <c r="D483" s="197" t="str">
        <f aca="false">IF(A484&lt;&gt;"",B483+C483,"")</f>
        <v/>
      </c>
      <c r="E483" s="199" t="str">
        <f aca="false">IF(A484="","",IF(AND(AT483=1,$H$3=1),D483*AO483,IF($H$3=2,D483,"N/A")))</f>
        <v/>
      </c>
      <c r="F483" s="199" t="str">
        <f aca="false">IF(A484="","",E483*AS483)</f>
        <v/>
      </c>
      <c r="G483" s="200" t="str">
        <f aca="false">IF($A484="","",VLOOKUP($A483,Table,MATCH(G$4,Curves,0)))</f>
        <v/>
      </c>
      <c r="H483" s="201" t="str">
        <f aca="false">IF(A484="","",G483)</f>
        <v/>
      </c>
      <c r="J483" s="200" t="str">
        <f aca="false">IF($A484="","",VLOOKUP($A483,Table,MATCH(J$4,Curves,0)))</f>
        <v/>
      </c>
      <c r="K483" s="201" t="str">
        <f aca="false">IF(A484="","",J483)</f>
        <v/>
      </c>
      <c r="L483" s="200" t="str">
        <f aca="false">IF($A484="","",VLOOKUP($A483,Table,MATCH(L$4,Curves,0)))</f>
        <v/>
      </c>
      <c r="M483" s="201" t="str">
        <f aca="false">IF(A484="","",L483)</f>
        <v/>
      </c>
      <c r="O483" s="200" t="str">
        <f aca="false">IF(A484="","",L483+J483+G483)</f>
        <v/>
      </c>
      <c r="P483" s="200" t="str">
        <f aca="false">IF(A484="","",M483+K483+H483)</f>
        <v/>
      </c>
      <c r="R483" s="200" t="str">
        <f aca="false">IF($A484="","",VLOOKUP($A483,Table,MATCH(R$4,Curves,0)))</f>
        <v/>
      </c>
      <c r="S483" s="201" t="str">
        <f aca="false">IF(A484="","",R483)</f>
        <v/>
      </c>
      <c r="T483" s="200" t="str">
        <f aca="false">IF($A484="","",VLOOKUP($A483,Table,MATCH(T$4,Curves,0)))</f>
        <v/>
      </c>
      <c r="U483" s="201" t="str">
        <f aca="false">IF(A484="","",T483)</f>
        <v/>
      </c>
      <c r="V483" s="225" t="str">
        <f aca="false">IF($A484="","",IF(AND(MONTH(A483)&gt;3,MONTH(A483)&lt;11),(T483+R483+G483)*Summary!$T$9/(1-Summary!$T$9),(T483+R483+G483)*Summary!$U$9/(1-Summary!$U$9)))</f>
        <v/>
      </c>
      <c r="W483" s="200" t="str">
        <f aca="false">IF($A484="","",(T483+R483+G483+V483))</f>
        <v/>
      </c>
      <c r="X483" s="200" t="str">
        <f aca="false">IF($A484="","",(U483+S483+H483+V483))</f>
        <v/>
      </c>
      <c r="Y483" s="202"/>
      <c r="AJ483" s="77"/>
      <c r="AK483" s="77"/>
      <c r="AL483" s="77"/>
      <c r="AM483" s="77"/>
      <c r="AN483" s="77"/>
      <c r="AO483" s="137" t="str">
        <f aca="false">IF(A484="","",A484-A483)</f>
        <v/>
      </c>
      <c r="AP483" s="212" t="str">
        <f aca="false">IF(A484="","",CHOOSE(F$3,A484+24,A483))</f>
        <v/>
      </c>
      <c r="AQ483" s="209" t="str">
        <f aca="false">IF(A484="","",AP483-$E$1)</f>
        <v/>
      </c>
      <c r="AR483" s="185" t="n">
        <f aca="false">'ANR OK vs ML7'!AR483</f>
        <v>0.1</v>
      </c>
      <c r="AS483" s="213" t="str">
        <f aca="false">IF(A484="","",1/(1+CHOOSE(F$3,(AR484+($I$3/10000))/2,(AR483+($I$3/10000))/2))^(2*AQ483/365.25))</f>
        <v/>
      </c>
      <c r="AT483" s="137" t="str">
        <f aca="false">IF(A484="","",IF(AND(mthbeg&lt;=A483,mthend&gt;=A483),1,0))</f>
        <v/>
      </c>
      <c r="AU483" s="137" t="str">
        <f aca="false">IF(A484="","",AO483*AT483)</f>
        <v/>
      </c>
      <c r="AW483" s="195" t="str">
        <f aca="false">IF($A484="","",AL483*$E483)</f>
        <v/>
      </c>
      <c r="AX483" s="195" t="str">
        <f aca="false">IF($A484="","",AM483*$E483)</f>
        <v/>
      </c>
      <c r="AY483" s="195" t="str">
        <f aca="false">IF($A484="","",AN483*$E483)</f>
        <v/>
      </c>
      <c r="BA483" s="195" t="str">
        <f aca="false">IF($A484="","",F483*Summary!$Q$9)</f>
        <v/>
      </c>
    </row>
    <row r="484" customFormat="false" ht="12.75" hidden="false" customHeight="false" outlineLevel="0" collapsed="false">
      <c r="A484" s="196" t="str">
        <f aca="false">IF(A483&lt;mthend,EDATE(A483,1),"")</f>
        <v/>
      </c>
      <c r="B484" s="197" t="str">
        <f aca="false">IF(A484&lt;mthend,B483,"")</f>
        <v/>
      </c>
      <c r="D484" s="197" t="str">
        <f aca="false">IF(A485&lt;&gt;"",B484+C484,"")</f>
        <v/>
      </c>
      <c r="E484" s="199" t="str">
        <f aca="false">IF(A485="","",IF(AND(AT484=1,$H$3=1),D484*AO484,IF($H$3=2,D484,"N/A")))</f>
        <v/>
      </c>
      <c r="F484" s="199" t="str">
        <f aca="false">IF(A485="","",E484*AS484)</f>
        <v/>
      </c>
      <c r="G484" s="200" t="str">
        <f aca="false">IF($A485="","",VLOOKUP($A484,Table,MATCH(G$4,Curves,0)))</f>
        <v/>
      </c>
      <c r="H484" s="201" t="str">
        <f aca="false">IF(A485="","",G484)</f>
        <v/>
      </c>
      <c r="J484" s="200" t="str">
        <f aca="false">IF($A485="","",VLOOKUP($A484,Table,MATCH(J$4,Curves,0)))</f>
        <v/>
      </c>
      <c r="K484" s="201" t="str">
        <f aca="false">IF(A485="","",J484)</f>
        <v/>
      </c>
      <c r="L484" s="200" t="str">
        <f aca="false">IF($A485="","",VLOOKUP($A484,Table,MATCH(L$4,Curves,0)))</f>
        <v/>
      </c>
      <c r="M484" s="201" t="str">
        <f aca="false">IF(A485="","",L484)</f>
        <v/>
      </c>
      <c r="O484" s="200" t="str">
        <f aca="false">IF(A485="","",L484+J484+G484)</f>
        <v/>
      </c>
      <c r="P484" s="200" t="str">
        <f aca="false">IF(A485="","",M484+K484+H484)</f>
        <v/>
      </c>
      <c r="R484" s="200" t="str">
        <f aca="false">IF($A485="","",VLOOKUP($A484,Table,MATCH(R$4,Curves,0)))</f>
        <v/>
      </c>
      <c r="S484" s="201" t="str">
        <f aca="false">IF(A485="","",R484)</f>
        <v/>
      </c>
      <c r="T484" s="200" t="str">
        <f aca="false">IF($A485="","",VLOOKUP($A484,Table,MATCH(T$4,Curves,0)))</f>
        <v/>
      </c>
      <c r="U484" s="201" t="str">
        <f aca="false">IF(A485="","",T484)</f>
        <v/>
      </c>
      <c r="V484" s="225" t="str">
        <f aca="false">IF($A485="","",IF(AND(MONTH(A484)&gt;3,MONTH(A484)&lt;11),(T484+R484+G484)*Summary!$T$9/(1-Summary!$T$9),(T484+R484+G484)*Summary!$U$9/(1-Summary!$U$9)))</f>
        <v/>
      </c>
      <c r="W484" s="200" t="str">
        <f aca="false">IF($A485="","",(T484+R484+G484+V484))</f>
        <v/>
      </c>
      <c r="X484" s="200" t="str">
        <f aca="false">IF($A485="","",(U484+S484+H484+V484))</f>
        <v/>
      </c>
      <c r="Y484" s="202"/>
      <c r="AJ484" s="77"/>
      <c r="AK484" s="77"/>
      <c r="AL484" s="77"/>
      <c r="AM484" s="77"/>
      <c r="AN484" s="77"/>
      <c r="AO484" s="137" t="str">
        <f aca="false">IF(A485="","",A485-A484)</f>
        <v/>
      </c>
      <c r="AP484" s="212" t="str">
        <f aca="false">IF(A485="","",CHOOSE(F$3,A485+24,A484))</f>
        <v/>
      </c>
      <c r="AQ484" s="209" t="str">
        <f aca="false">IF(A485="","",AP484-$E$1)</f>
        <v/>
      </c>
      <c r="AR484" s="185" t="n">
        <f aca="false">'ANR OK vs ML7'!AR484</f>
        <v>0.1</v>
      </c>
      <c r="AS484" s="213" t="str">
        <f aca="false">IF(A485="","",1/(1+CHOOSE(F$3,(AR485+($I$3/10000))/2,(AR484+($I$3/10000))/2))^(2*AQ484/365.25))</f>
        <v/>
      </c>
      <c r="AT484" s="137" t="str">
        <f aca="false">IF(A485="","",IF(AND(mthbeg&lt;=A484,mthend&gt;=A484),1,0))</f>
        <v/>
      </c>
      <c r="AU484" s="137" t="str">
        <f aca="false">IF(A485="","",AO484*AT484)</f>
        <v/>
      </c>
      <c r="AW484" s="195" t="str">
        <f aca="false">IF($A485="","",AL484*$E484)</f>
        <v/>
      </c>
      <c r="AX484" s="195" t="str">
        <f aca="false">IF($A485="","",AM484*$E484)</f>
        <v/>
      </c>
      <c r="AY484" s="195" t="str">
        <f aca="false">IF($A485="","",AN484*$E484)</f>
        <v/>
      </c>
      <c r="BA484" s="195" t="str">
        <f aca="false">IF($A485="","",F484*Summary!$Q$9)</f>
        <v/>
      </c>
    </row>
    <row r="485" customFormat="false" ht="12.75" hidden="false" customHeight="false" outlineLevel="0" collapsed="false">
      <c r="A485" s="196" t="str">
        <f aca="false">IF(A484&lt;mthend,EDATE(A484,1),"")</f>
        <v/>
      </c>
      <c r="B485" s="197" t="str">
        <f aca="false">IF(A485&lt;mthend,B484,"")</f>
        <v/>
      </c>
      <c r="D485" s="197" t="str">
        <f aca="false">IF(A486&lt;&gt;"",B485+C485,"")</f>
        <v/>
      </c>
      <c r="E485" s="199" t="str">
        <f aca="false">IF(A486="","",IF(AND(AT485=1,$H$3=1),D485*AO485,IF($H$3=2,D485,"N/A")))</f>
        <v/>
      </c>
      <c r="F485" s="199" t="str">
        <f aca="false">IF(A486="","",E485*AS485)</f>
        <v/>
      </c>
      <c r="G485" s="200" t="str">
        <f aca="false">IF($A486="","",VLOOKUP($A485,Table,MATCH(G$4,Curves,0)))</f>
        <v/>
      </c>
      <c r="H485" s="201" t="str">
        <f aca="false">IF(A486="","",G485)</f>
        <v/>
      </c>
      <c r="J485" s="200" t="str">
        <f aca="false">IF($A486="","",VLOOKUP($A485,Table,MATCH(J$4,Curves,0)))</f>
        <v/>
      </c>
      <c r="K485" s="201" t="str">
        <f aca="false">IF(A486="","",J485)</f>
        <v/>
      </c>
      <c r="L485" s="200" t="str">
        <f aca="false">IF($A486="","",VLOOKUP($A485,Table,MATCH(L$4,Curves,0)))</f>
        <v/>
      </c>
      <c r="M485" s="201" t="str">
        <f aca="false">IF(A486="","",L485)</f>
        <v/>
      </c>
      <c r="O485" s="200" t="str">
        <f aca="false">IF(A486="","",L485+J485+G485)</f>
        <v/>
      </c>
      <c r="P485" s="200" t="str">
        <f aca="false">IF(A486="","",M485+K485+H485)</f>
        <v/>
      </c>
      <c r="R485" s="200" t="str">
        <f aca="false">IF($A486="","",VLOOKUP($A485,Table,MATCH(R$4,Curves,0)))</f>
        <v/>
      </c>
      <c r="S485" s="201" t="str">
        <f aca="false">IF(A486="","",R485)</f>
        <v/>
      </c>
      <c r="T485" s="200" t="str">
        <f aca="false">IF($A486="","",VLOOKUP($A485,Table,MATCH(T$4,Curves,0)))</f>
        <v/>
      </c>
      <c r="U485" s="201" t="str">
        <f aca="false">IF(A486="","",T485)</f>
        <v/>
      </c>
      <c r="V485" s="225" t="str">
        <f aca="false">IF($A486="","",IF(AND(MONTH(A485)&gt;3,MONTH(A485)&lt;11),(T485+R485+G485)*Summary!$T$9/(1-Summary!$T$9),(T485+R485+G485)*Summary!$U$9/(1-Summary!$U$9)))</f>
        <v/>
      </c>
      <c r="W485" s="200" t="str">
        <f aca="false">IF($A486="","",(T485+R485+G485+V485))</f>
        <v/>
      </c>
      <c r="X485" s="200" t="str">
        <f aca="false">IF($A486="","",(U485+S485+H485+V485))</f>
        <v/>
      </c>
      <c r="Y485" s="202"/>
      <c r="AJ485" s="77"/>
      <c r="AK485" s="77"/>
      <c r="AL485" s="77"/>
      <c r="AM485" s="77"/>
      <c r="AN485" s="77"/>
      <c r="AO485" s="137" t="str">
        <f aca="false">IF(A486="","",A486-A485)</f>
        <v/>
      </c>
      <c r="AP485" s="212" t="str">
        <f aca="false">IF(A486="","",CHOOSE(F$3,A486+24,A485))</f>
        <v/>
      </c>
      <c r="AQ485" s="209" t="str">
        <f aca="false">IF(A486="","",AP485-$E$1)</f>
        <v/>
      </c>
      <c r="AR485" s="185" t="n">
        <f aca="false">'ANR OK vs ML7'!AR485</f>
        <v>0.1</v>
      </c>
      <c r="AS485" s="213" t="str">
        <f aca="false">IF(A486="","",1/(1+CHOOSE(F$3,(AR486+($I$3/10000))/2,(AR485+($I$3/10000))/2))^(2*AQ485/365.25))</f>
        <v/>
      </c>
      <c r="AT485" s="137" t="str">
        <f aca="false">IF(A486="","",IF(AND(mthbeg&lt;=A485,mthend&gt;=A485),1,0))</f>
        <v/>
      </c>
      <c r="AU485" s="137" t="str">
        <f aca="false">IF(A486="","",AO485*AT485)</f>
        <v/>
      </c>
      <c r="AW485" s="195" t="str">
        <f aca="false">IF($A486="","",AL485*$E485)</f>
        <v/>
      </c>
      <c r="AX485" s="195" t="str">
        <f aca="false">IF($A486="","",AM485*$E485)</f>
        <v/>
      </c>
      <c r="AY485" s="195" t="str">
        <f aca="false">IF($A486="","",AN485*$E485)</f>
        <v/>
      </c>
      <c r="BA485" s="195" t="str">
        <f aca="false">IF($A486="","",F485*Summary!$Q$9)</f>
        <v/>
      </c>
    </row>
    <row r="486" customFormat="false" ht="12.75" hidden="false" customHeight="false" outlineLevel="0" collapsed="false">
      <c r="A486" s="196" t="str">
        <f aca="false">IF(A485&lt;mthend,EDATE(A485,1),"")</f>
        <v/>
      </c>
      <c r="B486" s="197" t="str">
        <f aca="false">IF(A486&lt;mthend,B485,"")</f>
        <v/>
      </c>
      <c r="D486" s="197" t="str">
        <f aca="false">IF(A487&lt;&gt;"",B486+C486,"")</f>
        <v/>
      </c>
      <c r="E486" s="199" t="str">
        <f aca="false">IF(A487="","",IF(AND(AT486=1,$H$3=1),D486*AO486,IF($H$3=2,D486,"N/A")))</f>
        <v/>
      </c>
      <c r="F486" s="199" t="str">
        <f aca="false">IF(A487="","",E486*AS486)</f>
        <v/>
      </c>
      <c r="G486" s="200" t="str">
        <f aca="false">IF($A487="","",VLOOKUP($A486,Table,MATCH(G$4,Curves,0)))</f>
        <v/>
      </c>
      <c r="H486" s="201" t="str">
        <f aca="false">IF(A487="","",G486)</f>
        <v/>
      </c>
      <c r="J486" s="200" t="str">
        <f aca="false">IF($A487="","",VLOOKUP($A486,Table,MATCH(J$4,Curves,0)))</f>
        <v/>
      </c>
      <c r="K486" s="201" t="str">
        <f aca="false">IF(A487="","",J486)</f>
        <v/>
      </c>
      <c r="L486" s="200" t="str">
        <f aca="false">IF($A487="","",VLOOKUP($A486,Table,MATCH(L$4,Curves,0)))</f>
        <v/>
      </c>
      <c r="M486" s="201" t="str">
        <f aca="false">IF(A487="","",L486)</f>
        <v/>
      </c>
      <c r="O486" s="200" t="str">
        <f aca="false">IF(A487="","",L486+J486+G486)</f>
        <v/>
      </c>
      <c r="P486" s="200" t="str">
        <f aca="false">IF(A487="","",M486+K486+H486)</f>
        <v/>
      </c>
      <c r="R486" s="200" t="str">
        <f aca="false">IF($A487="","",VLOOKUP($A486,Table,MATCH(R$4,Curves,0)))</f>
        <v/>
      </c>
      <c r="S486" s="201" t="str">
        <f aca="false">IF(A487="","",R486)</f>
        <v/>
      </c>
      <c r="T486" s="200" t="str">
        <f aca="false">IF($A487="","",VLOOKUP($A486,Table,MATCH(T$4,Curves,0)))</f>
        <v/>
      </c>
      <c r="U486" s="201" t="str">
        <f aca="false">IF(A487="","",T486)</f>
        <v/>
      </c>
      <c r="V486" s="225" t="str">
        <f aca="false">IF($A487="","",IF(AND(MONTH(A486)&gt;3,MONTH(A486)&lt;11),(T486+R486+G486)*Summary!$T$9/(1-Summary!$T$9),(T486+R486+G486)*Summary!$U$9/(1-Summary!$U$9)))</f>
        <v/>
      </c>
      <c r="W486" s="200" t="str">
        <f aca="false">IF($A487="","",(T486+R486+G486+V486))</f>
        <v/>
      </c>
      <c r="X486" s="200" t="str">
        <f aca="false">IF($A487="","",(U486+S486+H486+V486))</f>
        <v/>
      </c>
      <c r="Y486" s="202"/>
      <c r="AJ486" s="77"/>
      <c r="AK486" s="77"/>
      <c r="AL486" s="77"/>
      <c r="AM486" s="77"/>
      <c r="AN486" s="77"/>
      <c r="AO486" s="137" t="str">
        <f aca="false">IF(A487="","",A487-A486)</f>
        <v/>
      </c>
      <c r="AP486" s="212" t="str">
        <f aca="false">IF(A487="","",CHOOSE(F$3,A487+24,A486))</f>
        <v/>
      </c>
      <c r="AQ486" s="209" t="str">
        <f aca="false">IF(A487="","",AP486-$E$1)</f>
        <v/>
      </c>
      <c r="AR486" s="185" t="n">
        <f aca="false">'ANR OK vs ML7'!AR486</f>
        <v>0.1</v>
      </c>
      <c r="AS486" s="213" t="str">
        <f aca="false">IF(A487="","",1/(1+CHOOSE(F$3,(AR487+($I$3/10000))/2,(AR486+($I$3/10000))/2))^(2*AQ486/365.25))</f>
        <v/>
      </c>
      <c r="AT486" s="137" t="str">
        <f aca="false">IF(A487="","",IF(AND(mthbeg&lt;=A486,mthend&gt;=A486),1,0))</f>
        <v/>
      </c>
      <c r="AU486" s="137" t="str">
        <f aca="false">IF(A487="","",AO486*AT486)</f>
        <v/>
      </c>
      <c r="AW486" s="195" t="str">
        <f aca="false">IF($A487="","",AL486*$E486)</f>
        <v/>
      </c>
      <c r="AX486" s="195" t="str">
        <f aca="false">IF($A487="","",AM486*$E486)</f>
        <v/>
      </c>
      <c r="AY486" s="195" t="str">
        <f aca="false">IF($A487="","",AN486*$E486)</f>
        <v/>
      </c>
      <c r="BA486" s="195" t="str">
        <f aca="false">IF($A487="","",F486*Summary!$Q$9)</f>
        <v/>
      </c>
    </row>
    <row r="487" customFormat="false" ht="12.75" hidden="false" customHeight="false" outlineLevel="0" collapsed="false">
      <c r="A487" s="196" t="str">
        <f aca="false">IF(A486&lt;mthend,EDATE(A486,1),"")</f>
        <v/>
      </c>
      <c r="B487" s="197" t="str">
        <f aca="false">IF(A487&lt;mthend,B486,"")</f>
        <v/>
      </c>
      <c r="D487" s="197" t="str">
        <f aca="false">IF(A488&lt;&gt;"",B487+C487,"")</f>
        <v/>
      </c>
      <c r="E487" s="199" t="str">
        <f aca="false">IF(A488="","",IF(AND(AT487=1,$H$3=1),D487*AO487,IF($H$3=2,D487,"N/A")))</f>
        <v/>
      </c>
      <c r="F487" s="199" t="str">
        <f aca="false">IF(A488="","",E487*AS487)</f>
        <v/>
      </c>
      <c r="G487" s="200" t="str">
        <f aca="false">IF($A488="","",VLOOKUP($A487,Table,MATCH(G$4,Curves,0)))</f>
        <v/>
      </c>
      <c r="H487" s="201" t="str">
        <f aca="false">IF(A488="","",G487)</f>
        <v/>
      </c>
      <c r="J487" s="200" t="str">
        <f aca="false">IF($A488="","",VLOOKUP($A487,Table,MATCH(J$4,Curves,0)))</f>
        <v/>
      </c>
      <c r="K487" s="201" t="str">
        <f aca="false">IF(A488="","",J487)</f>
        <v/>
      </c>
      <c r="L487" s="200" t="str">
        <f aca="false">IF($A488="","",VLOOKUP($A487,Table,MATCH(L$4,Curves,0)))</f>
        <v/>
      </c>
      <c r="M487" s="201" t="str">
        <f aca="false">IF(A488="","",L487)</f>
        <v/>
      </c>
      <c r="O487" s="200" t="str">
        <f aca="false">IF(A488="","",L487+J487+G487)</f>
        <v/>
      </c>
      <c r="P487" s="200" t="str">
        <f aca="false">IF(A488="","",M487+K487+H487)</f>
        <v/>
      </c>
      <c r="R487" s="200" t="str">
        <f aca="false">IF($A488="","",VLOOKUP($A487,Table,MATCH(R$4,Curves,0)))</f>
        <v/>
      </c>
      <c r="S487" s="201" t="str">
        <f aca="false">IF(A488="","",R487)</f>
        <v/>
      </c>
      <c r="T487" s="200" t="str">
        <f aca="false">IF($A488="","",VLOOKUP($A487,Table,MATCH(T$4,Curves,0)))</f>
        <v/>
      </c>
      <c r="U487" s="201" t="str">
        <f aca="false">IF(A488="","",T487)</f>
        <v/>
      </c>
      <c r="V487" s="225" t="str">
        <f aca="false">IF($A488="","",IF(AND(MONTH(A487)&gt;3,MONTH(A487)&lt;11),(T487+R487+G487)*Summary!$T$9/(1-Summary!$T$9),(T487+R487+G487)*Summary!$U$9/(1-Summary!$U$9)))</f>
        <v/>
      </c>
      <c r="W487" s="200" t="str">
        <f aca="false">IF($A488="","",(T487+R487+G487+V487))</f>
        <v/>
      </c>
      <c r="X487" s="200" t="str">
        <f aca="false">IF($A488="","",(U487+S487+H487+V487))</f>
        <v/>
      </c>
      <c r="Y487" s="202"/>
      <c r="AJ487" s="77"/>
      <c r="AK487" s="77"/>
      <c r="AL487" s="77"/>
      <c r="AM487" s="77"/>
      <c r="AN487" s="77"/>
      <c r="AO487" s="137" t="str">
        <f aca="false">IF(A488="","",A488-A487)</f>
        <v/>
      </c>
      <c r="AP487" s="212" t="str">
        <f aca="false">IF(A488="","",CHOOSE(F$3,A488+24,A487))</f>
        <v/>
      </c>
      <c r="AQ487" s="209" t="str">
        <f aca="false">IF(A488="","",AP487-$E$1)</f>
        <v/>
      </c>
      <c r="AR487" s="185" t="n">
        <f aca="false">'ANR OK vs ML7'!AR487</f>
        <v>0.1</v>
      </c>
      <c r="AS487" s="213" t="str">
        <f aca="false">IF(A488="","",1/(1+CHOOSE(F$3,(AR488+($I$3/10000))/2,(AR487+($I$3/10000))/2))^(2*AQ487/365.25))</f>
        <v/>
      </c>
      <c r="AT487" s="137" t="str">
        <f aca="false">IF(A488="","",IF(AND(mthbeg&lt;=A487,mthend&gt;=A487),1,0))</f>
        <v/>
      </c>
      <c r="AU487" s="137" t="str">
        <f aca="false">IF(A488="","",AO487*AT487)</f>
        <v/>
      </c>
      <c r="AW487" s="195" t="str">
        <f aca="false">IF($A488="","",AL487*$E487)</f>
        <v/>
      </c>
      <c r="AX487" s="195" t="str">
        <f aca="false">IF($A488="","",AM487*$E487)</f>
        <v/>
      </c>
      <c r="AY487" s="195" t="str">
        <f aca="false">IF($A488="","",AN487*$E487)</f>
        <v/>
      </c>
      <c r="BA487" s="195" t="str">
        <f aca="false">IF($A488="","",F487*Summary!$Q$9)</f>
        <v/>
      </c>
    </row>
    <row r="488" customFormat="false" ht="12.75" hidden="false" customHeight="false" outlineLevel="0" collapsed="false">
      <c r="A488" s="196" t="str">
        <f aca="false">IF(A487&lt;mthend,EDATE(A487,1),"")</f>
        <v/>
      </c>
      <c r="B488" s="197" t="str">
        <f aca="false">IF(A488&lt;mthend,B487,"")</f>
        <v/>
      </c>
      <c r="D488" s="197" t="str">
        <f aca="false">IF(A489&lt;&gt;"",B488+C488,"")</f>
        <v/>
      </c>
      <c r="E488" s="199" t="str">
        <f aca="false">IF(A489="","",IF(AND(AT488=1,$H$3=1),D488*AO488,IF($H$3=2,D488,"N/A")))</f>
        <v/>
      </c>
      <c r="F488" s="199" t="str">
        <f aca="false">IF(A489="","",E488*AS488)</f>
        <v/>
      </c>
      <c r="G488" s="200" t="str">
        <f aca="false">IF($A489="","",VLOOKUP($A488,Table,MATCH(G$4,Curves,0)))</f>
        <v/>
      </c>
      <c r="H488" s="201" t="str">
        <f aca="false">IF(A489="","",G488)</f>
        <v/>
      </c>
      <c r="J488" s="200" t="str">
        <f aca="false">IF($A489="","",VLOOKUP($A488,Table,MATCH(J$4,Curves,0)))</f>
        <v/>
      </c>
      <c r="K488" s="201" t="str">
        <f aca="false">IF(A489="","",J488)</f>
        <v/>
      </c>
      <c r="L488" s="200" t="str">
        <f aca="false">IF($A489="","",VLOOKUP($A488,Table,MATCH(L$4,Curves,0)))</f>
        <v/>
      </c>
      <c r="M488" s="201" t="str">
        <f aca="false">IF(A489="","",L488)</f>
        <v/>
      </c>
      <c r="O488" s="200" t="str">
        <f aca="false">IF(A489="","",L488+J488+G488)</f>
        <v/>
      </c>
      <c r="P488" s="200" t="str">
        <f aca="false">IF(A489="","",M488+K488+H488)</f>
        <v/>
      </c>
      <c r="R488" s="200" t="str">
        <f aca="false">IF($A489="","",VLOOKUP($A488,Table,MATCH(R$4,Curves,0)))</f>
        <v/>
      </c>
      <c r="S488" s="201" t="str">
        <f aca="false">IF(A489="","",R488)</f>
        <v/>
      </c>
      <c r="T488" s="200" t="str">
        <f aca="false">IF($A489="","",VLOOKUP($A488,Table,MATCH(T$4,Curves,0)))</f>
        <v/>
      </c>
      <c r="U488" s="201" t="str">
        <f aca="false">IF(A489="","",T488)</f>
        <v/>
      </c>
      <c r="V488" s="225" t="str">
        <f aca="false">IF($A489="","",IF(AND(MONTH(A488)&gt;3,MONTH(A488)&lt;11),(T488+R488+G488)*Summary!$T$9/(1-Summary!$T$9),(T488+R488+G488)*Summary!$U$9/(1-Summary!$U$9)))</f>
        <v/>
      </c>
      <c r="W488" s="200" t="str">
        <f aca="false">IF($A489="","",(T488+R488+G488+V488))</f>
        <v/>
      </c>
      <c r="X488" s="200" t="str">
        <f aca="false">IF($A489="","",(U488+S488+H488+V488))</f>
        <v/>
      </c>
      <c r="Y488" s="202"/>
      <c r="AJ488" s="77"/>
      <c r="AK488" s="77"/>
      <c r="AL488" s="77"/>
      <c r="AM488" s="77"/>
      <c r="AN488" s="77"/>
      <c r="AO488" s="137" t="str">
        <f aca="false">IF(A489="","",A489-A488)</f>
        <v/>
      </c>
      <c r="AP488" s="212" t="str">
        <f aca="false">IF(A489="","",CHOOSE(F$3,A489+24,A488))</f>
        <v/>
      </c>
      <c r="AQ488" s="209" t="str">
        <f aca="false">IF(A489="","",AP488-$E$1)</f>
        <v/>
      </c>
      <c r="AR488" s="185" t="n">
        <f aca="false">'ANR OK vs ML7'!AR488</f>
        <v>0.1</v>
      </c>
      <c r="AS488" s="213" t="str">
        <f aca="false">IF(A489="","",1/(1+CHOOSE(F$3,(AR489+($I$3/10000))/2,(AR488+($I$3/10000))/2))^(2*AQ488/365.25))</f>
        <v/>
      </c>
      <c r="AT488" s="137" t="str">
        <f aca="false">IF(A489="","",IF(AND(mthbeg&lt;=A488,mthend&gt;=A488),1,0))</f>
        <v/>
      </c>
      <c r="AU488" s="137" t="str">
        <f aca="false">IF(A489="","",AO488*AT488)</f>
        <v/>
      </c>
      <c r="AW488" s="195" t="str">
        <f aca="false">IF($A489="","",AL488*$E488)</f>
        <v/>
      </c>
      <c r="AX488" s="195" t="str">
        <f aca="false">IF($A489="","",AM488*$E488)</f>
        <v/>
      </c>
      <c r="AY488" s="195" t="str">
        <f aca="false">IF($A489="","",AN488*$E488)</f>
        <v/>
      </c>
      <c r="BA488" s="195" t="str">
        <f aca="false">IF($A489="","",F488*Summary!$Q$9)</f>
        <v/>
      </c>
    </row>
    <row r="489" customFormat="false" ht="12.75" hidden="false" customHeight="false" outlineLevel="0" collapsed="false">
      <c r="A489" s="196" t="str">
        <f aca="false">IF(A488&lt;mthend,EDATE(A488,1),"")</f>
        <v/>
      </c>
      <c r="B489" s="197" t="str">
        <f aca="false">IF(A489&lt;mthend,B488,"")</f>
        <v/>
      </c>
      <c r="D489" s="197" t="str">
        <f aca="false">IF(A490&lt;&gt;"",B489+C489,"")</f>
        <v/>
      </c>
      <c r="E489" s="199" t="str">
        <f aca="false">IF(A490="","",IF(AND(AT489=1,$H$3=1),D489*AO489,IF($H$3=2,D489,"N/A")))</f>
        <v/>
      </c>
      <c r="F489" s="199" t="str">
        <f aca="false">IF(A490="","",E489*AS489)</f>
        <v/>
      </c>
      <c r="G489" s="200" t="str">
        <f aca="false">IF($A490="","",VLOOKUP($A489,Table,MATCH(G$4,Curves,0)))</f>
        <v/>
      </c>
      <c r="H489" s="201" t="str">
        <f aca="false">IF(A490="","",G489)</f>
        <v/>
      </c>
      <c r="J489" s="200" t="str">
        <f aca="false">IF($A490="","",VLOOKUP($A489,Table,MATCH(J$4,Curves,0)))</f>
        <v/>
      </c>
      <c r="K489" s="201" t="str">
        <f aca="false">IF(A490="","",J489)</f>
        <v/>
      </c>
      <c r="L489" s="200" t="str">
        <f aca="false">IF($A490="","",VLOOKUP($A489,Table,MATCH(L$4,Curves,0)))</f>
        <v/>
      </c>
      <c r="M489" s="201" t="str">
        <f aca="false">IF(A490="","",L489)</f>
        <v/>
      </c>
      <c r="O489" s="200" t="str">
        <f aca="false">IF(A490="","",L489+J489+G489)</f>
        <v/>
      </c>
      <c r="P489" s="200" t="str">
        <f aca="false">IF(A490="","",M489+K489+H489)</f>
        <v/>
      </c>
      <c r="R489" s="200" t="str">
        <f aca="false">IF($A490="","",VLOOKUP($A489,Table,MATCH(R$4,Curves,0)))</f>
        <v/>
      </c>
      <c r="S489" s="201" t="str">
        <f aca="false">IF(A490="","",R489)</f>
        <v/>
      </c>
      <c r="T489" s="200" t="str">
        <f aca="false">IF($A490="","",VLOOKUP($A489,Table,MATCH(T$4,Curves,0)))</f>
        <v/>
      </c>
      <c r="U489" s="201" t="str">
        <f aca="false">IF(A490="","",T489)</f>
        <v/>
      </c>
      <c r="V489" s="225" t="str">
        <f aca="false">IF($A490="","",IF(AND(MONTH(A489)&gt;3,MONTH(A489)&lt;11),(T489+R489+G489)*Summary!$T$9/(1-Summary!$T$9),(T489+R489+G489)*Summary!$U$9/(1-Summary!$U$9)))</f>
        <v/>
      </c>
      <c r="W489" s="200" t="str">
        <f aca="false">IF($A490="","",(T489+R489+G489+V489))</f>
        <v/>
      </c>
      <c r="X489" s="200" t="str">
        <f aca="false">IF($A490="","",(U489+S489+H489+V489))</f>
        <v/>
      </c>
      <c r="Y489" s="202"/>
      <c r="AJ489" s="77"/>
      <c r="AK489" s="77"/>
      <c r="AL489" s="77"/>
      <c r="AM489" s="77"/>
      <c r="AN489" s="77"/>
      <c r="AO489" s="137" t="str">
        <f aca="false">IF(A490="","",A490-A489)</f>
        <v/>
      </c>
      <c r="AP489" s="212" t="str">
        <f aca="false">IF(A490="","",CHOOSE(F$3,A490+24,A489))</f>
        <v/>
      </c>
      <c r="AQ489" s="209" t="str">
        <f aca="false">IF(A490="","",AP489-$E$1)</f>
        <v/>
      </c>
      <c r="AR489" s="185" t="n">
        <f aca="false">'ANR OK vs ML7'!AR489</f>
        <v>0.1</v>
      </c>
      <c r="AS489" s="213" t="str">
        <f aca="false">IF(A490="","",1/(1+CHOOSE(F$3,(AR490+($I$3/10000))/2,(AR489+($I$3/10000))/2))^(2*AQ489/365.25))</f>
        <v/>
      </c>
      <c r="AT489" s="137" t="str">
        <f aca="false">IF(A490="","",IF(AND(mthbeg&lt;=A489,mthend&gt;=A489),1,0))</f>
        <v/>
      </c>
      <c r="AU489" s="137" t="str">
        <f aca="false">IF(A490="","",AO489*AT489)</f>
        <v/>
      </c>
      <c r="AW489" s="195" t="str">
        <f aca="false">IF($A490="","",AL489*$E489)</f>
        <v/>
      </c>
      <c r="AX489" s="195" t="str">
        <f aca="false">IF($A490="","",AM489*$E489)</f>
        <v/>
      </c>
      <c r="AY489" s="195" t="str">
        <f aca="false">IF($A490="","",AN489*$E489)</f>
        <v/>
      </c>
      <c r="BA489" s="195" t="str">
        <f aca="false">IF($A490="","",F489*Summary!$Q$9)</f>
        <v/>
      </c>
    </row>
    <row r="490" customFormat="false" ht="12.75" hidden="false" customHeight="false" outlineLevel="0" collapsed="false">
      <c r="A490" s="196" t="str">
        <f aca="false">IF(A489&lt;mthend,EDATE(A489,1),"")</f>
        <v/>
      </c>
      <c r="B490" s="197" t="str">
        <f aca="false">IF(A490&lt;mthend,B489,"")</f>
        <v/>
      </c>
      <c r="D490" s="197" t="str">
        <f aca="false">IF(A491&lt;&gt;"",B490+C490,"")</f>
        <v/>
      </c>
      <c r="E490" s="199" t="str">
        <f aca="false">IF(A491="","",IF(AND(AT490=1,$H$3=1),D490*AO490,IF($H$3=2,D490,"N/A")))</f>
        <v/>
      </c>
      <c r="F490" s="199" t="str">
        <f aca="false">IF(A491="","",E490*AS490)</f>
        <v/>
      </c>
      <c r="G490" s="200" t="str">
        <f aca="false">IF($A491="","",VLOOKUP($A490,Table,MATCH(G$4,Curves,0)))</f>
        <v/>
      </c>
      <c r="H490" s="201" t="str">
        <f aca="false">IF(A491="","",G490)</f>
        <v/>
      </c>
      <c r="J490" s="200" t="str">
        <f aca="false">IF($A491="","",VLOOKUP($A490,Table,MATCH(J$4,Curves,0)))</f>
        <v/>
      </c>
      <c r="K490" s="201" t="str">
        <f aca="false">IF(A491="","",J490)</f>
        <v/>
      </c>
      <c r="L490" s="200" t="str">
        <f aca="false">IF($A491="","",VLOOKUP($A490,Table,MATCH(L$4,Curves,0)))</f>
        <v/>
      </c>
      <c r="M490" s="201" t="str">
        <f aca="false">IF(A491="","",L490)</f>
        <v/>
      </c>
      <c r="O490" s="200" t="str">
        <f aca="false">IF(A491="","",L490+J490+G490)</f>
        <v/>
      </c>
      <c r="P490" s="200" t="str">
        <f aca="false">IF(A491="","",M490+K490+H490)</f>
        <v/>
      </c>
      <c r="R490" s="200" t="str">
        <f aca="false">IF($A491="","",VLOOKUP($A490,Table,MATCH(R$4,Curves,0)))</f>
        <v/>
      </c>
      <c r="S490" s="201" t="str">
        <f aca="false">IF(A491="","",R490)</f>
        <v/>
      </c>
      <c r="T490" s="200" t="str">
        <f aca="false">IF($A491="","",VLOOKUP($A490,Table,MATCH(T$4,Curves,0)))</f>
        <v/>
      </c>
      <c r="U490" s="201" t="str">
        <f aca="false">IF(A491="","",T490)</f>
        <v/>
      </c>
      <c r="V490" s="225" t="str">
        <f aca="false">IF($A491="","",IF(AND(MONTH(A490)&gt;3,MONTH(A490)&lt;11),(T490+R490+G490)*Summary!$T$9/(1-Summary!$T$9),(T490+R490+G490)*Summary!$U$9/(1-Summary!$U$9)))</f>
        <v/>
      </c>
      <c r="W490" s="200" t="str">
        <f aca="false">IF($A491="","",(T490+R490+G490+V490))</f>
        <v/>
      </c>
      <c r="X490" s="200" t="str">
        <f aca="false">IF($A491="","",(U490+S490+H490+V490))</f>
        <v/>
      </c>
      <c r="Y490" s="202"/>
      <c r="AJ490" s="77"/>
      <c r="AK490" s="77"/>
      <c r="AL490" s="77"/>
      <c r="AM490" s="77"/>
      <c r="AN490" s="77"/>
      <c r="AO490" s="137" t="str">
        <f aca="false">IF(A491="","",A491-A490)</f>
        <v/>
      </c>
      <c r="AP490" s="212" t="str">
        <f aca="false">IF(A491="","",CHOOSE(F$3,A491+24,A490))</f>
        <v/>
      </c>
      <c r="AQ490" s="209" t="str">
        <f aca="false">IF(A491="","",AP490-$E$1)</f>
        <v/>
      </c>
      <c r="AR490" s="185" t="n">
        <f aca="false">'ANR OK vs ML7'!AR490</f>
        <v>0.1</v>
      </c>
      <c r="AS490" s="213" t="str">
        <f aca="false">IF(A491="","",1/(1+CHOOSE(F$3,(AR491+($I$3/10000))/2,(AR490+($I$3/10000))/2))^(2*AQ490/365.25))</f>
        <v/>
      </c>
      <c r="AT490" s="137" t="str">
        <f aca="false">IF(A491="","",IF(AND(mthbeg&lt;=A490,mthend&gt;=A490),1,0))</f>
        <v/>
      </c>
      <c r="AU490" s="137" t="str">
        <f aca="false">IF(A491="","",AO490*AT490)</f>
        <v/>
      </c>
      <c r="AW490" s="195" t="str">
        <f aca="false">IF($A491="","",AL490*$E490)</f>
        <v/>
      </c>
      <c r="AX490" s="195" t="str">
        <f aca="false">IF($A491="","",AM490*$E490)</f>
        <v/>
      </c>
      <c r="AY490" s="195" t="str">
        <f aca="false">IF($A491="","",AN490*$E490)</f>
        <v/>
      </c>
      <c r="BA490" s="195" t="str">
        <f aca="false">IF($A491="","",F490*Summary!$Q$9)</f>
        <v/>
      </c>
    </row>
    <row r="491" customFormat="false" ht="12.75" hidden="false" customHeight="false" outlineLevel="0" collapsed="false">
      <c r="A491" s="196" t="str">
        <f aca="false">IF(A490&lt;mthend,EDATE(A490,1),"")</f>
        <v/>
      </c>
      <c r="B491" s="197" t="str">
        <f aca="false">IF(A491&lt;mthend,B490,"")</f>
        <v/>
      </c>
      <c r="D491" s="197" t="str">
        <f aca="false">IF(A492&lt;&gt;"",B491+C491,"")</f>
        <v/>
      </c>
      <c r="E491" s="199" t="str">
        <f aca="false">IF(A492="","",IF(AND(AT491=1,$H$3=1),D491*AO491,IF($H$3=2,D491,"N/A")))</f>
        <v/>
      </c>
      <c r="F491" s="199" t="str">
        <f aca="false">IF(A492="","",E491*AS491)</f>
        <v/>
      </c>
      <c r="G491" s="200" t="str">
        <f aca="false">IF($A492="","",VLOOKUP($A491,Table,MATCH(G$4,Curves,0)))</f>
        <v/>
      </c>
      <c r="H491" s="201" t="str">
        <f aca="false">IF(A492="","",G491)</f>
        <v/>
      </c>
      <c r="J491" s="200" t="str">
        <f aca="false">IF($A492="","",VLOOKUP($A491,Table,MATCH(J$4,Curves,0)))</f>
        <v/>
      </c>
      <c r="K491" s="201" t="str">
        <f aca="false">IF(A492="","",J491)</f>
        <v/>
      </c>
      <c r="L491" s="200" t="str">
        <f aca="false">IF($A492="","",VLOOKUP($A491,Table,MATCH(L$4,Curves,0)))</f>
        <v/>
      </c>
      <c r="M491" s="201" t="str">
        <f aca="false">IF(A492="","",L491)</f>
        <v/>
      </c>
      <c r="O491" s="200" t="str">
        <f aca="false">IF(A492="","",L491+J491+G491)</f>
        <v/>
      </c>
      <c r="P491" s="200" t="str">
        <f aca="false">IF(A492="","",M491+K491+H491)</f>
        <v/>
      </c>
      <c r="R491" s="200" t="str">
        <f aca="false">IF($A492="","",VLOOKUP($A491,Table,MATCH(R$4,Curves,0)))</f>
        <v/>
      </c>
      <c r="S491" s="201" t="str">
        <f aca="false">IF(A492="","",R491)</f>
        <v/>
      </c>
      <c r="T491" s="200" t="str">
        <f aca="false">IF($A492="","",VLOOKUP($A491,Table,MATCH(T$4,Curves,0)))</f>
        <v/>
      </c>
      <c r="U491" s="201" t="str">
        <f aca="false">IF(A492="","",T491)</f>
        <v/>
      </c>
      <c r="V491" s="225" t="str">
        <f aca="false">IF($A492="","",IF(AND(MONTH(A491)&gt;3,MONTH(A491)&lt;11),(T491+R491+G491)*Summary!$T$9/(1-Summary!$T$9),(T491+R491+G491)*Summary!$U$9/(1-Summary!$U$9)))</f>
        <v/>
      </c>
      <c r="W491" s="200" t="str">
        <f aca="false">IF($A492="","",(T491+R491+G491+V491))</f>
        <v/>
      </c>
      <c r="X491" s="200" t="str">
        <f aca="false">IF($A492="","",(U491+S491+H491+V491))</f>
        <v/>
      </c>
      <c r="Y491" s="202"/>
      <c r="AJ491" s="77"/>
      <c r="AK491" s="77"/>
      <c r="AL491" s="77"/>
      <c r="AM491" s="77"/>
      <c r="AN491" s="77"/>
      <c r="AO491" s="137" t="str">
        <f aca="false">IF(A492="","",A492-A491)</f>
        <v/>
      </c>
      <c r="AP491" s="212" t="str">
        <f aca="false">IF(A492="","",CHOOSE(F$3,A492+24,A491))</f>
        <v/>
      </c>
      <c r="AQ491" s="209" t="str">
        <f aca="false">IF(A492="","",AP491-$E$1)</f>
        <v/>
      </c>
      <c r="AR491" s="185" t="n">
        <f aca="false">'ANR OK vs ML7'!AR491</f>
        <v>0.1</v>
      </c>
      <c r="AS491" s="213" t="str">
        <f aca="false">IF(A492="","",1/(1+CHOOSE(F$3,(AR492+($I$3/10000))/2,(AR491+($I$3/10000))/2))^(2*AQ491/365.25))</f>
        <v/>
      </c>
      <c r="AT491" s="137" t="str">
        <f aca="false">IF(A492="","",IF(AND(mthbeg&lt;=A491,mthend&gt;=A491),1,0))</f>
        <v/>
      </c>
      <c r="AU491" s="137" t="str">
        <f aca="false">IF(A492="","",AO491*AT491)</f>
        <v/>
      </c>
      <c r="AW491" s="195" t="str">
        <f aca="false">IF($A492="","",AL491*$E491)</f>
        <v/>
      </c>
      <c r="AX491" s="195" t="str">
        <f aca="false">IF($A492="","",AM491*$E491)</f>
        <v/>
      </c>
      <c r="AY491" s="195" t="str">
        <f aca="false">IF($A492="","",AN491*$E491)</f>
        <v/>
      </c>
      <c r="BA491" s="195" t="str">
        <f aca="false">IF($A492="","",F491*Summary!$Q$9)</f>
        <v/>
      </c>
    </row>
    <row r="492" customFormat="false" ht="12.75" hidden="false" customHeight="false" outlineLevel="0" collapsed="false">
      <c r="A492" s="196" t="str">
        <f aca="false">IF(A491&lt;mthend,EDATE(A491,1),"")</f>
        <v/>
      </c>
      <c r="B492" s="197" t="str">
        <f aca="false">IF(A492&lt;mthend,B491,"")</f>
        <v/>
      </c>
      <c r="D492" s="197" t="str">
        <f aca="false">IF(A493&lt;&gt;"",B492+C492,"")</f>
        <v/>
      </c>
      <c r="E492" s="199" t="str">
        <f aca="false">IF(A493="","",IF(AND(AT492=1,$H$3=1),D492*AO492,IF($H$3=2,D492,"N/A")))</f>
        <v/>
      </c>
      <c r="F492" s="199" t="str">
        <f aca="false">IF(A493="","",E492*AS492)</f>
        <v/>
      </c>
      <c r="G492" s="200" t="str">
        <f aca="false">IF($A493="","",VLOOKUP($A492,Table,MATCH(G$4,Curves,0)))</f>
        <v/>
      </c>
      <c r="H492" s="201" t="str">
        <f aca="false">IF(A493="","",G492)</f>
        <v/>
      </c>
      <c r="J492" s="200" t="str">
        <f aca="false">IF($A493="","",VLOOKUP($A492,Table,MATCH(J$4,Curves,0)))</f>
        <v/>
      </c>
      <c r="K492" s="201" t="str">
        <f aca="false">IF(A493="","",J492)</f>
        <v/>
      </c>
      <c r="L492" s="200" t="str">
        <f aca="false">IF($A493="","",VLOOKUP($A492,Table,MATCH(L$4,Curves,0)))</f>
        <v/>
      </c>
      <c r="M492" s="201" t="str">
        <f aca="false">IF(A493="","",L492)</f>
        <v/>
      </c>
      <c r="O492" s="200" t="str">
        <f aca="false">IF(A493="","",L492+J492+G492)</f>
        <v/>
      </c>
      <c r="P492" s="200" t="str">
        <f aca="false">IF(A493="","",M492+K492+H492)</f>
        <v/>
      </c>
      <c r="R492" s="200" t="str">
        <f aca="false">IF($A493="","",VLOOKUP($A492,Table,MATCH(R$4,Curves,0)))</f>
        <v/>
      </c>
      <c r="S492" s="201" t="str">
        <f aca="false">IF(A493="","",R492)</f>
        <v/>
      </c>
      <c r="T492" s="200" t="str">
        <f aca="false">IF($A493="","",VLOOKUP($A492,Table,MATCH(T$4,Curves,0)))</f>
        <v/>
      </c>
      <c r="U492" s="201" t="str">
        <f aca="false">IF(A493="","",T492)</f>
        <v/>
      </c>
      <c r="V492" s="225" t="str">
        <f aca="false">IF($A493="","",IF(AND(MONTH(A492)&gt;3,MONTH(A492)&lt;11),(T492+R492+G492)*Summary!$T$9/(1-Summary!$T$9),(T492+R492+G492)*Summary!$U$9/(1-Summary!$U$9)))</f>
        <v/>
      </c>
      <c r="W492" s="200" t="str">
        <f aca="false">IF($A493="","",(T492+R492+G492+V492))</f>
        <v/>
      </c>
      <c r="X492" s="200" t="str">
        <f aca="false">IF($A493="","",(U492+S492+H492+V492))</f>
        <v/>
      </c>
      <c r="Y492" s="202"/>
      <c r="AJ492" s="77"/>
      <c r="AK492" s="77"/>
      <c r="AL492" s="77"/>
      <c r="AM492" s="77"/>
      <c r="AN492" s="77"/>
      <c r="AO492" s="137" t="str">
        <f aca="false">IF(A493="","",A493-A492)</f>
        <v/>
      </c>
      <c r="AP492" s="212" t="str">
        <f aca="false">IF(A493="","",CHOOSE(F$3,A493+24,A492))</f>
        <v/>
      </c>
      <c r="AQ492" s="209" t="str">
        <f aca="false">IF(A493="","",AP492-$E$1)</f>
        <v/>
      </c>
      <c r="AR492" s="185" t="n">
        <f aca="false">'ANR OK vs ML7'!AR492</f>
        <v>0.1</v>
      </c>
      <c r="AS492" s="213" t="str">
        <f aca="false">IF(A493="","",1/(1+CHOOSE(F$3,(AR493+($I$3/10000))/2,(AR492+($I$3/10000))/2))^(2*AQ492/365.25))</f>
        <v/>
      </c>
      <c r="AT492" s="137" t="str">
        <f aca="false">IF(A493="","",IF(AND(mthbeg&lt;=A492,mthend&gt;=A492),1,0))</f>
        <v/>
      </c>
      <c r="AU492" s="137" t="str">
        <f aca="false">IF(A493="","",AO492*AT492)</f>
        <v/>
      </c>
      <c r="AW492" s="195" t="str">
        <f aca="false">IF($A493="","",AL492*$E492)</f>
        <v/>
      </c>
      <c r="AX492" s="195" t="str">
        <f aca="false">IF($A493="","",AM492*$E492)</f>
        <v/>
      </c>
      <c r="AY492" s="195" t="str">
        <f aca="false">IF($A493="","",AN492*$E492)</f>
        <v/>
      </c>
      <c r="BA492" s="195" t="str">
        <f aca="false">IF($A493="","",F492*Summary!$Q$9)</f>
        <v/>
      </c>
    </row>
    <row r="493" customFormat="false" ht="12.75" hidden="false" customHeight="false" outlineLevel="0" collapsed="false">
      <c r="A493" s="196" t="str">
        <f aca="false">IF(A492&lt;mthend,EDATE(A492,1),"")</f>
        <v/>
      </c>
      <c r="B493" s="197" t="str">
        <f aca="false">IF(A493&lt;mthend,B492,"")</f>
        <v/>
      </c>
      <c r="D493" s="197" t="str">
        <f aca="false">IF(A494&lt;&gt;"",B493+C493,"")</f>
        <v/>
      </c>
      <c r="E493" s="199" t="str">
        <f aca="false">IF(A494="","",IF(AND(AT493=1,$H$3=1),D493*AO493,IF($H$3=2,D493,"N/A")))</f>
        <v/>
      </c>
      <c r="F493" s="199" t="str">
        <f aca="false">IF(A494="","",E493*AS493)</f>
        <v/>
      </c>
      <c r="G493" s="200" t="str">
        <f aca="false">IF($A494="","",VLOOKUP($A493,Table,MATCH(G$4,Curves,0)))</f>
        <v/>
      </c>
      <c r="H493" s="201" t="str">
        <f aca="false">IF(A494="","",G493)</f>
        <v/>
      </c>
      <c r="J493" s="200" t="str">
        <f aca="false">IF($A494="","",VLOOKUP($A493,Table,MATCH(J$4,Curves,0)))</f>
        <v/>
      </c>
      <c r="K493" s="201" t="str">
        <f aca="false">IF(A494="","",J493)</f>
        <v/>
      </c>
      <c r="L493" s="200" t="str">
        <f aca="false">IF($A494="","",VLOOKUP($A493,Table,MATCH(L$4,Curves,0)))</f>
        <v/>
      </c>
      <c r="M493" s="201" t="str">
        <f aca="false">IF(A494="","",L493)</f>
        <v/>
      </c>
      <c r="O493" s="200" t="str">
        <f aca="false">IF(A494="","",L493+J493+G493)</f>
        <v/>
      </c>
      <c r="P493" s="200" t="str">
        <f aca="false">IF(A494="","",M493+K493+H493)</f>
        <v/>
      </c>
      <c r="R493" s="200" t="str">
        <f aca="false">IF($A494="","",VLOOKUP($A493,Table,MATCH(R$4,Curves,0)))</f>
        <v/>
      </c>
      <c r="S493" s="201" t="str">
        <f aca="false">IF(A494="","",R493)</f>
        <v/>
      </c>
      <c r="T493" s="200" t="str">
        <f aca="false">IF($A494="","",VLOOKUP($A493,Table,MATCH(T$4,Curves,0)))</f>
        <v/>
      </c>
      <c r="U493" s="201" t="str">
        <f aca="false">IF(A494="","",T493)</f>
        <v/>
      </c>
      <c r="V493" s="225" t="str">
        <f aca="false">IF($A494="","",IF(AND(MONTH(A493)&gt;3,MONTH(A493)&lt;11),(T493+R493+G493)*Summary!$T$9/(1-Summary!$T$9),(T493+R493+G493)*Summary!$U$9/(1-Summary!$U$9)))</f>
        <v/>
      </c>
      <c r="W493" s="200" t="str">
        <f aca="false">IF($A494="","",(T493+R493+G493+V493))</f>
        <v/>
      </c>
      <c r="X493" s="200" t="str">
        <f aca="false">IF($A494="","",(U493+S493+H493+V493))</f>
        <v/>
      </c>
      <c r="Y493" s="202"/>
      <c r="AJ493" s="77"/>
      <c r="AK493" s="77"/>
      <c r="AL493" s="77"/>
      <c r="AM493" s="77"/>
      <c r="AN493" s="77"/>
      <c r="AO493" s="137" t="str">
        <f aca="false">IF(A494="","",A494-A493)</f>
        <v/>
      </c>
      <c r="AP493" s="212" t="str">
        <f aca="false">IF(A494="","",CHOOSE(F$3,A494+24,A493))</f>
        <v/>
      </c>
      <c r="AQ493" s="209" t="str">
        <f aca="false">IF(A494="","",AP493-$E$1)</f>
        <v/>
      </c>
      <c r="AR493" s="185" t="n">
        <f aca="false">'ANR OK vs ML7'!AR493</f>
        <v>0.1</v>
      </c>
      <c r="AS493" s="213" t="str">
        <f aca="false">IF(A494="","",1/(1+CHOOSE(F$3,(AR494+($I$3/10000))/2,(AR493+($I$3/10000))/2))^(2*AQ493/365.25))</f>
        <v/>
      </c>
      <c r="AT493" s="137" t="str">
        <f aca="false">IF(A494="","",IF(AND(mthbeg&lt;=A493,mthend&gt;=A493),1,0))</f>
        <v/>
      </c>
      <c r="AU493" s="137" t="str">
        <f aca="false">IF(A494="","",AO493*AT493)</f>
        <v/>
      </c>
      <c r="AW493" s="195" t="str">
        <f aca="false">IF($A494="","",AL493*$E493)</f>
        <v/>
      </c>
      <c r="AX493" s="195" t="str">
        <f aca="false">IF($A494="","",AM493*$E493)</f>
        <v/>
      </c>
      <c r="AY493" s="195" t="str">
        <f aca="false">IF($A494="","",AN493*$E493)</f>
        <v/>
      </c>
      <c r="BA493" s="195" t="str">
        <f aca="false">IF($A494="","",F493*Summary!$Q$9)</f>
        <v/>
      </c>
    </row>
    <row r="494" customFormat="false" ht="12.75" hidden="false" customHeight="false" outlineLevel="0" collapsed="false">
      <c r="A494" s="196" t="str">
        <f aca="false">IF(A493&lt;mthend,EDATE(A493,1),"")</f>
        <v/>
      </c>
      <c r="B494" s="197" t="str">
        <f aca="false">IF(A494&lt;mthend,B493,"")</f>
        <v/>
      </c>
      <c r="D494" s="197" t="str">
        <f aca="false">IF(A495&lt;&gt;"",B494+C494,"")</f>
        <v/>
      </c>
      <c r="E494" s="199" t="str">
        <f aca="false">IF(A495="","",IF(AND(AT494=1,$H$3=1),D494*AO494,IF($H$3=2,D494,"N/A")))</f>
        <v/>
      </c>
      <c r="F494" s="199" t="str">
        <f aca="false">IF(A495="","",E494*AS494)</f>
        <v/>
      </c>
      <c r="G494" s="200" t="str">
        <f aca="false">IF($A495="","",VLOOKUP($A494,Table,MATCH(G$4,Curves,0)))</f>
        <v/>
      </c>
      <c r="H494" s="201" t="str">
        <f aca="false">IF(A495="","",G494)</f>
        <v/>
      </c>
      <c r="J494" s="200" t="str">
        <f aca="false">IF($A495="","",VLOOKUP($A494,Table,MATCH(J$4,Curves,0)))</f>
        <v/>
      </c>
      <c r="K494" s="201" t="str">
        <f aca="false">IF(A495="","",J494)</f>
        <v/>
      </c>
      <c r="L494" s="200" t="str">
        <f aca="false">IF($A495="","",VLOOKUP($A494,Table,MATCH(L$4,Curves,0)))</f>
        <v/>
      </c>
      <c r="M494" s="201" t="str">
        <f aca="false">IF(A495="","",L494)</f>
        <v/>
      </c>
      <c r="O494" s="200" t="str">
        <f aca="false">IF(A495="","",L494+J494+G494)</f>
        <v/>
      </c>
      <c r="P494" s="200" t="str">
        <f aca="false">IF(A495="","",M494+K494+H494)</f>
        <v/>
      </c>
      <c r="R494" s="200" t="str">
        <f aca="false">IF($A495="","",VLOOKUP($A494,Table,MATCH(R$4,Curves,0)))</f>
        <v/>
      </c>
      <c r="S494" s="201" t="str">
        <f aca="false">IF(A495="","",R494)</f>
        <v/>
      </c>
      <c r="T494" s="200" t="str">
        <f aca="false">IF($A495="","",VLOOKUP($A494,Table,MATCH(T$4,Curves,0)))</f>
        <v/>
      </c>
      <c r="U494" s="201" t="str">
        <f aca="false">IF(A495="","",T494)</f>
        <v/>
      </c>
      <c r="V494" s="225" t="str">
        <f aca="false">IF($A495="","",IF(AND(MONTH(A494)&gt;3,MONTH(A494)&lt;11),(T494+R494+G494)*Summary!$T$9/(1-Summary!$T$9),(T494+R494+G494)*Summary!$U$9/(1-Summary!$U$9)))</f>
        <v/>
      </c>
      <c r="W494" s="200" t="str">
        <f aca="false">IF($A495="","",(T494+R494+G494+V494))</f>
        <v/>
      </c>
      <c r="X494" s="200" t="str">
        <f aca="false">IF($A495="","",(U494+S494+H494+V494))</f>
        <v/>
      </c>
      <c r="Y494" s="202"/>
      <c r="AJ494" s="77"/>
      <c r="AK494" s="77"/>
      <c r="AL494" s="77"/>
      <c r="AM494" s="77"/>
      <c r="AN494" s="77"/>
      <c r="AO494" s="137" t="str">
        <f aca="false">IF(A495="","",A495-A494)</f>
        <v/>
      </c>
      <c r="AP494" s="212" t="str">
        <f aca="false">IF(A495="","",CHOOSE(F$3,A495+24,A494))</f>
        <v/>
      </c>
      <c r="AQ494" s="209" t="str">
        <f aca="false">IF(A495="","",AP494-$E$1)</f>
        <v/>
      </c>
      <c r="AR494" s="185" t="n">
        <f aca="false">'ANR OK vs ML7'!AR494</f>
        <v>0.1</v>
      </c>
      <c r="AS494" s="213" t="str">
        <f aca="false">IF(A495="","",1/(1+CHOOSE(F$3,(AR495+($I$3/10000))/2,(AR494+($I$3/10000))/2))^(2*AQ494/365.25))</f>
        <v/>
      </c>
      <c r="AT494" s="137" t="str">
        <f aca="false">IF(A495="","",IF(AND(mthbeg&lt;=A494,mthend&gt;=A494),1,0))</f>
        <v/>
      </c>
      <c r="AU494" s="137" t="str">
        <f aca="false">IF(A495="","",AO494*AT494)</f>
        <v/>
      </c>
      <c r="AW494" s="195" t="str">
        <f aca="false">IF($A495="","",AL494*$E494)</f>
        <v/>
      </c>
      <c r="AX494" s="195" t="str">
        <f aca="false">IF($A495="","",AM494*$E494)</f>
        <v/>
      </c>
      <c r="AY494" s="195" t="str">
        <f aca="false">IF($A495="","",AN494*$E494)</f>
        <v/>
      </c>
      <c r="BA494" s="195" t="str">
        <f aca="false">IF($A495="","",F494*Summary!$Q$9)</f>
        <v/>
      </c>
    </row>
    <row r="495" customFormat="false" ht="12.75" hidden="false" customHeight="false" outlineLevel="0" collapsed="false">
      <c r="A495" s="196" t="str">
        <f aca="false">IF(A494&lt;mthend,EDATE(A494,1),"")</f>
        <v/>
      </c>
      <c r="B495" s="197" t="str">
        <f aca="false">IF(A495&lt;mthend,B494,"")</f>
        <v/>
      </c>
      <c r="D495" s="197" t="str">
        <f aca="false">IF(A496&lt;&gt;"",B495+C495,"")</f>
        <v/>
      </c>
      <c r="E495" s="199" t="str">
        <f aca="false">IF(A496="","",IF(AND(AT495=1,$H$3=1),D495*AO495,IF($H$3=2,D495,"N/A")))</f>
        <v/>
      </c>
      <c r="F495" s="199" t="str">
        <f aca="false">IF(A496="","",E495*AS495)</f>
        <v/>
      </c>
      <c r="G495" s="200" t="str">
        <f aca="false">IF($A496="","",VLOOKUP($A495,Table,MATCH(G$4,Curves,0)))</f>
        <v/>
      </c>
      <c r="H495" s="201" t="str">
        <f aca="false">IF(A496="","",G495)</f>
        <v/>
      </c>
      <c r="J495" s="200" t="str">
        <f aca="false">IF($A496="","",VLOOKUP($A495,Table,MATCH(J$4,Curves,0)))</f>
        <v/>
      </c>
      <c r="K495" s="201" t="str">
        <f aca="false">IF(A496="","",J495)</f>
        <v/>
      </c>
      <c r="L495" s="200" t="str">
        <f aca="false">IF($A496="","",VLOOKUP($A495,Table,MATCH(L$4,Curves,0)))</f>
        <v/>
      </c>
      <c r="M495" s="201" t="str">
        <f aca="false">IF(A496="","",L495)</f>
        <v/>
      </c>
      <c r="O495" s="200" t="str">
        <f aca="false">IF(A496="","",L495+J495+G495)</f>
        <v/>
      </c>
      <c r="P495" s="200" t="str">
        <f aca="false">IF(A496="","",M495+K495+H495)</f>
        <v/>
      </c>
      <c r="R495" s="200" t="str">
        <f aca="false">IF($A496="","",VLOOKUP($A495,Table,MATCH(R$4,Curves,0)))</f>
        <v/>
      </c>
      <c r="S495" s="201" t="str">
        <f aca="false">IF(A496="","",R495)</f>
        <v/>
      </c>
      <c r="T495" s="200" t="str">
        <f aca="false">IF($A496="","",VLOOKUP($A495,Table,MATCH(T$4,Curves,0)))</f>
        <v/>
      </c>
      <c r="U495" s="201" t="str">
        <f aca="false">IF(A496="","",T495)</f>
        <v/>
      </c>
      <c r="V495" s="225" t="str">
        <f aca="false">IF($A496="","",IF(AND(MONTH(A495)&gt;3,MONTH(A495)&lt;11),(T495+R495+G495)*Summary!$T$9/(1-Summary!$T$9),(T495+R495+G495)*Summary!$U$9/(1-Summary!$U$9)))</f>
        <v/>
      </c>
      <c r="W495" s="200" t="str">
        <f aca="false">IF($A496="","",(T495+R495+G495+V495))</f>
        <v/>
      </c>
      <c r="X495" s="200" t="str">
        <f aca="false">IF($A496="","",(U495+S495+H495+V495))</f>
        <v/>
      </c>
      <c r="Y495" s="202"/>
      <c r="AJ495" s="77"/>
      <c r="AK495" s="77"/>
      <c r="AL495" s="77"/>
      <c r="AM495" s="77"/>
      <c r="AN495" s="77"/>
      <c r="AO495" s="137" t="str">
        <f aca="false">IF(A496="","",A496-A495)</f>
        <v/>
      </c>
      <c r="AP495" s="212" t="str">
        <f aca="false">IF(A496="","",CHOOSE(F$3,A496+24,A495))</f>
        <v/>
      </c>
      <c r="AQ495" s="209" t="str">
        <f aca="false">IF(A496="","",AP495-$E$1)</f>
        <v/>
      </c>
      <c r="AR495" s="185" t="n">
        <f aca="false">'ANR OK vs ML7'!AR495</f>
        <v>0.1</v>
      </c>
      <c r="AS495" s="213" t="str">
        <f aca="false">IF(A496="","",1/(1+CHOOSE(F$3,(AR496+($I$3/10000))/2,(AR495+($I$3/10000))/2))^(2*AQ495/365.25))</f>
        <v/>
      </c>
      <c r="AT495" s="137" t="str">
        <f aca="false">IF(A496="","",IF(AND(mthbeg&lt;=A495,mthend&gt;=A495),1,0))</f>
        <v/>
      </c>
      <c r="AU495" s="137" t="str">
        <f aca="false">IF(A496="","",AO495*AT495)</f>
        <v/>
      </c>
      <c r="AW495" s="195" t="str">
        <f aca="false">IF($A496="","",AL495*$E495)</f>
        <v/>
      </c>
      <c r="AX495" s="195" t="str">
        <f aca="false">IF($A496="","",AM495*$E495)</f>
        <v/>
      </c>
      <c r="AY495" s="195" t="str">
        <f aca="false">IF($A496="","",AN495*$E495)</f>
        <v/>
      </c>
      <c r="BA495" s="195" t="str">
        <f aca="false">IF($A496="","",F495*Summary!$Q$9)</f>
        <v/>
      </c>
    </row>
    <row r="496" customFormat="false" ht="12.75" hidden="false" customHeight="false" outlineLevel="0" collapsed="false">
      <c r="A496" s="196" t="str">
        <f aca="false">IF(A495&lt;mthend,EDATE(A495,1),"")</f>
        <v/>
      </c>
      <c r="B496" s="197" t="str">
        <f aca="false">IF(A496&lt;mthend,B495,"")</f>
        <v/>
      </c>
      <c r="D496" s="197" t="str">
        <f aca="false">IF(A497&lt;&gt;"",B496+C496,"")</f>
        <v/>
      </c>
      <c r="E496" s="199" t="str">
        <f aca="false">IF(A497="","",IF(AND(AT496=1,$H$3=1),D496*AO496,IF($H$3=2,D496,"N/A")))</f>
        <v/>
      </c>
      <c r="F496" s="199" t="str">
        <f aca="false">IF(A497="","",E496*AS496)</f>
        <v/>
      </c>
      <c r="G496" s="200" t="str">
        <f aca="false">IF($A497="","",VLOOKUP($A496,Table,MATCH(G$4,Curves,0)))</f>
        <v/>
      </c>
      <c r="H496" s="201" t="str">
        <f aca="false">IF(A497="","",G496)</f>
        <v/>
      </c>
      <c r="J496" s="200" t="str">
        <f aca="false">IF($A497="","",VLOOKUP($A496,Table,MATCH(J$4,Curves,0)))</f>
        <v/>
      </c>
      <c r="K496" s="201" t="str">
        <f aca="false">IF(A497="","",J496)</f>
        <v/>
      </c>
      <c r="L496" s="200" t="str">
        <f aca="false">IF($A497="","",VLOOKUP($A496,Table,MATCH(L$4,Curves,0)))</f>
        <v/>
      </c>
      <c r="M496" s="201" t="str">
        <f aca="false">IF(A497="","",L496)</f>
        <v/>
      </c>
      <c r="O496" s="200" t="str">
        <f aca="false">IF(A497="","",L496+J496+G496)</f>
        <v/>
      </c>
      <c r="P496" s="200" t="str">
        <f aca="false">IF(A497="","",M496+K496+H496)</f>
        <v/>
      </c>
      <c r="R496" s="200" t="str">
        <f aca="false">IF($A497="","",VLOOKUP($A496,Table,MATCH(R$4,Curves,0)))</f>
        <v/>
      </c>
      <c r="S496" s="201" t="str">
        <f aca="false">IF(A497="","",R496)</f>
        <v/>
      </c>
      <c r="T496" s="200" t="str">
        <f aca="false">IF($A497="","",VLOOKUP($A496,Table,MATCH(T$4,Curves,0)))</f>
        <v/>
      </c>
      <c r="U496" s="201" t="str">
        <f aca="false">IF(A497="","",T496)</f>
        <v/>
      </c>
      <c r="V496" s="225" t="str">
        <f aca="false">IF($A497="","",IF(AND(MONTH(A496)&gt;3,MONTH(A496)&lt;11),(T496+R496+G496)*Summary!$T$9/(1-Summary!$T$9),(T496+R496+G496)*Summary!$U$9/(1-Summary!$U$9)))</f>
        <v/>
      </c>
      <c r="W496" s="200" t="str">
        <f aca="false">IF($A497="","",(T496+R496+G496+V496))</f>
        <v/>
      </c>
      <c r="X496" s="200" t="str">
        <f aca="false">IF($A497="","",(U496+S496+H496+V496))</f>
        <v/>
      </c>
      <c r="Y496" s="202"/>
      <c r="AJ496" s="77"/>
      <c r="AK496" s="77"/>
      <c r="AL496" s="77"/>
      <c r="AM496" s="77"/>
      <c r="AN496" s="77"/>
      <c r="AO496" s="137" t="str">
        <f aca="false">IF(A497="","",A497-A496)</f>
        <v/>
      </c>
      <c r="AP496" s="212" t="str">
        <f aca="false">IF(A497="","",CHOOSE(F$3,A497+24,A496))</f>
        <v/>
      </c>
      <c r="AQ496" s="209" t="str">
        <f aca="false">IF(A497="","",AP496-$E$1)</f>
        <v/>
      </c>
      <c r="AR496" s="185" t="n">
        <f aca="false">'ANR OK vs ML7'!AR496</f>
        <v>0.1</v>
      </c>
      <c r="AS496" s="213" t="str">
        <f aca="false">IF(A497="","",1/(1+CHOOSE(F$3,(AR497+($I$3/10000))/2,(AR496+($I$3/10000))/2))^(2*AQ496/365.25))</f>
        <v/>
      </c>
      <c r="AT496" s="137" t="str">
        <f aca="false">IF(A497="","",IF(AND(mthbeg&lt;=A496,mthend&gt;=A496),1,0))</f>
        <v/>
      </c>
      <c r="AU496" s="137" t="str">
        <f aca="false">IF(A497="","",AO496*AT496)</f>
        <v/>
      </c>
      <c r="AW496" s="195" t="str">
        <f aca="false">IF($A497="","",AL496*$E496)</f>
        <v/>
      </c>
      <c r="AX496" s="195" t="str">
        <f aca="false">IF($A497="","",AM496*$E496)</f>
        <v/>
      </c>
      <c r="AY496" s="195" t="str">
        <f aca="false">IF($A497="","",AN496*$E496)</f>
        <v/>
      </c>
      <c r="BA496" s="195" t="str">
        <f aca="false">IF($A497="","",F496*Summary!$Q$9)</f>
        <v/>
      </c>
    </row>
    <row r="497" customFormat="false" ht="12.75" hidden="false" customHeight="false" outlineLevel="0" collapsed="false">
      <c r="A497" s="196" t="str">
        <f aca="false">IF(A496&lt;mthend,EDATE(A496,1),"")</f>
        <v/>
      </c>
      <c r="B497" s="197" t="str">
        <f aca="false">IF(A497&lt;mthend,B496,"")</f>
        <v/>
      </c>
      <c r="D497" s="197" t="str">
        <f aca="false">IF(A498&lt;&gt;"",B497+C497,"")</f>
        <v/>
      </c>
      <c r="E497" s="199" t="str">
        <f aca="false">IF(A498="","",IF(AND(AT497=1,$H$3=1),D497*AO497,IF($H$3=2,D497,"N/A")))</f>
        <v/>
      </c>
      <c r="F497" s="199" t="str">
        <f aca="false">IF(A498="","",E497*AS497)</f>
        <v/>
      </c>
      <c r="G497" s="200" t="str">
        <f aca="false">IF($A498="","",VLOOKUP($A497,Table,MATCH(G$4,Curves,0)))</f>
        <v/>
      </c>
      <c r="H497" s="201" t="str">
        <f aca="false">IF(A498="","",G497)</f>
        <v/>
      </c>
      <c r="J497" s="200" t="str">
        <f aca="false">IF($A498="","",VLOOKUP($A497,Table,MATCH(J$4,Curves,0)))</f>
        <v/>
      </c>
      <c r="K497" s="201" t="str">
        <f aca="false">IF(A498="","",J497)</f>
        <v/>
      </c>
      <c r="L497" s="200" t="str">
        <f aca="false">IF($A498="","",VLOOKUP($A497,Table,MATCH(L$4,Curves,0)))</f>
        <v/>
      </c>
      <c r="M497" s="201" t="str">
        <f aca="false">IF(A498="","",L497)</f>
        <v/>
      </c>
      <c r="O497" s="200" t="str">
        <f aca="false">IF(A498="","",L497+J497+G497)</f>
        <v/>
      </c>
      <c r="P497" s="200" t="str">
        <f aca="false">IF(A498="","",M497+K497+H497)</f>
        <v/>
      </c>
      <c r="R497" s="200" t="str">
        <f aca="false">IF($A498="","",VLOOKUP($A497,Table,MATCH(R$4,Curves,0)))</f>
        <v/>
      </c>
      <c r="S497" s="201" t="str">
        <f aca="false">IF(A498="","",R497)</f>
        <v/>
      </c>
      <c r="T497" s="200" t="str">
        <f aca="false">IF($A498="","",VLOOKUP($A497,Table,MATCH(T$4,Curves,0)))</f>
        <v/>
      </c>
      <c r="U497" s="201" t="str">
        <f aca="false">IF(A498="","",T497)</f>
        <v/>
      </c>
      <c r="V497" s="225" t="str">
        <f aca="false">IF($A498="","",IF(AND(MONTH(A497)&gt;3,MONTH(A497)&lt;11),(T497+R497+G497)*Summary!$T$9/(1-Summary!$T$9),(T497+R497+G497)*Summary!$U$9/(1-Summary!$U$9)))</f>
        <v/>
      </c>
      <c r="W497" s="200" t="str">
        <f aca="false">IF($A498="","",(T497+R497+G497+V497))</f>
        <v/>
      </c>
      <c r="X497" s="200" t="str">
        <f aca="false">IF($A498="","",(U497+S497+H497+V497))</f>
        <v/>
      </c>
      <c r="Y497" s="202"/>
      <c r="AJ497" s="77"/>
      <c r="AK497" s="77"/>
      <c r="AL497" s="77"/>
      <c r="AM497" s="77"/>
      <c r="AN497" s="77"/>
      <c r="AO497" s="137" t="str">
        <f aca="false">IF(A498="","",A498-A497)</f>
        <v/>
      </c>
      <c r="AP497" s="212" t="str">
        <f aca="false">IF(A498="","",CHOOSE(F$3,A498+24,A497))</f>
        <v/>
      </c>
      <c r="AQ497" s="209" t="str">
        <f aca="false">IF(A498="","",AP497-$E$1)</f>
        <v/>
      </c>
      <c r="AR497" s="185" t="n">
        <f aca="false">'ANR OK vs ML7'!AR497</f>
        <v>0.1</v>
      </c>
      <c r="AS497" s="213" t="str">
        <f aca="false">IF(A498="","",1/(1+CHOOSE(F$3,(AR498+($I$3/10000))/2,(AR497+($I$3/10000))/2))^(2*AQ497/365.25))</f>
        <v/>
      </c>
      <c r="AT497" s="137" t="str">
        <f aca="false">IF(A498="","",IF(AND(mthbeg&lt;=A497,mthend&gt;=A497),1,0))</f>
        <v/>
      </c>
      <c r="AU497" s="137" t="str">
        <f aca="false">IF(A498="","",AO497*AT497)</f>
        <v/>
      </c>
      <c r="AW497" s="195" t="str">
        <f aca="false">IF($A498="","",AL497*$E497)</f>
        <v/>
      </c>
      <c r="AX497" s="195" t="str">
        <f aca="false">IF($A498="","",AM497*$E497)</f>
        <v/>
      </c>
      <c r="AY497" s="195" t="str">
        <f aca="false">IF($A498="","",AN497*$E497)</f>
        <v/>
      </c>
      <c r="BA497" s="195" t="str">
        <f aca="false">IF($A498="","",F497*Summary!$Q$9)</f>
        <v/>
      </c>
    </row>
    <row r="498" customFormat="false" ht="12.75" hidden="false" customHeight="false" outlineLevel="0" collapsed="false">
      <c r="A498" s="196" t="str">
        <f aca="false">IF(A497&lt;mthend,EDATE(A497,1),"")</f>
        <v/>
      </c>
      <c r="B498" s="197" t="str">
        <f aca="false">IF(A498&lt;mthend,B497,"")</f>
        <v/>
      </c>
      <c r="D498" s="197" t="str">
        <f aca="false">IF(A499&lt;&gt;"",B498+C498,"")</f>
        <v/>
      </c>
      <c r="E498" s="199" t="str">
        <f aca="false">IF(A499="","",IF(AND(AT498=1,$H$3=1),D498*AO498,IF($H$3=2,D498,"N/A")))</f>
        <v/>
      </c>
      <c r="F498" s="199" t="str">
        <f aca="false">IF(A499="","",E498*AS498)</f>
        <v/>
      </c>
      <c r="G498" s="200" t="str">
        <f aca="false">IF($A499="","",VLOOKUP($A498,Table,MATCH(G$4,Curves,0)))</f>
        <v/>
      </c>
      <c r="H498" s="201" t="str">
        <f aca="false">IF(A499="","",G498)</f>
        <v/>
      </c>
      <c r="J498" s="200" t="str">
        <f aca="false">IF($A499="","",VLOOKUP($A498,Table,MATCH(J$4,Curves,0)))</f>
        <v/>
      </c>
      <c r="K498" s="201" t="str">
        <f aca="false">IF(A499="","",J498)</f>
        <v/>
      </c>
      <c r="L498" s="200" t="str">
        <f aca="false">IF($A499="","",VLOOKUP($A498,Table,MATCH(L$4,Curves,0)))</f>
        <v/>
      </c>
      <c r="M498" s="201" t="str">
        <f aca="false">IF(A499="","",L498)</f>
        <v/>
      </c>
      <c r="O498" s="200" t="str">
        <f aca="false">IF(A499="","",L498+J498+G498)</f>
        <v/>
      </c>
      <c r="P498" s="200" t="str">
        <f aca="false">IF(A499="","",M498+K498+H498)</f>
        <v/>
      </c>
      <c r="R498" s="200" t="str">
        <f aca="false">IF($A499="","",VLOOKUP($A498,Table,MATCH(R$4,Curves,0)))</f>
        <v/>
      </c>
      <c r="S498" s="201" t="str">
        <f aca="false">IF(A499="","",R498)</f>
        <v/>
      </c>
      <c r="T498" s="200" t="str">
        <f aca="false">IF($A499="","",VLOOKUP($A498,Table,MATCH(T$4,Curves,0)))</f>
        <v/>
      </c>
      <c r="U498" s="201" t="str">
        <f aca="false">IF(A499="","",T498)</f>
        <v/>
      </c>
      <c r="V498" s="225" t="str">
        <f aca="false">IF($A499="","",IF(AND(MONTH(A498)&gt;3,MONTH(A498)&lt;11),(T498+R498+G498)*Summary!$T$9/(1-Summary!$T$9),(T498+R498+G498)*Summary!$U$9/(1-Summary!$U$9)))</f>
        <v/>
      </c>
      <c r="W498" s="200" t="str">
        <f aca="false">IF($A499="","",(T498+R498+G498+V498))</f>
        <v/>
      </c>
      <c r="X498" s="200" t="str">
        <f aca="false">IF($A499="","",(U498+S498+H498+V498))</f>
        <v/>
      </c>
      <c r="Y498" s="202"/>
      <c r="AJ498" s="77"/>
      <c r="AK498" s="77"/>
      <c r="AL498" s="77"/>
      <c r="AM498" s="77"/>
      <c r="AN498" s="77"/>
      <c r="AO498" s="137" t="str">
        <f aca="false">IF(A499="","",A499-A498)</f>
        <v/>
      </c>
      <c r="AP498" s="212" t="str">
        <f aca="false">IF(A499="","",CHOOSE(F$3,A499+24,A498))</f>
        <v/>
      </c>
      <c r="AQ498" s="209" t="str">
        <f aca="false">IF(A499="","",AP498-$E$1)</f>
        <v/>
      </c>
      <c r="AR498" s="185" t="n">
        <f aca="false">'ANR OK vs ML7'!AR498</f>
        <v>0.1</v>
      </c>
      <c r="AS498" s="213" t="str">
        <f aca="false">IF(A499="","",1/(1+CHOOSE(F$3,(AR499+($I$3/10000))/2,(AR498+($I$3/10000))/2))^(2*AQ498/365.25))</f>
        <v/>
      </c>
      <c r="AT498" s="137" t="str">
        <f aca="false">IF(A499="","",IF(AND(mthbeg&lt;=A498,mthend&gt;=A498),1,0))</f>
        <v/>
      </c>
      <c r="AU498" s="137" t="str">
        <f aca="false">IF(A499="","",AO498*AT498)</f>
        <v/>
      </c>
      <c r="AW498" s="195" t="str">
        <f aca="false">IF($A499="","",AL498*$E498)</f>
        <v/>
      </c>
      <c r="AX498" s="195" t="str">
        <f aca="false">IF($A499="","",AM498*$E498)</f>
        <v/>
      </c>
      <c r="AY498" s="195" t="str">
        <f aca="false">IF($A499="","",AN498*$E498)</f>
        <v/>
      </c>
      <c r="BA498" s="195" t="str">
        <f aca="false">IF($A499="","",F498*Summary!$Q$9)</f>
        <v/>
      </c>
    </row>
    <row r="499" customFormat="false" ht="12.75" hidden="false" customHeight="false" outlineLevel="0" collapsed="false">
      <c r="A499" s="196" t="str">
        <f aca="false">IF(A498&lt;mthend,EDATE(A498,1),"")</f>
        <v/>
      </c>
      <c r="B499" s="197" t="str">
        <f aca="false">IF(A499&lt;mthend,B498,"")</f>
        <v/>
      </c>
      <c r="D499" s="197" t="str">
        <f aca="false">IF(A500&lt;&gt;"",B499+C499,"")</f>
        <v/>
      </c>
      <c r="E499" s="199" t="str">
        <f aca="false">IF(A500="","",IF(AND(AT499=1,$H$3=1),D499*AO499,IF($H$3=2,D499,"N/A")))</f>
        <v/>
      </c>
      <c r="F499" s="199" t="str">
        <f aca="false">IF(A500="","",E499*AS499)</f>
        <v/>
      </c>
      <c r="G499" s="200" t="str">
        <f aca="false">IF($A500="","",VLOOKUP($A499,Table,MATCH(G$4,Curves,0)))</f>
        <v/>
      </c>
      <c r="H499" s="201" t="str">
        <f aca="false">IF(A500="","",G499)</f>
        <v/>
      </c>
      <c r="J499" s="200" t="str">
        <f aca="false">IF($A500="","",VLOOKUP($A499,Table,MATCH(J$4,Curves,0)))</f>
        <v/>
      </c>
      <c r="K499" s="201" t="str">
        <f aca="false">IF(A500="","",J499)</f>
        <v/>
      </c>
      <c r="L499" s="200" t="str">
        <f aca="false">IF($A500="","",VLOOKUP($A499,Table,MATCH(L$4,Curves,0)))</f>
        <v/>
      </c>
      <c r="M499" s="201" t="str">
        <f aca="false">IF(A500="","",L499)</f>
        <v/>
      </c>
      <c r="O499" s="200" t="str">
        <f aca="false">IF(A500="","",L499+J499+G499)</f>
        <v/>
      </c>
      <c r="P499" s="200" t="str">
        <f aca="false">IF(A500="","",M499+K499+H499)</f>
        <v/>
      </c>
      <c r="R499" s="200" t="str">
        <f aca="false">IF($A500="","",VLOOKUP($A499,Table,MATCH(R$4,Curves,0)))</f>
        <v/>
      </c>
      <c r="S499" s="201" t="str">
        <f aca="false">IF(A500="","",R499)</f>
        <v/>
      </c>
      <c r="T499" s="200" t="str">
        <f aca="false">IF($A500="","",VLOOKUP($A499,Table,MATCH(T$4,Curves,0)))</f>
        <v/>
      </c>
      <c r="U499" s="201" t="str">
        <f aca="false">IF(A500="","",T499)</f>
        <v/>
      </c>
      <c r="V499" s="225" t="str">
        <f aca="false">IF($A500="","",IF(AND(MONTH(A499)&gt;3,MONTH(A499)&lt;11),(T499+R499+G499)*Summary!$T$9/(1-Summary!$T$9),(T499+R499+G499)*Summary!$U$9/(1-Summary!$U$9)))</f>
        <v/>
      </c>
      <c r="W499" s="200" t="str">
        <f aca="false">IF($A500="","",(T499+R499+G499+V499))</f>
        <v/>
      </c>
      <c r="X499" s="200" t="str">
        <f aca="false">IF($A500="","",(U499+S499+H499+V499))</f>
        <v/>
      </c>
      <c r="Y499" s="202"/>
      <c r="AJ499" s="77"/>
      <c r="AK499" s="77"/>
      <c r="AL499" s="77"/>
      <c r="AM499" s="77"/>
      <c r="AN499" s="77"/>
      <c r="AO499" s="137" t="str">
        <f aca="false">IF(A500="","",A500-A499)</f>
        <v/>
      </c>
      <c r="AP499" s="212" t="str">
        <f aca="false">IF(A500="","",CHOOSE(F$3,A500+24,A499))</f>
        <v/>
      </c>
      <c r="AQ499" s="209" t="str">
        <f aca="false">IF(A500="","",AP499-$E$1)</f>
        <v/>
      </c>
      <c r="AR499" s="185" t="n">
        <f aca="false">'ANR OK vs ML7'!AR499</f>
        <v>0.1</v>
      </c>
      <c r="AS499" s="213" t="str">
        <f aca="false">IF(A500="","",1/(1+CHOOSE(F$3,(AR500+($I$3/10000))/2,(AR499+($I$3/10000))/2))^(2*AQ499/365.25))</f>
        <v/>
      </c>
      <c r="AT499" s="137" t="str">
        <f aca="false">IF(A500="","",IF(AND(mthbeg&lt;=A499,mthend&gt;=A499),1,0))</f>
        <v/>
      </c>
      <c r="AU499" s="137" t="str">
        <f aca="false">IF(A500="","",AO499*AT499)</f>
        <v/>
      </c>
      <c r="AW499" s="195" t="str">
        <f aca="false">IF($A500="","",AL499*$E499)</f>
        <v/>
      </c>
      <c r="AX499" s="195" t="str">
        <f aca="false">IF($A500="","",AM499*$E499)</f>
        <v/>
      </c>
      <c r="AY499" s="195" t="str">
        <f aca="false">IF($A500="","",AN499*$E499)</f>
        <v/>
      </c>
      <c r="BA499" s="195" t="str">
        <f aca="false">IF($A500="","",F499*Summary!$Q$9)</f>
        <v/>
      </c>
    </row>
    <row r="500" customFormat="false" ht="12.75" hidden="false" customHeight="false" outlineLevel="0" collapsed="false">
      <c r="A500" s="196" t="str">
        <f aca="false">IF(A499&lt;mthend,EDATE(A499,1),"")</f>
        <v/>
      </c>
      <c r="B500" s="197" t="str">
        <f aca="false">IF(A500&lt;mthend,B499,"")</f>
        <v/>
      </c>
      <c r="D500" s="197"/>
      <c r="E500" s="199"/>
      <c r="F500" s="199"/>
      <c r="G500" s="200"/>
      <c r="H500" s="201"/>
      <c r="J500" s="200"/>
      <c r="K500" s="201"/>
      <c r="L500" s="200"/>
      <c r="M500" s="201"/>
      <c r="O500" s="204"/>
      <c r="P500" s="204"/>
      <c r="R500" s="200"/>
      <c r="S500" s="201"/>
      <c r="T500" s="200"/>
      <c r="U500" s="201"/>
      <c r="W500" s="202"/>
      <c r="X500" s="202"/>
      <c r="Y500" s="202"/>
      <c r="AJ500" s="77"/>
      <c r="AK500" s="77"/>
      <c r="AL500" s="77"/>
      <c r="AM500" s="77"/>
      <c r="AN500" s="77"/>
      <c r="AP500" s="212"/>
      <c r="AQ500" s="209"/>
      <c r="AR500" s="185"/>
      <c r="AS500" s="213"/>
      <c r="AW500" s="195" t="str">
        <f aca="false">IF($A501="","",AL500*$E500)</f>
        <v/>
      </c>
      <c r="AX500" s="195" t="str">
        <f aca="false">IF($A501="","",AM500*$E500)</f>
        <v/>
      </c>
      <c r="AY500" s="195" t="str">
        <f aca="false">IF($A501="","",AN500*$E500)</f>
        <v/>
      </c>
      <c r="BA500" s="195" t="str">
        <f aca="false">IF($A501="","",F500*Summary!$Q$9)</f>
        <v/>
      </c>
    </row>
    <row r="501" customFormat="false" ht="12.75" hidden="false" customHeight="false" outlineLevel="0" collapsed="false">
      <c r="A501" s="196" t="str">
        <f aca="false">IF(A500&lt;mthend,EDATE(A500,1),"")</f>
        <v/>
      </c>
      <c r="B501" s="197" t="str">
        <f aca="false">IF(A501&lt;mthend,B500,"")</f>
        <v/>
      </c>
      <c r="C501" s="21" t="n">
        <v>0</v>
      </c>
      <c r="D501" s="21" t="n">
        <v>0</v>
      </c>
      <c r="E501" s="21" t="n">
        <v>0</v>
      </c>
      <c r="F501" s="21" t="n">
        <v>0</v>
      </c>
      <c r="G501" s="21" t="n">
        <v>0</v>
      </c>
      <c r="H501" s="21" t="n">
        <v>0</v>
      </c>
      <c r="I501" s="21" t="n">
        <v>0</v>
      </c>
      <c r="J501" s="21" t="n">
        <v>0</v>
      </c>
      <c r="K501" s="21" t="n">
        <v>0</v>
      </c>
      <c r="L501" s="21" t="n">
        <v>0</v>
      </c>
      <c r="M501" s="21" t="n">
        <v>0</v>
      </c>
      <c r="N501" s="21" t="n">
        <v>0</v>
      </c>
      <c r="O501" s="21" t="n">
        <v>0</v>
      </c>
      <c r="P501" s="21" t="n">
        <v>0</v>
      </c>
      <c r="Q501" s="21" t="n">
        <v>0</v>
      </c>
      <c r="R501" s="21" t="n">
        <v>0</v>
      </c>
      <c r="S501" s="21" t="n">
        <v>0</v>
      </c>
      <c r="T501" s="21" t="n">
        <v>0</v>
      </c>
      <c r="U501" s="21" t="n">
        <v>0</v>
      </c>
      <c r="V501" s="21" t="n">
        <v>0</v>
      </c>
      <c r="W501" s="21" t="n">
        <v>0</v>
      </c>
      <c r="X501" s="21" t="n">
        <v>0</v>
      </c>
      <c r="Y501" s="21" t="n">
        <v>0</v>
      </c>
      <c r="Z501" s="21" t="n">
        <v>0</v>
      </c>
      <c r="AA501" s="21" t="n">
        <v>0</v>
      </c>
      <c r="AB501" s="21"/>
      <c r="AC501" s="21" t="n">
        <v>0</v>
      </c>
      <c r="AD501" s="21"/>
      <c r="AE501" s="21"/>
      <c r="AF501" s="21" t="n">
        <v>0</v>
      </c>
      <c r="AG501" s="21" t="n">
        <v>0</v>
      </c>
      <c r="AH501" s="21" t="n">
        <v>0</v>
      </c>
      <c r="AI501" s="21" t="n">
        <v>0</v>
      </c>
      <c r="AJ501" s="77"/>
      <c r="AK501" s="77"/>
      <c r="AL501" s="77"/>
      <c r="AM501" s="77"/>
      <c r="AN501" s="77"/>
      <c r="AO501" s="21" t="n">
        <v>0</v>
      </c>
      <c r="AP501" s="21" t="n">
        <v>0</v>
      </c>
      <c r="AQ501" s="21" t="n">
        <v>0</v>
      </c>
      <c r="AR501" s="21" t="n">
        <v>0</v>
      </c>
      <c r="AS501" s="21" t="n">
        <v>0</v>
      </c>
      <c r="AT501" s="21" t="n">
        <v>0</v>
      </c>
      <c r="AU501" s="21" t="n">
        <v>0</v>
      </c>
      <c r="AV501" s="21" t="n">
        <v>0</v>
      </c>
      <c r="AW501" s="195" t="str">
        <f aca="false">IF($A502="","",AL501*$E501)</f>
        <v/>
      </c>
      <c r="AX501" s="195" t="str">
        <f aca="false">IF($A502="","",AM501*$E501)</f>
        <v/>
      </c>
      <c r="AY501" s="195" t="str">
        <f aca="false">IF($A502="","",AN501*$E501)</f>
        <v/>
      </c>
      <c r="AZ501" s="21" t="n">
        <v>0</v>
      </c>
      <c r="BA501" s="195" t="str">
        <f aca="false">IF($A502="","",F501*Summary!$Q$9)</f>
        <v/>
      </c>
      <c r="BB501" s="21" t="n">
        <v>0</v>
      </c>
      <c r="BC501" s="21" t="n">
        <v>0</v>
      </c>
      <c r="BD501" s="21" t="n">
        <v>0</v>
      </c>
      <c r="BE501" s="21" t="n">
        <v>0</v>
      </c>
      <c r="BF501" s="21" t="n">
        <v>0</v>
      </c>
      <c r="BG501" s="21" t="n">
        <v>0</v>
      </c>
      <c r="BH501" s="21" t="n">
        <v>0</v>
      </c>
      <c r="BI501" s="21" t="n">
        <v>0</v>
      </c>
      <c r="BJ501" s="21" t="n">
        <v>0</v>
      </c>
      <c r="BK501" s="21" t="n">
        <v>0</v>
      </c>
      <c r="BL501" s="21" t="n">
        <v>0</v>
      </c>
      <c r="BM501" s="21" t="n">
        <v>0</v>
      </c>
      <c r="BN501" s="21" t="n">
        <v>0</v>
      </c>
      <c r="BO501" s="21" t="n">
        <v>0</v>
      </c>
      <c r="BP501" s="21" t="n">
        <v>0</v>
      </c>
      <c r="BQ501" s="21" t="n">
        <v>0</v>
      </c>
      <c r="BR501" s="21" t="n">
        <v>0</v>
      </c>
      <c r="BS501" s="21" t="n">
        <v>0</v>
      </c>
      <c r="BT501" s="21" t="n">
        <v>0</v>
      </c>
      <c r="BU501" s="21" t="n">
        <v>0</v>
      </c>
      <c r="BV501" s="21" t="n">
        <v>0</v>
      </c>
      <c r="BW501" s="21" t="n">
        <v>0</v>
      </c>
      <c r="BX501" s="21" t="n">
        <v>0</v>
      </c>
      <c r="BY501" s="21" t="n">
        <v>0</v>
      </c>
      <c r="BZ501" s="21" t="n">
        <v>0</v>
      </c>
      <c r="CA501" s="21" t="n">
        <v>0</v>
      </c>
      <c r="CB501" s="21" t="n">
        <v>0</v>
      </c>
      <c r="CC501" s="21" t="n">
        <v>0</v>
      </c>
      <c r="CD501" s="21" t="n">
        <v>0</v>
      </c>
      <c r="CE501" s="21" t="n">
        <v>0</v>
      </c>
      <c r="CF501" s="21" t="n">
        <v>0</v>
      </c>
      <c r="CG501" s="21" t="n">
        <v>0</v>
      </c>
      <c r="CH501" s="21" t="n">
        <v>0</v>
      </c>
      <c r="CI501" s="21" t="n">
        <v>0</v>
      </c>
      <c r="CJ501" s="21" t="n">
        <v>0</v>
      </c>
      <c r="CK501" s="21" t="n">
        <v>0</v>
      </c>
      <c r="CL501" s="21" t="n">
        <v>0</v>
      </c>
      <c r="CM501" s="21" t="n">
        <v>0</v>
      </c>
      <c r="CN501" s="21" t="n">
        <v>0</v>
      </c>
      <c r="CO501" s="21" t="n">
        <v>0</v>
      </c>
      <c r="CP501" s="21" t="n">
        <v>0</v>
      </c>
      <c r="CQ501" s="21" t="n">
        <v>0</v>
      </c>
      <c r="CR501" s="21" t="n">
        <v>0</v>
      </c>
      <c r="CS501" s="21" t="n">
        <v>0</v>
      </c>
      <c r="CT501" s="21" t="n">
        <v>0</v>
      </c>
      <c r="CU501" s="21" t="n">
        <v>0</v>
      </c>
      <c r="CV501" s="21" t="n">
        <v>0</v>
      </c>
      <c r="CW501" s="21" t="n">
        <v>0</v>
      </c>
      <c r="CX501" s="21" t="n">
        <v>0</v>
      </c>
      <c r="CY501" s="21" t="n">
        <v>0</v>
      </c>
      <c r="CZ501" s="21" t="n">
        <v>0</v>
      </c>
      <c r="DA501" s="21" t="n">
        <v>0</v>
      </c>
      <c r="DB501" s="21" t="n">
        <v>0</v>
      </c>
      <c r="DC501" s="21" t="n">
        <v>0</v>
      </c>
      <c r="DD501" s="21" t="n">
        <v>0</v>
      </c>
      <c r="DE501" s="21" t="n">
        <v>0</v>
      </c>
      <c r="DF501" s="21" t="n">
        <v>0</v>
      </c>
      <c r="DG501" s="21" t="n">
        <v>0</v>
      </c>
      <c r="DH501" s="21" t="n">
        <v>0</v>
      </c>
      <c r="DI501" s="21" t="n">
        <v>0</v>
      </c>
      <c r="DJ501" s="21" t="n">
        <v>0</v>
      </c>
      <c r="DK501" s="21" t="n">
        <v>0</v>
      </c>
      <c r="DL501" s="21" t="n">
        <v>0</v>
      </c>
      <c r="DM501" s="21" t="n">
        <v>0</v>
      </c>
      <c r="DN501" s="21" t="n">
        <v>0</v>
      </c>
      <c r="DO501" s="21" t="n">
        <v>0</v>
      </c>
      <c r="DP501" s="21" t="n">
        <v>0</v>
      </c>
      <c r="DQ501" s="21" t="n">
        <v>0</v>
      </c>
      <c r="DR501" s="21" t="n">
        <v>0</v>
      </c>
      <c r="DS501" s="21" t="n">
        <v>0</v>
      </c>
      <c r="DT501" s="21" t="n">
        <v>0</v>
      </c>
      <c r="DU501" s="21" t="n">
        <v>0</v>
      </c>
      <c r="DV501" s="21" t="n">
        <v>0</v>
      </c>
      <c r="DW501" s="21" t="n">
        <v>0</v>
      </c>
      <c r="DX501" s="21" t="n">
        <v>0</v>
      </c>
      <c r="DY501" s="21" t="n">
        <v>0</v>
      </c>
      <c r="DZ501" s="21" t="n">
        <v>0</v>
      </c>
      <c r="EA501" s="21" t="n">
        <v>0</v>
      </c>
      <c r="EB501" s="21" t="n">
        <v>0</v>
      </c>
      <c r="EC501" s="21" t="n">
        <v>0</v>
      </c>
      <c r="ED501" s="21" t="n">
        <v>0</v>
      </c>
      <c r="EE501" s="21" t="n">
        <v>0</v>
      </c>
      <c r="EF501" s="21" t="n">
        <v>0</v>
      </c>
      <c r="EG501" s="21" t="n">
        <v>0</v>
      </c>
      <c r="EH501" s="21" t="n">
        <v>0</v>
      </c>
      <c r="EI501" s="21" t="n">
        <v>0</v>
      </c>
      <c r="EJ501" s="21" t="n">
        <v>0</v>
      </c>
      <c r="EK501" s="21" t="n">
        <v>0</v>
      </c>
      <c r="EL501" s="21" t="n">
        <v>0</v>
      </c>
      <c r="EM501" s="21" t="n">
        <v>0</v>
      </c>
      <c r="EN501" s="21" t="n">
        <v>0</v>
      </c>
      <c r="EO501" s="21" t="n">
        <v>0</v>
      </c>
      <c r="EP501" s="21" t="n">
        <v>0</v>
      </c>
      <c r="EQ501" s="21" t="n">
        <v>0</v>
      </c>
      <c r="ER501" s="21" t="n">
        <v>0</v>
      </c>
      <c r="ES501" s="21" t="n">
        <v>0</v>
      </c>
      <c r="ET501" s="21" t="n">
        <v>0</v>
      </c>
      <c r="EU501" s="21" t="n">
        <v>0</v>
      </c>
      <c r="EV501" s="21" t="n">
        <v>0</v>
      </c>
      <c r="EW501" s="21" t="n">
        <v>0</v>
      </c>
      <c r="EX501" s="21" t="n">
        <v>0</v>
      </c>
      <c r="EY501" s="21" t="n">
        <v>0</v>
      </c>
      <c r="EZ501" s="21" t="n">
        <v>0</v>
      </c>
      <c r="FA501" s="21" t="n">
        <v>0</v>
      </c>
      <c r="FB501" s="21" t="n">
        <v>0</v>
      </c>
      <c r="FC501" s="21" t="n">
        <v>0</v>
      </c>
      <c r="FD501" s="21" t="n">
        <v>0</v>
      </c>
      <c r="FE501" s="21" t="n">
        <v>0</v>
      </c>
      <c r="FF501" s="21" t="n">
        <v>0</v>
      </c>
      <c r="FG501" s="21" t="n">
        <v>0</v>
      </c>
      <c r="FH501" s="21" t="n">
        <v>0</v>
      </c>
      <c r="FI501" s="21" t="n">
        <v>0</v>
      </c>
      <c r="FJ501" s="21" t="n">
        <v>0</v>
      </c>
      <c r="FK501" s="21" t="n">
        <v>0</v>
      </c>
      <c r="FL501" s="21" t="n">
        <v>0</v>
      </c>
      <c r="FM501" s="21" t="n">
        <v>0</v>
      </c>
      <c r="FN501" s="21" t="n">
        <v>0</v>
      </c>
      <c r="FO501" s="21" t="n">
        <v>0</v>
      </c>
      <c r="FP501" s="21" t="n">
        <v>0</v>
      </c>
      <c r="FQ501" s="21" t="n">
        <v>0</v>
      </c>
      <c r="FR501" s="21" t="n">
        <v>0</v>
      </c>
      <c r="FS501" s="21" t="n">
        <v>0</v>
      </c>
      <c r="FT501" s="21" t="n">
        <v>0</v>
      </c>
      <c r="FU501" s="21" t="n">
        <v>0</v>
      </c>
      <c r="FV501" s="21" t="n">
        <v>0</v>
      </c>
      <c r="FW501" s="21" t="n">
        <v>0</v>
      </c>
      <c r="FX501" s="21" t="n">
        <v>0</v>
      </c>
      <c r="FY501" s="21" t="n">
        <v>0</v>
      </c>
      <c r="FZ501" s="21" t="n">
        <v>0</v>
      </c>
      <c r="GA501" s="21" t="n">
        <v>0</v>
      </c>
      <c r="GB501" s="21" t="n">
        <v>0</v>
      </c>
      <c r="GC501" s="21" t="n">
        <v>0</v>
      </c>
      <c r="GD501" s="21" t="n">
        <v>0</v>
      </c>
      <c r="GE501" s="21" t="n">
        <v>0</v>
      </c>
      <c r="GF501" s="21" t="n">
        <v>0</v>
      </c>
      <c r="GG501" s="21" t="n">
        <v>0</v>
      </c>
      <c r="GH501" s="21" t="n">
        <v>0</v>
      </c>
      <c r="GI501" s="21" t="n">
        <v>0</v>
      </c>
      <c r="GJ501" s="21" t="n">
        <v>0</v>
      </c>
      <c r="GK501" s="21" t="n">
        <v>0</v>
      </c>
      <c r="GL501" s="21" t="n">
        <v>0</v>
      </c>
      <c r="GM501" s="21" t="n">
        <v>0</v>
      </c>
      <c r="GN501" s="21" t="n">
        <v>0</v>
      </c>
      <c r="GO501" s="21" t="n">
        <v>0</v>
      </c>
      <c r="GP501" s="21" t="n">
        <v>0</v>
      </c>
      <c r="GQ501" s="21" t="n">
        <v>0</v>
      </c>
      <c r="GR501" s="21" t="n">
        <v>0</v>
      </c>
      <c r="GS501" s="21" t="n">
        <v>0</v>
      </c>
      <c r="GT501" s="21" t="n">
        <v>0</v>
      </c>
      <c r="GU501" s="21" t="n">
        <v>0</v>
      </c>
      <c r="GV501" s="21" t="n">
        <v>0</v>
      </c>
      <c r="GW501" s="21" t="n">
        <v>0</v>
      </c>
      <c r="GX501" s="21" t="n">
        <v>0</v>
      </c>
      <c r="GY501" s="21" t="n">
        <v>0</v>
      </c>
      <c r="GZ501" s="21" t="n">
        <v>0</v>
      </c>
      <c r="HA501" s="21" t="n">
        <v>0</v>
      </c>
      <c r="HB501" s="21" t="n">
        <v>0</v>
      </c>
      <c r="HC501" s="21" t="n">
        <v>0</v>
      </c>
      <c r="HD501" s="21" t="n">
        <v>0</v>
      </c>
      <c r="HE501" s="21" t="n">
        <v>0</v>
      </c>
      <c r="HF501" s="21" t="n">
        <v>0</v>
      </c>
      <c r="HG501" s="21" t="n">
        <v>0</v>
      </c>
      <c r="HH501" s="21" t="n">
        <v>0</v>
      </c>
      <c r="HI501" s="21" t="n">
        <v>0</v>
      </c>
      <c r="HJ501" s="21" t="n">
        <v>0</v>
      </c>
      <c r="HK501" s="21" t="n">
        <v>0</v>
      </c>
      <c r="HL501" s="21" t="n">
        <v>0</v>
      </c>
      <c r="HM501" s="21" t="n">
        <v>0</v>
      </c>
      <c r="HN501" s="21" t="n">
        <v>0</v>
      </c>
      <c r="HO501" s="21" t="n">
        <v>0</v>
      </c>
      <c r="HP501" s="21" t="n">
        <v>0</v>
      </c>
      <c r="HQ501" s="21" t="n">
        <v>0</v>
      </c>
      <c r="HR501" s="21" t="n">
        <v>0</v>
      </c>
      <c r="HS501" s="21" t="n">
        <v>0</v>
      </c>
      <c r="HT501" s="21" t="n">
        <v>0</v>
      </c>
      <c r="HU501" s="21" t="n">
        <v>0</v>
      </c>
      <c r="HV501" s="21" t="n">
        <v>0</v>
      </c>
      <c r="HW501" s="21" t="n">
        <v>0</v>
      </c>
      <c r="HX501" s="21" t="n">
        <v>0</v>
      </c>
      <c r="HY501" s="21" t="n">
        <v>0</v>
      </c>
      <c r="HZ501" s="21" t="n">
        <v>0</v>
      </c>
      <c r="IA501" s="21" t="n">
        <v>0</v>
      </c>
      <c r="IB501" s="21" t="n">
        <v>0</v>
      </c>
      <c r="IC501" s="21" t="n">
        <v>0</v>
      </c>
      <c r="ID501" s="21" t="n">
        <v>0</v>
      </c>
      <c r="IE501" s="21" t="n">
        <v>0</v>
      </c>
      <c r="IF501" s="21" t="n">
        <v>0</v>
      </c>
      <c r="IG501" s="21" t="n">
        <v>0</v>
      </c>
      <c r="IH501" s="21" t="n">
        <v>0</v>
      </c>
    </row>
    <row r="502" customFormat="false" ht="12.75" hidden="false" customHeight="false" outlineLevel="0" collapsed="false">
      <c r="AJ502" s="77"/>
      <c r="AK502" s="77"/>
      <c r="AL502" s="77"/>
      <c r="AM502" s="77"/>
      <c r="AN502" s="77"/>
    </row>
    <row r="503" customFormat="false" ht="12.75" hidden="false" customHeight="false" outlineLevel="0" collapsed="false">
      <c r="AJ503" s="77"/>
      <c r="AK503" s="77"/>
      <c r="AL503" s="77"/>
      <c r="AM503" s="77"/>
      <c r="AN503" s="77"/>
    </row>
    <row r="504" customFormat="false" ht="12.75" hidden="false" customHeight="false" outlineLevel="0" collapsed="false">
      <c r="AJ504" s="77"/>
      <c r="AK504" s="77"/>
      <c r="AL504" s="77"/>
      <c r="AM504" s="77"/>
      <c r="AN504" s="77"/>
    </row>
    <row r="505" customFormat="false" ht="12.75" hidden="false" customHeight="false" outlineLevel="0" collapsed="false">
      <c r="AJ505" s="77"/>
      <c r="AK505" s="77"/>
      <c r="AL505" s="77"/>
      <c r="AM505" s="77"/>
      <c r="AN505" s="77"/>
    </row>
    <row r="506" customFormat="false" ht="12.75" hidden="false" customHeight="false" outlineLevel="0" collapsed="false">
      <c r="AJ506" s="77"/>
      <c r="AK506" s="77"/>
      <c r="AL506" s="77"/>
      <c r="AM506" s="77"/>
      <c r="AN506" s="77"/>
    </row>
    <row r="507" customFormat="false" ht="12.75" hidden="false" customHeight="false" outlineLevel="0" collapsed="false">
      <c r="AJ507" s="77"/>
      <c r="AK507" s="77"/>
      <c r="AL507" s="77"/>
      <c r="AM507" s="77"/>
      <c r="AN507" s="77"/>
    </row>
    <row r="508" customFormat="false" ht="12.75" hidden="false" customHeight="false" outlineLevel="0" collapsed="false">
      <c r="AJ508" s="77"/>
      <c r="AK508" s="77"/>
      <c r="AL508" s="77"/>
      <c r="AM508" s="77"/>
      <c r="AN508" s="77"/>
    </row>
    <row r="509" customFormat="false" ht="12.75" hidden="false" customHeight="false" outlineLevel="0" collapsed="false">
      <c r="AJ509" s="77"/>
      <c r="AK509" s="77"/>
      <c r="AL509" s="77"/>
      <c r="AM509" s="77"/>
      <c r="AN509" s="77"/>
    </row>
    <row r="510" customFormat="false" ht="12.75" hidden="false" customHeight="false" outlineLevel="0" collapsed="false">
      <c r="AJ510" s="77"/>
      <c r="AK510" s="77"/>
      <c r="AL510" s="77"/>
      <c r="AM510" s="77"/>
      <c r="AN510" s="77"/>
    </row>
    <row r="511" customFormat="false" ht="12.75" hidden="false" customHeight="false" outlineLevel="0" collapsed="false">
      <c r="AJ511" s="77"/>
      <c r="AK511" s="77"/>
      <c r="AL511" s="77"/>
      <c r="AM511" s="77"/>
      <c r="AN511" s="77"/>
    </row>
    <row r="512" customFormat="false" ht="12.75" hidden="false" customHeight="false" outlineLevel="0" collapsed="false">
      <c r="AJ512" s="77"/>
      <c r="AK512" s="77"/>
      <c r="AL512" s="77"/>
      <c r="AM512" s="77"/>
      <c r="AN512" s="77"/>
    </row>
    <row r="513" customFormat="false" ht="12.75" hidden="false" customHeight="false" outlineLevel="0" collapsed="false">
      <c r="AJ513" s="77"/>
      <c r="AK513" s="77"/>
      <c r="AL513" s="77"/>
      <c r="AM513" s="77"/>
      <c r="AN513" s="77"/>
    </row>
    <row r="514" customFormat="false" ht="12.75" hidden="false" customHeight="false" outlineLevel="0" collapsed="false">
      <c r="AJ514" s="77"/>
      <c r="AK514" s="77"/>
      <c r="AL514" s="77"/>
      <c r="AM514" s="77"/>
      <c r="AN514" s="77"/>
    </row>
    <row r="515" customFormat="false" ht="12.75" hidden="false" customHeight="false" outlineLevel="0" collapsed="false">
      <c r="AJ515" s="77"/>
      <c r="AK515" s="77"/>
      <c r="AL515" s="77"/>
      <c r="AM515" s="77"/>
      <c r="AN515" s="77"/>
    </row>
    <row r="516" customFormat="false" ht="12.75" hidden="false" customHeight="false" outlineLevel="0" collapsed="false">
      <c r="AJ516" s="77"/>
      <c r="AK516" s="77"/>
      <c r="AL516" s="77"/>
      <c r="AM516" s="77"/>
      <c r="AN516" s="77"/>
    </row>
    <row r="517" customFormat="false" ht="12.75" hidden="false" customHeight="false" outlineLevel="0" collapsed="false">
      <c r="AJ517" s="77"/>
      <c r="AK517" s="77"/>
      <c r="AL517" s="77"/>
      <c r="AM517" s="77"/>
      <c r="AN517" s="77"/>
    </row>
    <row r="518" customFormat="false" ht="12.75" hidden="false" customHeight="false" outlineLevel="0" collapsed="false">
      <c r="AJ518" s="77"/>
      <c r="AK518" s="77"/>
      <c r="AL518" s="77"/>
      <c r="AM518" s="77"/>
      <c r="AN518" s="77"/>
    </row>
    <row r="519" customFormat="false" ht="12.75" hidden="false" customHeight="false" outlineLevel="0" collapsed="false">
      <c r="AJ519" s="77"/>
      <c r="AK519" s="77"/>
      <c r="AL519" s="77"/>
      <c r="AM519" s="77"/>
      <c r="AN519" s="77"/>
    </row>
    <row r="520" customFormat="false" ht="12.75" hidden="false" customHeight="false" outlineLevel="0" collapsed="false">
      <c r="AJ520" s="77"/>
      <c r="AK520" s="77"/>
      <c r="AL520" s="77"/>
      <c r="AM520" s="77"/>
      <c r="AN520" s="77"/>
    </row>
    <row r="521" customFormat="false" ht="12.75" hidden="false" customHeight="false" outlineLevel="0" collapsed="false">
      <c r="AJ521" s="77"/>
      <c r="AK521" s="77"/>
      <c r="AL521" s="77"/>
      <c r="AM521" s="77"/>
      <c r="AN521" s="77"/>
    </row>
    <row r="522" customFormat="false" ht="12.75" hidden="false" customHeight="false" outlineLevel="0" collapsed="false">
      <c r="AJ522" s="77"/>
      <c r="AK522" s="77"/>
      <c r="AL522" s="77"/>
      <c r="AM522" s="77"/>
      <c r="AN522" s="77"/>
    </row>
    <row r="523" customFormat="false" ht="12.75" hidden="false" customHeight="false" outlineLevel="0" collapsed="false">
      <c r="AJ523" s="77"/>
      <c r="AK523" s="77"/>
      <c r="AL523" s="77"/>
      <c r="AM523" s="77"/>
      <c r="AN523" s="77"/>
    </row>
    <row r="524" customFormat="false" ht="12.75" hidden="false" customHeight="false" outlineLevel="0" collapsed="false">
      <c r="AJ524" s="77"/>
      <c r="AK524" s="77"/>
      <c r="AL524" s="77"/>
      <c r="AM524" s="77"/>
      <c r="AN524" s="77"/>
    </row>
    <row r="525" customFormat="false" ht="12.75" hidden="false" customHeight="false" outlineLevel="0" collapsed="false">
      <c r="AJ525" s="77"/>
      <c r="AK525" s="77"/>
      <c r="AL525" s="77"/>
      <c r="AM525" s="77"/>
      <c r="AN525" s="77"/>
    </row>
    <row r="526" customFormat="false" ht="12.75" hidden="false" customHeight="false" outlineLevel="0" collapsed="false">
      <c r="AJ526" s="77"/>
      <c r="AK526" s="77"/>
      <c r="AL526" s="77"/>
      <c r="AM526" s="77"/>
      <c r="AN526" s="77"/>
    </row>
    <row r="527" customFormat="false" ht="12.75" hidden="false" customHeight="false" outlineLevel="0" collapsed="false">
      <c r="AJ527" s="77"/>
      <c r="AK527" s="77"/>
      <c r="AL527" s="77"/>
      <c r="AM527" s="77"/>
      <c r="AN527" s="77"/>
    </row>
    <row r="528" customFormat="false" ht="12.75" hidden="false" customHeight="false" outlineLevel="0" collapsed="false">
      <c r="AJ528" s="77"/>
      <c r="AK528" s="77"/>
      <c r="AL528" s="77"/>
      <c r="AM528" s="77"/>
      <c r="AN528" s="77"/>
    </row>
    <row r="529" customFormat="false" ht="12.75" hidden="false" customHeight="false" outlineLevel="0" collapsed="false">
      <c r="AJ529" s="77"/>
      <c r="AK529" s="77"/>
      <c r="AL529" s="77"/>
      <c r="AM529" s="77"/>
      <c r="AN529" s="77"/>
    </row>
    <row r="530" customFormat="false" ht="12.75" hidden="false" customHeight="false" outlineLevel="0" collapsed="false">
      <c r="AJ530" s="77"/>
      <c r="AK530" s="77"/>
      <c r="AL530" s="77"/>
      <c r="AM530" s="77"/>
      <c r="AN530" s="77"/>
    </row>
    <row r="531" customFormat="false" ht="12.75" hidden="false" customHeight="false" outlineLevel="0" collapsed="false">
      <c r="AJ531" s="77"/>
      <c r="AK531" s="77"/>
      <c r="AL531" s="77"/>
      <c r="AM531" s="77"/>
      <c r="AN531" s="77"/>
    </row>
    <row r="532" customFormat="false" ht="12.75" hidden="false" customHeight="false" outlineLevel="0" collapsed="false">
      <c r="AJ532" s="77"/>
      <c r="AK532" s="77"/>
      <c r="AL532" s="77"/>
      <c r="AM532" s="77"/>
      <c r="AN532" s="77"/>
    </row>
    <row r="533" customFormat="false" ht="12.75" hidden="false" customHeight="false" outlineLevel="0" collapsed="false">
      <c r="AJ533" s="77"/>
      <c r="AK533" s="77"/>
      <c r="AL533" s="77"/>
      <c r="AM533" s="77"/>
      <c r="AN533" s="77"/>
    </row>
    <row r="534" customFormat="false" ht="12.75" hidden="false" customHeight="false" outlineLevel="0" collapsed="false">
      <c r="AJ534" s="77"/>
      <c r="AK534" s="77"/>
      <c r="AL534" s="77"/>
      <c r="AM534" s="77"/>
      <c r="AN534" s="77"/>
    </row>
    <row r="535" customFormat="false" ht="12.75" hidden="false" customHeight="false" outlineLevel="0" collapsed="false">
      <c r="AJ535" s="77"/>
      <c r="AK535" s="77"/>
      <c r="AL535" s="77"/>
      <c r="AM535" s="77"/>
      <c r="AN535" s="77"/>
    </row>
    <row r="536" customFormat="false" ht="12.75" hidden="false" customHeight="false" outlineLevel="0" collapsed="false">
      <c r="AJ536" s="77"/>
      <c r="AK536" s="77"/>
      <c r="AL536" s="77"/>
      <c r="AM536" s="77"/>
      <c r="AN536" s="77"/>
    </row>
    <row r="537" customFormat="false" ht="12.75" hidden="false" customHeight="false" outlineLevel="0" collapsed="false">
      <c r="AJ537" s="77"/>
      <c r="AK537" s="77"/>
      <c r="AL537" s="77"/>
      <c r="AM537" s="77"/>
      <c r="AN537" s="77"/>
    </row>
    <row r="538" customFormat="false" ht="12.75" hidden="false" customHeight="false" outlineLevel="0" collapsed="false">
      <c r="AJ538" s="77"/>
      <c r="AK538" s="77"/>
      <c r="AL538" s="77"/>
      <c r="AM538" s="77"/>
      <c r="AN538" s="77"/>
    </row>
    <row r="539" customFormat="false" ht="12.75" hidden="false" customHeight="false" outlineLevel="0" collapsed="false">
      <c r="AJ539" s="77"/>
      <c r="AK539" s="77"/>
      <c r="AL539" s="77"/>
      <c r="AM539" s="77"/>
      <c r="AN539" s="77"/>
    </row>
    <row r="540" customFormat="false" ht="12.75" hidden="false" customHeight="false" outlineLevel="0" collapsed="false">
      <c r="AJ540" s="77"/>
      <c r="AK540" s="77"/>
      <c r="AL540" s="77"/>
      <c r="AM540" s="77"/>
      <c r="AN540" s="77"/>
    </row>
    <row r="541" customFormat="false" ht="12.75" hidden="false" customHeight="false" outlineLevel="0" collapsed="false">
      <c r="AJ541" s="77"/>
      <c r="AK541" s="77"/>
      <c r="AL541" s="77"/>
      <c r="AM541" s="77"/>
      <c r="AN541" s="77"/>
    </row>
    <row r="542" customFormat="false" ht="12.75" hidden="false" customHeight="false" outlineLevel="0" collapsed="false">
      <c r="AJ542" s="77"/>
      <c r="AK542" s="77"/>
      <c r="AL542" s="77"/>
      <c r="AM542" s="77"/>
      <c r="AN542" s="77"/>
    </row>
    <row r="543" customFormat="false" ht="12.75" hidden="false" customHeight="false" outlineLevel="0" collapsed="false">
      <c r="AJ543" s="77"/>
      <c r="AK543" s="77"/>
      <c r="AL543" s="77"/>
      <c r="AM543" s="77"/>
      <c r="AN543" s="77"/>
    </row>
    <row r="544" customFormat="false" ht="12.75" hidden="false" customHeight="false" outlineLevel="0" collapsed="false">
      <c r="AJ544" s="77"/>
      <c r="AK544" s="77"/>
      <c r="AL544" s="77"/>
      <c r="AM544" s="77"/>
      <c r="AN544" s="77"/>
    </row>
    <row r="545" customFormat="false" ht="12.75" hidden="false" customHeight="false" outlineLevel="0" collapsed="false">
      <c r="AJ545" s="77"/>
      <c r="AK545" s="77"/>
      <c r="AL545" s="77"/>
      <c r="AM545" s="77"/>
      <c r="AN545" s="77"/>
    </row>
    <row r="546" customFormat="false" ht="12.75" hidden="false" customHeight="false" outlineLevel="0" collapsed="false">
      <c r="AJ546" s="77"/>
      <c r="AK546" s="77"/>
      <c r="AL546" s="77"/>
      <c r="AM546" s="77"/>
      <c r="AN546" s="77"/>
    </row>
    <row r="547" customFormat="false" ht="12.75" hidden="false" customHeight="false" outlineLevel="0" collapsed="false">
      <c r="AJ547" s="77"/>
      <c r="AK547" s="77"/>
      <c r="AL547" s="77"/>
      <c r="AM547" s="77"/>
      <c r="AN547" s="77"/>
    </row>
    <row r="548" customFormat="false" ht="12.75" hidden="false" customHeight="false" outlineLevel="0" collapsed="false">
      <c r="AJ548" s="77"/>
      <c r="AK548" s="77"/>
      <c r="AL548" s="77"/>
      <c r="AM548" s="77"/>
      <c r="AN548" s="77"/>
    </row>
    <row r="549" customFormat="false" ht="12.75" hidden="false" customHeight="false" outlineLevel="0" collapsed="false">
      <c r="AJ549" s="77"/>
      <c r="AK549" s="77"/>
      <c r="AL549" s="77"/>
      <c r="AM549" s="77"/>
      <c r="AN549" s="77"/>
    </row>
    <row r="550" customFormat="false" ht="12.75" hidden="false" customHeight="false" outlineLevel="0" collapsed="false">
      <c r="AJ550" s="77"/>
      <c r="AK550" s="77"/>
      <c r="AL550" s="77"/>
      <c r="AM550" s="77"/>
      <c r="AN550" s="77"/>
    </row>
    <row r="551" customFormat="false" ht="12.75" hidden="false" customHeight="false" outlineLevel="0" collapsed="false">
      <c r="AJ551" s="77"/>
      <c r="AK551" s="77"/>
      <c r="AL551" s="77"/>
      <c r="AM551" s="77"/>
      <c r="AN551" s="77"/>
    </row>
    <row r="552" customFormat="false" ht="12.75" hidden="false" customHeight="false" outlineLevel="0" collapsed="false">
      <c r="AJ552" s="77"/>
      <c r="AK552" s="77"/>
      <c r="AL552" s="77"/>
      <c r="AM552" s="77"/>
      <c r="AN552" s="77"/>
    </row>
    <row r="553" customFormat="false" ht="12.75" hidden="false" customHeight="false" outlineLevel="0" collapsed="false">
      <c r="AJ553" s="77"/>
      <c r="AK553" s="77"/>
      <c r="AL553" s="77"/>
      <c r="AM553" s="77"/>
      <c r="AN553" s="77"/>
    </row>
    <row r="554" customFormat="false" ht="12.75" hidden="false" customHeight="false" outlineLevel="0" collapsed="false">
      <c r="AJ554" s="77"/>
      <c r="AK554" s="77"/>
      <c r="AL554" s="77"/>
      <c r="AM554" s="77"/>
      <c r="AN554" s="77"/>
    </row>
    <row r="555" customFormat="false" ht="12.75" hidden="false" customHeight="false" outlineLevel="0" collapsed="false">
      <c r="AJ555" s="77"/>
      <c r="AK555" s="77"/>
      <c r="AL555" s="77"/>
      <c r="AM555" s="77"/>
      <c r="AN555" s="77"/>
    </row>
    <row r="556" customFormat="false" ht="12.75" hidden="false" customHeight="false" outlineLevel="0" collapsed="false">
      <c r="AJ556" s="77"/>
      <c r="AK556" s="77"/>
      <c r="AL556" s="77"/>
      <c r="AM556" s="77"/>
      <c r="AN556" s="77"/>
    </row>
    <row r="557" customFormat="false" ht="12.75" hidden="false" customHeight="false" outlineLevel="0" collapsed="false">
      <c r="AJ557" s="77"/>
      <c r="AK557" s="77"/>
      <c r="AL557" s="77"/>
      <c r="AM557" s="77"/>
      <c r="AN557" s="77"/>
    </row>
    <row r="558" customFormat="false" ht="12.75" hidden="false" customHeight="false" outlineLevel="0" collapsed="false">
      <c r="AJ558" s="77"/>
      <c r="AK558" s="77"/>
      <c r="AL558" s="77"/>
      <c r="AM558" s="77"/>
      <c r="AN558" s="77"/>
    </row>
    <row r="559" customFormat="false" ht="12.75" hidden="false" customHeight="false" outlineLevel="0" collapsed="false">
      <c r="AJ559" s="77"/>
      <c r="AK559" s="77"/>
      <c r="AL559" s="77"/>
      <c r="AM559" s="77"/>
      <c r="AN559" s="77"/>
    </row>
    <row r="560" customFormat="false" ht="12.75" hidden="false" customHeight="false" outlineLevel="0" collapsed="false">
      <c r="AJ560" s="77"/>
      <c r="AK560" s="77"/>
      <c r="AL560" s="77"/>
      <c r="AM560" s="77"/>
      <c r="AN560" s="77"/>
    </row>
    <row r="561" customFormat="false" ht="12.75" hidden="false" customHeight="false" outlineLevel="0" collapsed="false">
      <c r="AJ561" s="77"/>
      <c r="AK561" s="77"/>
      <c r="AL561" s="77"/>
      <c r="AM561" s="77"/>
      <c r="AN561" s="77"/>
    </row>
    <row r="562" customFormat="false" ht="12.75" hidden="false" customHeight="false" outlineLevel="0" collapsed="false">
      <c r="AJ562" s="77"/>
      <c r="AK562" s="77"/>
      <c r="AL562" s="77"/>
      <c r="AM562" s="77"/>
      <c r="AN562" s="77"/>
    </row>
    <row r="563" customFormat="false" ht="12.75" hidden="false" customHeight="false" outlineLevel="0" collapsed="false">
      <c r="AJ563" s="77"/>
      <c r="AK563" s="77"/>
      <c r="AL563" s="77"/>
      <c r="AM563" s="77"/>
      <c r="AN563" s="77"/>
    </row>
    <row r="564" customFormat="false" ht="12.75" hidden="false" customHeight="false" outlineLevel="0" collapsed="false">
      <c r="AJ564" s="77"/>
      <c r="AK564" s="77"/>
      <c r="AL564" s="77"/>
      <c r="AM564" s="77"/>
      <c r="AN564" s="77"/>
    </row>
    <row r="565" customFormat="false" ht="12.75" hidden="false" customHeight="false" outlineLevel="0" collapsed="false">
      <c r="AJ565" s="77"/>
      <c r="AK565" s="77"/>
      <c r="AL565" s="77"/>
      <c r="AM565" s="77"/>
      <c r="AN565" s="77"/>
    </row>
    <row r="566" customFormat="false" ht="12.75" hidden="false" customHeight="false" outlineLevel="0" collapsed="false">
      <c r="AJ566" s="77"/>
      <c r="AK566" s="77"/>
      <c r="AL566" s="77"/>
      <c r="AM566" s="77"/>
      <c r="AN566" s="77"/>
    </row>
    <row r="567" customFormat="false" ht="12.75" hidden="false" customHeight="false" outlineLevel="0" collapsed="false">
      <c r="AJ567" s="77"/>
      <c r="AK567" s="77"/>
      <c r="AL567" s="77"/>
      <c r="AM567" s="77"/>
      <c r="AN567" s="77"/>
    </row>
    <row r="568" customFormat="false" ht="12.75" hidden="false" customHeight="false" outlineLevel="0" collapsed="false">
      <c r="AJ568" s="77"/>
      <c r="AK568" s="77"/>
      <c r="AL568" s="77"/>
      <c r="AM568" s="77"/>
      <c r="AN568" s="77"/>
    </row>
    <row r="569" customFormat="false" ht="12.75" hidden="false" customHeight="false" outlineLevel="0" collapsed="false">
      <c r="AJ569" s="77"/>
      <c r="AK569" s="77"/>
      <c r="AL569" s="77"/>
      <c r="AM569" s="77"/>
      <c r="AN569" s="77"/>
    </row>
    <row r="570" customFormat="false" ht="12.75" hidden="false" customHeight="false" outlineLevel="0" collapsed="false">
      <c r="AJ570" s="77"/>
      <c r="AK570" s="77"/>
      <c r="AL570" s="77"/>
      <c r="AM570" s="77"/>
      <c r="AN570" s="77"/>
    </row>
    <row r="571" customFormat="false" ht="12.75" hidden="false" customHeight="false" outlineLevel="0" collapsed="false">
      <c r="AJ571" s="77"/>
      <c r="AK571" s="77"/>
      <c r="AL571" s="77"/>
      <c r="AM571" s="77"/>
      <c r="AN571" s="77"/>
    </row>
    <row r="572" customFormat="false" ht="12.75" hidden="false" customHeight="false" outlineLevel="0" collapsed="false">
      <c r="AJ572" s="77"/>
      <c r="AK572" s="77"/>
      <c r="AL572" s="77"/>
      <c r="AM572" s="77"/>
      <c r="AN572" s="77"/>
    </row>
    <row r="573" customFormat="false" ht="12.75" hidden="false" customHeight="false" outlineLevel="0" collapsed="false">
      <c r="AJ573" s="77"/>
      <c r="AK573" s="77"/>
      <c r="AL573" s="77"/>
      <c r="AM573" s="77"/>
      <c r="AN573" s="77"/>
    </row>
    <row r="574" customFormat="false" ht="12.75" hidden="false" customHeight="false" outlineLevel="0" collapsed="false">
      <c r="AJ574" s="77"/>
      <c r="AK574" s="77"/>
      <c r="AL574" s="77"/>
      <c r="AM574" s="77"/>
      <c r="AN574" s="77"/>
    </row>
    <row r="575" customFormat="false" ht="12.75" hidden="false" customHeight="false" outlineLevel="0" collapsed="false">
      <c r="AJ575" s="77"/>
      <c r="AK575" s="77"/>
      <c r="AL575" s="77"/>
      <c r="AM575" s="77"/>
      <c r="AN575" s="77"/>
    </row>
    <row r="576" customFormat="false" ht="12.75" hidden="false" customHeight="false" outlineLevel="0" collapsed="false">
      <c r="AJ576" s="77"/>
      <c r="AK576" s="77"/>
      <c r="AL576" s="77"/>
      <c r="AM576" s="77"/>
      <c r="AN576" s="77"/>
    </row>
    <row r="577" customFormat="false" ht="12.75" hidden="false" customHeight="false" outlineLevel="0" collapsed="false">
      <c r="AJ577" s="77"/>
      <c r="AK577" s="77"/>
      <c r="AL577" s="77"/>
      <c r="AM577" s="77"/>
      <c r="AN577" s="77"/>
    </row>
    <row r="578" customFormat="false" ht="12.75" hidden="false" customHeight="false" outlineLevel="0" collapsed="false">
      <c r="AJ578" s="77"/>
      <c r="AK578" s="77"/>
      <c r="AL578" s="77"/>
      <c r="AM578" s="77"/>
      <c r="AN578" s="77"/>
    </row>
    <row r="579" customFormat="false" ht="12.75" hidden="false" customHeight="false" outlineLevel="0" collapsed="false">
      <c r="AJ579" s="77"/>
      <c r="AK579" s="77"/>
      <c r="AL579" s="77"/>
      <c r="AM579" s="77"/>
      <c r="AN579" s="77"/>
    </row>
    <row r="580" customFormat="false" ht="12.75" hidden="false" customHeight="false" outlineLevel="0" collapsed="false">
      <c r="AJ580" s="77"/>
      <c r="AK580" s="77"/>
      <c r="AL580" s="77"/>
      <c r="AM580" s="77"/>
      <c r="AN580" s="77"/>
    </row>
    <row r="581" customFormat="false" ht="12.75" hidden="false" customHeight="false" outlineLevel="0" collapsed="false">
      <c r="AJ581" s="77"/>
      <c r="AK581" s="77"/>
      <c r="AL581" s="77"/>
      <c r="AM581" s="77"/>
      <c r="AN581" s="77"/>
    </row>
    <row r="582" customFormat="false" ht="12.75" hidden="false" customHeight="false" outlineLevel="0" collapsed="false">
      <c r="AJ582" s="77"/>
      <c r="AK582" s="77"/>
      <c r="AL582" s="77"/>
      <c r="AM582" s="77"/>
      <c r="AN582" s="77"/>
    </row>
    <row r="583" customFormat="false" ht="12.75" hidden="false" customHeight="false" outlineLevel="0" collapsed="false">
      <c r="AJ583" s="77"/>
      <c r="AK583" s="77"/>
      <c r="AL583" s="77"/>
      <c r="AM583" s="77"/>
      <c r="AN583" s="77"/>
    </row>
    <row r="584" customFormat="false" ht="12.75" hidden="false" customHeight="false" outlineLevel="0" collapsed="false">
      <c r="AJ584" s="77"/>
      <c r="AK584" s="77"/>
      <c r="AL584" s="77"/>
      <c r="AM584" s="77"/>
      <c r="AN584" s="77"/>
    </row>
    <row r="585" customFormat="false" ht="12.75" hidden="false" customHeight="false" outlineLevel="0" collapsed="false">
      <c r="AJ585" s="77"/>
      <c r="AK585" s="77"/>
      <c r="AL585" s="77"/>
      <c r="AM585" s="77"/>
      <c r="AN585" s="77"/>
    </row>
    <row r="586" customFormat="false" ht="12.75" hidden="false" customHeight="false" outlineLevel="0" collapsed="false">
      <c r="AJ586" s="77"/>
      <c r="AK586" s="77"/>
      <c r="AL586" s="77"/>
      <c r="AM586" s="77"/>
      <c r="AN586" s="77"/>
    </row>
    <row r="587" customFormat="false" ht="12.75" hidden="false" customHeight="false" outlineLevel="0" collapsed="false">
      <c r="AJ587" s="77"/>
      <c r="AK587" s="77"/>
      <c r="AL587" s="77"/>
      <c r="AM587" s="77"/>
      <c r="AN587" s="77"/>
    </row>
    <row r="588" customFormat="false" ht="12.75" hidden="false" customHeight="false" outlineLevel="0" collapsed="false">
      <c r="AJ588" s="77"/>
      <c r="AK588" s="77"/>
      <c r="AL588" s="77"/>
      <c r="AM588" s="77"/>
      <c r="AN588" s="77"/>
    </row>
    <row r="589" customFormat="false" ht="12.75" hidden="false" customHeight="false" outlineLevel="0" collapsed="false">
      <c r="AJ589" s="77"/>
      <c r="AK589" s="77"/>
      <c r="AL589" s="77"/>
      <c r="AM589" s="77"/>
      <c r="AN589" s="77"/>
    </row>
    <row r="590" customFormat="false" ht="12.75" hidden="false" customHeight="false" outlineLevel="0" collapsed="false">
      <c r="AJ590" s="77"/>
      <c r="AK590" s="77"/>
      <c r="AL590" s="77"/>
      <c r="AM590" s="77"/>
      <c r="AN590" s="77"/>
    </row>
    <row r="591" customFormat="false" ht="12.75" hidden="false" customHeight="false" outlineLevel="0" collapsed="false">
      <c r="AJ591" s="77"/>
      <c r="AK591" s="77"/>
      <c r="AL591" s="77"/>
      <c r="AM591" s="77"/>
      <c r="AN591" s="77"/>
    </row>
    <row r="592" customFormat="false" ht="12.75" hidden="false" customHeight="false" outlineLevel="0" collapsed="false">
      <c r="AJ592" s="77"/>
      <c r="AK592" s="77"/>
      <c r="AL592" s="77"/>
      <c r="AM592" s="77"/>
      <c r="AN592" s="77"/>
    </row>
    <row r="593" customFormat="false" ht="12.75" hidden="false" customHeight="false" outlineLevel="0" collapsed="false">
      <c r="AJ593" s="77"/>
      <c r="AK593" s="77"/>
      <c r="AL593" s="77"/>
      <c r="AM593" s="77"/>
      <c r="AN593" s="77"/>
    </row>
    <row r="594" customFormat="false" ht="12.75" hidden="false" customHeight="false" outlineLevel="0" collapsed="false">
      <c r="AJ594" s="77"/>
      <c r="AK594" s="77"/>
      <c r="AL594" s="77"/>
      <c r="AM594" s="77"/>
      <c r="AN594" s="77"/>
    </row>
    <row r="595" customFormat="false" ht="12.75" hidden="false" customHeight="false" outlineLevel="0" collapsed="false">
      <c r="AJ595" s="77"/>
      <c r="AK595" s="77"/>
      <c r="AL595" s="77"/>
      <c r="AM595" s="77"/>
      <c r="AN595" s="77"/>
    </row>
    <row r="596" customFormat="false" ht="12.75" hidden="false" customHeight="false" outlineLevel="0" collapsed="false">
      <c r="AJ596" s="77"/>
      <c r="AK596" s="77"/>
      <c r="AL596" s="77"/>
      <c r="AM596" s="77"/>
      <c r="AN596" s="77"/>
    </row>
    <row r="597" customFormat="false" ht="12.75" hidden="false" customHeight="false" outlineLevel="0" collapsed="false">
      <c r="AJ597" s="77"/>
      <c r="AK597" s="77"/>
      <c r="AL597" s="77"/>
      <c r="AM597" s="77"/>
      <c r="AN597" s="77"/>
    </row>
    <row r="598" customFormat="false" ht="12.75" hidden="false" customHeight="false" outlineLevel="0" collapsed="false">
      <c r="AJ598" s="77"/>
      <c r="AK598" s="77"/>
      <c r="AL598" s="77"/>
      <c r="AM598" s="77"/>
      <c r="AN598" s="77"/>
    </row>
    <row r="599" customFormat="false" ht="12.75" hidden="false" customHeight="false" outlineLevel="0" collapsed="false">
      <c r="AJ599" s="77"/>
      <c r="AK599" s="77"/>
      <c r="AL599" s="77"/>
      <c r="AM599" s="77"/>
      <c r="AN599" s="77"/>
    </row>
    <row r="600" customFormat="false" ht="12.75" hidden="false" customHeight="false" outlineLevel="0" collapsed="false">
      <c r="AJ600" s="77"/>
      <c r="AK600" s="77"/>
      <c r="AL600" s="77"/>
      <c r="AM600" s="77"/>
      <c r="AN600" s="77"/>
    </row>
    <row r="601" customFormat="false" ht="12.75" hidden="false" customHeight="false" outlineLevel="0" collapsed="false">
      <c r="AJ601" s="77"/>
      <c r="AK601" s="77"/>
      <c r="AL601" s="77"/>
      <c r="AM601" s="77"/>
      <c r="AN601" s="77"/>
    </row>
    <row r="602" customFormat="false" ht="12.75" hidden="false" customHeight="false" outlineLevel="0" collapsed="false">
      <c r="AJ602" s="77"/>
      <c r="AK602" s="77"/>
      <c r="AL602" s="77"/>
      <c r="AM602" s="77"/>
      <c r="AN602" s="77"/>
    </row>
    <row r="603" customFormat="false" ht="12.75" hidden="false" customHeight="false" outlineLevel="0" collapsed="false">
      <c r="AJ603" s="77"/>
      <c r="AK603" s="77"/>
      <c r="AL603" s="77"/>
      <c r="AM603" s="77"/>
      <c r="AN603" s="77"/>
    </row>
    <row r="604" customFormat="false" ht="12.75" hidden="false" customHeight="false" outlineLevel="0" collapsed="false">
      <c r="AJ604" s="77"/>
      <c r="AK604" s="77"/>
      <c r="AL604" s="77"/>
      <c r="AM604" s="77"/>
      <c r="AN604" s="77"/>
    </row>
    <row r="605" customFormat="false" ht="12.75" hidden="false" customHeight="false" outlineLevel="0" collapsed="false">
      <c r="AJ605" s="77"/>
      <c r="AK605" s="77"/>
      <c r="AL605" s="77"/>
      <c r="AM605" s="77"/>
      <c r="AN605" s="77"/>
    </row>
    <row r="606" customFormat="false" ht="12.75" hidden="false" customHeight="false" outlineLevel="0" collapsed="false">
      <c r="AJ606" s="77"/>
      <c r="AK606" s="77"/>
      <c r="AL606" s="77"/>
      <c r="AM606" s="77"/>
      <c r="AN606" s="77"/>
    </row>
    <row r="607" customFormat="false" ht="12.75" hidden="false" customHeight="false" outlineLevel="0" collapsed="false">
      <c r="AJ607" s="77"/>
      <c r="AK607" s="77"/>
      <c r="AL607" s="77"/>
      <c r="AM607" s="77"/>
      <c r="AN607" s="77"/>
    </row>
    <row r="608" customFormat="false" ht="12.75" hidden="false" customHeight="false" outlineLevel="0" collapsed="false">
      <c r="AJ608" s="77"/>
      <c r="AK608" s="77"/>
      <c r="AL608" s="77"/>
      <c r="AM608" s="77"/>
      <c r="AN608" s="77"/>
    </row>
    <row r="609" customFormat="false" ht="12.75" hidden="false" customHeight="false" outlineLevel="0" collapsed="false">
      <c r="AJ609" s="77"/>
      <c r="AK609" s="77"/>
      <c r="AL609" s="77"/>
      <c r="AM609" s="77"/>
      <c r="AN609" s="77"/>
    </row>
    <row r="610" customFormat="false" ht="12.75" hidden="false" customHeight="false" outlineLevel="0" collapsed="false">
      <c r="AJ610" s="77"/>
      <c r="AK610" s="77"/>
      <c r="AL610" s="77"/>
      <c r="AM610" s="77"/>
      <c r="AN610" s="77"/>
    </row>
    <row r="611" customFormat="false" ht="12.75" hidden="false" customHeight="false" outlineLevel="0" collapsed="false">
      <c r="AJ611" s="77"/>
      <c r="AK611" s="77"/>
      <c r="AL611" s="77"/>
      <c r="AM611" s="77"/>
      <c r="AN611" s="77"/>
    </row>
    <row r="612" customFormat="false" ht="12.75" hidden="false" customHeight="false" outlineLevel="0" collapsed="false">
      <c r="AJ612" s="77"/>
      <c r="AK612" s="77"/>
      <c r="AL612" s="77"/>
      <c r="AM612" s="77"/>
      <c r="AN612" s="77"/>
    </row>
    <row r="613" customFormat="false" ht="12.75" hidden="false" customHeight="false" outlineLevel="0" collapsed="false">
      <c r="AJ613" s="77"/>
      <c r="AK613" s="77"/>
      <c r="AL613" s="77"/>
      <c r="AM613" s="77"/>
      <c r="AN613" s="77"/>
    </row>
    <row r="614" customFormat="false" ht="12.75" hidden="false" customHeight="false" outlineLevel="0" collapsed="false">
      <c r="AJ614" s="77"/>
      <c r="AK614" s="77"/>
      <c r="AL614" s="77"/>
      <c r="AM614" s="77"/>
      <c r="AN614" s="77"/>
    </row>
    <row r="615" customFormat="false" ht="12.75" hidden="false" customHeight="false" outlineLevel="0" collapsed="false">
      <c r="AJ615" s="77"/>
      <c r="AK615" s="77"/>
      <c r="AL615" s="77"/>
      <c r="AM615" s="77"/>
      <c r="AN615" s="77"/>
    </row>
    <row r="616" customFormat="false" ht="12.75" hidden="false" customHeight="false" outlineLevel="0" collapsed="false">
      <c r="AJ616" s="77"/>
      <c r="AK616" s="77"/>
      <c r="AL616" s="77"/>
      <c r="AM616" s="77"/>
      <c r="AN616" s="77"/>
    </row>
    <row r="617" customFormat="false" ht="12.75" hidden="false" customHeight="false" outlineLevel="0" collapsed="false">
      <c r="AJ617" s="77"/>
      <c r="AK617" s="77"/>
      <c r="AL617" s="77"/>
      <c r="AM617" s="77"/>
      <c r="AN617" s="77"/>
    </row>
    <row r="618" customFormat="false" ht="12.75" hidden="false" customHeight="false" outlineLevel="0" collapsed="false">
      <c r="AJ618" s="77"/>
      <c r="AK618" s="77"/>
      <c r="AL618" s="77"/>
      <c r="AM618" s="77"/>
      <c r="AN618" s="77"/>
    </row>
    <row r="619" customFormat="false" ht="12.75" hidden="false" customHeight="false" outlineLevel="0" collapsed="false">
      <c r="AJ619" s="77"/>
      <c r="AK619" s="77"/>
      <c r="AL619" s="77"/>
      <c r="AM619" s="77"/>
      <c r="AN619" s="77"/>
    </row>
    <row r="620" customFormat="false" ht="12.75" hidden="false" customHeight="false" outlineLevel="0" collapsed="false">
      <c r="AJ620" s="77"/>
      <c r="AK620" s="77"/>
      <c r="AL620" s="77"/>
      <c r="AM620" s="77"/>
      <c r="AN620" s="77"/>
    </row>
    <row r="621" customFormat="false" ht="12.75" hidden="false" customHeight="false" outlineLevel="0" collapsed="false">
      <c r="AJ621" s="77"/>
      <c r="AK621" s="77"/>
      <c r="AL621" s="77"/>
      <c r="AM621" s="77"/>
      <c r="AN621" s="77"/>
    </row>
    <row r="622" customFormat="false" ht="12.75" hidden="false" customHeight="false" outlineLevel="0" collapsed="false">
      <c r="AJ622" s="77"/>
      <c r="AK622" s="77"/>
      <c r="AL622" s="77"/>
      <c r="AM622" s="77"/>
      <c r="AN622" s="77"/>
    </row>
    <row r="623" customFormat="false" ht="12.75" hidden="false" customHeight="false" outlineLevel="0" collapsed="false">
      <c r="AJ623" s="77"/>
      <c r="AK623" s="77"/>
      <c r="AL623" s="77"/>
      <c r="AM623" s="77"/>
      <c r="AN623" s="77"/>
    </row>
    <row r="624" customFormat="false" ht="12.75" hidden="false" customHeight="false" outlineLevel="0" collapsed="false">
      <c r="AJ624" s="77"/>
      <c r="AK624" s="77"/>
      <c r="AL624" s="77"/>
      <c r="AM624" s="77"/>
      <c r="AN624" s="77"/>
    </row>
    <row r="625" customFormat="false" ht="12.75" hidden="false" customHeight="false" outlineLevel="0" collapsed="false">
      <c r="AJ625" s="77"/>
      <c r="AK625" s="77"/>
      <c r="AL625" s="77"/>
      <c r="AM625" s="77"/>
      <c r="AN625" s="77"/>
    </row>
    <row r="626" customFormat="false" ht="12.75" hidden="false" customHeight="false" outlineLevel="0" collapsed="false">
      <c r="AJ626" s="77"/>
      <c r="AK626" s="77"/>
      <c r="AL626" s="77"/>
      <c r="AM626" s="77"/>
      <c r="AN626" s="77"/>
    </row>
    <row r="627" customFormat="false" ht="12.75" hidden="false" customHeight="false" outlineLevel="0" collapsed="false">
      <c r="AJ627" s="77"/>
      <c r="AK627" s="77"/>
      <c r="AL627" s="77"/>
      <c r="AM627" s="77"/>
      <c r="AN627" s="77"/>
    </row>
    <row r="628" customFormat="false" ht="12.75" hidden="false" customHeight="false" outlineLevel="0" collapsed="false">
      <c r="AJ628" s="77"/>
      <c r="AK628" s="77"/>
      <c r="AL628" s="77"/>
      <c r="AM628" s="77"/>
      <c r="AN628" s="77"/>
    </row>
    <row r="629" customFormat="false" ht="12.75" hidden="false" customHeight="false" outlineLevel="0" collapsed="false">
      <c r="AJ629" s="77"/>
      <c r="AK629" s="77"/>
      <c r="AL629" s="77"/>
      <c r="AM629" s="77"/>
      <c r="AN629" s="77"/>
    </row>
    <row r="630" customFormat="false" ht="12.75" hidden="false" customHeight="false" outlineLevel="0" collapsed="false">
      <c r="AJ630" s="77"/>
      <c r="AK630" s="77"/>
      <c r="AL630" s="77"/>
      <c r="AM630" s="77"/>
      <c r="AN630" s="77"/>
    </row>
    <row r="631" customFormat="false" ht="12.75" hidden="false" customHeight="false" outlineLevel="0" collapsed="false">
      <c r="AJ631" s="77"/>
      <c r="AK631" s="77"/>
      <c r="AL631" s="77"/>
      <c r="AM631" s="77"/>
      <c r="AN631" s="77"/>
    </row>
    <row r="632" customFormat="false" ht="12.75" hidden="false" customHeight="false" outlineLevel="0" collapsed="false">
      <c r="AJ632" s="77"/>
      <c r="AK632" s="77"/>
      <c r="AL632" s="77"/>
      <c r="AM632" s="77"/>
      <c r="AN632" s="77"/>
    </row>
    <row r="633" customFormat="false" ht="12.75" hidden="false" customHeight="false" outlineLevel="0" collapsed="false">
      <c r="AJ633" s="77"/>
      <c r="AK633" s="77"/>
      <c r="AL633" s="77"/>
      <c r="AM633" s="77"/>
      <c r="AN633" s="77"/>
    </row>
    <row r="634" customFormat="false" ht="12.75" hidden="false" customHeight="false" outlineLevel="0" collapsed="false">
      <c r="AJ634" s="77"/>
      <c r="AK634" s="77"/>
      <c r="AL634" s="77"/>
      <c r="AM634" s="77"/>
      <c r="AN634" s="77"/>
    </row>
    <row r="635" customFormat="false" ht="12.75" hidden="false" customHeight="false" outlineLevel="0" collapsed="false">
      <c r="AJ635" s="77"/>
      <c r="AK635" s="77"/>
      <c r="AL635" s="77"/>
      <c r="AM635" s="77"/>
      <c r="AN635" s="77"/>
    </row>
    <row r="636" customFormat="false" ht="12.75" hidden="false" customHeight="false" outlineLevel="0" collapsed="false">
      <c r="AJ636" s="77"/>
      <c r="AK636" s="77"/>
      <c r="AL636" s="77"/>
      <c r="AM636" s="77"/>
      <c r="AN636" s="77"/>
    </row>
    <row r="637" customFormat="false" ht="12.75" hidden="false" customHeight="false" outlineLevel="0" collapsed="false">
      <c r="AJ637" s="77"/>
      <c r="AK637" s="77"/>
      <c r="AL637" s="77"/>
      <c r="AM637" s="77"/>
      <c r="AN637" s="77"/>
    </row>
    <row r="638" customFormat="false" ht="12.75" hidden="false" customHeight="false" outlineLevel="0" collapsed="false">
      <c r="AJ638" s="77"/>
      <c r="AK638" s="77"/>
      <c r="AL638" s="77"/>
      <c r="AM638" s="77"/>
      <c r="AN638" s="77"/>
    </row>
    <row r="639" customFormat="false" ht="12.75" hidden="false" customHeight="false" outlineLevel="0" collapsed="false">
      <c r="AJ639" s="77"/>
      <c r="AK639" s="77"/>
      <c r="AL639" s="77"/>
      <c r="AM639" s="77"/>
      <c r="AN639" s="77"/>
    </row>
    <row r="640" customFormat="false" ht="12.75" hidden="false" customHeight="false" outlineLevel="0" collapsed="false">
      <c r="AJ640" s="77"/>
      <c r="AK640" s="77"/>
      <c r="AL640" s="77"/>
      <c r="AM640" s="77"/>
      <c r="AN640" s="77"/>
    </row>
    <row r="641" customFormat="false" ht="12.75" hidden="false" customHeight="false" outlineLevel="0" collapsed="false">
      <c r="AJ641" s="77"/>
      <c r="AK641" s="77"/>
      <c r="AL641" s="77"/>
      <c r="AM641" s="77"/>
      <c r="AN641" s="77"/>
    </row>
    <row r="642" customFormat="false" ht="12.75" hidden="false" customHeight="false" outlineLevel="0" collapsed="false">
      <c r="AJ642" s="77"/>
      <c r="AK642" s="77"/>
      <c r="AL642" s="77"/>
      <c r="AM642" s="77"/>
      <c r="AN642" s="77"/>
    </row>
    <row r="643" customFormat="false" ht="12.75" hidden="false" customHeight="false" outlineLevel="0" collapsed="false">
      <c r="AJ643" s="77"/>
      <c r="AK643" s="77"/>
      <c r="AL643" s="77"/>
      <c r="AM643" s="77"/>
      <c r="AN643" s="77"/>
    </row>
    <row r="644" customFormat="false" ht="12.75" hidden="false" customHeight="false" outlineLevel="0" collapsed="false">
      <c r="AJ644" s="77"/>
      <c r="AK644" s="77"/>
      <c r="AL644" s="77"/>
      <c r="AM644" s="77"/>
      <c r="AN644" s="77"/>
    </row>
    <row r="645" customFormat="false" ht="12.75" hidden="false" customHeight="false" outlineLevel="0" collapsed="false">
      <c r="AJ645" s="77"/>
      <c r="AK645" s="77"/>
      <c r="AL645" s="77"/>
      <c r="AM645" s="77"/>
      <c r="AN645" s="77"/>
    </row>
    <row r="646" customFormat="false" ht="12.75" hidden="false" customHeight="false" outlineLevel="0" collapsed="false">
      <c r="AJ646" s="77"/>
      <c r="AK646" s="77"/>
      <c r="AL646" s="77"/>
      <c r="AM646" s="77"/>
      <c r="AN646" s="77"/>
    </row>
    <row r="647" customFormat="false" ht="12.75" hidden="false" customHeight="false" outlineLevel="0" collapsed="false">
      <c r="AJ647" s="77"/>
      <c r="AK647" s="77"/>
      <c r="AL647" s="77"/>
      <c r="AM647" s="77"/>
      <c r="AN647" s="77"/>
    </row>
    <row r="648" customFormat="false" ht="12.75" hidden="false" customHeight="false" outlineLevel="0" collapsed="false">
      <c r="AJ648" s="77"/>
      <c r="AK648" s="77"/>
      <c r="AL648" s="77"/>
      <c r="AM648" s="77"/>
      <c r="AN648" s="77"/>
    </row>
    <row r="649" customFormat="false" ht="12.75" hidden="false" customHeight="false" outlineLevel="0" collapsed="false">
      <c r="AJ649" s="77"/>
      <c r="AK649" s="77"/>
      <c r="AL649" s="77"/>
      <c r="AM649" s="77"/>
      <c r="AN649" s="77"/>
    </row>
    <row r="650" customFormat="false" ht="12.75" hidden="false" customHeight="false" outlineLevel="0" collapsed="false">
      <c r="AJ650" s="77"/>
      <c r="AK650" s="77"/>
      <c r="AL650" s="77"/>
      <c r="AM650" s="77"/>
      <c r="AN650" s="77"/>
    </row>
    <row r="651" customFormat="false" ht="12.75" hidden="false" customHeight="false" outlineLevel="0" collapsed="false">
      <c r="AJ651" s="77"/>
      <c r="AK651" s="77"/>
      <c r="AL651" s="77"/>
      <c r="AM651" s="77"/>
      <c r="AN651" s="77"/>
    </row>
    <row r="652" customFormat="false" ht="12.75" hidden="false" customHeight="false" outlineLevel="0" collapsed="false">
      <c r="AJ652" s="77"/>
      <c r="AK652" s="77"/>
      <c r="AL652" s="77"/>
      <c r="AM652" s="77"/>
      <c r="AN652" s="77"/>
    </row>
    <row r="653" customFormat="false" ht="12.75" hidden="false" customHeight="false" outlineLevel="0" collapsed="false">
      <c r="AJ653" s="77"/>
      <c r="AK653" s="77"/>
      <c r="AL653" s="77"/>
      <c r="AM653" s="77"/>
      <c r="AN653" s="77"/>
    </row>
    <row r="654" customFormat="false" ht="12.75" hidden="false" customHeight="false" outlineLevel="0" collapsed="false">
      <c r="AJ654" s="77"/>
      <c r="AK654" s="77"/>
      <c r="AL654" s="77"/>
      <c r="AM654" s="77"/>
      <c r="AN654" s="77"/>
    </row>
    <row r="655" customFormat="false" ht="12.75" hidden="false" customHeight="false" outlineLevel="0" collapsed="false">
      <c r="AJ655" s="77"/>
      <c r="AK655" s="77"/>
      <c r="AL655" s="77"/>
      <c r="AM655" s="77"/>
      <c r="AN655" s="77"/>
    </row>
    <row r="656" customFormat="false" ht="12.75" hidden="false" customHeight="false" outlineLevel="0" collapsed="false">
      <c r="AJ656" s="77"/>
      <c r="AK656" s="77"/>
      <c r="AL656" s="77"/>
      <c r="AM656" s="77"/>
      <c r="AN656" s="77"/>
    </row>
    <row r="657" customFormat="false" ht="12.75" hidden="false" customHeight="false" outlineLevel="0" collapsed="false">
      <c r="AJ657" s="77"/>
      <c r="AK657" s="77"/>
      <c r="AL657" s="77"/>
      <c r="AM657" s="77"/>
      <c r="AN657" s="77"/>
    </row>
    <row r="658" customFormat="false" ht="12.75" hidden="false" customHeight="false" outlineLevel="0" collapsed="false">
      <c r="AJ658" s="77"/>
      <c r="AK658" s="77"/>
      <c r="AL658" s="77"/>
      <c r="AM658" s="77"/>
      <c r="AN658" s="77"/>
    </row>
    <row r="659" customFormat="false" ht="12.75" hidden="false" customHeight="false" outlineLevel="0" collapsed="false">
      <c r="AJ659" s="77"/>
      <c r="AK659" s="77"/>
      <c r="AL659" s="77"/>
      <c r="AM659" s="77"/>
      <c r="AN659" s="77"/>
    </row>
    <row r="660" customFormat="false" ht="12.75" hidden="false" customHeight="false" outlineLevel="0" collapsed="false">
      <c r="AJ660" s="77"/>
      <c r="AK660" s="77"/>
      <c r="AL660" s="77"/>
      <c r="AM660" s="77"/>
      <c r="AN660" s="77"/>
    </row>
    <row r="661" customFormat="false" ht="12.75" hidden="false" customHeight="false" outlineLevel="0" collapsed="false">
      <c r="AJ661" s="77"/>
      <c r="AK661" s="77"/>
      <c r="AL661" s="77"/>
      <c r="AM661" s="77"/>
      <c r="AN661" s="77"/>
    </row>
    <row r="662" customFormat="false" ht="12.75" hidden="false" customHeight="false" outlineLevel="0" collapsed="false">
      <c r="AJ662" s="77"/>
      <c r="AK662" s="77"/>
      <c r="AL662" s="77"/>
      <c r="AM662" s="77"/>
      <c r="AN662" s="77"/>
    </row>
    <row r="663" customFormat="false" ht="12.75" hidden="false" customHeight="false" outlineLevel="0" collapsed="false">
      <c r="AJ663" s="77"/>
      <c r="AK663" s="77"/>
      <c r="AL663" s="77"/>
      <c r="AM663" s="77"/>
      <c r="AN663" s="77"/>
    </row>
    <row r="664" customFormat="false" ht="12.75" hidden="false" customHeight="false" outlineLevel="0" collapsed="false">
      <c r="AJ664" s="77"/>
      <c r="AK664" s="77"/>
      <c r="AL664" s="77"/>
      <c r="AM664" s="77"/>
      <c r="AN664" s="77"/>
    </row>
    <row r="665" customFormat="false" ht="12.75" hidden="false" customHeight="false" outlineLevel="0" collapsed="false">
      <c r="AJ665" s="77"/>
      <c r="AK665" s="77"/>
      <c r="AL665" s="77"/>
      <c r="AM665" s="77"/>
      <c r="AN665" s="77"/>
    </row>
    <row r="666" customFormat="false" ht="12.75" hidden="false" customHeight="false" outlineLevel="0" collapsed="false">
      <c r="AJ666" s="77"/>
      <c r="AK666" s="77"/>
      <c r="AL666" s="77"/>
      <c r="AM666" s="77"/>
      <c r="AN666" s="77"/>
    </row>
    <row r="667" customFormat="false" ht="12.75" hidden="false" customHeight="false" outlineLevel="0" collapsed="false">
      <c r="AJ667" s="77"/>
      <c r="AK667" s="77"/>
      <c r="AL667" s="77"/>
      <c r="AM667" s="77"/>
      <c r="AN667" s="77"/>
    </row>
    <row r="668" customFormat="false" ht="12.75" hidden="false" customHeight="false" outlineLevel="0" collapsed="false">
      <c r="AJ668" s="77"/>
      <c r="AK668" s="77"/>
      <c r="AL668" s="77"/>
      <c r="AM668" s="77"/>
      <c r="AN668" s="77"/>
    </row>
    <row r="669" customFormat="false" ht="12.75" hidden="false" customHeight="false" outlineLevel="0" collapsed="false">
      <c r="AJ669" s="77"/>
      <c r="AK669" s="77"/>
      <c r="AL669" s="77"/>
      <c r="AM669" s="77"/>
      <c r="AN669" s="77"/>
    </row>
    <row r="670" customFormat="false" ht="12.75" hidden="false" customHeight="false" outlineLevel="0" collapsed="false">
      <c r="AJ670" s="77"/>
      <c r="AK670" s="77"/>
      <c r="AL670" s="77"/>
      <c r="AM670" s="77"/>
      <c r="AN670" s="77"/>
    </row>
    <row r="671" customFormat="false" ht="12.75" hidden="false" customHeight="false" outlineLevel="0" collapsed="false">
      <c r="AJ671" s="77"/>
      <c r="AK671" s="77"/>
      <c r="AL671" s="77"/>
      <c r="AM671" s="77"/>
      <c r="AN671" s="77"/>
    </row>
    <row r="672" customFormat="false" ht="12.75" hidden="false" customHeight="false" outlineLevel="0" collapsed="false">
      <c r="AJ672" s="77"/>
      <c r="AK672" s="77"/>
      <c r="AL672" s="77"/>
      <c r="AM672" s="77"/>
      <c r="AN672" s="77"/>
    </row>
    <row r="673" customFormat="false" ht="12.75" hidden="false" customHeight="false" outlineLevel="0" collapsed="false">
      <c r="AJ673" s="77"/>
      <c r="AK673" s="77"/>
      <c r="AL673" s="77"/>
      <c r="AM673" s="77"/>
      <c r="AN673" s="77"/>
    </row>
    <row r="674" customFormat="false" ht="12.75" hidden="false" customHeight="false" outlineLevel="0" collapsed="false">
      <c r="AJ674" s="77"/>
      <c r="AK674" s="77"/>
      <c r="AL674" s="77"/>
      <c r="AM674" s="77"/>
      <c r="AN674" s="77"/>
    </row>
    <row r="675" customFormat="false" ht="12.75" hidden="false" customHeight="false" outlineLevel="0" collapsed="false">
      <c r="AJ675" s="77"/>
      <c r="AK675" s="77"/>
      <c r="AL675" s="77"/>
      <c r="AM675" s="77"/>
      <c r="AN675" s="77"/>
    </row>
    <row r="676" customFormat="false" ht="12.75" hidden="false" customHeight="false" outlineLevel="0" collapsed="false">
      <c r="AJ676" s="77"/>
      <c r="AK676" s="77"/>
      <c r="AL676" s="77"/>
      <c r="AM676" s="77"/>
      <c r="AN676" s="77"/>
    </row>
    <row r="677" customFormat="false" ht="12.75" hidden="false" customHeight="false" outlineLevel="0" collapsed="false">
      <c r="AJ677" s="77"/>
      <c r="AK677" s="77"/>
      <c r="AL677" s="77"/>
      <c r="AM677" s="77"/>
      <c r="AN677" s="77"/>
    </row>
    <row r="678" customFormat="false" ht="12.75" hidden="false" customHeight="false" outlineLevel="0" collapsed="false">
      <c r="AJ678" s="77"/>
      <c r="AK678" s="77"/>
      <c r="AL678" s="77"/>
      <c r="AM678" s="77"/>
      <c r="AN678" s="77"/>
    </row>
    <row r="679" customFormat="false" ht="12.75" hidden="false" customHeight="false" outlineLevel="0" collapsed="false">
      <c r="AJ679" s="77"/>
      <c r="AK679" s="77"/>
      <c r="AL679" s="77"/>
      <c r="AM679" s="77"/>
      <c r="AN679" s="77"/>
    </row>
    <row r="680" customFormat="false" ht="12.75" hidden="false" customHeight="false" outlineLevel="0" collapsed="false">
      <c r="AJ680" s="77"/>
      <c r="AK680" s="77"/>
      <c r="AL680" s="77"/>
      <c r="AM680" s="77"/>
      <c r="AN680" s="77"/>
    </row>
    <row r="681" customFormat="false" ht="12.75" hidden="false" customHeight="false" outlineLevel="0" collapsed="false">
      <c r="AJ681" s="77"/>
      <c r="AK681" s="77"/>
      <c r="AL681" s="77"/>
      <c r="AM681" s="77"/>
      <c r="AN681" s="77"/>
    </row>
    <row r="682" customFormat="false" ht="12.75" hidden="false" customHeight="false" outlineLevel="0" collapsed="false">
      <c r="AJ682" s="77"/>
      <c r="AK682" s="77"/>
      <c r="AL682" s="77"/>
      <c r="AM682" s="77"/>
      <c r="AN682" s="77"/>
    </row>
    <row r="683" customFormat="false" ht="12.75" hidden="false" customHeight="false" outlineLevel="0" collapsed="false">
      <c r="AJ683" s="77"/>
      <c r="AK683" s="77"/>
      <c r="AL683" s="77"/>
      <c r="AM683" s="77"/>
      <c r="AN683" s="77"/>
    </row>
    <row r="684" customFormat="false" ht="12.75" hidden="false" customHeight="false" outlineLevel="0" collapsed="false">
      <c r="AJ684" s="77"/>
      <c r="AK684" s="77"/>
      <c r="AL684" s="77"/>
      <c r="AM684" s="77"/>
      <c r="AN684" s="77"/>
    </row>
    <row r="685" customFormat="false" ht="12.75" hidden="false" customHeight="false" outlineLevel="0" collapsed="false">
      <c r="AJ685" s="77"/>
      <c r="AK685" s="77"/>
      <c r="AL685" s="77"/>
      <c r="AM685" s="77"/>
      <c r="AN685" s="77"/>
    </row>
    <row r="686" customFormat="false" ht="12.75" hidden="false" customHeight="false" outlineLevel="0" collapsed="false">
      <c r="AJ686" s="77"/>
      <c r="AK686" s="77"/>
      <c r="AL686" s="77"/>
      <c r="AM686" s="77"/>
      <c r="AN686" s="77"/>
    </row>
    <row r="687" customFormat="false" ht="12.75" hidden="false" customHeight="false" outlineLevel="0" collapsed="false">
      <c r="AJ687" s="77"/>
      <c r="AK687" s="77"/>
      <c r="AL687" s="77"/>
      <c r="AM687" s="77"/>
      <c r="AN687" s="77"/>
    </row>
    <row r="688" customFormat="false" ht="12.75" hidden="false" customHeight="false" outlineLevel="0" collapsed="false">
      <c r="AJ688" s="77"/>
      <c r="AK688" s="77"/>
      <c r="AL688" s="77"/>
      <c r="AM688" s="77"/>
      <c r="AN688" s="77"/>
    </row>
    <row r="689" customFormat="false" ht="12.75" hidden="false" customHeight="false" outlineLevel="0" collapsed="false">
      <c r="AJ689" s="77"/>
      <c r="AK689" s="77"/>
      <c r="AL689" s="77"/>
      <c r="AM689" s="77"/>
      <c r="AN689" s="77"/>
    </row>
    <row r="690" customFormat="false" ht="12.75" hidden="false" customHeight="false" outlineLevel="0" collapsed="false">
      <c r="AJ690" s="77"/>
      <c r="AK690" s="77"/>
      <c r="AL690" s="77"/>
      <c r="AM690" s="77"/>
      <c r="AN690" s="77"/>
    </row>
    <row r="691" customFormat="false" ht="12.75" hidden="false" customHeight="false" outlineLevel="0" collapsed="false">
      <c r="AJ691" s="77"/>
      <c r="AK691" s="77"/>
      <c r="AL691" s="77"/>
      <c r="AM691" s="77"/>
      <c r="AN691" s="77"/>
    </row>
    <row r="692" customFormat="false" ht="12.75" hidden="false" customHeight="false" outlineLevel="0" collapsed="false">
      <c r="AJ692" s="77"/>
      <c r="AK692" s="77"/>
      <c r="AL692" s="77"/>
      <c r="AM692" s="77"/>
      <c r="AN692" s="77"/>
    </row>
    <row r="693" customFormat="false" ht="12.75" hidden="false" customHeight="false" outlineLevel="0" collapsed="false">
      <c r="AJ693" s="77"/>
      <c r="AK693" s="77"/>
      <c r="AL693" s="77"/>
      <c r="AM693" s="77"/>
      <c r="AN693" s="77"/>
    </row>
    <row r="694" customFormat="false" ht="12.75" hidden="false" customHeight="false" outlineLevel="0" collapsed="false">
      <c r="AJ694" s="77"/>
      <c r="AK694" s="77"/>
      <c r="AL694" s="77"/>
      <c r="AM694" s="77"/>
      <c r="AN694" s="77"/>
    </row>
    <row r="695" customFormat="false" ht="12.75" hidden="false" customHeight="false" outlineLevel="0" collapsed="false">
      <c r="AJ695" s="77"/>
      <c r="AK695" s="77"/>
      <c r="AL695" s="77"/>
      <c r="AM695" s="77"/>
      <c r="AN695" s="77"/>
    </row>
    <row r="696" customFormat="false" ht="12.75" hidden="false" customHeight="false" outlineLevel="0" collapsed="false">
      <c r="AJ696" s="77"/>
      <c r="AK696" s="77"/>
      <c r="AL696" s="77"/>
      <c r="AM696" s="77"/>
      <c r="AN696" s="77"/>
    </row>
    <row r="697" customFormat="false" ht="12.75" hidden="false" customHeight="false" outlineLevel="0" collapsed="false">
      <c r="AJ697" s="77"/>
      <c r="AK697" s="77"/>
      <c r="AL697" s="77"/>
      <c r="AM697" s="77"/>
      <c r="AN697" s="77"/>
    </row>
    <row r="698" customFormat="false" ht="12.75" hidden="false" customHeight="false" outlineLevel="0" collapsed="false">
      <c r="AJ698" s="77"/>
      <c r="AK698" s="77"/>
      <c r="AL698" s="77"/>
      <c r="AM698" s="77"/>
      <c r="AN698" s="77"/>
    </row>
    <row r="699" customFormat="false" ht="12.75" hidden="false" customHeight="false" outlineLevel="0" collapsed="false">
      <c r="AJ699" s="77"/>
      <c r="AK699" s="77"/>
      <c r="AL699" s="77"/>
      <c r="AM699" s="77"/>
      <c r="AN699" s="77"/>
    </row>
    <row r="700" customFormat="false" ht="12.75" hidden="false" customHeight="false" outlineLevel="0" collapsed="false">
      <c r="AJ700" s="77"/>
      <c r="AK700" s="77"/>
      <c r="AL700" s="77"/>
      <c r="AM700" s="77"/>
      <c r="AN700" s="77"/>
    </row>
    <row r="701" customFormat="false" ht="12.75" hidden="false" customHeight="false" outlineLevel="0" collapsed="false">
      <c r="AJ701" s="77"/>
      <c r="AK701" s="77"/>
      <c r="AL701" s="77"/>
      <c r="AM701" s="77"/>
      <c r="AN701" s="77"/>
    </row>
    <row r="702" customFormat="false" ht="12.75" hidden="false" customHeight="false" outlineLevel="0" collapsed="false">
      <c r="AJ702" s="77"/>
      <c r="AK702" s="77"/>
      <c r="AL702" s="77"/>
      <c r="AM702" s="77"/>
      <c r="AN702" s="77"/>
    </row>
    <row r="703" customFormat="false" ht="12.75" hidden="false" customHeight="false" outlineLevel="0" collapsed="false">
      <c r="AJ703" s="77"/>
      <c r="AK703" s="77"/>
      <c r="AL703" s="77"/>
      <c r="AM703" s="77"/>
      <c r="AN703" s="77"/>
    </row>
    <row r="704" customFormat="false" ht="12.75" hidden="false" customHeight="false" outlineLevel="0" collapsed="false">
      <c r="AJ704" s="77"/>
      <c r="AK704" s="77"/>
      <c r="AL704" s="77"/>
      <c r="AM704" s="77"/>
      <c r="AN704" s="77"/>
    </row>
    <row r="705" customFormat="false" ht="12.75" hidden="false" customHeight="false" outlineLevel="0" collapsed="false">
      <c r="AJ705" s="77"/>
      <c r="AK705" s="77"/>
      <c r="AL705" s="77"/>
      <c r="AM705" s="77"/>
      <c r="AN705" s="77"/>
    </row>
    <row r="706" customFormat="false" ht="12.75" hidden="false" customHeight="false" outlineLevel="0" collapsed="false">
      <c r="AJ706" s="77"/>
      <c r="AK706" s="77"/>
      <c r="AL706" s="77"/>
      <c r="AM706" s="77"/>
      <c r="AN706" s="77"/>
    </row>
    <row r="707" customFormat="false" ht="12.75" hidden="false" customHeight="false" outlineLevel="0" collapsed="false">
      <c r="AJ707" s="77"/>
      <c r="AK707" s="77"/>
      <c r="AL707" s="77"/>
      <c r="AM707" s="77"/>
      <c r="AN707" s="77"/>
    </row>
    <row r="708" customFormat="false" ht="12.75" hidden="false" customHeight="false" outlineLevel="0" collapsed="false">
      <c r="AJ708" s="77"/>
      <c r="AK708" s="77"/>
      <c r="AL708" s="77"/>
      <c r="AM708" s="77"/>
      <c r="AN708" s="77"/>
    </row>
    <row r="709" customFormat="false" ht="12.75" hidden="false" customHeight="false" outlineLevel="0" collapsed="false">
      <c r="AJ709" s="77"/>
      <c r="AK709" s="77"/>
      <c r="AL709" s="77"/>
      <c r="AM709" s="77"/>
      <c r="AN709" s="77"/>
    </row>
    <row r="710" customFormat="false" ht="12.75" hidden="false" customHeight="false" outlineLevel="0" collapsed="false">
      <c r="AJ710" s="77"/>
      <c r="AK710" s="77"/>
      <c r="AL710" s="77"/>
      <c r="AM710" s="77"/>
      <c r="AN710" s="77"/>
    </row>
    <row r="711" customFormat="false" ht="12.75" hidden="false" customHeight="false" outlineLevel="0" collapsed="false">
      <c r="AJ711" s="77"/>
      <c r="AK711" s="77"/>
      <c r="AL711" s="77"/>
      <c r="AM711" s="77"/>
      <c r="AN711" s="77"/>
    </row>
    <row r="712" customFormat="false" ht="12.75" hidden="false" customHeight="false" outlineLevel="0" collapsed="false">
      <c r="AJ712" s="77"/>
      <c r="AK712" s="77"/>
      <c r="AL712" s="77"/>
      <c r="AM712" s="77"/>
      <c r="AN712" s="77"/>
    </row>
    <row r="713" customFormat="false" ht="12.75" hidden="false" customHeight="false" outlineLevel="0" collapsed="false">
      <c r="AJ713" s="77"/>
      <c r="AK713" s="77"/>
      <c r="AL713" s="77"/>
      <c r="AM713" s="77"/>
      <c r="AN713" s="77"/>
    </row>
    <row r="714" customFormat="false" ht="12.75" hidden="false" customHeight="false" outlineLevel="0" collapsed="false">
      <c r="AJ714" s="77"/>
      <c r="AK714" s="77"/>
      <c r="AL714" s="77"/>
      <c r="AM714" s="77"/>
      <c r="AN714" s="77"/>
    </row>
    <row r="715" customFormat="false" ht="12.75" hidden="false" customHeight="false" outlineLevel="0" collapsed="false">
      <c r="AJ715" s="77"/>
      <c r="AK715" s="77"/>
      <c r="AL715" s="77"/>
      <c r="AM715" s="77"/>
      <c r="AN715" s="77"/>
    </row>
    <row r="716" customFormat="false" ht="12.75" hidden="false" customHeight="false" outlineLevel="0" collapsed="false">
      <c r="AJ716" s="77"/>
      <c r="AK716" s="77"/>
      <c r="AL716" s="77"/>
      <c r="AM716" s="77"/>
      <c r="AN716" s="77"/>
    </row>
    <row r="717" customFormat="false" ht="12.75" hidden="false" customHeight="false" outlineLevel="0" collapsed="false">
      <c r="AJ717" s="77"/>
      <c r="AK717" s="77"/>
      <c r="AL717" s="77"/>
      <c r="AM717" s="77"/>
      <c r="AN717" s="77"/>
    </row>
    <row r="718" customFormat="false" ht="12.75" hidden="false" customHeight="false" outlineLevel="0" collapsed="false">
      <c r="AJ718" s="77"/>
      <c r="AK718" s="77"/>
      <c r="AL718" s="77"/>
      <c r="AM718" s="77"/>
      <c r="AN718" s="77"/>
    </row>
    <row r="719" customFormat="false" ht="12.75" hidden="false" customHeight="false" outlineLevel="0" collapsed="false">
      <c r="AJ719" s="77"/>
      <c r="AK719" s="77"/>
      <c r="AL719" s="77"/>
      <c r="AM719" s="77"/>
      <c r="AN719" s="77"/>
    </row>
    <row r="720" customFormat="false" ht="12.75" hidden="false" customHeight="false" outlineLevel="0" collapsed="false">
      <c r="AJ720" s="77"/>
      <c r="AK720" s="77"/>
      <c r="AL720" s="77"/>
      <c r="AM720" s="77"/>
      <c r="AN720" s="77"/>
    </row>
    <row r="721" customFormat="false" ht="12.75" hidden="false" customHeight="false" outlineLevel="0" collapsed="false">
      <c r="AJ721" s="77"/>
      <c r="AK721" s="77"/>
      <c r="AL721" s="77"/>
      <c r="AM721" s="77"/>
      <c r="AN721" s="77"/>
    </row>
    <row r="722" customFormat="false" ht="12.75" hidden="false" customHeight="false" outlineLevel="0" collapsed="false">
      <c r="AJ722" s="77"/>
      <c r="AK722" s="77"/>
      <c r="AL722" s="77"/>
      <c r="AM722" s="77"/>
      <c r="AN722" s="77"/>
    </row>
  </sheetData>
  <printOptions headings="false" gridLines="false" gridLinesSet="true" horizontalCentered="false" verticalCentered="false"/>
  <pageMargins left="0.270138888888889" right="0.329861111111111" top="0.984027777777778" bottom="0.984027777777778" header="0.511811023622047" footer="0.511811023622047"/>
  <pageSetup paperSize="5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H722"/>
  <sheetViews>
    <sheetView showFormulas="false" showGridLines="false" showRowColHeaders="true" showZeros="true" rightToLeft="false" tabSelected="false" showOutlineSymbols="true" defaultGridColor="true" view="normal" topLeftCell="N1" colorId="64" zoomScale="80" zoomScaleNormal="80" zoomScalePageLayoutView="100" workbookViewId="0">
      <selection pane="topLeft" activeCell="AH8" activeCellId="0" sqref="AH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3" min="3" style="21" width="5.13"/>
    <col collapsed="false" customWidth="true" hidden="false" outlineLevel="0" max="4" min="4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8" min="8" style="21" width="14.56"/>
    <col collapsed="false" customWidth="true" hidden="false" outlineLevel="0" max="9" min="9" style="21" width="9.99"/>
    <col collapsed="false" customWidth="true" hidden="false" outlineLevel="0" max="10" min="10" style="21" width="20.13"/>
    <col collapsed="false" customWidth="true" hidden="false" outlineLevel="0" max="11" min="11" style="21" width="17.85"/>
    <col collapsed="false" customWidth="true" hidden="false" outlineLevel="0" max="12" min="12" style="21" width="19.14"/>
    <col collapsed="false" customWidth="true" hidden="false" outlineLevel="0" max="13" min="13" style="21" width="14.99"/>
    <col collapsed="false" customWidth="true" hidden="false" outlineLevel="0" max="14" min="14" style="21" width="1.41"/>
    <col collapsed="false" customWidth="true" hidden="false" outlineLevel="0" max="15" min="15" style="21" width="14.99"/>
    <col collapsed="false" customWidth="true" hidden="false" outlineLevel="0" max="16" min="16" style="21" width="16.84"/>
    <col collapsed="false" customWidth="true" hidden="false" outlineLevel="0" max="17" min="17" style="21" width="2.99"/>
    <col collapsed="false" customWidth="true" hidden="false" outlineLevel="0" max="18" min="18" style="21" width="20.13"/>
    <col collapsed="false" customWidth="true" hidden="false" outlineLevel="0" max="19" min="19" style="21" width="17.85"/>
    <col collapsed="false" customWidth="true" hidden="false" outlineLevel="0" max="20" min="20" style="21" width="21.56"/>
    <col collapsed="false" customWidth="true" hidden="false" outlineLevel="0" max="21" min="21" style="21" width="14.99"/>
    <col collapsed="false" customWidth="true" hidden="false" outlineLevel="0" max="22" min="22" style="21" width="10.71"/>
    <col collapsed="false" customWidth="true" hidden="false" outlineLevel="0" max="23" min="23" style="21" width="14.99"/>
    <col collapsed="false" customWidth="true" hidden="false" outlineLevel="0" max="24" min="24" style="21" width="16.84"/>
    <col collapsed="false" customWidth="true" hidden="false" outlineLevel="0" max="25" min="25" style="21" width="1.99"/>
    <col collapsed="false" customWidth="true" hidden="false" outlineLevel="0" max="26" min="26" style="137" width="15.56"/>
    <col collapsed="false" customWidth="true" hidden="false" outlineLevel="0" max="27" min="27" style="137" width="20.28"/>
    <col collapsed="false" customWidth="true" hidden="false" outlineLevel="0" max="28" min="28" style="137" width="15.28"/>
    <col collapsed="false" customWidth="true" hidden="false" outlineLevel="0" max="29" min="29" style="137" width="20.28"/>
    <col collapsed="false" customWidth="true" hidden="false" outlineLevel="0" max="31" min="30" style="137" width="15.7"/>
    <col collapsed="false" customWidth="true" hidden="false" outlineLevel="0" max="32" min="32" style="137" width="17.56"/>
    <col collapsed="false" customWidth="true" hidden="false" outlineLevel="0" max="33" min="33" style="137" width="12.99"/>
    <col collapsed="false" customWidth="true" hidden="false" outlineLevel="0" max="34" min="34" style="137" width="14.14"/>
    <col collapsed="false" customWidth="true" hidden="false" outlineLevel="0" max="35" min="35" style="137" width="16.7"/>
    <col collapsed="false" customWidth="true" hidden="false" outlineLevel="0" max="36" min="36" style="21" width="12.56"/>
    <col collapsed="false" customWidth="true" hidden="false" outlineLevel="0" max="37" min="37" style="21" width="10.71"/>
    <col collapsed="false" customWidth="true" hidden="false" outlineLevel="0" max="38" min="38" style="21" width="12.28"/>
    <col collapsed="false" customWidth="false" hidden="false" outlineLevel="0" max="40" min="39" style="21" width="9.14"/>
    <col collapsed="false" customWidth="true" hidden="false" outlineLevel="0" max="41" min="41" style="137" width="8.28"/>
    <col collapsed="false" customWidth="true" hidden="false" outlineLevel="0" max="43" min="42" style="137" width="8.56"/>
    <col collapsed="false" customWidth="true" hidden="false" outlineLevel="0" max="44" min="44" style="137" width="11.7"/>
    <col collapsed="false" customWidth="true" hidden="false" outlineLevel="0" max="45" min="45" style="137" width="10.28"/>
    <col collapsed="false" customWidth="true" hidden="false" outlineLevel="0" max="46" min="46" style="137" width="7.56"/>
    <col collapsed="false" customWidth="true" hidden="false" outlineLevel="0" max="47" min="47" style="137" width="6.41"/>
    <col collapsed="false" customWidth="true" hidden="false" outlineLevel="0" max="48" min="48" style="21" width="1.41"/>
    <col collapsed="false" customWidth="true" hidden="false" outlineLevel="0" max="49" min="49" style="138" width="14.28"/>
    <col collapsed="false" customWidth="true" hidden="false" outlineLevel="0" max="51" min="50" style="21" width="14.28"/>
    <col collapsed="false" customWidth="false" hidden="false" outlineLevel="0" max="52" min="52" style="21" width="9.14"/>
    <col collapsed="false" customWidth="true" hidden="false" outlineLevel="0" max="53" min="53" style="21" width="14.28"/>
    <col collapsed="false" customWidth="false" hidden="false" outlineLevel="0" max="54" min="54" style="21" width="9.14"/>
    <col collapsed="false" customWidth="true" hidden="false" outlineLevel="0" max="55" min="55" style="21" width="7.85"/>
    <col collapsed="false" customWidth="false" hidden="false" outlineLevel="0" max="257" min="56" style="21" width="9.14"/>
  </cols>
  <sheetData>
    <row r="1" customFormat="false" ht="13.5" hidden="false" customHeight="false" outlineLevel="0" collapsed="false">
      <c r="A1" s="139" t="s">
        <v>114</v>
      </c>
      <c r="C1" s="140"/>
      <c r="D1" s="140" t="s">
        <v>115</v>
      </c>
      <c r="E1" s="141" t="n">
        <f aca="false">Summary!D10</f>
        <v>45926</v>
      </c>
      <c r="H1" s="142" t="s">
        <v>116</v>
      </c>
      <c r="I1" s="143" t="s">
        <v>117</v>
      </c>
      <c r="J1" s="142" t="s">
        <v>118</v>
      </c>
      <c r="K1" s="143" t="s">
        <v>119</v>
      </c>
      <c r="R1" s="142" t="s">
        <v>118</v>
      </c>
      <c r="S1" s="143" t="s">
        <v>119</v>
      </c>
      <c r="Z1" s="144" t="str">
        <f aca="false">Summary!J10</f>
        <v>NG_OMICRON_11</v>
      </c>
      <c r="AA1" s="144" t="str">
        <f aca="false">Summary!L10</f>
        <v>CGPR-DAWN</v>
      </c>
      <c r="AC1" s="144" t="str">
        <f aca="false">Summary!I10</f>
        <v>NG_OMICRON_11</v>
      </c>
      <c r="AD1" s="144" t="str">
        <f aca="false">Summary!K10</f>
        <v>CGPR-DAWN</v>
      </c>
      <c r="AJ1" s="83"/>
    </row>
    <row r="2" customFormat="false" ht="12.75" hidden="false" customHeight="false" outlineLevel="0" collapsed="false">
      <c r="A2" s="142" t="s">
        <v>120</v>
      </c>
      <c r="B2" s="145" t="s">
        <v>121</v>
      </c>
      <c r="C2" s="145"/>
      <c r="D2" s="146" t="s">
        <v>122</v>
      </c>
      <c r="E2" s="145" t="s">
        <v>98</v>
      </c>
      <c r="F2" s="145" t="s">
        <v>123</v>
      </c>
      <c r="G2" s="145" t="s">
        <v>124</v>
      </c>
      <c r="H2" s="147" t="s">
        <v>125</v>
      </c>
      <c r="I2" s="148" t="s">
        <v>126</v>
      </c>
      <c r="J2" s="149" t="s">
        <v>127</v>
      </c>
      <c r="K2" s="148" t="s">
        <v>127</v>
      </c>
      <c r="R2" s="149" t="s">
        <v>128</v>
      </c>
      <c r="S2" s="148" t="str">
        <f aca="false">R2</f>
        <v>Receipt Pt</v>
      </c>
      <c r="AI2" s="137" t="s">
        <v>129</v>
      </c>
      <c r="AJ2" s="21" t="n">
        <v>1</v>
      </c>
    </row>
    <row r="3" customFormat="false" ht="13.5" hidden="false" customHeight="false" outlineLevel="0" collapsed="false">
      <c r="A3" s="150" t="n">
        <f aca="false">Summary!E10</f>
        <v>37043</v>
      </c>
      <c r="B3" s="151" t="n">
        <f aca="false">Summary!F10</f>
        <v>42094</v>
      </c>
      <c r="C3" s="152"/>
      <c r="D3" s="152" t="n">
        <f aca="false">Summary!C10</f>
        <v>37025</v>
      </c>
      <c r="E3" s="153" t="str">
        <f aca="false">CONCATENATE(INT(AT8/12)," Y - ",AT8-INT(AT8/12)*12," M")</f>
        <v>13 Y - 10 M</v>
      </c>
      <c r="F3" s="154" t="n">
        <v>2</v>
      </c>
      <c r="G3" s="154" t="n">
        <v>1</v>
      </c>
      <c r="H3" s="155" t="n">
        <v>1</v>
      </c>
      <c r="I3" s="156" t="n">
        <f aca="false">Summary!P10</f>
        <v>0</v>
      </c>
      <c r="J3" s="157" t="str">
        <f aca="false">Summary!H10</f>
        <v>CGPR-ST.CLAIR</v>
      </c>
      <c r="K3" s="156" t="str">
        <f aca="false">J3</f>
        <v>CGPR-ST.CLAIR</v>
      </c>
      <c r="R3" s="157" t="str">
        <f aca="false">Summary!G10</f>
        <v>ML7/CG</v>
      </c>
      <c r="S3" s="156" t="str">
        <f aca="false">R3</f>
        <v>ML7/CG</v>
      </c>
      <c r="Z3" s="219" t="s">
        <v>130</v>
      </c>
      <c r="AA3" s="220" t="s">
        <v>130</v>
      </c>
      <c r="AB3" s="221" t="s">
        <v>130</v>
      </c>
      <c r="AC3" s="219" t="s">
        <v>131</v>
      </c>
      <c r="AD3" s="220" t="s">
        <v>131</v>
      </c>
      <c r="AE3" s="221" t="s">
        <v>131</v>
      </c>
    </row>
    <row r="4" customFormat="false" ht="12.75" hidden="false" customHeight="false" outlineLevel="0" collapsed="false">
      <c r="A4" s="158"/>
      <c r="B4" s="158"/>
      <c r="C4" s="158"/>
      <c r="D4" s="158" t="s">
        <v>132</v>
      </c>
      <c r="E4" s="158" t="s">
        <v>93</v>
      </c>
      <c r="F4" s="158" t="s">
        <v>94</v>
      </c>
      <c r="G4" s="159" t="s">
        <v>133</v>
      </c>
      <c r="H4" s="160"/>
      <c r="I4" s="158"/>
      <c r="J4" s="159" t="str">
        <f aca="false">CONCATENATE(J3,"-","D")</f>
        <v>CGPR-ST.CLAIR-D</v>
      </c>
      <c r="K4" s="160" t="str">
        <f aca="false">J3</f>
        <v>CGPR-ST.CLAIR</v>
      </c>
      <c r="L4" s="159" t="str">
        <f aca="false">CONCATENATE(K3,"-","I")</f>
        <v>CGPR-ST.CLAIR-I</v>
      </c>
      <c r="M4" s="160" t="str">
        <f aca="false">K3</f>
        <v>CGPR-ST.CLAIR</v>
      </c>
      <c r="O4" s="160" t="str">
        <f aca="false">K4</f>
        <v>CGPR-ST.CLAIR</v>
      </c>
      <c r="P4" s="160" t="str">
        <f aca="false">J4</f>
        <v>CGPR-ST.CLAIR-D</v>
      </c>
      <c r="Q4" s="158"/>
      <c r="R4" s="159" t="str">
        <f aca="false">CONCATENATE(R3,"-","D")</f>
        <v>ML7/CG-D</v>
      </c>
      <c r="S4" s="160" t="str">
        <f aca="false">R3</f>
        <v>ML7/CG</v>
      </c>
      <c r="T4" s="159" t="str">
        <f aca="false">CONCATENATE(S3,"-","I")</f>
        <v>ML7/CG-I</v>
      </c>
      <c r="U4" s="160" t="str">
        <f aca="false">S3</f>
        <v>ML7/CG</v>
      </c>
      <c r="V4" s="160" t="s">
        <v>134</v>
      </c>
      <c r="W4" s="160" t="str">
        <f aca="false">S4</f>
        <v>ML7/CG</v>
      </c>
      <c r="X4" s="160" t="str">
        <f aca="false">R4</f>
        <v>ML7/CG-D</v>
      </c>
      <c r="Z4" s="161" t="str">
        <f aca="false">IF(Z1="NG",CONCATENATE(Z1,"-","VO"),CONCATENATE(Z1,"-","P"))</f>
        <v>NG_OMICRON_11-P</v>
      </c>
      <c r="AA4" s="162" t="str">
        <f aca="false">IF(AA1="NG",CONCATENATE(AA1,"-","VO"),CONCATENATE(AA1,"-","P"))</f>
        <v>CGPR-DAWN-P</v>
      </c>
      <c r="AB4" s="162" t="s">
        <v>135</v>
      </c>
      <c r="AC4" s="161" t="str">
        <f aca="false">IF(AC1="NG",CONCATENATE(AC1,"-","VO"),CONCATENATE(AC1,"-","P"))</f>
        <v>NG_OMICRON_11-P</v>
      </c>
      <c r="AD4" s="162" t="str">
        <f aca="false">IF(AD1="NG",CONCATENATE(AD1,"-","VO"),CONCATENATE(AD1,"-","P"))</f>
        <v>CGPR-DAWN-P</v>
      </c>
      <c r="AE4" s="163" t="s">
        <v>136</v>
      </c>
      <c r="AF4" s="160" t="str">
        <f aca="false">J3</f>
        <v>CGPR-ST.CLAIR</v>
      </c>
      <c r="AG4" s="160" t="s">
        <v>81</v>
      </c>
      <c r="AH4" s="160" t="s">
        <v>167</v>
      </c>
      <c r="AI4" s="160" t="s">
        <v>81</v>
      </c>
      <c r="AJ4" s="160"/>
      <c r="AK4" s="160"/>
      <c r="AL4" s="160"/>
      <c r="AM4" s="160"/>
      <c r="AN4" s="160"/>
      <c r="AO4" s="164"/>
      <c r="AP4" s="164"/>
      <c r="AQ4" s="164" t="s">
        <v>137</v>
      </c>
      <c r="AR4" s="159" t="s">
        <v>138</v>
      </c>
      <c r="AS4" s="164"/>
      <c r="AT4" s="164"/>
      <c r="AU4" s="164"/>
      <c r="AW4" s="164"/>
      <c r="AX4" s="164" t="s">
        <v>139</v>
      </c>
      <c r="AY4" s="164"/>
      <c r="BA4" s="164"/>
      <c r="BC4" s="165" t="s">
        <v>140</v>
      </c>
    </row>
    <row r="5" customFormat="false" ht="12.75" hidden="false" customHeight="false" outlineLevel="0" collapsed="false">
      <c r="A5" s="158" t="s">
        <v>141</v>
      </c>
      <c r="B5" s="158" t="s">
        <v>32</v>
      </c>
      <c r="C5" s="158"/>
      <c r="D5" s="158" t="s">
        <v>32</v>
      </c>
      <c r="E5" s="158" t="s">
        <v>32</v>
      </c>
      <c r="F5" s="158" t="s">
        <v>32</v>
      </c>
      <c r="G5" s="158" t="s">
        <v>142</v>
      </c>
      <c r="H5" s="158" t="s">
        <v>142</v>
      </c>
      <c r="I5" s="158"/>
      <c r="J5" s="158" t="s">
        <v>118</v>
      </c>
      <c r="K5" s="158" t="s">
        <v>118</v>
      </c>
      <c r="L5" s="158" t="s">
        <v>119</v>
      </c>
      <c r="M5" s="158" t="s">
        <v>119</v>
      </c>
      <c r="O5" s="158" t="s">
        <v>97</v>
      </c>
      <c r="P5" s="158" t="s">
        <v>97</v>
      </c>
      <c r="Q5" s="158"/>
      <c r="R5" s="158" t="s">
        <v>118</v>
      </c>
      <c r="S5" s="158" t="s">
        <v>118</v>
      </c>
      <c r="T5" s="158" t="s">
        <v>119</v>
      </c>
      <c r="U5" s="158" t="s">
        <v>119</v>
      </c>
      <c r="V5" s="158" t="s">
        <v>101</v>
      </c>
      <c r="W5" s="158" t="s">
        <v>97</v>
      </c>
      <c r="X5" s="158" t="s">
        <v>97</v>
      </c>
      <c r="Z5" s="166" t="s">
        <v>143</v>
      </c>
      <c r="AA5" s="158" t="s">
        <v>143</v>
      </c>
      <c r="AB5" s="167" t="s">
        <v>143</v>
      </c>
      <c r="AC5" s="166" t="s">
        <v>143</v>
      </c>
      <c r="AD5" s="158" t="s">
        <v>143</v>
      </c>
      <c r="AE5" s="167" t="s">
        <v>144</v>
      </c>
      <c r="AF5" s="158" t="str">
        <f aca="false">S3</f>
        <v>ML7/CG</v>
      </c>
      <c r="AG5" s="158" t="s">
        <v>151</v>
      </c>
      <c r="AH5" s="158" t="s">
        <v>168</v>
      </c>
      <c r="AI5" s="158"/>
      <c r="AJ5" s="158" t="s">
        <v>146</v>
      </c>
      <c r="AK5" s="158" t="s">
        <v>146</v>
      </c>
      <c r="AL5" s="158" t="s">
        <v>146</v>
      </c>
      <c r="AM5" s="158" t="s">
        <v>86</v>
      </c>
      <c r="AN5" s="158" t="s">
        <v>96</v>
      </c>
      <c r="AO5" s="168" t="s">
        <v>147</v>
      </c>
      <c r="AP5" s="168" t="s">
        <v>148</v>
      </c>
      <c r="AQ5" s="168" t="s">
        <v>148</v>
      </c>
      <c r="AR5" s="169" t="s">
        <v>149</v>
      </c>
      <c r="AS5" s="168" t="s">
        <v>148</v>
      </c>
      <c r="AT5" s="168" t="s">
        <v>150</v>
      </c>
      <c r="AU5" s="168" t="s">
        <v>150</v>
      </c>
      <c r="AW5" s="168" t="s">
        <v>97</v>
      </c>
      <c r="AX5" s="168" t="s">
        <v>86</v>
      </c>
      <c r="AY5" s="168" t="s">
        <v>96</v>
      </c>
      <c r="BA5" s="168" t="s">
        <v>151</v>
      </c>
      <c r="BC5" s="170" t="s">
        <v>86</v>
      </c>
    </row>
    <row r="6" customFormat="false" ht="12.75" hidden="false" customHeight="false" outlineLevel="0" collapsed="false">
      <c r="A6" s="171" t="s">
        <v>152</v>
      </c>
      <c r="B6" s="171" t="s">
        <v>153</v>
      </c>
      <c r="C6" s="171"/>
      <c r="D6" s="171" t="s">
        <v>153</v>
      </c>
      <c r="E6" s="171" t="s">
        <v>154</v>
      </c>
      <c r="F6" s="171" t="s">
        <v>154</v>
      </c>
      <c r="G6" s="171" t="s">
        <v>155</v>
      </c>
      <c r="H6" s="171" t="str">
        <f aca="false">CHOOSE(G3,"Bid","Offer")</f>
        <v>Bid</v>
      </c>
      <c r="I6" s="171"/>
      <c r="J6" s="171" t="s">
        <v>155</v>
      </c>
      <c r="K6" s="171" t="str">
        <f aca="false">H6</f>
        <v>Bid</v>
      </c>
      <c r="L6" s="171" t="s">
        <v>155</v>
      </c>
      <c r="M6" s="171" t="str">
        <f aca="false">K6</f>
        <v>Bid</v>
      </c>
      <c r="O6" s="171" t="s">
        <v>155</v>
      </c>
      <c r="P6" s="171" t="str">
        <f aca="false">K6</f>
        <v>Bid</v>
      </c>
      <c r="Q6" s="158"/>
      <c r="R6" s="171" t="s">
        <v>155</v>
      </c>
      <c r="S6" s="171" t="str">
        <f aca="false">IF(K6="Offer","Bid","Offer")</f>
        <v>Offer</v>
      </c>
      <c r="T6" s="171" t="s">
        <v>155</v>
      </c>
      <c r="U6" s="171" t="str">
        <f aca="false">S6</f>
        <v>Offer</v>
      </c>
      <c r="V6" s="171"/>
      <c r="W6" s="171" t="s">
        <v>155</v>
      </c>
      <c r="X6" s="171" t="str">
        <f aca="false">S6</f>
        <v>Offer</v>
      </c>
      <c r="Z6" s="172" t="s">
        <v>155</v>
      </c>
      <c r="AA6" s="171" t="str">
        <f aca="false">P6</f>
        <v>Bid</v>
      </c>
      <c r="AB6" s="173" t="s">
        <v>156</v>
      </c>
      <c r="AC6" s="172" t="str">
        <f aca="false">U6</f>
        <v>Offer</v>
      </c>
      <c r="AD6" s="171" t="s">
        <v>157</v>
      </c>
      <c r="AE6" s="173" t="s">
        <v>157</v>
      </c>
      <c r="AF6" s="174" t="s">
        <v>48</v>
      </c>
      <c r="AG6" s="171" t="s">
        <v>101</v>
      </c>
      <c r="AH6" s="171" t="s">
        <v>101</v>
      </c>
      <c r="AI6" s="171" t="s">
        <v>158</v>
      </c>
      <c r="AJ6" s="171" t="s">
        <v>159</v>
      </c>
      <c r="AK6" s="171" t="s">
        <v>160</v>
      </c>
      <c r="AL6" s="171" t="s">
        <v>102</v>
      </c>
      <c r="AM6" s="171" t="s">
        <v>102</v>
      </c>
      <c r="AN6" s="171" t="s">
        <v>102</v>
      </c>
      <c r="AO6" s="175" t="s">
        <v>161</v>
      </c>
      <c r="AP6" s="175" t="s">
        <v>44</v>
      </c>
      <c r="AQ6" s="175" t="s">
        <v>161</v>
      </c>
      <c r="AR6" s="176" t="s">
        <v>162</v>
      </c>
      <c r="AS6" s="175" t="s">
        <v>163</v>
      </c>
      <c r="AT6" s="175" t="s">
        <v>164</v>
      </c>
      <c r="AU6" s="175" t="s">
        <v>161</v>
      </c>
      <c r="AW6" s="175" t="s">
        <v>102</v>
      </c>
      <c r="AX6" s="175" t="s">
        <v>165</v>
      </c>
      <c r="AY6" s="175" t="s">
        <v>165</v>
      </c>
      <c r="BA6" s="175" t="s">
        <v>101</v>
      </c>
      <c r="BC6" s="177" t="s">
        <v>165</v>
      </c>
    </row>
    <row r="7" customFormat="false" ht="13.5" hidden="false" customHeight="false" outlineLevel="0" collapsed="false">
      <c r="A7" s="178"/>
      <c r="B7" s="178"/>
      <c r="C7" s="178"/>
      <c r="D7" s="178"/>
      <c r="V7" s="225"/>
      <c r="Z7" s="21"/>
      <c r="AA7" s="21"/>
      <c r="AB7" s="21"/>
      <c r="AC7" s="21"/>
      <c r="AD7" s="21"/>
      <c r="AE7" s="21"/>
      <c r="AF7" s="21"/>
      <c r="AG7" s="21"/>
      <c r="AH7" s="21"/>
      <c r="AI7" s="21"/>
      <c r="AQ7" s="144"/>
      <c r="BC7" s="179"/>
    </row>
    <row r="8" customFormat="false" ht="13.5" hidden="false" customHeight="false" outlineLevel="0" collapsed="false">
      <c r="A8" s="180" t="s">
        <v>166</v>
      </c>
      <c r="B8" s="181"/>
      <c r="C8" s="181"/>
      <c r="D8" s="181" t="n">
        <f aca="false">SUM(D10:D500)</f>
        <v>19876840</v>
      </c>
      <c r="E8" s="181" t="n">
        <f aca="false">SUM(E10:E500)</f>
        <v>604926480</v>
      </c>
      <c r="F8" s="181" t="n">
        <f aca="false">SUM(F10:F370)</f>
        <v>3577052529.50011</v>
      </c>
      <c r="G8" s="182" t="e">
        <f aca="false">SUMPRODUCT(G10:G499,$F$10:$F$499)/SUM($F$10:$F$499)</f>
        <v>#N/A</v>
      </c>
      <c r="H8" s="182" t="e">
        <f aca="false">SUMPRODUCT(H10:H499,$F$10:$F$499)/SUM($F$10:$F$499)</f>
        <v>#N/A</v>
      </c>
      <c r="I8" s="182"/>
      <c r="J8" s="182" t="e">
        <f aca="false">SUMPRODUCT(J10:J499,$F$10:$F$499)/SUM($F$10:$F$499)</f>
        <v>#N/A</v>
      </c>
      <c r="K8" s="182" t="e">
        <f aca="false">SUMPRODUCT(K10:K499,$F$10:$F$499)/SUM($F$10:$F$499)</f>
        <v>#N/A</v>
      </c>
      <c r="L8" s="182" t="n">
        <f aca="false">SUMPRODUCT(L10:L499,$F$10:$F$499)/SUM($F$10:$F$499)</f>
        <v>0</v>
      </c>
      <c r="M8" s="182" t="n">
        <f aca="false">SUMPRODUCT(M10:M499,$F$10:$F$499)/SUM($F$10:$F$499)</f>
        <v>0</v>
      </c>
      <c r="O8" s="182" t="e">
        <f aca="false">SUMPRODUCT(O10:O499,$F$10:$F$499)/SUM($F$10:$F$499)</f>
        <v>#N/A</v>
      </c>
      <c r="P8" s="182" t="e">
        <f aca="false">SUMPRODUCT(P10:P499,$F$10:$F$499)/SUM($F$10:$F$499)</f>
        <v>#N/A</v>
      </c>
      <c r="Q8" s="182"/>
      <c r="R8" s="182" t="e">
        <f aca="false">SUMPRODUCT(R10:R499,$F$10:$F$499)/SUM($F$10:$F$499)</f>
        <v>#N/A</v>
      </c>
      <c r="S8" s="182" t="e">
        <f aca="false">SUMPRODUCT(S10:S499,$F$10:$F$499)/SUM($F$10:$F$499)</f>
        <v>#N/A</v>
      </c>
      <c r="T8" s="182" t="e">
        <f aca="false">SUMPRODUCT(T10:T499,$F$10:$F$499)/SUM($F$10:$F$499)</f>
        <v>#N/A</v>
      </c>
      <c r="U8" s="182" t="e">
        <f aca="false">SUMPRODUCT(U10:U499,$F$10:$F$499)/SUM($F$10:$F$499)</f>
        <v>#N/A</v>
      </c>
      <c r="V8" s="183" t="e">
        <f aca="false">SUMPRODUCT(V10:V499,F10:F499)/F8</f>
        <v>#N/A</v>
      </c>
      <c r="W8" s="182" t="e">
        <f aca="false">SUMPRODUCT(W10:W499,$F$10:$F$499)/SUM($F$10:$F$499)</f>
        <v>#N/A</v>
      </c>
      <c r="X8" s="182" t="e">
        <f aca="false">SUMPRODUCT(X10:X499,$F$10:$F$499)/SUM($F$10:$F$499)</f>
        <v>#N/A</v>
      </c>
      <c r="Y8" s="182"/>
      <c r="Z8" s="184"/>
      <c r="AA8" s="185"/>
      <c r="AB8" s="185"/>
      <c r="AC8" s="185"/>
      <c r="AD8" s="185"/>
      <c r="AE8" s="185"/>
      <c r="AF8" s="182"/>
      <c r="AG8" s="182"/>
      <c r="AH8" s="182" t="n">
        <f aca="false">SUMPRODUCT(AH10:AH300,F10:F300)/F8</f>
        <v>0.0142485763471456</v>
      </c>
      <c r="AI8" s="182"/>
      <c r="AJ8" s="182"/>
      <c r="AK8" s="182"/>
      <c r="AL8" s="182" t="e">
        <f aca="false">AW8/$E8</f>
        <v>#NAME?</v>
      </c>
      <c r="AM8" s="182" t="e">
        <f aca="false">BC8/$F8</f>
        <v>#N/A</v>
      </c>
      <c r="AN8" s="182" t="e">
        <f aca="false">AY8/$E8</f>
        <v>#N/A</v>
      </c>
      <c r="AR8" s="186"/>
      <c r="AT8" s="187" t="n">
        <f aca="false">SUM(AT10:AT500)</f>
        <v>166</v>
      </c>
      <c r="AU8" s="187" t="n">
        <f aca="false">SUM(AU10:AU500)</f>
        <v>5052</v>
      </c>
      <c r="AW8" s="188" t="e">
        <f aca="false">SUM(AW10:AW501)</f>
        <v>#NAME?</v>
      </c>
      <c r="AX8" s="188" t="e">
        <f aca="false">SUM(AX10:AX501)</f>
        <v>#N/A</v>
      </c>
      <c r="AY8" s="188" t="e">
        <f aca="false">SUM(AY10:AY501)</f>
        <v>#N/A</v>
      </c>
      <c r="BA8" s="188" t="n">
        <f aca="false">SUM(BA10:BA501)</f>
        <v>0</v>
      </c>
      <c r="BC8" s="189" t="e">
        <f aca="false">SUM(BC10:BC501)</f>
        <v>#N/A</v>
      </c>
    </row>
    <row r="9" customFormat="false" ht="12.75" hidden="false" customHeight="false" outlineLevel="0" collapsed="false">
      <c r="B9" s="190"/>
      <c r="C9" s="190"/>
      <c r="D9" s="190"/>
      <c r="E9" s="190"/>
      <c r="F9" s="190"/>
      <c r="G9" s="191"/>
      <c r="H9" s="191"/>
      <c r="I9" s="191"/>
      <c r="J9" s="191"/>
      <c r="K9" s="191"/>
      <c r="L9" s="191"/>
      <c r="M9" s="191"/>
      <c r="O9" s="191"/>
      <c r="P9" s="191"/>
      <c r="Q9" s="191"/>
      <c r="R9" s="191"/>
      <c r="S9" s="191"/>
      <c r="T9" s="191"/>
      <c r="U9" s="191"/>
      <c r="W9" s="191"/>
      <c r="X9" s="191"/>
      <c r="Y9" s="191"/>
      <c r="Z9" s="193"/>
      <c r="AA9" s="185"/>
      <c r="AB9" s="185"/>
      <c r="AC9" s="185"/>
      <c r="AD9" s="185"/>
      <c r="AE9" s="185"/>
      <c r="AF9" s="194"/>
      <c r="AG9" s="182"/>
      <c r="AH9" s="182"/>
      <c r="AI9" s="182"/>
      <c r="AJ9" s="191"/>
      <c r="AK9" s="191"/>
      <c r="AL9" s="191"/>
      <c r="AM9" s="191"/>
      <c r="AN9" s="191"/>
      <c r="AW9" s="195"/>
      <c r="BC9" s="179"/>
    </row>
    <row r="10" customFormat="false" ht="12.75" hidden="false" customHeight="false" outlineLevel="0" collapsed="false">
      <c r="A10" s="196" t="n">
        <f aca="false">A3</f>
        <v>37043</v>
      </c>
      <c r="B10" s="197" t="n">
        <f aca="false">Summary!O10</f>
        <v>119740</v>
      </c>
      <c r="C10" s="198"/>
      <c r="D10" s="197" t="n">
        <f aca="false">IF(A11&lt;&gt;"",B10+C10,"")</f>
        <v>119740</v>
      </c>
      <c r="E10" s="199" t="n">
        <f aca="false">IF(A11="","",IF(AND(AT10=1,$H$3=1),D10*AO10,IF($H$3=2,D10,"N/A")))</f>
        <v>3592200</v>
      </c>
      <c r="F10" s="199" t="n">
        <f aca="false">IF(A11="","",E10*AS10)</f>
        <v>38549783.0648998</v>
      </c>
      <c r="G10" s="200" t="e">
        <f aca="false">IF($A11="","",VLOOKUP($A10,Table,MATCH(G$4,Curves,0)))</f>
        <v>#N/A</v>
      </c>
      <c r="H10" s="201" t="e">
        <f aca="false">IF(A11="","",G10)</f>
        <v>#N/A</v>
      </c>
      <c r="I10" s="202"/>
      <c r="J10" s="200" t="e">
        <f aca="false">IF($A11="","",VLOOKUP($A10,Table,MATCH(J$4,Curves,0)))</f>
        <v>#N/A</v>
      </c>
      <c r="K10" s="201" t="e">
        <f aca="false">IF(A11="","",J10)</f>
        <v>#N/A</v>
      </c>
      <c r="L10" s="185" t="n">
        <v>0</v>
      </c>
      <c r="M10" s="201" t="n">
        <f aca="false">IF(A11="","",L10)</f>
        <v>0</v>
      </c>
      <c r="N10" s="203"/>
      <c r="O10" s="200" t="e">
        <f aca="false">IF(A11="","",L10+J10+G10)</f>
        <v>#N/A</v>
      </c>
      <c r="P10" s="200" t="e">
        <f aca="false">IF(A11="","",M10+K10+H10)</f>
        <v>#N/A</v>
      </c>
      <c r="Q10" s="204"/>
      <c r="R10" s="200" t="e">
        <f aca="false">IF($A11="","",VLOOKUP($A10,Table,MATCH(R$4,Curves,0)))</f>
        <v>#N/A</v>
      </c>
      <c r="S10" s="201" t="e">
        <f aca="false">IF(A11="","",R10)</f>
        <v>#N/A</v>
      </c>
      <c r="T10" s="200" t="e">
        <f aca="false">IF($A11="","",VLOOKUP($A10,Table,MATCH(T$4,Curves,0)))</f>
        <v>#N/A</v>
      </c>
      <c r="U10" s="201" t="e">
        <f aca="false">IF(A11="","",T10)</f>
        <v>#N/A</v>
      </c>
      <c r="V10" s="205" t="e">
        <f aca="false">IF($A11="","",IF(AND(MONTH(A10)&gt;3,MONTH(A10)&lt;11),(T10+R10+G10)*Summary!$T$10/(1-Summary!$T$10),(T10+R10+G10)*Summary!$U$10/(1-Summary!$U$10)))</f>
        <v>#N/A</v>
      </c>
      <c r="W10" s="200" t="e">
        <f aca="false">IF($A11="","",(T10+R10+G10+V10))</f>
        <v>#N/A</v>
      </c>
      <c r="X10" s="200" t="e">
        <f aca="false">IF($A11="","",(U10+S10+H10+V10))</f>
        <v>#N/A</v>
      </c>
      <c r="Y10" s="202"/>
      <c r="Z10" s="185" t="e">
        <f aca="false">IF($A11="","",VLOOKUP($A10,Table,MATCH(Z$4,Curves,0)))</f>
        <v>#N/A</v>
      </c>
      <c r="AA10" s="185" t="e">
        <f aca="false">IF($A11="","",VLOOKUP($A10,Table,MATCH(AA$4,Curves,0)))</f>
        <v>#N/A</v>
      </c>
      <c r="AB10" s="185" t="e">
        <f aca="false">SQRT((AA10^2*(A10-$D$3)+Z10^2*(DAY(EOMONTH(A10,0))/2))/AK10)</f>
        <v>#N/A</v>
      </c>
      <c r="AC10" s="185" t="e">
        <f aca="false">IF($A11="","",VLOOKUP($A10,Table,MATCH(AC$4,Curves,0)))</f>
        <v>#N/A</v>
      </c>
      <c r="AD10" s="185" t="e">
        <f aca="false">IF($A11="","",VLOOKUP($A10,Table,MATCH(AD$4,Curves,0)))</f>
        <v>#N/A</v>
      </c>
      <c r="AE10" s="185" t="e">
        <f aca="false">SQRT((AD10^2*(A10-$D$3)+AC10^2*(DAY(EOMONTH(A10,0))/2))/AK10)</f>
        <v>#N/A</v>
      </c>
      <c r="AF10" s="224" t="e">
        <f aca="false">((Summary!$N$10*(AA10*AD10)*(A10-$D$3))+(Summary!$M$10*Z10*AC10*(AJ10-EOMONTH(EDATE(A10,-1),0))))/(AK10*AB10*AE10)</f>
        <v>#N/A</v>
      </c>
      <c r="AG10" s="207" t="n">
        <f aca="false">IF($A11="","",Summary!$Q$10)</f>
        <v>0</v>
      </c>
      <c r="AH10" s="207" t="n">
        <f aca="false">IF($A11="","",IF(Summary!$R$10="Y",(VLOOKUP($A10,Summary!$AD$6:$AF$9,3)+'Escalating commodity'!F23),'Escalating commodity'!F23))</f>
        <v>0.0128</v>
      </c>
      <c r="AI10" s="207" t="n">
        <f aca="false">IF($A11="","",AH10)</f>
        <v>0.0128</v>
      </c>
      <c r="AJ10" s="208" t="n">
        <f aca="false">A10+DAY(EOMONTH(A10,0))/2-1</f>
        <v>37057</v>
      </c>
      <c r="AK10" s="209" t="n">
        <f aca="false">IF($A11="","",$A10-$E$1)</f>
        <v>-8883</v>
      </c>
      <c r="AL10" s="182" t="e">
        <f aca="false">IF($A11="","",SPRDOPT(P10,X10,AI10,0,AB10,AE10,AF10,AK10,$AJ$2,0))</f>
        <v>#NAME?</v>
      </c>
      <c r="AM10" s="211" t="e">
        <f aca="false">IF($A11="","",MAX(0,O10-W10-AI10))</f>
        <v>#N/A</v>
      </c>
      <c r="AN10" s="211" t="e">
        <f aca="false">IF($A11="","",AL10-AM10)</f>
        <v>#N/A</v>
      </c>
      <c r="AO10" s="137" t="n">
        <f aca="false">IF(A11="","",A11-A10)</f>
        <v>30</v>
      </c>
      <c r="AP10" s="212" t="n">
        <f aca="false">IF(A11="","",CHOOSE(F$3,A11+24,A10))</f>
        <v>37043</v>
      </c>
      <c r="AQ10" s="209" t="n">
        <f aca="false">IF(A11="","",AP10-$E$1)</f>
        <v>-8883</v>
      </c>
      <c r="AR10" s="185" t="n">
        <f aca="false">'ANR OK vs ML7'!AR10</f>
        <v>0.1</v>
      </c>
      <c r="AS10" s="213" t="n">
        <f aca="false">IF(A11="","",1/(1+CHOOSE(F$3,(AR11+($I$3/10000))/2,(AR10+($I$3/10000))/2))^(2*AQ10/365.25))</f>
        <v>10.7315247104559</v>
      </c>
      <c r="AT10" s="137" t="n">
        <f aca="false">IF(A11="","",IF(AND(mthbeg&lt;=A10,mthend&gt;=A10),1,0))</f>
        <v>1</v>
      </c>
      <c r="AU10" s="137" t="n">
        <f aca="false">IF(A11="","",AO10*AT10)</f>
        <v>30</v>
      </c>
      <c r="AW10" s="195" t="e">
        <f aca="false">IF($A11="","",AL10*$E10)</f>
        <v>#NAME?</v>
      </c>
      <c r="AX10" s="195" t="e">
        <f aca="false">IF($A11="","",AM10*$E10)</f>
        <v>#N/A</v>
      </c>
      <c r="AY10" s="195" t="e">
        <f aca="false">IF($A11="","",AN10*$E10)</f>
        <v>#N/A</v>
      </c>
      <c r="AZ10" s="214"/>
      <c r="BA10" s="195" t="n">
        <f aca="false">IF($A11="","",F10*Summary!$Q$10)</f>
        <v>0</v>
      </c>
      <c r="BC10" s="179" t="e">
        <f aca="false">IF(A11="","",AM10*F10)</f>
        <v>#N/A</v>
      </c>
    </row>
    <row r="11" customFormat="false" ht="12.75" hidden="false" customHeight="false" outlineLevel="0" collapsed="false">
      <c r="A11" s="196" t="n">
        <f aca="false">IF(A10&lt;mthend,EDATE(A10,1),"")</f>
        <v>37073</v>
      </c>
      <c r="B11" s="197" t="n">
        <f aca="false">IF(A11&lt;mthend,B10,"")</f>
        <v>119740</v>
      </c>
      <c r="C11" s="215"/>
      <c r="D11" s="197" t="n">
        <f aca="false">IF(A12&lt;&gt;"",B11+C11,"")</f>
        <v>119740</v>
      </c>
      <c r="E11" s="199" t="n">
        <f aca="false">IF(A12="","",IF(AND(AT11=1,$H$3=1),D11*AO11,IF($H$3=2,D11,"N/A")))</f>
        <v>3711940</v>
      </c>
      <c r="F11" s="199" t="n">
        <f aca="false">IF(A12="","",E11*AS11)</f>
        <v>39516783.6456967</v>
      </c>
      <c r="G11" s="200" t="e">
        <f aca="false">IF($A12="","",VLOOKUP($A11,Table,MATCH(G$4,Curves,0)))</f>
        <v>#N/A</v>
      </c>
      <c r="H11" s="201" t="e">
        <f aca="false">IF(A12="","",G11)</f>
        <v>#N/A</v>
      </c>
      <c r="I11" s="202"/>
      <c r="J11" s="200" t="e">
        <f aca="false">IF($A12="","",VLOOKUP($A11,Table,MATCH(J$4,Curves,0)))</f>
        <v>#N/A</v>
      </c>
      <c r="K11" s="201" t="e">
        <f aca="false">IF(A12="","",J11)</f>
        <v>#N/A</v>
      </c>
      <c r="L11" s="185" t="n">
        <v>0</v>
      </c>
      <c r="M11" s="201" t="n">
        <f aca="false">IF(A12="","",L11)</f>
        <v>0</v>
      </c>
      <c r="N11" s="203"/>
      <c r="O11" s="200" t="e">
        <f aca="false">IF(A12="","",L11+J11+G11)</f>
        <v>#N/A</v>
      </c>
      <c r="P11" s="200" t="e">
        <f aca="false">IF(A12="","",M11+K11+H11)</f>
        <v>#N/A</v>
      </c>
      <c r="Q11" s="204"/>
      <c r="R11" s="200" t="e">
        <f aca="false">IF($A12="","",VLOOKUP($A11,Table,MATCH(R$4,Curves,0)))</f>
        <v>#N/A</v>
      </c>
      <c r="S11" s="201" t="e">
        <f aca="false">IF(A12="","",R11)</f>
        <v>#N/A</v>
      </c>
      <c r="T11" s="200" t="e">
        <f aca="false">IF($A12="","",VLOOKUP($A11,Table,MATCH(T$4,Curves,0)))</f>
        <v>#N/A</v>
      </c>
      <c r="U11" s="201" t="e">
        <f aca="false">IF(A12="","",T11)</f>
        <v>#N/A</v>
      </c>
      <c r="V11" s="205" t="e">
        <f aca="false">IF($A12="","",IF(AND(MONTH(A11)&gt;3,MONTH(A11)&lt;11),(T11+R11+G11)*Summary!$T$10/(1-Summary!$T$10),(T11+R11+G11)*Summary!$U$10/(1-Summary!$U$10)))</f>
        <v>#N/A</v>
      </c>
      <c r="W11" s="200" t="e">
        <f aca="false">IF($A12="","",(T11+R11+G11+V11))</f>
        <v>#N/A</v>
      </c>
      <c r="X11" s="200" t="e">
        <f aca="false">IF($A12="","",(U11+S11+H11+V11))</f>
        <v>#N/A</v>
      </c>
      <c r="Y11" s="202"/>
      <c r="Z11" s="185" t="e">
        <f aca="false">IF($A12="","",VLOOKUP($A11,Table,MATCH(Z$4,Curves,0)))</f>
        <v>#N/A</v>
      </c>
      <c r="AA11" s="185" t="e">
        <f aca="false">IF($A12="","",VLOOKUP($A11,Table,MATCH(AA$4,Curves,0)))</f>
        <v>#N/A</v>
      </c>
      <c r="AB11" s="185" t="e">
        <f aca="false">SQRT((AA11^2*(A11-$D$3)+Z11^2*(DAY(EOMONTH(A11,0))/2))/AK11)</f>
        <v>#N/A</v>
      </c>
      <c r="AC11" s="185" t="e">
        <f aca="false">IF($A12="","",VLOOKUP($A11,Table,MATCH(AC$4,Curves,0)))</f>
        <v>#N/A</v>
      </c>
      <c r="AD11" s="185" t="e">
        <f aca="false">IF($A12="","",VLOOKUP($A11,Table,MATCH(AD$4,Curves,0)))</f>
        <v>#N/A</v>
      </c>
      <c r="AE11" s="185" t="e">
        <f aca="false">SQRT((AD11^2*(A11-$D$3)+AC11^2*(DAY(EOMONTH(A11,0))/2))/AK11)</f>
        <v>#N/A</v>
      </c>
      <c r="AF11" s="224" t="e">
        <f aca="false">((Summary!$N$10*(AA11*AD11)*(A11-$D$3))+(Summary!$M$10*Z11*AC11*(AJ11-EOMONTH(EDATE(A11,-1),0))))/(AK11*AB11*AE11)</f>
        <v>#N/A</v>
      </c>
      <c r="AG11" s="207" t="n">
        <f aca="false">IF($A12="","",Summary!$Q$10)</f>
        <v>0</v>
      </c>
      <c r="AH11" s="207" t="n">
        <f aca="false">IF($A12="","",IF(Summary!$R$10="Y",(VLOOKUP($A11,Summary!$AD$6:$AF$9,3)+'Escalating commodity'!F24),'Escalating commodity'!F24))</f>
        <v>0.0128</v>
      </c>
      <c r="AI11" s="207" t="n">
        <f aca="false">IF($A12="","",AH11)</f>
        <v>0.0128</v>
      </c>
      <c r="AJ11" s="208" t="n">
        <f aca="false">A11+DAY(EOMONTH(A11,0))/2-1</f>
        <v>37087.5</v>
      </c>
      <c r="AK11" s="209" t="n">
        <f aca="false">IF($A12="","",$A11-$E$1)</f>
        <v>-8853</v>
      </c>
      <c r="AL11" s="182" t="e">
        <f aca="false">IF($A12="","",SPRDOPT(P11,X11,AI11,0,AB11,AE11,AF11,AK11,$AJ$2,0))</f>
        <v>#NAME?</v>
      </c>
      <c r="AM11" s="211" t="e">
        <f aca="false">IF($A12="","",MAX(0,O11-W11-AI11))</f>
        <v>#N/A</v>
      </c>
      <c r="AN11" s="211" t="e">
        <f aca="false">IF($A12="","",AL11-AM11)</f>
        <v>#N/A</v>
      </c>
      <c r="AO11" s="137" t="n">
        <f aca="false">IF(A12="","",A12-A11)</f>
        <v>31</v>
      </c>
      <c r="AP11" s="212" t="n">
        <f aca="false">IF(A12="","",CHOOSE(F$3,A12+24,A11))</f>
        <v>37073</v>
      </c>
      <c r="AQ11" s="209" t="n">
        <f aca="false">IF(A12="","",AP11-$E$1)</f>
        <v>-8853</v>
      </c>
      <c r="AR11" s="185" t="n">
        <f aca="false">'ANR OK vs ML7'!AR11</f>
        <v>0.1</v>
      </c>
      <c r="AS11" s="213" t="n">
        <f aca="false">IF(A12="","",1/(1+CHOOSE(F$3,(AR12+($I$3/10000))/2,(AR11+($I$3/10000))/2))^(2*AQ11/365.25))</f>
        <v>10.6458573268147</v>
      </c>
      <c r="AT11" s="137" t="n">
        <f aca="false">IF(A12="","",IF(AND(mthbeg&lt;=A11,mthend&gt;=A11),1,0))</f>
        <v>1</v>
      </c>
      <c r="AU11" s="137" t="n">
        <f aca="false">IF(A12="","",AO11*AT11)</f>
        <v>31</v>
      </c>
      <c r="AW11" s="195" t="e">
        <f aca="false">IF($A12="","",AL11*$E11)</f>
        <v>#NAME?</v>
      </c>
      <c r="AX11" s="195" t="e">
        <f aca="false">IF($A12="","",AM11*$E11)</f>
        <v>#N/A</v>
      </c>
      <c r="AY11" s="195" t="e">
        <f aca="false">IF($A12="","",AN11*$E11)</f>
        <v>#N/A</v>
      </c>
      <c r="BA11" s="195" t="n">
        <f aca="false">IF($A12="","",F11*Summary!$Q$10)</f>
        <v>0</v>
      </c>
      <c r="BC11" s="179" t="e">
        <f aca="false">IF(A12="","",AM11*F11)</f>
        <v>#N/A</v>
      </c>
    </row>
    <row r="12" customFormat="false" ht="12.75" hidden="false" customHeight="false" outlineLevel="0" collapsed="false">
      <c r="A12" s="196" t="n">
        <f aca="false">IF(A11&lt;mthend,EDATE(A11,1),"")</f>
        <v>37104</v>
      </c>
      <c r="B12" s="197" t="n">
        <f aca="false">IF(A12&lt;mthend,B11,"")</f>
        <v>119740</v>
      </c>
      <c r="C12" s="215"/>
      <c r="D12" s="197" t="n">
        <f aca="false">IF(A13&lt;&gt;"",B12+C12,"")</f>
        <v>119740</v>
      </c>
      <c r="E12" s="199" t="n">
        <f aca="false">IF(A13="","",IF(AND(AT12=1,$H$3=1),D12*AO12,IF($H$3=2,D12,"N/A")))</f>
        <v>3711940</v>
      </c>
      <c r="F12" s="199" t="n">
        <f aca="false">IF(A13="","",E12*AS12)</f>
        <v>39190858.2755508</v>
      </c>
      <c r="G12" s="200" t="e">
        <f aca="false">IF($A13="","",VLOOKUP($A12,Table,MATCH(G$4,Curves,0)))</f>
        <v>#N/A</v>
      </c>
      <c r="H12" s="201" t="e">
        <f aca="false">IF(A13="","",G12)</f>
        <v>#N/A</v>
      </c>
      <c r="I12" s="202"/>
      <c r="J12" s="200" t="e">
        <f aca="false">IF($A13="","",VLOOKUP($A12,Table,MATCH(J$4,Curves,0)))</f>
        <v>#N/A</v>
      </c>
      <c r="K12" s="201" t="e">
        <f aca="false">IF(A13="","",J12)</f>
        <v>#N/A</v>
      </c>
      <c r="L12" s="185" t="n">
        <v>0</v>
      </c>
      <c r="M12" s="201" t="n">
        <f aca="false">IF(A13="","",L12)</f>
        <v>0</v>
      </c>
      <c r="N12" s="203"/>
      <c r="O12" s="200" t="e">
        <f aca="false">IF(A13="","",L12+J12+G12)</f>
        <v>#N/A</v>
      </c>
      <c r="P12" s="200" t="e">
        <f aca="false">IF(A13="","",M12+K12+H12)</f>
        <v>#N/A</v>
      </c>
      <c r="Q12" s="204"/>
      <c r="R12" s="200" t="e">
        <f aca="false">IF($A13="","",VLOOKUP($A12,Table,MATCH(R$4,Curves,0)))</f>
        <v>#N/A</v>
      </c>
      <c r="S12" s="201" t="e">
        <f aca="false">IF(A13="","",R12)</f>
        <v>#N/A</v>
      </c>
      <c r="T12" s="200" t="e">
        <f aca="false">IF($A13="","",VLOOKUP($A12,Table,MATCH(T$4,Curves,0)))</f>
        <v>#N/A</v>
      </c>
      <c r="U12" s="201" t="e">
        <f aca="false">IF(A13="","",T12)</f>
        <v>#N/A</v>
      </c>
      <c r="V12" s="205" t="e">
        <f aca="false">IF($A13="","",IF(AND(MONTH(A12)&gt;3,MONTH(A12)&lt;11),(T12+R12+G12)*Summary!$T$10/(1-Summary!$T$10),(T12+R12+G12)*Summary!$U$10/(1-Summary!$U$10)))</f>
        <v>#N/A</v>
      </c>
      <c r="W12" s="200" t="e">
        <f aca="false">IF($A13="","",(T12+R12+G12+V12))</f>
        <v>#N/A</v>
      </c>
      <c r="X12" s="200" t="e">
        <f aca="false">IF($A13="","",(U12+S12+H12+V12))</f>
        <v>#N/A</v>
      </c>
      <c r="Y12" s="202"/>
      <c r="Z12" s="185" t="e">
        <f aca="false">IF($A13="","",VLOOKUP($A12,Table,MATCH(Z$4,Curves,0)))</f>
        <v>#N/A</v>
      </c>
      <c r="AA12" s="185" t="e">
        <f aca="false">IF($A13="","",VLOOKUP($A12,Table,MATCH(AA$4,Curves,0)))</f>
        <v>#N/A</v>
      </c>
      <c r="AB12" s="185" t="e">
        <f aca="false">SQRT((AA12^2*(A12-$D$3)+Z12^2*(DAY(EOMONTH(A12,0))/2))/AK12)</f>
        <v>#N/A</v>
      </c>
      <c r="AC12" s="185" t="e">
        <f aca="false">IF($A13="","",VLOOKUP($A12,Table,MATCH(AC$4,Curves,0)))</f>
        <v>#N/A</v>
      </c>
      <c r="AD12" s="185" t="e">
        <f aca="false">IF($A13="","",VLOOKUP($A12,Table,MATCH(AD$4,Curves,0)))</f>
        <v>#N/A</v>
      </c>
      <c r="AE12" s="185" t="e">
        <f aca="false">SQRT((AD12^2*(A12-$D$3)+AC12^2*(DAY(EOMONTH(A12,0))/2))/AK12)</f>
        <v>#N/A</v>
      </c>
      <c r="AF12" s="224" t="e">
        <f aca="false">((Summary!$N$10*(AA12*AD12)*(A12-$D$3))+(Summary!$M$10*Z12*AC12*(AJ12-EOMONTH(EDATE(A12,-1),0))))/(AK12*AB12*AE12)</f>
        <v>#N/A</v>
      </c>
      <c r="AG12" s="207" t="n">
        <f aca="false">IF($A13="","",Summary!$Q$10)</f>
        <v>0</v>
      </c>
      <c r="AH12" s="207" t="n">
        <f aca="false">IF($A13="","",IF(Summary!$R$10="Y",(VLOOKUP($A12,Summary!$AD$6:$AF$9,3)+'Escalating commodity'!F25),'Escalating commodity'!F25))</f>
        <v>0.0128</v>
      </c>
      <c r="AI12" s="207" t="n">
        <f aca="false">IF($A13="","",AH12)</f>
        <v>0.0128</v>
      </c>
      <c r="AJ12" s="208" t="n">
        <f aca="false">A12+DAY(EOMONTH(A12,0))/2-1</f>
        <v>37118.5</v>
      </c>
      <c r="AK12" s="209" t="n">
        <f aca="false">IF($A13="","",$A12-$E$1)</f>
        <v>-8822</v>
      </c>
      <c r="AL12" s="182" t="e">
        <f aca="false">IF($A13="","",SPRDOPT(P12,X12,AI12,0,AB12,AE12,AF12,AK12,$AJ$2,0))</f>
        <v>#NAME?</v>
      </c>
      <c r="AM12" s="211" t="e">
        <f aca="false">IF($A13="","",MAX(0,O12-W12-AI12))</f>
        <v>#N/A</v>
      </c>
      <c r="AN12" s="211" t="e">
        <f aca="false">IF($A13="","",AL12-AM12)</f>
        <v>#N/A</v>
      </c>
      <c r="AO12" s="137" t="n">
        <f aca="false">IF(A13="","",A13-A12)</f>
        <v>31</v>
      </c>
      <c r="AP12" s="212" t="n">
        <f aca="false">IF(A13="","",CHOOSE(F$3,A13+24,A12))</f>
        <v>37104</v>
      </c>
      <c r="AQ12" s="209" t="n">
        <f aca="false">IF(A13="","",AP12-$E$1)</f>
        <v>-8822</v>
      </c>
      <c r="AR12" s="185" t="n">
        <f aca="false">'ANR OK vs ML7'!AR12</f>
        <v>0.1</v>
      </c>
      <c r="AS12" s="213" t="n">
        <f aca="false">IF(A13="","",1/(1+CHOOSE(F$3,(AR13+($I$3/10000))/2,(AR12+($I$3/10000))/2))^(2*AQ12/365.25))</f>
        <v>10.5580527367228</v>
      </c>
      <c r="AT12" s="137" t="n">
        <f aca="false">IF(A13="","",IF(AND(mthbeg&lt;=A12,mthend&gt;=A12),1,0))</f>
        <v>1</v>
      </c>
      <c r="AU12" s="137" t="n">
        <f aca="false">IF(A13="","",AO12*AT12)</f>
        <v>31</v>
      </c>
      <c r="AW12" s="195" t="e">
        <f aca="false">IF($A13="","",AL12*$E12)</f>
        <v>#NAME?</v>
      </c>
      <c r="AX12" s="195" t="e">
        <f aca="false">IF($A13="","",AM12*$E12)</f>
        <v>#N/A</v>
      </c>
      <c r="AY12" s="195" t="e">
        <f aca="false">IF($A13="","",AN12*$E12)</f>
        <v>#N/A</v>
      </c>
      <c r="BA12" s="195" t="n">
        <f aca="false">IF($A13="","",F12*Summary!$Q$10)</f>
        <v>0</v>
      </c>
      <c r="BC12" s="179" t="e">
        <f aca="false">IF(A13="","",AM12*F12)</f>
        <v>#N/A</v>
      </c>
    </row>
    <row r="13" customFormat="false" ht="12.75" hidden="false" customHeight="false" outlineLevel="0" collapsed="false">
      <c r="A13" s="196" t="n">
        <f aca="false">IF(A12&lt;mthend,EDATE(A12,1),"")</f>
        <v>37135</v>
      </c>
      <c r="B13" s="197" t="n">
        <f aca="false">IF(A13&lt;mthend,B12,"")</f>
        <v>119740</v>
      </c>
      <c r="C13" s="215"/>
      <c r="D13" s="197" t="n">
        <f aca="false">IF(A14&lt;&gt;"",B13+C13,"")</f>
        <v>119740</v>
      </c>
      <c r="E13" s="199" t="n">
        <f aca="false">IF(A14="","",IF(AND(AT13=1,$H$3=1),D13*AO13,IF($H$3=2,D13,"N/A")))</f>
        <v>3592200</v>
      </c>
      <c r="F13" s="199" t="n">
        <f aca="false">IF(A14="","",E13*AS13)</f>
        <v>37613826.8352792</v>
      </c>
      <c r="G13" s="200" t="e">
        <f aca="false">IF($A14="","",VLOOKUP($A13,Table,MATCH(G$4,Curves,0)))</f>
        <v>#N/A</v>
      </c>
      <c r="H13" s="201" t="e">
        <f aca="false">IF(A14="","",G13)</f>
        <v>#N/A</v>
      </c>
      <c r="I13" s="202"/>
      <c r="J13" s="200" t="e">
        <f aca="false">IF($A14="","",VLOOKUP($A13,Table,MATCH(J$4,Curves,0)))</f>
        <v>#N/A</v>
      </c>
      <c r="K13" s="201" t="e">
        <f aca="false">IF(A14="","",J13)</f>
        <v>#N/A</v>
      </c>
      <c r="L13" s="185" t="n">
        <v>0</v>
      </c>
      <c r="M13" s="201" t="n">
        <f aca="false">IF(A14="","",L13)</f>
        <v>0</v>
      </c>
      <c r="N13" s="203"/>
      <c r="O13" s="200" t="e">
        <f aca="false">IF(A14="","",L13+J13+G13)</f>
        <v>#N/A</v>
      </c>
      <c r="P13" s="200" t="e">
        <f aca="false">IF(A14="","",M13+K13+H13)</f>
        <v>#N/A</v>
      </c>
      <c r="Q13" s="204"/>
      <c r="R13" s="200" t="e">
        <f aca="false">IF($A14="","",VLOOKUP($A13,Table,MATCH(R$4,Curves,0)))</f>
        <v>#N/A</v>
      </c>
      <c r="S13" s="201" t="e">
        <f aca="false">IF(A14="","",R13)</f>
        <v>#N/A</v>
      </c>
      <c r="T13" s="200" t="e">
        <f aca="false">IF($A14="","",VLOOKUP($A13,Table,MATCH(T$4,Curves,0)))</f>
        <v>#N/A</v>
      </c>
      <c r="U13" s="201" t="e">
        <f aca="false">IF(A14="","",T13)</f>
        <v>#N/A</v>
      </c>
      <c r="V13" s="205" t="e">
        <f aca="false">IF($A14="","",IF(AND(MONTH(A13)&gt;3,MONTH(A13)&lt;11),(T13+R13+G13)*Summary!$T$10/(1-Summary!$T$10),(T13+R13+G13)*Summary!$U$10/(1-Summary!$U$10)))</f>
        <v>#N/A</v>
      </c>
      <c r="W13" s="200" t="e">
        <f aca="false">IF($A14="","",(T13+R13+G13+V13))</f>
        <v>#N/A</v>
      </c>
      <c r="X13" s="200" t="e">
        <f aca="false">IF($A14="","",(U13+S13+H13+V13))</f>
        <v>#N/A</v>
      </c>
      <c r="Y13" s="202"/>
      <c r="Z13" s="185" t="e">
        <f aca="false">IF($A14="","",VLOOKUP($A13,Table,MATCH(Z$4,Curves,0)))</f>
        <v>#N/A</v>
      </c>
      <c r="AA13" s="185" t="e">
        <f aca="false">IF($A14="","",VLOOKUP($A13,Table,MATCH(AA$4,Curves,0)))</f>
        <v>#N/A</v>
      </c>
      <c r="AB13" s="185" t="e">
        <f aca="false">SQRT((AA13^2*(A13-$D$3)+Z13^2*(DAY(EOMONTH(A13,0))/2))/AK13)</f>
        <v>#N/A</v>
      </c>
      <c r="AC13" s="185" t="e">
        <f aca="false">IF($A14="","",VLOOKUP($A13,Table,MATCH(AC$4,Curves,0)))</f>
        <v>#N/A</v>
      </c>
      <c r="AD13" s="185" t="e">
        <f aca="false">IF($A14="","",VLOOKUP($A13,Table,MATCH(AD$4,Curves,0)))</f>
        <v>#N/A</v>
      </c>
      <c r="AE13" s="185" t="e">
        <f aca="false">SQRT((AD13^2*(A13-$D$3)+AC13^2*(DAY(EOMONTH(A13,0))/2))/AK13)</f>
        <v>#N/A</v>
      </c>
      <c r="AF13" s="224" t="e">
        <f aca="false">((Summary!$N$10*(AA13*AD13)*(A13-$D$3))+(Summary!$M$10*Z13*AC13*(AJ13-EOMONTH(EDATE(A13,-1),0))))/(AK13*AB13*AE13)</f>
        <v>#N/A</v>
      </c>
      <c r="AG13" s="207" t="n">
        <f aca="false">IF($A14="","",Summary!$Q$10)</f>
        <v>0</v>
      </c>
      <c r="AH13" s="207" t="n">
        <f aca="false">IF($A14="","",IF(Summary!$R$10="Y",(VLOOKUP($A13,Summary!$AD$6:$AF$9,3)+'Escalating commodity'!F26),'Escalating commodity'!F26))</f>
        <v>0.0128</v>
      </c>
      <c r="AI13" s="207" t="n">
        <f aca="false">IF($A14="","",AH13)</f>
        <v>0.0128</v>
      </c>
      <c r="AJ13" s="208" t="n">
        <f aca="false">A13+DAY(EOMONTH(A13,0))/2-1</f>
        <v>37149</v>
      </c>
      <c r="AK13" s="209" t="n">
        <f aca="false">IF($A14="","",$A13-$E$1)</f>
        <v>-8791</v>
      </c>
      <c r="AL13" s="182" t="e">
        <f aca="false">IF($A14="","",SPRDOPT(P13,X13,AI13,0,AB13,AE13,AF13,AK13,$AJ$2,0))</f>
        <v>#NAME?</v>
      </c>
      <c r="AM13" s="211" t="e">
        <f aca="false">IF($A14="","",MAX(0,O13-W13-AI13))</f>
        <v>#N/A</v>
      </c>
      <c r="AN13" s="211" t="e">
        <f aca="false">IF($A14="","",AL13-AM13)</f>
        <v>#N/A</v>
      </c>
      <c r="AO13" s="137" t="n">
        <f aca="false">IF(A14="","",A14-A13)</f>
        <v>30</v>
      </c>
      <c r="AP13" s="212" t="n">
        <f aca="false">IF(A14="","",CHOOSE(F$3,A14+24,A13))</f>
        <v>37135</v>
      </c>
      <c r="AQ13" s="209" t="n">
        <f aca="false">IF(A14="","",AP13-$E$1)</f>
        <v>-8791</v>
      </c>
      <c r="AR13" s="185" t="n">
        <f aca="false">'ANR OK vs ML7'!AR13</f>
        <v>0.1</v>
      </c>
      <c r="AS13" s="213" t="n">
        <f aca="false">IF(A14="","",1/(1+CHOOSE(F$3,(AR14+($I$3/10000))/2,(AR13+($I$3/10000))/2))^(2*AQ13/365.25))</f>
        <v>10.470972338756</v>
      </c>
      <c r="AT13" s="137" t="n">
        <f aca="false">IF(A14="","",IF(AND(mthbeg&lt;=A13,mthend&gt;=A13),1,0))</f>
        <v>1</v>
      </c>
      <c r="AU13" s="137" t="n">
        <f aca="false">IF(A14="","",AO13*AT13)</f>
        <v>30</v>
      </c>
      <c r="AW13" s="195" t="e">
        <f aca="false">IF($A14="","",AL13*$E13)</f>
        <v>#NAME?</v>
      </c>
      <c r="AX13" s="195" t="e">
        <f aca="false">IF($A14="","",AM13*$E13)</f>
        <v>#N/A</v>
      </c>
      <c r="AY13" s="195" t="e">
        <f aca="false">IF($A14="","",AN13*$E13)</f>
        <v>#N/A</v>
      </c>
      <c r="BA13" s="195" t="n">
        <f aca="false">IF($A14="","",F13*Summary!$Q$10)</f>
        <v>0</v>
      </c>
      <c r="BC13" s="179" t="e">
        <f aca="false">IF(A14="","",AM13*F13)</f>
        <v>#N/A</v>
      </c>
    </row>
    <row r="14" customFormat="false" ht="12.75" hidden="false" customHeight="false" outlineLevel="0" collapsed="false">
      <c r="A14" s="196" t="n">
        <f aca="false">IF(A13&lt;mthend,EDATE(A13,1),"")</f>
        <v>37165</v>
      </c>
      <c r="B14" s="197" t="n">
        <f aca="false">IF(A14&lt;mthend,B13,"")</f>
        <v>119740</v>
      </c>
      <c r="C14" s="215"/>
      <c r="D14" s="197" t="n">
        <f aca="false">IF(A15&lt;&gt;"",B14+C14,"")</f>
        <v>119740</v>
      </c>
      <c r="E14" s="199" t="n">
        <f aca="false">IF(A15="","",IF(AND(AT14=1,$H$3=1),D14*AO14,IF($H$3=2,D14,"N/A")))</f>
        <v>3711940</v>
      </c>
      <c r="F14" s="199" t="n">
        <f aca="false">IF(A15="","",E14*AS14)</f>
        <v>38557349.4572995</v>
      </c>
      <c r="G14" s="200" t="e">
        <f aca="false">IF($A15="","",VLOOKUP($A14,Table,MATCH(G$4,Curves,0)))</f>
        <v>#N/A</v>
      </c>
      <c r="H14" s="201" t="e">
        <f aca="false">IF(A15="","",G14)</f>
        <v>#N/A</v>
      </c>
      <c r="I14" s="202"/>
      <c r="J14" s="200" t="e">
        <f aca="false">IF($A15="","",VLOOKUP($A14,Table,MATCH(J$4,Curves,0)))</f>
        <v>#N/A</v>
      </c>
      <c r="K14" s="201" t="e">
        <f aca="false">IF(A15="","",J14)</f>
        <v>#N/A</v>
      </c>
      <c r="L14" s="185" t="n">
        <v>0</v>
      </c>
      <c r="M14" s="201" t="n">
        <f aca="false">IF(A15="","",L14)</f>
        <v>0</v>
      </c>
      <c r="N14" s="203"/>
      <c r="O14" s="200" t="e">
        <f aca="false">IF(A15="","",L14+J14+G14)</f>
        <v>#N/A</v>
      </c>
      <c r="P14" s="200" t="e">
        <f aca="false">IF(A15="","",M14+K14+H14)</f>
        <v>#N/A</v>
      </c>
      <c r="Q14" s="204"/>
      <c r="R14" s="200" t="e">
        <f aca="false">IF($A15="","",VLOOKUP($A14,Table,MATCH(R$4,Curves,0)))</f>
        <v>#N/A</v>
      </c>
      <c r="S14" s="201" t="e">
        <f aca="false">IF(A15="","",R14)</f>
        <v>#N/A</v>
      </c>
      <c r="T14" s="200" t="e">
        <f aca="false">IF($A15="","",VLOOKUP($A14,Table,MATCH(T$4,Curves,0)))</f>
        <v>#N/A</v>
      </c>
      <c r="U14" s="201" t="e">
        <f aca="false">IF(A15="","",T14)</f>
        <v>#N/A</v>
      </c>
      <c r="V14" s="205" t="e">
        <f aca="false">IF($A15="","",IF(AND(MONTH(A14)&gt;3,MONTH(A14)&lt;11),(T14+R14+G14)*Summary!$T$10/(1-Summary!$T$10),(T14+R14+G14)*Summary!$U$10/(1-Summary!$U$10)))</f>
        <v>#N/A</v>
      </c>
      <c r="W14" s="200" t="e">
        <f aca="false">IF($A15="","",(T14+R14+G14+V14))</f>
        <v>#N/A</v>
      </c>
      <c r="X14" s="200" t="e">
        <f aca="false">IF($A15="","",(U14+S14+H14+V14))</f>
        <v>#N/A</v>
      </c>
      <c r="Y14" s="202"/>
      <c r="Z14" s="185" t="e">
        <f aca="false">IF($A15="","",VLOOKUP($A14,Table,MATCH(Z$4,Curves,0)))</f>
        <v>#N/A</v>
      </c>
      <c r="AA14" s="185" t="e">
        <f aca="false">IF($A15="","",VLOOKUP($A14,Table,MATCH(AA$4,Curves,0)))</f>
        <v>#N/A</v>
      </c>
      <c r="AB14" s="185" t="e">
        <f aca="false">SQRT((AA14^2*(A14-$D$3)+Z14^2*(DAY(EOMONTH(A14,0))/2))/AK14)</f>
        <v>#N/A</v>
      </c>
      <c r="AC14" s="185" t="e">
        <f aca="false">IF($A15="","",VLOOKUP($A14,Table,MATCH(AC$4,Curves,0)))</f>
        <v>#N/A</v>
      </c>
      <c r="AD14" s="185" t="e">
        <f aca="false">IF($A15="","",VLOOKUP($A14,Table,MATCH(AD$4,Curves,0)))</f>
        <v>#N/A</v>
      </c>
      <c r="AE14" s="185" t="e">
        <f aca="false">SQRT((AD14^2*(A14-$D$3)+AC14^2*(DAY(EOMONTH(A14,0))/2))/AK14)</f>
        <v>#N/A</v>
      </c>
      <c r="AF14" s="224" t="e">
        <f aca="false">((Summary!$N$10*(AA14*AD14)*(A14-$D$3))+(Summary!$M$10*Z14*AC14*(AJ14-EOMONTH(EDATE(A14,-1),0))))/(AK14*AB14*AE14)</f>
        <v>#N/A</v>
      </c>
      <c r="AG14" s="207" t="n">
        <f aca="false">IF($A15="","",Summary!$Q$10)</f>
        <v>0</v>
      </c>
      <c r="AH14" s="207" t="n">
        <f aca="false">IF($A15="","",IF(Summary!$R$10="Y",(VLOOKUP($A14,Summary!$AD$6:$AF$9,3)+'Escalating commodity'!F27),'Escalating commodity'!F27))</f>
        <v>0.0128</v>
      </c>
      <c r="AI14" s="207" t="n">
        <f aca="false">IF($A15="","",AH14)</f>
        <v>0.0128</v>
      </c>
      <c r="AJ14" s="208" t="n">
        <f aca="false">A14+DAY(EOMONTH(A14,0))/2-1</f>
        <v>37179.5</v>
      </c>
      <c r="AK14" s="209" t="n">
        <f aca="false">IF($A15="","",$A14-$E$1)</f>
        <v>-8761</v>
      </c>
      <c r="AL14" s="182" t="e">
        <f aca="false">IF($A15="","",SPRDOPT(P14,X14,AI14,0,AB14,AE14,AF14,AK14,$AJ$2,0))</f>
        <v>#NAME?</v>
      </c>
      <c r="AM14" s="211" t="e">
        <f aca="false">IF($A15="","",MAX(0,O14-W14-AI14))</f>
        <v>#N/A</v>
      </c>
      <c r="AN14" s="211" t="e">
        <f aca="false">IF($A15="","",AL14-AM14)</f>
        <v>#N/A</v>
      </c>
      <c r="AO14" s="137" t="n">
        <f aca="false">IF(A15="","",A15-A14)</f>
        <v>31</v>
      </c>
      <c r="AP14" s="212" t="n">
        <f aca="false">IF(A15="","",CHOOSE(F$3,A15+24,A14))</f>
        <v>37165</v>
      </c>
      <c r="AQ14" s="209" t="n">
        <f aca="false">IF(A15="","",AP14-$E$1)</f>
        <v>-8761</v>
      </c>
      <c r="AR14" s="185" t="n">
        <f aca="false">'ANR OK vs ML7'!AR14</f>
        <v>0.1</v>
      </c>
      <c r="AS14" s="213" t="n">
        <f aca="false">IF(A15="","",1/(1+CHOOSE(F$3,(AR15+($I$3/10000))/2,(AR14+($I$3/10000))/2))^(2*AQ14/365.25))</f>
        <v>10.3873848869592</v>
      </c>
      <c r="AT14" s="137" t="n">
        <f aca="false">IF(A15="","",IF(AND(mthbeg&lt;=A14,mthend&gt;=A14),1,0))</f>
        <v>1</v>
      </c>
      <c r="AU14" s="137" t="n">
        <f aca="false">IF(A15="","",AO14*AT14)</f>
        <v>31</v>
      </c>
      <c r="AW14" s="195" t="e">
        <f aca="false">IF($A15="","",AL14*$E14)</f>
        <v>#NAME?</v>
      </c>
      <c r="AX14" s="195" t="e">
        <f aca="false">IF($A15="","",AM14*$E14)</f>
        <v>#N/A</v>
      </c>
      <c r="AY14" s="195" t="e">
        <f aca="false">IF($A15="","",AN14*$E14)</f>
        <v>#N/A</v>
      </c>
      <c r="BA14" s="195" t="n">
        <f aca="false">IF($A15="","",F14*Summary!$Q$10)</f>
        <v>0</v>
      </c>
      <c r="BC14" s="179" t="e">
        <f aca="false">IF(A15="","",AM14*F14)</f>
        <v>#N/A</v>
      </c>
    </row>
    <row r="15" customFormat="false" ht="12.75" hidden="false" customHeight="false" outlineLevel="0" collapsed="false">
      <c r="A15" s="196" t="n">
        <f aca="false">IF(A14&lt;mthend,EDATE(A14,1),"")</f>
        <v>37196</v>
      </c>
      <c r="B15" s="197" t="n">
        <f aca="false">IF(A15&lt;mthend,B14,"")</f>
        <v>119740</v>
      </c>
      <c r="C15" s="215"/>
      <c r="D15" s="197" t="n">
        <f aca="false">IF(A16&lt;&gt;"",B15+C15,"")</f>
        <v>119740</v>
      </c>
      <c r="E15" s="199" t="n">
        <f aca="false">IF(A16="","",IF(AND(AT15=1,$H$3=1),D15*AO15,IF($H$3=2,D15,"N/A")))</f>
        <v>3592200</v>
      </c>
      <c r="F15" s="199" t="n">
        <f aca="false">IF(A16="","",E15*AS15)</f>
        <v>37005810.2712941</v>
      </c>
      <c r="G15" s="200" t="e">
        <f aca="false">IF($A16="","",VLOOKUP($A15,Table,MATCH(G$4,Curves,0)))</f>
        <v>#N/A</v>
      </c>
      <c r="H15" s="201" t="e">
        <f aca="false">IF(A16="","",G15)</f>
        <v>#N/A</v>
      </c>
      <c r="I15" s="202"/>
      <c r="J15" s="200" t="e">
        <f aca="false">IF($A16="","",VLOOKUP($A15,Table,MATCH(J$4,Curves,0)))</f>
        <v>#N/A</v>
      </c>
      <c r="K15" s="201" t="e">
        <f aca="false">IF(A16="","",J15)</f>
        <v>#N/A</v>
      </c>
      <c r="L15" s="185" t="n">
        <v>0</v>
      </c>
      <c r="M15" s="201" t="n">
        <f aca="false">IF(A16="","",L15)</f>
        <v>0</v>
      </c>
      <c r="N15" s="203"/>
      <c r="O15" s="200" t="e">
        <f aca="false">IF(A16="","",L15+J15+G15)</f>
        <v>#N/A</v>
      </c>
      <c r="P15" s="200" t="e">
        <f aca="false">IF(A16="","",M15+K15+H15)</f>
        <v>#N/A</v>
      </c>
      <c r="Q15" s="204"/>
      <c r="R15" s="200" t="e">
        <f aca="false">IF($A16="","",VLOOKUP($A15,Table,MATCH(R$4,Curves,0)))</f>
        <v>#N/A</v>
      </c>
      <c r="S15" s="201" t="e">
        <f aca="false">IF(A16="","",R15)</f>
        <v>#N/A</v>
      </c>
      <c r="T15" s="200" t="e">
        <f aca="false">IF($A16="","",VLOOKUP($A15,Table,MATCH(T$4,Curves,0)))</f>
        <v>#N/A</v>
      </c>
      <c r="U15" s="201" t="e">
        <f aca="false">IF(A16="","",T15)</f>
        <v>#N/A</v>
      </c>
      <c r="V15" s="205" t="e">
        <f aca="false">IF($A16="","",IF(AND(MONTH(A15)&gt;3,MONTH(A15)&lt;11),(T15+R15+G15)*Summary!$T$10/(1-Summary!$T$10),(T15+R15+G15)*Summary!$U$10/(1-Summary!$U$10)))</f>
        <v>#N/A</v>
      </c>
      <c r="W15" s="200" t="e">
        <f aca="false">IF($A16="","",(T15+R15+G15+V15))</f>
        <v>#N/A</v>
      </c>
      <c r="X15" s="200" t="e">
        <f aca="false">IF($A16="","",(U15+S15+H15+V15))</f>
        <v>#N/A</v>
      </c>
      <c r="Y15" s="202"/>
      <c r="Z15" s="185" t="e">
        <f aca="false">IF($A16="","",VLOOKUP($A15,Table,MATCH(Z$4,Curves,0)))</f>
        <v>#N/A</v>
      </c>
      <c r="AA15" s="185" t="e">
        <f aca="false">IF($A16="","",VLOOKUP($A15,Table,MATCH(AA$4,Curves,0)))</f>
        <v>#N/A</v>
      </c>
      <c r="AB15" s="185" t="e">
        <f aca="false">SQRT((AA15^2*(A15-$D$3)+Z15^2*(DAY(EOMONTH(A15,0))/2))/AK15)</f>
        <v>#N/A</v>
      </c>
      <c r="AC15" s="185" t="e">
        <f aca="false">IF($A16="","",VLOOKUP($A15,Table,MATCH(AC$4,Curves,0)))</f>
        <v>#N/A</v>
      </c>
      <c r="AD15" s="185" t="e">
        <f aca="false">IF($A16="","",VLOOKUP($A15,Table,MATCH(AD$4,Curves,0)))</f>
        <v>#N/A</v>
      </c>
      <c r="AE15" s="185" t="e">
        <f aca="false">SQRT((AD15^2*(A15-$D$3)+AC15^2*(DAY(EOMONTH(A15,0))/2))/AK15)</f>
        <v>#N/A</v>
      </c>
      <c r="AF15" s="224" t="e">
        <f aca="false">((Summary!$N$10*(AA15*AD15)*(A15-$D$3))+(Summary!$M$10*Z15*AC15*(AJ15-EOMONTH(EDATE(A15,-1),0))))/(AK15*AB15*AE15)</f>
        <v>#N/A</v>
      </c>
      <c r="AG15" s="207" t="n">
        <f aca="false">IF($A16="","",Summary!$Q$10)</f>
        <v>0</v>
      </c>
      <c r="AH15" s="207" t="n">
        <f aca="false">IF($A16="","",IF(Summary!$R$10="Y",(VLOOKUP($A15,Summary!$AD$6:$AF$9,3)+'Escalating commodity'!F28),'Escalating commodity'!F28))</f>
        <v>0.0128</v>
      </c>
      <c r="AI15" s="207" t="n">
        <f aca="false">IF($A16="","",AH15)</f>
        <v>0.0128</v>
      </c>
      <c r="AJ15" s="208" t="n">
        <f aca="false">A15+DAY(EOMONTH(A15,0))/2-1</f>
        <v>37210</v>
      </c>
      <c r="AK15" s="209" t="n">
        <f aca="false">IF($A16="","",$A15-$E$1)</f>
        <v>-8730</v>
      </c>
      <c r="AL15" s="182" t="e">
        <f aca="false">IF($A16="","",SPRDOPT(P15,X15,AI15,0,AB15,AE15,AF15,AK15,$AJ$2,0))</f>
        <v>#NAME?</v>
      </c>
      <c r="AM15" s="211" t="e">
        <f aca="false">IF($A16="","",MAX(0,O15-W15-AI15))</f>
        <v>#N/A</v>
      </c>
      <c r="AN15" s="211" t="e">
        <f aca="false">IF($A16="","",AL15-AM15)</f>
        <v>#N/A</v>
      </c>
      <c r="AO15" s="137" t="n">
        <f aca="false">IF(A16="","",A16-A15)</f>
        <v>30</v>
      </c>
      <c r="AP15" s="212" t="n">
        <f aca="false">IF(A16="","",CHOOSE(F$3,A16+24,A15))</f>
        <v>37196</v>
      </c>
      <c r="AQ15" s="209" t="n">
        <f aca="false">IF(A16="","",AP15-$E$1)</f>
        <v>-8730</v>
      </c>
      <c r="AR15" s="185" t="n">
        <f aca="false">'ANR OK vs ML7'!AR15</f>
        <v>0.1</v>
      </c>
      <c r="AS15" s="213" t="n">
        <f aca="false">IF(A16="","",1/(1+CHOOSE(F$3,(AR16+($I$3/10000))/2,(AR15+($I$3/10000))/2))^(2*AQ15/365.25))</f>
        <v>10.3017121182824</v>
      </c>
      <c r="AT15" s="137" t="n">
        <f aca="false">IF(A16="","",IF(AND(mthbeg&lt;=A15,mthend&gt;=A15),1,0))</f>
        <v>1</v>
      </c>
      <c r="AU15" s="137" t="n">
        <f aca="false">IF(A16="","",AO15*AT15)</f>
        <v>30</v>
      </c>
      <c r="AW15" s="195" t="e">
        <f aca="false">IF($A16="","",AL15*$E15)</f>
        <v>#NAME?</v>
      </c>
      <c r="AX15" s="195" t="e">
        <f aca="false">IF($A16="","",AM15*$E15)</f>
        <v>#N/A</v>
      </c>
      <c r="AY15" s="195" t="e">
        <f aca="false">IF($A16="","",AN15*$E15)</f>
        <v>#N/A</v>
      </c>
      <c r="BA15" s="195" t="n">
        <f aca="false">IF($A16="","",F15*Summary!$Q$10)</f>
        <v>0</v>
      </c>
      <c r="BC15" s="179" t="e">
        <f aca="false">IF(A16="","",AM15*F15)</f>
        <v>#N/A</v>
      </c>
    </row>
    <row r="16" customFormat="false" ht="12.75" hidden="false" customHeight="false" outlineLevel="0" collapsed="false">
      <c r="A16" s="196" t="n">
        <f aca="false">IF(A15&lt;mthend,EDATE(A15,1),"")</f>
        <v>37226</v>
      </c>
      <c r="B16" s="197" t="n">
        <f aca="false">IF(A16&lt;mthend,B15,"")</f>
        <v>119740</v>
      </c>
      <c r="C16" s="215"/>
      <c r="D16" s="197" t="n">
        <f aca="false">IF(A17&lt;&gt;"",B16+C16,"")</f>
        <v>119740</v>
      </c>
      <c r="E16" s="199" t="n">
        <f aca="false">IF(A17="","",IF(AND(AT16=1,$H$3=1),D16*AO16,IF($H$3=2,D16,"N/A")))</f>
        <v>3711940</v>
      </c>
      <c r="F16" s="199" t="n">
        <f aca="false">IF(A17="","",E16*AS16)</f>
        <v>37934081.1247243</v>
      </c>
      <c r="G16" s="200" t="e">
        <f aca="false">IF($A17="","",VLOOKUP($A16,Table,MATCH(G$4,Curves,0)))</f>
        <v>#N/A</v>
      </c>
      <c r="H16" s="201" t="e">
        <f aca="false">IF(A17="","",G16)</f>
        <v>#N/A</v>
      </c>
      <c r="I16" s="202"/>
      <c r="J16" s="200" t="e">
        <f aca="false">IF($A17="","",VLOOKUP($A16,Table,MATCH(J$4,Curves,0)))</f>
        <v>#N/A</v>
      </c>
      <c r="K16" s="201" t="e">
        <f aca="false">IF(A17="","",J16)</f>
        <v>#N/A</v>
      </c>
      <c r="L16" s="185" t="n">
        <v>0</v>
      </c>
      <c r="M16" s="201" t="n">
        <f aca="false">IF(A17="","",L16)</f>
        <v>0</v>
      </c>
      <c r="N16" s="203"/>
      <c r="O16" s="200" t="e">
        <f aca="false">IF(A17="","",L16+J16+G16)</f>
        <v>#N/A</v>
      </c>
      <c r="P16" s="200" t="e">
        <f aca="false">IF(A17="","",M16+K16+H16)</f>
        <v>#N/A</v>
      </c>
      <c r="Q16" s="204"/>
      <c r="R16" s="200" t="e">
        <f aca="false">IF($A17="","",VLOOKUP($A16,Table,MATCH(R$4,Curves,0)))</f>
        <v>#N/A</v>
      </c>
      <c r="S16" s="201" t="e">
        <f aca="false">IF(A17="","",R16)</f>
        <v>#N/A</v>
      </c>
      <c r="T16" s="200" t="e">
        <f aca="false">IF($A17="","",VLOOKUP($A16,Table,MATCH(T$4,Curves,0)))</f>
        <v>#N/A</v>
      </c>
      <c r="U16" s="201" t="e">
        <f aca="false">IF(A17="","",T16)</f>
        <v>#N/A</v>
      </c>
      <c r="V16" s="205" t="e">
        <f aca="false">IF($A17="","",IF(AND(MONTH(A16)&gt;3,MONTH(A16)&lt;11),(T16+R16+G16)*Summary!$T$10/(1-Summary!$T$10),(T16+R16+G16)*Summary!$U$10/(1-Summary!$U$10)))</f>
        <v>#N/A</v>
      </c>
      <c r="W16" s="200" t="e">
        <f aca="false">IF($A17="","",(T16+R16+G16+V16))</f>
        <v>#N/A</v>
      </c>
      <c r="X16" s="200" t="e">
        <f aca="false">IF($A17="","",(U16+S16+H16+V16))</f>
        <v>#N/A</v>
      </c>
      <c r="Y16" s="202"/>
      <c r="Z16" s="185" t="e">
        <f aca="false">IF($A17="","",VLOOKUP($A16,Table,MATCH(Z$4,Curves,0)))</f>
        <v>#N/A</v>
      </c>
      <c r="AA16" s="185" t="e">
        <f aca="false">IF($A17="","",VLOOKUP($A16,Table,MATCH(AA$4,Curves,0)))</f>
        <v>#N/A</v>
      </c>
      <c r="AB16" s="185" t="e">
        <f aca="false">SQRT((AA16^2*(A16-$D$3)+Z16^2*(DAY(EOMONTH(A16,0))/2))/AK16)</f>
        <v>#N/A</v>
      </c>
      <c r="AC16" s="185" t="e">
        <f aca="false">IF($A17="","",VLOOKUP($A16,Table,MATCH(AC$4,Curves,0)))</f>
        <v>#N/A</v>
      </c>
      <c r="AD16" s="185" t="e">
        <f aca="false">IF($A17="","",VLOOKUP($A16,Table,MATCH(AD$4,Curves,0)))</f>
        <v>#N/A</v>
      </c>
      <c r="AE16" s="185" t="e">
        <f aca="false">SQRT((AD16^2*(A16-$D$3)+AC16^2*(DAY(EOMONTH(A16,0))/2))/AK16)</f>
        <v>#N/A</v>
      </c>
      <c r="AF16" s="224" t="e">
        <f aca="false">((Summary!$N$10*(AA16*AD16)*(A16-$D$3))+(Summary!$M$10*Z16*AC16*(AJ16-EOMONTH(EDATE(A16,-1),0))))/(AK16*AB16*AE16)</f>
        <v>#N/A</v>
      </c>
      <c r="AG16" s="207" t="n">
        <f aca="false">IF($A17="","",Summary!$Q$10)</f>
        <v>0</v>
      </c>
      <c r="AH16" s="207" t="n">
        <f aca="false">IF($A17="","",IF(Summary!$R$10="Y",(VLOOKUP($A16,Summary!$AD$6:$AF$9,3)+'Escalating commodity'!F29),'Escalating commodity'!F29))</f>
        <v>0.0128</v>
      </c>
      <c r="AI16" s="207" t="n">
        <f aca="false">IF($A17="","",AH16)</f>
        <v>0.0128</v>
      </c>
      <c r="AJ16" s="208" t="n">
        <f aca="false">A16+DAY(EOMONTH(A16,0))/2-1</f>
        <v>37240.5</v>
      </c>
      <c r="AK16" s="209" t="n">
        <f aca="false">IF($A17="","",$A16-$E$1)</f>
        <v>-8700</v>
      </c>
      <c r="AL16" s="182" t="e">
        <f aca="false">IF($A17="","",SPRDOPT(P16,X16,AI16,0,AB16,AE16,AF16,AK16,$AJ$2,0))</f>
        <v>#NAME?</v>
      </c>
      <c r="AM16" s="211" t="e">
        <f aca="false">IF($A17="","",MAX(0,O16-W16-AI16))</f>
        <v>#N/A</v>
      </c>
      <c r="AN16" s="211" t="e">
        <f aca="false">IF($A17="","",AL16-AM16)</f>
        <v>#N/A</v>
      </c>
      <c r="AO16" s="137" t="n">
        <f aca="false">IF(A17="","",A17-A16)</f>
        <v>31</v>
      </c>
      <c r="AP16" s="212" t="n">
        <f aca="false">IF(A17="","",CHOOSE(F$3,A17+24,A16))</f>
        <v>37226</v>
      </c>
      <c r="AQ16" s="209" t="n">
        <f aca="false">IF(A17="","",AP16-$E$1)</f>
        <v>-8700</v>
      </c>
      <c r="AR16" s="185" t="n">
        <f aca="false">'ANR OK vs ML7'!AR16</f>
        <v>0.1</v>
      </c>
      <c r="AS16" s="213" t="n">
        <f aca="false">IF(A17="","",1/(1+CHOOSE(F$3,(AR17+($I$3/10000))/2,(AR16+($I$3/10000))/2))^(2*AQ16/365.25))</f>
        <v>10.2194758333174</v>
      </c>
      <c r="AT16" s="137" t="n">
        <f aca="false">IF(A17="","",IF(AND(mthbeg&lt;=A16,mthend&gt;=A16),1,0))</f>
        <v>1</v>
      </c>
      <c r="AU16" s="137" t="n">
        <f aca="false">IF(A17="","",AO16*AT16)</f>
        <v>31</v>
      </c>
      <c r="AW16" s="195" t="e">
        <f aca="false">IF($A17="","",AL16*$E16)</f>
        <v>#NAME?</v>
      </c>
      <c r="AX16" s="195" t="e">
        <f aca="false">IF($A17="","",AM16*$E16)</f>
        <v>#N/A</v>
      </c>
      <c r="AY16" s="195" t="e">
        <f aca="false">IF($A17="","",AN16*$E16)</f>
        <v>#N/A</v>
      </c>
      <c r="BA16" s="195" t="n">
        <f aca="false">IF($A17="","",F16*Summary!$Q$10)</f>
        <v>0</v>
      </c>
      <c r="BC16" s="179" t="e">
        <f aca="false">IF(A17="","",AM16*F16)</f>
        <v>#N/A</v>
      </c>
    </row>
    <row r="17" customFormat="false" ht="12.75" hidden="false" customHeight="false" outlineLevel="0" collapsed="false">
      <c r="A17" s="196" t="n">
        <f aca="false">IF(A16&lt;mthend,EDATE(A16,1),"")</f>
        <v>37257</v>
      </c>
      <c r="B17" s="197" t="n">
        <f aca="false">IF(A17&lt;mthend,B16,"")</f>
        <v>119740</v>
      </c>
      <c r="C17" s="215"/>
      <c r="D17" s="197" t="n">
        <f aca="false">IF(A18&lt;&gt;"",B17+C17,"")</f>
        <v>119740</v>
      </c>
      <c r="E17" s="199" t="n">
        <f aca="false">IF(A18="","",IF(AND(AT17=1,$H$3=1),D17*AO17,IF($H$3=2,D17,"N/A")))</f>
        <v>3711940</v>
      </c>
      <c r="F17" s="199" t="n">
        <f aca="false">IF(A18="","",E17*AS17)</f>
        <v>37621209.522051</v>
      </c>
      <c r="G17" s="200" t="e">
        <f aca="false">IF($A18="","",VLOOKUP($A17,Table,MATCH(G$4,Curves,0)))</f>
        <v>#N/A</v>
      </c>
      <c r="H17" s="201" t="e">
        <f aca="false">IF(A18="","",G17)</f>
        <v>#N/A</v>
      </c>
      <c r="I17" s="202"/>
      <c r="J17" s="200" t="e">
        <f aca="false">IF($A18="","",VLOOKUP($A17,Table,MATCH(J$4,Curves,0)))</f>
        <v>#N/A</v>
      </c>
      <c r="K17" s="201" t="e">
        <f aca="false">IF(A18="","",J17)</f>
        <v>#N/A</v>
      </c>
      <c r="L17" s="185" t="n">
        <v>0</v>
      </c>
      <c r="M17" s="201" t="n">
        <f aca="false">IF(A18="","",L17)</f>
        <v>0</v>
      </c>
      <c r="N17" s="203"/>
      <c r="O17" s="200" t="e">
        <f aca="false">IF(A18="","",L17+J17+G17)</f>
        <v>#N/A</v>
      </c>
      <c r="P17" s="200" t="e">
        <f aca="false">IF(A18="","",M17+K17+H17)</f>
        <v>#N/A</v>
      </c>
      <c r="Q17" s="204"/>
      <c r="R17" s="200" t="e">
        <f aca="false">IF($A18="","",VLOOKUP($A17,Table,MATCH(R$4,Curves,0)))</f>
        <v>#N/A</v>
      </c>
      <c r="S17" s="201" t="e">
        <f aca="false">IF(A18="","",R17)</f>
        <v>#N/A</v>
      </c>
      <c r="T17" s="200" t="e">
        <f aca="false">IF($A18="","",VLOOKUP($A17,Table,MATCH(T$4,Curves,0)))</f>
        <v>#N/A</v>
      </c>
      <c r="U17" s="201" t="e">
        <f aca="false">IF(A18="","",T17)</f>
        <v>#N/A</v>
      </c>
      <c r="V17" s="205" t="e">
        <f aca="false">IF($A18="","",IF(AND(MONTH(A17)&gt;3,MONTH(A17)&lt;11),(T17+R17+G17)*Summary!$T$10/(1-Summary!$T$10),(T17+R17+G17)*Summary!$U$10/(1-Summary!$U$10)))</f>
        <v>#N/A</v>
      </c>
      <c r="W17" s="200" t="e">
        <f aca="false">IF($A18="","",(T17+R17+G17+V17))</f>
        <v>#N/A</v>
      </c>
      <c r="X17" s="200" t="e">
        <f aca="false">IF($A18="","",(U17+S17+H17+V17))</f>
        <v>#N/A</v>
      </c>
      <c r="Y17" s="202"/>
      <c r="Z17" s="185" t="e">
        <f aca="false">IF($A18="","",VLOOKUP($A17,Table,MATCH(Z$4,Curves,0)))</f>
        <v>#N/A</v>
      </c>
      <c r="AA17" s="185" t="e">
        <f aca="false">IF($A18="","",VLOOKUP($A17,Table,MATCH(AA$4,Curves,0)))</f>
        <v>#N/A</v>
      </c>
      <c r="AB17" s="185" t="e">
        <f aca="false">SQRT((AA17^2*(A17-$D$3)+Z17^2*(DAY(EOMONTH(A17,0))/2))/AK17)</f>
        <v>#N/A</v>
      </c>
      <c r="AC17" s="185" t="e">
        <f aca="false">IF($A18="","",VLOOKUP($A17,Table,MATCH(AC$4,Curves,0)))</f>
        <v>#N/A</v>
      </c>
      <c r="AD17" s="185" t="e">
        <f aca="false">IF($A18="","",VLOOKUP($A17,Table,MATCH(AD$4,Curves,0)))</f>
        <v>#N/A</v>
      </c>
      <c r="AE17" s="185" t="e">
        <f aca="false">SQRT((AD17^2*(A17-$D$3)+AC17^2*(DAY(EOMONTH(A17,0))/2))/AK17)</f>
        <v>#N/A</v>
      </c>
      <c r="AF17" s="224" t="e">
        <f aca="false">((Summary!$N$10*(AA17*AD17)*(A17-$D$3))+(Summary!$M$10*Z17*AC17*(AJ17-EOMONTH(EDATE(A17,-1),0))))/(AK17*AB17*AE17)</f>
        <v>#N/A</v>
      </c>
      <c r="AG17" s="207" t="n">
        <f aca="false">IF($A18="","",Summary!$Q$10)</f>
        <v>0</v>
      </c>
      <c r="AH17" s="207" t="n">
        <f aca="false">IF($A18="","",IF(Summary!$R$10="Y",(VLOOKUP($A17,Summary!$AD$6:$AF$9,3)+'Escalating commodity'!F30),'Escalating commodity'!F30))</f>
        <v>0.0128</v>
      </c>
      <c r="AI17" s="207" t="n">
        <f aca="false">IF($A18="","",AH17)</f>
        <v>0.0128</v>
      </c>
      <c r="AJ17" s="208" t="n">
        <f aca="false">A17+DAY(EOMONTH(A17,0))/2-1</f>
        <v>37271.5</v>
      </c>
      <c r="AK17" s="209" t="n">
        <f aca="false">IF($A18="","",$A17-$E$1)</f>
        <v>-8669</v>
      </c>
      <c r="AL17" s="182" t="e">
        <f aca="false">IF($A18="","",SPRDOPT(P17,X17,AI17,0,AB17,AE17,AF17,AK17,$AJ$2,0))</f>
        <v>#NAME?</v>
      </c>
      <c r="AM17" s="211" t="e">
        <f aca="false">IF($A18="","",MAX(0,O17-W17-AI17))</f>
        <v>#N/A</v>
      </c>
      <c r="AN17" s="211" t="e">
        <f aca="false">IF($A18="","",AL17-AM17)</f>
        <v>#N/A</v>
      </c>
      <c r="AO17" s="137" t="n">
        <f aca="false">IF(A18="","",A18-A17)</f>
        <v>31</v>
      </c>
      <c r="AP17" s="212" t="n">
        <f aca="false">IF(A18="","",CHOOSE(F$3,A18+24,A17))</f>
        <v>37257</v>
      </c>
      <c r="AQ17" s="209" t="n">
        <f aca="false">IF(A18="","",AP17-$E$1)</f>
        <v>-8669</v>
      </c>
      <c r="AR17" s="185" t="n">
        <f aca="false">'ANR OK vs ML7'!AR17</f>
        <v>0.1</v>
      </c>
      <c r="AS17" s="213" t="n">
        <f aca="false">IF(A18="","",1/(1+CHOOSE(F$3,(AR18+($I$3/10000))/2,(AR17+($I$3/10000))/2))^(2*AQ17/365.25))</f>
        <v>10.1351879400128</v>
      </c>
      <c r="AT17" s="137" t="n">
        <f aca="false">IF(A18="","",IF(AND(mthbeg&lt;=A17,mthend&gt;=A17),1,0))</f>
        <v>1</v>
      </c>
      <c r="AU17" s="137" t="n">
        <f aca="false">IF(A18="","",AO17*AT17)</f>
        <v>31</v>
      </c>
      <c r="AW17" s="195" t="e">
        <f aca="false">IF($A18="","",AL17*$E17)</f>
        <v>#NAME?</v>
      </c>
      <c r="AX17" s="195" t="e">
        <f aca="false">IF($A18="","",AM17*$E17)</f>
        <v>#N/A</v>
      </c>
      <c r="AY17" s="195" t="e">
        <f aca="false">IF($A18="","",AN17*$E17)</f>
        <v>#N/A</v>
      </c>
      <c r="BA17" s="195" t="n">
        <f aca="false">IF($A18="","",F17*Summary!$Q$10)</f>
        <v>0</v>
      </c>
      <c r="BC17" s="179" t="e">
        <f aca="false">IF(A18="","",AM17*F17)</f>
        <v>#N/A</v>
      </c>
    </row>
    <row r="18" customFormat="false" ht="12.75" hidden="false" customHeight="false" outlineLevel="0" collapsed="false">
      <c r="A18" s="196" t="n">
        <f aca="false">IF(A17&lt;mthend,EDATE(A17,1),"")</f>
        <v>37288</v>
      </c>
      <c r="B18" s="197" t="n">
        <f aca="false">IF(A18&lt;mthend,B17,"")</f>
        <v>119740</v>
      </c>
      <c r="C18" s="215"/>
      <c r="D18" s="197" t="n">
        <f aca="false">IF(A19&lt;&gt;"",B18+C18,"")</f>
        <v>119740</v>
      </c>
      <c r="E18" s="199" t="n">
        <f aca="false">IF(A19="","",IF(AND(AT18=1,$H$3=1),D18*AO18,IF($H$3=2,D18,"N/A")))</f>
        <v>3352720</v>
      </c>
      <c r="F18" s="199" t="n">
        <f aca="false">IF(A19="","",E18*AS18)</f>
        <v>33700184.3726835</v>
      </c>
      <c r="G18" s="200" t="e">
        <f aca="false">IF($A19="","",VLOOKUP($A18,Table,MATCH(G$4,Curves,0)))</f>
        <v>#N/A</v>
      </c>
      <c r="H18" s="201" t="e">
        <f aca="false">IF(A19="","",G18)</f>
        <v>#N/A</v>
      </c>
      <c r="I18" s="202"/>
      <c r="J18" s="200" t="e">
        <f aca="false">IF($A19="","",VLOOKUP($A18,Table,MATCH(J$4,Curves,0)))</f>
        <v>#N/A</v>
      </c>
      <c r="K18" s="201" t="e">
        <f aca="false">IF(A19="","",J18)</f>
        <v>#N/A</v>
      </c>
      <c r="L18" s="185" t="n">
        <v>0</v>
      </c>
      <c r="M18" s="201" t="n">
        <f aca="false">IF(A19="","",L18)</f>
        <v>0</v>
      </c>
      <c r="N18" s="203"/>
      <c r="O18" s="200" t="e">
        <f aca="false">IF(A19="","",L18+J18+G18)</f>
        <v>#N/A</v>
      </c>
      <c r="P18" s="200" t="e">
        <f aca="false">IF(A19="","",M18+K18+H18)</f>
        <v>#N/A</v>
      </c>
      <c r="Q18" s="204"/>
      <c r="R18" s="200" t="e">
        <f aca="false">IF($A19="","",VLOOKUP($A18,Table,MATCH(R$4,Curves,0)))</f>
        <v>#N/A</v>
      </c>
      <c r="S18" s="201" t="e">
        <f aca="false">IF(A19="","",R18)</f>
        <v>#N/A</v>
      </c>
      <c r="T18" s="200" t="e">
        <f aca="false">IF($A19="","",VLOOKUP($A18,Table,MATCH(T$4,Curves,0)))</f>
        <v>#N/A</v>
      </c>
      <c r="U18" s="201" t="e">
        <f aca="false">IF(A19="","",T18)</f>
        <v>#N/A</v>
      </c>
      <c r="V18" s="205" t="e">
        <f aca="false">IF($A19="","",IF(AND(MONTH(A18)&gt;3,MONTH(A18)&lt;11),(T18+R18+G18)*Summary!$T$10/(1-Summary!$T$10),(T18+R18+G18)*Summary!$U$10/(1-Summary!$U$10)))</f>
        <v>#N/A</v>
      </c>
      <c r="W18" s="200" t="e">
        <f aca="false">IF($A19="","",(T18+R18+G18+V18))</f>
        <v>#N/A</v>
      </c>
      <c r="X18" s="200" t="e">
        <f aca="false">IF($A19="","",(U18+S18+H18+V18))</f>
        <v>#N/A</v>
      </c>
      <c r="Y18" s="202"/>
      <c r="Z18" s="185" t="e">
        <f aca="false">IF($A19="","",VLOOKUP($A18,Table,MATCH(Z$4,Curves,0)))</f>
        <v>#N/A</v>
      </c>
      <c r="AA18" s="185" t="e">
        <f aca="false">IF($A19="","",VLOOKUP($A18,Table,MATCH(AA$4,Curves,0)))</f>
        <v>#N/A</v>
      </c>
      <c r="AB18" s="185" t="e">
        <f aca="false">SQRT((AA18^2*(A18-$D$3)+Z18^2*(DAY(EOMONTH(A18,0))/2))/AK18)</f>
        <v>#N/A</v>
      </c>
      <c r="AC18" s="185" t="e">
        <f aca="false">IF($A19="","",VLOOKUP($A18,Table,MATCH(AC$4,Curves,0)))</f>
        <v>#N/A</v>
      </c>
      <c r="AD18" s="185" t="e">
        <f aca="false">IF($A19="","",VLOOKUP($A18,Table,MATCH(AD$4,Curves,0)))</f>
        <v>#N/A</v>
      </c>
      <c r="AE18" s="185" t="e">
        <f aca="false">SQRT((AD18^2*(A18-$D$3)+AC18^2*(DAY(EOMONTH(A18,0))/2))/AK18)</f>
        <v>#N/A</v>
      </c>
      <c r="AF18" s="224" t="e">
        <f aca="false">((Summary!$N$10*(AA18*AD18)*(A18-$D$3))+(Summary!$M$10*Z18*AC18*(AJ18-EOMONTH(EDATE(A18,-1),0))))/(AK18*AB18*AE18)</f>
        <v>#N/A</v>
      </c>
      <c r="AG18" s="207" t="n">
        <f aca="false">IF($A19="","",Summary!$Q$10)</f>
        <v>0</v>
      </c>
      <c r="AH18" s="207" t="n">
        <f aca="false">IF($A19="","",IF(Summary!$R$10="Y",(VLOOKUP($A18,Summary!$AD$6:$AF$9,3)+'Escalating commodity'!F31),'Escalating commodity'!F31))</f>
        <v>0.0128</v>
      </c>
      <c r="AI18" s="207" t="n">
        <f aca="false">IF($A19="","",AH18)</f>
        <v>0.0128</v>
      </c>
      <c r="AJ18" s="208" t="n">
        <f aca="false">A18+DAY(EOMONTH(A18,0))/2-1</f>
        <v>37301</v>
      </c>
      <c r="AK18" s="209" t="n">
        <f aca="false">IF($A19="","",$A18-$E$1)</f>
        <v>-8638</v>
      </c>
      <c r="AL18" s="182" t="e">
        <f aca="false">IF($A19="","",SPRDOPT(P18,X18,AI18,0,AB18,AE18,AF18,AK18,$AJ$2,0))</f>
        <v>#NAME?</v>
      </c>
      <c r="AM18" s="211" t="e">
        <f aca="false">IF($A19="","",MAX(0,O18-W18-AI18))</f>
        <v>#N/A</v>
      </c>
      <c r="AN18" s="211" t="e">
        <f aca="false">IF($A19="","",AL18-AM18)</f>
        <v>#N/A</v>
      </c>
      <c r="AO18" s="137" t="n">
        <f aca="false">IF(A19="","",A19-A18)</f>
        <v>28</v>
      </c>
      <c r="AP18" s="212" t="n">
        <f aca="false">IF(A19="","",CHOOSE(F$3,A19+24,A18))</f>
        <v>37288</v>
      </c>
      <c r="AQ18" s="209" t="n">
        <f aca="false">IF(A19="","",AP18-$E$1)</f>
        <v>-8638</v>
      </c>
      <c r="AR18" s="185" t="n">
        <f aca="false">'ANR OK vs ML7'!AR18</f>
        <v>0.1</v>
      </c>
      <c r="AS18" s="213" t="n">
        <f aca="false">IF(A19="","",1/(1+CHOOSE(F$3,(AR19+($I$3/10000))/2,(AR18+($I$3/10000))/2))^(2*AQ18/365.25))</f>
        <v>10.0515952339246</v>
      </c>
      <c r="AT18" s="137" t="n">
        <f aca="false">IF(A19="","",IF(AND(mthbeg&lt;=A18,mthend&gt;=A18),1,0))</f>
        <v>1</v>
      </c>
      <c r="AU18" s="137" t="n">
        <f aca="false">IF(A19="","",AO18*AT18)</f>
        <v>28</v>
      </c>
      <c r="AW18" s="195" t="e">
        <f aca="false">IF($A19="","",AL18*$E18)</f>
        <v>#NAME?</v>
      </c>
      <c r="AX18" s="195" t="e">
        <f aca="false">IF($A19="","",AM18*$E18)</f>
        <v>#N/A</v>
      </c>
      <c r="AY18" s="195" t="e">
        <f aca="false">IF($A19="","",AN18*$E18)</f>
        <v>#N/A</v>
      </c>
      <c r="BA18" s="195" t="n">
        <f aca="false">IF($A19="","",F18*Summary!$Q$10)</f>
        <v>0</v>
      </c>
      <c r="BC18" s="179" t="e">
        <f aca="false">IF(A19="","",AM18*F18)</f>
        <v>#N/A</v>
      </c>
    </row>
    <row r="19" customFormat="false" ht="12.75" hidden="false" customHeight="false" outlineLevel="0" collapsed="false">
      <c r="A19" s="196" t="n">
        <f aca="false">IF(A18&lt;mthend,EDATE(A18,1),"")</f>
        <v>37316</v>
      </c>
      <c r="B19" s="197" t="n">
        <f aca="false">IF(A19&lt;mthend,B18,"")</f>
        <v>119740</v>
      </c>
      <c r="C19" s="215"/>
      <c r="D19" s="197" t="n">
        <f aca="false">IF(A20&lt;&gt;"",B19+C19,"")</f>
        <v>119740</v>
      </c>
      <c r="E19" s="199" t="n">
        <f aca="false">IF(A20="","",IF(AND(AT19=1,$H$3=1),D19*AO19,IF($H$3=2,D19,"N/A")))</f>
        <v>3711940</v>
      </c>
      <c r="F19" s="199" t="n">
        <f aca="false">IF(A20="","",E19*AS19)</f>
        <v>37032855.7571494</v>
      </c>
      <c r="G19" s="200" t="e">
        <f aca="false">IF($A20="","",VLOOKUP($A19,Table,MATCH(G$4,Curves,0)))</f>
        <v>#N/A</v>
      </c>
      <c r="H19" s="201" t="e">
        <f aca="false">IF(A20="","",G19)</f>
        <v>#N/A</v>
      </c>
      <c r="I19" s="202"/>
      <c r="J19" s="200" t="e">
        <f aca="false">IF($A20="","",VLOOKUP($A19,Table,MATCH(J$4,Curves,0)))</f>
        <v>#N/A</v>
      </c>
      <c r="K19" s="201" t="e">
        <f aca="false">IF(A20="","",J19)</f>
        <v>#N/A</v>
      </c>
      <c r="L19" s="185" t="n">
        <v>0</v>
      </c>
      <c r="M19" s="201" t="n">
        <f aca="false">IF(A20="","",L19)</f>
        <v>0</v>
      </c>
      <c r="N19" s="203"/>
      <c r="O19" s="200" t="e">
        <f aca="false">IF(A20="","",L19+J19+G19)</f>
        <v>#N/A</v>
      </c>
      <c r="P19" s="200" t="e">
        <f aca="false">IF(A20="","",M19+K19+H19)</f>
        <v>#N/A</v>
      </c>
      <c r="Q19" s="204"/>
      <c r="R19" s="200" t="e">
        <f aca="false">IF($A20="","",VLOOKUP($A19,Table,MATCH(R$4,Curves,0)))</f>
        <v>#N/A</v>
      </c>
      <c r="S19" s="201" t="e">
        <f aca="false">IF(A20="","",R19)</f>
        <v>#N/A</v>
      </c>
      <c r="T19" s="200" t="e">
        <f aca="false">IF($A20="","",VLOOKUP($A19,Table,MATCH(T$4,Curves,0)))</f>
        <v>#N/A</v>
      </c>
      <c r="U19" s="201" t="e">
        <f aca="false">IF(A20="","",T19)</f>
        <v>#N/A</v>
      </c>
      <c r="V19" s="205" t="e">
        <f aca="false">IF($A20="","",IF(AND(MONTH(A19)&gt;3,MONTH(A19)&lt;11),(T19+R19+G19)*Summary!$T$10/(1-Summary!$T$10),(T19+R19+G19)*Summary!$U$10/(1-Summary!$U$10)))</f>
        <v>#N/A</v>
      </c>
      <c r="W19" s="200" t="e">
        <f aca="false">IF($A20="","",(T19+R19+G19+V19))</f>
        <v>#N/A</v>
      </c>
      <c r="X19" s="200" t="e">
        <f aca="false">IF($A20="","",(U19+S19+H19+V19))</f>
        <v>#N/A</v>
      </c>
      <c r="Y19" s="202"/>
      <c r="Z19" s="185" t="e">
        <f aca="false">IF($A20="","",VLOOKUP($A19,Table,MATCH(Z$4,Curves,0)))</f>
        <v>#N/A</v>
      </c>
      <c r="AA19" s="185" t="e">
        <f aca="false">IF($A20="","",VLOOKUP($A19,Table,MATCH(AA$4,Curves,0)))</f>
        <v>#N/A</v>
      </c>
      <c r="AB19" s="185" t="e">
        <f aca="false">SQRT((AA19^2*(A19-$D$3)+Z19^2*(DAY(EOMONTH(A19,0))/2))/AK19)</f>
        <v>#N/A</v>
      </c>
      <c r="AC19" s="185" t="e">
        <f aca="false">IF($A20="","",VLOOKUP($A19,Table,MATCH(AC$4,Curves,0)))</f>
        <v>#N/A</v>
      </c>
      <c r="AD19" s="185" t="e">
        <f aca="false">IF($A20="","",VLOOKUP($A19,Table,MATCH(AD$4,Curves,0)))</f>
        <v>#N/A</v>
      </c>
      <c r="AE19" s="185" t="e">
        <f aca="false">SQRT((AD19^2*(A19-$D$3)+AC19^2*(DAY(EOMONTH(A19,0))/2))/AK19)</f>
        <v>#N/A</v>
      </c>
      <c r="AF19" s="224" t="e">
        <f aca="false">((Summary!$N$10*(AA19*AD19)*(A19-$D$3))+(Summary!$M$10*Z19*AC19*(AJ19-EOMONTH(EDATE(A19,-1),0))))/(AK19*AB19*AE19)</f>
        <v>#N/A</v>
      </c>
      <c r="AG19" s="207" t="n">
        <f aca="false">IF($A20="","",Summary!$Q$10)</f>
        <v>0</v>
      </c>
      <c r="AH19" s="207" t="n">
        <f aca="false">IF($A20="","",IF(Summary!$R$10="Y",(VLOOKUP($A19,Summary!$AD$6:$AF$9,3)+'Escalating commodity'!F32),'Escalating commodity'!F32))</f>
        <v>0.0128</v>
      </c>
      <c r="AI19" s="207" t="n">
        <f aca="false">IF($A20="","",AH19)</f>
        <v>0.0128</v>
      </c>
      <c r="AJ19" s="208" t="n">
        <f aca="false">A19+DAY(EOMONTH(A19,0))/2-1</f>
        <v>37330.5</v>
      </c>
      <c r="AK19" s="209" t="n">
        <f aca="false">IF($A20="","",$A19-$E$1)</f>
        <v>-8610</v>
      </c>
      <c r="AL19" s="182" t="e">
        <f aca="false">IF($A20="","",SPRDOPT(P19,X19,AI19,0,AB19,AE19,AF19,AK19,$AJ$2,0))</f>
        <v>#NAME?</v>
      </c>
      <c r="AM19" s="211" t="e">
        <f aca="false">IF($A20="","",MAX(0,O19-W19-AI19))</f>
        <v>#N/A</v>
      </c>
      <c r="AN19" s="211" t="e">
        <f aca="false">IF($A20="","",AL19-AM19)</f>
        <v>#N/A</v>
      </c>
      <c r="AO19" s="137" t="n">
        <f aca="false">IF(A20="","",A20-A19)</f>
        <v>31</v>
      </c>
      <c r="AP19" s="212" t="n">
        <f aca="false">IF(A20="","",CHOOSE(F$3,A20+24,A19))</f>
        <v>37316</v>
      </c>
      <c r="AQ19" s="209" t="n">
        <f aca="false">IF(A20="","",AP19-$E$1)</f>
        <v>-8610</v>
      </c>
      <c r="AR19" s="185" t="n">
        <f aca="false">'ANR OK vs ML7'!AR19</f>
        <v>0.1</v>
      </c>
      <c r="AS19" s="213" t="n">
        <f aca="false">IF(A20="","",1/(1+CHOOSE(F$3,(AR20+($I$3/10000))/2,(AR19+($I$3/10000))/2))^(2*AQ19/365.25))</f>
        <v>9.97668490254406</v>
      </c>
      <c r="AT19" s="137" t="n">
        <f aca="false">IF(A20="","",IF(AND(mthbeg&lt;=A19,mthend&gt;=A19),1,0))</f>
        <v>1</v>
      </c>
      <c r="AU19" s="137" t="n">
        <f aca="false">IF(A20="","",AO19*AT19)</f>
        <v>31</v>
      </c>
      <c r="AW19" s="195" t="e">
        <f aca="false">IF($A20="","",AL19*$E19)</f>
        <v>#NAME?</v>
      </c>
      <c r="AX19" s="195" t="e">
        <f aca="false">IF($A20="","",AM19*$E19)</f>
        <v>#N/A</v>
      </c>
      <c r="AY19" s="195" t="e">
        <f aca="false">IF($A20="","",AN19*$E19)</f>
        <v>#N/A</v>
      </c>
      <c r="BA19" s="195" t="n">
        <f aca="false">IF($A20="","",F19*Summary!$Q$10)</f>
        <v>0</v>
      </c>
      <c r="BC19" s="179" t="e">
        <f aca="false">IF(A20="","",AM19*F19)</f>
        <v>#N/A</v>
      </c>
    </row>
    <row r="20" customFormat="false" ht="12.75" hidden="false" customHeight="false" outlineLevel="0" collapsed="false">
      <c r="A20" s="196" t="n">
        <f aca="false">IF(A19&lt;mthend,EDATE(A19,1),"")</f>
        <v>37347</v>
      </c>
      <c r="B20" s="197" t="n">
        <f aca="false">IF(A20&lt;mthend,B19,"")</f>
        <v>119740</v>
      </c>
      <c r="C20" s="215"/>
      <c r="D20" s="197" t="n">
        <f aca="false">IF(A21&lt;&gt;"",B20+C20,"")</f>
        <v>119740</v>
      </c>
      <c r="E20" s="199" t="n">
        <f aca="false">IF(A21="","",IF(AND(AT20=1,$H$3=1),D20*AO20,IF($H$3=2,D20,"N/A")))</f>
        <v>3592200</v>
      </c>
      <c r="F20" s="199" t="n">
        <f aca="false">IF(A21="","",E20*AS20)</f>
        <v>35542661.8593418</v>
      </c>
      <c r="G20" s="200" t="e">
        <f aca="false">IF($A21="","",VLOOKUP($A20,Table,MATCH(G$4,Curves,0)))</f>
        <v>#N/A</v>
      </c>
      <c r="H20" s="201" t="e">
        <f aca="false">IF(A21="","",G20)</f>
        <v>#N/A</v>
      </c>
      <c r="I20" s="202"/>
      <c r="J20" s="200" t="e">
        <f aca="false">IF($A21="","",VLOOKUP($A20,Table,MATCH(J$4,Curves,0)))</f>
        <v>#N/A</v>
      </c>
      <c r="K20" s="201" t="e">
        <f aca="false">IF(A21="","",J20)</f>
        <v>#N/A</v>
      </c>
      <c r="L20" s="185" t="n">
        <v>0</v>
      </c>
      <c r="M20" s="201" t="n">
        <f aca="false">IF(A21="","",L20)</f>
        <v>0</v>
      </c>
      <c r="N20" s="203"/>
      <c r="O20" s="200" t="e">
        <f aca="false">IF(A21="","",L20+J20+G20)</f>
        <v>#N/A</v>
      </c>
      <c r="P20" s="200" t="e">
        <f aca="false">IF(A21="","",M20+K20+H20)</f>
        <v>#N/A</v>
      </c>
      <c r="Q20" s="204"/>
      <c r="R20" s="200" t="e">
        <f aca="false">IF($A21="","",VLOOKUP($A20,Table,MATCH(R$4,Curves,0)))</f>
        <v>#N/A</v>
      </c>
      <c r="S20" s="201" t="e">
        <f aca="false">IF(A21="","",R20)</f>
        <v>#N/A</v>
      </c>
      <c r="T20" s="200" t="e">
        <f aca="false">IF($A21="","",VLOOKUP($A20,Table,MATCH(T$4,Curves,0)))</f>
        <v>#N/A</v>
      </c>
      <c r="U20" s="201" t="e">
        <f aca="false">IF(A21="","",T20)</f>
        <v>#N/A</v>
      </c>
      <c r="V20" s="205" t="e">
        <f aca="false">IF($A21="","",IF(AND(MONTH(A20)&gt;3,MONTH(A20)&lt;11),(T20+R20+G20)*Summary!$T$10/(1-Summary!$T$10),(T20+R20+G20)*Summary!$U$10/(1-Summary!$U$10)))</f>
        <v>#N/A</v>
      </c>
      <c r="W20" s="200" t="e">
        <f aca="false">IF($A21="","",(T20+R20+G20+V20))</f>
        <v>#N/A</v>
      </c>
      <c r="X20" s="200" t="e">
        <f aca="false">IF($A21="","",(U20+S20+H20+V20))</f>
        <v>#N/A</v>
      </c>
      <c r="Y20" s="202"/>
      <c r="Z20" s="185" t="e">
        <f aca="false">IF($A21="","",VLOOKUP($A20,Table,MATCH(Z$4,Curves,0)))</f>
        <v>#N/A</v>
      </c>
      <c r="AA20" s="185" t="e">
        <f aca="false">IF($A21="","",VLOOKUP($A20,Table,MATCH(AA$4,Curves,0)))</f>
        <v>#N/A</v>
      </c>
      <c r="AB20" s="185" t="e">
        <f aca="false">SQRT((AA20^2*(A20-$D$3)+Z20^2*(DAY(EOMONTH(A20,0))/2))/AK20)</f>
        <v>#N/A</v>
      </c>
      <c r="AC20" s="185" t="e">
        <f aca="false">IF($A21="","",VLOOKUP($A20,Table,MATCH(AC$4,Curves,0)))</f>
        <v>#N/A</v>
      </c>
      <c r="AD20" s="185" t="e">
        <f aca="false">IF($A21="","",VLOOKUP($A20,Table,MATCH(AD$4,Curves,0)))</f>
        <v>#N/A</v>
      </c>
      <c r="AE20" s="185" t="e">
        <f aca="false">SQRT((AD20^2*(A20-$D$3)+AC20^2*(DAY(EOMONTH(A20,0))/2))/AK20)</f>
        <v>#N/A</v>
      </c>
      <c r="AF20" s="224" t="e">
        <f aca="false">((Summary!$N$10*(AA20*AD20)*(A20-$D$3))+(Summary!$M$10*Z20*AC20*(AJ20-EOMONTH(EDATE(A20,-1),0))))/(AK20*AB20*AE20)</f>
        <v>#N/A</v>
      </c>
      <c r="AG20" s="207" t="n">
        <f aca="false">IF($A21="","",Summary!$Q$10)</f>
        <v>0</v>
      </c>
      <c r="AH20" s="207" t="n">
        <f aca="false">IF($A21="","",IF(Summary!$R$10="Y",(VLOOKUP($A20,Summary!$AD$6:$AF$9,3)+'Escalating commodity'!F33),'Escalating commodity'!F33))</f>
        <v>0.0128</v>
      </c>
      <c r="AI20" s="207" t="n">
        <f aca="false">IF($A21="","",AH20)</f>
        <v>0.0128</v>
      </c>
      <c r="AJ20" s="208" t="n">
        <f aca="false">A20+DAY(EOMONTH(A20,0))/2-1</f>
        <v>37361</v>
      </c>
      <c r="AK20" s="209" t="n">
        <f aca="false">IF($A21="","",$A20-$E$1)</f>
        <v>-8579</v>
      </c>
      <c r="AL20" s="182" t="e">
        <f aca="false">IF($A21="","",SPRDOPT(P20,X20,AI20,0,AB20,AE20,AF20,AK20,$AJ$2,0))</f>
        <v>#NAME?</v>
      </c>
      <c r="AM20" s="211" t="e">
        <f aca="false">IF($A21="","",MAX(0,O20-W20-AI20))</f>
        <v>#N/A</v>
      </c>
      <c r="AN20" s="211" t="e">
        <f aca="false">IF($A21="","",AL20-AM20)</f>
        <v>#N/A</v>
      </c>
      <c r="AO20" s="137" t="n">
        <f aca="false">IF(A21="","",A21-A20)</f>
        <v>30</v>
      </c>
      <c r="AP20" s="212" t="n">
        <f aca="false">IF(A21="","",CHOOSE(F$3,A21+24,A20))</f>
        <v>37347</v>
      </c>
      <c r="AQ20" s="209" t="n">
        <f aca="false">IF(A21="","",AP20-$E$1)</f>
        <v>-8579</v>
      </c>
      <c r="AR20" s="185" t="n">
        <f aca="false">'ANR OK vs ML7'!AR20</f>
        <v>0.1</v>
      </c>
      <c r="AS20" s="213" t="n">
        <f aca="false">IF(A21="","",1/(1+CHOOSE(F$3,(AR21+($I$3/10000))/2,(AR20+($I$3/10000))/2))^(2*AQ20/365.25))</f>
        <v>9.89439949316346</v>
      </c>
      <c r="AT20" s="137" t="n">
        <f aca="false">IF(A21="","",IF(AND(mthbeg&lt;=A20,mthend&gt;=A20),1,0))</f>
        <v>1</v>
      </c>
      <c r="AU20" s="137" t="n">
        <f aca="false">IF(A21="","",AO20*AT20)</f>
        <v>30</v>
      </c>
      <c r="AW20" s="195" t="e">
        <f aca="false">IF($A21="","",AL20*$E20)</f>
        <v>#NAME?</v>
      </c>
      <c r="AX20" s="195" t="e">
        <f aca="false">IF($A21="","",AM20*$E20)</f>
        <v>#N/A</v>
      </c>
      <c r="AY20" s="195" t="e">
        <f aca="false">IF($A21="","",AN20*$E20)</f>
        <v>#N/A</v>
      </c>
      <c r="BA20" s="195" t="n">
        <f aca="false">IF($A21="","",F20*Summary!$Q$10)</f>
        <v>0</v>
      </c>
      <c r="BC20" s="179" t="e">
        <f aca="false">IF(A21="","",AM20*F20)</f>
        <v>#N/A</v>
      </c>
    </row>
    <row r="21" customFormat="false" ht="12.75" hidden="false" customHeight="false" outlineLevel="0" collapsed="false">
      <c r="A21" s="196" t="n">
        <f aca="false">IF(A20&lt;mthend,EDATE(A20,1),"")</f>
        <v>37377</v>
      </c>
      <c r="B21" s="197" t="n">
        <f aca="false">IF(A21&lt;mthend,B20,"")</f>
        <v>119740</v>
      </c>
      <c r="C21" s="215"/>
      <c r="D21" s="197" t="n">
        <f aca="false">IF(A22&lt;&gt;"",B21+C21,"")</f>
        <v>119740</v>
      </c>
      <c r="E21" s="199" t="n">
        <f aca="false">IF(A22="","",IF(AND(AT21=1,$H$3=1),D21*AO21,IF($H$3=2,D21,"N/A")))</f>
        <v>3711940</v>
      </c>
      <c r="F21" s="199" t="n">
        <f aca="false">IF(A22="","",E21*AS21)</f>
        <v>36434230.4215614</v>
      </c>
      <c r="G21" s="200" t="e">
        <f aca="false">IF($A22="","",VLOOKUP($A21,Table,MATCH(G$4,Curves,0)))</f>
        <v>#N/A</v>
      </c>
      <c r="H21" s="201" t="e">
        <f aca="false">IF(A22="","",G21)</f>
        <v>#N/A</v>
      </c>
      <c r="I21" s="202"/>
      <c r="J21" s="200" t="e">
        <f aca="false">IF($A22="","",VLOOKUP($A21,Table,MATCH(J$4,Curves,0)))</f>
        <v>#N/A</v>
      </c>
      <c r="K21" s="201" t="e">
        <f aca="false">IF(A22="","",J21)</f>
        <v>#N/A</v>
      </c>
      <c r="L21" s="185" t="n">
        <v>0</v>
      </c>
      <c r="M21" s="201" t="n">
        <f aca="false">IF(A22="","",L21)</f>
        <v>0</v>
      </c>
      <c r="N21" s="203"/>
      <c r="O21" s="200" t="e">
        <f aca="false">IF(A22="","",L21+J21+G21)</f>
        <v>#N/A</v>
      </c>
      <c r="P21" s="200" t="e">
        <f aca="false">IF(A22="","",M21+K21+H21)</f>
        <v>#N/A</v>
      </c>
      <c r="Q21" s="204"/>
      <c r="R21" s="200" t="e">
        <f aca="false">IF($A22="","",VLOOKUP($A21,Table,MATCH(R$4,Curves,0)))</f>
        <v>#N/A</v>
      </c>
      <c r="S21" s="201" t="e">
        <f aca="false">IF(A22="","",R21)</f>
        <v>#N/A</v>
      </c>
      <c r="T21" s="200" t="e">
        <f aca="false">IF($A22="","",VLOOKUP($A21,Table,MATCH(T$4,Curves,0)))</f>
        <v>#N/A</v>
      </c>
      <c r="U21" s="201" t="e">
        <f aca="false">IF(A22="","",T21)</f>
        <v>#N/A</v>
      </c>
      <c r="V21" s="205" t="e">
        <f aca="false">IF($A22="","",IF(AND(MONTH(A21)&gt;3,MONTH(A21)&lt;11),(T21+R21+G21)*Summary!$T$10/(1-Summary!$T$10),(T21+R21+G21)*Summary!$U$10/(1-Summary!$U$10)))</f>
        <v>#N/A</v>
      </c>
      <c r="W21" s="200" t="e">
        <f aca="false">IF($A22="","",(T21+R21+G21+V21))</f>
        <v>#N/A</v>
      </c>
      <c r="X21" s="200" t="e">
        <f aca="false">IF($A22="","",(U21+S21+H21+V21))</f>
        <v>#N/A</v>
      </c>
      <c r="Y21" s="202"/>
      <c r="Z21" s="185" t="e">
        <f aca="false">IF($A22="","",VLOOKUP($A21,Table,MATCH(Z$4,Curves,0)))</f>
        <v>#N/A</v>
      </c>
      <c r="AA21" s="185" t="e">
        <f aca="false">IF($A22="","",VLOOKUP($A21,Table,MATCH(AA$4,Curves,0)))</f>
        <v>#N/A</v>
      </c>
      <c r="AB21" s="185" t="e">
        <f aca="false">SQRT((AA21^2*(A21-$D$3)+Z21^2*(DAY(EOMONTH(A21,0))/2))/AK21)</f>
        <v>#N/A</v>
      </c>
      <c r="AC21" s="185" t="e">
        <f aca="false">IF($A22="","",VLOOKUP($A21,Table,MATCH(AC$4,Curves,0)))</f>
        <v>#N/A</v>
      </c>
      <c r="AD21" s="185" t="e">
        <f aca="false">IF($A22="","",VLOOKUP($A21,Table,MATCH(AD$4,Curves,0)))</f>
        <v>#N/A</v>
      </c>
      <c r="AE21" s="185" t="e">
        <f aca="false">SQRT((AD21^2*(A21-$D$3)+AC21^2*(DAY(EOMONTH(A21,0))/2))/AK21)</f>
        <v>#N/A</v>
      </c>
      <c r="AF21" s="224" t="e">
        <f aca="false">((Summary!$N$10*(AA21*AD21)*(A21-$D$3))+(Summary!$M$10*Z21*AC21*(AJ21-EOMONTH(EDATE(A21,-1),0))))/(AK21*AB21*AE21)</f>
        <v>#N/A</v>
      </c>
      <c r="AG21" s="207" t="n">
        <f aca="false">IF($A22="","",Summary!$Q$10)</f>
        <v>0</v>
      </c>
      <c r="AH21" s="207" t="n">
        <f aca="false">IF($A22="","",IF(Summary!$R$10="Y",(VLOOKUP($A21,Summary!$AD$6:$AF$9,3)+'Escalating commodity'!F34),'Escalating commodity'!F34))</f>
        <v>0.0128</v>
      </c>
      <c r="AI21" s="207" t="n">
        <f aca="false">IF($A22="","",AH21)</f>
        <v>0.0128</v>
      </c>
      <c r="AJ21" s="208" t="n">
        <f aca="false">A21+DAY(EOMONTH(A21,0))/2-1</f>
        <v>37391.5</v>
      </c>
      <c r="AK21" s="209" t="n">
        <f aca="false">IF($A22="","",$A21-$E$1)</f>
        <v>-8549</v>
      </c>
      <c r="AL21" s="182" t="e">
        <f aca="false">IF($A22="","",SPRDOPT(P21,X21,AI21,0,AB21,AE21,AF21,AK21,$AJ$2,0))</f>
        <v>#NAME?</v>
      </c>
      <c r="AM21" s="211" t="e">
        <f aca="false">IF($A22="","",MAX(0,O21-W21-AI21))</f>
        <v>#N/A</v>
      </c>
      <c r="AN21" s="211" t="e">
        <f aca="false">IF($A22="","",AL21-AM21)</f>
        <v>#N/A</v>
      </c>
      <c r="AO21" s="137" t="n">
        <f aca="false">IF(A22="","",A22-A21)</f>
        <v>31</v>
      </c>
      <c r="AP21" s="212" t="n">
        <f aca="false">IF(A22="","",CHOOSE(F$3,A22+24,A21))</f>
        <v>37377</v>
      </c>
      <c r="AQ21" s="209" t="n">
        <f aca="false">IF(A22="","",AP21-$E$1)</f>
        <v>-8549</v>
      </c>
      <c r="AR21" s="185" t="n">
        <f aca="false">'ANR OK vs ML7'!AR21</f>
        <v>0.1</v>
      </c>
      <c r="AS21" s="213" t="n">
        <f aca="false">IF(A22="","",1/(1+CHOOSE(F$3,(AR22+($I$3/10000))/2,(AR21+($I$3/10000))/2))^(2*AQ21/365.25))</f>
        <v>9.81541469462368</v>
      </c>
      <c r="AT21" s="137" t="n">
        <f aca="false">IF(A22="","",IF(AND(mthbeg&lt;=A21,mthend&gt;=A21),1,0))</f>
        <v>1</v>
      </c>
      <c r="AU21" s="137" t="n">
        <f aca="false">IF(A22="","",AO21*AT21)</f>
        <v>31</v>
      </c>
      <c r="AW21" s="195" t="e">
        <f aca="false">IF($A22="","",AL21*$E21)</f>
        <v>#NAME?</v>
      </c>
      <c r="AX21" s="195" t="e">
        <f aca="false">IF($A22="","",AM21*$E21)</f>
        <v>#N/A</v>
      </c>
      <c r="AY21" s="195" t="e">
        <f aca="false">IF($A22="","",AN21*$E21)</f>
        <v>#N/A</v>
      </c>
      <c r="BA21" s="195" t="n">
        <f aca="false">IF($A22="","",F21*Summary!$Q$10)</f>
        <v>0</v>
      </c>
      <c r="BC21" s="179" t="e">
        <f aca="false">IF(A22="","",AM21*F21)</f>
        <v>#N/A</v>
      </c>
    </row>
    <row r="22" customFormat="false" ht="12.75" hidden="false" customHeight="false" outlineLevel="0" collapsed="false">
      <c r="A22" s="196" t="n">
        <f aca="false">IF(A21&lt;mthend,EDATE(A21,1),"")</f>
        <v>37408</v>
      </c>
      <c r="B22" s="197" t="n">
        <f aca="false">IF(A22&lt;mthend,B21,"")</f>
        <v>119740</v>
      </c>
      <c r="C22" s="215"/>
      <c r="D22" s="197" t="n">
        <f aca="false">IF(A23&lt;&gt;"",B22+C22,"")</f>
        <v>119740</v>
      </c>
      <c r="E22" s="199" t="n">
        <f aca="false">IF(A23="","",IF(AND(AT22=1,$H$3=1),D22*AO22,IF($H$3=2,D22,"N/A")))</f>
        <v>3592200</v>
      </c>
      <c r="F22" s="199" t="n">
        <f aca="false">IF(A23="","",E22*AS22)</f>
        <v>34968125.0744186</v>
      </c>
      <c r="G22" s="200" t="e">
        <f aca="false">IF($A23="","",VLOOKUP($A22,Table,MATCH(G$4,Curves,0)))</f>
        <v>#N/A</v>
      </c>
      <c r="H22" s="201" t="e">
        <f aca="false">IF(A23="","",G22)</f>
        <v>#N/A</v>
      </c>
      <c r="I22" s="202"/>
      <c r="J22" s="200" t="e">
        <f aca="false">IF($A23="","",VLOOKUP($A22,Table,MATCH(J$4,Curves,0)))</f>
        <v>#N/A</v>
      </c>
      <c r="K22" s="201" t="e">
        <f aca="false">IF(A23="","",J22)</f>
        <v>#N/A</v>
      </c>
      <c r="L22" s="185" t="n">
        <v>0</v>
      </c>
      <c r="M22" s="201" t="n">
        <f aca="false">IF(A23="","",L22)</f>
        <v>0</v>
      </c>
      <c r="N22" s="203"/>
      <c r="O22" s="200" t="e">
        <f aca="false">IF(A23="","",L22+J22+G22)</f>
        <v>#N/A</v>
      </c>
      <c r="P22" s="200" t="e">
        <f aca="false">IF(A23="","",M22+K22+H22)</f>
        <v>#N/A</v>
      </c>
      <c r="Q22" s="204"/>
      <c r="R22" s="200" t="e">
        <f aca="false">IF($A23="","",VLOOKUP($A22,Table,MATCH(R$4,Curves,0)))</f>
        <v>#N/A</v>
      </c>
      <c r="S22" s="201" t="e">
        <f aca="false">IF(A23="","",R22)</f>
        <v>#N/A</v>
      </c>
      <c r="T22" s="200" t="e">
        <f aca="false">IF($A23="","",VLOOKUP($A22,Table,MATCH(T$4,Curves,0)))</f>
        <v>#N/A</v>
      </c>
      <c r="U22" s="201" t="e">
        <f aca="false">IF(A23="","",T22)</f>
        <v>#N/A</v>
      </c>
      <c r="V22" s="205" t="e">
        <f aca="false">IF($A23="","",IF(AND(MONTH(A22)&gt;3,MONTH(A22)&lt;11),(T22+R22+G22)*Summary!$T$10/(1-Summary!$T$10),(T22+R22+G22)*Summary!$U$10/(1-Summary!$U$10)))</f>
        <v>#N/A</v>
      </c>
      <c r="W22" s="200" t="e">
        <f aca="false">IF($A23="","",(T22+R22+G22+V22))</f>
        <v>#N/A</v>
      </c>
      <c r="X22" s="200" t="e">
        <f aca="false">IF($A23="","",(U22+S22+H22+V22))</f>
        <v>#N/A</v>
      </c>
      <c r="Y22" s="202"/>
      <c r="Z22" s="185" t="e">
        <f aca="false">IF($A23="","",VLOOKUP($A22,Table,MATCH(Z$4,Curves,0)))</f>
        <v>#N/A</v>
      </c>
      <c r="AA22" s="185" t="e">
        <f aca="false">IF($A23="","",VLOOKUP($A22,Table,MATCH(AA$4,Curves,0)))</f>
        <v>#N/A</v>
      </c>
      <c r="AB22" s="185" t="e">
        <f aca="false">SQRT((AA22^2*(A22-$D$3)+Z22^2*(DAY(EOMONTH(A22,0))/2))/AK22)</f>
        <v>#N/A</v>
      </c>
      <c r="AC22" s="185" t="e">
        <f aca="false">IF($A23="","",VLOOKUP($A22,Table,MATCH(AC$4,Curves,0)))</f>
        <v>#N/A</v>
      </c>
      <c r="AD22" s="185" t="e">
        <f aca="false">IF($A23="","",VLOOKUP($A22,Table,MATCH(AD$4,Curves,0)))</f>
        <v>#N/A</v>
      </c>
      <c r="AE22" s="185" t="e">
        <f aca="false">SQRT((AD22^2*(A22-$D$3)+AC22^2*(DAY(EOMONTH(A22,0))/2))/AK22)</f>
        <v>#N/A</v>
      </c>
      <c r="AF22" s="224" t="e">
        <f aca="false">((Summary!$N$10*(AA22*AD22)*(A22-$D$3))+(Summary!$M$10*Z22*AC22*(AJ22-EOMONTH(EDATE(A22,-1),0))))/(AK22*AB22*AE22)</f>
        <v>#N/A</v>
      </c>
      <c r="AG22" s="207" t="n">
        <f aca="false">IF($A23="","",Summary!$Q$10)</f>
        <v>0</v>
      </c>
      <c r="AH22" s="207" t="n">
        <f aca="false">IF($A23="","",IF(Summary!$R$10="Y",(VLOOKUP($A22,Summary!$AD$6:$AF$9,3)+'Escalating commodity'!F35),'Escalating commodity'!F35))</f>
        <v>0.0128</v>
      </c>
      <c r="AI22" s="207" t="n">
        <f aca="false">IF($A23="","",AH22)</f>
        <v>0.0128</v>
      </c>
      <c r="AJ22" s="208" t="n">
        <f aca="false">A22+DAY(EOMONTH(A22,0))/2-1</f>
        <v>37422</v>
      </c>
      <c r="AK22" s="209" t="n">
        <f aca="false">IF($A23="","",$A22-$E$1)</f>
        <v>-8518</v>
      </c>
      <c r="AL22" s="182" t="e">
        <f aca="false">IF($A23="","",SPRDOPT(P22,X22,AI22,0,AB22,AE22,AF22,AK22,$AJ$2,0))</f>
        <v>#NAME?</v>
      </c>
      <c r="AM22" s="211" t="e">
        <f aca="false">IF($A23="","",MAX(0,O22-W22-AI22))</f>
        <v>#N/A</v>
      </c>
      <c r="AN22" s="211" t="e">
        <f aca="false">IF($A23="","",AL22-AM22)</f>
        <v>#N/A</v>
      </c>
      <c r="AO22" s="137" t="n">
        <f aca="false">IF(A23="","",A23-A22)</f>
        <v>30</v>
      </c>
      <c r="AP22" s="212" t="n">
        <f aca="false">IF(A23="","",CHOOSE(F$3,A23+24,A22))</f>
        <v>37408</v>
      </c>
      <c r="AQ22" s="209" t="n">
        <f aca="false">IF(A23="","",AP22-$E$1)</f>
        <v>-8518</v>
      </c>
      <c r="AR22" s="185" t="n">
        <f aca="false">'ANR OK vs ML7'!AR22</f>
        <v>0.1</v>
      </c>
      <c r="AS22" s="213" t="n">
        <f aca="false">IF(A23="","",1/(1+CHOOSE(F$3,(AR23+($I$3/10000))/2,(AR22+($I$3/10000))/2))^(2*AQ22/365.25))</f>
        <v>9.73445940493808</v>
      </c>
      <c r="AT22" s="137" t="n">
        <f aca="false">IF(A23="","",IF(AND(mthbeg&lt;=A22,mthend&gt;=A22),1,0))</f>
        <v>1</v>
      </c>
      <c r="AU22" s="137" t="n">
        <f aca="false">IF(A23="","",AO22*AT22)</f>
        <v>30</v>
      </c>
      <c r="AW22" s="195" t="e">
        <f aca="false">IF($A23="","",AL22*$E22)</f>
        <v>#NAME?</v>
      </c>
      <c r="AX22" s="195" t="e">
        <f aca="false">IF($A23="","",AM22*$E22)</f>
        <v>#N/A</v>
      </c>
      <c r="AY22" s="195" t="e">
        <f aca="false">IF($A23="","",AN22*$E22)</f>
        <v>#N/A</v>
      </c>
      <c r="BA22" s="195" t="n">
        <f aca="false">IF($A23="","",F22*Summary!$Q$10)</f>
        <v>0</v>
      </c>
      <c r="BC22" s="179" t="e">
        <f aca="false">IF(A23="","",AM22*F22)</f>
        <v>#N/A</v>
      </c>
    </row>
    <row r="23" customFormat="false" ht="12.75" hidden="false" customHeight="false" outlineLevel="0" collapsed="false">
      <c r="A23" s="196" t="n">
        <f aca="false">IF(A22&lt;mthend,EDATE(A22,1),"")</f>
        <v>37438</v>
      </c>
      <c r="B23" s="197" t="n">
        <f aca="false">IF(A23&lt;mthend,B22,"")</f>
        <v>119740</v>
      </c>
      <c r="C23" s="215"/>
      <c r="D23" s="197" t="n">
        <f aca="false">IF(A24&lt;&gt;"",B23+C23,"")</f>
        <v>119740</v>
      </c>
      <c r="E23" s="199" t="n">
        <f aca="false">IF(A24="","",IF(AND(AT23=1,$H$3=1),D23*AO23,IF($H$3=2,D23,"N/A")))</f>
        <v>3711940</v>
      </c>
      <c r="F23" s="199" t="n">
        <f aca="false">IF(A24="","",E23*AS23)</f>
        <v>35845281.6903044</v>
      </c>
      <c r="G23" s="200" t="e">
        <f aca="false">IF($A24="","",VLOOKUP($A23,Table,MATCH(G$4,Curves,0)))</f>
        <v>#N/A</v>
      </c>
      <c r="H23" s="201" t="e">
        <f aca="false">IF(A24="","",G23)</f>
        <v>#N/A</v>
      </c>
      <c r="I23" s="202"/>
      <c r="J23" s="200" t="e">
        <f aca="false">IF($A24="","",VLOOKUP($A23,Table,MATCH(J$4,Curves,0)))</f>
        <v>#N/A</v>
      </c>
      <c r="K23" s="201" t="e">
        <f aca="false">IF(A24="","",J23)</f>
        <v>#N/A</v>
      </c>
      <c r="L23" s="185" t="n">
        <v>0</v>
      </c>
      <c r="M23" s="201" t="n">
        <f aca="false">IF(A24="","",L23)</f>
        <v>0</v>
      </c>
      <c r="N23" s="203"/>
      <c r="O23" s="200" t="e">
        <f aca="false">IF(A24="","",L23+J23+G23)</f>
        <v>#N/A</v>
      </c>
      <c r="P23" s="200" t="e">
        <f aca="false">IF(A24="","",M23+K23+H23)</f>
        <v>#N/A</v>
      </c>
      <c r="Q23" s="204"/>
      <c r="R23" s="200" t="e">
        <f aca="false">IF($A24="","",VLOOKUP($A23,Table,MATCH(R$4,Curves,0)))</f>
        <v>#N/A</v>
      </c>
      <c r="S23" s="201" t="e">
        <f aca="false">IF(A24="","",R23)</f>
        <v>#N/A</v>
      </c>
      <c r="T23" s="200" t="e">
        <f aca="false">IF($A24="","",VLOOKUP($A23,Table,MATCH(T$4,Curves,0)))</f>
        <v>#N/A</v>
      </c>
      <c r="U23" s="201" t="e">
        <f aca="false">IF(A24="","",T23)</f>
        <v>#N/A</v>
      </c>
      <c r="V23" s="205" t="e">
        <f aca="false">IF($A24="","",IF(AND(MONTH(A23)&gt;3,MONTH(A23)&lt;11),(T23+R23+G23)*Summary!$T$10/(1-Summary!$T$10),(T23+R23+G23)*Summary!$U$10/(1-Summary!$U$10)))</f>
        <v>#N/A</v>
      </c>
      <c r="W23" s="200" t="e">
        <f aca="false">IF($A24="","",(T23+R23+G23+V23))</f>
        <v>#N/A</v>
      </c>
      <c r="X23" s="200" t="e">
        <f aca="false">IF($A24="","",(U23+S23+H23+V23))</f>
        <v>#N/A</v>
      </c>
      <c r="Y23" s="202"/>
      <c r="Z23" s="185" t="e">
        <f aca="false">IF($A24="","",VLOOKUP($A23,Table,MATCH(Z$4,Curves,0)))</f>
        <v>#N/A</v>
      </c>
      <c r="AA23" s="185" t="e">
        <f aca="false">IF($A24="","",VLOOKUP($A23,Table,MATCH(AA$4,Curves,0)))</f>
        <v>#N/A</v>
      </c>
      <c r="AB23" s="185" t="e">
        <f aca="false">SQRT((AA23^2*(A23-$D$3)+Z23^2*(DAY(EOMONTH(A23,0))/2))/AK23)</f>
        <v>#N/A</v>
      </c>
      <c r="AC23" s="185" t="e">
        <f aca="false">IF($A24="","",VLOOKUP($A23,Table,MATCH(AC$4,Curves,0)))</f>
        <v>#N/A</v>
      </c>
      <c r="AD23" s="185" t="e">
        <f aca="false">IF($A24="","",VLOOKUP($A23,Table,MATCH(AD$4,Curves,0)))</f>
        <v>#N/A</v>
      </c>
      <c r="AE23" s="185" t="e">
        <f aca="false">SQRT((AD23^2*(A23-$D$3)+AC23^2*(DAY(EOMONTH(A23,0))/2))/AK23)</f>
        <v>#N/A</v>
      </c>
      <c r="AF23" s="224" t="e">
        <f aca="false">((Summary!$N$10*(AA23*AD23)*(A23-$D$3))+(Summary!$M$10*Z23*AC23*(AJ23-EOMONTH(EDATE(A23,-1),0))))/(AK23*AB23*AE23)</f>
        <v>#N/A</v>
      </c>
      <c r="AG23" s="207" t="n">
        <f aca="false">IF($A24="","",Summary!$Q$10)</f>
        <v>0</v>
      </c>
      <c r="AH23" s="207" t="n">
        <f aca="false">IF($A24="","",IF(Summary!$R$10="Y",(VLOOKUP($A23,Summary!$AD$6:$AF$9,3)+'Escalating commodity'!F36),'Escalating commodity'!F36))</f>
        <v>0.0128</v>
      </c>
      <c r="AI23" s="207" t="n">
        <f aca="false">IF($A24="","",AH23)</f>
        <v>0.0128</v>
      </c>
      <c r="AJ23" s="208" t="n">
        <f aca="false">A23+DAY(EOMONTH(A23,0))/2-1</f>
        <v>37452.5</v>
      </c>
      <c r="AK23" s="209" t="n">
        <f aca="false">IF($A24="","",$A23-$E$1)</f>
        <v>-8488</v>
      </c>
      <c r="AL23" s="182" t="e">
        <f aca="false">IF($A24="","",SPRDOPT(P23,X23,AI23,0,AB23,AE23,AF23,AK23,$AJ$2,0))</f>
        <v>#NAME?</v>
      </c>
      <c r="AM23" s="211" t="e">
        <f aca="false">IF($A24="","",MAX(0,O23-W23-AI23))</f>
        <v>#N/A</v>
      </c>
      <c r="AN23" s="211" t="e">
        <f aca="false">IF($A24="","",AL23-AM23)</f>
        <v>#N/A</v>
      </c>
      <c r="AO23" s="137" t="n">
        <f aca="false">IF(A24="","",A24-A23)</f>
        <v>31</v>
      </c>
      <c r="AP23" s="212" t="n">
        <f aca="false">IF(A24="","",CHOOSE(F$3,A24+24,A23))</f>
        <v>37438</v>
      </c>
      <c r="AQ23" s="209" t="n">
        <f aca="false">IF(A24="","",AP23-$E$1)</f>
        <v>-8488</v>
      </c>
      <c r="AR23" s="185" t="n">
        <f aca="false">'ANR OK vs ML7'!AR23</f>
        <v>0.1</v>
      </c>
      <c r="AS23" s="213" t="n">
        <f aca="false">IF(A24="","",1/(1+CHOOSE(F$3,(AR24+($I$3/10000))/2,(AR23+($I$3/10000))/2))^(2*AQ23/365.25))</f>
        <v>9.65675137267963</v>
      </c>
      <c r="AT23" s="137" t="n">
        <f aca="false">IF(A24="","",IF(AND(mthbeg&lt;=A23,mthend&gt;=A23),1,0))</f>
        <v>1</v>
      </c>
      <c r="AU23" s="137" t="n">
        <f aca="false">IF(A24="","",AO23*AT23)</f>
        <v>31</v>
      </c>
      <c r="AW23" s="195" t="e">
        <f aca="false">IF($A24="","",AL23*$E23)</f>
        <v>#NAME?</v>
      </c>
      <c r="AX23" s="195" t="e">
        <f aca="false">IF($A24="","",AM23*$E23)</f>
        <v>#N/A</v>
      </c>
      <c r="AY23" s="195" t="e">
        <f aca="false">IF($A24="","",AN23*$E23)</f>
        <v>#N/A</v>
      </c>
      <c r="BA23" s="195" t="n">
        <f aca="false">IF($A24="","",F23*Summary!$Q$10)</f>
        <v>0</v>
      </c>
      <c r="BC23" s="179" t="e">
        <f aca="false">IF(A24="","",AM23*F23)</f>
        <v>#N/A</v>
      </c>
    </row>
    <row r="24" customFormat="false" ht="12.75" hidden="false" customHeight="false" outlineLevel="0" collapsed="false">
      <c r="A24" s="196" t="n">
        <f aca="false">IF(A23&lt;mthend,EDATE(A23,1),"")</f>
        <v>37469</v>
      </c>
      <c r="B24" s="197" t="n">
        <f aca="false">IF(A24&lt;mthend,B23,"")</f>
        <v>119740</v>
      </c>
      <c r="C24" s="215"/>
      <c r="D24" s="197" t="n">
        <f aca="false">IF(A25&lt;&gt;"",B24+C24,"")</f>
        <v>119740</v>
      </c>
      <c r="E24" s="199" t="n">
        <f aca="false">IF(A25="","",IF(AND(AT24=1,$H$3=1),D24*AO24,IF($H$3=2,D24,"N/A")))</f>
        <v>3711940</v>
      </c>
      <c r="F24" s="199" t="n">
        <f aca="false">IF(A25="","",E24*AS24)</f>
        <v>35549638.0263959</v>
      </c>
      <c r="G24" s="200" t="e">
        <f aca="false">IF($A25="","",VLOOKUP($A24,Table,MATCH(G$4,Curves,0)))</f>
        <v>#N/A</v>
      </c>
      <c r="H24" s="201" t="e">
        <f aca="false">IF(A25="","",G24)</f>
        <v>#N/A</v>
      </c>
      <c r="I24" s="202"/>
      <c r="J24" s="200" t="e">
        <f aca="false">IF($A25="","",VLOOKUP($A24,Table,MATCH(J$4,Curves,0)))</f>
        <v>#N/A</v>
      </c>
      <c r="K24" s="201" t="e">
        <f aca="false">IF(A25="","",J24)</f>
        <v>#N/A</v>
      </c>
      <c r="L24" s="185" t="n">
        <v>0</v>
      </c>
      <c r="M24" s="201" t="n">
        <f aca="false">IF(A25="","",L24)</f>
        <v>0</v>
      </c>
      <c r="N24" s="203"/>
      <c r="O24" s="200" t="e">
        <f aca="false">IF(A25="","",L24+J24+G24)</f>
        <v>#N/A</v>
      </c>
      <c r="P24" s="200" t="e">
        <f aca="false">IF(A25="","",M24+K24+H24)</f>
        <v>#N/A</v>
      </c>
      <c r="Q24" s="204"/>
      <c r="R24" s="200" t="e">
        <f aca="false">IF($A25="","",VLOOKUP($A24,Table,MATCH(R$4,Curves,0)))</f>
        <v>#N/A</v>
      </c>
      <c r="S24" s="201" t="e">
        <f aca="false">IF(A25="","",R24)</f>
        <v>#N/A</v>
      </c>
      <c r="T24" s="200" t="e">
        <f aca="false">IF($A25="","",VLOOKUP($A24,Table,MATCH(T$4,Curves,0)))</f>
        <v>#N/A</v>
      </c>
      <c r="U24" s="201" t="e">
        <f aca="false">IF(A25="","",T24)</f>
        <v>#N/A</v>
      </c>
      <c r="V24" s="205" t="e">
        <f aca="false">IF($A25="","",IF(AND(MONTH(A24)&gt;3,MONTH(A24)&lt;11),(T24+R24+G24)*Summary!$T$10/(1-Summary!$T$10),(T24+R24+G24)*Summary!$U$10/(1-Summary!$U$10)))</f>
        <v>#N/A</v>
      </c>
      <c r="W24" s="200" t="e">
        <f aca="false">IF($A25="","",(T24+R24+G24+V24))</f>
        <v>#N/A</v>
      </c>
      <c r="X24" s="200" t="e">
        <f aca="false">IF($A25="","",(U24+S24+H24+V24))</f>
        <v>#N/A</v>
      </c>
      <c r="Y24" s="202"/>
      <c r="Z24" s="185" t="e">
        <f aca="false">IF($A25="","",VLOOKUP($A24,Table,MATCH(Z$4,Curves,0)))</f>
        <v>#N/A</v>
      </c>
      <c r="AA24" s="185" t="e">
        <f aca="false">IF($A25="","",VLOOKUP($A24,Table,MATCH(AA$4,Curves,0)))</f>
        <v>#N/A</v>
      </c>
      <c r="AB24" s="185" t="e">
        <f aca="false">SQRT((AA24^2*(A24-$D$3)+Z24^2*(DAY(EOMONTH(A24,0))/2))/AK24)</f>
        <v>#N/A</v>
      </c>
      <c r="AC24" s="185" t="e">
        <f aca="false">IF($A25="","",VLOOKUP($A24,Table,MATCH(AC$4,Curves,0)))</f>
        <v>#N/A</v>
      </c>
      <c r="AD24" s="185" t="e">
        <f aca="false">IF($A25="","",VLOOKUP($A24,Table,MATCH(AD$4,Curves,0)))</f>
        <v>#N/A</v>
      </c>
      <c r="AE24" s="185" t="e">
        <f aca="false">SQRT((AD24^2*(A24-$D$3)+AC24^2*(DAY(EOMONTH(A24,0))/2))/AK24)</f>
        <v>#N/A</v>
      </c>
      <c r="AF24" s="224" t="e">
        <f aca="false">((Summary!$N$10*(AA24*AD24)*(A24-$D$3))+(Summary!$M$10*Z24*AC24*(AJ24-EOMONTH(EDATE(A24,-1),0))))/(AK24*AB24*AE24)</f>
        <v>#N/A</v>
      </c>
      <c r="AG24" s="207" t="n">
        <f aca="false">IF($A25="","",Summary!$Q$10)</f>
        <v>0</v>
      </c>
      <c r="AH24" s="207" t="n">
        <f aca="false">IF($A25="","",IF(Summary!$R$10="Y",(VLOOKUP($A24,Summary!$AD$6:$AF$9,3)+'Escalating commodity'!F37),'Escalating commodity'!F37))</f>
        <v>0.0128</v>
      </c>
      <c r="AI24" s="207" t="n">
        <f aca="false">IF($A25="","",AH24)</f>
        <v>0.0128</v>
      </c>
      <c r="AJ24" s="208" t="n">
        <f aca="false">A24+DAY(EOMONTH(A24,0))/2-1</f>
        <v>37483.5</v>
      </c>
      <c r="AK24" s="209" t="n">
        <f aca="false">IF($A25="","",$A24-$E$1)</f>
        <v>-8457</v>
      </c>
      <c r="AL24" s="182" t="e">
        <f aca="false">IF($A25="","",SPRDOPT(P24,X24,AI24,0,AB24,AE24,AF24,AK24,$AJ$2,0))</f>
        <v>#NAME?</v>
      </c>
      <c r="AM24" s="211" t="e">
        <f aca="false">IF($A25="","",MAX(0,O24-W24-AI24))</f>
        <v>#N/A</v>
      </c>
      <c r="AN24" s="211" t="e">
        <f aca="false">IF($A25="","",AL24-AM24)</f>
        <v>#N/A</v>
      </c>
      <c r="AO24" s="137" t="n">
        <f aca="false">IF(A25="","",A25-A24)</f>
        <v>31</v>
      </c>
      <c r="AP24" s="212" t="n">
        <f aca="false">IF(A25="","",CHOOSE(F$3,A25+24,A24))</f>
        <v>37469</v>
      </c>
      <c r="AQ24" s="209" t="n">
        <f aca="false">IF(A25="","",AP24-$E$1)</f>
        <v>-8457</v>
      </c>
      <c r="AR24" s="185" t="n">
        <f aca="false">'ANR OK vs ML7'!AR24</f>
        <v>0.1</v>
      </c>
      <c r="AS24" s="213" t="n">
        <f aca="false">IF(A25="","",1/(1+CHOOSE(F$3,(AR25+($I$3/10000))/2,(AR24+($I$3/10000))/2))^(2*AQ24/365.25))</f>
        <v>9.57710470169126</v>
      </c>
      <c r="AT24" s="137" t="n">
        <f aca="false">IF(A25="","",IF(AND(mthbeg&lt;=A24,mthend&gt;=A24),1,0))</f>
        <v>1</v>
      </c>
      <c r="AU24" s="137" t="n">
        <f aca="false">IF(A25="","",AO24*AT24)</f>
        <v>31</v>
      </c>
      <c r="AW24" s="195" t="e">
        <f aca="false">IF($A25="","",AL24*$E24)</f>
        <v>#NAME?</v>
      </c>
      <c r="AX24" s="195" t="e">
        <f aca="false">IF($A25="","",AM24*$E24)</f>
        <v>#N/A</v>
      </c>
      <c r="AY24" s="195" t="e">
        <f aca="false">IF($A25="","",AN24*$E24)</f>
        <v>#N/A</v>
      </c>
      <c r="BA24" s="195" t="n">
        <f aca="false">IF($A25="","",F24*Summary!$Q$10)</f>
        <v>0</v>
      </c>
      <c r="BC24" s="179" t="e">
        <f aca="false">IF(A25="","",AM24*F24)</f>
        <v>#N/A</v>
      </c>
    </row>
    <row r="25" customFormat="false" ht="12.75" hidden="false" customHeight="false" outlineLevel="0" collapsed="false">
      <c r="A25" s="196" t="n">
        <f aca="false">IF(A24&lt;mthend,EDATE(A24,1),"")</f>
        <v>37500</v>
      </c>
      <c r="B25" s="197" t="n">
        <f aca="false">IF(A25&lt;mthend,B24,"")</f>
        <v>119740</v>
      </c>
      <c r="C25" s="215"/>
      <c r="D25" s="197" t="n">
        <f aca="false">IF(A26&lt;&gt;"",B25+C25,"")</f>
        <v>119740</v>
      </c>
      <c r="E25" s="199" t="n">
        <f aca="false">IF(A26="","",IF(AND(AT25=1,$H$3=1),D25*AO25,IF($H$3=2,D25,"N/A")))</f>
        <v>3592200</v>
      </c>
      <c r="F25" s="199" t="n">
        <f aca="false">IF(A26="","",E25*AS25)</f>
        <v>34119128.480937</v>
      </c>
      <c r="G25" s="200" t="e">
        <f aca="false">IF($A26="","",VLOOKUP($A25,Table,MATCH(G$4,Curves,0)))</f>
        <v>#N/A</v>
      </c>
      <c r="H25" s="201" t="e">
        <f aca="false">IF(A26="","",G25)</f>
        <v>#N/A</v>
      </c>
      <c r="I25" s="202"/>
      <c r="J25" s="200" t="e">
        <f aca="false">IF($A26="","",VLOOKUP($A25,Table,MATCH(J$4,Curves,0)))</f>
        <v>#N/A</v>
      </c>
      <c r="K25" s="201" t="e">
        <f aca="false">IF(A26="","",J25)</f>
        <v>#N/A</v>
      </c>
      <c r="L25" s="185" t="n">
        <v>0</v>
      </c>
      <c r="M25" s="201" t="n">
        <f aca="false">IF(A26="","",L25)</f>
        <v>0</v>
      </c>
      <c r="N25" s="203"/>
      <c r="O25" s="200" t="e">
        <f aca="false">IF(A26="","",L25+J25+G25)</f>
        <v>#N/A</v>
      </c>
      <c r="P25" s="200" t="e">
        <f aca="false">IF(A26="","",M25+K25+H25)</f>
        <v>#N/A</v>
      </c>
      <c r="Q25" s="204"/>
      <c r="R25" s="200" t="e">
        <f aca="false">IF($A26="","",VLOOKUP($A25,Table,MATCH(R$4,Curves,0)))</f>
        <v>#N/A</v>
      </c>
      <c r="S25" s="201" t="e">
        <f aca="false">IF(A26="","",R25)</f>
        <v>#N/A</v>
      </c>
      <c r="T25" s="200" t="e">
        <f aca="false">IF($A26="","",VLOOKUP($A25,Table,MATCH(T$4,Curves,0)))</f>
        <v>#N/A</v>
      </c>
      <c r="U25" s="201" t="e">
        <f aca="false">IF(A26="","",T25)</f>
        <v>#N/A</v>
      </c>
      <c r="V25" s="205" t="e">
        <f aca="false">IF($A26="","",IF(AND(MONTH(A25)&gt;3,MONTH(A25)&lt;11),(T25+R25+G25)*Summary!$T$10/(1-Summary!$T$10),(T25+R25+G25)*Summary!$U$10/(1-Summary!$U$10)))</f>
        <v>#N/A</v>
      </c>
      <c r="W25" s="200" t="e">
        <f aca="false">IF($A26="","",(T25+R25+G25+V25))</f>
        <v>#N/A</v>
      </c>
      <c r="X25" s="200" t="e">
        <f aca="false">IF($A26="","",(U25+S25+H25+V25))</f>
        <v>#N/A</v>
      </c>
      <c r="Y25" s="202"/>
      <c r="Z25" s="185" t="e">
        <f aca="false">IF($A26="","",VLOOKUP($A25,Table,MATCH(Z$4,Curves,0)))</f>
        <v>#N/A</v>
      </c>
      <c r="AA25" s="185" t="e">
        <f aca="false">IF($A26="","",VLOOKUP($A25,Table,MATCH(AA$4,Curves,0)))</f>
        <v>#N/A</v>
      </c>
      <c r="AB25" s="185" t="e">
        <f aca="false">SQRT((AA25^2*(A25-$D$3)+Z25^2*(DAY(EOMONTH(A25,0))/2))/AK25)</f>
        <v>#N/A</v>
      </c>
      <c r="AC25" s="185" t="e">
        <f aca="false">IF($A26="","",VLOOKUP($A25,Table,MATCH(AC$4,Curves,0)))</f>
        <v>#N/A</v>
      </c>
      <c r="AD25" s="185" t="e">
        <f aca="false">IF($A26="","",VLOOKUP($A25,Table,MATCH(AD$4,Curves,0)))</f>
        <v>#N/A</v>
      </c>
      <c r="AE25" s="185" t="e">
        <f aca="false">SQRT((AD25^2*(A25-$D$3)+AC25^2*(DAY(EOMONTH(A25,0))/2))/AK25)</f>
        <v>#N/A</v>
      </c>
      <c r="AF25" s="224" t="e">
        <f aca="false">((Summary!$N$10*(AA25*AD25)*(A25-$D$3))+(Summary!$M$10*Z25*AC25*(AJ25-EOMONTH(EDATE(A25,-1),0))))/(AK25*AB25*AE25)</f>
        <v>#N/A</v>
      </c>
      <c r="AG25" s="207" t="n">
        <f aca="false">IF($A26="","",Summary!$Q$10)</f>
        <v>0</v>
      </c>
      <c r="AH25" s="207" t="n">
        <f aca="false">IF($A26="","",IF(Summary!$R$10="Y",(VLOOKUP($A25,Summary!$AD$6:$AF$9,3)+'Escalating commodity'!F38),'Escalating commodity'!F38))</f>
        <v>0.0128</v>
      </c>
      <c r="AI25" s="207" t="n">
        <f aca="false">IF($A26="","",AH25)</f>
        <v>0.0128</v>
      </c>
      <c r="AJ25" s="208" t="n">
        <f aca="false">A25+DAY(EOMONTH(A25,0))/2-1</f>
        <v>37514</v>
      </c>
      <c r="AK25" s="209" t="n">
        <f aca="false">IF($A26="","",$A25-$E$1)</f>
        <v>-8426</v>
      </c>
      <c r="AL25" s="182" t="e">
        <f aca="false">IF($A26="","",SPRDOPT(P25,X25,AI25,0,AB25,AE25,AF25,AK25,$AJ$2,0))</f>
        <v>#NAME?</v>
      </c>
      <c r="AM25" s="211" t="e">
        <f aca="false">IF($A26="","",MAX(0,O25-W25-AI25))</f>
        <v>#N/A</v>
      </c>
      <c r="AN25" s="211" t="e">
        <f aca="false">IF($A26="","",AL25-AM25)</f>
        <v>#N/A</v>
      </c>
      <c r="AO25" s="137" t="n">
        <f aca="false">IF(A26="","",A26-A25)</f>
        <v>30</v>
      </c>
      <c r="AP25" s="212" t="n">
        <f aca="false">IF(A26="","",CHOOSE(F$3,A26+24,A25))</f>
        <v>37500</v>
      </c>
      <c r="AQ25" s="209" t="n">
        <f aca="false">IF(A26="","",AP25-$E$1)</f>
        <v>-8426</v>
      </c>
      <c r="AR25" s="185" t="n">
        <f aca="false">'ANR OK vs ML7'!AR25</f>
        <v>0.1</v>
      </c>
      <c r="AS25" s="213" t="n">
        <f aca="false">IF(A26="","",1/(1+CHOOSE(F$3,(AR26+($I$3/10000))/2,(AR25+($I$3/10000))/2))^(2*AQ25/365.25))</f>
        <v>9.49811493818189</v>
      </c>
      <c r="AT25" s="137" t="n">
        <f aca="false">IF(A26="","",IF(AND(mthbeg&lt;=A25,mthend&gt;=A25),1,0))</f>
        <v>1</v>
      </c>
      <c r="AU25" s="137" t="n">
        <f aca="false">IF(A26="","",AO25*AT25)</f>
        <v>30</v>
      </c>
      <c r="AW25" s="195" t="e">
        <f aca="false">IF($A26="","",AL25*$E25)</f>
        <v>#NAME?</v>
      </c>
      <c r="AX25" s="195" t="e">
        <f aca="false">IF($A26="","",AM25*$E25)</f>
        <v>#N/A</v>
      </c>
      <c r="AY25" s="195" t="e">
        <f aca="false">IF($A26="","",AN25*$E25)</f>
        <v>#N/A</v>
      </c>
      <c r="BA25" s="195" t="n">
        <f aca="false">IF($A26="","",F25*Summary!$Q$10)</f>
        <v>0</v>
      </c>
      <c r="BC25" s="179" t="e">
        <f aca="false">IF(A26="","",AM25*F25)</f>
        <v>#N/A</v>
      </c>
    </row>
    <row r="26" customFormat="false" ht="12.75" hidden="false" customHeight="false" outlineLevel="0" collapsed="false">
      <c r="A26" s="196" t="n">
        <f aca="false">IF(A25&lt;mthend,EDATE(A25,1),"")</f>
        <v>37530</v>
      </c>
      <c r="B26" s="197" t="n">
        <f aca="false">IF(A26&lt;mthend,B25,"")</f>
        <v>119740</v>
      </c>
      <c r="C26" s="215"/>
      <c r="D26" s="197" t="n">
        <f aca="false">IF(A27&lt;&gt;"",B26+C26,"")</f>
        <v>119740</v>
      </c>
      <c r="E26" s="199" t="n">
        <f aca="false">IF(A27="","",IF(AND(AT26=1,$H$3=1),D26*AO26,IF($H$3=2,D26,"N/A")))</f>
        <v>3711940</v>
      </c>
      <c r="F26" s="199" t="n">
        <f aca="false">IF(A27="","",E26*AS26)</f>
        <v>34974988.4737625</v>
      </c>
      <c r="G26" s="200" t="e">
        <f aca="false">IF($A27="","",VLOOKUP($A26,Table,MATCH(G$4,Curves,0)))</f>
        <v>#N/A</v>
      </c>
      <c r="H26" s="201" t="e">
        <f aca="false">IF(A27="","",G26)</f>
        <v>#N/A</v>
      </c>
      <c r="I26" s="202"/>
      <c r="J26" s="200" t="e">
        <f aca="false">IF($A27="","",VLOOKUP($A26,Table,MATCH(J$4,Curves,0)))</f>
        <v>#N/A</v>
      </c>
      <c r="K26" s="201" t="e">
        <f aca="false">IF(A27="","",J26)</f>
        <v>#N/A</v>
      </c>
      <c r="L26" s="185" t="n">
        <v>0</v>
      </c>
      <c r="M26" s="201" t="n">
        <f aca="false">IF(A27="","",L26)</f>
        <v>0</v>
      </c>
      <c r="N26" s="203"/>
      <c r="O26" s="200" t="e">
        <f aca="false">IF(A27="","",L26+J26+G26)</f>
        <v>#N/A</v>
      </c>
      <c r="P26" s="200" t="e">
        <f aca="false">IF(A27="","",M26+K26+H26)</f>
        <v>#N/A</v>
      </c>
      <c r="Q26" s="204"/>
      <c r="R26" s="200" t="e">
        <f aca="false">IF($A27="","",VLOOKUP($A26,Table,MATCH(R$4,Curves,0)))</f>
        <v>#N/A</v>
      </c>
      <c r="S26" s="201" t="e">
        <f aca="false">IF(A27="","",R26)</f>
        <v>#N/A</v>
      </c>
      <c r="T26" s="200" t="e">
        <f aca="false">IF($A27="","",VLOOKUP($A26,Table,MATCH(T$4,Curves,0)))</f>
        <v>#N/A</v>
      </c>
      <c r="U26" s="201" t="e">
        <f aca="false">IF(A27="","",T26)</f>
        <v>#N/A</v>
      </c>
      <c r="V26" s="205" t="e">
        <f aca="false">IF($A27="","",IF(AND(MONTH(A26)&gt;3,MONTH(A26)&lt;11),(T26+R26+G26)*Summary!$T$10/(1-Summary!$T$10),(T26+R26+G26)*Summary!$U$10/(1-Summary!$U$10)))</f>
        <v>#N/A</v>
      </c>
      <c r="W26" s="200" t="e">
        <f aca="false">IF($A27="","",(T26+R26+G26+V26))</f>
        <v>#N/A</v>
      </c>
      <c r="X26" s="200" t="e">
        <f aca="false">IF($A27="","",(U26+S26+H26+V26))</f>
        <v>#N/A</v>
      </c>
      <c r="Y26" s="202"/>
      <c r="Z26" s="185" t="e">
        <f aca="false">IF($A27="","",VLOOKUP($A26,Table,MATCH(Z$4,Curves,0)))</f>
        <v>#N/A</v>
      </c>
      <c r="AA26" s="185" t="e">
        <f aca="false">IF($A27="","",VLOOKUP($A26,Table,MATCH(AA$4,Curves,0)))</f>
        <v>#N/A</v>
      </c>
      <c r="AB26" s="185" t="e">
        <f aca="false">SQRT((AA26^2*(A26-$D$3)+Z26^2*(DAY(EOMONTH(A26,0))/2))/AK26)</f>
        <v>#N/A</v>
      </c>
      <c r="AC26" s="185" t="e">
        <f aca="false">IF($A27="","",VLOOKUP($A26,Table,MATCH(AC$4,Curves,0)))</f>
        <v>#N/A</v>
      </c>
      <c r="AD26" s="185" t="e">
        <f aca="false">IF($A27="","",VLOOKUP($A26,Table,MATCH(AD$4,Curves,0)))</f>
        <v>#N/A</v>
      </c>
      <c r="AE26" s="185" t="e">
        <f aca="false">SQRT((AD26^2*(A26-$D$3)+AC26^2*(DAY(EOMONTH(A26,0))/2))/AK26)</f>
        <v>#N/A</v>
      </c>
      <c r="AF26" s="224" t="e">
        <f aca="false">((Summary!$N$10*(AA26*AD26)*(A26-$D$3))+(Summary!$M$10*Z26*AC26*(AJ26-EOMONTH(EDATE(A26,-1),0))))/(AK26*AB26*AE26)</f>
        <v>#N/A</v>
      </c>
      <c r="AG26" s="207" t="n">
        <f aca="false">IF($A27="","",Summary!$Q$10)</f>
        <v>0</v>
      </c>
      <c r="AH26" s="207" t="n">
        <f aca="false">IF($A27="","",IF(Summary!$R$10="Y",(VLOOKUP($A26,Summary!$AD$6:$AF$9,3)+'Escalating commodity'!F39),'Escalating commodity'!F39))</f>
        <v>0.0128</v>
      </c>
      <c r="AI26" s="207" t="n">
        <f aca="false">IF($A27="","",AH26)</f>
        <v>0.0128</v>
      </c>
      <c r="AJ26" s="208" t="n">
        <f aca="false">A26+DAY(EOMONTH(A26,0))/2-1</f>
        <v>37544.5</v>
      </c>
      <c r="AK26" s="209" t="n">
        <f aca="false">IF($A27="","",$A26-$E$1)</f>
        <v>-8396</v>
      </c>
      <c r="AL26" s="182" t="e">
        <f aca="false">IF($A27="","",SPRDOPT(P26,X26,AI26,0,AB26,AE26,AF26,AK26,$AJ$2,0))</f>
        <v>#NAME?</v>
      </c>
      <c r="AM26" s="211" t="e">
        <f aca="false">IF($A27="","",MAX(0,O26-W26-AI26))</f>
        <v>#N/A</v>
      </c>
      <c r="AN26" s="211" t="e">
        <f aca="false">IF($A27="","",AL26-AM26)</f>
        <v>#N/A</v>
      </c>
      <c r="AO26" s="137" t="n">
        <f aca="false">IF(A27="","",A27-A26)</f>
        <v>31</v>
      </c>
      <c r="AP26" s="212" t="n">
        <f aca="false">IF(A27="","",CHOOSE(F$3,A27+24,A26))</f>
        <v>37530</v>
      </c>
      <c r="AQ26" s="209" t="n">
        <f aca="false">IF(A27="","",AP26-$E$1)</f>
        <v>-8396</v>
      </c>
      <c r="AR26" s="185" t="n">
        <f aca="false">'ANR OK vs ML7'!AR26</f>
        <v>0.1</v>
      </c>
      <c r="AS26" s="213" t="n">
        <f aca="false">IF(A27="","",1/(1+CHOOSE(F$3,(AR27+($I$3/10000))/2,(AR26+($I$3/10000))/2))^(2*AQ26/365.25))</f>
        <v>9.42229359142726</v>
      </c>
      <c r="AT26" s="137" t="n">
        <f aca="false">IF(A27="","",IF(AND(mthbeg&lt;=A26,mthend&gt;=A26),1,0))</f>
        <v>1</v>
      </c>
      <c r="AU26" s="137" t="n">
        <f aca="false">IF(A27="","",AO26*AT26)</f>
        <v>31</v>
      </c>
      <c r="AW26" s="195" t="e">
        <f aca="false">IF($A27="","",AL26*$E26)</f>
        <v>#NAME?</v>
      </c>
      <c r="AX26" s="195" t="e">
        <f aca="false">IF($A27="","",AM26*$E26)</f>
        <v>#N/A</v>
      </c>
      <c r="AY26" s="195" t="e">
        <f aca="false">IF($A27="","",AN26*$E26)</f>
        <v>#N/A</v>
      </c>
      <c r="BA26" s="195" t="n">
        <f aca="false">IF($A27="","",F26*Summary!$Q$10)</f>
        <v>0</v>
      </c>
      <c r="BC26" s="179" t="e">
        <f aca="false">IF(A27="","",AM26*F26)</f>
        <v>#N/A</v>
      </c>
    </row>
    <row r="27" customFormat="false" ht="12.75" hidden="false" customHeight="false" outlineLevel="0" collapsed="false">
      <c r="A27" s="196" t="n">
        <f aca="false">IF(A26&lt;mthend,EDATE(A26,1),"")</f>
        <v>37561</v>
      </c>
      <c r="B27" s="197" t="n">
        <f aca="false">IF(A27&lt;mthend,B26,"")</f>
        <v>119740</v>
      </c>
      <c r="C27" s="215"/>
      <c r="D27" s="197" t="n">
        <f aca="false">IF(A28&lt;&gt;"",B27+C27,"")</f>
        <v>119740</v>
      </c>
      <c r="E27" s="199" t="n">
        <f aca="false">IF(A28="","",IF(AND(AT27=1,$H$3=1),D27*AO27,IF($H$3=2,D27,"N/A")))</f>
        <v>3592200</v>
      </c>
      <c r="F27" s="199" t="n">
        <f aca="false">IF(A28="","",E27*AS27)</f>
        <v>33567602.6987827</v>
      </c>
      <c r="G27" s="200" t="e">
        <f aca="false">IF($A28="","",VLOOKUP($A27,Table,MATCH(G$4,Curves,0)))</f>
        <v>#N/A</v>
      </c>
      <c r="H27" s="201" t="e">
        <f aca="false">IF(A28="","",G27)</f>
        <v>#N/A</v>
      </c>
      <c r="I27" s="202"/>
      <c r="J27" s="200" t="e">
        <f aca="false">IF($A28="","",VLOOKUP($A27,Table,MATCH(J$4,Curves,0)))</f>
        <v>#N/A</v>
      </c>
      <c r="K27" s="201" t="e">
        <f aca="false">IF(A28="","",J27)</f>
        <v>#N/A</v>
      </c>
      <c r="L27" s="185" t="n">
        <v>0</v>
      </c>
      <c r="M27" s="201" t="n">
        <f aca="false">IF(A28="","",L27)</f>
        <v>0</v>
      </c>
      <c r="N27" s="203"/>
      <c r="O27" s="200" t="e">
        <f aca="false">IF(A28="","",L27+J27+G27)</f>
        <v>#N/A</v>
      </c>
      <c r="P27" s="200" t="e">
        <f aca="false">IF(A28="","",M27+K27+H27)</f>
        <v>#N/A</v>
      </c>
      <c r="Q27" s="204"/>
      <c r="R27" s="200" t="e">
        <f aca="false">IF($A28="","",VLOOKUP($A27,Table,MATCH(R$4,Curves,0)))</f>
        <v>#N/A</v>
      </c>
      <c r="S27" s="201" t="e">
        <f aca="false">IF(A28="","",R27)</f>
        <v>#N/A</v>
      </c>
      <c r="T27" s="200" t="e">
        <f aca="false">IF($A28="","",VLOOKUP($A27,Table,MATCH(T$4,Curves,0)))</f>
        <v>#N/A</v>
      </c>
      <c r="U27" s="201" t="e">
        <f aca="false">IF(A28="","",T27)</f>
        <v>#N/A</v>
      </c>
      <c r="V27" s="205" t="e">
        <f aca="false">IF($A28="","",IF(AND(MONTH(A27)&gt;3,MONTH(A27)&lt;11),(T27+R27+G27)*Summary!$T$10/(1-Summary!$T$10),(T27+R27+G27)*Summary!$U$10/(1-Summary!$U$10)))</f>
        <v>#N/A</v>
      </c>
      <c r="W27" s="200" t="e">
        <f aca="false">IF($A28="","",(T27+R27+G27+V27))</f>
        <v>#N/A</v>
      </c>
      <c r="X27" s="200" t="e">
        <f aca="false">IF($A28="","",(U27+S27+H27+V27))</f>
        <v>#N/A</v>
      </c>
      <c r="Y27" s="202"/>
      <c r="Z27" s="185" t="e">
        <f aca="false">IF($A28="","",VLOOKUP($A27,Table,MATCH(Z$4,Curves,0)))</f>
        <v>#N/A</v>
      </c>
      <c r="AA27" s="185" t="e">
        <f aca="false">IF($A28="","",VLOOKUP($A27,Table,MATCH(AA$4,Curves,0)))</f>
        <v>#N/A</v>
      </c>
      <c r="AB27" s="185" t="e">
        <f aca="false">SQRT((AA27^2*(A27-$D$3)+Z27^2*(DAY(EOMONTH(A27,0))/2))/AK27)</f>
        <v>#N/A</v>
      </c>
      <c r="AC27" s="185" t="e">
        <f aca="false">IF($A28="","",VLOOKUP($A27,Table,MATCH(AC$4,Curves,0)))</f>
        <v>#N/A</v>
      </c>
      <c r="AD27" s="185" t="e">
        <f aca="false">IF($A28="","",VLOOKUP($A27,Table,MATCH(AD$4,Curves,0)))</f>
        <v>#N/A</v>
      </c>
      <c r="AE27" s="185" t="e">
        <f aca="false">SQRT((AD27^2*(A27-$D$3)+AC27^2*(DAY(EOMONTH(A27,0))/2))/AK27)</f>
        <v>#N/A</v>
      </c>
      <c r="AF27" s="224" t="e">
        <f aca="false">((Summary!$N$10*(AA27*AD27)*(A27-$D$3))+(Summary!$M$10*Z27*AC27*(AJ27-EOMONTH(EDATE(A27,-1),0))))/(AK27*AB27*AE27)</f>
        <v>#N/A</v>
      </c>
      <c r="AG27" s="207" t="n">
        <f aca="false">IF($A28="","",Summary!$Q$10)</f>
        <v>0</v>
      </c>
      <c r="AH27" s="207" t="n">
        <f aca="false">IF($A28="","",IF(Summary!$R$10="Y",(VLOOKUP($A27,Summary!$AD$6:$AF$9,3)+'Escalating commodity'!F40),'Escalating commodity'!F40))</f>
        <v>0.0128</v>
      </c>
      <c r="AI27" s="207" t="n">
        <f aca="false">IF($A28="","",AH27)</f>
        <v>0.0128</v>
      </c>
      <c r="AJ27" s="208" t="n">
        <f aca="false">A27+DAY(EOMONTH(A27,0))/2-1</f>
        <v>37575</v>
      </c>
      <c r="AK27" s="209" t="n">
        <f aca="false">IF($A28="","",$A27-$E$1)</f>
        <v>-8365</v>
      </c>
      <c r="AL27" s="182" t="e">
        <f aca="false">IF($A28="","",SPRDOPT(P27,X27,AI27,0,AB27,AE27,AF27,AK27,$AJ$2,0))</f>
        <v>#NAME?</v>
      </c>
      <c r="AM27" s="211" t="e">
        <f aca="false">IF($A28="","",MAX(0,O27-W27-AI27))</f>
        <v>#N/A</v>
      </c>
      <c r="AN27" s="211" t="e">
        <f aca="false">IF($A28="","",AL27-AM27)</f>
        <v>#N/A</v>
      </c>
      <c r="AO27" s="137" t="n">
        <f aca="false">IF(A28="","",A28-A27)</f>
        <v>30</v>
      </c>
      <c r="AP27" s="212" t="n">
        <f aca="false">IF(A28="","",CHOOSE(F$3,A28+24,A27))</f>
        <v>37561</v>
      </c>
      <c r="AQ27" s="209" t="n">
        <f aca="false">IF(A28="","",AP27-$E$1)</f>
        <v>-8365</v>
      </c>
      <c r="AR27" s="185" t="n">
        <f aca="false">'ANR OK vs ML7'!AR27</f>
        <v>0.1</v>
      </c>
      <c r="AS27" s="213" t="n">
        <f aca="false">IF(A28="","",1/(1+CHOOSE(F$3,(AR28+($I$3/10000))/2,(AR27+($I$3/10000))/2))^(2*AQ27/365.25))</f>
        <v>9.34458067445651</v>
      </c>
      <c r="AT27" s="137" t="n">
        <f aca="false">IF(A28="","",IF(AND(mthbeg&lt;=A27,mthend&gt;=A27),1,0))</f>
        <v>1</v>
      </c>
      <c r="AU27" s="137" t="n">
        <f aca="false">IF(A28="","",AO27*AT27)</f>
        <v>30</v>
      </c>
      <c r="AW27" s="195" t="e">
        <f aca="false">IF($A28="","",AL27*$E27)</f>
        <v>#NAME?</v>
      </c>
      <c r="AX27" s="195" t="e">
        <f aca="false">IF($A28="","",AM27*$E27)</f>
        <v>#N/A</v>
      </c>
      <c r="AY27" s="195" t="e">
        <f aca="false">IF($A28="","",AN27*$E27)</f>
        <v>#N/A</v>
      </c>
      <c r="BA27" s="195" t="n">
        <f aca="false">IF($A28="","",F27*Summary!$Q$10)</f>
        <v>0</v>
      </c>
      <c r="BC27" s="179" t="e">
        <f aca="false">IF(A28="","",AM27*F27)</f>
        <v>#N/A</v>
      </c>
    </row>
    <row r="28" customFormat="false" ht="12.75" hidden="false" customHeight="false" outlineLevel="0" collapsed="false">
      <c r="A28" s="196" t="n">
        <f aca="false">IF(A27&lt;mthend,EDATE(A27,1),"")</f>
        <v>37591</v>
      </c>
      <c r="B28" s="197" t="n">
        <f aca="false">IF(A28&lt;mthend,B27,"")</f>
        <v>119740</v>
      </c>
      <c r="C28" s="215"/>
      <c r="D28" s="197" t="n">
        <f aca="false">IF(A29&lt;&gt;"",B28+C28,"")</f>
        <v>119740</v>
      </c>
      <c r="E28" s="199" t="n">
        <f aca="false">IF(A29="","",IF(AND(AT28=1,$H$3=1),D28*AO28,IF($H$3=2,D28,"N/A")))</f>
        <v>3711940</v>
      </c>
      <c r="F28" s="199" t="n">
        <f aca="false">IF(A29="","",E28*AS28)</f>
        <v>34409627.9639063</v>
      </c>
      <c r="G28" s="200" t="e">
        <f aca="false">IF($A29="","",VLOOKUP($A28,Table,MATCH(G$4,Curves,0)))</f>
        <v>#N/A</v>
      </c>
      <c r="H28" s="201" t="e">
        <f aca="false">IF(A29="","",G28)</f>
        <v>#N/A</v>
      </c>
      <c r="I28" s="202"/>
      <c r="J28" s="200" t="e">
        <f aca="false">IF($A29="","",VLOOKUP($A28,Table,MATCH(J$4,Curves,0)))</f>
        <v>#N/A</v>
      </c>
      <c r="K28" s="201" t="e">
        <f aca="false">IF(A29="","",J28)</f>
        <v>#N/A</v>
      </c>
      <c r="L28" s="185" t="n">
        <v>0</v>
      </c>
      <c r="M28" s="201" t="n">
        <f aca="false">IF(A29="","",L28)</f>
        <v>0</v>
      </c>
      <c r="N28" s="203"/>
      <c r="O28" s="200" t="e">
        <f aca="false">IF(A29="","",L28+J28+G28)</f>
        <v>#N/A</v>
      </c>
      <c r="P28" s="200" t="e">
        <f aca="false">IF(A29="","",M28+K28+H28)</f>
        <v>#N/A</v>
      </c>
      <c r="Q28" s="204"/>
      <c r="R28" s="200" t="e">
        <f aca="false">IF($A29="","",VLOOKUP($A28,Table,MATCH(R$4,Curves,0)))</f>
        <v>#N/A</v>
      </c>
      <c r="S28" s="201" t="e">
        <f aca="false">IF(A29="","",R28)</f>
        <v>#N/A</v>
      </c>
      <c r="T28" s="200" t="e">
        <f aca="false">IF($A29="","",VLOOKUP($A28,Table,MATCH(T$4,Curves,0)))</f>
        <v>#N/A</v>
      </c>
      <c r="U28" s="201" t="e">
        <f aca="false">IF(A29="","",T28)</f>
        <v>#N/A</v>
      </c>
      <c r="V28" s="205" t="e">
        <f aca="false">IF($A29="","",IF(AND(MONTH(A28)&gt;3,MONTH(A28)&lt;11),(T28+R28+G28)*Summary!$T$10/(1-Summary!$T$10),(T28+R28+G28)*Summary!$U$10/(1-Summary!$U$10)))</f>
        <v>#N/A</v>
      </c>
      <c r="W28" s="200" t="e">
        <f aca="false">IF($A29="","",(T28+R28+G28+V28))</f>
        <v>#N/A</v>
      </c>
      <c r="X28" s="200" t="e">
        <f aca="false">IF($A29="","",(U28+S28+H28+V28))</f>
        <v>#N/A</v>
      </c>
      <c r="Y28" s="202"/>
      <c r="Z28" s="185" t="e">
        <f aca="false">IF($A29="","",VLOOKUP($A28,Table,MATCH(Z$4,Curves,0)))</f>
        <v>#N/A</v>
      </c>
      <c r="AA28" s="185" t="e">
        <f aca="false">IF($A29="","",VLOOKUP($A28,Table,MATCH(AA$4,Curves,0)))</f>
        <v>#N/A</v>
      </c>
      <c r="AB28" s="185" t="e">
        <f aca="false">SQRT((AA28^2*(A28-$D$3)+Z28^2*(DAY(EOMONTH(A28,0))/2))/AK28)</f>
        <v>#N/A</v>
      </c>
      <c r="AC28" s="185" t="e">
        <f aca="false">IF($A29="","",VLOOKUP($A28,Table,MATCH(AC$4,Curves,0)))</f>
        <v>#N/A</v>
      </c>
      <c r="AD28" s="185" t="e">
        <f aca="false">IF($A29="","",VLOOKUP($A28,Table,MATCH(AD$4,Curves,0)))</f>
        <v>#N/A</v>
      </c>
      <c r="AE28" s="185" t="e">
        <f aca="false">SQRT((AD28^2*(A28-$D$3)+AC28^2*(DAY(EOMONTH(A28,0))/2))/AK28)</f>
        <v>#N/A</v>
      </c>
      <c r="AF28" s="224" t="e">
        <f aca="false">((Summary!$N$10*(AA28*AD28)*(A28-$D$3))+(Summary!$M$10*Z28*AC28*(AJ28-EOMONTH(EDATE(A28,-1),0))))/(AK28*AB28*AE28)</f>
        <v>#N/A</v>
      </c>
      <c r="AG28" s="207" t="n">
        <f aca="false">IF($A29="","",Summary!$Q$10)</f>
        <v>0</v>
      </c>
      <c r="AH28" s="207" t="n">
        <f aca="false">IF($A29="","",IF(Summary!$R$10="Y",(VLOOKUP($A28,Summary!$AD$6:$AF$9,3)+'Escalating commodity'!F41),'Escalating commodity'!F41))</f>
        <v>0.0128</v>
      </c>
      <c r="AI28" s="207" t="n">
        <f aca="false">IF($A29="","",AH28)</f>
        <v>0.0128</v>
      </c>
      <c r="AJ28" s="208" t="n">
        <f aca="false">A28+DAY(EOMONTH(A28,0))/2-1</f>
        <v>37605.5</v>
      </c>
      <c r="AK28" s="209" t="n">
        <f aca="false">IF($A29="","",$A28-$E$1)</f>
        <v>-8335</v>
      </c>
      <c r="AL28" s="182" t="e">
        <f aca="false">IF($A29="","",SPRDOPT(P28,X28,AI28,0,AB28,AE28,AF28,AK28,$AJ$2,0))</f>
        <v>#NAME?</v>
      </c>
      <c r="AM28" s="211" t="e">
        <f aca="false">IF($A29="","",MAX(0,O28-W28-AI28))</f>
        <v>#N/A</v>
      </c>
      <c r="AN28" s="211" t="e">
        <f aca="false">IF($A29="","",AL28-AM28)</f>
        <v>#N/A</v>
      </c>
      <c r="AO28" s="137" t="n">
        <f aca="false">IF(A29="","",A29-A28)</f>
        <v>31</v>
      </c>
      <c r="AP28" s="212" t="n">
        <f aca="false">IF(A29="","",CHOOSE(F$3,A29+24,A28))</f>
        <v>37591</v>
      </c>
      <c r="AQ28" s="209" t="n">
        <f aca="false">IF(A29="","",AP28-$E$1)</f>
        <v>-8335</v>
      </c>
      <c r="AR28" s="185" t="n">
        <f aca="false">'ANR OK vs ML7'!AR28</f>
        <v>0.1</v>
      </c>
      <c r="AS28" s="213" t="n">
        <f aca="false">IF(A29="","",1/(1+CHOOSE(F$3,(AR29+($I$3/10000))/2,(AR28+($I$3/10000))/2))^(2*AQ28/365.25))</f>
        <v>9.26998495770576</v>
      </c>
      <c r="AT28" s="137" t="n">
        <f aca="false">IF(A29="","",IF(AND(mthbeg&lt;=A28,mthend&gt;=A28),1,0))</f>
        <v>1</v>
      </c>
      <c r="AU28" s="137" t="n">
        <f aca="false">IF(A29="","",AO28*AT28)</f>
        <v>31</v>
      </c>
      <c r="AW28" s="195" t="e">
        <f aca="false">IF($A29="","",AL28*$E28)</f>
        <v>#NAME?</v>
      </c>
      <c r="AX28" s="195" t="e">
        <f aca="false">IF($A29="","",AM28*$E28)</f>
        <v>#N/A</v>
      </c>
      <c r="AY28" s="195" t="e">
        <f aca="false">IF($A29="","",AN28*$E28)</f>
        <v>#N/A</v>
      </c>
      <c r="BA28" s="195" t="n">
        <f aca="false">IF($A29="","",F28*Summary!$Q$10)</f>
        <v>0</v>
      </c>
      <c r="BC28" s="179" t="e">
        <f aca="false">IF(A29="","",AM28*F28)</f>
        <v>#N/A</v>
      </c>
    </row>
    <row r="29" customFormat="false" ht="12.75" hidden="false" customHeight="false" outlineLevel="0" collapsed="false">
      <c r="A29" s="196" t="n">
        <f aca="false">IF(A28&lt;mthend,EDATE(A28,1),"")</f>
        <v>37622</v>
      </c>
      <c r="B29" s="197" t="n">
        <f aca="false">IF(A29&lt;mthend,B28,"")</f>
        <v>119740</v>
      </c>
      <c r="C29" s="215"/>
      <c r="D29" s="197" t="n">
        <f aca="false">IF(A30&lt;&gt;"",B29+C29,"")</f>
        <v>119740</v>
      </c>
      <c r="E29" s="199" t="n">
        <f aca="false">IF(A30="","",IF(AND(AT29=1,$H$3=1),D29*AO29,IF($H$3=2,D29,"N/A")))</f>
        <v>3711940</v>
      </c>
      <c r="F29" s="199" t="n">
        <f aca="false">IF(A30="","",E29*AS29)</f>
        <v>34125825.2427317</v>
      </c>
      <c r="G29" s="200" t="e">
        <f aca="false">IF($A30="","",VLOOKUP($A29,Table,MATCH(G$4,Curves,0)))</f>
        <v>#N/A</v>
      </c>
      <c r="H29" s="201" t="e">
        <f aca="false">IF(A30="","",G29)</f>
        <v>#N/A</v>
      </c>
      <c r="I29" s="202"/>
      <c r="J29" s="200" t="e">
        <f aca="false">IF($A30="","",VLOOKUP($A29,Table,MATCH(J$4,Curves,0)))</f>
        <v>#N/A</v>
      </c>
      <c r="K29" s="201" t="e">
        <f aca="false">IF(A30="","",J29)</f>
        <v>#N/A</v>
      </c>
      <c r="L29" s="185" t="n">
        <v>0</v>
      </c>
      <c r="M29" s="201" t="n">
        <f aca="false">IF(A30="","",L29)</f>
        <v>0</v>
      </c>
      <c r="N29" s="203"/>
      <c r="O29" s="200" t="e">
        <f aca="false">IF(A30="","",L29+J29+G29)</f>
        <v>#N/A</v>
      </c>
      <c r="P29" s="200" t="e">
        <f aca="false">IF(A30="","",M29+K29+H29)</f>
        <v>#N/A</v>
      </c>
      <c r="Q29" s="204"/>
      <c r="R29" s="200" t="e">
        <f aca="false">IF($A30="","",VLOOKUP($A29,Table,MATCH(R$4,Curves,0)))</f>
        <v>#N/A</v>
      </c>
      <c r="S29" s="201" t="e">
        <f aca="false">IF(A30="","",R29)</f>
        <v>#N/A</v>
      </c>
      <c r="T29" s="200" t="e">
        <f aca="false">IF($A30="","",VLOOKUP($A29,Table,MATCH(T$4,Curves,0)))</f>
        <v>#N/A</v>
      </c>
      <c r="U29" s="201" t="e">
        <f aca="false">IF(A30="","",T29)</f>
        <v>#N/A</v>
      </c>
      <c r="V29" s="205" t="e">
        <f aca="false">IF($A30="","",IF(AND(MONTH(A29)&gt;3,MONTH(A29)&lt;11),(T29+R29+G29)*Summary!$T$10/(1-Summary!$T$10),(T29+R29+G29)*Summary!$U$10/(1-Summary!$U$10)))</f>
        <v>#N/A</v>
      </c>
      <c r="W29" s="200" t="e">
        <f aca="false">IF($A30="","",(T29+R29+G29+V29))</f>
        <v>#N/A</v>
      </c>
      <c r="X29" s="200" t="e">
        <f aca="false">IF($A30="","",(U29+S29+H29+V29))</f>
        <v>#N/A</v>
      </c>
      <c r="Y29" s="202"/>
      <c r="Z29" s="185" t="e">
        <f aca="false">IF($A30="","",VLOOKUP($A29,Table,MATCH(Z$4,Curves,0)))</f>
        <v>#N/A</v>
      </c>
      <c r="AA29" s="185" t="e">
        <f aca="false">IF($A30="","",VLOOKUP($A29,Table,MATCH(AA$4,Curves,0)))</f>
        <v>#N/A</v>
      </c>
      <c r="AB29" s="185" t="e">
        <f aca="false">SQRT((AA29^2*(A29-$D$3)+Z29^2*(DAY(EOMONTH(A29,0))/2))/AK29)</f>
        <v>#N/A</v>
      </c>
      <c r="AC29" s="185" t="e">
        <f aca="false">IF($A30="","",VLOOKUP($A29,Table,MATCH(AC$4,Curves,0)))</f>
        <v>#N/A</v>
      </c>
      <c r="AD29" s="185" t="e">
        <f aca="false">IF($A30="","",VLOOKUP($A29,Table,MATCH(AD$4,Curves,0)))</f>
        <v>#N/A</v>
      </c>
      <c r="AE29" s="185" t="e">
        <f aca="false">SQRT((AD29^2*(A29-$D$3)+AC29^2*(DAY(EOMONTH(A29,0))/2))/AK29)</f>
        <v>#N/A</v>
      </c>
      <c r="AF29" s="224" t="e">
        <f aca="false">((Summary!$N$10*(AA29*AD29)*(A29-$D$3))+(Summary!$M$10*Z29*AC29*(AJ29-EOMONTH(EDATE(A29,-1),0))))/(AK29*AB29*AE29)</f>
        <v>#N/A</v>
      </c>
      <c r="AG29" s="207" t="n">
        <f aca="false">IF($A30="","",Summary!$Q$10)</f>
        <v>0</v>
      </c>
      <c r="AH29" s="207" t="n">
        <f aca="false">IF($A30="","",IF(Summary!$R$10="Y",(VLOOKUP($A29,Summary!$AD$6:$AF$9,3)+'Escalating commodity'!F42),'Escalating commodity'!F42))</f>
        <v>0.0128</v>
      </c>
      <c r="AI29" s="207" t="n">
        <f aca="false">IF($A30="","",AH29)</f>
        <v>0.0128</v>
      </c>
      <c r="AJ29" s="208" t="n">
        <f aca="false">A29+DAY(EOMONTH(A29,0))/2-1</f>
        <v>37636.5</v>
      </c>
      <c r="AK29" s="209" t="n">
        <f aca="false">IF($A30="","",$A29-$E$1)</f>
        <v>-8304</v>
      </c>
      <c r="AL29" s="182" t="e">
        <f aca="false">IF($A30="","",SPRDOPT(P29,X29,AI29,0,AB29,AE29,AF29,AK29,$AJ$2,0))</f>
        <v>#NAME?</v>
      </c>
      <c r="AM29" s="211" t="e">
        <f aca="false">IF($A30="","",MAX(0,O29-W29-AI29))</f>
        <v>#N/A</v>
      </c>
      <c r="AN29" s="211" t="e">
        <f aca="false">IF($A30="","",AL29-AM29)</f>
        <v>#N/A</v>
      </c>
      <c r="AO29" s="137" t="n">
        <f aca="false">IF(A30="","",A30-A29)</f>
        <v>31</v>
      </c>
      <c r="AP29" s="212" t="n">
        <f aca="false">IF(A30="","",CHOOSE(F$3,A30+24,A29))</f>
        <v>37622</v>
      </c>
      <c r="AQ29" s="209" t="n">
        <f aca="false">IF(A30="","",AP29-$E$1)</f>
        <v>-8304</v>
      </c>
      <c r="AR29" s="185" t="n">
        <f aca="false">'ANR OK vs ML7'!AR29</f>
        <v>0.1</v>
      </c>
      <c r="AS29" s="213" t="n">
        <f aca="false">IF(A30="","",1/(1+CHOOSE(F$3,(AR30+($I$3/10000))/2,(AR29+($I$3/10000))/2))^(2*AQ29/365.25))</f>
        <v>9.19352824742094</v>
      </c>
      <c r="AT29" s="137" t="n">
        <f aca="false">IF(A30="","",IF(AND(mthbeg&lt;=A29,mthend&gt;=A29),1,0))</f>
        <v>1</v>
      </c>
      <c r="AU29" s="137" t="n">
        <f aca="false">IF(A30="","",AO29*AT29)</f>
        <v>31</v>
      </c>
      <c r="AW29" s="195" t="e">
        <f aca="false">IF($A30="","",AL29*$E29)</f>
        <v>#NAME?</v>
      </c>
      <c r="AX29" s="195" t="e">
        <f aca="false">IF($A30="","",AM29*$E29)</f>
        <v>#N/A</v>
      </c>
      <c r="AY29" s="195" t="e">
        <f aca="false">IF($A30="","",AN29*$E29)</f>
        <v>#N/A</v>
      </c>
      <c r="BA29" s="195" t="n">
        <f aca="false">IF($A30="","",F29*Summary!$Q$10)</f>
        <v>0</v>
      </c>
      <c r="BC29" s="179" t="e">
        <f aca="false">IF(A30="","",AM29*F29)</f>
        <v>#N/A</v>
      </c>
    </row>
    <row r="30" customFormat="false" ht="12.75" hidden="false" customHeight="false" outlineLevel="0" collapsed="false">
      <c r="A30" s="196" t="n">
        <f aca="false">IF(A29&lt;mthend,EDATE(A29,1),"")</f>
        <v>37653</v>
      </c>
      <c r="B30" s="197" t="n">
        <f aca="false">IF(A30&lt;mthend,B29,"")</f>
        <v>119740</v>
      </c>
      <c r="C30" s="215"/>
      <c r="D30" s="197" t="n">
        <f aca="false">IF(A31&lt;&gt;"",B30+C30,"")</f>
        <v>119740</v>
      </c>
      <c r="E30" s="199" t="n">
        <f aca="false">IF(A31="","",IF(AND(AT30=1,$H$3=1),D30*AO30,IF($H$3=2,D30,"N/A")))</f>
        <v>3352720</v>
      </c>
      <c r="F30" s="199" t="n">
        <f aca="false">IF(A31="","",E30*AS30)</f>
        <v>30569102.3005508</v>
      </c>
      <c r="G30" s="200" t="e">
        <f aca="false">IF($A31="","",VLOOKUP($A30,Table,MATCH(G$4,Curves,0)))</f>
        <v>#N/A</v>
      </c>
      <c r="H30" s="201" t="e">
        <f aca="false">IF(A31="","",G30)</f>
        <v>#N/A</v>
      </c>
      <c r="I30" s="202"/>
      <c r="J30" s="200" t="e">
        <f aca="false">IF($A31="","",VLOOKUP($A30,Table,MATCH(J$4,Curves,0)))</f>
        <v>#N/A</v>
      </c>
      <c r="K30" s="201" t="e">
        <f aca="false">IF(A31="","",J30)</f>
        <v>#N/A</v>
      </c>
      <c r="L30" s="185" t="n">
        <v>0</v>
      </c>
      <c r="M30" s="201" t="n">
        <f aca="false">IF(A31="","",L30)</f>
        <v>0</v>
      </c>
      <c r="N30" s="203"/>
      <c r="O30" s="200" t="e">
        <f aca="false">IF(A31="","",L30+J30+G30)</f>
        <v>#N/A</v>
      </c>
      <c r="P30" s="200" t="e">
        <f aca="false">IF(A31="","",M30+K30+H30)</f>
        <v>#N/A</v>
      </c>
      <c r="Q30" s="204"/>
      <c r="R30" s="200" t="e">
        <f aca="false">IF($A31="","",VLOOKUP($A30,Table,MATCH(R$4,Curves,0)))</f>
        <v>#N/A</v>
      </c>
      <c r="S30" s="201" t="e">
        <f aca="false">IF(A31="","",R30)</f>
        <v>#N/A</v>
      </c>
      <c r="T30" s="200" t="e">
        <f aca="false">IF($A31="","",VLOOKUP($A30,Table,MATCH(T$4,Curves,0)))</f>
        <v>#N/A</v>
      </c>
      <c r="U30" s="201" t="e">
        <f aca="false">IF(A31="","",T30)</f>
        <v>#N/A</v>
      </c>
      <c r="V30" s="205" t="e">
        <f aca="false">IF($A31="","",IF(AND(MONTH(A30)&gt;3,MONTH(A30)&lt;11),(T30+R30+G30)*Summary!$T$10/(1-Summary!$T$10),(T30+R30+G30)*Summary!$U$10/(1-Summary!$U$10)))</f>
        <v>#N/A</v>
      </c>
      <c r="W30" s="200" t="e">
        <f aca="false">IF($A31="","",(T30+R30+G30+V30))</f>
        <v>#N/A</v>
      </c>
      <c r="X30" s="200" t="e">
        <f aca="false">IF($A31="","",(U30+S30+H30+V30))</f>
        <v>#N/A</v>
      </c>
      <c r="Y30" s="202"/>
      <c r="Z30" s="185" t="e">
        <f aca="false">IF($A31="","",VLOOKUP($A30,Table,MATCH(Z$4,Curves,0)))</f>
        <v>#N/A</v>
      </c>
      <c r="AA30" s="185" t="e">
        <f aca="false">IF($A31="","",VLOOKUP($A30,Table,MATCH(AA$4,Curves,0)))</f>
        <v>#N/A</v>
      </c>
      <c r="AB30" s="185" t="e">
        <f aca="false">SQRT((AA30^2*(A30-$D$3)+Z30^2*(DAY(EOMONTH(A30,0))/2))/AK30)</f>
        <v>#N/A</v>
      </c>
      <c r="AC30" s="185" t="e">
        <f aca="false">IF($A31="","",VLOOKUP($A30,Table,MATCH(AC$4,Curves,0)))</f>
        <v>#N/A</v>
      </c>
      <c r="AD30" s="185" t="e">
        <f aca="false">IF($A31="","",VLOOKUP($A30,Table,MATCH(AD$4,Curves,0)))</f>
        <v>#N/A</v>
      </c>
      <c r="AE30" s="185" t="e">
        <f aca="false">SQRT((AD30^2*(A30-$D$3)+AC30^2*(DAY(EOMONTH(A30,0))/2))/AK30)</f>
        <v>#N/A</v>
      </c>
      <c r="AF30" s="224" t="e">
        <f aca="false">((Summary!$N$10*(AA30*AD30)*(A30-$D$3))+(Summary!$M$10*Z30*AC30*(AJ30-EOMONTH(EDATE(A30,-1),0))))/(AK30*AB30*AE30)</f>
        <v>#N/A</v>
      </c>
      <c r="AG30" s="207" t="n">
        <f aca="false">IF($A31="","",Summary!$Q$10)</f>
        <v>0</v>
      </c>
      <c r="AH30" s="207" t="n">
        <f aca="false">IF($A31="","",IF(Summary!$R$10="Y",(VLOOKUP($A30,Summary!$AD$6:$AF$9,3)+'Escalating commodity'!F43),'Escalating commodity'!F43))</f>
        <v>0.0128</v>
      </c>
      <c r="AI30" s="207" t="n">
        <f aca="false">IF($A31="","",AH30)</f>
        <v>0.0128</v>
      </c>
      <c r="AJ30" s="208" t="n">
        <f aca="false">A30+DAY(EOMONTH(A30,0))/2-1</f>
        <v>37666</v>
      </c>
      <c r="AK30" s="209" t="n">
        <f aca="false">IF($A31="","",$A30-$E$1)</f>
        <v>-8273</v>
      </c>
      <c r="AL30" s="182" t="e">
        <f aca="false">IF($A31="","",SPRDOPT(P30,X30,AI30,0,AB30,AE30,AF30,AK30,$AJ$2,0))</f>
        <v>#NAME?</v>
      </c>
      <c r="AM30" s="211" t="e">
        <f aca="false">IF($A31="","",MAX(0,O30-W30-AI30))</f>
        <v>#N/A</v>
      </c>
      <c r="AN30" s="211" t="e">
        <f aca="false">IF($A31="","",AL30-AM30)</f>
        <v>#N/A</v>
      </c>
      <c r="AO30" s="137" t="n">
        <f aca="false">IF(A31="","",A31-A30)</f>
        <v>28</v>
      </c>
      <c r="AP30" s="212" t="n">
        <f aca="false">IF(A31="","",CHOOSE(F$3,A31+24,A30))</f>
        <v>37653</v>
      </c>
      <c r="AQ30" s="209" t="n">
        <f aca="false">IF(A31="","",AP30-$E$1)</f>
        <v>-8273</v>
      </c>
      <c r="AR30" s="185" t="n">
        <f aca="false">'ANR OK vs ML7'!AR30</f>
        <v>0.1</v>
      </c>
      <c r="AS30" s="213" t="n">
        <f aca="false">IF(A31="","",1/(1+CHOOSE(F$3,(AR31+($I$3/10000))/2,(AR30+($I$3/10000))/2))^(2*AQ30/365.25))</f>
        <v>9.11770213455071</v>
      </c>
      <c r="AT30" s="137" t="n">
        <f aca="false">IF(A31="","",IF(AND(mthbeg&lt;=A30,mthend&gt;=A30),1,0))</f>
        <v>1</v>
      </c>
      <c r="AU30" s="137" t="n">
        <f aca="false">IF(A31="","",AO30*AT30)</f>
        <v>28</v>
      </c>
      <c r="AW30" s="195" t="e">
        <f aca="false">IF($A31="","",AL30*$E30)</f>
        <v>#NAME?</v>
      </c>
      <c r="AX30" s="195" t="e">
        <f aca="false">IF($A31="","",AM30*$E30)</f>
        <v>#N/A</v>
      </c>
      <c r="AY30" s="195" t="e">
        <f aca="false">IF($A31="","",AN30*$E30)</f>
        <v>#N/A</v>
      </c>
      <c r="BA30" s="195" t="n">
        <f aca="false">IF($A31="","",F30*Summary!$Q$10)</f>
        <v>0</v>
      </c>
      <c r="BC30" s="179" t="e">
        <f aca="false">IF(A31="","",AM30*F30)</f>
        <v>#N/A</v>
      </c>
    </row>
    <row r="31" customFormat="false" ht="12.75" hidden="false" customHeight="false" outlineLevel="0" collapsed="false">
      <c r="A31" s="196" t="n">
        <f aca="false">IF(A30&lt;mthend,EDATE(A30,1),"")</f>
        <v>37681</v>
      </c>
      <c r="B31" s="197" t="n">
        <f aca="false">IF(A31&lt;mthend,B30,"")</f>
        <v>119740</v>
      </c>
      <c r="C31" s="215"/>
      <c r="D31" s="197" t="n">
        <f aca="false">IF(A32&lt;&gt;"",B31+C31,"")</f>
        <v>119740</v>
      </c>
      <c r="E31" s="199" t="n">
        <f aca="false">IF(A32="","",IF(AND(AT31=1,$H$3=1),D31*AO31,IF($H$3=2,D31,"N/A")))</f>
        <v>3711940</v>
      </c>
      <c r="F31" s="199" t="n">
        <f aca="false">IF(A32="","",E31*AS31)</f>
        <v>33592135.3901987</v>
      </c>
      <c r="G31" s="200" t="e">
        <f aca="false">IF($A32="","",VLOOKUP($A31,Table,MATCH(G$4,Curves,0)))</f>
        <v>#N/A</v>
      </c>
      <c r="H31" s="201" t="e">
        <f aca="false">IF(A32="","",G31)</f>
        <v>#N/A</v>
      </c>
      <c r="I31" s="202"/>
      <c r="J31" s="200" t="e">
        <f aca="false">IF($A32="","",VLOOKUP($A31,Table,MATCH(J$4,Curves,0)))</f>
        <v>#N/A</v>
      </c>
      <c r="K31" s="201" t="e">
        <f aca="false">IF(A32="","",J31)</f>
        <v>#N/A</v>
      </c>
      <c r="L31" s="185" t="n">
        <v>0</v>
      </c>
      <c r="M31" s="201" t="n">
        <f aca="false">IF(A32="","",L31)</f>
        <v>0</v>
      </c>
      <c r="N31" s="203"/>
      <c r="O31" s="200" t="e">
        <f aca="false">IF(A32="","",L31+J31+G31)</f>
        <v>#N/A</v>
      </c>
      <c r="P31" s="200" t="e">
        <f aca="false">IF(A32="","",M31+K31+H31)</f>
        <v>#N/A</v>
      </c>
      <c r="Q31" s="204"/>
      <c r="R31" s="200" t="e">
        <f aca="false">IF($A32="","",VLOOKUP($A31,Table,MATCH(R$4,Curves,0)))</f>
        <v>#N/A</v>
      </c>
      <c r="S31" s="201" t="e">
        <f aca="false">IF(A32="","",R31)</f>
        <v>#N/A</v>
      </c>
      <c r="T31" s="200" t="e">
        <f aca="false">IF($A32="","",VLOOKUP($A31,Table,MATCH(T$4,Curves,0)))</f>
        <v>#N/A</v>
      </c>
      <c r="U31" s="201" t="e">
        <f aca="false">IF(A32="","",T31)</f>
        <v>#N/A</v>
      </c>
      <c r="V31" s="205" t="e">
        <f aca="false">IF($A32="","",IF(AND(MONTH(A31)&gt;3,MONTH(A31)&lt;11),(T31+R31+G31)*Summary!$T$10/(1-Summary!$T$10),(T31+R31+G31)*Summary!$U$10/(1-Summary!$U$10)))</f>
        <v>#N/A</v>
      </c>
      <c r="W31" s="200" t="e">
        <f aca="false">IF($A32="","",(T31+R31+G31+V31))</f>
        <v>#N/A</v>
      </c>
      <c r="X31" s="200" t="e">
        <f aca="false">IF($A32="","",(U31+S31+H31+V31))</f>
        <v>#N/A</v>
      </c>
      <c r="Y31" s="202"/>
      <c r="Z31" s="185" t="e">
        <f aca="false">IF($A32="","",VLOOKUP($A31,Table,MATCH(Z$4,Curves,0)))</f>
        <v>#N/A</v>
      </c>
      <c r="AA31" s="185" t="e">
        <f aca="false">IF($A32="","",VLOOKUP($A31,Table,MATCH(AA$4,Curves,0)))</f>
        <v>#N/A</v>
      </c>
      <c r="AB31" s="185" t="e">
        <f aca="false">SQRT((AA31^2*(A31-$D$3)+Z31^2*(DAY(EOMONTH(A31,0))/2))/AK31)</f>
        <v>#N/A</v>
      </c>
      <c r="AC31" s="185" t="e">
        <f aca="false">IF($A32="","",VLOOKUP($A31,Table,MATCH(AC$4,Curves,0)))</f>
        <v>#N/A</v>
      </c>
      <c r="AD31" s="185" t="e">
        <f aca="false">IF($A32="","",VLOOKUP($A31,Table,MATCH(AD$4,Curves,0)))</f>
        <v>#N/A</v>
      </c>
      <c r="AE31" s="185" t="e">
        <f aca="false">SQRT((AD31^2*(A31-$D$3)+AC31^2*(DAY(EOMONTH(A31,0))/2))/AK31)</f>
        <v>#N/A</v>
      </c>
      <c r="AF31" s="224" t="e">
        <f aca="false">((Summary!$N$10*(AA31*AD31)*(A31-$D$3))+(Summary!$M$10*Z31*AC31*(AJ31-EOMONTH(EDATE(A31,-1),0))))/(AK31*AB31*AE31)</f>
        <v>#N/A</v>
      </c>
      <c r="AG31" s="207" t="n">
        <f aca="false">IF($A32="","",Summary!$Q$10)</f>
        <v>0</v>
      </c>
      <c r="AH31" s="207" t="n">
        <f aca="false">IF($A32="","",IF(Summary!$R$10="Y",(VLOOKUP($A31,Summary!$AD$6:$AF$9,3)+'Escalating commodity'!F44),'Escalating commodity'!F44))</f>
        <v>0.0128</v>
      </c>
      <c r="AI31" s="207" t="n">
        <f aca="false">IF($A32="","",AH31)</f>
        <v>0.0128</v>
      </c>
      <c r="AJ31" s="208" t="n">
        <f aca="false">A31+DAY(EOMONTH(A31,0))/2-1</f>
        <v>37695.5</v>
      </c>
      <c r="AK31" s="209" t="n">
        <f aca="false">IF($A32="","",$A31-$E$1)</f>
        <v>-8245</v>
      </c>
      <c r="AL31" s="182" t="e">
        <f aca="false">IF($A32="","",SPRDOPT(P31,X31,AI31,0,AB31,AE31,AF31,AK31,$AJ$2,0))</f>
        <v>#NAME?</v>
      </c>
      <c r="AM31" s="211" t="e">
        <f aca="false">IF($A32="","",MAX(0,O31-W31-AI31))</f>
        <v>#N/A</v>
      </c>
      <c r="AN31" s="211" t="e">
        <f aca="false">IF($A32="","",AL31-AM31)</f>
        <v>#N/A</v>
      </c>
      <c r="AO31" s="137" t="n">
        <f aca="false">IF(A32="","",A32-A31)</f>
        <v>31</v>
      </c>
      <c r="AP31" s="212" t="n">
        <f aca="false">IF(A32="","",CHOOSE(F$3,A32+24,A31))</f>
        <v>37681</v>
      </c>
      <c r="AQ31" s="209" t="n">
        <f aca="false">IF(A32="","",AP31-$E$1)</f>
        <v>-8245</v>
      </c>
      <c r="AR31" s="185" t="n">
        <f aca="false">'ANR OK vs ML7'!AR31</f>
        <v>0.1</v>
      </c>
      <c r="AS31" s="213" t="n">
        <f aca="false">IF(A32="","",1/(1+CHOOSE(F$3,(AR32+($I$3/10000))/2,(AR31+($I$3/10000))/2))^(2*AQ31/365.25))</f>
        <v>9.0497517174843</v>
      </c>
      <c r="AT31" s="137" t="n">
        <f aca="false">IF(A32="","",IF(AND(mthbeg&lt;=A31,mthend&gt;=A31),1,0))</f>
        <v>1</v>
      </c>
      <c r="AU31" s="137" t="n">
        <f aca="false">IF(A32="","",AO31*AT31)</f>
        <v>31</v>
      </c>
      <c r="AW31" s="195" t="e">
        <f aca="false">IF($A32="","",AL31*$E31)</f>
        <v>#NAME?</v>
      </c>
      <c r="AX31" s="195" t="e">
        <f aca="false">IF($A32="","",AM31*$E31)</f>
        <v>#N/A</v>
      </c>
      <c r="AY31" s="195" t="e">
        <f aca="false">IF($A32="","",AN31*$E31)</f>
        <v>#N/A</v>
      </c>
      <c r="BA31" s="195" t="n">
        <f aca="false">IF($A32="","",F31*Summary!$Q$10)</f>
        <v>0</v>
      </c>
      <c r="BC31" s="179" t="e">
        <f aca="false">IF(A32="","",AM31*F31)</f>
        <v>#N/A</v>
      </c>
    </row>
    <row r="32" customFormat="false" ht="12.75" hidden="false" customHeight="false" outlineLevel="0" collapsed="false">
      <c r="A32" s="196" t="n">
        <f aca="false">IF(A31&lt;mthend,EDATE(A31,1),"")</f>
        <v>37712</v>
      </c>
      <c r="B32" s="197" t="n">
        <f aca="false">IF(A32&lt;mthend,B31,"")</f>
        <v>119740</v>
      </c>
      <c r="C32" s="215"/>
      <c r="D32" s="197" t="n">
        <f aca="false">IF(A33&lt;&gt;"",B32+C32,"")</f>
        <v>119740</v>
      </c>
      <c r="E32" s="199" t="n">
        <f aca="false">IF(A33="","",IF(AND(AT32=1,$H$3=1),D32*AO32,IF($H$3=2,D32,"N/A")))</f>
        <v>3592200</v>
      </c>
      <c r="F32" s="199" t="n">
        <f aca="false">IF(A33="","",E32*AS32)</f>
        <v>32240395.3164363</v>
      </c>
      <c r="G32" s="200" t="e">
        <f aca="false">IF($A33="","",VLOOKUP($A32,Table,MATCH(G$4,Curves,0)))</f>
        <v>#N/A</v>
      </c>
      <c r="H32" s="201" t="e">
        <f aca="false">IF(A33="","",G32)</f>
        <v>#N/A</v>
      </c>
      <c r="I32" s="202"/>
      <c r="J32" s="200" t="e">
        <f aca="false">IF($A33="","",VLOOKUP($A32,Table,MATCH(J$4,Curves,0)))</f>
        <v>#N/A</v>
      </c>
      <c r="K32" s="201" t="e">
        <f aca="false">IF(A33="","",J32)</f>
        <v>#N/A</v>
      </c>
      <c r="L32" s="185" t="n">
        <v>0</v>
      </c>
      <c r="M32" s="201" t="n">
        <f aca="false">IF(A33="","",L32)</f>
        <v>0</v>
      </c>
      <c r="N32" s="203"/>
      <c r="O32" s="200" t="e">
        <f aca="false">IF(A33="","",L32+J32+G32)</f>
        <v>#N/A</v>
      </c>
      <c r="P32" s="200" t="e">
        <f aca="false">IF(A33="","",M32+K32+H32)</f>
        <v>#N/A</v>
      </c>
      <c r="Q32" s="204"/>
      <c r="R32" s="200" t="e">
        <f aca="false">IF($A33="","",VLOOKUP($A32,Table,MATCH(R$4,Curves,0)))</f>
        <v>#N/A</v>
      </c>
      <c r="S32" s="201" t="e">
        <f aca="false">IF(A33="","",R32)</f>
        <v>#N/A</v>
      </c>
      <c r="T32" s="200" t="e">
        <f aca="false">IF($A33="","",VLOOKUP($A32,Table,MATCH(T$4,Curves,0)))</f>
        <v>#N/A</v>
      </c>
      <c r="U32" s="201" t="e">
        <f aca="false">IF(A33="","",T32)</f>
        <v>#N/A</v>
      </c>
      <c r="V32" s="205" t="e">
        <f aca="false">IF($A33="","",IF(AND(MONTH(A32)&gt;3,MONTH(A32)&lt;11),(T32+R32+G32)*Summary!$T$10/(1-Summary!$T$10),(T32+R32+G32)*Summary!$U$10/(1-Summary!$U$10)))</f>
        <v>#N/A</v>
      </c>
      <c r="W32" s="200" t="e">
        <f aca="false">IF($A33="","",(T32+R32+G32+V32))</f>
        <v>#N/A</v>
      </c>
      <c r="X32" s="200" t="e">
        <f aca="false">IF($A33="","",(U32+S32+H32+V32))</f>
        <v>#N/A</v>
      </c>
      <c r="Y32" s="202"/>
      <c r="Z32" s="185" t="e">
        <f aca="false">IF($A33="","",VLOOKUP($A32,Table,MATCH(Z$4,Curves,0)))</f>
        <v>#N/A</v>
      </c>
      <c r="AA32" s="185" t="e">
        <f aca="false">IF($A33="","",VLOOKUP($A32,Table,MATCH(AA$4,Curves,0)))</f>
        <v>#N/A</v>
      </c>
      <c r="AB32" s="185" t="e">
        <f aca="false">SQRT((AA32^2*(A32-$D$3)+Z32^2*(DAY(EOMONTH(A32,0))/2))/AK32)</f>
        <v>#N/A</v>
      </c>
      <c r="AC32" s="185" t="e">
        <f aca="false">IF($A33="","",VLOOKUP($A32,Table,MATCH(AC$4,Curves,0)))</f>
        <v>#N/A</v>
      </c>
      <c r="AD32" s="185" t="e">
        <f aca="false">IF($A33="","",VLOOKUP($A32,Table,MATCH(AD$4,Curves,0)))</f>
        <v>#N/A</v>
      </c>
      <c r="AE32" s="185" t="e">
        <f aca="false">SQRT((AD32^2*(A32-$D$3)+AC32^2*(DAY(EOMONTH(A32,0))/2))/AK32)</f>
        <v>#N/A</v>
      </c>
      <c r="AF32" s="224" t="e">
        <f aca="false">((Summary!$N$10*(AA32*AD32)*(A32-$D$3))+(Summary!$M$10*Z32*AC32*(AJ32-EOMONTH(EDATE(A32,-1),0))))/(AK32*AB32*AE32)</f>
        <v>#N/A</v>
      </c>
      <c r="AG32" s="207" t="n">
        <f aca="false">IF($A33="","",Summary!$Q$10)</f>
        <v>0</v>
      </c>
      <c r="AH32" s="207" t="n">
        <f aca="false">IF($A33="","",IF(Summary!$R$10="Y",(VLOOKUP($A32,Summary!$AD$6:$AF$9,3)+'Escalating commodity'!F45),'Escalating commodity'!F45))</f>
        <v>0.0128</v>
      </c>
      <c r="AI32" s="207" t="n">
        <f aca="false">IF($A33="","",AH32)</f>
        <v>0.0128</v>
      </c>
      <c r="AJ32" s="208" t="n">
        <f aca="false">A32+DAY(EOMONTH(A32,0))/2-1</f>
        <v>37726</v>
      </c>
      <c r="AK32" s="209" t="n">
        <f aca="false">IF($A33="","",$A32-$E$1)</f>
        <v>-8214</v>
      </c>
      <c r="AL32" s="182" t="e">
        <f aca="false">IF($A33="","",SPRDOPT(P32,X32,AI32,0,AB32,AE32,AF32,AK32,$AJ$2,0))</f>
        <v>#NAME?</v>
      </c>
      <c r="AM32" s="211" t="e">
        <f aca="false">IF($A33="","",MAX(0,O32-W32-AI32))</f>
        <v>#N/A</v>
      </c>
      <c r="AN32" s="211" t="e">
        <f aca="false">IF($A33="","",AL32-AM32)</f>
        <v>#N/A</v>
      </c>
      <c r="AO32" s="137" t="n">
        <f aca="false">IF(A33="","",A33-A32)</f>
        <v>30</v>
      </c>
      <c r="AP32" s="212" t="n">
        <f aca="false">IF(A33="","",CHOOSE(F$3,A33+24,A32))</f>
        <v>37712</v>
      </c>
      <c r="AQ32" s="209" t="n">
        <f aca="false">IF(A33="","",AP32-$E$1)</f>
        <v>-8214</v>
      </c>
      <c r="AR32" s="185" t="n">
        <f aca="false">'ANR OK vs ML7'!AR32</f>
        <v>0.1</v>
      </c>
      <c r="AS32" s="213" t="n">
        <f aca="false">IF(A33="","",1/(1+CHOOSE(F$3,(AR33+($I$3/10000))/2,(AR32+($I$3/10000))/2))^(2*AQ32/365.25))</f>
        <v>8.97511144046442</v>
      </c>
      <c r="AT32" s="137" t="n">
        <f aca="false">IF(A33="","",IF(AND(mthbeg&lt;=A32,mthend&gt;=A32),1,0))</f>
        <v>1</v>
      </c>
      <c r="AU32" s="137" t="n">
        <f aca="false">IF(A33="","",AO32*AT32)</f>
        <v>30</v>
      </c>
      <c r="AW32" s="195" t="e">
        <f aca="false">IF($A33="","",AL32*$E32)</f>
        <v>#NAME?</v>
      </c>
      <c r="AX32" s="195" t="e">
        <f aca="false">IF($A33="","",AM32*$E32)</f>
        <v>#N/A</v>
      </c>
      <c r="AY32" s="195" t="e">
        <f aca="false">IF($A33="","",AN32*$E32)</f>
        <v>#N/A</v>
      </c>
      <c r="BA32" s="195" t="n">
        <f aca="false">IF($A33="","",F32*Summary!$Q$10)</f>
        <v>0</v>
      </c>
      <c r="BC32" s="179" t="e">
        <f aca="false">IF(A33="","",AM32*F32)</f>
        <v>#N/A</v>
      </c>
    </row>
    <row r="33" customFormat="false" ht="12.75" hidden="false" customHeight="false" outlineLevel="0" collapsed="false">
      <c r="A33" s="196" t="n">
        <f aca="false">IF(A32&lt;mthend,EDATE(A32,1),"")</f>
        <v>37742</v>
      </c>
      <c r="B33" s="197" t="n">
        <f aca="false">IF(A33&lt;mthend,B32,"")</f>
        <v>119740</v>
      </c>
      <c r="C33" s="215"/>
      <c r="D33" s="197" t="n">
        <f aca="false">IF(A34&lt;&gt;"",B33+C33,"")</f>
        <v>119740</v>
      </c>
      <c r="E33" s="199" t="n">
        <f aca="false">IF(A34="","",IF(AND(AT33=1,$H$3=1),D33*AO33,IF($H$3=2,D33,"N/A")))</f>
        <v>3711940</v>
      </c>
      <c r="F33" s="199" t="n">
        <f aca="false">IF(A34="","",E33*AS33)</f>
        <v>33049128.2979846</v>
      </c>
      <c r="G33" s="200" t="e">
        <f aca="false">IF($A34="","",VLOOKUP($A33,Table,MATCH(G$4,Curves,0)))</f>
        <v>#N/A</v>
      </c>
      <c r="H33" s="201" t="e">
        <f aca="false">IF(A34="","",G33)</f>
        <v>#N/A</v>
      </c>
      <c r="I33" s="202"/>
      <c r="J33" s="200" t="e">
        <f aca="false">IF($A34="","",VLOOKUP($A33,Table,MATCH(J$4,Curves,0)))</f>
        <v>#N/A</v>
      </c>
      <c r="K33" s="201" t="e">
        <f aca="false">IF(A34="","",J33)</f>
        <v>#N/A</v>
      </c>
      <c r="L33" s="185" t="n">
        <v>0</v>
      </c>
      <c r="M33" s="201" t="n">
        <f aca="false">IF(A34="","",L33)</f>
        <v>0</v>
      </c>
      <c r="N33" s="203"/>
      <c r="O33" s="200" t="e">
        <f aca="false">IF(A34="","",L33+J33+G33)</f>
        <v>#N/A</v>
      </c>
      <c r="P33" s="200" t="e">
        <f aca="false">IF(A34="","",M33+K33+H33)</f>
        <v>#N/A</v>
      </c>
      <c r="Q33" s="204"/>
      <c r="R33" s="200" t="e">
        <f aca="false">IF($A34="","",VLOOKUP($A33,Table,MATCH(R$4,Curves,0)))</f>
        <v>#N/A</v>
      </c>
      <c r="S33" s="201" t="e">
        <f aca="false">IF(A34="","",R33)</f>
        <v>#N/A</v>
      </c>
      <c r="T33" s="200" t="e">
        <f aca="false">IF($A34="","",VLOOKUP($A33,Table,MATCH(T$4,Curves,0)))</f>
        <v>#N/A</v>
      </c>
      <c r="U33" s="201" t="e">
        <f aca="false">IF(A34="","",T33)</f>
        <v>#N/A</v>
      </c>
      <c r="V33" s="205" t="e">
        <f aca="false">IF($A34="","",IF(AND(MONTH(A33)&gt;3,MONTH(A33)&lt;11),(T33+R33+G33)*Summary!$T$10/(1-Summary!$T$10),(T33+R33+G33)*Summary!$U$10/(1-Summary!$U$10)))</f>
        <v>#N/A</v>
      </c>
      <c r="W33" s="200" t="e">
        <f aca="false">IF($A34="","",(T33+R33+G33+V33))</f>
        <v>#N/A</v>
      </c>
      <c r="X33" s="200" t="e">
        <f aca="false">IF($A34="","",(U33+S33+H33+V33))</f>
        <v>#N/A</v>
      </c>
      <c r="Y33" s="202"/>
      <c r="Z33" s="185" t="e">
        <f aca="false">IF($A34="","",VLOOKUP($A33,Table,MATCH(Z$4,Curves,0)))</f>
        <v>#N/A</v>
      </c>
      <c r="AA33" s="185" t="e">
        <f aca="false">IF($A34="","",VLOOKUP($A33,Table,MATCH(AA$4,Curves,0)))</f>
        <v>#N/A</v>
      </c>
      <c r="AB33" s="185" t="e">
        <f aca="false">SQRT((AA33^2*(A33-$D$3)+Z33^2*(DAY(EOMONTH(A33,0))/2))/AK33)</f>
        <v>#N/A</v>
      </c>
      <c r="AC33" s="185" t="e">
        <f aca="false">IF($A34="","",VLOOKUP($A33,Table,MATCH(AC$4,Curves,0)))</f>
        <v>#N/A</v>
      </c>
      <c r="AD33" s="185" t="e">
        <f aca="false">IF($A34="","",VLOOKUP($A33,Table,MATCH(AD$4,Curves,0)))</f>
        <v>#N/A</v>
      </c>
      <c r="AE33" s="185" t="e">
        <f aca="false">SQRT((AD33^2*(A33-$D$3)+AC33^2*(DAY(EOMONTH(A33,0))/2))/AK33)</f>
        <v>#N/A</v>
      </c>
      <c r="AF33" s="224" t="e">
        <f aca="false">((Summary!$N$10*(AA33*AD33)*(A33-$D$3))+(Summary!$M$10*Z33*AC33*(AJ33-EOMONTH(EDATE(A33,-1),0))))/(AK33*AB33*AE33)</f>
        <v>#N/A</v>
      </c>
      <c r="AG33" s="207" t="n">
        <f aca="false">IF($A34="","",Summary!$Q$10)</f>
        <v>0</v>
      </c>
      <c r="AH33" s="207" t="n">
        <f aca="false">IF($A34="","",IF(Summary!$R$10="Y",(VLOOKUP($A33,Summary!$AD$6:$AF$9,3)+'Escalating commodity'!F46),'Escalating commodity'!F46))</f>
        <v>0.0128</v>
      </c>
      <c r="AI33" s="207" t="n">
        <f aca="false">IF($A34="","",AH33)</f>
        <v>0.0128</v>
      </c>
      <c r="AJ33" s="208" t="n">
        <f aca="false">A33+DAY(EOMONTH(A33,0))/2-1</f>
        <v>37756.5</v>
      </c>
      <c r="AK33" s="209" t="n">
        <f aca="false">IF($A34="","",$A33-$E$1)</f>
        <v>-8184</v>
      </c>
      <c r="AL33" s="182" t="e">
        <f aca="false">IF($A34="","",SPRDOPT(P33,X33,AI33,0,AB33,AE33,AF33,AK33,$AJ$2,0))</f>
        <v>#NAME?</v>
      </c>
      <c r="AM33" s="211" t="e">
        <f aca="false">IF($A34="","",MAX(0,O33-W33-AI33))</f>
        <v>#N/A</v>
      </c>
      <c r="AN33" s="211" t="e">
        <f aca="false">IF($A34="","",AL33-AM33)</f>
        <v>#N/A</v>
      </c>
      <c r="AO33" s="137" t="n">
        <f aca="false">IF(A34="","",A34-A33)</f>
        <v>31</v>
      </c>
      <c r="AP33" s="212" t="n">
        <f aca="false">IF(A34="","",CHOOSE(F$3,A34+24,A33))</f>
        <v>37742</v>
      </c>
      <c r="AQ33" s="209" t="n">
        <f aca="false">IF(A34="","",AP33-$E$1)</f>
        <v>-8184</v>
      </c>
      <c r="AR33" s="185" t="n">
        <f aca="false">'ANR OK vs ML7'!AR33</f>
        <v>0.1</v>
      </c>
      <c r="AS33" s="213" t="n">
        <f aca="false">IF(A34="","",1/(1+CHOOSE(F$3,(AR34+($I$3/10000))/2,(AR33+($I$3/10000))/2))^(2*AQ33/365.25))</f>
        <v>8.90346511473369</v>
      </c>
      <c r="AT33" s="137" t="n">
        <f aca="false">IF(A34="","",IF(AND(mthbeg&lt;=A33,mthend&gt;=A33),1,0))</f>
        <v>1</v>
      </c>
      <c r="AU33" s="137" t="n">
        <f aca="false">IF(A34="","",AO33*AT33)</f>
        <v>31</v>
      </c>
      <c r="AW33" s="195" t="e">
        <f aca="false">IF($A34="","",AL33*$E33)</f>
        <v>#NAME?</v>
      </c>
      <c r="AX33" s="195" t="e">
        <f aca="false">IF($A34="","",AM33*$E33)</f>
        <v>#N/A</v>
      </c>
      <c r="AY33" s="195" t="e">
        <f aca="false">IF($A34="","",AN33*$E33)</f>
        <v>#N/A</v>
      </c>
      <c r="BA33" s="195" t="n">
        <f aca="false">IF($A34="","",F33*Summary!$Q$10)</f>
        <v>0</v>
      </c>
      <c r="BC33" s="179" t="e">
        <f aca="false">IF(A34="","",AM33*F33)</f>
        <v>#N/A</v>
      </c>
    </row>
    <row r="34" customFormat="false" ht="12.75" hidden="false" customHeight="false" outlineLevel="0" collapsed="false">
      <c r="A34" s="196" t="n">
        <f aca="false">IF(A33&lt;mthend,EDATE(A33,1),"")</f>
        <v>37773</v>
      </c>
      <c r="B34" s="197" t="n">
        <f aca="false">IF(A34&lt;mthend,B33,"")</f>
        <v>119740</v>
      </c>
      <c r="C34" s="215"/>
      <c r="D34" s="197" t="n">
        <f aca="false">IF(A35&lt;&gt;"",B34+C34,"")</f>
        <v>119740</v>
      </c>
      <c r="E34" s="199" t="n">
        <f aca="false">IF(A35="","",IF(AND(AT34=1,$H$3=1),D34*AO34,IF($H$3=2,D34,"N/A")))</f>
        <v>3592200</v>
      </c>
      <c r="F34" s="199" t="n">
        <f aca="false">IF(A35="","",E34*AS34)</f>
        <v>31719238.7091157</v>
      </c>
      <c r="G34" s="200" t="e">
        <f aca="false">IF($A35="","",VLOOKUP($A34,Table,MATCH(G$4,Curves,0)))</f>
        <v>#N/A</v>
      </c>
      <c r="H34" s="201" t="e">
        <f aca="false">IF(A35="","",G34)</f>
        <v>#N/A</v>
      </c>
      <c r="I34" s="202"/>
      <c r="J34" s="200" t="e">
        <f aca="false">IF($A35="","",VLOOKUP($A34,Table,MATCH(J$4,Curves,0)))</f>
        <v>#N/A</v>
      </c>
      <c r="K34" s="201" t="e">
        <f aca="false">IF(A35="","",J34)</f>
        <v>#N/A</v>
      </c>
      <c r="L34" s="185" t="n">
        <v>0</v>
      </c>
      <c r="M34" s="201" t="n">
        <f aca="false">IF(A35="","",L34)</f>
        <v>0</v>
      </c>
      <c r="N34" s="203"/>
      <c r="O34" s="200" t="e">
        <f aca="false">IF(A35="","",L34+J34+G34)</f>
        <v>#N/A</v>
      </c>
      <c r="P34" s="200" t="e">
        <f aca="false">IF(A35="","",M34+K34+H34)</f>
        <v>#N/A</v>
      </c>
      <c r="Q34" s="204"/>
      <c r="R34" s="200" t="e">
        <f aca="false">IF($A35="","",VLOOKUP($A34,Table,MATCH(R$4,Curves,0)))</f>
        <v>#N/A</v>
      </c>
      <c r="S34" s="201" t="e">
        <f aca="false">IF(A35="","",R34)</f>
        <v>#N/A</v>
      </c>
      <c r="T34" s="200" t="e">
        <f aca="false">IF($A35="","",VLOOKUP($A34,Table,MATCH(T$4,Curves,0)))</f>
        <v>#N/A</v>
      </c>
      <c r="U34" s="201" t="e">
        <f aca="false">IF(A35="","",T34)</f>
        <v>#N/A</v>
      </c>
      <c r="V34" s="205" t="e">
        <f aca="false">IF($A35="","",IF(AND(MONTH(A34)&gt;3,MONTH(A34)&lt;11),(T34+R34+G34)*Summary!$T$10/(1-Summary!$T$10),(T34+R34+G34)*Summary!$U$10/(1-Summary!$U$10)))</f>
        <v>#N/A</v>
      </c>
      <c r="W34" s="200" t="e">
        <f aca="false">IF($A35="","",(T34+R34+G34+V34))</f>
        <v>#N/A</v>
      </c>
      <c r="X34" s="200" t="e">
        <f aca="false">IF($A35="","",(U34+S34+H34+V34))</f>
        <v>#N/A</v>
      </c>
      <c r="Y34" s="202"/>
      <c r="Z34" s="185" t="e">
        <f aca="false">IF($A35="","",VLOOKUP($A34,Table,MATCH(Z$4,Curves,0)))</f>
        <v>#N/A</v>
      </c>
      <c r="AA34" s="185" t="e">
        <f aca="false">IF($A35="","",VLOOKUP($A34,Table,MATCH(AA$4,Curves,0)))</f>
        <v>#N/A</v>
      </c>
      <c r="AB34" s="185" t="e">
        <f aca="false">SQRT((AA34^2*(A34-$D$3)+Z34^2*(DAY(EOMONTH(A34,0))/2))/AK34)</f>
        <v>#N/A</v>
      </c>
      <c r="AC34" s="185" t="e">
        <f aca="false">IF($A35="","",VLOOKUP($A34,Table,MATCH(AC$4,Curves,0)))</f>
        <v>#N/A</v>
      </c>
      <c r="AD34" s="185" t="e">
        <f aca="false">IF($A35="","",VLOOKUP($A34,Table,MATCH(AD$4,Curves,0)))</f>
        <v>#N/A</v>
      </c>
      <c r="AE34" s="185" t="e">
        <f aca="false">SQRT((AD34^2*(A34-$D$3)+AC34^2*(DAY(EOMONTH(A34,0))/2))/AK34)</f>
        <v>#N/A</v>
      </c>
      <c r="AF34" s="224" t="e">
        <f aca="false">((Summary!$N$10*(AA34*AD34)*(A34-$D$3))+(Summary!$M$10*Z34*AC34*(AJ34-EOMONTH(EDATE(A34,-1),0))))/(AK34*AB34*AE34)</f>
        <v>#N/A</v>
      </c>
      <c r="AG34" s="207" t="n">
        <f aca="false">IF($A35="","",Summary!$Q$10)</f>
        <v>0</v>
      </c>
      <c r="AH34" s="207" t="n">
        <f aca="false">IF($A35="","",IF(Summary!$R$10="Y",(VLOOKUP($A34,Summary!$AD$6:$AF$9,3)+'Escalating commodity'!F47),'Escalating commodity'!F47))</f>
        <v>0.0128</v>
      </c>
      <c r="AI34" s="207" t="n">
        <f aca="false">IF($A35="","",AH34)</f>
        <v>0.0128</v>
      </c>
      <c r="AJ34" s="208" t="n">
        <f aca="false">A34+DAY(EOMONTH(A34,0))/2-1</f>
        <v>37787</v>
      </c>
      <c r="AK34" s="209" t="n">
        <f aca="false">IF($A35="","",$A34-$E$1)</f>
        <v>-8153</v>
      </c>
      <c r="AL34" s="182" t="e">
        <f aca="false">IF($A35="","",SPRDOPT(P34,X34,AI34,0,AB34,AE34,AF34,AK34,$AJ$2,0))</f>
        <v>#NAME?</v>
      </c>
      <c r="AM34" s="211" t="e">
        <f aca="false">IF($A35="","",MAX(0,O34-W34-AI34))</f>
        <v>#N/A</v>
      </c>
      <c r="AN34" s="211" t="e">
        <f aca="false">IF($A35="","",AL34-AM34)</f>
        <v>#N/A</v>
      </c>
      <c r="AO34" s="137" t="n">
        <f aca="false">IF(A35="","",A35-A34)</f>
        <v>30</v>
      </c>
      <c r="AP34" s="212" t="n">
        <f aca="false">IF(A35="","",CHOOSE(F$3,A35+24,A34))</f>
        <v>37773</v>
      </c>
      <c r="AQ34" s="209" t="n">
        <f aca="false">IF(A35="","",AP34-$E$1)</f>
        <v>-8153</v>
      </c>
      <c r="AR34" s="185" t="n">
        <f aca="false">'ANR OK vs ML7'!AR34</f>
        <v>0.1</v>
      </c>
      <c r="AS34" s="213" t="n">
        <f aca="false">IF(A35="","",1/(1+CHOOSE(F$3,(AR35+($I$3/10000))/2,(AR34+($I$3/10000))/2))^(2*AQ34/365.25))</f>
        <v>8.83003137606917</v>
      </c>
      <c r="AT34" s="137" t="n">
        <f aca="false">IF(A35="","",IF(AND(mthbeg&lt;=A34,mthend&gt;=A34),1,0))</f>
        <v>1</v>
      </c>
      <c r="AU34" s="137" t="n">
        <f aca="false">IF(A35="","",AO34*AT34)</f>
        <v>30</v>
      </c>
      <c r="AW34" s="195" t="e">
        <f aca="false">IF($A35="","",AL34*$E34)</f>
        <v>#NAME?</v>
      </c>
      <c r="AX34" s="195" t="e">
        <f aca="false">IF($A35="","",AM34*$E34)</f>
        <v>#N/A</v>
      </c>
      <c r="AY34" s="195" t="e">
        <f aca="false">IF($A35="","",AN34*$E34)</f>
        <v>#N/A</v>
      </c>
      <c r="BA34" s="195" t="n">
        <f aca="false">IF($A35="","",F34*Summary!$Q$10)</f>
        <v>0</v>
      </c>
      <c r="BC34" s="179" t="e">
        <f aca="false">IF(A35="","",AM34*F34)</f>
        <v>#N/A</v>
      </c>
    </row>
    <row r="35" customFormat="false" ht="12.75" hidden="false" customHeight="false" outlineLevel="0" collapsed="false">
      <c r="A35" s="196" t="n">
        <f aca="false">IF(A34&lt;mthend,EDATE(A34,1),"")</f>
        <v>37803</v>
      </c>
      <c r="B35" s="197" t="n">
        <f aca="false">IF(A35&lt;mthend,B34,"")</f>
        <v>119740</v>
      </c>
      <c r="C35" s="215"/>
      <c r="D35" s="197" t="n">
        <f aca="false">IF(A36&lt;&gt;"",B35+C35,"")</f>
        <v>119740</v>
      </c>
      <c r="E35" s="199" t="n">
        <f aca="false">IF(A36="","",IF(AND(AT35=1,$H$3=1),D35*AO35,IF($H$3=2,D35,"N/A")))</f>
        <v>3711940</v>
      </c>
      <c r="F35" s="199" t="n">
        <f aca="false">IF(A36="","",E35*AS35)</f>
        <v>32514898.757384</v>
      </c>
      <c r="G35" s="200" t="e">
        <f aca="false">IF($A36="","",VLOOKUP($A35,Table,MATCH(G$4,Curves,0)))</f>
        <v>#N/A</v>
      </c>
      <c r="H35" s="201" t="e">
        <f aca="false">IF(A36="","",G35)</f>
        <v>#N/A</v>
      </c>
      <c r="I35" s="202"/>
      <c r="J35" s="200" t="e">
        <f aca="false">IF($A36="","",VLOOKUP($A35,Table,MATCH(J$4,Curves,0)))</f>
        <v>#N/A</v>
      </c>
      <c r="K35" s="201" t="e">
        <f aca="false">IF(A36="","",J35)</f>
        <v>#N/A</v>
      </c>
      <c r="L35" s="185" t="n">
        <v>0</v>
      </c>
      <c r="M35" s="201" t="n">
        <f aca="false">IF(A36="","",L35)</f>
        <v>0</v>
      </c>
      <c r="N35" s="203"/>
      <c r="O35" s="200" t="e">
        <f aca="false">IF(A36="","",L35+J35+G35)</f>
        <v>#N/A</v>
      </c>
      <c r="P35" s="200" t="e">
        <f aca="false">IF(A36="","",M35+K35+H35)</f>
        <v>#N/A</v>
      </c>
      <c r="Q35" s="204"/>
      <c r="R35" s="200" t="e">
        <f aca="false">IF($A36="","",VLOOKUP($A35,Table,MATCH(R$4,Curves,0)))</f>
        <v>#N/A</v>
      </c>
      <c r="S35" s="201" t="e">
        <f aca="false">IF(A36="","",R35)</f>
        <v>#N/A</v>
      </c>
      <c r="T35" s="200" t="e">
        <f aca="false">IF($A36="","",VLOOKUP($A35,Table,MATCH(T$4,Curves,0)))</f>
        <v>#N/A</v>
      </c>
      <c r="U35" s="201" t="e">
        <f aca="false">IF(A36="","",T35)</f>
        <v>#N/A</v>
      </c>
      <c r="V35" s="205" t="e">
        <f aca="false">IF($A36="","",IF(AND(MONTH(A35)&gt;3,MONTH(A35)&lt;11),(T35+R35+G35)*Summary!$T$10/(1-Summary!$T$10),(T35+R35+G35)*Summary!$U$10/(1-Summary!$U$10)))</f>
        <v>#N/A</v>
      </c>
      <c r="W35" s="200" t="e">
        <f aca="false">IF($A36="","",(T35+R35+G35+V35))</f>
        <v>#N/A</v>
      </c>
      <c r="X35" s="200" t="e">
        <f aca="false">IF($A36="","",(U35+S35+H35+V35))</f>
        <v>#N/A</v>
      </c>
      <c r="Y35" s="202"/>
      <c r="Z35" s="185" t="e">
        <f aca="false">IF($A36="","",VLOOKUP($A35,Table,MATCH(Z$4,Curves,0)))</f>
        <v>#N/A</v>
      </c>
      <c r="AA35" s="185" t="e">
        <f aca="false">IF($A36="","",VLOOKUP($A35,Table,MATCH(AA$4,Curves,0)))</f>
        <v>#N/A</v>
      </c>
      <c r="AB35" s="185" t="e">
        <f aca="false">SQRT((AA35^2*(A35-$D$3)+Z35^2*(DAY(EOMONTH(A35,0))/2))/AK35)</f>
        <v>#N/A</v>
      </c>
      <c r="AC35" s="185" t="e">
        <f aca="false">IF($A36="","",VLOOKUP($A35,Table,MATCH(AC$4,Curves,0)))</f>
        <v>#N/A</v>
      </c>
      <c r="AD35" s="185" t="e">
        <f aca="false">IF($A36="","",VLOOKUP($A35,Table,MATCH(AD$4,Curves,0)))</f>
        <v>#N/A</v>
      </c>
      <c r="AE35" s="185" t="e">
        <f aca="false">SQRT((AD35^2*(A35-$D$3)+AC35^2*(DAY(EOMONTH(A35,0))/2))/AK35)</f>
        <v>#N/A</v>
      </c>
      <c r="AF35" s="224" t="e">
        <f aca="false">((Summary!$N$10*(AA35*AD35)*(A35-$D$3))+(Summary!$M$10*Z35*AC35*(AJ35-EOMONTH(EDATE(A35,-1),0))))/(AK35*AB35*AE35)</f>
        <v>#N/A</v>
      </c>
      <c r="AG35" s="207" t="n">
        <f aca="false">IF($A36="","",Summary!$Q$10)</f>
        <v>0</v>
      </c>
      <c r="AH35" s="207" t="n">
        <f aca="false">IF($A36="","",IF(Summary!$R$10="Y",(VLOOKUP($A35,Summary!$AD$6:$AF$9,3)+'Escalating commodity'!F48),'Escalating commodity'!F48))</f>
        <v>0.0128</v>
      </c>
      <c r="AI35" s="207" t="n">
        <f aca="false">IF($A36="","",AH35)</f>
        <v>0.0128</v>
      </c>
      <c r="AJ35" s="208" t="n">
        <f aca="false">A35+DAY(EOMONTH(A35,0))/2-1</f>
        <v>37817.5</v>
      </c>
      <c r="AK35" s="209" t="n">
        <f aca="false">IF($A36="","",$A35-$E$1)</f>
        <v>-8123</v>
      </c>
      <c r="AL35" s="182" t="e">
        <f aca="false">IF($A36="","",SPRDOPT(P35,X35,AI35,0,AB35,AE35,AF35,AK35,$AJ$2,0))</f>
        <v>#NAME?</v>
      </c>
      <c r="AM35" s="211" t="e">
        <f aca="false">IF($A36="","",MAX(0,O35-W35-AI35))</f>
        <v>#N/A</v>
      </c>
      <c r="AN35" s="211" t="e">
        <f aca="false">IF($A36="","",AL35-AM35)</f>
        <v>#N/A</v>
      </c>
      <c r="AO35" s="137" t="n">
        <f aca="false">IF(A36="","",A36-A35)</f>
        <v>31</v>
      </c>
      <c r="AP35" s="212" t="n">
        <f aca="false">IF(A36="","",CHOOSE(F$3,A36+24,A35))</f>
        <v>37803</v>
      </c>
      <c r="AQ35" s="209" t="n">
        <f aca="false">IF(A36="","",AP35-$E$1)</f>
        <v>-8123</v>
      </c>
      <c r="AR35" s="185" t="n">
        <f aca="false">'ANR OK vs ML7'!AR35</f>
        <v>0.1</v>
      </c>
      <c r="AS35" s="213" t="n">
        <f aca="false">IF(A36="","",1/(1+CHOOSE(F$3,(AR36+($I$3/10000))/2,(AR35+($I$3/10000))/2))^(2*AQ35/365.25))</f>
        <v>8.75954319234254</v>
      </c>
      <c r="AT35" s="137" t="n">
        <f aca="false">IF(A36="","",IF(AND(mthbeg&lt;=A35,mthend&gt;=A35),1,0))</f>
        <v>1</v>
      </c>
      <c r="AU35" s="137" t="n">
        <f aca="false">IF(A36="","",AO35*AT35)</f>
        <v>31</v>
      </c>
      <c r="AW35" s="195" t="e">
        <f aca="false">IF($A36="","",AL35*$E35)</f>
        <v>#NAME?</v>
      </c>
      <c r="AX35" s="195" t="e">
        <f aca="false">IF($A36="","",AM35*$E35)</f>
        <v>#N/A</v>
      </c>
      <c r="AY35" s="195" t="e">
        <f aca="false">IF($A36="","",AN35*$E35)</f>
        <v>#N/A</v>
      </c>
      <c r="BA35" s="195" t="n">
        <f aca="false">IF($A36="","",F35*Summary!$Q$10)</f>
        <v>0</v>
      </c>
      <c r="BC35" s="179" t="e">
        <f aca="false">IF(A36="","",AM35*F35)</f>
        <v>#N/A</v>
      </c>
    </row>
    <row r="36" customFormat="false" ht="12.75" hidden="false" customHeight="false" outlineLevel="0" collapsed="false">
      <c r="A36" s="196" t="n">
        <f aca="false">IF(A35&lt;mthend,EDATE(A35,1),"")</f>
        <v>37834</v>
      </c>
      <c r="B36" s="197" t="n">
        <f aca="false">IF(A36&lt;mthend,B35,"")</f>
        <v>119740</v>
      </c>
      <c r="C36" s="215"/>
      <c r="D36" s="197" t="n">
        <f aca="false">IF(A37&lt;&gt;"",B36+C36,"")</f>
        <v>119740</v>
      </c>
      <c r="E36" s="199" t="n">
        <f aca="false">IF(A37="","",IF(AND(AT36=1,$H$3=1),D36*AO36,IF($H$3=2,D36,"N/A")))</f>
        <v>3711940</v>
      </c>
      <c r="F36" s="199" t="n">
        <f aca="false">IF(A37="","",E36*AS36)</f>
        <v>32246723.3282354</v>
      </c>
      <c r="G36" s="200" t="e">
        <f aca="false">IF($A37="","",VLOOKUP($A36,Table,MATCH(G$4,Curves,0)))</f>
        <v>#N/A</v>
      </c>
      <c r="H36" s="201" t="e">
        <f aca="false">IF(A37="","",G36)</f>
        <v>#N/A</v>
      </c>
      <c r="I36" s="202"/>
      <c r="J36" s="200" t="e">
        <f aca="false">IF($A37="","",VLOOKUP($A36,Table,MATCH(J$4,Curves,0)))</f>
        <v>#N/A</v>
      </c>
      <c r="K36" s="201" t="e">
        <f aca="false">IF(A37="","",J36)</f>
        <v>#N/A</v>
      </c>
      <c r="L36" s="185" t="n">
        <v>0</v>
      </c>
      <c r="M36" s="201" t="n">
        <f aca="false">IF(A37="","",L36)</f>
        <v>0</v>
      </c>
      <c r="N36" s="203"/>
      <c r="O36" s="200" t="e">
        <f aca="false">IF(A37="","",L36+J36+G36)</f>
        <v>#N/A</v>
      </c>
      <c r="P36" s="200" t="e">
        <f aca="false">IF(A37="","",M36+K36+H36)</f>
        <v>#N/A</v>
      </c>
      <c r="Q36" s="204"/>
      <c r="R36" s="200" t="e">
        <f aca="false">IF($A37="","",VLOOKUP($A36,Table,MATCH(R$4,Curves,0)))</f>
        <v>#N/A</v>
      </c>
      <c r="S36" s="201" t="e">
        <f aca="false">IF(A37="","",R36)</f>
        <v>#N/A</v>
      </c>
      <c r="T36" s="200" t="e">
        <f aca="false">IF($A37="","",VLOOKUP($A36,Table,MATCH(T$4,Curves,0)))</f>
        <v>#N/A</v>
      </c>
      <c r="U36" s="201" t="e">
        <f aca="false">IF(A37="","",T36)</f>
        <v>#N/A</v>
      </c>
      <c r="V36" s="205" t="e">
        <f aca="false">IF($A37="","",IF(AND(MONTH(A36)&gt;3,MONTH(A36)&lt;11),(T36+R36+G36)*Summary!$T$10/(1-Summary!$T$10),(T36+R36+G36)*Summary!$U$10/(1-Summary!$U$10)))</f>
        <v>#N/A</v>
      </c>
      <c r="W36" s="200" t="e">
        <f aca="false">IF($A37="","",(T36+R36+G36+V36))</f>
        <v>#N/A</v>
      </c>
      <c r="X36" s="200" t="e">
        <f aca="false">IF($A37="","",(U36+S36+H36+V36))</f>
        <v>#N/A</v>
      </c>
      <c r="Y36" s="202"/>
      <c r="Z36" s="185" t="e">
        <f aca="false">IF($A37="","",VLOOKUP($A36,Table,MATCH(Z$4,Curves,0)))</f>
        <v>#N/A</v>
      </c>
      <c r="AA36" s="185" t="e">
        <f aca="false">IF($A37="","",VLOOKUP($A36,Table,MATCH(AA$4,Curves,0)))</f>
        <v>#N/A</v>
      </c>
      <c r="AB36" s="185" t="e">
        <f aca="false">SQRT((AA36^2*(A36-$D$3)+Z36^2*(DAY(EOMONTH(A36,0))/2))/AK36)</f>
        <v>#N/A</v>
      </c>
      <c r="AC36" s="185" t="e">
        <f aca="false">IF($A37="","",VLOOKUP($A36,Table,MATCH(AC$4,Curves,0)))</f>
        <v>#N/A</v>
      </c>
      <c r="AD36" s="185" t="e">
        <f aca="false">IF($A37="","",VLOOKUP($A36,Table,MATCH(AD$4,Curves,0)))</f>
        <v>#N/A</v>
      </c>
      <c r="AE36" s="185" t="e">
        <f aca="false">SQRT((AD36^2*(A36-$D$3)+AC36^2*(DAY(EOMONTH(A36,0))/2))/AK36)</f>
        <v>#N/A</v>
      </c>
      <c r="AF36" s="224" t="e">
        <f aca="false">((Summary!$N$10*(AA36*AD36)*(A36-$D$3))+(Summary!$M$10*Z36*AC36*(AJ36-EOMONTH(EDATE(A36,-1),0))))/(AK36*AB36*AE36)</f>
        <v>#N/A</v>
      </c>
      <c r="AG36" s="207" t="n">
        <f aca="false">IF($A37="","",Summary!$Q$10)</f>
        <v>0</v>
      </c>
      <c r="AH36" s="207" t="n">
        <f aca="false">IF($A37="","",IF(Summary!$R$10="Y",(VLOOKUP($A36,Summary!$AD$6:$AF$9,3)+'Escalating commodity'!F49),'Escalating commodity'!F49))</f>
        <v>0.0128</v>
      </c>
      <c r="AI36" s="207" t="n">
        <f aca="false">IF($A37="","",AH36)</f>
        <v>0.0128</v>
      </c>
      <c r="AJ36" s="208" t="n">
        <f aca="false">A36+DAY(EOMONTH(A36,0))/2-1</f>
        <v>37848.5</v>
      </c>
      <c r="AK36" s="209" t="n">
        <f aca="false">IF($A37="","",$A36-$E$1)</f>
        <v>-8092</v>
      </c>
      <c r="AL36" s="182" t="e">
        <f aca="false">IF($A37="","",SPRDOPT(P36,X36,AI36,0,AB36,AE36,AF36,AK36,$AJ$2,0))</f>
        <v>#NAME?</v>
      </c>
      <c r="AM36" s="211" t="e">
        <f aca="false">IF($A37="","",MAX(0,O36-W36-AI36))</f>
        <v>#N/A</v>
      </c>
      <c r="AN36" s="211" t="e">
        <f aca="false">IF($A37="","",AL36-AM36)</f>
        <v>#N/A</v>
      </c>
      <c r="AO36" s="137" t="n">
        <f aca="false">IF(A37="","",A37-A36)</f>
        <v>31</v>
      </c>
      <c r="AP36" s="212" t="n">
        <f aca="false">IF(A37="","",CHOOSE(F$3,A37+24,A36))</f>
        <v>37834</v>
      </c>
      <c r="AQ36" s="209" t="n">
        <f aca="false">IF(A37="","",AP36-$E$1)</f>
        <v>-8092</v>
      </c>
      <c r="AR36" s="185" t="n">
        <f aca="false">'ANR OK vs ML7'!AR36</f>
        <v>0.1</v>
      </c>
      <c r="AS36" s="213" t="n">
        <f aca="false">IF(A37="","",1/(1+CHOOSE(F$3,(AR37+($I$3/10000))/2,(AR36+($I$3/10000))/2))^(2*AQ36/365.25))</f>
        <v>8.687296488692</v>
      </c>
      <c r="AT36" s="137" t="n">
        <f aca="false">IF(A37="","",IF(AND(mthbeg&lt;=A36,mthend&gt;=A36),1,0))</f>
        <v>1</v>
      </c>
      <c r="AU36" s="137" t="n">
        <f aca="false">IF(A37="","",AO36*AT36)</f>
        <v>31</v>
      </c>
      <c r="AW36" s="195" t="e">
        <f aca="false">IF($A37="","",AL36*$E36)</f>
        <v>#NAME?</v>
      </c>
      <c r="AX36" s="195" t="e">
        <f aca="false">IF($A37="","",AM36*$E36)</f>
        <v>#N/A</v>
      </c>
      <c r="AY36" s="195" t="e">
        <f aca="false">IF($A37="","",AN36*$E36)</f>
        <v>#N/A</v>
      </c>
      <c r="BA36" s="195" t="n">
        <f aca="false">IF($A37="","",F36*Summary!$Q$10)</f>
        <v>0</v>
      </c>
      <c r="BC36" s="179" t="e">
        <f aca="false">IF(A37="","",AM36*F36)</f>
        <v>#N/A</v>
      </c>
    </row>
    <row r="37" customFormat="false" ht="12.75" hidden="false" customHeight="false" outlineLevel="0" collapsed="false">
      <c r="A37" s="196" t="n">
        <f aca="false">IF(A36&lt;mthend,EDATE(A36,1),"")</f>
        <v>37865</v>
      </c>
      <c r="B37" s="197" t="n">
        <f aca="false">IF(A37&lt;mthend,B36,"")</f>
        <v>119740</v>
      </c>
      <c r="C37" s="215"/>
      <c r="D37" s="197" t="n">
        <f aca="false">IF(A38&lt;&gt;"",B37+C37,"")</f>
        <v>119740</v>
      </c>
      <c r="E37" s="199" t="n">
        <f aca="false">IF(A38="","",IF(AND(AT37=1,$H$3=1),D37*AO37,IF($H$3=2,D37,"N/A")))</f>
        <v>3592200</v>
      </c>
      <c r="F37" s="199" t="n">
        <f aca="false">IF(A38="","",E37*AS37)</f>
        <v>30949122.3372897</v>
      </c>
      <c r="G37" s="200" t="e">
        <f aca="false">IF($A38="","",VLOOKUP($A37,Table,MATCH(G$4,Curves,0)))</f>
        <v>#N/A</v>
      </c>
      <c r="H37" s="201" t="e">
        <f aca="false">IF(A38="","",G37)</f>
        <v>#N/A</v>
      </c>
      <c r="I37" s="202"/>
      <c r="J37" s="200" t="e">
        <f aca="false">IF($A38="","",VLOOKUP($A37,Table,MATCH(J$4,Curves,0)))</f>
        <v>#N/A</v>
      </c>
      <c r="K37" s="201" t="e">
        <f aca="false">IF(A38="","",J37)</f>
        <v>#N/A</v>
      </c>
      <c r="L37" s="185" t="n">
        <v>0</v>
      </c>
      <c r="M37" s="201" t="n">
        <f aca="false">IF(A38="","",L37)</f>
        <v>0</v>
      </c>
      <c r="N37" s="203"/>
      <c r="O37" s="200" t="e">
        <f aca="false">IF(A38="","",L37+J37+G37)</f>
        <v>#N/A</v>
      </c>
      <c r="P37" s="200" t="e">
        <f aca="false">IF(A38="","",M37+K37+H37)</f>
        <v>#N/A</v>
      </c>
      <c r="Q37" s="204"/>
      <c r="R37" s="200" t="e">
        <f aca="false">IF($A38="","",VLOOKUP($A37,Table,MATCH(R$4,Curves,0)))</f>
        <v>#N/A</v>
      </c>
      <c r="S37" s="201" t="e">
        <f aca="false">IF(A38="","",R37)</f>
        <v>#N/A</v>
      </c>
      <c r="T37" s="200" t="e">
        <f aca="false">IF($A38="","",VLOOKUP($A37,Table,MATCH(T$4,Curves,0)))</f>
        <v>#N/A</v>
      </c>
      <c r="U37" s="201" t="e">
        <f aca="false">IF(A38="","",T37)</f>
        <v>#N/A</v>
      </c>
      <c r="V37" s="205" t="e">
        <f aca="false">IF($A38="","",IF(AND(MONTH(A37)&gt;3,MONTH(A37)&lt;11),(T37+R37+G37)*Summary!$T$10/(1-Summary!$T$10),(T37+R37+G37)*Summary!$U$10/(1-Summary!$U$10)))</f>
        <v>#N/A</v>
      </c>
      <c r="W37" s="200" t="e">
        <f aca="false">IF($A38="","",(T37+R37+G37+V37))</f>
        <v>#N/A</v>
      </c>
      <c r="X37" s="200" t="e">
        <f aca="false">IF($A38="","",(U37+S37+H37+V37))</f>
        <v>#N/A</v>
      </c>
      <c r="Y37" s="202"/>
      <c r="Z37" s="185" t="e">
        <f aca="false">IF($A38="","",VLOOKUP($A37,Table,MATCH(Z$4,Curves,0)))</f>
        <v>#N/A</v>
      </c>
      <c r="AA37" s="185" t="e">
        <f aca="false">IF($A38="","",VLOOKUP($A37,Table,MATCH(AA$4,Curves,0)))</f>
        <v>#N/A</v>
      </c>
      <c r="AB37" s="185" t="e">
        <f aca="false">SQRT((AA37^2*(A37-$D$3)+Z37^2*(DAY(EOMONTH(A37,0))/2))/AK37)</f>
        <v>#N/A</v>
      </c>
      <c r="AC37" s="185" t="e">
        <f aca="false">IF($A38="","",VLOOKUP($A37,Table,MATCH(AC$4,Curves,0)))</f>
        <v>#N/A</v>
      </c>
      <c r="AD37" s="185" t="e">
        <f aca="false">IF($A38="","",VLOOKUP($A37,Table,MATCH(AD$4,Curves,0)))</f>
        <v>#N/A</v>
      </c>
      <c r="AE37" s="185" t="e">
        <f aca="false">SQRT((AD37^2*(A37-$D$3)+AC37^2*(DAY(EOMONTH(A37,0))/2))/AK37)</f>
        <v>#N/A</v>
      </c>
      <c r="AF37" s="224" t="e">
        <f aca="false">((Summary!$N$10*(AA37*AD37)*(A37-$D$3))+(Summary!$M$10*Z37*AC37*(AJ37-EOMONTH(EDATE(A37,-1),0))))/(AK37*AB37*AE37)</f>
        <v>#N/A</v>
      </c>
      <c r="AG37" s="207" t="n">
        <f aca="false">IF($A38="","",Summary!$Q$10)</f>
        <v>0</v>
      </c>
      <c r="AH37" s="207" t="n">
        <f aca="false">IF($A38="","",IF(Summary!$R$10="Y",(VLOOKUP($A37,Summary!$AD$6:$AF$9,3)+'Escalating commodity'!F50),'Escalating commodity'!F50))</f>
        <v>0.0128</v>
      </c>
      <c r="AI37" s="207" t="n">
        <f aca="false">IF($A38="","",AH37)</f>
        <v>0.0128</v>
      </c>
      <c r="AJ37" s="208" t="n">
        <f aca="false">A37+DAY(EOMONTH(A37,0))/2-1</f>
        <v>37879</v>
      </c>
      <c r="AK37" s="209" t="n">
        <f aca="false">IF($A38="","",$A37-$E$1)</f>
        <v>-8061</v>
      </c>
      <c r="AL37" s="182" t="e">
        <f aca="false">IF($A38="","",SPRDOPT(P37,X37,AI37,0,AB37,AE37,AF37,AK37,$AJ$2,0))</f>
        <v>#NAME?</v>
      </c>
      <c r="AM37" s="211" t="e">
        <f aca="false">IF($A38="","",MAX(0,O37-W37-AI37))</f>
        <v>#N/A</v>
      </c>
      <c r="AN37" s="211" t="e">
        <f aca="false">IF($A38="","",AL37-AM37)</f>
        <v>#N/A</v>
      </c>
      <c r="AO37" s="137" t="n">
        <f aca="false">IF(A38="","",A38-A37)</f>
        <v>30</v>
      </c>
      <c r="AP37" s="212" t="n">
        <f aca="false">IF(A38="","",CHOOSE(F$3,A38+24,A37))</f>
        <v>37865</v>
      </c>
      <c r="AQ37" s="209" t="n">
        <f aca="false">IF(A38="","",AP37-$E$1)</f>
        <v>-8061</v>
      </c>
      <c r="AR37" s="185" t="n">
        <f aca="false">'ANR OK vs ML7'!AR37</f>
        <v>0.1</v>
      </c>
      <c r="AS37" s="213" t="n">
        <f aca="false">IF(A38="","",1/(1+CHOOSE(F$3,(AR38+($I$3/10000))/2,(AR37+($I$3/10000))/2))^(2*AQ37/365.25))</f>
        <v>8.6156456592867</v>
      </c>
      <c r="AT37" s="137" t="n">
        <f aca="false">IF(A38="","",IF(AND(mthbeg&lt;=A37,mthend&gt;=A37),1,0))</f>
        <v>1</v>
      </c>
      <c r="AU37" s="137" t="n">
        <f aca="false">IF(A38="","",AO37*AT37)</f>
        <v>30</v>
      </c>
      <c r="AW37" s="195" t="e">
        <f aca="false">IF($A38="","",AL37*$E37)</f>
        <v>#NAME?</v>
      </c>
      <c r="AX37" s="195" t="e">
        <f aca="false">IF($A38="","",AM37*$E37)</f>
        <v>#N/A</v>
      </c>
      <c r="AY37" s="195" t="e">
        <f aca="false">IF($A38="","",AN37*$E37)</f>
        <v>#N/A</v>
      </c>
      <c r="BA37" s="195" t="n">
        <f aca="false">IF($A38="","",F37*Summary!$Q$10)</f>
        <v>0</v>
      </c>
      <c r="BC37" s="179" t="e">
        <f aca="false">IF(A38="","",AM37*F37)</f>
        <v>#N/A</v>
      </c>
    </row>
    <row r="38" customFormat="false" ht="12.75" hidden="false" customHeight="false" outlineLevel="0" collapsed="false">
      <c r="A38" s="196" t="n">
        <f aca="false">IF(A37&lt;mthend,EDATE(A37,1),"")</f>
        <v>37895</v>
      </c>
      <c r="B38" s="197" t="n">
        <f aca="false">IF(A38&lt;mthend,B37,"")</f>
        <v>119740</v>
      </c>
      <c r="C38" s="215"/>
      <c r="D38" s="197" t="n">
        <f aca="false">IF(A39&lt;&gt;"",B38+C38,"")</f>
        <v>119740</v>
      </c>
      <c r="E38" s="199" t="n">
        <f aca="false">IF(A39="","",IF(AND(AT38=1,$H$3=1),D38*AO38,IF($H$3=2,D38,"N/A")))</f>
        <v>3711940</v>
      </c>
      <c r="F38" s="199" t="n">
        <f aca="false">IF(A39="","",E38*AS38)</f>
        <v>31725464.4304457</v>
      </c>
      <c r="G38" s="200" t="e">
        <f aca="false">IF($A39="","",VLOOKUP($A38,Table,MATCH(G$4,Curves,0)))</f>
        <v>#N/A</v>
      </c>
      <c r="H38" s="201" t="e">
        <f aca="false">IF(A39="","",G38)</f>
        <v>#N/A</v>
      </c>
      <c r="I38" s="202"/>
      <c r="J38" s="200" t="e">
        <f aca="false">IF($A39="","",VLOOKUP($A38,Table,MATCH(J$4,Curves,0)))</f>
        <v>#N/A</v>
      </c>
      <c r="K38" s="201" t="e">
        <f aca="false">IF(A39="","",J38)</f>
        <v>#N/A</v>
      </c>
      <c r="L38" s="185" t="n">
        <v>0</v>
      </c>
      <c r="M38" s="201" t="n">
        <f aca="false">IF(A39="","",L38)</f>
        <v>0</v>
      </c>
      <c r="N38" s="203"/>
      <c r="O38" s="200" t="e">
        <f aca="false">IF(A39="","",L38+J38+G38)</f>
        <v>#N/A</v>
      </c>
      <c r="P38" s="200" t="e">
        <f aca="false">IF(A39="","",M38+K38+H38)</f>
        <v>#N/A</v>
      </c>
      <c r="Q38" s="204"/>
      <c r="R38" s="200" t="e">
        <f aca="false">IF($A39="","",VLOOKUP($A38,Table,MATCH(R$4,Curves,0)))</f>
        <v>#N/A</v>
      </c>
      <c r="S38" s="201" t="e">
        <f aca="false">IF(A39="","",R38)</f>
        <v>#N/A</v>
      </c>
      <c r="T38" s="200" t="e">
        <f aca="false">IF($A39="","",VLOOKUP($A38,Table,MATCH(T$4,Curves,0)))</f>
        <v>#N/A</v>
      </c>
      <c r="U38" s="201" t="e">
        <f aca="false">IF(A39="","",T38)</f>
        <v>#N/A</v>
      </c>
      <c r="V38" s="205" t="e">
        <f aca="false">IF($A39="","",IF(AND(MONTH(A38)&gt;3,MONTH(A38)&lt;11),(T38+R38+G38)*Summary!$T$10/(1-Summary!$T$10),(T38+R38+G38)*Summary!$U$10/(1-Summary!$U$10)))</f>
        <v>#N/A</v>
      </c>
      <c r="W38" s="200" t="e">
        <f aca="false">IF($A39="","",(T38+R38+G38+V38))</f>
        <v>#N/A</v>
      </c>
      <c r="X38" s="200" t="e">
        <f aca="false">IF($A39="","",(U38+S38+H38+V38))</f>
        <v>#N/A</v>
      </c>
      <c r="Y38" s="202"/>
      <c r="Z38" s="185" t="e">
        <f aca="false">IF($A39="","",VLOOKUP($A38,Table,MATCH(Z$4,Curves,0)))</f>
        <v>#N/A</v>
      </c>
      <c r="AA38" s="185" t="e">
        <f aca="false">IF($A39="","",VLOOKUP($A38,Table,MATCH(AA$4,Curves,0)))</f>
        <v>#N/A</v>
      </c>
      <c r="AB38" s="185" t="e">
        <f aca="false">SQRT((AA38^2*(A38-$D$3)+Z38^2*(DAY(EOMONTH(A38,0))/2))/AK38)</f>
        <v>#N/A</v>
      </c>
      <c r="AC38" s="185" t="e">
        <f aca="false">IF($A39="","",VLOOKUP($A38,Table,MATCH(AC$4,Curves,0)))</f>
        <v>#N/A</v>
      </c>
      <c r="AD38" s="185" t="e">
        <f aca="false">IF($A39="","",VLOOKUP($A38,Table,MATCH(AD$4,Curves,0)))</f>
        <v>#N/A</v>
      </c>
      <c r="AE38" s="185" t="e">
        <f aca="false">SQRT((AD38^2*(A38-$D$3)+AC38^2*(DAY(EOMONTH(A38,0))/2))/AK38)</f>
        <v>#N/A</v>
      </c>
      <c r="AF38" s="224" t="e">
        <f aca="false">((Summary!$N$10*(AA38*AD38)*(A38-$D$3))+(Summary!$M$10*Z38*AC38*(AJ38-EOMONTH(EDATE(A38,-1),0))))/(AK38*AB38*AE38)</f>
        <v>#N/A</v>
      </c>
      <c r="AG38" s="207" t="n">
        <f aca="false">IF($A39="","",Summary!$Q$10)</f>
        <v>0</v>
      </c>
      <c r="AH38" s="207" t="n">
        <f aca="false">IF($A39="","",IF(Summary!$R$10="Y",(VLOOKUP($A38,Summary!$AD$6:$AF$9,3)+'Escalating commodity'!F51),'Escalating commodity'!F51))</f>
        <v>0.0128</v>
      </c>
      <c r="AI38" s="207" t="n">
        <f aca="false">IF($A39="","",AH38)</f>
        <v>0.0128</v>
      </c>
      <c r="AJ38" s="208" t="n">
        <f aca="false">A38+DAY(EOMONTH(A38,0))/2-1</f>
        <v>37909.5</v>
      </c>
      <c r="AK38" s="209" t="n">
        <f aca="false">IF($A39="","",$A38-$E$1)</f>
        <v>-8031</v>
      </c>
      <c r="AL38" s="182" t="e">
        <f aca="false">IF($A39="","",SPRDOPT(P38,X38,AI38,0,AB38,AE38,AF38,AK38,$AJ$2,0))</f>
        <v>#NAME?</v>
      </c>
      <c r="AM38" s="211" t="e">
        <f aca="false">IF($A39="","",MAX(0,O38-W38-AI38))</f>
        <v>#N/A</v>
      </c>
      <c r="AN38" s="211" t="e">
        <f aca="false">IF($A39="","",AL38-AM38)</f>
        <v>#N/A</v>
      </c>
      <c r="AO38" s="137" t="n">
        <f aca="false">IF(A39="","",A39-A38)</f>
        <v>31</v>
      </c>
      <c r="AP38" s="212" t="n">
        <f aca="false">IF(A39="","",CHOOSE(F$3,A39+24,A38))</f>
        <v>37895</v>
      </c>
      <c r="AQ38" s="209" t="n">
        <f aca="false">IF(A39="","",AP38-$E$1)</f>
        <v>-8031</v>
      </c>
      <c r="AR38" s="185" t="n">
        <f aca="false">'ANR OK vs ML7'!AR38</f>
        <v>0.1</v>
      </c>
      <c r="AS38" s="213" t="n">
        <f aca="false">IF(A39="","",1/(1+CHOOSE(F$3,(AR39+($I$3/10000))/2,(AR38+($I$3/10000))/2))^(2*AQ38/365.25))</f>
        <v>8.54686886922894</v>
      </c>
      <c r="AT38" s="137" t="n">
        <f aca="false">IF(A39="","",IF(AND(mthbeg&lt;=A38,mthend&gt;=A38),1,0))</f>
        <v>1</v>
      </c>
      <c r="AU38" s="137" t="n">
        <f aca="false">IF(A39="","",AO38*AT38)</f>
        <v>31</v>
      </c>
      <c r="AW38" s="195" t="e">
        <f aca="false">IF($A39="","",AL38*$E38)</f>
        <v>#NAME?</v>
      </c>
      <c r="AX38" s="195" t="e">
        <f aca="false">IF($A39="","",AM38*$E38)</f>
        <v>#N/A</v>
      </c>
      <c r="AY38" s="195" t="e">
        <f aca="false">IF($A39="","",AN38*$E38)</f>
        <v>#N/A</v>
      </c>
      <c r="BA38" s="195" t="n">
        <f aca="false">IF($A39="","",F38*Summary!$Q$10)</f>
        <v>0</v>
      </c>
      <c r="BC38" s="179" t="e">
        <f aca="false">IF(A39="","",AM38*F38)</f>
        <v>#N/A</v>
      </c>
    </row>
    <row r="39" customFormat="false" ht="12.75" hidden="false" customHeight="false" outlineLevel="0" collapsed="false">
      <c r="A39" s="196" t="n">
        <f aca="false">IF(A38&lt;mthend,EDATE(A38,1),"")</f>
        <v>37926</v>
      </c>
      <c r="B39" s="197" t="n">
        <f aca="false">IF(A39&lt;mthend,B38,"")</f>
        <v>119740</v>
      </c>
      <c r="C39" s="215"/>
      <c r="D39" s="197" t="n">
        <f aca="false">IF(A40&lt;&gt;"",B39+C39,"")</f>
        <v>119740</v>
      </c>
      <c r="E39" s="199" t="n">
        <f aca="false">IF(A40="","",IF(AND(AT39=1,$H$3=1),D39*AO39,IF($H$3=2,D39,"N/A")))</f>
        <v>3592200</v>
      </c>
      <c r="F39" s="199" t="n">
        <f aca="false">IF(A40="","",E39*AS39)</f>
        <v>30448838.7818759</v>
      </c>
      <c r="G39" s="200" t="e">
        <f aca="false">IF($A40="","",VLOOKUP($A39,Table,MATCH(G$4,Curves,0)))</f>
        <v>#N/A</v>
      </c>
      <c r="H39" s="201" t="e">
        <f aca="false">IF(A40="","",G39)</f>
        <v>#N/A</v>
      </c>
      <c r="I39" s="202"/>
      <c r="J39" s="200" t="e">
        <f aca="false">IF($A40="","",VLOOKUP($A39,Table,MATCH(J$4,Curves,0)))</f>
        <v>#N/A</v>
      </c>
      <c r="K39" s="201" t="e">
        <f aca="false">IF(A40="","",J39)</f>
        <v>#N/A</v>
      </c>
      <c r="L39" s="185" t="n">
        <v>0</v>
      </c>
      <c r="M39" s="201" t="n">
        <f aca="false">IF(A40="","",L39)</f>
        <v>0</v>
      </c>
      <c r="N39" s="203"/>
      <c r="O39" s="200" t="e">
        <f aca="false">IF(A40="","",L39+J39+G39)</f>
        <v>#N/A</v>
      </c>
      <c r="P39" s="200" t="e">
        <f aca="false">IF(A40="","",M39+K39+H39)</f>
        <v>#N/A</v>
      </c>
      <c r="Q39" s="204"/>
      <c r="R39" s="200" t="e">
        <f aca="false">IF($A40="","",VLOOKUP($A39,Table,MATCH(R$4,Curves,0)))</f>
        <v>#N/A</v>
      </c>
      <c r="S39" s="201" t="e">
        <f aca="false">IF(A40="","",R39)</f>
        <v>#N/A</v>
      </c>
      <c r="T39" s="200" t="e">
        <f aca="false">IF($A40="","",VLOOKUP($A39,Table,MATCH(T$4,Curves,0)))</f>
        <v>#N/A</v>
      </c>
      <c r="U39" s="201" t="e">
        <f aca="false">IF(A40="","",T39)</f>
        <v>#N/A</v>
      </c>
      <c r="V39" s="205" t="e">
        <f aca="false">IF($A40="","",IF(AND(MONTH(A39)&gt;3,MONTH(A39)&lt;11),(T39+R39+G39)*Summary!$T$10/(1-Summary!$T$10),(T39+R39+G39)*Summary!$U$10/(1-Summary!$U$10)))</f>
        <v>#N/A</v>
      </c>
      <c r="W39" s="200" t="e">
        <f aca="false">IF($A40="","",(T39+R39+G39+V39))</f>
        <v>#N/A</v>
      </c>
      <c r="X39" s="200" t="e">
        <f aca="false">IF($A40="","",(U39+S39+H39+V39))</f>
        <v>#N/A</v>
      </c>
      <c r="Y39" s="202"/>
      <c r="Z39" s="185" t="e">
        <f aca="false">IF($A40="","",VLOOKUP($A39,Table,MATCH(Z$4,Curves,0)))</f>
        <v>#N/A</v>
      </c>
      <c r="AA39" s="185" t="e">
        <f aca="false">IF($A40="","",VLOOKUP($A39,Table,MATCH(AA$4,Curves,0)))</f>
        <v>#N/A</v>
      </c>
      <c r="AB39" s="185" t="e">
        <f aca="false">SQRT((AA39^2*(A39-$D$3)+Z39^2*(DAY(EOMONTH(A39,0))/2))/AK39)</f>
        <v>#N/A</v>
      </c>
      <c r="AC39" s="185" t="e">
        <f aca="false">IF($A40="","",VLOOKUP($A39,Table,MATCH(AC$4,Curves,0)))</f>
        <v>#N/A</v>
      </c>
      <c r="AD39" s="185" t="e">
        <f aca="false">IF($A40="","",VLOOKUP($A39,Table,MATCH(AD$4,Curves,0)))</f>
        <v>#N/A</v>
      </c>
      <c r="AE39" s="185" t="e">
        <f aca="false">SQRT((AD39^2*(A39-$D$3)+AC39^2*(DAY(EOMONTH(A39,0))/2))/AK39)</f>
        <v>#N/A</v>
      </c>
      <c r="AF39" s="224" t="e">
        <f aca="false">((Summary!$N$10*(AA39*AD39)*(A39-$D$3))+(Summary!$M$10*Z39*AC39*(AJ39-EOMONTH(EDATE(A39,-1),0))))/(AK39*AB39*AE39)</f>
        <v>#N/A</v>
      </c>
      <c r="AG39" s="207" t="n">
        <f aca="false">IF($A40="","",Summary!$Q$10)</f>
        <v>0</v>
      </c>
      <c r="AH39" s="207" t="n">
        <f aca="false">IF($A40="","",IF(Summary!$R$10="Y",(VLOOKUP($A39,Summary!$AD$6:$AF$9,3)+'Escalating commodity'!F52),'Escalating commodity'!F52))</f>
        <v>0.0128</v>
      </c>
      <c r="AI39" s="207" t="n">
        <f aca="false">IF($A40="","",AH39)</f>
        <v>0.0128</v>
      </c>
      <c r="AJ39" s="208" t="n">
        <f aca="false">A39+DAY(EOMONTH(A39,0))/2-1</f>
        <v>37940</v>
      </c>
      <c r="AK39" s="209" t="n">
        <f aca="false">IF($A40="","",$A39-$E$1)</f>
        <v>-8000</v>
      </c>
      <c r="AL39" s="182" t="e">
        <f aca="false">IF($A40="","",SPRDOPT(P39,X39,AI39,0,AB39,AE39,AF39,AK39,$AJ$2,0))</f>
        <v>#NAME?</v>
      </c>
      <c r="AM39" s="211" t="e">
        <f aca="false">IF($A40="","",MAX(0,O39-W39-AI39))</f>
        <v>#N/A</v>
      </c>
      <c r="AN39" s="211" t="e">
        <f aca="false">IF($A40="","",AL39-AM39)</f>
        <v>#N/A</v>
      </c>
      <c r="AO39" s="137" t="n">
        <f aca="false">IF(A40="","",A40-A39)</f>
        <v>30</v>
      </c>
      <c r="AP39" s="212" t="n">
        <f aca="false">IF(A40="","",CHOOSE(F$3,A40+24,A39))</f>
        <v>37926</v>
      </c>
      <c r="AQ39" s="209" t="n">
        <f aca="false">IF(A40="","",AP39-$E$1)</f>
        <v>-8000</v>
      </c>
      <c r="AR39" s="185" t="n">
        <f aca="false">'ANR OK vs ML7'!AR39</f>
        <v>0.1</v>
      </c>
      <c r="AS39" s="213" t="n">
        <f aca="false">IF(A40="","",1/(1+CHOOSE(F$3,(AR40+($I$3/10000))/2,(AR39+($I$3/10000))/2))^(2*AQ39/365.25))</f>
        <v>8.47637625462833</v>
      </c>
      <c r="AT39" s="137" t="n">
        <f aca="false">IF(A40="","",IF(AND(mthbeg&lt;=A39,mthend&gt;=A39),1,0))</f>
        <v>1</v>
      </c>
      <c r="AU39" s="137" t="n">
        <f aca="false">IF(A40="","",AO39*AT39)</f>
        <v>30</v>
      </c>
      <c r="AW39" s="195" t="e">
        <f aca="false">IF($A40="","",AL39*$E39)</f>
        <v>#NAME?</v>
      </c>
      <c r="AX39" s="195" t="e">
        <f aca="false">IF($A40="","",AM39*$E39)</f>
        <v>#N/A</v>
      </c>
      <c r="AY39" s="195" t="e">
        <f aca="false">IF($A40="","",AN39*$E39)</f>
        <v>#N/A</v>
      </c>
      <c r="BA39" s="195" t="n">
        <f aca="false">IF($A40="","",F39*Summary!$Q$10)</f>
        <v>0</v>
      </c>
      <c r="BC39" s="179" t="e">
        <f aca="false">IF(A40="","",AM39*F39)</f>
        <v>#N/A</v>
      </c>
    </row>
    <row r="40" customFormat="false" ht="12.75" hidden="false" customHeight="false" outlineLevel="0" collapsed="false">
      <c r="A40" s="196" t="n">
        <f aca="false">IF(A39&lt;mthend,EDATE(A39,1),"")</f>
        <v>37956</v>
      </c>
      <c r="B40" s="197" t="n">
        <f aca="false">IF(A40&lt;mthend,B39,"")</f>
        <v>119740</v>
      </c>
      <c r="C40" s="215"/>
      <c r="D40" s="197" t="n">
        <f aca="false">IF(A41&lt;&gt;"",B40+C40,"")</f>
        <v>119740</v>
      </c>
      <c r="E40" s="199" t="n">
        <f aca="false">IF(A41="","",IF(AND(AT40=1,$H$3=1),D40*AO40,IF($H$3=2,D40,"N/A")))</f>
        <v>3711940</v>
      </c>
      <c r="F40" s="199" t="n">
        <f aca="false">IF(A41="","",E40*AS40)</f>
        <v>31212631.531036</v>
      </c>
      <c r="G40" s="200" t="e">
        <f aca="false">IF($A41="","",VLOOKUP($A40,Table,MATCH(G$4,Curves,0)))</f>
        <v>#N/A</v>
      </c>
      <c r="H40" s="201" t="e">
        <f aca="false">IF(A41="","",G40)</f>
        <v>#N/A</v>
      </c>
      <c r="I40" s="202"/>
      <c r="J40" s="200" t="e">
        <f aca="false">IF($A41="","",VLOOKUP($A40,Table,MATCH(J$4,Curves,0)))</f>
        <v>#N/A</v>
      </c>
      <c r="K40" s="201" t="e">
        <f aca="false">IF(A41="","",J40)</f>
        <v>#N/A</v>
      </c>
      <c r="L40" s="185" t="n">
        <v>0</v>
      </c>
      <c r="M40" s="201" t="n">
        <f aca="false">IF(A41="","",L40)</f>
        <v>0</v>
      </c>
      <c r="N40" s="203"/>
      <c r="O40" s="200" t="e">
        <f aca="false">IF(A41="","",L40+J40+G40)</f>
        <v>#N/A</v>
      </c>
      <c r="P40" s="200" t="e">
        <f aca="false">IF(A41="","",M40+K40+H40)</f>
        <v>#N/A</v>
      </c>
      <c r="Q40" s="204"/>
      <c r="R40" s="200" t="e">
        <f aca="false">IF($A41="","",VLOOKUP($A40,Table,MATCH(R$4,Curves,0)))</f>
        <v>#N/A</v>
      </c>
      <c r="S40" s="201" t="e">
        <f aca="false">IF(A41="","",R40)</f>
        <v>#N/A</v>
      </c>
      <c r="T40" s="200" t="e">
        <f aca="false">IF($A41="","",VLOOKUP($A40,Table,MATCH(T$4,Curves,0)))</f>
        <v>#N/A</v>
      </c>
      <c r="U40" s="201" t="e">
        <f aca="false">IF(A41="","",T40)</f>
        <v>#N/A</v>
      </c>
      <c r="V40" s="205" t="e">
        <f aca="false">IF($A41="","",IF(AND(MONTH(A40)&gt;3,MONTH(A40)&lt;11),(T40+R40+G40)*Summary!$T$10/(1-Summary!$T$10),(T40+R40+G40)*Summary!$U$10/(1-Summary!$U$10)))</f>
        <v>#N/A</v>
      </c>
      <c r="W40" s="200" t="e">
        <f aca="false">IF($A41="","",(T40+R40+G40+V40))</f>
        <v>#N/A</v>
      </c>
      <c r="X40" s="200" t="e">
        <f aca="false">IF($A41="","",(U40+S40+H40+V40))</f>
        <v>#N/A</v>
      </c>
      <c r="Y40" s="202"/>
      <c r="Z40" s="185" t="e">
        <f aca="false">IF($A41="","",VLOOKUP($A40,Table,MATCH(Z$4,Curves,0)))</f>
        <v>#N/A</v>
      </c>
      <c r="AA40" s="185" t="e">
        <f aca="false">IF($A41="","",VLOOKUP($A40,Table,MATCH(AA$4,Curves,0)))</f>
        <v>#N/A</v>
      </c>
      <c r="AB40" s="185" t="e">
        <f aca="false">SQRT((AA40^2*(A40-$D$3)+Z40^2*(DAY(EOMONTH(A40,0))/2))/AK40)</f>
        <v>#N/A</v>
      </c>
      <c r="AC40" s="185" t="e">
        <f aca="false">IF($A41="","",VLOOKUP($A40,Table,MATCH(AC$4,Curves,0)))</f>
        <v>#N/A</v>
      </c>
      <c r="AD40" s="185" t="e">
        <f aca="false">IF($A41="","",VLOOKUP($A40,Table,MATCH(AD$4,Curves,0)))</f>
        <v>#N/A</v>
      </c>
      <c r="AE40" s="185" t="e">
        <f aca="false">SQRT((AD40^2*(A40-$D$3)+AC40^2*(DAY(EOMONTH(A40,0))/2))/AK40)</f>
        <v>#N/A</v>
      </c>
      <c r="AF40" s="224" t="e">
        <f aca="false">((Summary!$N$10*(AA40*AD40)*(A40-$D$3))+(Summary!$M$10*Z40*AC40*(AJ40-EOMONTH(EDATE(A40,-1),0))))/(AK40*AB40*AE40)</f>
        <v>#N/A</v>
      </c>
      <c r="AG40" s="207" t="n">
        <f aca="false">IF($A41="","",Summary!$Q$10)</f>
        <v>0</v>
      </c>
      <c r="AH40" s="207" t="n">
        <f aca="false">IF($A41="","",IF(Summary!$R$10="Y",(VLOOKUP($A40,Summary!$AD$6:$AF$9,3)+'Escalating commodity'!F53),'Escalating commodity'!F53))</f>
        <v>0.0128</v>
      </c>
      <c r="AI40" s="207" t="n">
        <f aca="false">IF($A41="","",AH40)</f>
        <v>0.0128</v>
      </c>
      <c r="AJ40" s="208" t="n">
        <f aca="false">A40+DAY(EOMONTH(A40,0))/2-1</f>
        <v>37970.5</v>
      </c>
      <c r="AK40" s="209" t="n">
        <f aca="false">IF($A41="","",$A40-$E$1)</f>
        <v>-7970</v>
      </c>
      <c r="AL40" s="182" t="e">
        <f aca="false">IF($A41="","",SPRDOPT(P40,X40,AI40,0,AB40,AE40,AF40,AK40,$AJ$2,0))</f>
        <v>#NAME?</v>
      </c>
      <c r="AM40" s="211" t="e">
        <f aca="false">IF($A41="","",MAX(0,O40-W40-AI40))</f>
        <v>#N/A</v>
      </c>
      <c r="AN40" s="211" t="e">
        <f aca="false">IF($A41="","",AL40-AM40)</f>
        <v>#N/A</v>
      </c>
      <c r="AO40" s="137" t="n">
        <f aca="false">IF(A41="","",A41-A40)</f>
        <v>31</v>
      </c>
      <c r="AP40" s="212" t="n">
        <f aca="false">IF(A41="","",CHOOSE(F$3,A41+24,A40))</f>
        <v>37956</v>
      </c>
      <c r="AQ40" s="209" t="n">
        <f aca="false">IF(A41="","",AP40-$E$1)</f>
        <v>-7970</v>
      </c>
      <c r="AR40" s="185" t="n">
        <f aca="false">'ANR OK vs ML7'!AR40</f>
        <v>0.1</v>
      </c>
      <c r="AS40" s="213" t="n">
        <f aca="false">IF(A41="","",1/(1+CHOOSE(F$3,(AR41+($I$3/10000))/2,(AR40+($I$3/10000))/2))^(2*AQ40/365.25))</f>
        <v>8.40871122136564</v>
      </c>
      <c r="AT40" s="137" t="n">
        <f aca="false">IF(A41="","",IF(AND(mthbeg&lt;=A40,mthend&gt;=A40),1,0))</f>
        <v>1</v>
      </c>
      <c r="AU40" s="137" t="n">
        <f aca="false">IF(A41="","",AO40*AT40)</f>
        <v>31</v>
      </c>
      <c r="AW40" s="195" t="e">
        <f aca="false">IF($A41="","",AL40*$E40)</f>
        <v>#NAME?</v>
      </c>
      <c r="AX40" s="195" t="e">
        <f aca="false">IF($A41="","",AM40*$E40)</f>
        <v>#N/A</v>
      </c>
      <c r="AY40" s="195" t="e">
        <f aca="false">IF($A41="","",AN40*$E40)</f>
        <v>#N/A</v>
      </c>
      <c r="BA40" s="195" t="n">
        <f aca="false">IF($A41="","",F40*Summary!$Q$10)</f>
        <v>0</v>
      </c>
      <c r="BC40" s="179" t="e">
        <f aca="false">IF(A41="","",AM40*F40)</f>
        <v>#N/A</v>
      </c>
    </row>
    <row r="41" customFormat="false" ht="12.75" hidden="false" customHeight="false" outlineLevel="0" collapsed="false">
      <c r="A41" s="196" t="n">
        <f aca="false">IF(A40&lt;mthend,EDATE(A40,1),"")</f>
        <v>37987</v>
      </c>
      <c r="B41" s="197" t="n">
        <f aca="false">IF(A41&lt;mthend,B40,"")</f>
        <v>119740</v>
      </c>
      <c r="C41" s="215"/>
      <c r="D41" s="197" t="n">
        <f aca="false">IF(A42&lt;&gt;"",B41+C41,"")</f>
        <v>119740</v>
      </c>
      <c r="E41" s="199" t="n">
        <f aca="false">IF(A42="","",IF(AND(AT41=1,$H$3=1),D41*AO41,IF($H$3=2,D41,"N/A")))</f>
        <v>3711940</v>
      </c>
      <c r="F41" s="199" t="n">
        <f aca="false">IF(A42="","",E41*AS41)</f>
        <v>30955196.903355</v>
      </c>
      <c r="G41" s="200" t="e">
        <f aca="false">IF($A42="","",VLOOKUP($A41,Table,MATCH(G$4,Curves,0)))</f>
        <v>#N/A</v>
      </c>
      <c r="H41" s="201" t="e">
        <f aca="false">IF(A42="","",G41)</f>
        <v>#N/A</v>
      </c>
      <c r="I41" s="202"/>
      <c r="J41" s="200" t="e">
        <f aca="false">IF($A42="","",VLOOKUP($A41,Table,MATCH(J$4,Curves,0)))</f>
        <v>#N/A</v>
      </c>
      <c r="K41" s="201" t="e">
        <f aca="false">IF(A42="","",J41)</f>
        <v>#N/A</v>
      </c>
      <c r="L41" s="185" t="n">
        <v>0</v>
      </c>
      <c r="M41" s="201" t="n">
        <f aca="false">IF(A42="","",L41)</f>
        <v>0</v>
      </c>
      <c r="N41" s="203"/>
      <c r="O41" s="200" t="e">
        <f aca="false">IF(A42="","",L41+J41+G41)</f>
        <v>#N/A</v>
      </c>
      <c r="P41" s="200" t="e">
        <f aca="false">IF(A42="","",M41+K41+H41)</f>
        <v>#N/A</v>
      </c>
      <c r="Q41" s="204"/>
      <c r="R41" s="200" t="e">
        <f aca="false">IF($A42="","",VLOOKUP($A41,Table,MATCH(R$4,Curves,0)))</f>
        <v>#N/A</v>
      </c>
      <c r="S41" s="201" t="e">
        <f aca="false">IF(A42="","",R41)</f>
        <v>#N/A</v>
      </c>
      <c r="T41" s="200" t="e">
        <f aca="false">IF($A42="","",VLOOKUP($A41,Table,MATCH(T$4,Curves,0)))</f>
        <v>#N/A</v>
      </c>
      <c r="U41" s="201" t="e">
        <f aca="false">IF(A42="","",T41)</f>
        <v>#N/A</v>
      </c>
      <c r="V41" s="205" t="e">
        <f aca="false">IF($A42="","",IF(AND(MONTH(A41)&gt;3,MONTH(A41)&lt;11),(T41+R41+G41)*Summary!$T$10/(1-Summary!$T$10),(T41+R41+G41)*Summary!$U$10/(1-Summary!$U$10)))</f>
        <v>#N/A</v>
      </c>
      <c r="W41" s="200" t="e">
        <f aca="false">IF($A42="","",(T41+R41+G41+V41))</f>
        <v>#N/A</v>
      </c>
      <c r="X41" s="200" t="e">
        <f aca="false">IF($A42="","",(U41+S41+H41+V41))</f>
        <v>#N/A</v>
      </c>
      <c r="Y41" s="202"/>
      <c r="Z41" s="185" t="e">
        <f aca="false">IF($A42="","",VLOOKUP($A41,Table,MATCH(Z$4,Curves,0)))</f>
        <v>#N/A</v>
      </c>
      <c r="AA41" s="185" t="e">
        <f aca="false">IF($A42="","",VLOOKUP($A41,Table,MATCH(AA$4,Curves,0)))</f>
        <v>#N/A</v>
      </c>
      <c r="AB41" s="185" t="e">
        <f aca="false">SQRT((AA41^2*(A41-$D$3)+Z41^2*(DAY(EOMONTH(A41,0))/2))/AK41)</f>
        <v>#N/A</v>
      </c>
      <c r="AC41" s="185" t="e">
        <f aca="false">IF($A42="","",VLOOKUP($A41,Table,MATCH(AC$4,Curves,0)))</f>
        <v>#N/A</v>
      </c>
      <c r="AD41" s="185" t="e">
        <f aca="false">IF($A42="","",VLOOKUP($A41,Table,MATCH(AD$4,Curves,0)))</f>
        <v>#N/A</v>
      </c>
      <c r="AE41" s="185" t="e">
        <f aca="false">SQRT((AD41^2*(A41-$D$3)+AC41^2*(DAY(EOMONTH(A41,0))/2))/AK41)</f>
        <v>#N/A</v>
      </c>
      <c r="AF41" s="224" t="e">
        <f aca="false">((Summary!$N$10*(AA41*AD41)*(A41-$D$3))+(Summary!$M$10*Z41*AC41*(AJ41-EOMONTH(EDATE(A41,-1),0))))/(AK41*AB41*AE41)</f>
        <v>#N/A</v>
      </c>
      <c r="AG41" s="207" t="n">
        <f aca="false">IF($A42="","",Summary!$Q$10)</f>
        <v>0</v>
      </c>
      <c r="AH41" s="207" t="n">
        <f aca="false">IF($A42="","",IF(Summary!$R$10="Y",(VLOOKUP($A41,Summary!$AD$6:$AF$9,3)+'Escalating commodity'!F54),'Escalating commodity'!F54))</f>
        <v>0.0128</v>
      </c>
      <c r="AI41" s="207" t="n">
        <f aca="false">IF($A42="","",AH41)</f>
        <v>0.0128</v>
      </c>
      <c r="AJ41" s="208" t="n">
        <f aca="false">A41+DAY(EOMONTH(A41,0))/2-1</f>
        <v>38001.5</v>
      </c>
      <c r="AK41" s="209" t="n">
        <f aca="false">IF($A42="","",$A41-$E$1)</f>
        <v>-7939</v>
      </c>
      <c r="AL41" s="182" t="e">
        <f aca="false">IF($A42="","",SPRDOPT(P41,X41,AI41,0,AB41,AE41,AF41,AK41,$AJ$2,0))</f>
        <v>#NAME?</v>
      </c>
      <c r="AM41" s="211" t="e">
        <f aca="false">IF($A42="","",MAX(0,O41-W41-AI41))</f>
        <v>#N/A</v>
      </c>
      <c r="AN41" s="211" t="e">
        <f aca="false">IF($A42="","",AL41-AM41)</f>
        <v>#N/A</v>
      </c>
      <c r="AO41" s="137" t="n">
        <f aca="false">IF(A42="","",A42-A41)</f>
        <v>31</v>
      </c>
      <c r="AP41" s="212" t="n">
        <f aca="false">IF(A42="","",CHOOSE(F$3,A42+24,A41))</f>
        <v>37987</v>
      </c>
      <c r="AQ41" s="209" t="n">
        <f aca="false">IF(A42="","",AP41-$E$1)</f>
        <v>-7939</v>
      </c>
      <c r="AR41" s="185" t="n">
        <f aca="false">'ANR OK vs ML7'!AR41</f>
        <v>0.1</v>
      </c>
      <c r="AS41" s="213" t="n">
        <f aca="false">IF(A42="","",1/(1+CHOOSE(F$3,(AR42+($I$3/10000))/2,(AR41+($I$3/10000))/2))^(2*AQ41/365.25))</f>
        <v>8.33935809936448</v>
      </c>
      <c r="AT41" s="137" t="n">
        <f aca="false">IF(A42="","",IF(AND(mthbeg&lt;=A41,mthend&gt;=A41),1,0))</f>
        <v>1</v>
      </c>
      <c r="AU41" s="137" t="n">
        <f aca="false">IF(A42="","",AO41*AT41)</f>
        <v>31</v>
      </c>
      <c r="AW41" s="195" t="e">
        <f aca="false">IF($A42="","",AL41*$E41)</f>
        <v>#NAME?</v>
      </c>
      <c r="AX41" s="195" t="e">
        <f aca="false">IF($A42="","",AM41*$E41)</f>
        <v>#N/A</v>
      </c>
      <c r="AY41" s="195" t="e">
        <f aca="false">IF($A42="","",AN41*$E41)</f>
        <v>#N/A</v>
      </c>
      <c r="BA41" s="195" t="n">
        <f aca="false">IF($A42="","",F41*Summary!$Q$10)</f>
        <v>0</v>
      </c>
      <c r="BC41" s="179" t="e">
        <f aca="false">IF(A42="","",AM41*F41)</f>
        <v>#N/A</v>
      </c>
    </row>
    <row r="42" customFormat="false" ht="12.75" hidden="false" customHeight="false" outlineLevel="0" collapsed="false">
      <c r="A42" s="196" t="n">
        <f aca="false">IF(A41&lt;mthend,EDATE(A41,1),"")</f>
        <v>38018</v>
      </c>
      <c r="B42" s="197" t="n">
        <f aca="false">IF(A42&lt;mthend,B41,"")</f>
        <v>119740</v>
      </c>
      <c r="C42" s="215"/>
      <c r="D42" s="197" t="n">
        <f aca="false">IF(A43&lt;&gt;"",B42+C42,"")</f>
        <v>119740</v>
      </c>
      <c r="E42" s="199" t="n">
        <f aca="false">IF(A43="","",IF(AND(AT42=1,$H$3=1),D42*AO42,IF($H$3=2,D42,"N/A")))</f>
        <v>3472460</v>
      </c>
      <c r="F42" s="199" t="n">
        <f aca="false">IF(A43="","",E42*AS42)</f>
        <v>28719247.7608425</v>
      </c>
      <c r="G42" s="200" t="e">
        <f aca="false">IF($A43="","",VLOOKUP($A42,Table,MATCH(G$4,Curves,0)))</f>
        <v>#N/A</v>
      </c>
      <c r="H42" s="201" t="e">
        <f aca="false">IF(A43="","",G42)</f>
        <v>#N/A</v>
      </c>
      <c r="I42" s="202"/>
      <c r="J42" s="200" t="e">
        <f aca="false">IF($A43="","",VLOOKUP($A42,Table,MATCH(J$4,Curves,0)))</f>
        <v>#N/A</v>
      </c>
      <c r="K42" s="201" t="e">
        <f aca="false">IF(A43="","",J42)</f>
        <v>#N/A</v>
      </c>
      <c r="L42" s="185" t="n">
        <v>0</v>
      </c>
      <c r="M42" s="201" t="n">
        <f aca="false">IF(A43="","",L42)</f>
        <v>0</v>
      </c>
      <c r="N42" s="203"/>
      <c r="O42" s="200" t="e">
        <f aca="false">IF(A43="","",L42+J42+G42)</f>
        <v>#N/A</v>
      </c>
      <c r="P42" s="200" t="e">
        <f aca="false">IF(A43="","",M42+K42+H42)</f>
        <v>#N/A</v>
      </c>
      <c r="Q42" s="204"/>
      <c r="R42" s="200" t="e">
        <f aca="false">IF($A43="","",VLOOKUP($A42,Table,MATCH(R$4,Curves,0)))</f>
        <v>#N/A</v>
      </c>
      <c r="S42" s="201" t="e">
        <f aca="false">IF(A43="","",R42)</f>
        <v>#N/A</v>
      </c>
      <c r="T42" s="200" t="e">
        <f aca="false">IF($A43="","",VLOOKUP($A42,Table,MATCH(T$4,Curves,0)))</f>
        <v>#N/A</v>
      </c>
      <c r="U42" s="201" t="e">
        <f aca="false">IF(A43="","",T42)</f>
        <v>#N/A</v>
      </c>
      <c r="V42" s="205" t="e">
        <f aca="false">IF($A43="","",IF(AND(MONTH(A42)&gt;3,MONTH(A42)&lt;11),(T42+R42+G42)*Summary!$T$10/(1-Summary!$T$10),(T42+R42+G42)*Summary!$U$10/(1-Summary!$U$10)))</f>
        <v>#N/A</v>
      </c>
      <c r="W42" s="200" t="e">
        <f aca="false">IF($A43="","",(T42+R42+G42+V42))</f>
        <v>#N/A</v>
      </c>
      <c r="X42" s="200" t="e">
        <f aca="false">IF($A43="","",(U42+S42+H42+V42))</f>
        <v>#N/A</v>
      </c>
      <c r="Y42" s="202"/>
      <c r="Z42" s="185" t="e">
        <f aca="false">IF($A43="","",VLOOKUP($A42,Table,MATCH(Z$4,Curves,0)))</f>
        <v>#N/A</v>
      </c>
      <c r="AA42" s="185" t="e">
        <f aca="false">IF($A43="","",VLOOKUP($A42,Table,MATCH(AA$4,Curves,0)))</f>
        <v>#N/A</v>
      </c>
      <c r="AB42" s="185" t="e">
        <f aca="false">SQRT((AA42^2*(A42-$D$3)+Z42^2*(DAY(EOMONTH(A42,0))/2))/AK42)</f>
        <v>#N/A</v>
      </c>
      <c r="AC42" s="185" t="e">
        <f aca="false">IF($A43="","",VLOOKUP($A42,Table,MATCH(AC$4,Curves,0)))</f>
        <v>#N/A</v>
      </c>
      <c r="AD42" s="185" t="e">
        <f aca="false">IF($A43="","",VLOOKUP($A42,Table,MATCH(AD$4,Curves,0)))</f>
        <v>#N/A</v>
      </c>
      <c r="AE42" s="185" t="e">
        <f aca="false">SQRT((AD42^2*(A42-$D$3)+AC42^2*(DAY(EOMONTH(A42,0))/2))/AK42)</f>
        <v>#N/A</v>
      </c>
      <c r="AF42" s="224" t="e">
        <f aca="false">((Summary!$N$10*(AA42*AD42)*(A42-$D$3))+(Summary!$M$10*Z42*AC42*(AJ42-EOMONTH(EDATE(A42,-1),0))))/(AK42*AB42*AE42)</f>
        <v>#N/A</v>
      </c>
      <c r="AG42" s="207" t="n">
        <f aca="false">IF($A43="","",Summary!$Q$10)</f>
        <v>0</v>
      </c>
      <c r="AH42" s="207" t="n">
        <f aca="false">IF($A43="","",IF(Summary!$R$10="Y",(VLOOKUP($A42,Summary!$AD$6:$AF$9,3)+'Escalating commodity'!F55),'Escalating commodity'!F55))</f>
        <v>0.0128</v>
      </c>
      <c r="AI42" s="207" t="n">
        <f aca="false">IF($A43="","",AH42)</f>
        <v>0.0128</v>
      </c>
      <c r="AJ42" s="208" t="n">
        <f aca="false">A42+DAY(EOMONTH(A42,0))/2-1</f>
        <v>38031.5</v>
      </c>
      <c r="AK42" s="209" t="n">
        <f aca="false">IF($A43="","",$A42-$E$1)</f>
        <v>-7908</v>
      </c>
      <c r="AL42" s="182" t="e">
        <f aca="false">IF($A43="","",SPRDOPT(P42,X42,AI42,0,AB42,AE42,AF42,AK42,$AJ$2,0))</f>
        <v>#NAME?</v>
      </c>
      <c r="AM42" s="211" t="e">
        <f aca="false">IF($A43="","",MAX(0,O42-W42-AI42))</f>
        <v>#N/A</v>
      </c>
      <c r="AN42" s="211" t="e">
        <f aca="false">IF($A43="","",AL42-AM42)</f>
        <v>#N/A</v>
      </c>
      <c r="AO42" s="137" t="n">
        <f aca="false">IF(A43="","",A43-A42)</f>
        <v>29</v>
      </c>
      <c r="AP42" s="212" t="n">
        <f aca="false">IF(A43="","",CHOOSE(F$3,A43+24,A42))</f>
        <v>38018</v>
      </c>
      <c r="AQ42" s="209" t="n">
        <f aca="false">IF(A43="","",AP42-$E$1)</f>
        <v>-7908</v>
      </c>
      <c r="AR42" s="185" t="n">
        <f aca="false">'ANR OK vs ML7'!AR42</f>
        <v>0.1</v>
      </c>
      <c r="AS42" s="213" t="n">
        <f aca="false">IF(A43="","",1/(1+CHOOSE(F$3,(AR43+($I$3/10000))/2,(AR42+($I$3/10000))/2))^(2*AQ42/365.25))</f>
        <v>8.27057698601063</v>
      </c>
      <c r="AT42" s="137" t="n">
        <f aca="false">IF(A43="","",IF(AND(mthbeg&lt;=A42,mthend&gt;=A42),1,0))</f>
        <v>1</v>
      </c>
      <c r="AU42" s="137" t="n">
        <f aca="false">IF(A43="","",AO42*AT42)</f>
        <v>29</v>
      </c>
      <c r="AW42" s="195" t="e">
        <f aca="false">IF($A43="","",AL42*$E42)</f>
        <v>#NAME?</v>
      </c>
      <c r="AX42" s="195" t="e">
        <f aca="false">IF($A43="","",AM42*$E42)</f>
        <v>#N/A</v>
      </c>
      <c r="AY42" s="195" t="e">
        <f aca="false">IF($A43="","",AN42*$E42)</f>
        <v>#N/A</v>
      </c>
      <c r="BA42" s="195" t="n">
        <f aca="false">IF($A43="","",F42*Summary!$Q$10)</f>
        <v>0</v>
      </c>
      <c r="BC42" s="179" t="e">
        <f aca="false">IF(A43="","",AM42*F42)</f>
        <v>#N/A</v>
      </c>
    </row>
    <row r="43" customFormat="false" ht="12.75" hidden="false" customHeight="false" outlineLevel="0" collapsed="false">
      <c r="A43" s="196" t="n">
        <f aca="false">IF(A42&lt;mthend,EDATE(A42,1),"")</f>
        <v>38047</v>
      </c>
      <c r="B43" s="197" t="n">
        <f aca="false">IF(A43&lt;mthend,B42,"")</f>
        <v>119740</v>
      </c>
      <c r="C43" s="215"/>
      <c r="D43" s="197" t="n">
        <f aca="false">IF(A44&lt;&gt;"",B43+C43,"")</f>
        <v>119740</v>
      </c>
      <c r="E43" s="199" t="n">
        <f aca="false">IF(A44="","",IF(AND(AT43=1,$H$3=1),D43*AO43,IF($H$3=2,D43,"N/A")))</f>
        <v>3711940</v>
      </c>
      <c r="F43" s="199" t="n">
        <f aca="false">IF(A44="","",E43*AS43)</f>
        <v>30462952.561248</v>
      </c>
      <c r="G43" s="200" t="e">
        <f aca="false">IF($A44="","",VLOOKUP($A43,Table,MATCH(G$4,Curves,0)))</f>
        <v>#N/A</v>
      </c>
      <c r="H43" s="201" t="e">
        <f aca="false">IF(A44="","",G43)</f>
        <v>#N/A</v>
      </c>
      <c r="I43" s="202"/>
      <c r="J43" s="200" t="e">
        <f aca="false">IF($A44="","",VLOOKUP($A43,Table,MATCH(J$4,Curves,0)))</f>
        <v>#N/A</v>
      </c>
      <c r="K43" s="201" t="e">
        <f aca="false">IF(A44="","",J43)</f>
        <v>#N/A</v>
      </c>
      <c r="L43" s="185" t="n">
        <v>0</v>
      </c>
      <c r="M43" s="201" t="n">
        <f aca="false">IF(A44="","",L43)</f>
        <v>0</v>
      </c>
      <c r="N43" s="203"/>
      <c r="O43" s="200" t="e">
        <f aca="false">IF(A44="","",L43+J43+G43)</f>
        <v>#N/A</v>
      </c>
      <c r="P43" s="200" t="e">
        <f aca="false">IF(A44="","",M43+K43+H43)</f>
        <v>#N/A</v>
      </c>
      <c r="Q43" s="204"/>
      <c r="R43" s="200" t="e">
        <f aca="false">IF($A44="","",VLOOKUP($A43,Table,MATCH(R$4,Curves,0)))</f>
        <v>#N/A</v>
      </c>
      <c r="S43" s="201" t="e">
        <f aca="false">IF(A44="","",R43)</f>
        <v>#N/A</v>
      </c>
      <c r="T43" s="200" t="e">
        <f aca="false">IF($A44="","",VLOOKUP($A43,Table,MATCH(T$4,Curves,0)))</f>
        <v>#N/A</v>
      </c>
      <c r="U43" s="201" t="e">
        <f aca="false">IF(A44="","",T43)</f>
        <v>#N/A</v>
      </c>
      <c r="V43" s="205" t="e">
        <f aca="false">IF($A44="","",IF(AND(MONTH(A43)&gt;3,MONTH(A43)&lt;11),(T43+R43+G43)*Summary!$T$10/(1-Summary!$T$10),(T43+R43+G43)*Summary!$U$10/(1-Summary!$U$10)))</f>
        <v>#N/A</v>
      </c>
      <c r="W43" s="200" t="e">
        <f aca="false">IF($A44="","",(T43+R43+G43+V43))</f>
        <v>#N/A</v>
      </c>
      <c r="X43" s="200" t="e">
        <f aca="false">IF($A44="","",(U43+S43+H43+V43))</f>
        <v>#N/A</v>
      </c>
      <c r="Y43" s="202"/>
      <c r="Z43" s="185" t="e">
        <f aca="false">IF($A44="","",VLOOKUP($A43,Table,MATCH(Z$4,Curves,0)))</f>
        <v>#N/A</v>
      </c>
      <c r="AA43" s="185" t="e">
        <f aca="false">IF($A44="","",VLOOKUP($A43,Table,MATCH(AA$4,Curves,0)))</f>
        <v>#N/A</v>
      </c>
      <c r="AB43" s="185" t="e">
        <f aca="false">SQRT((AA43^2*(A43-$D$3)+Z43^2*(DAY(EOMONTH(A43,0))/2))/AK43)</f>
        <v>#N/A</v>
      </c>
      <c r="AC43" s="185" t="e">
        <f aca="false">IF($A44="","",VLOOKUP($A43,Table,MATCH(AC$4,Curves,0)))</f>
        <v>#N/A</v>
      </c>
      <c r="AD43" s="185" t="e">
        <f aca="false">IF($A44="","",VLOOKUP($A43,Table,MATCH(AD$4,Curves,0)))</f>
        <v>#N/A</v>
      </c>
      <c r="AE43" s="185" t="e">
        <f aca="false">SQRT((AD43^2*(A43-$D$3)+AC43^2*(DAY(EOMONTH(A43,0))/2))/AK43)</f>
        <v>#N/A</v>
      </c>
      <c r="AF43" s="224" t="e">
        <f aca="false">((Summary!$N$10*(AA43*AD43)*(A43-$D$3))+(Summary!$M$10*Z43*AC43*(AJ43-EOMONTH(EDATE(A43,-1),0))))/(AK43*AB43*AE43)</f>
        <v>#N/A</v>
      </c>
      <c r="AG43" s="207" t="n">
        <f aca="false">IF($A44="","",Summary!$Q$10)</f>
        <v>0</v>
      </c>
      <c r="AH43" s="207" t="n">
        <f aca="false">IF($A44="","",IF(Summary!$R$10="Y",(VLOOKUP($A43,Summary!$AD$6:$AF$9,3)+'Escalating commodity'!F56),'Escalating commodity'!F56))</f>
        <v>0.0128</v>
      </c>
      <c r="AI43" s="207" t="n">
        <f aca="false">IF($A44="","",AH43)</f>
        <v>0.0128</v>
      </c>
      <c r="AJ43" s="208" t="n">
        <f aca="false">A43+DAY(EOMONTH(A43,0))/2-1</f>
        <v>38061.5</v>
      </c>
      <c r="AK43" s="209" t="n">
        <f aca="false">IF($A44="","",$A43-$E$1)</f>
        <v>-7879</v>
      </c>
      <c r="AL43" s="182" t="e">
        <f aca="false">IF($A44="","",SPRDOPT(P43,X43,AI43,0,AB43,AE43,AF43,AK43,$AJ$2,0))</f>
        <v>#NAME?</v>
      </c>
      <c r="AM43" s="211" t="e">
        <f aca="false">IF($A44="","",MAX(0,O43-W43-AI43))</f>
        <v>#N/A</v>
      </c>
      <c r="AN43" s="211" t="e">
        <f aca="false">IF($A44="","",AL43-AM43)</f>
        <v>#N/A</v>
      </c>
      <c r="AO43" s="137" t="n">
        <f aca="false">IF(A44="","",A44-A43)</f>
        <v>31</v>
      </c>
      <c r="AP43" s="212" t="n">
        <f aca="false">IF(A44="","",CHOOSE(F$3,A44+24,A43))</f>
        <v>38047</v>
      </c>
      <c r="AQ43" s="209" t="n">
        <f aca="false">IF(A44="","",AP43-$E$1)</f>
        <v>-7879</v>
      </c>
      <c r="AR43" s="185" t="n">
        <f aca="false">'ANR OK vs ML7'!AR43</f>
        <v>0.1</v>
      </c>
      <c r="AS43" s="213" t="n">
        <f aca="false">IF(A44="","",1/(1+CHOOSE(F$3,(AR44+($I$3/10000))/2,(AR43+($I$3/10000))/2))^(2*AQ43/365.25))</f>
        <v>8.20674702749722</v>
      </c>
      <c r="AT43" s="137" t="n">
        <f aca="false">IF(A44="","",IF(AND(mthbeg&lt;=A43,mthend&gt;=A43),1,0))</f>
        <v>1</v>
      </c>
      <c r="AU43" s="137" t="n">
        <f aca="false">IF(A44="","",AO43*AT43)</f>
        <v>31</v>
      </c>
      <c r="AW43" s="195" t="e">
        <f aca="false">IF($A44="","",AL43*$E43)</f>
        <v>#NAME?</v>
      </c>
      <c r="AX43" s="195" t="e">
        <f aca="false">IF($A44="","",AM43*$E43)</f>
        <v>#N/A</v>
      </c>
      <c r="AY43" s="195" t="e">
        <f aca="false">IF($A44="","",AN43*$E43)</f>
        <v>#N/A</v>
      </c>
      <c r="BA43" s="195" t="n">
        <f aca="false">IF($A44="","",F43*Summary!$Q$10)</f>
        <v>0</v>
      </c>
      <c r="BC43" s="179" t="e">
        <f aca="false">IF(A44="","",AM43*F43)</f>
        <v>#N/A</v>
      </c>
    </row>
    <row r="44" customFormat="false" ht="12.75" hidden="false" customHeight="false" outlineLevel="0" collapsed="false">
      <c r="A44" s="196" t="n">
        <f aca="false">IF(A43&lt;mthend,EDATE(A43,1),"")</f>
        <v>38078</v>
      </c>
      <c r="B44" s="197" t="n">
        <f aca="false">IF(A44&lt;mthend,B43,"")</f>
        <v>119740</v>
      </c>
      <c r="C44" s="215"/>
      <c r="D44" s="197" t="n">
        <f aca="false">IF(A45&lt;&gt;"",B44+C44,"")</f>
        <v>119740</v>
      </c>
      <c r="E44" s="199" t="n">
        <f aca="false">IF(A45="","",IF(AND(AT44=1,$H$3=1),D44*AO44,IF($H$3=2,D44,"N/A")))</f>
        <v>3592200</v>
      </c>
      <c r="F44" s="199" t="n">
        <f aca="false">IF(A45="","",E44*AS44)</f>
        <v>29237130.1101342</v>
      </c>
      <c r="G44" s="200" t="e">
        <f aca="false">IF($A45="","",VLOOKUP($A44,Table,MATCH(G$4,Curves,0)))</f>
        <v>#N/A</v>
      </c>
      <c r="H44" s="201" t="e">
        <f aca="false">IF(A45="","",G44)</f>
        <v>#N/A</v>
      </c>
      <c r="I44" s="202"/>
      <c r="J44" s="200" t="e">
        <f aca="false">IF($A45="","",VLOOKUP($A44,Table,MATCH(J$4,Curves,0)))</f>
        <v>#N/A</v>
      </c>
      <c r="K44" s="201" t="e">
        <f aca="false">IF(A45="","",J44)</f>
        <v>#N/A</v>
      </c>
      <c r="L44" s="185" t="n">
        <v>0</v>
      </c>
      <c r="M44" s="201" t="n">
        <f aca="false">IF(A45="","",L44)</f>
        <v>0</v>
      </c>
      <c r="N44" s="203"/>
      <c r="O44" s="200" t="e">
        <f aca="false">IF(A45="","",L44+J44+G44)</f>
        <v>#N/A</v>
      </c>
      <c r="P44" s="200" t="e">
        <f aca="false">IF(A45="","",M44+K44+H44)</f>
        <v>#N/A</v>
      </c>
      <c r="Q44" s="204"/>
      <c r="R44" s="200" t="e">
        <f aca="false">IF($A45="","",VLOOKUP($A44,Table,MATCH(R$4,Curves,0)))</f>
        <v>#N/A</v>
      </c>
      <c r="S44" s="201" t="e">
        <f aca="false">IF(A45="","",R44)</f>
        <v>#N/A</v>
      </c>
      <c r="T44" s="200" t="e">
        <f aca="false">IF($A45="","",VLOOKUP($A44,Table,MATCH(T$4,Curves,0)))</f>
        <v>#N/A</v>
      </c>
      <c r="U44" s="201" t="e">
        <f aca="false">IF(A45="","",T44)</f>
        <v>#N/A</v>
      </c>
      <c r="V44" s="205" t="e">
        <f aca="false">IF($A45="","",IF(AND(MONTH(A44)&gt;3,MONTH(A44)&lt;11),(T44+R44+G44)*Summary!$T$10/(1-Summary!$T$10),(T44+R44+G44)*Summary!$U$10/(1-Summary!$U$10)))</f>
        <v>#N/A</v>
      </c>
      <c r="W44" s="200" t="e">
        <f aca="false">IF($A45="","",(T44+R44+G44+V44))</f>
        <v>#N/A</v>
      </c>
      <c r="X44" s="200" t="e">
        <f aca="false">IF($A45="","",(U44+S44+H44+V44))</f>
        <v>#N/A</v>
      </c>
      <c r="Y44" s="202"/>
      <c r="Z44" s="185" t="e">
        <f aca="false">IF($A45="","",VLOOKUP($A44,Table,MATCH(Z$4,Curves,0)))</f>
        <v>#N/A</v>
      </c>
      <c r="AA44" s="185" t="e">
        <f aca="false">IF($A45="","",VLOOKUP($A44,Table,MATCH(AA$4,Curves,0)))</f>
        <v>#N/A</v>
      </c>
      <c r="AB44" s="185" t="e">
        <f aca="false">SQRT((AA44^2*(A44-$D$3)+Z44^2*(DAY(EOMONTH(A44,0))/2))/AK44)</f>
        <v>#N/A</v>
      </c>
      <c r="AC44" s="185" t="e">
        <f aca="false">IF($A45="","",VLOOKUP($A44,Table,MATCH(AC$4,Curves,0)))</f>
        <v>#N/A</v>
      </c>
      <c r="AD44" s="185" t="e">
        <f aca="false">IF($A45="","",VLOOKUP($A44,Table,MATCH(AD$4,Curves,0)))</f>
        <v>#N/A</v>
      </c>
      <c r="AE44" s="185" t="e">
        <f aca="false">SQRT((AD44^2*(A44-$D$3)+AC44^2*(DAY(EOMONTH(A44,0))/2))/AK44)</f>
        <v>#N/A</v>
      </c>
      <c r="AF44" s="224" t="e">
        <f aca="false">((Summary!$N$10*(AA44*AD44)*(A44-$D$3))+(Summary!$M$10*Z44*AC44*(AJ44-EOMONTH(EDATE(A44,-1),0))))/(AK44*AB44*AE44)</f>
        <v>#N/A</v>
      </c>
      <c r="AG44" s="207" t="n">
        <f aca="false">IF($A45="","",Summary!$Q$10)</f>
        <v>0</v>
      </c>
      <c r="AH44" s="207" t="n">
        <f aca="false">IF($A45="","",IF(Summary!$R$10="Y",(VLOOKUP($A44,Summary!$AD$6:$AF$9,3)+'Escalating commodity'!F57),'Escalating commodity'!F57))</f>
        <v>0.0128</v>
      </c>
      <c r="AI44" s="207" t="n">
        <f aca="false">IF($A45="","",AH44)</f>
        <v>0.0128</v>
      </c>
      <c r="AJ44" s="208" t="n">
        <f aca="false">A44+DAY(EOMONTH(A44,0))/2-1</f>
        <v>38092</v>
      </c>
      <c r="AK44" s="209" t="n">
        <f aca="false">IF($A45="","",$A44-$E$1)</f>
        <v>-7848</v>
      </c>
      <c r="AL44" s="182" t="e">
        <f aca="false">IF($A45="","",SPRDOPT(P44,X44,AI44,0,AB44,AE44,AF44,AK44,$AJ$2,0))</f>
        <v>#NAME?</v>
      </c>
      <c r="AM44" s="211" t="e">
        <f aca="false">IF($A45="","",MAX(0,O44-W44-AI44))</f>
        <v>#N/A</v>
      </c>
      <c r="AN44" s="211" t="e">
        <f aca="false">IF($A45="","",AL44-AM44)</f>
        <v>#N/A</v>
      </c>
      <c r="AO44" s="137" t="n">
        <f aca="false">IF(A45="","",A45-A44)</f>
        <v>30</v>
      </c>
      <c r="AP44" s="212" t="n">
        <f aca="false">IF(A45="","",CHOOSE(F$3,A45+24,A44))</f>
        <v>38078</v>
      </c>
      <c r="AQ44" s="209" t="n">
        <f aca="false">IF(A45="","",AP44-$E$1)</f>
        <v>-7848</v>
      </c>
      <c r="AR44" s="185" t="n">
        <f aca="false">'ANR OK vs ML7'!AR44</f>
        <v>0.1</v>
      </c>
      <c r="AS44" s="213" t="n">
        <f aca="false">IF(A45="","",1/(1+CHOOSE(F$3,(AR45+($I$3/10000))/2,(AR44+($I$3/10000))/2))^(2*AQ44/365.25))</f>
        <v>8.13905965985585</v>
      </c>
      <c r="AT44" s="137" t="n">
        <f aca="false">IF(A45="","",IF(AND(mthbeg&lt;=A44,mthend&gt;=A44),1,0))</f>
        <v>1</v>
      </c>
      <c r="AU44" s="137" t="n">
        <f aca="false">IF(A45="","",AO44*AT44)</f>
        <v>30</v>
      </c>
      <c r="AW44" s="195" t="e">
        <f aca="false">IF($A45="","",AL44*$E44)</f>
        <v>#NAME?</v>
      </c>
      <c r="AX44" s="195" t="e">
        <f aca="false">IF($A45="","",AM44*$E44)</f>
        <v>#N/A</v>
      </c>
      <c r="AY44" s="195" t="e">
        <f aca="false">IF($A45="","",AN44*$E44)</f>
        <v>#N/A</v>
      </c>
      <c r="BA44" s="195" t="n">
        <f aca="false">IF($A45="","",F44*Summary!$Q$10)</f>
        <v>0</v>
      </c>
      <c r="BC44" s="179" t="e">
        <f aca="false">IF(A45="","",AM44*F44)</f>
        <v>#N/A</v>
      </c>
    </row>
    <row r="45" customFormat="false" ht="12.75" hidden="false" customHeight="false" outlineLevel="0" collapsed="false">
      <c r="A45" s="196" t="n">
        <f aca="false">IF(A44&lt;mthend,EDATE(A44,1),"")</f>
        <v>38108</v>
      </c>
      <c r="B45" s="197" t="n">
        <f aca="false">IF(A45&lt;mthend,B44,"")</f>
        <v>119740</v>
      </c>
      <c r="C45" s="215"/>
      <c r="D45" s="197" t="n">
        <f aca="false">IF(A46&lt;&gt;"",B45+C45,"")</f>
        <v>119740</v>
      </c>
      <c r="E45" s="199" t="n">
        <f aca="false">IF(A46="","",IF(AND(AT45=1,$H$3=1),D45*AO45,IF($H$3=2,D45,"N/A")))</f>
        <v>3711940</v>
      </c>
      <c r="F45" s="199" t="n">
        <f aca="false">IF(A46="","",E45*AS45)</f>
        <v>29970527.7987732</v>
      </c>
      <c r="G45" s="200" t="e">
        <f aca="false">IF($A46="","",VLOOKUP($A45,Table,MATCH(G$4,Curves,0)))</f>
        <v>#N/A</v>
      </c>
      <c r="H45" s="201" t="e">
        <f aca="false">IF(A46="","",G45)</f>
        <v>#N/A</v>
      </c>
      <c r="I45" s="202"/>
      <c r="J45" s="200" t="e">
        <f aca="false">IF($A46="","",VLOOKUP($A45,Table,MATCH(J$4,Curves,0)))</f>
        <v>#N/A</v>
      </c>
      <c r="K45" s="201" t="e">
        <f aca="false">IF(A46="","",J45)</f>
        <v>#N/A</v>
      </c>
      <c r="L45" s="185" t="n">
        <v>0</v>
      </c>
      <c r="M45" s="201" t="n">
        <f aca="false">IF(A46="","",L45)</f>
        <v>0</v>
      </c>
      <c r="N45" s="203"/>
      <c r="O45" s="200" t="e">
        <f aca="false">IF(A46="","",L45+J45+G45)</f>
        <v>#N/A</v>
      </c>
      <c r="P45" s="200" t="e">
        <f aca="false">IF(A46="","",M45+K45+H45)</f>
        <v>#N/A</v>
      </c>
      <c r="Q45" s="204"/>
      <c r="R45" s="200" t="e">
        <f aca="false">IF($A46="","",VLOOKUP($A45,Table,MATCH(R$4,Curves,0)))</f>
        <v>#N/A</v>
      </c>
      <c r="S45" s="201" t="e">
        <f aca="false">IF(A46="","",R45)</f>
        <v>#N/A</v>
      </c>
      <c r="T45" s="200" t="e">
        <f aca="false">IF($A46="","",VLOOKUP($A45,Table,MATCH(T$4,Curves,0)))</f>
        <v>#N/A</v>
      </c>
      <c r="U45" s="201" t="e">
        <f aca="false">IF(A46="","",T45)</f>
        <v>#N/A</v>
      </c>
      <c r="V45" s="205" t="e">
        <f aca="false">IF($A46="","",IF(AND(MONTH(A45)&gt;3,MONTH(A45)&lt;11),(T45+R45+G45)*Summary!$T$10/(1-Summary!$T$10),(T45+R45+G45)*Summary!$U$10/(1-Summary!$U$10)))</f>
        <v>#N/A</v>
      </c>
      <c r="W45" s="200" t="e">
        <f aca="false">IF($A46="","",(T45+R45+G45+V45))</f>
        <v>#N/A</v>
      </c>
      <c r="X45" s="200" t="e">
        <f aca="false">IF($A46="","",(U45+S45+H45+V45))</f>
        <v>#N/A</v>
      </c>
      <c r="Y45" s="202"/>
      <c r="Z45" s="185" t="e">
        <f aca="false">IF($A46="","",VLOOKUP($A45,Table,MATCH(Z$4,Curves,0)))</f>
        <v>#N/A</v>
      </c>
      <c r="AA45" s="185" t="e">
        <f aca="false">IF($A46="","",VLOOKUP($A45,Table,MATCH(AA$4,Curves,0)))</f>
        <v>#N/A</v>
      </c>
      <c r="AB45" s="185" t="e">
        <f aca="false">SQRT((AA45^2*(A45-$D$3)+Z45^2*(DAY(EOMONTH(A45,0))/2))/AK45)</f>
        <v>#N/A</v>
      </c>
      <c r="AC45" s="185" t="e">
        <f aca="false">IF($A46="","",VLOOKUP($A45,Table,MATCH(AC$4,Curves,0)))</f>
        <v>#N/A</v>
      </c>
      <c r="AD45" s="185" t="e">
        <f aca="false">IF($A46="","",VLOOKUP($A45,Table,MATCH(AD$4,Curves,0)))</f>
        <v>#N/A</v>
      </c>
      <c r="AE45" s="185" t="e">
        <f aca="false">SQRT((AD45^2*(A45-$D$3)+AC45^2*(DAY(EOMONTH(A45,0))/2))/AK45)</f>
        <v>#N/A</v>
      </c>
      <c r="AF45" s="224" t="e">
        <f aca="false">((Summary!$N$10*(AA45*AD45)*(A45-$D$3))+(Summary!$M$10*Z45*AC45*(AJ45-EOMONTH(EDATE(A45,-1),0))))/(AK45*AB45*AE45)</f>
        <v>#N/A</v>
      </c>
      <c r="AG45" s="207" t="n">
        <f aca="false">IF($A46="","",Summary!$Q$10)</f>
        <v>0</v>
      </c>
      <c r="AH45" s="207" t="n">
        <f aca="false">IF($A46="","",IF(Summary!$R$10="Y",(VLOOKUP($A45,Summary!$AD$6:$AF$9,3)+'Escalating commodity'!F58),'Escalating commodity'!F58))</f>
        <v>0.0128</v>
      </c>
      <c r="AI45" s="207" t="n">
        <f aca="false">IF($A46="","",AH45)</f>
        <v>0.0128</v>
      </c>
      <c r="AJ45" s="208" t="n">
        <f aca="false">A45+DAY(EOMONTH(A45,0))/2-1</f>
        <v>38122.5</v>
      </c>
      <c r="AK45" s="209" t="n">
        <f aca="false">IF($A46="","",$A45-$E$1)</f>
        <v>-7818</v>
      </c>
      <c r="AL45" s="182" t="e">
        <f aca="false">IF($A46="","",SPRDOPT(P45,X45,AI45,0,AB45,AE45,AF45,AK45,$AJ$2,0))</f>
        <v>#NAME?</v>
      </c>
      <c r="AM45" s="211" t="e">
        <f aca="false">IF($A46="","",MAX(0,O45-W45-AI45))</f>
        <v>#N/A</v>
      </c>
      <c r="AN45" s="211" t="e">
        <f aca="false">IF($A46="","",AL45-AM45)</f>
        <v>#N/A</v>
      </c>
      <c r="AO45" s="137" t="n">
        <f aca="false">IF(A46="","",A46-A45)</f>
        <v>31</v>
      </c>
      <c r="AP45" s="212" t="n">
        <f aca="false">IF(A46="","",CHOOSE(F$3,A46+24,A45))</f>
        <v>38108</v>
      </c>
      <c r="AQ45" s="209" t="n">
        <f aca="false">IF(A46="","",AP45-$E$1)</f>
        <v>-7818</v>
      </c>
      <c r="AR45" s="185" t="n">
        <f aca="false">'ANR OK vs ML7'!AR45</f>
        <v>0.1</v>
      </c>
      <c r="AS45" s="213" t="n">
        <f aca="false">IF(A46="","",1/(1+CHOOSE(F$3,(AR46+($I$3/10000))/2,(AR45+($I$3/10000))/2))^(2*AQ45/365.25))</f>
        <v>8.07408735021935</v>
      </c>
      <c r="AT45" s="137" t="n">
        <f aca="false">IF(A46="","",IF(AND(mthbeg&lt;=A45,mthend&gt;=A45),1,0))</f>
        <v>1</v>
      </c>
      <c r="AU45" s="137" t="n">
        <f aca="false">IF(A46="","",AO45*AT45)</f>
        <v>31</v>
      </c>
      <c r="AW45" s="195" t="e">
        <f aca="false">IF($A46="","",AL45*$E45)</f>
        <v>#NAME?</v>
      </c>
      <c r="AX45" s="195" t="e">
        <f aca="false">IF($A46="","",AM45*$E45)</f>
        <v>#N/A</v>
      </c>
      <c r="AY45" s="195" t="e">
        <f aca="false">IF($A46="","",AN45*$E45)</f>
        <v>#N/A</v>
      </c>
      <c r="BA45" s="195" t="n">
        <f aca="false">IF($A46="","",F45*Summary!$Q$10)</f>
        <v>0</v>
      </c>
      <c r="BC45" s="179" t="e">
        <f aca="false">IF(A46="","",AM45*F45)</f>
        <v>#N/A</v>
      </c>
    </row>
    <row r="46" customFormat="false" ht="12.75" hidden="false" customHeight="false" outlineLevel="0" collapsed="false">
      <c r="A46" s="196" t="n">
        <f aca="false">IF(A45&lt;mthend,EDATE(A45,1),"")</f>
        <v>38139</v>
      </c>
      <c r="B46" s="197" t="n">
        <f aca="false">IF(A46&lt;mthend,B45,"")</f>
        <v>119740</v>
      </c>
      <c r="C46" s="215"/>
      <c r="D46" s="197" t="n">
        <f aca="false">IF(A47&lt;&gt;"",B46+C46,"")</f>
        <v>119740</v>
      </c>
      <c r="E46" s="199" t="n">
        <f aca="false">IF(A47="","",IF(AND(AT46=1,$H$3=1),D46*AO46,IF($H$3=2,D46,"N/A")))</f>
        <v>3592200</v>
      </c>
      <c r="F46" s="199" t="n">
        <f aca="false">IF(A47="","",E46*AS46)</f>
        <v>28764520.4108288</v>
      </c>
      <c r="G46" s="200" t="e">
        <f aca="false">IF($A47="","",VLOOKUP($A46,Table,MATCH(G$4,Curves,0)))</f>
        <v>#N/A</v>
      </c>
      <c r="H46" s="201" t="e">
        <f aca="false">IF(A47="","",G46)</f>
        <v>#N/A</v>
      </c>
      <c r="I46" s="202"/>
      <c r="J46" s="200" t="e">
        <f aca="false">IF($A47="","",VLOOKUP($A46,Table,MATCH(J$4,Curves,0)))</f>
        <v>#N/A</v>
      </c>
      <c r="K46" s="201" t="e">
        <f aca="false">IF(A47="","",J46)</f>
        <v>#N/A</v>
      </c>
      <c r="L46" s="185" t="n">
        <v>0</v>
      </c>
      <c r="M46" s="201" t="n">
        <f aca="false">IF(A47="","",L46)</f>
        <v>0</v>
      </c>
      <c r="N46" s="203"/>
      <c r="O46" s="200" t="e">
        <f aca="false">IF(A47="","",L46+J46+G46)</f>
        <v>#N/A</v>
      </c>
      <c r="P46" s="200" t="e">
        <f aca="false">IF(A47="","",M46+K46+H46)</f>
        <v>#N/A</v>
      </c>
      <c r="Q46" s="204"/>
      <c r="R46" s="200" t="e">
        <f aca="false">IF($A47="","",VLOOKUP($A46,Table,MATCH(R$4,Curves,0)))</f>
        <v>#N/A</v>
      </c>
      <c r="S46" s="201" t="e">
        <f aca="false">IF(A47="","",R46)</f>
        <v>#N/A</v>
      </c>
      <c r="T46" s="200" t="e">
        <f aca="false">IF($A47="","",VLOOKUP($A46,Table,MATCH(T$4,Curves,0)))</f>
        <v>#N/A</v>
      </c>
      <c r="U46" s="201" t="e">
        <f aca="false">IF(A47="","",T46)</f>
        <v>#N/A</v>
      </c>
      <c r="V46" s="205" t="e">
        <f aca="false">IF($A47="","",IF(AND(MONTH(A46)&gt;3,MONTH(A46)&lt;11),(T46+R46+G46)*Summary!$T$10/(1-Summary!$T$10),(T46+R46+G46)*Summary!$U$10/(1-Summary!$U$10)))</f>
        <v>#N/A</v>
      </c>
      <c r="W46" s="200" t="e">
        <f aca="false">IF($A47="","",(T46+R46+G46+V46))</f>
        <v>#N/A</v>
      </c>
      <c r="X46" s="200" t="e">
        <f aca="false">IF($A47="","",(U46+S46+H46+V46))</f>
        <v>#N/A</v>
      </c>
      <c r="Y46" s="202"/>
      <c r="Z46" s="185" t="e">
        <f aca="false">IF($A47="","",VLOOKUP($A46,Table,MATCH(Z$4,Curves,0)))</f>
        <v>#N/A</v>
      </c>
      <c r="AA46" s="185" t="e">
        <f aca="false">IF($A47="","",VLOOKUP($A46,Table,MATCH(AA$4,Curves,0)))</f>
        <v>#N/A</v>
      </c>
      <c r="AB46" s="185" t="e">
        <f aca="false">SQRT((AA46^2*(A46-$D$3)+Z46^2*(DAY(EOMONTH(A46,0))/2))/AK46)</f>
        <v>#N/A</v>
      </c>
      <c r="AC46" s="185" t="e">
        <f aca="false">IF($A47="","",VLOOKUP($A46,Table,MATCH(AC$4,Curves,0)))</f>
        <v>#N/A</v>
      </c>
      <c r="AD46" s="185" t="e">
        <f aca="false">IF($A47="","",VLOOKUP($A46,Table,MATCH(AD$4,Curves,0)))</f>
        <v>#N/A</v>
      </c>
      <c r="AE46" s="185" t="e">
        <f aca="false">SQRT((AD46^2*(A46-$D$3)+AC46^2*(DAY(EOMONTH(A46,0))/2))/AK46)</f>
        <v>#N/A</v>
      </c>
      <c r="AF46" s="224" t="e">
        <f aca="false">((Summary!$N$10*(AA46*AD46)*(A46-$D$3))+(Summary!$M$10*Z46*AC46*(AJ46-EOMONTH(EDATE(A46,-1),0))))/(AK46*AB46*AE46)</f>
        <v>#N/A</v>
      </c>
      <c r="AG46" s="207" t="n">
        <f aca="false">IF($A47="","",Summary!$Q$10)</f>
        <v>0</v>
      </c>
      <c r="AH46" s="207" t="n">
        <f aca="false">IF($A47="","",IF(Summary!$R$10="Y",(VLOOKUP($A46,Summary!$AD$6:$AF$9,3)+'Escalating commodity'!F59),'Escalating commodity'!F59))</f>
        <v>0.0128</v>
      </c>
      <c r="AI46" s="207" t="n">
        <f aca="false">IF($A47="","",AH46)</f>
        <v>0.0128</v>
      </c>
      <c r="AJ46" s="208" t="n">
        <f aca="false">A46+DAY(EOMONTH(A46,0))/2-1</f>
        <v>38153</v>
      </c>
      <c r="AK46" s="209" t="n">
        <f aca="false">IF($A47="","",$A46-$E$1)</f>
        <v>-7787</v>
      </c>
      <c r="AL46" s="182" t="e">
        <f aca="false">IF($A47="","",SPRDOPT(P46,X46,AI46,0,AB46,AE46,AF46,AK46,$AJ$2,0))</f>
        <v>#NAME?</v>
      </c>
      <c r="AM46" s="211" t="e">
        <f aca="false">IF($A47="","",MAX(0,O46-W46-AI46))</f>
        <v>#N/A</v>
      </c>
      <c r="AN46" s="211" t="e">
        <f aca="false">IF($A47="","",AL46-AM46)</f>
        <v>#N/A</v>
      </c>
      <c r="AO46" s="137" t="n">
        <f aca="false">IF(A47="","",A47-A46)</f>
        <v>30</v>
      </c>
      <c r="AP46" s="212" t="n">
        <f aca="false">IF(A47="","",CHOOSE(F$3,A47+24,A46))</f>
        <v>38139</v>
      </c>
      <c r="AQ46" s="209" t="n">
        <f aca="false">IF(A47="","",AP46-$E$1)</f>
        <v>-7787</v>
      </c>
      <c r="AR46" s="185" t="n">
        <f aca="false">'ANR OK vs ML7'!AR46</f>
        <v>0.1</v>
      </c>
      <c r="AS46" s="213" t="n">
        <f aca="false">IF(A47="","",1/(1+CHOOSE(F$3,(AR47+($I$3/10000))/2,(AR46+($I$3/10000))/2))^(2*AQ46/365.25))</f>
        <v>8.00749412917676</v>
      </c>
      <c r="AT46" s="137" t="n">
        <f aca="false">IF(A47="","",IF(AND(mthbeg&lt;=A46,mthend&gt;=A46),1,0))</f>
        <v>1</v>
      </c>
      <c r="AU46" s="137" t="n">
        <f aca="false">IF(A47="","",AO46*AT46)</f>
        <v>30</v>
      </c>
      <c r="AW46" s="195" t="e">
        <f aca="false">IF($A47="","",AL46*$E46)</f>
        <v>#NAME?</v>
      </c>
      <c r="AX46" s="195" t="e">
        <f aca="false">IF($A47="","",AM46*$E46)</f>
        <v>#N/A</v>
      </c>
      <c r="AY46" s="195" t="e">
        <f aca="false">IF($A47="","",AN46*$E46)</f>
        <v>#N/A</v>
      </c>
      <c r="BA46" s="195" t="n">
        <f aca="false">IF($A47="","",F46*Summary!$Q$10)</f>
        <v>0</v>
      </c>
      <c r="BC46" s="179" t="e">
        <f aca="false">IF(A47="","",AM46*F46)</f>
        <v>#N/A</v>
      </c>
    </row>
    <row r="47" customFormat="false" ht="12.75" hidden="false" customHeight="false" outlineLevel="0" collapsed="false">
      <c r="A47" s="196" t="n">
        <f aca="false">IF(A46&lt;mthend,EDATE(A46,1),"")</f>
        <v>38169</v>
      </c>
      <c r="B47" s="197" t="n">
        <f aca="false">IF(A47&lt;mthend,B46,"")</f>
        <v>119740</v>
      </c>
      <c r="C47" s="215"/>
      <c r="D47" s="197" t="n">
        <f aca="false">IF(A48&lt;&gt;"",B47+C47,"")</f>
        <v>119740</v>
      </c>
      <c r="E47" s="199" t="n">
        <f aca="false">IF(A48="","",IF(AND(AT47=1,$H$3=1),D47*AO47,IF($H$3=2,D47,"N/A")))</f>
        <v>3711940</v>
      </c>
      <c r="F47" s="199" t="n">
        <f aca="false">IF(A48="","",E47*AS47)</f>
        <v>29486062.9392727</v>
      </c>
      <c r="G47" s="200" t="e">
        <f aca="false">IF($A48="","",VLOOKUP($A47,Table,MATCH(G$4,Curves,0)))</f>
        <v>#N/A</v>
      </c>
      <c r="H47" s="201" t="e">
        <f aca="false">IF(A48="","",G47)</f>
        <v>#N/A</v>
      </c>
      <c r="I47" s="202"/>
      <c r="J47" s="200" t="e">
        <f aca="false">IF($A48="","",VLOOKUP($A47,Table,MATCH(J$4,Curves,0)))</f>
        <v>#N/A</v>
      </c>
      <c r="K47" s="201" t="e">
        <f aca="false">IF(A48="","",J47)</f>
        <v>#N/A</v>
      </c>
      <c r="L47" s="185" t="n">
        <v>0</v>
      </c>
      <c r="M47" s="201" t="n">
        <f aca="false">IF(A48="","",L47)</f>
        <v>0</v>
      </c>
      <c r="N47" s="203"/>
      <c r="O47" s="200" t="e">
        <f aca="false">IF(A48="","",L47+J47+G47)</f>
        <v>#N/A</v>
      </c>
      <c r="P47" s="200" t="e">
        <f aca="false">IF(A48="","",M47+K47+H47)</f>
        <v>#N/A</v>
      </c>
      <c r="Q47" s="204"/>
      <c r="R47" s="200" t="e">
        <f aca="false">IF($A48="","",VLOOKUP($A47,Table,MATCH(R$4,Curves,0)))</f>
        <v>#N/A</v>
      </c>
      <c r="S47" s="201" t="e">
        <f aca="false">IF(A48="","",R47)</f>
        <v>#N/A</v>
      </c>
      <c r="T47" s="200" t="e">
        <f aca="false">IF($A48="","",VLOOKUP($A47,Table,MATCH(T$4,Curves,0)))</f>
        <v>#N/A</v>
      </c>
      <c r="U47" s="201" t="e">
        <f aca="false">IF(A48="","",T47)</f>
        <v>#N/A</v>
      </c>
      <c r="V47" s="205" t="e">
        <f aca="false">IF($A48="","",IF(AND(MONTH(A47)&gt;3,MONTH(A47)&lt;11),(T47+R47+G47)*Summary!$T$10/(1-Summary!$T$10),(T47+R47+G47)*Summary!$U$10/(1-Summary!$U$10)))</f>
        <v>#N/A</v>
      </c>
      <c r="W47" s="200" t="e">
        <f aca="false">IF($A48="","",(T47+R47+G47+V47))</f>
        <v>#N/A</v>
      </c>
      <c r="X47" s="200" t="e">
        <f aca="false">IF($A48="","",(U47+S47+H47+V47))</f>
        <v>#N/A</v>
      </c>
      <c r="Y47" s="202"/>
      <c r="Z47" s="185" t="e">
        <f aca="false">IF($A48="","",VLOOKUP($A47,Table,MATCH(Z$4,Curves,0)))</f>
        <v>#N/A</v>
      </c>
      <c r="AA47" s="185" t="e">
        <f aca="false">IF($A48="","",VLOOKUP($A47,Table,MATCH(AA$4,Curves,0)))</f>
        <v>#N/A</v>
      </c>
      <c r="AB47" s="185" t="e">
        <f aca="false">SQRT((AA47^2*(A47-$D$3)+Z47^2*(DAY(EOMONTH(A47,0))/2))/AK47)</f>
        <v>#N/A</v>
      </c>
      <c r="AC47" s="185" t="e">
        <f aca="false">IF($A48="","",VLOOKUP($A47,Table,MATCH(AC$4,Curves,0)))</f>
        <v>#N/A</v>
      </c>
      <c r="AD47" s="185" t="e">
        <f aca="false">IF($A48="","",VLOOKUP($A47,Table,MATCH(AD$4,Curves,0)))</f>
        <v>#N/A</v>
      </c>
      <c r="AE47" s="185" t="e">
        <f aca="false">SQRT((AD47^2*(A47-$D$3)+AC47^2*(DAY(EOMONTH(A47,0))/2))/AK47)</f>
        <v>#N/A</v>
      </c>
      <c r="AF47" s="224" t="e">
        <f aca="false">((Summary!$N$10*(AA47*AD47)*(A47-$D$3))+(Summary!$M$10*Z47*AC47*(AJ47-EOMONTH(EDATE(A47,-1),0))))/(AK47*AB47*AE47)</f>
        <v>#N/A</v>
      </c>
      <c r="AG47" s="207" t="n">
        <f aca="false">IF($A48="","",Summary!$Q$10)</f>
        <v>0</v>
      </c>
      <c r="AH47" s="207" t="n">
        <f aca="false">IF($A48="","",IF(Summary!$R$10="Y",(VLOOKUP($A47,Summary!$AD$6:$AF$9,3)+'Escalating commodity'!F60),'Escalating commodity'!F60))</f>
        <v>0.0128</v>
      </c>
      <c r="AI47" s="207" t="n">
        <f aca="false">IF($A48="","",AH47)</f>
        <v>0.0128</v>
      </c>
      <c r="AJ47" s="208" t="n">
        <f aca="false">A47+DAY(EOMONTH(A47,0))/2-1</f>
        <v>38183.5</v>
      </c>
      <c r="AK47" s="209" t="n">
        <f aca="false">IF($A48="","",$A47-$E$1)</f>
        <v>-7757</v>
      </c>
      <c r="AL47" s="182" t="e">
        <f aca="false">IF($A48="","",SPRDOPT(P47,X47,AI47,0,AB47,AE47,AF47,AK47,$AJ$2,0))</f>
        <v>#NAME?</v>
      </c>
      <c r="AM47" s="211" t="e">
        <f aca="false">IF($A48="","",MAX(0,O47-W47-AI47))</f>
        <v>#N/A</v>
      </c>
      <c r="AN47" s="211" t="e">
        <f aca="false">IF($A48="","",AL47-AM47)</f>
        <v>#N/A</v>
      </c>
      <c r="AO47" s="137" t="n">
        <f aca="false">IF(A48="","",A48-A47)</f>
        <v>31</v>
      </c>
      <c r="AP47" s="212" t="n">
        <f aca="false">IF(A48="","",CHOOSE(F$3,A48+24,A47))</f>
        <v>38169</v>
      </c>
      <c r="AQ47" s="209" t="n">
        <f aca="false">IF(A48="","",AP47-$E$1)</f>
        <v>-7757</v>
      </c>
      <c r="AR47" s="185" t="n">
        <f aca="false">'ANR OK vs ML7'!AR47</f>
        <v>0.1</v>
      </c>
      <c r="AS47" s="213" t="n">
        <f aca="false">IF(A48="","",1/(1+CHOOSE(F$3,(AR48+($I$3/10000))/2,(AR47+($I$3/10000))/2))^(2*AQ47/365.25))</f>
        <v>7.94357207801655</v>
      </c>
      <c r="AT47" s="137" t="n">
        <f aca="false">IF(A48="","",IF(AND(mthbeg&lt;=A47,mthend&gt;=A47),1,0))</f>
        <v>1</v>
      </c>
      <c r="AU47" s="137" t="n">
        <f aca="false">IF(A48="","",AO47*AT47)</f>
        <v>31</v>
      </c>
      <c r="AW47" s="195" t="e">
        <f aca="false">IF($A48="","",AL47*$E47)</f>
        <v>#NAME?</v>
      </c>
      <c r="AX47" s="195" t="e">
        <f aca="false">IF($A48="","",AM47*$E47)</f>
        <v>#N/A</v>
      </c>
      <c r="AY47" s="195" t="e">
        <f aca="false">IF($A48="","",AN47*$E47)</f>
        <v>#N/A</v>
      </c>
      <c r="BA47" s="195" t="n">
        <f aca="false">IF($A48="","",F47*Summary!$Q$10)</f>
        <v>0</v>
      </c>
      <c r="BC47" s="179" t="e">
        <f aca="false">IF(A48="","",AM47*F47)</f>
        <v>#N/A</v>
      </c>
    </row>
    <row r="48" customFormat="false" ht="12.75" hidden="false" customHeight="false" outlineLevel="0" collapsed="false">
      <c r="A48" s="196" t="n">
        <f aca="false">IF(A47&lt;mthend,EDATE(A47,1),"")</f>
        <v>38200</v>
      </c>
      <c r="B48" s="197" t="n">
        <f aca="false">IF(A48&lt;mthend,B47,"")</f>
        <v>119740</v>
      </c>
      <c r="C48" s="215"/>
      <c r="D48" s="197" t="n">
        <f aca="false">IF(A49&lt;&gt;"",B48+C48,"")</f>
        <v>119740</v>
      </c>
      <c r="E48" s="199" t="n">
        <f aca="false">IF(A49="","",IF(AND(AT48=1,$H$3=1),D48*AO48,IF($H$3=2,D48,"N/A")))</f>
        <v>3711940</v>
      </c>
      <c r="F48" s="199" t="n">
        <f aca="false">IF(A49="","",E48*AS48)</f>
        <v>29242868.6534272</v>
      </c>
      <c r="G48" s="200" t="e">
        <f aca="false">IF($A49="","",VLOOKUP($A48,Table,MATCH(G$4,Curves,0)))</f>
        <v>#N/A</v>
      </c>
      <c r="H48" s="201" t="e">
        <f aca="false">IF(A49="","",G48)</f>
        <v>#N/A</v>
      </c>
      <c r="I48" s="202"/>
      <c r="J48" s="200" t="e">
        <f aca="false">IF($A49="","",VLOOKUP($A48,Table,MATCH(J$4,Curves,0)))</f>
        <v>#N/A</v>
      </c>
      <c r="K48" s="201" t="e">
        <f aca="false">IF(A49="","",J48)</f>
        <v>#N/A</v>
      </c>
      <c r="L48" s="185" t="n">
        <v>0</v>
      </c>
      <c r="M48" s="201" t="n">
        <f aca="false">IF(A49="","",L48)</f>
        <v>0</v>
      </c>
      <c r="N48" s="203"/>
      <c r="O48" s="200" t="e">
        <f aca="false">IF(A49="","",L48+J48+G48)</f>
        <v>#N/A</v>
      </c>
      <c r="P48" s="200" t="e">
        <f aca="false">IF(A49="","",M48+K48+H48)</f>
        <v>#N/A</v>
      </c>
      <c r="Q48" s="204"/>
      <c r="R48" s="200" t="e">
        <f aca="false">IF($A49="","",VLOOKUP($A48,Table,MATCH(R$4,Curves,0)))</f>
        <v>#N/A</v>
      </c>
      <c r="S48" s="201" t="e">
        <f aca="false">IF(A49="","",R48)</f>
        <v>#N/A</v>
      </c>
      <c r="T48" s="200" t="e">
        <f aca="false">IF($A49="","",VLOOKUP($A48,Table,MATCH(T$4,Curves,0)))</f>
        <v>#N/A</v>
      </c>
      <c r="U48" s="201" t="e">
        <f aca="false">IF(A49="","",T48)</f>
        <v>#N/A</v>
      </c>
      <c r="V48" s="205" t="e">
        <f aca="false">IF($A49="","",IF(AND(MONTH(A48)&gt;3,MONTH(A48)&lt;11),(T48+R48+G48)*Summary!$T$10/(1-Summary!$T$10),(T48+R48+G48)*Summary!$U$10/(1-Summary!$U$10)))</f>
        <v>#N/A</v>
      </c>
      <c r="W48" s="200" t="e">
        <f aca="false">IF($A49="","",(T48+R48+G48+V48))</f>
        <v>#N/A</v>
      </c>
      <c r="X48" s="200" t="e">
        <f aca="false">IF($A49="","",(U48+S48+H48+V48))</f>
        <v>#N/A</v>
      </c>
      <c r="Y48" s="202"/>
      <c r="Z48" s="185" t="e">
        <f aca="false">IF($A49="","",VLOOKUP($A48,Table,MATCH(Z$4,Curves,0)))</f>
        <v>#N/A</v>
      </c>
      <c r="AA48" s="185" t="e">
        <f aca="false">IF($A49="","",VLOOKUP($A48,Table,MATCH(AA$4,Curves,0)))</f>
        <v>#N/A</v>
      </c>
      <c r="AB48" s="185" t="e">
        <f aca="false">SQRT((AA48^2*(A48-$D$3)+Z48^2*(DAY(EOMONTH(A48,0))/2))/AK48)</f>
        <v>#N/A</v>
      </c>
      <c r="AC48" s="185" t="e">
        <f aca="false">IF($A49="","",VLOOKUP($A48,Table,MATCH(AC$4,Curves,0)))</f>
        <v>#N/A</v>
      </c>
      <c r="AD48" s="185" t="e">
        <f aca="false">IF($A49="","",VLOOKUP($A48,Table,MATCH(AD$4,Curves,0)))</f>
        <v>#N/A</v>
      </c>
      <c r="AE48" s="185" t="e">
        <f aca="false">SQRT((AD48^2*(A48-$D$3)+AC48^2*(DAY(EOMONTH(A48,0))/2))/AK48)</f>
        <v>#N/A</v>
      </c>
      <c r="AF48" s="224" t="e">
        <f aca="false">((Summary!$N$10*(AA48*AD48)*(A48-$D$3))+(Summary!$M$10*Z48*AC48*(AJ48-EOMONTH(EDATE(A48,-1),0))))/(AK48*AB48*AE48)</f>
        <v>#N/A</v>
      </c>
      <c r="AG48" s="207" t="n">
        <f aca="false">IF($A49="","",Summary!$Q$10)</f>
        <v>0</v>
      </c>
      <c r="AH48" s="207" t="n">
        <f aca="false">IF($A49="","",IF(Summary!$R$10="Y",(VLOOKUP($A48,Summary!$AD$6:$AF$9,3)+'Escalating commodity'!F61),'Escalating commodity'!F61))</f>
        <v>0.0128</v>
      </c>
      <c r="AI48" s="207" t="n">
        <f aca="false">IF($A49="","",AH48)</f>
        <v>0.0128</v>
      </c>
      <c r="AJ48" s="208" t="n">
        <f aca="false">A48+DAY(EOMONTH(A48,0))/2-1</f>
        <v>38214.5</v>
      </c>
      <c r="AK48" s="209" t="n">
        <f aca="false">IF($A49="","",$A48-$E$1)</f>
        <v>-7726</v>
      </c>
      <c r="AL48" s="182" t="e">
        <f aca="false">IF($A49="","",SPRDOPT(P48,X48,AI48,0,AB48,AE48,AF48,AK48,$AJ$2,0))</f>
        <v>#NAME?</v>
      </c>
      <c r="AM48" s="211" t="e">
        <f aca="false">IF($A49="","",MAX(0,O48-W48-AI48))</f>
        <v>#N/A</v>
      </c>
      <c r="AN48" s="211" t="e">
        <f aca="false">IF($A49="","",AL48-AM48)</f>
        <v>#N/A</v>
      </c>
      <c r="AO48" s="137" t="n">
        <f aca="false">IF(A49="","",A49-A48)</f>
        <v>31</v>
      </c>
      <c r="AP48" s="212" t="n">
        <f aca="false">IF(A49="","",CHOOSE(F$3,A49+24,A48))</f>
        <v>38200</v>
      </c>
      <c r="AQ48" s="209" t="n">
        <f aca="false">IF(A49="","",AP48-$E$1)</f>
        <v>-7726</v>
      </c>
      <c r="AR48" s="185" t="n">
        <f aca="false">'ANR OK vs ML7'!AR48</f>
        <v>0.1</v>
      </c>
      <c r="AS48" s="213" t="n">
        <f aca="false">IF(A49="","",1/(1+CHOOSE(F$3,(AR49+($I$3/10000))/2,(AR48+($I$3/10000))/2))^(2*AQ48/365.25))</f>
        <v>7.87805531701138</v>
      </c>
      <c r="AT48" s="137" t="n">
        <f aca="false">IF(A49="","",IF(AND(mthbeg&lt;=A48,mthend&gt;=A48),1,0))</f>
        <v>1</v>
      </c>
      <c r="AU48" s="137" t="n">
        <f aca="false">IF(A49="","",AO48*AT48)</f>
        <v>31</v>
      </c>
      <c r="AW48" s="195" t="e">
        <f aca="false">IF($A49="","",AL48*$E48)</f>
        <v>#NAME?</v>
      </c>
      <c r="AX48" s="195" t="e">
        <f aca="false">IF($A49="","",AM48*$E48)</f>
        <v>#N/A</v>
      </c>
      <c r="AY48" s="195" t="e">
        <f aca="false">IF($A49="","",AN48*$E48)</f>
        <v>#N/A</v>
      </c>
      <c r="BA48" s="195" t="n">
        <f aca="false">IF($A49="","",F48*Summary!$Q$10)</f>
        <v>0</v>
      </c>
      <c r="BC48" s="179" t="e">
        <f aca="false">IF(A49="","",AM48*F48)</f>
        <v>#N/A</v>
      </c>
    </row>
    <row r="49" customFormat="false" ht="12.75" hidden="false" customHeight="false" outlineLevel="0" collapsed="false">
      <c r="A49" s="196" t="n">
        <f aca="false">IF(A48&lt;mthend,EDATE(A48,1),"")</f>
        <v>38231</v>
      </c>
      <c r="B49" s="197" t="n">
        <f aca="false">IF(A49&lt;mthend,B48,"")</f>
        <v>119740</v>
      </c>
      <c r="C49" s="215"/>
      <c r="D49" s="197" t="n">
        <f aca="false">IF(A50&lt;&gt;"",B49+C49,"")</f>
        <v>119740</v>
      </c>
      <c r="E49" s="199" t="n">
        <f aca="false">IF(A50="","",IF(AND(AT49=1,$H$3=1),D49*AO49,IF($H$3=2,D49,"N/A")))</f>
        <v>3592200</v>
      </c>
      <c r="F49" s="199" t="n">
        <f aca="false">IF(A50="","",E49*AS49)</f>
        <v>28066142.1080186</v>
      </c>
      <c r="G49" s="200" t="e">
        <f aca="false">IF($A50="","",VLOOKUP($A49,Table,MATCH(G$4,Curves,0)))</f>
        <v>#N/A</v>
      </c>
      <c r="H49" s="201" t="e">
        <f aca="false">IF(A50="","",G49)</f>
        <v>#N/A</v>
      </c>
      <c r="I49" s="202"/>
      <c r="J49" s="200" t="e">
        <f aca="false">IF($A50="","",VLOOKUP($A49,Table,MATCH(J$4,Curves,0)))</f>
        <v>#N/A</v>
      </c>
      <c r="K49" s="201" t="e">
        <f aca="false">IF(A50="","",J49)</f>
        <v>#N/A</v>
      </c>
      <c r="L49" s="185" t="n">
        <v>0</v>
      </c>
      <c r="M49" s="201" t="n">
        <f aca="false">IF(A50="","",L49)</f>
        <v>0</v>
      </c>
      <c r="N49" s="203"/>
      <c r="O49" s="200" t="e">
        <f aca="false">IF(A50="","",L49+J49+G49)</f>
        <v>#N/A</v>
      </c>
      <c r="P49" s="200" t="e">
        <f aca="false">IF(A50="","",M49+K49+H49)</f>
        <v>#N/A</v>
      </c>
      <c r="Q49" s="204"/>
      <c r="R49" s="200" t="e">
        <f aca="false">IF($A50="","",VLOOKUP($A49,Table,MATCH(R$4,Curves,0)))</f>
        <v>#N/A</v>
      </c>
      <c r="S49" s="201" t="e">
        <f aca="false">IF(A50="","",R49)</f>
        <v>#N/A</v>
      </c>
      <c r="T49" s="200" t="e">
        <f aca="false">IF($A50="","",VLOOKUP($A49,Table,MATCH(T$4,Curves,0)))</f>
        <v>#N/A</v>
      </c>
      <c r="U49" s="201" t="e">
        <f aca="false">IF(A50="","",T49)</f>
        <v>#N/A</v>
      </c>
      <c r="V49" s="205" t="e">
        <f aca="false">IF($A50="","",IF(AND(MONTH(A49)&gt;3,MONTH(A49)&lt;11),(T49+R49+G49)*Summary!$T$10/(1-Summary!$T$10),(T49+R49+G49)*Summary!$U$10/(1-Summary!$U$10)))</f>
        <v>#N/A</v>
      </c>
      <c r="W49" s="200" t="e">
        <f aca="false">IF($A50="","",(T49+R49+G49+V49))</f>
        <v>#N/A</v>
      </c>
      <c r="X49" s="200" t="e">
        <f aca="false">IF($A50="","",(U49+S49+H49+V49))</f>
        <v>#N/A</v>
      </c>
      <c r="Y49" s="202"/>
      <c r="Z49" s="185" t="e">
        <f aca="false">IF($A50="","",VLOOKUP($A49,Table,MATCH(Z$4,Curves,0)))</f>
        <v>#N/A</v>
      </c>
      <c r="AA49" s="185" t="e">
        <f aca="false">IF($A50="","",VLOOKUP($A49,Table,MATCH(AA$4,Curves,0)))</f>
        <v>#N/A</v>
      </c>
      <c r="AB49" s="185" t="e">
        <f aca="false">SQRT((AA49^2*(A49-$D$3)+Z49^2*(DAY(EOMONTH(A49,0))/2))/AK49)</f>
        <v>#N/A</v>
      </c>
      <c r="AC49" s="185" t="e">
        <f aca="false">IF($A50="","",VLOOKUP($A49,Table,MATCH(AC$4,Curves,0)))</f>
        <v>#N/A</v>
      </c>
      <c r="AD49" s="185" t="e">
        <f aca="false">IF($A50="","",VLOOKUP($A49,Table,MATCH(AD$4,Curves,0)))</f>
        <v>#N/A</v>
      </c>
      <c r="AE49" s="185" t="e">
        <f aca="false">SQRT((AD49^2*(A49-$D$3)+AC49^2*(DAY(EOMONTH(A49,0))/2))/AK49)</f>
        <v>#N/A</v>
      </c>
      <c r="AF49" s="224" t="e">
        <f aca="false">((Summary!$N$10*(AA49*AD49)*(A49-$D$3))+(Summary!$M$10*Z49*AC49*(AJ49-EOMONTH(EDATE(A49,-1),0))))/(AK49*AB49*AE49)</f>
        <v>#N/A</v>
      </c>
      <c r="AG49" s="207" t="n">
        <f aca="false">IF($A50="","",Summary!$Q$10)</f>
        <v>0</v>
      </c>
      <c r="AH49" s="207" t="n">
        <f aca="false">IF($A50="","",IF(Summary!$R$10="Y",(VLOOKUP($A49,Summary!$AD$6:$AF$9,3)+'Escalating commodity'!F62),'Escalating commodity'!F62))</f>
        <v>0.0128</v>
      </c>
      <c r="AI49" s="207" t="n">
        <f aca="false">IF($A50="","",AH49)</f>
        <v>0.0128</v>
      </c>
      <c r="AJ49" s="208" t="n">
        <f aca="false">A49+DAY(EOMONTH(A49,0))/2-1</f>
        <v>38245</v>
      </c>
      <c r="AK49" s="209" t="n">
        <f aca="false">IF($A50="","",$A49-$E$1)</f>
        <v>-7695</v>
      </c>
      <c r="AL49" s="182" t="e">
        <f aca="false">IF($A50="","",SPRDOPT(P49,X49,AI49,0,AB49,AE49,AF49,AK49,$AJ$2,0))</f>
        <v>#NAME?</v>
      </c>
      <c r="AM49" s="211" t="e">
        <f aca="false">IF($A50="","",MAX(0,O49-W49-AI49))</f>
        <v>#N/A</v>
      </c>
      <c r="AN49" s="211" t="e">
        <f aca="false">IF($A50="","",AL49-AM49)</f>
        <v>#N/A</v>
      </c>
      <c r="AO49" s="137" t="n">
        <f aca="false">IF(A50="","",A50-A49)</f>
        <v>30</v>
      </c>
      <c r="AP49" s="212" t="n">
        <f aca="false">IF(A50="","",CHOOSE(F$3,A50+24,A49))</f>
        <v>38231</v>
      </c>
      <c r="AQ49" s="209" t="n">
        <f aca="false">IF(A50="","",AP49-$E$1)</f>
        <v>-7695</v>
      </c>
      <c r="AR49" s="185" t="n">
        <f aca="false">'ANR OK vs ML7'!AR49</f>
        <v>0.1</v>
      </c>
      <c r="AS49" s="213" t="n">
        <f aca="false">IF(A50="","",1/(1+CHOOSE(F$3,(AR50+($I$3/10000))/2,(AR49+($I$3/10000))/2))^(2*AQ49/365.25))</f>
        <v>7.81307892322772</v>
      </c>
      <c r="AT49" s="137" t="n">
        <f aca="false">IF(A50="","",IF(AND(mthbeg&lt;=A49,mthend&gt;=A49),1,0))</f>
        <v>1</v>
      </c>
      <c r="AU49" s="137" t="n">
        <f aca="false">IF(A50="","",AO49*AT49)</f>
        <v>30</v>
      </c>
      <c r="AW49" s="195" t="e">
        <f aca="false">IF($A50="","",AL49*$E49)</f>
        <v>#NAME?</v>
      </c>
      <c r="AX49" s="195" t="e">
        <f aca="false">IF($A50="","",AM49*$E49)</f>
        <v>#N/A</v>
      </c>
      <c r="AY49" s="195" t="e">
        <f aca="false">IF($A50="","",AN49*$E49)</f>
        <v>#N/A</v>
      </c>
      <c r="BA49" s="195" t="n">
        <f aca="false">IF($A50="","",F49*Summary!$Q$10)</f>
        <v>0</v>
      </c>
      <c r="BC49" s="179" t="e">
        <f aca="false">IF(A50="","",AM49*F49)</f>
        <v>#N/A</v>
      </c>
    </row>
    <row r="50" customFormat="false" ht="12.75" hidden="false" customHeight="false" outlineLevel="0" collapsed="false">
      <c r="A50" s="196" t="n">
        <f aca="false">IF(A49&lt;mthend,EDATE(A49,1),"")</f>
        <v>38261</v>
      </c>
      <c r="B50" s="197" t="n">
        <f aca="false">IF(A50&lt;mthend,B49,"")</f>
        <v>119740</v>
      </c>
      <c r="C50" s="215"/>
      <c r="D50" s="197" t="n">
        <f aca="false">IF(A51&lt;&gt;"",B50+C50,"")</f>
        <v>119740</v>
      </c>
      <c r="E50" s="199" t="n">
        <f aca="false">IF(A51="","",IF(AND(AT50=1,$H$3=1),D50*AO50,IF($H$3=2,D50,"N/A")))</f>
        <v>3711940</v>
      </c>
      <c r="F50" s="199" t="n">
        <f aca="false">IF(A51="","",E50*AS50)</f>
        <v>28770166.1922396</v>
      </c>
      <c r="G50" s="200" t="e">
        <f aca="false">IF($A51="","",VLOOKUP($A50,Table,MATCH(G$4,Curves,0)))</f>
        <v>#N/A</v>
      </c>
      <c r="H50" s="201" t="e">
        <f aca="false">IF(A51="","",G50)</f>
        <v>#N/A</v>
      </c>
      <c r="I50" s="202"/>
      <c r="J50" s="200" t="e">
        <f aca="false">IF($A51="","",VLOOKUP($A50,Table,MATCH(J$4,Curves,0)))</f>
        <v>#N/A</v>
      </c>
      <c r="K50" s="201" t="e">
        <f aca="false">IF(A51="","",J50)</f>
        <v>#N/A</v>
      </c>
      <c r="L50" s="185" t="n">
        <v>0</v>
      </c>
      <c r="M50" s="201" t="n">
        <f aca="false">IF(A51="","",L50)</f>
        <v>0</v>
      </c>
      <c r="N50" s="203"/>
      <c r="O50" s="200" t="e">
        <f aca="false">IF(A51="","",L50+J50+G50)</f>
        <v>#N/A</v>
      </c>
      <c r="P50" s="200" t="e">
        <f aca="false">IF(A51="","",M50+K50+H50)</f>
        <v>#N/A</v>
      </c>
      <c r="Q50" s="204"/>
      <c r="R50" s="200" t="e">
        <f aca="false">IF($A51="","",VLOOKUP($A50,Table,MATCH(R$4,Curves,0)))</f>
        <v>#N/A</v>
      </c>
      <c r="S50" s="201" t="e">
        <f aca="false">IF(A51="","",R50)</f>
        <v>#N/A</v>
      </c>
      <c r="T50" s="200" t="e">
        <f aca="false">IF($A51="","",VLOOKUP($A50,Table,MATCH(T$4,Curves,0)))</f>
        <v>#N/A</v>
      </c>
      <c r="U50" s="201" t="e">
        <f aca="false">IF(A51="","",T50)</f>
        <v>#N/A</v>
      </c>
      <c r="V50" s="205" t="e">
        <f aca="false">IF($A51="","",IF(AND(MONTH(A50)&gt;3,MONTH(A50)&lt;11),(T50+R50+G50)*Summary!$T$10/(1-Summary!$T$10),(T50+R50+G50)*Summary!$U$10/(1-Summary!$U$10)))</f>
        <v>#N/A</v>
      </c>
      <c r="W50" s="200" t="e">
        <f aca="false">IF($A51="","",(T50+R50+G50+V50))</f>
        <v>#N/A</v>
      </c>
      <c r="X50" s="200" t="e">
        <f aca="false">IF($A51="","",(U50+S50+H50+V50))</f>
        <v>#N/A</v>
      </c>
      <c r="Y50" s="202"/>
      <c r="Z50" s="185" t="e">
        <f aca="false">IF($A51="","",VLOOKUP($A50,Table,MATCH(Z$4,Curves,0)))</f>
        <v>#N/A</v>
      </c>
      <c r="AA50" s="185" t="e">
        <f aca="false">IF($A51="","",VLOOKUP($A50,Table,MATCH(AA$4,Curves,0)))</f>
        <v>#N/A</v>
      </c>
      <c r="AB50" s="185" t="e">
        <f aca="false">SQRT((AA50^2*(A50-$D$3)+Z50^2*(DAY(EOMONTH(A50,0))/2))/AK50)</f>
        <v>#N/A</v>
      </c>
      <c r="AC50" s="185" t="e">
        <f aca="false">IF($A51="","",VLOOKUP($A50,Table,MATCH(AC$4,Curves,0)))</f>
        <v>#N/A</v>
      </c>
      <c r="AD50" s="185" t="e">
        <f aca="false">IF($A51="","",VLOOKUP($A50,Table,MATCH(AD$4,Curves,0)))</f>
        <v>#N/A</v>
      </c>
      <c r="AE50" s="185" t="e">
        <f aca="false">SQRT((AD50^2*(A50-$D$3)+AC50^2*(DAY(EOMONTH(A50,0))/2))/AK50)</f>
        <v>#N/A</v>
      </c>
      <c r="AF50" s="224" t="e">
        <f aca="false">((Summary!$N$10*(AA50*AD50)*(A50-$D$3))+(Summary!$M$10*Z50*AC50*(AJ50-EOMONTH(EDATE(A50,-1),0))))/(AK50*AB50*AE50)</f>
        <v>#N/A</v>
      </c>
      <c r="AG50" s="207" t="n">
        <f aca="false">IF($A51="","",Summary!$Q$10)</f>
        <v>0</v>
      </c>
      <c r="AH50" s="207" t="n">
        <f aca="false">IF($A51="","",IF(Summary!$R$10="Y",(VLOOKUP($A50,Summary!$AD$6:$AF$9,3)+'Escalating commodity'!F63),'Escalating commodity'!F63))</f>
        <v>0.0128</v>
      </c>
      <c r="AI50" s="207" t="n">
        <f aca="false">IF($A51="","",AH50)</f>
        <v>0.0128</v>
      </c>
      <c r="AJ50" s="208" t="n">
        <f aca="false">A50+DAY(EOMONTH(A50,0))/2-1</f>
        <v>38275.5</v>
      </c>
      <c r="AK50" s="209" t="n">
        <f aca="false">IF($A51="","",$A50-$E$1)</f>
        <v>-7665</v>
      </c>
      <c r="AL50" s="182" t="e">
        <f aca="false">IF($A51="","",SPRDOPT(P50,X50,AI50,0,AB50,AE50,AF50,AK50,$AJ$2,0))</f>
        <v>#NAME?</v>
      </c>
      <c r="AM50" s="211" t="e">
        <f aca="false">IF($A51="","",MAX(0,O50-W50-AI50))</f>
        <v>#N/A</v>
      </c>
      <c r="AN50" s="211" t="e">
        <f aca="false">IF($A51="","",AL50-AM50)</f>
        <v>#N/A</v>
      </c>
      <c r="AO50" s="137" t="n">
        <f aca="false">IF(A51="","",A51-A50)</f>
        <v>31</v>
      </c>
      <c r="AP50" s="212" t="n">
        <f aca="false">IF(A51="","",CHOOSE(F$3,A51+24,A50))</f>
        <v>38261</v>
      </c>
      <c r="AQ50" s="209" t="n">
        <f aca="false">IF(A51="","",AP50-$E$1)</f>
        <v>-7665</v>
      </c>
      <c r="AR50" s="185" t="n">
        <f aca="false">'ANR OK vs ML7'!AR50</f>
        <v>0.1</v>
      </c>
      <c r="AS50" s="213" t="n">
        <f aca="false">IF(A51="","",1/(1+CHOOSE(F$3,(AR51+($I$3/10000))/2,(AR50+($I$3/10000))/2))^(2*AQ50/365.25))</f>
        <v>7.75070884557389</v>
      </c>
      <c r="AT50" s="137" t="n">
        <f aca="false">IF(A51="","",IF(AND(mthbeg&lt;=A50,mthend&gt;=A50),1,0))</f>
        <v>1</v>
      </c>
      <c r="AU50" s="137" t="n">
        <f aca="false">IF(A51="","",AO50*AT50)</f>
        <v>31</v>
      </c>
      <c r="AW50" s="195" t="e">
        <f aca="false">IF($A51="","",AL50*$E50)</f>
        <v>#NAME?</v>
      </c>
      <c r="AX50" s="195" t="e">
        <f aca="false">IF($A51="","",AM50*$E50)</f>
        <v>#N/A</v>
      </c>
      <c r="AY50" s="195" t="e">
        <f aca="false">IF($A51="","",AN50*$E50)</f>
        <v>#N/A</v>
      </c>
      <c r="BA50" s="195" t="n">
        <f aca="false">IF($A51="","",F50*Summary!$Q$10)</f>
        <v>0</v>
      </c>
      <c r="BC50" s="179" t="e">
        <f aca="false">IF(A51="","",AM50*F50)</f>
        <v>#N/A</v>
      </c>
    </row>
    <row r="51" customFormat="false" ht="12.75" hidden="false" customHeight="false" outlineLevel="0" collapsed="false">
      <c r="A51" s="196" t="n">
        <f aca="false">IF(A50&lt;mthend,EDATE(A50,1),"")</f>
        <v>38292</v>
      </c>
      <c r="B51" s="197" t="n">
        <f aca="false">IF(A51&lt;mthend,B50,"")</f>
        <v>119740</v>
      </c>
      <c r="C51" s="215"/>
      <c r="D51" s="197" t="n">
        <f aca="false">IF(A52&lt;&gt;"",B51+C51,"")</f>
        <v>119740</v>
      </c>
      <c r="E51" s="199" t="n">
        <f aca="false">IF(A52="","",IF(AND(AT51=1,$H$3=1),D51*AO51,IF($H$3=2,D51,"N/A")))</f>
        <v>3592200</v>
      </c>
      <c r="F51" s="199" t="n">
        <f aca="false">IF(A52="","",E51*AS51)</f>
        <v>27612461.088973</v>
      </c>
      <c r="G51" s="200" t="e">
        <f aca="false">IF($A52="","",VLOOKUP($A51,Table,MATCH(G$4,Curves,0)))</f>
        <v>#N/A</v>
      </c>
      <c r="H51" s="201" t="e">
        <f aca="false">IF(A52="","",G51)</f>
        <v>#N/A</v>
      </c>
      <c r="I51" s="202"/>
      <c r="J51" s="200" t="e">
        <f aca="false">IF($A52="","",VLOOKUP($A51,Table,MATCH(J$4,Curves,0)))</f>
        <v>#N/A</v>
      </c>
      <c r="K51" s="201" t="e">
        <f aca="false">IF(A52="","",J51)</f>
        <v>#N/A</v>
      </c>
      <c r="L51" s="185" t="n">
        <v>0</v>
      </c>
      <c r="M51" s="201" t="n">
        <f aca="false">IF(A52="","",L51)</f>
        <v>0</v>
      </c>
      <c r="N51" s="203"/>
      <c r="O51" s="200" t="e">
        <f aca="false">IF(A52="","",L51+J51+G51)</f>
        <v>#N/A</v>
      </c>
      <c r="P51" s="200" t="e">
        <f aca="false">IF(A52="","",M51+K51+H51)</f>
        <v>#N/A</v>
      </c>
      <c r="Q51" s="204"/>
      <c r="R51" s="200" t="e">
        <f aca="false">IF($A52="","",VLOOKUP($A51,Table,MATCH(R$4,Curves,0)))</f>
        <v>#N/A</v>
      </c>
      <c r="S51" s="201" t="e">
        <f aca="false">IF(A52="","",R51)</f>
        <v>#N/A</v>
      </c>
      <c r="T51" s="200" t="e">
        <f aca="false">IF($A52="","",VLOOKUP($A51,Table,MATCH(T$4,Curves,0)))</f>
        <v>#N/A</v>
      </c>
      <c r="U51" s="201" t="e">
        <f aca="false">IF(A52="","",T51)</f>
        <v>#N/A</v>
      </c>
      <c r="V51" s="205" t="e">
        <f aca="false">IF($A52="","",IF(AND(MONTH(A51)&gt;3,MONTH(A51)&lt;11),(T51+R51+G51)*Summary!$T$10/(1-Summary!$T$10),(T51+R51+G51)*Summary!$U$10/(1-Summary!$U$10)))</f>
        <v>#N/A</v>
      </c>
      <c r="W51" s="200" t="e">
        <f aca="false">IF($A52="","",(T51+R51+G51+V51))</f>
        <v>#N/A</v>
      </c>
      <c r="X51" s="200" t="e">
        <f aca="false">IF($A52="","",(U51+S51+H51+V51))</f>
        <v>#N/A</v>
      </c>
      <c r="Y51" s="202"/>
      <c r="Z51" s="185" t="e">
        <f aca="false">IF($A52="","",VLOOKUP($A51,Table,MATCH(Z$4,Curves,0)))</f>
        <v>#N/A</v>
      </c>
      <c r="AA51" s="185" t="e">
        <f aca="false">IF($A52="","",VLOOKUP($A51,Table,MATCH(AA$4,Curves,0)))</f>
        <v>#N/A</v>
      </c>
      <c r="AB51" s="185" t="e">
        <f aca="false">SQRT((AA51^2*(A51-$D$3)+Z51^2*(DAY(EOMONTH(A51,0))/2))/AK51)</f>
        <v>#N/A</v>
      </c>
      <c r="AC51" s="185" t="e">
        <f aca="false">IF($A52="","",VLOOKUP($A51,Table,MATCH(AC$4,Curves,0)))</f>
        <v>#N/A</v>
      </c>
      <c r="AD51" s="185" t="e">
        <f aca="false">IF($A52="","",VLOOKUP($A51,Table,MATCH(AD$4,Curves,0)))</f>
        <v>#N/A</v>
      </c>
      <c r="AE51" s="185" t="e">
        <f aca="false">SQRT((AD51^2*(A51-$D$3)+AC51^2*(DAY(EOMONTH(A51,0))/2))/AK51)</f>
        <v>#N/A</v>
      </c>
      <c r="AF51" s="224" t="e">
        <f aca="false">((Summary!$N$10*(AA51*AD51)*(A51-$D$3))+(Summary!$M$10*Z51*AC51*(AJ51-EOMONTH(EDATE(A51,-1),0))))/(AK51*AB51*AE51)</f>
        <v>#N/A</v>
      </c>
      <c r="AG51" s="207" t="n">
        <f aca="false">IF($A52="","",Summary!$Q$10)</f>
        <v>0</v>
      </c>
      <c r="AH51" s="207" t="n">
        <f aca="false">IF($A52="","",IF(Summary!$R$10="Y",(VLOOKUP($A51,Summary!$AD$6:$AF$9,3)+'Escalating commodity'!F64),'Escalating commodity'!F64))</f>
        <v>0.0128</v>
      </c>
      <c r="AI51" s="207" t="n">
        <f aca="false">IF($A52="","",AH51)</f>
        <v>0.0128</v>
      </c>
      <c r="AJ51" s="208" t="n">
        <f aca="false">A51+DAY(EOMONTH(A51,0))/2-1</f>
        <v>38306</v>
      </c>
      <c r="AK51" s="209" t="n">
        <f aca="false">IF($A52="","",$A51-$E$1)</f>
        <v>-7634</v>
      </c>
      <c r="AL51" s="182" t="e">
        <f aca="false">IF($A52="","",SPRDOPT(P51,X51,AI51,0,AB51,AE51,AF51,AK51,$AJ$2,0))</f>
        <v>#NAME?</v>
      </c>
      <c r="AM51" s="211" t="e">
        <f aca="false">IF($A52="","",MAX(0,O51-W51-AI51))</f>
        <v>#N/A</v>
      </c>
      <c r="AN51" s="211" t="e">
        <f aca="false">IF($A52="","",AL51-AM51)</f>
        <v>#N/A</v>
      </c>
      <c r="AO51" s="137" t="n">
        <f aca="false">IF(A52="","",A52-A51)</f>
        <v>30</v>
      </c>
      <c r="AP51" s="212" t="n">
        <f aca="false">IF(A52="","",CHOOSE(F$3,A52+24,A51))</f>
        <v>38292</v>
      </c>
      <c r="AQ51" s="209" t="n">
        <f aca="false">IF(A52="","",AP51-$E$1)</f>
        <v>-7634</v>
      </c>
      <c r="AR51" s="185" t="n">
        <f aca="false">'ANR OK vs ML7'!AR51</f>
        <v>0.1</v>
      </c>
      <c r="AS51" s="213" t="n">
        <f aca="false">IF(A52="","",1/(1+CHOOSE(F$3,(AR52+($I$3/10000))/2,(AR51+($I$3/10000))/2))^(2*AQ51/365.25))</f>
        <v>7.68678277628556</v>
      </c>
      <c r="AT51" s="137" t="n">
        <f aca="false">IF(A52="","",IF(AND(mthbeg&lt;=A51,mthend&gt;=A51),1,0))</f>
        <v>1</v>
      </c>
      <c r="AU51" s="137" t="n">
        <f aca="false">IF(A52="","",AO51*AT51)</f>
        <v>30</v>
      </c>
      <c r="AW51" s="195" t="e">
        <f aca="false">IF($A52="","",AL51*$E51)</f>
        <v>#NAME?</v>
      </c>
      <c r="AX51" s="195" t="e">
        <f aca="false">IF($A52="","",AM51*$E51)</f>
        <v>#N/A</v>
      </c>
      <c r="AY51" s="195" t="e">
        <f aca="false">IF($A52="","",AN51*$E51)</f>
        <v>#N/A</v>
      </c>
      <c r="BA51" s="195" t="n">
        <f aca="false">IF($A52="","",F51*Summary!$Q$10)</f>
        <v>0</v>
      </c>
      <c r="BC51" s="179" t="e">
        <f aca="false">IF(A52="","",AM51*F51)</f>
        <v>#N/A</v>
      </c>
    </row>
    <row r="52" customFormat="false" ht="12.75" hidden="false" customHeight="false" outlineLevel="0" collapsed="false">
      <c r="A52" s="196" t="n">
        <f aca="false">IF(A51&lt;mthend,EDATE(A51,1),"")</f>
        <v>38322</v>
      </c>
      <c r="B52" s="197" t="n">
        <f aca="false">IF(A52&lt;mthend,B51,"")</f>
        <v>119740</v>
      </c>
      <c r="C52" s="215"/>
      <c r="D52" s="197" t="n">
        <f aca="false">IF(A53&lt;&gt;"",B52+C52,"")</f>
        <v>119740</v>
      </c>
      <c r="E52" s="199" t="n">
        <f aca="false">IF(A53="","",IF(AND(AT52=1,$H$3=1),D52*AO52,IF($H$3=2,D52,"N/A")))</f>
        <v>3711940</v>
      </c>
      <c r="F52" s="199" t="n">
        <f aca="false">IF(A53="","",E52*AS52)</f>
        <v>28305104.8287657</v>
      </c>
      <c r="G52" s="200" t="e">
        <f aca="false">IF($A53="","",VLOOKUP($A52,Table,MATCH(G$4,Curves,0)))</f>
        <v>#N/A</v>
      </c>
      <c r="H52" s="201" t="e">
        <f aca="false">IF(A53="","",G52)</f>
        <v>#N/A</v>
      </c>
      <c r="I52" s="202"/>
      <c r="J52" s="200" t="e">
        <f aca="false">IF($A53="","",VLOOKUP($A52,Table,MATCH(J$4,Curves,0)))</f>
        <v>#N/A</v>
      </c>
      <c r="K52" s="201" t="e">
        <f aca="false">IF(A53="","",J52)</f>
        <v>#N/A</v>
      </c>
      <c r="L52" s="185" t="n">
        <v>0</v>
      </c>
      <c r="M52" s="201" t="n">
        <f aca="false">IF(A53="","",L52)</f>
        <v>0</v>
      </c>
      <c r="N52" s="203"/>
      <c r="O52" s="200" t="e">
        <f aca="false">IF(A53="","",L52+J52+G52)</f>
        <v>#N/A</v>
      </c>
      <c r="P52" s="200" t="e">
        <f aca="false">IF(A53="","",M52+K52+H52)</f>
        <v>#N/A</v>
      </c>
      <c r="Q52" s="204"/>
      <c r="R52" s="200" t="e">
        <f aca="false">IF($A53="","",VLOOKUP($A52,Table,MATCH(R$4,Curves,0)))</f>
        <v>#N/A</v>
      </c>
      <c r="S52" s="201" t="e">
        <f aca="false">IF(A53="","",R52)</f>
        <v>#N/A</v>
      </c>
      <c r="T52" s="200" t="e">
        <f aca="false">IF($A53="","",VLOOKUP($A52,Table,MATCH(T$4,Curves,0)))</f>
        <v>#N/A</v>
      </c>
      <c r="U52" s="201" t="e">
        <f aca="false">IF(A53="","",T52)</f>
        <v>#N/A</v>
      </c>
      <c r="V52" s="205" t="e">
        <f aca="false">IF($A53="","",IF(AND(MONTH(A52)&gt;3,MONTH(A52)&lt;11),(T52+R52+G52)*Summary!$T$10/(1-Summary!$T$10),(T52+R52+G52)*Summary!$U$10/(1-Summary!$U$10)))</f>
        <v>#N/A</v>
      </c>
      <c r="W52" s="200" t="e">
        <f aca="false">IF($A53="","",(T52+R52+G52+V52))</f>
        <v>#N/A</v>
      </c>
      <c r="X52" s="200" t="e">
        <f aca="false">IF($A53="","",(U52+S52+H52+V52))</f>
        <v>#N/A</v>
      </c>
      <c r="Y52" s="202"/>
      <c r="Z52" s="185" t="e">
        <f aca="false">IF($A53="","",VLOOKUP($A52,Table,MATCH(Z$4,Curves,0)))</f>
        <v>#N/A</v>
      </c>
      <c r="AA52" s="185" t="e">
        <f aca="false">IF($A53="","",VLOOKUP($A52,Table,MATCH(AA$4,Curves,0)))</f>
        <v>#N/A</v>
      </c>
      <c r="AB52" s="185" t="e">
        <f aca="false">SQRT((AA52^2*(A52-$D$3)+Z52^2*(DAY(EOMONTH(A52,0))/2))/AK52)</f>
        <v>#N/A</v>
      </c>
      <c r="AC52" s="185" t="e">
        <f aca="false">IF($A53="","",VLOOKUP($A52,Table,MATCH(AC$4,Curves,0)))</f>
        <v>#N/A</v>
      </c>
      <c r="AD52" s="185" t="e">
        <f aca="false">IF($A53="","",VLOOKUP($A52,Table,MATCH(AD$4,Curves,0)))</f>
        <v>#N/A</v>
      </c>
      <c r="AE52" s="185" t="e">
        <f aca="false">SQRT((AD52^2*(A52-$D$3)+AC52^2*(DAY(EOMONTH(A52,0))/2))/AK52)</f>
        <v>#N/A</v>
      </c>
      <c r="AF52" s="224" t="e">
        <f aca="false">((Summary!$N$10*(AA52*AD52)*(A52-$D$3))+(Summary!$M$10*Z52*AC52*(AJ52-EOMONTH(EDATE(A52,-1),0))))/(AK52*AB52*AE52)</f>
        <v>#N/A</v>
      </c>
      <c r="AG52" s="207" t="n">
        <f aca="false">IF($A53="","",Summary!$Q$10)</f>
        <v>0</v>
      </c>
      <c r="AH52" s="207" t="n">
        <f aca="false">IF($A53="","",IF(Summary!$R$10="Y",(VLOOKUP($A52,Summary!$AD$6:$AF$9,3)+'Escalating commodity'!F65),'Escalating commodity'!F65))</f>
        <v>0.0128</v>
      </c>
      <c r="AI52" s="207" t="n">
        <f aca="false">IF($A53="","",AH52)</f>
        <v>0.0128</v>
      </c>
      <c r="AJ52" s="208" t="n">
        <f aca="false">A52+DAY(EOMONTH(A52,0))/2-1</f>
        <v>38336.5</v>
      </c>
      <c r="AK52" s="209" t="n">
        <f aca="false">IF($A53="","",$A52-$E$1)</f>
        <v>-7604</v>
      </c>
      <c r="AL52" s="182" t="e">
        <f aca="false">IF($A53="","",SPRDOPT(P52,X52,AI52,0,AB52,AE52,AF52,AK52,$AJ$2,0))</f>
        <v>#NAME?</v>
      </c>
      <c r="AM52" s="211" t="e">
        <f aca="false">IF($A53="","",MAX(0,O52-W52-AI52))</f>
        <v>#N/A</v>
      </c>
      <c r="AN52" s="211" t="e">
        <f aca="false">IF($A53="","",AL52-AM52)</f>
        <v>#N/A</v>
      </c>
      <c r="AO52" s="137" t="n">
        <f aca="false">IF(A53="","",A53-A52)</f>
        <v>31</v>
      </c>
      <c r="AP52" s="212" t="n">
        <f aca="false">IF(A53="","",CHOOSE(F$3,A53+24,A52))</f>
        <v>38322</v>
      </c>
      <c r="AQ52" s="209" t="n">
        <f aca="false">IF(A53="","",AP52-$E$1)</f>
        <v>-7604</v>
      </c>
      <c r="AR52" s="185" t="n">
        <f aca="false">'ANR OK vs ML7'!AR52</f>
        <v>0.1</v>
      </c>
      <c r="AS52" s="213" t="n">
        <f aca="false">IF(A53="","",1/(1+CHOOSE(F$3,(AR53+($I$3/10000))/2,(AR52+($I$3/10000))/2))^(2*AQ52/365.25))</f>
        <v>7.62542089278536</v>
      </c>
      <c r="AT52" s="137" t="n">
        <f aca="false">IF(A53="","",IF(AND(mthbeg&lt;=A52,mthend&gt;=A52),1,0))</f>
        <v>1</v>
      </c>
      <c r="AU52" s="137" t="n">
        <f aca="false">IF(A53="","",AO52*AT52)</f>
        <v>31</v>
      </c>
      <c r="AW52" s="195" t="e">
        <f aca="false">IF($A53="","",AL52*$E52)</f>
        <v>#NAME?</v>
      </c>
      <c r="AX52" s="195" t="e">
        <f aca="false">IF($A53="","",AM52*$E52)</f>
        <v>#N/A</v>
      </c>
      <c r="AY52" s="195" t="e">
        <f aca="false">IF($A53="","",AN52*$E52)</f>
        <v>#N/A</v>
      </c>
      <c r="BA52" s="195" t="n">
        <f aca="false">IF($A53="","",F52*Summary!$Q$10)</f>
        <v>0</v>
      </c>
      <c r="BC52" s="179" t="e">
        <f aca="false">IF(A53="","",AM52*F52)</f>
        <v>#N/A</v>
      </c>
    </row>
    <row r="53" customFormat="false" ht="12.75" hidden="false" customHeight="false" outlineLevel="0" collapsed="false">
      <c r="A53" s="196" t="n">
        <f aca="false">IF(A52&lt;mthend,EDATE(A52,1),"")</f>
        <v>38353</v>
      </c>
      <c r="B53" s="197" t="n">
        <f aca="false">IF(A53&lt;mthend,B52,"")</f>
        <v>119740</v>
      </c>
      <c r="C53" s="215"/>
      <c r="D53" s="197" t="n">
        <f aca="false">IF(A54&lt;&gt;"",B53+C53,"")</f>
        <v>119740</v>
      </c>
      <c r="E53" s="199" t="n">
        <f aca="false">IF(A54="","",IF(AND(AT53=1,$H$3=1),D53*AO53,IF($H$3=2,D53,"N/A")))</f>
        <v>3711940</v>
      </c>
      <c r="F53" s="199" t="n">
        <f aca="false">IF(A54="","",E53*AS53)</f>
        <v>28071650.814617</v>
      </c>
      <c r="G53" s="200" t="e">
        <f aca="false">IF($A54="","",VLOOKUP($A53,Table,MATCH(G$4,Curves,0)))</f>
        <v>#N/A</v>
      </c>
      <c r="H53" s="201" t="e">
        <f aca="false">IF(A54="","",G53)</f>
        <v>#N/A</v>
      </c>
      <c r="I53" s="202"/>
      <c r="J53" s="200" t="e">
        <f aca="false">IF($A54="","",VLOOKUP($A53,Table,MATCH(J$4,Curves,0)))</f>
        <v>#N/A</v>
      </c>
      <c r="K53" s="201" t="e">
        <f aca="false">IF(A54="","",J53)</f>
        <v>#N/A</v>
      </c>
      <c r="L53" s="185" t="n">
        <v>0</v>
      </c>
      <c r="M53" s="201" t="n">
        <f aca="false">IF(A54="","",L53)</f>
        <v>0</v>
      </c>
      <c r="N53" s="203"/>
      <c r="O53" s="200" t="e">
        <f aca="false">IF(A54="","",L53+J53+G53)</f>
        <v>#N/A</v>
      </c>
      <c r="P53" s="200" t="e">
        <f aca="false">IF(A54="","",M53+K53+H53)</f>
        <v>#N/A</v>
      </c>
      <c r="Q53" s="204"/>
      <c r="R53" s="200" t="e">
        <f aca="false">IF($A54="","",VLOOKUP($A53,Table,MATCH(R$4,Curves,0)))</f>
        <v>#N/A</v>
      </c>
      <c r="S53" s="201" t="e">
        <f aca="false">IF(A54="","",R53)</f>
        <v>#N/A</v>
      </c>
      <c r="T53" s="200" t="e">
        <f aca="false">IF($A54="","",VLOOKUP($A53,Table,MATCH(T$4,Curves,0)))</f>
        <v>#N/A</v>
      </c>
      <c r="U53" s="201" t="e">
        <f aca="false">IF(A54="","",T53)</f>
        <v>#N/A</v>
      </c>
      <c r="V53" s="205" t="e">
        <f aca="false">IF($A54="","",IF(AND(MONTH(A53)&gt;3,MONTH(A53)&lt;11),(T53+R53+G53)*Summary!$T$10/(1-Summary!$T$10),(T53+R53+G53)*Summary!$U$10/(1-Summary!$U$10)))</f>
        <v>#N/A</v>
      </c>
      <c r="W53" s="200" t="e">
        <f aca="false">IF($A54="","",(T53+R53+G53+V53))</f>
        <v>#N/A</v>
      </c>
      <c r="X53" s="200" t="e">
        <f aca="false">IF($A54="","",(U53+S53+H53+V53))</f>
        <v>#N/A</v>
      </c>
      <c r="Y53" s="202"/>
      <c r="Z53" s="185" t="e">
        <f aca="false">IF($A54="","",VLOOKUP($A53,Table,MATCH(Z$4,Curves,0)))</f>
        <v>#N/A</v>
      </c>
      <c r="AA53" s="185" t="e">
        <f aca="false">IF($A54="","",VLOOKUP($A53,Table,MATCH(AA$4,Curves,0)))</f>
        <v>#N/A</v>
      </c>
      <c r="AB53" s="185" t="e">
        <f aca="false">SQRT((AA53^2*(A53-$D$3)+Z53^2*(DAY(EOMONTH(A53,0))/2))/AK53)</f>
        <v>#N/A</v>
      </c>
      <c r="AC53" s="185" t="e">
        <f aca="false">IF($A54="","",VLOOKUP($A53,Table,MATCH(AC$4,Curves,0)))</f>
        <v>#N/A</v>
      </c>
      <c r="AD53" s="185" t="e">
        <f aca="false">IF($A54="","",VLOOKUP($A53,Table,MATCH(AD$4,Curves,0)))</f>
        <v>#N/A</v>
      </c>
      <c r="AE53" s="185" t="e">
        <f aca="false">SQRT((AD53^2*(A53-$D$3)+AC53^2*(DAY(EOMONTH(A53,0))/2))/AK53)</f>
        <v>#N/A</v>
      </c>
      <c r="AF53" s="224" t="e">
        <f aca="false">((Summary!$N$10*(AA53*AD53)*(A53-$D$3))+(Summary!$M$10*Z53*AC53*(AJ53-EOMONTH(EDATE(A53,-1),0))))/(AK53*AB53*AE53)</f>
        <v>#N/A</v>
      </c>
      <c r="AG53" s="207" t="n">
        <f aca="false">IF($A54="","",Summary!$Q$10)</f>
        <v>0</v>
      </c>
      <c r="AH53" s="207" t="n">
        <f aca="false">IF($A54="","",IF(Summary!$R$10="Y",(VLOOKUP($A53,Summary!$AD$6:$AF$9,3)+'Escalating commodity'!F66),'Escalating commodity'!F66))</f>
        <v>0.013184</v>
      </c>
      <c r="AI53" s="207" t="n">
        <f aca="false">IF($A54="","",AH53)</f>
        <v>0.013184</v>
      </c>
      <c r="AJ53" s="208" t="n">
        <f aca="false">A53+DAY(EOMONTH(A53,0))/2-1</f>
        <v>38367.5</v>
      </c>
      <c r="AK53" s="209" t="n">
        <f aca="false">IF($A54="","",$A53-$E$1)</f>
        <v>-7573</v>
      </c>
      <c r="AL53" s="182" t="e">
        <f aca="false">IF($A54="","",SPRDOPT(P53,X53,AI53,0,AB53,AE53,AF53,AK53,$AJ$2,0))</f>
        <v>#NAME?</v>
      </c>
      <c r="AM53" s="211" t="e">
        <f aca="false">IF($A54="","",MAX(0,O53-W53-AI53))</f>
        <v>#N/A</v>
      </c>
      <c r="AN53" s="211" t="e">
        <f aca="false">IF($A54="","",AL53-AM53)</f>
        <v>#N/A</v>
      </c>
      <c r="AO53" s="137" t="n">
        <f aca="false">IF(A54="","",A54-A53)</f>
        <v>31</v>
      </c>
      <c r="AP53" s="212" t="n">
        <f aca="false">IF(A54="","",CHOOSE(F$3,A54+24,A53))</f>
        <v>38353</v>
      </c>
      <c r="AQ53" s="209" t="n">
        <f aca="false">IF(A54="","",AP53-$E$1)</f>
        <v>-7573</v>
      </c>
      <c r="AR53" s="185" t="n">
        <f aca="false">'ANR OK vs ML7'!AR53</f>
        <v>0.1</v>
      </c>
      <c r="AS53" s="213" t="n">
        <f aca="false">IF(A54="","",1/(1+CHOOSE(F$3,(AR54+($I$3/10000))/2,(AR53+($I$3/10000))/2))^(2*AQ53/365.25))</f>
        <v>7.56252816980258</v>
      </c>
      <c r="AT53" s="137" t="n">
        <f aca="false">IF(A54="","",IF(AND(mthbeg&lt;=A53,mthend&gt;=A53),1,0))</f>
        <v>1</v>
      </c>
      <c r="AU53" s="137" t="n">
        <f aca="false">IF(A54="","",AO53*AT53)</f>
        <v>31</v>
      </c>
      <c r="AW53" s="195" t="e">
        <f aca="false">IF($A54="","",AL53*$E53)</f>
        <v>#NAME?</v>
      </c>
      <c r="AX53" s="195" t="e">
        <f aca="false">IF($A54="","",AM53*$E53)</f>
        <v>#N/A</v>
      </c>
      <c r="AY53" s="195" t="e">
        <f aca="false">IF($A54="","",AN53*$E53)</f>
        <v>#N/A</v>
      </c>
      <c r="BA53" s="195" t="n">
        <f aca="false">IF($A54="","",F53*Summary!$Q$10)</f>
        <v>0</v>
      </c>
      <c r="BC53" s="179" t="e">
        <f aca="false">IF(A54="","",AM53*F53)</f>
        <v>#N/A</v>
      </c>
    </row>
    <row r="54" customFormat="false" ht="12.75" hidden="false" customHeight="false" outlineLevel="0" collapsed="false">
      <c r="A54" s="196" t="n">
        <f aca="false">IF(A53&lt;mthend,EDATE(A53,1),"")</f>
        <v>38384</v>
      </c>
      <c r="B54" s="197" t="n">
        <f aca="false">IF(A54&lt;mthend,B53,"")</f>
        <v>119740</v>
      </c>
      <c r="C54" s="215"/>
      <c r="D54" s="197" t="n">
        <f aca="false">IF(A55&lt;&gt;"",B54+C54,"")</f>
        <v>119740</v>
      </c>
      <c r="E54" s="199" t="n">
        <f aca="false">IF(A55="","",IF(AND(AT54=1,$H$3=1),D54*AO54,IF($H$3=2,D54,"N/A")))</f>
        <v>3352720</v>
      </c>
      <c r="F54" s="199" t="n">
        <f aca="false">IF(A55="","",E54*AS54)</f>
        <v>25145916.894131</v>
      </c>
      <c r="G54" s="200" t="e">
        <f aca="false">IF($A55="","",VLOOKUP($A54,Table,MATCH(G$4,Curves,0)))</f>
        <v>#N/A</v>
      </c>
      <c r="H54" s="201" t="e">
        <f aca="false">IF(A55="","",G54)</f>
        <v>#N/A</v>
      </c>
      <c r="I54" s="202"/>
      <c r="J54" s="200" t="e">
        <f aca="false">IF($A55="","",VLOOKUP($A54,Table,MATCH(J$4,Curves,0)))</f>
        <v>#N/A</v>
      </c>
      <c r="K54" s="201" t="e">
        <f aca="false">IF(A55="","",J54)</f>
        <v>#N/A</v>
      </c>
      <c r="L54" s="185" t="n">
        <v>0</v>
      </c>
      <c r="M54" s="201" t="n">
        <f aca="false">IF(A55="","",L54)</f>
        <v>0</v>
      </c>
      <c r="N54" s="203"/>
      <c r="O54" s="200" t="e">
        <f aca="false">IF(A55="","",L54+J54+G54)</f>
        <v>#N/A</v>
      </c>
      <c r="P54" s="200" t="e">
        <f aca="false">IF(A55="","",M54+K54+H54)</f>
        <v>#N/A</v>
      </c>
      <c r="Q54" s="204"/>
      <c r="R54" s="200" t="e">
        <f aca="false">IF($A55="","",VLOOKUP($A54,Table,MATCH(R$4,Curves,0)))</f>
        <v>#N/A</v>
      </c>
      <c r="S54" s="201" t="e">
        <f aca="false">IF(A55="","",R54)</f>
        <v>#N/A</v>
      </c>
      <c r="T54" s="200" t="e">
        <f aca="false">IF($A55="","",VLOOKUP($A54,Table,MATCH(T$4,Curves,0)))</f>
        <v>#N/A</v>
      </c>
      <c r="U54" s="201" t="e">
        <f aca="false">IF(A55="","",T54)</f>
        <v>#N/A</v>
      </c>
      <c r="V54" s="205" t="e">
        <f aca="false">IF($A55="","",IF(AND(MONTH(A54)&gt;3,MONTH(A54)&lt;11),(T54+R54+G54)*Summary!$T$10/(1-Summary!$T$10),(T54+R54+G54)*Summary!$U$10/(1-Summary!$U$10)))</f>
        <v>#N/A</v>
      </c>
      <c r="W54" s="200" t="e">
        <f aca="false">IF($A55="","",(T54+R54+G54+V54))</f>
        <v>#N/A</v>
      </c>
      <c r="X54" s="200" t="e">
        <f aca="false">IF($A55="","",(U54+S54+H54+V54))</f>
        <v>#N/A</v>
      </c>
      <c r="Y54" s="202"/>
      <c r="Z54" s="185" t="e">
        <f aca="false">IF($A55="","",VLOOKUP($A54,Table,MATCH(Z$4,Curves,0)))</f>
        <v>#N/A</v>
      </c>
      <c r="AA54" s="185" t="e">
        <f aca="false">IF($A55="","",VLOOKUP($A54,Table,MATCH(AA$4,Curves,0)))</f>
        <v>#N/A</v>
      </c>
      <c r="AB54" s="185" t="e">
        <f aca="false">SQRT((AA54^2*(A54-$D$3)+Z54^2*(DAY(EOMONTH(A54,0))/2))/AK54)</f>
        <v>#N/A</v>
      </c>
      <c r="AC54" s="185" t="e">
        <f aca="false">IF($A55="","",VLOOKUP($A54,Table,MATCH(AC$4,Curves,0)))</f>
        <v>#N/A</v>
      </c>
      <c r="AD54" s="185" t="e">
        <f aca="false">IF($A55="","",VLOOKUP($A54,Table,MATCH(AD$4,Curves,0)))</f>
        <v>#N/A</v>
      </c>
      <c r="AE54" s="185" t="e">
        <f aca="false">SQRT((AD54^2*(A54-$D$3)+AC54^2*(DAY(EOMONTH(A54,0))/2))/AK54)</f>
        <v>#N/A</v>
      </c>
      <c r="AF54" s="224" t="e">
        <f aca="false">((Summary!$N$10*(AA54*AD54)*(A54-$D$3))+(Summary!$M$10*Z54*AC54*(AJ54-EOMONTH(EDATE(A54,-1),0))))/(AK54*AB54*AE54)</f>
        <v>#N/A</v>
      </c>
      <c r="AG54" s="207" t="n">
        <f aca="false">IF($A55="","",Summary!$Q$10)</f>
        <v>0</v>
      </c>
      <c r="AH54" s="207" t="n">
        <f aca="false">IF($A55="","",IF(Summary!$R$10="Y",(VLOOKUP($A54,Summary!$AD$6:$AF$9,3)+'Escalating commodity'!F67),'Escalating commodity'!F67))</f>
        <v>0.013184</v>
      </c>
      <c r="AI54" s="207" t="n">
        <f aca="false">IF($A55="","",AH54)</f>
        <v>0.013184</v>
      </c>
      <c r="AJ54" s="208" t="n">
        <f aca="false">A54+DAY(EOMONTH(A54,0))/2-1</f>
        <v>38397</v>
      </c>
      <c r="AK54" s="209" t="n">
        <f aca="false">IF($A55="","",$A54-$E$1)</f>
        <v>-7542</v>
      </c>
      <c r="AL54" s="182" t="e">
        <f aca="false">IF($A55="","",SPRDOPT(P54,X54,AI54,0,AB54,AE54,AF54,AK54,$AJ$2,0))</f>
        <v>#NAME?</v>
      </c>
      <c r="AM54" s="211" t="e">
        <f aca="false">IF($A55="","",MAX(0,O54-W54-AI54))</f>
        <v>#N/A</v>
      </c>
      <c r="AN54" s="211" t="e">
        <f aca="false">IF($A55="","",AL54-AM54)</f>
        <v>#N/A</v>
      </c>
      <c r="AO54" s="137" t="n">
        <f aca="false">IF(A55="","",A55-A54)</f>
        <v>28</v>
      </c>
      <c r="AP54" s="212" t="n">
        <f aca="false">IF(A55="","",CHOOSE(F$3,A55+24,A54))</f>
        <v>38384</v>
      </c>
      <c r="AQ54" s="209" t="n">
        <f aca="false">IF(A55="","",AP54-$E$1)</f>
        <v>-7542</v>
      </c>
      <c r="AR54" s="185" t="n">
        <f aca="false">'ANR OK vs ML7'!AR54</f>
        <v>0.1</v>
      </c>
      <c r="AS54" s="213" t="n">
        <f aca="false">IF(A55="","",1/(1+CHOOSE(F$3,(AR55+($I$3/10000))/2,(AR54+($I$3/10000))/2))^(2*AQ54/365.25))</f>
        <v>7.5001541715774</v>
      </c>
      <c r="AT54" s="137" t="n">
        <f aca="false">IF(A55="","",IF(AND(mthbeg&lt;=A54,mthend&gt;=A54),1,0))</f>
        <v>1</v>
      </c>
      <c r="AU54" s="137" t="n">
        <f aca="false">IF(A55="","",AO54*AT54)</f>
        <v>28</v>
      </c>
      <c r="AW54" s="195" t="e">
        <f aca="false">IF($A55="","",AL54*$E54)</f>
        <v>#NAME?</v>
      </c>
      <c r="AX54" s="195" t="e">
        <f aca="false">IF($A55="","",AM54*$E54)</f>
        <v>#N/A</v>
      </c>
      <c r="AY54" s="195" t="e">
        <f aca="false">IF($A55="","",AN54*$E54)</f>
        <v>#N/A</v>
      </c>
      <c r="BA54" s="195" t="n">
        <f aca="false">IF($A55="","",F54*Summary!$Q$10)</f>
        <v>0</v>
      </c>
      <c r="BC54" s="179" t="e">
        <f aca="false">IF(A55="","",AM54*F54)</f>
        <v>#N/A</v>
      </c>
    </row>
    <row r="55" customFormat="false" ht="12.75" hidden="false" customHeight="false" outlineLevel="0" collapsed="false">
      <c r="A55" s="196" t="n">
        <f aca="false">IF(A54&lt;mthend,EDATE(A54,1),"")</f>
        <v>38412</v>
      </c>
      <c r="B55" s="197" t="n">
        <f aca="false">IF(A55&lt;mthend,B54,"")</f>
        <v>119740</v>
      </c>
      <c r="C55" s="215"/>
      <c r="D55" s="197" t="n">
        <f aca="false">IF(A56&lt;&gt;"",B55+C55,"")</f>
        <v>119740</v>
      </c>
      <c r="E55" s="199" t="n">
        <f aca="false">IF(A56="","",IF(AND(AT55=1,$H$3=1),D55*AO55,IF($H$3=2,D55,"N/A")))</f>
        <v>3711940</v>
      </c>
      <c r="F55" s="199" t="n">
        <f aca="false">IF(A56="","",E55*AS55)</f>
        <v>27632641.4990312</v>
      </c>
      <c r="G55" s="200" t="e">
        <f aca="false">IF($A56="","",VLOOKUP($A55,Table,MATCH(G$4,Curves,0)))</f>
        <v>#N/A</v>
      </c>
      <c r="H55" s="201" t="e">
        <f aca="false">IF(A56="","",G55)</f>
        <v>#N/A</v>
      </c>
      <c r="I55" s="202"/>
      <c r="J55" s="200" t="e">
        <f aca="false">IF($A56="","",VLOOKUP($A55,Table,MATCH(J$4,Curves,0)))</f>
        <v>#N/A</v>
      </c>
      <c r="K55" s="201" t="e">
        <f aca="false">IF(A56="","",J55)</f>
        <v>#N/A</v>
      </c>
      <c r="L55" s="185" t="n">
        <v>0</v>
      </c>
      <c r="M55" s="201" t="n">
        <f aca="false">IF(A56="","",L55)</f>
        <v>0</v>
      </c>
      <c r="N55" s="203"/>
      <c r="O55" s="200" t="e">
        <f aca="false">IF(A56="","",L55+J55+G55)</f>
        <v>#N/A</v>
      </c>
      <c r="P55" s="200" t="e">
        <f aca="false">IF(A56="","",M55+K55+H55)</f>
        <v>#N/A</v>
      </c>
      <c r="Q55" s="204"/>
      <c r="R55" s="200" t="e">
        <f aca="false">IF($A56="","",VLOOKUP($A55,Table,MATCH(R$4,Curves,0)))</f>
        <v>#N/A</v>
      </c>
      <c r="S55" s="201" t="e">
        <f aca="false">IF(A56="","",R55)</f>
        <v>#N/A</v>
      </c>
      <c r="T55" s="200" t="e">
        <f aca="false">IF($A56="","",VLOOKUP($A55,Table,MATCH(T$4,Curves,0)))</f>
        <v>#N/A</v>
      </c>
      <c r="U55" s="201" t="e">
        <f aca="false">IF(A56="","",T55)</f>
        <v>#N/A</v>
      </c>
      <c r="V55" s="205" t="e">
        <f aca="false">IF($A56="","",IF(AND(MONTH(A55)&gt;3,MONTH(A55)&lt;11),(T55+R55+G55)*Summary!$T$10/(1-Summary!$T$10),(T55+R55+G55)*Summary!$U$10/(1-Summary!$U$10)))</f>
        <v>#N/A</v>
      </c>
      <c r="W55" s="200" t="e">
        <f aca="false">IF($A56="","",(T55+R55+G55+V55))</f>
        <v>#N/A</v>
      </c>
      <c r="X55" s="200" t="e">
        <f aca="false">IF($A56="","",(U55+S55+H55+V55))</f>
        <v>#N/A</v>
      </c>
      <c r="Y55" s="202"/>
      <c r="Z55" s="185" t="e">
        <f aca="false">IF($A56="","",VLOOKUP($A55,Table,MATCH(Z$4,Curves,0)))</f>
        <v>#N/A</v>
      </c>
      <c r="AA55" s="185" t="e">
        <f aca="false">IF($A56="","",VLOOKUP($A55,Table,MATCH(AA$4,Curves,0)))</f>
        <v>#N/A</v>
      </c>
      <c r="AB55" s="185" t="e">
        <f aca="false">SQRT((AA55^2*(A55-$D$3)+Z55^2*(DAY(EOMONTH(A55,0))/2))/AK55)</f>
        <v>#N/A</v>
      </c>
      <c r="AC55" s="185" t="e">
        <f aca="false">IF($A56="","",VLOOKUP($A55,Table,MATCH(AC$4,Curves,0)))</f>
        <v>#N/A</v>
      </c>
      <c r="AD55" s="185" t="e">
        <f aca="false">IF($A56="","",VLOOKUP($A55,Table,MATCH(AD$4,Curves,0)))</f>
        <v>#N/A</v>
      </c>
      <c r="AE55" s="185" t="e">
        <f aca="false">SQRT((AD55^2*(A55-$D$3)+AC55^2*(DAY(EOMONTH(A55,0))/2))/AK55)</f>
        <v>#N/A</v>
      </c>
      <c r="AF55" s="224" t="e">
        <f aca="false">((Summary!$N$10*(AA55*AD55)*(A55-$D$3))+(Summary!$M$10*Z55*AC55*(AJ55-EOMONTH(EDATE(A55,-1),0))))/(AK55*AB55*AE55)</f>
        <v>#N/A</v>
      </c>
      <c r="AG55" s="207" t="n">
        <f aca="false">IF($A56="","",Summary!$Q$10)</f>
        <v>0</v>
      </c>
      <c r="AH55" s="207" t="n">
        <f aca="false">IF($A56="","",IF(Summary!$R$10="Y",(VLOOKUP($A55,Summary!$AD$6:$AF$9,3)+'Escalating commodity'!F68),'Escalating commodity'!F68))</f>
        <v>0.013184</v>
      </c>
      <c r="AI55" s="207" t="n">
        <f aca="false">IF($A56="","",AH55)</f>
        <v>0.013184</v>
      </c>
      <c r="AJ55" s="208" t="n">
        <f aca="false">A55+DAY(EOMONTH(A55,0))/2-1</f>
        <v>38426.5</v>
      </c>
      <c r="AK55" s="209" t="n">
        <f aca="false">IF($A56="","",$A55-$E$1)</f>
        <v>-7514</v>
      </c>
      <c r="AL55" s="182" t="e">
        <f aca="false">IF($A56="","",SPRDOPT(P55,X55,AI55,0,AB55,AE55,AF55,AK55,$AJ$2,0))</f>
        <v>#NAME?</v>
      </c>
      <c r="AM55" s="211" t="e">
        <f aca="false">IF($A56="","",MAX(0,O55-W55-AI55))</f>
        <v>#N/A</v>
      </c>
      <c r="AN55" s="211" t="e">
        <f aca="false">IF($A56="","",AL55-AM55)</f>
        <v>#N/A</v>
      </c>
      <c r="AO55" s="137" t="n">
        <f aca="false">IF(A56="","",A56-A55)</f>
        <v>31</v>
      </c>
      <c r="AP55" s="212" t="n">
        <f aca="false">IF(A56="","",CHOOSE(F$3,A56+24,A55))</f>
        <v>38412</v>
      </c>
      <c r="AQ55" s="209" t="n">
        <f aca="false">IF(A56="","",AP55-$E$1)</f>
        <v>-7514</v>
      </c>
      <c r="AR55" s="185" t="n">
        <f aca="false">'ANR OK vs ML7'!AR55</f>
        <v>0.1</v>
      </c>
      <c r="AS55" s="213" t="n">
        <f aca="false">IF(A56="","",1/(1+CHOOSE(F$3,(AR56+($I$3/10000))/2,(AR55+($I$3/10000))/2))^(2*AQ55/365.25))</f>
        <v>7.44425866232515</v>
      </c>
      <c r="AT55" s="137" t="n">
        <f aca="false">IF(A56="","",IF(AND(mthbeg&lt;=A55,mthend&gt;=A55),1,0))</f>
        <v>1</v>
      </c>
      <c r="AU55" s="137" t="n">
        <f aca="false">IF(A56="","",AO55*AT55)</f>
        <v>31</v>
      </c>
      <c r="AW55" s="195" t="e">
        <f aca="false">IF($A56="","",AL55*$E55)</f>
        <v>#NAME?</v>
      </c>
      <c r="AX55" s="195" t="e">
        <f aca="false">IF($A56="","",AM55*$E55)</f>
        <v>#N/A</v>
      </c>
      <c r="AY55" s="195" t="e">
        <f aca="false">IF($A56="","",AN55*$E55)</f>
        <v>#N/A</v>
      </c>
      <c r="BA55" s="195" t="n">
        <f aca="false">IF($A56="","",F55*Summary!$Q$10)</f>
        <v>0</v>
      </c>
      <c r="BC55" s="179" t="e">
        <f aca="false">IF(A56="","",AM55*F55)</f>
        <v>#N/A</v>
      </c>
    </row>
    <row r="56" customFormat="false" ht="12.75" hidden="false" customHeight="false" outlineLevel="0" collapsed="false">
      <c r="A56" s="196" t="n">
        <f aca="false">IF(A55&lt;mthend,EDATE(A55,1),"")</f>
        <v>38443</v>
      </c>
      <c r="B56" s="197" t="n">
        <f aca="false">IF(A56&lt;mthend,B55,"")</f>
        <v>119740</v>
      </c>
      <c r="C56" s="215"/>
      <c r="D56" s="197" t="n">
        <f aca="false">IF(A57&lt;&gt;"",B56+C56,"")</f>
        <v>119740</v>
      </c>
      <c r="E56" s="199" t="n">
        <f aca="false">IF(A57="","",IF(AND(AT56=1,$H$3=1),D56*AO56,IF($H$3=2,D56,"N/A")))</f>
        <v>3592200</v>
      </c>
      <c r="F56" s="199" t="n">
        <f aca="false">IF(A57="","",E56*AS56)</f>
        <v>26520710.1369944</v>
      </c>
      <c r="G56" s="200" t="e">
        <f aca="false">IF($A57="","",VLOOKUP($A56,Table,MATCH(G$4,Curves,0)))</f>
        <v>#N/A</v>
      </c>
      <c r="H56" s="201" t="e">
        <f aca="false">IF(A57="","",G56)</f>
        <v>#N/A</v>
      </c>
      <c r="I56" s="202"/>
      <c r="J56" s="200" t="e">
        <f aca="false">IF($A57="","",VLOOKUP($A56,Table,MATCH(J$4,Curves,0)))</f>
        <v>#N/A</v>
      </c>
      <c r="K56" s="201" t="e">
        <f aca="false">IF(A57="","",J56)</f>
        <v>#N/A</v>
      </c>
      <c r="L56" s="185" t="n">
        <v>0</v>
      </c>
      <c r="M56" s="201" t="n">
        <f aca="false">IF(A57="","",L56)</f>
        <v>0</v>
      </c>
      <c r="N56" s="203"/>
      <c r="O56" s="200" t="e">
        <f aca="false">IF(A57="","",L56+J56+G56)</f>
        <v>#N/A</v>
      </c>
      <c r="P56" s="200" t="e">
        <f aca="false">IF(A57="","",M56+K56+H56)</f>
        <v>#N/A</v>
      </c>
      <c r="Q56" s="204"/>
      <c r="R56" s="200" t="e">
        <f aca="false">IF($A57="","",VLOOKUP($A56,Table,MATCH(R$4,Curves,0)))</f>
        <v>#N/A</v>
      </c>
      <c r="S56" s="201" t="e">
        <f aca="false">IF(A57="","",R56)</f>
        <v>#N/A</v>
      </c>
      <c r="T56" s="200" t="e">
        <f aca="false">IF($A57="","",VLOOKUP($A56,Table,MATCH(T$4,Curves,0)))</f>
        <v>#N/A</v>
      </c>
      <c r="U56" s="201" t="e">
        <f aca="false">IF(A57="","",T56)</f>
        <v>#N/A</v>
      </c>
      <c r="V56" s="205" t="e">
        <f aca="false">IF($A57="","",IF(AND(MONTH(A56)&gt;3,MONTH(A56)&lt;11),(T56+R56+G56)*Summary!$T$10/(1-Summary!$T$10),(T56+R56+G56)*Summary!$U$10/(1-Summary!$U$10)))</f>
        <v>#N/A</v>
      </c>
      <c r="W56" s="200" t="e">
        <f aca="false">IF($A57="","",(T56+R56+G56+V56))</f>
        <v>#N/A</v>
      </c>
      <c r="X56" s="200" t="e">
        <f aca="false">IF($A57="","",(U56+S56+H56+V56))</f>
        <v>#N/A</v>
      </c>
      <c r="Y56" s="202"/>
      <c r="Z56" s="185" t="e">
        <f aca="false">IF($A57="","",VLOOKUP($A56,Table,MATCH(Z$4,Curves,0)))</f>
        <v>#N/A</v>
      </c>
      <c r="AA56" s="185" t="e">
        <f aca="false">IF($A57="","",VLOOKUP($A56,Table,MATCH(AA$4,Curves,0)))</f>
        <v>#N/A</v>
      </c>
      <c r="AB56" s="185" t="e">
        <f aca="false">SQRT((AA56^2*(A56-$D$3)+Z56^2*(DAY(EOMONTH(A56,0))/2))/AK56)</f>
        <v>#N/A</v>
      </c>
      <c r="AC56" s="185" t="e">
        <f aca="false">IF($A57="","",VLOOKUP($A56,Table,MATCH(AC$4,Curves,0)))</f>
        <v>#N/A</v>
      </c>
      <c r="AD56" s="185" t="e">
        <f aca="false">IF($A57="","",VLOOKUP($A56,Table,MATCH(AD$4,Curves,0)))</f>
        <v>#N/A</v>
      </c>
      <c r="AE56" s="185" t="e">
        <f aca="false">SQRT((AD56^2*(A56-$D$3)+AC56^2*(DAY(EOMONTH(A56,0))/2))/AK56)</f>
        <v>#N/A</v>
      </c>
      <c r="AF56" s="224" t="e">
        <f aca="false">((Summary!$N$10*(AA56*AD56)*(A56-$D$3))+(Summary!$M$10*Z56*AC56*(AJ56-EOMONTH(EDATE(A56,-1),0))))/(AK56*AB56*AE56)</f>
        <v>#N/A</v>
      </c>
      <c r="AG56" s="207" t="n">
        <f aca="false">IF($A57="","",Summary!$Q$10)</f>
        <v>0</v>
      </c>
      <c r="AH56" s="207" t="n">
        <f aca="false">IF($A57="","",IF(Summary!$R$10="Y",(VLOOKUP($A56,Summary!$AD$6:$AF$9,3)+'Escalating commodity'!F69),'Escalating commodity'!F69))</f>
        <v>0.013184</v>
      </c>
      <c r="AI56" s="207" t="n">
        <f aca="false">IF($A57="","",AH56)</f>
        <v>0.013184</v>
      </c>
      <c r="AJ56" s="208" t="n">
        <f aca="false">A56+DAY(EOMONTH(A56,0))/2-1</f>
        <v>38457</v>
      </c>
      <c r="AK56" s="209" t="n">
        <f aca="false">IF($A57="","",$A56-$E$1)</f>
        <v>-7483</v>
      </c>
      <c r="AL56" s="182" t="e">
        <f aca="false">IF($A57="","",SPRDOPT(P56,X56,AI56,0,AB56,AE56,AF56,AK56,$AJ$2,0))</f>
        <v>#NAME?</v>
      </c>
      <c r="AM56" s="211" t="e">
        <f aca="false">IF($A57="","",MAX(0,O56-W56-AI56))</f>
        <v>#N/A</v>
      </c>
      <c r="AN56" s="211" t="e">
        <f aca="false">IF($A57="","",AL56-AM56)</f>
        <v>#N/A</v>
      </c>
      <c r="AO56" s="137" t="n">
        <f aca="false">IF(A57="","",A57-A56)</f>
        <v>30</v>
      </c>
      <c r="AP56" s="212" t="n">
        <f aca="false">IF(A57="","",CHOOSE(F$3,A57+24,A56))</f>
        <v>38443</v>
      </c>
      <c r="AQ56" s="209" t="n">
        <f aca="false">IF(A57="","",AP56-$E$1)</f>
        <v>-7483</v>
      </c>
      <c r="AR56" s="185" t="n">
        <f aca="false">'ANR OK vs ML7'!AR56</f>
        <v>0.1</v>
      </c>
      <c r="AS56" s="213" t="n">
        <f aca="false">IF(A57="","",1/(1+CHOOSE(F$3,(AR57+($I$3/10000))/2,(AR56+($I$3/10000))/2))^(2*AQ56/365.25))</f>
        <v>7.38286012387795</v>
      </c>
      <c r="AT56" s="137" t="n">
        <f aca="false">IF(A57="","",IF(AND(mthbeg&lt;=A56,mthend&gt;=A56),1,0))</f>
        <v>1</v>
      </c>
      <c r="AU56" s="137" t="n">
        <f aca="false">IF(A57="","",AO56*AT56)</f>
        <v>30</v>
      </c>
      <c r="AW56" s="195" t="e">
        <f aca="false">IF($A57="","",AL56*$E56)</f>
        <v>#NAME?</v>
      </c>
      <c r="AX56" s="195" t="e">
        <f aca="false">IF($A57="","",AM56*$E56)</f>
        <v>#N/A</v>
      </c>
      <c r="AY56" s="195" t="e">
        <f aca="false">IF($A57="","",AN56*$E56)</f>
        <v>#N/A</v>
      </c>
      <c r="BA56" s="195" t="n">
        <f aca="false">IF($A57="","",F56*Summary!$Q$10)</f>
        <v>0</v>
      </c>
      <c r="BC56" s="179" t="e">
        <f aca="false">IF(A57="","",AM56*F56)</f>
        <v>#N/A</v>
      </c>
    </row>
    <row r="57" customFormat="false" ht="12.75" hidden="false" customHeight="false" outlineLevel="0" collapsed="false">
      <c r="A57" s="196" t="n">
        <f aca="false">IF(A56&lt;mthend,EDATE(A56,1),"")</f>
        <v>38473</v>
      </c>
      <c r="B57" s="197" t="n">
        <f aca="false">IF(A57&lt;mthend,B56,"")</f>
        <v>119740</v>
      </c>
      <c r="C57" s="215"/>
      <c r="D57" s="197" t="n">
        <f aca="false">IF(A58&lt;&gt;"",B57+C57,"")</f>
        <v>119740</v>
      </c>
      <c r="E57" s="199" t="n">
        <f aca="false">IF(A58="","",IF(AND(AT57=1,$H$3=1),D57*AO57,IF($H$3=2,D57,"N/A")))</f>
        <v>3711940</v>
      </c>
      <c r="F57" s="199" t="n">
        <f aca="false">IF(A58="","",E57*AS57)</f>
        <v>27185967.8911676</v>
      </c>
      <c r="G57" s="200" t="e">
        <f aca="false">IF($A58="","",VLOOKUP($A57,Table,MATCH(G$4,Curves,0)))</f>
        <v>#N/A</v>
      </c>
      <c r="H57" s="201" t="e">
        <f aca="false">IF(A58="","",G57)</f>
        <v>#N/A</v>
      </c>
      <c r="I57" s="202"/>
      <c r="J57" s="200" t="e">
        <f aca="false">IF($A58="","",VLOOKUP($A57,Table,MATCH(J$4,Curves,0)))</f>
        <v>#N/A</v>
      </c>
      <c r="K57" s="201" t="e">
        <f aca="false">IF(A58="","",J57)</f>
        <v>#N/A</v>
      </c>
      <c r="L57" s="185" t="n">
        <v>0</v>
      </c>
      <c r="M57" s="201" t="n">
        <f aca="false">IF(A58="","",L57)</f>
        <v>0</v>
      </c>
      <c r="N57" s="203"/>
      <c r="O57" s="200" t="e">
        <f aca="false">IF(A58="","",L57+J57+G57)</f>
        <v>#N/A</v>
      </c>
      <c r="P57" s="200" t="e">
        <f aca="false">IF(A58="","",M57+K57+H57)</f>
        <v>#N/A</v>
      </c>
      <c r="Q57" s="204"/>
      <c r="R57" s="200" t="e">
        <f aca="false">IF($A58="","",VLOOKUP($A57,Table,MATCH(R$4,Curves,0)))</f>
        <v>#N/A</v>
      </c>
      <c r="S57" s="201" t="e">
        <f aca="false">IF(A58="","",R57)</f>
        <v>#N/A</v>
      </c>
      <c r="T57" s="200" t="e">
        <f aca="false">IF($A58="","",VLOOKUP($A57,Table,MATCH(T$4,Curves,0)))</f>
        <v>#N/A</v>
      </c>
      <c r="U57" s="201" t="e">
        <f aca="false">IF(A58="","",T57)</f>
        <v>#N/A</v>
      </c>
      <c r="V57" s="205" t="e">
        <f aca="false">IF($A58="","",IF(AND(MONTH(A57)&gt;3,MONTH(A57)&lt;11),(T57+R57+G57)*Summary!$T$10/(1-Summary!$T$10),(T57+R57+G57)*Summary!$U$10/(1-Summary!$U$10)))</f>
        <v>#N/A</v>
      </c>
      <c r="W57" s="200" t="e">
        <f aca="false">IF($A58="","",(T57+R57+G57+V57))</f>
        <v>#N/A</v>
      </c>
      <c r="X57" s="200" t="e">
        <f aca="false">IF($A58="","",(U57+S57+H57+V57))</f>
        <v>#N/A</v>
      </c>
      <c r="Y57" s="202"/>
      <c r="Z57" s="185" t="e">
        <f aca="false">IF($A58="","",VLOOKUP($A57,Table,MATCH(Z$4,Curves,0)))</f>
        <v>#N/A</v>
      </c>
      <c r="AA57" s="185" t="e">
        <f aca="false">IF($A58="","",VLOOKUP($A57,Table,MATCH(AA$4,Curves,0)))</f>
        <v>#N/A</v>
      </c>
      <c r="AB57" s="185" t="e">
        <f aca="false">SQRT((AA57^2*(A57-$D$3)+Z57^2*(DAY(EOMONTH(A57,0))/2))/AK57)</f>
        <v>#N/A</v>
      </c>
      <c r="AC57" s="185" t="e">
        <f aca="false">IF($A58="","",VLOOKUP($A57,Table,MATCH(AC$4,Curves,0)))</f>
        <v>#N/A</v>
      </c>
      <c r="AD57" s="185" t="e">
        <f aca="false">IF($A58="","",VLOOKUP($A57,Table,MATCH(AD$4,Curves,0)))</f>
        <v>#N/A</v>
      </c>
      <c r="AE57" s="185" t="e">
        <f aca="false">SQRT((AD57^2*(A57-$D$3)+AC57^2*(DAY(EOMONTH(A57,0))/2))/AK57)</f>
        <v>#N/A</v>
      </c>
      <c r="AF57" s="224" t="e">
        <f aca="false">((Summary!$N$10*(AA57*AD57)*(A57-$D$3))+(Summary!$M$10*Z57*AC57*(AJ57-EOMONTH(EDATE(A57,-1),0))))/(AK57*AB57*AE57)</f>
        <v>#N/A</v>
      </c>
      <c r="AG57" s="207" t="n">
        <f aca="false">IF($A58="","",Summary!$Q$10)</f>
        <v>0</v>
      </c>
      <c r="AH57" s="207" t="n">
        <f aca="false">IF($A58="","",IF(Summary!$R$10="Y",(VLOOKUP($A57,Summary!$AD$6:$AF$9,3)+'Escalating commodity'!F70),'Escalating commodity'!F70))</f>
        <v>0.013184</v>
      </c>
      <c r="AI57" s="207" t="n">
        <f aca="false">IF($A58="","",AH57)</f>
        <v>0.013184</v>
      </c>
      <c r="AJ57" s="208" t="n">
        <f aca="false">A57+DAY(EOMONTH(A57,0))/2-1</f>
        <v>38487.5</v>
      </c>
      <c r="AK57" s="209" t="n">
        <f aca="false">IF($A58="","",$A57-$E$1)</f>
        <v>-7453</v>
      </c>
      <c r="AL57" s="182" t="e">
        <f aca="false">IF($A58="","",SPRDOPT(P57,X57,AI57,0,AB57,AE57,AF57,AK57,$AJ$2,0))</f>
        <v>#NAME?</v>
      </c>
      <c r="AM57" s="211" t="e">
        <f aca="false">IF($A58="","",MAX(0,O57-W57-AI57))</f>
        <v>#N/A</v>
      </c>
      <c r="AN57" s="211" t="e">
        <f aca="false">IF($A58="","",AL57-AM57)</f>
        <v>#N/A</v>
      </c>
      <c r="AO57" s="137" t="n">
        <f aca="false">IF(A58="","",A58-A57)</f>
        <v>31</v>
      </c>
      <c r="AP57" s="212" t="n">
        <f aca="false">IF(A58="","",CHOOSE(F$3,A58+24,A57))</f>
        <v>38473</v>
      </c>
      <c r="AQ57" s="209" t="n">
        <f aca="false">IF(A58="","",AP57-$E$1)</f>
        <v>-7453</v>
      </c>
      <c r="AR57" s="185" t="n">
        <f aca="false">'ANR OK vs ML7'!AR57</f>
        <v>0.1</v>
      </c>
      <c r="AS57" s="213" t="n">
        <f aca="false">IF(A58="","",1/(1+CHOOSE(F$3,(AR58+($I$3/10000))/2,(AR57+($I$3/10000))/2))^(2*AQ57/365.25))</f>
        <v>7.32392438756219</v>
      </c>
      <c r="AT57" s="137" t="n">
        <f aca="false">IF(A58="","",IF(AND(mthbeg&lt;=A57,mthend&gt;=A57),1,0))</f>
        <v>1</v>
      </c>
      <c r="AU57" s="137" t="n">
        <f aca="false">IF(A58="","",AO57*AT57)</f>
        <v>31</v>
      </c>
      <c r="AW57" s="195" t="e">
        <f aca="false">IF($A58="","",AL57*$E57)</f>
        <v>#NAME?</v>
      </c>
      <c r="AX57" s="195" t="e">
        <f aca="false">IF($A58="","",AM57*$E57)</f>
        <v>#N/A</v>
      </c>
      <c r="AY57" s="195" t="e">
        <f aca="false">IF($A58="","",AN57*$E57)</f>
        <v>#N/A</v>
      </c>
      <c r="BA57" s="195" t="n">
        <f aca="false">IF($A58="","",F57*Summary!$Q$10)</f>
        <v>0</v>
      </c>
      <c r="BC57" s="179" t="e">
        <f aca="false">IF(A58="","",AM57*F57)</f>
        <v>#N/A</v>
      </c>
    </row>
    <row r="58" customFormat="false" ht="12.75" hidden="false" customHeight="false" outlineLevel="0" collapsed="false">
      <c r="A58" s="196" t="n">
        <f aca="false">IF(A57&lt;mthend,EDATE(A57,1),"")</f>
        <v>38504</v>
      </c>
      <c r="B58" s="197" t="n">
        <f aca="false">IF(A58&lt;mthend,B57,"")</f>
        <v>119740</v>
      </c>
      <c r="C58" s="215"/>
      <c r="D58" s="197" t="n">
        <f aca="false">IF(A59&lt;&gt;"",B58+C58,"")</f>
        <v>119740</v>
      </c>
      <c r="E58" s="199" t="n">
        <f aca="false">IF(A59="","",IF(AND(AT58=1,$H$3=1),D58*AO58,IF($H$3=2,D58,"N/A")))</f>
        <v>3592200</v>
      </c>
      <c r="F58" s="199" t="n">
        <f aca="false">IF(A59="","",E58*AS58)</f>
        <v>26092010.575991</v>
      </c>
      <c r="G58" s="200" t="e">
        <f aca="false">IF($A59="","",VLOOKUP($A58,Table,MATCH(G$4,Curves,0)))</f>
        <v>#N/A</v>
      </c>
      <c r="H58" s="201" t="e">
        <f aca="false">IF(A59="","",G58)</f>
        <v>#N/A</v>
      </c>
      <c r="I58" s="202"/>
      <c r="J58" s="200" t="e">
        <f aca="false">IF($A59="","",VLOOKUP($A58,Table,MATCH(J$4,Curves,0)))</f>
        <v>#N/A</v>
      </c>
      <c r="K58" s="201" t="e">
        <f aca="false">IF(A59="","",J58)</f>
        <v>#N/A</v>
      </c>
      <c r="L58" s="185" t="n">
        <v>0</v>
      </c>
      <c r="M58" s="201" t="n">
        <f aca="false">IF(A59="","",L58)</f>
        <v>0</v>
      </c>
      <c r="N58" s="203"/>
      <c r="O58" s="200" t="e">
        <f aca="false">IF(A59="","",L58+J58+G58)</f>
        <v>#N/A</v>
      </c>
      <c r="P58" s="200" t="e">
        <f aca="false">IF(A59="","",M58+K58+H58)</f>
        <v>#N/A</v>
      </c>
      <c r="Q58" s="204"/>
      <c r="R58" s="200" t="e">
        <f aca="false">IF($A59="","",VLOOKUP($A58,Table,MATCH(R$4,Curves,0)))</f>
        <v>#N/A</v>
      </c>
      <c r="S58" s="201" t="e">
        <f aca="false">IF(A59="","",R58)</f>
        <v>#N/A</v>
      </c>
      <c r="T58" s="200" t="e">
        <f aca="false">IF($A59="","",VLOOKUP($A58,Table,MATCH(T$4,Curves,0)))</f>
        <v>#N/A</v>
      </c>
      <c r="U58" s="201" t="e">
        <f aca="false">IF(A59="","",T58)</f>
        <v>#N/A</v>
      </c>
      <c r="V58" s="205" t="e">
        <f aca="false">IF($A59="","",IF(AND(MONTH(A58)&gt;3,MONTH(A58)&lt;11),(T58+R58+G58)*Summary!$T$10/(1-Summary!$T$10),(T58+R58+G58)*Summary!$U$10/(1-Summary!$U$10)))</f>
        <v>#N/A</v>
      </c>
      <c r="W58" s="200" t="e">
        <f aca="false">IF($A59="","",(T58+R58+G58+V58))</f>
        <v>#N/A</v>
      </c>
      <c r="X58" s="200" t="e">
        <f aca="false">IF($A59="","",(U58+S58+H58+V58))</f>
        <v>#N/A</v>
      </c>
      <c r="Y58" s="202"/>
      <c r="Z58" s="185" t="e">
        <f aca="false">IF($A59="","",VLOOKUP($A58,Table,MATCH(Z$4,Curves,0)))</f>
        <v>#N/A</v>
      </c>
      <c r="AA58" s="185" t="e">
        <f aca="false">IF($A59="","",VLOOKUP($A58,Table,MATCH(AA$4,Curves,0)))</f>
        <v>#N/A</v>
      </c>
      <c r="AB58" s="185" t="e">
        <f aca="false">SQRT((AA58^2*(A58-$D$3)+Z58^2*(DAY(EOMONTH(A58,0))/2))/AK58)</f>
        <v>#N/A</v>
      </c>
      <c r="AC58" s="185" t="e">
        <f aca="false">IF($A59="","",VLOOKUP($A58,Table,MATCH(AC$4,Curves,0)))</f>
        <v>#N/A</v>
      </c>
      <c r="AD58" s="185" t="e">
        <f aca="false">IF($A59="","",VLOOKUP($A58,Table,MATCH(AD$4,Curves,0)))</f>
        <v>#N/A</v>
      </c>
      <c r="AE58" s="185" t="e">
        <f aca="false">SQRT((AD58^2*(A58-$D$3)+AC58^2*(DAY(EOMONTH(A58,0))/2))/AK58)</f>
        <v>#N/A</v>
      </c>
      <c r="AF58" s="224" t="e">
        <f aca="false">((Summary!$N$10*(AA58*AD58)*(A58-$D$3))+(Summary!$M$10*Z58*AC58*(AJ58-EOMONTH(EDATE(A58,-1),0))))/(AK58*AB58*AE58)</f>
        <v>#N/A</v>
      </c>
      <c r="AG58" s="207" t="n">
        <f aca="false">IF($A59="","",Summary!$Q$10)</f>
        <v>0</v>
      </c>
      <c r="AH58" s="207" t="n">
        <f aca="false">IF($A59="","",IF(Summary!$R$10="Y",(VLOOKUP($A58,Summary!$AD$6:$AF$9,3)+'Escalating commodity'!F71),'Escalating commodity'!F71))</f>
        <v>0.013184</v>
      </c>
      <c r="AI58" s="207" t="n">
        <f aca="false">IF($A59="","",AH58)</f>
        <v>0.013184</v>
      </c>
      <c r="AJ58" s="208" t="n">
        <f aca="false">A58+DAY(EOMONTH(A58,0))/2-1</f>
        <v>38518</v>
      </c>
      <c r="AK58" s="209" t="n">
        <f aca="false">IF($A59="","",$A58-$E$1)</f>
        <v>-7422</v>
      </c>
      <c r="AL58" s="182" t="e">
        <f aca="false">IF($A59="","",SPRDOPT(P58,X58,AI58,0,AB58,AE58,AF58,AK58,$AJ$2,0))</f>
        <v>#NAME?</v>
      </c>
      <c r="AM58" s="211" t="e">
        <f aca="false">IF($A59="","",MAX(0,O58-W58-AI58))</f>
        <v>#N/A</v>
      </c>
      <c r="AN58" s="211" t="e">
        <f aca="false">IF($A59="","",AL58-AM58)</f>
        <v>#N/A</v>
      </c>
      <c r="AO58" s="137" t="n">
        <f aca="false">IF(A59="","",A59-A58)</f>
        <v>30</v>
      </c>
      <c r="AP58" s="212" t="n">
        <f aca="false">IF(A59="","",CHOOSE(F$3,A59+24,A58))</f>
        <v>38504</v>
      </c>
      <c r="AQ58" s="209" t="n">
        <f aca="false">IF(A59="","",AP58-$E$1)</f>
        <v>-7422</v>
      </c>
      <c r="AR58" s="185" t="n">
        <f aca="false">'ANR OK vs ML7'!AR58</f>
        <v>0.1</v>
      </c>
      <c r="AS58" s="213" t="n">
        <f aca="false">IF(A59="","",1/(1+CHOOSE(F$3,(AR59+($I$3/10000))/2,(AR58+($I$3/10000))/2))^(2*AQ58/365.25))</f>
        <v>7.26351833862008</v>
      </c>
      <c r="AT58" s="137" t="n">
        <f aca="false">IF(A59="","",IF(AND(mthbeg&lt;=A58,mthend&gt;=A58),1,0))</f>
        <v>1</v>
      </c>
      <c r="AU58" s="137" t="n">
        <f aca="false">IF(A59="","",AO58*AT58)</f>
        <v>30</v>
      </c>
      <c r="AW58" s="195" t="e">
        <f aca="false">IF($A59="","",AL58*$E58)</f>
        <v>#NAME?</v>
      </c>
      <c r="AX58" s="195" t="e">
        <f aca="false">IF($A59="","",AM58*$E58)</f>
        <v>#N/A</v>
      </c>
      <c r="AY58" s="195" t="e">
        <f aca="false">IF($A59="","",AN58*$E58)</f>
        <v>#N/A</v>
      </c>
      <c r="BA58" s="195" t="n">
        <f aca="false">IF($A59="","",F58*Summary!$Q$10)</f>
        <v>0</v>
      </c>
      <c r="BC58" s="179" t="e">
        <f aca="false">IF(A59="","",AM58*F58)</f>
        <v>#N/A</v>
      </c>
    </row>
    <row r="59" customFormat="false" ht="12.75" hidden="false" customHeight="false" outlineLevel="0" collapsed="false">
      <c r="A59" s="196" t="n">
        <f aca="false">IF(A58&lt;mthend,EDATE(A58,1),"")</f>
        <v>38534</v>
      </c>
      <c r="B59" s="197" t="n">
        <f aca="false">IF(A59&lt;mthend,B58,"")</f>
        <v>119740</v>
      </c>
      <c r="C59" s="215"/>
      <c r="D59" s="197" t="n">
        <f aca="false">IF(A60&lt;&gt;"",B59+C59,"")</f>
        <v>119740</v>
      </c>
      <c r="E59" s="199" t="n">
        <f aca="false">IF(A60="","",IF(AND(AT59=1,$H$3=1),D59*AO59,IF($H$3=2,D59,"N/A")))</f>
        <v>3711940</v>
      </c>
      <c r="F59" s="199" t="n">
        <f aca="false">IF(A60="","",E59*AS59)</f>
        <v>26746514.632179</v>
      </c>
      <c r="G59" s="200" t="e">
        <f aca="false">IF($A60="","",VLOOKUP($A59,Table,MATCH(G$4,Curves,0)))</f>
        <v>#N/A</v>
      </c>
      <c r="H59" s="201" t="e">
        <f aca="false">IF(A60="","",G59)</f>
        <v>#N/A</v>
      </c>
      <c r="I59" s="202"/>
      <c r="J59" s="200" t="e">
        <f aca="false">IF($A60="","",VLOOKUP($A59,Table,MATCH(J$4,Curves,0)))</f>
        <v>#N/A</v>
      </c>
      <c r="K59" s="201" t="e">
        <f aca="false">IF(A60="","",J59)</f>
        <v>#N/A</v>
      </c>
      <c r="L59" s="185" t="n">
        <v>0</v>
      </c>
      <c r="M59" s="201" t="n">
        <f aca="false">IF(A60="","",L59)</f>
        <v>0</v>
      </c>
      <c r="N59" s="203"/>
      <c r="O59" s="200" t="e">
        <f aca="false">IF(A60="","",L59+J59+G59)</f>
        <v>#N/A</v>
      </c>
      <c r="P59" s="200" t="e">
        <f aca="false">IF(A60="","",M59+K59+H59)</f>
        <v>#N/A</v>
      </c>
      <c r="Q59" s="204"/>
      <c r="R59" s="200" t="e">
        <f aca="false">IF($A60="","",VLOOKUP($A59,Table,MATCH(R$4,Curves,0)))</f>
        <v>#N/A</v>
      </c>
      <c r="S59" s="201" t="e">
        <f aca="false">IF(A60="","",R59)</f>
        <v>#N/A</v>
      </c>
      <c r="T59" s="200" t="e">
        <f aca="false">IF($A60="","",VLOOKUP($A59,Table,MATCH(T$4,Curves,0)))</f>
        <v>#N/A</v>
      </c>
      <c r="U59" s="201" t="e">
        <f aca="false">IF(A60="","",T59)</f>
        <v>#N/A</v>
      </c>
      <c r="V59" s="205" t="e">
        <f aca="false">IF($A60="","",IF(AND(MONTH(A59)&gt;3,MONTH(A59)&lt;11),(T59+R59+G59)*Summary!$T$10/(1-Summary!$T$10),(T59+R59+G59)*Summary!$U$10/(1-Summary!$U$10)))</f>
        <v>#N/A</v>
      </c>
      <c r="W59" s="200" t="e">
        <f aca="false">IF($A60="","",(T59+R59+G59+V59))</f>
        <v>#N/A</v>
      </c>
      <c r="X59" s="200" t="e">
        <f aca="false">IF($A60="","",(U59+S59+H59+V59))</f>
        <v>#N/A</v>
      </c>
      <c r="Y59" s="202"/>
      <c r="Z59" s="185" t="e">
        <f aca="false">IF($A60="","",VLOOKUP($A59,Table,MATCH(Z$4,Curves,0)))</f>
        <v>#N/A</v>
      </c>
      <c r="AA59" s="185" t="e">
        <f aca="false">IF($A60="","",VLOOKUP($A59,Table,MATCH(AA$4,Curves,0)))</f>
        <v>#N/A</v>
      </c>
      <c r="AB59" s="185" t="e">
        <f aca="false">SQRT((AA59^2*(A59-$D$3)+Z59^2*(DAY(EOMONTH(A59,0))/2))/AK59)</f>
        <v>#N/A</v>
      </c>
      <c r="AC59" s="185" t="e">
        <f aca="false">IF($A60="","",VLOOKUP($A59,Table,MATCH(AC$4,Curves,0)))</f>
        <v>#N/A</v>
      </c>
      <c r="AD59" s="185" t="e">
        <f aca="false">IF($A60="","",VLOOKUP($A59,Table,MATCH(AD$4,Curves,0)))</f>
        <v>#N/A</v>
      </c>
      <c r="AE59" s="185" t="e">
        <f aca="false">SQRT((AD59^2*(A59-$D$3)+AC59^2*(DAY(EOMONTH(A59,0))/2))/AK59)</f>
        <v>#N/A</v>
      </c>
      <c r="AF59" s="224" t="e">
        <f aca="false">((Summary!$N$10*(AA59*AD59)*(A59-$D$3))+(Summary!$M$10*Z59*AC59*(AJ59-EOMONTH(EDATE(A59,-1),0))))/(AK59*AB59*AE59)</f>
        <v>#N/A</v>
      </c>
      <c r="AG59" s="207" t="n">
        <f aca="false">IF($A60="","",Summary!$Q$10)</f>
        <v>0</v>
      </c>
      <c r="AH59" s="207" t="n">
        <f aca="false">IF($A60="","",IF(Summary!$R$10="Y",(VLOOKUP($A59,Summary!$AD$6:$AF$9,3)+'Escalating commodity'!F72),'Escalating commodity'!F72))</f>
        <v>0.013184</v>
      </c>
      <c r="AI59" s="207" t="n">
        <f aca="false">IF($A60="","",AH59)</f>
        <v>0.013184</v>
      </c>
      <c r="AJ59" s="208" t="n">
        <f aca="false">A59+DAY(EOMONTH(A59,0))/2-1</f>
        <v>38548.5</v>
      </c>
      <c r="AK59" s="209" t="n">
        <f aca="false">IF($A60="","",$A59-$E$1)</f>
        <v>-7392</v>
      </c>
      <c r="AL59" s="182" t="e">
        <f aca="false">IF($A60="","",SPRDOPT(P59,X59,AI59,0,AB59,AE59,AF59,AK59,$AJ$2,0))</f>
        <v>#NAME?</v>
      </c>
      <c r="AM59" s="211" t="e">
        <f aca="false">IF($A60="","",MAX(0,O59-W59-AI59))</f>
        <v>#N/A</v>
      </c>
      <c r="AN59" s="211" t="e">
        <f aca="false">IF($A60="","",AL59-AM59)</f>
        <v>#N/A</v>
      </c>
      <c r="AO59" s="137" t="n">
        <f aca="false">IF(A60="","",A60-A59)</f>
        <v>31</v>
      </c>
      <c r="AP59" s="212" t="n">
        <f aca="false">IF(A60="","",CHOOSE(F$3,A60+24,A59))</f>
        <v>38534</v>
      </c>
      <c r="AQ59" s="209" t="n">
        <f aca="false">IF(A60="","",AP59-$E$1)</f>
        <v>-7392</v>
      </c>
      <c r="AR59" s="185" t="n">
        <f aca="false">'ANR OK vs ML7'!AR59</f>
        <v>0.1</v>
      </c>
      <c r="AS59" s="213" t="n">
        <f aca="false">IF(A60="","",1/(1+CHOOSE(F$3,(AR60+($I$3/10000))/2,(AR59+($I$3/10000))/2))^(2*AQ59/365.25))</f>
        <v>7.20553528132971</v>
      </c>
      <c r="AT59" s="137" t="n">
        <f aca="false">IF(A60="","",IF(AND(mthbeg&lt;=A59,mthend&gt;=A59),1,0))</f>
        <v>1</v>
      </c>
      <c r="AU59" s="137" t="n">
        <f aca="false">IF(A60="","",AO59*AT59)</f>
        <v>31</v>
      </c>
      <c r="AW59" s="195" t="e">
        <f aca="false">IF($A60="","",AL59*$E59)</f>
        <v>#NAME?</v>
      </c>
      <c r="AX59" s="195" t="e">
        <f aca="false">IF($A60="","",AM59*$E59)</f>
        <v>#N/A</v>
      </c>
      <c r="AY59" s="195" t="e">
        <f aca="false">IF($A60="","",AN59*$E59)</f>
        <v>#N/A</v>
      </c>
      <c r="BA59" s="195" t="n">
        <f aca="false">IF($A60="","",F59*Summary!$Q$10)</f>
        <v>0</v>
      </c>
      <c r="BC59" s="179" t="e">
        <f aca="false">IF(A60="","",AM59*F59)</f>
        <v>#N/A</v>
      </c>
    </row>
    <row r="60" customFormat="false" ht="12.75" hidden="false" customHeight="false" outlineLevel="0" collapsed="false">
      <c r="A60" s="196" t="n">
        <f aca="false">IF(A59&lt;mthend,EDATE(A59,1),"")</f>
        <v>38565</v>
      </c>
      <c r="B60" s="197" t="n">
        <f aca="false">IF(A60&lt;mthend,B59,"")</f>
        <v>119740</v>
      </c>
      <c r="C60" s="215"/>
      <c r="D60" s="197" t="n">
        <f aca="false">IF(A61&lt;&gt;"",B60+C60,"")</f>
        <v>119740</v>
      </c>
      <c r="E60" s="199" t="n">
        <f aca="false">IF(A61="","",IF(AND(AT60=1,$H$3=1),D60*AO60,IF($H$3=2,D60,"N/A")))</f>
        <v>3711940</v>
      </c>
      <c r="F60" s="199" t="n">
        <f aca="false">IF(A61="","",E60*AS60)</f>
        <v>26525915.5125805</v>
      </c>
      <c r="G60" s="200" t="e">
        <f aca="false">IF($A61="","",VLOOKUP($A60,Table,MATCH(G$4,Curves,0)))</f>
        <v>#N/A</v>
      </c>
      <c r="H60" s="201" t="e">
        <f aca="false">IF(A61="","",G60)</f>
        <v>#N/A</v>
      </c>
      <c r="I60" s="202"/>
      <c r="J60" s="200" t="e">
        <f aca="false">IF($A61="","",VLOOKUP($A60,Table,MATCH(J$4,Curves,0)))</f>
        <v>#N/A</v>
      </c>
      <c r="K60" s="201" t="e">
        <f aca="false">IF(A61="","",J60)</f>
        <v>#N/A</v>
      </c>
      <c r="L60" s="185" t="n">
        <v>0</v>
      </c>
      <c r="M60" s="201" t="n">
        <f aca="false">IF(A61="","",L60)</f>
        <v>0</v>
      </c>
      <c r="N60" s="203"/>
      <c r="O60" s="200" t="e">
        <f aca="false">IF(A61="","",L60+J60+G60)</f>
        <v>#N/A</v>
      </c>
      <c r="P60" s="200" t="e">
        <f aca="false">IF(A61="","",M60+K60+H60)</f>
        <v>#N/A</v>
      </c>
      <c r="Q60" s="204"/>
      <c r="R60" s="200" t="e">
        <f aca="false">IF($A61="","",VLOOKUP($A60,Table,MATCH(R$4,Curves,0)))</f>
        <v>#N/A</v>
      </c>
      <c r="S60" s="201" t="e">
        <f aca="false">IF(A61="","",R60)</f>
        <v>#N/A</v>
      </c>
      <c r="T60" s="200" t="e">
        <f aca="false">IF($A61="","",VLOOKUP($A60,Table,MATCH(T$4,Curves,0)))</f>
        <v>#N/A</v>
      </c>
      <c r="U60" s="201" t="e">
        <f aca="false">IF(A61="","",T60)</f>
        <v>#N/A</v>
      </c>
      <c r="V60" s="205" t="e">
        <f aca="false">IF($A61="","",IF(AND(MONTH(A60)&gt;3,MONTH(A60)&lt;11),(T60+R60+G60)*Summary!$T$10/(1-Summary!$T$10),(T60+R60+G60)*Summary!$U$10/(1-Summary!$U$10)))</f>
        <v>#N/A</v>
      </c>
      <c r="W60" s="200" t="e">
        <f aca="false">IF($A61="","",(T60+R60+G60+V60))</f>
        <v>#N/A</v>
      </c>
      <c r="X60" s="200" t="e">
        <f aca="false">IF($A61="","",(U60+S60+H60+V60))</f>
        <v>#N/A</v>
      </c>
      <c r="Y60" s="202"/>
      <c r="Z60" s="185" t="e">
        <f aca="false">IF($A61="","",VLOOKUP($A60,Table,MATCH(Z$4,Curves,0)))</f>
        <v>#N/A</v>
      </c>
      <c r="AA60" s="185" t="e">
        <f aca="false">IF($A61="","",VLOOKUP($A60,Table,MATCH(AA$4,Curves,0)))</f>
        <v>#N/A</v>
      </c>
      <c r="AB60" s="185" t="e">
        <f aca="false">SQRT((AA60^2*(A60-$D$3)+Z60^2*(DAY(EOMONTH(A60,0))/2))/AK60)</f>
        <v>#N/A</v>
      </c>
      <c r="AC60" s="185" t="e">
        <f aca="false">IF($A61="","",VLOOKUP($A60,Table,MATCH(AC$4,Curves,0)))</f>
        <v>#N/A</v>
      </c>
      <c r="AD60" s="185" t="e">
        <f aca="false">IF($A61="","",VLOOKUP($A60,Table,MATCH(AD$4,Curves,0)))</f>
        <v>#N/A</v>
      </c>
      <c r="AE60" s="185" t="e">
        <f aca="false">SQRT((AD60^2*(A60-$D$3)+AC60^2*(DAY(EOMONTH(A60,0))/2))/AK60)</f>
        <v>#N/A</v>
      </c>
      <c r="AF60" s="224" t="e">
        <f aca="false">((Summary!$N$10*(AA60*AD60)*(A60-$D$3))+(Summary!$M$10*Z60*AC60*(AJ60-EOMONTH(EDATE(A60,-1),0))))/(AK60*AB60*AE60)</f>
        <v>#N/A</v>
      </c>
      <c r="AG60" s="207" t="n">
        <f aca="false">IF($A61="","",Summary!$Q$10)</f>
        <v>0</v>
      </c>
      <c r="AH60" s="207" t="n">
        <f aca="false">IF($A61="","",IF(Summary!$R$10="Y",(VLOOKUP($A60,Summary!$AD$6:$AF$9,3)+'Escalating commodity'!F73),'Escalating commodity'!F73))</f>
        <v>0.013184</v>
      </c>
      <c r="AI60" s="207" t="n">
        <f aca="false">IF($A61="","",AH60)</f>
        <v>0.013184</v>
      </c>
      <c r="AJ60" s="208" t="n">
        <f aca="false">A60+DAY(EOMONTH(A60,0))/2-1</f>
        <v>38579.5</v>
      </c>
      <c r="AK60" s="209" t="n">
        <f aca="false">IF($A61="","",$A60-$E$1)</f>
        <v>-7361</v>
      </c>
      <c r="AL60" s="182" t="e">
        <f aca="false">IF($A61="","",SPRDOPT(P60,X60,AI60,0,AB60,AE60,AF60,AK60,$AJ$2,0))</f>
        <v>#NAME?</v>
      </c>
      <c r="AM60" s="211" t="e">
        <f aca="false">IF($A61="","",MAX(0,O60-W60-AI60))</f>
        <v>#N/A</v>
      </c>
      <c r="AN60" s="211" t="e">
        <f aca="false">IF($A61="","",AL60-AM60)</f>
        <v>#N/A</v>
      </c>
      <c r="AO60" s="137" t="n">
        <f aca="false">IF(A61="","",A61-A60)</f>
        <v>31</v>
      </c>
      <c r="AP60" s="212" t="n">
        <f aca="false">IF(A61="","",CHOOSE(F$3,A61+24,A60))</f>
        <v>38565</v>
      </c>
      <c r="AQ60" s="209" t="n">
        <f aca="false">IF(A61="","",AP60-$E$1)</f>
        <v>-7361</v>
      </c>
      <c r="AR60" s="185" t="n">
        <f aca="false">'ANR OK vs ML7'!AR60</f>
        <v>0.1</v>
      </c>
      <c r="AS60" s="213" t="n">
        <f aca="false">IF(A61="","",1/(1+CHOOSE(F$3,(AR61+($I$3/10000))/2,(AR60+($I$3/10000))/2))^(2*AQ60/365.25))</f>
        <v>7.14610567858869</v>
      </c>
      <c r="AT60" s="137" t="n">
        <f aca="false">IF(A61="","",IF(AND(mthbeg&lt;=A60,mthend&gt;=A60),1,0))</f>
        <v>1</v>
      </c>
      <c r="AU60" s="137" t="n">
        <f aca="false">IF(A61="","",AO60*AT60)</f>
        <v>31</v>
      </c>
      <c r="AW60" s="195" t="e">
        <f aca="false">IF($A61="","",AL60*$E60)</f>
        <v>#NAME?</v>
      </c>
      <c r="AX60" s="195" t="e">
        <f aca="false">IF($A61="","",AM60*$E60)</f>
        <v>#N/A</v>
      </c>
      <c r="AY60" s="195" t="e">
        <f aca="false">IF($A61="","",AN60*$E60)</f>
        <v>#N/A</v>
      </c>
      <c r="BA60" s="195" t="n">
        <f aca="false">IF($A61="","",F60*Summary!$Q$10)</f>
        <v>0</v>
      </c>
      <c r="BC60" s="179" t="e">
        <f aca="false">IF(A61="","",AM60*F60)</f>
        <v>#N/A</v>
      </c>
    </row>
    <row r="61" customFormat="false" ht="12.75" hidden="false" customHeight="false" outlineLevel="0" collapsed="false">
      <c r="A61" s="196" t="n">
        <f aca="false">IF(A60&lt;mthend,EDATE(A60,1),"")</f>
        <v>38596</v>
      </c>
      <c r="B61" s="197" t="n">
        <f aca="false">IF(A61&lt;mthend,B60,"")</f>
        <v>119740</v>
      </c>
      <c r="C61" s="215"/>
      <c r="D61" s="197" t="n">
        <f aca="false">IF(A62&lt;&gt;"",B61+C61,"")</f>
        <v>119740</v>
      </c>
      <c r="E61" s="199" t="n">
        <f aca="false">IF(A62="","",IF(AND(AT61=1,$H$3=1),D61*AO61,IF($H$3=2,D61,"N/A")))</f>
        <v>3592200</v>
      </c>
      <c r="F61" s="199" t="n">
        <f aca="false">IF(A62="","",E61*AS61)</f>
        <v>25458518.5586479</v>
      </c>
      <c r="G61" s="200" t="e">
        <f aca="false">IF($A62="","",VLOOKUP($A61,Table,MATCH(G$4,Curves,0)))</f>
        <v>#N/A</v>
      </c>
      <c r="H61" s="201" t="e">
        <f aca="false">IF(A62="","",G61)</f>
        <v>#N/A</v>
      </c>
      <c r="I61" s="202"/>
      <c r="J61" s="200" t="e">
        <f aca="false">IF($A62="","",VLOOKUP($A61,Table,MATCH(J$4,Curves,0)))</f>
        <v>#N/A</v>
      </c>
      <c r="K61" s="201" t="e">
        <f aca="false">IF(A62="","",J61)</f>
        <v>#N/A</v>
      </c>
      <c r="L61" s="185" t="n">
        <v>0</v>
      </c>
      <c r="M61" s="201" t="n">
        <f aca="false">IF(A62="","",L61)</f>
        <v>0</v>
      </c>
      <c r="N61" s="203"/>
      <c r="O61" s="200" t="e">
        <f aca="false">IF(A62="","",L61+J61+G61)</f>
        <v>#N/A</v>
      </c>
      <c r="P61" s="200" t="e">
        <f aca="false">IF(A62="","",M61+K61+H61)</f>
        <v>#N/A</v>
      </c>
      <c r="Q61" s="204"/>
      <c r="R61" s="200" t="e">
        <f aca="false">IF($A62="","",VLOOKUP($A61,Table,MATCH(R$4,Curves,0)))</f>
        <v>#N/A</v>
      </c>
      <c r="S61" s="201" t="e">
        <f aca="false">IF(A62="","",R61)</f>
        <v>#N/A</v>
      </c>
      <c r="T61" s="200" t="e">
        <f aca="false">IF($A62="","",VLOOKUP($A61,Table,MATCH(T$4,Curves,0)))</f>
        <v>#N/A</v>
      </c>
      <c r="U61" s="201" t="e">
        <f aca="false">IF(A62="","",T61)</f>
        <v>#N/A</v>
      </c>
      <c r="V61" s="205" t="e">
        <f aca="false">IF($A62="","",IF(AND(MONTH(A61)&gt;3,MONTH(A61)&lt;11),(T61+R61+G61)*Summary!$T$10/(1-Summary!$T$10),(T61+R61+G61)*Summary!$U$10/(1-Summary!$U$10)))</f>
        <v>#N/A</v>
      </c>
      <c r="W61" s="200" t="e">
        <f aca="false">IF($A62="","",(T61+R61+G61+V61))</f>
        <v>#N/A</v>
      </c>
      <c r="X61" s="200" t="e">
        <f aca="false">IF($A62="","",(U61+S61+H61+V61))</f>
        <v>#N/A</v>
      </c>
      <c r="Y61" s="202"/>
      <c r="Z61" s="185" t="e">
        <f aca="false">IF($A62="","",VLOOKUP($A61,Table,MATCH(Z$4,Curves,0)))</f>
        <v>#N/A</v>
      </c>
      <c r="AA61" s="185" t="e">
        <f aca="false">IF($A62="","",VLOOKUP($A61,Table,MATCH(AA$4,Curves,0)))</f>
        <v>#N/A</v>
      </c>
      <c r="AB61" s="185" t="e">
        <f aca="false">SQRT((AA61^2*(A61-$D$3)+Z61^2*(DAY(EOMONTH(A61,0))/2))/AK61)</f>
        <v>#N/A</v>
      </c>
      <c r="AC61" s="185" t="e">
        <f aca="false">IF($A62="","",VLOOKUP($A61,Table,MATCH(AC$4,Curves,0)))</f>
        <v>#N/A</v>
      </c>
      <c r="AD61" s="185" t="e">
        <f aca="false">IF($A62="","",VLOOKUP($A61,Table,MATCH(AD$4,Curves,0)))</f>
        <v>#N/A</v>
      </c>
      <c r="AE61" s="185" t="e">
        <f aca="false">SQRT((AD61^2*(A61-$D$3)+AC61^2*(DAY(EOMONTH(A61,0))/2))/AK61)</f>
        <v>#N/A</v>
      </c>
      <c r="AF61" s="224" t="e">
        <f aca="false">((Summary!$N$10*(AA61*AD61)*(A61-$D$3))+(Summary!$M$10*Z61*AC61*(AJ61-EOMONTH(EDATE(A61,-1),0))))/(AK61*AB61*AE61)</f>
        <v>#N/A</v>
      </c>
      <c r="AG61" s="207" t="n">
        <f aca="false">IF($A62="","",Summary!$Q$10)</f>
        <v>0</v>
      </c>
      <c r="AH61" s="207" t="n">
        <f aca="false">IF($A62="","",IF(Summary!$R$10="Y",(VLOOKUP($A61,Summary!$AD$6:$AF$9,3)+'Escalating commodity'!F74),'Escalating commodity'!F74))</f>
        <v>0.013184</v>
      </c>
      <c r="AI61" s="207" t="n">
        <f aca="false">IF($A62="","",AH61)</f>
        <v>0.013184</v>
      </c>
      <c r="AJ61" s="208" t="n">
        <f aca="false">A61+DAY(EOMONTH(A61,0))/2-1</f>
        <v>38610</v>
      </c>
      <c r="AK61" s="209" t="n">
        <f aca="false">IF($A62="","",$A61-$E$1)</f>
        <v>-7330</v>
      </c>
      <c r="AL61" s="182" t="e">
        <f aca="false">IF($A62="","",SPRDOPT(P61,X61,AI61,0,AB61,AE61,AF61,AK61,$AJ$2,0))</f>
        <v>#NAME?</v>
      </c>
      <c r="AM61" s="211" t="e">
        <f aca="false">IF($A62="","",MAX(0,O61-W61-AI61))</f>
        <v>#N/A</v>
      </c>
      <c r="AN61" s="211" t="e">
        <f aca="false">IF($A62="","",AL61-AM61)</f>
        <v>#N/A</v>
      </c>
      <c r="AO61" s="137" t="n">
        <f aca="false">IF(A62="","",A62-A61)</f>
        <v>30</v>
      </c>
      <c r="AP61" s="212" t="n">
        <f aca="false">IF(A62="","",CHOOSE(F$3,A62+24,A61))</f>
        <v>38596</v>
      </c>
      <c r="AQ61" s="209" t="n">
        <f aca="false">IF(A62="","",AP61-$E$1)</f>
        <v>-7330</v>
      </c>
      <c r="AR61" s="185" t="n">
        <f aca="false">'ANR OK vs ML7'!AR61</f>
        <v>0.1</v>
      </c>
      <c r="AS61" s="213" t="n">
        <f aca="false">IF(A62="","",1/(1+CHOOSE(F$3,(AR62+($I$3/10000))/2,(AR61+($I$3/10000))/2))^(2*AQ61/365.25))</f>
        <v>7.08716623758362</v>
      </c>
      <c r="AT61" s="137" t="n">
        <f aca="false">IF(A62="","",IF(AND(mthbeg&lt;=A61,mthend&gt;=A61),1,0))</f>
        <v>1</v>
      </c>
      <c r="AU61" s="137" t="n">
        <f aca="false">IF(A62="","",AO61*AT61)</f>
        <v>30</v>
      </c>
      <c r="AW61" s="195" t="e">
        <f aca="false">IF($A62="","",AL61*$E61)</f>
        <v>#NAME?</v>
      </c>
      <c r="AX61" s="195" t="e">
        <f aca="false">IF($A62="","",AM61*$E61)</f>
        <v>#N/A</v>
      </c>
      <c r="AY61" s="195" t="e">
        <f aca="false">IF($A62="","",AN61*$E61)</f>
        <v>#N/A</v>
      </c>
      <c r="BA61" s="195" t="n">
        <f aca="false">IF($A62="","",F61*Summary!$Q$10)</f>
        <v>0</v>
      </c>
      <c r="BC61" s="179" t="e">
        <f aca="false">IF(A62="","",AM61*F61)</f>
        <v>#N/A</v>
      </c>
    </row>
    <row r="62" customFormat="false" ht="12.75" hidden="false" customHeight="false" outlineLevel="0" collapsed="false">
      <c r="A62" s="196" t="n">
        <f aca="false">IF(A61&lt;mthend,EDATE(A61,1),"")</f>
        <v>38626</v>
      </c>
      <c r="B62" s="197" t="n">
        <f aca="false">IF(A62&lt;mthend,B61,"")</f>
        <v>119740</v>
      </c>
      <c r="C62" s="215"/>
      <c r="D62" s="197" t="n">
        <f aca="false">IF(A63&lt;&gt;"",B62+C62,"")</f>
        <v>119740</v>
      </c>
      <c r="E62" s="199" t="n">
        <f aca="false">IF(A63="","",IF(AND(AT62=1,$H$3=1),D62*AO62,IF($H$3=2,D62,"N/A")))</f>
        <v>3711940</v>
      </c>
      <c r="F62" s="199" t="n">
        <f aca="false">IF(A63="","",E62*AS62)</f>
        <v>26097131.8081957</v>
      </c>
      <c r="G62" s="200" t="e">
        <f aca="false">IF($A63="","",VLOOKUP($A62,Table,MATCH(G$4,Curves,0)))</f>
        <v>#N/A</v>
      </c>
      <c r="H62" s="201" t="e">
        <f aca="false">IF(A63="","",G62)</f>
        <v>#N/A</v>
      </c>
      <c r="I62" s="202"/>
      <c r="J62" s="200" t="e">
        <f aca="false">IF($A63="","",VLOOKUP($A62,Table,MATCH(J$4,Curves,0)))</f>
        <v>#N/A</v>
      </c>
      <c r="K62" s="201" t="e">
        <f aca="false">IF(A63="","",J62)</f>
        <v>#N/A</v>
      </c>
      <c r="L62" s="185" t="n">
        <v>0</v>
      </c>
      <c r="M62" s="201" t="n">
        <f aca="false">IF(A63="","",L62)</f>
        <v>0</v>
      </c>
      <c r="N62" s="203"/>
      <c r="O62" s="200" t="e">
        <f aca="false">IF(A63="","",L62+J62+G62)</f>
        <v>#N/A</v>
      </c>
      <c r="P62" s="200" t="e">
        <f aca="false">IF(A63="","",M62+K62+H62)</f>
        <v>#N/A</v>
      </c>
      <c r="Q62" s="204"/>
      <c r="R62" s="200" t="e">
        <f aca="false">IF($A63="","",VLOOKUP($A62,Table,MATCH(R$4,Curves,0)))</f>
        <v>#N/A</v>
      </c>
      <c r="S62" s="201" t="e">
        <f aca="false">IF(A63="","",R62)</f>
        <v>#N/A</v>
      </c>
      <c r="T62" s="200" t="e">
        <f aca="false">IF($A63="","",VLOOKUP($A62,Table,MATCH(T$4,Curves,0)))</f>
        <v>#N/A</v>
      </c>
      <c r="U62" s="201" t="e">
        <f aca="false">IF(A63="","",T62)</f>
        <v>#N/A</v>
      </c>
      <c r="V62" s="205" t="e">
        <f aca="false">IF($A63="","",IF(AND(MONTH(A62)&gt;3,MONTH(A62)&lt;11),(T62+R62+G62)*Summary!$T$10/(1-Summary!$T$10),(T62+R62+G62)*Summary!$U$10/(1-Summary!$U$10)))</f>
        <v>#N/A</v>
      </c>
      <c r="W62" s="200" t="e">
        <f aca="false">IF($A63="","",(T62+R62+G62+V62))</f>
        <v>#N/A</v>
      </c>
      <c r="X62" s="200" t="e">
        <f aca="false">IF($A63="","",(U62+S62+H62+V62))</f>
        <v>#N/A</v>
      </c>
      <c r="Y62" s="202"/>
      <c r="Z62" s="185" t="e">
        <f aca="false">IF($A63="","",VLOOKUP($A62,Table,MATCH(Z$4,Curves,0)))</f>
        <v>#N/A</v>
      </c>
      <c r="AA62" s="185" t="e">
        <f aca="false">IF($A63="","",VLOOKUP($A62,Table,MATCH(AA$4,Curves,0)))</f>
        <v>#N/A</v>
      </c>
      <c r="AB62" s="185" t="e">
        <f aca="false">SQRT((AA62^2*(A62-$D$3)+Z62^2*(DAY(EOMONTH(A62,0))/2))/AK62)</f>
        <v>#N/A</v>
      </c>
      <c r="AC62" s="185" t="e">
        <f aca="false">IF($A63="","",VLOOKUP($A62,Table,MATCH(AC$4,Curves,0)))</f>
        <v>#N/A</v>
      </c>
      <c r="AD62" s="185" t="e">
        <f aca="false">IF($A63="","",VLOOKUP($A62,Table,MATCH(AD$4,Curves,0)))</f>
        <v>#N/A</v>
      </c>
      <c r="AE62" s="185" t="e">
        <f aca="false">SQRT((AD62^2*(A62-$D$3)+AC62^2*(DAY(EOMONTH(A62,0))/2))/AK62)</f>
        <v>#N/A</v>
      </c>
      <c r="AF62" s="224" t="e">
        <f aca="false">((Summary!$N$10*(AA62*AD62)*(A62-$D$3))+(Summary!$M$10*Z62*AC62*(AJ62-EOMONTH(EDATE(A62,-1),0))))/(AK62*AB62*AE62)</f>
        <v>#N/A</v>
      </c>
      <c r="AG62" s="207" t="n">
        <f aca="false">IF($A63="","",Summary!$Q$10)</f>
        <v>0</v>
      </c>
      <c r="AH62" s="207" t="n">
        <f aca="false">IF($A63="","",IF(Summary!$R$10="Y",(VLOOKUP($A62,Summary!$AD$6:$AF$9,3)+'Escalating commodity'!F75),'Escalating commodity'!F75))</f>
        <v>0.013184</v>
      </c>
      <c r="AI62" s="207" t="n">
        <f aca="false">IF($A63="","",AH62)</f>
        <v>0.013184</v>
      </c>
      <c r="AJ62" s="208" t="n">
        <f aca="false">A62+DAY(EOMONTH(A62,0))/2-1</f>
        <v>38640.5</v>
      </c>
      <c r="AK62" s="209" t="n">
        <f aca="false">IF($A63="","",$A62-$E$1)</f>
        <v>-7300</v>
      </c>
      <c r="AL62" s="182" t="e">
        <f aca="false">IF($A63="","",SPRDOPT(P62,X62,AI62,0,AB62,AE62,AF62,AK62,$AJ$2,0))</f>
        <v>#NAME?</v>
      </c>
      <c r="AM62" s="211" t="e">
        <f aca="false">IF($A63="","",MAX(0,O62-W62-AI62))</f>
        <v>#N/A</v>
      </c>
      <c r="AN62" s="211" t="e">
        <f aca="false">IF($A63="","",AL62-AM62)</f>
        <v>#N/A</v>
      </c>
      <c r="AO62" s="137" t="n">
        <f aca="false">IF(A63="","",A63-A62)</f>
        <v>31</v>
      </c>
      <c r="AP62" s="212" t="n">
        <f aca="false">IF(A63="","",CHOOSE(F$3,A63+24,A62))</f>
        <v>38626</v>
      </c>
      <c r="AQ62" s="209" t="n">
        <f aca="false">IF(A63="","",AP62-$E$1)</f>
        <v>-7300</v>
      </c>
      <c r="AR62" s="185" t="n">
        <f aca="false">'ANR OK vs ML7'!AR62</f>
        <v>0.1</v>
      </c>
      <c r="AS62" s="213" t="n">
        <f aca="false">IF(A63="","",1/(1+CHOOSE(F$3,(AR63+($I$3/10000))/2,(AR62+($I$3/10000))/2))^(2*AQ62/365.25))</f>
        <v>7.03059096003592</v>
      </c>
      <c r="AT62" s="137" t="n">
        <f aca="false">IF(A63="","",IF(AND(mthbeg&lt;=A62,mthend&gt;=A62),1,0))</f>
        <v>1</v>
      </c>
      <c r="AU62" s="137" t="n">
        <f aca="false">IF(A63="","",AO62*AT62)</f>
        <v>31</v>
      </c>
      <c r="AW62" s="195" t="e">
        <f aca="false">IF($A63="","",AL62*$E62)</f>
        <v>#NAME?</v>
      </c>
      <c r="AX62" s="195" t="e">
        <f aca="false">IF($A63="","",AM62*$E62)</f>
        <v>#N/A</v>
      </c>
      <c r="AY62" s="195" t="e">
        <f aca="false">IF($A63="","",AN62*$E62)</f>
        <v>#N/A</v>
      </c>
      <c r="BA62" s="195" t="n">
        <f aca="false">IF($A63="","",F62*Summary!$Q$10)</f>
        <v>0</v>
      </c>
      <c r="BC62" s="179" t="e">
        <f aca="false">IF(A63="","",AM62*F62)</f>
        <v>#N/A</v>
      </c>
    </row>
    <row r="63" customFormat="false" ht="12.75" hidden="false" customHeight="false" outlineLevel="0" collapsed="false">
      <c r="A63" s="196" t="n">
        <f aca="false">IF(A62&lt;mthend,EDATE(A62,1),"")</f>
        <v>38657</v>
      </c>
      <c r="B63" s="197" t="n">
        <f aca="false">IF(A63&lt;mthend,B62,"")</f>
        <v>119740</v>
      </c>
      <c r="C63" s="215"/>
      <c r="D63" s="197" t="n">
        <f aca="false">IF(A64&lt;&gt;"",B63+C63,"")</f>
        <v>119740</v>
      </c>
      <c r="E63" s="199" t="n">
        <f aca="false">IF(A64="","",IF(AND(AT63=1,$H$3=1),D63*AO63,IF($H$3=2,D63,"N/A")))</f>
        <v>3592200</v>
      </c>
      <c r="F63" s="199" t="n">
        <f aca="false">IF(A64="","",E63*AS63)</f>
        <v>25046989.0153773</v>
      </c>
      <c r="G63" s="200" t="e">
        <f aca="false">IF($A64="","",VLOOKUP($A63,Table,MATCH(G$4,Curves,0)))</f>
        <v>#N/A</v>
      </c>
      <c r="H63" s="201" t="e">
        <f aca="false">IF(A64="","",G63)</f>
        <v>#N/A</v>
      </c>
      <c r="I63" s="202"/>
      <c r="J63" s="200" t="e">
        <f aca="false">IF($A64="","",VLOOKUP($A63,Table,MATCH(J$4,Curves,0)))</f>
        <v>#N/A</v>
      </c>
      <c r="K63" s="201" t="e">
        <f aca="false">IF(A64="","",J63)</f>
        <v>#N/A</v>
      </c>
      <c r="L63" s="185" t="n">
        <v>0</v>
      </c>
      <c r="M63" s="201" t="n">
        <f aca="false">IF(A64="","",L63)</f>
        <v>0</v>
      </c>
      <c r="N63" s="203"/>
      <c r="O63" s="200" t="e">
        <f aca="false">IF(A64="","",L63+J63+G63)</f>
        <v>#N/A</v>
      </c>
      <c r="P63" s="200" t="e">
        <f aca="false">IF(A64="","",M63+K63+H63)</f>
        <v>#N/A</v>
      </c>
      <c r="Q63" s="204"/>
      <c r="R63" s="200" t="e">
        <f aca="false">IF($A64="","",VLOOKUP($A63,Table,MATCH(R$4,Curves,0)))</f>
        <v>#N/A</v>
      </c>
      <c r="S63" s="201" t="e">
        <f aca="false">IF(A64="","",R63)</f>
        <v>#N/A</v>
      </c>
      <c r="T63" s="200" t="e">
        <f aca="false">IF($A64="","",VLOOKUP($A63,Table,MATCH(T$4,Curves,0)))</f>
        <v>#N/A</v>
      </c>
      <c r="U63" s="201" t="e">
        <f aca="false">IF(A64="","",T63)</f>
        <v>#N/A</v>
      </c>
      <c r="V63" s="205" t="e">
        <f aca="false">IF($A64="","",IF(AND(MONTH(A63)&gt;3,MONTH(A63)&lt;11),(T63+R63+G63)*Summary!$T$10/(1-Summary!$T$10),(T63+R63+G63)*Summary!$U$10/(1-Summary!$U$10)))</f>
        <v>#N/A</v>
      </c>
      <c r="W63" s="200" t="e">
        <f aca="false">IF($A64="","",(T63+R63+G63+V63))</f>
        <v>#N/A</v>
      </c>
      <c r="X63" s="200" t="e">
        <f aca="false">IF($A64="","",(U63+S63+H63+V63))</f>
        <v>#N/A</v>
      </c>
      <c r="Y63" s="202"/>
      <c r="Z63" s="185" t="e">
        <f aca="false">IF($A64="","",VLOOKUP($A63,Table,MATCH(Z$4,Curves,0)))</f>
        <v>#N/A</v>
      </c>
      <c r="AA63" s="185" t="e">
        <f aca="false">IF($A64="","",VLOOKUP($A63,Table,MATCH(AA$4,Curves,0)))</f>
        <v>#N/A</v>
      </c>
      <c r="AB63" s="185" t="e">
        <f aca="false">SQRT((AA63^2*(A63-$D$3)+Z63^2*(DAY(EOMONTH(A63,0))/2))/AK63)</f>
        <v>#N/A</v>
      </c>
      <c r="AC63" s="185" t="e">
        <f aca="false">IF($A64="","",VLOOKUP($A63,Table,MATCH(AC$4,Curves,0)))</f>
        <v>#N/A</v>
      </c>
      <c r="AD63" s="185" t="e">
        <f aca="false">IF($A64="","",VLOOKUP($A63,Table,MATCH(AD$4,Curves,0)))</f>
        <v>#N/A</v>
      </c>
      <c r="AE63" s="185" t="e">
        <f aca="false">SQRT((AD63^2*(A63-$D$3)+AC63^2*(DAY(EOMONTH(A63,0))/2))/AK63)</f>
        <v>#N/A</v>
      </c>
      <c r="AF63" s="224" t="e">
        <f aca="false">((Summary!$N$10*(AA63*AD63)*(A63-$D$3))+(Summary!$M$10*Z63*AC63*(AJ63-EOMONTH(EDATE(A63,-1),0))))/(AK63*AB63*AE63)</f>
        <v>#N/A</v>
      </c>
      <c r="AG63" s="207" t="n">
        <f aca="false">IF($A64="","",Summary!$Q$10)</f>
        <v>0</v>
      </c>
      <c r="AH63" s="207" t="n">
        <f aca="false">IF($A64="","",IF(Summary!$R$10="Y",(VLOOKUP($A63,Summary!$AD$6:$AF$9,3)+'Escalating commodity'!F76),'Escalating commodity'!F76))</f>
        <v>0.013184</v>
      </c>
      <c r="AI63" s="207" t="n">
        <f aca="false">IF($A64="","",AH63)</f>
        <v>0.013184</v>
      </c>
      <c r="AJ63" s="208" t="n">
        <f aca="false">A63+DAY(EOMONTH(A63,0))/2-1</f>
        <v>38671</v>
      </c>
      <c r="AK63" s="209" t="n">
        <f aca="false">IF($A64="","",$A63-$E$1)</f>
        <v>-7269</v>
      </c>
      <c r="AL63" s="182" t="e">
        <f aca="false">IF($A64="","",SPRDOPT(P63,X63,AI63,0,AB63,AE63,AF63,AK63,$AJ$2,0))</f>
        <v>#NAME?</v>
      </c>
      <c r="AM63" s="211" t="e">
        <f aca="false">IF($A64="","",MAX(0,O63-W63-AI63))</f>
        <v>#N/A</v>
      </c>
      <c r="AN63" s="211" t="e">
        <f aca="false">IF($A64="","",AL63-AM63)</f>
        <v>#N/A</v>
      </c>
      <c r="AO63" s="137" t="n">
        <f aca="false">IF(A64="","",A64-A63)</f>
        <v>30</v>
      </c>
      <c r="AP63" s="212" t="n">
        <f aca="false">IF(A64="","",CHOOSE(F$3,A64+24,A63))</f>
        <v>38657</v>
      </c>
      <c r="AQ63" s="209" t="n">
        <f aca="false">IF(A64="","",AP63-$E$1)</f>
        <v>-7269</v>
      </c>
      <c r="AR63" s="185" t="n">
        <f aca="false">'ANR OK vs ML7'!AR63</f>
        <v>0.1</v>
      </c>
      <c r="AS63" s="213" t="n">
        <f aca="false">IF(A64="","",1/(1+CHOOSE(F$3,(AR64+($I$3/10000))/2,(AR63+($I$3/10000))/2))^(2*AQ63/365.25))</f>
        <v>6.97260425794147</v>
      </c>
      <c r="AT63" s="137" t="n">
        <f aca="false">IF(A64="","",IF(AND(mthbeg&lt;=A63,mthend&gt;=A63),1,0))</f>
        <v>1</v>
      </c>
      <c r="AU63" s="137" t="n">
        <f aca="false">IF(A64="","",AO63*AT63)</f>
        <v>30</v>
      </c>
      <c r="AW63" s="195" t="e">
        <f aca="false">IF($A64="","",AL63*$E63)</f>
        <v>#NAME?</v>
      </c>
      <c r="AX63" s="195" t="e">
        <f aca="false">IF($A64="","",AM63*$E63)</f>
        <v>#N/A</v>
      </c>
      <c r="AY63" s="195" t="e">
        <f aca="false">IF($A64="","",AN63*$E63)</f>
        <v>#N/A</v>
      </c>
      <c r="BA63" s="195" t="n">
        <f aca="false">IF($A64="","",F63*Summary!$Q$10)</f>
        <v>0</v>
      </c>
      <c r="BC63" s="179" t="e">
        <f aca="false">IF(A64="","",AM63*F63)</f>
        <v>#N/A</v>
      </c>
    </row>
    <row r="64" customFormat="false" ht="12.75" hidden="false" customHeight="false" outlineLevel="0" collapsed="false">
      <c r="A64" s="196" t="n">
        <f aca="false">IF(A63&lt;mthend,EDATE(A63,1),"")</f>
        <v>38687</v>
      </c>
      <c r="B64" s="197" t="n">
        <f aca="false">IF(A64&lt;mthend,B63,"")</f>
        <v>119740</v>
      </c>
      <c r="C64" s="215"/>
      <c r="D64" s="197" t="n">
        <f aca="false">IF(A65&lt;&gt;"",B64+C64,"")</f>
        <v>119740</v>
      </c>
      <c r="E64" s="199" t="n">
        <f aca="false">IF(A65="","",IF(AND(AT64=1,$H$3=1),D64*AO64,IF($H$3=2,D64,"N/A")))</f>
        <v>3711940</v>
      </c>
      <c r="F64" s="199" t="n">
        <f aca="false">IF(A65="","",E64*AS64)</f>
        <v>25675279.2676028</v>
      </c>
      <c r="G64" s="200" t="e">
        <f aca="false">IF($A65="","",VLOOKUP($A64,Table,MATCH(G$4,Curves,0)))</f>
        <v>#N/A</v>
      </c>
      <c r="H64" s="201" t="e">
        <f aca="false">IF(A65="","",G64)</f>
        <v>#N/A</v>
      </c>
      <c r="I64" s="202"/>
      <c r="J64" s="200" t="e">
        <f aca="false">IF($A65="","",VLOOKUP($A64,Table,MATCH(J$4,Curves,0)))</f>
        <v>#N/A</v>
      </c>
      <c r="K64" s="201" t="e">
        <f aca="false">IF(A65="","",J64)</f>
        <v>#N/A</v>
      </c>
      <c r="L64" s="185" t="n">
        <v>0</v>
      </c>
      <c r="M64" s="201" t="n">
        <f aca="false">IF(A65="","",L64)</f>
        <v>0</v>
      </c>
      <c r="N64" s="203"/>
      <c r="O64" s="200" t="e">
        <f aca="false">IF(A65="","",L64+J64+G64)</f>
        <v>#N/A</v>
      </c>
      <c r="P64" s="200" t="e">
        <f aca="false">IF(A65="","",M64+K64+H64)</f>
        <v>#N/A</v>
      </c>
      <c r="Q64" s="204"/>
      <c r="R64" s="200" t="e">
        <f aca="false">IF($A65="","",VLOOKUP($A64,Table,MATCH(R$4,Curves,0)))</f>
        <v>#N/A</v>
      </c>
      <c r="S64" s="201" t="e">
        <f aca="false">IF(A65="","",R64)</f>
        <v>#N/A</v>
      </c>
      <c r="T64" s="200" t="e">
        <f aca="false">IF($A65="","",VLOOKUP($A64,Table,MATCH(T$4,Curves,0)))</f>
        <v>#N/A</v>
      </c>
      <c r="U64" s="201" t="e">
        <f aca="false">IF(A65="","",T64)</f>
        <v>#N/A</v>
      </c>
      <c r="V64" s="205" t="e">
        <f aca="false">IF($A65="","",IF(AND(MONTH(A64)&gt;3,MONTH(A64)&lt;11),(T64+R64+G64)*Summary!$T$10/(1-Summary!$T$10),(T64+R64+G64)*Summary!$U$10/(1-Summary!$U$10)))</f>
        <v>#N/A</v>
      </c>
      <c r="W64" s="200" t="e">
        <f aca="false">IF($A65="","",(T64+R64+G64+V64))</f>
        <v>#N/A</v>
      </c>
      <c r="X64" s="200" t="e">
        <f aca="false">IF($A65="","",(U64+S64+H64+V64))</f>
        <v>#N/A</v>
      </c>
      <c r="Y64" s="202"/>
      <c r="Z64" s="185" t="e">
        <f aca="false">IF($A65="","",VLOOKUP($A64,Table,MATCH(Z$4,Curves,0)))</f>
        <v>#N/A</v>
      </c>
      <c r="AA64" s="185" t="e">
        <f aca="false">IF($A65="","",VLOOKUP($A64,Table,MATCH(AA$4,Curves,0)))</f>
        <v>#N/A</v>
      </c>
      <c r="AB64" s="185" t="e">
        <f aca="false">SQRT((AA64^2*(A64-$D$3)+Z64^2*(DAY(EOMONTH(A64,0))/2))/AK64)</f>
        <v>#N/A</v>
      </c>
      <c r="AC64" s="185" t="e">
        <f aca="false">IF($A65="","",VLOOKUP($A64,Table,MATCH(AC$4,Curves,0)))</f>
        <v>#N/A</v>
      </c>
      <c r="AD64" s="185" t="e">
        <f aca="false">IF($A65="","",VLOOKUP($A64,Table,MATCH(AD$4,Curves,0)))</f>
        <v>#N/A</v>
      </c>
      <c r="AE64" s="185" t="e">
        <f aca="false">SQRT((AD64^2*(A64-$D$3)+AC64^2*(DAY(EOMONTH(A64,0))/2))/AK64)</f>
        <v>#N/A</v>
      </c>
      <c r="AF64" s="224" t="e">
        <f aca="false">((Summary!$N$10*(AA64*AD64)*(A64-$D$3))+(Summary!$M$10*Z64*AC64*(AJ64-EOMONTH(EDATE(A64,-1),0))))/(AK64*AB64*AE64)</f>
        <v>#N/A</v>
      </c>
      <c r="AG64" s="207" t="n">
        <f aca="false">IF($A65="","",Summary!$Q$10)</f>
        <v>0</v>
      </c>
      <c r="AH64" s="207" t="n">
        <f aca="false">IF($A65="","",IF(Summary!$R$10="Y",(VLOOKUP($A64,Summary!$AD$6:$AF$9,3)+'Escalating commodity'!F77),'Escalating commodity'!F77))</f>
        <v>0.013184</v>
      </c>
      <c r="AI64" s="207" t="n">
        <f aca="false">IF($A65="","",AH64)</f>
        <v>0.013184</v>
      </c>
      <c r="AJ64" s="208" t="n">
        <f aca="false">A64+DAY(EOMONTH(A64,0))/2-1</f>
        <v>38701.5</v>
      </c>
      <c r="AK64" s="209" t="n">
        <f aca="false">IF($A65="","",$A64-$E$1)</f>
        <v>-7239</v>
      </c>
      <c r="AL64" s="182" t="e">
        <f aca="false">IF($A65="","",SPRDOPT(P64,X64,AI64,0,AB64,AE64,AF64,AK64,$AJ$2,0))</f>
        <v>#NAME?</v>
      </c>
      <c r="AM64" s="211" t="e">
        <f aca="false">IF($A65="","",MAX(0,O64-W64-AI64))</f>
        <v>#N/A</v>
      </c>
      <c r="AN64" s="211" t="e">
        <f aca="false">IF($A65="","",AL64-AM64)</f>
        <v>#N/A</v>
      </c>
      <c r="AO64" s="137" t="n">
        <f aca="false">IF(A65="","",A65-A64)</f>
        <v>31</v>
      </c>
      <c r="AP64" s="212" t="n">
        <f aca="false">IF(A65="","",CHOOSE(F$3,A65+24,A64))</f>
        <v>38687</v>
      </c>
      <c r="AQ64" s="209" t="n">
        <f aca="false">IF(A65="","",AP64-$E$1)</f>
        <v>-7239</v>
      </c>
      <c r="AR64" s="185" t="n">
        <f aca="false">'ANR OK vs ML7'!AR64</f>
        <v>0.1</v>
      </c>
      <c r="AS64" s="213" t="n">
        <f aca="false">IF(A65="","",1/(1+CHOOSE(F$3,(AR65+($I$3/10000))/2,(AR64+($I$3/10000))/2))^(2*AQ64/365.25))</f>
        <v>6.91694350329014</v>
      </c>
      <c r="AT64" s="137" t="n">
        <f aca="false">IF(A65="","",IF(AND(mthbeg&lt;=A64,mthend&gt;=A64),1,0))</f>
        <v>1</v>
      </c>
      <c r="AU64" s="137" t="n">
        <f aca="false">IF(A65="","",AO64*AT64)</f>
        <v>31</v>
      </c>
      <c r="AW64" s="195" t="e">
        <f aca="false">IF($A65="","",AL64*$E64)</f>
        <v>#NAME?</v>
      </c>
      <c r="AX64" s="195" t="e">
        <f aca="false">IF($A65="","",AM64*$E64)</f>
        <v>#N/A</v>
      </c>
      <c r="AY64" s="195" t="e">
        <f aca="false">IF($A65="","",AN64*$E64)</f>
        <v>#N/A</v>
      </c>
      <c r="BA64" s="195" t="n">
        <f aca="false">IF($A65="","",F64*Summary!$Q$10)</f>
        <v>0</v>
      </c>
      <c r="BC64" s="179" t="e">
        <f aca="false">IF(A65="","",AM64*F64)</f>
        <v>#N/A</v>
      </c>
    </row>
    <row r="65" customFormat="false" ht="12.75" hidden="false" customHeight="false" outlineLevel="0" collapsed="false">
      <c r="A65" s="196" t="n">
        <f aca="false">IF(A64&lt;mthend,EDATE(A64,1),"")</f>
        <v>38718</v>
      </c>
      <c r="B65" s="197" t="n">
        <f aca="false">IF(A65&lt;mthend,B64,"")</f>
        <v>119740</v>
      </c>
      <c r="C65" s="215"/>
      <c r="D65" s="197" t="n">
        <f aca="false">IF(A66&lt;&gt;"",B65+C65,"")</f>
        <v>119740</v>
      </c>
      <c r="E65" s="199" t="n">
        <f aca="false">IF(A66="","",IF(AND(AT65=1,$H$3=1),D65*AO65,IF($H$3=2,D65,"N/A")))</f>
        <v>3711940</v>
      </c>
      <c r="F65" s="199" t="n">
        <f aca="false">IF(A66="","",E65*AS65)</f>
        <v>25463515.4516526</v>
      </c>
      <c r="G65" s="200" t="e">
        <f aca="false">IF($A66="","",VLOOKUP($A65,Table,MATCH(G$4,Curves,0)))</f>
        <v>#N/A</v>
      </c>
      <c r="H65" s="201" t="e">
        <f aca="false">IF(A66="","",G65)</f>
        <v>#N/A</v>
      </c>
      <c r="I65" s="202"/>
      <c r="J65" s="200" t="e">
        <f aca="false">IF($A66="","",VLOOKUP($A65,Table,MATCH(J$4,Curves,0)))</f>
        <v>#N/A</v>
      </c>
      <c r="K65" s="201" t="e">
        <f aca="false">IF(A66="","",J65)</f>
        <v>#N/A</v>
      </c>
      <c r="L65" s="185" t="n">
        <v>0</v>
      </c>
      <c r="M65" s="201" t="n">
        <f aca="false">IF(A66="","",L65)</f>
        <v>0</v>
      </c>
      <c r="N65" s="203"/>
      <c r="O65" s="200" t="e">
        <f aca="false">IF(A66="","",L65+J65+G65)</f>
        <v>#N/A</v>
      </c>
      <c r="P65" s="200" t="e">
        <f aca="false">IF(A66="","",M65+K65+H65)</f>
        <v>#N/A</v>
      </c>
      <c r="Q65" s="204"/>
      <c r="R65" s="200" t="e">
        <f aca="false">IF($A66="","",VLOOKUP($A65,Table,MATCH(R$4,Curves,0)))</f>
        <v>#N/A</v>
      </c>
      <c r="S65" s="201" t="e">
        <f aca="false">IF(A66="","",R65)</f>
        <v>#N/A</v>
      </c>
      <c r="T65" s="200" t="e">
        <f aca="false">IF($A66="","",VLOOKUP($A65,Table,MATCH(T$4,Curves,0)))</f>
        <v>#N/A</v>
      </c>
      <c r="U65" s="201" t="e">
        <f aca="false">IF(A66="","",T65)</f>
        <v>#N/A</v>
      </c>
      <c r="V65" s="205" t="e">
        <f aca="false">IF($A66="","",IF(AND(MONTH(A65)&gt;3,MONTH(A65)&lt;11),(T65+R65+G65)*Summary!$T$10/(1-Summary!$T$10),(T65+R65+G65)*Summary!$U$10/(1-Summary!$U$10)))</f>
        <v>#N/A</v>
      </c>
      <c r="W65" s="200" t="e">
        <f aca="false">IF($A66="","",(T65+R65+G65+V65))</f>
        <v>#N/A</v>
      </c>
      <c r="X65" s="200" t="e">
        <f aca="false">IF($A66="","",(U65+S65+H65+V65))</f>
        <v>#N/A</v>
      </c>
      <c r="Y65" s="202"/>
      <c r="Z65" s="185" t="e">
        <f aca="false">IF($A66="","",VLOOKUP($A65,Table,MATCH(Z$4,Curves,0)))</f>
        <v>#N/A</v>
      </c>
      <c r="AA65" s="185" t="e">
        <f aca="false">IF($A66="","",VLOOKUP($A65,Table,MATCH(AA$4,Curves,0)))</f>
        <v>#N/A</v>
      </c>
      <c r="AB65" s="185" t="e">
        <f aca="false">SQRT((AA65^2*(A65-$D$3)+Z65^2*(DAY(EOMONTH(A65,0))/2))/AK65)</f>
        <v>#N/A</v>
      </c>
      <c r="AC65" s="185" t="e">
        <f aca="false">IF($A66="","",VLOOKUP($A65,Table,MATCH(AC$4,Curves,0)))</f>
        <v>#N/A</v>
      </c>
      <c r="AD65" s="185" t="e">
        <f aca="false">IF($A66="","",VLOOKUP($A65,Table,MATCH(AD$4,Curves,0)))</f>
        <v>#N/A</v>
      </c>
      <c r="AE65" s="185" t="e">
        <f aca="false">SQRT((AD65^2*(A65-$D$3)+AC65^2*(DAY(EOMONTH(A65,0))/2))/AK65)</f>
        <v>#N/A</v>
      </c>
      <c r="AF65" s="224" t="e">
        <f aca="false">((Summary!$N$10*(AA65*AD65)*(A65-$D$3))+(Summary!$M$10*Z65*AC65*(AJ65-EOMONTH(EDATE(A65,-1),0))))/(AK65*AB65*AE65)</f>
        <v>#N/A</v>
      </c>
      <c r="AG65" s="207" t="n">
        <f aca="false">IF($A66="","",Summary!$Q$10)</f>
        <v>0</v>
      </c>
      <c r="AH65" s="207" t="n">
        <f aca="false">IF($A66="","",IF(Summary!$R$10="Y",(VLOOKUP($A65,Summary!$AD$6:$AF$9,3)+'Escalating commodity'!F78),'Escalating commodity'!F78))</f>
        <v>0.0158208</v>
      </c>
      <c r="AI65" s="207" t="n">
        <f aca="false">IF($A66="","",AH65)</f>
        <v>0.0158208</v>
      </c>
      <c r="AJ65" s="208" t="n">
        <f aca="false">A65+DAY(EOMONTH(A65,0))/2-1</f>
        <v>38732.5</v>
      </c>
      <c r="AK65" s="209" t="n">
        <f aca="false">IF($A66="","",$A65-$E$1)</f>
        <v>-7208</v>
      </c>
      <c r="AL65" s="182" t="e">
        <f aca="false">IF($A66="","",SPRDOPT(P65,X65,AI65,0,AB65,AE65,AF65,AK65,$AJ$2,0))</f>
        <v>#NAME?</v>
      </c>
      <c r="AM65" s="211" t="e">
        <f aca="false">IF($A66="","",MAX(0,O65-W65-AI65))</f>
        <v>#N/A</v>
      </c>
      <c r="AN65" s="211" t="e">
        <f aca="false">IF($A66="","",AL65-AM65)</f>
        <v>#N/A</v>
      </c>
      <c r="AO65" s="137" t="n">
        <f aca="false">IF(A66="","",A66-A65)</f>
        <v>31</v>
      </c>
      <c r="AP65" s="212" t="n">
        <f aca="false">IF(A66="","",CHOOSE(F$3,A66+24,A65))</f>
        <v>38718</v>
      </c>
      <c r="AQ65" s="209" t="n">
        <f aca="false">IF(A66="","",AP65-$E$1)</f>
        <v>-7208</v>
      </c>
      <c r="AR65" s="185" t="n">
        <f aca="false">'ANR OK vs ML7'!AR65</f>
        <v>0.1</v>
      </c>
      <c r="AS65" s="213" t="n">
        <f aca="false">IF(A66="","",1/(1+CHOOSE(F$3,(AR66+($I$3/10000))/2,(AR65+($I$3/10000))/2))^(2*AQ65/365.25))</f>
        <v>6.85989413935909</v>
      </c>
      <c r="AT65" s="137" t="n">
        <f aca="false">IF(A66="","",IF(AND(mthbeg&lt;=A65,mthend&gt;=A65),1,0))</f>
        <v>1</v>
      </c>
      <c r="AU65" s="137" t="n">
        <f aca="false">IF(A66="","",AO65*AT65)</f>
        <v>31</v>
      </c>
      <c r="AW65" s="195" t="e">
        <f aca="false">IF($A66="","",AL65*$E65)</f>
        <v>#NAME?</v>
      </c>
      <c r="AX65" s="195" t="e">
        <f aca="false">IF($A66="","",AM65*$E65)</f>
        <v>#N/A</v>
      </c>
      <c r="AY65" s="195" t="e">
        <f aca="false">IF($A66="","",AN65*$E65)</f>
        <v>#N/A</v>
      </c>
      <c r="BA65" s="195" t="n">
        <f aca="false">IF($A66="","",F65*Summary!$Q$10)</f>
        <v>0</v>
      </c>
      <c r="BC65" s="179" t="e">
        <f aca="false">IF(A66="","",AM65*F65)</f>
        <v>#N/A</v>
      </c>
    </row>
    <row r="66" customFormat="false" ht="12.75" hidden="false" customHeight="false" outlineLevel="0" collapsed="false">
      <c r="A66" s="196" t="n">
        <f aca="false">IF(A65&lt;mthend,EDATE(A65,1),"")</f>
        <v>38749</v>
      </c>
      <c r="B66" s="197" t="n">
        <f aca="false">IF(A66&lt;mthend,B65,"")</f>
        <v>119740</v>
      </c>
      <c r="C66" s="215"/>
      <c r="D66" s="197" t="n">
        <f aca="false">IF(A67&lt;&gt;"",B66+C66,"")</f>
        <v>119740</v>
      </c>
      <c r="E66" s="199" t="n">
        <f aca="false">IF(A67="","",IF(AND(AT66=1,$H$3=1),D66*AO66,IF($H$3=2,D66,"N/A")))</f>
        <v>3352720</v>
      </c>
      <c r="F66" s="199" t="n">
        <f aca="false">IF(A67="","",E66*AS66)</f>
        <v>22809611.2910563</v>
      </c>
      <c r="G66" s="200" t="e">
        <f aca="false">IF($A67="","",VLOOKUP($A66,Table,MATCH(G$4,Curves,0)))</f>
        <v>#N/A</v>
      </c>
      <c r="H66" s="201" t="e">
        <f aca="false">IF(A67="","",G66)</f>
        <v>#N/A</v>
      </c>
      <c r="I66" s="202"/>
      <c r="J66" s="200" t="e">
        <f aca="false">IF($A67="","",VLOOKUP($A66,Table,MATCH(J$4,Curves,0)))</f>
        <v>#N/A</v>
      </c>
      <c r="K66" s="201" t="e">
        <f aca="false">IF(A67="","",J66)</f>
        <v>#N/A</v>
      </c>
      <c r="L66" s="185" t="n">
        <v>0</v>
      </c>
      <c r="M66" s="201" t="n">
        <f aca="false">IF(A67="","",L66)</f>
        <v>0</v>
      </c>
      <c r="N66" s="203"/>
      <c r="O66" s="200" t="e">
        <f aca="false">IF(A67="","",L66+J66+G66)</f>
        <v>#N/A</v>
      </c>
      <c r="P66" s="200" t="e">
        <f aca="false">IF(A67="","",M66+K66+H66)</f>
        <v>#N/A</v>
      </c>
      <c r="Q66" s="204"/>
      <c r="R66" s="200" t="e">
        <f aca="false">IF($A67="","",VLOOKUP($A66,Table,MATCH(R$4,Curves,0)))</f>
        <v>#N/A</v>
      </c>
      <c r="S66" s="201" t="e">
        <f aca="false">IF(A67="","",R66)</f>
        <v>#N/A</v>
      </c>
      <c r="T66" s="200" t="e">
        <f aca="false">IF($A67="","",VLOOKUP($A66,Table,MATCH(T$4,Curves,0)))</f>
        <v>#N/A</v>
      </c>
      <c r="U66" s="201" t="e">
        <f aca="false">IF(A67="","",T66)</f>
        <v>#N/A</v>
      </c>
      <c r="V66" s="205" t="e">
        <f aca="false">IF($A67="","",IF(AND(MONTH(A66)&gt;3,MONTH(A66)&lt;11),(T66+R66+G66)*Summary!$T$10/(1-Summary!$T$10),(T66+R66+G66)*Summary!$U$10/(1-Summary!$U$10)))</f>
        <v>#N/A</v>
      </c>
      <c r="W66" s="200" t="e">
        <f aca="false">IF($A67="","",(T66+R66+G66+V66))</f>
        <v>#N/A</v>
      </c>
      <c r="X66" s="200" t="e">
        <f aca="false">IF($A67="","",(U66+S66+H66+V66))</f>
        <v>#N/A</v>
      </c>
      <c r="Y66" s="202"/>
      <c r="Z66" s="185" t="e">
        <f aca="false">IF($A67="","",VLOOKUP($A66,Table,MATCH(Z$4,Curves,0)))</f>
        <v>#N/A</v>
      </c>
      <c r="AA66" s="185" t="e">
        <f aca="false">IF($A67="","",VLOOKUP($A66,Table,MATCH(AA$4,Curves,0)))</f>
        <v>#N/A</v>
      </c>
      <c r="AB66" s="185" t="e">
        <f aca="false">SQRT((AA66^2*(A66-$D$3)+Z66^2*(DAY(EOMONTH(A66,0))/2))/AK66)</f>
        <v>#N/A</v>
      </c>
      <c r="AC66" s="185" t="e">
        <f aca="false">IF($A67="","",VLOOKUP($A66,Table,MATCH(AC$4,Curves,0)))</f>
        <v>#N/A</v>
      </c>
      <c r="AD66" s="185" t="e">
        <f aca="false">IF($A67="","",VLOOKUP($A66,Table,MATCH(AD$4,Curves,0)))</f>
        <v>#N/A</v>
      </c>
      <c r="AE66" s="185" t="e">
        <f aca="false">SQRT((AD66^2*(A66-$D$3)+AC66^2*(DAY(EOMONTH(A66,0))/2))/AK66)</f>
        <v>#N/A</v>
      </c>
      <c r="AF66" s="224" t="e">
        <f aca="false">((Summary!$N$10*(AA66*AD66)*(A66-$D$3))+(Summary!$M$10*Z66*AC66*(AJ66-EOMONTH(EDATE(A66,-1),0))))/(AK66*AB66*AE66)</f>
        <v>#N/A</v>
      </c>
      <c r="AG66" s="207" t="n">
        <f aca="false">IF($A67="","",Summary!$Q$10)</f>
        <v>0</v>
      </c>
      <c r="AH66" s="207" t="n">
        <f aca="false">IF($A67="","",IF(Summary!$R$10="Y",(VLOOKUP($A66,Summary!$AD$6:$AF$9,3)+'Escalating commodity'!F79),'Escalating commodity'!F79))</f>
        <v>0.0158208</v>
      </c>
      <c r="AI66" s="207" t="n">
        <f aca="false">IF($A67="","",AH66)</f>
        <v>0.0158208</v>
      </c>
      <c r="AJ66" s="208" t="n">
        <f aca="false">A66+DAY(EOMONTH(A66,0))/2-1</f>
        <v>38762</v>
      </c>
      <c r="AK66" s="209" t="n">
        <f aca="false">IF($A67="","",$A66-$E$1)</f>
        <v>-7177</v>
      </c>
      <c r="AL66" s="182" t="e">
        <f aca="false">IF($A67="","",SPRDOPT(P66,X66,AI66,0,AB66,AE66,AF66,AK66,$AJ$2,0))</f>
        <v>#NAME?</v>
      </c>
      <c r="AM66" s="211" t="e">
        <f aca="false">IF($A67="","",MAX(0,O66-W66-AI66))</f>
        <v>#N/A</v>
      </c>
      <c r="AN66" s="211" t="e">
        <f aca="false">IF($A67="","",AL66-AM66)</f>
        <v>#N/A</v>
      </c>
      <c r="AO66" s="137" t="n">
        <f aca="false">IF(A67="","",A67-A66)</f>
        <v>28</v>
      </c>
      <c r="AP66" s="212" t="n">
        <f aca="false">IF(A67="","",CHOOSE(F$3,A67+24,A66))</f>
        <v>38749</v>
      </c>
      <c r="AQ66" s="209" t="n">
        <f aca="false">IF(A67="","",AP66-$E$1)</f>
        <v>-7177</v>
      </c>
      <c r="AR66" s="185" t="n">
        <f aca="false">'ANR OK vs ML7'!AR66</f>
        <v>0.1</v>
      </c>
      <c r="AS66" s="213" t="n">
        <f aca="false">IF(A67="","",1/(1+CHOOSE(F$3,(AR67+($I$3/10000))/2,(AR66+($I$3/10000))/2))^(2*AQ66/365.25))</f>
        <v>6.80331530550009</v>
      </c>
      <c r="AT66" s="137" t="n">
        <f aca="false">IF(A67="","",IF(AND(mthbeg&lt;=A66,mthend&gt;=A66),1,0))</f>
        <v>1</v>
      </c>
      <c r="AU66" s="137" t="n">
        <f aca="false">IF(A67="","",AO66*AT66)</f>
        <v>28</v>
      </c>
      <c r="AW66" s="195" t="e">
        <f aca="false">IF($A67="","",AL66*$E66)</f>
        <v>#NAME?</v>
      </c>
      <c r="AX66" s="195" t="e">
        <f aca="false">IF($A67="","",AM66*$E66)</f>
        <v>#N/A</v>
      </c>
      <c r="AY66" s="195" t="e">
        <f aca="false">IF($A67="","",AN66*$E66)</f>
        <v>#N/A</v>
      </c>
      <c r="BA66" s="195" t="n">
        <f aca="false">IF($A67="","",F66*Summary!$Q$10)</f>
        <v>0</v>
      </c>
      <c r="BC66" s="179" t="e">
        <f aca="false">IF(A67="","",AM66*F66)</f>
        <v>#N/A</v>
      </c>
    </row>
    <row r="67" customFormat="false" ht="12.75" hidden="false" customHeight="false" outlineLevel="0" collapsed="false">
      <c r="A67" s="196" t="n">
        <f aca="false">IF(A66&lt;mthend,EDATE(A66,1),"")</f>
        <v>38777</v>
      </c>
      <c r="B67" s="197" t="n">
        <f aca="false">IF(A67&lt;mthend,B66,"")</f>
        <v>119740</v>
      </c>
      <c r="C67" s="215"/>
      <c r="D67" s="197" t="n">
        <f aca="false">IF(A68&lt;&gt;"",B67+C67,"")</f>
        <v>119740</v>
      </c>
      <c r="E67" s="199" t="n">
        <f aca="false">IF(A68="","",IF(AND(AT67=1,$H$3=1),D67*AO67,IF($H$3=2,D67,"N/A")))</f>
        <v>3711940</v>
      </c>
      <c r="F67" s="199" t="n">
        <f aca="false">IF(A68="","",E67*AS67)</f>
        <v>25065294.4647694</v>
      </c>
      <c r="G67" s="200" t="e">
        <f aca="false">IF($A68="","",VLOOKUP($A67,Table,MATCH(G$4,Curves,0)))</f>
        <v>#N/A</v>
      </c>
      <c r="H67" s="201" t="e">
        <f aca="false">IF(A68="","",G67)</f>
        <v>#N/A</v>
      </c>
      <c r="I67" s="202"/>
      <c r="J67" s="200" t="e">
        <f aca="false">IF($A68="","",VLOOKUP($A67,Table,MATCH(J$4,Curves,0)))</f>
        <v>#N/A</v>
      </c>
      <c r="K67" s="201" t="e">
        <f aca="false">IF(A68="","",J67)</f>
        <v>#N/A</v>
      </c>
      <c r="L67" s="185" t="n">
        <v>0</v>
      </c>
      <c r="M67" s="201" t="n">
        <f aca="false">IF(A68="","",L67)</f>
        <v>0</v>
      </c>
      <c r="N67" s="203"/>
      <c r="O67" s="200" t="e">
        <f aca="false">IF(A68="","",L67+J67+G67)</f>
        <v>#N/A</v>
      </c>
      <c r="P67" s="200" t="e">
        <f aca="false">IF(A68="","",M67+K67+H67)</f>
        <v>#N/A</v>
      </c>
      <c r="Q67" s="204"/>
      <c r="R67" s="200" t="e">
        <f aca="false">IF($A68="","",VLOOKUP($A67,Table,MATCH(R$4,Curves,0)))</f>
        <v>#N/A</v>
      </c>
      <c r="S67" s="201" t="e">
        <f aca="false">IF(A68="","",R67)</f>
        <v>#N/A</v>
      </c>
      <c r="T67" s="200" t="e">
        <f aca="false">IF($A68="","",VLOOKUP($A67,Table,MATCH(T$4,Curves,0)))</f>
        <v>#N/A</v>
      </c>
      <c r="U67" s="201" t="e">
        <f aca="false">IF(A68="","",T67)</f>
        <v>#N/A</v>
      </c>
      <c r="V67" s="205" t="e">
        <f aca="false">IF($A68="","",IF(AND(MONTH(A67)&gt;3,MONTH(A67)&lt;11),(T67+R67+G67)*Summary!$T$10/(1-Summary!$T$10),(T67+R67+G67)*Summary!$U$10/(1-Summary!$U$10)))</f>
        <v>#N/A</v>
      </c>
      <c r="W67" s="200" t="e">
        <f aca="false">IF($A68="","",(T67+R67+G67+V67))</f>
        <v>#N/A</v>
      </c>
      <c r="X67" s="200" t="e">
        <f aca="false">IF($A68="","",(U67+S67+H67+V67))</f>
        <v>#N/A</v>
      </c>
      <c r="Y67" s="202"/>
      <c r="Z67" s="185" t="e">
        <f aca="false">IF($A68="","",VLOOKUP($A67,Table,MATCH(Z$4,Curves,0)))</f>
        <v>#N/A</v>
      </c>
      <c r="AA67" s="185" t="e">
        <f aca="false">IF($A68="","",VLOOKUP($A67,Table,MATCH(AA$4,Curves,0)))</f>
        <v>#N/A</v>
      </c>
      <c r="AB67" s="185" t="e">
        <f aca="false">SQRT((AA67^2*(A67-$D$3)+Z67^2*(DAY(EOMONTH(A67,0))/2))/AK67)</f>
        <v>#N/A</v>
      </c>
      <c r="AC67" s="185" t="e">
        <f aca="false">IF($A68="","",VLOOKUP($A67,Table,MATCH(AC$4,Curves,0)))</f>
        <v>#N/A</v>
      </c>
      <c r="AD67" s="185" t="e">
        <f aca="false">IF($A68="","",VLOOKUP($A67,Table,MATCH(AD$4,Curves,0)))</f>
        <v>#N/A</v>
      </c>
      <c r="AE67" s="185" t="e">
        <f aca="false">SQRT((AD67^2*(A67-$D$3)+AC67^2*(DAY(EOMONTH(A67,0))/2))/AK67)</f>
        <v>#N/A</v>
      </c>
      <c r="AF67" s="224" t="e">
        <f aca="false">((Summary!$N$10*(AA67*AD67)*(A67-$D$3))+(Summary!$M$10*Z67*AC67*(AJ67-EOMONTH(EDATE(A67,-1),0))))/(AK67*AB67*AE67)</f>
        <v>#N/A</v>
      </c>
      <c r="AG67" s="207" t="n">
        <f aca="false">IF($A68="","",Summary!$Q$10)</f>
        <v>0</v>
      </c>
      <c r="AH67" s="207" t="n">
        <f aca="false">IF($A68="","",IF(Summary!$R$10="Y",(VLOOKUP($A67,Summary!$AD$6:$AF$9,3)+'Escalating commodity'!F80),'Escalating commodity'!F80))</f>
        <v>0.0158208</v>
      </c>
      <c r="AI67" s="207" t="n">
        <f aca="false">IF($A68="","",AH67)</f>
        <v>0.0158208</v>
      </c>
      <c r="AJ67" s="208" t="n">
        <f aca="false">A67+DAY(EOMONTH(A67,0))/2-1</f>
        <v>38791.5</v>
      </c>
      <c r="AK67" s="209" t="n">
        <f aca="false">IF($A68="","",$A67-$E$1)</f>
        <v>-7149</v>
      </c>
      <c r="AL67" s="182" t="e">
        <f aca="false">IF($A68="","",SPRDOPT(P67,X67,AI67,0,AB67,AE67,AF67,AK67,$AJ$2,0))</f>
        <v>#NAME?</v>
      </c>
      <c r="AM67" s="211" t="e">
        <f aca="false">IF($A68="","",MAX(0,O67-W67-AI67))</f>
        <v>#N/A</v>
      </c>
      <c r="AN67" s="211" t="e">
        <f aca="false">IF($A68="","",AL67-AM67)</f>
        <v>#N/A</v>
      </c>
      <c r="AO67" s="137" t="n">
        <f aca="false">IF(A68="","",A68-A67)</f>
        <v>31</v>
      </c>
      <c r="AP67" s="212" t="n">
        <f aca="false">IF(A68="","",CHOOSE(F$3,A68+24,A67))</f>
        <v>38777</v>
      </c>
      <c r="AQ67" s="209" t="n">
        <f aca="false">IF(A68="","",AP67-$E$1)</f>
        <v>-7149</v>
      </c>
      <c r="AR67" s="185" t="n">
        <f aca="false">'ANR OK vs ML7'!AR67</f>
        <v>0.1</v>
      </c>
      <c r="AS67" s="213" t="n">
        <f aca="false">IF(A68="","",1/(1+CHOOSE(F$3,(AR68+($I$3/10000))/2,(AR67+($I$3/10000))/2))^(2*AQ67/365.25))</f>
        <v>6.75261304459915</v>
      </c>
      <c r="AT67" s="137" t="n">
        <f aca="false">IF(A68="","",IF(AND(mthbeg&lt;=A67,mthend&gt;=A67),1,0))</f>
        <v>1</v>
      </c>
      <c r="AU67" s="137" t="n">
        <f aca="false">IF(A68="","",AO67*AT67)</f>
        <v>31</v>
      </c>
      <c r="AW67" s="195" t="e">
        <f aca="false">IF($A68="","",AL67*$E67)</f>
        <v>#NAME?</v>
      </c>
      <c r="AX67" s="195" t="e">
        <f aca="false">IF($A68="","",AM67*$E67)</f>
        <v>#N/A</v>
      </c>
      <c r="AY67" s="195" t="e">
        <f aca="false">IF($A68="","",AN67*$E67)</f>
        <v>#N/A</v>
      </c>
      <c r="BA67" s="195" t="n">
        <f aca="false">IF($A68="","",F67*Summary!$Q$10)</f>
        <v>0</v>
      </c>
      <c r="BC67" s="179" t="e">
        <f aca="false">IF(A68="","",AM67*F67)</f>
        <v>#N/A</v>
      </c>
    </row>
    <row r="68" customFormat="false" ht="12.75" hidden="false" customHeight="false" outlineLevel="0" collapsed="false">
      <c r="A68" s="196" t="n">
        <f aca="false">IF(A67&lt;mthend,EDATE(A67,1),"")</f>
        <v>38808</v>
      </c>
      <c r="B68" s="197" t="n">
        <f aca="false">IF(A68&lt;mthend,B67,"")</f>
        <v>119740</v>
      </c>
      <c r="C68" s="215"/>
      <c r="D68" s="197" t="n">
        <f aca="false">IF(A69&lt;&gt;"",B68+C68,"")</f>
        <v>119740</v>
      </c>
      <c r="E68" s="199" t="n">
        <f aca="false">IF(A69="","",IF(AND(AT68=1,$H$3=1),D68*AO68,IF($H$3=2,D68,"N/A")))</f>
        <v>3592200</v>
      </c>
      <c r="F68" s="199" t="n">
        <f aca="false">IF(A69="","",E68*AS68)</f>
        <v>24056672.5776782</v>
      </c>
      <c r="G68" s="200" t="e">
        <f aca="false">IF($A69="","",VLOOKUP($A68,Table,MATCH(G$4,Curves,0)))</f>
        <v>#N/A</v>
      </c>
      <c r="H68" s="201" t="e">
        <f aca="false">IF(A69="","",G68)</f>
        <v>#N/A</v>
      </c>
      <c r="I68" s="202"/>
      <c r="J68" s="200" t="e">
        <f aca="false">IF($A69="","",VLOOKUP($A68,Table,MATCH(J$4,Curves,0)))</f>
        <v>#N/A</v>
      </c>
      <c r="K68" s="201" t="e">
        <f aca="false">IF(A69="","",J68)</f>
        <v>#N/A</v>
      </c>
      <c r="L68" s="185" t="n">
        <v>0</v>
      </c>
      <c r="M68" s="201" t="n">
        <f aca="false">IF(A69="","",L68)</f>
        <v>0</v>
      </c>
      <c r="N68" s="203"/>
      <c r="O68" s="200" t="e">
        <f aca="false">IF(A69="","",L68+J68+G68)</f>
        <v>#N/A</v>
      </c>
      <c r="P68" s="200" t="e">
        <f aca="false">IF(A69="","",M68+K68+H68)</f>
        <v>#N/A</v>
      </c>
      <c r="Q68" s="204"/>
      <c r="R68" s="200" t="e">
        <f aca="false">IF($A69="","",VLOOKUP($A68,Table,MATCH(R$4,Curves,0)))</f>
        <v>#N/A</v>
      </c>
      <c r="S68" s="201" t="e">
        <f aca="false">IF(A69="","",R68)</f>
        <v>#N/A</v>
      </c>
      <c r="T68" s="200" t="e">
        <f aca="false">IF($A69="","",VLOOKUP($A68,Table,MATCH(T$4,Curves,0)))</f>
        <v>#N/A</v>
      </c>
      <c r="U68" s="201" t="e">
        <f aca="false">IF(A69="","",T68)</f>
        <v>#N/A</v>
      </c>
      <c r="V68" s="205" t="e">
        <f aca="false">IF($A69="","",IF(AND(MONTH(A68)&gt;3,MONTH(A68)&lt;11),(T68+R68+G68)*Summary!$T$10/(1-Summary!$T$10),(T68+R68+G68)*Summary!$U$10/(1-Summary!$U$10)))</f>
        <v>#N/A</v>
      </c>
      <c r="W68" s="200" t="e">
        <f aca="false">IF($A69="","",(T68+R68+G68+V68))</f>
        <v>#N/A</v>
      </c>
      <c r="X68" s="200" t="e">
        <f aca="false">IF($A69="","",(U68+S68+H68+V68))</f>
        <v>#N/A</v>
      </c>
      <c r="Y68" s="202"/>
      <c r="Z68" s="185" t="e">
        <f aca="false">IF($A69="","",VLOOKUP($A68,Table,MATCH(Z$4,Curves,0)))</f>
        <v>#N/A</v>
      </c>
      <c r="AA68" s="185" t="e">
        <f aca="false">IF($A69="","",VLOOKUP($A68,Table,MATCH(AA$4,Curves,0)))</f>
        <v>#N/A</v>
      </c>
      <c r="AB68" s="185" t="e">
        <f aca="false">SQRT((AA68^2*(A68-$D$3)+Z68^2*(DAY(EOMONTH(A68,0))/2))/AK68)</f>
        <v>#N/A</v>
      </c>
      <c r="AC68" s="185" t="e">
        <f aca="false">IF($A69="","",VLOOKUP($A68,Table,MATCH(AC$4,Curves,0)))</f>
        <v>#N/A</v>
      </c>
      <c r="AD68" s="185" t="e">
        <f aca="false">IF($A69="","",VLOOKUP($A68,Table,MATCH(AD$4,Curves,0)))</f>
        <v>#N/A</v>
      </c>
      <c r="AE68" s="185" t="e">
        <f aca="false">SQRT((AD68^2*(A68-$D$3)+AC68^2*(DAY(EOMONTH(A68,0))/2))/AK68)</f>
        <v>#N/A</v>
      </c>
      <c r="AF68" s="224" t="e">
        <f aca="false">((Summary!$N$10*(AA68*AD68)*(A68-$D$3))+(Summary!$M$10*Z68*AC68*(AJ68-EOMONTH(EDATE(A68,-1),0))))/(AK68*AB68*AE68)</f>
        <v>#N/A</v>
      </c>
      <c r="AG68" s="207" t="n">
        <f aca="false">IF($A69="","",Summary!$Q$10)</f>
        <v>0</v>
      </c>
      <c r="AH68" s="207" t="n">
        <f aca="false">IF($A69="","",IF(Summary!$R$10="Y",(VLOOKUP($A68,Summary!$AD$6:$AF$9,3)+'Escalating commodity'!F81),'Escalating commodity'!F81))</f>
        <v>0.0158208</v>
      </c>
      <c r="AI68" s="207" t="n">
        <f aca="false">IF($A69="","",AH68)</f>
        <v>0.0158208</v>
      </c>
      <c r="AJ68" s="208" t="n">
        <f aca="false">A68+DAY(EOMONTH(A68,0))/2-1</f>
        <v>38822</v>
      </c>
      <c r="AK68" s="209" t="n">
        <f aca="false">IF($A69="","",$A68-$E$1)</f>
        <v>-7118</v>
      </c>
      <c r="AL68" s="182" t="e">
        <f aca="false">IF($A69="","",SPRDOPT(P68,X68,AI68,0,AB68,AE68,AF68,AK68,$AJ$2,0))</f>
        <v>#NAME?</v>
      </c>
      <c r="AM68" s="211" t="e">
        <f aca="false">IF($A69="","",MAX(0,O68-W68-AI68))</f>
        <v>#N/A</v>
      </c>
      <c r="AN68" s="211" t="e">
        <f aca="false">IF($A69="","",AL68-AM68)</f>
        <v>#N/A</v>
      </c>
      <c r="AO68" s="137" t="n">
        <f aca="false">IF(A69="","",A69-A68)</f>
        <v>30</v>
      </c>
      <c r="AP68" s="212" t="n">
        <f aca="false">IF(A69="","",CHOOSE(F$3,A69+24,A68))</f>
        <v>38808</v>
      </c>
      <c r="AQ68" s="209" t="n">
        <f aca="false">IF(A69="","",AP68-$E$1)</f>
        <v>-7118</v>
      </c>
      <c r="AR68" s="185" t="n">
        <f aca="false">'ANR OK vs ML7'!AR68</f>
        <v>0.1</v>
      </c>
      <c r="AS68" s="213" t="n">
        <f aca="false">IF(A69="","",1/(1+CHOOSE(F$3,(AR69+($I$3/10000))/2,(AR68+($I$3/10000))/2))^(2*AQ68/365.25))</f>
        <v>6.69691904060972</v>
      </c>
      <c r="AT68" s="137" t="n">
        <f aca="false">IF(A69="","",IF(AND(mthbeg&lt;=A68,mthend&gt;=A68),1,0))</f>
        <v>1</v>
      </c>
      <c r="AU68" s="137" t="n">
        <f aca="false">IF(A69="","",AO68*AT68)</f>
        <v>30</v>
      </c>
      <c r="AW68" s="195" t="e">
        <f aca="false">IF($A69="","",AL68*$E68)</f>
        <v>#NAME?</v>
      </c>
      <c r="AX68" s="195" t="e">
        <f aca="false">IF($A69="","",AM68*$E68)</f>
        <v>#N/A</v>
      </c>
      <c r="AY68" s="195" t="e">
        <f aca="false">IF($A69="","",AN68*$E68)</f>
        <v>#N/A</v>
      </c>
      <c r="BA68" s="195" t="n">
        <f aca="false">IF($A69="","",F68*Summary!$Q$10)</f>
        <v>0</v>
      </c>
      <c r="BC68" s="179" t="e">
        <f aca="false">IF(A69="","",AM68*F68)</f>
        <v>#N/A</v>
      </c>
    </row>
    <row r="69" customFormat="false" ht="12.75" hidden="false" customHeight="false" outlineLevel="0" collapsed="false">
      <c r="A69" s="196" t="n">
        <f aca="false">IF(A68&lt;mthend,EDATE(A68,1),"")</f>
        <v>38838</v>
      </c>
      <c r="B69" s="197" t="n">
        <f aca="false">IF(A69&lt;mthend,B68,"")</f>
        <v>119740</v>
      </c>
      <c r="C69" s="215"/>
      <c r="D69" s="197" t="n">
        <f aca="false">IF(A70&lt;&gt;"",B69+C69,"")</f>
        <v>119740</v>
      </c>
      <c r="E69" s="199" t="n">
        <f aca="false">IF(A70="","",IF(AND(AT69=1,$H$3=1),D69*AO69,IF($H$3=2,D69,"N/A")))</f>
        <v>3711940</v>
      </c>
      <c r="F69" s="199" t="n">
        <f aca="false">IF(A70="","",E69*AS69)</f>
        <v>24660121.2745358</v>
      </c>
      <c r="G69" s="200" t="e">
        <f aca="false">IF($A70="","",VLOOKUP($A69,Table,MATCH(G$4,Curves,0)))</f>
        <v>#N/A</v>
      </c>
      <c r="H69" s="201" t="e">
        <f aca="false">IF(A70="","",G69)</f>
        <v>#N/A</v>
      </c>
      <c r="I69" s="202"/>
      <c r="J69" s="200" t="e">
        <f aca="false">IF($A70="","",VLOOKUP($A69,Table,MATCH(J$4,Curves,0)))</f>
        <v>#N/A</v>
      </c>
      <c r="K69" s="201" t="e">
        <f aca="false">IF(A70="","",J69)</f>
        <v>#N/A</v>
      </c>
      <c r="L69" s="185" t="n">
        <v>0</v>
      </c>
      <c r="M69" s="201" t="n">
        <f aca="false">IF(A70="","",L69)</f>
        <v>0</v>
      </c>
      <c r="N69" s="203"/>
      <c r="O69" s="200" t="e">
        <f aca="false">IF(A70="","",L69+J69+G69)</f>
        <v>#N/A</v>
      </c>
      <c r="P69" s="200" t="e">
        <f aca="false">IF(A70="","",M69+K69+H69)</f>
        <v>#N/A</v>
      </c>
      <c r="Q69" s="204"/>
      <c r="R69" s="200" t="e">
        <f aca="false">IF($A70="","",VLOOKUP($A69,Table,MATCH(R$4,Curves,0)))</f>
        <v>#N/A</v>
      </c>
      <c r="S69" s="201" t="e">
        <f aca="false">IF(A70="","",R69)</f>
        <v>#N/A</v>
      </c>
      <c r="T69" s="200" t="e">
        <f aca="false">IF($A70="","",VLOOKUP($A69,Table,MATCH(T$4,Curves,0)))</f>
        <v>#N/A</v>
      </c>
      <c r="U69" s="201" t="e">
        <f aca="false">IF(A70="","",T69)</f>
        <v>#N/A</v>
      </c>
      <c r="V69" s="205" t="e">
        <f aca="false">IF($A70="","",IF(AND(MONTH(A69)&gt;3,MONTH(A69)&lt;11),(T69+R69+G69)*Summary!$T$10/(1-Summary!$T$10),(T69+R69+G69)*Summary!$U$10/(1-Summary!$U$10)))</f>
        <v>#N/A</v>
      </c>
      <c r="W69" s="200" t="e">
        <f aca="false">IF($A70="","",(T69+R69+G69+V69))</f>
        <v>#N/A</v>
      </c>
      <c r="X69" s="200" t="e">
        <f aca="false">IF($A70="","",(U69+S69+H69+V69))</f>
        <v>#N/A</v>
      </c>
      <c r="Y69" s="202"/>
      <c r="Z69" s="185" t="e">
        <f aca="false">IF($A70="","",VLOOKUP($A69,Table,MATCH(Z$4,Curves,0)))</f>
        <v>#N/A</v>
      </c>
      <c r="AA69" s="185" t="e">
        <f aca="false">IF($A70="","",VLOOKUP($A69,Table,MATCH(AA$4,Curves,0)))</f>
        <v>#N/A</v>
      </c>
      <c r="AB69" s="185" t="e">
        <f aca="false">SQRT((AA69^2*(A69-$D$3)+Z69^2*(DAY(EOMONTH(A69,0))/2))/AK69)</f>
        <v>#N/A</v>
      </c>
      <c r="AC69" s="185" t="e">
        <f aca="false">IF($A70="","",VLOOKUP($A69,Table,MATCH(AC$4,Curves,0)))</f>
        <v>#N/A</v>
      </c>
      <c r="AD69" s="185" t="e">
        <f aca="false">IF($A70="","",VLOOKUP($A69,Table,MATCH(AD$4,Curves,0)))</f>
        <v>#N/A</v>
      </c>
      <c r="AE69" s="185" t="e">
        <f aca="false">SQRT((AD69^2*(A69-$D$3)+AC69^2*(DAY(EOMONTH(A69,0))/2))/AK69)</f>
        <v>#N/A</v>
      </c>
      <c r="AF69" s="224" t="e">
        <f aca="false">((Summary!$N$10*(AA69*AD69)*(A69-$D$3))+(Summary!$M$10*Z69*AC69*(AJ69-EOMONTH(EDATE(A69,-1),0))))/(AK69*AB69*AE69)</f>
        <v>#N/A</v>
      </c>
      <c r="AG69" s="207" t="n">
        <f aca="false">IF($A70="","",Summary!$Q$10)</f>
        <v>0</v>
      </c>
      <c r="AH69" s="207" t="n">
        <f aca="false">IF($A70="","",IF(Summary!$R$10="Y",(VLOOKUP($A69,Summary!$AD$6:$AF$9,3)+'Escalating commodity'!F82),'Escalating commodity'!F82))</f>
        <v>0.0158208</v>
      </c>
      <c r="AI69" s="207" t="n">
        <f aca="false">IF($A70="","",AH69)</f>
        <v>0.0158208</v>
      </c>
      <c r="AJ69" s="208" t="n">
        <f aca="false">A69+DAY(EOMONTH(A69,0))/2-1</f>
        <v>38852.5</v>
      </c>
      <c r="AK69" s="209" t="n">
        <f aca="false">IF($A70="","",$A69-$E$1)</f>
        <v>-7088</v>
      </c>
      <c r="AL69" s="182" t="e">
        <f aca="false">IF($A70="","",SPRDOPT(P69,X69,AI69,0,AB69,AE69,AF69,AK69,$AJ$2,0))</f>
        <v>#NAME?</v>
      </c>
      <c r="AM69" s="211" t="e">
        <f aca="false">IF($A70="","",MAX(0,O69-W69-AI69))</f>
        <v>#N/A</v>
      </c>
      <c r="AN69" s="211" t="e">
        <f aca="false">IF($A70="","",AL69-AM69)</f>
        <v>#N/A</v>
      </c>
      <c r="AO69" s="137" t="n">
        <f aca="false">IF(A70="","",A70-A69)</f>
        <v>31</v>
      </c>
      <c r="AP69" s="212" t="n">
        <f aca="false">IF(A70="","",CHOOSE(F$3,A70+24,A69))</f>
        <v>38838</v>
      </c>
      <c r="AQ69" s="209" t="n">
        <f aca="false">IF(A70="","",AP69-$E$1)</f>
        <v>-7088</v>
      </c>
      <c r="AR69" s="185" t="n">
        <f aca="false">'ANR OK vs ML7'!AR69</f>
        <v>0.1</v>
      </c>
      <c r="AS69" s="213" t="n">
        <f aca="false">IF(A70="","",1/(1+CHOOSE(F$3,(AR70+($I$3/10000))/2,(AR69+($I$3/10000))/2))^(2*AQ69/365.25))</f>
        <v>6.64345901995609</v>
      </c>
      <c r="AT69" s="137" t="n">
        <f aca="false">IF(A70="","",IF(AND(mthbeg&lt;=A69,mthend&gt;=A69),1,0))</f>
        <v>1</v>
      </c>
      <c r="AU69" s="137" t="n">
        <f aca="false">IF(A70="","",AO69*AT69)</f>
        <v>31</v>
      </c>
      <c r="AW69" s="195" t="e">
        <f aca="false">IF($A70="","",AL69*$E69)</f>
        <v>#NAME?</v>
      </c>
      <c r="AX69" s="195" t="e">
        <f aca="false">IF($A70="","",AM69*$E69)</f>
        <v>#N/A</v>
      </c>
      <c r="AY69" s="195" t="e">
        <f aca="false">IF($A70="","",AN69*$E69)</f>
        <v>#N/A</v>
      </c>
      <c r="BA69" s="195" t="n">
        <f aca="false">IF($A70="","",F69*Summary!$Q$10)</f>
        <v>0</v>
      </c>
      <c r="BC69" s="179" t="e">
        <f aca="false">IF(A70="","",AM69*F69)</f>
        <v>#N/A</v>
      </c>
    </row>
    <row r="70" customFormat="false" ht="12.75" hidden="false" customHeight="false" outlineLevel="0" collapsed="false">
      <c r="A70" s="196" t="n">
        <f aca="false">IF(A69&lt;mthend,EDATE(A69,1),"")</f>
        <v>38869</v>
      </c>
      <c r="B70" s="197" t="n">
        <f aca="false">IF(A70&lt;mthend,B69,"")</f>
        <v>119740</v>
      </c>
      <c r="C70" s="215"/>
      <c r="D70" s="197" t="n">
        <f aca="false">IF(A71&lt;&gt;"",B70+C70,"")</f>
        <v>119740</v>
      </c>
      <c r="E70" s="199" t="n">
        <f aca="false">IF(A71="","",IF(AND(AT70=1,$H$3=1),D70*AO70,IF($H$3=2,D70,"N/A")))</f>
        <v>3592200</v>
      </c>
      <c r="F70" s="199" t="n">
        <f aca="false">IF(A71="","",E70*AS70)</f>
        <v>23667803.4667088</v>
      </c>
      <c r="G70" s="200" t="e">
        <f aca="false">IF($A71="","",VLOOKUP($A70,Table,MATCH(G$4,Curves,0)))</f>
        <v>#N/A</v>
      </c>
      <c r="H70" s="201" t="e">
        <f aca="false">IF(A71="","",G70)</f>
        <v>#N/A</v>
      </c>
      <c r="I70" s="202"/>
      <c r="J70" s="200" t="e">
        <f aca="false">IF($A71="","",VLOOKUP($A70,Table,MATCH(J$4,Curves,0)))</f>
        <v>#N/A</v>
      </c>
      <c r="K70" s="201" t="e">
        <f aca="false">IF(A71="","",J70)</f>
        <v>#N/A</v>
      </c>
      <c r="L70" s="185" t="n">
        <v>0</v>
      </c>
      <c r="M70" s="201" t="n">
        <f aca="false">IF(A71="","",L70)</f>
        <v>0</v>
      </c>
      <c r="N70" s="203"/>
      <c r="O70" s="200" t="e">
        <f aca="false">IF(A71="","",L70+J70+G70)</f>
        <v>#N/A</v>
      </c>
      <c r="P70" s="200" t="e">
        <f aca="false">IF(A71="","",M70+K70+H70)</f>
        <v>#N/A</v>
      </c>
      <c r="Q70" s="204"/>
      <c r="R70" s="200" t="e">
        <f aca="false">IF($A71="","",VLOOKUP($A70,Table,MATCH(R$4,Curves,0)))</f>
        <v>#N/A</v>
      </c>
      <c r="S70" s="201" t="e">
        <f aca="false">IF(A71="","",R70)</f>
        <v>#N/A</v>
      </c>
      <c r="T70" s="200" t="e">
        <f aca="false">IF($A71="","",VLOOKUP($A70,Table,MATCH(T$4,Curves,0)))</f>
        <v>#N/A</v>
      </c>
      <c r="U70" s="201" t="e">
        <f aca="false">IF(A71="","",T70)</f>
        <v>#N/A</v>
      </c>
      <c r="V70" s="205" t="e">
        <f aca="false">IF($A71="","",IF(AND(MONTH(A70)&gt;3,MONTH(A70)&lt;11),(T70+R70+G70)*Summary!$T$10/(1-Summary!$T$10),(T70+R70+G70)*Summary!$U$10/(1-Summary!$U$10)))</f>
        <v>#N/A</v>
      </c>
      <c r="W70" s="200" t="e">
        <f aca="false">IF($A71="","",(T70+R70+G70+V70))</f>
        <v>#N/A</v>
      </c>
      <c r="X70" s="200" t="e">
        <f aca="false">IF($A71="","",(U70+S70+H70+V70))</f>
        <v>#N/A</v>
      </c>
      <c r="Y70" s="202"/>
      <c r="Z70" s="185" t="e">
        <f aca="false">IF($A71="","",VLOOKUP($A70,Table,MATCH(Z$4,Curves,0)))</f>
        <v>#N/A</v>
      </c>
      <c r="AA70" s="185" t="e">
        <f aca="false">IF($A71="","",VLOOKUP($A70,Table,MATCH(AA$4,Curves,0)))</f>
        <v>#N/A</v>
      </c>
      <c r="AB70" s="185" t="e">
        <f aca="false">SQRT((AA70^2*(A70-$D$3)+Z70^2*(DAY(EOMONTH(A70,0))/2))/AK70)</f>
        <v>#N/A</v>
      </c>
      <c r="AC70" s="185" t="e">
        <f aca="false">IF($A71="","",VLOOKUP($A70,Table,MATCH(AC$4,Curves,0)))</f>
        <v>#N/A</v>
      </c>
      <c r="AD70" s="185" t="e">
        <f aca="false">IF($A71="","",VLOOKUP($A70,Table,MATCH(AD$4,Curves,0)))</f>
        <v>#N/A</v>
      </c>
      <c r="AE70" s="185" t="e">
        <f aca="false">SQRT((AD70^2*(A70-$D$3)+AC70^2*(DAY(EOMONTH(A70,0))/2))/AK70)</f>
        <v>#N/A</v>
      </c>
      <c r="AF70" s="224" t="e">
        <f aca="false">((Summary!$N$10*(AA70*AD70)*(A70-$D$3))+(Summary!$M$10*Z70*AC70*(AJ70-EOMONTH(EDATE(A70,-1),0))))/(AK70*AB70*AE70)</f>
        <v>#N/A</v>
      </c>
      <c r="AG70" s="207" t="n">
        <f aca="false">IF($A71="","",Summary!$Q$10)</f>
        <v>0</v>
      </c>
      <c r="AH70" s="207" t="n">
        <f aca="false">IF($A71="","",IF(Summary!$R$10="Y",(VLOOKUP($A70,Summary!$AD$6:$AF$9,3)+'Escalating commodity'!F83),'Escalating commodity'!F83))</f>
        <v>0.0158208</v>
      </c>
      <c r="AI70" s="207" t="n">
        <f aca="false">IF($A71="","",AH70)</f>
        <v>0.0158208</v>
      </c>
      <c r="AJ70" s="208" t="n">
        <f aca="false">A70+DAY(EOMONTH(A70,0))/2-1</f>
        <v>38883</v>
      </c>
      <c r="AK70" s="209" t="n">
        <f aca="false">IF($A71="","",$A70-$E$1)</f>
        <v>-7057</v>
      </c>
      <c r="AL70" s="182" t="e">
        <f aca="false">IF($A71="","",SPRDOPT(P70,X70,AI70,0,AB70,AE70,AF70,AK70,$AJ$2,0))</f>
        <v>#NAME?</v>
      </c>
      <c r="AM70" s="211" t="e">
        <f aca="false">IF($A71="","",MAX(0,O70-W70-AI70))</f>
        <v>#N/A</v>
      </c>
      <c r="AN70" s="211" t="e">
        <f aca="false">IF($A71="","",AL70-AM70)</f>
        <v>#N/A</v>
      </c>
      <c r="AO70" s="137" t="n">
        <f aca="false">IF(A71="","",A71-A70)</f>
        <v>30</v>
      </c>
      <c r="AP70" s="212" t="n">
        <f aca="false">IF(A71="","",CHOOSE(F$3,A71+24,A70))</f>
        <v>38869</v>
      </c>
      <c r="AQ70" s="209" t="n">
        <f aca="false">IF(A71="","",AP70-$E$1)</f>
        <v>-7057</v>
      </c>
      <c r="AR70" s="185" t="n">
        <f aca="false">'ANR OK vs ML7'!AR70</f>
        <v>0.1</v>
      </c>
      <c r="AS70" s="213" t="n">
        <f aca="false">IF(A71="","",1/(1+CHOOSE(F$3,(AR71+($I$3/10000))/2,(AR70+($I$3/10000))/2))^(2*AQ70/365.25))</f>
        <v>6.58866529333244</v>
      </c>
      <c r="AT70" s="137" t="n">
        <f aca="false">IF(A71="","",IF(AND(mthbeg&lt;=A70,mthend&gt;=A70),1,0))</f>
        <v>1</v>
      </c>
      <c r="AU70" s="137" t="n">
        <f aca="false">IF(A71="","",AO70*AT70)</f>
        <v>30</v>
      </c>
      <c r="AW70" s="195" t="e">
        <f aca="false">IF($A71="","",AL70*$E70)</f>
        <v>#NAME?</v>
      </c>
      <c r="AX70" s="195" t="e">
        <f aca="false">IF($A71="","",AM70*$E70)</f>
        <v>#N/A</v>
      </c>
      <c r="AY70" s="195" t="e">
        <f aca="false">IF($A71="","",AN70*$E70)</f>
        <v>#N/A</v>
      </c>
      <c r="BA70" s="195" t="n">
        <f aca="false">IF($A71="","",F70*Summary!$Q$10)</f>
        <v>0</v>
      </c>
      <c r="BC70" s="179" t="e">
        <f aca="false">IF(A71="","",AM70*F70)</f>
        <v>#N/A</v>
      </c>
    </row>
    <row r="71" customFormat="false" ht="12.75" hidden="false" customHeight="false" outlineLevel="0" collapsed="false">
      <c r="A71" s="196" t="n">
        <f aca="false">IF(A70&lt;mthend,EDATE(A70,1),"")</f>
        <v>38899</v>
      </c>
      <c r="B71" s="197" t="n">
        <f aca="false">IF(A71&lt;mthend,B70,"")</f>
        <v>119740</v>
      </c>
      <c r="C71" s="215"/>
      <c r="D71" s="197" t="n">
        <f aca="false">IF(A72&lt;&gt;"",B71+C71,"")</f>
        <v>119740</v>
      </c>
      <c r="E71" s="199" t="n">
        <f aca="false">IF(A72="","",IF(AND(AT71=1,$H$3=1),D71*AO71,IF($H$3=2,D71,"N/A")))</f>
        <v>3711940</v>
      </c>
      <c r="F71" s="199" t="n">
        <f aca="false">IF(A72="","",E71*AS71)</f>
        <v>24261497.5910042</v>
      </c>
      <c r="G71" s="200" t="e">
        <f aca="false">IF($A72="","",VLOOKUP($A71,Table,MATCH(G$4,Curves,0)))</f>
        <v>#N/A</v>
      </c>
      <c r="H71" s="201" t="e">
        <f aca="false">IF(A72="","",G71)</f>
        <v>#N/A</v>
      </c>
      <c r="I71" s="202"/>
      <c r="J71" s="200" t="e">
        <f aca="false">IF($A72="","",VLOOKUP($A71,Table,MATCH(J$4,Curves,0)))</f>
        <v>#N/A</v>
      </c>
      <c r="K71" s="201" t="e">
        <f aca="false">IF(A72="","",J71)</f>
        <v>#N/A</v>
      </c>
      <c r="L71" s="185" t="n">
        <v>0</v>
      </c>
      <c r="M71" s="201" t="n">
        <f aca="false">IF(A72="","",L71)</f>
        <v>0</v>
      </c>
      <c r="N71" s="203"/>
      <c r="O71" s="200" t="e">
        <f aca="false">IF(A72="","",L71+J71+G71)</f>
        <v>#N/A</v>
      </c>
      <c r="P71" s="200" t="e">
        <f aca="false">IF(A72="","",M71+K71+H71)</f>
        <v>#N/A</v>
      </c>
      <c r="Q71" s="204"/>
      <c r="R71" s="200" t="e">
        <f aca="false">IF($A72="","",VLOOKUP($A71,Table,MATCH(R$4,Curves,0)))</f>
        <v>#N/A</v>
      </c>
      <c r="S71" s="201" t="e">
        <f aca="false">IF(A72="","",R71)</f>
        <v>#N/A</v>
      </c>
      <c r="T71" s="200" t="e">
        <f aca="false">IF($A72="","",VLOOKUP($A71,Table,MATCH(T$4,Curves,0)))</f>
        <v>#N/A</v>
      </c>
      <c r="U71" s="201" t="e">
        <f aca="false">IF(A72="","",T71)</f>
        <v>#N/A</v>
      </c>
      <c r="V71" s="205" t="e">
        <f aca="false">IF($A72="","",IF(AND(MONTH(A71)&gt;3,MONTH(A71)&lt;11),(T71+R71+G71)*Summary!$T$10/(1-Summary!$T$10),(T71+R71+G71)*Summary!$U$10/(1-Summary!$U$10)))</f>
        <v>#N/A</v>
      </c>
      <c r="W71" s="200" t="e">
        <f aca="false">IF($A72="","",(T71+R71+G71+V71))</f>
        <v>#N/A</v>
      </c>
      <c r="X71" s="200" t="e">
        <f aca="false">IF($A72="","",(U71+S71+H71+V71))</f>
        <v>#N/A</v>
      </c>
      <c r="Y71" s="202"/>
      <c r="Z71" s="185" t="e">
        <f aca="false">IF($A72="","",VLOOKUP($A71,Table,MATCH(Z$4,Curves,0)))</f>
        <v>#N/A</v>
      </c>
      <c r="AA71" s="185" t="e">
        <f aca="false">IF($A72="","",VLOOKUP($A71,Table,MATCH(AA$4,Curves,0)))</f>
        <v>#N/A</v>
      </c>
      <c r="AB71" s="185" t="e">
        <f aca="false">SQRT((AA71^2*(A71-$D$3)+Z71^2*(DAY(EOMONTH(A71,0))/2))/AK71)</f>
        <v>#N/A</v>
      </c>
      <c r="AC71" s="185" t="e">
        <f aca="false">IF($A72="","",VLOOKUP($A71,Table,MATCH(AC$4,Curves,0)))</f>
        <v>#N/A</v>
      </c>
      <c r="AD71" s="185" t="e">
        <f aca="false">IF($A72="","",VLOOKUP($A71,Table,MATCH(AD$4,Curves,0)))</f>
        <v>#N/A</v>
      </c>
      <c r="AE71" s="185" t="e">
        <f aca="false">SQRT((AD71^2*(A71-$D$3)+AC71^2*(DAY(EOMONTH(A71,0))/2))/AK71)</f>
        <v>#N/A</v>
      </c>
      <c r="AF71" s="224" t="e">
        <f aca="false">((Summary!$N$10*(AA71*AD71)*(A71-$D$3))+(Summary!$M$10*Z71*AC71*(AJ71-EOMONTH(EDATE(A71,-1),0))))/(AK71*AB71*AE71)</f>
        <v>#N/A</v>
      </c>
      <c r="AG71" s="207" t="n">
        <f aca="false">IF($A72="","",Summary!$Q$10)</f>
        <v>0</v>
      </c>
      <c r="AH71" s="207" t="n">
        <f aca="false">IF($A72="","",IF(Summary!$R$10="Y",(VLOOKUP($A71,Summary!$AD$6:$AF$9,3)+'Escalating commodity'!F84),'Escalating commodity'!F84))</f>
        <v>0.0158208</v>
      </c>
      <c r="AI71" s="207" t="n">
        <f aca="false">IF($A72="","",AH71)</f>
        <v>0.0158208</v>
      </c>
      <c r="AJ71" s="208" t="n">
        <f aca="false">A71+DAY(EOMONTH(A71,0))/2-1</f>
        <v>38913.5</v>
      </c>
      <c r="AK71" s="209" t="n">
        <f aca="false">IF($A72="","",$A71-$E$1)</f>
        <v>-7027</v>
      </c>
      <c r="AL71" s="182" t="e">
        <f aca="false">IF($A72="","",SPRDOPT(P71,X71,AI71,0,AB71,AE71,AF71,AK71,$AJ$2,0))</f>
        <v>#NAME?</v>
      </c>
      <c r="AM71" s="211" t="e">
        <f aca="false">IF($A72="","",MAX(0,O71-W71-AI71))</f>
        <v>#N/A</v>
      </c>
      <c r="AN71" s="211" t="e">
        <f aca="false">IF($A72="","",AL71-AM71)</f>
        <v>#N/A</v>
      </c>
      <c r="AO71" s="137" t="n">
        <f aca="false">IF(A72="","",A72-A71)</f>
        <v>31</v>
      </c>
      <c r="AP71" s="212" t="n">
        <f aca="false">IF(A72="","",CHOOSE(F$3,A72+24,A71))</f>
        <v>38899</v>
      </c>
      <c r="AQ71" s="209" t="n">
        <f aca="false">IF(A72="","",AP71-$E$1)</f>
        <v>-7027</v>
      </c>
      <c r="AR71" s="185" t="n">
        <f aca="false">'ANR OK vs ML7'!AR71</f>
        <v>0.1</v>
      </c>
      <c r="AS71" s="213" t="n">
        <f aca="false">IF(A72="","",1/(1+CHOOSE(F$3,(AR72+($I$3/10000))/2,(AR71+($I$3/10000))/2))^(2*AQ71/365.25))</f>
        <v>6.53606943835413</v>
      </c>
      <c r="AT71" s="137" t="n">
        <f aca="false">IF(A72="","",IF(AND(mthbeg&lt;=A71,mthend&gt;=A71),1,0))</f>
        <v>1</v>
      </c>
      <c r="AU71" s="137" t="n">
        <f aca="false">IF(A72="","",AO71*AT71)</f>
        <v>31</v>
      </c>
      <c r="AW71" s="195" t="e">
        <f aca="false">IF($A72="","",AL71*$E71)</f>
        <v>#NAME?</v>
      </c>
      <c r="AX71" s="195" t="e">
        <f aca="false">IF($A72="","",AM71*$E71)</f>
        <v>#N/A</v>
      </c>
      <c r="AY71" s="195" t="e">
        <f aca="false">IF($A72="","",AN71*$E71)</f>
        <v>#N/A</v>
      </c>
      <c r="BA71" s="195" t="n">
        <f aca="false">IF($A72="","",F71*Summary!$Q$10)</f>
        <v>0</v>
      </c>
      <c r="BC71" s="179" t="e">
        <f aca="false">IF(A72="","",AM71*F71)</f>
        <v>#N/A</v>
      </c>
    </row>
    <row r="72" customFormat="false" ht="12.75" hidden="false" customHeight="false" outlineLevel="0" collapsed="false">
      <c r="A72" s="196" t="n">
        <f aca="false">IF(A71&lt;mthend,EDATE(A71,1),"")</f>
        <v>38930</v>
      </c>
      <c r="B72" s="197" t="n">
        <f aca="false">IF(A72&lt;mthend,B71,"")</f>
        <v>119740</v>
      </c>
      <c r="C72" s="215"/>
      <c r="D72" s="197" t="n">
        <f aca="false">IF(A73&lt;&gt;"",B72+C72,"")</f>
        <v>119740</v>
      </c>
      <c r="E72" s="199" t="n">
        <f aca="false">IF(A73="","",IF(AND(AT72=1,$H$3=1),D72*AO72,IF($H$3=2,D72,"N/A")))</f>
        <v>3711940</v>
      </c>
      <c r="F72" s="199" t="n">
        <f aca="false">IF(A73="","",E72*AS72)</f>
        <v>24061394.3221365</v>
      </c>
      <c r="G72" s="200" t="e">
        <f aca="false">IF($A73="","",VLOOKUP($A72,Table,MATCH(G$4,Curves,0)))</f>
        <v>#N/A</v>
      </c>
      <c r="H72" s="201" t="e">
        <f aca="false">IF(A73="","",G72)</f>
        <v>#N/A</v>
      </c>
      <c r="I72" s="202"/>
      <c r="J72" s="200" t="e">
        <f aca="false">IF($A73="","",VLOOKUP($A72,Table,MATCH(J$4,Curves,0)))</f>
        <v>#N/A</v>
      </c>
      <c r="K72" s="201" t="e">
        <f aca="false">IF(A73="","",J72)</f>
        <v>#N/A</v>
      </c>
      <c r="L72" s="185" t="n">
        <v>0</v>
      </c>
      <c r="M72" s="201" t="n">
        <f aca="false">IF(A73="","",L72)</f>
        <v>0</v>
      </c>
      <c r="N72" s="203"/>
      <c r="O72" s="200" t="e">
        <f aca="false">IF(A73="","",L72+J72+G72)</f>
        <v>#N/A</v>
      </c>
      <c r="P72" s="200" t="e">
        <f aca="false">IF(A73="","",M72+K72+H72)</f>
        <v>#N/A</v>
      </c>
      <c r="Q72" s="204"/>
      <c r="R72" s="200" t="e">
        <f aca="false">IF($A73="","",VLOOKUP($A72,Table,MATCH(R$4,Curves,0)))</f>
        <v>#N/A</v>
      </c>
      <c r="S72" s="201" t="e">
        <f aca="false">IF(A73="","",R72)</f>
        <v>#N/A</v>
      </c>
      <c r="T72" s="200" t="e">
        <f aca="false">IF($A73="","",VLOOKUP($A72,Table,MATCH(T$4,Curves,0)))</f>
        <v>#N/A</v>
      </c>
      <c r="U72" s="201" t="e">
        <f aca="false">IF(A73="","",T72)</f>
        <v>#N/A</v>
      </c>
      <c r="V72" s="205" t="e">
        <f aca="false">IF($A73="","",IF(AND(MONTH(A72)&gt;3,MONTH(A72)&lt;11),(T72+R72+G72)*Summary!$T$10/(1-Summary!$T$10),(T72+R72+G72)*Summary!$U$10/(1-Summary!$U$10)))</f>
        <v>#N/A</v>
      </c>
      <c r="W72" s="200" t="e">
        <f aca="false">IF($A73="","",(T72+R72+G72+V72))</f>
        <v>#N/A</v>
      </c>
      <c r="X72" s="200" t="e">
        <f aca="false">IF($A73="","",(U72+S72+H72+V72))</f>
        <v>#N/A</v>
      </c>
      <c r="Y72" s="202"/>
      <c r="Z72" s="185" t="e">
        <f aca="false">IF($A73="","",VLOOKUP($A72,Table,MATCH(Z$4,Curves,0)))</f>
        <v>#N/A</v>
      </c>
      <c r="AA72" s="185" t="e">
        <f aca="false">IF($A73="","",VLOOKUP($A72,Table,MATCH(AA$4,Curves,0)))</f>
        <v>#N/A</v>
      </c>
      <c r="AB72" s="185" t="e">
        <f aca="false">SQRT((AA72^2*(A72-$D$3)+Z72^2*(DAY(EOMONTH(A72,0))/2))/AK72)</f>
        <v>#N/A</v>
      </c>
      <c r="AC72" s="185" t="e">
        <f aca="false">IF($A73="","",VLOOKUP($A72,Table,MATCH(AC$4,Curves,0)))</f>
        <v>#N/A</v>
      </c>
      <c r="AD72" s="185" t="e">
        <f aca="false">IF($A73="","",VLOOKUP($A72,Table,MATCH(AD$4,Curves,0)))</f>
        <v>#N/A</v>
      </c>
      <c r="AE72" s="185" t="e">
        <f aca="false">SQRT((AD72^2*(A72-$D$3)+AC72^2*(DAY(EOMONTH(A72,0))/2))/AK72)</f>
        <v>#N/A</v>
      </c>
      <c r="AF72" s="224" t="e">
        <f aca="false">((Summary!$N$10*(AA72*AD72)*(A72-$D$3))+(Summary!$M$10*Z72*AC72*(AJ72-EOMONTH(EDATE(A72,-1),0))))/(AK72*AB72*AE72)</f>
        <v>#N/A</v>
      </c>
      <c r="AG72" s="207" t="n">
        <f aca="false">IF($A73="","",Summary!$Q$10)</f>
        <v>0</v>
      </c>
      <c r="AH72" s="207" t="n">
        <f aca="false">IF($A73="","",IF(Summary!$R$10="Y",(VLOOKUP($A72,Summary!$AD$6:$AF$9,3)+'Escalating commodity'!F85),'Escalating commodity'!F85))</f>
        <v>0.0158208</v>
      </c>
      <c r="AI72" s="207" t="n">
        <f aca="false">IF($A73="","",AH72)</f>
        <v>0.0158208</v>
      </c>
      <c r="AJ72" s="208" t="n">
        <f aca="false">A72+DAY(EOMONTH(A72,0))/2-1</f>
        <v>38944.5</v>
      </c>
      <c r="AK72" s="209" t="n">
        <f aca="false">IF($A73="","",$A72-$E$1)</f>
        <v>-6996</v>
      </c>
      <c r="AL72" s="182" t="e">
        <f aca="false">IF($A73="","",SPRDOPT(P72,X72,AI72,0,AB72,AE72,AF72,AK72,$AJ$2,0))</f>
        <v>#NAME?</v>
      </c>
      <c r="AM72" s="211" t="e">
        <f aca="false">IF($A73="","",MAX(0,O72-W72-AI72))</f>
        <v>#N/A</v>
      </c>
      <c r="AN72" s="211" t="e">
        <f aca="false">IF($A73="","",AL72-AM72)</f>
        <v>#N/A</v>
      </c>
      <c r="AO72" s="137" t="n">
        <f aca="false">IF(A73="","",A73-A72)</f>
        <v>31</v>
      </c>
      <c r="AP72" s="212" t="n">
        <f aca="false">IF(A73="","",CHOOSE(F$3,A73+24,A72))</f>
        <v>38930</v>
      </c>
      <c r="AQ72" s="209" t="n">
        <f aca="false">IF(A73="","",AP72-$E$1)</f>
        <v>-6996</v>
      </c>
      <c r="AR72" s="185" t="n">
        <f aca="false">'ANR OK vs ML7'!AR72</f>
        <v>0.1</v>
      </c>
      <c r="AS72" s="213" t="n">
        <f aca="false">IF(A73="","",1/(1+CHOOSE(F$3,(AR73+($I$3/10000))/2,(AR72+($I$3/10000))/2))^(2*AQ72/365.25))</f>
        <v>6.48216143637465</v>
      </c>
      <c r="AT72" s="137" t="n">
        <f aca="false">IF(A73="","",IF(AND(mthbeg&lt;=A72,mthend&gt;=A72),1,0))</f>
        <v>1</v>
      </c>
      <c r="AU72" s="137" t="n">
        <f aca="false">IF(A73="","",AO72*AT72)</f>
        <v>31</v>
      </c>
      <c r="AW72" s="195" t="e">
        <f aca="false">IF($A73="","",AL72*$E72)</f>
        <v>#NAME?</v>
      </c>
      <c r="AX72" s="195" t="e">
        <f aca="false">IF($A73="","",AM72*$E72)</f>
        <v>#N/A</v>
      </c>
      <c r="AY72" s="195" t="e">
        <f aca="false">IF($A73="","",AN72*$E72)</f>
        <v>#N/A</v>
      </c>
      <c r="BA72" s="195" t="n">
        <f aca="false">IF($A73="","",F72*Summary!$Q$10)</f>
        <v>0</v>
      </c>
      <c r="BC72" s="179" t="e">
        <f aca="false">IF(A73="","",AM72*F72)</f>
        <v>#N/A</v>
      </c>
    </row>
    <row r="73" customFormat="false" ht="12.75" hidden="false" customHeight="false" outlineLevel="0" collapsed="false">
      <c r="A73" s="196" t="n">
        <f aca="false">IF(A72&lt;mthend,EDATE(A72,1),"")</f>
        <v>38961</v>
      </c>
      <c r="B73" s="197" t="n">
        <f aca="false">IF(A73&lt;mthend,B72,"")</f>
        <v>119740</v>
      </c>
      <c r="C73" s="215"/>
      <c r="D73" s="197" t="n">
        <f aca="false">IF(A74&lt;&gt;"",B73+C73,"")</f>
        <v>119740</v>
      </c>
      <c r="E73" s="199" t="n">
        <f aca="false">IF(A74="","",IF(AND(AT73=1,$H$3=1),D73*AO73,IF($H$3=2,D73,"N/A")))</f>
        <v>3592200</v>
      </c>
      <c r="F73" s="199" t="n">
        <f aca="false">IF(A74="","",E73*AS73)</f>
        <v>23093169.1540122</v>
      </c>
      <c r="G73" s="200" t="e">
        <f aca="false">IF($A74="","",VLOOKUP($A73,Table,MATCH(G$4,Curves,0)))</f>
        <v>#N/A</v>
      </c>
      <c r="H73" s="201" t="e">
        <f aca="false">IF(A74="","",G73)</f>
        <v>#N/A</v>
      </c>
      <c r="I73" s="202"/>
      <c r="J73" s="200" t="e">
        <f aca="false">IF($A74="","",VLOOKUP($A73,Table,MATCH(J$4,Curves,0)))</f>
        <v>#N/A</v>
      </c>
      <c r="K73" s="201" t="e">
        <f aca="false">IF(A74="","",J73)</f>
        <v>#N/A</v>
      </c>
      <c r="L73" s="185" t="n">
        <v>0</v>
      </c>
      <c r="M73" s="201" t="n">
        <f aca="false">IF(A74="","",L73)</f>
        <v>0</v>
      </c>
      <c r="N73" s="203"/>
      <c r="O73" s="200" t="e">
        <f aca="false">IF(A74="","",L73+J73+G73)</f>
        <v>#N/A</v>
      </c>
      <c r="P73" s="200" t="e">
        <f aca="false">IF(A74="","",M73+K73+H73)</f>
        <v>#N/A</v>
      </c>
      <c r="Q73" s="204"/>
      <c r="R73" s="200" t="e">
        <f aca="false">IF($A74="","",VLOOKUP($A73,Table,MATCH(R$4,Curves,0)))</f>
        <v>#N/A</v>
      </c>
      <c r="S73" s="201" t="e">
        <f aca="false">IF(A74="","",R73)</f>
        <v>#N/A</v>
      </c>
      <c r="T73" s="200" t="e">
        <f aca="false">IF($A74="","",VLOOKUP($A73,Table,MATCH(T$4,Curves,0)))</f>
        <v>#N/A</v>
      </c>
      <c r="U73" s="201" t="e">
        <f aca="false">IF(A74="","",T73)</f>
        <v>#N/A</v>
      </c>
      <c r="V73" s="205" t="e">
        <f aca="false">IF($A74="","",IF(AND(MONTH(A73)&gt;3,MONTH(A73)&lt;11),(T73+R73+G73)*Summary!$T$10/(1-Summary!$T$10),(T73+R73+G73)*Summary!$U$10/(1-Summary!$U$10)))</f>
        <v>#N/A</v>
      </c>
      <c r="W73" s="200" t="e">
        <f aca="false">IF($A74="","",(T73+R73+G73+V73))</f>
        <v>#N/A</v>
      </c>
      <c r="X73" s="200" t="e">
        <f aca="false">IF($A74="","",(U73+S73+H73+V73))</f>
        <v>#N/A</v>
      </c>
      <c r="Y73" s="202"/>
      <c r="Z73" s="185" t="e">
        <f aca="false">IF($A74="","",VLOOKUP($A73,Table,MATCH(Z$4,Curves,0)))</f>
        <v>#N/A</v>
      </c>
      <c r="AA73" s="185" t="e">
        <f aca="false">IF($A74="","",VLOOKUP($A73,Table,MATCH(AA$4,Curves,0)))</f>
        <v>#N/A</v>
      </c>
      <c r="AB73" s="185" t="e">
        <f aca="false">SQRT((AA73^2*(A73-$D$3)+Z73^2*(DAY(EOMONTH(A73,0))/2))/AK73)</f>
        <v>#N/A</v>
      </c>
      <c r="AC73" s="185" t="e">
        <f aca="false">IF($A74="","",VLOOKUP($A73,Table,MATCH(AC$4,Curves,0)))</f>
        <v>#N/A</v>
      </c>
      <c r="AD73" s="185" t="e">
        <f aca="false">IF($A74="","",VLOOKUP($A73,Table,MATCH(AD$4,Curves,0)))</f>
        <v>#N/A</v>
      </c>
      <c r="AE73" s="185" t="e">
        <f aca="false">SQRT((AD73^2*(A73-$D$3)+AC73^2*(DAY(EOMONTH(A73,0))/2))/AK73)</f>
        <v>#N/A</v>
      </c>
      <c r="AF73" s="224" t="e">
        <f aca="false">((Summary!$N$10*(AA73*AD73)*(A73-$D$3))+(Summary!$M$10*Z73*AC73*(AJ73-EOMONTH(EDATE(A73,-1),0))))/(AK73*AB73*AE73)</f>
        <v>#N/A</v>
      </c>
      <c r="AG73" s="207" t="n">
        <f aca="false">IF($A74="","",Summary!$Q$10)</f>
        <v>0</v>
      </c>
      <c r="AH73" s="207" t="n">
        <f aca="false">IF($A74="","",IF(Summary!$R$10="Y",(VLOOKUP($A73,Summary!$AD$6:$AF$9,3)+'Escalating commodity'!F86),'Escalating commodity'!F86))</f>
        <v>0.0158208</v>
      </c>
      <c r="AI73" s="207" t="n">
        <f aca="false">IF($A74="","",AH73)</f>
        <v>0.0158208</v>
      </c>
      <c r="AJ73" s="208" t="n">
        <f aca="false">A73+DAY(EOMONTH(A73,0))/2-1</f>
        <v>38975</v>
      </c>
      <c r="AK73" s="209" t="n">
        <f aca="false">IF($A74="","",$A73-$E$1)</f>
        <v>-6965</v>
      </c>
      <c r="AL73" s="182" t="e">
        <f aca="false">IF($A74="","",SPRDOPT(P73,X73,AI73,0,AB73,AE73,AF73,AK73,$AJ$2,0))</f>
        <v>#NAME?</v>
      </c>
      <c r="AM73" s="211" t="e">
        <f aca="false">IF($A74="","",MAX(0,O73-W73-AI73))</f>
        <v>#N/A</v>
      </c>
      <c r="AN73" s="211" t="e">
        <f aca="false">IF($A74="","",AL73-AM73)</f>
        <v>#N/A</v>
      </c>
      <c r="AO73" s="137" t="n">
        <f aca="false">IF(A74="","",A74-A73)</f>
        <v>30</v>
      </c>
      <c r="AP73" s="212" t="n">
        <f aca="false">IF(A74="","",CHOOSE(F$3,A74+24,A73))</f>
        <v>38961</v>
      </c>
      <c r="AQ73" s="209" t="n">
        <f aca="false">IF(A74="","",AP73-$E$1)</f>
        <v>-6965</v>
      </c>
      <c r="AR73" s="185" t="n">
        <f aca="false">'ANR OK vs ML7'!AR73</f>
        <v>0.1</v>
      </c>
      <c r="AS73" s="213" t="n">
        <f aca="false">IF(A74="","",1/(1+CHOOSE(F$3,(AR74+($I$3/10000))/2,(AR73+($I$3/10000))/2))^(2*AQ73/365.25))</f>
        <v>6.42869805523417</v>
      </c>
      <c r="AT73" s="137" t="n">
        <f aca="false">IF(A74="","",IF(AND(mthbeg&lt;=A73,mthend&gt;=A73),1,0))</f>
        <v>1</v>
      </c>
      <c r="AU73" s="137" t="n">
        <f aca="false">IF(A74="","",AO73*AT73)</f>
        <v>30</v>
      </c>
      <c r="AW73" s="195" t="e">
        <f aca="false">IF($A74="","",AL73*$E73)</f>
        <v>#NAME?</v>
      </c>
      <c r="AX73" s="195" t="e">
        <f aca="false">IF($A74="","",AM73*$E73)</f>
        <v>#N/A</v>
      </c>
      <c r="AY73" s="195" t="e">
        <f aca="false">IF($A74="","",AN73*$E73)</f>
        <v>#N/A</v>
      </c>
      <c r="BA73" s="195" t="n">
        <f aca="false">IF($A74="","",F73*Summary!$Q$10)</f>
        <v>0</v>
      </c>
      <c r="BC73" s="179" t="e">
        <f aca="false">IF(A74="","",AM73*F73)</f>
        <v>#N/A</v>
      </c>
    </row>
    <row r="74" customFormat="false" ht="12.75" hidden="false" customHeight="false" outlineLevel="0" collapsed="false">
      <c r="A74" s="196" t="n">
        <f aca="false">IF(A73&lt;mthend,EDATE(A73,1),"")</f>
        <v>38991</v>
      </c>
      <c r="B74" s="197" t="n">
        <f aca="false">IF(A74&lt;mthend,B73,"")</f>
        <v>119740</v>
      </c>
      <c r="C74" s="215"/>
      <c r="D74" s="197" t="n">
        <f aca="false">IF(A75&lt;&gt;"",B74+C74,"")</f>
        <v>119740</v>
      </c>
      <c r="E74" s="199" t="n">
        <f aca="false">IF(A75="","",IF(AND(AT74=1,$H$3=1),D74*AO74,IF($H$3=2,D74,"N/A")))</f>
        <v>3711940</v>
      </c>
      <c r="F74" s="199" t="n">
        <f aca="false">IF(A75="","",E74*AS74)</f>
        <v>23672448.8855421</v>
      </c>
      <c r="G74" s="200" t="e">
        <f aca="false">IF($A75="","",VLOOKUP($A74,Table,MATCH(G$4,Curves,0)))</f>
        <v>#N/A</v>
      </c>
      <c r="H74" s="201" t="e">
        <f aca="false">IF(A75="","",G74)</f>
        <v>#N/A</v>
      </c>
      <c r="I74" s="202"/>
      <c r="J74" s="200" t="e">
        <f aca="false">IF($A75="","",VLOOKUP($A74,Table,MATCH(J$4,Curves,0)))</f>
        <v>#N/A</v>
      </c>
      <c r="K74" s="201" t="e">
        <f aca="false">IF(A75="","",J74)</f>
        <v>#N/A</v>
      </c>
      <c r="L74" s="185" t="n">
        <v>0</v>
      </c>
      <c r="M74" s="201" t="n">
        <f aca="false">IF(A75="","",L74)</f>
        <v>0</v>
      </c>
      <c r="N74" s="203"/>
      <c r="O74" s="200" t="e">
        <f aca="false">IF(A75="","",L74+J74+G74)</f>
        <v>#N/A</v>
      </c>
      <c r="P74" s="200" t="e">
        <f aca="false">IF(A75="","",M74+K74+H74)</f>
        <v>#N/A</v>
      </c>
      <c r="Q74" s="204"/>
      <c r="R74" s="200" t="e">
        <f aca="false">IF($A75="","",VLOOKUP($A74,Table,MATCH(R$4,Curves,0)))</f>
        <v>#N/A</v>
      </c>
      <c r="S74" s="201" t="e">
        <f aca="false">IF(A75="","",R74)</f>
        <v>#N/A</v>
      </c>
      <c r="T74" s="200" t="e">
        <f aca="false">IF($A75="","",VLOOKUP($A74,Table,MATCH(T$4,Curves,0)))</f>
        <v>#N/A</v>
      </c>
      <c r="U74" s="201" t="e">
        <f aca="false">IF(A75="","",T74)</f>
        <v>#N/A</v>
      </c>
      <c r="V74" s="205" t="e">
        <f aca="false">IF($A75="","",IF(AND(MONTH(A74)&gt;3,MONTH(A74)&lt;11),(T74+R74+G74)*Summary!$T$10/(1-Summary!$T$10),(T74+R74+G74)*Summary!$U$10/(1-Summary!$U$10)))</f>
        <v>#N/A</v>
      </c>
      <c r="W74" s="200" t="e">
        <f aca="false">IF($A75="","",(T74+R74+G74+V74))</f>
        <v>#N/A</v>
      </c>
      <c r="X74" s="200" t="e">
        <f aca="false">IF($A75="","",(U74+S74+H74+V74))</f>
        <v>#N/A</v>
      </c>
      <c r="Y74" s="202"/>
      <c r="Z74" s="185" t="e">
        <f aca="false">IF($A75="","",VLOOKUP($A74,Table,MATCH(Z$4,Curves,0)))</f>
        <v>#N/A</v>
      </c>
      <c r="AA74" s="185" t="e">
        <f aca="false">IF($A75="","",VLOOKUP($A74,Table,MATCH(AA$4,Curves,0)))</f>
        <v>#N/A</v>
      </c>
      <c r="AB74" s="185" t="e">
        <f aca="false">SQRT((AA74^2*(A74-$D$3)+Z74^2*(DAY(EOMONTH(A74,0))/2))/AK74)</f>
        <v>#N/A</v>
      </c>
      <c r="AC74" s="185" t="e">
        <f aca="false">IF($A75="","",VLOOKUP($A74,Table,MATCH(AC$4,Curves,0)))</f>
        <v>#N/A</v>
      </c>
      <c r="AD74" s="185" t="e">
        <f aca="false">IF($A75="","",VLOOKUP($A74,Table,MATCH(AD$4,Curves,0)))</f>
        <v>#N/A</v>
      </c>
      <c r="AE74" s="185" t="e">
        <f aca="false">SQRT((AD74^2*(A74-$D$3)+AC74^2*(DAY(EOMONTH(A74,0))/2))/AK74)</f>
        <v>#N/A</v>
      </c>
      <c r="AF74" s="224" t="e">
        <f aca="false">((Summary!$N$10*(AA74*AD74)*(A74-$D$3))+(Summary!$M$10*Z74*AC74*(AJ74-EOMONTH(EDATE(A74,-1),0))))/(AK74*AB74*AE74)</f>
        <v>#N/A</v>
      </c>
      <c r="AG74" s="207" t="n">
        <f aca="false">IF($A75="","",Summary!$Q$10)</f>
        <v>0</v>
      </c>
      <c r="AH74" s="207" t="n">
        <f aca="false">IF($A75="","",IF(Summary!$R$10="Y",(VLOOKUP($A74,Summary!$AD$6:$AF$9,3)+'Escalating commodity'!F87),'Escalating commodity'!F87))</f>
        <v>0.0158208</v>
      </c>
      <c r="AI74" s="207" t="n">
        <f aca="false">IF($A75="","",AH74)</f>
        <v>0.0158208</v>
      </c>
      <c r="AJ74" s="208" t="n">
        <f aca="false">A74+DAY(EOMONTH(A74,0))/2-1</f>
        <v>39005.5</v>
      </c>
      <c r="AK74" s="209" t="n">
        <f aca="false">IF($A75="","",$A74-$E$1)</f>
        <v>-6935</v>
      </c>
      <c r="AL74" s="182" t="e">
        <f aca="false">IF($A75="","",SPRDOPT(P74,X74,AI74,0,AB74,AE74,AF74,AK74,$AJ$2,0))</f>
        <v>#NAME?</v>
      </c>
      <c r="AM74" s="211" t="e">
        <f aca="false">IF($A75="","",MAX(0,O74-W74-AI74))</f>
        <v>#N/A</v>
      </c>
      <c r="AN74" s="211" t="e">
        <f aca="false">IF($A75="","",AL74-AM74)</f>
        <v>#N/A</v>
      </c>
      <c r="AO74" s="137" t="n">
        <f aca="false">IF(A75="","",A75-A74)</f>
        <v>31</v>
      </c>
      <c r="AP74" s="212" t="n">
        <f aca="false">IF(A75="","",CHOOSE(F$3,A75+24,A74))</f>
        <v>38991</v>
      </c>
      <c r="AQ74" s="209" t="n">
        <f aca="false">IF(A75="","",AP74-$E$1)</f>
        <v>-6935</v>
      </c>
      <c r="AR74" s="185" t="n">
        <f aca="false">'ANR OK vs ML7'!AR74</f>
        <v>0.1</v>
      </c>
      <c r="AS74" s="213" t="n">
        <f aca="false">IF(A75="","",1/(1+CHOOSE(F$3,(AR75+($I$3/10000))/2,(AR74+($I$3/10000))/2))^(2*AQ74/365.25))</f>
        <v>6.37737918326861</v>
      </c>
      <c r="AT74" s="137" t="n">
        <f aca="false">IF(A75="","",IF(AND(mthbeg&lt;=A74,mthend&gt;=A74),1,0))</f>
        <v>1</v>
      </c>
      <c r="AU74" s="137" t="n">
        <f aca="false">IF(A75="","",AO74*AT74)</f>
        <v>31</v>
      </c>
      <c r="AW74" s="195" t="e">
        <f aca="false">IF($A75="","",AL74*$E74)</f>
        <v>#NAME?</v>
      </c>
      <c r="AX74" s="195" t="e">
        <f aca="false">IF($A75="","",AM74*$E74)</f>
        <v>#N/A</v>
      </c>
      <c r="AY74" s="195" t="e">
        <f aca="false">IF($A75="","",AN74*$E74)</f>
        <v>#N/A</v>
      </c>
      <c r="BA74" s="195" t="n">
        <f aca="false">IF($A75="","",F74*Summary!$Q$10)</f>
        <v>0</v>
      </c>
      <c r="BC74" s="179" t="e">
        <f aca="false">IF(A75="","",AM74*F74)</f>
        <v>#N/A</v>
      </c>
    </row>
    <row r="75" customFormat="false" ht="12.75" hidden="false" customHeight="false" outlineLevel="0" collapsed="false">
      <c r="A75" s="196" t="n">
        <f aca="false">IF(A74&lt;mthend,EDATE(A74,1),"")</f>
        <v>39022</v>
      </c>
      <c r="B75" s="197" t="n">
        <f aca="false">IF(A75&lt;mthend,B74,"")</f>
        <v>119740</v>
      </c>
      <c r="C75" s="215"/>
      <c r="D75" s="197" t="n">
        <f aca="false">IF(A76&lt;&gt;"",B75+C75,"")</f>
        <v>119740</v>
      </c>
      <c r="E75" s="199" t="n">
        <f aca="false">IF(A76="","",IF(AND(AT75=1,$H$3=1),D75*AO75,IF($H$3=2,D75,"N/A")))</f>
        <v>3592200</v>
      </c>
      <c r="F75" s="199" t="n">
        <f aca="false">IF(A76="","",E75*AS75)</f>
        <v>22719874.7954765</v>
      </c>
      <c r="G75" s="200" t="e">
        <f aca="false">IF($A76="","",VLOOKUP($A75,Table,MATCH(G$4,Curves,0)))</f>
        <v>#N/A</v>
      </c>
      <c r="H75" s="201" t="e">
        <f aca="false">IF(A76="","",G75)</f>
        <v>#N/A</v>
      </c>
      <c r="I75" s="202"/>
      <c r="J75" s="200" t="e">
        <f aca="false">IF($A76="","",VLOOKUP($A75,Table,MATCH(J$4,Curves,0)))</f>
        <v>#N/A</v>
      </c>
      <c r="K75" s="201" t="e">
        <f aca="false">IF(A76="","",J75)</f>
        <v>#N/A</v>
      </c>
      <c r="L75" s="185" t="n">
        <v>0</v>
      </c>
      <c r="M75" s="201" t="n">
        <f aca="false">IF(A76="","",L75)</f>
        <v>0</v>
      </c>
      <c r="N75" s="203"/>
      <c r="O75" s="200" t="e">
        <f aca="false">IF(A76="","",L75+J75+G75)</f>
        <v>#N/A</v>
      </c>
      <c r="P75" s="200" t="e">
        <f aca="false">IF(A76="","",M75+K75+H75)</f>
        <v>#N/A</v>
      </c>
      <c r="Q75" s="204"/>
      <c r="R75" s="200" t="e">
        <f aca="false">IF($A76="","",VLOOKUP($A75,Table,MATCH(R$4,Curves,0)))</f>
        <v>#N/A</v>
      </c>
      <c r="S75" s="201" t="e">
        <f aca="false">IF(A76="","",R75)</f>
        <v>#N/A</v>
      </c>
      <c r="T75" s="200" t="e">
        <f aca="false">IF($A76="","",VLOOKUP($A75,Table,MATCH(T$4,Curves,0)))</f>
        <v>#N/A</v>
      </c>
      <c r="U75" s="201" t="e">
        <f aca="false">IF(A76="","",T75)</f>
        <v>#N/A</v>
      </c>
      <c r="V75" s="205" t="e">
        <f aca="false">IF($A76="","",IF(AND(MONTH(A75)&gt;3,MONTH(A75)&lt;11),(T75+R75+G75)*Summary!$T$10/(1-Summary!$T$10),(T75+R75+G75)*Summary!$U$10/(1-Summary!$U$10)))</f>
        <v>#N/A</v>
      </c>
      <c r="W75" s="200" t="e">
        <f aca="false">IF($A76="","",(T75+R75+G75+V75))</f>
        <v>#N/A</v>
      </c>
      <c r="X75" s="200" t="e">
        <f aca="false">IF($A76="","",(U75+S75+H75+V75))</f>
        <v>#N/A</v>
      </c>
      <c r="Y75" s="202"/>
      <c r="Z75" s="185" t="e">
        <f aca="false">IF($A76="","",VLOOKUP($A75,Table,MATCH(Z$4,Curves,0)))</f>
        <v>#N/A</v>
      </c>
      <c r="AA75" s="185" t="e">
        <f aca="false">IF($A76="","",VLOOKUP($A75,Table,MATCH(AA$4,Curves,0)))</f>
        <v>#N/A</v>
      </c>
      <c r="AB75" s="185" t="e">
        <f aca="false">SQRT((AA75^2*(A75-$D$3)+Z75^2*(DAY(EOMONTH(A75,0))/2))/AK75)</f>
        <v>#N/A</v>
      </c>
      <c r="AC75" s="185" t="e">
        <f aca="false">IF($A76="","",VLOOKUP($A75,Table,MATCH(AC$4,Curves,0)))</f>
        <v>#N/A</v>
      </c>
      <c r="AD75" s="185" t="e">
        <f aca="false">IF($A76="","",VLOOKUP($A75,Table,MATCH(AD$4,Curves,0)))</f>
        <v>#N/A</v>
      </c>
      <c r="AE75" s="185" t="e">
        <f aca="false">SQRT((AD75^2*(A75-$D$3)+AC75^2*(DAY(EOMONTH(A75,0))/2))/AK75)</f>
        <v>#N/A</v>
      </c>
      <c r="AF75" s="224" t="e">
        <f aca="false">((Summary!$N$10*(AA75*AD75)*(A75-$D$3))+(Summary!$M$10*Z75*AC75*(AJ75-EOMONTH(EDATE(A75,-1),0))))/(AK75*AB75*AE75)</f>
        <v>#N/A</v>
      </c>
      <c r="AG75" s="207" t="n">
        <f aca="false">IF($A76="","",Summary!$Q$10)</f>
        <v>0</v>
      </c>
      <c r="AH75" s="207" t="n">
        <f aca="false">IF($A76="","",IF(Summary!$R$10="Y",(VLOOKUP($A75,Summary!$AD$6:$AF$9,3)+'Escalating commodity'!F88),'Escalating commodity'!F88))</f>
        <v>0.0158208</v>
      </c>
      <c r="AI75" s="207" t="n">
        <f aca="false">IF($A76="","",AH75)</f>
        <v>0.0158208</v>
      </c>
      <c r="AJ75" s="208" t="n">
        <f aca="false">A75+DAY(EOMONTH(A75,0))/2-1</f>
        <v>39036</v>
      </c>
      <c r="AK75" s="209" t="n">
        <f aca="false">IF($A76="","",$A75-$E$1)</f>
        <v>-6904</v>
      </c>
      <c r="AL75" s="182" t="e">
        <f aca="false">IF($A76="","",SPRDOPT(P75,X75,AI75,0,AB75,AE75,AF75,AK75,$AJ$2,0))</f>
        <v>#NAME?</v>
      </c>
      <c r="AM75" s="211" t="e">
        <f aca="false">IF($A76="","",MAX(0,O75-W75-AI75))</f>
        <v>#N/A</v>
      </c>
      <c r="AN75" s="211" t="e">
        <f aca="false">IF($A76="","",AL75-AM75)</f>
        <v>#N/A</v>
      </c>
      <c r="AO75" s="137" t="n">
        <f aca="false">IF(A76="","",A76-A75)</f>
        <v>30</v>
      </c>
      <c r="AP75" s="212" t="n">
        <f aca="false">IF(A76="","",CHOOSE(F$3,A76+24,A75))</f>
        <v>39022</v>
      </c>
      <c r="AQ75" s="209" t="n">
        <f aca="false">IF(A76="","",AP75-$E$1)</f>
        <v>-6904</v>
      </c>
      <c r="AR75" s="185" t="n">
        <f aca="false">'ANR OK vs ML7'!AR75</f>
        <v>0.1</v>
      </c>
      <c r="AS75" s="213" t="n">
        <f aca="false">IF(A76="","",1/(1+CHOOSE(F$3,(AR76+($I$3/10000))/2,(AR75+($I$3/10000))/2))^(2*AQ75/365.25))</f>
        <v>6.32478002212474</v>
      </c>
      <c r="AT75" s="137" t="n">
        <f aca="false">IF(A76="","",IF(AND(mthbeg&lt;=A75,mthend&gt;=A75),1,0))</f>
        <v>1</v>
      </c>
      <c r="AU75" s="137" t="n">
        <f aca="false">IF(A76="","",AO75*AT75)</f>
        <v>30</v>
      </c>
      <c r="AW75" s="195" t="e">
        <f aca="false">IF($A76="","",AL75*$E75)</f>
        <v>#NAME?</v>
      </c>
      <c r="AX75" s="195" t="e">
        <f aca="false">IF($A76="","",AM75*$E75)</f>
        <v>#N/A</v>
      </c>
      <c r="AY75" s="195" t="e">
        <f aca="false">IF($A76="","",AN75*$E75)</f>
        <v>#N/A</v>
      </c>
      <c r="BA75" s="195" t="n">
        <f aca="false">IF($A76="","",F75*Summary!$Q$10)</f>
        <v>0</v>
      </c>
      <c r="BC75" s="179" t="e">
        <f aca="false">IF(A76="","",AM75*F75)</f>
        <v>#N/A</v>
      </c>
    </row>
    <row r="76" customFormat="false" ht="12.75" hidden="false" customHeight="false" outlineLevel="0" collapsed="false">
      <c r="A76" s="196" t="n">
        <f aca="false">IF(A75&lt;mthend,EDATE(A75,1),"")</f>
        <v>39052</v>
      </c>
      <c r="B76" s="197" t="n">
        <f aca="false">IF(A76&lt;mthend,B75,"")</f>
        <v>119740</v>
      </c>
      <c r="C76" s="215"/>
      <c r="D76" s="197" t="n">
        <f aca="false">IF(A77&lt;&gt;"",B76+C76,"")</f>
        <v>119740</v>
      </c>
      <c r="E76" s="199" t="n">
        <f aca="false">IF(A77="","",IF(AND(AT76=1,$H$3=1),D76*AO76,IF($H$3=2,D76,"N/A")))</f>
        <v>3711940</v>
      </c>
      <c r="F76" s="199" t="n">
        <f aca="false">IF(A77="","",E76*AS76)</f>
        <v>23289790.6387348</v>
      </c>
      <c r="G76" s="200" t="e">
        <f aca="false">IF($A77="","",VLOOKUP($A76,Table,MATCH(G$4,Curves,0)))</f>
        <v>#N/A</v>
      </c>
      <c r="H76" s="201" t="e">
        <f aca="false">IF(A77="","",G76)</f>
        <v>#N/A</v>
      </c>
      <c r="I76" s="202"/>
      <c r="J76" s="200" t="e">
        <f aca="false">IF($A77="","",VLOOKUP($A76,Table,MATCH(J$4,Curves,0)))</f>
        <v>#N/A</v>
      </c>
      <c r="K76" s="201" t="e">
        <f aca="false">IF(A77="","",J76)</f>
        <v>#N/A</v>
      </c>
      <c r="L76" s="185" t="n">
        <v>0</v>
      </c>
      <c r="M76" s="201" t="n">
        <f aca="false">IF(A77="","",L76)</f>
        <v>0</v>
      </c>
      <c r="N76" s="203"/>
      <c r="O76" s="200" t="e">
        <f aca="false">IF(A77="","",L76+J76+G76)</f>
        <v>#N/A</v>
      </c>
      <c r="P76" s="200" t="e">
        <f aca="false">IF(A77="","",M76+K76+H76)</f>
        <v>#N/A</v>
      </c>
      <c r="Q76" s="204"/>
      <c r="R76" s="200" t="e">
        <f aca="false">IF($A77="","",VLOOKUP($A76,Table,MATCH(R$4,Curves,0)))</f>
        <v>#N/A</v>
      </c>
      <c r="S76" s="201" t="e">
        <f aca="false">IF(A77="","",R76)</f>
        <v>#N/A</v>
      </c>
      <c r="T76" s="200" t="e">
        <f aca="false">IF($A77="","",VLOOKUP($A76,Table,MATCH(T$4,Curves,0)))</f>
        <v>#N/A</v>
      </c>
      <c r="U76" s="201" t="e">
        <f aca="false">IF(A77="","",T76)</f>
        <v>#N/A</v>
      </c>
      <c r="V76" s="205" t="e">
        <f aca="false">IF($A77="","",IF(AND(MONTH(A76)&gt;3,MONTH(A76)&lt;11),(T76+R76+G76)*Summary!$T$10/(1-Summary!$T$10),(T76+R76+G76)*Summary!$U$10/(1-Summary!$U$10)))</f>
        <v>#N/A</v>
      </c>
      <c r="W76" s="200" t="e">
        <f aca="false">IF($A77="","",(T76+R76+G76+V76))</f>
        <v>#N/A</v>
      </c>
      <c r="X76" s="200" t="e">
        <f aca="false">IF($A77="","",(U76+S76+H76+V76))</f>
        <v>#N/A</v>
      </c>
      <c r="Y76" s="202"/>
      <c r="Z76" s="185" t="e">
        <f aca="false">IF($A77="","",VLOOKUP($A76,Table,MATCH(Z$4,Curves,0)))</f>
        <v>#N/A</v>
      </c>
      <c r="AA76" s="185" t="e">
        <f aca="false">IF($A77="","",VLOOKUP($A76,Table,MATCH(AA$4,Curves,0)))</f>
        <v>#N/A</v>
      </c>
      <c r="AB76" s="185" t="e">
        <f aca="false">SQRT((AA76^2*(A76-$D$3)+Z76^2*(DAY(EOMONTH(A76,0))/2))/AK76)</f>
        <v>#N/A</v>
      </c>
      <c r="AC76" s="185" t="e">
        <f aca="false">IF($A77="","",VLOOKUP($A76,Table,MATCH(AC$4,Curves,0)))</f>
        <v>#N/A</v>
      </c>
      <c r="AD76" s="185" t="e">
        <f aca="false">IF($A77="","",VLOOKUP($A76,Table,MATCH(AD$4,Curves,0)))</f>
        <v>#N/A</v>
      </c>
      <c r="AE76" s="185" t="e">
        <f aca="false">SQRT((AD76^2*(A76-$D$3)+AC76^2*(DAY(EOMONTH(A76,0))/2))/AK76)</f>
        <v>#N/A</v>
      </c>
      <c r="AF76" s="224" t="e">
        <f aca="false">((Summary!$N$10*(AA76*AD76)*(A76-$D$3))+(Summary!$M$10*Z76*AC76*(AJ76-EOMONTH(EDATE(A76,-1),0))))/(AK76*AB76*AE76)</f>
        <v>#N/A</v>
      </c>
      <c r="AG76" s="207" t="n">
        <f aca="false">IF($A77="","",Summary!$Q$10)</f>
        <v>0</v>
      </c>
      <c r="AH76" s="207" t="n">
        <f aca="false">IF($A77="","",IF(Summary!$R$10="Y",(VLOOKUP($A76,Summary!$AD$6:$AF$9,3)+'Escalating commodity'!F89),'Escalating commodity'!F89))</f>
        <v>0.0158208</v>
      </c>
      <c r="AI76" s="207" t="n">
        <f aca="false">IF($A77="","",AH76)</f>
        <v>0.0158208</v>
      </c>
      <c r="AJ76" s="208" t="n">
        <f aca="false">A76+DAY(EOMONTH(A76,0))/2-1</f>
        <v>39066.5</v>
      </c>
      <c r="AK76" s="209" t="n">
        <f aca="false">IF($A77="","",$A76-$E$1)</f>
        <v>-6874</v>
      </c>
      <c r="AL76" s="182" t="e">
        <f aca="false">IF($A77="","",SPRDOPT(P76,X76,AI76,0,AB76,AE76,AF76,AK76,$AJ$2,0))</f>
        <v>#NAME?</v>
      </c>
      <c r="AM76" s="211" t="e">
        <f aca="false">IF($A77="","",MAX(0,O76-W76-AI76))</f>
        <v>#N/A</v>
      </c>
      <c r="AN76" s="211" t="e">
        <f aca="false">IF($A77="","",AL76-AM76)</f>
        <v>#N/A</v>
      </c>
      <c r="AO76" s="137" t="n">
        <f aca="false">IF(A77="","",A77-A76)</f>
        <v>31</v>
      </c>
      <c r="AP76" s="212" t="n">
        <f aca="false">IF(A77="","",CHOOSE(F$3,A77+24,A76))</f>
        <v>39052</v>
      </c>
      <c r="AQ76" s="209" t="n">
        <f aca="false">IF(A77="","",AP76-$E$1)</f>
        <v>-6874</v>
      </c>
      <c r="AR76" s="185" t="n">
        <f aca="false">'ANR OK vs ML7'!AR76</f>
        <v>0.1</v>
      </c>
      <c r="AS76" s="213" t="n">
        <f aca="false">IF(A77="","",1/(1+CHOOSE(F$3,(AR77+($I$3/10000))/2,(AR76+($I$3/10000))/2))^(2*AQ76/365.25))</f>
        <v>6.27429070478909</v>
      </c>
      <c r="AT76" s="137" t="n">
        <f aca="false">IF(A77="","",IF(AND(mthbeg&lt;=A76,mthend&gt;=A76),1,0))</f>
        <v>1</v>
      </c>
      <c r="AU76" s="137" t="n">
        <f aca="false">IF(A77="","",AO76*AT76)</f>
        <v>31</v>
      </c>
      <c r="AW76" s="195" t="e">
        <f aca="false">IF($A77="","",AL76*$E76)</f>
        <v>#NAME?</v>
      </c>
      <c r="AX76" s="195" t="e">
        <f aca="false">IF($A77="","",AM76*$E76)</f>
        <v>#N/A</v>
      </c>
      <c r="AY76" s="195" t="e">
        <f aca="false">IF($A77="","",AN76*$E76)</f>
        <v>#N/A</v>
      </c>
      <c r="BA76" s="195" t="n">
        <f aca="false">IF($A77="","",F76*Summary!$Q$10)</f>
        <v>0</v>
      </c>
      <c r="BC76" s="179" t="e">
        <f aca="false">IF(A77="","",AM76*F76)</f>
        <v>#N/A</v>
      </c>
    </row>
    <row r="77" customFormat="false" ht="12.75" hidden="false" customHeight="false" outlineLevel="0" collapsed="false">
      <c r="A77" s="196" t="n">
        <f aca="false">IF(A76&lt;mthend,EDATE(A76,1),"")</f>
        <v>39083</v>
      </c>
      <c r="B77" s="197" t="n">
        <f aca="false">IF(A77&lt;mthend,B76,"")</f>
        <v>119740</v>
      </c>
      <c r="C77" s="215"/>
      <c r="D77" s="197" t="n">
        <f aca="false">IF(A78&lt;&gt;"",B77+C77,"")</f>
        <v>119740</v>
      </c>
      <c r="E77" s="199" t="n">
        <f aca="false">IF(A78="","",IF(AND(AT77=1,$H$3=1),D77*AO77,IF($H$3=2,D77,"N/A")))</f>
        <v>3711940</v>
      </c>
      <c r="F77" s="199" t="n">
        <f aca="false">IF(A78="","",E77*AS77)</f>
        <v>23097701.785993</v>
      </c>
      <c r="G77" s="200" t="e">
        <f aca="false">IF($A78="","",VLOOKUP($A77,Table,MATCH(G$4,Curves,0)))</f>
        <v>#N/A</v>
      </c>
      <c r="H77" s="201" t="e">
        <f aca="false">IF(A78="","",G77)</f>
        <v>#N/A</v>
      </c>
      <c r="I77" s="202"/>
      <c r="J77" s="200" t="e">
        <f aca="false">IF($A78="","",VLOOKUP($A77,Table,MATCH(J$4,Curves,0)))</f>
        <v>#N/A</v>
      </c>
      <c r="K77" s="201" t="e">
        <f aca="false">IF(A78="","",J77)</f>
        <v>#N/A</v>
      </c>
      <c r="L77" s="185" t="n">
        <v>0</v>
      </c>
      <c r="M77" s="201" t="n">
        <f aca="false">IF(A78="","",L77)</f>
        <v>0</v>
      </c>
      <c r="N77" s="203"/>
      <c r="O77" s="200" t="e">
        <f aca="false">IF(A78="","",L77+J77+G77)</f>
        <v>#N/A</v>
      </c>
      <c r="P77" s="200" t="e">
        <f aca="false">IF(A78="","",M77+K77+H77)</f>
        <v>#N/A</v>
      </c>
      <c r="Q77" s="204"/>
      <c r="R77" s="200" t="e">
        <f aca="false">IF($A78="","",VLOOKUP($A77,Table,MATCH(R$4,Curves,0)))</f>
        <v>#N/A</v>
      </c>
      <c r="S77" s="201" t="e">
        <f aca="false">IF(A78="","",R77)</f>
        <v>#N/A</v>
      </c>
      <c r="T77" s="200" t="e">
        <f aca="false">IF($A78="","",VLOOKUP($A77,Table,MATCH(T$4,Curves,0)))</f>
        <v>#N/A</v>
      </c>
      <c r="U77" s="201" t="e">
        <f aca="false">IF(A78="","",T77)</f>
        <v>#N/A</v>
      </c>
      <c r="V77" s="205" t="e">
        <f aca="false">IF($A78="","",IF(AND(MONTH(A77)&gt;3,MONTH(A77)&lt;11),(T77+R77+G77)*Summary!$T$10/(1-Summary!$T$10),(T77+R77+G77)*Summary!$U$10/(1-Summary!$U$10)))</f>
        <v>#N/A</v>
      </c>
      <c r="W77" s="200" t="e">
        <f aca="false">IF($A78="","",(T77+R77+G77+V77))</f>
        <v>#N/A</v>
      </c>
      <c r="X77" s="200" t="e">
        <f aca="false">IF($A78="","",(U77+S77+H77+V77))</f>
        <v>#N/A</v>
      </c>
      <c r="Y77" s="202"/>
      <c r="Z77" s="185" t="e">
        <f aca="false">IF($A78="","",VLOOKUP($A77,Table,MATCH(Z$4,Curves,0)))</f>
        <v>#N/A</v>
      </c>
      <c r="AA77" s="185" t="e">
        <f aca="false">IF($A78="","",VLOOKUP($A77,Table,MATCH(AA$4,Curves,0)))</f>
        <v>#N/A</v>
      </c>
      <c r="AB77" s="185" t="e">
        <f aca="false">SQRT((AA77^2*(A77-$D$3)+Z77^2*(DAY(EOMONTH(A77,0))/2))/AK77)</f>
        <v>#N/A</v>
      </c>
      <c r="AC77" s="185" t="e">
        <f aca="false">IF($A78="","",VLOOKUP($A77,Table,MATCH(AC$4,Curves,0)))</f>
        <v>#N/A</v>
      </c>
      <c r="AD77" s="185" t="e">
        <f aca="false">IF($A78="","",VLOOKUP($A77,Table,MATCH(AD$4,Curves,0)))</f>
        <v>#N/A</v>
      </c>
      <c r="AE77" s="185" t="e">
        <f aca="false">SQRT((AD77^2*(A77-$D$3)+AC77^2*(DAY(EOMONTH(A77,0))/2))/AK77)</f>
        <v>#N/A</v>
      </c>
      <c r="AF77" s="224" t="e">
        <f aca="false">((Summary!$N$10*(AA77*AD77)*(A77-$D$3))+(Summary!$M$10*Z77*AC77*(AJ77-EOMONTH(EDATE(A77,-1),0))))/(AK77*AB77*AE77)</f>
        <v>#N/A</v>
      </c>
      <c r="AG77" s="207" t="n">
        <f aca="false">IF($A78="","",Summary!$Q$10)</f>
        <v>0</v>
      </c>
      <c r="AH77" s="207" t="n">
        <f aca="false">IF($A78="","",IF(Summary!$R$10="Y",(VLOOKUP($A77,Summary!$AD$6:$AF$9,3)+'Escalating commodity'!F90),'Escalating commodity'!F90))</f>
        <v>0.0158208</v>
      </c>
      <c r="AI77" s="207" t="n">
        <f aca="false">IF($A78="","",AH77)</f>
        <v>0.0158208</v>
      </c>
      <c r="AJ77" s="208" t="n">
        <f aca="false">A77+DAY(EOMONTH(A77,0))/2-1</f>
        <v>39097.5</v>
      </c>
      <c r="AK77" s="209" t="n">
        <f aca="false">IF($A78="","",$A77-$E$1)</f>
        <v>-6843</v>
      </c>
      <c r="AL77" s="182" t="e">
        <f aca="false">IF($A78="","",SPRDOPT(P77,X77,AI77,0,AB77,AE77,AF77,AK77,$AJ$2,0))</f>
        <v>#NAME?</v>
      </c>
      <c r="AM77" s="211" t="e">
        <f aca="false">IF($A78="","",MAX(0,O77-W77-AI77))</f>
        <v>#N/A</v>
      </c>
      <c r="AN77" s="211" t="e">
        <f aca="false">IF($A78="","",AL77-AM77)</f>
        <v>#N/A</v>
      </c>
      <c r="AO77" s="137" t="n">
        <f aca="false">IF(A78="","",A78-A77)</f>
        <v>31</v>
      </c>
      <c r="AP77" s="212" t="n">
        <f aca="false">IF(A78="","",CHOOSE(F$3,A78+24,A77))</f>
        <v>39083</v>
      </c>
      <c r="AQ77" s="209" t="n">
        <f aca="false">IF(A78="","",AP77-$E$1)</f>
        <v>-6843</v>
      </c>
      <c r="AR77" s="185" t="n">
        <f aca="false">'ANR OK vs ML7'!AR77</f>
        <v>0.1</v>
      </c>
      <c r="AS77" s="213" t="n">
        <f aca="false">IF(A78="","",1/(1+CHOOSE(F$3,(AR78+($I$3/10000))/2,(AR77+($I$3/10000))/2))^(2*AQ77/365.25))</f>
        <v>6.2225417937771</v>
      </c>
      <c r="AT77" s="137" t="n">
        <f aca="false">IF(A78="","",IF(AND(mthbeg&lt;=A77,mthend&gt;=A77),1,0))</f>
        <v>1</v>
      </c>
      <c r="AU77" s="137" t="n">
        <f aca="false">IF(A78="","",AO77*AT77)</f>
        <v>31</v>
      </c>
      <c r="AW77" s="195" t="e">
        <f aca="false">IF($A78="","",AL77*$E77)</f>
        <v>#NAME?</v>
      </c>
      <c r="AX77" s="195" t="e">
        <f aca="false">IF($A78="","",AM77*$E77)</f>
        <v>#N/A</v>
      </c>
      <c r="AY77" s="195" t="e">
        <f aca="false">IF($A78="","",AN77*$E77)</f>
        <v>#N/A</v>
      </c>
      <c r="BA77" s="195" t="n">
        <f aca="false">IF($A78="","",F77*Summary!$Q$10)</f>
        <v>0</v>
      </c>
      <c r="BC77" s="179" t="e">
        <f aca="false">IF(A78="","",AM77*F77)</f>
        <v>#N/A</v>
      </c>
    </row>
    <row r="78" customFormat="false" ht="12.75" hidden="false" customHeight="false" outlineLevel="0" collapsed="false">
      <c r="A78" s="196" t="n">
        <f aca="false">IF(A77&lt;mthend,EDATE(A77,1),"")</f>
        <v>39114</v>
      </c>
      <c r="B78" s="197" t="n">
        <f aca="false">IF(A78&lt;mthend,B77,"")</f>
        <v>119740</v>
      </c>
      <c r="C78" s="215"/>
      <c r="D78" s="197" t="n">
        <f aca="false">IF(A79&lt;&gt;"",B78+C78,"")</f>
        <v>119740</v>
      </c>
      <c r="E78" s="199" t="n">
        <f aca="false">IF(A79="","",IF(AND(AT78=1,$H$3=1),D78*AO78,IF($H$3=2,D78,"N/A")))</f>
        <v>3352720</v>
      </c>
      <c r="F78" s="199" t="n">
        <f aca="false">IF(A79="","",E78*AS78)</f>
        <v>20690371.6988945</v>
      </c>
      <c r="G78" s="200" t="e">
        <f aca="false">IF($A79="","",VLOOKUP($A78,Table,MATCH(G$4,Curves,0)))</f>
        <v>#N/A</v>
      </c>
      <c r="H78" s="201" t="e">
        <f aca="false">IF(A79="","",G78)</f>
        <v>#N/A</v>
      </c>
      <c r="I78" s="202"/>
      <c r="J78" s="200" t="e">
        <f aca="false">IF($A79="","",VLOOKUP($A78,Table,MATCH(J$4,Curves,0)))</f>
        <v>#N/A</v>
      </c>
      <c r="K78" s="201" t="e">
        <f aca="false">IF(A79="","",J78)</f>
        <v>#N/A</v>
      </c>
      <c r="L78" s="185" t="n">
        <v>0</v>
      </c>
      <c r="M78" s="201" t="n">
        <f aca="false">IF(A79="","",L78)</f>
        <v>0</v>
      </c>
      <c r="N78" s="203"/>
      <c r="O78" s="200" t="e">
        <f aca="false">IF(A79="","",L78+J78+G78)</f>
        <v>#N/A</v>
      </c>
      <c r="P78" s="200" t="e">
        <f aca="false">IF(A79="","",M78+K78+H78)</f>
        <v>#N/A</v>
      </c>
      <c r="Q78" s="204"/>
      <c r="R78" s="200" t="e">
        <f aca="false">IF($A79="","",VLOOKUP($A78,Table,MATCH(R$4,Curves,0)))</f>
        <v>#N/A</v>
      </c>
      <c r="S78" s="201" t="e">
        <f aca="false">IF(A79="","",R78)</f>
        <v>#N/A</v>
      </c>
      <c r="T78" s="200" t="e">
        <f aca="false">IF($A79="","",VLOOKUP($A78,Table,MATCH(T$4,Curves,0)))</f>
        <v>#N/A</v>
      </c>
      <c r="U78" s="201" t="e">
        <f aca="false">IF(A79="","",T78)</f>
        <v>#N/A</v>
      </c>
      <c r="V78" s="205" t="e">
        <f aca="false">IF($A79="","",IF(AND(MONTH(A78)&gt;3,MONTH(A78)&lt;11),(T78+R78+G78)*Summary!$T$10/(1-Summary!$T$10),(T78+R78+G78)*Summary!$U$10/(1-Summary!$U$10)))</f>
        <v>#N/A</v>
      </c>
      <c r="W78" s="200" t="e">
        <f aca="false">IF($A79="","",(T78+R78+G78+V78))</f>
        <v>#N/A</v>
      </c>
      <c r="X78" s="200" t="e">
        <f aca="false">IF($A79="","",(U78+S78+H78+V78))</f>
        <v>#N/A</v>
      </c>
      <c r="Y78" s="202"/>
      <c r="Z78" s="185" t="e">
        <f aca="false">IF($A79="","",VLOOKUP($A78,Table,MATCH(Z$4,Curves,0)))</f>
        <v>#N/A</v>
      </c>
      <c r="AA78" s="185" t="e">
        <f aca="false">IF($A79="","",VLOOKUP($A78,Table,MATCH(AA$4,Curves,0)))</f>
        <v>#N/A</v>
      </c>
      <c r="AB78" s="185" t="e">
        <f aca="false">SQRT((AA78^2*(A78-$D$3)+Z78^2*(DAY(EOMONTH(A78,0))/2))/AK78)</f>
        <v>#N/A</v>
      </c>
      <c r="AC78" s="185" t="e">
        <f aca="false">IF($A79="","",VLOOKUP($A78,Table,MATCH(AC$4,Curves,0)))</f>
        <v>#N/A</v>
      </c>
      <c r="AD78" s="185" t="e">
        <f aca="false">IF($A79="","",VLOOKUP($A78,Table,MATCH(AD$4,Curves,0)))</f>
        <v>#N/A</v>
      </c>
      <c r="AE78" s="185" t="e">
        <f aca="false">SQRT((AD78^2*(A78-$D$3)+AC78^2*(DAY(EOMONTH(A78,0))/2))/AK78)</f>
        <v>#N/A</v>
      </c>
      <c r="AF78" s="224" t="e">
        <f aca="false">((Summary!$N$10*(AA78*AD78)*(A78-$D$3))+(Summary!$M$10*Z78*AC78*(AJ78-EOMONTH(EDATE(A78,-1),0))))/(AK78*AB78*AE78)</f>
        <v>#N/A</v>
      </c>
      <c r="AG78" s="207" t="n">
        <f aca="false">IF($A79="","",Summary!$Q$10)</f>
        <v>0</v>
      </c>
      <c r="AH78" s="207" t="n">
        <f aca="false">IF($A79="","",IF(Summary!$R$10="Y",(VLOOKUP($A78,Summary!$AD$6:$AF$9,3)+'Escalating commodity'!F91),'Escalating commodity'!F91))</f>
        <v>0.0158208</v>
      </c>
      <c r="AI78" s="207" t="n">
        <f aca="false">IF($A79="","",AH78)</f>
        <v>0.0158208</v>
      </c>
      <c r="AJ78" s="208" t="n">
        <f aca="false">A78+DAY(EOMONTH(A78,0))/2-1</f>
        <v>39127</v>
      </c>
      <c r="AK78" s="209" t="n">
        <f aca="false">IF($A79="","",$A78-$E$1)</f>
        <v>-6812</v>
      </c>
      <c r="AL78" s="182" t="e">
        <f aca="false">IF($A79="","",SPRDOPT(P78,X78,AI78,0,AB78,AE78,AF78,AK78,$AJ$2,0))</f>
        <v>#NAME?</v>
      </c>
      <c r="AM78" s="211" t="e">
        <f aca="false">IF($A79="","",MAX(0,O78-W78-AI78))</f>
        <v>#N/A</v>
      </c>
      <c r="AN78" s="211" t="e">
        <f aca="false">IF($A79="","",AL78-AM78)</f>
        <v>#N/A</v>
      </c>
      <c r="AO78" s="137" t="n">
        <f aca="false">IF(A79="","",A79-A78)</f>
        <v>28</v>
      </c>
      <c r="AP78" s="212" t="n">
        <f aca="false">IF(A79="","",CHOOSE(F$3,A79+24,A78))</f>
        <v>39114</v>
      </c>
      <c r="AQ78" s="209" t="n">
        <f aca="false">IF(A79="","",AP78-$E$1)</f>
        <v>-6812</v>
      </c>
      <c r="AR78" s="185" t="n">
        <f aca="false">'ANR OK vs ML7'!AR78</f>
        <v>0.1</v>
      </c>
      <c r="AS78" s="213" t="n">
        <f aca="false">IF(A79="","",1/(1+CHOOSE(F$3,(AR79+($I$3/10000))/2,(AR78+($I$3/10000))/2))^(2*AQ78/365.25))</f>
        <v>6.1712196959169</v>
      </c>
      <c r="AT78" s="137" t="n">
        <f aca="false">IF(A79="","",IF(AND(mthbeg&lt;=A78,mthend&gt;=A78),1,0))</f>
        <v>1</v>
      </c>
      <c r="AU78" s="137" t="n">
        <f aca="false">IF(A79="","",AO78*AT78)</f>
        <v>28</v>
      </c>
      <c r="AW78" s="195" t="e">
        <f aca="false">IF($A79="","",AL78*$E78)</f>
        <v>#NAME?</v>
      </c>
      <c r="AX78" s="195" t="e">
        <f aca="false">IF($A79="","",AM78*$E78)</f>
        <v>#N/A</v>
      </c>
      <c r="AY78" s="195" t="e">
        <f aca="false">IF($A79="","",AN78*$E78)</f>
        <v>#N/A</v>
      </c>
      <c r="BA78" s="195" t="n">
        <f aca="false">IF($A79="","",F78*Summary!$Q$10)</f>
        <v>0</v>
      </c>
      <c r="BC78" s="179" t="e">
        <f aca="false">IF(A79="","",AM78*F78)</f>
        <v>#N/A</v>
      </c>
    </row>
    <row r="79" customFormat="false" ht="12.75" hidden="false" customHeight="false" outlineLevel="0" collapsed="false">
      <c r="A79" s="196" t="n">
        <f aca="false">IF(A78&lt;mthend,EDATE(A78,1),"")</f>
        <v>39142</v>
      </c>
      <c r="B79" s="197" t="n">
        <f aca="false">IF(A79&lt;mthend,B78,"")</f>
        <v>119740</v>
      </c>
      <c r="C79" s="215"/>
      <c r="D79" s="197" t="n">
        <f aca="false">IF(A80&lt;&gt;"",B79+C79,"")</f>
        <v>119740</v>
      </c>
      <c r="E79" s="199" t="n">
        <f aca="false">IF(A80="","",IF(AND(AT79=1,$H$3=1),D79*AO79,IF($H$3=2,D79,"N/A")))</f>
        <v>3711940</v>
      </c>
      <c r="F79" s="199" t="n">
        <f aca="false">IF(A80="","",E79*AS79)</f>
        <v>22736479.4866834</v>
      </c>
      <c r="G79" s="200" t="e">
        <f aca="false">IF($A80="","",VLOOKUP($A79,Table,MATCH(G$4,Curves,0)))</f>
        <v>#N/A</v>
      </c>
      <c r="H79" s="201" t="e">
        <f aca="false">IF(A80="","",G79)</f>
        <v>#N/A</v>
      </c>
      <c r="I79" s="202"/>
      <c r="J79" s="200" t="e">
        <f aca="false">IF($A80="","",VLOOKUP($A79,Table,MATCH(J$4,Curves,0)))</f>
        <v>#N/A</v>
      </c>
      <c r="K79" s="201" t="e">
        <f aca="false">IF(A80="","",J79)</f>
        <v>#N/A</v>
      </c>
      <c r="L79" s="185" t="n">
        <v>0</v>
      </c>
      <c r="M79" s="201" t="n">
        <f aca="false">IF(A80="","",L79)</f>
        <v>0</v>
      </c>
      <c r="N79" s="203"/>
      <c r="O79" s="200" t="e">
        <f aca="false">IF(A80="","",L79+J79+G79)</f>
        <v>#N/A</v>
      </c>
      <c r="P79" s="200" t="e">
        <f aca="false">IF(A80="","",M79+K79+H79)</f>
        <v>#N/A</v>
      </c>
      <c r="Q79" s="204"/>
      <c r="R79" s="200" t="e">
        <f aca="false">IF($A80="","",VLOOKUP($A79,Table,MATCH(R$4,Curves,0)))</f>
        <v>#N/A</v>
      </c>
      <c r="S79" s="201" t="e">
        <f aca="false">IF(A80="","",R79)</f>
        <v>#N/A</v>
      </c>
      <c r="T79" s="200" t="e">
        <f aca="false">IF($A80="","",VLOOKUP($A79,Table,MATCH(T$4,Curves,0)))</f>
        <v>#N/A</v>
      </c>
      <c r="U79" s="201" t="e">
        <f aca="false">IF(A80="","",T79)</f>
        <v>#N/A</v>
      </c>
      <c r="V79" s="205" t="e">
        <f aca="false">IF($A80="","",IF(AND(MONTH(A79)&gt;3,MONTH(A79)&lt;11),(T79+R79+G79)*Summary!$T$10/(1-Summary!$T$10),(T79+R79+G79)*Summary!$U$10/(1-Summary!$U$10)))</f>
        <v>#N/A</v>
      </c>
      <c r="W79" s="200" t="e">
        <f aca="false">IF($A80="","",(T79+R79+G79+V79))</f>
        <v>#N/A</v>
      </c>
      <c r="X79" s="200" t="e">
        <f aca="false">IF($A80="","",(U79+S79+H79+V79))</f>
        <v>#N/A</v>
      </c>
      <c r="Y79" s="202"/>
      <c r="Z79" s="185" t="e">
        <f aca="false">IF($A80="","",VLOOKUP($A79,Table,MATCH(Z$4,Curves,0)))</f>
        <v>#N/A</v>
      </c>
      <c r="AA79" s="185" t="e">
        <f aca="false">IF($A80="","",VLOOKUP($A79,Table,MATCH(AA$4,Curves,0)))</f>
        <v>#N/A</v>
      </c>
      <c r="AB79" s="185" t="e">
        <f aca="false">SQRT((AA79^2*(A79-$D$3)+Z79^2*(DAY(EOMONTH(A79,0))/2))/AK79)</f>
        <v>#N/A</v>
      </c>
      <c r="AC79" s="185" t="e">
        <f aca="false">IF($A80="","",VLOOKUP($A79,Table,MATCH(AC$4,Curves,0)))</f>
        <v>#N/A</v>
      </c>
      <c r="AD79" s="185" t="e">
        <f aca="false">IF($A80="","",VLOOKUP($A79,Table,MATCH(AD$4,Curves,0)))</f>
        <v>#N/A</v>
      </c>
      <c r="AE79" s="185" t="e">
        <f aca="false">SQRT((AD79^2*(A79-$D$3)+AC79^2*(DAY(EOMONTH(A79,0))/2))/AK79)</f>
        <v>#N/A</v>
      </c>
      <c r="AF79" s="224" t="e">
        <f aca="false">((Summary!$N$10*(AA79*AD79)*(A79-$D$3))+(Summary!$M$10*Z79*AC79*(AJ79-EOMONTH(EDATE(A79,-1),0))))/(AK79*AB79*AE79)</f>
        <v>#N/A</v>
      </c>
      <c r="AG79" s="207" t="n">
        <f aca="false">IF($A80="","",Summary!$Q$10)</f>
        <v>0</v>
      </c>
      <c r="AH79" s="207" t="n">
        <f aca="false">IF($A80="","",IF(Summary!$R$10="Y",(VLOOKUP($A79,Summary!$AD$6:$AF$9,3)+'Escalating commodity'!F92),'Escalating commodity'!F92))</f>
        <v>0.0158208</v>
      </c>
      <c r="AI79" s="207" t="n">
        <f aca="false">IF($A80="","",AH79)</f>
        <v>0.0158208</v>
      </c>
      <c r="AJ79" s="208" t="n">
        <f aca="false">A79+DAY(EOMONTH(A79,0))/2-1</f>
        <v>39156.5</v>
      </c>
      <c r="AK79" s="209" t="n">
        <f aca="false">IF($A80="","",$A79-$E$1)</f>
        <v>-6784</v>
      </c>
      <c r="AL79" s="182" t="e">
        <f aca="false">IF($A80="","",SPRDOPT(P79,X79,AI79,0,AB79,AE79,AF79,AK79,$AJ$2,0))</f>
        <v>#NAME?</v>
      </c>
      <c r="AM79" s="211" t="e">
        <f aca="false">IF($A80="","",MAX(0,O79-W79-AI79))</f>
        <v>#N/A</v>
      </c>
      <c r="AN79" s="211" t="e">
        <f aca="false">IF($A80="","",AL79-AM79)</f>
        <v>#N/A</v>
      </c>
      <c r="AO79" s="137" t="n">
        <f aca="false">IF(A80="","",A80-A79)</f>
        <v>31</v>
      </c>
      <c r="AP79" s="212" t="n">
        <f aca="false">IF(A80="","",CHOOSE(F$3,A80+24,A79))</f>
        <v>39142</v>
      </c>
      <c r="AQ79" s="209" t="n">
        <f aca="false">IF(A80="","",AP79-$E$1)</f>
        <v>-6784</v>
      </c>
      <c r="AR79" s="185" t="n">
        <f aca="false">'ANR OK vs ML7'!AR79</f>
        <v>0.1</v>
      </c>
      <c r="AS79" s="213" t="n">
        <f aca="false">IF(A80="","",1/(1+CHOOSE(F$3,(AR80+($I$3/10000))/2,(AR79+($I$3/10000))/2))^(2*AQ79/365.25))</f>
        <v>6.12522817898009</v>
      </c>
      <c r="AT79" s="137" t="n">
        <f aca="false">IF(A80="","",IF(AND(mthbeg&lt;=A79,mthend&gt;=A79),1,0))</f>
        <v>1</v>
      </c>
      <c r="AU79" s="137" t="n">
        <f aca="false">IF(A80="","",AO79*AT79)</f>
        <v>31</v>
      </c>
      <c r="AW79" s="195" t="e">
        <f aca="false">IF($A80="","",AL79*$E79)</f>
        <v>#NAME?</v>
      </c>
      <c r="AX79" s="195" t="e">
        <f aca="false">IF($A80="","",AM79*$E79)</f>
        <v>#N/A</v>
      </c>
      <c r="AY79" s="195" t="e">
        <f aca="false">IF($A80="","",AN79*$E79)</f>
        <v>#N/A</v>
      </c>
      <c r="BA79" s="195" t="n">
        <f aca="false">IF($A80="","",F79*Summary!$Q$10)</f>
        <v>0</v>
      </c>
      <c r="BC79" s="179" t="e">
        <f aca="false">IF(A80="","",AM79*F79)</f>
        <v>#N/A</v>
      </c>
    </row>
    <row r="80" customFormat="false" ht="12.75" hidden="false" customHeight="false" outlineLevel="0" collapsed="false">
      <c r="A80" s="196" t="n">
        <f aca="false">IF(A79&lt;mthend,EDATE(A79,1),"")</f>
        <v>39173</v>
      </c>
      <c r="B80" s="197" t="n">
        <f aca="false">IF(A80&lt;mthend,B79,"")</f>
        <v>119740</v>
      </c>
      <c r="C80" s="215"/>
      <c r="D80" s="197" t="n">
        <f aca="false">IF(A81&lt;&gt;"",B80+C80,"")</f>
        <v>119740</v>
      </c>
      <c r="E80" s="199" t="n">
        <f aca="false">IF(A81="","",IF(AND(AT80=1,$H$3=1),D80*AO80,IF($H$3=2,D80,"N/A")))</f>
        <v>3592200</v>
      </c>
      <c r="F80" s="199" t="n">
        <f aca="false">IF(A81="","",E80*AS80)</f>
        <v>21821568.5975294</v>
      </c>
      <c r="G80" s="200" t="e">
        <f aca="false">IF($A81="","",VLOOKUP($A80,Table,MATCH(G$4,Curves,0)))</f>
        <v>#N/A</v>
      </c>
      <c r="H80" s="201" t="e">
        <f aca="false">IF(A81="","",G80)</f>
        <v>#N/A</v>
      </c>
      <c r="I80" s="202"/>
      <c r="J80" s="200" t="e">
        <f aca="false">IF($A81="","",VLOOKUP($A80,Table,MATCH(J$4,Curves,0)))</f>
        <v>#N/A</v>
      </c>
      <c r="K80" s="201" t="e">
        <f aca="false">IF(A81="","",J80)</f>
        <v>#N/A</v>
      </c>
      <c r="L80" s="185" t="n">
        <v>0</v>
      </c>
      <c r="M80" s="201" t="n">
        <f aca="false">IF(A81="","",L80)</f>
        <v>0</v>
      </c>
      <c r="N80" s="203"/>
      <c r="O80" s="200" t="e">
        <f aca="false">IF(A81="","",L80+J80+G80)</f>
        <v>#N/A</v>
      </c>
      <c r="P80" s="200" t="e">
        <f aca="false">IF(A81="","",M80+K80+H80)</f>
        <v>#N/A</v>
      </c>
      <c r="Q80" s="204"/>
      <c r="R80" s="200" t="e">
        <f aca="false">IF($A81="","",VLOOKUP($A80,Table,MATCH(R$4,Curves,0)))</f>
        <v>#N/A</v>
      </c>
      <c r="S80" s="201" t="e">
        <f aca="false">IF(A81="","",R80)</f>
        <v>#N/A</v>
      </c>
      <c r="T80" s="200" t="e">
        <f aca="false">IF($A81="","",VLOOKUP($A80,Table,MATCH(T$4,Curves,0)))</f>
        <v>#N/A</v>
      </c>
      <c r="U80" s="201" t="e">
        <f aca="false">IF(A81="","",T80)</f>
        <v>#N/A</v>
      </c>
      <c r="V80" s="205" t="e">
        <f aca="false">IF($A81="","",IF(AND(MONTH(A80)&gt;3,MONTH(A80)&lt;11),(T80+R80+G80)*Summary!$T$10/(1-Summary!$T$10),(T80+R80+G80)*Summary!$U$10/(1-Summary!$U$10)))</f>
        <v>#N/A</v>
      </c>
      <c r="W80" s="200" t="e">
        <f aca="false">IF($A81="","",(T80+R80+G80+V80))</f>
        <v>#N/A</v>
      </c>
      <c r="X80" s="200" t="e">
        <f aca="false">IF($A81="","",(U80+S80+H80+V80))</f>
        <v>#N/A</v>
      </c>
      <c r="Y80" s="202"/>
      <c r="Z80" s="185" t="e">
        <f aca="false">IF($A81="","",VLOOKUP($A80,Table,MATCH(Z$4,Curves,0)))</f>
        <v>#N/A</v>
      </c>
      <c r="AA80" s="185" t="e">
        <f aca="false">IF($A81="","",VLOOKUP($A80,Table,MATCH(AA$4,Curves,0)))</f>
        <v>#N/A</v>
      </c>
      <c r="AB80" s="185" t="e">
        <f aca="false">SQRT((AA80^2*(A80-$D$3)+Z80^2*(DAY(EOMONTH(A80,0))/2))/AK80)</f>
        <v>#N/A</v>
      </c>
      <c r="AC80" s="185" t="e">
        <f aca="false">IF($A81="","",VLOOKUP($A80,Table,MATCH(AC$4,Curves,0)))</f>
        <v>#N/A</v>
      </c>
      <c r="AD80" s="185" t="e">
        <f aca="false">IF($A81="","",VLOOKUP($A80,Table,MATCH(AD$4,Curves,0)))</f>
        <v>#N/A</v>
      </c>
      <c r="AE80" s="185" t="e">
        <f aca="false">SQRT((AD80^2*(A80-$D$3)+AC80^2*(DAY(EOMONTH(A80,0))/2))/AK80)</f>
        <v>#N/A</v>
      </c>
      <c r="AF80" s="224" t="e">
        <f aca="false">((Summary!$N$10*(AA80*AD80)*(A80-$D$3))+(Summary!$M$10*Z80*AC80*(AJ80-EOMONTH(EDATE(A80,-1),0))))/(AK80*AB80*AE80)</f>
        <v>#N/A</v>
      </c>
      <c r="AG80" s="207" t="n">
        <f aca="false">IF($A81="","",Summary!$Q$10)</f>
        <v>0</v>
      </c>
      <c r="AH80" s="207" t="n">
        <f aca="false">IF($A81="","",IF(Summary!$R$10="Y",(VLOOKUP($A80,Summary!$AD$6:$AF$9,3)+'Escalating commodity'!F93),'Escalating commodity'!F93))</f>
        <v>0.0158208</v>
      </c>
      <c r="AI80" s="207" t="n">
        <f aca="false">IF($A81="","",AH80)</f>
        <v>0.0158208</v>
      </c>
      <c r="AJ80" s="208" t="n">
        <f aca="false">A80+DAY(EOMONTH(A80,0))/2-1</f>
        <v>39187</v>
      </c>
      <c r="AK80" s="209" t="n">
        <f aca="false">IF($A81="","",$A80-$E$1)</f>
        <v>-6753</v>
      </c>
      <c r="AL80" s="182" t="e">
        <f aca="false">IF($A81="","",SPRDOPT(P80,X80,AI80,0,AB80,AE80,AF80,AK80,$AJ$2,0))</f>
        <v>#NAME?</v>
      </c>
      <c r="AM80" s="211" t="e">
        <f aca="false">IF($A81="","",MAX(0,O80-W80-AI80))</f>
        <v>#N/A</v>
      </c>
      <c r="AN80" s="211" t="e">
        <f aca="false">IF($A81="","",AL80-AM80)</f>
        <v>#N/A</v>
      </c>
      <c r="AO80" s="137" t="n">
        <f aca="false">IF(A81="","",A81-A80)</f>
        <v>30</v>
      </c>
      <c r="AP80" s="212" t="n">
        <f aca="false">IF(A81="","",CHOOSE(F$3,A81+24,A80))</f>
        <v>39173</v>
      </c>
      <c r="AQ80" s="209" t="n">
        <f aca="false">IF(A81="","",AP80-$E$1)</f>
        <v>-6753</v>
      </c>
      <c r="AR80" s="185" t="n">
        <f aca="false">'ANR OK vs ML7'!AR80</f>
        <v>0.1</v>
      </c>
      <c r="AS80" s="213" t="n">
        <f aca="false">IF(A81="","",1/(1+CHOOSE(F$3,(AR81+($I$3/10000))/2,(AR80+($I$3/10000))/2))^(2*AQ80/365.25))</f>
        <v>6.07470870150031</v>
      </c>
      <c r="AT80" s="137" t="n">
        <f aca="false">IF(A81="","",IF(AND(mthbeg&lt;=A80,mthend&gt;=A80),1,0))</f>
        <v>1</v>
      </c>
      <c r="AU80" s="137" t="n">
        <f aca="false">IF(A81="","",AO80*AT80)</f>
        <v>30</v>
      </c>
      <c r="AW80" s="195" t="e">
        <f aca="false">IF($A81="","",AL80*$E80)</f>
        <v>#NAME?</v>
      </c>
      <c r="AX80" s="195" t="e">
        <f aca="false">IF($A81="","",AM80*$E80)</f>
        <v>#N/A</v>
      </c>
      <c r="AY80" s="195" t="e">
        <f aca="false">IF($A81="","",AN80*$E80)</f>
        <v>#N/A</v>
      </c>
      <c r="BA80" s="195" t="n">
        <f aca="false">IF($A81="","",F80*Summary!$Q$10)</f>
        <v>0</v>
      </c>
      <c r="BC80" s="179" t="e">
        <f aca="false">IF(A81="","",AM80*F80)</f>
        <v>#N/A</v>
      </c>
    </row>
    <row r="81" customFormat="false" ht="12.75" hidden="false" customHeight="false" outlineLevel="0" collapsed="false">
      <c r="A81" s="196" t="n">
        <f aca="false">IF(A80&lt;mthend,EDATE(A80,1),"")</f>
        <v>39203</v>
      </c>
      <c r="B81" s="197" t="n">
        <f aca="false">IF(A81&lt;mthend,B80,"")</f>
        <v>119740</v>
      </c>
      <c r="C81" s="215"/>
      <c r="D81" s="197" t="n">
        <f aca="false">IF(A82&lt;&gt;"",B81+C81,"")</f>
        <v>119740</v>
      </c>
      <c r="E81" s="199" t="n">
        <f aca="false">IF(A82="","",IF(AND(AT81=1,$H$3=1),D81*AO81,IF($H$3=2,D81,"N/A")))</f>
        <v>3711940</v>
      </c>
      <c r="F81" s="199" t="n">
        <f aca="false">IF(A82="","",E81*AS81)</f>
        <v>22368950.9128121</v>
      </c>
      <c r="G81" s="200" t="e">
        <f aca="false">IF($A82="","",VLOOKUP($A81,Table,MATCH(G$4,Curves,0)))</f>
        <v>#N/A</v>
      </c>
      <c r="H81" s="201" t="e">
        <f aca="false">IF(A82="","",G81)</f>
        <v>#N/A</v>
      </c>
      <c r="I81" s="202"/>
      <c r="J81" s="200" t="e">
        <f aca="false">IF($A82="","",VLOOKUP($A81,Table,MATCH(J$4,Curves,0)))</f>
        <v>#N/A</v>
      </c>
      <c r="K81" s="201" t="e">
        <f aca="false">IF(A82="","",J81)</f>
        <v>#N/A</v>
      </c>
      <c r="L81" s="185" t="n">
        <v>0</v>
      </c>
      <c r="M81" s="201" t="n">
        <f aca="false">IF(A82="","",L81)</f>
        <v>0</v>
      </c>
      <c r="N81" s="203"/>
      <c r="O81" s="200" t="e">
        <f aca="false">IF(A82="","",L81+J81+G81)</f>
        <v>#N/A</v>
      </c>
      <c r="P81" s="200" t="e">
        <f aca="false">IF(A82="","",M81+K81+H81)</f>
        <v>#N/A</v>
      </c>
      <c r="Q81" s="204"/>
      <c r="R81" s="200" t="e">
        <f aca="false">IF($A82="","",VLOOKUP($A81,Table,MATCH(R$4,Curves,0)))</f>
        <v>#N/A</v>
      </c>
      <c r="S81" s="201" t="e">
        <f aca="false">IF(A82="","",R81)</f>
        <v>#N/A</v>
      </c>
      <c r="T81" s="200" t="e">
        <f aca="false">IF($A82="","",VLOOKUP($A81,Table,MATCH(T$4,Curves,0)))</f>
        <v>#N/A</v>
      </c>
      <c r="U81" s="201" t="e">
        <f aca="false">IF(A82="","",T81)</f>
        <v>#N/A</v>
      </c>
      <c r="V81" s="205" t="e">
        <f aca="false">IF($A82="","",IF(AND(MONTH(A81)&gt;3,MONTH(A81)&lt;11),(T81+R81+G81)*Summary!$T$10/(1-Summary!$T$10),(T81+R81+G81)*Summary!$U$10/(1-Summary!$U$10)))</f>
        <v>#N/A</v>
      </c>
      <c r="W81" s="200" t="e">
        <f aca="false">IF($A82="","",(T81+R81+G81+V81))</f>
        <v>#N/A</v>
      </c>
      <c r="X81" s="200" t="e">
        <f aca="false">IF($A82="","",(U81+S81+H81+V81))</f>
        <v>#N/A</v>
      </c>
      <c r="Y81" s="202"/>
      <c r="Z81" s="185" t="e">
        <f aca="false">IF($A82="","",VLOOKUP($A81,Table,MATCH(Z$4,Curves,0)))</f>
        <v>#N/A</v>
      </c>
      <c r="AA81" s="185" t="e">
        <f aca="false">IF($A82="","",VLOOKUP($A81,Table,MATCH(AA$4,Curves,0)))</f>
        <v>#N/A</v>
      </c>
      <c r="AB81" s="185" t="e">
        <f aca="false">SQRT((AA81^2*(A81-$D$3)+Z81^2*(DAY(EOMONTH(A81,0))/2))/AK81)</f>
        <v>#N/A</v>
      </c>
      <c r="AC81" s="185" t="e">
        <f aca="false">IF($A82="","",VLOOKUP($A81,Table,MATCH(AC$4,Curves,0)))</f>
        <v>#N/A</v>
      </c>
      <c r="AD81" s="185" t="e">
        <f aca="false">IF($A82="","",VLOOKUP($A81,Table,MATCH(AD$4,Curves,0)))</f>
        <v>#N/A</v>
      </c>
      <c r="AE81" s="185" t="e">
        <f aca="false">SQRT((AD81^2*(A81-$D$3)+AC81^2*(DAY(EOMONTH(A81,0))/2))/AK81)</f>
        <v>#N/A</v>
      </c>
      <c r="AF81" s="224" t="e">
        <f aca="false">((Summary!$N$10*(AA81*AD81)*(A81-$D$3))+(Summary!$M$10*Z81*AC81*(AJ81-EOMONTH(EDATE(A81,-1),0))))/(AK81*AB81*AE81)</f>
        <v>#N/A</v>
      </c>
      <c r="AG81" s="207" t="n">
        <f aca="false">IF($A82="","",Summary!$Q$10)</f>
        <v>0</v>
      </c>
      <c r="AH81" s="207" t="n">
        <f aca="false">IF($A82="","",IF(Summary!$R$10="Y",(VLOOKUP($A81,Summary!$AD$6:$AF$9,3)+'Escalating commodity'!F94),'Escalating commodity'!F94))</f>
        <v>0.0158208</v>
      </c>
      <c r="AI81" s="207" t="n">
        <f aca="false">IF($A82="","",AH81)</f>
        <v>0.0158208</v>
      </c>
      <c r="AJ81" s="208" t="n">
        <f aca="false">A81+DAY(EOMONTH(A81,0))/2-1</f>
        <v>39217.5</v>
      </c>
      <c r="AK81" s="209" t="n">
        <f aca="false">IF($A82="","",$A81-$E$1)</f>
        <v>-6723</v>
      </c>
      <c r="AL81" s="182" t="e">
        <f aca="false">IF($A82="","",SPRDOPT(P81,X81,AI81,0,AB81,AE81,AF81,AK81,$AJ$2,0))</f>
        <v>#NAME?</v>
      </c>
      <c r="AM81" s="211" t="e">
        <f aca="false">IF($A82="","",MAX(0,O81-W81-AI81))</f>
        <v>#N/A</v>
      </c>
      <c r="AN81" s="211" t="e">
        <f aca="false">IF($A82="","",AL81-AM81)</f>
        <v>#N/A</v>
      </c>
      <c r="AO81" s="137" t="n">
        <f aca="false">IF(A82="","",A82-A81)</f>
        <v>31</v>
      </c>
      <c r="AP81" s="212" t="n">
        <f aca="false">IF(A82="","",CHOOSE(F$3,A82+24,A81))</f>
        <v>39203</v>
      </c>
      <c r="AQ81" s="209" t="n">
        <f aca="false">IF(A82="","",AP81-$E$1)</f>
        <v>-6723</v>
      </c>
      <c r="AR81" s="185" t="n">
        <f aca="false">'ANR OK vs ML7'!AR81</f>
        <v>0.1</v>
      </c>
      <c r="AS81" s="213" t="n">
        <f aca="false">IF(A82="","",1/(1+CHOOSE(F$3,(AR82+($I$3/10000))/2,(AR81+($I$3/10000))/2))^(2*AQ81/365.25))</f>
        <v>6.02621564810102</v>
      </c>
      <c r="AT81" s="137" t="n">
        <f aca="false">IF(A82="","",IF(AND(mthbeg&lt;=A81,mthend&gt;=A81),1,0))</f>
        <v>1</v>
      </c>
      <c r="AU81" s="137" t="n">
        <f aca="false">IF(A82="","",AO81*AT81)</f>
        <v>31</v>
      </c>
      <c r="AW81" s="195" t="e">
        <f aca="false">IF($A82="","",AL81*$E81)</f>
        <v>#NAME?</v>
      </c>
      <c r="AX81" s="195" t="e">
        <f aca="false">IF($A82="","",AM81*$E81)</f>
        <v>#N/A</v>
      </c>
      <c r="AY81" s="195" t="e">
        <f aca="false">IF($A82="","",AN81*$E81)</f>
        <v>#N/A</v>
      </c>
      <c r="BA81" s="195" t="n">
        <f aca="false">IF($A82="","",F81*Summary!$Q$10)</f>
        <v>0</v>
      </c>
      <c r="BC81" s="179" t="e">
        <f aca="false">IF(A82="","",AM81*F81)</f>
        <v>#N/A</v>
      </c>
    </row>
    <row r="82" customFormat="false" ht="12.75" hidden="false" customHeight="false" outlineLevel="0" collapsed="false">
      <c r="A82" s="196" t="n">
        <f aca="false">IF(A81&lt;mthend,EDATE(A81,1),"")</f>
        <v>39234</v>
      </c>
      <c r="B82" s="197" t="n">
        <f aca="false">IF(A82&lt;mthend,B81,"")</f>
        <v>119740</v>
      </c>
      <c r="C82" s="215"/>
      <c r="D82" s="197" t="n">
        <f aca="false">IF(A83&lt;&gt;"",B82+C82,"")</f>
        <v>119740</v>
      </c>
      <c r="E82" s="199" t="n">
        <f aca="false">IF(A83="","",IF(AND(AT82=1,$H$3=1),D82*AO82,IF($H$3=2,D82,"N/A")))</f>
        <v>3592200</v>
      </c>
      <c r="F82" s="199" t="n">
        <f aca="false">IF(A83="","",E82*AS82)</f>
        <v>21468829.2919135</v>
      </c>
      <c r="G82" s="200" t="e">
        <f aca="false">IF($A83="","",VLOOKUP($A82,Table,MATCH(G$4,Curves,0)))</f>
        <v>#N/A</v>
      </c>
      <c r="H82" s="201" t="e">
        <f aca="false">IF(A83="","",G82)</f>
        <v>#N/A</v>
      </c>
      <c r="I82" s="202"/>
      <c r="J82" s="200" t="e">
        <f aca="false">IF($A83="","",VLOOKUP($A82,Table,MATCH(J$4,Curves,0)))</f>
        <v>#N/A</v>
      </c>
      <c r="K82" s="201" t="e">
        <f aca="false">IF(A83="","",J82)</f>
        <v>#N/A</v>
      </c>
      <c r="L82" s="185" t="n">
        <v>0</v>
      </c>
      <c r="M82" s="201" t="n">
        <f aca="false">IF(A83="","",L82)</f>
        <v>0</v>
      </c>
      <c r="N82" s="203"/>
      <c r="O82" s="200" t="e">
        <f aca="false">IF(A83="","",L82+J82+G82)</f>
        <v>#N/A</v>
      </c>
      <c r="P82" s="200" t="e">
        <f aca="false">IF(A83="","",M82+K82+H82)</f>
        <v>#N/A</v>
      </c>
      <c r="Q82" s="204"/>
      <c r="R82" s="200" t="e">
        <f aca="false">IF($A83="","",VLOOKUP($A82,Table,MATCH(R$4,Curves,0)))</f>
        <v>#N/A</v>
      </c>
      <c r="S82" s="201" t="e">
        <f aca="false">IF(A83="","",R82)</f>
        <v>#N/A</v>
      </c>
      <c r="T82" s="200" t="e">
        <f aca="false">IF($A83="","",VLOOKUP($A82,Table,MATCH(T$4,Curves,0)))</f>
        <v>#N/A</v>
      </c>
      <c r="U82" s="201" t="e">
        <f aca="false">IF(A83="","",T82)</f>
        <v>#N/A</v>
      </c>
      <c r="V82" s="205" t="e">
        <f aca="false">IF($A83="","",IF(AND(MONTH(A82)&gt;3,MONTH(A82)&lt;11),(T82+R82+G82)*Summary!$T$10/(1-Summary!$T$10),(T82+R82+G82)*Summary!$U$10/(1-Summary!$U$10)))</f>
        <v>#N/A</v>
      </c>
      <c r="W82" s="200" t="e">
        <f aca="false">IF($A83="","",(T82+R82+G82+V82))</f>
        <v>#N/A</v>
      </c>
      <c r="X82" s="200" t="e">
        <f aca="false">IF($A83="","",(U82+S82+H82+V82))</f>
        <v>#N/A</v>
      </c>
      <c r="Y82" s="202"/>
      <c r="Z82" s="185" t="e">
        <f aca="false">IF($A83="","",VLOOKUP($A82,Table,MATCH(Z$4,Curves,0)))</f>
        <v>#N/A</v>
      </c>
      <c r="AA82" s="185" t="e">
        <f aca="false">IF($A83="","",VLOOKUP($A82,Table,MATCH(AA$4,Curves,0)))</f>
        <v>#N/A</v>
      </c>
      <c r="AB82" s="185" t="e">
        <f aca="false">SQRT((AA82^2*(A82-$D$3)+Z82^2*(DAY(EOMONTH(A82,0))/2))/AK82)</f>
        <v>#N/A</v>
      </c>
      <c r="AC82" s="185" t="e">
        <f aca="false">IF($A83="","",VLOOKUP($A82,Table,MATCH(AC$4,Curves,0)))</f>
        <v>#N/A</v>
      </c>
      <c r="AD82" s="185" t="e">
        <f aca="false">IF($A83="","",VLOOKUP($A82,Table,MATCH(AD$4,Curves,0)))</f>
        <v>#N/A</v>
      </c>
      <c r="AE82" s="185" t="e">
        <f aca="false">SQRT((AD82^2*(A82-$D$3)+AC82^2*(DAY(EOMONTH(A82,0))/2))/AK82)</f>
        <v>#N/A</v>
      </c>
      <c r="AF82" s="224" t="e">
        <f aca="false">((Summary!$N$10*(AA82*AD82)*(A82-$D$3))+(Summary!$M$10*Z82*AC82*(AJ82-EOMONTH(EDATE(A82,-1),0))))/(AK82*AB82*AE82)</f>
        <v>#N/A</v>
      </c>
      <c r="AG82" s="207" t="n">
        <f aca="false">IF($A83="","",Summary!$Q$10)</f>
        <v>0</v>
      </c>
      <c r="AH82" s="207" t="n">
        <f aca="false">IF($A83="","",IF(Summary!$R$10="Y",(VLOOKUP($A82,Summary!$AD$6:$AF$9,3)+'Escalating commodity'!F95),'Escalating commodity'!F95))</f>
        <v>0.0158208</v>
      </c>
      <c r="AI82" s="207" t="n">
        <f aca="false">IF($A83="","",AH82)</f>
        <v>0.0158208</v>
      </c>
      <c r="AJ82" s="208" t="n">
        <f aca="false">A82+DAY(EOMONTH(A82,0))/2-1</f>
        <v>39248</v>
      </c>
      <c r="AK82" s="209" t="n">
        <f aca="false">IF($A83="","",$A82-$E$1)</f>
        <v>-6692</v>
      </c>
      <c r="AL82" s="182" t="e">
        <f aca="false">IF($A83="","",SPRDOPT(P82,X82,AI82,0,AB82,AE82,AF82,AK82,$AJ$2,0))</f>
        <v>#NAME?</v>
      </c>
      <c r="AM82" s="211" t="e">
        <f aca="false">IF($A83="","",MAX(0,O82-W82-AI82))</f>
        <v>#N/A</v>
      </c>
      <c r="AN82" s="211" t="e">
        <f aca="false">IF($A83="","",AL82-AM82)</f>
        <v>#N/A</v>
      </c>
      <c r="AO82" s="137" t="n">
        <f aca="false">IF(A83="","",A83-A82)</f>
        <v>30</v>
      </c>
      <c r="AP82" s="212" t="n">
        <f aca="false">IF(A83="","",CHOOSE(F$3,A83+24,A82))</f>
        <v>39234</v>
      </c>
      <c r="AQ82" s="209" t="n">
        <f aca="false">IF(A83="","",AP82-$E$1)</f>
        <v>-6692</v>
      </c>
      <c r="AR82" s="185" t="n">
        <f aca="false">'ANR OK vs ML7'!AR82</f>
        <v>0.1</v>
      </c>
      <c r="AS82" s="213" t="n">
        <f aca="false">IF(A83="","",1/(1+CHOOSE(F$3,(AR83+($I$3/10000))/2,(AR82+($I$3/10000))/2))^(2*AQ82/365.25))</f>
        <v>5.97651280327195</v>
      </c>
      <c r="AT82" s="137" t="n">
        <f aca="false">IF(A83="","",IF(AND(mthbeg&lt;=A82,mthend&gt;=A82),1,0))</f>
        <v>1</v>
      </c>
      <c r="AU82" s="137" t="n">
        <f aca="false">IF(A83="","",AO82*AT82)</f>
        <v>30</v>
      </c>
      <c r="AW82" s="195" t="e">
        <f aca="false">IF($A83="","",AL82*$E82)</f>
        <v>#NAME?</v>
      </c>
      <c r="AX82" s="195" t="e">
        <f aca="false">IF($A83="","",AM82*$E82)</f>
        <v>#N/A</v>
      </c>
      <c r="AY82" s="195" t="e">
        <f aca="false">IF($A83="","",AN82*$E82)</f>
        <v>#N/A</v>
      </c>
      <c r="BA82" s="195" t="n">
        <f aca="false">IF($A83="","",F82*Summary!$Q$10)</f>
        <v>0</v>
      </c>
      <c r="BC82" s="179" t="e">
        <f aca="false">IF(A83="","",AM82*F82)</f>
        <v>#N/A</v>
      </c>
    </row>
    <row r="83" customFormat="false" ht="12.75" hidden="false" customHeight="false" outlineLevel="0" collapsed="false">
      <c r="A83" s="196" t="n">
        <f aca="false">IF(A82&lt;mthend,EDATE(A82,1),"")</f>
        <v>39264</v>
      </c>
      <c r="B83" s="197" t="n">
        <f aca="false">IF(A83&lt;mthend,B82,"")</f>
        <v>119740</v>
      </c>
      <c r="C83" s="215"/>
      <c r="D83" s="197" t="n">
        <f aca="false">IF(A84&lt;&gt;"",B83+C83,"")</f>
        <v>119740</v>
      </c>
      <c r="E83" s="199" t="n">
        <f aca="false">IF(A84="","",IF(AND(AT83=1,$H$3=1),D83*AO83,IF($H$3=2,D83,"N/A")))</f>
        <v>3711940</v>
      </c>
      <c r="F83" s="199" t="n">
        <f aca="false">IF(A84="","",E83*AS83)</f>
        <v>22007363.3313751</v>
      </c>
      <c r="G83" s="200" t="e">
        <f aca="false">IF($A84="","",VLOOKUP($A83,Table,MATCH(G$4,Curves,0)))</f>
        <v>#N/A</v>
      </c>
      <c r="H83" s="201" t="e">
        <f aca="false">IF(A84="","",G83)</f>
        <v>#N/A</v>
      </c>
      <c r="I83" s="202"/>
      <c r="J83" s="200" t="e">
        <f aca="false">IF($A84="","",VLOOKUP($A83,Table,MATCH(J$4,Curves,0)))</f>
        <v>#N/A</v>
      </c>
      <c r="K83" s="201" t="e">
        <f aca="false">IF(A84="","",J83)</f>
        <v>#N/A</v>
      </c>
      <c r="L83" s="185" t="n">
        <v>0</v>
      </c>
      <c r="M83" s="201" t="n">
        <f aca="false">IF(A84="","",L83)</f>
        <v>0</v>
      </c>
      <c r="N83" s="203"/>
      <c r="O83" s="200" t="e">
        <f aca="false">IF(A84="","",L83+J83+G83)</f>
        <v>#N/A</v>
      </c>
      <c r="P83" s="200" t="e">
        <f aca="false">IF(A84="","",M83+K83+H83)</f>
        <v>#N/A</v>
      </c>
      <c r="Q83" s="204"/>
      <c r="R83" s="200" t="e">
        <f aca="false">IF($A84="","",VLOOKUP($A83,Table,MATCH(R$4,Curves,0)))</f>
        <v>#N/A</v>
      </c>
      <c r="S83" s="201" t="e">
        <f aca="false">IF(A84="","",R83)</f>
        <v>#N/A</v>
      </c>
      <c r="T83" s="200" t="e">
        <f aca="false">IF($A84="","",VLOOKUP($A83,Table,MATCH(T$4,Curves,0)))</f>
        <v>#N/A</v>
      </c>
      <c r="U83" s="201" t="e">
        <f aca="false">IF(A84="","",T83)</f>
        <v>#N/A</v>
      </c>
      <c r="V83" s="205" t="e">
        <f aca="false">IF($A84="","",IF(AND(MONTH(A83)&gt;3,MONTH(A83)&lt;11),(T83+R83+G83)*Summary!$T$10/(1-Summary!$T$10),(T83+R83+G83)*Summary!$U$10/(1-Summary!$U$10)))</f>
        <v>#N/A</v>
      </c>
      <c r="W83" s="200" t="e">
        <f aca="false">IF($A84="","",(T83+R83+G83+V83))</f>
        <v>#N/A</v>
      </c>
      <c r="X83" s="200" t="e">
        <f aca="false">IF($A84="","",(U83+S83+H83+V83))</f>
        <v>#N/A</v>
      </c>
      <c r="Y83" s="202"/>
      <c r="Z83" s="185" t="e">
        <f aca="false">IF($A84="","",VLOOKUP($A83,Table,MATCH(Z$4,Curves,0)))</f>
        <v>#N/A</v>
      </c>
      <c r="AA83" s="185" t="e">
        <f aca="false">IF($A84="","",VLOOKUP($A83,Table,MATCH(AA$4,Curves,0)))</f>
        <v>#N/A</v>
      </c>
      <c r="AB83" s="185" t="e">
        <f aca="false">SQRT((AA83^2*(A83-$D$3)+Z83^2*(DAY(EOMONTH(A83,0))/2))/AK83)</f>
        <v>#N/A</v>
      </c>
      <c r="AC83" s="185" t="e">
        <f aca="false">IF($A84="","",VLOOKUP($A83,Table,MATCH(AC$4,Curves,0)))</f>
        <v>#N/A</v>
      </c>
      <c r="AD83" s="185" t="e">
        <f aca="false">IF($A84="","",VLOOKUP($A83,Table,MATCH(AD$4,Curves,0)))</f>
        <v>#N/A</v>
      </c>
      <c r="AE83" s="185" t="e">
        <f aca="false">SQRT((AD83^2*(A83-$D$3)+AC83^2*(DAY(EOMONTH(A83,0))/2))/AK83)</f>
        <v>#N/A</v>
      </c>
      <c r="AF83" s="224" t="e">
        <f aca="false">((Summary!$N$10*(AA83*AD83)*(A83-$D$3))+(Summary!$M$10*Z83*AC83*(AJ83-EOMONTH(EDATE(A83,-1),0))))/(AK83*AB83*AE83)</f>
        <v>#N/A</v>
      </c>
      <c r="AG83" s="207" t="n">
        <f aca="false">IF($A84="","",Summary!$Q$10)</f>
        <v>0</v>
      </c>
      <c r="AH83" s="207" t="n">
        <f aca="false">IF($A84="","",IF(Summary!$R$10="Y",(VLOOKUP($A83,Summary!$AD$6:$AF$9,3)+'Escalating commodity'!F96),'Escalating commodity'!F96))</f>
        <v>0.0158208</v>
      </c>
      <c r="AI83" s="207" t="n">
        <f aca="false">IF($A84="","",AH83)</f>
        <v>0.0158208</v>
      </c>
      <c r="AJ83" s="208" t="n">
        <f aca="false">A83+DAY(EOMONTH(A83,0))/2-1</f>
        <v>39278.5</v>
      </c>
      <c r="AK83" s="209" t="n">
        <f aca="false">IF($A84="","",$A83-$E$1)</f>
        <v>-6662</v>
      </c>
      <c r="AL83" s="182" t="e">
        <f aca="false">IF($A84="","",SPRDOPT(P83,X83,AI83,0,AB83,AE83,AF83,AK83,$AJ$2,0))</f>
        <v>#NAME?</v>
      </c>
      <c r="AM83" s="211" t="e">
        <f aca="false">IF($A84="","",MAX(0,O83-W83-AI83))</f>
        <v>#N/A</v>
      </c>
      <c r="AN83" s="211" t="e">
        <f aca="false">IF($A84="","",AL83-AM83)</f>
        <v>#N/A</v>
      </c>
      <c r="AO83" s="137" t="n">
        <f aca="false">IF(A84="","",A84-A83)</f>
        <v>31</v>
      </c>
      <c r="AP83" s="212" t="n">
        <f aca="false">IF(A84="","",CHOOSE(F$3,A84+24,A83))</f>
        <v>39264</v>
      </c>
      <c r="AQ83" s="209" t="n">
        <f aca="false">IF(A84="","",AP83-$E$1)</f>
        <v>-6662</v>
      </c>
      <c r="AR83" s="185" t="n">
        <f aca="false">'ANR OK vs ML7'!AR83</f>
        <v>0.1</v>
      </c>
      <c r="AS83" s="213" t="n">
        <f aca="false">IF(A84="","",1/(1+CHOOSE(F$3,(AR84+($I$3/10000))/2,(AR83+($I$3/10000))/2))^(2*AQ83/365.25))</f>
        <v>5.92880362596785</v>
      </c>
      <c r="AT83" s="137" t="n">
        <f aca="false">IF(A84="","",IF(AND(mthbeg&lt;=A83,mthend&gt;=A83),1,0))</f>
        <v>1</v>
      </c>
      <c r="AU83" s="137" t="n">
        <f aca="false">IF(A84="","",AO83*AT83)</f>
        <v>31</v>
      </c>
      <c r="AW83" s="195" t="e">
        <f aca="false">IF($A84="","",AL83*$E83)</f>
        <v>#NAME?</v>
      </c>
      <c r="AX83" s="195" t="e">
        <f aca="false">IF($A84="","",AM83*$E83)</f>
        <v>#N/A</v>
      </c>
      <c r="AY83" s="195" t="e">
        <f aca="false">IF($A84="","",AN83*$E83)</f>
        <v>#N/A</v>
      </c>
      <c r="BA83" s="195" t="n">
        <f aca="false">IF($A84="","",F83*Summary!$Q$10)</f>
        <v>0</v>
      </c>
      <c r="BC83" s="179" t="e">
        <f aca="false">IF(A84="","",AM83*F83)</f>
        <v>#N/A</v>
      </c>
    </row>
    <row r="84" customFormat="false" ht="12.75" hidden="false" customHeight="false" outlineLevel="0" collapsed="false">
      <c r="A84" s="196" t="n">
        <f aca="false">IF(A83&lt;mthend,EDATE(A83,1),"")</f>
        <v>39295</v>
      </c>
      <c r="B84" s="197" t="n">
        <f aca="false">IF(A84&lt;mthend,B83,"")</f>
        <v>119740</v>
      </c>
      <c r="C84" s="215"/>
      <c r="D84" s="197" t="n">
        <f aca="false">IF(A85&lt;&gt;"",B84+C84,"")</f>
        <v>119740</v>
      </c>
      <c r="E84" s="199" t="n">
        <f aca="false">IF(A85="","",IF(AND(AT84=1,$H$3=1),D84*AO84,IF($H$3=2,D84,"N/A")))</f>
        <v>3711940</v>
      </c>
      <c r="F84" s="199" t="n">
        <f aca="false">IF(A85="","",E84*AS84)</f>
        <v>21825851.6449984</v>
      </c>
      <c r="G84" s="200" t="e">
        <f aca="false">IF($A85="","",VLOOKUP($A84,Table,MATCH(G$4,Curves,0)))</f>
        <v>#N/A</v>
      </c>
      <c r="H84" s="201" t="e">
        <f aca="false">IF(A85="","",G84)</f>
        <v>#N/A</v>
      </c>
      <c r="I84" s="202"/>
      <c r="J84" s="200" t="e">
        <f aca="false">IF($A85="","",VLOOKUP($A84,Table,MATCH(J$4,Curves,0)))</f>
        <v>#N/A</v>
      </c>
      <c r="K84" s="201" t="e">
        <f aca="false">IF(A85="","",J84)</f>
        <v>#N/A</v>
      </c>
      <c r="L84" s="185" t="n">
        <v>0</v>
      </c>
      <c r="M84" s="201" t="n">
        <f aca="false">IF(A85="","",L84)</f>
        <v>0</v>
      </c>
      <c r="N84" s="203"/>
      <c r="O84" s="200" t="e">
        <f aca="false">IF(A85="","",L84+J84+G84)</f>
        <v>#N/A</v>
      </c>
      <c r="P84" s="200" t="e">
        <f aca="false">IF(A85="","",M84+K84+H84)</f>
        <v>#N/A</v>
      </c>
      <c r="Q84" s="204"/>
      <c r="R84" s="200" t="e">
        <f aca="false">IF($A85="","",VLOOKUP($A84,Table,MATCH(R$4,Curves,0)))</f>
        <v>#N/A</v>
      </c>
      <c r="S84" s="201" t="e">
        <f aca="false">IF(A85="","",R84)</f>
        <v>#N/A</v>
      </c>
      <c r="T84" s="200" t="e">
        <f aca="false">IF($A85="","",VLOOKUP($A84,Table,MATCH(T$4,Curves,0)))</f>
        <v>#N/A</v>
      </c>
      <c r="U84" s="201" t="e">
        <f aca="false">IF(A85="","",T84)</f>
        <v>#N/A</v>
      </c>
      <c r="V84" s="205" t="e">
        <f aca="false">IF($A85="","",IF(AND(MONTH(A84)&gt;3,MONTH(A84)&lt;11),(T84+R84+G84)*Summary!$T$10/(1-Summary!$T$10),(T84+R84+G84)*Summary!$U$10/(1-Summary!$U$10)))</f>
        <v>#N/A</v>
      </c>
      <c r="W84" s="200" t="e">
        <f aca="false">IF($A85="","",(T84+R84+G84+V84))</f>
        <v>#N/A</v>
      </c>
      <c r="X84" s="200" t="e">
        <f aca="false">IF($A85="","",(U84+S84+H84+V84))</f>
        <v>#N/A</v>
      </c>
      <c r="Y84" s="202"/>
      <c r="Z84" s="185" t="e">
        <f aca="false">IF($A85="","",VLOOKUP($A84,Table,MATCH(Z$4,Curves,0)))</f>
        <v>#N/A</v>
      </c>
      <c r="AA84" s="185" t="e">
        <f aca="false">IF($A85="","",VLOOKUP($A84,Table,MATCH(AA$4,Curves,0)))</f>
        <v>#N/A</v>
      </c>
      <c r="AB84" s="185" t="e">
        <f aca="false">SQRT((AA84^2*(A84-$D$3)+Z84^2*(DAY(EOMONTH(A84,0))/2))/AK84)</f>
        <v>#N/A</v>
      </c>
      <c r="AC84" s="185" t="e">
        <f aca="false">IF($A85="","",VLOOKUP($A84,Table,MATCH(AC$4,Curves,0)))</f>
        <v>#N/A</v>
      </c>
      <c r="AD84" s="185" t="e">
        <f aca="false">IF($A85="","",VLOOKUP($A84,Table,MATCH(AD$4,Curves,0)))</f>
        <v>#N/A</v>
      </c>
      <c r="AE84" s="185" t="e">
        <f aca="false">SQRT((AD84^2*(A84-$D$3)+AC84^2*(DAY(EOMONTH(A84,0))/2))/AK84)</f>
        <v>#N/A</v>
      </c>
      <c r="AF84" s="224" t="e">
        <f aca="false">((Summary!$N$10*(AA84*AD84)*(A84-$D$3))+(Summary!$M$10*Z84*AC84*(AJ84-EOMONTH(EDATE(A84,-1),0))))/(AK84*AB84*AE84)</f>
        <v>#N/A</v>
      </c>
      <c r="AG84" s="207" t="n">
        <f aca="false">IF($A85="","",Summary!$Q$10)</f>
        <v>0</v>
      </c>
      <c r="AH84" s="207" t="n">
        <f aca="false">IF($A85="","",IF(Summary!$R$10="Y",(VLOOKUP($A84,Summary!$AD$6:$AF$9,3)+'Escalating commodity'!F97),'Escalating commodity'!F97))</f>
        <v>0.0158208</v>
      </c>
      <c r="AI84" s="207" t="n">
        <f aca="false">IF($A85="","",AH84)</f>
        <v>0.0158208</v>
      </c>
      <c r="AJ84" s="208" t="n">
        <f aca="false">A84+DAY(EOMONTH(A84,0))/2-1</f>
        <v>39309.5</v>
      </c>
      <c r="AK84" s="209" t="n">
        <f aca="false">IF($A85="","",$A84-$E$1)</f>
        <v>-6631</v>
      </c>
      <c r="AL84" s="182" t="e">
        <f aca="false">IF($A85="","",SPRDOPT(P84,X84,AI84,0,AB84,AE84,AF84,AK84,$AJ$2,0))</f>
        <v>#NAME?</v>
      </c>
      <c r="AM84" s="211" t="e">
        <f aca="false">IF($A85="","",MAX(0,O84-W84-AI84))</f>
        <v>#N/A</v>
      </c>
      <c r="AN84" s="211" t="e">
        <f aca="false">IF($A85="","",AL84-AM84)</f>
        <v>#N/A</v>
      </c>
      <c r="AO84" s="137" t="n">
        <f aca="false">IF(A85="","",A85-A84)</f>
        <v>31</v>
      </c>
      <c r="AP84" s="212" t="n">
        <f aca="false">IF(A85="","",CHOOSE(F$3,A85+24,A84))</f>
        <v>39295</v>
      </c>
      <c r="AQ84" s="209" t="n">
        <f aca="false">IF(A85="","",AP84-$E$1)</f>
        <v>-6631</v>
      </c>
      <c r="AR84" s="185" t="n">
        <f aca="false">'ANR OK vs ML7'!AR84</f>
        <v>0.1</v>
      </c>
      <c r="AS84" s="213" t="n">
        <f aca="false">IF(A85="","",1/(1+CHOOSE(F$3,(AR85+($I$3/10000))/2,(AR84+($I$3/10000))/2))^(2*AQ84/365.25))</f>
        <v>5.87990421316034</v>
      </c>
      <c r="AT84" s="137" t="n">
        <f aca="false">IF(A85="","",IF(AND(mthbeg&lt;=A84,mthend&gt;=A84),1,0))</f>
        <v>1</v>
      </c>
      <c r="AU84" s="137" t="n">
        <f aca="false">IF(A85="","",AO84*AT84)</f>
        <v>31</v>
      </c>
      <c r="AW84" s="195" t="e">
        <f aca="false">IF($A85="","",AL84*$E84)</f>
        <v>#NAME?</v>
      </c>
      <c r="AX84" s="195" t="e">
        <f aca="false">IF($A85="","",AM84*$E84)</f>
        <v>#N/A</v>
      </c>
      <c r="AY84" s="195" t="e">
        <f aca="false">IF($A85="","",AN84*$E84)</f>
        <v>#N/A</v>
      </c>
      <c r="BA84" s="195" t="n">
        <f aca="false">IF($A85="","",F84*Summary!$Q$10)</f>
        <v>0</v>
      </c>
      <c r="BC84" s="179" t="e">
        <f aca="false">IF(A85="","",AM84*F84)</f>
        <v>#N/A</v>
      </c>
    </row>
    <row r="85" customFormat="false" ht="12.75" hidden="false" customHeight="false" outlineLevel="0" collapsed="false">
      <c r="A85" s="196" t="n">
        <f aca="false">IF(A84&lt;mthend,EDATE(A84,1),"")</f>
        <v>39326</v>
      </c>
      <c r="B85" s="197" t="n">
        <f aca="false">IF(A85&lt;mthend,B84,"")</f>
        <v>119740</v>
      </c>
      <c r="C85" s="215"/>
      <c r="D85" s="197" t="n">
        <f aca="false">IF(A86&lt;&gt;"",B85+C85,"")</f>
        <v>119740</v>
      </c>
      <c r="E85" s="199" t="n">
        <f aca="false">IF(A86="","",IF(AND(AT85=1,$H$3=1),D85*AO85,IF($H$3=2,D85,"N/A")))</f>
        <v>3592200</v>
      </c>
      <c r="F85" s="199" t="n">
        <f aca="false">IF(A86="","",E85*AS85)</f>
        <v>20947584.2181189</v>
      </c>
      <c r="G85" s="200" t="e">
        <f aca="false">IF($A86="","",VLOOKUP($A85,Table,MATCH(G$4,Curves,0)))</f>
        <v>#N/A</v>
      </c>
      <c r="H85" s="201" t="e">
        <f aca="false">IF(A86="","",G85)</f>
        <v>#N/A</v>
      </c>
      <c r="I85" s="202"/>
      <c r="J85" s="200" t="e">
        <f aca="false">IF($A86="","",VLOOKUP($A85,Table,MATCH(J$4,Curves,0)))</f>
        <v>#N/A</v>
      </c>
      <c r="K85" s="201" t="e">
        <f aca="false">IF(A86="","",J85)</f>
        <v>#N/A</v>
      </c>
      <c r="L85" s="185" t="n">
        <v>0</v>
      </c>
      <c r="M85" s="201" t="n">
        <f aca="false">IF(A86="","",L85)</f>
        <v>0</v>
      </c>
      <c r="N85" s="203"/>
      <c r="O85" s="200" t="e">
        <f aca="false">IF(A86="","",L85+J85+G85)</f>
        <v>#N/A</v>
      </c>
      <c r="P85" s="200" t="e">
        <f aca="false">IF(A86="","",M85+K85+H85)</f>
        <v>#N/A</v>
      </c>
      <c r="Q85" s="204"/>
      <c r="R85" s="200" t="e">
        <f aca="false">IF($A86="","",VLOOKUP($A85,Table,MATCH(R$4,Curves,0)))</f>
        <v>#N/A</v>
      </c>
      <c r="S85" s="201" t="e">
        <f aca="false">IF(A86="","",R85)</f>
        <v>#N/A</v>
      </c>
      <c r="T85" s="200" t="e">
        <f aca="false">IF($A86="","",VLOOKUP($A85,Table,MATCH(T$4,Curves,0)))</f>
        <v>#N/A</v>
      </c>
      <c r="U85" s="201" t="e">
        <f aca="false">IF(A86="","",T85)</f>
        <v>#N/A</v>
      </c>
      <c r="V85" s="205" t="e">
        <f aca="false">IF($A86="","",IF(AND(MONTH(A85)&gt;3,MONTH(A85)&lt;11),(T85+R85+G85)*Summary!$T$10/(1-Summary!$T$10),(T85+R85+G85)*Summary!$U$10/(1-Summary!$U$10)))</f>
        <v>#N/A</v>
      </c>
      <c r="W85" s="200" t="e">
        <f aca="false">IF($A86="","",(T85+R85+G85+V85))</f>
        <v>#N/A</v>
      </c>
      <c r="X85" s="200" t="e">
        <f aca="false">IF($A86="","",(U85+S85+H85+V85))</f>
        <v>#N/A</v>
      </c>
      <c r="Y85" s="202"/>
      <c r="Z85" s="185" t="e">
        <f aca="false">IF($A86="","",VLOOKUP($A85,Table,MATCH(Z$4,Curves,0)))</f>
        <v>#N/A</v>
      </c>
      <c r="AA85" s="185" t="e">
        <f aca="false">IF($A86="","",VLOOKUP($A85,Table,MATCH(AA$4,Curves,0)))</f>
        <v>#N/A</v>
      </c>
      <c r="AB85" s="185" t="e">
        <f aca="false">SQRT((AA85^2*(A85-$D$3)+Z85^2*(DAY(EOMONTH(A85,0))/2))/AK85)</f>
        <v>#N/A</v>
      </c>
      <c r="AC85" s="185" t="e">
        <f aca="false">IF($A86="","",VLOOKUP($A85,Table,MATCH(AC$4,Curves,0)))</f>
        <v>#N/A</v>
      </c>
      <c r="AD85" s="185" t="e">
        <f aca="false">IF($A86="","",VLOOKUP($A85,Table,MATCH(AD$4,Curves,0)))</f>
        <v>#N/A</v>
      </c>
      <c r="AE85" s="185" t="e">
        <f aca="false">SQRT((AD85^2*(A85-$D$3)+AC85^2*(DAY(EOMONTH(A85,0))/2))/AK85)</f>
        <v>#N/A</v>
      </c>
      <c r="AF85" s="224" t="e">
        <f aca="false">((Summary!$N$10*(AA85*AD85)*(A85-$D$3))+(Summary!$M$10*Z85*AC85*(AJ85-EOMONTH(EDATE(A85,-1),0))))/(AK85*AB85*AE85)</f>
        <v>#N/A</v>
      </c>
      <c r="AG85" s="207" t="n">
        <f aca="false">IF($A86="","",Summary!$Q$10)</f>
        <v>0</v>
      </c>
      <c r="AH85" s="207" t="n">
        <f aca="false">IF($A86="","",IF(Summary!$R$10="Y",(VLOOKUP($A85,Summary!$AD$6:$AF$9,3)+'Escalating commodity'!F98),'Escalating commodity'!F98))</f>
        <v>0.0158208</v>
      </c>
      <c r="AI85" s="207" t="n">
        <f aca="false">IF($A86="","",AH85)</f>
        <v>0.0158208</v>
      </c>
      <c r="AJ85" s="208" t="n">
        <f aca="false">A85+DAY(EOMONTH(A85,0))/2-1</f>
        <v>39340</v>
      </c>
      <c r="AK85" s="209" t="n">
        <f aca="false">IF($A86="","",$A85-$E$1)</f>
        <v>-6600</v>
      </c>
      <c r="AL85" s="182" t="e">
        <f aca="false">IF($A86="","",SPRDOPT(P85,X85,AI85,0,AB85,AE85,AF85,AK85,$AJ$2,0))</f>
        <v>#NAME?</v>
      </c>
      <c r="AM85" s="211" t="e">
        <f aca="false">IF($A86="","",MAX(0,O85-W85-AI85))</f>
        <v>#N/A</v>
      </c>
      <c r="AN85" s="211" t="e">
        <f aca="false">IF($A86="","",AL85-AM85)</f>
        <v>#N/A</v>
      </c>
      <c r="AO85" s="137" t="n">
        <f aca="false">IF(A86="","",A86-A85)</f>
        <v>30</v>
      </c>
      <c r="AP85" s="212" t="n">
        <f aca="false">IF(A86="","",CHOOSE(F$3,A86+24,A85))</f>
        <v>39326</v>
      </c>
      <c r="AQ85" s="209" t="n">
        <f aca="false">IF(A86="","",AP85-$E$1)</f>
        <v>-6600</v>
      </c>
      <c r="AR85" s="185" t="n">
        <f aca="false">'ANR OK vs ML7'!AR85</f>
        <v>0.1</v>
      </c>
      <c r="AS85" s="213" t="n">
        <f aca="false">IF(A86="","",1/(1+CHOOSE(F$3,(AR86+($I$3/10000))/2,(AR85+($I$3/10000))/2))^(2*AQ85/365.25))</f>
        <v>5.83140811149684</v>
      </c>
      <c r="AT85" s="137" t="n">
        <f aca="false">IF(A86="","",IF(AND(mthbeg&lt;=A85,mthend&gt;=A85),1,0))</f>
        <v>1</v>
      </c>
      <c r="AU85" s="137" t="n">
        <f aca="false">IF(A86="","",AO85*AT85)</f>
        <v>30</v>
      </c>
      <c r="AW85" s="195" t="e">
        <f aca="false">IF($A86="","",AL85*$E85)</f>
        <v>#NAME?</v>
      </c>
      <c r="AX85" s="195" t="e">
        <f aca="false">IF($A86="","",AM85*$E85)</f>
        <v>#N/A</v>
      </c>
      <c r="AY85" s="195" t="e">
        <f aca="false">IF($A86="","",AN85*$E85)</f>
        <v>#N/A</v>
      </c>
      <c r="BA85" s="195" t="n">
        <f aca="false">IF($A86="","",F85*Summary!$Q$10)</f>
        <v>0</v>
      </c>
      <c r="BC85" s="179" t="e">
        <f aca="false">IF(A86="","",AM85*F85)</f>
        <v>#N/A</v>
      </c>
    </row>
    <row r="86" customFormat="false" ht="12.75" hidden="false" customHeight="false" outlineLevel="0" collapsed="false">
      <c r="A86" s="196" t="n">
        <f aca="false">IF(A85&lt;mthend,EDATE(A85,1),"")</f>
        <v>39356</v>
      </c>
      <c r="B86" s="197" t="n">
        <f aca="false">IF(A86&lt;mthend,B85,"")</f>
        <v>119740</v>
      </c>
      <c r="C86" s="215"/>
      <c r="D86" s="197" t="n">
        <f aca="false">IF(A87&lt;&gt;"",B86+C86,"")</f>
        <v>119740</v>
      </c>
      <c r="E86" s="199" t="n">
        <f aca="false">IF(A87="","",IF(AND(AT86=1,$H$3=1),D86*AO86,IF($H$3=2,D86,"N/A")))</f>
        <v>3711940</v>
      </c>
      <c r="F86" s="199" t="n">
        <f aca="false">IF(A87="","",E86*AS86)</f>
        <v>21473043.1051666</v>
      </c>
      <c r="G86" s="200" t="e">
        <f aca="false">IF($A87="","",VLOOKUP($A86,Table,MATCH(G$4,Curves,0)))</f>
        <v>#N/A</v>
      </c>
      <c r="H86" s="201" t="e">
        <f aca="false">IF(A87="","",G86)</f>
        <v>#N/A</v>
      </c>
      <c r="I86" s="202"/>
      <c r="J86" s="200" t="e">
        <f aca="false">IF($A87="","",VLOOKUP($A86,Table,MATCH(J$4,Curves,0)))</f>
        <v>#N/A</v>
      </c>
      <c r="K86" s="201" t="e">
        <f aca="false">IF(A87="","",J86)</f>
        <v>#N/A</v>
      </c>
      <c r="L86" s="185" t="n">
        <v>0</v>
      </c>
      <c r="M86" s="201" t="n">
        <f aca="false">IF(A87="","",L86)</f>
        <v>0</v>
      </c>
      <c r="N86" s="203"/>
      <c r="O86" s="200" t="e">
        <f aca="false">IF(A87="","",L86+J86+G86)</f>
        <v>#N/A</v>
      </c>
      <c r="P86" s="200" t="e">
        <f aca="false">IF(A87="","",M86+K86+H86)</f>
        <v>#N/A</v>
      </c>
      <c r="Q86" s="204"/>
      <c r="R86" s="200" t="e">
        <f aca="false">IF($A87="","",VLOOKUP($A86,Table,MATCH(R$4,Curves,0)))</f>
        <v>#N/A</v>
      </c>
      <c r="S86" s="201" t="e">
        <f aca="false">IF(A87="","",R86)</f>
        <v>#N/A</v>
      </c>
      <c r="T86" s="200" t="e">
        <f aca="false">IF($A87="","",VLOOKUP($A86,Table,MATCH(T$4,Curves,0)))</f>
        <v>#N/A</v>
      </c>
      <c r="U86" s="201" t="e">
        <f aca="false">IF(A87="","",T86)</f>
        <v>#N/A</v>
      </c>
      <c r="V86" s="205" t="e">
        <f aca="false">IF($A87="","",IF(AND(MONTH(A86)&gt;3,MONTH(A86)&lt;11),(T86+R86+G86)*Summary!$T$10/(1-Summary!$T$10),(T86+R86+G86)*Summary!$U$10/(1-Summary!$U$10)))</f>
        <v>#N/A</v>
      </c>
      <c r="W86" s="200" t="e">
        <f aca="false">IF($A87="","",(T86+R86+G86+V86))</f>
        <v>#N/A</v>
      </c>
      <c r="X86" s="200" t="e">
        <f aca="false">IF($A87="","",(U86+S86+H86+V86))</f>
        <v>#N/A</v>
      </c>
      <c r="Y86" s="202"/>
      <c r="Z86" s="185" t="e">
        <f aca="false">IF($A87="","",VLOOKUP($A86,Table,MATCH(Z$4,Curves,0)))</f>
        <v>#N/A</v>
      </c>
      <c r="AA86" s="185" t="e">
        <f aca="false">IF($A87="","",VLOOKUP($A86,Table,MATCH(AA$4,Curves,0)))</f>
        <v>#N/A</v>
      </c>
      <c r="AB86" s="185" t="e">
        <f aca="false">SQRT((AA86^2*(A86-$D$3)+Z86^2*(DAY(EOMONTH(A86,0))/2))/AK86)</f>
        <v>#N/A</v>
      </c>
      <c r="AC86" s="185" t="e">
        <f aca="false">IF($A87="","",VLOOKUP($A86,Table,MATCH(AC$4,Curves,0)))</f>
        <v>#N/A</v>
      </c>
      <c r="AD86" s="185" t="e">
        <f aca="false">IF($A87="","",VLOOKUP($A86,Table,MATCH(AD$4,Curves,0)))</f>
        <v>#N/A</v>
      </c>
      <c r="AE86" s="185" t="e">
        <f aca="false">SQRT((AD86^2*(A86-$D$3)+AC86^2*(DAY(EOMONTH(A86,0))/2))/AK86)</f>
        <v>#N/A</v>
      </c>
      <c r="AF86" s="224" t="e">
        <f aca="false">((Summary!$N$10*(AA86*AD86)*(A86-$D$3))+(Summary!$M$10*Z86*AC86*(AJ86-EOMONTH(EDATE(A86,-1),0))))/(AK86*AB86*AE86)</f>
        <v>#N/A</v>
      </c>
      <c r="AG86" s="207" t="n">
        <f aca="false">IF($A87="","",Summary!$Q$10)</f>
        <v>0</v>
      </c>
      <c r="AH86" s="207" t="n">
        <f aca="false">IF($A87="","",IF(Summary!$R$10="Y",(VLOOKUP($A86,Summary!$AD$6:$AF$9,3)+'Escalating commodity'!F99),'Escalating commodity'!F99))</f>
        <v>0.0158208</v>
      </c>
      <c r="AI86" s="207" t="n">
        <f aca="false">IF($A87="","",AH86)</f>
        <v>0.0158208</v>
      </c>
      <c r="AJ86" s="208" t="n">
        <f aca="false">A86+DAY(EOMONTH(A86,0))/2-1</f>
        <v>39370.5</v>
      </c>
      <c r="AK86" s="209" t="n">
        <f aca="false">IF($A87="","",$A86-$E$1)</f>
        <v>-6570</v>
      </c>
      <c r="AL86" s="182" t="e">
        <f aca="false">IF($A87="","",SPRDOPT(P86,X86,AI86,0,AB86,AE86,AF86,AK86,$AJ$2,0))</f>
        <v>#NAME?</v>
      </c>
      <c r="AM86" s="211" t="e">
        <f aca="false">IF($A87="","",MAX(0,O86-W86-AI86))</f>
        <v>#N/A</v>
      </c>
      <c r="AN86" s="211" t="e">
        <f aca="false">IF($A87="","",AL86-AM86)</f>
        <v>#N/A</v>
      </c>
      <c r="AO86" s="137" t="n">
        <f aca="false">IF(A87="","",A87-A86)</f>
        <v>31</v>
      </c>
      <c r="AP86" s="212" t="n">
        <f aca="false">IF(A87="","",CHOOSE(F$3,A87+24,A86))</f>
        <v>39356</v>
      </c>
      <c r="AQ86" s="209" t="n">
        <f aca="false">IF(A87="","",AP86-$E$1)</f>
        <v>-6570</v>
      </c>
      <c r="AR86" s="185" t="n">
        <f aca="false">'ANR OK vs ML7'!AR86</f>
        <v>0.1</v>
      </c>
      <c r="AS86" s="213" t="n">
        <f aca="false">IF(A87="","",1/(1+CHOOSE(F$3,(AR87+($I$3/10000))/2,(AR86+($I$3/10000))/2))^(2*AQ86/365.25))</f>
        <v>5.78485727279176</v>
      </c>
      <c r="AT86" s="137" t="n">
        <f aca="false">IF(A87="","",IF(AND(mthbeg&lt;=A86,mthend&gt;=A86),1,0))</f>
        <v>1</v>
      </c>
      <c r="AU86" s="137" t="n">
        <f aca="false">IF(A87="","",AO86*AT86)</f>
        <v>31</v>
      </c>
      <c r="AW86" s="195" t="e">
        <f aca="false">IF($A87="","",AL86*$E86)</f>
        <v>#NAME?</v>
      </c>
      <c r="AX86" s="195" t="e">
        <f aca="false">IF($A87="","",AM86*$E86)</f>
        <v>#N/A</v>
      </c>
      <c r="AY86" s="195" t="e">
        <f aca="false">IF($A87="","",AN86*$E86)</f>
        <v>#N/A</v>
      </c>
      <c r="BA86" s="195" t="n">
        <f aca="false">IF($A87="","",F86*Summary!$Q$10)</f>
        <v>0</v>
      </c>
      <c r="BC86" s="179" t="e">
        <f aca="false">IF(A87="","",AM86*F86)</f>
        <v>#N/A</v>
      </c>
    </row>
    <row r="87" customFormat="false" ht="12.75" hidden="false" customHeight="false" outlineLevel="0" collapsed="false">
      <c r="A87" s="196" t="n">
        <f aca="false">IF(A86&lt;mthend,EDATE(A86,1),"")</f>
        <v>39387</v>
      </c>
      <c r="B87" s="197" t="n">
        <f aca="false">IF(A87&lt;mthend,B86,"")</f>
        <v>119740</v>
      </c>
      <c r="C87" s="215"/>
      <c r="D87" s="197" t="n">
        <f aca="false">IF(A88&lt;&gt;"",B87+C87,"")</f>
        <v>119740</v>
      </c>
      <c r="E87" s="199" t="n">
        <f aca="false">IF(A88="","",IF(AND(AT87=1,$H$3=1),D87*AO87,IF($H$3=2,D87,"N/A")))</f>
        <v>3592200</v>
      </c>
      <c r="F87" s="199" t="n">
        <f aca="false">IF(A88="","",E87*AS87)</f>
        <v>20608972.6156392</v>
      </c>
      <c r="G87" s="200" t="e">
        <f aca="false">IF($A88="","",VLOOKUP($A87,Table,MATCH(G$4,Curves,0)))</f>
        <v>#N/A</v>
      </c>
      <c r="H87" s="201" t="e">
        <f aca="false">IF(A88="","",G87)</f>
        <v>#N/A</v>
      </c>
      <c r="I87" s="202"/>
      <c r="J87" s="200" t="e">
        <f aca="false">IF($A88="","",VLOOKUP($A87,Table,MATCH(J$4,Curves,0)))</f>
        <v>#N/A</v>
      </c>
      <c r="K87" s="201" t="e">
        <f aca="false">IF(A88="","",J87)</f>
        <v>#N/A</v>
      </c>
      <c r="L87" s="185" t="n">
        <v>0</v>
      </c>
      <c r="M87" s="201" t="n">
        <f aca="false">IF(A88="","",L87)</f>
        <v>0</v>
      </c>
      <c r="N87" s="203"/>
      <c r="O87" s="200" t="e">
        <f aca="false">IF(A88="","",L87+J87+G87)</f>
        <v>#N/A</v>
      </c>
      <c r="P87" s="200" t="e">
        <f aca="false">IF(A88="","",M87+K87+H87)</f>
        <v>#N/A</v>
      </c>
      <c r="Q87" s="204"/>
      <c r="R87" s="200" t="e">
        <f aca="false">IF($A88="","",VLOOKUP($A87,Table,MATCH(R$4,Curves,0)))</f>
        <v>#N/A</v>
      </c>
      <c r="S87" s="201" t="e">
        <f aca="false">IF(A88="","",R87)</f>
        <v>#N/A</v>
      </c>
      <c r="T87" s="200" t="e">
        <f aca="false">IF($A88="","",VLOOKUP($A87,Table,MATCH(T$4,Curves,0)))</f>
        <v>#N/A</v>
      </c>
      <c r="U87" s="201" t="e">
        <f aca="false">IF(A88="","",T87)</f>
        <v>#N/A</v>
      </c>
      <c r="V87" s="205" t="e">
        <f aca="false">IF($A88="","",IF(AND(MONTH(A87)&gt;3,MONTH(A87)&lt;11),(T87+R87+G87)*Summary!$T$10/(1-Summary!$T$10),(T87+R87+G87)*Summary!$U$10/(1-Summary!$U$10)))</f>
        <v>#N/A</v>
      </c>
      <c r="W87" s="200" t="e">
        <f aca="false">IF($A88="","",(T87+R87+G87+V87))</f>
        <v>#N/A</v>
      </c>
      <c r="X87" s="200" t="e">
        <f aca="false">IF($A88="","",(U87+S87+H87+V87))</f>
        <v>#N/A</v>
      </c>
      <c r="Y87" s="202"/>
      <c r="Z87" s="185" t="e">
        <f aca="false">IF($A88="","",VLOOKUP($A87,Table,MATCH(Z$4,Curves,0)))</f>
        <v>#N/A</v>
      </c>
      <c r="AA87" s="185" t="e">
        <f aca="false">IF($A88="","",VLOOKUP($A87,Table,MATCH(AA$4,Curves,0)))</f>
        <v>#N/A</v>
      </c>
      <c r="AB87" s="185" t="e">
        <f aca="false">SQRT((AA87^2*(A87-$D$3)+Z87^2*(DAY(EOMONTH(A87,0))/2))/AK87)</f>
        <v>#N/A</v>
      </c>
      <c r="AC87" s="185" t="e">
        <f aca="false">IF($A88="","",VLOOKUP($A87,Table,MATCH(AC$4,Curves,0)))</f>
        <v>#N/A</v>
      </c>
      <c r="AD87" s="185" t="e">
        <f aca="false">IF($A88="","",VLOOKUP($A87,Table,MATCH(AD$4,Curves,0)))</f>
        <v>#N/A</v>
      </c>
      <c r="AE87" s="185" t="e">
        <f aca="false">SQRT((AD87^2*(A87-$D$3)+AC87^2*(DAY(EOMONTH(A87,0))/2))/AK87)</f>
        <v>#N/A</v>
      </c>
      <c r="AF87" s="224" t="e">
        <f aca="false">((Summary!$N$10*(AA87*AD87)*(A87-$D$3))+(Summary!$M$10*Z87*AC87*(AJ87-EOMONTH(EDATE(A87,-1),0))))/(AK87*AB87*AE87)</f>
        <v>#N/A</v>
      </c>
      <c r="AG87" s="207" t="n">
        <f aca="false">IF($A88="","",Summary!$Q$10)</f>
        <v>0</v>
      </c>
      <c r="AH87" s="207" t="n">
        <f aca="false">IF($A88="","",IF(Summary!$R$10="Y",(VLOOKUP($A87,Summary!$AD$6:$AF$9,3)+'Escalating commodity'!F100),'Escalating commodity'!F100))</f>
        <v>0.0158208</v>
      </c>
      <c r="AI87" s="207" t="n">
        <f aca="false">IF($A88="","",AH87)</f>
        <v>0.0158208</v>
      </c>
      <c r="AJ87" s="208" t="n">
        <f aca="false">A87+DAY(EOMONTH(A87,0))/2-1</f>
        <v>39401</v>
      </c>
      <c r="AK87" s="209" t="n">
        <f aca="false">IF($A88="","",$A87-$E$1)</f>
        <v>-6539</v>
      </c>
      <c r="AL87" s="182" t="e">
        <f aca="false">IF($A88="","",SPRDOPT(P87,X87,AI87,0,AB87,AE87,AF87,AK87,$AJ$2,0))</f>
        <v>#NAME?</v>
      </c>
      <c r="AM87" s="211" t="e">
        <f aca="false">IF($A88="","",MAX(0,O87-W87-AI87))</f>
        <v>#N/A</v>
      </c>
      <c r="AN87" s="211" t="e">
        <f aca="false">IF($A88="","",AL87-AM87)</f>
        <v>#N/A</v>
      </c>
      <c r="AO87" s="137" t="n">
        <f aca="false">IF(A88="","",A88-A87)</f>
        <v>30</v>
      </c>
      <c r="AP87" s="212" t="n">
        <f aca="false">IF(A88="","",CHOOSE(F$3,A88+24,A87))</f>
        <v>39387</v>
      </c>
      <c r="AQ87" s="209" t="n">
        <f aca="false">IF(A88="","",AP87-$E$1)</f>
        <v>-6539</v>
      </c>
      <c r="AR87" s="185" t="n">
        <f aca="false">'ANR OK vs ML7'!AR87</f>
        <v>0.1</v>
      </c>
      <c r="AS87" s="213" t="n">
        <f aca="false">IF(A88="","",1/(1+CHOOSE(F$3,(AR88+($I$3/10000))/2,(AR87+($I$3/10000))/2))^(2*AQ87/365.25))</f>
        <v>5.73714509649775</v>
      </c>
      <c r="AT87" s="137" t="n">
        <f aca="false">IF(A88="","",IF(AND(mthbeg&lt;=A87,mthend&gt;=A87),1,0))</f>
        <v>1</v>
      </c>
      <c r="AU87" s="137" t="n">
        <f aca="false">IF(A88="","",AO87*AT87)</f>
        <v>30</v>
      </c>
      <c r="AW87" s="195" t="e">
        <f aca="false">IF($A88="","",AL87*$E87)</f>
        <v>#NAME?</v>
      </c>
      <c r="AX87" s="195" t="e">
        <f aca="false">IF($A88="","",AM87*$E87)</f>
        <v>#N/A</v>
      </c>
      <c r="AY87" s="195" t="e">
        <f aca="false">IF($A88="","",AN87*$E87)</f>
        <v>#N/A</v>
      </c>
      <c r="BA87" s="195" t="n">
        <f aca="false">IF($A88="","",F87*Summary!$Q$10)</f>
        <v>0</v>
      </c>
      <c r="BC87" s="179" t="e">
        <f aca="false">IF(A88="","",AM87*F87)</f>
        <v>#N/A</v>
      </c>
    </row>
    <row r="88" customFormat="false" ht="12.75" hidden="false" customHeight="false" outlineLevel="0" collapsed="false">
      <c r="A88" s="196" t="n">
        <f aca="false">IF(A87&lt;mthend,EDATE(A87,1),"")</f>
        <v>39417</v>
      </c>
      <c r="B88" s="197" t="n">
        <f aca="false">IF(A88&lt;mthend,B87,"")</f>
        <v>119740</v>
      </c>
      <c r="C88" s="215"/>
      <c r="D88" s="197" t="n">
        <f aca="false">IF(A89&lt;&gt;"",B88+C88,"")</f>
        <v>119740</v>
      </c>
      <c r="E88" s="199" t="n">
        <f aca="false">IF(A89="","",IF(AND(AT88=1,$H$3=1),D88*AO88,IF($H$3=2,D88,"N/A")))</f>
        <v>3711940</v>
      </c>
      <c r="F88" s="199" t="n">
        <f aca="false">IF(A89="","",E88*AS88)</f>
        <v>21125937.6127029</v>
      </c>
      <c r="G88" s="200" t="e">
        <f aca="false">IF($A89="","",VLOOKUP($A88,Table,MATCH(G$4,Curves,0)))</f>
        <v>#N/A</v>
      </c>
      <c r="H88" s="201" t="e">
        <f aca="false">IF(A89="","",G88)</f>
        <v>#N/A</v>
      </c>
      <c r="I88" s="202"/>
      <c r="J88" s="200" t="e">
        <f aca="false">IF($A89="","",VLOOKUP($A88,Table,MATCH(J$4,Curves,0)))</f>
        <v>#N/A</v>
      </c>
      <c r="K88" s="201" t="e">
        <f aca="false">IF(A89="","",J88)</f>
        <v>#N/A</v>
      </c>
      <c r="L88" s="185" t="n">
        <v>0</v>
      </c>
      <c r="M88" s="201" t="n">
        <f aca="false">IF(A89="","",L88)</f>
        <v>0</v>
      </c>
      <c r="N88" s="203"/>
      <c r="O88" s="200" t="e">
        <f aca="false">IF(A89="","",L88+J88+G88)</f>
        <v>#N/A</v>
      </c>
      <c r="P88" s="200" t="e">
        <f aca="false">IF(A89="","",M88+K88+H88)</f>
        <v>#N/A</v>
      </c>
      <c r="Q88" s="204"/>
      <c r="R88" s="200" t="e">
        <f aca="false">IF($A89="","",VLOOKUP($A88,Table,MATCH(R$4,Curves,0)))</f>
        <v>#N/A</v>
      </c>
      <c r="S88" s="201" t="e">
        <f aca="false">IF(A89="","",R88)</f>
        <v>#N/A</v>
      </c>
      <c r="T88" s="200" t="e">
        <f aca="false">IF($A89="","",VLOOKUP($A88,Table,MATCH(T$4,Curves,0)))</f>
        <v>#N/A</v>
      </c>
      <c r="U88" s="201" t="e">
        <f aca="false">IF(A89="","",T88)</f>
        <v>#N/A</v>
      </c>
      <c r="V88" s="205" t="e">
        <f aca="false">IF($A89="","",IF(AND(MONTH(A88)&gt;3,MONTH(A88)&lt;11),(T88+R88+G88)*Summary!$T$10/(1-Summary!$T$10),(T88+R88+G88)*Summary!$U$10/(1-Summary!$U$10)))</f>
        <v>#N/A</v>
      </c>
      <c r="W88" s="200" t="e">
        <f aca="false">IF($A89="","",(T88+R88+G88+V88))</f>
        <v>#N/A</v>
      </c>
      <c r="X88" s="200" t="e">
        <f aca="false">IF($A89="","",(U88+S88+H88+V88))</f>
        <v>#N/A</v>
      </c>
      <c r="Y88" s="202"/>
      <c r="Z88" s="185" t="e">
        <f aca="false">IF($A89="","",VLOOKUP($A88,Table,MATCH(Z$4,Curves,0)))</f>
        <v>#N/A</v>
      </c>
      <c r="AA88" s="185" t="e">
        <f aca="false">IF($A89="","",VLOOKUP($A88,Table,MATCH(AA$4,Curves,0)))</f>
        <v>#N/A</v>
      </c>
      <c r="AB88" s="185" t="e">
        <f aca="false">SQRT((AA88^2*(A88-$D$3)+Z88^2*(DAY(EOMONTH(A88,0))/2))/AK88)</f>
        <v>#N/A</v>
      </c>
      <c r="AC88" s="185" t="e">
        <f aca="false">IF($A89="","",VLOOKUP($A88,Table,MATCH(AC$4,Curves,0)))</f>
        <v>#N/A</v>
      </c>
      <c r="AD88" s="185" t="e">
        <f aca="false">IF($A89="","",VLOOKUP($A88,Table,MATCH(AD$4,Curves,0)))</f>
        <v>#N/A</v>
      </c>
      <c r="AE88" s="185" t="e">
        <f aca="false">SQRT((AD88^2*(A88-$D$3)+AC88^2*(DAY(EOMONTH(A88,0))/2))/AK88)</f>
        <v>#N/A</v>
      </c>
      <c r="AF88" s="224" t="e">
        <f aca="false">((Summary!$N$10*(AA88*AD88)*(A88-$D$3))+(Summary!$M$10*Z88*AC88*(AJ88-EOMONTH(EDATE(A88,-1),0))))/(AK88*AB88*AE88)</f>
        <v>#N/A</v>
      </c>
      <c r="AG88" s="207" t="n">
        <f aca="false">IF($A89="","",Summary!$Q$10)</f>
        <v>0</v>
      </c>
      <c r="AH88" s="207" t="n">
        <f aca="false">IF($A89="","",IF(Summary!$R$10="Y",(VLOOKUP($A88,Summary!$AD$6:$AF$9,3)+'Escalating commodity'!F101),'Escalating commodity'!F101))</f>
        <v>0.0158208</v>
      </c>
      <c r="AI88" s="207" t="n">
        <f aca="false">IF($A89="","",AH88)</f>
        <v>0.0158208</v>
      </c>
      <c r="AJ88" s="208" t="n">
        <f aca="false">A88+DAY(EOMONTH(A88,0))/2-1</f>
        <v>39431.5</v>
      </c>
      <c r="AK88" s="209" t="n">
        <f aca="false">IF($A89="","",$A88-$E$1)</f>
        <v>-6509</v>
      </c>
      <c r="AL88" s="182" t="e">
        <f aca="false">IF($A89="","",SPRDOPT(P88,X88,AI88,0,AB88,AE88,AF88,AK88,$AJ$2,0))</f>
        <v>#NAME?</v>
      </c>
      <c r="AM88" s="211" t="e">
        <f aca="false">IF($A89="","",MAX(0,O88-W88-AI88))</f>
        <v>#N/A</v>
      </c>
      <c r="AN88" s="211" t="e">
        <f aca="false">IF($A89="","",AL88-AM88)</f>
        <v>#N/A</v>
      </c>
      <c r="AO88" s="137" t="n">
        <f aca="false">IF(A89="","",A89-A88)</f>
        <v>31</v>
      </c>
      <c r="AP88" s="212" t="n">
        <f aca="false">IF(A89="","",CHOOSE(F$3,A89+24,A88))</f>
        <v>39417</v>
      </c>
      <c r="AQ88" s="209" t="n">
        <f aca="false">IF(A89="","",AP88-$E$1)</f>
        <v>-6509</v>
      </c>
      <c r="AR88" s="185" t="n">
        <f aca="false">'ANR OK vs ML7'!AR88</f>
        <v>0.1</v>
      </c>
      <c r="AS88" s="213" t="n">
        <f aca="false">IF(A89="","",1/(1+CHOOSE(F$3,(AR89+($I$3/10000))/2,(AR88+($I$3/10000))/2))^(2*AQ88/365.25))</f>
        <v>5.69134673855258</v>
      </c>
      <c r="AT88" s="137" t="n">
        <f aca="false">IF(A89="","",IF(AND(mthbeg&lt;=A88,mthend&gt;=A88),1,0))</f>
        <v>1</v>
      </c>
      <c r="AU88" s="137" t="n">
        <f aca="false">IF(A89="","",AO88*AT88)</f>
        <v>31</v>
      </c>
      <c r="AW88" s="195" t="e">
        <f aca="false">IF($A89="","",AL88*$E88)</f>
        <v>#NAME?</v>
      </c>
      <c r="AX88" s="195" t="e">
        <f aca="false">IF($A89="","",AM88*$E88)</f>
        <v>#N/A</v>
      </c>
      <c r="AY88" s="195" t="e">
        <f aca="false">IF($A89="","",AN88*$E88)</f>
        <v>#N/A</v>
      </c>
      <c r="BA88" s="195" t="n">
        <f aca="false">IF($A89="","",F88*Summary!$Q$10)</f>
        <v>0</v>
      </c>
      <c r="BC88" s="179" t="e">
        <f aca="false">IF(A89="","",AM88*F88)</f>
        <v>#N/A</v>
      </c>
    </row>
    <row r="89" customFormat="false" ht="12.75" hidden="false" customHeight="false" outlineLevel="0" collapsed="false">
      <c r="A89" s="196" t="n">
        <f aca="false">IF(A88&lt;mthend,EDATE(A88,1),"")</f>
        <v>39448</v>
      </c>
      <c r="B89" s="197" t="n">
        <f aca="false">IF(A89&lt;mthend,B88,"")</f>
        <v>119740</v>
      </c>
      <c r="C89" s="215"/>
      <c r="D89" s="197" t="n">
        <f aca="false">IF(A90&lt;&gt;"",B89+C89,"")</f>
        <v>119740</v>
      </c>
      <c r="E89" s="199" t="n">
        <f aca="false">IF(A90="","",IF(AND(AT89=1,$H$3=1),D89*AO89,IF($H$3=2,D89,"N/A")))</f>
        <v>3711940</v>
      </c>
      <c r="F89" s="199" t="n">
        <f aca="false">IF(A90="","",E89*AS89)</f>
        <v>20951695.7235392</v>
      </c>
      <c r="G89" s="200" t="e">
        <f aca="false">IF($A90="","",VLOOKUP($A89,Table,MATCH(G$4,Curves,0)))</f>
        <v>#N/A</v>
      </c>
      <c r="H89" s="201" t="e">
        <f aca="false">IF(A90="","",G89)</f>
        <v>#N/A</v>
      </c>
      <c r="I89" s="202"/>
      <c r="J89" s="200" t="e">
        <f aca="false">IF($A90="","",VLOOKUP($A89,Table,MATCH(J$4,Curves,0)))</f>
        <v>#N/A</v>
      </c>
      <c r="K89" s="201" t="e">
        <f aca="false">IF(A90="","",J89)</f>
        <v>#N/A</v>
      </c>
      <c r="L89" s="185" t="n">
        <v>0</v>
      </c>
      <c r="M89" s="201" t="n">
        <f aca="false">IF(A90="","",L89)</f>
        <v>0</v>
      </c>
      <c r="N89" s="203"/>
      <c r="O89" s="200" t="e">
        <f aca="false">IF(A90="","",L89+J89+G89)</f>
        <v>#N/A</v>
      </c>
      <c r="P89" s="200" t="e">
        <f aca="false">IF(A90="","",M89+K89+H89)</f>
        <v>#N/A</v>
      </c>
      <c r="Q89" s="204"/>
      <c r="R89" s="200" t="e">
        <f aca="false">IF($A90="","",VLOOKUP($A89,Table,MATCH(R$4,Curves,0)))</f>
        <v>#N/A</v>
      </c>
      <c r="S89" s="201" t="e">
        <f aca="false">IF(A90="","",R89)</f>
        <v>#N/A</v>
      </c>
      <c r="T89" s="200" t="e">
        <f aca="false">IF($A90="","",VLOOKUP($A89,Table,MATCH(T$4,Curves,0)))</f>
        <v>#N/A</v>
      </c>
      <c r="U89" s="201" t="e">
        <f aca="false">IF(A90="","",T89)</f>
        <v>#N/A</v>
      </c>
      <c r="V89" s="205" t="e">
        <f aca="false">IF($A90="","",IF(AND(MONTH(A89)&gt;3,MONTH(A89)&lt;11),(T89+R89+G89)*Summary!$T$10/(1-Summary!$T$10),(T89+R89+G89)*Summary!$U$10/(1-Summary!$U$10)))</f>
        <v>#N/A</v>
      </c>
      <c r="W89" s="200" t="e">
        <f aca="false">IF($A90="","",(T89+R89+G89+V89))</f>
        <v>#N/A</v>
      </c>
      <c r="X89" s="200" t="e">
        <f aca="false">IF($A90="","",(U89+S89+H89+V89))</f>
        <v>#N/A</v>
      </c>
      <c r="Y89" s="202"/>
      <c r="Z89" s="185" t="e">
        <f aca="false">IF($A90="","",VLOOKUP($A89,Table,MATCH(Z$4,Curves,0)))</f>
        <v>#N/A</v>
      </c>
      <c r="AA89" s="185" t="e">
        <f aca="false">IF($A90="","",VLOOKUP($A89,Table,MATCH(AA$4,Curves,0)))</f>
        <v>#N/A</v>
      </c>
      <c r="AB89" s="185" t="e">
        <f aca="false">SQRT((AA89^2*(A89-$D$3)+Z89^2*(DAY(EOMONTH(A89,0))/2))/AK89)</f>
        <v>#N/A</v>
      </c>
      <c r="AC89" s="185" t="e">
        <f aca="false">IF($A90="","",VLOOKUP($A89,Table,MATCH(AC$4,Curves,0)))</f>
        <v>#N/A</v>
      </c>
      <c r="AD89" s="185" t="e">
        <f aca="false">IF($A90="","",VLOOKUP($A89,Table,MATCH(AD$4,Curves,0)))</f>
        <v>#N/A</v>
      </c>
      <c r="AE89" s="185" t="e">
        <f aca="false">SQRT((AD89^2*(A89-$D$3)+AC89^2*(DAY(EOMONTH(A89,0))/2))/AK89)</f>
        <v>#N/A</v>
      </c>
      <c r="AF89" s="224" t="e">
        <f aca="false">((Summary!$N$10*(AA89*AD89)*(A89-$D$3))+(Summary!$M$10*Z89*AC89*(AJ89-EOMONTH(EDATE(A89,-1),0))))/(AK89*AB89*AE89)</f>
        <v>#N/A</v>
      </c>
      <c r="AG89" s="207" t="n">
        <f aca="false">IF($A90="","",Summary!$Q$10)</f>
        <v>0</v>
      </c>
      <c r="AH89" s="207" t="n">
        <f aca="false">IF($A90="","",IF(Summary!$R$10="Y",(VLOOKUP($A89,Summary!$AD$6:$AF$9,3)+'Escalating commodity'!F102),'Escalating commodity'!F102))</f>
        <v>0.0158208</v>
      </c>
      <c r="AI89" s="207" t="n">
        <f aca="false">IF($A90="","",AH89)</f>
        <v>0.0158208</v>
      </c>
      <c r="AJ89" s="208" t="n">
        <f aca="false">A89+DAY(EOMONTH(A89,0))/2-1</f>
        <v>39462.5</v>
      </c>
      <c r="AK89" s="209" t="n">
        <f aca="false">IF($A90="","",$A89-$E$1)</f>
        <v>-6478</v>
      </c>
      <c r="AL89" s="182" t="e">
        <f aca="false">IF($A90="","",SPRDOPT(P89,X89,AI89,0,AB89,AE89,AF89,AK89,$AJ$2,0))</f>
        <v>#NAME?</v>
      </c>
      <c r="AM89" s="211" t="e">
        <f aca="false">IF($A90="","",MAX(0,O89-W89-AI89))</f>
        <v>#N/A</v>
      </c>
      <c r="AN89" s="211" t="e">
        <f aca="false">IF($A90="","",AL89-AM89)</f>
        <v>#N/A</v>
      </c>
      <c r="AO89" s="137" t="n">
        <f aca="false">IF(A90="","",A90-A89)</f>
        <v>31</v>
      </c>
      <c r="AP89" s="212" t="n">
        <f aca="false">IF(A90="","",CHOOSE(F$3,A90+24,A89))</f>
        <v>39448</v>
      </c>
      <c r="AQ89" s="209" t="n">
        <f aca="false">IF(A90="","",AP89-$E$1)</f>
        <v>-6478</v>
      </c>
      <c r="AR89" s="185" t="n">
        <f aca="false">'ANR OK vs ML7'!AR89</f>
        <v>0.1</v>
      </c>
      <c r="AS89" s="213" t="n">
        <f aca="false">IF(A90="","",1/(1+CHOOSE(F$3,(AR90+($I$3/10000))/2,(AR89+($I$3/10000))/2))^(2*AQ89/365.25))</f>
        <v>5.64440581570262</v>
      </c>
      <c r="AT89" s="137" t="n">
        <f aca="false">IF(A90="","",IF(AND(mthbeg&lt;=A89,mthend&gt;=A89),1,0))</f>
        <v>1</v>
      </c>
      <c r="AU89" s="137" t="n">
        <f aca="false">IF(A90="","",AO89*AT89)</f>
        <v>31</v>
      </c>
      <c r="AW89" s="195" t="e">
        <f aca="false">IF($A90="","",AL89*$E89)</f>
        <v>#NAME?</v>
      </c>
      <c r="AX89" s="195" t="e">
        <f aca="false">IF($A90="","",AM89*$E89)</f>
        <v>#N/A</v>
      </c>
      <c r="AY89" s="195" t="e">
        <f aca="false">IF($A90="","",AN89*$E89)</f>
        <v>#N/A</v>
      </c>
      <c r="BA89" s="195" t="n">
        <f aca="false">IF($A90="","",F89*Summary!$Q$10)</f>
        <v>0</v>
      </c>
      <c r="BC89" s="179" t="e">
        <f aca="false">IF(A90="","",AM89*F89)</f>
        <v>#N/A</v>
      </c>
    </row>
    <row r="90" customFormat="false" ht="12.75" hidden="false" customHeight="false" outlineLevel="0" collapsed="false">
      <c r="A90" s="196" t="n">
        <f aca="false">IF(A89&lt;mthend,EDATE(A89,1),"")</f>
        <v>39479</v>
      </c>
      <c r="B90" s="197" t="n">
        <f aca="false">IF(A90&lt;mthend,B89,"")</f>
        <v>119740</v>
      </c>
      <c r="C90" s="215"/>
      <c r="D90" s="197" t="n">
        <f aca="false">IF(A91&lt;&gt;"",B90+C90,"")</f>
        <v>119740</v>
      </c>
      <c r="E90" s="199" t="n">
        <f aca="false">IF(A91="","",IF(AND(AT90=1,$H$3=1),D90*AO90,IF($H$3=2,D90,"N/A")))</f>
        <v>3472460</v>
      </c>
      <c r="F90" s="199" t="n">
        <f aca="false">IF(A91="","",E90*AS90)</f>
        <v>19438317.3323924</v>
      </c>
      <c r="G90" s="200" t="e">
        <f aca="false">IF($A91="","",VLOOKUP($A90,Table,MATCH(G$4,Curves,0)))</f>
        <v>#N/A</v>
      </c>
      <c r="H90" s="201" t="e">
        <f aca="false">IF(A91="","",G90)</f>
        <v>#N/A</v>
      </c>
      <c r="I90" s="202"/>
      <c r="J90" s="200" t="e">
        <f aca="false">IF($A91="","",VLOOKUP($A90,Table,MATCH(J$4,Curves,0)))</f>
        <v>#N/A</v>
      </c>
      <c r="K90" s="201" t="e">
        <f aca="false">IF(A91="","",J90)</f>
        <v>#N/A</v>
      </c>
      <c r="L90" s="185" t="n">
        <v>0</v>
      </c>
      <c r="M90" s="201" t="n">
        <f aca="false">IF(A91="","",L90)</f>
        <v>0</v>
      </c>
      <c r="N90" s="203"/>
      <c r="O90" s="200" t="e">
        <f aca="false">IF(A91="","",L90+J90+G90)</f>
        <v>#N/A</v>
      </c>
      <c r="P90" s="200" t="e">
        <f aca="false">IF(A91="","",M90+K90+H90)</f>
        <v>#N/A</v>
      </c>
      <c r="Q90" s="204"/>
      <c r="R90" s="200" t="e">
        <f aca="false">IF($A91="","",VLOOKUP($A90,Table,MATCH(R$4,Curves,0)))</f>
        <v>#N/A</v>
      </c>
      <c r="S90" s="201" t="e">
        <f aca="false">IF(A91="","",R90)</f>
        <v>#N/A</v>
      </c>
      <c r="T90" s="200" t="e">
        <f aca="false">IF($A91="","",VLOOKUP($A90,Table,MATCH(T$4,Curves,0)))</f>
        <v>#N/A</v>
      </c>
      <c r="U90" s="201" t="e">
        <f aca="false">IF(A91="","",T90)</f>
        <v>#N/A</v>
      </c>
      <c r="V90" s="205" t="e">
        <f aca="false">IF($A91="","",IF(AND(MONTH(A90)&gt;3,MONTH(A90)&lt;11),(T90+R90+G90)*Summary!$T$10/(1-Summary!$T$10),(T90+R90+G90)*Summary!$U$10/(1-Summary!$U$10)))</f>
        <v>#N/A</v>
      </c>
      <c r="W90" s="200" t="e">
        <f aca="false">IF($A91="","",(T90+R90+G90+V90))</f>
        <v>#N/A</v>
      </c>
      <c r="X90" s="200" t="e">
        <f aca="false">IF($A91="","",(U90+S90+H90+V90))</f>
        <v>#N/A</v>
      </c>
      <c r="Y90" s="202"/>
      <c r="Z90" s="185" t="e">
        <f aca="false">IF($A91="","",VLOOKUP($A90,Table,MATCH(Z$4,Curves,0)))</f>
        <v>#N/A</v>
      </c>
      <c r="AA90" s="185" t="e">
        <f aca="false">IF($A91="","",VLOOKUP($A90,Table,MATCH(AA$4,Curves,0)))</f>
        <v>#N/A</v>
      </c>
      <c r="AB90" s="185" t="e">
        <f aca="false">SQRT((AA90^2*(A90-$D$3)+Z90^2*(DAY(EOMONTH(A90,0))/2))/AK90)</f>
        <v>#N/A</v>
      </c>
      <c r="AC90" s="185" t="e">
        <f aca="false">IF($A91="","",VLOOKUP($A90,Table,MATCH(AC$4,Curves,0)))</f>
        <v>#N/A</v>
      </c>
      <c r="AD90" s="185" t="e">
        <f aca="false">IF($A91="","",VLOOKUP($A90,Table,MATCH(AD$4,Curves,0)))</f>
        <v>#N/A</v>
      </c>
      <c r="AE90" s="185" t="e">
        <f aca="false">SQRT((AD90^2*(A90-$D$3)+AC90^2*(DAY(EOMONTH(A90,0))/2))/AK90)</f>
        <v>#N/A</v>
      </c>
      <c r="AF90" s="224" t="e">
        <f aca="false">((Summary!$N$10*(AA90*AD90)*(A90-$D$3))+(Summary!$M$10*Z90*AC90*(AJ90-EOMONTH(EDATE(A90,-1),0))))/(AK90*AB90*AE90)</f>
        <v>#N/A</v>
      </c>
      <c r="AG90" s="207" t="n">
        <f aca="false">IF($A91="","",Summary!$Q$10)</f>
        <v>0</v>
      </c>
      <c r="AH90" s="207" t="n">
        <f aca="false">IF($A91="","",IF(Summary!$R$10="Y",(VLOOKUP($A90,Summary!$AD$6:$AF$9,3)+'Escalating commodity'!F103),'Escalating commodity'!F103))</f>
        <v>0.0158208</v>
      </c>
      <c r="AI90" s="207" t="n">
        <f aca="false">IF($A91="","",AH90)</f>
        <v>0.0158208</v>
      </c>
      <c r="AJ90" s="208" t="n">
        <f aca="false">A90+DAY(EOMONTH(A90,0))/2-1</f>
        <v>39492.5</v>
      </c>
      <c r="AK90" s="209" t="n">
        <f aca="false">IF($A91="","",$A90-$E$1)</f>
        <v>-6447</v>
      </c>
      <c r="AL90" s="182" t="e">
        <f aca="false">IF($A91="","",SPRDOPT(P90,X90,AI90,0,AB90,AE90,AF90,AK90,$AJ$2,0))</f>
        <v>#NAME?</v>
      </c>
      <c r="AM90" s="211" t="e">
        <f aca="false">IF($A91="","",MAX(0,O90-W90-AI90))</f>
        <v>#N/A</v>
      </c>
      <c r="AN90" s="211" t="e">
        <f aca="false">IF($A91="","",AL90-AM90)</f>
        <v>#N/A</v>
      </c>
      <c r="AO90" s="137" t="n">
        <f aca="false">IF(A91="","",A91-A90)</f>
        <v>29</v>
      </c>
      <c r="AP90" s="212" t="n">
        <f aca="false">IF(A91="","",CHOOSE(F$3,A91+24,A90))</f>
        <v>39479</v>
      </c>
      <c r="AQ90" s="209" t="n">
        <f aca="false">IF(A91="","",AP90-$E$1)</f>
        <v>-6447</v>
      </c>
      <c r="AR90" s="185" t="n">
        <f aca="false">'ANR OK vs ML7'!AR90</f>
        <v>0.1</v>
      </c>
      <c r="AS90" s="213" t="n">
        <f aca="false">IF(A91="","",1/(1+CHOOSE(F$3,(AR91+($I$3/10000))/2,(AR90+($I$3/10000))/2))^(2*AQ90/365.25))</f>
        <v>5.59785205082057</v>
      </c>
      <c r="AT90" s="137" t="n">
        <f aca="false">IF(A91="","",IF(AND(mthbeg&lt;=A90,mthend&gt;=A90),1,0))</f>
        <v>1</v>
      </c>
      <c r="AU90" s="137" t="n">
        <f aca="false">IF(A91="","",AO90*AT90)</f>
        <v>29</v>
      </c>
      <c r="AW90" s="195" t="e">
        <f aca="false">IF($A91="","",AL90*$E90)</f>
        <v>#NAME?</v>
      </c>
      <c r="AX90" s="195" t="e">
        <f aca="false">IF($A91="","",AM90*$E90)</f>
        <v>#N/A</v>
      </c>
      <c r="AY90" s="195" t="e">
        <f aca="false">IF($A91="","",AN90*$E90)</f>
        <v>#N/A</v>
      </c>
      <c r="BA90" s="195" t="n">
        <f aca="false">IF($A91="","",F90*Summary!$Q$10)</f>
        <v>0</v>
      </c>
      <c r="BC90" s="179" t="e">
        <f aca="false">IF(A91="","",AM90*F90)</f>
        <v>#N/A</v>
      </c>
    </row>
    <row r="91" customFormat="false" ht="12.75" hidden="false" customHeight="false" outlineLevel="0" collapsed="false">
      <c r="A91" s="196" t="n">
        <f aca="false">IF(A90&lt;mthend,EDATE(A90,1),"")</f>
        <v>39508</v>
      </c>
      <c r="B91" s="197" t="n">
        <f aca="false">IF(A91&lt;mthend,B90,"")</f>
        <v>119740</v>
      </c>
      <c r="C91" s="215"/>
      <c r="D91" s="197" t="n">
        <f aca="false">IF(A92&lt;&gt;"",B91+C91,"")</f>
        <v>119740</v>
      </c>
      <c r="E91" s="199" t="n">
        <f aca="false">IF(A92="","",IF(AND(AT91=1,$H$3=1),D91*AO91,IF($H$3=2,D91,"N/A")))</f>
        <v>3711940</v>
      </c>
      <c r="F91" s="199" t="n">
        <f aca="false">IF(A92="","",E91*AS91)</f>
        <v>20618525.3770653</v>
      </c>
      <c r="G91" s="200" t="e">
        <f aca="false">IF($A92="","",VLOOKUP($A91,Table,MATCH(G$4,Curves,0)))</f>
        <v>#N/A</v>
      </c>
      <c r="H91" s="201" t="e">
        <f aca="false">IF(A92="","",G91)</f>
        <v>#N/A</v>
      </c>
      <c r="I91" s="202"/>
      <c r="J91" s="200" t="e">
        <f aca="false">IF($A92="","",VLOOKUP($A91,Table,MATCH(J$4,Curves,0)))</f>
        <v>#N/A</v>
      </c>
      <c r="K91" s="201" t="e">
        <f aca="false">IF(A92="","",J91)</f>
        <v>#N/A</v>
      </c>
      <c r="L91" s="185" t="n">
        <v>0</v>
      </c>
      <c r="M91" s="201" t="n">
        <f aca="false">IF(A92="","",L91)</f>
        <v>0</v>
      </c>
      <c r="N91" s="203"/>
      <c r="O91" s="200" t="e">
        <f aca="false">IF(A92="","",L91+J91+G91)</f>
        <v>#N/A</v>
      </c>
      <c r="P91" s="200" t="e">
        <f aca="false">IF(A92="","",M91+K91+H91)</f>
        <v>#N/A</v>
      </c>
      <c r="Q91" s="204"/>
      <c r="R91" s="200" t="e">
        <f aca="false">IF($A92="","",VLOOKUP($A91,Table,MATCH(R$4,Curves,0)))</f>
        <v>#N/A</v>
      </c>
      <c r="S91" s="201" t="e">
        <f aca="false">IF(A92="","",R91)</f>
        <v>#N/A</v>
      </c>
      <c r="T91" s="200" t="e">
        <f aca="false">IF($A92="","",VLOOKUP($A91,Table,MATCH(T$4,Curves,0)))</f>
        <v>#N/A</v>
      </c>
      <c r="U91" s="201" t="e">
        <f aca="false">IF(A92="","",T91)</f>
        <v>#N/A</v>
      </c>
      <c r="V91" s="205" t="e">
        <f aca="false">IF($A92="","",IF(AND(MONTH(A91)&gt;3,MONTH(A91)&lt;11),(T91+R91+G91)*Summary!$T$10/(1-Summary!$T$10),(T91+R91+G91)*Summary!$U$10/(1-Summary!$U$10)))</f>
        <v>#N/A</v>
      </c>
      <c r="W91" s="200" t="e">
        <f aca="false">IF($A92="","",(T91+R91+G91+V91))</f>
        <v>#N/A</v>
      </c>
      <c r="X91" s="200" t="e">
        <f aca="false">IF($A92="","",(U91+S91+H91+V91))</f>
        <v>#N/A</v>
      </c>
      <c r="Y91" s="202"/>
      <c r="Z91" s="185" t="e">
        <f aca="false">IF($A92="","",VLOOKUP($A91,Table,MATCH(Z$4,Curves,0)))</f>
        <v>#N/A</v>
      </c>
      <c r="AA91" s="185" t="e">
        <f aca="false">IF($A92="","",VLOOKUP($A91,Table,MATCH(AA$4,Curves,0)))</f>
        <v>#N/A</v>
      </c>
      <c r="AB91" s="185" t="e">
        <f aca="false">SQRT((AA91^2*(A91-$D$3)+Z91^2*(DAY(EOMONTH(A91,0))/2))/AK91)</f>
        <v>#N/A</v>
      </c>
      <c r="AC91" s="185" t="e">
        <f aca="false">IF($A92="","",VLOOKUP($A91,Table,MATCH(AC$4,Curves,0)))</f>
        <v>#N/A</v>
      </c>
      <c r="AD91" s="185" t="e">
        <f aca="false">IF($A92="","",VLOOKUP($A91,Table,MATCH(AD$4,Curves,0)))</f>
        <v>#N/A</v>
      </c>
      <c r="AE91" s="185" t="e">
        <f aca="false">SQRT((AD91^2*(A91-$D$3)+AC91^2*(DAY(EOMONTH(A91,0))/2))/AK91)</f>
        <v>#N/A</v>
      </c>
      <c r="AF91" s="224" t="e">
        <f aca="false">((Summary!$N$10*(AA91*AD91)*(A91-$D$3))+(Summary!$M$10*Z91*AC91*(AJ91-EOMONTH(EDATE(A91,-1),0))))/(AK91*AB91*AE91)</f>
        <v>#N/A</v>
      </c>
      <c r="AG91" s="207" t="n">
        <f aca="false">IF($A92="","",Summary!$Q$10)</f>
        <v>0</v>
      </c>
      <c r="AH91" s="207" t="n">
        <f aca="false">IF($A92="","",IF(Summary!$R$10="Y",(VLOOKUP($A91,Summary!$AD$6:$AF$9,3)+'Escalating commodity'!F104),'Escalating commodity'!F104))</f>
        <v>0.0158208</v>
      </c>
      <c r="AI91" s="207" t="n">
        <f aca="false">IF($A92="","",AH91)</f>
        <v>0.0158208</v>
      </c>
      <c r="AJ91" s="208" t="n">
        <f aca="false">A91+DAY(EOMONTH(A91,0))/2-1</f>
        <v>39522.5</v>
      </c>
      <c r="AK91" s="209" t="n">
        <f aca="false">IF($A92="","",$A91-$E$1)</f>
        <v>-6418</v>
      </c>
      <c r="AL91" s="182" t="e">
        <f aca="false">IF($A92="","",SPRDOPT(P91,X91,AI91,0,AB91,AE91,AF91,AK91,$AJ$2,0))</f>
        <v>#NAME?</v>
      </c>
      <c r="AM91" s="211" t="e">
        <f aca="false">IF($A92="","",MAX(0,O91-W91-AI91))</f>
        <v>#N/A</v>
      </c>
      <c r="AN91" s="211" t="e">
        <f aca="false">IF($A92="","",AL91-AM91)</f>
        <v>#N/A</v>
      </c>
      <c r="AO91" s="137" t="n">
        <f aca="false">IF(A92="","",A92-A91)</f>
        <v>31</v>
      </c>
      <c r="AP91" s="212" t="n">
        <f aca="false">IF(A92="","",CHOOSE(F$3,A92+24,A91))</f>
        <v>39508</v>
      </c>
      <c r="AQ91" s="209" t="n">
        <f aca="false">IF(A92="","",AP91-$E$1)</f>
        <v>-6418</v>
      </c>
      <c r="AR91" s="185" t="n">
        <f aca="false">'ANR OK vs ML7'!AR91</f>
        <v>0.1</v>
      </c>
      <c r="AS91" s="213" t="n">
        <f aca="false">IF(A92="","",1/(1+CHOOSE(F$3,(AR92+($I$3/10000))/2,(AR91+($I$3/10000))/2))^(2*AQ91/365.25))</f>
        <v>5.55464942242204</v>
      </c>
      <c r="AT91" s="137" t="n">
        <f aca="false">IF(A92="","",IF(AND(mthbeg&lt;=A91,mthend&gt;=A91),1,0))</f>
        <v>1</v>
      </c>
      <c r="AU91" s="137" t="n">
        <f aca="false">IF(A92="","",AO91*AT91)</f>
        <v>31</v>
      </c>
      <c r="AW91" s="195" t="e">
        <f aca="false">IF($A92="","",AL91*$E91)</f>
        <v>#NAME?</v>
      </c>
      <c r="AX91" s="195" t="e">
        <f aca="false">IF($A92="","",AM91*$E91)</f>
        <v>#N/A</v>
      </c>
      <c r="AY91" s="195" t="e">
        <f aca="false">IF($A92="","",AN91*$E91)</f>
        <v>#N/A</v>
      </c>
      <c r="BA91" s="195" t="n">
        <f aca="false">IF($A92="","",F91*Summary!$Q$10)</f>
        <v>0</v>
      </c>
      <c r="BC91" s="179" t="e">
        <f aca="false">IF(A92="","",AM91*F91)</f>
        <v>#N/A</v>
      </c>
    </row>
    <row r="92" customFormat="false" ht="12.75" hidden="false" customHeight="false" outlineLevel="0" collapsed="false">
      <c r="A92" s="196" t="n">
        <f aca="false">IF(A91&lt;mthend,EDATE(A91,1),"")</f>
        <v>39539</v>
      </c>
      <c r="B92" s="197" t="n">
        <f aca="false">IF(A92&lt;mthend,B91,"")</f>
        <v>119740</v>
      </c>
      <c r="C92" s="215"/>
      <c r="D92" s="197" t="n">
        <f aca="false">IF(A93&lt;&gt;"",B92+C92,"")</f>
        <v>119740</v>
      </c>
      <c r="E92" s="199" t="n">
        <f aca="false">IF(A93="","",IF(AND(AT92=1,$H$3=1),D92*AO92,IF($H$3=2,D92,"N/A")))</f>
        <v>3592200</v>
      </c>
      <c r="F92" s="199" t="n">
        <f aca="false">IF(A93="","",E92*AS92)</f>
        <v>19788840.4912929</v>
      </c>
      <c r="G92" s="200" t="e">
        <f aca="false">IF($A93="","",VLOOKUP($A92,Table,MATCH(G$4,Curves,0)))</f>
        <v>#N/A</v>
      </c>
      <c r="H92" s="201" t="e">
        <f aca="false">IF(A93="","",G92)</f>
        <v>#N/A</v>
      </c>
      <c r="I92" s="202"/>
      <c r="J92" s="200" t="e">
        <f aca="false">IF($A93="","",VLOOKUP($A92,Table,MATCH(J$4,Curves,0)))</f>
        <v>#N/A</v>
      </c>
      <c r="K92" s="201" t="e">
        <f aca="false">IF(A93="","",J92)</f>
        <v>#N/A</v>
      </c>
      <c r="L92" s="185" t="n">
        <v>0</v>
      </c>
      <c r="M92" s="201" t="n">
        <f aca="false">IF(A93="","",L92)</f>
        <v>0</v>
      </c>
      <c r="N92" s="203"/>
      <c r="O92" s="200" t="e">
        <f aca="false">IF(A93="","",L92+J92+G92)</f>
        <v>#N/A</v>
      </c>
      <c r="P92" s="200" t="e">
        <f aca="false">IF(A93="","",M92+K92+H92)</f>
        <v>#N/A</v>
      </c>
      <c r="Q92" s="204"/>
      <c r="R92" s="200" t="e">
        <f aca="false">IF($A93="","",VLOOKUP($A92,Table,MATCH(R$4,Curves,0)))</f>
        <v>#N/A</v>
      </c>
      <c r="S92" s="201" t="e">
        <f aca="false">IF(A93="","",R92)</f>
        <v>#N/A</v>
      </c>
      <c r="T92" s="200" t="e">
        <f aca="false">IF($A93="","",VLOOKUP($A92,Table,MATCH(T$4,Curves,0)))</f>
        <v>#N/A</v>
      </c>
      <c r="U92" s="201" t="e">
        <f aca="false">IF(A93="","",T92)</f>
        <v>#N/A</v>
      </c>
      <c r="V92" s="205" t="e">
        <f aca="false">IF($A93="","",IF(AND(MONTH(A92)&gt;3,MONTH(A92)&lt;11),(T92+R92+G92)*Summary!$T$10/(1-Summary!$T$10),(T92+R92+G92)*Summary!$U$10/(1-Summary!$U$10)))</f>
        <v>#N/A</v>
      </c>
      <c r="W92" s="200" t="e">
        <f aca="false">IF($A93="","",(T92+R92+G92+V92))</f>
        <v>#N/A</v>
      </c>
      <c r="X92" s="200" t="e">
        <f aca="false">IF($A93="","",(U92+S92+H92+V92))</f>
        <v>#N/A</v>
      </c>
      <c r="Y92" s="202"/>
      <c r="Z92" s="185" t="e">
        <f aca="false">IF($A93="","",VLOOKUP($A92,Table,MATCH(Z$4,Curves,0)))</f>
        <v>#N/A</v>
      </c>
      <c r="AA92" s="185" t="e">
        <f aca="false">IF($A93="","",VLOOKUP($A92,Table,MATCH(AA$4,Curves,0)))</f>
        <v>#N/A</v>
      </c>
      <c r="AB92" s="185" t="e">
        <f aca="false">SQRT((AA92^2*(A92-$D$3)+Z92^2*(DAY(EOMONTH(A92,0))/2))/AK92)</f>
        <v>#N/A</v>
      </c>
      <c r="AC92" s="185" t="e">
        <f aca="false">IF($A93="","",VLOOKUP($A92,Table,MATCH(AC$4,Curves,0)))</f>
        <v>#N/A</v>
      </c>
      <c r="AD92" s="185" t="e">
        <f aca="false">IF($A93="","",VLOOKUP($A92,Table,MATCH(AD$4,Curves,0)))</f>
        <v>#N/A</v>
      </c>
      <c r="AE92" s="185" t="e">
        <f aca="false">SQRT((AD92^2*(A92-$D$3)+AC92^2*(DAY(EOMONTH(A92,0))/2))/AK92)</f>
        <v>#N/A</v>
      </c>
      <c r="AF92" s="224" t="e">
        <f aca="false">((Summary!$N$10*(AA92*AD92)*(A92-$D$3))+(Summary!$M$10*Z92*AC92*(AJ92-EOMONTH(EDATE(A92,-1),0))))/(AK92*AB92*AE92)</f>
        <v>#N/A</v>
      </c>
      <c r="AG92" s="207" t="n">
        <f aca="false">IF($A93="","",Summary!$Q$10)</f>
        <v>0</v>
      </c>
      <c r="AH92" s="207" t="n">
        <f aca="false">IF($A93="","",IF(Summary!$R$10="Y",(VLOOKUP($A92,Summary!$AD$6:$AF$9,3)+'Escalating commodity'!F105),'Escalating commodity'!F105))</f>
        <v>0.0158208</v>
      </c>
      <c r="AI92" s="207" t="n">
        <f aca="false">IF($A93="","",AH92)</f>
        <v>0.0158208</v>
      </c>
      <c r="AJ92" s="208" t="n">
        <f aca="false">A92+DAY(EOMONTH(A92,0))/2-1</f>
        <v>39553</v>
      </c>
      <c r="AK92" s="209" t="n">
        <f aca="false">IF($A93="","",$A92-$E$1)</f>
        <v>-6387</v>
      </c>
      <c r="AL92" s="182" t="e">
        <f aca="false">IF($A93="","",SPRDOPT(P92,X92,AI92,0,AB92,AE92,AF92,AK92,$AJ$2,0))</f>
        <v>#NAME?</v>
      </c>
      <c r="AM92" s="211" t="e">
        <f aca="false">IF($A93="","",MAX(0,O92-W92-AI92))</f>
        <v>#N/A</v>
      </c>
      <c r="AN92" s="211" t="e">
        <f aca="false">IF($A93="","",AL92-AM92)</f>
        <v>#N/A</v>
      </c>
      <c r="AO92" s="137" t="n">
        <f aca="false">IF(A93="","",A93-A92)</f>
        <v>30</v>
      </c>
      <c r="AP92" s="212" t="n">
        <f aca="false">IF(A93="","",CHOOSE(F$3,A93+24,A92))</f>
        <v>39539</v>
      </c>
      <c r="AQ92" s="209" t="n">
        <f aca="false">IF(A93="","",AP92-$E$1)</f>
        <v>-6387</v>
      </c>
      <c r="AR92" s="185" t="n">
        <f aca="false">'ANR OK vs ML7'!AR92</f>
        <v>0.1</v>
      </c>
      <c r="AS92" s="213" t="n">
        <f aca="false">IF(A93="","",1/(1+CHOOSE(F$3,(AR93+($I$3/10000))/2,(AR92+($I$3/10000))/2))^(2*AQ92/365.25))</f>
        <v>5.50883594769026</v>
      </c>
      <c r="AT92" s="137" t="n">
        <f aca="false">IF(A93="","",IF(AND(mthbeg&lt;=A92,mthend&gt;=A92),1,0))</f>
        <v>1</v>
      </c>
      <c r="AU92" s="137" t="n">
        <f aca="false">IF(A93="","",AO92*AT92)</f>
        <v>30</v>
      </c>
      <c r="AW92" s="195" t="e">
        <f aca="false">IF($A93="","",AL92*$E92)</f>
        <v>#NAME?</v>
      </c>
      <c r="AX92" s="195" t="e">
        <f aca="false">IF($A93="","",AM92*$E92)</f>
        <v>#N/A</v>
      </c>
      <c r="AY92" s="195" t="e">
        <f aca="false">IF($A93="","",AN92*$E92)</f>
        <v>#N/A</v>
      </c>
      <c r="BA92" s="195" t="n">
        <f aca="false">IF($A93="","",F92*Summary!$Q$10)</f>
        <v>0</v>
      </c>
      <c r="BC92" s="179" t="e">
        <f aca="false">IF(A93="","",AM92*F92)</f>
        <v>#N/A</v>
      </c>
    </row>
    <row r="93" customFormat="false" ht="12.75" hidden="false" customHeight="false" outlineLevel="0" collapsed="false">
      <c r="A93" s="196" t="n">
        <f aca="false">IF(A92&lt;mthend,EDATE(A92,1),"")</f>
        <v>39569</v>
      </c>
      <c r="B93" s="197" t="n">
        <f aca="false">IF(A93&lt;mthend,B92,"")</f>
        <v>119740</v>
      </c>
      <c r="C93" s="215"/>
      <c r="D93" s="197" t="n">
        <f aca="false">IF(A94&lt;&gt;"",B93+C93,"")</f>
        <v>119740</v>
      </c>
      <c r="E93" s="199" t="n">
        <f aca="false">IF(A94="","",IF(AND(AT93=1,$H$3=1),D93*AO93,IF($H$3=2,D93,"N/A")))</f>
        <v>3711940</v>
      </c>
      <c r="F93" s="199" t="n">
        <f aca="false">IF(A94="","",E93*AS93)</f>
        <v>20285232.9149847</v>
      </c>
      <c r="G93" s="200" t="e">
        <f aca="false">IF($A94="","",VLOOKUP($A93,Table,MATCH(G$4,Curves,0)))</f>
        <v>#N/A</v>
      </c>
      <c r="H93" s="201" t="e">
        <f aca="false">IF(A94="","",G93)</f>
        <v>#N/A</v>
      </c>
      <c r="I93" s="202"/>
      <c r="J93" s="200" t="e">
        <f aca="false">IF($A94="","",VLOOKUP($A93,Table,MATCH(J$4,Curves,0)))</f>
        <v>#N/A</v>
      </c>
      <c r="K93" s="201" t="e">
        <f aca="false">IF(A94="","",J93)</f>
        <v>#N/A</v>
      </c>
      <c r="L93" s="185" t="n">
        <v>0</v>
      </c>
      <c r="M93" s="201" t="n">
        <f aca="false">IF(A94="","",L93)</f>
        <v>0</v>
      </c>
      <c r="N93" s="203"/>
      <c r="O93" s="200" t="e">
        <f aca="false">IF(A94="","",L93+J93+G93)</f>
        <v>#N/A</v>
      </c>
      <c r="P93" s="200" t="e">
        <f aca="false">IF(A94="","",M93+K93+H93)</f>
        <v>#N/A</v>
      </c>
      <c r="Q93" s="204"/>
      <c r="R93" s="200" t="e">
        <f aca="false">IF($A94="","",VLOOKUP($A93,Table,MATCH(R$4,Curves,0)))</f>
        <v>#N/A</v>
      </c>
      <c r="S93" s="201" t="e">
        <f aca="false">IF(A94="","",R93)</f>
        <v>#N/A</v>
      </c>
      <c r="T93" s="200" t="e">
        <f aca="false">IF($A94="","",VLOOKUP($A93,Table,MATCH(T$4,Curves,0)))</f>
        <v>#N/A</v>
      </c>
      <c r="U93" s="201" t="e">
        <f aca="false">IF(A94="","",T93)</f>
        <v>#N/A</v>
      </c>
      <c r="V93" s="205" t="e">
        <f aca="false">IF($A94="","",IF(AND(MONTH(A93)&gt;3,MONTH(A93)&lt;11),(T93+R93+G93)*Summary!$T$10/(1-Summary!$T$10),(T93+R93+G93)*Summary!$U$10/(1-Summary!$U$10)))</f>
        <v>#N/A</v>
      </c>
      <c r="W93" s="200" t="e">
        <f aca="false">IF($A94="","",(T93+R93+G93+V93))</f>
        <v>#N/A</v>
      </c>
      <c r="X93" s="200" t="e">
        <f aca="false">IF($A94="","",(U93+S93+H93+V93))</f>
        <v>#N/A</v>
      </c>
      <c r="Y93" s="202"/>
      <c r="Z93" s="185" t="e">
        <f aca="false">IF($A94="","",VLOOKUP($A93,Table,MATCH(Z$4,Curves,0)))</f>
        <v>#N/A</v>
      </c>
      <c r="AA93" s="185" t="e">
        <f aca="false">IF($A94="","",VLOOKUP($A93,Table,MATCH(AA$4,Curves,0)))</f>
        <v>#N/A</v>
      </c>
      <c r="AB93" s="185" t="e">
        <f aca="false">SQRT((AA93^2*(A93-$D$3)+Z93^2*(DAY(EOMONTH(A93,0))/2))/AK93)</f>
        <v>#N/A</v>
      </c>
      <c r="AC93" s="185" t="e">
        <f aca="false">IF($A94="","",VLOOKUP($A93,Table,MATCH(AC$4,Curves,0)))</f>
        <v>#N/A</v>
      </c>
      <c r="AD93" s="185" t="e">
        <f aca="false">IF($A94="","",VLOOKUP($A93,Table,MATCH(AD$4,Curves,0)))</f>
        <v>#N/A</v>
      </c>
      <c r="AE93" s="185" t="e">
        <f aca="false">SQRT((AD93^2*(A93-$D$3)+AC93^2*(DAY(EOMONTH(A93,0))/2))/AK93)</f>
        <v>#N/A</v>
      </c>
      <c r="AF93" s="224" t="e">
        <f aca="false">((Summary!$N$10*(AA93*AD93)*(A93-$D$3))+(Summary!$M$10*Z93*AC93*(AJ93-EOMONTH(EDATE(A93,-1),0))))/(AK93*AB93*AE93)</f>
        <v>#N/A</v>
      </c>
      <c r="AG93" s="207" t="n">
        <f aca="false">IF($A94="","",Summary!$Q$10)</f>
        <v>0</v>
      </c>
      <c r="AH93" s="207" t="n">
        <f aca="false">IF($A94="","",IF(Summary!$R$10="Y",(VLOOKUP($A93,Summary!$AD$6:$AF$9,3)+'Escalating commodity'!F106),'Escalating commodity'!F106))</f>
        <v>0.0158208</v>
      </c>
      <c r="AI93" s="207" t="n">
        <f aca="false">IF($A94="","",AH93)</f>
        <v>0.0158208</v>
      </c>
      <c r="AJ93" s="208" t="n">
        <f aca="false">A93+DAY(EOMONTH(A93,0))/2-1</f>
        <v>39583.5</v>
      </c>
      <c r="AK93" s="209" t="n">
        <f aca="false">IF($A94="","",$A93-$E$1)</f>
        <v>-6357</v>
      </c>
      <c r="AL93" s="182" t="e">
        <f aca="false">IF($A94="","",SPRDOPT(P93,X93,AI93,0,AB93,AE93,AF93,AK93,$AJ$2,0))</f>
        <v>#NAME?</v>
      </c>
      <c r="AM93" s="211" t="e">
        <f aca="false">IF($A94="","",MAX(0,O93-W93-AI93))</f>
        <v>#N/A</v>
      </c>
      <c r="AN93" s="211" t="e">
        <f aca="false">IF($A94="","",AL93-AM93)</f>
        <v>#N/A</v>
      </c>
      <c r="AO93" s="137" t="n">
        <f aca="false">IF(A94="","",A94-A93)</f>
        <v>31</v>
      </c>
      <c r="AP93" s="212" t="n">
        <f aca="false">IF(A94="","",CHOOSE(F$3,A94+24,A93))</f>
        <v>39569</v>
      </c>
      <c r="AQ93" s="209" t="n">
        <f aca="false">IF(A94="","",AP93-$E$1)</f>
        <v>-6357</v>
      </c>
      <c r="AR93" s="185" t="n">
        <f aca="false">'ANR OK vs ML7'!AR93</f>
        <v>0.1</v>
      </c>
      <c r="AS93" s="213" t="n">
        <f aca="false">IF(A94="","",1/(1+CHOOSE(F$3,(AR94+($I$3/10000))/2,(AR93+($I$3/10000))/2))^(2*AQ93/365.25))</f>
        <v>5.46486013108636</v>
      </c>
      <c r="AT93" s="137" t="n">
        <f aca="false">IF(A94="","",IF(AND(mthbeg&lt;=A93,mthend&gt;=A93),1,0))</f>
        <v>1</v>
      </c>
      <c r="AU93" s="137" t="n">
        <f aca="false">IF(A94="","",AO93*AT93)</f>
        <v>31</v>
      </c>
      <c r="AW93" s="195" t="e">
        <f aca="false">IF($A94="","",AL93*$E93)</f>
        <v>#NAME?</v>
      </c>
      <c r="AX93" s="195" t="e">
        <f aca="false">IF($A94="","",AM93*$E93)</f>
        <v>#N/A</v>
      </c>
      <c r="AY93" s="195" t="e">
        <f aca="false">IF($A94="","",AN93*$E93)</f>
        <v>#N/A</v>
      </c>
      <c r="BA93" s="195" t="n">
        <f aca="false">IF($A94="","",F93*Summary!$Q$10)</f>
        <v>0</v>
      </c>
      <c r="BC93" s="179" t="e">
        <f aca="false">IF(A94="","",AM93*F93)</f>
        <v>#N/A</v>
      </c>
    </row>
    <row r="94" customFormat="false" ht="12.75" hidden="false" customHeight="false" outlineLevel="0" collapsed="false">
      <c r="A94" s="196" t="n">
        <f aca="false">IF(A93&lt;mthend,EDATE(A93,1),"")</f>
        <v>39600</v>
      </c>
      <c r="B94" s="197" t="n">
        <f aca="false">IF(A94&lt;mthend,B93,"")</f>
        <v>119740</v>
      </c>
      <c r="C94" s="215"/>
      <c r="D94" s="197" t="n">
        <f aca="false">IF(A95&lt;&gt;"",B94+C94,"")</f>
        <v>119740</v>
      </c>
      <c r="E94" s="199" t="n">
        <f aca="false">IF(A95="","",IF(AND(AT94=1,$H$3=1),D94*AO94,IF($H$3=2,D94,"N/A")))</f>
        <v>3592200</v>
      </c>
      <c r="F94" s="199" t="n">
        <f aca="false">IF(A95="","",E94*AS94)</f>
        <v>19468959.6439265</v>
      </c>
      <c r="G94" s="200" t="e">
        <f aca="false">IF($A95="","",VLOOKUP($A94,Table,MATCH(G$4,Curves,0)))</f>
        <v>#N/A</v>
      </c>
      <c r="H94" s="201" t="e">
        <f aca="false">IF(A95="","",G94)</f>
        <v>#N/A</v>
      </c>
      <c r="I94" s="202"/>
      <c r="J94" s="200" t="e">
        <f aca="false">IF($A95="","",VLOOKUP($A94,Table,MATCH(J$4,Curves,0)))</f>
        <v>#N/A</v>
      </c>
      <c r="K94" s="201" t="e">
        <f aca="false">IF(A95="","",J94)</f>
        <v>#N/A</v>
      </c>
      <c r="L94" s="185" t="n">
        <v>0</v>
      </c>
      <c r="M94" s="201" t="n">
        <f aca="false">IF(A95="","",L94)</f>
        <v>0</v>
      </c>
      <c r="N94" s="203"/>
      <c r="O94" s="200" t="e">
        <f aca="false">IF(A95="","",L94+J94+G94)</f>
        <v>#N/A</v>
      </c>
      <c r="P94" s="200" t="e">
        <f aca="false">IF(A95="","",M94+K94+H94)</f>
        <v>#N/A</v>
      </c>
      <c r="Q94" s="204"/>
      <c r="R94" s="200" t="e">
        <f aca="false">IF($A95="","",VLOOKUP($A94,Table,MATCH(R$4,Curves,0)))</f>
        <v>#N/A</v>
      </c>
      <c r="S94" s="201" t="e">
        <f aca="false">IF(A95="","",R94)</f>
        <v>#N/A</v>
      </c>
      <c r="T94" s="200" t="e">
        <f aca="false">IF($A95="","",VLOOKUP($A94,Table,MATCH(T$4,Curves,0)))</f>
        <v>#N/A</v>
      </c>
      <c r="U94" s="201" t="e">
        <f aca="false">IF(A95="","",T94)</f>
        <v>#N/A</v>
      </c>
      <c r="V94" s="205" t="e">
        <f aca="false">IF($A95="","",IF(AND(MONTH(A94)&gt;3,MONTH(A94)&lt;11),(T94+R94+G94)*Summary!$T$10/(1-Summary!$T$10),(T94+R94+G94)*Summary!$U$10/(1-Summary!$U$10)))</f>
        <v>#N/A</v>
      </c>
      <c r="W94" s="200" t="e">
        <f aca="false">IF($A95="","",(T94+R94+G94+V94))</f>
        <v>#N/A</v>
      </c>
      <c r="X94" s="200" t="e">
        <f aca="false">IF($A95="","",(U94+S94+H94+V94))</f>
        <v>#N/A</v>
      </c>
      <c r="Y94" s="202"/>
      <c r="Z94" s="185" t="e">
        <f aca="false">IF($A95="","",VLOOKUP($A94,Table,MATCH(Z$4,Curves,0)))</f>
        <v>#N/A</v>
      </c>
      <c r="AA94" s="185" t="e">
        <f aca="false">IF($A95="","",VLOOKUP($A94,Table,MATCH(AA$4,Curves,0)))</f>
        <v>#N/A</v>
      </c>
      <c r="AB94" s="185" t="e">
        <f aca="false">SQRT((AA94^2*(A94-$D$3)+Z94^2*(DAY(EOMONTH(A94,0))/2))/AK94)</f>
        <v>#N/A</v>
      </c>
      <c r="AC94" s="185" t="e">
        <f aca="false">IF($A95="","",VLOOKUP($A94,Table,MATCH(AC$4,Curves,0)))</f>
        <v>#N/A</v>
      </c>
      <c r="AD94" s="185" t="e">
        <f aca="false">IF($A95="","",VLOOKUP($A94,Table,MATCH(AD$4,Curves,0)))</f>
        <v>#N/A</v>
      </c>
      <c r="AE94" s="185" t="e">
        <f aca="false">SQRT((AD94^2*(A94-$D$3)+AC94^2*(DAY(EOMONTH(A94,0))/2))/AK94)</f>
        <v>#N/A</v>
      </c>
      <c r="AF94" s="224" t="e">
        <f aca="false">((Summary!$N$10*(AA94*AD94)*(A94-$D$3))+(Summary!$M$10*Z94*AC94*(AJ94-EOMONTH(EDATE(A94,-1),0))))/(AK94*AB94*AE94)</f>
        <v>#N/A</v>
      </c>
      <c r="AG94" s="207" t="n">
        <f aca="false">IF($A95="","",Summary!$Q$10)</f>
        <v>0</v>
      </c>
      <c r="AH94" s="207" t="n">
        <f aca="false">IF($A95="","",IF(Summary!$R$10="Y",(VLOOKUP($A94,Summary!$AD$6:$AF$9,3)+'Escalating commodity'!F107),'Escalating commodity'!F107))</f>
        <v>0.0158208</v>
      </c>
      <c r="AI94" s="207" t="n">
        <f aca="false">IF($A95="","",AH94)</f>
        <v>0.0158208</v>
      </c>
      <c r="AJ94" s="208" t="n">
        <f aca="false">A94+DAY(EOMONTH(A94,0))/2-1</f>
        <v>39614</v>
      </c>
      <c r="AK94" s="209" t="n">
        <f aca="false">IF($A95="","",$A94-$E$1)</f>
        <v>-6326</v>
      </c>
      <c r="AL94" s="182" t="e">
        <f aca="false">IF($A95="","",SPRDOPT(P94,X94,AI94,0,AB94,AE94,AF94,AK94,$AJ$2,0))</f>
        <v>#NAME?</v>
      </c>
      <c r="AM94" s="211" t="e">
        <f aca="false">IF($A95="","",MAX(0,O94-W94-AI94))</f>
        <v>#N/A</v>
      </c>
      <c r="AN94" s="211" t="e">
        <f aca="false">IF($A95="","",AL94-AM94)</f>
        <v>#N/A</v>
      </c>
      <c r="AO94" s="137" t="n">
        <f aca="false">IF(A95="","",A95-A94)</f>
        <v>30</v>
      </c>
      <c r="AP94" s="212" t="n">
        <f aca="false">IF(A95="","",CHOOSE(F$3,A95+24,A94))</f>
        <v>39600</v>
      </c>
      <c r="AQ94" s="209" t="n">
        <f aca="false">IF(A95="","",AP94-$E$1)</f>
        <v>-6326</v>
      </c>
      <c r="AR94" s="185" t="n">
        <f aca="false">'ANR OK vs ML7'!AR94</f>
        <v>0.1</v>
      </c>
      <c r="AS94" s="213" t="n">
        <f aca="false">IF(A95="","",1/(1+CHOOSE(F$3,(AR95+($I$3/10000))/2,(AR94+($I$3/10000))/2))^(2*AQ94/365.25))</f>
        <v>5.41978721784045</v>
      </c>
      <c r="AT94" s="137" t="n">
        <f aca="false">IF(A95="","",IF(AND(mthbeg&lt;=A94,mthend&gt;=A94),1,0))</f>
        <v>1</v>
      </c>
      <c r="AU94" s="137" t="n">
        <f aca="false">IF(A95="","",AO94*AT94)</f>
        <v>30</v>
      </c>
      <c r="AW94" s="195" t="e">
        <f aca="false">IF($A95="","",AL94*$E94)</f>
        <v>#NAME?</v>
      </c>
      <c r="AX94" s="195" t="e">
        <f aca="false">IF($A95="","",AM94*$E94)</f>
        <v>#N/A</v>
      </c>
      <c r="AY94" s="195" t="e">
        <f aca="false">IF($A95="","",AN94*$E94)</f>
        <v>#N/A</v>
      </c>
      <c r="BA94" s="195" t="n">
        <f aca="false">IF($A95="","",F94*Summary!$Q$10)</f>
        <v>0</v>
      </c>
      <c r="BC94" s="179" t="e">
        <f aca="false">IF(A95="","",AM94*F94)</f>
        <v>#N/A</v>
      </c>
    </row>
    <row r="95" customFormat="false" ht="12.75" hidden="false" customHeight="false" outlineLevel="0" collapsed="false">
      <c r="A95" s="196" t="n">
        <f aca="false">IF(A94&lt;mthend,EDATE(A94,1),"")</f>
        <v>39630</v>
      </c>
      <c r="B95" s="197" t="n">
        <f aca="false">IF(A95&lt;mthend,B94,"")</f>
        <v>119740</v>
      </c>
      <c r="C95" s="215"/>
      <c r="D95" s="197" t="n">
        <f aca="false">IF(A96&lt;&gt;"",B95+C95,"")</f>
        <v>119740</v>
      </c>
      <c r="E95" s="199" t="n">
        <f aca="false">IF(A96="","",IF(AND(AT95=1,$H$3=1),D95*AO95,IF($H$3=2,D95,"N/A")))</f>
        <v>3711940</v>
      </c>
      <c r="F95" s="199" t="n">
        <f aca="false">IF(A96="","",E95*AS95)</f>
        <v>19957328.0285551</v>
      </c>
      <c r="G95" s="200" t="e">
        <f aca="false">IF($A96="","",VLOOKUP($A95,Table,MATCH(G$4,Curves,0)))</f>
        <v>#N/A</v>
      </c>
      <c r="H95" s="201" t="e">
        <f aca="false">IF(A96="","",G95)</f>
        <v>#N/A</v>
      </c>
      <c r="I95" s="202"/>
      <c r="J95" s="200" t="e">
        <f aca="false">IF($A96="","",VLOOKUP($A95,Table,MATCH(J$4,Curves,0)))</f>
        <v>#N/A</v>
      </c>
      <c r="K95" s="201" t="e">
        <f aca="false">IF(A96="","",J95)</f>
        <v>#N/A</v>
      </c>
      <c r="L95" s="185" t="n">
        <v>0</v>
      </c>
      <c r="M95" s="201" t="n">
        <f aca="false">IF(A96="","",L95)</f>
        <v>0</v>
      </c>
      <c r="N95" s="203"/>
      <c r="O95" s="200" t="e">
        <f aca="false">IF(A96="","",L95+J95+G95)</f>
        <v>#N/A</v>
      </c>
      <c r="P95" s="200" t="e">
        <f aca="false">IF(A96="","",M95+K95+H95)</f>
        <v>#N/A</v>
      </c>
      <c r="Q95" s="204"/>
      <c r="R95" s="200" t="e">
        <f aca="false">IF($A96="","",VLOOKUP($A95,Table,MATCH(R$4,Curves,0)))</f>
        <v>#N/A</v>
      </c>
      <c r="S95" s="201" t="e">
        <f aca="false">IF(A96="","",R95)</f>
        <v>#N/A</v>
      </c>
      <c r="T95" s="200" t="e">
        <f aca="false">IF($A96="","",VLOOKUP($A95,Table,MATCH(T$4,Curves,0)))</f>
        <v>#N/A</v>
      </c>
      <c r="U95" s="201" t="e">
        <f aca="false">IF(A96="","",T95)</f>
        <v>#N/A</v>
      </c>
      <c r="V95" s="205" t="e">
        <f aca="false">IF($A96="","",IF(AND(MONTH(A95)&gt;3,MONTH(A95)&lt;11),(T95+R95+G95)*Summary!$T$10/(1-Summary!$T$10),(T95+R95+G95)*Summary!$U$10/(1-Summary!$U$10)))</f>
        <v>#N/A</v>
      </c>
      <c r="W95" s="200" t="e">
        <f aca="false">IF($A96="","",(T95+R95+G95+V95))</f>
        <v>#N/A</v>
      </c>
      <c r="X95" s="200" t="e">
        <f aca="false">IF($A96="","",(U95+S95+H95+V95))</f>
        <v>#N/A</v>
      </c>
      <c r="Y95" s="202"/>
      <c r="Z95" s="185" t="e">
        <f aca="false">IF($A96="","",VLOOKUP($A95,Table,MATCH(Z$4,Curves,0)))</f>
        <v>#N/A</v>
      </c>
      <c r="AA95" s="185" t="e">
        <f aca="false">IF($A96="","",VLOOKUP($A95,Table,MATCH(AA$4,Curves,0)))</f>
        <v>#N/A</v>
      </c>
      <c r="AB95" s="185" t="e">
        <f aca="false">SQRT((AA95^2*(A95-$D$3)+Z95^2*(DAY(EOMONTH(A95,0))/2))/AK95)</f>
        <v>#N/A</v>
      </c>
      <c r="AC95" s="185" t="e">
        <f aca="false">IF($A96="","",VLOOKUP($A95,Table,MATCH(AC$4,Curves,0)))</f>
        <v>#N/A</v>
      </c>
      <c r="AD95" s="185" t="e">
        <f aca="false">IF($A96="","",VLOOKUP($A95,Table,MATCH(AD$4,Curves,0)))</f>
        <v>#N/A</v>
      </c>
      <c r="AE95" s="185" t="e">
        <f aca="false">SQRT((AD95^2*(A95-$D$3)+AC95^2*(DAY(EOMONTH(A95,0))/2))/AK95)</f>
        <v>#N/A</v>
      </c>
      <c r="AF95" s="224" t="e">
        <f aca="false">((Summary!$N$10*(AA95*AD95)*(A95-$D$3))+(Summary!$M$10*Z95*AC95*(AJ95-EOMONTH(EDATE(A95,-1),0))))/(AK95*AB95*AE95)</f>
        <v>#N/A</v>
      </c>
      <c r="AG95" s="207" t="n">
        <f aca="false">IF($A96="","",Summary!$Q$10)</f>
        <v>0</v>
      </c>
      <c r="AH95" s="207" t="n">
        <f aca="false">IF($A96="","",IF(Summary!$R$10="Y",(VLOOKUP($A95,Summary!$AD$6:$AF$9,3)+'Escalating commodity'!F108),'Escalating commodity'!F108))</f>
        <v>0.0158208</v>
      </c>
      <c r="AI95" s="207" t="n">
        <f aca="false">IF($A96="","",AH95)</f>
        <v>0.0158208</v>
      </c>
      <c r="AJ95" s="208" t="n">
        <f aca="false">A95+DAY(EOMONTH(A95,0))/2-1</f>
        <v>39644.5</v>
      </c>
      <c r="AK95" s="209" t="n">
        <f aca="false">IF($A96="","",$A95-$E$1)</f>
        <v>-6296</v>
      </c>
      <c r="AL95" s="182" t="e">
        <f aca="false">IF($A96="","",SPRDOPT(P95,X95,AI95,0,AB95,AE95,AF95,AK95,$AJ$2,0))</f>
        <v>#NAME?</v>
      </c>
      <c r="AM95" s="211" t="e">
        <f aca="false">IF($A96="","",MAX(0,O95-W95-AI95))</f>
        <v>#N/A</v>
      </c>
      <c r="AN95" s="211" t="e">
        <f aca="false">IF($A96="","",AL95-AM95)</f>
        <v>#N/A</v>
      </c>
      <c r="AO95" s="137" t="n">
        <f aca="false">IF(A96="","",A96-A95)</f>
        <v>31</v>
      </c>
      <c r="AP95" s="212" t="n">
        <f aca="false">IF(A96="","",CHOOSE(F$3,A96+24,A95))</f>
        <v>39630</v>
      </c>
      <c r="AQ95" s="209" t="n">
        <f aca="false">IF(A96="","",AP95-$E$1)</f>
        <v>-6296</v>
      </c>
      <c r="AR95" s="185" t="n">
        <f aca="false">'ANR OK vs ML7'!AR95</f>
        <v>0.1</v>
      </c>
      <c r="AS95" s="213" t="n">
        <f aca="false">IF(A96="","",1/(1+CHOOSE(F$3,(AR96+($I$3/10000))/2,(AR95+($I$3/10000))/2))^(2*AQ95/365.25))</f>
        <v>5.37652225751361</v>
      </c>
      <c r="AT95" s="137" t="n">
        <f aca="false">IF(A96="","",IF(AND(mthbeg&lt;=A95,mthend&gt;=A95),1,0))</f>
        <v>1</v>
      </c>
      <c r="AU95" s="137" t="n">
        <f aca="false">IF(A96="","",AO95*AT95)</f>
        <v>31</v>
      </c>
      <c r="AW95" s="195" t="e">
        <f aca="false">IF($A96="","",AL95*$E95)</f>
        <v>#NAME?</v>
      </c>
      <c r="AX95" s="195" t="e">
        <f aca="false">IF($A96="","",AM95*$E95)</f>
        <v>#N/A</v>
      </c>
      <c r="AY95" s="195" t="e">
        <f aca="false">IF($A96="","",AN95*$E95)</f>
        <v>#N/A</v>
      </c>
      <c r="BA95" s="195" t="n">
        <f aca="false">IF($A96="","",F95*Summary!$Q$10)</f>
        <v>0</v>
      </c>
      <c r="BC95" s="179" t="e">
        <f aca="false">IF(A96="","",AM95*F95)</f>
        <v>#N/A</v>
      </c>
    </row>
    <row r="96" customFormat="false" ht="12.75" hidden="false" customHeight="false" outlineLevel="0" collapsed="false">
      <c r="A96" s="196" t="n">
        <f aca="false">IF(A95&lt;mthend,EDATE(A95,1),"")</f>
        <v>39661</v>
      </c>
      <c r="B96" s="197" t="n">
        <f aca="false">IF(A96&lt;mthend,B95,"")</f>
        <v>119740</v>
      </c>
      <c r="C96" s="215"/>
      <c r="D96" s="197" t="n">
        <f aca="false">IF(A97&lt;&gt;"",B96+C96,"")</f>
        <v>119740</v>
      </c>
      <c r="E96" s="199" t="n">
        <f aca="false">IF(A97="","",IF(AND(AT96=1,$H$3=1),D96*AO96,IF($H$3=2,D96,"N/A")))</f>
        <v>3711940</v>
      </c>
      <c r="F96" s="199" t="n">
        <f aca="false">IF(A97="","",E96*AS96)</f>
        <v>19792724.5632744</v>
      </c>
      <c r="G96" s="200" t="e">
        <f aca="false">IF($A97="","",VLOOKUP($A96,Table,MATCH(G$4,Curves,0)))</f>
        <v>#N/A</v>
      </c>
      <c r="H96" s="201" t="e">
        <f aca="false">IF(A97="","",G96)</f>
        <v>#N/A</v>
      </c>
      <c r="I96" s="202"/>
      <c r="J96" s="200" t="e">
        <f aca="false">IF($A97="","",VLOOKUP($A96,Table,MATCH(J$4,Curves,0)))</f>
        <v>#N/A</v>
      </c>
      <c r="K96" s="201" t="e">
        <f aca="false">IF(A97="","",J96)</f>
        <v>#N/A</v>
      </c>
      <c r="L96" s="185" t="n">
        <v>0</v>
      </c>
      <c r="M96" s="201" t="n">
        <f aca="false">IF(A97="","",L96)</f>
        <v>0</v>
      </c>
      <c r="N96" s="203"/>
      <c r="O96" s="200" t="e">
        <f aca="false">IF(A97="","",L96+J96+G96)</f>
        <v>#N/A</v>
      </c>
      <c r="P96" s="200" t="e">
        <f aca="false">IF(A97="","",M96+K96+H96)</f>
        <v>#N/A</v>
      </c>
      <c r="Q96" s="204"/>
      <c r="R96" s="200" t="e">
        <f aca="false">IF($A97="","",VLOOKUP($A96,Table,MATCH(R$4,Curves,0)))</f>
        <v>#N/A</v>
      </c>
      <c r="S96" s="201" t="e">
        <f aca="false">IF(A97="","",R96)</f>
        <v>#N/A</v>
      </c>
      <c r="T96" s="200" t="e">
        <f aca="false">IF($A97="","",VLOOKUP($A96,Table,MATCH(T$4,Curves,0)))</f>
        <v>#N/A</v>
      </c>
      <c r="U96" s="201" t="e">
        <f aca="false">IF(A97="","",T96)</f>
        <v>#N/A</v>
      </c>
      <c r="V96" s="205" t="e">
        <f aca="false">IF($A97="","",IF(AND(MONTH(A96)&gt;3,MONTH(A96)&lt;11),(T96+R96+G96)*Summary!$T$10/(1-Summary!$T$10),(T96+R96+G96)*Summary!$U$10/(1-Summary!$U$10)))</f>
        <v>#N/A</v>
      </c>
      <c r="W96" s="200" t="e">
        <f aca="false">IF($A97="","",(T96+R96+G96+V96))</f>
        <v>#N/A</v>
      </c>
      <c r="X96" s="200" t="e">
        <f aca="false">IF($A97="","",(U96+S96+H96+V96))</f>
        <v>#N/A</v>
      </c>
      <c r="Y96" s="202"/>
      <c r="Z96" s="185" t="e">
        <f aca="false">IF($A97="","",VLOOKUP($A96,Table,MATCH(Z$4,Curves,0)))</f>
        <v>#N/A</v>
      </c>
      <c r="AA96" s="185" t="e">
        <f aca="false">IF($A97="","",VLOOKUP($A96,Table,MATCH(AA$4,Curves,0)))</f>
        <v>#N/A</v>
      </c>
      <c r="AB96" s="185" t="e">
        <f aca="false">SQRT((AA96^2*(A96-$D$3)+Z96^2*(DAY(EOMONTH(A96,0))/2))/AK96)</f>
        <v>#N/A</v>
      </c>
      <c r="AC96" s="185" t="e">
        <f aca="false">IF($A97="","",VLOOKUP($A96,Table,MATCH(AC$4,Curves,0)))</f>
        <v>#N/A</v>
      </c>
      <c r="AD96" s="185" t="e">
        <f aca="false">IF($A97="","",VLOOKUP($A96,Table,MATCH(AD$4,Curves,0)))</f>
        <v>#N/A</v>
      </c>
      <c r="AE96" s="185" t="e">
        <f aca="false">SQRT((AD96^2*(A96-$D$3)+AC96^2*(DAY(EOMONTH(A96,0))/2))/AK96)</f>
        <v>#N/A</v>
      </c>
      <c r="AF96" s="224" t="e">
        <f aca="false">((Summary!$N$10*(AA96*AD96)*(A96-$D$3))+(Summary!$M$10*Z96*AC96*(AJ96-EOMONTH(EDATE(A96,-1),0))))/(AK96*AB96*AE96)</f>
        <v>#N/A</v>
      </c>
      <c r="AG96" s="207" t="n">
        <f aca="false">IF($A97="","",Summary!$Q$10)</f>
        <v>0</v>
      </c>
      <c r="AH96" s="207" t="n">
        <f aca="false">IF($A97="","",IF(Summary!$R$10="Y",(VLOOKUP($A96,Summary!$AD$6:$AF$9,3)+'Escalating commodity'!F109),'Escalating commodity'!F109))</f>
        <v>0.0158208</v>
      </c>
      <c r="AI96" s="207" t="n">
        <f aca="false">IF($A97="","",AH96)</f>
        <v>0.0158208</v>
      </c>
      <c r="AJ96" s="208" t="n">
        <f aca="false">A96+DAY(EOMONTH(A96,0))/2-1</f>
        <v>39675.5</v>
      </c>
      <c r="AK96" s="209" t="n">
        <f aca="false">IF($A97="","",$A96-$E$1)</f>
        <v>-6265</v>
      </c>
      <c r="AL96" s="182" t="e">
        <f aca="false">IF($A97="","",SPRDOPT(P96,X96,AI96,0,AB96,AE96,AF96,AK96,$AJ$2,0))</f>
        <v>#NAME?</v>
      </c>
      <c r="AM96" s="211" t="e">
        <f aca="false">IF($A97="","",MAX(0,O96-W96-AI96))</f>
        <v>#N/A</v>
      </c>
      <c r="AN96" s="211" t="e">
        <f aca="false">IF($A97="","",AL96-AM96)</f>
        <v>#N/A</v>
      </c>
      <c r="AO96" s="137" t="n">
        <f aca="false">IF(A97="","",A97-A96)</f>
        <v>31</v>
      </c>
      <c r="AP96" s="212" t="n">
        <f aca="false">IF(A97="","",CHOOSE(F$3,A97+24,A96))</f>
        <v>39661</v>
      </c>
      <c r="AQ96" s="209" t="n">
        <f aca="false">IF(A97="","",AP96-$E$1)</f>
        <v>-6265</v>
      </c>
      <c r="AR96" s="185" t="n">
        <f aca="false">'ANR OK vs ML7'!AR96</f>
        <v>0.1</v>
      </c>
      <c r="AS96" s="213" t="n">
        <f aca="false">IF(A97="","",1/(1+CHOOSE(F$3,(AR97+($I$3/10000))/2,(AR96+($I$3/10000))/2))^(2*AQ96/365.25))</f>
        <v>5.33217793479269</v>
      </c>
      <c r="AT96" s="137" t="n">
        <f aca="false">IF(A97="","",IF(AND(mthbeg&lt;=A96,mthend&gt;=A96),1,0))</f>
        <v>1</v>
      </c>
      <c r="AU96" s="137" t="n">
        <f aca="false">IF(A97="","",AO96*AT96)</f>
        <v>31</v>
      </c>
      <c r="AW96" s="195" t="e">
        <f aca="false">IF($A97="","",AL96*$E96)</f>
        <v>#NAME?</v>
      </c>
      <c r="AX96" s="195" t="e">
        <f aca="false">IF($A97="","",AM96*$E96)</f>
        <v>#N/A</v>
      </c>
      <c r="AY96" s="195" t="e">
        <f aca="false">IF($A97="","",AN96*$E96)</f>
        <v>#N/A</v>
      </c>
      <c r="BA96" s="195" t="n">
        <f aca="false">IF($A97="","",F96*Summary!$Q$10)</f>
        <v>0</v>
      </c>
      <c r="BC96" s="179" t="e">
        <f aca="false">IF(A97="","",AM96*F96)</f>
        <v>#N/A</v>
      </c>
    </row>
    <row r="97" customFormat="false" ht="12.75" hidden="false" customHeight="false" outlineLevel="0" collapsed="false">
      <c r="A97" s="196" t="n">
        <f aca="false">IF(A96&lt;mthend,EDATE(A96,1),"")</f>
        <v>39692</v>
      </c>
      <c r="B97" s="197" t="n">
        <f aca="false">IF(A97&lt;mthend,B96,"")</f>
        <v>119740</v>
      </c>
      <c r="C97" s="215"/>
      <c r="D97" s="197" t="n">
        <f aca="false">IF(A98&lt;&gt;"",B97+C97,"")</f>
        <v>119740</v>
      </c>
      <c r="E97" s="199" t="n">
        <f aca="false">IF(A98="","",IF(AND(AT97=1,$H$3=1),D97*AO97,IF($H$3=2,D97,"N/A")))</f>
        <v>3592200</v>
      </c>
      <c r="F97" s="199" t="n">
        <f aca="false">IF(A98="","",E97*AS97)</f>
        <v>18996269.7189978</v>
      </c>
      <c r="G97" s="200" t="e">
        <f aca="false">IF($A98="","",VLOOKUP($A97,Table,MATCH(G$4,Curves,0)))</f>
        <v>#N/A</v>
      </c>
      <c r="H97" s="201" t="e">
        <f aca="false">IF(A98="","",G97)</f>
        <v>#N/A</v>
      </c>
      <c r="I97" s="202"/>
      <c r="J97" s="200" t="e">
        <f aca="false">IF($A98="","",VLOOKUP($A97,Table,MATCH(J$4,Curves,0)))</f>
        <v>#N/A</v>
      </c>
      <c r="K97" s="201" t="e">
        <f aca="false">IF(A98="","",J97)</f>
        <v>#N/A</v>
      </c>
      <c r="L97" s="185" t="n">
        <v>0</v>
      </c>
      <c r="M97" s="201" t="n">
        <f aca="false">IF(A98="","",L97)</f>
        <v>0</v>
      </c>
      <c r="N97" s="203"/>
      <c r="O97" s="200" t="e">
        <f aca="false">IF(A98="","",L97+J97+G97)</f>
        <v>#N/A</v>
      </c>
      <c r="P97" s="200" t="e">
        <f aca="false">IF(A98="","",M97+K97+H97)</f>
        <v>#N/A</v>
      </c>
      <c r="Q97" s="204"/>
      <c r="R97" s="200" t="e">
        <f aca="false">IF($A98="","",VLOOKUP($A97,Table,MATCH(R$4,Curves,0)))</f>
        <v>#N/A</v>
      </c>
      <c r="S97" s="201" t="e">
        <f aca="false">IF(A98="","",R97)</f>
        <v>#N/A</v>
      </c>
      <c r="T97" s="200" t="e">
        <f aca="false">IF($A98="","",VLOOKUP($A97,Table,MATCH(T$4,Curves,0)))</f>
        <v>#N/A</v>
      </c>
      <c r="U97" s="201" t="e">
        <f aca="false">IF(A98="","",T97)</f>
        <v>#N/A</v>
      </c>
      <c r="V97" s="205" t="e">
        <f aca="false">IF($A98="","",IF(AND(MONTH(A97)&gt;3,MONTH(A97)&lt;11),(T97+R97+G97)*Summary!$T$10/(1-Summary!$T$10),(T97+R97+G97)*Summary!$U$10/(1-Summary!$U$10)))</f>
        <v>#N/A</v>
      </c>
      <c r="W97" s="200" t="e">
        <f aca="false">IF($A98="","",(T97+R97+G97+V97))</f>
        <v>#N/A</v>
      </c>
      <c r="X97" s="200" t="e">
        <f aca="false">IF($A98="","",(U97+S97+H97+V97))</f>
        <v>#N/A</v>
      </c>
      <c r="Y97" s="202"/>
      <c r="Z97" s="185" t="e">
        <f aca="false">IF($A98="","",VLOOKUP($A97,Table,MATCH(Z$4,Curves,0)))</f>
        <v>#N/A</v>
      </c>
      <c r="AA97" s="185" t="e">
        <f aca="false">IF($A98="","",VLOOKUP($A97,Table,MATCH(AA$4,Curves,0)))</f>
        <v>#N/A</v>
      </c>
      <c r="AB97" s="185" t="e">
        <f aca="false">SQRT((AA97^2*(A97-$D$3)+Z97^2*(DAY(EOMONTH(A97,0))/2))/AK97)</f>
        <v>#N/A</v>
      </c>
      <c r="AC97" s="185" t="e">
        <f aca="false">IF($A98="","",VLOOKUP($A97,Table,MATCH(AC$4,Curves,0)))</f>
        <v>#N/A</v>
      </c>
      <c r="AD97" s="185" t="e">
        <f aca="false">IF($A98="","",VLOOKUP($A97,Table,MATCH(AD$4,Curves,0)))</f>
        <v>#N/A</v>
      </c>
      <c r="AE97" s="185" t="e">
        <f aca="false">SQRT((AD97^2*(A97-$D$3)+AC97^2*(DAY(EOMONTH(A97,0))/2))/AK97)</f>
        <v>#N/A</v>
      </c>
      <c r="AF97" s="224" t="e">
        <f aca="false">((Summary!$N$10*(AA97*AD97)*(A97-$D$3))+(Summary!$M$10*Z97*AC97*(AJ97-EOMONTH(EDATE(A97,-1),0))))/(AK97*AB97*AE97)</f>
        <v>#N/A</v>
      </c>
      <c r="AG97" s="207" t="n">
        <f aca="false">IF($A98="","",Summary!$Q$10)</f>
        <v>0</v>
      </c>
      <c r="AH97" s="207" t="n">
        <f aca="false">IF($A98="","",IF(Summary!$R$10="Y",(VLOOKUP($A97,Summary!$AD$6:$AF$9,3)+'Escalating commodity'!F110),'Escalating commodity'!F110))</f>
        <v>0.0158208</v>
      </c>
      <c r="AI97" s="207" t="n">
        <f aca="false">IF($A98="","",AH97)</f>
        <v>0.0158208</v>
      </c>
      <c r="AJ97" s="208" t="n">
        <f aca="false">A97+DAY(EOMONTH(A97,0))/2-1</f>
        <v>39706</v>
      </c>
      <c r="AK97" s="209" t="n">
        <f aca="false">IF($A98="","",$A97-$E$1)</f>
        <v>-6234</v>
      </c>
      <c r="AL97" s="182" t="e">
        <f aca="false">IF($A98="","",SPRDOPT(P97,X97,AI97,0,AB97,AE97,AF97,AK97,$AJ$2,0))</f>
        <v>#NAME?</v>
      </c>
      <c r="AM97" s="211" t="e">
        <f aca="false">IF($A98="","",MAX(0,O97-W97-AI97))</f>
        <v>#N/A</v>
      </c>
      <c r="AN97" s="211" t="e">
        <f aca="false">IF($A98="","",AL97-AM97)</f>
        <v>#N/A</v>
      </c>
      <c r="AO97" s="137" t="n">
        <f aca="false">IF(A98="","",A98-A97)</f>
        <v>30</v>
      </c>
      <c r="AP97" s="212" t="n">
        <f aca="false">IF(A98="","",CHOOSE(F$3,A98+24,A97))</f>
        <v>39692</v>
      </c>
      <c r="AQ97" s="209" t="n">
        <f aca="false">IF(A98="","",AP97-$E$1)</f>
        <v>-6234</v>
      </c>
      <c r="AR97" s="185" t="n">
        <f aca="false">'ANR OK vs ML7'!AR97</f>
        <v>0.1</v>
      </c>
      <c r="AS97" s="213" t="n">
        <f aca="false">IF(A98="","",1/(1+CHOOSE(F$3,(AR98+($I$3/10000))/2,(AR97+($I$3/10000))/2))^(2*AQ97/365.25))</f>
        <v>5.28819935387723</v>
      </c>
      <c r="AT97" s="137" t="n">
        <f aca="false">IF(A98="","",IF(AND(mthbeg&lt;=A97,mthend&gt;=A97),1,0))</f>
        <v>1</v>
      </c>
      <c r="AU97" s="137" t="n">
        <f aca="false">IF(A98="","",AO97*AT97)</f>
        <v>30</v>
      </c>
      <c r="AW97" s="195" t="e">
        <f aca="false">IF($A98="","",AL97*$E97)</f>
        <v>#NAME?</v>
      </c>
      <c r="AX97" s="195" t="e">
        <f aca="false">IF($A98="","",AM97*$E97)</f>
        <v>#N/A</v>
      </c>
      <c r="AY97" s="195" t="e">
        <f aca="false">IF($A98="","",AN97*$E97)</f>
        <v>#N/A</v>
      </c>
      <c r="BA97" s="195" t="n">
        <f aca="false">IF($A98="","",F97*Summary!$Q$10)</f>
        <v>0</v>
      </c>
      <c r="BC97" s="179" t="e">
        <f aca="false">IF(A98="","",AM97*F97)</f>
        <v>#N/A</v>
      </c>
    </row>
    <row r="98" customFormat="false" ht="12.75" hidden="false" customHeight="false" outlineLevel="0" collapsed="false">
      <c r="A98" s="196" t="n">
        <f aca="false">IF(A97&lt;mthend,EDATE(A97,1),"")</f>
        <v>39722</v>
      </c>
      <c r="B98" s="197" t="n">
        <f aca="false">IF(A98&lt;mthend,B97,"")</f>
        <v>119740</v>
      </c>
      <c r="C98" s="215"/>
      <c r="D98" s="197" t="n">
        <f aca="false">IF(A99&lt;&gt;"",B98+C98,"")</f>
        <v>119740</v>
      </c>
      <c r="E98" s="199" t="n">
        <f aca="false">IF(A99="","",IF(AND(AT98=1,$H$3=1),D98*AO98,IF($H$3=2,D98,"N/A")))</f>
        <v>3711940</v>
      </c>
      <c r="F98" s="199" t="n">
        <f aca="false">IF(A99="","",E98*AS98)</f>
        <v>19472780.9310147</v>
      </c>
      <c r="G98" s="200" t="e">
        <f aca="false">IF($A99="","",VLOOKUP($A98,Table,MATCH(G$4,Curves,0)))</f>
        <v>#N/A</v>
      </c>
      <c r="H98" s="201" t="e">
        <f aca="false">IF(A99="","",G98)</f>
        <v>#N/A</v>
      </c>
      <c r="I98" s="202"/>
      <c r="J98" s="200" t="e">
        <f aca="false">IF($A99="","",VLOOKUP($A98,Table,MATCH(J$4,Curves,0)))</f>
        <v>#N/A</v>
      </c>
      <c r="K98" s="201" t="e">
        <f aca="false">IF(A99="","",J98)</f>
        <v>#N/A</v>
      </c>
      <c r="L98" s="185" t="n">
        <v>0</v>
      </c>
      <c r="M98" s="201" t="n">
        <f aca="false">IF(A99="","",L98)</f>
        <v>0</v>
      </c>
      <c r="N98" s="203"/>
      <c r="O98" s="200" t="e">
        <f aca="false">IF(A99="","",L98+J98+G98)</f>
        <v>#N/A</v>
      </c>
      <c r="P98" s="200" t="e">
        <f aca="false">IF(A99="","",M98+K98+H98)</f>
        <v>#N/A</v>
      </c>
      <c r="Q98" s="204"/>
      <c r="R98" s="200" t="e">
        <f aca="false">IF($A99="","",VLOOKUP($A98,Table,MATCH(R$4,Curves,0)))</f>
        <v>#N/A</v>
      </c>
      <c r="S98" s="201" t="e">
        <f aca="false">IF(A99="","",R98)</f>
        <v>#N/A</v>
      </c>
      <c r="T98" s="200" t="e">
        <f aca="false">IF($A99="","",VLOOKUP($A98,Table,MATCH(T$4,Curves,0)))</f>
        <v>#N/A</v>
      </c>
      <c r="U98" s="201" t="e">
        <f aca="false">IF(A99="","",T98)</f>
        <v>#N/A</v>
      </c>
      <c r="V98" s="205" t="e">
        <f aca="false">IF($A99="","",IF(AND(MONTH(A98)&gt;3,MONTH(A98)&lt;11),(T98+R98+G98)*Summary!$T$10/(1-Summary!$T$10),(T98+R98+G98)*Summary!$U$10/(1-Summary!$U$10)))</f>
        <v>#N/A</v>
      </c>
      <c r="W98" s="200" t="e">
        <f aca="false">IF($A99="","",(T98+R98+G98+V98))</f>
        <v>#N/A</v>
      </c>
      <c r="X98" s="200" t="e">
        <f aca="false">IF($A99="","",(U98+S98+H98+V98))</f>
        <v>#N/A</v>
      </c>
      <c r="Y98" s="202"/>
      <c r="Z98" s="185" t="e">
        <f aca="false">IF($A99="","",VLOOKUP($A98,Table,MATCH(Z$4,Curves,0)))</f>
        <v>#N/A</v>
      </c>
      <c r="AA98" s="185" t="e">
        <f aca="false">IF($A99="","",VLOOKUP($A98,Table,MATCH(AA$4,Curves,0)))</f>
        <v>#N/A</v>
      </c>
      <c r="AB98" s="185" t="e">
        <f aca="false">SQRT((AA98^2*(A98-$D$3)+Z98^2*(DAY(EOMONTH(A98,0))/2))/AK98)</f>
        <v>#N/A</v>
      </c>
      <c r="AC98" s="185" t="e">
        <f aca="false">IF($A99="","",VLOOKUP($A98,Table,MATCH(AC$4,Curves,0)))</f>
        <v>#N/A</v>
      </c>
      <c r="AD98" s="185" t="e">
        <f aca="false">IF($A99="","",VLOOKUP($A98,Table,MATCH(AD$4,Curves,0)))</f>
        <v>#N/A</v>
      </c>
      <c r="AE98" s="185" t="e">
        <f aca="false">SQRT((AD98^2*(A98-$D$3)+AC98^2*(DAY(EOMONTH(A98,0))/2))/AK98)</f>
        <v>#N/A</v>
      </c>
      <c r="AF98" s="224" t="e">
        <f aca="false">((Summary!$N$10*(AA98*AD98)*(A98-$D$3))+(Summary!$M$10*Z98*AC98*(AJ98-EOMONTH(EDATE(A98,-1),0))))/(AK98*AB98*AE98)</f>
        <v>#N/A</v>
      </c>
      <c r="AG98" s="207" t="n">
        <f aca="false">IF($A99="","",Summary!$Q$10)</f>
        <v>0</v>
      </c>
      <c r="AH98" s="207" t="n">
        <f aca="false">IF($A99="","",IF(Summary!$R$10="Y",(VLOOKUP($A98,Summary!$AD$6:$AF$9,3)+'Escalating commodity'!F111),'Escalating commodity'!F111))</f>
        <v>0.0158208</v>
      </c>
      <c r="AI98" s="207" t="n">
        <f aca="false">IF($A99="","",AH98)</f>
        <v>0.0158208</v>
      </c>
      <c r="AJ98" s="208" t="n">
        <f aca="false">A98+DAY(EOMONTH(A98,0))/2-1</f>
        <v>39736.5</v>
      </c>
      <c r="AK98" s="209" t="n">
        <f aca="false">IF($A99="","",$A98-$E$1)</f>
        <v>-6204</v>
      </c>
      <c r="AL98" s="182" t="e">
        <f aca="false">IF($A99="","",SPRDOPT(P98,X98,AI98,0,AB98,AE98,AF98,AK98,$AJ$2,0))</f>
        <v>#NAME?</v>
      </c>
      <c r="AM98" s="211" t="e">
        <f aca="false">IF($A99="","",MAX(0,O98-W98-AI98))</f>
        <v>#N/A</v>
      </c>
      <c r="AN98" s="211" t="e">
        <f aca="false">IF($A99="","",AL98-AM98)</f>
        <v>#N/A</v>
      </c>
      <c r="AO98" s="137" t="n">
        <f aca="false">IF(A99="","",A99-A98)</f>
        <v>31</v>
      </c>
      <c r="AP98" s="212" t="n">
        <f aca="false">IF(A99="","",CHOOSE(F$3,A99+24,A98))</f>
        <v>39722</v>
      </c>
      <c r="AQ98" s="209" t="n">
        <f aca="false">IF(A99="","",AP98-$E$1)</f>
        <v>-6204</v>
      </c>
      <c r="AR98" s="185" t="n">
        <f aca="false">'ANR OK vs ML7'!AR98</f>
        <v>0.1</v>
      </c>
      <c r="AS98" s="213" t="n">
        <f aca="false">IF(A99="","",1/(1+CHOOSE(F$3,(AR99+($I$3/10000))/2,(AR98+($I$3/10000))/2))^(2*AQ98/365.25))</f>
        <v>5.24598483030833</v>
      </c>
      <c r="AT98" s="137" t="n">
        <f aca="false">IF(A99="","",IF(AND(mthbeg&lt;=A98,mthend&gt;=A98),1,0))</f>
        <v>1</v>
      </c>
      <c r="AU98" s="137" t="n">
        <f aca="false">IF(A99="","",AO98*AT98)</f>
        <v>31</v>
      </c>
      <c r="AW98" s="195" t="e">
        <f aca="false">IF($A99="","",AL98*$E98)</f>
        <v>#NAME?</v>
      </c>
      <c r="AX98" s="195" t="e">
        <f aca="false">IF($A99="","",AM98*$E98)</f>
        <v>#N/A</v>
      </c>
      <c r="AY98" s="195" t="e">
        <f aca="false">IF($A99="","",AN98*$E98)</f>
        <v>#N/A</v>
      </c>
      <c r="BA98" s="195" t="n">
        <f aca="false">IF($A99="","",F98*Summary!$Q$10)</f>
        <v>0</v>
      </c>
      <c r="BC98" s="179" t="e">
        <f aca="false">IF(A99="","",AM98*F98)</f>
        <v>#N/A</v>
      </c>
    </row>
    <row r="99" customFormat="false" ht="12.75" hidden="false" customHeight="false" outlineLevel="0" collapsed="false">
      <c r="A99" s="196" t="n">
        <f aca="false">IF(A98&lt;mthend,EDATE(A98,1),"")</f>
        <v>39753</v>
      </c>
      <c r="B99" s="197" t="n">
        <f aca="false">IF(A99&lt;mthend,B98,"")</f>
        <v>119740</v>
      </c>
      <c r="C99" s="215"/>
      <c r="D99" s="197" t="n">
        <f aca="false">IF(A100&lt;&gt;"",B99+C99,"")</f>
        <v>119740</v>
      </c>
      <c r="E99" s="199" t="n">
        <f aca="false">IF(A100="","",IF(AND(AT99=1,$H$3=1),D99*AO99,IF($H$3=2,D99,"N/A")))</f>
        <v>3592200</v>
      </c>
      <c r="F99" s="199" t="n">
        <f aca="false">IF(A100="","",E99*AS99)</f>
        <v>18689200.5475024</v>
      </c>
      <c r="G99" s="200" t="e">
        <f aca="false">IF($A100="","",VLOOKUP($A99,Table,MATCH(G$4,Curves,0)))</f>
        <v>#N/A</v>
      </c>
      <c r="H99" s="201" t="e">
        <f aca="false">IF(A100="","",G99)</f>
        <v>#N/A</v>
      </c>
      <c r="I99" s="202"/>
      <c r="J99" s="200" t="e">
        <f aca="false">IF($A100="","",VLOOKUP($A99,Table,MATCH(J$4,Curves,0)))</f>
        <v>#N/A</v>
      </c>
      <c r="K99" s="201" t="e">
        <f aca="false">IF(A100="","",J99)</f>
        <v>#N/A</v>
      </c>
      <c r="L99" s="185" t="n">
        <v>0</v>
      </c>
      <c r="M99" s="201" t="n">
        <f aca="false">IF(A100="","",L99)</f>
        <v>0</v>
      </c>
      <c r="N99" s="203"/>
      <c r="O99" s="200" t="e">
        <f aca="false">IF(A100="","",L99+J99+G99)</f>
        <v>#N/A</v>
      </c>
      <c r="P99" s="200" t="e">
        <f aca="false">IF(A100="","",M99+K99+H99)</f>
        <v>#N/A</v>
      </c>
      <c r="Q99" s="204"/>
      <c r="R99" s="200" t="e">
        <f aca="false">IF($A100="","",VLOOKUP($A99,Table,MATCH(R$4,Curves,0)))</f>
        <v>#N/A</v>
      </c>
      <c r="S99" s="201" t="e">
        <f aca="false">IF(A100="","",R99)</f>
        <v>#N/A</v>
      </c>
      <c r="T99" s="200" t="e">
        <f aca="false">IF($A100="","",VLOOKUP($A99,Table,MATCH(T$4,Curves,0)))</f>
        <v>#N/A</v>
      </c>
      <c r="U99" s="201" t="e">
        <f aca="false">IF(A100="","",T99)</f>
        <v>#N/A</v>
      </c>
      <c r="V99" s="205" t="e">
        <f aca="false">IF($A100="","",IF(AND(MONTH(A99)&gt;3,MONTH(A99)&lt;11),(T99+R99+G99)*Summary!$T$10/(1-Summary!$T$10),(T99+R99+G99)*Summary!$U$10/(1-Summary!$U$10)))</f>
        <v>#N/A</v>
      </c>
      <c r="W99" s="200" t="e">
        <f aca="false">IF($A100="","",(T99+R99+G99+V99))</f>
        <v>#N/A</v>
      </c>
      <c r="X99" s="200" t="e">
        <f aca="false">IF($A100="","",(U99+S99+H99+V99))</f>
        <v>#N/A</v>
      </c>
      <c r="Y99" s="202"/>
      <c r="Z99" s="185" t="e">
        <f aca="false">IF($A100="","",VLOOKUP($A99,Table,MATCH(Z$4,Curves,0)))</f>
        <v>#N/A</v>
      </c>
      <c r="AA99" s="185" t="e">
        <f aca="false">IF($A100="","",VLOOKUP($A99,Table,MATCH(AA$4,Curves,0)))</f>
        <v>#N/A</v>
      </c>
      <c r="AB99" s="185" t="e">
        <f aca="false">SQRT((AA99^2*(A99-$D$3)+Z99^2*(DAY(EOMONTH(A99,0))/2))/AK99)</f>
        <v>#N/A</v>
      </c>
      <c r="AC99" s="185" t="e">
        <f aca="false">IF($A100="","",VLOOKUP($A99,Table,MATCH(AC$4,Curves,0)))</f>
        <v>#N/A</v>
      </c>
      <c r="AD99" s="185" t="e">
        <f aca="false">IF($A100="","",VLOOKUP($A99,Table,MATCH(AD$4,Curves,0)))</f>
        <v>#N/A</v>
      </c>
      <c r="AE99" s="185" t="e">
        <f aca="false">SQRT((AD99^2*(A99-$D$3)+AC99^2*(DAY(EOMONTH(A99,0))/2))/AK99)</f>
        <v>#N/A</v>
      </c>
      <c r="AF99" s="224" t="e">
        <f aca="false">((Summary!$N$10*(AA99*AD99)*(A99-$D$3))+(Summary!$M$10*Z99*AC99*(AJ99-EOMONTH(EDATE(A99,-1),0))))/(AK99*AB99*AE99)</f>
        <v>#N/A</v>
      </c>
      <c r="AG99" s="207" t="n">
        <f aca="false">IF($A100="","",Summary!$Q$10)</f>
        <v>0</v>
      </c>
      <c r="AH99" s="207" t="n">
        <f aca="false">IF($A100="","",IF(Summary!$R$10="Y",(VLOOKUP($A99,Summary!$AD$6:$AF$9,3)+'Escalating commodity'!F112),'Escalating commodity'!F112))</f>
        <v>0.0158208</v>
      </c>
      <c r="AI99" s="207" t="n">
        <f aca="false">IF($A100="","",AH99)</f>
        <v>0.0158208</v>
      </c>
      <c r="AJ99" s="208" t="n">
        <f aca="false">A99+DAY(EOMONTH(A99,0))/2-1</f>
        <v>39767</v>
      </c>
      <c r="AK99" s="209" t="n">
        <f aca="false">IF($A100="","",$A99-$E$1)</f>
        <v>-6173</v>
      </c>
      <c r="AL99" s="182" t="e">
        <f aca="false">IF($A100="","",SPRDOPT(P99,X99,AI99,0,AB99,AE99,AF99,AK99,$AJ$2,0))</f>
        <v>#NAME?</v>
      </c>
      <c r="AM99" s="211" t="e">
        <f aca="false">IF($A100="","",MAX(0,O99-W99-AI99))</f>
        <v>#N/A</v>
      </c>
      <c r="AN99" s="211" t="e">
        <f aca="false">IF($A100="","",AL99-AM99)</f>
        <v>#N/A</v>
      </c>
      <c r="AO99" s="137" t="n">
        <f aca="false">IF(A100="","",A100-A99)</f>
        <v>30</v>
      </c>
      <c r="AP99" s="212" t="n">
        <f aca="false">IF(A100="","",CHOOSE(F$3,A100+24,A99))</f>
        <v>39753</v>
      </c>
      <c r="AQ99" s="209" t="n">
        <f aca="false">IF(A100="","",AP99-$E$1)</f>
        <v>-6173</v>
      </c>
      <c r="AR99" s="185" t="n">
        <f aca="false">'ANR OK vs ML7'!AR99</f>
        <v>0.1</v>
      </c>
      <c r="AS99" s="213" t="n">
        <f aca="false">IF(A100="","",1/(1+CHOOSE(F$3,(AR100+($I$3/10000))/2,(AR99+($I$3/10000))/2))^(2*AQ99/365.25))</f>
        <v>5.20271715035422</v>
      </c>
      <c r="AT99" s="137" t="n">
        <f aca="false">IF(A100="","",IF(AND(mthbeg&lt;=A99,mthend&gt;=A99),1,0))</f>
        <v>1</v>
      </c>
      <c r="AU99" s="137" t="n">
        <f aca="false">IF(A100="","",AO99*AT99)</f>
        <v>30</v>
      </c>
      <c r="AW99" s="195" t="e">
        <f aca="false">IF($A100="","",AL99*$E99)</f>
        <v>#NAME?</v>
      </c>
      <c r="AX99" s="195" t="e">
        <f aca="false">IF($A100="","",AM99*$E99)</f>
        <v>#N/A</v>
      </c>
      <c r="AY99" s="195" t="e">
        <f aca="false">IF($A100="","",AN99*$E99)</f>
        <v>#N/A</v>
      </c>
      <c r="BA99" s="195" t="n">
        <f aca="false">IF($A100="","",F99*Summary!$Q$10)</f>
        <v>0</v>
      </c>
      <c r="BC99" s="179" t="e">
        <f aca="false">IF(A100="","",AM99*F99)</f>
        <v>#N/A</v>
      </c>
    </row>
    <row r="100" customFormat="false" ht="12.75" hidden="false" customHeight="false" outlineLevel="0" collapsed="false">
      <c r="A100" s="196" t="n">
        <f aca="false">IF(A99&lt;mthend,EDATE(A99,1),"")</f>
        <v>39783</v>
      </c>
      <c r="B100" s="197" t="n">
        <f aca="false">IF(A100&lt;mthend,B99,"")</f>
        <v>119740</v>
      </c>
      <c r="C100" s="215"/>
      <c r="D100" s="197" t="n">
        <f aca="false">IF(A101&lt;&gt;"",B100+C100,"")</f>
        <v>119740</v>
      </c>
      <c r="E100" s="199" t="n">
        <f aca="false">IF(A101="","",IF(AND(AT100=1,$H$3=1),D100*AO100,IF($H$3=2,D100,"N/A")))</f>
        <v>3711940</v>
      </c>
      <c r="F100" s="199" t="n">
        <f aca="false">IF(A101="","",E100*AS100)</f>
        <v>19158009.0944569</v>
      </c>
      <c r="G100" s="200" t="e">
        <f aca="false">IF($A101="","",VLOOKUP($A100,Table,MATCH(G$4,Curves,0)))</f>
        <v>#N/A</v>
      </c>
      <c r="H100" s="201" t="e">
        <f aca="false">IF(A101="","",G100)</f>
        <v>#N/A</v>
      </c>
      <c r="I100" s="202"/>
      <c r="J100" s="200" t="e">
        <f aca="false">IF($A101="","",VLOOKUP($A100,Table,MATCH(J$4,Curves,0)))</f>
        <v>#N/A</v>
      </c>
      <c r="K100" s="201" t="e">
        <f aca="false">IF(A101="","",J100)</f>
        <v>#N/A</v>
      </c>
      <c r="L100" s="185" t="n">
        <v>0</v>
      </c>
      <c r="M100" s="201" t="n">
        <f aca="false">IF(A101="","",L100)</f>
        <v>0</v>
      </c>
      <c r="N100" s="203"/>
      <c r="O100" s="200" t="e">
        <f aca="false">IF(A101="","",L100+J100+G100)</f>
        <v>#N/A</v>
      </c>
      <c r="P100" s="200" t="e">
        <f aca="false">IF(A101="","",M100+K100+H100)</f>
        <v>#N/A</v>
      </c>
      <c r="Q100" s="204"/>
      <c r="R100" s="200" t="e">
        <f aca="false">IF($A101="","",VLOOKUP($A100,Table,MATCH(R$4,Curves,0)))</f>
        <v>#N/A</v>
      </c>
      <c r="S100" s="201" t="e">
        <f aca="false">IF(A101="","",R100)</f>
        <v>#N/A</v>
      </c>
      <c r="T100" s="200" t="e">
        <f aca="false">IF($A101="","",VLOOKUP($A100,Table,MATCH(T$4,Curves,0)))</f>
        <v>#N/A</v>
      </c>
      <c r="U100" s="201" t="e">
        <f aca="false">IF(A101="","",T100)</f>
        <v>#N/A</v>
      </c>
      <c r="V100" s="205" t="e">
        <f aca="false">IF($A101="","",IF(AND(MONTH(A100)&gt;3,MONTH(A100)&lt;11),(T100+R100+G100)*Summary!$T$10/(1-Summary!$T$10),(T100+R100+G100)*Summary!$U$10/(1-Summary!$U$10)))</f>
        <v>#N/A</v>
      </c>
      <c r="W100" s="200" t="e">
        <f aca="false">IF($A101="","",(T100+R100+G100+V100))</f>
        <v>#N/A</v>
      </c>
      <c r="X100" s="200" t="e">
        <f aca="false">IF($A101="","",(U100+S100+H100+V100))</f>
        <v>#N/A</v>
      </c>
      <c r="Y100" s="202"/>
      <c r="Z100" s="185" t="e">
        <f aca="false">IF($A101="","",VLOOKUP($A100,Table,MATCH(Z$4,Curves,0)))</f>
        <v>#N/A</v>
      </c>
      <c r="AA100" s="185" t="e">
        <f aca="false">IF($A101="","",VLOOKUP($A100,Table,MATCH(AA$4,Curves,0)))</f>
        <v>#N/A</v>
      </c>
      <c r="AB100" s="185" t="e">
        <f aca="false">SQRT((AA100^2*(A100-$D$3)+Z100^2*(DAY(EOMONTH(A100,0))/2))/AK100)</f>
        <v>#N/A</v>
      </c>
      <c r="AC100" s="185" t="e">
        <f aca="false">IF($A101="","",VLOOKUP($A100,Table,MATCH(AC$4,Curves,0)))</f>
        <v>#N/A</v>
      </c>
      <c r="AD100" s="185" t="e">
        <f aca="false">IF($A101="","",VLOOKUP($A100,Table,MATCH(AD$4,Curves,0)))</f>
        <v>#N/A</v>
      </c>
      <c r="AE100" s="185" t="e">
        <f aca="false">SQRT((AD100^2*(A100-$D$3)+AC100^2*(DAY(EOMONTH(A100,0))/2))/AK100)</f>
        <v>#N/A</v>
      </c>
      <c r="AF100" s="224" t="e">
        <f aca="false">((Summary!$N$10*(AA100*AD100)*(A100-$D$3))+(Summary!$M$10*Z100*AC100*(AJ100-EOMONTH(EDATE(A100,-1),0))))/(AK100*AB100*AE100)</f>
        <v>#N/A</v>
      </c>
      <c r="AG100" s="207" t="n">
        <f aca="false">IF($A101="","",Summary!$Q$10)</f>
        <v>0</v>
      </c>
      <c r="AH100" s="207" t="n">
        <f aca="false">IF($A101="","",IF(Summary!$R$10="Y",(VLOOKUP($A100,Summary!$AD$6:$AF$9,3)+'Escalating commodity'!F113),'Escalating commodity'!F113))</f>
        <v>0.0158208</v>
      </c>
      <c r="AI100" s="207" t="n">
        <f aca="false">IF($A101="","",AH100)</f>
        <v>0.0158208</v>
      </c>
      <c r="AJ100" s="208" t="n">
        <f aca="false">A100+DAY(EOMONTH(A100,0))/2-1</f>
        <v>39797.5</v>
      </c>
      <c r="AK100" s="209" t="n">
        <f aca="false">IF($A101="","",$A100-$E$1)</f>
        <v>-6143</v>
      </c>
      <c r="AL100" s="182" t="e">
        <f aca="false">IF($A101="","",SPRDOPT(P100,X100,AI100,0,AB100,AE100,AF100,AK100,$AJ$2,0))</f>
        <v>#NAME?</v>
      </c>
      <c r="AM100" s="211" t="e">
        <f aca="false">IF($A101="","",MAX(0,O100-W100-AI100))</f>
        <v>#N/A</v>
      </c>
      <c r="AN100" s="211" t="e">
        <f aca="false">IF($A101="","",AL100-AM100)</f>
        <v>#N/A</v>
      </c>
      <c r="AO100" s="137" t="n">
        <f aca="false">IF(A101="","",A101-A100)</f>
        <v>31</v>
      </c>
      <c r="AP100" s="212" t="n">
        <f aca="false">IF(A101="","",CHOOSE(F$3,A101+24,A100))</f>
        <v>39783</v>
      </c>
      <c r="AQ100" s="209" t="n">
        <f aca="false">IF(A101="","",AP100-$E$1)</f>
        <v>-6143</v>
      </c>
      <c r="AR100" s="185" t="n">
        <f aca="false">'ANR OK vs ML7'!AR100</f>
        <v>0.1</v>
      </c>
      <c r="AS100" s="213" t="n">
        <f aca="false">IF(A101="","",1/(1+CHOOSE(F$3,(AR101+($I$3/10000))/2,(AR100+($I$3/10000))/2))^(2*AQ100/365.25))</f>
        <v>5.16118501227306</v>
      </c>
      <c r="AT100" s="137" t="n">
        <f aca="false">IF(A101="","",IF(AND(mthbeg&lt;=A100,mthend&gt;=A100),1,0))</f>
        <v>1</v>
      </c>
      <c r="AU100" s="137" t="n">
        <f aca="false">IF(A101="","",AO100*AT100)</f>
        <v>31</v>
      </c>
      <c r="AW100" s="195" t="e">
        <f aca="false">IF($A101="","",AL100*$E100)</f>
        <v>#NAME?</v>
      </c>
      <c r="AX100" s="195" t="e">
        <f aca="false">IF($A101="","",AM100*$E100)</f>
        <v>#N/A</v>
      </c>
      <c r="AY100" s="195" t="e">
        <f aca="false">IF($A101="","",AN100*$E100)</f>
        <v>#N/A</v>
      </c>
      <c r="BA100" s="195" t="n">
        <f aca="false">IF($A101="","",F100*Summary!$Q$10)</f>
        <v>0</v>
      </c>
      <c r="BC100" s="179" t="e">
        <f aca="false">IF(A101="","",AM100*F100)</f>
        <v>#N/A</v>
      </c>
    </row>
    <row r="101" customFormat="false" ht="12.75" hidden="false" customHeight="false" outlineLevel="0" collapsed="false">
      <c r="A101" s="196" t="n">
        <f aca="false">IF(A100&lt;mthend,EDATE(A100,1),"")</f>
        <v>39814</v>
      </c>
      <c r="B101" s="197" t="n">
        <f aca="false">IF(A101&lt;mthend,B100,"")</f>
        <v>119740</v>
      </c>
      <c r="C101" s="215"/>
      <c r="D101" s="197" t="n">
        <f aca="false">IF(A102&lt;&gt;"",B101+C101,"")</f>
        <v>119740</v>
      </c>
      <c r="E101" s="199" t="n">
        <f aca="false">IF(A102="","",IF(AND(AT101=1,$H$3=1),D101*AO101,IF($H$3=2,D101,"N/A")))</f>
        <v>3711940</v>
      </c>
      <c r="F101" s="199" t="n">
        <f aca="false">IF(A102="","",E101*AS101)</f>
        <v>18999998.2284574</v>
      </c>
      <c r="G101" s="200" t="e">
        <f aca="false">IF($A102="","",VLOOKUP($A101,Table,MATCH(G$4,Curves,0)))</f>
        <v>#N/A</v>
      </c>
      <c r="H101" s="201" t="e">
        <f aca="false">IF(A102="","",G101)</f>
        <v>#N/A</v>
      </c>
      <c r="I101" s="202"/>
      <c r="J101" s="200" t="e">
        <f aca="false">IF($A102="","",VLOOKUP($A101,Table,MATCH(J$4,Curves,0)))</f>
        <v>#N/A</v>
      </c>
      <c r="K101" s="201" t="e">
        <f aca="false">IF(A102="","",J101)</f>
        <v>#N/A</v>
      </c>
      <c r="L101" s="185" t="n">
        <v>0</v>
      </c>
      <c r="M101" s="201" t="n">
        <f aca="false">IF(A102="","",L101)</f>
        <v>0</v>
      </c>
      <c r="N101" s="203"/>
      <c r="O101" s="200" t="e">
        <f aca="false">IF(A102="","",L101+J101+G101)</f>
        <v>#N/A</v>
      </c>
      <c r="P101" s="200" t="e">
        <f aca="false">IF(A102="","",M101+K101+H101)</f>
        <v>#N/A</v>
      </c>
      <c r="Q101" s="204"/>
      <c r="R101" s="200" t="e">
        <f aca="false">IF($A102="","",VLOOKUP($A101,Table,MATCH(R$4,Curves,0)))</f>
        <v>#N/A</v>
      </c>
      <c r="S101" s="201" t="e">
        <f aca="false">IF(A102="","",R101)</f>
        <v>#N/A</v>
      </c>
      <c r="T101" s="200" t="e">
        <f aca="false">IF($A102="","",VLOOKUP($A101,Table,MATCH(T$4,Curves,0)))</f>
        <v>#N/A</v>
      </c>
      <c r="U101" s="201" t="e">
        <f aca="false">IF(A102="","",T101)</f>
        <v>#N/A</v>
      </c>
      <c r="V101" s="205" t="e">
        <f aca="false">IF($A102="","",IF(AND(MONTH(A101)&gt;3,MONTH(A101)&lt;11),(T101+R101+G101)*Summary!$T$10/(1-Summary!$T$10),(T101+R101+G101)*Summary!$U$10/(1-Summary!$U$10)))</f>
        <v>#N/A</v>
      </c>
      <c r="W101" s="200" t="e">
        <f aca="false">IF($A102="","",(T101+R101+G101+V101))</f>
        <v>#N/A</v>
      </c>
      <c r="X101" s="200" t="e">
        <f aca="false">IF($A102="","",(U101+S101+H101+V101))</f>
        <v>#N/A</v>
      </c>
      <c r="Y101" s="202"/>
      <c r="Z101" s="185" t="e">
        <f aca="false">IF($A102="","",VLOOKUP($A101,Table,MATCH(Z$4,Curves,0)))</f>
        <v>#N/A</v>
      </c>
      <c r="AA101" s="185" t="e">
        <f aca="false">IF($A102="","",VLOOKUP($A101,Table,MATCH(AA$4,Curves,0)))</f>
        <v>#N/A</v>
      </c>
      <c r="AB101" s="185" t="e">
        <f aca="false">SQRT((AA101^2*(A101-$D$3)+Z101^2*(DAY(EOMONTH(A101,0))/2))/AK101)</f>
        <v>#N/A</v>
      </c>
      <c r="AC101" s="185" t="e">
        <f aca="false">IF($A102="","",VLOOKUP($A101,Table,MATCH(AC$4,Curves,0)))</f>
        <v>#N/A</v>
      </c>
      <c r="AD101" s="185" t="e">
        <f aca="false">IF($A102="","",VLOOKUP($A101,Table,MATCH(AD$4,Curves,0)))</f>
        <v>#N/A</v>
      </c>
      <c r="AE101" s="185" t="e">
        <f aca="false">SQRT((AD101^2*(A101-$D$3)+AC101^2*(DAY(EOMONTH(A101,0))/2))/AK101)</f>
        <v>#N/A</v>
      </c>
      <c r="AF101" s="224" t="e">
        <f aca="false">((Summary!$N$10*(AA101*AD101)*(A101-$D$3))+(Summary!$M$10*Z101*AC101*(AJ101-EOMONTH(EDATE(A101,-1),0))))/(AK101*AB101*AE101)</f>
        <v>#N/A</v>
      </c>
      <c r="AG101" s="207" t="n">
        <f aca="false">IF($A102="","",Summary!$Q$10)</f>
        <v>0</v>
      </c>
      <c r="AH101" s="207" t="n">
        <f aca="false">IF($A102="","",IF(Summary!$R$10="Y",(VLOOKUP($A101,Summary!$AD$6:$AF$9,3)+'Escalating commodity'!F114),'Escalating commodity'!F114))</f>
        <v>0.0158208</v>
      </c>
      <c r="AI101" s="207" t="n">
        <f aca="false">IF($A102="","",AH101)</f>
        <v>0.0158208</v>
      </c>
      <c r="AJ101" s="208" t="n">
        <f aca="false">A101+DAY(EOMONTH(A101,0))/2-1</f>
        <v>39828.5</v>
      </c>
      <c r="AK101" s="209" t="n">
        <f aca="false">IF($A102="","",$A101-$E$1)</f>
        <v>-6112</v>
      </c>
      <c r="AL101" s="182" t="e">
        <f aca="false">IF($A102="","",SPRDOPT(P101,X101,AI101,0,AB101,AE101,AF101,AK101,$AJ$2,0))</f>
        <v>#NAME?</v>
      </c>
      <c r="AM101" s="211" t="e">
        <f aca="false">IF($A102="","",MAX(0,O101-W101-AI101))</f>
        <v>#N/A</v>
      </c>
      <c r="AN101" s="211" t="e">
        <f aca="false">IF($A102="","",AL101-AM101)</f>
        <v>#N/A</v>
      </c>
      <c r="AO101" s="137" t="n">
        <f aca="false">IF(A102="","",A102-A101)</f>
        <v>31</v>
      </c>
      <c r="AP101" s="212" t="n">
        <f aca="false">IF(A102="","",CHOOSE(F$3,A102+24,A101))</f>
        <v>39814</v>
      </c>
      <c r="AQ101" s="209" t="n">
        <f aca="false">IF(A102="","",AP101-$E$1)</f>
        <v>-6112</v>
      </c>
      <c r="AR101" s="185" t="n">
        <f aca="false">'ANR OK vs ML7'!AR101</f>
        <v>0.1</v>
      </c>
      <c r="AS101" s="213" t="n">
        <f aca="false">IF(A102="","",1/(1+CHOOSE(F$3,(AR102+($I$3/10000))/2,(AR101+($I$3/10000))/2))^(2*AQ101/365.25))</f>
        <v>5.11861674177315</v>
      </c>
      <c r="AT101" s="137" t="n">
        <f aca="false">IF(A102="","",IF(AND(mthbeg&lt;=A101,mthend&gt;=A101),1,0))</f>
        <v>1</v>
      </c>
      <c r="AU101" s="137" t="n">
        <f aca="false">IF(A102="","",AO101*AT101)</f>
        <v>31</v>
      </c>
      <c r="AW101" s="195" t="e">
        <f aca="false">IF($A102="","",AL101*$E101)</f>
        <v>#NAME?</v>
      </c>
      <c r="AX101" s="195" t="e">
        <f aca="false">IF($A102="","",AM101*$E101)</f>
        <v>#N/A</v>
      </c>
      <c r="AY101" s="195" t="e">
        <f aca="false">IF($A102="","",AN101*$E101)</f>
        <v>#N/A</v>
      </c>
      <c r="BA101" s="195" t="n">
        <f aca="false">IF($A102="","",F101*Summary!$Q$10)</f>
        <v>0</v>
      </c>
      <c r="BC101" s="179" t="e">
        <f aca="false">IF(A102="","",AM101*F101)</f>
        <v>#N/A</v>
      </c>
    </row>
    <row r="102" customFormat="false" ht="12.75" hidden="false" customHeight="false" outlineLevel="0" collapsed="false">
      <c r="A102" s="196" t="n">
        <f aca="false">IF(A101&lt;mthend,EDATE(A101,1),"")</f>
        <v>39845</v>
      </c>
      <c r="B102" s="197" t="n">
        <f aca="false">IF(A102&lt;mthend,B101,"")</f>
        <v>119740</v>
      </c>
      <c r="C102" s="215"/>
      <c r="D102" s="197" t="n">
        <f aca="false">IF(A103&lt;&gt;"",B102+C102,"")</f>
        <v>119740</v>
      </c>
      <c r="E102" s="199" t="n">
        <f aca="false">IF(A103="","",IF(AND(AT102=1,$H$3=1),D102*AO102,IF($H$3=2,D102,"N/A")))</f>
        <v>3352720</v>
      </c>
      <c r="F102" s="199" t="n">
        <f aca="false">IF(A103="","",E102*AS102)</f>
        <v>17019746.34825</v>
      </c>
      <c r="G102" s="200" t="e">
        <f aca="false">IF($A103="","",VLOOKUP($A102,Table,MATCH(G$4,Curves,0)))</f>
        <v>#N/A</v>
      </c>
      <c r="H102" s="201" t="e">
        <f aca="false">IF(A103="","",G102)</f>
        <v>#N/A</v>
      </c>
      <c r="I102" s="202"/>
      <c r="J102" s="200" t="e">
        <f aca="false">IF($A103="","",VLOOKUP($A102,Table,MATCH(J$4,Curves,0)))</f>
        <v>#N/A</v>
      </c>
      <c r="K102" s="201" t="e">
        <f aca="false">IF(A103="","",J102)</f>
        <v>#N/A</v>
      </c>
      <c r="L102" s="185" t="n">
        <v>0</v>
      </c>
      <c r="M102" s="201" t="n">
        <f aca="false">IF(A103="","",L102)</f>
        <v>0</v>
      </c>
      <c r="N102" s="203"/>
      <c r="O102" s="200" t="e">
        <f aca="false">IF(A103="","",L102+J102+G102)</f>
        <v>#N/A</v>
      </c>
      <c r="P102" s="200" t="e">
        <f aca="false">IF(A103="","",M102+K102+H102)</f>
        <v>#N/A</v>
      </c>
      <c r="Q102" s="204"/>
      <c r="R102" s="200" t="e">
        <f aca="false">IF($A103="","",VLOOKUP($A102,Table,MATCH(R$4,Curves,0)))</f>
        <v>#N/A</v>
      </c>
      <c r="S102" s="201" t="e">
        <f aca="false">IF(A103="","",R102)</f>
        <v>#N/A</v>
      </c>
      <c r="T102" s="200" t="e">
        <f aca="false">IF($A103="","",VLOOKUP($A102,Table,MATCH(T$4,Curves,0)))</f>
        <v>#N/A</v>
      </c>
      <c r="U102" s="201" t="e">
        <f aca="false">IF(A103="","",T102)</f>
        <v>#N/A</v>
      </c>
      <c r="V102" s="205" t="e">
        <f aca="false">IF($A103="","",IF(AND(MONTH(A102)&gt;3,MONTH(A102)&lt;11),(T102+R102+G102)*Summary!$T$10/(1-Summary!$T$10),(T102+R102+G102)*Summary!$U$10/(1-Summary!$U$10)))</f>
        <v>#N/A</v>
      </c>
      <c r="W102" s="200" t="e">
        <f aca="false">IF($A103="","",(T102+R102+G102+V102))</f>
        <v>#N/A</v>
      </c>
      <c r="X102" s="200" t="e">
        <f aca="false">IF($A103="","",(U102+S102+H102+V102))</f>
        <v>#N/A</v>
      </c>
      <c r="Y102" s="202"/>
      <c r="Z102" s="185" t="e">
        <f aca="false">IF($A103="","",VLOOKUP($A102,Table,MATCH(Z$4,Curves,0)))</f>
        <v>#N/A</v>
      </c>
      <c r="AA102" s="185" t="e">
        <f aca="false">IF($A103="","",VLOOKUP($A102,Table,MATCH(AA$4,Curves,0)))</f>
        <v>#N/A</v>
      </c>
      <c r="AB102" s="185" t="e">
        <f aca="false">SQRT((AA102^2*(A102-$D$3)+Z102^2*(DAY(EOMONTH(A102,0))/2))/AK102)</f>
        <v>#N/A</v>
      </c>
      <c r="AC102" s="185" t="e">
        <f aca="false">IF($A103="","",VLOOKUP($A102,Table,MATCH(AC$4,Curves,0)))</f>
        <v>#N/A</v>
      </c>
      <c r="AD102" s="185" t="e">
        <f aca="false">IF($A103="","",VLOOKUP($A102,Table,MATCH(AD$4,Curves,0)))</f>
        <v>#N/A</v>
      </c>
      <c r="AE102" s="185" t="e">
        <f aca="false">SQRT((AD102^2*(A102-$D$3)+AC102^2*(DAY(EOMONTH(A102,0))/2))/AK102)</f>
        <v>#N/A</v>
      </c>
      <c r="AF102" s="224" t="e">
        <f aca="false">((Summary!$N$10*(AA102*AD102)*(A102-$D$3))+(Summary!$M$10*Z102*AC102*(AJ102-EOMONTH(EDATE(A102,-1),0))))/(AK102*AB102*AE102)</f>
        <v>#N/A</v>
      </c>
      <c r="AG102" s="207" t="n">
        <f aca="false">IF($A103="","",Summary!$Q$10)</f>
        <v>0</v>
      </c>
      <c r="AH102" s="207" t="n">
        <f aca="false">IF($A103="","",IF(Summary!$R$10="Y",(VLOOKUP($A102,Summary!$AD$6:$AF$9,3)+'Escalating commodity'!F115),'Escalating commodity'!F115))</f>
        <v>0.0158208</v>
      </c>
      <c r="AI102" s="207" t="n">
        <f aca="false">IF($A103="","",AH102)</f>
        <v>0.0158208</v>
      </c>
      <c r="AJ102" s="208" t="n">
        <f aca="false">A102+DAY(EOMONTH(A102,0))/2-1</f>
        <v>39858</v>
      </c>
      <c r="AK102" s="209" t="n">
        <f aca="false">IF($A103="","",$A102-$E$1)</f>
        <v>-6081</v>
      </c>
      <c r="AL102" s="182" t="e">
        <f aca="false">IF($A103="","",SPRDOPT(P102,X102,AI102,0,AB102,AE102,AF102,AK102,$AJ$2,0))</f>
        <v>#NAME?</v>
      </c>
      <c r="AM102" s="211" t="e">
        <f aca="false">IF($A103="","",MAX(0,O102-W102-AI102))</f>
        <v>#N/A</v>
      </c>
      <c r="AN102" s="211" t="e">
        <f aca="false">IF($A103="","",AL102-AM102)</f>
        <v>#N/A</v>
      </c>
      <c r="AO102" s="137" t="n">
        <f aca="false">IF(A103="","",A103-A102)</f>
        <v>28</v>
      </c>
      <c r="AP102" s="212" t="n">
        <f aca="false">IF(A103="","",CHOOSE(F$3,A103+24,A102))</f>
        <v>39845</v>
      </c>
      <c r="AQ102" s="209" t="n">
        <f aca="false">IF(A103="","",AP102-$E$1)</f>
        <v>-6081</v>
      </c>
      <c r="AR102" s="185" t="n">
        <f aca="false">'ANR OK vs ML7'!AR102</f>
        <v>0.1</v>
      </c>
      <c r="AS102" s="213" t="n">
        <f aca="false">IF(A103="","",1/(1+CHOOSE(F$3,(AR103+($I$3/10000))/2,(AR102+($I$3/10000))/2))^(2*AQ102/365.25))</f>
        <v>5.07639956460724</v>
      </c>
      <c r="AT102" s="137" t="n">
        <f aca="false">IF(A103="","",IF(AND(mthbeg&lt;=A102,mthend&gt;=A102),1,0))</f>
        <v>1</v>
      </c>
      <c r="AU102" s="137" t="n">
        <f aca="false">IF(A103="","",AO102*AT102)</f>
        <v>28</v>
      </c>
      <c r="AW102" s="195" t="e">
        <f aca="false">IF($A103="","",AL102*$E102)</f>
        <v>#NAME?</v>
      </c>
      <c r="AX102" s="195" t="e">
        <f aca="false">IF($A103="","",AM102*$E102)</f>
        <v>#N/A</v>
      </c>
      <c r="AY102" s="195" t="e">
        <f aca="false">IF($A103="","",AN102*$E102)</f>
        <v>#N/A</v>
      </c>
      <c r="BA102" s="195" t="n">
        <f aca="false">IF($A103="","",F102*Summary!$Q$10)</f>
        <v>0</v>
      </c>
      <c r="BC102" s="179" t="e">
        <f aca="false">IF(A103="","",AM102*F102)</f>
        <v>#N/A</v>
      </c>
    </row>
    <row r="103" customFormat="false" ht="12.75" hidden="false" customHeight="false" outlineLevel="0" collapsed="false">
      <c r="A103" s="196" t="n">
        <f aca="false">IF(A102&lt;mthend,EDATE(A102,1),"")</f>
        <v>39873</v>
      </c>
      <c r="B103" s="197" t="n">
        <f aca="false">IF(A103&lt;mthend,B102,"")</f>
        <v>119740</v>
      </c>
      <c r="C103" s="215"/>
      <c r="D103" s="197" t="n">
        <f aca="false">IF(A104&lt;&gt;"",B103+C103,"")</f>
        <v>119740</v>
      </c>
      <c r="E103" s="199" t="n">
        <f aca="false">IF(A104="","",IF(AND(AT103=1,$H$3=1),D103*AO103,IF($H$3=2,D103,"N/A")))</f>
        <v>3711940</v>
      </c>
      <c r="F103" s="199" t="n">
        <f aca="false">IF(A104="","",E103*AS103)</f>
        <v>18702859.4433717</v>
      </c>
      <c r="G103" s="200" t="e">
        <f aca="false">IF($A104="","",VLOOKUP($A103,Table,MATCH(G$4,Curves,0)))</f>
        <v>#N/A</v>
      </c>
      <c r="H103" s="201" t="e">
        <f aca="false">IF(A104="","",G103)</f>
        <v>#N/A</v>
      </c>
      <c r="I103" s="202"/>
      <c r="J103" s="200" t="e">
        <f aca="false">IF($A104="","",VLOOKUP($A103,Table,MATCH(J$4,Curves,0)))</f>
        <v>#N/A</v>
      </c>
      <c r="K103" s="201" t="e">
        <f aca="false">IF(A104="","",J103)</f>
        <v>#N/A</v>
      </c>
      <c r="L103" s="185" t="n">
        <v>0</v>
      </c>
      <c r="M103" s="201" t="n">
        <f aca="false">IF(A104="","",L103)</f>
        <v>0</v>
      </c>
      <c r="N103" s="203"/>
      <c r="O103" s="200" t="e">
        <f aca="false">IF(A104="","",L103+J103+G103)</f>
        <v>#N/A</v>
      </c>
      <c r="P103" s="200" t="e">
        <f aca="false">IF(A104="","",M103+K103+H103)</f>
        <v>#N/A</v>
      </c>
      <c r="Q103" s="204"/>
      <c r="R103" s="200" t="e">
        <f aca="false">IF($A104="","",VLOOKUP($A103,Table,MATCH(R$4,Curves,0)))</f>
        <v>#N/A</v>
      </c>
      <c r="S103" s="201" t="e">
        <f aca="false">IF(A104="","",R103)</f>
        <v>#N/A</v>
      </c>
      <c r="T103" s="200" t="e">
        <f aca="false">IF($A104="","",VLOOKUP($A103,Table,MATCH(T$4,Curves,0)))</f>
        <v>#N/A</v>
      </c>
      <c r="U103" s="201" t="e">
        <f aca="false">IF(A104="","",T103)</f>
        <v>#N/A</v>
      </c>
      <c r="V103" s="205" t="e">
        <f aca="false">IF($A104="","",IF(AND(MONTH(A103)&gt;3,MONTH(A103)&lt;11),(T103+R103+G103)*Summary!$T$10/(1-Summary!$T$10),(T103+R103+G103)*Summary!$U$10/(1-Summary!$U$10)))</f>
        <v>#N/A</v>
      </c>
      <c r="W103" s="200" t="e">
        <f aca="false">IF($A104="","",(T103+R103+G103+V103))</f>
        <v>#N/A</v>
      </c>
      <c r="X103" s="200" t="e">
        <f aca="false">IF($A104="","",(U103+S103+H103+V103))</f>
        <v>#N/A</v>
      </c>
      <c r="Y103" s="202"/>
      <c r="Z103" s="185" t="e">
        <f aca="false">IF($A104="","",VLOOKUP($A103,Table,MATCH(Z$4,Curves,0)))</f>
        <v>#N/A</v>
      </c>
      <c r="AA103" s="185" t="e">
        <f aca="false">IF($A104="","",VLOOKUP($A103,Table,MATCH(AA$4,Curves,0)))</f>
        <v>#N/A</v>
      </c>
      <c r="AB103" s="185" t="e">
        <f aca="false">SQRT((AA103^2*(A103-$D$3)+Z103^2*(DAY(EOMONTH(A103,0))/2))/AK103)</f>
        <v>#N/A</v>
      </c>
      <c r="AC103" s="185" t="e">
        <f aca="false">IF($A104="","",VLOOKUP($A103,Table,MATCH(AC$4,Curves,0)))</f>
        <v>#N/A</v>
      </c>
      <c r="AD103" s="185" t="e">
        <f aca="false">IF($A104="","",VLOOKUP($A103,Table,MATCH(AD$4,Curves,0)))</f>
        <v>#N/A</v>
      </c>
      <c r="AE103" s="185" t="e">
        <f aca="false">SQRT((AD103^2*(A103-$D$3)+AC103^2*(DAY(EOMONTH(A103,0))/2))/AK103)</f>
        <v>#N/A</v>
      </c>
      <c r="AF103" s="224" t="e">
        <f aca="false">((Summary!$N$10*(AA103*AD103)*(A103-$D$3))+(Summary!$M$10*Z103*AC103*(AJ103-EOMONTH(EDATE(A103,-1),0))))/(AK103*AB103*AE103)</f>
        <v>#N/A</v>
      </c>
      <c r="AG103" s="207" t="n">
        <f aca="false">IF($A104="","",Summary!$Q$10)</f>
        <v>0</v>
      </c>
      <c r="AH103" s="207" t="n">
        <f aca="false">IF($A104="","",IF(Summary!$R$10="Y",(VLOOKUP($A103,Summary!$AD$6:$AF$9,3)+'Escalating commodity'!F116),'Escalating commodity'!F116))</f>
        <v>0.0158208</v>
      </c>
      <c r="AI103" s="207" t="n">
        <f aca="false">IF($A104="","",AH103)</f>
        <v>0.0158208</v>
      </c>
      <c r="AJ103" s="208" t="n">
        <f aca="false">A103+DAY(EOMONTH(A103,0))/2-1</f>
        <v>39887.5</v>
      </c>
      <c r="AK103" s="209" t="n">
        <f aca="false">IF($A104="","",$A103-$E$1)</f>
        <v>-6053</v>
      </c>
      <c r="AL103" s="182" t="e">
        <f aca="false">IF($A104="","",SPRDOPT(P103,X103,AI103,0,AB103,AE103,AF103,AK103,$AJ$2,0))</f>
        <v>#NAME?</v>
      </c>
      <c r="AM103" s="211" t="e">
        <f aca="false">IF($A104="","",MAX(0,O103-W103-AI103))</f>
        <v>#N/A</v>
      </c>
      <c r="AN103" s="211" t="e">
        <f aca="false">IF($A104="","",AL103-AM103)</f>
        <v>#N/A</v>
      </c>
      <c r="AO103" s="137" t="n">
        <f aca="false">IF(A104="","",A104-A103)</f>
        <v>31</v>
      </c>
      <c r="AP103" s="212" t="n">
        <f aca="false">IF(A104="","",CHOOSE(F$3,A104+24,A103))</f>
        <v>39873</v>
      </c>
      <c r="AQ103" s="209" t="n">
        <f aca="false">IF(A104="","",AP103-$E$1)</f>
        <v>-6053</v>
      </c>
      <c r="AR103" s="185" t="n">
        <f aca="false">'ANR OK vs ML7'!AR103</f>
        <v>0.1</v>
      </c>
      <c r="AS103" s="213" t="n">
        <f aca="false">IF(A104="","",1/(1+CHOOSE(F$3,(AR104+($I$3/10000))/2,(AR103+($I$3/10000))/2))^(2*AQ103/365.25))</f>
        <v>5.03856728378468</v>
      </c>
      <c r="AT103" s="137" t="n">
        <f aca="false">IF(A104="","",IF(AND(mthbeg&lt;=A103,mthend&gt;=A103),1,0))</f>
        <v>1</v>
      </c>
      <c r="AU103" s="137" t="n">
        <f aca="false">IF(A104="","",AO103*AT103)</f>
        <v>31</v>
      </c>
      <c r="AW103" s="195" t="e">
        <f aca="false">IF($A104="","",AL103*$E103)</f>
        <v>#NAME?</v>
      </c>
      <c r="AX103" s="195" t="e">
        <f aca="false">IF($A104="","",AM103*$E103)</f>
        <v>#N/A</v>
      </c>
      <c r="AY103" s="195" t="e">
        <f aca="false">IF($A104="","",AN103*$E103)</f>
        <v>#N/A</v>
      </c>
      <c r="BA103" s="195" t="n">
        <f aca="false">IF($A104="","",F103*Summary!$Q$10)</f>
        <v>0</v>
      </c>
      <c r="BC103" s="179" t="e">
        <f aca="false">IF(A104="","",AM103*F103)</f>
        <v>#N/A</v>
      </c>
    </row>
    <row r="104" customFormat="false" ht="12.75" hidden="false" customHeight="false" outlineLevel="0" collapsed="false">
      <c r="A104" s="196" t="n">
        <f aca="false">IF(A103&lt;mthend,EDATE(A103,1),"")</f>
        <v>39904</v>
      </c>
      <c r="B104" s="197" t="n">
        <f aca="false">IF(A104&lt;mthend,B103,"")</f>
        <v>119740</v>
      </c>
      <c r="C104" s="215"/>
      <c r="D104" s="197" t="n">
        <f aca="false">IF(A105&lt;&gt;"",B104+C104,"")</f>
        <v>119740</v>
      </c>
      <c r="E104" s="199" t="n">
        <f aca="false">IF(A105="","",IF(AND(AT104=1,$H$3=1),D104*AO104,IF($H$3=2,D104,"N/A")))</f>
        <v>3592200</v>
      </c>
      <c r="F104" s="199" t="n">
        <f aca="false">IF(A105="","",E104*AS104)</f>
        <v>17950260.529671</v>
      </c>
      <c r="G104" s="200" t="e">
        <f aca="false">IF($A105="","",VLOOKUP($A104,Table,MATCH(G$4,Curves,0)))</f>
        <v>#N/A</v>
      </c>
      <c r="H104" s="201" t="e">
        <f aca="false">IF(A105="","",G104)</f>
        <v>#N/A</v>
      </c>
      <c r="I104" s="202"/>
      <c r="J104" s="200" t="e">
        <f aca="false">IF($A105="","",VLOOKUP($A104,Table,MATCH(J$4,Curves,0)))</f>
        <v>#N/A</v>
      </c>
      <c r="K104" s="201" t="e">
        <f aca="false">IF(A105="","",J104)</f>
        <v>#N/A</v>
      </c>
      <c r="L104" s="185" t="n">
        <v>0</v>
      </c>
      <c r="M104" s="201" t="n">
        <f aca="false">IF(A105="","",L104)</f>
        <v>0</v>
      </c>
      <c r="N104" s="203"/>
      <c r="O104" s="200" t="e">
        <f aca="false">IF(A105="","",L104+J104+G104)</f>
        <v>#N/A</v>
      </c>
      <c r="P104" s="200" t="e">
        <f aca="false">IF(A105="","",M104+K104+H104)</f>
        <v>#N/A</v>
      </c>
      <c r="Q104" s="204"/>
      <c r="R104" s="200" t="e">
        <f aca="false">IF($A105="","",VLOOKUP($A104,Table,MATCH(R$4,Curves,0)))</f>
        <v>#N/A</v>
      </c>
      <c r="S104" s="201" t="e">
        <f aca="false">IF(A105="","",R104)</f>
        <v>#N/A</v>
      </c>
      <c r="T104" s="200" t="e">
        <f aca="false">IF($A105="","",VLOOKUP($A104,Table,MATCH(T$4,Curves,0)))</f>
        <v>#N/A</v>
      </c>
      <c r="U104" s="201" t="e">
        <f aca="false">IF(A105="","",T104)</f>
        <v>#N/A</v>
      </c>
      <c r="V104" s="205" t="e">
        <f aca="false">IF($A105="","",IF(AND(MONTH(A104)&gt;3,MONTH(A104)&lt;11),(T104+R104+G104)*Summary!$T$10/(1-Summary!$T$10),(T104+R104+G104)*Summary!$U$10/(1-Summary!$U$10)))</f>
        <v>#N/A</v>
      </c>
      <c r="W104" s="200" t="e">
        <f aca="false">IF($A105="","",(T104+R104+G104+V104))</f>
        <v>#N/A</v>
      </c>
      <c r="X104" s="200" t="e">
        <f aca="false">IF($A105="","",(U104+S104+H104+V104))</f>
        <v>#N/A</v>
      </c>
      <c r="Y104" s="202"/>
      <c r="Z104" s="185" t="e">
        <f aca="false">IF($A105="","",VLOOKUP($A104,Table,MATCH(Z$4,Curves,0)))</f>
        <v>#N/A</v>
      </c>
      <c r="AA104" s="185" t="e">
        <f aca="false">IF($A105="","",VLOOKUP($A104,Table,MATCH(AA$4,Curves,0)))</f>
        <v>#N/A</v>
      </c>
      <c r="AB104" s="185" t="e">
        <f aca="false">SQRT((AA104^2*(A104-$D$3)+Z104^2*(DAY(EOMONTH(A104,0))/2))/AK104)</f>
        <v>#N/A</v>
      </c>
      <c r="AC104" s="185" t="e">
        <f aca="false">IF($A105="","",VLOOKUP($A104,Table,MATCH(AC$4,Curves,0)))</f>
        <v>#N/A</v>
      </c>
      <c r="AD104" s="185" t="e">
        <f aca="false">IF($A105="","",VLOOKUP($A104,Table,MATCH(AD$4,Curves,0)))</f>
        <v>#N/A</v>
      </c>
      <c r="AE104" s="185" t="e">
        <f aca="false">SQRT((AD104^2*(A104-$D$3)+AC104^2*(DAY(EOMONTH(A104,0))/2))/AK104)</f>
        <v>#N/A</v>
      </c>
      <c r="AF104" s="224" t="e">
        <f aca="false">((Summary!$N$10*(AA104*AD104)*(A104-$D$3))+(Summary!$M$10*Z104*AC104*(AJ104-EOMONTH(EDATE(A104,-1),0))))/(AK104*AB104*AE104)</f>
        <v>#N/A</v>
      </c>
      <c r="AG104" s="207" t="n">
        <f aca="false">IF($A105="","",Summary!$Q$10)</f>
        <v>0</v>
      </c>
      <c r="AH104" s="207" t="n">
        <f aca="false">IF($A105="","",IF(Summary!$R$10="Y",(VLOOKUP($A104,Summary!$AD$6:$AF$9,3)+'Escalating commodity'!F117),'Escalating commodity'!F117))</f>
        <v>0.0158208</v>
      </c>
      <c r="AI104" s="207" t="n">
        <f aca="false">IF($A105="","",AH104)</f>
        <v>0.0158208</v>
      </c>
      <c r="AJ104" s="208" t="n">
        <f aca="false">A104+DAY(EOMONTH(A104,0))/2-1</f>
        <v>39918</v>
      </c>
      <c r="AK104" s="209" t="n">
        <f aca="false">IF($A105="","",$A104-$E$1)</f>
        <v>-6022</v>
      </c>
      <c r="AL104" s="182" t="e">
        <f aca="false">IF($A105="","",SPRDOPT(P104,X104,AI104,0,AB104,AE104,AF104,AK104,$AJ$2,0))</f>
        <v>#NAME?</v>
      </c>
      <c r="AM104" s="211" t="e">
        <f aca="false">IF($A105="","",MAX(0,O104-W104-AI104))</f>
        <v>#N/A</v>
      </c>
      <c r="AN104" s="211" t="e">
        <f aca="false">IF($A105="","",AL104-AM104)</f>
        <v>#N/A</v>
      </c>
      <c r="AO104" s="137" t="n">
        <f aca="false">IF(A105="","",A105-A104)</f>
        <v>30</v>
      </c>
      <c r="AP104" s="212" t="n">
        <f aca="false">IF(A105="","",CHOOSE(F$3,A105+24,A104))</f>
        <v>39904</v>
      </c>
      <c r="AQ104" s="209" t="n">
        <f aca="false">IF(A105="","",AP104-$E$1)</f>
        <v>-6022</v>
      </c>
      <c r="AR104" s="185" t="n">
        <f aca="false">'ANR OK vs ML7'!AR104</f>
        <v>0.1</v>
      </c>
      <c r="AS104" s="213" t="n">
        <f aca="false">IF(A105="","",1/(1+CHOOSE(F$3,(AR105+($I$3/10000))/2,(AR104+($I$3/10000))/2))^(2*AQ104/365.25))</f>
        <v>4.99701033619258</v>
      </c>
      <c r="AT104" s="137" t="n">
        <f aca="false">IF(A105="","",IF(AND(mthbeg&lt;=A104,mthend&gt;=A104),1,0))</f>
        <v>1</v>
      </c>
      <c r="AU104" s="137" t="n">
        <f aca="false">IF(A105="","",AO104*AT104)</f>
        <v>30</v>
      </c>
      <c r="AW104" s="195" t="e">
        <f aca="false">IF($A105="","",AL104*$E104)</f>
        <v>#NAME?</v>
      </c>
      <c r="AX104" s="195" t="e">
        <f aca="false">IF($A105="","",AM104*$E104)</f>
        <v>#N/A</v>
      </c>
      <c r="AY104" s="195" t="e">
        <f aca="false">IF($A105="","",AN104*$E104)</f>
        <v>#N/A</v>
      </c>
      <c r="BA104" s="195" t="n">
        <f aca="false">IF($A105="","",F104*Summary!$Q$10)</f>
        <v>0</v>
      </c>
      <c r="BC104" s="179" t="e">
        <f aca="false">IF(A105="","",AM104*F104)</f>
        <v>#N/A</v>
      </c>
    </row>
    <row r="105" customFormat="false" ht="12.75" hidden="false" customHeight="false" outlineLevel="0" collapsed="false">
      <c r="A105" s="196" t="n">
        <f aca="false">IF(A104&lt;mthend,EDATE(A104,1),"")</f>
        <v>39934</v>
      </c>
      <c r="B105" s="197" t="n">
        <f aca="false">IF(A105&lt;mthend,B104,"")</f>
        <v>119740</v>
      </c>
      <c r="C105" s="215"/>
      <c r="D105" s="197" t="n">
        <f aca="false">IF(A106&lt;&gt;"",B105+C105,"")</f>
        <v>119740</v>
      </c>
      <c r="E105" s="199" t="n">
        <f aca="false">IF(A106="","",IF(AND(AT105=1,$H$3=1),D105*AO105,IF($H$3=2,D105,"N/A")))</f>
        <v>3711940</v>
      </c>
      <c r="F105" s="199" t="n">
        <f aca="false">IF(A106="","",E105*AS105)</f>
        <v>18400533.1635902</v>
      </c>
      <c r="G105" s="200" t="e">
        <f aca="false">IF($A106="","",VLOOKUP($A105,Table,MATCH(G$4,Curves,0)))</f>
        <v>#N/A</v>
      </c>
      <c r="H105" s="201" t="e">
        <f aca="false">IF(A106="","",G105)</f>
        <v>#N/A</v>
      </c>
      <c r="I105" s="202"/>
      <c r="J105" s="200" t="e">
        <f aca="false">IF($A106="","",VLOOKUP($A105,Table,MATCH(J$4,Curves,0)))</f>
        <v>#N/A</v>
      </c>
      <c r="K105" s="201" t="e">
        <f aca="false">IF(A106="","",J105)</f>
        <v>#N/A</v>
      </c>
      <c r="L105" s="185" t="n">
        <v>0</v>
      </c>
      <c r="M105" s="201" t="n">
        <f aca="false">IF(A106="","",L105)</f>
        <v>0</v>
      </c>
      <c r="N105" s="203"/>
      <c r="O105" s="200" t="e">
        <f aca="false">IF(A106="","",L105+J105+G105)</f>
        <v>#N/A</v>
      </c>
      <c r="P105" s="200" t="e">
        <f aca="false">IF(A106="","",M105+K105+H105)</f>
        <v>#N/A</v>
      </c>
      <c r="Q105" s="204"/>
      <c r="R105" s="200" t="e">
        <f aca="false">IF($A106="","",VLOOKUP($A105,Table,MATCH(R$4,Curves,0)))</f>
        <v>#N/A</v>
      </c>
      <c r="S105" s="201" t="e">
        <f aca="false">IF(A106="","",R105)</f>
        <v>#N/A</v>
      </c>
      <c r="T105" s="200" t="e">
        <f aca="false">IF($A106="","",VLOOKUP($A105,Table,MATCH(T$4,Curves,0)))</f>
        <v>#N/A</v>
      </c>
      <c r="U105" s="201" t="e">
        <f aca="false">IF(A106="","",T105)</f>
        <v>#N/A</v>
      </c>
      <c r="V105" s="205" t="e">
        <f aca="false">IF($A106="","",IF(AND(MONTH(A105)&gt;3,MONTH(A105)&lt;11),(T105+R105+G105)*Summary!$T$10/(1-Summary!$T$10),(T105+R105+G105)*Summary!$U$10/(1-Summary!$U$10)))</f>
        <v>#N/A</v>
      </c>
      <c r="W105" s="200" t="e">
        <f aca="false">IF($A106="","",(T105+R105+G105+V105))</f>
        <v>#N/A</v>
      </c>
      <c r="X105" s="200" t="e">
        <f aca="false">IF($A106="","",(U105+S105+H105+V105))</f>
        <v>#N/A</v>
      </c>
      <c r="Y105" s="202"/>
      <c r="Z105" s="185" t="e">
        <f aca="false">IF($A106="","",VLOOKUP($A105,Table,MATCH(Z$4,Curves,0)))</f>
        <v>#N/A</v>
      </c>
      <c r="AA105" s="185" t="e">
        <f aca="false">IF($A106="","",VLOOKUP($A105,Table,MATCH(AA$4,Curves,0)))</f>
        <v>#N/A</v>
      </c>
      <c r="AB105" s="185" t="e">
        <f aca="false">SQRT((AA105^2*(A105-$D$3)+Z105^2*(DAY(EOMONTH(A105,0))/2))/AK105)</f>
        <v>#N/A</v>
      </c>
      <c r="AC105" s="185" t="e">
        <f aca="false">IF($A106="","",VLOOKUP($A105,Table,MATCH(AC$4,Curves,0)))</f>
        <v>#N/A</v>
      </c>
      <c r="AD105" s="185" t="e">
        <f aca="false">IF($A106="","",VLOOKUP($A105,Table,MATCH(AD$4,Curves,0)))</f>
        <v>#N/A</v>
      </c>
      <c r="AE105" s="185" t="e">
        <f aca="false">SQRT((AD105^2*(A105-$D$3)+AC105^2*(DAY(EOMONTH(A105,0))/2))/AK105)</f>
        <v>#N/A</v>
      </c>
      <c r="AF105" s="224" t="e">
        <f aca="false">((Summary!$N$10*(AA105*AD105)*(A105-$D$3))+(Summary!$M$10*Z105*AC105*(AJ105-EOMONTH(EDATE(A105,-1),0))))/(AK105*AB105*AE105)</f>
        <v>#N/A</v>
      </c>
      <c r="AG105" s="207" t="n">
        <f aca="false">IF($A106="","",Summary!$Q$10)</f>
        <v>0</v>
      </c>
      <c r="AH105" s="207" t="n">
        <f aca="false">IF($A106="","",IF(Summary!$R$10="Y",(VLOOKUP($A105,Summary!$AD$6:$AF$9,3)+'Escalating commodity'!F118),'Escalating commodity'!F118))</f>
        <v>0.0158208</v>
      </c>
      <c r="AI105" s="207" t="n">
        <f aca="false">IF($A106="","",AH105)</f>
        <v>0.0158208</v>
      </c>
      <c r="AJ105" s="208" t="n">
        <f aca="false">A105+DAY(EOMONTH(A105,0))/2-1</f>
        <v>39948.5</v>
      </c>
      <c r="AK105" s="209" t="n">
        <f aca="false">IF($A106="","",$A105-$E$1)</f>
        <v>-5992</v>
      </c>
      <c r="AL105" s="182" t="e">
        <f aca="false">IF($A106="","",SPRDOPT(P105,X105,AI105,0,AB105,AE105,AF105,AK105,$AJ$2,0))</f>
        <v>#NAME?</v>
      </c>
      <c r="AM105" s="211" t="e">
        <f aca="false">IF($A106="","",MAX(0,O105-W105-AI105))</f>
        <v>#N/A</v>
      </c>
      <c r="AN105" s="211" t="e">
        <f aca="false">IF($A106="","",AL105-AM105)</f>
        <v>#N/A</v>
      </c>
      <c r="AO105" s="137" t="n">
        <f aca="false">IF(A106="","",A106-A105)</f>
        <v>31</v>
      </c>
      <c r="AP105" s="212" t="n">
        <f aca="false">IF(A106="","",CHOOSE(F$3,A106+24,A105))</f>
        <v>39934</v>
      </c>
      <c r="AQ105" s="209" t="n">
        <f aca="false">IF(A106="","",AP105-$E$1)</f>
        <v>-5992</v>
      </c>
      <c r="AR105" s="185" t="n">
        <f aca="false">'ANR OK vs ML7'!AR105</f>
        <v>0.1</v>
      </c>
      <c r="AS105" s="213" t="n">
        <f aca="false">IF(A106="","",1/(1+CHOOSE(F$3,(AR106+($I$3/10000))/2,(AR105+($I$3/10000))/2))^(2*AQ105/365.25))</f>
        <v>4.95712031002393</v>
      </c>
      <c r="AT105" s="137" t="n">
        <f aca="false">IF(A106="","",IF(AND(mthbeg&lt;=A105,mthend&gt;=A105),1,0))</f>
        <v>1</v>
      </c>
      <c r="AU105" s="137" t="n">
        <f aca="false">IF(A106="","",AO105*AT105)</f>
        <v>31</v>
      </c>
      <c r="AW105" s="195" t="e">
        <f aca="false">IF($A106="","",AL105*$E105)</f>
        <v>#NAME?</v>
      </c>
      <c r="AX105" s="195" t="e">
        <f aca="false">IF($A106="","",AM105*$E105)</f>
        <v>#N/A</v>
      </c>
      <c r="AY105" s="195" t="e">
        <f aca="false">IF($A106="","",AN105*$E105)</f>
        <v>#N/A</v>
      </c>
      <c r="BA105" s="195" t="n">
        <f aca="false">IF($A106="","",F105*Summary!$Q$10)</f>
        <v>0</v>
      </c>
      <c r="BC105" s="179" t="e">
        <f aca="false">IF(A106="","",AM105*F105)</f>
        <v>#N/A</v>
      </c>
    </row>
    <row r="106" customFormat="false" ht="12.75" hidden="false" customHeight="false" outlineLevel="0" collapsed="false">
      <c r="A106" s="196" t="n">
        <f aca="false">IF(A105&lt;mthend,EDATE(A105,1),"")</f>
        <v>39965</v>
      </c>
      <c r="B106" s="197" t="n">
        <f aca="false">IF(A106&lt;mthend,B105,"")</f>
        <v>119740</v>
      </c>
      <c r="C106" s="215"/>
      <c r="D106" s="197" t="n">
        <f aca="false">IF(A107&lt;&gt;"",B106+C106,"")</f>
        <v>119740</v>
      </c>
      <c r="E106" s="199" t="n">
        <f aca="false">IF(A107="","",IF(AND(AT106=1,$H$3=1),D106*AO106,IF($H$3=2,D106,"N/A")))</f>
        <v>3592200</v>
      </c>
      <c r="F106" s="199" t="n">
        <f aca="false">IF(A107="","",E106*AS106)</f>
        <v>17660099.7922995</v>
      </c>
      <c r="G106" s="200" t="e">
        <f aca="false">IF($A107="","",VLOOKUP($A106,Table,MATCH(G$4,Curves,0)))</f>
        <v>#N/A</v>
      </c>
      <c r="H106" s="201" t="e">
        <f aca="false">IF(A107="","",G106)</f>
        <v>#N/A</v>
      </c>
      <c r="I106" s="202"/>
      <c r="J106" s="200" t="e">
        <f aca="false">IF($A107="","",VLOOKUP($A106,Table,MATCH(J$4,Curves,0)))</f>
        <v>#N/A</v>
      </c>
      <c r="K106" s="201" t="e">
        <f aca="false">IF(A107="","",J106)</f>
        <v>#N/A</v>
      </c>
      <c r="L106" s="185" t="n">
        <v>0</v>
      </c>
      <c r="M106" s="201" t="n">
        <f aca="false">IF(A107="","",L106)</f>
        <v>0</v>
      </c>
      <c r="N106" s="203"/>
      <c r="O106" s="200" t="e">
        <f aca="false">IF(A107="","",L106+J106+G106)</f>
        <v>#N/A</v>
      </c>
      <c r="P106" s="200" t="e">
        <f aca="false">IF(A107="","",M106+K106+H106)</f>
        <v>#N/A</v>
      </c>
      <c r="Q106" s="204"/>
      <c r="R106" s="200" t="e">
        <f aca="false">IF($A107="","",VLOOKUP($A106,Table,MATCH(R$4,Curves,0)))</f>
        <v>#N/A</v>
      </c>
      <c r="S106" s="201" t="e">
        <f aca="false">IF(A107="","",R106)</f>
        <v>#N/A</v>
      </c>
      <c r="T106" s="200" t="e">
        <f aca="false">IF($A107="","",VLOOKUP($A106,Table,MATCH(T$4,Curves,0)))</f>
        <v>#N/A</v>
      </c>
      <c r="U106" s="201" t="e">
        <f aca="false">IF(A107="","",T106)</f>
        <v>#N/A</v>
      </c>
      <c r="V106" s="205" t="e">
        <f aca="false">IF($A107="","",IF(AND(MONTH(A106)&gt;3,MONTH(A106)&lt;11),(T106+R106+G106)*Summary!$T$10/(1-Summary!$T$10),(T106+R106+G106)*Summary!$U$10/(1-Summary!$U$10)))</f>
        <v>#N/A</v>
      </c>
      <c r="W106" s="200" t="e">
        <f aca="false">IF($A107="","",(T106+R106+G106+V106))</f>
        <v>#N/A</v>
      </c>
      <c r="X106" s="200" t="e">
        <f aca="false">IF($A107="","",(U106+S106+H106+V106))</f>
        <v>#N/A</v>
      </c>
      <c r="Y106" s="202"/>
      <c r="Z106" s="185" t="e">
        <f aca="false">IF($A107="","",VLOOKUP($A106,Table,MATCH(Z$4,Curves,0)))</f>
        <v>#N/A</v>
      </c>
      <c r="AA106" s="185" t="e">
        <f aca="false">IF($A107="","",VLOOKUP($A106,Table,MATCH(AA$4,Curves,0)))</f>
        <v>#N/A</v>
      </c>
      <c r="AB106" s="185" t="e">
        <f aca="false">SQRT((AA106^2*(A106-$D$3)+Z106^2*(DAY(EOMONTH(A106,0))/2))/AK106)</f>
        <v>#N/A</v>
      </c>
      <c r="AC106" s="185" t="e">
        <f aca="false">IF($A107="","",VLOOKUP($A106,Table,MATCH(AC$4,Curves,0)))</f>
        <v>#N/A</v>
      </c>
      <c r="AD106" s="185" t="e">
        <f aca="false">IF($A107="","",VLOOKUP($A106,Table,MATCH(AD$4,Curves,0)))</f>
        <v>#N/A</v>
      </c>
      <c r="AE106" s="185" t="e">
        <f aca="false">SQRT((AD106^2*(A106-$D$3)+AC106^2*(DAY(EOMONTH(A106,0))/2))/AK106)</f>
        <v>#N/A</v>
      </c>
      <c r="AF106" s="224" t="e">
        <f aca="false">((Summary!$N$10*(AA106*AD106)*(A106-$D$3))+(Summary!$M$10*Z106*AC106*(AJ106-EOMONTH(EDATE(A106,-1),0))))/(AK106*AB106*AE106)</f>
        <v>#N/A</v>
      </c>
      <c r="AG106" s="207" t="n">
        <f aca="false">IF($A107="","",Summary!$Q$10)</f>
        <v>0</v>
      </c>
      <c r="AH106" s="207" t="n">
        <f aca="false">IF($A107="","",IF(Summary!$R$10="Y",(VLOOKUP($A106,Summary!$AD$6:$AF$9,3)+'Escalating commodity'!F119),'Escalating commodity'!F119))</f>
        <v>0.0158208</v>
      </c>
      <c r="AI106" s="207" t="n">
        <f aca="false">IF($A107="","",AH106)</f>
        <v>0.0158208</v>
      </c>
      <c r="AJ106" s="208" t="n">
        <f aca="false">A106+DAY(EOMONTH(A106,0))/2-1</f>
        <v>39979</v>
      </c>
      <c r="AK106" s="209" t="n">
        <f aca="false">IF($A107="","",$A106-$E$1)</f>
        <v>-5961</v>
      </c>
      <c r="AL106" s="182" t="e">
        <f aca="false">IF($A107="","",SPRDOPT(P106,X106,AI106,0,AB106,AE106,AF106,AK106,$AJ$2,0))</f>
        <v>#NAME?</v>
      </c>
      <c r="AM106" s="211" t="e">
        <f aca="false">IF($A107="","",MAX(0,O106-W106-AI106))</f>
        <v>#N/A</v>
      </c>
      <c r="AN106" s="211" t="e">
        <f aca="false">IF($A107="","",AL106-AM106)</f>
        <v>#N/A</v>
      </c>
      <c r="AO106" s="137" t="n">
        <f aca="false">IF(A107="","",A107-A106)</f>
        <v>30</v>
      </c>
      <c r="AP106" s="212" t="n">
        <f aca="false">IF(A107="","",CHOOSE(F$3,A107+24,A106))</f>
        <v>39965</v>
      </c>
      <c r="AQ106" s="209" t="n">
        <f aca="false">IF(A107="","",AP106-$E$1)</f>
        <v>-5961</v>
      </c>
      <c r="AR106" s="185" t="n">
        <f aca="false">'ANR OK vs ML7'!AR106</f>
        <v>0.1</v>
      </c>
      <c r="AS106" s="213" t="n">
        <f aca="false">IF(A107="","",1/(1+CHOOSE(F$3,(AR107+($I$3/10000))/2,(AR106+($I$3/10000))/2))^(2*AQ106/365.25))</f>
        <v>4.91623511839528</v>
      </c>
      <c r="AT106" s="137" t="n">
        <f aca="false">IF(A107="","",IF(AND(mthbeg&lt;=A106,mthend&gt;=A106),1,0))</f>
        <v>1</v>
      </c>
      <c r="AU106" s="137" t="n">
        <f aca="false">IF(A107="","",AO106*AT106)</f>
        <v>30</v>
      </c>
      <c r="AW106" s="195" t="e">
        <f aca="false">IF($A107="","",AL106*$E106)</f>
        <v>#NAME?</v>
      </c>
      <c r="AX106" s="195" t="e">
        <f aca="false">IF($A107="","",AM106*$E106)</f>
        <v>#N/A</v>
      </c>
      <c r="AY106" s="195" t="e">
        <f aca="false">IF($A107="","",AN106*$E106)</f>
        <v>#N/A</v>
      </c>
      <c r="BA106" s="195" t="n">
        <f aca="false">IF($A107="","",F106*Summary!$Q$10)</f>
        <v>0</v>
      </c>
      <c r="BC106" s="179" t="e">
        <f aca="false">IF(A107="","",AM106*F106)</f>
        <v>#N/A</v>
      </c>
    </row>
    <row r="107" customFormat="false" ht="12.75" hidden="false" customHeight="false" outlineLevel="0" collapsed="false">
      <c r="A107" s="196" t="n">
        <f aca="false">IF(A106&lt;mthend,EDATE(A106,1),"")</f>
        <v>39995</v>
      </c>
      <c r="B107" s="197" t="n">
        <f aca="false">IF(A107&lt;mthend,B106,"")</f>
        <v>119740</v>
      </c>
      <c r="C107" s="215"/>
      <c r="D107" s="197" t="n">
        <f aca="false">IF(A108&lt;&gt;"",B107+C107,"")</f>
        <v>119740</v>
      </c>
      <c r="E107" s="199" t="n">
        <f aca="false">IF(A108="","",IF(AND(AT107=1,$H$3=1),D107*AO107,IF($H$3=2,D107,"N/A")))</f>
        <v>3711940</v>
      </c>
      <c r="F107" s="199" t="n">
        <f aca="false">IF(A108="","",E107*AS107)</f>
        <v>18103093.900135</v>
      </c>
      <c r="G107" s="200" t="e">
        <f aca="false">IF($A108="","",VLOOKUP($A107,Table,MATCH(G$4,Curves,0)))</f>
        <v>#N/A</v>
      </c>
      <c r="H107" s="201" t="e">
        <f aca="false">IF(A108="","",G107)</f>
        <v>#N/A</v>
      </c>
      <c r="I107" s="202"/>
      <c r="J107" s="200" t="e">
        <f aca="false">IF($A108="","",VLOOKUP($A107,Table,MATCH(J$4,Curves,0)))</f>
        <v>#N/A</v>
      </c>
      <c r="K107" s="201" t="e">
        <f aca="false">IF(A108="","",J107)</f>
        <v>#N/A</v>
      </c>
      <c r="L107" s="185" t="n">
        <v>0</v>
      </c>
      <c r="M107" s="201" t="n">
        <f aca="false">IF(A108="","",L107)</f>
        <v>0</v>
      </c>
      <c r="N107" s="203"/>
      <c r="O107" s="200" t="e">
        <f aca="false">IF(A108="","",L107+J107+G107)</f>
        <v>#N/A</v>
      </c>
      <c r="P107" s="200" t="e">
        <f aca="false">IF(A108="","",M107+K107+H107)</f>
        <v>#N/A</v>
      </c>
      <c r="Q107" s="204"/>
      <c r="R107" s="200" t="e">
        <f aca="false">IF($A108="","",VLOOKUP($A107,Table,MATCH(R$4,Curves,0)))</f>
        <v>#N/A</v>
      </c>
      <c r="S107" s="201" t="e">
        <f aca="false">IF(A108="","",R107)</f>
        <v>#N/A</v>
      </c>
      <c r="T107" s="200" t="e">
        <f aca="false">IF($A108="","",VLOOKUP($A107,Table,MATCH(T$4,Curves,0)))</f>
        <v>#N/A</v>
      </c>
      <c r="U107" s="201" t="e">
        <f aca="false">IF(A108="","",T107)</f>
        <v>#N/A</v>
      </c>
      <c r="V107" s="205" t="e">
        <f aca="false">IF($A108="","",IF(AND(MONTH(A107)&gt;3,MONTH(A107)&lt;11),(T107+R107+G107)*Summary!$T$10/(1-Summary!$T$10),(T107+R107+G107)*Summary!$U$10/(1-Summary!$U$10)))</f>
        <v>#N/A</v>
      </c>
      <c r="W107" s="200" t="e">
        <f aca="false">IF($A108="","",(T107+R107+G107+V107))</f>
        <v>#N/A</v>
      </c>
      <c r="X107" s="200" t="e">
        <f aca="false">IF($A108="","",(U107+S107+H107+V107))</f>
        <v>#N/A</v>
      </c>
      <c r="Y107" s="202"/>
      <c r="Z107" s="185" t="e">
        <f aca="false">IF($A108="","",VLOOKUP($A107,Table,MATCH(Z$4,Curves,0)))</f>
        <v>#N/A</v>
      </c>
      <c r="AA107" s="185" t="e">
        <f aca="false">IF($A108="","",VLOOKUP($A107,Table,MATCH(AA$4,Curves,0)))</f>
        <v>#N/A</v>
      </c>
      <c r="AB107" s="185" t="e">
        <f aca="false">SQRT((AA107^2*(A107-$D$3)+Z107^2*(DAY(EOMONTH(A107,0))/2))/AK107)</f>
        <v>#N/A</v>
      </c>
      <c r="AC107" s="185" t="e">
        <f aca="false">IF($A108="","",VLOOKUP($A107,Table,MATCH(AC$4,Curves,0)))</f>
        <v>#N/A</v>
      </c>
      <c r="AD107" s="185" t="e">
        <f aca="false">IF($A108="","",VLOOKUP($A107,Table,MATCH(AD$4,Curves,0)))</f>
        <v>#N/A</v>
      </c>
      <c r="AE107" s="185" t="e">
        <f aca="false">SQRT((AD107^2*(A107-$D$3)+AC107^2*(DAY(EOMONTH(A107,0))/2))/AK107)</f>
        <v>#N/A</v>
      </c>
      <c r="AF107" s="224" t="e">
        <f aca="false">((Summary!$N$10*(AA107*AD107)*(A107-$D$3))+(Summary!$M$10*Z107*AC107*(AJ107-EOMONTH(EDATE(A107,-1),0))))/(AK107*AB107*AE107)</f>
        <v>#N/A</v>
      </c>
      <c r="AG107" s="207" t="n">
        <f aca="false">IF($A108="","",Summary!$Q$10)</f>
        <v>0</v>
      </c>
      <c r="AH107" s="207" t="n">
        <f aca="false">IF($A108="","",IF(Summary!$R$10="Y",(VLOOKUP($A107,Summary!$AD$6:$AF$9,3)+'Escalating commodity'!F120),'Escalating commodity'!F120))</f>
        <v>0.0158208</v>
      </c>
      <c r="AI107" s="207" t="n">
        <f aca="false">IF($A108="","",AH107)</f>
        <v>0.0158208</v>
      </c>
      <c r="AJ107" s="208" t="n">
        <f aca="false">A107+DAY(EOMONTH(A107,0))/2-1</f>
        <v>40009.5</v>
      </c>
      <c r="AK107" s="209" t="n">
        <f aca="false">IF($A108="","",$A107-$E$1)</f>
        <v>-5931</v>
      </c>
      <c r="AL107" s="182" t="e">
        <f aca="false">IF($A108="","",SPRDOPT(P107,X107,AI107,0,AB107,AE107,AF107,AK107,$AJ$2,0))</f>
        <v>#NAME?</v>
      </c>
      <c r="AM107" s="211" t="e">
        <f aca="false">IF($A108="","",MAX(0,O107-W107-AI107))</f>
        <v>#N/A</v>
      </c>
      <c r="AN107" s="211" t="e">
        <f aca="false">IF($A108="","",AL107-AM107)</f>
        <v>#N/A</v>
      </c>
      <c r="AO107" s="137" t="n">
        <f aca="false">IF(A108="","",A108-A107)</f>
        <v>31</v>
      </c>
      <c r="AP107" s="212" t="n">
        <f aca="false">IF(A108="","",CHOOSE(F$3,A108+24,A107))</f>
        <v>39995</v>
      </c>
      <c r="AQ107" s="209" t="n">
        <f aca="false">IF(A108="","",AP107-$E$1)</f>
        <v>-5931</v>
      </c>
      <c r="AR107" s="185" t="n">
        <f aca="false">'ANR OK vs ML7'!AR107</f>
        <v>0.1</v>
      </c>
      <c r="AS107" s="213" t="n">
        <f aca="false">IF(A108="","",1/(1+CHOOSE(F$3,(AR108+($I$3/10000))/2,(AR107+($I$3/10000))/2))^(2*AQ107/365.25))</f>
        <v>4.87698990289039</v>
      </c>
      <c r="AT107" s="137" t="n">
        <f aca="false">IF(A108="","",IF(AND(mthbeg&lt;=A107,mthend&gt;=A107),1,0))</f>
        <v>1</v>
      </c>
      <c r="AU107" s="137" t="n">
        <f aca="false">IF(A108="","",AO107*AT107)</f>
        <v>31</v>
      </c>
      <c r="AW107" s="195" t="e">
        <f aca="false">IF($A108="","",AL107*$E107)</f>
        <v>#NAME?</v>
      </c>
      <c r="AX107" s="195" t="e">
        <f aca="false">IF($A108="","",AM107*$E107)</f>
        <v>#N/A</v>
      </c>
      <c r="AY107" s="195" t="e">
        <f aca="false">IF($A108="","",AN107*$E107)</f>
        <v>#N/A</v>
      </c>
      <c r="BA107" s="195" t="n">
        <f aca="false">IF($A108="","",F107*Summary!$Q$10)</f>
        <v>0</v>
      </c>
      <c r="BC107" s="179" t="e">
        <f aca="false">IF(A108="","",AM107*F107)</f>
        <v>#N/A</v>
      </c>
    </row>
    <row r="108" customFormat="false" ht="12.75" hidden="false" customHeight="false" outlineLevel="0" collapsed="false">
      <c r="A108" s="196" t="n">
        <f aca="false">IF(A107&lt;mthend,EDATE(A107,1),"")</f>
        <v>40026</v>
      </c>
      <c r="B108" s="197" t="n">
        <f aca="false">IF(A108&lt;mthend,B107,"")</f>
        <v>119740</v>
      </c>
      <c r="C108" s="215"/>
      <c r="D108" s="197" t="n">
        <f aca="false">IF(A109&lt;&gt;"",B108+C108,"")</f>
        <v>119740</v>
      </c>
      <c r="E108" s="199" t="n">
        <f aca="false">IF(A109="","",IF(AND(AT108=1,$H$3=1),D108*AO108,IF($H$3=2,D108,"N/A")))</f>
        <v>3711940</v>
      </c>
      <c r="F108" s="199" t="n">
        <f aca="false">IF(A109="","",E108*AS108)</f>
        <v>17953783.7327618</v>
      </c>
      <c r="G108" s="200" t="e">
        <f aca="false">IF($A109="","",VLOOKUP($A108,Table,MATCH(G$4,Curves,0)))</f>
        <v>#N/A</v>
      </c>
      <c r="H108" s="201" t="e">
        <f aca="false">IF(A109="","",G108)</f>
        <v>#N/A</v>
      </c>
      <c r="I108" s="202"/>
      <c r="J108" s="200" t="e">
        <f aca="false">IF($A109="","",VLOOKUP($A108,Table,MATCH(J$4,Curves,0)))</f>
        <v>#N/A</v>
      </c>
      <c r="K108" s="201" t="e">
        <f aca="false">IF(A109="","",J108)</f>
        <v>#N/A</v>
      </c>
      <c r="L108" s="185" t="n">
        <v>0</v>
      </c>
      <c r="M108" s="201" t="n">
        <f aca="false">IF(A109="","",L108)</f>
        <v>0</v>
      </c>
      <c r="N108" s="203"/>
      <c r="O108" s="200" t="e">
        <f aca="false">IF(A109="","",L108+J108+G108)</f>
        <v>#N/A</v>
      </c>
      <c r="P108" s="200" t="e">
        <f aca="false">IF(A109="","",M108+K108+H108)</f>
        <v>#N/A</v>
      </c>
      <c r="Q108" s="204"/>
      <c r="R108" s="200" t="e">
        <f aca="false">IF($A109="","",VLOOKUP($A108,Table,MATCH(R$4,Curves,0)))</f>
        <v>#N/A</v>
      </c>
      <c r="S108" s="201" t="e">
        <f aca="false">IF(A109="","",R108)</f>
        <v>#N/A</v>
      </c>
      <c r="T108" s="200" t="e">
        <f aca="false">IF($A109="","",VLOOKUP($A108,Table,MATCH(T$4,Curves,0)))</f>
        <v>#N/A</v>
      </c>
      <c r="U108" s="201" t="e">
        <f aca="false">IF(A109="","",T108)</f>
        <v>#N/A</v>
      </c>
      <c r="V108" s="205" t="e">
        <f aca="false">IF($A109="","",IF(AND(MONTH(A108)&gt;3,MONTH(A108)&lt;11),(T108+R108+G108)*Summary!$T$10/(1-Summary!$T$10),(T108+R108+G108)*Summary!$U$10/(1-Summary!$U$10)))</f>
        <v>#N/A</v>
      </c>
      <c r="W108" s="200" t="e">
        <f aca="false">IF($A109="","",(T108+R108+G108+V108))</f>
        <v>#N/A</v>
      </c>
      <c r="X108" s="200" t="e">
        <f aca="false">IF($A109="","",(U108+S108+H108+V108))</f>
        <v>#N/A</v>
      </c>
      <c r="Y108" s="202"/>
      <c r="Z108" s="185" t="e">
        <f aca="false">IF($A109="","",VLOOKUP($A108,Table,MATCH(Z$4,Curves,0)))</f>
        <v>#N/A</v>
      </c>
      <c r="AA108" s="185" t="e">
        <f aca="false">IF($A109="","",VLOOKUP($A108,Table,MATCH(AA$4,Curves,0)))</f>
        <v>#N/A</v>
      </c>
      <c r="AB108" s="185" t="e">
        <f aca="false">SQRT((AA108^2*(A108-$D$3)+Z108^2*(DAY(EOMONTH(A108,0))/2))/AK108)</f>
        <v>#N/A</v>
      </c>
      <c r="AC108" s="185" t="e">
        <f aca="false">IF($A109="","",VLOOKUP($A108,Table,MATCH(AC$4,Curves,0)))</f>
        <v>#N/A</v>
      </c>
      <c r="AD108" s="185" t="e">
        <f aca="false">IF($A109="","",VLOOKUP($A108,Table,MATCH(AD$4,Curves,0)))</f>
        <v>#N/A</v>
      </c>
      <c r="AE108" s="185" t="e">
        <f aca="false">SQRT((AD108^2*(A108-$D$3)+AC108^2*(DAY(EOMONTH(A108,0))/2))/AK108)</f>
        <v>#N/A</v>
      </c>
      <c r="AF108" s="224" t="e">
        <f aca="false">((Summary!$N$10*(AA108*AD108)*(A108-$D$3))+(Summary!$M$10*Z108*AC108*(AJ108-EOMONTH(EDATE(A108,-1),0))))/(AK108*AB108*AE108)</f>
        <v>#N/A</v>
      </c>
      <c r="AG108" s="207" t="n">
        <f aca="false">IF($A109="","",Summary!$Q$10)</f>
        <v>0</v>
      </c>
      <c r="AH108" s="207" t="n">
        <f aca="false">IF($A109="","",IF(Summary!$R$10="Y",(VLOOKUP($A108,Summary!$AD$6:$AF$9,3)+'Escalating commodity'!F121),'Escalating commodity'!F121))</f>
        <v>0.0158208</v>
      </c>
      <c r="AI108" s="207" t="n">
        <f aca="false">IF($A109="","",AH108)</f>
        <v>0.0158208</v>
      </c>
      <c r="AJ108" s="208" t="n">
        <f aca="false">A108+DAY(EOMONTH(A108,0))/2-1</f>
        <v>40040.5</v>
      </c>
      <c r="AK108" s="209" t="n">
        <f aca="false">IF($A109="","",$A108-$E$1)</f>
        <v>-5900</v>
      </c>
      <c r="AL108" s="182" t="e">
        <f aca="false">IF($A109="","",SPRDOPT(P108,X108,AI108,0,AB108,AE108,AF108,AK108,$AJ$2,0))</f>
        <v>#NAME?</v>
      </c>
      <c r="AM108" s="211" t="e">
        <f aca="false">IF($A109="","",MAX(0,O108-W108-AI108))</f>
        <v>#N/A</v>
      </c>
      <c r="AN108" s="211" t="e">
        <f aca="false">IF($A109="","",AL108-AM108)</f>
        <v>#N/A</v>
      </c>
      <c r="AO108" s="137" t="n">
        <f aca="false">IF(A109="","",A109-A108)</f>
        <v>31</v>
      </c>
      <c r="AP108" s="212" t="n">
        <f aca="false">IF(A109="","",CHOOSE(F$3,A109+24,A108))</f>
        <v>40026</v>
      </c>
      <c r="AQ108" s="209" t="n">
        <f aca="false">IF(A109="","",AP108-$E$1)</f>
        <v>-5900</v>
      </c>
      <c r="AR108" s="185" t="n">
        <f aca="false">'ANR OK vs ML7'!AR108</f>
        <v>0.1</v>
      </c>
      <c r="AS108" s="213" t="n">
        <f aca="false">IF(A109="","",1/(1+CHOOSE(F$3,(AR109+($I$3/10000))/2,(AR108+($I$3/10000))/2))^(2*AQ108/365.25))</f>
        <v>4.83676560848554</v>
      </c>
      <c r="AT108" s="137" t="n">
        <f aca="false">IF(A109="","",IF(AND(mthbeg&lt;=A108,mthend&gt;=A108),1,0))</f>
        <v>1</v>
      </c>
      <c r="AU108" s="137" t="n">
        <f aca="false">IF(A109="","",AO108*AT108)</f>
        <v>31</v>
      </c>
      <c r="AW108" s="195" t="e">
        <f aca="false">IF($A109="","",AL108*$E108)</f>
        <v>#NAME?</v>
      </c>
      <c r="AX108" s="195" t="e">
        <f aca="false">IF($A109="","",AM108*$E108)</f>
        <v>#N/A</v>
      </c>
      <c r="AY108" s="195" t="e">
        <f aca="false">IF($A109="","",AN108*$E108)</f>
        <v>#N/A</v>
      </c>
      <c r="BA108" s="195" t="n">
        <f aca="false">IF($A109="","",F108*Summary!$Q$10)</f>
        <v>0</v>
      </c>
      <c r="BC108" s="179" t="e">
        <f aca="false">IF(A109="","",AM108*F108)</f>
        <v>#N/A</v>
      </c>
    </row>
    <row r="109" customFormat="false" ht="12.75" hidden="false" customHeight="false" outlineLevel="0" collapsed="false">
      <c r="A109" s="196" t="n">
        <f aca="false">IF(A108&lt;mthend,EDATE(A108,1),"")</f>
        <v>40057</v>
      </c>
      <c r="B109" s="197" t="n">
        <f aca="false">IF(A109&lt;mthend,B108,"")</f>
        <v>119740</v>
      </c>
      <c r="C109" s="215"/>
      <c r="D109" s="197" t="n">
        <f aca="false">IF(A110&lt;&gt;"",B109+C109,"")</f>
        <v>119740</v>
      </c>
      <c r="E109" s="199" t="n">
        <f aca="false">IF(A110="","",IF(AND(AT109=1,$H$3=1),D109*AO109,IF($H$3=2,D109,"N/A")))</f>
        <v>3592200</v>
      </c>
      <c r="F109" s="199" t="n">
        <f aca="false">IF(A110="","",E109*AS109)</f>
        <v>17231327.4594307</v>
      </c>
      <c r="G109" s="200" t="e">
        <f aca="false">IF($A110="","",VLOOKUP($A109,Table,MATCH(G$4,Curves,0)))</f>
        <v>#N/A</v>
      </c>
      <c r="H109" s="201" t="e">
        <f aca="false">IF(A110="","",G109)</f>
        <v>#N/A</v>
      </c>
      <c r="I109" s="202"/>
      <c r="J109" s="200" t="e">
        <f aca="false">IF($A110="","",VLOOKUP($A109,Table,MATCH(J$4,Curves,0)))</f>
        <v>#N/A</v>
      </c>
      <c r="K109" s="201" t="e">
        <f aca="false">IF(A110="","",J109)</f>
        <v>#N/A</v>
      </c>
      <c r="L109" s="185" t="n">
        <v>0</v>
      </c>
      <c r="M109" s="201" t="n">
        <f aca="false">IF(A110="","",L109)</f>
        <v>0</v>
      </c>
      <c r="N109" s="203"/>
      <c r="O109" s="200" t="e">
        <f aca="false">IF(A110="","",L109+J109+G109)</f>
        <v>#N/A</v>
      </c>
      <c r="P109" s="200" t="e">
        <f aca="false">IF(A110="","",M109+K109+H109)</f>
        <v>#N/A</v>
      </c>
      <c r="Q109" s="204"/>
      <c r="R109" s="200" t="e">
        <f aca="false">IF($A110="","",VLOOKUP($A109,Table,MATCH(R$4,Curves,0)))</f>
        <v>#N/A</v>
      </c>
      <c r="S109" s="201" t="e">
        <f aca="false">IF(A110="","",R109)</f>
        <v>#N/A</v>
      </c>
      <c r="T109" s="200" t="e">
        <f aca="false">IF($A110="","",VLOOKUP($A109,Table,MATCH(T$4,Curves,0)))</f>
        <v>#N/A</v>
      </c>
      <c r="U109" s="201" t="e">
        <f aca="false">IF(A110="","",T109)</f>
        <v>#N/A</v>
      </c>
      <c r="V109" s="205" t="e">
        <f aca="false">IF($A110="","",IF(AND(MONTH(A109)&gt;3,MONTH(A109)&lt;11),(T109+R109+G109)*Summary!$T$10/(1-Summary!$T$10),(T109+R109+G109)*Summary!$U$10/(1-Summary!$U$10)))</f>
        <v>#N/A</v>
      </c>
      <c r="W109" s="200" t="e">
        <f aca="false">IF($A110="","",(T109+R109+G109+V109))</f>
        <v>#N/A</v>
      </c>
      <c r="X109" s="200" t="e">
        <f aca="false">IF($A110="","",(U109+S109+H109+V109))</f>
        <v>#N/A</v>
      </c>
      <c r="Y109" s="202"/>
      <c r="Z109" s="185" t="e">
        <f aca="false">IF($A110="","",VLOOKUP($A109,Table,MATCH(Z$4,Curves,0)))</f>
        <v>#N/A</v>
      </c>
      <c r="AA109" s="185" t="e">
        <f aca="false">IF($A110="","",VLOOKUP($A109,Table,MATCH(AA$4,Curves,0)))</f>
        <v>#N/A</v>
      </c>
      <c r="AB109" s="185" t="e">
        <f aca="false">SQRT((AA109^2*(A109-$D$3)+Z109^2*(DAY(EOMONTH(A109,0))/2))/AK109)</f>
        <v>#N/A</v>
      </c>
      <c r="AC109" s="185" t="e">
        <f aca="false">IF($A110="","",VLOOKUP($A109,Table,MATCH(AC$4,Curves,0)))</f>
        <v>#N/A</v>
      </c>
      <c r="AD109" s="185" t="e">
        <f aca="false">IF($A110="","",VLOOKUP($A109,Table,MATCH(AD$4,Curves,0)))</f>
        <v>#N/A</v>
      </c>
      <c r="AE109" s="185" t="e">
        <f aca="false">SQRT((AD109^2*(A109-$D$3)+AC109^2*(DAY(EOMONTH(A109,0))/2))/AK109)</f>
        <v>#N/A</v>
      </c>
      <c r="AF109" s="224" t="e">
        <f aca="false">((Summary!$N$10*(AA109*AD109)*(A109-$D$3))+(Summary!$M$10*Z109*AC109*(AJ109-EOMONTH(EDATE(A109,-1),0))))/(AK109*AB109*AE109)</f>
        <v>#N/A</v>
      </c>
      <c r="AG109" s="207" t="n">
        <f aca="false">IF($A110="","",Summary!$Q$10)</f>
        <v>0</v>
      </c>
      <c r="AH109" s="207" t="n">
        <f aca="false">IF($A110="","",IF(Summary!$R$10="Y",(VLOOKUP($A109,Summary!$AD$6:$AF$9,3)+'Escalating commodity'!F122),'Escalating commodity'!F122))</f>
        <v>0.0158208</v>
      </c>
      <c r="AI109" s="207" t="n">
        <f aca="false">IF($A110="","",AH109)</f>
        <v>0.0158208</v>
      </c>
      <c r="AJ109" s="208" t="n">
        <f aca="false">A109+DAY(EOMONTH(A109,0))/2-1</f>
        <v>40071</v>
      </c>
      <c r="AK109" s="209" t="n">
        <f aca="false">IF($A110="","",$A109-$E$1)</f>
        <v>-5869</v>
      </c>
      <c r="AL109" s="182" t="e">
        <f aca="false">IF($A110="","",SPRDOPT(P109,X109,AI109,0,AB109,AE109,AF109,AK109,$AJ$2,0))</f>
        <v>#NAME?</v>
      </c>
      <c r="AM109" s="211" t="e">
        <f aca="false">IF($A110="","",MAX(0,O109-W109-AI109))</f>
        <v>#N/A</v>
      </c>
      <c r="AN109" s="211" t="e">
        <f aca="false">IF($A110="","",AL109-AM109)</f>
        <v>#N/A</v>
      </c>
      <c r="AO109" s="137" t="n">
        <f aca="false">IF(A110="","",A110-A109)</f>
        <v>30</v>
      </c>
      <c r="AP109" s="212" t="n">
        <f aca="false">IF(A110="","",CHOOSE(F$3,A110+24,A109))</f>
        <v>40057</v>
      </c>
      <c r="AQ109" s="209" t="n">
        <f aca="false">IF(A110="","",AP109-$E$1)</f>
        <v>-5869</v>
      </c>
      <c r="AR109" s="185" t="n">
        <f aca="false">'ANR OK vs ML7'!AR109</f>
        <v>0.1</v>
      </c>
      <c r="AS109" s="213" t="n">
        <f aca="false">IF(A110="","",1/(1+CHOOSE(F$3,(AR110+($I$3/10000))/2,(AR109+($I$3/10000))/2))^(2*AQ109/365.25))</f>
        <v>4.79687307483734</v>
      </c>
      <c r="AT109" s="137" t="n">
        <f aca="false">IF(A110="","",IF(AND(mthbeg&lt;=A109,mthend&gt;=A109),1,0))</f>
        <v>1</v>
      </c>
      <c r="AU109" s="137" t="n">
        <f aca="false">IF(A110="","",AO109*AT109)</f>
        <v>30</v>
      </c>
      <c r="AW109" s="195" t="e">
        <f aca="false">IF($A110="","",AL109*$E109)</f>
        <v>#NAME?</v>
      </c>
      <c r="AX109" s="195" t="e">
        <f aca="false">IF($A110="","",AM109*$E109)</f>
        <v>#N/A</v>
      </c>
      <c r="AY109" s="195" t="e">
        <f aca="false">IF($A110="","",AN109*$E109)</f>
        <v>#N/A</v>
      </c>
      <c r="BA109" s="195" t="n">
        <f aca="false">IF($A110="","",F109*Summary!$Q$10)</f>
        <v>0</v>
      </c>
      <c r="BC109" s="179" t="e">
        <f aca="false">IF(A110="","",AM109*F109)</f>
        <v>#N/A</v>
      </c>
    </row>
    <row r="110" customFormat="false" ht="12.75" hidden="false" customHeight="false" outlineLevel="0" collapsed="false">
      <c r="A110" s="196" t="n">
        <f aca="false">IF(A109&lt;mthend,EDATE(A109,1),"")</f>
        <v>40087</v>
      </c>
      <c r="B110" s="197" t="n">
        <f aca="false">IF(A110&lt;mthend,B109,"")</f>
        <v>119740</v>
      </c>
      <c r="C110" s="215"/>
      <c r="D110" s="197" t="n">
        <f aca="false">IF(A111&lt;&gt;"",B110+C110,"")</f>
        <v>119740</v>
      </c>
      <c r="E110" s="199" t="n">
        <f aca="false">IF(A111="","",IF(AND(AT110=1,$H$3=1),D110*AO110,IF($H$3=2,D110,"N/A")))</f>
        <v>3711940</v>
      </c>
      <c r="F110" s="199" t="n">
        <f aca="false">IF(A111="","",E110*AS110)</f>
        <v>17663566.0438378</v>
      </c>
      <c r="G110" s="200" t="e">
        <f aca="false">IF($A111="","",VLOOKUP($A110,Table,MATCH(G$4,Curves,0)))</f>
        <v>#N/A</v>
      </c>
      <c r="H110" s="201" t="e">
        <f aca="false">IF(A111="","",G110)</f>
        <v>#N/A</v>
      </c>
      <c r="I110" s="202"/>
      <c r="J110" s="200" t="e">
        <f aca="false">IF($A111="","",VLOOKUP($A110,Table,MATCH(J$4,Curves,0)))</f>
        <v>#N/A</v>
      </c>
      <c r="K110" s="201" t="e">
        <f aca="false">IF(A111="","",J110)</f>
        <v>#N/A</v>
      </c>
      <c r="L110" s="185" t="n">
        <v>0</v>
      </c>
      <c r="M110" s="201" t="n">
        <f aca="false">IF(A111="","",L110)</f>
        <v>0</v>
      </c>
      <c r="N110" s="203"/>
      <c r="O110" s="200" t="e">
        <f aca="false">IF(A111="","",L110+J110+G110)</f>
        <v>#N/A</v>
      </c>
      <c r="P110" s="200" t="e">
        <f aca="false">IF(A111="","",M110+K110+H110)</f>
        <v>#N/A</v>
      </c>
      <c r="Q110" s="204"/>
      <c r="R110" s="200" t="e">
        <f aca="false">IF($A111="","",VLOOKUP($A110,Table,MATCH(R$4,Curves,0)))</f>
        <v>#N/A</v>
      </c>
      <c r="S110" s="201" t="e">
        <f aca="false">IF(A111="","",R110)</f>
        <v>#N/A</v>
      </c>
      <c r="T110" s="200" t="e">
        <f aca="false">IF($A111="","",VLOOKUP($A110,Table,MATCH(T$4,Curves,0)))</f>
        <v>#N/A</v>
      </c>
      <c r="U110" s="201" t="e">
        <f aca="false">IF(A111="","",T110)</f>
        <v>#N/A</v>
      </c>
      <c r="V110" s="205" t="e">
        <f aca="false">IF($A111="","",IF(AND(MONTH(A110)&gt;3,MONTH(A110)&lt;11),(T110+R110+G110)*Summary!$T$10/(1-Summary!$T$10),(T110+R110+G110)*Summary!$U$10/(1-Summary!$U$10)))</f>
        <v>#N/A</v>
      </c>
      <c r="W110" s="200" t="e">
        <f aca="false">IF($A111="","",(T110+R110+G110+V110))</f>
        <v>#N/A</v>
      </c>
      <c r="X110" s="200" t="e">
        <f aca="false">IF($A111="","",(U110+S110+H110+V110))</f>
        <v>#N/A</v>
      </c>
      <c r="Y110" s="202"/>
      <c r="Z110" s="185" t="e">
        <f aca="false">IF($A111="","",VLOOKUP($A110,Table,MATCH(Z$4,Curves,0)))</f>
        <v>#N/A</v>
      </c>
      <c r="AA110" s="185" t="e">
        <f aca="false">IF($A111="","",VLOOKUP($A110,Table,MATCH(AA$4,Curves,0)))</f>
        <v>#N/A</v>
      </c>
      <c r="AB110" s="185" t="e">
        <f aca="false">SQRT((AA110^2*(A110-$D$3)+Z110^2*(DAY(EOMONTH(A110,0))/2))/AK110)</f>
        <v>#N/A</v>
      </c>
      <c r="AC110" s="185" t="e">
        <f aca="false">IF($A111="","",VLOOKUP($A110,Table,MATCH(AC$4,Curves,0)))</f>
        <v>#N/A</v>
      </c>
      <c r="AD110" s="185" t="e">
        <f aca="false">IF($A111="","",VLOOKUP($A110,Table,MATCH(AD$4,Curves,0)))</f>
        <v>#N/A</v>
      </c>
      <c r="AE110" s="185" t="e">
        <f aca="false">SQRT((AD110^2*(A110-$D$3)+AC110^2*(DAY(EOMONTH(A110,0))/2))/AK110)</f>
        <v>#N/A</v>
      </c>
      <c r="AF110" s="224" t="e">
        <f aca="false">((Summary!$N$10*(AA110*AD110)*(A110-$D$3))+(Summary!$M$10*Z110*AC110*(AJ110-EOMONTH(EDATE(A110,-1),0))))/(AK110*AB110*AE110)</f>
        <v>#N/A</v>
      </c>
      <c r="AG110" s="207" t="n">
        <f aca="false">IF($A111="","",Summary!$Q$10)</f>
        <v>0</v>
      </c>
      <c r="AH110" s="207" t="n">
        <f aca="false">IF($A111="","",IF(Summary!$R$10="Y",(VLOOKUP($A110,Summary!$AD$6:$AF$9,3)+'Escalating commodity'!F123),'Escalating commodity'!F123))</f>
        <v>0.0158208</v>
      </c>
      <c r="AI110" s="207" t="n">
        <f aca="false">IF($A111="","",AH110)</f>
        <v>0.0158208</v>
      </c>
      <c r="AJ110" s="208" t="n">
        <f aca="false">A110+DAY(EOMONTH(A110,0))/2-1</f>
        <v>40101.5</v>
      </c>
      <c r="AK110" s="209" t="n">
        <f aca="false">IF($A111="","",$A110-$E$1)</f>
        <v>-5839</v>
      </c>
      <c r="AL110" s="182" t="e">
        <f aca="false">IF($A111="","",SPRDOPT(P110,X110,AI110,0,AB110,AE110,AF110,AK110,$AJ$2,0))</f>
        <v>#NAME?</v>
      </c>
      <c r="AM110" s="211" t="e">
        <f aca="false">IF($A111="","",MAX(0,O110-W110-AI110))</f>
        <v>#N/A</v>
      </c>
      <c r="AN110" s="211" t="e">
        <f aca="false">IF($A111="","",AL110-AM110)</f>
        <v>#N/A</v>
      </c>
      <c r="AO110" s="137" t="n">
        <f aca="false">IF(A111="","",A111-A110)</f>
        <v>31</v>
      </c>
      <c r="AP110" s="212" t="n">
        <f aca="false">IF(A111="","",CHOOSE(F$3,A111+24,A110))</f>
        <v>40087</v>
      </c>
      <c r="AQ110" s="209" t="n">
        <f aca="false">IF(A111="","",AP110-$E$1)</f>
        <v>-5839</v>
      </c>
      <c r="AR110" s="185" t="n">
        <f aca="false">'ANR OK vs ML7'!AR110</f>
        <v>0.1</v>
      </c>
      <c r="AS110" s="213" t="n">
        <f aca="false">IF(A111="","",1/(1+CHOOSE(F$3,(AR111+($I$3/10000))/2,(AR110+($I$3/10000))/2))^(2*AQ110/365.25))</f>
        <v>4.75858070007537</v>
      </c>
      <c r="AT110" s="137" t="n">
        <f aca="false">IF(A111="","",IF(AND(mthbeg&lt;=A110,mthend&gt;=A110),1,0))</f>
        <v>1</v>
      </c>
      <c r="AU110" s="137" t="n">
        <f aca="false">IF(A111="","",AO110*AT110)</f>
        <v>31</v>
      </c>
      <c r="AW110" s="195" t="e">
        <f aca="false">IF($A111="","",AL110*$E110)</f>
        <v>#NAME?</v>
      </c>
      <c r="AX110" s="195" t="e">
        <f aca="false">IF($A111="","",AM110*$E110)</f>
        <v>#N/A</v>
      </c>
      <c r="AY110" s="195" t="e">
        <f aca="false">IF($A111="","",AN110*$E110)</f>
        <v>#N/A</v>
      </c>
      <c r="BA110" s="195" t="n">
        <f aca="false">IF($A111="","",F110*Summary!$Q$10)</f>
        <v>0</v>
      </c>
      <c r="BC110" s="179" t="e">
        <f aca="false">IF(A111="","",AM110*F110)</f>
        <v>#N/A</v>
      </c>
    </row>
    <row r="111" customFormat="false" ht="12.75" hidden="false" customHeight="false" outlineLevel="0" collapsed="false">
      <c r="A111" s="196" t="n">
        <f aca="false">IF(A110&lt;mthend,EDATE(A110,1),"")</f>
        <v>40118</v>
      </c>
      <c r="B111" s="197" t="n">
        <f aca="false">IF(A111&lt;mthend,B110,"")</f>
        <v>119740</v>
      </c>
      <c r="C111" s="215"/>
      <c r="D111" s="197" t="n">
        <f aca="false">IF(A112&lt;&gt;"",B111+C111,"")</f>
        <v>119740</v>
      </c>
      <c r="E111" s="199" t="n">
        <f aca="false">IF(A112="","",IF(AND(AT111=1,$H$3=1),D111*AO111,IF($H$3=2,D111,"N/A")))</f>
        <v>3592200</v>
      </c>
      <c r="F111" s="199" t="n">
        <f aca="false">IF(A112="","",E111*AS111)</f>
        <v>16952788.0659075</v>
      </c>
      <c r="G111" s="200" t="e">
        <f aca="false">IF($A112="","",VLOOKUP($A111,Table,MATCH(G$4,Curves,0)))</f>
        <v>#N/A</v>
      </c>
      <c r="H111" s="201" t="e">
        <f aca="false">IF(A112="","",G111)</f>
        <v>#N/A</v>
      </c>
      <c r="I111" s="202"/>
      <c r="J111" s="200" t="e">
        <f aca="false">IF($A112="","",VLOOKUP($A111,Table,MATCH(J$4,Curves,0)))</f>
        <v>#N/A</v>
      </c>
      <c r="K111" s="201" t="e">
        <f aca="false">IF(A112="","",J111)</f>
        <v>#N/A</v>
      </c>
      <c r="L111" s="185" t="n">
        <v>0</v>
      </c>
      <c r="M111" s="201" t="n">
        <f aca="false">IF(A112="","",L111)</f>
        <v>0</v>
      </c>
      <c r="N111" s="203"/>
      <c r="O111" s="200" t="e">
        <f aca="false">IF(A112="","",L111+J111+G111)</f>
        <v>#N/A</v>
      </c>
      <c r="P111" s="200" t="e">
        <f aca="false">IF(A112="","",M111+K111+H111)</f>
        <v>#N/A</v>
      </c>
      <c r="Q111" s="204"/>
      <c r="R111" s="200" t="e">
        <f aca="false">IF($A112="","",VLOOKUP($A111,Table,MATCH(R$4,Curves,0)))</f>
        <v>#N/A</v>
      </c>
      <c r="S111" s="201" t="e">
        <f aca="false">IF(A112="","",R111)</f>
        <v>#N/A</v>
      </c>
      <c r="T111" s="200" t="e">
        <f aca="false">IF($A112="","",VLOOKUP($A111,Table,MATCH(T$4,Curves,0)))</f>
        <v>#N/A</v>
      </c>
      <c r="U111" s="201" t="e">
        <f aca="false">IF(A112="","",T111)</f>
        <v>#N/A</v>
      </c>
      <c r="V111" s="205" t="e">
        <f aca="false">IF($A112="","",IF(AND(MONTH(A111)&gt;3,MONTH(A111)&lt;11),(T111+R111+G111)*Summary!$T$10/(1-Summary!$T$10),(T111+R111+G111)*Summary!$U$10/(1-Summary!$U$10)))</f>
        <v>#N/A</v>
      </c>
      <c r="W111" s="200" t="e">
        <f aca="false">IF($A112="","",(T111+R111+G111+V111))</f>
        <v>#N/A</v>
      </c>
      <c r="X111" s="200" t="e">
        <f aca="false">IF($A112="","",(U111+S111+H111+V111))</f>
        <v>#N/A</v>
      </c>
      <c r="Y111" s="202"/>
      <c r="Z111" s="185" t="e">
        <f aca="false">IF($A112="","",VLOOKUP($A111,Table,MATCH(Z$4,Curves,0)))</f>
        <v>#N/A</v>
      </c>
      <c r="AA111" s="185" t="e">
        <f aca="false">IF($A112="","",VLOOKUP($A111,Table,MATCH(AA$4,Curves,0)))</f>
        <v>#N/A</v>
      </c>
      <c r="AB111" s="185" t="e">
        <f aca="false">SQRT((AA111^2*(A111-$D$3)+Z111^2*(DAY(EOMONTH(A111,0))/2))/AK111)</f>
        <v>#N/A</v>
      </c>
      <c r="AC111" s="185" t="e">
        <f aca="false">IF($A112="","",VLOOKUP($A111,Table,MATCH(AC$4,Curves,0)))</f>
        <v>#N/A</v>
      </c>
      <c r="AD111" s="185" t="e">
        <f aca="false">IF($A112="","",VLOOKUP($A111,Table,MATCH(AD$4,Curves,0)))</f>
        <v>#N/A</v>
      </c>
      <c r="AE111" s="185" t="e">
        <f aca="false">SQRT((AD111^2*(A111-$D$3)+AC111^2*(DAY(EOMONTH(A111,0))/2))/AK111)</f>
        <v>#N/A</v>
      </c>
      <c r="AF111" s="224" t="e">
        <f aca="false">((Summary!$N$10*(AA111*AD111)*(A111-$D$3))+(Summary!$M$10*Z111*AC111*(AJ111-EOMONTH(EDATE(A111,-1),0))))/(AK111*AB111*AE111)</f>
        <v>#N/A</v>
      </c>
      <c r="AG111" s="207" t="n">
        <f aca="false">IF($A112="","",Summary!$Q$10)</f>
        <v>0</v>
      </c>
      <c r="AH111" s="207" t="n">
        <f aca="false">IF($A112="","",IF(Summary!$R$10="Y",(VLOOKUP($A111,Summary!$AD$6:$AF$9,3)+'Escalating commodity'!F124),'Escalating commodity'!F124))</f>
        <v>0.0158208</v>
      </c>
      <c r="AI111" s="207" t="n">
        <f aca="false">IF($A112="","",AH111)</f>
        <v>0.0158208</v>
      </c>
      <c r="AJ111" s="208" t="n">
        <f aca="false">A111+DAY(EOMONTH(A111,0))/2-1</f>
        <v>40132</v>
      </c>
      <c r="AK111" s="209" t="n">
        <f aca="false">IF($A112="","",$A111-$E$1)</f>
        <v>-5808</v>
      </c>
      <c r="AL111" s="182" t="e">
        <f aca="false">IF($A112="","",SPRDOPT(P111,X111,AI111,0,AB111,AE111,AF111,AK111,$AJ$2,0))</f>
        <v>#NAME?</v>
      </c>
      <c r="AM111" s="211" t="e">
        <f aca="false">IF($A112="","",MAX(0,O111-W111-AI111))</f>
        <v>#N/A</v>
      </c>
      <c r="AN111" s="211" t="e">
        <f aca="false">IF($A112="","",AL111-AM111)</f>
        <v>#N/A</v>
      </c>
      <c r="AO111" s="137" t="n">
        <f aca="false">IF(A112="","",A112-A111)</f>
        <v>30</v>
      </c>
      <c r="AP111" s="212" t="n">
        <f aca="false">IF(A112="","",CHOOSE(F$3,A112+24,A111))</f>
        <v>40118</v>
      </c>
      <c r="AQ111" s="209" t="n">
        <f aca="false">IF(A112="","",AP111-$E$1)</f>
        <v>-5808</v>
      </c>
      <c r="AR111" s="185" t="n">
        <f aca="false">'ANR OK vs ML7'!AR111</f>
        <v>0.1</v>
      </c>
      <c r="AS111" s="213" t="n">
        <f aca="false">IF(A112="","",1/(1+CHOOSE(F$3,(AR112+($I$3/10000))/2,(AR111+($I$3/10000))/2))^(2*AQ111/365.25))</f>
        <v>4.71933301762361</v>
      </c>
      <c r="AT111" s="137" t="n">
        <f aca="false">IF(A112="","",IF(AND(mthbeg&lt;=A111,mthend&gt;=A111),1,0))</f>
        <v>1</v>
      </c>
      <c r="AU111" s="137" t="n">
        <f aca="false">IF(A112="","",AO111*AT111)</f>
        <v>30</v>
      </c>
      <c r="AW111" s="195" t="e">
        <f aca="false">IF($A112="","",AL111*$E111)</f>
        <v>#NAME?</v>
      </c>
      <c r="AX111" s="195" t="e">
        <f aca="false">IF($A112="","",AM111*$E111)</f>
        <v>#N/A</v>
      </c>
      <c r="AY111" s="195" t="e">
        <f aca="false">IF($A112="","",AN111*$E111)</f>
        <v>#N/A</v>
      </c>
      <c r="BA111" s="195" t="n">
        <f aca="false">IF($A112="","",F111*Summary!$Q$10)</f>
        <v>0</v>
      </c>
      <c r="BC111" s="179" t="e">
        <f aca="false">IF(A112="","",AM111*F111)</f>
        <v>#N/A</v>
      </c>
    </row>
    <row r="112" customFormat="false" ht="12.75" hidden="false" customHeight="false" outlineLevel="0" collapsed="false">
      <c r="A112" s="196" t="n">
        <f aca="false">IF(A111&lt;mthend,EDATE(A111,1),"")</f>
        <v>40148</v>
      </c>
      <c r="B112" s="197" t="n">
        <f aca="false">IF(A112&lt;mthend,B111,"")</f>
        <v>119740</v>
      </c>
      <c r="C112" s="215"/>
      <c r="D112" s="197" t="n">
        <f aca="false">IF(A113&lt;&gt;"",B112+C112,"")</f>
        <v>119740</v>
      </c>
      <c r="E112" s="199" t="n">
        <f aca="false">IF(A113="","",IF(AND(AT112=1,$H$3=1),D112*AO112,IF($H$3=2,D112,"N/A")))</f>
        <v>3711940</v>
      </c>
      <c r="F112" s="199" t="n">
        <f aca="false">IF(A113="","",E112*AS112)</f>
        <v>17378039.6393927</v>
      </c>
      <c r="G112" s="200" t="e">
        <f aca="false">IF($A113="","",VLOOKUP($A112,Table,MATCH(G$4,Curves,0)))</f>
        <v>#N/A</v>
      </c>
      <c r="H112" s="201" t="e">
        <f aca="false">IF(A113="","",G112)</f>
        <v>#N/A</v>
      </c>
      <c r="I112" s="202"/>
      <c r="J112" s="200" t="e">
        <f aca="false">IF($A113="","",VLOOKUP($A112,Table,MATCH(J$4,Curves,0)))</f>
        <v>#N/A</v>
      </c>
      <c r="K112" s="201" t="e">
        <f aca="false">IF(A113="","",J112)</f>
        <v>#N/A</v>
      </c>
      <c r="L112" s="185" t="n">
        <v>0</v>
      </c>
      <c r="M112" s="201" t="n">
        <f aca="false">IF(A113="","",L112)</f>
        <v>0</v>
      </c>
      <c r="N112" s="203"/>
      <c r="O112" s="200" t="e">
        <f aca="false">IF(A113="","",L112+J112+G112)</f>
        <v>#N/A</v>
      </c>
      <c r="P112" s="200" t="e">
        <f aca="false">IF(A113="","",M112+K112+H112)</f>
        <v>#N/A</v>
      </c>
      <c r="Q112" s="204"/>
      <c r="R112" s="200" t="e">
        <f aca="false">IF($A113="","",VLOOKUP($A112,Table,MATCH(R$4,Curves,0)))</f>
        <v>#N/A</v>
      </c>
      <c r="S112" s="201" t="e">
        <f aca="false">IF(A113="","",R112)</f>
        <v>#N/A</v>
      </c>
      <c r="T112" s="200" t="e">
        <f aca="false">IF($A113="","",VLOOKUP($A112,Table,MATCH(T$4,Curves,0)))</f>
        <v>#N/A</v>
      </c>
      <c r="U112" s="201" t="e">
        <f aca="false">IF(A113="","",T112)</f>
        <v>#N/A</v>
      </c>
      <c r="V112" s="205" t="e">
        <f aca="false">IF($A113="","",IF(AND(MONTH(A112)&gt;3,MONTH(A112)&lt;11),(T112+R112+G112)*Summary!$T$10/(1-Summary!$T$10),(T112+R112+G112)*Summary!$U$10/(1-Summary!$U$10)))</f>
        <v>#N/A</v>
      </c>
      <c r="W112" s="200" t="e">
        <f aca="false">IF($A113="","",(T112+R112+G112+V112))</f>
        <v>#N/A</v>
      </c>
      <c r="X112" s="200" t="e">
        <f aca="false">IF($A113="","",(U112+S112+H112+V112))</f>
        <v>#N/A</v>
      </c>
      <c r="Y112" s="202"/>
      <c r="Z112" s="185" t="e">
        <f aca="false">IF($A113="","",VLOOKUP($A112,Table,MATCH(Z$4,Curves,0)))</f>
        <v>#N/A</v>
      </c>
      <c r="AA112" s="185" t="e">
        <f aca="false">IF($A113="","",VLOOKUP($A112,Table,MATCH(AA$4,Curves,0)))</f>
        <v>#N/A</v>
      </c>
      <c r="AB112" s="185" t="e">
        <f aca="false">SQRT((AA112^2*(A112-$D$3)+Z112^2*(DAY(EOMONTH(A112,0))/2))/AK112)</f>
        <v>#N/A</v>
      </c>
      <c r="AC112" s="185" t="e">
        <f aca="false">IF($A113="","",VLOOKUP($A112,Table,MATCH(AC$4,Curves,0)))</f>
        <v>#N/A</v>
      </c>
      <c r="AD112" s="185" t="e">
        <f aca="false">IF($A113="","",VLOOKUP($A112,Table,MATCH(AD$4,Curves,0)))</f>
        <v>#N/A</v>
      </c>
      <c r="AE112" s="185" t="e">
        <f aca="false">SQRT((AD112^2*(A112-$D$3)+AC112^2*(DAY(EOMONTH(A112,0))/2))/AK112)</f>
        <v>#N/A</v>
      </c>
      <c r="AF112" s="224" t="e">
        <f aca="false">((Summary!$N$10*(AA112*AD112)*(A112-$D$3))+(Summary!$M$10*Z112*AC112*(AJ112-EOMONTH(EDATE(A112,-1),0))))/(AK112*AB112*AE112)</f>
        <v>#N/A</v>
      </c>
      <c r="AG112" s="207" t="n">
        <f aca="false">IF($A113="","",Summary!$Q$10)</f>
        <v>0</v>
      </c>
      <c r="AH112" s="207" t="n">
        <f aca="false">IF($A113="","",IF(Summary!$R$10="Y",(VLOOKUP($A112,Summary!$AD$6:$AF$9,3)+'Escalating commodity'!F125),'Escalating commodity'!F125))</f>
        <v>0.0158208</v>
      </c>
      <c r="AI112" s="207" t="n">
        <f aca="false">IF($A113="","",AH112)</f>
        <v>0.0158208</v>
      </c>
      <c r="AJ112" s="208" t="n">
        <f aca="false">A112+DAY(EOMONTH(A112,0))/2-1</f>
        <v>40162.5</v>
      </c>
      <c r="AK112" s="209" t="n">
        <f aca="false">IF($A113="","",$A112-$E$1)</f>
        <v>-5778</v>
      </c>
      <c r="AL112" s="182" t="e">
        <f aca="false">IF($A113="","",SPRDOPT(P112,X112,AI112,0,AB112,AE112,AF112,AK112,$AJ$2,0))</f>
        <v>#NAME?</v>
      </c>
      <c r="AM112" s="211" t="e">
        <f aca="false">IF($A113="","",MAX(0,O112-W112-AI112))</f>
        <v>#N/A</v>
      </c>
      <c r="AN112" s="211" t="e">
        <f aca="false">IF($A113="","",AL112-AM112)</f>
        <v>#N/A</v>
      </c>
      <c r="AO112" s="137" t="n">
        <f aca="false">IF(A113="","",A113-A112)</f>
        <v>31</v>
      </c>
      <c r="AP112" s="212" t="n">
        <f aca="false">IF(A113="","",CHOOSE(F$3,A113+24,A112))</f>
        <v>40148</v>
      </c>
      <c r="AQ112" s="209" t="n">
        <f aca="false">IF(A113="","",AP112-$E$1)</f>
        <v>-5778</v>
      </c>
      <c r="AR112" s="185" t="n">
        <f aca="false">'ANR OK vs ML7'!AR112</f>
        <v>0.1</v>
      </c>
      <c r="AS112" s="213" t="n">
        <f aca="false">IF(A113="","",1/(1+CHOOSE(F$3,(AR113+($I$3/10000))/2,(AR112+($I$3/10000))/2))^(2*AQ112/365.25))</f>
        <v>4.68165962795537</v>
      </c>
      <c r="AT112" s="137" t="n">
        <f aca="false">IF(A113="","",IF(AND(mthbeg&lt;=A112,mthend&gt;=A112),1,0))</f>
        <v>1</v>
      </c>
      <c r="AU112" s="137" t="n">
        <f aca="false">IF(A113="","",AO112*AT112)</f>
        <v>31</v>
      </c>
      <c r="AW112" s="195" t="e">
        <f aca="false">IF($A113="","",AL112*$E112)</f>
        <v>#NAME?</v>
      </c>
      <c r="AX112" s="195" t="e">
        <f aca="false">IF($A113="","",AM112*$E112)</f>
        <v>#N/A</v>
      </c>
      <c r="AY112" s="195" t="e">
        <f aca="false">IF($A113="","",AN112*$E112)</f>
        <v>#N/A</v>
      </c>
      <c r="BA112" s="195" t="n">
        <f aca="false">IF($A113="","",F112*Summary!$Q$10)</f>
        <v>0</v>
      </c>
      <c r="BC112" s="179" t="e">
        <f aca="false">IF(A113="","",AM112*F112)</f>
        <v>#N/A</v>
      </c>
    </row>
    <row r="113" customFormat="false" ht="12.75" hidden="false" customHeight="false" outlineLevel="0" collapsed="false">
      <c r="A113" s="196" t="n">
        <f aca="false">IF(A112&lt;mthend,EDATE(A112,1),"")</f>
        <v>40179</v>
      </c>
      <c r="B113" s="197" t="n">
        <f aca="false">IF(A113&lt;mthend,B112,"")</f>
        <v>119740</v>
      </c>
      <c r="C113" s="215"/>
      <c r="D113" s="197" t="n">
        <f aca="false">IF(A114&lt;&gt;"",B113+C113,"")</f>
        <v>119740</v>
      </c>
      <c r="E113" s="199" t="n">
        <f aca="false">IF(A114="","",IF(AND(AT113=1,$H$3=1),D113*AO113,IF($H$3=2,D113,"N/A")))</f>
        <v>3711940</v>
      </c>
      <c r="F113" s="199" t="n">
        <f aca="false">IF(A114="","",E113*AS113)</f>
        <v>17234709.5533042</v>
      </c>
      <c r="G113" s="200" t="e">
        <f aca="false">IF($A114="","",VLOOKUP($A113,Table,MATCH(G$4,Curves,0)))</f>
        <v>#N/A</v>
      </c>
      <c r="H113" s="201" t="e">
        <f aca="false">IF(A114="","",G113)</f>
        <v>#N/A</v>
      </c>
      <c r="I113" s="202"/>
      <c r="J113" s="200" t="e">
        <f aca="false">IF($A114="","",VLOOKUP($A113,Table,MATCH(J$4,Curves,0)))</f>
        <v>#N/A</v>
      </c>
      <c r="K113" s="201" t="e">
        <f aca="false">IF(A114="","",J113)</f>
        <v>#N/A</v>
      </c>
      <c r="L113" s="185" t="n">
        <v>0</v>
      </c>
      <c r="M113" s="201" t="n">
        <f aca="false">IF(A114="","",L113)</f>
        <v>0</v>
      </c>
      <c r="N113" s="203"/>
      <c r="O113" s="200" t="e">
        <f aca="false">IF(A114="","",L113+J113+G113)</f>
        <v>#N/A</v>
      </c>
      <c r="P113" s="200" t="e">
        <f aca="false">IF(A114="","",M113+K113+H113)</f>
        <v>#N/A</v>
      </c>
      <c r="Q113" s="204"/>
      <c r="R113" s="200" t="e">
        <f aca="false">IF($A114="","",VLOOKUP($A113,Table,MATCH(R$4,Curves,0)))</f>
        <v>#N/A</v>
      </c>
      <c r="S113" s="201" t="e">
        <f aca="false">IF(A114="","",R113)</f>
        <v>#N/A</v>
      </c>
      <c r="T113" s="200" t="e">
        <f aca="false">IF($A114="","",VLOOKUP($A113,Table,MATCH(T$4,Curves,0)))</f>
        <v>#N/A</v>
      </c>
      <c r="U113" s="201" t="e">
        <f aca="false">IF(A114="","",T113)</f>
        <v>#N/A</v>
      </c>
      <c r="V113" s="205" t="e">
        <f aca="false">IF($A114="","",IF(AND(MONTH(A113)&gt;3,MONTH(A113)&lt;11),(T113+R113+G113)*Summary!$T$10/(1-Summary!$T$10),(T113+R113+G113)*Summary!$U$10/(1-Summary!$U$10)))</f>
        <v>#N/A</v>
      </c>
      <c r="W113" s="200" t="e">
        <f aca="false">IF($A114="","",(T113+R113+G113+V113))</f>
        <v>#N/A</v>
      </c>
      <c r="X113" s="200" t="e">
        <f aca="false">IF($A114="","",(U113+S113+H113+V113))</f>
        <v>#N/A</v>
      </c>
      <c r="Y113" s="202"/>
      <c r="Z113" s="185" t="e">
        <f aca="false">IF($A114="","",VLOOKUP($A113,Table,MATCH(Z$4,Curves,0)))</f>
        <v>#N/A</v>
      </c>
      <c r="AA113" s="185" t="e">
        <f aca="false">IF($A114="","",VLOOKUP($A113,Table,MATCH(AA$4,Curves,0)))</f>
        <v>#N/A</v>
      </c>
      <c r="AB113" s="185" t="e">
        <f aca="false">SQRT((AA113^2*(A113-$D$3)+Z113^2*(DAY(EOMONTH(A113,0))/2))/AK113)</f>
        <v>#N/A</v>
      </c>
      <c r="AC113" s="185" t="e">
        <f aca="false">IF($A114="","",VLOOKUP($A113,Table,MATCH(AC$4,Curves,0)))</f>
        <v>#N/A</v>
      </c>
      <c r="AD113" s="185" t="e">
        <f aca="false">IF($A114="","",VLOOKUP($A113,Table,MATCH(AD$4,Curves,0)))</f>
        <v>#N/A</v>
      </c>
      <c r="AE113" s="185" t="e">
        <f aca="false">SQRT((AD113^2*(A113-$D$3)+AC113^2*(DAY(EOMONTH(A113,0))/2))/AK113)</f>
        <v>#N/A</v>
      </c>
      <c r="AF113" s="224" t="e">
        <f aca="false">((Summary!$N$10*(AA113*AD113)*(A113-$D$3))+(Summary!$M$10*Z113*AC113*(AJ113-EOMONTH(EDATE(A113,-1),0))))/(AK113*AB113*AE113)</f>
        <v>#N/A</v>
      </c>
      <c r="AG113" s="207" t="n">
        <f aca="false">IF($A114="","",Summary!$Q$10)</f>
        <v>0</v>
      </c>
      <c r="AH113" s="207" t="n">
        <f aca="false">IF($A114="","",IF(Summary!$R$10="Y",(VLOOKUP($A113,Summary!$AD$6:$AF$9,3)+'Escalating commodity'!F126),'Escalating commodity'!F126))</f>
        <v>0.0158208</v>
      </c>
      <c r="AI113" s="207" t="n">
        <f aca="false">IF($A114="","",AH113)</f>
        <v>0.0158208</v>
      </c>
      <c r="AJ113" s="208" t="n">
        <f aca="false">A113+DAY(EOMONTH(A113,0))/2-1</f>
        <v>40193.5</v>
      </c>
      <c r="AK113" s="209" t="n">
        <f aca="false">IF($A114="","",$A113-$E$1)</f>
        <v>-5747</v>
      </c>
      <c r="AL113" s="182" t="e">
        <f aca="false">IF($A114="","",SPRDOPT(P113,X113,AI113,0,AB113,AE113,AF113,AK113,$AJ$2,0))</f>
        <v>#NAME?</v>
      </c>
      <c r="AM113" s="211" t="e">
        <f aca="false">IF($A114="","",MAX(0,O113-W113-AI113))</f>
        <v>#N/A</v>
      </c>
      <c r="AN113" s="211" t="e">
        <f aca="false">IF($A114="","",AL113-AM113)</f>
        <v>#N/A</v>
      </c>
      <c r="AO113" s="137" t="n">
        <f aca="false">IF(A114="","",A114-A113)</f>
        <v>31</v>
      </c>
      <c r="AP113" s="212" t="n">
        <f aca="false">IF(A114="","",CHOOSE(F$3,A114+24,A113))</f>
        <v>40179</v>
      </c>
      <c r="AQ113" s="209" t="n">
        <f aca="false">IF(A114="","",AP113-$E$1)</f>
        <v>-5747</v>
      </c>
      <c r="AR113" s="185" t="n">
        <f aca="false">'ANR OK vs ML7'!AR113</f>
        <v>0.1</v>
      </c>
      <c r="AS113" s="213" t="n">
        <f aca="false">IF(A114="","",1/(1+CHOOSE(F$3,(AR114+($I$3/10000))/2,(AR113+($I$3/10000))/2))^(2*AQ113/365.25))</f>
        <v>4.64304637286814</v>
      </c>
      <c r="AT113" s="137" t="n">
        <f aca="false">IF(A114="","",IF(AND(mthbeg&lt;=A113,mthend&gt;=A113),1,0))</f>
        <v>1</v>
      </c>
      <c r="AU113" s="137" t="n">
        <f aca="false">IF(A114="","",AO113*AT113)</f>
        <v>31</v>
      </c>
      <c r="AW113" s="195" t="e">
        <f aca="false">IF($A114="","",AL113*$E113)</f>
        <v>#NAME?</v>
      </c>
      <c r="AX113" s="195" t="e">
        <f aca="false">IF($A114="","",AM113*$E113)</f>
        <v>#N/A</v>
      </c>
      <c r="AY113" s="195" t="e">
        <f aca="false">IF($A114="","",AN113*$E113)</f>
        <v>#N/A</v>
      </c>
      <c r="BA113" s="195" t="n">
        <f aca="false">IF($A114="","",F113*Summary!$Q$10)</f>
        <v>0</v>
      </c>
      <c r="BC113" s="179" t="e">
        <f aca="false">IF(A114="","",AM113*F113)</f>
        <v>#N/A</v>
      </c>
    </row>
    <row r="114" customFormat="false" ht="12.75" hidden="false" customHeight="false" outlineLevel="0" collapsed="false">
      <c r="A114" s="196" t="n">
        <f aca="false">IF(A113&lt;mthend,EDATE(A113,1),"")</f>
        <v>40210</v>
      </c>
      <c r="B114" s="197" t="n">
        <f aca="false">IF(A114&lt;mthend,B113,"")</f>
        <v>119740</v>
      </c>
      <c r="C114" s="215"/>
      <c r="D114" s="197" t="n">
        <f aca="false">IF(A115&lt;&gt;"",B114+C114,"")</f>
        <v>119740</v>
      </c>
      <c r="E114" s="199" t="n">
        <f aca="false">IF(A115="","",IF(AND(AT114=1,$H$3=1),D114*AO114,IF($H$3=2,D114,"N/A")))</f>
        <v>3352720</v>
      </c>
      <c r="F114" s="199" t="n">
        <f aca="false">IF(A115="","",E114*AS114)</f>
        <v>15438442.7543608</v>
      </c>
      <c r="G114" s="200" t="e">
        <f aca="false">IF($A115="","",VLOOKUP($A114,Table,MATCH(G$4,Curves,0)))</f>
        <v>#N/A</v>
      </c>
      <c r="H114" s="201" t="e">
        <f aca="false">IF(A115="","",G114)</f>
        <v>#N/A</v>
      </c>
      <c r="I114" s="202"/>
      <c r="J114" s="200" t="e">
        <f aca="false">IF($A115="","",VLOOKUP($A114,Table,MATCH(J$4,Curves,0)))</f>
        <v>#N/A</v>
      </c>
      <c r="K114" s="201" t="e">
        <f aca="false">IF(A115="","",J114)</f>
        <v>#N/A</v>
      </c>
      <c r="L114" s="185" t="n">
        <v>0</v>
      </c>
      <c r="M114" s="201" t="n">
        <f aca="false">IF(A115="","",L114)</f>
        <v>0</v>
      </c>
      <c r="N114" s="203"/>
      <c r="O114" s="200" t="e">
        <f aca="false">IF(A115="","",L114+J114+G114)</f>
        <v>#N/A</v>
      </c>
      <c r="P114" s="200" t="e">
        <f aca="false">IF(A115="","",M114+K114+H114)</f>
        <v>#N/A</v>
      </c>
      <c r="Q114" s="204"/>
      <c r="R114" s="200" t="e">
        <f aca="false">IF($A115="","",VLOOKUP($A114,Table,MATCH(R$4,Curves,0)))</f>
        <v>#N/A</v>
      </c>
      <c r="S114" s="201" t="e">
        <f aca="false">IF(A115="","",R114)</f>
        <v>#N/A</v>
      </c>
      <c r="T114" s="200" t="e">
        <f aca="false">IF($A115="","",VLOOKUP($A114,Table,MATCH(T$4,Curves,0)))</f>
        <v>#N/A</v>
      </c>
      <c r="U114" s="201" t="e">
        <f aca="false">IF(A115="","",T114)</f>
        <v>#N/A</v>
      </c>
      <c r="V114" s="205" t="e">
        <f aca="false">IF($A115="","",IF(AND(MONTH(A114)&gt;3,MONTH(A114)&lt;11),(T114+R114+G114)*Summary!$T$10/(1-Summary!$T$10),(T114+R114+G114)*Summary!$U$10/(1-Summary!$U$10)))</f>
        <v>#N/A</v>
      </c>
      <c r="W114" s="200" t="e">
        <f aca="false">IF($A115="","",(T114+R114+G114+V114))</f>
        <v>#N/A</v>
      </c>
      <c r="X114" s="200" t="e">
        <f aca="false">IF($A115="","",(U114+S114+H114+V114))</f>
        <v>#N/A</v>
      </c>
      <c r="Y114" s="202"/>
      <c r="Z114" s="185" t="e">
        <f aca="false">IF($A115="","",VLOOKUP($A114,Table,MATCH(Z$4,Curves,0)))</f>
        <v>#N/A</v>
      </c>
      <c r="AA114" s="185" t="e">
        <f aca="false">IF($A115="","",VLOOKUP($A114,Table,MATCH(AA$4,Curves,0)))</f>
        <v>#N/A</v>
      </c>
      <c r="AB114" s="185" t="e">
        <f aca="false">SQRT((AA114^2*(A114-$D$3)+Z114^2*(DAY(EOMONTH(A114,0))/2))/AK114)</f>
        <v>#N/A</v>
      </c>
      <c r="AC114" s="185" t="e">
        <f aca="false">IF($A115="","",VLOOKUP($A114,Table,MATCH(AC$4,Curves,0)))</f>
        <v>#N/A</v>
      </c>
      <c r="AD114" s="185" t="e">
        <f aca="false">IF($A115="","",VLOOKUP($A114,Table,MATCH(AD$4,Curves,0)))</f>
        <v>#N/A</v>
      </c>
      <c r="AE114" s="185" t="e">
        <f aca="false">SQRT((AD114^2*(A114-$D$3)+AC114^2*(DAY(EOMONTH(A114,0))/2))/AK114)</f>
        <v>#N/A</v>
      </c>
      <c r="AF114" s="224" t="e">
        <f aca="false">((Summary!$N$10*(AA114*AD114)*(A114-$D$3))+(Summary!$M$10*Z114*AC114*(AJ114-EOMONTH(EDATE(A114,-1),0))))/(AK114*AB114*AE114)</f>
        <v>#N/A</v>
      </c>
      <c r="AG114" s="207" t="n">
        <f aca="false">IF($A115="","",Summary!$Q$10)</f>
        <v>0</v>
      </c>
      <c r="AH114" s="207" t="n">
        <f aca="false">IF($A115="","",IF(Summary!$R$10="Y",(VLOOKUP($A114,Summary!$AD$6:$AF$9,3)+'Escalating commodity'!F127),'Escalating commodity'!F127))</f>
        <v>0.0158208</v>
      </c>
      <c r="AI114" s="207" t="n">
        <f aca="false">IF($A115="","",AH114)</f>
        <v>0.0158208</v>
      </c>
      <c r="AJ114" s="208" t="n">
        <f aca="false">A114+DAY(EOMONTH(A114,0))/2-1</f>
        <v>40223</v>
      </c>
      <c r="AK114" s="209" t="n">
        <f aca="false">IF($A115="","",$A114-$E$1)</f>
        <v>-5716</v>
      </c>
      <c r="AL114" s="182" t="e">
        <f aca="false">IF($A115="","",SPRDOPT(P114,X114,AI114,0,AB114,AE114,AF114,AK114,$AJ$2,0))</f>
        <v>#NAME?</v>
      </c>
      <c r="AM114" s="211" t="e">
        <f aca="false">IF($A115="","",MAX(0,O114-W114-AI114))</f>
        <v>#N/A</v>
      </c>
      <c r="AN114" s="211" t="e">
        <f aca="false">IF($A115="","",AL114-AM114)</f>
        <v>#N/A</v>
      </c>
      <c r="AO114" s="137" t="n">
        <f aca="false">IF(A115="","",A115-A114)</f>
        <v>28</v>
      </c>
      <c r="AP114" s="212" t="n">
        <f aca="false">IF(A115="","",CHOOSE(F$3,A115+24,A114))</f>
        <v>40210</v>
      </c>
      <c r="AQ114" s="209" t="n">
        <f aca="false">IF(A115="","",AP114-$E$1)</f>
        <v>-5716</v>
      </c>
      <c r="AR114" s="185" t="n">
        <f aca="false">'ANR OK vs ML7'!AR114</f>
        <v>0.1</v>
      </c>
      <c r="AS114" s="213" t="n">
        <f aca="false">IF(A115="","",1/(1+CHOOSE(F$3,(AR115+($I$3/10000))/2,(AR114+($I$3/10000))/2))^(2*AQ114/365.25))</f>
        <v>4.60475159105468</v>
      </c>
      <c r="AT114" s="137" t="n">
        <f aca="false">IF(A115="","",IF(AND(mthbeg&lt;=A114,mthend&gt;=A114),1,0))</f>
        <v>1</v>
      </c>
      <c r="AU114" s="137" t="n">
        <f aca="false">IF(A115="","",AO114*AT114)</f>
        <v>28</v>
      </c>
      <c r="AW114" s="195" t="e">
        <f aca="false">IF($A115="","",AL114*$E114)</f>
        <v>#NAME?</v>
      </c>
      <c r="AX114" s="195" t="e">
        <f aca="false">IF($A115="","",AM114*$E114)</f>
        <v>#N/A</v>
      </c>
      <c r="AY114" s="195" t="e">
        <f aca="false">IF($A115="","",AN114*$E114)</f>
        <v>#N/A</v>
      </c>
      <c r="BA114" s="195" t="n">
        <f aca="false">IF($A115="","",F114*Summary!$Q$10)</f>
        <v>0</v>
      </c>
      <c r="BC114" s="179" t="e">
        <f aca="false">IF(A115="","",AM114*F114)</f>
        <v>#N/A</v>
      </c>
    </row>
    <row r="115" customFormat="false" ht="12.75" hidden="false" customHeight="false" outlineLevel="0" collapsed="false">
      <c r="A115" s="196" t="n">
        <f aca="false">IF(A114&lt;mthend,EDATE(A114,1),"")</f>
        <v>40238</v>
      </c>
      <c r="B115" s="197" t="n">
        <f aca="false">IF(A115&lt;mthend,B114,"")</f>
        <v>119740</v>
      </c>
      <c r="C115" s="215"/>
      <c r="D115" s="197" t="n">
        <f aca="false">IF(A116&lt;&gt;"",B115+C115,"")</f>
        <v>119740</v>
      </c>
      <c r="E115" s="199" t="n">
        <f aca="false">IF(A116="","",IF(AND(AT115=1,$H$3=1),D115*AO115,IF($H$3=2,D115,"N/A")))</f>
        <v>3711940</v>
      </c>
      <c r="F115" s="199" t="n">
        <f aca="false">IF(A116="","",E115*AS115)</f>
        <v>16965177.9145957</v>
      </c>
      <c r="G115" s="200" t="e">
        <f aca="false">IF($A116="","",VLOOKUP($A115,Table,MATCH(G$4,Curves,0)))</f>
        <v>#N/A</v>
      </c>
      <c r="H115" s="201" t="e">
        <f aca="false">IF(A116="","",G115)</f>
        <v>#N/A</v>
      </c>
      <c r="I115" s="202"/>
      <c r="J115" s="200" t="e">
        <f aca="false">IF($A116="","",VLOOKUP($A115,Table,MATCH(J$4,Curves,0)))</f>
        <v>#N/A</v>
      </c>
      <c r="K115" s="201" t="e">
        <f aca="false">IF(A116="","",J115)</f>
        <v>#N/A</v>
      </c>
      <c r="L115" s="185" t="n">
        <v>0</v>
      </c>
      <c r="M115" s="201" t="n">
        <f aca="false">IF(A116="","",L115)</f>
        <v>0</v>
      </c>
      <c r="N115" s="203"/>
      <c r="O115" s="200" t="e">
        <f aca="false">IF(A116="","",L115+J115+G115)</f>
        <v>#N/A</v>
      </c>
      <c r="P115" s="200" t="e">
        <f aca="false">IF(A116="","",M115+K115+H115)</f>
        <v>#N/A</v>
      </c>
      <c r="Q115" s="204"/>
      <c r="R115" s="200" t="e">
        <f aca="false">IF($A116="","",VLOOKUP($A115,Table,MATCH(R$4,Curves,0)))</f>
        <v>#N/A</v>
      </c>
      <c r="S115" s="201" t="e">
        <f aca="false">IF(A116="","",R115)</f>
        <v>#N/A</v>
      </c>
      <c r="T115" s="200" t="e">
        <f aca="false">IF($A116="","",VLOOKUP($A115,Table,MATCH(T$4,Curves,0)))</f>
        <v>#N/A</v>
      </c>
      <c r="U115" s="201" t="e">
        <f aca="false">IF(A116="","",T115)</f>
        <v>#N/A</v>
      </c>
      <c r="V115" s="205" t="e">
        <f aca="false">IF($A116="","",IF(AND(MONTH(A115)&gt;3,MONTH(A115)&lt;11),(T115+R115+G115)*Summary!$T$10/(1-Summary!$T$10),(T115+R115+G115)*Summary!$U$10/(1-Summary!$U$10)))</f>
        <v>#N/A</v>
      </c>
      <c r="W115" s="200" t="e">
        <f aca="false">IF($A116="","",(T115+R115+G115+V115))</f>
        <v>#N/A</v>
      </c>
      <c r="X115" s="200" t="e">
        <f aca="false">IF($A116="","",(U115+S115+H115+V115))</f>
        <v>#N/A</v>
      </c>
      <c r="Y115" s="202"/>
      <c r="Z115" s="185" t="e">
        <f aca="false">IF($A116="","",VLOOKUP($A115,Table,MATCH(Z$4,Curves,0)))</f>
        <v>#N/A</v>
      </c>
      <c r="AA115" s="185" t="e">
        <f aca="false">IF($A116="","",VLOOKUP($A115,Table,MATCH(AA$4,Curves,0)))</f>
        <v>#N/A</v>
      </c>
      <c r="AB115" s="185" t="e">
        <f aca="false">SQRT((AA115^2*(A115-$D$3)+Z115^2*(DAY(EOMONTH(A115,0))/2))/AK115)</f>
        <v>#N/A</v>
      </c>
      <c r="AC115" s="185" t="e">
        <f aca="false">IF($A116="","",VLOOKUP($A115,Table,MATCH(AC$4,Curves,0)))</f>
        <v>#N/A</v>
      </c>
      <c r="AD115" s="185" t="e">
        <f aca="false">IF($A116="","",VLOOKUP($A115,Table,MATCH(AD$4,Curves,0)))</f>
        <v>#N/A</v>
      </c>
      <c r="AE115" s="185" t="e">
        <f aca="false">SQRT((AD115^2*(A115-$D$3)+AC115^2*(DAY(EOMONTH(A115,0))/2))/AK115)</f>
        <v>#N/A</v>
      </c>
      <c r="AF115" s="224" t="e">
        <f aca="false">((Summary!$N$10*(AA115*AD115)*(A115-$D$3))+(Summary!$M$10*Z115*AC115*(AJ115-EOMONTH(EDATE(A115,-1),0))))/(AK115*AB115*AE115)</f>
        <v>#N/A</v>
      </c>
      <c r="AG115" s="207" t="n">
        <f aca="false">IF($A116="","",Summary!$Q$10)</f>
        <v>0</v>
      </c>
      <c r="AH115" s="207" t="n">
        <f aca="false">IF($A116="","",IF(Summary!$R$10="Y",(VLOOKUP($A115,Summary!$AD$6:$AF$9,3)+'Escalating commodity'!F128),'Escalating commodity'!F128))</f>
        <v>0.0158208</v>
      </c>
      <c r="AI115" s="207" t="n">
        <f aca="false">IF($A116="","",AH115)</f>
        <v>0.0158208</v>
      </c>
      <c r="AJ115" s="208" t="n">
        <f aca="false">A115+DAY(EOMONTH(A115,0))/2-1</f>
        <v>40252.5</v>
      </c>
      <c r="AK115" s="209" t="n">
        <f aca="false">IF($A116="","",$A115-$E$1)</f>
        <v>-5688</v>
      </c>
      <c r="AL115" s="182" t="e">
        <f aca="false">IF($A116="","",SPRDOPT(P115,X115,AI115,0,AB115,AE115,AF115,AK115,$AJ$2,0))</f>
        <v>#NAME?</v>
      </c>
      <c r="AM115" s="211" t="e">
        <f aca="false">IF($A116="","",MAX(0,O115-W115-AI115))</f>
        <v>#N/A</v>
      </c>
      <c r="AN115" s="211" t="e">
        <f aca="false">IF($A116="","",AL115-AM115)</f>
        <v>#N/A</v>
      </c>
      <c r="AO115" s="137" t="n">
        <f aca="false">IF(A116="","",A116-A115)</f>
        <v>31</v>
      </c>
      <c r="AP115" s="212" t="n">
        <f aca="false">IF(A116="","",CHOOSE(F$3,A116+24,A115))</f>
        <v>40238</v>
      </c>
      <c r="AQ115" s="209" t="n">
        <f aca="false">IF(A116="","",AP115-$E$1)</f>
        <v>-5688</v>
      </c>
      <c r="AR115" s="185" t="n">
        <f aca="false">'ANR OK vs ML7'!AR115</f>
        <v>0.1</v>
      </c>
      <c r="AS115" s="213" t="n">
        <f aca="false">IF(A116="","",1/(1+CHOOSE(F$3,(AR116+($I$3/10000))/2,(AR115+($I$3/10000))/2))^(2*AQ115/365.25))</f>
        <v>4.57043430513308</v>
      </c>
      <c r="AT115" s="137" t="n">
        <f aca="false">IF(A116="","",IF(AND(mthbeg&lt;=A115,mthend&gt;=A115),1,0))</f>
        <v>1</v>
      </c>
      <c r="AU115" s="137" t="n">
        <f aca="false">IF(A116="","",AO115*AT115)</f>
        <v>31</v>
      </c>
      <c r="AW115" s="195" t="e">
        <f aca="false">IF($A116="","",AL115*$E115)</f>
        <v>#NAME?</v>
      </c>
      <c r="AX115" s="195" t="e">
        <f aca="false">IF($A116="","",AM115*$E115)</f>
        <v>#N/A</v>
      </c>
      <c r="AY115" s="195" t="e">
        <f aca="false">IF($A116="","",AN115*$E115)</f>
        <v>#N/A</v>
      </c>
      <c r="BA115" s="195" t="n">
        <f aca="false">IF($A116="","",F115*Summary!$Q$10)</f>
        <v>0</v>
      </c>
      <c r="BC115" s="179" t="e">
        <f aca="false">IF(A116="","",AM115*F115)</f>
        <v>#N/A</v>
      </c>
    </row>
    <row r="116" customFormat="false" ht="12.75" hidden="false" customHeight="false" outlineLevel="0" collapsed="false">
      <c r="A116" s="196" t="n">
        <f aca="false">IF(A115&lt;mthend,EDATE(A115,1),"")</f>
        <v>40269</v>
      </c>
      <c r="B116" s="197" t="n">
        <f aca="false">IF(A116&lt;mthend,B115,"")</f>
        <v>119740</v>
      </c>
      <c r="C116" s="215"/>
      <c r="D116" s="197" t="n">
        <f aca="false">IF(A117&lt;&gt;"",B116+C116,"")</f>
        <v>119740</v>
      </c>
      <c r="E116" s="199" t="n">
        <f aca="false">IF(A117="","",IF(AND(AT116=1,$H$3=1),D116*AO116,IF($H$3=2,D116,"N/A")))</f>
        <v>3592200</v>
      </c>
      <c r="F116" s="199" t="n">
        <f aca="false">IF(A117="","",E116*AS116)</f>
        <v>16282502.9200088</v>
      </c>
      <c r="G116" s="200" t="e">
        <f aca="false">IF($A117="","",VLOOKUP($A116,Table,MATCH(G$4,Curves,0)))</f>
        <v>#N/A</v>
      </c>
      <c r="H116" s="201" t="e">
        <f aca="false">IF(A117="","",G116)</f>
        <v>#N/A</v>
      </c>
      <c r="I116" s="202"/>
      <c r="J116" s="200" t="e">
        <f aca="false">IF($A117="","",VLOOKUP($A116,Table,MATCH(J$4,Curves,0)))</f>
        <v>#N/A</v>
      </c>
      <c r="K116" s="201" t="e">
        <f aca="false">IF(A117="","",J116)</f>
        <v>#N/A</v>
      </c>
      <c r="L116" s="185" t="n">
        <v>0</v>
      </c>
      <c r="M116" s="201" t="n">
        <f aca="false">IF(A117="","",L116)</f>
        <v>0</v>
      </c>
      <c r="N116" s="203"/>
      <c r="O116" s="200" t="e">
        <f aca="false">IF(A117="","",L116+J116+G116)</f>
        <v>#N/A</v>
      </c>
      <c r="P116" s="200" t="e">
        <f aca="false">IF(A117="","",M116+K116+H116)</f>
        <v>#N/A</v>
      </c>
      <c r="Q116" s="204"/>
      <c r="R116" s="200" t="e">
        <f aca="false">IF($A117="","",VLOOKUP($A116,Table,MATCH(R$4,Curves,0)))</f>
        <v>#N/A</v>
      </c>
      <c r="S116" s="201" t="e">
        <f aca="false">IF(A117="","",R116)</f>
        <v>#N/A</v>
      </c>
      <c r="T116" s="200" t="e">
        <f aca="false">IF($A117="","",VLOOKUP($A116,Table,MATCH(T$4,Curves,0)))</f>
        <v>#N/A</v>
      </c>
      <c r="U116" s="201" t="e">
        <f aca="false">IF(A117="","",T116)</f>
        <v>#N/A</v>
      </c>
      <c r="V116" s="205" t="e">
        <f aca="false">IF($A117="","",IF(AND(MONTH(A116)&gt;3,MONTH(A116)&lt;11),(T116+R116+G116)*Summary!$T$10/(1-Summary!$T$10),(T116+R116+G116)*Summary!$U$10/(1-Summary!$U$10)))</f>
        <v>#N/A</v>
      </c>
      <c r="W116" s="200" t="e">
        <f aca="false">IF($A117="","",(T116+R116+G116+V116))</f>
        <v>#N/A</v>
      </c>
      <c r="X116" s="200" t="e">
        <f aca="false">IF($A117="","",(U116+S116+H116+V116))</f>
        <v>#N/A</v>
      </c>
      <c r="Y116" s="202"/>
      <c r="Z116" s="185" t="e">
        <f aca="false">IF($A117="","",VLOOKUP($A116,Table,MATCH(Z$4,Curves,0)))</f>
        <v>#N/A</v>
      </c>
      <c r="AA116" s="185" t="e">
        <f aca="false">IF($A117="","",VLOOKUP($A116,Table,MATCH(AA$4,Curves,0)))</f>
        <v>#N/A</v>
      </c>
      <c r="AB116" s="185" t="e">
        <f aca="false">SQRT((AA116^2*(A116-$D$3)+Z116^2*(DAY(EOMONTH(A116,0))/2))/AK116)</f>
        <v>#N/A</v>
      </c>
      <c r="AC116" s="185" t="e">
        <f aca="false">IF($A117="","",VLOOKUP($A116,Table,MATCH(AC$4,Curves,0)))</f>
        <v>#N/A</v>
      </c>
      <c r="AD116" s="185" t="e">
        <f aca="false">IF($A117="","",VLOOKUP($A116,Table,MATCH(AD$4,Curves,0)))</f>
        <v>#N/A</v>
      </c>
      <c r="AE116" s="185" t="e">
        <f aca="false">SQRT((AD116^2*(A116-$D$3)+AC116^2*(DAY(EOMONTH(A116,0))/2))/AK116)</f>
        <v>#N/A</v>
      </c>
      <c r="AF116" s="224" t="e">
        <f aca="false">((Summary!$N$10*(AA116*AD116)*(A116-$D$3))+(Summary!$M$10*Z116*AC116*(AJ116-EOMONTH(EDATE(A116,-1),0))))/(AK116*AB116*AE116)</f>
        <v>#N/A</v>
      </c>
      <c r="AG116" s="207" t="n">
        <f aca="false">IF($A117="","",Summary!$Q$10)</f>
        <v>0</v>
      </c>
      <c r="AH116" s="207" t="n">
        <f aca="false">IF($A117="","",IF(Summary!$R$10="Y",(VLOOKUP($A116,Summary!$AD$6:$AF$9,3)+'Escalating commodity'!F129),'Escalating commodity'!F129))</f>
        <v>0.0158208</v>
      </c>
      <c r="AI116" s="207" t="n">
        <f aca="false">IF($A117="","",AH116)</f>
        <v>0.0158208</v>
      </c>
      <c r="AJ116" s="208" t="n">
        <f aca="false">A116+DAY(EOMONTH(A116,0))/2-1</f>
        <v>40283</v>
      </c>
      <c r="AK116" s="209" t="n">
        <f aca="false">IF($A117="","",$A116-$E$1)</f>
        <v>-5657</v>
      </c>
      <c r="AL116" s="182" t="e">
        <f aca="false">IF($A117="","",SPRDOPT(P116,X116,AI116,0,AB116,AE116,AF116,AK116,$AJ$2,0))</f>
        <v>#NAME?</v>
      </c>
      <c r="AM116" s="211" t="e">
        <f aca="false">IF($A117="","",MAX(0,O116-W116-AI116))</f>
        <v>#N/A</v>
      </c>
      <c r="AN116" s="211" t="e">
        <f aca="false">IF($A117="","",AL116-AM116)</f>
        <v>#N/A</v>
      </c>
      <c r="AO116" s="137" t="n">
        <f aca="false">IF(A117="","",A117-A116)</f>
        <v>30</v>
      </c>
      <c r="AP116" s="212" t="n">
        <f aca="false">IF(A117="","",CHOOSE(F$3,A117+24,A116))</f>
        <v>40269</v>
      </c>
      <c r="AQ116" s="209" t="n">
        <f aca="false">IF(A117="","",AP116-$E$1)</f>
        <v>-5657</v>
      </c>
      <c r="AR116" s="185" t="n">
        <f aca="false">'ANR OK vs ML7'!AR116</f>
        <v>0.1</v>
      </c>
      <c r="AS116" s="213" t="n">
        <f aca="false">IF(A117="","",1/(1+CHOOSE(F$3,(AR117+($I$3/10000))/2,(AR116+($I$3/10000))/2))^(2*AQ116/365.25))</f>
        <v>4.53273841100405</v>
      </c>
      <c r="AT116" s="137" t="n">
        <f aca="false">IF(A117="","",IF(AND(mthbeg&lt;=A116,mthend&gt;=A116),1,0))</f>
        <v>1</v>
      </c>
      <c r="AU116" s="137" t="n">
        <f aca="false">IF(A117="","",AO116*AT116)</f>
        <v>30</v>
      </c>
      <c r="AW116" s="195" t="e">
        <f aca="false">IF($A117="","",AL116*$E116)</f>
        <v>#NAME?</v>
      </c>
      <c r="AX116" s="195" t="e">
        <f aca="false">IF($A117="","",AM116*$E116)</f>
        <v>#N/A</v>
      </c>
      <c r="AY116" s="195" t="e">
        <f aca="false">IF($A117="","",AN116*$E116)</f>
        <v>#N/A</v>
      </c>
      <c r="BA116" s="195" t="n">
        <f aca="false">IF($A117="","",F116*Summary!$Q$10)</f>
        <v>0</v>
      </c>
      <c r="BC116" s="179" t="e">
        <f aca="false">IF(A117="","",AM116*F116)</f>
        <v>#N/A</v>
      </c>
    </row>
    <row r="117" customFormat="false" ht="12.75" hidden="false" customHeight="false" outlineLevel="0" collapsed="false">
      <c r="A117" s="196" t="n">
        <f aca="false">IF(A116&lt;mthend,EDATE(A116,1),"")</f>
        <v>40299</v>
      </c>
      <c r="B117" s="197" t="n">
        <f aca="false">IF(A117&lt;mthend,B116,"")</f>
        <v>119740</v>
      </c>
      <c r="C117" s="215"/>
      <c r="D117" s="197" t="n">
        <f aca="false">IF(A118&lt;&gt;"",B117+C117,"")</f>
        <v>119740</v>
      </c>
      <c r="E117" s="199" t="n">
        <f aca="false">IF(A118="","",IF(AND(AT117=1,$H$3=1),D117*AO117,IF($H$3=2,D117,"N/A")))</f>
        <v>3711940</v>
      </c>
      <c r="F117" s="199" t="n">
        <f aca="false">IF(A118="","",E117*AS117)</f>
        <v>16690940.7510069</v>
      </c>
      <c r="G117" s="200" t="e">
        <f aca="false">IF($A118="","",VLOOKUP($A117,Table,MATCH(G$4,Curves,0)))</f>
        <v>#N/A</v>
      </c>
      <c r="H117" s="201" t="e">
        <f aca="false">IF(A118="","",G117)</f>
        <v>#N/A</v>
      </c>
      <c r="I117" s="202"/>
      <c r="J117" s="200" t="e">
        <f aca="false">IF($A118="","",VLOOKUP($A117,Table,MATCH(J$4,Curves,0)))</f>
        <v>#N/A</v>
      </c>
      <c r="K117" s="201" t="e">
        <f aca="false">IF(A118="","",J117)</f>
        <v>#N/A</v>
      </c>
      <c r="L117" s="185" t="n">
        <v>0</v>
      </c>
      <c r="M117" s="201" t="n">
        <f aca="false">IF(A118="","",L117)</f>
        <v>0</v>
      </c>
      <c r="N117" s="203"/>
      <c r="O117" s="200" t="e">
        <f aca="false">IF(A118="","",L117+J117+G117)</f>
        <v>#N/A</v>
      </c>
      <c r="P117" s="200" t="e">
        <f aca="false">IF(A118="","",M117+K117+H117)</f>
        <v>#N/A</v>
      </c>
      <c r="Q117" s="204"/>
      <c r="R117" s="200" t="e">
        <f aca="false">IF($A118="","",VLOOKUP($A117,Table,MATCH(R$4,Curves,0)))</f>
        <v>#N/A</v>
      </c>
      <c r="S117" s="201" t="e">
        <f aca="false">IF(A118="","",R117)</f>
        <v>#N/A</v>
      </c>
      <c r="T117" s="200" t="e">
        <f aca="false">IF($A118="","",VLOOKUP($A117,Table,MATCH(T$4,Curves,0)))</f>
        <v>#N/A</v>
      </c>
      <c r="U117" s="201" t="e">
        <f aca="false">IF(A118="","",T117)</f>
        <v>#N/A</v>
      </c>
      <c r="V117" s="205" t="e">
        <f aca="false">IF($A118="","",IF(AND(MONTH(A117)&gt;3,MONTH(A117)&lt;11),(T117+R117+G117)*Summary!$T$10/(1-Summary!$T$10),(T117+R117+G117)*Summary!$U$10/(1-Summary!$U$10)))</f>
        <v>#N/A</v>
      </c>
      <c r="W117" s="200" t="e">
        <f aca="false">IF($A118="","",(T117+R117+G117+V117))</f>
        <v>#N/A</v>
      </c>
      <c r="X117" s="200" t="e">
        <f aca="false">IF($A118="","",(U117+S117+H117+V117))</f>
        <v>#N/A</v>
      </c>
      <c r="Y117" s="202"/>
      <c r="Z117" s="185" t="e">
        <f aca="false">IF($A118="","",VLOOKUP($A117,Table,MATCH(Z$4,Curves,0)))</f>
        <v>#N/A</v>
      </c>
      <c r="AA117" s="185" t="e">
        <f aca="false">IF($A118="","",VLOOKUP($A117,Table,MATCH(AA$4,Curves,0)))</f>
        <v>#N/A</v>
      </c>
      <c r="AB117" s="185" t="e">
        <f aca="false">SQRT((AA117^2*(A117-$D$3)+Z117^2*(DAY(EOMONTH(A117,0))/2))/AK117)</f>
        <v>#N/A</v>
      </c>
      <c r="AC117" s="185" t="e">
        <f aca="false">IF($A118="","",VLOOKUP($A117,Table,MATCH(AC$4,Curves,0)))</f>
        <v>#N/A</v>
      </c>
      <c r="AD117" s="185" t="e">
        <f aca="false">IF($A118="","",VLOOKUP($A117,Table,MATCH(AD$4,Curves,0)))</f>
        <v>#N/A</v>
      </c>
      <c r="AE117" s="185" t="e">
        <f aca="false">SQRT((AD117^2*(A117-$D$3)+AC117^2*(DAY(EOMONTH(A117,0))/2))/AK117)</f>
        <v>#N/A</v>
      </c>
      <c r="AF117" s="224" t="e">
        <f aca="false">((Summary!$N$10*(AA117*AD117)*(A117-$D$3))+(Summary!$M$10*Z117*AC117*(AJ117-EOMONTH(EDATE(A117,-1),0))))/(AK117*AB117*AE117)</f>
        <v>#N/A</v>
      </c>
      <c r="AG117" s="207" t="n">
        <f aca="false">IF($A118="","",Summary!$Q$10)</f>
        <v>0</v>
      </c>
      <c r="AH117" s="207" t="n">
        <f aca="false">IF($A118="","",IF(Summary!$R$10="Y",(VLOOKUP($A117,Summary!$AD$6:$AF$9,3)+'Escalating commodity'!F130),'Escalating commodity'!F130))</f>
        <v>0.0158208</v>
      </c>
      <c r="AI117" s="207" t="n">
        <f aca="false">IF($A118="","",AH117)</f>
        <v>0.0158208</v>
      </c>
      <c r="AJ117" s="208" t="n">
        <f aca="false">A117+DAY(EOMONTH(A117,0))/2-1</f>
        <v>40313.5</v>
      </c>
      <c r="AK117" s="209" t="n">
        <f aca="false">IF($A118="","",$A117-$E$1)</f>
        <v>-5627</v>
      </c>
      <c r="AL117" s="182" t="e">
        <f aca="false">IF($A118="","",SPRDOPT(P117,X117,AI117,0,AB117,AE117,AF117,AK117,$AJ$2,0))</f>
        <v>#NAME?</v>
      </c>
      <c r="AM117" s="211" t="e">
        <f aca="false">IF($A118="","",MAX(0,O117-W117-AI117))</f>
        <v>#N/A</v>
      </c>
      <c r="AN117" s="211" t="e">
        <f aca="false">IF($A118="","",AL117-AM117)</f>
        <v>#N/A</v>
      </c>
      <c r="AO117" s="137" t="n">
        <f aca="false">IF(A118="","",A118-A117)</f>
        <v>31</v>
      </c>
      <c r="AP117" s="212" t="n">
        <f aca="false">IF(A118="","",CHOOSE(F$3,A118+24,A117))</f>
        <v>40299</v>
      </c>
      <c r="AQ117" s="209" t="n">
        <f aca="false">IF(A118="","",AP117-$E$1)</f>
        <v>-5627</v>
      </c>
      <c r="AR117" s="185" t="n">
        <f aca="false">'ANR OK vs ML7'!AR117</f>
        <v>0.1</v>
      </c>
      <c r="AS117" s="213" t="n">
        <f aca="false">IF(A118="","",1/(1+CHOOSE(F$3,(AR118+($I$3/10000))/2,(AR117+($I$3/10000))/2))^(2*AQ117/365.25))</f>
        <v>4.49655456473081</v>
      </c>
      <c r="AT117" s="137" t="n">
        <f aca="false">IF(A118="","",IF(AND(mthbeg&lt;=A117,mthend&gt;=A117),1,0))</f>
        <v>1</v>
      </c>
      <c r="AU117" s="137" t="n">
        <f aca="false">IF(A118="","",AO117*AT117)</f>
        <v>31</v>
      </c>
      <c r="AW117" s="195" t="e">
        <f aca="false">IF($A118="","",AL117*$E117)</f>
        <v>#NAME?</v>
      </c>
      <c r="AX117" s="195" t="e">
        <f aca="false">IF($A118="","",AM117*$E117)</f>
        <v>#N/A</v>
      </c>
      <c r="AY117" s="195" t="e">
        <f aca="false">IF($A118="","",AN117*$E117)</f>
        <v>#N/A</v>
      </c>
      <c r="BA117" s="195" t="n">
        <f aca="false">IF($A118="","",F117*Summary!$Q$10)</f>
        <v>0</v>
      </c>
      <c r="BC117" s="179" t="e">
        <f aca="false">IF(A118="","",AM117*F117)</f>
        <v>#N/A</v>
      </c>
    </row>
    <row r="118" customFormat="false" ht="12.75" hidden="false" customHeight="false" outlineLevel="0" collapsed="false">
      <c r="A118" s="196" t="n">
        <f aca="false">IF(A117&lt;mthend,EDATE(A117,1),"")</f>
        <v>40330</v>
      </c>
      <c r="B118" s="197" t="n">
        <f aca="false">IF(A118&lt;mthend,B117,"")</f>
        <v>119740</v>
      </c>
      <c r="C118" s="215"/>
      <c r="D118" s="197" t="n">
        <f aca="false">IF(A119&lt;&gt;"",B118+C118,"")</f>
        <v>119740</v>
      </c>
      <c r="E118" s="199" t="n">
        <f aca="false">IF(A119="","",IF(AND(AT118=1,$H$3=1),D118*AO118,IF($H$3=2,D118,"N/A")))</f>
        <v>3592200</v>
      </c>
      <c r="F118" s="199" t="n">
        <f aca="false">IF(A119="","",E118*AS118)</f>
        <v>16019300.9990275</v>
      </c>
      <c r="G118" s="200" t="e">
        <f aca="false">IF($A119="","",VLOOKUP($A118,Table,MATCH(G$4,Curves,0)))</f>
        <v>#N/A</v>
      </c>
      <c r="H118" s="201" t="e">
        <f aca="false">IF(A119="","",G118)</f>
        <v>#N/A</v>
      </c>
      <c r="I118" s="202"/>
      <c r="J118" s="200" t="e">
        <f aca="false">IF($A119="","",VLOOKUP($A118,Table,MATCH(J$4,Curves,0)))</f>
        <v>#N/A</v>
      </c>
      <c r="K118" s="201" t="e">
        <f aca="false">IF(A119="","",J118)</f>
        <v>#N/A</v>
      </c>
      <c r="L118" s="185" t="n">
        <v>0</v>
      </c>
      <c r="M118" s="201" t="n">
        <f aca="false">IF(A119="","",L118)</f>
        <v>0</v>
      </c>
      <c r="N118" s="203"/>
      <c r="O118" s="200" t="e">
        <f aca="false">IF(A119="","",L118+J118+G118)</f>
        <v>#N/A</v>
      </c>
      <c r="P118" s="200" t="e">
        <f aca="false">IF(A119="","",M118+K118+H118)</f>
        <v>#N/A</v>
      </c>
      <c r="Q118" s="204"/>
      <c r="R118" s="200" t="e">
        <f aca="false">IF($A119="","",VLOOKUP($A118,Table,MATCH(R$4,Curves,0)))</f>
        <v>#N/A</v>
      </c>
      <c r="S118" s="201" t="e">
        <f aca="false">IF(A119="","",R118)</f>
        <v>#N/A</v>
      </c>
      <c r="T118" s="200" t="e">
        <f aca="false">IF($A119="","",VLOOKUP($A118,Table,MATCH(T$4,Curves,0)))</f>
        <v>#N/A</v>
      </c>
      <c r="U118" s="201" t="e">
        <f aca="false">IF(A119="","",T118)</f>
        <v>#N/A</v>
      </c>
      <c r="V118" s="205" t="e">
        <f aca="false">IF($A119="","",IF(AND(MONTH(A118)&gt;3,MONTH(A118)&lt;11),(T118+R118+G118)*Summary!$T$10/(1-Summary!$T$10),(T118+R118+G118)*Summary!$U$10/(1-Summary!$U$10)))</f>
        <v>#N/A</v>
      </c>
      <c r="W118" s="200" t="e">
        <f aca="false">IF($A119="","",(T118+R118+G118+V118))</f>
        <v>#N/A</v>
      </c>
      <c r="X118" s="200" t="e">
        <f aca="false">IF($A119="","",(U118+S118+H118+V118))</f>
        <v>#N/A</v>
      </c>
      <c r="Y118" s="202"/>
      <c r="Z118" s="185" t="e">
        <f aca="false">IF($A119="","",VLOOKUP($A118,Table,MATCH(Z$4,Curves,0)))</f>
        <v>#N/A</v>
      </c>
      <c r="AA118" s="185" t="e">
        <f aca="false">IF($A119="","",VLOOKUP($A118,Table,MATCH(AA$4,Curves,0)))</f>
        <v>#N/A</v>
      </c>
      <c r="AB118" s="185" t="e">
        <f aca="false">SQRT((AA118^2*(A118-$D$3)+Z118^2*(DAY(EOMONTH(A118,0))/2))/AK118)</f>
        <v>#N/A</v>
      </c>
      <c r="AC118" s="185" t="e">
        <f aca="false">IF($A119="","",VLOOKUP($A118,Table,MATCH(AC$4,Curves,0)))</f>
        <v>#N/A</v>
      </c>
      <c r="AD118" s="185" t="e">
        <f aca="false">IF($A119="","",VLOOKUP($A118,Table,MATCH(AD$4,Curves,0)))</f>
        <v>#N/A</v>
      </c>
      <c r="AE118" s="185" t="e">
        <f aca="false">SQRT((AD118^2*(A118-$D$3)+AC118^2*(DAY(EOMONTH(A118,0))/2))/AK118)</f>
        <v>#N/A</v>
      </c>
      <c r="AF118" s="224" t="e">
        <f aca="false">((Summary!$N$10*(AA118*AD118)*(A118-$D$3))+(Summary!$M$10*Z118*AC118*(AJ118-EOMONTH(EDATE(A118,-1),0))))/(AK118*AB118*AE118)</f>
        <v>#N/A</v>
      </c>
      <c r="AG118" s="207" t="n">
        <f aca="false">IF($A119="","",Summary!$Q$10)</f>
        <v>0</v>
      </c>
      <c r="AH118" s="207" t="n">
        <f aca="false">IF($A119="","",IF(Summary!$R$10="Y",(VLOOKUP($A118,Summary!$AD$6:$AF$9,3)+'Escalating commodity'!F131),'Escalating commodity'!F131))</f>
        <v>0.0158208</v>
      </c>
      <c r="AI118" s="207" t="n">
        <f aca="false">IF($A119="","",AH118)</f>
        <v>0.0158208</v>
      </c>
      <c r="AJ118" s="208" t="n">
        <f aca="false">A118+DAY(EOMONTH(A118,0))/2-1</f>
        <v>40344</v>
      </c>
      <c r="AK118" s="209" t="n">
        <f aca="false">IF($A119="","",$A118-$E$1)</f>
        <v>-5596</v>
      </c>
      <c r="AL118" s="182" t="e">
        <f aca="false">IF($A119="","",SPRDOPT(P118,X118,AI118,0,AB118,AE118,AF118,AK118,$AJ$2,0))</f>
        <v>#NAME?</v>
      </c>
      <c r="AM118" s="211" t="e">
        <f aca="false">IF($A119="","",MAX(0,O118-W118-AI118))</f>
        <v>#N/A</v>
      </c>
      <c r="AN118" s="211" t="e">
        <f aca="false">IF($A119="","",AL118-AM118)</f>
        <v>#N/A</v>
      </c>
      <c r="AO118" s="137" t="n">
        <f aca="false">IF(A119="","",A119-A118)</f>
        <v>30</v>
      </c>
      <c r="AP118" s="212" t="n">
        <f aca="false">IF(A119="","",CHOOSE(F$3,A119+24,A118))</f>
        <v>40330</v>
      </c>
      <c r="AQ118" s="209" t="n">
        <f aca="false">IF(A119="","",AP118-$E$1)</f>
        <v>-5596</v>
      </c>
      <c r="AR118" s="185" t="n">
        <f aca="false">'ANR OK vs ML7'!AR118</f>
        <v>0.1</v>
      </c>
      <c r="AS118" s="213" t="n">
        <f aca="false">IF(A119="","",1/(1+CHOOSE(F$3,(AR119+($I$3/10000))/2,(AR118+($I$3/10000))/2))^(2*AQ118/365.25))</f>
        <v>4.45946801375968</v>
      </c>
      <c r="AT118" s="137" t="n">
        <f aca="false">IF(A119="","",IF(AND(mthbeg&lt;=A118,mthend&gt;=A118),1,0))</f>
        <v>1</v>
      </c>
      <c r="AU118" s="137" t="n">
        <f aca="false">IF(A119="","",AO118*AT118)</f>
        <v>30</v>
      </c>
      <c r="AW118" s="195" t="e">
        <f aca="false">IF($A119="","",AL118*$E118)</f>
        <v>#NAME?</v>
      </c>
      <c r="AX118" s="195" t="e">
        <f aca="false">IF($A119="","",AM118*$E118)</f>
        <v>#N/A</v>
      </c>
      <c r="AY118" s="195" t="e">
        <f aca="false">IF($A119="","",AN118*$E118)</f>
        <v>#N/A</v>
      </c>
      <c r="BA118" s="195" t="n">
        <f aca="false">IF($A119="","",F118*Summary!$Q$10)</f>
        <v>0</v>
      </c>
      <c r="BC118" s="179" t="e">
        <f aca="false">IF(A119="","",AM118*F118)</f>
        <v>#N/A</v>
      </c>
    </row>
    <row r="119" customFormat="false" ht="12.75" hidden="false" customHeight="false" outlineLevel="0" collapsed="false">
      <c r="A119" s="196" t="n">
        <f aca="false">IF(A118&lt;mthend,EDATE(A118,1),"")</f>
        <v>40360</v>
      </c>
      <c r="B119" s="197" t="n">
        <f aca="false">IF(A119&lt;mthend,B118,"")</f>
        <v>119740</v>
      </c>
      <c r="C119" s="215"/>
      <c r="D119" s="197" t="n">
        <f aca="false">IF(A120&lt;&gt;"",B119+C119,"")</f>
        <v>119740</v>
      </c>
      <c r="E119" s="199" t="n">
        <f aca="false">IF(A120="","",IF(AND(AT119=1,$H$3=1),D119*AO119,IF($H$3=2,D119,"N/A")))</f>
        <v>3711940</v>
      </c>
      <c r="F119" s="199" t="n">
        <f aca="false">IF(A120="","",E119*AS119)</f>
        <v>16421136.5513558</v>
      </c>
      <c r="G119" s="200" t="e">
        <f aca="false">IF($A120="","",VLOOKUP($A119,Table,MATCH(G$4,Curves,0)))</f>
        <v>#N/A</v>
      </c>
      <c r="H119" s="201" t="e">
        <f aca="false">IF(A120="","",G119)</f>
        <v>#N/A</v>
      </c>
      <c r="I119" s="202"/>
      <c r="J119" s="200" t="e">
        <f aca="false">IF($A120="","",VLOOKUP($A119,Table,MATCH(J$4,Curves,0)))</f>
        <v>#N/A</v>
      </c>
      <c r="K119" s="201" t="e">
        <f aca="false">IF(A120="","",J119)</f>
        <v>#N/A</v>
      </c>
      <c r="L119" s="185" t="n">
        <v>0</v>
      </c>
      <c r="M119" s="201" t="n">
        <f aca="false">IF(A120="","",L119)</f>
        <v>0</v>
      </c>
      <c r="N119" s="203"/>
      <c r="O119" s="200" t="e">
        <f aca="false">IF(A120="","",L119+J119+G119)</f>
        <v>#N/A</v>
      </c>
      <c r="P119" s="200" t="e">
        <f aca="false">IF(A120="","",M119+K119+H119)</f>
        <v>#N/A</v>
      </c>
      <c r="Q119" s="204"/>
      <c r="R119" s="200" t="e">
        <f aca="false">IF($A120="","",VLOOKUP($A119,Table,MATCH(R$4,Curves,0)))</f>
        <v>#N/A</v>
      </c>
      <c r="S119" s="201" t="e">
        <f aca="false">IF(A120="","",R119)</f>
        <v>#N/A</v>
      </c>
      <c r="T119" s="200" t="e">
        <f aca="false">IF($A120="","",VLOOKUP($A119,Table,MATCH(T$4,Curves,0)))</f>
        <v>#N/A</v>
      </c>
      <c r="U119" s="201" t="e">
        <f aca="false">IF(A120="","",T119)</f>
        <v>#N/A</v>
      </c>
      <c r="V119" s="205" t="e">
        <f aca="false">IF($A120="","",IF(AND(MONTH(A119)&gt;3,MONTH(A119)&lt;11),(T119+R119+G119)*Summary!$T$10/(1-Summary!$T$10),(T119+R119+G119)*Summary!$U$10/(1-Summary!$U$10)))</f>
        <v>#N/A</v>
      </c>
      <c r="W119" s="200" t="e">
        <f aca="false">IF($A120="","",(T119+R119+G119+V119))</f>
        <v>#N/A</v>
      </c>
      <c r="X119" s="200" t="e">
        <f aca="false">IF($A120="","",(U119+S119+H119+V119))</f>
        <v>#N/A</v>
      </c>
      <c r="Y119" s="202"/>
      <c r="Z119" s="185" t="e">
        <f aca="false">IF($A120="","",VLOOKUP($A119,Table,MATCH(Z$4,Curves,0)))</f>
        <v>#N/A</v>
      </c>
      <c r="AA119" s="185" t="e">
        <f aca="false">IF($A120="","",VLOOKUP($A119,Table,MATCH(AA$4,Curves,0)))</f>
        <v>#N/A</v>
      </c>
      <c r="AB119" s="185" t="e">
        <f aca="false">SQRT((AA119^2*(A119-$D$3)+Z119^2*(DAY(EOMONTH(A119,0))/2))/AK119)</f>
        <v>#N/A</v>
      </c>
      <c r="AC119" s="185" t="e">
        <f aca="false">IF($A120="","",VLOOKUP($A119,Table,MATCH(AC$4,Curves,0)))</f>
        <v>#N/A</v>
      </c>
      <c r="AD119" s="185" t="e">
        <f aca="false">IF($A120="","",VLOOKUP($A119,Table,MATCH(AD$4,Curves,0)))</f>
        <v>#N/A</v>
      </c>
      <c r="AE119" s="185" t="e">
        <f aca="false">SQRT((AD119^2*(A119-$D$3)+AC119^2*(DAY(EOMONTH(A119,0))/2))/AK119)</f>
        <v>#N/A</v>
      </c>
      <c r="AF119" s="224" t="e">
        <f aca="false">((Summary!$N$10*(AA119*AD119)*(A119-$D$3))+(Summary!$M$10*Z119*AC119*(AJ119-EOMONTH(EDATE(A119,-1),0))))/(AK119*AB119*AE119)</f>
        <v>#N/A</v>
      </c>
      <c r="AG119" s="207" t="n">
        <f aca="false">IF($A120="","",Summary!$Q$10)</f>
        <v>0</v>
      </c>
      <c r="AH119" s="207" t="n">
        <f aca="false">IF($A120="","",IF(Summary!$R$10="Y",(VLOOKUP($A119,Summary!$AD$6:$AF$9,3)+'Escalating commodity'!F132),'Escalating commodity'!F132))</f>
        <v>0.0158208</v>
      </c>
      <c r="AI119" s="207" t="n">
        <f aca="false">IF($A120="","",AH119)</f>
        <v>0.0158208</v>
      </c>
      <c r="AJ119" s="208" t="n">
        <f aca="false">A119+DAY(EOMONTH(A119,0))/2-1</f>
        <v>40374.5</v>
      </c>
      <c r="AK119" s="209" t="n">
        <f aca="false">IF($A120="","",$A119-$E$1)</f>
        <v>-5566</v>
      </c>
      <c r="AL119" s="182" t="e">
        <f aca="false">IF($A120="","",SPRDOPT(P119,X119,AI119,0,AB119,AE119,AF119,AK119,$AJ$2,0))</f>
        <v>#NAME?</v>
      </c>
      <c r="AM119" s="211" t="e">
        <f aca="false">IF($A120="","",MAX(0,O119-W119-AI119))</f>
        <v>#N/A</v>
      </c>
      <c r="AN119" s="211" t="e">
        <f aca="false">IF($A120="","",AL119-AM119)</f>
        <v>#N/A</v>
      </c>
      <c r="AO119" s="137" t="n">
        <f aca="false">IF(A120="","",A120-A119)</f>
        <v>31</v>
      </c>
      <c r="AP119" s="212" t="n">
        <f aca="false">IF(A120="","",CHOOSE(F$3,A120+24,A119))</f>
        <v>40360</v>
      </c>
      <c r="AQ119" s="209" t="n">
        <f aca="false">IF(A120="","",AP119-$E$1)</f>
        <v>-5566</v>
      </c>
      <c r="AR119" s="185" t="n">
        <f aca="false">'ANR OK vs ML7'!AR119</f>
        <v>0.1</v>
      </c>
      <c r="AS119" s="213" t="n">
        <f aca="false">IF(A120="","",1/(1+CHOOSE(F$3,(AR120+($I$3/10000))/2,(AR119+($I$3/10000))/2))^(2*AQ119/365.25))</f>
        <v>4.42386906883081</v>
      </c>
      <c r="AT119" s="137" t="n">
        <f aca="false">IF(A120="","",IF(AND(mthbeg&lt;=A119,mthend&gt;=A119),1,0))</f>
        <v>1</v>
      </c>
      <c r="AU119" s="137" t="n">
        <f aca="false">IF(A120="","",AO119*AT119)</f>
        <v>31</v>
      </c>
      <c r="AW119" s="195" t="e">
        <f aca="false">IF($A120="","",AL119*$E119)</f>
        <v>#NAME?</v>
      </c>
      <c r="AX119" s="195" t="e">
        <f aca="false">IF($A120="","",AM119*$E119)</f>
        <v>#N/A</v>
      </c>
      <c r="AY119" s="195" t="e">
        <f aca="false">IF($A120="","",AN119*$E119)</f>
        <v>#N/A</v>
      </c>
      <c r="BA119" s="195" t="n">
        <f aca="false">IF($A120="","",F119*Summary!$Q$10)</f>
        <v>0</v>
      </c>
      <c r="BC119" s="179" t="e">
        <f aca="false">IF(A120="","",AM119*F119)</f>
        <v>#N/A</v>
      </c>
    </row>
    <row r="120" customFormat="false" ht="12.75" hidden="false" customHeight="false" outlineLevel="0" collapsed="false">
      <c r="A120" s="196" t="n">
        <f aca="false">IF(A119&lt;mthend,EDATE(A119,1),"")</f>
        <v>40391</v>
      </c>
      <c r="B120" s="197" t="n">
        <f aca="false">IF(A120&lt;mthend,B119,"")</f>
        <v>119740</v>
      </c>
      <c r="C120" s="215"/>
      <c r="D120" s="197" t="n">
        <f aca="false">IF(A121&lt;&gt;"",B120+C120,"")</f>
        <v>119740</v>
      </c>
      <c r="E120" s="199" t="n">
        <f aca="false">IF(A121="","",IF(AND(AT120=1,$H$3=1),D120*AO120,IF($H$3=2,D120,"N/A")))</f>
        <v>3711940</v>
      </c>
      <c r="F120" s="199" t="n">
        <f aca="false">IF(A121="","",E120*AS120)</f>
        <v>16285698.7825156</v>
      </c>
      <c r="G120" s="200" t="e">
        <f aca="false">IF($A121="","",VLOOKUP($A120,Table,MATCH(G$4,Curves,0)))</f>
        <v>#N/A</v>
      </c>
      <c r="H120" s="201" t="e">
        <f aca="false">IF(A121="","",G120)</f>
        <v>#N/A</v>
      </c>
      <c r="I120" s="202"/>
      <c r="J120" s="200" t="e">
        <f aca="false">IF($A121="","",VLOOKUP($A120,Table,MATCH(J$4,Curves,0)))</f>
        <v>#N/A</v>
      </c>
      <c r="K120" s="201" t="e">
        <f aca="false">IF(A121="","",J120)</f>
        <v>#N/A</v>
      </c>
      <c r="L120" s="185" t="n">
        <v>0</v>
      </c>
      <c r="M120" s="201" t="n">
        <f aca="false">IF(A121="","",L120)</f>
        <v>0</v>
      </c>
      <c r="N120" s="203"/>
      <c r="O120" s="200" t="e">
        <f aca="false">IF(A121="","",L120+J120+G120)</f>
        <v>#N/A</v>
      </c>
      <c r="P120" s="200" t="e">
        <f aca="false">IF(A121="","",M120+K120+H120)</f>
        <v>#N/A</v>
      </c>
      <c r="Q120" s="204"/>
      <c r="R120" s="200" t="e">
        <f aca="false">IF($A121="","",VLOOKUP($A120,Table,MATCH(R$4,Curves,0)))</f>
        <v>#N/A</v>
      </c>
      <c r="S120" s="201" t="e">
        <f aca="false">IF(A121="","",R120)</f>
        <v>#N/A</v>
      </c>
      <c r="T120" s="200" t="e">
        <f aca="false">IF($A121="","",VLOOKUP($A120,Table,MATCH(T$4,Curves,0)))</f>
        <v>#N/A</v>
      </c>
      <c r="U120" s="201" t="e">
        <f aca="false">IF(A121="","",T120)</f>
        <v>#N/A</v>
      </c>
      <c r="V120" s="205" t="e">
        <f aca="false">IF($A121="","",IF(AND(MONTH(A120)&gt;3,MONTH(A120)&lt;11),(T120+R120+G120)*Summary!$T$10/(1-Summary!$T$10),(T120+R120+G120)*Summary!$U$10/(1-Summary!$U$10)))</f>
        <v>#N/A</v>
      </c>
      <c r="W120" s="200" t="e">
        <f aca="false">IF($A121="","",(T120+R120+G120+V120))</f>
        <v>#N/A</v>
      </c>
      <c r="X120" s="200" t="e">
        <f aca="false">IF($A121="","",(U120+S120+H120+V120))</f>
        <v>#N/A</v>
      </c>
      <c r="Y120" s="202"/>
      <c r="Z120" s="185" t="e">
        <f aca="false">IF($A121="","",VLOOKUP($A120,Table,MATCH(Z$4,Curves,0)))</f>
        <v>#N/A</v>
      </c>
      <c r="AA120" s="185" t="e">
        <f aca="false">IF($A121="","",VLOOKUP($A120,Table,MATCH(AA$4,Curves,0)))</f>
        <v>#N/A</v>
      </c>
      <c r="AB120" s="185" t="e">
        <f aca="false">SQRT((AA120^2*(A120-$D$3)+Z120^2*(DAY(EOMONTH(A120,0))/2))/AK120)</f>
        <v>#N/A</v>
      </c>
      <c r="AC120" s="185" t="e">
        <f aca="false">IF($A121="","",VLOOKUP($A120,Table,MATCH(AC$4,Curves,0)))</f>
        <v>#N/A</v>
      </c>
      <c r="AD120" s="185" t="e">
        <f aca="false">IF($A121="","",VLOOKUP($A120,Table,MATCH(AD$4,Curves,0)))</f>
        <v>#N/A</v>
      </c>
      <c r="AE120" s="185" t="e">
        <f aca="false">SQRT((AD120^2*(A120-$D$3)+AC120^2*(DAY(EOMONTH(A120,0))/2))/AK120)</f>
        <v>#N/A</v>
      </c>
      <c r="AF120" s="224" t="e">
        <f aca="false">((Summary!$N$10*(AA120*AD120)*(A120-$D$3))+(Summary!$M$10*Z120*AC120*(AJ120-EOMONTH(EDATE(A120,-1),0))))/(AK120*AB120*AE120)</f>
        <v>#N/A</v>
      </c>
      <c r="AG120" s="207" t="n">
        <f aca="false">IF($A121="","",Summary!$Q$10)</f>
        <v>0</v>
      </c>
      <c r="AH120" s="207" t="n">
        <f aca="false">IF($A121="","",IF(Summary!$R$10="Y",(VLOOKUP($A120,Summary!$AD$6:$AF$9,3)+'Escalating commodity'!F133),'Escalating commodity'!F133))</f>
        <v>0.0158208</v>
      </c>
      <c r="AI120" s="207" t="n">
        <f aca="false">IF($A121="","",AH120)</f>
        <v>0.0158208</v>
      </c>
      <c r="AJ120" s="208" t="n">
        <f aca="false">A120+DAY(EOMONTH(A120,0))/2-1</f>
        <v>40405.5</v>
      </c>
      <c r="AK120" s="209" t="n">
        <f aca="false">IF($A121="","",$A120-$E$1)</f>
        <v>-5535</v>
      </c>
      <c r="AL120" s="182" t="e">
        <f aca="false">IF($A121="","",SPRDOPT(P120,X120,AI120,0,AB120,AE120,AF120,AK120,$AJ$2,0))</f>
        <v>#NAME?</v>
      </c>
      <c r="AM120" s="211" t="e">
        <f aca="false">IF($A121="","",MAX(0,O120-W120-AI120))</f>
        <v>#N/A</v>
      </c>
      <c r="AN120" s="211" t="e">
        <f aca="false">IF($A121="","",AL120-AM120)</f>
        <v>#N/A</v>
      </c>
      <c r="AO120" s="137" t="n">
        <f aca="false">IF(A121="","",A121-A120)</f>
        <v>31</v>
      </c>
      <c r="AP120" s="212" t="n">
        <f aca="false">IF(A121="","",CHOOSE(F$3,A121+24,A120))</f>
        <v>40391</v>
      </c>
      <c r="AQ120" s="209" t="n">
        <f aca="false">IF(A121="","",AP120-$E$1)</f>
        <v>-5535</v>
      </c>
      <c r="AR120" s="185" t="n">
        <f aca="false">'ANR OK vs ML7'!AR120</f>
        <v>0.1</v>
      </c>
      <c r="AS120" s="213" t="n">
        <f aca="false">IF(A121="","",1/(1+CHOOSE(F$3,(AR121+($I$3/10000))/2,(AR120+($I$3/10000))/2))^(2*AQ120/365.25))</f>
        <v>4.38738201116278</v>
      </c>
      <c r="AT120" s="137" t="n">
        <f aca="false">IF(A121="","",IF(AND(mthbeg&lt;=A120,mthend&gt;=A120),1,0))</f>
        <v>1</v>
      </c>
      <c r="AU120" s="137" t="n">
        <f aca="false">IF(A121="","",AO120*AT120)</f>
        <v>31</v>
      </c>
      <c r="AW120" s="195" t="e">
        <f aca="false">IF($A121="","",AL120*$E120)</f>
        <v>#NAME?</v>
      </c>
      <c r="AX120" s="195" t="e">
        <f aca="false">IF($A121="","",AM120*$E120)</f>
        <v>#N/A</v>
      </c>
      <c r="AY120" s="195" t="e">
        <f aca="false">IF($A121="","",AN120*$E120)</f>
        <v>#N/A</v>
      </c>
      <c r="BA120" s="195" t="n">
        <f aca="false">IF($A121="","",F120*Summary!$Q$10)</f>
        <v>0</v>
      </c>
      <c r="BC120" s="179" t="e">
        <f aca="false">IF(A121="","",AM120*F120)</f>
        <v>#N/A</v>
      </c>
    </row>
    <row r="121" customFormat="false" ht="12.75" hidden="false" customHeight="false" outlineLevel="0" collapsed="false">
      <c r="A121" s="196" t="n">
        <f aca="false">IF(A120&lt;mthend,EDATE(A120,1),"")</f>
        <v>40422</v>
      </c>
      <c r="B121" s="197" t="n">
        <f aca="false">IF(A121&lt;mthend,B120,"")</f>
        <v>119740</v>
      </c>
      <c r="C121" s="215"/>
      <c r="D121" s="197" t="n">
        <f aca="false">IF(A122&lt;&gt;"",B121+C121,"")</f>
        <v>119740</v>
      </c>
      <c r="E121" s="199" t="n">
        <f aca="false">IF(A122="","",IF(AND(AT121=1,$H$3=1),D121*AO121,IF($H$3=2,D121,"N/A")))</f>
        <v>3592200</v>
      </c>
      <c r="F121" s="199" t="n">
        <f aca="false">IF(A122="","",E121*AS121)</f>
        <v>15630365.8774222</v>
      </c>
      <c r="G121" s="200" t="e">
        <f aca="false">IF($A122="","",VLOOKUP($A121,Table,MATCH(G$4,Curves,0)))</f>
        <v>#N/A</v>
      </c>
      <c r="H121" s="201" t="e">
        <f aca="false">IF(A122="","",G121)</f>
        <v>#N/A</v>
      </c>
      <c r="I121" s="202"/>
      <c r="J121" s="200" t="e">
        <f aca="false">IF($A122="","",VLOOKUP($A121,Table,MATCH(J$4,Curves,0)))</f>
        <v>#N/A</v>
      </c>
      <c r="K121" s="201" t="e">
        <f aca="false">IF(A122="","",J121)</f>
        <v>#N/A</v>
      </c>
      <c r="L121" s="185" t="n">
        <v>0</v>
      </c>
      <c r="M121" s="201" t="n">
        <f aca="false">IF(A122="","",L121)</f>
        <v>0</v>
      </c>
      <c r="N121" s="203"/>
      <c r="O121" s="200" t="e">
        <f aca="false">IF(A122="","",L121+J121+G121)</f>
        <v>#N/A</v>
      </c>
      <c r="P121" s="200" t="e">
        <f aca="false">IF(A122="","",M121+K121+H121)</f>
        <v>#N/A</v>
      </c>
      <c r="Q121" s="204"/>
      <c r="R121" s="200" t="e">
        <f aca="false">IF($A122="","",VLOOKUP($A121,Table,MATCH(R$4,Curves,0)))</f>
        <v>#N/A</v>
      </c>
      <c r="S121" s="201" t="e">
        <f aca="false">IF(A122="","",R121)</f>
        <v>#N/A</v>
      </c>
      <c r="T121" s="200" t="e">
        <f aca="false">IF($A122="","",VLOOKUP($A121,Table,MATCH(T$4,Curves,0)))</f>
        <v>#N/A</v>
      </c>
      <c r="U121" s="201" t="e">
        <f aca="false">IF(A122="","",T121)</f>
        <v>#N/A</v>
      </c>
      <c r="V121" s="205" t="e">
        <f aca="false">IF($A122="","",IF(AND(MONTH(A121)&gt;3,MONTH(A121)&lt;11),(T121+R121+G121)*Summary!$T$10/(1-Summary!$T$10),(T121+R121+G121)*Summary!$U$10/(1-Summary!$U$10)))</f>
        <v>#N/A</v>
      </c>
      <c r="W121" s="200" t="e">
        <f aca="false">IF($A122="","",(T121+R121+G121+V121))</f>
        <v>#N/A</v>
      </c>
      <c r="X121" s="200" t="e">
        <f aca="false">IF($A122="","",(U121+S121+H121+V121))</f>
        <v>#N/A</v>
      </c>
      <c r="Y121" s="202"/>
      <c r="Z121" s="185" t="e">
        <f aca="false">IF($A122="","",VLOOKUP($A121,Table,MATCH(Z$4,Curves,0)))</f>
        <v>#N/A</v>
      </c>
      <c r="AA121" s="185" t="e">
        <f aca="false">IF($A122="","",VLOOKUP($A121,Table,MATCH(AA$4,Curves,0)))</f>
        <v>#N/A</v>
      </c>
      <c r="AB121" s="185" t="e">
        <f aca="false">SQRT((AA121^2*(A121-$D$3)+Z121^2*(DAY(EOMONTH(A121,0))/2))/AK121)</f>
        <v>#N/A</v>
      </c>
      <c r="AC121" s="185" t="e">
        <f aca="false">IF($A122="","",VLOOKUP($A121,Table,MATCH(AC$4,Curves,0)))</f>
        <v>#N/A</v>
      </c>
      <c r="AD121" s="185" t="e">
        <f aca="false">IF($A122="","",VLOOKUP($A121,Table,MATCH(AD$4,Curves,0)))</f>
        <v>#N/A</v>
      </c>
      <c r="AE121" s="185" t="e">
        <f aca="false">SQRT((AD121^2*(A121-$D$3)+AC121^2*(DAY(EOMONTH(A121,0))/2))/AK121)</f>
        <v>#N/A</v>
      </c>
      <c r="AF121" s="224" t="e">
        <f aca="false">((Summary!$N$10*(AA121*AD121)*(A121-$D$3))+(Summary!$M$10*Z121*AC121*(AJ121-EOMONTH(EDATE(A121,-1),0))))/(AK121*AB121*AE121)</f>
        <v>#N/A</v>
      </c>
      <c r="AG121" s="207" t="n">
        <f aca="false">IF($A122="","",Summary!$Q$10)</f>
        <v>0</v>
      </c>
      <c r="AH121" s="207" t="n">
        <f aca="false">IF($A122="","",IF(Summary!$R$10="Y",(VLOOKUP($A121,Summary!$AD$6:$AF$9,3)+'Escalating commodity'!F134),'Escalating commodity'!F134))</f>
        <v>0.0158208</v>
      </c>
      <c r="AI121" s="207" t="n">
        <f aca="false">IF($A122="","",AH121)</f>
        <v>0.0158208</v>
      </c>
      <c r="AJ121" s="208" t="n">
        <f aca="false">A121+DAY(EOMONTH(A121,0))/2-1</f>
        <v>40436</v>
      </c>
      <c r="AK121" s="209" t="n">
        <f aca="false">IF($A122="","",$A121-$E$1)</f>
        <v>-5504</v>
      </c>
      <c r="AL121" s="182" t="e">
        <f aca="false">IF($A122="","",SPRDOPT(P121,X121,AI121,0,AB121,AE121,AF121,AK121,$AJ$2,0))</f>
        <v>#NAME?</v>
      </c>
      <c r="AM121" s="211" t="e">
        <f aca="false">IF($A122="","",MAX(0,O121-W121-AI121))</f>
        <v>#N/A</v>
      </c>
      <c r="AN121" s="211" t="e">
        <f aca="false">IF($A122="","",AL121-AM121)</f>
        <v>#N/A</v>
      </c>
      <c r="AO121" s="137" t="n">
        <f aca="false">IF(A122="","",A122-A121)</f>
        <v>30</v>
      </c>
      <c r="AP121" s="212" t="n">
        <f aca="false">IF(A122="","",CHOOSE(F$3,A122+24,A121))</f>
        <v>40422</v>
      </c>
      <c r="AQ121" s="209" t="n">
        <f aca="false">IF(A122="","",AP121-$E$1)</f>
        <v>-5504</v>
      </c>
      <c r="AR121" s="185" t="n">
        <f aca="false">'ANR OK vs ML7'!AR121</f>
        <v>0.1</v>
      </c>
      <c r="AS121" s="213" t="n">
        <f aca="false">IF(A122="","",1/(1+CHOOSE(F$3,(AR122+($I$3/10000))/2,(AR121+($I$3/10000))/2))^(2*AQ121/365.25))</f>
        <v>4.35119589037976</v>
      </c>
      <c r="AT121" s="137" t="n">
        <f aca="false">IF(A122="","",IF(AND(mthbeg&lt;=A121,mthend&gt;=A121),1,0))</f>
        <v>1</v>
      </c>
      <c r="AU121" s="137" t="n">
        <f aca="false">IF(A122="","",AO121*AT121)</f>
        <v>30</v>
      </c>
      <c r="AW121" s="195" t="e">
        <f aca="false">IF($A122="","",AL121*$E121)</f>
        <v>#NAME?</v>
      </c>
      <c r="AX121" s="195" t="e">
        <f aca="false">IF($A122="","",AM121*$E121)</f>
        <v>#N/A</v>
      </c>
      <c r="AY121" s="195" t="e">
        <f aca="false">IF($A122="","",AN121*$E121)</f>
        <v>#N/A</v>
      </c>
      <c r="BA121" s="195" t="n">
        <f aca="false">IF($A122="","",F121*Summary!$Q$10)</f>
        <v>0</v>
      </c>
      <c r="BC121" s="179" t="e">
        <f aca="false">IF(A122="","",AM121*F121)</f>
        <v>#N/A</v>
      </c>
    </row>
    <row r="122" customFormat="false" ht="12.75" hidden="false" customHeight="false" outlineLevel="0" collapsed="false">
      <c r="A122" s="196" t="n">
        <f aca="false">IF(A121&lt;mthend,EDATE(A121,1),"")</f>
        <v>40452</v>
      </c>
      <c r="B122" s="197" t="n">
        <f aca="false">IF(A122&lt;mthend,B121,"")</f>
        <v>119740</v>
      </c>
      <c r="C122" s="215"/>
      <c r="D122" s="197" t="n">
        <f aca="false">IF(A123&lt;&gt;"",B122+C122,"")</f>
        <v>119740</v>
      </c>
      <c r="E122" s="199" t="n">
        <f aca="false">IF(A123="","",IF(AND(AT122=1,$H$3=1),D122*AO122,IF($H$3=2,D122,"N/A")))</f>
        <v>3711940</v>
      </c>
      <c r="F122" s="199" t="n">
        <f aca="false">IF(A123="","",E122*AS122)</f>
        <v>16022445.201347</v>
      </c>
      <c r="G122" s="200" t="e">
        <f aca="false">IF($A123="","",VLOOKUP($A122,Table,MATCH(G$4,Curves,0)))</f>
        <v>#N/A</v>
      </c>
      <c r="H122" s="201" t="e">
        <f aca="false">IF(A123="","",G122)</f>
        <v>#N/A</v>
      </c>
      <c r="I122" s="202"/>
      <c r="J122" s="200" t="e">
        <f aca="false">IF($A123="","",VLOOKUP($A122,Table,MATCH(J$4,Curves,0)))</f>
        <v>#N/A</v>
      </c>
      <c r="K122" s="201" t="e">
        <f aca="false">IF(A123="","",J122)</f>
        <v>#N/A</v>
      </c>
      <c r="L122" s="185" t="n">
        <v>0</v>
      </c>
      <c r="M122" s="201" t="n">
        <f aca="false">IF(A123="","",L122)</f>
        <v>0</v>
      </c>
      <c r="N122" s="203"/>
      <c r="O122" s="200" t="e">
        <f aca="false">IF(A123="","",L122+J122+G122)</f>
        <v>#N/A</v>
      </c>
      <c r="P122" s="200" t="e">
        <f aca="false">IF(A123="","",M122+K122+H122)</f>
        <v>#N/A</v>
      </c>
      <c r="Q122" s="204"/>
      <c r="R122" s="200" t="e">
        <f aca="false">IF($A123="","",VLOOKUP($A122,Table,MATCH(R$4,Curves,0)))</f>
        <v>#N/A</v>
      </c>
      <c r="S122" s="201" t="e">
        <f aca="false">IF(A123="","",R122)</f>
        <v>#N/A</v>
      </c>
      <c r="T122" s="200" t="e">
        <f aca="false">IF($A123="","",VLOOKUP($A122,Table,MATCH(T$4,Curves,0)))</f>
        <v>#N/A</v>
      </c>
      <c r="U122" s="201" t="e">
        <f aca="false">IF(A123="","",T122)</f>
        <v>#N/A</v>
      </c>
      <c r="V122" s="205" t="e">
        <f aca="false">IF($A123="","",IF(AND(MONTH(A122)&gt;3,MONTH(A122)&lt;11),(T122+R122+G122)*Summary!$T$10/(1-Summary!$T$10),(T122+R122+G122)*Summary!$U$10/(1-Summary!$U$10)))</f>
        <v>#N/A</v>
      </c>
      <c r="W122" s="200" t="e">
        <f aca="false">IF($A123="","",(T122+R122+G122+V122))</f>
        <v>#N/A</v>
      </c>
      <c r="X122" s="200" t="e">
        <f aca="false">IF($A123="","",(U122+S122+H122+V122))</f>
        <v>#N/A</v>
      </c>
      <c r="Y122" s="202"/>
      <c r="Z122" s="185" t="e">
        <f aca="false">IF($A123="","",VLOOKUP($A122,Table,MATCH(Z$4,Curves,0)))</f>
        <v>#N/A</v>
      </c>
      <c r="AA122" s="185" t="e">
        <f aca="false">IF($A123="","",VLOOKUP($A122,Table,MATCH(AA$4,Curves,0)))</f>
        <v>#N/A</v>
      </c>
      <c r="AB122" s="185" t="e">
        <f aca="false">SQRT((AA122^2*(A122-$D$3)+Z122^2*(DAY(EOMONTH(A122,0))/2))/AK122)</f>
        <v>#N/A</v>
      </c>
      <c r="AC122" s="185" t="e">
        <f aca="false">IF($A123="","",VLOOKUP($A122,Table,MATCH(AC$4,Curves,0)))</f>
        <v>#N/A</v>
      </c>
      <c r="AD122" s="185" t="e">
        <f aca="false">IF($A123="","",VLOOKUP($A122,Table,MATCH(AD$4,Curves,0)))</f>
        <v>#N/A</v>
      </c>
      <c r="AE122" s="185" t="e">
        <f aca="false">SQRT((AD122^2*(A122-$D$3)+AC122^2*(DAY(EOMONTH(A122,0))/2))/AK122)</f>
        <v>#N/A</v>
      </c>
      <c r="AF122" s="224" t="e">
        <f aca="false">((Summary!$N$10*(AA122*AD122)*(A122-$D$3))+(Summary!$M$10*Z122*AC122*(AJ122-EOMONTH(EDATE(A122,-1),0))))/(AK122*AB122*AE122)</f>
        <v>#N/A</v>
      </c>
      <c r="AG122" s="207" t="n">
        <f aca="false">IF($A123="","",Summary!$Q$10)</f>
        <v>0</v>
      </c>
      <c r="AH122" s="207" t="n">
        <f aca="false">IF($A123="","",IF(Summary!$R$10="Y",(VLOOKUP($A122,Summary!$AD$6:$AF$9,3)+'Escalating commodity'!F135),'Escalating commodity'!F135))</f>
        <v>0.0158208</v>
      </c>
      <c r="AI122" s="207" t="n">
        <f aca="false">IF($A123="","",AH122)</f>
        <v>0.0158208</v>
      </c>
      <c r="AJ122" s="208" t="n">
        <f aca="false">A122+DAY(EOMONTH(A122,0))/2-1</f>
        <v>40466.5</v>
      </c>
      <c r="AK122" s="209" t="n">
        <f aca="false">IF($A123="","",$A122-$E$1)</f>
        <v>-5474</v>
      </c>
      <c r="AL122" s="182" t="e">
        <f aca="false">IF($A123="","",SPRDOPT(P122,X122,AI122,0,AB122,AE122,AF122,AK122,$AJ$2,0))</f>
        <v>#NAME?</v>
      </c>
      <c r="AM122" s="211" t="e">
        <f aca="false">IF($A123="","",MAX(0,O122-W122-AI122))</f>
        <v>#N/A</v>
      </c>
      <c r="AN122" s="211" t="e">
        <f aca="false">IF($A123="","",AL122-AM122)</f>
        <v>#N/A</v>
      </c>
      <c r="AO122" s="137" t="n">
        <f aca="false">IF(A123="","",A123-A122)</f>
        <v>31</v>
      </c>
      <c r="AP122" s="212" t="n">
        <f aca="false">IF(A123="","",CHOOSE(F$3,A123+24,A122))</f>
        <v>40452</v>
      </c>
      <c r="AQ122" s="209" t="n">
        <f aca="false">IF(A123="","",AP122-$E$1)</f>
        <v>-5474</v>
      </c>
      <c r="AR122" s="185" t="n">
        <f aca="false">'ANR OK vs ML7'!AR122</f>
        <v>0.1</v>
      </c>
      <c r="AS122" s="213" t="n">
        <f aca="false">IF(A123="","",1/(1+CHOOSE(F$3,(AR123+($I$3/10000))/2,(AR122+($I$3/10000))/2))^(2*AQ122/365.25))</f>
        <v>4.31646125781855</v>
      </c>
      <c r="AT122" s="137" t="n">
        <f aca="false">IF(A123="","",IF(AND(mthbeg&lt;=A122,mthend&gt;=A122),1,0))</f>
        <v>1</v>
      </c>
      <c r="AU122" s="137" t="n">
        <f aca="false">IF(A123="","",AO122*AT122)</f>
        <v>31</v>
      </c>
      <c r="AW122" s="195" t="e">
        <f aca="false">IF($A123="","",AL122*$E122)</f>
        <v>#NAME?</v>
      </c>
      <c r="AX122" s="195" t="e">
        <f aca="false">IF($A123="","",AM122*$E122)</f>
        <v>#N/A</v>
      </c>
      <c r="AY122" s="195" t="e">
        <f aca="false">IF($A123="","",AN122*$E122)</f>
        <v>#N/A</v>
      </c>
      <c r="BA122" s="195" t="n">
        <f aca="false">IF($A123="","",F122*Summary!$Q$10)</f>
        <v>0</v>
      </c>
      <c r="BC122" s="179" t="e">
        <f aca="false">IF(A123="","",AM122*F122)</f>
        <v>#N/A</v>
      </c>
    </row>
    <row r="123" customFormat="false" ht="12.75" hidden="false" customHeight="false" outlineLevel="0" collapsed="false">
      <c r="A123" s="196" t="n">
        <f aca="false">IF(A122&lt;mthend,EDATE(A122,1),"")</f>
        <v>40483</v>
      </c>
      <c r="B123" s="197" t="n">
        <f aca="false">IF(A123&lt;mthend,B122,"")</f>
        <v>119740</v>
      </c>
      <c r="C123" s="215"/>
      <c r="D123" s="197" t="n">
        <f aca="false">IF(A124&lt;&gt;"",B123+C123,"")</f>
        <v>119740</v>
      </c>
      <c r="E123" s="199" t="n">
        <f aca="false">IF(A124="","",IF(AND(AT123=1,$H$3=1),D123*AO123,IF($H$3=2,D123,"N/A")))</f>
        <v>3592200</v>
      </c>
      <c r="F123" s="199" t="n">
        <f aca="false">IF(A124="","",E123*AS123)</f>
        <v>15377705.561942</v>
      </c>
      <c r="G123" s="200" t="e">
        <f aca="false">IF($A124="","",VLOOKUP($A123,Table,MATCH(G$4,Curves,0)))</f>
        <v>#N/A</v>
      </c>
      <c r="H123" s="201" t="e">
        <f aca="false">IF(A124="","",G123)</f>
        <v>#N/A</v>
      </c>
      <c r="I123" s="202"/>
      <c r="J123" s="200" t="e">
        <f aca="false">IF($A124="","",VLOOKUP($A123,Table,MATCH(J$4,Curves,0)))</f>
        <v>#N/A</v>
      </c>
      <c r="K123" s="201" t="e">
        <f aca="false">IF(A124="","",J123)</f>
        <v>#N/A</v>
      </c>
      <c r="L123" s="185" t="n">
        <v>0</v>
      </c>
      <c r="M123" s="201" t="n">
        <f aca="false">IF(A124="","",L123)</f>
        <v>0</v>
      </c>
      <c r="N123" s="203"/>
      <c r="O123" s="200" t="e">
        <f aca="false">IF(A124="","",L123+J123+G123)</f>
        <v>#N/A</v>
      </c>
      <c r="P123" s="200" t="e">
        <f aca="false">IF(A124="","",M123+K123+H123)</f>
        <v>#N/A</v>
      </c>
      <c r="Q123" s="204"/>
      <c r="R123" s="200" t="e">
        <f aca="false">IF($A124="","",VLOOKUP($A123,Table,MATCH(R$4,Curves,0)))</f>
        <v>#N/A</v>
      </c>
      <c r="S123" s="201" t="e">
        <f aca="false">IF(A124="","",R123)</f>
        <v>#N/A</v>
      </c>
      <c r="T123" s="200" t="e">
        <f aca="false">IF($A124="","",VLOOKUP($A123,Table,MATCH(T$4,Curves,0)))</f>
        <v>#N/A</v>
      </c>
      <c r="U123" s="201" t="e">
        <f aca="false">IF(A124="","",T123)</f>
        <v>#N/A</v>
      </c>
      <c r="V123" s="205" t="e">
        <f aca="false">IF($A124="","",IF(AND(MONTH(A123)&gt;3,MONTH(A123)&lt;11),(T123+R123+G123)*Summary!$T$10/(1-Summary!$T$10),(T123+R123+G123)*Summary!$U$10/(1-Summary!$U$10)))</f>
        <v>#N/A</v>
      </c>
      <c r="W123" s="200" t="e">
        <f aca="false">IF($A124="","",(T123+R123+G123+V123))</f>
        <v>#N/A</v>
      </c>
      <c r="X123" s="200" t="e">
        <f aca="false">IF($A124="","",(U123+S123+H123+V123))</f>
        <v>#N/A</v>
      </c>
      <c r="Y123" s="202"/>
      <c r="Z123" s="185" t="e">
        <f aca="false">IF($A124="","",VLOOKUP($A123,Table,MATCH(Z$4,Curves,0)))</f>
        <v>#N/A</v>
      </c>
      <c r="AA123" s="185" t="e">
        <f aca="false">IF($A124="","",VLOOKUP($A123,Table,MATCH(AA$4,Curves,0)))</f>
        <v>#N/A</v>
      </c>
      <c r="AB123" s="185" t="e">
        <f aca="false">SQRT((AA123^2*(A123-$D$3)+Z123^2*(DAY(EOMONTH(A123,0))/2))/AK123)</f>
        <v>#N/A</v>
      </c>
      <c r="AC123" s="185" t="e">
        <f aca="false">IF($A124="","",VLOOKUP($A123,Table,MATCH(AC$4,Curves,0)))</f>
        <v>#N/A</v>
      </c>
      <c r="AD123" s="185" t="e">
        <f aca="false">IF($A124="","",VLOOKUP($A123,Table,MATCH(AD$4,Curves,0)))</f>
        <v>#N/A</v>
      </c>
      <c r="AE123" s="185" t="e">
        <f aca="false">SQRT((AD123^2*(A123-$D$3)+AC123^2*(DAY(EOMONTH(A123,0))/2))/AK123)</f>
        <v>#N/A</v>
      </c>
      <c r="AF123" s="224" t="e">
        <f aca="false">((Summary!$N$10*(AA123*AD123)*(A123-$D$3))+(Summary!$M$10*Z123*AC123*(AJ123-EOMONTH(EDATE(A123,-1),0))))/(AK123*AB123*AE123)</f>
        <v>#N/A</v>
      </c>
      <c r="AG123" s="207" t="n">
        <f aca="false">IF($A124="","",Summary!$Q$10)</f>
        <v>0</v>
      </c>
      <c r="AH123" s="207" t="n">
        <f aca="false">IF($A124="","",IF(Summary!$R$10="Y",(VLOOKUP($A123,Summary!$AD$6:$AF$9,3)+'Escalating commodity'!F136),'Escalating commodity'!F136))</f>
        <v>0.0158208</v>
      </c>
      <c r="AI123" s="207" t="n">
        <f aca="false">IF($A124="","",AH123)</f>
        <v>0.0158208</v>
      </c>
      <c r="AJ123" s="208" t="n">
        <f aca="false">A123+DAY(EOMONTH(A123,0))/2-1</f>
        <v>40497</v>
      </c>
      <c r="AK123" s="209" t="n">
        <f aca="false">IF($A124="","",$A123-$E$1)</f>
        <v>-5443</v>
      </c>
      <c r="AL123" s="182" t="e">
        <f aca="false">IF($A124="","",SPRDOPT(P123,X123,AI123,0,AB123,AE123,AF123,AK123,$AJ$2,0))</f>
        <v>#NAME?</v>
      </c>
      <c r="AM123" s="211" t="e">
        <f aca="false">IF($A124="","",MAX(0,O123-W123-AI123))</f>
        <v>#N/A</v>
      </c>
      <c r="AN123" s="211" t="e">
        <f aca="false">IF($A124="","",AL123-AM123)</f>
        <v>#N/A</v>
      </c>
      <c r="AO123" s="137" t="n">
        <f aca="false">IF(A124="","",A124-A123)</f>
        <v>30</v>
      </c>
      <c r="AP123" s="212" t="n">
        <f aca="false">IF(A124="","",CHOOSE(F$3,A124+24,A123))</f>
        <v>40483</v>
      </c>
      <c r="AQ123" s="209" t="n">
        <f aca="false">IF(A124="","",AP123-$E$1)</f>
        <v>-5443</v>
      </c>
      <c r="AR123" s="185" t="n">
        <f aca="false">'ANR OK vs ML7'!AR123</f>
        <v>0.1</v>
      </c>
      <c r="AS123" s="213" t="n">
        <f aca="false">IF(A124="","",1/(1+CHOOSE(F$3,(AR124+($I$3/10000))/2,(AR123+($I$3/10000))/2))^(2*AQ123/365.25))</f>
        <v>4.28086007514669</v>
      </c>
      <c r="AT123" s="137" t="n">
        <f aca="false">IF(A124="","",IF(AND(mthbeg&lt;=A123,mthend&gt;=A123),1,0))</f>
        <v>1</v>
      </c>
      <c r="AU123" s="137" t="n">
        <f aca="false">IF(A124="","",AO123*AT123)</f>
        <v>30</v>
      </c>
      <c r="AW123" s="195" t="e">
        <f aca="false">IF($A124="","",AL123*$E123)</f>
        <v>#NAME?</v>
      </c>
      <c r="AX123" s="195" t="e">
        <f aca="false">IF($A124="","",AM123*$E123)</f>
        <v>#N/A</v>
      </c>
      <c r="AY123" s="195" t="e">
        <f aca="false">IF($A124="","",AN123*$E123)</f>
        <v>#N/A</v>
      </c>
      <c r="BA123" s="195" t="n">
        <f aca="false">IF($A124="","",F123*Summary!$Q$10)</f>
        <v>0</v>
      </c>
      <c r="BC123" s="179" t="e">
        <f aca="false">IF(A124="","",AM123*F123)</f>
        <v>#N/A</v>
      </c>
    </row>
    <row r="124" customFormat="false" ht="12.75" hidden="false" customHeight="false" outlineLevel="0" collapsed="false">
      <c r="A124" s="196" t="n">
        <f aca="false">IF(A123&lt;mthend,EDATE(A123,1),"")</f>
        <v>40513</v>
      </c>
      <c r="B124" s="197" t="n">
        <f aca="false">IF(A124&lt;mthend,B123,"")</f>
        <v>119740</v>
      </c>
      <c r="C124" s="215"/>
      <c r="D124" s="197" t="n">
        <f aca="false">IF(A125&lt;&gt;"",B124+C124,"")</f>
        <v>119740</v>
      </c>
      <c r="E124" s="199" t="n">
        <f aca="false">IF(A125="","",IF(AND(AT124=1,$H$3=1),D124*AO124,IF($H$3=2,D124,"N/A")))</f>
        <v>3711940</v>
      </c>
      <c r="F124" s="199" t="n">
        <f aca="false">IF(A125="","",E124*AS124)</f>
        <v>15763447.037703</v>
      </c>
      <c r="G124" s="200" t="e">
        <f aca="false">IF($A125="","",VLOOKUP($A124,Table,MATCH(G$4,Curves,0)))</f>
        <v>#N/A</v>
      </c>
      <c r="H124" s="201" t="e">
        <f aca="false">IF(A125="","",G124)</f>
        <v>#N/A</v>
      </c>
      <c r="I124" s="202"/>
      <c r="J124" s="200" t="e">
        <f aca="false">IF($A125="","",VLOOKUP($A124,Table,MATCH(J$4,Curves,0)))</f>
        <v>#N/A</v>
      </c>
      <c r="K124" s="201" t="e">
        <f aca="false">IF(A125="","",J124)</f>
        <v>#N/A</v>
      </c>
      <c r="L124" s="185" t="n">
        <v>0</v>
      </c>
      <c r="M124" s="201" t="n">
        <f aca="false">IF(A125="","",L124)</f>
        <v>0</v>
      </c>
      <c r="N124" s="203"/>
      <c r="O124" s="200" t="e">
        <f aca="false">IF(A125="","",L124+J124+G124)</f>
        <v>#N/A</v>
      </c>
      <c r="P124" s="200" t="e">
        <f aca="false">IF(A125="","",M124+K124+H124)</f>
        <v>#N/A</v>
      </c>
      <c r="Q124" s="204"/>
      <c r="R124" s="200" t="e">
        <f aca="false">IF($A125="","",VLOOKUP($A124,Table,MATCH(R$4,Curves,0)))</f>
        <v>#N/A</v>
      </c>
      <c r="S124" s="201" t="e">
        <f aca="false">IF(A125="","",R124)</f>
        <v>#N/A</v>
      </c>
      <c r="T124" s="200" t="e">
        <f aca="false">IF($A125="","",VLOOKUP($A124,Table,MATCH(T$4,Curves,0)))</f>
        <v>#N/A</v>
      </c>
      <c r="U124" s="201" t="e">
        <f aca="false">IF(A125="","",T124)</f>
        <v>#N/A</v>
      </c>
      <c r="V124" s="205" t="e">
        <f aca="false">IF($A125="","",IF(AND(MONTH(A124)&gt;3,MONTH(A124)&lt;11),(T124+R124+G124)*Summary!$T$10/(1-Summary!$T$10),(T124+R124+G124)*Summary!$U$10/(1-Summary!$U$10)))</f>
        <v>#N/A</v>
      </c>
      <c r="W124" s="200" t="e">
        <f aca="false">IF($A125="","",(T124+R124+G124+V124))</f>
        <v>#N/A</v>
      </c>
      <c r="X124" s="200" t="e">
        <f aca="false">IF($A125="","",(U124+S124+H124+V124))</f>
        <v>#N/A</v>
      </c>
      <c r="Y124" s="202"/>
      <c r="Z124" s="185" t="e">
        <f aca="false">IF($A125="","",VLOOKUP($A124,Table,MATCH(Z$4,Curves,0)))</f>
        <v>#N/A</v>
      </c>
      <c r="AA124" s="185" t="e">
        <f aca="false">IF($A125="","",VLOOKUP($A124,Table,MATCH(AA$4,Curves,0)))</f>
        <v>#N/A</v>
      </c>
      <c r="AB124" s="185" t="e">
        <f aca="false">SQRT((AA124^2*(A124-$D$3)+Z124^2*(DAY(EOMONTH(A124,0))/2))/AK124)</f>
        <v>#N/A</v>
      </c>
      <c r="AC124" s="185" t="e">
        <f aca="false">IF($A125="","",VLOOKUP($A124,Table,MATCH(AC$4,Curves,0)))</f>
        <v>#N/A</v>
      </c>
      <c r="AD124" s="185" t="e">
        <f aca="false">IF($A125="","",VLOOKUP($A124,Table,MATCH(AD$4,Curves,0)))</f>
        <v>#N/A</v>
      </c>
      <c r="AE124" s="185" t="e">
        <f aca="false">SQRT((AD124^2*(A124-$D$3)+AC124^2*(DAY(EOMONTH(A124,0))/2))/AK124)</f>
        <v>#N/A</v>
      </c>
      <c r="AF124" s="224" t="e">
        <f aca="false">((Summary!$N$10*(AA124*AD124)*(A124-$D$3))+(Summary!$M$10*Z124*AC124*(AJ124-EOMONTH(EDATE(A124,-1),0))))/(AK124*AB124*AE124)</f>
        <v>#N/A</v>
      </c>
      <c r="AG124" s="207" t="n">
        <f aca="false">IF($A125="","",Summary!$Q$10)</f>
        <v>0</v>
      </c>
      <c r="AH124" s="207" t="n">
        <f aca="false">IF($A125="","",IF(Summary!$R$10="Y",(VLOOKUP($A124,Summary!$AD$6:$AF$9,3)+'Escalating commodity'!F137),'Escalating commodity'!F137))</f>
        <v>0.0158208</v>
      </c>
      <c r="AI124" s="207" t="n">
        <f aca="false">IF($A125="","",AH124)</f>
        <v>0.0158208</v>
      </c>
      <c r="AJ124" s="208" t="n">
        <f aca="false">A124+DAY(EOMONTH(A124,0))/2-1</f>
        <v>40527.5</v>
      </c>
      <c r="AK124" s="209" t="n">
        <f aca="false">IF($A125="","",$A124-$E$1)</f>
        <v>-5413</v>
      </c>
      <c r="AL124" s="182" t="e">
        <f aca="false">IF($A125="","",SPRDOPT(P124,X124,AI124,0,AB124,AE124,AF124,AK124,$AJ$2,0))</f>
        <v>#NAME?</v>
      </c>
      <c r="AM124" s="211" t="e">
        <f aca="false">IF($A125="","",MAX(0,O124-W124-AI124))</f>
        <v>#N/A</v>
      </c>
      <c r="AN124" s="211" t="e">
        <f aca="false">IF($A125="","",AL124-AM124)</f>
        <v>#N/A</v>
      </c>
      <c r="AO124" s="137" t="n">
        <f aca="false">IF(A125="","",A125-A124)</f>
        <v>31</v>
      </c>
      <c r="AP124" s="212" t="n">
        <f aca="false">IF(A125="","",CHOOSE(F$3,A125+24,A124))</f>
        <v>40513</v>
      </c>
      <c r="AQ124" s="209" t="n">
        <f aca="false">IF(A125="","",AP124-$E$1)</f>
        <v>-5413</v>
      </c>
      <c r="AR124" s="185" t="n">
        <f aca="false">'ANR OK vs ML7'!AR124</f>
        <v>0.1</v>
      </c>
      <c r="AS124" s="213" t="n">
        <f aca="false">IF(A125="","",1/(1+CHOOSE(F$3,(AR125+($I$3/10000))/2,(AR124+($I$3/10000))/2))^(2*AQ124/365.25))</f>
        <v>4.24668691781197</v>
      </c>
      <c r="AT124" s="137" t="n">
        <f aca="false">IF(A125="","",IF(AND(mthbeg&lt;=A124,mthend&gt;=A124),1,0))</f>
        <v>1</v>
      </c>
      <c r="AU124" s="137" t="n">
        <f aca="false">IF(A125="","",AO124*AT124)</f>
        <v>31</v>
      </c>
      <c r="AW124" s="195" t="e">
        <f aca="false">IF($A125="","",AL124*$E124)</f>
        <v>#NAME?</v>
      </c>
      <c r="AX124" s="195" t="e">
        <f aca="false">IF($A125="","",AM124*$E124)</f>
        <v>#N/A</v>
      </c>
      <c r="AY124" s="195" t="e">
        <f aca="false">IF($A125="","",AN124*$E124)</f>
        <v>#N/A</v>
      </c>
      <c r="BA124" s="195" t="n">
        <f aca="false">IF($A125="","",F124*Summary!$Q$10)</f>
        <v>0</v>
      </c>
      <c r="BC124" s="179" t="e">
        <f aca="false">IF(A125="","",AM124*F124)</f>
        <v>#N/A</v>
      </c>
    </row>
    <row r="125" customFormat="false" ht="12.75" hidden="false" customHeight="false" outlineLevel="0" collapsed="false">
      <c r="A125" s="196" t="n">
        <f aca="false">IF(A124&lt;mthend,EDATE(A124,1),"")</f>
        <v>40544</v>
      </c>
      <c r="B125" s="197" t="n">
        <f aca="false">IF(A125&lt;mthend,B124,"")</f>
        <v>119740</v>
      </c>
      <c r="C125" s="215"/>
      <c r="D125" s="197" t="n">
        <f aca="false">IF(A126&lt;&gt;"",B125+C125,"")</f>
        <v>119740</v>
      </c>
      <c r="E125" s="199" t="n">
        <f aca="false">IF(A126="","",IF(AND(AT125=1,$H$3=1),D125*AO125,IF($H$3=2,D125,"N/A")))</f>
        <v>3711940</v>
      </c>
      <c r="F125" s="199" t="n">
        <f aca="false">IF(A126="","",E125*AS125)</f>
        <v>15633433.7411604</v>
      </c>
      <c r="G125" s="200" t="e">
        <f aca="false">IF($A126="","",VLOOKUP($A125,Table,MATCH(G$4,Curves,0)))</f>
        <v>#N/A</v>
      </c>
      <c r="H125" s="201" t="e">
        <f aca="false">IF(A126="","",G125)</f>
        <v>#N/A</v>
      </c>
      <c r="I125" s="202"/>
      <c r="J125" s="200" t="e">
        <f aca="false">IF($A126="","",VLOOKUP($A125,Table,MATCH(J$4,Curves,0)))</f>
        <v>#N/A</v>
      </c>
      <c r="K125" s="201" t="e">
        <f aca="false">IF(A126="","",J125)</f>
        <v>#N/A</v>
      </c>
      <c r="L125" s="185" t="n">
        <v>0</v>
      </c>
      <c r="M125" s="201" t="n">
        <f aca="false">IF(A126="","",L125)</f>
        <v>0</v>
      </c>
      <c r="N125" s="203"/>
      <c r="O125" s="200" t="e">
        <f aca="false">IF(A126="","",L125+J125+G125)</f>
        <v>#N/A</v>
      </c>
      <c r="P125" s="200" t="e">
        <f aca="false">IF(A126="","",M125+K125+H125)</f>
        <v>#N/A</v>
      </c>
      <c r="Q125" s="204"/>
      <c r="R125" s="200" t="e">
        <f aca="false">IF($A126="","",VLOOKUP($A125,Table,MATCH(R$4,Curves,0)))</f>
        <v>#N/A</v>
      </c>
      <c r="S125" s="201" t="e">
        <f aca="false">IF(A126="","",R125)</f>
        <v>#N/A</v>
      </c>
      <c r="T125" s="200" t="e">
        <f aca="false">IF($A126="","",VLOOKUP($A125,Table,MATCH(T$4,Curves,0)))</f>
        <v>#N/A</v>
      </c>
      <c r="U125" s="201" t="e">
        <f aca="false">IF(A126="","",T125)</f>
        <v>#N/A</v>
      </c>
      <c r="V125" s="205" t="e">
        <f aca="false">IF($A126="","",IF(AND(MONTH(A125)&gt;3,MONTH(A125)&lt;11),(T125+R125+G125)*Summary!$T$10/(1-Summary!$T$10),(T125+R125+G125)*Summary!$U$10/(1-Summary!$U$10)))</f>
        <v>#N/A</v>
      </c>
      <c r="W125" s="200" t="e">
        <f aca="false">IF($A126="","",(T125+R125+G125+V125))</f>
        <v>#N/A</v>
      </c>
      <c r="X125" s="200" t="e">
        <f aca="false">IF($A126="","",(U125+S125+H125+V125))</f>
        <v>#N/A</v>
      </c>
      <c r="Y125" s="202"/>
      <c r="Z125" s="185" t="e">
        <f aca="false">IF($A126="","",VLOOKUP($A125,Table,MATCH(Z$4,Curves,0)))</f>
        <v>#N/A</v>
      </c>
      <c r="AA125" s="185" t="e">
        <f aca="false">IF($A126="","",VLOOKUP($A125,Table,MATCH(AA$4,Curves,0)))</f>
        <v>#N/A</v>
      </c>
      <c r="AB125" s="185" t="e">
        <f aca="false">SQRT((AA125^2*(A125-$D$3)+Z125^2*(DAY(EOMONTH(A125,0))/2))/AK125)</f>
        <v>#N/A</v>
      </c>
      <c r="AC125" s="185" t="e">
        <f aca="false">IF($A126="","",VLOOKUP($A125,Table,MATCH(AC$4,Curves,0)))</f>
        <v>#N/A</v>
      </c>
      <c r="AD125" s="185" t="e">
        <f aca="false">IF($A126="","",VLOOKUP($A125,Table,MATCH(AD$4,Curves,0)))</f>
        <v>#N/A</v>
      </c>
      <c r="AE125" s="185" t="e">
        <f aca="false">SQRT((AD125^2*(A125-$D$3)+AC125^2*(DAY(EOMONTH(A125,0))/2))/AK125)</f>
        <v>#N/A</v>
      </c>
      <c r="AF125" s="224" t="e">
        <f aca="false">((Summary!$N$10*(AA125*AD125)*(A125-$D$3))+(Summary!$M$10*Z125*AC125*(AJ125-EOMONTH(EDATE(A125,-1),0))))/(AK125*AB125*AE125)</f>
        <v>#N/A</v>
      </c>
      <c r="AG125" s="207" t="n">
        <f aca="false">IF($A126="","",Summary!$Q$10)</f>
        <v>0</v>
      </c>
      <c r="AH125" s="207" t="n">
        <f aca="false">IF($A126="","",IF(Summary!$R$10="Y",(VLOOKUP($A125,Summary!$AD$6:$AF$9,3)+'Escalating commodity'!F138),'Escalating commodity'!F138))</f>
        <v>0.0158208</v>
      </c>
      <c r="AI125" s="207" t="n">
        <f aca="false">IF($A126="","",AH125)</f>
        <v>0.0158208</v>
      </c>
      <c r="AJ125" s="208" t="n">
        <f aca="false">A125+DAY(EOMONTH(A125,0))/2-1</f>
        <v>40558.5</v>
      </c>
      <c r="AK125" s="209" t="n">
        <f aca="false">IF($A126="","",$A125-$E$1)</f>
        <v>-5382</v>
      </c>
      <c r="AL125" s="182" t="e">
        <f aca="false">IF($A126="","",SPRDOPT(P125,X125,AI125,0,AB125,AE125,AF125,AK125,$AJ$2,0))</f>
        <v>#NAME?</v>
      </c>
      <c r="AM125" s="211" t="e">
        <f aca="false">IF($A126="","",MAX(0,O125-W125-AI125))</f>
        <v>#N/A</v>
      </c>
      <c r="AN125" s="211" t="e">
        <f aca="false">IF($A126="","",AL125-AM125)</f>
        <v>#N/A</v>
      </c>
      <c r="AO125" s="137" t="n">
        <f aca="false">IF(A126="","",A126-A125)</f>
        <v>31</v>
      </c>
      <c r="AP125" s="212" t="n">
        <f aca="false">IF(A126="","",CHOOSE(F$3,A126+24,A125))</f>
        <v>40544</v>
      </c>
      <c r="AQ125" s="209" t="n">
        <f aca="false">IF(A126="","",AP125-$E$1)</f>
        <v>-5382</v>
      </c>
      <c r="AR125" s="185" t="n">
        <f aca="false">'ANR OK vs ML7'!AR125</f>
        <v>0.1</v>
      </c>
      <c r="AS125" s="213" t="n">
        <f aca="false">IF(A126="","",1/(1+CHOOSE(F$3,(AR126+($I$3/10000))/2,(AR125+($I$3/10000))/2))^(2*AQ125/365.25))</f>
        <v>4.21166121789694</v>
      </c>
      <c r="AT125" s="137" t="n">
        <f aca="false">IF(A126="","",IF(AND(mthbeg&lt;=A125,mthend&gt;=A125),1,0))</f>
        <v>1</v>
      </c>
      <c r="AU125" s="137" t="n">
        <f aca="false">IF(A126="","",AO125*AT125)</f>
        <v>31</v>
      </c>
      <c r="AW125" s="195" t="e">
        <f aca="false">IF($A126="","",AL125*$E125)</f>
        <v>#NAME?</v>
      </c>
      <c r="AX125" s="195" t="e">
        <f aca="false">IF($A126="","",AM125*$E125)</f>
        <v>#N/A</v>
      </c>
      <c r="AY125" s="195" t="e">
        <f aca="false">IF($A126="","",AN125*$E125)</f>
        <v>#N/A</v>
      </c>
      <c r="BA125" s="195" t="n">
        <f aca="false">IF($A126="","",F125*Summary!$Q$10)</f>
        <v>0</v>
      </c>
      <c r="BC125" s="179" t="e">
        <f aca="false">IF(A126="","",AM125*F125)</f>
        <v>#N/A</v>
      </c>
    </row>
    <row r="126" customFormat="false" ht="12.75" hidden="false" customHeight="false" outlineLevel="0" collapsed="false">
      <c r="A126" s="196" t="n">
        <f aca="false">IF(A125&lt;mthend,EDATE(A125,1),"")</f>
        <v>40575</v>
      </c>
      <c r="B126" s="197" t="n">
        <f aca="false">IF(A126&lt;mthend,B125,"")</f>
        <v>119740</v>
      </c>
      <c r="C126" s="215"/>
      <c r="D126" s="197" t="n">
        <f aca="false">IF(A127&lt;&gt;"",B126+C126,"")</f>
        <v>119740</v>
      </c>
      <c r="E126" s="199" t="n">
        <f aca="false">IF(A127="","",IF(AND(AT126=1,$H$3=1),D126*AO126,IF($H$3=2,D126,"N/A")))</f>
        <v>3352720</v>
      </c>
      <c r="F126" s="199" t="n">
        <f aca="false">IF(A127="","",E126*AS126)</f>
        <v>14004057.9808162</v>
      </c>
      <c r="G126" s="200" t="e">
        <f aca="false">IF($A127="","",VLOOKUP($A126,Table,MATCH(G$4,Curves,0)))</f>
        <v>#N/A</v>
      </c>
      <c r="H126" s="201" t="e">
        <f aca="false">IF(A127="","",G126)</f>
        <v>#N/A</v>
      </c>
      <c r="I126" s="202"/>
      <c r="J126" s="200" t="e">
        <f aca="false">IF($A127="","",VLOOKUP($A126,Table,MATCH(J$4,Curves,0)))</f>
        <v>#N/A</v>
      </c>
      <c r="K126" s="201" t="e">
        <f aca="false">IF(A127="","",J126)</f>
        <v>#N/A</v>
      </c>
      <c r="L126" s="185" t="n">
        <v>0</v>
      </c>
      <c r="M126" s="201" t="n">
        <f aca="false">IF(A127="","",L126)</f>
        <v>0</v>
      </c>
      <c r="N126" s="203"/>
      <c r="O126" s="200" t="e">
        <f aca="false">IF(A127="","",L126+J126+G126)</f>
        <v>#N/A</v>
      </c>
      <c r="P126" s="200" t="e">
        <f aca="false">IF(A127="","",M126+K126+H126)</f>
        <v>#N/A</v>
      </c>
      <c r="Q126" s="204"/>
      <c r="R126" s="200" t="e">
        <f aca="false">IF($A127="","",VLOOKUP($A126,Table,MATCH(R$4,Curves,0)))</f>
        <v>#N/A</v>
      </c>
      <c r="S126" s="201" t="e">
        <f aca="false">IF(A127="","",R126)</f>
        <v>#N/A</v>
      </c>
      <c r="T126" s="200" t="e">
        <f aca="false">IF($A127="","",VLOOKUP($A126,Table,MATCH(T$4,Curves,0)))</f>
        <v>#N/A</v>
      </c>
      <c r="U126" s="201" t="e">
        <f aca="false">IF(A127="","",T126)</f>
        <v>#N/A</v>
      </c>
      <c r="V126" s="205" t="e">
        <f aca="false">IF($A127="","",IF(AND(MONTH(A126)&gt;3,MONTH(A126)&lt;11),(T126+R126+G126)*Summary!$T$10/(1-Summary!$T$10),(T126+R126+G126)*Summary!$U$10/(1-Summary!$U$10)))</f>
        <v>#N/A</v>
      </c>
      <c r="W126" s="200" t="e">
        <f aca="false">IF($A127="","",(T126+R126+G126+V126))</f>
        <v>#N/A</v>
      </c>
      <c r="X126" s="200" t="e">
        <f aca="false">IF($A127="","",(U126+S126+H126+V126))</f>
        <v>#N/A</v>
      </c>
      <c r="Y126" s="202"/>
      <c r="Z126" s="185" t="e">
        <f aca="false">IF($A127="","",VLOOKUP($A126,Table,MATCH(Z$4,Curves,0)))</f>
        <v>#N/A</v>
      </c>
      <c r="AA126" s="185" t="e">
        <f aca="false">IF($A127="","",VLOOKUP($A126,Table,MATCH(AA$4,Curves,0)))</f>
        <v>#N/A</v>
      </c>
      <c r="AB126" s="185" t="e">
        <f aca="false">SQRT((AA126^2*(A126-$D$3)+Z126^2*(DAY(EOMONTH(A126,0))/2))/AK126)</f>
        <v>#N/A</v>
      </c>
      <c r="AC126" s="185" t="e">
        <f aca="false">IF($A127="","",VLOOKUP($A126,Table,MATCH(AC$4,Curves,0)))</f>
        <v>#N/A</v>
      </c>
      <c r="AD126" s="185" t="e">
        <f aca="false">IF($A127="","",VLOOKUP($A126,Table,MATCH(AD$4,Curves,0)))</f>
        <v>#N/A</v>
      </c>
      <c r="AE126" s="185" t="e">
        <f aca="false">SQRT((AD126^2*(A126-$D$3)+AC126^2*(DAY(EOMONTH(A126,0))/2))/AK126)</f>
        <v>#N/A</v>
      </c>
      <c r="AF126" s="224" t="e">
        <f aca="false">((Summary!$N$10*(AA126*AD126)*(A126-$D$3))+(Summary!$M$10*Z126*AC126*(AJ126-EOMONTH(EDATE(A126,-1),0))))/(AK126*AB126*AE126)</f>
        <v>#N/A</v>
      </c>
      <c r="AG126" s="207" t="n">
        <f aca="false">IF($A127="","",Summary!$Q$10)</f>
        <v>0</v>
      </c>
      <c r="AH126" s="207" t="n">
        <f aca="false">IF($A127="","",IF(Summary!$R$10="Y",(VLOOKUP($A126,Summary!$AD$6:$AF$9,3)+'Escalating commodity'!F139),'Escalating commodity'!F139))</f>
        <v>0.0158208</v>
      </c>
      <c r="AI126" s="207" t="n">
        <f aca="false">IF($A127="","",AH126)</f>
        <v>0.0158208</v>
      </c>
      <c r="AJ126" s="208" t="n">
        <f aca="false">A126+DAY(EOMONTH(A126,0))/2-1</f>
        <v>40588</v>
      </c>
      <c r="AK126" s="209" t="n">
        <f aca="false">IF($A127="","",$A126-$E$1)</f>
        <v>-5351</v>
      </c>
      <c r="AL126" s="182" t="e">
        <f aca="false">IF($A127="","",SPRDOPT(P126,X126,AI126,0,AB126,AE126,AF126,AK126,$AJ$2,0))</f>
        <v>#NAME?</v>
      </c>
      <c r="AM126" s="211" t="e">
        <f aca="false">IF($A127="","",MAX(0,O126-W126-AI126))</f>
        <v>#N/A</v>
      </c>
      <c r="AN126" s="211" t="e">
        <f aca="false">IF($A127="","",AL126-AM126)</f>
        <v>#N/A</v>
      </c>
      <c r="AO126" s="137" t="n">
        <f aca="false">IF(A127="","",A127-A126)</f>
        <v>28</v>
      </c>
      <c r="AP126" s="212" t="n">
        <f aca="false">IF(A127="","",CHOOSE(F$3,A127+24,A126))</f>
        <v>40575</v>
      </c>
      <c r="AQ126" s="209" t="n">
        <f aca="false">IF(A127="","",AP126-$E$1)</f>
        <v>-5351</v>
      </c>
      <c r="AR126" s="185" t="n">
        <f aca="false">'ANR OK vs ML7'!AR126</f>
        <v>0.1</v>
      </c>
      <c r="AS126" s="213" t="n">
        <f aca="false">IF(A127="","",1/(1+CHOOSE(F$3,(AR127+($I$3/10000))/2,(AR126+($I$3/10000))/2))^(2*AQ126/365.25))</f>
        <v>4.17692440192326</v>
      </c>
      <c r="AT126" s="137" t="n">
        <f aca="false">IF(A127="","",IF(AND(mthbeg&lt;=A126,mthend&gt;=A126),1,0))</f>
        <v>1</v>
      </c>
      <c r="AU126" s="137" t="n">
        <f aca="false">IF(A127="","",AO126*AT126)</f>
        <v>28</v>
      </c>
      <c r="AW126" s="195" t="e">
        <f aca="false">IF($A127="","",AL126*$E126)</f>
        <v>#NAME?</v>
      </c>
      <c r="AX126" s="195" t="e">
        <f aca="false">IF($A127="","",AM126*$E126)</f>
        <v>#N/A</v>
      </c>
      <c r="AY126" s="195" t="e">
        <f aca="false">IF($A127="","",AN126*$E126)</f>
        <v>#N/A</v>
      </c>
      <c r="BA126" s="195" t="n">
        <f aca="false">IF($A127="","",F126*Summary!$Q$10)</f>
        <v>0</v>
      </c>
      <c r="BC126" s="179" t="e">
        <f aca="false">IF(A127="","",AM126*F126)</f>
        <v>#N/A</v>
      </c>
    </row>
    <row r="127" customFormat="false" ht="12.75" hidden="false" customHeight="false" outlineLevel="0" collapsed="false">
      <c r="A127" s="196" t="n">
        <f aca="false">IF(A126&lt;mthend,EDATE(A126,1),"")</f>
        <v>40603</v>
      </c>
      <c r="B127" s="197" t="n">
        <f aca="false">IF(A127&lt;mthend,B126,"")</f>
        <v>119740</v>
      </c>
      <c r="C127" s="215"/>
      <c r="D127" s="197" t="n">
        <f aca="false">IF(A128&lt;&gt;"",B127+C127,"")</f>
        <v>119740</v>
      </c>
      <c r="E127" s="199" t="n">
        <f aca="false">IF(A128="","",IF(AND(AT127=1,$H$3=1),D127*AO127,IF($H$3=2,D127,"N/A")))</f>
        <v>3711940</v>
      </c>
      <c r="F127" s="199" t="n">
        <f aca="false">IF(A128="","",E127*AS127)</f>
        <v>15388944.2705451</v>
      </c>
      <c r="G127" s="200" t="e">
        <f aca="false">IF($A128="","",VLOOKUP($A127,Table,MATCH(G$4,Curves,0)))</f>
        <v>#N/A</v>
      </c>
      <c r="H127" s="201" t="e">
        <f aca="false">IF(A128="","",G127)</f>
        <v>#N/A</v>
      </c>
      <c r="I127" s="202"/>
      <c r="J127" s="200" t="e">
        <f aca="false">IF($A128="","",VLOOKUP($A127,Table,MATCH(J$4,Curves,0)))</f>
        <v>#N/A</v>
      </c>
      <c r="K127" s="201" t="e">
        <f aca="false">IF(A128="","",J127)</f>
        <v>#N/A</v>
      </c>
      <c r="L127" s="185" t="n">
        <v>0</v>
      </c>
      <c r="M127" s="201" t="n">
        <f aca="false">IF(A128="","",L127)</f>
        <v>0</v>
      </c>
      <c r="N127" s="203"/>
      <c r="O127" s="200" t="e">
        <f aca="false">IF(A128="","",L127+J127+G127)</f>
        <v>#N/A</v>
      </c>
      <c r="P127" s="200" t="e">
        <f aca="false">IF(A128="","",M127+K127+H127)</f>
        <v>#N/A</v>
      </c>
      <c r="Q127" s="204"/>
      <c r="R127" s="200" t="e">
        <f aca="false">IF($A128="","",VLOOKUP($A127,Table,MATCH(R$4,Curves,0)))</f>
        <v>#N/A</v>
      </c>
      <c r="S127" s="201" t="e">
        <f aca="false">IF(A128="","",R127)</f>
        <v>#N/A</v>
      </c>
      <c r="T127" s="200" t="e">
        <f aca="false">IF($A128="","",VLOOKUP($A127,Table,MATCH(T$4,Curves,0)))</f>
        <v>#N/A</v>
      </c>
      <c r="U127" s="201" t="e">
        <f aca="false">IF(A128="","",T127)</f>
        <v>#N/A</v>
      </c>
      <c r="V127" s="205" t="e">
        <f aca="false">IF($A128="","",IF(AND(MONTH(A127)&gt;3,MONTH(A127)&lt;11),(T127+R127+G127)*Summary!$T$10/(1-Summary!$T$10),(T127+R127+G127)*Summary!$U$10/(1-Summary!$U$10)))</f>
        <v>#N/A</v>
      </c>
      <c r="W127" s="200" t="e">
        <f aca="false">IF($A128="","",(T127+R127+G127+V127))</f>
        <v>#N/A</v>
      </c>
      <c r="X127" s="200" t="e">
        <f aca="false">IF($A128="","",(U127+S127+H127+V127))</f>
        <v>#N/A</v>
      </c>
      <c r="Y127" s="202"/>
      <c r="Z127" s="185" t="e">
        <f aca="false">IF($A128="","",VLOOKUP($A127,Table,MATCH(Z$4,Curves,0)))</f>
        <v>#N/A</v>
      </c>
      <c r="AA127" s="185" t="e">
        <f aca="false">IF($A128="","",VLOOKUP($A127,Table,MATCH(AA$4,Curves,0)))</f>
        <v>#N/A</v>
      </c>
      <c r="AB127" s="185" t="e">
        <f aca="false">SQRT((AA127^2*(A127-$D$3)+Z127^2*(DAY(EOMONTH(A127,0))/2))/AK127)</f>
        <v>#N/A</v>
      </c>
      <c r="AC127" s="185" t="e">
        <f aca="false">IF($A128="","",VLOOKUP($A127,Table,MATCH(AC$4,Curves,0)))</f>
        <v>#N/A</v>
      </c>
      <c r="AD127" s="185" t="e">
        <f aca="false">IF($A128="","",VLOOKUP($A127,Table,MATCH(AD$4,Curves,0)))</f>
        <v>#N/A</v>
      </c>
      <c r="AE127" s="185" t="e">
        <f aca="false">SQRT((AD127^2*(A127-$D$3)+AC127^2*(DAY(EOMONTH(A127,0))/2))/AK127)</f>
        <v>#N/A</v>
      </c>
      <c r="AF127" s="224" t="e">
        <f aca="false">((Summary!$N$10*(AA127*AD127)*(A127-$D$3))+(Summary!$M$10*Z127*AC127*(AJ127-EOMONTH(EDATE(A127,-1),0))))/(AK127*AB127*AE127)</f>
        <v>#N/A</v>
      </c>
      <c r="AG127" s="207" t="n">
        <f aca="false">IF($A128="","",Summary!$Q$10)</f>
        <v>0</v>
      </c>
      <c r="AH127" s="207" t="n">
        <f aca="false">IF($A128="","",IF(Summary!$R$10="Y",(VLOOKUP($A127,Summary!$AD$6:$AF$9,3)+'Escalating commodity'!F140),'Escalating commodity'!F140))</f>
        <v>0.0158208</v>
      </c>
      <c r="AI127" s="207" t="n">
        <f aca="false">IF($A128="","",AH127)</f>
        <v>0.0158208</v>
      </c>
      <c r="AJ127" s="208" t="n">
        <f aca="false">A127+DAY(EOMONTH(A127,0))/2-1</f>
        <v>40617.5</v>
      </c>
      <c r="AK127" s="209" t="n">
        <f aca="false">IF($A128="","",$A127-$E$1)</f>
        <v>-5323</v>
      </c>
      <c r="AL127" s="182" t="e">
        <f aca="false">IF($A128="","",SPRDOPT(P127,X127,AI127,0,AB127,AE127,AF127,AK127,$AJ$2,0))</f>
        <v>#NAME?</v>
      </c>
      <c r="AM127" s="211" t="e">
        <f aca="false">IF($A128="","",MAX(0,O127-W127-AI127))</f>
        <v>#N/A</v>
      </c>
      <c r="AN127" s="211" t="e">
        <f aca="false">IF($A128="","",AL127-AM127)</f>
        <v>#N/A</v>
      </c>
      <c r="AO127" s="137" t="n">
        <f aca="false">IF(A128="","",A128-A127)</f>
        <v>31</v>
      </c>
      <c r="AP127" s="212" t="n">
        <f aca="false">IF(A128="","",CHOOSE(F$3,A128+24,A127))</f>
        <v>40603</v>
      </c>
      <c r="AQ127" s="209" t="n">
        <f aca="false">IF(A128="","",AP127-$E$1)</f>
        <v>-5323</v>
      </c>
      <c r="AR127" s="185" t="n">
        <f aca="false">'ANR OK vs ML7'!AR127</f>
        <v>0.1</v>
      </c>
      <c r="AS127" s="213" t="n">
        <f aca="false">IF(A128="","",1/(1+CHOOSE(F$3,(AR128+($I$3/10000))/2,(AR127+($I$3/10000))/2))^(2*AQ127/365.25))</f>
        <v>4.14579553294102</v>
      </c>
      <c r="AT127" s="137" t="n">
        <f aca="false">IF(A128="","",IF(AND(mthbeg&lt;=A127,mthend&gt;=A127),1,0))</f>
        <v>1</v>
      </c>
      <c r="AU127" s="137" t="n">
        <f aca="false">IF(A128="","",AO127*AT127)</f>
        <v>31</v>
      </c>
      <c r="AW127" s="195" t="e">
        <f aca="false">IF($A128="","",AL127*$E127)</f>
        <v>#NAME?</v>
      </c>
      <c r="AX127" s="195" t="e">
        <f aca="false">IF($A128="","",AM127*$E127)</f>
        <v>#N/A</v>
      </c>
      <c r="AY127" s="195" t="e">
        <f aca="false">IF($A128="","",AN127*$E127)</f>
        <v>#N/A</v>
      </c>
      <c r="BA127" s="195" t="n">
        <f aca="false">IF($A128="","",F127*Summary!$Q$10)</f>
        <v>0</v>
      </c>
      <c r="BC127" s="179" t="e">
        <f aca="false">IF(A128="","",AM127*F127)</f>
        <v>#N/A</v>
      </c>
    </row>
    <row r="128" customFormat="false" ht="12.75" hidden="false" customHeight="false" outlineLevel="0" collapsed="false">
      <c r="A128" s="196" t="n">
        <f aca="false">IF(A127&lt;mthend,EDATE(A127,1),"")</f>
        <v>40634</v>
      </c>
      <c r="B128" s="197" t="n">
        <f aca="false">IF(A128&lt;mthend,B127,"")</f>
        <v>119740</v>
      </c>
      <c r="C128" s="215"/>
      <c r="D128" s="197" t="n">
        <f aca="false">IF(A129&lt;&gt;"",B128+C128,"")</f>
        <v>119740</v>
      </c>
      <c r="E128" s="199" t="n">
        <f aca="false">IF(A129="","",IF(AND(AT128=1,$H$3=1),D128*AO128,IF($H$3=2,D128,"N/A")))</f>
        <v>3592200</v>
      </c>
      <c r="F128" s="199" t="n">
        <f aca="false">IF(A129="","",E128*AS128)</f>
        <v>14769696.568017</v>
      </c>
      <c r="G128" s="200" t="e">
        <f aca="false">IF($A129="","",VLOOKUP($A128,Table,MATCH(G$4,Curves,0)))</f>
        <v>#N/A</v>
      </c>
      <c r="H128" s="201" t="e">
        <f aca="false">IF(A129="","",G128)</f>
        <v>#N/A</v>
      </c>
      <c r="I128" s="202"/>
      <c r="J128" s="200" t="e">
        <f aca="false">IF($A129="","",VLOOKUP($A128,Table,MATCH(J$4,Curves,0)))</f>
        <v>#N/A</v>
      </c>
      <c r="K128" s="201" t="e">
        <f aca="false">IF(A129="","",J128)</f>
        <v>#N/A</v>
      </c>
      <c r="L128" s="185" t="n">
        <v>0</v>
      </c>
      <c r="M128" s="201" t="n">
        <f aca="false">IF(A129="","",L128)</f>
        <v>0</v>
      </c>
      <c r="N128" s="203"/>
      <c r="O128" s="200" t="e">
        <f aca="false">IF(A129="","",L128+J128+G128)</f>
        <v>#N/A</v>
      </c>
      <c r="P128" s="200" t="e">
        <f aca="false">IF(A129="","",M128+K128+H128)</f>
        <v>#N/A</v>
      </c>
      <c r="Q128" s="204"/>
      <c r="R128" s="200" t="e">
        <f aca="false">IF($A129="","",VLOOKUP($A128,Table,MATCH(R$4,Curves,0)))</f>
        <v>#N/A</v>
      </c>
      <c r="S128" s="201" t="e">
        <f aca="false">IF(A129="","",R128)</f>
        <v>#N/A</v>
      </c>
      <c r="T128" s="200" t="e">
        <f aca="false">IF($A129="","",VLOOKUP($A128,Table,MATCH(T$4,Curves,0)))</f>
        <v>#N/A</v>
      </c>
      <c r="U128" s="201" t="e">
        <f aca="false">IF(A129="","",T128)</f>
        <v>#N/A</v>
      </c>
      <c r="V128" s="205" t="e">
        <f aca="false">IF($A129="","",IF(AND(MONTH(A128)&gt;3,MONTH(A128)&lt;11),(T128+R128+G128)*Summary!$T$10/(1-Summary!$T$10),(T128+R128+G128)*Summary!$U$10/(1-Summary!$U$10)))</f>
        <v>#N/A</v>
      </c>
      <c r="W128" s="200" t="e">
        <f aca="false">IF($A129="","",(T128+R128+G128+V128))</f>
        <v>#N/A</v>
      </c>
      <c r="X128" s="200" t="e">
        <f aca="false">IF($A129="","",(U128+S128+H128+V128))</f>
        <v>#N/A</v>
      </c>
      <c r="Y128" s="202"/>
      <c r="Z128" s="185" t="e">
        <f aca="false">IF($A129="","",VLOOKUP($A128,Table,MATCH(Z$4,Curves,0)))</f>
        <v>#N/A</v>
      </c>
      <c r="AA128" s="185" t="e">
        <f aca="false">IF($A129="","",VLOOKUP($A128,Table,MATCH(AA$4,Curves,0)))</f>
        <v>#N/A</v>
      </c>
      <c r="AB128" s="185" t="e">
        <f aca="false">SQRT((AA128^2*(A128-$D$3)+Z128^2*(DAY(EOMONTH(A128,0))/2))/AK128)</f>
        <v>#N/A</v>
      </c>
      <c r="AC128" s="185" t="e">
        <f aca="false">IF($A129="","",VLOOKUP($A128,Table,MATCH(AC$4,Curves,0)))</f>
        <v>#N/A</v>
      </c>
      <c r="AD128" s="185" t="e">
        <f aca="false">IF($A129="","",VLOOKUP($A128,Table,MATCH(AD$4,Curves,0)))</f>
        <v>#N/A</v>
      </c>
      <c r="AE128" s="185" t="e">
        <f aca="false">SQRT((AD128^2*(A128-$D$3)+AC128^2*(DAY(EOMONTH(A128,0))/2))/AK128)</f>
        <v>#N/A</v>
      </c>
      <c r="AF128" s="224" t="e">
        <f aca="false">((Summary!$N$10*(AA128*AD128)*(A128-$D$3))+(Summary!$M$10*Z128*AC128*(AJ128-EOMONTH(EDATE(A128,-1),0))))/(AK128*AB128*AE128)</f>
        <v>#N/A</v>
      </c>
      <c r="AG128" s="207" t="n">
        <f aca="false">IF($A129="","",Summary!$Q$10)</f>
        <v>0</v>
      </c>
      <c r="AH128" s="207" t="n">
        <f aca="false">IF($A129="","",IF(Summary!$R$10="Y",(VLOOKUP($A128,Summary!$AD$6:$AF$9,3)+'Escalating commodity'!F141),'Escalating commodity'!F141))</f>
        <v>0.0158208</v>
      </c>
      <c r="AI128" s="207" t="n">
        <f aca="false">IF($A129="","",AH128)</f>
        <v>0.0158208</v>
      </c>
      <c r="AJ128" s="208" t="n">
        <f aca="false">A128+DAY(EOMONTH(A128,0))/2-1</f>
        <v>40648</v>
      </c>
      <c r="AK128" s="209" t="n">
        <f aca="false">IF($A129="","",$A128-$E$1)</f>
        <v>-5292</v>
      </c>
      <c r="AL128" s="182" t="e">
        <f aca="false">IF($A129="","",SPRDOPT(P128,X128,AI128,0,AB128,AE128,AF128,AK128,$AJ$2,0))</f>
        <v>#NAME?</v>
      </c>
      <c r="AM128" s="211" t="e">
        <f aca="false">IF($A129="","",MAX(0,O128-W128-AI128))</f>
        <v>#N/A</v>
      </c>
      <c r="AN128" s="211" t="e">
        <f aca="false">IF($A129="","",AL128-AM128)</f>
        <v>#N/A</v>
      </c>
      <c r="AO128" s="137" t="n">
        <f aca="false">IF(A129="","",A129-A128)</f>
        <v>30</v>
      </c>
      <c r="AP128" s="212" t="n">
        <f aca="false">IF(A129="","",CHOOSE(F$3,A129+24,A128))</f>
        <v>40634</v>
      </c>
      <c r="AQ128" s="209" t="n">
        <f aca="false">IF(A129="","",AP128-$E$1)</f>
        <v>-5292</v>
      </c>
      <c r="AR128" s="185" t="n">
        <f aca="false">'ANR OK vs ML7'!AR128</f>
        <v>0.1</v>
      </c>
      <c r="AS128" s="213" t="n">
        <f aca="false">IF(A129="","",1/(1+CHOOSE(F$3,(AR129+($I$3/10000))/2,(AR128+($I$3/10000))/2))^(2*AQ128/365.25))</f>
        <v>4.11160196203358</v>
      </c>
      <c r="AT128" s="137" t="n">
        <f aca="false">IF(A129="","",IF(AND(mthbeg&lt;=A128,mthend&gt;=A128),1,0))</f>
        <v>1</v>
      </c>
      <c r="AU128" s="137" t="n">
        <f aca="false">IF(A129="","",AO128*AT128)</f>
        <v>30</v>
      </c>
      <c r="AW128" s="195" t="e">
        <f aca="false">IF($A129="","",AL128*$E128)</f>
        <v>#NAME?</v>
      </c>
      <c r="AX128" s="195" t="e">
        <f aca="false">IF($A129="","",AM128*$E128)</f>
        <v>#N/A</v>
      </c>
      <c r="AY128" s="195" t="e">
        <f aca="false">IF($A129="","",AN128*$E128)</f>
        <v>#N/A</v>
      </c>
      <c r="BA128" s="195" t="n">
        <f aca="false">IF($A129="","",F128*Summary!$Q$10)</f>
        <v>0</v>
      </c>
      <c r="BC128" s="179" t="e">
        <f aca="false">IF(A129="","",AM128*F128)</f>
        <v>#N/A</v>
      </c>
    </row>
    <row r="129" customFormat="false" ht="12.75" hidden="false" customHeight="false" outlineLevel="0" collapsed="false">
      <c r="A129" s="196" t="n">
        <f aca="false">IF(A128&lt;mthend,EDATE(A128,1),"")</f>
        <v>40664</v>
      </c>
      <c r="B129" s="197" t="n">
        <f aca="false">IF(A129&lt;mthend,B128,"")</f>
        <v>119740</v>
      </c>
      <c r="C129" s="215"/>
      <c r="D129" s="197" t="n">
        <f aca="false">IF(A130&lt;&gt;"",B129+C129,"")</f>
        <v>119740</v>
      </c>
      <c r="E129" s="199" t="n">
        <f aca="false">IF(A130="","",IF(AND(AT129=1,$H$3=1),D129*AO129,IF($H$3=2,D129,"N/A")))</f>
        <v>3711940</v>
      </c>
      <c r="F129" s="199" t="n">
        <f aca="false">IF(A130="","",E129*AS129)</f>
        <v>15140186.4650788</v>
      </c>
      <c r="G129" s="200" t="e">
        <f aca="false">IF($A130="","",VLOOKUP($A129,Table,MATCH(G$4,Curves,0)))</f>
        <v>#N/A</v>
      </c>
      <c r="H129" s="201" t="e">
        <f aca="false">IF(A130="","",G129)</f>
        <v>#N/A</v>
      </c>
      <c r="I129" s="202"/>
      <c r="J129" s="200" t="e">
        <f aca="false">IF($A130="","",VLOOKUP($A129,Table,MATCH(J$4,Curves,0)))</f>
        <v>#N/A</v>
      </c>
      <c r="K129" s="201" t="e">
        <f aca="false">IF(A130="","",J129)</f>
        <v>#N/A</v>
      </c>
      <c r="L129" s="185" t="n">
        <v>0</v>
      </c>
      <c r="M129" s="201" t="n">
        <f aca="false">IF(A130="","",L129)</f>
        <v>0</v>
      </c>
      <c r="N129" s="203"/>
      <c r="O129" s="200" t="e">
        <f aca="false">IF(A130="","",L129+J129+G129)</f>
        <v>#N/A</v>
      </c>
      <c r="P129" s="200" t="e">
        <f aca="false">IF(A130="","",M129+K129+H129)</f>
        <v>#N/A</v>
      </c>
      <c r="Q129" s="204"/>
      <c r="R129" s="200" t="e">
        <f aca="false">IF($A130="","",VLOOKUP($A129,Table,MATCH(R$4,Curves,0)))</f>
        <v>#N/A</v>
      </c>
      <c r="S129" s="201" t="e">
        <f aca="false">IF(A130="","",R129)</f>
        <v>#N/A</v>
      </c>
      <c r="T129" s="200" t="e">
        <f aca="false">IF($A130="","",VLOOKUP($A129,Table,MATCH(T$4,Curves,0)))</f>
        <v>#N/A</v>
      </c>
      <c r="U129" s="201" t="e">
        <f aca="false">IF(A130="","",T129)</f>
        <v>#N/A</v>
      </c>
      <c r="V129" s="205" t="e">
        <f aca="false">IF($A130="","",IF(AND(MONTH(A129)&gt;3,MONTH(A129)&lt;11),(T129+R129+G129)*Summary!$T$10/(1-Summary!$T$10),(T129+R129+G129)*Summary!$U$10/(1-Summary!$U$10)))</f>
        <v>#N/A</v>
      </c>
      <c r="W129" s="200" t="e">
        <f aca="false">IF($A130="","",(T129+R129+G129+V129))</f>
        <v>#N/A</v>
      </c>
      <c r="X129" s="200" t="e">
        <f aca="false">IF($A130="","",(U129+S129+H129+V129))</f>
        <v>#N/A</v>
      </c>
      <c r="Y129" s="202"/>
      <c r="Z129" s="185" t="e">
        <f aca="false">IF($A130="","",VLOOKUP($A129,Table,MATCH(Z$4,Curves,0)))</f>
        <v>#N/A</v>
      </c>
      <c r="AA129" s="185" t="e">
        <f aca="false">IF($A130="","",VLOOKUP($A129,Table,MATCH(AA$4,Curves,0)))</f>
        <v>#N/A</v>
      </c>
      <c r="AB129" s="185" t="e">
        <f aca="false">SQRT((AA129^2*(A129-$D$3)+Z129^2*(DAY(EOMONTH(A129,0))/2))/AK129)</f>
        <v>#N/A</v>
      </c>
      <c r="AC129" s="185" t="e">
        <f aca="false">IF($A130="","",VLOOKUP($A129,Table,MATCH(AC$4,Curves,0)))</f>
        <v>#N/A</v>
      </c>
      <c r="AD129" s="185" t="e">
        <f aca="false">IF($A130="","",VLOOKUP($A129,Table,MATCH(AD$4,Curves,0)))</f>
        <v>#N/A</v>
      </c>
      <c r="AE129" s="185" t="e">
        <f aca="false">SQRT((AD129^2*(A129-$D$3)+AC129^2*(DAY(EOMONTH(A129,0))/2))/AK129)</f>
        <v>#N/A</v>
      </c>
      <c r="AF129" s="224" t="e">
        <f aca="false">((Summary!$N$10*(AA129*AD129)*(A129-$D$3))+(Summary!$M$10*Z129*AC129*(AJ129-EOMONTH(EDATE(A129,-1),0))))/(AK129*AB129*AE129)</f>
        <v>#N/A</v>
      </c>
      <c r="AG129" s="207" t="n">
        <f aca="false">IF($A130="","",Summary!$Q$10)</f>
        <v>0</v>
      </c>
      <c r="AH129" s="207" t="n">
        <f aca="false">IF($A130="","",IF(Summary!$R$10="Y",(VLOOKUP($A129,Summary!$AD$6:$AF$9,3)+'Escalating commodity'!F142),'Escalating commodity'!F142))</f>
        <v>0.0158208</v>
      </c>
      <c r="AI129" s="207" t="n">
        <f aca="false">IF($A130="","",AH129)</f>
        <v>0.0158208</v>
      </c>
      <c r="AJ129" s="208" t="n">
        <f aca="false">A129+DAY(EOMONTH(A129,0))/2-1</f>
        <v>40678.5</v>
      </c>
      <c r="AK129" s="209" t="n">
        <f aca="false">IF($A130="","",$A129-$E$1)</f>
        <v>-5262</v>
      </c>
      <c r="AL129" s="182" t="e">
        <f aca="false">IF($A130="","",SPRDOPT(P129,X129,AI129,0,AB129,AE129,AF129,AK129,$AJ$2,0))</f>
        <v>#NAME?</v>
      </c>
      <c r="AM129" s="211" t="e">
        <f aca="false">IF($A130="","",MAX(0,O129-W129-AI129))</f>
        <v>#N/A</v>
      </c>
      <c r="AN129" s="211" t="e">
        <f aca="false">IF($A130="","",AL129-AM129)</f>
        <v>#N/A</v>
      </c>
      <c r="AO129" s="137" t="n">
        <f aca="false">IF(A130="","",A130-A129)</f>
        <v>31</v>
      </c>
      <c r="AP129" s="212" t="n">
        <f aca="false">IF(A130="","",CHOOSE(F$3,A130+24,A129))</f>
        <v>40664</v>
      </c>
      <c r="AQ129" s="209" t="n">
        <f aca="false">IF(A130="","",AP129-$E$1)</f>
        <v>-5262</v>
      </c>
      <c r="AR129" s="185" t="n">
        <f aca="false">'ANR OK vs ML7'!AR129</f>
        <v>0.1</v>
      </c>
      <c r="AS129" s="213" t="n">
        <f aca="false">IF(A130="","",1/(1+CHOOSE(F$3,(AR130+($I$3/10000))/2,(AR129+($I$3/10000))/2))^(2*AQ129/365.25))</f>
        <v>4.07877995470799</v>
      </c>
      <c r="AT129" s="137" t="n">
        <f aca="false">IF(A130="","",IF(AND(mthbeg&lt;=A129,mthend&gt;=A129),1,0))</f>
        <v>1</v>
      </c>
      <c r="AU129" s="137" t="n">
        <f aca="false">IF(A130="","",AO129*AT129)</f>
        <v>31</v>
      </c>
      <c r="AW129" s="195" t="e">
        <f aca="false">IF($A130="","",AL129*$E129)</f>
        <v>#NAME?</v>
      </c>
      <c r="AX129" s="195" t="e">
        <f aca="false">IF($A130="","",AM129*$E129)</f>
        <v>#N/A</v>
      </c>
      <c r="AY129" s="195" t="e">
        <f aca="false">IF($A130="","",AN129*$E129)</f>
        <v>#N/A</v>
      </c>
      <c r="BA129" s="195" t="n">
        <f aca="false">IF($A130="","",F129*Summary!$Q$10)</f>
        <v>0</v>
      </c>
      <c r="BC129" s="179" t="e">
        <f aca="false">IF(A130="","",AM129*F129)</f>
        <v>#N/A</v>
      </c>
    </row>
    <row r="130" customFormat="false" ht="12.75" hidden="false" customHeight="false" outlineLevel="0" collapsed="false">
      <c r="A130" s="196" t="n">
        <f aca="false">IF(A129&lt;mthend,EDATE(A129,1),"")</f>
        <v>40695</v>
      </c>
      <c r="B130" s="197" t="n">
        <f aca="false">IF(A130&lt;mthend,B129,"")</f>
        <v>119740</v>
      </c>
      <c r="C130" s="215"/>
      <c r="D130" s="197" t="n">
        <f aca="false">IF(A131&lt;&gt;"",B130+C130,"")</f>
        <v>119740</v>
      </c>
      <c r="E130" s="199" t="n">
        <f aca="false">IF(A131="","",IF(AND(AT130=1,$H$3=1),D130*AO130,IF($H$3=2,D130,"N/A")))</f>
        <v>3592200</v>
      </c>
      <c r="F130" s="199" t="n">
        <f aca="false">IF(A131="","",E130*AS130)</f>
        <v>14530948.7214415</v>
      </c>
      <c r="G130" s="200" t="e">
        <f aca="false">IF($A131="","",VLOOKUP($A130,Table,MATCH(G$4,Curves,0)))</f>
        <v>#N/A</v>
      </c>
      <c r="H130" s="201" t="e">
        <f aca="false">IF(A131="","",G130)</f>
        <v>#N/A</v>
      </c>
      <c r="I130" s="202"/>
      <c r="J130" s="200" t="e">
        <f aca="false">IF($A131="","",VLOOKUP($A130,Table,MATCH(J$4,Curves,0)))</f>
        <v>#N/A</v>
      </c>
      <c r="K130" s="201" t="e">
        <f aca="false">IF(A131="","",J130)</f>
        <v>#N/A</v>
      </c>
      <c r="L130" s="185" t="n">
        <v>0</v>
      </c>
      <c r="M130" s="201" t="n">
        <f aca="false">IF(A131="","",L130)</f>
        <v>0</v>
      </c>
      <c r="N130" s="203"/>
      <c r="O130" s="200" t="e">
        <f aca="false">IF(A131="","",L130+J130+G130)</f>
        <v>#N/A</v>
      </c>
      <c r="P130" s="200" t="e">
        <f aca="false">IF(A131="","",M130+K130+H130)</f>
        <v>#N/A</v>
      </c>
      <c r="Q130" s="204"/>
      <c r="R130" s="200" t="e">
        <f aca="false">IF($A131="","",VLOOKUP($A130,Table,MATCH(R$4,Curves,0)))</f>
        <v>#N/A</v>
      </c>
      <c r="S130" s="201" t="e">
        <f aca="false">IF(A131="","",R130)</f>
        <v>#N/A</v>
      </c>
      <c r="T130" s="200" t="e">
        <f aca="false">IF($A131="","",VLOOKUP($A130,Table,MATCH(T$4,Curves,0)))</f>
        <v>#N/A</v>
      </c>
      <c r="U130" s="201" t="e">
        <f aca="false">IF(A131="","",T130)</f>
        <v>#N/A</v>
      </c>
      <c r="V130" s="205" t="e">
        <f aca="false">IF($A131="","",IF(AND(MONTH(A130)&gt;3,MONTH(A130)&lt;11),(T130+R130+G130)*Summary!$T$10/(1-Summary!$T$10),(T130+R130+G130)*Summary!$U$10/(1-Summary!$U$10)))</f>
        <v>#N/A</v>
      </c>
      <c r="W130" s="200" t="e">
        <f aca="false">IF($A131="","",(T130+R130+G130+V130))</f>
        <v>#N/A</v>
      </c>
      <c r="X130" s="200" t="e">
        <f aca="false">IF($A131="","",(U130+S130+H130+V130))</f>
        <v>#N/A</v>
      </c>
      <c r="Y130" s="202"/>
      <c r="Z130" s="185" t="e">
        <f aca="false">IF($A131="","",VLOOKUP($A130,Table,MATCH(Z$4,Curves,0)))</f>
        <v>#N/A</v>
      </c>
      <c r="AA130" s="185" t="e">
        <f aca="false">IF($A131="","",VLOOKUP($A130,Table,MATCH(AA$4,Curves,0)))</f>
        <v>#N/A</v>
      </c>
      <c r="AB130" s="185" t="e">
        <f aca="false">SQRT((AA130^2*(A130-$D$3)+Z130^2*(DAY(EOMONTH(A130,0))/2))/AK130)</f>
        <v>#N/A</v>
      </c>
      <c r="AC130" s="185" t="e">
        <f aca="false">IF($A131="","",VLOOKUP($A130,Table,MATCH(AC$4,Curves,0)))</f>
        <v>#N/A</v>
      </c>
      <c r="AD130" s="185" t="e">
        <f aca="false">IF($A131="","",VLOOKUP($A130,Table,MATCH(AD$4,Curves,0)))</f>
        <v>#N/A</v>
      </c>
      <c r="AE130" s="185" t="e">
        <f aca="false">SQRT((AD130^2*(A130-$D$3)+AC130^2*(DAY(EOMONTH(A130,0))/2))/AK130)</f>
        <v>#N/A</v>
      </c>
      <c r="AF130" s="224" t="e">
        <f aca="false">((Summary!$N$10*(AA130*AD130)*(A130-$D$3))+(Summary!$M$10*Z130*AC130*(AJ130-EOMONTH(EDATE(A130,-1),0))))/(AK130*AB130*AE130)</f>
        <v>#N/A</v>
      </c>
      <c r="AG130" s="207" t="n">
        <f aca="false">IF($A131="","",Summary!$Q$10)</f>
        <v>0</v>
      </c>
      <c r="AH130" s="207" t="n">
        <f aca="false">IF($A131="","",IF(Summary!$R$10="Y",(VLOOKUP($A130,Summary!$AD$6:$AF$9,3)+'Escalating commodity'!F143),'Escalating commodity'!F143))</f>
        <v>0.0158208</v>
      </c>
      <c r="AI130" s="207" t="n">
        <f aca="false">IF($A131="","",AH130)</f>
        <v>0.0158208</v>
      </c>
      <c r="AJ130" s="208" t="n">
        <f aca="false">A130+DAY(EOMONTH(A130,0))/2-1</f>
        <v>40709</v>
      </c>
      <c r="AK130" s="209" t="n">
        <f aca="false">IF($A131="","",$A130-$E$1)</f>
        <v>-5231</v>
      </c>
      <c r="AL130" s="182" t="e">
        <f aca="false">IF($A131="","",SPRDOPT(P130,X130,AI130,0,AB130,AE130,AF130,AK130,$AJ$2,0))</f>
        <v>#NAME?</v>
      </c>
      <c r="AM130" s="211" t="e">
        <f aca="false">IF($A131="","",MAX(0,O130-W130-AI130))</f>
        <v>#N/A</v>
      </c>
      <c r="AN130" s="211" t="e">
        <f aca="false">IF($A131="","",AL130-AM130)</f>
        <v>#N/A</v>
      </c>
      <c r="AO130" s="137" t="n">
        <f aca="false">IF(A131="","",A131-A130)</f>
        <v>30</v>
      </c>
      <c r="AP130" s="212" t="n">
        <f aca="false">IF(A131="","",CHOOSE(F$3,A131+24,A130))</f>
        <v>40695</v>
      </c>
      <c r="AQ130" s="209" t="n">
        <f aca="false">IF(A131="","",AP130-$E$1)</f>
        <v>-5231</v>
      </c>
      <c r="AR130" s="185" t="n">
        <f aca="false">'ANR OK vs ML7'!AR130</f>
        <v>0.1</v>
      </c>
      <c r="AS130" s="213" t="n">
        <f aca="false">IF(A131="","",1/(1+CHOOSE(F$3,(AR131+($I$3/10000))/2,(AR130+($I$3/10000))/2))^(2*AQ130/365.25))</f>
        <v>4.04513911292286</v>
      </c>
      <c r="AT130" s="137" t="n">
        <f aca="false">IF(A131="","",IF(AND(mthbeg&lt;=A130,mthend&gt;=A130),1,0))</f>
        <v>1</v>
      </c>
      <c r="AU130" s="137" t="n">
        <f aca="false">IF(A131="","",AO130*AT130)</f>
        <v>30</v>
      </c>
      <c r="AW130" s="195" t="e">
        <f aca="false">IF($A131="","",AL130*$E130)</f>
        <v>#NAME?</v>
      </c>
      <c r="AX130" s="195" t="e">
        <f aca="false">IF($A131="","",AM130*$E130)</f>
        <v>#N/A</v>
      </c>
      <c r="AY130" s="195" t="e">
        <f aca="false">IF($A131="","",AN130*$E130)</f>
        <v>#N/A</v>
      </c>
      <c r="BA130" s="195" t="n">
        <f aca="false">IF($A131="","",F130*Summary!$Q$10)</f>
        <v>0</v>
      </c>
      <c r="BC130" s="179" t="e">
        <f aca="false">IF(A131="","",AM130*F130)</f>
        <v>#N/A</v>
      </c>
    </row>
    <row r="131" customFormat="false" ht="12.75" hidden="false" customHeight="false" outlineLevel="0" collapsed="false">
      <c r="A131" s="196" t="n">
        <f aca="false">IF(A130&lt;mthend,EDATE(A130,1),"")</f>
        <v>40725</v>
      </c>
      <c r="B131" s="197" t="n">
        <f aca="false">IF(A131&lt;mthend,B130,"")</f>
        <v>119740</v>
      </c>
      <c r="C131" s="215"/>
      <c r="D131" s="197" t="n">
        <f aca="false">IF(A132&lt;&gt;"",B131+C131,"")</f>
        <v>119740</v>
      </c>
      <c r="E131" s="199" t="n">
        <f aca="false">IF(A132="","",IF(AND(AT131=1,$H$3=1),D131*AO131,IF($H$3=2,D131,"N/A")))</f>
        <v>3711940</v>
      </c>
      <c r="F131" s="199" t="n">
        <f aca="false">IF(A132="","",E131*AS131)</f>
        <v>14895449.7571414</v>
      </c>
      <c r="G131" s="200" t="e">
        <f aca="false">IF($A132="","",VLOOKUP($A131,Table,MATCH(G$4,Curves,0)))</f>
        <v>#N/A</v>
      </c>
      <c r="H131" s="201" t="e">
        <f aca="false">IF(A132="","",G131)</f>
        <v>#N/A</v>
      </c>
      <c r="I131" s="202"/>
      <c r="J131" s="200" t="e">
        <f aca="false">IF($A132="","",VLOOKUP($A131,Table,MATCH(J$4,Curves,0)))</f>
        <v>#N/A</v>
      </c>
      <c r="K131" s="201" t="e">
        <f aca="false">IF(A132="","",J131)</f>
        <v>#N/A</v>
      </c>
      <c r="L131" s="185" t="n">
        <v>0</v>
      </c>
      <c r="M131" s="201" t="n">
        <f aca="false">IF(A132="","",L131)</f>
        <v>0</v>
      </c>
      <c r="N131" s="203"/>
      <c r="O131" s="200" t="e">
        <f aca="false">IF(A132="","",L131+J131+G131)</f>
        <v>#N/A</v>
      </c>
      <c r="P131" s="200" t="e">
        <f aca="false">IF(A132="","",M131+K131+H131)</f>
        <v>#N/A</v>
      </c>
      <c r="Q131" s="204"/>
      <c r="R131" s="200" t="e">
        <f aca="false">IF($A132="","",VLOOKUP($A131,Table,MATCH(R$4,Curves,0)))</f>
        <v>#N/A</v>
      </c>
      <c r="S131" s="201" t="e">
        <f aca="false">IF(A132="","",R131)</f>
        <v>#N/A</v>
      </c>
      <c r="T131" s="200" t="e">
        <f aca="false">IF($A132="","",VLOOKUP($A131,Table,MATCH(T$4,Curves,0)))</f>
        <v>#N/A</v>
      </c>
      <c r="U131" s="201" t="e">
        <f aca="false">IF(A132="","",T131)</f>
        <v>#N/A</v>
      </c>
      <c r="V131" s="205" t="e">
        <f aca="false">IF($A132="","",IF(AND(MONTH(A131)&gt;3,MONTH(A131)&lt;11),(T131+R131+G131)*Summary!$T$10/(1-Summary!$T$10),(T131+R131+G131)*Summary!$U$10/(1-Summary!$U$10)))</f>
        <v>#N/A</v>
      </c>
      <c r="W131" s="200" t="e">
        <f aca="false">IF($A132="","",(T131+R131+G131+V131))</f>
        <v>#N/A</v>
      </c>
      <c r="X131" s="200" t="e">
        <f aca="false">IF($A132="","",(U131+S131+H131+V131))</f>
        <v>#N/A</v>
      </c>
      <c r="Y131" s="202"/>
      <c r="Z131" s="185" t="e">
        <f aca="false">IF($A132="","",VLOOKUP($A131,Table,MATCH(Z$4,Curves,0)))</f>
        <v>#N/A</v>
      </c>
      <c r="AA131" s="185" t="e">
        <f aca="false">IF($A132="","",VLOOKUP($A131,Table,MATCH(AA$4,Curves,0)))</f>
        <v>#N/A</v>
      </c>
      <c r="AB131" s="185" t="e">
        <f aca="false">SQRT((AA131^2*(A131-$D$3)+Z131^2*(DAY(EOMONTH(A131,0))/2))/AK131)</f>
        <v>#N/A</v>
      </c>
      <c r="AC131" s="185" t="e">
        <f aca="false">IF($A132="","",VLOOKUP($A131,Table,MATCH(AC$4,Curves,0)))</f>
        <v>#N/A</v>
      </c>
      <c r="AD131" s="185" t="e">
        <f aca="false">IF($A132="","",VLOOKUP($A131,Table,MATCH(AD$4,Curves,0)))</f>
        <v>#N/A</v>
      </c>
      <c r="AE131" s="185" t="e">
        <f aca="false">SQRT((AD131^2*(A131-$D$3)+AC131^2*(DAY(EOMONTH(A131,0))/2))/AK131)</f>
        <v>#N/A</v>
      </c>
      <c r="AF131" s="224" t="e">
        <f aca="false">((Summary!$N$10*(AA131*AD131)*(A131-$D$3))+(Summary!$M$10*Z131*AC131*(AJ131-EOMONTH(EDATE(A131,-1),0))))/(AK131*AB131*AE131)</f>
        <v>#N/A</v>
      </c>
      <c r="AG131" s="207" t="n">
        <f aca="false">IF($A132="","",Summary!$Q$10)</f>
        <v>0</v>
      </c>
      <c r="AH131" s="207" t="n">
        <f aca="false">IF($A132="","",IF(Summary!$R$10="Y",(VLOOKUP($A131,Summary!$AD$6:$AF$9,3)+'Escalating commodity'!F144),'Escalating commodity'!F144))</f>
        <v>0.0158208</v>
      </c>
      <c r="AI131" s="207" t="n">
        <f aca="false">IF($A132="","",AH131)</f>
        <v>0.0158208</v>
      </c>
      <c r="AJ131" s="208" t="n">
        <f aca="false">A131+DAY(EOMONTH(A131,0))/2-1</f>
        <v>40739.5</v>
      </c>
      <c r="AK131" s="209" t="n">
        <f aca="false">IF($A132="","",$A131-$E$1)</f>
        <v>-5201</v>
      </c>
      <c r="AL131" s="182" t="e">
        <f aca="false">IF($A132="","",SPRDOPT(P131,X131,AI131,0,AB131,AE131,AF131,AK131,$AJ$2,0))</f>
        <v>#NAME?</v>
      </c>
      <c r="AM131" s="211" t="e">
        <f aca="false">IF($A132="","",MAX(0,O131-W131-AI131))</f>
        <v>#N/A</v>
      </c>
      <c r="AN131" s="211" t="e">
        <f aca="false">IF($A132="","",AL131-AM131)</f>
        <v>#N/A</v>
      </c>
      <c r="AO131" s="137" t="n">
        <f aca="false">IF(A132="","",A132-A131)</f>
        <v>31</v>
      </c>
      <c r="AP131" s="212" t="n">
        <f aca="false">IF(A132="","",CHOOSE(F$3,A132+24,A131))</f>
        <v>40725</v>
      </c>
      <c r="AQ131" s="209" t="n">
        <f aca="false">IF(A132="","",AP131-$E$1)</f>
        <v>-5201</v>
      </c>
      <c r="AR131" s="185" t="n">
        <f aca="false">'ANR OK vs ML7'!AR131</f>
        <v>0.1</v>
      </c>
      <c r="AS131" s="213" t="n">
        <f aca="false">IF(A132="","",1/(1+CHOOSE(F$3,(AR132+($I$3/10000))/2,(AR131+($I$3/10000))/2))^(2*AQ131/365.25))</f>
        <v>4.01284766379345</v>
      </c>
      <c r="AT131" s="137" t="n">
        <f aca="false">IF(A132="","",IF(AND(mthbeg&lt;=A131,mthend&gt;=A131),1,0))</f>
        <v>1</v>
      </c>
      <c r="AU131" s="137" t="n">
        <f aca="false">IF(A132="","",AO131*AT131)</f>
        <v>31</v>
      </c>
      <c r="AW131" s="195" t="e">
        <f aca="false">IF($A132="","",AL131*$E131)</f>
        <v>#NAME?</v>
      </c>
      <c r="AX131" s="195" t="e">
        <f aca="false">IF($A132="","",AM131*$E131)</f>
        <v>#N/A</v>
      </c>
      <c r="AY131" s="195" t="e">
        <f aca="false">IF($A132="","",AN131*$E131)</f>
        <v>#N/A</v>
      </c>
      <c r="BA131" s="195" t="n">
        <f aca="false">IF($A132="","",F131*Summary!$Q$10)</f>
        <v>0</v>
      </c>
      <c r="BC131" s="179" t="e">
        <f aca="false">IF(A132="","",AM131*F131)</f>
        <v>#N/A</v>
      </c>
    </row>
    <row r="132" customFormat="false" ht="12.75" hidden="false" customHeight="false" outlineLevel="0" collapsed="false">
      <c r="A132" s="196" t="n">
        <f aca="false">IF(A131&lt;mthend,EDATE(A131,1),"")</f>
        <v>40756</v>
      </c>
      <c r="B132" s="197" t="n">
        <f aca="false">IF(A132&lt;mthend,B131,"")</f>
        <v>119740</v>
      </c>
      <c r="C132" s="215"/>
      <c r="D132" s="197" t="n">
        <f aca="false">IF(A133&lt;&gt;"",B132+C132,"")</f>
        <v>119740</v>
      </c>
      <c r="E132" s="199" t="n">
        <f aca="false">IF(A133="","",IF(AND(AT132=1,$H$3=1),D132*AO132,IF($H$3=2,D132,"N/A")))</f>
        <v>3711940</v>
      </c>
      <c r="F132" s="199" t="n">
        <f aca="false">IF(A133="","",E132*AS132)</f>
        <v>14772595.5031335</v>
      </c>
      <c r="G132" s="200" t="e">
        <f aca="false">IF($A133="","",VLOOKUP($A132,Table,MATCH(G$4,Curves,0)))</f>
        <v>#N/A</v>
      </c>
      <c r="H132" s="201" t="e">
        <f aca="false">IF(A133="","",G132)</f>
        <v>#N/A</v>
      </c>
      <c r="I132" s="202"/>
      <c r="J132" s="200" t="e">
        <f aca="false">IF($A133="","",VLOOKUP($A132,Table,MATCH(J$4,Curves,0)))</f>
        <v>#N/A</v>
      </c>
      <c r="K132" s="201" t="e">
        <f aca="false">IF(A133="","",J132)</f>
        <v>#N/A</v>
      </c>
      <c r="L132" s="185" t="n">
        <v>0</v>
      </c>
      <c r="M132" s="201" t="n">
        <f aca="false">IF(A133="","",L132)</f>
        <v>0</v>
      </c>
      <c r="N132" s="203"/>
      <c r="O132" s="200" t="e">
        <f aca="false">IF(A133="","",L132+J132+G132)</f>
        <v>#N/A</v>
      </c>
      <c r="P132" s="200" t="e">
        <f aca="false">IF(A133="","",M132+K132+H132)</f>
        <v>#N/A</v>
      </c>
      <c r="Q132" s="204"/>
      <c r="R132" s="200" t="e">
        <f aca="false">IF($A133="","",VLOOKUP($A132,Table,MATCH(R$4,Curves,0)))</f>
        <v>#N/A</v>
      </c>
      <c r="S132" s="201" t="e">
        <f aca="false">IF(A133="","",R132)</f>
        <v>#N/A</v>
      </c>
      <c r="T132" s="200" t="e">
        <f aca="false">IF($A133="","",VLOOKUP($A132,Table,MATCH(T$4,Curves,0)))</f>
        <v>#N/A</v>
      </c>
      <c r="U132" s="201" t="e">
        <f aca="false">IF(A133="","",T132)</f>
        <v>#N/A</v>
      </c>
      <c r="V132" s="205" t="e">
        <f aca="false">IF($A133="","",IF(AND(MONTH(A132)&gt;3,MONTH(A132)&lt;11),(T132+R132+G132)*Summary!$T$10/(1-Summary!$T$10),(T132+R132+G132)*Summary!$U$10/(1-Summary!$U$10)))</f>
        <v>#N/A</v>
      </c>
      <c r="W132" s="200" t="e">
        <f aca="false">IF($A133="","",(T132+R132+G132+V132))</f>
        <v>#N/A</v>
      </c>
      <c r="X132" s="200" t="e">
        <f aca="false">IF($A133="","",(U132+S132+H132+V132))</f>
        <v>#N/A</v>
      </c>
      <c r="Y132" s="202"/>
      <c r="Z132" s="185" t="e">
        <f aca="false">IF($A133="","",VLOOKUP($A132,Table,MATCH(Z$4,Curves,0)))</f>
        <v>#N/A</v>
      </c>
      <c r="AA132" s="185" t="e">
        <f aca="false">IF($A133="","",VLOOKUP($A132,Table,MATCH(AA$4,Curves,0)))</f>
        <v>#N/A</v>
      </c>
      <c r="AB132" s="185" t="e">
        <f aca="false">SQRT((AA132^2*(A132-$D$3)+Z132^2*(DAY(EOMONTH(A132,0))/2))/AK132)</f>
        <v>#N/A</v>
      </c>
      <c r="AC132" s="185" t="e">
        <f aca="false">IF($A133="","",VLOOKUP($A132,Table,MATCH(AC$4,Curves,0)))</f>
        <v>#N/A</v>
      </c>
      <c r="AD132" s="185" t="e">
        <f aca="false">IF($A133="","",VLOOKUP($A132,Table,MATCH(AD$4,Curves,0)))</f>
        <v>#N/A</v>
      </c>
      <c r="AE132" s="185" t="e">
        <f aca="false">SQRT((AD132^2*(A132-$D$3)+AC132^2*(DAY(EOMONTH(A132,0))/2))/AK132)</f>
        <v>#N/A</v>
      </c>
      <c r="AF132" s="224" t="e">
        <f aca="false">((Summary!$N$10*(AA132*AD132)*(A132-$D$3))+(Summary!$M$10*Z132*AC132*(AJ132-EOMONTH(EDATE(A132,-1),0))))/(AK132*AB132*AE132)</f>
        <v>#N/A</v>
      </c>
      <c r="AG132" s="207" t="n">
        <f aca="false">IF($A133="","",Summary!$Q$10)</f>
        <v>0</v>
      </c>
      <c r="AH132" s="207" t="n">
        <f aca="false">IF($A133="","",IF(Summary!$R$10="Y",(VLOOKUP($A132,Summary!$AD$6:$AF$9,3)+'Escalating commodity'!F145),'Escalating commodity'!F145))</f>
        <v>0.0158208</v>
      </c>
      <c r="AI132" s="207" t="n">
        <f aca="false">IF($A133="","",AH132)</f>
        <v>0.0158208</v>
      </c>
      <c r="AJ132" s="208" t="n">
        <f aca="false">A132+DAY(EOMONTH(A132,0))/2-1</f>
        <v>40770.5</v>
      </c>
      <c r="AK132" s="209" t="n">
        <f aca="false">IF($A133="","",$A132-$E$1)</f>
        <v>-5170</v>
      </c>
      <c r="AL132" s="182" t="e">
        <f aca="false">IF($A133="","",SPRDOPT(P132,X132,AI132,0,AB132,AE132,AF132,AK132,$AJ$2,0))</f>
        <v>#NAME?</v>
      </c>
      <c r="AM132" s="211" t="e">
        <f aca="false">IF($A133="","",MAX(0,O132-W132-AI132))</f>
        <v>#N/A</v>
      </c>
      <c r="AN132" s="211" t="e">
        <f aca="false">IF($A133="","",AL132-AM132)</f>
        <v>#N/A</v>
      </c>
      <c r="AO132" s="137" t="n">
        <f aca="false">IF(A133="","",A133-A132)</f>
        <v>31</v>
      </c>
      <c r="AP132" s="212" t="n">
        <f aca="false">IF(A133="","",CHOOSE(F$3,A133+24,A132))</f>
        <v>40756</v>
      </c>
      <c r="AQ132" s="209" t="n">
        <f aca="false">IF(A133="","",AP132-$E$1)</f>
        <v>-5170</v>
      </c>
      <c r="AR132" s="185" t="n">
        <f aca="false">'ANR OK vs ML7'!AR132</f>
        <v>0.1</v>
      </c>
      <c r="AS132" s="213" t="n">
        <f aca="false">IF(A133="","",1/(1+CHOOSE(F$3,(AR133+($I$3/10000))/2,(AR132+($I$3/10000))/2))^(2*AQ132/365.25))</f>
        <v>3.97975061642524</v>
      </c>
      <c r="AT132" s="137" t="n">
        <f aca="false">IF(A133="","",IF(AND(mthbeg&lt;=A132,mthend&gt;=A132),1,0))</f>
        <v>1</v>
      </c>
      <c r="AU132" s="137" t="n">
        <f aca="false">IF(A133="","",AO132*AT132)</f>
        <v>31</v>
      </c>
      <c r="AW132" s="195" t="e">
        <f aca="false">IF($A133="","",AL132*$E132)</f>
        <v>#NAME?</v>
      </c>
      <c r="AX132" s="195" t="e">
        <f aca="false">IF($A133="","",AM132*$E132)</f>
        <v>#N/A</v>
      </c>
      <c r="AY132" s="195" t="e">
        <f aca="false">IF($A133="","",AN132*$E132)</f>
        <v>#N/A</v>
      </c>
      <c r="BA132" s="195" t="n">
        <f aca="false">IF($A133="","",F132*Summary!$Q$10)</f>
        <v>0</v>
      </c>
      <c r="BC132" s="179" t="e">
        <f aca="false">IF(A133="","",AM132*F132)</f>
        <v>#N/A</v>
      </c>
    </row>
    <row r="133" customFormat="false" ht="12.75" hidden="false" customHeight="false" outlineLevel="0" collapsed="false">
      <c r="A133" s="196" t="n">
        <f aca="false">IF(A132&lt;mthend,EDATE(A132,1),"")</f>
        <v>40787</v>
      </c>
      <c r="B133" s="197" t="n">
        <f aca="false">IF(A133&lt;mthend,B132,"")</f>
        <v>119740</v>
      </c>
      <c r="C133" s="215"/>
      <c r="D133" s="197" t="n">
        <f aca="false">IF(A134&lt;&gt;"",B133+C133,"")</f>
        <v>119740</v>
      </c>
      <c r="E133" s="199" t="n">
        <f aca="false">IF(A134="","",IF(AND(AT133=1,$H$3=1),D133*AO133,IF($H$3=2,D133,"N/A")))</f>
        <v>3592200</v>
      </c>
      <c r="F133" s="199" t="n">
        <f aca="false">IF(A134="","",E133*AS133)</f>
        <v>14178149.5382338</v>
      </c>
      <c r="G133" s="200" t="e">
        <f aca="false">IF($A134="","",VLOOKUP($A133,Table,MATCH(G$4,Curves,0)))</f>
        <v>#N/A</v>
      </c>
      <c r="H133" s="201" t="e">
        <f aca="false">IF(A134="","",G133)</f>
        <v>#N/A</v>
      </c>
      <c r="I133" s="202"/>
      <c r="J133" s="200" t="e">
        <f aca="false">IF($A134="","",VLOOKUP($A133,Table,MATCH(J$4,Curves,0)))</f>
        <v>#N/A</v>
      </c>
      <c r="K133" s="201" t="e">
        <f aca="false">IF(A134="","",J133)</f>
        <v>#N/A</v>
      </c>
      <c r="L133" s="185" t="n">
        <v>0</v>
      </c>
      <c r="M133" s="201" t="n">
        <f aca="false">IF(A134="","",L133)</f>
        <v>0</v>
      </c>
      <c r="N133" s="203"/>
      <c r="O133" s="200" t="e">
        <f aca="false">IF(A134="","",L133+J133+G133)</f>
        <v>#N/A</v>
      </c>
      <c r="P133" s="200" t="e">
        <f aca="false">IF(A134="","",M133+K133+H133)</f>
        <v>#N/A</v>
      </c>
      <c r="Q133" s="204"/>
      <c r="R133" s="200" t="e">
        <f aca="false">IF($A134="","",VLOOKUP($A133,Table,MATCH(R$4,Curves,0)))</f>
        <v>#N/A</v>
      </c>
      <c r="S133" s="201" t="e">
        <f aca="false">IF(A134="","",R133)</f>
        <v>#N/A</v>
      </c>
      <c r="T133" s="200" t="e">
        <f aca="false">IF($A134="","",VLOOKUP($A133,Table,MATCH(T$4,Curves,0)))</f>
        <v>#N/A</v>
      </c>
      <c r="U133" s="201" t="e">
        <f aca="false">IF(A134="","",T133)</f>
        <v>#N/A</v>
      </c>
      <c r="V133" s="205" t="e">
        <f aca="false">IF($A134="","",IF(AND(MONTH(A133)&gt;3,MONTH(A133)&lt;11),(T133+R133+G133)*Summary!$T$10/(1-Summary!$T$10),(T133+R133+G133)*Summary!$U$10/(1-Summary!$U$10)))</f>
        <v>#N/A</v>
      </c>
      <c r="W133" s="200" t="e">
        <f aca="false">IF($A134="","",(T133+R133+G133+V133))</f>
        <v>#N/A</v>
      </c>
      <c r="X133" s="200" t="e">
        <f aca="false">IF($A134="","",(U133+S133+H133+V133))</f>
        <v>#N/A</v>
      </c>
      <c r="Y133" s="202"/>
      <c r="Z133" s="185" t="e">
        <f aca="false">IF($A134="","",VLOOKUP($A133,Table,MATCH(Z$4,Curves,0)))</f>
        <v>#N/A</v>
      </c>
      <c r="AA133" s="185" t="e">
        <f aca="false">IF($A134="","",VLOOKUP($A133,Table,MATCH(AA$4,Curves,0)))</f>
        <v>#N/A</v>
      </c>
      <c r="AB133" s="185" t="e">
        <f aca="false">SQRT((AA133^2*(A133-$D$3)+Z133^2*(DAY(EOMONTH(A133,0))/2))/AK133)</f>
        <v>#N/A</v>
      </c>
      <c r="AC133" s="185" t="e">
        <f aca="false">IF($A134="","",VLOOKUP($A133,Table,MATCH(AC$4,Curves,0)))</f>
        <v>#N/A</v>
      </c>
      <c r="AD133" s="185" t="e">
        <f aca="false">IF($A134="","",VLOOKUP($A133,Table,MATCH(AD$4,Curves,0)))</f>
        <v>#N/A</v>
      </c>
      <c r="AE133" s="185" t="e">
        <f aca="false">SQRT((AD133^2*(A133-$D$3)+AC133^2*(DAY(EOMONTH(A133,0))/2))/AK133)</f>
        <v>#N/A</v>
      </c>
      <c r="AF133" s="224" t="e">
        <f aca="false">((Summary!$N$10*(AA133*AD133)*(A133-$D$3))+(Summary!$M$10*Z133*AC133*(AJ133-EOMONTH(EDATE(A133,-1),0))))/(AK133*AB133*AE133)</f>
        <v>#N/A</v>
      </c>
      <c r="AG133" s="207" t="n">
        <f aca="false">IF($A134="","",Summary!$Q$10)</f>
        <v>0</v>
      </c>
      <c r="AH133" s="207" t="n">
        <f aca="false">IF($A134="","",IF(Summary!$R$10="Y",(VLOOKUP($A133,Summary!$AD$6:$AF$9,3)+'Escalating commodity'!F146),'Escalating commodity'!F146))</f>
        <v>0.0158208</v>
      </c>
      <c r="AI133" s="207" t="n">
        <f aca="false">IF($A134="","",AH133)</f>
        <v>0.0158208</v>
      </c>
      <c r="AJ133" s="208" t="n">
        <f aca="false">A133+DAY(EOMONTH(A133,0))/2-1</f>
        <v>40801</v>
      </c>
      <c r="AK133" s="209" t="n">
        <f aca="false">IF($A134="","",$A133-$E$1)</f>
        <v>-5139</v>
      </c>
      <c r="AL133" s="182" t="e">
        <f aca="false">IF($A134="","",SPRDOPT(P133,X133,AI133,0,AB133,AE133,AF133,AK133,$AJ$2,0))</f>
        <v>#NAME?</v>
      </c>
      <c r="AM133" s="211" t="e">
        <f aca="false">IF($A134="","",MAX(0,O133-W133-AI133))</f>
        <v>#N/A</v>
      </c>
      <c r="AN133" s="211" t="e">
        <f aca="false">IF($A134="","",AL133-AM133)</f>
        <v>#N/A</v>
      </c>
      <c r="AO133" s="137" t="n">
        <f aca="false">IF(A134="","",A134-A133)</f>
        <v>30</v>
      </c>
      <c r="AP133" s="212" t="n">
        <f aca="false">IF(A134="","",CHOOSE(F$3,A134+24,A133))</f>
        <v>40787</v>
      </c>
      <c r="AQ133" s="209" t="n">
        <f aca="false">IF(A134="","",AP133-$E$1)</f>
        <v>-5139</v>
      </c>
      <c r="AR133" s="185" t="n">
        <f aca="false">'ANR OK vs ML7'!AR133</f>
        <v>0.1</v>
      </c>
      <c r="AS133" s="213" t="n">
        <f aca="false">IF(A134="","",1/(1+CHOOSE(F$3,(AR134+($I$3/10000))/2,(AR133+($I$3/10000))/2))^(2*AQ133/365.25))</f>
        <v>3.94692654591443</v>
      </c>
      <c r="AT133" s="137" t="n">
        <f aca="false">IF(A134="","",IF(AND(mthbeg&lt;=A133,mthend&gt;=A133),1,0))</f>
        <v>1</v>
      </c>
      <c r="AU133" s="137" t="n">
        <f aca="false">IF(A134="","",AO133*AT133)</f>
        <v>30</v>
      </c>
      <c r="AW133" s="195" t="e">
        <f aca="false">IF($A134="","",AL133*$E133)</f>
        <v>#NAME?</v>
      </c>
      <c r="AX133" s="195" t="e">
        <f aca="false">IF($A134="","",AM133*$E133)</f>
        <v>#N/A</v>
      </c>
      <c r="AY133" s="195" t="e">
        <f aca="false">IF($A134="","",AN133*$E133)</f>
        <v>#N/A</v>
      </c>
      <c r="BA133" s="195" t="n">
        <f aca="false">IF($A134="","",F133*Summary!$Q$10)</f>
        <v>0</v>
      </c>
      <c r="BC133" s="179" t="e">
        <f aca="false">IF(A134="","",AM133*F133)</f>
        <v>#N/A</v>
      </c>
    </row>
    <row r="134" customFormat="false" ht="12.75" hidden="false" customHeight="false" outlineLevel="0" collapsed="false">
      <c r="A134" s="196" t="n">
        <f aca="false">IF(A133&lt;mthend,EDATE(A133,1),"")</f>
        <v>40817</v>
      </c>
      <c r="B134" s="197" t="n">
        <f aca="false">IF(A134&lt;mthend,B133,"")</f>
        <v>119740</v>
      </c>
      <c r="C134" s="215"/>
      <c r="D134" s="197" t="n">
        <f aca="false">IF(A135&lt;&gt;"",B134+C134,"")</f>
        <v>119740</v>
      </c>
      <c r="E134" s="199" t="n">
        <f aca="false">IF(A135="","",IF(AND(AT134=1,$H$3=1),D134*AO134,IF($H$3=2,D134,"N/A")))</f>
        <v>3711940</v>
      </c>
      <c r="F134" s="199" t="n">
        <f aca="false">IF(A135="","",E134*AS134)</f>
        <v>14533800.7961155</v>
      </c>
      <c r="G134" s="200" t="e">
        <f aca="false">IF($A135="","",VLOOKUP($A134,Table,MATCH(G$4,Curves,0)))</f>
        <v>#N/A</v>
      </c>
      <c r="H134" s="201" t="e">
        <f aca="false">IF(A135="","",G134)</f>
        <v>#N/A</v>
      </c>
      <c r="I134" s="202"/>
      <c r="J134" s="200" t="e">
        <f aca="false">IF($A135="","",VLOOKUP($A134,Table,MATCH(J$4,Curves,0)))</f>
        <v>#N/A</v>
      </c>
      <c r="K134" s="201" t="e">
        <f aca="false">IF(A135="","",J134)</f>
        <v>#N/A</v>
      </c>
      <c r="L134" s="185" t="n">
        <v>0</v>
      </c>
      <c r="M134" s="201" t="n">
        <f aca="false">IF(A135="","",L134)</f>
        <v>0</v>
      </c>
      <c r="N134" s="203"/>
      <c r="O134" s="200" t="e">
        <f aca="false">IF(A135="","",L134+J134+G134)</f>
        <v>#N/A</v>
      </c>
      <c r="P134" s="200" t="e">
        <f aca="false">IF(A135="","",M134+K134+H134)</f>
        <v>#N/A</v>
      </c>
      <c r="Q134" s="204"/>
      <c r="R134" s="200" t="e">
        <f aca="false">IF($A135="","",VLOOKUP($A134,Table,MATCH(R$4,Curves,0)))</f>
        <v>#N/A</v>
      </c>
      <c r="S134" s="201" t="e">
        <f aca="false">IF(A135="","",R134)</f>
        <v>#N/A</v>
      </c>
      <c r="T134" s="200" t="e">
        <f aca="false">IF($A135="","",VLOOKUP($A134,Table,MATCH(T$4,Curves,0)))</f>
        <v>#N/A</v>
      </c>
      <c r="U134" s="201" t="e">
        <f aca="false">IF(A135="","",T134)</f>
        <v>#N/A</v>
      </c>
      <c r="V134" s="205" t="e">
        <f aca="false">IF($A135="","",IF(AND(MONTH(A134)&gt;3,MONTH(A134)&lt;11),(T134+R134+G134)*Summary!$T$10/(1-Summary!$T$10),(T134+R134+G134)*Summary!$U$10/(1-Summary!$U$10)))</f>
        <v>#N/A</v>
      </c>
      <c r="W134" s="200" t="e">
        <f aca="false">IF($A135="","",(T134+R134+G134+V134))</f>
        <v>#N/A</v>
      </c>
      <c r="X134" s="200" t="e">
        <f aca="false">IF($A135="","",(U134+S134+H134+V134))</f>
        <v>#N/A</v>
      </c>
      <c r="Y134" s="202"/>
      <c r="Z134" s="185" t="e">
        <f aca="false">IF($A135="","",VLOOKUP($A134,Table,MATCH(Z$4,Curves,0)))</f>
        <v>#N/A</v>
      </c>
      <c r="AA134" s="185" t="e">
        <f aca="false">IF($A135="","",VLOOKUP($A134,Table,MATCH(AA$4,Curves,0)))</f>
        <v>#N/A</v>
      </c>
      <c r="AB134" s="185" t="e">
        <f aca="false">SQRT((AA134^2*(A134-$D$3)+Z134^2*(DAY(EOMONTH(A134,0))/2))/AK134)</f>
        <v>#N/A</v>
      </c>
      <c r="AC134" s="185" t="e">
        <f aca="false">IF($A135="","",VLOOKUP($A134,Table,MATCH(AC$4,Curves,0)))</f>
        <v>#N/A</v>
      </c>
      <c r="AD134" s="185" t="e">
        <f aca="false">IF($A135="","",VLOOKUP($A134,Table,MATCH(AD$4,Curves,0)))</f>
        <v>#N/A</v>
      </c>
      <c r="AE134" s="185" t="e">
        <f aca="false">SQRT((AD134^2*(A134-$D$3)+AC134^2*(DAY(EOMONTH(A134,0))/2))/AK134)</f>
        <v>#N/A</v>
      </c>
      <c r="AF134" s="224" t="e">
        <f aca="false">((Summary!$N$10*(AA134*AD134)*(A134-$D$3))+(Summary!$M$10*Z134*AC134*(AJ134-EOMONTH(EDATE(A134,-1),0))))/(AK134*AB134*AE134)</f>
        <v>#N/A</v>
      </c>
      <c r="AG134" s="207" t="n">
        <f aca="false">IF($A135="","",Summary!$Q$10)</f>
        <v>0</v>
      </c>
      <c r="AH134" s="207" t="n">
        <f aca="false">IF($A135="","",IF(Summary!$R$10="Y",(VLOOKUP($A134,Summary!$AD$6:$AF$9,3)+'Escalating commodity'!F147),'Escalating commodity'!F147))</f>
        <v>0.0158208</v>
      </c>
      <c r="AI134" s="207" t="n">
        <f aca="false">IF($A135="","",AH134)</f>
        <v>0.0158208</v>
      </c>
      <c r="AJ134" s="208" t="n">
        <f aca="false">A134+DAY(EOMONTH(A134,0))/2-1</f>
        <v>40831.5</v>
      </c>
      <c r="AK134" s="209" t="n">
        <f aca="false">IF($A135="","",$A134-$E$1)</f>
        <v>-5109</v>
      </c>
      <c r="AL134" s="182" t="e">
        <f aca="false">IF($A135="","",SPRDOPT(P134,X134,AI134,0,AB134,AE134,AF134,AK134,$AJ$2,0))</f>
        <v>#NAME?</v>
      </c>
      <c r="AM134" s="211" t="e">
        <f aca="false">IF($A135="","",MAX(0,O134-W134-AI134))</f>
        <v>#N/A</v>
      </c>
      <c r="AN134" s="211" t="e">
        <f aca="false">IF($A135="","",AL134-AM134)</f>
        <v>#N/A</v>
      </c>
      <c r="AO134" s="137" t="n">
        <f aca="false">IF(A135="","",A135-A134)</f>
        <v>31</v>
      </c>
      <c r="AP134" s="212" t="n">
        <f aca="false">IF(A135="","",CHOOSE(F$3,A135+24,A134))</f>
        <v>40817</v>
      </c>
      <c r="AQ134" s="209" t="n">
        <f aca="false">IF(A135="","",AP134-$E$1)</f>
        <v>-5109</v>
      </c>
      <c r="AR134" s="185" t="n">
        <f aca="false">'ANR OK vs ML7'!AR134</f>
        <v>0.1</v>
      </c>
      <c r="AS134" s="213" t="n">
        <f aca="false">IF(A135="","",1/(1+CHOOSE(F$3,(AR135+($I$3/10000))/2,(AR134+($I$3/10000))/2))^(2*AQ134/365.25))</f>
        <v>3.91541910594338</v>
      </c>
      <c r="AT134" s="137" t="n">
        <f aca="false">IF(A135="","",IF(AND(mthbeg&lt;=A134,mthend&gt;=A134),1,0))</f>
        <v>1</v>
      </c>
      <c r="AU134" s="137" t="n">
        <f aca="false">IF(A135="","",AO134*AT134)</f>
        <v>31</v>
      </c>
      <c r="AW134" s="195" t="e">
        <f aca="false">IF($A135="","",AL134*$E134)</f>
        <v>#NAME?</v>
      </c>
      <c r="AX134" s="195" t="e">
        <f aca="false">IF($A135="","",AM134*$E134)</f>
        <v>#N/A</v>
      </c>
      <c r="AY134" s="195" t="e">
        <f aca="false">IF($A135="","",AN134*$E134)</f>
        <v>#N/A</v>
      </c>
      <c r="BA134" s="195" t="n">
        <f aca="false">IF($A135="","",F134*Summary!$Q$10)</f>
        <v>0</v>
      </c>
      <c r="BC134" s="179" t="e">
        <f aca="false">IF(A135="","",AM134*F134)</f>
        <v>#N/A</v>
      </c>
    </row>
    <row r="135" customFormat="false" ht="12.75" hidden="false" customHeight="false" outlineLevel="0" collapsed="false">
      <c r="A135" s="196" t="n">
        <f aca="false">IF(A134&lt;mthend,EDATE(A134,1),"")</f>
        <v>40848</v>
      </c>
      <c r="B135" s="197" t="n">
        <f aca="false">IF(A135&lt;mthend,B134,"")</f>
        <v>119740</v>
      </c>
      <c r="C135" s="215"/>
      <c r="D135" s="197" t="n">
        <f aca="false">IF(A136&lt;&gt;"",B135+C135,"")</f>
        <v>119740</v>
      </c>
      <c r="E135" s="199" t="n">
        <f aca="false">IF(A136="","",IF(AND(AT135=1,$H$3=1),D135*AO135,IF($H$3=2,D135,"N/A")))</f>
        <v>3592200</v>
      </c>
      <c r="F135" s="199" t="n">
        <f aca="false">IF(A136="","",E135*AS135)</f>
        <v>13948963.8772359</v>
      </c>
      <c r="G135" s="200" t="e">
        <f aca="false">IF($A136="","",VLOOKUP($A135,Table,MATCH(G$4,Curves,0)))</f>
        <v>#N/A</v>
      </c>
      <c r="H135" s="201" t="e">
        <f aca="false">IF(A136="","",G135)</f>
        <v>#N/A</v>
      </c>
      <c r="I135" s="202"/>
      <c r="J135" s="200" t="e">
        <f aca="false">IF($A136="","",VLOOKUP($A135,Table,MATCH(J$4,Curves,0)))</f>
        <v>#N/A</v>
      </c>
      <c r="K135" s="201" t="e">
        <f aca="false">IF(A136="","",J135)</f>
        <v>#N/A</v>
      </c>
      <c r="L135" s="185" t="n">
        <v>0</v>
      </c>
      <c r="M135" s="201" t="n">
        <f aca="false">IF(A136="","",L135)</f>
        <v>0</v>
      </c>
      <c r="N135" s="203"/>
      <c r="O135" s="200" t="e">
        <f aca="false">IF(A136="","",L135+J135+G135)</f>
        <v>#N/A</v>
      </c>
      <c r="P135" s="200" t="e">
        <f aca="false">IF(A136="","",M135+K135+H135)</f>
        <v>#N/A</v>
      </c>
      <c r="Q135" s="204"/>
      <c r="R135" s="200" t="e">
        <f aca="false">IF($A136="","",VLOOKUP($A135,Table,MATCH(R$4,Curves,0)))</f>
        <v>#N/A</v>
      </c>
      <c r="S135" s="201" t="e">
        <f aca="false">IF(A136="","",R135)</f>
        <v>#N/A</v>
      </c>
      <c r="T135" s="200" t="e">
        <f aca="false">IF($A136="","",VLOOKUP($A135,Table,MATCH(T$4,Curves,0)))</f>
        <v>#N/A</v>
      </c>
      <c r="U135" s="201" t="e">
        <f aca="false">IF(A136="","",T135)</f>
        <v>#N/A</v>
      </c>
      <c r="V135" s="205" t="e">
        <f aca="false">IF($A136="","",IF(AND(MONTH(A135)&gt;3,MONTH(A135)&lt;11),(T135+R135+G135)*Summary!$T$10/(1-Summary!$T$10),(T135+R135+G135)*Summary!$U$10/(1-Summary!$U$10)))</f>
        <v>#N/A</v>
      </c>
      <c r="W135" s="200" t="e">
        <f aca="false">IF($A136="","",(T135+R135+G135+V135))</f>
        <v>#N/A</v>
      </c>
      <c r="X135" s="200" t="e">
        <f aca="false">IF($A136="","",(U135+S135+H135+V135))</f>
        <v>#N/A</v>
      </c>
      <c r="Y135" s="202"/>
      <c r="Z135" s="185" t="e">
        <f aca="false">IF($A136="","",VLOOKUP($A135,Table,MATCH(Z$4,Curves,0)))</f>
        <v>#N/A</v>
      </c>
      <c r="AA135" s="185" t="e">
        <f aca="false">IF($A136="","",VLOOKUP($A135,Table,MATCH(AA$4,Curves,0)))</f>
        <v>#N/A</v>
      </c>
      <c r="AB135" s="185" t="e">
        <f aca="false">SQRT((AA135^2*(A135-$D$3)+Z135^2*(DAY(EOMONTH(A135,0))/2))/AK135)</f>
        <v>#N/A</v>
      </c>
      <c r="AC135" s="185" t="e">
        <f aca="false">IF($A136="","",VLOOKUP($A135,Table,MATCH(AC$4,Curves,0)))</f>
        <v>#N/A</v>
      </c>
      <c r="AD135" s="185" t="e">
        <f aca="false">IF($A136="","",VLOOKUP($A135,Table,MATCH(AD$4,Curves,0)))</f>
        <v>#N/A</v>
      </c>
      <c r="AE135" s="185" t="e">
        <f aca="false">SQRT((AD135^2*(A135-$D$3)+AC135^2*(DAY(EOMONTH(A135,0))/2))/AK135)</f>
        <v>#N/A</v>
      </c>
      <c r="AF135" s="224" t="e">
        <f aca="false">((Summary!$N$10*(AA135*AD135)*(A135-$D$3))+(Summary!$M$10*Z135*AC135*(AJ135-EOMONTH(EDATE(A135,-1),0))))/(AK135*AB135*AE135)</f>
        <v>#N/A</v>
      </c>
      <c r="AG135" s="207" t="n">
        <f aca="false">IF($A136="","",Summary!$Q$10)</f>
        <v>0</v>
      </c>
      <c r="AH135" s="207" t="n">
        <f aca="false">IF($A136="","",IF(Summary!$R$10="Y",(VLOOKUP($A135,Summary!$AD$6:$AF$9,3)+'Escalating commodity'!F148),'Escalating commodity'!F148))</f>
        <v>0.0158208</v>
      </c>
      <c r="AI135" s="207" t="n">
        <f aca="false">IF($A136="","",AH135)</f>
        <v>0.0158208</v>
      </c>
      <c r="AJ135" s="208" t="n">
        <f aca="false">A135+DAY(EOMONTH(A135,0))/2-1</f>
        <v>40862</v>
      </c>
      <c r="AK135" s="209" t="n">
        <f aca="false">IF($A136="","",$A135-$E$1)</f>
        <v>-5078</v>
      </c>
      <c r="AL135" s="182" t="e">
        <f aca="false">IF($A136="","",SPRDOPT(P135,X135,AI135,0,AB135,AE135,AF135,AK135,$AJ$2,0))</f>
        <v>#NAME?</v>
      </c>
      <c r="AM135" s="211" t="e">
        <f aca="false">IF($A136="","",MAX(0,O135-W135-AI135))</f>
        <v>#N/A</v>
      </c>
      <c r="AN135" s="211" t="e">
        <f aca="false">IF($A136="","",AL135-AM135)</f>
        <v>#N/A</v>
      </c>
      <c r="AO135" s="137" t="n">
        <f aca="false">IF(A136="","",A136-A135)</f>
        <v>30</v>
      </c>
      <c r="AP135" s="212" t="n">
        <f aca="false">IF(A136="","",CHOOSE(F$3,A136+24,A135))</f>
        <v>40848</v>
      </c>
      <c r="AQ135" s="209" t="n">
        <f aca="false">IF(A136="","",AP135-$E$1)</f>
        <v>-5078</v>
      </c>
      <c r="AR135" s="185" t="n">
        <f aca="false">'ANR OK vs ML7'!AR135</f>
        <v>0.1</v>
      </c>
      <c r="AS135" s="213" t="n">
        <f aca="false">IF(A136="","",1/(1+CHOOSE(F$3,(AR136+($I$3/10000))/2,(AR135+($I$3/10000))/2))^(2*AQ135/365.25))</f>
        <v>3.88312562697955</v>
      </c>
      <c r="AT135" s="137" t="n">
        <f aca="false">IF(A136="","",IF(AND(mthbeg&lt;=A135,mthend&gt;=A135),1,0))</f>
        <v>1</v>
      </c>
      <c r="AU135" s="137" t="n">
        <f aca="false">IF(A136="","",AO135*AT135)</f>
        <v>30</v>
      </c>
      <c r="AW135" s="195" t="e">
        <f aca="false">IF($A136="","",AL135*$E135)</f>
        <v>#NAME?</v>
      </c>
      <c r="AX135" s="195" t="e">
        <f aca="false">IF($A136="","",AM135*$E135)</f>
        <v>#N/A</v>
      </c>
      <c r="AY135" s="195" t="e">
        <f aca="false">IF($A136="","",AN135*$E135)</f>
        <v>#N/A</v>
      </c>
      <c r="BA135" s="195" t="n">
        <f aca="false">IF($A136="","",F135*Summary!$Q$10)</f>
        <v>0</v>
      </c>
      <c r="BC135" s="179" t="e">
        <f aca="false">IF(A136="","",AM135*F135)</f>
        <v>#N/A</v>
      </c>
    </row>
    <row r="136" customFormat="false" ht="12.75" hidden="false" customHeight="false" outlineLevel="0" collapsed="false">
      <c r="A136" s="196" t="n">
        <f aca="false">IF(A135&lt;mthend,EDATE(A135,1),"")</f>
        <v>40878</v>
      </c>
      <c r="B136" s="197" t="n">
        <f aca="false">IF(A136&lt;mthend,B135,"")</f>
        <v>119740</v>
      </c>
      <c r="C136" s="215"/>
      <c r="D136" s="197" t="n">
        <f aca="false">IF(A137&lt;&gt;"",B136+C136,"")</f>
        <v>119740</v>
      </c>
      <c r="E136" s="199" t="n">
        <f aca="false">IF(A137="","",IF(AND(AT136=1,$H$3=1),D136*AO136,IF($H$3=2,D136,"N/A")))</f>
        <v>3711940</v>
      </c>
      <c r="F136" s="199" t="n">
        <f aca="false">IF(A137="","",E136*AS136)</f>
        <v>14298866.1360397</v>
      </c>
      <c r="G136" s="200" t="e">
        <f aca="false">IF($A137="","",VLOOKUP($A136,Table,MATCH(G$4,Curves,0)))</f>
        <v>#N/A</v>
      </c>
      <c r="H136" s="201" t="e">
        <f aca="false">IF(A137="","",G136)</f>
        <v>#N/A</v>
      </c>
      <c r="I136" s="202"/>
      <c r="J136" s="200" t="e">
        <f aca="false">IF($A137="","",VLOOKUP($A136,Table,MATCH(J$4,Curves,0)))</f>
        <v>#N/A</v>
      </c>
      <c r="K136" s="201" t="e">
        <f aca="false">IF(A137="","",J136)</f>
        <v>#N/A</v>
      </c>
      <c r="L136" s="185" t="n">
        <v>0</v>
      </c>
      <c r="M136" s="201" t="n">
        <f aca="false">IF(A137="","",L136)</f>
        <v>0</v>
      </c>
      <c r="N136" s="203"/>
      <c r="O136" s="200" t="e">
        <f aca="false">IF(A137="","",L136+J136+G136)</f>
        <v>#N/A</v>
      </c>
      <c r="P136" s="200" t="e">
        <f aca="false">IF(A137="","",M136+K136+H136)</f>
        <v>#N/A</v>
      </c>
      <c r="Q136" s="204"/>
      <c r="R136" s="200" t="e">
        <f aca="false">IF($A137="","",VLOOKUP($A136,Table,MATCH(R$4,Curves,0)))</f>
        <v>#N/A</v>
      </c>
      <c r="S136" s="201" t="e">
        <f aca="false">IF(A137="","",R136)</f>
        <v>#N/A</v>
      </c>
      <c r="T136" s="200" t="e">
        <f aca="false">IF($A137="","",VLOOKUP($A136,Table,MATCH(T$4,Curves,0)))</f>
        <v>#N/A</v>
      </c>
      <c r="U136" s="201" t="e">
        <f aca="false">IF(A137="","",T136)</f>
        <v>#N/A</v>
      </c>
      <c r="V136" s="205" t="e">
        <f aca="false">IF($A137="","",IF(AND(MONTH(A136)&gt;3,MONTH(A136)&lt;11),(T136+R136+G136)*Summary!$T$10/(1-Summary!$T$10),(T136+R136+G136)*Summary!$U$10/(1-Summary!$U$10)))</f>
        <v>#N/A</v>
      </c>
      <c r="W136" s="200" t="e">
        <f aca="false">IF($A137="","",(T136+R136+G136+V136))</f>
        <v>#N/A</v>
      </c>
      <c r="X136" s="200" t="e">
        <f aca="false">IF($A137="","",(U136+S136+H136+V136))</f>
        <v>#N/A</v>
      </c>
      <c r="Y136" s="202"/>
      <c r="Z136" s="185" t="e">
        <f aca="false">IF($A137="","",VLOOKUP($A136,Table,MATCH(Z$4,Curves,0)))</f>
        <v>#N/A</v>
      </c>
      <c r="AA136" s="185" t="e">
        <f aca="false">IF($A137="","",VLOOKUP($A136,Table,MATCH(AA$4,Curves,0)))</f>
        <v>#N/A</v>
      </c>
      <c r="AB136" s="185" t="e">
        <f aca="false">SQRT((AA136^2*(A136-$D$3)+Z136^2*(DAY(EOMONTH(A136,0))/2))/AK136)</f>
        <v>#N/A</v>
      </c>
      <c r="AC136" s="185" t="e">
        <f aca="false">IF($A137="","",VLOOKUP($A136,Table,MATCH(AC$4,Curves,0)))</f>
        <v>#N/A</v>
      </c>
      <c r="AD136" s="185" t="e">
        <f aca="false">IF($A137="","",VLOOKUP($A136,Table,MATCH(AD$4,Curves,0)))</f>
        <v>#N/A</v>
      </c>
      <c r="AE136" s="185" t="e">
        <f aca="false">SQRT((AD136^2*(A136-$D$3)+AC136^2*(DAY(EOMONTH(A136,0))/2))/AK136)</f>
        <v>#N/A</v>
      </c>
      <c r="AF136" s="224" t="e">
        <f aca="false">((Summary!$N$10*(AA136*AD136)*(A136-$D$3))+(Summary!$M$10*Z136*AC136*(AJ136-EOMONTH(EDATE(A136,-1),0))))/(AK136*AB136*AE136)</f>
        <v>#N/A</v>
      </c>
      <c r="AG136" s="207" t="n">
        <f aca="false">IF($A137="","",Summary!$Q$10)</f>
        <v>0</v>
      </c>
      <c r="AH136" s="207" t="n">
        <f aca="false">IF($A137="","",IF(Summary!$R$10="Y",(VLOOKUP($A136,Summary!$AD$6:$AF$9,3)+'Escalating commodity'!F149),'Escalating commodity'!F149))</f>
        <v>0.0158208</v>
      </c>
      <c r="AI136" s="207" t="n">
        <f aca="false">IF($A137="","",AH136)</f>
        <v>0.0158208</v>
      </c>
      <c r="AJ136" s="208" t="n">
        <f aca="false">A136+DAY(EOMONTH(A136,0))/2-1</f>
        <v>40892.5</v>
      </c>
      <c r="AK136" s="209" t="n">
        <f aca="false">IF($A137="","",$A136-$E$1)</f>
        <v>-5048</v>
      </c>
      <c r="AL136" s="182" t="e">
        <f aca="false">IF($A137="","",SPRDOPT(P136,X136,AI136,0,AB136,AE136,AF136,AK136,$AJ$2,0))</f>
        <v>#NAME?</v>
      </c>
      <c r="AM136" s="211" t="e">
        <f aca="false">IF($A137="","",MAX(0,O136-W136-AI136))</f>
        <v>#N/A</v>
      </c>
      <c r="AN136" s="211" t="e">
        <f aca="false">IF($A137="","",AL136-AM136)</f>
        <v>#N/A</v>
      </c>
      <c r="AO136" s="137" t="n">
        <f aca="false">IF(A137="","",A137-A136)</f>
        <v>31</v>
      </c>
      <c r="AP136" s="212" t="n">
        <f aca="false">IF(A137="","",CHOOSE(F$3,A137+24,A136))</f>
        <v>40878</v>
      </c>
      <c r="AQ136" s="209" t="n">
        <f aca="false">IF(A137="","",AP136-$E$1)</f>
        <v>-5048</v>
      </c>
      <c r="AR136" s="185" t="n">
        <f aca="false">'ANR OK vs ML7'!AR136</f>
        <v>0.1</v>
      </c>
      <c r="AS136" s="213" t="n">
        <f aca="false">IF(A137="","",1/(1+CHOOSE(F$3,(AR137+($I$3/10000))/2,(AR136+($I$3/10000))/2))^(2*AQ136/365.25))</f>
        <v>3.85212749560598</v>
      </c>
      <c r="AT136" s="137" t="n">
        <f aca="false">IF(A137="","",IF(AND(mthbeg&lt;=A136,mthend&gt;=A136),1,0))</f>
        <v>1</v>
      </c>
      <c r="AU136" s="137" t="n">
        <f aca="false">IF(A137="","",AO136*AT136)</f>
        <v>31</v>
      </c>
      <c r="AW136" s="195" t="e">
        <f aca="false">IF($A137="","",AL136*$E136)</f>
        <v>#NAME?</v>
      </c>
      <c r="AX136" s="195" t="e">
        <f aca="false">IF($A137="","",AM136*$E136)</f>
        <v>#N/A</v>
      </c>
      <c r="AY136" s="195" t="e">
        <f aca="false">IF($A137="","",AN136*$E136)</f>
        <v>#N/A</v>
      </c>
      <c r="BA136" s="195" t="n">
        <f aca="false">IF($A137="","",F136*Summary!$Q$10)</f>
        <v>0</v>
      </c>
      <c r="BC136" s="179" t="e">
        <f aca="false">IF(A137="","",AM136*F136)</f>
        <v>#N/A</v>
      </c>
    </row>
    <row r="137" customFormat="false" ht="12.75" hidden="false" customHeight="false" outlineLevel="0" collapsed="false">
      <c r="A137" s="196" t="n">
        <f aca="false">IF(A136&lt;mthend,EDATE(A136,1),"")</f>
        <v>40909</v>
      </c>
      <c r="B137" s="197" t="n">
        <f aca="false">IF(A137&lt;mthend,B136,"")</f>
        <v>119740</v>
      </c>
      <c r="C137" s="215"/>
      <c r="D137" s="197" t="n">
        <f aca="false">IF(A138&lt;&gt;"",B137+C137,"")</f>
        <v>119740</v>
      </c>
      <c r="E137" s="199" t="n">
        <f aca="false">IF(A138="","",IF(AND(AT137=1,$H$3=1),D137*AO137,IF($H$3=2,D137,"N/A")))</f>
        <v>3711940</v>
      </c>
      <c r="F137" s="199" t="n">
        <f aca="false">IF(A138="","",E137*AS137)</f>
        <v>14180932.3669394</v>
      </c>
      <c r="G137" s="200" t="e">
        <f aca="false">IF($A138="","",VLOOKUP($A137,Table,MATCH(G$4,Curves,0)))</f>
        <v>#N/A</v>
      </c>
      <c r="H137" s="201" t="e">
        <f aca="false">IF(A138="","",G137)</f>
        <v>#N/A</v>
      </c>
      <c r="I137" s="202"/>
      <c r="J137" s="200" t="e">
        <f aca="false">IF($A138="","",VLOOKUP($A137,Table,MATCH(J$4,Curves,0)))</f>
        <v>#N/A</v>
      </c>
      <c r="K137" s="201" t="e">
        <f aca="false">IF(A138="","",J137)</f>
        <v>#N/A</v>
      </c>
      <c r="L137" s="185" t="n">
        <v>0</v>
      </c>
      <c r="M137" s="201" t="n">
        <f aca="false">IF(A138="","",L137)</f>
        <v>0</v>
      </c>
      <c r="N137" s="203"/>
      <c r="O137" s="200" t="e">
        <f aca="false">IF(A138="","",L137+J137+G137)</f>
        <v>#N/A</v>
      </c>
      <c r="P137" s="200" t="e">
        <f aca="false">IF(A138="","",M137+K137+H137)</f>
        <v>#N/A</v>
      </c>
      <c r="Q137" s="204"/>
      <c r="R137" s="200" t="e">
        <f aca="false">IF($A138="","",VLOOKUP($A137,Table,MATCH(R$4,Curves,0)))</f>
        <v>#N/A</v>
      </c>
      <c r="S137" s="201" t="e">
        <f aca="false">IF(A138="","",R137)</f>
        <v>#N/A</v>
      </c>
      <c r="T137" s="200" t="e">
        <f aca="false">IF($A138="","",VLOOKUP($A137,Table,MATCH(T$4,Curves,0)))</f>
        <v>#N/A</v>
      </c>
      <c r="U137" s="201" t="e">
        <f aca="false">IF(A138="","",T137)</f>
        <v>#N/A</v>
      </c>
      <c r="V137" s="205" t="e">
        <f aca="false">IF($A138="","",IF(AND(MONTH(A137)&gt;3,MONTH(A137)&lt;11),(T137+R137+G137)*Summary!$T$10/(1-Summary!$T$10),(T137+R137+G137)*Summary!$U$10/(1-Summary!$U$10)))</f>
        <v>#N/A</v>
      </c>
      <c r="W137" s="200" t="e">
        <f aca="false">IF($A138="","",(T137+R137+G137+V137))</f>
        <v>#N/A</v>
      </c>
      <c r="X137" s="200" t="e">
        <f aca="false">IF($A138="","",(U137+S137+H137+V137))</f>
        <v>#N/A</v>
      </c>
      <c r="Y137" s="202"/>
      <c r="Z137" s="185" t="e">
        <f aca="false">IF($A138="","",VLOOKUP($A137,Table,MATCH(Z$4,Curves,0)))</f>
        <v>#N/A</v>
      </c>
      <c r="AA137" s="185" t="e">
        <f aca="false">IF($A138="","",VLOOKUP($A137,Table,MATCH(AA$4,Curves,0)))</f>
        <v>#N/A</v>
      </c>
      <c r="AB137" s="185" t="e">
        <f aca="false">SQRT((AA137^2*(A137-$D$3)+Z137^2*(DAY(EOMONTH(A137,0))/2))/AK137)</f>
        <v>#N/A</v>
      </c>
      <c r="AC137" s="185" t="e">
        <f aca="false">IF($A138="","",VLOOKUP($A137,Table,MATCH(AC$4,Curves,0)))</f>
        <v>#N/A</v>
      </c>
      <c r="AD137" s="185" t="e">
        <f aca="false">IF($A138="","",VLOOKUP($A137,Table,MATCH(AD$4,Curves,0)))</f>
        <v>#N/A</v>
      </c>
      <c r="AE137" s="185" t="e">
        <f aca="false">SQRT((AD137^2*(A137-$D$3)+AC137^2*(DAY(EOMONTH(A137,0))/2))/AK137)</f>
        <v>#N/A</v>
      </c>
      <c r="AF137" s="224" t="e">
        <f aca="false">((Summary!$N$10*(AA137*AD137)*(A137-$D$3))+(Summary!$M$10*Z137*AC137*(AJ137-EOMONTH(EDATE(A137,-1),0))))/(AK137*AB137*AE137)</f>
        <v>#N/A</v>
      </c>
      <c r="AG137" s="207" t="n">
        <f aca="false">IF($A138="","",Summary!$Q$10)</f>
        <v>0</v>
      </c>
      <c r="AH137" s="207" t="n">
        <f aca="false">IF($A138="","",IF(Summary!$R$10="Y",(VLOOKUP($A137,Summary!$AD$6:$AF$9,3)+'Escalating commodity'!F150),'Escalating commodity'!F150))</f>
        <v>0.0158208</v>
      </c>
      <c r="AI137" s="207" t="n">
        <f aca="false">IF($A138="","",AH137)</f>
        <v>0.0158208</v>
      </c>
      <c r="AJ137" s="208" t="n">
        <f aca="false">A137+DAY(EOMONTH(A137,0))/2-1</f>
        <v>40923.5</v>
      </c>
      <c r="AK137" s="209" t="n">
        <f aca="false">IF($A138="","",$A137-$E$1)</f>
        <v>-5017</v>
      </c>
      <c r="AL137" s="182" t="e">
        <f aca="false">IF($A138="","",SPRDOPT(P137,X137,AI137,0,AB137,AE137,AF137,AK137,$AJ$2,0))</f>
        <v>#NAME?</v>
      </c>
      <c r="AM137" s="211" t="e">
        <f aca="false">IF($A138="","",MAX(0,O137-W137-AI137))</f>
        <v>#N/A</v>
      </c>
      <c r="AN137" s="211" t="e">
        <f aca="false">IF($A138="","",AL137-AM137)</f>
        <v>#N/A</v>
      </c>
      <c r="AO137" s="137" t="n">
        <f aca="false">IF(A138="","",A138-A137)</f>
        <v>31</v>
      </c>
      <c r="AP137" s="212" t="n">
        <f aca="false">IF(A138="","",CHOOSE(F$3,A138+24,A137))</f>
        <v>40909</v>
      </c>
      <c r="AQ137" s="209" t="n">
        <f aca="false">IF(A138="","",AP137-$E$1)</f>
        <v>-5017</v>
      </c>
      <c r="AR137" s="185" t="n">
        <f aca="false">'ANR OK vs ML7'!AR137</f>
        <v>0.1</v>
      </c>
      <c r="AS137" s="213" t="n">
        <f aca="false">IF(A138="","",1/(1+CHOOSE(F$3,(AR138+($I$3/10000))/2,(AR137+($I$3/10000))/2))^(2*AQ137/365.25))</f>
        <v>3.82035603133117</v>
      </c>
      <c r="AT137" s="137" t="n">
        <f aca="false">IF(A138="","",IF(AND(mthbeg&lt;=A137,mthend&gt;=A137),1,0))</f>
        <v>1</v>
      </c>
      <c r="AU137" s="137" t="n">
        <f aca="false">IF(A138="","",AO137*AT137)</f>
        <v>31</v>
      </c>
      <c r="AW137" s="195" t="e">
        <f aca="false">IF($A138="","",AL137*$E137)</f>
        <v>#NAME?</v>
      </c>
      <c r="AX137" s="195" t="e">
        <f aca="false">IF($A138="","",AM137*$E137)</f>
        <v>#N/A</v>
      </c>
      <c r="AY137" s="195" t="e">
        <f aca="false">IF($A138="","",AN137*$E137)</f>
        <v>#N/A</v>
      </c>
      <c r="BA137" s="195" t="n">
        <f aca="false">IF($A138="","",F137*Summary!$Q$10)</f>
        <v>0</v>
      </c>
      <c r="BC137" s="179" t="e">
        <f aca="false">IF(A138="","",AM137*F137)</f>
        <v>#N/A</v>
      </c>
    </row>
    <row r="138" customFormat="false" ht="12.75" hidden="false" customHeight="false" outlineLevel="0" collapsed="false">
      <c r="A138" s="196" t="n">
        <f aca="false">IF(A137&lt;mthend,EDATE(A137,1),"")</f>
        <v>40940</v>
      </c>
      <c r="B138" s="197" t="n">
        <f aca="false">IF(A138&lt;mthend,B137,"")</f>
        <v>119740</v>
      </c>
      <c r="C138" s="215"/>
      <c r="D138" s="197" t="n">
        <f aca="false">IF(A139&lt;&gt;"",B138+C138,"")</f>
        <v>119740</v>
      </c>
      <c r="E138" s="199" t="n">
        <f aca="false">IF(A139="","",IF(AND(AT138=1,$H$3=1),D138*AO138,IF($H$3=2,D138,"N/A")))</f>
        <v>3472460</v>
      </c>
      <c r="F138" s="199" t="n">
        <f aca="false">IF(A139="","",E138*AS138)</f>
        <v>13156618.3021676</v>
      </c>
      <c r="G138" s="200" t="e">
        <f aca="false">IF($A139="","",VLOOKUP($A138,Table,MATCH(G$4,Curves,0)))</f>
        <v>#N/A</v>
      </c>
      <c r="H138" s="201" t="e">
        <f aca="false">IF(A139="","",G138)</f>
        <v>#N/A</v>
      </c>
      <c r="I138" s="202"/>
      <c r="J138" s="200" t="e">
        <f aca="false">IF($A139="","",VLOOKUP($A138,Table,MATCH(J$4,Curves,0)))</f>
        <v>#N/A</v>
      </c>
      <c r="K138" s="201" t="e">
        <f aca="false">IF(A139="","",J138)</f>
        <v>#N/A</v>
      </c>
      <c r="L138" s="185" t="n">
        <v>0</v>
      </c>
      <c r="M138" s="201" t="n">
        <f aca="false">IF(A139="","",L138)</f>
        <v>0</v>
      </c>
      <c r="N138" s="203"/>
      <c r="O138" s="200" t="e">
        <f aca="false">IF(A139="","",L138+J138+G138)</f>
        <v>#N/A</v>
      </c>
      <c r="P138" s="200" t="e">
        <f aca="false">IF(A139="","",M138+K138+H138)</f>
        <v>#N/A</v>
      </c>
      <c r="Q138" s="204"/>
      <c r="R138" s="200" t="e">
        <f aca="false">IF($A139="","",VLOOKUP($A138,Table,MATCH(R$4,Curves,0)))</f>
        <v>#N/A</v>
      </c>
      <c r="S138" s="201" t="e">
        <f aca="false">IF(A139="","",R138)</f>
        <v>#N/A</v>
      </c>
      <c r="T138" s="200" t="e">
        <f aca="false">IF($A139="","",VLOOKUP($A138,Table,MATCH(T$4,Curves,0)))</f>
        <v>#N/A</v>
      </c>
      <c r="U138" s="201" t="e">
        <f aca="false">IF(A139="","",T138)</f>
        <v>#N/A</v>
      </c>
      <c r="V138" s="205" t="e">
        <f aca="false">IF($A139="","",IF(AND(MONTH(A138)&gt;3,MONTH(A138)&lt;11),(T138+R138+G138)*Summary!$T$10/(1-Summary!$T$10),(T138+R138+G138)*Summary!$U$10/(1-Summary!$U$10)))</f>
        <v>#N/A</v>
      </c>
      <c r="W138" s="200" t="e">
        <f aca="false">IF($A139="","",(T138+R138+G138+V138))</f>
        <v>#N/A</v>
      </c>
      <c r="X138" s="200" t="e">
        <f aca="false">IF($A139="","",(U138+S138+H138+V138))</f>
        <v>#N/A</v>
      </c>
      <c r="Y138" s="202"/>
      <c r="Z138" s="185" t="e">
        <f aca="false">IF($A139="","",VLOOKUP($A138,Table,MATCH(Z$4,Curves,0)))</f>
        <v>#N/A</v>
      </c>
      <c r="AA138" s="185" t="e">
        <f aca="false">IF($A139="","",VLOOKUP($A138,Table,MATCH(AA$4,Curves,0)))</f>
        <v>#N/A</v>
      </c>
      <c r="AB138" s="185" t="e">
        <f aca="false">SQRT((AA138^2*(A138-$D$3)+Z138^2*(DAY(EOMONTH(A138,0))/2))/AK138)</f>
        <v>#N/A</v>
      </c>
      <c r="AC138" s="185" t="e">
        <f aca="false">IF($A139="","",VLOOKUP($A138,Table,MATCH(AC$4,Curves,0)))</f>
        <v>#N/A</v>
      </c>
      <c r="AD138" s="185" t="e">
        <f aca="false">IF($A139="","",VLOOKUP($A138,Table,MATCH(AD$4,Curves,0)))</f>
        <v>#N/A</v>
      </c>
      <c r="AE138" s="185" t="e">
        <f aca="false">SQRT((AD138^2*(A138-$D$3)+AC138^2*(DAY(EOMONTH(A138,0))/2))/AK138)</f>
        <v>#N/A</v>
      </c>
      <c r="AF138" s="224" t="e">
        <f aca="false">((Summary!$N$10*(AA138*AD138)*(A138-$D$3))+(Summary!$M$10*Z138*AC138*(AJ138-EOMONTH(EDATE(A138,-1),0))))/(AK138*AB138*AE138)</f>
        <v>#N/A</v>
      </c>
      <c r="AG138" s="207" t="n">
        <f aca="false">IF($A139="","",Summary!$Q$10)</f>
        <v>0</v>
      </c>
      <c r="AH138" s="207" t="n">
        <f aca="false">IF($A139="","",IF(Summary!$R$10="Y",(VLOOKUP($A138,Summary!$AD$6:$AF$9,3)+'Escalating commodity'!F151),'Escalating commodity'!F151))</f>
        <v>0.0158208</v>
      </c>
      <c r="AI138" s="207" t="n">
        <f aca="false">IF($A139="","",AH138)</f>
        <v>0.0158208</v>
      </c>
      <c r="AJ138" s="208" t="n">
        <f aca="false">A138+DAY(EOMONTH(A138,0))/2-1</f>
        <v>40953.5</v>
      </c>
      <c r="AK138" s="209" t="n">
        <f aca="false">IF($A139="","",$A138-$E$1)</f>
        <v>-4986</v>
      </c>
      <c r="AL138" s="182" t="e">
        <f aca="false">IF($A139="","",SPRDOPT(P138,X138,AI138,0,AB138,AE138,AF138,AK138,$AJ$2,0))</f>
        <v>#NAME?</v>
      </c>
      <c r="AM138" s="211" t="e">
        <f aca="false">IF($A139="","",MAX(0,O138-W138-AI138))</f>
        <v>#N/A</v>
      </c>
      <c r="AN138" s="211" t="e">
        <f aca="false">IF($A139="","",AL138-AM138)</f>
        <v>#N/A</v>
      </c>
      <c r="AO138" s="137" t="n">
        <f aca="false">IF(A139="","",A139-A138)</f>
        <v>29</v>
      </c>
      <c r="AP138" s="212" t="n">
        <f aca="false">IF(A139="","",CHOOSE(F$3,A139+24,A138))</f>
        <v>40940</v>
      </c>
      <c r="AQ138" s="209" t="n">
        <f aca="false">IF(A139="","",AP138-$E$1)</f>
        <v>-4986</v>
      </c>
      <c r="AR138" s="185" t="n">
        <f aca="false">'ANR OK vs ML7'!AR138</f>
        <v>0.1</v>
      </c>
      <c r="AS138" s="213" t="n">
        <f aca="false">IF(A139="","",1/(1+CHOOSE(F$3,(AR139+($I$3/10000))/2,(AR138+($I$3/10000))/2))^(2*AQ138/365.25))</f>
        <v>3.78884661080837</v>
      </c>
      <c r="AT138" s="137" t="n">
        <f aca="false">IF(A139="","",IF(AND(mthbeg&lt;=A138,mthend&gt;=A138),1,0))</f>
        <v>1</v>
      </c>
      <c r="AU138" s="137" t="n">
        <f aca="false">IF(A139="","",AO138*AT138)</f>
        <v>29</v>
      </c>
      <c r="AW138" s="195" t="e">
        <f aca="false">IF($A139="","",AL138*$E138)</f>
        <v>#NAME?</v>
      </c>
      <c r="AX138" s="195" t="e">
        <f aca="false">IF($A139="","",AM138*$E138)</f>
        <v>#N/A</v>
      </c>
      <c r="AY138" s="195" t="e">
        <f aca="false">IF($A139="","",AN138*$E138)</f>
        <v>#N/A</v>
      </c>
      <c r="BA138" s="195" t="n">
        <f aca="false">IF($A139="","",F138*Summary!$Q$10)</f>
        <v>0</v>
      </c>
      <c r="BC138" s="179" t="e">
        <f aca="false">IF(A139="","",AM138*F138)</f>
        <v>#N/A</v>
      </c>
    </row>
    <row r="139" customFormat="false" ht="12.75" hidden="false" customHeight="false" outlineLevel="0" collapsed="false">
      <c r="A139" s="196" t="n">
        <f aca="false">IF(A138&lt;mthend,EDATE(A138,1),"")</f>
        <v>40969</v>
      </c>
      <c r="B139" s="197" t="n">
        <f aca="false">IF(A139&lt;mthend,B138,"")</f>
        <v>119740</v>
      </c>
      <c r="C139" s="215"/>
      <c r="D139" s="197" t="n">
        <f aca="false">IF(A140&lt;&gt;"",B139+C139,"")</f>
        <v>119740</v>
      </c>
      <c r="E139" s="199" t="n">
        <f aca="false">IF(A140="","",IF(AND(AT139=1,$H$3=1),D139*AO139,IF($H$3=2,D139,"N/A")))</f>
        <v>3711940</v>
      </c>
      <c r="F139" s="199" t="n">
        <f aca="false">IF(A140="","",E139*AS139)</f>
        <v>13955429.5621852</v>
      </c>
      <c r="G139" s="200" t="e">
        <f aca="false">IF($A140="","",VLOOKUP($A139,Table,MATCH(G$4,Curves,0)))</f>
        <v>#N/A</v>
      </c>
      <c r="H139" s="201" t="e">
        <f aca="false">IF(A140="","",G139)</f>
        <v>#N/A</v>
      </c>
      <c r="I139" s="202"/>
      <c r="J139" s="200" t="e">
        <f aca="false">IF($A140="","",VLOOKUP($A139,Table,MATCH(J$4,Curves,0)))</f>
        <v>#N/A</v>
      </c>
      <c r="K139" s="201" t="e">
        <f aca="false">IF(A140="","",J139)</f>
        <v>#N/A</v>
      </c>
      <c r="L139" s="185" t="n">
        <v>0</v>
      </c>
      <c r="M139" s="201" t="n">
        <f aca="false">IF(A140="","",L139)</f>
        <v>0</v>
      </c>
      <c r="N139" s="203"/>
      <c r="O139" s="200" t="e">
        <f aca="false">IF(A140="","",L139+J139+G139)</f>
        <v>#N/A</v>
      </c>
      <c r="P139" s="200" t="e">
        <f aca="false">IF(A140="","",M139+K139+H139)</f>
        <v>#N/A</v>
      </c>
      <c r="Q139" s="204"/>
      <c r="R139" s="200" t="e">
        <f aca="false">IF($A140="","",VLOOKUP($A139,Table,MATCH(R$4,Curves,0)))</f>
        <v>#N/A</v>
      </c>
      <c r="S139" s="201" t="e">
        <f aca="false">IF(A140="","",R139)</f>
        <v>#N/A</v>
      </c>
      <c r="T139" s="200" t="e">
        <f aca="false">IF($A140="","",VLOOKUP($A139,Table,MATCH(T$4,Curves,0)))</f>
        <v>#N/A</v>
      </c>
      <c r="U139" s="201" t="e">
        <f aca="false">IF(A140="","",T139)</f>
        <v>#N/A</v>
      </c>
      <c r="V139" s="205" t="e">
        <f aca="false">IF($A140="","",IF(AND(MONTH(A139)&gt;3,MONTH(A139)&lt;11),(T139+R139+G139)*Summary!$T$10/(1-Summary!$T$10),(T139+R139+G139)*Summary!$U$10/(1-Summary!$U$10)))</f>
        <v>#N/A</v>
      </c>
      <c r="W139" s="200" t="e">
        <f aca="false">IF($A140="","",(T139+R139+G139+V139))</f>
        <v>#N/A</v>
      </c>
      <c r="X139" s="200" t="e">
        <f aca="false">IF($A140="","",(U139+S139+H139+V139))</f>
        <v>#N/A</v>
      </c>
      <c r="Y139" s="202"/>
      <c r="Z139" s="185" t="e">
        <f aca="false">IF($A140="","",VLOOKUP($A139,Table,MATCH(Z$4,Curves,0)))</f>
        <v>#N/A</v>
      </c>
      <c r="AA139" s="185" t="e">
        <f aca="false">IF($A140="","",VLOOKUP($A139,Table,MATCH(AA$4,Curves,0)))</f>
        <v>#N/A</v>
      </c>
      <c r="AB139" s="185" t="e">
        <f aca="false">SQRT((AA139^2*(A139-$D$3)+Z139^2*(DAY(EOMONTH(A139,0))/2))/AK139)</f>
        <v>#N/A</v>
      </c>
      <c r="AC139" s="185" t="e">
        <f aca="false">IF($A140="","",VLOOKUP($A139,Table,MATCH(AC$4,Curves,0)))</f>
        <v>#N/A</v>
      </c>
      <c r="AD139" s="185" t="e">
        <f aca="false">IF($A140="","",VLOOKUP($A139,Table,MATCH(AD$4,Curves,0)))</f>
        <v>#N/A</v>
      </c>
      <c r="AE139" s="185" t="e">
        <f aca="false">SQRT((AD139^2*(A139-$D$3)+AC139^2*(DAY(EOMONTH(A139,0))/2))/AK139)</f>
        <v>#N/A</v>
      </c>
      <c r="AF139" s="224" t="e">
        <f aca="false">((Summary!$N$10*(AA139*AD139)*(A139-$D$3))+(Summary!$M$10*Z139*AC139*(AJ139-EOMONTH(EDATE(A139,-1),0))))/(AK139*AB139*AE139)</f>
        <v>#N/A</v>
      </c>
      <c r="AG139" s="207" t="n">
        <f aca="false">IF($A140="","",Summary!$Q$10)</f>
        <v>0</v>
      </c>
      <c r="AH139" s="207" t="n">
        <f aca="false">IF($A140="","",IF(Summary!$R$10="Y",(VLOOKUP($A139,Summary!$AD$6:$AF$9,3)+'Escalating commodity'!F152),'Escalating commodity'!F152))</f>
        <v>0.0158208</v>
      </c>
      <c r="AI139" s="207" t="n">
        <f aca="false">IF($A140="","",AH139)</f>
        <v>0.0158208</v>
      </c>
      <c r="AJ139" s="208" t="n">
        <f aca="false">A139+DAY(EOMONTH(A139,0))/2-1</f>
        <v>40983.5</v>
      </c>
      <c r="AK139" s="209" t="n">
        <f aca="false">IF($A140="","",$A139-$E$1)</f>
        <v>-4957</v>
      </c>
      <c r="AL139" s="182" t="e">
        <f aca="false">IF($A140="","",SPRDOPT(P139,X139,AI139,0,AB139,AE139,AF139,AK139,$AJ$2,0))</f>
        <v>#NAME?</v>
      </c>
      <c r="AM139" s="211" t="e">
        <f aca="false">IF($A140="","",MAX(0,O139-W139-AI139))</f>
        <v>#N/A</v>
      </c>
      <c r="AN139" s="211" t="e">
        <f aca="false">IF($A140="","",AL139-AM139)</f>
        <v>#N/A</v>
      </c>
      <c r="AO139" s="137" t="n">
        <f aca="false">IF(A140="","",A140-A139)</f>
        <v>31</v>
      </c>
      <c r="AP139" s="212" t="n">
        <f aca="false">IF(A140="","",CHOOSE(F$3,A140+24,A139))</f>
        <v>40969</v>
      </c>
      <c r="AQ139" s="209" t="n">
        <f aca="false">IF(A140="","",AP139-$E$1)</f>
        <v>-4957</v>
      </c>
      <c r="AR139" s="185" t="n">
        <f aca="false">'ANR OK vs ML7'!AR139</f>
        <v>0.1</v>
      </c>
      <c r="AS139" s="213" t="n">
        <f aca="false">IF(A140="","",1/(1+CHOOSE(F$3,(AR140+($I$3/10000))/2,(AR139+($I$3/10000))/2))^(2*AQ139/365.25))</f>
        <v>3.75960537136515</v>
      </c>
      <c r="AT139" s="137" t="n">
        <f aca="false">IF(A140="","",IF(AND(mthbeg&lt;=A139,mthend&gt;=A139),1,0))</f>
        <v>1</v>
      </c>
      <c r="AU139" s="137" t="n">
        <f aca="false">IF(A140="","",AO139*AT139)</f>
        <v>31</v>
      </c>
      <c r="AW139" s="195" t="e">
        <f aca="false">IF($A140="","",AL139*$E139)</f>
        <v>#NAME?</v>
      </c>
      <c r="AX139" s="195" t="e">
        <f aca="false">IF($A140="","",AM139*$E139)</f>
        <v>#N/A</v>
      </c>
      <c r="AY139" s="195" t="e">
        <f aca="false">IF($A140="","",AN139*$E139)</f>
        <v>#N/A</v>
      </c>
      <c r="BA139" s="195" t="n">
        <f aca="false">IF($A140="","",F139*Summary!$Q$10)</f>
        <v>0</v>
      </c>
      <c r="BC139" s="179" t="e">
        <f aca="false">IF(A140="","",AM139*F139)</f>
        <v>#N/A</v>
      </c>
    </row>
    <row r="140" customFormat="false" ht="12.75" hidden="false" customHeight="false" outlineLevel="0" collapsed="false">
      <c r="A140" s="196" t="n">
        <f aca="false">IF(A139&lt;mthend,EDATE(A139,1),"")</f>
        <v>41000</v>
      </c>
      <c r="B140" s="197" t="n">
        <f aca="false">IF(A140&lt;mthend,B139,"")</f>
        <v>119740</v>
      </c>
      <c r="C140" s="215"/>
      <c r="D140" s="197" t="n">
        <f aca="false">IF(A141&lt;&gt;"",B140+C140,"")</f>
        <v>119740</v>
      </c>
      <c r="E140" s="199" t="n">
        <f aca="false">IF(A141="","",IF(AND(AT140=1,$H$3=1),D140*AO140,IF($H$3=2,D140,"N/A")))</f>
        <v>3592200</v>
      </c>
      <c r="F140" s="199" t="n">
        <f aca="false">IF(A141="","",E140*AS140)</f>
        <v>13393866.1734142</v>
      </c>
      <c r="G140" s="200" t="e">
        <f aca="false">IF($A141="","",VLOOKUP($A140,Table,MATCH(G$4,Curves,0)))</f>
        <v>#N/A</v>
      </c>
      <c r="H140" s="201" t="e">
        <f aca="false">IF(A141="","",G140)</f>
        <v>#N/A</v>
      </c>
      <c r="I140" s="202"/>
      <c r="J140" s="200" t="e">
        <f aca="false">IF($A141="","",VLOOKUP($A140,Table,MATCH(J$4,Curves,0)))</f>
        <v>#N/A</v>
      </c>
      <c r="K140" s="201" t="e">
        <f aca="false">IF(A141="","",J140)</f>
        <v>#N/A</v>
      </c>
      <c r="L140" s="185" t="n">
        <v>0</v>
      </c>
      <c r="M140" s="201" t="n">
        <f aca="false">IF(A141="","",L140)</f>
        <v>0</v>
      </c>
      <c r="N140" s="203"/>
      <c r="O140" s="200" t="e">
        <f aca="false">IF(A141="","",L140+J140+G140)</f>
        <v>#N/A</v>
      </c>
      <c r="P140" s="200" t="e">
        <f aca="false">IF(A141="","",M140+K140+H140)</f>
        <v>#N/A</v>
      </c>
      <c r="Q140" s="204"/>
      <c r="R140" s="200" t="e">
        <f aca="false">IF($A141="","",VLOOKUP($A140,Table,MATCH(R$4,Curves,0)))</f>
        <v>#N/A</v>
      </c>
      <c r="S140" s="201" t="e">
        <f aca="false">IF(A141="","",R140)</f>
        <v>#N/A</v>
      </c>
      <c r="T140" s="200" t="e">
        <f aca="false">IF($A141="","",VLOOKUP($A140,Table,MATCH(T$4,Curves,0)))</f>
        <v>#N/A</v>
      </c>
      <c r="U140" s="201" t="e">
        <f aca="false">IF(A141="","",T140)</f>
        <v>#N/A</v>
      </c>
      <c r="V140" s="205" t="e">
        <f aca="false">IF($A141="","",IF(AND(MONTH(A140)&gt;3,MONTH(A140)&lt;11),(T140+R140+G140)*Summary!$T$10/(1-Summary!$T$10),(T140+R140+G140)*Summary!$U$10/(1-Summary!$U$10)))</f>
        <v>#N/A</v>
      </c>
      <c r="W140" s="200" t="e">
        <f aca="false">IF($A141="","",(T140+R140+G140+V140))</f>
        <v>#N/A</v>
      </c>
      <c r="X140" s="200" t="e">
        <f aca="false">IF($A141="","",(U140+S140+H140+V140))</f>
        <v>#N/A</v>
      </c>
      <c r="Y140" s="202"/>
      <c r="Z140" s="185" t="e">
        <f aca="false">IF($A141="","",VLOOKUP($A140,Table,MATCH(Z$4,Curves,0)))</f>
        <v>#N/A</v>
      </c>
      <c r="AA140" s="185" t="e">
        <f aca="false">IF($A141="","",VLOOKUP($A140,Table,MATCH(AA$4,Curves,0)))</f>
        <v>#N/A</v>
      </c>
      <c r="AB140" s="185" t="e">
        <f aca="false">SQRT((AA140^2*(A140-$D$3)+Z140^2*(DAY(EOMONTH(A140,0))/2))/AK140)</f>
        <v>#N/A</v>
      </c>
      <c r="AC140" s="185" t="e">
        <f aca="false">IF($A141="","",VLOOKUP($A140,Table,MATCH(AC$4,Curves,0)))</f>
        <v>#N/A</v>
      </c>
      <c r="AD140" s="185" t="e">
        <f aca="false">IF($A141="","",VLOOKUP($A140,Table,MATCH(AD$4,Curves,0)))</f>
        <v>#N/A</v>
      </c>
      <c r="AE140" s="185" t="e">
        <f aca="false">SQRT((AD140^2*(A140-$D$3)+AC140^2*(DAY(EOMONTH(A140,0))/2))/AK140)</f>
        <v>#N/A</v>
      </c>
      <c r="AF140" s="224" t="e">
        <f aca="false">((Summary!$N$10*(AA140*AD140)*(A140-$D$3))+(Summary!$M$10*Z140*AC140*(AJ140-EOMONTH(EDATE(A140,-1),0))))/(AK140*AB140*AE140)</f>
        <v>#N/A</v>
      </c>
      <c r="AG140" s="207" t="n">
        <f aca="false">IF($A141="","",Summary!$Q$10)</f>
        <v>0</v>
      </c>
      <c r="AH140" s="207" t="n">
        <f aca="false">IF($A141="","",IF(Summary!$R$10="Y",(VLOOKUP($A140,Summary!$AD$6:$AF$9,3)+'Escalating commodity'!F153),'Escalating commodity'!F153))</f>
        <v>0.0158208</v>
      </c>
      <c r="AI140" s="207" t="n">
        <f aca="false">IF($A141="","",AH140)</f>
        <v>0.0158208</v>
      </c>
      <c r="AJ140" s="208" t="n">
        <f aca="false">A140+DAY(EOMONTH(A140,0))/2-1</f>
        <v>41014</v>
      </c>
      <c r="AK140" s="209" t="n">
        <f aca="false">IF($A141="","",$A140-$E$1)</f>
        <v>-4926</v>
      </c>
      <c r="AL140" s="182" t="e">
        <f aca="false">IF($A141="","",SPRDOPT(P140,X140,AI140,0,AB140,AE140,AF140,AK140,$AJ$2,0))</f>
        <v>#NAME?</v>
      </c>
      <c r="AM140" s="211" t="e">
        <f aca="false">IF($A141="","",MAX(0,O140-W140-AI140))</f>
        <v>#N/A</v>
      </c>
      <c r="AN140" s="211" t="e">
        <f aca="false">IF($A141="","",AL140-AM140)</f>
        <v>#N/A</v>
      </c>
      <c r="AO140" s="137" t="n">
        <f aca="false">IF(A141="","",A141-A140)</f>
        <v>30</v>
      </c>
      <c r="AP140" s="212" t="n">
        <f aca="false">IF(A141="","",CHOOSE(F$3,A141+24,A140))</f>
        <v>41000</v>
      </c>
      <c r="AQ140" s="209" t="n">
        <f aca="false">IF(A141="","",AP140-$E$1)</f>
        <v>-4926</v>
      </c>
      <c r="AR140" s="185" t="n">
        <f aca="false">'ANR OK vs ML7'!AR140</f>
        <v>0.1</v>
      </c>
      <c r="AS140" s="213" t="n">
        <f aca="false">IF(A141="","",1/(1+CHOOSE(F$3,(AR141+($I$3/10000))/2,(AR140+($I$3/10000))/2))^(2*AQ140/365.25))</f>
        <v>3.72859700835537</v>
      </c>
      <c r="AT140" s="137" t="n">
        <f aca="false">IF(A141="","",IF(AND(mthbeg&lt;=A140,mthend&gt;=A140),1,0))</f>
        <v>1</v>
      </c>
      <c r="AU140" s="137" t="n">
        <f aca="false">IF(A141="","",AO140*AT140)</f>
        <v>30</v>
      </c>
      <c r="AW140" s="195" t="e">
        <f aca="false">IF($A141="","",AL140*$E140)</f>
        <v>#NAME?</v>
      </c>
      <c r="AX140" s="195" t="e">
        <f aca="false">IF($A141="","",AM140*$E140)</f>
        <v>#N/A</v>
      </c>
      <c r="AY140" s="195" t="e">
        <f aca="false">IF($A141="","",AN140*$E140)</f>
        <v>#N/A</v>
      </c>
      <c r="BA140" s="195" t="n">
        <f aca="false">IF($A141="","",F140*Summary!$Q$10)</f>
        <v>0</v>
      </c>
      <c r="BC140" s="179" t="e">
        <f aca="false">IF(A141="","",AM140*F140)</f>
        <v>#N/A</v>
      </c>
    </row>
    <row r="141" customFormat="false" ht="12.75" hidden="false" customHeight="false" outlineLevel="0" collapsed="false">
      <c r="A141" s="196" t="n">
        <f aca="false">IF(A140&lt;mthend,EDATE(A140,1),"")</f>
        <v>41030</v>
      </c>
      <c r="B141" s="197" t="n">
        <f aca="false">IF(A141&lt;mthend,B140,"")</f>
        <v>119740</v>
      </c>
      <c r="C141" s="215"/>
      <c r="D141" s="197" t="n">
        <f aca="false">IF(A142&lt;&gt;"",B141+C141,"")</f>
        <v>119740</v>
      </c>
      <c r="E141" s="199" t="n">
        <f aca="false">IF(A142="","",IF(AND(AT141=1,$H$3=1),D141*AO141,IF($H$3=2,D141,"N/A")))</f>
        <v>3711940</v>
      </c>
      <c r="F141" s="199" t="n">
        <f aca="false">IF(A142="","",E141*AS141)</f>
        <v>13729844.1047816</v>
      </c>
      <c r="G141" s="200" t="e">
        <f aca="false">IF($A142="","",VLOOKUP($A141,Table,MATCH(G$4,Curves,0)))</f>
        <v>#N/A</v>
      </c>
      <c r="H141" s="201" t="e">
        <f aca="false">IF(A142="","",G141)</f>
        <v>#N/A</v>
      </c>
      <c r="I141" s="202"/>
      <c r="J141" s="200" t="e">
        <f aca="false">IF($A142="","",VLOOKUP($A141,Table,MATCH(J$4,Curves,0)))</f>
        <v>#N/A</v>
      </c>
      <c r="K141" s="201" t="e">
        <f aca="false">IF(A142="","",J141)</f>
        <v>#N/A</v>
      </c>
      <c r="L141" s="185" t="n">
        <v>0</v>
      </c>
      <c r="M141" s="201" t="n">
        <f aca="false">IF(A142="","",L141)</f>
        <v>0</v>
      </c>
      <c r="N141" s="203"/>
      <c r="O141" s="200" t="e">
        <f aca="false">IF(A142="","",L141+J141+G141)</f>
        <v>#N/A</v>
      </c>
      <c r="P141" s="200" t="e">
        <f aca="false">IF(A142="","",M141+K141+H141)</f>
        <v>#N/A</v>
      </c>
      <c r="Q141" s="204"/>
      <c r="R141" s="200" t="e">
        <f aca="false">IF($A142="","",VLOOKUP($A141,Table,MATCH(R$4,Curves,0)))</f>
        <v>#N/A</v>
      </c>
      <c r="S141" s="201" t="e">
        <f aca="false">IF(A142="","",R141)</f>
        <v>#N/A</v>
      </c>
      <c r="T141" s="200" t="e">
        <f aca="false">IF($A142="","",VLOOKUP($A141,Table,MATCH(T$4,Curves,0)))</f>
        <v>#N/A</v>
      </c>
      <c r="U141" s="201" t="e">
        <f aca="false">IF(A142="","",T141)</f>
        <v>#N/A</v>
      </c>
      <c r="V141" s="205" t="e">
        <f aca="false">IF($A142="","",IF(AND(MONTH(A141)&gt;3,MONTH(A141)&lt;11),(T141+R141+G141)*Summary!$T$10/(1-Summary!$T$10),(T141+R141+G141)*Summary!$U$10/(1-Summary!$U$10)))</f>
        <v>#N/A</v>
      </c>
      <c r="W141" s="200" t="e">
        <f aca="false">IF($A142="","",(T141+R141+G141+V141))</f>
        <v>#N/A</v>
      </c>
      <c r="X141" s="200" t="e">
        <f aca="false">IF($A142="","",(U141+S141+H141+V141))</f>
        <v>#N/A</v>
      </c>
      <c r="Y141" s="202"/>
      <c r="Z141" s="185" t="e">
        <f aca="false">IF($A142="","",VLOOKUP($A141,Table,MATCH(Z$4,Curves,0)))</f>
        <v>#N/A</v>
      </c>
      <c r="AA141" s="185" t="e">
        <f aca="false">IF($A142="","",VLOOKUP($A141,Table,MATCH(AA$4,Curves,0)))</f>
        <v>#N/A</v>
      </c>
      <c r="AB141" s="185" t="e">
        <f aca="false">SQRT((AA141^2*(A141-$D$3)+Z141^2*(DAY(EOMONTH(A141,0))/2))/AK141)</f>
        <v>#N/A</v>
      </c>
      <c r="AC141" s="185" t="e">
        <f aca="false">IF($A142="","",VLOOKUP($A141,Table,MATCH(AC$4,Curves,0)))</f>
        <v>#N/A</v>
      </c>
      <c r="AD141" s="185" t="e">
        <f aca="false">IF($A142="","",VLOOKUP($A141,Table,MATCH(AD$4,Curves,0)))</f>
        <v>#N/A</v>
      </c>
      <c r="AE141" s="185" t="e">
        <f aca="false">SQRT((AD141^2*(A141-$D$3)+AC141^2*(DAY(EOMONTH(A141,0))/2))/AK141)</f>
        <v>#N/A</v>
      </c>
      <c r="AF141" s="224" t="e">
        <f aca="false">((Summary!$N$10*(AA141*AD141)*(A141-$D$3))+(Summary!$M$10*Z141*AC141*(AJ141-EOMONTH(EDATE(A141,-1),0))))/(AK141*AB141*AE141)</f>
        <v>#N/A</v>
      </c>
      <c r="AG141" s="207" t="n">
        <f aca="false">IF($A142="","",Summary!$Q$10)</f>
        <v>0</v>
      </c>
      <c r="AH141" s="207" t="n">
        <f aca="false">IF($A142="","",IF(Summary!$R$10="Y",(VLOOKUP($A141,Summary!$AD$6:$AF$9,3)+'Escalating commodity'!F154),'Escalating commodity'!F154))</f>
        <v>0.0158208</v>
      </c>
      <c r="AI141" s="207" t="n">
        <f aca="false">IF($A142="","",AH141)</f>
        <v>0.0158208</v>
      </c>
      <c r="AJ141" s="208" t="n">
        <f aca="false">A141+DAY(EOMONTH(A141,0))/2-1</f>
        <v>41044.5</v>
      </c>
      <c r="AK141" s="209" t="n">
        <f aca="false">IF($A142="","",$A141-$E$1)</f>
        <v>-4896</v>
      </c>
      <c r="AL141" s="182" t="e">
        <f aca="false">IF($A142="","",SPRDOPT(P141,X141,AI141,0,AB141,AE141,AF141,AK141,$AJ$2,0))</f>
        <v>#NAME?</v>
      </c>
      <c r="AM141" s="211" t="e">
        <f aca="false">IF($A142="","",MAX(0,O141-W141-AI141))</f>
        <v>#N/A</v>
      </c>
      <c r="AN141" s="211" t="e">
        <f aca="false">IF($A142="","",AL141-AM141)</f>
        <v>#N/A</v>
      </c>
      <c r="AO141" s="137" t="n">
        <f aca="false">IF(A142="","",A142-A141)</f>
        <v>31</v>
      </c>
      <c r="AP141" s="212" t="n">
        <f aca="false">IF(A142="","",CHOOSE(F$3,A142+24,A141))</f>
        <v>41030</v>
      </c>
      <c r="AQ141" s="209" t="n">
        <f aca="false">IF(A142="","",AP141-$E$1)</f>
        <v>-4896</v>
      </c>
      <c r="AR141" s="185" t="n">
        <f aca="false">'ANR OK vs ML7'!AR141</f>
        <v>0.1</v>
      </c>
      <c r="AS141" s="213" t="n">
        <f aca="false">IF(A142="","",1/(1+CHOOSE(F$3,(AR142+($I$3/10000))/2,(AR141+($I$3/10000))/2))^(2*AQ141/365.25))</f>
        <v>3.6988324447005</v>
      </c>
      <c r="AT141" s="137" t="n">
        <f aca="false">IF(A142="","",IF(AND(mthbeg&lt;=A141,mthend&gt;=A141),1,0))</f>
        <v>1</v>
      </c>
      <c r="AU141" s="137" t="n">
        <f aca="false">IF(A142="","",AO141*AT141)</f>
        <v>31</v>
      </c>
      <c r="AW141" s="195" t="e">
        <f aca="false">IF($A142="","",AL141*$E141)</f>
        <v>#NAME?</v>
      </c>
      <c r="AX141" s="195" t="e">
        <f aca="false">IF($A142="","",AM141*$E141)</f>
        <v>#N/A</v>
      </c>
      <c r="AY141" s="195" t="e">
        <f aca="false">IF($A142="","",AN141*$E141)</f>
        <v>#N/A</v>
      </c>
      <c r="BA141" s="195" t="n">
        <f aca="false">IF($A142="","",F141*Summary!$Q$10)</f>
        <v>0</v>
      </c>
      <c r="BC141" s="179" t="e">
        <f aca="false">IF(A142="","",AM141*F141)</f>
        <v>#N/A</v>
      </c>
    </row>
    <row r="142" customFormat="false" ht="12.75" hidden="false" customHeight="false" outlineLevel="0" collapsed="false">
      <c r="A142" s="196" t="n">
        <f aca="false">IF(A141&lt;mthend,EDATE(A141,1),"")</f>
        <v>41061</v>
      </c>
      <c r="B142" s="197" t="n">
        <f aca="false">IF(A142&lt;mthend,B141,"")</f>
        <v>119740</v>
      </c>
      <c r="C142" s="215"/>
      <c r="D142" s="197" t="n">
        <f aca="false">IF(A143&lt;&gt;"",B142+C142,"")</f>
        <v>119740</v>
      </c>
      <c r="E142" s="199" t="n">
        <f aca="false">IF(A143="","",IF(AND(AT142=1,$H$3=1),D142*AO142,IF($H$3=2,D142,"N/A")))</f>
        <v>3592200</v>
      </c>
      <c r="F142" s="199" t="n">
        <f aca="false">IF(A143="","",E142*AS142)</f>
        <v>13177358.2247574</v>
      </c>
      <c r="G142" s="200" t="e">
        <f aca="false">IF($A143="","",VLOOKUP($A142,Table,MATCH(G$4,Curves,0)))</f>
        <v>#N/A</v>
      </c>
      <c r="H142" s="201" t="e">
        <f aca="false">IF(A143="","",G142)</f>
        <v>#N/A</v>
      </c>
      <c r="I142" s="202"/>
      <c r="J142" s="200" t="e">
        <f aca="false">IF($A143="","",VLOOKUP($A142,Table,MATCH(J$4,Curves,0)))</f>
        <v>#N/A</v>
      </c>
      <c r="K142" s="201" t="e">
        <f aca="false">IF(A143="","",J142)</f>
        <v>#N/A</v>
      </c>
      <c r="L142" s="185" t="n">
        <v>0</v>
      </c>
      <c r="M142" s="201" t="n">
        <f aca="false">IF(A143="","",L142)</f>
        <v>0</v>
      </c>
      <c r="N142" s="203"/>
      <c r="O142" s="200" t="e">
        <f aca="false">IF(A143="","",L142+J142+G142)</f>
        <v>#N/A</v>
      </c>
      <c r="P142" s="200" t="e">
        <f aca="false">IF(A143="","",M142+K142+H142)</f>
        <v>#N/A</v>
      </c>
      <c r="Q142" s="204"/>
      <c r="R142" s="200" t="e">
        <f aca="false">IF($A143="","",VLOOKUP($A142,Table,MATCH(R$4,Curves,0)))</f>
        <v>#N/A</v>
      </c>
      <c r="S142" s="201" t="e">
        <f aca="false">IF(A143="","",R142)</f>
        <v>#N/A</v>
      </c>
      <c r="T142" s="200" t="e">
        <f aca="false">IF($A143="","",VLOOKUP($A142,Table,MATCH(T$4,Curves,0)))</f>
        <v>#N/A</v>
      </c>
      <c r="U142" s="201" t="e">
        <f aca="false">IF(A143="","",T142)</f>
        <v>#N/A</v>
      </c>
      <c r="V142" s="205" t="e">
        <f aca="false">IF($A143="","",IF(AND(MONTH(A142)&gt;3,MONTH(A142)&lt;11),(T142+R142+G142)*Summary!$T$10/(1-Summary!$T$10),(T142+R142+G142)*Summary!$U$10/(1-Summary!$U$10)))</f>
        <v>#N/A</v>
      </c>
      <c r="W142" s="200" t="e">
        <f aca="false">IF($A143="","",(T142+R142+G142+V142))</f>
        <v>#N/A</v>
      </c>
      <c r="X142" s="200" t="e">
        <f aca="false">IF($A143="","",(U142+S142+H142+V142))</f>
        <v>#N/A</v>
      </c>
      <c r="Y142" s="202"/>
      <c r="Z142" s="185" t="e">
        <f aca="false">IF($A143="","",VLOOKUP($A142,Table,MATCH(Z$4,Curves,0)))</f>
        <v>#N/A</v>
      </c>
      <c r="AA142" s="185" t="e">
        <f aca="false">IF($A143="","",VLOOKUP($A142,Table,MATCH(AA$4,Curves,0)))</f>
        <v>#N/A</v>
      </c>
      <c r="AB142" s="185" t="e">
        <f aca="false">SQRT((AA142^2*(A142-$D$3)+Z142^2*(DAY(EOMONTH(A142,0))/2))/AK142)</f>
        <v>#N/A</v>
      </c>
      <c r="AC142" s="185" t="e">
        <f aca="false">IF($A143="","",VLOOKUP($A142,Table,MATCH(AC$4,Curves,0)))</f>
        <v>#N/A</v>
      </c>
      <c r="AD142" s="185" t="e">
        <f aca="false">IF($A143="","",VLOOKUP($A142,Table,MATCH(AD$4,Curves,0)))</f>
        <v>#N/A</v>
      </c>
      <c r="AE142" s="185" t="e">
        <f aca="false">SQRT((AD142^2*(A142-$D$3)+AC142^2*(DAY(EOMONTH(A142,0))/2))/AK142)</f>
        <v>#N/A</v>
      </c>
      <c r="AF142" s="224" t="e">
        <f aca="false">((Summary!$N$10*(AA142*AD142)*(A142-$D$3))+(Summary!$M$10*Z142*AC142*(AJ142-EOMONTH(EDATE(A142,-1),0))))/(AK142*AB142*AE142)</f>
        <v>#N/A</v>
      </c>
      <c r="AG142" s="207" t="n">
        <f aca="false">IF($A143="","",Summary!$Q$10)</f>
        <v>0</v>
      </c>
      <c r="AH142" s="207" t="n">
        <f aca="false">IF($A143="","",IF(Summary!$R$10="Y",(VLOOKUP($A142,Summary!$AD$6:$AF$9,3)+'Escalating commodity'!F155),'Escalating commodity'!F155))</f>
        <v>0.0158208</v>
      </c>
      <c r="AI142" s="207" t="n">
        <f aca="false">IF($A143="","",AH142)</f>
        <v>0.0158208</v>
      </c>
      <c r="AJ142" s="208" t="n">
        <f aca="false">A142+DAY(EOMONTH(A142,0))/2-1</f>
        <v>41075</v>
      </c>
      <c r="AK142" s="209" t="n">
        <f aca="false">IF($A143="","",$A142-$E$1)</f>
        <v>-4865</v>
      </c>
      <c r="AL142" s="182" t="e">
        <f aca="false">IF($A143="","",SPRDOPT(P142,X142,AI142,0,AB142,AE142,AF142,AK142,$AJ$2,0))</f>
        <v>#NAME?</v>
      </c>
      <c r="AM142" s="211" t="e">
        <f aca="false">IF($A143="","",MAX(0,O142-W142-AI142))</f>
        <v>#N/A</v>
      </c>
      <c r="AN142" s="211" t="e">
        <f aca="false">IF($A143="","",AL142-AM142)</f>
        <v>#N/A</v>
      </c>
      <c r="AO142" s="137" t="n">
        <f aca="false">IF(A143="","",A143-A142)</f>
        <v>30</v>
      </c>
      <c r="AP142" s="212" t="n">
        <f aca="false">IF(A143="","",CHOOSE(F$3,A143+24,A142))</f>
        <v>41061</v>
      </c>
      <c r="AQ142" s="209" t="n">
        <f aca="false">IF(A143="","",AP142-$E$1)</f>
        <v>-4865</v>
      </c>
      <c r="AR142" s="185" t="n">
        <f aca="false">'ANR OK vs ML7'!AR142</f>
        <v>0.1</v>
      </c>
      <c r="AS142" s="213" t="n">
        <f aca="false">IF(A143="","",1/(1+CHOOSE(F$3,(AR143+($I$3/10000))/2,(AR142+($I$3/10000))/2))^(2*AQ142/365.25))</f>
        <v>3.66832532285436</v>
      </c>
      <c r="AT142" s="137" t="n">
        <f aca="false">IF(A143="","",IF(AND(mthbeg&lt;=A142,mthend&gt;=A142),1,0))</f>
        <v>1</v>
      </c>
      <c r="AU142" s="137" t="n">
        <f aca="false">IF(A143="","",AO142*AT142)</f>
        <v>30</v>
      </c>
      <c r="AW142" s="195" t="e">
        <f aca="false">IF($A143="","",AL142*$E142)</f>
        <v>#NAME?</v>
      </c>
      <c r="AX142" s="195" t="e">
        <f aca="false">IF($A143="","",AM142*$E142)</f>
        <v>#N/A</v>
      </c>
      <c r="AY142" s="195" t="e">
        <f aca="false">IF($A143="","",AN142*$E142)</f>
        <v>#N/A</v>
      </c>
      <c r="BA142" s="195" t="n">
        <f aca="false">IF($A143="","",F142*Summary!$Q$10)</f>
        <v>0</v>
      </c>
      <c r="BC142" s="179" t="e">
        <f aca="false">IF(A143="","",AM142*F142)</f>
        <v>#N/A</v>
      </c>
    </row>
    <row r="143" customFormat="false" ht="12.75" hidden="false" customHeight="false" outlineLevel="0" collapsed="false">
      <c r="A143" s="196" t="n">
        <f aca="false">IF(A142&lt;mthend,EDATE(A142,1),"")</f>
        <v>41091</v>
      </c>
      <c r="B143" s="197" t="n">
        <f aca="false">IF(A143&lt;mthend,B142,"")</f>
        <v>119740</v>
      </c>
      <c r="C143" s="215"/>
      <c r="D143" s="197" t="n">
        <f aca="false">IF(A144&lt;&gt;"",B143+C143,"")</f>
        <v>119740</v>
      </c>
      <c r="E143" s="199" t="n">
        <f aca="false">IF(A144="","",IF(AND(AT143=1,$H$3=1),D143*AO143,IF($H$3=2,D143,"N/A")))</f>
        <v>3711940</v>
      </c>
      <c r="F143" s="199" t="n">
        <f aca="false">IF(A144="","",E143*AS143)</f>
        <v>13507905.1706445</v>
      </c>
      <c r="G143" s="200" t="e">
        <f aca="false">IF($A144="","",VLOOKUP($A143,Table,MATCH(G$4,Curves,0)))</f>
        <v>#N/A</v>
      </c>
      <c r="H143" s="201" t="e">
        <f aca="false">IF(A144="","",G143)</f>
        <v>#N/A</v>
      </c>
      <c r="I143" s="202"/>
      <c r="J143" s="200" t="e">
        <f aca="false">IF($A144="","",VLOOKUP($A143,Table,MATCH(J$4,Curves,0)))</f>
        <v>#N/A</v>
      </c>
      <c r="K143" s="201" t="e">
        <f aca="false">IF(A144="","",J143)</f>
        <v>#N/A</v>
      </c>
      <c r="L143" s="185" t="n">
        <v>0</v>
      </c>
      <c r="M143" s="201" t="n">
        <f aca="false">IF(A144="","",L143)</f>
        <v>0</v>
      </c>
      <c r="N143" s="203"/>
      <c r="O143" s="200" t="e">
        <f aca="false">IF(A144="","",L143+J143+G143)</f>
        <v>#N/A</v>
      </c>
      <c r="P143" s="200" t="e">
        <f aca="false">IF(A144="","",M143+K143+H143)</f>
        <v>#N/A</v>
      </c>
      <c r="Q143" s="204"/>
      <c r="R143" s="200" t="e">
        <f aca="false">IF($A144="","",VLOOKUP($A143,Table,MATCH(R$4,Curves,0)))</f>
        <v>#N/A</v>
      </c>
      <c r="S143" s="201" t="e">
        <f aca="false">IF(A144="","",R143)</f>
        <v>#N/A</v>
      </c>
      <c r="T143" s="200" t="e">
        <f aca="false">IF($A144="","",VLOOKUP($A143,Table,MATCH(T$4,Curves,0)))</f>
        <v>#N/A</v>
      </c>
      <c r="U143" s="201" t="e">
        <f aca="false">IF(A144="","",T143)</f>
        <v>#N/A</v>
      </c>
      <c r="V143" s="205" t="e">
        <f aca="false">IF($A144="","",IF(AND(MONTH(A143)&gt;3,MONTH(A143)&lt;11),(T143+R143+G143)*Summary!$T$10/(1-Summary!$T$10),(T143+R143+G143)*Summary!$U$10/(1-Summary!$U$10)))</f>
        <v>#N/A</v>
      </c>
      <c r="W143" s="200" t="e">
        <f aca="false">IF($A144="","",(T143+R143+G143+V143))</f>
        <v>#N/A</v>
      </c>
      <c r="X143" s="200" t="e">
        <f aca="false">IF($A144="","",(U143+S143+H143+V143))</f>
        <v>#N/A</v>
      </c>
      <c r="Y143" s="202"/>
      <c r="Z143" s="185" t="e">
        <f aca="false">IF($A144="","",VLOOKUP($A143,Table,MATCH(Z$4,Curves,0)))</f>
        <v>#N/A</v>
      </c>
      <c r="AA143" s="185" t="e">
        <f aca="false">IF($A144="","",VLOOKUP($A143,Table,MATCH(AA$4,Curves,0)))</f>
        <v>#N/A</v>
      </c>
      <c r="AB143" s="185" t="e">
        <f aca="false">SQRT((AA143^2*(A143-$D$3)+Z143^2*(DAY(EOMONTH(A143,0))/2))/AK143)</f>
        <v>#N/A</v>
      </c>
      <c r="AC143" s="185" t="e">
        <f aca="false">IF($A144="","",VLOOKUP($A143,Table,MATCH(AC$4,Curves,0)))</f>
        <v>#N/A</v>
      </c>
      <c r="AD143" s="185" t="e">
        <f aca="false">IF($A144="","",VLOOKUP($A143,Table,MATCH(AD$4,Curves,0)))</f>
        <v>#N/A</v>
      </c>
      <c r="AE143" s="185" t="e">
        <f aca="false">SQRT((AD143^2*(A143-$D$3)+AC143^2*(DAY(EOMONTH(A143,0))/2))/AK143)</f>
        <v>#N/A</v>
      </c>
      <c r="AF143" s="224" t="e">
        <f aca="false">((Summary!$N$10*(AA143*AD143)*(A143-$D$3))+(Summary!$M$10*Z143*AC143*(AJ143-EOMONTH(EDATE(A143,-1),0))))/(AK143*AB143*AE143)</f>
        <v>#N/A</v>
      </c>
      <c r="AG143" s="207" t="n">
        <f aca="false">IF($A144="","",Summary!$Q$10)</f>
        <v>0</v>
      </c>
      <c r="AH143" s="207" t="n">
        <f aca="false">IF($A144="","",IF(Summary!$R$10="Y",(VLOOKUP($A143,Summary!$AD$6:$AF$9,3)+'Escalating commodity'!F156),'Escalating commodity'!F156))</f>
        <v>0.0158208</v>
      </c>
      <c r="AI143" s="207" t="n">
        <f aca="false">IF($A144="","",AH143)</f>
        <v>0.0158208</v>
      </c>
      <c r="AJ143" s="208" t="n">
        <f aca="false">A143+DAY(EOMONTH(A143,0))/2-1</f>
        <v>41105.5</v>
      </c>
      <c r="AK143" s="209" t="n">
        <f aca="false">IF($A144="","",$A143-$E$1)</f>
        <v>-4835</v>
      </c>
      <c r="AL143" s="182" t="e">
        <f aca="false">IF($A144="","",SPRDOPT(P143,X143,AI143,0,AB143,AE143,AF143,AK143,$AJ$2,0))</f>
        <v>#NAME?</v>
      </c>
      <c r="AM143" s="211" t="e">
        <f aca="false">IF($A144="","",MAX(0,O143-W143-AI143))</f>
        <v>#N/A</v>
      </c>
      <c r="AN143" s="211" t="e">
        <f aca="false">IF($A144="","",AL143-AM143)</f>
        <v>#N/A</v>
      </c>
      <c r="AO143" s="137" t="n">
        <f aca="false">IF(A144="","",A144-A143)</f>
        <v>31</v>
      </c>
      <c r="AP143" s="212" t="n">
        <f aca="false">IF(A144="","",CHOOSE(F$3,A144+24,A143))</f>
        <v>41091</v>
      </c>
      <c r="AQ143" s="209" t="n">
        <f aca="false">IF(A144="","",AP143-$E$1)</f>
        <v>-4835</v>
      </c>
      <c r="AR143" s="185" t="n">
        <f aca="false">'ANR OK vs ML7'!AR143</f>
        <v>0.1</v>
      </c>
      <c r="AS143" s="213" t="n">
        <f aca="false">IF(A144="","",1/(1+CHOOSE(F$3,(AR144+($I$3/10000))/2,(AR143+($I$3/10000))/2))^(2*AQ143/365.25))</f>
        <v>3.63904189470855</v>
      </c>
      <c r="AT143" s="137" t="n">
        <f aca="false">IF(A144="","",IF(AND(mthbeg&lt;=A143,mthend&gt;=A143),1,0))</f>
        <v>1</v>
      </c>
      <c r="AU143" s="137" t="n">
        <f aca="false">IF(A144="","",AO143*AT143)</f>
        <v>31</v>
      </c>
      <c r="AW143" s="195" t="e">
        <f aca="false">IF($A144="","",AL143*$E143)</f>
        <v>#NAME?</v>
      </c>
      <c r="AX143" s="195" t="e">
        <f aca="false">IF($A144="","",AM143*$E143)</f>
        <v>#N/A</v>
      </c>
      <c r="AY143" s="195" t="e">
        <f aca="false">IF($A144="","",AN143*$E143)</f>
        <v>#N/A</v>
      </c>
      <c r="BA143" s="195" t="n">
        <f aca="false">IF($A144="","",F143*Summary!$Q$10)</f>
        <v>0</v>
      </c>
      <c r="BC143" s="179" t="e">
        <f aca="false">IF(A144="","",AM143*F143)</f>
        <v>#N/A</v>
      </c>
    </row>
    <row r="144" customFormat="false" ht="12.75" hidden="false" customHeight="false" outlineLevel="0" collapsed="false">
      <c r="A144" s="196" t="n">
        <f aca="false">IF(A143&lt;mthend,EDATE(A143,1),"")</f>
        <v>41122</v>
      </c>
      <c r="B144" s="197" t="n">
        <f aca="false">IF(A144&lt;mthend,B143,"")</f>
        <v>119740</v>
      </c>
      <c r="C144" s="215"/>
      <c r="D144" s="197" t="n">
        <f aca="false">IF(A145&lt;&gt;"",B144+C144,"")</f>
        <v>119740</v>
      </c>
      <c r="E144" s="199" t="n">
        <f aca="false">IF(A145="","",IF(AND(AT144=1,$H$3=1),D144*AO144,IF($H$3=2,D144,"N/A")))</f>
        <v>3711940</v>
      </c>
      <c r="F144" s="199" t="n">
        <f aca="false">IF(A145="","",E144*AS144)</f>
        <v>13396495.0662161</v>
      </c>
      <c r="G144" s="200" t="e">
        <f aca="false">IF($A145="","",VLOOKUP($A144,Table,MATCH(G$4,Curves,0)))</f>
        <v>#N/A</v>
      </c>
      <c r="H144" s="201" t="e">
        <f aca="false">IF(A145="","",G144)</f>
        <v>#N/A</v>
      </c>
      <c r="I144" s="202"/>
      <c r="J144" s="200" t="e">
        <f aca="false">IF($A145="","",VLOOKUP($A144,Table,MATCH(J$4,Curves,0)))</f>
        <v>#N/A</v>
      </c>
      <c r="K144" s="201" t="e">
        <f aca="false">IF(A145="","",J144)</f>
        <v>#N/A</v>
      </c>
      <c r="L144" s="185" t="n">
        <v>0</v>
      </c>
      <c r="M144" s="201" t="n">
        <f aca="false">IF(A145="","",L144)</f>
        <v>0</v>
      </c>
      <c r="N144" s="203"/>
      <c r="O144" s="200" t="e">
        <f aca="false">IF(A145="","",L144+J144+G144)</f>
        <v>#N/A</v>
      </c>
      <c r="P144" s="200" t="e">
        <f aca="false">IF(A145="","",M144+K144+H144)</f>
        <v>#N/A</v>
      </c>
      <c r="Q144" s="204"/>
      <c r="R144" s="200" t="e">
        <f aca="false">IF($A145="","",VLOOKUP($A144,Table,MATCH(R$4,Curves,0)))</f>
        <v>#N/A</v>
      </c>
      <c r="S144" s="201" t="e">
        <f aca="false">IF(A145="","",R144)</f>
        <v>#N/A</v>
      </c>
      <c r="T144" s="200" t="e">
        <f aca="false">IF($A145="","",VLOOKUP($A144,Table,MATCH(T$4,Curves,0)))</f>
        <v>#N/A</v>
      </c>
      <c r="U144" s="201" t="e">
        <f aca="false">IF(A145="","",T144)</f>
        <v>#N/A</v>
      </c>
      <c r="V144" s="205" t="e">
        <f aca="false">IF($A145="","",IF(AND(MONTH(A144)&gt;3,MONTH(A144)&lt;11),(T144+R144+G144)*Summary!$T$10/(1-Summary!$T$10),(T144+R144+G144)*Summary!$U$10/(1-Summary!$U$10)))</f>
        <v>#N/A</v>
      </c>
      <c r="W144" s="200" t="e">
        <f aca="false">IF($A145="","",(T144+R144+G144+V144))</f>
        <v>#N/A</v>
      </c>
      <c r="X144" s="200" t="e">
        <f aca="false">IF($A145="","",(U144+S144+H144+V144))</f>
        <v>#N/A</v>
      </c>
      <c r="Y144" s="202"/>
      <c r="Z144" s="185" t="e">
        <f aca="false">IF($A145="","",VLOOKUP($A144,Table,MATCH(Z$4,Curves,0)))</f>
        <v>#N/A</v>
      </c>
      <c r="AA144" s="185" t="e">
        <f aca="false">IF($A145="","",VLOOKUP($A144,Table,MATCH(AA$4,Curves,0)))</f>
        <v>#N/A</v>
      </c>
      <c r="AB144" s="185" t="e">
        <f aca="false">SQRT((AA144^2*(A144-$D$3)+Z144^2*(DAY(EOMONTH(A144,0))/2))/AK144)</f>
        <v>#N/A</v>
      </c>
      <c r="AC144" s="185" t="e">
        <f aca="false">IF($A145="","",VLOOKUP($A144,Table,MATCH(AC$4,Curves,0)))</f>
        <v>#N/A</v>
      </c>
      <c r="AD144" s="185" t="e">
        <f aca="false">IF($A145="","",VLOOKUP($A144,Table,MATCH(AD$4,Curves,0)))</f>
        <v>#N/A</v>
      </c>
      <c r="AE144" s="185" t="e">
        <f aca="false">SQRT((AD144^2*(A144-$D$3)+AC144^2*(DAY(EOMONTH(A144,0))/2))/AK144)</f>
        <v>#N/A</v>
      </c>
      <c r="AF144" s="224" t="e">
        <f aca="false">((Summary!$N$10*(AA144*AD144)*(A144-$D$3))+(Summary!$M$10*Z144*AC144*(AJ144-EOMONTH(EDATE(A144,-1),0))))/(AK144*AB144*AE144)</f>
        <v>#N/A</v>
      </c>
      <c r="AG144" s="207" t="n">
        <f aca="false">IF($A145="","",Summary!$Q$10)</f>
        <v>0</v>
      </c>
      <c r="AH144" s="207" t="n">
        <f aca="false">IF($A145="","",IF(Summary!$R$10="Y",(VLOOKUP($A144,Summary!$AD$6:$AF$9,3)+'Escalating commodity'!F157),'Escalating commodity'!F157))</f>
        <v>0.0158208</v>
      </c>
      <c r="AI144" s="207" t="n">
        <f aca="false">IF($A145="","",AH144)</f>
        <v>0.0158208</v>
      </c>
      <c r="AJ144" s="208" t="n">
        <f aca="false">A144+DAY(EOMONTH(A144,0))/2-1</f>
        <v>41136.5</v>
      </c>
      <c r="AK144" s="209" t="n">
        <f aca="false">IF($A145="","",$A144-$E$1)</f>
        <v>-4804</v>
      </c>
      <c r="AL144" s="182" t="e">
        <f aca="false">IF($A145="","",SPRDOPT(P144,X144,AI144,0,AB144,AE144,AF144,AK144,$AJ$2,0))</f>
        <v>#NAME?</v>
      </c>
      <c r="AM144" s="211" t="e">
        <f aca="false">IF($A145="","",MAX(0,O144-W144-AI144))</f>
        <v>#N/A</v>
      </c>
      <c r="AN144" s="211" t="e">
        <f aca="false">IF($A145="","",AL144-AM144)</f>
        <v>#N/A</v>
      </c>
      <c r="AO144" s="137" t="n">
        <f aca="false">IF(A145="","",A145-A144)</f>
        <v>31</v>
      </c>
      <c r="AP144" s="212" t="n">
        <f aca="false">IF(A145="","",CHOOSE(F$3,A145+24,A144))</f>
        <v>41122</v>
      </c>
      <c r="AQ144" s="209" t="n">
        <f aca="false">IF(A145="","",AP144-$E$1)</f>
        <v>-4804</v>
      </c>
      <c r="AR144" s="185" t="n">
        <f aca="false">'ANR OK vs ML7'!AR144</f>
        <v>0.1</v>
      </c>
      <c r="AS144" s="213" t="n">
        <f aca="false">IF(A145="","",1/(1+CHOOSE(F$3,(AR145+($I$3/10000))/2,(AR144+($I$3/10000))/2))^(2*AQ144/365.25))</f>
        <v>3.60902791160853</v>
      </c>
      <c r="AT144" s="137" t="n">
        <f aca="false">IF(A145="","",IF(AND(mthbeg&lt;=A144,mthend&gt;=A144),1,0))</f>
        <v>1</v>
      </c>
      <c r="AU144" s="137" t="n">
        <f aca="false">IF(A145="","",AO144*AT144)</f>
        <v>31</v>
      </c>
      <c r="AW144" s="195" t="e">
        <f aca="false">IF($A145="","",AL144*$E144)</f>
        <v>#NAME?</v>
      </c>
      <c r="AX144" s="195" t="e">
        <f aca="false">IF($A145="","",AM144*$E144)</f>
        <v>#N/A</v>
      </c>
      <c r="AY144" s="195" t="e">
        <f aca="false">IF($A145="","",AN144*$E144)</f>
        <v>#N/A</v>
      </c>
      <c r="BA144" s="195" t="n">
        <f aca="false">IF($A145="","",F144*Summary!$Q$10)</f>
        <v>0</v>
      </c>
      <c r="BC144" s="179" t="e">
        <f aca="false">IF(A145="","",AM144*F144)</f>
        <v>#N/A</v>
      </c>
    </row>
    <row r="145" customFormat="false" ht="12.75" hidden="false" customHeight="false" outlineLevel="0" collapsed="false">
      <c r="A145" s="196" t="n">
        <f aca="false">IF(A144&lt;mthend,EDATE(A144,1),"")</f>
        <v>41153</v>
      </c>
      <c r="B145" s="197" t="n">
        <f aca="false">IF(A145&lt;mthend,B144,"")</f>
        <v>119740</v>
      </c>
      <c r="C145" s="215"/>
      <c r="D145" s="197" t="n">
        <f aca="false">IF(A146&lt;&gt;"",B145+C145,"")</f>
        <v>119740</v>
      </c>
      <c r="E145" s="199" t="n">
        <f aca="false">IF(A146="","",IF(AND(AT145=1,$H$3=1),D145*AO145,IF($H$3=2,D145,"N/A")))</f>
        <v>3592200</v>
      </c>
      <c r="F145" s="199" t="n">
        <f aca="false">IF(A146="","",E145*AS145)</f>
        <v>12857423.0775313</v>
      </c>
      <c r="G145" s="200" t="e">
        <f aca="false">IF($A146="","",VLOOKUP($A145,Table,MATCH(G$4,Curves,0)))</f>
        <v>#N/A</v>
      </c>
      <c r="H145" s="201" t="e">
        <f aca="false">IF(A146="","",G145)</f>
        <v>#N/A</v>
      </c>
      <c r="I145" s="202"/>
      <c r="J145" s="200" t="e">
        <f aca="false">IF($A146="","",VLOOKUP($A145,Table,MATCH(J$4,Curves,0)))</f>
        <v>#N/A</v>
      </c>
      <c r="K145" s="201" t="e">
        <f aca="false">IF(A146="","",J145)</f>
        <v>#N/A</v>
      </c>
      <c r="L145" s="185" t="n">
        <v>0</v>
      </c>
      <c r="M145" s="201" t="n">
        <f aca="false">IF(A146="","",L145)</f>
        <v>0</v>
      </c>
      <c r="N145" s="203"/>
      <c r="O145" s="200" t="e">
        <f aca="false">IF(A146="","",L145+J145+G145)</f>
        <v>#N/A</v>
      </c>
      <c r="P145" s="200" t="e">
        <f aca="false">IF(A146="","",M145+K145+H145)</f>
        <v>#N/A</v>
      </c>
      <c r="Q145" s="204"/>
      <c r="R145" s="200" t="e">
        <f aca="false">IF($A146="","",VLOOKUP($A145,Table,MATCH(R$4,Curves,0)))</f>
        <v>#N/A</v>
      </c>
      <c r="S145" s="201" t="e">
        <f aca="false">IF(A146="","",R145)</f>
        <v>#N/A</v>
      </c>
      <c r="T145" s="200" t="e">
        <f aca="false">IF($A146="","",VLOOKUP($A145,Table,MATCH(T$4,Curves,0)))</f>
        <v>#N/A</v>
      </c>
      <c r="U145" s="201" t="e">
        <f aca="false">IF(A146="","",T145)</f>
        <v>#N/A</v>
      </c>
      <c r="V145" s="205" t="e">
        <f aca="false">IF($A146="","",IF(AND(MONTH(A145)&gt;3,MONTH(A145)&lt;11),(T145+R145+G145)*Summary!$T$10/(1-Summary!$T$10),(T145+R145+G145)*Summary!$U$10/(1-Summary!$U$10)))</f>
        <v>#N/A</v>
      </c>
      <c r="W145" s="200" t="e">
        <f aca="false">IF($A146="","",(T145+R145+G145+V145))</f>
        <v>#N/A</v>
      </c>
      <c r="X145" s="200" t="e">
        <f aca="false">IF($A146="","",(U145+S145+H145+V145))</f>
        <v>#N/A</v>
      </c>
      <c r="Y145" s="202"/>
      <c r="Z145" s="185" t="e">
        <f aca="false">IF($A146="","",VLOOKUP($A145,Table,MATCH(Z$4,Curves,0)))</f>
        <v>#N/A</v>
      </c>
      <c r="AA145" s="185" t="e">
        <f aca="false">IF($A146="","",VLOOKUP($A145,Table,MATCH(AA$4,Curves,0)))</f>
        <v>#N/A</v>
      </c>
      <c r="AB145" s="185" t="e">
        <f aca="false">SQRT((AA145^2*(A145-$D$3)+Z145^2*(DAY(EOMONTH(A145,0))/2))/AK145)</f>
        <v>#N/A</v>
      </c>
      <c r="AC145" s="185" t="e">
        <f aca="false">IF($A146="","",VLOOKUP($A145,Table,MATCH(AC$4,Curves,0)))</f>
        <v>#N/A</v>
      </c>
      <c r="AD145" s="185" t="e">
        <f aca="false">IF($A146="","",VLOOKUP($A145,Table,MATCH(AD$4,Curves,0)))</f>
        <v>#N/A</v>
      </c>
      <c r="AE145" s="185" t="e">
        <f aca="false">SQRT((AD145^2*(A145-$D$3)+AC145^2*(DAY(EOMONTH(A145,0))/2))/AK145)</f>
        <v>#N/A</v>
      </c>
      <c r="AF145" s="224" t="e">
        <f aca="false">((Summary!$N$10*(AA145*AD145)*(A145-$D$3))+(Summary!$M$10*Z145*AC145*(AJ145-EOMONTH(EDATE(A145,-1),0))))/(AK145*AB145*AE145)</f>
        <v>#N/A</v>
      </c>
      <c r="AG145" s="207" t="n">
        <f aca="false">IF($A146="","",Summary!$Q$10)</f>
        <v>0</v>
      </c>
      <c r="AH145" s="207" t="n">
        <f aca="false">IF($A146="","",IF(Summary!$R$10="Y",(VLOOKUP($A145,Summary!$AD$6:$AF$9,3)+'Escalating commodity'!F158),'Escalating commodity'!F158))</f>
        <v>0.0158208</v>
      </c>
      <c r="AI145" s="207" t="n">
        <f aca="false">IF($A146="","",AH145)</f>
        <v>0.0158208</v>
      </c>
      <c r="AJ145" s="208" t="n">
        <f aca="false">A145+DAY(EOMONTH(A145,0))/2-1</f>
        <v>41167</v>
      </c>
      <c r="AK145" s="209" t="n">
        <f aca="false">IF($A146="","",$A145-$E$1)</f>
        <v>-4773</v>
      </c>
      <c r="AL145" s="182" t="e">
        <f aca="false">IF($A146="","",SPRDOPT(P145,X145,AI145,0,AB145,AE145,AF145,AK145,$AJ$2,0))</f>
        <v>#NAME?</v>
      </c>
      <c r="AM145" s="211" t="e">
        <f aca="false">IF($A146="","",MAX(0,O145-W145-AI145))</f>
        <v>#N/A</v>
      </c>
      <c r="AN145" s="211" t="e">
        <f aca="false">IF($A146="","",AL145-AM145)</f>
        <v>#N/A</v>
      </c>
      <c r="AO145" s="137" t="n">
        <f aca="false">IF(A146="","",A146-A145)</f>
        <v>30</v>
      </c>
      <c r="AP145" s="212" t="n">
        <f aca="false">IF(A146="","",CHOOSE(F$3,A146+24,A145))</f>
        <v>41153</v>
      </c>
      <c r="AQ145" s="209" t="n">
        <f aca="false">IF(A146="","",AP145-$E$1)</f>
        <v>-4773</v>
      </c>
      <c r="AR145" s="185" t="n">
        <f aca="false">'ANR OK vs ML7'!AR145</f>
        <v>0.1</v>
      </c>
      <c r="AS145" s="213" t="n">
        <f aca="false">IF(A146="","",1/(1+CHOOSE(F$3,(AR146+($I$3/10000))/2,(AR145+($I$3/10000))/2))^(2*AQ145/365.25))</f>
        <v>3.57926147695878</v>
      </c>
      <c r="AT145" s="137" t="n">
        <f aca="false">IF(A146="","",IF(AND(mthbeg&lt;=A145,mthend&gt;=A145),1,0))</f>
        <v>1</v>
      </c>
      <c r="AU145" s="137" t="n">
        <f aca="false">IF(A146="","",AO145*AT145)</f>
        <v>30</v>
      </c>
      <c r="AW145" s="195" t="e">
        <f aca="false">IF($A146="","",AL145*$E145)</f>
        <v>#NAME?</v>
      </c>
      <c r="AX145" s="195" t="e">
        <f aca="false">IF($A146="","",AM145*$E145)</f>
        <v>#N/A</v>
      </c>
      <c r="AY145" s="195" t="e">
        <f aca="false">IF($A146="","",AN145*$E145)</f>
        <v>#N/A</v>
      </c>
      <c r="BA145" s="195" t="n">
        <f aca="false">IF($A146="","",F145*Summary!$Q$10)</f>
        <v>0</v>
      </c>
      <c r="BC145" s="179" t="e">
        <f aca="false">IF(A146="","",AM145*F145)</f>
        <v>#N/A</v>
      </c>
    </row>
    <row r="146" customFormat="false" ht="12.75" hidden="false" customHeight="false" outlineLevel="0" collapsed="false">
      <c r="A146" s="196" t="n">
        <f aca="false">IF(A145&lt;mthend,EDATE(A145,1),"")</f>
        <v>41183</v>
      </c>
      <c r="B146" s="197" t="n">
        <f aca="false">IF(A146&lt;mthend,B145,"")</f>
        <v>119740</v>
      </c>
      <c r="C146" s="215"/>
      <c r="D146" s="197" t="n">
        <f aca="false">IF(A147&lt;&gt;"",B146+C146,"")</f>
        <v>119740</v>
      </c>
      <c r="E146" s="199" t="n">
        <f aca="false">IF(A147="","",IF(AND(AT146=1,$H$3=1),D146*AO146,IF($H$3=2,D146,"N/A")))</f>
        <v>3711940</v>
      </c>
      <c r="F146" s="199" t="n">
        <f aca="false">IF(A147="","",E146*AS146)</f>
        <v>13179944.6222724</v>
      </c>
      <c r="G146" s="200" t="e">
        <f aca="false">IF($A147="","",VLOOKUP($A146,Table,MATCH(G$4,Curves,0)))</f>
        <v>#N/A</v>
      </c>
      <c r="H146" s="201" t="e">
        <f aca="false">IF(A147="","",G146)</f>
        <v>#N/A</v>
      </c>
      <c r="I146" s="202"/>
      <c r="J146" s="200" t="e">
        <f aca="false">IF($A147="","",VLOOKUP($A146,Table,MATCH(J$4,Curves,0)))</f>
        <v>#N/A</v>
      </c>
      <c r="K146" s="201" t="e">
        <f aca="false">IF(A147="","",J146)</f>
        <v>#N/A</v>
      </c>
      <c r="L146" s="185" t="n">
        <v>0</v>
      </c>
      <c r="M146" s="201" t="n">
        <f aca="false">IF(A147="","",L146)</f>
        <v>0</v>
      </c>
      <c r="N146" s="203"/>
      <c r="O146" s="200" t="e">
        <f aca="false">IF(A147="","",L146+J146+G146)</f>
        <v>#N/A</v>
      </c>
      <c r="P146" s="200" t="e">
        <f aca="false">IF(A147="","",M146+K146+H146)</f>
        <v>#N/A</v>
      </c>
      <c r="Q146" s="204"/>
      <c r="R146" s="200" t="e">
        <f aca="false">IF($A147="","",VLOOKUP($A146,Table,MATCH(R$4,Curves,0)))</f>
        <v>#N/A</v>
      </c>
      <c r="S146" s="201" t="e">
        <f aca="false">IF(A147="","",R146)</f>
        <v>#N/A</v>
      </c>
      <c r="T146" s="200" t="e">
        <f aca="false">IF($A147="","",VLOOKUP($A146,Table,MATCH(T$4,Curves,0)))</f>
        <v>#N/A</v>
      </c>
      <c r="U146" s="201" t="e">
        <f aca="false">IF(A147="","",T146)</f>
        <v>#N/A</v>
      </c>
      <c r="V146" s="205" t="e">
        <f aca="false">IF($A147="","",IF(AND(MONTH(A146)&gt;3,MONTH(A146)&lt;11),(T146+R146+G146)*Summary!$T$10/(1-Summary!$T$10),(T146+R146+G146)*Summary!$U$10/(1-Summary!$U$10)))</f>
        <v>#N/A</v>
      </c>
      <c r="W146" s="200" t="e">
        <f aca="false">IF($A147="","",(T146+R146+G146+V146))</f>
        <v>#N/A</v>
      </c>
      <c r="X146" s="200" t="e">
        <f aca="false">IF($A147="","",(U146+S146+H146+V146))</f>
        <v>#N/A</v>
      </c>
      <c r="Y146" s="202"/>
      <c r="Z146" s="185" t="e">
        <f aca="false">IF($A147="","",VLOOKUP($A146,Table,MATCH(Z$4,Curves,0)))</f>
        <v>#N/A</v>
      </c>
      <c r="AA146" s="185" t="e">
        <f aca="false">IF($A147="","",VLOOKUP($A146,Table,MATCH(AA$4,Curves,0)))</f>
        <v>#N/A</v>
      </c>
      <c r="AB146" s="185" t="e">
        <f aca="false">SQRT((AA146^2*(A146-$D$3)+Z146^2*(DAY(EOMONTH(A146,0))/2))/AK146)</f>
        <v>#N/A</v>
      </c>
      <c r="AC146" s="185" t="e">
        <f aca="false">IF($A147="","",VLOOKUP($A146,Table,MATCH(AC$4,Curves,0)))</f>
        <v>#N/A</v>
      </c>
      <c r="AD146" s="185" t="e">
        <f aca="false">IF($A147="","",VLOOKUP($A146,Table,MATCH(AD$4,Curves,0)))</f>
        <v>#N/A</v>
      </c>
      <c r="AE146" s="185" t="e">
        <f aca="false">SQRT((AD146^2*(A146-$D$3)+AC146^2*(DAY(EOMONTH(A146,0))/2))/AK146)</f>
        <v>#N/A</v>
      </c>
      <c r="AF146" s="224" t="e">
        <f aca="false">((Summary!$N$10*(AA146*AD146)*(A146-$D$3))+(Summary!$M$10*Z146*AC146*(AJ146-EOMONTH(EDATE(A146,-1),0))))/(AK146*AB146*AE146)</f>
        <v>#N/A</v>
      </c>
      <c r="AG146" s="207" t="n">
        <f aca="false">IF($A147="","",Summary!$Q$10)</f>
        <v>0</v>
      </c>
      <c r="AH146" s="207" t="n">
        <f aca="false">IF($A147="","",IF(Summary!$R$10="Y",(VLOOKUP($A146,Summary!$AD$6:$AF$9,3)+'Escalating commodity'!F159),'Escalating commodity'!F159))</f>
        <v>0.0158208</v>
      </c>
      <c r="AI146" s="207" t="n">
        <f aca="false">IF($A147="","",AH146)</f>
        <v>0.0158208</v>
      </c>
      <c r="AJ146" s="208" t="n">
        <f aca="false">A146+DAY(EOMONTH(A146,0))/2-1</f>
        <v>41197.5</v>
      </c>
      <c r="AK146" s="209" t="n">
        <f aca="false">IF($A147="","",$A146-$E$1)</f>
        <v>-4743</v>
      </c>
      <c r="AL146" s="182" t="e">
        <f aca="false">IF($A147="","",SPRDOPT(P146,X146,AI146,0,AB146,AE146,AF146,AK146,$AJ$2,0))</f>
        <v>#NAME?</v>
      </c>
      <c r="AM146" s="211" t="e">
        <f aca="false">IF($A147="","",MAX(0,O146-W146-AI146))</f>
        <v>#N/A</v>
      </c>
      <c r="AN146" s="211" t="e">
        <f aca="false">IF($A147="","",AL146-AM146)</f>
        <v>#N/A</v>
      </c>
      <c r="AO146" s="137" t="n">
        <f aca="false">IF(A147="","",A147-A146)</f>
        <v>31</v>
      </c>
      <c r="AP146" s="212" t="n">
        <f aca="false">IF(A147="","",CHOOSE(F$3,A147+24,A146))</f>
        <v>41183</v>
      </c>
      <c r="AQ146" s="209" t="n">
        <f aca="false">IF(A147="","",AP146-$E$1)</f>
        <v>-4743</v>
      </c>
      <c r="AR146" s="185" t="n">
        <f aca="false">'ANR OK vs ML7'!AR146</f>
        <v>0.1</v>
      </c>
      <c r="AS146" s="213" t="n">
        <f aca="false">IF(A147="","",1/(1+CHOOSE(F$3,(AR147+($I$3/10000))/2,(AR146+($I$3/10000))/2))^(2*AQ146/365.25))</f>
        <v>3.55068902575806</v>
      </c>
      <c r="AT146" s="137" t="n">
        <f aca="false">IF(A147="","",IF(AND(mthbeg&lt;=A146,mthend&gt;=A146),1,0))</f>
        <v>1</v>
      </c>
      <c r="AU146" s="137" t="n">
        <f aca="false">IF(A147="","",AO146*AT146)</f>
        <v>31</v>
      </c>
      <c r="AW146" s="195" t="e">
        <f aca="false">IF($A147="","",AL146*$E146)</f>
        <v>#NAME?</v>
      </c>
      <c r="AX146" s="195" t="e">
        <f aca="false">IF($A147="","",AM146*$E146)</f>
        <v>#N/A</v>
      </c>
      <c r="AY146" s="195" t="e">
        <f aca="false">IF($A147="","",AN146*$E146)</f>
        <v>#N/A</v>
      </c>
      <c r="BA146" s="195" t="n">
        <f aca="false">IF($A147="","",F146*Summary!$Q$10)</f>
        <v>0</v>
      </c>
      <c r="BC146" s="179" t="e">
        <f aca="false">IF(A147="","",AM146*F146)</f>
        <v>#N/A</v>
      </c>
    </row>
    <row r="147" customFormat="false" ht="12.75" hidden="false" customHeight="false" outlineLevel="0" collapsed="false">
      <c r="A147" s="196" t="n">
        <f aca="false">IF(A146&lt;mthend,EDATE(A146,1),"")</f>
        <v>41214</v>
      </c>
      <c r="B147" s="197" t="n">
        <f aca="false">IF(A147&lt;mthend,B146,"")</f>
        <v>119740</v>
      </c>
      <c r="C147" s="215"/>
      <c r="D147" s="197" t="n">
        <f aca="false">IF(A148&lt;&gt;"",B147+C147,"")</f>
        <v>119740</v>
      </c>
      <c r="E147" s="199" t="n">
        <f aca="false">IF(A148="","",IF(AND(AT147=1,$H$3=1),D147*AO147,IF($H$3=2,D147,"N/A")))</f>
        <v>3592200</v>
      </c>
      <c r="F147" s="199" t="n">
        <f aca="false">IF(A148="","",E147*AS147)</f>
        <v>12649586.5753977</v>
      </c>
      <c r="G147" s="200" t="e">
        <f aca="false">IF($A148="","",VLOOKUP($A147,Table,MATCH(G$4,Curves,0)))</f>
        <v>#N/A</v>
      </c>
      <c r="H147" s="201" t="e">
        <f aca="false">IF(A148="","",G147)</f>
        <v>#N/A</v>
      </c>
      <c r="I147" s="202"/>
      <c r="J147" s="200" t="e">
        <f aca="false">IF($A148="","",VLOOKUP($A147,Table,MATCH(J$4,Curves,0)))</f>
        <v>#N/A</v>
      </c>
      <c r="K147" s="201" t="e">
        <f aca="false">IF(A148="","",J147)</f>
        <v>#N/A</v>
      </c>
      <c r="L147" s="185" t="n">
        <v>0</v>
      </c>
      <c r="M147" s="201" t="n">
        <f aca="false">IF(A148="","",L147)</f>
        <v>0</v>
      </c>
      <c r="N147" s="203"/>
      <c r="O147" s="200" t="e">
        <f aca="false">IF(A148="","",L147+J147+G147)</f>
        <v>#N/A</v>
      </c>
      <c r="P147" s="200" t="e">
        <f aca="false">IF(A148="","",M147+K147+H147)</f>
        <v>#N/A</v>
      </c>
      <c r="Q147" s="204"/>
      <c r="R147" s="200" t="e">
        <f aca="false">IF($A148="","",VLOOKUP($A147,Table,MATCH(R$4,Curves,0)))</f>
        <v>#N/A</v>
      </c>
      <c r="S147" s="201" t="e">
        <f aca="false">IF(A148="","",R147)</f>
        <v>#N/A</v>
      </c>
      <c r="T147" s="200" t="e">
        <f aca="false">IF($A148="","",VLOOKUP($A147,Table,MATCH(T$4,Curves,0)))</f>
        <v>#N/A</v>
      </c>
      <c r="U147" s="201" t="e">
        <f aca="false">IF(A148="","",T147)</f>
        <v>#N/A</v>
      </c>
      <c r="V147" s="205" t="e">
        <f aca="false">IF($A148="","",IF(AND(MONTH(A147)&gt;3,MONTH(A147)&lt;11),(T147+R147+G147)*Summary!$T$10/(1-Summary!$T$10),(T147+R147+G147)*Summary!$U$10/(1-Summary!$U$10)))</f>
        <v>#N/A</v>
      </c>
      <c r="W147" s="200" t="e">
        <f aca="false">IF($A148="","",(T147+R147+G147+V147))</f>
        <v>#N/A</v>
      </c>
      <c r="X147" s="200" t="e">
        <f aca="false">IF($A148="","",(U147+S147+H147+V147))</f>
        <v>#N/A</v>
      </c>
      <c r="Y147" s="202"/>
      <c r="Z147" s="185" t="e">
        <f aca="false">IF($A148="","",VLOOKUP($A147,Table,MATCH(Z$4,Curves,0)))</f>
        <v>#N/A</v>
      </c>
      <c r="AA147" s="185" t="e">
        <f aca="false">IF($A148="","",VLOOKUP($A147,Table,MATCH(AA$4,Curves,0)))</f>
        <v>#N/A</v>
      </c>
      <c r="AB147" s="185" t="e">
        <f aca="false">SQRT((AA147^2*(A147-$D$3)+Z147^2*(DAY(EOMONTH(A147,0))/2))/AK147)</f>
        <v>#N/A</v>
      </c>
      <c r="AC147" s="185" t="e">
        <f aca="false">IF($A148="","",VLOOKUP($A147,Table,MATCH(AC$4,Curves,0)))</f>
        <v>#N/A</v>
      </c>
      <c r="AD147" s="185" t="e">
        <f aca="false">IF($A148="","",VLOOKUP($A147,Table,MATCH(AD$4,Curves,0)))</f>
        <v>#N/A</v>
      </c>
      <c r="AE147" s="185" t="e">
        <f aca="false">SQRT((AD147^2*(A147-$D$3)+AC147^2*(DAY(EOMONTH(A147,0))/2))/AK147)</f>
        <v>#N/A</v>
      </c>
      <c r="AF147" s="224" t="e">
        <f aca="false">((Summary!$N$10*(AA147*AD147)*(A147-$D$3))+(Summary!$M$10*Z147*AC147*(AJ147-EOMONTH(EDATE(A147,-1),0))))/(AK147*AB147*AE147)</f>
        <v>#N/A</v>
      </c>
      <c r="AG147" s="207" t="n">
        <f aca="false">IF($A148="","",Summary!$Q$10)</f>
        <v>0</v>
      </c>
      <c r="AH147" s="207" t="n">
        <f aca="false">IF($A148="","",IF(Summary!$R$10="Y",(VLOOKUP($A147,Summary!$AD$6:$AF$9,3)+'Escalating commodity'!F160),'Escalating commodity'!F160))</f>
        <v>0.0158208</v>
      </c>
      <c r="AI147" s="207" t="n">
        <f aca="false">IF($A148="","",AH147)</f>
        <v>0.0158208</v>
      </c>
      <c r="AJ147" s="208" t="n">
        <f aca="false">A147+DAY(EOMONTH(A147,0))/2-1</f>
        <v>41228</v>
      </c>
      <c r="AK147" s="209" t="n">
        <f aca="false">IF($A148="","",$A147-$E$1)</f>
        <v>-4712</v>
      </c>
      <c r="AL147" s="182" t="e">
        <f aca="false">IF($A148="","",SPRDOPT(P147,X147,AI147,0,AB147,AE147,AF147,AK147,$AJ$2,0))</f>
        <v>#NAME?</v>
      </c>
      <c r="AM147" s="211" t="e">
        <f aca="false">IF($A148="","",MAX(0,O147-W147-AI147))</f>
        <v>#N/A</v>
      </c>
      <c r="AN147" s="211" t="e">
        <f aca="false">IF($A148="","",AL147-AM147)</f>
        <v>#N/A</v>
      </c>
      <c r="AO147" s="137" t="n">
        <f aca="false">IF(A148="","",A148-A147)</f>
        <v>30</v>
      </c>
      <c r="AP147" s="212" t="n">
        <f aca="false">IF(A148="","",CHOOSE(F$3,A148+24,A147))</f>
        <v>41214</v>
      </c>
      <c r="AQ147" s="209" t="n">
        <f aca="false">IF(A148="","",AP147-$E$1)</f>
        <v>-4712</v>
      </c>
      <c r="AR147" s="185" t="n">
        <f aca="false">'ANR OK vs ML7'!AR147</f>
        <v>0.1</v>
      </c>
      <c r="AS147" s="213" t="n">
        <f aca="false">IF(A148="","",1/(1+CHOOSE(F$3,(AR148+($I$3/10000))/2,(AR147+($I$3/10000))/2))^(2*AQ147/365.25))</f>
        <v>3.52140375686146</v>
      </c>
      <c r="AT147" s="137" t="n">
        <f aca="false">IF(A148="","",IF(AND(mthbeg&lt;=A147,mthend&gt;=A147),1,0))</f>
        <v>1</v>
      </c>
      <c r="AU147" s="137" t="n">
        <f aca="false">IF(A148="","",AO147*AT147)</f>
        <v>30</v>
      </c>
      <c r="AW147" s="195" t="e">
        <f aca="false">IF($A148="","",AL147*$E147)</f>
        <v>#NAME?</v>
      </c>
      <c r="AX147" s="195" t="e">
        <f aca="false">IF($A148="","",AM147*$E147)</f>
        <v>#N/A</v>
      </c>
      <c r="AY147" s="195" t="e">
        <f aca="false">IF($A148="","",AN147*$E147)</f>
        <v>#N/A</v>
      </c>
      <c r="BA147" s="195" t="n">
        <f aca="false">IF($A148="","",F147*Summary!$Q$10)</f>
        <v>0</v>
      </c>
      <c r="BC147" s="179" t="e">
        <f aca="false">IF(A148="","",AM147*F147)</f>
        <v>#N/A</v>
      </c>
    </row>
    <row r="148" customFormat="false" ht="12.75" hidden="false" customHeight="false" outlineLevel="0" collapsed="false">
      <c r="A148" s="196" t="n">
        <f aca="false">IF(A147&lt;mthend,EDATE(A147,1),"")</f>
        <v>41244</v>
      </c>
      <c r="B148" s="197" t="n">
        <f aca="false">IF(A148&lt;mthend,B147,"")</f>
        <v>119740</v>
      </c>
      <c r="C148" s="215"/>
      <c r="D148" s="197" t="n">
        <f aca="false">IF(A149&lt;&gt;"",B148+C148,"")</f>
        <v>119740</v>
      </c>
      <c r="E148" s="199" t="n">
        <f aca="false">IF(A149="","",IF(AND(AT148=1,$H$3=1),D148*AO148,IF($H$3=2,D148,"N/A")))</f>
        <v>3711940</v>
      </c>
      <c r="F148" s="199" t="n">
        <f aca="false">IF(A149="","",E148*AS148)</f>
        <v>12966894.653232</v>
      </c>
      <c r="G148" s="200" t="e">
        <f aca="false">IF($A149="","",VLOOKUP($A148,Table,MATCH(G$4,Curves,0)))</f>
        <v>#N/A</v>
      </c>
      <c r="H148" s="201" t="e">
        <f aca="false">IF(A149="","",G148)</f>
        <v>#N/A</v>
      </c>
      <c r="I148" s="202"/>
      <c r="J148" s="200" t="e">
        <f aca="false">IF($A149="","",VLOOKUP($A148,Table,MATCH(J$4,Curves,0)))</f>
        <v>#N/A</v>
      </c>
      <c r="K148" s="201" t="e">
        <f aca="false">IF(A149="","",J148)</f>
        <v>#N/A</v>
      </c>
      <c r="L148" s="185" t="n">
        <v>0</v>
      </c>
      <c r="M148" s="201" t="n">
        <f aca="false">IF(A149="","",L148)</f>
        <v>0</v>
      </c>
      <c r="N148" s="203"/>
      <c r="O148" s="200" t="e">
        <f aca="false">IF(A149="","",L148+J148+G148)</f>
        <v>#N/A</v>
      </c>
      <c r="P148" s="200" t="e">
        <f aca="false">IF(A149="","",M148+K148+H148)</f>
        <v>#N/A</v>
      </c>
      <c r="Q148" s="204"/>
      <c r="R148" s="200" t="e">
        <f aca="false">IF($A149="","",VLOOKUP($A148,Table,MATCH(R$4,Curves,0)))</f>
        <v>#N/A</v>
      </c>
      <c r="S148" s="201" t="e">
        <f aca="false">IF(A149="","",R148)</f>
        <v>#N/A</v>
      </c>
      <c r="T148" s="200" t="e">
        <f aca="false">IF($A149="","",VLOOKUP($A148,Table,MATCH(T$4,Curves,0)))</f>
        <v>#N/A</v>
      </c>
      <c r="U148" s="201" t="e">
        <f aca="false">IF(A149="","",T148)</f>
        <v>#N/A</v>
      </c>
      <c r="V148" s="205" t="e">
        <f aca="false">IF($A149="","",IF(AND(MONTH(A148)&gt;3,MONTH(A148)&lt;11),(T148+R148+G148)*Summary!$T$10/(1-Summary!$T$10),(T148+R148+G148)*Summary!$U$10/(1-Summary!$U$10)))</f>
        <v>#N/A</v>
      </c>
      <c r="W148" s="200" t="e">
        <f aca="false">IF($A149="","",(T148+R148+G148+V148))</f>
        <v>#N/A</v>
      </c>
      <c r="X148" s="200" t="e">
        <f aca="false">IF($A149="","",(U148+S148+H148+V148))</f>
        <v>#N/A</v>
      </c>
      <c r="Y148" s="202"/>
      <c r="Z148" s="185" t="e">
        <f aca="false">IF($A149="","",VLOOKUP($A148,Table,MATCH(Z$4,Curves,0)))</f>
        <v>#N/A</v>
      </c>
      <c r="AA148" s="185" t="e">
        <f aca="false">IF($A149="","",VLOOKUP($A148,Table,MATCH(AA$4,Curves,0)))</f>
        <v>#N/A</v>
      </c>
      <c r="AB148" s="185" t="e">
        <f aca="false">SQRT((AA148^2*(A148-$D$3)+Z148^2*(DAY(EOMONTH(A148,0))/2))/AK148)</f>
        <v>#N/A</v>
      </c>
      <c r="AC148" s="185" t="e">
        <f aca="false">IF($A149="","",VLOOKUP($A148,Table,MATCH(AC$4,Curves,0)))</f>
        <v>#N/A</v>
      </c>
      <c r="AD148" s="185" t="e">
        <f aca="false">IF($A149="","",VLOOKUP($A148,Table,MATCH(AD$4,Curves,0)))</f>
        <v>#N/A</v>
      </c>
      <c r="AE148" s="185" t="e">
        <f aca="false">SQRT((AD148^2*(A148-$D$3)+AC148^2*(DAY(EOMONTH(A148,0))/2))/AK148)</f>
        <v>#N/A</v>
      </c>
      <c r="AF148" s="224" t="e">
        <f aca="false">((Summary!$N$10*(AA148*AD148)*(A148-$D$3))+(Summary!$M$10*Z148*AC148*(AJ148-EOMONTH(EDATE(A148,-1),0))))/(AK148*AB148*AE148)</f>
        <v>#N/A</v>
      </c>
      <c r="AG148" s="207" t="n">
        <f aca="false">IF($A149="","",Summary!$Q$10)</f>
        <v>0</v>
      </c>
      <c r="AH148" s="207" t="n">
        <f aca="false">IF($A149="","",IF(Summary!$R$10="Y",(VLOOKUP($A148,Summary!$AD$6:$AF$9,3)+'Escalating commodity'!F161),'Escalating commodity'!F161))</f>
        <v>0.0158208</v>
      </c>
      <c r="AI148" s="207" t="n">
        <f aca="false">IF($A149="","",AH148)</f>
        <v>0.0158208</v>
      </c>
      <c r="AJ148" s="208" t="n">
        <f aca="false">A148+DAY(EOMONTH(A148,0))/2-1</f>
        <v>41258.5</v>
      </c>
      <c r="AK148" s="209" t="n">
        <f aca="false">IF($A149="","",$A148-$E$1)</f>
        <v>-4682</v>
      </c>
      <c r="AL148" s="182" t="e">
        <f aca="false">IF($A149="","",SPRDOPT(P148,X148,AI148,0,AB148,AE148,AF148,AK148,$AJ$2,0))</f>
        <v>#NAME?</v>
      </c>
      <c r="AM148" s="211" t="e">
        <f aca="false">IF($A149="","",MAX(0,O148-W148-AI148))</f>
        <v>#N/A</v>
      </c>
      <c r="AN148" s="211" t="e">
        <f aca="false">IF($A149="","",AL148-AM148)</f>
        <v>#N/A</v>
      </c>
      <c r="AO148" s="137" t="n">
        <f aca="false">IF(A149="","",A149-A148)</f>
        <v>31</v>
      </c>
      <c r="AP148" s="212" t="n">
        <f aca="false">IF(A149="","",CHOOSE(F$3,A149+24,A148))</f>
        <v>41244</v>
      </c>
      <c r="AQ148" s="209" t="n">
        <f aca="false">IF(A149="","",AP148-$E$1)</f>
        <v>-4682</v>
      </c>
      <c r="AR148" s="185" t="n">
        <f aca="false">'ANR OK vs ML7'!AR148</f>
        <v>0.1</v>
      </c>
      <c r="AS148" s="213" t="n">
        <f aca="false">IF(A149="","",1/(1+CHOOSE(F$3,(AR149+($I$3/10000))/2,(AR148+($I$3/10000))/2))^(2*AQ148/365.25))</f>
        <v>3.49329317101892</v>
      </c>
      <c r="AT148" s="137" t="n">
        <f aca="false">IF(A149="","",IF(AND(mthbeg&lt;=A148,mthend&gt;=A148),1,0))</f>
        <v>1</v>
      </c>
      <c r="AU148" s="137" t="n">
        <f aca="false">IF(A149="","",AO148*AT148)</f>
        <v>31</v>
      </c>
      <c r="AW148" s="195" t="e">
        <f aca="false">IF($A149="","",AL148*$E148)</f>
        <v>#NAME?</v>
      </c>
      <c r="AX148" s="195" t="e">
        <f aca="false">IF($A149="","",AM148*$E148)</f>
        <v>#N/A</v>
      </c>
      <c r="AY148" s="195" t="e">
        <f aca="false">IF($A149="","",AN148*$E148)</f>
        <v>#N/A</v>
      </c>
      <c r="BA148" s="195" t="n">
        <f aca="false">IF($A149="","",F148*Summary!$Q$10)</f>
        <v>0</v>
      </c>
      <c r="BC148" s="179" t="e">
        <f aca="false">IF(A149="","",AM148*F148)</f>
        <v>#N/A</v>
      </c>
    </row>
    <row r="149" customFormat="false" ht="12.75" hidden="false" customHeight="false" outlineLevel="0" collapsed="false">
      <c r="A149" s="196" t="n">
        <f aca="false">IF(A148&lt;mthend,EDATE(A148,1),"")</f>
        <v>41275</v>
      </c>
      <c r="B149" s="197" t="n">
        <f aca="false">IF(A149&lt;mthend,B148,"")</f>
        <v>119740</v>
      </c>
      <c r="C149" s="215"/>
      <c r="D149" s="197" t="n">
        <f aca="false">IF(A150&lt;&gt;"",B149+C149,"")</f>
        <v>119740</v>
      </c>
      <c r="E149" s="199" t="n">
        <f aca="false">IF(A150="","",IF(AND(AT149=1,$H$3=1),D149*AO149,IF($H$3=2,D149,"N/A")))</f>
        <v>3711940</v>
      </c>
      <c r="F149" s="199" t="n">
        <f aca="false">IF(A150="","",E149*AS149)</f>
        <v>12859946.6794953</v>
      </c>
      <c r="G149" s="200" t="e">
        <f aca="false">IF($A150="","",VLOOKUP($A149,Table,MATCH(G$4,Curves,0)))</f>
        <v>#N/A</v>
      </c>
      <c r="H149" s="201" t="e">
        <f aca="false">IF(A150="","",G149)</f>
        <v>#N/A</v>
      </c>
      <c r="I149" s="202"/>
      <c r="J149" s="200" t="e">
        <f aca="false">IF($A150="","",VLOOKUP($A149,Table,MATCH(J$4,Curves,0)))</f>
        <v>#N/A</v>
      </c>
      <c r="K149" s="201" t="e">
        <f aca="false">IF(A150="","",J149)</f>
        <v>#N/A</v>
      </c>
      <c r="L149" s="185" t="n">
        <v>0</v>
      </c>
      <c r="M149" s="201" t="n">
        <f aca="false">IF(A150="","",L149)</f>
        <v>0</v>
      </c>
      <c r="N149" s="203"/>
      <c r="O149" s="200" t="e">
        <f aca="false">IF(A150="","",L149+J149+G149)</f>
        <v>#N/A</v>
      </c>
      <c r="P149" s="200" t="e">
        <f aca="false">IF(A150="","",M149+K149+H149)</f>
        <v>#N/A</v>
      </c>
      <c r="Q149" s="204"/>
      <c r="R149" s="200" t="e">
        <f aca="false">IF($A150="","",VLOOKUP($A149,Table,MATCH(R$4,Curves,0)))</f>
        <v>#N/A</v>
      </c>
      <c r="S149" s="201" t="e">
        <f aca="false">IF(A150="","",R149)</f>
        <v>#N/A</v>
      </c>
      <c r="T149" s="200" t="e">
        <f aca="false">IF($A150="","",VLOOKUP($A149,Table,MATCH(T$4,Curves,0)))</f>
        <v>#N/A</v>
      </c>
      <c r="U149" s="201" t="e">
        <f aca="false">IF(A150="","",T149)</f>
        <v>#N/A</v>
      </c>
      <c r="V149" s="205" t="e">
        <f aca="false">IF($A150="","",IF(AND(MONTH(A149)&gt;3,MONTH(A149)&lt;11),(T149+R149+G149)*Summary!$T$10/(1-Summary!$T$10),(T149+R149+G149)*Summary!$U$10/(1-Summary!$U$10)))</f>
        <v>#N/A</v>
      </c>
      <c r="W149" s="200" t="e">
        <f aca="false">IF($A150="","",(T149+R149+G149+V149))</f>
        <v>#N/A</v>
      </c>
      <c r="X149" s="200" t="e">
        <f aca="false">IF($A150="","",(U149+S149+H149+V149))</f>
        <v>#N/A</v>
      </c>
      <c r="Y149" s="202"/>
      <c r="Z149" s="185" t="e">
        <f aca="false">IF($A150="","",VLOOKUP($A149,Table,MATCH(Z$4,Curves,0)))</f>
        <v>#N/A</v>
      </c>
      <c r="AA149" s="185" t="e">
        <f aca="false">IF($A150="","",VLOOKUP($A149,Table,MATCH(AA$4,Curves,0)))</f>
        <v>#N/A</v>
      </c>
      <c r="AB149" s="185" t="e">
        <f aca="false">SQRT((AA149^2*(A149-$D$3)+Z149^2*(DAY(EOMONTH(A149,0))/2))/AK149)</f>
        <v>#N/A</v>
      </c>
      <c r="AC149" s="185" t="e">
        <f aca="false">IF($A150="","",VLOOKUP($A149,Table,MATCH(AC$4,Curves,0)))</f>
        <v>#N/A</v>
      </c>
      <c r="AD149" s="185" t="e">
        <f aca="false">IF($A150="","",VLOOKUP($A149,Table,MATCH(AD$4,Curves,0)))</f>
        <v>#N/A</v>
      </c>
      <c r="AE149" s="185" t="e">
        <f aca="false">SQRT((AD149^2*(A149-$D$3)+AC149^2*(DAY(EOMONTH(A149,0))/2))/AK149)</f>
        <v>#N/A</v>
      </c>
      <c r="AF149" s="224" t="e">
        <f aca="false">((Summary!$N$10*(AA149*AD149)*(A149-$D$3))+(Summary!$M$10*Z149*AC149*(AJ149-EOMONTH(EDATE(A149,-1),0))))/(AK149*AB149*AE149)</f>
        <v>#N/A</v>
      </c>
      <c r="AG149" s="207" t="n">
        <f aca="false">IF($A150="","",Summary!$Q$10)</f>
        <v>0</v>
      </c>
      <c r="AH149" s="207" t="n">
        <f aca="false">IF($A150="","",IF(Summary!$R$10="Y",(VLOOKUP($A149,Summary!$AD$6:$AF$9,3)+'Escalating commodity'!F162),'Escalating commodity'!F162))</f>
        <v>0.0158208</v>
      </c>
      <c r="AI149" s="207" t="n">
        <f aca="false">IF($A150="","",AH149)</f>
        <v>0.0158208</v>
      </c>
      <c r="AJ149" s="208" t="n">
        <f aca="false">A149+DAY(EOMONTH(A149,0))/2-1</f>
        <v>41289.5</v>
      </c>
      <c r="AK149" s="209" t="n">
        <f aca="false">IF($A150="","",$A149-$E$1)</f>
        <v>-4651</v>
      </c>
      <c r="AL149" s="182" t="e">
        <f aca="false">IF($A150="","",SPRDOPT(P149,X149,AI149,0,AB149,AE149,AF149,AK149,$AJ$2,0))</f>
        <v>#NAME?</v>
      </c>
      <c r="AM149" s="211" t="e">
        <f aca="false">IF($A150="","",MAX(0,O149-W149-AI149))</f>
        <v>#N/A</v>
      </c>
      <c r="AN149" s="211" t="e">
        <f aca="false">IF($A150="","",AL149-AM149)</f>
        <v>#N/A</v>
      </c>
      <c r="AO149" s="137" t="n">
        <f aca="false">IF(A150="","",A150-A149)</f>
        <v>31</v>
      </c>
      <c r="AP149" s="212" t="n">
        <f aca="false">IF(A150="","",CHOOSE(F$3,A150+24,A149))</f>
        <v>41275</v>
      </c>
      <c r="AQ149" s="209" t="n">
        <f aca="false">IF(A150="","",AP149-$E$1)</f>
        <v>-4651</v>
      </c>
      <c r="AR149" s="185" t="n">
        <f aca="false">'ANR OK vs ML7'!AR149</f>
        <v>0.1</v>
      </c>
      <c r="AS149" s="213" t="n">
        <f aca="false">IF(A150="","",1/(1+CHOOSE(F$3,(AR150+($I$3/10000))/2,(AR149+($I$3/10000))/2))^(2*AQ149/365.25))</f>
        <v>3.4644812899711</v>
      </c>
      <c r="AT149" s="137" t="n">
        <f aca="false">IF(A150="","",IF(AND(mthbeg&lt;=A149,mthend&gt;=A149),1,0))</f>
        <v>1</v>
      </c>
      <c r="AU149" s="137" t="n">
        <f aca="false">IF(A150="","",AO149*AT149)</f>
        <v>31</v>
      </c>
      <c r="AW149" s="195" t="e">
        <f aca="false">IF($A150="","",AL149*$E149)</f>
        <v>#NAME?</v>
      </c>
      <c r="AX149" s="195" t="e">
        <f aca="false">IF($A150="","",AM149*$E149)</f>
        <v>#N/A</v>
      </c>
      <c r="AY149" s="195" t="e">
        <f aca="false">IF($A150="","",AN149*$E149)</f>
        <v>#N/A</v>
      </c>
      <c r="BA149" s="195" t="n">
        <f aca="false">IF($A150="","",F149*Summary!$Q$10)</f>
        <v>0</v>
      </c>
      <c r="BC149" s="179" t="e">
        <f aca="false">IF(A150="","",AM149*F149)</f>
        <v>#N/A</v>
      </c>
    </row>
    <row r="150" customFormat="false" ht="12.75" hidden="false" customHeight="false" outlineLevel="0" collapsed="false">
      <c r="A150" s="196" t="n">
        <f aca="false">IF(A149&lt;mthend,EDATE(A149,1),"")</f>
        <v>41306</v>
      </c>
      <c r="B150" s="197" t="n">
        <f aca="false">IF(A150&lt;mthend,B149,"")</f>
        <v>119740</v>
      </c>
      <c r="C150" s="215"/>
      <c r="D150" s="197" t="n">
        <f aca="false">IF(A151&lt;&gt;"",B150+C150,"")</f>
        <v>119740</v>
      </c>
      <c r="E150" s="199" t="n">
        <f aca="false">IF(A151="","",IF(AND(AT150=1,$H$3=1),D150*AO150,IF($H$3=2,D150,"N/A")))</f>
        <v>3352720</v>
      </c>
      <c r="F150" s="199" t="n">
        <f aca="false">IF(A151="","",E150*AS150)</f>
        <v>11519634.2602396</v>
      </c>
      <c r="G150" s="200" t="e">
        <f aca="false">IF($A151="","",VLOOKUP($A150,Table,MATCH(G$4,Curves,0)))</f>
        <v>#N/A</v>
      </c>
      <c r="H150" s="201" t="e">
        <f aca="false">IF(A151="","",G150)</f>
        <v>#N/A</v>
      </c>
      <c r="I150" s="202"/>
      <c r="J150" s="200" t="e">
        <f aca="false">IF($A151="","",VLOOKUP($A150,Table,MATCH(J$4,Curves,0)))</f>
        <v>#N/A</v>
      </c>
      <c r="K150" s="201" t="e">
        <f aca="false">IF(A151="","",J150)</f>
        <v>#N/A</v>
      </c>
      <c r="L150" s="185" t="n">
        <v>0</v>
      </c>
      <c r="M150" s="201" t="n">
        <f aca="false">IF(A151="","",L150)</f>
        <v>0</v>
      </c>
      <c r="N150" s="203"/>
      <c r="O150" s="200" t="e">
        <f aca="false">IF(A151="","",L150+J150+G150)</f>
        <v>#N/A</v>
      </c>
      <c r="P150" s="200" t="e">
        <f aca="false">IF(A151="","",M150+K150+H150)</f>
        <v>#N/A</v>
      </c>
      <c r="Q150" s="204"/>
      <c r="R150" s="200" t="e">
        <f aca="false">IF($A151="","",VLOOKUP($A150,Table,MATCH(R$4,Curves,0)))</f>
        <v>#N/A</v>
      </c>
      <c r="S150" s="201" t="e">
        <f aca="false">IF(A151="","",R150)</f>
        <v>#N/A</v>
      </c>
      <c r="T150" s="200" t="e">
        <f aca="false">IF($A151="","",VLOOKUP($A150,Table,MATCH(T$4,Curves,0)))</f>
        <v>#N/A</v>
      </c>
      <c r="U150" s="201" t="e">
        <f aca="false">IF(A151="","",T150)</f>
        <v>#N/A</v>
      </c>
      <c r="V150" s="205" t="e">
        <f aca="false">IF($A151="","",IF(AND(MONTH(A150)&gt;3,MONTH(A150)&lt;11),(T150+R150+G150)*Summary!$T$10/(1-Summary!$T$10),(T150+R150+G150)*Summary!$U$10/(1-Summary!$U$10)))</f>
        <v>#N/A</v>
      </c>
      <c r="W150" s="200" t="e">
        <f aca="false">IF($A151="","",(T150+R150+G150+V150))</f>
        <v>#N/A</v>
      </c>
      <c r="X150" s="200" t="e">
        <f aca="false">IF($A151="","",(U150+S150+H150+V150))</f>
        <v>#N/A</v>
      </c>
      <c r="Y150" s="202"/>
      <c r="Z150" s="185" t="e">
        <f aca="false">IF($A151="","",VLOOKUP($A150,Table,MATCH(Z$4,Curves,0)))</f>
        <v>#N/A</v>
      </c>
      <c r="AA150" s="185" t="e">
        <f aca="false">IF($A151="","",VLOOKUP($A150,Table,MATCH(AA$4,Curves,0)))</f>
        <v>#N/A</v>
      </c>
      <c r="AB150" s="185" t="e">
        <f aca="false">SQRT((AA150^2*(A150-$D$3)+Z150^2*(DAY(EOMONTH(A150,0))/2))/AK150)</f>
        <v>#N/A</v>
      </c>
      <c r="AC150" s="185" t="e">
        <f aca="false">IF($A151="","",VLOOKUP($A150,Table,MATCH(AC$4,Curves,0)))</f>
        <v>#N/A</v>
      </c>
      <c r="AD150" s="185" t="e">
        <f aca="false">IF($A151="","",VLOOKUP($A150,Table,MATCH(AD$4,Curves,0)))</f>
        <v>#N/A</v>
      </c>
      <c r="AE150" s="185" t="e">
        <f aca="false">SQRT((AD150^2*(A150-$D$3)+AC150^2*(DAY(EOMONTH(A150,0))/2))/AK150)</f>
        <v>#N/A</v>
      </c>
      <c r="AF150" s="224" t="e">
        <f aca="false">((Summary!$N$10*(AA150*AD150)*(A150-$D$3))+(Summary!$M$10*Z150*AC150*(AJ150-EOMONTH(EDATE(A150,-1),0))))/(AK150*AB150*AE150)</f>
        <v>#N/A</v>
      </c>
      <c r="AG150" s="207" t="n">
        <f aca="false">IF($A151="","",Summary!$Q$10)</f>
        <v>0</v>
      </c>
      <c r="AH150" s="207" t="n">
        <f aca="false">IF($A151="","",IF(Summary!$R$10="Y",(VLOOKUP($A150,Summary!$AD$6:$AF$9,3)+'Escalating commodity'!F163),'Escalating commodity'!F163))</f>
        <v>0.0158208</v>
      </c>
      <c r="AI150" s="207" t="n">
        <f aca="false">IF($A151="","",AH150)</f>
        <v>0.0158208</v>
      </c>
      <c r="AJ150" s="208" t="n">
        <f aca="false">A150+DAY(EOMONTH(A150,0))/2-1</f>
        <v>41319</v>
      </c>
      <c r="AK150" s="209" t="n">
        <f aca="false">IF($A151="","",$A150-$E$1)</f>
        <v>-4620</v>
      </c>
      <c r="AL150" s="182" t="e">
        <f aca="false">IF($A151="","",SPRDOPT(P150,X150,AI150,0,AB150,AE150,AF150,AK150,$AJ$2,0))</f>
        <v>#NAME?</v>
      </c>
      <c r="AM150" s="211" t="e">
        <f aca="false">IF($A151="","",MAX(0,O150-W150-AI150))</f>
        <v>#N/A</v>
      </c>
      <c r="AN150" s="211" t="e">
        <f aca="false">IF($A151="","",AL150-AM150)</f>
        <v>#N/A</v>
      </c>
      <c r="AO150" s="137" t="n">
        <f aca="false">IF(A151="","",A151-A150)</f>
        <v>28</v>
      </c>
      <c r="AP150" s="212" t="n">
        <f aca="false">IF(A151="","",CHOOSE(F$3,A151+24,A150))</f>
        <v>41306</v>
      </c>
      <c r="AQ150" s="209" t="n">
        <f aca="false">IF(A151="","",AP150-$E$1)</f>
        <v>-4620</v>
      </c>
      <c r="AR150" s="185" t="n">
        <f aca="false">'ANR OK vs ML7'!AR150</f>
        <v>0.1</v>
      </c>
      <c r="AS150" s="213" t="n">
        <f aca="false">IF(A151="","",1/(1+CHOOSE(F$3,(AR151+($I$3/10000))/2,(AR150+($I$3/10000))/2))^(2*AQ150/365.25))</f>
        <v>3.43590704271147</v>
      </c>
      <c r="AT150" s="137" t="n">
        <f aca="false">IF(A151="","",IF(AND(mthbeg&lt;=A150,mthend&gt;=A150),1,0))</f>
        <v>1</v>
      </c>
      <c r="AU150" s="137" t="n">
        <f aca="false">IF(A151="","",AO150*AT150)</f>
        <v>28</v>
      </c>
      <c r="AW150" s="195" t="e">
        <f aca="false">IF($A151="","",AL150*$E150)</f>
        <v>#NAME?</v>
      </c>
      <c r="AX150" s="195" t="e">
        <f aca="false">IF($A151="","",AM150*$E150)</f>
        <v>#N/A</v>
      </c>
      <c r="AY150" s="195" t="e">
        <f aca="false">IF($A151="","",AN150*$E150)</f>
        <v>#N/A</v>
      </c>
      <c r="BA150" s="195" t="n">
        <f aca="false">IF($A151="","",F150*Summary!$Q$10)</f>
        <v>0</v>
      </c>
      <c r="BC150" s="179" t="e">
        <f aca="false">IF(A151="","",AM150*F150)</f>
        <v>#N/A</v>
      </c>
    </row>
    <row r="151" customFormat="false" ht="12.75" hidden="false" customHeight="false" outlineLevel="0" collapsed="false">
      <c r="A151" s="196" t="n">
        <f aca="false">IF(A150&lt;mthend,EDATE(A150,1),"")</f>
        <v>41334</v>
      </c>
      <c r="B151" s="197" t="n">
        <f aca="false">IF(A151&lt;mthend,B150,"")</f>
        <v>119740</v>
      </c>
      <c r="C151" s="215"/>
      <c r="D151" s="197" t="n">
        <f aca="false">IF(A152&lt;&gt;"",B151+C151,"")</f>
        <v>119740</v>
      </c>
      <c r="E151" s="199" t="n">
        <f aca="false">IF(A152="","",IF(AND(AT151=1,$H$3=1),D151*AO151,IF($H$3=2,D151,"N/A")))</f>
        <v>3711940</v>
      </c>
      <c r="F151" s="199" t="n">
        <f aca="false">IF(A152="","",E151*AS151)</f>
        <v>12658831.4537639</v>
      </c>
      <c r="G151" s="200" t="e">
        <f aca="false">IF($A152="","",VLOOKUP($A151,Table,MATCH(G$4,Curves,0)))</f>
        <v>#N/A</v>
      </c>
      <c r="H151" s="201" t="e">
        <f aca="false">IF(A152="","",G151)</f>
        <v>#N/A</v>
      </c>
      <c r="I151" s="202"/>
      <c r="J151" s="200" t="e">
        <f aca="false">IF($A152="","",VLOOKUP($A151,Table,MATCH(J$4,Curves,0)))</f>
        <v>#N/A</v>
      </c>
      <c r="K151" s="201" t="e">
        <f aca="false">IF(A152="","",J151)</f>
        <v>#N/A</v>
      </c>
      <c r="L151" s="185" t="n">
        <v>0</v>
      </c>
      <c r="M151" s="201" t="n">
        <f aca="false">IF(A152="","",L151)</f>
        <v>0</v>
      </c>
      <c r="N151" s="203"/>
      <c r="O151" s="200" t="e">
        <f aca="false">IF(A152="","",L151+J151+G151)</f>
        <v>#N/A</v>
      </c>
      <c r="P151" s="200" t="e">
        <f aca="false">IF(A152="","",M151+K151+H151)</f>
        <v>#N/A</v>
      </c>
      <c r="Q151" s="204"/>
      <c r="R151" s="200" t="e">
        <f aca="false">IF($A152="","",VLOOKUP($A151,Table,MATCH(R$4,Curves,0)))</f>
        <v>#N/A</v>
      </c>
      <c r="S151" s="201" t="e">
        <f aca="false">IF(A152="","",R151)</f>
        <v>#N/A</v>
      </c>
      <c r="T151" s="200" t="e">
        <f aca="false">IF($A152="","",VLOOKUP($A151,Table,MATCH(T$4,Curves,0)))</f>
        <v>#N/A</v>
      </c>
      <c r="U151" s="201" t="e">
        <f aca="false">IF(A152="","",T151)</f>
        <v>#N/A</v>
      </c>
      <c r="V151" s="205" t="e">
        <f aca="false">IF($A152="","",IF(AND(MONTH(A151)&gt;3,MONTH(A151)&lt;11),(T151+R151+G151)*Summary!$T$10/(1-Summary!$T$10),(T151+R151+G151)*Summary!$U$10/(1-Summary!$U$10)))</f>
        <v>#N/A</v>
      </c>
      <c r="W151" s="200" t="e">
        <f aca="false">IF($A152="","",(T151+R151+G151+V151))</f>
        <v>#N/A</v>
      </c>
      <c r="X151" s="200" t="e">
        <f aca="false">IF($A152="","",(U151+S151+H151+V151))</f>
        <v>#N/A</v>
      </c>
      <c r="Y151" s="202"/>
      <c r="Z151" s="185" t="e">
        <f aca="false">IF($A152="","",VLOOKUP($A151,Table,MATCH(Z$4,Curves,0)))</f>
        <v>#N/A</v>
      </c>
      <c r="AA151" s="185" t="e">
        <f aca="false">IF($A152="","",VLOOKUP($A151,Table,MATCH(AA$4,Curves,0)))</f>
        <v>#N/A</v>
      </c>
      <c r="AB151" s="185" t="e">
        <f aca="false">SQRT((AA151^2*(A151-$D$3)+Z151^2*(DAY(EOMONTH(A151,0))/2))/AK151)</f>
        <v>#N/A</v>
      </c>
      <c r="AC151" s="185" t="e">
        <f aca="false">IF($A152="","",VLOOKUP($A151,Table,MATCH(AC$4,Curves,0)))</f>
        <v>#N/A</v>
      </c>
      <c r="AD151" s="185" t="e">
        <f aca="false">IF($A152="","",VLOOKUP($A151,Table,MATCH(AD$4,Curves,0)))</f>
        <v>#N/A</v>
      </c>
      <c r="AE151" s="185" t="e">
        <f aca="false">SQRT((AD151^2*(A151-$D$3)+AC151^2*(DAY(EOMONTH(A151,0))/2))/AK151)</f>
        <v>#N/A</v>
      </c>
      <c r="AF151" s="224" t="e">
        <f aca="false">((Summary!$N$10*(AA151*AD151)*(A151-$D$3))+(Summary!$M$10*Z151*AC151*(AJ151-EOMONTH(EDATE(A151,-1),0))))/(AK151*AB151*AE151)</f>
        <v>#N/A</v>
      </c>
      <c r="AG151" s="207" t="n">
        <f aca="false">IF($A152="","",Summary!$Q$10)</f>
        <v>0</v>
      </c>
      <c r="AH151" s="207" t="n">
        <f aca="false">IF($A152="","",IF(Summary!$R$10="Y",(VLOOKUP($A151,Summary!$AD$6:$AF$9,3)+'Escalating commodity'!F164),'Escalating commodity'!F164))</f>
        <v>0.0158208</v>
      </c>
      <c r="AI151" s="207" t="n">
        <f aca="false">IF($A152="","",AH151)</f>
        <v>0.0158208</v>
      </c>
      <c r="AJ151" s="208" t="n">
        <f aca="false">A151+DAY(EOMONTH(A151,0))/2-1</f>
        <v>41348.5</v>
      </c>
      <c r="AK151" s="209" t="n">
        <f aca="false">IF($A152="","",$A151-$E$1)</f>
        <v>-4592</v>
      </c>
      <c r="AL151" s="182" t="e">
        <f aca="false">IF($A152="","",SPRDOPT(P151,X151,AI151,0,AB151,AE151,AF151,AK151,$AJ$2,0))</f>
        <v>#NAME?</v>
      </c>
      <c r="AM151" s="211" t="e">
        <f aca="false">IF($A152="","",MAX(0,O151-W151-AI151))</f>
        <v>#N/A</v>
      </c>
      <c r="AN151" s="211" t="e">
        <f aca="false">IF($A152="","",AL151-AM151)</f>
        <v>#N/A</v>
      </c>
      <c r="AO151" s="137" t="n">
        <f aca="false">IF(A152="","",A152-A151)</f>
        <v>31</v>
      </c>
      <c r="AP151" s="212" t="n">
        <f aca="false">IF(A152="","",CHOOSE(F$3,A152+24,A151))</f>
        <v>41334</v>
      </c>
      <c r="AQ151" s="209" t="n">
        <f aca="false">IF(A152="","",AP151-$E$1)</f>
        <v>-4592</v>
      </c>
      <c r="AR151" s="185" t="n">
        <f aca="false">'ANR OK vs ML7'!AR151</f>
        <v>0.1</v>
      </c>
      <c r="AS151" s="213" t="n">
        <f aca="false">IF(A152="","",1/(1+CHOOSE(F$3,(AR152+($I$3/10000))/2,(AR151+($I$3/10000))/2))^(2*AQ151/365.25))</f>
        <v>3.41030066589544</v>
      </c>
      <c r="AT151" s="137" t="n">
        <f aca="false">IF(A152="","",IF(AND(mthbeg&lt;=A151,mthend&gt;=A151),1,0))</f>
        <v>1</v>
      </c>
      <c r="AU151" s="137" t="n">
        <f aca="false">IF(A152="","",AO151*AT151)</f>
        <v>31</v>
      </c>
      <c r="AW151" s="195" t="e">
        <f aca="false">IF($A152="","",AL151*$E151)</f>
        <v>#NAME?</v>
      </c>
      <c r="AX151" s="195" t="e">
        <f aca="false">IF($A152="","",AM151*$E151)</f>
        <v>#N/A</v>
      </c>
      <c r="AY151" s="195" t="e">
        <f aca="false">IF($A152="","",AN151*$E151)</f>
        <v>#N/A</v>
      </c>
      <c r="BA151" s="195" t="n">
        <f aca="false">IF($A152="","",F151*Summary!$Q$10)</f>
        <v>0</v>
      </c>
      <c r="BC151" s="179" t="e">
        <f aca="false">IF(A152="","",AM151*F151)</f>
        <v>#N/A</v>
      </c>
    </row>
    <row r="152" customFormat="false" ht="12.75" hidden="false" customHeight="false" outlineLevel="0" collapsed="false">
      <c r="A152" s="196" t="n">
        <f aca="false">IF(A151&lt;mthend,EDATE(A151,1),"")</f>
        <v>41365</v>
      </c>
      <c r="B152" s="197" t="n">
        <f aca="false">IF(A152&lt;mthend,B151,"")</f>
        <v>119740</v>
      </c>
      <c r="C152" s="215"/>
      <c r="D152" s="197" t="n">
        <f aca="false">IF(A153&lt;&gt;"",B152+C152,"")</f>
        <v>119740</v>
      </c>
      <c r="E152" s="199" t="n">
        <f aca="false">IF(A153="","",IF(AND(AT152=1,$H$3=1),D152*AO152,IF($H$3=2,D152,"N/A")))</f>
        <v>3592200</v>
      </c>
      <c r="F152" s="199" t="n">
        <f aca="false">IF(A153="","",E152*AS152)</f>
        <v>12149442.8851512</v>
      </c>
      <c r="G152" s="200" t="e">
        <f aca="false">IF($A153="","",VLOOKUP($A152,Table,MATCH(G$4,Curves,0)))</f>
        <v>#N/A</v>
      </c>
      <c r="H152" s="201" t="e">
        <f aca="false">IF(A153="","",G152)</f>
        <v>#N/A</v>
      </c>
      <c r="I152" s="202"/>
      <c r="J152" s="200" t="e">
        <f aca="false">IF($A153="","",VLOOKUP($A152,Table,MATCH(J$4,Curves,0)))</f>
        <v>#N/A</v>
      </c>
      <c r="K152" s="201" t="e">
        <f aca="false">IF(A153="","",J152)</f>
        <v>#N/A</v>
      </c>
      <c r="L152" s="185" t="n">
        <v>0</v>
      </c>
      <c r="M152" s="201" t="n">
        <f aca="false">IF(A153="","",L152)</f>
        <v>0</v>
      </c>
      <c r="N152" s="203"/>
      <c r="O152" s="200" t="e">
        <f aca="false">IF(A153="","",L152+J152+G152)</f>
        <v>#N/A</v>
      </c>
      <c r="P152" s="200" t="e">
        <f aca="false">IF(A153="","",M152+K152+H152)</f>
        <v>#N/A</v>
      </c>
      <c r="Q152" s="204"/>
      <c r="R152" s="200" t="e">
        <f aca="false">IF($A153="","",VLOOKUP($A152,Table,MATCH(R$4,Curves,0)))</f>
        <v>#N/A</v>
      </c>
      <c r="S152" s="201" t="e">
        <f aca="false">IF(A153="","",R152)</f>
        <v>#N/A</v>
      </c>
      <c r="T152" s="200" t="e">
        <f aca="false">IF($A153="","",VLOOKUP($A152,Table,MATCH(T$4,Curves,0)))</f>
        <v>#N/A</v>
      </c>
      <c r="U152" s="201" t="e">
        <f aca="false">IF(A153="","",T152)</f>
        <v>#N/A</v>
      </c>
      <c r="V152" s="205" t="e">
        <f aca="false">IF($A153="","",IF(AND(MONTH(A152)&gt;3,MONTH(A152)&lt;11),(T152+R152+G152)*Summary!$T$10/(1-Summary!$T$10),(T152+R152+G152)*Summary!$U$10/(1-Summary!$U$10)))</f>
        <v>#N/A</v>
      </c>
      <c r="W152" s="200" t="e">
        <f aca="false">IF($A153="","",(T152+R152+G152+V152))</f>
        <v>#N/A</v>
      </c>
      <c r="X152" s="200" t="e">
        <f aca="false">IF($A153="","",(U152+S152+H152+V152))</f>
        <v>#N/A</v>
      </c>
      <c r="Y152" s="202"/>
      <c r="Z152" s="185" t="e">
        <f aca="false">IF($A153="","",VLOOKUP($A152,Table,MATCH(Z$4,Curves,0)))</f>
        <v>#N/A</v>
      </c>
      <c r="AA152" s="185" t="e">
        <f aca="false">IF($A153="","",VLOOKUP($A152,Table,MATCH(AA$4,Curves,0)))</f>
        <v>#N/A</v>
      </c>
      <c r="AB152" s="185" t="e">
        <f aca="false">SQRT((AA152^2*(A152-$D$3)+Z152^2*(DAY(EOMONTH(A152,0))/2))/AK152)</f>
        <v>#N/A</v>
      </c>
      <c r="AC152" s="185" t="e">
        <f aca="false">IF($A153="","",VLOOKUP($A152,Table,MATCH(AC$4,Curves,0)))</f>
        <v>#N/A</v>
      </c>
      <c r="AD152" s="185" t="e">
        <f aca="false">IF($A153="","",VLOOKUP($A152,Table,MATCH(AD$4,Curves,0)))</f>
        <v>#N/A</v>
      </c>
      <c r="AE152" s="185" t="e">
        <f aca="false">SQRT((AD152^2*(A152-$D$3)+AC152^2*(DAY(EOMONTH(A152,0))/2))/AK152)</f>
        <v>#N/A</v>
      </c>
      <c r="AF152" s="224" t="e">
        <f aca="false">((Summary!$N$10*(AA152*AD152)*(A152-$D$3))+(Summary!$M$10*Z152*AC152*(AJ152-EOMONTH(EDATE(A152,-1),0))))/(AK152*AB152*AE152)</f>
        <v>#N/A</v>
      </c>
      <c r="AG152" s="207" t="n">
        <f aca="false">IF($A153="","",Summary!$Q$10)</f>
        <v>0</v>
      </c>
      <c r="AH152" s="207" t="n">
        <f aca="false">IF($A153="","",IF(Summary!$R$10="Y",(VLOOKUP($A152,Summary!$AD$6:$AF$9,3)+'Escalating commodity'!F165),'Escalating commodity'!F165))</f>
        <v>0.0158208</v>
      </c>
      <c r="AI152" s="207" t="n">
        <f aca="false">IF($A153="","",AH152)</f>
        <v>0.0158208</v>
      </c>
      <c r="AJ152" s="208" t="n">
        <f aca="false">A152+DAY(EOMONTH(A152,0))/2-1</f>
        <v>41379</v>
      </c>
      <c r="AK152" s="209" t="n">
        <f aca="false">IF($A153="","",$A152-$E$1)</f>
        <v>-4561</v>
      </c>
      <c r="AL152" s="182" t="e">
        <f aca="false">IF($A153="","",SPRDOPT(P152,X152,AI152,0,AB152,AE152,AF152,AK152,$AJ$2,0))</f>
        <v>#NAME?</v>
      </c>
      <c r="AM152" s="211" t="e">
        <f aca="false">IF($A153="","",MAX(0,O152-W152-AI152))</f>
        <v>#N/A</v>
      </c>
      <c r="AN152" s="211" t="e">
        <f aca="false">IF($A153="","",AL152-AM152)</f>
        <v>#N/A</v>
      </c>
      <c r="AO152" s="137" t="n">
        <f aca="false">IF(A153="","",A153-A152)</f>
        <v>30</v>
      </c>
      <c r="AP152" s="212" t="n">
        <f aca="false">IF(A153="","",CHOOSE(F$3,A153+24,A152))</f>
        <v>41365</v>
      </c>
      <c r="AQ152" s="209" t="n">
        <f aca="false">IF(A153="","",AP152-$E$1)</f>
        <v>-4561</v>
      </c>
      <c r="AR152" s="185" t="n">
        <f aca="false">'ANR OK vs ML7'!AR152</f>
        <v>0.1</v>
      </c>
      <c r="AS152" s="213" t="n">
        <f aca="false">IF(A153="","",1/(1+CHOOSE(F$3,(AR153+($I$3/10000))/2,(AR152+($I$3/10000))/2))^(2*AQ152/365.25))</f>
        <v>3.38217328799934</v>
      </c>
      <c r="AT152" s="137" t="n">
        <f aca="false">IF(A153="","",IF(AND(mthbeg&lt;=A152,mthend&gt;=A152),1,0))</f>
        <v>1</v>
      </c>
      <c r="AU152" s="137" t="n">
        <f aca="false">IF(A153="","",AO152*AT152)</f>
        <v>30</v>
      </c>
      <c r="AW152" s="195" t="e">
        <f aca="false">IF($A153="","",AL152*$E152)</f>
        <v>#NAME?</v>
      </c>
      <c r="AX152" s="195" t="e">
        <f aca="false">IF($A153="","",AM152*$E152)</f>
        <v>#N/A</v>
      </c>
      <c r="AY152" s="195" t="e">
        <f aca="false">IF($A153="","",AN152*$E152)</f>
        <v>#N/A</v>
      </c>
      <c r="BA152" s="195" t="n">
        <f aca="false">IF($A153="","",F152*Summary!$Q$10)</f>
        <v>0</v>
      </c>
      <c r="BC152" s="179" t="e">
        <f aca="false">IF(A153="","",AM152*F152)</f>
        <v>#N/A</v>
      </c>
    </row>
    <row r="153" customFormat="false" ht="12.75" hidden="false" customHeight="false" outlineLevel="0" collapsed="false">
      <c r="A153" s="196" t="n">
        <f aca="false">IF(A152&lt;mthend,EDATE(A152,1),"")</f>
        <v>41395</v>
      </c>
      <c r="B153" s="197" t="n">
        <f aca="false">IF(A153&lt;mthend,B152,"")</f>
        <v>119740</v>
      </c>
      <c r="C153" s="215"/>
      <c r="D153" s="197" t="n">
        <f aca="false">IF(A154&lt;&gt;"",B153+C153,"")</f>
        <v>119740</v>
      </c>
      <c r="E153" s="199" t="n">
        <f aca="false">IF(A154="","",IF(AND(AT153=1,$H$3=1),D153*AO153,IF($H$3=2,D153,"N/A")))</f>
        <v>3711940</v>
      </c>
      <c r="F153" s="199" t="n">
        <f aca="false">IF(A154="","",E153*AS153)</f>
        <v>12454205.1274321</v>
      </c>
      <c r="G153" s="200" t="e">
        <f aca="false">IF($A154="","",VLOOKUP($A153,Table,MATCH(G$4,Curves,0)))</f>
        <v>#N/A</v>
      </c>
      <c r="H153" s="201" t="e">
        <f aca="false">IF(A154="","",G153)</f>
        <v>#N/A</v>
      </c>
      <c r="I153" s="202"/>
      <c r="J153" s="200" t="e">
        <f aca="false">IF($A154="","",VLOOKUP($A153,Table,MATCH(J$4,Curves,0)))</f>
        <v>#N/A</v>
      </c>
      <c r="K153" s="201" t="e">
        <f aca="false">IF(A154="","",J153)</f>
        <v>#N/A</v>
      </c>
      <c r="L153" s="185" t="n">
        <v>0</v>
      </c>
      <c r="M153" s="201" t="n">
        <f aca="false">IF(A154="","",L153)</f>
        <v>0</v>
      </c>
      <c r="N153" s="203"/>
      <c r="O153" s="200" t="e">
        <f aca="false">IF(A154="","",L153+J153+G153)</f>
        <v>#N/A</v>
      </c>
      <c r="P153" s="200" t="e">
        <f aca="false">IF(A154="","",M153+K153+H153)</f>
        <v>#N/A</v>
      </c>
      <c r="Q153" s="204"/>
      <c r="R153" s="200" t="e">
        <f aca="false">IF($A154="","",VLOOKUP($A153,Table,MATCH(R$4,Curves,0)))</f>
        <v>#N/A</v>
      </c>
      <c r="S153" s="201" t="e">
        <f aca="false">IF(A154="","",R153)</f>
        <v>#N/A</v>
      </c>
      <c r="T153" s="200" t="e">
        <f aca="false">IF($A154="","",VLOOKUP($A153,Table,MATCH(T$4,Curves,0)))</f>
        <v>#N/A</v>
      </c>
      <c r="U153" s="201" t="e">
        <f aca="false">IF(A154="","",T153)</f>
        <v>#N/A</v>
      </c>
      <c r="V153" s="205" t="e">
        <f aca="false">IF($A154="","",IF(AND(MONTH(A153)&gt;3,MONTH(A153)&lt;11),(T153+R153+G153)*Summary!$T$10/(1-Summary!$T$10),(T153+R153+G153)*Summary!$U$10/(1-Summary!$U$10)))</f>
        <v>#N/A</v>
      </c>
      <c r="W153" s="200" t="e">
        <f aca="false">IF($A154="","",(T153+R153+G153+V153))</f>
        <v>#N/A</v>
      </c>
      <c r="X153" s="200" t="e">
        <f aca="false">IF($A154="","",(U153+S153+H153+V153))</f>
        <v>#N/A</v>
      </c>
      <c r="Y153" s="202"/>
      <c r="Z153" s="185" t="e">
        <f aca="false">IF($A154="","",VLOOKUP($A153,Table,MATCH(Z$4,Curves,0)))</f>
        <v>#N/A</v>
      </c>
      <c r="AA153" s="185" t="e">
        <f aca="false">IF($A154="","",VLOOKUP($A153,Table,MATCH(AA$4,Curves,0)))</f>
        <v>#N/A</v>
      </c>
      <c r="AB153" s="185" t="e">
        <f aca="false">SQRT((AA153^2*(A153-$D$3)+Z153^2*(DAY(EOMONTH(A153,0))/2))/AK153)</f>
        <v>#N/A</v>
      </c>
      <c r="AC153" s="185" t="e">
        <f aca="false">IF($A154="","",VLOOKUP($A153,Table,MATCH(AC$4,Curves,0)))</f>
        <v>#N/A</v>
      </c>
      <c r="AD153" s="185" t="e">
        <f aca="false">IF($A154="","",VLOOKUP($A153,Table,MATCH(AD$4,Curves,0)))</f>
        <v>#N/A</v>
      </c>
      <c r="AE153" s="185" t="e">
        <f aca="false">SQRT((AD153^2*(A153-$D$3)+AC153^2*(DAY(EOMONTH(A153,0))/2))/AK153)</f>
        <v>#N/A</v>
      </c>
      <c r="AF153" s="224" t="e">
        <f aca="false">((Summary!$N$10*(AA153*AD153)*(A153-$D$3))+(Summary!$M$10*Z153*AC153*(AJ153-EOMONTH(EDATE(A153,-1),0))))/(AK153*AB153*AE153)</f>
        <v>#N/A</v>
      </c>
      <c r="AG153" s="207" t="n">
        <f aca="false">IF($A154="","",Summary!$Q$10)</f>
        <v>0</v>
      </c>
      <c r="AH153" s="207" t="n">
        <f aca="false">IF($A154="","",IF(Summary!$R$10="Y",(VLOOKUP($A153,Summary!$AD$6:$AF$9,3)+'Escalating commodity'!F166),'Escalating commodity'!F166))</f>
        <v>0.0158208</v>
      </c>
      <c r="AI153" s="207" t="n">
        <f aca="false">IF($A154="","",AH153)</f>
        <v>0.0158208</v>
      </c>
      <c r="AJ153" s="208" t="n">
        <f aca="false">A153+DAY(EOMONTH(A153,0))/2-1</f>
        <v>41409.5</v>
      </c>
      <c r="AK153" s="209" t="n">
        <f aca="false">IF($A154="","",$A153-$E$1)</f>
        <v>-4531</v>
      </c>
      <c r="AL153" s="182" t="e">
        <f aca="false">IF($A154="","",SPRDOPT(P153,X153,AI153,0,AB153,AE153,AF153,AK153,$AJ$2,0))</f>
        <v>#NAME?</v>
      </c>
      <c r="AM153" s="211" t="e">
        <f aca="false">IF($A154="","",MAX(0,O153-W153-AI153))</f>
        <v>#N/A</v>
      </c>
      <c r="AN153" s="211" t="e">
        <f aca="false">IF($A154="","",AL153-AM153)</f>
        <v>#N/A</v>
      </c>
      <c r="AO153" s="137" t="n">
        <f aca="false">IF(A154="","",A154-A153)</f>
        <v>31</v>
      </c>
      <c r="AP153" s="212" t="n">
        <f aca="false">IF(A154="","",CHOOSE(F$3,A154+24,A153))</f>
        <v>41395</v>
      </c>
      <c r="AQ153" s="209" t="n">
        <f aca="false">IF(A154="","",AP153-$E$1)</f>
        <v>-4531</v>
      </c>
      <c r="AR153" s="185" t="n">
        <f aca="false">'ANR OK vs ML7'!AR153</f>
        <v>0.1</v>
      </c>
      <c r="AS153" s="213" t="n">
        <f aca="false">IF(A154="","",1/(1+CHOOSE(F$3,(AR154+($I$3/10000))/2,(AR153+($I$3/10000))/2))^(2*AQ153/365.25))</f>
        <v>3.35517414813605</v>
      </c>
      <c r="AT153" s="137" t="n">
        <f aca="false">IF(A154="","",IF(AND(mthbeg&lt;=A153,mthend&gt;=A153),1,0))</f>
        <v>1</v>
      </c>
      <c r="AU153" s="137" t="n">
        <f aca="false">IF(A154="","",AO153*AT153)</f>
        <v>31</v>
      </c>
      <c r="AW153" s="195" t="e">
        <f aca="false">IF($A154="","",AL153*$E153)</f>
        <v>#NAME?</v>
      </c>
      <c r="AX153" s="195" t="e">
        <f aca="false">IF($A154="","",AM153*$E153)</f>
        <v>#N/A</v>
      </c>
      <c r="AY153" s="195" t="e">
        <f aca="false">IF($A154="","",AN153*$E153)</f>
        <v>#N/A</v>
      </c>
      <c r="BA153" s="195" t="n">
        <f aca="false">IF($A154="","",F153*Summary!$Q$10)</f>
        <v>0</v>
      </c>
      <c r="BC153" s="179" t="e">
        <f aca="false">IF(A154="","",AM153*F153)</f>
        <v>#N/A</v>
      </c>
    </row>
    <row r="154" customFormat="false" ht="12.75" hidden="false" customHeight="false" outlineLevel="0" collapsed="false">
      <c r="A154" s="196" t="n">
        <f aca="false">IF(A153&lt;mthend,EDATE(A153,1),"")</f>
        <v>41426</v>
      </c>
      <c r="B154" s="197" t="n">
        <f aca="false">IF(A154&lt;mthend,B153,"")</f>
        <v>119740</v>
      </c>
      <c r="C154" s="215"/>
      <c r="D154" s="197" t="n">
        <f aca="false">IF(A155&lt;&gt;"",B154+C154,"")</f>
        <v>119740</v>
      </c>
      <c r="E154" s="199" t="n">
        <f aca="false">IF(A155="","",IF(AND(AT154=1,$H$3=1),D154*AO154,IF($H$3=2,D154,"N/A")))</f>
        <v>3592200</v>
      </c>
      <c r="F154" s="199" t="n">
        <f aca="false">IF(A155="","",E154*AS154)</f>
        <v>11953050.676783</v>
      </c>
      <c r="G154" s="200" t="e">
        <f aca="false">IF($A155="","",VLOOKUP($A154,Table,MATCH(G$4,Curves,0)))</f>
        <v>#N/A</v>
      </c>
      <c r="H154" s="201" t="e">
        <f aca="false">IF(A155="","",G154)</f>
        <v>#N/A</v>
      </c>
      <c r="I154" s="202"/>
      <c r="J154" s="200" t="e">
        <f aca="false">IF($A155="","",VLOOKUP($A154,Table,MATCH(J$4,Curves,0)))</f>
        <v>#N/A</v>
      </c>
      <c r="K154" s="201" t="e">
        <f aca="false">IF(A155="","",J154)</f>
        <v>#N/A</v>
      </c>
      <c r="L154" s="185" t="n">
        <v>0</v>
      </c>
      <c r="M154" s="201" t="n">
        <f aca="false">IF(A155="","",L154)</f>
        <v>0</v>
      </c>
      <c r="N154" s="203"/>
      <c r="O154" s="200" t="e">
        <f aca="false">IF(A155="","",L154+J154+G154)</f>
        <v>#N/A</v>
      </c>
      <c r="P154" s="200" t="e">
        <f aca="false">IF(A155="","",M154+K154+H154)</f>
        <v>#N/A</v>
      </c>
      <c r="Q154" s="204"/>
      <c r="R154" s="200" t="e">
        <f aca="false">IF($A155="","",VLOOKUP($A154,Table,MATCH(R$4,Curves,0)))</f>
        <v>#N/A</v>
      </c>
      <c r="S154" s="201" t="e">
        <f aca="false">IF(A155="","",R154)</f>
        <v>#N/A</v>
      </c>
      <c r="T154" s="200" t="e">
        <f aca="false">IF($A155="","",VLOOKUP($A154,Table,MATCH(T$4,Curves,0)))</f>
        <v>#N/A</v>
      </c>
      <c r="U154" s="201" t="e">
        <f aca="false">IF(A155="","",T154)</f>
        <v>#N/A</v>
      </c>
      <c r="V154" s="205" t="e">
        <f aca="false">IF($A155="","",IF(AND(MONTH(A154)&gt;3,MONTH(A154)&lt;11),(T154+R154+G154)*Summary!$T$10/(1-Summary!$T$10),(T154+R154+G154)*Summary!$U$10/(1-Summary!$U$10)))</f>
        <v>#N/A</v>
      </c>
      <c r="W154" s="200" t="e">
        <f aca="false">IF($A155="","",(T154+R154+G154+V154))</f>
        <v>#N/A</v>
      </c>
      <c r="X154" s="200" t="e">
        <f aca="false">IF($A155="","",(U154+S154+H154+V154))</f>
        <v>#N/A</v>
      </c>
      <c r="Y154" s="202"/>
      <c r="Z154" s="185" t="e">
        <f aca="false">IF($A155="","",VLOOKUP($A154,Table,MATCH(Z$4,Curves,0)))</f>
        <v>#N/A</v>
      </c>
      <c r="AA154" s="185" t="e">
        <f aca="false">IF($A155="","",VLOOKUP($A154,Table,MATCH(AA$4,Curves,0)))</f>
        <v>#N/A</v>
      </c>
      <c r="AB154" s="185" t="e">
        <f aca="false">SQRT((AA154^2*(A154-$D$3)+Z154^2*(DAY(EOMONTH(A154,0))/2))/AK154)</f>
        <v>#N/A</v>
      </c>
      <c r="AC154" s="185" t="e">
        <f aca="false">IF($A155="","",VLOOKUP($A154,Table,MATCH(AC$4,Curves,0)))</f>
        <v>#N/A</v>
      </c>
      <c r="AD154" s="185" t="e">
        <f aca="false">IF($A155="","",VLOOKUP($A154,Table,MATCH(AD$4,Curves,0)))</f>
        <v>#N/A</v>
      </c>
      <c r="AE154" s="185" t="e">
        <f aca="false">SQRT((AD154^2*(A154-$D$3)+AC154^2*(DAY(EOMONTH(A154,0))/2))/AK154)</f>
        <v>#N/A</v>
      </c>
      <c r="AF154" s="224" t="e">
        <f aca="false">((Summary!$N$10*(AA154*AD154)*(A154-$D$3))+(Summary!$M$10*Z154*AC154*(AJ154-EOMONTH(EDATE(A154,-1),0))))/(AK154*AB154*AE154)</f>
        <v>#N/A</v>
      </c>
      <c r="AG154" s="207" t="n">
        <f aca="false">IF($A155="","",Summary!$Q$10)</f>
        <v>0</v>
      </c>
      <c r="AH154" s="207" t="n">
        <f aca="false">IF($A155="","",IF(Summary!$R$10="Y",(VLOOKUP($A154,Summary!$AD$6:$AF$9,3)+'Escalating commodity'!F167),'Escalating commodity'!F167))</f>
        <v>0.0158208</v>
      </c>
      <c r="AI154" s="207" t="n">
        <f aca="false">IF($A155="","",AH154)</f>
        <v>0.0158208</v>
      </c>
      <c r="AJ154" s="208" t="n">
        <f aca="false">A154+DAY(EOMONTH(A154,0))/2-1</f>
        <v>41440</v>
      </c>
      <c r="AK154" s="209" t="n">
        <f aca="false">IF($A155="","",$A154-$E$1)</f>
        <v>-4500</v>
      </c>
      <c r="AL154" s="182" t="e">
        <f aca="false">IF($A155="","",SPRDOPT(P154,X154,AI154,0,AB154,AE154,AF154,AK154,$AJ$2,0))</f>
        <v>#NAME?</v>
      </c>
      <c r="AM154" s="211" t="e">
        <f aca="false">IF($A155="","",MAX(0,O154-W154-AI154))</f>
        <v>#N/A</v>
      </c>
      <c r="AN154" s="211" t="e">
        <f aca="false">IF($A155="","",AL154-AM154)</f>
        <v>#N/A</v>
      </c>
      <c r="AO154" s="137" t="n">
        <f aca="false">IF(A155="","",A155-A154)</f>
        <v>30</v>
      </c>
      <c r="AP154" s="212" t="n">
        <f aca="false">IF(A155="","",CHOOSE(F$3,A155+24,A154))</f>
        <v>41426</v>
      </c>
      <c r="AQ154" s="209" t="n">
        <f aca="false">IF(A155="","",AP154-$E$1)</f>
        <v>-4500</v>
      </c>
      <c r="AR154" s="185" t="n">
        <f aca="false">'ANR OK vs ML7'!AR154</f>
        <v>0.1</v>
      </c>
      <c r="AS154" s="213" t="n">
        <f aca="false">IF(A155="","",1/(1+CHOOSE(F$3,(AR155+($I$3/10000))/2,(AR154+($I$3/10000))/2))^(2*AQ154/365.25))</f>
        <v>3.32750144111769</v>
      </c>
      <c r="AT154" s="137" t="n">
        <f aca="false">IF(A155="","",IF(AND(mthbeg&lt;=A154,mthend&gt;=A154),1,0))</f>
        <v>1</v>
      </c>
      <c r="AU154" s="137" t="n">
        <f aca="false">IF(A155="","",AO154*AT154)</f>
        <v>30</v>
      </c>
      <c r="AW154" s="195" t="e">
        <f aca="false">IF($A155="","",AL154*$E154)</f>
        <v>#NAME?</v>
      </c>
      <c r="AX154" s="195" t="e">
        <f aca="false">IF($A155="","",AM154*$E154)</f>
        <v>#N/A</v>
      </c>
      <c r="AY154" s="195" t="e">
        <f aca="false">IF($A155="","",AN154*$E154)</f>
        <v>#N/A</v>
      </c>
      <c r="BA154" s="195" t="n">
        <f aca="false">IF($A155="","",F154*Summary!$Q$10)</f>
        <v>0</v>
      </c>
      <c r="BC154" s="179" t="e">
        <f aca="false">IF(A155="","",AM154*F154)</f>
        <v>#N/A</v>
      </c>
    </row>
    <row r="155" customFormat="false" ht="12.75" hidden="false" customHeight="false" outlineLevel="0" collapsed="false">
      <c r="A155" s="196" t="n">
        <f aca="false">IF(A154&lt;mthend,EDATE(A154,1),"")</f>
        <v>41456</v>
      </c>
      <c r="B155" s="197" t="n">
        <f aca="false">IF(A155&lt;mthend,B154,"")</f>
        <v>119740</v>
      </c>
      <c r="C155" s="215"/>
      <c r="D155" s="197" t="n">
        <f aca="false">IF(A156&lt;&gt;"",B155+C155,"")</f>
        <v>119740</v>
      </c>
      <c r="E155" s="199" t="n">
        <f aca="false">IF(A156="","",IF(AND(AT155=1,$H$3=1),D155*AO155,IF($H$3=2,D155,"N/A")))</f>
        <v>3711940</v>
      </c>
      <c r="F155" s="199" t="n">
        <f aca="false">IF(A156="","",E155*AS155)</f>
        <v>12252886.5261128</v>
      </c>
      <c r="G155" s="200" t="e">
        <f aca="false">IF($A156="","",VLOOKUP($A155,Table,MATCH(G$4,Curves,0)))</f>
        <v>#N/A</v>
      </c>
      <c r="H155" s="201" t="e">
        <f aca="false">IF(A156="","",G155)</f>
        <v>#N/A</v>
      </c>
      <c r="I155" s="202"/>
      <c r="J155" s="200" t="e">
        <f aca="false">IF($A156="","",VLOOKUP($A155,Table,MATCH(J$4,Curves,0)))</f>
        <v>#N/A</v>
      </c>
      <c r="K155" s="201" t="e">
        <f aca="false">IF(A156="","",J155)</f>
        <v>#N/A</v>
      </c>
      <c r="L155" s="185" t="n">
        <v>0</v>
      </c>
      <c r="M155" s="201" t="n">
        <f aca="false">IF(A156="","",L155)</f>
        <v>0</v>
      </c>
      <c r="N155" s="203"/>
      <c r="O155" s="200" t="e">
        <f aca="false">IF(A156="","",L155+J155+G155)</f>
        <v>#N/A</v>
      </c>
      <c r="P155" s="200" t="e">
        <f aca="false">IF(A156="","",M155+K155+H155)</f>
        <v>#N/A</v>
      </c>
      <c r="Q155" s="204"/>
      <c r="R155" s="200" t="e">
        <f aca="false">IF($A156="","",VLOOKUP($A155,Table,MATCH(R$4,Curves,0)))</f>
        <v>#N/A</v>
      </c>
      <c r="S155" s="201" t="e">
        <f aca="false">IF(A156="","",R155)</f>
        <v>#N/A</v>
      </c>
      <c r="T155" s="200" t="e">
        <f aca="false">IF($A156="","",VLOOKUP($A155,Table,MATCH(T$4,Curves,0)))</f>
        <v>#N/A</v>
      </c>
      <c r="U155" s="201" t="e">
        <f aca="false">IF(A156="","",T155)</f>
        <v>#N/A</v>
      </c>
      <c r="V155" s="205" t="e">
        <f aca="false">IF($A156="","",IF(AND(MONTH(A155)&gt;3,MONTH(A155)&lt;11),(T155+R155+G155)*Summary!$T$10/(1-Summary!$T$10),(T155+R155+G155)*Summary!$U$10/(1-Summary!$U$10)))</f>
        <v>#N/A</v>
      </c>
      <c r="W155" s="200" t="e">
        <f aca="false">IF($A156="","",(T155+R155+G155+V155))</f>
        <v>#N/A</v>
      </c>
      <c r="X155" s="200" t="e">
        <f aca="false">IF($A156="","",(U155+S155+H155+V155))</f>
        <v>#N/A</v>
      </c>
      <c r="Y155" s="202"/>
      <c r="Z155" s="185" t="e">
        <f aca="false">IF($A156="","",VLOOKUP($A155,Table,MATCH(Z$4,Curves,0)))</f>
        <v>#N/A</v>
      </c>
      <c r="AA155" s="185" t="e">
        <f aca="false">IF($A156="","",VLOOKUP($A155,Table,MATCH(AA$4,Curves,0)))</f>
        <v>#N/A</v>
      </c>
      <c r="AB155" s="185" t="e">
        <f aca="false">SQRT((AA155^2*(A155-$D$3)+Z155^2*(DAY(EOMONTH(A155,0))/2))/AK155)</f>
        <v>#N/A</v>
      </c>
      <c r="AC155" s="185" t="e">
        <f aca="false">IF($A156="","",VLOOKUP($A155,Table,MATCH(AC$4,Curves,0)))</f>
        <v>#N/A</v>
      </c>
      <c r="AD155" s="185" t="e">
        <f aca="false">IF($A156="","",VLOOKUP($A155,Table,MATCH(AD$4,Curves,0)))</f>
        <v>#N/A</v>
      </c>
      <c r="AE155" s="185" t="e">
        <f aca="false">SQRT((AD155^2*(A155-$D$3)+AC155^2*(DAY(EOMONTH(A155,0))/2))/AK155)</f>
        <v>#N/A</v>
      </c>
      <c r="AF155" s="224" t="e">
        <f aca="false">((Summary!$N$10*(AA155*AD155)*(A155-$D$3))+(Summary!$M$10*Z155*AC155*(AJ155-EOMONTH(EDATE(A155,-1),0))))/(AK155*AB155*AE155)</f>
        <v>#N/A</v>
      </c>
      <c r="AG155" s="207" t="n">
        <f aca="false">IF($A156="","",Summary!$Q$10)</f>
        <v>0</v>
      </c>
      <c r="AH155" s="207" t="n">
        <f aca="false">IF($A156="","",IF(Summary!$R$10="Y",(VLOOKUP($A155,Summary!$AD$6:$AF$9,3)+'Escalating commodity'!F168),'Escalating commodity'!F168))</f>
        <v>0.0158208</v>
      </c>
      <c r="AI155" s="207" t="n">
        <f aca="false">IF($A156="","",AH155)</f>
        <v>0.0158208</v>
      </c>
      <c r="AJ155" s="208" t="n">
        <f aca="false">A155+DAY(EOMONTH(A155,0))/2-1</f>
        <v>41470.5</v>
      </c>
      <c r="AK155" s="209" t="n">
        <f aca="false">IF($A156="","",$A155-$E$1)</f>
        <v>-4470</v>
      </c>
      <c r="AL155" s="182" t="e">
        <f aca="false">IF($A156="","",SPRDOPT(P155,X155,AI155,0,AB155,AE155,AF155,AK155,$AJ$2,0))</f>
        <v>#NAME?</v>
      </c>
      <c r="AM155" s="211" t="e">
        <f aca="false">IF($A156="","",MAX(0,O155-W155-AI155))</f>
        <v>#N/A</v>
      </c>
      <c r="AN155" s="211" t="e">
        <f aca="false">IF($A156="","",AL155-AM155)</f>
        <v>#N/A</v>
      </c>
      <c r="AO155" s="137" t="n">
        <f aca="false">IF(A156="","",A156-A155)</f>
        <v>31</v>
      </c>
      <c r="AP155" s="212" t="n">
        <f aca="false">IF(A156="","",CHOOSE(F$3,A156+24,A155))</f>
        <v>41456</v>
      </c>
      <c r="AQ155" s="209" t="n">
        <f aca="false">IF(A156="","",AP155-$E$1)</f>
        <v>-4470</v>
      </c>
      <c r="AR155" s="185" t="n">
        <f aca="false">'ANR OK vs ML7'!AR155</f>
        <v>0.1</v>
      </c>
      <c r="AS155" s="213" t="n">
        <f aca="false">IF(A156="","",1/(1+CHOOSE(F$3,(AR156+($I$3/10000))/2,(AR155+($I$3/10000))/2))^(2*AQ155/365.25))</f>
        <v>3.30093873449268</v>
      </c>
      <c r="AT155" s="137" t="n">
        <f aca="false">IF(A156="","",IF(AND(mthbeg&lt;=A155,mthend&gt;=A155),1,0))</f>
        <v>1</v>
      </c>
      <c r="AU155" s="137" t="n">
        <f aca="false">IF(A156="","",AO155*AT155)</f>
        <v>31</v>
      </c>
      <c r="AW155" s="195" t="e">
        <f aca="false">IF($A156="","",AL155*$E155)</f>
        <v>#NAME?</v>
      </c>
      <c r="AX155" s="195" t="e">
        <f aca="false">IF($A156="","",AM155*$E155)</f>
        <v>#N/A</v>
      </c>
      <c r="AY155" s="195" t="e">
        <f aca="false">IF($A156="","",AN155*$E155)</f>
        <v>#N/A</v>
      </c>
      <c r="BA155" s="195" t="n">
        <f aca="false">IF($A156="","",F155*Summary!$Q$10)</f>
        <v>0</v>
      </c>
      <c r="BC155" s="179" t="e">
        <f aca="false">IF(A156="","",AM155*F155)</f>
        <v>#N/A</v>
      </c>
    </row>
    <row r="156" customFormat="false" ht="12.75" hidden="false" customHeight="false" outlineLevel="0" collapsed="false">
      <c r="A156" s="196" t="n">
        <f aca="false">IF(A155&lt;mthend,EDATE(A155,1),"")</f>
        <v>41487</v>
      </c>
      <c r="B156" s="197" t="n">
        <f aca="false">IF(A156&lt;mthend,B155,"")</f>
        <v>119740</v>
      </c>
      <c r="C156" s="215"/>
      <c r="D156" s="197" t="n">
        <f aca="false">IF(A157&lt;&gt;"",B156+C156,"")</f>
        <v>119740</v>
      </c>
      <c r="E156" s="199" t="n">
        <f aca="false">IF(A157="","",IF(AND(AT156=1,$H$3=1),D156*AO156,IF($H$3=2,D156,"N/A")))</f>
        <v>3711940</v>
      </c>
      <c r="F156" s="199" t="n">
        <f aca="false">IF(A157="","",E156*AS156)</f>
        <v>12151827.5276835</v>
      </c>
      <c r="G156" s="200" t="e">
        <f aca="false">IF($A157="","",VLOOKUP($A156,Table,MATCH(G$4,Curves,0)))</f>
        <v>#N/A</v>
      </c>
      <c r="H156" s="201" t="e">
        <f aca="false">IF(A157="","",G156)</f>
        <v>#N/A</v>
      </c>
      <c r="I156" s="202"/>
      <c r="J156" s="200" t="e">
        <f aca="false">IF($A157="","",VLOOKUP($A156,Table,MATCH(J$4,Curves,0)))</f>
        <v>#N/A</v>
      </c>
      <c r="K156" s="201" t="e">
        <f aca="false">IF(A157="","",J156)</f>
        <v>#N/A</v>
      </c>
      <c r="L156" s="185" t="n">
        <v>0</v>
      </c>
      <c r="M156" s="201" t="n">
        <f aca="false">IF(A157="","",L156)</f>
        <v>0</v>
      </c>
      <c r="N156" s="203"/>
      <c r="O156" s="200" t="e">
        <f aca="false">IF(A157="","",L156+J156+G156)</f>
        <v>#N/A</v>
      </c>
      <c r="P156" s="200" t="e">
        <f aca="false">IF(A157="","",M156+K156+H156)</f>
        <v>#N/A</v>
      </c>
      <c r="Q156" s="204"/>
      <c r="R156" s="200" t="e">
        <f aca="false">IF($A157="","",VLOOKUP($A156,Table,MATCH(R$4,Curves,0)))</f>
        <v>#N/A</v>
      </c>
      <c r="S156" s="201" t="e">
        <f aca="false">IF(A157="","",R156)</f>
        <v>#N/A</v>
      </c>
      <c r="T156" s="200" t="e">
        <f aca="false">IF($A157="","",VLOOKUP($A156,Table,MATCH(T$4,Curves,0)))</f>
        <v>#N/A</v>
      </c>
      <c r="U156" s="201" t="e">
        <f aca="false">IF(A157="","",T156)</f>
        <v>#N/A</v>
      </c>
      <c r="V156" s="205" t="e">
        <f aca="false">IF($A157="","",IF(AND(MONTH(A156)&gt;3,MONTH(A156)&lt;11),(T156+R156+G156)*Summary!$T$10/(1-Summary!$T$10),(T156+R156+G156)*Summary!$U$10/(1-Summary!$U$10)))</f>
        <v>#N/A</v>
      </c>
      <c r="W156" s="200" t="e">
        <f aca="false">IF($A157="","",(T156+R156+G156+V156))</f>
        <v>#N/A</v>
      </c>
      <c r="X156" s="200" t="e">
        <f aca="false">IF($A157="","",(U156+S156+H156+V156))</f>
        <v>#N/A</v>
      </c>
      <c r="Y156" s="202"/>
      <c r="Z156" s="185" t="e">
        <f aca="false">IF($A157="","",VLOOKUP($A156,Table,MATCH(Z$4,Curves,0)))</f>
        <v>#N/A</v>
      </c>
      <c r="AA156" s="185" t="e">
        <f aca="false">IF($A157="","",VLOOKUP($A156,Table,MATCH(AA$4,Curves,0)))</f>
        <v>#N/A</v>
      </c>
      <c r="AB156" s="185" t="e">
        <f aca="false">SQRT((AA156^2*(A156-$D$3)+Z156^2*(DAY(EOMONTH(A156,0))/2))/AK156)</f>
        <v>#N/A</v>
      </c>
      <c r="AC156" s="185" t="e">
        <f aca="false">IF($A157="","",VLOOKUP($A156,Table,MATCH(AC$4,Curves,0)))</f>
        <v>#N/A</v>
      </c>
      <c r="AD156" s="185" t="e">
        <f aca="false">IF($A157="","",VLOOKUP($A156,Table,MATCH(AD$4,Curves,0)))</f>
        <v>#N/A</v>
      </c>
      <c r="AE156" s="185" t="e">
        <f aca="false">SQRT((AD156^2*(A156-$D$3)+AC156^2*(DAY(EOMONTH(A156,0))/2))/AK156)</f>
        <v>#N/A</v>
      </c>
      <c r="AF156" s="224" t="e">
        <f aca="false">((Summary!$N$10*(AA156*AD156)*(A156-$D$3))+(Summary!$M$10*Z156*AC156*(AJ156-EOMONTH(EDATE(A156,-1),0))))/(AK156*AB156*AE156)</f>
        <v>#N/A</v>
      </c>
      <c r="AG156" s="207" t="n">
        <f aca="false">IF($A157="","",Summary!$Q$10)</f>
        <v>0</v>
      </c>
      <c r="AH156" s="207" t="n">
        <f aca="false">IF($A157="","",IF(Summary!$R$10="Y",(VLOOKUP($A156,Summary!$AD$6:$AF$9,3)+'Escalating commodity'!F169),'Escalating commodity'!F169))</f>
        <v>0.0158208</v>
      </c>
      <c r="AI156" s="207" t="n">
        <f aca="false">IF($A157="","",AH156)</f>
        <v>0.0158208</v>
      </c>
      <c r="AJ156" s="208" t="n">
        <f aca="false">A156+DAY(EOMONTH(A156,0))/2-1</f>
        <v>41501.5</v>
      </c>
      <c r="AK156" s="209" t="n">
        <f aca="false">IF($A157="","",$A156-$E$1)</f>
        <v>-4439</v>
      </c>
      <c r="AL156" s="182" t="e">
        <f aca="false">IF($A157="","",SPRDOPT(P156,X156,AI156,0,AB156,AE156,AF156,AK156,$AJ$2,0))</f>
        <v>#NAME?</v>
      </c>
      <c r="AM156" s="211" t="e">
        <f aca="false">IF($A157="","",MAX(0,O156-W156-AI156))</f>
        <v>#N/A</v>
      </c>
      <c r="AN156" s="211" t="e">
        <f aca="false">IF($A157="","",AL156-AM156)</f>
        <v>#N/A</v>
      </c>
      <c r="AO156" s="137" t="n">
        <f aca="false">IF(A157="","",A157-A156)</f>
        <v>31</v>
      </c>
      <c r="AP156" s="212" t="n">
        <f aca="false">IF(A157="","",CHOOSE(F$3,A157+24,A156))</f>
        <v>41487</v>
      </c>
      <c r="AQ156" s="209" t="n">
        <f aca="false">IF(A157="","",AP156-$E$1)</f>
        <v>-4439</v>
      </c>
      <c r="AR156" s="185" t="n">
        <f aca="false">'ANR OK vs ML7'!AR156</f>
        <v>0.1</v>
      </c>
      <c r="AS156" s="213" t="n">
        <f aca="false">IF(A157="","",1/(1+CHOOSE(F$3,(AR157+($I$3/10000))/2,(AR156+($I$3/10000))/2))^(2*AQ156/365.25))</f>
        <v>3.27371334872965</v>
      </c>
      <c r="AT156" s="137" t="n">
        <f aca="false">IF(A157="","",IF(AND(mthbeg&lt;=A156,mthend&gt;=A156),1,0))</f>
        <v>1</v>
      </c>
      <c r="AU156" s="137" t="n">
        <f aca="false">IF(A157="","",AO156*AT156)</f>
        <v>31</v>
      </c>
      <c r="AW156" s="195" t="e">
        <f aca="false">IF($A157="","",AL156*$E156)</f>
        <v>#NAME?</v>
      </c>
      <c r="AX156" s="195" t="e">
        <f aca="false">IF($A157="","",AM156*$E156)</f>
        <v>#N/A</v>
      </c>
      <c r="AY156" s="195" t="e">
        <f aca="false">IF($A157="","",AN156*$E156)</f>
        <v>#N/A</v>
      </c>
      <c r="BA156" s="195" t="n">
        <f aca="false">IF($A157="","",F156*Summary!$Q$10)</f>
        <v>0</v>
      </c>
      <c r="BC156" s="179" t="e">
        <f aca="false">IF(A157="","",AM156*F156)</f>
        <v>#N/A</v>
      </c>
    </row>
    <row r="157" customFormat="false" ht="12.75" hidden="false" customHeight="false" outlineLevel="0" collapsed="false">
      <c r="A157" s="196" t="n">
        <f aca="false">IF(A156&lt;mthend,EDATE(A156,1),"")</f>
        <v>41518</v>
      </c>
      <c r="B157" s="197" t="n">
        <f aca="false">IF(A157&lt;mthend,B156,"")</f>
        <v>119740</v>
      </c>
      <c r="C157" s="215"/>
      <c r="D157" s="197" t="n">
        <f aca="false">IF(A158&lt;&gt;"",B157+C157,"")</f>
        <v>119740</v>
      </c>
      <c r="E157" s="199" t="n">
        <f aca="false">IF(A158="","",IF(AND(AT157=1,$H$3=1),D157*AO157,IF($H$3=2,D157,"N/A")))</f>
        <v>3592200</v>
      </c>
      <c r="F157" s="199" t="n">
        <f aca="false">IF(A158="","",E157*AS157)</f>
        <v>11662840.6845485</v>
      </c>
      <c r="G157" s="200" t="e">
        <f aca="false">IF($A158="","",VLOOKUP($A157,Table,MATCH(G$4,Curves,0)))</f>
        <v>#N/A</v>
      </c>
      <c r="H157" s="201" t="e">
        <f aca="false">IF(A158="","",G157)</f>
        <v>#N/A</v>
      </c>
      <c r="I157" s="202"/>
      <c r="J157" s="200" t="e">
        <f aca="false">IF($A158="","",VLOOKUP($A157,Table,MATCH(J$4,Curves,0)))</f>
        <v>#N/A</v>
      </c>
      <c r="K157" s="201" t="e">
        <f aca="false">IF(A158="","",J157)</f>
        <v>#N/A</v>
      </c>
      <c r="L157" s="185" t="n">
        <v>0</v>
      </c>
      <c r="M157" s="201" t="n">
        <f aca="false">IF(A158="","",L157)</f>
        <v>0</v>
      </c>
      <c r="N157" s="203"/>
      <c r="O157" s="200" t="e">
        <f aca="false">IF(A158="","",L157+J157+G157)</f>
        <v>#N/A</v>
      </c>
      <c r="P157" s="200" t="e">
        <f aca="false">IF(A158="","",M157+K157+H157)</f>
        <v>#N/A</v>
      </c>
      <c r="Q157" s="204"/>
      <c r="R157" s="200" t="e">
        <f aca="false">IF($A158="","",VLOOKUP($A157,Table,MATCH(R$4,Curves,0)))</f>
        <v>#N/A</v>
      </c>
      <c r="S157" s="201" t="e">
        <f aca="false">IF(A158="","",R157)</f>
        <v>#N/A</v>
      </c>
      <c r="T157" s="200" t="e">
        <f aca="false">IF($A158="","",VLOOKUP($A157,Table,MATCH(T$4,Curves,0)))</f>
        <v>#N/A</v>
      </c>
      <c r="U157" s="201" t="e">
        <f aca="false">IF(A158="","",T157)</f>
        <v>#N/A</v>
      </c>
      <c r="V157" s="205" t="e">
        <f aca="false">IF($A158="","",IF(AND(MONTH(A157)&gt;3,MONTH(A157)&lt;11),(T157+R157+G157)*Summary!$T$10/(1-Summary!$T$10),(T157+R157+G157)*Summary!$U$10/(1-Summary!$U$10)))</f>
        <v>#N/A</v>
      </c>
      <c r="W157" s="200" t="e">
        <f aca="false">IF($A158="","",(T157+R157+G157+V157))</f>
        <v>#N/A</v>
      </c>
      <c r="X157" s="200" t="e">
        <f aca="false">IF($A158="","",(U157+S157+H157+V157))</f>
        <v>#N/A</v>
      </c>
      <c r="Y157" s="202"/>
      <c r="Z157" s="185" t="e">
        <f aca="false">IF($A158="","",VLOOKUP($A157,Table,MATCH(Z$4,Curves,0)))</f>
        <v>#N/A</v>
      </c>
      <c r="AA157" s="185" t="e">
        <f aca="false">IF($A158="","",VLOOKUP($A157,Table,MATCH(AA$4,Curves,0)))</f>
        <v>#N/A</v>
      </c>
      <c r="AB157" s="185" t="e">
        <f aca="false">SQRT((AA157^2*(A157-$D$3)+Z157^2*(DAY(EOMONTH(A157,0))/2))/AK157)</f>
        <v>#N/A</v>
      </c>
      <c r="AC157" s="185" t="e">
        <f aca="false">IF($A158="","",VLOOKUP($A157,Table,MATCH(AC$4,Curves,0)))</f>
        <v>#N/A</v>
      </c>
      <c r="AD157" s="185" t="e">
        <f aca="false">IF($A158="","",VLOOKUP($A157,Table,MATCH(AD$4,Curves,0)))</f>
        <v>#N/A</v>
      </c>
      <c r="AE157" s="185" t="e">
        <f aca="false">SQRT((AD157^2*(A157-$D$3)+AC157^2*(DAY(EOMONTH(A157,0))/2))/AK157)</f>
        <v>#N/A</v>
      </c>
      <c r="AF157" s="224" t="e">
        <f aca="false">((Summary!$N$10*(AA157*AD157)*(A157-$D$3))+(Summary!$M$10*Z157*AC157*(AJ157-EOMONTH(EDATE(A157,-1),0))))/(AK157*AB157*AE157)</f>
        <v>#N/A</v>
      </c>
      <c r="AG157" s="207" t="n">
        <f aca="false">IF($A158="","",Summary!$Q$10)</f>
        <v>0</v>
      </c>
      <c r="AH157" s="207" t="n">
        <f aca="false">IF($A158="","",IF(Summary!$R$10="Y",(VLOOKUP($A157,Summary!$AD$6:$AF$9,3)+'Escalating commodity'!F170),'Escalating commodity'!F170))</f>
        <v>0.0158208</v>
      </c>
      <c r="AI157" s="207" t="n">
        <f aca="false">IF($A158="","",AH157)</f>
        <v>0.0158208</v>
      </c>
      <c r="AJ157" s="208" t="n">
        <f aca="false">A157+DAY(EOMONTH(A157,0))/2-1</f>
        <v>41532</v>
      </c>
      <c r="AK157" s="209" t="n">
        <f aca="false">IF($A158="","",$A157-$E$1)</f>
        <v>-4408</v>
      </c>
      <c r="AL157" s="182" t="e">
        <f aca="false">IF($A158="","",SPRDOPT(P157,X157,AI157,0,AB157,AE157,AF157,AK157,$AJ$2,0))</f>
        <v>#NAME?</v>
      </c>
      <c r="AM157" s="211" t="e">
        <f aca="false">IF($A158="","",MAX(0,O157-W157-AI157))</f>
        <v>#N/A</v>
      </c>
      <c r="AN157" s="211" t="e">
        <f aca="false">IF($A158="","",AL157-AM157)</f>
        <v>#N/A</v>
      </c>
      <c r="AO157" s="137" t="n">
        <f aca="false">IF(A158="","",A158-A157)</f>
        <v>30</v>
      </c>
      <c r="AP157" s="212" t="n">
        <f aca="false">IF(A158="","",CHOOSE(F$3,A158+24,A157))</f>
        <v>41518</v>
      </c>
      <c r="AQ157" s="209" t="n">
        <f aca="false">IF(A158="","",AP157-$E$1)</f>
        <v>-4408</v>
      </c>
      <c r="AR157" s="185" t="n">
        <f aca="false">'ANR OK vs ML7'!AR157</f>
        <v>0.1</v>
      </c>
      <c r="AS157" s="213" t="n">
        <f aca="false">IF(A158="","",1/(1+CHOOSE(F$3,(AR158+($I$3/10000))/2,(AR157+($I$3/10000))/2))^(2*AQ157/365.25))</f>
        <v>3.2467125117055</v>
      </c>
      <c r="AT157" s="137" t="n">
        <f aca="false">IF(A158="","",IF(AND(mthbeg&lt;=A157,mthend&gt;=A157),1,0))</f>
        <v>1</v>
      </c>
      <c r="AU157" s="137" t="n">
        <f aca="false">IF(A158="","",AO157*AT157)</f>
        <v>30</v>
      </c>
      <c r="AW157" s="195" t="e">
        <f aca="false">IF($A158="","",AL157*$E157)</f>
        <v>#NAME?</v>
      </c>
      <c r="AX157" s="195" t="e">
        <f aca="false">IF($A158="","",AM157*$E157)</f>
        <v>#N/A</v>
      </c>
      <c r="AY157" s="195" t="e">
        <f aca="false">IF($A158="","",AN157*$E157)</f>
        <v>#N/A</v>
      </c>
      <c r="BA157" s="195" t="n">
        <f aca="false">IF($A158="","",F157*Summary!$Q$10)</f>
        <v>0</v>
      </c>
      <c r="BC157" s="179" t="e">
        <f aca="false">IF(A158="","",AM157*F157)</f>
        <v>#N/A</v>
      </c>
    </row>
    <row r="158" customFormat="false" ht="12.75" hidden="false" customHeight="false" outlineLevel="0" collapsed="false">
      <c r="A158" s="196" t="n">
        <f aca="false">IF(A157&lt;mthend,EDATE(A157,1),"")</f>
        <v>41548</v>
      </c>
      <c r="B158" s="197" t="n">
        <f aca="false">IF(A158&lt;mthend,B157,"")</f>
        <v>119740</v>
      </c>
      <c r="C158" s="215"/>
      <c r="D158" s="197" t="n">
        <f aca="false">IF(A159&lt;&gt;"",B158+C158,"")</f>
        <v>119740</v>
      </c>
      <c r="E158" s="199" t="n">
        <f aca="false">IF(A159="","",IF(AND(AT158=1,$H$3=1),D158*AO158,IF($H$3=2,D158,"N/A")))</f>
        <v>3711940</v>
      </c>
      <c r="F158" s="199" t="n">
        <f aca="false">IF(A159="","",E158*AS158)</f>
        <v>11955396.7722627</v>
      </c>
      <c r="G158" s="200" t="e">
        <f aca="false">IF($A159="","",VLOOKUP($A158,Table,MATCH(G$4,Curves,0)))</f>
        <v>#N/A</v>
      </c>
      <c r="H158" s="201" t="e">
        <f aca="false">IF(A159="","",G158)</f>
        <v>#N/A</v>
      </c>
      <c r="I158" s="202"/>
      <c r="J158" s="200" t="e">
        <f aca="false">IF($A159="","",VLOOKUP($A158,Table,MATCH(J$4,Curves,0)))</f>
        <v>#N/A</v>
      </c>
      <c r="K158" s="201" t="e">
        <f aca="false">IF(A159="","",J158)</f>
        <v>#N/A</v>
      </c>
      <c r="L158" s="185" t="n">
        <v>0</v>
      </c>
      <c r="M158" s="201" t="n">
        <f aca="false">IF(A159="","",L158)</f>
        <v>0</v>
      </c>
      <c r="N158" s="203"/>
      <c r="O158" s="200" t="e">
        <f aca="false">IF(A159="","",L158+J158+G158)</f>
        <v>#N/A</v>
      </c>
      <c r="P158" s="200" t="e">
        <f aca="false">IF(A159="","",M158+K158+H158)</f>
        <v>#N/A</v>
      </c>
      <c r="Q158" s="204"/>
      <c r="R158" s="200" t="e">
        <f aca="false">IF($A159="","",VLOOKUP($A158,Table,MATCH(R$4,Curves,0)))</f>
        <v>#N/A</v>
      </c>
      <c r="S158" s="201" t="e">
        <f aca="false">IF(A159="","",R158)</f>
        <v>#N/A</v>
      </c>
      <c r="T158" s="200" t="e">
        <f aca="false">IF($A159="","",VLOOKUP($A158,Table,MATCH(T$4,Curves,0)))</f>
        <v>#N/A</v>
      </c>
      <c r="U158" s="201" t="e">
        <f aca="false">IF(A159="","",T158)</f>
        <v>#N/A</v>
      </c>
      <c r="V158" s="205" t="e">
        <f aca="false">IF($A159="","",IF(AND(MONTH(A158)&gt;3,MONTH(A158)&lt;11),(T158+R158+G158)*Summary!$T$10/(1-Summary!$T$10),(T158+R158+G158)*Summary!$U$10/(1-Summary!$U$10)))</f>
        <v>#N/A</v>
      </c>
      <c r="W158" s="200" t="e">
        <f aca="false">IF($A159="","",(T158+R158+G158+V158))</f>
        <v>#N/A</v>
      </c>
      <c r="X158" s="200" t="e">
        <f aca="false">IF($A159="","",(U158+S158+H158+V158))</f>
        <v>#N/A</v>
      </c>
      <c r="Y158" s="202"/>
      <c r="Z158" s="185" t="e">
        <f aca="false">IF($A159="","",VLOOKUP($A158,Table,MATCH(Z$4,Curves,0)))</f>
        <v>#N/A</v>
      </c>
      <c r="AA158" s="185" t="e">
        <f aca="false">IF($A159="","",VLOOKUP($A158,Table,MATCH(AA$4,Curves,0)))</f>
        <v>#N/A</v>
      </c>
      <c r="AB158" s="185" t="e">
        <f aca="false">SQRT((AA158^2*(A158-$D$3)+Z158^2*(DAY(EOMONTH(A158,0))/2))/AK158)</f>
        <v>#N/A</v>
      </c>
      <c r="AC158" s="185" t="e">
        <f aca="false">IF($A159="","",VLOOKUP($A158,Table,MATCH(AC$4,Curves,0)))</f>
        <v>#N/A</v>
      </c>
      <c r="AD158" s="185" t="e">
        <f aca="false">IF($A159="","",VLOOKUP($A158,Table,MATCH(AD$4,Curves,0)))</f>
        <v>#N/A</v>
      </c>
      <c r="AE158" s="185" t="e">
        <f aca="false">SQRT((AD158^2*(A158-$D$3)+AC158^2*(DAY(EOMONTH(A158,0))/2))/AK158)</f>
        <v>#N/A</v>
      </c>
      <c r="AF158" s="224" t="e">
        <f aca="false">((Summary!$N$10*(AA158*AD158)*(A158-$D$3))+(Summary!$M$10*Z158*AC158*(AJ158-EOMONTH(EDATE(A158,-1),0))))/(AK158*AB158*AE158)</f>
        <v>#N/A</v>
      </c>
      <c r="AG158" s="207" t="n">
        <f aca="false">IF($A159="","",Summary!$Q$10)</f>
        <v>0</v>
      </c>
      <c r="AH158" s="207" t="n">
        <f aca="false">IF($A159="","",IF(Summary!$R$10="Y",(VLOOKUP($A158,Summary!$AD$6:$AF$9,3)+'Escalating commodity'!F171),'Escalating commodity'!F171))</f>
        <v>0.0158208</v>
      </c>
      <c r="AI158" s="207" t="n">
        <f aca="false">IF($A159="","",AH158)</f>
        <v>0.0158208</v>
      </c>
      <c r="AJ158" s="208" t="n">
        <f aca="false">A158+DAY(EOMONTH(A158,0))/2-1</f>
        <v>41562.5</v>
      </c>
      <c r="AK158" s="209" t="n">
        <f aca="false">IF($A159="","",$A158-$E$1)</f>
        <v>-4378</v>
      </c>
      <c r="AL158" s="182" t="e">
        <f aca="false">IF($A159="","",SPRDOPT(P158,X158,AI158,0,AB158,AE158,AF158,AK158,$AJ$2,0))</f>
        <v>#NAME?</v>
      </c>
      <c r="AM158" s="211" t="e">
        <f aca="false">IF($A159="","",MAX(0,O158-W158-AI158))</f>
        <v>#N/A</v>
      </c>
      <c r="AN158" s="211" t="e">
        <f aca="false">IF($A159="","",AL158-AM158)</f>
        <v>#N/A</v>
      </c>
      <c r="AO158" s="137" t="n">
        <f aca="false">IF(A159="","",A159-A158)</f>
        <v>31</v>
      </c>
      <c r="AP158" s="212" t="n">
        <f aca="false">IF(A159="","",CHOOSE(F$3,A159+24,A158))</f>
        <v>41548</v>
      </c>
      <c r="AQ158" s="209" t="n">
        <f aca="false">IF(A159="","",AP158-$E$1)</f>
        <v>-4378</v>
      </c>
      <c r="AR158" s="185" t="n">
        <f aca="false">'ANR OK vs ML7'!AR158</f>
        <v>0.1</v>
      </c>
      <c r="AS158" s="213" t="n">
        <f aca="false">IF(A159="","",1/(1+CHOOSE(F$3,(AR159+($I$3/10000))/2,(AR158+($I$3/10000))/2))^(2*AQ158/365.25))</f>
        <v>3.22079472520103</v>
      </c>
      <c r="AT158" s="137" t="n">
        <f aca="false">IF(A159="","",IF(AND(mthbeg&lt;=A158,mthend&gt;=A158),1,0))</f>
        <v>1</v>
      </c>
      <c r="AU158" s="137" t="n">
        <f aca="false">IF(A159="","",AO158*AT158)</f>
        <v>31</v>
      </c>
      <c r="AW158" s="195" t="e">
        <f aca="false">IF($A159="","",AL158*$E158)</f>
        <v>#NAME?</v>
      </c>
      <c r="AX158" s="195" t="e">
        <f aca="false">IF($A159="","",AM158*$E158)</f>
        <v>#N/A</v>
      </c>
      <c r="AY158" s="195" t="e">
        <f aca="false">IF($A159="","",AN158*$E158)</f>
        <v>#N/A</v>
      </c>
      <c r="BA158" s="195" t="n">
        <f aca="false">IF($A159="","",F158*Summary!$Q$10)</f>
        <v>0</v>
      </c>
      <c r="BC158" s="179" t="e">
        <f aca="false">IF(A159="","",AM158*F158)</f>
        <v>#N/A</v>
      </c>
    </row>
    <row r="159" customFormat="false" ht="12.75" hidden="false" customHeight="false" outlineLevel="0" collapsed="false">
      <c r="A159" s="196" t="n">
        <f aca="false">IF(A158&lt;mthend,EDATE(A158,1),"")</f>
        <v>41579</v>
      </c>
      <c r="B159" s="197" t="n">
        <f aca="false">IF(A159&lt;mthend,B158,"")</f>
        <v>119740</v>
      </c>
      <c r="C159" s="215"/>
      <c r="D159" s="197" t="n">
        <f aca="false">IF(A160&lt;&gt;"",B159+C159,"")</f>
        <v>119740</v>
      </c>
      <c r="E159" s="199" t="n">
        <f aca="false">IF(A160="","",IF(AND(AT159=1,$H$3=1),D159*AO159,IF($H$3=2,D159,"N/A")))</f>
        <v>3592200</v>
      </c>
      <c r="F159" s="199" t="n">
        <f aca="false">IF(A160="","",E159*AS159)</f>
        <v>11474314.2591364</v>
      </c>
      <c r="G159" s="200" t="e">
        <f aca="false">IF($A160="","",VLOOKUP($A159,Table,MATCH(G$4,Curves,0)))</f>
        <v>#N/A</v>
      </c>
      <c r="H159" s="201" t="e">
        <f aca="false">IF(A160="","",G159)</f>
        <v>#N/A</v>
      </c>
      <c r="I159" s="202"/>
      <c r="J159" s="200" t="e">
        <f aca="false">IF($A160="","",VLOOKUP($A159,Table,MATCH(J$4,Curves,0)))</f>
        <v>#N/A</v>
      </c>
      <c r="K159" s="201" t="e">
        <f aca="false">IF(A160="","",J159)</f>
        <v>#N/A</v>
      </c>
      <c r="L159" s="185" t="n">
        <v>0</v>
      </c>
      <c r="M159" s="201" t="n">
        <f aca="false">IF(A160="","",L159)</f>
        <v>0</v>
      </c>
      <c r="N159" s="203"/>
      <c r="O159" s="200" t="e">
        <f aca="false">IF(A160="","",L159+J159+G159)</f>
        <v>#N/A</v>
      </c>
      <c r="P159" s="200" t="e">
        <f aca="false">IF(A160="","",M159+K159+H159)</f>
        <v>#N/A</v>
      </c>
      <c r="Q159" s="204"/>
      <c r="R159" s="200" t="e">
        <f aca="false">IF($A160="","",VLOOKUP($A159,Table,MATCH(R$4,Curves,0)))</f>
        <v>#N/A</v>
      </c>
      <c r="S159" s="201" t="e">
        <f aca="false">IF(A160="","",R159)</f>
        <v>#N/A</v>
      </c>
      <c r="T159" s="200" t="e">
        <f aca="false">IF($A160="","",VLOOKUP($A159,Table,MATCH(T$4,Curves,0)))</f>
        <v>#N/A</v>
      </c>
      <c r="U159" s="201" t="e">
        <f aca="false">IF(A160="","",T159)</f>
        <v>#N/A</v>
      </c>
      <c r="V159" s="205" t="e">
        <f aca="false">IF($A160="","",IF(AND(MONTH(A159)&gt;3,MONTH(A159)&lt;11),(T159+R159+G159)*Summary!$T$10/(1-Summary!$T$10),(T159+R159+G159)*Summary!$U$10/(1-Summary!$U$10)))</f>
        <v>#N/A</v>
      </c>
      <c r="W159" s="200" t="e">
        <f aca="false">IF($A160="","",(T159+R159+G159+V159))</f>
        <v>#N/A</v>
      </c>
      <c r="X159" s="200" t="e">
        <f aca="false">IF($A160="","",(U159+S159+H159+V159))</f>
        <v>#N/A</v>
      </c>
      <c r="Y159" s="202"/>
      <c r="Z159" s="185" t="e">
        <f aca="false">IF($A160="","",VLOOKUP($A159,Table,MATCH(Z$4,Curves,0)))</f>
        <v>#N/A</v>
      </c>
      <c r="AA159" s="185" t="e">
        <f aca="false">IF($A160="","",VLOOKUP($A159,Table,MATCH(AA$4,Curves,0)))</f>
        <v>#N/A</v>
      </c>
      <c r="AB159" s="185" t="e">
        <f aca="false">SQRT((AA159^2*(A159-$D$3)+Z159^2*(DAY(EOMONTH(A159,0))/2))/AK159)</f>
        <v>#N/A</v>
      </c>
      <c r="AC159" s="185" t="e">
        <f aca="false">IF($A160="","",VLOOKUP($A159,Table,MATCH(AC$4,Curves,0)))</f>
        <v>#N/A</v>
      </c>
      <c r="AD159" s="185" t="e">
        <f aca="false">IF($A160="","",VLOOKUP($A159,Table,MATCH(AD$4,Curves,0)))</f>
        <v>#N/A</v>
      </c>
      <c r="AE159" s="185" t="e">
        <f aca="false">SQRT((AD159^2*(A159-$D$3)+AC159^2*(DAY(EOMONTH(A159,0))/2))/AK159)</f>
        <v>#N/A</v>
      </c>
      <c r="AF159" s="224" t="e">
        <f aca="false">((Summary!$N$10*(AA159*AD159)*(A159-$D$3))+(Summary!$M$10*Z159*AC159*(AJ159-EOMONTH(EDATE(A159,-1),0))))/(AK159*AB159*AE159)</f>
        <v>#N/A</v>
      </c>
      <c r="AG159" s="207" t="n">
        <f aca="false">IF($A160="","",Summary!$Q$10)</f>
        <v>0</v>
      </c>
      <c r="AH159" s="207" t="n">
        <f aca="false">IF($A160="","",IF(Summary!$R$10="Y",(VLOOKUP($A159,Summary!$AD$6:$AF$9,3)+'Escalating commodity'!F172),'Escalating commodity'!F172))</f>
        <v>0.0158208</v>
      </c>
      <c r="AI159" s="207" t="n">
        <f aca="false">IF($A160="","",AH159)</f>
        <v>0.0158208</v>
      </c>
      <c r="AJ159" s="208" t="n">
        <f aca="false">A159+DAY(EOMONTH(A159,0))/2-1</f>
        <v>41593</v>
      </c>
      <c r="AK159" s="209" t="n">
        <f aca="false">IF($A160="","",$A159-$E$1)</f>
        <v>-4347</v>
      </c>
      <c r="AL159" s="182" t="e">
        <f aca="false">IF($A160="","",SPRDOPT(P159,X159,AI159,0,AB159,AE159,AF159,AK159,$AJ$2,0))</f>
        <v>#NAME?</v>
      </c>
      <c r="AM159" s="211" t="e">
        <f aca="false">IF($A160="","",MAX(0,O159-W159-AI159))</f>
        <v>#N/A</v>
      </c>
      <c r="AN159" s="211" t="e">
        <f aca="false">IF($A160="","",AL159-AM159)</f>
        <v>#N/A</v>
      </c>
      <c r="AO159" s="137" t="n">
        <f aca="false">IF(A160="","",A160-A159)</f>
        <v>30</v>
      </c>
      <c r="AP159" s="212" t="n">
        <f aca="false">IF(A160="","",CHOOSE(F$3,A160+24,A159))</f>
        <v>41579</v>
      </c>
      <c r="AQ159" s="209" t="n">
        <f aca="false">IF(A160="","",AP159-$E$1)</f>
        <v>-4347</v>
      </c>
      <c r="AR159" s="185" t="n">
        <f aca="false">'ANR OK vs ML7'!AR159</f>
        <v>0.1</v>
      </c>
      <c r="AS159" s="213" t="n">
        <f aca="false">IF(A160="","",1/(1+CHOOSE(F$3,(AR160+($I$3/10000))/2,(AR159+($I$3/10000))/2))^(2*AQ159/365.25))</f>
        <v>3.19423034884928</v>
      </c>
      <c r="AT159" s="137" t="n">
        <f aca="false">IF(A160="","",IF(AND(mthbeg&lt;=A159,mthend&gt;=A159),1,0))</f>
        <v>1</v>
      </c>
      <c r="AU159" s="137" t="n">
        <f aca="false">IF(A160="","",AO159*AT159)</f>
        <v>30</v>
      </c>
      <c r="AW159" s="195" t="e">
        <f aca="false">IF($A160="","",AL159*$E159)</f>
        <v>#NAME?</v>
      </c>
      <c r="AX159" s="195" t="e">
        <f aca="false">IF($A160="","",AM159*$E159)</f>
        <v>#N/A</v>
      </c>
      <c r="AY159" s="195" t="e">
        <f aca="false">IF($A160="","",AN159*$E159)</f>
        <v>#N/A</v>
      </c>
      <c r="BA159" s="195" t="n">
        <f aca="false">IF($A160="","",F159*Summary!$Q$10)</f>
        <v>0</v>
      </c>
      <c r="BC159" s="179" t="e">
        <f aca="false">IF(A160="","",AM159*F159)</f>
        <v>#N/A</v>
      </c>
    </row>
    <row r="160" customFormat="false" ht="12.75" hidden="false" customHeight="false" outlineLevel="0" collapsed="false">
      <c r="A160" s="196" t="n">
        <f aca="false">IF(A159&lt;mthend,EDATE(A159,1),"")</f>
        <v>41609</v>
      </c>
      <c r="B160" s="197" t="n">
        <f aca="false">IF(A160&lt;mthend,B159,"")</f>
        <v>119740</v>
      </c>
      <c r="C160" s="215"/>
      <c r="D160" s="197" t="n">
        <f aca="false">IF(A161&lt;&gt;"",B160+C160,"")</f>
        <v>119740</v>
      </c>
      <c r="E160" s="199" t="n">
        <f aca="false">IF(A161="","",IF(AND(AT160=1,$H$3=1),D160*AO160,IF($H$3=2,D160,"N/A")))</f>
        <v>3711940</v>
      </c>
      <c r="F160" s="199" t="n">
        <f aca="false">IF(A161="","",E160*AS160)</f>
        <v>11762141.2628358</v>
      </c>
      <c r="G160" s="200" t="e">
        <f aca="false">IF($A161="","",VLOOKUP($A160,Table,MATCH(G$4,Curves,0)))</f>
        <v>#N/A</v>
      </c>
      <c r="H160" s="201" t="e">
        <f aca="false">IF(A161="","",G160)</f>
        <v>#N/A</v>
      </c>
      <c r="I160" s="202"/>
      <c r="J160" s="200" t="e">
        <f aca="false">IF($A161="","",VLOOKUP($A160,Table,MATCH(J$4,Curves,0)))</f>
        <v>#N/A</v>
      </c>
      <c r="K160" s="201" t="e">
        <f aca="false">IF(A161="","",J160)</f>
        <v>#N/A</v>
      </c>
      <c r="L160" s="185" t="n">
        <v>0</v>
      </c>
      <c r="M160" s="201" t="n">
        <f aca="false">IF(A161="","",L160)</f>
        <v>0</v>
      </c>
      <c r="N160" s="203"/>
      <c r="O160" s="200" t="e">
        <f aca="false">IF(A161="","",L160+J160+G160)</f>
        <v>#N/A</v>
      </c>
      <c r="P160" s="200" t="e">
        <f aca="false">IF(A161="","",M160+K160+H160)</f>
        <v>#N/A</v>
      </c>
      <c r="Q160" s="204"/>
      <c r="R160" s="200" t="e">
        <f aca="false">IF($A161="","",VLOOKUP($A160,Table,MATCH(R$4,Curves,0)))</f>
        <v>#N/A</v>
      </c>
      <c r="S160" s="201" t="e">
        <f aca="false">IF(A161="","",R160)</f>
        <v>#N/A</v>
      </c>
      <c r="T160" s="200" t="e">
        <f aca="false">IF($A161="","",VLOOKUP($A160,Table,MATCH(T$4,Curves,0)))</f>
        <v>#N/A</v>
      </c>
      <c r="U160" s="201" t="e">
        <f aca="false">IF(A161="","",T160)</f>
        <v>#N/A</v>
      </c>
      <c r="V160" s="205" t="e">
        <f aca="false">IF($A161="","",IF(AND(MONTH(A160)&gt;3,MONTH(A160)&lt;11),(T160+R160+G160)*Summary!$T$10/(1-Summary!$T$10),(T160+R160+G160)*Summary!$U$10/(1-Summary!$U$10)))</f>
        <v>#N/A</v>
      </c>
      <c r="W160" s="200" t="e">
        <f aca="false">IF($A161="","",(T160+R160+G160+V160))</f>
        <v>#N/A</v>
      </c>
      <c r="X160" s="200" t="e">
        <f aca="false">IF($A161="","",(U160+S160+H160+V160))</f>
        <v>#N/A</v>
      </c>
      <c r="Y160" s="202"/>
      <c r="Z160" s="185" t="e">
        <f aca="false">IF($A161="","",VLOOKUP($A160,Table,MATCH(Z$4,Curves,0)))</f>
        <v>#N/A</v>
      </c>
      <c r="AA160" s="185" t="e">
        <f aca="false">IF($A161="","",VLOOKUP($A160,Table,MATCH(AA$4,Curves,0)))</f>
        <v>#N/A</v>
      </c>
      <c r="AB160" s="185" t="e">
        <f aca="false">SQRT((AA160^2*(A160-$D$3)+Z160^2*(DAY(EOMONTH(A160,0))/2))/AK160)</f>
        <v>#N/A</v>
      </c>
      <c r="AC160" s="185" t="e">
        <f aca="false">IF($A161="","",VLOOKUP($A160,Table,MATCH(AC$4,Curves,0)))</f>
        <v>#N/A</v>
      </c>
      <c r="AD160" s="185" t="e">
        <f aca="false">IF($A161="","",VLOOKUP($A160,Table,MATCH(AD$4,Curves,0)))</f>
        <v>#N/A</v>
      </c>
      <c r="AE160" s="185" t="e">
        <f aca="false">SQRT((AD160^2*(A160-$D$3)+AC160^2*(DAY(EOMONTH(A160,0))/2))/AK160)</f>
        <v>#N/A</v>
      </c>
      <c r="AF160" s="224" t="e">
        <f aca="false">((Summary!$N$10*(AA160*AD160)*(A160-$D$3))+(Summary!$M$10*Z160*AC160*(AJ160-EOMONTH(EDATE(A160,-1),0))))/(AK160*AB160*AE160)</f>
        <v>#N/A</v>
      </c>
      <c r="AG160" s="207" t="n">
        <f aca="false">IF($A161="","",Summary!$Q$10)</f>
        <v>0</v>
      </c>
      <c r="AH160" s="207" t="n">
        <f aca="false">IF($A161="","",IF(Summary!$R$10="Y",(VLOOKUP($A160,Summary!$AD$6:$AF$9,3)+'Escalating commodity'!F173),'Escalating commodity'!F173))</f>
        <v>0.0158208</v>
      </c>
      <c r="AI160" s="207" t="n">
        <f aca="false">IF($A161="","",AH160)</f>
        <v>0.0158208</v>
      </c>
      <c r="AJ160" s="208" t="n">
        <f aca="false">A160+DAY(EOMONTH(A160,0))/2-1</f>
        <v>41623.5</v>
      </c>
      <c r="AK160" s="209" t="n">
        <f aca="false">IF($A161="","",$A160-$E$1)</f>
        <v>-4317</v>
      </c>
      <c r="AL160" s="182" t="e">
        <f aca="false">IF($A161="","",SPRDOPT(P160,X160,AI160,0,AB160,AE160,AF160,AK160,$AJ$2,0))</f>
        <v>#NAME?</v>
      </c>
      <c r="AM160" s="211" t="e">
        <f aca="false">IF($A161="","",MAX(0,O160-W160-AI160))</f>
        <v>#N/A</v>
      </c>
      <c r="AN160" s="211" t="e">
        <f aca="false">IF($A161="","",AL160-AM160)</f>
        <v>#N/A</v>
      </c>
      <c r="AO160" s="137" t="n">
        <f aca="false">IF(A161="","",A161-A160)</f>
        <v>31</v>
      </c>
      <c r="AP160" s="212" t="n">
        <f aca="false">IF(A161="","",CHOOSE(F$3,A161+24,A160))</f>
        <v>41609</v>
      </c>
      <c r="AQ160" s="209" t="n">
        <f aca="false">IF(A161="","",AP160-$E$1)</f>
        <v>-4317</v>
      </c>
      <c r="AR160" s="185" t="n">
        <f aca="false">'ANR OK vs ML7'!AR160</f>
        <v>0.1</v>
      </c>
      <c r="AS160" s="213" t="n">
        <f aca="false">IF(A161="","",1/(1+CHOOSE(F$3,(AR161+($I$3/10000))/2,(AR160+($I$3/10000))/2))^(2*AQ160/365.25))</f>
        <v>3.16873151582077</v>
      </c>
      <c r="AT160" s="137" t="n">
        <f aca="false">IF(A161="","",IF(AND(mthbeg&lt;=A160,mthend&gt;=A160),1,0))</f>
        <v>1</v>
      </c>
      <c r="AU160" s="137" t="n">
        <f aca="false">IF(A161="","",AO160*AT160)</f>
        <v>31</v>
      </c>
      <c r="AW160" s="195" t="e">
        <f aca="false">IF($A161="","",AL160*$E160)</f>
        <v>#NAME?</v>
      </c>
      <c r="AX160" s="195" t="e">
        <f aca="false">IF($A161="","",AM160*$E160)</f>
        <v>#N/A</v>
      </c>
      <c r="AY160" s="195" t="e">
        <f aca="false">IF($A161="","",AN160*$E160)</f>
        <v>#N/A</v>
      </c>
      <c r="BA160" s="195" t="n">
        <f aca="false">IF($A161="","",F160*Summary!$Q$10)</f>
        <v>0</v>
      </c>
      <c r="BC160" s="179" t="e">
        <f aca="false">IF(A161="","",AM160*F160)</f>
        <v>#N/A</v>
      </c>
    </row>
    <row r="161" customFormat="false" ht="12.75" hidden="false" customHeight="false" outlineLevel="0" collapsed="false">
      <c r="A161" s="196" t="n">
        <f aca="false">IF(A160&lt;mthend,EDATE(A160,1),"")</f>
        <v>41640</v>
      </c>
      <c r="B161" s="197" t="n">
        <f aca="false">IF(A161&lt;mthend,B160,"")</f>
        <v>119740</v>
      </c>
      <c r="C161" s="215"/>
      <c r="D161" s="197" t="n">
        <f aca="false">IF(A162&lt;&gt;"",B161+C161,"")</f>
        <v>119740</v>
      </c>
      <c r="E161" s="199" t="n">
        <f aca="false">IF(A162="","",IF(AND(AT161=1,$H$3=1),D161*AO161,IF($H$3=2,D161,"N/A")))</f>
        <v>3711940</v>
      </c>
      <c r="F161" s="199" t="n">
        <f aca="false">IF(A162="","",E161*AS161)</f>
        <v>11665129.8188081</v>
      </c>
      <c r="G161" s="200" t="e">
        <f aca="false">IF($A162="","",VLOOKUP($A161,Table,MATCH(G$4,Curves,0)))</f>
        <v>#N/A</v>
      </c>
      <c r="H161" s="201" t="e">
        <f aca="false">IF(A162="","",G161)</f>
        <v>#N/A</v>
      </c>
      <c r="I161" s="202"/>
      <c r="J161" s="200" t="e">
        <f aca="false">IF($A162="","",VLOOKUP($A161,Table,MATCH(J$4,Curves,0)))</f>
        <v>#N/A</v>
      </c>
      <c r="K161" s="201" t="e">
        <f aca="false">IF(A162="","",J161)</f>
        <v>#N/A</v>
      </c>
      <c r="L161" s="185" t="n">
        <v>0</v>
      </c>
      <c r="M161" s="201" t="n">
        <f aca="false">IF(A162="","",L161)</f>
        <v>0</v>
      </c>
      <c r="N161" s="203"/>
      <c r="O161" s="200" t="e">
        <f aca="false">IF(A162="","",L161+J161+G161)</f>
        <v>#N/A</v>
      </c>
      <c r="P161" s="200" t="e">
        <f aca="false">IF(A162="","",M161+K161+H161)</f>
        <v>#N/A</v>
      </c>
      <c r="Q161" s="204"/>
      <c r="R161" s="200" t="e">
        <f aca="false">IF($A162="","",VLOOKUP($A161,Table,MATCH(R$4,Curves,0)))</f>
        <v>#N/A</v>
      </c>
      <c r="S161" s="201" t="e">
        <f aca="false">IF(A162="","",R161)</f>
        <v>#N/A</v>
      </c>
      <c r="T161" s="200" t="e">
        <f aca="false">IF($A162="","",VLOOKUP($A161,Table,MATCH(T$4,Curves,0)))</f>
        <v>#N/A</v>
      </c>
      <c r="U161" s="201" t="e">
        <f aca="false">IF(A162="","",T161)</f>
        <v>#N/A</v>
      </c>
      <c r="V161" s="205" t="e">
        <f aca="false">IF($A162="","",IF(AND(MONTH(A161)&gt;3,MONTH(A161)&lt;11),(T161+R161+G161)*Summary!$T$10/(1-Summary!$T$10),(T161+R161+G161)*Summary!$U$10/(1-Summary!$U$10)))</f>
        <v>#N/A</v>
      </c>
      <c r="W161" s="200" t="e">
        <f aca="false">IF($A162="","",(T161+R161+G161+V161))</f>
        <v>#N/A</v>
      </c>
      <c r="X161" s="200" t="e">
        <f aca="false">IF($A162="","",(U161+S161+H161+V161))</f>
        <v>#N/A</v>
      </c>
      <c r="Y161" s="202"/>
      <c r="Z161" s="185" t="e">
        <f aca="false">IF($A162="","",VLOOKUP($A161,Table,MATCH(Z$4,Curves,0)))</f>
        <v>#N/A</v>
      </c>
      <c r="AA161" s="185" t="e">
        <f aca="false">IF($A162="","",VLOOKUP($A161,Table,MATCH(AA$4,Curves,0)))</f>
        <v>#N/A</v>
      </c>
      <c r="AB161" s="185" t="e">
        <f aca="false">SQRT((AA161^2*(A161-$D$3)+Z161^2*(DAY(EOMONTH(A161,0))/2))/AK161)</f>
        <v>#N/A</v>
      </c>
      <c r="AC161" s="185" t="e">
        <f aca="false">IF($A162="","",VLOOKUP($A161,Table,MATCH(AC$4,Curves,0)))</f>
        <v>#N/A</v>
      </c>
      <c r="AD161" s="185" t="e">
        <f aca="false">IF($A162="","",VLOOKUP($A161,Table,MATCH(AD$4,Curves,0)))</f>
        <v>#N/A</v>
      </c>
      <c r="AE161" s="185" t="e">
        <f aca="false">SQRT((AD161^2*(A161-$D$3)+AC161^2*(DAY(EOMONTH(A161,0))/2))/AK161)</f>
        <v>#N/A</v>
      </c>
      <c r="AF161" s="224" t="e">
        <f aca="false">((Summary!$N$10*(AA161*AD161)*(A161-$D$3))+(Summary!$M$10*Z161*AC161*(AJ161-EOMONTH(EDATE(A161,-1),0))))/(AK161*AB161*AE161)</f>
        <v>#N/A</v>
      </c>
      <c r="AG161" s="207" t="n">
        <f aca="false">IF($A162="","",Summary!$Q$10)</f>
        <v>0</v>
      </c>
      <c r="AH161" s="207" t="n">
        <f aca="false">IF($A162="","",IF(Summary!$R$10="Y",(VLOOKUP($A161,Summary!$AD$6:$AF$9,3)+'Escalating commodity'!F174),'Escalating commodity'!F174))</f>
        <v>0.0158208</v>
      </c>
      <c r="AI161" s="207" t="n">
        <f aca="false">IF($A162="","",AH161)</f>
        <v>0.0158208</v>
      </c>
      <c r="AJ161" s="208" t="n">
        <f aca="false">A161+DAY(EOMONTH(A161,0))/2-1</f>
        <v>41654.5</v>
      </c>
      <c r="AK161" s="209" t="n">
        <f aca="false">IF($A162="","",$A161-$E$1)</f>
        <v>-4286</v>
      </c>
      <c r="AL161" s="182" t="e">
        <f aca="false">IF($A162="","",SPRDOPT(P161,X161,AI161,0,AB161,AE161,AF161,AK161,$AJ$2,0))</f>
        <v>#NAME?</v>
      </c>
      <c r="AM161" s="211" t="e">
        <f aca="false">IF($A162="","",MAX(0,O161-W161-AI161))</f>
        <v>#N/A</v>
      </c>
      <c r="AN161" s="211" t="e">
        <f aca="false">IF($A162="","",AL161-AM161)</f>
        <v>#N/A</v>
      </c>
      <c r="AO161" s="137" t="n">
        <f aca="false">IF(A162="","",A162-A161)</f>
        <v>31</v>
      </c>
      <c r="AP161" s="212" t="n">
        <f aca="false">IF(A162="","",CHOOSE(F$3,A162+24,A161))</f>
        <v>41640</v>
      </c>
      <c r="AQ161" s="209" t="n">
        <f aca="false">IF(A162="","",AP161-$E$1)</f>
        <v>-4286</v>
      </c>
      <c r="AR161" s="185" t="n">
        <f aca="false">'ANR OK vs ML7'!AR161</f>
        <v>0.1</v>
      </c>
      <c r="AS161" s="213" t="n">
        <f aca="false">IF(A162="","",1/(1+CHOOSE(F$3,(AR162+($I$3/10000))/2,(AR161+($I$3/10000))/2))^(2*AQ161/365.25))</f>
        <v>3.14259654488168</v>
      </c>
      <c r="AT161" s="137" t="n">
        <f aca="false">IF(A162="","",IF(AND(mthbeg&lt;=A161,mthend&gt;=A161),1,0))</f>
        <v>1</v>
      </c>
      <c r="AU161" s="137" t="n">
        <f aca="false">IF(A162="","",AO161*AT161)</f>
        <v>31</v>
      </c>
      <c r="AW161" s="195" t="e">
        <f aca="false">IF($A162="","",AL161*$E161)</f>
        <v>#NAME?</v>
      </c>
      <c r="AX161" s="195" t="e">
        <f aca="false">IF($A162="","",AM161*$E161)</f>
        <v>#N/A</v>
      </c>
      <c r="AY161" s="195" t="e">
        <f aca="false">IF($A162="","",AN161*$E161)</f>
        <v>#N/A</v>
      </c>
      <c r="BA161" s="195" t="n">
        <f aca="false">IF($A162="","",F161*Summary!$Q$10)</f>
        <v>0</v>
      </c>
      <c r="BC161" s="179" t="e">
        <f aca="false">IF(A162="","",AM161*F161)</f>
        <v>#N/A</v>
      </c>
    </row>
    <row r="162" customFormat="false" ht="12.75" hidden="false" customHeight="false" outlineLevel="0" collapsed="false">
      <c r="A162" s="196" t="n">
        <f aca="false">IF(A161&lt;mthend,EDATE(A161,1),"")</f>
        <v>41671</v>
      </c>
      <c r="B162" s="197" t="n">
        <f aca="false">IF(A162&lt;mthend,B161,"")</f>
        <v>119740</v>
      </c>
      <c r="C162" s="215"/>
      <c r="D162" s="197" t="n">
        <f aca="false">IF(A163&lt;&gt;"",B162+C162,"")</f>
        <v>119740</v>
      </c>
      <c r="E162" s="199" t="n">
        <f aca="false">IF(A163="","",IF(AND(AT162=1,$H$3=1),D162*AO162,IF($H$3=2,D162,"N/A")))</f>
        <v>3352720</v>
      </c>
      <c r="F162" s="199" t="n">
        <f aca="false">IF(A163="","",E162*AS162)</f>
        <v>10449345.744578</v>
      </c>
      <c r="G162" s="200" t="e">
        <f aca="false">IF($A163="","",VLOOKUP($A162,Table,MATCH(G$4,Curves,0)))</f>
        <v>#N/A</v>
      </c>
      <c r="H162" s="201" t="e">
        <f aca="false">IF(A163="","",G162)</f>
        <v>#N/A</v>
      </c>
      <c r="I162" s="202"/>
      <c r="J162" s="200" t="e">
        <f aca="false">IF($A163="","",VLOOKUP($A162,Table,MATCH(J$4,Curves,0)))</f>
        <v>#N/A</v>
      </c>
      <c r="K162" s="201" t="e">
        <f aca="false">IF(A163="","",J162)</f>
        <v>#N/A</v>
      </c>
      <c r="L162" s="185" t="n">
        <v>0</v>
      </c>
      <c r="M162" s="201" t="n">
        <f aca="false">IF(A163="","",L162)</f>
        <v>0</v>
      </c>
      <c r="N162" s="203"/>
      <c r="O162" s="200" t="e">
        <f aca="false">IF(A163="","",L162+J162+G162)</f>
        <v>#N/A</v>
      </c>
      <c r="P162" s="200" t="e">
        <f aca="false">IF(A163="","",M162+K162+H162)</f>
        <v>#N/A</v>
      </c>
      <c r="Q162" s="204"/>
      <c r="R162" s="200" t="e">
        <f aca="false">IF($A163="","",VLOOKUP($A162,Table,MATCH(R$4,Curves,0)))</f>
        <v>#N/A</v>
      </c>
      <c r="S162" s="201" t="e">
        <f aca="false">IF(A163="","",R162)</f>
        <v>#N/A</v>
      </c>
      <c r="T162" s="200" t="e">
        <f aca="false">IF($A163="","",VLOOKUP($A162,Table,MATCH(T$4,Curves,0)))</f>
        <v>#N/A</v>
      </c>
      <c r="U162" s="201" t="e">
        <f aca="false">IF(A163="","",T162)</f>
        <v>#N/A</v>
      </c>
      <c r="V162" s="205" t="e">
        <f aca="false">IF($A163="","",IF(AND(MONTH(A162)&gt;3,MONTH(A162)&lt;11),(T162+R162+G162)*Summary!$T$10/(1-Summary!$T$10),(T162+R162+G162)*Summary!$U$10/(1-Summary!$U$10)))</f>
        <v>#N/A</v>
      </c>
      <c r="W162" s="200" t="e">
        <f aca="false">IF($A163="","",(T162+R162+G162+V162))</f>
        <v>#N/A</v>
      </c>
      <c r="X162" s="200" t="e">
        <f aca="false">IF($A163="","",(U162+S162+H162+V162))</f>
        <v>#N/A</v>
      </c>
      <c r="Y162" s="202"/>
      <c r="Z162" s="185" t="e">
        <f aca="false">IF($A163="","",VLOOKUP($A162,Table,MATCH(Z$4,Curves,0)))</f>
        <v>#N/A</v>
      </c>
      <c r="AA162" s="185" t="e">
        <f aca="false">IF($A163="","",VLOOKUP($A162,Table,MATCH(AA$4,Curves,0)))</f>
        <v>#N/A</v>
      </c>
      <c r="AB162" s="185" t="e">
        <f aca="false">SQRT((AA162^2*(A162-$D$3)+Z162^2*(DAY(EOMONTH(A162,0))/2))/AK162)</f>
        <v>#N/A</v>
      </c>
      <c r="AC162" s="185" t="e">
        <f aca="false">IF($A163="","",VLOOKUP($A162,Table,MATCH(AC$4,Curves,0)))</f>
        <v>#N/A</v>
      </c>
      <c r="AD162" s="185" t="e">
        <f aca="false">IF($A163="","",VLOOKUP($A162,Table,MATCH(AD$4,Curves,0)))</f>
        <v>#N/A</v>
      </c>
      <c r="AE162" s="185" t="e">
        <f aca="false">SQRT((AD162^2*(A162-$D$3)+AC162^2*(DAY(EOMONTH(A162,0))/2))/AK162)</f>
        <v>#N/A</v>
      </c>
      <c r="AF162" s="224" t="e">
        <f aca="false">((Summary!$N$10*(AA162*AD162)*(A162-$D$3))+(Summary!$M$10*Z162*AC162*(AJ162-EOMONTH(EDATE(A162,-1),0))))/(AK162*AB162*AE162)</f>
        <v>#N/A</v>
      </c>
      <c r="AG162" s="207" t="n">
        <f aca="false">IF($A163="","",Summary!$Q$10)</f>
        <v>0</v>
      </c>
      <c r="AH162" s="207" t="n">
        <f aca="false">IF($A163="","",IF(Summary!$R$10="Y",(VLOOKUP($A162,Summary!$AD$6:$AF$9,3)+'Escalating commodity'!F175),'Escalating commodity'!F175))</f>
        <v>0.0158208</v>
      </c>
      <c r="AI162" s="207" t="n">
        <f aca="false">IF($A163="","",AH162)</f>
        <v>0.0158208</v>
      </c>
      <c r="AJ162" s="208" t="n">
        <f aca="false">A162+DAY(EOMONTH(A162,0))/2-1</f>
        <v>41684</v>
      </c>
      <c r="AK162" s="209" t="n">
        <f aca="false">IF($A163="","",$A162-$E$1)</f>
        <v>-4255</v>
      </c>
      <c r="AL162" s="182" t="e">
        <f aca="false">IF($A163="","",SPRDOPT(P162,X162,AI162,0,AB162,AE162,AF162,AK162,$AJ$2,0))</f>
        <v>#NAME?</v>
      </c>
      <c r="AM162" s="211" t="e">
        <f aca="false">IF($A163="","",MAX(0,O162-W162-AI162))</f>
        <v>#N/A</v>
      </c>
      <c r="AN162" s="211" t="e">
        <f aca="false">IF($A163="","",AL162-AM162)</f>
        <v>#N/A</v>
      </c>
      <c r="AO162" s="137" t="n">
        <f aca="false">IF(A163="","",A163-A162)</f>
        <v>28</v>
      </c>
      <c r="AP162" s="212" t="n">
        <f aca="false">IF(A163="","",CHOOSE(F$3,A163+24,A162))</f>
        <v>41671</v>
      </c>
      <c r="AQ162" s="209" t="n">
        <f aca="false">IF(A163="","",AP162-$E$1)</f>
        <v>-4255</v>
      </c>
      <c r="AR162" s="185" t="n">
        <f aca="false">'ANR OK vs ML7'!AR162</f>
        <v>0.1</v>
      </c>
      <c r="AS162" s="213" t="n">
        <f aca="false">IF(A163="","",1/(1+CHOOSE(F$3,(AR163+($I$3/10000))/2,(AR162+($I$3/10000))/2))^(2*AQ162/365.25))</f>
        <v>3.11667712919003</v>
      </c>
      <c r="AT162" s="137" t="n">
        <f aca="false">IF(A163="","",IF(AND(mthbeg&lt;=A162,mthend&gt;=A162),1,0))</f>
        <v>1</v>
      </c>
      <c r="AU162" s="137" t="n">
        <f aca="false">IF(A163="","",AO162*AT162)</f>
        <v>28</v>
      </c>
      <c r="AW162" s="195" t="e">
        <f aca="false">IF($A163="","",AL162*$E162)</f>
        <v>#NAME?</v>
      </c>
      <c r="AX162" s="195" t="e">
        <f aca="false">IF($A163="","",AM162*$E162)</f>
        <v>#N/A</v>
      </c>
      <c r="AY162" s="195" t="e">
        <f aca="false">IF($A163="","",AN162*$E162)</f>
        <v>#N/A</v>
      </c>
      <c r="BA162" s="195" t="n">
        <f aca="false">IF($A163="","",F162*Summary!$Q$10)</f>
        <v>0</v>
      </c>
      <c r="BC162" s="179" t="e">
        <f aca="false">IF(A163="","",AM162*F162)</f>
        <v>#N/A</v>
      </c>
    </row>
    <row r="163" customFormat="false" ht="12.75" hidden="false" customHeight="false" outlineLevel="0" collapsed="false">
      <c r="A163" s="196" t="n">
        <f aca="false">IF(A162&lt;mthend,EDATE(A162,1),"")</f>
        <v>41699</v>
      </c>
      <c r="B163" s="197" t="n">
        <f aca="false">IF(A163&lt;mthend,B162,"")</f>
        <v>119740</v>
      </c>
      <c r="C163" s="215"/>
      <c r="D163" s="197" t="n">
        <f aca="false">IF(A164&lt;&gt;"",B163+C163,"")</f>
        <v>119740</v>
      </c>
      <c r="E163" s="199" t="n">
        <f aca="false">IF(A164="","",IF(AND(AT163=1,$H$3=1),D163*AO163,IF($H$3=2,D163,"N/A")))</f>
        <v>3711940</v>
      </c>
      <c r="F163" s="199" t="n">
        <f aca="false">IF(A164="","",E163*AS163)</f>
        <v>11482700.1964181</v>
      </c>
      <c r="G163" s="200" t="e">
        <f aca="false">IF($A164="","",VLOOKUP($A163,Table,MATCH(G$4,Curves,0)))</f>
        <v>#N/A</v>
      </c>
      <c r="H163" s="201" t="e">
        <f aca="false">IF(A164="","",G163)</f>
        <v>#N/A</v>
      </c>
      <c r="I163" s="202"/>
      <c r="J163" s="200" t="e">
        <f aca="false">IF($A164="","",VLOOKUP($A163,Table,MATCH(J$4,Curves,0)))</f>
        <v>#N/A</v>
      </c>
      <c r="K163" s="201" t="e">
        <f aca="false">IF(A164="","",J163)</f>
        <v>#N/A</v>
      </c>
      <c r="L163" s="185" t="n">
        <v>0</v>
      </c>
      <c r="M163" s="201" t="n">
        <f aca="false">IF(A164="","",L163)</f>
        <v>0</v>
      </c>
      <c r="N163" s="203"/>
      <c r="O163" s="200" t="e">
        <f aca="false">IF(A164="","",L163+J163+G163)</f>
        <v>#N/A</v>
      </c>
      <c r="P163" s="200" t="e">
        <f aca="false">IF(A164="","",M163+K163+H163)</f>
        <v>#N/A</v>
      </c>
      <c r="Q163" s="204"/>
      <c r="R163" s="200" t="e">
        <f aca="false">IF($A164="","",VLOOKUP($A163,Table,MATCH(R$4,Curves,0)))</f>
        <v>#N/A</v>
      </c>
      <c r="S163" s="201" t="e">
        <f aca="false">IF(A164="","",R163)</f>
        <v>#N/A</v>
      </c>
      <c r="T163" s="200" t="e">
        <f aca="false">IF($A164="","",VLOOKUP($A163,Table,MATCH(T$4,Curves,0)))</f>
        <v>#N/A</v>
      </c>
      <c r="U163" s="201" t="e">
        <f aca="false">IF(A164="","",T163)</f>
        <v>#N/A</v>
      </c>
      <c r="V163" s="205" t="e">
        <f aca="false">IF($A164="","",IF(AND(MONTH(A163)&gt;3,MONTH(A163)&lt;11),(T163+R163+G163)*Summary!$T$10/(1-Summary!$T$10),(T163+R163+G163)*Summary!$U$10/(1-Summary!$U$10)))</f>
        <v>#N/A</v>
      </c>
      <c r="W163" s="200" t="e">
        <f aca="false">IF($A164="","",(T163+R163+G163+V163))</f>
        <v>#N/A</v>
      </c>
      <c r="X163" s="200" t="e">
        <f aca="false">IF($A164="","",(U163+S163+H163+V163))</f>
        <v>#N/A</v>
      </c>
      <c r="Y163" s="202"/>
      <c r="Z163" s="185" t="e">
        <f aca="false">IF($A164="","",VLOOKUP($A163,Table,MATCH(Z$4,Curves,0)))</f>
        <v>#N/A</v>
      </c>
      <c r="AA163" s="185" t="e">
        <f aca="false">IF($A164="","",VLOOKUP($A163,Table,MATCH(AA$4,Curves,0)))</f>
        <v>#N/A</v>
      </c>
      <c r="AB163" s="185" t="e">
        <f aca="false">SQRT((AA163^2*(A163-$D$3)+Z163^2*(DAY(EOMONTH(A163,0))/2))/AK163)</f>
        <v>#N/A</v>
      </c>
      <c r="AC163" s="185" t="e">
        <f aca="false">IF($A164="","",VLOOKUP($A163,Table,MATCH(AC$4,Curves,0)))</f>
        <v>#N/A</v>
      </c>
      <c r="AD163" s="185" t="e">
        <f aca="false">IF($A164="","",VLOOKUP($A163,Table,MATCH(AD$4,Curves,0)))</f>
        <v>#N/A</v>
      </c>
      <c r="AE163" s="185" t="e">
        <f aca="false">SQRT((AD163^2*(A163-$D$3)+AC163^2*(DAY(EOMONTH(A163,0))/2))/AK163)</f>
        <v>#N/A</v>
      </c>
      <c r="AF163" s="224" t="e">
        <f aca="false">((Summary!$N$10*(AA163*AD163)*(A163-$D$3))+(Summary!$M$10*Z163*AC163*(AJ163-EOMONTH(EDATE(A163,-1),0))))/(AK163*AB163*AE163)</f>
        <v>#N/A</v>
      </c>
      <c r="AG163" s="207" t="n">
        <f aca="false">IF($A164="","",Summary!$Q$10)</f>
        <v>0</v>
      </c>
      <c r="AH163" s="207" t="n">
        <f aca="false">IF($A164="","",IF(Summary!$R$10="Y",(VLOOKUP($A163,Summary!$AD$6:$AF$9,3)+'Escalating commodity'!F176),'Escalating commodity'!F176))</f>
        <v>0.0158208</v>
      </c>
      <c r="AI163" s="207" t="n">
        <f aca="false">IF($A164="","",AH163)</f>
        <v>0.0158208</v>
      </c>
      <c r="AJ163" s="208" t="n">
        <f aca="false">A163+DAY(EOMONTH(A163,0))/2-1</f>
        <v>41713.5</v>
      </c>
      <c r="AK163" s="209" t="n">
        <f aca="false">IF($A164="","",$A163-$E$1)</f>
        <v>-4227</v>
      </c>
      <c r="AL163" s="182" t="e">
        <f aca="false">IF($A164="","",SPRDOPT(P163,X163,AI163,0,AB163,AE163,AF163,AK163,$AJ$2,0))</f>
        <v>#NAME?</v>
      </c>
      <c r="AM163" s="211" t="e">
        <f aca="false">IF($A164="","",MAX(0,O163-W163-AI163))</f>
        <v>#N/A</v>
      </c>
      <c r="AN163" s="211" t="e">
        <f aca="false">IF($A164="","",AL163-AM163)</f>
        <v>#N/A</v>
      </c>
      <c r="AO163" s="137" t="n">
        <f aca="false">IF(A164="","",A164-A163)</f>
        <v>31</v>
      </c>
      <c r="AP163" s="212" t="n">
        <f aca="false">IF(A164="","",CHOOSE(F$3,A164+24,A163))</f>
        <v>41699</v>
      </c>
      <c r="AQ163" s="209" t="n">
        <f aca="false">IF(A164="","",AP163-$E$1)</f>
        <v>-4227</v>
      </c>
      <c r="AR163" s="185" t="n">
        <f aca="false">'ANR OK vs ML7'!AR163</f>
        <v>0.1</v>
      </c>
      <c r="AS163" s="213" t="n">
        <f aca="false">IF(A164="","",1/(1+CHOOSE(F$3,(AR164+($I$3/10000))/2,(AR163+($I$3/10000))/2))^(2*AQ163/365.25))</f>
        <v>3.0934498392803</v>
      </c>
      <c r="AT163" s="137" t="n">
        <f aca="false">IF(A164="","",IF(AND(mthbeg&lt;=A163,mthend&gt;=A163),1,0))</f>
        <v>1</v>
      </c>
      <c r="AU163" s="137" t="n">
        <f aca="false">IF(A164="","",AO163*AT163)</f>
        <v>31</v>
      </c>
      <c r="AW163" s="195" t="e">
        <f aca="false">IF($A164="","",AL163*$E163)</f>
        <v>#NAME?</v>
      </c>
      <c r="AX163" s="195" t="e">
        <f aca="false">IF($A164="","",AM163*$E163)</f>
        <v>#N/A</v>
      </c>
      <c r="AY163" s="195" t="e">
        <f aca="false">IF($A164="","",AN163*$E163)</f>
        <v>#N/A</v>
      </c>
      <c r="BA163" s="195" t="n">
        <f aca="false">IF($A164="","",F163*Summary!$Q$10)</f>
        <v>0</v>
      </c>
      <c r="BC163" s="179" t="e">
        <f aca="false">IF(A164="","",AM163*F163)</f>
        <v>#N/A</v>
      </c>
    </row>
    <row r="164" customFormat="false" ht="12.75" hidden="false" customHeight="false" outlineLevel="0" collapsed="false">
      <c r="A164" s="196" t="n">
        <f aca="false">IF(A163&lt;mthend,EDATE(A163,1),"")</f>
        <v>41730</v>
      </c>
      <c r="B164" s="197" t="n">
        <f aca="false">IF(A164&lt;mthend,B163,"")</f>
        <v>119740</v>
      </c>
      <c r="C164" s="215"/>
      <c r="D164" s="197" t="n">
        <f aca="false">IF(A165&lt;&gt;"",B164+C164,"")</f>
        <v>119740</v>
      </c>
      <c r="E164" s="199" t="n">
        <f aca="false">IF(A165="","",IF(AND(AT164=1,$H$3=1),D164*AO164,IF($H$3=2,D164,"N/A")))</f>
        <v>3592200</v>
      </c>
      <c r="F164" s="199" t="n">
        <f aca="false">IF(A165="","",E164*AS164)</f>
        <v>11020638.888609</v>
      </c>
      <c r="G164" s="200" t="e">
        <f aca="false">IF($A165="","",VLOOKUP($A164,Table,MATCH(G$4,Curves,0)))</f>
        <v>#N/A</v>
      </c>
      <c r="H164" s="201" t="e">
        <f aca="false">IF(A165="","",G164)</f>
        <v>#N/A</v>
      </c>
      <c r="I164" s="202"/>
      <c r="J164" s="200" t="e">
        <f aca="false">IF($A165="","",VLOOKUP($A164,Table,MATCH(J$4,Curves,0)))</f>
        <v>#N/A</v>
      </c>
      <c r="K164" s="201" t="e">
        <f aca="false">IF(A165="","",J164)</f>
        <v>#N/A</v>
      </c>
      <c r="L164" s="185" t="n">
        <v>0</v>
      </c>
      <c r="M164" s="201" t="n">
        <f aca="false">IF(A165="","",L164)</f>
        <v>0</v>
      </c>
      <c r="N164" s="203"/>
      <c r="O164" s="200" t="e">
        <f aca="false">IF(A165="","",L164+J164+G164)</f>
        <v>#N/A</v>
      </c>
      <c r="P164" s="200" t="e">
        <f aca="false">IF(A165="","",M164+K164+H164)</f>
        <v>#N/A</v>
      </c>
      <c r="Q164" s="204"/>
      <c r="R164" s="200" t="e">
        <f aca="false">IF($A165="","",VLOOKUP($A164,Table,MATCH(R$4,Curves,0)))</f>
        <v>#N/A</v>
      </c>
      <c r="S164" s="201" t="e">
        <f aca="false">IF(A165="","",R164)</f>
        <v>#N/A</v>
      </c>
      <c r="T164" s="200" t="e">
        <f aca="false">IF($A165="","",VLOOKUP($A164,Table,MATCH(T$4,Curves,0)))</f>
        <v>#N/A</v>
      </c>
      <c r="U164" s="201" t="e">
        <f aca="false">IF(A165="","",T164)</f>
        <v>#N/A</v>
      </c>
      <c r="V164" s="205" t="e">
        <f aca="false">IF($A165="","",IF(AND(MONTH(A164)&gt;3,MONTH(A164)&lt;11),(T164+R164+G164)*Summary!$T$10/(1-Summary!$T$10),(T164+R164+G164)*Summary!$U$10/(1-Summary!$U$10)))</f>
        <v>#N/A</v>
      </c>
      <c r="W164" s="200" t="e">
        <f aca="false">IF($A165="","",(T164+R164+G164+V164))</f>
        <v>#N/A</v>
      </c>
      <c r="X164" s="200" t="e">
        <f aca="false">IF($A165="","",(U164+S164+H164+V164))</f>
        <v>#N/A</v>
      </c>
      <c r="Y164" s="202"/>
      <c r="Z164" s="185" t="e">
        <f aca="false">IF($A165="","",VLOOKUP($A164,Table,MATCH(Z$4,Curves,0)))</f>
        <v>#N/A</v>
      </c>
      <c r="AA164" s="185" t="e">
        <f aca="false">IF($A165="","",VLOOKUP($A164,Table,MATCH(AA$4,Curves,0)))</f>
        <v>#N/A</v>
      </c>
      <c r="AB164" s="185" t="e">
        <f aca="false">SQRT((AA164^2*(A164-$D$3)+Z164^2*(DAY(EOMONTH(A164,0))/2))/AK164)</f>
        <v>#N/A</v>
      </c>
      <c r="AC164" s="185" t="e">
        <f aca="false">IF($A165="","",VLOOKUP($A164,Table,MATCH(AC$4,Curves,0)))</f>
        <v>#N/A</v>
      </c>
      <c r="AD164" s="185" t="e">
        <f aca="false">IF($A165="","",VLOOKUP($A164,Table,MATCH(AD$4,Curves,0)))</f>
        <v>#N/A</v>
      </c>
      <c r="AE164" s="185" t="e">
        <f aca="false">SQRT((AD164^2*(A164-$D$3)+AC164^2*(DAY(EOMONTH(A164,0))/2))/AK164)</f>
        <v>#N/A</v>
      </c>
      <c r="AF164" s="224" t="e">
        <f aca="false">((Summary!$N$10*(AA164*AD164)*(A164-$D$3))+(Summary!$M$10*Z164*AC164*(AJ164-EOMONTH(EDATE(A164,-1),0))))/(AK164*AB164*AE164)</f>
        <v>#N/A</v>
      </c>
      <c r="AG164" s="207" t="n">
        <f aca="false">IF($A165="","",Summary!$Q$10)</f>
        <v>0</v>
      </c>
      <c r="AH164" s="207" t="n">
        <f aca="false">IF($A165="","",IF(Summary!$R$10="Y",(VLOOKUP($A164,Summary!$AD$6:$AF$9,3)+'Escalating commodity'!F177),'Escalating commodity'!F177))</f>
        <v>0.0158208</v>
      </c>
      <c r="AI164" s="207" t="n">
        <f aca="false">IF($A165="","",AH164)</f>
        <v>0.0158208</v>
      </c>
      <c r="AJ164" s="208" t="n">
        <f aca="false">A164+DAY(EOMONTH(A164,0))/2-1</f>
        <v>41744</v>
      </c>
      <c r="AK164" s="209" t="n">
        <f aca="false">IF($A165="","",$A164-$E$1)</f>
        <v>-4196</v>
      </c>
      <c r="AL164" s="182" t="e">
        <f aca="false">IF($A165="","",SPRDOPT(P164,X164,AI164,0,AB164,AE164,AF164,AK164,$AJ$2,0))</f>
        <v>#NAME?</v>
      </c>
      <c r="AM164" s="211" t="e">
        <f aca="false">IF($A165="","",MAX(0,O164-W164-AI164))</f>
        <v>#N/A</v>
      </c>
      <c r="AN164" s="211" t="e">
        <f aca="false">IF($A165="","",AL164-AM164)</f>
        <v>#N/A</v>
      </c>
      <c r="AO164" s="137" t="n">
        <f aca="false">IF(A165="","",A165-A164)</f>
        <v>30</v>
      </c>
      <c r="AP164" s="212" t="n">
        <f aca="false">IF(A165="","",CHOOSE(F$3,A165+24,A164))</f>
        <v>41730</v>
      </c>
      <c r="AQ164" s="209" t="n">
        <f aca="false">IF(A165="","",AP164-$E$1)</f>
        <v>-4196</v>
      </c>
      <c r="AR164" s="185" t="n">
        <f aca="false">'ANR OK vs ML7'!AR164</f>
        <v>0.1</v>
      </c>
      <c r="AS164" s="213" t="n">
        <f aca="false">IF(A165="","",1/(1+CHOOSE(F$3,(AR165+($I$3/10000))/2,(AR164+($I$3/10000))/2))^(2*AQ164/365.25))</f>
        <v>3.06793577434691</v>
      </c>
      <c r="AT164" s="137" t="n">
        <f aca="false">IF(A165="","",IF(AND(mthbeg&lt;=A164,mthend&gt;=A164),1,0))</f>
        <v>1</v>
      </c>
      <c r="AU164" s="137" t="n">
        <f aca="false">IF(A165="","",AO164*AT164)</f>
        <v>30</v>
      </c>
      <c r="AW164" s="195" t="e">
        <f aca="false">IF($A165="","",AL164*$E164)</f>
        <v>#NAME?</v>
      </c>
      <c r="AX164" s="195" t="e">
        <f aca="false">IF($A165="","",AM164*$E164)</f>
        <v>#N/A</v>
      </c>
      <c r="AY164" s="195" t="e">
        <f aca="false">IF($A165="","",AN164*$E164)</f>
        <v>#N/A</v>
      </c>
      <c r="BA164" s="195" t="n">
        <f aca="false">IF($A165="","",F164*Summary!$Q$10)</f>
        <v>0</v>
      </c>
      <c r="BC164" s="179" t="e">
        <f aca="false">IF(A165="","",AM164*F164)</f>
        <v>#N/A</v>
      </c>
    </row>
    <row r="165" customFormat="false" ht="12.75" hidden="false" customHeight="false" outlineLevel="0" collapsed="false">
      <c r="A165" s="196" t="n">
        <f aca="false">IF(A164&lt;mthend,EDATE(A164,1),"")</f>
        <v>41760</v>
      </c>
      <c r="B165" s="197" t="n">
        <f aca="false">IF(A165&lt;mthend,B164,"")</f>
        <v>119740</v>
      </c>
      <c r="C165" s="215"/>
      <c r="D165" s="197" t="n">
        <f aca="false">IF(A166&lt;&gt;"",B165+C165,"")</f>
        <v>119740</v>
      </c>
      <c r="E165" s="199" t="n">
        <f aca="false">IF(A166="","",IF(AND(AT165=1,$H$3=1),D165*AO165,IF($H$3=2,D165,"N/A")))</f>
        <v>3711940</v>
      </c>
      <c r="F165" s="199" t="n">
        <f aca="false">IF(A166="","",E165*AS165)</f>
        <v>11297085.6895701</v>
      </c>
      <c r="G165" s="200" t="e">
        <f aca="false">IF($A166="","",VLOOKUP($A165,Table,MATCH(G$4,Curves,0)))</f>
        <v>#N/A</v>
      </c>
      <c r="H165" s="201" t="e">
        <f aca="false">IF(A166="","",G165)</f>
        <v>#N/A</v>
      </c>
      <c r="I165" s="202"/>
      <c r="J165" s="200" t="e">
        <f aca="false">IF($A166="","",VLOOKUP($A165,Table,MATCH(J$4,Curves,0)))</f>
        <v>#N/A</v>
      </c>
      <c r="K165" s="201" t="e">
        <f aca="false">IF(A166="","",J165)</f>
        <v>#N/A</v>
      </c>
      <c r="L165" s="185" t="n">
        <v>0</v>
      </c>
      <c r="M165" s="201" t="n">
        <f aca="false">IF(A166="","",L165)</f>
        <v>0</v>
      </c>
      <c r="N165" s="203"/>
      <c r="O165" s="200" t="e">
        <f aca="false">IF(A166="","",L165+J165+G165)</f>
        <v>#N/A</v>
      </c>
      <c r="P165" s="200" t="e">
        <f aca="false">IF(A166="","",M165+K165+H165)</f>
        <v>#N/A</v>
      </c>
      <c r="Q165" s="204"/>
      <c r="R165" s="200" t="e">
        <f aca="false">IF($A166="","",VLOOKUP($A165,Table,MATCH(R$4,Curves,0)))</f>
        <v>#N/A</v>
      </c>
      <c r="S165" s="201" t="e">
        <f aca="false">IF(A166="","",R165)</f>
        <v>#N/A</v>
      </c>
      <c r="T165" s="200" t="e">
        <f aca="false">IF($A166="","",VLOOKUP($A165,Table,MATCH(T$4,Curves,0)))</f>
        <v>#N/A</v>
      </c>
      <c r="U165" s="201" t="e">
        <f aca="false">IF(A166="","",T165)</f>
        <v>#N/A</v>
      </c>
      <c r="V165" s="205" t="e">
        <f aca="false">IF($A166="","",IF(AND(MONTH(A165)&gt;3,MONTH(A165)&lt;11),(T165+R165+G165)*Summary!$T$10/(1-Summary!$T$10),(T165+R165+G165)*Summary!$U$10/(1-Summary!$U$10)))</f>
        <v>#N/A</v>
      </c>
      <c r="W165" s="200" t="e">
        <f aca="false">IF($A166="","",(T165+R165+G165+V165))</f>
        <v>#N/A</v>
      </c>
      <c r="X165" s="200" t="e">
        <f aca="false">IF($A166="","",(U165+S165+H165+V165))</f>
        <v>#N/A</v>
      </c>
      <c r="Y165" s="202"/>
      <c r="Z165" s="185" t="e">
        <f aca="false">IF($A166="","",VLOOKUP($A165,Table,MATCH(Z$4,Curves,0)))</f>
        <v>#N/A</v>
      </c>
      <c r="AA165" s="185" t="e">
        <f aca="false">IF($A166="","",VLOOKUP($A165,Table,MATCH(AA$4,Curves,0)))</f>
        <v>#N/A</v>
      </c>
      <c r="AB165" s="185" t="e">
        <f aca="false">SQRT((AA165^2*(A165-$D$3)+Z165^2*(DAY(EOMONTH(A165,0))/2))/AK165)</f>
        <v>#N/A</v>
      </c>
      <c r="AC165" s="185" t="e">
        <f aca="false">IF($A166="","",VLOOKUP($A165,Table,MATCH(AC$4,Curves,0)))</f>
        <v>#N/A</v>
      </c>
      <c r="AD165" s="185" t="e">
        <f aca="false">IF($A166="","",VLOOKUP($A165,Table,MATCH(AD$4,Curves,0)))</f>
        <v>#N/A</v>
      </c>
      <c r="AE165" s="185" t="e">
        <f aca="false">SQRT((AD165^2*(A165-$D$3)+AC165^2*(DAY(EOMONTH(A165,0))/2))/AK165)</f>
        <v>#N/A</v>
      </c>
      <c r="AF165" s="224" t="e">
        <f aca="false">((Summary!$N$10*(AA165*AD165)*(A165-$D$3))+(Summary!$M$10*Z165*AC165*(AJ165-EOMONTH(EDATE(A165,-1),0))))/(AK165*AB165*AE165)</f>
        <v>#N/A</v>
      </c>
      <c r="AG165" s="207" t="n">
        <f aca="false">IF($A166="","",Summary!$Q$10)</f>
        <v>0</v>
      </c>
      <c r="AH165" s="207" t="n">
        <f aca="false">IF($A166="","",IF(Summary!$R$10="Y",(VLOOKUP($A165,Summary!$AD$6:$AF$9,3)+'Escalating commodity'!F178),'Escalating commodity'!F178))</f>
        <v>0.0158208</v>
      </c>
      <c r="AI165" s="207" t="n">
        <f aca="false">IF($A166="","",AH165)</f>
        <v>0.0158208</v>
      </c>
      <c r="AJ165" s="208" t="n">
        <f aca="false">A165+DAY(EOMONTH(A165,0))/2-1</f>
        <v>41774.5</v>
      </c>
      <c r="AK165" s="209" t="n">
        <f aca="false">IF($A166="","",$A165-$E$1)</f>
        <v>-4166</v>
      </c>
      <c r="AL165" s="182" t="e">
        <f aca="false">IF($A166="","",SPRDOPT(P165,X165,AI165,0,AB165,AE165,AF165,AK165,$AJ$2,0))</f>
        <v>#NAME?</v>
      </c>
      <c r="AM165" s="211" t="e">
        <f aca="false">IF($A166="","",MAX(0,O165-W165-AI165))</f>
        <v>#N/A</v>
      </c>
      <c r="AN165" s="211" t="e">
        <f aca="false">IF($A166="","",AL165-AM165)</f>
        <v>#N/A</v>
      </c>
      <c r="AO165" s="137" t="n">
        <f aca="false">IF(A166="","",A166-A165)</f>
        <v>31</v>
      </c>
      <c r="AP165" s="212" t="n">
        <f aca="false">IF(A166="","",CHOOSE(F$3,A166+24,A165))</f>
        <v>41760</v>
      </c>
      <c r="AQ165" s="209" t="n">
        <f aca="false">IF(A166="","",AP165-$E$1)</f>
        <v>-4166</v>
      </c>
      <c r="AR165" s="185" t="n">
        <f aca="false">'ANR OK vs ML7'!AR165</f>
        <v>0.1</v>
      </c>
      <c r="AS165" s="213" t="n">
        <f aca="false">IF(A166="","",1/(1+CHOOSE(F$3,(AR166+($I$3/10000))/2,(AR165+($I$3/10000))/2))^(2*AQ165/365.25))</f>
        <v>3.04344512291958</v>
      </c>
      <c r="AT165" s="137" t="n">
        <f aca="false">IF(A166="","",IF(AND(mthbeg&lt;=A165,mthend&gt;=A165),1,0))</f>
        <v>1</v>
      </c>
      <c r="AU165" s="137" t="n">
        <f aca="false">IF(A166="","",AO165*AT165)</f>
        <v>31</v>
      </c>
      <c r="AW165" s="195" t="e">
        <f aca="false">IF($A166="","",AL165*$E165)</f>
        <v>#NAME?</v>
      </c>
      <c r="AX165" s="195" t="e">
        <f aca="false">IF($A166="","",AM165*$E165)</f>
        <v>#N/A</v>
      </c>
      <c r="AY165" s="195" t="e">
        <f aca="false">IF($A166="","",AN165*$E165)</f>
        <v>#N/A</v>
      </c>
      <c r="BA165" s="195" t="n">
        <f aca="false">IF($A166="","",F165*Summary!$Q$10)</f>
        <v>0</v>
      </c>
      <c r="BC165" s="179" t="e">
        <f aca="false">IF(A166="","",AM165*F165)</f>
        <v>#N/A</v>
      </c>
    </row>
    <row r="166" customFormat="false" ht="12.75" hidden="false" customHeight="false" outlineLevel="0" collapsed="false">
      <c r="A166" s="196" t="n">
        <f aca="false">IF(A165&lt;mthend,EDATE(A165,1),"")</f>
        <v>41791</v>
      </c>
      <c r="B166" s="197" t="n">
        <f aca="false">IF(A166&lt;mthend,B165,"")</f>
        <v>119740</v>
      </c>
      <c r="C166" s="215"/>
      <c r="D166" s="197" t="n">
        <f aca="false">IF(A167&lt;&gt;"",B166+C166,"")</f>
        <v>119740</v>
      </c>
      <c r="E166" s="199" t="n">
        <f aca="false">IF(A167="","",IF(AND(AT166=1,$H$3=1),D166*AO166,IF($H$3=2,D166,"N/A")))</f>
        <v>3592200</v>
      </c>
      <c r="F166" s="199" t="n">
        <f aca="false">IF(A167="","",E166*AS166)</f>
        <v>10842493.4683273</v>
      </c>
      <c r="G166" s="200" t="e">
        <f aca="false">IF($A167="","",VLOOKUP($A166,Table,MATCH(G$4,Curves,0)))</f>
        <v>#N/A</v>
      </c>
      <c r="H166" s="201" t="e">
        <f aca="false">IF(A167="","",G166)</f>
        <v>#N/A</v>
      </c>
      <c r="I166" s="202"/>
      <c r="J166" s="200" t="e">
        <f aca="false">IF($A167="","",VLOOKUP($A166,Table,MATCH(J$4,Curves,0)))</f>
        <v>#N/A</v>
      </c>
      <c r="K166" s="201" t="e">
        <f aca="false">IF(A167="","",J166)</f>
        <v>#N/A</v>
      </c>
      <c r="L166" s="185" t="n">
        <v>0</v>
      </c>
      <c r="M166" s="201" t="n">
        <f aca="false">IF(A167="","",L166)</f>
        <v>0</v>
      </c>
      <c r="N166" s="203"/>
      <c r="O166" s="200" t="e">
        <f aca="false">IF(A167="","",L166+J166+G166)</f>
        <v>#N/A</v>
      </c>
      <c r="P166" s="200" t="e">
        <f aca="false">IF(A167="","",M166+K166+H166)</f>
        <v>#N/A</v>
      </c>
      <c r="Q166" s="204"/>
      <c r="R166" s="200" t="e">
        <f aca="false">IF($A167="","",VLOOKUP($A166,Table,MATCH(R$4,Curves,0)))</f>
        <v>#N/A</v>
      </c>
      <c r="S166" s="201" t="e">
        <f aca="false">IF(A167="","",R166)</f>
        <v>#N/A</v>
      </c>
      <c r="T166" s="200" t="e">
        <f aca="false">IF($A167="","",VLOOKUP($A166,Table,MATCH(T$4,Curves,0)))</f>
        <v>#N/A</v>
      </c>
      <c r="U166" s="201" t="e">
        <f aca="false">IF(A167="","",T166)</f>
        <v>#N/A</v>
      </c>
      <c r="V166" s="205" t="e">
        <f aca="false">IF($A167="","",IF(AND(MONTH(A166)&gt;3,MONTH(A166)&lt;11),(T166+R166+G166)*Summary!$T$10/(1-Summary!$T$10),(T166+R166+G166)*Summary!$U$10/(1-Summary!$U$10)))</f>
        <v>#N/A</v>
      </c>
      <c r="W166" s="200" t="e">
        <f aca="false">IF($A167="","",(T166+R166+G166+V166))</f>
        <v>#N/A</v>
      </c>
      <c r="X166" s="200" t="e">
        <f aca="false">IF($A167="","",(U166+S166+H166+V166))</f>
        <v>#N/A</v>
      </c>
      <c r="Y166" s="202"/>
      <c r="Z166" s="185" t="e">
        <f aca="false">IF($A167="","",VLOOKUP($A166,Table,MATCH(Z$4,Curves,0)))</f>
        <v>#N/A</v>
      </c>
      <c r="AA166" s="185" t="e">
        <f aca="false">IF($A167="","",VLOOKUP($A166,Table,MATCH(AA$4,Curves,0)))</f>
        <v>#N/A</v>
      </c>
      <c r="AB166" s="185" t="e">
        <f aca="false">SQRT((AA166^2*(A166-$D$3)+Z166^2*(DAY(EOMONTH(A166,0))/2))/AK166)</f>
        <v>#N/A</v>
      </c>
      <c r="AC166" s="185" t="e">
        <f aca="false">IF($A167="","",VLOOKUP($A166,Table,MATCH(AC$4,Curves,0)))</f>
        <v>#N/A</v>
      </c>
      <c r="AD166" s="185" t="e">
        <f aca="false">IF($A167="","",VLOOKUP($A166,Table,MATCH(AD$4,Curves,0)))</f>
        <v>#N/A</v>
      </c>
      <c r="AE166" s="185" t="e">
        <f aca="false">SQRT((AD166^2*(A166-$D$3)+AC166^2*(DAY(EOMONTH(A166,0))/2))/AK166)</f>
        <v>#N/A</v>
      </c>
      <c r="AF166" s="224" t="e">
        <f aca="false">((Summary!$N$10*(AA166*AD166)*(A166-$D$3))+(Summary!$M$10*Z166*AC166*(AJ166-EOMONTH(EDATE(A166,-1),0))))/(AK166*AB166*AE166)</f>
        <v>#N/A</v>
      </c>
      <c r="AG166" s="207" t="n">
        <f aca="false">IF($A167="","",Summary!$Q$10)</f>
        <v>0</v>
      </c>
      <c r="AH166" s="207" t="n">
        <f aca="false">IF($A167="","",IF(Summary!$R$10="Y",(VLOOKUP($A166,Summary!$AD$6:$AF$9,3)+'Escalating commodity'!F179),'Escalating commodity'!F179))</f>
        <v>0.0158208</v>
      </c>
      <c r="AI166" s="207" t="n">
        <f aca="false">IF($A167="","",AH166)</f>
        <v>0.0158208</v>
      </c>
      <c r="AJ166" s="208" t="n">
        <f aca="false">A166+DAY(EOMONTH(A166,0))/2-1</f>
        <v>41805</v>
      </c>
      <c r="AK166" s="209" t="n">
        <f aca="false">IF($A167="","",$A166-$E$1)</f>
        <v>-4135</v>
      </c>
      <c r="AL166" s="182" t="e">
        <f aca="false">IF($A167="","",SPRDOPT(P166,X166,AI166,0,AB166,AE166,AF166,AK166,$AJ$2,0))</f>
        <v>#NAME?</v>
      </c>
      <c r="AM166" s="211" t="e">
        <f aca="false">IF($A167="","",MAX(0,O166-W166-AI166))</f>
        <v>#N/A</v>
      </c>
      <c r="AN166" s="211" t="e">
        <f aca="false">IF($A167="","",AL166-AM166)</f>
        <v>#N/A</v>
      </c>
      <c r="AO166" s="137" t="n">
        <f aca="false">IF(A167="","",A167-A166)</f>
        <v>30</v>
      </c>
      <c r="AP166" s="212" t="n">
        <f aca="false">IF(A167="","",CHOOSE(F$3,A167+24,A166))</f>
        <v>41791</v>
      </c>
      <c r="AQ166" s="209" t="n">
        <f aca="false">IF(A167="","",AP166-$E$1)</f>
        <v>-4135</v>
      </c>
      <c r="AR166" s="185" t="n">
        <f aca="false">'ANR OK vs ML7'!AR166</f>
        <v>0.1</v>
      </c>
      <c r="AS166" s="213" t="n">
        <f aca="false">IF(A167="","",1/(1+CHOOSE(F$3,(AR167+($I$3/10000))/2,(AR166+($I$3/10000))/2))^(2*AQ166/365.25))</f>
        <v>3.01834348542044</v>
      </c>
      <c r="AT166" s="137" t="n">
        <f aca="false">IF(A167="","",IF(AND(mthbeg&lt;=A166,mthend&gt;=A166),1,0))</f>
        <v>1</v>
      </c>
      <c r="AU166" s="137" t="n">
        <f aca="false">IF(A167="","",AO166*AT166)</f>
        <v>30</v>
      </c>
      <c r="AW166" s="195" t="e">
        <f aca="false">IF($A167="","",AL166*$E166)</f>
        <v>#NAME?</v>
      </c>
      <c r="AX166" s="195" t="e">
        <f aca="false">IF($A167="","",AM166*$E166)</f>
        <v>#N/A</v>
      </c>
      <c r="AY166" s="195" t="e">
        <f aca="false">IF($A167="","",AN166*$E166)</f>
        <v>#N/A</v>
      </c>
      <c r="BA166" s="195" t="n">
        <f aca="false">IF($A167="","",F166*Summary!$Q$10)</f>
        <v>0</v>
      </c>
      <c r="BC166" s="179" t="e">
        <f aca="false">IF(A167="","",AM166*F166)</f>
        <v>#N/A</v>
      </c>
    </row>
    <row r="167" customFormat="false" ht="12.75" hidden="false" customHeight="false" outlineLevel="0" collapsed="false">
      <c r="A167" s="196" t="n">
        <f aca="false">IF(A166&lt;mthend,EDATE(A166,1),"")</f>
        <v>41821</v>
      </c>
      <c r="B167" s="197" t="n">
        <f aca="false">IF(A167&lt;mthend,B166,"")</f>
        <v>119740</v>
      </c>
      <c r="C167" s="215"/>
      <c r="D167" s="197" t="n">
        <f aca="false">IF(A168&lt;&gt;"",B167+C167,"")</f>
        <v>119740</v>
      </c>
      <c r="E167" s="199" t="n">
        <f aca="false">IF(A168="","",IF(AND(AT167=1,$H$3=1),D167*AO167,IF($H$3=2,D167,"N/A")))</f>
        <v>3711940</v>
      </c>
      <c r="F167" s="199" t="n">
        <f aca="false">IF(A168="","",E167*AS167)</f>
        <v>11114471.5872056</v>
      </c>
      <c r="G167" s="200" t="e">
        <f aca="false">IF($A168="","",VLOOKUP($A167,Table,MATCH(G$4,Curves,0)))</f>
        <v>#N/A</v>
      </c>
      <c r="H167" s="201" t="e">
        <f aca="false">IF(A168="","",G167)</f>
        <v>#N/A</v>
      </c>
      <c r="I167" s="202"/>
      <c r="J167" s="200" t="e">
        <f aca="false">IF($A168="","",VLOOKUP($A167,Table,MATCH(J$4,Curves,0)))</f>
        <v>#N/A</v>
      </c>
      <c r="K167" s="201" t="e">
        <f aca="false">IF(A168="","",J167)</f>
        <v>#N/A</v>
      </c>
      <c r="L167" s="185" t="n">
        <v>0</v>
      </c>
      <c r="M167" s="201" t="n">
        <f aca="false">IF(A168="","",L167)</f>
        <v>0</v>
      </c>
      <c r="N167" s="203"/>
      <c r="O167" s="200" t="e">
        <f aca="false">IF(A168="","",L167+J167+G167)</f>
        <v>#N/A</v>
      </c>
      <c r="P167" s="200" t="e">
        <f aca="false">IF(A168="","",M167+K167+H167)</f>
        <v>#N/A</v>
      </c>
      <c r="Q167" s="204"/>
      <c r="R167" s="200" t="e">
        <f aca="false">IF($A168="","",VLOOKUP($A167,Table,MATCH(R$4,Curves,0)))</f>
        <v>#N/A</v>
      </c>
      <c r="S167" s="201" t="e">
        <f aca="false">IF(A168="","",R167)</f>
        <v>#N/A</v>
      </c>
      <c r="T167" s="200" t="e">
        <f aca="false">IF($A168="","",VLOOKUP($A167,Table,MATCH(T$4,Curves,0)))</f>
        <v>#N/A</v>
      </c>
      <c r="U167" s="201" t="e">
        <f aca="false">IF(A168="","",T167)</f>
        <v>#N/A</v>
      </c>
      <c r="V167" s="205" t="e">
        <f aca="false">IF($A168="","",IF(AND(MONTH(A167)&gt;3,MONTH(A167)&lt;11),(T167+R167+G167)*Summary!$T$10/(1-Summary!$T$10),(T167+R167+G167)*Summary!$U$10/(1-Summary!$U$10)))</f>
        <v>#N/A</v>
      </c>
      <c r="W167" s="200" t="e">
        <f aca="false">IF($A168="","",(T167+R167+G167+V167))</f>
        <v>#N/A</v>
      </c>
      <c r="X167" s="200" t="e">
        <f aca="false">IF($A168="","",(U167+S167+H167+V167))</f>
        <v>#N/A</v>
      </c>
      <c r="Y167" s="202"/>
      <c r="Z167" s="185" t="e">
        <f aca="false">IF($A168="","",VLOOKUP($A167,Table,MATCH(Z$4,Curves,0)))</f>
        <v>#N/A</v>
      </c>
      <c r="AA167" s="185" t="e">
        <f aca="false">IF($A168="","",VLOOKUP($A167,Table,MATCH(AA$4,Curves,0)))</f>
        <v>#N/A</v>
      </c>
      <c r="AB167" s="185" t="e">
        <f aca="false">SQRT((AA167^2*(A167-$D$3)+Z167^2*(DAY(EOMONTH(A167,0))/2))/AK167)</f>
        <v>#N/A</v>
      </c>
      <c r="AC167" s="185" t="e">
        <f aca="false">IF($A168="","",VLOOKUP($A167,Table,MATCH(AC$4,Curves,0)))</f>
        <v>#N/A</v>
      </c>
      <c r="AD167" s="185" t="e">
        <f aca="false">IF($A168="","",VLOOKUP($A167,Table,MATCH(AD$4,Curves,0)))</f>
        <v>#N/A</v>
      </c>
      <c r="AE167" s="185" t="e">
        <f aca="false">SQRT((AD167^2*(A167-$D$3)+AC167^2*(DAY(EOMONTH(A167,0))/2))/AK167)</f>
        <v>#N/A</v>
      </c>
      <c r="AF167" s="224" t="e">
        <f aca="false">((Summary!$N$10*(AA167*AD167)*(A167-$D$3))+(Summary!$M$10*Z167*AC167*(AJ167-EOMONTH(EDATE(A167,-1),0))))/(AK167*AB167*AE167)</f>
        <v>#N/A</v>
      </c>
      <c r="AG167" s="207" t="n">
        <f aca="false">IF($A168="","",Summary!$Q$10)</f>
        <v>0</v>
      </c>
      <c r="AH167" s="207" t="n">
        <f aca="false">IF($A168="","",IF(Summary!$R$10="Y",(VLOOKUP($A167,Summary!$AD$6:$AF$9,3)+'Escalating commodity'!F180),'Escalating commodity'!F180))</f>
        <v>0.0158208</v>
      </c>
      <c r="AI167" s="207" t="n">
        <f aca="false">IF($A168="","",AH167)</f>
        <v>0.0158208</v>
      </c>
      <c r="AJ167" s="208" t="n">
        <f aca="false">A167+DAY(EOMONTH(A167,0))/2-1</f>
        <v>41835.5</v>
      </c>
      <c r="AK167" s="209" t="n">
        <f aca="false">IF($A168="","",$A167-$E$1)</f>
        <v>-4105</v>
      </c>
      <c r="AL167" s="182" t="e">
        <f aca="false">IF($A168="","",SPRDOPT(P167,X167,AI167,0,AB167,AE167,AF167,AK167,$AJ$2,0))</f>
        <v>#NAME?</v>
      </c>
      <c r="AM167" s="211" t="e">
        <f aca="false">IF($A168="","",MAX(0,O167-W167-AI167))</f>
        <v>#N/A</v>
      </c>
      <c r="AN167" s="211" t="e">
        <f aca="false">IF($A168="","",AL167-AM167)</f>
        <v>#N/A</v>
      </c>
      <c r="AO167" s="137" t="n">
        <f aca="false">IF(A168="","",A168-A167)</f>
        <v>31</v>
      </c>
      <c r="AP167" s="212" t="n">
        <f aca="false">IF(A168="","",CHOOSE(F$3,A168+24,A167))</f>
        <v>41821</v>
      </c>
      <c r="AQ167" s="209" t="n">
        <f aca="false">IF(A168="","",AP167-$E$1)</f>
        <v>-4105</v>
      </c>
      <c r="AR167" s="185" t="n">
        <f aca="false">'ANR OK vs ML7'!AR167</f>
        <v>0.1</v>
      </c>
      <c r="AS167" s="213" t="n">
        <f aca="false">IF(A168="","",1/(1+CHOOSE(F$3,(AR168+($I$3/10000))/2,(AR167+($I$3/10000))/2))^(2*AQ167/365.25))</f>
        <v>2.99424871824588</v>
      </c>
      <c r="AT167" s="137" t="n">
        <f aca="false">IF(A168="","",IF(AND(mthbeg&lt;=A167,mthend&gt;=A167),1,0))</f>
        <v>1</v>
      </c>
      <c r="AU167" s="137" t="n">
        <f aca="false">IF(A168="","",AO167*AT167)</f>
        <v>31</v>
      </c>
      <c r="AW167" s="195" t="e">
        <f aca="false">IF($A168="","",AL167*$E167)</f>
        <v>#NAME?</v>
      </c>
      <c r="AX167" s="195" t="e">
        <f aca="false">IF($A168="","",AM167*$E167)</f>
        <v>#N/A</v>
      </c>
      <c r="AY167" s="195" t="e">
        <f aca="false">IF($A168="","",AN167*$E167)</f>
        <v>#N/A</v>
      </c>
      <c r="BA167" s="195" t="n">
        <f aca="false">IF($A168="","",F167*Summary!$Q$10)</f>
        <v>0</v>
      </c>
      <c r="BC167" s="179" t="e">
        <f aca="false">IF(A168="","",AM167*F167)</f>
        <v>#N/A</v>
      </c>
    </row>
    <row r="168" customFormat="false" ht="12.75" hidden="false" customHeight="false" outlineLevel="0" collapsed="false">
      <c r="A168" s="196" t="n">
        <f aca="false">IF(A167&lt;mthend,EDATE(A167,1),"")</f>
        <v>41852</v>
      </c>
      <c r="B168" s="197" t="n">
        <f aca="false">IF(A168&lt;mthend,B167,"")</f>
        <v>119740</v>
      </c>
      <c r="C168" s="215"/>
      <c r="D168" s="197" t="n">
        <f aca="false">IF(A169&lt;&gt;"",B168+C168,"")</f>
        <v>119740</v>
      </c>
      <c r="E168" s="199" t="n">
        <f aca="false">IF(A169="","",IF(AND(AT168=1,$H$3=1),D168*AO168,IF($H$3=2,D168,"N/A")))</f>
        <v>3711940</v>
      </c>
      <c r="F168" s="199" t="n">
        <f aca="false">IF(A169="","",E168*AS168)</f>
        <v>11022801.9741492</v>
      </c>
      <c r="G168" s="200" t="e">
        <f aca="false">IF($A169="","",VLOOKUP($A168,Table,MATCH(G$4,Curves,0)))</f>
        <v>#N/A</v>
      </c>
      <c r="H168" s="201" t="e">
        <f aca="false">IF(A169="","",G168)</f>
        <v>#N/A</v>
      </c>
      <c r="I168" s="202"/>
      <c r="J168" s="200" t="e">
        <f aca="false">IF($A169="","",VLOOKUP($A168,Table,MATCH(J$4,Curves,0)))</f>
        <v>#N/A</v>
      </c>
      <c r="K168" s="201" t="e">
        <f aca="false">IF(A169="","",J168)</f>
        <v>#N/A</v>
      </c>
      <c r="L168" s="185" t="n">
        <v>0</v>
      </c>
      <c r="M168" s="201" t="n">
        <f aca="false">IF(A169="","",L168)</f>
        <v>0</v>
      </c>
      <c r="N168" s="203"/>
      <c r="O168" s="200" t="e">
        <f aca="false">IF(A169="","",L168+J168+G168)</f>
        <v>#N/A</v>
      </c>
      <c r="P168" s="200" t="e">
        <f aca="false">IF(A169="","",M168+K168+H168)</f>
        <v>#N/A</v>
      </c>
      <c r="Q168" s="204"/>
      <c r="R168" s="200" t="e">
        <f aca="false">IF($A169="","",VLOOKUP($A168,Table,MATCH(R$4,Curves,0)))</f>
        <v>#N/A</v>
      </c>
      <c r="S168" s="201" t="e">
        <f aca="false">IF(A169="","",R168)</f>
        <v>#N/A</v>
      </c>
      <c r="T168" s="200" t="e">
        <f aca="false">IF($A169="","",VLOOKUP($A168,Table,MATCH(T$4,Curves,0)))</f>
        <v>#N/A</v>
      </c>
      <c r="U168" s="201" t="e">
        <f aca="false">IF(A169="","",T168)</f>
        <v>#N/A</v>
      </c>
      <c r="V168" s="205" t="e">
        <f aca="false">IF($A169="","",IF(AND(MONTH(A168)&gt;3,MONTH(A168)&lt;11),(T168+R168+G168)*Summary!$T$10/(1-Summary!$T$10),(T168+R168+G168)*Summary!$U$10/(1-Summary!$U$10)))</f>
        <v>#N/A</v>
      </c>
      <c r="W168" s="200" t="e">
        <f aca="false">IF($A169="","",(T168+R168+G168+V168))</f>
        <v>#N/A</v>
      </c>
      <c r="X168" s="200" t="e">
        <f aca="false">IF($A169="","",(U168+S168+H168+V168))</f>
        <v>#N/A</v>
      </c>
      <c r="Y168" s="202"/>
      <c r="Z168" s="185" t="e">
        <f aca="false">IF($A169="","",VLOOKUP($A168,Table,MATCH(Z$4,Curves,0)))</f>
        <v>#N/A</v>
      </c>
      <c r="AA168" s="185" t="e">
        <f aca="false">IF($A169="","",VLOOKUP($A168,Table,MATCH(AA$4,Curves,0)))</f>
        <v>#N/A</v>
      </c>
      <c r="AB168" s="185" t="e">
        <f aca="false">SQRT((AA168^2*(A168-$D$3)+Z168^2*(DAY(EOMONTH(A168,0))/2))/AK168)</f>
        <v>#N/A</v>
      </c>
      <c r="AC168" s="185" t="e">
        <f aca="false">IF($A169="","",VLOOKUP($A168,Table,MATCH(AC$4,Curves,0)))</f>
        <v>#N/A</v>
      </c>
      <c r="AD168" s="185" t="e">
        <f aca="false">IF($A169="","",VLOOKUP($A168,Table,MATCH(AD$4,Curves,0)))</f>
        <v>#N/A</v>
      </c>
      <c r="AE168" s="185" t="e">
        <f aca="false">SQRT((AD168^2*(A168-$D$3)+AC168^2*(DAY(EOMONTH(A168,0))/2))/AK168)</f>
        <v>#N/A</v>
      </c>
      <c r="AF168" s="224" t="e">
        <f aca="false">((Summary!$N$10*(AA168*AD168)*(A168-$D$3))+(Summary!$M$10*Z168*AC168*(AJ168-EOMONTH(EDATE(A168,-1),0))))/(AK168*AB168*AE168)</f>
        <v>#N/A</v>
      </c>
      <c r="AG168" s="207" t="n">
        <f aca="false">IF($A169="","",Summary!$Q$10)</f>
        <v>0</v>
      </c>
      <c r="AH168" s="207" t="n">
        <f aca="false">IF($A169="","",IF(Summary!$R$10="Y",(VLOOKUP($A168,Summary!$AD$6:$AF$9,3)+'Escalating commodity'!F181),'Escalating commodity'!F181))</f>
        <v>0.0158208</v>
      </c>
      <c r="AI168" s="207" t="n">
        <f aca="false">IF($A169="","",AH168)</f>
        <v>0.0158208</v>
      </c>
      <c r="AJ168" s="208" t="n">
        <f aca="false">A168+DAY(EOMONTH(A168,0))/2-1</f>
        <v>41866.5</v>
      </c>
      <c r="AK168" s="209" t="n">
        <f aca="false">IF($A169="","",$A168-$E$1)</f>
        <v>-4074</v>
      </c>
      <c r="AL168" s="182" t="e">
        <f aca="false">IF($A169="","",SPRDOPT(P168,X168,AI168,0,AB168,AE168,AF168,AK168,$AJ$2,0))</f>
        <v>#NAME?</v>
      </c>
      <c r="AM168" s="211" t="e">
        <f aca="false">IF($A169="","",MAX(0,O168-W168-AI168))</f>
        <v>#N/A</v>
      </c>
      <c r="AN168" s="211" t="e">
        <f aca="false">IF($A169="","",AL168-AM168)</f>
        <v>#N/A</v>
      </c>
      <c r="AO168" s="137" t="n">
        <f aca="false">IF(A169="","",A169-A168)</f>
        <v>31</v>
      </c>
      <c r="AP168" s="212" t="n">
        <f aca="false">IF(A169="","",CHOOSE(F$3,A169+24,A168))</f>
        <v>41852</v>
      </c>
      <c r="AQ168" s="209" t="n">
        <f aca="false">IF(A169="","",AP168-$E$1)</f>
        <v>-4074</v>
      </c>
      <c r="AR168" s="185" t="n">
        <f aca="false">'ANR OK vs ML7'!AR168</f>
        <v>0.1</v>
      </c>
      <c r="AS168" s="213" t="n">
        <f aca="false">IF(A169="","",1/(1+CHOOSE(F$3,(AR169+($I$3/10000))/2,(AR168+($I$3/10000))/2))^(2*AQ168/365.25))</f>
        <v>2.96955284141155</v>
      </c>
      <c r="AT168" s="137" t="n">
        <f aca="false">IF(A169="","",IF(AND(mthbeg&lt;=A168,mthend&gt;=A168),1,0))</f>
        <v>1</v>
      </c>
      <c r="AU168" s="137" t="n">
        <f aca="false">IF(A169="","",AO168*AT168)</f>
        <v>31</v>
      </c>
      <c r="AW168" s="195" t="e">
        <f aca="false">IF($A169="","",AL168*$E168)</f>
        <v>#NAME?</v>
      </c>
      <c r="AX168" s="195" t="e">
        <f aca="false">IF($A169="","",AM168*$E168)</f>
        <v>#N/A</v>
      </c>
      <c r="AY168" s="195" t="e">
        <f aca="false">IF($A169="","",AN168*$E168)</f>
        <v>#N/A</v>
      </c>
      <c r="BA168" s="195" t="n">
        <f aca="false">IF($A169="","",F168*Summary!$Q$10)</f>
        <v>0</v>
      </c>
      <c r="BC168" s="179" t="e">
        <f aca="false">IF(A169="","",AM168*F168)</f>
        <v>#N/A</v>
      </c>
    </row>
    <row r="169" customFormat="false" ht="12.75" hidden="false" customHeight="false" outlineLevel="0" collapsed="false">
      <c r="A169" s="196" t="n">
        <f aca="false">IF(A168&lt;mthend,EDATE(A168,1),"")</f>
        <v>41883</v>
      </c>
      <c r="B169" s="197" t="n">
        <f aca="false">IF(A169&lt;mthend,B168,"")</f>
        <v>119740</v>
      </c>
      <c r="C169" s="215"/>
      <c r="D169" s="197" t="n">
        <f aca="false">IF(A170&lt;&gt;"",B169+C169,"")</f>
        <v>119740</v>
      </c>
      <c r="E169" s="199" t="n">
        <f aca="false">IF(A170="","",IF(AND(AT169=1,$H$3=1),D169*AO169,IF($H$3=2,D169,"N/A")))</f>
        <v>3592200</v>
      </c>
      <c r="F169" s="199" t="n">
        <f aca="false">IF(A170="","",E169*AS169)</f>
        <v>10579246.8687494</v>
      </c>
      <c r="G169" s="200" t="e">
        <f aca="false">IF($A170="","",VLOOKUP($A169,Table,MATCH(G$4,Curves,0)))</f>
        <v>#N/A</v>
      </c>
      <c r="H169" s="201" t="e">
        <f aca="false">IF(A170="","",G169)</f>
        <v>#N/A</v>
      </c>
      <c r="I169" s="202"/>
      <c r="J169" s="200" t="e">
        <f aca="false">IF($A170="","",VLOOKUP($A169,Table,MATCH(J$4,Curves,0)))</f>
        <v>#N/A</v>
      </c>
      <c r="K169" s="201" t="e">
        <f aca="false">IF(A170="","",J169)</f>
        <v>#N/A</v>
      </c>
      <c r="L169" s="185" t="n">
        <v>0</v>
      </c>
      <c r="M169" s="201" t="n">
        <f aca="false">IF(A170="","",L169)</f>
        <v>0</v>
      </c>
      <c r="N169" s="203"/>
      <c r="O169" s="200" t="e">
        <f aca="false">IF(A170="","",L169+J169+G169)</f>
        <v>#N/A</v>
      </c>
      <c r="P169" s="200" t="e">
        <f aca="false">IF(A170="","",M169+K169+H169)</f>
        <v>#N/A</v>
      </c>
      <c r="Q169" s="204"/>
      <c r="R169" s="200" t="e">
        <f aca="false">IF($A170="","",VLOOKUP($A169,Table,MATCH(R$4,Curves,0)))</f>
        <v>#N/A</v>
      </c>
      <c r="S169" s="201" t="e">
        <f aca="false">IF(A170="","",R169)</f>
        <v>#N/A</v>
      </c>
      <c r="T169" s="200" t="e">
        <f aca="false">IF($A170="","",VLOOKUP($A169,Table,MATCH(T$4,Curves,0)))</f>
        <v>#N/A</v>
      </c>
      <c r="U169" s="201" t="e">
        <f aca="false">IF(A170="","",T169)</f>
        <v>#N/A</v>
      </c>
      <c r="V169" s="205" t="e">
        <f aca="false">IF($A170="","",IF(AND(MONTH(A169)&gt;3,MONTH(A169)&lt;11),(T169+R169+G169)*Summary!$T$10/(1-Summary!$T$10),(T169+R169+G169)*Summary!$U$10/(1-Summary!$U$10)))</f>
        <v>#N/A</v>
      </c>
      <c r="W169" s="200" t="e">
        <f aca="false">IF($A170="","",(T169+R169+G169+V169))</f>
        <v>#N/A</v>
      </c>
      <c r="X169" s="200" t="e">
        <f aca="false">IF($A170="","",(U169+S169+H169+V169))</f>
        <v>#N/A</v>
      </c>
      <c r="Y169" s="202"/>
      <c r="Z169" s="185" t="e">
        <f aca="false">IF($A170="","",VLOOKUP($A169,Table,MATCH(Z$4,Curves,0)))</f>
        <v>#N/A</v>
      </c>
      <c r="AA169" s="185" t="e">
        <f aca="false">IF($A170="","",VLOOKUP($A169,Table,MATCH(AA$4,Curves,0)))</f>
        <v>#N/A</v>
      </c>
      <c r="AB169" s="185" t="e">
        <f aca="false">SQRT((AA169^2*(A169-$D$3)+Z169^2*(DAY(EOMONTH(A169,0))/2))/AK169)</f>
        <v>#N/A</v>
      </c>
      <c r="AC169" s="185" t="e">
        <f aca="false">IF($A170="","",VLOOKUP($A169,Table,MATCH(AC$4,Curves,0)))</f>
        <v>#N/A</v>
      </c>
      <c r="AD169" s="185" t="e">
        <f aca="false">IF($A170="","",VLOOKUP($A169,Table,MATCH(AD$4,Curves,0)))</f>
        <v>#N/A</v>
      </c>
      <c r="AE169" s="185" t="e">
        <f aca="false">SQRT((AD169^2*(A169-$D$3)+AC169^2*(DAY(EOMONTH(A169,0))/2))/AK169)</f>
        <v>#N/A</v>
      </c>
      <c r="AF169" s="224" t="e">
        <f aca="false">((Summary!$N$10*(AA169*AD169)*(A169-$D$3))+(Summary!$M$10*Z169*AC169*(AJ169-EOMONTH(EDATE(A169,-1),0))))/(AK169*AB169*AE169)</f>
        <v>#N/A</v>
      </c>
      <c r="AG169" s="207" t="n">
        <f aca="false">IF($A170="","",Summary!$Q$10)</f>
        <v>0</v>
      </c>
      <c r="AH169" s="207" t="n">
        <f aca="false">IF($A170="","",IF(Summary!$R$10="Y",(VLOOKUP($A169,Summary!$AD$6:$AF$9,3)+'Escalating commodity'!F182),'Escalating commodity'!F182))</f>
        <v>0.0158208</v>
      </c>
      <c r="AI169" s="207" t="n">
        <f aca="false">IF($A170="","",AH169)</f>
        <v>0.0158208</v>
      </c>
      <c r="AJ169" s="208" t="n">
        <f aca="false">A169+DAY(EOMONTH(A169,0))/2-1</f>
        <v>41897</v>
      </c>
      <c r="AK169" s="209" t="n">
        <f aca="false">IF($A170="","",$A169-$E$1)</f>
        <v>-4043</v>
      </c>
      <c r="AL169" s="182" t="e">
        <f aca="false">IF($A170="","",SPRDOPT(P169,X169,AI169,0,AB169,AE169,AF169,AK169,$AJ$2,0))</f>
        <v>#NAME?</v>
      </c>
      <c r="AM169" s="211" t="e">
        <f aca="false">IF($A170="","",MAX(0,O169-W169-AI169))</f>
        <v>#N/A</v>
      </c>
      <c r="AN169" s="211" t="e">
        <f aca="false">IF($A170="","",AL169-AM169)</f>
        <v>#N/A</v>
      </c>
      <c r="AO169" s="137" t="n">
        <f aca="false">IF(A170="","",A170-A169)</f>
        <v>30</v>
      </c>
      <c r="AP169" s="212" t="n">
        <f aca="false">IF(A170="","",CHOOSE(F$3,A170+24,A169))</f>
        <v>41883</v>
      </c>
      <c r="AQ169" s="209" t="n">
        <f aca="false">IF(A170="","",AP169-$E$1)</f>
        <v>-4043</v>
      </c>
      <c r="AR169" s="185" t="n">
        <f aca="false">'ANR OK vs ML7'!AR169</f>
        <v>0.1</v>
      </c>
      <c r="AS169" s="213" t="n">
        <f aca="false">IF(A170="","",1/(1+CHOOSE(F$3,(AR170+($I$3/10000))/2,(AR169+($I$3/10000))/2))^(2*AQ169/365.25))</f>
        <v>2.94506065050648</v>
      </c>
      <c r="AT169" s="137" t="n">
        <f aca="false">IF(A170="","",IF(AND(mthbeg&lt;=A169,mthend&gt;=A169),1,0))</f>
        <v>1</v>
      </c>
      <c r="AU169" s="137" t="n">
        <f aca="false">IF(A170="","",AO169*AT169)</f>
        <v>30</v>
      </c>
      <c r="AW169" s="195" t="e">
        <f aca="false">IF($A170="","",AL169*$E169)</f>
        <v>#NAME?</v>
      </c>
      <c r="AX169" s="195" t="e">
        <f aca="false">IF($A170="","",AM169*$E169)</f>
        <v>#N/A</v>
      </c>
      <c r="AY169" s="195" t="e">
        <f aca="false">IF($A170="","",AN169*$E169)</f>
        <v>#N/A</v>
      </c>
      <c r="BA169" s="195" t="n">
        <f aca="false">IF($A170="","",F169*Summary!$Q$10)</f>
        <v>0</v>
      </c>
      <c r="BC169" s="179" t="e">
        <f aca="false">IF(A170="","",AM169*F169)</f>
        <v>#N/A</v>
      </c>
    </row>
    <row r="170" customFormat="false" ht="12" hidden="false" customHeight="true" outlineLevel="0" collapsed="false">
      <c r="A170" s="196" t="n">
        <f aca="false">IF(A169&lt;mthend,EDATE(A169,1),"")</f>
        <v>41913</v>
      </c>
      <c r="B170" s="197" t="n">
        <f aca="false">IF(A170&lt;mthend,B169,"")</f>
        <v>119740</v>
      </c>
      <c r="C170" s="215"/>
      <c r="D170" s="197" t="n">
        <f aca="false">IF(A171&lt;&gt;"",B170+C170,"")</f>
        <v>119740</v>
      </c>
      <c r="E170" s="199" t="n">
        <f aca="false">IF(A171="","",IF(AND(AT170=1,$H$3=1),D170*AO170,IF($H$3=2,D170,"N/A")))</f>
        <v>3711940</v>
      </c>
      <c r="F170" s="199" t="n">
        <f aca="false">IF(A171="","",E170*AS170)</f>
        <v>10844621.5882193</v>
      </c>
      <c r="G170" s="200" t="e">
        <f aca="false">IF($A171="","",VLOOKUP($A170,Table,MATCH(G$4,Curves,0)))</f>
        <v>#N/A</v>
      </c>
      <c r="H170" s="201" t="e">
        <f aca="false">IF(A171="","",G170)</f>
        <v>#N/A</v>
      </c>
      <c r="I170" s="202"/>
      <c r="J170" s="200" t="e">
        <f aca="false">IF($A171="","",VLOOKUP($A170,Table,MATCH(J$4,Curves,0)))</f>
        <v>#N/A</v>
      </c>
      <c r="K170" s="201" t="e">
        <f aca="false">IF(A171="","",J170)</f>
        <v>#N/A</v>
      </c>
      <c r="L170" s="185" t="n">
        <v>0</v>
      </c>
      <c r="M170" s="201" t="n">
        <f aca="false">IF(A171="","",L170)</f>
        <v>0</v>
      </c>
      <c r="N170" s="203"/>
      <c r="O170" s="200" t="e">
        <f aca="false">IF(A171="","",L170+J170+G170)</f>
        <v>#N/A</v>
      </c>
      <c r="P170" s="200" t="e">
        <f aca="false">IF(A171="","",M170+K170+H170)</f>
        <v>#N/A</v>
      </c>
      <c r="Q170" s="204"/>
      <c r="R170" s="200" t="e">
        <f aca="false">IF($A171="","",VLOOKUP($A170,Table,MATCH(R$4,Curves,0)))</f>
        <v>#N/A</v>
      </c>
      <c r="S170" s="201" t="e">
        <f aca="false">IF(A171="","",R170)</f>
        <v>#N/A</v>
      </c>
      <c r="T170" s="200" t="e">
        <f aca="false">IF($A171="","",VLOOKUP($A170,Table,MATCH(T$4,Curves,0)))</f>
        <v>#N/A</v>
      </c>
      <c r="U170" s="201" t="e">
        <f aca="false">IF(A171="","",T170)</f>
        <v>#N/A</v>
      </c>
      <c r="V170" s="205" t="e">
        <f aca="false">IF($A171="","",IF(AND(MONTH(A170)&gt;3,MONTH(A170)&lt;11),(T170+R170+G170)*Summary!$T$10/(1-Summary!$T$10),(T170+R170+G170)*Summary!$U$10/(1-Summary!$U$10)))</f>
        <v>#N/A</v>
      </c>
      <c r="W170" s="200" t="e">
        <f aca="false">IF($A171="","",(T170+R170+G170+V170))</f>
        <v>#N/A</v>
      </c>
      <c r="X170" s="200" t="e">
        <f aca="false">IF($A171="","",(U170+S170+H170+V170))</f>
        <v>#N/A</v>
      </c>
      <c r="Y170" s="202"/>
      <c r="Z170" s="185" t="e">
        <f aca="false">IF($A171="","",VLOOKUP($A170,Table,MATCH(Z$4,Curves,0)))</f>
        <v>#N/A</v>
      </c>
      <c r="AA170" s="185" t="e">
        <f aca="false">IF($A171="","",VLOOKUP($A170,Table,MATCH(AA$4,Curves,0)))</f>
        <v>#N/A</v>
      </c>
      <c r="AB170" s="185" t="e">
        <f aca="false">SQRT((AA170^2*(A170-$D$3)+Z170^2*(DAY(EOMONTH(A170,0))/2))/AK170)</f>
        <v>#N/A</v>
      </c>
      <c r="AC170" s="185" t="e">
        <f aca="false">IF($A171="","",VLOOKUP($A170,Table,MATCH(AC$4,Curves,0)))</f>
        <v>#N/A</v>
      </c>
      <c r="AD170" s="185" t="e">
        <f aca="false">IF($A171="","",VLOOKUP($A170,Table,MATCH(AD$4,Curves,0)))</f>
        <v>#N/A</v>
      </c>
      <c r="AE170" s="185" t="e">
        <f aca="false">SQRT((AD170^2*(A170-$D$3)+AC170^2*(DAY(EOMONTH(A170,0))/2))/AK170)</f>
        <v>#N/A</v>
      </c>
      <c r="AF170" s="224" t="e">
        <f aca="false">((Summary!$N$10*(AA170*AD170)*(A170-$D$3))+(Summary!$M$10*Z170*AC170*(AJ170-EOMONTH(EDATE(A170,-1),0))))/(AK170*AB170*AE170)</f>
        <v>#N/A</v>
      </c>
      <c r="AG170" s="207" t="n">
        <f aca="false">IF($A171="","",Summary!$Q$10)</f>
        <v>0</v>
      </c>
      <c r="AH170" s="207" t="n">
        <f aca="false">IF($A171="","",IF(Summary!$R$10="Y",(VLOOKUP($A170,Summary!$AD$6:$AF$9,3)+'Escalating commodity'!F183),'Escalating commodity'!F183))</f>
        <v>0.0158208</v>
      </c>
      <c r="AI170" s="207" t="n">
        <f aca="false">IF($A171="","",AH170)</f>
        <v>0.0158208</v>
      </c>
      <c r="AJ170" s="208" t="n">
        <f aca="false">A170+DAY(EOMONTH(A170,0))/2-1</f>
        <v>41927.5</v>
      </c>
      <c r="AK170" s="209" t="n">
        <f aca="false">IF($A171="","",$A170-$E$1)</f>
        <v>-4013</v>
      </c>
      <c r="AL170" s="182" t="e">
        <f aca="false">IF($A171="","",SPRDOPT(P170,X170,AI170,0,AB170,AE170,AF170,AK170,$AJ$2,0))</f>
        <v>#NAME?</v>
      </c>
      <c r="AM170" s="211" t="e">
        <f aca="false">IF($A171="","",MAX(0,O170-W170-AI170))</f>
        <v>#N/A</v>
      </c>
      <c r="AN170" s="211" t="e">
        <f aca="false">IF($A171="","",AL170-AM170)</f>
        <v>#N/A</v>
      </c>
      <c r="AO170" s="137" t="n">
        <f aca="false">IF(A171="","",A171-A170)</f>
        <v>31</v>
      </c>
      <c r="AP170" s="212" t="n">
        <f aca="false">IF(A171="","",CHOOSE(F$3,A171+24,A170))</f>
        <v>41913</v>
      </c>
      <c r="AQ170" s="209" t="n">
        <f aca="false">IF(A171="","",AP170-$E$1)</f>
        <v>-4013</v>
      </c>
      <c r="AR170" s="185" t="n">
        <f aca="false">'ANR OK vs ML7'!AR170</f>
        <v>0.1</v>
      </c>
      <c r="AS170" s="213" t="n">
        <f aca="false">IF(A171="","",1/(1+CHOOSE(F$3,(AR171+($I$3/10000))/2,(AR170+($I$3/10000))/2))^(2*AQ170/365.25))</f>
        <v>2.92155088396345</v>
      </c>
      <c r="AT170" s="137" t="n">
        <f aca="false">IF(A171="","",IF(AND(mthbeg&lt;=A170,mthend&gt;=A170),1,0))</f>
        <v>1</v>
      </c>
      <c r="AU170" s="137" t="n">
        <f aca="false">IF(A171="","",AO170*AT170)</f>
        <v>31</v>
      </c>
      <c r="AW170" s="195" t="e">
        <f aca="false">IF($A171="","",AL170*$E170)</f>
        <v>#NAME?</v>
      </c>
      <c r="AX170" s="195" t="e">
        <f aca="false">IF($A171="","",AM170*$E170)</f>
        <v>#N/A</v>
      </c>
      <c r="AY170" s="195" t="e">
        <f aca="false">IF($A171="","",AN170*$E170)</f>
        <v>#N/A</v>
      </c>
      <c r="BA170" s="195" t="n">
        <f aca="false">IF($A171="","",F170*Summary!$Q$10)</f>
        <v>0</v>
      </c>
      <c r="BC170" s="179" t="e">
        <f aca="false">IF(A171="","",AM170*F170)</f>
        <v>#N/A</v>
      </c>
    </row>
    <row r="171" customFormat="false" ht="12" hidden="false" customHeight="true" outlineLevel="0" collapsed="false">
      <c r="A171" s="196" t="n">
        <f aca="false">IF(A170&lt;mthend,EDATE(A170,1),"")</f>
        <v>41944</v>
      </c>
      <c r="B171" s="197" t="n">
        <f aca="false">IF(A171&lt;mthend,B170,"")</f>
        <v>119740</v>
      </c>
      <c r="C171" s="215"/>
      <c r="D171" s="197" t="n">
        <f aca="false">IF(A172&lt;&gt;"",B171+C171,"")</f>
        <v>119740</v>
      </c>
      <c r="E171" s="199" t="n">
        <f aca="false">IF(A172="","",IF(AND(AT171=1,$H$3=1),D171*AO171,IF($H$3=2,D171,"N/A")))</f>
        <v>3592200</v>
      </c>
      <c r="F171" s="199" t="n">
        <f aca="false">IF(A172="","",E171*AS171)</f>
        <v>10408236.4220098</v>
      </c>
      <c r="G171" s="200" t="e">
        <f aca="false">IF($A172="","",VLOOKUP($A171,Table,MATCH(G$4,Curves,0)))</f>
        <v>#N/A</v>
      </c>
      <c r="H171" s="201" t="e">
        <f aca="false">IF(A172="","",G171)</f>
        <v>#N/A</v>
      </c>
      <c r="I171" s="202"/>
      <c r="J171" s="227" t="e">
        <f aca="false">J159</f>
        <v>#N/A</v>
      </c>
      <c r="K171" s="201" t="e">
        <f aca="false">IF(A172="","",J171)</f>
        <v>#N/A</v>
      </c>
      <c r="L171" s="185" t="n">
        <v>0</v>
      </c>
      <c r="M171" s="201" t="n">
        <f aca="false">IF(A172="","",L171)</f>
        <v>0</v>
      </c>
      <c r="N171" s="203"/>
      <c r="O171" s="200" t="e">
        <f aca="false">IF(A172="","",L171+J171+G171)</f>
        <v>#N/A</v>
      </c>
      <c r="P171" s="200" t="e">
        <f aca="false">IF(A172="","",M171+K171+H171)</f>
        <v>#N/A</v>
      </c>
      <c r="Q171" s="204"/>
      <c r="R171" s="200" t="e">
        <f aca="false">IF($A172="","",VLOOKUP($A171,Table,MATCH(R$4,Curves,0)))</f>
        <v>#N/A</v>
      </c>
      <c r="S171" s="201" t="e">
        <f aca="false">IF(A172="","",R171)</f>
        <v>#N/A</v>
      </c>
      <c r="T171" s="200" t="e">
        <f aca="false">IF($A172="","",VLOOKUP($A171,Table,MATCH(T$4,Curves,0)))</f>
        <v>#N/A</v>
      </c>
      <c r="U171" s="201" t="e">
        <f aca="false">IF(A172="","",T171)</f>
        <v>#N/A</v>
      </c>
      <c r="V171" s="205" t="e">
        <f aca="false">IF($A172="","",IF(AND(MONTH(A171)&gt;3,MONTH(A171)&lt;11),(T171+R171+G171)*Summary!$T$10/(1-Summary!$T$10),(T171+R171+G171)*Summary!$U$10/(1-Summary!$U$10)))</f>
        <v>#N/A</v>
      </c>
      <c r="W171" s="200" t="e">
        <f aca="false">IF($A172="","",(T171+R171+G171+V171))</f>
        <v>#N/A</v>
      </c>
      <c r="X171" s="200" t="e">
        <f aca="false">IF($A172="","",(U171+S171+H171+V171))</f>
        <v>#N/A</v>
      </c>
      <c r="Y171" s="202"/>
      <c r="Z171" s="185" t="e">
        <f aca="false">IF($A172="","",VLOOKUP($A171,Table,MATCH(Z$4,Curves,0)))</f>
        <v>#N/A</v>
      </c>
      <c r="AA171" s="185" t="e">
        <f aca="false">IF($A172="","",VLOOKUP($A171,Table,MATCH(AA$4,Curves,0)))</f>
        <v>#N/A</v>
      </c>
      <c r="AB171" s="185" t="e">
        <f aca="false">SQRT((AA171^2*(A171-$D$3)+Z171^2*(DAY(EOMONTH(A171,0))/2))/AK171)</f>
        <v>#N/A</v>
      </c>
      <c r="AC171" s="185" t="e">
        <f aca="false">IF($A172="","",VLOOKUP($A171,Table,MATCH(AC$4,Curves,0)))</f>
        <v>#N/A</v>
      </c>
      <c r="AD171" s="185" t="e">
        <f aca="false">IF($A172="","",VLOOKUP($A171,Table,MATCH(AD$4,Curves,0)))</f>
        <v>#N/A</v>
      </c>
      <c r="AE171" s="185" t="e">
        <f aca="false">SQRT((AD171^2*(A171-$D$3)+AC171^2*(DAY(EOMONTH(A171,0))/2))/AK171)</f>
        <v>#N/A</v>
      </c>
      <c r="AF171" s="224" t="e">
        <f aca="false">((Summary!$N$10*(AA171*AD171)*(A171-$D$3))+(Summary!$M$10*Z171*AC171*(AJ171-EOMONTH(EDATE(A171,-1),0))))/(AK171*AB171*AE171)</f>
        <v>#N/A</v>
      </c>
      <c r="AG171" s="207" t="n">
        <f aca="false">IF($A172="","",Summary!$Q$10)</f>
        <v>0</v>
      </c>
      <c r="AH171" s="207" t="n">
        <f aca="false">IF($A172="","",IF(Summary!$R$10="Y",(VLOOKUP($A171,Summary!$AD$6:$AF$9,3)+'Escalating commodity'!F184),'Escalating commodity'!F184))</f>
        <v>0.0158208</v>
      </c>
      <c r="AI171" s="207" t="n">
        <f aca="false">IF($A172="","",AH171)</f>
        <v>0.0158208</v>
      </c>
      <c r="AJ171" s="208" t="n">
        <f aca="false">A171+DAY(EOMONTH(A171,0))/2-1</f>
        <v>41958</v>
      </c>
      <c r="AK171" s="209" t="n">
        <f aca="false">IF($A172="","",$A171-$E$1)</f>
        <v>-3982</v>
      </c>
      <c r="AL171" s="182" t="e">
        <f aca="false">IF($A172="","",SPRDOPT(P171,X171,AI171,0,AB171,AE171,AF171,AK171,$AJ$2,0))</f>
        <v>#NAME?</v>
      </c>
      <c r="AM171" s="211" t="e">
        <f aca="false">IF($A172="","",MAX(0,O171-W171-AI171))</f>
        <v>#N/A</v>
      </c>
      <c r="AN171" s="211" t="e">
        <f aca="false">IF($A172="","",AL171-AM171)</f>
        <v>#N/A</v>
      </c>
      <c r="AO171" s="137" t="n">
        <f aca="false">IF(A172="","",A172-A171)</f>
        <v>30</v>
      </c>
      <c r="AP171" s="212" t="n">
        <f aca="false">IF(A172="","",CHOOSE(F$3,A172+24,A171))</f>
        <v>41944</v>
      </c>
      <c r="AQ171" s="209" t="n">
        <f aca="false">IF(A172="","",AP171-$E$1)</f>
        <v>-3982</v>
      </c>
      <c r="AR171" s="185" t="n">
        <f aca="false">'ANR OK vs ML7'!AR171</f>
        <v>0.1</v>
      </c>
      <c r="AS171" s="213" t="n">
        <f aca="false">IF(A172="","",1/(1+CHOOSE(F$3,(AR172+($I$3/10000))/2,(AR171+($I$3/10000))/2))^(2*AQ171/365.25))</f>
        <v>2.89745460219636</v>
      </c>
      <c r="AT171" s="137" t="n">
        <f aca="false">IF(A172="","",IF(AND(mthbeg&lt;=A171,mthend&gt;=A171),1,0))</f>
        <v>1</v>
      </c>
      <c r="AU171" s="137" t="n">
        <f aca="false">IF(A172="","",AO171*AT171)</f>
        <v>30</v>
      </c>
      <c r="AW171" s="195" t="e">
        <f aca="false">IF($A172="","",AL171*$E171)</f>
        <v>#NAME?</v>
      </c>
      <c r="AX171" s="195" t="e">
        <f aca="false">IF($A172="","",AM171*$E171)</f>
        <v>#N/A</v>
      </c>
      <c r="AY171" s="195" t="e">
        <f aca="false">IF($A172="","",AN171*$E171)</f>
        <v>#N/A</v>
      </c>
      <c r="BA171" s="195" t="n">
        <f aca="false">IF($A172="","",F171*Summary!$Q$10)</f>
        <v>0</v>
      </c>
      <c r="BC171" s="179" t="e">
        <f aca="false">IF(A172="","",AM171*F171)</f>
        <v>#N/A</v>
      </c>
    </row>
    <row r="172" customFormat="false" ht="12" hidden="false" customHeight="true" outlineLevel="0" collapsed="false">
      <c r="A172" s="196" t="n">
        <f aca="false">IF(A171&lt;mthend,EDATE(A171,1),"")</f>
        <v>41974</v>
      </c>
      <c r="B172" s="197" t="n">
        <f aca="false">IF(A172&lt;mthend,B171,"")</f>
        <v>119740</v>
      </c>
      <c r="C172" s="215"/>
      <c r="D172" s="197" t="n">
        <f aca="false">IF(A173&lt;&gt;"",B172+C172,"")</f>
        <v>119740</v>
      </c>
      <c r="E172" s="199" t="n">
        <f aca="false">IF(A173="","",IF(AND(AT172=1,$H$3=1),D172*AO172,IF($H$3=2,D172,"N/A")))</f>
        <v>3711940</v>
      </c>
      <c r="F172" s="199" t="n">
        <f aca="false">IF(A173="","",E172*AS172)</f>
        <v>10669321.4363719</v>
      </c>
      <c r="G172" s="200" t="e">
        <f aca="false">IF($A173="","",VLOOKUP($A172,Table,MATCH(G$4,Curves,0)))</f>
        <v>#N/A</v>
      </c>
      <c r="H172" s="201" t="e">
        <f aca="false">IF(A173="","",G172)</f>
        <v>#N/A</v>
      </c>
      <c r="I172" s="202"/>
      <c r="J172" s="227" t="e">
        <f aca="false">J160</f>
        <v>#N/A</v>
      </c>
      <c r="K172" s="201" t="e">
        <f aca="false">IF(A173="","",J172)</f>
        <v>#N/A</v>
      </c>
      <c r="L172" s="185" t="n">
        <v>0</v>
      </c>
      <c r="M172" s="201" t="n">
        <f aca="false">IF(A173="","",L172)</f>
        <v>0</v>
      </c>
      <c r="N172" s="203"/>
      <c r="O172" s="200" t="e">
        <f aca="false">IF(A173="","",L172+J172+G172)</f>
        <v>#N/A</v>
      </c>
      <c r="P172" s="200" t="e">
        <f aca="false">IF(A173="","",M172+K172+H172)</f>
        <v>#N/A</v>
      </c>
      <c r="Q172" s="204"/>
      <c r="R172" s="200" t="e">
        <f aca="false">IF($A173="","",VLOOKUP($A172,Table,MATCH(R$4,Curves,0)))</f>
        <v>#N/A</v>
      </c>
      <c r="S172" s="201" t="e">
        <f aca="false">IF(A173="","",R172)</f>
        <v>#N/A</v>
      </c>
      <c r="T172" s="200" t="e">
        <f aca="false">IF($A173="","",VLOOKUP($A172,Table,MATCH(T$4,Curves,0)))</f>
        <v>#N/A</v>
      </c>
      <c r="U172" s="201" t="e">
        <f aca="false">IF(A173="","",T172)</f>
        <v>#N/A</v>
      </c>
      <c r="V172" s="205" t="e">
        <f aca="false">IF($A173="","",IF(AND(MONTH(A172)&gt;3,MONTH(A172)&lt;11),(T172+R172+G172)*Summary!$T$10/(1-Summary!$T$10),(T172+R172+G172)*Summary!$U$10/(1-Summary!$U$10)))</f>
        <v>#N/A</v>
      </c>
      <c r="W172" s="200" t="e">
        <f aca="false">IF($A173="","",(T172+R172+G172+V172))</f>
        <v>#N/A</v>
      </c>
      <c r="X172" s="200" t="e">
        <f aca="false">IF($A173="","",(U172+S172+H172+V172))</f>
        <v>#N/A</v>
      </c>
      <c r="Y172" s="202"/>
      <c r="Z172" s="185" t="e">
        <f aca="false">IF($A173="","",VLOOKUP($A172,Table,MATCH(Z$4,Curves,0)))</f>
        <v>#N/A</v>
      </c>
      <c r="AA172" s="185" t="e">
        <f aca="false">IF($A173="","",VLOOKUP($A172,Table,MATCH(AA$4,Curves,0)))</f>
        <v>#N/A</v>
      </c>
      <c r="AB172" s="185" t="e">
        <f aca="false">SQRT((AA172^2*(A172-$D$3)+Z172^2*(DAY(EOMONTH(A172,0))/2))/AK172)</f>
        <v>#N/A</v>
      </c>
      <c r="AC172" s="185" t="e">
        <f aca="false">IF($A173="","",VLOOKUP($A172,Table,MATCH(AC$4,Curves,0)))</f>
        <v>#N/A</v>
      </c>
      <c r="AD172" s="185" t="e">
        <f aca="false">IF($A173="","",VLOOKUP($A172,Table,MATCH(AD$4,Curves,0)))</f>
        <v>#N/A</v>
      </c>
      <c r="AE172" s="185" t="e">
        <f aca="false">SQRT((AD172^2*(A172-$D$3)+AC172^2*(DAY(EOMONTH(A172,0))/2))/AK172)</f>
        <v>#N/A</v>
      </c>
      <c r="AF172" s="224" t="e">
        <f aca="false">((Summary!$N$10*(AA172*AD172)*(A172-$D$3))+(Summary!$M$10*Z172*AC172*(AJ172-EOMONTH(EDATE(A172,-1),0))))/(AK172*AB172*AE172)</f>
        <v>#N/A</v>
      </c>
      <c r="AG172" s="207" t="n">
        <f aca="false">IF($A173="","",Summary!$Q$10)</f>
        <v>0</v>
      </c>
      <c r="AH172" s="207" t="n">
        <f aca="false">IF($A173="","",IF(Summary!$R$10="Y",(VLOOKUP($A172,Summary!$AD$6:$AF$9,3)+'Escalating commodity'!F185),'Escalating commodity'!F185))</f>
        <v>0.0158208</v>
      </c>
      <c r="AI172" s="207" t="n">
        <f aca="false">IF($A173="","",AH172)</f>
        <v>0.0158208</v>
      </c>
      <c r="AJ172" s="208" t="n">
        <f aca="false">A172+DAY(EOMONTH(A172,0))/2-1</f>
        <v>41988.5</v>
      </c>
      <c r="AK172" s="209" t="n">
        <f aca="false">IF($A173="","",$A172-$E$1)</f>
        <v>-3952</v>
      </c>
      <c r="AL172" s="182" t="e">
        <f aca="false">IF($A173="","",SPRDOPT(P172,X172,AI172,0,AB172,AE172,AF172,AK172,$AJ$2,0))</f>
        <v>#NAME?</v>
      </c>
      <c r="AM172" s="211" t="e">
        <f aca="false">IF($A173="","",MAX(0,O172-W172-AI172))</f>
        <v>#N/A</v>
      </c>
      <c r="AN172" s="211" t="e">
        <f aca="false">IF($A173="","",AL172-AM172)</f>
        <v>#N/A</v>
      </c>
      <c r="AO172" s="137" t="n">
        <f aca="false">IF(A173="","",A173-A172)</f>
        <v>31</v>
      </c>
      <c r="AP172" s="212" t="n">
        <f aca="false">IF(A173="","",CHOOSE(F$3,A173+24,A172))</f>
        <v>41974</v>
      </c>
      <c r="AQ172" s="209" t="n">
        <f aca="false">IF(A173="","",AP172-$E$1)</f>
        <v>-3952</v>
      </c>
      <c r="AR172" s="185" t="n">
        <f aca="false">'ANR OK vs ML7'!AR172</f>
        <v>0.1</v>
      </c>
      <c r="AS172" s="213" t="n">
        <f aca="false">IF(A173="","",1/(1+CHOOSE(F$3,(AR173+($I$3/10000))/2,(AR172+($I$3/10000))/2))^(2*AQ172/365.25))</f>
        <v>2.87432486418743</v>
      </c>
      <c r="AT172" s="137" t="n">
        <f aca="false">IF(A173="","",IF(AND(mthbeg&lt;=A172,mthend&gt;=A172),1,0))</f>
        <v>1</v>
      </c>
      <c r="AU172" s="137" t="n">
        <f aca="false">IF(A173="","",AO172*AT172)</f>
        <v>31</v>
      </c>
      <c r="AW172" s="195" t="e">
        <f aca="false">IF($A173="","",AL172*$E172)</f>
        <v>#NAME?</v>
      </c>
      <c r="AX172" s="195" t="e">
        <f aca="false">IF($A173="","",AM172*$E172)</f>
        <v>#N/A</v>
      </c>
      <c r="AY172" s="195" t="e">
        <f aca="false">IF($A173="","",AN172*$E172)</f>
        <v>#N/A</v>
      </c>
      <c r="BA172" s="195" t="n">
        <f aca="false">IF($A173="","",F172*Summary!$Q$10)</f>
        <v>0</v>
      </c>
      <c r="BC172" s="179" t="e">
        <f aca="false">IF(A173="","",AM172*F172)</f>
        <v>#N/A</v>
      </c>
    </row>
    <row r="173" customFormat="false" ht="12" hidden="false" customHeight="true" outlineLevel="0" collapsed="false">
      <c r="A173" s="196" t="n">
        <f aca="false">IF(A172&lt;mthend,EDATE(A172,1),"")</f>
        <v>42005</v>
      </c>
      <c r="B173" s="197" t="n">
        <f aca="false">IF(A173&lt;mthend,B172,"")</f>
        <v>119740</v>
      </c>
      <c r="C173" s="215"/>
      <c r="D173" s="197" t="n">
        <f aca="false">IF(A174&lt;&gt;"",B173+C173,"")</f>
        <v>119740</v>
      </c>
      <c r="E173" s="199" t="n">
        <f aca="false">IF(A174="","",IF(AND(AT173=1,$H$3=1),D173*AO173,IF($H$3=2,D173,"N/A")))</f>
        <v>3711940</v>
      </c>
      <c r="F173" s="199" t="n">
        <f aca="false">IF(A174="","",E173*AS173)</f>
        <v>10581323.3196847</v>
      </c>
      <c r="G173" s="200" t="e">
        <f aca="false">IF($A174="","",VLOOKUP($A173,Table,MATCH(G$4,Curves,0)))</f>
        <v>#N/A</v>
      </c>
      <c r="H173" s="201" t="e">
        <f aca="false">IF(A174="","",G173)</f>
        <v>#N/A</v>
      </c>
      <c r="I173" s="202"/>
      <c r="J173" s="227" t="e">
        <f aca="false">J161</f>
        <v>#N/A</v>
      </c>
      <c r="K173" s="201" t="e">
        <f aca="false">IF(A174="","",J173)</f>
        <v>#N/A</v>
      </c>
      <c r="L173" s="185" t="n">
        <v>0</v>
      </c>
      <c r="M173" s="201" t="n">
        <f aca="false">IF(A174="","",L173)</f>
        <v>0</v>
      </c>
      <c r="N173" s="203"/>
      <c r="O173" s="200" t="e">
        <f aca="false">IF(A174="","",L173+J173+G173)</f>
        <v>#N/A</v>
      </c>
      <c r="P173" s="200" t="e">
        <f aca="false">IF(A174="","",M173+K173+H173)</f>
        <v>#N/A</v>
      </c>
      <c r="Q173" s="204"/>
      <c r="R173" s="200" t="e">
        <f aca="false">IF($A174="","",VLOOKUP($A173,Table,MATCH(R$4,Curves,0)))</f>
        <v>#N/A</v>
      </c>
      <c r="S173" s="201" t="e">
        <f aca="false">IF(A174="","",R173)</f>
        <v>#N/A</v>
      </c>
      <c r="T173" s="200" t="e">
        <f aca="false">IF($A174="","",VLOOKUP($A173,Table,MATCH(T$4,Curves,0)))</f>
        <v>#N/A</v>
      </c>
      <c r="U173" s="201" t="e">
        <f aca="false">IF(A174="","",T173)</f>
        <v>#N/A</v>
      </c>
      <c r="V173" s="205" t="e">
        <f aca="false">IF($A174="","",IF(AND(MONTH(A173)&gt;3,MONTH(A173)&lt;11),(T173+R173+G173)*Summary!$T$10/(1-Summary!$T$10),(T173+R173+G173)*Summary!$U$10/(1-Summary!$U$10)))</f>
        <v>#N/A</v>
      </c>
      <c r="W173" s="200" t="e">
        <f aca="false">IF($A174="","",(T173+R173+G173+V173))</f>
        <v>#N/A</v>
      </c>
      <c r="X173" s="200" t="e">
        <f aca="false">IF($A174="","",(U173+S173+H173+V173))</f>
        <v>#N/A</v>
      </c>
      <c r="Y173" s="202"/>
      <c r="Z173" s="185" t="e">
        <f aca="false">IF($A174="","",VLOOKUP($A173,Table,MATCH(Z$4,Curves,0)))</f>
        <v>#N/A</v>
      </c>
      <c r="AA173" s="185" t="e">
        <f aca="false">IF($A174="","",VLOOKUP($A173,Table,MATCH(AA$4,Curves,0)))</f>
        <v>#N/A</v>
      </c>
      <c r="AB173" s="185" t="e">
        <f aca="false">SQRT((AA173^2*(A173-$D$3)+Z173^2*(DAY(EOMONTH(A173,0))/2))/AK173)</f>
        <v>#N/A</v>
      </c>
      <c r="AC173" s="185" t="e">
        <f aca="false">IF($A174="","",VLOOKUP($A173,Table,MATCH(AC$4,Curves,0)))</f>
        <v>#N/A</v>
      </c>
      <c r="AD173" s="185" t="e">
        <f aca="false">IF($A174="","",VLOOKUP($A173,Table,MATCH(AD$4,Curves,0)))</f>
        <v>#N/A</v>
      </c>
      <c r="AE173" s="185" t="e">
        <f aca="false">SQRT((AD173^2*(A173-$D$3)+AC173^2*(DAY(EOMONTH(A173,0))/2))/AK173)</f>
        <v>#N/A</v>
      </c>
      <c r="AF173" s="224" t="e">
        <f aca="false">((Summary!$N$10*(AA173*AD173)*(A173-$D$3))+(Summary!$M$10*Z173*AC173*(AJ173-EOMONTH(EDATE(A173,-1),0))))/(AK173*AB173*AE173)</f>
        <v>#N/A</v>
      </c>
      <c r="AG173" s="207" t="n">
        <f aca="false">IF($A174="","",Summary!$Q$10)</f>
        <v>0</v>
      </c>
      <c r="AH173" s="207" t="n">
        <f aca="false">IF($A174="","",IF(Summary!$R$10="Y",(VLOOKUP($A173,Summary!$AD$6:$AF$9,3)+'Escalating commodity'!F186),'Escalating commodity'!F186))</f>
        <v>0</v>
      </c>
      <c r="AI173" s="207" t="n">
        <f aca="false">IF($A174="","",AH173)</f>
        <v>0</v>
      </c>
      <c r="AJ173" s="208" t="n">
        <f aca="false">A173+DAY(EOMONTH(A173,0))/2-1</f>
        <v>42019.5</v>
      </c>
      <c r="AK173" s="209" t="n">
        <f aca="false">IF($A174="","",$A173-$E$1)</f>
        <v>-3921</v>
      </c>
      <c r="AL173" s="182" t="e">
        <f aca="false">IF($A174="","",SPRDOPT(P173,X173,AI173,0,AB173,AE173,AF173,AK173,$AJ$2,0))</f>
        <v>#NAME?</v>
      </c>
      <c r="AM173" s="211" t="e">
        <f aca="false">IF($A174="","",MAX(0,O173-W173-AI173))</f>
        <v>#N/A</v>
      </c>
      <c r="AN173" s="211" t="e">
        <f aca="false">IF($A174="","",AL173-AM173)</f>
        <v>#N/A</v>
      </c>
      <c r="AO173" s="137" t="n">
        <f aca="false">IF(A174="","",A174-A173)</f>
        <v>31</v>
      </c>
      <c r="AP173" s="212" t="n">
        <f aca="false">IF(A174="","",CHOOSE(F$3,A174+24,A173))</f>
        <v>42005</v>
      </c>
      <c r="AQ173" s="209" t="n">
        <f aca="false">IF(A174="","",AP173-$E$1)</f>
        <v>-3921</v>
      </c>
      <c r="AR173" s="185" t="n">
        <f aca="false">'ANR OK vs ML7'!AR173</f>
        <v>0.1</v>
      </c>
      <c r="AS173" s="213" t="n">
        <f aca="false">IF(A174="","",1/(1+CHOOSE(F$3,(AR174+($I$3/10000))/2,(AR173+($I$3/10000))/2))^(2*AQ173/365.25))</f>
        <v>2.85061809180233</v>
      </c>
      <c r="AT173" s="137" t="n">
        <f aca="false">IF(A174="","",IF(AND(mthbeg&lt;=A173,mthend&gt;=A173),1,0))</f>
        <v>1</v>
      </c>
      <c r="AU173" s="137" t="n">
        <f aca="false">IF(A174="","",AO173*AT173)</f>
        <v>31</v>
      </c>
      <c r="AW173" s="195" t="e">
        <f aca="false">IF($A174="","",AL173*$E173)</f>
        <v>#NAME?</v>
      </c>
      <c r="AX173" s="195" t="e">
        <f aca="false">IF($A174="","",AM173*$E173)</f>
        <v>#N/A</v>
      </c>
      <c r="AY173" s="195" t="e">
        <f aca="false">IF($A174="","",AN173*$E173)</f>
        <v>#N/A</v>
      </c>
      <c r="BA173" s="195" t="n">
        <f aca="false">IF($A174="","",F173*Summary!$Q$10)</f>
        <v>0</v>
      </c>
      <c r="BC173" s="179" t="e">
        <f aca="false">IF(A174="","",AM173*F173)</f>
        <v>#N/A</v>
      </c>
    </row>
    <row r="174" customFormat="false" ht="12" hidden="false" customHeight="true" outlineLevel="0" collapsed="false">
      <c r="A174" s="196" t="n">
        <f aca="false">IF(A173&lt;mthend,EDATE(A173,1),"")</f>
        <v>42036</v>
      </c>
      <c r="B174" s="197" t="n">
        <f aca="false">IF(A174&lt;mthend,B173,"")</f>
        <v>119740</v>
      </c>
      <c r="C174" s="215"/>
      <c r="D174" s="197" t="n">
        <f aca="false">IF(A175&lt;&gt;"",B174+C174,"")</f>
        <v>119740</v>
      </c>
      <c r="E174" s="199" t="n">
        <f aca="false">IF(A175="","",IF(AND(AT174=1,$H$3=1),D174*AO174,IF($H$3=2,D174,"N/A")))</f>
        <v>3352720</v>
      </c>
      <c r="F174" s="199" t="n">
        <f aca="false">IF(A175="","",E174*AS174)</f>
        <v>9478497.66954835</v>
      </c>
      <c r="G174" s="200" t="e">
        <f aca="false">IF($A175="","",VLOOKUP($A174,Table,MATCH(G$4,Curves,0)))</f>
        <v>#N/A</v>
      </c>
      <c r="H174" s="201" t="e">
        <f aca="false">IF(A175="","",G174)</f>
        <v>#N/A</v>
      </c>
      <c r="I174" s="202"/>
      <c r="J174" s="227" t="e">
        <f aca="false">J162</f>
        <v>#N/A</v>
      </c>
      <c r="K174" s="201" t="e">
        <f aca="false">IF(A175="","",J174)</f>
        <v>#N/A</v>
      </c>
      <c r="L174" s="185" t="n">
        <v>0</v>
      </c>
      <c r="M174" s="201" t="n">
        <f aca="false">IF(A175="","",L174)</f>
        <v>0</v>
      </c>
      <c r="N174" s="203"/>
      <c r="O174" s="200" t="e">
        <f aca="false">IF(A175="","",L174+J174+G174)</f>
        <v>#N/A</v>
      </c>
      <c r="P174" s="200" t="e">
        <f aca="false">IF(A175="","",M174+K174+H174)</f>
        <v>#N/A</v>
      </c>
      <c r="Q174" s="204"/>
      <c r="R174" s="200" t="e">
        <f aca="false">IF($A175="","",VLOOKUP($A174,Table,MATCH(R$4,Curves,0)))</f>
        <v>#N/A</v>
      </c>
      <c r="S174" s="201" t="e">
        <f aca="false">IF(A175="","",R174)</f>
        <v>#N/A</v>
      </c>
      <c r="T174" s="200" t="e">
        <f aca="false">IF($A175="","",VLOOKUP($A174,Table,MATCH(T$4,Curves,0)))</f>
        <v>#N/A</v>
      </c>
      <c r="U174" s="201" t="e">
        <f aca="false">IF(A175="","",T174)</f>
        <v>#N/A</v>
      </c>
      <c r="V174" s="205" t="e">
        <f aca="false">IF($A175="","",IF(AND(MONTH(A174)&gt;3,MONTH(A174)&lt;11),(T174+R174+G174)*Summary!$T$10/(1-Summary!$T$10),(T174+R174+G174)*Summary!$U$10/(1-Summary!$U$10)))</f>
        <v>#N/A</v>
      </c>
      <c r="W174" s="200" t="e">
        <f aca="false">IF($A175="","",(T174+R174+G174+V174))</f>
        <v>#N/A</v>
      </c>
      <c r="X174" s="200" t="e">
        <f aca="false">IF($A175="","",(U174+S174+H174+V174))</f>
        <v>#N/A</v>
      </c>
      <c r="Y174" s="202"/>
      <c r="Z174" s="185" t="e">
        <f aca="false">IF($A175="","",VLOOKUP($A174,Table,MATCH(Z$4,Curves,0)))</f>
        <v>#N/A</v>
      </c>
      <c r="AA174" s="185" t="e">
        <f aca="false">IF($A175="","",VLOOKUP($A174,Table,MATCH(AA$4,Curves,0)))</f>
        <v>#N/A</v>
      </c>
      <c r="AB174" s="185" t="e">
        <f aca="false">SQRT((AA174^2*(A174-$D$3)+Z174^2*(DAY(EOMONTH(A174,0))/2))/AK174)</f>
        <v>#N/A</v>
      </c>
      <c r="AC174" s="185" t="e">
        <f aca="false">IF($A175="","",VLOOKUP($A174,Table,MATCH(AC$4,Curves,0)))</f>
        <v>#N/A</v>
      </c>
      <c r="AD174" s="185" t="e">
        <f aca="false">IF($A175="","",VLOOKUP($A174,Table,MATCH(AD$4,Curves,0)))</f>
        <v>#N/A</v>
      </c>
      <c r="AE174" s="185" t="e">
        <f aca="false">SQRT((AD174^2*(A174-$D$3)+AC174^2*(DAY(EOMONTH(A174,0))/2))/AK174)</f>
        <v>#N/A</v>
      </c>
      <c r="AF174" s="224" t="e">
        <f aca="false">((Summary!$N$10*(AA174*AD174)*(A174-$D$3))+(Summary!$M$10*Z174*AC174*(AJ174-EOMONTH(EDATE(A174,-1),0))))/(AK174*AB174*AE174)</f>
        <v>#N/A</v>
      </c>
      <c r="AG174" s="207" t="n">
        <f aca="false">IF($A175="","",Summary!$Q$10)</f>
        <v>0</v>
      </c>
      <c r="AH174" s="207" t="n">
        <f aca="false">IF($A175="","",IF(Summary!$R$10="Y",(VLOOKUP($A174,Summary!$AD$6:$AF$9,3)+'Escalating commodity'!F187),'Escalating commodity'!F187))</f>
        <v>0</v>
      </c>
      <c r="AI174" s="207" t="n">
        <f aca="false">IF($A175="","",AH174)</f>
        <v>0</v>
      </c>
      <c r="AJ174" s="208" t="n">
        <f aca="false">A174+DAY(EOMONTH(A174,0))/2-1</f>
        <v>42049</v>
      </c>
      <c r="AK174" s="209" t="n">
        <f aca="false">IF($A175="","",$A174-$E$1)</f>
        <v>-3890</v>
      </c>
      <c r="AL174" s="182" t="e">
        <f aca="false">IF($A175="","",SPRDOPT(P174,X174,AI174,0,AB174,AE174,AF174,AK174,$AJ$2,0))</f>
        <v>#NAME?</v>
      </c>
      <c r="AM174" s="211" t="e">
        <f aca="false">IF($A175="","",MAX(0,O174-W174-AI174))</f>
        <v>#N/A</v>
      </c>
      <c r="AN174" s="211" t="e">
        <f aca="false">IF($A175="","",AL174-AM174)</f>
        <v>#N/A</v>
      </c>
      <c r="AO174" s="137" t="n">
        <f aca="false">IF(A175="","",A175-A174)</f>
        <v>28</v>
      </c>
      <c r="AP174" s="212" t="n">
        <f aca="false">IF(A175="","",CHOOSE(F$3,A175+24,A174))</f>
        <v>42036</v>
      </c>
      <c r="AQ174" s="209" t="n">
        <f aca="false">IF(A175="","",AP174-$E$1)</f>
        <v>-3890</v>
      </c>
      <c r="AR174" s="185" t="n">
        <f aca="false">'ANR OK vs ML7'!AR174</f>
        <v>0.1</v>
      </c>
      <c r="AS174" s="213" t="n">
        <f aca="false">IF(A175="","",1/(1+CHOOSE(F$3,(AR175+($I$3/10000))/2,(AR174+($I$3/10000))/2))^(2*AQ174/365.25))</f>
        <v>2.8271068474398</v>
      </c>
      <c r="AT174" s="137" t="n">
        <f aca="false">IF(A175="","",IF(AND(mthbeg&lt;=A174,mthend&gt;=A174),1,0))</f>
        <v>1</v>
      </c>
      <c r="AU174" s="137" t="n">
        <f aca="false">IF(A175="","",AO174*AT174)</f>
        <v>28</v>
      </c>
      <c r="AW174" s="195" t="e">
        <f aca="false">IF($A175="","",AL174*$E174)</f>
        <v>#NAME?</v>
      </c>
      <c r="AX174" s="195" t="e">
        <f aca="false">IF($A175="","",AM174*$E174)</f>
        <v>#N/A</v>
      </c>
      <c r="AY174" s="195" t="e">
        <f aca="false">IF($A175="","",AN174*$E174)</f>
        <v>#N/A</v>
      </c>
      <c r="BA174" s="195" t="n">
        <f aca="false">IF($A175="","",F174*Summary!$Q$10)</f>
        <v>0</v>
      </c>
    </row>
    <row r="175" customFormat="false" ht="12" hidden="false" customHeight="true" outlineLevel="0" collapsed="false">
      <c r="A175" s="196" t="n">
        <f aca="false">IF(A174&lt;mthend,EDATE(A174,1),"")</f>
        <v>42064</v>
      </c>
      <c r="B175" s="197" t="n">
        <f aca="false">IF(A175&lt;mthend,B174,"")</f>
        <v>119740</v>
      </c>
      <c r="C175" s="215"/>
      <c r="D175" s="197" t="n">
        <f aca="false">IF(A176&lt;&gt;"",B175+C175,"")</f>
        <v>119740</v>
      </c>
      <c r="E175" s="199" t="n">
        <f aca="false">IF(A176="","",IF(AND(AT175=1,$H$3=1),D175*AO175,IF($H$3=2,D175,"N/A")))</f>
        <v>3711940</v>
      </c>
      <c r="F175" s="199" t="n">
        <f aca="false">IF(A176="","",E175*AS175)</f>
        <v>10415843.2223708</v>
      </c>
      <c r="G175" s="200" t="e">
        <f aca="false">IF($A176="","",VLOOKUP($A175,Table,MATCH(G$4,Curves,0)))</f>
        <v>#N/A</v>
      </c>
      <c r="H175" s="201" t="e">
        <f aca="false">IF(A176="","",G175)</f>
        <v>#N/A</v>
      </c>
      <c r="I175" s="202"/>
      <c r="J175" s="227" t="e">
        <f aca="false">J163</f>
        <v>#N/A</v>
      </c>
      <c r="K175" s="201" t="e">
        <f aca="false">IF(A176="","",J175)</f>
        <v>#N/A</v>
      </c>
      <c r="L175" s="185" t="n">
        <v>0</v>
      </c>
      <c r="M175" s="201" t="n">
        <f aca="false">IF(A176="","",L175)</f>
        <v>0</v>
      </c>
      <c r="N175" s="203"/>
      <c r="O175" s="200" t="e">
        <f aca="false">IF(A176="","",L175+J175+G175)</f>
        <v>#N/A</v>
      </c>
      <c r="P175" s="200" t="e">
        <f aca="false">IF(A176="","",M175+K175+H175)</f>
        <v>#N/A</v>
      </c>
      <c r="Q175" s="204"/>
      <c r="R175" s="200" t="e">
        <f aca="false">IF($A176="","",VLOOKUP($A175,Table,MATCH(R$4,Curves,0)))</f>
        <v>#N/A</v>
      </c>
      <c r="S175" s="201" t="e">
        <f aca="false">IF(A176="","",R175)</f>
        <v>#N/A</v>
      </c>
      <c r="T175" s="200" t="e">
        <f aca="false">IF($A176="","",VLOOKUP($A175,Table,MATCH(T$4,Curves,0)))</f>
        <v>#N/A</v>
      </c>
      <c r="U175" s="201" t="e">
        <f aca="false">IF(A176="","",T175)</f>
        <v>#N/A</v>
      </c>
      <c r="V175" s="205" t="e">
        <f aca="false">IF($A176="","",IF(AND(MONTH(A175)&gt;3,MONTH(A175)&lt;11),(T175+R175+G175)*Summary!$T$10/(1-Summary!$T$10),(T175+R175+G175)*Summary!$U$10/(1-Summary!$U$10)))</f>
        <v>#N/A</v>
      </c>
      <c r="W175" s="200" t="e">
        <f aca="false">IF($A176="","",(T175+R175+G175+V175))</f>
        <v>#N/A</v>
      </c>
      <c r="X175" s="200" t="e">
        <f aca="false">IF($A176="","",(U175+S175+H175+V175))</f>
        <v>#N/A</v>
      </c>
      <c r="Y175" s="202"/>
      <c r="Z175" s="185" t="e">
        <f aca="false">IF($A176="","",VLOOKUP($A175,Table,MATCH(Z$4,Curves,0)))</f>
        <v>#N/A</v>
      </c>
      <c r="AA175" s="185" t="e">
        <f aca="false">IF($A176="","",VLOOKUP($A175,Table,MATCH(AA$4,Curves,0)))</f>
        <v>#N/A</v>
      </c>
      <c r="AB175" s="185" t="e">
        <f aca="false">SQRT((AA175^2*(A175-$D$3)+Z175^2*(DAY(EOMONTH(A175,0))/2))/AK175)</f>
        <v>#N/A</v>
      </c>
      <c r="AC175" s="185" t="e">
        <f aca="false">IF($A176="","",VLOOKUP($A175,Table,MATCH(AC$4,Curves,0)))</f>
        <v>#N/A</v>
      </c>
      <c r="AD175" s="185" t="e">
        <f aca="false">IF($A176="","",VLOOKUP($A175,Table,MATCH(AD$4,Curves,0)))</f>
        <v>#N/A</v>
      </c>
      <c r="AE175" s="185" t="e">
        <f aca="false">SQRT((AD175^2*(A175-$D$3)+AC175^2*(DAY(EOMONTH(A175,0))/2))/AK175)</f>
        <v>#N/A</v>
      </c>
      <c r="AF175" s="224" t="e">
        <f aca="false">((Summary!$N$10*(AA175*AD175)*(A175-$D$3))+(Summary!$M$10*Z175*AC175*(AJ175-EOMONTH(EDATE(A175,-1),0))))/(AK175*AB175*AE175)</f>
        <v>#N/A</v>
      </c>
      <c r="AG175" s="207" t="n">
        <f aca="false">IF($A176="","",Summary!$Q$10)</f>
        <v>0</v>
      </c>
      <c r="AH175" s="207" t="n">
        <f aca="false">IF($A176="","",IF(Summary!$R$10="Y",(VLOOKUP($A175,Summary!$AD$6:$AF$9,3)+'Escalating commodity'!F188),'Escalating commodity'!F188))</f>
        <v>0</v>
      </c>
      <c r="AI175" s="207" t="n">
        <f aca="false">IF($A176="","",AH175)</f>
        <v>0</v>
      </c>
      <c r="AJ175" s="208" t="n">
        <f aca="false">A175+DAY(EOMONTH(A175,0))/2-1</f>
        <v>42078.5</v>
      </c>
      <c r="AK175" s="209" t="n">
        <f aca="false">IF($A176="","",$A175-$E$1)</f>
        <v>-3862</v>
      </c>
      <c r="AL175" s="182" t="e">
        <f aca="false">IF($A176="","",SPRDOPT(P175,X175,AI175,0,AB175,AE175,AF175,AK175,$AJ$2,0))</f>
        <v>#NAME?</v>
      </c>
      <c r="AM175" s="211" t="e">
        <f aca="false">IF($A176="","",MAX(0,O175-W175-AI175))</f>
        <v>#N/A</v>
      </c>
      <c r="AN175" s="211" t="e">
        <f aca="false">IF($A176="","",AL175-AM175)</f>
        <v>#N/A</v>
      </c>
      <c r="AO175" s="137" t="n">
        <f aca="false">IF(A176="","",A176-A175)</f>
        <v>31</v>
      </c>
      <c r="AP175" s="212" t="n">
        <f aca="false">IF(A176="","",CHOOSE(F$3,A176+24,A175))</f>
        <v>42064</v>
      </c>
      <c r="AQ175" s="209" t="n">
        <f aca="false">IF(A176="","",AP175-$E$1)</f>
        <v>-3862</v>
      </c>
      <c r="AR175" s="185" t="n">
        <f aca="false">'ANR OK vs ML7'!AR175</f>
        <v>0.1</v>
      </c>
      <c r="AS175" s="213" t="n">
        <f aca="false">IF(A176="","",1/(1+CHOOSE(F$3,(AR176+($I$3/10000))/2,(AR175+($I$3/10000))/2))^(2*AQ175/365.25))</f>
        <v>2.80603760361718</v>
      </c>
      <c r="AT175" s="137" t="n">
        <f aca="false">IF(A176="","",IF(AND(mthbeg&lt;=A175,mthend&gt;=A175),1,0))</f>
        <v>1</v>
      </c>
      <c r="AU175" s="137" t="n">
        <f aca="false">IF(A176="","",AO175*AT175)</f>
        <v>31</v>
      </c>
      <c r="AW175" s="195" t="e">
        <f aca="false">IF($A176="","",AL175*$E175)</f>
        <v>#NAME?</v>
      </c>
      <c r="AX175" s="195" t="e">
        <f aca="false">IF($A176="","",AM175*$E175)</f>
        <v>#N/A</v>
      </c>
      <c r="AY175" s="195" t="e">
        <f aca="false">IF($A176="","",AN175*$E175)</f>
        <v>#N/A</v>
      </c>
      <c r="BA175" s="195" t="n">
        <f aca="false">IF($A176="","",F175*Summary!$Q$10)</f>
        <v>0</v>
      </c>
    </row>
    <row r="176" customFormat="false" ht="12" hidden="false" customHeight="true" outlineLevel="0" collapsed="false">
      <c r="A176" s="196" t="n">
        <f aca="false">IF(A175&lt;mthend,EDATE(A175,1),"")</f>
        <v>42095</v>
      </c>
      <c r="B176" s="197" t="str">
        <f aca="false">IF(A176&lt;mthend,B175,"")</f>
        <v/>
      </c>
      <c r="C176" s="215"/>
      <c r="D176" s="197" t="str">
        <f aca="false">IF(A177&lt;&gt;"",B176+C176,"")</f>
        <v/>
      </c>
      <c r="E176" s="199" t="str">
        <f aca="false">IF(A177="","",IF(AND(AT176=1,$H$3=1),D176*AO176,IF($H$3=2,D176,"N/A")))</f>
        <v/>
      </c>
      <c r="F176" s="199" t="str">
        <f aca="false">IF(A177="","",E176*AS176)</f>
        <v/>
      </c>
      <c r="G176" s="200" t="str">
        <f aca="false">IF($A177="","",VLOOKUP($A176,Table,MATCH(G$4,Curves,0)))</f>
        <v/>
      </c>
      <c r="H176" s="201" t="str">
        <f aca="false">IF(A177="","",G176)</f>
        <v/>
      </c>
      <c r="I176" s="202"/>
      <c r="J176" s="200" t="str">
        <f aca="false">IF($A177="","",VLOOKUP($A176,Table,MATCH(J$4,Curves,0)))</f>
        <v/>
      </c>
      <c r="K176" s="201" t="str">
        <f aca="false">IF(A177="","",J176)</f>
        <v/>
      </c>
      <c r="L176" s="185" t="n">
        <v>0</v>
      </c>
      <c r="M176" s="201" t="str">
        <f aca="false">IF(A177="","",L176)</f>
        <v/>
      </c>
      <c r="N176" s="203"/>
      <c r="O176" s="200" t="str">
        <f aca="false">IF(A177="","",L176+J176+G176)</f>
        <v/>
      </c>
      <c r="P176" s="200" t="str">
        <f aca="false">IF(A177="","",M176+K176+H176)</f>
        <v/>
      </c>
      <c r="Q176" s="204"/>
      <c r="R176" s="200" t="str">
        <f aca="false">IF($A177="","",VLOOKUP($A176,Table,MATCH(R$4,Curves,0)))</f>
        <v/>
      </c>
      <c r="S176" s="201" t="str">
        <f aca="false">IF(A177="","",R176)</f>
        <v/>
      </c>
      <c r="T176" s="200" t="str">
        <f aca="false">IF($A177="","",VLOOKUP($A176,Table,MATCH(T$4,Curves,0)))</f>
        <v/>
      </c>
      <c r="U176" s="201" t="str">
        <f aca="false">IF(A177="","",T176)</f>
        <v/>
      </c>
      <c r="V176" s="205" t="str">
        <f aca="false">IF($A177="","",IF(AND(MONTH(A176)&gt;3,MONTH(A176)&lt;11),(T176+R176+G176)*Summary!$T$10/(1-Summary!$T$10),(T176+R176+G176)*Summary!$U$10/(1-Summary!$U$10)))</f>
        <v/>
      </c>
      <c r="W176" s="200" t="str">
        <f aca="false">IF($A177="","",(T176+R176+G176+V176))</f>
        <v/>
      </c>
      <c r="X176" s="200" t="str">
        <f aca="false">IF($A177="","",(U176+S176+H176+V176))</f>
        <v/>
      </c>
      <c r="Y176" s="202"/>
      <c r="Z176" s="185" t="str">
        <f aca="false">IF($A177="","",VLOOKUP($A176,Table,MATCH(Z$4,Curves,0)))</f>
        <v/>
      </c>
      <c r="AA176" s="185" t="str">
        <f aca="false">IF($A177="","",VLOOKUP($A176,Table,MATCH(AA$4,Curves,0)))</f>
        <v/>
      </c>
      <c r="AB176" s="185" t="e">
        <f aca="false">SQRT((AA176^2*(A176-$D$3)+Z176^2*(DAY(EOMONTH(A176,0))/2))/AK176)</f>
        <v>#VALUE!</v>
      </c>
      <c r="AC176" s="185" t="str">
        <f aca="false">IF($A177="","",VLOOKUP($A176,Table,MATCH(AC$4,Curves,0)))</f>
        <v/>
      </c>
      <c r="AD176" s="185" t="str">
        <f aca="false">IF($A177="","",VLOOKUP($A176,Table,MATCH(AD$4,Curves,0)))</f>
        <v/>
      </c>
      <c r="AE176" s="185" t="e">
        <f aca="false">SQRT((AD176^2*(A176-$D$3)+AC176^2*(DAY(EOMONTH(A176,0))/2))/AK176)</f>
        <v>#VALUE!</v>
      </c>
      <c r="AF176" s="224" t="e">
        <f aca="false">((Summary!$N$10*(AA176*AD176)*(A176-$D$3))+(Summary!$M$10*Z176*AC176*(AJ176-EOMONTH(EDATE(A176,-1),0))))/(AK176*AB176*AE176)</f>
        <v>#VALUE!</v>
      </c>
      <c r="AG176" s="207" t="str">
        <f aca="false">IF($A177="","",Summary!$Q$10)</f>
        <v/>
      </c>
      <c r="AH176" s="207" t="str">
        <f aca="false">IF($A177="","",IF(Summary!$R$10="Y",(VLOOKUP($A176,Summary!$AD$6:$AF$9,3)+'Escalating commodity'!F189),'Escalating commodity'!F189))</f>
        <v/>
      </c>
      <c r="AI176" s="207" t="str">
        <f aca="false">IF($A177="","",AH176)</f>
        <v/>
      </c>
      <c r="AJ176" s="208" t="n">
        <f aca="false">A176+DAY(EOMONTH(A176,0))/2-1</f>
        <v>42109</v>
      </c>
      <c r="AK176" s="209" t="str">
        <f aca="false">IF($A177="","",$A176-$E$1)</f>
        <v/>
      </c>
      <c r="AL176" s="182" t="str">
        <f aca="false">IF($A177="","",SPRDOPT(P176,X176,AI176,0,AB176,AE176,AF176,AK176,$AJ$2,0))</f>
        <v/>
      </c>
      <c r="AM176" s="211" t="str">
        <f aca="false">IF($A177="","",MAX(0,O176-W176-AI176))</f>
        <v/>
      </c>
      <c r="AN176" s="211" t="str">
        <f aca="false">IF($A177="","",AL176-AM176)</f>
        <v/>
      </c>
      <c r="AO176" s="137" t="str">
        <f aca="false">IF(A177="","",A177-A176)</f>
        <v/>
      </c>
      <c r="AP176" s="212" t="str">
        <f aca="false">IF(A177="","",CHOOSE(F$3,A177+24,A176))</f>
        <v/>
      </c>
      <c r="AQ176" s="209" t="str">
        <f aca="false">IF(A177="","",AP176-$E$1)</f>
        <v/>
      </c>
      <c r="AR176" s="185" t="n">
        <f aca="false">'ANR OK vs ML7'!AR176</f>
        <v>0.1</v>
      </c>
      <c r="AS176" s="213" t="str">
        <f aca="false">IF(A177="","",1/(1+CHOOSE(F$3,(AR177+($I$3/10000))/2,(AR176+($I$3/10000))/2))^(2*AQ176/365.25))</f>
        <v/>
      </c>
      <c r="AT176" s="137" t="str">
        <f aca="false">IF(A177="","",IF(AND(mthbeg&lt;=A176,mthend&gt;=A176),1,0))</f>
        <v/>
      </c>
      <c r="AU176" s="137" t="str">
        <f aca="false">IF(A177="","",AO176*AT176)</f>
        <v/>
      </c>
      <c r="AW176" s="195" t="str">
        <f aca="false">IF($A177="","",AL176*$E176)</f>
        <v/>
      </c>
      <c r="AX176" s="195" t="str">
        <f aca="false">IF($A177="","",AM176*$E176)</f>
        <v/>
      </c>
      <c r="AY176" s="195" t="str">
        <f aca="false">IF($A177="","",AN176*$E176)</f>
        <v/>
      </c>
      <c r="BA176" s="195" t="str">
        <f aca="false">IF($A177="","",F176*Summary!$Q$10)</f>
        <v/>
      </c>
    </row>
    <row r="177" customFormat="false" ht="12" hidden="false" customHeight="true" outlineLevel="0" collapsed="false">
      <c r="A177" s="196" t="str">
        <f aca="false">IF(A176&lt;mthend,EDATE(A176,1),"")</f>
        <v/>
      </c>
      <c r="B177" s="197" t="str">
        <f aca="false">IF(A177&lt;mthend,B176,"")</f>
        <v/>
      </c>
      <c r="C177" s="215"/>
      <c r="D177" s="197" t="str">
        <f aca="false">IF(A178&lt;&gt;"",B177+C177,"")</f>
        <v/>
      </c>
      <c r="E177" s="199" t="str">
        <f aca="false">IF(A178="","",IF(AND(AT177=1,$H$3=1),D177*AO177,IF($H$3=2,D177,"N/A")))</f>
        <v/>
      </c>
      <c r="F177" s="199" t="str">
        <f aca="false">IF(A178="","",E177*AS177)</f>
        <v/>
      </c>
      <c r="G177" s="200" t="str">
        <f aca="false">IF($A178="","",VLOOKUP($A177,Table,MATCH(G$4,Curves,0)))</f>
        <v/>
      </c>
      <c r="H177" s="201" t="str">
        <f aca="false">IF(A178="","",G177)</f>
        <v/>
      </c>
      <c r="I177" s="202"/>
      <c r="J177" s="200" t="str">
        <f aca="false">IF($A178="","",VLOOKUP($A177,Table,MATCH(J$4,Curves,0)))</f>
        <v/>
      </c>
      <c r="K177" s="201" t="str">
        <f aca="false">IF(A178="","",J177)</f>
        <v/>
      </c>
      <c r="L177" s="185" t="n">
        <v>0</v>
      </c>
      <c r="M177" s="201" t="str">
        <f aca="false">IF(A178="","",L177)</f>
        <v/>
      </c>
      <c r="N177" s="203"/>
      <c r="O177" s="200" t="str">
        <f aca="false">IF(A178="","",L177+J177+G177)</f>
        <v/>
      </c>
      <c r="P177" s="200" t="str">
        <f aca="false">IF(A178="","",M177+K177+H177)</f>
        <v/>
      </c>
      <c r="Q177" s="204"/>
      <c r="R177" s="200" t="str">
        <f aca="false">IF($A178="","",VLOOKUP($A177,Table,MATCH(R$4,Curves,0)))</f>
        <v/>
      </c>
      <c r="S177" s="201" t="str">
        <f aca="false">IF(A178="","",R177)</f>
        <v/>
      </c>
      <c r="T177" s="200" t="str">
        <f aca="false">IF($A178="","",VLOOKUP($A177,Table,MATCH(T$4,Curves,0)))</f>
        <v/>
      </c>
      <c r="U177" s="201" t="str">
        <f aca="false">IF(A178="","",T177)</f>
        <v/>
      </c>
      <c r="V177" s="205" t="str">
        <f aca="false">IF($A178="","",IF(AND(MONTH(A177)&gt;3,MONTH(A177)&lt;11),(T177+R177+G177)*Summary!$T$10/(1-Summary!$T$10),(T177+R177+G177)*Summary!$U$10/(1-Summary!$U$10)))</f>
        <v/>
      </c>
      <c r="W177" s="200" t="str">
        <f aca="false">IF($A178="","",(T177+R177+G177+V177))</f>
        <v/>
      </c>
      <c r="X177" s="200" t="str">
        <f aca="false">IF($A178="","",(U177+S177+H177+V177))</f>
        <v/>
      </c>
      <c r="Y177" s="202"/>
      <c r="Z177" s="185" t="str">
        <f aca="false">IF($A178="","",VLOOKUP($A177,Table,MATCH(Z$4,Curves,0)))</f>
        <v/>
      </c>
      <c r="AA177" s="185" t="str">
        <f aca="false">IF($A178="","",VLOOKUP($A177,Table,MATCH(AA$4,Curves,0)))</f>
        <v/>
      </c>
      <c r="AB177" s="185" t="e">
        <f aca="false">SQRT((AA177^2*(A177-$D$3)+Z177^2*(DAY(EOMONTH(A177,0))/2))/AK177)</f>
        <v>#VALUE!</v>
      </c>
      <c r="AC177" s="185" t="str">
        <f aca="false">IF($A178="","",VLOOKUP($A177,Table,MATCH(AC$4,Curves,0)))</f>
        <v/>
      </c>
      <c r="AD177" s="185" t="str">
        <f aca="false">IF($A178="","",VLOOKUP($A177,Table,MATCH(AD$4,Curves,0)))</f>
        <v/>
      </c>
      <c r="AE177" s="185" t="e">
        <f aca="false">SQRT((AD177^2*(A177-$D$3)+AC177^2*(DAY(EOMONTH(A177,0))/2))/AK177)</f>
        <v>#VALUE!</v>
      </c>
      <c r="AF177" s="224" t="e">
        <f aca="false">((Summary!$N$10*(AA177*AD177)*(A177-$D$3))+(Summary!$M$10*Z177*AC177*(AJ177-EOMONTH(EDATE(A177,-1),0))))/(AK177*AB177*AE177)</f>
        <v>#VALUE!</v>
      </c>
      <c r="AG177" s="207" t="str">
        <f aca="false">IF($A178="","",Summary!$Q$10)</f>
        <v/>
      </c>
      <c r="AH177" s="207" t="str">
        <f aca="false">IF($A178="","",IF(Summary!$R$10="Y",(VLOOKUP($A177,Summary!$AD$6:$AF$9,3)+'Escalating commodity'!F190),'Escalating commodity'!F190))</f>
        <v/>
      </c>
      <c r="AI177" s="207" t="str">
        <f aca="false">IF($A178="","",AH177)</f>
        <v/>
      </c>
      <c r="AJ177" s="208" t="e">
        <f aca="false">A177+DAY(EOMONTH(A177,0))/2-1</f>
        <v>#VALUE!</v>
      </c>
      <c r="AK177" s="209" t="str">
        <f aca="false">IF($A178="","",$A177-$E$1)</f>
        <v/>
      </c>
      <c r="AL177" s="182" t="str">
        <f aca="false">IF($A178="","",SPRDOPT(P177,X177,AI177,0,AB177,AE177,AF177,AK177,$AJ$2,0))</f>
        <v/>
      </c>
      <c r="AM177" s="211" t="str">
        <f aca="false">IF($A178="","",MAX(0,O177-W177-AI177))</f>
        <v/>
      </c>
      <c r="AN177" s="211" t="str">
        <f aca="false">IF($A178="","",AL177-AM177)</f>
        <v/>
      </c>
      <c r="AO177" s="137" t="str">
        <f aca="false">IF(A178="","",A178-A177)</f>
        <v/>
      </c>
      <c r="AP177" s="212" t="str">
        <f aca="false">IF(A178="","",CHOOSE(F$3,A178+24,A177))</f>
        <v/>
      </c>
      <c r="AQ177" s="209" t="str">
        <f aca="false">IF(A178="","",AP177-$E$1)</f>
        <v/>
      </c>
      <c r="AR177" s="185" t="n">
        <f aca="false">'ANR OK vs ML7'!AR177</f>
        <v>0.1</v>
      </c>
      <c r="AS177" s="213" t="str">
        <f aca="false">IF(A178="","",1/(1+CHOOSE(F$3,(AR178+($I$3/10000))/2,(AR177+($I$3/10000))/2))^(2*AQ177/365.25))</f>
        <v/>
      </c>
      <c r="AT177" s="137" t="str">
        <f aca="false">IF(A178="","",IF(AND(mthbeg&lt;=A177,mthend&gt;=A177),1,0))</f>
        <v/>
      </c>
      <c r="AU177" s="137" t="str">
        <f aca="false">IF(A178="","",AO177*AT177)</f>
        <v/>
      </c>
      <c r="AW177" s="195" t="str">
        <f aca="false">IF($A178="","",AL177*$E177)</f>
        <v/>
      </c>
      <c r="AX177" s="195" t="str">
        <f aca="false">IF($A178="","",AM177*$E177)</f>
        <v/>
      </c>
      <c r="AY177" s="195" t="str">
        <f aca="false">IF($A178="","",AN177*$E177)</f>
        <v/>
      </c>
      <c r="BA177" s="195" t="str">
        <f aca="false">IF($A178="","",F177*Summary!$Q$10)</f>
        <v/>
      </c>
    </row>
    <row r="178" customFormat="false" ht="12" hidden="false" customHeight="true" outlineLevel="0" collapsed="false">
      <c r="A178" s="196" t="str">
        <f aca="false">IF(A177&lt;mthend,EDATE(A177,1),"")</f>
        <v/>
      </c>
      <c r="B178" s="197" t="str">
        <f aca="false">IF(A178&lt;mthend,B177,"")</f>
        <v/>
      </c>
      <c r="C178" s="215"/>
      <c r="D178" s="197" t="str">
        <f aca="false">IF(A179&lt;&gt;"",B178+C178,"")</f>
        <v/>
      </c>
      <c r="E178" s="199" t="str">
        <f aca="false">IF(A179="","",IF(AND(AT178=1,$H$3=1),D178*AO178,IF($H$3=2,D178,"N/A")))</f>
        <v/>
      </c>
      <c r="F178" s="199" t="str">
        <f aca="false">IF(A179="","",E178*AS178)</f>
        <v/>
      </c>
      <c r="G178" s="200" t="str">
        <f aca="false">IF($A179="","",VLOOKUP($A178,Table,MATCH(G$4,Curves,0)))</f>
        <v/>
      </c>
      <c r="H178" s="201" t="str">
        <f aca="false">IF(A179="","",G178)</f>
        <v/>
      </c>
      <c r="I178" s="202"/>
      <c r="J178" s="200" t="str">
        <f aca="false">IF($A179="","",VLOOKUP($A178,Table,MATCH(J$4,Curves,0)))</f>
        <v/>
      </c>
      <c r="K178" s="201" t="str">
        <f aca="false">IF(A179="","",J178)</f>
        <v/>
      </c>
      <c r="L178" s="185" t="n">
        <v>0</v>
      </c>
      <c r="M178" s="201" t="str">
        <f aca="false">IF(A179="","",L178)</f>
        <v/>
      </c>
      <c r="N178" s="203"/>
      <c r="O178" s="200" t="str">
        <f aca="false">IF(A179="","",L178+J178+G178)</f>
        <v/>
      </c>
      <c r="P178" s="200" t="str">
        <f aca="false">IF(A179="","",M178+K178+H178)</f>
        <v/>
      </c>
      <c r="Q178" s="204"/>
      <c r="R178" s="200" t="str">
        <f aca="false">IF($A179="","",VLOOKUP($A178,Table,MATCH(R$4,Curves,0)))</f>
        <v/>
      </c>
      <c r="S178" s="201" t="str">
        <f aca="false">IF(A179="","",R178)</f>
        <v/>
      </c>
      <c r="T178" s="200" t="str">
        <f aca="false">IF($A179="","",VLOOKUP($A178,Table,MATCH(T$4,Curves,0)))</f>
        <v/>
      </c>
      <c r="U178" s="201" t="str">
        <f aca="false">IF(A179="","",T178)</f>
        <v/>
      </c>
      <c r="V178" s="205" t="str">
        <f aca="false">IF($A179="","",IF(AND(MONTH(A178)&gt;3,MONTH(A178)&lt;11),(T178+R178+G178)*Summary!$T$10/(1-Summary!$T$10),(T178+R178+G178)*Summary!$U$10/(1-Summary!$U$10)))</f>
        <v/>
      </c>
      <c r="W178" s="200" t="str">
        <f aca="false">IF($A179="","",(T178+R178+G178+V178))</f>
        <v/>
      </c>
      <c r="X178" s="200" t="str">
        <f aca="false">IF($A179="","",(U178+S178+H178+V178))</f>
        <v/>
      </c>
      <c r="Y178" s="202"/>
      <c r="Z178" s="185" t="str">
        <f aca="false">IF($A179="","",VLOOKUP($A178,Table,MATCH(Z$4,Curves,0)))</f>
        <v/>
      </c>
      <c r="AA178" s="185" t="str">
        <f aca="false">IF($A179="","",VLOOKUP($A178,Table,MATCH(AA$4,Curves,0)))</f>
        <v/>
      </c>
      <c r="AB178" s="185" t="e">
        <f aca="false">SQRT((AA178^2*(A178-$D$3)+Z178^2*(DAY(EOMONTH(A178,0))/2))/AK178)</f>
        <v>#VALUE!</v>
      </c>
      <c r="AC178" s="185" t="str">
        <f aca="false">IF($A179="","",VLOOKUP($A178,Table,MATCH(AC$4,Curves,0)))</f>
        <v/>
      </c>
      <c r="AD178" s="185" t="str">
        <f aca="false">IF($A179="","",VLOOKUP($A178,Table,MATCH(AD$4,Curves,0)))</f>
        <v/>
      </c>
      <c r="AE178" s="185" t="e">
        <f aca="false">SQRT((AD178^2*(A178-$D$3)+AC178^2*(DAY(EOMONTH(A178,0))/2))/AK178)</f>
        <v>#VALUE!</v>
      </c>
      <c r="AF178" s="224" t="e">
        <f aca="false">((Summary!$N$10*(AA178*AD178)*(A178-$D$3))+(Summary!$M$10*Z178*AC178*(AJ178-EOMONTH(EDATE(A178,-1),0))))/(AK178*AB178*AE178)</f>
        <v>#VALUE!</v>
      </c>
      <c r="AG178" s="207" t="str">
        <f aca="false">IF($A179="","",Summary!$Q$10)</f>
        <v/>
      </c>
      <c r="AH178" s="207" t="str">
        <f aca="false">IF($A179="","",IF(Summary!$R$10="Y",(VLOOKUP($A178,Summary!$AD$6:$AF$9,3)+'Escalating commodity'!F191),'Escalating commodity'!F191))</f>
        <v/>
      </c>
      <c r="AI178" s="207" t="str">
        <f aca="false">IF($A179="","",AH178)</f>
        <v/>
      </c>
      <c r="AJ178" s="208" t="e">
        <f aca="false">A178+DAY(EOMONTH(A178,0))/2-1</f>
        <v>#VALUE!</v>
      </c>
      <c r="AK178" s="209" t="str">
        <f aca="false">IF($A179="","",$A178-$E$1)</f>
        <v/>
      </c>
      <c r="AL178" s="182" t="str">
        <f aca="false">IF($A179="","",SPRDOPT(P178,X178,AI178,0,AB178,AE178,AF178,AK178,$AJ$2,0))</f>
        <v/>
      </c>
      <c r="AM178" s="211" t="str">
        <f aca="false">IF($A179="","",MAX(0,O178-W178-AI178))</f>
        <v/>
      </c>
      <c r="AN178" s="211" t="str">
        <f aca="false">IF($A179="","",AL178-AM178)</f>
        <v/>
      </c>
      <c r="AO178" s="137" t="str">
        <f aca="false">IF(A179="","",A179-A178)</f>
        <v/>
      </c>
      <c r="AP178" s="212" t="str">
        <f aca="false">IF(A179="","",CHOOSE(F$3,A179+24,A178))</f>
        <v/>
      </c>
      <c r="AQ178" s="209" t="str">
        <f aca="false">IF(A179="","",AP178-$E$1)</f>
        <v/>
      </c>
      <c r="AR178" s="185" t="n">
        <f aca="false">'ANR OK vs ML7'!AR178</f>
        <v>0.1</v>
      </c>
      <c r="AS178" s="213" t="str">
        <f aca="false">IF(A179="","",1/(1+CHOOSE(F$3,(AR179+($I$3/10000))/2,(AR178+($I$3/10000))/2))^(2*AQ178/365.25))</f>
        <v/>
      </c>
      <c r="AT178" s="137" t="str">
        <f aca="false">IF(A179="","",IF(AND(mthbeg&lt;=A178,mthend&gt;=A178),1,0))</f>
        <v/>
      </c>
      <c r="AU178" s="137" t="str">
        <f aca="false">IF(A179="","",AO178*AT178)</f>
        <v/>
      </c>
      <c r="AW178" s="195" t="str">
        <f aca="false">IF($A179="","",AL178*$E178)</f>
        <v/>
      </c>
      <c r="AX178" s="195" t="str">
        <f aca="false">IF($A179="","",AM178*$E178)</f>
        <v/>
      </c>
      <c r="AY178" s="195" t="str">
        <f aca="false">IF($A179="","",AN178*$E178)</f>
        <v/>
      </c>
      <c r="BA178" s="195" t="str">
        <f aca="false">IF($A179="","",F178*Summary!$Q$10)</f>
        <v/>
      </c>
    </row>
    <row r="179" customFormat="false" ht="12" hidden="false" customHeight="true" outlineLevel="0" collapsed="false">
      <c r="A179" s="196" t="str">
        <f aca="false">IF(A178&lt;mthend,EDATE(A178,1),"")</f>
        <v/>
      </c>
      <c r="B179" s="197" t="str">
        <f aca="false">IF(A179&lt;mthend,B178,"")</f>
        <v/>
      </c>
      <c r="C179" s="215"/>
      <c r="D179" s="197" t="str">
        <f aca="false">IF(A180&lt;&gt;"",B179+C179,"")</f>
        <v/>
      </c>
      <c r="E179" s="199" t="str">
        <f aca="false">IF(A180="","",IF(AND(AT179=1,$H$3=1),D179*AO179,IF($H$3=2,D179,"N/A")))</f>
        <v/>
      </c>
      <c r="F179" s="199" t="str">
        <f aca="false">IF(A180="","",E179*AS179)</f>
        <v/>
      </c>
      <c r="G179" s="200" t="str">
        <f aca="false">IF($A180="","",VLOOKUP($A179,Table,MATCH(G$4,Curves,0)))</f>
        <v/>
      </c>
      <c r="H179" s="201" t="str">
        <f aca="false">IF(A180="","",G179)</f>
        <v/>
      </c>
      <c r="I179" s="202"/>
      <c r="J179" s="200" t="str">
        <f aca="false">IF($A180="","",VLOOKUP($A179,Table,MATCH(J$4,Curves,0)))</f>
        <v/>
      </c>
      <c r="K179" s="201" t="str">
        <f aca="false">IF(A180="","",J179)</f>
        <v/>
      </c>
      <c r="L179" s="185" t="n">
        <v>0</v>
      </c>
      <c r="M179" s="201" t="str">
        <f aca="false">IF(A180="","",L179)</f>
        <v/>
      </c>
      <c r="N179" s="203"/>
      <c r="O179" s="200" t="str">
        <f aca="false">IF(A180="","",L179+J179+G179)</f>
        <v/>
      </c>
      <c r="P179" s="200" t="str">
        <f aca="false">IF(A180="","",M179+K179+H179)</f>
        <v/>
      </c>
      <c r="Q179" s="204"/>
      <c r="R179" s="200" t="str">
        <f aca="false">IF($A180="","",VLOOKUP($A179,Table,MATCH(R$4,Curves,0)))</f>
        <v/>
      </c>
      <c r="S179" s="201" t="str">
        <f aca="false">IF(A180="","",R179)</f>
        <v/>
      </c>
      <c r="T179" s="200" t="str">
        <f aca="false">IF($A180="","",VLOOKUP($A179,Table,MATCH(T$4,Curves,0)))</f>
        <v/>
      </c>
      <c r="U179" s="201" t="str">
        <f aca="false">IF(A180="","",T179)</f>
        <v/>
      </c>
      <c r="V179" s="205" t="str">
        <f aca="false">IF($A180="","",IF(AND(MONTH(A179)&gt;3,MONTH(A179)&lt;11),(T179+R179+G179)*Summary!$T$10/(1-Summary!$T$10),(T179+R179+G179)*Summary!$U$10/(1-Summary!$U$10)))</f>
        <v/>
      </c>
      <c r="W179" s="200" t="str">
        <f aca="false">IF($A180="","",(T179+R179+G179+V179))</f>
        <v/>
      </c>
      <c r="X179" s="200" t="str">
        <f aca="false">IF($A180="","",(U179+S179+H179+V179))</f>
        <v/>
      </c>
      <c r="Y179" s="202"/>
      <c r="Z179" s="185" t="str">
        <f aca="false">IF($A180="","",VLOOKUP($A179,Table,MATCH(Z$4,Curves,0)))</f>
        <v/>
      </c>
      <c r="AA179" s="185" t="str">
        <f aca="false">IF($A180="","",VLOOKUP($A179,Table,MATCH(AA$4,Curves,0)))</f>
        <v/>
      </c>
      <c r="AB179" s="185" t="e">
        <f aca="false">SQRT((AA179^2*(A179-$D$3)+Z179^2*(DAY(EOMONTH(A179,0))/2))/AK179)</f>
        <v>#VALUE!</v>
      </c>
      <c r="AC179" s="185" t="str">
        <f aca="false">IF($A180="","",VLOOKUP($A179,Table,MATCH(AC$4,Curves,0)))</f>
        <v/>
      </c>
      <c r="AD179" s="185" t="str">
        <f aca="false">IF($A180="","",VLOOKUP($A179,Table,MATCH(AD$4,Curves,0)))</f>
        <v/>
      </c>
      <c r="AE179" s="185" t="e">
        <f aca="false">SQRT((AD179^2*(A179-$D$3)+AC179^2*(DAY(EOMONTH(A179,0))/2))/AK179)</f>
        <v>#VALUE!</v>
      </c>
      <c r="AF179" s="224" t="e">
        <f aca="false">((Summary!$N$10*(AA179*AD179)*(A179-$D$3))+(Summary!$M$10*Z179*AC179*(AJ179-EOMONTH(EDATE(A179,-1),0))))/(AK179*AB179*AE179)</f>
        <v>#VALUE!</v>
      </c>
      <c r="AG179" s="207" t="str">
        <f aca="false">IF($A180="","",Summary!$Q$10)</f>
        <v/>
      </c>
      <c r="AH179" s="207" t="str">
        <f aca="false">IF($A180="","",IF(Summary!$R$10="Y",(VLOOKUP($A179,Summary!$AD$6:$AF$9,3)+'Escalating commodity'!F192),'Escalating commodity'!F192))</f>
        <v/>
      </c>
      <c r="AI179" s="207" t="str">
        <f aca="false">IF($A180="","",AH179)</f>
        <v/>
      </c>
      <c r="AJ179" s="208" t="e">
        <f aca="false">A179+DAY(EOMONTH(A179,0))/2-1</f>
        <v>#VALUE!</v>
      </c>
      <c r="AK179" s="209" t="str">
        <f aca="false">IF($A180="","",$A179-$E$1)</f>
        <v/>
      </c>
      <c r="AL179" s="182" t="str">
        <f aca="false">IF($A180="","",SPRDOPT(P179,X179,AI179,0,AB179,AE179,AF179,AK179,$AJ$2,0))</f>
        <v/>
      </c>
      <c r="AM179" s="211" t="str">
        <f aca="false">IF($A180="","",MAX(0,O179-W179-AI179))</f>
        <v/>
      </c>
      <c r="AN179" s="211" t="str">
        <f aca="false">IF($A180="","",AL179-AM179)</f>
        <v/>
      </c>
      <c r="AO179" s="137" t="str">
        <f aca="false">IF(A180="","",A180-A179)</f>
        <v/>
      </c>
      <c r="AP179" s="212" t="str">
        <f aca="false">IF(A180="","",CHOOSE(F$3,A180+24,A179))</f>
        <v/>
      </c>
      <c r="AQ179" s="209" t="str">
        <f aca="false">IF(A180="","",AP179-$E$1)</f>
        <v/>
      </c>
      <c r="AR179" s="185" t="n">
        <f aca="false">'ANR OK vs ML7'!AR179</f>
        <v>0.1</v>
      </c>
      <c r="AS179" s="213" t="str">
        <f aca="false">IF(A180="","",1/(1+CHOOSE(F$3,(AR180+($I$3/10000))/2,(AR179+($I$3/10000))/2))^(2*AQ179/365.25))</f>
        <v/>
      </c>
      <c r="AT179" s="137" t="str">
        <f aca="false">IF(A180="","",IF(AND(mthbeg&lt;=A179,mthend&gt;=A179),1,0))</f>
        <v/>
      </c>
      <c r="AU179" s="137" t="str">
        <f aca="false">IF(A180="","",AO179*AT179)</f>
        <v/>
      </c>
      <c r="AW179" s="195" t="str">
        <f aca="false">IF($A180="","",AL179*$E179)</f>
        <v/>
      </c>
      <c r="AX179" s="195" t="str">
        <f aca="false">IF($A180="","",AM179*$E179)</f>
        <v/>
      </c>
      <c r="AY179" s="195" t="str">
        <f aca="false">IF($A180="","",AN179*$E179)</f>
        <v/>
      </c>
      <c r="BA179" s="195" t="str">
        <f aca="false">IF($A180="","",F179*Summary!$Q$10)</f>
        <v/>
      </c>
    </row>
    <row r="180" customFormat="false" ht="12" hidden="false" customHeight="true" outlineLevel="0" collapsed="false">
      <c r="A180" s="196" t="str">
        <f aca="false">IF(A179&lt;mthend,EDATE(A179,1),"")</f>
        <v/>
      </c>
      <c r="B180" s="197" t="str">
        <f aca="false">IF(A180&lt;mthend,B179,"")</f>
        <v/>
      </c>
      <c r="C180" s="215"/>
      <c r="D180" s="197" t="str">
        <f aca="false">IF(A181&lt;&gt;"",B180+C180,"")</f>
        <v/>
      </c>
      <c r="E180" s="199" t="str">
        <f aca="false">IF(A181="","",IF(AND(AT180=1,$H$3=1),D180*AO180,IF($H$3=2,D180,"N/A")))</f>
        <v/>
      </c>
      <c r="F180" s="199" t="str">
        <f aca="false">IF(A181="","",E180*AS180)</f>
        <v/>
      </c>
      <c r="G180" s="200" t="str">
        <f aca="false">IF($A181="","",VLOOKUP($A180,Table,MATCH(G$4,Curves,0)))</f>
        <v/>
      </c>
      <c r="H180" s="201" t="str">
        <f aca="false">IF(A181="","",G180)</f>
        <v/>
      </c>
      <c r="I180" s="202"/>
      <c r="J180" s="200" t="str">
        <f aca="false">IF($A181="","",VLOOKUP($A180,Table,MATCH(J$4,Curves,0)))</f>
        <v/>
      </c>
      <c r="K180" s="201" t="str">
        <f aca="false">IF(A181="","",J180)</f>
        <v/>
      </c>
      <c r="L180" s="185" t="n">
        <v>0</v>
      </c>
      <c r="M180" s="201" t="str">
        <f aca="false">IF(A181="","",L180)</f>
        <v/>
      </c>
      <c r="N180" s="203"/>
      <c r="O180" s="200" t="str">
        <f aca="false">IF(A181="","",L180+J180+G180)</f>
        <v/>
      </c>
      <c r="P180" s="200" t="str">
        <f aca="false">IF(A181="","",M180+K180+H180)</f>
        <v/>
      </c>
      <c r="Q180" s="204"/>
      <c r="R180" s="200" t="str">
        <f aca="false">IF($A181="","",VLOOKUP($A180,Table,MATCH(R$4,Curves,0)))</f>
        <v/>
      </c>
      <c r="S180" s="201" t="str">
        <f aca="false">IF(A181="","",R180)</f>
        <v/>
      </c>
      <c r="T180" s="200" t="str">
        <f aca="false">IF($A181="","",VLOOKUP($A180,Table,MATCH(T$4,Curves,0)))</f>
        <v/>
      </c>
      <c r="U180" s="201" t="str">
        <f aca="false">IF(A181="","",T180)</f>
        <v/>
      </c>
      <c r="V180" s="205" t="str">
        <f aca="false">IF($A181="","",IF(AND(MONTH(A180)&gt;3,MONTH(A180)&lt;11),(T180+R180+G180)*Summary!$T$10/(1-Summary!$T$10),(T180+R180+G180)*Summary!$U$10/(1-Summary!$U$10)))</f>
        <v/>
      </c>
      <c r="W180" s="200" t="str">
        <f aca="false">IF($A181="","",(T180+R180+G180+V180))</f>
        <v/>
      </c>
      <c r="X180" s="200" t="str">
        <f aca="false">IF($A181="","",(U180+S180+H180+V180))</f>
        <v/>
      </c>
      <c r="Y180" s="202"/>
      <c r="Z180" s="185" t="str">
        <f aca="false">IF($A181="","",VLOOKUP($A180,Table,MATCH(Z$4,Curves,0)))</f>
        <v/>
      </c>
      <c r="AA180" s="185" t="str">
        <f aca="false">IF($A181="","",VLOOKUP($A180,Table,MATCH(AA$4,Curves,0)))</f>
        <v/>
      </c>
      <c r="AB180" s="185" t="e">
        <f aca="false">SQRT((AA180^2*(A180-$D$3)+Z180^2*(DAY(EOMONTH(A180,0))/2))/AK180)</f>
        <v>#VALUE!</v>
      </c>
      <c r="AC180" s="185" t="str">
        <f aca="false">IF($A181="","",VLOOKUP($A180,Table,MATCH(AC$4,Curves,0)))</f>
        <v/>
      </c>
      <c r="AD180" s="185" t="str">
        <f aca="false">IF($A181="","",VLOOKUP($A180,Table,MATCH(AD$4,Curves,0)))</f>
        <v/>
      </c>
      <c r="AE180" s="185" t="e">
        <f aca="false">SQRT((AD180^2*(A180-$D$3)+AC180^2*(DAY(EOMONTH(A180,0))/2))/AK180)</f>
        <v>#VALUE!</v>
      </c>
      <c r="AF180" s="224" t="e">
        <f aca="false">((Summary!$N$10*(AA180*AD180)*(A180-$D$3))+(Summary!$M$10*Z180*AC180*(AJ180-EOMONTH(EDATE(A180,-1),0))))/(AK180*AB180*AE180)</f>
        <v>#VALUE!</v>
      </c>
      <c r="AG180" s="207" t="str">
        <f aca="false">IF($A181="","",Summary!$Q$10)</f>
        <v/>
      </c>
      <c r="AH180" s="207" t="str">
        <f aca="false">IF($A181="","",IF(Summary!$R$10="Y",(VLOOKUP($A180,Summary!$AD$6:$AF$9,3)+'Escalating commodity'!F193),'Escalating commodity'!F193))</f>
        <v/>
      </c>
      <c r="AI180" s="207" t="str">
        <f aca="false">IF($A181="","",AH180)</f>
        <v/>
      </c>
      <c r="AJ180" s="208" t="e">
        <f aca="false">A180+DAY(EOMONTH(A180,0))/2-1</f>
        <v>#VALUE!</v>
      </c>
      <c r="AK180" s="209" t="str">
        <f aca="false">IF($A181="","",$A180-$E$1)</f>
        <v/>
      </c>
      <c r="AL180" s="182" t="str">
        <f aca="false">IF($A181="","",SPRDOPT(P180,X180,AI180,0,AB180,AE180,AF180,AK180,$AJ$2,0))</f>
        <v/>
      </c>
      <c r="AM180" s="211" t="str">
        <f aca="false">IF($A181="","",MAX(0,O180-W180-AI180))</f>
        <v/>
      </c>
      <c r="AN180" s="211" t="str">
        <f aca="false">IF($A181="","",AL180-AM180)</f>
        <v/>
      </c>
      <c r="AO180" s="137" t="str">
        <f aca="false">IF(A181="","",A181-A180)</f>
        <v/>
      </c>
      <c r="AP180" s="212" t="str">
        <f aca="false">IF(A181="","",CHOOSE(F$3,A181+24,A180))</f>
        <v/>
      </c>
      <c r="AQ180" s="209" t="str">
        <f aca="false">IF(A181="","",AP180-$E$1)</f>
        <v/>
      </c>
      <c r="AR180" s="185" t="n">
        <f aca="false">'ANR OK vs ML7'!AR180</f>
        <v>0.1</v>
      </c>
      <c r="AS180" s="213" t="str">
        <f aca="false">IF(A181="","",1/(1+CHOOSE(F$3,(AR181+($I$3/10000))/2,(AR180+($I$3/10000))/2))^(2*AQ180/365.25))</f>
        <v/>
      </c>
      <c r="AT180" s="137" t="str">
        <f aca="false">IF(A181="","",IF(AND(mthbeg&lt;=A180,mthend&gt;=A180),1,0))</f>
        <v/>
      </c>
      <c r="AU180" s="137" t="str">
        <f aca="false">IF(A181="","",AO180*AT180)</f>
        <v/>
      </c>
      <c r="AW180" s="195" t="str">
        <f aca="false">IF($A181="","",AL180*$E180)</f>
        <v/>
      </c>
      <c r="AX180" s="195" t="str">
        <f aca="false">IF($A181="","",AM180*$E180)</f>
        <v/>
      </c>
      <c r="AY180" s="195" t="str">
        <f aca="false">IF($A181="","",AN180*$E180)</f>
        <v/>
      </c>
      <c r="BA180" s="195" t="str">
        <f aca="false">IF($A181="","",F180*Summary!$Q$10)</f>
        <v/>
      </c>
    </row>
    <row r="181" customFormat="false" ht="12" hidden="false" customHeight="true" outlineLevel="0" collapsed="false">
      <c r="A181" s="196" t="str">
        <f aca="false">IF(A180&lt;mthend,EDATE(A180,1),"")</f>
        <v/>
      </c>
      <c r="B181" s="197" t="str">
        <f aca="false">IF(A181&lt;mthend,B180,"")</f>
        <v/>
      </c>
      <c r="C181" s="215"/>
      <c r="D181" s="197" t="str">
        <f aca="false">IF(A182&lt;&gt;"",B181+C181,"")</f>
        <v/>
      </c>
      <c r="E181" s="199" t="str">
        <f aca="false">IF(A182="","",IF(AND(AT181=1,$H$3=1),D181*AO181,IF($H$3=2,D181,"N/A")))</f>
        <v/>
      </c>
      <c r="F181" s="199" t="str">
        <f aca="false">IF(A182="","",E181*AS181)</f>
        <v/>
      </c>
      <c r="G181" s="200" t="str">
        <f aca="false">IF($A182="","",VLOOKUP($A181,Table,MATCH(G$4,Curves,0)))</f>
        <v/>
      </c>
      <c r="H181" s="201" t="str">
        <f aca="false">IF(A182="","",G181)</f>
        <v/>
      </c>
      <c r="I181" s="202"/>
      <c r="J181" s="200" t="str">
        <f aca="false">IF($A182="","",VLOOKUP($A181,Table,MATCH(J$4,Curves,0)))</f>
        <v/>
      </c>
      <c r="K181" s="201" t="str">
        <f aca="false">IF(A182="","",J181)</f>
        <v/>
      </c>
      <c r="L181" s="185" t="n">
        <v>0</v>
      </c>
      <c r="M181" s="201" t="str">
        <f aca="false">IF(A182="","",L181)</f>
        <v/>
      </c>
      <c r="N181" s="203"/>
      <c r="O181" s="200" t="str">
        <f aca="false">IF(A182="","",L181+J181+G181)</f>
        <v/>
      </c>
      <c r="P181" s="200" t="str">
        <f aca="false">IF(A182="","",M181+K181+H181)</f>
        <v/>
      </c>
      <c r="Q181" s="204"/>
      <c r="R181" s="200" t="str">
        <f aca="false">IF($A182="","",VLOOKUP($A181,Table,MATCH(R$4,Curves,0)))</f>
        <v/>
      </c>
      <c r="S181" s="201" t="str">
        <f aca="false">IF(A182="","",R181)</f>
        <v/>
      </c>
      <c r="T181" s="200" t="str">
        <f aca="false">IF($A182="","",VLOOKUP($A181,Table,MATCH(T$4,Curves,0)))</f>
        <v/>
      </c>
      <c r="U181" s="201" t="str">
        <f aca="false">IF(A182="","",T181)</f>
        <v/>
      </c>
      <c r="V181" s="205" t="str">
        <f aca="false">IF($A182="","",IF(AND(MONTH(A181)&gt;3,MONTH(A181)&lt;11),(T181+R181+G181)*Summary!$T$10/(1-Summary!$T$10),(T181+R181+G181)*Summary!$U$10/(1-Summary!$U$10)))</f>
        <v/>
      </c>
      <c r="W181" s="200" t="str">
        <f aca="false">IF($A182="","",(T181+R181+G181+V181))</f>
        <v/>
      </c>
      <c r="X181" s="200" t="str">
        <f aca="false">IF($A182="","",(U181+S181+H181+V181))</f>
        <v/>
      </c>
      <c r="Y181" s="202"/>
      <c r="Z181" s="185" t="str">
        <f aca="false">IF($A182="","",VLOOKUP($A181,Table,MATCH(Z$4,Curves,0)))</f>
        <v/>
      </c>
      <c r="AA181" s="185" t="str">
        <f aca="false">IF($A182="","",VLOOKUP($A181,Table,MATCH(AA$4,Curves,0)))</f>
        <v/>
      </c>
      <c r="AB181" s="185" t="e">
        <f aca="false">SQRT((AA181^2*(A181-$D$3)+Z181^2*(DAY(EOMONTH(A181,0))/2))/AK181)</f>
        <v>#VALUE!</v>
      </c>
      <c r="AC181" s="185" t="str">
        <f aca="false">IF($A182="","",VLOOKUP($A181,Table,MATCH(AC$4,Curves,0)))</f>
        <v/>
      </c>
      <c r="AD181" s="185" t="str">
        <f aca="false">IF($A182="","",VLOOKUP($A181,Table,MATCH(AD$4,Curves,0)))</f>
        <v/>
      </c>
      <c r="AE181" s="185" t="e">
        <f aca="false">SQRT((AD181^2*(A181-$D$3)+AC181^2*(DAY(EOMONTH(A181,0))/2))/AK181)</f>
        <v>#VALUE!</v>
      </c>
      <c r="AF181" s="224" t="e">
        <f aca="false">((Summary!$N$10*(AA181*AD181)*(A181-$D$3))+(Summary!$M$10*Z181*AC181*(AJ181-EOMONTH(EDATE(A181,-1),0))))/(AK181*AB181*AE181)</f>
        <v>#VALUE!</v>
      </c>
      <c r="AG181" s="207" t="str">
        <f aca="false">IF($A182="","",Summary!$Q$10)</f>
        <v/>
      </c>
      <c r="AH181" s="207" t="str">
        <f aca="false">IF($A182="","",IF(Summary!$R$10="Y",(VLOOKUP($A181,Summary!$AD$6:$AF$9,3)+'Escalating commodity'!F194),'Escalating commodity'!F194))</f>
        <v/>
      </c>
      <c r="AI181" s="207" t="str">
        <f aca="false">IF($A182="","",AH181)</f>
        <v/>
      </c>
      <c r="AJ181" s="208" t="e">
        <f aca="false">A181+DAY(EOMONTH(A181,0))/2-1</f>
        <v>#VALUE!</v>
      </c>
      <c r="AK181" s="209" t="str">
        <f aca="false">IF($A182="","",$A181-$E$1)</f>
        <v/>
      </c>
      <c r="AL181" s="182" t="str">
        <f aca="false">IF($A182="","",SPRDOPT(P181,X181,AI181,0,AB181,AE181,AF181,AK181,$AJ$2,0))</f>
        <v/>
      </c>
      <c r="AM181" s="211" t="str">
        <f aca="false">IF($A182="","",MAX(0,O181-W181-AI181))</f>
        <v/>
      </c>
      <c r="AN181" s="211" t="str">
        <f aca="false">IF($A182="","",AL181-AM181)</f>
        <v/>
      </c>
      <c r="AO181" s="137" t="str">
        <f aca="false">IF(A182="","",A182-A181)</f>
        <v/>
      </c>
      <c r="AP181" s="212" t="str">
        <f aca="false">IF(A182="","",CHOOSE(F$3,A182+24,A181))</f>
        <v/>
      </c>
      <c r="AQ181" s="209" t="str">
        <f aca="false">IF(A182="","",AP181-$E$1)</f>
        <v/>
      </c>
      <c r="AR181" s="185" t="n">
        <f aca="false">'ANR OK vs ML7'!AR181</f>
        <v>0.1</v>
      </c>
      <c r="AS181" s="213" t="str">
        <f aca="false">IF(A182="","",1/(1+CHOOSE(F$3,(AR182+($I$3/10000))/2,(AR181+($I$3/10000))/2))^(2*AQ181/365.25))</f>
        <v/>
      </c>
      <c r="AT181" s="137" t="str">
        <f aca="false">IF(A182="","",IF(AND(mthbeg&lt;=A181,mthend&gt;=A181),1,0))</f>
        <v/>
      </c>
      <c r="AU181" s="137" t="str">
        <f aca="false">IF(A182="","",AO181*AT181)</f>
        <v/>
      </c>
      <c r="AW181" s="195" t="str">
        <f aca="false">IF($A182="","",AL181*$E181)</f>
        <v/>
      </c>
      <c r="AX181" s="195" t="str">
        <f aca="false">IF($A182="","",AM181*$E181)</f>
        <v/>
      </c>
      <c r="AY181" s="195" t="str">
        <f aca="false">IF($A182="","",AN181*$E181)</f>
        <v/>
      </c>
      <c r="BA181" s="195" t="str">
        <f aca="false">IF($A182="","",F181*Summary!$Q$10)</f>
        <v/>
      </c>
    </row>
    <row r="182" customFormat="false" ht="12" hidden="false" customHeight="true" outlineLevel="0" collapsed="false">
      <c r="A182" s="196" t="str">
        <f aca="false">IF(A181&lt;mthend,EDATE(A181,1),"")</f>
        <v/>
      </c>
      <c r="B182" s="197" t="str">
        <f aca="false">IF(A182&lt;mthend,B181,"")</f>
        <v/>
      </c>
      <c r="C182" s="215"/>
      <c r="D182" s="197" t="str">
        <f aca="false">IF(A183&lt;&gt;"",B182+C182,"")</f>
        <v/>
      </c>
      <c r="E182" s="199" t="str">
        <f aca="false">IF(A183="","",IF(AND(AT182=1,$H$3=1),D182*AO182,IF($H$3=2,D182,"N/A")))</f>
        <v/>
      </c>
      <c r="F182" s="199" t="str">
        <f aca="false">IF(A183="","",E182*AS182)</f>
        <v/>
      </c>
      <c r="G182" s="200" t="str">
        <f aca="false">IF($A183="","",VLOOKUP($A182,Table,MATCH(G$4,Curves,0)))</f>
        <v/>
      </c>
      <c r="H182" s="201" t="str">
        <f aca="false">IF(A183="","",G182)</f>
        <v/>
      </c>
      <c r="I182" s="202"/>
      <c r="J182" s="200" t="str">
        <f aca="false">IF($A183="","",VLOOKUP($A182,Table,MATCH(J$4,Curves,0)))</f>
        <v/>
      </c>
      <c r="K182" s="201" t="str">
        <f aca="false">IF(A183="","",J182)</f>
        <v/>
      </c>
      <c r="L182" s="185" t="n">
        <v>0</v>
      </c>
      <c r="M182" s="201" t="str">
        <f aca="false">IF(A183="","",L182)</f>
        <v/>
      </c>
      <c r="N182" s="203"/>
      <c r="O182" s="200" t="str">
        <f aca="false">IF(A183="","",L182+J182+G182)</f>
        <v/>
      </c>
      <c r="P182" s="200" t="str">
        <f aca="false">IF(A183="","",M182+K182+H182)</f>
        <v/>
      </c>
      <c r="Q182" s="204"/>
      <c r="R182" s="200" t="str">
        <f aca="false">IF($A183="","",VLOOKUP($A182,Table,MATCH(R$4,Curves,0)))</f>
        <v/>
      </c>
      <c r="S182" s="201" t="str">
        <f aca="false">IF(A183="","",R182)</f>
        <v/>
      </c>
      <c r="T182" s="200" t="str">
        <f aca="false">IF($A183="","",VLOOKUP($A182,Table,MATCH(T$4,Curves,0)))</f>
        <v/>
      </c>
      <c r="U182" s="201" t="str">
        <f aca="false">IF(A183="","",T182)</f>
        <v/>
      </c>
      <c r="V182" s="205" t="str">
        <f aca="false">IF($A183="","",IF(AND(MONTH(A182)&gt;3,MONTH(A182)&lt;11),(T182+R182+G182)*Summary!$T$10/(1-Summary!$T$10),(T182+R182+G182)*Summary!$U$10/(1-Summary!$U$10)))</f>
        <v/>
      </c>
      <c r="W182" s="200" t="str">
        <f aca="false">IF($A183="","",(T182+R182+G182+V182))</f>
        <v/>
      </c>
      <c r="X182" s="200" t="str">
        <f aca="false">IF($A183="","",(U182+S182+H182+V182))</f>
        <v/>
      </c>
      <c r="Y182" s="202"/>
      <c r="Z182" s="185" t="str">
        <f aca="false">IF($A183="","",VLOOKUP($A182,Table,MATCH(Z$4,Curves,0)))</f>
        <v/>
      </c>
      <c r="AA182" s="185" t="str">
        <f aca="false">IF($A183="","",VLOOKUP($A182,Table,MATCH(AA$4,Curves,0)))</f>
        <v/>
      </c>
      <c r="AB182" s="185" t="e">
        <f aca="false">SQRT((AA182^2*(A182-$D$3)+Z182^2*(DAY(EOMONTH(A182,0))/2))/AK182)</f>
        <v>#VALUE!</v>
      </c>
      <c r="AC182" s="185" t="str">
        <f aca="false">IF($A183="","",VLOOKUP($A182,Table,MATCH(AC$4,Curves,0)))</f>
        <v/>
      </c>
      <c r="AD182" s="185" t="str">
        <f aca="false">IF($A183="","",VLOOKUP($A182,Table,MATCH(AD$4,Curves,0)))</f>
        <v/>
      </c>
      <c r="AE182" s="185" t="e">
        <f aca="false">SQRT((AD182^2*(A182-$D$3)+AC182^2*(DAY(EOMONTH(A182,0))/2))/AK182)</f>
        <v>#VALUE!</v>
      </c>
      <c r="AF182" s="224" t="e">
        <f aca="false">((Summary!$N$10*(AA182*AD182)*(A182-$D$3))+(Summary!$M$10*Z182*AC182*(AJ182-EOMONTH(EDATE(A182,-1),0))))/(AK182*AB182*AE182)</f>
        <v>#VALUE!</v>
      </c>
      <c r="AG182" s="207" t="str">
        <f aca="false">IF($A183="","",Summary!$Q$10)</f>
        <v/>
      </c>
      <c r="AH182" s="207" t="str">
        <f aca="false">IF($A183="","",IF(Summary!$R$10="Y",(VLOOKUP($A182,Summary!$AD$6:$AF$9,3)+'Escalating commodity'!F195),'Escalating commodity'!F195))</f>
        <v/>
      </c>
      <c r="AI182" s="207" t="str">
        <f aca="false">IF($A183="","",AH182)</f>
        <v/>
      </c>
      <c r="AJ182" s="208" t="e">
        <f aca="false">A182+DAY(EOMONTH(A182,0))/2-1</f>
        <v>#VALUE!</v>
      </c>
      <c r="AK182" s="209" t="str">
        <f aca="false">IF($A183="","",$A182-$E$1)</f>
        <v/>
      </c>
      <c r="AL182" s="182" t="str">
        <f aca="false">IF($A183="","",SPRDOPT(P182,X182,AI182,0,AB182,AE182,AF182,AK182,$AJ$2,0))</f>
        <v/>
      </c>
      <c r="AM182" s="211" t="str">
        <f aca="false">IF($A183="","",MAX(0,O182-W182-AI182))</f>
        <v/>
      </c>
      <c r="AN182" s="211" t="str">
        <f aca="false">IF($A183="","",AL182-AM182)</f>
        <v/>
      </c>
      <c r="AO182" s="137" t="str">
        <f aca="false">IF(A183="","",A183-A182)</f>
        <v/>
      </c>
      <c r="AP182" s="212" t="str">
        <f aca="false">IF(A183="","",CHOOSE(F$3,A183+24,A182))</f>
        <v/>
      </c>
      <c r="AQ182" s="209" t="str">
        <f aca="false">IF(A183="","",AP182-$E$1)</f>
        <v/>
      </c>
      <c r="AR182" s="185" t="n">
        <f aca="false">'ANR OK vs ML7'!AR182</f>
        <v>0.1</v>
      </c>
      <c r="AS182" s="213" t="str">
        <f aca="false">IF(A183="","",1/(1+CHOOSE(F$3,(AR183+($I$3/10000))/2,(AR182+($I$3/10000))/2))^(2*AQ182/365.25))</f>
        <v/>
      </c>
      <c r="AT182" s="137" t="str">
        <f aca="false">IF(A183="","",IF(AND(mthbeg&lt;=A182,mthend&gt;=A182),1,0))</f>
        <v/>
      </c>
      <c r="AU182" s="137" t="str">
        <f aca="false">IF(A183="","",AO182*AT182)</f>
        <v/>
      </c>
      <c r="AW182" s="195" t="str">
        <f aca="false">IF($A183="","",AL182*$E182)</f>
        <v/>
      </c>
      <c r="AX182" s="195" t="str">
        <f aca="false">IF($A183="","",AM182*$E182)</f>
        <v/>
      </c>
      <c r="AY182" s="195" t="str">
        <f aca="false">IF($A183="","",AN182*$E182)</f>
        <v/>
      </c>
      <c r="BA182" s="195" t="str">
        <f aca="false">IF($A183="","",F182*Summary!$Q$10)</f>
        <v/>
      </c>
    </row>
    <row r="183" customFormat="false" ht="12" hidden="false" customHeight="true" outlineLevel="0" collapsed="false">
      <c r="A183" s="196" t="str">
        <f aca="false">IF(A182&lt;mthend,EDATE(A182,1),"")</f>
        <v/>
      </c>
      <c r="B183" s="197" t="str">
        <f aca="false">IF(A183&lt;mthend,B182,"")</f>
        <v/>
      </c>
      <c r="C183" s="215"/>
      <c r="D183" s="197" t="str">
        <f aca="false">IF(A184&lt;&gt;"",B183+C183,"")</f>
        <v/>
      </c>
      <c r="E183" s="199" t="str">
        <f aca="false">IF(A184="","",IF(AND(AT183=1,$H$3=1),D183*AO183,IF($H$3=2,D183,"N/A")))</f>
        <v/>
      </c>
      <c r="F183" s="199" t="str">
        <f aca="false">IF(A184="","",E183*AS183)</f>
        <v/>
      </c>
      <c r="G183" s="200" t="str">
        <f aca="false">IF($A184="","",VLOOKUP($A183,Table,MATCH(G$4,Curves,0)))</f>
        <v/>
      </c>
      <c r="H183" s="201" t="str">
        <f aca="false">IF(A184="","",G183)</f>
        <v/>
      </c>
      <c r="I183" s="202"/>
      <c r="J183" s="200" t="str">
        <f aca="false">IF($A184="","",VLOOKUP($A183,Table,MATCH(J$4,Curves,0)))</f>
        <v/>
      </c>
      <c r="K183" s="201" t="str">
        <f aca="false">IF(A184="","",J183)</f>
        <v/>
      </c>
      <c r="L183" s="185" t="n">
        <v>0</v>
      </c>
      <c r="M183" s="201" t="str">
        <f aca="false">IF(A184="","",L183)</f>
        <v/>
      </c>
      <c r="N183" s="203"/>
      <c r="O183" s="200" t="str">
        <f aca="false">IF(A184="","",L183+J183+G183)</f>
        <v/>
      </c>
      <c r="P183" s="200" t="str">
        <f aca="false">IF(A184="","",M183+K183+H183)</f>
        <v/>
      </c>
      <c r="Q183" s="204"/>
      <c r="R183" s="200" t="str">
        <f aca="false">IF($A184="","",VLOOKUP($A183,Table,MATCH(R$4,Curves,0)))</f>
        <v/>
      </c>
      <c r="S183" s="201" t="str">
        <f aca="false">IF(A184="","",R183)</f>
        <v/>
      </c>
      <c r="T183" s="200" t="str">
        <f aca="false">IF($A184="","",VLOOKUP($A183,Table,MATCH(T$4,Curves,0)))</f>
        <v/>
      </c>
      <c r="U183" s="201" t="str">
        <f aca="false">IF(A184="","",T183)</f>
        <v/>
      </c>
      <c r="V183" s="205" t="str">
        <f aca="false">IF($A184="","",IF(AND(MONTH(A183)&gt;3,MONTH(A183)&lt;11),(T183+R183+G183)*Summary!$T$10/(1-Summary!$T$10),(T183+R183+G183)*Summary!$U$10/(1-Summary!$U$10)))</f>
        <v/>
      </c>
      <c r="W183" s="200" t="str">
        <f aca="false">IF($A184="","",(T183+R183+G183+V183))</f>
        <v/>
      </c>
      <c r="X183" s="200" t="str">
        <f aca="false">IF($A184="","",(U183+S183+H183+V183))</f>
        <v/>
      </c>
      <c r="Y183" s="202"/>
      <c r="Z183" s="185" t="str">
        <f aca="false">IF($A184="","",VLOOKUP($A183,Table,MATCH(Z$4,Curves,0)))</f>
        <v/>
      </c>
      <c r="AA183" s="185" t="str">
        <f aca="false">IF($A184="","",VLOOKUP($A183,Table,MATCH(AA$4,Curves,0)))</f>
        <v/>
      </c>
      <c r="AB183" s="185" t="e">
        <f aca="false">SQRT((AA183^2*(A183-$D$3)+Z183^2*(DAY(EOMONTH(A183,0))/2))/AK183)</f>
        <v>#VALUE!</v>
      </c>
      <c r="AC183" s="185" t="str">
        <f aca="false">IF($A184="","",VLOOKUP($A183,Table,MATCH(AC$4,Curves,0)))</f>
        <v/>
      </c>
      <c r="AD183" s="185" t="str">
        <f aca="false">IF($A184="","",VLOOKUP($A183,Table,MATCH(AD$4,Curves,0)))</f>
        <v/>
      </c>
      <c r="AE183" s="185" t="e">
        <f aca="false">SQRT((AD183^2*(A183-$D$3)+AC183^2*(DAY(EOMONTH(A183,0))/2))/AK183)</f>
        <v>#VALUE!</v>
      </c>
      <c r="AF183" s="224" t="e">
        <f aca="false">((Summary!$N$10*(AA183*AD183)*(A183-$D$3))+(Summary!$M$10*Z183*AC183*(AJ183-EOMONTH(EDATE(A183,-1),0))))/(AK183*AB183*AE183)</f>
        <v>#VALUE!</v>
      </c>
      <c r="AG183" s="207" t="str">
        <f aca="false">IF($A184="","",Summary!$Q$10)</f>
        <v/>
      </c>
      <c r="AH183" s="207" t="str">
        <f aca="false">IF($A184="","",IF(Summary!$R$10="Y",(VLOOKUP($A183,Summary!$AD$6:$AF$9,3)+'Escalating commodity'!F196),'Escalating commodity'!F196))</f>
        <v/>
      </c>
      <c r="AI183" s="207" t="str">
        <f aca="false">IF($A184="","",AH183)</f>
        <v/>
      </c>
      <c r="AJ183" s="208" t="e">
        <f aca="false">A183+DAY(EOMONTH(A183,0))/2-1</f>
        <v>#VALUE!</v>
      </c>
      <c r="AK183" s="209" t="str">
        <f aca="false">IF($A184="","",$A183-$E$1)</f>
        <v/>
      </c>
      <c r="AL183" s="182" t="str">
        <f aca="false">IF($A184="","",SPRDOPT(P183,X183,AI183,0,AB183,AE183,AF183,AK183,$AJ$2,0))</f>
        <v/>
      </c>
      <c r="AM183" s="211" t="str">
        <f aca="false">IF($A184="","",MAX(0,O183-W183-AI183))</f>
        <v/>
      </c>
      <c r="AN183" s="211" t="str">
        <f aca="false">IF($A184="","",AL183-AM183)</f>
        <v/>
      </c>
      <c r="AO183" s="137" t="str">
        <f aca="false">IF(A184="","",A184-A183)</f>
        <v/>
      </c>
      <c r="AP183" s="212" t="str">
        <f aca="false">IF(A184="","",CHOOSE(F$3,A184+24,A183))</f>
        <v/>
      </c>
      <c r="AQ183" s="209" t="str">
        <f aca="false">IF(A184="","",AP183-$E$1)</f>
        <v/>
      </c>
      <c r="AR183" s="185" t="n">
        <f aca="false">'ANR OK vs ML7'!AR183</f>
        <v>0.1</v>
      </c>
      <c r="AS183" s="213" t="str">
        <f aca="false">IF(A184="","",1/(1+CHOOSE(F$3,(AR184+($I$3/10000))/2,(AR183+($I$3/10000))/2))^(2*AQ183/365.25))</f>
        <v/>
      </c>
      <c r="AT183" s="137" t="str">
        <f aca="false">IF(A184="","",IF(AND(mthbeg&lt;=A183,mthend&gt;=A183),1,0))</f>
        <v/>
      </c>
      <c r="AU183" s="137" t="str">
        <f aca="false">IF(A184="","",AO183*AT183)</f>
        <v/>
      </c>
      <c r="AW183" s="195" t="str">
        <f aca="false">IF($A184="","",AL183*$E183)</f>
        <v/>
      </c>
      <c r="AX183" s="195" t="str">
        <f aca="false">IF($A184="","",AM183*$E183)</f>
        <v/>
      </c>
      <c r="AY183" s="195" t="str">
        <f aca="false">IF($A184="","",AN183*$E183)</f>
        <v/>
      </c>
      <c r="BA183" s="195" t="str">
        <f aca="false">IF($A184="","",F183*Summary!$Q$10)</f>
        <v/>
      </c>
    </row>
    <row r="184" customFormat="false" ht="12" hidden="false" customHeight="true" outlineLevel="0" collapsed="false">
      <c r="A184" s="196" t="str">
        <f aca="false">IF(A183&lt;mthend,EDATE(A183,1),"")</f>
        <v/>
      </c>
      <c r="B184" s="197" t="str">
        <f aca="false">IF(A184&lt;mthend,B183,"")</f>
        <v/>
      </c>
      <c r="C184" s="215"/>
      <c r="D184" s="197" t="str">
        <f aca="false">IF(A185&lt;&gt;"",B184+C184,"")</f>
        <v/>
      </c>
      <c r="E184" s="199" t="str">
        <f aca="false">IF(A185="","",IF(AND(AT184=1,$H$3=1),D184*AO184,IF($H$3=2,D184,"N/A")))</f>
        <v/>
      </c>
      <c r="F184" s="199" t="str">
        <f aca="false">IF(A185="","",E184*AS184)</f>
        <v/>
      </c>
      <c r="G184" s="200" t="str">
        <f aca="false">IF($A185="","",VLOOKUP($A184,Table,MATCH(G$4,Curves,0)))</f>
        <v/>
      </c>
      <c r="H184" s="201" t="str">
        <f aca="false">IF(A185="","",G184)</f>
        <v/>
      </c>
      <c r="I184" s="202"/>
      <c r="J184" s="200" t="str">
        <f aca="false">IF($A185="","",VLOOKUP($A184,Table,MATCH(J$4,Curves,0)))</f>
        <v/>
      </c>
      <c r="K184" s="201" t="str">
        <f aca="false">IF(A185="","",J184)</f>
        <v/>
      </c>
      <c r="L184" s="185" t="n">
        <v>0</v>
      </c>
      <c r="M184" s="201" t="str">
        <f aca="false">IF(A185="","",L184)</f>
        <v/>
      </c>
      <c r="N184" s="203"/>
      <c r="O184" s="200" t="str">
        <f aca="false">IF(A185="","",L184+J184+G184)</f>
        <v/>
      </c>
      <c r="P184" s="200" t="str">
        <f aca="false">IF(A185="","",M184+K184+H184)</f>
        <v/>
      </c>
      <c r="Q184" s="204"/>
      <c r="R184" s="200" t="str">
        <f aca="false">IF($A185="","",VLOOKUP($A184,Table,MATCH(R$4,Curves,0)))</f>
        <v/>
      </c>
      <c r="S184" s="201" t="str">
        <f aca="false">IF(A185="","",R184)</f>
        <v/>
      </c>
      <c r="T184" s="200" t="str">
        <f aca="false">IF($A185="","",VLOOKUP($A184,Table,MATCH(T$4,Curves,0)))</f>
        <v/>
      </c>
      <c r="U184" s="201" t="str">
        <f aca="false">IF(A185="","",T184)</f>
        <v/>
      </c>
      <c r="V184" s="205" t="str">
        <f aca="false">IF($A185="","",IF(AND(MONTH(A184)&gt;3,MONTH(A184)&lt;11),(T184+R184+G184)*Summary!$T$10/(1-Summary!$T$10),(T184+R184+G184)*Summary!$U$10/(1-Summary!$U$10)))</f>
        <v/>
      </c>
      <c r="W184" s="200" t="str">
        <f aca="false">IF($A185="","",(T184+R184+G184+V184))</f>
        <v/>
      </c>
      <c r="X184" s="200" t="str">
        <f aca="false">IF($A185="","",(U184+S184+H184+V184))</f>
        <v/>
      </c>
      <c r="Y184" s="202"/>
      <c r="Z184" s="185" t="str">
        <f aca="false">IF($A185="","",VLOOKUP($A184,Table,MATCH(Z$4,Curves,0)))</f>
        <v/>
      </c>
      <c r="AA184" s="185" t="str">
        <f aca="false">IF($A185="","",VLOOKUP($A184,Table,MATCH(AA$4,Curves,0)))</f>
        <v/>
      </c>
      <c r="AB184" s="185" t="e">
        <f aca="false">SQRT((AA184^2*(A184-$D$3)+Z184^2*(DAY(EOMONTH(A184,0))/2))/AK184)</f>
        <v>#VALUE!</v>
      </c>
      <c r="AC184" s="185" t="str">
        <f aca="false">IF($A185="","",VLOOKUP($A184,Table,MATCH(AC$4,Curves,0)))</f>
        <v/>
      </c>
      <c r="AD184" s="185" t="str">
        <f aca="false">IF($A185="","",VLOOKUP($A184,Table,MATCH(AD$4,Curves,0)))</f>
        <v/>
      </c>
      <c r="AE184" s="185" t="e">
        <f aca="false">SQRT((AD184^2*(A184-$D$3)+AC184^2*(DAY(EOMONTH(A184,0))/2))/AK184)</f>
        <v>#VALUE!</v>
      </c>
      <c r="AF184" s="224" t="e">
        <f aca="false">((Summary!$N$10*(AA184*AD184)*(A184-$D$3))+(Summary!$M$10*Z184*AC184*(AJ184-EOMONTH(EDATE(A184,-1),0))))/(AK184*AB184*AE184)</f>
        <v>#VALUE!</v>
      </c>
      <c r="AG184" s="207" t="str">
        <f aca="false">IF($A185="","",Summary!$Q$10)</f>
        <v/>
      </c>
      <c r="AH184" s="207" t="str">
        <f aca="false">IF($A185="","",IF(Summary!$R$10="Y",(VLOOKUP($A184,Summary!$AD$6:$AF$9,3)+'Escalating commodity'!F197),'Escalating commodity'!F197))</f>
        <v/>
      </c>
      <c r="AI184" s="207" t="str">
        <f aca="false">IF($A185="","",AH184)</f>
        <v/>
      </c>
      <c r="AJ184" s="208" t="e">
        <f aca="false">A184+DAY(EOMONTH(A184,0))/2-1</f>
        <v>#VALUE!</v>
      </c>
      <c r="AK184" s="209" t="str">
        <f aca="false">IF($A185="","",$A184-$E$1)</f>
        <v/>
      </c>
      <c r="AL184" s="182" t="str">
        <f aca="false">IF($A185="","",SPRDOPT(P184,X184,AI184,0,AB184,AE184,AF184,AK184,$AJ$2,0))</f>
        <v/>
      </c>
      <c r="AM184" s="211" t="str">
        <f aca="false">IF($A185="","",MAX(0,O184-W184-AI184))</f>
        <v/>
      </c>
      <c r="AN184" s="211" t="str">
        <f aca="false">IF($A185="","",AL184-AM184)</f>
        <v/>
      </c>
      <c r="AO184" s="137" t="str">
        <f aca="false">IF(A185="","",A185-A184)</f>
        <v/>
      </c>
      <c r="AP184" s="212" t="str">
        <f aca="false">IF(A185="","",CHOOSE(F$3,A185+24,A184))</f>
        <v/>
      </c>
      <c r="AQ184" s="209" t="str">
        <f aca="false">IF(A185="","",AP184-$E$1)</f>
        <v/>
      </c>
      <c r="AR184" s="185" t="n">
        <f aca="false">'ANR OK vs ML7'!AR184</f>
        <v>0.1</v>
      </c>
      <c r="AS184" s="213" t="str">
        <f aca="false">IF(A185="","",1/(1+CHOOSE(F$3,(AR185+($I$3/10000))/2,(AR184+($I$3/10000))/2))^(2*AQ184/365.25))</f>
        <v/>
      </c>
      <c r="AT184" s="137" t="str">
        <f aca="false">IF(A185="","",IF(AND(mthbeg&lt;=A184,mthend&gt;=A184),1,0))</f>
        <v/>
      </c>
      <c r="AU184" s="137" t="str">
        <f aca="false">IF(A185="","",AO184*AT184)</f>
        <v/>
      </c>
      <c r="AW184" s="195" t="str">
        <f aca="false">IF($A185="","",AL184*$E184)</f>
        <v/>
      </c>
      <c r="AX184" s="195" t="str">
        <f aca="false">IF($A185="","",AM184*$E184)</f>
        <v/>
      </c>
      <c r="AY184" s="195" t="str">
        <f aca="false">IF($A185="","",AN184*$E184)</f>
        <v/>
      </c>
      <c r="BA184" s="195" t="str">
        <f aca="false">IF($A185="","",F184*Summary!$Q$10)</f>
        <v/>
      </c>
    </row>
    <row r="185" customFormat="false" ht="12" hidden="false" customHeight="true" outlineLevel="0" collapsed="false">
      <c r="A185" s="196" t="str">
        <f aca="false">IF(A184&lt;mthend,EDATE(A184,1),"")</f>
        <v/>
      </c>
      <c r="B185" s="197" t="str">
        <f aca="false">IF(A185&lt;mthend,B184,"")</f>
        <v/>
      </c>
      <c r="C185" s="215"/>
      <c r="D185" s="197" t="str">
        <f aca="false">IF(A186&lt;&gt;"",B185+C185,"")</f>
        <v/>
      </c>
      <c r="E185" s="199" t="str">
        <f aca="false">IF(A186="","",IF(AND(AT185=1,$H$3=1),D185*AO185,IF($H$3=2,D185,"N/A")))</f>
        <v/>
      </c>
      <c r="F185" s="199" t="str">
        <f aca="false">IF(A186="","",E185*AS185)</f>
        <v/>
      </c>
      <c r="G185" s="200" t="str">
        <f aca="false">IF($A186="","",VLOOKUP($A185,Table,MATCH(G$4,Curves,0)))</f>
        <v/>
      </c>
      <c r="H185" s="201" t="str">
        <f aca="false">IF(A186="","",G185)</f>
        <v/>
      </c>
      <c r="I185" s="202"/>
      <c r="J185" s="200" t="str">
        <f aca="false">IF($A186="","",VLOOKUP($A185,Table,MATCH(J$4,Curves,0)))</f>
        <v/>
      </c>
      <c r="K185" s="201" t="str">
        <f aca="false">IF(A186="","",J185)</f>
        <v/>
      </c>
      <c r="L185" s="185" t="n">
        <v>0</v>
      </c>
      <c r="M185" s="201" t="str">
        <f aca="false">IF(A186="","",L185)</f>
        <v/>
      </c>
      <c r="N185" s="203"/>
      <c r="O185" s="200" t="str">
        <f aca="false">IF(A186="","",L185+J185+G185)</f>
        <v/>
      </c>
      <c r="P185" s="200" t="str">
        <f aca="false">IF(A186="","",M185+K185+H185)</f>
        <v/>
      </c>
      <c r="Q185" s="204"/>
      <c r="R185" s="200" t="str">
        <f aca="false">IF($A186="","",VLOOKUP($A185,Table,MATCH(R$4,Curves,0)))</f>
        <v/>
      </c>
      <c r="S185" s="201" t="str">
        <f aca="false">IF(A186="","",R185)</f>
        <v/>
      </c>
      <c r="T185" s="200" t="str">
        <f aca="false">IF($A186="","",VLOOKUP($A185,Table,MATCH(T$4,Curves,0)))</f>
        <v/>
      </c>
      <c r="U185" s="201" t="str">
        <f aca="false">IF(A186="","",T185)</f>
        <v/>
      </c>
      <c r="V185" s="205" t="str">
        <f aca="false">IF($A186="","",IF(AND(MONTH(A185)&gt;3,MONTH(A185)&lt;11),(T185+R185+G185)*Summary!$T$10/(1-Summary!$T$10),(T185+R185+G185)*Summary!$U$10/(1-Summary!$U$10)))</f>
        <v/>
      </c>
      <c r="W185" s="200" t="str">
        <f aca="false">IF($A186="","",(T185+R185+G185+V185))</f>
        <v/>
      </c>
      <c r="X185" s="200" t="str">
        <f aca="false">IF($A186="","",(U185+S185+H185+V185))</f>
        <v/>
      </c>
      <c r="Y185" s="202"/>
      <c r="Z185" s="185" t="str">
        <f aca="false">IF($A186="","",VLOOKUP($A185,Table,MATCH(Z$4,Curves,0)))</f>
        <v/>
      </c>
      <c r="AA185" s="185" t="str">
        <f aca="false">IF($A186="","",VLOOKUP($A185,Table,MATCH(AA$4,Curves,0)))</f>
        <v/>
      </c>
      <c r="AB185" s="185" t="e">
        <f aca="false">SQRT((AA185^2*(A185-$D$3)+Z185^2*(DAY(EOMONTH(A185,0))/2))/AK185)</f>
        <v>#VALUE!</v>
      </c>
      <c r="AC185" s="185" t="str">
        <f aca="false">IF($A186="","",VLOOKUP($A185,Table,MATCH(AC$4,Curves,0)))</f>
        <v/>
      </c>
      <c r="AD185" s="185" t="str">
        <f aca="false">IF($A186="","",VLOOKUP($A185,Table,MATCH(AD$4,Curves,0)))</f>
        <v/>
      </c>
      <c r="AE185" s="185" t="e">
        <f aca="false">SQRT((AD185^2*(A185-$D$3)+AC185^2*(DAY(EOMONTH(A185,0))/2))/AK185)</f>
        <v>#VALUE!</v>
      </c>
      <c r="AF185" s="224" t="e">
        <f aca="false">((Summary!$N$10*(AA185*AD185)*(A185-$D$3))+(Summary!$M$10*Z185*AC185*(AJ185-EOMONTH(EDATE(A185,-1),0))))/(AK185*AB185*AE185)</f>
        <v>#VALUE!</v>
      </c>
      <c r="AG185" s="207" t="str">
        <f aca="false">IF($A186="","",Summary!$Q$10)</f>
        <v/>
      </c>
      <c r="AH185" s="207" t="str">
        <f aca="false">IF($A186="","",IF(Summary!$R$10="Y",(VLOOKUP($A185,Summary!$AD$6:$AF$9,3)+'Escalating commodity'!F198),'Escalating commodity'!F198))</f>
        <v/>
      </c>
      <c r="AI185" s="207" t="str">
        <f aca="false">IF($A186="","",AH185)</f>
        <v/>
      </c>
      <c r="AJ185" s="208" t="e">
        <f aca="false">A185+DAY(EOMONTH(A185,0))/2-1</f>
        <v>#VALUE!</v>
      </c>
      <c r="AK185" s="209" t="str">
        <f aca="false">IF($A186="","",$A185-$E$1)</f>
        <v/>
      </c>
      <c r="AL185" s="182" t="str">
        <f aca="false">IF($A186="","",SPRDOPT(P185,X185,AI185,0,AB185,AE185,AF185,AK185,$AJ$2,0))</f>
        <v/>
      </c>
      <c r="AM185" s="211" t="str">
        <f aca="false">IF($A186="","",MAX(0,O185-W185-AI185))</f>
        <v/>
      </c>
      <c r="AN185" s="211" t="str">
        <f aca="false">IF($A186="","",AL185-AM185)</f>
        <v/>
      </c>
      <c r="AO185" s="137" t="str">
        <f aca="false">IF(A186="","",A186-A185)</f>
        <v/>
      </c>
      <c r="AP185" s="212" t="str">
        <f aca="false">IF(A186="","",CHOOSE(F$3,A186+24,A185))</f>
        <v/>
      </c>
      <c r="AQ185" s="209" t="str">
        <f aca="false">IF(A186="","",AP185-$E$1)</f>
        <v/>
      </c>
      <c r="AR185" s="185" t="n">
        <f aca="false">'ANR OK vs ML7'!AR185</f>
        <v>0.1</v>
      </c>
      <c r="AS185" s="213" t="str">
        <f aca="false">IF(A186="","",1/(1+CHOOSE(F$3,(AR186+($I$3/10000))/2,(AR185+($I$3/10000))/2))^(2*AQ185/365.25))</f>
        <v/>
      </c>
      <c r="AT185" s="137" t="str">
        <f aca="false">IF(A186="","",IF(AND(mthbeg&lt;=A185,mthend&gt;=A185),1,0))</f>
        <v/>
      </c>
      <c r="AU185" s="137" t="str">
        <f aca="false">IF(A186="","",AO185*AT185)</f>
        <v/>
      </c>
      <c r="AW185" s="195" t="str">
        <f aca="false">IF($A186="","",AL185*$E185)</f>
        <v/>
      </c>
      <c r="AX185" s="195" t="str">
        <f aca="false">IF($A186="","",AM185*$E185)</f>
        <v/>
      </c>
      <c r="AY185" s="195" t="str">
        <f aca="false">IF($A186="","",AN185*$E185)</f>
        <v/>
      </c>
      <c r="BA185" s="195" t="str">
        <f aca="false">IF($A186="","",F185*Summary!$Q$10)</f>
        <v/>
      </c>
    </row>
    <row r="186" customFormat="false" ht="12" hidden="false" customHeight="true" outlineLevel="0" collapsed="false">
      <c r="A186" s="196" t="str">
        <f aca="false">IF(A185&lt;mthend,EDATE(A185,1),"")</f>
        <v/>
      </c>
      <c r="B186" s="197" t="str">
        <f aca="false">IF(A186&lt;mthend,B185,"")</f>
        <v/>
      </c>
      <c r="C186" s="215"/>
      <c r="D186" s="197" t="str">
        <f aca="false">IF(A187&lt;&gt;"",B186+C186,"")</f>
        <v/>
      </c>
      <c r="E186" s="199" t="str">
        <f aca="false">IF(A187="","",IF(AND(AT186=1,$H$3=1),D186*AO186,IF($H$3=2,D186,"N/A")))</f>
        <v/>
      </c>
      <c r="F186" s="199" t="str">
        <f aca="false">IF(A187="","",E186*AS186)</f>
        <v/>
      </c>
      <c r="G186" s="200" t="str">
        <f aca="false">IF($A187="","",VLOOKUP($A186,Table,MATCH(G$4,Curves,0)))</f>
        <v/>
      </c>
      <c r="H186" s="201" t="str">
        <f aca="false">IF(A187="","",G186)</f>
        <v/>
      </c>
      <c r="I186" s="202"/>
      <c r="J186" s="200" t="str">
        <f aca="false">IF($A187="","",VLOOKUP($A186,Table,MATCH(J$4,Curves,0)))</f>
        <v/>
      </c>
      <c r="K186" s="201" t="str">
        <f aca="false">IF(A187="","",J186)</f>
        <v/>
      </c>
      <c r="L186" s="185" t="n">
        <v>0</v>
      </c>
      <c r="M186" s="201" t="str">
        <f aca="false">IF(A187="","",L186)</f>
        <v/>
      </c>
      <c r="N186" s="203"/>
      <c r="O186" s="200" t="str">
        <f aca="false">IF(A187="","",L186+J186+G186)</f>
        <v/>
      </c>
      <c r="P186" s="200" t="str">
        <f aca="false">IF(A187="","",M186+K186+H186)</f>
        <v/>
      </c>
      <c r="Q186" s="204"/>
      <c r="R186" s="200" t="str">
        <f aca="false">IF($A187="","",VLOOKUP($A186,Table,MATCH(R$4,Curves,0)))</f>
        <v/>
      </c>
      <c r="S186" s="201" t="str">
        <f aca="false">IF(A187="","",R186)</f>
        <v/>
      </c>
      <c r="T186" s="200" t="str">
        <f aca="false">IF($A187="","",VLOOKUP($A186,Table,MATCH(T$4,Curves,0)))</f>
        <v/>
      </c>
      <c r="U186" s="201" t="str">
        <f aca="false">IF(A187="","",T186)</f>
        <v/>
      </c>
      <c r="V186" s="205" t="str">
        <f aca="false">IF($A187="","",IF(AND(MONTH(A186)&gt;3,MONTH(A186)&lt;11),(T186+R186+G186)*Summary!$T$10/(1-Summary!$T$10),(T186+R186+G186)*Summary!$U$10/(1-Summary!$U$10)))</f>
        <v/>
      </c>
      <c r="W186" s="200" t="str">
        <f aca="false">IF($A187="","",(T186+R186+G186+V186))</f>
        <v/>
      </c>
      <c r="X186" s="200" t="str">
        <f aca="false">IF($A187="","",(U186+S186+H186+V186))</f>
        <v/>
      </c>
      <c r="Y186" s="202"/>
      <c r="Z186" s="185" t="str">
        <f aca="false">IF($A187="","",VLOOKUP($A186,Table,MATCH(Z$4,Curves,0)))</f>
        <v/>
      </c>
      <c r="AA186" s="185" t="str">
        <f aca="false">IF($A187="","",VLOOKUP($A186,Table,MATCH(AA$4,Curves,0)))</f>
        <v/>
      </c>
      <c r="AB186" s="185" t="e">
        <f aca="false">SQRT((AA186^2*(A186-$D$3)+Z186^2*(DAY(EOMONTH(A186,0))/2))/AK186)</f>
        <v>#VALUE!</v>
      </c>
      <c r="AC186" s="185" t="str">
        <f aca="false">IF($A187="","",VLOOKUP($A186,Table,MATCH(AC$4,Curves,0)))</f>
        <v/>
      </c>
      <c r="AD186" s="185" t="str">
        <f aca="false">IF($A187="","",VLOOKUP($A186,Table,MATCH(AD$4,Curves,0)))</f>
        <v/>
      </c>
      <c r="AE186" s="185" t="e">
        <f aca="false">SQRT((AD186^2*(A186-$D$3)+AC186^2*(DAY(EOMONTH(A186,0))/2))/AK186)</f>
        <v>#VALUE!</v>
      </c>
      <c r="AF186" s="224" t="e">
        <f aca="false">((Summary!$N$10*(AA186*AD186)*(A186-$D$3))+(Summary!$M$10*Z186*AC186*(AJ186-EOMONTH(EDATE(A186,-1),0))))/(AK186*AB186*AE186)</f>
        <v>#VALUE!</v>
      </c>
      <c r="AG186" s="207" t="str">
        <f aca="false">IF($A187="","",Summary!$Q$10)</f>
        <v/>
      </c>
      <c r="AH186" s="207" t="str">
        <f aca="false">IF($A187="","",IF(Summary!$R$10="Y",(VLOOKUP($A186,Summary!$AD$6:$AF$9,3)+'Escalating commodity'!F199),'Escalating commodity'!F199))</f>
        <v/>
      </c>
      <c r="AI186" s="207" t="str">
        <f aca="false">IF($A187="","",AH186)</f>
        <v/>
      </c>
      <c r="AJ186" s="208" t="e">
        <f aca="false">A186+DAY(EOMONTH(A186,0))/2-1</f>
        <v>#VALUE!</v>
      </c>
      <c r="AK186" s="209" t="str">
        <f aca="false">IF($A187="","",$A186-$E$1)</f>
        <v/>
      </c>
      <c r="AL186" s="182" t="str">
        <f aca="false">IF($A187="","",SPRDOPT(P186,X186,AI186,0,AB186,AE186,AF186,AK186,$AJ$2,0))</f>
        <v/>
      </c>
      <c r="AM186" s="211" t="str">
        <f aca="false">IF($A187="","",MAX(0,O186-W186-AI186))</f>
        <v/>
      </c>
      <c r="AN186" s="211" t="str">
        <f aca="false">IF($A187="","",AL186-AM186)</f>
        <v/>
      </c>
      <c r="AO186" s="137" t="str">
        <f aca="false">IF(A187="","",A187-A186)</f>
        <v/>
      </c>
      <c r="AP186" s="212" t="str">
        <f aca="false">IF(A187="","",CHOOSE(F$3,A187+24,A186))</f>
        <v/>
      </c>
      <c r="AQ186" s="209" t="str">
        <f aca="false">IF(A187="","",AP186-$E$1)</f>
        <v/>
      </c>
      <c r="AR186" s="185" t="n">
        <f aca="false">'ANR OK vs ML7'!AR186</f>
        <v>0.1</v>
      </c>
      <c r="AS186" s="213" t="str">
        <f aca="false">IF(A187="","",1/(1+CHOOSE(F$3,(AR187+($I$3/10000))/2,(AR186+($I$3/10000))/2))^(2*AQ186/365.25))</f>
        <v/>
      </c>
      <c r="AT186" s="137" t="str">
        <f aca="false">IF(A187="","",IF(AND(mthbeg&lt;=A186,mthend&gt;=A186),1,0))</f>
        <v/>
      </c>
      <c r="AU186" s="137" t="str">
        <f aca="false">IF(A187="","",AO186*AT186)</f>
        <v/>
      </c>
      <c r="AW186" s="195" t="str">
        <f aca="false">IF($A187="","",AL186*$E186)</f>
        <v/>
      </c>
      <c r="AX186" s="195" t="str">
        <f aca="false">IF($A187="","",AM186*$E186)</f>
        <v/>
      </c>
      <c r="AY186" s="195" t="str">
        <f aca="false">IF($A187="","",AN186*$E186)</f>
        <v/>
      </c>
      <c r="BA186" s="195" t="str">
        <f aca="false">IF($A187="","",F186*Summary!$Q$10)</f>
        <v/>
      </c>
    </row>
    <row r="187" customFormat="false" ht="12" hidden="false" customHeight="true" outlineLevel="0" collapsed="false">
      <c r="A187" s="196" t="str">
        <f aca="false">IF(A186&lt;mthend,EDATE(A186,1),"")</f>
        <v/>
      </c>
      <c r="B187" s="197" t="str">
        <f aca="false">IF(A187&lt;mthend,B186,"")</f>
        <v/>
      </c>
      <c r="C187" s="215"/>
      <c r="D187" s="197" t="str">
        <f aca="false">IF(A188&lt;&gt;"",B187+C187,"")</f>
        <v/>
      </c>
      <c r="E187" s="199" t="str">
        <f aca="false">IF(A188="","",IF(AND(AT187=1,$H$3=1),D187*AO187,IF($H$3=2,D187,"N/A")))</f>
        <v/>
      </c>
      <c r="F187" s="199" t="str">
        <f aca="false">IF(A188="","",E187*AS187)</f>
        <v/>
      </c>
      <c r="G187" s="200" t="str">
        <f aca="false">IF($A188="","",VLOOKUP($A187,Table,MATCH(G$4,Curves,0)))</f>
        <v/>
      </c>
      <c r="H187" s="201" t="str">
        <f aca="false">IF(A188="","",G187)</f>
        <v/>
      </c>
      <c r="I187" s="202"/>
      <c r="J187" s="200" t="str">
        <f aca="false">IF($A188="","",VLOOKUP($A187,Table,MATCH(J$4,Curves,0)))</f>
        <v/>
      </c>
      <c r="K187" s="201" t="str">
        <f aca="false">IF(A188="","",J187)</f>
        <v/>
      </c>
      <c r="L187" s="185" t="n">
        <v>0</v>
      </c>
      <c r="M187" s="201" t="str">
        <f aca="false">IF(A188="","",L187)</f>
        <v/>
      </c>
      <c r="N187" s="203"/>
      <c r="O187" s="200" t="str">
        <f aca="false">IF(A188="","",L187+J187+G187)</f>
        <v/>
      </c>
      <c r="P187" s="200" t="str">
        <f aca="false">IF(A188="","",M187+K187+H187)</f>
        <v/>
      </c>
      <c r="Q187" s="204"/>
      <c r="R187" s="200" t="str">
        <f aca="false">IF($A188="","",VLOOKUP($A187,Table,MATCH(R$4,Curves,0)))</f>
        <v/>
      </c>
      <c r="S187" s="201" t="str">
        <f aca="false">IF(A188="","",R187)</f>
        <v/>
      </c>
      <c r="T187" s="200" t="str">
        <f aca="false">IF($A188="","",VLOOKUP($A187,Table,MATCH(T$4,Curves,0)))</f>
        <v/>
      </c>
      <c r="U187" s="201" t="str">
        <f aca="false">IF(A188="","",T187)</f>
        <v/>
      </c>
      <c r="V187" s="205" t="str">
        <f aca="false">IF($A188="","",IF(AND(MONTH(A187)&gt;3,MONTH(A187)&lt;11),(T187+R187+G187)*Summary!$T$10/(1-Summary!$T$10),(T187+R187+G187)*Summary!$U$10/(1-Summary!$U$10)))</f>
        <v/>
      </c>
      <c r="W187" s="200" t="str">
        <f aca="false">IF($A188="","",(T187+R187+G187+V187))</f>
        <v/>
      </c>
      <c r="X187" s="200" t="str">
        <f aca="false">IF($A188="","",(U187+S187+H187+V187))</f>
        <v/>
      </c>
      <c r="Y187" s="202"/>
      <c r="Z187" s="185" t="str">
        <f aca="false">IF($A188="","",VLOOKUP($A187,Table,MATCH(Z$4,Curves,0)))</f>
        <v/>
      </c>
      <c r="AA187" s="185" t="str">
        <f aca="false">IF($A188="","",VLOOKUP($A187,Table,MATCH(AA$4,Curves,0)))</f>
        <v/>
      </c>
      <c r="AB187" s="185" t="e">
        <f aca="false">SQRT((AA187^2*(A187-$D$3)+Z187^2*(DAY(EOMONTH(A187,0))/2))/AK187)</f>
        <v>#VALUE!</v>
      </c>
      <c r="AC187" s="185" t="str">
        <f aca="false">IF($A188="","",VLOOKUP($A187,Table,MATCH(AC$4,Curves,0)))</f>
        <v/>
      </c>
      <c r="AD187" s="185" t="str">
        <f aca="false">IF($A188="","",VLOOKUP($A187,Table,MATCH(AD$4,Curves,0)))</f>
        <v/>
      </c>
      <c r="AE187" s="185" t="e">
        <f aca="false">SQRT((AD187^2*(A187-$D$3)+AC187^2*(DAY(EOMONTH(A187,0))/2))/AK187)</f>
        <v>#VALUE!</v>
      </c>
      <c r="AF187" s="224" t="e">
        <f aca="false">((Summary!$N$10*(AA187*AD187)*(A187-$D$3))+(Summary!$M$10*Z187*AC187*(AJ187-EOMONTH(EDATE(A187,-1),0))))/(AK187*AB187*AE187)</f>
        <v>#VALUE!</v>
      </c>
      <c r="AG187" s="207" t="str">
        <f aca="false">IF($A188="","",Summary!$Q$10)</f>
        <v/>
      </c>
      <c r="AH187" s="207" t="str">
        <f aca="false">IF($A188="","",IF(Summary!$R$10="Y",(VLOOKUP($A187,Summary!$AD$6:$AF$9,3)+'Escalating commodity'!F200),'Escalating commodity'!F200))</f>
        <v/>
      </c>
      <c r="AI187" s="207" t="str">
        <f aca="false">IF($A188="","",AH187)</f>
        <v/>
      </c>
      <c r="AJ187" s="208" t="e">
        <f aca="false">A187+DAY(EOMONTH(A187,0))/2-1</f>
        <v>#VALUE!</v>
      </c>
      <c r="AK187" s="209" t="str">
        <f aca="false">IF($A188="","",$A187-$E$1)</f>
        <v/>
      </c>
      <c r="AL187" s="182" t="str">
        <f aca="false">IF($A188="","",SPRDOPT(P187,X187,AI187,0,AB187,AE187,AF187,AK187,$AJ$2,0))</f>
        <v/>
      </c>
      <c r="AM187" s="211" t="str">
        <f aca="false">IF($A188="","",MAX(0,O187-W187-AI187))</f>
        <v/>
      </c>
      <c r="AN187" s="211" t="str">
        <f aca="false">IF($A188="","",AL187-AM187)</f>
        <v/>
      </c>
      <c r="AO187" s="137" t="str">
        <f aca="false">IF(A188="","",A188-A187)</f>
        <v/>
      </c>
      <c r="AP187" s="212" t="str">
        <f aca="false">IF(A188="","",CHOOSE(F$3,A188+24,A187))</f>
        <v/>
      </c>
      <c r="AQ187" s="209" t="str">
        <f aca="false">IF(A188="","",AP187-$E$1)</f>
        <v/>
      </c>
      <c r="AR187" s="185" t="n">
        <f aca="false">'ANR OK vs ML7'!AR187</f>
        <v>0.1</v>
      </c>
      <c r="AS187" s="213" t="str">
        <f aca="false">IF(A188="","",1/(1+CHOOSE(F$3,(AR188+($I$3/10000))/2,(AR187+($I$3/10000))/2))^(2*AQ187/365.25))</f>
        <v/>
      </c>
      <c r="AT187" s="137" t="str">
        <f aca="false">IF(A188="","",IF(AND(mthbeg&lt;=A187,mthend&gt;=A187),1,0))</f>
        <v/>
      </c>
      <c r="AU187" s="137" t="str">
        <f aca="false">IF(A188="","",AO187*AT187)</f>
        <v/>
      </c>
      <c r="AW187" s="195" t="str">
        <f aca="false">IF($A188="","",AL187*$E187)</f>
        <v/>
      </c>
      <c r="AX187" s="195" t="str">
        <f aca="false">IF($A188="","",AM187*$E187)</f>
        <v/>
      </c>
      <c r="AY187" s="195" t="str">
        <f aca="false">IF($A188="","",AN187*$E187)</f>
        <v/>
      </c>
      <c r="BA187" s="195" t="str">
        <f aca="false">IF($A188="","",F187*Summary!$Q$10)</f>
        <v/>
      </c>
    </row>
    <row r="188" customFormat="false" ht="12" hidden="false" customHeight="true" outlineLevel="0" collapsed="false">
      <c r="A188" s="196" t="str">
        <f aca="false">IF(A187&lt;mthend,EDATE(A187,1),"")</f>
        <v/>
      </c>
      <c r="B188" s="197" t="str">
        <f aca="false">IF(A188&lt;mthend,B187,"")</f>
        <v/>
      </c>
      <c r="C188" s="215"/>
      <c r="D188" s="197" t="str">
        <f aca="false">IF(A189&lt;&gt;"",B188+C188,"")</f>
        <v/>
      </c>
      <c r="E188" s="199" t="str">
        <f aca="false">IF(A189="","",IF(AND(AT188=1,$H$3=1),D188*AO188,IF($H$3=2,D188,"N/A")))</f>
        <v/>
      </c>
      <c r="F188" s="199" t="str">
        <f aca="false">IF(A189="","",E188*AS188)</f>
        <v/>
      </c>
      <c r="G188" s="200" t="str">
        <f aca="false">IF($A189="","",VLOOKUP($A188,Table,MATCH(G$4,Curves,0)))</f>
        <v/>
      </c>
      <c r="H188" s="201" t="str">
        <f aca="false">IF(A189="","",G188)</f>
        <v/>
      </c>
      <c r="I188" s="202"/>
      <c r="J188" s="200" t="str">
        <f aca="false">IF($A189="","",VLOOKUP($A188,Table,MATCH(J$4,Curves,0)))</f>
        <v/>
      </c>
      <c r="K188" s="201" t="str">
        <f aca="false">IF(A189="","",J188)</f>
        <v/>
      </c>
      <c r="L188" s="185" t="n">
        <v>0</v>
      </c>
      <c r="M188" s="201" t="str">
        <f aca="false">IF(A189="","",L188)</f>
        <v/>
      </c>
      <c r="N188" s="203"/>
      <c r="O188" s="200" t="str">
        <f aca="false">IF(A189="","",L188+J188+G188)</f>
        <v/>
      </c>
      <c r="P188" s="200" t="str">
        <f aca="false">IF(A189="","",M188+K188+H188)</f>
        <v/>
      </c>
      <c r="Q188" s="204"/>
      <c r="R188" s="200" t="str">
        <f aca="false">IF($A189="","",VLOOKUP($A188,Table,MATCH(R$4,Curves,0)))</f>
        <v/>
      </c>
      <c r="S188" s="201" t="str">
        <f aca="false">IF(A189="","",R188)</f>
        <v/>
      </c>
      <c r="T188" s="200" t="str">
        <f aca="false">IF($A189="","",VLOOKUP($A188,Table,MATCH(T$4,Curves,0)))</f>
        <v/>
      </c>
      <c r="U188" s="201" t="str">
        <f aca="false">IF(A189="","",T188)</f>
        <v/>
      </c>
      <c r="V188" s="205" t="str">
        <f aca="false">IF($A189="","",IF(AND(MONTH(A188)&gt;3,MONTH(A188)&lt;11),(T188+R188+G188)*Summary!$T$10/(1-Summary!$T$10),(T188+R188+G188)*Summary!$U$10/(1-Summary!$U$10)))</f>
        <v/>
      </c>
      <c r="W188" s="200" t="str">
        <f aca="false">IF($A189="","",(T188+R188+G188+V188))</f>
        <v/>
      </c>
      <c r="X188" s="200" t="str">
        <f aca="false">IF($A189="","",(U188+S188+H188+V188))</f>
        <v/>
      </c>
      <c r="Y188" s="202"/>
      <c r="Z188" s="185" t="str">
        <f aca="false">IF($A189="","",VLOOKUP($A188,Table,MATCH(Z$4,Curves,0)))</f>
        <v/>
      </c>
      <c r="AA188" s="185" t="str">
        <f aca="false">IF($A189="","",VLOOKUP($A188,Table,MATCH(AA$4,Curves,0)))</f>
        <v/>
      </c>
      <c r="AB188" s="185" t="e">
        <f aca="false">SQRT((AA188^2*(A188-$D$3)+Z188^2*(DAY(EOMONTH(A188,0))/2))/AK188)</f>
        <v>#VALUE!</v>
      </c>
      <c r="AC188" s="185" t="str">
        <f aca="false">IF($A189="","",VLOOKUP($A188,Table,MATCH(AC$4,Curves,0)))</f>
        <v/>
      </c>
      <c r="AD188" s="185" t="str">
        <f aca="false">IF($A189="","",VLOOKUP($A188,Table,MATCH(AD$4,Curves,0)))</f>
        <v/>
      </c>
      <c r="AE188" s="185" t="e">
        <f aca="false">SQRT((AD188^2*(A188-$D$3)+AC188^2*(DAY(EOMONTH(A188,0))/2))/AK188)</f>
        <v>#VALUE!</v>
      </c>
      <c r="AF188" s="224" t="e">
        <f aca="false">((Summary!$N$10*(AA188*AD188)*(A188-$D$3))+(Summary!$M$10*Z188*AC188*(AJ188-EOMONTH(EDATE(A188,-1),0))))/(AK188*AB188*AE188)</f>
        <v>#VALUE!</v>
      </c>
      <c r="AG188" s="207" t="str">
        <f aca="false">IF($A189="","",Summary!$Q$10)</f>
        <v/>
      </c>
      <c r="AH188" s="207" t="str">
        <f aca="false">IF($A189="","",IF(Summary!$R$10="Y",(VLOOKUP($A188,Summary!$AD$6:$AF$9,3)+'Escalating commodity'!F201),'Escalating commodity'!F201))</f>
        <v/>
      </c>
      <c r="AI188" s="207" t="str">
        <f aca="false">IF($A189="","",AH188)</f>
        <v/>
      </c>
      <c r="AJ188" s="208" t="e">
        <f aca="false">A188+DAY(EOMONTH(A188,0))/2-1</f>
        <v>#VALUE!</v>
      </c>
      <c r="AK188" s="209" t="str">
        <f aca="false">IF($A189="","",$A188-$E$1)</f>
        <v/>
      </c>
      <c r="AL188" s="182" t="str">
        <f aca="false">IF($A189="","",SPRDOPT(P188,X188,AI188,0,AB188,AE188,AF188,AK188,$AJ$2,0))</f>
        <v/>
      </c>
      <c r="AM188" s="211" t="str">
        <f aca="false">IF($A189="","",MAX(0,O188-W188-AI188))</f>
        <v/>
      </c>
      <c r="AN188" s="211" t="str">
        <f aca="false">IF($A189="","",AL188-AM188)</f>
        <v/>
      </c>
      <c r="AO188" s="137" t="str">
        <f aca="false">IF(A189="","",A189-A188)</f>
        <v/>
      </c>
      <c r="AP188" s="212" t="str">
        <f aca="false">IF(A189="","",CHOOSE(F$3,A189+24,A188))</f>
        <v/>
      </c>
      <c r="AQ188" s="209" t="str">
        <f aca="false">IF(A189="","",AP188-$E$1)</f>
        <v/>
      </c>
      <c r="AR188" s="185" t="n">
        <f aca="false">'ANR OK vs ML7'!AR188</f>
        <v>0.1</v>
      </c>
      <c r="AS188" s="213" t="str">
        <f aca="false">IF(A189="","",1/(1+CHOOSE(F$3,(AR189+($I$3/10000))/2,(AR188+($I$3/10000))/2))^(2*AQ188/365.25))</f>
        <v/>
      </c>
      <c r="AT188" s="137" t="str">
        <f aca="false">IF(A189="","",IF(AND(mthbeg&lt;=A188,mthend&gt;=A188),1,0))</f>
        <v/>
      </c>
      <c r="AU188" s="137" t="str">
        <f aca="false">IF(A189="","",AO188*AT188)</f>
        <v/>
      </c>
      <c r="AW188" s="195" t="str">
        <f aca="false">IF($A189="","",AL188*$E188)</f>
        <v/>
      </c>
      <c r="AX188" s="195" t="str">
        <f aca="false">IF($A189="","",AM188*$E188)</f>
        <v/>
      </c>
      <c r="AY188" s="195" t="str">
        <f aca="false">IF($A189="","",AN188*$E188)</f>
        <v/>
      </c>
      <c r="BA188" s="195" t="str">
        <f aca="false">IF($A189="","",F188*Summary!$Q$10)</f>
        <v/>
      </c>
    </row>
    <row r="189" customFormat="false" ht="12" hidden="false" customHeight="true" outlineLevel="0" collapsed="false">
      <c r="A189" s="196" t="str">
        <f aca="false">IF(A188&lt;mthend,EDATE(A188,1),"")</f>
        <v/>
      </c>
      <c r="B189" s="197" t="str">
        <f aca="false">IF(A189&lt;mthend,B188,"")</f>
        <v/>
      </c>
      <c r="C189" s="215"/>
      <c r="D189" s="197" t="str">
        <f aca="false">IF(A190&lt;&gt;"",B189+C189,"")</f>
        <v/>
      </c>
      <c r="E189" s="199" t="str">
        <f aca="false">IF(A190="","",IF(AND(AT189=1,$H$3=1),D189*AO189,IF($H$3=2,D189,"N/A")))</f>
        <v/>
      </c>
      <c r="F189" s="199" t="str">
        <f aca="false">IF(A190="","",E189*AS189)</f>
        <v/>
      </c>
      <c r="G189" s="200" t="str">
        <f aca="false">IF($A190="","",VLOOKUP($A189,Table,MATCH(G$4,Curves,0)))</f>
        <v/>
      </c>
      <c r="H189" s="201" t="str">
        <f aca="false">IF(A190="","",G189)</f>
        <v/>
      </c>
      <c r="I189" s="202"/>
      <c r="J189" s="200" t="str">
        <f aca="false">IF($A190="","",VLOOKUP($A189,Table,MATCH(J$4,Curves,0)))</f>
        <v/>
      </c>
      <c r="K189" s="201" t="str">
        <f aca="false">IF(A190="","",J189)</f>
        <v/>
      </c>
      <c r="L189" s="185" t="n">
        <v>0</v>
      </c>
      <c r="M189" s="201" t="str">
        <f aca="false">IF(A190="","",L189)</f>
        <v/>
      </c>
      <c r="N189" s="203"/>
      <c r="O189" s="200" t="str">
        <f aca="false">IF(A190="","",L189+J189+G189)</f>
        <v/>
      </c>
      <c r="P189" s="200" t="str">
        <f aca="false">IF(A190="","",M189+K189+H189)</f>
        <v/>
      </c>
      <c r="Q189" s="204"/>
      <c r="R189" s="200" t="str">
        <f aca="false">IF($A190="","",VLOOKUP($A189,Table,MATCH(R$4,Curves,0)))</f>
        <v/>
      </c>
      <c r="S189" s="201" t="str">
        <f aca="false">IF(A190="","",R189)</f>
        <v/>
      </c>
      <c r="T189" s="200" t="str">
        <f aca="false">IF($A190="","",VLOOKUP($A189,Table,MATCH(T$4,Curves,0)))</f>
        <v/>
      </c>
      <c r="U189" s="201" t="str">
        <f aca="false">IF(A190="","",T189)</f>
        <v/>
      </c>
      <c r="V189" s="205" t="str">
        <f aca="false">IF($A190="","",IF(AND(MONTH(A189)&gt;3,MONTH(A189)&lt;11),(T189+R189+G189)*Summary!$T$10/(1-Summary!$T$10),(T189+R189+G189)*Summary!$U$10/(1-Summary!$U$10)))</f>
        <v/>
      </c>
      <c r="W189" s="200" t="str">
        <f aca="false">IF($A190="","",(T189+R189+G189+V189))</f>
        <v/>
      </c>
      <c r="X189" s="200" t="str">
        <f aca="false">IF($A190="","",(U189+S189+H189+V189))</f>
        <v/>
      </c>
      <c r="Y189" s="202"/>
      <c r="Z189" s="185" t="str">
        <f aca="false">IF($A190="","",VLOOKUP($A189,Table,MATCH(Z$4,Curves,0)))</f>
        <v/>
      </c>
      <c r="AA189" s="185" t="str">
        <f aca="false">IF($A190="","",VLOOKUP($A189,Table,MATCH(AA$4,Curves,0)))</f>
        <v/>
      </c>
      <c r="AB189" s="185" t="e">
        <f aca="false">SQRT((AA189^2*(A189-$D$3)+Z189^2*(DAY(EOMONTH(A189,0))/2))/AK189)</f>
        <v>#VALUE!</v>
      </c>
      <c r="AC189" s="185" t="str">
        <f aca="false">IF($A190="","",VLOOKUP($A189,Table,MATCH(AC$4,Curves,0)))</f>
        <v/>
      </c>
      <c r="AD189" s="185" t="str">
        <f aca="false">IF($A190="","",VLOOKUP($A189,Table,MATCH(AD$4,Curves,0)))</f>
        <v/>
      </c>
      <c r="AE189" s="185" t="e">
        <f aca="false">SQRT((AD189^2*(A189-$D$3)+AC189^2*(DAY(EOMONTH(A189,0))/2))/AK189)</f>
        <v>#VALUE!</v>
      </c>
      <c r="AF189" s="224" t="e">
        <f aca="false">((Summary!$N$10*(AA189*AD189)*(A189-$D$3))+(Summary!$M$10*Z189*AC189*(AJ189-EOMONTH(EDATE(A189,-1),0))))/(AK189*AB189*AE189)</f>
        <v>#VALUE!</v>
      </c>
      <c r="AG189" s="207" t="str">
        <f aca="false">IF($A190="","",Summary!$Q$10)</f>
        <v/>
      </c>
      <c r="AH189" s="207" t="str">
        <f aca="false">IF($A190="","",IF(Summary!$R$10="Y",(VLOOKUP($A189,Summary!$AD$6:$AF$9,3)+'Escalating commodity'!F202),'Escalating commodity'!F202))</f>
        <v/>
      </c>
      <c r="AI189" s="207" t="str">
        <f aca="false">IF($A190="","",AH189)</f>
        <v/>
      </c>
      <c r="AJ189" s="208" t="e">
        <f aca="false">A189+DAY(EOMONTH(A189,0))/2-1</f>
        <v>#VALUE!</v>
      </c>
      <c r="AK189" s="209" t="str">
        <f aca="false">IF($A190="","",$A189-$E$1)</f>
        <v/>
      </c>
      <c r="AL189" s="182" t="str">
        <f aca="false">IF($A190="","",SPRDOPT(P189,X189,AI189,0,AB189,AE189,AF189,AK189,$AJ$2,0))</f>
        <v/>
      </c>
      <c r="AM189" s="211" t="str">
        <f aca="false">IF($A190="","",MAX(0,O189-W189-AI189))</f>
        <v/>
      </c>
      <c r="AN189" s="211" t="str">
        <f aca="false">IF($A190="","",AL189-AM189)</f>
        <v/>
      </c>
      <c r="AO189" s="137" t="str">
        <f aca="false">IF(A190="","",A190-A189)</f>
        <v/>
      </c>
      <c r="AP189" s="212" t="str">
        <f aca="false">IF(A190="","",CHOOSE(F$3,A190+24,A189))</f>
        <v/>
      </c>
      <c r="AQ189" s="209" t="str">
        <f aca="false">IF(A190="","",AP189-$E$1)</f>
        <v/>
      </c>
      <c r="AR189" s="185" t="n">
        <f aca="false">'ANR OK vs ML7'!AR189</f>
        <v>0.1</v>
      </c>
      <c r="AS189" s="213" t="str">
        <f aca="false">IF(A190="","",1/(1+CHOOSE(F$3,(AR190+($I$3/10000))/2,(AR189+($I$3/10000))/2))^(2*AQ189/365.25))</f>
        <v/>
      </c>
      <c r="AT189" s="137" t="str">
        <f aca="false">IF(A190="","",IF(AND(mthbeg&lt;=A189,mthend&gt;=A189),1,0))</f>
        <v/>
      </c>
      <c r="AU189" s="137" t="str">
        <f aca="false">IF(A190="","",AO189*AT189)</f>
        <v/>
      </c>
      <c r="AW189" s="195" t="str">
        <f aca="false">IF($A190="","",AL189*$E189)</f>
        <v/>
      </c>
      <c r="AX189" s="195" t="str">
        <f aca="false">IF($A190="","",AM189*$E189)</f>
        <v/>
      </c>
      <c r="AY189" s="195" t="str">
        <f aca="false">IF($A190="","",AN189*$E189)</f>
        <v/>
      </c>
      <c r="BA189" s="195" t="str">
        <f aca="false">IF($A190="","",F189*Summary!$Q$10)</f>
        <v/>
      </c>
    </row>
    <row r="190" customFormat="false" ht="12" hidden="false" customHeight="true" outlineLevel="0" collapsed="false">
      <c r="A190" s="196" t="str">
        <f aca="false">IF(A189&lt;mthend,EDATE(A189,1),"")</f>
        <v/>
      </c>
      <c r="B190" s="197" t="str">
        <f aca="false">IF(A190&lt;mthend,B189,"")</f>
        <v/>
      </c>
      <c r="C190" s="215"/>
      <c r="D190" s="197" t="str">
        <f aca="false">IF(A191&lt;&gt;"",B190+C190,"")</f>
        <v/>
      </c>
      <c r="E190" s="199" t="str">
        <f aca="false">IF(A191="","",IF(AND(AT190=1,$H$3=1),D190*AO190,IF($H$3=2,D190,"N/A")))</f>
        <v/>
      </c>
      <c r="F190" s="199" t="str">
        <f aca="false">IF(A191="","",E190*AS190)</f>
        <v/>
      </c>
      <c r="G190" s="200" t="str">
        <f aca="false">IF($A191="","",VLOOKUP($A190,Table,MATCH(G$4,Curves,0)))</f>
        <v/>
      </c>
      <c r="H190" s="201" t="str">
        <f aca="false">IF(A191="","",G190)</f>
        <v/>
      </c>
      <c r="I190" s="202"/>
      <c r="J190" s="200" t="str">
        <f aca="false">IF($A191="","",VLOOKUP($A190,Table,MATCH(J$4,Curves,0)))</f>
        <v/>
      </c>
      <c r="K190" s="201" t="str">
        <f aca="false">IF(A191="","",J190)</f>
        <v/>
      </c>
      <c r="L190" s="185" t="n">
        <v>0</v>
      </c>
      <c r="M190" s="201" t="str">
        <f aca="false">IF(A191="","",L190)</f>
        <v/>
      </c>
      <c r="N190" s="203"/>
      <c r="O190" s="200" t="str">
        <f aca="false">IF(A191="","",L190+J190+G190)</f>
        <v/>
      </c>
      <c r="P190" s="200" t="str">
        <f aca="false">IF(A191="","",M190+K190+H190)</f>
        <v/>
      </c>
      <c r="Q190" s="204"/>
      <c r="R190" s="200" t="str">
        <f aca="false">IF($A191="","",VLOOKUP($A190,Table,MATCH(R$4,Curves,0)))</f>
        <v/>
      </c>
      <c r="S190" s="201" t="str">
        <f aca="false">IF(A191="","",R190)</f>
        <v/>
      </c>
      <c r="T190" s="200" t="str">
        <f aca="false">IF($A191="","",VLOOKUP($A190,Table,MATCH(T$4,Curves,0)))</f>
        <v/>
      </c>
      <c r="U190" s="201" t="str">
        <f aca="false">IF(A191="","",T190)</f>
        <v/>
      </c>
      <c r="V190" s="205" t="str">
        <f aca="false">IF($A191="","",IF(AND(MONTH(A190)&gt;3,MONTH(A190)&lt;11),(T190+R190+G190)*Summary!$T$10/(1-Summary!$T$10),(T190+R190+G190)*Summary!$U$10/(1-Summary!$U$10)))</f>
        <v/>
      </c>
      <c r="W190" s="200" t="str">
        <f aca="false">IF($A191="","",(T190+R190+G190+V190))</f>
        <v/>
      </c>
      <c r="X190" s="200" t="str">
        <f aca="false">IF($A191="","",(U190+S190+H190+V190))</f>
        <v/>
      </c>
      <c r="Y190" s="202"/>
      <c r="Z190" s="185" t="str">
        <f aca="false">IF($A191="","",VLOOKUP($A190,Table,MATCH(Z$4,Curves,0)))</f>
        <v/>
      </c>
      <c r="AA190" s="185" t="str">
        <f aca="false">IF($A191="","",VLOOKUP($A190,Table,MATCH(AA$4,Curves,0)))</f>
        <v/>
      </c>
      <c r="AB190" s="185" t="e">
        <f aca="false">SQRT((AA190^2*(A190-$D$3)+Z190^2*(DAY(EOMONTH(A190,0))/2))/AK190)</f>
        <v>#VALUE!</v>
      </c>
      <c r="AC190" s="185" t="str">
        <f aca="false">IF($A191="","",VLOOKUP($A190,Table,MATCH(AC$4,Curves,0)))</f>
        <v/>
      </c>
      <c r="AD190" s="185" t="str">
        <f aca="false">IF($A191="","",VLOOKUP($A190,Table,MATCH(AD$4,Curves,0)))</f>
        <v/>
      </c>
      <c r="AE190" s="185" t="e">
        <f aca="false">SQRT((AD190^2*(A190-$D$3)+AC190^2*(DAY(EOMONTH(A190,0))/2))/AK190)</f>
        <v>#VALUE!</v>
      </c>
      <c r="AF190" s="224" t="e">
        <f aca="false">((Summary!$N$10*(AA190*AD190)*(A190-$D$3))+(Summary!$M$10*Z190*AC190*(AJ190-EOMONTH(EDATE(A190,-1),0))))/(AK190*AB190*AE190)</f>
        <v>#VALUE!</v>
      </c>
      <c r="AG190" s="207" t="str">
        <f aca="false">IF($A191="","",Summary!$Q$10)</f>
        <v/>
      </c>
      <c r="AH190" s="207" t="str">
        <f aca="false">IF($A191="","",IF(Summary!$R$10="Y",(VLOOKUP($A190,Summary!$AD$6:$AF$9,3)+'Escalating commodity'!F203),'Escalating commodity'!F203))</f>
        <v/>
      </c>
      <c r="AI190" s="207" t="str">
        <f aca="false">IF($A191="","",AH190)</f>
        <v/>
      </c>
      <c r="AJ190" s="208" t="e">
        <f aca="false">A190+DAY(EOMONTH(A190,0))/2-1</f>
        <v>#VALUE!</v>
      </c>
      <c r="AK190" s="209" t="str">
        <f aca="false">IF($A191="","",$A190-$E$1)</f>
        <v/>
      </c>
      <c r="AL190" s="182" t="str">
        <f aca="false">IF($A191="","",SPRDOPT(P190,X190,AI190,0,AB190,AE190,AF190,AK190,$AJ$2,0))</f>
        <v/>
      </c>
      <c r="AM190" s="211" t="str">
        <f aca="false">IF($A191="","",MAX(0,O190-W190-AI190))</f>
        <v/>
      </c>
      <c r="AN190" s="211" t="str">
        <f aca="false">IF($A191="","",AL190-AM190)</f>
        <v/>
      </c>
      <c r="AO190" s="137" t="str">
        <f aca="false">IF(A191="","",A191-A190)</f>
        <v/>
      </c>
      <c r="AP190" s="212" t="str">
        <f aca="false">IF(A191="","",CHOOSE(F$3,A191+24,A190))</f>
        <v/>
      </c>
      <c r="AQ190" s="209" t="str">
        <f aca="false">IF(A191="","",AP190-$E$1)</f>
        <v/>
      </c>
      <c r="AR190" s="185" t="n">
        <f aca="false">'ANR OK vs ML7'!AR190</f>
        <v>0.1</v>
      </c>
      <c r="AS190" s="213" t="str">
        <f aca="false">IF(A191="","",1/(1+CHOOSE(F$3,(AR191+($I$3/10000))/2,(AR190+($I$3/10000))/2))^(2*AQ190/365.25))</f>
        <v/>
      </c>
      <c r="AT190" s="137" t="str">
        <f aca="false">IF(A191="","",IF(AND(mthbeg&lt;=A190,mthend&gt;=A190),1,0))</f>
        <v/>
      </c>
      <c r="AU190" s="137" t="str">
        <f aca="false">IF(A191="","",AO190*AT190)</f>
        <v/>
      </c>
      <c r="AW190" s="195" t="str">
        <f aca="false">IF($A191="","",AL190*$E190)</f>
        <v/>
      </c>
      <c r="AX190" s="195" t="str">
        <f aca="false">IF($A191="","",AM190*$E190)</f>
        <v/>
      </c>
      <c r="AY190" s="195" t="str">
        <f aca="false">IF($A191="","",AN190*$E190)</f>
        <v/>
      </c>
      <c r="BA190" s="195" t="str">
        <f aca="false">IF($A191="","",F190*Summary!$Q$10)</f>
        <v/>
      </c>
    </row>
    <row r="191" customFormat="false" ht="12" hidden="false" customHeight="true" outlineLevel="0" collapsed="false">
      <c r="A191" s="196" t="str">
        <f aca="false">IF(A190&lt;mthend,EDATE(A190,1),"")</f>
        <v/>
      </c>
      <c r="B191" s="197" t="str">
        <f aca="false">IF(A191&lt;mthend,B190,"")</f>
        <v/>
      </c>
      <c r="C191" s="215"/>
      <c r="D191" s="197" t="str">
        <f aca="false">IF(A192&lt;&gt;"",B191+C191,"")</f>
        <v/>
      </c>
      <c r="E191" s="199" t="str">
        <f aca="false">IF(A192="","",IF(AND(AT191=1,$H$3=1),D191*AO191,IF($H$3=2,D191,"N/A")))</f>
        <v/>
      </c>
      <c r="F191" s="199" t="str">
        <f aca="false">IF(A192="","",E191*AS191)</f>
        <v/>
      </c>
      <c r="G191" s="200" t="str">
        <f aca="false">IF($A192="","",VLOOKUP($A191,Table,MATCH(G$4,Curves,0)))</f>
        <v/>
      </c>
      <c r="H191" s="201" t="str">
        <f aca="false">IF(A192="","",G191)</f>
        <v/>
      </c>
      <c r="I191" s="202"/>
      <c r="J191" s="200" t="str">
        <f aca="false">IF($A192="","",VLOOKUP($A191,Table,MATCH(J$4,Curves,0)))</f>
        <v/>
      </c>
      <c r="K191" s="201" t="str">
        <f aca="false">IF(A192="","",J191)</f>
        <v/>
      </c>
      <c r="L191" s="185" t="n">
        <v>0</v>
      </c>
      <c r="M191" s="201" t="str">
        <f aca="false">IF(A192="","",L191)</f>
        <v/>
      </c>
      <c r="N191" s="203"/>
      <c r="O191" s="200" t="str">
        <f aca="false">IF(A192="","",L191+J191+G191)</f>
        <v/>
      </c>
      <c r="P191" s="200" t="str">
        <f aca="false">IF(A192="","",M191+K191+H191)</f>
        <v/>
      </c>
      <c r="Q191" s="204"/>
      <c r="R191" s="200" t="str">
        <f aca="false">IF($A192="","",VLOOKUP($A191,Table,MATCH(R$4,Curves,0)))</f>
        <v/>
      </c>
      <c r="S191" s="201" t="str">
        <f aca="false">IF(A192="","",R191)</f>
        <v/>
      </c>
      <c r="T191" s="200" t="str">
        <f aca="false">IF($A192="","",VLOOKUP($A191,Table,MATCH(T$4,Curves,0)))</f>
        <v/>
      </c>
      <c r="U191" s="201" t="str">
        <f aca="false">IF(A192="","",T191)</f>
        <v/>
      </c>
      <c r="V191" s="205" t="str">
        <f aca="false">IF($A192="","",IF(AND(MONTH(A191)&gt;3,MONTH(A191)&lt;11),(T191+R191+G191)*Summary!$T$10/(1-Summary!$T$10),(T191+R191+G191)*Summary!$U$10/(1-Summary!$U$10)))</f>
        <v/>
      </c>
      <c r="W191" s="200" t="str">
        <f aca="false">IF($A192="","",(T191+R191+G191+V191))</f>
        <v/>
      </c>
      <c r="X191" s="200" t="str">
        <f aca="false">IF($A192="","",(U191+S191+H191+V191))</f>
        <v/>
      </c>
      <c r="Y191" s="202"/>
      <c r="Z191" s="185" t="str">
        <f aca="false">IF($A192="","",VLOOKUP($A191,Table,MATCH(Z$4,Curves,0)))</f>
        <v/>
      </c>
      <c r="AA191" s="185" t="str">
        <f aca="false">IF($A192="","",VLOOKUP($A191,Table,MATCH(AA$4,Curves,0)))</f>
        <v/>
      </c>
      <c r="AB191" s="185" t="e">
        <f aca="false">SQRT((AA191^2*(A191-$D$3)+Z191^2*(DAY(EOMONTH(A191,0))/2))/AK191)</f>
        <v>#VALUE!</v>
      </c>
      <c r="AC191" s="185" t="str">
        <f aca="false">IF($A192="","",VLOOKUP($A191,Table,MATCH(AC$4,Curves,0)))</f>
        <v/>
      </c>
      <c r="AD191" s="185" t="str">
        <f aca="false">IF($A192="","",VLOOKUP($A191,Table,MATCH(AD$4,Curves,0)))</f>
        <v/>
      </c>
      <c r="AE191" s="185" t="e">
        <f aca="false">SQRT((AD191^2*(A191-$D$3)+AC191^2*(DAY(EOMONTH(A191,0))/2))/AK191)</f>
        <v>#VALUE!</v>
      </c>
      <c r="AF191" s="224" t="e">
        <f aca="false">((Summary!$N$10*(AA191*AD191)*(A191-$D$3))+(Summary!$M$10*Z191*AC191*(AJ191-EOMONTH(EDATE(A191,-1),0))))/(AK191*AB191*AE191)</f>
        <v>#VALUE!</v>
      </c>
      <c r="AG191" s="207" t="str">
        <f aca="false">IF($A192="","",Summary!$Q$10)</f>
        <v/>
      </c>
      <c r="AH191" s="207" t="str">
        <f aca="false">IF($A192="","",IF(Summary!$R$10="Y",(VLOOKUP($A191,Summary!$AD$6:$AF$9,3)+'Escalating commodity'!F204),'Escalating commodity'!F204))</f>
        <v/>
      </c>
      <c r="AI191" s="207" t="str">
        <f aca="false">IF($A192="","",AH191)</f>
        <v/>
      </c>
      <c r="AJ191" s="208" t="e">
        <f aca="false">A191+DAY(EOMONTH(A191,0))/2-1</f>
        <v>#VALUE!</v>
      </c>
      <c r="AK191" s="209" t="str">
        <f aca="false">IF($A192="","",$A191-$E$1)</f>
        <v/>
      </c>
      <c r="AL191" s="182" t="str">
        <f aca="false">IF($A192="","",SPRDOPT(P191,X191,AI191,0,AB191,AE191,AF191,AK191,$AJ$2,0))</f>
        <v/>
      </c>
      <c r="AM191" s="211" t="str">
        <f aca="false">IF($A192="","",MAX(0,O191-W191-AI191))</f>
        <v/>
      </c>
      <c r="AN191" s="211" t="str">
        <f aca="false">IF($A192="","",AL191-AM191)</f>
        <v/>
      </c>
      <c r="AO191" s="137" t="str">
        <f aca="false">IF(A192="","",A192-A191)</f>
        <v/>
      </c>
      <c r="AP191" s="212" t="str">
        <f aca="false">IF(A192="","",CHOOSE(F$3,A192+24,A191))</f>
        <v/>
      </c>
      <c r="AQ191" s="209" t="str">
        <f aca="false">IF(A192="","",AP191-$E$1)</f>
        <v/>
      </c>
      <c r="AR191" s="185" t="n">
        <f aca="false">'ANR OK vs ML7'!AR191</f>
        <v>0.1</v>
      </c>
      <c r="AS191" s="213" t="str">
        <f aca="false">IF(A192="","",1/(1+CHOOSE(F$3,(AR192+($I$3/10000))/2,(AR191+($I$3/10000))/2))^(2*AQ191/365.25))</f>
        <v/>
      </c>
      <c r="AT191" s="137" t="str">
        <f aca="false">IF(A192="","",IF(AND(mthbeg&lt;=A191,mthend&gt;=A191),1,0))</f>
        <v/>
      </c>
      <c r="AU191" s="137" t="str">
        <f aca="false">IF(A192="","",AO191*AT191)</f>
        <v/>
      </c>
      <c r="AW191" s="195" t="str">
        <f aca="false">IF($A192="","",AL191*$E191)</f>
        <v/>
      </c>
      <c r="AX191" s="195" t="str">
        <f aca="false">IF($A192="","",AM191*$E191)</f>
        <v/>
      </c>
      <c r="AY191" s="195" t="str">
        <f aca="false">IF($A192="","",AN191*$E191)</f>
        <v/>
      </c>
      <c r="BA191" s="195" t="str">
        <f aca="false">IF($A192="","",F191*Summary!$Q$10)</f>
        <v/>
      </c>
    </row>
    <row r="192" customFormat="false" ht="12" hidden="false" customHeight="true" outlineLevel="0" collapsed="false">
      <c r="A192" s="196" t="str">
        <f aca="false">IF(A191&lt;mthend,EDATE(A191,1),"")</f>
        <v/>
      </c>
      <c r="B192" s="197" t="str">
        <f aca="false">IF(A192&lt;mthend,B191,"")</f>
        <v/>
      </c>
      <c r="C192" s="215"/>
      <c r="D192" s="197" t="str">
        <f aca="false">IF(A193&lt;&gt;"",B192+C192,"")</f>
        <v/>
      </c>
      <c r="E192" s="199" t="str">
        <f aca="false">IF(A193="","",IF(AND(AT192=1,$H$3=1),D192*AO192,IF($H$3=2,D192,"N/A")))</f>
        <v/>
      </c>
      <c r="F192" s="199" t="str">
        <f aca="false">IF(A193="","",E192*AS192)</f>
        <v/>
      </c>
      <c r="G192" s="200" t="str">
        <f aca="false">IF($A193="","",VLOOKUP($A192,Table,MATCH(G$4,Curves,0)))</f>
        <v/>
      </c>
      <c r="H192" s="201" t="str">
        <f aca="false">IF(A193="","",G192)</f>
        <v/>
      </c>
      <c r="I192" s="202"/>
      <c r="J192" s="200" t="str">
        <f aca="false">IF($A193="","",VLOOKUP($A192,Table,MATCH(J$4,Curves,0)))</f>
        <v/>
      </c>
      <c r="K192" s="201" t="str">
        <f aca="false">IF(A193="","",J192)</f>
        <v/>
      </c>
      <c r="L192" s="185" t="n">
        <v>0</v>
      </c>
      <c r="M192" s="201" t="str">
        <f aca="false">IF(A193="","",L192)</f>
        <v/>
      </c>
      <c r="N192" s="203"/>
      <c r="O192" s="200" t="str">
        <f aca="false">IF(A193="","",L192+J192+G192)</f>
        <v/>
      </c>
      <c r="P192" s="200" t="str">
        <f aca="false">IF(A193="","",M192+K192+H192)</f>
        <v/>
      </c>
      <c r="Q192" s="204"/>
      <c r="R192" s="200" t="str">
        <f aca="false">IF($A193="","",VLOOKUP($A192,Table,MATCH(R$4,Curves,0)))</f>
        <v/>
      </c>
      <c r="S192" s="201" t="str">
        <f aca="false">IF(A193="","",R192)</f>
        <v/>
      </c>
      <c r="T192" s="200" t="str">
        <f aca="false">IF($A193="","",VLOOKUP($A192,Table,MATCH(T$4,Curves,0)))</f>
        <v/>
      </c>
      <c r="U192" s="201" t="str">
        <f aca="false">IF(A193="","",T192)</f>
        <v/>
      </c>
      <c r="V192" s="205" t="str">
        <f aca="false">IF($A193="","",IF(AND(MONTH(A192)&gt;3,MONTH(A192)&lt;11),(T192+R192+G192)*Summary!$T$10/(1-Summary!$T$10),(T192+R192+G192)*Summary!$U$10/(1-Summary!$U$10)))</f>
        <v/>
      </c>
      <c r="W192" s="200" t="str">
        <f aca="false">IF($A193="","",(T192+R192+G192+V192))</f>
        <v/>
      </c>
      <c r="X192" s="200" t="str">
        <f aca="false">IF($A193="","",(U192+S192+H192+V192))</f>
        <v/>
      </c>
      <c r="Y192" s="202"/>
      <c r="Z192" s="185" t="str">
        <f aca="false">IF($A193="","",VLOOKUP($A192,Table,MATCH(Z$4,Curves,0)))</f>
        <v/>
      </c>
      <c r="AA192" s="185" t="str">
        <f aca="false">IF($A193="","",VLOOKUP($A192,Table,MATCH(AA$4,Curves,0)))</f>
        <v/>
      </c>
      <c r="AB192" s="185" t="e">
        <f aca="false">SQRT((AA192^2*(A192-$D$3)+Z192^2*(DAY(EOMONTH(A192,0))/2))/AK192)</f>
        <v>#VALUE!</v>
      </c>
      <c r="AC192" s="185" t="str">
        <f aca="false">IF($A193="","",VLOOKUP($A192,Table,MATCH(AC$4,Curves,0)))</f>
        <v/>
      </c>
      <c r="AD192" s="185" t="str">
        <f aca="false">IF($A193="","",VLOOKUP($A192,Table,MATCH(AD$4,Curves,0)))</f>
        <v/>
      </c>
      <c r="AE192" s="185" t="e">
        <f aca="false">SQRT((AD192^2*(A192-$D$3)+AC192^2*(DAY(EOMONTH(A192,0))/2))/AK192)</f>
        <v>#VALUE!</v>
      </c>
      <c r="AF192" s="224" t="e">
        <f aca="false">((Summary!$N$10*(AA192*AD192)*(A192-$D$3))+(Summary!$M$10*Z192*AC192*(AJ192-EOMONTH(EDATE(A192,-1),0))))/(AK192*AB192*AE192)</f>
        <v>#VALUE!</v>
      </c>
      <c r="AG192" s="207" t="str">
        <f aca="false">IF($A193="","",Summary!$Q$10)</f>
        <v/>
      </c>
      <c r="AH192" s="207" t="str">
        <f aca="false">IF($A193="","",IF(Summary!$R$10="Y",(VLOOKUP($A192,Summary!$AD$6:$AF$9,3)+'Escalating commodity'!F205),'Escalating commodity'!F205))</f>
        <v/>
      </c>
      <c r="AI192" s="207" t="str">
        <f aca="false">IF($A193="","",AH192)</f>
        <v/>
      </c>
      <c r="AJ192" s="208" t="e">
        <f aca="false">A192+DAY(EOMONTH(A192,0))/2-1</f>
        <v>#VALUE!</v>
      </c>
      <c r="AK192" s="209" t="str">
        <f aca="false">IF($A193="","",$A192-$E$1)</f>
        <v/>
      </c>
      <c r="AL192" s="182" t="str">
        <f aca="false">IF($A193="","",SPRDOPT(P192,X192,AI192,0,AB192,AE192,AF192,AK192,$AJ$2,0))</f>
        <v/>
      </c>
      <c r="AM192" s="211" t="str">
        <f aca="false">IF($A193="","",MAX(0,O192-W192-AI192))</f>
        <v/>
      </c>
      <c r="AN192" s="211" t="str">
        <f aca="false">IF($A193="","",AL192-AM192)</f>
        <v/>
      </c>
      <c r="AO192" s="137" t="str">
        <f aca="false">IF(A193="","",A193-A192)</f>
        <v/>
      </c>
      <c r="AP192" s="212" t="str">
        <f aca="false">IF(A193="","",CHOOSE(F$3,A193+24,A192))</f>
        <v/>
      </c>
      <c r="AQ192" s="209" t="str">
        <f aca="false">IF(A193="","",AP192-$E$1)</f>
        <v/>
      </c>
      <c r="AR192" s="185" t="n">
        <f aca="false">'ANR OK vs ML7'!AR192</f>
        <v>0.1</v>
      </c>
      <c r="AS192" s="213" t="str">
        <f aca="false">IF(A193="","",1/(1+CHOOSE(F$3,(AR193+($I$3/10000))/2,(AR192+($I$3/10000))/2))^(2*AQ192/365.25))</f>
        <v/>
      </c>
      <c r="AT192" s="137" t="str">
        <f aca="false">IF(A193="","",IF(AND(mthbeg&lt;=A192,mthend&gt;=A192),1,0))</f>
        <v/>
      </c>
      <c r="AU192" s="137" t="str">
        <f aca="false">IF(A193="","",AO192*AT192)</f>
        <v/>
      </c>
      <c r="AW192" s="195" t="str">
        <f aca="false">IF($A193="","",AL192*$E192)</f>
        <v/>
      </c>
      <c r="AX192" s="195" t="str">
        <f aca="false">IF($A193="","",AM192*$E192)</f>
        <v/>
      </c>
      <c r="AY192" s="195" t="str">
        <f aca="false">IF($A193="","",AN192*$E192)</f>
        <v/>
      </c>
      <c r="BA192" s="195" t="str">
        <f aca="false">IF($A193="","",F192*Summary!$Q$10)</f>
        <v/>
      </c>
    </row>
    <row r="193" customFormat="false" ht="12" hidden="false" customHeight="true" outlineLevel="0" collapsed="false">
      <c r="A193" s="196" t="str">
        <f aca="false">IF(A192&lt;mthend,EDATE(A192,1),"")</f>
        <v/>
      </c>
      <c r="B193" s="197" t="str">
        <f aca="false">IF(A193&lt;mthend,B192,"")</f>
        <v/>
      </c>
      <c r="C193" s="215"/>
      <c r="D193" s="197" t="str">
        <f aca="false">IF(A194&lt;&gt;"",B193+C193,"")</f>
        <v/>
      </c>
      <c r="E193" s="199" t="str">
        <f aca="false">IF(A194="","",IF(AND(AT193=1,$H$3=1),D193*AO193,IF($H$3=2,D193,"N/A")))</f>
        <v/>
      </c>
      <c r="F193" s="199" t="str">
        <f aca="false">IF(A194="","",E193*AS193)</f>
        <v/>
      </c>
      <c r="G193" s="200" t="str">
        <f aca="false">IF($A194="","",VLOOKUP($A193,Table,MATCH(G$4,Curves,0)))</f>
        <v/>
      </c>
      <c r="H193" s="201" t="str">
        <f aca="false">IF(A194="","",G193)</f>
        <v/>
      </c>
      <c r="I193" s="202"/>
      <c r="J193" s="200" t="str">
        <f aca="false">IF($A194="","",VLOOKUP($A193,Table,MATCH(J$4,Curves,0)))</f>
        <v/>
      </c>
      <c r="K193" s="201" t="str">
        <f aca="false">IF(A194="","",J193)</f>
        <v/>
      </c>
      <c r="L193" s="185" t="n">
        <v>0</v>
      </c>
      <c r="M193" s="201" t="str">
        <f aca="false">IF(A194="","",L193)</f>
        <v/>
      </c>
      <c r="N193" s="203"/>
      <c r="O193" s="200" t="str">
        <f aca="false">IF(A194="","",L193+J193+G193)</f>
        <v/>
      </c>
      <c r="P193" s="200" t="str">
        <f aca="false">IF(A194="","",M193+K193+H193)</f>
        <v/>
      </c>
      <c r="Q193" s="204"/>
      <c r="R193" s="200" t="str">
        <f aca="false">IF($A194="","",VLOOKUP($A193,Table,MATCH(R$4,Curves,0)))</f>
        <v/>
      </c>
      <c r="S193" s="201" t="str">
        <f aca="false">IF(A194="","",R193)</f>
        <v/>
      </c>
      <c r="T193" s="200" t="str">
        <f aca="false">IF($A194="","",VLOOKUP($A193,Table,MATCH(T$4,Curves,0)))</f>
        <v/>
      </c>
      <c r="U193" s="201" t="str">
        <f aca="false">IF(A194="","",T193)</f>
        <v/>
      </c>
      <c r="V193" s="205" t="str">
        <f aca="false">IF($A194="","",IF(AND(MONTH(A193)&gt;3,MONTH(A193)&lt;11),(T193+R193+G193)*Summary!$T$10/(1-Summary!$T$10),(T193+R193+G193)*Summary!$U$10/(1-Summary!$U$10)))</f>
        <v/>
      </c>
      <c r="W193" s="200" t="str">
        <f aca="false">IF($A194="","",(T193+R193+G193+V193))</f>
        <v/>
      </c>
      <c r="X193" s="200" t="str">
        <f aca="false">IF($A194="","",(U193+S193+H193+V193))</f>
        <v/>
      </c>
      <c r="Y193" s="202"/>
      <c r="Z193" s="185" t="str">
        <f aca="false">IF($A194="","",VLOOKUP($A193,Table,MATCH(Z$4,Curves,0)))</f>
        <v/>
      </c>
      <c r="AA193" s="185" t="str">
        <f aca="false">IF($A194="","",VLOOKUP($A193,Table,MATCH(AA$4,Curves,0)))</f>
        <v/>
      </c>
      <c r="AB193" s="185" t="e">
        <f aca="false">SQRT((AA193^2*(A193-$D$3)+Z193^2*(DAY(EOMONTH(A193,0))/2))/AK193)</f>
        <v>#VALUE!</v>
      </c>
      <c r="AC193" s="185" t="str">
        <f aca="false">IF($A194="","",VLOOKUP($A193,Table,MATCH(AC$4,Curves,0)))</f>
        <v/>
      </c>
      <c r="AD193" s="185" t="str">
        <f aca="false">IF($A194="","",VLOOKUP($A193,Table,MATCH(AD$4,Curves,0)))</f>
        <v/>
      </c>
      <c r="AE193" s="185" t="e">
        <f aca="false">SQRT((AD193^2*(A193-$D$3)+AC193^2*(DAY(EOMONTH(A193,0))/2))/AK193)</f>
        <v>#VALUE!</v>
      </c>
      <c r="AF193" s="224" t="e">
        <f aca="false">((Summary!$N$10*(AA193*AD193)*(A193-$D$3))+(Summary!$M$10*Z193*AC193*(AJ193-EOMONTH(EDATE(A193,-1),0))))/(AK193*AB193*AE193)</f>
        <v>#VALUE!</v>
      </c>
      <c r="AG193" s="207" t="str">
        <f aca="false">IF($A194="","",Summary!$Q$10)</f>
        <v/>
      </c>
      <c r="AH193" s="207" t="str">
        <f aca="false">IF($A194="","",IF(Summary!$R$10="Y",(VLOOKUP($A193,Summary!$AD$6:$AF$9,3)+'Escalating commodity'!F206),'Escalating commodity'!F206))</f>
        <v/>
      </c>
      <c r="AI193" s="207" t="str">
        <f aca="false">IF($A194="","",AH193)</f>
        <v/>
      </c>
      <c r="AJ193" s="208" t="e">
        <f aca="false">A193+DAY(EOMONTH(A193,0))/2-1</f>
        <v>#VALUE!</v>
      </c>
      <c r="AK193" s="209" t="str">
        <f aca="false">IF($A194="","",$A193-$E$1)</f>
        <v/>
      </c>
      <c r="AL193" s="182" t="str">
        <f aca="false">IF($A194="","",SPRDOPT(P193,X193,AI193,0,AB193,AE193,AF193,AK193,$AJ$2,0))</f>
        <v/>
      </c>
      <c r="AM193" s="211" t="str">
        <f aca="false">IF($A194="","",MAX(0,O193-W193-AI193))</f>
        <v/>
      </c>
      <c r="AN193" s="211" t="str">
        <f aca="false">IF($A194="","",AL193-AM193)</f>
        <v/>
      </c>
      <c r="AO193" s="137" t="str">
        <f aca="false">IF(A194="","",A194-A193)</f>
        <v/>
      </c>
      <c r="AP193" s="212" t="str">
        <f aca="false">IF(A194="","",CHOOSE(F$3,A194+24,A193))</f>
        <v/>
      </c>
      <c r="AQ193" s="209" t="str">
        <f aca="false">IF(A194="","",AP193-$E$1)</f>
        <v/>
      </c>
      <c r="AR193" s="185" t="n">
        <f aca="false">'ANR OK vs ML7'!AR193</f>
        <v>0.1</v>
      </c>
      <c r="AS193" s="213" t="str">
        <f aca="false">IF(A194="","",1/(1+CHOOSE(F$3,(AR194+($I$3/10000))/2,(AR193+($I$3/10000))/2))^(2*AQ193/365.25))</f>
        <v/>
      </c>
      <c r="AT193" s="137" t="str">
        <f aca="false">IF(A194="","",IF(AND(mthbeg&lt;=A193,mthend&gt;=A193),1,0))</f>
        <v/>
      </c>
      <c r="AU193" s="137" t="str">
        <f aca="false">IF(A194="","",AO193*AT193)</f>
        <v/>
      </c>
      <c r="AW193" s="195" t="str">
        <f aca="false">IF($A194="","",AL193*$E193)</f>
        <v/>
      </c>
      <c r="AX193" s="195" t="str">
        <f aca="false">IF($A194="","",AM193*$E193)</f>
        <v/>
      </c>
      <c r="AY193" s="195" t="str">
        <f aca="false">IF($A194="","",AN193*$E193)</f>
        <v/>
      </c>
      <c r="BA193" s="195" t="str">
        <f aca="false">IF($A194="","",F193*Summary!$Q$10)</f>
        <v/>
      </c>
    </row>
    <row r="194" customFormat="false" ht="12" hidden="false" customHeight="true" outlineLevel="0" collapsed="false">
      <c r="A194" s="196" t="str">
        <f aca="false">IF(A193&lt;mthend,EDATE(A193,1),"")</f>
        <v/>
      </c>
      <c r="B194" s="197" t="str">
        <f aca="false">IF(A194&lt;mthend,B193,"")</f>
        <v/>
      </c>
      <c r="C194" s="215"/>
      <c r="D194" s="197" t="str">
        <f aca="false">IF(A195&lt;&gt;"",B194+C194,"")</f>
        <v/>
      </c>
      <c r="E194" s="199" t="str">
        <f aca="false">IF(A195="","",IF(AND(AT194=1,$H$3=1),D194*AO194,IF($H$3=2,D194,"N/A")))</f>
        <v/>
      </c>
      <c r="F194" s="199" t="str">
        <f aca="false">IF(A195="","",E194*AS194)</f>
        <v/>
      </c>
      <c r="G194" s="200" t="str">
        <f aca="false">IF($A195="","",VLOOKUP($A194,Table,MATCH(G$4,Curves,0)))</f>
        <v/>
      </c>
      <c r="H194" s="201" t="str">
        <f aca="false">IF(A195="","",G194)</f>
        <v/>
      </c>
      <c r="I194" s="202"/>
      <c r="J194" s="200" t="str">
        <f aca="false">IF($A195="","",VLOOKUP($A194,Table,MATCH(J$4,Curves,0)))</f>
        <v/>
      </c>
      <c r="K194" s="201" t="str">
        <f aca="false">IF(A195="","",J194)</f>
        <v/>
      </c>
      <c r="L194" s="185" t="n">
        <v>0</v>
      </c>
      <c r="M194" s="201" t="str">
        <f aca="false">IF(A195="","",L194)</f>
        <v/>
      </c>
      <c r="N194" s="203"/>
      <c r="O194" s="200" t="str">
        <f aca="false">IF(A195="","",L194+J194+G194)</f>
        <v/>
      </c>
      <c r="P194" s="200" t="str">
        <f aca="false">IF(A195="","",M194+K194+H194)</f>
        <v/>
      </c>
      <c r="Q194" s="204"/>
      <c r="R194" s="200" t="str">
        <f aca="false">IF($A195="","",VLOOKUP($A194,Table,MATCH(R$4,Curves,0)))</f>
        <v/>
      </c>
      <c r="S194" s="201" t="str">
        <f aca="false">IF(A195="","",R194)</f>
        <v/>
      </c>
      <c r="T194" s="200" t="str">
        <f aca="false">IF($A195="","",VLOOKUP($A194,Table,MATCH(T$4,Curves,0)))</f>
        <v/>
      </c>
      <c r="U194" s="201" t="str">
        <f aca="false">IF(A195="","",T194)</f>
        <v/>
      </c>
      <c r="V194" s="205" t="str">
        <f aca="false">IF($A195="","",IF(AND(MONTH(A194)&gt;3,MONTH(A194)&lt;11),(T194+R194+G194)*Summary!$T$10/(1-Summary!$T$10),(T194+R194+G194)*Summary!$U$10/(1-Summary!$U$10)))</f>
        <v/>
      </c>
      <c r="W194" s="200" t="str">
        <f aca="false">IF($A195="","",(T194+R194+G194+V194))</f>
        <v/>
      </c>
      <c r="X194" s="200" t="str">
        <f aca="false">IF($A195="","",(U194+S194+H194+V194))</f>
        <v/>
      </c>
      <c r="Y194" s="202"/>
      <c r="Z194" s="185" t="str">
        <f aca="false">IF($A195="","",VLOOKUP($A194,Table,MATCH(Z$4,Curves,0)))</f>
        <v/>
      </c>
      <c r="AA194" s="185" t="str">
        <f aca="false">IF($A195="","",VLOOKUP($A194,Table,MATCH(AA$4,Curves,0)))</f>
        <v/>
      </c>
      <c r="AB194" s="185" t="e">
        <f aca="false">SQRT((AA194^2*(A194-$D$3)+Z194^2*(DAY(EOMONTH(A194,0))/2))/AK194)</f>
        <v>#VALUE!</v>
      </c>
      <c r="AC194" s="185" t="str">
        <f aca="false">IF($A195="","",VLOOKUP($A194,Table,MATCH(AC$4,Curves,0)))</f>
        <v/>
      </c>
      <c r="AD194" s="185" t="str">
        <f aca="false">IF($A195="","",VLOOKUP($A194,Table,MATCH(AD$4,Curves,0)))</f>
        <v/>
      </c>
      <c r="AE194" s="185" t="e">
        <f aca="false">SQRT((AD194^2*(A194-$D$3)+AC194^2*(DAY(EOMONTH(A194,0))/2))/AK194)</f>
        <v>#VALUE!</v>
      </c>
      <c r="AF194" s="224" t="e">
        <f aca="false">((Summary!$N$10*(AA194*AD194)*(A194-$D$3))+(Summary!$M$10*Z194*AC194*(AJ194-EOMONTH(EDATE(A194,-1),0))))/(AK194*AB194*AE194)</f>
        <v>#VALUE!</v>
      </c>
      <c r="AG194" s="207" t="str">
        <f aca="false">IF($A195="","",Summary!$Q$10)</f>
        <v/>
      </c>
      <c r="AH194" s="207" t="str">
        <f aca="false">IF($A195="","",IF(Summary!$R$10="Y",(VLOOKUP($A194,Summary!$AD$6:$AF$9,3)+'Escalating commodity'!F207),'Escalating commodity'!F207))</f>
        <v/>
      </c>
      <c r="AI194" s="207" t="str">
        <f aca="false">IF($A195="","",AH194)</f>
        <v/>
      </c>
      <c r="AJ194" s="208" t="e">
        <f aca="false">A194+DAY(EOMONTH(A194,0))/2-1</f>
        <v>#VALUE!</v>
      </c>
      <c r="AK194" s="209" t="str">
        <f aca="false">IF($A195="","",$A194-$E$1)</f>
        <v/>
      </c>
      <c r="AL194" s="182" t="str">
        <f aca="false">IF($A195="","",SPRDOPT(P194,X194,AI194,0,AB194,AE194,AF194,AK194,$AJ$2,0))</f>
        <v/>
      </c>
      <c r="AM194" s="211" t="str">
        <f aca="false">IF($A195="","",MAX(0,O194-W194-AI194))</f>
        <v/>
      </c>
      <c r="AN194" s="211" t="str">
        <f aca="false">IF($A195="","",AL194-AM194)</f>
        <v/>
      </c>
      <c r="AO194" s="137" t="str">
        <f aca="false">IF(A195="","",A195-A194)</f>
        <v/>
      </c>
      <c r="AP194" s="212" t="str">
        <f aca="false">IF(A195="","",CHOOSE(F$3,A195+24,A194))</f>
        <v/>
      </c>
      <c r="AQ194" s="209" t="str">
        <f aca="false">IF(A195="","",AP194-$E$1)</f>
        <v/>
      </c>
      <c r="AR194" s="185" t="n">
        <f aca="false">'ANR OK vs ML7'!AR194</f>
        <v>0.1</v>
      </c>
      <c r="AS194" s="213" t="str">
        <f aca="false">IF(A195="","",1/(1+CHOOSE(F$3,(AR195+($I$3/10000))/2,(AR194+($I$3/10000))/2))^(2*AQ194/365.25))</f>
        <v/>
      </c>
      <c r="AT194" s="137" t="str">
        <f aca="false">IF(A195="","",IF(AND(mthbeg&lt;=A194,mthend&gt;=A194),1,0))</f>
        <v/>
      </c>
      <c r="AU194" s="137" t="str">
        <f aca="false">IF(A195="","",AO194*AT194)</f>
        <v/>
      </c>
      <c r="AW194" s="195" t="str">
        <f aca="false">IF($A195="","",AL194*$E194)</f>
        <v/>
      </c>
      <c r="AX194" s="195" t="str">
        <f aca="false">IF($A195="","",AM194*$E194)</f>
        <v/>
      </c>
      <c r="AY194" s="195" t="str">
        <f aca="false">IF($A195="","",AN194*$E194)</f>
        <v/>
      </c>
      <c r="BA194" s="195" t="str">
        <f aca="false">IF($A195="","",F194*Summary!$Q$10)</f>
        <v/>
      </c>
    </row>
    <row r="195" customFormat="false" ht="12" hidden="false" customHeight="true" outlineLevel="0" collapsed="false">
      <c r="A195" s="196" t="str">
        <f aca="false">IF(A194&lt;mthend,EDATE(A194,1),"")</f>
        <v/>
      </c>
      <c r="B195" s="197" t="str">
        <f aca="false">IF(A195&lt;mthend,B194,"")</f>
        <v/>
      </c>
      <c r="C195" s="215"/>
      <c r="D195" s="197" t="str">
        <f aca="false">IF(A196&lt;&gt;"",B195+C195,"")</f>
        <v/>
      </c>
      <c r="E195" s="199" t="str">
        <f aca="false">IF(A196="","",IF(AND(AT195=1,$H$3=1),D195*AO195,IF($H$3=2,D195,"N/A")))</f>
        <v/>
      </c>
      <c r="F195" s="199" t="str">
        <f aca="false">IF(A196="","",E195*AS195)</f>
        <v/>
      </c>
      <c r="G195" s="200" t="str">
        <f aca="false">IF($A196="","",VLOOKUP($A195,Table,MATCH(G$4,Curves,0)))</f>
        <v/>
      </c>
      <c r="H195" s="201" t="str">
        <f aca="false">IF(A196="","",G195)</f>
        <v/>
      </c>
      <c r="I195" s="202"/>
      <c r="J195" s="200" t="str">
        <f aca="false">IF($A196="","",VLOOKUP($A195,Table,MATCH(J$4,Curves,0)))</f>
        <v/>
      </c>
      <c r="K195" s="201" t="str">
        <f aca="false">IF(A196="","",J195)</f>
        <v/>
      </c>
      <c r="L195" s="185" t="n">
        <v>0</v>
      </c>
      <c r="M195" s="201" t="str">
        <f aca="false">IF(A196="","",L195)</f>
        <v/>
      </c>
      <c r="N195" s="203"/>
      <c r="O195" s="200" t="str">
        <f aca="false">IF(A196="","",L195+J195+G195)</f>
        <v/>
      </c>
      <c r="P195" s="200" t="str">
        <f aca="false">IF(A196="","",M195+K195+H195)</f>
        <v/>
      </c>
      <c r="Q195" s="204"/>
      <c r="R195" s="200" t="str">
        <f aca="false">IF($A196="","",VLOOKUP($A195,Table,MATCH(R$4,Curves,0)))</f>
        <v/>
      </c>
      <c r="S195" s="201" t="str">
        <f aca="false">IF(A196="","",R195)</f>
        <v/>
      </c>
      <c r="T195" s="200" t="str">
        <f aca="false">IF($A196="","",VLOOKUP($A195,Table,MATCH(T$4,Curves,0)))</f>
        <v/>
      </c>
      <c r="U195" s="201" t="str">
        <f aca="false">IF(A196="","",T195)</f>
        <v/>
      </c>
      <c r="V195" s="205" t="str">
        <f aca="false">IF($A196="","",IF(AND(MONTH(A195)&gt;3,MONTH(A195)&lt;11),(T195+R195+G195)*Summary!$T$10/(1-Summary!$T$10),(T195+R195+G195)*Summary!$U$10/(1-Summary!$U$10)))</f>
        <v/>
      </c>
      <c r="W195" s="200" t="str">
        <f aca="false">IF($A196="","",(T195+R195+G195+V195))</f>
        <v/>
      </c>
      <c r="X195" s="200" t="str">
        <f aca="false">IF($A196="","",(U195+S195+H195+V195))</f>
        <v/>
      </c>
      <c r="Y195" s="202"/>
      <c r="Z195" s="185" t="str">
        <f aca="false">IF($A196="","",VLOOKUP($A195,Table,MATCH(Z$4,Curves,0)))</f>
        <v/>
      </c>
      <c r="AA195" s="185" t="str">
        <f aca="false">IF($A196="","",VLOOKUP($A195,Table,MATCH(AA$4,Curves,0)))</f>
        <v/>
      </c>
      <c r="AB195" s="185" t="e">
        <f aca="false">SQRT((AA195^2*(A195-$D$3)+Z195^2*(DAY(EOMONTH(A195,0))/2))/AK195)</f>
        <v>#VALUE!</v>
      </c>
      <c r="AC195" s="185" t="str">
        <f aca="false">IF($A196="","",VLOOKUP($A195,Table,MATCH(AC$4,Curves,0)))</f>
        <v/>
      </c>
      <c r="AD195" s="185" t="str">
        <f aca="false">IF($A196="","",VLOOKUP($A195,Table,MATCH(AD$4,Curves,0)))</f>
        <v/>
      </c>
      <c r="AE195" s="185" t="e">
        <f aca="false">SQRT((AD195^2*(A195-$D$3)+AC195^2*(DAY(EOMONTH(A195,0))/2))/AK195)</f>
        <v>#VALUE!</v>
      </c>
      <c r="AF195" s="224" t="e">
        <f aca="false">((Summary!$N$10*(AA195*AD195)*(A195-$D$3))+(Summary!$M$10*Z195*AC195*(AJ195-EOMONTH(EDATE(A195,-1),0))))/(AK195*AB195*AE195)</f>
        <v>#VALUE!</v>
      </c>
      <c r="AG195" s="207" t="str">
        <f aca="false">IF($A196="","",Summary!$Q$10)</f>
        <v/>
      </c>
      <c r="AH195" s="207" t="str">
        <f aca="false">IF($A196="","",IF(Summary!$R$10="Y",(VLOOKUP($A195,Summary!$AD$6:$AF$9,3)+'Escalating commodity'!F208),'Escalating commodity'!F208))</f>
        <v/>
      </c>
      <c r="AI195" s="207" t="str">
        <f aca="false">IF($A196="","",AH195)</f>
        <v/>
      </c>
      <c r="AJ195" s="208" t="e">
        <f aca="false">A195+DAY(EOMONTH(A195,0))/2-1</f>
        <v>#VALUE!</v>
      </c>
      <c r="AK195" s="209" t="str">
        <f aca="false">IF($A196="","",$A195-$E$1)</f>
        <v/>
      </c>
      <c r="AL195" s="182" t="str">
        <f aca="false">IF($A196="","",SPRDOPT(P195,X195,AI195,0,AB195,AE195,AF195,AK195,$AJ$2,0))</f>
        <v/>
      </c>
      <c r="AM195" s="211" t="str">
        <f aca="false">IF($A196="","",MAX(0,O195-W195-AI195))</f>
        <v/>
      </c>
      <c r="AN195" s="211" t="str">
        <f aca="false">IF($A196="","",AL195-AM195)</f>
        <v/>
      </c>
      <c r="AO195" s="137" t="str">
        <f aca="false">IF(A196="","",A196-A195)</f>
        <v/>
      </c>
      <c r="AP195" s="212" t="str">
        <f aca="false">IF(A196="","",CHOOSE(F$3,A196+24,A195))</f>
        <v/>
      </c>
      <c r="AQ195" s="209" t="str">
        <f aca="false">IF(A196="","",AP195-$E$1)</f>
        <v/>
      </c>
      <c r="AR195" s="185" t="n">
        <f aca="false">'ANR OK vs ML7'!AR195</f>
        <v>0.1</v>
      </c>
      <c r="AS195" s="213" t="str">
        <f aca="false">IF(A196="","",1/(1+CHOOSE(F$3,(AR196+($I$3/10000))/2,(AR195+($I$3/10000))/2))^(2*AQ195/365.25))</f>
        <v/>
      </c>
      <c r="AT195" s="137" t="str">
        <f aca="false">IF(A196="","",IF(AND(mthbeg&lt;=A195,mthend&gt;=A195),1,0))</f>
        <v/>
      </c>
      <c r="AU195" s="137" t="str">
        <f aca="false">IF(A196="","",AO195*AT195)</f>
        <v/>
      </c>
      <c r="AW195" s="195" t="str">
        <f aca="false">IF($A196="","",AL195*$E195)</f>
        <v/>
      </c>
      <c r="AX195" s="195" t="str">
        <f aca="false">IF($A196="","",AM195*$E195)</f>
        <v/>
      </c>
      <c r="AY195" s="195" t="str">
        <f aca="false">IF($A196="","",AN195*$E195)</f>
        <v/>
      </c>
      <c r="BA195" s="195" t="str">
        <f aca="false">IF($A196="","",F195*Summary!$Q$10)</f>
        <v/>
      </c>
    </row>
    <row r="196" customFormat="false" ht="12" hidden="false" customHeight="true" outlineLevel="0" collapsed="false">
      <c r="A196" s="196" t="str">
        <f aca="false">IF(A195&lt;mthend,EDATE(A195,1),"")</f>
        <v/>
      </c>
      <c r="B196" s="197" t="str">
        <f aca="false">IF(A196&lt;mthend,B195,"")</f>
        <v/>
      </c>
      <c r="C196" s="215"/>
      <c r="D196" s="197" t="str">
        <f aca="false">IF(A197&lt;&gt;"",B196+C196,"")</f>
        <v/>
      </c>
      <c r="E196" s="199" t="str">
        <f aca="false">IF(A197="","",IF(AND(AT196=1,$H$3=1),D196*AO196,IF($H$3=2,D196,"N/A")))</f>
        <v/>
      </c>
      <c r="F196" s="199" t="str">
        <f aca="false">IF(A197="","",E196*AS196)</f>
        <v/>
      </c>
      <c r="G196" s="200" t="str">
        <f aca="false">IF($A197="","",VLOOKUP($A196,Table,MATCH(G$4,Curves,0)))</f>
        <v/>
      </c>
      <c r="H196" s="201" t="str">
        <f aca="false">IF(A197="","",G196)</f>
        <v/>
      </c>
      <c r="I196" s="202"/>
      <c r="J196" s="200" t="str">
        <f aca="false">IF($A197="","",VLOOKUP($A196,Table,MATCH(J$4,Curves,0)))</f>
        <v/>
      </c>
      <c r="K196" s="201" t="str">
        <f aca="false">IF(A197="","",J196)</f>
        <v/>
      </c>
      <c r="L196" s="185" t="n">
        <v>0</v>
      </c>
      <c r="M196" s="201" t="str">
        <f aca="false">IF(A197="","",L196)</f>
        <v/>
      </c>
      <c r="N196" s="203"/>
      <c r="O196" s="200" t="str">
        <f aca="false">IF(A197="","",L196+J196+G196)</f>
        <v/>
      </c>
      <c r="P196" s="200" t="str">
        <f aca="false">IF(A197="","",M196+K196+H196)</f>
        <v/>
      </c>
      <c r="Q196" s="204"/>
      <c r="R196" s="200" t="str">
        <f aca="false">IF($A197="","",VLOOKUP($A196,Table,MATCH(R$4,Curves,0)))</f>
        <v/>
      </c>
      <c r="S196" s="201" t="str">
        <f aca="false">IF(A197="","",R196)</f>
        <v/>
      </c>
      <c r="T196" s="200" t="str">
        <f aca="false">IF($A197="","",VLOOKUP($A196,Table,MATCH(T$4,Curves,0)))</f>
        <v/>
      </c>
      <c r="U196" s="201" t="str">
        <f aca="false">IF(A197="","",T196)</f>
        <v/>
      </c>
      <c r="V196" s="205" t="str">
        <f aca="false">IF($A197="","",IF(AND(MONTH(A196)&gt;3,MONTH(A196)&lt;11),(T196+R196+G196)*Summary!$T$10/(1-Summary!$T$10),(T196+R196+G196)*Summary!$U$10/(1-Summary!$U$10)))</f>
        <v/>
      </c>
      <c r="W196" s="200" t="str">
        <f aca="false">IF($A197="","",(T196+R196+G196+V196))</f>
        <v/>
      </c>
      <c r="X196" s="200" t="str">
        <f aca="false">IF($A197="","",(U196+S196+H196+V196))</f>
        <v/>
      </c>
      <c r="Y196" s="202"/>
      <c r="Z196" s="185" t="str">
        <f aca="false">IF($A197="","",VLOOKUP($A196,Table,MATCH(Z$4,Curves,0)))</f>
        <v/>
      </c>
      <c r="AA196" s="185" t="str">
        <f aca="false">IF($A197="","",VLOOKUP($A196,Table,MATCH(AA$4,Curves,0)))</f>
        <v/>
      </c>
      <c r="AB196" s="185" t="e">
        <f aca="false">SQRT((AA196^2*(A196-$D$3)+Z196^2*(DAY(EOMONTH(A196,0))/2))/AK196)</f>
        <v>#VALUE!</v>
      </c>
      <c r="AC196" s="185" t="str">
        <f aca="false">IF($A197="","",VLOOKUP($A196,Table,MATCH(AC$4,Curves,0)))</f>
        <v/>
      </c>
      <c r="AD196" s="185" t="str">
        <f aca="false">IF($A197="","",VLOOKUP($A196,Table,MATCH(AD$4,Curves,0)))</f>
        <v/>
      </c>
      <c r="AE196" s="185" t="e">
        <f aca="false">SQRT((AD196^2*(A196-$D$3)+AC196^2*(DAY(EOMONTH(A196,0))/2))/AK196)</f>
        <v>#VALUE!</v>
      </c>
      <c r="AF196" s="224" t="e">
        <f aca="false">((Summary!$N$10*(AA196*AD196)*(A196-$D$3))+(Summary!$M$10*Z196*AC196*(AJ196-EOMONTH(EDATE(A196,-1),0))))/(AK196*AB196*AE196)</f>
        <v>#VALUE!</v>
      </c>
      <c r="AG196" s="207" t="str">
        <f aca="false">IF($A197="","",Summary!$Q$10)</f>
        <v/>
      </c>
      <c r="AH196" s="207" t="str">
        <f aca="false">IF($A197="","",IF(Summary!$R$10="Y",(VLOOKUP($A196,Summary!$AD$6:$AF$9,3)+'Escalating commodity'!F209),'Escalating commodity'!F209))</f>
        <v/>
      </c>
      <c r="AI196" s="207" t="str">
        <f aca="false">IF($A197="","",AH196)</f>
        <v/>
      </c>
      <c r="AJ196" s="208" t="e">
        <f aca="false">A196+DAY(EOMONTH(A196,0))/2-1</f>
        <v>#VALUE!</v>
      </c>
      <c r="AK196" s="209" t="str">
        <f aca="false">IF($A197="","",$A196-$E$1)</f>
        <v/>
      </c>
      <c r="AL196" s="182" t="str">
        <f aca="false">IF($A197="","",SPRDOPT(P196,X196,AI196,0,AB196,AE196,AF196,AK196,$AJ$2,0))</f>
        <v/>
      </c>
      <c r="AM196" s="211" t="str">
        <f aca="false">IF($A197="","",MAX(0,O196-W196-AI196))</f>
        <v/>
      </c>
      <c r="AN196" s="211" t="str">
        <f aca="false">IF($A197="","",AL196-AM196)</f>
        <v/>
      </c>
      <c r="AO196" s="137" t="str">
        <f aca="false">IF(A197="","",A197-A196)</f>
        <v/>
      </c>
      <c r="AP196" s="212" t="str">
        <f aca="false">IF(A197="","",CHOOSE(F$3,A197+24,A196))</f>
        <v/>
      </c>
      <c r="AQ196" s="209" t="str">
        <f aca="false">IF(A197="","",AP196-$E$1)</f>
        <v/>
      </c>
      <c r="AR196" s="185" t="n">
        <f aca="false">'ANR OK vs ML7'!AR196</f>
        <v>0.1</v>
      </c>
      <c r="AS196" s="213" t="str">
        <f aca="false">IF(A197="","",1/(1+CHOOSE(F$3,(AR197+($I$3/10000))/2,(AR196+($I$3/10000))/2))^(2*AQ196/365.25))</f>
        <v/>
      </c>
      <c r="AT196" s="137" t="str">
        <f aca="false">IF(A197="","",IF(AND(mthbeg&lt;=A196,mthend&gt;=A196),1,0))</f>
        <v/>
      </c>
      <c r="AU196" s="137" t="str">
        <f aca="false">IF(A197="","",AO196*AT196)</f>
        <v/>
      </c>
      <c r="AW196" s="195" t="str">
        <f aca="false">IF($A197="","",AL196*$E196)</f>
        <v/>
      </c>
      <c r="AX196" s="195" t="str">
        <f aca="false">IF($A197="","",AM196*$E196)</f>
        <v/>
      </c>
      <c r="AY196" s="195" t="str">
        <f aca="false">IF($A197="","",AN196*$E196)</f>
        <v/>
      </c>
      <c r="BA196" s="195" t="str">
        <f aca="false">IF($A197="","",F196*Summary!$Q$10)</f>
        <v/>
      </c>
    </row>
    <row r="197" customFormat="false" ht="12" hidden="false" customHeight="true" outlineLevel="0" collapsed="false">
      <c r="A197" s="196" t="str">
        <f aca="false">IF(A196&lt;mthend,EDATE(A196,1),"")</f>
        <v/>
      </c>
      <c r="B197" s="197" t="str">
        <f aca="false">IF(A197&lt;mthend,B196,"")</f>
        <v/>
      </c>
      <c r="C197" s="215"/>
      <c r="D197" s="197" t="str">
        <f aca="false">IF(A198&lt;&gt;"",B197+C197,"")</f>
        <v/>
      </c>
      <c r="E197" s="199" t="str">
        <f aca="false">IF(A198="","",IF(AND(AT197=1,$H$3=1),D197*AO197,IF($H$3=2,D197,"N/A")))</f>
        <v/>
      </c>
      <c r="F197" s="199" t="str">
        <f aca="false">IF(A198="","",E197*AS197)</f>
        <v/>
      </c>
      <c r="G197" s="200" t="str">
        <f aca="false">IF($A198="","",VLOOKUP($A197,Table,MATCH(G$4,Curves,0)))</f>
        <v/>
      </c>
      <c r="H197" s="201" t="str">
        <f aca="false">IF(A198="","",G197)</f>
        <v/>
      </c>
      <c r="I197" s="202"/>
      <c r="J197" s="200" t="str">
        <f aca="false">IF($A198="","",VLOOKUP($A197,Table,MATCH(J$4,Curves,0)))</f>
        <v/>
      </c>
      <c r="K197" s="201" t="str">
        <f aca="false">IF(A198="","",J197)</f>
        <v/>
      </c>
      <c r="L197" s="185" t="n">
        <v>0</v>
      </c>
      <c r="M197" s="201" t="str">
        <f aca="false">IF(A198="","",L197)</f>
        <v/>
      </c>
      <c r="N197" s="203"/>
      <c r="O197" s="200" t="str">
        <f aca="false">IF(A198="","",L197+J197+G197)</f>
        <v/>
      </c>
      <c r="P197" s="200" t="str">
        <f aca="false">IF(A198="","",M197+K197+H197)</f>
        <v/>
      </c>
      <c r="Q197" s="204"/>
      <c r="R197" s="200" t="str">
        <f aca="false">IF($A198="","",VLOOKUP($A197,Table,MATCH(R$4,Curves,0)))</f>
        <v/>
      </c>
      <c r="S197" s="201" t="str">
        <f aca="false">IF(A198="","",R197)</f>
        <v/>
      </c>
      <c r="T197" s="200" t="str">
        <f aca="false">IF($A198="","",VLOOKUP($A197,Table,MATCH(T$4,Curves,0)))</f>
        <v/>
      </c>
      <c r="U197" s="201" t="str">
        <f aca="false">IF(A198="","",T197)</f>
        <v/>
      </c>
      <c r="V197" s="205" t="str">
        <f aca="false">IF($A198="","",IF(AND(MONTH(A197)&gt;3,MONTH(A197)&lt;11),(T197+R197+G197)*Summary!$T$10/(1-Summary!$T$10),(T197+R197+G197)*Summary!$U$10/(1-Summary!$U$10)))</f>
        <v/>
      </c>
      <c r="W197" s="200" t="str">
        <f aca="false">IF($A198="","",(T197+R197+G197+V197))</f>
        <v/>
      </c>
      <c r="X197" s="200" t="str">
        <f aca="false">IF($A198="","",(U197+S197+H197+V197))</f>
        <v/>
      </c>
      <c r="Y197" s="202"/>
      <c r="Z197" s="185" t="str">
        <f aca="false">IF($A198="","",VLOOKUP($A197,Table,MATCH(Z$4,Curves,0)))</f>
        <v/>
      </c>
      <c r="AA197" s="185" t="str">
        <f aca="false">IF($A198="","",VLOOKUP($A197,Table,MATCH(AA$4,Curves,0)))</f>
        <v/>
      </c>
      <c r="AB197" s="185" t="e">
        <f aca="false">SQRT((AA197^2*(A197-$D$3)+Z197^2*(DAY(EOMONTH(A197,0))/2))/AK197)</f>
        <v>#VALUE!</v>
      </c>
      <c r="AC197" s="185" t="str">
        <f aca="false">IF($A198="","",VLOOKUP($A197,Table,MATCH(AC$4,Curves,0)))</f>
        <v/>
      </c>
      <c r="AD197" s="185" t="str">
        <f aca="false">IF($A198="","",VLOOKUP($A197,Table,MATCH(AD$4,Curves,0)))</f>
        <v/>
      </c>
      <c r="AE197" s="185" t="e">
        <f aca="false">SQRT((AD197^2*(A197-$D$3)+AC197^2*(DAY(EOMONTH(A197,0))/2))/AK197)</f>
        <v>#VALUE!</v>
      </c>
      <c r="AF197" s="224" t="e">
        <f aca="false">((Summary!$N$10*(AA197*AD197)*(A197-$D$3))+(Summary!$M$10*Z197*AC197*(AJ197-EOMONTH(EDATE(A197,-1),0))))/(AK197*AB197*AE197)</f>
        <v>#VALUE!</v>
      </c>
      <c r="AG197" s="207" t="str">
        <f aca="false">IF($A198="","",Summary!$Q$10)</f>
        <v/>
      </c>
      <c r="AH197" s="207" t="str">
        <f aca="false">IF($A198="","",IF(Summary!$R$10="Y",(VLOOKUP($A197,Summary!$AD$6:$AF$9,3)+'Escalating commodity'!F210),'Escalating commodity'!F210))</f>
        <v/>
      </c>
      <c r="AI197" s="207" t="str">
        <f aca="false">IF($A198="","",AH197)</f>
        <v/>
      </c>
      <c r="AJ197" s="208" t="e">
        <f aca="false">A197+DAY(EOMONTH(A197,0))/2-1</f>
        <v>#VALUE!</v>
      </c>
      <c r="AK197" s="209" t="str">
        <f aca="false">IF($A198="","",$A197-$E$1)</f>
        <v/>
      </c>
      <c r="AL197" s="182" t="str">
        <f aca="false">IF($A198="","",SPRDOPT(P197,X197,AI197,0,AB197,AE197,AF197,AK197,$AJ$2,0))</f>
        <v/>
      </c>
      <c r="AM197" s="211" t="str">
        <f aca="false">IF($A198="","",MAX(0,O197-W197-AI197))</f>
        <v/>
      </c>
      <c r="AN197" s="211" t="str">
        <f aca="false">IF($A198="","",AL197-AM197)</f>
        <v/>
      </c>
      <c r="AO197" s="137" t="str">
        <f aca="false">IF(A198="","",A198-A197)</f>
        <v/>
      </c>
      <c r="AP197" s="212" t="str">
        <f aca="false">IF(A198="","",CHOOSE(F$3,A198+24,A197))</f>
        <v/>
      </c>
      <c r="AQ197" s="209" t="str">
        <f aca="false">IF(A198="","",AP197-$E$1)</f>
        <v/>
      </c>
      <c r="AR197" s="185" t="n">
        <f aca="false">'ANR OK vs ML7'!AR197</f>
        <v>0.1</v>
      </c>
      <c r="AS197" s="213" t="str">
        <f aca="false">IF(A198="","",1/(1+CHOOSE(F$3,(AR198+($I$3/10000))/2,(AR197+($I$3/10000))/2))^(2*AQ197/365.25))</f>
        <v/>
      </c>
      <c r="AT197" s="137" t="str">
        <f aca="false">IF(A198="","",IF(AND(mthbeg&lt;=A197,mthend&gt;=A197),1,0))</f>
        <v/>
      </c>
      <c r="AU197" s="137" t="str">
        <f aca="false">IF(A198="","",AO197*AT197)</f>
        <v/>
      </c>
      <c r="AW197" s="195" t="str">
        <f aca="false">IF($A198="","",AL197*$E197)</f>
        <v/>
      </c>
      <c r="AX197" s="195" t="str">
        <f aca="false">IF($A198="","",AM197*$E197)</f>
        <v/>
      </c>
      <c r="AY197" s="195" t="str">
        <f aca="false">IF($A198="","",AN197*$E197)</f>
        <v/>
      </c>
      <c r="BA197" s="195" t="str">
        <f aca="false">IF($A198="","",F197*Summary!$Q$10)</f>
        <v/>
      </c>
    </row>
    <row r="198" customFormat="false" ht="12" hidden="false" customHeight="true" outlineLevel="0" collapsed="false">
      <c r="A198" s="196" t="str">
        <f aca="false">IF(A197&lt;mthend,EDATE(A197,1),"")</f>
        <v/>
      </c>
      <c r="B198" s="197" t="str">
        <f aca="false">IF(A198&lt;mthend,B197,"")</f>
        <v/>
      </c>
      <c r="C198" s="215"/>
      <c r="D198" s="197" t="str">
        <f aca="false">IF(A199&lt;&gt;"",B198+C198,"")</f>
        <v/>
      </c>
      <c r="E198" s="199" t="str">
        <f aca="false">IF(A199="","",IF(AND(AT198=1,$H$3=1),D198*AO198,IF($H$3=2,D198,"N/A")))</f>
        <v/>
      </c>
      <c r="F198" s="199" t="str">
        <f aca="false">IF(A199="","",E198*AS198)</f>
        <v/>
      </c>
      <c r="G198" s="200" t="str">
        <f aca="false">IF($A199="","",VLOOKUP($A198,Table,MATCH(G$4,Curves,0)))</f>
        <v/>
      </c>
      <c r="H198" s="201" t="str">
        <f aca="false">IF(A199="","",G198)</f>
        <v/>
      </c>
      <c r="I198" s="202"/>
      <c r="J198" s="200" t="str">
        <f aca="false">IF($A199="","",VLOOKUP($A198,Table,MATCH(J$4,Curves,0)))</f>
        <v/>
      </c>
      <c r="K198" s="201" t="str">
        <f aca="false">IF(A199="","",J198)</f>
        <v/>
      </c>
      <c r="L198" s="185" t="n">
        <v>0</v>
      </c>
      <c r="M198" s="201" t="str">
        <f aca="false">IF(A199="","",L198)</f>
        <v/>
      </c>
      <c r="N198" s="203"/>
      <c r="O198" s="200" t="str">
        <f aca="false">IF(A199="","",L198+J198+G198)</f>
        <v/>
      </c>
      <c r="P198" s="200" t="str">
        <f aca="false">IF(A199="","",M198+K198+H198)</f>
        <v/>
      </c>
      <c r="Q198" s="204"/>
      <c r="R198" s="200" t="str">
        <f aca="false">IF($A199="","",VLOOKUP($A198,Table,MATCH(R$4,Curves,0)))</f>
        <v/>
      </c>
      <c r="S198" s="201" t="str">
        <f aca="false">IF(A199="","",R198)</f>
        <v/>
      </c>
      <c r="T198" s="200" t="str">
        <f aca="false">IF($A199="","",VLOOKUP($A198,Table,MATCH(T$4,Curves,0)))</f>
        <v/>
      </c>
      <c r="U198" s="201" t="str">
        <f aca="false">IF(A199="","",T198)</f>
        <v/>
      </c>
      <c r="V198" s="205" t="str">
        <f aca="false">IF($A199="","",IF(AND(MONTH(A198)&gt;3,MONTH(A198)&lt;11),(T198+R198+G198)*Summary!$T$10/(1-Summary!$T$10),(T198+R198+G198)*Summary!$U$10/(1-Summary!$U$10)))</f>
        <v/>
      </c>
      <c r="W198" s="200" t="str">
        <f aca="false">IF($A199="","",(T198+R198+G198+V198))</f>
        <v/>
      </c>
      <c r="X198" s="200" t="str">
        <f aca="false">IF($A199="","",(U198+S198+H198+V198))</f>
        <v/>
      </c>
      <c r="Y198" s="202"/>
      <c r="Z198" s="185" t="str">
        <f aca="false">IF($A199="","",VLOOKUP($A198,Table,MATCH(Z$4,Curves,0)))</f>
        <v/>
      </c>
      <c r="AA198" s="185" t="str">
        <f aca="false">IF($A199="","",VLOOKUP($A198,Table,MATCH(AA$4,Curves,0)))</f>
        <v/>
      </c>
      <c r="AB198" s="185" t="e">
        <f aca="false">SQRT((AA198^2*(A198-$D$3)+Z198^2*(DAY(EOMONTH(A198,0))/2))/AK198)</f>
        <v>#VALUE!</v>
      </c>
      <c r="AC198" s="185" t="str">
        <f aca="false">IF($A199="","",VLOOKUP($A198,Table,MATCH(AC$4,Curves,0)))</f>
        <v/>
      </c>
      <c r="AD198" s="185" t="str">
        <f aca="false">IF($A199="","",VLOOKUP($A198,Table,MATCH(AD$4,Curves,0)))</f>
        <v/>
      </c>
      <c r="AE198" s="185" t="e">
        <f aca="false">SQRT((AD198^2*(A198-$D$3)+AC198^2*(DAY(EOMONTH(A198,0))/2))/AK198)</f>
        <v>#VALUE!</v>
      </c>
      <c r="AF198" s="224" t="e">
        <f aca="false">((Summary!$N$10*(AA198*AD198)*(A198-$D$3))+(Summary!$M$10*Z198*AC198*(AJ198-EOMONTH(EDATE(A198,-1),0))))/(AK198*AB198*AE198)</f>
        <v>#VALUE!</v>
      </c>
      <c r="AG198" s="207" t="str">
        <f aca="false">IF($A199="","",Summary!$Q$10)</f>
        <v/>
      </c>
      <c r="AH198" s="207" t="str">
        <f aca="false">IF($A199="","",IF(Summary!$R$10="Y",(VLOOKUP($A198,Summary!$AD$6:$AF$9,3)+'Escalating commodity'!F211),'Escalating commodity'!F211))</f>
        <v/>
      </c>
      <c r="AI198" s="207" t="str">
        <f aca="false">IF($A199="","",AH198)</f>
        <v/>
      </c>
      <c r="AJ198" s="208" t="e">
        <f aca="false">A198+DAY(EOMONTH(A198,0))/2-1</f>
        <v>#VALUE!</v>
      </c>
      <c r="AK198" s="209" t="str">
        <f aca="false">IF($A199="","",$A198-$E$1)</f>
        <v/>
      </c>
      <c r="AL198" s="182" t="str">
        <f aca="false">IF($A199="","",SPRDOPT(P198,X198,AI198,0,AB198,AE198,AF198,AK198,$AJ$2,0))</f>
        <v/>
      </c>
      <c r="AM198" s="211" t="str">
        <f aca="false">IF($A199="","",MAX(0,O198-W198-AI198))</f>
        <v/>
      </c>
      <c r="AN198" s="211" t="str">
        <f aca="false">IF($A199="","",AL198-AM198)</f>
        <v/>
      </c>
      <c r="AO198" s="137" t="str">
        <f aca="false">IF(A199="","",A199-A198)</f>
        <v/>
      </c>
      <c r="AP198" s="212" t="str">
        <f aca="false">IF(A199="","",CHOOSE(F$3,A199+24,A198))</f>
        <v/>
      </c>
      <c r="AQ198" s="209" t="str">
        <f aca="false">IF(A199="","",AP198-$E$1)</f>
        <v/>
      </c>
      <c r="AR198" s="185" t="n">
        <f aca="false">'ANR OK vs ML7'!AR198</f>
        <v>0.1</v>
      </c>
      <c r="AS198" s="213" t="str">
        <f aca="false">IF(A199="","",1/(1+CHOOSE(F$3,(AR199+($I$3/10000))/2,(AR198+($I$3/10000))/2))^(2*AQ198/365.25))</f>
        <v/>
      </c>
      <c r="AT198" s="137" t="str">
        <f aca="false">IF(A199="","",IF(AND(mthbeg&lt;=A198,mthend&gt;=A198),1,0))</f>
        <v/>
      </c>
      <c r="AU198" s="137" t="str">
        <f aca="false">IF(A199="","",AO198*AT198)</f>
        <v/>
      </c>
      <c r="AW198" s="195" t="str">
        <f aca="false">IF($A199="","",AL198*$E198)</f>
        <v/>
      </c>
      <c r="AX198" s="195" t="str">
        <f aca="false">IF($A199="","",AM198*$E198)</f>
        <v/>
      </c>
      <c r="AY198" s="195" t="str">
        <f aca="false">IF($A199="","",AN198*$E198)</f>
        <v/>
      </c>
      <c r="BA198" s="195" t="str">
        <f aca="false">IF($A199="","",F198*Summary!$Q$10)</f>
        <v/>
      </c>
    </row>
    <row r="199" customFormat="false" ht="12" hidden="false" customHeight="true" outlineLevel="0" collapsed="false">
      <c r="A199" s="196" t="str">
        <f aca="false">IF(A198&lt;mthend,EDATE(A198,1),"")</f>
        <v/>
      </c>
      <c r="B199" s="197" t="str">
        <f aca="false">IF(A199&lt;mthend,B198,"")</f>
        <v/>
      </c>
      <c r="C199" s="215"/>
      <c r="D199" s="197" t="str">
        <f aca="false">IF(A200&lt;&gt;"",B199+C199,"")</f>
        <v/>
      </c>
      <c r="E199" s="199" t="str">
        <f aca="false">IF(A200="","",IF(AND(AT199=1,$H$3=1),D199*AO199,IF($H$3=2,D199,"N/A")))</f>
        <v/>
      </c>
      <c r="F199" s="199" t="str">
        <f aca="false">IF(A200="","",E199*AS199)</f>
        <v/>
      </c>
      <c r="G199" s="200" t="str">
        <f aca="false">IF($A200="","",VLOOKUP($A199,Table,MATCH(G$4,Curves,0)))</f>
        <v/>
      </c>
      <c r="H199" s="201" t="str">
        <f aca="false">IF(A200="","",G199)</f>
        <v/>
      </c>
      <c r="I199" s="202"/>
      <c r="J199" s="200" t="str">
        <f aca="false">IF($A200="","",VLOOKUP($A199,Table,MATCH(J$4,Curves,0)))</f>
        <v/>
      </c>
      <c r="K199" s="201" t="str">
        <f aca="false">IF(A200="","",J199)</f>
        <v/>
      </c>
      <c r="L199" s="185" t="n">
        <v>0</v>
      </c>
      <c r="M199" s="201" t="str">
        <f aca="false">IF(A200="","",L199)</f>
        <v/>
      </c>
      <c r="N199" s="203"/>
      <c r="O199" s="200" t="str">
        <f aca="false">IF(A200="","",L199+J199+G199)</f>
        <v/>
      </c>
      <c r="P199" s="200" t="str">
        <f aca="false">IF(A200="","",M199+K199+H199)</f>
        <v/>
      </c>
      <c r="Q199" s="204"/>
      <c r="R199" s="200" t="str">
        <f aca="false">IF($A200="","",VLOOKUP($A199,Table,MATCH(R$4,Curves,0)))</f>
        <v/>
      </c>
      <c r="S199" s="201" t="str">
        <f aca="false">IF(A200="","",R199)</f>
        <v/>
      </c>
      <c r="T199" s="200" t="str">
        <f aca="false">IF($A200="","",VLOOKUP($A199,Table,MATCH(T$4,Curves,0)))</f>
        <v/>
      </c>
      <c r="U199" s="201" t="str">
        <f aca="false">IF(A200="","",T199)</f>
        <v/>
      </c>
      <c r="V199" s="205" t="str">
        <f aca="false">IF($A200="","",IF(AND(MONTH(A199)&gt;3,MONTH(A199)&lt;11),(T199+R199+G199)*Summary!$T$10/(1-Summary!$T$10),(T199+R199+G199)*Summary!$U$10/(1-Summary!$U$10)))</f>
        <v/>
      </c>
      <c r="W199" s="200" t="str">
        <f aca="false">IF($A200="","",(T199+R199+G199+V199))</f>
        <v/>
      </c>
      <c r="X199" s="200" t="str">
        <f aca="false">IF($A200="","",(U199+S199+H199+V199))</f>
        <v/>
      </c>
      <c r="Y199" s="202"/>
      <c r="Z199" s="185" t="str">
        <f aca="false">IF($A200="","",VLOOKUP($A199,Table,MATCH(Z$4,Curves,0)))</f>
        <v/>
      </c>
      <c r="AA199" s="185" t="str">
        <f aca="false">IF($A200="","",VLOOKUP($A199,Table,MATCH(AA$4,Curves,0)))</f>
        <v/>
      </c>
      <c r="AB199" s="185" t="e">
        <f aca="false">SQRT((AA199^2*(A199-$D$3)+Z199^2*(DAY(EOMONTH(A199,0))/2))/AK199)</f>
        <v>#VALUE!</v>
      </c>
      <c r="AC199" s="185" t="str">
        <f aca="false">IF($A200="","",VLOOKUP($A199,Table,MATCH(AC$4,Curves,0)))</f>
        <v/>
      </c>
      <c r="AD199" s="185" t="str">
        <f aca="false">IF($A200="","",VLOOKUP($A199,Table,MATCH(AD$4,Curves,0)))</f>
        <v/>
      </c>
      <c r="AE199" s="185" t="e">
        <f aca="false">SQRT((AD199^2*(A199-$D$3)+AC199^2*(DAY(EOMONTH(A199,0))/2))/AK199)</f>
        <v>#VALUE!</v>
      </c>
      <c r="AF199" s="224" t="e">
        <f aca="false">((Summary!$N$10*(AA199*AD199)*(A199-$D$3))+(Summary!$M$10*Z199*AC199*(AJ199-EOMONTH(EDATE(A199,-1),0))))/(AK199*AB199*AE199)</f>
        <v>#VALUE!</v>
      </c>
      <c r="AG199" s="207" t="str">
        <f aca="false">IF($A200="","",Summary!$Q$10)</f>
        <v/>
      </c>
      <c r="AH199" s="207" t="str">
        <f aca="false">IF($A200="","",IF(Summary!$R$10="Y",(VLOOKUP($A199,Summary!$AD$6:$AF$9,3)+'Escalating commodity'!F212),'Escalating commodity'!F212))</f>
        <v/>
      </c>
      <c r="AI199" s="207" t="str">
        <f aca="false">IF($A200="","",AH199)</f>
        <v/>
      </c>
      <c r="AJ199" s="208" t="e">
        <f aca="false">A199+DAY(EOMONTH(A199,0))/2-1</f>
        <v>#VALUE!</v>
      </c>
      <c r="AK199" s="209" t="str">
        <f aca="false">IF($A200="","",$A199-$E$1)</f>
        <v/>
      </c>
      <c r="AL199" s="182" t="str">
        <f aca="false">IF($A200="","",SPRDOPT(P199,X199,AI199,0,AB199,AE199,AF199,AK199,$AJ$2,0))</f>
        <v/>
      </c>
      <c r="AM199" s="211" t="str">
        <f aca="false">IF($A200="","",MAX(0,O199-W199-AI199))</f>
        <v/>
      </c>
      <c r="AN199" s="211" t="str">
        <f aca="false">IF($A200="","",AL199-AM199)</f>
        <v/>
      </c>
      <c r="AO199" s="137" t="str">
        <f aca="false">IF(A200="","",A200-A199)</f>
        <v/>
      </c>
      <c r="AP199" s="212" t="str">
        <f aca="false">IF(A200="","",CHOOSE(F$3,A200+24,A199))</f>
        <v/>
      </c>
      <c r="AQ199" s="209" t="str">
        <f aca="false">IF(A200="","",AP199-$E$1)</f>
        <v/>
      </c>
      <c r="AR199" s="185" t="n">
        <f aca="false">'ANR OK vs ML7'!AR199</f>
        <v>0.1</v>
      </c>
      <c r="AS199" s="213" t="str">
        <f aca="false">IF(A200="","",1/(1+CHOOSE(F$3,(AR200+($I$3/10000))/2,(AR199+($I$3/10000))/2))^(2*AQ199/365.25))</f>
        <v/>
      </c>
      <c r="AT199" s="137" t="str">
        <f aca="false">IF(A200="","",IF(AND(mthbeg&lt;=A199,mthend&gt;=A199),1,0))</f>
        <v/>
      </c>
      <c r="AU199" s="137" t="str">
        <f aca="false">IF(A200="","",AO199*AT199)</f>
        <v/>
      </c>
      <c r="AW199" s="195" t="str">
        <f aca="false">IF($A200="","",AL199*$E199)</f>
        <v/>
      </c>
      <c r="AX199" s="195" t="str">
        <f aca="false">IF($A200="","",AM199*$E199)</f>
        <v/>
      </c>
      <c r="AY199" s="195" t="str">
        <f aca="false">IF($A200="","",AN199*$E199)</f>
        <v/>
      </c>
      <c r="BA199" s="195" t="str">
        <f aca="false">IF($A200="","",F199*Summary!$Q$10)</f>
        <v/>
      </c>
    </row>
    <row r="200" customFormat="false" ht="12" hidden="false" customHeight="true" outlineLevel="0" collapsed="false">
      <c r="A200" s="196" t="str">
        <f aca="false">IF(A199&lt;mthend,EDATE(A199,1),"")</f>
        <v/>
      </c>
      <c r="B200" s="197" t="str">
        <f aca="false">IF(A200&lt;mthend,B199,"")</f>
        <v/>
      </c>
      <c r="C200" s="215"/>
      <c r="D200" s="197" t="str">
        <f aca="false">IF(A201&lt;&gt;"",B200+C200,"")</f>
        <v/>
      </c>
      <c r="E200" s="199" t="str">
        <f aca="false">IF(A201="","",IF(AND(AT200=1,$H$3=1),D200*AO200,IF($H$3=2,D200,"N/A")))</f>
        <v/>
      </c>
      <c r="F200" s="199" t="str">
        <f aca="false">IF(A201="","",E200*AS200)</f>
        <v/>
      </c>
      <c r="G200" s="200" t="str">
        <f aca="false">IF($A201="","",VLOOKUP($A200,Table,MATCH(G$4,Curves,0)))</f>
        <v/>
      </c>
      <c r="H200" s="201" t="str">
        <f aca="false">IF(A201="","",G200)</f>
        <v/>
      </c>
      <c r="I200" s="202"/>
      <c r="J200" s="200" t="str">
        <f aca="false">IF($A201="","",VLOOKUP($A200,Table,MATCH(J$4,Curves,0)))</f>
        <v/>
      </c>
      <c r="K200" s="201" t="str">
        <f aca="false">IF(A201="","",J200)</f>
        <v/>
      </c>
      <c r="L200" s="185" t="n">
        <v>0</v>
      </c>
      <c r="M200" s="201" t="str">
        <f aca="false">IF(A201="","",L200)</f>
        <v/>
      </c>
      <c r="N200" s="203"/>
      <c r="O200" s="200" t="str">
        <f aca="false">IF(A201="","",L200+J200+G200)</f>
        <v/>
      </c>
      <c r="P200" s="200" t="str">
        <f aca="false">IF(A201="","",M200+K200+H200)</f>
        <v/>
      </c>
      <c r="Q200" s="204"/>
      <c r="R200" s="200" t="str">
        <f aca="false">IF($A201="","",VLOOKUP($A200,Table,MATCH(R$4,Curves,0)))</f>
        <v/>
      </c>
      <c r="S200" s="201" t="str">
        <f aca="false">IF(A201="","",R200)</f>
        <v/>
      </c>
      <c r="T200" s="200" t="str">
        <f aca="false">IF($A201="","",VLOOKUP($A200,Table,MATCH(T$4,Curves,0)))</f>
        <v/>
      </c>
      <c r="U200" s="201" t="str">
        <f aca="false">IF(A201="","",T200)</f>
        <v/>
      </c>
      <c r="V200" s="205" t="str">
        <f aca="false">IF($A201="","",IF(AND(MONTH(A200)&gt;3,MONTH(A200)&lt;11),(T200+R200+G200)*Summary!$T$10/(1-Summary!$T$10),(T200+R200+G200)*Summary!$U$10/(1-Summary!$U$10)))</f>
        <v/>
      </c>
      <c r="W200" s="200" t="str">
        <f aca="false">IF($A201="","",(T200+R200+G200+V200))</f>
        <v/>
      </c>
      <c r="X200" s="200" t="str">
        <f aca="false">IF($A201="","",(U200+S200+H200+V200))</f>
        <v/>
      </c>
      <c r="Y200" s="202"/>
      <c r="Z200" s="185" t="str">
        <f aca="false">IF($A201="","",VLOOKUP($A200,Table,MATCH(Z$4,Curves,0)))</f>
        <v/>
      </c>
      <c r="AA200" s="185" t="str">
        <f aca="false">IF($A201="","",VLOOKUP($A200,Table,MATCH(AA$4,Curves,0)))</f>
        <v/>
      </c>
      <c r="AB200" s="185" t="e">
        <f aca="false">SQRT((AA200^2*(A200-$D$3)+Z200^2*(DAY(EOMONTH(A200,0))/2))/AK200)</f>
        <v>#VALUE!</v>
      </c>
      <c r="AC200" s="185" t="str">
        <f aca="false">IF($A201="","",VLOOKUP($A200,Table,MATCH(AC$4,Curves,0)))</f>
        <v/>
      </c>
      <c r="AD200" s="185" t="str">
        <f aca="false">IF($A201="","",VLOOKUP($A200,Table,MATCH(AD$4,Curves,0)))</f>
        <v/>
      </c>
      <c r="AE200" s="185" t="e">
        <f aca="false">SQRT((AD200^2*(A200-$D$3)+AC200^2*(DAY(EOMONTH(A200,0))/2))/AK200)</f>
        <v>#VALUE!</v>
      </c>
      <c r="AF200" s="224" t="e">
        <f aca="false">((Summary!$N$10*(AA200*AD200)*(A200-$D$3))+(Summary!$M$10*Z200*AC200*(AJ200-EOMONTH(EDATE(A200,-1),0))))/(AK200*AB200*AE200)</f>
        <v>#VALUE!</v>
      </c>
      <c r="AG200" s="207" t="str">
        <f aca="false">IF($A201="","",Summary!$Q$10)</f>
        <v/>
      </c>
      <c r="AH200" s="207" t="str">
        <f aca="false">IF($A201="","",IF(Summary!$R$10="Y",(VLOOKUP($A200,Summary!$AD$6:$AF$9,3)+'Escalating commodity'!F213),'Escalating commodity'!F213))</f>
        <v/>
      </c>
      <c r="AI200" s="207" t="str">
        <f aca="false">IF($A201="","",AH200)</f>
        <v/>
      </c>
      <c r="AJ200" s="208" t="e">
        <f aca="false">A200+DAY(EOMONTH(A200,0))/2-1</f>
        <v>#VALUE!</v>
      </c>
      <c r="AK200" s="209" t="str">
        <f aca="false">IF($A201="","",$A200-$E$1)</f>
        <v/>
      </c>
      <c r="AL200" s="182" t="str">
        <f aca="false">IF($A201="","",SPRDOPT(P200,X200,AI200,0,AB200,AE200,AF200,AK200,$AJ$2,0))</f>
        <v/>
      </c>
      <c r="AM200" s="211" t="str">
        <f aca="false">IF($A201="","",MAX(0,O200-W200-AI200))</f>
        <v/>
      </c>
      <c r="AN200" s="211" t="str">
        <f aca="false">IF($A201="","",AL200-AM200)</f>
        <v/>
      </c>
      <c r="AO200" s="137" t="str">
        <f aca="false">IF(A201="","",A201-A200)</f>
        <v/>
      </c>
      <c r="AP200" s="212" t="str">
        <f aca="false">IF(A201="","",CHOOSE(F$3,A201+24,A200))</f>
        <v/>
      </c>
      <c r="AQ200" s="209" t="str">
        <f aca="false">IF(A201="","",AP200-$E$1)</f>
        <v/>
      </c>
      <c r="AR200" s="185" t="n">
        <f aca="false">'ANR OK vs ML7'!AR200</f>
        <v>0.1</v>
      </c>
      <c r="AS200" s="213" t="str">
        <f aca="false">IF(A201="","",1/(1+CHOOSE(F$3,(AR201+($I$3/10000))/2,(AR200+($I$3/10000))/2))^(2*AQ200/365.25))</f>
        <v/>
      </c>
      <c r="AT200" s="137" t="str">
        <f aca="false">IF(A201="","",IF(AND(mthbeg&lt;=A200,mthend&gt;=A200),1,0))</f>
        <v/>
      </c>
      <c r="AU200" s="137" t="str">
        <f aca="false">IF(A201="","",AO200*AT200)</f>
        <v/>
      </c>
      <c r="AW200" s="195" t="str">
        <f aca="false">IF($A201="","",AL200*$E200)</f>
        <v/>
      </c>
      <c r="AX200" s="195" t="str">
        <f aca="false">IF($A201="","",AM200*$E200)</f>
        <v/>
      </c>
      <c r="AY200" s="195" t="str">
        <f aca="false">IF($A201="","",AN200*$E200)</f>
        <v/>
      </c>
      <c r="BA200" s="195" t="str">
        <f aca="false">IF($A201="","",F200*Summary!$Q$10)</f>
        <v/>
      </c>
    </row>
    <row r="201" customFormat="false" ht="12" hidden="false" customHeight="true" outlineLevel="0" collapsed="false">
      <c r="A201" s="196" t="str">
        <f aca="false">IF(A200&lt;mthend,EDATE(A200,1),"")</f>
        <v/>
      </c>
      <c r="B201" s="197" t="str">
        <f aca="false">IF(A201&lt;mthend,B200,"")</f>
        <v/>
      </c>
      <c r="C201" s="215"/>
      <c r="D201" s="197" t="str">
        <f aca="false">IF(A202&lt;&gt;"",B201+C201,"")</f>
        <v/>
      </c>
      <c r="E201" s="199" t="str">
        <f aca="false">IF(A202="","",IF(AND(AT201=1,$H$3=1),D201*AO201,IF($H$3=2,D201,"N/A")))</f>
        <v/>
      </c>
      <c r="F201" s="199" t="str">
        <f aca="false">IF(A202="","",E201*AS201)</f>
        <v/>
      </c>
      <c r="G201" s="200" t="str">
        <f aca="false">IF($A202="","",VLOOKUP($A201,Table,MATCH(G$4,Curves,0)))</f>
        <v/>
      </c>
      <c r="H201" s="201" t="str">
        <f aca="false">IF(A202="","",G201)</f>
        <v/>
      </c>
      <c r="I201" s="202"/>
      <c r="J201" s="200" t="str">
        <f aca="false">IF($A202="","",VLOOKUP($A201,Table,MATCH(J$4,Curves,0)))</f>
        <v/>
      </c>
      <c r="K201" s="201" t="str">
        <f aca="false">IF(A202="","",J201)</f>
        <v/>
      </c>
      <c r="L201" s="185" t="n">
        <v>0</v>
      </c>
      <c r="M201" s="201" t="str">
        <f aca="false">IF(A202="","",L201)</f>
        <v/>
      </c>
      <c r="N201" s="203"/>
      <c r="O201" s="200" t="str">
        <f aca="false">IF(A202="","",L201+J201+G201)</f>
        <v/>
      </c>
      <c r="P201" s="200" t="str">
        <f aca="false">IF(A202="","",M201+K201+H201)</f>
        <v/>
      </c>
      <c r="Q201" s="204"/>
      <c r="R201" s="200" t="str">
        <f aca="false">IF($A202="","",VLOOKUP($A201,Table,MATCH(R$4,Curves,0)))</f>
        <v/>
      </c>
      <c r="S201" s="201" t="str">
        <f aca="false">IF(A202="","",R201)</f>
        <v/>
      </c>
      <c r="T201" s="200" t="str">
        <f aca="false">IF($A202="","",VLOOKUP($A201,Table,MATCH(T$4,Curves,0)))</f>
        <v/>
      </c>
      <c r="U201" s="201" t="str">
        <f aca="false">IF(A202="","",T201)</f>
        <v/>
      </c>
      <c r="V201" s="205" t="str">
        <f aca="false">IF($A202="","",IF(AND(MONTH(A201)&gt;3,MONTH(A201)&lt;11),(T201+R201+G201)*Summary!$T$10/(1-Summary!$T$10),(T201+R201+G201)*Summary!$U$10/(1-Summary!$U$10)))</f>
        <v/>
      </c>
      <c r="W201" s="200" t="str">
        <f aca="false">IF($A202="","",(T201+R201+G201+V201))</f>
        <v/>
      </c>
      <c r="X201" s="200" t="str">
        <f aca="false">IF($A202="","",(U201+S201+H201+V201))</f>
        <v/>
      </c>
      <c r="Y201" s="202"/>
      <c r="Z201" s="185" t="str">
        <f aca="false">IF($A202="","",VLOOKUP($A201,Table,MATCH(Z$4,Curves,0)))</f>
        <v/>
      </c>
      <c r="AA201" s="185" t="str">
        <f aca="false">IF($A202="","",VLOOKUP($A201,Table,MATCH(AA$4,Curves,0)))</f>
        <v/>
      </c>
      <c r="AB201" s="185" t="e">
        <f aca="false">SQRT((AA201^2*(A201-$D$3)+Z201^2*(DAY(EOMONTH(A201,0))/2))/AK201)</f>
        <v>#VALUE!</v>
      </c>
      <c r="AC201" s="185" t="str">
        <f aca="false">IF($A202="","",VLOOKUP($A201,Table,MATCH(AC$4,Curves,0)))</f>
        <v/>
      </c>
      <c r="AD201" s="185" t="str">
        <f aca="false">IF($A202="","",VLOOKUP($A201,Table,MATCH(AD$4,Curves,0)))</f>
        <v/>
      </c>
      <c r="AE201" s="185" t="e">
        <f aca="false">SQRT((AD201^2*(A201-$D$3)+AC201^2*(DAY(EOMONTH(A201,0))/2))/AK201)</f>
        <v>#VALUE!</v>
      </c>
      <c r="AF201" s="224" t="e">
        <f aca="false">((Summary!$N$10*(AA201*AD201)*(A201-$D$3))+(Summary!$M$10*Z201*AC201*(AJ201-EOMONTH(EDATE(A201,-1),0))))/(AK201*AB201*AE201)</f>
        <v>#VALUE!</v>
      </c>
      <c r="AG201" s="207" t="str">
        <f aca="false">IF($A202="","",Summary!$Q$10)</f>
        <v/>
      </c>
      <c r="AH201" s="207" t="str">
        <f aca="false">IF($A202="","",IF(Summary!$R$10="Y",(VLOOKUP($A201,Summary!$AD$6:$AF$9,3)+'Escalating commodity'!F214),'Escalating commodity'!F214))</f>
        <v/>
      </c>
      <c r="AI201" s="207" t="str">
        <f aca="false">IF($A202="","",AH201)</f>
        <v/>
      </c>
      <c r="AJ201" s="208" t="e">
        <f aca="false">A201+DAY(EOMONTH(A201,0))/2-1</f>
        <v>#VALUE!</v>
      </c>
      <c r="AK201" s="209" t="str">
        <f aca="false">IF($A202="","",$A201-$E$1)</f>
        <v/>
      </c>
      <c r="AL201" s="182" t="str">
        <f aca="false">IF($A202="","",SPRDOPT(P201,X201,AI201,0,AB201,AE201,AF201,AK201,$AJ$2,0))</f>
        <v/>
      </c>
      <c r="AM201" s="211" t="str">
        <f aca="false">IF($A202="","",MAX(0,O201-W201-AI201))</f>
        <v/>
      </c>
      <c r="AN201" s="211" t="str">
        <f aca="false">IF($A202="","",AL201-AM201)</f>
        <v/>
      </c>
      <c r="AO201" s="137" t="str">
        <f aca="false">IF(A202="","",A202-A201)</f>
        <v/>
      </c>
      <c r="AP201" s="212" t="str">
        <f aca="false">IF(A202="","",CHOOSE(F$3,A202+24,A201))</f>
        <v/>
      </c>
      <c r="AQ201" s="209" t="str">
        <f aca="false">IF(A202="","",AP201-$E$1)</f>
        <v/>
      </c>
      <c r="AR201" s="185" t="n">
        <f aca="false">'ANR OK vs ML7'!AR201</f>
        <v>0.1</v>
      </c>
      <c r="AS201" s="213" t="str">
        <f aca="false">IF(A202="","",1/(1+CHOOSE(F$3,(AR202+($I$3/10000))/2,(AR201+($I$3/10000))/2))^(2*AQ201/365.25))</f>
        <v/>
      </c>
      <c r="AT201" s="137" t="str">
        <f aca="false">IF(A202="","",IF(AND(mthbeg&lt;=A201,mthend&gt;=A201),1,0))</f>
        <v/>
      </c>
      <c r="AU201" s="137" t="str">
        <f aca="false">IF(A202="","",AO201*AT201)</f>
        <v/>
      </c>
      <c r="AW201" s="195" t="str">
        <f aca="false">IF($A202="","",AL201*$E201)</f>
        <v/>
      </c>
      <c r="AX201" s="195" t="str">
        <f aca="false">IF($A202="","",AM201*$E201)</f>
        <v/>
      </c>
      <c r="AY201" s="195" t="str">
        <f aca="false">IF($A202="","",AN201*$E201)</f>
        <v/>
      </c>
      <c r="BA201" s="195" t="str">
        <f aca="false">IF($A202="","",F201*Summary!$Q$10)</f>
        <v/>
      </c>
    </row>
    <row r="202" customFormat="false" ht="12" hidden="false" customHeight="true" outlineLevel="0" collapsed="false">
      <c r="A202" s="196" t="str">
        <f aca="false">IF(A201&lt;mthend,EDATE(A201,1),"")</f>
        <v/>
      </c>
      <c r="B202" s="197" t="str">
        <f aca="false">IF(A202&lt;mthend,B201,"")</f>
        <v/>
      </c>
      <c r="C202" s="215"/>
      <c r="D202" s="197" t="str">
        <f aca="false">IF(A203&lt;&gt;"",B202+C202,"")</f>
        <v/>
      </c>
      <c r="E202" s="199" t="str">
        <f aca="false">IF(A203="","",IF(AND(AT202=1,$H$3=1),D202*AO202,IF($H$3=2,D202,"N/A")))</f>
        <v/>
      </c>
      <c r="F202" s="199" t="str">
        <f aca="false">IF(A203="","",E202*AS202)</f>
        <v/>
      </c>
      <c r="G202" s="200" t="str">
        <f aca="false">IF($A203="","",VLOOKUP($A202,Table,MATCH(G$4,Curves,0)))</f>
        <v/>
      </c>
      <c r="H202" s="201" t="str">
        <f aca="false">IF(A203="","",G202)</f>
        <v/>
      </c>
      <c r="I202" s="202"/>
      <c r="J202" s="200" t="str">
        <f aca="false">IF($A203="","",VLOOKUP($A202,Table,MATCH(J$4,Curves,0)))</f>
        <v/>
      </c>
      <c r="K202" s="201" t="str">
        <f aca="false">IF(A203="","",J202)</f>
        <v/>
      </c>
      <c r="L202" s="185" t="n">
        <v>0</v>
      </c>
      <c r="M202" s="201" t="str">
        <f aca="false">IF(A203="","",L202)</f>
        <v/>
      </c>
      <c r="N202" s="203"/>
      <c r="O202" s="200" t="str">
        <f aca="false">IF(A203="","",L202+J202+G202)</f>
        <v/>
      </c>
      <c r="P202" s="200" t="str">
        <f aca="false">IF(A203="","",M202+K202+H202)</f>
        <v/>
      </c>
      <c r="Q202" s="204"/>
      <c r="R202" s="200" t="str">
        <f aca="false">IF($A203="","",VLOOKUP($A202,Table,MATCH(R$4,Curves,0)))</f>
        <v/>
      </c>
      <c r="S202" s="201" t="str">
        <f aca="false">IF(A203="","",R202)</f>
        <v/>
      </c>
      <c r="T202" s="200" t="str">
        <f aca="false">IF($A203="","",VLOOKUP($A202,Table,MATCH(T$4,Curves,0)))</f>
        <v/>
      </c>
      <c r="U202" s="201" t="str">
        <f aca="false">IF(A203="","",T202)</f>
        <v/>
      </c>
      <c r="V202" s="205" t="str">
        <f aca="false">IF($A203="","",IF(AND(MONTH(A202)&gt;3,MONTH(A202)&lt;11),(T202+R202+G202)*Summary!$T$10/(1-Summary!$T$10),(T202+R202+G202)*Summary!$U$10/(1-Summary!$U$10)))</f>
        <v/>
      </c>
      <c r="W202" s="200" t="str">
        <f aca="false">IF($A203="","",(T202+R202+G202+V202))</f>
        <v/>
      </c>
      <c r="X202" s="200" t="str">
        <f aca="false">IF($A203="","",(U202+S202+H202+V202))</f>
        <v/>
      </c>
      <c r="Y202" s="202"/>
      <c r="Z202" s="185" t="str">
        <f aca="false">IF($A203="","",VLOOKUP($A202,Table,MATCH(Z$4,Curves,0)))</f>
        <v/>
      </c>
      <c r="AA202" s="185" t="str">
        <f aca="false">IF($A203="","",VLOOKUP($A202,Table,MATCH(AA$4,Curves,0)))</f>
        <v/>
      </c>
      <c r="AB202" s="185" t="e">
        <f aca="false">SQRT((AA202^2*(A202-$D$3)+Z202^2*(DAY(EOMONTH(A202,0))/2))/AK202)</f>
        <v>#VALUE!</v>
      </c>
      <c r="AC202" s="185" t="str">
        <f aca="false">IF($A203="","",VLOOKUP($A202,Table,MATCH(AC$4,Curves,0)))</f>
        <v/>
      </c>
      <c r="AD202" s="185" t="str">
        <f aca="false">IF($A203="","",VLOOKUP($A202,Table,MATCH(AD$4,Curves,0)))</f>
        <v/>
      </c>
      <c r="AE202" s="185" t="e">
        <f aca="false">SQRT((AD202^2*(A202-$D$3)+AC202^2*(DAY(EOMONTH(A202,0))/2))/AK202)</f>
        <v>#VALUE!</v>
      </c>
      <c r="AF202" s="224" t="e">
        <f aca="false">((Summary!$N$10*(AA202*AD202)*(A202-$D$3))+(Summary!$M$10*Z202*AC202*(AJ202-EOMONTH(EDATE(A202,-1),0))))/(AK202*AB202*AE202)</f>
        <v>#VALUE!</v>
      </c>
      <c r="AG202" s="207" t="str">
        <f aca="false">IF($A203="","",Summary!$Q$10)</f>
        <v/>
      </c>
      <c r="AH202" s="207" t="str">
        <f aca="false">IF($A203="","",IF(Summary!$R$10="Y",(VLOOKUP($A202,Summary!$AD$6:$AF$9,3)+'Escalating commodity'!F215),'Escalating commodity'!F215))</f>
        <v/>
      </c>
      <c r="AI202" s="207" t="str">
        <f aca="false">IF($A203="","",AH202)</f>
        <v/>
      </c>
      <c r="AJ202" s="208" t="e">
        <f aca="false">A202+DAY(EOMONTH(A202,0))/2-1</f>
        <v>#VALUE!</v>
      </c>
      <c r="AK202" s="209" t="str">
        <f aca="false">IF($A203="","",$A202-$E$1)</f>
        <v/>
      </c>
      <c r="AL202" s="182" t="str">
        <f aca="false">IF($A203="","",SPRDOPT(P202,X202,AI202,0,AB202,AE202,AF202,AK202,$AJ$2,0))</f>
        <v/>
      </c>
      <c r="AM202" s="211" t="str">
        <f aca="false">IF($A203="","",MAX(0,O202-W202-AI202))</f>
        <v/>
      </c>
      <c r="AN202" s="211" t="str">
        <f aca="false">IF($A203="","",AL202-AM202)</f>
        <v/>
      </c>
      <c r="AO202" s="137" t="str">
        <f aca="false">IF(A203="","",A203-A202)</f>
        <v/>
      </c>
      <c r="AP202" s="212" t="str">
        <f aca="false">IF(A203="","",CHOOSE(F$3,A203+24,A202))</f>
        <v/>
      </c>
      <c r="AQ202" s="209" t="str">
        <f aca="false">IF(A203="","",AP202-$E$1)</f>
        <v/>
      </c>
      <c r="AR202" s="185" t="n">
        <f aca="false">'ANR OK vs ML7'!AR202</f>
        <v>0.1</v>
      </c>
      <c r="AS202" s="213" t="str">
        <f aca="false">IF(A203="","",1/(1+CHOOSE(F$3,(AR203+($I$3/10000))/2,(AR202+($I$3/10000))/2))^(2*AQ202/365.25))</f>
        <v/>
      </c>
      <c r="AT202" s="137" t="str">
        <f aca="false">IF(A203="","",IF(AND(mthbeg&lt;=A202,mthend&gt;=A202),1,0))</f>
        <v/>
      </c>
      <c r="AU202" s="137" t="str">
        <f aca="false">IF(A203="","",AO202*AT202)</f>
        <v/>
      </c>
      <c r="AW202" s="195" t="str">
        <f aca="false">IF($A203="","",AL202*$E202)</f>
        <v/>
      </c>
      <c r="AX202" s="195" t="str">
        <f aca="false">IF($A203="","",AM202*$E202)</f>
        <v/>
      </c>
      <c r="AY202" s="195" t="str">
        <f aca="false">IF($A203="","",AN202*$E202)</f>
        <v/>
      </c>
      <c r="BA202" s="195" t="str">
        <f aca="false">IF($A203="","",F202*Summary!$Q$10)</f>
        <v/>
      </c>
    </row>
    <row r="203" customFormat="false" ht="12" hidden="false" customHeight="true" outlineLevel="0" collapsed="false">
      <c r="A203" s="196" t="str">
        <f aca="false">IF(A202&lt;mthend,EDATE(A202,1),"")</f>
        <v/>
      </c>
      <c r="B203" s="197" t="str">
        <f aca="false">IF(A203&lt;mthend,B202,"")</f>
        <v/>
      </c>
      <c r="C203" s="215"/>
      <c r="D203" s="197" t="str">
        <f aca="false">IF(A204&lt;&gt;"",B203+C203,"")</f>
        <v/>
      </c>
      <c r="E203" s="199" t="str">
        <f aca="false">IF(A204="","",IF(AND(AT203=1,$H$3=1),D203*AO203,IF($H$3=2,D203,"N/A")))</f>
        <v/>
      </c>
      <c r="F203" s="199" t="str">
        <f aca="false">IF(A204="","",E203*AS203)</f>
        <v/>
      </c>
      <c r="G203" s="200" t="str">
        <f aca="false">IF($A204="","",VLOOKUP($A203,Table,MATCH(G$4,Curves,0)))</f>
        <v/>
      </c>
      <c r="H203" s="201" t="str">
        <f aca="false">IF(A204="","",G203)</f>
        <v/>
      </c>
      <c r="I203" s="202"/>
      <c r="J203" s="200" t="str">
        <f aca="false">IF($A204="","",VLOOKUP($A203,Table,MATCH(J$4,Curves,0)))</f>
        <v/>
      </c>
      <c r="K203" s="201" t="str">
        <f aca="false">IF(A204="","",J203)</f>
        <v/>
      </c>
      <c r="L203" s="185" t="n">
        <v>0</v>
      </c>
      <c r="M203" s="201" t="str">
        <f aca="false">IF(A204="","",L203)</f>
        <v/>
      </c>
      <c r="N203" s="203"/>
      <c r="O203" s="200" t="str">
        <f aca="false">IF(A204="","",L203+J203+G203)</f>
        <v/>
      </c>
      <c r="P203" s="200" t="str">
        <f aca="false">IF(A204="","",M203+K203+H203)</f>
        <v/>
      </c>
      <c r="Q203" s="204"/>
      <c r="R203" s="200" t="str">
        <f aca="false">IF($A204="","",VLOOKUP($A203,Table,MATCH(R$4,Curves,0)))</f>
        <v/>
      </c>
      <c r="S203" s="201" t="str">
        <f aca="false">IF(A204="","",R203)</f>
        <v/>
      </c>
      <c r="T203" s="200" t="str">
        <f aca="false">IF($A204="","",VLOOKUP($A203,Table,MATCH(T$4,Curves,0)))</f>
        <v/>
      </c>
      <c r="U203" s="201" t="str">
        <f aca="false">IF(A204="","",T203)</f>
        <v/>
      </c>
      <c r="V203" s="205" t="str">
        <f aca="false">IF($A204="","",IF(AND(MONTH(A203)&gt;3,MONTH(A203)&lt;11),(T203+R203+G203)*Summary!$T$10/(1-Summary!$T$10),(T203+R203+G203)*Summary!$U$10/(1-Summary!$U$10)))</f>
        <v/>
      </c>
      <c r="W203" s="200" t="str">
        <f aca="false">IF($A204="","",(T203+R203+G203+V203))</f>
        <v/>
      </c>
      <c r="X203" s="200" t="str">
        <f aca="false">IF($A204="","",(U203+S203+H203+V203))</f>
        <v/>
      </c>
      <c r="Y203" s="202"/>
      <c r="Z203" s="185" t="str">
        <f aca="false">IF($A204="","",VLOOKUP($A203,Table,MATCH(Z$4,Curves,0)))</f>
        <v/>
      </c>
      <c r="AA203" s="185" t="str">
        <f aca="false">IF($A204="","",VLOOKUP($A203,Table,MATCH(AA$4,Curves,0)))</f>
        <v/>
      </c>
      <c r="AB203" s="185" t="e">
        <f aca="false">SQRT((AA203^2*(A203-$D$3)+Z203^2*(DAY(EOMONTH(A203,0))/2))/AK203)</f>
        <v>#VALUE!</v>
      </c>
      <c r="AC203" s="185" t="str">
        <f aca="false">IF($A204="","",VLOOKUP($A203,Table,MATCH(AC$4,Curves,0)))</f>
        <v/>
      </c>
      <c r="AD203" s="185" t="str">
        <f aca="false">IF($A204="","",VLOOKUP($A203,Table,MATCH(AD$4,Curves,0)))</f>
        <v/>
      </c>
      <c r="AE203" s="185" t="e">
        <f aca="false">SQRT((AD203^2*(A203-$D$3)+AC203^2*(DAY(EOMONTH(A203,0))/2))/AK203)</f>
        <v>#VALUE!</v>
      </c>
      <c r="AF203" s="224" t="e">
        <f aca="false">((Summary!$N$10*(AA203*AD203)*(A203-$D$3))+(Summary!$M$10*Z203*AC203*(AJ203-EOMONTH(EDATE(A203,-1),0))))/(AK203*AB203*AE203)</f>
        <v>#VALUE!</v>
      </c>
      <c r="AG203" s="207" t="str">
        <f aca="false">IF($A204="","",Summary!$Q$10)</f>
        <v/>
      </c>
      <c r="AH203" s="207" t="str">
        <f aca="false">IF($A204="","",IF(Summary!$R$10="Y",(VLOOKUP($A203,Summary!$AD$6:$AF$9,3)+'Escalating commodity'!F216),'Escalating commodity'!F216))</f>
        <v/>
      </c>
      <c r="AI203" s="207" t="str">
        <f aca="false">IF($A204="","",AH203)</f>
        <v/>
      </c>
      <c r="AJ203" s="208" t="e">
        <f aca="false">A203+DAY(EOMONTH(A203,0))/2-1</f>
        <v>#VALUE!</v>
      </c>
      <c r="AK203" s="209" t="str">
        <f aca="false">IF($A204="","",$A203-$E$1)</f>
        <v/>
      </c>
      <c r="AL203" s="182" t="str">
        <f aca="false">IF($A204="","",SPRDOPT(P203,X203,AI203,0,AB203,AE203,AF203,AK203,$AJ$2,0))</f>
        <v/>
      </c>
      <c r="AM203" s="211" t="str">
        <f aca="false">IF($A204="","",MAX(0,O203-W203-AI203))</f>
        <v/>
      </c>
      <c r="AN203" s="211" t="str">
        <f aca="false">IF($A204="","",AL203-AM203)</f>
        <v/>
      </c>
      <c r="AO203" s="137" t="str">
        <f aca="false">IF(A204="","",A204-A203)</f>
        <v/>
      </c>
      <c r="AP203" s="212" t="str">
        <f aca="false">IF(A204="","",CHOOSE(F$3,A204+24,A203))</f>
        <v/>
      </c>
      <c r="AQ203" s="209" t="str">
        <f aca="false">IF(A204="","",AP203-$E$1)</f>
        <v/>
      </c>
      <c r="AR203" s="185" t="n">
        <f aca="false">'ANR OK vs ML7'!AR203</f>
        <v>0.1</v>
      </c>
      <c r="AS203" s="213" t="str">
        <f aca="false">IF(A204="","",1/(1+CHOOSE(F$3,(AR204+($I$3/10000))/2,(AR203+($I$3/10000))/2))^(2*AQ203/365.25))</f>
        <v/>
      </c>
      <c r="AT203" s="137" t="str">
        <f aca="false">IF(A204="","",IF(AND(mthbeg&lt;=A203,mthend&gt;=A203),1,0))</f>
        <v/>
      </c>
      <c r="AU203" s="137" t="str">
        <f aca="false">IF(A204="","",AO203*AT203)</f>
        <v/>
      </c>
      <c r="AW203" s="195" t="str">
        <f aca="false">IF($A204="","",AL203*$E203)</f>
        <v/>
      </c>
      <c r="AX203" s="195" t="str">
        <f aca="false">IF($A204="","",AM203*$E203)</f>
        <v/>
      </c>
      <c r="AY203" s="195" t="str">
        <f aca="false">IF($A204="","",AN203*$E203)</f>
        <v/>
      </c>
      <c r="BA203" s="195" t="str">
        <f aca="false">IF($A204="","",F203*Summary!$Q$10)</f>
        <v/>
      </c>
    </row>
    <row r="204" customFormat="false" ht="12" hidden="false" customHeight="true" outlineLevel="0" collapsed="false">
      <c r="A204" s="196" t="str">
        <f aca="false">IF(A203&lt;mthend,EDATE(A203,1),"")</f>
        <v/>
      </c>
      <c r="B204" s="197" t="str">
        <f aca="false">IF(A204&lt;mthend,B203,"")</f>
        <v/>
      </c>
      <c r="C204" s="215"/>
      <c r="D204" s="197" t="str">
        <f aca="false">IF(A205&lt;&gt;"",B204+C204,"")</f>
        <v/>
      </c>
      <c r="E204" s="199" t="str">
        <f aca="false">IF(A205="","",IF(AND(AT204=1,$H$3=1),D204*AO204,IF($H$3=2,D204,"N/A")))</f>
        <v/>
      </c>
      <c r="F204" s="199" t="str">
        <f aca="false">IF(A205="","",E204*AS204)</f>
        <v/>
      </c>
      <c r="G204" s="200" t="str">
        <f aca="false">IF($A205="","",VLOOKUP($A204,Table,MATCH(G$4,Curves,0)))</f>
        <v/>
      </c>
      <c r="H204" s="201" t="str">
        <f aca="false">IF(A205="","",G204)</f>
        <v/>
      </c>
      <c r="I204" s="202"/>
      <c r="J204" s="200" t="str">
        <f aca="false">IF($A205="","",VLOOKUP($A204,Table,MATCH(J$4,Curves,0)))</f>
        <v/>
      </c>
      <c r="K204" s="201" t="str">
        <f aca="false">IF(A205="","",J204)</f>
        <v/>
      </c>
      <c r="L204" s="185" t="n">
        <v>0</v>
      </c>
      <c r="M204" s="201" t="str">
        <f aca="false">IF(A205="","",L204)</f>
        <v/>
      </c>
      <c r="N204" s="203"/>
      <c r="O204" s="200" t="str">
        <f aca="false">IF(A205="","",L204+J204+G204)</f>
        <v/>
      </c>
      <c r="P204" s="200" t="str">
        <f aca="false">IF(A205="","",M204+K204+H204)</f>
        <v/>
      </c>
      <c r="Q204" s="204"/>
      <c r="R204" s="200" t="str">
        <f aca="false">IF($A205="","",VLOOKUP($A204,Table,MATCH(R$4,Curves,0)))</f>
        <v/>
      </c>
      <c r="S204" s="201" t="str">
        <f aca="false">IF(A205="","",R204)</f>
        <v/>
      </c>
      <c r="T204" s="200" t="str">
        <f aca="false">IF($A205="","",VLOOKUP($A204,Table,MATCH(T$4,Curves,0)))</f>
        <v/>
      </c>
      <c r="U204" s="201" t="str">
        <f aca="false">IF(A205="","",T204)</f>
        <v/>
      </c>
      <c r="V204" s="205" t="str">
        <f aca="false">IF($A205="","",IF(AND(MONTH(A204)&gt;3,MONTH(A204)&lt;11),(T204+R204+G204)*Summary!$T$10/(1-Summary!$T$10),(T204+R204+G204)*Summary!$U$10/(1-Summary!$U$10)))</f>
        <v/>
      </c>
      <c r="W204" s="200" t="str">
        <f aca="false">IF($A205="","",(T204+R204+G204+V204))</f>
        <v/>
      </c>
      <c r="X204" s="200" t="str">
        <f aca="false">IF($A205="","",(U204+S204+H204+V204))</f>
        <v/>
      </c>
      <c r="Y204" s="202"/>
      <c r="Z204" s="185" t="str">
        <f aca="false">IF($A205="","",VLOOKUP($A204,Table,MATCH(Z$4,Curves,0)))</f>
        <v/>
      </c>
      <c r="AA204" s="185" t="str">
        <f aca="false">IF($A205="","",VLOOKUP($A204,Table,MATCH(AA$4,Curves,0)))</f>
        <v/>
      </c>
      <c r="AB204" s="185" t="e">
        <f aca="false">SQRT((AA204^2*(A204-$D$3)+Z204^2*(DAY(EOMONTH(A204,0))/2))/AK204)</f>
        <v>#VALUE!</v>
      </c>
      <c r="AC204" s="185" t="str">
        <f aca="false">IF($A205="","",VLOOKUP($A204,Table,MATCH(AC$4,Curves,0)))</f>
        <v/>
      </c>
      <c r="AD204" s="185" t="str">
        <f aca="false">IF($A205="","",VLOOKUP($A204,Table,MATCH(AD$4,Curves,0)))</f>
        <v/>
      </c>
      <c r="AE204" s="185" t="e">
        <f aca="false">SQRT((AD204^2*(A204-$D$3)+AC204^2*(DAY(EOMONTH(A204,0))/2))/AK204)</f>
        <v>#VALUE!</v>
      </c>
      <c r="AF204" s="224" t="e">
        <f aca="false">((Summary!$N$10*(AA204*AD204)*(A204-$D$3))+(Summary!$M$10*Z204*AC204*(AJ204-EOMONTH(EDATE(A204,-1),0))))/(AK204*AB204*AE204)</f>
        <v>#VALUE!</v>
      </c>
      <c r="AG204" s="207" t="str">
        <f aca="false">IF($A205="","",Summary!$Q$10)</f>
        <v/>
      </c>
      <c r="AH204" s="207" t="str">
        <f aca="false">IF($A205="","",IF(Summary!$R$10="Y",(VLOOKUP($A204,Summary!$AD$6:$AF$9,3)+'Escalating commodity'!F217),'Escalating commodity'!F217))</f>
        <v/>
      </c>
      <c r="AI204" s="207" t="str">
        <f aca="false">IF($A205="","",AH204)</f>
        <v/>
      </c>
      <c r="AJ204" s="208" t="e">
        <f aca="false">A204+DAY(EOMONTH(A204,0))/2-1</f>
        <v>#VALUE!</v>
      </c>
      <c r="AK204" s="209" t="str">
        <f aca="false">IF($A205="","",$A204-$E$1)</f>
        <v/>
      </c>
      <c r="AL204" s="182" t="str">
        <f aca="false">IF($A205="","",SPRDOPT(P204,X204,AI204,0,AB204,AE204,AF204,AK204,$AJ$2,0))</f>
        <v/>
      </c>
      <c r="AM204" s="211" t="str">
        <f aca="false">IF($A205="","",MAX(0,O204-W204-AI204))</f>
        <v/>
      </c>
      <c r="AN204" s="211" t="str">
        <f aca="false">IF($A205="","",AL204-AM204)</f>
        <v/>
      </c>
      <c r="AO204" s="137" t="str">
        <f aca="false">IF(A205="","",A205-A204)</f>
        <v/>
      </c>
      <c r="AP204" s="212" t="str">
        <f aca="false">IF(A205="","",CHOOSE(F$3,A205+24,A204))</f>
        <v/>
      </c>
      <c r="AQ204" s="209" t="str">
        <f aca="false">IF(A205="","",AP204-$E$1)</f>
        <v/>
      </c>
      <c r="AR204" s="185" t="n">
        <f aca="false">'ANR OK vs ML7'!AR204</f>
        <v>0.1</v>
      </c>
      <c r="AS204" s="213" t="str">
        <f aca="false">IF(A205="","",1/(1+CHOOSE(F$3,(AR205+($I$3/10000))/2,(AR204+($I$3/10000))/2))^(2*AQ204/365.25))</f>
        <v/>
      </c>
      <c r="AT204" s="137" t="str">
        <f aca="false">IF(A205="","",IF(AND(mthbeg&lt;=A204,mthend&gt;=A204),1,0))</f>
        <v/>
      </c>
      <c r="AU204" s="137" t="str">
        <f aca="false">IF(A205="","",AO204*AT204)</f>
        <v/>
      </c>
      <c r="AW204" s="195" t="str">
        <f aca="false">IF($A205="","",AL204*$E204)</f>
        <v/>
      </c>
      <c r="AX204" s="195" t="str">
        <f aca="false">IF($A205="","",AM204*$E204)</f>
        <v/>
      </c>
      <c r="AY204" s="195" t="str">
        <f aca="false">IF($A205="","",AN204*$E204)</f>
        <v/>
      </c>
      <c r="BA204" s="195" t="str">
        <f aca="false">IF($A205="","",F204*Summary!$Q$10)</f>
        <v/>
      </c>
    </row>
    <row r="205" customFormat="false" ht="12" hidden="false" customHeight="true" outlineLevel="0" collapsed="false">
      <c r="A205" s="196" t="str">
        <f aca="false">IF(A204&lt;mthend,EDATE(A204,1),"")</f>
        <v/>
      </c>
      <c r="B205" s="197" t="str">
        <f aca="false">IF(A205&lt;mthend,B204,"")</f>
        <v/>
      </c>
      <c r="C205" s="215"/>
      <c r="D205" s="197" t="str">
        <f aca="false">IF(A206&lt;&gt;"",B205+C205,"")</f>
        <v/>
      </c>
      <c r="E205" s="199" t="str">
        <f aca="false">IF(A206="","",IF(AND(AT205=1,$H$3=1),D205*AO205,IF($H$3=2,D205,"N/A")))</f>
        <v/>
      </c>
      <c r="F205" s="199" t="str">
        <f aca="false">IF(A206="","",E205*AS205)</f>
        <v/>
      </c>
      <c r="G205" s="200" t="str">
        <f aca="false">IF($A206="","",VLOOKUP($A205,Table,MATCH(G$4,Curves,0)))</f>
        <v/>
      </c>
      <c r="H205" s="201" t="str">
        <f aca="false">IF(A206="","",G205)</f>
        <v/>
      </c>
      <c r="I205" s="202"/>
      <c r="J205" s="200" t="str">
        <f aca="false">IF($A206="","",VLOOKUP($A205,Table,MATCH(J$4,Curves,0)))</f>
        <v/>
      </c>
      <c r="K205" s="201" t="str">
        <f aca="false">IF(A206="","",J205)</f>
        <v/>
      </c>
      <c r="L205" s="185" t="n">
        <v>0</v>
      </c>
      <c r="M205" s="201" t="str">
        <f aca="false">IF(A206="","",L205)</f>
        <v/>
      </c>
      <c r="N205" s="203"/>
      <c r="O205" s="200" t="str">
        <f aca="false">IF(A206="","",L205+J205+G205)</f>
        <v/>
      </c>
      <c r="P205" s="200" t="str">
        <f aca="false">IF(A206="","",M205+K205+H205)</f>
        <v/>
      </c>
      <c r="Q205" s="204"/>
      <c r="R205" s="200" t="str">
        <f aca="false">IF($A206="","",VLOOKUP($A205,Table,MATCH(R$4,Curves,0)))</f>
        <v/>
      </c>
      <c r="S205" s="201" t="str">
        <f aca="false">IF(A206="","",R205)</f>
        <v/>
      </c>
      <c r="T205" s="200" t="str">
        <f aca="false">IF($A206="","",VLOOKUP($A205,Table,MATCH(T$4,Curves,0)))</f>
        <v/>
      </c>
      <c r="U205" s="201" t="str">
        <f aca="false">IF(A206="","",T205)</f>
        <v/>
      </c>
      <c r="V205" s="205" t="str">
        <f aca="false">IF($A206="","",IF(AND(MONTH(A205)&gt;3,MONTH(A205)&lt;11),(T205+R205+G205)*Summary!$T$10/(1-Summary!$T$10),(T205+R205+G205)*Summary!$U$10/(1-Summary!$U$10)))</f>
        <v/>
      </c>
      <c r="W205" s="200" t="str">
        <f aca="false">IF($A206="","",(T205+R205+G205+V205))</f>
        <v/>
      </c>
      <c r="X205" s="200" t="str">
        <f aca="false">IF($A206="","",(U205+S205+H205+V205))</f>
        <v/>
      </c>
      <c r="Y205" s="202"/>
      <c r="Z205" s="185" t="str">
        <f aca="false">IF($A206="","",VLOOKUP($A205,Table,MATCH(Z$4,Curves,0)))</f>
        <v/>
      </c>
      <c r="AA205" s="185" t="str">
        <f aca="false">IF($A206="","",VLOOKUP($A205,Table,MATCH(AA$4,Curves,0)))</f>
        <v/>
      </c>
      <c r="AB205" s="185" t="e">
        <f aca="false">SQRT((AA205^2*(A205-$D$3)+Z205^2*(DAY(EOMONTH(A205,0))/2))/AK205)</f>
        <v>#VALUE!</v>
      </c>
      <c r="AC205" s="185" t="str">
        <f aca="false">IF($A206="","",VLOOKUP($A205,Table,MATCH(AC$4,Curves,0)))</f>
        <v/>
      </c>
      <c r="AD205" s="185" t="str">
        <f aca="false">IF($A206="","",VLOOKUP($A205,Table,MATCH(AD$4,Curves,0)))</f>
        <v/>
      </c>
      <c r="AE205" s="185" t="e">
        <f aca="false">SQRT((AD205^2*(A205-$D$3)+AC205^2*(DAY(EOMONTH(A205,0))/2))/AK205)</f>
        <v>#VALUE!</v>
      </c>
      <c r="AF205" s="224" t="e">
        <f aca="false">((Summary!$N$10*(AA205*AD205)*(A205-$D$3))+(Summary!$M$10*Z205*AC205*(AJ205-EOMONTH(EDATE(A205,-1),0))))/(AK205*AB205*AE205)</f>
        <v>#VALUE!</v>
      </c>
      <c r="AG205" s="207" t="str">
        <f aca="false">IF($A206="","",Summary!$Q$10)</f>
        <v/>
      </c>
      <c r="AH205" s="207" t="str">
        <f aca="false">IF($A206="","",IF(Summary!$R$10="Y",(VLOOKUP($A205,Summary!$AD$6:$AF$9,3)+'Escalating commodity'!F218),'Escalating commodity'!F218))</f>
        <v/>
      </c>
      <c r="AI205" s="207" t="str">
        <f aca="false">IF($A206="","",AH205)</f>
        <v/>
      </c>
      <c r="AJ205" s="208" t="e">
        <f aca="false">A205+DAY(EOMONTH(A205,0))/2-1</f>
        <v>#VALUE!</v>
      </c>
      <c r="AK205" s="209" t="str">
        <f aca="false">IF($A206="","",$A205-$E$1)</f>
        <v/>
      </c>
      <c r="AL205" s="182" t="str">
        <f aca="false">IF($A206="","",SPRDOPT(P205,X205,AI205,0,AB205,AE205,AF205,AK205,$AJ$2,0))</f>
        <v/>
      </c>
      <c r="AM205" s="211" t="str">
        <f aca="false">IF($A206="","",MAX(0,O205-W205-AI205))</f>
        <v/>
      </c>
      <c r="AN205" s="211" t="str">
        <f aca="false">IF($A206="","",AL205-AM205)</f>
        <v/>
      </c>
      <c r="AO205" s="137" t="str">
        <f aca="false">IF(A206="","",A206-A205)</f>
        <v/>
      </c>
      <c r="AP205" s="212" t="str">
        <f aca="false">IF(A206="","",CHOOSE(F$3,A206+24,A205))</f>
        <v/>
      </c>
      <c r="AQ205" s="209" t="str">
        <f aca="false">IF(A206="","",AP205-$E$1)</f>
        <v/>
      </c>
      <c r="AR205" s="185" t="n">
        <f aca="false">'ANR OK vs ML7'!AR205</f>
        <v>0.1</v>
      </c>
      <c r="AS205" s="213" t="str">
        <f aca="false">IF(A206="","",1/(1+CHOOSE(F$3,(AR206+($I$3/10000))/2,(AR205+($I$3/10000))/2))^(2*AQ205/365.25))</f>
        <v/>
      </c>
      <c r="AT205" s="137" t="str">
        <f aca="false">IF(A206="","",IF(AND(mthbeg&lt;=A205,mthend&gt;=A205),1,0))</f>
        <v/>
      </c>
      <c r="AU205" s="137" t="str">
        <f aca="false">IF(A206="","",AO205*AT205)</f>
        <v/>
      </c>
      <c r="AW205" s="195" t="str">
        <f aca="false">IF($A206="","",AL205*$E205)</f>
        <v/>
      </c>
      <c r="AX205" s="195" t="str">
        <f aca="false">IF($A206="","",AM205*$E205)</f>
        <v/>
      </c>
      <c r="AY205" s="195" t="str">
        <f aca="false">IF($A206="","",AN205*$E205)</f>
        <v/>
      </c>
      <c r="BA205" s="195" t="str">
        <f aca="false">IF($A206="","",F205*Summary!$Q$10)</f>
        <v/>
      </c>
    </row>
    <row r="206" customFormat="false" ht="12" hidden="false" customHeight="true" outlineLevel="0" collapsed="false">
      <c r="A206" s="196" t="str">
        <f aca="false">IF(A205&lt;mthend,EDATE(A205,1),"")</f>
        <v/>
      </c>
      <c r="B206" s="197" t="str">
        <f aca="false">IF(A206&lt;mthend,B205,"")</f>
        <v/>
      </c>
      <c r="C206" s="215"/>
      <c r="D206" s="197" t="str">
        <f aca="false">IF(A207&lt;&gt;"",B206+C206,"")</f>
        <v/>
      </c>
      <c r="E206" s="199" t="str">
        <f aca="false">IF(A207="","",IF(AND(AT206=1,$H$3=1),D206*AO206,IF($H$3=2,D206,"N/A")))</f>
        <v/>
      </c>
      <c r="F206" s="199" t="str">
        <f aca="false">IF(A207="","",E206*AS206)</f>
        <v/>
      </c>
      <c r="G206" s="200" t="str">
        <f aca="false">IF($A207="","",VLOOKUP($A206,Table,MATCH(G$4,Curves,0)))</f>
        <v/>
      </c>
      <c r="H206" s="201" t="str">
        <f aca="false">IF(A207="","",G206)</f>
        <v/>
      </c>
      <c r="I206" s="202"/>
      <c r="J206" s="200" t="str">
        <f aca="false">IF($A207="","",VLOOKUP($A206,Table,MATCH(J$4,Curves,0)))</f>
        <v/>
      </c>
      <c r="K206" s="201" t="str">
        <f aca="false">IF(A207="","",J206)</f>
        <v/>
      </c>
      <c r="L206" s="185" t="n">
        <v>0</v>
      </c>
      <c r="M206" s="201" t="str">
        <f aca="false">IF(A207="","",L206)</f>
        <v/>
      </c>
      <c r="N206" s="203"/>
      <c r="O206" s="200" t="str">
        <f aca="false">IF(A207="","",L206+J206+G206)</f>
        <v/>
      </c>
      <c r="P206" s="200" t="str">
        <f aca="false">IF(A207="","",M206+K206+H206)</f>
        <v/>
      </c>
      <c r="Q206" s="204"/>
      <c r="R206" s="200" t="str">
        <f aca="false">IF($A207="","",VLOOKUP($A206,Table,MATCH(R$4,Curves,0)))</f>
        <v/>
      </c>
      <c r="S206" s="201" t="str">
        <f aca="false">IF(A207="","",R206)</f>
        <v/>
      </c>
      <c r="T206" s="200" t="str">
        <f aca="false">IF($A207="","",VLOOKUP($A206,Table,MATCH(T$4,Curves,0)))</f>
        <v/>
      </c>
      <c r="U206" s="201" t="str">
        <f aca="false">IF(A207="","",T206)</f>
        <v/>
      </c>
      <c r="V206" s="205" t="str">
        <f aca="false">IF($A207="","",IF(AND(MONTH(A206)&gt;3,MONTH(A206)&lt;11),(T206+R206+G206)*Summary!$T$10/(1-Summary!$T$10),(T206+R206+G206)*Summary!$U$10/(1-Summary!$U$10)))</f>
        <v/>
      </c>
      <c r="W206" s="200" t="str">
        <f aca="false">IF($A207="","",(T206+R206+G206+V206))</f>
        <v/>
      </c>
      <c r="X206" s="200" t="str">
        <f aca="false">IF($A207="","",(U206+S206+H206+V206))</f>
        <v/>
      </c>
      <c r="Y206" s="202"/>
      <c r="Z206" s="185" t="str">
        <f aca="false">IF($A207="","",VLOOKUP($A206,Table,MATCH(Z$4,Curves,0)))</f>
        <v/>
      </c>
      <c r="AA206" s="185" t="str">
        <f aca="false">IF($A207="","",VLOOKUP($A206,Table,MATCH(AA$4,Curves,0)))</f>
        <v/>
      </c>
      <c r="AB206" s="185" t="e">
        <f aca="false">SQRT((AA206^2*(A206-$D$3)+Z206^2*(DAY(EOMONTH(A206,0))/2))/AK206)</f>
        <v>#VALUE!</v>
      </c>
      <c r="AC206" s="185" t="str">
        <f aca="false">IF($A207="","",VLOOKUP($A206,Table,MATCH(AC$4,Curves,0)))</f>
        <v/>
      </c>
      <c r="AD206" s="185" t="str">
        <f aca="false">IF($A207="","",VLOOKUP($A206,Table,MATCH(AD$4,Curves,0)))</f>
        <v/>
      </c>
      <c r="AE206" s="185" t="e">
        <f aca="false">SQRT((AD206^2*(A206-$D$3)+AC206^2*(DAY(EOMONTH(A206,0))/2))/AK206)</f>
        <v>#VALUE!</v>
      </c>
      <c r="AF206" s="224" t="e">
        <f aca="false">((Summary!$N$10*(AA206*AD206)*(A206-$D$3))+(Summary!$M$10*Z206*AC206*(AJ206-EOMONTH(EDATE(A206,-1),0))))/(AK206*AB206*AE206)</f>
        <v>#VALUE!</v>
      </c>
      <c r="AG206" s="207" t="str">
        <f aca="false">IF($A207="","",Summary!$Q$10)</f>
        <v/>
      </c>
      <c r="AH206" s="207" t="str">
        <f aca="false">IF($A207="","",IF(Summary!$R$10="Y",(VLOOKUP($A206,Summary!$AD$6:$AF$9,3)+'Escalating commodity'!F219),'Escalating commodity'!F219))</f>
        <v/>
      </c>
      <c r="AI206" s="207" t="str">
        <f aca="false">IF($A207="","",AH206)</f>
        <v/>
      </c>
      <c r="AJ206" s="208" t="e">
        <f aca="false">A206+DAY(EOMONTH(A206,0))/2-1</f>
        <v>#VALUE!</v>
      </c>
      <c r="AK206" s="209" t="str">
        <f aca="false">IF($A207="","",$A206-$E$1)</f>
        <v/>
      </c>
      <c r="AL206" s="182" t="str">
        <f aca="false">IF($A207="","",SPRDOPT(P206,X206,AI206,0,AB206,AE206,AF206,AK206,$AJ$2,0))</f>
        <v/>
      </c>
      <c r="AM206" s="211" t="str">
        <f aca="false">IF($A207="","",MAX(0,O206-W206-AI206))</f>
        <v/>
      </c>
      <c r="AN206" s="211" t="str">
        <f aca="false">IF($A207="","",AL206-AM206)</f>
        <v/>
      </c>
      <c r="AO206" s="137" t="str">
        <f aca="false">IF(A207="","",A207-A206)</f>
        <v/>
      </c>
      <c r="AP206" s="212" t="str">
        <f aca="false">IF(A207="","",CHOOSE(F$3,A207+24,A206))</f>
        <v/>
      </c>
      <c r="AQ206" s="209" t="str">
        <f aca="false">IF(A207="","",AP206-$E$1)</f>
        <v/>
      </c>
      <c r="AR206" s="185" t="n">
        <f aca="false">'ANR OK vs ML7'!AR206</f>
        <v>0.1</v>
      </c>
      <c r="AS206" s="213" t="str">
        <f aca="false">IF(A207="","",1/(1+CHOOSE(F$3,(AR207+($I$3/10000))/2,(AR206+($I$3/10000))/2))^(2*AQ206/365.25))</f>
        <v/>
      </c>
      <c r="AT206" s="137" t="str">
        <f aca="false">IF(A207="","",IF(AND(mthbeg&lt;=A206,mthend&gt;=A206),1,0))</f>
        <v/>
      </c>
      <c r="AU206" s="137" t="str">
        <f aca="false">IF(A207="","",AO206*AT206)</f>
        <v/>
      </c>
      <c r="AW206" s="195" t="str">
        <f aca="false">IF($A207="","",AL206*$E206)</f>
        <v/>
      </c>
      <c r="AX206" s="195" t="str">
        <f aca="false">IF($A207="","",AM206*$E206)</f>
        <v/>
      </c>
      <c r="AY206" s="195" t="str">
        <f aca="false">IF($A207="","",AN206*$E206)</f>
        <v/>
      </c>
      <c r="BA206" s="195" t="str">
        <f aca="false">IF($A207="","",F206*Summary!$Q$10)</f>
        <v/>
      </c>
    </row>
    <row r="207" customFormat="false" ht="12" hidden="false" customHeight="true" outlineLevel="0" collapsed="false">
      <c r="A207" s="196" t="str">
        <f aca="false">IF(A206&lt;mthend,EDATE(A206,1),"")</f>
        <v/>
      </c>
      <c r="B207" s="197" t="str">
        <f aca="false">IF(A207&lt;mthend,B206,"")</f>
        <v/>
      </c>
      <c r="C207" s="215"/>
      <c r="D207" s="197" t="str">
        <f aca="false">IF(A208&lt;&gt;"",B207+C207,"")</f>
        <v/>
      </c>
      <c r="E207" s="199" t="str">
        <f aca="false">IF(A208="","",IF(AND(AT207=1,$H$3=1),D207*AO207,IF($H$3=2,D207,"N/A")))</f>
        <v/>
      </c>
      <c r="F207" s="199" t="str">
        <f aca="false">IF(A208="","",E207*AS207)</f>
        <v/>
      </c>
      <c r="G207" s="200" t="str">
        <f aca="false">IF($A208="","",VLOOKUP($A207,Table,MATCH(G$4,Curves,0)))</f>
        <v/>
      </c>
      <c r="H207" s="201" t="str">
        <f aca="false">IF(A208="","",G207)</f>
        <v/>
      </c>
      <c r="I207" s="202"/>
      <c r="J207" s="200" t="str">
        <f aca="false">IF($A208="","",VLOOKUP($A207,Table,MATCH(J$4,Curves,0)))</f>
        <v/>
      </c>
      <c r="K207" s="201" t="str">
        <f aca="false">IF(A208="","",J207)</f>
        <v/>
      </c>
      <c r="L207" s="185" t="n">
        <v>0</v>
      </c>
      <c r="M207" s="201" t="str">
        <f aca="false">IF(A208="","",L207)</f>
        <v/>
      </c>
      <c r="N207" s="203"/>
      <c r="O207" s="200" t="str">
        <f aca="false">IF(A208="","",L207+J207+G207)</f>
        <v/>
      </c>
      <c r="P207" s="200" t="str">
        <f aca="false">IF(A208="","",M207+K207+H207)</f>
        <v/>
      </c>
      <c r="Q207" s="204"/>
      <c r="R207" s="200" t="str">
        <f aca="false">IF($A208="","",VLOOKUP($A207,Table,MATCH(R$4,Curves,0)))</f>
        <v/>
      </c>
      <c r="S207" s="201" t="str">
        <f aca="false">IF(A208="","",R207)</f>
        <v/>
      </c>
      <c r="T207" s="200" t="str">
        <f aca="false">IF($A208="","",VLOOKUP($A207,Table,MATCH(T$4,Curves,0)))</f>
        <v/>
      </c>
      <c r="U207" s="201" t="str">
        <f aca="false">IF(A208="","",T207)</f>
        <v/>
      </c>
      <c r="V207" s="205" t="str">
        <f aca="false">IF($A208="","",IF(AND(MONTH(A207)&gt;3,MONTH(A207)&lt;11),(T207+R207+G207)*Summary!$T$10/(1-Summary!$T$10),(T207+R207+G207)*Summary!$U$10/(1-Summary!$U$10)))</f>
        <v/>
      </c>
      <c r="W207" s="200" t="str">
        <f aca="false">IF($A208="","",(T207+R207+G207+V207))</f>
        <v/>
      </c>
      <c r="X207" s="200" t="str">
        <f aca="false">IF($A208="","",(U207+S207+H207+V207))</f>
        <v/>
      </c>
      <c r="Y207" s="202"/>
      <c r="Z207" s="185" t="str">
        <f aca="false">IF($A208="","",VLOOKUP($A207,Table,MATCH(Z$4,Curves,0)))</f>
        <v/>
      </c>
      <c r="AA207" s="185" t="str">
        <f aca="false">IF($A208="","",VLOOKUP($A207,Table,MATCH(AA$4,Curves,0)))</f>
        <v/>
      </c>
      <c r="AB207" s="185" t="e">
        <f aca="false">SQRT((AA207^2*(A207-$D$3)+Z207^2*(DAY(EOMONTH(A207,0))/2))/AK207)</f>
        <v>#VALUE!</v>
      </c>
      <c r="AC207" s="185" t="str">
        <f aca="false">IF($A208="","",VLOOKUP($A207,Table,MATCH(AC$4,Curves,0)))</f>
        <v/>
      </c>
      <c r="AD207" s="185" t="str">
        <f aca="false">IF($A208="","",VLOOKUP($A207,Table,MATCH(AD$4,Curves,0)))</f>
        <v/>
      </c>
      <c r="AE207" s="185" t="e">
        <f aca="false">SQRT((AD207^2*(A207-$D$3)+AC207^2*(DAY(EOMONTH(A207,0))/2))/AK207)</f>
        <v>#VALUE!</v>
      </c>
      <c r="AF207" s="224" t="e">
        <f aca="false">((Summary!$N$10*(AA207*AD207)*(A207-$D$3))+(Summary!$M$10*Z207*AC207*(AJ207-EOMONTH(EDATE(A207,-1),0))))/(AK207*AB207*AE207)</f>
        <v>#VALUE!</v>
      </c>
      <c r="AG207" s="207" t="str">
        <f aca="false">IF($A208="","",Summary!$Q$10)</f>
        <v/>
      </c>
      <c r="AH207" s="207" t="str">
        <f aca="false">IF($A208="","",IF(Summary!$R$10="Y",(VLOOKUP($A207,Summary!$AD$6:$AF$9,3)+'Escalating commodity'!F220),'Escalating commodity'!F220))</f>
        <v/>
      </c>
      <c r="AI207" s="207" t="str">
        <f aca="false">IF($A208="","",AH207)</f>
        <v/>
      </c>
      <c r="AJ207" s="208" t="e">
        <f aca="false">A207+DAY(EOMONTH(A207,0))/2-1</f>
        <v>#VALUE!</v>
      </c>
      <c r="AK207" s="209" t="str">
        <f aca="false">IF($A208="","",$A207-$E$1)</f>
        <v/>
      </c>
      <c r="AL207" s="182" t="str">
        <f aca="false">IF($A208="","",SPRDOPT(P207,X207,AI207,0,AB207,AE207,AF207,AK207,$AJ$2,0))</f>
        <v/>
      </c>
      <c r="AM207" s="211" t="str">
        <f aca="false">IF($A208="","",MAX(0,O207-W207-AI207))</f>
        <v/>
      </c>
      <c r="AN207" s="211" t="str">
        <f aca="false">IF($A208="","",AL207-AM207)</f>
        <v/>
      </c>
      <c r="AO207" s="137" t="str">
        <f aca="false">IF(A208="","",A208-A207)</f>
        <v/>
      </c>
      <c r="AP207" s="212" t="str">
        <f aca="false">IF(A208="","",CHOOSE(F$3,A208+24,A207))</f>
        <v/>
      </c>
      <c r="AQ207" s="209" t="str">
        <f aca="false">IF(A208="","",AP207-$E$1)</f>
        <v/>
      </c>
      <c r="AR207" s="185" t="n">
        <f aca="false">'ANR OK vs ML7'!AR207</f>
        <v>0.1</v>
      </c>
      <c r="AS207" s="213" t="str">
        <f aca="false">IF(A208="","",1/(1+CHOOSE(F$3,(AR208+($I$3/10000))/2,(AR207+($I$3/10000))/2))^(2*AQ207/365.25))</f>
        <v/>
      </c>
      <c r="AT207" s="137" t="str">
        <f aca="false">IF(A208="","",IF(AND(mthbeg&lt;=A207,mthend&gt;=A207),1,0))</f>
        <v/>
      </c>
      <c r="AU207" s="137" t="str">
        <f aca="false">IF(A208="","",AO207*AT207)</f>
        <v/>
      </c>
      <c r="AW207" s="195" t="str">
        <f aca="false">IF($A208="","",AL207*$E207)</f>
        <v/>
      </c>
      <c r="AX207" s="195" t="str">
        <f aca="false">IF($A208="","",AM207*$E207)</f>
        <v/>
      </c>
      <c r="AY207" s="195" t="str">
        <f aca="false">IF($A208="","",AN207*$E207)</f>
        <v/>
      </c>
      <c r="BA207" s="195" t="str">
        <f aca="false">IF($A208="","",F207*Summary!$Q$10)</f>
        <v/>
      </c>
    </row>
    <row r="208" customFormat="false" ht="12" hidden="false" customHeight="true" outlineLevel="0" collapsed="false">
      <c r="A208" s="196" t="str">
        <f aca="false">IF(A207&lt;mthend,EDATE(A207,1),"")</f>
        <v/>
      </c>
      <c r="B208" s="197" t="str">
        <f aca="false">IF(A208&lt;mthend,B207,"")</f>
        <v/>
      </c>
      <c r="C208" s="215"/>
      <c r="D208" s="197" t="str">
        <f aca="false">IF(A209&lt;&gt;"",B208+C208,"")</f>
        <v/>
      </c>
      <c r="E208" s="199" t="str">
        <f aca="false">IF(A209="","",IF(AND(AT208=1,$H$3=1),D208*AO208,IF($H$3=2,D208,"N/A")))</f>
        <v/>
      </c>
      <c r="F208" s="199" t="str">
        <f aca="false">IF(A209="","",E208*AS208)</f>
        <v/>
      </c>
      <c r="G208" s="200" t="str">
        <f aca="false">IF($A209="","",VLOOKUP($A208,Table,MATCH(G$4,Curves,0)))</f>
        <v/>
      </c>
      <c r="H208" s="201" t="str">
        <f aca="false">IF(A209="","",G208)</f>
        <v/>
      </c>
      <c r="I208" s="202"/>
      <c r="J208" s="200" t="str">
        <f aca="false">IF($A209="","",VLOOKUP($A208,Table,MATCH(J$4,Curves,0)))</f>
        <v/>
      </c>
      <c r="K208" s="201" t="str">
        <f aca="false">IF(A209="","",J208)</f>
        <v/>
      </c>
      <c r="L208" s="185" t="n">
        <v>0</v>
      </c>
      <c r="M208" s="201" t="str">
        <f aca="false">IF(A209="","",L208)</f>
        <v/>
      </c>
      <c r="N208" s="203"/>
      <c r="O208" s="200" t="str">
        <f aca="false">IF(A209="","",L208+J208+G208)</f>
        <v/>
      </c>
      <c r="P208" s="200" t="str">
        <f aca="false">IF(A209="","",M208+K208+H208)</f>
        <v/>
      </c>
      <c r="Q208" s="204"/>
      <c r="R208" s="200" t="str">
        <f aca="false">IF($A209="","",VLOOKUP($A208,Table,MATCH(R$4,Curves,0)))</f>
        <v/>
      </c>
      <c r="S208" s="201" t="str">
        <f aca="false">IF(A209="","",R208)</f>
        <v/>
      </c>
      <c r="T208" s="200" t="str">
        <f aca="false">IF($A209="","",VLOOKUP($A208,Table,MATCH(T$4,Curves,0)))</f>
        <v/>
      </c>
      <c r="U208" s="201" t="str">
        <f aca="false">IF(A209="","",T208)</f>
        <v/>
      </c>
      <c r="V208" s="205" t="str">
        <f aca="false">IF($A209="","",IF(AND(MONTH(A208)&gt;3,MONTH(A208)&lt;11),(T208+R208+G208)*Summary!$T$10/(1-Summary!$T$10),(T208+R208+G208)*Summary!$U$10/(1-Summary!$U$10)))</f>
        <v/>
      </c>
      <c r="W208" s="200" t="str">
        <f aca="false">IF($A209="","",(T208+R208+G208+V208))</f>
        <v/>
      </c>
      <c r="X208" s="200" t="str">
        <f aca="false">IF($A209="","",(U208+S208+H208+V208))</f>
        <v/>
      </c>
      <c r="Y208" s="202"/>
      <c r="Z208" s="185" t="str">
        <f aca="false">IF($A209="","",VLOOKUP($A208,Table,MATCH(Z$4,Curves,0)))</f>
        <v/>
      </c>
      <c r="AA208" s="185" t="str">
        <f aca="false">IF($A209="","",VLOOKUP($A208,Table,MATCH(AA$4,Curves,0)))</f>
        <v/>
      </c>
      <c r="AB208" s="185" t="e">
        <f aca="false">SQRT((AA208^2*(A208-$D$3)+Z208^2*(DAY(EOMONTH(A208,0))/2))/AK208)</f>
        <v>#VALUE!</v>
      </c>
      <c r="AC208" s="185" t="str">
        <f aca="false">IF($A209="","",VLOOKUP($A208,Table,MATCH(AC$4,Curves,0)))</f>
        <v/>
      </c>
      <c r="AD208" s="185" t="str">
        <f aca="false">IF($A209="","",VLOOKUP($A208,Table,MATCH(AD$4,Curves,0)))</f>
        <v/>
      </c>
      <c r="AE208" s="185" t="e">
        <f aca="false">SQRT((AD208^2*(A208-$D$3)+AC208^2*(DAY(EOMONTH(A208,0))/2))/AK208)</f>
        <v>#VALUE!</v>
      </c>
      <c r="AF208" s="224" t="e">
        <f aca="false">((Summary!$N$10*(AA208*AD208)*(A208-$D$3))+(Summary!$M$10*Z208*AC208*(AJ208-EOMONTH(EDATE(A208,-1),0))))/(AK208*AB208*AE208)</f>
        <v>#VALUE!</v>
      </c>
      <c r="AG208" s="207" t="str">
        <f aca="false">IF($A209="","",Summary!$Q$10)</f>
        <v/>
      </c>
      <c r="AH208" s="207" t="str">
        <f aca="false">IF($A209="","",IF(Summary!$R$10="Y",(VLOOKUP($A208,Summary!$AD$6:$AF$9,3)+'Escalating commodity'!F221),'Escalating commodity'!F221))</f>
        <v/>
      </c>
      <c r="AI208" s="207" t="str">
        <f aca="false">IF($A209="","",AH208)</f>
        <v/>
      </c>
      <c r="AJ208" s="208" t="e">
        <f aca="false">A208+DAY(EOMONTH(A208,0))/2-1</f>
        <v>#VALUE!</v>
      </c>
      <c r="AK208" s="209" t="str">
        <f aca="false">IF($A209="","",$A208-$E$1)</f>
        <v/>
      </c>
      <c r="AL208" s="182" t="str">
        <f aca="false">IF($A209="","",SPRDOPT(P208,X208,AI208,0,AB208,AE208,AF208,AK208,$AJ$2,0))</f>
        <v/>
      </c>
      <c r="AM208" s="211" t="str">
        <f aca="false">IF($A209="","",MAX(0,O208-W208-AI208))</f>
        <v/>
      </c>
      <c r="AN208" s="211" t="str">
        <f aca="false">IF($A209="","",AL208-AM208)</f>
        <v/>
      </c>
      <c r="AO208" s="137" t="str">
        <f aca="false">IF(A209="","",A209-A208)</f>
        <v/>
      </c>
      <c r="AP208" s="212" t="str">
        <f aca="false">IF(A209="","",CHOOSE(F$3,A209+24,A208))</f>
        <v/>
      </c>
      <c r="AQ208" s="209" t="str">
        <f aca="false">IF(A209="","",AP208-$E$1)</f>
        <v/>
      </c>
      <c r="AR208" s="185" t="n">
        <f aca="false">'ANR OK vs ML7'!AR208</f>
        <v>0.1</v>
      </c>
      <c r="AS208" s="213" t="str">
        <f aca="false">IF(A209="","",1/(1+CHOOSE(F$3,(AR209+($I$3/10000))/2,(AR208+($I$3/10000))/2))^(2*AQ208/365.25))</f>
        <v/>
      </c>
      <c r="AT208" s="137" t="str">
        <f aca="false">IF(A209="","",IF(AND(mthbeg&lt;=A208,mthend&gt;=A208),1,0))</f>
        <v/>
      </c>
      <c r="AU208" s="137" t="str">
        <f aca="false">IF(A209="","",AO208*AT208)</f>
        <v/>
      </c>
      <c r="AW208" s="195" t="str">
        <f aca="false">IF($A209="","",AL208*$E208)</f>
        <v/>
      </c>
      <c r="AX208" s="195" t="str">
        <f aca="false">IF($A209="","",AM208*$E208)</f>
        <v/>
      </c>
      <c r="AY208" s="195" t="str">
        <f aca="false">IF($A209="","",AN208*$E208)</f>
        <v/>
      </c>
      <c r="BA208" s="195" t="str">
        <f aca="false">IF($A209="","",F208*Summary!$Q$10)</f>
        <v/>
      </c>
    </row>
    <row r="209" customFormat="false" ht="12" hidden="false" customHeight="true" outlineLevel="0" collapsed="false">
      <c r="A209" s="196" t="str">
        <f aca="false">IF(A208&lt;mthend,EDATE(A208,1),"")</f>
        <v/>
      </c>
      <c r="B209" s="197" t="str">
        <f aca="false">IF(A209&lt;mthend,B208,"")</f>
        <v/>
      </c>
      <c r="C209" s="215"/>
      <c r="D209" s="197" t="str">
        <f aca="false">IF(A210&lt;&gt;"",B209+C209,"")</f>
        <v/>
      </c>
      <c r="E209" s="199" t="str">
        <f aca="false">IF(A210="","",IF(AND(AT209=1,$H$3=1),D209*AO209,IF($H$3=2,D209,"N/A")))</f>
        <v/>
      </c>
      <c r="F209" s="199" t="str">
        <f aca="false">IF(A210="","",E209*AS209)</f>
        <v/>
      </c>
      <c r="G209" s="200" t="str">
        <f aca="false">IF($A210="","",VLOOKUP($A209,Table,MATCH(G$4,Curves,0)))</f>
        <v/>
      </c>
      <c r="H209" s="201" t="str">
        <f aca="false">IF(A210="","",G209)</f>
        <v/>
      </c>
      <c r="I209" s="202"/>
      <c r="J209" s="200" t="str">
        <f aca="false">IF($A210="","",VLOOKUP($A209,Table,MATCH(J$4,Curves,0)))</f>
        <v/>
      </c>
      <c r="K209" s="201" t="str">
        <f aca="false">IF(A210="","",J209)</f>
        <v/>
      </c>
      <c r="L209" s="185" t="n">
        <v>0</v>
      </c>
      <c r="M209" s="201" t="str">
        <f aca="false">IF(A210="","",L209)</f>
        <v/>
      </c>
      <c r="N209" s="203"/>
      <c r="O209" s="200" t="str">
        <f aca="false">IF(A210="","",L209+J209+G209)</f>
        <v/>
      </c>
      <c r="P209" s="200" t="str">
        <f aca="false">IF(A210="","",M209+K209+H209)</f>
        <v/>
      </c>
      <c r="Q209" s="204"/>
      <c r="R209" s="200" t="str">
        <f aca="false">IF($A210="","",VLOOKUP($A209,Table,MATCH(R$4,Curves,0)))</f>
        <v/>
      </c>
      <c r="S209" s="201" t="str">
        <f aca="false">IF(A210="","",R209)</f>
        <v/>
      </c>
      <c r="T209" s="200" t="str">
        <f aca="false">IF($A210="","",VLOOKUP($A209,Table,MATCH(T$4,Curves,0)))</f>
        <v/>
      </c>
      <c r="U209" s="201" t="str">
        <f aca="false">IF(A210="","",T209)</f>
        <v/>
      </c>
      <c r="V209" s="205" t="str">
        <f aca="false">IF($A210="","",IF(AND(MONTH(A209)&gt;3,MONTH(A209)&lt;11),(T209+R209+G209)*Summary!$T$10/(1-Summary!$T$10),(T209+R209+G209)*Summary!$U$10/(1-Summary!$U$10)))</f>
        <v/>
      </c>
      <c r="W209" s="200" t="str">
        <f aca="false">IF($A210="","",(T209+R209+G209+V209))</f>
        <v/>
      </c>
      <c r="X209" s="200" t="str">
        <f aca="false">IF($A210="","",(U209+S209+H209+V209))</f>
        <v/>
      </c>
      <c r="Y209" s="202"/>
      <c r="Z209" s="185" t="str">
        <f aca="false">IF($A210="","",VLOOKUP($A209,Table,MATCH(Z$4,Curves,0)))</f>
        <v/>
      </c>
      <c r="AA209" s="185" t="str">
        <f aca="false">IF($A210="","",VLOOKUP($A209,Table,MATCH(AA$4,Curves,0)))</f>
        <v/>
      </c>
      <c r="AB209" s="185" t="e">
        <f aca="false">SQRT((AA209^2*(A209-$D$3)+Z209^2*(DAY(EOMONTH(A209,0))/2))/AK209)</f>
        <v>#VALUE!</v>
      </c>
      <c r="AC209" s="185" t="str">
        <f aca="false">IF($A210="","",VLOOKUP($A209,Table,MATCH(AC$4,Curves,0)))</f>
        <v/>
      </c>
      <c r="AD209" s="185" t="str">
        <f aca="false">IF($A210="","",VLOOKUP($A209,Table,MATCH(AD$4,Curves,0)))</f>
        <v/>
      </c>
      <c r="AE209" s="185" t="e">
        <f aca="false">SQRT((AD209^2*(A209-$D$3)+AC209^2*(DAY(EOMONTH(A209,0))/2))/AK209)</f>
        <v>#VALUE!</v>
      </c>
      <c r="AF209" s="224" t="e">
        <f aca="false">((Summary!$N$10*(AA209*AD209)*(A209-$D$3))+(Summary!$M$10*Z209*AC209*(AJ209-EOMONTH(EDATE(A209,-1),0))))/(AK209*AB209*AE209)</f>
        <v>#VALUE!</v>
      </c>
      <c r="AG209" s="207" t="str">
        <f aca="false">IF($A210="","",Summary!$Q$10)</f>
        <v/>
      </c>
      <c r="AH209" s="207" t="str">
        <f aca="false">IF($A210="","",IF(Summary!$R$10="Y",(VLOOKUP($A209,Summary!$AD$6:$AF$9,3)+'Escalating commodity'!F222),'Escalating commodity'!F222))</f>
        <v/>
      </c>
      <c r="AI209" s="207" t="str">
        <f aca="false">IF($A210="","",AH209)</f>
        <v/>
      </c>
      <c r="AJ209" s="208" t="e">
        <f aca="false">A209+DAY(EOMONTH(A209,0))/2-1</f>
        <v>#VALUE!</v>
      </c>
      <c r="AK209" s="209" t="str">
        <f aca="false">IF($A210="","",$A209-$E$1)</f>
        <v/>
      </c>
      <c r="AL209" s="182" t="str">
        <f aca="false">IF($A210="","",SPRDOPT(P209,X209,AI209,0,AB209,AE209,AF209,AK209,$AJ$2,0))</f>
        <v/>
      </c>
      <c r="AM209" s="211" t="str">
        <f aca="false">IF($A210="","",MAX(0,O209-W209-AI209))</f>
        <v/>
      </c>
      <c r="AN209" s="211" t="str">
        <f aca="false">IF($A210="","",AL209-AM209)</f>
        <v/>
      </c>
      <c r="AO209" s="137" t="str">
        <f aca="false">IF(A210="","",A210-A209)</f>
        <v/>
      </c>
      <c r="AP209" s="212" t="str">
        <f aca="false">IF(A210="","",CHOOSE(F$3,A210+24,A209))</f>
        <v/>
      </c>
      <c r="AQ209" s="209" t="str">
        <f aca="false">IF(A210="","",AP209-$E$1)</f>
        <v/>
      </c>
      <c r="AR209" s="185" t="n">
        <f aca="false">'ANR OK vs ML7'!AR209</f>
        <v>0.1</v>
      </c>
      <c r="AS209" s="213" t="str">
        <f aca="false">IF(A210="","",1/(1+CHOOSE(F$3,(AR210+($I$3/10000))/2,(AR209+($I$3/10000))/2))^(2*AQ209/365.25))</f>
        <v/>
      </c>
      <c r="AT209" s="137" t="str">
        <f aca="false">IF(A210="","",IF(AND(mthbeg&lt;=A209,mthend&gt;=A209),1,0))</f>
        <v/>
      </c>
      <c r="AU209" s="137" t="str">
        <f aca="false">IF(A210="","",AO209*AT209)</f>
        <v/>
      </c>
      <c r="AW209" s="195" t="str">
        <f aca="false">IF($A210="","",AL209*$E209)</f>
        <v/>
      </c>
      <c r="AX209" s="195" t="str">
        <f aca="false">IF($A210="","",AM209*$E209)</f>
        <v/>
      </c>
      <c r="AY209" s="195" t="str">
        <f aca="false">IF($A210="","",AN209*$E209)</f>
        <v/>
      </c>
      <c r="BA209" s="195" t="str">
        <f aca="false">IF($A210="","",F209*Summary!$Q$10)</f>
        <v/>
      </c>
    </row>
    <row r="210" customFormat="false" ht="12" hidden="false" customHeight="true" outlineLevel="0" collapsed="false">
      <c r="A210" s="196" t="str">
        <f aca="false">IF(A209&lt;mthend,EDATE(A209,1),"")</f>
        <v/>
      </c>
      <c r="B210" s="197" t="str">
        <f aca="false">IF(A210&lt;mthend,B209,"")</f>
        <v/>
      </c>
      <c r="C210" s="215"/>
      <c r="D210" s="197" t="str">
        <f aca="false">IF(A211&lt;&gt;"",B210+C210,"")</f>
        <v/>
      </c>
      <c r="E210" s="199" t="str">
        <f aca="false">IF(A211="","",IF(AND(AT210=1,$H$3=1),D210*AO210,IF($H$3=2,D210,"N/A")))</f>
        <v/>
      </c>
      <c r="F210" s="199" t="str">
        <f aca="false">IF(A211="","",E210*AS210)</f>
        <v/>
      </c>
      <c r="G210" s="200" t="str">
        <f aca="false">IF($A211="","",VLOOKUP($A210,Table,MATCH(G$4,Curves,0)))</f>
        <v/>
      </c>
      <c r="H210" s="201" t="str">
        <f aca="false">IF(A211="","",G210)</f>
        <v/>
      </c>
      <c r="I210" s="202"/>
      <c r="J210" s="200" t="str">
        <f aca="false">IF($A211="","",VLOOKUP($A210,Table,MATCH(J$4,Curves,0)))</f>
        <v/>
      </c>
      <c r="K210" s="201" t="str">
        <f aca="false">IF(A211="","",J210)</f>
        <v/>
      </c>
      <c r="L210" s="185" t="n">
        <v>0</v>
      </c>
      <c r="M210" s="201" t="str">
        <f aca="false">IF(A211="","",L210)</f>
        <v/>
      </c>
      <c r="N210" s="203"/>
      <c r="O210" s="200" t="str">
        <f aca="false">IF(A211="","",L210+J210+G210)</f>
        <v/>
      </c>
      <c r="P210" s="200" t="str">
        <f aca="false">IF(A211="","",M210+K210+H210)</f>
        <v/>
      </c>
      <c r="Q210" s="204"/>
      <c r="R210" s="200" t="str">
        <f aca="false">IF($A211="","",VLOOKUP($A210,Table,MATCH(R$4,Curves,0)))</f>
        <v/>
      </c>
      <c r="S210" s="201" t="str">
        <f aca="false">IF(A211="","",R210)</f>
        <v/>
      </c>
      <c r="T210" s="200" t="str">
        <f aca="false">IF($A211="","",VLOOKUP($A210,Table,MATCH(T$4,Curves,0)))</f>
        <v/>
      </c>
      <c r="U210" s="201" t="str">
        <f aca="false">IF(A211="","",T210)</f>
        <v/>
      </c>
      <c r="V210" s="205" t="str">
        <f aca="false">IF($A211="","",IF(AND(MONTH(A210)&gt;3,MONTH(A210)&lt;11),(T210+R210+G210)*Summary!$T$10/(1-Summary!$T$10),(T210+R210+G210)*Summary!$U$10/(1-Summary!$U$10)))</f>
        <v/>
      </c>
      <c r="W210" s="200" t="str">
        <f aca="false">IF($A211="","",(T210+R210+G210+V210))</f>
        <v/>
      </c>
      <c r="X210" s="200" t="str">
        <f aca="false">IF($A211="","",(U210+S210+H210+V210))</f>
        <v/>
      </c>
      <c r="Y210" s="202"/>
      <c r="Z210" s="185" t="str">
        <f aca="false">IF($A211="","",VLOOKUP($A210,Table,MATCH(Z$4,Curves,0)))</f>
        <v/>
      </c>
      <c r="AA210" s="185" t="str">
        <f aca="false">IF($A211="","",VLOOKUP($A210,Table,MATCH(AA$4,Curves,0)))</f>
        <v/>
      </c>
      <c r="AB210" s="185" t="e">
        <f aca="false">SQRT((AA210^2*(A210-$D$3)+Z210^2*(DAY(EOMONTH(A210,0))/2))/AK210)</f>
        <v>#VALUE!</v>
      </c>
      <c r="AC210" s="185" t="str">
        <f aca="false">IF($A211="","",VLOOKUP($A210,Table,MATCH(AC$4,Curves,0)))</f>
        <v/>
      </c>
      <c r="AD210" s="185" t="str">
        <f aca="false">IF($A211="","",VLOOKUP($A210,Table,MATCH(AD$4,Curves,0)))</f>
        <v/>
      </c>
      <c r="AE210" s="185" t="e">
        <f aca="false">SQRT((AD210^2*(A210-$D$3)+AC210^2*(DAY(EOMONTH(A210,0))/2))/AK210)</f>
        <v>#VALUE!</v>
      </c>
      <c r="AF210" s="224" t="e">
        <f aca="false">((Summary!$N$10*(AA210*AD210)*(A210-$D$3))+(Summary!$M$10*Z210*AC210*(AJ210-EOMONTH(EDATE(A210,-1),0))))/(AK210*AB210*AE210)</f>
        <v>#VALUE!</v>
      </c>
      <c r="AG210" s="207" t="str">
        <f aca="false">IF($A211="","",Summary!$Q$10)</f>
        <v/>
      </c>
      <c r="AH210" s="207" t="str">
        <f aca="false">IF($A211="","",IF(Summary!$R$10="Y",(VLOOKUP($A210,Summary!$AD$6:$AF$9,3)+'Escalating commodity'!F223),'Escalating commodity'!F223))</f>
        <v/>
      </c>
      <c r="AI210" s="207" t="str">
        <f aca="false">IF($A211="","",AH210)</f>
        <v/>
      </c>
      <c r="AJ210" s="208" t="e">
        <f aca="false">A210+DAY(EOMONTH(A210,0))/2-1</f>
        <v>#VALUE!</v>
      </c>
      <c r="AK210" s="209" t="str">
        <f aca="false">IF($A211="","",$A210-$E$1)</f>
        <v/>
      </c>
      <c r="AL210" s="182" t="str">
        <f aca="false">IF($A211="","",SPRDOPT(P210,X210,AI210,0,AB210,AE210,AF210,AK210,$AJ$2,0))</f>
        <v/>
      </c>
      <c r="AM210" s="211" t="str">
        <f aca="false">IF($A211="","",MAX(0,O210-W210-AI210))</f>
        <v/>
      </c>
      <c r="AN210" s="211" t="str">
        <f aca="false">IF($A211="","",AL210-AM210)</f>
        <v/>
      </c>
      <c r="AO210" s="137" t="str">
        <f aca="false">IF(A211="","",A211-A210)</f>
        <v/>
      </c>
      <c r="AP210" s="212" t="str">
        <f aca="false">IF(A211="","",CHOOSE(F$3,A211+24,A210))</f>
        <v/>
      </c>
      <c r="AQ210" s="209" t="str">
        <f aca="false">IF(A211="","",AP210-$E$1)</f>
        <v/>
      </c>
      <c r="AR210" s="185" t="n">
        <f aca="false">'ANR OK vs ML7'!AR210</f>
        <v>0.1</v>
      </c>
      <c r="AS210" s="213" t="str">
        <f aca="false">IF(A211="","",1/(1+CHOOSE(F$3,(AR211+($I$3/10000))/2,(AR210+($I$3/10000))/2))^(2*AQ210/365.25))</f>
        <v/>
      </c>
      <c r="AT210" s="137" t="str">
        <f aca="false">IF(A211="","",IF(AND(mthbeg&lt;=A210,mthend&gt;=A210),1,0))</f>
        <v/>
      </c>
      <c r="AU210" s="137" t="str">
        <f aca="false">IF(A211="","",AO210*AT210)</f>
        <v/>
      </c>
      <c r="AW210" s="195" t="str">
        <f aca="false">IF($A211="","",AL210*$E210)</f>
        <v/>
      </c>
      <c r="AX210" s="195" t="str">
        <f aca="false">IF($A211="","",AM210*$E210)</f>
        <v/>
      </c>
      <c r="AY210" s="195" t="str">
        <f aca="false">IF($A211="","",AN210*$E210)</f>
        <v/>
      </c>
      <c r="BA210" s="195" t="str">
        <f aca="false">IF($A211="","",F210*Summary!$Q$10)</f>
        <v/>
      </c>
    </row>
    <row r="211" customFormat="false" ht="12" hidden="false" customHeight="true" outlineLevel="0" collapsed="false">
      <c r="A211" s="196" t="str">
        <f aca="false">IF(A210&lt;mthend,EDATE(A210,1),"")</f>
        <v/>
      </c>
      <c r="B211" s="197" t="str">
        <f aca="false">IF(A211&lt;mthend,B210,"")</f>
        <v/>
      </c>
      <c r="C211" s="215"/>
      <c r="D211" s="197" t="str">
        <f aca="false">IF(A212&lt;&gt;"",B211+C211,"")</f>
        <v/>
      </c>
      <c r="E211" s="199" t="str">
        <f aca="false">IF(A212="","",IF(AND(AT211=1,$H$3=1),D211*AO211,IF($H$3=2,D211,"N/A")))</f>
        <v/>
      </c>
      <c r="F211" s="199" t="str">
        <f aca="false">IF(A212="","",E211*AS211)</f>
        <v/>
      </c>
      <c r="G211" s="200" t="str">
        <f aca="false">IF($A212="","",VLOOKUP($A211,Table,MATCH(G$4,Curves,0)))</f>
        <v/>
      </c>
      <c r="H211" s="201" t="str">
        <f aca="false">IF(A212="","",G211)</f>
        <v/>
      </c>
      <c r="I211" s="202"/>
      <c r="J211" s="200" t="str">
        <f aca="false">IF($A212="","",VLOOKUP($A211,Table,MATCH(J$4,Curves,0)))</f>
        <v/>
      </c>
      <c r="K211" s="201" t="str">
        <f aca="false">IF(A212="","",J211)</f>
        <v/>
      </c>
      <c r="L211" s="185" t="n">
        <v>0</v>
      </c>
      <c r="M211" s="201" t="str">
        <f aca="false">IF(A212="","",L211)</f>
        <v/>
      </c>
      <c r="N211" s="203"/>
      <c r="O211" s="200" t="str">
        <f aca="false">IF(A212="","",L211+J211+G211)</f>
        <v/>
      </c>
      <c r="P211" s="200" t="str">
        <f aca="false">IF(A212="","",M211+K211+H211)</f>
        <v/>
      </c>
      <c r="Q211" s="204"/>
      <c r="R211" s="200" t="str">
        <f aca="false">IF($A212="","",VLOOKUP($A211,Table,MATCH(R$4,Curves,0)))</f>
        <v/>
      </c>
      <c r="S211" s="201" t="str">
        <f aca="false">IF(A212="","",R211)</f>
        <v/>
      </c>
      <c r="T211" s="200" t="str">
        <f aca="false">IF($A212="","",VLOOKUP($A211,Table,MATCH(T$4,Curves,0)))</f>
        <v/>
      </c>
      <c r="U211" s="201" t="str">
        <f aca="false">IF(A212="","",T211)</f>
        <v/>
      </c>
      <c r="V211" s="205" t="str">
        <f aca="false">IF($A212="","",IF(AND(MONTH(A211)&gt;3,MONTH(A211)&lt;11),(T211+R211+G211)*Summary!$T$10/(1-Summary!$T$10),(T211+R211+G211)*Summary!$U$10/(1-Summary!$U$10)))</f>
        <v/>
      </c>
      <c r="W211" s="200" t="str">
        <f aca="false">IF($A212="","",(T211+R211+G211+V211))</f>
        <v/>
      </c>
      <c r="X211" s="200" t="str">
        <f aca="false">IF($A212="","",(U211+S211+H211+V211))</f>
        <v/>
      </c>
      <c r="Y211" s="202"/>
      <c r="Z211" s="185" t="str">
        <f aca="false">IF($A212="","",VLOOKUP($A211,Table,MATCH(Z$4,Curves,0)))</f>
        <v/>
      </c>
      <c r="AA211" s="185" t="str">
        <f aca="false">IF($A212="","",VLOOKUP($A211,Table,MATCH(AA$4,Curves,0)))</f>
        <v/>
      </c>
      <c r="AB211" s="185" t="e">
        <f aca="false">SQRT((AA211^2*(A211-$D$3)+Z211^2*(DAY(EOMONTH(A211,0))/2))/AK211)</f>
        <v>#VALUE!</v>
      </c>
      <c r="AC211" s="185" t="str">
        <f aca="false">IF($A212="","",VLOOKUP($A211,Table,MATCH(AC$4,Curves,0)))</f>
        <v/>
      </c>
      <c r="AD211" s="185" t="str">
        <f aca="false">IF($A212="","",VLOOKUP($A211,Table,MATCH(AD$4,Curves,0)))</f>
        <v/>
      </c>
      <c r="AE211" s="185" t="e">
        <f aca="false">SQRT((AD211^2*(A211-$D$3)+AC211^2*(DAY(EOMONTH(A211,0))/2))/AK211)</f>
        <v>#VALUE!</v>
      </c>
      <c r="AF211" s="224" t="e">
        <f aca="false">((Summary!$N$10*(AA211*AD211)*(A211-$D$3))+(Summary!$M$10*Z211*AC211*(AJ211-EOMONTH(EDATE(A211,-1),0))))/(AK211*AB211*AE211)</f>
        <v>#VALUE!</v>
      </c>
      <c r="AG211" s="207" t="str">
        <f aca="false">IF($A212="","",Summary!$Q$10)</f>
        <v/>
      </c>
      <c r="AH211" s="207" t="str">
        <f aca="false">IF($A212="","",IF(Summary!$R$10="Y",(VLOOKUP($A211,Summary!$AD$6:$AF$9,3)+'Escalating commodity'!F224),'Escalating commodity'!F224))</f>
        <v/>
      </c>
      <c r="AI211" s="207" t="str">
        <f aca="false">IF($A212="","",AH211)</f>
        <v/>
      </c>
      <c r="AJ211" s="208" t="e">
        <f aca="false">A211+DAY(EOMONTH(A211,0))/2-1</f>
        <v>#VALUE!</v>
      </c>
      <c r="AK211" s="209" t="str">
        <f aca="false">IF($A212="","",$A211-$E$1)</f>
        <v/>
      </c>
      <c r="AL211" s="182" t="str">
        <f aca="false">IF($A212="","",SPRDOPT(P211,X211,AI211,0,AB211,AE211,AF211,AK211,$AJ$2,0))</f>
        <v/>
      </c>
      <c r="AM211" s="211" t="str">
        <f aca="false">IF($A212="","",MAX(0,O211-W211-AI211))</f>
        <v/>
      </c>
      <c r="AN211" s="211" t="str">
        <f aca="false">IF($A212="","",AL211-AM211)</f>
        <v/>
      </c>
      <c r="AO211" s="137" t="str">
        <f aca="false">IF(A212="","",A212-A211)</f>
        <v/>
      </c>
      <c r="AP211" s="212" t="str">
        <f aca="false">IF(A212="","",CHOOSE(F$3,A212+24,A211))</f>
        <v/>
      </c>
      <c r="AQ211" s="209" t="str">
        <f aca="false">IF(A212="","",AP211-$E$1)</f>
        <v/>
      </c>
      <c r="AR211" s="185" t="n">
        <f aca="false">'ANR OK vs ML7'!AR211</f>
        <v>0.1</v>
      </c>
      <c r="AS211" s="213" t="str">
        <f aca="false">IF(A212="","",1/(1+CHOOSE(F$3,(AR212+($I$3/10000))/2,(AR211+($I$3/10000))/2))^(2*AQ211/365.25))</f>
        <v/>
      </c>
      <c r="AT211" s="137" t="str">
        <f aca="false">IF(A212="","",IF(AND(mthbeg&lt;=A211,mthend&gt;=A211),1,0))</f>
        <v/>
      </c>
      <c r="AU211" s="137" t="str">
        <f aca="false">IF(A212="","",AO211*AT211)</f>
        <v/>
      </c>
      <c r="AW211" s="195" t="str">
        <f aca="false">IF($A212="","",AL211*$E211)</f>
        <v/>
      </c>
      <c r="AX211" s="195" t="str">
        <f aca="false">IF($A212="","",AM211*$E211)</f>
        <v/>
      </c>
      <c r="AY211" s="195" t="str">
        <f aca="false">IF($A212="","",AN211*$E211)</f>
        <v/>
      </c>
      <c r="BA211" s="195" t="str">
        <f aca="false">IF($A212="","",F211*Summary!$Q$10)</f>
        <v/>
      </c>
    </row>
    <row r="212" customFormat="false" ht="12" hidden="false" customHeight="true" outlineLevel="0" collapsed="false">
      <c r="A212" s="196" t="str">
        <f aca="false">IF(A211&lt;mthend,EDATE(A211,1),"")</f>
        <v/>
      </c>
      <c r="B212" s="197" t="str">
        <f aca="false">IF(A212&lt;mthend,B211,"")</f>
        <v/>
      </c>
      <c r="C212" s="215"/>
      <c r="D212" s="197" t="str">
        <f aca="false">IF(A213&lt;&gt;"",B212+C212,"")</f>
        <v/>
      </c>
      <c r="E212" s="199" t="str">
        <f aca="false">IF(A213="","",IF(AND(AT212=1,$H$3=1),D212*AO212,IF($H$3=2,D212,"N/A")))</f>
        <v/>
      </c>
      <c r="F212" s="199" t="str">
        <f aca="false">IF(A213="","",E212*AS212)</f>
        <v/>
      </c>
      <c r="G212" s="200" t="str">
        <f aca="false">IF($A213="","",VLOOKUP($A212,Table,MATCH(G$4,Curves,0)))</f>
        <v/>
      </c>
      <c r="H212" s="201" t="str">
        <f aca="false">IF(A213="","",G212)</f>
        <v/>
      </c>
      <c r="I212" s="202"/>
      <c r="J212" s="200" t="str">
        <f aca="false">IF($A213="","",VLOOKUP($A212,Table,MATCH(J$4,Curves,0)))</f>
        <v/>
      </c>
      <c r="K212" s="201" t="str">
        <f aca="false">IF(A213="","",J212)</f>
        <v/>
      </c>
      <c r="L212" s="185" t="n">
        <v>0</v>
      </c>
      <c r="M212" s="201" t="str">
        <f aca="false">IF(A213="","",L212)</f>
        <v/>
      </c>
      <c r="N212" s="203"/>
      <c r="O212" s="200" t="str">
        <f aca="false">IF(A213="","",L212+J212+G212)</f>
        <v/>
      </c>
      <c r="P212" s="200" t="str">
        <f aca="false">IF(A213="","",M212+K212+H212)</f>
        <v/>
      </c>
      <c r="Q212" s="204"/>
      <c r="R212" s="200" t="str">
        <f aca="false">IF($A213="","",VLOOKUP($A212,Table,MATCH(R$4,Curves,0)))</f>
        <v/>
      </c>
      <c r="S212" s="201" t="str">
        <f aca="false">IF(A213="","",R212)</f>
        <v/>
      </c>
      <c r="T212" s="200" t="str">
        <f aca="false">IF($A213="","",VLOOKUP($A212,Table,MATCH(T$4,Curves,0)))</f>
        <v/>
      </c>
      <c r="U212" s="201" t="str">
        <f aca="false">IF(A213="","",T212)</f>
        <v/>
      </c>
      <c r="V212" s="205" t="str">
        <f aca="false">IF($A213="","",IF(AND(MONTH(A212)&gt;3,MONTH(A212)&lt;11),(T212+R212+G212)*Summary!$T$10/(1-Summary!$T$10),(T212+R212+G212)*Summary!$U$10/(1-Summary!$U$10)))</f>
        <v/>
      </c>
      <c r="W212" s="200" t="str">
        <f aca="false">IF($A213="","",(T212+R212+G212+V212))</f>
        <v/>
      </c>
      <c r="X212" s="200" t="str">
        <f aca="false">IF($A213="","",(U212+S212+H212+V212))</f>
        <v/>
      </c>
      <c r="Y212" s="202"/>
      <c r="Z212" s="185" t="str">
        <f aca="false">IF($A213="","",VLOOKUP($A212,Table,MATCH(Z$4,Curves,0)))</f>
        <v/>
      </c>
      <c r="AA212" s="185" t="str">
        <f aca="false">IF($A213="","",VLOOKUP($A212,Table,MATCH(AA$4,Curves,0)))</f>
        <v/>
      </c>
      <c r="AB212" s="185" t="e">
        <f aca="false">SQRT((AA212^2*(A212-$D$3)+Z212^2*(DAY(EOMONTH(A212,0))/2))/AK212)</f>
        <v>#VALUE!</v>
      </c>
      <c r="AC212" s="185" t="str">
        <f aca="false">IF($A213="","",VLOOKUP($A212,Table,MATCH(AC$4,Curves,0)))</f>
        <v/>
      </c>
      <c r="AD212" s="185" t="str">
        <f aca="false">IF($A213="","",VLOOKUP($A212,Table,MATCH(AD$4,Curves,0)))</f>
        <v/>
      </c>
      <c r="AE212" s="185" t="e">
        <f aca="false">SQRT((AD212^2*(A212-$D$3)+AC212^2*(DAY(EOMONTH(A212,0))/2))/AK212)</f>
        <v>#VALUE!</v>
      </c>
      <c r="AF212" s="224" t="e">
        <f aca="false">((Summary!$N$10*(AA212*AD212)*(A212-$D$3))+(Summary!$M$10*Z212*AC212*(AJ212-EOMONTH(EDATE(A212,-1),0))))/(AK212*AB212*AE212)</f>
        <v>#VALUE!</v>
      </c>
      <c r="AG212" s="207" t="str">
        <f aca="false">IF($A213="","",Summary!$Q$10)</f>
        <v/>
      </c>
      <c r="AH212" s="207" t="str">
        <f aca="false">IF($A213="","",IF(Summary!$R$10="Y",(VLOOKUP($A212,Summary!$AD$6:$AF$9,3)+'Escalating commodity'!F225),'Escalating commodity'!F225))</f>
        <v/>
      </c>
      <c r="AI212" s="207" t="str">
        <f aca="false">IF($A213="","",AH212)</f>
        <v/>
      </c>
      <c r="AJ212" s="208" t="e">
        <f aca="false">A212+DAY(EOMONTH(A212,0))/2-1</f>
        <v>#VALUE!</v>
      </c>
      <c r="AK212" s="209" t="str">
        <f aca="false">IF($A213="","",$A212-$E$1)</f>
        <v/>
      </c>
      <c r="AL212" s="182" t="str">
        <f aca="false">IF($A213="","",SPRDOPT(P212,X212,AI212,0,AB212,AE212,AF212,AK212,$AJ$2,0))</f>
        <v/>
      </c>
      <c r="AM212" s="211" t="str">
        <f aca="false">IF($A213="","",MAX(0,O212-W212-AI212))</f>
        <v/>
      </c>
      <c r="AN212" s="211" t="str">
        <f aca="false">IF($A213="","",AL212-AM212)</f>
        <v/>
      </c>
      <c r="AO212" s="137" t="str">
        <f aca="false">IF(A213="","",A213-A212)</f>
        <v/>
      </c>
      <c r="AP212" s="212" t="str">
        <f aca="false">IF(A213="","",CHOOSE(F$3,A213+24,A212))</f>
        <v/>
      </c>
      <c r="AQ212" s="209" t="str">
        <f aca="false">IF(A213="","",AP212-$E$1)</f>
        <v/>
      </c>
      <c r="AR212" s="185" t="n">
        <f aca="false">'ANR OK vs ML7'!AR212</f>
        <v>0.1</v>
      </c>
      <c r="AS212" s="213" t="str">
        <f aca="false">IF(A213="","",1/(1+CHOOSE(F$3,(AR213+($I$3/10000))/2,(AR212+($I$3/10000))/2))^(2*AQ212/365.25))</f>
        <v/>
      </c>
      <c r="AT212" s="137" t="str">
        <f aca="false">IF(A213="","",IF(AND(mthbeg&lt;=A212,mthend&gt;=A212),1,0))</f>
        <v/>
      </c>
      <c r="AU212" s="137" t="str">
        <f aca="false">IF(A213="","",AO212*AT212)</f>
        <v/>
      </c>
      <c r="AW212" s="195" t="str">
        <f aca="false">IF($A213="","",AL212*$E212)</f>
        <v/>
      </c>
      <c r="AX212" s="195" t="str">
        <f aca="false">IF($A213="","",AM212*$E212)</f>
        <v/>
      </c>
      <c r="AY212" s="195" t="str">
        <f aca="false">IF($A213="","",AN212*$E212)</f>
        <v/>
      </c>
      <c r="BA212" s="195" t="str">
        <f aca="false">IF($A213="","",F212*Summary!$Q$10)</f>
        <v/>
      </c>
    </row>
    <row r="213" customFormat="false" ht="12" hidden="false" customHeight="true" outlineLevel="0" collapsed="false">
      <c r="A213" s="196" t="str">
        <f aca="false">IF(A212&lt;mthend,EDATE(A212,1),"")</f>
        <v/>
      </c>
      <c r="B213" s="197" t="str">
        <f aca="false">IF(A213&lt;mthend,B212,"")</f>
        <v/>
      </c>
      <c r="C213" s="215"/>
      <c r="D213" s="197" t="str">
        <f aca="false">IF(A214&lt;&gt;"",B213+C213,"")</f>
        <v/>
      </c>
      <c r="E213" s="199" t="str">
        <f aca="false">IF(A214="","",IF(AND(AT213=1,$H$3=1),D213*AO213,IF($H$3=2,D213,"N/A")))</f>
        <v/>
      </c>
      <c r="F213" s="199" t="str">
        <f aca="false">IF(A214="","",E213*AS213)</f>
        <v/>
      </c>
      <c r="G213" s="200" t="str">
        <f aca="false">IF($A214="","",VLOOKUP($A213,Table,MATCH(G$4,Curves,0)))</f>
        <v/>
      </c>
      <c r="H213" s="201" t="str">
        <f aca="false">IF(A214="","",G213)</f>
        <v/>
      </c>
      <c r="I213" s="202"/>
      <c r="J213" s="200" t="str">
        <f aca="false">IF($A214="","",VLOOKUP($A213,Table,MATCH(J$4,Curves,0)))</f>
        <v/>
      </c>
      <c r="K213" s="201" t="str">
        <f aca="false">IF(A214="","",J213)</f>
        <v/>
      </c>
      <c r="L213" s="185" t="n">
        <v>0</v>
      </c>
      <c r="M213" s="201" t="str">
        <f aca="false">IF(A214="","",L213)</f>
        <v/>
      </c>
      <c r="N213" s="203"/>
      <c r="O213" s="200" t="str">
        <f aca="false">IF(A214="","",L213+J213+G213)</f>
        <v/>
      </c>
      <c r="P213" s="200" t="str">
        <f aca="false">IF(A214="","",M213+K213+H213)</f>
        <v/>
      </c>
      <c r="Q213" s="204"/>
      <c r="R213" s="200" t="str">
        <f aca="false">IF($A214="","",VLOOKUP($A213,Table,MATCH(R$4,Curves,0)))</f>
        <v/>
      </c>
      <c r="S213" s="201" t="str">
        <f aca="false">IF(A214="","",R213)</f>
        <v/>
      </c>
      <c r="T213" s="200" t="str">
        <f aca="false">IF($A214="","",VLOOKUP($A213,Table,MATCH(T$4,Curves,0)))</f>
        <v/>
      </c>
      <c r="U213" s="201" t="str">
        <f aca="false">IF(A214="","",T213)</f>
        <v/>
      </c>
      <c r="V213" s="205" t="str">
        <f aca="false">IF($A214="","",IF(AND(MONTH(A213)&gt;3,MONTH(A213)&lt;11),(T213+R213+G213)*Summary!$T$10/(1-Summary!$T$10),(T213+R213+G213)*Summary!$U$10/(1-Summary!$U$10)))</f>
        <v/>
      </c>
      <c r="W213" s="200" t="str">
        <f aca="false">IF($A214="","",(T213+R213+G213+V213))</f>
        <v/>
      </c>
      <c r="X213" s="200" t="str">
        <f aca="false">IF($A214="","",(U213+S213+H213+V213))</f>
        <v/>
      </c>
      <c r="Y213" s="202"/>
      <c r="Z213" s="185" t="str">
        <f aca="false">IF($A214="","",VLOOKUP($A213,Table,MATCH(Z$4,Curves,0)))</f>
        <v/>
      </c>
      <c r="AA213" s="185" t="str">
        <f aca="false">IF($A214="","",VLOOKUP($A213,Table,MATCH(AA$4,Curves,0)))</f>
        <v/>
      </c>
      <c r="AB213" s="185" t="e">
        <f aca="false">SQRT((AA213^2*(A213-$D$3)+Z213^2*(DAY(EOMONTH(A213,0))/2))/AK213)</f>
        <v>#VALUE!</v>
      </c>
      <c r="AC213" s="185" t="str">
        <f aca="false">IF($A214="","",VLOOKUP($A213,Table,MATCH(AC$4,Curves,0)))</f>
        <v/>
      </c>
      <c r="AD213" s="185" t="str">
        <f aca="false">IF($A214="","",VLOOKUP($A213,Table,MATCH(AD$4,Curves,0)))</f>
        <v/>
      </c>
      <c r="AE213" s="185" t="e">
        <f aca="false">SQRT((AD213^2*(A213-$D$3)+AC213^2*(DAY(EOMONTH(A213,0))/2))/AK213)</f>
        <v>#VALUE!</v>
      </c>
      <c r="AF213" s="224" t="e">
        <f aca="false">((Summary!$N$10*(AA213*AD213)*(A213-$D$3))+(Summary!$M$10*Z213*AC213*(AJ213-EOMONTH(EDATE(A213,-1),0))))/(AK213*AB213*AE213)</f>
        <v>#VALUE!</v>
      </c>
      <c r="AG213" s="207" t="str">
        <f aca="false">IF($A214="","",Summary!$Q$10)</f>
        <v/>
      </c>
      <c r="AH213" s="207" t="str">
        <f aca="false">IF($A214="","",IF(Summary!$R$10="Y",(VLOOKUP($A213,Summary!$AD$6:$AF$9,3)+'Escalating commodity'!F226),'Escalating commodity'!F226))</f>
        <v/>
      </c>
      <c r="AI213" s="207" t="str">
        <f aca="false">IF($A214="","",AH213)</f>
        <v/>
      </c>
      <c r="AJ213" s="208" t="e">
        <f aca="false">A213+DAY(EOMONTH(A213,0))/2-1</f>
        <v>#VALUE!</v>
      </c>
      <c r="AK213" s="209" t="str">
        <f aca="false">IF($A214="","",$A213-$E$1)</f>
        <v/>
      </c>
      <c r="AL213" s="182" t="str">
        <f aca="false">IF($A214="","",SPRDOPT(P213,X213,AI213,0,AB213,AE213,AF213,AK213,$AJ$2,0))</f>
        <v/>
      </c>
      <c r="AM213" s="211" t="str">
        <f aca="false">IF($A214="","",MAX(0,O213-W213-AI213))</f>
        <v/>
      </c>
      <c r="AN213" s="211" t="str">
        <f aca="false">IF($A214="","",AL213-AM213)</f>
        <v/>
      </c>
      <c r="AO213" s="137" t="str">
        <f aca="false">IF(A214="","",A214-A213)</f>
        <v/>
      </c>
      <c r="AP213" s="212" t="str">
        <f aca="false">IF(A214="","",CHOOSE(F$3,A214+24,A213))</f>
        <v/>
      </c>
      <c r="AQ213" s="209" t="str">
        <f aca="false">IF(A214="","",AP213-$E$1)</f>
        <v/>
      </c>
      <c r="AR213" s="185" t="n">
        <f aca="false">'ANR OK vs ML7'!AR213</f>
        <v>0.1</v>
      </c>
      <c r="AS213" s="213" t="str">
        <f aca="false">IF(A214="","",1/(1+CHOOSE(F$3,(AR214+($I$3/10000))/2,(AR213+($I$3/10000))/2))^(2*AQ213/365.25))</f>
        <v/>
      </c>
      <c r="AT213" s="137" t="str">
        <f aca="false">IF(A214="","",IF(AND(mthbeg&lt;=A213,mthend&gt;=A213),1,0))</f>
        <v/>
      </c>
      <c r="AU213" s="137" t="str">
        <f aca="false">IF(A214="","",AO213*AT213)</f>
        <v/>
      </c>
      <c r="AW213" s="195" t="str">
        <f aca="false">IF($A214="","",AL213*$E213)</f>
        <v/>
      </c>
      <c r="AX213" s="195" t="str">
        <f aca="false">IF($A214="","",AM213*$E213)</f>
        <v/>
      </c>
      <c r="AY213" s="195" t="str">
        <f aca="false">IF($A214="","",AN213*$E213)</f>
        <v/>
      </c>
      <c r="BA213" s="195" t="str">
        <f aca="false">IF($A214="","",F213*Summary!$Q$10)</f>
        <v/>
      </c>
    </row>
    <row r="214" customFormat="false" ht="12" hidden="false" customHeight="true" outlineLevel="0" collapsed="false">
      <c r="A214" s="196" t="str">
        <f aca="false">IF(A213&lt;mthend,EDATE(A213,1),"")</f>
        <v/>
      </c>
      <c r="B214" s="197" t="str">
        <f aca="false">IF(A214&lt;mthend,B213,"")</f>
        <v/>
      </c>
      <c r="C214" s="215"/>
      <c r="D214" s="197" t="str">
        <f aca="false">IF(A215&lt;&gt;"",B214+C214,"")</f>
        <v/>
      </c>
      <c r="E214" s="199" t="str">
        <f aca="false">IF(A215="","",IF(AND(AT214=1,$H$3=1),D214*AO214,IF($H$3=2,D214,"N/A")))</f>
        <v/>
      </c>
      <c r="F214" s="199" t="str">
        <f aca="false">IF(A215="","",E214*AS214)</f>
        <v/>
      </c>
      <c r="G214" s="200" t="str">
        <f aca="false">IF($A215="","",VLOOKUP($A214,Table,MATCH(G$4,Curves,0)))</f>
        <v/>
      </c>
      <c r="H214" s="201" t="str">
        <f aca="false">IF(A215="","",G214)</f>
        <v/>
      </c>
      <c r="I214" s="202"/>
      <c r="J214" s="200" t="str">
        <f aca="false">IF($A215="","",VLOOKUP($A214,Table,MATCH(J$4,Curves,0)))</f>
        <v/>
      </c>
      <c r="K214" s="201" t="str">
        <f aca="false">IF(A215="","",J214)</f>
        <v/>
      </c>
      <c r="L214" s="185" t="n">
        <v>0</v>
      </c>
      <c r="M214" s="201" t="str">
        <f aca="false">IF(A215="","",L214)</f>
        <v/>
      </c>
      <c r="N214" s="203"/>
      <c r="O214" s="200" t="str">
        <f aca="false">IF(A215="","",L214+J214+G214)</f>
        <v/>
      </c>
      <c r="P214" s="200" t="str">
        <f aca="false">IF(A215="","",M214+K214+H214)</f>
        <v/>
      </c>
      <c r="Q214" s="204"/>
      <c r="R214" s="200" t="str">
        <f aca="false">IF($A215="","",VLOOKUP($A214,Table,MATCH(R$4,Curves,0)))</f>
        <v/>
      </c>
      <c r="S214" s="201" t="str">
        <f aca="false">IF(A215="","",R214)</f>
        <v/>
      </c>
      <c r="T214" s="200" t="str">
        <f aca="false">IF($A215="","",VLOOKUP($A214,Table,MATCH(T$4,Curves,0)))</f>
        <v/>
      </c>
      <c r="U214" s="201" t="str">
        <f aca="false">IF(A215="","",T214)</f>
        <v/>
      </c>
      <c r="V214" s="205" t="str">
        <f aca="false">IF($A215="","",IF(AND(MONTH(A214)&gt;3,MONTH(A214)&lt;11),(T214+R214+G214)*Summary!$T$10/(1-Summary!$T$10),(T214+R214+G214)*Summary!$U$10/(1-Summary!$U$10)))</f>
        <v/>
      </c>
      <c r="W214" s="200" t="str">
        <f aca="false">IF($A215="","",(T214+R214+G214+V214))</f>
        <v/>
      </c>
      <c r="X214" s="200" t="str">
        <f aca="false">IF($A215="","",(U214+S214+H214+V214))</f>
        <v/>
      </c>
      <c r="Y214" s="202"/>
      <c r="Z214" s="185" t="str">
        <f aca="false">IF($A215="","",VLOOKUP($A214,Table,MATCH(Z$4,Curves,0)))</f>
        <v/>
      </c>
      <c r="AA214" s="185" t="str">
        <f aca="false">IF($A215="","",VLOOKUP($A214,Table,MATCH(AA$4,Curves,0)))</f>
        <v/>
      </c>
      <c r="AB214" s="185" t="e">
        <f aca="false">SQRT((AA214^2*(A214-$D$3)+Z214^2*(DAY(EOMONTH(A214,0))/2))/AK214)</f>
        <v>#VALUE!</v>
      </c>
      <c r="AC214" s="185" t="str">
        <f aca="false">IF($A215="","",VLOOKUP($A214,Table,MATCH(AC$4,Curves,0)))</f>
        <v/>
      </c>
      <c r="AD214" s="185" t="str">
        <f aca="false">IF($A215="","",VLOOKUP($A214,Table,MATCH(AD$4,Curves,0)))</f>
        <v/>
      </c>
      <c r="AE214" s="185" t="e">
        <f aca="false">SQRT((AD214^2*(A214-$D$3)+AC214^2*(DAY(EOMONTH(A214,0))/2))/AK214)</f>
        <v>#VALUE!</v>
      </c>
      <c r="AF214" s="224" t="e">
        <f aca="false">((Summary!$N$10*(AA214*AD214)*(A214-$D$3))+(Summary!$M$10*Z214*AC214*(AJ214-EOMONTH(EDATE(A214,-1),0))))/(AK214*AB214*AE214)</f>
        <v>#VALUE!</v>
      </c>
      <c r="AG214" s="207" t="str">
        <f aca="false">IF($A215="","",Summary!$Q$10)</f>
        <v/>
      </c>
      <c r="AH214" s="207" t="str">
        <f aca="false">IF($A215="","",IF(Summary!$R$10="Y",(VLOOKUP($A214,Summary!$AD$6:$AF$9,3)+'Escalating commodity'!F227),'Escalating commodity'!F227))</f>
        <v/>
      </c>
      <c r="AI214" s="207" t="str">
        <f aca="false">IF($A215="","",AH214)</f>
        <v/>
      </c>
      <c r="AJ214" s="208" t="e">
        <f aca="false">A214+DAY(EOMONTH(A214,0))/2-1</f>
        <v>#VALUE!</v>
      </c>
      <c r="AK214" s="209" t="str">
        <f aca="false">IF($A215="","",$A214-$E$1)</f>
        <v/>
      </c>
      <c r="AL214" s="182" t="str">
        <f aca="false">IF($A215="","",SPRDOPT(P214,X214,AI214,0,AB214,AE214,AF214,AK214,$AJ$2,0))</f>
        <v/>
      </c>
      <c r="AM214" s="211" t="str">
        <f aca="false">IF($A215="","",MAX(0,O214-W214-AI214))</f>
        <v/>
      </c>
      <c r="AN214" s="211" t="str">
        <f aca="false">IF($A215="","",AL214-AM214)</f>
        <v/>
      </c>
      <c r="AO214" s="137" t="str">
        <f aca="false">IF(A215="","",A215-A214)</f>
        <v/>
      </c>
      <c r="AP214" s="212" t="str">
        <f aca="false">IF(A215="","",CHOOSE(F$3,A215+24,A214))</f>
        <v/>
      </c>
      <c r="AQ214" s="209" t="str">
        <f aca="false">IF(A215="","",AP214-$E$1)</f>
        <v/>
      </c>
      <c r="AR214" s="185" t="n">
        <f aca="false">'ANR OK vs ML7'!AR214</f>
        <v>0.1</v>
      </c>
      <c r="AS214" s="213" t="str">
        <f aca="false">IF(A215="","",1/(1+CHOOSE(F$3,(AR215+($I$3/10000))/2,(AR214+($I$3/10000))/2))^(2*AQ214/365.25))</f>
        <v/>
      </c>
      <c r="AT214" s="137" t="str">
        <f aca="false">IF(A215="","",IF(AND(mthbeg&lt;=A214,mthend&gt;=A214),1,0))</f>
        <v/>
      </c>
      <c r="AU214" s="137" t="str">
        <f aca="false">IF(A215="","",AO214*AT214)</f>
        <v/>
      </c>
      <c r="AW214" s="195" t="str">
        <f aca="false">IF($A215="","",AL214*$E214)</f>
        <v/>
      </c>
      <c r="AX214" s="195" t="str">
        <f aca="false">IF($A215="","",AM214*$E214)</f>
        <v/>
      </c>
      <c r="AY214" s="195" t="str">
        <f aca="false">IF($A215="","",AN214*$E214)</f>
        <v/>
      </c>
      <c r="BA214" s="195" t="str">
        <f aca="false">IF($A215="","",F214*Summary!$Q$10)</f>
        <v/>
      </c>
    </row>
    <row r="215" customFormat="false" ht="12" hidden="false" customHeight="true" outlineLevel="0" collapsed="false">
      <c r="A215" s="196" t="str">
        <f aca="false">IF(A214&lt;mthend,EDATE(A214,1),"")</f>
        <v/>
      </c>
      <c r="B215" s="197" t="str">
        <f aca="false">IF(A215&lt;mthend,B214,"")</f>
        <v/>
      </c>
      <c r="C215" s="215"/>
      <c r="D215" s="197" t="str">
        <f aca="false">IF(A216&lt;&gt;"",B215+C215,"")</f>
        <v/>
      </c>
      <c r="E215" s="199" t="str">
        <f aca="false">IF(A216="","",IF(AND(AT215=1,$H$3=1),D215*AO215,IF($H$3=2,D215,"N/A")))</f>
        <v/>
      </c>
      <c r="F215" s="199" t="str">
        <f aca="false">IF(A216="","",E215*AS215)</f>
        <v/>
      </c>
      <c r="G215" s="200" t="str">
        <f aca="false">IF($A216="","",VLOOKUP($A215,Table,MATCH(G$4,Curves,0)))</f>
        <v/>
      </c>
      <c r="H215" s="201" t="str">
        <f aca="false">IF(A216="","",G215)</f>
        <v/>
      </c>
      <c r="I215" s="202"/>
      <c r="J215" s="200" t="str">
        <f aca="false">IF($A216="","",VLOOKUP($A215,Table,MATCH(J$4,Curves,0)))</f>
        <v/>
      </c>
      <c r="K215" s="201" t="str">
        <f aca="false">IF(A216="","",J215)</f>
        <v/>
      </c>
      <c r="L215" s="185" t="n">
        <v>0</v>
      </c>
      <c r="M215" s="201" t="str">
        <f aca="false">IF(A216="","",L215)</f>
        <v/>
      </c>
      <c r="N215" s="203"/>
      <c r="O215" s="200" t="str">
        <f aca="false">IF(A216="","",L215+J215+G215)</f>
        <v/>
      </c>
      <c r="P215" s="200" t="str">
        <f aca="false">IF(A216="","",M215+K215+H215)</f>
        <v/>
      </c>
      <c r="Q215" s="204"/>
      <c r="R215" s="200" t="str">
        <f aca="false">IF($A216="","",VLOOKUP($A215,Table,MATCH(R$4,Curves,0)))</f>
        <v/>
      </c>
      <c r="S215" s="201" t="str">
        <f aca="false">IF(A216="","",R215)</f>
        <v/>
      </c>
      <c r="T215" s="200" t="str">
        <f aca="false">IF($A216="","",VLOOKUP($A215,Table,MATCH(T$4,Curves,0)))</f>
        <v/>
      </c>
      <c r="U215" s="201" t="str">
        <f aca="false">IF(A216="","",T215)</f>
        <v/>
      </c>
      <c r="V215" s="205" t="str">
        <f aca="false">IF($A216="","",IF(AND(MONTH(A215)&gt;3,MONTH(A215)&lt;11),(T215+R215+G215)*Summary!$T$10/(1-Summary!$T$10),(T215+R215+G215)*Summary!$U$10/(1-Summary!$U$10)))</f>
        <v/>
      </c>
      <c r="W215" s="200" t="str">
        <f aca="false">IF($A216="","",(T215+R215+G215+V215))</f>
        <v/>
      </c>
      <c r="X215" s="200" t="str">
        <f aca="false">IF($A216="","",(U215+S215+H215+V215))</f>
        <v/>
      </c>
      <c r="Y215" s="202"/>
      <c r="Z215" s="185" t="str">
        <f aca="false">IF($A216="","",VLOOKUP($A215,Table,MATCH(Z$4,Curves,0)))</f>
        <v/>
      </c>
      <c r="AA215" s="185" t="str">
        <f aca="false">IF($A216="","",VLOOKUP($A215,Table,MATCH(AA$4,Curves,0)))</f>
        <v/>
      </c>
      <c r="AB215" s="185" t="e">
        <f aca="false">SQRT((AA215^2*(A215-$D$3)+Z215^2*(DAY(EOMONTH(A215,0))/2))/AK215)</f>
        <v>#VALUE!</v>
      </c>
      <c r="AC215" s="185" t="str">
        <f aca="false">IF($A216="","",VLOOKUP($A215,Table,MATCH(AC$4,Curves,0)))</f>
        <v/>
      </c>
      <c r="AD215" s="185" t="str">
        <f aca="false">IF($A216="","",VLOOKUP($A215,Table,MATCH(AD$4,Curves,0)))</f>
        <v/>
      </c>
      <c r="AE215" s="185" t="e">
        <f aca="false">SQRT((AD215^2*(A215-$D$3)+AC215^2*(DAY(EOMONTH(A215,0))/2))/AK215)</f>
        <v>#VALUE!</v>
      </c>
      <c r="AF215" s="224" t="e">
        <f aca="false">((Summary!$N$10*(AA215*AD215)*(A215-$D$3))+(Summary!$M$10*Z215*AC215*(AJ215-EOMONTH(EDATE(A215,-1),0))))/(AK215*AB215*AE215)</f>
        <v>#VALUE!</v>
      </c>
      <c r="AG215" s="207" t="str">
        <f aca="false">IF($A216="","",Summary!$Q$10)</f>
        <v/>
      </c>
      <c r="AH215" s="207" t="str">
        <f aca="false">IF($A216="","",IF(Summary!$R$10="Y",(VLOOKUP($A215,Summary!$AD$6:$AF$9,3)+'Escalating commodity'!F228),'Escalating commodity'!F228))</f>
        <v/>
      </c>
      <c r="AI215" s="207" t="str">
        <f aca="false">IF($A216="","",AH215)</f>
        <v/>
      </c>
      <c r="AJ215" s="208" t="e">
        <f aca="false">A215+DAY(EOMONTH(A215,0))/2-1</f>
        <v>#VALUE!</v>
      </c>
      <c r="AK215" s="209" t="str">
        <f aca="false">IF($A216="","",$A215-$E$1)</f>
        <v/>
      </c>
      <c r="AL215" s="182" t="str">
        <f aca="false">IF($A216="","",SPRDOPT(P215,X215,AI215,0,AB215,AE215,AF215,AK215,$AJ$2,0))</f>
        <v/>
      </c>
      <c r="AM215" s="211" t="str">
        <f aca="false">IF($A216="","",MAX(0,O215-W215-AI215))</f>
        <v/>
      </c>
      <c r="AN215" s="211" t="str">
        <f aca="false">IF($A216="","",AL215-AM215)</f>
        <v/>
      </c>
      <c r="AO215" s="137" t="str">
        <f aca="false">IF(A216="","",A216-A215)</f>
        <v/>
      </c>
      <c r="AP215" s="212" t="str">
        <f aca="false">IF(A216="","",CHOOSE(F$3,A216+24,A215))</f>
        <v/>
      </c>
      <c r="AQ215" s="209" t="str">
        <f aca="false">IF(A216="","",AP215-$E$1)</f>
        <v/>
      </c>
      <c r="AR215" s="185" t="n">
        <f aca="false">'ANR OK vs ML7'!AR215</f>
        <v>0.1</v>
      </c>
      <c r="AS215" s="213" t="str">
        <f aca="false">IF(A216="","",1/(1+CHOOSE(F$3,(AR216+($I$3/10000))/2,(AR215+($I$3/10000))/2))^(2*AQ215/365.25))</f>
        <v/>
      </c>
      <c r="AT215" s="137" t="str">
        <f aca="false">IF(A216="","",IF(AND(mthbeg&lt;=A215,mthend&gt;=A215),1,0))</f>
        <v/>
      </c>
      <c r="AU215" s="137" t="str">
        <f aca="false">IF(A216="","",AO215*AT215)</f>
        <v/>
      </c>
      <c r="AW215" s="195" t="str">
        <f aca="false">IF($A216="","",AL215*$E215)</f>
        <v/>
      </c>
      <c r="AX215" s="195" t="str">
        <f aca="false">IF($A216="","",AM215*$E215)</f>
        <v/>
      </c>
      <c r="AY215" s="195" t="str">
        <f aca="false">IF($A216="","",AN215*$E215)</f>
        <v/>
      </c>
      <c r="BA215" s="195" t="str">
        <f aca="false">IF($A216="","",F215*Summary!$Q$10)</f>
        <v/>
      </c>
    </row>
    <row r="216" customFormat="false" ht="12" hidden="false" customHeight="true" outlineLevel="0" collapsed="false">
      <c r="A216" s="196" t="str">
        <f aca="false">IF(A215&lt;mthend,EDATE(A215,1),"")</f>
        <v/>
      </c>
      <c r="B216" s="197" t="str">
        <f aca="false">IF(A216&lt;mthend,B215,"")</f>
        <v/>
      </c>
      <c r="C216" s="215"/>
      <c r="D216" s="197" t="str">
        <f aca="false">IF(A217&lt;&gt;"",B216+C216,"")</f>
        <v/>
      </c>
      <c r="E216" s="199" t="str">
        <f aca="false">IF(A217="","",IF(AND(AT216=1,$H$3=1),D216*AO216,IF($H$3=2,D216,"N/A")))</f>
        <v/>
      </c>
      <c r="F216" s="199" t="str">
        <f aca="false">IF(A217="","",E216*AS216)</f>
        <v/>
      </c>
      <c r="G216" s="200" t="str">
        <f aca="false">IF($A217="","",VLOOKUP($A216,Table,MATCH(G$4,Curves,0)))</f>
        <v/>
      </c>
      <c r="H216" s="201" t="str">
        <f aca="false">IF(A217="","",G216)</f>
        <v/>
      </c>
      <c r="I216" s="202"/>
      <c r="J216" s="200" t="str">
        <f aca="false">IF($A217="","",VLOOKUP($A216,Table,MATCH(J$4,Curves,0)))</f>
        <v/>
      </c>
      <c r="K216" s="201" t="str">
        <f aca="false">IF(A217="","",J216)</f>
        <v/>
      </c>
      <c r="L216" s="185" t="n">
        <v>0</v>
      </c>
      <c r="M216" s="201" t="str">
        <f aca="false">IF(A217="","",L216)</f>
        <v/>
      </c>
      <c r="N216" s="203"/>
      <c r="O216" s="200" t="str">
        <f aca="false">IF(A217="","",L216+J216+G216)</f>
        <v/>
      </c>
      <c r="P216" s="200" t="str">
        <f aca="false">IF(A217="","",M216+K216+H216)</f>
        <v/>
      </c>
      <c r="Q216" s="204"/>
      <c r="R216" s="200" t="str">
        <f aca="false">IF($A217="","",VLOOKUP($A216,Table,MATCH(R$4,Curves,0)))</f>
        <v/>
      </c>
      <c r="S216" s="201" t="str">
        <f aca="false">IF(A217="","",R216)</f>
        <v/>
      </c>
      <c r="T216" s="200" t="str">
        <f aca="false">IF($A217="","",VLOOKUP($A216,Table,MATCH(T$4,Curves,0)))</f>
        <v/>
      </c>
      <c r="U216" s="201" t="str">
        <f aca="false">IF(A217="","",T216)</f>
        <v/>
      </c>
      <c r="V216" s="205" t="str">
        <f aca="false">IF($A217="","",IF(AND(MONTH(A216)&gt;3,MONTH(A216)&lt;11),(T216+R216+G216)*Summary!$T$10/(1-Summary!$T$10),(T216+R216+G216)*Summary!$U$10/(1-Summary!$U$10)))</f>
        <v/>
      </c>
      <c r="W216" s="200" t="str">
        <f aca="false">IF($A217="","",(T216+R216+G216+V216))</f>
        <v/>
      </c>
      <c r="X216" s="200" t="str">
        <f aca="false">IF($A217="","",(U216+S216+H216+V216))</f>
        <v/>
      </c>
      <c r="Y216" s="202"/>
      <c r="Z216" s="185" t="str">
        <f aca="false">IF($A217="","",VLOOKUP($A216,Table,MATCH(Z$4,Curves,0)))</f>
        <v/>
      </c>
      <c r="AA216" s="185" t="str">
        <f aca="false">IF($A217="","",VLOOKUP($A216,Table,MATCH(AA$4,Curves,0)))</f>
        <v/>
      </c>
      <c r="AB216" s="185" t="e">
        <f aca="false">SQRT((AA216^2*(A216-$D$3)+Z216^2*(DAY(EOMONTH(A216,0))/2))/AK216)</f>
        <v>#VALUE!</v>
      </c>
      <c r="AC216" s="185" t="str">
        <f aca="false">IF($A217="","",VLOOKUP($A216,Table,MATCH(AC$4,Curves,0)))</f>
        <v/>
      </c>
      <c r="AD216" s="185" t="str">
        <f aca="false">IF($A217="","",VLOOKUP($A216,Table,MATCH(AD$4,Curves,0)))</f>
        <v/>
      </c>
      <c r="AE216" s="185" t="e">
        <f aca="false">SQRT((AD216^2*(A216-$D$3)+AC216^2*(DAY(EOMONTH(A216,0))/2))/AK216)</f>
        <v>#VALUE!</v>
      </c>
      <c r="AF216" s="224" t="e">
        <f aca="false">((Summary!$N$10*(AA216*AD216)*(A216-$D$3))+(Summary!$M$10*Z216*AC216*(AJ216-EOMONTH(EDATE(A216,-1),0))))/(AK216*AB216*AE216)</f>
        <v>#VALUE!</v>
      </c>
      <c r="AG216" s="207" t="str">
        <f aca="false">IF($A217="","",Summary!$Q$10)</f>
        <v/>
      </c>
      <c r="AH216" s="207" t="str">
        <f aca="false">IF($A217="","",IF(Summary!$R$10="Y",(VLOOKUP($A216,Summary!$AD$6:$AF$9,3)+'Escalating commodity'!F229),'Escalating commodity'!F229))</f>
        <v/>
      </c>
      <c r="AI216" s="207" t="str">
        <f aca="false">IF($A217="","",AH216)</f>
        <v/>
      </c>
      <c r="AJ216" s="208" t="e">
        <f aca="false">A216+DAY(EOMONTH(A216,0))/2-1</f>
        <v>#VALUE!</v>
      </c>
      <c r="AK216" s="209" t="str">
        <f aca="false">IF($A217="","",$A216-$E$1)</f>
        <v/>
      </c>
      <c r="AL216" s="182" t="str">
        <f aca="false">IF($A217="","",SPRDOPT(P216,X216,AI216,0,AB216,AE216,AF216,AK216,$AJ$2,0))</f>
        <v/>
      </c>
      <c r="AM216" s="211" t="str">
        <f aca="false">IF($A217="","",MAX(0,O216-W216-AI216))</f>
        <v/>
      </c>
      <c r="AN216" s="211" t="str">
        <f aca="false">IF($A217="","",AL216-AM216)</f>
        <v/>
      </c>
      <c r="AO216" s="137" t="str">
        <f aca="false">IF(A217="","",A217-A216)</f>
        <v/>
      </c>
      <c r="AP216" s="212" t="str">
        <f aca="false">IF(A217="","",CHOOSE(F$3,A217+24,A216))</f>
        <v/>
      </c>
      <c r="AQ216" s="209" t="str">
        <f aca="false">IF(A217="","",AP216-$E$1)</f>
        <v/>
      </c>
      <c r="AR216" s="185" t="n">
        <f aca="false">'ANR OK vs ML7'!AR216</f>
        <v>0.1</v>
      </c>
      <c r="AS216" s="213" t="str">
        <f aca="false">IF(A217="","",1/(1+CHOOSE(F$3,(AR217+($I$3/10000))/2,(AR216+($I$3/10000))/2))^(2*AQ216/365.25))</f>
        <v/>
      </c>
      <c r="AT216" s="137" t="str">
        <f aca="false">IF(A217="","",IF(AND(mthbeg&lt;=A216,mthend&gt;=A216),1,0))</f>
        <v/>
      </c>
      <c r="AU216" s="137" t="str">
        <f aca="false">IF(A217="","",AO216*AT216)</f>
        <v/>
      </c>
      <c r="AW216" s="195" t="str">
        <f aca="false">IF($A217="","",AL216*$E216)</f>
        <v/>
      </c>
      <c r="AX216" s="195" t="str">
        <f aca="false">IF($A217="","",AM216*$E216)</f>
        <v/>
      </c>
      <c r="AY216" s="195" t="str">
        <f aca="false">IF($A217="","",AN216*$E216)</f>
        <v/>
      </c>
      <c r="BA216" s="195" t="str">
        <f aca="false">IF($A217="","",F216*Summary!$Q$10)</f>
        <v/>
      </c>
    </row>
    <row r="217" customFormat="false" ht="12" hidden="false" customHeight="true" outlineLevel="0" collapsed="false">
      <c r="A217" s="196" t="str">
        <f aca="false">IF(A216&lt;mthend,EDATE(A216,1),"")</f>
        <v/>
      </c>
      <c r="B217" s="197" t="str">
        <f aca="false">IF(A217&lt;mthend,B216,"")</f>
        <v/>
      </c>
      <c r="C217" s="215"/>
      <c r="D217" s="197" t="str">
        <f aca="false">IF(A218&lt;&gt;"",B217+C217,"")</f>
        <v/>
      </c>
      <c r="E217" s="199" t="str">
        <f aca="false">IF(A218="","",IF(AND(AT217=1,$H$3=1),D217*AO217,IF($H$3=2,D217,"N/A")))</f>
        <v/>
      </c>
      <c r="F217" s="199" t="str">
        <f aca="false">IF(A218="","",E217*AS217)</f>
        <v/>
      </c>
      <c r="G217" s="200" t="str">
        <f aca="false">IF($A218="","",VLOOKUP($A217,Table,MATCH(G$4,Curves,0)))</f>
        <v/>
      </c>
      <c r="H217" s="201" t="str">
        <f aca="false">IF(A218="","",G217)</f>
        <v/>
      </c>
      <c r="I217" s="202"/>
      <c r="J217" s="200" t="str">
        <f aca="false">IF($A218="","",VLOOKUP($A217,Table,MATCH(J$4,Curves,0)))</f>
        <v/>
      </c>
      <c r="K217" s="201" t="str">
        <f aca="false">IF(A218="","",J217)</f>
        <v/>
      </c>
      <c r="L217" s="185" t="n">
        <v>0</v>
      </c>
      <c r="M217" s="201" t="str">
        <f aca="false">IF(A218="","",L217)</f>
        <v/>
      </c>
      <c r="N217" s="203"/>
      <c r="O217" s="200" t="str">
        <f aca="false">IF(A218="","",L217+J217+G217)</f>
        <v/>
      </c>
      <c r="P217" s="200" t="str">
        <f aca="false">IF(A218="","",M217+K217+H217)</f>
        <v/>
      </c>
      <c r="Q217" s="204"/>
      <c r="R217" s="200" t="str">
        <f aca="false">IF($A218="","",VLOOKUP($A217,Table,MATCH(R$4,Curves,0)))</f>
        <v/>
      </c>
      <c r="S217" s="201" t="str">
        <f aca="false">IF(A218="","",R217)</f>
        <v/>
      </c>
      <c r="T217" s="200" t="str">
        <f aca="false">IF($A218="","",VLOOKUP($A217,Table,MATCH(T$4,Curves,0)))</f>
        <v/>
      </c>
      <c r="U217" s="201" t="str">
        <f aca="false">IF(A218="","",T217)</f>
        <v/>
      </c>
      <c r="V217" s="205" t="str">
        <f aca="false">IF($A218="","",IF(AND(MONTH(A217)&gt;3,MONTH(A217)&lt;11),(T217+R217+G217)*Summary!$T$10/(1-Summary!$T$10),(T217+R217+G217)*Summary!$U$10/(1-Summary!$U$10)))</f>
        <v/>
      </c>
      <c r="W217" s="200" t="str">
        <f aca="false">IF($A218="","",(T217+R217+G217+V217))</f>
        <v/>
      </c>
      <c r="X217" s="200" t="str">
        <f aca="false">IF($A218="","",(U217+S217+H217+V217))</f>
        <v/>
      </c>
      <c r="Y217" s="202"/>
      <c r="Z217" s="185" t="str">
        <f aca="false">IF($A218="","",VLOOKUP($A217,Table,MATCH(Z$4,Curves,0)))</f>
        <v/>
      </c>
      <c r="AA217" s="185" t="str">
        <f aca="false">IF($A218="","",VLOOKUP($A217,Table,MATCH(AA$4,Curves,0)))</f>
        <v/>
      </c>
      <c r="AB217" s="185" t="e">
        <f aca="false">SQRT((AA217^2*(A217-$D$3)+Z217^2*(DAY(EOMONTH(A217,0))/2))/AK217)</f>
        <v>#VALUE!</v>
      </c>
      <c r="AC217" s="185" t="str">
        <f aca="false">IF($A218="","",VLOOKUP($A217,Table,MATCH(AC$4,Curves,0)))</f>
        <v/>
      </c>
      <c r="AD217" s="185" t="str">
        <f aca="false">IF($A218="","",VLOOKUP($A217,Table,MATCH(AD$4,Curves,0)))</f>
        <v/>
      </c>
      <c r="AE217" s="185" t="e">
        <f aca="false">SQRT((AD217^2*(A217-$D$3)+AC217^2*(DAY(EOMONTH(A217,0))/2))/AK217)</f>
        <v>#VALUE!</v>
      </c>
      <c r="AF217" s="224" t="e">
        <f aca="false">((Summary!$N$10*(AA217*AD217)*(A217-$D$3))+(Summary!$M$10*Z217*AC217*(AJ217-EOMONTH(EDATE(A217,-1),0))))/(AK217*AB217*AE217)</f>
        <v>#VALUE!</v>
      </c>
      <c r="AG217" s="207" t="str">
        <f aca="false">IF($A218="","",Summary!$Q$10)</f>
        <v/>
      </c>
      <c r="AH217" s="207" t="str">
        <f aca="false">IF($A218="","",IF(Summary!$R$10="Y",(VLOOKUP($A217,Summary!$AD$6:$AF$9,3)+'Escalating commodity'!F230),'Escalating commodity'!F230))</f>
        <v/>
      </c>
      <c r="AI217" s="207" t="str">
        <f aca="false">IF($A218="","",AH217)</f>
        <v/>
      </c>
      <c r="AJ217" s="208" t="e">
        <f aca="false">A217+DAY(EOMONTH(A217,0))/2-1</f>
        <v>#VALUE!</v>
      </c>
      <c r="AK217" s="209" t="str">
        <f aca="false">IF($A218="","",$A217-$E$1)</f>
        <v/>
      </c>
      <c r="AL217" s="182" t="str">
        <f aca="false">IF($A218="","",SPRDOPT(P217,X217,AI217,0,AB217,AE217,AF217,AK217,$AJ$2,0))</f>
        <v/>
      </c>
      <c r="AM217" s="211" t="str">
        <f aca="false">IF($A218="","",MAX(0,O217-W217-AI217))</f>
        <v/>
      </c>
      <c r="AN217" s="211" t="str">
        <f aca="false">IF($A218="","",AL217-AM217)</f>
        <v/>
      </c>
      <c r="AO217" s="137" t="str">
        <f aca="false">IF(A218="","",A218-A217)</f>
        <v/>
      </c>
      <c r="AP217" s="212" t="str">
        <f aca="false">IF(A218="","",CHOOSE(F$3,A218+24,A217))</f>
        <v/>
      </c>
      <c r="AQ217" s="209" t="str">
        <f aca="false">IF(A218="","",AP217-$E$1)</f>
        <v/>
      </c>
      <c r="AR217" s="185" t="n">
        <f aca="false">'ANR OK vs ML7'!AR217</f>
        <v>0.1</v>
      </c>
      <c r="AS217" s="213" t="str">
        <f aca="false">IF(A218="","",1/(1+CHOOSE(F$3,(AR218+($I$3/10000))/2,(AR217+($I$3/10000))/2))^(2*AQ217/365.25))</f>
        <v/>
      </c>
      <c r="AT217" s="137" t="str">
        <f aca="false">IF(A218="","",IF(AND(mthbeg&lt;=A217,mthend&gt;=A217),1,0))</f>
        <v/>
      </c>
      <c r="AU217" s="137" t="str">
        <f aca="false">IF(A218="","",AO217*AT217)</f>
        <v/>
      </c>
      <c r="AW217" s="195" t="str">
        <f aca="false">IF($A218="","",AL217*$E217)</f>
        <v/>
      </c>
      <c r="AX217" s="195" t="str">
        <f aca="false">IF($A218="","",AM217*$E217)</f>
        <v/>
      </c>
      <c r="AY217" s="195" t="str">
        <f aca="false">IF($A218="","",AN217*$E217)</f>
        <v/>
      </c>
      <c r="BA217" s="195" t="str">
        <f aca="false">IF($A218="","",F217*Summary!$Q$10)</f>
        <v/>
      </c>
    </row>
    <row r="218" customFormat="false" ht="12" hidden="false" customHeight="true" outlineLevel="0" collapsed="false">
      <c r="A218" s="196" t="str">
        <f aca="false">IF(A217&lt;mthend,EDATE(A217,1),"")</f>
        <v/>
      </c>
      <c r="B218" s="197" t="str">
        <f aca="false">IF(A218&lt;mthend,B217,"")</f>
        <v/>
      </c>
      <c r="C218" s="215"/>
      <c r="D218" s="197" t="str">
        <f aca="false">IF(A219&lt;&gt;"",B218+C218,"")</f>
        <v/>
      </c>
      <c r="E218" s="199" t="str">
        <f aca="false">IF(A219="","",IF(AND(AT218=1,$H$3=1),D218*AO218,IF($H$3=2,D218,"N/A")))</f>
        <v/>
      </c>
      <c r="F218" s="199" t="str">
        <f aca="false">IF(A219="","",E218*AS218)</f>
        <v/>
      </c>
      <c r="G218" s="200" t="str">
        <f aca="false">IF($A219="","",VLOOKUP($A218,Table,MATCH(G$4,Curves,0)))</f>
        <v/>
      </c>
      <c r="H218" s="201" t="str">
        <f aca="false">IF(A219="","",G218)</f>
        <v/>
      </c>
      <c r="I218" s="202"/>
      <c r="J218" s="200" t="str">
        <f aca="false">IF($A219="","",VLOOKUP($A218,Table,MATCH(J$4,Curves,0)))</f>
        <v/>
      </c>
      <c r="K218" s="201" t="str">
        <f aca="false">IF(A219="","",J218)</f>
        <v/>
      </c>
      <c r="L218" s="185" t="n">
        <v>0</v>
      </c>
      <c r="M218" s="201" t="str">
        <f aca="false">IF(A219="","",L218)</f>
        <v/>
      </c>
      <c r="N218" s="203"/>
      <c r="O218" s="200" t="str">
        <f aca="false">IF(A219="","",L218+J218+G218)</f>
        <v/>
      </c>
      <c r="P218" s="200" t="str">
        <f aca="false">IF(A219="","",M218+K218+H218)</f>
        <v/>
      </c>
      <c r="Q218" s="204"/>
      <c r="R218" s="200" t="str">
        <f aca="false">IF($A219="","",VLOOKUP($A218,Table,MATCH(R$4,Curves,0)))</f>
        <v/>
      </c>
      <c r="S218" s="201" t="str">
        <f aca="false">IF(A219="","",R218)</f>
        <v/>
      </c>
      <c r="T218" s="200" t="str">
        <f aca="false">IF($A219="","",VLOOKUP($A218,Table,MATCH(T$4,Curves,0)))</f>
        <v/>
      </c>
      <c r="U218" s="201" t="str">
        <f aca="false">IF(A219="","",T218)</f>
        <v/>
      </c>
      <c r="V218" s="205" t="str">
        <f aca="false">IF($A219="","",IF(AND(MONTH(A218)&gt;3,MONTH(A218)&lt;11),(T218+R218+G218)*Summary!$T$10/(1-Summary!$T$10),(T218+R218+G218)*Summary!$U$10/(1-Summary!$U$10)))</f>
        <v/>
      </c>
      <c r="W218" s="200" t="str">
        <f aca="false">IF($A219="","",(T218+R218+G218+V218))</f>
        <v/>
      </c>
      <c r="X218" s="200" t="str">
        <f aca="false">IF($A219="","",(U218+S218+H218+V218))</f>
        <v/>
      </c>
      <c r="Y218" s="202"/>
      <c r="Z218" s="185" t="str">
        <f aca="false">IF($A219="","",VLOOKUP($A218,Table,MATCH(Z$4,Curves,0)))</f>
        <v/>
      </c>
      <c r="AA218" s="185" t="str">
        <f aca="false">IF($A219="","",VLOOKUP($A218,Table,MATCH(AA$4,Curves,0)))</f>
        <v/>
      </c>
      <c r="AB218" s="185" t="e">
        <f aca="false">SQRT((AA218^2*(A218-$D$3)+Z218^2*(DAY(EOMONTH(A218,0))/2))/AK218)</f>
        <v>#VALUE!</v>
      </c>
      <c r="AC218" s="185" t="str">
        <f aca="false">IF($A219="","",VLOOKUP($A218,Table,MATCH(AC$4,Curves,0)))</f>
        <v/>
      </c>
      <c r="AD218" s="185" t="str">
        <f aca="false">IF($A219="","",VLOOKUP($A218,Table,MATCH(AD$4,Curves,0)))</f>
        <v/>
      </c>
      <c r="AE218" s="185" t="e">
        <f aca="false">SQRT((AD218^2*(A218-$D$3)+AC218^2*(DAY(EOMONTH(A218,0))/2))/AK218)</f>
        <v>#VALUE!</v>
      </c>
      <c r="AF218" s="224" t="e">
        <f aca="false">((Summary!$N$10*(AA218*AD218)*(A218-$D$3))+(Summary!$M$10*Z218*AC218*(AJ218-EOMONTH(EDATE(A218,-1),0))))/(AK218*AB218*AE218)</f>
        <v>#VALUE!</v>
      </c>
      <c r="AG218" s="207" t="str">
        <f aca="false">IF($A219="","",Summary!$Q$10)</f>
        <v/>
      </c>
      <c r="AH218" s="207" t="str">
        <f aca="false">IF($A219="","",IF(Summary!$R$10="Y",(VLOOKUP($A218,Summary!$AD$6:$AF$9,3)+'Escalating commodity'!F231),'Escalating commodity'!F231))</f>
        <v/>
      </c>
      <c r="AI218" s="207" t="str">
        <f aca="false">IF($A219="","",AH218)</f>
        <v/>
      </c>
      <c r="AJ218" s="208" t="e">
        <f aca="false">A218+DAY(EOMONTH(A218,0))/2-1</f>
        <v>#VALUE!</v>
      </c>
      <c r="AK218" s="209" t="str">
        <f aca="false">IF($A219="","",$A218-$E$1)</f>
        <v/>
      </c>
      <c r="AL218" s="182" t="str">
        <f aca="false">IF($A219="","",SPRDOPT(P218,X218,AI218,0,AB218,AE218,AF218,AK218,$AJ$2,0))</f>
        <v/>
      </c>
      <c r="AM218" s="211" t="str">
        <f aca="false">IF($A219="","",MAX(0,O218-W218-AI218))</f>
        <v/>
      </c>
      <c r="AN218" s="211" t="str">
        <f aca="false">IF($A219="","",AL218-AM218)</f>
        <v/>
      </c>
      <c r="AO218" s="137" t="str">
        <f aca="false">IF(A219="","",A219-A218)</f>
        <v/>
      </c>
      <c r="AP218" s="212" t="str">
        <f aca="false">IF(A219="","",CHOOSE(F$3,A219+24,A218))</f>
        <v/>
      </c>
      <c r="AQ218" s="209" t="str">
        <f aca="false">IF(A219="","",AP218-$E$1)</f>
        <v/>
      </c>
      <c r="AR218" s="185" t="n">
        <f aca="false">'ANR OK vs ML7'!AR218</f>
        <v>0.1</v>
      </c>
      <c r="AS218" s="213" t="str">
        <f aca="false">IF(A219="","",1/(1+CHOOSE(F$3,(AR219+($I$3/10000))/2,(AR218+($I$3/10000))/2))^(2*AQ218/365.25))</f>
        <v/>
      </c>
      <c r="AT218" s="137" t="str">
        <f aca="false">IF(A219="","",IF(AND(mthbeg&lt;=A218,mthend&gt;=A218),1,0))</f>
        <v/>
      </c>
      <c r="AU218" s="137" t="str">
        <f aca="false">IF(A219="","",AO218*AT218)</f>
        <v/>
      </c>
      <c r="AW218" s="195" t="str">
        <f aca="false">IF($A219="","",AL218*$E218)</f>
        <v/>
      </c>
      <c r="AX218" s="195" t="str">
        <f aca="false">IF($A219="","",AM218*$E218)</f>
        <v/>
      </c>
      <c r="AY218" s="195" t="str">
        <f aca="false">IF($A219="","",AN218*$E218)</f>
        <v/>
      </c>
      <c r="BA218" s="195" t="str">
        <f aca="false">IF($A219="","",F218*Summary!$Q$10)</f>
        <v/>
      </c>
    </row>
    <row r="219" customFormat="false" ht="12" hidden="false" customHeight="true" outlineLevel="0" collapsed="false">
      <c r="A219" s="196" t="str">
        <f aca="false">IF(A218&lt;mthend,EDATE(A218,1),"")</f>
        <v/>
      </c>
      <c r="B219" s="197" t="str">
        <f aca="false">IF(A219&lt;mthend,B218,"")</f>
        <v/>
      </c>
      <c r="C219" s="215"/>
      <c r="D219" s="197" t="str">
        <f aca="false">IF(A220&lt;&gt;"",B219+C219,"")</f>
        <v/>
      </c>
      <c r="E219" s="199" t="str">
        <f aca="false">IF(A220="","",IF(AND(AT219=1,$H$3=1),D219*AO219,IF($H$3=2,D219,"N/A")))</f>
        <v/>
      </c>
      <c r="F219" s="199" t="str">
        <f aca="false">IF(A220="","",E219*AS219)</f>
        <v/>
      </c>
      <c r="G219" s="200" t="str">
        <f aca="false">IF($A220="","",VLOOKUP($A219,Table,MATCH(G$4,Curves,0)))</f>
        <v/>
      </c>
      <c r="H219" s="201" t="str">
        <f aca="false">IF(A220="","",G219)</f>
        <v/>
      </c>
      <c r="I219" s="202"/>
      <c r="J219" s="200" t="str">
        <f aca="false">IF($A220="","",VLOOKUP($A219,Table,MATCH(J$4,Curves,0)))</f>
        <v/>
      </c>
      <c r="K219" s="201" t="str">
        <f aca="false">IF(A220="","",J219)</f>
        <v/>
      </c>
      <c r="L219" s="185" t="n">
        <v>0</v>
      </c>
      <c r="M219" s="201" t="str">
        <f aca="false">IF(A220="","",L219)</f>
        <v/>
      </c>
      <c r="N219" s="203"/>
      <c r="O219" s="200" t="str">
        <f aca="false">IF(A220="","",L219+J219+G219)</f>
        <v/>
      </c>
      <c r="P219" s="200" t="str">
        <f aca="false">IF(A220="","",M219+K219+H219)</f>
        <v/>
      </c>
      <c r="Q219" s="204"/>
      <c r="R219" s="200" t="str">
        <f aca="false">IF($A220="","",VLOOKUP($A219,Table,MATCH(R$4,Curves,0)))</f>
        <v/>
      </c>
      <c r="S219" s="201" t="str">
        <f aca="false">IF(A220="","",R219)</f>
        <v/>
      </c>
      <c r="T219" s="200" t="str">
        <f aca="false">IF($A220="","",VLOOKUP($A219,Table,MATCH(T$4,Curves,0)))</f>
        <v/>
      </c>
      <c r="U219" s="201" t="str">
        <f aca="false">IF(A220="","",T219)</f>
        <v/>
      </c>
      <c r="V219" s="205" t="str">
        <f aca="false">IF($A220="","",IF(AND(MONTH(A219)&gt;3,MONTH(A219)&lt;11),(T219+R219+G219)*Summary!$T$10/(1-Summary!$T$10),(T219+R219+G219)*Summary!$U$10/(1-Summary!$U$10)))</f>
        <v/>
      </c>
      <c r="W219" s="200" t="str">
        <f aca="false">IF($A220="","",(T219+R219+G219+V219))</f>
        <v/>
      </c>
      <c r="X219" s="200" t="str">
        <f aca="false">IF($A220="","",(U219+S219+H219+V219))</f>
        <v/>
      </c>
      <c r="Y219" s="202"/>
      <c r="Z219" s="185" t="str">
        <f aca="false">IF($A220="","",VLOOKUP($A219,Table,MATCH(Z$4,Curves,0)))</f>
        <v/>
      </c>
      <c r="AA219" s="185" t="str">
        <f aca="false">IF($A220="","",VLOOKUP($A219,Table,MATCH(AA$4,Curves,0)))</f>
        <v/>
      </c>
      <c r="AB219" s="185" t="e">
        <f aca="false">SQRT((AA219^2*(A219-$D$3)+Z219^2*(DAY(EOMONTH(A219,0))/2))/AK219)</f>
        <v>#VALUE!</v>
      </c>
      <c r="AC219" s="185" t="str">
        <f aca="false">IF($A220="","",VLOOKUP($A219,Table,MATCH(AC$4,Curves,0)))</f>
        <v/>
      </c>
      <c r="AD219" s="185" t="str">
        <f aca="false">IF($A220="","",VLOOKUP($A219,Table,MATCH(AD$4,Curves,0)))</f>
        <v/>
      </c>
      <c r="AE219" s="185" t="e">
        <f aca="false">SQRT((AD219^2*(A219-$D$3)+AC219^2*(DAY(EOMONTH(A219,0))/2))/AK219)</f>
        <v>#VALUE!</v>
      </c>
      <c r="AF219" s="224" t="e">
        <f aca="false">((Summary!$N$10*(AA219*AD219)*(A219-$D$3))+(Summary!$M$10*Z219*AC219*(AJ219-EOMONTH(EDATE(A219,-1),0))))/(AK219*AB219*AE219)</f>
        <v>#VALUE!</v>
      </c>
      <c r="AG219" s="207" t="str">
        <f aca="false">IF($A220="","",Summary!$Q$10)</f>
        <v/>
      </c>
      <c r="AH219" s="207" t="str">
        <f aca="false">IF($A220="","",IF(Summary!$R$10="Y",(VLOOKUP($A219,Summary!$AD$6:$AF$9,3)+'Escalating commodity'!F232),'Escalating commodity'!F232))</f>
        <v/>
      </c>
      <c r="AI219" s="207" t="str">
        <f aca="false">IF($A220="","",AH219)</f>
        <v/>
      </c>
      <c r="AJ219" s="208" t="e">
        <f aca="false">A219+DAY(EOMONTH(A219,0))/2-1</f>
        <v>#VALUE!</v>
      </c>
      <c r="AK219" s="209" t="str">
        <f aca="false">IF($A220="","",$A219-$E$1)</f>
        <v/>
      </c>
      <c r="AL219" s="182" t="str">
        <f aca="false">IF($A220="","",SPRDOPT(P219,X219,AI219,0,AB219,AE219,AF219,AK219,$AJ$2,0))</f>
        <v/>
      </c>
      <c r="AM219" s="211" t="str">
        <f aca="false">IF($A220="","",MAX(0,O219-W219-AI219))</f>
        <v/>
      </c>
      <c r="AN219" s="211" t="str">
        <f aca="false">IF($A220="","",AL219-AM219)</f>
        <v/>
      </c>
      <c r="AO219" s="137" t="str">
        <f aca="false">IF(A220="","",A220-A219)</f>
        <v/>
      </c>
      <c r="AP219" s="212" t="str">
        <f aca="false">IF(A220="","",CHOOSE(F$3,A220+24,A219))</f>
        <v/>
      </c>
      <c r="AQ219" s="209" t="str">
        <f aca="false">IF(A220="","",AP219-$E$1)</f>
        <v/>
      </c>
      <c r="AR219" s="185" t="n">
        <f aca="false">'ANR OK vs ML7'!AR219</f>
        <v>0.1</v>
      </c>
      <c r="AS219" s="213" t="str">
        <f aca="false">IF(A220="","",1/(1+CHOOSE(F$3,(AR220+($I$3/10000))/2,(AR219+($I$3/10000))/2))^(2*AQ219/365.25))</f>
        <v/>
      </c>
      <c r="AT219" s="137" t="str">
        <f aca="false">IF(A220="","",IF(AND(mthbeg&lt;=A219,mthend&gt;=A219),1,0))</f>
        <v/>
      </c>
      <c r="AU219" s="137" t="str">
        <f aca="false">IF(A220="","",AO219*AT219)</f>
        <v/>
      </c>
      <c r="AW219" s="195" t="str">
        <f aca="false">IF($A220="","",AL219*$E219)</f>
        <v/>
      </c>
      <c r="AX219" s="195" t="str">
        <f aca="false">IF($A220="","",AM219*$E219)</f>
        <v/>
      </c>
      <c r="AY219" s="195" t="str">
        <f aca="false">IF($A220="","",AN219*$E219)</f>
        <v/>
      </c>
      <c r="BA219" s="195" t="str">
        <f aca="false">IF($A220="","",F219*Summary!$Q$10)</f>
        <v/>
      </c>
    </row>
    <row r="220" customFormat="false" ht="12" hidden="false" customHeight="true" outlineLevel="0" collapsed="false">
      <c r="A220" s="196" t="str">
        <f aca="false">IF(A219&lt;mthend,EDATE(A219,1),"")</f>
        <v/>
      </c>
      <c r="B220" s="197" t="str">
        <f aca="false">IF(A220&lt;mthend,B219,"")</f>
        <v/>
      </c>
      <c r="C220" s="215"/>
      <c r="D220" s="197" t="str">
        <f aca="false">IF(A221&lt;&gt;"",B220+C220,"")</f>
        <v/>
      </c>
      <c r="E220" s="199" t="str">
        <f aca="false">IF(A221="","",IF(AND(AT220=1,$H$3=1),D220*AO220,IF($H$3=2,D220,"N/A")))</f>
        <v/>
      </c>
      <c r="F220" s="199" t="str">
        <f aca="false">IF(A221="","",E220*AS220)</f>
        <v/>
      </c>
      <c r="G220" s="200" t="str">
        <f aca="false">IF($A221="","",VLOOKUP($A220,Table,MATCH(G$4,Curves,0)))</f>
        <v/>
      </c>
      <c r="H220" s="201" t="str">
        <f aca="false">IF(A221="","",G220)</f>
        <v/>
      </c>
      <c r="I220" s="202"/>
      <c r="J220" s="200" t="str">
        <f aca="false">IF($A221="","",VLOOKUP($A220,Table,MATCH(J$4,Curves,0)))</f>
        <v/>
      </c>
      <c r="K220" s="201" t="str">
        <f aca="false">IF(A221="","",J220)</f>
        <v/>
      </c>
      <c r="L220" s="185" t="n">
        <v>0</v>
      </c>
      <c r="M220" s="201" t="str">
        <f aca="false">IF(A221="","",L220)</f>
        <v/>
      </c>
      <c r="N220" s="203"/>
      <c r="O220" s="200" t="str">
        <f aca="false">IF(A221="","",L220+J220+G220)</f>
        <v/>
      </c>
      <c r="P220" s="200" t="str">
        <f aca="false">IF(A221="","",M220+K220+H220)</f>
        <v/>
      </c>
      <c r="Q220" s="204"/>
      <c r="R220" s="200" t="str">
        <f aca="false">IF($A221="","",VLOOKUP($A220,Table,MATCH(R$4,Curves,0)))</f>
        <v/>
      </c>
      <c r="S220" s="201" t="str">
        <f aca="false">IF(A221="","",R220)</f>
        <v/>
      </c>
      <c r="T220" s="200" t="str">
        <f aca="false">IF($A221="","",VLOOKUP($A220,Table,MATCH(T$4,Curves,0)))</f>
        <v/>
      </c>
      <c r="U220" s="201" t="str">
        <f aca="false">IF(A221="","",T220)</f>
        <v/>
      </c>
      <c r="V220" s="205" t="str">
        <f aca="false">IF($A221="","",IF(AND(MONTH(A220)&gt;3,MONTH(A220)&lt;11),(T220+R220+G220)*Summary!$T$10/(1-Summary!$T$10),(T220+R220+G220)*Summary!$U$10/(1-Summary!$U$10)))</f>
        <v/>
      </c>
      <c r="W220" s="200" t="str">
        <f aca="false">IF($A221="","",(T220+R220+G220+V220))</f>
        <v/>
      </c>
      <c r="X220" s="200" t="str">
        <f aca="false">IF($A221="","",(U220+S220+H220+V220))</f>
        <v/>
      </c>
      <c r="Y220" s="202"/>
      <c r="Z220" s="185" t="str">
        <f aca="false">IF($A221="","",VLOOKUP($A220,Table,MATCH(Z$4,Curves,0)))</f>
        <v/>
      </c>
      <c r="AA220" s="185" t="str">
        <f aca="false">IF($A221="","",VLOOKUP($A220,Table,MATCH(AA$4,Curves,0)))</f>
        <v/>
      </c>
      <c r="AB220" s="185" t="e">
        <f aca="false">SQRT((AA220^2*(A220-$D$3)+Z220^2*(DAY(EOMONTH(A220,0))/2))/AK220)</f>
        <v>#VALUE!</v>
      </c>
      <c r="AC220" s="185" t="str">
        <f aca="false">IF($A221="","",VLOOKUP($A220,Table,MATCH(AC$4,Curves,0)))</f>
        <v/>
      </c>
      <c r="AD220" s="185" t="str">
        <f aca="false">IF($A221="","",VLOOKUP($A220,Table,MATCH(AD$4,Curves,0)))</f>
        <v/>
      </c>
      <c r="AE220" s="185" t="e">
        <f aca="false">SQRT((AD220^2*(A220-$D$3)+AC220^2*(DAY(EOMONTH(A220,0))/2))/AK220)</f>
        <v>#VALUE!</v>
      </c>
      <c r="AF220" s="224" t="e">
        <f aca="false">((Summary!$N$10*(AA220*AD220)*(A220-$D$3))+(Summary!$M$10*Z220*AC220*(AJ220-EOMONTH(EDATE(A220,-1),0))))/(AK220*AB220*AE220)</f>
        <v>#VALUE!</v>
      </c>
      <c r="AG220" s="207" t="str">
        <f aca="false">IF($A221="","",Summary!$Q$10)</f>
        <v/>
      </c>
      <c r="AH220" s="207" t="str">
        <f aca="false">IF($A221="","",IF(Summary!$R$10="Y",(VLOOKUP($A220,Summary!$AD$6:$AF$9,3)+'Escalating commodity'!F233),'Escalating commodity'!F233))</f>
        <v/>
      </c>
      <c r="AI220" s="207" t="str">
        <f aca="false">IF($A221="","",AH220)</f>
        <v/>
      </c>
      <c r="AJ220" s="208" t="e">
        <f aca="false">A220+DAY(EOMONTH(A220,0))/2-1</f>
        <v>#VALUE!</v>
      </c>
      <c r="AK220" s="209" t="str">
        <f aca="false">IF($A221="","",$A220-$E$1)</f>
        <v/>
      </c>
      <c r="AL220" s="182" t="str">
        <f aca="false">IF($A221="","",SPRDOPT(P220,X220,AI220,0,AB220,AE220,AF220,AK220,$AJ$2,0))</f>
        <v/>
      </c>
      <c r="AM220" s="211" t="str">
        <f aca="false">IF($A221="","",MAX(0,O220-W220-AI220))</f>
        <v/>
      </c>
      <c r="AN220" s="211" t="str">
        <f aca="false">IF($A221="","",AL220-AM220)</f>
        <v/>
      </c>
      <c r="AO220" s="137" t="str">
        <f aca="false">IF(A221="","",A221-A220)</f>
        <v/>
      </c>
      <c r="AP220" s="212" t="str">
        <f aca="false">IF(A221="","",CHOOSE(F$3,A221+24,A220))</f>
        <v/>
      </c>
      <c r="AQ220" s="209" t="str">
        <f aca="false">IF(A221="","",AP220-$E$1)</f>
        <v/>
      </c>
      <c r="AR220" s="185" t="n">
        <f aca="false">'ANR OK vs ML7'!AR220</f>
        <v>0.1</v>
      </c>
      <c r="AS220" s="213" t="str">
        <f aca="false">IF(A221="","",1/(1+CHOOSE(F$3,(AR221+($I$3/10000))/2,(AR220+($I$3/10000))/2))^(2*AQ220/365.25))</f>
        <v/>
      </c>
      <c r="AT220" s="137" t="str">
        <f aca="false">IF(A221="","",IF(AND(mthbeg&lt;=A220,mthend&gt;=A220),1,0))</f>
        <v/>
      </c>
      <c r="AU220" s="137" t="str">
        <f aca="false">IF(A221="","",AO220*AT220)</f>
        <v/>
      </c>
      <c r="AW220" s="195" t="str">
        <f aca="false">IF($A221="","",AL220*$E220)</f>
        <v/>
      </c>
      <c r="AX220" s="195" t="str">
        <f aca="false">IF($A221="","",AM220*$E220)</f>
        <v/>
      </c>
      <c r="AY220" s="195" t="str">
        <f aca="false">IF($A221="","",AN220*$E220)</f>
        <v/>
      </c>
      <c r="BA220" s="195" t="str">
        <f aca="false">IF($A221="","",F220*Summary!$Q$10)</f>
        <v/>
      </c>
    </row>
    <row r="221" customFormat="false" ht="12" hidden="false" customHeight="true" outlineLevel="0" collapsed="false">
      <c r="A221" s="196" t="str">
        <f aca="false">IF(A220&lt;mthend,EDATE(A220,1),"")</f>
        <v/>
      </c>
      <c r="B221" s="197" t="str">
        <f aca="false">IF(A221&lt;mthend,B220,"")</f>
        <v/>
      </c>
      <c r="C221" s="215"/>
      <c r="D221" s="197" t="str">
        <f aca="false">IF(A222&lt;&gt;"",B221+C221,"")</f>
        <v/>
      </c>
      <c r="E221" s="199" t="str">
        <f aca="false">IF(A222="","",IF(AND(AT221=1,$H$3=1),D221*AO221,IF($H$3=2,D221,"N/A")))</f>
        <v/>
      </c>
      <c r="F221" s="199" t="str">
        <f aca="false">IF(A222="","",E221*AS221)</f>
        <v/>
      </c>
      <c r="G221" s="200" t="str">
        <f aca="false">IF($A222="","",VLOOKUP($A221,Table,MATCH(G$4,Curves,0)))</f>
        <v/>
      </c>
      <c r="H221" s="201" t="str">
        <f aca="false">IF(A222="","",G221)</f>
        <v/>
      </c>
      <c r="I221" s="202"/>
      <c r="J221" s="200" t="str">
        <f aca="false">IF($A222="","",VLOOKUP($A221,Table,MATCH(J$4,Curves,0)))</f>
        <v/>
      </c>
      <c r="K221" s="201" t="str">
        <f aca="false">IF(A222="","",J221)</f>
        <v/>
      </c>
      <c r="L221" s="185" t="n">
        <v>0</v>
      </c>
      <c r="M221" s="201" t="str">
        <f aca="false">IF(A222="","",L221)</f>
        <v/>
      </c>
      <c r="N221" s="203"/>
      <c r="O221" s="200" t="str">
        <f aca="false">IF(A222="","",L221+J221+G221)</f>
        <v/>
      </c>
      <c r="P221" s="200" t="str">
        <f aca="false">IF(A222="","",M221+K221+H221)</f>
        <v/>
      </c>
      <c r="Q221" s="204"/>
      <c r="R221" s="200" t="str">
        <f aca="false">IF($A222="","",VLOOKUP($A221,Table,MATCH(R$4,Curves,0)))</f>
        <v/>
      </c>
      <c r="S221" s="201" t="str">
        <f aca="false">IF(A222="","",R221)</f>
        <v/>
      </c>
      <c r="T221" s="200" t="str">
        <f aca="false">IF($A222="","",VLOOKUP($A221,Table,MATCH(T$4,Curves,0)))</f>
        <v/>
      </c>
      <c r="U221" s="201" t="str">
        <f aca="false">IF(A222="","",T221)</f>
        <v/>
      </c>
      <c r="V221" s="205" t="str">
        <f aca="false">IF($A222="","",IF(AND(MONTH(A221)&gt;3,MONTH(A221)&lt;11),(T221+R221+G221)*Summary!$T$10/(1-Summary!$T$10),(T221+R221+G221)*Summary!$U$10/(1-Summary!$U$10)))</f>
        <v/>
      </c>
      <c r="W221" s="200" t="str">
        <f aca="false">IF($A222="","",(T221+R221+G221+V221))</f>
        <v/>
      </c>
      <c r="X221" s="200" t="str">
        <f aca="false">IF($A222="","",(U221+S221+H221+V221))</f>
        <v/>
      </c>
      <c r="Y221" s="202"/>
      <c r="Z221" s="185" t="str">
        <f aca="false">IF($A222="","",VLOOKUP($A221,Table,MATCH(Z$4,Curves,0)))</f>
        <v/>
      </c>
      <c r="AA221" s="185" t="str">
        <f aca="false">IF($A222="","",VLOOKUP($A221,Table,MATCH(AA$4,Curves,0)))</f>
        <v/>
      </c>
      <c r="AB221" s="185" t="e">
        <f aca="false">SQRT((AA221^2*(A221-$D$3)+Z221^2*(DAY(EOMONTH(A221,0))/2))/AK221)</f>
        <v>#VALUE!</v>
      </c>
      <c r="AC221" s="185" t="str">
        <f aca="false">IF($A222="","",VLOOKUP($A221,Table,MATCH(AC$4,Curves,0)))</f>
        <v/>
      </c>
      <c r="AD221" s="185" t="str">
        <f aca="false">IF($A222="","",VLOOKUP($A221,Table,MATCH(AD$4,Curves,0)))</f>
        <v/>
      </c>
      <c r="AE221" s="185" t="e">
        <f aca="false">SQRT((AD221^2*(A221-$D$3)+AC221^2*(DAY(EOMONTH(A221,0))/2))/AK221)</f>
        <v>#VALUE!</v>
      </c>
      <c r="AF221" s="224" t="e">
        <f aca="false">((Summary!$N$10*(AA221*AD221)*(A221-$D$3))+(Summary!$M$10*Z221*AC221*(AJ221-EOMONTH(EDATE(A221,-1),0))))/(AK221*AB221*AE221)</f>
        <v>#VALUE!</v>
      </c>
      <c r="AG221" s="207" t="str">
        <f aca="false">IF($A222="","",Summary!$Q$10)</f>
        <v/>
      </c>
      <c r="AH221" s="207" t="str">
        <f aca="false">IF($A222="","",IF(Summary!$R$10="Y",(VLOOKUP($A221,Summary!$AD$6:$AF$9,3)+'Escalating commodity'!F234),'Escalating commodity'!F234))</f>
        <v/>
      </c>
      <c r="AI221" s="207" t="str">
        <f aca="false">IF($A222="","",AH221)</f>
        <v/>
      </c>
      <c r="AJ221" s="208" t="e">
        <f aca="false">A221+DAY(EOMONTH(A221,0))/2-1</f>
        <v>#VALUE!</v>
      </c>
      <c r="AK221" s="209" t="str">
        <f aca="false">IF($A222="","",$A221-$E$1)</f>
        <v/>
      </c>
      <c r="AL221" s="182" t="str">
        <f aca="false">IF($A222="","",SPRDOPT(P221,X221,AI221,0,AB221,AE221,AF221,AK221,$AJ$2,0))</f>
        <v/>
      </c>
      <c r="AM221" s="211" t="str">
        <f aca="false">IF($A222="","",MAX(0,O221-W221-AI221))</f>
        <v/>
      </c>
      <c r="AN221" s="211" t="str">
        <f aca="false">IF($A222="","",AL221-AM221)</f>
        <v/>
      </c>
      <c r="AO221" s="137" t="str">
        <f aca="false">IF(A222="","",A222-A221)</f>
        <v/>
      </c>
      <c r="AP221" s="212" t="str">
        <f aca="false">IF(A222="","",CHOOSE(F$3,A222+24,A221))</f>
        <v/>
      </c>
      <c r="AQ221" s="209" t="str">
        <f aca="false">IF(A222="","",AP221-$E$1)</f>
        <v/>
      </c>
      <c r="AR221" s="185" t="n">
        <f aca="false">'ANR OK vs ML7'!AR221</f>
        <v>0.1</v>
      </c>
      <c r="AS221" s="213" t="str">
        <f aca="false">IF(A222="","",1/(1+CHOOSE(F$3,(AR222+($I$3/10000))/2,(AR221+($I$3/10000))/2))^(2*AQ221/365.25))</f>
        <v/>
      </c>
      <c r="AT221" s="137" t="str">
        <f aca="false">IF(A222="","",IF(AND(mthbeg&lt;=A221,mthend&gt;=A221),1,0))</f>
        <v/>
      </c>
      <c r="AU221" s="137" t="str">
        <f aca="false">IF(A222="","",AO221*AT221)</f>
        <v/>
      </c>
      <c r="AW221" s="195" t="str">
        <f aca="false">IF($A222="","",AL221*$E221)</f>
        <v/>
      </c>
      <c r="AX221" s="195" t="str">
        <f aca="false">IF($A222="","",AM221*$E221)</f>
        <v/>
      </c>
      <c r="AY221" s="195" t="str">
        <f aca="false">IF($A222="","",AN221*$E221)</f>
        <v/>
      </c>
      <c r="BA221" s="195" t="str">
        <f aca="false">IF($A222="","",F221*Summary!$Q$10)</f>
        <v/>
      </c>
    </row>
    <row r="222" customFormat="false" ht="12" hidden="false" customHeight="true" outlineLevel="0" collapsed="false">
      <c r="A222" s="196" t="str">
        <f aca="false">IF(A221&lt;mthend,EDATE(A221,1),"")</f>
        <v/>
      </c>
      <c r="B222" s="197" t="str">
        <f aca="false">IF(A222&lt;mthend,B221,"")</f>
        <v/>
      </c>
      <c r="C222" s="215"/>
      <c r="D222" s="197" t="str">
        <f aca="false">IF(A223&lt;&gt;"",B222+C222,"")</f>
        <v/>
      </c>
      <c r="E222" s="199" t="str">
        <f aca="false">IF(A223="","",IF(AND(AT222=1,$H$3=1),D222*AO222,IF($H$3=2,D222,"N/A")))</f>
        <v/>
      </c>
      <c r="F222" s="199" t="str">
        <f aca="false">IF(A223="","",E222*AS222)</f>
        <v/>
      </c>
      <c r="G222" s="200" t="str">
        <f aca="false">IF($A223="","",VLOOKUP($A222,Table,MATCH(G$4,Curves,0)))</f>
        <v/>
      </c>
      <c r="H222" s="201" t="str">
        <f aca="false">IF(A223="","",G222)</f>
        <v/>
      </c>
      <c r="I222" s="202"/>
      <c r="J222" s="200" t="str">
        <f aca="false">IF($A223="","",VLOOKUP($A222,Table,MATCH(J$4,Curves,0)))</f>
        <v/>
      </c>
      <c r="K222" s="201" t="str">
        <f aca="false">IF(A223="","",J222)</f>
        <v/>
      </c>
      <c r="L222" s="185" t="n">
        <v>0</v>
      </c>
      <c r="M222" s="201" t="str">
        <f aca="false">IF(A223="","",L222)</f>
        <v/>
      </c>
      <c r="N222" s="203"/>
      <c r="O222" s="200" t="str">
        <f aca="false">IF(A223="","",L222+J222+G222)</f>
        <v/>
      </c>
      <c r="P222" s="200" t="str">
        <f aca="false">IF(A223="","",M222+K222+H222)</f>
        <v/>
      </c>
      <c r="Q222" s="204"/>
      <c r="R222" s="200" t="str">
        <f aca="false">IF($A223="","",VLOOKUP($A222,Table,MATCH(R$4,Curves,0)))</f>
        <v/>
      </c>
      <c r="S222" s="201" t="str">
        <f aca="false">IF(A223="","",R222)</f>
        <v/>
      </c>
      <c r="T222" s="200" t="str">
        <f aca="false">IF($A223="","",VLOOKUP($A222,Table,MATCH(T$4,Curves,0)))</f>
        <v/>
      </c>
      <c r="U222" s="201" t="str">
        <f aca="false">IF(A223="","",T222)</f>
        <v/>
      </c>
      <c r="V222" s="205" t="str">
        <f aca="false">IF($A223="","",IF(AND(MONTH(A222)&gt;3,MONTH(A222)&lt;11),(T222+R222+G222)*Summary!$T$10/(1-Summary!$T$10),(T222+R222+G222)*Summary!$U$10/(1-Summary!$U$10)))</f>
        <v/>
      </c>
      <c r="W222" s="200" t="str">
        <f aca="false">IF($A223="","",(T222+R222+G222+V222))</f>
        <v/>
      </c>
      <c r="X222" s="200" t="str">
        <f aca="false">IF($A223="","",(U222+S222+H222+V222))</f>
        <v/>
      </c>
      <c r="Y222" s="202"/>
      <c r="Z222" s="185" t="str">
        <f aca="false">IF($A223="","",VLOOKUP($A222,Table,MATCH(Z$4,Curves,0)))</f>
        <v/>
      </c>
      <c r="AA222" s="185" t="str">
        <f aca="false">IF($A223="","",VLOOKUP($A222,Table,MATCH(AA$4,Curves,0)))</f>
        <v/>
      </c>
      <c r="AB222" s="185" t="e">
        <f aca="false">SQRT((AA222^2*(A222-$D$3)+Z222^2*(DAY(EOMONTH(A222,0))/2))/AK222)</f>
        <v>#VALUE!</v>
      </c>
      <c r="AC222" s="185" t="str">
        <f aca="false">IF($A223="","",VLOOKUP($A222,Table,MATCH(AC$4,Curves,0)))</f>
        <v/>
      </c>
      <c r="AD222" s="185" t="str">
        <f aca="false">IF($A223="","",VLOOKUP($A222,Table,MATCH(AD$4,Curves,0)))</f>
        <v/>
      </c>
      <c r="AE222" s="185" t="e">
        <f aca="false">SQRT((AD222^2*(A222-$D$3)+AC222^2*(DAY(EOMONTH(A222,0))/2))/AK222)</f>
        <v>#VALUE!</v>
      </c>
      <c r="AF222" s="224" t="e">
        <f aca="false">((Summary!$N$10*(AA222*AD222)*(A222-$D$3))+(Summary!$M$10*Z222*AC222*(AJ222-EOMONTH(EDATE(A222,-1),0))))/(AK222*AB222*AE222)</f>
        <v>#VALUE!</v>
      </c>
      <c r="AG222" s="207" t="str">
        <f aca="false">IF($A223="","",Summary!$Q$10)</f>
        <v/>
      </c>
      <c r="AH222" s="207" t="str">
        <f aca="false">IF($A223="","",IF(Summary!$R$10="Y",(VLOOKUP($A222,Summary!$AD$6:$AF$9,3)+'Escalating commodity'!F235),'Escalating commodity'!F235))</f>
        <v/>
      </c>
      <c r="AI222" s="207" t="str">
        <f aca="false">IF($A223="","",AH222)</f>
        <v/>
      </c>
      <c r="AJ222" s="208" t="e">
        <f aca="false">A222+DAY(EOMONTH(A222,0))/2-1</f>
        <v>#VALUE!</v>
      </c>
      <c r="AK222" s="209" t="str">
        <f aca="false">IF($A223="","",$A222-$E$1)</f>
        <v/>
      </c>
      <c r="AL222" s="182" t="str">
        <f aca="false">IF($A223="","",SPRDOPT(P222,X222,AI222,0,AB222,AE222,AF222,AK222,$AJ$2,0))</f>
        <v/>
      </c>
      <c r="AM222" s="211" t="str">
        <f aca="false">IF($A223="","",MAX(0,O222-W222-AI222))</f>
        <v/>
      </c>
      <c r="AN222" s="211" t="str">
        <f aca="false">IF($A223="","",AL222-AM222)</f>
        <v/>
      </c>
      <c r="AO222" s="137" t="str">
        <f aca="false">IF(A223="","",A223-A222)</f>
        <v/>
      </c>
      <c r="AP222" s="212" t="str">
        <f aca="false">IF(A223="","",CHOOSE(F$3,A223+24,A222))</f>
        <v/>
      </c>
      <c r="AQ222" s="209" t="str">
        <f aca="false">IF(A223="","",AP222-$E$1)</f>
        <v/>
      </c>
      <c r="AR222" s="185" t="n">
        <f aca="false">'ANR OK vs ML7'!AR222</f>
        <v>0.1</v>
      </c>
      <c r="AS222" s="213" t="str">
        <f aca="false">IF(A223="","",1/(1+CHOOSE(F$3,(AR223+($I$3/10000))/2,(AR222+($I$3/10000))/2))^(2*AQ222/365.25))</f>
        <v/>
      </c>
      <c r="AT222" s="137" t="str">
        <f aca="false">IF(A223="","",IF(AND(mthbeg&lt;=A222,mthend&gt;=A222),1,0))</f>
        <v/>
      </c>
      <c r="AU222" s="137" t="str">
        <f aca="false">IF(A223="","",AO222*AT222)</f>
        <v/>
      </c>
      <c r="AW222" s="195" t="str">
        <f aca="false">IF($A223="","",AL222*$E222)</f>
        <v/>
      </c>
      <c r="AX222" s="195" t="str">
        <f aca="false">IF($A223="","",AM222*$E222)</f>
        <v/>
      </c>
      <c r="AY222" s="195" t="str">
        <f aca="false">IF($A223="","",AN222*$E222)</f>
        <v/>
      </c>
      <c r="BA222" s="195" t="str">
        <f aca="false">IF($A223="","",F222*Summary!$Q$10)</f>
        <v/>
      </c>
    </row>
    <row r="223" customFormat="false" ht="12" hidden="false" customHeight="true" outlineLevel="0" collapsed="false">
      <c r="A223" s="196" t="str">
        <f aca="false">IF(A222&lt;mthend,EDATE(A222,1),"")</f>
        <v/>
      </c>
      <c r="B223" s="197" t="str">
        <f aca="false">IF(A223&lt;mthend,B222,"")</f>
        <v/>
      </c>
      <c r="C223" s="215"/>
      <c r="D223" s="197" t="str">
        <f aca="false">IF(A224&lt;&gt;"",B223+C223,"")</f>
        <v/>
      </c>
      <c r="E223" s="199" t="str">
        <f aca="false">IF(A224="","",IF(AND(AT223=1,$H$3=1),D223*AO223,IF($H$3=2,D223,"N/A")))</f>
        <v/>
      </c>
      <c r="F223" s="199" t="str">
        <f aca="false">IF(A224="","",E223*AS223)</f>
        <v/>
      </c>
      <c r="G223" s="200" t="str">
        <f aca="false">IF($A224="","",VLOOKUP($A223,Table,MATCH(G$4,Curves,0)))</f>
        <v/>
      </c>
      <c r="H223" s="201" t="str">
        <f aca="false">IF(A224="","",G223)</f>
        <v/>
      </c>
      <c r="I223" s="202"/>
      <c r="J223" s="200" t="str">
        <f aca="false">IF($A224="","",VLOOKUP($A223,Table,MATCH(J$4,Curves,0)))</f>
        <v/>
      </c>
      <c r="K223" s="201" t="str">
        <f aca="false">IF(A224="","",J223)</f>
        <v/>
      </c>
      <c r="L223" s="185" t="n">
        <v>0</v>
      </c>
      <c r="M223" s="201" t="str">
        <f aca="false">IF(A224="","",L223)</f>
        <v/>
      </c>
      <c r="N223" s="203"/>
      <c r="O223" s="200" t="str">
        <f aca="false">IF(A224="","",L223+J223+G223)</f>
        <v/>
      </c>
      <c r="P223" s="200" t="str">
        <f aca="false">IF(A224="","",M223+K223+H223)</f>
        <v/>
      </c>
      <c r="Q223" s="204"/>
      <c r="R223" s="200" t="str">
        <f aca="false">IF($A224="","",VLOOKUP($A223,Table,MATCH(R$4,Curves,0)))</f>
        <v/>
      </c>
      <c r="S223" s="201" t="str">
        <f aca="false">IF(A224="","",R223)</f>
        <v/>
      </c>
      <c r="T223" s="200" t="str">
        <f aca="false">IF($A224="","",VLOOKUP($A223,Table,MATCH(T$4,Curves,0)))</f>
        <v/>
      </c>
      <c r="U223" s="201" t="str">
        <f aca="false">IF(A224="","",T223)</f>
        <v/>
      </c>
      <c r="V223" s="205" t="str">
        <f aca="false">IF($A224="","",IF(AND(MONTH(A223)&gt;3,MONTH(A223)&lt;11),(T223+R223+G223)*Summary!$T$10/(1-Summary!$T$10),(T223+R223+G223)*Summary!$U$10/(1-Summary!$U$10)))</f>
        <v/>
      </c>
      <c r="W223" s="200" t="str">
        <f aca="false">IF($A224="","",(T223+R223+G223+V223))</f>
        <v/>
      </c>
      <c r="X223" s="200" t="str">
        <f aca="false">IF($A224="","",(U223+S223+H223+V223))</f>
        <v/>
      </c>
      <c r="Y223" s="202"/>
      <c r="Z223" s="185" t="str">
        <f aca="false">IF($A224="","",VLOOKUP($A223,Table,MATCH(Z$4,Curves,0)))</f>
        <v/>
      </c>
      <c r="AA223" s="185" t="str">
        <f aca="false">IF($A224="","",VLOOKUP($A223,Table,MATCH(AA$4,Curves,0)))</f>
        <v/>
      </c>
      <c r="AB223" s="185" t="e">
        <f aca="false">SQRT((AA223^2*(A223-$D$3)+Z223^2*(DAY(EOMONTH(A223,0))/2))/AK223)</f>
        <v>#VALUE!</v>
      </c>
      <c r="AC223" s="185" t="str">
        <f aca="false">IF($A224="","",VLOOKUP($A223,Table,MATCH(AC$4,Curves,0)))</f>
        <v/>
      </c>
      <c r="AD223" s="185" t="str">
        <f aca="false">IF($A224="","",VLOOKUP($A223,Table,MATCH(AD$4,Curves,0)))</f>
        <v/>
      </c>
      <c r="AE223" s="185" t="e">
        <f aca="false">SQRT((AD223^2*(A223-$D$3)+AC223^2*(DAY(EOMONTH(A223,0))/2))/AK223)</f>
        <v>#VALUE!</v>
      </c>
      <c r="AF223" s="224" t="e">
        <f aca="false">((Summary!$N$10*(AA223*AD223)*(A223-$D$3))+(Summary!$M$10*Z223*AC223*(AJ223-EOMONTH(EDATE(A223,-1),0))))/(AK223*AB223*AE223)</f>
        <v>#VALUE!</v>
      </c>
      <c r="AG223" s="207" t="str">
        <f aca="false">IF($A224="","",Summary!$Q$10)</f>
        <v/>
      </c>
      <c r="AH223" s="207" t="str">
        <f aca="false">IF($A224="","",IF(Summary!$R$10="Y",(VLOOKUP($A223,Summary!$AD$6:$AF$9,3)+'Escalating commodity'!F236),'Escalating commodity'!F236))</f>
        <v/>
      </c>
      <c r="AI223" s="207" t="str">
        <f aca="false">IF($A224="","",AH223)</f>
        <v/>
      </c>
      <c r="AJ223" s="208" t="e">
        <f aca="false">A223+DAY(EOMONTH(A223,0))/2-1</f>
        <v>#VALUE!</v>
      </c>
      <c r="AK223" s="209" t="str">
        <f aca="false">IF($A224="","",$A223-$E$1)</f>
        <v/>
      </c>
      <c r="AL223" s="182" t="str">
        <f aca="false">IF($A224="","",SPRDOPT(P223,X223,AI223,0,AB223,AE223,AF223,AK223,$AJ$2,0))</f>
        <v/>
      </c>
      <c r="AM223" s="211" t="str">
        <f aca="false">IF($A224="","",MAX(0,O223-W223-AI223))</f>
        <v/>
      </c>
      <c r="AN223" s="211" t="str">
        <f aca="false">IF($A224="","",AL223-AM223)</f>
        <v/>
      </c>
      <c r="AO223" s="137" t="str">
        <f aca="false">IF(A224="","",A224-A223)</f>
        <v/>
      </c>
      <c r="AP223" s="212" t="str">
        <f aca="false">IF(A224="","",CHOOSE(F$3,A224+24,A223))</f>
        <v/>
      </c>
      <c r="AQ223" s="209" t="str">
        <f aca="false">IF(A224="","",AP223-$E$1)</f>
        <v/>
      </c>
      <c r="AR223" s="185" t="n">
        <f aca="false">'ANR OK vs ML7'!AR223</f>
        <v>0.1</v>
      </c>
      <c r="AS223" s="213" t="str">
        <f aca="false">IF(A224="","",1/(1+CHOOSE(F$3,(AR224+($I$3/10000))/2,(AR223+($I$3/10000))/2))^(2*AQ223/365.25))</f>
        <v/>
      </c>
      <c r="AT223" s="137" t="str">
        <f aca="false">IF(A224="","",IF(AND(mthbeg&lt;=A223,mthend&gt;=A223),1,0))</f>
        <v/>
      </c>
      <c r="AU223" s="137" t="str">
        <f aca="false">IF(A224="","",AO223*AT223)</f>
        <v/>
      </c>
      <c r="AW223" s="195" t="str">
        <f aca="false">IF($A224="","",AL223*$E223)</f>
        <v/>
      </c>
      <c r="AX223" s="195" t="str">
        <f aca="false">IF($A224="","",AM223*$E223)</f>
        <v/>
      </c>
      <c r="AY223" s="195" t="str">
        <f aca="false">IF($A224="","",AN223*$E223)</f>
        <v/>
      </c>
      <c r="BA223" s="195" t="str">
        <f aca="false">IF($A224="","",F223*Summary!$Q$10)</f>
        <v/>
      </c>
    </row>
    <row r="224" customFormat="false" ht="12" hidden="false" customHeight="true" outlineLevel="0" collapsed="false">
      <c r="A224" s="196" t="str">
        <f aca="false">IF(A223&lt;mthend,EDATE(A223,1),"")</f>
        <v/>
      </c>
      <c r="B224" s="197" t="str">
        <f aca="false">IF(A224&lt;mthend,B223,"")</f>
        <v/>
      </c>
      <c r="C224" s="215"/>
      <c r="D224" s="197" t="str">
        <f aca="false">IF(A225&lt;&gt;"",B224+C224,"")</f>
        <v/>
      </c>
      <c r="E224" s="199" t="str">
        <f aca="false">IF(A225="","",IF(AND(AT224=1,$H$3=1),D224*AO224,IF($H$3=2,D224,"N/A")))</f>
        <v/>
      </c>
      <c r="F224" s="199" t="str">
        <f aca="false">IF(A225="","",E224*AS224)</f>
        <v/>
      </c>
      <c r="G224" s="200" t="str">
        <f aca="false">IF($A225="","",VLOOKUP($A224,Table,MATCH(G$4,Curves,0)))</f>
        <v/>
      </c>
      <c r="H224" s="201" t="str">
        <f aca="false">IF(A225="","",G224)</f>
        <v/>
      </c>
      <c r="I224" s="202"/>
      <c r="J224" s="200" t="str">
        <f aca="false">IF($A225="","",VLOOKUP($A224,Table,MATCH(J$4,Curves,0)))</f>
        <v/>
      </c>
      <c r="K224" s="201" t="str">
        <f aca="false">IF(A225="","",J224)</f>
        <v/>
      </c>
      <c r="L224" s="185" t="n">
        <v>0</v>
      </c>
      <c r="M224" s="201" t="str">
        <f aca="false">IF(A225="","",L224)</f>
        <v/>
      </c>
      <c r="N224" s="203"/>
      <c r="O224" s="200" t="str">
        <f aca="false">IF(A225="","",L224+J224+G224)</f>
        <v/>
      </c>
      <c r="P224" s="200" t="str">
        <f aca="false">IF(A225="","",M224+K224+H224)</f>
        <v/>
      </c>
      <c r="Q224" s="204"/>
      <c r="R224" s="200" t="str">
        <f aca="false">IF($A225="","",VLOOKUP($A224,Table,MATCH(R$4,Curves,0)))</f>
        <v/>
      </c>
      <c r="S224" s="201" t="str">
        <f aca="false">IF(A225="","",R224)</f>
        <v/>
      </c>
      <c r="T224" s="200" t="str">
        <f aca="false">IF($A225="","",VLOOKUP($A224,Table,MATCH(T$4,Curves,0)))</f>
        <v/>
      </c>
      <c r="U224" s="201" t="str">
        <f aca="false">IF(A225="","",T224)</f>
        <v/>
      </c>
      <c r="V224" s="205" t="str">
        <f aca="false">IF($A225="","",IF(AND(MONTH(A224)&gt;3,MONTH(A224)&lt;11),(T224+R224+G224)*Summary!$T$10/(1-Summary!$T$10),(T224+R224+G224)*Summary!$U$10/(1-Summary!$U$10)))</f>
        <v/>
      </c>
      <c r="W224" s="200" t="str">
        <f aca="false">IF($A225="","",(T224+R224+G224+V224))</f>
        <v/>
      </c>
      <c r="X224" s="200" t="str">
        <f aca="false">IF($A225="","",(U224+S224+H224+V224))</f>
        <v/>
      </c>
      <c r="Y224" s="202"/>
      <c r="Z224" s="185" t="str">
        <f aca="false">IF($A225="","",VLOOKUP($A224,Table,MATCH(Z$4,Curves,0)))</f>
        <v/>
      </c>
      <c r="AA224" s="185" t="str">
        <f aca="false">IF($A225="","",VLOOKUP($A224,Table,MATCH(AA$4,Curves,0)))</f>
        <v/>
      </c>
      <c r="AB224" s="185" t="e">
        <f aca="false">SQRT((AA224^2*(A224-$D$3)+Z224^2*(DAY(EOMONTH(A224,0))/2))/AK224)</f>
        <v>#VALUE!</v>
      </c>
      <c r="AC224" s="185" t="str">
        <f aca="false">IF($A225="","",VLOOKUP($A224,Table,MATCH(AC$4,Curves,0)))</f>
        <v/>
      </c>
      <c r="AD224" s="185" t="str">
        <f aca="false">IF($A225="","",VLOOKUP($A224,Table,MATCH(AD$4,Curves,0)))</f>
        <v/>
      </c>
      <c r="AE224" s="185" t="e">
        <f aca="false">SQRT((AD224^2*(A224-$D$3)+AC224^2*(DAY(EOMONTH(A224,0))/2))/AK224)</f>
        <v>#VALUE!</v>
      </c>
      <c r="AF224" s="224" t="e">
        <f aca="false">((Summary!$N$10*(AA224*AD224)*(A224-$D$3))+(Summary!$M$10*Z224*AC224*(AJ224-EOMONTH(EDATE(A224,-1),0))))/(AK224*AB224*AE224)</f>
        <v>#VALUE!</v>
      </c>
      <c r="AG224" s="207" t="str">
        <f aca="false">IF($A225="","",Summary!$Q$10)</f>
        <v/>
      </c>
      <c r="AH224" s="207" t="str">
        <f aca="false">IF($A225="","",IF(Summary!$R$10="Y",(VLOOKUP($A224,Summary!$AD$6:$AF$9,3)+'Escalating commodity'!F237),'Escalating commodity'!F237))</f>
        <v/>
      </c>
      <c r="AI224" s="207" t="str">
        <f aca="false">IF($A225="","",AH224)</f>
        <v/>
      </c>
      <c r="AJ224" s="208" t="e">
        <f aca="false">A224+DAY(EOMONTH(A224,0))/2-1</f>
        <v>#VALUE!</v>
      </c>
      <c r="AK224" s="209" t="str">
        <f aca="false">IF($A225="","",$A224-$E$1)</f>
        <v/>
      </c>
      <c r="AL224" s="182" t="str">
        <f aca="false">IF($A225="","",SPRDOPT(P224,X224,AI224,0,AB224,AE224,AF224,AK224,$AJ$2,0))</f>
        <v/>
      </c>
      <c r="AM224" s="211" t="str">
        <f aca="false">IF($A225="","",MAX(0,O224-W224-AI224))</f>
        <v/>
      </c>
      <c r="AN224" s="211" t="str">
        <f aca="false">IF($A225="","",AL224-AM224)</f>
        <v/>
      </c>
      <c r="AO224" s="137" t="str">
        <f aca="false">IF(A225="","",A225-A224)</f>
        <v/>
      </c>
      <c r="AP224" s="212" t="str">
        <f aca="false">IF(A225="","",CHOOSE(F$3,A225+24,A224))</f>
        <v/>
      </c>
      <c r="AQ224" s="209" t="str">
        <f aca="false">IF(A225="","",AP224-$E$1)</f>
        <v/>
      </c>
      <c r="AR224" s="185" t="n">
        <f aca="false">'ANR OK vs ML7'!AR224</f>
        <v>0.1</v>
      </c>
      <c r="AS224" s="213" t="str">
        <f aca="false">IF(A225="","",1/(1+CHOOSE(F$3,(AR225+($I$3/10000))/2,(AR224+($I$3/10000))/2))^(2*AQ224/365.25))</f>
        <v/>
      </c>
      <c r="AT224" s="137" t="str">
        <f aca="false">IF(A225="","",IF(AND(mthbeg&lt;=A224,mthend&gt;=A224),1,0))</f>
        <v/>
      </c>
      <c r="AU224" s="137" t="str">
        <f aca="false">IF(A225="","",AO224*AT224)</f>
        <v/>
      </c>
      <c r="AW224" s="195" t="str">
        <f aca="false">IF($A225="","",AL224*$E224)</f>
        <v/>
      </c>
      <c r="AX224" s="195" t="str">
        <f aca="false">IF($A225="","",AM224*$E224)</f>
        <v/>
      </c>
      <c r="AY224" s="195" t="str">
        <f aca="false">IF($A225="","",AN224*$E224)</f>
        <v/>
      </c>
      <c r="BA224" s="195" t="str">
        <f aca="false">IF($A225="","",F224*Summary!$Q$10)</f>
        <v/>
      </c>
    </row>
    <row r="225" customFormat="false" ht="12" hidden="false" customHeight="true" outlineLevel="0" collapsed="false">
      <c r="A225" s="196" t="str">
        <f aca="false">IF(A224&lt;mthend,EDATE(A224,1),"")</f>
        <v/>
      </c>
      <c r="B225" s="197" t="str">
        <f aca="false">IF(A225&lt;mthend,B224,"")</f>
        <v/>
      </c>
      <c r="C225" s="215"/>
      <c r="D225" s="197" t="str">
        <f aca="false">IF(A226&lt;&gt;"",B225+C225,"")</f>
        <v/>
      </c>
      <c r="E225" s="199" t="str">
        <f aca="false">IF(A226="","",IF(AND(AT225=1,$H$3=1),D225*AO225,IF($H$3=2,D225,"N/A")))</f>
        <v/>
      </c>
      <c r="F225" s="199" t="str">
        <f aca="false">IF(A226="","",E225*AS225)</f>
        <v/>
      </c>
      <c r="G225" s="200" t="str">
        <f aca="false">IF($A226="","",VLOOKUP($A225,Table,MATCH(G$4,Curves,0)))</f>
        <v/>
      </c>
      <c r="H225" s="201" t="str">
        <f aca="false">IF(A226="","",G225)</f>
        <v/>
      </c>
      <c r="I225" s="202"/>
      <c r="J225" s="200" t="str">
        <f aca="false">IF($A226="","",VLOOKUP($A225,Table,MATCH(J$4,Curves,0)))</f>
        <v/>
      </c>
      <c r="K225" s="201" t="str">
        <f aca="false">IF(A226="","",J225)</f>
        <v/>
      </c>
      <c r="L225" s="185" t="n">
        <v>0</v>
      </c>
      <c r="M225" s="201" t="str">
        <f aca="false">IF(A226="","",L225)</f>
        <v/>
      </c>
      <c r="N225" s="203"/>
      <c r="O225" s="200" t="str">
        <f aca="false">IF(A226="","",L225+J225+G225)</f>
        <v/>
      </c>
      <c r="P225" s="200" t="str">
        <f aca="false">IF(A226="","",M225+K225+H225)</f>
        <v/>
      </c>
      <c r="Q225" s="204"/>
      <c r="R225" s="200" t="str">
        <f aca="false">IF($A226="","",VLOOKUP($A225,Table,MATCH(R$4,Curves,0)))</f>
        <v/>
      </c>
      <c r="S225" s="201" t="str">
        <f aca="false">IF(A226="","",R225)</f>
        <v/>
      </c>
      <c r="T225" s="200" t="str">
        <f aca="false">IF($A226="","",VLOOKUP($A225,Table,MATCH(T$4,Curves,0)))</f>
        <v/>
      </c>
      <c r="U225" s="201" t="str">
        <f aca="false">IF(A226="","",T225)</f>
        <v/>
      </c>
      <c r="V225" s="205" t="str">
        <f aca="false">IF($A226="","",IF(AND(MONTH(A225)&gt;3,MONTH(A225)&lt;11),(T225+R225+G225)*Summary!$T$10/(1-Summary!$T$10),(T225+R225+G225)*Summary!$U$10/(1-Summary!$U$10)))</f>
        <v/>
      </c>
      <c r="W225" s="200" t="str">
        <f aca="false">IF($A226="","",(T225+R225+G225+V225))</f>
        <v/>
      </c>
      <c r="X225" s="200" t="str">
        <f aca="false">IF($A226="","",(U225+S225+H225+V225))</f>
        <v/>
      </c>
      <c r="Y225" s="202"/>
      <c r="Z225" s="185" t="str">
        <f aca="false">IF($A226="","",VLOOKUP($A225,Table,MATCH(Z$4,Curves,0)))</f>
        <v/>
      </c>
      <c r="AA225" s="185" t="str">
        <f aca="false">IF($A226="","",VLOOKUP($A225,Table,MATCH(AA$4,Curves,0)))</f>
        <v/>
      </c>
      <c r="AB225" s="185" t="e">
        <f aca="false">SQRT((AA225^2*(A225-$D$3)+Z225^2*(DAY(EOMONTH(A225,0))/2))/AK225)</f>
        <v>#VALUE!</v>
      </c>
      <c r="AC225" s="185" t="str">
        <f aca="false">IF($A226="","",VLOOKUP($A225,Table,MATCH(AC$4,Curves,0)))</f>
        <v/>
      </c>
      <c r="AD225" s="185" t="str">
        <f aca="false">IF($A226="","",VLOOKUP($A225,Table,MATCH(AD$4,Curves,0)))</f>
        <v/>
      </c>
      <c r="AE225" s="185" t="e">
        <f aca="false">SQRT((AD225^2*(A225-$D$3)+AC225^2*(DAY(EOMONTH(A225,0))/2))/AK225)</f>
        <v>#VALUE!</v>
      </c>
      <c r="AF225" s="224" t="e">
        <f aca="false">((Summary!$N$10*(AA225*AD225)*(A225-$D$3))+(Summary!$M$10*Z225*AC225*(AJ225-EOMONTH(EDATE(A225,-1),0))))/(AK225*AB225*AE225)</f>
        <v>#VALUE!</v>
      </c>
      <c r="AG225" s="207" t="str">
        <f aca="false">IF($A226="","",Summary!$Q$10)</f>
        <v/>
      </c>
      <c r="AH225" s="207" t="str">
        <f aca="false">IF($A226="","",IF(Summary!$R$10="Y",(VLOOKUP($A225,Summary!$AD$6:$AF$9,3)+'Escalating commodity'!F238),'Escalating commodity'!F238))</f>
        <v/>
      </c>
      <c r="AI225" s="207" t="str">
        <f aca="false">IF($A226="","",AH225)</f>
        <v/>
      </c>
      <c r="AJ225" s="208" t="e">
        <f aca="false">A225+DAY(EOMONTH(A225,0))/2-1</f>
        <v>#VALUE!</v>
      </c>
      <c r="AK225" s="209" t="str">
        <f aca="false">IF($A226="","",$A225-$E$1)</f>
        <v/>
      </c>
      <c r="AL225" s="182" t="str">
        <f aca="false">IF($A226="","",SPRDOPT(P225,X225,AI225,0,AB225,AE225,AF225,AK225,$AJ$2,0))</f>
        <v/>
      </c>
      <c r="AM225" s="211" t="str">
        <f aca="false">IF($A226="","",MAX(0,O225-W225-AI225))</f>
        <v/>
      </c>
      <c r="AN225" s="211" t="str">
        <f aca="false">IF($A226="","",AL225-AM225)</f>
        <v/>
      </c>
      <c r="AO225" s="137" t="str">
        <f aca="false">IF(A226="","",A226-A225)</f>
        <v/>
      </c>
      <c r="AP225" s="212" t="str">
        <f aca="false">IF(A226="","",CHOOSE(F$3,A226+24,A225))</f>
        <v/>
      </c>
      <c r="AQ225" s="209" t="str">
        <f aca="false">IF(A226="","",AP225-$E$1)</f>
        <v/>
      </c>
      <c r="AR225" s="185" t="n">
        <f aca="false">'ANR OK vs ML7'!AR225</f>
        <v>0.1</v>
      </c>
      <c r="AS225" s="213" t="str">
        <f aca="false">IF(A226="","",1/(1+CHOOSE(F$3,(AR226+($I$3/10000))/2,(AR225+($I$3/10000))/2))^(2*AQ225/365.25))</f>
        <v/>
      </c>
      <c r="AT225" s="137" t="str">
        <f aca="false">IF(A226="","",IF(AND(mthbeg&lt;=A225,mthend&gt;=A225),1,0))</f>
        <v/>
      </c>
      <c r="AU225" s="137" t="str">
        <f aca="false">IF(A226="","",AO225*AT225)</f>
        <v/>
      </c>
      <c r="AW225" s="195" t="str">
        <f aca="false">IF($A226="","",AL225*$E225)</f>
        <v/>
      </c>
      <c r="AX225" s="195" t="str">
        <f aca="false">IF($A226="","",AM225*$E225)</f>
        <v/>
      </c>
      <c r="AY225" s="195" t="str">
        <f aca="false">IF($A226="","",AN225*$E225)</f>
        <v/>
      </c>
      <c r="BA225" s="195" t="str">
        <f aca="false">IF($A226="","",F225*Summary!$Q$10)</f>
        <v/>
      </c>
    </row>
    <row r="226" customFormat="false" ht="12" hidden="false" customHeight="true" outlineLevel="0" collapsed="false">
      <c r="A226" s="196" t="str">
        <f aca="false">IF(A225&lt;mthend,EDATE(A225,1),"")</f>
        <v/>
      </c>
      <c r="B226" s="197" t="str">
        <f aca="false">IF(A226&lt;mthend,B225,"")</f>
        <v/>
      </c>
      <c r="C226" s="215"/>
      <c r="D226" s="197" t="str">
        <f aca="false">IF(A227&lt;&gt;"",B226+C226,"")</f>
        <v/>
      </c>
      <c r="E226" s="199" t="str">
        <f aca="false">IF(A227="","",IF(AND(AT226=1,$H$3=1),D226*AO226,IF($H$3=2,D226,"N/A")))</f>
        <v/>
      </c>
      <c r="F226" s="199" t="str">
        <f aca="false">IF(A227="","",E226*AS226)</f>
        <v/>
      </c>
      <c r="G226" s="200" t="str">
        <f aca="false">IF($A227="","",VLOOKUP($A226,Table,MATCH(G$4,Curves,0)))</f>
        <v/>
      </c>
      <c r="H226" s="201" t="str">
        <f aca="false">IF(A227="","",G226)</f>
        <v/>
      </c>
      <c r="I226" s="202"/>
      <c r="J226" s="200" t="str">
        <f aca="false">IF($A227="","",VLOOKUP($A226,Table,MATCH(J$4,Curves,0)))</f>
        <v/>
      </c>
      <c r="K226" s="201" t="str">
        <f aca="false">IF(A227="","",J226)</f>
        <v/>
      </c>
      <c r="L226" s="185" t="n">
        <v>0</v>
      </c>
      <c r="M226" s="201" t="str">
        <f aca="false">IF(A227="","",L226)</f>
        <v/>
      </c>
      <c r="N226" s="203"/>
      <c r="O226" s="200" t="str">
        <f aca="false">IF(A227="","",L226+J226+G226)</f>
        <v/>
      </c>
      <c r="P226" s="200" t="str">
        <f aca="false">IF(A227="","",M226+K226+H226)</f>
        <v/>
      </c>
      <c r="Q226" s="204"/>
      <c r="R226" s="200" t="str">
        <f aca="false">IF($A227="","",VLOOKUP($A226,Table,MATCH(R$4,Curves,0)))</f>
        <v/>
      </c>
      <c r="S226" s="201" t="str">
        <f aca="false">IF(A227="","",R226)</f>
        <v/>
      </c>
      <c r="T226" s="200" t="str">
        <f aca="false">IF($A227="","",VLOOKUP($A226,Table,MATCH(T$4,Curves,0)))</f>
        <v/>
      </c>
      <c r="U226" s="201" t="str">
        <f aca="false">IF(A227="","",T226)</f>
        <v/>
      </c>
      <c r="V226" s="205" t="str">
        <f aca="false">IF($A227="","",IF(AND(MONTH(A226)&gt;3,MONTH(A226)&lt;11),(T226+R226+G226)*Summary!$T$10/(1-Summary!$T$10),(T226+R226+G226)*Summary!$U$10/(1-Summary!$U$10)))</f>
        <v/>
      </c>
      <c r="W226" s="200" t="str">
        <f aca="false">IF($A227="","",(T226+R226+G226+V226))</f>
        <v/>
      </c>
      <c r="X226" s="200" t="str">
        <f aca="false">IF($A227="","",(U226+S226+H226+V226))</f>
        <v/>
      </c>
      <c r="Y226" s="202"/>
      <c r="Z226" s="185" t="str">
        <f aca="false">IF($A227="","",VLOOKUP($A226,Table,MATCH(Z$4,Curves,0)))</f>
        <v/>
      </c>
      <c r="AA226" s="185" t="str">
        <f aca="false">IF($A227="","",VLOOKUP($A226,Table,MATCH(AA$4,Curves,0)))</f>
        <v/>
      </c>
      <c r="AB226" s="185" t="e">
        <f aca="false">SQRT((AA226^2*(A226-$D$3)+Z226^2*(DAY(EOMONTH(A226,0))/2))/AK226)</f>
        <v>#VALUE!</v>
      </c>
      <c r="AC226" s="185" t="str">
        <f aca="false">IF($A227="","",VLOOKUP($A226,Table,MATCH(AC$4,Curves,0)))</f>
        <v/>
      </c>
      <c r="AD226" s="185" t="str">
        <f aca="false">IF($A227="","",VLOOKUP($A226,Table,MATCH(AD$4,Curves,0)))</f>
        <v/>
      </c>
      <c r="AE226" s="185" t="e">
        <f aca="false">SQRT((AD226^2*(A226-$D$3)+AC226^2*(DAY(EOMONTH(A226,0))/2))/AK226)</f>
        <v>#VALUE!</v>
      </c>
      <c r="AF226" s="224" t="e">
        <f aca="false">((Summary!$N$10*(AA226*AD226)*(A226-$D$3))+(Summary!$M$10*Z226*AC226*(AJ226-EOMONTH(EDATE(A226,-1),0))))/(AK226*AB226*AE226)</f>
        <v>#VALUE!</v>
      </c>
      <c r="AG226" s="207" t="str">
        <f aca="false">IF($A227="","",Summary!$Q$10)</f>
        <v/>
      </c>
      <c r="AH226" s="207" t="str">
        <f aca="false">IF($A227="","",IF(Summary!$R$10="Y",(VLOOKUP($A226,Summary!$AD$6:$AF$9,3)+'Escalating commodity'!F239),'Escalating commodity'!F239))</f>
        <v/>
      </c>
      <c r="AI226" s="207" t="str">
        <f aca="false">IF($A227="","",AH226)</f>
        <v/>
      </c>
      <c r="AJ226" s="208" t="e">
        <f aca="false">A226+DAY(EOMONTH(A226,0))/2-1</f>
        <v>#VALUE!</v>
      </c>
      <c r="AK226" s="209" t="str">
        <f aca="false">IF($A227="","",$A226-$E$1)</f>
        <v/>
      </c>
      <c r="AL226" s="182" t="str">
        <f aca="false">IF($A227="","",SPRDOPT(P226,X226,AI226,0,AB226,AE226,AF226,AK226,$AJ$2,0))</f>
        <v/>
      </c>
      <c r="AM226" s="211" t="str">
        <f aca="false">IF($A227="","",MAX(0,O226-W226-AI226))</f>
        <v/>
      </c>
      <c r="AN226" s="211" t="str">
        <f aca="false">IF($A227="","",AL226-AM226)</f>
        <v/>
      </c>
      <c r="AO226" s="137" t="str">
        <f aca="false">IF(A227="","",A227-A226)</f>
        <v/>
      </c>
      <c r="AP226" s="212" t="str">
        <f aca="false">IF(A227="","",CHOOSE(F$3,A227+24,A226))</f>
        <v/>
      </c>
      <c r="AQ226" s="209" t="str">
        <f aca="false">IF(A227="","",AP226-$E$1)</f>
        <v/>
      </c>
      <c r="AR226" s="185" t="n">
        <f aca="false">'ANR OK vs ML7'!AR226</f>
        <v>0.1</v>
      </c>
      <c r="AS226" s="213" t="str">
        <f aca="false">IF(A227="","",1/(1+CHOOSE(F$3,(AR227+($I$3/10000))/2,(AR226+($I$3/10000))/2))^(2*AQ226/365.25))</f>
        <v/>
      </c>
      <c r="AT226" s="137" t="str">
        <f aca="false">IF(A227="","",IF(AND(mthbeg&lt;=A226,mthend&gt;=A226),1,0))</f>
        <v/>
      </c>
      <c r="AU226" s="137" t="str">
        <f aca="false">IF(A227="","",AO226*AT226)</f>
        <v/>
      </c>
      <c r="AW226" s="195" t="str">
        <f aca="false">IF($A227="","",AL226*$E226)</f>
        <v/>
      </c>
      <c r="AX226" s="195" t="str">
        <f aca="false">IF($A227="","",AM226*$E226)</f>
        <v/>
      </c>
      <c r="AY226" s="195" t="str">
        <f aca="false">IF($A227="","",AN226*$E226)</f>
        <v/>
      </c>
      <c r="BA226" s="195" t="str">
        <f aca="false">IF($A227="","",F226*Summary!$Q$10)</f>
        <v/>
      </c>
    </row>
    <row r="227" customFormat="false" ht="12" hidden="false" customHeight="true" outlineLevel="0" collapsed="false">
      <c r="A227" s="196" t="str">
        <f aca="false">IF(A226&lt;mthend,EDATE(A226,1),"")</f>
        <v/>
      </c>
      <c r="B227" s="197" t="str">
        <f aca="false">IF(A227&lt;mthend,B226,"")</f>
        <v/>
      </c>
      <c r="C227" s="215"/>
      <c r="D227" s="197" t="str">
        <f aca="false">IF(A228&lt;&gt;"",B227+C227,"")</f>
        <v/>
      </c>
      <c r="E227" s="199" t="str">
        <f aca="false">IF(A228="","",IF(AND(AT227=1,$H$3=1),D227*AO227,IF($H$3=2,D227,"N/A")))</f>
        <v/>
      </c>
      <c r="F227" s="199" t="str">
        <f aca="false">IF(A228="","",E227*AS227)</f>
        <v/>
      </c>
      <c r="G227" s="200" t="str">
        <f aca="false">IF($A228="","",VLOOKUP($A227,Table,MATCH(G$4,Curves,0)))</f>
        <v/>
      </c>
      <c r="H227" s="201" t="str">
        <f aca="false">IF(A228="","",G227)</f>
        <v/>
      </c>
      <c r="I227" s="202"/>
      <c r="J227" s="200" t="str">
        <f aca="false">IF($A228="","",VLOOKUP($A227,Table,MATCH(J$4,Curves,0)))</f>
        <v/>
      </c>
      <c r="K227" s="201" t="str">
        <f aca="false">IF(A228="","",J227)</f>
        <v/>
      </c>
      <c r="L227" s="185" t="n">
        <v>0</v>
      </c>
      <c r="M227" s="201" t="str">
        <f aca="false">IF(A228="","",L227)</f>
        <v/>
      </c>
      <c r="N227" s="203"/>
      <c r="O227" s="200" t="str">
        <f aca="false">IF(A228="","",L227+J227+G227)</f>
        <v/>
      </c>
      <c r="P227" s="200" t="str">
        <f aca="false">IF(A228="","",M227+K227+H227)</f>
        <v/>
      </c>
      <c r="Q227" s="204"/>
      <c r="R227" s="200" t="str">
        <f aca="false">IF($A228="","",VLOOKUP($A227,Table,MATCH(R$4,Curves,0)))</f>
        <v/>
      </c>
      <c r="S227" s="201" t="str">
        <f aca="false">IF(A228="","",R227)</f>
        <v/>
      </c>
      <c r="T227" s="200" t="str">
        <f aca="false">IF($A228="","",VLOOKUP($A227,Table,MATCH(T$4,Curves,0)))</f>
        <v/>
      </c>
      <c r="U227" s="201" t="str">
        <f aca="false">IF(A228="","",T227)</f>
        <v/>
      </c>
      <c r="V227" s="205" t="str">
        <f aca="false">IF($A228="","",IF(AND(MONTH(A227)&gt;3,MONTH(A227)&lt;11),(T227+R227+G227)*Summary!$T$10/(1-Summary!$T$10),(T227+R227+G227)*Summary!$U$10/(1-Summary!$U$10)))</f>
        <v/>
      </c>
      <c r="W227" s="200" t="str">
        <f aca="false">IF($A228="","",(T227+R227+G227+V227))</f>
        <v/>
      </c>
      <c r="X227" s="200" t="str">
        <f aca="false">IF($A228="","",(U227+S227+H227+V227))</f>
        <v/>
      </c>
      <c r="Y227" s="202"/>
      <c r="Z227" s="185" t="str">
        <f aca="false">IF($A228="","",VLOOKUP($A227,Table,MATCH(Z$4,Curves,0)))</f>
        <v/>
      </c>
      <c r="AA227" s="185" t="str">
        <f aca="false">IF($A228="","",VLOOKUP($A227,Table,MATCH(AA$4,Curves,0)))</f>
        <v/>
      </c>
      <c r="AB227" s="185" t="e">
        <f aca="false">SQRT((AA227^2*(A227-$D$3)+Z227^2*(DAY(EOMONTH(A227,0))/2))/AK227)</f>
        <v>#VALUE!</v>
      </c>
      <c r="AC227" s="185" t="str">
        <f aca="false">IF($A228="","",VLOOKUP($A227,Table,MATCH(AC$4,Curves,0)))</f>
        <v/>
      </c>
      <c r="AD227" s="185" t="str">
        <f aca="false">IF($A228="","",VLOOKUP($A227,Table,MATCH(AD$4,Curves,0)))</f>
        <v/>
      </c>
      <c r="AE227" s="185" t="e">
        <f aca="false">SQRT((AD227^2*(A227-$D$3)+AC227^2*(DAY(EOMONTH(A227,0))/2))/AK227)</f>
        <v>#VALUE!</v>
      </c>
      <c r="AF227" s="224" t="e">
        <f aca="false">((Summary!$N$10*(AA227*AD227)*(A227-$D$3))+(Summary!$M$10*Z227*AC227*(AJ227-EOMONTH(EDATE(A227,-1),0))))/(AK227*AB227*AE227)</f>
        <v>#VALUE!</v>
      </c>
      <c r="AG227" s="207" t="str">
        <f aca="false">IF($A228="","",Summary!$Q$10)</f>
        <v/>
      </c>
      <c r="AH227" s="207" t="str">
        <f aca="false">IF($A228="","",IF(Summary!$R$10="Y",(VLOOKUP($A227,Summary!$AD$6:$AF$9,3)+'Escalating commodity'!F240),'Escalating commodity'!F240))</f>
        <v/>
      </c>
      <c r="AI227" s="207" t="str">
        <f aca="false">IF($A228="","",AH227)</f>
        <v/>
      </c>
      <c r="AJ227" s="208" t="e">
        <f aca="false">A227+DAY(EOMONTH(A227,0))/2-1</f>
        <v>#VALUE!</v>
      </c>
      <c r="AK227" s="209" t="str">
        <f aca="false">IF($A228="","",$A227-$E$1)</f>
        <v/>
      </c>
      <c r="AL227" s="182" t="str">
        <f aca="false">IF($A228="","",SPRDOPT(P227,X227,AI227,0,AB227,AE227,AF227,AK227,$AJ$2,0))</f>
        <v/>
      </c>
      <c r="AM227" s="211" t="str">
        <f aca="false">IF($A228="","",MAX(0,O227-W227-AI227))</f>
        <v/>
      </c>
      <c r="AN227" s="211" t="str">
        <f aca="false">IF($A228="","",AL227-AM227)</f>
        <v/>
      </c>
      <c r="AO227" s="137" t="str">
        <f aca="false">IF(A228="","",A228-A227)</f>
        <v/>
      </c>
      <c r="AP227" s="212" t="str">
        <f aca="false">IF(A228="","",CHOOSE(F$3,A228+24,A227))</f>
        <v/>
      </c>
      <c r="AQ227" s="209" t="str">
        <f aca="false">IF(A228="","",AP227-$E$1)</f>
        <v/>
      </c>
      <c r="AR227" s="185" t="n">
        <f aca="false">'ANR OK vs ML7'!AR227</f>
        <v>0.1</v>
      </c>
      <c r="AS227" s="213" t="str">
        <f aca="false">IF(A228="","",1/(1+CHOOSE(F$3,(AR228+($I$3/10000))/2,(AR227+($I$3/10000))/2))^(2*AQ227/365.25))</f>
        <v/>
      </c>
      <c r="AT227" s="137" t="str">
        <f aca="false">IF(A228="","",IF(AND(mthbeg&lt;=A227,mthend&gt;=A227),1,0))</f>
        <v/>
      </c>
      <c r="AU227" s="137" t="str">
        <f aca="false">IF(A228="","",AO227*AT227)</f>
        <v/>
      </c>
      <c r="AW227" s="195" t="str">
        <f aca="false">IF($A228="","",AL227*$E227)</f>
        <v/>
      </c>
      <c r="AX227" s="195" t="str">
        <f aca="false">IF($A228="","",AM227*$E227)</f>
        <v/>
      </c>
      <c r="AY227" s="195" t="str">
        <f aca="false">IF($A228="","",AN227*$E227)</f>
        <v/>
      </c>
      <c r="BA227" s="195" t="str">
        <f aca="false">IF($A228="","",F227*Summary!$Q$10)</f>
        <v/>
      </c>
    </row>
    <row r="228" customFormat="false" ht="12" hidden="false" customHeight="true" outlineLevel="0" collapsed="false">
      <c r="A228" s="196" t="str">
        <f aca="false">IF(A227&lt;mthend,EDATE(A227,1),"")</f>
        <v/>
      </c>
      <c r="B228" s="197" t="str">
        <f aca="false">IF(A228&lt;mthend,B227,"")</f>
        <v/>
      </c>
      <c r="C228" s="215"/>
      <c r="D228" s="197" t="str">
        <f aca="false">IF(A229&lt;&gt;"",B228+C228,"")</f>
        <v/>
      </c>
      <c r="E228" s="199" t="str">
        <f aca="false">IF(A229="","",IF(AND(AT228=1,$H$3=1),D228*AO228,IF($H$3=2,D228,"N/A")))</f>
        <v/>
      </c>
      <c r="F228" s="199" t="str">
        <f aca="false">IF(A229="","",E228*AS228)</f>
        <v/>
      </c>
      <c r="G228" s="200" t="str">
        <f aca="false">IF($A229="","",VLOOKUP($A228,Table,MATCH(G$4,Curves,0)))</f>
        <v/>
      </c>
      <c r="H228" s="201" t="str">
        <f aca="false">IF(A229="","",G228)</f>
        <v/>
      </c>
      <c r="I228" s="202"/>
      <c r="J228" s="200" t="str">
        <f aca="false">IF($A229="","",VLOOKUP($A228,Table,MATCH(J$4,Curves,0)))</f>
        <v/>
      </c>
      <c r="K228" s="201" t="str">
        <f aca="false">IF(A229="","",J228)</f>
        <v/>
      </c>
      <c r="L228" s="185" t="n">
        <v>0</v>
      </c>
      <c r="M228" s="201" t="str">
        <f aca="false">IF(A229="","",L228)</f>
        <v/>
      </c>
      <c r="N228" s="203"/>
      <c r="O228" s="200" t="str">
        <f aca="false">IF(A229="","",L228+J228+G228)</f>
        <v/>
      </c>
      <c r="P228" s="200" t="str">
        <f aca="false">IF(A229="","",M228+K228+H228)</f>
        <v/>
      </c>
      <c r="Q228" s="204"/>
      <c r="R228" s="200" t="str">
        <f aca="false">IF($A229="","",VLOOKUP($A228,Table,MATCH(R$4,Curves,0)))</f>
        <v/>
      </c>
      <c r="S228" s="201" t="str">
        <f aca="false">IF(A229="","",R228)</f>
        <v/>
      </c>
      <c r="T228" s="200" t="str">
        <f aca="false">IF($A229="","",VLOOKUP($A228,Table,MATCH(T$4,Curves,0)))</f>
        <v/>
      </c>
      <c r="U228" s="201" t="str">
        <f aca="false">IF(A229="","",T228)</f>
        <v/>
      </c>
      <c r="V228" s="205" t="str">
        <f aca="false">IF($A229="","",IF(AND(MONTH(A228)&gt;3,MONTH(A228)&lt;11),(T228+R228+G228)*Summary!$T$10/(1-Summary!$T$10),(T228+R228+G228)*Summary!$U$10/(1-Summary!$U$10)))</f>
        <v/>
      </c>
      <c r="W228" s="200" t="str">
        <f aca="false">IF($A229="","",(T228+R228+G228+V228))</f>
        <v/>
      </c>
      <c r="X228" s="200" t="str">
        <f aca="false">IF($A229="","",(U228+S228+H228+V228))</f>
        <v/>
      </c>
      <c r="Y228" s="202"/>
      <c r="Z228" s="185" t="str">
        <f aca="false">IF($A229="","",VLOOKUP($A228,Table,MATCH(Z$4,Curves,0)))</f>
        <v/>
      </c>
      <c r="AA228" s="185" t="str">
        <f aca="false">IF($A229="","",VLOOKUP($A228,Table,MATCH(AA$4,Curves,0)))</f>
        <v/>
      </c>
      <c r="AB228" s="185" t="e">
        <f aca="false">SQRT((AA228^2*(A228-$D$3)+Z228^2*(DAY(EOMONTH(A228,0))/2))/AK228)</f>
        <v>#VALUE!</v>
      </c>
      <c r="AC228" s="185" t="str">
        <f aca="false">IF($A229="","",VLOOKUP($A228,Table,MATCH(AC$4,Curves,0)))</f>
        <v/>
      </c>
      <c r="AD228" s="185" t="str">
        <f aca="false">IF($A229="","",VLOOKUP($A228,Table,MATCH(AD$4,Curves,0)))</f>
        <v/>
      </c>
      <c r="AE228" s="185" t="e">
        <f aca="false">SQRT((AD228^2*(A228-$D$3)+AC228^2*(DAY(EOMONTH(A228,0))/2))/AK228)</f>
        <v>#VALUE!</v>
      </c>
      <c r="AF228" s="224" t="e">
        <f aca="false">((Summary!$N$10*(AA228*AD228)*(A228-$D$3))+(Summary!$M$10*Z228*AC228*(AJ228-EOMONTH(EDATE(A228,-1),0))))/(AK228*AB228*AE228)</f>
        <v>#VALUE!</v>
      </c>
      <c r="AG228" s="207" t="str">
        <f aca="false">IF($A229="","",Summary!$Q$10)</f>
        <v/>
      </c>
      <c r="AH228" s="207" t="str">
        <f aca="false">IF($A229="","",IF(Summary!$R$10="Y",(VLOOKUP($A228,Summary!$AD$6:$AF$9,3)+'Escalating commodity'!F241),'Escalating commodity'!F241))</f>
        <v/>
      </c>
      <c r="AI228" s="207" t="str">
        <f aca="false">IF($A229="","",AH228)</f>
        <v/>
      </c>
      <c r="AJ228" s="208" t="e">
        <f aca="false">A228+DAY(EOMONTH(A228,0))/2-1</f>
        <v>#VALUE!</v>
      </c>
      <c r="AK228" s="209" t="str">
        <f aca="false">IF($A229="","",$A228-$E$1)</f>
        <v/>
      </c>
      <c r="AL228" s="182" t="str">
        <f aca="false">IF($A229="","",SPRDOPT(P228,X228,AI228,0,AB228,AE228,AF228,AK228,$AJ$2,0))</f>
        <v/>
      </c>
      <c r="AM228" s="211" t="str">
        <f aca="false">IF($A229="","",MAX(0,O228-W228-AI228))</f>
        <v/>
      </c>
      <c r="AN228" s="211" t="str">
        <f aca="false">IF($A229="","",AL228-AM228)</f>
        <v/>
      </c>
      <c r="AO228" s="137" t="str">
        <f aca="false">IF(A229="","",A229-A228)</f>
        <v/>
      </c>
      <c r="AP228" s="212" t="str">
        <f aca="false">IF(A229="","",CHOOSE(F$3,A229+24,A228))</f>
        <v/>
      </c>
      <c r="AQ228" s="209" t="str">
        <f aca="false">IF(A229="","",AP228-$E$1)</f>
        <v/>
      </c>
      <c r="AR228" s="185" t="n">
        <f aca="false">'ANR OK vs ML7'!AR228</f>
        <v>0.1</v>
      </c>
      <c r="AS228" s="213" t="str">
        <f aca="false">IF(A229="","",1/(1+CHOOSE(F$3,(AR229+($I$3/10000))/2,(AR228+($I$3/10000))/2))^(2*AQ228/365.25))</f>
        <v/>
      </c>
      <c r="AT228" s="137" t="str">
        <f aca="false">IF(A229="","",IF(AND(mthbeg&lt;=A228,mthend&gt;=A228),1,0))</f>
        <v/>
      </c>
      <c r="AU228" s="137" t="str">
        <f aca="false">IF(A229="","",AO228*AT228)</f>
        <v/>
      </c>
      <c r="AW228" s="195" t="str">
        <f aca="false">IF($A229="","",AL228*$E228)</f>
        <v/>
      </c>
      <c r="AX228" s="195" t="str">
        <f aca="false">IF($A229="","",AM228*$E228)</f>
        <v/>
      </c>
      <c r="AY228" s="195" t="str">
        <f aca="false">IF($A229="","",AN228*$E228)</f>
        <v/>
      </c>
      <c r="BA228" s="195" t="str">
        <f aca="false">IF($A229="","",F228*Summary!$Q$10)</f>
        <v/>
      </c>
    </row>
    <row r="229" customFormat="false" ht="12" hidden="false" customHeight="true" outlineLevel="0" collapsed="false">
      <c r="A229" s="196" t="str">
        <f aca="false">IF(A228&lt;mthend,EDATE(A228,1),"")</f>
        <v/>
      </c>
      <c r="B229" s="197" t="str">
        <f aca="false">IF(A229&lt;mthend,B228,"")</f>
        <v/>
      </c>
      <c r="C229" s="215"/>
      <c r="D229" s="197" t="str">
        <f aca="false">IF(A230&lt;&gt;"",B229+C229,"")</f>
        <v/>
      </c>
      <c r="E229" s="199" t="str">
        <f aca="false">IF(A230="","",IF(AND(AT229=1,$H$3=1),D229*AO229,IF($H$3=2,D229,"N/A")))</f>
        <v/>
      </c>
      <c r="F229" s="199" t="str">
        <f aca="false">IF(A230="","",E229*AS229)</f>
        <v/>
      </c>
      <c r="G229" s="200" t="str">
        <f aca="false">IF($A230="","",VLOOKUP($A229,Table,MATCH(G$4,Curves,0)))</f>
        <v/>
      </c>
      <c r="H229" s="201" t="str">
        <f aca="false">IF(A230="","",G229)</f>
        <v/>
      </c>
      <c r="I229" s="202"/>
      <c r="J229" s="200" t="str">
        <f aca="false">IF($A230="","",VLOOKUP($A229,Table,MATCH(J$4,Curves,0)))</f>
        <v/>
      </c>
      <c r="K229" s="201" t="str">
        <f aca="false">IF(A230="","",J229)</f>
        <v/>
      </c>
      <c r="L229" s="185" t="n">
        <v>0</v>
      </c>
      <c r="M229" s="201" t="str">
        <f aca="false">IF(A230="","",L229)</f>
        <v/>
      </c>
      <c r="N229" s="203"/>
      <c r="O229" s="200" t="str">
        <f aca="false">IF(A230="","",L229+J229+G229)</f>
        <v/>
      </c>
      <c r="P229" s="200" t="str">
        <f aca="false">IF(A230="","",M229+K229+H229)</f>
        <v/>
      </c>
      <c r="Q229" s="204"/>
      <c r="R229" s="200" t="str">
        <f aca="false">IF($A230="","",VLOOKUP($A229,Table,MATCH(R$4,Curves,0)))</f>
        <v/>
      </c>
      <c r="S229" s="201" t="str">
        <f aca="false">IF(A230="","",R229)</f>
        <v/>
      </c>
      <c r="T229" s="200" t="str">
        <f aca="false">IF($A230="","",VLOOKUP($A229,Table,MATCH(T$4,Curves,0)))</f>
        <v/>
      </c>
      <c r="U229" s="201" t="str">
        <f aca="false">IF(A230="","",T229)</f>
        <v/>
      </c>
      <c r="V229" s="205" t="str">
        <f aca="false">IF($A230="","",IF(AND(MONTH(A229)&gt;3,MONTH(A229)&lt;11),(T229+R229+G229)*Summary!$T$10/(1-Summary!$T$10),(T229+R229+G229)*Summary!$U$10/(1-Summary!$U$10)))</f>
        <v/>
      </c>
      <c r="W229" s="200" t="str">
        <f aca="false">IF($A230="","",(T229+R229+G229+V229))</f>
        <v/>
      </c>
      <c r="X229" s="200" t="str">
        <f aca="false">IF($A230="","",(U229+S229+H229+V229))</f>
        <v/>
      </c>
      <c r="Y229" s="202"/>
      <c r="Z229" s="185" t="str">
        <f aca="false">IF($A230="","",VLOOKUP($A229,Table,MATCH(Z$4,Curves,0)))</f>
        <v/>
      </c>
      <c r="AA229" s="185" t="str">
        <f aca="false">IF($A230="","",VLOOKUP($A229,Table,MATCH(AA$4,Curves,0)))</f>
        <v/>
      </c>
      <c r="AB229" s="185" t="e">
        <f aca="false">SQRT((AA229^2*(A229-$D$3)+Z229^2*(DAY(EOMONTH(A229,0))/2))/AK229)</f>
        <v>#VALUE!</v>
      </c>
      <c r="AC229" s="185" t="str">
        <f aca="false">IF($A230="","",VLOOKUP($A229,Table,MATCH(AC$4,Curves,0)))</f>
        <v/>
      </c>
      <c r="AD229" s="185" t="str">
        <f aca="false">IF($A230="","",VLOOKUP($A229,Table,MATCH(AD$4,Curves,0)))</f>
        <v/>
      </c>
      <c r="AE229" s="185" t="e">
        <f aca="false">SQRT((AD229^2*(A229-$D$3)+AC229^2*(DAY(EOMONTH(A229,0))/2))/AK229)</f>
        <v>#VALUE!</v>
      </c>
      <c r="AF229" s="224" t="e">
        <f aca="false">((Summary!$N$10*(AA229*AD229)*(A229-$D$3))+(Summary!$M$10*Z229*AC229*(AJ229-EOMONTH(EDATE(A229,-1),0))))/(AK229*AB229*AE229)</f>
        <v>#VALUE!</v>
      </c>
      <c r="AG229" s="207" t="str">
        <f aca="false">IF($A230="","",Summary!$Q$10)</f>
        <v/>
      </c>
      <c r="AH229" s="207" t="str">
        <f aca="false">IF($A230="","",IF(Summary!$R$10="Y",(VLOOKUP($A229,Summary!$AD$6:$AF$9,3)+'Escalating commodity'!F242),'Escalating commodity'!F242))</f>
        <v/>
      </c>
      <c r="AI229" s="207" t="str">
        <f aca="false">IF($A230="","",AH229)</f>
        <v/>
      </c>
      <c r="AJ229" s="208" t="e">
        <f aca="false">A229+DAY(EOMONTH(A229,0))/2-1</f>
        <v>#VALUE!</v>
      </c>
      <c r="AK229" s="209" t="str">
        <f aca="false">IF($A230="","",$A229-$E$1)</f>
        <v/>
      </c>
      <c r="AL229" s="182" t="str">
        <f aca="false">IF($A230="","",SPRDOPT(P229,X229,AI229,0,AB229,AE229,AF229,AK229,$AJ$2,0))</f>
        <v/>
      </c>
      <c r="AM229" s="211" t="str">
        <f aca="false">IF($A230="","",MAX(0,O229-W229-AI229))</f>
        <v/>
      </c>
      <c r="AN229" s="211" t="str">
        <f aca="false">IF($A230="","",AL229-AM229)</f>
        <v/>
      </c>
      <c r="AO229" s="137" t="str">
        <f aca="false">IF(A230="","",A230-A229)</f>
        <v/>
      </c>
      <c r="AP229" s="212" t="str">
        <f aca="false">IF(A230="","",CHOOSE(F$3,A230+24,A229))</f>
        <v/>
      </c>
      <c r="AQ229" s="209" t="str">
        <f aca="false">IF(A230="","",AP229-$E$1)</f>
        <v/>
      </c>
      <c r="AR229" s="185" t="n">
        <f aca="false">'ANR OK vs ML7'!AR229</f>
        <v>0.1</v>
      </c>
      <c r="AS229" s="213" t="str">
        <f aca="false">IF(A230="","",1/(1+CHOOSE(F$3,(AR230+($I$3/10000))/2,(AR229+($I$3/10000))/2))^(2*AQ229/365.25))</f>
        <v/>
      </c>
      <c r="AT229" s="137" t="str">
        <f aca="false">IF(A230="","",IF(AND(mthbeg&lt;=A229,mthend&gt;=A229),1,0))</f>
        <v/>
      </c>
      <c r="AU229" s="137" t="str">
        <f aca="false">IF(A230="","",AO229*AT229)</f>
        <v/>
      </c>
      <c r="AW229" s="195" t="str">
        <f aca="false">IF($A230="","",AL229*$E229)</f>
        <v/>
      </c>
      <c r="AX229" s="195" t="str">
        <f aca="false">IF($A230="","",AM229*$E229)</f>
        <v/>
      </c>
      <c r="AY229" s="195" t="str">
        <f aca="false">IF($A230="","",AN229*$E229)</f>
        <v/>
      </c>
      <c r="BA229" s="195" t="str">
        <f aca="false">IF($A230="","",F229*Summary!$Q$10)</f>
        <v/>
      </c>
    </row>
    <row r="230" customFormat="false" ht="12" hidden="false" customHeight="true" outlineLevel="0" collapsed="false">
      <c r="A230" s="196" t="str">
        <f aca="false">IF(A229&lt;mthend,EDATE(A229,1),"")</f>
        <v/>
      </c>
      <c r="B230" s="197" t="str">
        <f aca="false">IF(A230&lt;mthend,B229,"")</f>
        <v/>
      </c>
      <c r="C230" s="215"/>
      <c r="D230" s="197" t="str">
        <f aca="false">IF(A231&lt;&gt;"",B230+C230,"")</f>
        <v/>
      </c>
      <c r="E230" s="199" t="str">
        <f aca="false">IF(A231="","",IF(AND(AT230=1,$H$3=1),D230*AO230,IF($H$3=2,D230,"N/A")))</f>
        <v/>
      </c>
      <c r="F230" s="199" t="str">
        <f aca="false">IF(A231="","",E230*AS230)</f>
        <v/>
      </c>
      <c r="G230" s="200" t="str">
        <f aca="false">IF($A231="","",VLOOKUP($A230,Table,MATCH(G$4,Curves,0)))</f>
        <v/>
      </c>
      <c r="H230" s="201" t="str">
        <f aca="false">IF(A231="","",G230)</f>
        <v/>
      </c>
      <c r="I230" s="202"/>
      <c r="J230" s="200" t="str">
        <f aca="false">IF($A231="","",VLOOKUP($A230,Table,MATCH(J$4,Curves,0)))</f>
        <v/>
      </c>
      <c r="K230" s="201" t="str">
        <f aca="false">IF(A231="","",J230)</f>
        <v/>
      </c>
      <c r="L230" s="185" t="n">
        <v>0</v>
      </c>
      <c r="M230" s="201" t="str">
        <f aca="false">IF(A231="","",L230)</f>
        <v/>
      </c>
      <c r="N230" s="203"/>
      <c r="O230" s="200" t="str">
        <f aca="false">IF(A231="","",L230+J230+G230)</f>
        <v/>
      </c>
      <c r="P230" s="200" t="str">
        <f aca="false">IF(A231="","",M230+K230+H230)</f>
        <v/>
      </c>
      <c r="Q230" s="204"/>
      <c r="R230" s="200" t="str">
        <f aca="false">IF($A231="","",VLOOKUP($A230,Table,MATCH(R$4,Curves,0)))</f>
        <v/>
      </c>
      <c r="S230" s="201" t="str">
        <f aca="false">IF(A231="","",R230)</f>
        <v/>
      </c>
      <c r="T230" s="200" t="str">
        <f aca="false">IF($A231="","",VLOOKUP($A230,Table,MATCH(T$4,Curves,0)))</f>
        <v/>
      </c>
      <c r="U230" s="201" t="str">
        <f aca="false">IF(A231="","",T230)</f>
        <v/>
      </c>
      <c r="V230" s="205" t="str">
        <f aca="false">IF($A231="","",IF(AND(MONTH(A230)&gt;3,MONTH(A230)&lt;11),(T230+R230+G230)*Summary!$T$10/(1-Summary!$T$10),(T230+R230+G230)*Summary!$U$10/(1-Summary!$U$10)))</f>
        <v/>
      </c>
      <c r="W230" s="200" t="str">
        <f aca="false">IF($A231="","",(T230+R230+G230+V230))</f>
        <v/>
      </c>
      <c r="X230" s="200" t="str">
        <f aca="false">IF($A231="","",(U230+S230+H230+V230))</f>
        <v/>
      </c>
      <c r="Y230" s="202"/>
      <c r="Z230" s="185" t="str">
        <f aca="false">IF($A231="","",VLOOKUP($A230,Table,MATCH(Z$4,Curves,0)))</f>
        <v/>
      </c>
      <c r="AA230" s="185" t="str">
        <f aca="false">IF($A231="","",VLOOKUP($A230,Table,MATCH(AA$4,Curves,0)))</f>
        <v/>
      </c>
      <c r="AB230" s="185" t="e">
        <f aca="false">SQRT((AA230^2*(A230-$D$3)+Z230^2*(DAY(EOMONTH(A230,0))/2))/AK230)</f>
        <v>#VALUE!</v>
      </c>
      <c r="AC230" s="185" t="str">
        <f aca="false">IF($A231="","",VLOOKUP($A230,Table,MATCH(AC$4,Curves,0)))</f>
        <v/>
      </c>
      <c r="AD230" s="185" t="str">
        <f aca="false">IF($A231="","",VLOOKUP($A230,Table,MATCH(AD$4,Curves,0)))</f>
        <v/>
      </c>
      <c r="AE230" s="185" t="e">
        <f aca="false">SQRT((AD230^2*(A230-$D$3)+AC230^2*(DAY(EOMONTH(A230,0))/2))/AK230)</f>
        <v>#VALUE!</v>
      </c>
      <c r="AF230" s="224" t="e">
        <f aca="false">((Summary!$N$10*(AA230*AD230)*(A230-$D$3))+(Summary!$M$10*Z230*AC230*(AJ230-EOMONTH(EDATE(A230,-1),0))))/(AK230*AB230*AE230)</f>
        <v>#VALUE!</v>
      </c>
      <c r="AG230" s="207" t="str">
        <f aca="false">IF($A231="","",Summary!$Q$10)</f>
        <v/>
      </c>
      <c r="AH230" s="207" t="str">
        <f aca="false">IF($A231="","",IF(Summary!$R$10="Y",(VLOOKUP($A230,Summary!$AD$6:$AF$9,3)+'Escalating commodity'!F243),'Escalating commodity'!F243))</f>
        <v/>
      </c>
      <c r="AI230" s="207" t="str">
        <f aca="false">IF($A231="","",AH230)</f>
        <v/>
      </c>
      <c r="AJ230" s="208" t="e">
        <f aca="false">A230+DAY(EOMONTH(A230,0))/2-1</f>
        <v>#VALUE!</v>
      </c>
      <c r="AK230" s="209" t="str">
        <f aca="false">IF($A231="","",$A230-$E$1)</f>
        <v/>
      </c>
      <c r="AL230" s="182" t="str">
        <f aca="false">IF($A231="","",SPRDOPT(P230,X230,AI230,0,AB230,AE230,AF230,AK230,$AJ$2,0))</f>
        <v/>
      </c>
      <c r="AM230" s="211" t="str">
        <f aca="false">IF($A231="","",MAX(0,O230-W230-AI230))</f>
        <v/>
      </c>
      <c r="AN230" s="211" t="str">
        <f aca="false">IF($A231="","",AL230-AM230)</f>
        <v/>
      </c>
      <c r="AO230" s="137" t="str">
        <f aca="false">IF(A231="","",A231-A230)</f>
        <v/>
      </c>
      <c r="AP230" s="212" t="str">
        <f aca="false">IF(A231="","",CHOOSE(F$3,A231+24,A230))</f>
        <v/>
      </c>
      <c r="AQ230" s="209" t="str">
        <f aca="false">IF(A231="","",AP230-$E$1)</f>
        <v/>
      </c>
      <c r="AR230" s="185" t="n">
        <f aca="false">'ANR OK vs ML7'!AR230</f>
        <v>0.1</v>
      </c>
      <c r="AS230" s="213" t="str">
        <f aca="false">IF(A231="","",1/(1+CHOOSE(F$3,(AR231+($I$3/10000))/2,(AR230+($I$3/10000))/2))^(2*AQ230/365.25))</f>
        <v/>
      </c>
      <c r="AT230" s="137" t="str">
        <f aca="false">IF(A231="","",IF(AND(mthbeg&lt;=A230,mthend&gt;=A230),1,0))</f>
        <v/>
      </c>
      <c r="AU230" s="137" t="str">
        <f aca="false">IF(A231="","",AO230*AT230)</f>
        <v/>
      </c>
      <c r="AW230" s="195" t="str">
        <f aca="false">IF($A231="","",AL230*$E230)</f>
        <v/>
      </c>
      <c r="AX230" s="195" t="str">
        <f aca="false">IF($A231="","",AM230*$E230)</f>
        <v/>
      </c>
      <c r="AY230" s="195" t="str">
        <f aca="false">IF($A231="","",AN230*$E230)</f>
        <v/>
      </c>
      <c r="BA230" s="195" t="str">
        <f aca="false">IF($A231="","",F230*Summary!$Q$10)</f>
        <v/>
      </c>
    </row>
    <row r="231" customFormat="false" ht="12" hidden="false" customHeight="true" outlineLevel="0" collapsed="false">
      <c r="A231" s="196" t="str">
        <f aca="false">IF(A230&lt;mthend,EDATE(A230,1),"")</f>
        <v/>
      </c>
      <c r="B231" s="197" t="str">
        <f aca="false">IF(A231&lt;mthend,B230,"")</f>
        <v/>
      </c>
      <c r="C231" s="215"/>
      <c r="D231" s="197" t="str">
        <f aca="false">IF(A232&lt;&gt;"",B231+C231,"")</f>
        <v/>
      </c>
      <c r="E231" s="199" t="str">
        <f aca="false">IF(A232="","",IF(AND(AT231=1,$H$3=1),D231*AO231,IF($H$3=2,D231,"N/A")))</f>
        <v/>
      </c>
      <c r="F231" s="199" t="str">
        <f aca="false">IF(A232="","",E231*AS231)</f>
        <v/>
      </c>
      <c r="G231" s="200" t="str">
        <f aca="false">IF($A232="","",VLOOKUP($A231,Table,MATCH(G$4,Curves,0)))</f>
        <v/>
      </c>
      <c r="H231" s="201" t="str">
        <f aca="false">IF(A232="","",G231)</f>
        <v/>
      </c>
      <c r="I231" s="202"/>
      <c r="J231" s="200" t="str">
        <f aca="false">IF($A232="","",VLOOKUP($A231,Table,MATCH(J$4,Curves,0)))</f>
        <v/>
      </c>
      <c r="K231" s="201" t="str">
        <f aca="false">IF(A232="","",J231)</f>
        <v/>
      </c>
      <c r="L231" s="185" t="n">
        <v>0</v>
      </c>
      <c r="M231" s="201" t="str">
        <f aca="false">IF(A232="","",L231)</f>
        <v/>
      </c>
      <c r="N231" s="203"/>
      <c r="O231" s="200" t="str">
        <f aca="false">IF(A232="","",L231+J231+G231)</f>
        <v/>
      </c>
      <c r="P231" s="200" t="str">
        <f aca="false">IF(A232="","",M231+K231+H231)</f>
        <v/>
      </c>
      <c r="Q231" s="204"/>
      <c r="R231" s="200" t="str">
        <f aca="false">IF($A232="","",VLOOKUP($A231,Table,MATCH(R$4,Curves,0)))</f>
        <v/>
      </c>
      <c r="S231" s="201" t="str">
        <f aca="false">IF(A232="","",R231)</f>
        <v/>
      </c>
      <c r="T231" s="200" t="str">
        <f aca="false">IF($A232="","",VLOOKUP($A231,Table,MATCH(T$4,Curves,0)))</f>
        <v/>
      </c>
      <c r="U231" s="201" t="str">
        <f aca="false">IF(A232="","",T231)</f>
        <v/>
      </c>
      <c r="V231" s="205" t="str">
        <f aca="false">IF($A232="","",IF(AND(MONTH(A231)&gt;3,MONTH(A231)&lt;11),(T231+R231+G231)*Summary!$T$10/(1-Summary!$T$10),(T231+R231+G231)*Summary!$U$10/(1-Summary!$U$10)))</f>
        <v/>
      </c>
      <c r="W231" s="200" t="str">
        <f aca="false">IF($A232="","",(T231+R231+G231+V231))</f>
        <v/>
      </c>
      <c r="X231" s="200" t="str">
        <f aca="false">IF($A232="","",(U231+S231+H231+V231))</f>
        <v/>
      </c>
      <c r="Y231" s="202"/>
      <c r="Z231" s="185" t="str">
        <f aca="false">IF($A232="","",VLOOKUP($A231,Table,MATCH(Z$4,Curves,0)))</f>
        <v/>
      </c>
      <c r="AA231" s="185" t="str">
        <f aca="false">IF($A232="","",VLOOKUP($A231,Table,MATCH(AA$4,Curves,0)))</f>
        <v/>
      </c>
      <c r="AB231" s="185" t="e">
        <f aca="false">SQRT((AA231^2*(A231-$D$3)+Z231^2*(DAY(EOMONTH(A231,0))/2))/AK231)</f>
        <v>#VALUE!</v>
      </c>
      <c r="AC231" s="185" t="str">
        <f aca="false">IF($A232="","",VLOOKUP($A231,Table,MATCH(AC$4,Curves,0)))</f>
        <v/>
      </c>
      <c r="AD231" s="185" t="str">
        <f aca="false">IF($A232="","",VLOOKUP($A231,Table,MATCH(AD$4,Curves,0)))</f>
        <v/>
      </c>
      <c r="AE231" s="185" t="e">
        <f aca="false">SQRT((AD231^2*(A231-$D$3)+AC231^2*(DAY(EOMONTH(A231,0))/2))/AK231)</f>
        <v>#VALUE!</v>
      </c>
      <c r="AF231" s="224" t="e">
        <f aca="false">((Summary!$N$10*(AA231*AD231)*(A231-$D$3))+(Summary!$M$10*Z231*AC231*(AJ231-EOMONTH(EDATE(A231,-1),0))))/(AK231*AB231*AE231)</f>
        <v>#VALUE!</v>
      </c>
      <c r="AG231" s="207" t="str">
        <f aca="false">IF($A232="","",Summary!$Q$10)</f>
        <v/>
      </c>
      <c r="AH231" s="207" t="str">
        <f aca="false">IF($A232="","",IF(Summary!$R$10="Y",(VLOOKUP($A231,Summary!$AD$6:$AF$9,3)+'Escalating commodity'!F244),'Escalating commodity'!F244))</f>
        <v/>
      </c>
      <c r="AI231" s="207" t="str">
        <f aca="false">IF($A232="","",AH231)</f>
        <v/>
      </c>
      <c r="AJ231" s="208" t="e">
        <f aca="false">A231+DAY(EOMONTH(A231,0))/2-1</f>
        <v>#VALUE!</v>
      </c>
      <c r="AK231" s="209" t="str">
        <f aca="false">IF($A232="","",$A231-$E$1)</f>
        <v/>
      </c>
      <c r="AL231" s="182" t="str">
        <f aca="false">IF($A232="","",SPRDOPT(P231,X231,AI231,0,AB231,AE231,AF231,AK231,$AJ$2,0))</f>
        <v/>
      </c>
      <c r="AM231" s="211" t="str">
        <f aca="false">IF($A232="","",MAX(0,O231-W231-AI231))</f>
        <v/>
      </c>
      <c r="AN231" s="211" t="str">
        <f aca="false">IF($A232="","",AL231-AM231)</f>
        <v/>
      </c>
      <c r="AO231" s="137" t="str">
        <f aca="false">IF(A232="","",A232-A231)</f>
        <v/>
      </c>
      <c r="AP231" s="212" t="str">
        <f aca="false">IF(A232="","",CHOOSE(F$3,A232+24,A231))</f>
        <v/>
      </c>
      <c r="AQ231" s="209" t="str">
        <f aca="false">IF(A232="","",AP231-$E$1)</f>
        <v/>
      </c>
      <c r="AR231" s="185" t="n">
        <f aca="false">'ANR OK vs ML7'!AR231</f>
        <v>0.1</v>
      </c>
      <c r="AS231" s="213" t="str">
        <f aca="false">IF(A232="","",1/(1+CHOOSE(F$3,(AR232+($I$3/10000))/2,(AR231+($I$3/10000))/2))^(2*AQ231/365.25))</f>
        <v/>
      </c>
      <c r="AT231" s="137" t="str">
        <f aca="false">IF(A232="","",IF(AND(mthbeg&lt;=A231,mthend&gt;=A231),1,0))</f>
        <v/>
      </c>
      <c r="AU231" s="137" t="str">
        <f aca="false">IF(A232="","",AO231*AT231)</f>
        <v/>
      </c>
      <c r="AW231" s="195" t="str">
        <f aca="false">IF($A232="","",AL231*$E231)</f>
        <v/>
      </c>
      <c r="AX231" s="195" t="str">
        <f aca="false">IF($A232="","",AM231*$E231)</f>
        <v/>
      </c>
      <c r="AY231" s="195" t="str">
        <f aca="false">IF($A232="","",AN231*$E231)</f>
        <v/>
      </c>
      <c r="BA231" s="195" t="str">
        <f aca="false">IF($A232="","",F231*Summary!$Q$10)</f>
        <v/>
      </c>
    </row>
    <row r="232" customFormat="false" ht="12" hidden="false" customHeight="true" outlineLevel="0" collapsed="false">
      <c r="A232" s="196" t="str">
        <f aca="false">IF(A231&lt;mthend,EDATE(A231,1),"")</f>
        <v/>
      </c>
      <c r="B232" s="197" t="str">
        <f aca="false">IF(A232&lt;mthend,B231,"")</f>
        <v/>
      </c>
      <c r="C232" s="215"/>
      <c r="D232" s="197" t="str">
        <f aca="false">IF(A233&lt;&gt;"",B232+C232,"")</f>
        <v/>
      </c>
      <c r="E232" s="199" t="str">
        <f aca="false">IF(A233="","",IF(AND(AT232=1,$H$3=1),D232*AO232,IF($H$3=2,D232,"N/A")))</f>
        <v/>
      </c>
      <c r="F232" s="199" t="str">
        <f aca="false">IF(A233="","",E232*AS232)</f>
        <v/>
      </c>
      <c r="G232" s="200" t="str">
        <f aca="false">IF($A233="","",VLOOKUP($A232,Table,MATCH(G$4,Curves,0)))</f>
        <v/>
      </c>
      <c r="H232" s="201" t="str">
        <f aca="false">IF(A233="","",G232)</f>
        <v/>
      </c>
      <c r="I232" s="202"/>
      <c r="J232" s="200" t="str">
        <f aca="false">IF($A233="","",VLOOKUP($A232,Table,MATCH(J$4,Curves,0)))</f>
        <v/>
      </c>
      <c r="K232" s="201" t="str">
        <f aca="false">IF(A233="","",J232)</f>
        <v/>
      </c>
      <c r="L232" s="185" t="n">
        <v>0</v>
      </c>
      <c r="M232" s="201" t="str">
        <f aca="false">IF(A233="","",L232)</f>
        <v/>
      </c>
      <c r="N232" s="203"/>
      <c r="O232" s="200" t="str">
        <f aca="false">IF(A233="","",L232+J232+G232)</f>
        <v/>
      </c>
      <c r="P232" s="200" t="str">
        <f aca="false">IF(A233="","",M232+K232+H232)</f>
        <v/>
      </c>
      <c r="Q232" s="204"/>
      <c r="R232" s="200" t="str">
        <f aca="false">IF($A233="","",VLOOKUP($A232,Table,MATCH(R$4,Curves,0)))</f>
        <v/>
      </c>
      <c r="S232" s="201" t="str">
        <f aca="false">IF(A233="","",R232)</f>
        <v/>
      </c>
      <c r="T232" s="200" t="str">
        <f aca="false">IF($A233="","",VLOOKUP($A232,Table,MATCH(T$4,Curves,0)))</f>
        <v/>
      </c>
      <c r="U232" s="201" t="str">
        <f aca="false">IF(A233="","",T232)</f>
        <v/>
      </c>
      <c r="V232" s="205" t="str">
        <f aca="false">IF($A233="","",IF(AND(MONTH(A232)&gt;3,MONTH(A232)&lt;11),(T232+R232+G232)*Summary!$T$10/(1-Summary!$T$10),(T232+R232+G232)*Summary!$U$10/(1-Summary!$U$10)))</f>
        <v/>
      </c>
      <c r="W232" s="200" t="str">
        <f aca="false">IF($A233="","",(T232+R232+G232+V232))</f>
        <v/>
      </c>
      <c r="X232" s="200" t="str">
        <f aca="false">IF($A233="","",(U232+S232+H232+V232))</f>
        <v/>
      </c>
      <c r="Y232" s="202"/>
      <c r="Z232" s="185" t="str">
        <f aca="false">IF($A233="","",VLOOKUP($A232,Table,MATCH(Z$4,Curves,0)))</f>
        <v/>
      </c>
      <c r="AA232" s="185" t="str">
        <f aca="false">IF($A233="","",VLOOKUP($A232,Table,MATCH(AA$4,Curves,0)))</f>
        <v/>
      </c>
      <c r="AB232" s="185" t="e">
        <f aca="false">SQRT((AA232^2*(A232-$D$3)+Z232^2*(DAY(EOMONTH(A232,0))/2))/AK232)</f>
        <v>#VALUE!</v>
      </c>
      <c r="AC232" s="185" t="str">
        <f aca="false">IF($A233="","",VLOOKUP($A232,Table,MATCH(AC$4,Curves,0)))</f>
        <v/>
      </c>
      <c r="AD232" s="185" t="str">
        <f aca="false">IF($A233="","",VLOOKUP($A232,Table,MATCH(AD$4,Curves,0)))</f>
        <v/>
      </c>
      <c r="AE232" s="185" t="e">
        <f aca="false">SQRT((AD232^2*(A232-$D$3)+AC232^2*(DAY(EOMONTH(A232,0))/2))/AK232)</f>
        <v>#VALUE!</v>
      </c>
      <c r="AF232" s="224" t="e">
        <f aca="false">((Summary!$N$10*(AA232*AD232)*(A232-$D$3))+(Summary!$M$10*Z232*AC232*(AJ232-EOMONTH(EDATE(A232,-1),0))))/(AK232*AB232*AE232)</f>
        <v>#VALUE!</v>
      </c>
      <c r="AG232" s="207" t="str">
        <f aca="false">IF($A233="","",Summary!$Q$10)</f>
        <v/>
      </c>
      <c r="AH232" s="207" t="str">
        <f aca="false">IF($A233="","",IF(Summary!$R$10="Y",(VLOOKUP($A232,Summary!$AD$6:$AF$9,3)+'Escalating commodity'!F245),'Escalating commodity'!F245))</f>
        <v/>
      </c>
      <c r="AI232" s="207" t="str">
        <f aca="false">IF($A233="","",AH232)</f>
        <v/>
      </c>
      <c r="AJ232" s="208" t="e">
        <f aca="false">A232+DAY(EOMONTH(A232,0))/2-1</f>
        <v>#VALUE!</v>
      </c>
      <c r="AK232" s="209" t="str">
        <f aca="false">IF($A233="","",$A232-$E$1)</f>
        <v/>
      </c>
      <c r="AL232" s="182" t="str">
        <f aca="false">IF($A233="","",SPRDOPT(P232,X232,AI232,0,AB232,AE232,AF232,AK232,$AJ$2,0))</f>
        <v/>
      </c>
      <c r="AM232" s="211" t="str">
        <f aca="false">IF($A233="","",MAX(0,O232-W232-AI232))</f>
        <v/>
      </c>
      <c r="AN232" s="211" t="str">
        <f aca="false">IF($A233="","",AL232-AM232)</f>
        <v/>
      </c>
      <c r="AO232" s="137" t="str">
        <f aca="false">IF(A233="","",A233-A232)</f>
        <v/>
      </c>
      <c r="AP232" s="212" t="str">
        <f aca="false">IF(A233="","",CHOOSE(F$3,A233+24,A232))</f>
        <v/>
      </c>
      <c r="AQ232" s="209" t="str">
        <f aca="false">IF(A233="","",AP232-$E$1)</f>
        <v/>
      </c>
      <c r="AR232" s="185" t="n">
        <f aca="false">'ANR OK vs ML7'!AR232</f>
        <v>0.1</v>
      </c>
      <c r="AS232" s="213" t="str">
        <f aca="false">IF(A233="","",1/(1+CHOOSE(F$3,(AR233+($I$3/10000))/2,(AR232+($I$3/10000))/2))^(2*AQ232/365.25))</f>
        <v/>
      </c>
      <c r="AT232" s="137" t="str">
        <f aca="false">IF(A233="","",IF(AND(mthbeg&lt;=A232,mthend&gt;=A232),1,0))</f>
        <v/>
      </c>
      <c r="AU232" s="137" t="str">
        <f aca="false">IF(A233="","",AO232*AT232)</f>
        <v/>
      </c>
      <c r="AW232" s="195" t="str">
        <f aca="false">IF($A233="","",AL232*$E232)</f>
        <v/>
      </c>
      <c r="AX232" s="195" t="str">
        <f aca="false">IF($A233="","",AM232*$E232)</f>
        <v/>
      </c>
      <c r="AY232" s="195" t="str">
        <f aca="false">IF($A233="","",AN232*$E232)</f>
        <v/>
      </c>
      <c r="BA232" s="195" t="str">
        <f aca="false">IF($A233="","",F232*Summary!$Q$10)</f>
        <v/>
      </c>
    </row>
    <row r="233" customFormat="false" ht="12" hidden="false" customHeight="true" outlineLevel="0" collapsed="false">
      <c r="A233" s="196" t="str">
        <f aca="false">IF(A232&lt;mthend,EDATE(A232,1),"")</f>
        <v/>
      </c>
      <c r="B233" s="197" t="str">
        <f aca="false">IF(A233&lt;mthend,B232,"")</f>
        <v/>
      </c>
      <c r="C233" s="215"/>
      <c r="D233" s="197" t="str">
        <f aca="false">IF(A234&lt;&gt;"",B233+C233,"")</f>
        <v/>
      </c>
      <c r="E233" s="199" t="str">
        <f aca="false">IF(A234="","",IF(AND(AT233=1,$H$3=1),D233*AO233,IF($H$3=2,D233,"N/A")))</f>
        <v/>
      </c>
      <c r="F233" s="199" t="str">
        <f aca="false">IF(A234="","",E233*AS233)</f>
        <v/>
      </c>
      <c r="G233" s="200" t="str">
        <f aca="false">IF($A234="","",VLOOKUP($A233,Table,MATCH(G$4,Curves,0)))</f>
        <v/>
      </c>
      <c r="H233" s="201" t="str">
        <f aca="false">IF(A234="","",G233)</f>
        <v/>
      </c>
      <c r="I233" s="202"/>
      <c r="J233" s="200" t="str">
        <f aca="false">IF($A234="","",VLOOKUP($A233,Table,MATCH(J$4,Curves,0)))</f>
        <v/>
      </c>
      <c r="K233" s="201" t="str">
        <f aca="false">IF(A234="","",J233)</f>
        <v/>
      </c>
      <c r="L233" s="185" t="n">
        <v>0</v>
      </c>
      <c r="M233" s="201" t="str">
        <f aca="false">IF(A234="","",L233)</f>
        <v/>
      </c>
      <c r="N233" s="203"/>
      <c r="O233" s="200" t="str">
        <f aca="false">IF(A234="","",L233+J233+G233)</f>
        <v/>
      </c>
      <c r="P233" s="200" t="str">
        <f aca="false">IF(A234="","",M233+K233+H233)</f>
        <v/>
      </c>
      <c r="Q233" s="204"/>
      <c r="R233" s="200" t="str">
        <f aca="false">IF($A234="","",VLOOKUP($A233,Table,MATCH(R$4,Curves,0)))</f>
        <v/>
      </c>
      <c r="S233" s="201" t="str">
        <f aca="false">IF(A234="","",R233)</f>
        <v/>
      </c>
      <c r="T233" s="200" t="str">
        <f aca="false">IF($A234="","",VLOOKUP($A233,Table,MATCH(T$4,Curves,0)))</f>
        <v/>
      </c>
      <c r="U233" s="201" t="str">
        <f aca="false">IF(A234="","",T233)</f>
        <v/>
      </c>
      <c r="V233" s="205" t="str">
        <f aca="false">IF($A234="","",IF(AND(MONTH(A233)&gt;3,MONTH(A233)&lt;11),(T233+R233+G233)*Summary!$T$10/(1-Summary!$T$10),(T233+R233+G233)*Summary!$U$10/(1-Summary!$U$10)))</f>
        <v/>
      </c>
      <c r="W233" s="200" t="str">
        <f aca="false">IF($A234="","",(T233+R233+G233+V233))</f>
        <v/>
      </c>
      <c r="X233" s="200" t="str">
        <f aca="false">IF($A234="","",(U233+S233+H233+V233))</f>
        <v/>
      </c>
      <c r="Y233" s="202"/>
      <c r="Z233" s="185" t="str">
        <f aca="false">IF($A234="","",VLOOKUP($A233,Table,MATCH(Z$4,Curves,0)))</f>
        <v/>
      </c>
      <c r="AA233" s="185" t="str">
        <f aca="false">IF($A234="","",VLOOKUP($A233,Table,MATCH(AA$4,Curves,0)))</f>
        <v/>
      </c>
      <c r="AB233" s="185" t="e">
        <f aca="false">SQRT((AA233^2*(A233-$D$3)+Z233^2*(DAY(EOMONTH(A233,0))/2))/AK233)</f>
        <v>#VALUE!</v>
      </c>
      <c r="AC233" s="185" t="str">
        <f aca="false">IF($A234="","",VLOOKUP($A233,Table,MATCH(AC$4,Curves,0)))</f>
        <v/>
      </c>
      <c r="AD233" s="185" t="str">
        <f aca="false">IF($A234="","",VLOOKUP($A233,Table,MATCH(AD$4,Curves,0)))</f>
        <v/>
      </c>
      <c r="AE233" s="185" t="e">
        <f aca="false">SQRT((AD233^2*(A233-$D$3)+AC233^2*(DAY(EOMONTH(A233,0))/2))/AK233)</f>
        <v>#VALUE!</v>
      </c>
      <c r="AF233" s="224" t="e">
        <f aca="false">((Summary!$N$10*(AA233*AD233)*(A233-$D$3))+(Summary!$M$10*Z233*AC233*(AJ233-EOMONTH(EDATE(A233,-1),0))))/(AK233*AB233*AE233)</f>
        <v>#VALUE!</v>
      </c>
      <c r="AG233" s="207" t="str">
        <f aca="false">IF($A234="","",Summary!$Q$10)</f>
        <v/>
      </c>
      <c r="AH233" s="207" t="str">
        <f aca="false">IF($A234="","",IF(Summary!$R$10="Y",(VLOOKUP($A233,Summary!$AD$6:$AF$9,3)+'Escalating commodity'!F246),'Escalating commodity'!F246))</f>
        <v/>
      </c>
      <c r="AI233" s="207" t="str">
        <f aca="false">IF($A234="","",AH233)</f>
        <v/>
      </c>
      <c r="AJ233" s="208" t="e">
        <f aca="false">A233+DAY(EOMONTH(A233,0))/2-1</f>
        <v>#VALUE!</v>
      </c>
      <c r="AK233" s="209" t="str">
        <f aca="false">IF($A234="","",$A233-$E$1)</f>
        <v/>
      </c>
      <c r="AL233" s="182" t="str">
        <f aca="false">IF($A234="","",SPRDOPT(P233,X233,AI233,0,AB233,AE233,AF233,AK233,$AJ$2,0))</f>
        <v/>
      </c>
      <c r="AM233" s="211" t="str">
        <f aca="false">IF($A234="","",MAX(0,O233-W233-AI233))</f>
        <v/>
      </c>
      <c r="AN233" s="211" t="str">
        <f aca="false">IF($A234="","",AL233-AM233)</f>
        <v/>
      </c>
      <c r="AO233" s="137" t="str">
        <f aca="false">IF(A234="","",A234-A233)</f>
        <v/>
      </c>
      <c r="AP233" s="212" t="str">
        <f aca="false">IF(A234="","",CHOOSE(F$3,A234+24,A233))</f>
        <v/>
      </c>
      <c r="AQ233" s="209" t="str">
        <f aca="false">IF(A234="","",AP233-$E$1)</f>
        <v/>
      </c>
      <c r="AR233" s="185" t="n">
        <f aca="false">'ANR OK vs ML7'!AR233</f>
        <v>0.1</v>
      </c>
      <c r="AS233" s="213" t="str">
        <f aca="false">IF(A234="","",1/(1+CHOOSE(F$3,(AR234+($I$3/10000))/2,(AR233+($I$3/10000))/2))^(2*AQ233/365.25))</f>
        <v/>
      </c>
      <c r="AT233" s="137" t="str">
        <f aca="false">IF(A234="","",IF(AND(mthbeg&lt;=A233,mthend&gt;=A233),1,0))</f>
        <v/>
      </c>
      <c r="AU233" s="137" t="str">
        <f aca="false">IF(A234="","",AO233*AT233)</f>
        <v/>
      </c>
      <c r="AW233" s="195" t="str">
        <f aca="false">IF($A234="","",AL233*$E233)</f>
        <v/>
      </c>
      <c r="AX233" s="195" t="str">
        <f aca="false">IF($A234="","",AM233*$E233)</f>
        <v/>
      </c>
      <c r="AY233" s="195" t="str">
        <f aca="false">IF($A234="","",AN233*$E233)</f>
        <v/>
      </c>
      <c r="BA233" s="195" t="str">
        <f aca="false">IF($A234="","",F233*Summary!$Q$10)</f>
        <v/>
      </c>
    </row>
    <row r="234" customFormat="false" ht="12" hidden="false" customHeight="true" outlineLevel="0" collapsed="false">
      <c r="A234" s="196" t="str">
        <f aca="false">IF(A233&lt;mthend,EDATE(A233,1),"")</f>
        <v/>
      </c>
      <c r="B234" s="197" t="str">
        <f aca="false">IF(A234&lt;mthend,B233,"")</f>
        <v/>
      </c>
      <c r="C234" s="215"/>
      <c r="D234" s="197" t="str">
        <f aca="false">IF(A235&lt;&gt;"",B234+C234,"")</f>
        <v/>
      </c>
      <c r="E234" s="199" t="str">
        <f aca="false">IF(A235="","",IF(AND(AT234=1,$H$3=1),D234*AO234,IF($H$3=2,D234,"N/A")))</f>
        <v/>
      </c>
      <c r="F234" s="199" t="str">
        <f aca="false">IF(A235="","",E234*AS234)</f>
        <v/>
      </c>
      <c r="G234" s="200" t="str">
        <f aca="false">IF($A235="","",VLOOKUP($A234,Table,MATCH(G$4,Curves,0)))</f>
        <v/>
      </c>
      <c r="H234" s="201" t="str">
        <f aca="false">IF(A235="","",G234)</f>
        <v/>
      </c>
      <c r="I234" s="202"/>
      <c r="J234" s="200" t="str">
        <f aca="false">IF($A235="","",VLOOKUP($A234,Table,MATCH(J$4,Curves,0)))</f>
        <v/>
      </c>
      <c r="K234" s="201" t="str">
        <f aca="false">IF(A235="","",J234)</f>
        <v/>
      </c>
      <c r="L234" s="185" t="n">
        <v>0</v>
      </c>
      <c r="M234" s="201" t="str">
        <f aca="false">IF(A235="","",L234)</f>
        <v/>
      </c>
      <c r="N234" s="203"/>
      <c r="O234" s="200" t="str">
        <f aca="false">IF(A235="","",L234+J234+G234)</f>
        <v/>
      </c>
      <c r="P234" s="200" t="str">
        <f aca="false">IF(A235="","",M234+K234+H234)</f>
        <v/>
      </c>
      <c r="Q234" s="204"/>
      <c r="R234" s="200" t="str">
        <f aca="false">IF($A235="","",VLOOKUP($A234,Table,MATCH(R$4,Curves,0)))</f>
        <v/>
      </c>
      <c r="S234" s="201" t="str">
        <f aca="false">IF(A235="","",R234)</f>
        <v/>
      </c>
      <c r="T234" s="200" t="str">
        <f aca="false">IF($A235="","",VLOOKUP($A234,Table,MATCH(T$4,Curves,0)))</f>
        <v/>
      </c>
      <c r="U234" s="201" t="str">
        <f aca="false">IF(A235="","",T234)</f>
        <v/>
      </c>
      <c r="V234" s="205" t="str">
        <f aca="false">IF($A235="","",IF(AND(MONTH(A234)&gt;3,MONTH(A234)&lt;11),(T234+R234+G234)*Summary!$T$10/(1-Summary!$T$10),(T234+R234+G234)*Summary!$U$10/(1-Summary!$U$10)))</f>
        <v/>
      </c>
      <c r="W234" s="200" t="str">
        <f aca="false">IF($A235="","",(T234+R234+G234+V234))</f>
        <v/>
      </c>
      <c r="X234" s="200" t="str">
        <f aca="false">IF($A235="","",(U234+S234+H234+V234))</f>
        <v/>
      </c>
      <c r="Y234" s="202"/>
      <c r="Z234" s="185" t="str">
        <f aca="false">IF($A235="","",VLOOKUP($A234,Table,MATCH(Z$4,Curves,0)))</f>
        <v/>
      </c>
      <c r="AA234" s="185" t="str">
        <f aca="false">IF($A235="","",VLOOKUP($A234,Table,MATCH(AA$4,Curves,0)))</f>
        <v/>
      </c>
      <c r="AB234" s="185" t="e">
        <f aca="false">SQRT((AA234^2*(A234-$D$3)+Z234^2*(DAY(EOMONTH(A234,0))/2))/AK234)</f>
        <v>#VALUE!</v>
      </c>
      <c r="AC234" s="185" t="str">
        <f aca="false">IF($A235="","",VLOOKUP($A234,Table,MATCH(AC$4,Curves,0)))</f>
        <v/>
      </c>
      <c r="AD234" s="185" t="str">
        <f aca="false">IF($A235="","",VLOOKUP($A234,Table,MATCH(AD$4,Curves,0)))</f>
        <v/>
      </c>
      <c r="AE234" s="185" t="e">
        <f aca="false">SQRT((AD234^2*(A234-$D$3)+AC234^2*(DAY(EOMONTH(A234,0))/2))/AK234)</f>
        <v>#VALUE!</v>
      </c>
      <c r="AF234" s="224" t="e">
        <f aca="false">((Summary!$N$10*(AA234*AD234)*(A234-$D$3))+(Summary!$M$10*Z234*AC234*(AJ234-EOMONTH(EDATE(A234,-1),0))))/(AK234*AB234*AE234)</f>
        <v>#VALUE!</v>
      </c>
      <c r="AG234" s="207" t="str">
        <f aca="false">IF($A235="","",Summary!$Q$10)</f>
        <v/>
      </c>
      <c r="AH234" s="207" t="str">
        <f aca="false">IF($A235="","",IF(Summary!$R$10="Y",(VLOOKUP($A234,Summary!$AD$6:$AF$9,3)+'Escalating commodity'!F247),'Escalating commodity'!F247))</f>
        <v/>
      </c>
      <c r="AI234" s="207" t="str">
        <f aca="false">IF($A235="","",AH234)</f>
        <v/>
      </c>
      <c r="AJ234" s="208" t="e">
        <f aca="false">A234+DAY(EOMONTH(A234,0))/2-1</f>
        <v>#VALUE!</v>
      </c>
      <c r="AK234" s="209" t="str">
        <f aca="false">IF($A235="","",$A234-$E$1)</f>
        <v/>
      </c>
      <c r="AL234" s="182" t="str">
        <f aca="false">IF($A235="","",SPRDOPT(P234,X234,AI234,0,AB234,AE234,AF234,AK234,$AJ$2,0))</f>
        <v/>
      </c>
      <c r="AM234" s="211" t="str">
        <f aca="false">IF($A235="","",MAX(0,O234-W234-AI234))</f>
        <v/>
      </c>
      <c r="AN234" s="211" t="str">
        <f aca="false">IF($A235="","",AL234-AM234)</f>
        <v/>
      </c>
      <c r="AO234" s="137" t="str">
        <f aca="false">IF(A235="","",A235-A234)</f>
        <v/>
      </c>
      <c r="AP234" s="212" t="str">
        <f aca="false">IF(A235="","",CHOOSE(F$3,A235+24,A234))</f>
        <v/>
      </c>
      <c r="AQ234" s="209" t="str">
        <f aca="false">IF(A235="","",AP234-$E$1)</f>
        <v/>
      </c>
      <c r="AR234" s="185" t="n">
        <f aca="false">'ANR OK vs ML7'!AR234</f>
        <v>0.1</v>
      </c>
      <c r="AS234" s="213" t="str">
        <f aca="false">IF(A235="","",1/(1+CHOOSE(F$3,(AR235+($I$3/10000))/2,(AR234+($I$3/10000))/2))^(2*AQ234/365.25))</f>
        <v/>
      </c>
      <c r="AT234" s="137" t="str">
        <f aca="false">IF(A235="","",IF(AND(mthbeg&lt;=A234,mthend&gt;=A234),1,0))</f>
        <v/>
      </c>
      <c r="AU234" s="137" t="str">
        <f aca="false">IF(A235="","",AO234*AT234)</f>
        <v/>
      </c>
      <c r="AW234" s="195" t="str">
        <f aca="false">IF($A235="","",AL234*$E234)</f>
        <v/>
      </c>
      <c r="AX234" s="195" t="str">
        <f aca="false">IF($A235="","",AM234*$E234)</f>
        <v/>
      </c>
      <c r="AY234" s="195" t="str">
        <f aca="false">IF($A235="","",AN234*$E234)</f>
        <v/>
      </c>
      <c r="BA234" s="195" t="str">
        <f aca="false">IF($A235="","",F234*Summary!$Q$10)</f>
        <v/>
      </c>
    </row>
    <row r="235" customFormat="false" ht="12" hidden="false" customHeight="true" outlineLevel="0" collapsed="false">
      <c r="A235" s="196" t="str">
        <f aca="false">IF(A234&lt;mthend,EDATE(A234,1),"")</f>
        <v/>
      </c>
      <c r="B235" s="197" t="str">
        <f aca="false">IF(A235&lt;mthend,B234,"")</f>
        <v/>
      </c>
      <c r="C235" s="215"/>
      <c r="D235" s="197" t="str">
        <f aca="false">IF(A236&lt;&gt;"",B235+C235,"")</f>
        <v/>
      </c>
      <c r="E235" s="199" t="str">
        <f aca="false">IF(A236="","",IF(AND(AT235=1,$H$3=1),D235*AO235,IF($H$3=2,D235,"N/A")))</f>
        <v/>
      </c>
      <c r="F235" s="199" t="str">
        <f aca="false">IF(A236="","",E235*AS235)</f>
        <v/>
      </c>
      <c r="G235" s="200" t="str">
        <f aca="false">IF($A236="","",VLOOKUP($A235,Table,MATCH(G$4,Curves,0)))</f>
        <v/>
      </c>
      <c r="H235" s="201" t="str">
        <f aca="false">IF(A236="","",G235)</f>
        <v/>
      </c>
      <c r="I235" s="202"/>
      <c r="J235" s="200" t="str">
        <f aca="false">IF($A236="","",VLOOKUP($A235,Table,MATCH(J$4,Curves,0)))</f>
        <v/>
      </c>
      <c r="K235" s="201" t="str">
        <f aca="false">IF(A236="","",J235)</f>
        <v/>
      </c>
      <c r="L235" s="185" t="n">
        <v>0</v>
      </c>
      <c r="M235" s="201" t="str">
        <f aca="false">IF(A236="","",L235)</f>
        <v/>
      </c>
      <c r="N235" s="203"/>
      <c r="O235" s="200" t="str">
        <f aca="false">IF(A236="","",L235+J235+G235)</f>
        <v/>
      </c>
      <c r="P235" s="200" t="str">
        <f aca="false">IF(A236="","",M235+K235+H235)</f>
        <v/>
      </c>
      <c r="Q235" s="204"/>
      <c r="R235" s="200" t="str">
        <f aca="false">IF($A236="","",VLOOKUP($A235,Table,MATCH(R$4,Curves,0)))</f>
        <v/>
      </c>
      <c r="S235" s="201" t="str">
        <f aca="false">IF(A236="","",R235)</f>
        <v/>
      </c>
      <c r="T235" s="200" t="str">
        <f aca="false">IF($A236="","",VLOOKUP($A235,Table,MATCH(T$4,Curves,0)))</f>
        <v/>
      </c>
      <c r="U235" s="201" t="str">
        <f aca="false">IF(A236="","",T235)</f>
        <v/>
      </c>
      <c r="V235" s="205" t="str">
        <f aca="false">IF($A236="","",IF(AND(MONTH(A235)&gt;3,MONTH(A235)&lt;11),(T235+R235+G235)*Summary!$T$10/(1-Summary!$T$10),(T235+R235+G235)*Summary!$U$10/(1-Summary!$U$10)))</f>
        <v/>
      </c>
      <c r="W235" s="200" t="str">
        <f aca="false">IF($A236="","",(T235+R235+G235+V235))</f>
        <v/>
      </c>
      <c r="X235" s="200" t="str">
        <f aca="false">IF($A236="","",(U235+S235+H235+V235))</f>
        <v/>
      </c>
      <c r="Y235" s="202"/>
      <c r="Z235" s="185" t="str">
        <f aca="false">IF($A236="","",VLOOKUP($A235,Table,MATCH(Z$4,Curves,0)))</f>
        <v/>
      </c>
      <c r="AA235" s="185" t="str">
        <f aca="false">IF($A236="","",VLOOKUP($A235,Table,MATCH(AA$4,Curves,0)))</f>
        <v/>
      </c>
      <c r="AB235" s="185" t="e">
        <f aca="false">SQRT((AA235^2*(A235-$D$3)+Z235^2*(DAY(EOMONTH(A235,0))/2))/AK235)</f>
        <v>#VALUE!</v>
      </c>
      <c r="AC235" s="185" t="str">
        <f aca="false">IF($A236="","",VLOOKUP($A235,Table,MATCH(AC$4,Curves,0)))</f>
        <v/>
      </c>
      <c r="AD235" s="185" t="str">
        <f aca="false">IF($A236="","",VLOOKUP($A235,Table,MATCH(AD$4,Curves,0)))</f>
        <v/>
      </c>
      <c r="AE235" s="185" t="e">
        <f aca="false">SQRT((AD235^2*(A235-$D$3)+AC235^2*(DAY(EOMONTH(A235,0))/2))/AK235)</f>
        <v>#VALUE!</v>
      </c>
      <c r="AF235" s="224" t="e">
        <f aca="false">((Summary!$N$10*(AA235*AD235)*(A235-$D$3))+(Summary!$M$10*Z235*AC235*(AJ235-EOMONTH(EDATE(A235,-1),0))))/(AK235*AB235*AE235)</f>
        <v>#VALUE!</v>
      </c>
      <c r="AG235" s="207" t="str">
        <f aca="false">IF($A236="","",Summary!$Q$10)</f>
        <v/>
      </c>
      <c r="AH235" s="207" t="str">
        <f aca="false">IF($A236="","",IF(Summary!$R$10="Y",(VLOOKUP($A235,Summary!$AD$6:$AF$9,3)+'Escalating commodity'!F248),'Escalating commodity'!F248))</f>
        <v/>
      </c>
      <c r="AI235" s="207" t="str">
        <f aca="false">IF($A236="","",AH235)</f>
        <v/>
      </c>
      <c r="AJ235" s="208" t="e">
        <f aca="false">A235+DAY(EOMONTH(A235,0))/2-1</f>
        <v>#VALUE!</v>
      </c>
      <c r="AK235" s="209" t="str">
        <f aca="false">IF($A236="","",$A235-$E$1)</f>
        <v/>
      </c>
      <c r="AL235" s="182" t="str">
        <f aca="false">IF($A236="","",SPRDOPT(P235,X235,AI235,0,AB235,AE235,AF235,AK235,$AJ$2,0))</f>
        <v/>
      </c>
      <c r="AM235" s="211" t="str">
        <f aca="false">IF($A236="","",MAX(0,O235-W235-AI235))</f>
        <v/>
      </c>
      <c r="AN235" s="211" t="str">
        <f aca="false">IF($A236="","",AL235-AM235)</f>
        <v/>
      </c>
      <c r="AO235" s="137" t="str">
        <f aca="false">IF(A236="","",A236-A235)</f>
        <v/>
      </c>
      <c r="AP235" s="212" t="str">
        <f aca="false">IF(A236="","",CHOOSE(F$3,A236+24,A235))</f>
        <v/>
      </c>
      <c r="AQ235" s="209" t="str">
        <f aca="false">IF(A236="","",AP235-$E$1)</f>
        <v/>
      </c>
      <c r="AR235" s="185" t="n">
        <f aca="false">'ANR OK vs ML7'!AR235</f>
        <v>0.1</v>
      </c>
      <c r="AS235" s="213" t="str">
        <f aca="false">IF(A236="","",1/(1+CHOOSE(F$3,(AR236+($I$3/10000))/2,(AR235+($I$3/10000))/2))^(2*AQ235/365.25))</f>
        <v/>
      </c>
      <c r="AT235" s="137" t="str">
        <f aca="false">IF(A236="","",IF(AND(mthbeg&lt;=A235,mthend&gt;=A235),1,0))</f>
        <v/>
      </c>
      <c r="AU235" s="137" t="str">
        <f aca="false">IF(A236="","",AO235*AT235)</f>
        <v/>
      </c>
      <c r="AW235" s="195" t="str">
        <f aca="false">IF($A236="","",AL235*$E235)</f>
        <v/>
      </c>
      <c r="AX235" s="195" t="str">
        <f aca="false">IF($A236="","",AM235*$E235)</f>
        <v/>
      </c>
      <c r="AY235" s="195" t="str">
        <f aca="false">IF($A236="","",AN235*$E235)</f>
        <v/>
      </c>
      <c r="BA235" s="195" t="str">
        <f aca="false">IF($A236="","",F235*Summary!$Q$10)</f>
        <v/>
      </c>
    </row>
    <row r="236" customFormat="false" ht="12" hidden="false" customHeight="true" outlineLevel="0" collapsed="false">
      <c r="A236" s="196" t="str">
        <f aca="false">IF(A235&lt;mthend,EDATE(A235,1),"")</f>
        <v/>
      </c>
      <c r="B236" s="197" t="str">
        <f aca="false">IF(A236&lt;mthend,B235,"")</f>
        <v/>
      </c>
      <c r="C236" s="215"/>
      <c r="D236" s="197" t="str">
        <f aca="false">IF(A237&lt;&gt;"",B236+C236,"")</f>
        <v/>
      </c>
      <c r="E236" s="199" t="str">
        <f aca="false">IF(A237="","",IF(AND(AT236=1,$H$3=1),D236*AO236,IF($H$3=2,D236,"N/A")))</f>
        <v/>
      </c>
      <c r="F236" s="199" t="str">
        <f aca="false">IF(A237="","",E236*AS236)</f>
        <v/>
      </c>
      <c r="G236" s="200" t="str">
        <f aca="false">IF($A237="","",VLOOKUP($A236,Table,MATCH(G$4,Curves,0)))</f>
        <v/>
      </c>
      <c r="H236" s="201" t="str">
        <f aca="false">IF(A237="","",G236)</f>
        <v/>
      </c>
      <c r="I236" s="202"/>
      <c r="J236" s="200" t="str">
        <f aca="false">IF($A237="","",VLOOKUP($A236,Table,MATCH(J$4,Curves,0)))</f>
        <v/>
      </c>
      <c r="K236" s="201" t="str">
        <f aca="false">IF(A237="","",J236)</f>
        <v/>
      </c>
      <c r="L236" s="185" t="n">
        <v>0</v>
      </c>
      <c r="M236" s="201" t="str">
        <f aca="false">IF(A237="","",L236)</f>
        <v/>
      </c>
      <c r="N236" s="203"/>
      <c r="O236" s="200" t="str">
        <f aca="false">IF(A237="","",L236+J236+G236)</f>
        <v/>
      </c>
      <c r="P236" s="200" t="str">
        <f aca="false">IF(A237="","",M236+K236+H236)</f>
        <v/>
      </c>
      <c r="Q236" s="204"/>
      <c r="R236" s="200" t="str">
        <f aca="false">IF($A237="","",VLOOKUP($A236,Table,MATCH(R$4,Curves,0)))</f>
        <v/>
      </c>
      <c r="S236" s="201" t="str">
        <f aca="false">IF(A237="","",R236)</f>
        <v/>
      </c>
      <c r="T236" s="200" t="str">
        <f aca="false">IF($A237="","",VLOOKUP($A236,Table,MATCH(T$4,Curves,0)))</f>
        <v/>
      </c>
      <c r="U236" s="201" t="str">
        <f aca="false">IF(A237="","",T236)</f>
        <v/>
      </c>
      <c r="V236" s="205" t="str">
        <f aca="false">IF($A237="","",IF(AND(MONTH(A236)&gt;3,MONTH(A236)&lt;11),(T236+R236+G236)*Summary!$T$10/(1-Summary!$T$10),(T236+R236+G236)*Summary!$U$10/(1-Summary!$U$10)))</f>
        <v/>
      </c>
      <c r="W236" s="200" t="str">
        <f aca="false">IF($A237="","",(T236+R236+G236+V236))</f>
        <v/>
      </c>
      <c r="X236" s="200" t="str">
        <f aca="false">IF($A237="","",(U236+S236+H236+V236))</f>
        <v/>
      </c>
      <c r="Y236" s="202"/>
      <c r="Z236" s="185" t="str">
        <f aca="false">IF($A237="","",VLOOKUP($A236,Table,MATCH(Z$4,Curves,0)))</f>
        <v/>
      </c>
      <c r="AA236" s="185" t="str">
        <f aca="false">IF($A237="","",VLOOKUP($A236,Table,MATCH(AA$4,Curves,0)))</f>
        <v/>
      </c>
      <c r="AB236" s="185" t="e">
        <f aca="false">SQRT((AA236^2*(A236-$D$3)+Z236^2*(DAY(EOMONTH(A236,0))/2))/AK236)</f>
        <v>#VALUE!</v>
      </c>
      <c r="AC236" s="185" t="str">
        <f aca="false">IF($A237="","",VLOOKUP($A236,Table,MATCH(AC$4,Curves,0)))</f>
        <v/>
      </c>
      <c r="AD236" s="185" t="str">
        <f aca="false">IF($A237="","",VLOOKUP($A236,Table,MATCH(AD$4,Curves,0)))</f>
        <v/>
      </c>
      <c r="AE236" s="185" t="e">
        <f aca="false">SQRT((AD236^2*(A236-$D$3)+AC236^2*(DAY(EOMONTH(A236,0))/2))/AK236)</f>
        <v>#VALUE!</v>
      </c>
      <c r="AF236" s="224" t="e">
        <f aca="false">((Summary!$N$10*(AA236*AD236)*(A236-$D$3))+(Summary!$M$10*Z236*AC236*(AJ236-EOMONTH(EDATE(A236,-1),0))))/(AK236*AB236*AE236)</f>
        <v>#VALUE!</v>
      </c>
      <c r="AG236" s="207" t="str">
        <f aca="false">IF($A237="","",Summary!$Q$10)</f>
        <v/>
      </c>
      <c r="AH236" s="207" t="str">
        <f aca="false">IF($A237="","",IF(Summary!$R$10="Y",(VLOOKUP($A236,Summary!$AD$6:$AF$9,3)+'Escalating commodity'!F249),'Escalating commodity'!F249))</f>
        <v/>
      </c>
      <c r="AI236" s="207" t="str">
        <f aca="false">IF($A237="","",AH236)</f>
        <v/>
      </c>
      <c r="AJ236" s="208" t="e">
        <f aca="false">A236+DAY(EOMONTH(A236,0))/2-1</f>
        <v>#VALUE!</v>
      </c>
      <c r="AK236" s="209" t="str">
        <f aca="false">IF($A237="","",$A236-$E$1)</f>
        <v/>
      </c>
      <c r="AL236" s="182" t="str">
        <f aca="false">IF($A237="","",SPRDOPT(P236,X236,AI236,0,AB236,AE236,AF236,AK236,$AJ$2,0))</f>
        <v/>
      </c>
      <c r="AM236" s="211" t="str">
        <f aca="false">IF($A237="","",MAX(0,O236-W236-AI236))</f>
        <v/>
      </c>
      <c r="AN236" s="211" t="str">
        <f aca="false">IF($A237="","",AL236-AM236)</f>
        <v/>
      </c>
      <c r="AO236" s="137" t="str">
        <f aca="false">IF(A237="","",A237-A236)</f>
        <v/>
      </c>
      <c r="AP236" s="212" t="str">
        <f aca="false">IF(A237="","",CHOOSE(F$3,A237+24,A236))</f>
        <v/>
      </c>
      <c r="AQ236" s="209" t="str">
        <f aca="false">IF(A237="","",AP236-$E$1)</f>
        <v/>
      </c>
      <c r="AR236" s="185" t="n">
        <f aca="false">'ANR OK vs ML7'!AR236</f>
        <v>0.1</v>
      </c>
      <c r="AS236" s="213" t="str">
        <f aca="false">IF(A237="","",1/(1+CHOOSE(F$3,(AR237+($I$3/10000))/2,(AR236+($I$3/10000))/2))^(2*AQ236/365.25))</f>
        <v/>
      </c>
      <c r="AT236" s="137" t="str">
        <f aca="false">IF(A237="","",IF(AND(mthbeg&lt;=A236,mthend&gt;=A236),1,0))</f>
        <v/>
      </c>
      <c r="AU236" s="137" t="str">
        <f aca="false">IF(A237="","",AO236*AT236)</f>
        <v/>
      </c>
      <c r="AW236" s="195" t="str">
        <f aca="false">IF($A237="","",AL236*$E236)</f>
        <v/>
      </c>
      <c r="AX236" s="195" t="str">
        <f aca="false">IF($A237="","",AM236*$E236)</f>
        <v/>
      </c>
      <c r="AY236" s="195" t="str">
        <f aca="false">IF($A237="","",AN236*$E236)</f>
        <v/>
      </c>
      <c r="BA236" s="195" t="str">
        <f aca="false">IF($A237="","",F236*Summary!$Q$10)</f>
        <v/>
      </c>
    </row>
    <row r="237" customFormat="false" ht="12" hidden="false" customHeight="true" outlineLevel="0" collapsed="false">
      <c r="A237" s="196" t="str">
        <f aca="false">IF(A236&lt;mthend,EDATE(A236,1),"")</f>
        <v/>
      </c>
      <c r="B237" s="197" t="str">
        <f aca="false">IF(A237&lt;mthend,B236,"")</f>
        <v/>
      </c>
      <c r="C237" s="215"/>
      <c r="D237" s="197" t="str">
        <f aca="false">IF(A238&lt;&gt;"",B237+C237,"")</f>
        <v/>
      </c>
      <c r="E237" s="199" t="str">
        <f aca="false">IF(A238="","",IF(AND(AT237=1,$H$3=1),D237*AO237,IF($H$3=2,D237,"N/A")))</f>
        <v/>
      </c>
      <c r="F237" s="199" t="str">
        <f aca="false">IF(A238="","",E237*AS237)</f>
        <v/>
      </c>
      <c r="G237" s="200" t="str">
        <f aca="false">IF($A238="","",VLOOKUP($A237,Table,MATCH(G$4,Curves,0)))</f>
        <v/>
      </c>
      <c r="H237" s="201" t="str">
        <f aca="false">IF(A238="","",G237)</f>
        <v/>
      </c>
      <c r="I237" s="202"/>
      <c r="J237" s="200" t="str">
        <f aca="false">IF($A238="","",VLOOKUP($A237,Table,MATCH(J$4,Curves,0)))</f>
        <v/>
      </c>
      <c r="K237" s="201" t="str">
        <f aca="false">IF(A238="","",J237)</f>
        <v/>
      </c>
      <c r="L237" s="185" t="n">
        <v>0</v>
      </c>
      <c r="M237" s="201" t="str">
        <f aca="false">IF(A238="","",L237)</f>
        <v/>
      </c>
      <c r="N237" s="203"/>
      <c r="O237" s="200" t="str">
        <f aca="false">IF(A238="","",L237+J237+G237)</f>
        <v/>
      </c>
      <c r="P237" s="200" t="str">
        <f aca="false">IF(A238="","",M237+K237+H237)</f>
        <v/>
      </c>
      <c r="Q237" s="204"/>
      <c r="R237" s="200" t="str">
        <f aca="false">IF($A238="","",VLOOKUP($A237,Table,MATCH(R$4,Curves,0)))</f>
        <v/>
      </c>
      <c r="S237" s="201" t="str">
        <f aca="false">IF(A238="","",R237)</f>
        <v/>
      </c>
      <c r="T237" s="200" t="str">
        <f aca="false">IF($A238="","",VLOOKUP($A237,Table,MATCH(T$4,Curves,0)))</f>
        <v/>
      </c>
      <c r="U237" s="201" t="str">
        <f aca="false">IF(A238="","",T237)</f>
        <v/>
      </c>
      <c r="V237" s="205" t="str">
        <f aca="false">IF($A238="","",IF(AND(MONTH(A237)&gt;3,MONTH(A237)&lt;11),(T237+R237+G237)*Summary!$T$10/(1-Summary!$T$10),(T237+R237+G237)*Summary!$U$10/(1-Summary!$U$10)))</f>
        <v/>
      </c>
      <c r="W237" s="200" t="str">
        <f aca="false">IF($A238="","",(T237+R237+G237+V237))</f>
        <v/>
      </c>
      <c r="X237" s="200" t="str">
        <f aca="false">IF($A238="","",(U237+S237+H237+V237))</f>
        <v/>
      </c>
      <c r="Y237" s="202"/>
      <c r="Z237" s="185" t="str">
        <f aca="false">IF($A238="","",VLOOKUP($A237,Table,MATCH(Z$4,Curves,0)))</f>
        <v/>
      </c>
      <c r="AA237" s="185" t="str">
        <f aca="false">IF($A238="","",VLOOKUP($A237,Table,MATCH(AA$4,Curves,0)))</f>
        <v/>
      </c>
      <c r="AB237" s="185" t="e">
        <f aca="false">SQRT((AA237^2*(A237-$D$3)+Z237^2*(DAY(EOMONTH(A237,0))/2))/AK237)</f>
        <v>#VALUE!</v>
      </c>
      <c r="AC237" s="185" t="str">
        <f aca="false">IF($A238="","",VLOOKUP($A237,Table,MATCH(AC$4,Curves,0)))</f>
        <v/>
      </c>
      <c r="AD237" s="185" t="str">
        <f aca="false">IF($A238="","",VLOOKUP($A237,Table,MATCH(AD$4,Curves,0)))</f>
        <v/>
      </c>
      <c r="AE237" s="185" t="e">
        <f aca="false">SQRT((AD237^2*(A237-$D$3)+AC237^2*(DAY(EOMONTH(A237,0))/2))/AK237)</f>
        <v>#VALUE!</v>
      </c>
      <c r="AF237" s="224" t="e">
        <f aca="false">((Summary!$N$10*(AA237*AD237)*(A237-$D$3))+(Summary!$M$10*Z237*AC237*(AJ237-EOMONTH(EDATE(A237,-1),0))))/(AK237*AB237*AE237)</f>
        <v>#VALUE!</v>
      </c>
      <c r="AG237" s="207" t="str">
        <f aca="false">IF($A238="","",Summary!$Q$10)</f>
        <v/>
      </c>
      <c r="AH237" s="207" t="str">
        <f aca="false">IF($A238="","",IF(Summary!$R$10="Y",(VLOOKUP($A237,Summary!$AD$6:$AF$9,3)+'Escalating commodity'!F250),'Escalating commodity'!F250))</f>
        <v/>
      </c>
      <c r="AI237" s="207" t="str">
        <f aca="false">IF($A238="","",AH237)</f>
        <v/>
      </c>
      <c r="AJ237" s="208" t="e">
        <f aca="false">A237+DAY(EOMONTH(A237,0))/2-1</f>
        <v>#VALUE!</v>
      </c>
      <c r="AK237" s="209" t="str">
        <f aca="false">IF($A238="","",$A237-$E$1)</f>
        <v/>
      </c>
      <c r="AL237" s="182" t="str">
        <f aca="false">IF($A238="","",SPRDOPT(P237,X237,AI237,0,AB237,AE237,AF237,AK237,$AJ$2,0))</f>
        <v/>
      </c>
      <c r="AM237" s="211" t="str">
        <f aca="false">IF($A238="","",MAX(0,O237-W237-AI237))</f>
        <v/>
      </c>
      <c r="AN237" s="211" t="str">
        <f aca="false">IF($A238="","",AL237-AM237)</f>
        <v/>
      </c>
      <c r="AO237" s="137" t="str">
        <f aca="false">IF(A238="","",A238-A237)</f>
        <v/>
      </c>
      <c r="AP237" s="212" t="str">
        <f aca="false">IF(A238="","",CHOOSE(F$3,A238+24,A237))</f>
        <v/>
      </c>
      <c r="AQ237" s="209" t="str">
        <f aca="false">IF(A238="","",AP237-$E$1)</f>
        <v/>
      </c>
      <c r="AR237" s="185" t="n">
        <f aca="false">'ANR OK vs ML7'!AR237</f>
        <v>0.1</v>
      </c>
      <c r="AS237" s="213" t="str">
        <f aca="false">IF(A238="","",1/(1+CHOOSE(F$3,(AR238+($I$3/10000))/2,(AR237+($I$3/10000))/2))^(2*AQ237/365.25))</f>
        <v/>
      </c>
      <c r="AT237" s="137" t="str">
        <f aca="false">IF(A238="","",IF(AND(mthbeg&lt;=A237,mthend&gt;=A237),1,0))</f>
        <v/>
      </c>
      <c r="AU237" s="137" t="str">
        <f aca="false">IF(A238="","",AO237*AT237)</f>
        <v/>
      </c>
      <c r="AW237" s="195" t="str">
        <f aca="false">IF($A238="","",AL237*$E237)</f>
        <v/>
      </c>
      <c r="AX237" s="195" t="str">
        <f aca="false">IF($A238="","",AM237*$E237)</f>
        <v/>
      </c>
      <c r="AY237" s="195" t="str">
        <f aca="false">IF($A238="","",AN237*$E237)</f>
        <v/>
      </c>
      <c r="BA237" s="195" t="str">
        <f aca="false">IF($A238="","",F237*Summary!$Q$10)</f>
        <v/>
      </c>
    </row>
    <row r="238" customFormat="false" ht="12" hidden="false" customHeight="true" outlineLevel="0" collapsed="false">
      <c r="A238" s="196" t="str">
        <f aca="false">IF(A237&lt;mthend,EDATE(A237,1),"")</f>
        <v/>
      </c>
      <c r="B238" s="197" t="str">
        <f aca="false">IF(A238&lt;mthend,B237,"")</f>
        <v/>
      </c>
      <c r="C238" s="215"/>
      <c r="D238" s="197" t="str">
        <f aca="false">IF(A239&lt;&gt;"",B238+C238,"")</f>
        <v/>
      </c>
      <c r="E238" s="199" t="str">
        <f aca="false">IF(A239="","",IF(AND(AT238=1,$H$3=1),D238*AO238,IF($H$3=2,D238,"N/A")))</f>
        <v/>
      </c>
      <c r="F238" s="199" t="str">
        <f aca="false">IF(A239="","",E238*AS238)</f>
        <v/>
      </c>
      <c r="G238" s="200" t="str">
        <f aca="false">IF($A239="","",VLOOKUP($A238,Table,MATCH(G$4,Curves,0)))</f>
        <v/>
      </c>
      <c r="H238" s="201" t="str">
        <f aca="false">IF(A239="","",G238)</f>
        <v/>
      </c>
      <c r="I238" s="202"/>
      <c r="J238" s="200" t="str">
        <f aca="false">IF($A239="","",VLOOKUP($A238,Table,MATCH(J$4,Curves,0)))</f>
        <v/>
      </c>
      <c r="K238" s="201" t="str">
        <f aca="false">IF(A239="","",J238)</f>
        <v/>
      </c>
      <c r="L238" s="185" t="n">
        <v>0</v>
      </c>
      <c r="M238" s="201" t="str">
        <f aca="false">IF(A239="","",L238)</f>
        <v/>
      </c>
      <c r="N238" s="203"/>
      <c r="O238" s="200" t="str">
        <f aca="false">IF(A239="","",L238+J238+G238)</f>
        <v/>
      </c>
      <c r="P238" s="200" t="str">
        <f aca="false">IF(A239="","",M238+K238+H238)</f>
        <v/>
      </c>
      <c r="Q238" s="204"/>
      <c r="R238" s="200" t="str">
        <f aca="false">IF($A239="","",VLOOKUP($A238,Table,MATCH(R$4,Curves,0)))</f>
        <v/>
      </c>
      <c r="S238" s="201" t="str">
        <f aca="false">IF(A239="","",R238)</f>
        <v/>
      </c>
      <c r="T238" s="200" t="str">
        <f aca="false">IF($A239="","",VLOOKUP($A238,Table,MATCH(T$4,Curves,0)))</f>
        <v/>
      </c>
      <c r="U238" s="201" t="str">
        <f aca="false">IF(A239="","",T238)</f>
        <v/>
      </c>
      <c r="V238" s="205" t="str">
        <f aca="false">IF($A239="","",IF(AND(MONTH(A238)&gt;3,MONTH(A238)&lt;11),(T238+R238+G238)*Summary!$T$10/(1-Summary!$T$10),(T238+R238+G238)*Summary!$U$10/(1-Summary!$U$10)))</f>
        <v/>
      </c>
      <c r="W238" s="200" t="str">
        <f aca="false">IF($A239="","",(T238+R238+G238+V238))</f>
        <v/>
      </c>
      <c r="X238" s="200" t="str">
        <f aca="false">IF($A239="","",(U238+S238+H238+V238))</f>
        <v/>
      </c>
      <c r="Y238" s="202"/>
      <c r="Z238" s="185" t="str">
        <f aca="false">IF($A239="","",VLOOKUP($A238,Table,MATCH(Z$4,Curves,0)))</f>
        <v/>
      </c>
      <c r="AA238" s="185" t="str">
        <f aca="false">IF($A239="","",VLOOKUP($A238,Table,MATCH(AA$4,Curves,0)))</f>
        <v/>
      </c>
      <c r="AB238" s="185" t="e">
        <f aca="false">SQRT((AA238^2*(A238-$D$3)+Z238^2*(DAY(EOMONTH(A238,0))/2))/AK238)</f>
        <v>#VALUE!</v>
      </c>
      <c r="AC238" s="185" t="str">
        <f aca="false">IF($A239="","",VLOOKUP($A238,Table,MATCH(AC$4,Curves,0)))</f>
        <v/>
      </c>
      <c r="AD238" s="185" t="str">
        <f aca="false">IF($A239="","",VLOOKUP($A238,Table,MATCH(AD$4,Curves,0)))</f>
        <v/>
      </c>
      <c r="AE238" s="185" t="e">
        <f aca="false">SQRT((AD238^2*(A238-$D$3)+AC238^2*(DAY(EOMONTH(A238,0))/2))/AK238)</f>
        <v>#VALUE!</v>
      </c>
      <c r="AF238" s="224" t="e">
        <f aca="false">((Summary!$N$10*(AA238*AD238)*(A238-$D$3))+(Summary!$M$10*Z238*AC238*(AJ238-EOMONTH(EDATE(A238,-1),0))))/(AK238*AB238*AE238)</f>
        <v>#VALUE!</v>
      </c>
      <c r="AG238" s="207" t="str">
        <f aca="false">IF($A239="","",Summary!$Q$10)</f>
        <v/>
      </c>
      <c r="AH238" s="207" t="str">
        <f aca="false">IF($A239="","",IF(Summary!$R$10="Y",(VLOOKUP($A238,Summary!$AD$6:$AF$9,3)+'Escalating commodity'!F251),'Escalating commodity'!F251))</f>
        <v/>
      </c>
      <c r="AI238" s="207" t="str">
        <f aca="false">IF($A239="","",AH238)</f>
        <v/>
      </c>
      <c r="AJ238" s="208" t="e">
        <f aca="false">A238+DAY(EOMONTH(A238,0))/2-1</f>
        <v>#VALUE!</v>
      </c>
      <c r="AK238" s="209" t="str">
        <f aca="false">IF($A239="","",$A238-$E$1)</f>
        <v/>
      </c>
      <c r="AL238" s="182" t="str">
        <f aca="false">IF($A239="","",SPRDOPT(P238,X238,AI238,0,AB238,AE238,AF238,AK238,$AJ$2,0))</f>
        <v/>
      </c>
      <c r="AM238" s="211" t="str">
        <f aca="false">IF($A239="","",MAX(0,O238-W238-AI238))</f>
        <v/>
      </c>
      <c r="AN238" s="211" t="str">
        <f aca="false">IF($A239="","",AL238-AM238)</f>
        <v/>
      </c>
      <c r="AO238" s="137" t="str">
        <f aca="false">IF(A239="","",A239-A238)</f>
        <v/>
      </c>
      <c r="AP238" s="212" t="str">
        <f aca="false">IF(A239="","",CHOOSE(F$3,A239+24,A238))</f>
        <v/>
      </c>
      <c r="AQ238" s="209" t="str">
        <f aca="false">IF(A239="","",AP238-$E$1)</f>
        <v/>
      </c>
      <c r="AR238" s="185" t="n">
        <f aca="false">'ANR OK vs ML7'!AR238</f>
        <v>0.1</v>
      </c>
      <c r="AS238" s="213" t="str">
        <f aca="false">IF(A239="","",1/(1+CHOOSE(F$3,(AR239+($I$3/10000))/2,(AR238+($I$3/10000))/2))^(2*AQ238/365.25))</f>
        <v/>
      </c>
      <c r="AT238" s="137" t="str">
        <f aca="false">IF(A239="","",IF(AND(mthbeg&lt;=A238,mthend&gt;=A238),1,0))</f>
        <v/>
      </c>
      <c r="AU238" s="137" t="str">
        <f aca="false">IF(A239="","",AO238*AT238)</f>
        <v/>
      </c>
      <c r="AW238" s="195" t="str">
        <f aca="false">IF($A239="","",AL238*$E238)</f>
        <v/>
      </c>
      <c r="AX238" s="195" t="str">
        <f aca="false">IF($A239="","",AM238*$E238)</f>
        <v/>
      </c>
      <c r="AY238" s="195" t="str">
        <f aca="false">IF($A239="","",AN238*$E238)</f>
        <v/>
      </c>
      <c r="BA238" s="195" t="str">
        <f aca="false">IF($A239="","",F238*Summary!$Q$10)</f>
        <v/>
      </c>
    </row>
    <row r="239" customFormat="false" ht="12" hidden="false" customHeight="true" outlineLevel="0" collapsed="false">
      <c r="A239" s="196" t="str">
        <f aca="false">IF(A238&lt;mthend,EDATE(A238,1),"")</f>
        <v/>
      </c>
      <c r="B239" s="197" t="str">
        <f aca="false">IF(A239&lt;mthend,B238,"")</f>
        <v/>
      </c>
      <c r="C239" s="215"/>
      <c r="D239" s="197" t="str">
        <f aca="false">IF(A240&lt;&gt;"",B239+C239,"")</f>
        <v/>
      </c>
      <c r="E239" s="199" t="str">
        <f aca="false">IF(A240="","",IF(AND(AT239=1,$H$3=1),D239*AO239,IF($H$3=2,D239,"N/A")))</f>
        <v/>
      </c>
      <c r="F239" s="199" t="str">
        <f aca="false">IF(A240="","",E239*AS239)</f>
        <v/>
      </c>
      <c r="G239" s="200" t="str">
        <f aca="false">IF($A240="","",VLOOKUP($A239,Table,MATCH(G$4,Curves,0)))</f>
        <v/>
      </c>
      <c r="H239" s="201" t="str">
        <f aca="false">IF(A240="","",G239)</f>
        <v/>
      </c>
      <c r="I239" s="202"/>
      <c r="J239" s="200" t="str">
        <f aca="false">IF($A240="","",VLOOKUP($A239,Table,MATCH(J$4,Curves,0)))</f>
        <v/>
      </c>
      <c r="K239" s="201" t="str">
        <f aca="false">IF(A240="","",J239)</f>
        <v/>
      </c>
      <c r="L239" s="185" t="n">
        <v>0</v>
      </c>
      <c r="M239" s="201" t="str">
        <f aca="false">IF(A240="","",L239)</f>
        <v/>
      </c>
      <c r="N239" s="203"/>
      <c r="O239" s="200" t="str">
        <f aca="false">IF(A240="","",L239+J239+G239)</f>
        <v/>
      </c>
      <c r="P239" s="200" t="str">
        <f aca="false">IF(A240="","",M239+K239+H239)</f>
        <v/>
      </c>
      <c r="Q239" s="204"/>
      <c r="R239" s="200" t="str">
        <f aca="false">IF($A240="","",VLOOKUP($A239,Table,MATCH(R$4,Curves,0)))</f>
        <v/>
      </c>
      <c r="S239" s="201" t="str">
        <f aca="false">IF(A240="","",R239)</f>
        <v/>
      </c>
      <c r="T239" s="200" t="str">
        <f aca="false">IF($A240="","",VLOOKUP($A239,Table,MATCH(T$4,Curves,0)))</f>
        <v/>
      </c>
      <c r="U239" s="201" t="str">
        <f aca="false">IF(A240="","",T239)</f>
        <v/>
      </c>
      <c r="V239" s="205" t="str">
        <f aca="false">IF($A240="","",IF(AND(MONTH(A239)&gt;3,MONTH(A239)&lt;11),(T239+R239+G239)*Summary!$T$10/(1-Summary!$T$10),(T239+R239+G239)*Summary!$U$10/(1-Summary!$U$10)))</f>
        <v/>
      </c>
      <c r="W239" s="200" t="str">
        <f aca="false">IF($A240="","",(T239+R239+G239+V239))</f>
        <v/>
      </c>
      <c r="X239" s="200" t="str">
        <f aca="false">IF($A240="","",(U239+S239+H239+V239))</f>
        <v/>
      </c>
      <c r="Y239" s="202"/>
      <c r="Z239" s="185" t="str">
        <f aca="false">IF($A240="","",VLOOKUP($A239,Table,MATCH(Z$4,Curves,0)))</f>
        <v/>
      </c>
      <c r="AA239" s="185" t="str">
        <f aca="false">IF($A240="","",VLOOKUP($A239,Table,MATCH(AA$4,Curves,0)))</f>
        <v/>
      </c>
      <c r="AB239" s="185" t="e">
        <f aca="false">SQRT((AA239^2*(A239-$D$3)+Z239^2*(DAY(EOMONTH(A239,0))/2))/AK239)</f>
        <v>#VALUE!</v>
      </c>
      <c r="AC239" s="185" t="str">
        <f aca="false">IF($A240="","",VLOOKUP($A239,Table,MATCH(AC$4,Curves,0)))</f>
        <v/>
      </c>
      <c r="AD239" s="185" t="str">
        <f aca="false">IF($A240="","",VLOOKUP($A239,Table,MATCH(AD$4,Curves,0)))</f>
        <v/>
      </c>
      <c r="AE239" s="185" t="e">
        <f aca="false">SQRT((AD239^2*(A239-$D$3)+AC239^2*(DAY(EOMONTH(A239,0))/2))/AK239)</f>
        <v>#VALUE!</v>
      </c>
      <c r="AF239" s="224" t="e">
        <f aca="false">((Summary!$N$10*(AA239*AD239)*(A239-$D$3))+(Summary!$M$10*Z239*AC239*(AJ239-EOMONTH(EDATE(A239,-1),0))))/(AK239*AB239*AE239)</f>
        <v>#VALUE!</v>
      </c>
      <c r="AG239" s="207" t="str">
        <f aca="false">IF($A240="","",Summary!$Q$10)</f>
        <v/>
      </c>
      <c r="AH239" s="207" t="str">
        <f aca="false">IF($A240="","",IF(Summary!$R$10="Y",(VLOOKUP($A239,Summary!$AD$6:$AF$9,3)+'Escalating commodity'!F252),'Escalating commodity'!F252))</f>
        <v/>
      </c>
      <c r="AI239" s="207" t="str">
        <f aca="false">IF($A240="","",AH239)</f>
        <v/>
      </c>
      <c r="AJ239" s="208" t="e">
        <f aca="false">A239+DAY(EOMONTH(A239,0))/2-1</f>
        <v>#VALUE!</v>
      </c>
      <c r="AK239" s="209" t="str">
        <f aca="false">IF($A240="","",$A239-$E$1)</f>
        <v/>
      </c>
      <c r="AL239" s="182" t="str">
        <f aca="false">IF($A240="","",SPRDOPT(P239,X239,AI239,0,AB239,AE239,AF239,AK239,$AJ$2,0))</f>
        <v/>
      </c>
      <c r="AM239" s="211" t="str">
        <f aca="false">IF($A240="","",MAX(0,O239-W239-AI239))</f>
        <v/>
      </c>
      <c r="AN239" s="211" t="str">
        <f aca="false">IF($A240="","",AL239-AM239)</f>
        <v/>
      </c>
      <c r="AO239" s="137" t="str">
        <f aca="false">IF(A240="","",A240-A239)</f>
        <v/>
      </c>
      <c r="AP239" s="212" t="str">
        <f aca="false">IF(A240="","",CHOOSE(F$3,A240+24,A239))</f>
        <v/>
      </c>
      <c r="AQ239" s="209" t="str">
        <f aca="false">IF(A240="","",AP239-$E$1)</f>
        <v/>
      </c>
      <c r="AR239" s="185" t="n">
        <f aca="false">'ANR OK vs ML7'!AR239</f>
        <v>0.1</v>
      </c>
      <c r="AS239" s="213" t="str">
        <f aca="false">IF(A240="","",1/(1+CHOOSE(F$3,(AR240+($I$3/10000))/2,(AR239+($I$3/10000))/2))^(2*AQ239/365.25))</f>
        <v/>
      </c>
      <c r="AT239" s="137" t="str">
        <f aca="false">IF(A240="","",IF(AND(mthbeg&lt;=A239,mthend&gt;=A239),1,0))</f>
        <v/>
      </c>
      <c r="AU239" s="137" t="str">
        <f aca="false">IF(A240="","",AO239*AT239)</f>
        <v/>
      </c>
      <c r="AW239" s="195" t="str">
        <f aca="false">IF($A240="","",AL239*$E239)</f>
        <v/>
      </c>
      <c r="AX239" s="195" t="str">
        <f aca="false">IF($A240="","",AM239*$E239)</f>
        <v/>
      </c>
      <c r="AY239" s="195" t="str">
        <f aca="false">IF($A240="","",AN239*$E239)</f>
        <v/>
      </c>
      <c r="BA239" s="195" t="str">
        <f aca="false">IF($A240="","",F239*Summary!$Q$10)</f>
        <v/>
      </c>
    </row>
    <row r="240" customFormat="false" ht="12" hidden="false" customHeight="true" outlineLevel="0" collapsed="false">
      <c r="A240" s="196" t="str">
        <f aca="false">IF(A239&lt;mthend,EDATE(A239,1),"")</f>
        <v/>
      </c>
      <c r="B240" s="197" t="str">
        <f aca="false">IF(A240&lt;mthend,B239,"")</f>
        <v/>
      </c>
      <c r="C240" s="215"/>
      <c r="D240" s="197" t="str">
        <f aca="false">IF(A241&lt;&gt;"",B240+C240,"")</f>
        <v/>
      </c>
      <c r="E240" s="199" t="str">
        <f aca="false">IF(A241="","",IF(AND(AT240=1,$H$3=1),D240*AO240,IF($H$3=2,D240,"N/A")))</f>
        <v/>
      </c>
      <c r="F240" s="199" t="str">
        <f aca="false">IF(A241="","",E240*AS240)</f>
        <v/>
      </c>
      <c r="G240" s="200" t="str">
        <f aca="false">IF($A241="","",VLOOKUP($A240,Table,MATCH(G$4,Curves,0)))</f>
        <v/>
      </c>
      <c r="H240" s="201" t="str">
        <f aca="false">IF(A241="","",G240)</f>
        <v/>
      </c>
      <c r="I240" s="202"/>
      <c r="J240" s="200" t="str">
        <f aca="false">IF($A241="","",VLOOKUP($A240,Table,MATCH(J$4,Curves,0)))</f>
        <v/>
      </c>
      <c r="K240" s="201" t="str">
        <f aca="false">IF(A241="","",J240)</f>
        <v/>
      </c>
      <c r="L240" s="185" t="n">
        <v>0</v>
      </c>
      <c r="M240" s="201" t="str">
        <f aca="false">IF(A241="","",L240)</f>
        <v/>
      </c>
      <c r="N240" s="203"/>
      <c r="O240" s="200" t="str">
        <f aca="false">IF(A241="","",L240+J240+G240)</f>
        <v/>
      </c>
      <c r="P240" s="200" t="str">
        <f aca="false">IF(A241="","",M240+K240+H240)</f>
        <v/>
      </c>
      <c r="Q240" s="204"/>
      <c r="R240" s="200" t="str">
        <f aca="false">IF($A241="","",VLOOKUP($A240,Table,MATCH(R$4,Curves,0)))</f>
        <v/>
      </c>
      <c r="S240" s="201" t="str">
        <f aca="false">IF(A241="","",R240)</f>
        <v/>
      </c>
      <c r="T240" s="200" t="str">
        <f aca="false">IF($A241="","",VLOOKUP($A240,Table,MATCH(T$4,Curves,0)))</f>
        <v/>
      </c>
      <c r="U240" s="201" t="str">
        <f aca="false">IF(A241="","",T240)</f>
        <v/>
      </c>
      <c r="V240" s="205" t="str">
        <f aca="false">IF($A241="","",IF(AND(MONTH(A240)&gt;3,MONTH(A240)&lt;11),(T240+R240+G240)*Summary!$T$10/(1-Summary!$T$10),(T240+R240+G240)*Summary!$U$10/(1-Summary!$U$10)))</f>
        <v/>
      </c>
      <c r="W240" s="200" t="str">
        <f aca="false">IF($A241="","",(T240+R240+G240+V240))</f>
        <v/>
      </c>
      <c r="X240" s="200" t="str">
        <f aca="false">IF($A241="","",(U240+S240+H240+V240))</f>
        <v/>
      </c>
      <c r="Y240" s="202"/>
      <c r="Z240" s="185" t="str">
        <f aca="false">IF($A241="","",VLOOKUP($A240,Table,MATCH(Z$4,Curves,0)))</f>
        <v/>
      </c>
      <c r="AA240" s="185" t="str">
        <f aca="false">IF($A241="","",VLOOKUP($A240,Table,MATCH(AA$4,Curves,0)))</f>
        <v/>
      </c>
      <c r="AB240" s="185" t="e">
        <f aca="false">SQRT((AA240^2*(A240-$D$3)+Z240^2*(DAY(EOMONTH(A240,0))/2))/AK240)</f>
        <v>#VALUE!</v>
      </c>
      <c r="AC240" s="185" t="str">
        <f aca="false">IF($A241="","",VLOOKUP($A240,Table,MATCH(AC$4,Curves,0)))</f>
        <v/>
      </c>
      <c r="AD240" s="185" t="str">
        <f aca="false">IF($A241="","",VLOOKUP($A240,Table,MATCH(AD$4,Curves,0)))</f>
        <v/>
      </c>
      <c r="AE240" s="185" t="e">
        <f aca="false">SQRT((AD240^2*(A240-$D$3)+AC240^2*(DAY(EOMONTH(A240,0))/2))/AK240)</f>
        <v>#VALUE!</v>
      </c>
      <c r="AF240" s="224" t="e">
        <f aca="false">((Summary!$N$10*(AA240*AD240)*(A240-$D$3))+(Summary!$M$10*Z240*AC240*(AJ240-EOMONTH(EDATE(A240,-1),0))))/(AK240*AB240*AE240)</f>
        <v>#VALUE!</v>
      </c>
      <c r="AG240" s="207" t="str">
        <f aca="false">IF($A241="","",Summary!$Q$10)</f>
        <v/>
      </c>
      <c r="AH240" s="207" t="str">
        <f aca="false">IF($A241="","",IF(Summary!$R$10="Y",(VLOOKUP($A240,Summary!$AD$6:$AF$9,3)+'Escalating commodity'!F253),'Escalating commodity'!F253))</f>
        <v/>
      </c>
      <c r="AI240" s="207" t="str">
        <f aca="false">IF($A241="","",AH240)</f>
        <v/>
      </c>
      <c r="AJ240" s="208" t="e">
        <f aca="false">A240+DAY(EOMONTH(A240,0))/2-1</f>
        <v>#VALUE!</v>
      </c>
      <c r="AK240" s="209" t="str">
        <f aca="false">IF($A241="","",$A240-$E$1)</f>
        <v/>
      </c>
      <c r="AL240" s="182" t="str">
        <f aca="false">IF($A241="","",SPRDOPT(P240,X240,AI240,0,AB240,AE240,AF240,AK240,$AJ$2,0))</f>
        <v/>
      </c>
      <c r="AM240" s="211" t="str">
        <f aca="false">IF($A241="","",MAX(0,O240-W240-AI240))</f>
        <v/>
      </c>
      <c r="AN240" s="211" t="str">
        <f aca="false">IF($A241="","",AL240-AM240)</f>
        <v/>
      </c>
      <c r="AO240" s="137" t="str">
        <f aca="false">IF(A241="","",A241-A240)</f>
        <v/>
      </c>
      <c r="AP240" s="212" t="str">
        <f aca="false">IF(A241="","",CHOOSE(F$3,A241+24,A240))</f>
        <v/>
      </c>
      <c r="AQ240" s="209" t="str">
        <f aca="false">IF(A241="","",AP240-$E$1)</f>
        <v/>
      </c>
      <c r="AR240" s="185" t="n">
        <f aca="false">'ANR OK vs ML7'!AR240</f>
        <v>0.1</v>
      </c>
      <c r="AS240" s="213" t="str">
        <f aca="false">IF(A241="","",1/(1+CHOOSE(F$3,(AR241+($I$3/10000))/2,(AR240+($I$3/10000))/2))^(2*AQ240/365.25))</f>
        <v/>
      </c>
      <c r="AT240" s="137" t="str">
        <f aca="false">IF(A241="","",IF(AND(mthbeg&lt;=A240,mthend&gt;=A240),1,0))</f>
        <v/>
      </c>
      <c r="AU240" s="137" t="str">
        <f aca="false">IF(A241="","",AO240*AT240)</f>
        <v/>
      </c>
      <c r="AW240" s="195" t="str">
        <f aca="false">IF($A241="","",AL240*$E240)</f>
        <v/>
      </c>
      <c r="AX240" s="195" t="str">
        <f aca="false">IF($A241="","",AM240*$E240)</f>
        <v/>
      </c>
      <c r="AY240" s="195" t="str">
        <f aca="false">IF($A241="","",AN240*$E240)</f>
        <v/>
      </c>
      <c r="BA240" s="195" t="str">
        <f aca="false">IF($A241="","",F240*Summary!$Q$10)</f>
        <v/>
      </c>
    </row>
    <row r="241" customFormat="false" ht="12" hidden="false" customHeight="true" outlineLevel="0" collapsed="false">
      <c r="A241" s="196" t="str">
        <f aca="false">IF(A240&lt;mthend,EDATE(A240,1),"")</f>
        <v/>
      </c>
      <c r="B241" s="197" t="str">
        <f aca="false">IF(A241&lt;mthend,B240,"")</f>
        <v/>
      </c>
      <c r="C241" s="215"/>
      <c r="D241" s="197" t="str">
        <f aca="false">IF(A242&lt;&gt;"",B241+C241,"")</f>
        <v/>
      </c>
      <c r="E241" s="199" t="str">
        <f aca="false">IF(A242="","",IF(AND(AT241=1,$H$3=1),D241*AO241,IF($H$3=2,D241,"N/A")))</f>
        <v/>
      </c>
      <c r="F241" s="199" t="str">
        <f aca="false">IF(A242="","",E241*AS241)</f>
        <v/>
      </c>
      <c r="G241" s="200" t="str">
        <f aca="false">IF($A242="","",VLOOKUP($A241,Table,MATCH(G$4,Curves,0)))</f>
        <v/>
      </c>
      <c r="H241" s="201" t="str">
        <f aca="false">IF(A242="","",G241)</f>
        <v/>
      </c>
      <c r="I241" s="202"/>
      <c r="J241" s="200" t="str">
        <f aca="false">IF($A242="","",VLOOKUP($A241,Table,MATCH(J$4,Curves,0)))</f>
        <v/>
      </c>
      <c r="K241" s="201" t="str">
        <f aca="false">IF(A242="","",J241)</f>
        <v/>
      </c>
      <c r="L241" s="185" t="n">
        <v>0</v>
      </c>
      <c r="M241" s="201" t="str">
        <f aca="false">IF(A242="","",L241)</f>
        <v/>
      </c>
      <c r="N241" s="203"/>
      <c r="O241" s="200" t="str">
        <f aca="false">IF(A242="","",L241+J241+G241)</f>
        <v/>
      </c>
      <c r="P241" s="200" t="str">
        <f aca="false">IF(A242="","",M241+K241+H241)</f>
        <v/>
      </c>
      <c r="Q241" s="204"/>
      <c r="R241" s="200" t="str">
        <f aca="false">IF($A242="","",VLOOKUP($A241,Table,MATCH(R$4,Curves,0)))</f>
        <v/>
      </c>
      <c r="S241" s="201" t="str">
        <f aca="false">IF(A242="","",R241)</f>
        <v/>
      </c>
      <c r="T241" s="200" t="str">
        <f aca="false">IF($A242="","",VLOOKUP($A241,Table,MATCH(T$4,Curves,0)))</f>
        <v/>
      </c>
      <c r="U241" s="201" t="str">
        <f aca="false">IF(A242="","",T241)</f>
        <v/>
      </c>
      <c r="V241" s="205" t="str">
        <f aca="false">IF($A242="","",IF(AND(MONTH(A241)&gt;3,MONTH(A241)&lt;11),(T241+R241+G241)*Summary!$T$10/(1-Summary!$T$10),(T241+R241+G241)*Summary!$U$10/(1-Summary!$U$10)))</f>
        <v/>
      </c>
      <c r="W241" s="200" t="str">
        <f aca="false">IF($A242="","",(T241+R241+G241+V241))</f>
        <v/>
      </c>
      <c r="X241" s="200" t="str">
        <f aca="false">IF($A242="","",(U241+S241+H241+V241))</f>
        <v/>
      </c>
      <c r="Y241" s="202"/>
      <c r="Z241" s="185" t="str">
        <f aca="false">IF($A242="","",VLOOKUP($A241,Table,MATCH(Z$4,Curves,0)))</f>
        <v/>
      </c>
      <c r="AA241" s="185" t="str">
        <f aca="false">IF($A242="","",VLOOKUP($A241,Table,MATCH(AA$4,Curves,0)))</f>
        <v/>
      </c>
      <c r="AB241" s="185" t="e">
        <f aca="false">SQRT((AA241^2*(A241-$D$3)+Z241^2*(DAY(EOMONTH(A241,0))/2))/AK241)</f>
        <v>#VALUE!</v>
      </c>
      <c r="AC241" s="185" t="str">
        <f aca="false">IF($A242="","",VLOOKUP($A241,Table,MATCH(AC$4,Curves,0)))</f>
        <v/>
      </c>
      <c r="AD241" s="185" t="str">
        <f aca="false">IF($A242="","",VLOOKUP($A241,Table,MATCH(AD$4,Curves,0)))</f>
        <v/>
      </c>
      <c r="AE241" s="185" t="e">
        <f aca="false">SQRT((AD241^2*(A241-$D$3)+AC241^2*(DAY(EOMONTH(A241,0))/2))/AK241)</f>
        <v>#VALUE!</v>
      </c>
      <c r="AF241" s="224" t="e">
        <f aca="false">((Summary!$N$10*(AA241*AD241)*(A241-$D$3))+(Summary!$M$10*Z241*AC241*(AJ241-EOMONTH(EDATE(A241,-1),0))))/(AK241*AB241*AE241)</f>
        <v>#VALUE!</v>
      </c>
      <c r="AG241" s="207" t="str">
        <f aca="false">IF($A242="","",Summary!$Q$10)</f>
        <v/>
      </c>
      <c r="AH241" s="207" t="str">
        <f aca="false">IF($A242="","",IF(Summary!$R$10="Y",(VLOOKUP($A241,Summary!$AD$6:$AF$9,3)+'Escalating commodity'!F254),'Escalating commodity'!F254))</f>
        <v/>
      </c>
      <c r="AI241" s="207" t="str">
        <f aca="false">IF($A242="","",AH241)</f>
        <v/>
      </c>
      <c r="AJ241" s="208" t="e">
        <f aca="false">A241+DAY(EOMONTH(A241,0))/2-1</f>
        <v>#VALUE!</v>
      </c>
      <c r="AK241" s="209" t="str">
        <f aca="false">IF($A242="","",$A241-$E$1)</f>
        <v/>
      </c>
      <c r="AL241" s="182" t="str">
        <f aca="false">IF($A242="","",SPRDOPT(P241,X241,AI241,0,AB241,AE241,AF241,AK241,$AJ$2,0))</f>
        <v/>
      </c>
      <c r="AM241" s="211" t="str">
        <f aca="false">IF($A242="","",MAX(0,O241-W241-AI241))</f>
        <v/>
      </c>
      <c r="AN241" s="211" t="str">
        <f aca="false">IF($A242="","",AL241-AM241)</f>
        <v/>
      </c>
      <c r="AO241" s="137" t="str">
        <f aca="false">IF(A242="","",A242-A241)</f>
        <v/>
      </c>
      <c r="AP241" s="212" t="str">
        <f aca="false">IF(A242="","",CHOOSE(F$3,A242+24,A241))</f>
        <v/>
      </c>
      <c r="AQ241" s="209" t="str">
        <f aca="false">IF(A242="","",AP241-$E$1)</f>
        <v/>
      </c>
      <c r="AR241" s="185" t="n">
        <f aca="false">'ANR OK vs ML7'!AR241</f>
        <v>0.1</v>
      </c>
      <c r="AS241" s="213" t="str">
        <f aca="false">IF(A242="","",1/(1+CHOOSE(F$3,(AR242+($I$3/10000))/2,(AR241+($I$3/10000))/2))^(2*AQ241/365.25))</f>
        <v/>
      </c>
      <c r="AT241" s="137" t="str">
        <f aca="false">IF(A242="","",IF(AND(mthbeg&lt;=A241,mthend&gt;=A241),1,0))</f>
        <v/>
      </c>
      <c r="AU241" s="137" t="str">
        <f aca="false">IF(A242="","",AO241*AT241)</f>
        <v/>
      </c>
      <c r="AW241" s="195" t="str">
        <f aca="false">IF($A242="","",AL241*$E241)</f>
        <v/>
      </c>
      <c r="AX241" s="195" t="str">
        <f aca="false">IF($A242="","",AM241*$E241)</f>
        <v/>
      </c>
      <c r="AY241" s="195" t="str">
        <f aca="false">IF($A242="","",AN241*$E241)</f>
        <v/>
      </c>
      <c r="BA241" s="195" t="str">
        <f aca="false">IF($A242="","",F241*Summary!$Q$10)</f>
        <v/>
      </c>
    </row>
    <row r="242" customFormat="false" ht="12" hidden="false" customHeight="true" outlineLevel="0" collapsed="false">
      <c r="A242" s="196" t="str">
        <f aca="false">IF(A241&lt;mthend,EDATE(A241,1),"")</f>
        <v/>
      </c>
      <c r="B242" s="197" t="str">
        <f aca="false">IF(A242&lt;mthend,B241,"")</f>
        <v/>
      </c>
      <c r="C242" s="215"/>
      <c r="D242" s="197" t="str">
        <f aca="false">IF(A243&lt;&gt;"",B242+C242,"")</f>
        <v/>
      </c>
      <c r="E242" s="199" t="str">
        <f aca="false">IF(A243="","",IF(AND(AT242=1,$H$3=1),D242*AO242,IF($H$3=2,D242,"N/A")))</f>
        <v/>
      </c>
      <c r="F242" s="199" t="str">
        <f aca="false">IF(A243="","",E242*AS242)</f>
        <v/>
      </c>
      <c r="G242" s="200" t="str">
        <f aca="false">IF($A243="","",VLOOKUP($A242,Table,MATCH(G$4,Curves,0)))</f>
        <v/>
      </c>
      <c r="H242" s="201" t="str">
        <f aca="false">IF(A243="","",G242)</f>
        <v/>
      </c>
      <c r="I242" s="202"/>
      <c r="J242" s="200" t="str">
        <f aca="false">IF($A243="","",VLOOKUP($A242,Table,MATCH(J$4,Curves,0)))</f>
        <v/>
      </c>
      <c r="K242" s="201" t="str">
        <f aca="false">IF(A243="","",J242)</f>
        <v/>
      </c>
      <c r="L242" s="185" t="n">
        <v>0</v>
      </c>
      <c r="M242" s="201" t="str">
        <f aca="false">IF(A243="","",L242)</f>
        <v/>
      </c>
      <c r="N242" s="203"/>
      <c r="O242" s="200" t="str">
        <f aca="false">IF(A243="","",L242+J242+G242)</f>
        <v/>
      </c>
      <c r="P242" s="200" t="str">
        <f aca="false">IF(A243="","",M242+K242+H242)</f>
        <v/>
      </c>
      <c r="Q242" s="204"/>
      <c r="R242" s="200" t="str">
        <f aca="false">IF($A243="","",VLOOKUP($A242,Table,MATCH(R$4,Curves,0)))</f>
        <v/>
      </c>
      <c r="S242" s="201" t="str">
        <f aca="false">IF(A243="","",R242)</f>
        <v/>
      </c>
      <c r="T242" s="200" t="str">
        <f aca="false">IF($A243="","",VLOOKUP($A242,Table,MATCH(T$4,Curves,0)))</f>
        <v/>
      </c>
      <c r="U242" s="201" t="str">
        <f aca="false">IF(A243="","",T242)</f>
        <v/>
      </c>
      <c r="V242" s="205" t="str">
        <f aca="false">IF($A243="","",IF(AND(MONTH(A242)&gt;3,MONTH(A242)&lt;11),(T242+R242+G242)*Summary!$T$10/(1-Summary!$T$10),(T242+R242+G242)*Summary!$U$10/(1-Summary!$U$10)))</f>
        <v/>
      </c>
      <c r="W242" s="200" t="str">
        <f aca="false">IF($A243="","",(T242+R242+G242+V242))</f>
        <v/>
      </c>
      <c r="X242" s="200" t="str">
        <f aca="false">IF($A243="","",(U242+S242+H242+V242))</f>
        <v/>
      </c>
      <c r="Y242" s="202"/>
      <c r="Z242" s="185" t="str">
        <f aca="false">IF($A243="","",VLOOKUP($A242,Table,MATCH(Z$4,Curves,0)))</f>
        <v/>
      </c>
      <c r="AA242" s="185" t="str">
        <f aca="false">IF($A243="","",VLOOKUP($A242,Table,MATCH(AA$4,Curves,0)))</f>
        <v/>
      </c>
      <c r="AB242" s="185" t="e">
        <f aca="false">SQRT((AA242^2*(A242-$D$3)+Z242^2*(DAY(EOMONTH(A242,0))/2))/AK242)</f>
        <v>#VALUE!</v>
      </c>
      <c r="AC242" s="185" t="str">
        <f aca="false">IF($A243="","",VLOOKUP($A242,Table,MATCH(AC$4,Curves,0)))</f>
        <v/>
      </c>
      <c r="AD242" s="185" t="str">
        <f aca="false">IF($A243="","",VLOOKUP($A242,Table,MATCH(AD$4,Curves,0)))</f>
        <v/>
      </c>
      <c r="AE242" s="185" t="e">
        <f aca="false">SQRT((AD242^2*(A242-$D$3)+AC242^2*(DAY(EOMONTH(A242,0))/2))/AK242)</f>
        <v>#VALUE!</v>
      </c>
      <c r="AF242" s="224" t="e">
        <f aca="false">((Summary!$N$10*(AA242*AD242)*(A242-$D$3))+(Summary!$M$10*Z242*AC242*(AJ242-EOMONTH(EDATE(A242,-1),0))))/(AK242*AB242*AE242)</f>
        <v>#VALUE!</v>
      </c>
      <c r="AG242" s="207" t="str">
        <f aca="false">IF($A243="","",Summary!$Q$10)</f>
        <v/>
      </c>
      <c r="AH242" s="207" t="str">
        <f aca="false">IF($A243="","",IF(Summary!$R$10="Y",(VLOOKUP($A242,Summary!$AD$6:$AF$9,3)+'Escalating commodity'!F255),'Escalating commodity'!F255))</f>
        <v/>
      </c>
      <c r="AI242" s="207" t="str">
        <f aca="false">IF($A243="","",AH242)</f>
        <v/>
      </c>
      <c r="AJ242" s="208" t="e">
        <f aca="false">A242+DAY(EOMONTH(A242,0))/2-1</f>
        <v>#VALUE!</v>
      </c>
      <c r="AK242" s="209" t="str">
        <f aca="false">IF($A243="","",$A242-$E$1)</f>
        <v/>
      </c>
      <c r="AL242" s="182" t="str">
        <f aca="false">IF($A243="","",SPRDOPT(P242,X242,AI242,0,AB242,AE242,AF242,AK242,$AJ$2,0))</f>
        <v/>
      </c>
      <c r="AM242" s="211" t="str">
        <f aca="false">IF($A243="","",MAX(0,O242-W242-AI242))</f>
        <v/>
      </c>
      <c r="AN242" s="211" t="str">
        <f aca="false">IF($A243="","",AL242-AM242)</f>
        <v/>
      </c>
      <c r="AO242" s="137" t="str">
        <f aca="false">IF(A243="","",A243-A242)</f>
        <v/>
      </c>
      <c r="AP242" s="212" t="str">
        <f aca="false">IF(A243="","",CHOOSE(F$3,A243+24,A242))</f>
        <v/>
      </c>
      <c r="AQ242" s="209" t="str">
        <f aca="false">IF(A243="","",AP242-$E$1)</f>
        <v/>
      </c>
      <c r="AR242" s="185" t="n">
        <f aca="false">'ANR OK vs ML7'!AR242</f>
        <v>0.1</v>
      </c>
      <c r="AS242" s="213" t="str">
        <f aca="false">IF(A243="","",1/(1+CHOOSE(F$3,(AR243+($I$3/10000))/2,(AR242+($I$3/10000))/2))^(2*AQ242/365.25))</f>
        <v/>
      </c>
      <c r="AT242" s="137" t="str">
        <f aca="false">IF(A243="","",IF(AND(mthbeg&lt;=A242,mthend&gt;=A242),1,0))</f>
        <v/>
      </c>
      <c r="AU242" s="137" t="str">
        <f aca="false">IF(A243="","",AO242*AT242)</f>
        <v/>
      </c>
      <c r="AW242" s="195" t="str">
        <f aca="false">IF($A243="","",AL242*$E242)</f>
        <v/>
      </c>
      <c r="AX242" s="195" t="str">
        <f aca="false">IF($A243="","",AM242*$E242)</f>
        <v/>
      </c>
      <c r="AY242" s="195" t="str">
        <f aca="false">IF($A243="","",AN242*$E242)</f>
        <v/>
      </c>
      <c r="BA242" s="195" t="str">
        <f aca="false">IF($A243="","",F242*Summary!$Q$10)</f>
        <v/>
      </c>
    </row>
    <row r="243" customFormat="false" ht="12" hidden="false" customHeight="true" outlineLevel="0" collapsed="false">
      <c r="A243" s="196" t="str">
        <f aca="false">IF(A242&lt;mthend,EDATE(A242,1),"")</f>
        <v/>
      </c>
      <c r="B243" s="197" t="str">
        <f aca="false">IF(A243&lt;mthend,B242,"")</f>
        <v/>
      </c>
      <c r="C243" s="215"/>
      <c r="D243" s="197" t="str">
        <f aca="false">IF(A244&lt;&gt;"",B243+C243,"")</f>
        <v/>
      </c>
      <c r="E243" s="199" t="str">
        <f aca="false">IF(A244="","",IF(AND(AT243=1,$H$3=1),D243*AO243,IF($H$3=2,D243,"N/A")))</f>
        <v/>
      </c>
      <c r="F243" s="199" t="str">
        <f aca="false">IF(A244="","",E243*AS243)</f>
        <v/>
      </c>
      <c r="G243" s="200" t="str">
        <f aca="false">IF($A244="","",VLOOKUP($A243,Table,MATCH(G$4,Curves,0)))</f>
        <v/>
      </c>
      <c r="H243" s="201" t="str">
        <f aca="false">IF(A244="","",G243)</f>
        <v/>
      </c>
      <c r="I243" s="202"/>
      <c r="J243" s="200" t="str">
        <f aca="false">IF($A244="","",VLOOKUP($A243,Table,MATCH(J$4,Curves,0)))</f>
        <v/>
      </c>
      <c r="K243" s="201" t="str">
        <f aca="false">IF(A244="","",J243)</f>
        <v/>
      </c>
      <c r="L243" s="185" t="n">
        <v>0</v>
      </c>
      <c r="M243" s="201" t="str">
        <f aca="false">IF(A244="","",L243)</f>
        <v/>
      </c>
      <c r="N243" s="203"/>
      <c r="O243" s="200" t="str">
        <f aca="false">IF(A244="","",L243+J243+G243)</f>
        <v/>
      </c>
      <c r="P243" s="200" t="str">
        <f aca="false">IF(A244="","",M243+K243+H243)</f>
        <v/>
      </c>
      <c r="Q243" s="204"/>
      <c r="R243" s="200" t="str">
        <f aca="false">IF($A244="","",VLOOKUP($A243,Table,MATCH(R$4,Curves,0)))</f>
        <v/>
      </c>
      <c r="S243" s="201" t="str">
        <f aca="false">IF(A244="","",R243)</f>
        <v/>
      </c>
      <c r="T243" s="200" t="str">
        <f aca="false">IF($A244="","",VLOOKUP($A243,Table,MATCH(T$4,Curves,0)))</f>
        <v/>
      </c>
      <c r="U243" s="201" t="str">
        <f aca="false">IF(A244="","",T243)</f>
        <v/>
      </c>
      <c r="V243" s="205" t="str">
        <f aca="false">IF($A244="","",IF(AND(MONTH(A243)&gt;3,MONTH(A243)&lt;11),(T243+R243+G243)*Summary!$T$10/(1-Summary!$T$10),(T243+R243+G243)*Summary!$U$10/(1-Summary!$U$10)))</f>
        <v/>
      </c>
      <c r="W243" s="200" t="str">
        <f aca="false">IF($A244="","",(T243+R243+G243+V243))</f>
        <v/>
      </c>
      <c r="X243" s="200" t="str">
        <f aca="false">IF($A244="","",(U243+S243+H243+V243))</f>
        <v/>
      </c>
      <c r="Y243" s="202"/>
      <c r="Z243" s="185" t="str">
        <f aca="false">IF($A244="","",VLOOKUP($A243,Table,MATCH(Z$4,Curves,0)))</f>
        <v/>
      </c>
      <c r="AA243" s="185" t="str">
        <f aca="false">IF($A244="","",VLOOKUP($A243,Table,MATCH(AA$4,Curves,0)))</f>
        <v/>
      </c>
      <c r="AB243" s="185" t="e">
        <f aca="false">SQRT((AA243^2*(A243-$D$3)+Z243^2*(DAY(EOMONTH(A243,0))/2))/AK243)</f>
        <v>#VALUE!</v>
      </c>
      <c r="AC243" s="185" t="str">
        <f aca="false">IF($A244="","",VLOOKUP($A243,Table,MATCH(AC$4,Curves,0)))</f>
        <v/>
      </c>
      <c r="AD243" s="185" t="str">
        <f aca="false">IF($A244="","",VLOOKUP($A243,Table,MATCH(AD$4,Curves,0)))</f>
        <v/>
      </c>
      <c r="AE243" s="185" t="e">
        <f aca="false">SQRT((AD243^2*(A243-$D$3)+AC243^2*(DAY(EOMONTH(A243,0))/2))/AK243)</f>
        <v>#VALUE!</v>
      </c>
      <c r="AF243" s="224" t="e">
        <f aca="false">((Summary!$N$10*(AA243*AD243)*(A243-$D$3))+(Summary!$M$10*Z243*AC243*(AJ243-EOMONTH(EDATE(A243,-1),0))))/(AK243*AB243*AE243)</f>
        <v>#VALUE!</v>
      </c>
      <c r="AG243" s="207" t="str">
        <f aca="false">IF($A244="","",Summary!$Q$10)</f>
        <v/>
      </c>
      <c r="AH243" s="207" t="str">
        <f aca="false">IF($A244="","",IF(Summary!$R$10="Y",(VLOOKUP($A243,Summary!$AD$6:$AF$9,3)+'Escalating commodity'!F256),'Escalating commodity'!F256))</f>
        <v/>
      </c>
      <c r="AI243" s="207" t="str">
        <f aca="false">IF($A244="","",AH243)</f>
        <v/>
      </c>
      <c r="AJ243" s="208" t="e">
        <f aca="false">A243+DAY(EOMONTH(A243,0))/2-1</f>
        <v>#VALUE!</v>
      </c>
      <c r="AK243" s="209" t="str">
        <f aca="false">IF($A244="","",$A243-$E$1)</f>
        <v/>
      </c>
      <c r="AL243" s="182" t="str">
        <f aca="false">IF($A244="","",SPRDOPT(P243,X243,AI243,0,AB243,AE243,AF243,AK243,$AJ$2,0))</f>
        <v/>
      </c>
      <c r="AM243" s="211" t="str">
        <f aca="false">IF($A244="","",MAX(0,O243-W243-AI243))</f>
        <v/>
      </c>
      <c r="AN243" s="211" t="str">
        <f aca="false">IF($A244="","",AL243-AM243)</f>
        <v/>
      </c>
      <c r="AO243" s="137" t="str">
        <f aca="false">IF(A244="","",A244-A243)</f>
        <v/>
      </c>
      <c r="AP243" s="212" t="str">
        <f aca="false">IF(A244="","",CHOOSE(F$3,A244+24,A243))</f>
        <v/>
      </c>
      <c r="AQ243" s="209" t="str">
        <f aca="false">IF(A244="","",AP243-$E$1)</f>
        <v/>
      </c>
      <c r="AR243" s="185" t="n">
        <f aca="false">'ANR OK vs ML7'!AR243</f>
        <v>0.1</v>
      </c>
      <c r="AS243" s="213" t="str">
        <f aca="false">IF(A244="","",1/(1+CHOOSE(F$3,(AR244+($I$3/10000))/2,(AR243+($I$3/10000))/2))^(2*AQ243/365.25))</f>
        <v/>
      </c>
      <c r="AT243" s="137" t="str">
        <f aca="false">IF(A244="","",IF(AND(mthbeg&lt;=A243,mthend&gt;=A243),1,0))</f>
        <v/>
      </c>
      <c r="AU243" s="137" t="str">
        <f aca="false">IF(A244="","",AO243*AT243)</f>
        <v/>
      </c>
      <c r="AW243" s="195" t="str">
        <f aca="false">IF($A244="","",AL243*$E243)</f>
        <v/>
      </c>
      <c r="AX243" s="195" t="str">
        <f aca="false">IF($A244="","",AM243*$E243)</f>
        <v/>
      </c>
      <c r="AY243" s="195" t="str">
        <f aca="false">IF($A244="","",AN243*$E243)</f>
        <v/>
      </c>
      <c r="BA243" s="195" t="str">
        <f aca="false">IF($A244="","",F243*Summary!$Q$10)</f>
        <v/>
      </c>
    </row>
    <row r="244" customFormat="false" ht="12" hidden="false" customHeight="true" outlineLevel="0" collapsed="false">
      <c r="A244" s="196" t="str">
        <f aca="false">IF(A243&lt;mthend,EDATE(A243,1),"")</f>
        <v/>
      </c>
      <c r="B244" s="197" t="str">
        <f aca="false">IF(A244&lt;mthend,B243,"")</f>
        <v/>
      </c>
      <c r="C244" s="215"/>
      <c r="D244" s="197" t="str">
        <f aca="false">IF(A245&lt;&gt;"",B244+C244,"")</f>
        <v/>
      </c>
      <c r="E244" s="199" t="str">
        <f aca="false">IF(A245="","",IF(AND(AT244=1,$H$3=1),D244*AO244,IF($H$3=2,D244,"N/A")))</f>
        <v/>
      </c>
      <c r="F244" s="199" t="str">
        <f aca="false">IF(A245="","",E244*AS244)</f>
        <v/>
      </c>
      <c r="G244" s="200" t="str">
        <f aca="false">IF($A245="","",VLOOKUP($A244,Table,MATCH(G$4,Curves,0)))</f>
        <v/>
      </c>
      <c r="H244" s="201" t="str">
        <f aca="false">IF(A245="","",G244)</f>
        <v/>
      </c>
      <c r="I244" s="202"/>
      <c r="J244" s="200" t="str">
        <f aca="false">IF($A245="","",VLOOKUP($A244,Table,MATCH(J$4,Curves,0)))</f>
        <v/>
      </c>
      <c r="K244" s="201" t="str">
        <f aca="false">IF(A245="","",J244)</f>
        <v/>
      </c>
      <c r="L244" s="185" t="n">
        <v>0</v>
      </c>
      <c r="M244" s="201" t="str">
        <f aca="false">IF(A245="","",L244)</f>
        <v/>
      </c>
      <c r="N244" s="203"/>
      <c r="O244" s="200" t="str">
        <f aca="false">IF(A245="","",L244+J244+G244)</f>
        <v/>
      </c>
      <c r="P244" s="200" t="str">
        <f aca="false">IF(A245="","",M244+K244+H244)</f>
        <v/>
      </c>
      <c r="Q244" s="204"/>
      <c r="R244" s="200" t="str">
        <f aca="false">IF($A245="","",VLOOKUP($A244,Table,MATCH(R$4,Curves,0)))</f>
        <v/>
      </c>
      <c r="S244" s="201" t="str">
        <f aca="false">IF(A245="","",R244)</f>
        <v/>
      </c>
      <c r="T244" s="200" t="str">
        <f aca="false">IF($A245="","",VLOOKUP($A244,Table,MATCH(T$4,Curves,0)))</f>
        <v/>
      </c>
      <c r="U244" s="201" t="str">
        <f aca="false">IF(A245="","",T244)</f>
        <v/>
      </c>
      <c r="V244" s="205" t="str">
        <f aca="false">IF($A245="","",IF(AND(MONTH(A244)&gt;3,MONTH(A244)&lt;11),(T244+R244+G244)*Summary!$T$10/(1-Summary!$T$10),(T244+R244+G244)*Summary!$U$10/(1-Summary!$U$10)))</f>
        <v/>
      </c>
      <c r="W244" s="200" t="str">
        <f aca="false">IF($A245="","",(T244+R244+G244+V244))</f>
        <v/>
      </c>
      <c r="X244" s="200" t="str">
        <f aca="false">IF($A245="","",(U244+S244+H244+V244))</f>
        <v/>
      </c>
      <c r="Y244" s="202"/>
      <c r="Z244" s="185" t="str">
        <f aca="false">IF($A245="","",VLOOKUP($A244,Table,MATCH(Z$4,Curves,0)))</f>
        <v/>
      </c>
      <c r="AA244" s="185" t="str">
        <f aca="false">IF($A245="","",VLOOKUP($A244,Table,MATCH(AA$4,Curves,0)))</f>
        <v/>
      </c>
      <c r="AB244" s="185" t="e">
        <f aca="false">SQRT((AA244^2*(A244-$D$3)+Z244^2*(DAY(EOMONTH(A244,0))/2))/AK244)</f>
        <v>#VALUE!</v>
      </c>
      <c r="AC244" s="185" t="str">
        <f aca="false">IF($A245="","",VLOOKUP($A244,Table,MATCH(AC$4,Curves,0)))</f>
        <v/>
      </c>
      <c r="AD244" s="185" t="str">
        <f aca="false">IF($A245="","",VLOOKUP($A244,Table,MATCH(AD$4,Curves,0)))</f>
        <v/>
      </c>
      <c r="AE244" s="185" t="e">
        <f aca="false">SQRT((AD244^2*(A244-$D$3)+AC244^2*(DAY(EOMONTH(A244,0))/2))/AK244)</f>
        <v>#VALUE!</v>
      </c>
      <c r="AF244" s="224" t="e">
        <f aca="false">((Summary!$N$10*(AA244*AD244)*(A244-$D$3))+(Summary!$M$10*Z244*AC244*(AJ244-EOMONTH(EDATE(A244,-1),0))))/(AK244*AB244*AE244)</f>
        <v>#VALUE!</v>
      </c>
      <c r="AG244" s="207" t="str">
        <f aca="false">IF($A245="","",Summary!$Q$10)</f>
        <v/>
      </c>
      <c r="AH244" s="207" t="str">
        <f aca="false">IF($A245="","",IF(Summary!$R$10="Y",(VLOOKUP($A244,Summary!$AD$6:$AF$9,3)+'Escalating commodity'!F257),'Escalating commodity'!F257))</f>
        <v/>
      </c>
      <c r="AI244" s="207" t="str">
        <f aca="false">IF($A245="","",AH244)</f>
        <v/>
      </c>
      <c r="AJ244" s="208" t="e">
        <f aca="false">A244+DAY(EOMONTH(A244,0))/2-1</f>
        <v>#VALUE!</v>
      </c>
      <c r="AK244" s="209" t="str">
        <f aca="false">IF($A245="","",$A244-$E$1)</f>
        <v/>
      </c>
      <c r="AL244" s="182" t="str">
        <f aca="false">IF($A245="","",SPRDOPT(P244,X244,AI244,0,AB244,AE244,AF244,AK244,$AJ$2,0))</f>
        <v/>
      </c>
      <c r="AM244" s="211" t="str">
        <f aca="false">IF($A245="","",MAX(0,O244-W244-AI244))</f>
        <v/>
      </c>
      <c r="AN244" s="211" t="str">
        <f aca="false">IF($A245="","",AL244-AM244)</f>
        <v/>
      </c>
      <c r="AO244" s="137" t="str">
        <f aca="false">IF(A245="","",A245-A244)</f>
        <v/>
      </c>
      <c r="AP244" s="212" t="str">
        <f aca="false">IF(A245="","",CHOOSE(F$3,A245+24,A244))</f>
        <v/>
      </c>
      <c r="AQ244" s="209" t="str">
        <f aca="false">IF(A245="","",AP244-$E$1)</f>
        <v/>
      </c>
      <c r="AR244" s="185" t="n">
        <f aca="false">'ANR OK vs ML7'!AR244</f>
        <v>0.1</v>
      </c>
      <c r="AS244" s="213" t="str">
        <f aca="false">IF(A245="","",1/(1+CHOOSE(F$3,(AR245+($I$3/10000))/2,(AR244+($I$3/10000))/2))^(2*AQ244/365.25))</f>
        <v/>
      </c>
      <c r="AT244" s="137" t="str">
        <f aca="false">IF(A245="","",IF(AND(mthbeg&lt;=A244,mthend&gt;=A244),1,0))</f>
        <v/>
      </c>
      <c r="AU244" s="137" t="str">
        <f aca="false">IF(A245="","",AO244*AT244)</f>
        <v/>
      </c>
      <c r="AW244" s="195" t="str">
        <f aca="false">IF($A245="","",AL244*$E244)</f>
        <v/>
      </c>
      <c r="AX244" s="195" t="str">
        <f aca="false">IF($A245="","",AM244*$E244)</f>
        <v/>
      </c>
      <c r="AY244" s="195" t="str">
        <f aca="false">IF($A245="","",AN244*$E244)</f>
        <v/>
      </c>
      <c r="BA244" s="195" t="str">
        <f aca="false">IF($A245="","",F244*Summary!$Q$10)</f>
        <v/>
      </c>
    </row>
    <row r="245" customFormat="false" ht="12" hidden="false" customHeight="true" outlineLevel="0" collapsed="false">
      <c r="A245" s="196" t="str">
        <f aca="false">IF(A244&lt;mthend,EDATE(A244,1),"")</f>
        <v/>
      </c>
      <c r="B245" s="197" t="str">
        <f aca="false">IF(A245&lt;mthend,B244,"")</f>
        <v/>
      </c>
      <c r="C245" s="215"/>
      <c r="D245" s="197" t="str">
        <f aca="false">IF(A246&lt;&gt;"",B245+C245,"")</f>
        <v/>
      </c>
      <c r="E245" s="199" t="str">
        <f aca="false">IF(A246="","",IF(AND(AT245=1,$H$3=1),D245*AO245,IF($H$3=2,D245,"N/A")))</f>
        <v/>
      </c>
      <c r="F245" s="199" t="str">
        <f aca="false">IF(A246="","",E245*AS245)</f>
        <v/>
      </c>
      <c r="G245" s="200" t="str">
        <f aca="false">IF($A246="","",VLOOKUP($A245,Table,MATCH(G$4,Curves,0)))</f>
        <v/>
      </c>
      <c r="H245" s="201" t="str">
        <f aca="false">IF(A246="","",G245)</f>
        <v/>
      </c>
      <c r="I245" s="202"/>
      <c r="J245" s="200" t="str">
        <f aca="false">IF($A246="","",VLOOKUP($A245,Table,MATCH(J$4,Curves,0)))</f>
        <v/>
      </c>
      <c r="K245" s="201" t="str">
        <f aca="false">IF(A246="","",J245)</f>
        <v/>
      </c>
      <c r="L245" s="185" t="n">
        <v>0</v>
      </c>
      <c r="M245" s="201" t="str">
        <f aca="false">IF(A246="","",L245)</f>
        <v/>
      </c>
      <c r="N245" s="203"/>
      <c r="O245" s="200" t="str">
        <f aca="false">IF(A246="","",L245+J245+G245)</f>
        <v/>
      </c>
      <c r="P245" s="200" t="str">
        <f aca="false">IF(A246="","",M245+K245+H245)</f>
        <v/>
      </c>
      <c r="Q245" s="204"/>
      <c r="R245" s="200" t="str">
        <f aca="false">IF($A246="","",VLOOKUP($A245,Table,MATCH(R$4,Curves,0)))</f>
        <v/>
      </c>
      <c r="S245" s="201" t="str">
        <f aca="false">IF(A246="","",R245)</f>
        <v/>
      </c>
      <c r="T245" s="200" t="str">
        <f aca="false">IF($A246="","",VLOOKUP($A245,Table,MATCH(T$4,Curves,0)))</f>
        <v/>
      </c>
      <c r="U245" s="201" t="str">
        <f aca="false">IF(A246="","",T245)</f>
        <v/>
      </c>
      <c r="V245" s="205" t="str">
        <f aca="false">IF($A246="","",IF(AND(MONTH(A245)&gt;3,MONTH(A245)&lt;11),(T245+R245+G245)*Summary!$T$10/(1-Summary!$T$10),(T245+R245+G245)*Summary!$U$10/(1-Summary!$U$10)))</f>
        <v/>
      </c>
      <c r="W245" s="200" t="str">
        <f aca="false">IF($A246="","",(T245+R245+G245+V245))</f>
        <v/>
      </c>
      <c r="X245" s="200" t="str">
        <f aca="false">IF($A246="","",(U245+S245+H245+V245))</f>
        <v/>
      </c>
      <c r="Y245" s="202"/>
      <c r="Z245" s="185" t="str">
        <f aca="false">IF($A246="","",VLOOKUP($A245,Table,MATCH(Z$4,Curves,0)))</f>
        <v/>
      </c>
      <c r="AA245" s="185" t="str">
        <f aca="false">IF($A246="","",VLOOKUP($A245,Table,MATCH(AA$4,Curves,0)))</f>
        <v/>
      </c>
      <c r="AB245" s="185" t="e">
        <f aca="false">SQRT((AA245^2*(A245-$D$3)+Z245^2*(DAY(EOMONTH(A245,0))/2))/AK245)</f>
        <v>#VALUE!</v>
      </c>
      <c r="AC245" s="185" t="str">
        <f aca="false">IF($A246="","",VLOOKUP($A245,Table,MATCH(AC$4,Curves,0)))</f>
        <v/>
      </c>
      <c r="AD245" s="185" t="str">
        <f aca="false">IF($A246="","",VLOOKUP($A245,Table,MATCH(AD$4,Curves,0)))</f>
        <v/>
      </c>
      <c r="AE245" s="185" t="e">
        <f aca="false">SQRT((AD245^2*(A245-$D$3)+AC245^2*(DAY(EOMONTH(A245,0))/2))/AK245)</f>
        <v>#VALUE!</v>
      </c>
      <c r="AF245" s="224" t="e">
        <f aca="false">((Summary!$N$10*(AA245*AD245)*(A245-$D$3))+(Summary!$M$10*Z245*AC245*(AJ245-EOMONTH(EDATE(A245,-1),0))))/(AK245*AB245*AE245)</f>
        <v>#VALUE!</v>
      </c>
      <c r="AG245" s="207" t="str">
        <f aca="false">IF($A246="","",Summary!$Q$10)</f>
        <v/>
      </c>
      <c r="AH245" s="207" t="str">
        <f aca="false">IF($A246="","",IF(Summary!$R$10="Y",(VLOOKUP($A245,Summary!$AD$6:$AF$9,3)+'Escalating commodity'!F258),'Escalating commodity'!F258))</f>
        <v/>
      </c>
      <c r="AI245" s="207" t="str">
        <f aca="false">IF($A246="","",AH245)</f>
        <v/>
      </c>
      <c r="AJ245" s="208" t="e">
        <f aca="false">A245+DAY(EOMONTH(A245,0))/2-1</f>
        <v>#VALUE!</v>
      </c>
      <c r="AK245" s="209" t="str">
        <f aca="false">IF($A246="","",$A245-$E$1)</f>
        <v/>
      </c>
      <c r="AL245" s="182" t="str">
        <f aca="false">IF($A246="","",SPRDOPT(P245,X245,AI245,0,AB245,AE245,AF245,AK245,$AJ$2,0))</f>
        <v/>
      </c>
      <c r="AM245" s="211" t="str">
        <f aca="false">IF($A246="","",MAX(0,O245-W245-AI245))</f>
        <v/>
      </c>
      <c r="AN245" s="211" t="str">
        <f aca="false">IF($A246="","",AL245-AM245)</f>
        <v/>
      </c>
      <c r="AO245" s="137" t="str">
        <f aca="false">IF(A246="","",A246-A245)</f>
        <v/>
      </c>
      <c r="AP245" s="212" t="str">
        <f aca="false">IF(A246="","",CHOOSE(F$3,A246+24,A245))</f>
        <v/>
      </c>
      <c r="AQ245" s="209" t="str">
        <f aca="false">IF(A246="","",AP245-$E$1)</f>
        <v/>
      </c>
      <c r="AR245" s="185" t="n">
        <f aca="false">'ANR OK vs ML7'!AR245</f>
        <v>0.1</v>
      </c>
      <c r="AS245" s="213" t="str">
        <f aca="false">IF(A246="","",1/(1+CHOOSE(F$3,(AR246+($I$3/10000))/2,(AR245+($I$3/10000))/2))^(2*AQ245/365.25))</f>
        <v/>
      </c>
      <c r="AT245" s="137" t="str">
        <f aca="false">IF(A246="","",IF(AND(mthbeg&lt;=A245,mthend&gt;=A245),1,0))</f>
        <v/>
      </c>
      <c r="AU245" s="137" t="str">
        <f aca="false">IF(A246="","",AO245*AT245)</f>
        <v/>
      </c>
      <c r="AW245" s="195" t="str">
        <f aca="false">IF($A246="","",AL245*$E245)</f>
        <v/>
      </c>
      <c r="AX245" s="195" t="str">
        <f aca="false">IF($A246="","",AM245*$E245)</f>
        <v/>
      </c>
      <c r="AY245" s="195" t="str">
        <f aca="false">IF($A246="","",AN245*$E245)</f>
        <v/>
      </c>
      <c r="BA245" s="195" t="str">
        <f aca="false">IF($A246="","",F245*Summary!$Q$10)</f>
        <v/>
      </c>
    </row>
    <row r="246" customFormat="false" ht="12" hidden="false" customHeight="true" outlineLevel="0" collapsed="false">
      <c r="A246" s="196" t="str">
        <f aca="false">IF(A245&lt;mthend,EDATE(A245,1),"")</f>
        <v/>
      </c>
      <c r="B246" s="197" t="str">
        <f aca="false">IF(A246&lt;mthend,B245,"")</f>
        <v/>
      </c>
      <c r="C246" s="215"/>
      <c r="D246" s="197" t="str">
        <f aca="false">IF(A247&lt;&gt;"",B246+C246,"")</f>
        <v/>
      </c>
      <c r="E246" s="199" t="str">
        <f aca="false">IF(A247="","",IF(AND(AT246=1,$H$3=1),D246*AO246,IF($H$3=2,D246,"N/A")))</f>
        <v/>
      </c>
      <c r="F246" s="199" t="str">
        <f aca="false">IF(A247="","",E246*AS246)</f>
        <v/>
      </c>
      <c r="G246" s="200" t="str">
        <f aca="false">IF($A247="","",VLOOKUP($A246,Table,MATCH(G$4,Curves,0)))</f>
        <v/>
      </c>
      <c r="H246" s="201" t="str">
        <f aca="false">IF(A247="","",G246)</f>
        <v/>
      </c>
      <c r="I246" s="202"/>
      <c r="J246" s="200" t="str">
        <f aca="false">IF($A247="","",VLOOKUP($A246,Table,MATCH(J$4,Curves,0)))</f>
        <v/>
      </c>
      <c r="K246" s="201" t="str">
        <f aca="false">IF(A247="","",J246)</f>
        <v/>
      </c>
      <c r="L246" s="185" t="n">
        <v>0</v>
      </c>
      <c r="M246" s="201" t="str">
        <f aca="false">IF(A247="","",L246)</f>
        <v/>
      </c>
      <c r="N246" s="203"/>
      <c r="O246" s="200" t="str">
        <f aca="false">IF(A247="","",L246+J246+G246)</f>
        <v/>
      </c>
      <c r="P246" s="200" t="str">
        <f aca="false">IF(A247="","",M246+K246+H246)</f>
        <v/>
      </c>
      <c r="Q246" s="204"/>
      <c r="R246" s="200" t="str">
        <f aca="false">IF($A247="","",VLOOKUP($A246,Table,MATCH(R$4,Curves,0)))</f>
        <v/>
      </c>
      <c r="S246" s="201" t="str">
        <f aca="false">IF(A247="","",R246)</f>
        <v/>
      </c>
      <c r="T246" s="200" t="str">
        <f aca="false">IF($A247="","",VLOOKUP($A246,Table,MATCH(T$4,Curves,0)))</f>
        <v/>
      </c>
      <c r="U246" s="201" t="str">
        <f aca="false">IF(A247="","",T246)</f>
        <v/>
      </c>
      <c r="V246" s="205" t="str">
        <f aca="false">IF($A247="","",IF(AND(MONTH(A246)&gt;3,MONTH(A246)&lt;11),(T246+R246+G246)*Summary!$T$10/(1-Summary!$T$10),(T246+R246+G246)*Summary!$U$10/(1-Summary!$U$10)))</f>
        <v/>
      </c>
      <c r="W246" s="200" t="str">
        <f aca="false">IF($A247="","",(T246+R246+G246+V246))</f>
        <v/>
      </c>
      <c r="X246" s="200" t="str">
        <f aca="false">IF($A247="","",(U246+S246+H246+V246))</f>
        <v/>
      </c>
      <c r="Y246" s="202"/>
      <c r="Z246" s="185" t="str">
        <f aca="false">IF($A247="","",VLOOKUP($A246,Table,MATCH(Z$4,Curves,0)))</f>
        <v/>
      </c>
      <c r="AA246" s="185" t="str">
        <f aca="false">IF($A247="","",VLOOKUP($A246,Table,MATCH(AA$4,Curves,0)))</f>
        <v/>
      </c>
      <c r="AB246" s="185" t="e">
        <f aca="false">SQRT((AA246^2*(A246-$D$3)+Z246^2*(DAY(EOMONTH(A246,0))/2))/AK246)</f>
        <v>#VALUE!</v>
      </c>
      <c r="AC246" s="185" t="str">
        <f aca="false">IF($A247="","",VLOOKUP($A246,Table,MATCH(AC$4,Curves,0)))</f>
        <v/>
      </c>
      <c r="AD246" s="185" t="str">
        <f aca="false">IF($A247="","",VLOOKUP($A246,Table,MATCH(AD$4,Curves,0)))</f>
        <v/>
      </c>
      <c r="AE246" s="185" t="e">
        <f aca="false">SQRT((AD246^2*(A246-$D$3)+AC246^2*(DAY(EOMONTH(A246,0))/2))/AK246)</f>
        <v>#VALUE!</v>
      </c>
      <c r="AF246" s="224" t="e">
        <f aca="false">((Summary!$N$10*(AA246*AD246)*(A246-$D$3))+(Summary!$M$10*Z246*AC246*(AJ246-EOMONTH(EDATE(A246,-1),0))))/(AK246*AB246*AE246)</f>
        <v>#VALUE!</v>
      </c>
      <c r="AG246" s="207" t="str">
        <f aca="false">IF($A247="","",Summary!$Q$10)</f>
        <v/>
      </c>
      <c r="AH246" s="207" t="str">
        <f aca="false">IF($A247="","",IF(Summary!$R$10="Y",(VLOOKUP($A246,Summary!$AD$6:$AF$9,3)+'Escalating commodity'!F259),'Escalating commodity'!F259))</f>
        <v/>
      </c>
      <c r="AI246" s="207" t="str">
        <f aca="false">IF($A247="","",AH246)</f>
        <v/>
      </c>
      <c r="AJ246" s="208" t="e">
        <f aca="false">A246+DAY(EOMONTH(A246,0))/2-1</f>
        <v>#VALUE!</v>
      </c>
      <c r="AK246" s="209" t="str">
        <f aca="false">IF($A247="","",$A246-$E$1)</f>
        <v/>
      </c>
      <c r="AL246" s="182" t="str">
        <f aca="false">IF($A247="","",SPRDOPT(P246,X246,AI246,0,AB246,AE246,AF246,AK246,$AJ$2,0))</f>
        <v/>
      </c>
      <c r="AM246" s="211" t="str">
        <f aca="false">IF($A247="","",MAX(0,O246-W246-AI246))</f>
        <v/>
      </c>
      <c r="AN246" s="211" t="str">
        <f aca="false">IF($A247="","",AL246-AM246)</f>
        <v/>
      </c>
      <c r="AO246" s="137" t="str">
        <f aca="false">IF(A247="","",A247-A246)</f>
        <v/>
      </c>
      <c r="AP246" s="212" t="str">
        <f aca="false">IF(A247="","",CHOOSE(F$3,A247+24,A246))</f>
        <v/>
      </c>
      <c r="AQ246" s="209" t="str">
        <f aca="false">IF(A247="","",AP246-$E$1)</f>
        <v/>
      </c>
      <c r="AR246" s="185" t="n">
        <f aca="false">'ANR OK vs ML7'!AR246</f>
        <v>0.1</v>
      </c>
      <c r="AS246" s="213" t="str">
        <f aca="false">IF(A247="","",1/(1+CHOOSE(F$3,(AR247+($I$3/10000))/2,(AR246+($I$3/10000))/2))^(2*AQ246/365.25))</f>
        <v/>
      </c>
      <c r="AT246" s="137" t="str">
        <f aca="false">IF(A247="","",IF(AND(mthbeg&lt;=A246,mthend&gt;=A246),1,0))</f>
        <v/>
      </c>
      <c r="AU246" s="137" t="str">
        <f aca="false">IF(A247="","",AO246*AT246)</f>
        <v/>
      </c>
      <c r="AW246" s="195" t="str">
        <f aca="false">IF($A247="","",AL246*$E246)</f>
        <v/>
      </c>
      <c r="AX246" s="195" t="str">
        <f aca="false">IF($A247="","",AM246*$E246)</f>
        <v/>
      </c>
      <c r="AY246" s="195" t="str">
        <f aca="false">IF($A247="","",AN246*$E246)</f>
        <v/>
      </c>
      <c r="BA246" s="195" t="str">
        <f aca="false">IF($A247="","",F246*Summary!$Q$10)</f>
        <v/>
      </c>
    </row>
    <row r="247" customFormat="false" ht="12" hidden="false" customHeight="true" outlineLevel="0" collapsed="false">
      <c r="A247" s="196" t="str">
        <f aca="false">IF(A246&lt;mthend,EDATE(A246,1),"")</f>
        <v/>
      </c>
      <c r="B247" s="197" t="str">
        <f aca="false">IF(A247&lt;mthend,B246,"")</f>
        <v/>
      </c>
      <c r="C247" s="215"/>
      <c r="D247" s="197" t="str">
        <f aca="false">IF(A248&lt;&gt;"",B247+C247,"")</f>
        <v/>
      </c>
      <c r="E247" s="199" t="str">
        <f aca="false">IF(A248="","",IF(AND(AT247=1,$H$3=1),D247*AO247,IF($H$3=2,D247,"N/A")))</f>
        <v/>
      </c>
      <c r="F247" s="199" t="str">
        <f aca="false">IF(A248="","",E247*AS247)</f>
        <v/>
      </c>
      <c r="G247" s="200" t="str">
        <f aca="false">IF($A248="","",VLOOKUP($A247,Table,MATCH(G$4,Curves,0)))</f>
        <v/>
      </c>
      <c r="H247" s="201" t="str">
        <f aca="false">IF(A248="","",G247)</f>
        <v/>
      </c>
      <c r="I247" s="202"/>
      <c r="J247" s="200" t="str">
        <f aca="false">IF($A248="","",VLOOKUP($A247,Table,MATCH(J$4,Curves,0)))</f>
        <v/>
      </c>
      <c r="K247" s="201" t="str">
        <f aca="false">IF(A248="","",J247)</f>
        <v/>
      </c>
      <c r="L247" s="185" t="n">
        <v>0</v>
      </c>
      <c r="M247" s="201" t="str">
        <f aca="false">IF(A248="","",L247)</f>
        <v/>
      </c>
      <c r="N247" s="203"/>
      <c r="O247" s="200" t="str">
        <f aca="false">IF(A248="","",L247+J247+G247)</f>
        <v/>
      </c>
      <c r="P247" s="200" t="str">
        <f aca="false">IF(A248="","",M247+K247+H247)</f>
        <v/>
      </c>
      <c r="Q247" s="204"/>
      <c r="R247" s="200" t="str">
        <f aca="false">IF($A248="","",VLOOKUP($A247,Table,MATCH(R$4,Curves,0)))</f>
        <v/>
      </c>
      <c r="S247" s="201" t="str">
        <f aca="false">IF(A248="","",R247)</f>
        <v/>
      </c>
      <c r="T247" s="200" t="str">
        <f aca="false">IF($A248="","",VLOOKUP($A247,Table,MATCH(T$4,Curves,0)))</f>
        <v/>
      </c>
      <c r="U247" s="201" t="str">
        <f aca="false">IF(A248="","",T247)</f>
        <v/>
      </c>
      <c r="V247" s="205" t="str">
        <f aca="false">IF($A248="","",IF(AND(MONTH(A247)&gt;3,MONTH(A247)&lt;11),(T247+R247+G247)*Summary!$T$10/(1-Summary!$T$10),(T247+R247+G247)*Summary!$U$10/(1-Summary!$U$10)))</f>
        <v/>
      </c>
      <c r="W247" s="200" t="str">
        <f aca="false">IF($A248="","",(T247+R247+G247+V247))</f>
        <v/>
      </c>
      <c r="X247" s="200" t="str">
        <f aca="false">IF($A248="","",(U247+S247+H247+V247))</f>
        <v/>
      </c>
      <c r="Y247" s="202"/>
      <c r="Z247" s="185" t="str">
        <f aca="false">IF($A248="","",VLOOKUP($A247,Table,MATCH(Z$4,Curves,0)))</f>
        <v/>
      </c>
      <c r="AA247" s="185" t="str">
        <f aca="false">IF($A248="","",VLOOKUP($A247,Table,MATCH(AA$4,Curves,0)))</f>
        <v/>
      </c>
      <c r="AB247" s="185" t="e">
        <f aca="false">SQRT((AA247^2*(A247-$D$3)+Z247^2*(DAY(EOMONTH(A247,0))/2))/AK247)</f>
        <v>#VALUE!</v>
      </c>
      <c r="AC247" s="185" t="str">
        <f aca="false">IF($A248="","",VLOOKUP($A247,Table,MATCH(AC$4,Curves,0)))</f>
        <v/>
      </c>
      <c r="AD247" s="185" t="str">
        <f aca="false">IF($A248="","",VLOOKUP($A247,Table,MATCH(AD$4,Curves,0)))</f>
        <v/>
      </c>
      <c r="AE247" s="185" t="e">
        <f aca="false">SQRT((AD247^2*(A247-$D$3)+AC247^2*(DAY(EOMONTH(A247,0))/2))/AK247)</f>
        <v>#VALUE!</v>
      </c>
      <c r="AF247" s="224" t="e">
        <f aca="false">((Summary!$N$10*(AA247*AD247)*(A247-$D$3))+(Summary!$M$10*Z247*AC247*(AJ247-EOMONTH(EDATE(A247,-1),0))))/(AK247*AB247*AE247)</f>
        <v>#VALUE!</v>
      </c>
      <c r="AG247" s="207" t="str">
        <f aca="false">IF($A248="","",Summary!$Q$10)</f>
        <v/>
      </c>
      <c r="AH247" s="207" t="str">
        <f aca="false">IF($A248="","",IF(Summary!$R$10="Y",(VLOOKUP($A247,Summary!$AD$6:$AF$9,3)+'Escalating commodity'!F260),'Escalating commodity'!F260))</f>
        <v/>
      </c>
      <c r="AI247" s="207" t="str">
        <f aca="false">IF($A248="","",AH247)</f>
        <v/>
      </c>
      <c r="AJ247" s="208" t="e">
        <f aca="false">A247+DAY(EOMONTH(A247,0))/2-1</f>
        <v>#VALUE!</v>
      </c>
      <c r="AK247" s="209" t="str">
        <f aca="false">IF($A248="","",$A247-$E$1)</f>
        <v/>
      </c>
      <c r="AL247" s="182" t="str">
        <f aca="false">IF($A248="","",SPRDOPT(P247,X247,AI247,0,AB247,AE247,AF247,AK247,$AJ$2,0))</f>
        <v/>
      </c>
      <c r="AM247" s="211" t="str">
        <f aca="false">IF($A248="","",MAX(0,O247-W247-AI247))</f>
        <v/>
      </c>
      <c r="AN247" s="211" t="str">
        <f aca="false">IF($A248="","",AL247-AM247)</f>
        <v/>
      </c>
      <c r="AO247" s="137" t="str">
        <f aca="false">IF(A248="","",A248-A247)</f>
        <v/>
      </c>
      <c r="AP247" s="212" t="str">
        <f aca="false">IF(A248="","",CHOOSE(F$3,A248+24,A247))</f>
        <v/>
      </c>
      <c r="AQ247" s="209" t="str">
        <f aca="false">IF(A248="","",AP247-$E$1)</f>
        <v/>
      </c>
      <c r="AR247" s="185" t="n">
        <f aca="false">'ANR OK vs ML7'!AR247</f>
        <v>0.1</v>
      </c>
      <c r="AS247" s="213" t="str">
        <f aca="false">IF(A248="","",1/(1+CHOOSE(F$3,(AR248+($I$3/10000))/2,(AR247+($I$3/10000))/2))^(2*AQ247/365.25))</f>
        <v/>
      </c>
      <c r="AT247" s="137" t="str">
        <f aca="false">IF(A248="","",IF(AND(mthbeg&lt;=A247,mthend&gt;=A247),1,0))</f>
        <v/>
      </c>
      <c r="AU247" s="137" t="str">
        <f aca="false">IF(A248="","",AO247*AT247)</f>
        <v/>
      </c>
      <c r="AW247" s="195" t="str">
        <f aca="false">IF($A248="","",AL247*$E247)</f>
        <v/>
      </c>
      <c r="AX247" s="195" t="str">
        <f aca="false">IF($A248="","",AM247*$E247)</f>
        <v/>
      </c>
      <c r="AY247" s="195" t="str">
        <f aca="false">IF($A248="","",AN247*$E247)</f>
        <v/>
      </c>
      <c r="BA247" s="195" t="str">
        <f aca="false">IF($A248="","",F247*Summary!$Q$10)</f>
        <v/>
      </c>
    </row>
    <row r="248" customFormat="false" ht="12" hidden="false" customHeight="true" outlineLevel="0" collapsed="false">
      <c r="A248" s="196" t="str">
        <f aca="false">IF(A247&lt;mthend,EDATE(A247,1),"")</f>
        <v/>
      </c>
      <c r="B248" s="197" t="str">
        <f aca="false">IF(A248&lt;mthend,B247,"")</f>
        <v/>
      </c>
      <c r="C248" s="215"/>
      <c r="D248" s="197" t="str">
        <f aca="false">IF(A249&lt;&gt;"",B248+C248,"")</f>
        <v/>
      </c>
      <c r="E248" s="199" t="str">
        <f aca="false">IF(A249="","",IF(AND(AT248=1,$H$3=1),D248*AO248,IF($H$3=2,D248,"N/A")))</f>
        <v/>
      </c>
      <c r="F248" s="199" t="str">
        <f aca="false">IF(A249="","",E248*AS248)</f>
        <v/>
      </c>
      <c r="G248" s="200" t="str">
        <f aca="false">IF($A249="","",VLOOKUP($A248,Table,MATCH(G$4,Curves,0)))</f>
        <v/>
      </c>
      <c r="H248" s="201" t="str">
        <f aca="false">IF(A249="","",G248)</f>
        <v/>
      </c>
      <c r="I248" s="202"/>
      <c r="J248" s="200" t="str">
        <f aca="false">IF($A249="","",VLOOKUP($A248,Table,MATCH(J$4,Curves,0)))</f>
        <v/>
      </c>
      <c r="K248" s="201" t="str">
        <f aca="false">IF(A249="","",J248)</f>
        <v/>
      </c>
      <c r="L248" s="185" t="n">
        <v>0</v>
      </c>
      <c r="M248" s="201" t="str">
        <f aca="false">IF(A249="","",L248)</f>
        <v/>
      </c>
      <c r="N248" s="203"/>
      <c r="O248" s="200" t="str">
        <f aca="false">IF(A249="","",L248+J248+G248)</f>
        <v/>
      </c>
      <c r="P248" s="200" t="str">
        <f aca="false">IF(A249="","",M248+K248+H248)</f>
        <v/>
      </c>
      <c r="Q248" s="204"/>
      <c r="R248" s="200" t="str">
        <f aca="false">IF($A249="","",VLOOKUP($A248,Table,MATCH(R$4,Curves,0)))</f>
        <v/>
      </c>
      <c r="S248" s="201" t="str">
        <f aca="false">IF(A249="","",R248)</f>
        <v/>
      </c>
      <c r="T248" s="200" t="str">
        <f aca="false">IF($A249="","",VLOOKUP($A248,Table,MATCH(T$4,Curves,0)))</f>
        <v/>
      </c>
      <c r="U248" s="201" t="str">
        <f aca="false">IF(A249="","",T248)</f>
        <v/>
      </c>
      <c r="V248" s="205" t="str">
        <f aca="false">IF($A249="","",IF(AND(MONTH(A248)&gt;3,MONTH(A248)&lt;11),(T248+R248+G248)*Summary!$T$10/(1-Summary!$T$10),(T248+R248+G248)*Summary!$U$10/(1-Summary!$U$10)))</f>
        <v/>
      </c>
      <c r="W248" s="200" t="str">
        <f aca="false">IF($A249="","",(T248+R248+G248+V248))</f>
        <v/>
      </c>
      <c r="X248" s="200" t="str">
        <f aca="false">IF($A249="","",(U248+S248+H248+V248))</f>
        <v/>
      </c>
      <c r="Y248" s="202"/>
      <c r="Z248" s="185" t="str">
        <f aca="false">IF($A249="","",VLOOKUP($A248,Table,MATCH(Z$4,Curves,0)))</f>
        <v/>
      </c>
      <c r="AA248" s="185" t="str">
        <f aca="false">IF($A249="","",VLOOKUP($A248,Table,MATCH(AA$4,Curves,0)))</f>
        <v/>
      </c>
      <c r="AB248" s="185" t="e">
        <f aca="false">SQRT((AA248^2*(A248-$D$3)+Z248^2*(DAY(EOMONTH(A248,0))/2))/AK248)</f>
        <v>#VALUE!</v>
      </c>
      <c r="AC248" s="185" t="str">
        <f aca="false">IF($A249="","",VLOOKUP($A248,Table,MATCH(AC$4,Curves,0)))</f>
        <v/>
      </c>
      <c r="AD248" s="185" t="str">
        <f aca="false">IF($A249="","",VLOOKUP($A248,Table,MATCH(AD$4,Curves,0)))</f>
        <v/>
      </c>
      <c r="AE248" s="185" t="e">
        <f aca="false">SQRT((AD248^2*(A248-$D$3)+AC248^2*(DAY(EOMONTH(A248,0))/2))/AK248)</f>
        <v>#VALUE!</v>
      </c>
      <c r="AF248" s="224" t="e">
        <f aca="false">((Summary!$N$10*(AA248*AD248)*(A248-$D$3))+(Summary!$M$10*Z248*AC248*(AJ248-EOMONTH(EDATE(A248,-1),0))))/(AK248*AB248*AE248)</f>
        <v>#VALUE!</v>
      </c>
      <c r="AG248" s="207" t="str">
        <f aca="false">IF($A249="","",Summary!$Q$10)</f>
        <v/>
      </c>
      <c r="AH248" s="207" t="str">
        <f aca="false">IF($A249="","",IF(Summary!$R$10="Y",(VLOOKUP($A248,Summary!$AD$6:$AF$9,3)+'Escalating commodity'!F261),'Escalating commodity'!F261))</f>
        <v/>
      </c>
      <c r="AI248" s="207" t="str">
        <f aca="false">IF($A249="","",AH248)</f>
        <v/>
      </c>
      <c r="AJ248" s="208" t="e">
        <f aca="false">A248+DAY(EOMONTH(A248,0))/2-1</f>
        <v>#VALUE!</v>
      </c>
      <c r="AK248" s="209" t="str">
        <f aca="false">IF($A249="","",$A248-$E$1)</f>
        <v/>
      </c>
      <c r="AL248" s="182" t="str">
        <f aca="false">IF($A249="","",SPRDOPT(P248,X248,AI248,0,AB248,AE248,AF248,AK248,$AJ$2,0))</f>
        <v/>
      </c>
      <c r="AM248" s="211" t="str">
        <f aca="false">IF($A249="","",MAX(0,O248-W248-AI248))</f>
        <v/>
      </c>
      <c r="AN248" s="211" t="str">
        <f aca="false">IF($A249="","",AL248-AM248)</f>
        <v/>
      </c>
      <c r="AO248" s="137" t="str">
        <f aca="false">IF(A249="","",A249-A248)</f>
        <v/>
      </c>
      <c r="AP248" s="212" t="str">
        <f aca="false">IF(A249="","",CHOOSE(F$3,A249+24,A248))</f>
        <v/>
      </c>
      <c r="AQ248" s="209" t="str">
        <f aca="false">IF(A249="","",AP248-$E$1)</f>
        <v/>
      </c>
      <c r="AR248" s="185" t="n">
        <f aca="false">'ANR OK vs ML7'!AR248</f>
        <v>0.1</v>
      </c>
      <c r="AS248" s="213" t="str">
        <f aca="false">IF(A249="","",1/(1+CHOOSE(F$3,(AR249+($I$3/10000))/2,(AR248+($I$3/10000))/2))^(2*AQ248/365.25))</f>
        <v/>
      </c>
      <c r="AT248" s="137" t="str">
        <f aca="false">IF(A249="","",IF(AND(mthbeg&lt;=A248,mthend&gt;=A248),1,0))</f>
        <v/>
      </c>
      <c r="AU248" s="137" t="str">
        <f aca="false">IF(A249="","",AO248*AT248)</f>
        <v/>
      </c>
      <c r="AW248" s="195" t="str">
        <f aca="false">IF($A249="","",AL248*$E248)</f>
        <v/>
      </c>
      <c r="AX248" s="195" t="str">
        <f aca="false">IF($A249="","",AM248*$E248)</f>
        <v/>
      </c>
      <c r="AY248" s="195" t="str">
        <f aca="false">IF($A249="","",AN248*$E248)</f>
        <v/>
      </c>
      <c r="BA248" s="195" t="str">
        <f aca="false">IF($A249="","",F248*Summary!$Q$10)</f>
        <v/>
      </c>
    </row>
    <row r="249" customFormat="false" ht="12" hidden="false" customHeight="true" outlineLevel="0" collapsed="false">
      <c r="A249" s="196" t="str">
        <f aca="false">IF(A248&lt;mthend,EDATE(A248,1),"")</f>
        <v/>
      </c>
      <c r="B249" s="197" t="str">
        <f aca="false">IF(A249&lt;mthend,B248,"")</f>
        <v/>
      </c>
      <c r="C249" s="215"/>
      <c r="D249" s="197" t="str">
        <f aca="false">IF(A250&lt;&gt;"",B249+C249,"")</f>
        <v/>
      </c>
      <c r="E249" s="199" t="str">
        <f aca="false">IF(A250="","",IF(AND(AT249=1,$H$3=1),D249*AO249,IF($H$3=2,D249,"N/A")))</f>
        <v/>
      </c>
      <c r="F249" s="199" t="str">
        <f aca="false">IF(A250="","",E249*AS249)</f>
        <v/>
      </c>
      <c r="G249" s="200" t="str">
        <f aca="false">IF($A250="","",VLOOKUP($A249,Table,MATCH(G$4,Curves,0)))</f>
        <v/>
      </c>
      <c r="H249" s="201" t="str">
        <f aca="false">IF(A250="","",G249)</f>
        <v/>
      </c>
      <c r="I249" s="202"/>
      <c r="J249" s="200" t="str">
        <f aca="false">IF($A250="","",VLOOKUP($A249,Table,MATCH(J$4,Curves,0)))</f>
        <v/>
      </c>
      <c r="K249" s="201" t="str">
        <f aca="false">IF(A250="","",J249)</f>
        <v/>
      </c>
      <c r="L249" s="185" t="n">
        <v>0</v>
      </c>
      <c r="M249" s="201" t="str">
        <f aca="false">IF(A250="","",L249)</f>
        <v/>
      </c>
      <c r="N249" s="203"/>
      <c r="O249" s="200" t="str">
        <f aca="false">IF(A250="","",L249+J249+G249)</f>
        <v/>
      </c>
      <c r="P249" s="200" t="str">
        <f aca="false">IF(A250="","",M249+K249+H249)</f>
        <v/>
      </c>
      <c r="Q249" s="204"/>
      <c r="R249" s="200" t="str">
        <f aca="false">IF($A250="","",VLOOKUP($A249,Table,MATCH(R$4,Curves,0)))</f>
        <v/>
      </c>
      <c r="S249" s="201" t="str">
        <f aca="false">IF(A250="","",R249)</f>
        <v/>
      </c>
      <c r="T249" s="200" t="str">
        <f aca="false">IF($A250="","",VLOOKUP($A249,Table,MATCH(T$4,Curves,0)))</f>
        <v/>
      </c>
      <c r="U249" s="201" t="str">
        <f aca="false">IF(A250="","",T249)</f>
        <v/>
      </c>
      <c r="V249" s="205" t="str">
        <f aca="false">IF($A250="","",IF(AND(MONTH(A249)&gt;3,MONTH(A249)&lt;11),(T249+R249+G249)*Summary!$T$10/(1-Summary!$T$10),(T249+R249+G249)*Summary!$U$10/(1-Summary!$U$10)))</f>
        <v/>
      </c>
      <c r="W249" s="200" t="str">
        <f aca="false">IF($A250="","",(T249+R249+G249+V249))</f>
        <v/>
      </c>
      <c r="X249" s="200" t="str">
        <f aca="false">IF($A250="","",(U249+S249+H249+V249))</f>
        <v/>
      </c>
      <c r="Y249" s="202"/>
      <c r="Z249" s="185" t="str">
        <f aca="false">IF($A250="","",VLOOKUP($A249,Table,MATCH(Z$4,Curves,0)))</f>
        <v/>
      </c>
      <c r="AA249" s="185" t="str">
        <f aca="false">IF($A250="","",VLOOKUP($A249,Table,MATCH(AA$4,Curves,0)))</f>
        <v/>
      </c>
      <c r="AB249" s="185" t="e">
        <f aca="false">SQRT((AA249^2*(A249-$D$3)+Z249^2*(DAY(EOMONTH(A249,0))/2))/AK249)</f>
        <v>#VALUE!</v>
      </c>
      <c r="AC249" s="185" t="str">
        <f aca="false">IF($A250="","",VLOOKUP($A249,Table,MATCH(AC$4,Curves,0)))</f>
        <v/>
      </c>
      <c r="AD249" s="185" t="str">
        <f aca="false">IF($A250="","",VLOOKUP($A249,Table,MATCH(AD$4,Curves,0)))</f>
        <v/>
      </c>
      <c r="AE249" s="185" t="e">
        <f aca="false">SQRT((AD249^2*(A249-$D$3)+AC249^2*(DAY(EOMONTH(A249,0))/2))/AK249)</f>
        <v>#VALUE!</v>
      </c>
      <c r="AF249" s="224" t="e">
        <f aca="false">((Summary!$N$10*(AA249*AD249)*(A249-$D$3))+(Summary!$M$10*Z249*AC249*(AJ249-EOMONTH(EDATE(A249,-1),0))))/(AK249*AB249*AE249)</f>
        <v>#VALUE!</v>
      </c>
      <c r="AG249" s="207" t="str">
        <f aca="false">IF($A250="","",Summary!$Q$10)</f>
        <v/>
      </c>
      <c r="AH249" s="207" t="str">
        <f aca="false">IF($A250="","",IF(Summary!$R$10="Y",(VLOOKUP($A249,Summary!$AD$6:$AF$9,3)+'Escalating commodity'!F262),'Escalating commodity'!F262))</f>
        <v/>
      </c>
      <c r="AI249" s="207" t="str">
        <f aca="false">IF($A250="","",AH249)</f>
        <v/>
      </c>
      <c r="AJ249" s="208" t="e">
        <f aca="false">A249+DAY(EOMONTH(A249,0))/2-1</f>
        <v>#VALUE!</v>
      </c>
      <c r="AK249" s="209" t="str">
        <f aca="false">IF($A250="","",$A249-$E$1)</f>
        <v/>
      </c>
      <c r="AL249" s="182" t="str">
        <f aca="false">IF($A250="","",SPRDOPT(P249,X249,AI249,0,AB249,AE249,AF249,AK249,$AJ$2,0))</f>
        <v/>
      </c>
      <c r="AM249" s="211" t="str">
        <f aca="false">IF($A250="","",MAX(0,O249-W249-AI249))</f>
        <v/>
      </c>
      <c r="AN249" s="211" t="str">
        <f aca="false">IF($A250="","",AL249-AM249)</f>
        <v/>
      </c>
      <c r="AO249" s="137" t="str">
        <f aca="false">IF(A250="","",A250-A249)</f>
        <v/>
      </c>
      <c r="AP249" s="212" t="str">
        <f aca="false">IF(A250="","",CHOOSE(F$3,A250+24,A249))</f>
        <v/>
      </c>
      <c r="AQ249" s="209" t="str">
        <f aca="false">IF(A250="","",AP249-$E$1)</f>
        <v/>
      </c>
      <c r="AR249" s="185" t="n">
        <f aca="false">'ANR OK vs ML7'!AR249</f>
        <v>0.1</v>
      </c>
      <c r="AS249" s="213" t="str">
        <f aca="false">IF(A250="","",1/(1+CHOOSE(F$3,(AR250+($I$3/10000))/2,(AR249+($I$3/10000))/2))^(2*AQ249/365.25))</f>
        <v/>
      </c>
      <c r="AT249" s="137" t="str">
        <f aca="false">IF(A250="","",IF(AND(mthbeg&lt;=A249,mthend&gt;=A249),1,0))</f>
        <v/>
      </c>
      <c r="AU249" s="137" t="str">
        <f aca="false">IF(A250="","",AO249*AT249)</f>
        <v/>
      </c>
      <c r="AW249" s="195" t="str">
        <f aca="false">IF($A250="","",AL249*$E249)</f>
        <v/>
      </c>
      <c r="AX249" s="195" t="str">
        <f aca="false">IF($A250="","",AM249*$E249)</f>
        <v/>
      </c>
      <c r="AY249" s="195" t="str">
        <f aca="false">IF($A250="","",AN249*$E249)</f>
        <v/>
      </c>
      <c r="BA249" s="195" t="str">
        <f aca="false">IF($A250="","",F249*Summary!$Q$10)</f>
        <v/>
      </c>
    </row>
    <row r="250" customFormat="false" ht="12" hidden="false" customHeight="true" outlineLevel="0" collapsed="false">
      <c r="A250" s="196" t="str">
        <f aca="false">IF(A249&lt;mthend,EDATE(A249,1),"")</f>
        <v/>
      </c>
      <c r="B250" s="197" t="str">
        <f aca="false">IF(A250&lt;mthend,B249,"")</f>
        <v/>
      </c>
      <c r="C250" s="215"/>
      <c r="D250" s="197" t="str">
        <f aca="false">IF(A251&lt;&gt;"",B250+C250,"")</f>
        <v/>
      </c>
      <c r="E250" s="199" t="str">
        <f aca="false">IF(A251="","",IF(AND(AT250=1,$H$3=1),D250*AO250,IF($H$3=2,D250,"N/A")))</f>
        <v/>
      </c>
      <c r="F250" s="199" t="str">
        <f aca="false">IF(A251="","",E250*AS250)</f>
        <v/>
      </c>
      <c r="G250" s="200" t="str">
        <f aca="false">IF($A251="","",VLOOKUP($A250,Table,MATCH(G$4,Curves,0)))</f>
        <v/>
      </c>
      <c r="H250" s="201" t="str">
        <f aca="false">IF(A251="","",G250)</f>
        <v/>
      </c>
      <c r="I250" s="202"/>
      <c r="J250" s="200" t="str">
        <f aca="false">IF($A251="","",VLOOKUP($A250,Table,MATCH(J$4,Curves,0)))</f>
        <v/>
      </c>
      <c r="K250" s="201" t="str">
        <f aca="false">IF(A251="","",J250)</f>
        <v/>
      </c>
      <c r="L250" s="185" t="n">
        <v>0</v>
      </c>
      <c r="M250" s="201" t="str">
        <f aca="false">IF(A251="","",L250)</f>
        <v/>
      </c>
      <c r="N250" s="203"/>
      <c r="O250" s="200" t="str">
        <f aca="false">IF(A251="","",L250+J250+G250)</f>
        <v/>
      </c>
      <c r="P250" s="200" t="str">
        <f aca="false">IF(A251="","",M250+K250+H250)</f>
        <v/>
      </c>
      <c r="Q250" s="204"/>
      <c r="R250" s="200" t="str">
        <f aca="false">IF($A251="","",VLOOKUP($A250,Table,MATCH(R$4,Curves,0)))</f>
        <v/>
      </c>
      <c r="S250" s="201" t="str">
        <f aca="false">IF(A251="","",R250)</f>
        <v/>
      </c>
      <c r="T250" s="200" t="str">
        <f aca="false">IF($A251="","",VLOOKUP($A250,Table,MATCH(T$4,Curves,0)))</f>
        <v/>
      </c>
      <c r="U250" s="201" t="str">
        <f aca="false">IF(A251="","",T250)</f>
        <v/>
      </c>
      <c r="V250" s="205" t="str">
        <f aca="false">IF($A251="","",IF(AND(MONTH(A250)&gt;3,MONTH(A250)&lt;11),(T250+R250+G250)*Summary!$T$10/(1-Summary!$T$10),(T250+R250+G250)*Summary!$U$10/(1-Summary!$U$10)))</f>
        <v/>
      </c>
      <c r="W250" s="200" t="str">
        <f aca="false">IF($A251="","",(T250+R250+G250+V250))</f>
        <v/>
      </c>
      <c r="X250" s="200" t="str">
        <f aca="false">IF($A251="","",(U250+S250+H250+V250))</f>
        <v/>
      </c>
      <c r="Y250" s="202"/>
      <c r="Z250" s="185" t="str">
        <f aca="false">IF($A251="","",VLOOKUP($A250,Table,MATCH(Z$4,Curves,0)))</f>
        <v/>
      </c>
      <c r="AA250" s="185" t="str">
        <f aca="false">IF($A251="","",VLOOKUP($A250,Table,MATCH(AA$4,Curves,0)))</f>
        <v/>
      </c>
      <c r="AB250" s="185" t="e">
        <f aca="false">SQRT((AA250^2*(A250-$D$3)+Z250^2*(DAY(EOMONTH(A250,0))/2))/AK250)</f>
        <v>#VALUE!</v>
      </c>
      <c r="AC250" s="185" t="str">
        <f aca="false">IF($A251="","",VLOOKUP($A250,Table,MATCH(AC$4,Curves,0)))</f>
        <v/>
      </c>
      <c r="AD250" s="185" t="str">
        <f aca="false">IF($A251="","",VLOOKUP($A250,Table,MATCH(AD$4,Curves,0)))</f>
        <v/>
      </c>
      <c r="AE250" s="185" t="e">
        <f aca="false">SQRT((AD250^2*(A250-$D$3)+AC250^2*(DAY(EOMONTH(A250,0))/2))/AK250)</f>
        <v>#VALUE!</v>
      </c>
      <c r="AF250" s="224" t="e">
        <f aca="false">((Summary!$N$10*(AA250*AD250)*(A250-$D$3))+(Summary!$M$10*Z250*AC250*(AJ250-EOMONTH(EDATE(A250,-1),0))))/(AK250*AB250*AE250)</f>
        <v>#VALUE!</v>
      </c>
      <c r="AG250" s="207" t="str">
        <f aca="false">IF($A251="","",Summary!$Q$10)</f>
        <v/>
      </c>
      <c r="AH250" s="207" t="str">
        <f aca="false">IF($A251="","",IF(Summary!$R$10="Y",(VLOOKUP($A250,Summary!$AD$6:$AF$9,3)+'Escalating commodity'!F263),'Escalating commodity'!F263))</f>
        <v/>
      </c>
      <c r="AI250" s="207" t="str">
        <f aca="false">IF($A251="","",AH250)</f>
        <v/>
      </c>
      <c r="AJ250" s="208" t="e">
        <f aca="false">A250+DAY(EOMONTH(A250,0))/2-1</f>
        <v>#VALUE!</v>
      </c>
      <c r="AK250" s="209" t="str">
        <f aca="false">IF($A251="","",$A250-$E$1)</f>
        <v/>
      </c>
      <c r="AL250" s="182" t="str">
        <f aca="false">IF($A251="","",SPRDOPT(P250,X250,AI250,0,AB250,AE250,AF250,AK250,$AJ$2,0))</f>
        <v/>
      </c>
      <c r="AM250" s="211" t="str">
        <f aca="false">IF($A251="","",MAX(0,O250-W250-AI250))</f>
        <v/>
      </c>
      <c r="AN250" s="211" t="str">
        <f aca="false">IF($A251="","",AL250-AM250)</f>
        <v/>
      </c>
      <c r="AO250" s="137" t="str">
        <f aca="false">IF(A251="","",A251-A250)</f>
        <v/>
      </c>
      <c r="AP250" s="212" t="str">
        <f aca="false">IF(A251="","",CHOOSE(F$3,A251+24,A250))</f>
        <v/>
      </c>
      <c r="AQ250" s="209" t="str">
        <f aca="false">IF(A251="","",AP250-$E$1)</f>
        <v/>
      </c>
      <c r="AR250" s="185" t="n">
        <f aca="false">'ANR OK vs ML7'!AR250</f>
        <v>0.1</v>
      </c>
      <c r="AS250" s="213" t="str">
        <f aca="false">IF(A251="","",1/(1+CHOOSE(F$3,(AR251+($I$3/10000))/2,(AR250+($I$3/10000))/2))^(2*AQ250/365.25))</f>
        <v/>
      </c>
      <c r="AT250" s="137" t="str">
        <f aca="false">IF(A251="","",IF(AND(mthbeg&lt;=A250,mthend&gt;=A250),1,0))</f>
        <v/>
      </c>
      <c r="AU250" s="137" t="str">
        <f aca="false">IF(A251="","",AO250*AT250)</f>
        <v/>
      </c>
      <c r="AW250" s="195" t="str">
        <f aca="false">IF($A251="","",AL250*$E250)</f>
        <v/>
      </c>
      <c r="AX250" s="195" t="str">
        <f aca="false">IF($A251="","",AM250*$E250)</f>
        <v/>
      </c>
      <c r="AY250" s="195" t="str">
        <f aca="false">IF($A251="","",AN250*$E250)</f>
        <v/>
      </c>
      <c r="BA250" s="195" t="str">
        <f aca="false">IF($A251="","",F250*Summary!$Q$10)</f>
        <v/>
      </c>
    </row>
    <row r="251" customFormat="false" ht="12" hidden="false" customHeight="true" outlineLevel="0" collapsed="false">
      <c r="A251" s="196" t="str">
        <f aca="false">IF(A250&lt;mthend,EDATE(A250,1),"")</f>
        <v/>
      </c>
      <c r="B251" s="197" t="str">
        <f aca="false">IF(A251&lt;mthend,B250,"")</f>
        <v/>
      </c>
      <c r="C251" s="215"/>
      <c r="D251" s="197" t="str">
        <f aca="false">IF(A252&lt;&gt;"",B251+C251,"")</f>
        <v/>
      </c>
      <c r="E251" s="199" t="str">
        <f aca="false">IF(A252="","",IF(AND(AT251=1,$H$3=1),D251*AO251,IF($H$3=2,D251,"N/A")))</f>
        <v/>
      </c>
      <c r="F251" s="199" t="str">
        <f aca="false">IF(A252="","",E251*AS251)</f>
        <v/>
      </c>
      <c r="G251" s="200" t="str">
        <f aca="false">IF($A252="","",VLOOKUP($A251,Table,MATCH(G$4,Curves,0)))</f>
        <v/>
      </c>
      <c r="H251" s="201" t="str">
        <f aca="false">IF(A252="","",G251)</f>
        <v/>
      </c>
      <c r="I251" s="202"/>
      <c r="J251" s="200" t="str">
        <f aca="false">IF($A252="","",VLOOKUP($A251,Table,MATCH(J$4,Curves,0)))</f>
        <v/>
      </c>
      <c r="K251" s="201" t="str">
        <f aca="false">IF(A252="","",J251)</f>
        <v/>
      </c>
      <c r="L251" s="185" t="n">
        <v>0</v>
      </c>
      <c r="M251" s="201" t="str">
        <f aca="false">IF(A252="","",L251)</f>
        <v/>
      </c>
      <c r="N251" s="203"/>
      <c r="O251" s="200" t="str">
        <f aca="false">IF(A252="","",L251+J251+G251)</f>
        <v/>
      </c>
      <c r="P251" s="200" t="str">
        <f aca="false">IF(A252="","",M251+K251+H251)</f>
        <v/>
      </c>
      <c r="Q251" s="204"/>
      <c r="R251" s="200" t="str">
        <f aca="false">IF($A252="","",VLOOKUP($A251,Table,MATCH(R$4,Curves,0)))</f>
        <v/>
      </c>
      <c r="S251" s="201" t="str">
        <f aca="false">IF(A252="","",R251)</f>
        <v/>
      </c>
      <c r="T251" s="200" t="str">
        <f aca="false">IF($A252="","",VLOOKUP($A251,Table,MATCH(T$4,Curves,0)))</f>
        <v/>
      </c>
      <c r="U251" s="201" t="str">
        <f aca="false">IF(A252="","",T251)</f>
        <v/>
      </c>
      <c r="V251" s="205" t="str">
        <f aca="false">IF($A252="","",IF(AND(MONTH(A251)&gt;3,MONTH(A251)&lt;11),(T251+R251+G251)*Summary!$T$10/(1-Summary!$T$10),(T251+R251+G251)*Summary!$U$10/(1-Summary!$U$10)))</f>
        <v/>
      </c>
      <c r="W251" s="200" t="str">
        <f aca="false">IF($A252="","",(T251+R251+G251+V251))</f>
        <v/>
      </c>
      <c r="X251" s="200" t="str">
        <f aca="false">IF($A252="","",(U251+S251+H251+V251))</f>
        <v/>
      </c>
      <c r="Y251" s="202"/>
      <c r="Z251" s="185" t="str">
        <f aca="false">IF($A252="","",VLOOKUP($A251,Table,MATCH(Z$4,Curves,0)))</f>
        <v/>
      </c>
      <c r="AA251" s="185" t="str">
        <f aca="false">IF($A252="","",VLOOKUP($A251,Table,MATCH(AA$4,Curves,0)))</f>
        <v/>
      </c>
      <c r="AB251" s="185" t="e">
        <f aca="false">SQRT((AA251^2*(A251-$D$3)+Z251^2*(DAY(EOMONTH(A251,0))/2))/AK251)</f>
        <v>#VALUE!</v>
      </c>
      <c r="AC251" s="185" t="str">
        <f aca="false">IF($A252="","",VLOOKUP($A251,Table,MATCH(AC$4,Curves,0)))</f>
        <v/>
      </c>
      <c r="AD251" s="185" t="str">
        <f aca="false">IF($A252="","",VLOOKUP($A251,Table,MATCH(AD$4,Curves,0)))</f>
        <v/>
      </c>
      <c r="AE251" s="185" t="e">
        <f aca="false">SQRT((AD251^2*(A251-$D$3)+AC251^2*(DAY(EOMONTH(A251,0))/2))/AK251)</f>
        <v>#VALUE!</v>
      </c>
      <c r="AF251" s="224" t="e">
        <f aca="false">((Summary!$N$10*(AA251*AD251)*(A251-$D$3))+(Summary!$M$10*Z251*AC251*(AJ251-EOMONTH(EDATE(A251,-1),0))))/(AK251*AB251*AE251)</f>
        <v>#VALUE!</v>
      </c>
      <c r="AG251" s="207" t="str">
        <f aca="false">IF($A252="","",Summary!$Q$10)</f>
        <v/>
      </c>
      <c r="AH251" s="207" t="str">
        <f aca="false">IF($A252="","",IF(Summary!$R$10="Y",(VLOOKUP($A251,Summary!$AD$6:$AF$9,3)+'Escalating commodity'!F264),'Escalating commodity'!F264))</f>
        <v/>
      </c>
      <c r="AI251" s="207" t="str">
        <f aca="false">IF($A252="","",AH251)</f>
        <v/>
      </c>
      <c r="AJ251" s="208" t="e">
        <f aca="false">A251+DAY(EOMONTH(A251,0))/2-1</f>
        <v>#VALUE!</v>
      </c>
      <c r="AK251" s="209" t="str">
        <f aca="false">IF($A252="","",$A251-$E$1)</f>
        <v/>
      </c>
      <c r="AL251" s="182" t="str">
        <f aca="false">IF($A252="","",SPRDOPT(P251,X251,AI251,0,AB251,AE251,AF251,AK251,$AJ$2,0))</f>
        <v/>
      </c>
      <c r="AM251" s="211" t="str">
        <f aca="false">IF($A252="","",MAX(0,O251-W251-AI251))</f>
        <v/>
      </c>
      <c r="AN251" s="211" t="str">
        <f aca="false">IF($A252="","",AL251-AM251)</f>
        <v/>
      </c>
      <c r="AO251" s="137" t="str">
        <f aca="false">IF(A252="","",A252-A251)</f>
        <v/>
      </c>
      <c r="AP251" s="212" t="str">
        <f aca="false">IF(A252="","",CHOOSE(F$3,A252+24,A251))</f>
        <v/>
      </c>
      <c r="AQ251" s="209" t="str">
        <f aca="false">IF(A252="","",AP251-$E$1)</f>
        <v/>
      </c>
      <c r="AR251" s="185" t="n">
        <f aca="false">'ANR OK vs ML7'!AR251</f>
        <v>0.1</v>
      </c>
      <c r="AS251" s="213" t="str">
        <f aca="false">IF(A252="","",1/(1+CHOOSE(F$3,(AR252+($I$3/10000))/2,(AR251+($I$3/10000))/2))^(2*AQ251/365.25))</f>
        <v/>
      </c>
      <c r="AT251" s="137" t="str">
        <f aca="false">IF(A252="","",IF(AND(mthbeg&lt;=A251,mthend&gt;=A251),1,0))</f>
        <v/>
      </c>
      <c r="AU251" s="137" t="str">
        <f aca="false">IF(A252="","",AO251*AT251)</f>
        <v/>
      </c>
      <c r="AW251" s="195" t="str">
        <f aca="false">IF($A252="","",AL251*$E251)</f>
        <v/>
      </c>
      <c r="AX251" s="195" t="str">
        <f aca="false">IF($A252="","",AM251*$E251)</f>
        <v/>
      </c>
      <c r="AY251" s="195" t="str">
        <f aca="false">IF($A252="","",AN251*$E251)</f>
        <v/>
      </c>
      <c r="BA251" s="195" t="str">
        <f aca="false">IF($A252="","",F251*Summary!$Q$10)</f>
        <v/>
      </c>
    </row>
    <row r="252" customFormat="false" ht="12" hidden="false" customHeight="true" outlineLevel="0" collapsed="false">
      <c r="A252" s="196" t="str">
        <f aca="false">IF(A251&lt;mthend,EDATE(A251,1),"")</f>
        <v/>
      </c>
      <c r="B252" s="197" t="str">
        <f aca="false">IF(A252&lt;mthend,B251,"")</f>
        <v/>
      </c>
      <c r="C252" s="215"/>
      <c r="D252" s="197" t="str">
        <f aca="false">IF(A253&lt;&gt;"",B252+C252,"")</f>
        <v/>
      </c>
      <c r="E252" s="199" t="str">
        <f aca="false">IF(A253="","",IF(AND(AT252=1,$H$3=1),D252*AO252,IF($H$3=2,D252,"N/A")))</f>
        <v/>
      </c>
      <c r="F252" s="199" t="str">
        <f aca="false">IF(A253="","",E252*AS252)</f>
        <v/>
      </c>
      <c r="G252" s="200" t="str">
        <f aca="false">IF($A253="","",VLOOKUP($A252,Table,MATCH(G$4,Curves,0)))</f>
        <v/>
      </c>
      <c r="H252" s="201" t="str">
        <f aca="false">IF(A253="","",G252)</f>
        <v/>
      </c>
      <c r="I252" s="202"/>
      <c r="J252" s="200" t="str">
        <f aca="false">IF($A253="","",VLOOKUP($A252,Table,MATCH(J$4,Curves,0)))</f>
        <v/>
      </c>
      <c r="K252" s="201" t="str">
        <f aca="false">IF(A253="","",J252)</f>
        <v/>
      </c>
      <c r="L252" s="185" t="n">
        <v>0</v>
      </c>
      <c r="M252" s="201" t="str">
        <f aca="false">IF(A253="","",L252)</f>
        <v/>
      </c>
      <c r="N252" s="203"/>
      <c r="O252" s="200" t="str">
        <f aca="false">IF(A253="","",L252+J252+G252)</f>
        <v/>
      </c>
      <c r="P252" s="200" t="str">
        <f aca="false">IF(A253="","",M252+K252+H252)</f>
        <v/>
      </c>
      <c r="Q252" s="204"/>
      <c r="R252" s="200" t="str">
        <f aca="false">IF($A253="","",VLOOKUP($A252,Table,MATCH(R$4,Curves,0)))</f>
        <v/>
      </c>
      <c r="S252" s="201" t="str">
        <f aca="false">IF(A253="","",R252)</f>
        <v/>
      </c>
      <c r="T252" s="200" t="str">
        <f aca="false">IF($A253="","",VLOOKUP($A252,Table,MATCH(T$4,Curves,0)))</f>
        <v/>
      </c>
      <c r="U252" s="201" t="str">
        <f aca="false">IF(A253="","",T252)</f>
        <v/>
      </c>
      <c r="V252" s="205" t="str">
        <f aca="false">IF($A253="","",IF(AND(MONTH(A252)&gt;3,MONTH(A252)&lt;11),(T252+R252+G252)*Summary!$T$10/(1-Summary!$T$10),(T252+R252+G252)*Summary!$U$10/(1-Summary!$U$10)))</f>
        <v/>
      </c>
      <c r="W252" s="200" t="str">
        <f aca="false">IF($A253="","",(T252+R252+G252+V252))</f>
        <v/>
      </c>
      <c r="X252" s="200" t="str">
        <f aca="false">IF($A253="","",(U252+S252+H252+V252))</f>
        <v/>
      </c>
      <c r="Y252" s="202"/>
      <c r="Z252" s="185" t="str">
        <f aca="false">IF($A253="","",VLOOKUP($A252,Table,MATCH(Z$4,Curves,0)))</f>
        <v/>
      </c>
      <c r="AA252" s="185" t="str">
        <f aca="false">IF($A253="","",VLOOKUP($A252,Table,MATCH(AA$4,Curves,0)))</f>
        <v/>
      </c>
      <c r="AB252" s="185" t="e">
        <f aca="false">SQRT((AA252^2*(A252-$D$3)+Z252^2*(DAY(EOMONTH(A252,0))/2))/AK252)</f>
        <v>#VALUE!</v>
      </c>
      <c r="AC252" s="185" t="str">
        <f aca="false">IF($A253="","",VLOOKUP($A252,Table,MATCH(AC$4,Curves,0)))</f>
        <v/>
      </c>
      <c r="AD252" s="185" t="str">
        <f aca="false">IF($A253="","",VLOOKUP($A252,Table,MATCH(AD$4,Curves,0)))</f>
        <v/>
      </c>
      <c r="AE252" s="185" t="e">
        <f aca="false">SQRT((AD252^2*(A252-$D$3)+AC252^2*(DAY(EOMONTH(A252,0))/2))/AK252)</f>
        <v>#VALUE!</v>
      </c>
      <c r="AF252" s="224" t="e">
        <f aca="false">((Summary!$N$10*(AA252*AD252)*(A252-$D$3))+(Summary!$M$10*Z252*AC252*(AJ252-EOMONTH(EDATE(A252,-1),0))))/(AK252*AB252*AE252)</f>
        <v>#VALUE!</v>
      </c>
      <c r="AG252" s="207" t="str">
        <f aca="false">IF($A253="","",Summary!$Q$10)</f>
        <v/>
      </c>
      <c r="AH252" s="207" t="str">
        <f aca="false">IF($A253="","",IF(Summary!$R$10="Y",(VLOOKUP($A252,Summary!$AD$6:$AF$9,3)+'Escalating commodity'!F265),'Escalating commodity'!F265))</f>
        <v/>
      </c>
      <c r="AI252" s="207" t="str">
        <f aca="false">IF($A253="","",AH252)</f>
        <v/>
      </c>
      <c r="AJ252" s="208" t="e">
        <f aca="false">A252+DAY(EOMONTH(A252,0))/2-1</f>
        <v>#VALUE!</v>
      </c>
      <c r="AK252" s="209" t="str">
        <f aca="false">IF($A253="","",$A252-$E$1)</f>
        <v/>
      </c>
      <c r="AL252" s="182" t="str">
        <f aca="false">IF($A253="","",SPRDOPT(P252,X252,AI252,0,AB252,AE252,AF252,AK252,$AJ$2,0))</f>
        <v/>
      </c>
      <c r="AM252" s="211" t="str">
        <f aca="false">IF($A253="","",MAX(0,O252-W252-AI252))</f>
        <v/>
      </c>
      <c r="AN252" s="211" t="str">
        <f aca="false">IF($A253="","",AL252-AM252)</f>
        <v/>
      </c>
      <c r="AO252" s="137" t="str">
        <f aca="false">IF(A253="","",A253-A252)</f>
        <v/>
      </c>
      <c r="AP252" s="212" t="str">
        <f aca="false">IF(A253="","",CHOOSE(F$3,A253+24,A252))</f>
        <v/>
      </c>
      <c r="AQ252" s="209" t="str">
        <f aca="false">IF(A253="","",AP252-$E$1)</f>
        <v/>
      </c>
      <c r="AR252" s="185" t="n">
        <f aca="false">'ANR OK vs ML7'!AR252</f>
        <v>0.1</v>
      </c>
      <c r="AS252" s="213" t="str">
        <f aca="false">IF(A253="","",1/(1+CHOOSE(F$3,(AR253+($I$3/10000))/2,(AR252+($I$3/10000))/2))^(2*AQ252/365.25))</f>
        <v/>
      </c>
      <c r="AT252" s="137" t="str">
        <f aca="false">IF(A253="","",IF(AND(mthbeg&lt;=A252,mthend&gt;=A252),1,0))</f>
        <v/>
      </c>
      <c r="AU252" s="137" t="str">
        <f aca="false">IF(A253="","",AO252*AT252)</f>
        <v/>
      </c>
      <c r="AW252" s="195" t="str">
        <f aca="false">IF($A253="","",AL252*$E252)</f>
        <v/>
      </c>
      <c r="AX252" s="195" t="str">
        <f aca="false">IF($A253="","",AM252*$E252)</f>
        <v/>
      </c>
      <c r="AY252" s="195" t="str">
        <f aca="false">IF($A253="","",AN252*$E252)</f>
        <v/>
      </c>
      <c r="BA252" s="195" t="str">
        <f aca="false">IF($A253="","",F252*Summary!$Q$10)</f>
        <v/>
      </c>
    </row>
    <row r="253" customFormat="false" ht="12" hidden="false" customHeight="true" outlineLevel="0" collapsed="false">
      <c r="A253" s="196" t="str">
        <f aca="false">IF(A252&lt;mthend,EDATE(A252,1),"")</f>
        <v/>
      </c>
      <c r="B253" s="197" t="str">
        <f aca="false">IF(A253&lt;mthend,B252,"")</f>
        <v/>
      </c>
      <c r="C253" s="215"/>
      <c r="D253" s="197" t="str">
        <f aca="false">IF(A254&lt;&gt;"",B253+C253,"")</f>
        <v/>
      </c>
      <c r="E253" s="199" t="str">
        <f aca="false">IF(A254="","",IF(AND(AT253=1,$H$3=1),D253*AO253,IF($H$3=2,D253,"N/A")))</f>
        <v/>
      </c>
      <c r="F253" s="199" t="str">
        <f aca="false">IF(A254="","",E253*AS253)</f>
        <v/>
      </c>
      <c r="G253" s="200" t="str">
        <f aca="false">IF($A254="","",VLOOKUP($A253,Table,MATCH(G$4,Curves,0)))</f>
        <v/>
      </c>
      <c r="H253" s="201" t="str">
        <f aca="false">IF(A254="","",G253)</f>
        <v/>
      </c>
      <c r="I253" s="202"/>
      <c r="J253" s="200" t="str">
        <f aca="false">IF($A254="","",VLOOKUP($A253,Table,MATCH(J$4,Curves,0)))</f>
        <v/>
      </c>
      <c r="K253" s="201" t="str">
        <f aca="false">IF(A254="","",J253)</f>
        <v/>
      </c>
      <c r="L253" s="185" t="n">
        <v>0</v>
      </c>
      <c r="M253" s="201" t="str">
        <f aca="false">IF(A254="","",L253)</f>
        <v/>
      </c>
      <c r="N253" s="203"/>
      <c r="O253" s="200" t="str">
        <f aca="false">IF(A254="","",L253+J253+G253)</f>
        <v/>
      </c>
      <c r="P253" s="200" t="str">
        <f aca="false">IF(A254="","",M253+K253+H253)</f>
        <v/>
      </c>
      <c r="Q253" s="204"/>
      <c r="R253" s="200" t="str">
        <f aca="false">IF($A254="","",VLOOKUP($A253,Table,MATCH(R$4,Curves,0)))</f>
        <v/>
      </c>
      <c r="S253" s="201" t="str">
        <f aca="false">IF(A254="","",R253)</f>
        <v/>
      </c>
      <c r="T253" s="200" t="str">
        <f aca="false">IF($A254="","",VLOOKUP($A253,Table,MATCH(T$4,Curves,0)))</f>
        <v/>
      </c>
      <c r="U253" s="201" t="str">
        <f aca="false">IF(A254="","",T253)</f>
        <v/>
      </c>
      <c r="V253" s="205" t="str">
        <f aca="false">IF($A254="","",IF(AND(MONTH(A253)&gt;3,MONTH(A253)&lt;11),(T253+R253+G253)*Summary!$T$10/(1-Summary!$T$10),(T253+R253+G253)*Summary!$U$10/(1-Summary!$U$10)))</f>
        <v/>
      </c>
      <c r="W253" s="200" t="str">
        <f aca="false">IF($A254="","",(T253+R253+G253+V253))</f>
        <v/>
      </c>
      <c r="X253" s="200" t="str">
        <f aca="false">IF($A254="","",(U253+S253+H253+V253))</f>
        <v/>
      </c>
      <c r="Y253" s="202"/>
      <c r="Z253" s="185" t="str">
        <f aca="false">IF($A254="","",VLOOKUP($A253,Table,MATCH(Z$4,Curves,0)))</f>
        <v/>
      </c>
      <c r="AA253" s="185" t="str">
        <f aca="false">IF($A254="","",VLOOKUP($A253,Table,MATCH(AA$4,Curves,0)))</f>
        <v/>
      </c>
      <c r="AB253" s="185" t="e">
        <f aca="false">SQRT((AA253^2*(A253-$D$3)+Z253^2*(DAY(EOMONTH(A253,0))/2))/AK253)</f>
        <v>#VALUE!</v>
      </c>
      <c r="AC253" s="185" t="str">
        <f aca="false">IF($A254="","",VLOOKUP($A253,Table,MATCH(AC$4,Curves,0)))</f>
        <v/>
      </c>
      <c r="AD253" s="185" t="str">
        <f aca="false">IF($A254="","",VLOOKUP($A253,Table,MATCH(AD$4,Curves,0)))</f>
        <v/>
      </c>
      <c r="AE253" s="185" t="e">
        <f aca="false">SQRT((AD253^2*(A253-$D$3)+AC253^2*(DAY(EOMONTH(A253,0))/2))/AK253)</f>
        <v>#VALUE!</v>
      </c>
      <c r="AF253" s="224" t="e">
        <f aca="false">((Summary!$N$10*(AA253*AD253)*(A253-$D$3))+(Summary!$M$10*Z253*AC253*(AJ253-EOMONTH(EDATE(A253,-1),0))))/(AK253*AB253*AE253)</f>
        <v>#VALUE!</v>
      </c>
      <c r="AG253" s="207" t="str">
        <f aca="false">IF($A254="","",Summary!$Q$10)</f>
        <v/>
      </c>
      <c r="AH253" s="207" t="str">
        <f aca="false">IF($A254="","",IF(Summary!$R$10="Y",(VLOOKUP($A253,Summary!$AD$6:$AF$9,3)+'Escalating commodity'!F266),'Escalating commodity'!F266))</f>
        <v/>
      </c>
      <c r="AI253" s="207" t="str">
        <f aca="false">IF($A254="","",AH253)</f>
        <v/>
      </c>
      <c r="AJ253" s="208" t="e">
        <f aca="false">A253+DAY(EOMONTH(A253,0))/2-1</f>
        <v>#VALUE!</v>
      </c>
      <c r="AK253" s="209" t="str">
        <f aca="false">IF($A254="","",$A253-$E$1)</f>
        <v/>
      </c>
      <c r="AL253" s="182" t="str">
        <f aca="false">IF($A254="","",SPRDOPT(P253,X253,AI253,0,AB253,AE253,AF253,AK253,$AJ$2,0))</f>
        <v/>
      </c>
      <c r="AM253" s="211" t="str">
        <f aca="false">IF($A254="","",MAX(0,O253-W253-AI253))</f>
        <v/>
      </c>
      <c r="AN253" s="211" t="str">
        <f aca="false">IF($A254="","",AL253-AM253)</f>
        <v/>
      </c>
      <c r="AO253" s="137" t="str">
        <f aca="false">IF(A254="","",A254-A253)</f>
        <v/>
      </c>
      <c r="AP253" s="212" t="str">
        <f aca="false">IF(A254="","",CHOOSE(F$3,A254+24,A253))</f>
        <v/>
      </c>
      <c r="AQ253" s="209" t="str">
        <f aca="false">IF(A254="","",AP253-$E$1)</f>
        <v/>
      </c>
      <c r="AR253" s="185" t="n">
        <f aca="false">'ANR OK vs ML7'!AR253</f>
        <v>0.1</v>
      </c>
      <c r="AS253" s="213" t="str">
        <f aca="false">IF(A254="","",1/(1+CHOOSE(F$3,(AR254+($I$3/10000))/2,(AR253+($I$3/10000))/2))^(2*AQ253/365.25))</f>
        <v/>
      </c>
      <c r="AT253" s="137" t="str">
        <f aca="false">IF(A254="","",IF(AND(mthbeg&lt;=A253,mthend&gt;=A253),1,0))</f>
        <v/>
      </c>
      <c r="AU253" s="137" t="str">
        <f aca="false">IF(A254="","",AO253*AT253)</f>
        <v/>
      </c>
      <c r="AW253" s="195" t="str">
        <f aca="false">IF($A254="","",AL253*$E253)</f>
        <v/>
      </c>
      <c r="AX253" s="195" t="str">
        <f aca="false">IF($A254="","",AM253*$E253)</f>
        <v/>
      </c>
      <c r="AY253" s="195" t="str">
        <f aca="false">IF($A254="","",AN253*$E253)</f>
        <v/>
      </c>
      <c r="BA253" s="195" t="str">
        <f aca="false">IF($A254="","",F253*Summary!$Q$10)</f>
        <v/>
      </c>
    </row>
    <row r="254" customFormat="false" ht="12" hidden="false" customHeight="true" outlineLevel="0" collapsed="false">
      <c r="A254" s="196" t="str">
        <f aca="false">IF(A253&lt;mthend,EDATE(A253,1),"")</f>
        <v/>
      </c>
      <c r="B254" s="197" t="str">
        <f aca="false">IF(A254&lt;mthend,B253,"")</f>
        <v/>
      </c>
      <c r="C254" s="215"/>
      <c r="D254" s="197" t="str">
        <f aca="false">IF(A255&lt;&gt;"",B254+C254,"")</f>
        <v/>
      </c>
      <c r="E254" s="199" t="str">
        <f aca="false">IF(A255="","",IF(AND(AT254=1,$H$3=1),D254*AO254,IF($H$3=2,D254,"N/A")))</f>
        <v/>
      </c>
      <c r="F254" s="199" t="str">
        <f aca="false">IF(A255="","",E254*AS254)</f>
        <v/>
      </c>
      <c r="G254" s="200" t="str">
        <f aca="false">IF($A255="","",VLOOKUP($A254,Table,MATCH(G$4,Curves,0)))</f>
        <v/>
      </c>
      <c r="H254" s="201" t="str">
        <f aca="false">IF(A255="","",G254)</f>
        <v/>
      </c>
      <c r="I254" s="202"/>
      <c r="J254" s="200" t="str">
        <f aca="false">IF($A255="","",VLOOKUP($A254,Table,MATCH(J$4,Curves,0)))</f>
        <v/>
      </c>
      <c r="K254" s="201" t="str">
        <f aca="false">IF(A255="","",J254)</f>
        <v/>
      </c>
      <c r="L254" s="185" t="n">
        <v>0</v>
      </c>
      <c r="M254" s="201" t="str">
        <f aca="false">IF(A255="","",L254)</f>
        <v/>
      </c>
      <c r="N254" s="203"/>
      <c r="O254" s="200" t="str">
        <f aca="false">IF(A255="","",L254+J254+G254)</f>
        <v/>
      </c>
      <c r="P254" s="200" t="str">
        <f aca="false">IF(A255="","",M254+K254+H254)</f>
        <v/>
      </c>
      <c r="Q254" s="204"/>
      <c r="R254" s="200" t="str">
        <f aca="false">IF($A255="","",VLOOKUP($A254,Table,MATCH(R$4,Curves,0)))</f>
        <v/>
      </c>
      <c r="S254" s="201" t="str">
        <f aca="false">IF(A255="","",R254)</f>
        <v/>
      </c>
      <c r="T254" s="200" t="str">
        <f aca="false">IF($A255="","",VLOOKUP($A254,Table,MATCH(T$4,Curves,0)))</f>
        <v/>
      </c>
      <c r="U254" s="201" t="str">
        <f aca="false">IF(A255="","",T254)</f>
        <v/>
      </c>
      <c r="V254" s="205" t="str">
        <f aca="false">IF($A255="","",IF(AND(MONTH(A254)&gt;3,MONTH(A254)&lt;11),(T254+R254+G254)*Summary!$T$10/(1-Summary!$T$10),(T254+R254+G254)*Summary!$U$10/(1-Summary!$U$10)))</f>
        <v/>
      </c>
      <c r="W254" s="200" t="str">
        <f aca="false">IF($A255="","",(T254+R254+G254+V254))</f>
        <v/>
      </c>
      <c r="X254" s="200" t="str">
        <f aca="false">IF($A255="","",(U254+S254+H254+V254))</f>
        <v/>
      </c>
      <c r="Y254" s="202"/>
      <c r="Z254" s="185" t="str">
        <f aca="false">IF($A255="","",VLOOKUP($A254,Table,MATCH(Z$4,Curves,0)))</f>
        <v/>
      </c>
      <c r="AA254" s="185" t="str">
        <f aca="false">IF($A255="","",VLOOKUP($A254,Table,MATCH(AA$4,Curves,0)))</f>
        <v/>
      </c>
      <c r="AB254" s="185" t="e">
        <f aca="false">SQRT((AA254^2*(A254-$D$3)+Z254^2*(DAY(EOMONTH(A254,0))/2))/AK254)</f>
        <v>#VALUE!</v>
      </c>
      <c r="AC254" s="185" t="str">
        <f aca="false">IF($A255="","",VLOOKUP($A254,Table,MATCH(AC$4,Curves,0)))</f>
        <v/>
      </c>
      <c r="AD254" s="185" t="str">
        <f aca="false">IF($A255="","",VLOOKUP($A254,Table,MATCH(AD$4,Curves,0)))</f>
        <v/>
      </c>
      <c r="AE254" s="185" t="e">
        <f aca="false">SQRT((AD254^2*(A254-$D$3)+AC254^2*(DAY(EOMONTH(A254,0))/2))/AK254)</f>
        <v>#VALUE!</v>
      </c>
      <c r="AF254" s="224" t="e">
        <f aca="false">((Summary!$N$10*(AA254*AD254)*(A254-$D$3))+(Summary!$M$10*Z254*AC254*(AJ254-EOMONTH(EDATE(A254,-1),0))))/(AK254*AB254*AE254)</f>
        <v>#VALUE!</v>
      </c>
      <c r="AG254" s="207" t="str">
        <f aca="false">IF($A255="","",Summary!$Q$10)</f>
        <v/>
      </c>
      <c r="AH254" s="207" t="str">
        <f aca="false">IF($A255="","",IF(Summary!$R$10="Y",(VLOOKUP($A254,Summary!$AD$6:$AF$9,3)+'Escalating commodity'!F267),'Escalating commodity'!F267))</f>
        <v/>
      </c>
      <c r="AI254" s="207" t="str">
        <f aca="false">IF($A255="","",AH254)</f>
        <v/>
      </c>
      <c r="AJ254" s="208" t="e">
        <f aca="false">A254+DAY(EOMONTH(A254,0))/2-1</f>
        <v>#VALUE!</v>
      </c>
      <c r="AK254" s="209" t="str">
        <f aca="false">IF($A255="","",$A254-$E$1)</f>
        <v/>
      </c>
      <c r="AL254" s="182" t="str">
        <f aca="false">IF($A255="","",SPRDOPT(P254,X254,AI254,0,AB254,AE254,AF254,AK254,$AJ$2,0))</f>
        <v/>
      </c>
      <c r="AM254" s="211" t="str">
        <f aca="false">IF($A255="","",MAX(0,O254-W254-AI254))</f>
        <v/>
      </c>
      <c r="AN254" s="211" t="str">
        <f aca="false">IF($A255="","",AL254-AM254)</f>
        <v/>
      </c>
      <c r="AO254" s="137" t="str">
        <f aca="false">IF(A255="","",A255-A254)</f>
        <v/>
      </c>
      <c r="AP254" s="212" t="str">
        <f aca="false">IF(A255="","",CHOOSE(F$3,A255+24,A254))</f>
        <v/>
      </c>
      <c r="AQ254" s="209" t="str">
        <f aca="false">IF(A255="","",AP254-$E$1)</f>
        <v/>
      </c>
      <c r="AR254" s="185" t="n">
        <f aca="false">'ANR OK vs ML7'!AR254</f>
        <v>0.1</v>
      </c>
      <c r="AS254" s="213" t="str">
        <f aca="false">IF(A255="","",1/(1+CHOOSE(F$3,(AR255+($I$3/10000))/2,(AR254+($I$3/10000))/2))^(2*AQ254/365.25))</f>
        <v/>
      </c>
      <c r="AT254" s="137" t="str">
        <f aca="false">IF(A255="","",IF(AND(mthbeg&lt;=A254,mthend&gt;=A254),1,0))</f>
        <v/>
      </c>
      <c r="AU254" s="137" t="str">
        <f aca="false">IF(A255="","",AO254*AT254)</f>
        <v/>
      </c>
      <c r="AW254" s="195" t="str">
        <f aca="false">IF($A255="","",AL254*$E254)</f>
        <v/>
      </c>
      <c r="AX254" s="195" t="str">
        <f aca="false">IF($A255="","",AM254*$E254)</f>
        <v/>
      </c>
      <c r="AY254" s="195" t="str">
        <f aca="false">IF($A255="","",AN254*$E254)</f>
        <v/>
      </c>
      <c r="BA254" s="195" t="str">
        <f aca="false">IF($A255="","",F254*Summary!$Q$10)</f>
        <v/>
      </c>
    </row>
    <row r="255" customFormat="false" ht="12" hidden="false" customHeight="true" outlineLevel="0" collapsed="false">
      <c r="A255" s="196" t="str">
        <f aca="false">IF(A254&lt;mthend,EDATE(A254,1),"")</f>
        <v/>
      </c>
      <c r="B255" s="197" t="str">
        <f aca="false">IF(A255&lt;mthend,B254,"")</f>
        <v/>
      </c>
      <c r="C255" s="215"/>
      <c r="D255" s="197" t="str">
        <f aca="false">IF(A256&lt;&gt;"",B255+C255,"")</f>
        <v/>
      </c>
      <c r="E255" s="199" t="str">
        <f aca="false">IF(A256="","",IF(AND(AT255=1,$H$3=1),D255*AO255,IF($H$3=2,D255,"N/A")))</f>
        <v/>
      </c>
      <c r="F255" s="199" t="str">
        <f aca="false">IF(A256="","",E255*AS255)</f>
        <v/>
      </c>
      <c r="G255" s="200" t="str">
        <f aca="false">IF($A256="","",VLOOKUP($A255,Table,MATCH(G$4,Curves,0)))</f>
        <v/>
      </c>
      <c r="H255" s="201" t="str">
        <f aca="false">IF(A256="","",G255)</f>
        <v/>
      </c>
      <c r="I255" s="202"/>
      <c r="J255" s="200" t="str">
        <f aca="false">IF($A256="","",VLOOKUP($A255,Table,MATCH(J$4,Curves,0)))</f>
        <v/>
      </c>
      <c r="K255" s="201" t="str">
        <f aca="false">IF(A256="","",J255)</f>
        <v/>
      </c>
      <c r="L255" s="185" t="n">
        <v>0</v>
      </c>
      <c r="M255" s="201" t="str">
        <f aca="false">IF(A256="","",L255)</f>
        <v/>
      </c>
      <c r="N255" s="203"/>
      <c r="O255" s="200" t="str">
        <f aca="false">IF(A256="","",L255+J255+G255)</f>
        <v/>
      </c>
      <c r="P255" s="200" t="str">
        <f aca="false">IF(A256="","",M255+K255+H255)</f>
        <v/>
      </c>
      <c r="Q255" s="204"/>
      <c r="R255" s="200" t="str">
        <f aca="false">IF($A256="","",VLOOKUP($A255,Table,MATCH(R$4,Curves,0)))</f>
        <v/>
      </c>
      <c r="S255" s="201" t="str">
        <f aca="false">IF(A256="","",R255)</f>
        <v/>
      </c>
      <c r="T255" s="200" t="str">
        <f aca="false">IF($A256="","",VLOOKUP($A255,Table,MATCH(T$4,Curves,0)))</f>
        <v/>
      </c>
      <c r="U255" s="201" t="str">
        <f aca="false">IF(A256="","",T255)</f>
        <v/>
      </c>
      <c r="V255" s="205" t="str">
        <f aca="false">IF($A256="","",IF(AND(MONTH(A255)&gt;3,MONTH(A255)&lt;11),(T255+R255+G255)*Summary!$T$10/(1-Summary!$T$10),(T255+R255+G255)*Summary!$U$10/(1-Summary!$U$10)))</f>
        <v/>
      </c>
      <c r="W255" s="200" t="str">
        <f aca="false">IF($A256="","",(T255+R255+G255+V255))</f>
        <v/>
      </c>
      <c r="X255" s="200" t="str">
        <f aca="false">IF($A256="","",(U255+S255+H255+V255))</f>
        <v/>
      </c>
      <c r="Y255" s="202"/>
      <c r="Z255" s="185" t="str">
        <f aca="false">IF($A256="","",VLOOKUP($A255,Table,MATCH(Z$4,Curves,0)))</f>
        <v/>
      </c>
      <c r="AA255" s="185" t="str">
        <f aca="false">IF($A256="","",VLOOKUP($A255,Table,MATCH(AA$4,Curves,0)))</f>
        <v/>
      </c>
      <c r="AB255" s="185" t="e">
        <f aca="false">SQRT((AA255^2*(A255-$D$3)+Z255^2*(DAY(EOMONTH(A255,0))/2))/AK255)</f>
        <v>#VALUE!</v>
      </c>
      <c r="AC255" s="185" t="str">
        <f aca="false">IF($A256="","",VLOOKUP($A255,Table,MATCH(AC$4,Curves,0)))</f>
        <v/>
      </c>
      <c r="AD255" s="185" t="str">
        <f aca="false">IF($A256="","",VLOOKUP($A255,Table,MATCH(AD$4,Curves,0)))</f>
        <v/>
      </c>
      <c r="AE255" s="185" t="e">
        <f aca="false">SQRT((AD255^2*(A255-$D$3)+AC255^2*(DAY(EOMONTH(A255,0))/2))/AK255)</f>
        <v>#VALUE!</v>
      </c>
      <c r="AF255" s="224" t="e">
        <f aca="false">((Summary!$N$10*(AA255*AD255)*(A255-$D$3))+(Summary!$M$10*Z255*AC255*(AJ255-EOMONTH(EDATE(A255,-1),0))))/(AK255*AB255*AE255)</f>
        <v>#VALUE!</v>
      </c>
      <c r="AG255" s="207" t="str">
        <f aca="false">IF($A256="","",Summary!$Q$10)</f>
        <v/>
      </c>
      <c r="AH255" s="207" t="str">
        <f aca="false">IF($A256="","",IF(Summary!$R$10="Y",(VLOOKUP($A255,Summary!$AD$6:$AF$9,3)+'Escalating commodity'!F268),'Escalating commodity'!F268))</f>
        <v/>
      </c>
      <c r="AI255" s="207" t="str">
        <f aca="false">IF($A256="","",AH255)</f>
        <v/>
      </c>
      <c r="AJ255" s="208" t="e">
        <f aca="false">A255+DAY(EOMONTH(A255,0))/2-1</f>
        <v>#VALUE!</v>
      </c>
      <c r="AK255" s="209" t="str">
        <f aca="false">IF($A256="","",$A255-$E$1)</f>
        <v/>
      </c>
      <c r="AL255" s="182" t="str">
        <f aca="false">IF($A256="","",SPRDOPT(P255,X255,AI255,0,AB255,AE255,AF255,AK255,$AJ$2,0))</f>
        <v/>
      </c>
      <c r="AM255" s="211" t="str">
        <f aca="false">IF($A256="","",MAX(0,O255-W255-AI255))</f>
        <v/>
      </c>
      <c r="AN255" s="211" t="str">
        <f aca="false">IF($A256="","",AL255-AM255)</f>
        <v/>
      </c>
      <c r="AO255" s="137" t="str">
        <f aca="false">IF(A256="","",A256-A255)</f>
        <v/>
      </c>
      <c r="AP255" s="212" t="str">
        <f aca="false">IF(A256="","",CHOOSE(F$3,A256+24,A255))</f>
        <v/>
      </c>
      <c r="AQ255" s="209" t="str">
        <f aca="false">IF(A256="","",AP255-$E$1)</f>
        <v/>
      </c>
      <c r="AR255" s="185" t="n">
        <f aca="false">'ANR OK vs ML7'!AR255</f>
        <v>0.1</v>
      </c>
      <c r="AS255" s="213" t="str">
        <f aca="false">IF(A256="","",1/(1+CHOOSE(F$3,(AR256+($I$3/10000))/2,(AR255+($I$3/10000))/2))^(2*AQ255/365.25))</f>
        <v/>
      </c>
      <c r="AT255" s="137" t="str">
        <f aca="false">IF(A256="","",IF(AND(mthbeg&lt;=A255,mthend&gt;=A255),1,0))</f>
        <v/>
      </c>
      <c r="AU255" s="137" t="str">
        <f aca="false">IF(A256="","",AO255*AT255)</f>
        <v/>
      </c>
      <c r="AW255" s="195" t="str">
        <f aca="false">IF($A256="","",AL255*$E255)</f>
        <v/>
      </c>
      <c r="AX255" s="195" t="str">
        <f aca="false">IF($A256="","",AM255*$E255)</f>
        <v/>
      </c>
      <c r="AY255" s="195" t="str">
        <f aca="false">IF($A256="","",AN255*$E255)</f>
        <v/>
      </c>
      <c r="BA255" s="195" t="str">
        <f aca="false">IF($A256="","",F255*Summary!$Q$10)</f>
        <v/>
      </c>
    </row>
    <row r="256" customFormat="false" ht="12" hidden="false" customHeight="true" outlineLevel="0" collapsed="false">
      <c r="A256" s="196" t="str">
        <f aca="false">IF(A255&lt;mthend,EDATE(A255,1),"")</f>
        <v/>
      </c>
      <c r="B256" s="197" t="str">
        <f aca="false">IF(A256&lt;mthend,B255,"")</f>
        <v/>
      </c>
      <c r="C256" s="215"/>
      <c r="D256" s="197" t="str">
        <f aca="false">IF(A257&lt;&gt;"",B256+C256,"")</f>
        <v/>
      </c>
      <c r="E256" s="199" t="str">
        <f aca="false">IF(A257="","",IF(AND(AT256=1,$H$3=1),D256*AO256,IF($H$3=2,D256,"N/A")))</f>
        <v/>
      </c>
      <c r="F256" s="199" t="str">
        <f aca="false">IF(A257="","",E256*AS256)</f>
        <v/>
      </c>
      <c r="G256" s="200" t="str">
        <f aca="false">IF($A257="","",VLOOKUP($A256,Table,MATCH(G$4,Curves,0)))</f>
        <v/>
      </c>
      <c r="H256" s="201" t="str">
        <f aca="false">IF(A257="","",G256)</f>
        <v/>
      </c>
      <c r="I256" s="202"/>
      <c r="J256" s="200" t="str">
        <f aca="false">IF($A257="","",VLOOKUP($A256,Table,MATCH(J$4,Curves,0)))</f>
        <v/>
      </c>
      <c r="K256" s="201" t="str">
        <f aca="false">IF(A257="","",J256)</f>
        <v/>
      </c>
      <c r="L256" s="185" t="n">
        <v>0</v>
      </c>
      <c r="M256" s="201" t="str">
        <f aca="false">IF(A257="","",L256)</f>
        <v/>
      </c>
      <c r="N256" s="203"/>
      <c r="O256" s="200" t="str">
        <f aca="false">IF(A257="","",L256+J256+G256)</f>
        <v/>
      </c>
      <c r="P256" s="200" t="str">
        <f aca="false">IF(A257="","",M256+K256+H256)</f>
        <v/>
      </c>
      <c r="Q256" s="204"/>
      <c r="R256" s="200" t="str">
        <f aca="false">IF($A257="","",VLOOKUP($A256,Table,MATCH(R$4,Curves,0)))</f>
        <v/>
      </c>
      <c r="S256" s="201" t="str">
        <f aca="false">IF(A257="","",R256)</f>
        <v/>
      </c>
      <c r="T256" s="200" t="str">
        <f aca="false">IF($A257="","",VLOOKUP($A256,Table,MATCH(T$4,Curves,0)))</f>
        <v/>
      </c>
      <c r="U256" s="201" t="str">
        <f aca="false">IF(A257="","",T256)</f>
        <v/>
      </c>
      <c r="V256" s="205" t="str">
        <f aca="false">IF($A257="","",IF(AND(MONTH(A256)&gt;3,MONTH(A256)&lt;11),(T256+R256+G256)*Summary!$T$10/(1-Summary!$T$10),(T256+R256+G256)*Summary!$U$10/(1-Summary!$U$10)))</f>
        <v/>
      </c>
      <c r="W256" s="200" t="str">
        <f aca="false">IF($A257="","",(T256+R256+G256+V256))</f>
        <v/>
      </c>
      <c r="X256" s="200" t="str">
        <f aca="false">IF($A257="","",(U256+S256+H256+V256))</f>
        <v/>
      </c>
      <c r="Y256" s="202"/>
      <c r="Z256" s="185" t="str">
        <f aca="false">IF($A257="","",VLOOKUP($A256,Table,MATCH(Z$4,Curves,0)))</f>
        <v/>
      </c>
      <c r="AA256" s="185" t="str">
        <f aca="false">IF($A257="","",VLOOKUP($A256,Table,MATCH(AA$4,Curves,0)))</f>
        <v/>
      </c>
      <c r="AB256" s="185" t="e">
        <f aca="false">SQRT((AA256^2*(A256-$D$3)+Z256^2*(DAY(EOMONTH(A256,0))/2))/AK256)</f>
        <v>#VALUE!</v>
      </c>
      <c r="AC256" s="185" t="str">
        <f aca="false">IF($A257="","",VLOOKUP($A256,Table,MATCH(AC$4,Curves,0)))</f>
        <v/>
      </c>
      <c r="AD256" s="185" t="str">
        <f aca="false">IF($A257="","",VLOOKUP($A256,Table,MATCH(AD$4,Curves,0)))</f>
        <v/>
      </c>
      <c r="AE256" s="185" t="e">
        <f aca="false">SQRT((AD256^2*(A256-$D$3)+AC256^2*(DAY(EOMONTH(A256,0))/2))/AK256)</f>
        <v>#VALUE!</v>
      </c>
      <c r="AF256" s="224" t="e">
        <f aca="false">((Summary!$N$10*(AA256*AD256)*(A256-$D$3))+(Summary!$M$10*Z256*AC256*(AJ256-EOMONTH(EDATE(A256,-1),0))))/(AK256*AB256*AE256)</f>
        <v>#VALUE!</v>
      </c>
      <c r="AG256" s="207" t="str">
        <f aca="false">IF($A257="","",Summary!$Q$10)</f>
        <v/>
      </c>
      <c r="AH256" s="207" t="str">
        <f aca="false">IF($A257="","",IF(Summary!$R$10="Y",(VLOOKUP($A256,Summary!$AD$6:$AF$9,3)+'Escalating commodity'!F269),'Escalating commodity'!F269))</f>
        <v/>
      </c>
      <c r="AI256" s="207" t="str">
        <f aca="false">IF($A257="","",AH256)</f>
        <v/>
      </c>
      <c r="AJ256" s="208" t="e">
        <f aca="false">A256+DAY(EOMONTH(A256,0))/2-1</f>
        <v>#VALUE!</v>
      </c>
      <c r="AK256" s="209" t="str">
        <f aca="false">IF($A257="","",$A256-$E$1)</f>
        <v/>
      </c>
      <c r="AL256" s="182" t="str">
        <f aca="false">IF($A257="","",SPRDOPT(P256,X256,AI256,0,AB256,AE256,AF256,AK256,$AJ$2,0))</f>
        <v/>
      </c>
      <c r="AM256" s="211" t="str">
        <f aca="false">IF($A257="","",MAX(0,O256-W256-AI256))</f>
        <v/>
      </c>
      <c r="AN256" s="211" t="str">
        <f aca="false">IF($A257="","",AL256-AM256)</f>
        <v/>
      </c>
      <c r="AO256" s="137" t="str">
        <f aca="false">IF(A257="","",A257-A256)</f>
        <v/>
      </c>
      <c r="AP256" s="212" t="str">
        <f aca="false">IF(A257="","",CHOOSE(F$3,A257+24,A256))</f>
        <v/>
      </c>
      <c r="AQ256" s="209" t="str">
        <f aca="false">IF(A257="","",AP256-$E$1)</f>
        <v/>
      </c>
      <c r="AR256" s="185" t="n">
        <f aca="false">'ANR OK vs ML7'!AR256</f>
        <v>0.1</v>
      </c>
      <c r="AS256" s="213" t="str">
        <f aca="false">IF(A257="","",1/(1+CHOOSE(F$3,(AR257+($I$3/10000))/2,(AR256+($I$3/10000))/2))^(2*AQ256/365.25))</f>
        <v/>
      </c>
      <c r="AT256" s="137" t="str">
        <f aca="false">IF(A257="","",IF(AND(mthbeg&lt;=A256,mthend&gt;=A256),1,0))</f>
        <v/>
      </c>
      <c r="AU256" s="137" t="str">
        <f aca="false">IF(A257="","",AO256*AT256)</f>
        <v/>
      </c>
      <c r="AW256" s="195" t="str">
        <f aca="false">IF($A257="","",AL256*$E256)</f>
        <v/>
      </c>
      <c r="AX256" s="195" t="str">
        <f aca="false">IF($A257="","",AM256*$E256)</f>
        <v/>
      </c>
      <c r="AY256" s="195" t="str">
        <f aca="false">IF($A257="","",AN256*$E256)</f>
        <v/>
      </c>
      <c r="BA256" s="195" t="str">
        <f aca="false">IF($A257="","",F256*Summary!$Q$10)</f>
        <v/>
      </c>
    </row>
    <row r="257" customFormat="false" ht="12" hidden="false" customHeight="true" outlineLevel="0" collapsed="false">
      <c r="A257" s="196" t="str">
        <f aca="false">IF(A256&lt;mthend,EDATE(A256,1),"")</f>
        <v/>
      </c>
      <c r="B257" s="197" t="str">
        <f aca="false">IF(A257&lt;mthend,B256,"")</f>
        <v/>
      </c>
      <c r="C257" s="215"/>
      <c r="D257" s="197" t="str">
        <f aca="false">IF(A258&lt;&gt;"",B257+C257,"")</f>
        <v/>
      </c>
      <c r="E257" s="199" t="str">
        <f aca="false">IF(A258="","",IF(AND(AT257=1,$H$3=1),D257*AO257,IF($H$3=2,D257,"N/A")))</f>
        <v/>
      </c>
      <c r="F257" s="199" t="str">
        <f aca="false">IF(A258="","",E257*AS257)</f>
        <v/>
      </c>
      <c r="G257" s="200" t="str">
        <f aca="false">IF($A258="","",VLOOKUP($A257,Table,MATCH(G$4,Curves,0)))</f>
        <v/>
      </c>
      <c r="H257" s="201" t="str">
        <f aca="false">IF(A258="","",G257)</f>
        <v/>
      </c>
      <c r="I257" s="202"/>
      <c r="J257" s="200" t="str">
        <f aca="false">IF($A258="","",VLOOKUP($A257,Table,MATCH(J$4,Curves,0)))</f>
        <v/>
      </c>
      <c r="K257" s="201" t="str">
        <f aca="false">IF(A258="","",J257)</f>
        <v/>
      </c>
      <c r="L257" s="185" t="n">
        <v>0</v>
      </c>
      <c r="M257" s="201" t="str">
        <f aca="false">IF(A258="","",L257)</f>
        <v/>
      </c>
      <c r="N257" s="203"/>
      <c r="O257" s="200" t="str">
        <f aca="false">IF(A258="","",L257+J257+G257)</f>
        <v/>
      </c>
      <c r="P257" s="200" t="str">
        <f aca="false">IF(A258="","",M257+K257+H257)</f>
        <v/>
      </c>
      <c r="Q257" s="204"/>
      <c r="R257" s="200" t="str">
        <f aca="false">IF($A258="","",VLOOKUP($A257,Table,MATCH(R$4,Curves,0)))</f>
        <v/>
      </c>
      <c r="S257" s="201" t="str">
        <f aca="false">IF(A258="","",R257)</f>
        <v/>
      </c>
      <c r="T257" s="200" t="str">
        <f aca="false">IF($A258="","",VLOOKUP($A257,Table,MATCH(T$4,Curves,0)))</f>
        <v/>
      </c>
      <c r="U257" s="201" t="str">
        <f aca="false">IF(A258="","",T257)</f>
        <v/>
      </c>
      <c r="V257" s="205" t="str">
        <f aca="false">IF($A258="","",IF(AND(MONTH(A257)&gt;3,MONTH(A257)&lt;11),(T257+R257+G257)*Summary!$T$10/(1-Summary!$T$10),(T257+R257+G257)*Summary!$U$10/(1-Summary!$U$10)))</f>
        <v/>
      </c>
      <c r="W257" s="200" t="str">
        <f aca="false">IF($A258="","",(T257+R257+G257+V257))</f>
        <v/>
      </c>
      <c r="X257" s="200" t="str">
        <f aca="false">IF($A258="","",(U257+S257+H257+V257))</f>
        <v/>
      </c>
      <c r="Y257" s="202"/>
      <c r="Z257" s="185" t="str">
        <f aca="false">IF($A258="","",VLOOKUP($A257,Table,MATCH(Z$4,Curves,0)))</f>
        <v/>
      </c>
      <c r="AA257" s="185" t="str">
        <f aca="false">IF($A258="","",VLOOKUP($A257,Table,MATCH(AA$4,Curves,0)))</f>
        <v/>
      </c>
      <c r="AB257" s="185" t="e">
        <f aca="false">SQRT((AA257^2*(A257-$D$3)+Z257^2*(DAY(EOMONTH(A257,0))/2))/AK257)</f>
        <v>#VALUE!</v>
      </c>
      <c r="AC257" s="185" t="str">
        <f aca="false">IF($A258="","",VLOOKUP($A257,Table,MATCH(AC$4,Curves,0)))</f>
        <v/>
      </c>
      <c r="AD257" s="185" t="str">
        <f aca="false">IF($A258="","",VLOOKUP($A257,Table,MATCH(AD$4,Curves,0)))</f>
        <v/>
      </c>
      <c r="AE257" s="185" t="e">
        <f aca="false">SQRT((AD257^2*(A257-$D$3)+AC257^2*(DAY(EOMONTH(A257,0))/2))/AK257)</f>
        <v>#VALUE!</v>
      </c>
      <c r="AF257" s="224" t="e">
        <f aca="false">((Summary!$N$10*(AA257*AD257)*(A257-$D$3))+(Summary!$M$10*Z257*AC257*(AJ257-EOMONTH(EDATE(A257,-1),0))))/(AK257*AB257*AE257)</f>
        <v>#VALUE!</v>
      </c>
      <c r="AG257" s="207" t="str">
        <f aca="false">IF($A258="","",Summary!$Q$10)</f>
        <v/>
      </c>
      <c r="AH257" s="207" t="str">
        <f aca="false">IF($A258="","",IF(Summary!$R$10="Y",(VLOOKUP($A257,Summary!$AD$6:$AF$9,3)+'Escalating commodity'!F270),'Escalating commodity'!F270))</f>
        <v/>
      </c>
      <c r="AI257" s="207" t="str">
        <f aca="false">IF($A258="","",AH257)</f>
        <v/>
      </c>
      <c r="AJ257" s="208" t="e">
        <f aca="false">A257+DAY(EOMONTH(A257,0))/2-1</f>
        <v>#VALUE!</v>
      </c>
      <c r="AK257" s="209" t="str">
        <f aca="false">IF($A258="","",$A257-$E$1)</f>
        <v/>
      </c>
      <c r="AL257" s="182" t="str">
        <f aca="false">IF($A258="","",SPRDOPT(P257,X257,AI257,0,AB257,AE257,AF257,AK257,$AJ$2,0))</f>
        <v/>
      </c>
      <c r="AM257" s="211" t="str">
        <f aca="false">IF($A258="","",MAX(0,O257-W257-AI257))</f>
        <v/>
      </c>
      <c r="AN257" s="211" t="str">
        <f aca="false">IF($A258="","",AL257-AM257)</f>
        <v/>
      </c>
      <c r="AO257" s="137" t="str">
        <f aca="false">IF(A258="","",A258-A257)</f>
        <v/>
      </c>
      <c r="AP257" s="212" t="str">
        <f aca="false">IF(A258="","",CHOOSE(F$3,A258+24,A257))</f>
        <v/>
      </c>
      <c r="AQ257" s="209" t="str">
        <f aca="false">IF(A258="","",AP257-$E$1)</f>
        <v/>
      </c>
      <c r="AR257" s="185" t="n">
        <f aca="false">'ANR OK vs ML7'!AR257</f>
        <v>0.1</v>
      </c>
      <c r="AS257" s="213" t="str">
        <f aca="false">IF(A258="","",1/(1+CHOOSE(F$3,(AR258+($I$3/10000))/2,(AR257+($I$3/10000))/2))^(2*AQ257/365.25))</f>
        <v/>
      </c>
      <c r="AT257" s="137" t="str">
        <f aca="false">IF(A258="","",IF(AND(mthbeg&lt;=A257,mthend&gt;=A257),1,0))</f>
        <v/>
      </c>
      <c r="AU257" s="137" t="str">
        <f aca="false">IF(A258="","",AO257*AT257)</f>
        <v/>
      </c>
      <c r="AW257" s="195" t="str">
        <f aca="false">IF($A258="","",AL257*$E257)</f>
        <v/>
      </c>
      <c r="AX257" s="195" t="str">
        <f aca="false">IF($A258="","",AM257*$E257)</f>
        <v/>
      </c>
      <c r="AY257" s="195" t="str">
        <f aca="false">IF($A258="","",AN257*$E257)</f>
        <v/>
      </c>
      <c r="BA257" s="195" t="str">
        <f aca="false">IF($A258="","",F257*Summary!$Q$10)</f>
        <v/>
      </c>
    </row>
    <row r="258" customFormat="false" ht="12" hidden="false" customHeight="true" outlineLevel="0" collapsed="false">
      <c r="A258" s="196" t="str">
        <f aca="false">IF(A257&lt;mthend,EDATE(A257,1),"")</f>
        <v/>
      </c>
      <c r="B258" s="197" t="str">
        <f aca="false">IF(A258&lt;mthend,B257,"")</f>
        <v/>
      </c>
      <c r="C258" s="215"/>
      <c r="D258" s="197" t="str">
        <f aca="false">IF(A259&lt;&gt;"",B258+C258,"")</f>
        <v/>
      </c>
      <c r="E258" s="199" t="str">
        <f aca="false">IF(A259="","",IF(AND(AT258=1,$H$3=1),D258*AO258,IF($H$3=2,D258,"N/A")))</f>
        <v/>
      </c>
      <c r="F258" s="199" t="str">
        <f aca="false">IF(A259="","",E258*AS258)</f>
        <v/>
      </c>
      <c r="G258" s="200" t="str">
        <f aca="false">IF($A259="","",VLOOKUP($A258,Table,MATCH(G$4,Curves,0)))</f>
        <v/>
      </c>
      <c r="H258" s="201" t="str">
        <f aca="false">IF(A259="","",G258)</f>
        <v/>
      </c>
      <c r="I258" s="202"/>
      <c r="J258" s="200" t="str">
        <f aca="false">IF($A259="","",VLOOKUP($A258,Table,MATCH(J$4,Curves,0)))</f>
        <v/>
      </c>
      <c r="K258" s="201" t="str">
        <f aca="false">IF(A259="","",J258)</f>
        <v/>
      </c>
      <c r="L258" s="185" t="n">
        <v>0</v>
      </c>
      <c r="M258" s="201" t="str">
        <f aca="false">IF(A259="","",L258)</f>
        <v/>
      </c>
      <c r="N258" s="203"/>
      <c r="O258" s="200" t="str">
        <f aca="false">IF(A259="","",L258+J258+G258)</f>
        <v/>
      </c>
      <c r="P258" s="200" t="str">
        <f aca="false">IF(A259="","",M258+K258+H258)</f>
        <v/>
      </c>
      <c r="Q258" s="204"/>
      <c r="R258" s="200" t="str">
        <f aca="false">IF($A259="","",VLOOKUP($A258,Table,MATCH(R$4,Curves,0)))</f>
        <v/>
      </c>
      <c r="S258" s="201" t="str">
        <f aca="false">IF(A259="","",R258)</f>
        <v/>
      </c>
      <c r="T258" s="200" t="str">
        <f aca="false">IF($A259="","",VLOOKUP($A258,Table,MATCH(T$4,Curves,0)))</f>
        <v/>
      </c>
      <c r="U258" s="201" t="str">
        <f aca="false">IF(A259="","",T258)</f>
        <v/>
      </c>
      <c r="V258" s="205" t="str">
        <f aca="false">IF($A259="","",IF(AND(MONTH(A258)&gt;3,MONTH(A258)&lt;11),(T258+R258+G258)*Summary!$T$10/(1-Summary!$T$10),(T258+R258+G258)*Summary!$U$10/(1-Summary!$U$10)))</f>
        <v/>
      </c>
      <c r="W258" s="200" t="str">
        <f aca="false">IF($A259="","",(T258+R258+G258+V258))</f>
        <v/>
      </c>
      <c r="X258" s="200" t="str">
        <f aca="false">IF($A259="","",(U258+S258+H258+V258))</f>
        <v/>
      </c>
      <c r="Y258" s="202"/>
      <c r="Z258" s="185" t="str">
        <f aca="false">IF($A259="","",VLOOKUP($A258,Table,MATCH(Z$4,Curves,0)))</f>
        <v/>
      </c>
      <c r="AA258" s="185" t="str">
        <f aca="false">IF($A259="","",VLOOKUP($A258,Table,MATCH(AA$4,Curves,0)))</f>
        <v/>
      </c>
      <c r="AB258" s="185" t="e">
        <f aca="false">SQRT((AA258^2*(A258-$D$3)+Z258^2*(DAY(EOMONTH(A258,0))/2))/AK258)</f>
        <v>#VALUE!</v>
      </c>
      <c r="AC258" s="185" t="str">
        <f aca="false">IF($A259="","",VLOOKUP($A258,Table,MATCH(AC$4,Curves,0)))</f>
        <v/>
      </c>
      <c r="AD258" s="185" t="str">
        <f aca="false">IF($A259="","",VLOOKUP($A258,Table,MATCH(AD$4,Curves,0)))</f>
        <v/>
      </c>
      <c r="AE258" s="185" t="e">
        <f aca="false">SQRT((AD258^2*(A258-$D$3)+AC258^2*(DAY(EOMONTH(A258,0))/2))/AK258)</f>
        <v>#VALUE!</v>
      </c>
      <c r="AF258" s="224" t="e">
        <f aca="false">((Summary!$N$10*(AA258*AD258)*(A258-$D$3))+(Summary!$M$10*Z258*AC258*(AJ258-EOMONTH(EDATE(A258,-1),0))))/(AK258*AB258*AE258)</f>
        <v>#VALUE!</v>
      </c>
      <c r="AG258" s="207" t="str">
        <f aca="false">IF($A259="","",Summary!$Q$10)</f>
        <v/>
      </c>
      <c r="AH258" s="207" t="str">
        <f aca="false">IF($A259="","",IF(Summary!$R$10="Y",(VLOOKUP($A258,Summary!$AD$6:$AF$9,3)+'Escalating commodity'!F271),'Escalating commodity'!F271))</f>
        <v/>
      </c>
      <c r="AI258" s="207" t="str">
        <f aca="false">IF($A259="","",AH258)</f>
        <v/>
      </c>
      <c r="AJ258" s="208" t="e">
        <f aca="false">A258+DAY(EOMONTH(A258,0))/2-1</f>
        <v>#VALUE!</v>
      </c>
      <c r="AK258" s="209" t="str">
        <f aca="false">IF($A259="","",$A258-$E$1)</f>
        <v/>
      </c>
      <c r="AL258" s="182" t="str">
        <f aca="false">IF($A259="","",SPRDOPT(P258,X258,AI258,0,AB258,AE258,AF258,AK258,$AJ$2,0))</f>
        <v/>
      </c>
      <c r="AM258" s="211" t="str">
        <f aca="false">IF($A259="","",MAX(0,O258-W258-AI258))</f>
        <v/>
      </c>
      <c r="AN258" s="211" t="str">
        <f aca="false">IF($A259="","",AL258-AM258)</f>
        <v/>
      </c>
      <c r="AO258" s="137" t="str">
        <f aca="false">IF(A259="","",A259-A258)</f>
        <v/>
      </c>
      <c r="AP258" s="212" t="str">
        <f aca="false">IF(A259="","",CHOOSE(F$3,A259+24,A258))</f>
        <v/>
      </c>
      <c r="AQ258" s="209" t="str">
        <f aca="false">IF(A259="","",AP258-$E$1)</f>
        <v/>
      </c>
      <c r="AR258" s="185" t="n">
        <f aca="false">'ANR OK vs ML7'!AR258</f>
        <v>0.1</v>
      </c>
      <c r="AS258" s="213" t="str">
        <f aca="false">IF(A259="","",1/(1+CHOOSE(F$3,(AR259+($I$3/10000))/2,(AR258+($I$3/10000))/2))^(2*AQ258/365.25))</f>
        <v/>
      </c>
      <c r="AT258" s="137" t="str">
        <f aca="false">IF(A259="","",IF(AND(mthbeg&lt;=A258,mthend&gt;=A258),1,0))</f>
        <v/>
      </c>
      <c r="AU258" s="137" t="str">
        <f aca="false">IF(A259="","",AO258*AT258)</f>
        <v/>
      </c>
      <c r="AW258" s="195" t="str">
        <f aca="false">IF($A259="","",AL258*$E258)</f>
        <v/>
      </c>
      <c r="AX258" s="195" t="str">
        <f aca="false">IF($A259="","",AM258*$E258)</f>
        <v/>
      </c>
      <c r="AY258" s="195" t="str">
        <f aca="false">IF($A259="","",AN258*$E258)</f>
        <v/>
      </c>
      <c r="BA258" s="195" t="str">
        <f aca="false">IF($A259="","",F258*Summary!$Q$10)</f>
        <v/>
      </c>
    </row>
    <row r="259" customFormat="false" ht="12" hidden="false" customHeight="true" outlineLevel="0" collapsed="false">
      <c r="A259" s="196" t="str">
        <f aca="false">IF(A258&lt;mthend,EDATE(A258,1),"")</f>
        <v/>
      </c>
      <c r="B259" s="197" t="str">
        <f aca="false">IF(A259&lt;mthend,B258,"")</f>
        <v/>
      </c>
      <c r="C259" s="215"/>
      <c r="D259" s="197" t="str">
        <f aca="false">IF(A260&lt;&gt;"",B259+C259,"")</f>
        <v/>
      </c>
      <c r="E259" s="199" t="str">
        <f aca="false">IF(A260="","",IF(AND(AT259=1,$H$3=1),D259*AO259,IF($H$3=2,D259,"N/A")))</f>
        <v/>
      </c>
      <c r="F259" s="199" t="str">
        <f aca="false">IF(A260="","",E259*AS259)</f>
        <v/>
      </c>
      <c r="G259" s="200" t="str">
        <f aca="false">IF($A260="","",VLOOKUP($A259,Table,MATCH(G$4,Curves,0)))</f>
        <v/>
      </c>
      <c r="H259" s="201" t="str">
        <f aca="false">IF(A260="","",G259)</f>
        <v/>
      </c>
      <c r="I259" s="202"/>
      <c r="J259" s="200" t="str">
        <f aca="false">IF($A260="","",VLOOKUP($A259,Table,MATCH(J$4,Curves,0)))</f>
        <v/>
      </c>
      <c r="K259" s="201" t="str">
        <f aca="false">IF(A260="","",J259)</f>
        <v/>
      </c>
      <c r="L259" s="185" t="n">
        <v>0</v>
      </c>
      <c r="M259" s="201" t="str">
        <f aca="false">IF(A260="","",L259)</f>
        <v/>
      </c>
      <c r="N259" s="203"/>
      <c r="O259" s="200" t="str">
        <f aca="false">IF(A260="","",L259+J259+G259)</f>
        <v/>
      </c>
      <c r="P259" s="200" t="str">
        <f aca="false">IF(A260="","",M259+K259+H259)</f>
        <v/>
      </c>
      <c r="Q259" s="204"/>
      <c r="R259" s="200" t="str">
        <f aca="false">IF($A260="","",VLOOKUP($A259,Table,MATCH(R$4,Curves,0)))</f>
        <v/>
      </c>
      <c r="S259" s="201" t="str">
        <f aca="false">IF(A260="","",R259)</f>
        <v/>
      </c>
      <c r="T259" s="200" t="str">
        <f aca="false">IF($A260="","",VLOOKUP($A259,Table,MATCH(T$4,Curves,0)))</f>
        <v/>
      </c>
      <c r="U259" s="201" t="str">
        <f aca="false">IF(A260="","",T259)</f>
        <v/>
      </c>
      <c r="V259" s="205" t="str">
        <f aca="false">IF($A260="","",IF(AND(MONTH(A259)&gt;3,MONTH(A259)&lt;11),(T259+R259+G259)*Summary!$T$10/(1-Summary!$T$10),(T259+R259+G259)*Summary!$U$10/(1-Summary!$U$10)))</f>
        <v/>
      </c>
      <c r="W259" s="200" t="str">
        <f aca="false">IF($A260="","",(T259+R259+G259+V259))</f>
        <v/>
      </c>
      <c r="X259" s="200" t="str">
        <f aca="false">IF($A260="","",(U259+S259+H259+V259))</f>
        <v/>
      </c>
      <c r="Y259" s="202"/>
      <c r="Z259" s="185" t="str">
        <f aca="false">IF($A260="","",VLOOKUP($A259,Table,MATCH(Z$4,Curves,0)))</f>
        <v/>
      </c>
      <c r="AA259" s="185" t="str">
        <f aca="false">IF($A260="","",VLOOKUP($A259,Table,MATCH(AA$4,Curves,0)))</f>
        <v/>
      </c>
      <c r="AB259" s="185" t="e">
        <f aca="false">SQRT((AA259^2*(A259-$D$3)+Z259^2*(DAY(EOMONTH(A259,0))/2))/AK259)</f>
        <v>#VALUE!</v>
      </c>
      <c r="AC259" s="185" t="str">
        <f aca="false">IF($A260="","",VLOOKUP($A259,Table,MATCH(AC$4,Curves,0)))</f>
        <v/>
      </c>
      <c r="AD259" s="185" t="str">
        <f aca="false">IF($A260="","",VLOOKUP($A259,Table,MATCH(AD$4,Curves,0)))</f>
        <v/>
      </c>
      <c r="AE259" s="185" t="e">
        <f aca="false">SQRT((AD259^2*(A259-$D$3)+AC259^2*(DAY(EOMONTH(A259,0))/2))/AK259)</f>
        <v>#VALUE!</v>
      </c>
      <c r="AF259" s="224" t="e">
        <f aca="false">((Summary!$N$10*(AA259*AD259)*(A259-$D$3))+(Summary!$M$10*Z259*AC259*(AJ259-EOMONTH(EDATE(A259,-1),0))))/(AK259*AB259*AE259)</f>
        <v>#VALUE!</v>
      </c>
      <c r="AG259" s="207" t="str">
        <f aca="false">IF($A260="","",Summary!$Q$10)</f>
        <v/>
      </c>
      <c r="AH259" s="207" t="str">
        <f aca="false">IF($A260="","",IF(Summary!$R$10="Y",(VLOOKUP($A259,Summary!$AD$6:$AF$9,3)+'Escalating commodity'!F272),'Escalating commodity'!F272))</f>
        <v/>
      </c>
      <c r="AI259" s="207" t="str">
        <f aca="false">IF($A260="","",AH259)</f>
        <v/>
      </c>
      <c r="AJ259" s="208" t="e">
        <f aca="false">A259+DAY(EOMONTH(A259,0))/2-1</f>
        <v>#VALUE!</v>
      </c>
      <c r="AK259" s="209" t="str">
        <f aca="false">IF($A260="","",$A259-$E$1)</f>
        <v/>
      </c>
      <c r="AL259" s="182" t="str">
        <f aca="false">IF($A260="","",SPRDOPT(P259,X259,AI259,0,AB259,AE259,AF259,AK259,$AJ$2,0))</f>
        <v/>
      </c>
      <c r="AM259" s="211" t="str">
        <f aca="false">IF($A260="","",MAX(0,O259-W259-AI259))</f>
        <v/>
      </c>
      <c r="AN259" s="211" t="str">
        <f aca="false">IF($A260="","",AL259-AM259)</f>
        <v/>
      </c>
      <c r="AO259" s="137" t="str">
        <f aca="false">IF(A260="","",A260-A259)</f>
        <v/>
      </c>
      <c r="AP259" s="212" t="str">
        <f aca="false">IF(A260="","",CHOOSE(F$3,A260+24,A259))</f>
        <v/>
      </c>
      <c r="AQ259" s="209" t="str">
        <f aca="false">IF(A260="","",AP259-$E$1)</f>
        <v/>
      </c>
      <c r="AR259" s="185" t="n">
        <f aca="false">'ANR OK vs ML7'!AR259</f>
        <v>0.1</v>
      </c>
      <c r="AS259" s="213" t="str">
        <f aca="false">IF(A260="","",1/(1+CHOOSE(F$3,(AR260+($I$3/10000))/2,(AR259+($I$3/10000))/2))^(2*AQ259/365.25))</f>
        <v/>
      </c>
      <c r="AT259" s="137" t="str">
        <f aca="false">IF(A260="","",IF(AND(mthbeg&lt;=A259,mthend&gt;=A259),1,0))</f>
        <v/>
      </c>
      <c r="AU259" s="137" t="str">
        <f aca="false">IF(A260="","",AO259*AT259)</f>
        <v/>
      </c>
      <c r="AW259" s="195" t="str">
        <f aca="false">IF($A260="","",AL259*$E259)</f>
        <v/>
      </c>
      <c r="AX259" s="195" t="str">
        <f aca="false">IF($A260="","",AM259*$E259)</f>
        <v/>
      </c>
      <c r="AY259" s="195" t="str">
        <f aca="false">IF($A260="","",AN259*$E259)</f>
        <v/>
      </c>
      <c r="BA259" s="195" t="str">
        <f aca="false">IF($A260="","",F259*Summary!$Q$10)</f>
        <v/>
      </c>
    </row>
    <row r="260" customFormat="false" ht="12" hidden="false" customHeight="true" outlineLevel="0" collapsed="false">
      <c r="A260" s="196" t="str">
        <f aca="false">IF(A259&lt;mthend,EDATE(A259,1),"")</f>
        <v/>
      </c>
      <c r="B260" s="197" t="str">
        <f aca="false">IF(A260&lt;mthend,B259,"")</f>
        <v/>
      </c>
      <c r="C260" s="215"/>
      <c r="D260" s="197" t="str">
        <f aca="false">IF(A261&lt;&gt;"",B260+C260,"")</f>
        <v/>
      </c>
      <c r="E260" s="199" t="str">
        <f aca="false">IF(A261="","",IF(AND(AT260=1,$H$3=1),D260*AO260,IF($H$3=2,D260,"N/A")))</f>
        <v/>
      </c>
      <c r="F260" s="199" t="str">
        <f aca="false">IF(A261="","",E260*AS260)</f>
        <v/>
      </c>
      <c r="G260" s="200" t="str">
        <f aca="false">IF($A261="","",VLOOKUP($A260,Table,MATCH(G$4,Curves,0)))</f>
        <v/>
      </c>
      <c r="H260" s="201" t="str">
        <f aca="false">IF(A261="","",G260)</f>
        <v/>
      </c>
      <c r="I260" s="202"/>
      <c r="J260" s="200" t="str">
        <f aca="false">IF($A261="","",VLOOKUP($A260,Table,MATCH(J$4,Curves,0)))</f>
        <v/>
      </c>
      <c r="K260" s="201" t="str">
        <f aca="false">IF(A261="","",J260)</f>
        <v/>
      </c>
      <c r="L260" s="185" t="n">
        <v>0</v>
      </c>
      <c r="M260" s="201" t="str">
        <f aca="false">IF(A261="","",L260)</f>
        <v/>
      </c>
      <c r="N260" s="203"/>
      <c r="O260" s="200" t="str">
        <f aca="false">IF(A261="","",L260+J260+G260)</f>
        <v/>
      </c>
      <c r="P260" s="200" t="str">
        <f aca="false">IF(A261="","",M260+K260+H260)</f>
        <v/>
      </c>
      <c r="Q260" s="204"/>
      <c r="R260" s="200" t="str">
        <f aca="false">IF($A261="","",VLOOKUP($A260,Table,MATCH(R$4,Curves,0)))</f>
        <v/>
      </c>
      <c r="S260" s="201" t="str">
        <f aca="false">IF(A261="","",R260)</f>
        <v/>
      </c>
      <c r="T260" s="200" t="str">
        <f aca="false">IF($A261="","",VLOOKUP($A260,Table,MATCH(T$4,Curves,0)))</f>
        <v/>
      </c>
      <c r="U260" s="201" t="str">
        <f aca="false">IF(A261="","",T260)</f>
        <v/>
      </c>
      <c r="V260" s="205" t="str">
        <f aca="false">IF($A261="","",IF(AND(MONTH(A260)&gt;3,MONTH(A260)&lt;11),(T260+R260+G260)*Summary!$T$10/(1-Summary!$T$10),(T260+R260+G260)*Summary!$U$10/(1-Summary!$U$10)))</f>
        <v/>
      </c>
      <c r="W260" s="200" t="str">
        <f aca="false">IF($A261="","",(T260+R260+G260+V260))</f>
        <v/>
      </c>
      <c r="X260" s="200" t="str">
        <f aca="false">IF($A261="","",(U260+S260+H260+V260))</f>
        <v/>
      </c>
      <c r="Y260" s="202"/>
      <c r="Z260" s="185" t="str">
        <f aca="false">IF($A261="","",VLOOKUP($A260,Table,MATCH(Z$4,Curves,0)))</f>
        <v/>
      </c>
      <c r="AA260" s="185" t="str">
        <f aca="false">IF($A261="","",VLOOKUP($A260,Table,MATCH(AA$4,Curves,0)))</f>
        <v/>
      </c>
      <c r="AB260" s="185" t="e">
        <f aca="false">SQRT((AA260^2*(A260-$D$3)+Z260^2*(DAY(EOMONTH(A260,0))/2))/AK260)</f>
        <v>#VALUE!</v>
      </c>
      <c r="AC260" s="185" t="str">
        <f aca="false">IF($A261="","",VLOOKUP($A260,Table,MATCH(AC$4,Curves,0)))</f>
        <v/>
      </c>
      <c r="AD260" s="185" t="str">
        <f aca="false">IF($A261="","",VLOOKUP($A260,Table,MATCH(AD$4,Curves,0)))</f>
        <v/>
      </c>
      <c r="AE260" s="185" t="e">
        <f aca="false">SQRT((AD260^2*(A260-$D$3)+AC260^2*(DAY(EOMONTH(A260,0))/2))/AK260)</f>
        <v>#VALUE!</v>
      </c>
      <c r="AF260" s="224" t="e">
        <f aca="false">((Summary!$N$10*(AA260*AD260)*(A260-$D$3))+(Summary!$M$10*Z260*AC260*(AJ260-EOMONTH(EDATE(A260,-1),0))))/(AK260*AB260*AE260)</f>
        <v>#VALUE!</v>
      </c>
      <c r="AG260" s="207" t="str">
        <f aca="false">IF($A261="","",Summary!$Q$10)</f>
        <v/>
      </c>
      <c r="AH260" s="207" t="str">
        <f aca="false">IF($A261="","",IF(Summary!$R$10="Y",(VLOOKUP($A260,Summary!$AD$6:$AF$9,3)+'Escalating commodity'!F273),'Escalating commodity'!F273))</f>
        <v/>
      </c>
      <c r="AI260" s="207" t="str">
        <f aca="false">IF($A261="","",AH260)</f>
        <v/>
      </c>
      <c r="AJ260" s="208" t="e">
        <f aca="false">A260+DAY(EOMONTH(A260,0))/2-1</f>
        <v>#VALUE!</v>
      </c>
      <c r="AK260" s="209" t="str">
        <f aca="false">IF($A261="","",$A260-$E$1)</f>
        <v/>
      </c>
      <c r="AL260" s="182" t="str">
        <f aca="false">IF($A261="","",SPRDOPT(P260,X260,AI260,0,AB260,AE260,AF260,AK260,$AJ$2,0))</f>
        <v/>
      </c>
      <c r="AM260" s="211" t="str">
        <f aca="false">IF($A261="","",MAX(0,O260-W260-AI260))</f>
        <v/>
      </c>
      <c r="AN260" s="211" t="str">
        <f aca="false">IF($A261="","",AL260-AM260)</f>
        <v/>
      </c>
      <c r="AO260" s="137" t="str">
        <f aca="false">IF(A261="","",A261-A260)</f>
        <v/>
      </c>
      <c r="AP260" s="212" t="str">
        <f aca="false">IF(A261="","",CHOOSE(F$3,A261+24,A260))</f>
        <v/>
      </c>
      <c r="AQ260" s="209" t="str">
        <f aca="false">IF(A261="","",AP260-$E$1)</f>
        <v/>
      </c>
      <c r="AR260" s="185" t="n">
        <f aca="false">'ANR OK vs ML7'!AR260</f>
        <v>0.1</v>
      </c>
      <c r="AS260" s="213" t="str">
        <f aca="false">IF(A261="","",1/(1+CHOOSE(F$3,(AR261+($I$3/10000))/2,(AR260+($I$3/10000))/2))^(2*AQ260/365.25))</f>
        <v/>
      </c>
      <c r="AT260" s="137" t="str">
        <f aca="false">IF(A261="","",IF(AND(mthbeg&lt;=A260,mthend&gt;=A260),1,0))</f>
        <v/>
      </c>
      <c r="AU260" s="137" t="str">
        <f aca="false">IF(A261="","",AO260*AT260)</f>
        <v/>
      </c>
      <c r="AW260" s="195" t="str">
        <f aca="false">IF($A261="","",AL260*$E260)</f>
        <v/>
      </c>
      <c r="AX260" s="195" t="str">
        <f aca="false">IF($A261="","",AM260*$E260)</f>
        <v/>
      </c>
      <c r="AY260" s="195" t="str">
        <f aca="false">IF($A261="","",AN260*$E260)</f>
        <v/>
      </c>
      <c r="BA260" s="195" t="str">
        <f aca="false">IF($A261="","",F260*Summary!$Q$10)</f>
        <v/>
      </c>
    </row>
    <row r="261" customFormat="false" ht="12" hidden="false" customHeight="true" outlineLevel="0" collapsed="false">
      <c r="A261" s="196" t="str">
        <f aca="false">IF(A260&lt;mthend,EDATE(A260,1),"")</f>
        <v/>
      </c>
      <c r="B261" s="197" t="str">
        <f aca="false">IF(A261&lt;mthend,B260,"")</f>
        <v/>
      </c>
      <c r="C261" s="215"/>
      <c r="D261" s="197" t="str">
        <f aca="false">IF(A262&lt;&gt;"",B261+C261,"")</f>
        <v/>
      </c>
      <c r="E261" s="199" t="str">
        <f aca="false">IF(A262="","",IF(AND(AT261=1,$H$3=1),D261*AO261,IF($H$3=2,D261,"N/A")))</f>
        <v/>
      </c>
      <c r="F261" s="199" t="str">
        <f aca="false">IF(A262="","",E261*AS261)</f>
        <v/>
      </c>
      <c r="G261" s="200" t="str">
        <f aca="false">IF($A262="","",VLOOKUP($A261,Table,MATCH(G$4,Curves,0)))</f>
        <v/>
      </c>
      <c r="H261" s="201" t="str">
        <f aca="false">IF(A262="","",G261)</f>
        <v/>
      </c>
      <c r="I261" s="202"/>
      <c r="J261" s="200" t="str">
        <f aca="false">IF($A262="","",VLOOKUP($A261,Table,MATCH(J$4,Curves,0)))</f>
        <v/>
      </c>
      <c r="K261" s="201" t="str">
        <f aca="false">IF(A262="","",J261)</f>
        <v/>
      </c>
      <c r="L261" s="185" t="n">
        <v>0</v>
      </c>
      <c r="M261" s="201" t="str">
        <f aca="false">IF(A262="","",L261)</f>
        <v/>
      </c>
      <c r="N261" s="203"/>
      <c r="O261" s="200" t="str">
        <f aca="false">IF(A262="","",L261+J261+G261)</f>
        <v/>
      </c>
      <c r="P261" s="200" t="str">
        <f aca="false">IF(A262="","",M261+K261+H261)</f>
        <v/>
      </c>
      <c r="Q261" s="204"/>
      <c r="R261" s="200" t="str">
        <f aca="false">IF($A262="","",VLOOKUP($A261,Table,MATCH(R$4,Curves,0)))</f>
        <v/>
      </c>
      <c r="S261" s="201" t="str">
        <f aca="false">IF(A262="","",R261)</f>
        <v/>
      </c>
      <c r="T261" s="200" t="str">
        <f aca="false">IF($A262="","",VLOOKUP($A261,Table,MATCH(T$4,Curves,0)))</f>
        <v/>
      </c>
      <c r="U261" s="201" t="str">
        <f aca="false">IF(A262="","",T261)</f>
        <v/>
      </c>
      <c r="V261" s="205" t="str">
        <f aca="false">IF($A262="","",IF(AND(MONTH(A261)&gt;3,MONTH(A261)&lt;11),(T261+R261+G261)*Summary!$T$10/(1-Summary!$T$10),(T261+R261+G261)*Summary!$U$10/(1-Summary!$U$10)))</f>
        <v/>
      </c>
      <c r="W261" s="200" t="str">
        <f aca="false">IF($A262="","",(T261+R261+G261+V261))</f>
        <v/>
      </c>
      <c r="X261" s="200" t="str">
        <f aca="false">IF($A262="","",(U261+S261+H261+V261))</f>
        <v/>
      </c>
      <c r="Y261" s="202"/>
      <c r="Z261" s="185" t="str">
        <f aca="false">IF($A262="","",VLOOKUP($A261,Table,MATCH(Z$4,Curves,0)))</f>
        <v/>
      </c>
      <c r="AA261" s="185" t="str">
        <f aca="false">IF($A262="","",VLOOKUP($A261,Table,MATCH(AA$4,Curves,0)))</f>
        <v/>
      </c>
      <c r="AB261" s="185" t="e">
        <f aca="false">SQRT((AA261^2*(A261-$D$3)+Z261^2*(DAY(EOMONTH(A261,0))/2))/AK261)</f>
        <v>#VALUE!</v>
      </c>
      <c r="AC261" s="185" t="str">
        <f aca="false">IF($A262="","",VLOOKUP($A261,Table,MATCH(AC$4,Curves,0)))</f>
        <v/>
      </c>
      <c r="AD261" s="185" t="str">
        <f aca="false">IF($A262="","",VLOOKUP($A261,Table,MATCH(AD$4,Curves,0)))</f>
        <v/>
      </c>
      <c r="AE261" s="185" t="e">
        <f aca="false">SQRT((AD261^2*(A261-$D$3)+AC261^2*(DAY(EOMONTH(A261,0))/2))/AK261)</f>
        <v>#VALUE!</v>
      </c>
      <c r="AF261" s="224" t="e">
        <f aca="false">((Summary!$N$10*(AA261*AD261)*(A261-$D$3))+(Summary!$M$10*Z261*AC261*(AJ261-EOMONTH(EDATE(A261,-1),0))))/(AK261*AB261*AE261)</f>
        <v>#VALUE!</v>
      </c>
      <c r="AG261" s="207" t="str">
        <f aca="false">IF($A262="","",Summary!$Q$10)</f>
        <v/>
      </c>
      <c r="AH261" s="207" t="str">
        <f aca="false">IF($A262="","",IF(Summary!$R$10="Y",(VLOOKUP($A261,Summary!$AD$6:$AF$9,3)+'Escalating commodity'!F274),'Escalating commodity'!F274))</f>
        <v/>
      </c>
      <c r="AI261" s="207" t="str">
        <f aca="false">IF($A262="","",AH261)</f>
        <v/>
      </c>
      <c r="AJ261" s="208" t="e">
        <f aca="false">A261+DAY(EOMONTH(A261,0))/2-1</f>
        <v>#VALUE!</v>
      </c>
      <c r="AK261" s="209" t="str">
        <f aca="false">IF($A262="","",$A261-$E$1)</f>
        <v/>
      </c>
      <c r="AL261" s="182" t="str">
        <f aca="false">IF($A262="","",SPRDOPT(P261,X261,AI261,0,AB261,AE261,AF261,AK261,$AJ$2,0))</f>
        <v/>
      </c>
      <c r="AM261" s="211" t="str">
        <f aca="false">IF($A262="","",MAX(0,O261-W261-AI261))</f>
        <v/>
      </c>
      <c r="AN261" s="211" t="str">
        <f aca="false">IF($A262="","",AL261-AM261)</f>
        <v/>
      </c>
      <c r="AO261" s="137" t="str">
        <f aca="false">IF(A262="","",A262-A261)</f>
        <v/>
      </c>
      <c r="AP261" s="212" t="str">
        <f aca="false">IF(A262="","",CHOOSE(F$3,A262+24,A261))</f>
        <v/>
      </c>
      <c r="AQ261" s="209" t="str">
        <f aca="false">IF(A262="","",AP261-$E$1)</f>
        <v/>
      </c>
      <c r="AR261" s="185" t="n">
        <f aca="false">'ANR OK vs ML7'!AR261</f>
        <v>0.1</v>
      </c>
      <c r="AS261" s="213" t="str">
        <f aca="false">IF(A262="","",1/(1+CHOOSE(F$3,(AR262+($I$3/10000))/2,(AR261+($I$3/10000))/2))^(2*AQ261/365.25))</f>
        <v/>
      </c>
      <c r="AT261" s="137" t="str">
        <f aca="false">IF(A262="","",IF(AND(mthbeg&lt;=A261,mthend&gt;=A261),1,0))</f>
        <v/>
      </c>
      <c r="AU261" s="137" t="str">
        <f aca="false">IF(A262="","",AO261*AT261)</f>
        <v/>
      </c>
      <c r="AW261" s="195" t="str">
        <f aca="false">IF($A262="","",AL261*$E261)</f>
        <v/>
      </c>
      <c r="AX261" s="195" t="str">
        <f aca="false">IF($A262="","",AM261*$E261)</f>
        <v/>
      </c>
      <c r="AY261" s="195" t="str">
        <f aca="false">IF($A262="","",AN261*$E261)</f>
        <v/>
      </c>
      <c r="BA261" s="195" t="str">
        <f aca="false">IF($A262="","",F261*Summary!$Q$10)</f>
        <v/>
      </c>
    </row>
    <row r="262" customFormat="false" ht="12" hidden="false" customHeight="true" outlineLevel="0" collapsed="false">
      <c r="A262" s="196" t="str">
        <f aca="false">IF(A261&lt;mthend,EDATE(A261,1),"")</f>
        <v/>
      </c>
      <c r="B262" s="197" t="str">
        <f aca="false">IF(A262&lt;mthend,B261,"")</f>
        <v/>
      </c>
      <c r="C262" s="215"/>
      <c r="D262" s="197" t="str">
        <f aca="false">IF(A263&lt;&gt;"",B262+C262,"")</f>
        <v/>
      </c>
      <c r="E262" s="199" t="str">
        <f aca="false">IF(A263="","",IF(AND(AT262=1,$H$3=1),D262*AO262,IF($H$3=2,D262,"N/A")))</f>
        <v/>
      </c>
      <c r="F262" s="199" t="str">
        <f aca="false">IF(A263="","",E262*AS262)</f>
        <v/>
      </c>
      <c r="G262" s="200" t="str">
        <f aca="false">IF($A263="","",VLOOKUP($A262,Table,MATCH(G$4,Curves,0)))</f>
        <v/>
      </c>
      <c r="H262" s="201" t="str">
        <f aca="false">IF(A263="","",G262)</f>
        <v/>
      </c>
      <c r="I262" s="202"/>
      <c r="J262" s="200" t="str">
        <f aca="false">IF($A263="","",VLOOKUP($A262,Table,MATCH(J$4,Curves,0)))</f>
        <v/>
      </c>
      <c r="K262" s="201" t="str">
        <f aca="false">IF(A263="","",J262)</f>
        <v/>
      </c>
      <c r="L262" s="185" t="n">
        <v>0</v>
      </c>
      <c r="M262" s="201" t="str">
        <f aca="false">IF(A263="","",L262)</f>
        <v/>
      </c>
      <c r="N262" s="203"/>
      <c r="O262" s="200" t="str">
        <f aca="false">IF(A263="","",L262+J262+G262)</f>
        <v/>
      </c>
      <c r="P262" s="200" t="str">
        <f aca="false">IF(A263="","",M262+K262+H262)</f>
        <v/>
      </c>
      <c r="Q262" s="204"/>
      <c r="R262" s="200" t="str">
        <f aca="false">IF($A263="","",VLOOKUP($A262,Table,MATCH(R$4,Curves,0)))</f>
        <v/>
      </c>
      <c r="S262" s="201" t="str">
        <f aca="false">IF(A263="","",R262)</f>
        <v/>
      </c>
      <c r="T262" s="200" t="str">
        <f aca="false">IF($A263="","",VLOOKUP($A262,Table,MATCH(T$4,Curves,0)))</f>
        <v/>
      </c>
      <c r="U262" s="201" t="str">
        <f aca="false">IF(A263="","",T262)</f>
        <v/>
      </c>
      <c r="V262" s="205" t="str">
        <f aca="false">IF($A263="","",IF(AND(MONTH(A262)&gt;3,MONTH(A262)&lt;11),(T262+R262+G262)*Summary!$T$10/(1-Summary!$T$10),(T262+R262+G262)*Summary!$U$10/(1-Summary!$U$10)))</f>
        <v/>
      </c>
      <c r="W262" s="200" t="str">
        <f aca="false">IF($A263="","",(T262+R262+G262+V262))</f>
        <v/>
      </c>
      <c r="X262" s="200" t="str">
        <f aca="false">IF($A263="","",(U262+S262+H262+V262))</f>
        <v/>
      </c>
      <c r="Y262" s="202"/>
      <c r="Z262" s="185" t="str">
        <f aca="false">IF($A263="","",VLOOKUP($A262,Table,MATCH(Z$4,Curves,0)))</f>
        <v/>
      </c>
      <c r="AA262" s="185" t="str">
        <f aca="false">IF($A263="","",VLOOKUP($A262,Table,MATCH(AA$4,Curves,0)))</f>
        <v/>
      </c>
      <c r="AB262" s="185" t="e">
        <f aca="false">SQRT((AA262^2*(A262-$D$3)+Z262^2*(DAY(EOMONTH(A262,0))/2))/AK262)</f>
        <v>#VALUE!</v>
      </c>
      <c r="AC262" s="185" t="str">
        <f aca="false">IF($A263="","",VLOOKUP($A262,Table,MATCH(AC$4,Curves,0)))</f>
        <v/>
      </c>
      <c r="AD262" s="185" t="str">
        <f aca="false">IF($A263="","",VLOOKUP($A262,Table,MATCH(AD$4,Curves,0)))</f>
        <v/>
      </c>
      <c r="AE262" s="185" t="e">
        <f aca="false">SQRT((AD262^2*(A262-$D$3)+AC262^2*(DAY(EOMONTH(A262,0))/2))/AK262)</f>
        <v>#VALUE!</v>
      </c>
      <c r="AF262" s="224" t="e">
        <f aca="false">((Summary!$N$10*(AA262*AD262)*(A262-$D$3))+(Summary!$M$10*Z262*AC262*(AJ262-EOMONTH(EDATE(A262,-1),0))))/(AK262*AB262*AE262)</f>
        <v>#VALUE!</v>
      </c>
      <c r="AG262" s="207" t="str">
        <f aca="false">IF($A263="","",Summary!$Q$10)</f>
        <v/>
      </c>
      <c r="AH262" s="207" t="str">
        <f aca="false">IF($A263="","",IF(Summary!$R$10="Y",(VLOOKUP($A262,Summary!$AD$6:$AF$9,3)+'Escalating commodity'!F275),'Escalating commodity'!F275))</f>
        <v/>
      </c>
      <c r="AI262" s="207" t="str">
        <f aca="false">IF($A263="","",AH262)</f>
        <v/>
      </c>
      <c r="AJ262" s="208" t="e">
        <f aca="false">A262+DAY(EOMONTH(A262,0))/2-1</f>
        <v>#VALUE!</v>
      </c>
      <c r="AK262" s="209" t="str">
        <f aca="false">IF($A263="","",$A262-$E$1)</f>
        <v/>
      </c>
      <c r="AL262" s="182" t="str">
        <f aca="false">IF($A263="","",SPRDOPT(P262,X262,AI262,0,AB262,AE262,AF262,AK262,$AJ$2,0))</f>
        <v/>
      </c>
      <c r="AM262" s="211" t="str">
        <f aca="false">IF($A263="","",MAX(0,O262-W262-AI262))</f>
        <v/>
      </c>
      <c r="AN262" s="211" t="str">
        <f aca="false">IF($A263="","",AL262-AM262)</f>
        <v/>
      </c>
      <c r="AO262" s="137" t="str">
        <f aca="false">IF(A263="","",A263-A262)</f>
        <v/>
      </c>
      <c r="AP262" s="212" t="str">
        <f aca="false">IF(A263="","",CHOOSE(F$3,A263+24,A262))</f>
        <v/>
      </c>
      <c r="AQ262" s="209" t="str">
        <f aca="false">IF(A263="","",AP262-$E$1)</f>
        <v/>
      </c>
      <c r="AR262" s="185" t="n">
        <f aca="false">'ANR OK vs ML7'!AR262</f>
        <v>0.1</v>
      </c>
      <c r="AS262" s="213" t="str">
        <f aca="false">IF(A263="","",1/(1+CHOOSE(F$3,(AR263+($I$3/10000))/2,(AR262+($I$3/10000))/2))^(2*AQ262/365.25))</f>
        <v/>
      </c>
      <c r="AT262" s="137" t="str">
        <f aca="false">IF(A263="","",IF(AND(mthbeg&lt;=A262,mthend&gt;=A262),1,0))</f>
        <v/>
      </c>
      <c r="AU262" s="137" t="str">
        <f aca="false">IF(A263="","",AO262*AT262)</f>
        <v/>
      </c>
      <c r="AW262" s="195" t="str">
        <f aca="false">IF($A263="","",AL262*$E262)</f>
        <v/>
      </c>
      <c r="AX262" s="195" t="str">
        <f aca="false">IF($A263="","",AM262*$E262)</f>
        <v/>
      </c>
      <c r="AY262" s="195" t="str">
        <f aca="false">IF($A263="","",AN262*$E262)</f>
        <v/>
      </c>
      <c r="BA262" s="195" t="str">
        <f aca="false">IF($A263="","",F262*Summary!$Q$10)</f>
        <v/>
      </c>
    </row>
    <row r="263" customFormat="false" ht="12" hidden="false" customHeight="true" outlineLevel="0" collapsed="false">
      <c r="A263" s="196" t="str">
        <f aca="false">IF(A262&lt;mthend,EDATE(A262,1),"")</f>
        <v/>
      </c>
      <c r="B263" s="197" t="str">
        <f aca="false">IF(A263&lt;mthend,B262,"")</f>
        <v/>
      </c>
      <c r="C263" s="215"/>
      <c r="D263" s="197" t="str">
        <f aca="false">IF(A264&lt;&gt;"",B263+C263,"")</f>
        <v/>
      </c>
      <c r="E263" s="199" t="str">
        <f aca="false">IF(A264="","",IF(AND(AT263=1,$H$3=1),D263*AO263,IF($H$3=2,D263,"N/A")))</f>
        <v/>
      </c>
      <c r="F263" s="199" t="str">
        <f aca="false">IF(A264="","",E263*AS263)</f>
        <v/>
      </c>
      <c r="G263" s="200" t="str">
        <f aca="false">IF($A264="","",VLOOKUP($A263,Table,MATCH(G$4,Curves,0)))</f>
        <v/>
      </c>
      <c r="H263" s="201" t="str">
        <f aca="false">IF(A264="","",G263)</f>
        <v/>
      </c>
      <c r="I263" s="202"/>
      <c r="J263" s="200" t="str">
        <f aca="false">IF($A264="","",VLOOKUP($A263,Table,MATCH(J$4,Curves,0)))</f>
        <v/>
      </c>
      <c r="K263" s="201" t="str">
        <f aca="false">IF(A264="","",J263)</f>
        <v/>
      </c>
      <c r="L263" s="185" t="n">
        <v>0</v>
      </c>
      <c r="M263" s="201" t="str">
        <f aca="false">IF(A264="","",L263)</f>
        <v/>
      </c>
      <c r="N263" s="203"/>
      <c r="O263" s="200" t="str">
        <f aca="false">IF(A264="","",L263+J263+G263)</f>
        <v/>
      </c>
      <c r="P263" s="200" t="str">
        <f aca="false">IF(A264="","",M263+K263+H263)</f>
        <v/>
      </c>
      <c r="Q263" s="204"/>
      <c r="R263" s="200" t="str">
        <f aca="false">IF($A264="","",VLOOKUP($A263,Table,MATCH(R$4,Curves,0)))</f>
        <v/>
      </c>
      <c r="S263" s="201" t="str">
        <f aca="false">IF(A264="","",R263)</f>
        <v/>
      </c>
      <c r="T263" s="200" t="str">
        <f aca="false">IF($A264="","",VLOOKUP($A263,Table,MATCH(T$4,Curves,0)))</f>
        <v/>
      </c>
      <c r="U263" s="201" t="str">
        <f aca="false">IF(A264="","",T263)</f>
        <v/>
      </c>
      <c r="V263" s="205" t="str">
        <f aca="false">IF($A264="","",IF(AND(MONTH(A263)&gt;3,MONTH(A263)&lt;11),(T263+R263+G263)*Summary!$T$10/(1-Summary!$T$10),(T263+R263+G263)*Summary!$U$10/(1-Summary!$U$10)))</f>
        <v/>
      </c>
      <c r="W263" s="200" t="str">
        <f aca="false">IF($A264="","",(T263+R263+G263+V263))</f>
        <v/>
      </c>
      <c r="X263" s="200" t="str">
        <f aca="false">IF($A264="","",(U263+S263+H263+V263))</f>
        <v/>
      </c>
      <c r="Y263" s="202"/>
      <c r="Z263" s="185" t="str">
        <f aca="false">IF($A264="","",VLOOKUP($A263,Table,MATCH(Z$4,Curves,0)))</f>
        <v/>
      </c>
      <c r="AA263" s="185" t="str">
        <f aca="false">IF($A264="","",VLOOKUP($A263,Table,MATCH(AA$4,Curves,0)))</f>
        <v/>
      </c>
      <c r="AB263" s="185" t="e">
        <f aca="false">SQRT((AA263^2*(A263-$D$3)+Z263^2*(DAY(EOMONTH(A263,0))/2))/AK263)</f>
        <v>#VALUE!</v>
      </c>
      <c r="AC263" s="185" t="str">
        <f aca="false">IF($A264="","",VLOOKUP($A263,Table,MATCH(AC$4,Curves,0)))</f>
        <v/>
      </c>
      <c r="AD263" s="185" t="str">
        <f aca="false">IF($A264="","",VLOOKUP($A263,Table,MATCH(AD$4,Curves,0)))</f>
        <v/>
      </c>
      <c r="AE263" s="185" t="e">
        <f aca="false">SQRT((AD263^2*(A263-$D$3)+AC263^2*(DAY(EOMONTH(A263,0))/2))/AK263)</f>
        <v>#VALUE!</v>
      </c>
      <c r="AF263" s="224" t="e">
        <f aca="false">((Summary!$N$10*(AA263*AD263)*(A263-$D$3))+(Summary!$M$10*Z263*AC263*(AJ263-EOMONTH(EDATE(A263,-1),0))))/(AK263*AB263*AE263)</f>
        <v>#VALUE!</v>
      </c>
      <c r="AG263" s="207" t="str">
        <f aca="false">IF($A264="","",Summary!$Q$10)</f>
        <v/>
      </c>
      <c r="AH263" s="207" t="str">
        <f aca="false">IF($A264="","",IF(Summary!$R$10="Y",(VLOOKUP($A263,Summary!$AD$6:$AF$9,3)+'Escalating commodity'!F276),'Escalating commodity'!F276))</f>
        <v/>
      </c>
      <c r="AI263" s="207" t="str">
        <f aca="false">IF($A264="","",AH263)</f>
        <v/>
      </c>
      <c r="AJ263" s="208" t="e">
        <f aca="false">A263+DAY(EOMONTH(A263,0))/2-1</f>
        <v>#VALUE!</v>
      </c>
      <c r="AK263" s="209" t="str">
        <f aca="false">IF($A264="","",$A263-$E$1)</f>
        <v/>
      </c>
      <c r="AL263" s="182" t="str">
        <f aca="false">IF($A264="","",SPRDOPT(P263,X263,AI263,0,AB263,AE263,AF263,AK263,$AJ$2,0))</f>
        <v/>
      </c>
      <c r="AM263" s="211" t="str">
        <f aca="false">IF($A264="","",MAX(0,O263-W263-AI263))</f>
        <v/>
      </c>
      <c r="AN263" s="211" t="str">
        <f aca="false">IF($A264="","",AL263-AM263)</f>
        <v/>
      </c>
      <c r="AO263" s="137" t="str">
        <f aca="false">IF(A264="","",A264-A263)</f>
        <v/>
      </c>
      <c r="AP263" s="212" t="str">
        <f aca="false">IF(A264="","",CHOOSE(F$3,A264+24,A263))</f>
        <v/>
      </c>
      <c r="AQ263" s="209" t="str">
        <f aca="false">IF(A264="","",AP263-$E$1)</f>
        <v/>
      </c>
      <c r="AR263" s="185" t="n">
        <f aca="false">'ANR OK vs ML7'!AR263</f>
        <v>0.1</v>
      </c>
      <c r="AS263" s="213" t="str">
        <f aca="false">IF(A264="","",1/(1+CHOOSE(F$3,(AR264+($I$3/10000))/2,(AR263+($I$3/10000))/2))^(2*AQ263/365.25))</f>
        <v/>
      </c>
      <c r="AT263" s="137" t="str">
        <f aca="false">IF(A264="","",IF(AND(mthbeg&lt;=A263,mthend&gt;=A263),1,0))</f>
        <v/>
      </c>
      <c r="AU263" s="137" t="str">
        <f aca="false">IF(A264="","",AO263*AT263)</f>
        <v/>
      </c>
      <c r="AW263" s="195" t="str">
        <f aca="false">IF($A264="","",AL263*$E263)</f>
        <v/>
      </c>
      <c r="AX263" s="195" t="str">
        <f aca="false">IF($A264="","",AM263*$E263)</f>
        <v/>
      </c>
      <c r="AY263" s="195" t="str">
        <f aca="false">IF($A264="","",AN263*$E263)</f>
        <v/>
      </c>
      <c r="BA263" s="195" t="str">
        <f aca="false">IF($A264="","",F263*Summary!$Q$10)</f>
        <v/>
      </c>
    </row>
    <row r="264" customFormat="false" ht="12" hidden="false" customHeight="true" outlineLevel="0" collapsed="false">
      <c r="A264" s="196" t="str">
        <f aca="false">IF(A263&lt;mthend,EDATE(A263,1),"")</f>
        <v/>
      </c>
      <c r="B264" s="197" t="str">
        <f aca="false">IF(A264&lt;mthend,B263,"")</f>
        <v/>
      </c>
      <c r="C264" s="215"/>
      <c r="D264" s="197" t="str">
        <f aca="false">IF(A265&lt;&gt;"",B264+C264,"")</f>
        <v/>
      </c>
      <c r="E264" s="199" t="str">
        <f aca="false">IF(A265="","",IF(AND(AT264=1,$H$3=1),D264*AO264,IF($H$3=2,D264,"N/A")))</f>
        <v/>
      </c>
      <c r="F264" s="199" t="str">
        <f aca="false">IF(A265="","",E264*AS264)</f>
        <v/>
      </c>
      <c r="G264" s="200" t="str">
        <f aca="false">IF($A265="","",VLOOKUP($A264,Table,MATCH(G$4,Curves,0)))</f>
        <v/>
      </c>
      <c r="H264" s="201" t="str">
        <f aca="false">IF(A265="","",G264)</f>
        <v/>
      </c>
      <c r="I264" s="202"/>
      <c r="J264" s="200" t="str">
        <f aca="false">IF($A265="","",VLOOKUP($A264,Table,MATCH(J$4,Curves,0)))</f>
        <v/>
      </c>
      <c r="K264" s="201" t="str">
        <f aca="false">IF(A265="","",J264)</f>
        <v/>
      </c>
      <c r="L264" s="185" t="n">
        <v>0</v>
      </c>
      <c r="M264" s="201" t="str">
        <f aca="false">IF(A265="","",L264)</f>
        <v/>
      </c>
      <c r="N264" s="203"/>
      <c r="O264" s="200" t="str">
        <f aca="false">IF(A265="","",L264+J264+G264)</f>
        <v/>
      </c>
      <c r="P264" s="200" t="str">
        <f aca="false">IF(A265="","",M264+K264+H264)</f>
        <v/>
      </c>
      <c r="Q264" s="204"/>
      <c r="R264" s="200" t="str">
        <f aca="false">IF($A265="","",VLOOKUP($A264,Table,MATCH(R$4,Curves,0)))</f>
        <v/>
      </c>
      <c r="S264" s="201" t="str">
        <f aca="false">IF(A265="","",R264)</f>
        <v/>
      </c>
      <c r="T264" s="200" t="str">
        <f aca="false">IF($A265="","",VLOOKUP($A264,Table,MATCH(T$4,Curves,0)))</f>
        <v/>
      </c>
      <c r="U264" s="201" t="str">
        <f aca="false">IF(A265="","",T264)</f>
        <v/>
      </c>
      <c r="V264" s="205" t="str">
        <f aca="false">IF($A265="","",IF(AND(MONTH(A264)&gt;3,MONTH(A264)&lt;11),(T264+R264+G264)*Summary!$T$10/(1-Summary!$T$10),(T264+R264+G264)*Summary!$U$10/(1-Summary!$U$10)))</f>
        <v/>
      </c>
      <c r="W264" s="200" t="str">
        <f aca="false">IF($A265="","",(T264+R264+G264+V264))</f>
        <v/>
      </c>
      <c r="X264" s="200" t="str">
        <f aca="false">IF($A265="","",(U264+S264+H264+V264))</f>
        <v/>
      </c>
      <c r="Y264" s="202"/>
      <c r="Z264" s="185" t="str">
        <f aca="false">IF($A265="","",VLOOKUP($A264,Table,MATCH(Z$4,Curves,0)))</f>
        <v/>
      </c>
      <c r="AA264" s="185" t="str">
        <f aca="false">IF($A265="","",VLOOKUP($A264,Table,MATCH(AA$4,Curves,0)))</f>
        <v/>
      </c>
      <c r="AB264" s="185" t="e">
        <f aca="false">SQRT((AA264^2*(A264-$D$3)+Z264^2*(DAY(EOMONTH(A264,0))/2))/AK264)</f>
        <v>#VALUE!</v>
      </c>
      <c r="AC264" s="185" t="str">
        <f aca="false">IF($A265="","",VLOOKUP($A264,Table,MATCH(AC$4,Curves,0)))</f>
        <v/>
      </c>
      <c r="AD264" s="185" t="str">
        <f aca="false">IF($A265="","",VLOOKUP($A264,Table,MATCH(AD$4,Curves,0)))</f>
        <v/>
      </c>
      <c r="AE264" s="185" t="e">
        <f aca="false">SQRT((AD264^2*(A264-$D$3)+AC264^2*(DAY(EOMONTH(A264,0))/2))/AK264)</f>
        <v>#VALUE!</v>
      </c>
      <c r="AF264" s="224" t="e">
        <f aca="false">((Summary!$N$10*(AA264*AD264)*(A264-$D$3))+(Summary!$M$10*Z264*AC264*(AJ264-EOMONTH(EDATE(A264,-1),0))))/(AK264*AB264*AE264)</f>
        <v>#VALUE!</v>
      </c>
      <c r="AG264" s="207" t="str">
        <f aca="false">IF($A265="","",Summary!$Q$10)</f>
        <v/>
      </c>
      <c r="AH264" s="207" t="str">
        <f aca="false">IF($A265="","",IF(Summary!$R$10="Y",(VLOOKUP($A264,Summary!$AD$6:$AF$9,3)+'Escalating commodity'!F277),'Escalating commodity'!F277))</f>
        <v/>
      </c>
      <c r="AI264" s="207" t="str">
        <f aca="false">IF($A265="","",AH264)</f>
        <v/>
      </c>
      <c r="AJ264" s="208" t="e">
        <f aca="false">A264+DAY(EOMONTH(A264,0))/2-1</f>
        <v>#VALUE!</v>
      </c>
      <c r="AK264" s="209" t="str">
        <f aca="false">IF($A265="","",$A264-$E$1)</f>
        <v/>
      </c>
      <c r="AL264" s="182" t="str">
        <f aca="false">IF($A265="","",SPRDOPT(P264,X264,AI264,0,AB264,AE264,AF264,AK264,$AJ$2,0))</f>
        <v/>
      </c>
      <c r="AM264" s="211" t="str">
        <f aca="false">IF($A265="","",MAX(0,O264-W264-AI264))</f>
        <v/>
      </c>
      <c r="AN264" s="211" t="str">
        <f aca="false">IF($A265="","",AL264-AM264)</f>
        <v/>
      </c>
      <c r="AO264" s="137" t="str">
        <f aca="false">IF(A265="","",A265-A264)</f>
        <v/>
      </c>
      <c r="AP264" s="212" t="str">
        <f aca="false">IF(A265="","",CHOOSE(F$3,A265+24,A264))</f>
        <v/>
      </c>
      <c r="AQ264" s="209" t="str">
        <f aca="false">IF(A265="","",AP264-$E$1)</f>
        <v/>
      </c>
      <c r="AR264" s="185" t="n">
        <f aca="false">'ANR OK vs ML7'!AR264</f>
        <v>0.1</v>
      </c>
      <c r="AS264" s="213" t="str">
        <f aca="false">IF(A265="","",1/(1+CHOOSE(F$3,(AR265+($I$3/10000))/2,(AR264+($I$3/10000))/2))^(2*AQ264/365.25))</f>
        <v/>
      </c>
      <c r="AT264" s="137" t="str">
        <f aca="false">IF(A265="","",IF(AND(mthbeg&lt;=A264,mthend&gt;=A264),1,0))</f>
        <v/>
      </c>
      <c r="AU264" s="137" t="str">
        <f aca="false">IF(A265="","",AO264*AT264)</f>
        <v/>
      </c>
      <c r="AW264" s="195" t="str">
        <f aca="false">IF($A265="","",AL264*$E264)</f>
        <v/>
      </c>
      <c r="AX264" s="195" t="str">
        <f aca="false">IF($A265="","",AM264*$E264)</f>
        <v/>
      </c>
      <c r="AY264" s="195" t="str">
        <f aca="false">IF($A265="","",AN264*$E264)</f>
        <v/>
      </c>
      <c r="BA264" s="195" t="str">
        <f aca="false">IF($A265="","",F264*Summary!$Q$10)</f>
        <v/>
      </c>
    </row>
    <row r="265" customFormat="false" ht="12" hidden="false" customHeight="true" outlineLevel="0" collapsed="false">
      <c r="A265" s="196" t="str">
        <f aca="false">IF(A264&lt;mthend,EDATE(A264,1),"")</f>
        <v/>
      </c>
      <c r="B265" s="197" t="str">
        <f aca="false">IF(A265&lt;mthend,B264,"")</f>
        <v/>
      </c>
      <c r="C265" s="215"/>
      <c r="D265" s="197" t="str">
        <f aca="false">IF(A266&lt;&gt;"",B265+C265,"")</f>
        <v/>
      </c>
      <c r="E265" s="199" t="str">
        <f aca="false">IF(A266="","",IF(AND(AT265=1,$H$3=1),D265*AO265,IF($H$3=2,D265,"N/A")))</f>
        <v/>
      </c>
      <c r="F265" s="199" t="str">
        <f aca="false">IF(A266="","",E265*AS265)</f>
        <v/>
      </c>
      <c r="G265" s="200" t="str">
        <f aca="false">IF($A266="","",VLOOKUP($A265,Table,MATCH(G$4,Curves,0)))</f>
        <v/>
      </c>
      <c r="H265" s="201" t="str">
        <f aca="false">IF(A266="","",G265)</f>
        <v/>
      </c>
      <c r="I265" s="202"/>
      <c r="J265" s="200" t="str">
        <f aca="false">IF($A266="","",VLOOKUP($A265,Table,MATCH(J$4,Curves,0)))</f>
        <v/>
      </c>
      <c r="K265" s="201" t="str">
        <f aca="false">IF(A266="","",J265)</f>
        <v/>
      </c>
      <c r="L265" s="185" t="n">
        <v>0</v>
      </c>
      <c r="M265" s="201" t="str">
        <f aca="false">IF(A266="","",L265)</f>
        <v/>
      </c>
      <c r="N265" s="203"/>
      <c r="O265" s="200" t="str">
        <f aca="false">IF(A266="","",L265+J265+G265)</f>
        <v/>
      </c>
      <c r="P265" s="200" t="str">
        <f aca="false">IF(A266="","",M265+K265+H265)</f>
        <v/>
      </c>
      <c r="Q265" s="204"/>
      <c r="R265" s="200" t="str">
        <f aca="false">IF($A266="","",VLOOKUP($A265,Table,MATCH(R$4,Curves,0)))</f>
        <v/>
      </c>
      <c r="S265" s="201" t="str">
        <f aca="false">IF(A266="","",R265)</f>
        <v/>
      </c>
      <c r="T265" s="200" t="str">
        <f aca="false">IF($A266="","",VLOOKUP($A265,Table,MATCH(T$4,Curves,0)))</f>
        <v/>
      </c>
      <c r="U265" s="201" t="str">
        <f aca="false">IF(A266="","",T265)</f>
        <v/>
      </c>
      <c r="V265" s="205" t="str">
        <f aca="false">IF($A266="","",IF(AND(MONTH(A265)&gt;3,MONTH(A265)&lt;11),(T265+R265+G265)*Summary!$T$10/(1-Summary!$T$10),(T265+R265+G265)*Summary!$U$10/(1-Summary!$U$10)))</f>
        <v/>
      </c>
      <c r="W265" s="200" t="str">
        <f aca="false">IF($A266="","",(T265+R265+G265+V265))</f>
        <v/>
      </c>
      <c r="X265" s="200" t="str">
        <f aca="false">IF($A266="","",(U265+S265+H265+V265))</f>
        <v/>
      </c>
      <c r="Y265" s="202"/>
      <c r="Z265" s="185" t="str">
        <f aca="false">IF($A266="","",VLOOKUP($A265,Table,MATCH(Z$4,Curves,0)))</f>
        <v/>
      </c>
      <c r="AA265" s="185" t="str">
        <f aca="false">IF($A266="","",VLOOKUP($A265,Table,MATCH(AA$4,Curves,0)))</f>
        <v/>
      </c>
      <c r="AB265" s="185" t="e">
        <f aca="false">SQRT((AA265^2*(A265-$D$3)+Z265^2*(DAY(EOMONTH(A265,0))/2))/AK265)</f>
        <v>#VALUE!</v>
      </c>
      <c r="AC265" s="185" t="str">
        <f aca="false">IF($A266="","",VLOOKUP($A265,Table,MATCH(AC$4,Curves,0)))</f>
        <v/>
      </c>
      <c r="AD265" s="185" t="str">
        <f aca="false">IF($A266="","",VLOOKUP($A265,Table,MATCH(AD$4,Curves,0)))</f>
        <v/>
      </c>
      <c r="AE265" s="185" t="e">
        <f aca="false">SQRT((AD265^2*(A265-$D$3)+AC265^2*(DAY(EOMONTH(A265,0))/2))/AK265)</f>
        <v>#VALUE!</v>
      </c>
      <c r="AF265" s="224" t="e">
        <f aca="false">((Summary!$N$10*(AA265*AD265)*(A265-$D$3))+(Summary!$M$10*Z265*AC265*(AJ265-EOMONTH(EDATE(A265,-1),0))))/(AK265*AB265*AE265)</f>
        <v>#VALUE!</v>
      </c>
      <c r="AG265" s="207" t="str">
        <f aca="false">IF($A266="","",Summary!$Q$10)</f>
        <v/>
      </c>
      <c r="AH265" s="207" t="str">
        <f aca="false">IF($A266="","",IF(Summary!$R$10="Y",(VLOOKUP($A265,Summary!$AD$6:$AF$9,3)+'Escalating commodity'!F278),'Escalating commodity'!F278))</f>
        <v/>
      </c>
      <c r="AI265" s="207" t="str">
        <f aca="false">IF($A266="","",AH265)</f>
        <v/>
      </c>
      <c r="AJ265" s="208" t="e">
        <f aca="false">A265+DAY(EOMONTH(A265,0))/2-1</f>
        <v>#VALUE!</v>
      </c>
      <c r="AK265" s="209" t="str">
        <f aca="false">IF($A266="","",$A265-$E$1)</f>
        <v/>
      </c>
      <c r="AL265" s="182" t="str">
        <f aca="false">IF($A266="","",SPRDOPT(P265,X265,AI265,0,AB265,AE265,AF265,AK265,$AJ$2,0))</f>
        <v/>
      </c>
      <c r="AM265" s="211" t="str">
        <f aca="false">IF($A266="","",MAX(0,O265-W265-AI265))</f>
        <v/>
      </c>
      <c r="AN265" s="211" t="str">
        <f aca="false">IF($A266="","",AL265-AM265)</f>
        <v/>
      </c>
      <c r="AO265" s="137" t="str">
        <f aca="false">IF(A266="","",A266-A265)</f>
        <v/>
      </c>
      <c r="AP265" s="212" t="str">
        <f aca="false">IF(A266="","",CHOOSE(F$3,A266+24,A265))</f>
        <v/>
      </c>
      <c r="AQ265" s="209" t="str">
        <f aca="false">IF(A266="","",AP265-$E$1)</f>
        <v/>
      </c>
      <c r="AR265" s="185" t="n">
        <f aca="false">'ANR OK vs ML7'!AR265</f>
        <v>0.1</v>
      </c>
      <c r="AS265" s="213" t="str">
        <f aca="false">IF(A266="","",1/(1+CHOOSE(F$3,(AR266+($I$3/10000))/2,(AR265+($I$3/10000))/2))^(2*AQ265/365.25))</f>
        <v/>
      </c>
      <c r="AT265" s="137" t="str">
        <f aca="false">IF(A266="","",IF(AND(mthbeg&lt;=A265,mthend&gt;=A265),1,0))</f>
        <v/>
      </c>
      <c r="AU265" s="137" t="str">
        <f aca="false">IF(A266="","",AO265*AT265)</f>
        <v/>
      </c>
      <c r="AW265" s="195" t="str">
        <f aca="false">IF($A266="","",AL265*$E265)</f>
        <v/>
      </c>
      <c r="AX265" s="195" t="str">
        <f aca="false">IF($A266="","",AM265*$E265)</f>
        <v/>
      </c>
      <c r="AY265" s="195" t="str">
        <f aca="false">IF($A266="","",AN265*$E265)</f>
        <v/>
      </c>
      <c r="BA265" s="195" t="str">
        <f aca="false">IF($A266="","",F265*Summary!$Q$10)</f>
        <v/>
      </c>
    </row>
    <row r="266" customFormat="false" ht="12" hidden="false" customHeight="true" outlineLevel="0" collapsed="false">
      <c r="A266" s="196" t="str">
        <f aca="false">IF(A265&lt;mthend,EDATE(A265,1),"")</f>
        <v/>
      </c>
      <c r="B266" s="197" t="str">
        <f aca="false">IF(A266&lt;mthend,B265,"")</f>
        <v/>
      </c>
      <c r="C266" s="215"/>
      <c r="D266" s="197" t="str">
        <f aca="false">IF(A267&lt;&gt;"",B266+C266,"")</f>
        <v/>
      </c>
      <c r="E266" s="199" t="str">
        <f aca="false">IF(A267="","",IF(AND(AT266=1,$H$3=1),D266*AO266,IF($H$3=2,D266,"N/A")))</f>
        <v/>
      </c>
      <c r="F266" s="199" t="str">
        <f aca="false">IF(A267="","",E266*AS266)</f>
        <v/>
      </c>
      <c r="G266" s="200" t="str">
        <f aca="false">IF($A267="","",VLOOKUP($A266,Table,MATCH(G$4,Curves,0)))</f>
        <v/>
      </c>
      <c r="H266" s="201" t="str">
        <f aca="false">IF(A267="","",G266)</f>
        <v/>
      </c>
      <c r="I266" s="202"/>
      <c r="J266" s="200" t="str">
        <f aca="false">IF($A267="","",VLOOKUP($A266,Table,MATCH(J$4,Curves,0)))</f>
        <v/>
      </c>
      <c r="K266" s="201" t="str">
        <f aca="false">IF(A267="","",J266)</f>
        <v/>
      </c>
      <c r="L266" s="185" t="n">
        <v>0</v>
      </c>
      <c r="M266" s="201" t="str">
        <f aca="false">IF(A267="","",L266)</f>
        <v/>
      </c>
      <c r="N266" s="203"/>
      <c r="O266" s="200" t="str">
        <f aca="false">IF(A267="","",L266+J266+G266)</f>
        <v/>
      </c>
      <c r="P266" s="200" t="str">
        <f aca="false">IF(A267="","",M266+K266+H266)</f>
        <v/>
      </c>
      <c r="Q266" s="204"/>
      <c r="R266" s="200" t="str">
        <f aca="false">IF($A267="","",VLOOKUP($A266,Table,MATCH(R$4,Curves,0)))</f>
        <v/>
      </c>
      <c r="S266" s="201" t="str">
        <f aca="false">IF(A267="","",R266)</f>
        <v/>
      </c>
      <c r="T266" s="200" t="str">
        <f aca="false">IF($A267="","",VLOOKUP($A266,Table,MATCH(T$4,Curves,0)))</f>
        <v/>
      </c>
      <c r="U266" s="201" t="str">
        <f aca="false">IF(A267="","",T266)</f>
        <v/>
      </c>
      <c r="V266" s="205" t="str">
        <f aca="false">IF($A267="","",IF(AND(MONTH(A266)&gt;3,MONTH(A266)&lt;11),(T266+R266+G266)*Summary!$T$10/(1-Summary!$T$10),(T266+R266+G266)*Summary!$U$10/(1-Summary!$U$10)))</f>
        <v/>
      </c>
      <c r="W266" s="200" t="str">
        <f aca="false">IF($A267="","",(T266+R266+G266+V266))</f>
        <v/>
      </c>
      <c r="X266" s="200" t="str">
        <f aca="false">IF($A267="","",(U266+S266+H266+V266))</f>
        <v/>
      </c>
      <c r="Y266" s="202"/>
      <c r="Z266" s="185" t="str">
        <f aca="false">IF($A267="","",VLOOKUP($A266,Table,MATCH(Z$4,Curves,0)))</f>
        <v/>
      </c>
      <c r="AA266" s="185" t="str">
        <f aca="false">IF($A267="","",VLOOKUP($A266,Table,MATCH(AA$4,Curves,0)))</f>
        <v/>
      </c>
      <c r="AB266" s="185" t="e">
        <f aca="false">SQRT((AA266^2*(A266-$D$3)+Z266^2*(DAY(EOMONTH(A266,0))/2))/AK266)</f>
        <v>#VALUE!</v>
      </c>
      <c r="AC266" s="185" t="str">
        <f aca="false">IF($A267="","",VLOOKUP($A266,Table,MATCH(AC$4,Curves,0)))</f>
        <v/>
      </c>
      <c r="AD266" s="185" t="str">
        <f aca="false">IF($A267="","",VLOOKUP($A266,Table,MATCH(AD$4,Curves,0)))</f>
        <v/>
      </c>
      <c r="AE266" s="185" t="e">
        <f aca="false">SQRT((AD266^2*(A266-$D$3)+AC266^2*(DAY(EOMONTH(A266,0))/2))/AK266)</f>
        <v>#VALUE!</v>
      </c>
      <c r="AF266" s="224" t="e">
        <f aca="false">((Summary!$N$10*(AA266*AD266)*(A266-$D$3))+(Summary!$M$10*Z266*AC266*(AJ266-EOMONTH(EDATE(A266,-1),0))))/(AK266*AB266*AE266)</f>
        <v>#VALUE!</v>
      </c>
      <c r="AG266" s="207" t="str">
        <f aca="false">IF($A267="","",Summary!$Q$10)</f>
        <v/>
      </c>
      <c r="AH266" s="207" t="str">
        <f aca="false">IF($A267="","",IF(Summary!$R$10="Y",(VLOOKUP($A266,Summary!$AD$6:$AF$9,3)+'Escalating commodity'!F279),'Escalating commodity'!F279))</f>
        <v/>
      </c>
      <c r="AI266" s="207" t="str">
        <f aca="false">IF($A267="","",AH266)</f>
        <v/>
      </c>
      <c r="AJ266" s="208" t="e">
        <f aca="false">A266+DAY(EOMONTH(A266,0))/2-1</f>
        <v>#VALUE!</v>
      </c>
      <c r="AK266" s="209" t="str">
        <f aca="false">IF($A267="","",$A266-$E$1)</f>
        <v/>
      </c>
      <c r="AL266" s="182" t="str">
        <f aca="false">IF($A267="","",SPRDOPT(P266,X266,AI266,0,AB266,AE266,AF266,AK266,$AJ$2,0))</f>
        <v/>
      </c>
      <c r="AM266" s="211" t="str">
        <f aca="false">IF($A267="","",MAX(0,O266-W266-AI266))</f>
        <v/>
      </c>
      <c r="AN266" s="211" t="str">
        <f aca="false">IF($A267="","",AL266-AM266)</f>
        <v/>
      </c>
      <c r="AO266" s="137" t="str">
        <f aca="false">IF(A267="","",A267-A266)</f>
        <v/>
      </c>
      <c r="AP266" s="212" t="str">
        <f aca="false">IF(A267="","",CHOOSE(F$3,A267+24,A266))</f>
        <v/>
      </c>
      <c r="AQ266" s="209" t="str">
        <f aca="false">IF(A267="","",AP266-$E$1)</f>
        <v/>
      </c>
      <c r="AR266" s="185" t="n">
        <f aca="false">'ANR OK vs ML7'!AR266</f>
        <v>0.1</v>
      </c>
      <c r="AS266" s="213" t="str">
        <f aca="false">IF(A267="","",1/(1+CHOOSE(F$3,(AR267+($I$3/10000))/2,(AR266+($I$3/10000))/2))^(2*AQ266/365.25))</f>
        <v/>
      </c>
      <c r="AT266" s="137" t="str">
        <f aca="false">IF(A267="","",IF(AND(mthbeg&lt;=A266,mthend&gt;=A266),1,0))</f>
        <v/>
      </c>
      <c r="AU266" s="137" t="str">
        <f aca="false">IF(A267="","",AO266*AT266)</f>
        <v/>
      </c>
      <c r="AW266" s="195" t="str">
        <f aca="false">IF($A267="","",AL266*$E266)</f>
        <v/>
      </c>
      <c r="AX266" s="195" t="str">
        <f aca="false">IF($A267="","",AM266*$E266)</f>
        <v/>
      </c>
      <c r="AY266" s="195" t="str">
        <f aca="false">IF($A267="","",AN266*$E266)</f>
        <v/>
      </c>
      <c r="BA266" s="195" t="str">
        <f aca="false">IF($A267="","",F266*Summary!$Q$10)</f>
        <v/>
      </c>
    </row>
    <row r="267" customFormat="false" ht="12" hidden="false" customHeight="true" outlineLevel="0" collapsed="false">
      <c r="A267" s="196" t="str">
        <f aca="false">IF(A266&lt;mthend,EDATE(A266,1),"")</f>
        <v/>
      </c>
      <c r="B267" s="197" t="str">
        <f aca="false">IF(A267&lt;mthend,B266,"")</f>
        <v/>
      </c>
      <c r="C267" s="215"/>
      <c r="D267" s="197" t="str">
        <f aca="false">IF(A268&lt;&gt;"",B267+C267,"")</f>
        <v/>
      </c>
      <c r="E267" s="199" t="str">
        <f aca="false">IF(A268="","",IF(AND(AT267=1,$H$3=1),D267*AO267,IF($H$3=2,D267,"N/A")))</f>
        <v/>
      </c>
      <c r="F267" s="199" t="str">
        <f aca="false">IF(A268="","",E267*AS267)</f>
        <v/>
      </c>
      <c r="G267" s="200" t="str">
        <f aca="false">IF($A268="","",VLOOKUP($A267,Table,MATCH(G$4,Curves,0)))</f>
        <v/>
      </c>
      <c r="H267" s="201" t="str">
        <f aca="false">IF(A268="","",G267)</f>
        <v/>
      </c>
      <c r="I267" s="202"/>
      <c r="J267" s="200" t="str">
        <f aca="false">IF($A268="","",VLOOKUP($A267,Table,MATCH(J$4,Curves,0)))</f>
        <v/>
      </c>
      <c r="K267" s="201" t="str">
        <f aca="false">IF(A268="","",J267)</f>
        <v/>
      </c>
      <c r="L267" s="185" t="n">
        <v>0</v>
      </c>
      <c r="M267" s="201" t="str">
        <f aca="false">IF(A268="","",L267)</f>
        <v/>
      </c>
      <c r="N267" s="203"/>
      <c r="O267" s="200" t="str">
        <f aca="false">IF(A268="","",L267+J267+G267)</f>
        <v/>
      </c>
      <c r="P267" s="200" t="str">
        <f aca="false">IF(A268="","",M267+K267+H267)</f>
        <v/>
      </c>
      <c r="Q267" s="204"/>
      <c r="R267" s="200" t="str">
        <f aca="false">IF($A268="","",VLOOKUP($A267,Table,MATCH(R$4,Curves,0)))</f>
        <v/>
      </c>
      <c r="S267" s="201" t="str">
        <f aca="false">IF(A268="","",R267)</f>
        <v/>
      </c>
      <c r="T267" s="200" t="str">
        <f aca="false">IF($A268="","",VLOOKUP($A267,Table,MATCH(T$4,Curves,0)))</f>
        <v/>
      </c>
      <c r="U267" s="201" t="str">
        <f aca="false">IF(A268="","",T267)</f>
        <v/>
      </c>
      <c r="V267" s="205" t="str">
        <f aca="false">IF($A268="","",IF(AND(MONTH(A267)&gt;3,MONTH(A267)&lt;11),(T267+R267+G267)*Summary!$T$10/(1-Summary!$T$10),(T267+R267+G267)*Summary!$U$10/(1-Summary!$U$10)))</f>
        <v/>
      </c>
      <c r="W267" s="200" t="str">
        <f aca="false">IF($A268="","",(T267+R267+G267+V267))</f>
        <v/>
      </c>
      <c r="X267" s="200" t="str">
        <f aca="false">IF($A268="","",(U267+S267+H267+V267))</f>
        <v/>
      </c>
      <c r="Y267" s="202"/>
      <c r="Z267" s="185" t="str">
        <f aca="false">IF($A268="","",VLOOKUP($A267,Table,MATCH(Z$4,Curves,0)))</f>
        <v/>
      </c>
      <c r="AA267" s="185" t="str">
        <f aca="false">IF($A268="","",VLOOKUP($A267,Table,MATCH(AA$4,Curves,0)))</f>
        <v/>
      </c>
      <c r="AB267" s="185" t="e">
        <f aca="false">SQRT((AA267^2*(A267-$D$3)+Z267^2*(DAY(EOMONTH(A267,0))/2))/AK267)</f>
        <v>#VALUE!</v>
      </c>
      <c r="AC267" s="185" t="str">
        <f aca="false">IF($A268="","",VLOOKUP($A267,Table,MATCH(AC$4,Curves,0)))</f>
        <v/>
      </c>
      <c r="AD267" s="185" t="str">
        <f aca="false">IF($A268="","",VLOOKUP($A267,Table,MATCH(AD$4,Curves,0)))</f>
        <v/>
      </c>
      <c r="AE267" s="185" t="e">
        <f aca="false">SQRT((AD267^2*(A267-$D$3)+AC267^2*(DAY(EOMONTH(A267,0))/2))/AK267)</f>
        <v>#VALUE!</v>
      </c>
      <c r="AF267" s="224" t="e">
        <f aca="false">((Summary!$N$10*(AA267*AD267)*(A267-$D$3))+(Summary!$M$10*Z267*AC267*(AJ267-EOMONTH(EDATE(A267,-1),0))))/(AK267*AB267*AE267)</f>
        <v>#VALUE!</v>
      </c>
      <c r="AG267" s="207" t="str">
        <f aca="false">IF($A268="","",Summary!$Q$10)</f>
        <v/>
      </c>
      <c r="AH267" s="207" t="str">
        <f aca="false">IF($A268="","",IF(Summary!$R$10="Y",(VLOOKUP($A267,Summary!$AD$6:$AF$9,3)+'Escalating commodity'!F280),'Escalating commodity'!F280))</f>
        <v/>
      </c>
      <c r="AI267" s="207" t="str">
        <f aca="false">IF($A268="","",AH267)</f>
        <v/>
      </c>
      <c r="AJ267" s="208" t="e">
        <f aca="false">A267+DAY(EOMONTH(A267,0))/2-1</f>
        <v>#VALUE!</v>
      </c>
      <c r="AK267" s="209" t="str">
        <f aca="false">IF($A268="","",$A267-$E$1)</f>
        <v/>
      </c>
      <c r="AL267" s="182" t="str">
        <f aca="false">IF($A268="","",SPRDOPT(P267,X267,AI267,0,AB267,AE267,AF267,AK267,$AJ$2,0))</f>
        <v/>
      </c>
      <c r="AM267" s="211" t="str">
        <f aca="false">IF($A268="","",MAX(0,O267-W267-AI267))</f>
        <v/>
      </c>
      <c r="AN267" s="211" t="str">
        <f aca="false">IF($A268="","",AL267-AM267)</f>
        <v/>
      </c>
      <c r="AO267" s="137" t="str">
        <f aca="false">IF(A268="","",A268-A267)</f>
        <v/>
      </c>
      <c r="AP267" s="212" t="str">
        <f aca="false">IF(A268="","",CHOOSE(F$3,A268+24,A267))</f>
        <v/>
      </c>
      <c r="AQ267" s="209" t="str">
        <f aca="false">IF(A268="","",AP267-$E$1)</f>
        <v/>
      </c>
      <c r="AR267" s="185" t="n">
        <f aca="false">'ANR OK vs ML7'!AR267</f>
        <v>0.1</v>
      </c>
      <c r="AS267" s="213" t="str">
        <f aca="false">IF(A268="","",1/(1+CHOOSE(F$3,(AR268+($I$3/10000))/2,(AR267+($I$3/10000))/2))^(2*AQ267/365.25))</f>
        <v/>
      </c>
      <c r="AT267" s="137" t="str">
        <f aca="false">IF(A268="","",IF(AND(mthbeg&lt;=A267,mthend&gt;=A267),1,0))</f>
        <v/>
      </c>
      <c r="AU267" s="137" t="str">
        <f aca="false">IF(A268="","",AO267*AT267)</f>
        <v/>
      </c>
      <c r="AW267" s="195" t="str">
        <f aca="false">IF($A268="","",AL267*$E267)</f>
        <v/>
      </c>
      <c r="AX267" s="195" t="str">
        <f aca="false">IF($A268="","",AM267*$E267)</f>
        <v/>
      </c>
      <c r="AY267" s="195" t="str">
        <f aca="false">IF($A268="","",AN267*$E267)</f>
        <v/>
      </c>
      <c r="BA267" s="195" t="str">
        <f aca="false">IF($A268="","",F267*Summary!$Q$10)</f>
        <v/>
      </c>
    </row>
    <row r="268" customFormat="false" ht="12" hidden="false" customHeight="true" outlineLevel="0" collapsed="false">
      <c r="A268" s="196" t="str">
        <f aca="false">IF(A267&lt;mthend,EDATE(A267,1),"")</f>
        <v/>
      </c>
      <c r="B268" s="197" t="str">
        <f aca="false">IF(A268&lt;mthend,B267,"")</f>
        <v/>
      </c>
      <c r="C268" s="215"/>
      <c r="D268" s="197" t="str">
        <f aca="false">IF(A269&lt;&gt;"",B268+C268,"")</f>
        <v/>
      </c>
      <c r="E268" s="199" t="str">
        <f aca="false">IF(A269="","",IF(AND(AT268=1,$H$3=1),D268*AO268,IF($H$3=2,D268,"N/A")))</f>
        <v/>
      </c>
      <c r="F268" s="199" t="str">
        <f aca="false">IF(A269="","",E268*AS268)</f>
        <v/>
      </c>
      <c r="G268" s="200" t="str">
        <f aca="false">IF($A269="","",VLOOKUP($A268,Table,MATCH(G$4,Curves,0)))</f>
        <v/>
      </c>
      <c r="H268" s="201" t="str">
        <f aca="false">IF(A269="","",G268)</f>
        <v/>
      </c>
      <c r="I268" s="202"/>
      <c r="J268" s="200" t="str">
        <f aca="false">IF($A269="","",VLOOKUP($A268,Table,MATCH(J$4,Curves,0)))</f>
        <v/>
      </c>
      <c r="K268" s="201" t="str">
        <f aca="false">IF(A269="","",J268)</f>
        <v/>
      </c>
      <c r="L268" s="185" t="n">
        <v>0</v>
      </c>
      <c r="M268" s="201" t="str">
        <f aca="false">IF(A269="","",L268)</f>
        <v/>
      </c>
      <c r="N268" s="203"/>
      <c r="O268" s="200" t="str">
        <f aca="false">IF(A269="","",L268+J268+G268)</f>
        <v/>
      </c>
      <c r="P268" s="200" t="str">
        <f aca="false">IF(A269="","",M268+K268+H268)</f>
        <v/>
      </c>
      <c r="Q268" s="204"/>
      <c r="R268" s="200" t="str">
        <f aca="false">IF($A269="","",VLOOKUP($A268,Table,MATCH(R$4,Curves,0)))</f>
        <v/>
      </c>
      <c r="S268" s="201" t="str">
        <f aca="false">IF(A269="","",R268)</f>
        <v/>
      </c>
      <c r="T268" s="200" t="str">
        <f aca="false">IF($A269="","",VLOOKUP($A268,Table,MATCH(T$4,Curves,0)))</f>
        <v/>
      </c>
      <c r="U268" s="201" t="str">
        <f aca="false">IF(A269="","",T268)</f>
        <v/>
      </c>
      <c r="V268" s="205" t="str">
        <f aca="false">IF($A269="","",IF(AND(MONTH(A268)&gt;3,MONTH(A268)&lt;11),(T268+R268+G268)*Summary!$T$10/(1-Summary!$T$10),(T268+R268+G268)*Summary!$U$10/(1-Summary!$U$10)))</f>
        <v/>
      </c>
      <c r="W268" s="200" t="str">
        <f aca="false">IF($A269="","",(T268+R268+G268+V268))</f>
        <v/>
      </c>
      <c r="X268" s="200" t="str">
        <f aca="false">IF($A269="","",(U268+S268+H268+V268))</f>
        <v/>
      </c>
      <c r="Y268" s="202"/>
      <c r="Z268" s="185" t="str">
        <f aca="false">IF($A269="","",VLOOKUP($A268,Table,MATCH(Z$4,Curves,0)))</f>
        <v/>
      </c>
      <c r="AA268" s="185" t="str">
        <f aca="false">IF($A269="","",VLOOKUP($A268,Table,MATCH(AA$4,Curves,0)))</f>
        <v/>
      </c>
      <c r="AB268" s="185" t="e">
        <f aca="false">SQRT((AA268^2*(A268-$D$3)+Z268^2*(DAY(EOMONTH(A268,0))/2))/AK268)</f>
        <v>#VALUE!</v>
      </c>
      <c r="AC268" s="185" t="str">
        <f aca="false">IF($A269="","",VLOOKUP($A268,Table,MATCH(AC$4,Curves,0)))</f>
        <v/>
      </c>
      <c r="AD268" s="185" t="str">
        <f aca="false">IF($A269="","",VLOOKUP($A268,Table,MATCH(AD$4,Curves,0)))</f>
        <v/>
      </c>
      <c r="AE268" s="185" t="e">
        <f aca="false">SQRT((AD268^2*(A268-$D$3)+AC268^2*(DAY(EOMONTH(A268,0))/2))/AK268)</f>
        <v>#VALUE!</v>
      </c>
      <c r="AF268" s="224" t="e">
        <f aca="false">((Summary!$N$10*(AA268*AD268)*(A268-$D$3))+(Summary!$M$10*Z268*AC268*(AJ268-EOMONTH(EDATE(A268,-1),0))))/(AK268*AB268*AE268)</f>
        <v>#VALUE!</v>
      </c>
      <c r="AG268" s="207" t="str">
        <f aca="false">IF($A269="","",Summary!$Q$10)</f>
        <v/>
      </c>
      <c r="AH268" s="207" t="str">
        <f aca="false">IF($A269="","",IF(Summary!$R$10="Y",(VLOOKUP($A268,Summary!$AD$6:$AF$9,3)+'Escalating commodity'!F281),'Escalating commodity'!F281))</f>
        <v/>
      </c>
      <c r="AI268" s="207" t="str">
        <f aca="false">IF($A269="","",AH268)</f>
        <v/>
      </c>
      <c r="AJ268" s="208" t="e">
        <f aca="false">A268+DAY(EOMONTH(A268,0))/2-1</f>
        <v>#VALUE!</v>
      </c>
      <c r="AK268" s="209" t="str">
        <f aca="false">IF($A269="","",$A268-$E$1)</f>
        <v/>
      </c>
      <c r="AL268" s="182" t="str">
        <f aca="false">IF($A269="","",SPRDOPT(P268,X268,AI268,0,AB268,AE268,AF268,AK268,$AJ$2,0))</f>
        <v/>
      </c>
      <c r="AM268" s="211" t="str">
        <f aca="false">IF($A269="","",MAX(0,O268-W268-AI268))</f>
        <v/>
      </c>
      <c r="AN268" s="211" t="str">
        <f aca="false">IF($A269="","",AL268-AM268)</f>
        <v/>
      </c>
      <c r="AO268" s="137" t="str">
        <f aca="false">IF(A269="","",A269-A268)</f>
        <v/>
      </c>
      <c r="AP268" s="212" t="str">
        <f aca="false">IF(A269="","",CHOOSE(F$3,A269+24,A268))</f>
        <v/>
      </c>
      <c r="AQ268" s="209" t="str">
        <f aca="false">IF(A269="","",AP268-$E$1)</f>
        <v/>
      </c>
      <c r="AR268" s="185" t="n">
        <f aca="false">'ANR OK vs ML7'!AR268</f>
        <v>0.1</v>
      </c>
      <c r="AS268" s="213" t="str">
        <f aca="false">IF(A269="","",1/(1+CHOOSE(F$3,(AR269+($I$3/10000))/2,(AR268+($I$3/10000))/2))^(2*AQ268/365.25))</f>
        <v/>
      </c>
      <c r="AT268" s="137" t="str">
        <f aca="false">IF(A269="","",IF(AND(mthbeg&lt;=A268,mthend&gt;=A268),1,0))</f>
        <v/>
      </c>
      <c r="AU268" s="137" t="str">
        <f aca="false">IF(A269="","",AO268*AT268)</f>
        <v/>
      </c>
      <c r="AW268" s="195" t="str">
        <f aca="false">IF($A269="","",AL268*$E268)</f>
        <v/>
      </c>
      <c r="AX268" s="195" t="str">
        <f aca="false">IF($A269="","",AM268*$E268)</f>
        <v/>
      </c>
      <c r="AY268" s="195" t="str">
        <f aca="false">IF($A269="","",AN268*$E268)</f>
        <v/>
      </c>
      <c r="BA268" s="195" t="str">
        <f aca="false">IF($A269="","",F268*Summary!$Q$10)</f>
        <v/>
      </c>
    </row>
    <row r="269" customFormat="false" ht="12" hidden="false" customHeight="true" outlineLevel="0" collapsed="false">
      <c r="A269" s="196" t="str">
        <f aca="false">IF(A268&lt;mthend,EDATE(A268,1),"")</f>
        <v/>
      </c>
      <c r="B269" s="197" t="str">
        <f aca="false">IF(A269&lt;mthend,B268,"")</f>
        <v/>
      </c>
      <c r="C269" s="215"/>
      <c r="D269" s="197" t="str">
        <f aca="false">IF(A270&lt;&gt;"",B269+C269,"")</f>
        <v/>
      </c>
      <c r="E269" s="199" t="str">
        <f aca="false">IF(A270="","",IF(AND(AT269=1,$H$3=1),D269*AO269,IF($H$3=2,D269,"N/A")))</f>
        <v/>
      </c>
      <c r="F269" s="199" t="str">
        <f aca="false">IF(A270="","",E269*AS269)</f>
        <v/>
      </c>
      <c r="G269" s="200" t="str">
        <f aca="false">IF($A270="","",VLOOKUP($A269,Table,MATCH(G$4,Curves,0)))</f>
        <v/>
      </c>
      <c r="H269" s="201" t="str">
        <f aca="false">IF(A270="","",G269)</f>
        <v/>
      </c>
      <c r="I269" s="202"/>
      <c r="J269" s="200" t="str">
        <f aca="false">IF($A270="","",VLOOKUP($A269,Table,MATCH(J$4,Curves,0)))</f>
        <v/>
      </c>
      <c r="K269" s="201" t="str">
        <f aca="false">IF(A270="","",J269)</f>
        <v/>
      </c>
      <c r="L269" s="185" t="n">
        <v>0</v>
      </c>
      <c r="M269" s="201" t="str">
        <f aca="false">IF(A270="","",L269)</f>
        <v/>
      </c>
      <c r="N269" s="203"/>
      <c r="O269" s="200" t="str">
        <f aca="false">IF(A270="","",L269+J269+G269)</f>
        <v/>
      </c>
      <c r="P269" s="200" t="str">
        <f aca="false">IF(A270="","",M269+K269+H269)</f>
        <v/>
      </c>
      <c r="Q269" s="204"/>
      <c r="R269" s="200" t="str">
        <f aca="false">IF($A270="","",VLOOKUP($A269,Table,MATCH(R$4,Curves,0)))</f>
        <v/>
      </c>
      <c r="S269" s="201" t="str">
        <f aca="false">IF(A270="","",R269)</f>
        <v/>
      </c>
      <c r="T269" s="200" t="str">
        <f aca="false">IF($A270="","",VLOOKUP($A269,Table,MATCH(T$4,Curves,0)))</f>
        <v/>
      </c>
      <c r="U269" s="201" t="str">
        <f aca="false">IF(A270="","",T269)</f>
        <v/>
      </c>
      <c r="V269" s="205" t="str">
        <f aca="false">IF($A270="","",IF(AND(MONTH(A269)&gt;3,MONTH(A269)&lt;11),(T269+R269+G269)*Summary!$T$10/(1-Summary!$T$10),(T269+R269+G269)*Summary!$U$10/(1-Summary!$U$10)))</f>
        <v/>
      </c>
      <c r="W269" s="200" t="str">
        <f aca="false">IF($A270="","",(T269+R269+G269+V269))</f>
        <v/>
      </c>
      <c r="X269" s="200" t="str">
        <f aca="false">IF($A270="","",(U269+S269+H269+V269))</f>
        <v/>
      </c>
      <c r="Y269" s="202"/>
      <c r="Z269" s="185" t="str">
        <f aca="false">IF($A270="","",VLOOKUP($A269,Table,MATCH(Z$4,Curves,0)))</f>
        <v/>
      </c>
      <c r="AA269" s="185" t="str">
        <f aca="false">IF($A270="","",VLOOKUP($A269,Table,MATCH(AA$4,Curves,0)))</f>
        <v/>
      </c>
      <c r="AB269" s="185" t="e">
        <f aca="false">SQRT((AA269^2*(A269-$D$3)+Z269^2*(DAY(EOMONTH(A269,0))/2))/AK269)</f>
        <v>#VALUE!</v>
      </c>
      <c r="AC269" s="185" t="str">
        <f aca="false">IF($A270="","",VLOOKUP($A269,Table,MATCH(AC$4,Curves,0)))</f>
        <v/>
      </c>
      <c r="AD269" s="185" t="str">
        <f aca="false">IF($A270="","",VLOOKUP($A269,Table,MATCH(AD$4,Curves,0)))</f>
        <v/>
      </c>
      <c r="AE269" s="185" t="e">
        <f aca="false">SQRT((AD269^2*(A269-$D$3)+AC269^2*(DAY(EOMONTH(A269,0))/2))/AK269)</f>
        <v>#VALUE!</v>
      </c>
      <c r="AF269" s="224" t="e">
        <f aca="false">((Summary!$N$10*(AA269*AD269)*(A269-$D$3))+(Summary!$M$10*Z269*AC269*(AJ269-EOMONTH(EDATE(A269,-1),0))))/(AK269*AB269*AE269)</f>
        <v>#VALUE!</v>
      </c>
      <c r="AG269" s="207" t="str">
        <f aca="false">IF($A270="","",Summary!$Q$10)</f>
        <v/>
      </c>
      <c r="AH269" s="207" t="str">
        <f aca="false">IF($A270="","",IF(Summary!$R$10="Y",(VLOOKUP($A269,Summary!$AD$6:$AF$9,3)+'Escalating commodity'!F282),'Escalating commodity'!F282))</f>
        <v/>
      </c>
      <c r="AI269" s="207" t="str">
        <f aca="false">IF($A270="","",AH269)</f>
        <v/>
      </c>
      <c r="AJ269" s="208" t="e">
        <f aca="false">A269+DAY(EOMONTH(A269,0))/2-1</f>
        <v>#VALUE!</v>
      </c>
      <c r="AK269" s="209" t="str">
        <f aca="false">IF($A270="","",$A269-$E$1)</f>
        <v/>
      </c>
      <c r="AL269" s="182" t="str">
        <f aca="false">IF($A270="","",SPRDOPT(P269,X269,AI269,0,AB269,AE269,AF269,AK269,$AJ$2,0))</f>
        <v/>
      </c>
      <c r="AM269" s="211" t="str">
        <f aca="false">IF($A270="","",MAX(0,O269-W269-AI269))</f>
        <v/>
      </c>
      <c r="AN269" s="211" t="str">
        <f aca="false">IF($A270="","",AL269-AM269)</f>
        <v/>
      </c>
      <c r="AO269" s="137" t="str">
        <f aca="false">IF(A270="","",A270-A269)</f>
        <v/>
      </c>
      <c r="AP269" s="212" t="str">
        <f aca="false">IF(A270="","",CHOOSE(F$3,A270+24,A269))</f>
        <v/>
      </c>
      <c r="AQ269" s="209" t="str">
        <f aca="false">IF(A270="","",AP269-$E$1)</f>
        <v/>
      </c>
      <c r="AR269" s="185" t="n">
        <f aca="false">'ANR OK vs ML7'!AR269</f>
        <v>0.1</v>
      </c>
      <c r="AS269" s="213" t="str">
        <f aca="false">IF(A270="","",1/(1+CHOOSE(F$3,(AR270+($I$3/10000))/2,(AR269+($I$3/10000))/2))^(2*AQ269/365.25))</f>
        <v/>
      </c>
      <c r="AT269" s="137" t="str">
        <f aca="false">IF(A270="","",IF(AND(mthbeg&lt;=A269,mthend&gt;=A269),1,0))</f>
        <v/>
      </c>
      <c r="AU269" s="137" t="str">
        <f aca="false">IF(A270="","",AO269*AT269)</f>
        <v/>
      </c>
      <c r="AW269" s="195" t="str">
        <f aca="false">IF($A270="","",AL269*$E269)</f>
        <v/>
      </c>
      <c r="AX269" s="195" t="str">
        <f aca="false">IF($A270="","",AM269*$E269)</f>
        <v/>
      </c>
      <c r="AY269" s="195" t="str">
        <f aca="false">IF($A270="","",AN269*$E269)</f>
        <v/>
      </c>
      <c r="BA269" s="195" t="str">
        <f aca="false">IF($A270="","",F269*Summary!$Q$10)</f>
        <v/>
      </c>
    </row>
    <row r="270" customFormat="false" ht="12" hidden="false" customHeight="true" outlineLevel="0" collapsed="false">
      <c r="A270" s="196" t="str">
        <f aca="false">IF(A269&lt;mthend,EDATE(A269,1),"")</f>
        <v/>
      </c>
      <c r="B270" s="197" t="str">
        <f aca="false">IF(A270&lt;mthend,B269,"")</f>
        <v/>
      </c>
      <c r="C270" s="215"/>
      <c r="D270" s="197" t="str">
        <f aca="false">IF(A271&lt;&gt;"",B270+C270,"")</f>
        <v/>
      </c>
      <c r="E270" s="199" t="str">
        <f aca="false">IF(A271="","",IF(AND(AT270=1,$H$3=1),D270*AO270,IF($H$3=2,D270,"N/A")))</f>
        <v/>
      </c>
      <c r="F270" s="199" t="str">
        <f aca="false">IF(A271="","",E270*AS270)</f>
        <v/>
      </c>
      <c r="G270" s="200" t="str">
        <f aca="false">IF($A271="","",VLOOKUP($A270,Table,MATCH(G$4,Curves,0)))</f>
        <v/>
      </c>
      <c r="H270" s="201" t="str">
        <f aca="false">IF(A271="","",G270)</f>
        <v/>
      </c>
      <c r="I270" s="202"/>
      <c r="J270" s="200" t="str">
        <f aca="false">IF($A271="","",VLOOKUP($A270,Table,MATCH(J$4,Curves,0)))</f>
        <v/>
      </c>
      <c r="K270" s="201" t="str">
        <f aca="false">IF(A271="","",J270)</f>
        <v/>
      </c>
      <c r="L270" s="185" t="n">
        <v>0</v>
      </c>
      <c r="M270" s="201" t="str">
        <f aca="false">IF(A271="","",L270)</f>
        <v/>
      </c>
      <c r="N270" s="203"/>
      <c r="O270" s="200" t="str">
        <f aca="false">IF(A271="","",L270+J270+G270)</f>
        <v/>
      </c>
      <c r="P270" s="200" t="str">
        <f aca="false">IF(A271="","",M270+K270+H270)</f>
        <v/>
      </c>
      <c r="Q270" s="204"/>
      <c r="R270" s="200" t="str">
        <f aca="false">IF($A271="","",VLOOKUP($A270,Table,MATCH(R$4,Curves,0)))</f>
        <v/>
      </c>
      <c r="S270" s="201" t="str">
        <f aca="false">IF(A271="","",R270)</f>
        <v/>
      </c>
      <c r="T270" s="200" t="str">
        <f aca="false">IF($A271="","",VLOOKUP($A270,Table,MATCH(T$4,Curves,0)))</f>
        <v/>
      </c>
      <c r="U270" s="201" t="str">
        <f aca="false">IF(A271="","",T270)</f>
        <v/>
      </c>
      <c r="V270" s="205" t="str">
        <f aca="false">IF($A271="","",IF(AND(MONTH(A270)&gt;3,MONTH(A270)&lt;11),(T270+R270+G270)*Summary!$T$10/(1-Summary!$T$10),(T270+R270+G270)*Summary!$U$10/(1-Summary!$U$10)))</f>
        <v/>
      </c>
      <c r="W270" s="200" t="str">
        <f aca="false">IF($A271="","",(T270+R270+G270+V270))</f>
        <v/>
      </c>
      <c r="X270" s="200" t="str">
        <f aca="false">IF($A271="","",(U270+S270+H270+V270))</f>
        <v/>
      </c>
      <c r="Y270" s="202"/>
      <c r="Z270" s="185" t="str">
        <f aca="false">IF($A271="","",VLOOKUP($A270,Table,MATCH(Z$4,Curves,0)))</f>
        <v/>
      </c>
      <c r="AA270" s="185" t="str">
        <f aca="false">IF($A271="","",VLOOKUP($A270,Table,MATCH(AA$4,Curves,0)))</f>
        <v/>
      </c>
      <c r="AB270" s="185" t="e">
        <f aca="false">SQRT((AA270^2*(A270-$D$3)+Z270^2*(DAY(EOMONTH(A270,0))/2))/AK270)</f>
        <v>#VALUE!</v>
      </c>
      <c r="AC270" s="185" t="str">
        <f aca="false">IF($A271="","",VLOOKUP($A270,Table,MATCH(AC$4,Curves,0)))</f>
        <v/>
      </c>
      <c r="AD270" s="185" t="str">
        <f aca="false">IF($A271="","",VLOOKUP($A270,Table,MATCH(AD$4,Curves,0)))</f>
        <v/>
      </c>
      <c r="AE270" s="185" t="e">
        <f aca="false">SQRT((AD270^2*(A270-$D$3)+AC270^2*(DAY(EOMONTH(A270,0))/2))/AK270)</f>
        <v>#VALUE!</v>
      </c>
      <c r="AF270" s="224" t="e">
        <f aca="false">((Summary!$N$10*(AA270*AD270)*(A270-$D$3))+(Summary!$M$10*Z270*AC270*(AJ270-EOMONTH(EDATE(A270,-1),0))))/(AK270*AB270*AE270)</f>
        <v>#VALUE!</v>
      </c>
      <c r="AG270" s="207" t="str">
        <f aca="false">IF($A271="","",Summary!$Q$10)</f>
        <v/>
      </c>
      <c r="AH270" s="207" t="str">
        <f aca="false">IF($A271="","",IF(Summary!$R$10="Y",(VLOOKUP($A270,Summary!$AD$6:$AF$9,3)+'Escalating commodity'!F283),'Escalating commodity'!F283))</f>
        <v/>
      </c>
      <c r="AI270" s="207" t="str">
        <f aca="false">IF($A271="","",AH270)</f>
        <v/>
      </c>
      <c r="AJ270" s="208" t="e">
        <f aca="false">A270+DAY(EOMONTH(A270,0))/2-1</f>
        <v>#VALUE!</v>
      </c>
      <c r="AK270" s="209" t="str">
        <f aca="false">IF($A271="","",$A270-$E$1)</f>
        <v/>
      </c>
      <c r="AL270" s="182" t="str">
        <f aca="false">IF($A271="","",SPRDOPT(P270,X270,AI270,0,AB270,AE270,AF270,AK270,$AJ$2,0))</f>
        <v/>
      </c>
      <c r="AM270" s="211" t="str">
        <f aca="false">IF($A271="","",MAX(0,O270-W270-AI270))</f>
        <v/>
      </c>
      <c r="AN270" s="211" t="str">
        <f aca="false">IF($A271="","",AL270-AM270)</f>
        <v/>
      </c>
      <c r="AO270" s="137" t="str">
        <f aca="false">IF(A271="","",A271-A270)</f>
        <v/>
      </c>
      <c r="AP270" s="212" t="str">
        <f aca="false">IF(A271="","",CHOOSE(F$3,A271+24,A270))</f>
        <v/>
      </c>
      <c r="AQ270" s="209" t="str">
        <f aca="false">IF(A271="","",AP270-$E$1)</f>
        <v/>
      </c>
      <c r="AR270" s="185" t="n">
        <f aca="false">'ANR OK vs ML7'!AR270</f>
        <v>0.1</v>
      </c>
      <c r="AS270" s="213" t="str">
        <f aca="false">IF(A271="","",1/(1+CHOOSE(F$3,(AR271+($I$3/10000))/2,(AR270+($I$3/10000))/2))^(2*AQ270/365.25))</f>
        <v/>
      </c>
      <c r="AT270" s="137" t="str">
        <f aca="false">IF(A271="","",IF(AND(mthbeg&lt;=A270,mthend&gt;=A270),1,0))</f>
        <v/>
      </c>
      <c r="AU270" s="137" t="str">
        <f aca="false">IF(A271="","",AO270*AT270)</f>
        <v/>
      </c>
      <c r="AW270" s="195" t="str">
        <f aca="false">IF($A271="","",AL270*$E270)</f>
        <v/>
      </c>
      <c r="AX270" s="195" t="str">
        <f aca="false">IF($A271="","",AM270*$E270)</f>
        <v/>
      </c>
      <c r="AY270" s="195" t="str">
        <f aca="false">IF($A271="","",AN270*$E270)</f>
        <v/>
      </c>
      <c r="BA270" s="195" t="str">
        <f aca="false">IF($A271="","",F270*Summary!$Q$10)</f>
        <v/>
      </c>
    </row>
    <row r="271" customFormat="false" ht="12" hidden="false" customHeight="true" outlineLevel="0" collapsed="false">
      <c r="A271" s="196" t="str">
        <f aca="false">IF(A270&lt;mthend,EDATE(A270,1),"")</f>
        <v/>
      </c>
      <c r="B271" s="197" t="str">
        <f aca="false">IF(A271&lt;mthend,B270,"")</f>
        <v/>
      </c>
      <c r="C271" s="215"/>
      <c r="D271" s="197" t="str">
        <f aca="false">IF(A272&lt;&gt;"",B271+C271,"")</f>
        <v/>
      </c>
      <c r="E271" s="199" t="str">
        <f aca="false">IF(A272="","",IF(AND(AT271=1,$H$3=1),D271*AO271,IF($H$3=2,D271,"N/A")))</f>
        <v/>
      </c>
      <c r="F271" s="199" t="str">
        <f aca="false">IF(A272="","",E271*AS271)</f>
        <v/>
      </c>
      <c r="G271" s="200" t="str">
        <f aca="false">IF($A272="","",VLOOKUP($A271,Table,MATCH(G$4,Curves,0)))</f>
        <v/>
      </c>
      <c r="H271" s="201" t="str">
        <f aca="false">IF(A272="","",G271)</f>
        <v/>
      </c>
      <c r="I271" s="202"/>
      <c r="J271" s="200" t="str">
        <f aca="false">IF($A272="","",VLOOKUP($A271,Table,MATCH(J$4,Curves,0)))</f>
        <v/>
      </c>
      <c r="K271" s="201" t="str">
        <f aca="false">IF(A272="","",J271)</f>
        <v/>
      </c>
      <c r="L271" s="185" t="n">
        <v>0</v>
      </c>
      <c r="M271" s="201" t="str">
        <f aca="false">IF(A272="","",L271)</f>
        <v/>
      </c>
      <c r="N271" s="203"/>
      <c r="O271" s="200" t="str">
        <f aca="false">IF(A272="","",L271+J271+G271)</f>
        <v/>
      </c>
      <c r="P271" s="200" t="str">
        <f aca="false">IF(A272="","",M271+K271+H271)</f>
        <v/>
      </c>
      <c r="Q271" s="204"/>
      <c r="R271" s="200" t="str">
        <f aca="false">IF($A272="","",VLOOKUP($A271,Table,MATCH(R$4,Curves,0)))</f>
        <v/>
      </c>
      <c r="S271" s="201" t="str">
        <f aca="false">IF(A272="","",R271)</f>
        <v/>
      </c>
      <c r="T271" s="200" t="str">
        <f aca="false">IF($A272="","",VLOOKUP($A271,Table,MATCH(T$4,Curves,0)))</f>
        <v/>
      </c>
      <c r="U271" s="201" t="str">
        <f aca="false">IF(A272="","",T271)</f>
        <v/>
      </c>
      <c r="V271" s="205" t="str">
        <f aca="false">IF($A272="","",IF(AND(MONTH(A271)&gt;3,MONTH(A271)&lt;11),(T271+R271+G271)*Summary!$T$10/(1-Summary!$T$10),(T271+R271+G271)*Summary!$U$10/(1-Summary!$U$10)))</f>
        <v/>
      </c>
      <c r="W271" s="200" t="str">
        <f aca="false">IF($A272="","",(T271+R271+G271+V271))</f>
        <v/>
      </c>
      <c r="X271" s="200" t="str">
        <f aca="false">IF($A272="","",(U271+S271+H271+V271))</f>
        <v/>
      </c>
      <c r="Y271" s="202"/>
      <c r="Z271" s="185" t="str">
        <f aca="false">IF($A272="","",VLOOKUP($A271,Table,MATCH(Z$4,Curves,0)))</f>
        <v/>
      </c>
      <c r="AA271" s="185" t="str">
        <f aca="false">IF($A272="","",VLOOKUP($A271,Table,MATCH(AA$4,Curves,0)))</f>
        <v/>
      </c>
      <c r="AB271" s="185" t="e">
        <f aca="false">SQRT((AA271^2*(A271-$D$3)+Z271^2*(DAY(EOMONTH(A271,0))/2))/AK271)</f>
        <v>#VALUE!</v>
      </c>
      <c r="AC271" s="185" t="str">
        <f aca="false">IF($A272="","",VLOOKUP($A271,Table,MATCH(AC$4,Curves,0)))</f>
        <v/>
      </c>
      <c r="AD271" s="185" t="str">
        <f aca="false">IF($A272="","",VLOOKUP($A271,Table,MATCH(AD$4,Curves,0)))</f>
        <v/>
      </c>
      <c r="AE271" s="185" t="e">
        <f aca="false">SQRT((AD271^2*(A271-$D$3)+AC271^2*(DAY(EOMONTH(A271,0))/2))/AK271)</f>
        <v>#VALUE!</v>
      </c>
      <c r="AF271" s="224" t="e">
        <f aca="false">((Summary!$N$10*(AA271*AD271)*(A271-$D$3))+(Summary!$M$10*Z271*AC271*(AJ271-EOMONTH(EDATE(A271,-1),0))))/(AK271*AB271*AE271)</f>
        <v>#VALUE!</v>
      </c>
      <c r="AG271" s="207" t="str">
        <f aca="false">IF($A272="","",Summary!$Q$10)</f>
        <v/>
      </c>
      <c r="AH271" s="207" t="str">
        <f aca="false">IF($A272="","",IF(Summary!$R$10="Y",(VLOOKUP($A271,Summary!$AD$6:$AF$9,3)+'Escalating commodity'!F284),'Escalating commodity'!F284))</f>
        <v/>
      </c>
      <c r="AI271" s="207" t="str">
        <f aca="false">IF($A272="","",AH271)</f>
        <v/>
      </c>
      <c r="AJ271" s="208" t="e">
        <f aca="false">A271+DAY(EOMONTH(A271,0))/2-1</f>
        <v>#VALUE!</v>
      </c>
      <c r="AK271" s="209" t="str">
        <f aca="false">IF($A272="","",$A271-$E$1)</f>
        <v/>
      </c>
      <c r="AL271" s="182" t="str">
        <f aca="false">IF($A272="","",SPRDOPT(P271,X271,AI271,0,AB271,AE271,AF271,AK271,$AJ$2,0))</f>
        <v/>
      </c>
      <c r="AM271" s="211" t="str">
        <f aca="false">IF($A272="","",MAX(0,O271-W271-AI271))</f>
        <v/>
      </c>
      <c r="AN271" s="211" t="str">
        <f aca="false">IF($A272="","",AL271-AM271)</f>
        <v/>
      </c>
      <c r="AO271" s="137" t="str">
        <f aca="false">IF(A272="","",A272-A271)</f>
        <v/>
      </c>
      <c r="AP271" s="212" t="str">
        <f aca="false">IF(A272="","",CHOOSE(F$3,A272+24,A271))</f>
        <v/>
      </c>
      <c r="AQ271" s="209" t="str">
        <f aca="false">IF(A272="","",AP271-$E$1)</f>
        <v/>
      </c>
      <c r="AR271" s="185" t="n">
        <f aca="false">'ANR OK vs ML7'!AR271</f>
        <v>0.1</v>
      </c>
      <c r="AS271" s="213" t="str">
        <f aca="false">IF(A272="","",1/(1+CHOOSE(F$3,(AR272+($I$3/10000))/2,(AR271+($I$3/10000))/2))^(2*AQ271/365.25))</f>
        <v/>
      </c>
      <c r="AT271" s="137" t="str">
        <f aca="false">IF(A272="","",IF(AND(mthbeg&lt;=A271,mthend&gt;=A271),1,0))</f>
        <v/>
      </c>
      <c r="AU271" s="137" t="str">
        <f aca="false">IF(A272="","",AO271*AT271)</f>
        <v/>
      </c>
      <c r="AW271" s="195" t="str">
        <f aca="false">IF($A272="","",AL271*$E271)</f>
        <v/>
      </c>
      <c r="AX271" s="195" t="str">
        <f aca="false">IF($A272="","",AM271*$E271)</f>
        <v/>
      </c>
      <c r="AY271" s="195" t="str">
        <f aca="false">IF($A272="","",AN271*$E271)</f>
        <v/>
      </c>
      <c r="BA271" s="195" t="str">
        <f aca="false">IF($A272="","",F271*Summary!$Q$10)</f>
        <v/>
      </c>
    </row>
    <row r="272" customFormat="false" ht="12" hidden="false" customHeight="true" outlineLevel="0" collapsed="false">
      <c r="A272" s="196" t="str">
        <f aca="false">IF(A271&lt;mthend,EDATE(A271,1),"")</f>
        <v/>
      </c>
      <c r="B272" s="197" t="str">
        <f aca="false">IF(A272&lt;mthend,B271,"")</f>
        <v/>
      </c>
      <c r="C272" s="215"/>
      <c r="D272" s="197" t="str">
        <f aca="false">IF(A273&lt;&gt;"",B272+C272,"")</f>
        <v/>
      </c>
      <c r="E272" s="199" t="str">
        <f aca="false">IF(A273="","",IF(AND(AT272=1,$H$3=1),D272*AO272,IF($H$3=2,D272,"N/A")))</f>
        <v/>
      </c>
      <c r="F272" s="199" t="str">
        <f aca="false">IF(A273="","",E272*AS272)</f>
        <v/>
      </c>
      <c r="G272" s="200" t="str">
        <f aca="false">IF($A273="","",VLOOKUP($A272,Table,MATCH(G$4,Curves,0)))</f>
        <v/>
      </c>
      <c r="H272" s="201" t="str">
        <f aca="false">IF(A273="","",G272)</f>
        <v/>
      </c>
      <c r="I272" s="202"/>
      <c r="J272" s="200" t="str">
        <f aca="false">IF($A273="","",VLOOKUP($A272,Table,MATCH(J$4,Curves,0)))</f>
        <v/>
      </c>
      <c r="K272" s="201" t="str">
        <f aca="false">IF(A273="","",J272)</f>
        <v/>
      </c>
      <c r="L272" s="185" t="n">
        <v>0</v>
      </c>
      <c r="M272" s="201" t="str">
        <f aca="false">IF(A273="","",L272)</f>
        <v/>
      </c>
      <c r="N272" s="203"/>
      <c r="O272" s="200" t="str">
        <f aca="false">IF(A273="","",L272+J272+G272)</f>
        <v/>
      </c>
      <c r="P272" s="200" t="str">
        <f aca="false">IF(A273="","",M272+K272+H272)</f>
        <v/>
      </c>
      <c r="Q272" s="204"/>
      <c r="R272" s="200" t="str">
        <f aca="false">IF($A273="","",VLOOKUP($A272,Table,MATCH(R$4,Curves,0)))</f>
        <v/>
      </c>
      <c r="S272" s="201" t="str">
        <f aca="false">IF(A273="","",R272)</f>
        <v/>
      </c>
      <c r="T272" s="200" t="str">
        <f aca="false">IF($A273="","",VLOOKUP($A272,Table,MATCH(T$4,Curves,0)))</f>
        <v/>
      </c>
      <c r="U272" s="201" t="str">
        <f aca="false">IF(A273="","",T272)</f>
        <v/>
      </c>
      <c r="V272" s="205" t="str">
        <f aca="false">IF($A273="","",IF(AND(MONTH(A272)&gt;3,MONTH(A272)&lt;11),(T272+R272+G272)*Summary!$T$10/(1-Summary!$T$10),(T272+R272+G272)*Summary!$U$10/(1-Summary!$U$10)))</f>
        <v/>
      </c>
      <c r="W272" s="200" t="str">
        <f aca="false">IF($A273="","",(T272+R272+G272+V272))</f>
        <v/>
      </c>
      <c r="X272" s="200" t="str">
        <f aca="false">IF($A273="","",(U272+S272+H272+V272))</f>
        <v/>
      </c>
      <c r="Y272" s="202"/>
      <c r="Z272" s="185" t="str">
        <f aca="false">IF($A273="","",VLOOKUP($A272,Table,MATCH(Z$4,Curves,0)))</f>
        <v/>
      </c>
      <c r="AA272" s="185" t="str">
        <f aca="false">IF($A273="","",VLOOKUP($A272,Table,MATCH(AA$4,Curves,0)))</f>
        <v/>
      </c>
      <c r="AB272" s="185" t="e">
        <f aca="false">SQRT((AA272^2*(A272-$D$3)+Z272^2*(DAY(EOMONTH(A272,0))/2))/AK272)</f>
        <v>#VALUE!</v>
      </c>
      <c r="AC272" s="185" t="str">
        <f aca="false">IF($A273="","",VLOOKUP($A272,Table,MATCH(AC$4,Curves,0)))</f>
        <v/>
      </c>
      <c r="AD272" s="185" t="str">
        <f aca="false">IF($A273="","",VLOOKUP($A272,Table,MATCH(AD$4,Curves,0)))</f>
        <v/>
      </c>
      <c r="AE272" s="185" t="e">
        <f aca="false">SQRT((AD272^2*(A272-$D$3)+AC272^2*(DAY(EOMONTH(A272,0))/2))/AK272)</f>
        <v>#VALUE!</v>
      </c>
      <c r="AF272" s="224" t="e">
        <f aca="false">((Summary!$N$10*(AA272*AD272)*(A272-$D$3))+(Summary!$M$10*Z272*AC272*(AJ272-EOMONTH(EDATE(A272,-1),0))))/(AK272*AB272*AE272)</f>
        <v>#VALUE!</v>
      </c>
      <c r="AG272" s="207" t="str">
        <f aca="false">IF($A273="","",Summary!$Q$10)</f>
        <v/>
      </c>
      <c r="AH272" s="207" t="str">
        <f aca="false">IF($A273="","",IF(Summary!$R$10="Y",(VLOOKUP($A272,Summary!$AD$6:$AF$9,3)+'Escalating commodity'!F285),'Escalating commodity'!F285))</f>
        <v/>
      </c>
      <c r="AI272" s="207" t="str">
        <f aca="false">IF($A273="","",AH272)</f>
        <v/>
      </c>
      <c r="AJ272" s="208" t="e">
        <f aca="false">A272+DAY(EOMONTH(A272,0))/2-1</f>
        <v>#VALUE!</v>
      </c>
      <c r="AK272" s="209" t="str">
        <f aca="false">IF($A273="","",$A272-$E$1)</f>
        <v/>
      </c>
      <c r="AL272" s="182" t="str">
        <f aca="false">IF($A273="","",SPRDOPT(P272,X272,AI272,0,AB272,AE272,AF272,AK272,$AJ$2,0))</f>
        <v/>
      </c>
      <c r="AM272" s="211" t="str">
        <f aca="false">IF($A273="","",MAX(0,O272-W272-AI272))</f>
        <v/>
      </c>
      <c r="AN272" s="211" t="str">
        <f aca="false">IF($A273="","",AL272-AM272)</f>
        <v/>
      </c>
      <c r="AO272" s="137" t="str">
        <f aca="false">IF(A273="","",A273-A272)</f>
        <v/>
      </c>
      <c r="AP272" s="212" t="str">
        <f aca="false">IF(A273="","",CHOOSE(F$3,A273+24,A272))</f>
        <v/>
      </c>
      <c r="AQ272" s="209" t="str">
        <f aca="false">IF(A273="","",AP272-$E$1)</f>
        <v/>
      </c>
      <c r="AR272" s="185" t="n">
        <f aca="false">'ANR OK vs ML7'!AR272</f>
        <v>0.1</v>
      </c>
      <c r="AS272" s="213" t="str">
        <f aca="false">IF(A273="","",1/(1+CHOOSE(F$3,(AR273+($I$3/10000))/2,(AR272+($I$3/10000))/2))^(2*AQ272/365.25))</f>
        <v/>
      </c>
      <c r="AT272" s="137" t="str">
        <f aca="false">IF(A273="","",IF(AND(mthbeg&lt;=A272,mthend&gt;=A272),1,0))</f>
        <v/>
      </c>
      <c r="AU272" s="137" t="str">
        <f aca="false">IF(A273="","",AO272*AT272)</f>
        <v/>
      </c>
      <c r="AW272" s="195" t="str">
        <f aca="false">IF($A273="","",AL272*$E272)</f>
        <v/>
      </c>
      <c r="AX272" s="195" t="str">
        <f aca="false">IF($A273="","",AM272*$E272)</f>
        <v/>
      </c>
      <c r="AY272" s="195" t="str">
        <f aca="false">IF($A273="","",AN272*$E272)</f>
        <v/>
      </c>
      <c r="BA272" s="195" t="str">
        <f aca="false">IF($A273="","",F272*Summary!$Q$10)</f>
        <v/>
      </c>
    </row>
    <row r="273" customFormat="false" ht="12" hidden="false" customHeight="true" outlineLevel="0" collapsed="false">
      <c r="A273" s="196" t="str">
        <f aca="false">IF(A272&lt;mthend,EDATE(A272,1),"")</f>
        <v/>
      </c>
      <c r="B273" s="197" t="str">
        <f aca="false">IF(A273&lt;mthend,B272,"")</f>
        <v/>
      </c>
      <c r="C273" s="215"/>
      <c r="D273" s="197" t="str">
        <f aca="false">IF(A274&lt;&gt;"",B273+C273,"")</f>
        <v/>
      </c>
      <c r="E273" s="199" t="str">
        <f aca="false">IF(A274="","",IF(AND(AT273=1,$H$3=1),D273*AO273,IF($H$3=2,D273,"N/A")))</f>
        <v/>
      </c>
      <c r="F273" s="199" t="str">
        <f aca="false">IF(A274="","",E273*AS273)</f>
        <v/>
      </c>
      <c r="G273" s="200" t="str">
        <f aca="false">IF($A274="","",VLOOKUP($A273,Table,MATCH(G$4,Curves,0)))</f>
        <v/>
      </c>
      <c r="H273" s="201" t="str">
        <f aca="false">IF(A274="","",G273)</f>
        <v/>
      </c>
      <c r="I273" s="202"/>
      <c r="J273" s="200" t="str">
        <f aca="false">IF($A274="","",VLOOKUP($A273,Table,MATCH(J$4,Curves,0)))</f>
        <v/>
      </c>
      <c r="K273" s="201" t="str">
        <f aca="false">IF(A274="","",J273)</f>
        <v/>
      </c>
      <c r="L273" s="185" t="n">
        <v>0</v>
      </c>
      <c r="M273" s="201" t="str">
        <f aca="false">IF(A274="","",L273)</f>
        <v/>
      </c>
      <c r="N273" s="203"/>
      <c r="O273" s="200" t="str">
        <f aca="false">IF(A274="","",L273+J273+G273)</f>
        <v/>
      </c>
      <c r="P273" s="200" t="str">
        <f aca="false">IF(A274="","",M273+K273+H273)</f>
        <v/>
      </c>
      <c r="Q273" s="204"/>
      <c r="R273" s="200" t="str">
        <f aca="false">IF($A274="","",VLOOKUP($A273,Table,MATCH(R$4,Curves,0)))</f>
        <v/>
      </c>
      <c r="S273" s="201" t="str">
        <f aca="false">IF(A274="","",R273)</f>
        <v/>
      </c>
      <c r="T273" s="200" t="str">
        <f aca="false">IF($A274="","",VLOOKUP($A273,Table,MATCH(T$4,Curves,0)))</f>
        <v/>
      </c>
      <c r="U273" s="201" t="str">
        <f aca="false">IF(A274="","",T273)</f>
        <v/>
      </c>
      <c r="V273" s="205" t="str">
        <f aca="false">IF($A274="","",IF(AND(MONTH(A273)&gt;3,MONTH(A273)&lt;11),(T273+R273+G273)*Summary!$T$10/(1-Summary!$T$10),(T273+R273+G273)*Summary!$U$10/(1-Summary!$U$10)))</f>
        <v/>
      </c>
      <c r="W273" s="200" t="str">
        <f aca="false">IF($A274="","",(T273+R273+G273+V273))</f>
        <v/>
      </c>
      <c r="X273" s="200" t="str">
        <f aca="false">IF($A274="","",(U273+S273+H273+V273))</f>
        <v/>
      </c>
      <c r="Y273" s="202"/>
      <c r="Z273" s="185" t="str">
        <f aca="false">IF($A274="","",VLOOKUP($A273,Table,MATCH(Z$4,Curves,0)))</f>
        <v/>
      </c>
      <c r="AA273" s="185" t="str">
        <f aca="false">IF($A274="","",VLOOKUP($A273,Table,MATCH(AA$4,Curves,0)))</f>
        <v/>
      </c>
      <c r="AB273" s="185" t="e">
        <f aca="false">SQRT((AA273^2*(A273-$D$3)+Z273^2*(DAY(EOMONTH(A273,0))/2))/AK273)</f>
        <v>#VALUE!</v>
      </c>
      <c r="AC273" s="185" t="str">
        <f aca="false">IF($A274="","",VLOOKUP($A273,Table,MATCH(AC$4,Curves,0)))</f>
        <v/>
      </c>
      <c r="AD273" s="185" t="str">
        <f aca="false">IF($A274="","",VLOOKUP($A273,Table,MATCH(AD$4,Curves,0)))</f>
        <v/>
      </c>
      <c r="AE273" s="185" t="e">
        <f aca="false">SQRT((AD273^2*(A273-$D$3)+AC273^2*(DAY(EOMONTH(A273,0))/2))/AK273)</f>
        <v>#VALUE!</v>
      </c>
      <c r="AF273" s="224" t="e">
        <f aca="false">((Summary!$N$10*(AA273*AD273)*(A273-$D$3))+(Summary!$M$10*Z273*AC273*(AJ273-EOMONTH(EDATE(A273,-1),0))))/(AK273*AB273*AE273)</f>
        <v>#VALUE!</v>
      </c>
      <c r="AG273" s="207" t="str">
        <f aca="false">IF($A274="","",Summary!$Q$10)</f>
        <v/>
      </c>
      <c r="AH273" s="207" t="str">
        <f aca="false">IF($A274="","",IF(Summary!$R$10="Y",(VLOOKUP($A273,Summary!$AD$6:$AF$9,3)+'Escalating commodity'!F286),'Escalating commodity'!F286))</f>
        <v/>
      </c>
      <c r="AI273" s="207" t="str">
        <f aca="false">IF($A274="","",AH273)</f>
        <v/>
      </c>
      <c r="AJ273" s="208" t="e">
        <f aca="false">A273+DAY(EOMONTH(A273,0))/2-1</f>
        <v>#VALUE!</v>
      </c>
      <c r="AK273" s="209" t="str">
        <f aca="false">IF($A274="","",$A273-$E$1)</f>
        <v/>
      </c>
      <c r="AL273" s="182" t="str">
        <f aca="false">IF($A274="","",SPRDOPT(P273,X273,AI273,0,AB273,AE273,AF273,AK273,$AJ$2,0))</f>
        <v/>
      </c>
      <c r="AM273" s="211" t="str">
        <f aca="false">IF($A274="","",MAX(0,O273-W273-AI273))</f>
        <v/>
      </c>
      <c r="AN273" s="211" t="str">
        <f aca="false">IF($A274="","",AL273-AM273)</f>
        <v/>
      </c>
      <c r="AO273" s="137" t="str">
        <f aca="false">IF(A274="","",A274-A273)</f>
        <v/>
      </c>
      <c r="AP273" s="212" t="str">
        <f aca="false">IF(A274="","",CHOOSE(F$3,A274+24,A273))</f>
        <v/>
      </c>
      <c r="AQ273" s="209" t="str">
        <f aca="false">IF(A274="","",AP273-$E$1)</f>
        <v/>
      </c>
      <c r="AR273" s="185" t="n">
        <f aca="false">'ANR OK vs ML7'!AR273</f>
        <v>0.1</v>
      </c>
      <c r="AS273" s="213" t="str">
        <f aca="false">IF(A274="","",1/(1+CHOOSE(F$3,(AR274+($I$3/10000))/2,(AR273+($I$3/10000))/2))^(2*AQ273/365.25))</f>
        <v/>
      </c>
      <c r="AT273" s="137" t="str">
        <f aca="false">IF(A274="","",IF(AND(mthbeg&lt;=A273,mthend&gt;=A273),1,0))</f>
        <v/>
      </c>
      <c r="AU273" s="137" t="str">
        <f aca="false">IF(A274="","",AO273*AT273)</f>
        <v/>
      </c>
      <c r="AW273" s="195" t="str">
        <f aca="false">IF($A274="","",AL273*$E273)</f>
        <v/>
      </c>
      <c r="AX273" s="195" t="str">
        <f aca="false">IF($A274="","",AM273*$E273)</f>
        <v/>
      </c>
      <c r="AY273" s="195" t="str">
        <f aca="false">IF($A274="","",AN273*$E273)</f>
        <v/>
      </c>
      <c r="BA273" s="195" t="str">
        <f aca="false">IF($A274="","",F273*Summary!$Q$10)</f>
        <v/>
      </c>
    </row>
    <row r="274" customFormat="false" ht="12" hidden="false" customHeight="true" outlineLevel="0" collapsed="false">
      <c r="A274" s="196" t="str">
        <f aca="false">IF(A273&lt;mthend,EDATE(A273,1),"")</f>
        <v/>
      </c>
      <c r="B274" s="197" t="str">
        <f aca="false">IF(A274&lt;mthend,B273,"")</f>
        <v/>
      </c>
      <c r="C274" s="215"/>
      <c r="D274" s="197" t="str">
        <f aca="false">IF(A275&lt;&gt;"",B274+C274,"")</f>
        <v/>
      </c>
      <c r="E274" s="199" t="str">
        <f aca="false">IF(A275="","",IF(AND(AT274=1,$H$3=1),D274*AO274,IF($H$3=2,D274,"N/A")))</f>
        <v/>
      </c>
      <c r="F274" s="199" t="str">
        <f aca="false">IF(A275="","",E274*AS274)</f>
        <v/>
      </c>
      <c r="G274" s="200" t="str">
        <f aca="false">IF($A275="","",VLOOKUP($A274,Table,MATCH(G$4,Curves,0)))</f>
        <v/>
      </c>
      <c r="H274" s="201" t="str">
        <f aca="false">IF(A275="","",G274)</f>
        <v/>
      </c>
      <c r="I274" s="202"/>
      <c r="J274" s="200" t="str">
        <f aca="false">IF($A275="","",VLOOKUP($A274,Table,MATCH(J$4,Curves,0)))</f>
        <v/>
      </c>
      <c r="K274" s="201" t="str">
        <f aca="false">IF(A275="","",J274)</f>
        <v/>
      </c>
      <c r="L274" s="185" t="n">
        <v>0</v>
      </c>
      <c r="M274" s="201" t="str">
        <f aca="false">IF(A275="","",L274)</f>
        <v/>
      </c>
      <c r="N274" s="203"/>
      <c r="O274" s="200" t="str">
        <f aca="false">IF(A275="","",L274+J274+G274)</f>
        <v/>
      </c>
      <c r="P274" s="200" t="str">
        <f aca="false">IF(A275="","",M274+K274+H274)</f>
        <v/>
      </c>
      <c r="Q274" s="204"/>
      <c r="R274" s="200" t="str">
        <f aca="false">IF($A275="","",VLOOKUP($A274,Table,MATCH(R$4,Curves,0)))</f>
        <v/>
      </c>
      <c r="S274" s="201" t="str">
        <f aca="false">IF(A275="","",R274)</f>
        <v/>
      </c>
      <c r="T274" s="200" t="str">
        <f aca="false">IF($A275="","",VLOOKUP($A274,Table,MATCH(T$4,Curves,0)))</f>
        <v/>
      </c>
      <c r="U274" s="201" t="str">
        <f aca="false">IF(A275="","",T274)</f>
        <v/>
      </c>
      <c r="V274" s="205" t="str">
        <f aca="false">IF($A275="","",IF(AND(MONTH(A274)&gt;3,MONTH(A274)&lt;11),(T274+R274+G274)*Summary!$T$10/(1-Summary!$T$10),(T274+R274+G274)*Summary!$U$10/(1-Summary!$U$10)))</f>
        <v/>
      </c>
      <c r="W274" s="200" t="str">
        <f aca="false">IF($A275="","",(T274+R274+G274+V274))</f>
        <v/>
      </c>
      <c r="X274" s="200" t="str">
        <f aca="false">IF($A275="","",(U274+S274+H274+V274))</f>
        <v/>
      </c>
      <c r="Y274" s="202"/>
      <c r="Z274" s="185" t="str">
        <f aca="false">IF($A275="","",VLOOKUP($A274,Table,MATCH(Z$4,Curves,0)))</f>
        <v/>
      </c>
      <c r="AA274" s="185" t="str">
        <f aca="false">IF($A275="","",VLOOKUP($A274,Table,MATCH(AA$4,Curves,0)))</f>
        <v/>
      </c>
      <c r="AB274" s="185" t="e">
        <f aca="false">SQRT((AA274^2*(A274-$D$3)+Z274^2*(DAY(EOMONTH(A274,0))/2))/AK274)</f>
        <v>#VALUE!</v>
      </c>
      <c r="AC274" s="185" t="str">
        <f aca="false">IF($A275="","",VLOOKUP($A274,Table,MATCH(AC$4,Curves,0)))</f>
        <v/>
      </c>
      <c r="AD274" s="185" t="str">
        <f aca="false">IF($A275="","",VLOOKUP($A274,Table,MATCH(AD$4,Curves,0)))</f>
        <v/>
      </c>
      <c r="AE274" s="185" t="e">
        <f aca="false">SQRT((AD274^2*(A274-$D$3)+AC274^2*(DAY(EOMONTH(A274,0))/2))/AK274)</f>
        <v>#VALUE!</v>
      </c>
      <c r="AF274" s="224" t="e">
        <f aca="false">((Summary!$N$10*(AA274*AD274)*(A274-$D$3))+(Summary!$M$10*Z274*AC274*(AJ274-EOMONTH(EDATE(A274,-1),0))))/(AK274*AB274*AE274)</f>
        <v>#VALUE!</v>
      </c>
      <c r="AG274" s="207" t="str">
        <f aca="false">IF($A275="","",Summary!$Q$10)</f>
        <v/>
      </c>
      <c r="AH274" s="207" t="str">
        <f aca="false">IF($A275="","",IF(Summary!$R$10="Y",(VLOOKUP($A274,Summary!$AD$6:$AF$9,3)+'Escalating commodity'!F287),'Escalating commodity'!F287))</f>
        <v/>
      </c>
      <c r="AI274" s="207" t="str">
        <f aca="false">IF($A275="","",AH274)</f>
        <v/>
      </c>
      <c r="AJ274" s="208" t="e">
        <f aca="false">A274+DAY(EOMONTH(A274,0))/2-1</f>
        <v>#VALUE!</v>
      </c>
      <c r="AK274" s="209" t="str">
        <f aca="false">IF($A275="","",$A274-$E$1)</f>
        <v/>
      </c>
      <c r="AL274" s="182" t="str">
        <f aca="false">IF($A275="","",SPRDOPT(P274,X274,AI274,0,AB274,AE274,AF274,AK274,$AJ$2,0))</f>
        <v/>
      </c>
      <c r="AM274" s="211" t="str">
        <f aca="false">IF($A275="","",MAX(0,O274-W274-AI274))</f>
        <v/>
      </c>
      <c r="AN274" s="211" t="str">
        <f aca="false">IF($A275="","",AL274-AM274)</f>
        <v/>
      </c>
      <c r="AO274" s="137" t="str">
        <f aca="false">IF(A275="","",A275-A274)</f>
        <v/>
      </c>
      <c r="AP274" s="212" t="str">
        <f aca="false">IF(A275="","",CHOOSE(F$3,A275+24,A274))</f>
        <v/>
      </c>
      <c r="AQ274" s="209" t="str">
        <f aca="false">IF(A275="","",AP274-$E$1)</f>
        <v/>
      </c>
      <c r="AR274" s="185" t="n">
        <f aca="false">'ANR OK vs ML7'!AR274</f>
        <v>0.1</v>
      </c>
      <c r="AS274" s="213" t="str">
        <f aca="false">IF(A275="","",1/(1+CHOOSE(F$3,(AR275+($I$3/10000))/2,(AR274+($I$3/10000))/2))^(2*AQ274/365.25))</f>
        <v/>
      </c>
      <c r="AT274" s="137" t="str">
        <f aca="false">IF(A275="","",IF(AND(mthbeg&lt;=A274,mthend&gt;=A274),1,0))</f>
        <v/>
      </c>
      <c r="AU274" s="137" t="str">
        <f aca="false">IF(A275="","",AO274*AT274)</f>
        <v/>
      </c>
      <c r="AW274" s="195" t="str">
        <f aca="false">IF($A275="","",AL274*$E274)</f>
        <v/>
      </c>
      <c r="AX274" s="195" t="str">
        <f aca="false">IF($A275="","",AM274*$E274)</f>
        <v/>
      </c>
      <c r="AY274" s="195" t="str">
        <f aca="false">IF($A275="","",AN274*$E274)</f>
        <v/>
      </c>
      <c r="BA274" s="195" t="str">
        <f aca="false">IF($A275="","",F274*Summary!$Q$10)</f>
        <v/>
      </c>
    </row>
    <row r="275" customFormat="false" ht="12" hidden="false" customHeight="true" outlineLevel="0" collapsed="false">
      <c r="A275" s="196" t="str">
        <f aca="false">IF(A274&lt;mthend,EDATE(A274,1),"")</f>
        <v/>
      </c>
      <c r="B275" s="197" t="str">
        <f aca="false">IF(A275&lt;mthend,B274,"")</f>
        <v/>
      </c>
      <c r="C275" s="215"/>
      <c r="D275" s="197" t="str">
        <f aca="false">IF(A276&lt;&gt;"",B275+C275,"")</f>
        <v/>
      </c>
      <c r="E275" s="199" t="str">
        <f aca="false">IF(A276="","",IF(AND(AT275=1,$H$3=1),D275*AO275,IF($H$3=2,D275,"N/A")))</f>
        <v/>
      </c>
      <c r="F275" s="199" t="str">
        <f aca="false">IF(A276="","",E275*AS275)</f>
        <v/>
      </c>
      <c r="G275" s="200" t="str">
        <f aca="false">IF($A276="","",VLOOKUP($A275,Table,MATCH(G$4,Curves,0)))</f>
        <v/>
      </c>
      <c r="H275" s="201" t="str">
        <f aca="false">IF(A276="","",G275)</f>
        <v/>
      </c>
      <c r="I275" s="202"/>
      <c r="J275" s="200" t="str">
        <f aca="false">IF($A276="","",VLOOKUP($A275,Table,MATCH(J$4,Curves,0)))</f>
        <v/>
      </c>
      <c r="K275" s="201" t="str">
        <f aca="false">IF(A276="","",J275)</f>
        <v/>
      </c>
      <c r="L275" s="185" t="n">
        <v>0</v>
      </c>
      <c r="M275" s="201" t="str">
        <f aca="false">IF(A276="","",L275)</f>
        <v/>
      </c>
      <c r="N275" s="203"/>
      <c r="O275" s="200" t="str">
        <f aca="false">IF(A276="","",L275+J275+G275)</f>
        <v/>
      </c>
      <c r="P275" s="200" t="str">
        <f aca="false">IF(A276="","",M275+K275+H275)</f>
        <v/>
      </c>
      <c r="Q275" s="204"/>
      <c r="R275" s="200" t="str">
        <f aca="false">IF($A276="","",VLOOKUP($A275,Table,MATCH(R$4,Curves,0)))</f>
        <v/>
      </c>
      <c r="S275" s="201" t="str">
        <f aca="false">IF(A276="","",R275)</f>
        <v/>
      </c>
      <c r="T275" s="200" t="str">
        <f aca="false">IF($A276="","",VLOOKUP($A275,Table,MATCH(T$4,Curves,0)))</f>
        <v/>
      </c>
      <c r="U275" s="201" t="str">
        <f aca="false">IF(A276="","",T275)</f>
        <v/>
      </c>
      <c r="V275" s="205" t="str">
        <f aca="false">IF($A276="","",IF(AND(MONTH(A275)&gt;3,MONTH(A275)&lt;11),(T275+R275+G275)*Summary!$T$10/(1-Summary!$T$10),(T275+R275+G275)*Summary!$U$10/(1-Summary!$U$10)))</f>
        <v/>
      </c>
      <c r="W275" s="200" t="str">
        <f aca="false">IF($A276="","",(T275+R275+G275+V275))</f>
        <v/>
      </c>
      <c r="X275" s="200" t="str">
        <f aca="false">IF($A276="","",(U275+S275+H275+V275))</f>
        <v/>
      </c>
      <c r="Y275" s="202"/>
      <c r="Z275" s="185" t="str">
        <f aca="false">IF($A276="","",VLOOKUP($A275,Table,MATCH(Z$4,Curves,0)))</f>
        <v/>
      </c>
      <c r="AA275" s="185" t="str">
        <f aca="false">IF($A276="","",VLOOKUP($A275,Table,MATCH(AA$4,Curves,0)))</f>
        <v/>
      </c>
      <c r="AB275" s="185" t="e">
        <f aca="false">SQRT((AA275^2*(A275-$D$3)+Z275^2*(DAY(EOMONTH(A275,0))/2))/AK275)</f>
        <v>#VALUE!</v>
      </c>
      <c r="AC275" s="185" t="str">
        <f aca="false">IF($A276="","",VLOOKUP($A275,Table,MATCH(AC$4,Curves,0)))</f>
        <v/>
      </c>
      <c r="AD275" s="185" t="str">
        <f aca="false">IF($A276="","",VLOOKUP($A275,Table,MATCH(AD$4,Curves,0)))</f>
        <v/>
      </c>
      <c r="AE275" s="185" t="e">
        <f aca="false">SQRT((AD275^2*(A275-$D$3)+AC275^2*(DAY(EOMONTH(A275,0))/2))/AK275)</f>
        <v>#VALUE!</v>
      </c>
      <c r="AF275" s="224" t="e">
        <f aca="false">((Summary!$N$10*(AA275*AD275)*(A275-$D$3))+(Summary!$M$10*Z275*AC275*(AJ275-EOMONTH(EDATE(A275,-1),0))))/(AK275*AB275*AE275)</f>
        <v>#VALUE!</v>
      </c>
      <c r="AG275" s="207" t="str">
        <f aca="false">IF($A276="","",Summary!$Q$10)</f>
        <v/>
      </c>
      <c r="AH275" s="207" t="str">
        <f aca="false">IF($A276="","",IF(Summary!$R$10="Y",(VLOOKUP($A275,Summary!$AD$6:$AF$9,3)+'Escalating commodity'!F288),'Escalating commodity'!F288))</f>
        <v/>
      </c>
      <c r="AI275" s="207" t="str">
        <f aca="false">IF($A276="","",AH275)</f>
        <v/>
      </c>
      <c r="AJ275" s="208" t="e">
        <f aca="false">A275+DAY(EOMONTH(A275,0))/2-1</f>
        <v>#VALUE!</v>
      </c>
      <c r="AK275" s="209" t="str">
        <f aca="false">IF($A276="","",$A275-$E$1)</f>
        <v/>
      </c>
      <c r="AL275" s="182" t="str">
        <f aca="false">IF($A276="","",SPRDOPT(P275,X275,AI275,0,AB275,AE275,AF275,AK275,$AJ$2,0))</f>
        <v/>
      </c>
      <c r="AM275" s="211" t="str">
        <f aca="false">IF($A276="","",MAX(0,O275-W275-AI275))</f>
        <v/>
      </c>
      <c r="AN275" s="211" t="str">
        <f aca="false">IF($A276="","",AL275-AM275)</f>
        <v/>
      </c>
      <c r="AO275" s="137" t="str">
        <f aca="false">IF(A276="","",A276-A275)</f>
        <v/>
      </c>
      <c r="AP275" s="212" t="str">
        <f aca="false">IF(A276="","",CHOOSE(F$3,A276+24,A275))</f>
        <v/>
      </c>
      <c r="AQ275" s="209" t="str">
        <f aca="false">IF(A276="","",AP275-$E$1)</f>
        <v/>
      </c>
      <c r="AR275" s="185" t="n">
        <f aca="false">'ANR OK vs ML7'!AR275</f>
        <v>0.1</v>
      </c>
      <c r="AS275" s="213" t="str">
        <f aca="false">IF(A276="","",1/(1+CHOOSE(F$3,(AR276+($I$3/10000))/2,(AR275+($I$3/10000))/2))^(2*AQ275/365.25))</f>
        <v/>
      </c>
      <c r="AT275" s="137" t="str">
        <f aca="false">IF(A276="","",IF(AND(mthbeg&lt;=A275,mthend&gt;=A275),1,0))</f>
        <v/>
      </c>
      <c r="AU275" s="137" t="str">
        <f aca="false">IF(A276="","",AO275*AT275)</f>
        <v/>
      </c>
      <c r="AW275" s="195" t="str">
        <f aca="false">IF($A276="","",AL275*$E275)</f>
        <v/>
      </c>
      <c r="AX275" s="195" t="str">
        <f aca="false">IF($A276="","",AM275*$E275)</f>
        <v/>
      </c>
      <c r="AY275" s="195" t="str">
        <f aca="false">IF($A276="","",AN275*$E275)</f>
        <v/>
      </c>
      <c r="BA275" s="195" t="str">
        <f aca="false">IF($A276="","",F275*Summary!$Q$10)</f>
        <v/>
      </c>
    </row>
    <row r="276" customFormat="false" ht="12" hidden="false" customHeight="true" outlineLevel="0" collapsed="false">
      <c r="A276" s="196" t="str">
        <f aca="false">IF(A275&lt;mthend,EDATE(A275,1),"")</f>
        <v/>
      </c>
      <c r="B276" s="197" t="str">
        <f aca="false">IF(A276&lt;mthend,B275,"")</f>
        <v/>
      </c>
      <c r="C276" s="215"/>
      <c r="D276" s="197" t="str">
        <f aca="false">IF(A277&lt;&gt;"",B276+C276,"")</f>
        <v/>
      </c>
      <c r="E276" s="199" t="str">
        <f aca="false">IF(A277="","",IF(AND(AT276=1,$H$3=1),D276*AO276,IF($H$3=2,D276,"N/A")))</f>
        <v/>
      </c>
      <c r="F276" s="199" t="str">
        <f aca="false">IF(A277="","",E276*AS276)</f>
        <v/>
      </c>
      <c r="G276" s="200" t="str">
        <f aca="false">IF($A277="","",VLOOKUP($A276,Table,MATCH(G$4,Curves,0)))</f>
        <v/>
      </c>
      <c r="H276" s="201" t="str">
        <f aca="false">IF(A277="","",G276)</f>
        <v/>
      </c>
      <c r="I276" s="202"/>
      <c r="J276" s="200" t="str">
        <f aca="false">IF($A277="","",VLOOKUP($A276,Table,MATCH(J$4,Curves,0)))</f>
        <v/>
      </c>
      <c r="K276" s="201" t="str">
        <f aca="false">IF(A277="","",J276)</f>
        <v/>
      </c>
      <c r="L276" s="185" t="n">
        <v>0</v>
      </c>
      <c r="M276" s="201" t="str">
        <f aca="false">IF(A277="","",L276)</f>
        <v/>
      </c>
      <c r="N276" s="203"/>
      <c r="O276" s="200" t="str">
        <f aca="false">IF(A277="","",L276+J276+G276)</f>
        <v/>
      </c>
      <c r="P276" s="200" t="str">
        <f aca="false">IF(A277="","",M276+K276+H276)</f>
        <v/>
      </c>
      <c r="Q276" s="204"/>
      <c r="R276" s="200" t="str">
        <f aca="false">IF($A277="","",VLOOKUP($A276,Table,MATCH(R$4,Curves,0)))</f>
        <v/>
      </c>
      <c r="S276" s="201" t="str">
        <f aca="false">IF(A277="","",R276)</f>
        <v/>
      </c>
      <c r="T276" s="200" t="str">
        <f aca="false">IF($A277="","",VLOOKUP($A276,Table,MATCH(T$4,Curves,0)))</f>
        <v/>
      </c>
      <c r="U276" s="201" t="str">
        <f aca="false">IF(A277="","",T276)</f>
        <v/>
      </c>
      <c r="V276" s="205" t="str">
        <f aca="false">IF($A277="","",IF(AND(MONTH(A276)&gt;3,MONTH(A276)&lt;11),(T276+R276+G276)*Summary!$T$10/(1-Summary!$T$10),(T276+R276+G276)*Summary!$U$10/(1-Summary!$U$10)))</f>
        <v/>
      </c>
      <c r="W276" s="200" t="str">
        <f aca="false">IF($A277="","",(T276+R276+G276+V276))</f>
        <v/>
      </c>
      <c r="X276" s="200" t="str">
        <f aca="false">IF($A277="","",(U276+S276+H276+V276))</f>
        <v/>
      </c>
      <c r="Y276" s="202"/>
      <c r="Z276" s="185" t="str">
        <f aca="false">IF($A277="","",VLOOKUP($A276,Table,MATCH(Z$4,Curves,0)))</f>
        <v/>
      </c>
      <c r="AA276" s="185" t="str">
        <f aca="false">IF($A277="","",VLOOKUP($A276,Table,MATCH(AA$4,Curves,0)))</f>
        <v/>
      </c>
      <c r="AB276" s="185" t="e">
        <f aca="false">SQRT((AA276^2*(A276-$D$3)+Z276^2*(DAY(EOMONTH(A276,0))/2))/AK276)</f>
        <v>#VALUE!</v>
      </c>
      <c r="AC276" s="185" t="str">
        <f aca="false">IF($A277="","",VLOOKUP($A276,Table,MATCH(AC$4,Curves,0)))</f>
        <v/>
      </c>
      <c r="AD276" s="185" t="str">
        <f aca="false">IF($A277="","",VLOOKUP($A276,Table,MATCH(AD$4,Curves,0)))</f>
        <v/>
      </c>
      <c r="AE276" s="185" t="e">
        <f aca="false">SQRT((AD276^2*(A276-$D$3)+AC276^2*(DAY(EOMONTH(A276,0))/2))/AK276)</f>
        <v>#VALUE!</v>
      </c>
      <c r="AF276" s="224" t="e">
        <f aca="false">((Summary!$N$10*(AA276*AD276)*(A276-$D$3))+(Summary!$M$10*Z276*AC276*(AJ276-EOMONTH(EDATE(A276,-1),0))))/(AK276*AB276*AE276)</f>
        <v>#VALUE!</v>
      </c>
      <c r="AG276" s="207" t="str">
        <f aca="false">IF($A277="","",Summary!$Q$10)</f>
        <v/>
      </c>
      <c r="AH276" s="207" t="str">
        <f aca="false">IF($A277="","",IF(Summary!$R$10="Y",(VLOOKUP($A276,Summary!$AD$6:$AF$9,3)+'Escalating commodity'!F289),'Escalating commodity'!F289))</f>
        <v/>
      </c>
      <c r="AI276" s="207" t="str">
        <f aca="false">IF($A277="","",AH276)</f>
        <v/>
      </c>
      <c r="AJ276" s="208" t="e">
        <f aca="false">A276+DAY(EOMONTH(A276,0))/2-1</f>
        <v>#VALUE!</v>
      </c>
      <c r="AK276" s="209" t="str">
        <f aca="false">IF($A277="","",$A276-$E$1)</f>
        <v/>
      </c>
      <c r="AL276" s="182" t="str">
        <f aca="false">IF($A277="","",SPRDOPT(P276,X276,AI276,0,AB276,AE276,AF276,AK276,$AJ$2,0))</f>
        <v/>
      </c>
      <c r="AM276" s="211" t="str">
        <f aca="false">IF($A277="","",MAX(0,O276-W276-AI276))</f>
        <v/>
      </c>
      <c r="AN276" s="211" t="str">
        <f aca="false">IF($A277="","",AL276-AM276)</f>
        <v/>
      </c>
      <c r="AO276" s="137" t="str">
        <f aca="false">IF(A277="","",A277-A276)</f>
        <v/>
      </c>
      <c r="AP276" s="212" t="str">
        <f aca="false">IF(A277="","",CHOOSE(F$3,A277+24,A276))</f>
        <v/>
      </c>
      <c r="AQ276" s="209" t="str">
        <f aca="false">IF(A277="","",AP276-$E$1)</f>
        <v/>
      </c>
      <c r="AR276" s="185" t="n">
        <f aca="false">'ANR OK vs ML7'!AR276</f>
        <v>0.1</v>
      </c>
      <c r="AS276" s="213" t="str">
        <f aca="false">IF(A277="","",1/(1+CHOOSE(F$3,(AR277+($I$3/10000))/2,(AR276+($I$3/10000))/2))^(2*AQ276/365.25))</f>
        <v/>
      </c>
      <c r="AT276" s="137" t="str">
        <f aca="false">IF(A277="","",IF(AND(mthbeg&lt;=A276,mthend&gt;=A276),1,0))</f>
        <v/>
      </c>
      <c r="AU276" s="137" t="str">
        <f aca="false">IF(A277="","",AO276*AT276)</f>
        <v/>
      </c>
      <c r="AW276" s="195" t="str">
        <f aca="false">IF($A277="","",AL276*$E276)</f>
        <v/>
      </c>
      <c r="AX276" s="195" t="str">
        <f aca="false">IF($A277="","",AM276*$E276)</f>
        <v/>
      </c>
      <c r="AY276" s="195" t="str">
        <f aca="false">IF($A277="","",AN276*$E276)</f>
        <v/>
      </c>
      <c r="BA276" s="195" t="str">
        <f aca="false">IF($A277="","",F276*Summary!$Q$10)</f>
        <v/>
      </c>
    </row>
    <row r="277" customFormat="false" ht="12" hidden="false" customHeight="true" outlineLevel="0" collapsed="false">
      <c r="A277" s="196" t="str">
        <f aca="false">IF(A276&lt;mthend,EDATE(A276,1),"")</f>
        <v/>
      </c>
      <c r="B277" s="197" t="str">
        <f aca="false">IF(A277&lt;mthend,B276,"")</f>
        <v/>
      </c>
      <c r="C277" s="215"/>
      <c r="D277" s="197" t="str">
        <f aca="false">IF(A278&lt;&gt;"",B277+C277,"")</f>
        <v/>
      </c>
      <c r="E277" s="199" t="str">
        <f aca="false">IF(A278="","",IF(AND(AT277=1,$H$3=1),D277*AO277,IF($H$3=2,D277,"N/A")))</f>
        <v/>
      </c>
      <c r="F277" s="199" t="str">
        <f aca="false">IF(A278="","",E277*AS277)</f>
        <v/>
      </c>
      <c r="G277" s="200" t="str">
        <f aca="false">IF($A278="","",VLOOKUP($A277,Table,MATCH(G$4,Curves,0)))</f>
        <v/>
      </c>
      <c r="H277" s="201" t="str">
        <f aca="false">IF(A278="","",G277)</f>
        <v/>
      </c>
      <c r="I277" s="202"/>
      <c r="J277" s="200" t="str">
        <f aca="false">IF($A278="","",VLOOKUP($A277,Table,MATCH(J$4,Curves,0)))</f>
        <v/>
      </c>
      <c r="K277" s="201" t="str">
        <f aca="false">IF(A278="","",J277)</f>
        <v/>
      </c>
      <c r="L277" s="185" t="n">
        <v>0</v>
      </c>
      <c r="M277" s="201" t="str">
        <f aca="false">IF(A278="","",L277)</f>
        <v/>
      </c>
      <c r="N277" s="203"/>
      <c r="O277" s="200" t="str">
        <f aca="false">IF(A278="","",L277+J277+G277)</f>
        <v/>
      </c>
      <c r="P277" s="200" t="str">
        <f aca="false">IF(A278="","",M277+K277+H277)</f>
        <v/>
      </c>
      <c r="Q277" s="204"/>
      <c r="R277" s="200" t="str">
        <f aca="false">IF($A278="","",VLOOKUP($A277,Table,MATCH(R$4,Curves,0)))</f>
        <v/>
      </c>
      <c r="S277" s="201" t="str">
        <f aca="false">IF(A278="","",R277)</f>
        <v/>
      </c>
      <c r="T277" s="200" t="str">
        <f aca="false">IF($A278="","",VLOOKUP($A277,Table,MATCH(T$4,Curves,0)))</f>
        <v/>
      </c>
      <c r="U277" s="201" t="str">
        <f aca="false">IF(A278="","",T277)</f>
        <v/>
      </c>
      <c r="V277" s="205" t="str">
        <f aca="false">IF($A278="","",IF(AND(MONTH(A277)&gt;3,MONTH(A277)&lt;11),(T277+R277+G277)*Summary!$T$10/(1-Summary!$T$10),(T277+R277+G277)*Summary!$U$10/(1-Summary!$U$10)))</f>
        <v/>
      </c>
      <c r="W277" s="200" t="str">
        <f aca="false">IF($A278="","",(T277+R277+G277+V277))</f>
        <v/>
      </c>
      <c r="X277" s="200" t="str">
        <f aca="false">IF($A278="","",(U277+S277+H277+V277))</f>
        <v/>
      </c>
      <c r="Y277" s="202"/>
      <c r="Z277" s="185" t="str">
        <f aca="false">IF($A278="","",VLOOKUP($A277,Table,MATCH(Z$4,Curves,0)))</f>
        <v/>
      </c>
      <c r="AA277" s="185" t="str">
        <f aca="false">IF($A278="","",VLOOKUP($A277,Table,MATCH(AA$4,Curves,0)))</f>
        <v/>
      </c>
      <c r="AB277" s="185" t="e">
        <f aca="false">SQRT((AA277^2*(A277-$D$3)+Z277^2*(DAY(EOMONTH(A277,0))/2))/AK277)</f>
        <v>#VALUE!</v>
      </c>
      <c r="AC277" s="185" t="str">
        <f aca="false">IF($A278="","",VLOOKUP($A277,Table,MATCH(AC$4,Curves,0)))</f>
        <v/>
      </c>
      <c r="AD277" s="185" t="str">
        <f aca="false">IF($A278="","",VLOOKUP($A277,Table,MATCH(AD$4,Curves,0)))</f>
        <v/>
      </c>
      <c r="AE277" s="185" t="e">
        <f aca="false">SQRT((AD277^2*(A277-$D$3)+AC277^2*(DAY(EOMONTH(A277,0))/2))/AK277)</f>
        <v>#VALUE!</v>
      </c>
      <c r="AF277" s="224" t="e">
        <f aca="false">((Summary!$N$10*(AA277*AD277)*(A277-$D$3))+(Summary!$M$10*Z277*AC277*(AJ277-EOMONTH(EDATE(A277,-1),0))))/(AK277*AB277*AE277)</f>
        <v>#VALUE!</v>
      </c>
      <c r="AG277" s="207" t="str">
        <f aca="false">IF($A278="","",Summary!$Q$10)</f>
        <v/>
      </c>
      <c r="AH277" s="207" t="str">
        <f aca="false">IF($A278="","",IF(Summary!$R$10="Y",(VLOOKUP($A277,Summary!$AD$6:$AF$9,3)+'Escalating commodity'!F290),'Escalating commodity'!F290))</f>
        <v/>
      </c>
      <c r="AI277" s="207" t="str">
        <f aca="false">IF($A278="","",AH277)</f>
        <v/>
      </c>
      <c r="AJ277" s="208" t="e">
        <f aca="false">A277+DAY(EOMONTH(A277,0))/2-1</f>
        <v>#VALUE!</v>
      </c>
      <c r="AK277" s="209" t="str">
        <f aca="false">IF($A278="","",$A277-$E$1)</f>
        <v/>
      </c>
      <c r="AL277" s="182" t="str">
        <f aca="false">IF($A278="","",SPRDOPT(P277,X277,AI277,0,AB277,AE277,AF277,AK277,$AJ$2,0))</f>
        <v/>
      </c>
      <c r="AM277" s="211" t="str">
        <f aca="false">IF($A278="","",MAX(0,O277-W277-AI277))</f>
        <v/>
      </c>
      <c r="AN277" s="211" t="str">
        <f aca="false">IF($A278="","",AL277-AM277)</f>
        <v/>
      </c>
      <c r="AO277" s="137" t="str">
        <f aca="false">IF(A278="","",A278-A277)</f>
        <v/>
      </c>
      <c r="AP277" s="212" t="str">
        <f aca="false">IF(A278="","",CHOOSE(F$3,A278+24,A277))</f>
        <v/>
      </c>
      <c r="AQ277" s="209" t="str">
        <f aca="false">IF(A278="","",AP277-$E$1)</f>
        <v/>
      </c>
      <c r="AR277" s="185" t="n">
        <f aca="false">'ANR OK vs ML7'!AR277</f>
        <v>0.1</v>
      </c>
      <c r="AS277" s="213" t="str">
        <f aca="false">IF(A278="","",1/(1+CHOOSE(F$3,(AR278+($I$3/10000))/2,(AR277+($I$3/10000))/2))^(2*AQ277/365.25))</f>
        <v/>
      </c>
      <c r="AT277" s="137" t="str">
        <f aca="false">IF(A278="","",IF(AND(mthbeg&lt;=A277,mthend&gt;=A277),1,0))</f>
        <v/>
      </c>
      <c r="AU277" s="137" t="str">
        <f aca="false">IF(A278="","",AO277*AT277)</f>
        <v/>
      </c>
      <c r="AW277" s="195" t="str">
        <f aca="false">IF($A278="","",AL277*$E277)</f>
        <v/>
      </c>
      <c r="AX277" s="195" t="str">
        <f aca="false">IF($A278="","",AM277*$E277)</f>
        <v/>
      </c>
      <c r="AY277" s="195" t="str">
        <f aca="false">IF($A278="","",AN277*$E277)</f>
        <v/>
      </c>
      <c r="BA277" s="195" t="str">
        <f aca="false">IF($A278="","",F277*Summary!$Q$10)</f>
        <v/>
      </c>
    </row>
    <row r="278" customFormat="false" ht="12" hidden="false" customHeight="true" outlineLevel="0" collapsed="false">
      <c r="A278" s="196" t="str">
        <f aca="false">IF(A277&lt;mthend,EDATE(A277,1),"")</f>
        <v/>
      </c>
      <c r="B278" s="197" t="str">
        <f aca="false">IF(A278&lt;mthend,B277,"")</f>
        <v/>
      </c>
      <c r="C278" s="215"/>
      <c r="D278" s="197" t="str">
        <f aca="false">IF(A279&lt;&gt;"",B278+C278,"")</f>
        <v/>
      </c>
      <c r="E278" s="199" t="str">
        <f aca="false">IF(A279="","",IF(AND(AT278=1,$H$3=1),D278*AO278,IF($H$3=2,D278,"N/A")))</f>
        <v/>
      </c>
      <c r="F278" s="199" t="str">
        <f aca="false">IF(A279="","",E278*AS278)</f>
        <v/>
      </c>
      <c r="G278" s="200" t="str">
        <f aca="false">IF($A279="","",VLOOKUP($A278,Table,MATCH(G$4,Curves,0)))</f>
        <v/>
      </c>
      <c r="H278" s="201" t="str">
        <f aca="false">IF(A279="","",G278)</f>
        <v/>
      </c>
      <c r="I278" s="202"/>
      <c r="J278" s="200" t="str">
        <f aca="false">IF($A279="","",VLOOKUP($A278,Table,MATCH(J$4,Curves,0)))</f>
        <v/>
      </c>
      <c r="K278" s="201" t="str">
        <f aca="false">IF(A279="","",J278)</f>
        <v/>
      </c>
      <c r="L278" s="185" t="n">
        <v>0</v>
      </c>
      <c r="M278" s="201" t="str">
        <f aca="false">IF(A279="","",L278)</f>
        <v/>
      </c>
      <c r="N278" s="203"/>
      <c r="O278" s="200" t="str">
        <f aca="false">IF(A279="","",L278+J278+G278)</f>
        <v/>
      </c>
      <c r="P278" s="200" t="str">
        <f aca="false">IF(A279="","",M278+K278+H278)</f>
        <v/>
      </c>
      <c r="Q278" s="204"/>
      <c r="R278" s="200" t="str">
        <f aca="false">IF($A279="","",VLOOKUP($A278,Table,MATCH(R$4,Curves,0)))</f>
        <v/>
      </c>
      <c r="S278" s="201" t="str">
        <f aca="false">IF(A279="","",R278)</f>
        <v/>
      </c>
      <c r="T278" s="200" t="str">
        <f aca="false">IF($A279="","",VLOOKUP($A278,Table,MATCH(T$4,Curves,0)))</f>
        <v/>
      </c>
      <c r="U278" s="201" t="str">
        <f aca="false">IF(A279="","",T278)</f>
        <v/>
      </c>
      <c r="V278" s="205" t="str">
        <f aca="false">IF($A279="","",IF(AND(MONTH(A278)&gt;3,MONTH(A278)&lt;11),(T278+R278+G278)*Summary!$T$10/(1-Summary!$T$10),(T278+R278+G278)*Summary!$U$10/(1-Summary!$U$10)))</f>
        <v/>
      </c>
      <c r="W278" s="200" t="str">
        <f aca="false">IF($A279="","",(T278+R278+G278+V278))</f>
        <v/>
      </c>
      <c r="X278" s="200" t="str">
        <f aca="false">IF($A279="","",(U278+S278+H278+V278))</f>
        <v/>
      </c>
      <c r="Y278" s="202"/>
      <c r="Z278" s="185" t="str">
        <f aca="false">IF($A279="","",VLOOKUP($A278,Table,MATCH(Z$4,Curves,0)))</f>
        <v/>
      </c>
      <c r="AA278" s="185" t="str">
        <f aca="false">IF($A279="","",VLOOKUP($A278,Table,MATCH(AA$4,Curves,0)))</f>
        <v/>
      </c>
      <c r="AB278" s="185" t="e">
        <f aca="false">SQRT((AA278^2*(A278-$D$3)+Z278^2*(DAY(EOMONTH(A278,0))/2))/AK278)</f>
        <v>#VALUE!</v>
      </c>
      <c r="AC278" s="185" t="str">
        <f aca="false">IF($A279="","",VLOOKUP($A278,Table,MATCH(AC$4,Curves,0)))</f>
        <v/>
      </c>
      <c r="AD278" s="185" t="str">
        <f aca="false">IF($A279="","",VLOOKUP($A278,Table,MATCH(AD$4,Curves,0)))</f>
        <v/>
      </c>
      <c r="AE278" s="185" t="e">
        <f aca="false">SQRT((AD278^2*(A278-$D$3)+AC278^2*(DAY(EOMONTH(A278,0))/2))/AK278)</f>
        <v>#VALUE!</v>
      </c>
      <c r="AF278" s="224" t="e">
        <f aca="false">((Summary!$N$10*(AA278*AD278)*(A278-$D$3))+(Summary!$M$10*Z278*AC278*(AJ278-EOMONTH(EDATE(A278,-1),0))))/(AK278*AB278*AE278)</f>
        <v>#VALUE!</v>
      </c>
      <c r="AG278" s="207" t="str">
        <f aca="false">IF($A279="","",Summary!$Q$10)</f>
        <v/>
      </c>
      <c r="AH278" s="207" t="str">
        <f aca="false">IF($A279="","",IF(Summary!$R$10="Y",(VLOOKUP($A278,Summary!$AD$6:$AF$9,3)+'Escalating commodity'!F291),'Escalating commodity'!F291))</f>
        <v/>
      </c>
      <c r="AI278" s="207" t="str">
        <f aca="false">IF($A279="","",AH278)</f>
        <v/>
      </c>
      <c r="AJ278" s="208" t="e">
        <f aca="false">A278+DAY(EOMONTH(A278,0))/2-1</f>
        <v>#VALUE!</v>
      </c>
      <c r="AK278" s="209" t="str">
        <f aca="false">IF($A279="","",$A278-$E$1)</f>
        <v/>
      </c>
      <c r="AL278" s="182" t="str">
        <f aca="false">IF($A279="","",SPRDOPT(P278,X278,AI278,0,AB278,AE278,AF278,AK278,$AJ$2,0))</f>
        <v/>
      </c>
      <c r="AM278" s="211" t="str">
        <f aca="false">IF($A279="","",MAX(0,O278-W278-AI278))</f>
        <v/>
      </c>
      <c r="AN278" s="211" t="str">
        <f aca="false">IF($A279="","",AL278-AM278)</f>
        <v/>
      </c>
      <c r="AO278" s="137" t="str">
        <f aca="false">IF(A279="","",A279-A278)</f>
        <v/>
      </c>
      <c r="AP278" s="212" t="str">
        <f aca="false">IF(A279="","",CHOOSE(F$3,A279+24,A278))</f>
        <v/>
      </c>
      <c r="AQ278" s="209" t="str">
        <f aca="false">IF(A279="","",AP278-$E$1)</f>
        <v/>
      </c>
      <c r="AR278" s="185" t="n">
        <f aca="false">'ANR OK vs ML7'!AR278</f>
        <v>0.1</v>
      </c>
      <c r="AS278" s="213" t="str">
        <f aca="false">IF(A279="","",1/(1+CHOOSE(F$3,(AR279+($I$3/10000))/2,(AR278+($I$3/10000))/2))^(2*AQ278/365.25))</f>
        <v/>
      </c>
      <c r="AT278" s="137" t="str">
        <f aca="false">IF(A279="","",IF(AND(mthbeg&lt;=A278,mthend&gt;=A278),1,0))</f>
        <v/>
      </c>
      <c r="AU278" s="137" t="str">
        <f aca="false">IF(A279="","",AO278*AT278)</f>
        <v/>
      </c>
      <c r="AW278" s="195" t="str">
        <f aca="false">IF($A279="","",AL278*$E278)</f>
        <v/>
      </c>
      <c r="AX278" s="195" t="str">
        <f aca="false">IF($A279="","",AM278*$E278)</f>
        <v/>
      </c>
      <c r="AY278" s="195" t="str">
        <f aca="false">IF($A279="","",AN278*$E278)</f>
        <v/>
      </c>
      <c r="BA278" s="195" t="str">
        <f aca="false">IF($A279="","",F278*Summary!$Q$10)</f>
        <v/>
      </c>
    </row>
    <row r="279" customFormat="false" ht="12" hidden="false" customHeight="true" outlineLevel="0" collapsed="false">
      <c r="A279" s="196" t="str">
        <f aca="false">IF(A278&lt;mthend,EDATE(A278,1),"")</f>
        <v/>
      </c>
      <c r="B279" s="197" t="str">
        <f aca="false">IF(A279&lt;mthend,B278,"")</f>
        <v/>
      </c>
      <c r="C279" s="215"/>
      <c r="D279" s="197" t="str">
        <f aca="false">IF(A280&lt;&gt;"",B279+C279,"")</f>
        <v/>
      </c>
      <c r="E279" s="199" t="str">
        <f aca="false">IF(A280="","",IF(AND(AT279=1,$H$3=1),D279*AO279,IF($H$3=2,D279,"N/A")))</f>
        <v/>
      </c>
      <c r="F279" s="199" t="str">
        <f aca="false">IF(A280="","",E279*AS279)</f>
        <v/>
      </c>
      <c r="G279" s="200" t="str">
        <f aca="false">IF($A280="","",VLOOKUP($A279,Table,MATCH(G$4,Curves,0)))</f>
        <v/>
      </c>
      <c r="H279" s="201" t="str">
        <f aca="false">IF(A280="","",G279)</f>
        <v/>
      </c>
      <c r="I279" s="202"/>
      <c r="J279" s="200" t="str">
        <f aca="false">IF($A280="","",VLOOKUP($A279,Table,MATCH(J$4,Curves,0)))</f>
        <v/>
      </c>
      <c r="K279" s="201" t="str">
        <f aca="false">IF(A280="","",J279)</f>
        <v/>
      </c>
      <c r="L279" s="185" t="n">
        <v>0</v>
      </c>
      <c r="M279" s="201" t="str">
        <f aca="false">IF(A280="","",L279)</f>
        <v/>
      </c>
      <c r="N279" s="203"/>
      <c r="O279" s="200" t="str">
        <f aca="false">IF(A280="","",L279+J279+G279)</f>
        <v/>
      </c>
      <c r="P279" s="200" t="str">
        <f aca="false">IF(A280="","",M279+K279+H279)</f>
        <v/>
      </c>
      <c r="Q279" s="204"/>
      <c r="R279" s="200" t="str">
        <f aca="false">IF($A280="","",VLOOKUP($A279,Table,MATCH(R$4,Curves,0)))</f>
        <v/>
      </c>
      <c r="S279" s="201" t="str">
        <f aca="false">IF(A280="","",R279)</f>
        <v/>
      </c>
      <c r="T279" s="200" t="str">
        <f aca="false">IF($A280="","",VLOOKUP($A279,Table,MATCH(T$4,Curves,0)))</f>
        <v/>
      </c>
      <c r="U279" s="201" t="str">
        <f aca="false">IF(A280="","",T279)</f>
        <v/>
      </c>
      <c r="V279" s="205" t="str">
        <f aca="false">IF($A280="","",IF(AND(MONTH(A279)&gt;3,MONTH(A279)&lt;11),(T279+R279+G279)*Summary!$T$10/(1-Summary!$T$10),(T279+R279+G279)*Summary!$U$10/(1-Summary!$U$10)))</f>
        <v/>
      </c>
      <c r="W279" s="200" t="str">
        <f aca="false">IF($A280="","",(T279+R279+G279+V279))</f>
        <v/>
      </c>
      <c r="X279" s="200" t="str">
        <f aca="false">IF($A280="","",(U279+S279+H279+V279))</f>
        <v/>
      </c>
      <c r="Y279" s="202"/>
      <c r="Z279" s="185" t="str">
        <f aca="false">IF($A280="","",VLOOKUP($A279,Table,MATCH(Z$4,Curves,0)))</f>
        <v/>
      </c>
      <c r="AA279" s="185" t="str">
        <f aca="false">IF($A280="","",VLOOKUP($A279,Table,MATCH(AA$4,Curves,0)))</f>
        <v/>
      </c>
      <c r="AB279" s="185" t="e">
        <f aca="false">SQRT((AA279^2*(A279-$D$3)+Z279^2*(DAY(EOMONTH(A279,0))/2))/AK279)</f>
        <v>#VALUE!</v>
      </c>
      <c r="AC279" s="185" t="str">
        <f aca="false">IF($A280="","",VLOOKUP($A279,Table,MATCH(AC$4,Curves,0)))</f>
        <v/>
      </c>
      <c r="AD279" s="185" t="str">
        <f aca="false">IF($A280="","",VLOOKUP($A279,Table,MATCH(AD$4,Curves,0)))</f>
        <v/>
      </c>
      <c r="AE279" s="185" t="e">
        <f aca="false">SQRT((AD279^2*(A279-$D$3)+AC279^2*(DAY(EOMONTH(A279,0))/2))/AK279)</f>
        <v>#VALUE!</v>
      </c>
      <c r="AF279" s="224" t="e">
        <f aca="false">((Summary!$N$10*(AA279*AD279)*(A279-$D$3))+(Summary!$M$10*Z279*AC279*(AJ279-EOMONTH(EDATE(A279,-1),0))))/(AK279*AB279*AE279)</f>
        <v>#VALUE!</v>
      </c>
      <c r="AG279" s="207" t="str">
        <f aca="false">IF($A280="","",Summary!$Q$10)</f>
        <v/>
      </c>
      <c r="AH279" s="207" t="str">
        <f aca="false">IF($A280="","",IF(Summary!$R$10="Y",(VLOOKUP($A279,Summary!$AD$6:$AF$9,3)+'Escalating commodity'!F292),'Escalating commodity'!F292))</f>
        <v/>
      </c>
      <c r="AI279" s="207" t="str">
        <f aca="false">IF($A280="","",AH279)</f>
        <v/>
      </c>
      <c r="AJ279" s="208" t="e">
        <f aca="false">A279+DAY(EOMONTH(A279,0))/2-1</f>
        <v>#VALUE!</v>
      </c>
      <c r="AK279" s="209" t="str">
        <f aca="false">IF($A280="","",$A279-$E$1)</f>
        <v/>
      </c>
      <c r="AL279" s="182" t="str">
        <f aca="false">IF($A280="","",SPRDOPT(P279,X279,AI279,0,AB279,AE279,AF279,AK279,$AJ$2,0))</f>
        <v/>
      </c>
      <c r="AM279" s="211" t="str">
        <f aca="false">IF($A280="","",MAX(0,O279-W279-AI279))</f>
        <v/>
      </c>
      <c r="AN279" s="211" t="str">
        <f aca="false">IF($A280="","",AL279-AM279)</f>
        <v/>
      </c>
      <c r="AO279" s="137" t="str">
        <f aca="false">IF(A280="","",A280-A279)</f>
        <v/>
      </c>
      <c r="AP279" s="212" t="str">
        <f aca="false">IF(A280="","",CHOOSE(F$3,A280+24,A279))</f>
        <v/>
      </c>
      <c r="AQ279" s="209" t="str">
        <f aca="false">IF(A280="","",AP279-$E$1)</f>
        <v/>
      </c>
      <c r="AR279" s="185" t="n">
        <f aca="false">'ANR OK vs ML7'!AR279</f>
        <v>0.1</v>
      </c>
      <c r="AS279" s="213" t="str">
        <f aca="false">IF(A280="","",1/(1+CHOOSE(F$3,(AR280+($I$3/10000))/2,(AR279+($I$3/10000))/2))^(2*AQ279/365.25))</f>
        <v/>
      </c>
      <c r="AT279" s="137" t="str">
        <f aca="false">IF(A280="","",IF(AND(mthbeg&lt;=A279,mthend&gt;=A279),1,0))</f>
        <v/>
      </c>
      <c r="AU279" s="137" t="str">
        <f aca="false">IF(A280="","",AO279*AT279)</f>
        <v/>
      </c>
      <c r="AW279" s="195" t="str">
        <f aca="false">IF($A280="","",AL279*$E279)</f>
        <v/>
      </c>
      <c r="AX279" s="195" t="str">
        <f aca="false">IF($A280="","",AM279*$E279)</f>
        <v/>
      </c>
      <c r="AY279" s="195" t="str">
        <f aca="false">IF($A280="","",AN279*$E279)</f>
        <v/>
      </c>
      <c r="BA279" s="195" t="str">
        <f aca="false">IF($A280="","",F279*Summary!$Q$10)</f>
        <v/>
      </c>
    </row>
    <row r="280" customFormat="false" ht="12" hidden="false" customHeight="true" outlineLevel="0" collapsed="false">
      <c r="A280" s="196" t="str">
        <f aca="false">IF(A279&lt;mthend,EDATE(A279,1),"")</f>
        <v/>
      </c>
      <c r="B280" s="197" t="str">
        <f aca="false">IF(A280&lt;mthend,B279,"")</f>
        <v/>
      </c>
      <c r="C280" s="215"/>
      <c r="D280" s="197" t="str">
        <f aca="false">IF(A281&lt;&gt;"",B280+C280,"")</f>
        <v/>
      </c>
      <c r="E280" s="199" t="str">
        <f aca="false">IF(A281="","",IF(AND(AT280=1,$H$3=1),D280*AO280,IF($H$3=2,D280,"N/A")))</f>
        <v/>
      </c>
      <c r="F280" s="199" t="str">
        <f aca="false">IF(A281="","",E280*AS280)</f>
        <v/>
      </c>
      <c r="G280" s="200" t="str">
        <f aca="false">IF($A281="","",VLOOKUP($A280,Table,MATCH(G$4,Curves,0)))</f>
        <v/>
      </c>
      <c r="H280" s="201" t="str">
        <f aca="false">IF(A281="","",G280)</f>
        <v/>
      </c>
      <c r="I280" s="202"/>
      <c r="J280" s="200" t="str">
        <f aca="false">IF($A281="","",VLOOKUP($A280,Table,MATCH(J$4,Curves,0)))</f>
        <v/>
      </c>
      <c r="K280" s="201" t="str">
        <f aca="false">IF(A281="","",J280)</f>
        <v/>
      </c>
      <c r="L280" s="185" t="n">
        <v>0</v>
      </c>
      <c r="M280" s="201" t="str">
        <f aca="false">IF(A281="","",L280)</f>
        <v/>
      </c>
      <c r="N280" s="203"/>
      <c r="O280" s="200" t="str">
        <f aca="false">IF(A281="","",L280+J280+G280)</f>
        <v/>
      </c>
      <c r="P280" s="200" t="str">
        <f aca="false">IF(A281="","",M280+K280+H280)</f>
        <v/>
      </c>
      <c r="Q280" s="204"/>
      <c r="R280" s="200" t="str">
        <f aca="false">IF($A281="","",VLOOKUP($A280,Table,MATCH(R$4,Curves,0)))</f>
        <v/>
      </c>
      <c r="S280" s="201" t="str">
        <f aca="false">IF(A281="","",R280)</f>
        <v/>
      </c>
      <c r="T280" s="200" t="str">
        <f aca="false">IF($A281="","",VLOOKUP($A280,Table,MATCH(T$4,Curves,0)))</f>
        <v/>
      </c>
      <c r="U280" s="201" t="str">
        <f aca="false">IF(A281="","",T280)</f>
        <v/>
      </c>
      <c r="V280" s="205" t="str">
        <f aca="false">IF($A281="","",IF(AND(MONTH(A280)&gt;3,MONTH(A280)&lt;11),(T280+R280+G280)*Summary!$T$10/(1-Summary!$T$10),(T280+R280+G280)*Summary!$U$10/(1-Summary!$U$10)))</f>
        <v/>
      </c>
      <c r="W280" s="200" t="str">
        <f aca="false">IF($A281="","",(T280+R280+G280+V280))</f>
        <v/>
      </c>
      <c r="X280" s="200" t="str">
        <f aca="false">IF($A281="","",(U280+S280+H280+V280))</f>
        <v/>
      </c>
      <c r="Y280" s="202"/>
      <c r="Z280" s="185" t="str">
        <f aca="false">IF($A281="","",VLOOKUP($A280,Table,MATCH(Z$4,Curves,0)))</f>
        <v/>
      </c>
      <c r="AA280" s="185" t="str">
        <f aca="false">IF($A281="","",VLOOKUP($A280,Table,MATCH(AA$4,Curves,0)))</f>
        <v/>
      </c>
      <c r="AB280" s="185" t="e">
        <f aca="false">SQRT((AA280^2*(A280-$D$3)+Z280^2*(DAY(EOMONTH(A280,0))/2))/AK280)</f>
        <v>#VALUE!</v>
      </c>
      <c r="AC280" s="185" t="str">
        <f aca="false">IF($A281="","",VLOOKUP($A280,Table,MATCH(AC$4,Curves,0)))</f>
        <v/>
      </c>
      <c r="AD280" s="185" t="str">
        <f aca="false">IF($A281="","",VLOOKUP($A280,Table,MATCH(AD$4,Curves,0)))</f>
        <v/>
      </c>
      <c r="AE280" s="185" t="e">
        <f aca="false">SQRT((AD280^2*(A280-$D$3)+AC280^2*(DAY(EOMONTH(A280,0))/2))/AK280)</f>
        <v>#VALUE!</v>
      </c>
      <c r="AF280" s="224" t="e">
        <f aca="false">((Summary!$N$10*(AA280*AD280)*(A280-$D$3))+(Summary!$M$10*Z280*AC280*(AJ280-EOMONTH(EDATE(A280,-1),0))))/(AK280*AB280*AE280)</f>
        <v>#VALUE!</v>
      </c>
      <c r="AG280" s="207" t="str">
        <f aca="false">IF($A281="","",Summary!$Q$10)</f>
        <v/>
      </c>
      <c r="AH280" s="207" t="str">
        <f aca="false">IF($A281="","",IF(Summary!$R$10="Y",(VLOOKUP($A280,Summary!$AD$6:$AF$9,3)+'Escalating commodity'!F293),'Escalating commodity'!F293))</f>
        <v/>
      </c>
      <c r="AI280" s="207" t="str">
        <f aca="false">IF($A281="","",AH280)</f>
        <v/>
      </c>
      <c r="AJ280" s="208" t="e">
        <f aca="false">A280+DAY(EOMONTH(A280,0))/2-1</f>
        <v>#VALUE!</v>
      </c>
      <c r="AK280" s="209" t="str">
        <f aca="false">IF($A281="","",$A280-$E$1)</f>
        <v/>
      </c>
      <c r="AL280" s="182" t="str">
        <f aca="false">IF($A281="","",SPRDOPT(P280,X280,AI280,0,AB280,AE280,AF280,AK280,$AJ$2,0))</f>
        <v/>
      </c>
      <c r="AM280" s="211" t="str">
        <f aca="false">IF($A281="","",MAX(0,O280-W280-AI280))</f>
        <v/>
      </c>
      <c r="AN280" s="211" t="str">
        <f aca="false">IF($A281="","",AL280-AM280)</f>
        <v/>
      </c>
      <c r="AO280" s="137" t="str">
        <f aca="false">IF(A281="","",A281-A280)</f>
        <v/>
      </c>
      <c r="AP280" s="212" t="str">
        <f aca="false">IF(A281="","",CHOOSE(F$3,A281+24,A280))</f>
        <v/>
      </c>
      <c r="AQ280" s="209" t="str">
        <f aca="false">IF(A281="","",AP280-$E$1)</f>
        <v/>
      </c>
      <c r="AR280" s="185" t="n">
        <f aca="false">'ANR OK vs ML7'!AR280</f>
        <v>0.1</v>
      </c>
      <c r="AS280" s="213" t="str">
        <f aca="false">IF(A281="","",1/(1+CHOOSE(F$3,(AR281+($I$3/10000))/2,(AR280+($I$3/10000))/2))^(2*AQ280/365.25))</f>
        <v/>
      </c>
      <c r="AT280" s="137" t="str">
        <f aca="false">IF(A281="","",IF(AND(mthbeg&lt;=A280,mthend&gt;=A280),1,0))</f>
        <v/>
      </c>
      <c r="AU280" s="137" t="str">
        <f aca="false">IF(A281="","",AO280*AT280)</f>
        <v/>
      </c>
      <c r="AW280" s="195" t="str">
        <f aca="false">IF($A281="","",AL280*$E280)</f>
        <v/>
      </c>
      <c r="AX280" s="195" t="str">
        <f aca="false">IF($A281="","",AM280*$E280)</f>
        <v/>
      </c>
      <c r="AY280" s="195" t="str">
        <f aca="false">IF($A281="","",AN280*$E280)</f>
        <v/>
      </c>
      <c r="BA280" s="195" t="str">
        <f aca="false">IF($A281="","",F280*Summary!$Q$10)</f>
        <v/>
      </c>
    </row>
    <row r="281" customFormat="false" ht="12" hidden="false" customHeight="true" outlineLevel="0" collapsed="false">
      <c r="A281" s="196" t="str">
        <f aca="false">IF(A280&lt;mthend,EDATE(A280,1),"")</f>
        <v/>
      </c>
      <c r="B281" s="197" t="str">
        <f aca="false">IF(A281&lt;mthend,B280,"")</f>
        <v/>
      </c>
      <c r="C281" s="215"/>
      <c r="D281" s="197" t="str">
        <f aca="false">IF(A282&lt;&gt;"",B281+C281,"")</f>
        <v/>
      </c>
      <c r="E281" s="199" t="str">
        <f aca="false">IF(A282="","",IF(AND(AT281=1,$H$3=1),D281*AO281,IF($H$3=2,D281,"N/A")))</f>
        <v/>
      </c>
      <c r="F281" s="199" t="str">
        <f aca="false">IF(A282="","",E281*AS281)</f>
        <v/>
      </c>
      <c r="G281" s="200" t="str">
        <f aca="false">IF($A282="","",VLOOKUP($A281,Table,MATCH(G$4,Curves,0)))</f>
        <v/>
      </c>
      <c r="H281" s="201" t="str">
        <f aca="false">IF(A282="","",G281)</f>
        <v/>
      </c>
      <c r="I281" s="202"/>
      <c r="J281" s="200" t="str">
        <f aca="false">IF($A282="","",VLOOKUP($A281,Table,MATCH(J$4,Curves,0)))</f>
        <v/>
      </c>
      <c r="K281" s="201" t="str">
        <f aca="false">IF(A282="","",J281)</f>
        <v/>
      </c>
      <c r="L281" s="185" t="n">
        <v>0</v>
      </c>
      <c r="M281" s="201" t="str">
        <f aca="false">IF(A282="","",L281)</f>
        <v/>
      </c>
      <c r="N281" s="203"/>
      <c r="O281" s="200" t="str">
        <f aca="false">IF(A282="","",L281+J281+G281)</f>
        <v/>
      </c>
      <c r="P281" s="200" t="str">
        <f aca="false">IF(A282="","",M281+K281+H281)</f>
        <v/>
      </c>
      <c r="Q281" s="204"/>
      <c r="R281" s="200" t="str">
        <f aca="false">IF($A282="","",VLOOKUP($A281,Table,MATCH(R$4,Curves,0)))</f>
        <v/>
      </c>
      <c r="S281" s="201" t="str">
        <f aca="false">IF(A282="","",R281)</f>
        <v/>
      </c>
      <c r="T281" s="200" t="str">
        <f aca="false">IF($A282="","",VLOOKUP($A281,Table,MATCH(T$4,Curves,0)))</f>
        <v/>
      </c>
      <c r="U281" s="201" t="str">
        <f aca="false">IF(A282="","",T281)</f>
        <v/>
      </c>
      <c r="V281" s="205" t="str">
        <f aca="false">IF($A282="","",IF(AND(MONTH(A281)&gt;3,MONTH(A281)&lt;11),(T281+R281+G281)*Summary!$T$10/(1-Summary!$T$10),(T281+R281+G281)*Summary!$U$10/(1-Summary!$U$10)))</f>
        <v/>
      </c>
      <c r="W281" s="200" t="str">
        <f aca="false">IF($A282="","",(T281+R281+G281+V281))</f>
        <v/>
      </c>
      <c r="X281" s="200" t="str">
        <f aca="false">IF($A282="","",(U281+S281+H281+V281))</f>
        <v/>
      </c>
      <c r="Y281" s="202"/>
      <c r="Z281" s="185" t="str">
        <f aca="false">IF($A282="","",VLOOKUP($A281,Table,MATCH(Z$4,Curves,0)))</f>
        <v/>
      </c>
      <c r="AA281" s="185" t="str">
        <f aca="false">IF($A282="","",VLOOKUP($A281,Table,MATCH(AA$4,Curves,0)))</f>
        <v/>
      </c>
      <c r="AB281" s="185" t="e">
        <f aca="false">SQRT((AA281^2*(A281-$D$3)+Z281^2*(DAY(EOMONTH(A281,0))/2))/AK281)</f>
        <v>#VALUE!</v>
      </c>
      <c r="AC281" s="185" t="str">
        <f aca="false">IF($A282="","",VLOOKUP($A281,Table,MATCH(AC$4,Curves,0)))</f>
        <v/>
      </c>
      <c r="AD281" s="185" t="str">
        <f aca="false">IF($A282="","",VLOOKUP($A281,Table,MATCH(AD$4,Curves,0)))</f>
        <v/>
      </c>
      <c r="AE281" s="185" t="e">
        <f aca="false">SQRT((AD281^2*(A281-$D$3)+AC281^2*(DAY(EOMONTH(A281,0))/2))/AK281)</f>
        <v>#VALUE!</v>
      </c>
      <c r="AF281" s="224" t="e">
        <f aca="false">((Summary!$N$10*(AA281*AD281)*(A281-$D$3))+(Summary!$M$10*Z281*AC281*(AJ281-EOMONTH(EDATE(A281,-1),0))))/(AK281*AB281*AE281)</f>
        <v>#VALUE!</v>
      </c>
      <c r="AG281" s="207" t="str">
        <f aca="false">IF($A282="","",Summary!$Q$10)</f>
        <v/>
      </c>
      <c r="AH281" s="207" t="str">
        <f aca="false">IF($A282="","",IF(Summary!$R$10="Y",(VLOOKUP($A281,Summary!$AD$6:$AF$9,3)+'Escalating commodity'!F294),'Escalating commodity'!F294))</f>
        <v/>
      </c>
      <c r="AI281" s="207" t="str">
        <f aca="false">IF($A282="","",AH281)</f>
        <v/>
      </c>
      <c r="AJ281" s="208" t="e">
        <f aca="false">A281+DAY(EOMONTH(A281,0))/2-1</f>
        <v>#VALUE!</v>
      </c>
      <c r="AK281" s="209" t="str">
        <f aca="false">IF($A282="","",$A281-$E$1)</f>
        <v/>
      </c>
      <c r="AL281" s="182" t="str">
        <f aca="false">IF($A282="","",SPRDOPT(P281,X281,AI281,0,AB281,AE281,AF281,AK281,$AJ$2,0))</f>
        <v/>
      </c>
      <c r="AM281" s="211" t="str">
        <f aca="false">IF($A282="","",MAX(0,O281-W281-AI281))</f>
        <v/>
      </c>
      <c r="AN281" s="211" t="str">
        <f aca="false">IF($A282="","",AL281-AM281)</f>
        <v/>
      </c>
      <c r="AO281" s="137" t="str">
        <f aca="false">IF(A282="","",A282-A281)</f>
        <v/>
      </c>
      <c r="AP281" s="212" t="str">
        <f aca="false">IF(A282="","",CHOOSE(F$3,A282+24,A281))</f>
        <v/>
      </c>
      <c r="AQ281" s="209" t="str">
        <f aca="false">IF(A282="","",AP281-$E$1)</f>
        <v/>
      </c>
      <c r="AR281" s="185" t="n">
        <f aca="false">'ANR OK vs ML7'!AR281</f>
        <v>0.1</v>
      </c>
      <c r="AS281" s="213" t="str">
        <f aca="false">IF(A282="","",1/(1+CHOOSE(F$3,(AR282+($I$3/10000))/2,(AR281+($I$3/10000))/2))^(2*AQ281/365.25))</f>
        <v/>
      </c>
      <c r="AT281" s="137" t="str">
        <f aca="false">IF(A282="","",IF(AND(mthbeg&lt;=A281,mthend&gt;=A281),1,0))</f>
        <v/>
      </c>
      <c r="AU281" s="137" t="str">
        <f aca="false">IF(A282="","",AO281*AT281)</f>
        <v/>
      </c>
      <c r="AW281" s="195" t="str">
        <f aca="false">IF($A282="","",AL281*$E281)</f>
        <v/>
      </c>
      <c r="AX281" s="195" t="str">
        <f aca="false">IF($A282="","",AM281*$E281)</f>
        <v/>
      </c>
      <c r="AY281" s="195" t="str">
        <f aca="false">IF($A282="","",AN281*$E281)</f>
        <v/>
      </c>
      <c r="BA281" s="195" t="str">
        <f aca="false">IF($A282="","",F281*Summary!$Q$10)</f>
        <v/>
      </c>
    </row>
    <row r="282" customFormat="false" ht="12" hidden="false" customHeight="true" outlineLevel="0" collapsed="false">
      <c r="A282" s="196" t="str">
        <f aca="false">IF(A281&lt;mthend,EDATE(A281,1),"")</f>
        <v/>
      </c>
      <c r="B282" s="197" t="str">
        <f aca="false">IF(A282&lt;mthend,B281,"")</f>
        <v/>
      </c>
      <c r="C282" s="215"/>
      <c r="D282" s="197" t="str">
        <f aca="false">IF(A283&lt;&gt;"",B282+C282,"")</f>
        <v/>
      </c>
      <c r="E282" s="199" t="str">
        <f aca="false">IF(A283="","",IF(AND(AT282=1,$H$3=1),D282*AO282,IF($H$3=2,D282,"N/A")))</f>
        <v/>
      </c>
      <c r="F282" s="199" t="str">
        <f aca="false">IF(A283="","",E282*AS282)</f>
        <v/>
      </c>
      <c r="G282" s="200" t="str">
        <f aca="false">IF($A283="","",VLOOKUP($A282,Table,MATCH(G$4,Curves,0)))</f>
        <v/>
      </c>
      <c r="H282" s="201" t="str">
        <f aca="false">IF(A283="","",G282)</f>
        <v/>
      </c>
      <c r="I282" s="202"/>
      <c r="J282" s="200" t="str">
        <f aca="false">IF($A283="","",VLOOKUP($A282,Table,MATCH(J$4,Curves,0)))</f>
        <v/>
      </c>
      <c r="K282" s="201" t="str">
        <f aca="false">IF(A283="","",J282)</f>
        <v/>
      </c>
      <c r="L282" s="185" t="n">
        <v>0</v>
      </c>
      <c r="M282" s="201" t="str">
        <f aca="false">IF(A283="","",L282)</f>
        <v/>
      </c>
      <c r="N282" s="203"/>
      <c r="O282" s="200" t="str">
        <f aca="false">IF(A283="","",L282+J282+G282)</f>
        <v/>
      </c>
      <c r="P282" s="200" t="str">
        <f aca="false">IF(A283="","",M282+K282+H282)</f>
        <v/>
      </c>
      <c r="Q282" s="204"/>
      <c r="R282" s="200" t="str">
        <f aca="false">IF($A283="","",VLOOKUP($A282,Table,MATCH(R$4,Curves,0)))</f>
        <v/>
      </c>
      <c r="S282" s="201" t="str">
        <f aca="false">IF(A283="","",R282)</f>
        <v/>
      </c>
      <c r="T282" s="200" t="str">
        <f aca="false">IF($A283="","",VLOOKUP($A282,Table,MATCH(T$4,Curves,0)))</f>
        <v/>
      </c>
      <c r="U282" s="201" t="str">
        <f aca="false">IF(A283="","",T282)</f>
        <v/>
      </c>
      <c r="V282" s="205" t="str">
        <f aca="false">IF($A283="","",IF(AND(MONTH(A282)&gt;3,MONTH(A282)&lt;11),(T282+R282+G282)*Summary!$T$10/(1-Summary!$T$10),(T282+R282+G282)*Summary!$U$10/(1-Summary!$U$10)))</f>
        <v/>
      </c>
      <c r="W282" s="200" t="str">
        <f aca="false">IF($A283="","",(T282+R282+G282+V282))</f>
        <v/>
      </c>
      <c r="X282" s="200" t="str">
        <f aca="false">IF($A283="","",(U282+S282+H282+V282))</f>
        <v/>
      </c>
      <c r="Y282" s="202"/>
      <c r="Z282" s="185" t="str">
        <f aca="false">IF($A283="","",VLOOKUP($A282,Table,MATCH(Z$4,Curves,0)))</f>
        <v/>
      </c>
      <c r="AA282" s="185" t="str">
        <f aca="false">IF($A283="","",VLOOKUP($A282,Table,MATCH(AA$4,Curves,0)))</f>
        <v/>
      </c>
      <c r="AB282" s="185" t="e">
        <f aca="false">SQRT((AA282^2*(A282-$D$3)+Z282^2*(DAY(EOMONTH(A282,0))/2))/AK282)</f>
        <v>#VALUE!</v>
      </c>
      <c r="AC282" s="185" t="str">
        <f aca="false">IF($A283="","",VLOOKUP($A282,Table,MATCH(AC$4,Curves,0)))</f>
        <v/>
      </c>
      <c r="AD282" s="185" t="str">
        <f aca="false">IF($A283="","",VLOOKUP($A282,Table,MATCH(AD$4,Curves,0)))</f>
        <v/>
      </c>
      <c r="AE282" s="185" t="e">
        <f aca="false">SQRT((AD282^2*(A282-$D$3)+AC282^2*(DAY(EOMONTH(A282,0))/2))/AK282)</f>
        <v>#VALUE!</v>
      </c>
      <c r="AF282" s="224" t="e">
        <f aca="false">((Summary!$N$10*(AA282*AD282)*(A282-$D$3))+(Summary!$M$10*Z282*AC282*(AJ282-EOMONTH(EDATE(A282,-1),0))))/(AK282*AB282*AE282)</f>
        <v>#VALUE!</v>
      </c>
      <c r="AG282" s="207" t="str">
        <f aca="false">IF($A283="","",Summary!$Q$10)</f>
        <v/>
      </c>
      <c r="AH282" s="207" t="str">
        <f aca="false">IF($A283="","",IF(Summary!$R$10="Y",(VLOOKUP($A282,Summary!$AD$6:$AF$9,3)+'Escalating commodity'!F295),'Escalating commodity'!F295))</f>
        <v/>
      </c>
      <c r="AI282" s="207" t="str">
        <f aca="false">IF($A283="","",AH282)</f>
        <v/>
      </c>
      <c r="AJ282" s="208" t="e">
        <f aca="false">A282+DAY(EOMONTH(A282,0))/2-1</f>
        <v>#VALUE!</v>
      </c>
      <c r="AK282" s="209" t="str">
        <f aca="false">IF($A283="","",$A282-$E$1)</f>
        <v/>
      </c>
      <c r="AL282" s="182" t="str">
        <f aca="false">IF($A283="","",SPRDOPT(P282,X282,AI282,0,AB282,AE282,AF282,AK282,$AJ$2,0))</f>
        <v/>
      </c>
      <c r="AM282" s="211" t="str">
        <f aca="false">IF($A283="","",MAX(0,O282-W282-AI282))</f>
        <v/>
      </c>
      <c r="AN282" s="211" t="str">
        <f aca="false">IF($A283="","",AL282-AM282)</f>
        <v/>
      </c>
      <c r="AO282" s="137" t="str">
        <f aca="false">IF(A283="","",A283-A282)</f>
        <v/>
      </c>
      <c r="AP282" s="212" t="str">
        <f aca="false">IF(A283="","",CHOOSE(F$3,A283+24,A282))</f>
        <v/>
      </c>
      <c r="AQ282" s="209" t="str">
        <f aca="false">IF(A283="","",AP282-$E$1)</f>
        <v/>
      </c>
      <c r="AR282" s="185" t="n">
        <f aca="false">'ANR OK vs ML7'!AR282</f>
        <v>0.1</v>
      </c>
      <c r="AS282" s="213" t="str">
        <f aca="false">IF(A283="","",1/(1+CHOOSE(F$3,(AR283+($I$3/10000))/2,(AR282+($I$3/10000))/2))^(2*AQ282/365.25))</f>
        <v/>
      </c>
      <c r="AT282" s="137" t="str">
        <f aca="false">IF(A283="","",IF(AND(mthbeg&lt;=A282,mthend&gt;=A282),1,0))</f>
        <v/>
      </c>
      <c r="AU282" s="137" t="str">
        <f aca="false">IF(A283="","",AO282*AT282)</f>
        <v/>
      </c>
      <c r="AW282" s="195" t="str">
        <f aca="false">IF($A283="","",AL282*$E282)</f>
        <v/>
      </c>
      <c r="AX282" s="195" t="str">
        <f aca="false">IF($A283="","",AM282*$E282)</f>
        <v/>
      </c>
      <c r="AY282" s="195" t="str">
        <f aca="false">IF($A283="","",AN282*$E282)</f>
        <v/>
      </c>
      <c r="BA282" s="195" t="str">
        <f aca="false">IF($A283="","",F282*Summary!$Q$10)</f>
        <v/>
      </c>
    </row>
    <row r="283" customFormat="false" ht="12" hidden="false" customHeight="true" outlineLevel="0" collapsed="false">
      <c r="A283" s="196" t="str">
        <f aca="false">IF(A282&lt;mthend,EDATE(A282,1),"")</f>
        <v/>
      </c>
      <c r="B283" s="197" t="str">
        <f aca="false">IF(A283&lt;mthend,B282,"")</f>
        <v/>
      </c>
      <c r="C283" s="215"/>
      <c r="D283" s="197" t="str">
        <f aca="false">IF(A284&lt;&gt;"",B283+C283,"")</f>
        <v/>
      </c>
      <c r="E283" s="199" t="str">
        <f aca="false">IF(A284="","",IF(AND(AT283=1,$H$3=1),D283*AO283,IF($H$3=2,D283,"N/A")))</f>
        <v/>
      </c>
      <c r="F283" s="199" t="str">
        <f aca="false">IF(A284="","",E283*AS283)</f>
        <v/>
      </c>
      <c r="G283" s="200" t="str">
        <f aca="false">IF($A284="","",VLOOKUP($A283,Table,MATCH(G$4,Curves,0)))</f>
        <v/>
      </c>
      <c r="H283" s="201" t="str">
        <f aca="false">IF(A284="","",G283)</f>
        <v/>
      </c>
      <c r="I283" s="202"/>
      <c r="J283" s="200" t="str">
        <f aca="false">IF($A284="","",VLOOKUP($A283,Table,MATCH(J$4,Curves,0)))</f>
        <v/>
      </c>
      <c r="K283" s="201" t="str">
        <f aca="false">IF(A284="","",J283)</f>
        <v/>
      </c>
      <c r="L283" s="185" t="n">
        <v>0</v>
      </c>
      <c r="M283" s="201" t="str">
        <f aca="false">IF(A284="","",L283)</f>
        <v/>
      </c>
      <c r="N283" s="203"/>
      <c r="O283" s="200" t="str">
        <f aca="false">IF(A284="","",L283+J283+G283)</f>
        <v/>
      </c>
      <c r="P283" s="200" t="str">
        <f aca="false">IF(A284="","",M283+K283+H283)</f>
        <v/>
      </c>
      <c r="Q283" s="204"/>
      <c r="R283" s="200" t="str">
        <f aca="false">IF($A284="","",VLOOKUP($A283,Table,MATCH(R$4,Curves,0)))</f>
        <v/>
      </c>
      <c r="S283" s="201" t="str">
        <f aca="false">IF(A284="","",R283)</f>
        <v/>
      </c>
      <c r="T283" s="200" t="str">
        <f aca="false">IF($A284="","",VLOOKUP($A283,Table,MATCH(T$4,Curves,0)))</f>
        <v/>
      </c>
      <c r="U283" s="201" t="str">
        <f aca="false">IF(A284="","",T283)</f>
        <v/>
      </c>
      <c r="V283" s="205" t="str">
        <f aca="false">IF($A284="","",IF(AND(MONTH(A283)&gt;3,MONTH(A283)&lt;11),(T283+R283+G283)*Summary!$T$10/(1-Summary!$T$10),(T283+R283+G283)*Summary!$U$10/(1-Summary!$U$10)))</f>
        <v/>
      </c>
      <c r="W283" s="200" t="str">
        <f aca="false">IF($A284="","",(T283+R283+G283+V283))</f>
        <v/>
      </c>
      <c r="X283" s="200" t="str">
        <f aca="false">IF($A284="","",(U283+S283+H283+V283))</f>
        <v/>
      </c>
      <c r="Y283" s="202"/>
      <c r="Z283" s="185" t="str">
        <f aca="false">IF($A284="","",VLOOKUP($A283,Table,MATCH(Z$4,Curves,0)))</f>
        <v/>
      </c>
      <c r="AA283" s="185" t="str">
        <f aca="false">IF($A284="","",VLOOKUP($A283,Table,MATCH(AA$4,Curves,0)))</f>
        <v/>
      </c>
      <c r="AB283" s="185" t="e">
        <f aca="false">SQRT((AA283^2*(A283-$D$3)+Z283^2*(DAY(EOMONTH(A283,0))/2))/AK283)</f>
        <v>#VALUE!</v>
      </c>
      <c r="AC283" s="185" t="str">
        <f aca="false">IF($A284="","",VLOOKUP($A283,Table,MATCH(AC$4,Curves,0)))</f>
        <v/>
      </c>
      <c r="AD283" s="185" t="str">
        <f aca="false">IF($A284="","",VLOOKUP($A283,Table,MATCH(AD$4,Curves,0)))</f>
        <v/>
      </c>
      <c r="AE283" s="185" t="e">
        <f aca="false">SQRT((AD283^2*(A283-$D$3)+AC283^2*(DAY(EOMONTH(A283,0))/2))/AK283)</f>
        <v>#VALUE!</v>
      </c>
      <c r="AF283" s="224" t="e">
        <f aca="false">((Summary!$N$10*(AA283*AD283)*(A283-$D$3))+(Summary!$M$10*Z283*AC283*(AJ283-EOMONTH(EDATE(A283,-1),0))))/(AK283*AB283*AE283)</f>
        <v>#VALUE!</v>
      </c>
      <c r="AG283" s="207" t="str">
        <f aca="false">IF($A284="","",Summary!$Q$10)</f>
        <v/>
      </c>
      <c r="AH283" s="207" t="str">
        <f aca="false">IF($A284="","",IF(Summary!$R$10="Y",(VLOOKUP($A283,Summary!$AD$6:$AF$9,3)+'Escalating commodity'!F296),'Escalating commodity'!F296))</f>
        <v/>
      </c>
      <c r="AI283" s="207" t="str">
        <f aca="false">IF($A284="","",AH283)</f>
        <v/>
      </c>
      <c r="AJ283" s="208" t="e">
        <f aca="false">A283+DAY(EOMONTH(A283,0))/2-1</f>
        <v>#VALUE!</v>
      </c>
      <c r="AK283" s="209" t="str">
        <f aca="false">IF($A284="","",$A283-$E$1)</f>
        <v/>
      </c>
      <c r="AL283" s="182" t="str">
        <f aca="false">IF($A284="","",SPRDOPT(P283,X283,AI283,0,AB283,AE283,AF283,AK283,$AJ$2,0))</f>
        <v/>
      </c>
      <c r="AM283" s="211" t="str">
        <f aca="false">IF($A284="","",MAX(0,O283-W283-AI283))</f>
        <v/>
      </c>
      <c r="AN283" s="211" t="str">
        <f aca="false">IF($A284="","",AL283-AM283)</f>
        <v/>
      </c>
      <c r="AO283" s="137" t="str">
        <f aca="false">IF(A284="","",A284-A283)</f>
        <v/>
      </c>
      <c r="AP283" s="212" t="str">
        <f aca="false">IF(A284="","",CHOOSE(F$3,A284+24,A283))</f>
        <v/>
      </c>
      <c r="AQ283" s="209" t="str">
        <f aca="false">IF(A284="","",AP283-$E$1)</f>
        <v/>
      </c>
      <c r="AR283" s="185" t="n">
        <f aca="false">'ANR OK vs ML7'!AR283</f>
        <v>0.1</v>
      </c>
      <c r="AS283" s="213" t="str">
        <f aca="false">IF(A284="","",1/(1+CHOOSE(F$3,(AR284+($I$3/10000))/2,(AR283+($I$3/10000))/2))^(2*AQ283/365.25))</f>
        <v/>
      </c>
      <c r="AT283" s="137" t="str">
        <f aca="false">IF(A284="","",IF(AND(mthbeg&lt;=A283,mthend&gt;=A283),1,0))</f>
        <v/>
      </c>
      <c r="AU283" s="137" t="str">
        <f aca="false">IF(A284="","",AO283*AT283)</f>
        <v/>
      </c>
      <c r="AW283" s="195" t="str">
        <f aca="false">IF($A284="","",AL283*$E283)</f>
        <v/>
      </c>
      <c r="AX283" s="195" t="str">
        <f aca="false">IF($A284="","",AM283*$E283)</f>
        <v/>
      </c>
      <c r="AY283" s="195" t="str">
        <f aca="false">IF($A284="","",AN283*$E283)</f>
        <v/>
      </c>
      <c r="BA283" s="195" t="str">
        <f aca="false">IF($A284="","",F283*Summary!$Q$10)</f>
        <v/>
      </c>
    </row>
    <row r="284" customFormat="false" ht="12" hidden="false" customHeight="true" outlineLevel="0" collapsed="false">
      <c r="A284" s="196" t="str">
        <f aca="false">IF(A283&lt;mthend,EDATE(A283,1),"")</f>
        <v/>
      </c>
      <c r="B284" s="197" t="str">
        <f aca="false">IF(A284&lt;mthend,B283,"")</f>
        <v/>
      </c>
      <c r="C284" s="215"/>
      <c r="D284" s="197" t="str">
        <f aca="false">IF(A285&lt;&gt;"",B284+C284,"")</f>
        <v/>
      </c>
      <c r="E284" s="199" t="str">
        <f aca="false">IF(A285="","",IF(AND(AT284=1,$H$3=1),D284*AO284,IF($H$3=2,D284,"N/A")))</f>
        <v/>
      </c>
      <c r="F284" s="199" t="str">
        <f aca="false">IF(A285="","",E284*AS284)</f>
        <v/>
      </c>
      <c r="G284" s="200" t="str">
        <f aca="false">IF($A285="","",VLOOKUP($A284,Table,MATCH(G$4,Curves,0)))</f>
        <v/>
      </c>
      <c r="H284" s="201" t="str">
        <f aca="false">IF(A285="","",G284)</f>
        <v/>
      </c>
      <c r="I284" s="202"/>
      <c r="J284" s="200" t="str">
        <f aca="false">IF($A285="","",VLOOKUP($A284,Table,MATCH(J$4,Curves,0)))</f>
        <v/>
      </c>
      <c r="K284" s="201" t="str">
        <f aca="false">IF(A285="","",J284)</f>
        <v/>
      </c>
      <c r="L284" s="185" t="n">
        <v>0</v>
      </c>
      <c r="M284" s="201" t="str">
        <f aca="false">IF(A285="","",L284)</f>
        <v/>
      </c>
      <c r="N284" s="203"/>
      <c r="O284" s="200" t="str">
        <f aca="false">IF(A285="","",L284+J284+G284)</f>
        <v/>
      </c>
      <c r="P284" s="200" t="str">
        <f aca="false">IF(A285="","",M284+K284+H284)</f>
        <v/>
      </c>
      <c r="Q284" s="204"/>
      <c r="R284" s="200" t="str">
        <f aca="false">IF($A285="","",VLOOKUP($A284,Table,MATCH(R$4,Curves,0)))</f>
        <v/>
      </c>
      <c r="S284" s="201" t="str">
        <f aca="false">IF(A285="","",R284)</f>
        <v/>
      </c>
      <c r="T284" s="200" t="str">
        <f aca="false">IF($A285="","",VLOOKUP($A284,Table,MATCH(T$4,Curves,0)))</f>
        <v/>
      </c>
      <c r="U284" s="201" t="str">
        <f aca="false">IF(A285="","",T284)</f>
        <v/>
      </c>
      <c r="V284" s="205" t="str">
        <f aca="false">IF($A285="","",IF(AND(MONTH(A284)&gt;3,MONTH(A284)&lt;11),(T284+R284+G284)*Summary!$T$10/(1-Summary!$T$10),(T284+R284+G284)*Summary!$U$10/(1-Summary!$U$10)))</f>
        <v/>
      </c>
      <c r="W284" s="200" t="str">
        <f aca="false">IF($A285="","",(T284+R284+G284+V284))</f>
        <v/>
      </c>
      <c r="X284" s="200" t="str">
        <f aca="false">IF($A285="","",(U284+S284+H284+V284))</f>
        <v/>
      </c>
      <c r="Y284" s="202"/>
      <c r="Z284" s="185" t="str">
        <f aca="false">IF($A285="","",VLOOKUP($A284,Table,MATCH(Z$4,Curves,0)))</f>
        <v/>
      </c>
      <c r="AA284" s="185" t="str">
        <f aca="false">IF($A285="","",VLOOKUP($A284,Table,MATCH(AA$4,Curves,0)))</f>
        <v/>
      </c>
      <c r="AB284" s="185" t="e">
        <f aca="false">SQRT((AA284^2*(A284-$D$3)+Z284^2*(DAY(EOMONTH(A284,0))/2))/AK284)</f>
        <v>#VALUE!</v>
      </c>
      <c r="AC284" s="185" t="str">
        <f aca="false">IF($A285="","",VLOOKUP($A284,Table,MATCH(AC$4,Curves,0)))</f>
        <v/>
      </c>
      <c r="AD284" s="185" t="str">
        <f aca="false">IF($A285="","",VLOOKUP($A284,Table,MATCH(AD$4,Curves,0)))</f>
        <v/>
      </c>
      <c r="AE284" s="185" t="e">
        <f aca="false">SQRT((AD284^2*(A284-$D$3)+AC284^2*(DAY(EOMONTH(A284,0))/2))/AK284)</f>
        <v>#VALUE!</v>
      </c>
      <c r="AF284" s="224" t="e">
        <f aca="false">((Summary!$N$10*(AA284*AD284)*(A284-$D$3))+(Summary!$M$10*Z284*AC284*(AJ284-EOMONTH(EDATE(A284,-1),0))))/(AK284*AB284*AE284)</f>
        <v>#VALUE!</v>
      </c>
      <c r="AG284" s="207" t="str">
        <f aca="false">IF($A285="","",Summary!$Q$10)</f>
        <v/>
      </c>
      <c r="AH284" s="207" t="str">
        <f aca="false">IF($A285="","",IF(Summary!$R$10="Y",(VLOOKUP($A284,Summary!$AD$6:$AF$9,3)+'Escalating commodity'!F297),'Escalating commodity'!F297))</f>
        <v/>
      </c>
      <c r="AI284" s="207" t="str">
        <f aca="false">IF($A285="","",AH284)</f>
        <v/>
      </c>
      <c r="AJ284" s="208" t="e">
        <f aca="false">A284+DAY(EOMONTH(A284,0))/2-1</f>
        <v>#VALUE!</v>
      </c>
      <c r="AK284" s="209" t="str">
        <f aca="false">IF($A285="","",$A284-$E$1)</f>
        <v/>
      </c>
      <c r="AL284" s="182" t="str">
        <f aca="false">IF($A285="","",SPRDOPT(P284,X284,AI284,0,AB284,AE284,AF284,AK284,$AJ$2,0))</f>
        <v/>
      </c>
      <c r="AM284" s="211" t="str">
        <f aca="false">IF($A285="","",MAX(0,O284-W284-AI284))</f>
        <v/>
      </c>
      <c r="AN284" s="211" t="str">
        <f aca="false">IF($A285="","",AL284-AM284)</f>
        <v/>
      </c>
      <c r="AO284" s="137" t="str">
        <f aca="false">IF(A285="","",A285-A284)</f>
        <v/>
      </c>
      <c r="AP284" s="212" t="str">
        <f aca="false">IF(A285="","",CHOOSE(F$3,A285+24,A284))</f>
        <v/>
      </c>
      <c r="AQ284" s="209" t="str">
        <f aca="false">IF(A285="","",AP284-$E$1)</f>
        <v/>
      </c>
      <c r="AR284" s="185" t="n">
        <f aca="false">'ANR OK vs ML7'!AR284</f>
        <v>0.1</v>
      </c>
      <c r="AS284" s="213" t="str">
        <f aca="false">IF(A285="","",1/(1+CHOOSE(F$3,(AR285+($I$3/10000))/2,(AR284+($I$3/10000))/2))^(2*AQ284/365.25))</f>
        <v/>
      </c>
      <c r="AT284" s="137" t="str">
        <f aca="false">IF(A285="","",IF(AND(mthbeg&lt;=A284,mthend&gt;=A284),1,0))</f>
        <v/>
      </c>
      <c r="AU284" s="137" t="str">
        <f aca="false">IF(A285="","",AO284*AT284)</f>
        <v/>
      </c>
      <c r="AW284" s="195" t="str">
        <f aca="false">IF($A285="","",AL284*$E284)</f>
        <v/>
      </c>
      <c r="AX284" s="195" t="str">
        <f aca="false">IF($A285="","",AM284*$E284)</f>
        <v/>
      </c>
      <c r="AY284" s="195" t="str">
        <f aca="false">IF($A285="","",AN284*$E284)</f>
        <v/>
      </c>
      <c r="BA284" s="195" t="str">
        <f aca="false">IF($A285="","",F284*Summary!$Q$10)</f>
        <v/>
      </c>
    </row>
    <row r="285" customFormat="false" ht="12" hidden="false" customHeight="true" outlineLevel="0" collapsed="false">
      <c r="A285" s="196" t="str">
        <f aca="false">IF(A284&lt;mthend,EDATE(A284,1),"")</f>
        <v/>
      </c>
      <c r="B285" s="197" t="str">
        <f aca="false">IF(A285&lt;mthend,B284,"")</f>
        <v/>
      </c>
      <c r="C285" s="215"/>
      <c r="D285" s="197" t="str">
        <f aca="false">IF(A286&lt;&gt;"",B285+C285,"")</f>
        <v/>
      </c>
      <c r="E285" s="199" t="str">
        <f aca="false">IF(A286="","",IF(AND(AT285=1,$H$3=1),D285*AO285,IF($H$3=2,D285,"N/A")))</f>
        <v/>
      </c>
      <c r="F285" s="199" t="str">
        <f aca="false">IF(A286="","",E285*AS285)</f>
        <v/>
      </c>
      <c r="G285" s="200" t="str">
        <f aca="false">IF($A286="","",VLOOKUP($A285,Table,MATCH(G$4,Curves,0)))</f>
        <v/>
      </c>
      <c r="H285" s="201" t="str">
        <f aca="false">IF(A286="","",G285)</f>
        <v/>
      </c>
      <c r="I285" s="202"/>
      <c r="J285" s="200" t="str">
        <f aca="false">IF($A286="","",VLOOKUP($A285,Table,MATCH(J$4,Curves,0)))</f>
        <v/>
      </c>
      <c r="K285" s="201" t="str">
        <f aca="false">IF(A286="","",J285)</f>
        <v/>
      </c>
      <c r="L285" s="185" t="n">
        <v>0</v>
      </c>
      <c r="M285" s="201" t="str">
        <f aca="false">IF(A286="","",L285)</f>
        <v/>
      </c>
      <c r="N285" s="203"/>
      <c r="O285" s="200" t="str">
        <f aca="false">IF(A286="","",L285+J285+G285)</f>
        <v/>
      </c>
      <c r="P285" s="200" t="str">
        <f aca="false">IF(A286="","",M285+K285+H285)</f>
        <v/>
      </c>
      <c r="Q285" s="204"/>
      <c r="R285" s="200" t="str">
        <f aca="false">IF($A286="","",VLOOKUP($A285,Table,MATCH(R$4,Curves,0)))</f>
        <v/>
      </c>
      <c r="S285" s="201" t="str">
        <f aca="false">IF(A286="","",R285)</f>
        <v/>
      </c>
      <c r="T285" s="200" t="str">
        <f aca="false">IF($A286="","",VLOOKUP($A285,Table,MATCH(T$4,Curves,0)))</f>
        <v/>
      </c>
      <c r="U285" s="201" t="str">
        <f aca="false">IF(A286="","",T285)</f>
        <v/>
      </c>
      <c r="V285" s="205" t="str">
        <f aca="false">IF($A286="","",IF(AND(MONTH(A285)&gt;3,MONTH(A285)&lt;11),(T285+R285+G285)*Summary!$T$10/(1-Summary!$T$10),(T285+R285+G285)*Summary!$U$10/(1-Summary!$U$10)))</f>
        <v/>
      </c>
      <c r="W285" s="200" t="str">
        <f aca="false">IF($A286="","",(T285+R285+G285+V285))</f>
        <v/>
      </c>
      <c r="X285" s="200" t="str">
        <f aca="false">IF($A286="","",(U285+S285+H285+V285))</f>
        <v/>
      </c>
      <c r="Y285" s="202"/>
      <c r="Z285" s="185" t="str">
        <f aca="false">IF($A286="","",VLOOKUP($A285,Table,MATCH(Z$4,Curves,0)))</f>
        <v/>
      </c>
      <c r="AA285" s="185" t="str">
        <f aca="false">IF($A286="","",VLOOKUP($A285,Table,MATCH(AA$4,Curves,0)))</f>
        <v/>
      </c>
      <c r="AB285" s="185" t="e">
        <f aca="false">SQRT((AA285^2*(A285-$D$3)+Z285^2*(DAY(EOMONTH(A285,0))/2))/AK285)</f>
        <v>#VALUE!</v>
      </c>
      <c r="AC285" s="185" t="str">
        <f aca="false">IF($A286="","",VLOOKUP($A285,Table,MATCH(AC$4,Curves,0)))</f>
        <v/>
      </c>
      <c r="AD285" s="185" t="str">
        <f aca="false">IF($A286="","",VLOOKUP($A285,Table,MATCH(AD$4,Curves,0)))</f>
        <v/>
      </c>
      <c r="AE285" s="185" t="e">
        <f aca="false">SQRT((AD285^2*(A285-$D$3)+AC285^2*(DAY(EOMONTH(A285,0))/2))/AK285)</f>
        <v>#VALUE!</v>
      </c>
      <c r="AF285" s="224" t="e">
        <f aca="false">((Summary!$N$10*(AA285*AD285)*(A285-$D$3))+(Summary!$M$10*Z285*AC285*(AJ285-EOMONTH(EDATE(A285,-1),0))))/(AK285*AB285*AE285)</f>
        <v>#VALUE!</v>
      </c>
      <c r="AG285" s="207" t="str">
        <f aca="false">IF($A286="","",Summary!$Q$10)</f>
        <v/>
      </c>
      <c r="AH285" s="207" t="str">
        <f aca="false">IF($A286="","",IF(Summary!$R$10="Y",(VLOOKUP($A285,Summary!$AD$6:$AF$9,3)+'Escalating commodity'!F298),'Escalating commodity'!F298))</f>
        <v/>
      </c>
      <c r="AI285" s="207" t="str">
        <f aca="false">IF($A286="","",AH285)</f>
        <v/>
      </c>
      <c r="AJ285" s="208" t="e">
        <f aca="false">A285+DAY(EOMONTH(A285,0))/2-1</f>
        <v>#VALUE!</v>
      </c>
      <c r="AK285" s="209" t="str">
        <f aca="false">IF($A286="","",$A285-$E$1)</f>
        <v/>
      </c>
      <c r="AL285" s="182" t="str">
        <f aca="false">IF($A286="","",SPRDOPT(P285,X285,AI285,0,AB285,AE285,AF285,AK285,$AJ$2,0))</f>
        <v/>
      </c>
      <c r="AM285" s="211" t="str">
        <f aca="false">IF($A286="","",MAX(0,O285-W285-AI285))</f>
        <v/>
      </c>
      <c r="AN285" s="211" t="str">
        <f aca="false">IF($A286="","",AL285-AM285)</f>
        <v/>
      </c>
      <c r="AO285" s="137" t="str">
        <f aca="false">IF(A286="","",A286-A285)</f>
        <v/>
      </c>
      <c r="AP285" s="212" t="str">
        <f aca="false">IF(A286="","",CHOOSE(F$3,A286+24,A285))</f>
        <v/>
      </c>
      <c r="AQ285" s="209" t="str">
        <f aca="false">IF(A286="","",AP285-$E$1)</f>
        <v/>
      </c>
      <c r="AR285" s="185" t="n">
        <f aca="false">'ANR OK vs ML7'!AR285</f>
        <v>0.1</v>
      </c>
      <c r="AS285" s="213" t="str">
        <f aca="false">IF(A286="","",1/(1+CHOOSE(F$3,(AR286+($I$3/10000))/2,(AR285+($I$3/10000))/2))^(2*AQ285/365.25))</f>
        <v/>
      </c>
      <c r="AT285" s="137" t="str">
        <f aca="false">IF(A286="","",IF(AND(mthbeg&lt;=A285,mthend&gt;=A285),1,0))</f>
        <v/>
      </c>
      <c r="AU285" s="137" t="str">
        <f aca="false">IF(A286="","",AO285*AT285)</f>
        <v/>
      </c>
      <c r="AW285" s="195" t="str">
        <f aca="false">IF($A286="","",AL285*$E285)</f>
        <v/>
      </c>
      <c r="AX285" s="195" t="str">
        <f aca="false">IF($A286="","",AM285*$E285)</f>
        <v/>
      </c>
      <c r="AY285" s="195" t="str">
        <f aca="false">IF($A286="","",AN285*$E285)</f>
        <v/>
      </c>
      <c r="BA285" s="195" t="str">
        <f aca="false">IF($A286="","",F285*Summary!$Q$10)</f>
        <v/>
      </c>
    </row>
    <row r="286" customFormat="false" ht="12" hidden="false" customHeight="true" outlineLevel="0" collapsed="false">
      <c r="A286" s="196" t="str">
        <f aca="false">IF(A285&lt;mthend,EDATE(A285,1),"")</f>
        <v/>
      </c>
      <c r="B286" s="197" t="str">
        <f aca="false">IF(A286&lt;mthend,B285,"")</f>
        <v/>
      </c>
      <c r="C286" s="215"/>
      <c r="D286" s="197" t="str">
        <f aca="false">IF(A287&lt;&gt;"",B286+C286,"")</f>
        <v/>
      </c>
      <c r="E286" s="199" t="str">
        <f aca="false">IF(A287="","",IF(AND(AT286=1,$H$3=1),D286*AO286,IF($H$3=2,D286,"N/A")))</f>
        <v/>
      </c>
      <c r="F286" s="199" t="str">
        <f aca="false">IF(A287="","",E286*AS286)</f>
        <v/>
      </c>
      <c r="G286" s="200" t="str">
        <f aca="false">IF($A287="","",VLOOKUP($A286,Table,MATCH(G$4,Curves,0)))</f>
        <v/>
      </c>
      <c r="H286" s="201" t="str">
        <f aca="false">IF(A287="","",G286)</f>
        <v/>
      </c>
      <c r="I286" s="202"/>
      <c r="J286" s="200" t="str">
        <f aca="false">IF($A287="","",VLOOKUP($A286,Table,MATCH(J$4,Curves,0)))</f>
        <v/>
      </c>
      <c r="K286" s="201" t="str">
        <f aca="false">IF(A287="","",J286)</f>
        <v/>
      </c>
      <c r="L286" s="185" t="n">
        <v>0</v>
      </c>
      <c r="M286" s="201" t="str">
        <f aca="false">IF(A287="","",L286)</f>
        <v/>
      </c>
      <c r="N286" s="203"/>
      <c r="O286" s="200" t="str">
        <f aca="false">IF(A287="","",L286+J286+G286)</f>
        <v/>
      </c>
      <c r="P286" s="200" t="str">
        <f aca="false">IF(A287="","",M286+K286+H286)</f>
        <v/>
      </c>
      <c r="Q286" s="204"/>
      <c r="R286" s="200" t="str">
        <f aca="false">IF($A287="","",VLOOKUP($A286,Table,MATCH(R$4,Curves,0)))</f>
        <v/>
      </c>
      <c r="S286" s="201" t="str">
        <f aca="false">IF(A287="","",R286)</f>
        <v/>
      </c>
      <c r="T286" s="200" t="str">
        <f aca="false">IF($A287="","",VLOOKUP($A286,Table,MATCH(T$4,Curves,0)))</f>
        <v/>
      </c>
      <c r="U286" s="201" t="str">
        <f aca="false">IF(A287="","",T286)</f>
        <v/>
      </c>
      <c r="V286" s="205" t="str">
        <f aca="false">IF($A287="","",IF(AND(MONTH(A286)&gt;3,MONTH(A286)&lt;11),(T286+R286+G286)*Summary!$T$10/(1-Summary!$T$10),(T286+R286+G286)*Summary!$U$10/(1-Summary!$U$10)))</f>
        <v/>
      </c>
      <c r="W286" s="200" t="str">
        <f aca="false">IF($A287="","",(T286+R286+G286+V286))</f>
        <v/>
      </c>
      <c r="X286" s="200" t="str">
        <f aca="false">IF($A287="","",(U286+S286+H286+V286))</f>
        <v/>
      </c>
      <c r="Y286" s="202"/>
      <c r="Z286" s="185" t="str">
        <f aca="false">IF($A287="","",VLOOKUP($A286,Table,MATCH(Z$4,Curves,0)))</f>
        <v/>
      </c>
      <c r="AA286" s="185" t="str">
        <f aca="false">IF($A287="","",VLOOKUP($A286,Table,MATCH(AA$4,Curves,0)))</f>
        <v/>
      </c>
      <c r="AB286" s="185" t="e">
        <f aca="false">SQRT((AA286^2*(A286-$D$3)+Z286^2*(DAY(EOMONTH(A286,0))/2))/AK286)</f>
        <v>#VALUE!</v>
      </c>
      <c r="AC286" s="185" t="str">
        <f aca="false">IF($A287="","",VLOOKUP($A286,Table,MATCH(AC$4,Curves,0)))</f>
        <v/>
      </c>
      <c r="AD286" s="185" t="str">
        <f aca="false">IF($A287="","",VLOOKUP($A286,Table,MATCH(AD$4,Curves,0)))</f>
        <v/>
      </c>
      <c r="AE286" s="185" t="e">
        <f aca="false">SQRT((AD286^2*(A286-$D$3)+AC286^2*(DAY(EOMONTH(A286,0))/2))/AK286)</f>
        <v>#VALUE!</v>
      </c>
      <c r="AF286" s="224" t="e">
        <f aca="false">((Summary!$N$10*(AA286*AD286)*(A286-$D$3))+(Summary!$M$10*Z286*AC286*(AJ286-EOMONTH(EDATE(A286,-1),0))))/(AK286*AB286*AE286)</f>
        <v>#VALUE!</v>
      </c>
      <c r="AG286" s="207" t="str">
        <f aca="false">IF($A287="","",Summary!$Q$10)</f>
        <v/>
      </c>
      <c r="AH286" s="207" t="str">
        <f aca="false">IF($A287="","",IF(Summary!$R$10="Y",(VLOOKUP($A286,Summary!$AD$6:$AF$9,3)+'Escalating commodity'!F299),'Escalating commodity'!F299))</f>
        <v/>
      </c>
      <c r="AI286" s="207" t="str">
        <f aca="false">IF($A287="","",AH286)</f>
        <v/>
      </c>
      <c r="AJ286" s="208" t="e">
        <f aca="false">A286+DAY(EOMONTH(A286,0))/2-1</f>
        <v>#VALUE!</v>
      </c>
      <c r="AK286" s="209" t="str">
        <f aca="false">IF($A287="","",$A286-$E$1)</f>
        <v/>
      </c>
      <c r="AL286" s="182" t="str">
        <f aca="false">IF($A287="","",SPRDOPT(P286,X286,AI286,0,AB286,AE286,AF286,AK286,$AJ$2,0))</f>
        <v/>
      </c>
      <c r="AM286" s="211" t="str">
        <f aca="false">IF($A287="","",MAX(0,O286-W286-AI286))</f>
        <v/>
      </c>
      <c r="AN286" s="211" t="str">
        <f aca="false">IF($A287="","",AL286-AM286)</f>
        <v/>
      </c>
      <c r="AO286" s="137" t="str">
        <f aca="false">IF(A287="","",A287-A286)</f>
        <v/>
      </c>
      <c r="AP286" s="212" t="str">
        <f aca="false">IF(A287="","",CHOOSE(F$3,A287+24,A286))</f>
        <v/>
      </c>
      <c r="AQ286" s="209" t="str">
        <f aca="false">IF(A287="","",AP286-$E$1)</f>
        <v/>
      </c>
      <c r="AR286" s="185" t="n">
        <f aca="false">'ANR OK vs ML7'!AR286</f>
        <v>0.1</v>
      </c>
      <c r="AS286" s="213" t="str">
        <f aca="false">IF(A287="","",1/(1+CHOOSE(F$3,(AR287+($I$3/10000))/2,(AR286+($I$3/10000))/2))^(2*AQ286/365.25))</f>
        <v/>
      </c>
      <c r="AT286" s="137" t="str">
        <f aca="false">IF(A287="","",IF(AND(mthbeg&lt;=A286,mthend&gt;=A286),1,0))</f>
        <v/>
      </c>
      <c r="AU286" s="137" t="str">
        <f aca="false">IF(A287="","",AO286*AT286)</f>
        <v/>
      </c>
      <c r="AW286" s="195" t="str">
        <f aca="false">IF($A287="","",AL286*$E286)</f>
        <v/>
      </c>
      <c r="AX286" s="195" t="str">
        <f aca="false">IF($A287="","",AM286*$E286)</f>
        <v/>
      </c>
      <c r="AY286" s="195" t="str">
        <f aca="false">IF($A287="","",AN286*$E286)</f>
        <v/>
      </c>
      <c r="BA286" s="195" t="str">
        <f aca="false">IF($A287="","",F286*Summary!$Q$10)</f>
        <v/>
      </c>
    </row>
    <row r="287" customFormat="false" ht="12" hidden="false" customHeight="true" outlineLevel="0" collapsed="false">
      <c r="A287" s="196" t="str">
        <f aca="false">IF(A286&lt;mthend,EDATE(A286,1),"")</f>
        <v/>
      </c>
      <c r="B287" s="197" t="str">
        <f aca="false">IF(A287&lt;mthend,B286,"")</f>
        <v/>
      </c>
      <c r="C287" s="215"/>
      <c r="D287" s="197" t="str">
        <f aca="false">IF(A288&lt;&gt;"",B287+C287,"")</f>
        <v/>
      </c>
      <c r="E287" s="199" t="str">
        <f aca="false">IF(A288="","",IF(AND(AT287=1,$H$3=1),D287*AO287,IF($H$3=2,D287,"N/A")))</f>
        <v/>
      </c>
      <c r="F287" s="199" t="str">
        <f aca="false">IF(A288="","",E287*AS287)</f>
        <v/>
      </c>
      <c r="G287" s="200" t="str">
        <f aca="false">IF($A288="","",VLOOKUP($A287,Table,MATCH(G$4,Curves,0)))</f>
        <v/>
      </c>
      <c r="H287" s="201" t="str">
        <f aca="false">IF(A288="","",G287)</f>
        <v/>
      </c>
      <c r="I287" s="202"/>
      <c r="J287" s="200" t="str">
        <f aca="false">IF($A288="","",VLOOKUP($A287,Table,MATCH(J$4,Curves,0)))</f>
        <v/>
      </c>
      <c r="K287" s="201" t="str">
        <f aca="false">IF(A288="","",J287)</f>
        <v/>
      </c>
      <c r="L287" s="185" t="n">
        <v>0</v>
      </c>
      <c r="M287" s="201" t="str">
        <f aca="false">IF(A288="","",L287)</f>
        <v/>
      </c>
      <c r="N287" s="203"/>
      <c r="O287" s="200" t="str">
        <f aca="false">IF(A288="","",L287+J287+G287)</f>
        <v/>
      </c>
      <c r="P287" s="200" t="str">
        <f aca="false">IF(A288="","",M287+K287+H287)</f>
        <v/>
      </c>
      <c r="Q287" s="204"/>
      <c r="R287" s="200" t="str">
        <f aca="false">IF($A288="","",VLOOKUP($A287,Table,MATCH(R$4,Curves,0)))</f>
        <v/>
      </c>
      <c r="S287" s="201" t="str">
        <f aca="false">IF(A288="","",R287)</f>
        <v/>
      </c>
      <c r="T287" s="200" t="str">
        <f aca="false">IF($A288="","",VLOOKUP($A287,Table,MATCH(T$4,Curves,0)))</f>
        <v/>
      </c>
      <c r="U287" s="201" t="str">
        <f aca="false">IF(A288="","",T287)</f>
        <v/>
      </c>
      <c r="V287" s="205" t="str">
        <f aca="false">IF($A288="","",IF(AND(MONTH(A287)&gt;3,MONTH(A287)&lt;11),(T287+R287+G287)*Summary!$T$10/(1-Summary!$T$10),(T287+R287+G287)*Summary!$U$10/(1-Summary!$U$10)))</f>
        <v/>
      </c>
      <c r="W287" s="200" t="str">
        <f aca="false">IF($A288="","",(T287+R287+G287+V287))</f>
        <v/>
      </c>
      <c r="X287" s="200" t="str">
        <f aca="false">IF($A288="","",(U287+S287+H287+V287))</f>
        <v/>
      </c>
      <c r="Y287" s="202"/>
      <c r="Z287" s="185" t="str">
        <f aca="false">IF($A288="","",VLOOKUP($A287,Table,MATCH(Z$4,Curves,0)))</f>
        <v/>
      </c>
      <c r="AA287" s="185" t="str">
        <f aca="false">IF($A288="","",VLOOKUP($A287,Table,MATCH(AA$4,Curves,0)))</f>
        <v/>
      </c>
      <c r="AB287" s="185" t="e">
        <f aca="false">SQRT((AA287^2*(A287-$D$3)+Z287^2*(DAY(EOMONTH(A287,0))/2))/AK287)</f>
        <v>#VALUE!</v>
      </c>
      <c r="AC287" s="185" t="str">
        <f aca="false">IF($A288="","",VLOOKUP($A287,Table,MATCH(AC$4,Curves,0)))</f>
        <v/>
      </c>
      <c r="AD287" s="185" t="str">
        <f aca="false">IF($A288="","",VLOOKUP($A287,Table,MATCH(AD$4,Curves,0)))</f>
        <v/>
      </c>
      <c r="AE287" s="185" t="e">
        <f aca="false">SQRT((AD287^2*(A287-$D$3)+AC287^2*(DAY(EOMONTH(A287,0))/2))/AK287)</f>
        <v>#VALUE!</v>
      </c>
      <c r="AF287" s="224" t="e">
        <f aca="false">((Summary!$N$10*(AA287*AD287)*(A287-$D$3))+(Summary!$M$10*Z287*AC287*(AJ287-EOMONTH(EDATE(A287,-1),0))))/(AK287*AB287*AE287)</f>
        <v>#VALUE!</v>
      </c>
      <c r="AG287" s="207" t="str">
        <f aca="false">IF($A288="","",Summary!$Q$10)</f>
        <v/>
      </c>
      <c r="AH287" s="207" t="str">
        <f aca="false">IF($A288="","",IF(Summary!$R$10="Y",(VLOOKUP($A287,Summary!$AD$6:$AF$9,3)+'Escalating commodity'!F300),'Escalating commodity'!F300))</f>
        <v/>
      </c>
      <c r="AI287" s="207" t="str">
        <f aca="false">IF($A288="","",AH287)</f>
        <v/>
      </c>
      <c r="AJ287" s="208" t="e">
        <f aca="false">A287+DAY(EOMONTH(A287,0))/2-1</f>
        <v>#VALUE!</v>
      </c>
      <c r="AK287" s="209" t="str">
        <f aca="false">IF($A288="","",$A287-$E$1)</f>
        <v/>
      </c>
      <c r="AL287" s="182" t="str">
        <f aca="false">IF($A288="","",SPRDOPT(P287,X287,AI287,0,AB287,AE287,AF287,AK287,$AJ$2,0))</f>
        <v/>
      </c>
      <c r="AM287" s="211" t="str">
        <f aca="false">IF($A288="","",MAX(0,O287-W287-AI287))</f>
        <v/>
      </c>
      <c r="AN287" s="211" t="str">
        <f aca="false">IF($A288="","",AL287-AM287)</f>
        <v/>
      </c>
      <c r="AO287" s="137" t="str">
        <f aca="false">IF(A288="","",A288-A287)</f>
        <v/>
      </c>
      <c r="AP287" s="212" t="str">
        <f aca="false">IF(A288="","",CHOOSE(F$3,A288+24,A287))</f>
        <v/>
      </c>
      <c r="AQ287" s="209" t="str">
        <f aca="false">IF(A288="","",AP287-$E$1)</f>
        <v/>
      </c>
      <c r="AR287" s="185" t="n">
        <f aca="false">'ANR OK vs ML7'!AR287</f>
        <v>0.1</v>
      </c>
      <c r="AS287" s="213" t="str">
        <f aca="false">IF(A288="","",1/(1+CHOOSE(F$3,(AR288+($I$3/10000))/2,(AR287+($I$3/10000))/2))^(2*AQ287/365.25))</f>
        <v/>
      </c>
      <c r="AT287" s="137" t="str">
        <f aca="false">IF(A288="","",IF(AND(mthbeg&lt;=A287,mthend&gt;=A287),1,0))</f>
        <v/>
      </c>
      <c r="AU287" s="137" t="str">
        <f aca="false">IF(A288="","",AO287*AT287)</f>
        <v/>
      </c>
      <c r="AW287" s="195" t="str">
        <f aca="false">IF($A288="","",AL287*$E287)</f>
        <v/>
      </c>
      <c r="AX287" s="195" t="str">
        <f aca="false">IF($A288="","",AM287*$E287)</f>
        <v/>
      </c>
      <c r="AY287" s="195" t="str">
        <f aca="false">IF($A288="","",AN287*$E287)</f>
        <v/>
      </c>
      <c r="BA287" s="195" t="str">
        <f aca="false">IF($A288="","",F287*Summary!$Q$10)</f>
        <v/>
      </c>
    </row>
    <row r="288" customFormat="false" ht="12" hidden="false" customHeight="true" outlineLevel="0" collapsed="false">
      <c r="A288" s="196" t="str">
        <f aca="false">IF(A287&lt;mthend,EDATE(A287,1),"")</f>
        <v/>
      </c>
      <c r="B288" s="197" t="str">
        <f aca="false">IF(A288&lt;mthend,B287,"")</f>
        <v/>
      </c>
      <c r="C288" s="215"/>
      <c r="D288" s="197" t="str">
        <f aca="false">IF(A289&lt;&gt;"",B288+C288,"")</f>
        <v/>
      </c>
      <c r="E288" s="199" t="str">
        <f aca="false">IF(A289="","",IF(AND(AT288=1,$H$3=1),D288*AO288,IF($H$3=2,D288,"N/A")))</f>
        <v/>
      </c>
      <c r="F288" s="199" t="str">
        <f aca="false">IF(A289="","",E288*AS288)</f>
        <v/>
      </c>
      <c r="G288" s="200" t="str">
        <f aca="false">IF($A289="","",VLOOKUP($A288,Table,MATCH(G$4,Curves,0)))</f>
        <v/>
      </c>
      <c r="H288" s="201" t="str">
        <f aca="false">IF(A289="","",G288)</f>
        <v/>
      </c>
      <c r="I288" s="202"/>
      <c r="J288" s="200" t="str">
        <f aca="false">IF($A289="","",VLOOKUP($A288,Table,MATCH(J$4,Curves,0)))</f>
        <v/>
      </c>
      <c r="K288" s="201" t="str">
        <f aca="false">IF(A289="","",J288)</f>
        <v/>
      </c>
      <c r="L288" s="185" t="n">
        <v>0</v>
      </c>
      <c r="M288" s="201" t="str">
        <f aca="false">IF(A289="","",L288)</f>
        <v/>
      </c>
      <c r="N288" s="203"/>
      <c r="O288" s="200" t="str">
        <f aca="false">IF(A289="","",L288+J288+G288)</f>
        <v/>
      </c>
      <c r="P288" s="200" t="str">
        <f aca="false">IF(A289="","",M288+K288+H288)</f>
        <v/>
      </c>
      <c r="Q288" s="204"/>
      <c r="R288" s="200" t="str">
        <f aca="false">IF($A289="","",VLOOKUP($A288,Table,MATCH(R$4,Curves,0)))</f>
        <v/>
      </c>
      <c r="S288" s="201" t="str">
        <f aca="false">IF(A289="","",R288)</f>
        <v/>
      </c>
      <c r="T288" s="200" t="str">
        <f aca="false">IF($A289="","",VLOOKUP($A288,Table,MATCH(T$4,Curves,0)))</f>
        <v/>
      </c>
      <c r="U288" s="201" t="str">
        <f aca="false">IF(A289="","",T288)</f>
        <v/>
      </c>
      <c r="V288" s="205" t="str">
        <f aca="false">IF($A289="","",IF(AND(MONTH(A288)&gt;3,MONTH(A288)&lt;11),(T288+R288+G288)*Summary!$T$10/(1-Summary!$T$10),(T288+R288+G288)*Summary!$U$10/(1-Summary!$U$10)))</f>
        <v/>
      </c>
      <c r="W288" s="200" t="str">
        <f aca="false">IF($A289="","",(T288+R288+G288+V288))</f>
        <v/>
      </c>
      <c r="X288" s="200" t="str">
        <f aca="false">IF($A289="","",(U288+S288+H288+V288))</f>
        <v/>
      </c>
      <c r="Y288" s="202"/>
      <c r="Z288" s="185" t="str">
        <f aca="false">IF($A289="","",VLOOKUP($A288,Table,MATCH(Z$4,Curves,0)))</f>
        <v/>
      </c>
      <c r="AA288" s="185" t="str">
        <f aca="false">IF($A289="","",VLOOKUP($A288,Table,MATCH(AA$4,Curves,0)))</f>
        <v/>
      </c>
      <c r="AB288" s="185" t="e">
        <f aca="false">SQRT((AA288^2*(A288-$D$3)+Z288^2*(DAY(EOMONTH(A288,0))/2))/AK288)</f>
        <v>#VALUE!</v>
      </c>
      <c r="AC288" s="185" t="str">
        <f aca="false">IF($A289="","",VLOOKUP($A288,Table,MATCH(AC$4,Curves,0)))</f>
        <v/>
      </c>
      <c r="AD288" s="185" t="str">
        <f aca="false">IF($A289="","",VLOOKUP($A288,Table,MATCH(AD$4,Curves,0)))</f>
        <v/>
      </c>
      <c r="AE288" s="185" t="e">
        <f aca="false">SQRT((AD288^2*(A288-$D$3)+AC288^2*(DAY(EOMONTH(A288,0))/2))/AK288)</f>
        <v>#VALUE!</v>
      </c>
      <c r="AF288" s="224" t="e">
        <f aca="false">((Summary!$N$10*(AA288*AD288)*(A288-$D$3))+(Summary!$M$10*Z288*AC288*(AJ288-EOMONTH(EDATE(A288,-1),0))))/(AK288*AB288*AE288)</f>
        <v>#VALUE!</v>
      </c>
      <c r="AG288" s="207" t="str">
        <f aca="false">IF($A289="","",Summary!$Q$10)</f>
        <v/>
      </c>
      <c r="AH288" s="207" t="str">
        <f aca="false">IF($A289="","",IF(Summary!$R$10="Y",(VLOOKUP($A288,Summary!$AD$6:$AF$9,3)+'Escalating commodity'!F301),'Escalating commodity'!F301))</f>
        <v/>
      </c>
      <c r="AI288" s="207" t="str">
        <f aca="false">IF($A289="","",AH288)</f>
        <v/>
      </c>
      <c r="AJ288" s="208" t="e">
        <f aca="false">A288+DAY(EOMONTH(A288,0))/2-1</f>
        <v>#VALUE!</v>
      </c>
      <c r="AK288" s="209" t="str">
        <f aca="false">IF($A289="","",$A288-$E$1)</f>
        <v/>
      </c>
      <c r="AL288" s="182" t="str">
        <f aca="false">IF($A289="","",SPRDOPT(P288,X288,AI288,0,AB288,AE288,AF288,AK288,$AJ$2,0))</f>
        <v/>
      </c>
      <c r="AM288" s="211" t="str">
        <f aca="false">IF($A289="","",MAX(0,O288-W288-AI288))</f>
        <v/>
      </c>
      <c r="AN288" s="211" t="str">
        <f aca="false">IF($A289="","",AL288-AM288)</f>
        <v/>
      </c>
      <c r="AO288" s="137" t="str">
        <f aca="false">IF(A289="","",A289-A288)</f>
        <v/>
      </c>
      <c r="AP288" s="212" t="str">
        <f aca="false">IF(A289="","",CHOOSE(F$3,A289+24,A288))</f>
        <v/>
      </c>
      <c r="AQ288" s="209" t="str">
        <f aca="false">IF(A289="","",AP288-$E$1)</f>
        <v/>
      </c>
      <c r="AR288" s="185" t="n">
        <f aca="false">'ANR OK vs ML7'!AR288</f>
        <v>0.1</v>
      </c>
      <c r="AS288" s="213" t="str">
        <f aca="false">IF(A289="","",1/(1+CHOOSE(F$3,(AR289+($I$3/10000))/2,(AR288+($I$3/10000))/2))^(2*AQ288/365.25))</f>
        <v/>
      </c>
      <c r="AT288" s="137" t="str">
        <f aca="false">IF(A289="","",IF(AND(mthbeg&lt;=A288,mthend&gt;=A288),1,0))</f>
        <v/>
      </c>
      <c r="AU288" s="137" t="str">
        <f aca="false">IF(A289="","",AO288*AT288)</f>
        <v/>
      </c>
      <c r="AW288" s="195" t="str">
        <f aca="false">IF($A289="","",AL288*$E288)</f>
        <v/>
      </c>
      <c r="AX288" s="195" t="str">
        <f aca="false">IF($A289="","",AM288*$E288)</f>
        <v/>
      </c>
      <c r="AY288" s="195" t="str">
        <f aca="false">IF($A289="","",AN288*$E288)</f>
        <v/>
      </c>
      <c r="BA288" s="195" t="str">
        <f aca="false">IF($A289="","",F288*Summary!$Q$10)</f>
        <v/>
      </c>
    </row>
    <row r="289" customFormat="false" ht="12" hidden="false" customHeight="true" outlineLevel="0" collapsed="false">
      <c r="A289" s="196" t="str">
        <f aca="false">IF(A288&lt;mthend,EDATE(A288,1),"")</f>
        <v/>
      </c>
      <c r="B289" s="197" t="str">
        <f aca="false">IF(A289&lt;mthend,B288,"")</f>
        <v/>
      </c>
      <c r="C289" s="215"/>
      <c r="D289" s="197" t="str">
        <f aca="false">IF(A290&lt;&gt;"",B289+C289,"")</f>
        <v/>
      </c>
      <c r="E289" s="199" t="str">
        <f aca="false">IF(A290="","",IF(AND(AT289=1,$H$3=1),D289*AO289,IF($H$3=2,D289,"N/A")))</f>
        <v/>
      </c>
      <c r="F289" s="199" t="str">
        <f aca="false">IF(A290="","",E289*AS289)</f>
        <v/>
      </c>
      <c r="G289" s="200" t="str">
        <f aca="false">IF($A290="","",VLOOKUP($A289,Table,MATCH(G$4,Curves,0)))</f>
        <v/>
      </c>
      <c r="H289" s="201" t="str">
        <f aca="false">IF(A290="","",G289)</f>
        <v/>
      </c>
      <c r="I289" s="202"/>
      <c r="J289" s="200" t="str">
        <f aca="false">IF($A290="","",VLOOKUP($A289,Table,MATCH(J$4,Curves,0)))</f>
        <v/>
      </c>
      <c r="K289" s="201" t="str">
        <f aca="false">IF(A290="","",J289)</f>
        <v/>
      </c>
      <c r="L289" s="185" t="n">
        <v>0</v>
      </c>
      <c r="M289" s="201" t="str">
        <f aca="false">IF(A290="","",L289)</f>
        <v/>
      </c>
      <c r="N289" s="203"/>
      <c r="O289" s="200" t="str">
        <f aca="false">IF(A290="","",L289+J289+G289)</f>
        <v/>
      </c>
      <c r="P289" s="200" t="str">
        <f aca="false">IF(A290="","",M289+K289+H289)</f>
        <v/>
      </c>
      <c r="Q289" s="204"/>
      <c r="R289" s="200" t="str">
        <f aca="false">IF($A290="","",VLOOKUP($A289,Table,MATCH(R$4,Curves,0)))</f>
        <v/>
      </c>
      <c r="S289" s="201" t="str">
        <f aca="false">IF(A290="","",R289)</f>
        <v/>
      </c>
      <c r="T289" s="200" t="str">
        <f aca="false">IF($A290="","",VLOOKUP($A289,Table,MATCH(T$4,Curves,0)))</f>
        <v/>
      </c>
      <c r="U289" s="201" t="str">
        <f aca="false">IF(A290="","",T289)</f>
        <v/>
      </c>
      <c r="V289" s="205" t="str">
        <f aca="false">IF($A290="","",IF(AND(MONTH(A289)&gt;3,MONTH(A289)&lt;11),(T289+R289+G289)*Summary!$T$10/(1-Summary!$T$10),(T289+R289+G289)*Summary!$U$10/(1-Summary!$U$10)))</f>
        <v/>
      </c>
      <c r="W289" s="200" t="str">
        <f aca="false">IF($A290="","",(T289+R289+G289+V289))</f>
        <v/>
      </c>
      <c r="X289" s="200" t="str">
        <f aca="false">IF($A290="","",(U289+S289+H289+V289))</f>
        <v/>
      </c>
      <c r="Y289" s="202"/>
      <c r="Z289" s="185" t="str">
        <f aca="false">IF($A290="","",VLOOKUP($A289,Table,MATCH(Z$4,Curves,0)))</f>
        <v/>
      </c>
      <c r="AA289" s="185" t="str">
        <f aca="false">IF($A290="","",VLOOKUP($A289,Table,MATCH(AA$4,Curves,0)))</f>
        <v/>
      </c>
      <c r="AB289" s="185" t="e">
        <f aca="false">SQRT((AA289^2*(A289-$D$3)+Z289^2*(DAY(EOMONTH(A289,0))/2))/AK289)</f>
        <v>#VALUE!</v>
      </c>
      <c r="AC289" s="185" t="str">
        <f aca="false">IF($A290="","",VLOOKUP($A289,Table,MATCH(AC$4,Curves,0)))</f>
        <v/>
      </c>
      <c r="AD289" s="185" t="str">
        <f aca="false">IF($A290="","",VLOOKUP($A289,Table,MATCH(AD$4,Curves,0)))</f>
        <v/>
      </c>
      <c r="AE289" s="185" t="e">
        <f aca="false">SQRT((AD289^2*(A289-$D$3)+AC289^2*(DAY(EOMONTH(A289,0))/2))/AK289)</f>
        <v>#VALUE!</v>
      </c>
      <c r="AF289" s="224" t="e">
        <f aca="false">((Summary!$N$10*(AA289*AD289)*(A289-$D$3))+(Summary!$M$10*Z289*AC289*(AJ289-EOMONTH(EDATE(A289,-1),0))))/(AK289*AB289*AE289)</f>
        <v>#VALUE!</v>
      </c>
      <c r="AG289" s="207" t="str">
        <f aca="false">IF($A290="","",Summary!$Q$10)</f>
        <v/>
      </c>
      <c r="AH289" s="207" t="str">
        <f aca="false">IF($A290="","",IF(Summary!$R$10="Y",(VLOOKUP($A289,Summary!$AD$6:$AF$9,3)+'Escalating commodity'!F302),'Escalating commodity'!F302))</f>
        <v/>
      </c>
      <c r="AI289" s="207" t="str">
        <f aca="false">IF($A290="","",AH289)</f>
        <v/>
      </c>
      <c r="AJ289" s="208" t="e">
        <f aca="false">A289+DAY(EOMONTH(A289,0))/2-1</f>
        <v>#VALUE!</v>
      </c>
      <c r="AK289" s="209" t="str">
        <f aca="false">IF($A290="","",$A289-$E$1)</f>
        <v/>
      </c>
      <c r="AL289" s="182" t="str">
        <f aca="false">IF($A290="","",SPRDOPT(P289,X289,AI289,0,AB289,AE289,AF289,AK289,$AJ$2,0))</f>
        <v/>
      </c>
      <c r="AM289" s="211" t="str">
        <f aca="false">IF($A290="","",MAX(0,O289-W289-AI289))</f>
        <v/>
      </c>
      <c r="AN289" s="211" t="str">
        <f aca="false">IF($A290="","",AL289-AM289)</f>
        <v/>
      </c>
      <c r="AO289" s="137" t="str">
        <f aca="false">IF(A290="","",A290-A289)</f>
        <v/>
      </c>
      <c r="AP289" s="212" t="str">
        <f aca="false">IF(A290="","",CHOOSE(F$3,A290+24,A289))</f>
        <v/>
      </c>
      <c r="AQ289" s="209" t="str">
        <f aca="false">IF(A290="","",AP289-$E$1)</f>
        <v/>
      </c>
      <c r="AR289" s="185" t="n">
        <f aca="false">'ANR OK vs ML7'!AR289</f>
        <v>0.1</v>
      </c>
      <c r="AS289" s="213" t="str">
        <f aca="false">IF(A290="","",1/(1+CHOOSE(F$3,(AR290+($I$3/10000))/2,(AR289+($I$3/10000))/2))^(2*AQ289/365.25))</f>
        <v/>
      </c>
      <c r="AT289" s="137" t="str">
        <f aca="false">IF(A290="","",IF(AND(mthbeg&lt;=A289,mthend&gt;=A289),1,0))</f>
        <v/>
      </c>
      <c r="AU289" s="137" t="str">
        <f aca="false">IF(A290="","",AO289*AT289)</f>
        <v/>
      </c>
      <c r="AW289" s="195" t="str">
        <f aca="false">IF($A290="","",AL289*$E289)</f>
        <v/>
      </c>
      <c r="AX289" s="195" t="str">
        <f aca="false">IF($A290="","",AM289*$E289)</f>
        <v/>
      </c>
      <c r="AY289" s="195" t="str">
        <f aca="false">IF($A290="","",AN289*$E289)</f>
        <v/>
      </c>
      <c r="BA289" s="195" t="str">
        <f aca="false">IF($A290="","",F289*Summary!$Q$10)</f>
        <v/>
      </c>
    </row>
    <row r="290" customFormat="false" ht="12" hidden="false" customHeight="true" outlineLevel="0" collapsed="false">
      <c r="A290" s="196" t="str">
        <f aca="false">IF(A289&lt;mthend,EDATE(A289,1),"")</f>
        <v/>
      </c>
      <c r="B290" s="197" t="str">
        <f aca="false">IF(A290&lt;mthend,B289,"")</f>
        <v/>
      </c>
      <c r="C290" s="215"/>
      <c r="D290" s="197" t="str">
        <f aca="false">IF(A291&lt;&gt;"",B290+C290,"")</f>
        <v/>
      </c>
      <c r="E290" s="199" t="str">
        <f aca="false">IF(A291="","",IF(AND(AT290=1,$H$3=1),D290*AO290,IF($H$3=2,D290,"N/A")))</f>
        <v/>
      </c>
      <c r="F290" s="199" t="str">
        <f aca="false">IF(A291="","",E290*AS290)</f>
        <v/>
      </c>
      <c r="G290" s="200" t="str">
        <f aca="false">IF($A291="","",VLOOKUP($A290,Table,MATCH(G$4,Curves,0)))</f>
        <v/>
      </c>
      <c r="H290" s="201" t="str">
        <f aca="false">IF(A291="","",G290)</f>
        <v/>
      </c>
      <c r="I290" s="202"/>
      <c r="J290" s="200" t="str">
        <f aca="false">IF($A291="","",VLOOKUP($A290,Table,MATCH(J$4,Curves,0)))</f>
        <v/>
      </c>
      <c r="K290" s="201" t="str">
        <f aca="false">IF(A291="","",J290)</f>
        <v/>
      </c>
      <c r="L290" s="185" t="n">
        <v>0</v>
      </c>
      <c r="M290" s="201" t="str">
        <f aca="false">IF(A291="","",L290)</f>
        <v/>
      </c>
      <c r="N290" s="203"/>
      <c r="O290" s="200" t="str">
        <f aca="false">IF(A291="","",L290+J290+G290)</f>
        <v/>
      </c>
      <c r="P290" s="200" t="str">
        <f aca="false">IF(A291="","",M290+K290+H290)</f>
        <v/>
      </c>
      <c r="Q290" s="204"/>
      <c r="R290" s="200" t="str">
        <f aca="false">IF($A291="","",VLOOKUP($A290,Table,MATCH(R$4,Curves,0)))</f>
        <v/>
      </c>
      <c r="S290" s="201" t="str">
        <f aca="false">IF(A291="","",R290)</f>
        <v/>
      </c>
      <c r="T290" s="200" t="str">
        <f aca="false">IF($A291="","",VLOOKUP($A290,Table,MATCH(T$4,Curves,0)))</f>
        <v/>
      </c>
      <c r="U290" s="201" t="str">
        <f aca="false">IF(A291="","",T290)</f>
        <v/>
      </c>
      <c r="V290" s="205" t="str">
        <f aca="false">IF($A291="","",IF(AND(MONTH(A290)&gt;3,MONTH(A290)&lt;11),(T290+R290+G290)*Summary!$T$10/(1-Summary!$T$10),(T290+R290+G290)*Summary!$U$10/(1-Summary!$U$10)))</f>
        <v/>
      </c>
      <c r="W290" s="200" t="str">
        <f aca="false">IF($A291="","",(T290+R290+G290+V290))</f>
        <v/>
      </c>
      <c r="X290" s="200" t="str">
        <f aca="false">IF($A291="","",(U290+S290+H290+V290))</f>
        <v/>
      </c>
      <c r="Y290" s="202"/>
      <c r="Z290" s="185" t="str">
        <f aca="false">IF($A291="","",VLOOKUP($A290,Table,MATCH(Z$4,Curves,0)))</f>
        <v/>
      </c>
      <c r="AA290" s="185" t="str">
        <f aca="false">IF($A291="","",VLOOKUP($A290,Table,MATCH(AA$4,Curves,0)))</f>
        <v/>
      </c>
      <c r="AB290" s="185" t="e">
        <f aca="false">SQRT((AA290^2*(A290-$D$3)+Z290^2*(DAY(EOMONTH(A290,0))/2))/AK290)</f>
        <v>#VALUE!</v>
      </c>
      <c r="AC290" s="185" t="str">
        <f aca="false">IF($A291="","",VLOOKUP($A290,Table,MATCH(AC$4,Curves,0)))</f>
        <v/>
      </c>
      <c r="AD290" s="185" t="str">
        <f aca="false">IF($A291="","",VLOOKUP($A290,Table,MATCH(AD$4,Curves,0)))</f>
        <v/>
      </c>
      <c r="AE290" s="185" t="e">
        <f aca="false">SQRT((AD290^2*(A290-$D$3)+AC290^2*(DAY(EOMONTH(A290,0))/2))/AK290)</f>
        <v>#VALUE!</v>
      </c>
      <c r="AF290" s="224" t="e">
        <f aca="false">((Summary!$N$10*(AA290*AD290)*(A290-$D$3))+(Summary!$M$10*Z290*AC290*(AJ290-EOMONTH(EDATE(A290,-1),0))))/(AK290*AB290*AE290)</f>
        <v>#VALUE!</v>
      </c>
      <c r="AG290" s="207" t="str">
        <f aca="false">IF($A291="","",Summary!$Q$10)</f>
        <v/>
      </c>
      <c r="AH290" s="207" t="str">
        <f aca="false">IF($A291="","",IF(Summary!$R$10="Y",(VLOOKUP($A290,Summary!$AD$6:$AF$9,3)+'Escalating commodity'!F303),'Escalating commodity'!F303))</f>
        <v/>
      </c>
      <c r="AI290" s="207" t="str">
        <f aca="false">IF($A291="","",AH290)</f>
        <v/>
      </c>
      <c r="AJ290" s="208" t="e">
        <f aca="false">A290+DAY(EOMONTH(A290,0))/2-1</f>
        <v>#VALUE!</v>
      </c>
      <c r="AK290" s="209" t="str">
        <f aca="false">IF($A291="","",$A290-$E$1)</f>
        <v/>
      </c>
      <c r="AL290" s="182" t="str">
        <f aca="false">IF($A291="","",SPRDOPT(P290,X290,AI290,0,AB290,AE290,AF290,AK290,$AJ$2,0))</f>
        <v/>
      </c>
      <c r="AM290" s="211" t="str">
        <f aca="false">IF($A291="","",MAX(0,O290-W290-AI290))</f>
        <v/>
      </c>
      <c r="AN290" s="211" t="str">
        <f aca="false">IF($A291="","",AL290-AM290)</f>
        <v/>
      </c>
      <c r="AO290" s="137" t="str">
        <f aca="false">IF(A291="","",A291-A290)</f>
        <v/>
      </c>
      <c r="AP290" s="212" t="str">
        <f aca="false">IF(A291="","",CHOOSE(F$3,A291+24,A290))</f>
        <v/>
      </c>
      <c r="AQ290" s="209" t="str">
        <f aca="false">IF(A291="","",AP290-$E$1)</f>
        <v/>
      </c>
      <c r="AR290" s="185" t="n">
        <f aca="false">'ANR OK vs ML7'!AR290</f>
        <v>0.1</v>
      </c>
      <c r="AS290" s="213" t="str">
        <f aca="false">IF(A291="","",1/(1+CHOOSE(F$3,(AR291+($I$3/10000))/2,(AR290+($I$3/10000))/2))^(2*AQ290/365.25))</f>
        <v/>
      </c>
      <c r="AT290" s="137" t="str">
        <f aca="false">IF(A291="","",IF(AND(mthbeg&lt;=A290,mthend&gt;=A290),1,0))</f>
        <v/>
      </c>
      <c r="AU290" s="137" t="str">
        <f aca="false">IF(A291="","",AO290*AT290)</f>
        <v/>
      </c>
      <c r="AW290" s="195" t="str">
        <f aca="false">IF($A291="","",AL290*$E290)</f>
        <v/>
      </c>
      <c r="AX290" s="195" t="str">
        <f aca="false">IF($A291="","",AM290*$E290)</f>
        <v/>
      </c>
      <c r="AY290" s="195" t="str">
        <f aca="false">IF($A291="","",AN290*$E290)</f>
        <v/>
      </c>
      <c r="BA290" s="195" t="str">
        <f aca="false">IF($A291="","",F290*Summary!$Q$10)</f>
        <v/>
      </c>
    </row>
    <row r="291" customFormat="false" ht="12" hidden="false" customHeight="true" outlineLevel="0" collapsed="false">
      <c r="A291" s="196" t="str">
        <f aca="false">IF(A290&lt;mthend,EDATE(A290,1),"")</f>
        <v/>
      </c>
      <c r="B291" s="197" t="str">
        <f aca="false">IF(A291&lt;mthend,B290,"")</f>
        <v/>
      </c>
      <c r="C291" s="215"/>
      <c r="D291" s="197" t="str">
        <f aca="false">IF(A292&lt;&gt;"",B291+C291,"")</f>
        <v/>
      </c>
      <c r="E291" s="199" t="str">
        <f aca="false">IF(A292="","",IF(AND(AT291=1,$H$3=1),D291*AO291,IF($H$3=2,D291,"N/A")))</f>
        <v/>
      </c>
      <c r="F291" s="199" t="str">
        <f aca="false">IF(A292="","",E291*AS291)</f>
        <v/>
      </c>
      <c r="G291" s="200" t="str">
        <f aca="false">IF($A292="","",VLOOKUP($A291,Table,MATCH(G$4,Curves,0)))</f>
        <v/>
      </c>
      <c r="H291" s="201" t="str">
        <f aca="false">IF(A292="","",G291)</f>
        <v/>
      </c>
      <c r="I291" s="202"/>
      <c r="J291" s="200" t="str">
        <f aca="false">IF($A292="","",VLOOKUP($A291,Table,MATCH(J$4,Curves,0)))</f>
        <v/>
      </c>
      <c r="K291" s="201" t="str">
        <f aca="false">IF(A292="","",J291)</f>
        <v/>
      </c>
      <c r="L291" s="185" t="n">
        <v>0</v>
      </c>
      <c r="M291" s="201" t="str">
        <f aca="false">IF(A292="","",L291)</f>
        <v/>
      </c>
      <c r="N291" s="203"/>
      <c r="O291" s="200" t="str">
        <f aca="false">IF(A292="","",L291+J291+G291)</f>
        <v/>
      </c>
      <c r="P291" s="200" t="str">
        <f aca="false">IF(A292="","",M291+K291+H291)</f>
        <v/>
      </c>
      <c r="Q291" s="204"/>
      <c r="R291" s="200" t="str">
        <f aca="false">IF($A292="","",VLOOKUP($A291,Table,MATCH(R$4,Curves,0)))</f>
        <v/>
      </c>
      <c r="S291" s="201" t="str">
        <f aca="false">IF(A292="","",R291)</f>
        <v/>
      </c>
      <c r="T291" s="200" t="str">
        <f aca="false">IF($A292="","",VLOOKUP($A291,Table,MATCH(T$4,Curves,0)))</f>
        <v/>
      </c>
      <c r="U291" s="201" t="str">
        <f aca="false">IF(A292="","",T291)</f>
        <v/>
      </c>
      <c r="V291" s="205" t="str">
        <f aca="false">IF($A292="","",IF(AND(MONTH(A291)&gt;3,MONTH(A291)&lt;11),(T291+R291+G291)*Summary!$T$10/(1-Summary!$T$10),(T291+R291+G291)*Summary!$U$10/(1-Summary!$U$10)))</f>
        <v/>
      </c>
      <c r="W291" s="200" t="str">
        <f aca="false">IF($A292="","",(T291+R291+G291+V291))</f>
        <v/>
      </c>
      <c r="X291" s="200" t="str">
        <f aca="false">IF($A292="","",(U291+S291+H291+V291))</f>
        <v/>
      </c>
      <c r="Y291" s="202"/>
      <c r="Z291" s="185" t="str">
        <f aca="false">IF($A292="","",VLOOKUP($A291,Table,MATCH(Z$4,Curves,0)))</f>
        <v/>
      </c>
      <c r="AA291" s="185" t="str">
        <f aca="false">IF($A292="","",VLOOKUP($A291,Table,MATCH(AA$4,Curves,0)))</f>
        <v/>
      </c>
      <c r="AB291" s="185" t="e">
        <f aca="false">SQRT((AA291^2*(A291-$D$3)+Z291^2*(DAY(EOMONTH(A291,0))/2))/AK291)</f>
        <v>#VALUE!</v>
      </c>
      <c r="AC291" s="185" t="str">
        <f aca="false">IF($A292="","",VLOOKUP($A291,Table,MATCH(AC$4,Curves,0)))</f>
        <v/>
      </c>
      <c r="AD291" s="185" t="str">
        <f aca="false">IF($A292="","",VLOOKUP($A291,Table,MATCH(AD$4,Curves,0)))</f>
        <v/>
      </c>
      <c r="AE291" s="185" t="e">
        <f aca="false">SQRT((AD291^2*(A291-$D$3)+AC291^2*(DAY(EOMONTH(A291,0))/2))/AK291)</f>
        <v>#VALUE!</v>
      </c>
      <c r="AF291" s="224" t="e">
        <f aca="false">((Summary!$N$10*(AA291*AD291)*(A291-$D$3))+(Summary!$M$10*Z291*AC291*(AJ291-EOMONTH(EDATE(A291,-1),0))))/(AK291*AB291*AE291)</f>
        <v>#VALUE!</v>
      </c>
      <c r="AG291" s="207" t="str">
        <f aca="false">IF($A292="","",Summary!$Q$10)</f>
        <v/>
      </c>
      <c r="AH291" s="207" t="str">
        <f aca="false">IF($A292="","",IF(Summary!$R$10="Y",(VLOOKUP($A291,Summary!$AD$6:$AF$9,3)+'Escalating commodity'!F304),'Escalating commodity'!F304))</f>
        <v/>
      </c>
      <c r="AI291" s="207" t="str">
        <f aca="false">IF($A292="","",AH291)</f>
        <v/>
      </c>
      <c r="AJ291" s="208" t="e">
        <f aca="false">A291+DAY(EOMONTH(A291,0))/2-1</f>
        <v>#VALUE!</v>
      </c>
      <c r="AK291" s="209" t="str">
        <f aca="false">IF($A292="","",$A291-$E$1)</f>
        <v/>
      </c>
      <c r="AL291" s="182" t="str">
        <f aca="false">IF($A292="","",SPRDOPT(P291,X291,AI291,0,AB291,AE291,AF291,AK291,$AJ$2,0))</f>
        <v/>
      </c>
      <c r="AM291" s="211" t="str">
        <f aca="false">IF($A292="","",MAX(0,O291-W291-AI291))</f>
        <v/>
      </c>
      <c r="AN291" s="211" t="str">
        <f aca="false">IF($A292="","",AL291-AM291)</f>
        <v/>
      </c>
      <c r="AO291" s="137" t="str">
        <f aca="false">IF(A292="","",A292-A291)</f>
        <v/>
      </c>
      <c r="AP291" s="212" t="str">
        <f aca="false">IF(A292="","",CHOOSE(F$3,A292+24,A291))</f>
        <v/>
      </c>
      <c r="AQ291" s="209" t="str">
        <f aca="false">IF(A292="","",AP291-$E$1)</f>
        <v/>
      </c>
      <c r="AR291" s="185" t="n">
        <f aca="false">'ANR OK vs ML7'!AR291</f>
        <v>0.1</v>
      </c>
      <c r="AS291" s="213" t="str">
        <f aca="false">IF(A292="","",1/(1+CHOOSE(F$3,(AR292+($I$3/10000))/2,(AR291+($I$3/10000))/2))^(2*AQ291/365.25))</f>
        <v/>
      </c>
      <c r="AT291" s="137" t="str">
        <f aca="false">IF(A292="","",IF(AND(mthbeg&lt;=A291,mthend&gt;=A291),1,0))</f>
        <v/>
      </c>
      <c r="AU291" s="137" t="str">
        <f aca="false">IF(A292="","",AO291*AT291)</f>
        <v/>
      </c>
      <c r="AW291" s="195" t="str">
        <f aca="false">IF($A292="","",AL291*$E291)</f>
        <v/>
      </c>
      <c r="AX291" s="195" t="str">
        <f aca="false">IF($A292="","",AM291*$E291)</f>
        <v/>
      </c>
      <c r="AY291" s="195" t="str">
        <f aca="false">IF($A292="","",AN291*$E291)</f>
        <v/>
      </c>
      <c r="BA291" s="195" t="str">
        <f aca="false">IF($A292="","",F291*Summary!$Q$10)</f>
        <v/>
      </c>
    </row>
    <row r="292" customFormat="false" ht="12" hidden="false" customHeight="true" outlineLevel="0" collapsed="false">
      <c r="A292" s="196" t="str">
        <f aca="false">IF(A291&lt;mthend,EDATE(A291,1),"")</f>
        <v/>
      </c>
      <c r="B292" s="197" t="str">
        <f aca="false">IF(A292&lt;mthend,B291,"")</f>
        <v/>
      </c>
      <c r="C292" s="215"/>
      <c r="D292" s="197" t="str">
        <f aca="false">IF(A293&lt;&gt;"",B292+C292,"")</f>
        <v/>
      </c>
      <c r="E292" s="199" t="str">
        <f aca="false">IF(A293="","",IF(AND(AT292=1,$H$3=1),D292*AO292,IF($H$3=2,D292,"N/A")))</f>
        <v/>
      </c>
      <c r="F292" s="199" t="str">
        <f aca="false">IF(A293="","",E292*AS292)</f>
        <v/>
      </c>
      <c r="G292" s="200" t="str">
        <f aca="false">IF($A293="","",VLOOKUP($A292,Table,MATCH(G$4,Curves,0)))</f>
        <v/>
      </c>
      <c r="H292" s="201" t="str">
        <f aca="false">IF(A293="","",G292)</f>
        <v/>
      </c>
      <c r="I292" s="202"/>
      <c r="J292" s="200" t="str">
        <f aca="false">IF($A293="","",VLOOKUP($A292,Table,MATCH(J$4,Curves,0)))</f>
        <v/>
      </c>
      <c r="K292" s="201" t="str">
        <f aca="false">IF(A293="","",J292)</f>
        <v/>
      </c>
      <c r="L292" s="185" t="n">
        <v>0</v>
      </c>
      <c r="M292" s="201" t="str">
        <f aca="false">IF(A293="","",L292)</f>
        <v/>
      </c>
      <c r="N292" s="203"/>
      <c r="O292" s="200" t="str">
        <f aca="false">IF(A293="","",L292+J292+G292)</f>
        <v/>
      </c>
      <c r="P292" s="200" t="str">
        <f aca="false">IF(A293="","",M292+K292+H292)</f>
        <v/>
      </c>
      <c r="Q292" s="204"/>
      <c r="R292" s="200" t="str">
        <f aca="false">IF($A293="","",VLOOKUP($A292,Table,MATCH(R$4,Curves,0)))</f>
        <v/>
      </c>
      <c r="S292" s="201" t="str">
        <f aca="false">IF(A293="","",R292)</f>
        <v/>
      </c>
      <c r="T292" s="200" t="str">
        <f aca="false">IF($A293="","",VLOOKUP($A292,Table,MATCH(T$4,Curves,0)))</f>
        <v/>
      </c>
      <c r="U292" s="201" t="str">
        <f aca="false">IF(A293="","",T292)</f>
        <v/>
      </c>
      <c r="V292" s="205" t="str">
        <f aca="false">IF($A293="","",IF(AND(MONTH(A292)&gt;3,MONTH(A292)&lt;11),(T292+R292+G292)*Summary!$T$10/(1-Summary!$T$10),(T292+R292+G292)*Summary!$U$10/(1-Summary!$U$10)))</f>
        <v/>
      </c>
      <c r="W292" s="200" t="str">
        <f aca="false">IF($A293="","",(T292+R292+G292+V292))</f>
        <v/>
      </c>
      <c r="X292" s="200" t="str">
        <f aca="false">IF($A293="","",(U292+S292+H292+V292))</f>
        <v/>
      </c>
      <c r="Y292" s="202"/>
      <c r="Z292" s="185" t="str">
        <f aca="false">IF($A293="","",VLOOKUP($A292,Table,MATCH(Z$4,Curves,0)))</f>
        <v/>
      </c>
      <c r="AA292" s="185" t="str">
        <f aca="false">IF($A293="","",VLOOKUP($A292,Table,MATCH(AA$4,Curves,0)))</f>
        <v/>
      </c>
      <c r="AB292" s="185" t="e">
        <f aca="false">SQRT((AA292^2*(A292-$D$3)+Z292^2*(DAY(EOMONTH(A292,0))/2))/AK292)</f>
        <v>#VALUE!</v>
      </c>
      <c r="AC292" s="185" t="str">
        <f aca="false">IF($A293="","",VLOOKUP($A292,Table,MATCH(AC$4,Curves,0)))</f>
        <v/>
      </c>
      <c r="AD292" s="185" t="str">
        <f aca="false">IF($A293="","",VLOOKUP($A292,Table,MATCH(AD$4,Curves,0)))</f>
        <v/>
      </c>
      <c r="AE292" s="185" t="e">
        <f aca="false">SQRT((AD292^2*(A292-$D$3)+AC292^2*(DAY(EOMONTH(A292,0))/2))/AK292)</f>
        <v>#VALUE!</v>
      </c>
      <c r="AF292" s="224" t="e">
        <f aca="false">((Summary!$N$10*(AA292*AD292)*(A292-$D$3))+(Summary!$M$10*Z292*AC292*(AJ292-EOMONTH(EDATE(A292,-1),0))))/(AK292*AB292*AE292)</f>
        <v>#VALUE!</v>
      </c>
      <c r="AG292" s="207" t="str">
        <f aca="false">IF($A293="","",Summary!$Q$10)</f>
        <v/>
      </c>
      <c r="AH292" s="207" t="str">
        <f aca="false">IF($A293="","",IF(Summary!$R$10="Y",(VLOOKUP($A292,Summary!$AD$6:$AF$9,3)+'Escalating commodity'!F305),'Escalating commodity'!F305))</f>
        <v/>
      </c>
      <c r="AI292" s="207" t="str">
        <f aca="false">IF($A293="","",AH292)</f>
        <v/>
      </c>
      <c r="AJ292" s="208" t="e">
        <f aca="false">A292+DAY(EOMONTH(A292,0))/2-1</f>
        <v>#VALUE!</v>
      </c>
      <c r="AK292" s="209" t="str">
        <f aca="false">IF($A293="","",$A292-$E$1)</f>
        <v/>
      </c>
      <c r="AL292" s="182" t="str">
        <f aca="false">IF($A293="","",SPRDOPT(P292,X292,AI292,0,AB292,AE292,AF292,AK292,$AJ$2,0))</f>
        <v/>
      </c>
      <c r="AM292" s="211" t="str">
        <f aca="false">IF($A293="","",MAX(0,O292-W292-AI292))</f>
        <v/>
      </c>
      <c r="AN292" s="211" t="str">
        <f aca="false">IF($A293="","",AL292-AM292)</f>
        <v/>
      </c>
      <c r="AO292" s="137" t="str">
        <f aca="false">IF(A293="","",A293-A292)</f>
        <v/>
      </c>
      <c r="AP292" s="212" t="str">
        <f aca="false">IF(A293="","",CHOOSE(F$3,A293+24,A292))</f>
        <v/>
      </c>
      <c r="AQ292" s="209" t="str">
        <f aca="false">IF(A293="","",AP292-$E$1)</f>
        <v/>
      </c>
      <c r="AR292" s="185" t="n">
        <f aca="false">'ANR OK vs ML7'!AR292</f>
        <v>0.1</v>
      </c>
      <c r="AS292" s="213" t="str">
        <f aca="false">IF(A293="","",1/(1+CHOOSE(F$3,(AR293+($I$3/10000))/2,(AR292+($I$3/10000))/2))^(2*AQ292/365.25))</f>
        <v/>
      </c>
      <c r="AT292" s="137" t="str">
        <f aca="false">IF(A293="","",IF(AND(mthbeg&lt;=A292,mthend&gt;=A292),1,0))</f>
        <v/>
      </c>
      <c r="AU292" s="137" t="str">
        <f aca="false">IF(A293="","",AO292*AT292)</f>
        <v/>
      </c>
      <c r="AW292" s="195" t="str">
        <f aca="false">IF($A293="","",AL292*$E292)</f>
        <v/>
      </c>
      <c r="AX292" s="195" t="str">
        <f aca="false">IF($A293="","",AM292*$E292)</f>
        <v/>
      </c>
      <c r="AY292" s="195" t="str">
        <f aca="false">IF($A293="","",AN292*$E292)</f>
        <v/>
      </c>
      <c r="BA292" s="195" t="str">
        <f aca="false">IF($A293="","",F292*Summary!$Q$10)</f>
        <v/>
      </c>
    </row>
    <row r="293" customFormat="false" ht="12" hidden="false" customHeight="true" outlineLevel="0" collapsed="false">
      <c r="A293" s="196" t="str">
        <f aca="false">IF(A292&lt;mthend,EDATE(A292,1),"")</f>
        <v/>
      </c>
      <c r="B293" s="197" t="str">
        <f aca="false">IF(A293&lt;mthend,B292,"")</f>
        <v/>
      </c>
      <c r="C293" s="215"/>
      <c r="D293" s="197" t="str">
        <f aca="false">IF(A294&lt;&gt;"",B293+C293,"")</f>
        <v/>
      </c>
      <c r="E293" s="199" t="str">
        <f aca="false">IF(A294="","",IF(AND(AT293=1,$H$3=1),D293*AO293,IF($H$3=2,D293,"N/A")))</f>
        <v/>
      </c>
      <c r="F293" s="199" t="str">
        <f aca="false">IF(A294="","",E293*AS293)</f>
        <v/>
      </c>
      <c r="G293" s="200" t="str">
        <f aca="false">IF($A294="","",VLOOKUP($A293,Table,MATCH(G$4,Curves,0)))</f>
        <v/>
      </c>
      <c r="H293" s="201" t="str">
        <f aca="false">IF(A294="","",G293)</f>
        <v/>
      </c>
      <c r="I293" s="202"/>
      <c r="J293" s="200" t="str">
        <f aca="false">IF($A294="","",VLOOKUP($A293,Table,MATCH(J$4,Curves,0)))</f>
        <v/>
      </c>
      <c r="K293" s="201" t="str">
        <f aca="false">IF(A294="","",J293)</f>
        <v/>
      </c>
      <c r="L293" s="185" t="n">
        <v>0</v>
      </c>
      <c r="M293" s="201" t="str">
        <f aca="false">IF(A294="","",L293)</f>
        <v/>
      </c>
      <c r="N293" s="203"/>
      <c r="O293" s="200" t="str">
        <f aca="false">IF(A294="","",L293+J293+G293)</f>
        <v/>
      </c>
      <c r="P293" s="200" t="str">
        <f aca="false">IF(A294="","",M293+K293+H293)</f>
        <v/>
      </c>
      <c r="Q293" s="204"/>
      <c r="R293" s="200" t="str">
        <f aca="false">IF($A294="","",VLOOKUP($A293,Table,MATCH(R$4,Curves,0)))</f>
        <v/>
      </c>
      <c r="S293" s="201" t="str">
        <f aca="false">IF(A294="","",R293)</f>
        <v/>
      </c>
      <c r="T293" s="200" t="str">
        <f aca="false">IF($A294="","",VLOOKUP($A293,Table,MATCH(T$4,Curves,0)))</f>
        <v/>
      </c>
      <c r="U293" s="201" t="str">
        <f aca="false">IF(A294="","",T293)</f>
        <v/>
      </c>
      <c r="V293" s="205" t="str">
        <f aca="false">IF($A294="","",IF(AND(MONTH(A293)&gt;3,MONTH(A293)&lt;11),(T293+R293+G293)*Summary!$T$10/(1-Summary!$T$10),(T293+R293+G293)*Summary!$U$10/(1-Summary!$U$10)))</f>
        <v/>
      </c>
      <c r="W293" s="200" t="str">
        <f aca="false">IF($A294="","",(T293+R293+G293+V293))</f>
        <v/>
      </c>
      <c r="X293" s="200" t="str">
        <f aca="false">IF($A294="","",(U293+S293+H293+V293))</f>
        <v/>
      </c>
      <c r="Y293" s="202"/>
      <c r="Z293" s="185" t="str">
        <f aca="false">IF($A294="","",VLOOKUP($A293,Table,MATCH(Z$4,Curves,0)))</f>
        <v/>
      </c>
      <c r="AA293" s="185" t="str">
        <f aca="false">IF($A294="","",VLOOKUP($A293,Table,MATCH(AA$4,Curves,0)))</f>
        <v/>
      </c>
      <c r="AB293" s="185" t="e">
        <f aca="false">SQRT((AA293^2*(A293-$D$3)+Z293^2*(DAY(EOMONTH(A293,0))/2))/AK293)</f>
        <v>#VALUE!</v>
      </c>
      <c r="AC293" s="185" t="str">
        <f aca="false">IF($A294="","",VLOOKUP($A293,Table,MATCH(AC$4,Curves,0)))</f>
        <v/>
      </c>
      <c r="AD293" s="185" t="str">
        <f aca="false">IF($A294="","",VLOOKUP($A293,Table,MATCH(AD$4,Curves,0)))</f>
        <v/>
      </c>
      <c r="AE293" s="185" t="e">
        <f aca="false">SQRT((AD293^2*(A293-$D$3)+AC293^2*(DAY(EOMONTH(A293,0))/2))/AK293)</f>
        <v>#VALUE!</v>
      </c>
      <c r="AF293" s="224" t="e">
        <f aca="false">((Summary!$N$10*(AA293*AD293)*(A293-$D$3))+(Summary!$M$10*Z293*AC293*(AJ293-EOMONTH(EDATE(A293,-1),0))))/(AK293*AB293*AE293)</f>
        <v>#VALUE!</v>
      </c>
      <c r="AG293" s="207" t="str">
        <f aca="false">IF($A294="","",Summary!$Q$10)</f>
        <v/>
      </c>
      <c r="AH293" s="207" t="str">
        <f aca="false">IF($A294="","",IF(Summary!$R$10="Y",(VLOOKUP($A293,Summary!$AD$6:$AF$9,3)+'Escalating commodity'!F306),'Escalating commodity'!F306))</f>
        <v/>
      </c>
      <c r="AI293" s="207" t="str">
        <f aca="false">IF($A294="","",AH293)</f>
        <v/>
      </c>
      <c r="AJ293" s="208" t="e">
        <f aca="false">A293+DAY(EOMONTH(A293,0))/2-1</f>
        <v>#VALUE!</v>
      </c>
      <c r="AK293" s="209" t="str">
        <f aca="false">IF($A294="","",$A293-$E$1)</f>
        <v/>
      </c>
      <c r="AL293" s="182" t="str">
        <f aca="false">IF($A294="","",SPRDOPT(P293,X293,AI293,0,AB293,AE293,AF293,AK293,$AJ$2,0))</f>
        <v/>
      </c>
      <c r="AM293" s="211" t="str">
        <f aca="false">IF($A294="","",MAX(0,O293-W293-AI293))</f>
        <v/>
      </c>
      <c r="AN293" s="211" t="str">
        <f aca="false">IF($A294="","",AL293-AM293)</f>
        <v/>
      </c>
      <c r="AO293" s="137" t="str">
        <f aca="false">IF(A294="","",A294-A293)</f>
        <v/>
      </c>
      <c r="AP293" s="212" t="str">
        <f aca="false">IF(A294="","",CHOOSE(F$3,A294+24,A293))</f>
        <v/>
      </c>
      <c r="AQ293" s="209" t="str">
        <f aca="false">IF(A294="","",AP293-$E$1)</f>
        <v/>
      </c>
      <c r="AR293" s="185" t="n">
        <f aca="false">'ANR OK vs ML7'!AR293</f>
        <v>0.1</v>
      </c>
      <c r="AS293" s="213" t="str">
        <f aca="false">IF(A294="","",1/(1+CHOOSE(F$3,(AR294+($I$3/10000))/2,(AR293+($I$3/10000))/2))^(2*AQ293/365.25))</f>
        <v/>
      </c>
      <c r="AT293" s="137" t="str">
        <f aca="false">IF(A294="","",IF(AND(mthbeg&lt;=A293,mthend&gt;=A293),1,0))</f>
        <v/>
      </c>
      <c r="AU293" s="137" t="str">
        <f aca="false">IF(A294="","",AO293*AT293)</f>
        <v/>
      </c>
      <c r="AW293" s="195" t="str">
        <f aca="false">IF($A294="","",AL293*$E293)</f>
        <v/>
      </c>
      <c r="AX293" s="195" t="str">
        <f aca="false">IF($A294="","",AM293*$E293)</f>
        <v/>
      </c>
      <c r="AY293" s="195" t="str">
        <f aca="false">IF($A294="","",AN293*$E293)</f>
        <v/>
      </c>
      <c r="BA293" s="195" t="str">
        <f aca="false">IF($A294="","",F293*Summary!$Q$10)</f>
        <v/>
      </c>
    </row>
    <row r="294" customFormat="false" ht="12" hidden="false" customHeight="true" outlineLevel="0" collapsed="false">
      <c r="A294" s="196" t="str">
        <f aca="false">IF(A293&lt;mthend,EDATE(A293,1),"")</f>
        <v/>
      </c>
      <c r="B294" s="197" t="str">
        <f aca="false">IF(A294&lt;mthend,B293,"")</f>
        <v/>
      </c>
      <c r="C294" s="215"/>
      <c r="D294" s="197" t="str">
        <f aca="false">IF(A295&lt;&gt;"",B294+C294,"")</f>
        <v/>
      </c>
      <c r="E294" s="199" t="str">
        <f aca="false">IF(A295="","",IF(AND(AT294=1,$H$3=1),D294*AO294,IF($H$3=2,D294,"N/A")))</f>
        <v/>
      </c>
      <c r="F294" s="199" t="str">
        <f aca="false">IF(A295="","",E294*AS294)</f>
        <v/>
      </c>
      <c r="G294" s="200" t="str">
        <f aca="false">IF($A295="","",VLOOKUP($A294,Table,MATCH(G$4,Curves,0)))</f>
        <v/>
      </c>
      <c r="H294" s="201" t="str">
        <f aca="false">IF(A295="","",G294)</f>
        <v/>
      </c>
      <c r="I294" s="202"/>
      <c r="J294" s="200" t="str">
        <f aca="false">IF($A295="","",VLOOKUP($A294,Table,MATCH(J$4,Curves,0)))</f>
        <v/>
      </c>
      <c r="K294" s="201" t="str">
        <f aca="false">IF(A295="","",J294)</f>
        <v/>
      </c>
      <c r="L294" s="185" t="n">
        <v>0</v>
      </c>
      <c r="M294" s="201" t="str">
        <f aca="false">IF(A295="","",L294)</f>
        <v/>
      </c>
      <c r="N294" s="203"/>
      <c r="O294" s="200" t="str">
        <f aca="false">IF(A295="","",L294+J294+G294)</f>
        <v/>
      </c>
      <c r="P294" s="200" t="str">
        <f aca="false">IF(A295="","",M294+K294+H294)</f>
        <v/>
      </c>
      <c r="Q294" s="204"/>
      <c r="R294" s="200" t="str">
        <f aca="false">IF($A295="","",VLOOKUP($A294,Table,MATCH(R$4,Curves,0)))</f>
        <v/>
      </c>
      <c r="S294" s="201" t="str">
        <f aca="false">IF(A295="","",R294)</f>
        <v/>
      </c>
      <c r="T294" s="200" t="str">
        <f aca="false">IF($A295="","",VLOOKUP($A294,Table,MATCH(T$4,Curves,0)))</f>
        <v/>
      </c>
      <c r="U294" s="201" t="str">
        <f aca="false">IF(A295="","",T294)</f>
        <v/>
      </c>
      <c r="V294" s="205" t="str">
        <f aca="false">IF($A295="","",IF(AND(MONTH(A294)&gt;3,MONTH(A294)&lt;11),(T294+R294+G294)*Summary!$T$10/(1-Summary!$T$10),(T294+R294+G294)*Summary!$U$10/(1-Summary!$U$10)))</f>
        <v/>
      </c>
      <c r="W294" s="200" t="str">
        <f aca="false">IF($A295="","",(T294+R294+G294+V294))</f>
        <v/>
      </c>
      <c r="X294" s="200" t="str">
        <f aca="false">IF($A295="","",(U294+S294+H294+V294))</f>
        <v/>
      </c>
      <c r="Y294" s="202"/>
      <c r="Z294" s="185" t="str">
        <f aca="false">IF($A295="","",VLOOKUP($A294,Table,MATCH(Z$4,Curves,0)))</f>
        <v/>
      </c>
      <c r="AA294" s="185" t="str">
        <f aca="false">IF($A295="","",VLOOKUP($A294,Table,MATCH(AA$4,Curves,0)))</f>
        <v/>
      </c>
      <c r="AB294" s="185" t="e">
        <f aca="false">SQRT((AA294^2*(A294-$D$3)+Z294^2*(DAY(EOMONTH(A294,0))/2))/AK294)</f>
        <v>#VALUE!</v>
      </c>
      <c r="AC294" s="185" t="str">
        <f aca="false">IF($A295="","",VLOOKUP($A294,Table,MATCH(AC$4,Curves,0)))</f>
        <v/>
      </c>
      <c r="AD294" s="185" t="str">
        <f aca="false">IF($A295="","",VLOOKUP($A294,Table,MATCH(AD$4,Curves,0)))</f>
        <v/>
      </c>
      <c r="AE294" s="185" t="e">
        <f aca="false">SQRT((AD294^2*(A294-$D$3)+AC294^2*(DAY(EOMONTH(A294,0))/2))/AK294)</f>
        <v>#VALUE!</v>
      </c>
      <c r="AF294" s="224" t="e">
        <f aca="false">((Summary!$N$10*(AA294*AD294)*(A294-$D$3))+(Summary!$M$10*Z294*AC294*(AJ294-EOMONTH(EDATE(A294,-1),0))))/(AK294*AB294*AE294)</f>
        <v>#VALUE!</v>
      </c>
      <c r="AG294" s="207" t="str">
        <f aca="false">IF($A295="","",Summary!$Q$10)</f>
        <v/>
      </c>
      <c r="AH294" s="207" t="str">
        <f aca="false">IF($A295="","",IF(Summary!$R$10="Y",(VLOOKUP($A294,Summary!$AD$6:$AF$9,3)+'Escalating commodity'!F307),'Escalating commodity'!F307))</f>
        <v/>
      </c>
      <c r="AI294" s="207" t="str">
        <f aca="false">IF($A295="","",AH294)</f>
        <v/>
      </c>
      <c r="AJ294" s="208" t="e">
        <f aca="false">A294+DAY(EOMONTH(A294,0))/2-1</f>
        <v>#VALUE!</v>
      </c>
      <c r="AK294" s="209" t="str">
        <f aca="false">IF($A295="","",$A294-$E$1)</f>
        <v/>
      </c>
      <c r="AL294" s="182" t="str">
        <f aca="false">IF($A295="","",SPRDOPT(P294,X294,AI294,0,AB294,AE294,AF294,AK294,$AJ$2,0))</f>
        <v/>
      </c>
      <c r="AM294" s="211" t="str">
        <f aca="false">IF($A295="","",MAX(0,O294-W294-AI294))</f>
        <v/>
      </c>
      <c r="AN294" s="211" t="str">
        <f aca="false">IF($A295="","",AL294-AM294)</f>
        <v/>
      </c>
      <c r="AO294" s="137" t="str">
        <f aca="false">IF(A295="","",A295-A294)</f>
        <v/>
      </c>
      <c r="AP294" s="212" t="str">
        <f aca="false">IF(A295="","",CHOOSE(F$3,A295+24,A294))</f>
        <v/>
      </c>
      <c r="AQ294" s="209" t="str">
        <f aca="false">IF(A295="","",AP294-$E$1)</f>
        <v/>
      </c>
      <c r="AR294" s="185" t="n">
        <f aca="false">'ANR OK vs ML7'!AR294</f>
        <v>0.1</v>
      </c>
      <c r="AS294" s="213" t="str">
        <f aca="false">IF(A295="","",1/(1+CHOOSE(F$3,(AR295+($I$3/10000))/2,(AR294+($I$3/10000))/2))^(2*AQ294/365.25))</f>
        <v/>
      </c>
      <c r="AT294" s="137" t="str">
        <f aca="false">IF(A295="","",IF(AND(mthbeg&lt;=A294,mthend&gt;=A294),1,0))</f>
        <v/>
      </c>
      <c r="AU294" s="137" t="str">
        <f aca="false">IF(A295="","",AO294*AT294)</f>
        <v/>
      </c>
      <c r="AW294" s="195" t="str">
        <f aca="false">IF($A295="","",AL294*$E294)</f>
        <v/>
      </c>
      <c r="AX294" s="195" t="str">
        <f aca="false">IF($A295="","",AM294*$E294)</f>
        <v/>
      </c>
      <c r="AY294" s="195" t="str">
        <f aca="false">IF($A295="","",AN294*$E294)</f>
        <v/>
      </c>
      <c r="BA294" s="195" t="str">
        <f aca="false">IF($A295="","",F294*Summary!$Q$10)</f>
        <v/>
      </c>
    </row>
    <row r="295" customFormat="false" ht="12" hidden="false" customHeight="true" outlineLevel="0" collapsed="false">
      <c r="A295" s="196" t="str">
        <f aca="false">IF(A294&lt;mthend,EDATE(A294,1),"")</f>
        <v/>
      </c>
      <c r="B295" s="197" t="str">
        <f aca="false">IF(A295&lt;mthend,B294,"")</f>
        <v/>
      </c>
      <c r="C295" s="215"/>
      <c r="D295" s="197" t="str">
        <f aca="false">IF(A296&lt;&gt;"",B295+C295,"")</f>
        <v/>
      </c>
      <c r="E295" s="199" t="str">
        <f aca="false">IF(A296="","",IF(AND(AT295=1,$H$3=1),D295*AO295,IF($H$3=2,D295,"N/A")))</f>
        <v/>
      </c>
      <c r="F295" s="199" t="str">
        <f aca="false">IF(A296="","",E295*AS295)</f>
        <v/>
      </c>
      <c r="G295" s="200" t="str">
        <f aca="false">IF($A296="","",VLOOKUP($A295,Table,MATCH(G$4,Curves,0)))</f>
        <v/>
      </c>
      <c r="H295" s="201" t="str">
        <f aca="false">IF(A296="","",G295)</f>
        <v/>
      </c>
      <c r="I295" s="202"/>
      <c r="J295" s="200" t="str">
        <f aca="false">IF($A296="","",VLOOKUP($A295,Table,MATCH(J$4,Curves,0)))</f>
        <v/>
      </c>
      <c r="K295" s="201" t="str">
        <f aca="false">IF(A296="","",J295)</f>
        <v/>
      </c>
      <c r="L295" s="185" t="n">
        <v>0</v>
      </c>
      <c r="M295" s="201" t="str">
        <f aca="false">IF(A296="","",L295)</f>
        <v/>
      </c>
      <c r="N295" s="203"/>
      <c r="O295" s="200" t="str">
        <f aca="false">IF(A296="","",L295+J295+G295)</f>
        <v/>
      </c>
      <c r="P295" s="200" t="str">
        <f aca="false">IF(A296="","",M295+K295+H295)</f>
        <v/>
      </c>
      <c r="Q295" s="204"/>
      <c r="R295" s="200" t="str">
        <f aca="false">IF($A296="","",VLOOKUP($A295,Table,MATCH(R$4,Curves,0)))</f>
        <v/>
      </c>
      <c r="S295" s="201" t="str">
        <f aca="false">IF(A296="","",R295)</f>
        <v/>
      </c>
      <c r="T295" s="200" t="str">
        <f aca="false">IF($A296="","",VLOOKUP($A295,Table,MATCH(T$4,Curves,0)))</f>
        <v/>
      </c>
      <c r="U295" s="201" t="str">
        <f aca="false">IF(A296="","",T295)</f>
        <v/>
      </c>
      <c r="V295" s="205" t="str">
        <f aca="false">IF($A296="","",IF(AND(MONTH(A295)&gt;3,MONTH(A295)&lt;11),(T295+R295+G295)*Summary!$T$10/(1-Summary!$T$10),(T295+R295+G295)*Summary!$U$10/(1-Summary!$U$10)))</f>
        <v/>
      </c>
      <c r="W295" s="200" t="str">
        <f aca="false">IF($A296="","",(T295+R295+G295+V295))</f>
        <v/>
      </c>
      <c r="X295" s="200" t="str">
        <f aca="false">IF($A296="","",(U295+S295+H295+V295))</f>
        <v/>
      </c>
      <c r="Y295" s="202"/>
      <c r="Z295" s="185" t="str">
        <f aca="false">IF($A296="","",VLOOKUP($A295,Table,MATCH(Z$4,Curves,0)))</f>
        <v/>
      </c>
      <c r="AA295" s="185" t="str">
        <f aca="false">IF($A296="","",VLOOKUP($A295,Table,MATCH(AA$4,Curves,0)))</f>
        <v/>
      </c>
      <c r="AB295" s="185" t="e">
        <f aca="false">SQRT((AA295^2*(A295-$D$3)+Z295^2*(DAY(EOMONTH(A295,0))/2))/AK295)</f>
        <v>#VALUE!</v>
      </c>
      <c r="AC295" s="185" t="str">
        <f aca="false">IF($A296="","",VLOOKUP($A295,Table,MATCH(AC$4,Curves,0)))</f>
        <v/>
      </c>
      <c r="AD295" s="185" t="str">
        <f aca="false">IF($A296="","",VLOOKUP($A295,Table,MATCH(AD$4,Curves,0)))</f>
        <v/>
      </c>
      <c r="AE295" s="185" t="e">
        <f aca="false">SQRT((AD295^2*(A295-$D$3)+AC295^2*(DAY(EOMONTH(A295,0))/2))/AK295)</f>
        <v>#VALUE!</v>
      </c>
      <c r="AF295" s="224" t="e">
        <f aca="false">((Summary!$N$10*(AA295*AD295)*(A295-$D$3))+(Summary!$M$10*Z295*AC295*(AJ295-EOMONTH(EDATE(A295,-1),0))))/(AK295*AB295*AE295)</f>
        <v>#VALUE!</v>
      </c>
      <c r="AG295" s="207" t="str">
        <f aca="false">IF($A296="","",Summary!$Q$10)</f>
        <v/>
      </c>
      <c r="AH295" s="207" t="str">
        <f aca="false">IF($A296="","",IF(Summary!$R$10="Y",(VLOOKUP($A295,Summary!$AD$6:$AF$9,3)+'Escalating commodity'!F308),'Escalating commodity'!F308))</f>
        <v/>
      </c>
      <c r="AI295" s="207" t="str">
        <f aca="false">IF($A296="","",AH295)</f>
        <v/>
      </c>
      <c r="AJ295" s="208" t="e">
        <f aca="false">A295+DAY(EOMONTH(A295,0))/2-1</f>
        <v>#VALUE!</v>
      </c>
      <c r="AK295" s="209" t="str">
        <f aca="false">IF($A296="","",$A295-$E$1)</f>
        <v/>
      </c>
      <c r="AL295" s="182" t="str">
        <f aca="false">IF($A296="","",SPRDOPT(P295,X295,AI295,0,AB295,AE295,AF295,AK295,$AJ$2,0))</f>
        <v/>
      </c>
      <c r="AM295" s="211" t="str">
        <f aca="false">IF($A296="","",MAX(0,O295-W295-AI295))</f>
        <v/>
      </c>
      <c r="AN295" s="211" t="str">
        <f aca="false">IF($A296="","",AL295-AM295)</f>
        <v/>
      </c>
      <c r="AO295" s="137" t="str">
        <f aca="false">IF(A296="","",A296-A295)</f>
        <v/>
      </c>
      <c r="AP295" s="212" t="str">
        <f aca="false">IF(A296="","",CHOOSE(F$3,A296+24,A295))</f>
        <v/>
      </c>
      <c r="AQ295" s="209" t="str">
        <f aca="false">IF(A296="","",AP295-$E$1)</f>
        <v/>
      </c>
      <c r="AR295" s="185" t="n">
        <f aca="false">'ANR OK vs ML7'!AR295</f>
        <v>0.1</v>
      </c>
      <c r="AS295" s="213" t="str">
        <f aca="false">IF(A296="","",1/(1+CHOOSE(F$3,(AR296+($I$3/10000))/2,(AR295+($I$3/10000))/2))^(2*AQ295/365.25))</f>
        <v/>
      </c>
      <c r="AT295" s="137" t="str">
        <f aca="false">IF(A296="","",IF(AND(mthbeg&lt;=A295,mthend&gt;=A295),1,0))</f>
        <v/>
      </c>
      <c r="AU295" s="137" t="str">
        <f aca="false">IF(A296="","",AO295*AT295)</f>
        <v/>
      </c>
      <c r="AW295" s="195" t="str">
        <f aca="false">IF($A296="","",AL295*$E295)</f>
        <v/>
      </c>
      <c r="AX295" s="195" t="str">
        <f aca="false">IF($A296="","",AM295*$E295)</f>
        <v/>
      </c>
      <c r="AY295" s="195" t="str">
        <f aca="false">IF($A296="","",AN295*$E295)</f>
        <v/>
      </c>
      <c r="BA295" s="195" t="str">
        <f aca="false">IF($A296="","",F295*Summary!$Q$10)</f>
        <v/>
      </c>
    </row>
    <row r="296" customFormat="false" ht="12" hidden="false" customHeight="true" outlineLevel="0" collapsed="false">
      <c r="A296" s="196" t="str">
        <f aca="false">IF(A295&lt;mthend,EDATE(A295,1),"")</f>
        <v/>
      </c>
      <c r="B296" s="197" t="str">
        <f aca="false">IF(A296&lt;mthend,B295,"")</f>
        <v/>
      </c>
      <c r="C296" s="215"/>
      <c r="D296" s="197" t="str">
        <f aca="false">IF(A297&lt;&gt;"",B296+C296,"")</f>
        <v/>
      </c>
      <c r="E296" s="199" t="str">
        <f aca="false">IF(A297="","",IF(AND(AT296=1,$H$3=1),D296*AO296,IF($H$3=2,D296,"N/A")))</f>
        <v/>
      </c>
      <c r="F296" s="199" t="str">
        <f aca="false">IF(A297="","",E296*AS296)</f>
        <v/>
      </c>
      <c r="G296" s="200" t="str">
        <f aca="false">IF($A297="","",VLOOKUP($A296,Table,MATCH(G$4,Curves,0)))</f>
        <v/>
      </c>
      <c r="H296" s="201" t="str">
        <f aca="false">IF(A297="","",G296)</f>
        <v/>
      </c>
      <c r="I296" s="202"/>
      <c r="J296" s="200" t="str">
        <f aca="false">IF($A297="","",VLOOKUP($A296,Table,MATCH(J$4,Curves,0)))</f>
        <v/>
      </c>
      <c r="K296" s="201" t="str">
        <f aca="false">IF(A297="","",J296)</f>
        <v/>
      </c>
      <c r="L296" s="185" t="n">
        <v>0</v>
      </c>
      <c r="M296" s="201" t="str">
        <f aca="false">IF(A297="","",L296)</f>
        <v/>
      </c>
      <c r="N296" s="203"/>
      <c r="O296" s="200" t="str">
        <f aca="false">IF(A297="","",L296+J296+G296)</f>
        <v/>
      </c>
      <c r="P296" s="200" t="str">
        <f aca="false">IF(A297="","",M296+K296+H296)</f>
        <v/>
      </c>
      <c r="Q296" s="204"/>
      <c r="R296" s="200" t="str">
        <f aca="false">IF($A297="","",VLOOKUP($A296,Table,MATCH(R$4,Curves,0)))</f>
        <v/>
      </c>
      <c r="S296" s="201" t="str">
        <f aca="false">IF(A297="","",R296)</f>
        <v/>
      </c>
      <c r="T296" s="200" t="str">
        <f aca="false">IF($A297="","",VLOOKUP($A296,Table,MATCH(T$4,Curves,0)))</f>
        <v/>
      </c>
      <c r="U296" s="201" t="str">
        <f aca="false">IF(A297="","",T296)</f>
        <v/>
      </c>
      <c r="V296" s="205" t="str">
        <f aca="false">IF($A297="","",IF(AND(MONTH(A296)&gt;3,MONTH(A296)&lt;11),(T296+R296+G296)*Summary!$T$10/(1-Summary!$T$10),(T296+R296+G296)*Summary!$U$10/(1-Summary!$U$10)))</f>
        <v/>
      </c>
      <c r="W296" s="200" t="str">
        <f aca="false">IF($A297="","",(T296+R296+G296+V296))</f>
        <v/>
      </c>
      <c r="X296" s="200" t="str">
        <f aca="false">IF($A297="","",(U296+S296+H296+V296))</f>
        <v/>
      </c>
      <c r="Y296" s="202"/>
      <c r="Z296" s="185" t="str">
        <f aca="false">IF($A297="","",VLOOKUP($A296,Table,MATCH(Z$4,Curves,0)))</f>
        <v/>
      </c>
      <c r="AA296" s="185" t="str">
        <f aca="false">IF($A297="","",VLOOKUP($A296,Table,MATCH(AA$4,Curves,0)))</f>
        <v/>
      </c>
      <c r="AB296" s="185" t="e">
        <f aca="false">SQRT((AA296^2*(A296-$D$3)+Z296^2*(DAY(EOMONTH(A296,0))/2))/AK296)</f>
        <v>#VALUE!</v>
      </c>
      <c r="AC296" s="185" t="str">
        <f aca="false">IF($A297="","",VLOOKUP($A296,Table,MATCH(AC$4,Curves,0)))</f>
        <v/>
      </c>
      <c r="AD296" s="185" t="str">
        <f aca="false">IF($A297="","",VLOOKUP($A296,Table,MATCH(AD$4,Curves,0)))</f>
        <v/>
      </c>
      <c r="AE296" s="185" t="e">
        <f aca="false">SQRT((AD296^2*(A296-$D$3)+AC296^2*(DAY(EOMONTH(A296,0))/2))/AK296)</f>
        <v>#VALUE!</v>
      </c>
      <c r="AF296" s="224" t="e">
        <f aca="false">((Summary!$N$10*(AA296*AD296)*(A296-$D$3))+(Summary!$M$10*Z296*AC296*(AJ296-EOMONTH(EDATE(A296,-1),0))))/(AK296*AB296*AE296)</f>
        <v>#VALUE!</v>
      </c>
      <c r="AG296" s="207" t="str">
        <f aca="false">IF($A297="","",Summary!$Q$10)</f>
        <v/>
      </c>
      <c r="AH296" s="207" t="str">
        <f aca="false">IF($A297="","",IF(Summary!$R$10="Y",(VLOOKUP($A296,Summary!$AD$6:$AF$9,3)+'Escalating commodity'!F309),'Escalating commodity'!F309))</f>
        <v/>
      </c>
      <c r="AI296" s="207" t="str">
        <f aca="false">IF($A297="","",AH296)</f>
        <v/>
      </c>
      <c r="AJ296" s="208" t="e">
        <f aca="false">A296+DAY(EOMONTH(A296,0))/2-1</f>
        <v>#VALUE!</v>
      </c>
      <c r="AK296" s="209" t="str">
        <f aca="false">IF($A297="","",$A296-$E$1)</f>
        <v/>
      </c>
      <c r="AL296" s="182" t="str">
        <f aca="false">IF($A297="","",SPRDOPT(P296,X296,AI296,0,AB296,AE296,AF296,AK296,$AJ$2,0))</f>
        <v/>
      </c>
      <c r="AM296" s="211" t="str">
        <f aca="false">IF($A297="","",MAX(0,O296-W296-AI296))</f>
        <v/>
      </c>
      <c r="AN296" s="211" t="str">
        <f aca="false">IF($A297="","",AL296-AM296)</f>
        <v/>
      </c>
      <c r="AO296" s="137" t="str">
        <f aca="false">IF(A297="","",A297-A296)</f>
        <v/>
      </c>
      <c r="AP296" s="212" t="str">
        <f aca="false">IF(A297="","",CHOOSE(F$3,A297+24,A296))</f>
        <v/>
      </c>
      <c r="AQ296" s="209" t="str">
        <f aca="false">IF(A297="","",AP296-$E$1)</f>
        <v/>
      </c>
      <c r="AR296" s="185" t="n">
        <f aca="false">'ANR OK vs ML7'!AR296</f>
        <v>0.1</v>
      </c>
      <c r="AS296" s="213" t="str">
        <f aca="false">IF(A297="","",1/(1+CHOOSE(F$3,(AR297+($I$3/10000))/2,(AR296+($I$3/10000))/2))^(2*AQ296/365.25))</f>
        <v/>
      </c>
      <c r="AT296" s="137" t="str">
        <f aca="false">IF(A297="","",IF(AND(mthbeg&lt;=A296,mthend&gt;=A296),1,0))</f>
        <v/>
      </c>
      <c r="AU296" s="137" t="str">
        <f aca="false">IF(A297="","",AO296*AT296)</f>
        <v/>
      </c>
      <c r="AW296" s="195" t="str">
        <f aca="false">IF($A297="","",AL296*$E296)</f>
        <v/>
      </c>
      <c r="AX296" s="195" t="str">
        <f aca="false">IF($A297="","",AM296*$E296)</f>
        <v/>
      </c>
      <c r="AY296" s="195" t="str">
        <f aca="false">IF($A297="","",AN296*$E296)</f>
        <v/>
      </c>
      <c r="BA296" s="195" t="str">
        <f aca="false">IF($A297="","",F296*Summary!$Q$10)</f>
        <v/>
      </c>
    </row>
    <row r="297" customFormat="false" ht="12" hidden="false" customHeight="true" outlineLevel="0" collapsed="false">
      <c r="A297" s="196" t="str">
        <f aca="false">IF(A296&lt;mthend,EDATE(A296,1),"")</f>
        <v/>
      </c>
      <c r="B297" s="197" t="str">
        <f aca="false">IF(A297&lt;mthend,B296,"")</f>
        <v/>
      </c>
      <c r="C297" s="215"/>
      <c r="D297" s="197" t="str">
        <f aca="false">IF(A298&lt;&gt;"",B297+C297,"")</f>
        <v/>
      </c>
      <c r="E297" s="199" t="str">
        <f aca="false">IF(A298="","",IF(AND(AT297=1,$H$3=1),D297*AO297,IF($H$3=2,D297,"N/A")))</f>
        <v/>
      </c>
      <c r="F297" s="199" t="str">
        <f aca="false">IF(A298="","",E297*AS297)</f>
        <v/>
      </c>
      <c r="G297" s="200" t="str">
        <f aca="false">IF($A298="","",VLOOKUP($A297,Table,MATCH(G$4,Curves,0)))</f>
        <v/>
      </c>
      <c r="H297" s="201" t="str">
        <f aca="false">IF(A298="","",G297)</f>
        <v/>
      </c>
      <c r="I297" s="202"/>
      <c r="J297" s="200" t="str">
        <f aca="false">IF($A298="","",VLOOKUP($A297,Table,MATCH(J$4,Curves,0)))</f>
        <v/>
      </c>
      <c r="K297" s="201" t="str">
        <f aca="false">IF(A298="","",J297)</f>
        <v/>
      </c>
      <c r="L297" s="185" t="n">
        <v>0</v>
      </c>
      <c r="M297" s="201" t="str">
        <f aca="false">IF(A298="","",L297)</f>
        <v/>
      </c>
      <c r="N297" s="203"/>
      <c r="O297" s="200" t="str">
        <f aca="false">IF(A298="","",L297+J297+G297)</f>
        <v/>
      </c>
      <c r="P297" s="200" t="str">
        <f aca="false">IF(A298="","",M297+K297+H297)</f>
        <v/>
      </c>
      <c r="Q297" s="204"/>
      <c r="R297" s="200" t="str">
        <f aca="false">IF($A298="","",VLOOKUP($A297,Table,MATCH(R$4,Curves,0)))</f>
        <v/>
      </c>
      <c r="S297" s="201" t="str">
        <f aca="false">IF(A298="","",R297)</f>
        <v/>
      </c>
      <c r="T297" s="200" t="str">
        <f aca="false">IF($A298="","",VLOOKUP($A297,Table,MATCH(T$4,Curves,0)))</f>
        <v/>
      </c>
      <c r="U297" s="201" t="str">
        <f aca="false">IF(A298="","",T297)</f>
        <v/>
      </c>
      <c r="V297" s="205" t="str">
        <f aca="false">IF($A298="","",IF(AND(MONTH(A297)&gt;3,MONTH(A297)&lt;11),(T297+R297+G297)*Summary!$T$10/(1-Summary!$T$10),(T297+R297+G297)*Summary!$U$10/(1-Summary!$U$10)))</f>
        <v/>
      </c>
      <c r="W297" s="200" t="str">
        <f aca="false">IF($A298="","",(T297+R297+G297+V297))</f>
        <v/>
      </c>
      <c r="X297" s="200" t="str">
        <f aca="false">IF($A298="","",(U297+S297+H297+V297))</f>
        <v/>
      </c>
      <c r="Y297" s="202"/>
      <c r="Z297" s="185" t="str">
        <f aca="false">IF($A298="","",VLOOKUP($A297,Table,MATCH(Z$4,Curves,0)))</f>
        <v/>
      </c>
      <c r="AA297" s="185" t="str">
        <f aca="false">IF($A298="","",VLOOKUP($A297,Table,MATCH(AA$4,Curves,0)))</f>
        <v/>
      </c>
      <c r="AB297" s="185" t="e">
        <f aca="false">SQRT((AA297^2*(A297-$D$3)+Z297^2*(DAY(EOMONTH(A297,0))/2))/AK297)</f>
        <v>#VALUE!</v>
      </c>
      <c r="AC297" s="185" t="str">
        <f aca="false">IF($A298="","",VLOOKUP($A297,Table,MATCH(AC$4,Curves,0)))</f>
        <v/>
      </c>
      <c r="AD297" s="185" t="str">
        <f aca="false">IF($A298="","",VLOOKUP($A297,Table,MATCH(AD$4,Curves,0)))</f>
        <v/>
      </c>
      <c r="AE297" s="185" t="e">
        <f aca="false">SQRT((AD297^2*(A297-$D$3)+AC297^2*(DAY(EOMONTH(A297,0))/2))/AK297)</f>
        <v>#VALUE!</v>
      </c>
      <c r="AF297" s="224" t="e">
        <f aca="false">((Summary!$N$10*(AA297*AD297)*(A297-$D$3))+(Summary!$M$10*Z297*AC297*(AJ297-EOMONTH(EDATE(A297,-1),0))))/(AK297*AB297*AE297)</f>
        <v>#VALUE!</v>
      </c>
      <c r="AG297" s="207" t="str">
        <f aca="false">IF($A298="","",Summary!$Q$10)</f>
        <v/>
      </c>
      <c r="AH297" s="207" t="str">
        <f aca="false">IF($A298="","",IF(Summary!$R$10="Y",(VLOOKUP($A297,Summary!$AD$6:$AF$9,3)+'Escalating commodity'!F310),'Escalating commodity'!F310))</f>
        <v/>
      </c>
      <c r="AI297" s="207" t="str">
        <f aca="false">IF($A298="","",AH297)</f>
        <v/>
      </c>
      <c r="AJ297" s="208" t="e">
        <f aca="false">A297+DAY(EOMONTH(A297,0))/2-1</f>
        <v>#VALUE!</v>
      </c>
      <c r="AK297" s="209" t="str">
        <f aca="false">IF($A298="","",$A297-$E$1)</f>
        <v/>
      </c>
      <c r="AL297" s="182" t="str">
        <f aca="false">IF($A298="","",SPRDOPT(P297,X297,AI297,0,AB297,AE297,AF297,AK297,$AJ$2,0))</f>
        <v/>
      </c>
      <c r="AM297" s="211" t="str">
        <f aca="false">IF($A298="","",MAX(0,O297-W297-AI297))</f>
        <v/>
      </c>
      <c r="AN297" s="211" t="str">
        <f aca="false">IF($A298="","",AL297-AM297)</f>
        <v/>
      </c>
      <c r="AO297" s="137" t="str">
        <f aca="false">IF(A298="","",A298-A297)</f>
        <v/>
      </c>
      <c r="AP297" s="212" t="str">
        <f aca="false">IF(A298="","",CHOOSE(F$3,A298+24,A297))</f>
        <v/>
      </c>
      <c r="AQ297" s="209" t="str">
        <f aca="false">IF(A298="","",AP297-$E$1)</f>
        <v/>
      </c>
      <c r="AR297" s="185" t="n">
        <f aca="false">'ANR OK vs ML7'!AR297</f>
        <v>0.1</v>
      </c>
      <c r="AS297" s="213" t="str">
        <f aca="false">IF(A298="","",1/(1+CHOOSE(F$3,(AR298+($I$3/10000))/2,(AR297+($I$3/10000))/2))^(2*AQ297/365.25))</f>
        <v/>
      </c>
      <c r="AT297" s="137" t="str">
        <f aca="false">IF(A298="","",IF(AND(mthbeg&lt;=A297,mthend&gt;=A297),1,0))</f>
        <v/>
      </c>
      <c r="AU297" s="137" t="str">
        <f aca="false">IF(A298="","",AO297*AT297)</f>
        <v/>
      </c>
      <c r="AW297" s="195" t="str">
        <f aca="false">IF($A298="","",AL297*$E297)</f>
        <v/>
      </c>
      <c r="AX297" s="195" t="str">
        <f aca="false">IF($A298="","",AM297*$E297)</f>
        <v/>
      </c>
      <c r="AY297" s="195" t="str">
        <f aca="false">IF($A298="","",AN297*$E297)</f>
        <v/>
      </c>
      <c r="BA297" s="195" t="str">
        <f aca="false">IF($A298="","",F297*Summary!$Q$10)</f>
        <v/>
      </c>
    </row>
    <row r="298" customFormat="false" ht="12" hidden="false" customHeight="true" outlineLevel="0" collapsed="false">
      <c r="A298" s="196" t="str">
        <f aca="false">IF(A297&lt;mthend,EDATE(A297,1),"")</f>
        <v/>
      </c>
      <c r="B298" s="197" t="str">
        <f aca="false">IF(A298&lt;mthend,B297,"")</f>
        <v/>
      </c>
      <c r="C298" s="215"/>
      <c r="D298" s="197" t="str">
        <f aca="false">IF(A299&lt;&gt;"",B298+C298,"")</f>
        <v/>
      </c>
      <c r="E298" s="199" t="str">
        <f aca="false">IF(A299="","",IF(AND(AT298=1,$H$3=1),D298*AO298,IF($H$3=2,D298,"N/A")))</f>
        <v/>
      </c>
      <c r="F298" s="199" t="str">
        <f aca="false">IF(A299="","",E298*AS298)</f>
        <v/>
      </c>
      <c r="G298" s="200" t="str">
        <f aca="false">IF($A299="","",VLOOKUP($A298,Table,MATCH(G$4,Curves,0)))</f>
        <v/>
      </c>
      <c r="H298" s="201" t="str">
        <f aca="false">IF(A299="","",G298)</f>
        <v/>
      </c>
      <c r="I298" s="202"/>
      <c r="J298" s="200" t="str">
        <f aca="false">IF($A299="","",VLOOKUP($A298,Table,MATCH(J$4,Curves,0)))</f>
        <v/>
      </c>
      <c r="K298" s="201" t="str">
        <f aca="false">IF(A299="","",J298)</f>
        <v/>
      </c>
      <c r="L298" s="185" t="n">
        <v>0</v>
      </c>
      <c r="M298" s="201" t="str">
        <f aca="false">IF(A299="","",L298)</f>
        <v/>
      </c>
      <c r="N298" s="203"/>
      <c r="O298" s="200" t="str">
        <f aca="false">IF(A299="","",L298+J298+G298)</f>
        <v/>
      </c>
      <c r="P298" s="200" t="str">
        <f aca="false">IF(A299="","",M298+K298+H298)</f>
        <v/>
      </c>
      <c r="Q298" s="204"/>
      <c r="R298" s="200" t="str">
        <f aca="false">IF($A299="","",VLOOKUP($A298,Table,MATCH(R$4,Curves,0)))</f>
        <v/>
      </c>
      <c r="S298" s="201" t="str">
        <f aca="false">IF(A299="","",R298)</f>
        <v/>
      </c>
      <c r="T298" s="200" t="str">
        <f aca="false">IF($A299="","",VLOOKUP($A298,Table,MATCH(T$4,Curves,0)))</f>
        <v/>
      </c>
      <c r="U298" s="201" t="str">
        <f aca="false">IF(A299="","",T298)</f>
        <v/>
      </c>
      <c r="V298" s="205" t="str">
        <f aca="false">IF($A299="","",IF(AND(MONTH(A298)&gt;3,MONTH(A298)&lt;11),(T298+R298+G298)*Summary!$T$10/(1-Summary!$T$10),(T298+R298+G298)*Summary!$U$10/(1-Summary!$U$10)))</f>
        <v/>
      </c>
      <c r="W298" s="200" t="str">
        <f aca="false">IF($A299="","",(T298+R298+G298+V298))</f>
        <v/>
      </c>
      <c r="X298" s="200" t="str">
        <f aca="false">IF($A299="","",(U298+S298+H298+V298))</f>
        <v/>
      </c>
      <c r="Y298" s="202"/>
      <c r="Z298" s="185" t="str">
        <f aca="false">IF($A299="","",VLOOKUP($A298,Table,MATCH(Z$4,Curves,0)))</f>
        <v/>
      </c>
      <c r="AA298" s="185" t="str">
        <f aca="false">IF($A299="","",VLOOKUP($A298,Table,MATCH(AA$4,Curves,0)))</f>
        <v/>
      </c>
      <c r="AB298" s="185" t="e">
        <f aca="false">SQRT((AA298^2*(A298-$D$3)+Z298^2*(DAY(EOMONTH(A298,0))/2))/AK298)</f>
        <v>#VALUE!</v>
      </c>
      <c r="AC298" s="185" t="str">
        <f aca="false">IF($A299="","",VLOOKUP($A298,Table,MATCH(AC$4,Curves,0)))</f>
        <v/>
      </c>
      <c r="AD298" s="185" t="str">
        <f aca="false">IF($A299="","",VLOOKUP($A298,Table,MATCH(AD$4,Curves,0)))</f>
        <v/>
      </c>
      <c r="AE298" s="185" t="e">
        <f aca="false">SQRT((AD298^2*(A298-$D$3)+AC298^2*(DAY(EOMONTH(A298,0))/2))/AK298)</f>
        <v>#VALUE!</v>
      </c>
      <c r="AF298" s="224" t="e">
        <f aca="false">((Summary!$N$10*(AA298*AD298)*(A298-$D$3))+(Summary!$M$10*Z298*AC298*(AJ298-EOMONTH(EDATE(A298,-1),0))))/(AK298*AB298*AE298)</f>
        <v>#VALUE!</v>
      </c>
      <c r="AG298" s="207" t="str">
        <f aca="false">IF($A299="","",Summary!$Q$10)</f>
        <v/>
      </c>
      <c r="AH298" s="207" t="str">
        <f aca="false">IF($A299="","",IF(Summary!$R$10="Y",(VLOOKUP($A298,Summary!$AD$6:$AF$9,3)+'Escalating commodity'!F311),'Escalating commodity'!F311))</f>
        <v/>
      </c>
      <c r="AI298" s="207" t="str">
        <f aca="false">IF($A299="","",AH298)</f>
        <v/>
      </c>
      <c r="AJ298" s="208" t="e">
        <f aca="false">A298+DAY(EOMONTH(A298,0))/2-1</f>
        <v>#VALUE!</v>
      </c>
      <c r="AK298" s="209" t="str">
        <f aca="false">IF($A299="","",$A298-$E$1)</f>
        <v/>
      </c>
      <c r="AL298" s="182" t="str">
        <f aca="false">IF($A299="","",SPRDOPT(P298,X298,AI298,0,AB298,AE298,AF298,AK298,$AJ$2,0))</f>
        <v/>
      </c>
      <c r="AM298" s="211" t="str">
        <f aca="false">IF($A299="","",MAX(0,O298-W298-AI298))</f>
        <v/>
      </c>
      <c r="AN298" s="211" t="str">
        <f aca="false">IF($A299="","",AL298-AM298)</f>
        <v/>
      </c>
      <c r="AO298" s="137" t="str">
        <f aca="false">IF(A299="","",A299-A298)</f>
        <v/>
      </c>
      <c r="AP298" s="212" t="str">
        <f aca="false">IF(A299="","",CHOOSE(F$3,A299+24,A298))</f>
        <v/>
      </c>
      <c r="AQ298" s="209" t="str">
        <f aca="false">IF(A299="","",AP298-$E$1)</f>
        <v/>
      </c>
      <c r="AR298" s="185" t="n">
        <f aca="false">'ANR OK vs ML7'!AR298</f>
        <v>0.1</v>
      </c>
      <c r="AS298" s="213" t="str">
        <f aca="false">IF(A299="","",1/(1+CHOOSE(F$3,(AR299+($I$3/10000))/2,(AR298+($I$3/10000))/2))^(2*AQ298/365.25))</f>
        <v/>
      </c>
      <c r="AT298" s="137" t="str">
        <f aca="false">IF(A299="","",IF(AND(mthbeg&lt;=A298,mthend&gt;=A298),1,0))</f>
        <v/>
      </c>
      <c r="AU298" s="137" t="str">
        <f aca="false">IF(A299="","",AO298*AT298)</f>
        <v/>
      </c>
      <c r="AW298" s="195" t="str">
        <f aca="false">IF($A299="","",AL298*$E298)</f>
        <v/>
      </c>
      <c r="AX298" s="195" t="str">
        <f aca="false">IF($A299="","",AM298*$E298)</f>
        <v/>
      </c>
      <c r="AY298" s="195" t="str">
        <f aca="false">IF($A299="","",AN298*$E298)</f>
        <v/>
      </c>
      <c r="BA298" s="195" t="str">
        <f aca="false">IF($A299="","",F298*Summary!$Q$10)</f>
        <v/>
      </c>
    </row>
    <row r="299" customFormat="false" ht="12" hidden="false" customHeight="true" outlineLevel="0" collapsed="false">
      <c r="A299" s="196" t="str">
        <f aca="false">IF(A298&lt;mthend,EDATE(A298,1),"")</f>
        <v/>
      </c>
      <c r="B299" s="197" t="str">
        <f aca="false">IF(A299&lt;mthend,B298,"")</f>
        <v/>
      </c>
      <c r="C299" s="215"/>
      <c r="D299" s="197" t="str">
        <f aca="false">IF(A300&lt;&gt;"",B299+C299,"")</f>
        <v/>
      </c>
      <c r="E299" s="199" t="str">
        <f aca="false">IF(A300="","",IF(AND(AT299=1,$H$3=1),D299*AO299,IF($H$3=2,D299,"N/A")))</f>
        <v/>
      </c>
      <c r="F299" s="199" t="str">
        <f aca="false">IF(A300="","",E299*AS299)</f>
        <v/>
      </c>
      <c r="G299" s="200" t="str">
        <f aca="false">IF($A300="","",VLOOKUP($A299,Table,MATCH(G$4,Curves,0)))</f>
        <v/>
      </c>
      <c r="H299" s="201" t="str">
        <f aca="false">IF(A300="","",G299)</f>
        <v/>
      </c>
      <c r="I299" s="202"/>
      <c r="J299" s="200" t="str">
        <f aca="false">IF($A300="","",VLOOKUP($A299,Table,MATCH(J$4,Curves,0)))</f>
        <v/>
      </c>
      <c r="K299" s="201" t="str">
        <f aca="false">IF(A300="","",J299)</f>
        <v/>
      </c>
      <c r="L299" s="185" t="n">
        <v>0</v>
      </c>
      <c r="M299" s="201" t="str">
        <f aca="false">IF(A300="","",L299)</f>
        <v/>
      </c>
      <c r="N299" s="203"/>
      <c r="O299" s="200" t="str">
        <f aca="false">IF(A300="","",L299+J299+G299)</f>
        <v/>
      </c>
      <c r="P299" s="200" t="str">
        <f aca="false">IF(A300="","",M299+K299+H299)</f>
        <v/>
      </c>
      <c r="Q299" s="204"/>
      <c r="R299" s="200" t="str">
        <f aca="false">IF($A300="","",VLOOKUP($A299,Table,MATCH(R$4,Curves,0)))</f>
        <v/>
      </c>
      <c r="S299" s="201" t="str">
        <f aca="false">IF(A300="","",R299)</f>
        <v/>
      </c>
      <c r="T299" s="200" t="str">
        <f aca="false">IF($A300="","",VLOOKUP($A299,Table,MATCH(T$4,Curves,0)))</f>
        <v/>
      </c>
      <c r="U299" s="201" t="str">
        <f aca="false">IF(A300="","",T299)</f>
        <v/>
      </c>
      <c r="V299" s="205" t="str">
        <f aca="false">IF($A300="","",IF(AND(MONTH(A299)&gt;3,MONTH(A299)&lt;11),(T299+R299+G299)*Summary!$T$10/(1-Summary!$T$10),(T299+R299+G299)*Summary!$U$10/(1-Summary!$U$10)))</f>
        <v/>
      </c>
      <c r="W299" s="200" t="str">
        <f aca="false">IF($A300="","",(T299+R299+G299+V299))</f>
        <v/>
      </c>
      <c r="X299" s="200" t="str">
        <f aca="false">IF($A300="","",(U299+S299+H299+V299))</f>
        <v/>
      </c>
      <c r="Y299" s="202"/>
      <c r="Z299" s="185" t="str">
        <f aca="false">IF($A300="","",VLOOKUP($A299,Table,MATCH(Z$4,Curves,0)))</f>
        <v/>
      </c>
      <c r="AA299" s="185" t="str">
        <f aca="false">IF($A300="","",VLOOKUP($A299,Table,MATCH(AA$4,Curves,0)))</f>
        <v/>
      </c>
      <c r="AB299" s="185" t="e">
        <f aca="false">SQRT((AA299^2*(A299-$D$3)+Z299^2*(DAY(EOMONTH(A299,0))/2))/AK299)</f>
        <v>#VALUE!</v>
      </c>
      <c r="AC299" s="185" t="str">
        <f aca="false">IF($A300="","",VLOOKUP($A299,Table,MATCH(AC$4,Curves,0)))</f>
        <v/>
      </c>
      <c r="AD299" s="185" t="str">
        <f aca="false">IF($A300="","",VLOOKUP($A299,Table,MATCH(AD$4,Curves,0)))</f>
        <v/>
      </c>
      <c r="AE299" s="185" t="e">
        <f aca="false">SQRT((AD299^2*(A299-$D$3)+AC299^2*(DAY(EOMONTH(A299,0))/2))/AK299)</f>
        <v>#VALUE!</v>
      </c>
      <c r="AF299" s="224" t="e">
        <f aca="false">((Summary!$N$10*(AA299*AD299)*(A299-$D$3))+(Summary!$M$10*Z299*AC299*(AJ299-EOMONTH(EDATE(A299,-1),0))))/(AK299*AB299*AE299)</f>
        <v>#VALUE!</v>
      </c>
      <c r="AG299" s="207" t="str">
        <f aca="false">IF($A300="","",Summary!$Q$10)</f>
        <v/>
      </c>
      <c r="AH299" s="207" t="str">
        <f aca="false">IF($A300="","",IF(Summary!$R$10="Y",(VLOOKUP($A299,Summary!$AD$6:$AF$9,3)+'Escalating commodity'!F312),'Escalating commodity'!F312))</f>
        <v/>
      </c>
      <c r="AI299" s="207" t="str">
        <f aca="false">IF($A300="","",AH299)</f>
        <v/>
      </c>
      <c r="AJ299" s="208" t="e">
        <f aca="false">A299+DAY(EOMONTH(A299,0))/2-1</f>
        <v>#VALUE!</v>
      </c>
      <c r="AK299" s="209" t="str">
        <f aca="false">IF($A300="","",$A299-$E$1)</f>
        <v/>
      </c>
      <c r="AL299" s="182" t="str">
        <f aca="false">IF($A300="","",SPRDOPT(P299,X299,AI299,0,AB299,AE299,AF299,AK299,$AJ$2,0))</f>
        <v/>
      </c>
      <c r="AM299" s="211" t="str">
        <f aca="false">IF($A300="","",MAX(0,O299-W299-AI299))</f>
        <v/>
      </c>
      <c r="AN299" s="211" t="str">
        <f aca="false">IF($A300="","",AL299-AM299)</f>
        <v/>
      </c>
      <c r="AO299" s="137" t="str">
        <f aca="false">IF(A300="","",A300-A299)</f>
        <v/>
      </c>
      <c r="AP299" s="212" t="str">
        <f aca="false">IF(A300="","",CHOOSE(F$3,A300+24,A299))</f>
        <v/>
      </c>
      <c r="AQ299" s="209" t="str">
        <f aca="false">IF(A300="","",AP299-$E$1)</f>
        <v/>
      </c>
      <c r="AR299" s="185" t="n">
        <f aca="false">'ANR OK vs ML7'!AR299</f>
        <v>0.1</v>
      </c>
      <c r="AS299" s="213" t="str">
        <f aca="false">IF(A300="","",1/(1+CHOOSE(F$3,(AR300+($I$3/10000))/2,(AR299+($I$3/10000))/2))^(2*AQ299/365.25))</f>
        <v/>
      </c>
      <c r="AT299" s="137" t="str">
        <f aca="false">IF(A300="","",IF(AND(mthbeg&lt;=A299,mthend&gt;=A299),1,0))</f>
        <v/>
      </c>
      <c r="AU299" s="137" t="str">
        <f aca="false">IF(A300="","",AO299*AT299)</f>
        <v/>
      </c>
      <c r="AW299" s="195" t="str">
        <f aca="false">IF($A300="","",AL299*$E299)</f>
        <v/>
      </c>
      <c r="AX299" s="195" t="str">
        <f aca="false">IF($A300="","",AM299*$E299)</f>
        <v/>
      </c>
      <c r="AY299" s="195" t="str">
        <f aca="false">IF($A300="","",AN299*$E299)</f>
        <v/>
      </c>
      <c r="BA299" s="195" t="str">
        <f aca="false">IF($A300="","",F299*Summary!$Q$10)</f>
        <v/>
      </c>
    </row>
    <row r="300" customFormat="false" ht="12" hidden="false" customHeight="true" outlineLevel="0" collapsed="false">
      <c r="A300" s="196" t="str">
        <f aca="false">IF(A299&lt;mthend,EDATE(A299,1),"")</f>
        <v/>
      </c>
      <c r="B300" s="197" t="str">
        <f aca="false">IF(A300&lt;mthend,B299,"")</f>
        <v/>
      </c>
      <c r="C300" s="215"/>
      <c r="D300" s="197" t="str">
        <f aca="false">IF(A301&lt;&gt;"",B300+C300,"")</f>
        <v/>
      </c>
      <c r="E300" s="199" t="str">
        <f aca="false">IF(A301="","",IF(AND(AT300=1,$H$3=1),D300*AO300,IF($H$3=2,D300,"N/A")))</f>
        <v/>
      </c>
      <c r="F300" s="199" t="str">
        <f aca="false">IF(A301="","",E300*AS300)</f>
        <v/>
      </c>
      <c r="G300" s="200" t="str">
        <f aca="false">IF($A301="","",VLOOKUP($A300,Table,MATCH(G$4,Curves,0)))</f>
        <v/>
      </c>
      <c r="H300" s="201" t="str">
        <f aca="false">IF(A301="","",G300)</f>
        <v/>
      </c>
      <c r="I300" s="202"/>
      <c r="J300" s="200" t="str">
        <f aca="false">IF($A301="","",VLOOKUP($A300,Table,MATCH(J$4,Curves,0)))</f>
        <v/>
      </c>
      <c r="K300" s="201" t="str">
        <f aca="false">IF(A301="","",J300)</f>
        <v/>
      </c>
      <c r="L300" s="185" t="n">
        <v>0</v>
      </c>
      <c r="M300" s="201" t="str">
        <f aca="false">IF(A301="","",L300)</f>
        <v/>
      </c>
      <c r="N300" s="203"/>
      <c r="O300" s="200" t="str">
        <f aca="false">IF(A301="","",L300+J300+G300)</f>
        <v/>
      </c>
      <c r="P300" s="200" t="str">
        <f aca="false">IF(A301="","",M300+K300+H300)</f>
        <v/>
      </c>
      <c r="Q300" s="204"/>
      <c r="R300" s="200" t="str">
        <f aca="false">IF($A301="","",VLOOKUP($A300,Table,MATCH(R$4,Curves,0)))</f>
        <v/>
      </c>
      <c r="S300" s="201" t="str">
        <f aca="false">IF(A301="","",R300)</f>
        <v/>
      </c>
      <c r="T300" s="200" t="str">
        <f aca="false">IF($A301="","",VLOOKUP($A300,Table,MATCH(T$4,Curves,0)))</f>
        <v/>
      </c>
      <c r="U300" s="201" t="str">
        <f aca="false">IF(A301="","",T300)</f>
        <v/>
      </c>
      <c r="V300" s="205" t="str">
        <f aca="false">IF($A301="","",IF(AND(MONTH(A300)&gt;3,MONTH(A300)&lt;11),(T300+R300+G300)*Summary!$T$10/(1-Summary!$T$10),(T300+R300+G300)*Summary!$U$10/(1-Summary!$U$10)))</f>
        <v/>
      </c>
      <c r="W300" s="200" t="str">
        <f aca="false">IF($A301="","",(T300+R300+G300+V300))</f>
        <v/>
      </c>
      <c r="X300" s="200" t="str">
        <f aca="false">IF($A301="","",(U300+S300+H300+V300))</f>
        <v/>
      </c>
      <c r="Y300" s="202"/>
      <c r="Z300" s="185" t="str">
        <f aca="false">IF($A301="","",VLOOKUP($A300,Table,MATCH(Z$4,Curves,0)))</f>
        <v/>
      </c>
      <c r="AA300" s="185" t="str">
        <f aca="false">IF($A301="","",VLOOKUP($A300,Table,MATCH(AA$4,Curves,0)))</f>
        <v/>
      </c>
      <c r="AB300" s="185" t="e">
        <f aca="false">SQRT((AA300^2*(A300-$D$3)+Z300^2*(DAY(EOMONTH(A300,0))/2))/AK300)</f>
        <v>#VALUE!</v>
      </c>
      <c r="AC300" s="185" t="str">
        <f aca="false">IF($A301="","",VLOOKUP($A300,Table,MATCH(AC$4,Curves,0)))</f>
        <v/>
      </c>
      <c r="AD300" s="185" t="str">
        <f aca="false">IF($A301="","",VLOOKUP($A300,Table,MATCH(AD$4,Curves,0)))</f>
        <v/>
      </c>
      <c r="AE300" s="185" t="e">
        <f aca="false">SQRT((AD300^2*(A300-$D$3)+AC300^2*(DAY(EOMONTH(A300,0))/2))/AK300)</f>
        <v>#VALUE!</v>
      </c>
      <c r="AF300" s="224" t="e">
        <f aca="false">((Summary!$N$10*(AA300*AD300)*(A300-$D$3))+(Summary!$M$10*Z300*AC300*(AJ300-EOMONTH(EDATE(A300,-1),0))))/(AK300*AB300*AE300)</f>
        <v>#VALUE!</v>
      </c>
      <c r="AG300" s="207" t="str">
        <f aca="false">IF($A301="","",Summary!$Q$10)</f>
        <v/>
      </c>
      <c r="AH300" s="207" t="str">
        <f aca="false">IF($A301="","",IF(Summary!$R$10="Y",(VLOOKUP($A300,Summary!$AD$6:$AF$9,3)+'Escalating commodity'!F313),'Escalating commodity'!F313))</f>
        <v/>
      </c>
      <c r="AI300" s="207" t="str">
        <f aca="false">IF($A301="","",AH300)</f>
        <v/>
      </c>
      <c r="AJ300" s="208" t="e">
        <f aca="false">A300+DAY(EOMONTH(A300,0))/2-1</f>
        <v>#VALUE!</v>
      </c>
      <c r="AK300" s="209" t="str">
        <f aca="false">IF($A301="","",$A300-$E$1)</f>
        <v/>
      </c>
      <c r="AL300" s="182" t="str">
        <f aca="false">IF($A301="","",SPRDOPT(P300,X300,AI300,0,AB300,AE300,AF300,AK300,$AJ$2,0))</f>
        <v/>
      </c>
      <c r="AM300" s="211" t="str">
        <f aca="false">IF($A301="","",MAX(0,O300-W300-AI300))</f>
        <v/>
      </c>
      <c r="AN300" s="211" t="str">
        <f aca="false">IF($A301="","",AL300-AM300)</f>
        <v/>
      </c>
      <c r="AO300" s="137" t="str">
        <f aca="false">IF(A301="","",A301-A300)</f>
        <v/>
      </c>
      <c r="AP300" s="212" t="str">
        <f aca="false">IF(A301="","",CHOOSE(F$3,A301+24,A300))</f>
        <v/>
      </c>
      <c r="AQ300" s="209" t="str">
        <f aca="false">IF(A301="","",AP300-$E$1)</f>
        <v/>
      </c>
      <c r="AR300" s="185" t="n">
        <f aca="false">'ANR OK vs ML7'!AR300</f>
        <v>0.1</v>
      </c>
      <c r="AS300" s="213" t="str">
        <f aca="false">IF(A301="","",1/(1+CHOOSE(F$3,(AR301+($I$3/10000))/2,(AR300+($I$3/10000))/2))^(2*AQ300/365.25))</f>
        <v/>
      </c>
      <c r="AT300" s="137" t="str">
        <f aca="false">IF(A301="","",IF(AND(mthbeg&lt;=A300,mthend&gt;=A300),1,0))</f>
        <v/>
      </c>
      <c r="AU300" s="137" t="str">
        <f aca="false">IF(A301="","",AO300*AT300)</f>
        <v/>
      </c>
      <c r="AW300" s="195" t="str">
        <f aca="false">IF($A301="","",AL300*$E300)</f>
        <v/>
      </c>
      <c r="AX300" s="195" t="str">
        <f aca="false">IF($A301="","",AM300*$E300)</f>
        <v/>
      </c>
      <c r="AY300" s="195" t="str">
        <f aca="false">IF($A301="","",AN300*$E300)</f>
        <v/>
      </c>
      <c r="BA300" s="195" t="str">
        <f aca="false">IF($A301="","",F300*Summary!$Q$10)</f>
        <v/>
      </c>
    </row>
    <row r="301" customFormat="false" ht="12" hidden="false" customHeight="true" outlineLevel="0" collapsed="false">
      <c r="A301" s="196" t="str">
        <f aca="false">IF(A300&lt;mthend,EDATE(A300,1),"")</f>
        <v/>
      </c>
      <c r="B301" s="197" t="str">
        <f aca="false">IF(A301&lt;mthend,B300,"")</f>
        <v/>
      </c>
      <c r="C301" s="215"/>
      <c r="D301" s="197" t="str">
        <f aca="false">IF(A302&lt;&gt;"",B301+C301,"")</f>
        <v/>
      </c>
      <c r="E301" s="199" t="str">
        <f aca="false">IF(A302="","",IF(AND(AT301=1,$H$3=1),D301*AO301,IF($H$3=2,D301,"N/A")))</f>
        <v/>
      </c>
      <c r="F301" s="199" t="str">
        <f aca="false">IF(A302="","",E301*AS301)</f>
        <v/>
      </c>
      <c r="G301" s="200" t="str">
        <f aca="false">IF($A302="","",VLOOKUP($A301,Table,MATCH(G$4,Curves,0)))</f>
        <v/>
      </c>
      <c r="H301" s="201" t="str">
        <f aca="false">IF(A302="","",G301)</f>
        <v/>
      </c>
      <c r="I301" s="202"/>
      <c r="J301" s="200" t="str">
        <f aca="false">IF($A302="","",VLOOKUP($A301,Table,MATCH(J$4,Curves,0)))</f>
        <v/>
      </c>
      <c r="K301" s="201" t="str">
        <f aca="false">IF(A302="","",J301)</f>
        <v/>
      </c>
      <c r="L301" s="185" t="n">
        <v>0</v>
      </c>
      <c r="M301" s="201" t="str">
        <f aca="false">IF(A302="","",L301)</f>
        <v/>
      </c>
      <c r="N301" s="203"/>
      <c r="O301" s="200" t="str">
        <f aca="false">IF(A302="","",L301+J301+G301)</f>
        <v/>
      </c>
      <c r="P301" s="200" t="str">
        <f aca="false">IF(A302="","",M301+K301+H301)</f>
        <v/>
      </c>
      <c r="Q301" s="204"/>
      <c r="R301" s="200" t="str">
        <f aca="false">IF($A302="","",VLOOKUP($A301,Table,MATCH(R$4,Curves,0)))</f>
        <v/>
      </c>
      <c r="S301" s="201" t="str">
        <f aca="false">IF(A302="","",R301)</f>
        <v/>
      </c>
      <c r="T301" s="200" t="str">
        <f aca="false">IF($A302="","",VLOOKUP($A301,Table,MATCH(T$4,Curves,0)))</f>
        <v/>
      </c>
      <c r="U301" s="201" t="str">
        <f aca="false">IF(A302="","",T301)</f>
        <v/>
      </c>
      <c r="V301" s="205" t="str">
        <f aca="false">IF($A302="","",IF(AND(MONTH(A301)&gt;3,MONTH(A301)&lt;11),(T301+R301+G301)*Summary!$T$10/(1-Summary!$T$10),(T301+R301+G301)*Summary!$U$10/(1-Summary!$U$10)))</f>
        <v/>
      </c>
      <c r="W301" s="200" t="str">
        <f aca="false">IF($A302="","",(T301+R301+G301+V301))</f>
        <v/>
      </c>
      <c r="X301" s="200" t="str">
        <f aca="false">IF($A302="","",(U301+S301+H301+V301))</f>
        <v/>
      </c>
      <c r="Y301" s="202"/>
      <c r="Z301" s="185" t="str">
        <f aca="false">IF($A302="","",VLOOKUP($A301,Table,MATCH(Z$4,Curves,0)))</f>
        <v/>
      </c>
      <c r="AA301" s="185" t="str">
        <f aca="false">IF($A302="","",VLOOKUP($A301,Table,MATCH(AA$4,Curves,0)))</f>
        <v/>
      </c>
      <c r="AB301" s="185" t="e">
        <f aca="false">SQRT((AA301^2*(A301-$D$3)+Z301^2*(DAY(EOMONTH(A301,0))/2))/AK301)</f>
        <v>#VALUE!</v>
      </c>
      <c r="AC301" s="185" t="str">
        <f aca="false">IF($A302="","",VLOOKUP($A301,Table,MATCH(AC$4,Curves,0)))</f>
        <v/>
      </c>
      <c r="AD301" s="185" t="str">
        <f aca="false">IF($A302="","",VLOOKUP($A301,Table,MATCH(AD$4,Curves,0)))</f>
        <v/>
      </c>
      <c r="AE301" s="185" t="e">
        <f aca="false">SQRT((AD301^2*(A301-$D$3)+AC301^2*(DAY(EOMONTH(A301,0))/2))/AK301)</f>
        <v>#VALUE!</v>
      </c>
      <c r="AF301" s="224" t="e">
        <f aca="false">((Summary!$N$10*(AA301*AD301)*(A301-$D$3))+(Summary!$M$10*Z301*AC301*(AJ301-EOMONTH(EDATE(A301,-1),0))))/(AK301*AB301*AE301)</f>
        <v>#VALUE!</v>
      </c>
      <c r="AG301" s="207" t="str">
        <f aca="false">IF($A302="","",Summary!$Q$10)</f>
        <v/>
      </c>
      <c r="AH301" s="207" t="str">
        <f aca="false">IF($A302="","",IF(Summary!$R$10="Y",(VLOOKUP($A301,Summary!$AD$6:$AF$9,3)+'Escalating commodity'!F314),'Escalating commodity'!F314))</f>
        <v/>
      </c>
      <c r="AI301" s="207" t="str">
        <f aca="false">IF($A302="","",AH301)</f>
        <v/>
      </c>
      <c r="AJ301" s="208" t="e">
        <f aca="false">A301+DAY(EOMONTH(A301,0))/2-1</f>
        <v>#VALUE!</v>
      </c>
      <c r="AK301" s="209" t="str">
        <f aca="false">IF($A302="","",$A301-$E$1)</f>
        <v/>
      </c>
      <c r="AL301" s="182" t="str">
        <f aca="false">IF($A302="","",SPRDOPT(P301,X301,AI301,0,AB301,AE301,AF301,AK301,$AJ$2,0))</f>
        <v/>
      </c>
      <c r="AM301" s="211" t="str">
        <f aca="false">IF($A302="","",MAX(0,O301-W301-AI301))</f>
        <v/>
      </c>
      <c r="AN301" s="211" t="str">
        <f aca="false">IF($A302="","",AL301-AM301)</f>
        <v/>
      </c>
      <c r="AO301" s="137" t="str">
        <f aca="false">IF(A302="","",A302-A301)</f>
        <v/>
      </c>
      <c r="AP301" s="212" t="str">
        <f aca="false">IF(A302="","",CHOOSE(F$3,A302+24,A301))</f>
        <v/>
      </c>
      <c r="AQ301" s="209" t="str">
        <f aca="false">IF(A302="","",AP301-$E$1)</f>
        <v/>
      </c>
      <c r="AR301" s="185" t="n">
        <f aca="false">'ANR OK vs ML7'!AR301</f>
        <v>0.1</v>
      </c>
      <c r="AS301" s="213" t="str">
        <f aca="false">IF(A302="","",1/(1+CHOOSE(F$3,(AR302+($I$3/10000))/2,(AR301+($I$3/10000))/2))^(2*AQ301/365.25))</f>
        <v/>
      </c>
      <c r="AT301" s="137" t="str">
        <f aca="false">IF(A302="","",IF(AND(mthbeg&lt;=A301,mthend&gt;=A301),1,0))</f>
        <v/>
      </c>
      <c r="AU301" s="137" t="str">
        <f aca="false">IF(A302="","",AO301*AT301)</f>
        <v/>
      </c>
      <c r="AW301" s="195" t="str">
        <f aca="false">IF($A302="","",AL301*$E301)</f>
        <v/>
      </c>
      <c r="AX301" s="195" t="str">
        <f aca="false">IF($A302="","",AM301*$E301)</f>
        <v/>
      </c>
      <c r="AY301" s="195" t="str">
        <f aca="false">IF($A302="","",AN301*$E301)</f>
        <v/>
      </c>
      <c r="BA301" s="195" t="str">
        <f aca="false">IF($A302="","",F301*Summary!$Q$10)</f>
        <v/>
      </c>
    </row>
    <row r="302" customFormat="false" ht="12" hidden="false" customHeight="true" outlineLevel="0" collapsed="false">
      <c r="A302" s="196" t="str">
        <f aca="false">IF(A301&lt;mthend,EDATE(A301,1),"")</f>
        <v/>
      </c>
      <c r="B302" s="197" t="str">
        <f aca="false">IF(A302&lt;mthend,B301,"")</f>
        <v/>
      </c>
      <c r="C302" s="215"/>
      <c r="D302" s="197" t="str">
        <f aca="false">IF(A303&lt;&gt;"",B302+C302,"")</f>
        <v/>
      </c>
      <c r="E302" s="199" t="str">
        <f aca="false">IF(A303="","",IF(AND(AT302=1,$H$3=1),D302*AO302,IF($H$3=2,D302,"N/A")))</f>
        <v/>
      </c>
      <c r="F302" s="199" t="str">
        <f aca="false">IF(A303="","",E302*AS302)</f>
        <v/>
      </c>
      <c r="G302" s="200" t="str">
        <f aca="false">IF($A303="","",VLOOKUP($A302,Table,MATCH(G$4,Curves,0)))</f>
        <v/>
      </c>
      <c r="H302" s="201" t="str">
        <f aca="false">IF(A303="","",G302)</f>
        <v/>
      </c>
      <c r="I302" s="202"/>
      <c r="J302" s="200" t="str">
        <f aca="false">IF($A303="","",VLOOKUP($A302,Table,MATCH(J$4,Curves,0)))</f>
        <v/>
      </c>
      <c r="K302" s="201" t="str">
        <f aca="false">IF(A303="","",J302)</f>
        <v/>
      </c>
      <c r="L302" s="185" t="n">
        <v>0</v>
      </c>
      <c r="M302" s="201" t="str">
        <f aca="false">IF(A303="","",L302)</f>
        <v/>
      </c>
      <c r="N302" s="203"/>
      <c r="O302" s="200" t="str">
        <f aca="false">IF(A303="","",L302+J302+G302)</f>
        <v/>
      </c>
      <c r="P302" s="200" t="str">
        <f aca="false">IF(A303="","",M302+K302+H302)</f>
        <v/>
      </c>
      <c r="Q302" s="204"/>
      <c r="R302" s="200" t="str">
        <f aca="false">IF($A303="","",VLOOKUP($A302,Table,MATCH(R$4,Curves,0)))</f>
        <v/>
      </c>
      <c r="S302" s="201" t="str">
        <f aca="false">IF(A303="","",R302)</f>
        <v/>
      </c>
      <c r="T302" s="200" t="str">
        <f aca="false">IF($A303="","",VLOOKUP($A302,Table,MATCH(T$4,Curves,0)))</f>
        <v/>
      </c>
      <c r="U302" s="201" t="str">
        <f aca="false">IF(A303="","",T302)</f>
        <v/>
      </c>
      <c r="V302" s="205" t="str">
        <f aca="false">IF($A303="","",IF(AND(MONTH(A302)&gt;3,MONTH(A302)&lt;11),(T302+R302+G302)*Summary!$T$10/(1-Summary!$T$10),(T302+R302+G302)*Summary!$U$10/(1-Summary!$U$10)))</f>
        <v/>
      </c>
      <c r="W302" s="200" t="str">
        <f aca="false">IF($A303="","",(T302+R302+G302+V302))</f>
        <v/>
      </c>
      <c r="X302" s="200" t="str">
        <f aca="false">IF($A303="","",(U302+S302+H302+V302))</f>
        <v/>
      </c>
      <c r="Y302" s="202"/>
      <c r="Z302" s="185" t="str">
        <f aca="false">IF($A303="","",VLOOKUP($A302,Table,MATCH(Z$4,Curves,0)))</f>
        <v/>
      </c>
      <c r="AA302" s="185" t="str">
        <f aca="false">IF($A303="","",VLOOKUP($A302,Table,MATCH(AA$4,Curves,0)))</f>
        <v/>
      </c>
      <c r="AB302" s="185" t="e">
        <f aca="false">SQRT((AA302^2*(A302-$D$3)+Z302^2*(DAY(EOMONTH(A302,0))/2))/AK302)</f>
        <v>#VALUE!</v>
      </c>
      <c r="AC302" s="185" t="str">
        <f aca="false">IF($A303="","",VLOOKUP($A302,Table,MATCH(AC$4,Curves,0)))</f>
        <v/>
      </c>
      <c r="AD302" s="185" t="str">
        <f aca="false">IF($A303="","",VLOOKUP($A302,Table,MATCH(AD$4,Curves,0)))</f>
        <v/>
      </c>
      <c r="AE302" s="185" t="e">
        <f aca="false">SQRT((AD302^2*(A302-$D$3)+AC302^2*(DAY(EOMONTH(A302,0))/2))/AK302)</f>
        <v>#VALUE!</v>
      </c>
      <c r="AF302" s="224" t="e">
        <f aca="false">((Summary!$N$10*(AA302*AD302)*(A302-$D$3))+(Summary!$M$10*Z302*AC302*(AJ302-EOMONTH(EDATE(A302,-1),0))))/(AK302*AB302*AE302)</f>
        <v>#VALUE!</v>
      </c>
      <c r="AG302" s="207" t="str">
        <f aca="false">IF($A303="","",Summary!$Q$10)</f>
        <v/>
      </c>
      <c r="AH302" s="207" t="str">
        <f aca="false">IF($A303="","",IF(Summary!$R$10="Y",(VLOOKUP($A302,Summary!$AD$6:$AF$9,3)+'Escalating commodity'!F315),'Escalating commodity'!F315))</f>
        <v/>
      </c>
      <c r="AI302" s="207" t="str">
        <f aca="false">IF($A303="","",AH302)</f>
        <v/>
      </c>
      <c r="AJ302" s="208" t="e">
        <f aca="false">A302+DAY(EOMONTH(A302,0))/2-1</f>
        <v>#VALUE!</v>
      </c>
      <c r="AK302" s="209" t="str">
        <f aca="false">IF($A303="","",$A302-$E$1)</f>
        <v/>
      </c>
      <c r="AL302" s="182" t="str">
        <f aca="false">IF($A303="","",SPRDOPT(P302,X302,AI302,0,AB302,AE302,AF302,AK302,$AJ$2,0))</f>
        <v/>
      </c>
      <c r="AM302" s="211" t="str">
        <f aca="false">IF($A303="","",MAX(0,O302-W302-AI302))</f>
        <v/>
      </c>
      <c r="AN302" s="211" t="str">
        <f aca="false">IF($A303="","",AL302-AM302)</f>
        <v/>
      </c>
      <c r="AO302" s="137" t="str">
        <f aca="false">IF(A303="","",A303-A302)</f>
        <v/>
      </c>
      <c r="AP302" s="212" t="str">
        <f aca="false">IF(A303="","",CHOOSE(F$3,A303+24,A302))</f>
        <v/>
      </c>
      <c r="AQ302" s="209" t="str">
        <f aca="false">IF(A303="","",AP302-$E$1)</f>
        <v/>
      </c>
      <c r="AR302" s="185" t="n">
        <f aca="false">'ANR OK vs ML7'!AR302</f>
        <v>0.1</v>
      </c>
      <c r="AS302" s="213" t="str">
        <f aca="false">IF(A303="","",1/(1+CHOOSE(F$3,(AR303+($I$3/10000))/2,(AR302+($I$3/10000))/2))^(2*AQ302/365.25))</f>
        <v/>
      </c>
      <c r="AT302" s="137" t="str">
        <f aca="false">IF(A303="","",IF(AND(mthbeg&lt;=A302,mthend&gt;=A302),1,0))</f>
        <v/>
      </c>
      <c r="AU302" s="137" t="str">
        <f aca="false">IF(A303="","",AO302*AT302)</f>
        <v/>
      </c>
      <c r="AW302" s="195" t="str">
        <f aca="false">IF($A303="","",AL302*$E302)</f>
        <v/>
      </c>
      <c r="AX302" s="195" t="str">
        <f aca="false">IF($A303="","",AM302*$E302)</f>
        <v/>
      </c>
      <c r="AY302" s="195" t="str">
        <f aca="false">IF($A303="","",AN302*$E302)</f>
        <v/>
      </c>
      <c r="BA302" s="195" t="str">
        <f aca="false">IF($A303="","",F302*Summary!$Q$10)</f>
        <v/>
      </c>
    </row>
    <row r="303" customFormat="false" ht="12" hidden="false" customHeight="true" outlineLevel="0" collapsed="false">
      <c r="A303" s="196" t="str">
        <f aca="false">IF(A302&lt;mthend,EDATE(A302,1),"")</f>
        <v/>
      </c>
      <c r="B303" s="197" t="str">
        <f aca="false">IF(A303&lt;mthend,B302,"")</f>
        <v/>
      </c>
      <c r="C303" s="215"/>
      <c r="D303" s="197" t="str">
        <f aca="false">IF(A304&lt;&gt;"",B303+C303,"")</f>
        <v/>
      </c>
      <c r="E303" s="199" t="str">
        <f aca="false">IF(A304="","",IF(AND(AT303=1,$H$3=1),D303*AO303,IF($H$3=2,D303,"N/A")))</f>
        <v/>
      </c>
      <c r="F303" s="199" t="str">
        <f aca="false">IF(A304="","",E303*AS303)</f>
        <v/>
      </c>
      <c r="G303" s="200" t="str">
        <f aca="false">IF($A304="","",VLOOKUP($A303,Table,MATCH(G$4,Curves,0)))</f>
        <v/>
      </c>
      <c r="H303" s="201" t="str">
        <f aca="false">IF(A304="","",G303)</f>
        <v/>
      </c>
      <c r="I303" s="202"/>
      <c r="J303" s="200" t="str">
        <f aca="false">IF($A304="","",VLOOKUP($A303,Table,MATCH(J$4,Curves,0)))</f>
        <v/>
      </c>
      <c r="K303" s="201" t="str">
        <f aca="false">IF(A304="","",J303)</f>
        <v/>
      </c>
      <c r="L303" s="185" t="n">
        <v>0</v>
      </c>
      <c r="M303" s="201" t="str">
        <f aca="false">IF(A304="","",L303)</f>
        <v/>
      </c>
      <c r="N303" s="203"/>
      <c r="O303" s="200" t="str">
        <f aca="false">IF(A304="","",L303+J303+G303)</f>
        <v/>
      </c>
      <c r="P303" s="200" t="str">
        <f aca="false">IF(A304="","",M303+K303+H303)</f>
        <v/>
      </c>
      <c r="Q303" s="204"/>
      <c r="R303" s="200" t="str">
        <f aca="false">IF($A304="","",VLOOKUP($A303,Table,MATCH(R$4,Curves,0)))</f>
        <v/>
      </c>
      <c r="S303" s="201" t="str">
        <f aca="false">IF(A304="","",R303)</f>
        <v/>
      </c>
      <c r="T303" s="200" t="str">
        <f aca="false">IF($A304="","",VLOOKUP($A303,Table,MATCH(T$4,Curves,0)))</f>
        <v/>
      </c>
      <c r="U303" s="201" t="str">
        <f aca="false">IF(A304="","",T303)</f>
        <v/>
      </c>
      <c r="V303" s="205" t="str">
        <f aca="false">IF($A304="","",IF(AND(MONTH(A303)&gt;3,MONTH(A303)&lt;11),(T303+R303+G303)*Summary!$T$10/(1-Summary!$T$10),(T303+R303+G303)*Summary!$U$10/(1-Summary!$U$10)))</f>
        <v/>
      </c>
      <c r="W303" s="200" t="str">
        <f aca="false">IF($A304="","",(T303+R303+G303+V303))</f>
        <v/>
      </c>
      <c r="X303" s="200" t="str">
        <f aca="false">IF($A304="","",(U303+S303+H303+V303))</f>
        <v/>
      </c>
      <c r="Y303" s="202"/>
      <c r="Z303" s="185" t="str">
        <f aca="false">IF($A304="","",VLOOKUP($A303,Table,MATCH(Z$4,Curves,0)))</f>
        <v/>
      </c>
      <c r="AA303" s="185" t="str">
        <f aca="false">IF($A304="","",VLOOKUP($A303,Table,MATCH(AA$4,Curves,0)))</f>
        <v/>
      </c>
      <c r="AB303" s="185" t="e">
        <f aca="false">SQRT((AA303^2*(A303-$D$3)+Z303^2*(DAY(EOMONTH(A303,0))/2))/AK303)</f>
        <v>#VALUE!</v>
      </c>
      <c r="AC303" s="185" t="str">
        <f aca="false">IF($A304="","",VLOOKUP($A303,Table,MATCH(AC$4,Curves,0)))</f>
        <v/>
      </c>
      <c r="AD303" s="185" t="str">
        <f aca="false">IF($A304="","",VLOOKUP($A303,Table,MATCH(AD$4,Curves,0)))</f>
        <v/>
      </c>
      <c r="AE303" s="185" t="e">
        <f aca="false">SQRT((AD303^2*(A303-$D$3)+AC303^2*(DAY(EOMONTH(A303,0))/2))/AK303)</f>
        <v>#VALUE!</v>
      </c>
      <c r="AF303" s="224" t="e">
        <f aca="false">((Summary!$N$10*(AA303*AD303)*(A303-$D$3))+(Summary!$M$10*Z303*AC303*(AJ303-EOMONTH(EDATE(A303,-1),0))))/(AK303*AB303*AE303)</f>
        <v>#VALUE!</v>
      </c>
      <c r="AG303" s="207" t="str">
        <f aca="false">IF($A304="","",Summary!$Q$10)</f>
        <v/>
      </c>
      <c r="AH303" s="207" t="str">
        <f aca="false">IF($A304="","",IF(Summary!$R$10="Y",(VLOOKUP($A303,Summary!$AD$6:$AF$9,3)+'Escalating commodity'!F316),'Escalating commodity'!F316))</f>
        <v/>
      </c>
      <c r="AI303" s="207" t="str">
        <f aca="false">IF($A304="","",AH303)</f>
        <v/>
      </c>
      <c r="AJ303" s="208" t="e">
        <f aca="false">A303+DAY(EOMONTH(A303,0))/2-1</f>
        <v>#VALUE!</v>
      </c>
      <c r="AK303" s="209" t="str">
        <f aca="false">IF($A304="","",$A303-$E$1)</f>
        <v/>
      </c>
      <c r="AL303" s="182" t="str">
        <f aca="false">IF($A304="","",SPRDOPT(P303,X303,AI303,0,AB303,AE303,AF303,AK303,$AJ$2,0))</f>
        <v/>
      </c>
      <c r="AM303" s="211" t="str">
        <f aca="false">IF($A304="","",MAX(0,O303-W303-AI303))</f>
        <v/>
      </c>
      <c r="AN303" s="211" t="str">
        <f aca="false">IF($A304="","",AL303-AM303)</f>
        <v/>
      </c>
      <c r="AO303" s="137" t="str">
        <f aca="false">IF(A304="","",A304-A303)</f>
        <v/>
      </c>
      <c r="AP303" s="212" t="str">
        <f aca="false">IF(A304="","",CHOOSE(F$3,A304+24,A303))</f>
        <v/>
      </c>
      <c r="AQ303" s="209" t="str">
        <f aca="false">IF(A304="","",AP303-$E$1)</f>
        <v/>
      </c>
      <c r="AR303" s="185" t="n">
        <f aca="false">'ANR OK vs ML7'!AR303</f>
        <v>0.1</v>
      </c>
      <c r="AS303" s="213" t="str">
        <f aca="false">IF(A304="","",1/(1+CHOOSE(F$3,(AR304+($I$3/10000))/2,(AR303+($I$3/10000))/2))^(2*AQ303/365.25))</f>
        <v/>
      </c>
      <c r="AT303" s="137" t="str">
        <f aca="false">IF(A304="","",IF(AND(mthbeg&lt;=A303,mthend&gt;=A303),1,0))</f>
        <v/>
      </c>
      <c r="AU303" s="137" t="str">
        <f aca="false">IF(A304="","",AO303*AT303)</f>
        <v/>
      </c>
      <c r="AW303" s="195" t="str">
        <f aca="false">IF($A304="","",AL303*$E303)</f>
        <v/>
      </c>
      <c r="AX303" s="195" t="str">
        <f aca="false">IF($A304="","",AM303*$E303)</f>
        <v/>
      </c>
      <c r="AY303" s="195" t="str">
        <f aca="false">IF($A304="","",AN303*$E303)</f>
        <v/>
      </c>
      <c r="BA303" s="195" t="str">
        <f aca="false">IF($A304="","",F303*Summary!$Q$10)</f>
        <v/>
      </c>
    </row>
    <row r="304" customFormat="false" ht="12" hidden="false" customHeight="true" outlineLevel="0" collapsed="false">
      <c r="A304" s="196" t="str">
        <f aca="false">IF(A303&lt;mthend,EDATE(A303,1),"")</f>
        <v/>
      </c>
      <c r="B304" s="197" t="str">
        <f aca="false">IF(A304&lt;mthend,B303,"")</f>
        <v/>
      </c>
      <c r="C304" s="215"/>
      <c r="D304" s="197" t="str">
        <f aca="false">IF(A305&lt;&gt;"",B304+C304,"")</f>
        <v/>
      </c>
      <c r="E304" s="199" t="str">
        <f aca="false">IF(A305="","",IF(AND(AT304=1,$H$3=1),D304*AO304,IF($H$3=2,D304,"N/A")))</f>
        <v/>
      </c>
      <c r="F304" s="199" t="str">
        <f aca="false">IF(A305="","",E304*AS304)</f>
        <v/>
      </c>
      <c r="G304" s="200" t="str">
        <f aca="false">IF($A305="","",VLOOKUP($A304,Table,MATCH(G$4,Curves,0)))</f>
        <v/>
      </c>
      <c r="H304" s="201" t="str">
        <f aca="false">IF(A305="","",G304)</f>
        <v/>
      </c>
      <c r="I304" s="202"/>
      <c r="J304" s="200" t="str">
        <f aca="false">IF($A305="","",VLOOKUP($A304,Table,MATCH(J$4,Curves,0)))</f>
        <v/>
      </c>
      <c r="K304" s="201" t="str">
        <f aca="false">IF(A305="","",J304)</f>
        <v/>
      </c>
      <c r="L304" s="185" t="n">
        <v>0</v>
      </c>
      <c r="M304" s="201" t="str">
        <f aca="false">IF(A305="","",L304)</f>
        <v/>
      </c>
      <c r="N304" s="203"/>
      <c r="O304" s="200" t="str">
        <f aca="false">IF(A305="","",L304+J304+G304)</f>
        <v/>
      </c>
      <c r="P304" s="200" t="str">
        <f aca="false">IF(A305="","",M304+K304+H304)</f>
        <v/>
      </c>
      <c r="Q304" s="204"/>
      <c r="R304" s="200" t="str">
        <f aca="false">IF($A305="","",VLOOKUP($A304,Table,MATCH(R$4,Curves,0)))</f>
        <v/>
      </c>
      <c r="S304" s="201" t="str">
        <f aca="false">IF(A305="","",R304)</f>
        <v/>
      </c>
      <c r="T304" s="200" t="str">
        <f aca="false">IF($A305="","",VLOOKUP($A304,Table,MATCH(T$4,Curves,0)))</f>
        <v/>
      </c>
      <c r="U304" s="201" t="str">
        <f aca="false">IF(A305="","",T304)</f>
        <v/>
      </c>
      <c r="V304" s="205" t="str">
        <f aca="false">IF($A305="","",IF(AND(MONTH(A304)&gt;3,MONTH(A304)&lt;11),(T304+R304+G304)*Summary!$T$10/(1-Summary!$T$10),(T304+R304+G304)*Summary!$U$10/(1-Summary!$U$10)))</f>
        <v/>
      </c>
      <c r="W304" s="200" t="str">
        <f aca="false">IF($A305="","",(T304+R304+G304+V304))</f>
        <v/>
      </c>
      <c r="X304" s="200" t="str">
        <f aca="false">IF($A305="","",(U304+S304+H304+V304))</f>
        <v/>
      </c>
      <c r="Y304" s="202"/>
      <c r="Z304" s="185" t="str">
        <f aca="false">IF($A305="","",VLOOKUP($A304,Table,MATCH(Z$4,Curves,0)))</f>
        <v/>
      </c>
      <c r="AA304" s="185" t="str">
        <f aca="false">IF($A305="","",VLOOKUP($A304,Table,MATCH(AA$4,Curves,0)))</f>
        <v/>
      </c>
      <c r="AB304" s="185" t="e">
        <f aca="false">SQRT((AA304^2*(A304-$D$3)+Z304^2*(DAY(EOMONTH(A304,0))/2))/AK304)</f>
        <v>#VALUE!</v>
      </c>
      <c r="AC304" s="185" t="str">
        <f aca="false">IF($A305="","",VLOOKUP($A304,Table,MATCH(AC$4,Curves,0)))</f>
        <v/>
      </c>
      <c r="AD304" s="185" t="str">
        <f aca="false">IF($A305="","",VLOOKUP($A304,Table,MATCH(AD$4,Curves,0)))</f>
        <v/>
      </c>
      <c r="AE304" s="185" t="e">
        <f aca="false">SQRT((AD304^2*(A304-$D$3)+AC304^2*(DAY(EOMONTH(A304,0))/2))/AK304)</f>
        <v>#VALUE!</v>
      </c>
      <c r="AF304" s="224" t="e">
        <f aca="false">((Summary!$N$10*(AA304*AD304)*(A304-$D$3))+(Summary!$M$10*Z304*AC304*(AJ304-EOMONTH(EDATE(A304,-1),0))))/(AK304*AB304*AE304)</f>
        <v>#VALUE!</v>
      </c>
      <c r="AG304" s="207" t="str">
        <f aca="false">IF($A305="","",Summary!$Q$10)</f>
        <v/>
      </c>
      <c r="AH304" s="207" t="str">
        <f aca="false">IF($A305="","",IF(Summary!$R$10="Y",(VLOOKUP($A304,Summary!$AD$6:$AF$9,3)+'Escalating commodity'!F317),'Escalating commodity'!F317))</f>
        <v/>
      </c>
      <c r="AI304" s="207" t="str">
        <f aca="false">IF($A305="","",AH304)</f>
        <v/>
      </c>
      <c r="AJ304" s="208" t="e">
        <f aca="false">A304+DAY(EOMONTH(A304,0))/2-1</f>
        <v>#VALUE!</v>
      </c>
      <c r="AK304" s="209" t="str">
        <f aca="false">IF($A305="","",$A304-$E$1)</f>
        <v/>
      </c>
      <c r="AL304" s="182" t="str">
        <f aca="false">IF($A305="","",SPRDOPT(P304,X304,AI304,0,AB304,AE304,AF304,AK304,$AJ$2,0))</f>
        <v/>
      </c>
      <c r="AM304" s="211" t="str">
        <f aca="false">IF($A305="","",MAX(0,O304-W304-AI304))</f>
        <v/>
      </c>
      <c r="AN304" s="211" t="str">
        <f aca="false">IF($A305="","",AL304-AM304)</f>
        <v/>
      </c>
      <c r="AO304" s="137" t="str">
        <f aca="false">IF(A305="","",A305-A304)</f>
        <v/>
      </c>
      <c r="AP304" s="212" t="str">
        <f aca="false">IF(A305="","",CHOOSE(F$3,A305+24,A304))</f>
        <v/>
      </c>
      <c r="AQ304" s="209" t="str">
        <f aca="false">IF(A305="","",AP304-$E$1)</f>
        <v/>
      </c>
      <c r="AR304" s="185" t="n">
        <f aca="false">'ANR OK vs ML7'!AR304</f>
        <v>0.1</v>
      </c>
      <c r="AS304" s="213" t="str">
        <f aca="false">IF(A305="","",1/(1+CHOOSE(F$3,(AR305+($I$3/10000))/2,(AR304+($I$3/10000))/2))^(2*AQ304/365.25))</f>
        <v/>
      </c>
      <c r="AT304" s="137" t="str">
        <f aca="false">IF(A305="","",IF(AND(mthbeg&lt;=A304,mthend&gt;=A304),1,0))</f>
        <v/>
      </c>
      <c r="AU304" s="137" t="str">
        <f aca="false">IF(A305="","",AO304*AT304)</f>
        <v/>
      </c>
      <c r="AW304" s="195" t="str">
        <f aca="false">IF($A305="","",AL304*$E304)</f>
        <v/>
      </c>
      <c r="AX304" s="195" t="str">
        <f aca="false">IF($A305="","",AM304*$E304)</f>
        <v/>
      </c>
      <c r="AY304" s="195" t="str">
        <f aca="false">IF($A305="","",AN304*$E304)</f>
        <v/>
      </c>
      <c r="BA304" s="195" t="str">
        <f aca="false">IF($A305="","",F304*Summary!$Q$10)</f>
        <v/>
      </c>
    </row>
    <row r="305" customFormat="false" ht="12" hidden="false" customHeight="true" outlineLevel="0" collapsed="false">
      <c r="A305" s="196" t="str">
        <f aca="false">IF(A304&lt;mthend,EDATE(A304,1),"")</f>
        <v/>
      </c>
      <c r="B305" s="197" t="str">
        <f aca="false">IF(A305&lt;mthend,B304,"")</f>
        <v/>
      </c>
      <c r="C305" s="215"/>
      <c r="D305" s="197" t="str">
        <f aca="false">IF(A306&lt;&gt;"",B305+C305,"")</f>
        <v/>
      </c>
      <c r="E305" s="199" t="str">
        <f aca="false">IF(A306="","",IF(AND(AT305=1,$H$3=1),D305*AO305,IF($H$3=2,D305,"N/A")))</f>
        <v/>
      </c>
      <c r="F305" s="199" t="str">
        <f aca="false">IF(A306="","",E305*AS305)</f>
        <v/>
      </c>
      <c r="G305" s="200" t="str">
        <f aca="false">IF($A306="","",VLOOKUP($A305,Table,MATCH(G$4,Curves,0)))</f>
        <v/>
      </c>
      <c r="H305" s="201" t="str">
        <f aca="false">IF(A306="","",G305)</f>
        <v/>
      </c>
      <c r="I305" s="202"/>
      <c r="J305" s="200" t="str">
        <f aca="false">IF($A306="","",VLOOKUP($A305,Table,MATCH(J$4,Curves,0)))</f>
        <v/>
      </c>
      <c r="K305" s="201" t="str">
        <f aca="false">IF(A306="","",J305)</f>
        <v/>
      </c>
      <c r="L305" s="185" t="n">
        <v>0</v>
      </c>
      <c r="M305" s="201" t="str">
        <f aca="false">IF(A306="","",L305)</f>
        <v/>
      </c>
      <c r="N305" s="203"/>
      <c r="O305" s="200" t="str">
        <f aca="false">IF(A306="","",L305+J305+G305)</f>
        <v/>
      </c>
      <c r="P305" s="200" t="str">
        <f aca="false">IF(A306="","",M305+K305+H305)</f>
        <v/>
      </c>
      <c r="Q305" s="204"/>
      <c r="R305" s="200" t="str">
        <f aca="false">IF($A306="","",VLOOKUP($A305,Table,MATCH(R$4,Curves,0)))</f>
        <v/>
      </c>
      <c r="S305" s="201" t="str">
        <f aca="false">IF(A306="","",R305)</f>
        <v/>
      </c>
      <c r="T305" s="200" t="str">
        <f aca="false">IF($A306="","",VLOOKUP($A305,Table,MATCH(T$4,Curves,0)))</f>
        <v/>
      </c>
      <c r="U305" s="201" t="str">
        <f aca="false">IF(A306="","",T305)</f>
        <v/>
      </c>
      <c r="V305" s="205" t="str">
        <f aca="false">IF($A306="","",IF(AND(MONTH(A305)&gt;3,MONTH(A305)&lt;11),(T305+R305+G305)*Summary!$T$10/(1-Summary!$T$10),(T305+R305+G305)*Summary!$U$10/(1-Summary!$U$10)))</f>
        <v/>
      </c>
      <c r="W305" s="200" t="str">
        <f aca="false">IF($A306="","",(T305+R305+G305+V305))</f>
        <v/>
      </c>
      <c r="X305" s="200" t="str">
        <f aca="false">IF($A306="","",(U305+S305+H305+V305))</f>
        <v/>
      </c>
      <c r="Y305" s="202"/>
      <c r="Z305" s="185" t="str">
        <f aca="false">IF($A306="","",VLOOKUP($A305,Table,MATCH(Z$4,Curves,0)))</f>
        <v/>
      </c>
      <c r="AA305" s="185" t="str">
        <f aca="false">IF($A306="","",VLOOKUP($A305,Table,MATCH(AA$4,Curves,0)))</f>
        <v/>
      </c>
      <c r="AB305" s="185" t="e">
        <f aca="false">SQRT((AA305^2*(A305-$D$3)+Z305^2*(DAY(EOMONTH(A305,0))/2))/AK305)</f>
        <v>#VALUE!</v>
      </c>
      <c r="AC305" s="185" t="str">
        <f aca="false">IF($A306="","",VLOOKUP($A305,Table,MATCH(AC$4,Curves,0)))</f>
        <v/>
      </c>
      <c r="AD305" s="185" t="str">
        <f aca="false">IF($A306="","",VLOOKUP($A305,Table,MATCH(AD$4,Curves,0)))</f>
        <v/>
      </c>
      <c r="AE305" s="185" t="e">
        <f aca="false">SQRT((AD305^2*(A305-$D$3)+AC305^2*(DAY(EOMONTH(A305,0))/2))/AK305)</f>
        <v>#VALUE!</v>
      </c>
      <c r="AF305" s="224" t="e">
        <f aca="false">((Summary!$N$10*(AA305*AD305)*(A305-$D$3))+(Summary!$M$10*Z305*AC305*(AJ305-EOMONTH(EDATE(A305,-1),0))))/(AK305*AB305*AE305)</f>
        <v>#VALUE!</v>
      </c>
      <c r="AG305" s="207" t="str">
        <f aca="false">IF($A306="","",Summary!$Q$10)</f>
        <v/>
      </c>
      <c r="AH305" s="207" t="str">
        <f aca="false">IF($A306="","",IF(Summary!$R$10="Y",(VLOOKUP($A305,Summary!$AD$6:$AF$9,3)+'Escalating commodity'!F318),'Escalating commodity'!F318))</f>
        <v/>
      </c>
      <c r="AI305" s="207" t="str">
        <f aca="false">IF($A306="","",AH305)</f>
        <v/>
      </c>
      <c r="AJ305" s="208" t="e">
        <f aca="false">A305+DAY(EOMONTH(A305,0))/2-1</f>
        <v>#VALUE!</v>
      </c>
      <c r="AK305" s="209" t="str">
        <f aca="false">IF($A306="","",$A305-$E$1)</f>
        <v/>
      </c>
      <c r="AL305" s="182" t="str">
        <f aca="false">IF($A306="","",SPRDOPT(P305,X305,AI305,0,AB305,AE305,AF305,AK305,$AJ$2,0))</f>
        <v/>
      </c>
      <c r="AM305" s="211" t="str">
        <f aca="false">IF($A306="","",MAX(0,O305-W305-AI305))</f>
        <v/>
      </c>
      <c r="AN305" s="211" t="str">
        <f aca="false">IF($A306="","",AL305-AM305)</f>
        <v/>
      </c>
      <c r="AO305" s="137" t="str">
        <f aca="false">IF(A306="","",A306-A305)</f>
        <v/>
      </c>
      <c r="AP305" s="212" t="str">
        <f aca="false">IF(A306="","",CHOOSE(F$3,A306+24,A305))</f>
        <v/>
      </c>
      <c r="AQ305" s="209" t="str">
        <f aca="false">IF(A306="","",AP305-$E$1)</f>
        <v/>
      </c>
      <c r="AR305" s="185" t="n">
        <f aca="false">'ANR OK vs ML7'!AR305</f>
        <v>0.1</v>
      </c>
      <c r="AS305" s="213" t="str">
        <f aca="false">IF(A306="","",1/(1+CHOOSE(F$3,(AR306+($I$3/10000))/2,(AR305+($I$3/10000))/2))^(2*AQ305/365.25))</f>
        <v/>
      </c>
      <c r="AT305" s="137" t="str">
        <f aca="false">IF(A306="","",IF(AND(mthbeg&lt;=A305,mthend&gt;=A305),1,0))</f>
        <v/>
      </c>
      <c r="AU305" s="137" t="str">
        <f aca="false">IF(A306="","",AO305*AT305)</f>
        <v/>
      </c>
      <c r="AW305" s="195" t="str">
        <f aca="false">IF($A306="","",AL305*$E305)</f>
        <v/>
      </c>
      <c r="AX305" s="195" t="str">
        <f aca="false">IF($A306="","",AM305*$E305)</f>
        <v/>
      </c>
      <c r="AY305" s="195" t="str">
        <f aca="false">IF($A306="","",AN305*$E305)</f>
        <v/>
      </c>
      <c r="BA305" s="195" t="str">
        <f aca="false">IF($A306="","",F305*Summary!$Q$10)</f>
        <v/>
      </c>
    </row>
    <row r="306" customFormat="false" ht="12" hidden="false" customHeight="true" outlineLevel="0" collapsed="false">
      <c r="A306" s="196" t="str">
        <f aca="false">IF(A305&lt;mthend,EDATE(A305,1),"")</f>
        <v/>
      </c>
      <c r="B306" s="197" t="str">
        <f aca="false">IF(A306&lt;mthend,B305,"")</f>
        <v/>
      </c>
      <c r="C306" s="215"/>
      <c r="D306" s="197" t="str">
        <f aca="false">IF(A307&lt;&gt;"",B306+C306,"")</f>
        <v/>
      </c>
      <c r="E306" s="199" t="str">
        <f aca="false">IF(A307="","",IF(AND(AT306=1,$H$3=1),D306*AO306,IF($H$3=2,D306,"N/A")))</f>
        <v/>
      </c>
      <c r="F306" s="199" t="str">
        <f aca="false">IF(A307="","",E306*AS306)</f>
        <v/>
      </c>
      <c r="G306" s="200" t="str">
        <f aca="false">IF($A307="","",VLOOKUP($A306,Table,MATCH(G$4,Curves,0)))</f>
        <v/>
      </c>
      <c r="H306" s="201" t="str">
        <f aca="false">IF(A307="","",G306)</f>
        <v/>
      </c>
      <c r="I306" s="202"/>
      <c r="J306" s="200" t="str">
        <f aca="false">IF($A307="","",VLOOKUP($A306,Table,MATCH(J$4,Curves,0)))</f>
        <v/>
      </c>
      <c r="K306" s="201" t="str">
        <f aca="false">IF(A307="","",J306)</f>
        <v/>
      </c>
      <c r="L306" s="185" t="n">
        <v>0</v>
      </c>
      <c r="M306" s="201" t="str">
        <f aca="false">IF(A307="","",L306)</f>
        <v/>
      </c>
      <c r="N306" s="203"/>
      <c r="O306" s="200" t="str">
        <f aca="false">IF(A307="","",L306+J306+G306)</f>
        <v/>
      </c>
      <c r="P306" s="200" t="str">
        <f aca="false">IF(A307="","",M306+K306+H306)</f>
        <v/>
      </c>
      <c r="Q306" s="204"/>
      <c r="R306" s="200" t="str">
        <f aca="false">IF($A307="","",VLOOKUP($A306,Table,MATCH(R$4,Curves,0)))</f>
        <v/>
      </c>
      <c r="S306" s="201" t="str">
        <f aca="false">IF(A307="","",R306)</f>
        <v/>
      </c>
      <c r="T306" s="200" t="str">
        <f aca="false">IF($A307="","",VLOOKUP($A306,Table,MATCH(T$4,Curves,0)))</f>
        <v/>
      </c>
      <c r="U306" s="201" t="str">
        <f aca="false">IF(A307="","",T306)</f>
        <v/>
      </c>
      <c r="V306" s="205" t="str">
        <f aca="false">IF($A307="","",IF(AND(MONTH(A306)&gt;3,MONTH(A306)&lt;11),(T306+R306+G306)*Summary!$T$10/(1-Summary!$T$10),(T306+R306+G306)*Summary!$U$10/(1-Summary!$U$10)))</f>
        <v/>
      </c>
      <c r="W306" s="200" t="str">
        <f aca="false">IF($A307="","",(T306+R306+G306+V306))</f>
        <v/>
      </c>
      <c r="X306" s="200" t="str">
        <f aca="false">IF($A307="","",(U306+S306+H306+V306))</f>
        <v/>
      </c>
      <c r="Y306" s="202"/>
      <c r="Z306" s="185" t="str">
        <f aca="false">IF($A307="","",VLOOKUP($A306,Table,MATCH(Z$4,Curves,0)))</f>
        <v/>
      </c>
      <c r="AA306" s="185" t="str">
        <f aca="false">IF($A307="","",VLOOKUP($A306,Table,MATCH(AA$4,Curves,0)))</f>
        <v/>
      </c>
      <c r="AB306" s="185" t="e">
        <f aca="false">SQRT((AA306^2*(A306-$D$3)+Z306^2*(DAY(EOMONTH(A306,0))/2))/AK306)</f>
        <v>#VALUE!</v>
      </c>
      <c r="AC306" s="185" t="str">
        <f aca="false">IF($A307="","",VLOOKUP($A306,Table,MATCH(AC$4,Curves,0)))</f>
        <v/>
      </c>
      <c r="AD306" s="185" t="str">
        <f aca="false">IF($A307="","",VLOOKUP($A306,Table,MATCH(AD$4,Curves,0)))</f>
        <v/>
      </c>
      <c r="AE306" s="185" t="e">
        <f aca="false">SQRT((AD306^2*(A306-$D$3)+AC306^2*(DAY(EOMONTH(A306,0))/2))/AK306)</f>
        <v>#VALUE!</v>
      </c>
      <c r="AF306" s="224" t="e">
        <f aca="false">((Summary!$N$10*(AA306*AD306)*(A306-$D$3))+(Summary!$M$10*Z306*AC306*(AJ306-EOMONTH(EDATE(A306,-1),0))))/(AK306*AB306*AE306)</f>
        <v>#VALUE!</v>
      </c>
      <c r="AG306" s="207" t="str">
        <f aca="false">IF($A307="","",Summary!$Q$10)</f>
        <v/>
      </c>
      <c r="AH306" s="207" t="str">
        <f aca="false">IF($A307="","",IF(Summary!$R$10="Y",(VLOOKUP($A306,Summary!$AD$6:$AF$9,3)+'Escalating commodity'!F319),'Escalating commodity'!F319))</f>
        <v/>
      </c>
      <c r="AI306" s="207" t="str">
        <f aca="false">IF($A307="","",AH306)</f>
        <v/>
      </c>
      <c r="AJ306" s="208" t="e">
        <f aca="false">A306+DAY(EOMONTH(A306,0))/2-1</f>
        <v>#VALUE!</v>
      </c>
      <c r="AK306" s="209" t="str">
        <f aca="false">IF($A307="","",$A306-$E$1)</f>
        <v/>
      </c>
      <c r="AL306" s="182" t="str">
        <f aca="false">IF($A307="","",SPRDOPT(P306,X306,AI306,0,AB306,AE306,AF306,AK306,$AJ$2,0))</f>
        <v/>
      </c>
      <c r="AM306" s="211" t="str">
        <f aca="false">IF($A307="","",MAX(0,O306-W306-AI306))</f>
        <v/>
      </c>
      <c r="AN306" s="211" t="str">
        <f aca="false">IF($A307="","",AL306-AM306)</f>
        <v/>
      </c>
      <c r="AO306" s="137" t="str">
        <f aca="false">IF(A307="","",A307-A306)</f>
        <v/>
      </c>
      <c r="AP306" s="212" t="str">
        <f aca="false">IF(A307="","",CHOOSE(F$3,A307+24,A306))</f>
        <v/>
      </c>
      <c r="AQ306" s="209" t="str">
        <f aca="false">IF(A307="","",AP306-$E$1)</f>
        <v/>
      </c>
      <c r="AR306" s="185" t="n">
        <f aca="false">'ANR OK vs ML7'!AR306</f>
        <v>0.1</v>
      </c>
      <c r="AS306" s="213" t="str">
        <f aca="false">IF(A307="","",1/(1+CHOOSE(F$3,(AR307+($I$3/10000))/2,(AR306+($I$3/10000))/2))^(2*AQ306/365.25))</f>
        <v/>
      </c>
      <c r="AT306" s="137" t="str">
        <f aca="false">IF(A307="","",IF(AND(mthbeg&lt;=A306,mthend&gt;=A306),1,0))</f>
        <v/>
      </c>
      <c r="AU306" s="137" t="str">
        <f aca="false">IF(A307="","",AO306*AT306)</f>
        <v/>
      </c>
      <c r="AW306" s="195" t="str">
        <f aca="false">IF($A307="","",AL306*$E306)</f>
        <v/>
      </c>
      <c r="AX306" s="195" t="str">
        <f aca="false">IF($A307="","",AM306*$E306)</f>
        <v/>
      </c>
      <c r="AY306" s="195" t="str">
        <f aca="false">IF($A307="","",AN306*$E306)</f>
        <v/>
      </c>
      <c r="BA306" s="195" t="str">
        <f aca="false">IF($A307="","",F306*Summary!$Q$10)</f>
        <v/>
      </c>
    </row>
    <row r="307" customFormat="false" ht="12" hidden="false" customHeight="true" outlineLevel="0" collapsed="false">
      <c r="A307" s="196" t="str">
        <f aca="false">IF(A306&lt;mthend,EDATE(A306,1),"")</f>
        <v/>
      </c>
      <c r="B307" s="197" t="str">
        <f aca="false">IF(A307&lt;mthend,B306,"")</f>
        <v/>
      </c>
      <c r="C307" s="215"/>
      <c r="D307" s="197" t="str">
        <f aca="false">IF(A308&lt;&gt;"",B307+C307,"")</f>
        <v/>
      </c>
      <c r="E307" s="199" t="str">
        <f aca="false">IF(A308="","",IF(AND(AT307=1,$H$3=1),D307*AO307,IF($H$3=2,D307,"N/A")))</f>
        <v/>
      </c>
      <c r="F307" s="199" t="str">
        <f aca="false">IF(A308="","",E307*AS307)</f>
        <v/>
      </c>
      <c r="G307" s="200" t="str">
        <f aca="false">IF($A308="","",VLOOKUP($A307,Table,MATCH(G$4,Curves,0)))</f>
        <v/>
      </c>
      <c r="H307" s="201" t="str">
        <f aca="false">IF(A308="","",G307)</f>
        <v/>
      </c>
      <c r="I307" s="202"/>
      <c r="J307" s="200" t="str">
        <f aca="false">IF($A308="","",VLOOKUP($A307,Table,MATCH(J$4,Curves,0)))</f>
        <v/>
      </c>
      <c r="K307" s="201" t="str">
        <f aca="false">IF(A308="","",J307)</f>
        <v/>
      </c>
      <c r="L307" s="185" t="n">
        <v>0</v>
      </c>
      <c r="M307" s="201" t="str">
        <f aca="false">IF(A308="","",L307)</f>
        <v/>
      </c>
      <c r="N307" s="203"/>
      <c r="O307" s="200" t="str">
        <f aca="false">IF(A308="","",L307+J307+G307)</f>
        <v/>
      </c>
      <c r="P307" s="200" t="str">
        <f aca="false">IF(A308="","",M307+K307+H307)</f>
        <v/>
      </c>
      <c r="Q307" s="204"/>
      <c r="R307" s="200" t="str">
        <f aca="false">IF($A308="","",VLOOKUP($A307,Table,MATCH(R$4,Curves,0)))</f>
        <v/>
      </c>
      <c r="S307" s="201" t="str">
        <f aca="false">IF(A308="","",R307)</f>
        <v/>
      </c>
      <c r="T307" s="200" t="str">
        <f aca="false">IF($A308="","",VLOOKUP($A307,Table,MATCH(T$4,Curves,0)))</f>
        <v/>
      </c>
      <c r="U307" s="201" t="str">
        <f aca="false">IF(A308="","",T307)</f>
        <v/>
      </c>
      <c r="V307" s="205" t="str">
        <f aca="false">IF($A308="","",IF(AND(MONTH(A307)&gt;3,MONTH(A307)&lt;11),(T307+R307+G307)*Summary!$T$10/(1-Summary!$T$10),(T307+R307+G307)*Summary!$U$10/(1-Summary!$U$10)))</f>
        <v/>
      </c>
      <c r="W307" s="200" t="str">
        <f aca="false">IF($A308="","",(T307+R307+G307+V307))</f>
        <v/>
      </c>
      <c r="X307" s="200" t="str">
        <f aca="false">IF($A308="","",(U307+S307+H307+V307))</f>
        <v/>
      </c>
      <c r="Y307" s="202"/>
      <c r="Z307" s="185" t="str">
        <f aca="false">IF($A308="","",VLOOKUP($A307,Table,MATCH(Z$4,Curves,0)))</f>
        <v/>
      </c>
      <c r="AA307" s="185" t="str">
        <f aca="false">IF($A308="","",VLOOKUP($A307,Table,MATCH(AA$4,Curves,0)))</f>
        <v/>
      </c>
      <c r="AB307" s="185" t="e">
        <f aca="false">SQRT((AA307^2*(A307-$D$3)+Z307^2*(DAY(EOMONTH(A307,0))/2))/AK307)</f>
        <v>#VALUE!</v>
      </c>
      <c r="AC307" s="185" t="str">
        <f aca="false">IF($A308="","",VLOOKUP($A307,Table,MATCH(AC$4,Curves,0)))</f>
        <v/>
      </c>
      <c r="AD307" s="185" t="str">
        <f aca="false">IF($A308="","",VLOOKUP($A307,Table,MATCH(AD$4,Curves,0)))</f>
        <v/>
      </c>
      <c r="AE307" s="185" t="e">
        <f aca="false">SQRT((AD307^2*(A307-$D$3)+AC307^2*(DAY(EOMONTH(A307,0))/2))/AK307)</f>
        <v>#VALUE!</v>
      </c>
      <c r="AF307" s="224" t="e">
        <f aca="false">((Summary!$N$10*(AA307*AD307)*(A307-$D$3))+(Summary!$M$10*Z307*AC307*(AJ307-EOMONTH(EDATE(A307,-1),0))))/(AK307*AB307*AE307)</f>
        <v>#VALUE!</v>
      </c>
      <c r="AG307" s="207" t="str">
        <f aca="false">IF($A308="","",Summary!$Q$10)</f>
        <v/>
      </c>
      <c r="AH307" s="207" t="str">
        <f aca="false">IF($A308="","",IF(Summary!$R$10="Y",(VLOOKUP($A307,Summary!$AD$6:$AF$9,3)+'Escalating commodity'!F320),'Escalating commodity'!F320))</f>
        <v/>
      </c>
      <c r="AI307" s="207" t="str">
        <f aca="false">IF($A308="","",AH307)</f>
        <v/>
      </c>
      <c r="AJ307" s="208" t="e">
        <f aca="false">A307+DAY(EOMONTH(A307,0))/2-1</f>
        <v>#VALUE!</v>
      </c>
      <c r="AK307" s="209" t="str">
        <f aca="false">IF($A308="","",$A307-$E$1)</f>
        <v/>
      </c>
      <c r="AL307" s="182" t="str">
        <f aca="false">IF($A308="","",SPRDOPT(P307,X307,AI307,0,AB307,AE307,AF307,AK307,$AJ$2,0))</f>
        <v/>
      </c>
      <c r="AM307" s="211" t="str">
        <f aca="false">IF($A308="","",MAX(0,O307-W307-AI307))</f>
        <v/>
      </c>
      <c r="AN307" s="211" t="str">
        <f aca="false">IF($A308="","",AL307-AM307)</f>
        <v/>
      </c>
      <c r="AO307" s="137" t="str">
        <f aca="false">IF(A308="","",A308-A307)</f>
        <v/>
      </c>
      <c r="AP307" s="212" t="str">
        <f aca="false">IF(A308="","",CHOOSE(F$3,A308+24,A307))</f>
        <v/>
      </c>
      <c r="AQ307" s="209" t="str">
        <f aca="false">IF(A308="","",AP307-$E$1)</f>
        <v/>
      </c>
      <c r="AR307" s="185" t="n">
        <f aca="false">'ANR OK vs ML7'!AR307</f>
        <v>0.1</v>
      </c>
      <c r="AS307" s="213" t="str">
        <f aca="false">IF(A308="","",1/(1+CHOOSE(F$3,(AR308+($I$3/10000))/2,(AR307+($I$3/10000))/2))^(2*AQ307/365.25))</f>
        <v/>
      </c>
      <c r="AT307" s="137" t="str">
        <f aca="false">IF(A308="","",IF(AND(mthbeg&lt;=A307,mthend&gt;=A307),1,0))</f>
        <v/>
      </c>
      <c r="AU307" s="137" t="str">
        <f aca="false">IF(A308="","",AO307*AT307)</f>
        <v/>
      </c>
      <c r="AW307" s="195" t="str">
        <f aca="false">IF($A308="","",AL307*$E307)</f>
        <v/>
      </c>
      <c r="AX307" s="195" t="str">
        <f aca="false">IF($A308="","",AM307*$E307)</f>
        <v/>
      </c>
      <c r="AY307" s="195" t="str">
        <f aca="false">IF($A308="","",AN307*$E307)</f>
        <v/>
      </c>
      <c r="BA307" s="195" t="str">
        <f aca="false">IF($A308="","",F307*Summary!$Q$10)</f>
        <v/>
      </c>
    </row>
    <row r="308" customFormat="false" ht="12" hidden="false" customHeight="true" outlineLevel="0" collapsed="false">
      <c r="A308" s="196" t="str">
        <f aca="false">IF(A307&lt;mthend,EDATE(A307,1),"")</f>
        <v/>
      </c>
      <c r="B308" s="197" t="str">
        <f aca="false">IF(A308&lt;mthend,B307,"")</f>
        <v/>
      </c>
      <c r="C308" s="215"/>
      <c r="D308" s="197" t="str">
        <f aca="false">IF(A309&lt;&gt;"",B308+C308,"")</f>
        <v/>
      </c>
      <c r="E308" s="199" t="str">
        <f aca="false">IF(A309="","",IF(AND(AT308=1,$H$3=1),D308*AO308,IF($H$3=2,D308,"N/A")))</f>
        <v/>
      </c>
      <c r="F308" s="199" t="str">
        <f aca="false">IF(A309="","",E308*AS308)</f>
        <v/>
      </c>
      <c r="G308" s="200" t="str">
        <f aca="false">IF($A309="","",VLOOKUP($A308,Table,MATCH(G$4,Curves,0)))</f>
        <v/>
      </c>
      <c r="H308" s="201" t="str">
        <f aca="false">IF(A309="","",G308)</f>
        <v/>
      </c>
      <c r="I308" s="202"/>
      <c r="J308" s="200" t="str">
        <f aca="false">IF($A309="","",VLOOKUP($A308,Table,MATCH(J$4,Curves,0)))</f>
        <v/>
      </c>
      <c r="K308" s="201" t="str">
        <f aca="false">IF(A309="","",J308)</f>
        <v/>
      </c>
      <c r="L308" s="185" t="n">
        <v>0</v>
      </c>
      <c r="M308" s="201" t="str">
        <f aca="false">IF(A309="","",L308)</f>
        <v/>
      </c>
      <c r="N308" s="203"/>
      <c r="O308" s="200" t="str">
        <f aca="false">IF(A309="","",L308+J308+G308)</f>
        <v/>
      </c>
      <c r="P308" s="200" t="str">
        <f aca="false">IF(A309="","",M308+K308+H308)</f>
        <v/>
      </c>
      <c r="Q308" s="204"/>
      <c r="R308" s="200" t="str">
        <f aca="false">IF($A309="","",VLOOKUP($A308,Table,MATCH(R$4,Curves,0)))</f>
        <v/>
      </c>
      <c r="S308" s="201" t="str">
        <f aca="false">IF(A309="","",R308)</f>
        <v/>
      </c>
      <c r="T308" s="200" t="str">
        <f aca="false">IF($A309="","",VLOOKUP($A308,Table,MATCH(T$4,Curves,0)))</f>
        <v/>
      </c>
      <c r="U308" s="201" t="str">
        <f aca="false">IF(A309="","",T308)</f>
        <v/>
      </c>
      <c r="V308" s="205" t="str">
        <f aca="false">IF($A309="","",IF(AND(MONTH(A308)&gt;3,MONTH(A308)&lt;11),(T308+R308+G308)*Summary!$T$10/(1-Summary!$T$10),(T308+R308+G308)*Summary!$U$10/(1-Summary!$U$10)))</f>
        <v/>
      </c>
      <c r="W308" s="200" t="str">
        <f aca="false">IF($A309="","",(T308+R308+G308+V308))</f>
        <v/>
      </c>
      <c r="X308" s="200" t="str">
        <f aca="false">IF($A309="","",(U308+S308+H308+V308))</f>
        <v/>
      </c>
      <c r="Y308" s="202"/>
      <c r="Z308" s="185" t="str">
        <f aca="false">IF($A309="","",VLOOKUP($A308,Table,MATCH(Z$4,Curves,0)))</f>
        <v/>
      </c>
      <c r="AA308" s="185" t="str">
        <f aca="false">IF($A309="","",VLOOKUP($A308,Table,MATCH(AA$4,Curves,0)))</f>
        <v/>
      </c>
      <c r="AB308" s="185" t="e">
        <f aca="false">SQRT((AA308^2*(A308-$D$3)+Z308^2*(DAY(EOMONTH(A308,0))/2))/AK308)</f>
        <v>#VALUE!</v>
      </c>
      <c r="AC308" s="185" t="str">
        <f aca="false">IF($A309="","",VLOOKUP($A308,Table,MATCH(AC$4,Curves,0)))</f>
        <v/>
      </c>
      <c r="AD308" s="185" t="str">
        <f aca="false">IF($A309="","",VLOOKUP($A308,Table,MATCH(AD$4,Curves,0)))</f>
        <v/>
      </c>
      <c r="AE308" s="185" t="e">
        <f aca="false">SQRT((AD308^2*(A308-$D$3)+AC308^2*(DAY(EOMONTH(A308,0))/2))/AK308)</f>
        <v>#VALUE!</v>
      </c>
      <c r="AF308" s="224" t="e">
        <f aca="false">((Summary!$N$10*(AA308*AD308)*(A308-$D$3))+(Summary!$M$10*Z308*AC308*(AJ308-EOMONTH(EDATE(A308,-1),0))))/(AK308*AB308*AE308)</f>
        <v>#VALUE!</v>
      </c>
      <c r="AG308" s="207" t="str">
        <f aca="false">IF($A309="","",Summary!$Q$10)</f>
        <v/>
      </c>
      <c r="AH308" s="207" t="str">
        <f aca="false">IF($A309="","",IF(Summary!$R$10="Y",(VLOOKUP($A308,Summary!$AD$6:$AF$9,3)+'Escalating commodity'!F321),'Escalating commodity'!F321))</f>
        <v/>
      </c>
      <c r="AI308" s="207" t="str">
        <f aca="false">IF($A309="","",AH308)</f>
        <v/>
      </c>
      <c r="AJ308" s="208" t="e">
        <f aca="false">A308+DAY(EOMONTH(A308,0))/2-1</f>
        <v>#VALUE!</v>
      </c>
      <c r="AK308" s="209" t="str">
        <f aca="false">IF($A309="","",$A308-$E$1)</f>
        <v/>
      </c>
      <c r="AL308" s="182" t="str">
        <f aca="false">IF($A309="","",SPRDOPT(P308,X308,AI308,0,AB308,AE308,AF308,AK308,$AJ$2,0))</f>
        <v/>
      </c>
      <c r="AM308" s="211" t="str">
        <f aca="false">IF($A309="","",MAX(0,O308-W308-AI308))</f>
        <v/>
      </c>
      <c r="AN308" s="211" t="str">
        <f aca="false">IF($A309="","",AL308-AM308)</f>
        <v/>
      </c>
      <c r="AO308" s="137" t="str">
        <f aca="false">IF(A309="","",A309-A308)</f>
        <v/>
      </c>
      <c r="AP308" s="212" t="str">
        <f aca="false">IF(A309="","",CHOOSE(F$3,A309+24,A308))</f>
        <v/>
      </c>
      <c r="AQ308" s="209" t="str">
        <f aca="false">IF(A309="","",AP308-$E$1)</f>
        <v/>
      </c>
      <c r="AR308" s="185" t="n">
        <f aca="false">'ANR OK vs ML7'!AR308</f>
        <v>0.1</v>
      </c>
      <c r="AS308" s="213" t="str">
        <f aca="false">IF(A309="","",1/(1+CHOOSE(F$3,(AR309+($I$3/10000))/2,(AR308+($I$3/10000))/2))^(2*AQ308/365.25))</f>
        <v/>
      </c>
      <c r="AT308" s="137" t="str">
        <f aca="false">IF(A309="","",IF(AND(mthbeg&lt;=A308,mthend&gt;=A308),1,0))</f>
        <v/>
      </c>
      <c r="AU308" s="137" t="str">
        <f aca="false">IF(A309="","",AO308*AT308)</f>
        <v/>
      </c>
      <c r="AW308" s="195" t="str">
        <f aca="false">IF($A309="","",AL308*$E308)</f>
        <v/>
      </c>
      <c r="AX308" s="195" t="str">
        <f aca="false">IF($A309="","",AM308*$E308)</f>
        <v/>
      </c>
      <c r="AY308" s="195" t="str">
        <f aca="false">IF($A309="","",AN308*$E308)</f>
        <v/>
      </c>
      <c r="BA308" s="195" t="str">
        <f aca="false">IF($A309="","",F308*Summary!$Q$10)</f>
        <v/>
      </c>
    </row>
    <row r="309" customFormat="false" ht="12" hidden="false" customHeight="true" outlineLevel="0" collapsed="false">
      <c r="A309" s="196" t="str">
        <f aca="false">IF(A308&lt;mthend,EDATE(A308,1),"")</f>
        <v/>
      </c>
      <c r="B309" s="197" t="str">
        <f aca="false">IF(A309&lt;mthend,B308,"")</f>
        <v/>
      </c>
      <c r="C309" s="215"/>
      <c r="D309" s="197" t="str">
        <f aca="false">IF(A310&lt;&gt;"",B309+C309,"")</f>
        <v/>
      </c>
      <c r="E309" s="199" t="str">
        <f aca="false">IF(A310="","",IF(AND(AT309=1,$H$3=1),D309*AO309,IF($H$3=2,D309,"N/A")))</f>
        <v/>
      </c>
      <c r="F309" s="199" t="str">
        <f aca="false">IF(A310="","",E309*AS309)</f>
        <v/>
      </c>
      <c r="G309" s="200" t="str">
        <f aca="false">IF($A310="","",VLOOKUP($A309,Table,MATCH(G$4,Curves,0)))</f>
        <v/>
      </c>
      <c r="H309" s="201" t="str">
        <f aca="false">IF(A310="","",G309)</f>
        <v/>
      </c>
      <c r="I309" s="202"/>
      <c r="J309" s="200" t="str">
        <f aca="false">IF($A310="","",VLOOKUP($A309,Table,MATCH(J$4,Curves,0)))</f>
        <v/>
      </c>
      <c r="K309" s="201" t="str">
        <f aca="false">IF(A310="","",J309)</f>
        <v/>
      </c>
      <c r="L309" s="185" t="n">
        <v>0</v>
      </c>
      <c r="M309" s="201" t="str">
        <f aca="false">IF(A310="","",L309)</f>
        <v/>
      </c>
      <c r="N309" s="203"/>
      <c r="O309" s="200" t="str">
        <f aca="false">IF(A310="","",L309+J309+G309)</f>
        <v/>
      </c>
      <c r="P309" s="200" t="str">
        <f aca="false">IF(A310="","",M309+K309+H309)</f>
        <v/>
      </c>
      <c r="Q309" s="204"/>
      <c r="R309" s="200" t="str">
        <f aca="false">IF($A310="","",VLOOKUP($A309,Table,MATCH(R$4,Curves,0)))</f>
        <v/>
      </c>
      <c r="S309" s="201" t="str">
        <f aca="false">IF(A310="","",R309)</f>
        <v/>
      </c>
      <c r="T309" s="200" t="str">
        <f aca="false">IF($A310="","",VLOOKUP($A309,Table,MATCH(T$4,Curves,0)))</f>
        <v/>
      </c>
      <c r="U309" s="201" t="str">
        <f aca="false">IF(A310="","",T309)</f>
        <v/>
      </c>
      <c r="V309" s="205" t="str">
        <f aca="false">IF($A310="","",IF(AND(MONTH(A309)&gt;3,MONTH(A309)&lt;11),(T309+R309+G309)*Summary!$T$10/(1-Summary!$T$10),(T309+R309+G309)*Summary!$U$10/(1-Summary!$U$10)))</f>
        <v/>
      </c>
      <c r="W309" s="200" t="str">
        <f aca="false">IF($A310="","",(T309+R309+G309+V309))</f>
        <v/>
      </c>
      <c r="X309" s="200" t="str">
        <f aca="false">IF($A310="","",(U309+S309+H309+V309))</f>
        <v/>
      </c>
      <c r="Y309" s="202"/>
      <c r="Z309" s="185" t="str">
        <f aca="false">IF($A310="","",VLOOKUP($A309,Table,MATCH(Z$4,Curves,0)))</f>
        <v/>
      </c>
      <c r="AA309" s="185" t="str">
        <f aca="false">IF($A310="","",VLOOKUP($A309,Table,MATCH(AA$4,Curves,0)))</f>
        <v/>
      </c>
      <c r="AB309" s="185" t="e">
        <f aca="false">SQRT((AA309^2*(A309-$D$3)+Z309^2*(DAY(EOMONTH(A309,0))/2))/AK309)</f>
        <v>#VALUE!</v>
      </c>
      <c r="AC309" s="185" t="str">
        <f aca="false">IF($A310="","",VLOOKUP($A309,Table,MATCH(AC$4,Curves,0)))</f>
        <v/>
      </c>
      <c r="AD309" s="185" t="str">
        <f aca="false">IF($A310="","",VLOOKUP($A309,Table,MATCH(AD$4,Curves,0)))</f>
        <v/>
      </c>
      <c r="AE309" s="185" t="e">
        <f aca="false">SQRT((AD309^2*(A309-$D$3)+AC309^2*(DAY(EOMONTH(A309,0))/2))/AK309)</f>
        <v>#VALUE!</v>
      </c>
      <c r="AF309" s="224" t="e">
        <f aca="false">((Summary!$N$10*(AA309*AD309)*(A309-$D$3))+(Summary!$M$10*Z309*AC309*(AJ309-EOMONTH(EDATE(A309,-1),0))))/(AK309*AB309*AE309)</f>
        <v>#VALUE!</v>
      </c>
      <c r="AG309" s="207" t="str">
        <f aca="false">IF($A310="","",Summary!$Q$10)</f>
        <v/>
      </c>
      <c r="AH309" s="207" t="str">
        <f aca="false">IF($A310="","",IF(Summary!$R$10="Y",(VLOOKUP($A309,Summary!$AD$6:$AF$9,3)+'Escalating commodity'!F322),'Escalating commodity'!F322))</f>
        <v/>
      </c>
      <c r="AI309" s="207" t="str">
        <f aca="false">IF($A310="","",AH309)</f>
        <v/>
      </c>
      <c r="AJ309" s="208" t="e">
        <f aca="false">A309+DAY(EOMONTH(A309,0))/2-1</f>
        <v>#VALUE!</v>
      </c>
      <c r="AK309" s="209" t="str">
        <f aca="false">IF($A310="","",$A309-$E$1)</f>
        <v/>
      </c>
      <c r="AL309" s="182" t="str">
        <f aca="false">IF($A310="","",SPRDOPT(P309,X309,AI309,0,AB309,AE309,AF309,AK309,$AJ$2,0))</f>
        <v/>
      </c>
      <c r="AM309" s="211" t="str">
        <f aca="false">IF($A310="","",MAX(0,O309-W309-AI309))</f>
        <v/>
      </c>
      <c r="AN309" s="211" t="str">
        <f aca="false">IF($A310="","",AL309-AM309)</f>
        <v/>
      </c>
      <c r="AO309" s="137" t="str">
        <f aca="false">IF(A310="","",A310-A309)</f>
        <v/>
      </c>
      <c r="AP309" s="212" t="str">
        <f aca="false">IF(A310="","",CHOOSE(F$3,A310+24,A309))</f>
        <v/>
      </c>
      <c r="AQ309" s="209" t="str">
        <f aca="false">IF(A310="","",AP309-$E$1)</f>
        <v/>
      </c>
      <c r="AR309" s="185" t="n">
        <f aca="false">'ANR OK vs ML7'!AR309</f>
        <v>0.1</v>
      </c>
      <c r="AS309" s="213" t="str">
        <f aca="false">IF(A310="","",1/(1+CHOOSE(F$3,(AR310+($I$3/10000))/2,(AR309+($I$3/10000))/2))^(2*AQ309/365.25))</f>
        <v/>
      </c>
      <c r="AT309" s="137" t="str">
        <f aca="false">IF(A310="","",IF(AND(mthbeg&lt;=A309,mthend&gt;=A309),1,0))</f>
        <v/>
      </c>
      <c r="AU309" s="137" t="str">
        <f aca="false">IF(A310="","",AO309*AT309)</f>
        <v/>
      </c>
      <c r="AW309" s="195" t="str">
        <f aca="false">IF($A310="","",AL309*$E309)</f>
        <v/>
      </c>
      <c r="AX309" s="195" t="str">
        <f aca="false">IF($A310="","",AM309*$E309)</f>
        <v/>
      </c>
      <c r="AY309" s="195" t="str">
        <f aca="false">IF($A310="","",AN309*$E309)</f>
        <v/>
      </c>
      <c r="BA309" s="195" t="str">
        <f aca="false">IF($A310="","",F309*Summary!$Q$10)</f>
        <v/>
      </c>
    </row>
    <row r="310" customFormat="false" ht="12" hidden="false" customHeight="true" outlineLevel="0" collapsed="false">
      <c r="A310" s="196" t="str">
        <f aca="false">IF(A309&lt;mthend,EDATE(A309,1),"")</f>
        <v/>
      </c>
      <c r="B310" s="197" t="str">
        <f aca="false">IF(A310&lt;mthend,B309,"")</f>
        <v/>
      </c>
      <c r="C310" s="215"/>
      <c r="D310" s="197" t="str">
        <f aca="false">IF(A311&lt;&gt;"",B310+C310,"")</f>
        <v/>
      </c>
      <c r="E310" s="199" t="str">
        <f aca="false">IF(A311="","",IF(AND(AT310=1,$H$3=1),D310*AO310,IF($H$3=2,D310,"N/A")))</f>
        <v/>
      </c>
      <c r="F310" s="199" t="str">
        <f aca="false">IF(A311="","",E310*AS310)</f>
        <v/>
      </c>
      <c r="G310" s="200" t="str">
        <f aca="false">IF($A311="","",VLOOKUP($A310,Table,MATCH(G$4,Curves,0)))</f>
        <v/>
      </c>
      <c r="H310" s="201" t="str">
        <f aca="false">IF(A311="","",G310)</f>
        <v/>
      </c>
      <c r="I310" s="202"/>
      <c r="J310" s="200" t="str">
        <f aca="false">IF($A311="","",VLOOKUP($A310,Table,MATCH(J$4,Curves,0)))</f>
        <v/>
      </c>
      <c r="K310" s="201" t="str">
        <f aca="false">IF(A311="","",J310)</f>
        <v/>
      </c>
      <c r="L310" s="185" t="n">
        <v>0</v>
      </c>
      <c r="M310" s="201" t="str">
        <f aca="false">IF(A311="","",L310)</f>
        <v/>
      </c>
      <c r="N310" s="203"/>
      <c r="O310" s="200" t="str">
        <f aca="false">IF(A311="","",L310+J310+G310)</f>
        <v/>
      </c>
      <c r="P310" s="200" t="str">
        <f aca="false">IF(A311="","",M310+K310+H310)</f>
        <v/>
      </c>
      <c r="Q310" s="204"/>
      <c r="R310" s="200" t="str">
        <f aca="false">IF($A311="","",VLOOKUP($A310,Table,MATCH(R$4,Curves,0)))</f>
        <v/>
      </c>
      <c r="S310" s="201" t="str">
        <f aca="false">IF(A311="","",R310)</f>
        <v/>
      </c>
      <c r="T310" s="200" t="str">
        <f aca="false">IF($A311="","",VLOOKUP($A310,Table,MATCH(T$4,Curves,0)))</f>
        <v/>
      </c>
      <c r="U310" s="201" t="str">
        <f aca="false">IF(A311="","",T310)</f>
        <v/>
      </c>
      <c r="V310" s="205" t="str">
        <f aca="false">IF($A311="","",IF(AND(MONTH(A310)&gt;3,MONTH(A310)&lt;11),(T310+R310+G310)*Summary!$T$10/(1-Summary!$T$10),(T310+R310+G310)*Summary!$U$10/(1-Summary!$U$10)))</f>
        <v/>
      </c>
      <c r="W310" s="200" t="str">
        <f aca="false">IF($A311="","",(T310+R310+G310+V310))</f>
        <v/>
      </c>
      <c r="X310" s="200" t="str">
        <f aca="false">IF($A311="","",(U310+S310+H310+V310))</f>
        <v/>
      </c>
      <c r="Y310" s="202"/>
      <c r="Z310" s="185" t="str">
        <f aca="false">IF($A311="","",VLOOKUP($A310,Table,MATCH(Z$4,Curves,0)))</f>
        <v/>
      </c>
      <c r="AA310" s="185" t="str">
        <f aca="false">IF($A311="","",VLOOKUP($A310,Table,MATCH(AA$4,Curves,0)))</f>
        <v/>
      </c>
      <c r="AB310" s="185" t="e">
        <f aca="false">SQRT((AA310^2*(A310-$D$3)+Z310^2*(DAY(EOMONTH(A310,0))/2))/AK310)</f>
        <v>#VALUE!</v>
      </c>
      <c r="AC310" s="185" t="str">
        <f aca="false">IF($A311="","",VLOOKUP($A310,Table,MATCH(AC$4,Curves,0)))</f>
        <v/>
      </c>
      <c r="AD310" s="185" t="str">
        <f aca="false">IF($A311="","",VLOOKUP($A310,Table,MATCH(AD$4,Curves,0)))</f>
        <v/>
      </c>
      <c r="AE310" s="185" t="e">
        <f aca="false">SQRT((AD310^2*(A310-$D$3)+AC310^2*(DAY(EOMONTH(A310,0))/2))/AK310)</f>
        <v>#VALUE!</v>
      </c>
      <c r="AF310" s="224" t="e">
        <f aca="false">((Summary!$N$10*(AA310*AD310)*(A310-$D$3))+(Summary!$M$10*Z310*AC310*(AJ310-EOMONTH(EDATE(A310,-1),0))))/(AK310*AB310*AE310)</f>
        <v>#VALUE!</v>
      </c>
      <c r="AG310" s="207" t="str">
        <f aca="false">IF($A311="","",Summary!$Q$10)</f>
        <v/>
      </c>
      <c r="AH310" s="207" t="str">
        <f aca="false">IF($A311="","",IF(Summary!$R$10="Y",(VLOOKUP($A310,Summary!$AD$6:$AF$9,3)+'Escalating commodity'!F323),'Escalating commodity'!F323))</f>
        <v/>
      </c>
      <c r="AI310" s="207" t="str">
        <f aca="false">IF($A311="","",AH310)</f>
        <v/>
      </c>
      <c r="AJ310" s="208" t="e">
        <f aca="false">A310+DAY(EOMONTH(A310,0))/2-1</f>
        <v>#VALUE!</v>
      </c>
      <c r="AK310" s="209" t="str">
        <f aca="false">IF($A311="","",$A310-$E$1)</f>
        <v/>
      </c>
      <c r="AL310" s="182" t="str">
        <f aca="false">IF($A311="","",SPRDOPT(P310,X310,AI310,0,AB310,AE310,AF310,AK310,$AJ$2,0))</f>
        <v/>
      </c>
      <c r="AM310" s="211" t="str">
        <f aca="false">IF($A311="","",MAX(0,O310-W310-AI310))</f>
        <v/>
      </c>
      <c r="AN310" s="211" t="str">
        <f aca="false">IF($A311="","",AL310-AM310)</f>
        <v/>
      </c>
      <c r="AO310" s="137" t="str">
        <f aca="false">IF(A311="","",A311-A310)</f>
        <v/>
      </c>
      <c r="AP310" s="212" t="str">
        <f aca="false">IF(A311="","",CHOOSE(F$3,A311+24,A310))</f>
        <v/>
      </c>
      <c r="AQ310" s="209" t="str">
        <f aca="false">IF(A311="","",AP310-$E$1)</f>
        <v/>
      </c>
      <c r="AR310" s="185" t="n">
        <f aca="false">'ANR OK vs ML7'!AR310</f>
        <v>0.1</v>
      </c>
      <c r="AS310" s="213" t="str">
        <f aca="false">IF(A311="","",1/(1+CHOOSE(F$3,(AR311+($I$3/10000))/2,(AR310+($I$3/10000))/2))^(2*AQ310/365.25))</f>
        <v/>
      </c>
      <c r="AT310" s="137" t="str">
        <f aca="false">IF(A311="","",IF(AND(mthbeg&lt;=A310,mthend&gt;=A310),1,0))</f>
        <v/>
      </c>
      <c r="AU310" s="137" t="str">
        <f aca="false">IF(A311="","",AO310*AT310)</f>
        <v/>
      </c>
      <c r="AW310" s="195" t="str">
        <f aca="false">IF($A311="","",AL310*$E310)</f>
        <v/>
      </c>
      <c r="AX310" s="195" t="str">
        <f aca="false">IF($A311="","",AM310*$E310)</f>
        <v/>
      </c>
      <c r="AY310" s="195" t="str">
        <f aca="false">IF($A311="","",AN310*$E310)</f>
        <v/>
      </c>
      <c r="BA310" s="195" t="str">
        <f aca="false">IF($A311="","",F310*Summary!$Q$10)</f>
        <v/>
      </c>
    </row>
    <row r="311" customFormat="false" ht="12" hidden="false" customHeight="true" outlineLevel="0" collapsed="false">
      <c r="A311" s="196" t="str">
        <f aca="false">IF(A310&lt;mthend,EDATE(A310,1),"")</f>
        <v/>
      </c>
      <c r="B311" s="197" t="str">
        <f aca="false">IF(A311&lt;mthend,B310,"")</f>
        <v/>
      </c>
      <c r="C311" s="215"/>
      <c r="D311" s="197" t="str">
        <f aca="false">IF(A312&lt;&gt;"",B311+C311,"")</f>
        <v/>
      </c>
      <c r="E311" s="199" t="str">
        <f aca="false">IF(A312="","",IF(AND(AT311=1,$H$3=1),D311*AO311,IF($H$3=2,D311,"N/A")))</f>
        <v/>
      </c>
      <c r="F311" s="199" t="str">
        <f aca="false">IF(A312="","",E311*AS311)</f>
        <v/>
      </c>
      <c r="G311" s="200" t="str">
        <f aca="false">IF($A312="","",VLOOKUP($A311,Table,MATCH(G$4,Curves,0)))</f>
        <v/>
      </c>
      <c r="H311" s="201" t="str">
        <f aca="false">IF(A312="","",G311)</f>
        <v/>
      </c>
      <c r="I311" s="202"/>
      <c r="J311" s="200" t="str">
        <f aca="false">IF($A312="","",VLOOKUP($A311,Table,MATCH(J$4,Curves,0)))</f>
        <v/>
      </c>
      <c r="K311" s="201" t="str">
        <f aca="false">IF(A312="","",J311)</f>
        <v/>
      </c>
      <c r="L311" s="185" t="n">
        <v>0</v>
      </c>
      <c r="M311" s="201" t="str">
        <f aca="false">IF(A312="","",L311)</f>
        <v/>
      </c>
      <c r="N311" s="203"/>
      <c r="O311" s="200" t="str">
        <f aca="false">IF(A312="","",L311+J311+G311)</f>
        <v/>
      </c>
      <c r="P311" s="200" t="str">
        <f aca="false">IF(A312="","",M311+K311+H311)</f>
        <v/>
      </c>
      <c r="Q311" s="204"/>
      <c r="R311" s="200" t="str">
        <f aca="false">IF($A312="","",VLOOKUP($A311,Table,MATCH(R$4,Curves,0)))</f>
        <v/>
      </c>
      <c r="S311" s="201" t="str">
        <f aca="false">IF(A312="","",R311)</f>
        <v/>
      </c>
      <c r="T311" s="200" t="str">
        <f aca="false">IF($A312="","",VLOOKUP($A311,Table,MATCH(T$4,Curves,0)))</f>
        <v/>
      </c>
      <c r="U311" s="201" t="str">
        <f aca="false">IF(A312="","",T311)</f>
        <v/>
      </c>
      <c r="V311" s="205" t="str">
        <f aca="false">IF($A312="","",IF(AND(MONTH(A311)&gt;3,MONTH(A311)&lt;11),(T311+R311+G311)*Summary!$T$10/(1-Summary!$T$10),(T311+R311+G311)*Summary!$U$10/(1-Summary!$U$10)))</f>
        <v/>
      </c>
      <c r="W311" s="200" t="str">
        <f aca="false">IF($A312="","",(T311+R311+G311+V311))</f>
        <v/>
      </c>
      <c r="X311" s="200" t="str">
        <f aca="false">IF($A312="","",(U311+S311+H311+V311))</f>
        <v/>
      </c>
      <c r="Y311" s="202"/>
      <c r="Z311" s="185" t="str">
        <f aca="false">IF($A312="","",VLOOKUP($A311,Table,MATCH(Z$4,Curves,0)))</f>
        <v/>
      </c>
      <c r="AA311" s="185" t="str">
        <f aca="false">IF($A312="","",VLOOKUP($A311,Table,MATCH(AA$4,Curves,0)))</f>
        <v/>
      </c>
      <c r="AB311" s="185" t="e">
        <f aca="false">SQRT((AA311^2*(A311-$D$3)+Z311^2*(DAY(EOMONTH(A311,0))/2))/AK311)</f>
        <v>#VALUE!</v>
      </c>
      <c r="AC311" s="185" t="str">
        <f aca="false">IF($A312="","",VLOOKUP($A311,Table,MATCH(AC$4,Curves,0)))</f>
        <v/>
      </c>
      <c r="AD311" s="185" t="str">
        <f aca="false">IF($A312="","",VLOOKUP($A311,Table,MATCH(AD$4,Curves,0)))</f>
        <v/>
      </c>
      <c r="AE311" s="185" t="e">
        <f aca="false">SQRT((AD311^2*(A311-$D$3)+AC311^2*(DAY(EOMONTH(A311,0))/2))/AK311)</f>
        <v>#VALUE!</v>
      </c>
      <c r="AF311" s="224" t="e">
        <f aca="false">((Summary!$N$10*(AA311*AD311)*(A311-$D$3))+(Summary!$M$10*Z311*AC311*(AJ311-EOMONTH(EDATE(A311,-1),0))))/(AK311*AB311*AE311)</f>
        <v>#VALUE!</v>
      </c>
      <c r="AG311" s="207" t="str">
        <f aca="false">IF($A312="","",Summary!$Q$10)</f>
        <v/>
      </c>
      <c r="AH311" s="207" t="str">
        <f aca="false">IF($A312="","",IF(Summary!$R$10="Y",(VLOOKUP($A311,Summary!$AD$6:$AF$9,3)+'Escalating commodity'!F324),'Escalating commodity'!F324))</f>
        <v/>
      </c>
      <c r="AI311" s="207" t="str">
        <f aca="false">IF($A312="","",AH311)</f>
        <v/>
      </c>
      <c r="AJ311" s="208" t="e">
        <f aca="false">A311+DAY(EOMONTH(A311,0))/2-1</f>
        <v>#VALUE!</v>
      </c>
      <c r="AK311" s="209" t="str">
        <f aca="false">IF($A312="","",$A311-$E$1)</f>
        <v/>
      </c>
      <c r="AL311" s="182" t="str">
        <f aca="false">IF($A312="","",SPRDOPT(P311,X311,AI311,0,AB311,AE311,AF311,AK311,$AJ$2,0))</f>
        <v/>
      </c>
      <c r="AM311" s="211" t="str">
        <f aca="false">IF($A312="","",MAX(0,O311-W311-AI311))</f>
        <v/>
      </c>
      <c r="AN311" s="211" t="str">
        <f aca="false">IF($A312="","",AL311-AM311)</f>
        <v/>
      </c>
      <c r="AO311" s="137" t="str">
        <f aca="false">IF(A312="","",A312-A311)</f>
        <v/>
      </c>
      <c r="AP311" s="212" t="str">
        <f aca="false">IF(A312="","",CHOOSE(F$3,A312+24,A311))</f>
        <v/>
      </c>
      <c r="AQ311" s="209" t="str">
        <f aca="false">IF(A312="","",AP311-$E$1)</f>
        <v/>
      </c>
      <c r="AR311" s="185" t="n">
        <f aca="false">'ANR OK vs ML7'!AR311</f>
        <v>0.1</v>
      </c>
      <c r="AS311" s="213" t="str">
        <f aca="false">IF(A312="","",1/(1+CHOOSE(F$3,(AR312+($I$3/10000))/2,(AR311+($I$3/10000))/2))^(2*AQ311/365.25))</f>
        <v/>
      </c>
      <c r="AT311" s="137" t="str">
        <f aca="false">IF(A312="","",IF(AND(mthbeg&lt;=A311,mthend&gt;=A311),1,0))</f>
        <v/>
      </c>
      <c r="AU311" s="137" t="str">
        <f aca="false">IF(A312="","",AO311*AT311)</f>
        <v/>
      </c>
      <c r="AW311" s="195" t="str">
        <f aca="false">IF($A312="","",AL311*$E311)</f>
        <v/>
      </c>
      <c r="AX311" s="195" t="str">
        <f aca="false">IF($A312="","",AM311*$E311)</f>
        <v/>
      </c>
      <c r="AY311" s="195" t="str">
        <f aca="false">IF($A312="","",AN311*$E311)</f>
        <v/>
      </c>
      <c r="BA311" s="195" t="str">
        <f aca="false">IF($A312="","",F311*Summary!$Q$10)</f>
        <v/>
      </c>
    </row>
    <row r="312" customFormat="false" ht="12" hidden="false" customHeight="true" outlineLevel="0" collapsed="false">
      <c r="A312" s="196" t="str">
        <f aca="false">IF(A311&lt;mthend,EDATE(A311,1),"")</f>
        <v/>
      </c>
      <c r="B312" s="197" t="str">
        <f aca="false">IF(A312&lt;mthend,B311,"")</f>
        <v/>
      </c>
      <c r="C312" s="215"/>
      <c r="D312" s="197" t="str">
        <f aca="false">IF(A313&lt;&gt;"",B312+C312,"")</f>
        <v/>
      </c>
      <c r="E312" s="199" t="str">
        <f aca="false">IF(A313="","",IF(AND(AT312=1,$H$3=1),D312*AO312,IF($H$3=2,D312,"N/A")))</f>
        <v/>
      </c>
      <c r="F312" s="199" t="str">
        <f aca="false">IF(A313="","",E312*AS312)</f>
        <v/>
      </c>
      <c r="G312" s="200" t="str">
        <f aca="false">IF($A313="","",VLOOKUP($A312,Table,MATCH(G$4,Curves,0)))</f>
        <v/>
      </c>
      <c r="H312" s="201" t="str">
        <f aca="false">IF(A313="","",G312)</f>
        <v/>
      </c>
      <c r="I312" s="202"/>
      <c r="J312" s="200" t="str">
        <f aca="false">IF($A313="","",VLOOKUP($A312,Table,MATCH(J$4,Curves,0)))</f>
        <v/>
      </c>
      <c r="K312" s="201" t="str">
        <f aca="false">IF(A313="","",J312)</f>
        <v/>
      </c>
      <c r="L312" s="185" t="n">
        <v>0</v>
      </c>
      <c r="M312" s="201" t="str">
        <f aca="false">IF(A313="","",L312)</f>
        <v/>
      </c>
      <c r="N312" s="203"/>
      <c r="O312" s="200" t="str">
        <f aca="false">IF(A313="","",L312+J312+G312)</f>
        <v/>
      </c>
      <c r="P312" s="200" t="str">
        <f aca="false">IF(A313="","",M312+K312+H312)</f>
        <v/>
      </c>
      <c r="Q312" s="204"/>
      <c r="R312" s="200" t="str">
        <f aca="false">IF($A313="","",VLOOKUP($A312,Table,MATCH(R$4,Curves,0)))</f>
        <v/>
      </c>
      <c r="S312" s="201" t="str">
        <f aca="false">IF(A313="","",R312)</f>
        <v/>
      </c>
      <c r="T312" s="200" t="str">
        <f aca="false">IF($A313="","",VLOOKUP($A312,Table,MATCH(T$4,Curves,0)))</f>
        <v/>
      </c>
      <c r="U312" s="201" t="str">
        <f aca="false">IF(A313="","",T312)</f>
        <v/>
      </c>
      <c r="V312" s="205" t="str">
        <f aca="false">IF($A313="","",IF(AND(MONTH(A312)&gt;3,MONTH(A312)&lt;11),(T312+R312+G312)*Summary!$T$10/(1-Summary!$T$10),(T312+R312+G312)*Summary!$U$10/(1-Summary!$U$10)))</f>
        <v/>
      </c>
      <c r="W312" s="200" t="str">
        <f aca="false">IF($A313="","",(T312+R312+G312+V312))</f>
        <v/>
      </c>
      <c r="X312" s="200" t="str">
        <f aca="false">IF($A313="","",(U312+S312+H312+V312))</f>
        <v/>
      </c>
      <c r="Y312" s="202"/>
      <c r="Z312" s="185" t="str">
        <f aca="false">IF($A313="","",VLOOKUP($A312,Table,MATCH(Z$4,Curves,0)))</f>
        <v/>
      </c>
      <c r="AA312" s="185" t="str">
        <f aca="false">IF($A313="","",VLOOKUP($A312,Table,MATCH(AA$4,Curves,0)))</f>
        <v/>
      </c>
      <c r="AB312" s="185" t="e">
        <f aca="false">SQRT((AA312^2*(A312-$D$3)+Z312^2*(DAY(EOMONTH(A312,0))/2))/AK312)</f>
        <v>#VALUE!</v>
      </c>
      <c r="AC312" s="185" t="str">
        <f aca="false">IF($A313="","",VLOOKUP($A312,Table,MATCH(AC$4,Curves,0)))</f>
        <v/>
      </c>
      <c r="AD312" s="185" t="str">
        <f aca="false">IF($A313="","",VLOOKUP($A312,Table,MATCH(AD$4,Curves,0)))</f>
        <v/>
      </c>
      <c r="AE312" s="185" t="e">
        <f aca="false">SQRT((AD312^2*(A312-$D$3)+AC312^2*(DAY(EOMONTH(A312,0))/2))/AK312)</f>
        <v>#VALUE!</v>
      </c>
      <c r="AF312" s="224" t="e">
        <f aca="false">((Summary!$N$10*(AA312*AD312)*(A312-$D$3))+(Summary!$M$10*Z312*AC312*(AJ312-EOMONTH(EDATE(A312,-1),0))))/(AK312*AB312*AE312)</f>
        <v>#VALUE!</v>
      </c>
      <c r="AG312" s="207" t="str">
        <f aca="false">IF($A313="","",Summary!$Q$10)</f>
        <v/>
      </c>
      <c r="AH312" s="207" t="str">
        <f aca="false">IF($A313="","",IF(Summary!$R$10="Y",(VLOOKUP($A312,Summary!$AD$6:$AF$9,3)+'Escalating commodity'!F325),'Escalating commodity'!F325))</f>
        <v/>
      </c>
      <c r="AI312" s="207" t="str">
        <f aca="false">IF($A313="","",AH312)</f>
        <v/>
      </c>
      <c r="AJ312" s="208" t="e">
        <f aca="false">A312+DAY(EOMONTH(A312,0))/2-1</f>
        <v>#VALUE!</v>
      </c>
      <c r="AK312" s="209" t="str">
        <f aca="false">IF($A313="","",$A312-$E$1)</f>
        <v/>
      </c>
      <c r="AL312" s="182" t="str">
        <f aca="false">IF($A313="","",SPRDOPT(P312,X312,AI312,0,AB312,AE312,AF312,AK312,$AJ$2,0))</f>
        <v/>
      </c>
      <c r="AM312" s="211" t="str">
        <f aca="false">IF($A313="","",MAX(0,O312-W312-AI312))</f>
        <v/>
      </c>
      <c r="AN312" s="211" t="str">
        <f aca="false">IF($A313="","",AL312-AM312)</f>
        <v/>
      </c>
      <c r="AO312" s="137" t="str">
        <f aca="false">IF(A313="","",A313-A312)</f>
        <v/>
      </c>
      <c r="AP312" s="212" t="str">
        <f aca="false">IF(A313="","",CHOOSE(F$3,A313+24,A312))</f>
        <v/>
      </c>
      <c r="AQ312" s="209" t="str">
        <f aca="false">IF(A313="","",AP312-$E$1)</f>
        <v/>
      </c>
      <c r="AR312" s="185" t="n">
        <f aca="false">'ANR OK vs ML7'!AR312</f>
        <v>0.1</v>
      </c>
      <c r="AS312" s="213" t="str">
        <f aca="false">IF(A313="","",1/(1+CHOOSE(F$3,(AR313+($I$3/10000))/2,(AR312+($I$3/10000))/2))^(2*AQ312/365.25))</f>
        <v/>
      </c>
      <c r="AT312" s="137" t="str">
        <f aca="false">IF(A313="","",IF(AND(mthbeg&lt;=A312,mthend&gt;=A312),1,0))</f>
        <v/>
      </c>
      <c r="AU312" s="137" t="str">
        <f aca="false">IF(A313="","",AO312*AT312)</f>
        <v/>
      </c>
      <c r="AW312" s="195" t="str">
        <f aca="false">IF($A313="","",AL312*$E312)</f>
        <v/>
      </c>
      <c r="AX312" s="195" t="str">
        <f aca="false">IF($A313="","",AM312*$E312)</f>
        <v/>
      </c>
      <c r="AY312" s="195" t="str">
        <f aca="false">IF($A313="","",AN312*$E312)</f>
        <v/>
      </c>
      <c r="BA312" s="195" t="str">
        <f aca="false">IF($A313="","",F312*Summary!$Q$10)</f>
        <v/>
      </c>
    </row>
    <row r="313" customFormat="false" ht="12" hidden="false" customHeight="true" outlineLevel="0" collapsed="false">
      <c r="A313" s="196" t="str">
        <f aca="false">IF(A312&lt;mthend,EDATE(A312,1),"")</f>
        <v/>
      </c>
      <c r="B313" s="197" t="str">
        <f aca="false">IF(A313&lt;mthend,B312,"")</f>
        <v/>
      </c>
      <c r="C313" s="215"/>
      <c r="D313" s="197" t="str">
        <f aca="false">IF(A314&lt;&gt;"",B313+C313,"")</f>
        <v/>
      </c>
      <c r="E313" s="199" t="str">
        <f aca="false">IF(A314="","",IF(AND(AT313=1,$H$3=1),D313*AO313,IF($H$3=2,D313,"N/A")))</f>
        <v/>
      </c>
      <c r="F313" s="199" t="str">
        <f aca="false">IF(A314="","",E313*AS313)</f>
        <v/>
      </c>
      <c r="G313" s="200" t="str">
        <f aca="false">IF($A314="","",VLOOKUP($A313,Table,MATCH(G$4,Curves,0)))</f>
        <v/>
      </c>
      <c r="H313" s="201" t="str">
        <f aca="false">IF(A314="","",G313)</f>
        <v/>
      </c>
      <c r="I313" s="202"/>
      <c r="J313" s="200" t="str">
        <f aca="false">IF($A314="","",VLOOKUP($A313,Table,MATCH(J$4,Curves,0)))</f>
        <v/>
      </c>
      <c r="K313" s="201" t="str">
        <f aca="false">IF(A314="","",J313)</f>
        <v/>
      </c>
      <c r="L313" s="185" t="n">
        <v>0</v>
      </c>
      <c r="M313" s="201" t="str">
        <f aca="false">IF(A314="","",L313)</f>
        <v/>
      </c>
      <c r="N313" s="203"/>
      <c r="O313" s="200" t="str">
        <f aca="false">IF(A314="","",L313+J313+G313)</f>
        <v/>
      </c>
      <c r="P313" s="200" t="str">
        <f aca="false">IF(A314="","",M313+K313+H313)</f>
        <v/>
      </c>
      <c r="Q313" s="204"/>
      <c r="R313" s="200" t="str">
        <f aca="false">IF($A314="","",VLOOKUP($A313,Table,MATCH(R$4,Curves,0)))</f>
        <v/>
      </c>
      <c r="S313" s="201" t="str">
        <f aca="false">IF(A314="","",R313)</f>
        <v/>
      </c>
      <c r="T313" s="200" t="str">
        <f aca="false">IF($A314="","",VLOOKUP($A313,Table,MATCH(T$4,Curves,0)))</f>
        <v/>
      </c>
      <c r="U313" s="201" t="str">
        <f aca="false">IF(A314="","",T313)</f>
        <v/>
      </c>
      <c r="V313" s="205" t="str">
        <f aca="false">IF($A314="","",IF(AND(MONTH(A313)&gt;3,MONTH(A313)&lt;11),(T313+R313+G313)*Summary!$T$10/(1-Summary!$T$10),(T313+R313+G313)*Summary!$U$10/(1-Summary!$U$10)))</f>
        <v/>
      </c>
      <c r="W313" s="200" t="str">
        <f aca="false">IF($A314="","",(T313+R313+G313+V313))</f>
        <v/>
      </c>
      <c r="X313" s="200" t="str">
        <f aca="false">IF($A314="","",(U313+S313+H313+V313))</f>
        <v/>
      </c>
      <c r="Y313" s="202"/>
      <c r="Z313" s="185" t="str">
        <f aca="false">IF($A314="","",VLOOKUP($A313,Table,MATCH(Z$4,Curves,0)))</f>
        <v/>
      </c>
      <c r="AA313" s="185" t="str">
        <f aca="false">IF($A314="","",VLOOKUP($A313,Table,MATCH(AA$4,Curves,0)))</f>
        <v/>
      </c>
      <c r="AB313" s="185" t="e">
        <f aca="false">SQRT((AA313^2*(A313-$D$3)+Z313^2*(DAY(EOMONTH(A313,0))/2))/AK313)</f>
        <v>#VALUE!</v>
      </c>
      <c r="AC313" s="185" t="str">
        <f aca="false">IF($A314="","",VLOOKUP($A313,Table,MATCH(AC$4,Curves,0)))</f>
        <v/>
      </c>
      <c r="AD313" s="185" t="str">
        <f aca="false">IF($A314="","",VLOOKUP($A313,Table,MATCH(AD$4,Curves,0)))</f>
        <v/>
      </c>
      <c r="AE313" s="185" t="e">
        <f aca="false">SQRT((AD313^2*(A313-$D$3)+AC313^2*(DAY(EOMONTH(A313,0))/2))/AK313)</f>
        <v>#VALUE!</v>
      </c>
      <c r="AF313" s="224" t="e">
        <f aca="false">((Summary!$N$10*(AA313*AD313)*(A313-$D$3))+(Summary!$M$10*Z313*AC313*(AJ313-EOMONTH(EDATE(A313,-1),0))))/(AK313*AB313*AE313)</f>
        <v>#VALUE!</v>
      </c>
      <c r="AG313" s="207" t="str">
        <f aca="false">IF($A314="","",Summary!$Q$10)</f>
        <v/>
      </c>
      <c r="AH313" s="207" t="str">
        <f aca="false">IF($A314="","",IF(Summary!$R$10="Y",(VLOOKUP($A313,Summary!$AD$6:$AF$9,3)+'Escalating commodity'!F326),'Escalating commodity'!F326))</f>
        <v/>
      </c>
      <c r="AI313" s="207" t="str">
        <f aca="false">IF($A314="","",AH313)</f>
        <v/>
      </c>
      <c r="AJ313" s="208" t="e">
        <f aca="false">A313+DAY(EOMONTH(A313,0))/2-1</f>
        <v>#VALUE!</v>
      </c>
      <c r="AK313" s="209" t="str">
        <f aca="false">IF($A314="","",$A313-$E$1)</f>
        <v/>
      </c>
      <c r="AL313" s="182" t="str">
        <f aca="false">IF($A314="","",SPRDOPT(P313,X313,AI313,0,AB313,AE313,AF313,AK313,$AJ$2,0))</f>
        <v/>
      </c>
      <c r="AM313" s="211" t="str">
        <f aca="false">IF($A314="","",MAX(0,O313-W313-AI313))</f>
        <v/>
      </c>
      <c r="AN313" s="211" t="str">
        <f aca="false">IF($A314="","",AL313-AM313)</f>
        <v/>
      </c>
      <c r="AO313" s="137" t="str">
        <f aca="false">IF(A314="","",A314-A313)</f>
        <v/>
      </c>
      <c r="AP313" s="212" t="str">
        <f aca="false">IF(A314="","",CHOOSE(F$3,A314+24,A313))</f>
        <v/>
      </c>
      <c r="AQ313" s="209" t="str">
        <f aca="false">IF(A314="","",AP313-$E$1)</f>
        <v/>
      </c>
      <c r="AR313" s="185" t="n">
        <f aca="false">'ANR OK vs ML7'!AR313</f>
        <v>0.1</v>
      </c>
      <c r="AS313" s="213" t="str">
        <f aca="false">IF(A314="","",1/(1+CHOOSE(F$3,(AR314+($I$3/10000))/2,(AR313+($I$3/10000))/2))^(2*AQ313/365.25))</f>
        <v/>
      </c>
      <c r="AT313" s="137" t="str">
        <f aca="false">IF(A314="","",IF(AND(mthbeg&lt;=A313,mthend&gt;=A313),1,0))</f>
        <v/>
      </c>
      <c r="AU313" s="137" t="str">
        <f aca="false">IF(A314="","",AO313*AT313)</f>
        <v/>
      </c>
      <c r="AW313" s="195" t="str">
        <f aca="false">IF($A314="","",AL313*$E313)</f>
        <v/>
      </c>
      <c r="AX313" s="195" t="str">
        <f aca="false">IF($A314="","",AM313*$E313)</f>
        <v/>
      </c>
      <c r="AY313" s="195" t="str">
        <f aca="false">IF($A314="","",AN313*$E313)</f>
        <v/>
      </c>
      <c r="BA313" s="195" t="str">
        <f aca="false">IF($A314="","",F313*Summary!$Q$10)</f>
        <v/>
      </c>
    </row>
    <row r="314" customFormat="false" ht="12" hidden="false" customHeight="true" outlineLevel="0" collapsed="false">
      <c r="A314" s="196" t="str">
        <f aca="false">IF(A313&lt;mthend,EDATE(A313,1),"")</f>
        <v/>
      </c>
      <c r="B314" s="197" t="str">
        <f aca="false">IF(A314&lt;mthend,B313,"")</f>
        <v/>
      </c>
      <c r="C314" s="215"/>
      <c r="D314" s="197" t="str">
        <f aca="false">IF(A315&lt;&gt;"",B314+C314,"")</f>
        <v/>
      </c>
      <c r="E314" s="199" t="str">
        <f aca="false">IF(A315="","",IF(AND(AT314=1,$H$3=1),D314*AO314,IF($H$3=2,D314,"N/A")))</f>
        <v/>
      </c>
      <c r="F314" s="199" t="str">
        <f aca="false">IF(A315="","",E314*AS314)</f>
        <v/>
      </c>
      <c r="G314" s="200" t="str">
        <f aca="false">IF($A315="","",VLOOKUP($A314,Table,MATCH(G$4,Curves,0)))</f>
        <v/>
      </c>
      <c r="H314" s="201" t="str">
        <f aca="false">IF(A315="","",G314)</f>
        <v/>
      </c>
      <c r="I314" s="202"/>
      <c r="J314" s="200" t="str">
        <f aca="false">IF($A315="","",VLOOKUP($A314,Table,MATCH(J$4,Curves,0)))</f>
        <v/>
      </c>
      <c r="K314" s="201" t="str">
        <f aca="false">IF(A315="","",J314)</f>
        <v/>
      </c>
      <c r="L314" s="185" t="n">
        <v>0</v>
      </c>
      <c r="M314" s="201" t="str">
        <f aca="false">IF(A315="","",L314)</f>
        <v/>
      </c>
      <c r="N314" s="203"/>
      <c r="O314" s="200" t="str">
        <f aca="false">IF(A315="","",L314+J314+G314)</f>
        <v/>
      </c>
      <c r="P314" s="200" t="str">
        <f aca="false">IF(A315="","",M314+K314+H314)</f>
        <v/>
      </c>
      <c r="Q314" s="204"/>
      <c r="R314" s="200" t="str">
        <f aca="false">IF($A315="","",VLOOKUP($A314,Table,MATCH(R$4,Curves,0)))</f>
        <v/>
      </c>
      <c r="S314" s="201" t="str">
        <f aca="false">IF(A315="","",R314)</f>
        <v/>
      </c>
      <c r="T314" s="200" t="str">
        <f aca="false">IF($A315="","",VLOOKUP($A314,Table,MATCH(T$4,Curves,0)))</f>
        <v/>
      </c>
      <c r="U314" s="201" t="str">
        <f aca="false">IF(A315="","",T314)</f>
        <v/>
      </c>
      <c r="V314" s="205" t="str">
        <f aca="false">IF($A315="","",IF(AND(MONTH(A314)&gt;3,MONTH(A314)&lt;11),(T314+R314+G314)*Summary!$T$10/(1-Summary!$T$10),(T314+R314+G314)*Summary!$U$10/(1-Summary!$U$10)))</f>
        <v/>
      </c>
      <c r="W314" s="200" t="str">
        <f aca="false">IF($A315="","",(T314+R314+G314+V314))</f>
        <v/>
      </c>
      <c r="X314" s="200" t="str">
        <f aca="false">IF($A315="","",(U314+S314+H314+V314))</f>
        <v/>
      </c>
      <c r="Y314" s="202"/>
      <c r="Z314" s="185" t="str">
        <f aca="false">IF($A315="","",VLOOKUP($A314,Table,MATCH(Z$4,Curves,0)))</f>
        <v/>
      </c>
      <c r="AA314" s="185" t="str">
        <f aca="false">IF($A315="","",VLOOKUP($A314,Table,MATCH(AA$4,Curves,0)))</f>
        <v/>
      </c>
      <c r="AB314" s="185" t="e">
        <f aca="false">SQRT((AA314^2*(A314-$D$3)+Z314^2*(DAY(EOMONTH(A314,0))/2))/AK314)</f>
        <v>#VALUE!</v>
      </c>
      <c r="AC314" s="185" t="str">
        <f aca="false">IF($A315="","",VLOOKUP($A314,Table,MATCH(AC$4,Curves,0)))</f>
        <v/>
      </c>
      <c r="AD314" s="185" t="str">
        <f aca="false">IF($A315="","",VLOOKUP($A314,Table,MATCH(AD$4,Curves,0)))</f>
        <v/>
      </c>
      <c r="AE314" s="185" t="e">
        <f aca="false">SQRT((AD314^2*(A314-$D$3)+AC314^2*(DAY(EOMONTH(A314,0))/2))/AK314)</f>
        <v>#VALUE!</v>
      </c>
      <c r="AF314" s="224" t="e">
        <f aca="false">((Summary!$N$10*(AA314*AD314)*(A314-$D$3))+(Summary!$M$10*Z314*AC314*(AJ314-EOMONTH(EDATE(A314,-1),0))))/(AK314*AB314*AE314)</f>
        <v>#VALUE!</v>
      </c>
      <c r="AG314" s="207" t="str">
        <f aca="false">IF($A315="","",Summary!$Q$10)</f>
        <v/>
      </c>
      <c r="AH314" s="207" t="str">
        <f aca="false">IF($A315="","",IF(Summary!$R$10="Y",(VLOOKUP($A314,Summary!$AD$6:$AF$9,3)+'Escalating commodity'!F327),'Escalating commodity'!F327))</f>
        <v/>
      </c>
      <c r="AI314" s="207" t="str">
        <f aca="false">IF($A315="","",AH314)</f>
        <v/>
      </c>
      <c r="AJ314" s="208" t="e">
        <f aca="false">A314+DAY(EOMONTH(A314,0))/2-1</f>
        <v>#VALUE!</v>
      </c>
      <c r="AK314" s="209" t="str">
        <f aca="false">IF($A315="","",$A314-$E$1)</f>
        <v/>
      </c>
      <c r="AL314" s="182" t="str">
        <f aca="false">IF($A315="","",SPRDOPT(P314,X314,AI314,0,AB314,AE314,AF314,AK314,$AJ$2,0))</f>
        <v/>
      </c>
      <c r="AM314" s="211" t="str">
        <f aca="false">IF($A315="","",MAX(0,O314-W314-AI314))</f>
        <v/>
      </c>
      <c r="AN314" s="211" t="str">
        <f aca="false">IF($A315="","",AL314-AM314)</f>
        <v/>
      </c>
      <c r="AO314" s="137" t="str">
        <f aca="false">IF(A315="","",A315-A314)</f>
        <v/>
      </c>
      <c r="AP314" s="212" t="str">
        <f aca="false">IF(A315="","",CHOOSE(F$3,A315+24,A314))</f>
        <v/>
      </c>
      <c r="AQ314" s="209" t="str">
        <f aca="false">IF(A315="","",AP314-$E$1)</f>
        <v/>
      </c>
      <c r="AR314" s="185" t="n">
        <f aca="false">'ANR OK vs ML7'!AR314</f>
        <v>0.1</v>
      </c>
      <c r="AS314" s="213" t="str">
        <f aca="false">IF(A315="","",1/(1+CHOOSE(F$3,(AR315+($I$3/10000))/2,(AR314+($I$3/10000))/2))^(2*AQ314/365.25))</f>
        <v/>
      </c>
      <c r="AT314" s="137" t="str">
        <f aca="false">IF(A315="","",IF(AND(mthbeg&lt;=A314,mthend&gt;=A314),1,0))</f>
        <v/>
      </c>
      <c r="AU314" s="137" t="str">
        <f aca="false">IF(A315="","",AO314*AT314)</f>
        <v/>
      </c>
      <c r="AW314" s="195" t="str">
        <f aca="false">IF($A315="","",AL314*$E314)</f>
        <v/>
      </c>
      <c r="AX314" s="195" t="str">
        <f aca="false">IF($A315="","",AM314*$E314)</f>
        <v/>
      </c>
      <c r="AY314" s="195" t="str">
        <f aca="false">IF($A315="","",AN314*$E314)</f>
        <v/>
      </c>
      <c r="BA314" s="195" t="str">
        <f aca="false">IF($A315="","",F314*Summary!$Q$10)</f>
        <v/>
      </c>
    </row>
    <row r="315" customFormat="false" ht="12" hidden="false" customHeight="true" outlineLevel="0" collapsed="false">
      <c r="A315" s="196" t="str">
        <f aca="false">IF(A314&lt;mthend,EDATE(A314,1),"")</f>
        <v/>
      </c>
      <c r="B315" s="197" t="str">
        <f aca="false">IF(A315&lt;mthend,B314,"")</f>
        <v/>
      </c>
      <c r="C315" s="215"/>
      <c r="D315" s="197" t="str">
        <f aca="false">IF(A316&lt;&gt;"",B315+C315,"")</f>
        <v/>
      </c>
      <c r="E315" s="199" t="str">
        <f aca="false">IF(A316="","",IF(AND(AT315=1,$H$3=1),D315*AO315,IF($H$3=2,D315,"N/A")))</f>
        <v/>
      </c>
      <c r="F315" s="199" t="str">
        <f aca="false">IF(A316="","",E315*AS315)</f>
        <v/>
      </c>
      <c r="G315" s="200" t="str">
        <f aca="false">IF($A316="","",VLOOKUP($A315,Table,MATCH(G$4,Curves,0)))</f>
        <v/>
      </c>
      <c r="H315" s="201" t="str">
        <f aca="false">IF(A316="","",G315)</f>
        <v/>
      </c>
      <c r="I315" s="202"/>
      <c r="J315" s="200" t="str">
        <f aca="false">IF($A316="","",VLOOKUP($A315,Table,MATCH(J$4,Curves,0)))</f>
        <v/>
      </c>
      <c r="K315" s="201" t="str">
        <f aca="false">IF(A316="","",J315)</f>
        <v/>
      </c>
      <c r="L315" s="185" t="n">
        <v>0</v>
      </c>
      <c r="M315" s="201" t="str">
        <f aca="false">IF(A316="","",L315)</f>
        <v/>
      </c>
      <c r="N315" s="203"/>
      <c r="O315" s="200" t="str">
        <f aca="false">IF(A316="","",L315+J315+G315)</f>
        <v/>
      </c>
      <c r="P315" s="200" t="str">
        <f aca="false">IF(A316="","",M315+K315+H315)</f>
        <v/>
      </c>
      <c r="Q315" s="204"/>
      <c r="R315" s="200" t="str">
        <f aca="false">IF($A316="","",VLOOKUP($A315,Table,MATCH(R$4,Curves,0)))</f>
        <v/>
      </c>
      <c r="S315" s="201" t="str">
        <f aca="false">IF(A316="","",R315)</f>
        <v/>
      </c>
      <c r="T315" s="200" t="str">
        <f aca="false">IF($A316="","",VLOOKUP($A315,Table,MATCH(T$4,Curves,0)))</f>
        <v/>
      </c>
      <c r="U315" s="201" t="str">
        <f aca="false">IF(A316="","",T315)</f>
        <v/>
      </c>
      <c r="V315" s="205" t="str">
        <f aca="false">IF($A316="","",IF(AND(MONTH(A315)&gt;3,MONTH(A315)&lt;11),(T315+R315+G315)*Summary!$T$10/(1-Summary!$T$10),(T315+R315+G315)*Summary!$U$10/(1-Summary!$U$10)))</f>
        <v/>
      </c>
      <c r="W315" s="200" t="str">
        <f aca="false">IF($A316="","",(T315+R315+G315+V315))</f>
        <v/>
      </c>
      <c r="X315" s="200" t="str">
        <f aca="false">IF($A316="","",(U315+S315+H315+V315))</f>
        <v/>
      </c>
      <c r="Y315" s="202"/>
      <c r="Z315" s="185" t="str">
        <f aca="false">IF($A316="","",VLOOKUP($A315,Table,MATCH(Z$4,Curves,0)))</f>
        <v/>
      </c>
      <c r="AA315" s="185" t="str">
        <f aca="false">IF($A316="","",VLOOKUP($A315,Table,MATCH(AA$4,Curves,0)))</f>
        <v/>
      </c>
      <c r="AB315" s="185" t="e">
        <f aca="false">SQRT((AA315^2*(A315-$D$3)+Z315^2*(DAY(EOMONTH(A315,0))/2))/AK315)</f>
        <v>#VALUE!</v>
      </c>
      <c r="AC315" s="185" t="str">
        <f aca="false">IF($A316="","",VLOOKUP($A315,Table,MATCH(AC$4,Curves,0)))</f>
        <v/>
      </c>
      <c r="AD315" s="185" t="str">
        <f aca="false">IF($A316="","",VLOOKUP($A315,Table,MATCH(AD$4,Curves,0)))</f>
        <v/>
      </c>
      <c r="AE315" s="185" t="e">
        <f aca="false">SQRT((AD315^2*(A315-$D$3)+AC315^2*(DAY(EOMONTH(A315,0))/2))/AK315)</f>
        <v>#VALUE!</v>
      </c>
      <c r="AF315" s="224" t="e">
        <f aca="false">((Summary!$N$10*(AA315*AD315)*(A315-$D$3))+(Summary!$M$10*Z315*AC315*(AJ315-EOMONTH(EDATE(A315,-1),0))))/(AK315*AB315*AE315)</f>
        <v>#VALUE!</v>
      </c>
      <c r="AG315" s="207" t="str">
        <f aca="false">IF($A316="","",Summary!$Q$10)</f>
        <v/>
      </c>
      <c r="AH315" s="207" t="str">
        <f aca="false">IF($A316="","",IF(Summary!$R$10="Y",(VLOOKUP($A315,Summary!$AD$6:$AF$9,3)+'Escalating commodity'!F328),'Escalating commodity'!F328))</f>
        <v/>
      </c>
      <c r="AI315" s="207" t="str">
        <f aca="false">IF($A316="","",AH315)</f>
        <v/>
      </c>
      <c r="AJ315" s="208" t="e">
        <f aca="false">A315+DAY(EOMONTH(A315,0))/2-1</f>
        <v>#VALUE!</v>
      </c>
      <c r="AK315" s="209" t="str">
        <f aca="false">IF($A316="","",$A315-$E$1)</f>
        <v/>
      </c>
      <c r="AL315" s="182" t="str">
        <f aca="false">IF($A316="","",SPRDOPT(P315,X315,AI315,0,AB315,AE315,AF315,AK315,$AJ$2,0))</f>
        <v/>
      </c>
      <c r="AM315" s="211" t="str">
        <f aca="false">IF($A316="","",MAX(0,O315-W315-AI315))</f>
        <v/>
      </c>
      <c r="AN315" s="211" t="str">
        <f aca="false">IF($A316="","",AL315-AM315)</f>
        <v/>
      </c>
      <c r="AO315" s="137" t="str">
        <f aca="false">IF(A316="","",A316-A315)</f>
        <v/>
      </c>
      <c r="AP315" s="212" t="str">
        <f aca="false">IF(A316="","",CHOOSE(F$3,A316+24,A315))</f>
        <v/>
      </c>
      <c r="AQ315" s="209" t="str">
        <f aca="false">IF(A316="","",AP315-$E$1)</f>
        <v/>
      </c>
      <c r="AR315" s="185" t="n">
        <f aca="false">'ANR OK vs ML7'!AR315</f>
        <v>0.1</v>
      </c>
      <c r="AS315" s="213" t="str">
        <f aca="false">IF(A316="","",1/(1+CHOOSE(F$3,(AR316+($I$3/10000))/2,(AR315+($I$3/10000))/2))^(2*AQ315/365.25))</f>
        <v/>
      </c>
      <c r="AT315" s="137" t="str">
        <f aca="false">IF(A316="","",IF(AND(mthbeg&lt;=A315,mthend&gt;=A315),1,0))</f>
        <v/>
      </c>
      <c r="AU315" s="137" t="str">
        <f aca="false">IF(A316="","",AO315*AT315)</f>
        <v/>
      </c>
      <c r="AW315" s="195" t="str">
        <f aca="false">IF($A316="","",AL315*$E315)</f>
        <v/>
      </c>
      <c r="AX315" s="195" t="str">
        <f aca="false">IF($A316="","",AM315*$E315)</f>
        <v/>
      </c>
      <c r="AY315" s="195" t="str">
        <f aca="false">IF($A316="","",AN315*$E315)</f>
        <v/>
      </c>
      <c r="BA315" s="195" t="str">
        <f aca="false">IF($A316="","",F315*Summary!$Q$10)</f>
        <v/>
      </c>
    </row>
    <row r="316" customFormat="false" ht="12" hidden="false" customHeight="true" outlineLevel="0" collapsed="false">
      <c r="A316" s="196" t="str">
        <f aca="false">IF(A315&lt;mthend,EDATE(A315,1),"")</f>
        <v/>
      </c>
      <c r="B316" s="197" t="str">
        <f aca="false">IF(A316&lt;mthend,B315,"")</f>
        <v/>
      </c>
      <c r="C316" s="215"/>
      <c r="D316" s="197" t="str">
        <f aca="false">IF(A317&lt;&gt;"",B316+C316,"")</f>
        <v/>
      </c>
      <c r="E316" s="199" t="str">
        <f aca="false">IF(A317="","",IF(AND(AT316=1,$H$3=1),D316*AO316,IF($H$3=2,D316,"N/A")))</f>
        <v/>
      </c>
      <c r="F316" s="199" t="str">
        <f aca="false">IF(A317="","",E316*AS316)</f>
        <v/>
      </c>
      <c r="G316" s="200" t="str">
        <f aca="false">IF($A317="","",VLOOKUP($A316,Table,MATCH(G$4,Curves,0)))</f>
        <v/>
      </c>
      <c r="H316" s="201" t="str">
        <f aca="false">IF(A317="","",G316)</f>
        <v/>
      </c>
      <c r="I316" s="202"/>
      <c r="J316" s="200" t="str">
        <f aca="false">IF($A317="","",VLOOKUP($A316,Table,MATCH(J$4,Curves,0)))</f>
        <v/>
      </c>
      <c r="K316" s="201" t="str">
        <f aca="false">IF(A317="","",J316)</f>
        <v/>
      </c>
      <c r="L316" s="185" t="n">
        <v>0</v>
      </c>
      <c r="M316" s="201" t="str">
        <f aca="false">IF(A317="","",L316)</f>
        <v/>
      </c>
      <c r="N316" s="203"/>
      <c r="O316" s="200" t="str">
        <f aca="false">IF(A317="","",L316+J316+G316)</f>
        <v/>
      </c>
      <c r="P316" s="200" t="str">
        <f aca="false">IF(A317="","",M316+K316+H316)</f>
        <v/>
      </c>
      <c r="Q316" s="204"/>
      <c r="R316" s="200" t="str">
        <f aca="false">IF($A317="","",VLOOKUP($A316,Table,MATCH(R$4,Curves,0)))</f>
        <v/>
      </c>
      <c r="S316" s="201" t="str">
        <f aca="false">IF(A317="","",R316)</f>
        <v/>
      </c>
      <c r="T316" s="200" t="str">
        <f aca="false">IF($A317="","",VLOOKUP($A316,Table,MATCH(T$4,Curves,0)))</f>
        <v/>
      </c>
      <c r="U316" s="201" t="str">
        <f aca="false">IF(A317="","",T316)</f>
        <v/>
      </c>
      <c r="V316" s="205" t="str">
        <f aca="false">IF($A317="","",IF(AND(MONTH(A316)&gt;3,MONTH(A316)&lt;11),(T316+R316+G316)*Summary!$T$10/(1-Summary!$T$10),(T316+R316+G316)*Summary!$U$10/(1-Summary!$U$10)))</f>
        <v/>
      </c>
      <c r="W316" s="200" t="str">
        <f aca="false">IF($A317="","",(T316+R316+G316+V316))</f>
        <v/>
      </c>
      <c r="X316" s="200" t="str">
        <f aca="false">IF($A317="","",(U316+S316+H316+V316))</f>
        <v/>
      </c>
      <c r="Y316" s="202"/>
      <c r="Z316" s="185" t="str">
        <f aca="false">IF($A317="","",VLOOKUP($A316,Table,MATCH(Z$4,Curves,0)))</f>
        <v/>
      </c>
      <c r="AA316" s="185" t="str">
        <f aca="false">IF($A317="","",VLOOKUP($A316,Table,MATCH(AA$4,Curves,0)))</f>
        <v/>
      </c>
      <c r="AB316" s="185" t="e">
        <f aca="false">SQRT((AA316^2*(A316-$D$3)+Z316^2*(DAY(EOMONTH(A316,0))/2))/AK316)</f>
        <v>#VALUE!</v>
      </c>
      <c r="AC316" s="185" t="str">
        <f aca="false">IF($A317="","",VLOOKUP($A316,Table,MATCH(AC$4,Curves,0)))</f>
        <v/>
      </c>
      <c r="AD316" s="185" t="str">
        <f aca="false">IF($A317="","",VLOOKUP($A316,Table,MATCH(AD$4,Curves,0)))</f>
        <v/>
      </c>
      <c r="AE316" s="185" t="e">
        <f aca="false">SQRT((AD316^2*(A316-$D$3)+AC316^2*(DAY(EOMONTH(A316,0))/2))/AK316)</f>
        <v>#VALUE!</v>
      </c>
      <c r="AF316" s="224" t="e">
        <f aca="false">((Summary!$N$10*(AA316*AD316)*(A316-$D$3))+(Summary!$M$10*Z316*AC316*(AJ316-EOMONTH(EDATE(A316,-1),0))))/(AK316*AB316*AE316)</f>
        <v>#VALUE!</v>
      </c>
      <c r="AG316" s="207" t="str">
        <f aca="false">IF($A317="","",Summary!$Q$10)</f>
        <v/>
      </c>
      <c r="AH316" s="207" t="str">
        <f aca="false">IF($A317="","",IF(Summary!$R$10="Y",(VLOOKUP($A316,Summary!$AD$6:$AF$9,3)+'Escalating commodity'!F329),'Escalating commodity'!F329))</f>
        <v/>
      </c>
      <c r="AI316" s="207" t="str">
        <f aca="false">IF($A317="","",AH316)</f>
        <v/>
      </c>
      <c r="AJ316" s="208" t="e">
        <f aca="false">A316+DAY(EOMONTH(A316,0))/2-1</f>
        <v>#VALUE!</v>
      </c>
      <c r="AK316" s="209" t="str">
        <f aca="false">IF($A317="","",$A316-$E$1)</f>
        <v/>
      </c>
      <c r="AL316" s="182" t="str">
        <f aca="false">IF($A317="","",SPRDOPT(P316,X316,AI316,0,AB316,AE316,AF316,AK316,$AJ$2,0))</f>
        <v/>
      </c>
      <c r="AM316" s="211" t="str">
        <f aca="false">IF($A317="","",MAX(0,O316-W316-AI316))</f>
        <v/>
      </c>
      <c r="AN316" s="211" t="str">
        <f aca="false">IF($A317="","",AL316-AM316)</f>
        <v/>
      </c>
      <c r="AO316" s="137" t="str">
        <f aca="false">IF(A317="","",A317-A316)</f>
        <v/>
      </c>
      <c r="AP316" s="212" t="str">
        <f aca="false">IF(A317="","",CHOOSE(F$3,A317+24,A316))</f>
        <v/>
      </c>
      <c r="AQ316" s="209" t="str">
        <f aca="false">IF(A317="","",AP316-$E$1)</f>
        <v/>
      </c>
      <c r="AR316" s="185" t="n">
        <f aca="false">'ANR OK vs ML7'!AR316</f>
        <v>0.1</v>
      </c>
      <c r="AS316" s="213" t="str">
        <f aca="false">IF(A317="","",1/(1+CHOOSE(F$3,(AR317+($I$3/10000))/2,(AR316+($I$3/10000))/2))^(2*AQ316/365.25))</f>
        <v/>
      </c>
      <c r="AT316" s="137" t="str">
        <f aca="false">IF(A317="","",IF(AND(mthbeg&lt;=A316,mthend&gt;=A316),1,0))</f>
        <v/>
      </c>
      <c r="AU316" s="137" t="str">
        <f aca="false">IF(A317="","",AO316*AT316)</f>
        <v/>
      </c>
      <c r="AW316" s="195" t="str">
        <f aca="false">IF($A317="","",AL316*$E316)</f>
        <v/>
      </c>
      <c r="AX316" s="195" t="str">
        <f aca="false">IF($A317="","",AM316*$E316)</f>
        <v/>
      </c>
      <c r="AY316" s="195" t="str">
        <f aca="false">IF($A317="","",AN316*$E316)</f>
        <v/>
      </c>
      <c r="BA316" s="195" t="str">
        <f aca="false">IF($A317="","",F316*Summary!$Q$10)</f>
        <v/>
      </c>
    </row>
    <row r="317" customFormat="false" ht="12" hidden="false" customHeight="true" outlineLevel="0" collapsed="false">
      <c r="A317" s="196" t="str">
        <f aca="false">IF(A316&lt;mthend,EDATE(A316,1),"")</f>
        <v/>
      </c>
      <c r="B317" s="197" t="str">
        <f aca="false">IF(A317&lt;mthend,B316,"")</f>
        <v/>
      </c>
      <c r="C317" s="215"/>
      <c r="D317" s="197" t="str">
        <f aca="false">IF(A318&lt;&gt;"",B317+C317,"")</f>
        <v/>
      </c>
      <c r="E317" s="199" t="str">
        <f aca="false">IF(A318="","",IF(AND(AT317=1,$H$3=1),D317*AO317,IF($H$3=2,D317,"N/A")))</f>
        <v/>
      </c>
      <c r="F317" s="199" t="str">
        <f aca="false">IF(A318="","",E317*AS317)</f>
        <v/>
      </c>
      <c r="G317" s="200" t="str">
        <f aca="false">IF($A318="","",VLOOKUP($A317,Table,MATCH(G$4,Curves,0)))</f>
        <v/>
      </c>
      <c r="H317" s="201" t="str">
        <f aca="false">IF(A318="","",G317)</f>
        <v/>
      </c>
      <c r="I317" s="202"/>
      <c r="J317" s="200" t="str">
        <f aca="false">IF($A318="","",VLOOKUP($A317,Table,MATCH(J$4,Curves,0)))</f>
        <v/>
      </c>
      <c r="K317" s="201" t="str">
        <f aca="false">IF(A318="","",J317)</f>
        <v/>
      </c>
      <c r="L317" s="185" t="n">
        <v>0</v>
      </c>
      <c r="M317" s="201" t="str">
        <f aca="false">IF(A318="","",L317)</f>
        <v/>
      </c>
      <c r="N317" s="203"/>
      <c r="O317" s="200" t="str">
        <f aca="false">IF(A318="","",L317+J317+G317)</f>
        <v/>
      </c>
      <c r="P317" s="200" t="str">
        <f aca="false">IF(A318="","",M317+K317+H317)</f>
        <v/>
      </c>
      <c r="Q317" s="204"/>
      <c r="R317" s="200" t="str">
        <f aca="false">IF($A318="","",VLOOKUP($A317,Table,MATCH(R$4,Curves,0)))</f>
        <v/>
      </c>
      <c r="S317" s="201" t="str">
        <f aca="false">IF(A318="","",R317)</f>
        <v/>
      </c>
      <c r="T317" s="200" t="str">
        <f aca="false">IF($A318="","",VLOOKUP($A317,Table,MATCH(T$4,Curves,0)))</f>
        <v/>
      </c>
      <c r="U317" s="201" t="str">
        <f aca="false">IF(A318="","",T317)</f>
        <v/>
      </c>
      <c r="V317" s="205" t="str">
        <f aca="false">IF($A318="","",IF(AND(MONTH(A317)&gt;3,MONTH(A317)&lt;11),(T317+R317+G317)*Summary!$T$10/(1-Summary!$T$10),(T317+R317+G317)*Summary!$U$10/(1-Summary!$U$10)))</f>
        <v/>
      </c>
      <c r="W317" s="200" t="str">
        <f aca="false">IF($A318="","",(T317+R317+G317+V317))</f>
        <v/>
      </c>
      <c r="X317" s="200" t="str">
        <f aca="false">IF($A318="","",(U317+S317+H317+V317))</f>
        <v/>
      </c>
      <c r="Y317" s="202"/>
      <c r="Z317" s="185" t="str">
        <f aca="false">IF($A318="","",VLOOKUP($A317,Table,MATCH(Z$4,Curves,0)))</f>
        <v/>
      </c>
      <c r="AA317" s="185" t="str">
        <f aca="false">IF($A318="","",VLOOKUP($A317,Table,MATCH(AA$4,Curves,0)))</f>
        <v/>
      </c>
      <c r="AB317" s="185" t="e">
        <f aca="false">SQRT((AA317^2*(A317-$D$3)+Z317^2*(DAY(EOMONTH(A317,0))/2))/AK317)</f>
        <v>#VALUE!</v>
      </c>
      <c r="AC317" s="185" t="str">
        <f aca="false">IF($A318="","",VLOOKUP($A317,Table,MATCH(AC$4,Curves,0)))</f>
        <v/>
      </c>
      <c r="AD317" s="185" t="str">
        <f aca="false">IF($A318="","",VLOOKUP($A317,Table,MATCH(AD$4,Curves,0)))</f>
        <v/>
      </c>
      <c r="AE317" s="185" t="e">
        <f aca="false">SQRT((AD317^2*(A317-$D$3)+AC317^2*(DAY(EOMONTH(A317,0))/2))/AK317)</f>
        <v>#VALUE!</v>
      </c>
      <c r="AF317" s="224" t="e">
        <f aca="false">((Summary!$N$10*(AA317*AD317)*(A317-$D$3))+(Summary!$M$10*Z317*AC317*(AJ317-EOMONTH(EDATE(A317,-1),0))))/(AK317*AB317*AE317)</f>
        <v>#VALUE!</v>
      </c>
      <c r="AG317" s="207" t="str">
        <f aca="false">IF($A318="","",Summary!$Q$10)</f>
        <v/>
      </c>
      <c r="AH317" s="207" t="str">
        <f aca="false">IF($A318="","",IF(Summary!$R$10="Y",(VLOOKUP($A317,Summary!$AD$6:$AF$9,3)+'Escalating commodity'!F330),'Escalating commodity'!F330))</f>
        <v/>
      </c>
      <c r="AI317" s="207" t="str">
        <f aca="false">IF($A318="","",AH317)</f>
        <v/>
      </c>
      <c r="AJ317" s="208" t="e">
        <f aca="false">A317+DAY(EOMONTH(A317,0))/2-1</f>
        <v>#VALUE!</v>
      </c>
      <c r="AK317" s="209" t="str">
        <f aca="false">IF($A318="","",$A317-$E$1)</f>
        <v/>
      </c>
      <c r="AL317" s="182" t="str">
        <f aca="false">IF($A318="","",SPRDOPT(P317,X317,AI317,0,AB317,AE317,AF317,AK317,$AJ$2,0))</f>
        <v/>
      </c>
      <c r="AM317" s="211" t="str">
        <f aca="false">IF($A318="","",MAX(0,O317-W317-AI317))</f>
        <v/>
      </c>
      <c r="AN317" s="211" t="str">
        <f aca="false">IF($A318="","",AL317-AM317)</f>
        <v/>
      </c>
      <c r="AO317" s="137" t="str">
        <f aca="false">IF(A318="","",A318-A317)</f>
        <v/>
      </c>
      <c r="AP317" s="212" t="str">
        <f aca="false">IF(A318="","",CHOOSE(F$3,A318+24,A317))</f>
        <v/>
      </c>
      <c r="AQ317" s="209" t="str">
        <f aca="false">IF(A318="","",AP317-$E$1)</f>
        <v/>
      </c>
      <c r="AR317" s="185" t="n">
        <f aca="false">'ANR OK vs ML7'!AR317</f>
        <v>0.1</v>
      </c>
      <c r="AS317" s="213" t="str">
        <f aca="false">IF(A318="","",1/(1+CHOOSE(F$3,(AR318+($I$3/10000))/2,(AR317+($I$3/10000))/2))^(2*AQ317/365.25))</f>
        <v/>
      </c>
      <c r="AT317" s="137" t="str">
        <f aca="false">IF(A318="","",IF(AND(mthbeg&lt;=A317,mthend&gt;=A317),1,0))</f>
        <v/>
      </c>
      <c r="AU317" s="137" t="str">
        <f aca="false">IF(A318="","",AO317*AT317)</f>
        <v/>
      </c>
      <c r="AW317" s="195" t="str">
        <f aca="false">IF($A318="","",AL317*$E317)</f>
        <v/>
      </c>
      <c r="AX317" s="195" t="str">
        <f aca="false">IF($A318="","",AM317*$E317)</f>
        <v/>
      </c>
      <c r="AY317" s="195" t="str">
        <f aca="false">IF($A318="","",AN317*$E317)</f>
        <v/>
      </c>
      <c r="BA317" s="195" t="str">
        <f aca="false">IF($A318="","",F317*Summary!$Q$10)</f>
        <v/>
      </c>
    </row>
    <row r="318" customFormat="false" ht="12" hidden="false" customHeight="true" outlineLevel="0" collapsed="false">
      <c r="A318" s="196" t="str">
        <f aca="false">IF(A317&lt;mthend,EDATE(A317,1),"")</f>
        <v/>
      </c>
      <c r="B318" s="197" t="str">
        <f aca="false">IF(A318&lt;mthend,B317,"")</f>
        <v/>
      </c>
      <c r="C318" s="215"/>
      <c r="D318" s="197" t="str">
        <f aca="false">IF(A319&lt;&gt;"",B318+C318,"")</f>
        <v/>
      </c>
      <c r="E318" s="199" t="str">
        <f aca="false">IF(A319="","",IF(AND(AT318=1,$H$3=1),D318*AO318,IF($H$3=2,D318,"N/A")))</f>
        <v/>
      </c>
      <c r="F318" s="199" t="str">
        <f aca="false">IF(A319="","",E318*AS318)</f>
        <v/>
      </c>
      <c r="G318" s="200" t="str">
        <f aca="false">IF($A319="","",VLOOKUP($A318,Table,MATCH(G$4,Curves,0)))</f>
        <v/>
      </c>
      <c r="H318" s="201" t="str">
        <f aca="false">IF(A319="","",G318)</f>
        <v/>
      </c>
      <c r="I318" s="202"/>
      <c r="J318" s="200" t="str">
        <f aca="false">IF($A319="","",VLOOKUP($A318,Table,MATCH(J$4,Curves,0)))</f>
        <v/>
      </c>
      <c r="K318" s="201" t="str">
        <f aca="false">IF(A319="","",J318)</f>
        <v/>
      </c>
      <c r="L318" s="185" t="n">
        <v>0</v>
      </c>
      <c r="M318" s="201" t="str">
        <f aca="false">IF(A319="","",L318)</f>
        <v/>
      </c>
      <c r="N318" s="203"/>
      <c r="O318" s="200" t="str">
        <f aca="false">IF(A319="","",L318+J318+G318)</f>
        <v/>
      </c>
      <c r="P318" s="200" t="str">
        <f aca="false">IF(A319="","",M318+K318+H318)</f>
        <v/>
      </c>
      <c r="Q318" s="204"/>
      <c r="R318" s="200" t="str">
        <f aca="false">IF($A319="","",VLOOKUP($A318,Table,MATCH(R$4,Curves,0)))</f>
        <v/>
      </c>
      <c r="S318" s="201" t="str">
        <f aca="false">IF(A319="","",R318)</f>
        <v/>
      </c>
      <c r="T318" s="200" t="str">
        <f aca="false">IF($A319="","",VLOOKUP($A318,Table,MATCH(T$4,Curves,0)))</f>
        <v/>
      </c>
      <c r="U318" s="201" t="str">
        <f aca="false">IF(A319="","",T318)</f>
        <v/>
      </c>
      <c r="V318" s="205" t="str">
        <f aca="false">IF($A319="","",IF(AND(MONTH(A318)&gt;3,MONTH(A318)&lt;11),(T318+R318+G318)*Summary!$T$10/(1-Summary!$T$10),(T318+R318+G318)*Summary!$U$10/(1-Summary!$U$10)))</f>
        <v/>
      </c>
      <c r="W318" s="200" t="str">
        <f aca="false">IF($A319="","",(T318+R318+G318+V318))</f>
        <v/>
      </c>
      <c r="X318" s="200" t="str">
        <f aca="false">IF($A319="","",(U318+S318+H318+V318))</f>
        <v/>
      </c>
      <c r="Y318" s="202"/>
      <c r="Z318" s="185" t="str">
        <f aca="false">IF($A319="","",VLOOKUP($A318,Table,MATCH(Z$4,Curves,0)))</f>
        <v/>
      </c>
      <c r="AA318" s="185" t="str">
        <f aca="false">IF($A319="","",VLOOKUP($A318,Table,MATCH(AA$4,Curves,0)))</f>
        <v/>
      </c>
      <c r="AB318" s="185" t="e">
        <f aca="false">SQRT((AA318^2*(A318-$D$3)+Z318^2*(DAY(EOMONTH(A318,0))/2))/AK318)</f>
        <v>#VALUE!</v>
      </c>
      <c r="AC318" s="185" t="str">
        <f aca="false">IF($A319="","",VLOOKUP($A318,Table,MATCH(AC$4,Curves,0)))</f>
        <v/>
      </c>
      <c r="AD318" s="185" t="str">
        <f aca="false">IF($A319="","",VLOOKUP($A318,Table,MATCH(AD$4,Curves,0)))</f>
        <v/>
      </c>
      <c r="AE318" s="185" t="e">
        <f aca="false">SQRT((AD318^2*(A318-$D$3)+AC318^2*(DAY(EOMONTH(A318,0))/2))/AK318)</f>
        <v>#VALUE!</v>
      </c>
      <c r="AF318" s="224" t="e">
        <f aca="false">((Summary!$N$10*(AA318*AD318)*(A318-$D$3))+(Summary!$M$10*Z318*AC318*(AJ318-EOMONTH(EDATE(A318,-1),0))))/(AK318*AB318*AE318)</f>
        <v>#VALUE!</v>
      </c>
      <c r="AG318" s="207" t="str">
        <f aca="false">IF($A319="","",Summary!$Q$10)</f>
        <v/>
      </c>
      <c r="AH318" s="207" t="str">
        <f aca="false">IF($A319="","",IF(Summary!$R$10="Y",(VLOOKUP($A318,Summary!$AD$6:$AF$9,3)+'Escalating commodity'!F331),'Escalating commodity'!F331))</f>
        <v/>
      </c>
      <c r="AI318" s="207" t="str">
        <f aca="false">IF($A319="","",AH318)</f>
        <v/>
      </c>
      <c r="AJ318" s="208" t="e">
        <f aca="false">A318+DAY(EOMONTH(A318,0))/2-1</f>
        <v>#VALUE!</v>
      </c>
      <c r="AK318" s="209" t="str">
        <f aca="false">IF($A319="","",$A318-$E$1)</f>
        <v/>
      </c>
      <c r="AL318" s="182" t="str">
        <f aca="false">IF($A319="","",SPRDOPT(P318,X318,AI318,0,AB318,AE318,AF318,AK318,$AJ$2,0))</f>
        <v/>
      </c>
      <c r="AM318" s="211" t="str">
        <f aca="false">IF($A319="","",MAX(0,O318-W318-AI318))</f>
        <v/>
      </c>
      <c r="AN318" s="211" t="str">
        <f aca="false">IF($A319="","",AL318-AM318)</f>
        <v/>
      </c>
      <c r="AO318" s="137" t="str">
        <f aca="false">IF(A319="","",A319-A318)</f>
        <v/>
      </c>
      <c r="AP318" s="212" t="str">
        <f aca="false">IF(A319="","",CHOOSE(F$3,A319+24,A318))</f>
        <v/>
      </c>
      <c r="AQ318" s="209" t="str">
        <f aca="false">IF(A319="","",AP318-$E$1)</f>
        <v/>
      </c>
      <c r="AR318" s="185" t="n">
        <f aca="false">'ANR OK vs ML7'!AR318</f>
        <v>0.1</v>
      </c>
      <c r="AS318" s="213" t="str">
        <f aca="false">IF(A319="","",1/(1+CHOOSE(F$3,(AR319+($I$3/10000))/2,(AR318+($I$3/10000))/2))^(2*AQ318/365.25))</f>
        <v/>
      </c>
      <c r="AT318" s="137" t="str">
        <f aca="false">IF(A319="","",IF(AND(mthbeg&lt;=A318,mthend&gt;=A318),1,0))</f>
        <v/>
      </c>
      <c r="AU318" s="137" t="str">
        <f aca="false">IF(A319="","",AO318*AT318)</f>
        <v/>
      </c>
      <c r="AW318" s="195" t="str">
        <f aca="false">IF($A319="","",AL318*$E318)</f>
        <v/>
      </c>
      <c r="AX318" s="195" t="str">
        <f aca="false">IF($A319="","",AM318*$E318)</f>
        <v/>
      </c>
      <c r="AY318" s="195" t="str">
        <f aca="false">IF($A319="","",AN318*$E318)</f>
        <v/>
      </c>
      <c r="BA318" s="195" t="str">
        <f aca="false">IF($A319="","",F318*Summary!$Q$10)</f>
        <v/>
      </c>
    </row>
    <row r="319" customFormat="false" ht="12" hidden="false" customHeight="true" outlineLevel="0" collapsed="false">
      <c r="A319" s="196" t="str">
        <f aca="false">IF(A318&lt;mthend,EDATE(A318,1),"")</f>
        <v/>
      </c>
      <c r="B319" s="197" t="str">
        <f aca="false">IF(A319&lt;mthend,B318,"")</f>
        <v/>
      </c>
      <c r="C319" s="215"/>
      <c r="D319" s="197" t="str">
        <f aca="false">IF(A320&lt;&gt;"",B319+C319,"")</f>
        <v/>
      </c>
      <c r="E319" s="199" t="str">
        <f aca="false">IF(A320="","",IF(AND(AT319=1,$H$3=1),D319*AO319,IF($H$3=2,D319,"N/A")))</f>
        <v/>
      </c>
      <c r="F319" s="199" t="str">
        <f aca="false">IF(A320="","",E319*AS319)</f>
        <v/>
      </c>
      <c r="G319" s="200" t="str">
        <f aca="false">IF($A320="","",VLOOKUP($A319,Table,MATCH(G$4,Curves,0)))</f>
        <v/>
      </c>
      <c r="H319" s="201" t="str">
        <f aca="false">IF(A320="","",G319)</f>
        <v/>
      </c>
      <c r="I319" s="202"/>
      <c r="J319" s="200" t="str">
        <f aca="false">IF($A320="","",VLOOKUP($A319,Table,MATCH(J$4,Curves,0)))</f>
        <v/>
      </c>
      <c r="K319" s="201" t="str">
        <f aca="false">IF(A320="","",J319)</f>
        <v/>
      </c>
      <c r="L319" s="185" t="n">
        <v>0</v>
      </c>
      <c r="M319" s="201" t="str">
        <f aca="false">IF(A320="","",L319)</f>
        <v/>
      </c>
      <c r="N319" s="203"/>
      <c r="O319" s="200" t="str">
        <f aca="false">IF(A320="","",L319+J319+G319)</f>
        <v/>
      </c>
      <c r="P319" s="200" t="str">
        <f aca="false">IF(A320="","",M319+K319+H319)</f>
        <v/>
      </c>
      <c r="Q319" s="204"/>
      <c r="R319" s="200" t="str">
        <f aca="false">IF($A320="","",VLOOKUP($A319,Table,MATCH(R$4,Curves,0)))</f>
        <v/>
      </c>
      <c r="S319" s="201" t="str">
        <f aca="false">IF(A320="","",R319)</f>
        <v/>
      </c>
      <c r="T319" s="200" t="str">
        <f aca="false">IF($A320="","",VLOOKUP($A319,Table,MATCH(T$4,Curves,0)))</f>
        <v/>
      </c>
      <c r="U319" s="201" t="str">
        <f aca="false">IF(A320="","",T319)</f>
        <v/>
      </c>
      <c r="V319" s="205" t="str">
        <f aca="false">IF($A320="","",IF(AND(MONTH(A319)&gt;3,MONTH(A319)&lt;11),(T319+R319+G319)*Summary!$T$10/(1-Summary!$T$10),(T319+R319+G319)*Summary!$U$10/(1-Summary!$U$10)))</f>
        <v/>
      </c>
      <c r="W319" s="200" t="str">
        <f aca="false">IF($A320="","",(T319+R319+G319+V319))</f>
        <v/>
      </c>
      <c r="X319" s="200" t="str">
        <f aca="false">IF($A320="","",(U319+S319+H319+V319))</f>
        <v/>
      </c>
      <c r="Y319" s="202"/>
      <c r="Z319" s="185" t="str">
        <f aca="false">IF($A320="","",VLOOKUP($A319,Table,MATCH(Z$4,Curves,0)))</f>
        <v/>
      </c>
      <c r="AA319" s="185" t="str">
        <f aca="false">IF($A320="","",VLOOKUP($A319,Table,MATCH(AA$4,Curves,0)))</f>
        <v/>
      </c>
      <c r="AB319" s="185" t="e">
        <f aca="false">SQRT((AA319^2*(A319-$D$3)+Z319^2*(DAY(EOMONTH(A319,0))/2))/AK319)</f>
        <v>#VALUE!</v>
      </c>
      <c r="AC319" s="185" t="str">
        <f aca="false">IF($A320="","",VLOOKUP($A319,Table,MATCH(AC$4,Curves,0)))</f>
        <v/>
      </c>
      <c r="AD319" s="185" t="str">
        <f aca="false">IF($A320="","",VLOOKUP($A319,Table,MATCH(AD$4,Curves,0)))</f>
        <v/>
      </c>
      <c r="AE319" s="185" t="e">
        <f aca="false">SQRT((AD319^2*(A319-$D$3)+AC319^2*(DAY(EOMONTH(A319,0))/2))/AK319)</f>
        <v>#VALUE!</v>
      </c>
      <c r="AF319" s="224" t="e">
        <f aca="false">((Summary!$N$10*(AA319*AD319)*(A319-$D$3))+(Summary!$M$10*Z319*AC319*(AJ319-EOMONTH(EDATE(A319,-1),0))))/(AK319*AB319*AE319)</f>
        <v>#VALUE!</v>
      </c>
      <c r="AG319" s="207" t="str">
        <f aca="false">IF($A320="","",Summary!$Q$10)</f>
        <v/>
      </c>
      <c r="AH319" s="207" t="str">
        <f aca="false">IF($A320="","",IF(Summary!$R$10="Y",(VLOOKUP($A319,Summary!$AD$6:$AF$9,3)+'Escalating commodity'!F332),'Escalating commodity'!F332))</f>
        <v/>
      </c>
      <c r="AI319" s="207" t="str">
        <f aca="false">IF($A320="","",AH319)</f>
        <v/>
      </c>
      <c r="AJ319" s="208" t="e">
        <f aca="false">A319+DAY(EOMONTH(A319,0))/2-1</f>
        <v>#VALUE!</v>
      </c>
      <c r="AK319" s="209" t="str">
        <f aca="false">IF($A320="","",$A319-$E$1)</f>
        <v/>
      </c>
      <c r="AL319" s="182" t="str">
        <f aca="false">IF($A320="","",SPRDOPT(P319,X319,AI319,0,AB319,AE319,AF319,AK319,$AJ$2,0))</f>
        <v/>
      </c>
      <c r="AM319" s="211" t="str">
        <f aca="false">IF($A320="","",MAX(0,O319-W319-AI319))</f>
        <v/>
      </c>
      <c r="AN319" s="211" t="str">
        <f aca="false">IF($A320="","",AL319-AM319)</f>
        <v/>
      </c>
      <c r="AO319" s="137" t="str">
        <f aca="false">IF(A320="","",A320-A319)</f>
        <v/>
      </c>
      <c r="AP319" s="212" t="str">
        <f aca="false">IF(A320="","",CHOOSE(F$3,A320+24,A319))</f>
        <v/>
      </c>
      <c r="AQ319" s="209" t="str">
        <f aca="false">IF(A320="","",AP319-$E$1)</f>
        <v/>
      </c>
      <c r="AR319" s="185" t="n">
        <f aca="false">'ANR OK vs ML7'!AR319</f>
        <v>0.1</v>
      </c>
      <c r="AS319" s="213" t="str">
        <f aca="false">IF(A320="","",1/(1+CHOOSE(F$3,(AR320+($I$3/10000))/2,(AR319+($I$3/10000))/2))^(2*AQ319/365.25))</f>
        <v/>
      </c>
      <c r="AT319" s="137" t="str">
        <f aca="false">IF(A320="","",IF(AND(mthbeg&lt;=A319,mthend&gt;=A319),1,0))</f>
        <v/>
      </c>
      <c r="AU319" s="137" t="str">
        <f aca="false">IF(A320="","",AO319*AT319)</f>
        <v/>
      </c>
      <c r="AW319" s="195" t="str">
        <f aca="false">IF($A320="","",AL319*$E319)</f>
        <v/>
      </c>
      <c r="AX319" s="195" t="str">
        <f aca="false">IF($A320="","",AM319*$E319)</f>
        <v/>
      </c>
      <c r="AY319" s="195" t="str">
        <f aca="false">IF($A320="","",AN319*$E319)</f>
        <v/>
      </c>
      <c r="BA319" s="195" t="str">
        <f aca="false">IF($A320="","",F319*Summary!$Q$10)</f>
        <v/>
      </c>
    </row>
    <row r="320" customFormat="false" ht="12" hidden="false" customHeight="true" outlineLevel="0" collapsed="false">
      <c r="A320" s="196" t="str">
        <f aca="false">IF(A319&lt;mthend,EDATE(A319,1),"")</f>
        <v/>
      </c>
      <c r="B320" s="197" t="str">
        <f aca="false">IF(A320&lt;mthend,B319,"")</f>
        <v/>
      </c>
      <c r="C320" s="215"/>
      <c r="D320" s="197" t="str">
        <f aca="false">IF(A321&lt;&gt;"",B320+C320,"")</f>
        <v/>
      </c>
      <c r="E320" s="199" t="str">
        <f aca="false">IF(A321="","",IF(AND(AT320=1,$H$3=1),D320*AO320,IF($H$3=2,D320,"N/A")))</f>
        <v/>
      </c>
      <c r="F320" s="199" t="str">
        <f aca="false">IF(A321="","",E320*AS320)</f>
        <v/>
      </c>
      <c r="G320" s="200" t="str">
        <f aca="false">IF($A321="","",VLOOKUP($A320,Table,MATCH(G$4,Curves,0)))</f>
        <v/>
      </c>
      <c r="H320" s="201" t="str">
        <f aca="false">IF(A321="","",G320)</f>
        <v/>
      </c>
      <c r="I320" s="202"/>
      <c r="J320" s="200" t="str">
        <f aca="false">IF($A321="","",VLOOKUP($A320,Table,MATCH(J$4,Curves,0)))</f>
        <v/>
      </c>
      <c r="K320" s="201" t="str">
        <f aca="false">IF(A321="","",J320)</f>
        <v/>
      </c>
      <c r="L320" s="185" t="n">
        <v>0</v>
      </c>
      <c r="M320" s="201" t="str">
        <f aca="false">IF(A321="","",L320)</f>
        <v/>
      </c>
      <c r="N320" s="203"/>
      <c r="O320" s="200" t="str">
        <f aca="false">IF(A321="","",L320+J320+G320)</f>
        <v/>
      </c>
      <c r="P320" s="200" t="str">
        <f aca="false">IF(A321="","",M320+K320+H320)</f>
        <v/>
      </c>
      <c r="Q320" s="204"/>
      <c r="R320" s="200" t="str">
        <f aca="false">IF($A321="","",VLOOKUP($A320,Table,MATCH(R$4,Curves,0)))</f>
        <v/>
      </c>
      <c r="S320" s="201" t="str">
        <f aca="false">IF(A321="","",R320)</f>
        <v/>
      </c>
      <c r="T320" s="200" t="str">
        <f aca="false">IF($A321="","",VLOOKUP($A320,Table,MATCH(T$4,Curves,0)))</f>
        <v/>
      </c>
      <c r="U320" s="201" t="str">
        <f aca="false">IF(A321="","",T320)</f>
        <v/>
      </c>
      <c r="V320" s="205" t="str">
        <f aca="false">IF($A321="","",IF(AND(MONTH(A320)&gt;3,MONTH(A320)&lt;11),(T320+R320+G320)*Summary!$T$10/(1-Summary!$T$10),(T320+R320+G320)*Summary!$U$10/(1-Summary!$U$10)))</f>
        <v/>
      </c>
      <c r="W320" s="200" t="str">
        <f aca="false">IF($A321="","",(T320+R320+G320+V320))</f>
        <v/>
      </c>
      <c r="X320" s="200" t="str">
        <f aca="false">IF($A321="","",(U320+S320+H320+V320))</f>
        <v/>
      </c>
      <c r="Y320" s="202"/>
      <c r="Z320" s="185" t="str">
        <f aca="false">IF($A321="","",VLOOKUP($A320,Table,MATCH(Z$4,Curves,0)))</f>
        <v/>
      </c>
      <c r="AA320" s="185" t="str">
        <f aca="false">IF($A321="","",VLOOKUP($A320,Table,MATCH(AA$4,Curves,0)))</f>
        <v/>
      </c>
      <c r="AB320" s="185" t="e">
        <f aca="false">SQRT((AA320^2*(A320-$D$3)+Z320^2*(DAY(EOMONTH(A320,0))/2))/AK320)</f>
        <v>#VALUE!</v>
      </c>
      <c r="AC320" s="185" t="str">
        <f aca="false">IF($A321="","",VLOOKUP($A320,Table,MATCH(AC$4,Curves,0)))</f>
        <v/>
      </c>
      <c r="AD320" s="185" t="str">
        <f aca="false">IF($A321="","",VLOOKUP($A320,Table,MATCH(AD$4,Curves,0)))</f>
        <v/>
      </c>
      <c r="AE320" s="185" t="e">
        <f aca="false">SQRT((AD320^2*(A320-$D$3)+AC320^2*(DAY(EOMONTH(A320,0))/2))/AK320)</f>
        <v>#VALUE!</v>
      </c>
      <c r="AF320" s="224" t="e">
        <f aca="false">((Summary!$N$10*(AA320*AD320)*(A320-$D$3))+(Summary!$M$10*Z320*AC320*(AJ320-EOMONTH(EDATE(A320,-1),0))))/(AK320*AB320*AE320)</f>
        <v>#VALUE!</v>
      </c>
      <c r="AG320" s="207" t="str">
        <f aca="false">IF($A321="","",Summary!$Q$10)</f>
        <v/>
      </c>
      <c r="AH320" s="207" t="str">
        <f aca="false">IF($A321="","",IF(Summary!$R$10="Y",(VLOOKUP($A320,Summary!$AD$6:$AF$9,3)+'Escalating commodity'!F333),'Escalating commodity'!F333))</f>
        <v/>
      </c>
      <c r="AI320" s="207" t="str">
        <f aca="false">IF($A321="","",AH320)</f>
        <v/>
      </c>
      <c r="AJ320" s="208" t="e">
        <f aca="false">A320+DAY(EOMONTH(A320,0))/2-1</f>
        <v>#VALUE!</v>
      </c>
      <c r="AK320" s="209" t="str">
        <f aca="false">IF($A321="","",$A320-$E$1)</f>
        <v/>
      </c>
      <c r="AL320" s="182" t="str">
        <f aca="false">IF($A321="","",SPRDOPT(P320,X320,AI320,0,AB320,AE320,AF320,AK320,$AJ$2,0))</f>
        <v/>
      </c>
      <c r="AM320" s="211" t="str">
        <f aca="false">IF($A321="","",MAX(0,O320-W320-AI320))</f>
        <v/>
      </c>
      <c r="AN320" s="211" t="str">
        <f aca="false">IF($A321="","",AL320-AM320)</f>
        <v/>
      </c>
      <c r="AO320" s="137" t="str">
        <f aca="false">IF(A321="","",A321-A320)</f>
        <v/>
      </c>
      <c r="AP320" s="212" t="str">
        <f aca="false">IF(A321="","",CHOOSE(F$3,A321+24,A320))</f>
        <v/>
      </c>
      <c r="AQ320" s="209" t="str">
        <f aca="false">IF(A321="","",AP320-$E$1)</f>
        <v/>
      </c>
      <c r="AR320" s="185" t="n">
        <f aca="false">'ANR OK vs ML7'!AR320</f>
        <v>0.1</v>
      </c>
      <c r="AS320" s="213" t="str">
        <f aca="false">IF(A321="","",1/(1+CHOOSE(F$3,(AR321+($I$3/10000))/2,(AR320+($I$3/10000))/2))^(2*AQ320/365.25))</f>
        <v/>
      </c>
      <c r="AT320" s="137" t="str">
        <f aca="false">IF(A321="","",IF(AND(mthbeg&lt;=A320,mthend&gt;=A320),1,0))</f>
        <v/>
      </c>
      <c r="AU320" s="137" t="str">
        <f aca="false">IF(A321="","",AO320*AT320)</f>
        <v/>
      </c>
      <c r="AW320" s="195" t="str">
        <f aca="false">IF($A321="","",AL320*$E320)</f>
        <v/>
      </c>
      <c r="AX320" s="195" t="str">
        <f aca="false">IF($A321="","",AM320*$E320)</f>
        <v/>
      </c>
      <c r="AY320" s="195" t="str">
        <f aca="false">IF($A321="","",AN320*$E320)</f>
        <v/>
      </c>
      <c r="BA320" s="195" t="str">
        <f aca="false">IF($A321="","",F320*Summary!$Q$10)</f>
        <v/>
      </c>
    </row>
    <row r="321" customFormat="false" ht="12" hidden="false" customHeight="true" outlineLevel="0" collapsed="false">
      <c r="A321" s="196" t="str">
        <f aca="false">IF(A320&lt;mthend,EDATE(A320,1),"")</f>
        <v/>
      </c>
      <c r="B321" s="197" t="str">
        <f aca="false">IF(A321&lt;mthend,B320,"")</f>
        <v/>
      </c>
      <c r="C321" s="215"/>
      <c r="D321" s="197" t="str">
        <f aca="false">IF(A322&lt;&gt;"",B321+C321,"")</f>
        <v/>
      </c>
      <c r="E321" s="199" t="str">
        <f aca="false">IF(A322="","",IF(AND(AT321=1,$H$3=1),D321*AO321,IF($H$3=2,D321,"N/A")))</f>
        <v/>
      </c>
      <c r="F321" s="199" t="str">
        <f aca="false">IF(A322="","",E321*AS321)</f>
        <v/>
      </c>
      <c r="G321" s="200" t="str">
        <f aca="false">IF($A322="","",VLOOKUP($A321,Table,MATCH(G$4,Curves,0)))</f>
        <v/>
      </c>
      <c r="H321" s="201" t="str">
        <f aca="false">IF(A322="","",G321)</f>
        <v/>
      </c>
      <c r="I321" s="202"/>
      <c r="J321" s="200" t="str">
        <f aca="false">IF($A322="","",VLOOKUP($A321,Table,MATCH(J$4,Curves,0)))</f>
        <v/>
      </c>
      <c r="K321" s="201" t="str">
        <f aca="false">IF(A322="","",J321)</f>
        <v/>
      </c>
      <c r="L321" s="185" t="n">
        <v>0</v>
      </c>
      <c r="M321" s="201" t="str">
        <f aca="false">IF(A322="","",L321)</f>
        <v/>
      </c>
      <c r="N321" s="203"/>
      <c r="O321" s="200" t="str">
        <f aca="false">IF(A322="","",L321+J321+G321)</f>
        <v/>
      </c>
      <c r="P321" s="200" t="str">
        <f aca="false">IF(A322="","",M321+K321+H321)</f>
        <v/>
      </c>
      <c r="Q321" s="204"/>
      <c r="R321" s="200" t="str">
        <f aca="false">IF($A322="","",VLOOKUP($A321,Table,MATCH(R$4,Curves,0)))</f>
        <v/>
      </c>
      <c r="S321" s="201" t="str">
        <f aca="false">IF(A322="","",R321)</f>
        <v/>
      </c>
      <c r="T321" s="200" t="str">
        <f aca="false">IF($A322="","",VLOOKUP($A321,Table,MATCH(T$4,Curves,0)))</f>
        <v/>
      </c>
      <c r="U321" s="201" t="str">
        <f aca="false">IF(A322="","",T321)</f>
        <v/>
      </c>
      <c r="V321" s="205" t="str">
        <f aca="false">IF($A322="","",IF(AND(MONTH(A321)&gt;3,MONTH(A321)&lt;11),(T321+R321+G321)*Summary!$T$10/(1-Summary!$T$10),(T321+R321+G321)*Summary!$U$10/(1-Summary!$U$10)))</f>
        <v/>
      </c>
      <c r="W321" s="200" t="str">
        <f aca="false">IF($A322="","",(T321+R321+G321+V321))</f>
        <v/>
      </c>
      <c r="X321" s="200" t="str">
        <f aca="false">IF($A322="","",(U321+S321+H321+V321))</f>
        <v/>
      </c>
      <c r="Y321" s="202"/>
      <c r="Z321" s="185" t="str">
        <f aca="false">IF($A322="","",VLOOKUP($A321,Table,MATCH(Z$4,Curves,0)))</f>
        <v/>
      </c>
      <c r="AA321" s="185" t="str">
        <f aca="false">IF($A322="","",VLOOKUP($A321,Table,MATCH(AA$4,Curves,0)))</f>
        <v/>
      </c>
      <c r="AB321" s="185" t="e">
        <f aca="false">SQRT((AA321^2*(A321-$D$3)+Z321^2*(DAY(EOMONTH(A321,0))/2))/AK321)</f>
        <v>#VALUE!</v>
      </c>
      <c r="AC321" s="185" t="str">
        <f aca="false">IF($A322="","",VLOOKUP($A321,Table,MATCH(AC$4,Curves,0)))</f>
        <v/>
      </c>
      <c r="AD321" s="185" t="str">
        <f aca="false">IF($A322="","",VLOOKUP($A321,Table,MATCH(AD$4,Curves,0)))</f>
        <v/>
      </c>
      <c r="AE321" s="185" t="e">
        <f aca="false">SQRT((AD321^2*(A321-$D$3)+AC321^2*(DAY(EOMONTH(A321,0))/2))/AK321)</f>
        <v>#VALUE!</v>
      </c>
      <c r="AF321" s="224" t="e">
        <f aca="false">((Summary!$N$10*(AA321*AD321)*(A321-$D$3))+(Summary!$M$10*Z321*AC321*(AJ321-EOMONTH(EDATE(A321,-1),0))))/(AK321*AB321*AE321)</f>
        <v>#VALUE!</v>
      </c>
      <c r="AG321" s="207" t="str">
        <f aca="false">IF($A322="","",Summary!$Q$10)</f>
        <v/>
      </c>
      <c r="AH321" s="207" t="str">
        <f aca="false">IF($A322="","",IF(Summary!$R$10="Y",(VLOOKUP($A321,Summary!$AD$6:$AF$9,3)+'Escalating commodity'!F334),'Escalating commodity'!F334))</f>
        <v/>
      </c>
      <c r="AI321" s="207" t="str">
        <f aca="false">IF($A322="","",AH321)</f>
        <v/>
      </c>
      <c r="AJ321" s="208" t="e">
        <f aca="false">A321+DAY(EOMONTH(A321,0))/2-1</f>
        <v>#VALUE!</v>
      </c>
      <c r="AK321" s="209" t="str">
        <f aca="false">IF($A322="","",$A321-$E$1)</f>
        <v/>
      </c>
      <c r="AL321" s="182" t="str">
        <f aca="false">IF($A322="","",SPRDOPT(P321,X321,AI321,0,AB321,AE321,AF321,AK321,$AJ$2,0))</f>
        <v/>
      </c>
      <c r="AM321" s="211" t="str">
        <f aca="false">IF($A322="","",MAX(0,O321-W321-AI321))</f>
        <v/>
      </c>
      <c r="AN321" s="211" t="str">
        <f aca="false">IF($A322="","",AL321-AM321)</f>
        <v/>
      </c>
      <c r="AO321" s="137" t="str">
        <f aca="false">IF(A322="","",A322-A321)</f>
        <v/>
      </c>
      <c r="AP321" s="212" t="str">
        <f aca="false">IF(A322="","",CHOOSE(F$3,A322+24,A321))</f>
        <v/>
      </c>
      <c r="AQ321" s="209" t="str">
        <f aca="false">IF(A322="","",AP321-$E$1)</f>
        <v/>
      </c>
      <c r="AR321" s="185" t="n">
        <f aca="false">'ANR OK vs ML7'!AR321</f>
        <v>0.1</v>
      </c>
      <c r="AS321" s="213" t="str">
        <f aca="false">IF(A322="","",1/(1+CHOOSE(F$3,(AR322+($I$3/10000))/2,(AR321+($I$3/10000))/2))^(2*AQ321/365.25))</f>
        <v/>
      </c>
      <c r="AT321" s="137" t="str">
        <f aca="false">IF(A322="","",IF(AND(mthbeg&lt;=A321,mthend&gt;=A321),1,0))</f>
        <v/>
      </c>
      <c r="AU321" s="137" t="str">
        <f aca="false">IF(A322="","",AO321*AT321)</f>
        <v/>
      </c>
      <c r="AW321" s="195" t="str">
        <f aca="false">IF($A322="","",AL321*$E321)</f>
        <v/>
      </c>
      <c r="AX321" s="195" t="str">
        <f aca="false">IF($A322="","",AM321*$E321)</f>
        <v/>
      </c>
      <c r="AY321" s="195" t="str">
        <f aca="false">IF($A322="","",AN321*$E321)</f>
        <v/>
      </c>
      <c r="BA321" s="195" t="str">
        <f aca="false">IF($A322="","",F321*Summary!$Q$10)</f>
        <v/>
      </c>
    </row>
    <row r="322" customFormat="false" ht="12" hidden="false" customHeight="true" outlineLevel="0" collapsed="false">
      <c r="A322" s="196" t="str">
        <f aca="false">IF(A321&lt;mthend,EDATE(A321,1),"")</f>
        <v/>
      </c>
      <c r="B322" s="197" t="str">
        <f aca="false">IF(A322&lt;mthend,B321,"")</f>
        <v/>
      </c>
      <c r="C322" s="215"/>
      <c r="D322" s="197" t="str">
        <f aca="false">IF(A323&lt;&gt;"",B322+C322,"")</f>
        <v/>
      </c>
      <c r="E322" s="199" t="str">
        <f aca="false">IF(A323="","",IF(AND(AT322=1,$H$3=1),D322*AO322,IF($H$3=2,D322,"N/A")))</f>
        <v/>
      </c>
      <c r="F322" s="199" t="str">
        <f aca="false">IF(A323="","",E322*AS322)</f>
        <v/>
      </c>
      <c r="G322" s="200" t="str">
        <f aca="false">IF($A323="","",VLOOKUP($A322,Table,MATCH(G$4,Curves,0)))</f>
        <v/>
      </c>
      <c r="H322" s="201" t="str">
        <f aca="false">IF(A323="","",G322)</f>
        <v/>
      </c>
      <c r="I322" s="202"/>
      <c r="J322" s="200" t="str">
        <f aca="false">IF($A323="","",VLOOKUP($A322,Table,MATCH(J$4,Curves,0)))</f>
        <v/>
      </c>
      <c r="K322" s="201" t="str">
        <f aca="false">IF(A323="","",J322)</f>
        <v/>
      </c>
      <c r="L322" s="185" t="n">
        <v>0</v>
      </c>
      <c r="M322" s="201" t="str">
        <f aca="false">IF(A323="","",L322)</f>
        <v/>
      </c>
      <c r="N322" s="203"/>
      <c r="O322" s="200" t="str">
        <f aca="false">IF(A323="","",L322+J322+G322)</f>
        <v/>
      </c>
      <c r="P322" s="200" t="str">
        <f aca="false">IF(A323="","",M322+K322+H322)</f>
        <v/>
      </c>
      <c r="Q322" s="204"/>
      <c r="R322" s="200" t="str">
        <f aca="false">IF($A323="","",VLOOKUP($A322,Table,MATCH(R$4,Curves,0)))</f>
        <v/>
      </c>
      <c r="S322" s="201" t="str">
        <f aca="false">IF(A323="","",R322)</f>
        <v/>
      </c>
      <c r="T322" s="200" t="str">
        <f aca="false">IF($A323="","",VLOOKUP($A322,Table,MATCH(T$4,Curves,0)))</f>
        <v/>
      </c>
      <c r="U322" s="201" t="str">
        <f aca="false">IF(A323="","",T322)</f>
        <v/>
      </c>
      <c r="V322" s="205" t="str">
        <f aca="false">IF($A323="","",IF(AND(MONTH(A322)&gt;3,MONTH(A322)&lt;11),(T322+R322+G322)*Summary!$T$10/(1-Summary!$T$10),(T322+R322+G322)*Summary!$U$10/(1-Summary!$U$10)))</f>
        <v/>
      </c>
      <c r="W322" s="200" t="str">
        <f aca="false">IF($A323="","",(T322+R322+G322+V322))</f>
        <v/>
      </c>
      <c r="X322" s="200" t="str">
        <f aca="false">IF($A323="","",(U322+S322+H322+V322))</f>
        <v/>
      </c>
      <c r="Y322" s="202"/>
      <c r="Z322" s="185" t="str">
        <f aca="false">IF($A323="","",VLOOKUP($A322,Table,MATCH(Z$4,Curves,0)))</f>
        <v/>
      </c>
      <c r="AA322" s="185" t="str">
        <f aca="false">IF($A323="","",VLOOKUP($A322,Table,MATCH(AA$4,Curves,0)))</f>
        <v/>
      </c>
      <c r="AB322" s="185" t="e">
        <f aca="false">SQRT((AA322^2*(A322-$D$3)+Z322^2*(DAY(EOMONTH(A322,0))/2))/AK322)</f>
        <v>#VALUE!</v>
      </c>
      <c r="AC322" s="185" t="str">
        <f aca="false">IF($A323="","",VLOOKUP($A322,Table,MATCH(AC$4,Curves,0)))</f>
        <v/>
      </c>
      <c r="AD322" s="185" t="str">
        <f aca="false">IF($A323="","",VLOOKUP($A322,Table,MATCH(AD$4,Curves,0)))</f>
        <v/>
      </c>
      <c r="AE322" s="185" t="e">
        <f aca="false">SQRT((AD322^2*(A322-$D$3)+AC322^2*(DAY(EOMONTH(A322,0))/2))/AK322)</f>
        <v>#VALUE!</v>
      </c>
      <c r="AF322" s="224" t="e">
        <f aca="false">((Summary!$N$10*(AA322*AD322)*(A322-$D$3))+(Summary!$M$10*Z322*AC322*(AJ322-EOMONTH(EDATE(A322,-1),0))))/(AK322*AB322*AE322)</f>
        <v>#VALUE!</v>
      </c>
      <c r="AG322" s="207" t="str">
        <f aca="false">IF($A323="","",Summary!$Q$10)</f>
        <v/>
      </c>
      <c r="AH322" s="207" t="str">
        <f aca="false">IF($A323="","",IF(Summary!$R$10="Y",(VLOOKUP($A322,Summary!$AD$6:$AF$9,3)+'Escalating commodity'!F335),'Escalating commodity'!F335))</f>
        <v/>
      </c>
      <c r="AI322" s="207" t="str">
        <f aca="false">IF($A323="","",AH322)</f>
        <v/>
      </c>
      <c r="AJ322" s="208" t="e">
        <f aca="false">A322+DAY(EOMONTH(A322,0))/2-1</f>
        <v>#VALUE!</v>
      </c>
      <c r="AK322" s="209" t="str">
        <f aca="false">IF($A323="","",$A322-$E$1)</f>
        <v/>
      </c>
      <c r="AL322" s="182" t="str">
        <f aca="false">IF($A323="","",SPRDOPT(P322,X322,AI322,0,AB322,AE322,AF322,AK322,$AJ$2,0))</f>
        <v/>
      </c>
      <c r="AM322" s="211" t="str">
        <f aca="false">IF($A323="","",MAX(0,O322-W322-AI322))</f>
        <v/>
      </c>
      <c r="AN322" s="211" t="str">
        <f aca="false">IF($A323="","",AL322-AM322)</f>
        <v/>
      </c>
      <c r="AO322" s="137" t="str">
        <f aca="false">IF(A323="","",A323-A322)</f>
        <v/>
      </c>
      <c r="AP322" s="212" t="str">
        <f aca="false">IF(A323="","",CHOOSE(F$3,A323+24,A322))</f>
        <v/>
      </c>
      <c r="AQ322" s="209" t="str">
        <f aca="false">IF(A323="","",AP322-$E$1)</f>
        <v/>
      </c>
      <c r="AR322" s="185" t="n">
        <f aca="false">'ANR OK vs ML7'!AR322</f>
        <v>0.1</v>
      </c>
      <c r="AS322" s="213" t="str">
        <f aca="false">IF(A323="","",1/(1+CHOOSE(F$3,(AR323+($I$3/10000))/2,(AR322+($I$3/10000))/2))^(2*AQ322/365.25))</f>
        <v/>
      </c>
      <c r="AT322" s="137" t="str">
        <f aca="false">IF(A323="","",IF(AND(mthbeg&lt;=A322,mthend&gt;=A322),1,0))</f>
        <v/>
      </c>
      <c r="AU322" s="137" t="str">
        <f aca="false">IF(A323="","",AO322*AT322)</f>
        <v/>
      </c>
      <c r="AW322" s="195" t="str">
        <f aca="false">IF($A323="","",AL322*$E322)</f>
        <v/>
      </c>
      <c r="AX322" s="195" t="str">
        <f aca="false">IF($A323="","",AM322*$E322)</f>
        <v/>
      </c>
      <c r="AY322" s="195" t="str">
        <f aca="false">IF($A323="","",AN322*$E322)</f>
        <v/>
      </c>
      <c r="BA322" s="195" t="str">
        <f aca="false">IF($A323="","",F322*Summary!$Q$10)</f>
        <v/>
      </c>
    </row>
    <row r="323" customFormat="false" ht="12" hidden="false" customHeight="true" outlineLevel="0" collapsed="false">
      <c r="A323" s="196" t="str">
        <f aca="false">IF(A322&lt;mthend,EDATE(A322,1),"")</f>
        <v/>
      </c>
      <c r="B323" s="197" t="str">
        <f aca="false">IF(A323&lt;mthend,B322,"")</f>
        <v/>
      </c>
      <c r="C323" s="215"/>
      <c r="D323" s="197" t="str">
        <f aca="false">IF(A324&lt;&gt;"",B323+C323,"")</f>
        <v/>
      </c>
      <c r="E323" s="199" t="str">
        <f aca="false">IF(A324="","",IF(AND(AT323=1,$H$3=1),D323*AO323,IF($H$3=2,D323,"N/A")))</f>
        <v/>
      </c>
      <c r="F323" s="199" t="str">
        <f aca="false">IF(A324="","",E323*AS323)</f>
        <v/>
      </c>
      <c r="G323" s="200" t="str">
        <f aca="false">IF($A324="","",VLOOKUP($A323,Table,MATCH(G$4,Curves,0)))</f>
        <v/>
      </c>
      <c r="H323" s="201" t="str">
        <f aca="false">IF(A324="","",G323)</f>
        <v/>
      </c>
      <c r="I323" s="202"/>
      <c r="J323" s="200" t="str">
        <f aca="false">IF($A324="","",VLOOKUP($A323,Table,MATCH(J$4,Curves,0)))</f>
        <v/>
      </c>
      <c r="K323" s="201" t="str">
        <f aca="false">IF(A324="","",J323)</f>
        <v/>
      </c>
      <c r="L323" s="185" t="n">
        <v>0</v>
      </c>
      <c r="M323" s="201" t="str">
        <f aca="false">IF(A324="","",L323)</f>
        <v/>
      </c>
      <c r="N323" s="203"/>
      <c r="O323" s="200" t="str">
        <f aca="false">IF(A324="","",L323+J323+G323)</f>
        <v/>
      </c>
      <c r="P323" s="200" t="str">
        <f aca="false">IF(A324="","",M323+K323+H323)</f>
        <v/>
      </c>
      <c r="Q323" s="204"/>
      <c r="R323" s="200" t="str">
        <f aca="false">IF($A324="","",VLOOKUP($A323,Table,MATCH(R$4,Curves,0)))</f>
        <v/>
      </c>
      <c r="S323" s="201" t="str">
        <f aca="false">IF(A324="","",R323)</f>
        <v/>
      </c>
      <c r="T323" s="200" t="str">
        <f aca="false">IF($A324="","",VLOOKUP($A323,Table,MATCH(T$4,Curves,0)))</f>
        <v/>
      </c>
      <c r="U323" s="201" t="str">
        <f aca="false">IF(A324="","",T323)</f>
        <v/>
      </c>
      <c r="V323" s="205" t="str">
        <f aca="false">IF($A324="","",IF(AND(MONTH(A323)&gt;3,MONTH(A323)&lt;11),(T323+R323+G323)*Summary!$T$10/(1-Summary!$T$10),(T323+R323+G323)*Summary!$U$10/(1-Summary!$U$10)))</f>
        <v/>
      </c>
      <c r="W323" s="200" t="str">
        <f aca="false">IF($A324="","",(T323+R323+G323+V323))</f>
        <v/>
      </c>
      <c r="X323" s="200" t="str">
        <f aca="false">IF($A324="","",(U323+S323+H323+V323))</f>
        <v/>
      </c>
      <c r="Y323" s="202"/>
      <c r="Z323" s="185" t="str">
        <f aca="false">IF($A324="","",VLOOKUP($A323,Table,MATCH(Z$4,Curves,0)))</f>
        <v/>
      </c>
      <c r="AA323" s="185" t="str">
        <f aca="false">IF($A324="","",VLOOKUP($A323,Table,MATCH(AA$4,Curves,0)))</f>
        <v/>
      </c>
      <c r="AB323" s="185" t="e">
        <f aca="false">SQRT((AA323^2*(A323-$D$3)+Z323^2*(DAY(EOMONTH(A323,0))/2))/AK323)</f>
        <v>#VALUE!</v>
      </c>
      <c r="AC323" s="185" t="str">
        <f aca="false">IF($A324="","",VLOOKUP($A323,Table,MATCH(AC$4,Curves,0)))</f>
        <v/>
      </c>
      <c r="AD323" s="185" t="str">
        <f aca="false">IF($A324="","",VLOOKUP($A323,Table,MATCH(AD$4,Curves,0)))</f>
        <v/>
      </c>
      <c r="AE323" s="185" t="e">
        <f aca="false">SQRT((AD323^2*(A323-$D$3)+AC323^2*(DAY(EOMONTH(A323,0))/2))/AK323)</f>
        <v>#VALUE!</v>
      </c>
      <c r="AF323" s="224" t="e">
        <f aca="false">((Summary!$N$10*(AA323*AD323)*(A323-$D$3))+(Summary!$M$10*Z323*AC323*(AJ323-EOMONTH(EDATE(A323,-1),0))))/(AK323*AB323*AE323)</f>
        <v>#VALUE!</v>
      </c>
      <c r="AG323" s="207" t="str">
        <f aca="false">IF($A324="","",Summary!$Q$10)</f>
        <v/>
      </c>
      <c r="AH323" s="207" t="str">
        <f aca="false">IF($A324="","",IF(Summary!$R$10="Y",(VLOOKUP($A323,Summary!$AD$6:$AF$9,3)+'Escalating commodity'!F336),'Escalating commodity'!F336))</f>
        <v/>
      </c>
      <c r="AI323" s="207" t="str">
        <f aca="false">IF($A324="","",AH323)</f>
        <v/>
      </c>
      <c r="AJ323" s="208" t="e">
        <f aca="false">A323+DAY(EOMONTH(A323,0))/2-1</f>
        <v>#VALUE!</v>
      </c>
      <c r="AK323" s="209" t="str">
        <f aca="false">IF($A324="","",$A323-$E$1)</f>
        <v/>
      </c>
      <c r="AL323" s="182" t="str">
        <f aca="false">IF($A324="","",SPRDOPT(P323,X323,AI323,0,AB323,AE323,AF323,AK323,$AJ$2,0))</f>
        <v/>
      </c>
      <c r="AM323" s="211" t="str">
        <f aca="false">IF($A324="","",MAX(0,O323-W323-AI323))</f>
        <v/>
      </c>
      <c r="AN323" s="211" t="str">
        <f aca="false">IF($A324="","",AL323-AM323)</f>
        <v/>
      </c>
      <c r="AO323" s="137" t="str">
        <f aca="false">IF(A324="","",A324-A323)</f>
        <v/>
      </c>
      <c r="AP323" s="212" t="str">
        <f aca="false">IF(A324="","",CHOOSE(F$3,A324+24,A323))</f>
        <v/>
      </c>
      <c r="AQ323" s="209" t="str">
        <f aca="false">IF(A324="","",AP323-$E$1)</f>
        <v/>
      </c>
      <c r="AR323" s="185" t="n">
        <f aca="false">'ANR OK vs ML7'!AR323</f>
        <v>0.1</v>
      </c>
      <c r="AS323" s="213" t="str">
        <f aca="false">IF(A324="","",1/(1+CHOOSE(F$3,(AR324+($I$3/10000))/2,(AR323+($I$3/10000))/2))^(2*AQ323/365.25))</f>
        <v/>
      </c>
      <c r="AT323" s="137" t="str">
        <f aca="false">IF(A324="","",IF(AND(mthbeg&lt;=A323,mthend&gt;=A323),1,0))</f>
        <v/>
      </c>
      <c r="AU323" s="137" t="str">
        <f aca="false">IF(A324="","",AO323*AT323)</f>
        <v/>
      </c>
      <c r="AW323" s="195" t="str">
        <f aca="false">IF($A324="","",AL323*$E323)</f>
        <v/>
      </c>
      <c r="AX323" s="195" t="str">
        <f aca="false">IF($A324="","",AM323*$E323)</f>
        <v/>
      </c>
      <c r="AY323" s="195" t="str">
        <f aca="false">IF($A324="","",AN323*$E323)</f>
        <v/>
      </c>
      <c r="BA323" s="195" t="str">
        <f aca="false">IF($A324="","",F323*Summary!$Q$10)</f>
        <v/>
      </c>
    </row>
    <row r="324" customFormat="false" ht="12" hidden="false" customHeight="true" outlineLevel="0" collapsed="false">
      <c r="A324" s="196" t="str">
        <f aca="false">IF(A323&lt;mthend,EDATE(A323,1),"")</f>
        <v/>
      </c>
      <c r="B324" s="197" t="str">
        <f aca="false">IF(A324&lt;mthend,B323,"")</f>
        <v/>
      </c>
      <c r="C324" s="215"/>
      <c r="D324" s="197" t="str">
        <f aca="false">IF(A325&lt;&gt;"",B324+C324,"")</f>
        <v/>
      </c>
      <c r="E324" s="199" t="str">
        <f aca="false">IF(A325="","",IF(AND(AT324=1,$H$3=1),D324*AO324,IF($H$3=2,D324,"N/A")))</f>
        <v/>
      </c>
      <c r="F324" s="199" t="str">
        <f aca="false">IF(A325="","",E324*AS324)</f>
        <v/>
      </c>
      <c r="G324" s="200" t="str">
        <f aca="false">IF($A325="","",VLOOKUP($A324,Table,MATCH(G$4,Curves,0)))</f>
        <v/>
      </c>
      <c r="H324" s="201" t="str">
        <f aca="false">IF(A325="","",G324)</f>
        <v/>
      </c>
      <c r="I324" s="202"/>
      <c r="J324" s="200" t="str">
        <f aca="false">IF($A325="","",VLOOKUP($A324,Table,MATCH(J$4,Curves,0)))</f>
        <v/>
      </c>
      <c r="K324" s="201" t="str">
        <f aca="false">IF(A325="","",J324)</f>
        <v/>
      </c>
      <c r="L324" s="185" t="n">
        <v>0</v>
      </c>
      <c r="M324" s="201" t="str">
        <f aca="false">IF(A325="","",L324)</f>
        <v/>
      </c>
      <c r="N324" s="203"/>
      <c r="O324" s="200" t="str">
        <f aca="false">IF(A325="","",L324+J324+G324)</f>
        <v/>
      </c>
      <c r="P324" s="200" t="str">
        <f aca="false">IF(A325="","",M324+K324+H324)</f>
        <v/>
      </c>
      <c r="Q324" s="204"/>
      <c r="R324" s="200" t="str">
        <f aca="false">IF($A325="","",VLOOKUP($A324,Table,MATCH(R$4,Curves,0)))</f>
        <v/>
      </c>
      <c r="S324" s="201" t="str">
        <f aca="false">IF(A325="","",R324)</f>
        <v/>
      </c>
      <c r="T324" s="200" t="str">
        <f aca="false">IF($A325="","",VLOOKUP($A324,Table,MATCH(T$4,Curves,0)))</f>
        <v/>
      </c>
      <c r="U324" s="201" t="str">
        <f aca="false">IF(A325="","",T324)</f>
        <v/>
      </c>
      <c r="V324" s="205" t="str">
        <f aca="false">IF($A325="","",IF(AND(MONTH(A324)&gt;3,MONTH(A324)&lt;11),(T324+R324+G324)*Summary!$T$10/(1-Summary!$T$10),(T324+R324+G324)*Summary!$U$10/(1-Summary!$U$10)))</f>
        <v/>
      </c>
      <c r="W324" s="200" t="str">
        <f aca="false">IF($A325="","",(T324+R324+G324+V324))</f>
        <v/>
      </c>
      <c r="X324" s="200" t="str">
        <f aca="false">IF($A325="","",(U324+S324+H324+V324))</f>
        <v/>
      </c>
      <c r="Y324" s="202"/>
      <c r="Z324" s="185" t="str">
        <f aca="false">IF($A325="","",VLOOKUP($A324,Table,MATCH(Z$4,Curves,0)))</f>
        <v/>
      </c>
      <c r="AA324" s="185" t="str">
        <f aca="false">IF($A325="","",VLOOKUP($A324,Table,MATCH(AA$4,Curves,0)))</f>
        <v/>
      </c>
      <c r="AB324" s="185" t="e">
        <f aca="false">SQRT((AA324^2*(A324-$D$3)+Z324^2*(DAY(EOMONTH(A324,0))/2))/AK324)</f>
        <v>#VALUE!</v>
      </c>
      <c r="AC324" s="185" t="str">
        <f aca="false">IF($A325="","",VLOOKUP($A324,Table,MATCH(AC$4,Curves,0)))</f>
        <v/>
      </c>
      <c r="AD324" s="185" t="str">
        <f aca="false">IF($A325="","",VLOOKUP($A324,Table,MATCH(AD$4,Curves,0)))</f>
        <v/>
      </c>
      <c r="AE324" s="185" t="e">
        <f aca="false">SQRT((AD324^2*(A324-$D$3)+AC324^2*(DAY(EOMONTH(A324,0))/2))/AK324)</f>
        <v>#VALUE!</v>
      </c>
      <c r="AF324" s="224" t="e">
        <f aca="false">((Summary!$N$10*(AA324*AD324)*(A324-$D$3))+(Summary!$M$10*Z324*AC324*(AJ324-EOMONTH(EDATE(A324,-1),0))))/(AK324*AB324*AE324)</f>
        <v>#VALUE!</v>
      </c>
      <c r="AG324" s="207" t="str">
        <f aca="false">IF($A325="","",Summary!$Q$10)</f>
        <v/>
      </c>
      <c r="AH324" s="207" t="str">
        <f aca="false">IF($A325="","",IF(Summary!$R$10="Y",(VLOOKUP($A324,Summary!$AD$6:$AF$9,3)+'Escalating commodity'!F337),'Escalating commodity'!F337))</f>
        <v/>
      </c>
      <c r="AI324" s="207" t="str">
        <f aca="false">IF($A325="","",AH324)</f>
        <v/>
      </c>
      <c r="AJ324" s="208" t="e">
        <f aca="false">A324+DAY(EOMONTH(A324,0))/2-1</f>
        <v>#VALUE!</v>
      </c>
      <c r="AK324" s="209" t="str">
        <f aca="false">IF($A325="","",$A324-$E$1)</f>
        <v/>
      </c>
      <c r="AL324" s="182" t="str">
        <f aca="false">IF($A325="","",SPRDOPT(P324,X324,AI324,0,AB324,AE324,AF324,AK324,$AJ$2,0))</f>
        <v/>
      </c>
      <c r="AM324" s="211" t="str">
        <f aca="false">IF($A325="","",MAX(0,O324-W324-AI324))</f>
        <v/>
      </c>
      <c r="AN324" s="211" t="str">
        <f aca="false">IF($A325="","",AL324-AM324)</f>
        <v/>
      </c>
      <c r="AO324" s="137" t="str">
        <f aca="false">IF(A325="","",A325-A324)</f>
        <v/>
      </c>
      <c r="AP324" s="212" t="str">
        <f aca="false">IF(A325="","",CHOOSE(F$3,A325+24,A324))</f>
        <v/>
      </c>
      <c r="AQ324" s="209" t="str">
        <f aca="false">IF(A325="","",AP324-$E$1)</f>
        <v/>
      </c>
      <c r="AR324" s="185" t="n">
        <f aca="false">'ANR OK vs ML7'!AR324</f>
        <v>0.1</v>
      </c>
      <c r="AS324" s="213" t="str">
        <f aca="false">IF(A325="","",1/(1+CHOOSE(F$3,(AR325+($I$3/10000))/2,(AR324+($I$3/10000))/2))^(2*AQ324/365.25))</f>
        <v/>
      </c>
      <c r="AT324" s="137" t="str">
        <f aca="false">IF(A325="","",IF(AND(mthbeg&lt;=A324,mthend&gt;=A324),1,0))</f>
        <v/>
      </c>
      <c r="AU324" s="137" t="str">
        <f aca="false">IF(A325="","",AO324*AT324)</f>
        <v/>
      </c>
      <c r="AW324" s="195" t="str">
        <f aca="false">IF($A325="","",AL324*$E324)</f>
        <v/>
      </c>
      <c r="AX324" s="195" t="str">
        <f aca="false">IF($A325="","",AM324*$E324)</f>
        <v/>
      </c>
      <c r="AY324" s="195" t="str">
        <f aca="false">IF($A325="","",AN324*$E324)</f>
        <v/>
      </c>
      <c r="BA324" s="195" t="str">
        <f aca="false">IF($A325="","",F324*Summary!$Q$10)</f>
        <v/>
      </c>
    </row>
    <row r="325" customFormat="false" ht="12" hidden="false" customHeight="true" outlineLevel="0" collapsed="false">
      <c r="A325" s="196" t="str">
        <f aca="false">IF(A324&lt;mthend,EDATE(A324,1),"")</f>
        <v/>
      </c>
      <c r="B325" s="197" t="str">
        <f aca="false">IF(A325&lt;mthend,B324,"")</f>
        <v/>
      </c>
      <c r="C325" s="215"/>
      <c r="D325" s="197" t="str">
        <f aca="false">IF(A326&lt;&gt;"",B325+C325,"")</f>
        <v/>
      </c>
      <c r="E325" s="199" t="str">
        <f aca="false">IF(A326="","",IF(AND(AT325=1,$H$3=1),D325*AO325,IF($H$3=2,D325,"N/A")))</f>
        <v/>
      </c>
      <c r="F325" s="199" t="str">
        <f aca="false">IF(A326="","",E325*AS325)</f>
        <v/>
      </c>
      <c r="G325" s="200" t="str">
        <f aca="false">IF($A326="","",VLOOKUP($A325,Table,MATCH(G$4,Curves,0)))</f>
        <v/>
      </c>
      <c r="H325" s="201" t="str">
        <f aca="false">IF(A326="","",G325)</f>
        <v/>
      </c>
      <c r="I325" s="202"/>
      <c r="J325" s="200" t="str">
        <f aca="false">IF($A326="","",VLOOKUP($A325,Table,MATCH(J$4,Curves,0)))</f>
        <v/>
      </c>
      <c r="K325" s="201" t="str">
        <f aca="false">IF(A326="","",J325)</f>
        <v/>
      </c>
      <c r="L325" s="185" t="n">
        <v>0</v>
      </c>
      <c r="M325" s="201" t="str">
        <f aca="false">IF(A326="","",L325)</f>
        <v/>
      </c>
      <c r="N325" s="203"/>
      <c r="O325" s="200" t="str">
        <f aca="false">IF(A326="","",L325+J325+G325)</f>
        <v/>
      </c>
      <c r="P325" s="200" t="str">
        <f aca="false">IF(A326="","",M325+K325+H325)</f>
        <v/>
      </c>
      <c r="Q325" s="204"/>
      <c r="R325" s="200" t="str">
        <f aca="false">IF($A326="","",VLOOKUP($A325,Table,MATCH(R$4,Curves,0)))</f>
        <v/>
      </c>
      <c r="S325" s="201" t="str">
        <f aca="false">IF(A326="","",R325)</f>
        <v/>
      </c>
      <c r="T325" s="200" t="str">
        <f aca="false">IF($A326="","",VLOOKUP($A325,Table,MATCH(T$4,Curves,0)))</f>
        <v/>
      </c>
      <c r="U325" s="201" t="str">
        <f aca="false">IF(A326="","",T325)</f>
        <v/>
      </c>
      <c r="V325" s="205" t="str">
        <f aca="false">IF($A326="","",IF(AND(MONTH(A325)&gt;3,MONTH(A325)&lt;11),(T325+R325+G325)*Summary!$T$10/(1-Summary!$T$10),(T325+R325+G325)*Summary!$U$10/(1-Summary!$U$10)))</f>
        <v/>
      </c>
      <c r="W325" s="200" t="str">
        <f aca="false">IF($A326="","",(T325+R325+G325+V325))</f>
        <v/>
      </c>
      <c r="X325" s="200" t="str">
        <f aca="false">IF($A326="","",(U325+S325+H325+V325))</f>
        <v/>
      </c>
      <c r="Y325" s="202"/>
      <c r="Z325" s="185" t="str">
        <f aca="false">IF($A326="","",VLOOKUP($A325,Table,MATCH(Z$4,Curves,0)))</f>
        <v/>
      </c>
      <c r="AA325" s="185" t="str">
        <f aca="false">IF($A326="","",VLOOKUP($A325,Table,MATCH(AA$4,Curves,0)))</f>
        <v/>
      </c>
      <c r="AB325" s="185" t="e">
        <f aca="false">SQRT((AA325^2*(A325-$D$3)+Z325^2*(DAY(EOMONTH(A325,0))/2))/AK325)</f>
        <v>#VALUE!</v>
      </c>
      <c r="AC325" s="185" t="str">
        <f aca="false">IF($A326="","",VLOOKUP($A325,Table,MATCH(AC$4,Curves,0)))</f>
        <v/>
      </c>
      <c r="AD325" s="185" t="str">
        <f aca="false">IF($A326="","",VLOOKUP($A325,Table,MATCH(AD$4,Curves,0)))</f>
        <v/>
      </c>
      <c r="AE325" s="185" t="e">
        <f aca="false">SQRT((AD325^2*(A325-$D$3)+AC325^2*(DAY(EOMONTH(A325,0))/2))/AK325)</f>
        <v>#VALUE!</v>
      </c>
      <c r="AF325" s="224" t="e">
        <f aca="false">((Summary!$N$10*(AA325*AD325)*(A325-$D$3))+(Summary!$M$10*Z325*AC325*(AJ325-EOMONTH(EDATE(A325,-1),0))))/(AK325*AB325*AE325)</f>
        <v>#VALUE!</v>
      </c>
      <c r="AG325" s="207" t="str">
        <f aca="false">IF($A326="","",Summary!$Q$10)</f>
        <v/>
      </c>
      <c r="AH325" s="207" t="str">
        <f aca="false">IF($A326="","",IF(Summary!$R$10="Y",(VLOOKUP($A325,Summary!$AD$6:$AF$9,3)+'Escalating commodity'!F338),'Escalating commodity'!F338))</f>
        <v/>
      </c>
      <c r="AI325" s="207" t="str">
        <f aca="false">IF($A326="","",AH325)</f>
        <v/>
      </c>
      <c r="AJ325" s="208" t="e">
        <f aca="false">A325+DAY(EOMONTH(A325,0))/2-1</f>
        <v>#VALUE!</v>
      </c>
      <c r="AK325" s="209" t="str">
        <f aca="false">IF($A326="","",$A325-$E$1)</f>
        <v/>
      </c>
      <c r="AL325" s="182" t="str">
        <f aca="false">IF($A326="","",SPRDOPT(P325,X325,AI325,0,AB325,AE325,AF325,AK325,$AJ$2,0))</f>
        <v/>
      </c>
      <c r="AM325" s="211" t="str">
        <f aca="false">IF($A326="","",MAX(0,O325-W325-AI325))</f>
        <v/>
      </c>
      <c r="AN325" s="211" t="str">
        <f aca="false">IF($A326="","",AL325-AM325)</f>
        <v/>
      </c>
      <c r="AO325" s="137" t="str">
        <f aca="false">IF(A326="","",A326-A325)</f>
        <v/>
      </c>
      <c r="AP325" s="212" t="str">
        <f aca="false">IF(A326="","",CHOOSE(F$3,A326+24,A325))</f>
        <v/>
      </c>
      <c r="AQ325" s="209" t="str">
        <f aca="false">IF(A326="","",AP325-$E$1)</f>
        <v/>
      </c>
      <c r="AR325" s="185" t="n">
        <f aca="false">'ANR OK vs ML7'!AR325</f>
        <v>0.1</v>
      </c>
      <c r="AS325" s="213" t="str">
        <f aca="false">IF(A326="","",1/(1+CHOOSE(F$3,(AR326+($I$3/10000))/2,(AR325+($I$3/10000))/2))^(2*AQ325/365.25))</f>
        <v/>
      </c>
      <c r="AT325" s="137" t="str">
        <f aca="false">IF(A326="","",IF(AND(mthbeg&lt;=A325,mthend&gt;=A325),1,0))</f>
        <v/>
      </c>
      <c r="AU325" s="137" t="str">
        <f aca="false">IF(A326="","",AO325*AT325)</f>
        <v/>
      </c>
      <c r="AW325" s="195" t="str">
        <f aca="false">IF($A326="","",AL325*$E325)</f>
        <v/>
      </c>
      <c r="AX325" s="195" t="str">
        <f aca="false">IF($A326="","",AM325*$E325)</f>
        <v/>
      </c>
      <c r="AY325" s="195" t="str">
        <f aca="false">IF($A326="","",AN325*$E325)</f>
        <v/>
      </c>
      <c r="BA325" s="195" t="str">
        <f aca="false">IF($A326="","",F325*Summary!$Q$10)</f>
        <v/>
      </c>
    </row>
    <row r="326" customFormat="false" ht="12" hidden="false" customHeight="true" outlineLevel="0" collapsed="false">
      <c r="A326" s="196" t="str">
        <f aca="false">IF(A325&lt;mthend,EDATE(A325,1),"")</f>
        <v/>
      </c>
      <c r="B326" s="197" t="str">
        <f aca="false">IF(A326&lt;mthend,B325,"")</f>
        <v/>
      </c>
      <c r="C326" s="215"/>
      <c r="D326" s="197" t="str">
        <f aca="false">IF(A327&lt;&gt;"",B326+C326,"")</f>
        <v/>
      </c>
      <c r="E326" s="199" t="str">
        <f aca="false">IF(A327="","",IF(AND(AT326=1,$H$3=1),D326*AO326,IF($H$3=2,D326,"N/A")))</f>
        <v/>
      </c>
      <c r="F326" s="199" t="str">
        <f aca="false">IF(A327="","",E326*AS326)</f>
        <v/>
      </c>
      <c r="G326" s="200" t="str">
        <f aca="false">IF($A327="","",VLOOKUP($A326,Table,MATCH(G$4,Curves,0)))</f>
        <v/>
      </c>
      <c r="H326" s="201" t="str">
        <f aca="false">IF(A327="","",G326)</f>
        <v/>
      </c>
      <c r="I326" s="202"/>
      <c r="J326" s="200" t="str">
        <f aca="false">IF($A327="","",VLOOKUP($A326,Table,MATCH(J$4,Curves,0)))</f>
        <v/>
      </c>
      <c r="K326" s="201" t="str">
        <f aca="false">IF(A327="","",J326)</f>
        <v/>
      </c>
      <c r="L326" s="185" t="n">
        <v>0</v>
      </c>
      <c r="M326" s="201" t="str">
        <f aca="false">IF(A327="","",L326)</f>
        <v/>
      </c>
      <c r="N326" s="203"/>
      <c r="O326" s="200" t="str">
        <f aca="false">IF(A327="","",L326+J326+G326)</f>
        <v/>
      </c>
      <c r="P326" s="200" t="str">
        <f aca="false">IF(A327="","",M326+K326+H326)</f>
        <v/>
      </c>
      <c r="Q326" s="204"/>
      <c r="R326" s="200" t="str">
        <f aca="false">IF($A327="","",VLOOKUP($A326,Table,MATCH(R$4,Curves,0)))</f>
        <v/>
      </c>
      <c r="S326" s="201" t="str">
        <f aca="false">IF(A327="","",R326)</f>
        <v/>
      </c>
      <c r="T326" s="200" t="str">
        <f aca="false">IF($A327="","",VLOOKUP($A326,Table,MATCH(T$4,Curves,0)))</f>
        <v/>
      </c>
      <c r="U326" s="201" t="str">
        <f aca="false">IF(A327="","",T326)</f>
        <v/>
      </c>
      <c r="V326" s="205" t="str">
        <f aca="false">IF($A327="","",IF(AND(MONTH(A326)&gt;3,MONTH(A326)&lt;11),(T326+R326+G326)*Summary!$T$10/(1-Summary!$T$10),(T326+R326+G326)*Summary!$U$10/(1-Summary!$U$10)))</f>
        <v/>
      </c>
      <c r="W326" s="200" t="str">
        <f aca="false">IF($A327="","",(T326+R326+G326+V326))</f>
        <v/>
      </c>
      <c r="X326" s="200" t="str">
        <f aca="false">IF($A327="","",(U326+S326+H326+V326))</f>
        <v/>
      </c>
      <c r="Y326" s="202"/>
      <c r="Z326" s="185" t="str">
        <f aca="false">IF($A327="","",VLOOKUP($A326,Table,MATCH(Z$4,Curves,0)))</f>
        <v/>
      </c>
      <c r="AA326" s="185" t="str">
        <f aca="false">IF($A327="","",VLOOKUP($A326,Table,MATCH(AA$4,Curves,0)))</f>
        <v/>
      </c>
      <c r="AB326" s="185" t="e">
        <f aca="false">SQRT((AA326^2*(A326-$D$3)+Z326^2*(DAY(EOMONTH(A326,0))/2))/AK326)</f>
        <v>#VALUE!</v>
      </c>
      <c r="AC326" s="185" t="str">
        <f aca="false">IF($A327="","",VLOOKUP($A326,Table,MATCH(AC$4,Curves,0)))</f>
        <v/>
      </c>
      <c r="AD326" s="185" t="str">
        <f aca="false">IF($A327="","",VLOOKUP($A326,Table,MATCH(AD$4,Curves,0)))</f>
        <v/>
      </c>
      <c r="AE326" s="185" t="e">
        <f aca="false">SQRT((AD326^2*(A326-$D$3)+AC326^2*(DAY(EOMONTH(A326,0))/2))/AK326)</f>
        <v>#VALUE!</v>
      </c>
      <c r="AF326" s="224" t="e">
        <f aca="false">((Summary!$N$10*(AA326*AD326)*(A326-$D$3))+(Summary!$M$10*Z326*AC326*(AJ326-EOMONTH(EDATE(A326,-1),0))))/(AK326*AB326*AE326)</f>
        <v>#VALUE!</v>
      </c>
      <c r="AG326" s="207" t="str">
        <f aca="false">IF($A327="","",Summary!$Q$10)</f>
        <v/>
      </c>
      <c r="AH326" s="207" t="str">
        <f aca="false">IF($A327="","",IF(Summary!$R$10="Y",(VLOOKUP($A326,Summary!$AD$6:$AF$9,3)+'Escalating commodity'!F339),'Escalating commodity'!F339))</f>
        <v/>
      </c>
      <c r="AI326" s="207" t="str">
        <f aca="false">IF($A327="","",AH326)</f>
        <v/>
      </c>
      <c r="AJ326" s="208" t="e">
        <f aca="false">A326+DAY(EOMONTH(A326,0))/2-1</f>
        <v>#VALUE!</v>
      </c>
      <c r="AK326" s="209" t="str">
        <f aca="false">IF($A327="","",$A326-$E$1)</f>
        <v/>
      </c>
      <c r="AL326" s="182" t="str">
        <f aca="false">IF($A327="","",SPRDOPT(P326,X326,AI326,0,AB326,AE326,AF326,AK326,$AJ$2,0))</f>
        <v/>
      </c>
      <c r="AM326" s="211" t="str">
        <f aca="false">IF($A327="","",MAX(0,O326-W326-AI326))</f>
        <v/>
      </c>
      <c r="AN326" s="211" t="str">
        <f aca="false">IF($A327="","",AL326-AM326)</f>
        <v/>
      </c>
      <c r="AO326" s="137" t="str">
        <f aca="false">IF(A327="","",A327-A326)</f>
        <v/>
      </c>
      <c r="AP326" s="212" t="str">
        <f aca="false">IF(A327="","",CHOOSE(F$3,A327+24,A326))</f>
        <v/>
      </c>
      <c r="AQ326" s="209" t="str">
        <f aca="false">IF(A327="","",AP326-$E$1)</f>
        <v/>
      </c>
      <c r="AR326" s="185" t="n">
        <f aca="false">'ANR OK vs ML7'!AR326</f>
        <v>0.1</v>
      </c>
      <c r="AS326" s="213" t="str">
        <f aca="false">IF(A327="","",1/(1+CHOOSE(F$3,(AR327+($I$3/10000))/2,(AR326+($I$3/10000))/2))^(2*AQ326/365.25))</f>
        <v/>
      </c>
      <c r="AT326" s="137" t="str">
        <f aca="false">IF(A327="","",IF(AND(mthbeg&lt;=A326,mthend&gt;=A326),1,0))</f>
        <v/>
      </c>
      <c r="AU326" s="137" t="str">
        <f aca="false">IF(A327="","",AO326*AT326)</f>
        <v/>
      </c>
      <c r="AW326" s="195" t="str">
        <f aca="false">IF($A327="","",AL326*$E326)</f>
        <v/>
      </c>
      <c r="AX326" s="195" t="str">
        <f aca="false">IF($A327="","",AM326*$E326)</f>
        <v/>
      </c>
      <c r="AY326" s="195" t="str">
        <f aca="false">IF($A327="","",AN326*$E326)</f>
        <v/>
      </c>
      <c r="BA326" s="195" t="str">
        <f aca="false">IF($A327="","",F326*Summary!$Q$10)</f>
        <v/>
      </c>
    </row>
    <row r="327" customFormat="false" ht="12" hidden="false" customHeight="true" outlineLevel="0" collapsed="false">
      <c r="A327" s="196" t="str">
        <f aca="false">IF(A326&lt;mthend,EDATE(A326,1),"")</f>
        <v/>
      </c>
      <c r="B327" s="197" t="str">
        <f aca="false">IF(A327&lt;mthend,B326,"")</f>
        <v/>
      </c>
      <c r="C327" s="215"/>
      <c r="D327" s="197" t="str">
        <f aca="false">IF(A328&lt;&gt;"",B327+C327,"")</f>
        <v/>
      </c>
      <c r="E327" s="199" t="str">
        <f aca="false">IF(A328="","",IF(AND(AT327=1,$H$3=1),D327*AO327,IF($H$3=2,D327,"N/A")))</f>
        <v/>
      </c>
      <c r="F327" s="199" t="str">
        <f aca="false">IF(A328="","",E327*AS327)</f>
        <v/>
      </c>
      <c r="G327" s="200" t="str">
        <f aca="false">IF($A328="","",VLOOKUP($A327,Table,MATCH(G$4,Curves,0)))</f>
        <v/>
      </c>
      <c r="H327" s="201" t="str">
        <f aca="false">IF(A328="","",G327)</f>
        <v/>
      </c>
      <c r="I327" s="202"/>
      <c r="J327" s="200" t="str">
        <f aca="false">IF($A328="","",VLOOKUP($A327,Table,MATCH(J$4,Curves,0)))</f>
        <v/>
      </c>
      <c r="K327" s="201" t="str">
        <f aca="false">IF(A328="","",J327)</f>
        <v/>
      </c>
      <c r="L327" s="185" t="n">
        <v>0</v>
      </c>
      <c r="M327" s="201" t="str">
        <f aca="false">IF(A328="","",L327)</f>
        <v/>
      </c>
      <c r="N327" s="203"/>
      <c r="O327" s="200" t="str">
        <f aca="false">IF(A328="","",L327+J327+G327)</f>
        <v/>
      </c>
      <c r="P327" s="200" t="str">
        <f aca="false">IF(A328="","",M327+K327+H327)</f>
        <v/>
      </c>
      <c r="Q327" s="204"/>
      <c r="R327" s="200" t="str">
        <f aca="false">IF($A328="","",VLOOKUP($A327,Table,MATCH(R$4,Curves,0)))</f>
        <v/>
      </c>
      <c r="S327" s="201" t="str">
        <f aca="false">IF(A328="","",R327)</f>
        <v/>
      </c>
      <c r="T327" s="200" t="str">
        <f aca="false">IF($A328="","",VLOOKUP($A327,Table,MATCH(T$4,Curves,0)))</f>
        <v/>
      </c>
      <c r="U327" s="201" t="str">
        <f aca="false">IF(A328="","",T327)</f>
        <v/>
      </c>
      <c r="V327" s="205" t="str">
        <f aca="false">IF($A328="","",IF(AND(MONTH(A327)&gt;3,MONTH(A327)&lt;11),(T327+R327+G327)*Summary!$T$10/(1-Summary!$T$10),(T327+R327+G327)*Summary!$U$10/(1-Summary!$U$10)))</f>
        <v/>
      </c>
      <c r="W327" s="200" t="str">
        <f aca="false">IF($A328="","",(T327+R327+G327+V327))</f>
        <v/>
      </c>
      <c r="X327" s="200" t="str">
        <f aca="false">IF($A328="","",(U327+S327+H327+V327))</f>
        <v/>
      </c>
      <c r="Y327" s="202"/>
      <c r="Z327" s="185" t="str">
        <f aca="false">IF($A328="","",VLOOKUP($A327,Table,MATCH(Z$4,Curves,0)))</f>
        <v/>
      </c>
      <c r="AA327" s="185" t="str">
        <f aca="false">IF($A328="","",VLOOKUP($A327,Table,MATCH(AA$4,Curves,0)))</f>
        <v/>
      </c>
      <c r="AB327" s="185" t="e">
        <f aca="false">SQRT((AA327^2*(A327-$D$3)+Z327^2*(DAY(EOMONTH(A327,0))/2))/AK327)</f>
        <v>#VALUE!</v>
      </c>
      <c r="AC327" s="185" t="str">
        <f aca="false">IF($A328="","",VLOOKUP($A327,Table,MATCH(AC$4,Curves,0)))</f>
        <v/>
      </c>
      <c r="AD327" s="185" t="str">
        <f aca="false">IF($A328="","",VLOOKUP($A327,Table,MATCH(AD$4,Curves,0)))</f>
        <v/>
      </c>
      <c r="AE327" s="185" t="e">
        <f aca="false">SQRT((AD327^2*(A327-$D$3)+AC327^2*(DAY(EOMONTH(A327,0))/2))/AK327)</f>
        <v>#VALUE!</v>
      </c>
      <c r="AF327" s="224" t="e">
        <f aca="false">((Summary!$N$10*(AA327*AD327)*(A327-$D$3))+(Summary!$M$10*Z327*AC327*(AJ327-EOMONTH(EDATE(A327,-1),0))))/(AK327*AB327*AE327)</f>
        <v>#VALUE!</v>
      </c>
      <c r="AG327" s="207" t="str">
        <f aca="false">IF($A328="","",Summary!$Q$10)</f>
        <v/>
      </c>
      <c r="AH327" s="207" t="str">
        <f aca="false">IF($A328="","",IF(Summary!$R$10="Y",(VLOOKUP($A327,Summary!$AD$6:$AF$9,3)+'Escalating commodity'!F340),'Escalating commodity'!F340))</f>
        <v/>
      </c>
      <c r="AI327" s="207" t="str">
        <f aca="false">IF($A328="","",AH327)</f>
        <v/>
      </c>
      <c r="AJ327" s="208" t="e">
        <f aca="false">A327+DAY(EOMONTH(A327,0))/2-1</f>
        <v>#VALUE!</v>
      </c>
      <c r="AK327" s="209" t="str">
        <f aca="false">IF($A328="","",$A327-$E$1)</f>
        <v/>
      </c>
      <c r="AL327" s="182" t="str">
        <f aca="false">IF($A328="","",SPRDOPT(P327,X327,AI327,0,AB327,AE327,AF327,AK327,$AJ$2,0))</f>
        <v/>
      </c>
      <c r="AM327" s="211" t="str">
        <f aca="false">IF($A328="","",MAX(0,O327-W327-AI327))</f>
        <v/>
      </c>
      <c r="AN327" s="211" t="str">
        <f aca="false">IF($A328="","",AL327-AM327)</f>
        <v/>
      </c>
      <c r="AO327" s="137" t="str">
        <f aca="false">IF(A328="","",A328-A327)</f>
        <v/>
      </c>
      <c r="AP327" s="212" t="str">
        <f aca="false">IF(A328="","",CHOOSE(F$3,A328+24,A327))</f>
        <v/>
      </c>
      <c r="AQ327" s="209" t="str">
        <f aca="false">IF(A328="","",AP327-$E$1)</f>
        <v/>
      </c>
      <c r="AR327" s="185" t="n">
        <f aca="false">'ANR OK vs ML7'!AR327</f>
        <v>0.1</v>
      </c>
      <c r="AS327" s="213" t="str">
        <f aca="false">IF(A328="","",1/(1+CHOOSE(F$3,(AR328+($I$3/10000))/2,(AR327+($I$3/10000))/2))^(2*AQ327/365.25))</f>
        <v/>
      </c>
      <c r="AT327" s="137" t="str">
        <f aca="false">IF(A328="","",IF(AND(mthbeg&lt;=A327,mthend&gt;=A327),1,0))</f>
        <v/>
      </c>
      <c r="AU327" s="137" t="str">
        <f aca="false">IF(A328="","",AO327*AT327)</f>
        <v/>
      </c>
      <c r="AW327" s="195" t="str">
        <f aca="false">IF($A328="","",AL327*$E327)</f>
        <v/>
      </c>
      <c r="AX327" s="195" t="str">
        <f aca="false">IF($A328="","",AM327*$E327)</f>
        <v/>
      </c>
      <c r="AY327" s="195" t="str">
        <f aca="false">IF($A328="","",AN327*$E327)</f>
        <v/>
      </c>
      <c r="BA327" s="195" t="str">
        <f aca="false">IF($A328="","",F327*Summary!$Q$10)</f>
        <v/>
      </c>
    </row>
    <row r="328" customFormat="false" ht="12" hidden="false" customHeight="true" outlineLevel="0" collapsed="false">
      <c r="A328" s="196" t="str">
        <f aca="false">IF(A327&lt;mthend,EDATE(A327,1),"")</f>
        <v/>
      </c>
      <c r="B328" s="197" t="str">
        <f aca="false">IF(A328&lt;mthend,B327,"")</f>
        <v/>
      </c>
      <c r="C328" s="215"/>
      <c r="D328" s="197" t="str">
        <f aca="false">IF(A329&lt;&gt;"",B328+C328,"")</f>
        <v/>
      </c>
      <c r="E328" s="199" t="str">
        <f aca="false">IF(A329="","",IF(AND(AT328=1,$H$3=1),D328*AO328,IF($H$3=2,D328,"N/A")))</f>
        <v/>
      </c>
      <c r="F328" s="199" t="str">
        <f aca="false">IF(A329="","",E328*AS328)</f>
        <v/>
      </c>
      <c r="G328" s="200" t="str">
        <f aca="false">IF($A329="","",VLOOKUP($A328,Table,MATCH(G$4,Curves,0)))</f>
        <v/>
      </c>
      <c r="H328" s="201" t="str">
        <f aca="false">IF(A329="","",G328)</f>
        <v/>
      </c>
      <c r="I328" s="202"/>
      <c r="J328" s="200" t="str">
        <f aca="false">IF($A329="","",VLOOKUP($A328,Table,MATCH(J$4,Curves,0)))</f>
        <v/>
      </c>
      <c r="K328" s="201" t="str">
        <f aca="false">IF(A329="","",J328)</f>
        <v/>
      </c>
      <c r="L328" s="185" t="n">
        <v>0</v>
      </c>
      <c r="M328" s="201" t="str">
        <f aca="false">IF(A329="","",L328)</f>
        <v/>
      </c>
      <c r="N328" s="203"/>
      <c r="O328" s="200" t="str">
        <f aca="false">IF(A329="","",L328+J328+G328)</f>
        <v/>
      </c>
      <c r="P328" s="200" t="str">
        <f aca="false">IF(A329="","",M328+K328+H328)</f>
        <v/>
      </c>
      <c r="Q328" s="204"/>
      <c r="R328" s="200" t="str">
        <f aca="false">IF($A329="","",VLOOKUP($A328,Table,MATCH(R$4,Curves,0)))</f>
        <v/>
      </c>
      <c r="S328" s="201" t="str">
        <f aca="false">IF(A329="","",R328)</f>
        <v/>
      </c>
      <c r="T328" s="200" t="str">
        <f aca="false">IF($A329="","",VLOOKUP($A328,Table,MATCH(T$4,Curves,0)))</f>
        <v/>
      </c>
      <c r="U328" s="201" t="str">
        <f aca="false">IF(A329="","",T328)</f>
        <v/>
      </c>
      <c r="V328" s="205" t="str">
        <f aca="false">IF($A329="","",IF(AND(MONTH(A328)&gt;3,MONTH(A328)&lt;11),(T328+R328+G328)*Summary!$T$10/(1-Summary!$T$10),(T328+R328+G328)*Summary!$U$10/(1-Summary!$U$10)))</f>
        <v/>
      </c>
      <c r="W328" s="200" t="str">
        <f aca="false">IF($A329="","",(T328+R328+G328+V328))</f>
        <v/>
      </c>
      <c r="X328" s="200" t="str">
        <f aca="false">IF($A329="","",(U328+S328+H328+V328))</f>
        <v/>
      </c>
      <c r="Y328" s="202"/>
      <c r="Z328" s="185" t="str">
        <f aca="false">IF($A329="","",VLOOKUP($A328,Table,MATCH(Z$4,Curves,0)))</f>
        <v/>
      </c>
      <c r="AA328" s="185" t="str">
        <f aca="false">IF($A329="","",VLOOKUP($A328,Table,MATCH(AA$4,Curves,0)))</f>
        <v/>
      </c>
      <c r="AB328" s="185" t="e">
        <f aca="false">SQRT((AA328^2*(A328-$D$3)+Z328^2*(DAY(EOMONTH(A328,0))/2))/AK328)</f>
        <v>#VALUE!</v>
      </c>
      <c r="AC328" s="185" t="str">
        <f aca="false">IF($A329="","",VLOOKUP($A328,Table,MATCH(AC$4,Curves,0)))</f>
        <v/>
      </c>
      <c r="AD328" s="185" t="str">
        <f aca="false">IF($A329="","",VLOOKUP($A328,Table,MATCH(AD$4,Curves,0)))</f>
        <v/>
      </c>
      <c r="AE328" s="185" t="e">
        <f aca="false">SQRT((AD328^2*(A328-$D$3)+AC328^2*(DAY(EOMONTH(A328,0))/2))/AK328)</f>
        <v>#VALUE!</v>
      </c>
      <c r="AF328" s="224" t="e">
        <f aca="false">((Summary!$N$10*(AA328*AD328)*(A328-$D$3))+(Summary!$M$10*Z328*AC328*(AJ328-EOMONTH(EDATE(A328,-1),0))))/(AK328*AB328*AE328)</f>
        <v>#VALUE!</v>
      </c>
      <c r="AG328" s="207" t="str">
        <f aca="false">IF($A329="","",Summary!$Q$10)</f>
        <v/>
      </c>
      <c r="AH328" s="207" t="str">
        <f aca="false">IF($A329="","",IF(Summary!$R$10="Y",(VLOOKUP($A328,Summary!$AD$6:$AF$9,3)+'Escalating commodity'!F341),'Escalating commodity'!F341))</f>
        <v/>
      </c>
      <c r="AI328" s="207" t="str">
        <f aca="false">IF($A329="","",AH328)</f>
        <v/>
      </c>
      <c r="AJ328" s="208" t="e">
        <f aca="false">A328+DAY(EOMONTH(A328,0))/2-1</f>
        <v>#VALUE!</v>
      </c>
      <c r="AK328" s="209" t="str">
        <f aca="false">IF($A329="","",$A328-$E$1)</f>
        <v/>
      </c>
      <c r="AL328" s="182" t="str">
        <f aca="false">IF($A329="","",SPRDOPT(P328,X328,AI328,0,AB328,AE328,AF328,AK328,$AJ$2,0))</f>
        <v/>
      </c>
      <c r="AM328" s="211" t="str">
        <f aca="false">IF($A329="","",MAX(0,O328-W328-AI328))</f>
        <v/>
      </c>
      <c r="AN328" s="211" t="str">
        <f aca="false">IF($A329="","",AL328-AM328)</f>
        <v/>
      </c>
      <c r="AO328" s="137" t="str">
        <f aca="false">IF(A329="","",A329-A328)</f>
        <v/>
      </c>
      <c r="AP328" s="212" t="str">
        <f aca="false">IF(A329="","",CHOOSE(F$3,A329+24,A328))</f>
        <v/>
      </c>
      <c r="AQ328" s="209" t="str">
        <f aca="false">IF(A329="","",AP328-$E$1)</f>
        <v/>
      </c>
      <c r="AR328" s="185" t="n">
        <f aca="false">'ANR OK vs ML7'!AR328</f>
        <v>0.1</v>
      </c>
      <c r="AS328" s="213" t="str">
        <f aca="false">IF(A329="","",1/(1+CHOOSE(F$3,(AR329+($I$3/10000))/2,(AR328+($I$3/10000))/2))^(2*AQ328/365.25))</f>
        <v/>
      </c>
      <c r="AT328" s="137" t="str">
        <f aca="false">IF(A329="","",IF(AND(mthbeg&lt;=A328,mthend&gt;=A328),1,0))</f>
        <v/>
      </c>
      <c r="AU328" s="137" t="str">
        <f aca="false">IF(A329="","",AO328*AT328)</f>
        <v/>
      </c>
      <c r="AW328" s="195" t="str">
        <f aca="false">IF($A329="","",AL328*$E328)</f>
        <v/>
      </c>
      <c r="AX328" s="195" t="str">
        <f aca="false">IF($A329="","",AM328*$E328)</f>
        <v/>
      </c>
      <c r="AY328" s="195" t="str">
        <f aca="false">IF($A329="","",AN328*$E328)</f>
        <v/>
      </c>
      <c r="BA328" s="195" t="str">
        <f aca="false">IF($A329="","",F328*Summary!$Q$10)</f>
        <v/>
      </c>
    </row>
    <row r="329" customFormat="false" ht="12" hidden="false" customHeight="true" outlineLevel="0" collapsed="false">
      <c r="A329" s="196" t="str">
        <f aca="false">IF(A328&lt;mthend,EDATE(A328,1),"")</f>
        <v/>
      </c>
      <c r="B329" s="197" t="str">
        <f aca="false">IF(A329&lt;mthend,B328,"")</f>
        <v/>
      </c>
      <c r="C329" s="215"/>
      <c r="D329" s="197" t="str">
        <f aca="false">IF(A330&lt;&gt;"",B329+C329,"")</f>
        <v/>
      </c>
      <c r="E329" s="199" t="str">
        <f aca="false">IF(A330="","",IF(AND(AT329=1,$H$3=1),D329*AO329,IF($H$3=2,D329,"N/A")))</f>
        <v/>
      </c>
      <c r="F329" s="199" t="str">
        <f aca="false">IF(A330="","",E329*AS329)</f>
        <v/>
      </c>
      <c r="G329" s="200" t="str">
        <f aca="false">IF($A330="","",VLOOKUP($A329,Table,MATCH(G$4,Curves,0)))</f>
        <v/>
      </c>
      <c r="H329" s="201" t="str">
        <f aca="false">IF(A330="","",G329)</f>
        <v/>
      </c>
      <c r="I329" s="202"/>
      <c r="J329" s="200" t="str">
        <f aca="false">IF($A330="","",VLOOKUP($A329,Table,MATCH(J$4,Curves,0)))</f>
        <v/>
      </c>
      <c r="K329" s="201" t="str">
        <f aca="false">IF(A330="","",J329)</f>
        <v/>
      </c>
      <c r="L329" s="185" t="n">
        <v>0</v>
      </c>
      <c r="M329" s="201" t="str">
        <f aca="false">IF(A330="","",L329)</f>
        <v/>
      </c>
      <c r="N329" s="203"/>
      <c r="O329" s="200" t="str">
        <f aca="false">IF(A330="","",L329+J329+G329)</f>
        <v/>
      </c>
      <c r="P329" s="200" t="str">
        <f aca="false">IF(A330="","",M329+K329+H329)</f>
        <v/>
      </c>
      <c r="Q329" s="204"/>
      <c r="R329" s="200" t="str">
        <f aca="false">IF($A330="","",VLOOKUP($A329,Table,MATCH(R$4,Curves,0)))</f>
        <v/>
      </c>
      <c r="S329" s="201" t="str">
        <f aca="false">IF(A330="","",R329)</f>
        <v/>
      </c>
      <c r="T329" s="200" t="str">
        <f aca="false">IF($A330="","",VLOOKUP($A329,Table,MATCH(T$4,Curves,0)))</f>
        <v/>
      </c>
      <c r="U329" s="201" t="str">
        <f aca="false">IF(A330="","",T329)</f>
        <v/>
      </c>
      <c r="V329" s="205" t="str">
        <f aca="false">IF($A330="","",IF(AND(MONTH(A329)&gt;3,MONTH(A329)&lt;11),(T329+R329+G329)*Summary!$T$10/(1-Summary!$T$10),(T329+R329+G329)*Summary!$U$10/(1-Summary!$U$10)))</f>
        <v/>
      </c>
      <c r="W329" s="200" t="str">
        <f aca="false">IF($A330="","",(T329+R329+G329+V329))</f>
        <v/>
      </c>
      <c r="X329" s="200" t="str">
        <f aca="false">IF($A330="","",(U329+S329+H329+V329))</f>
        <v/>
      </c>
      <c r="Y329" s="202"/>
      <c r="Z329" s="185" t="str">
        <f aca="false">IF($A330="","",VLOOKUP($A329,Table,MATCH(Z$4,Curves,0)))</f>
        <v/>
      </c>
      <c r="AA329" s="185" t="str">
        <f aca="false">IF($A330="","",VLOOKUP($A329,Table,MATCH(AA$4,Curves,0)))</f>
        <v/>
      </c>
      <c r="AB329" s="185" t="e">
        <f aca="false">SQRT((AA329^2*(A329-$D$3)+Z329^2*(DAY(EOMONTH(A329,0))/2))/AK329)</f>
        <v>#VALUE!</v>
      </c>
      <c r="AC329" s="185" t="str">
        <f aca="false">IF($A330="","",VLOOKUP($A329,Table,MATCH(AC$4,Curves,0)))</f>
        <v/>
      </c>
      <c r="AD329" s="185" t="str">
        <f aca="false">IF($A330="","",VLOOKUP($A329,Table,MATCH(AD$4,Curves,0)))</f>
        <v/>
      </c>
      <c r="AE329" s="185" t="e">
        <f aca="false">SQRT((AD329^2*(A329-$D$3)+AC329^2*(DAY(EOMONTH(A329,0))/2))/AK329)</f>
        <v>#VALUE!</v>
      </c>
      <c r="AF329" s="224" t="e">
        <f aca="false">((Summary!$N$10*(AA329*AD329)*(A329-$D$3))+(Summary!$M$10*Z329*AC329*(AJ329-EOMONTH(EDATE(A329,-1),0))))/(AK329*AB329*AE329)</f>
        <v>#VALUE!</v>
      </c>
      <c r="AG329" s="207" t="str">
        <f aca="false">IF($A330="","",Summary!$Q$10)</f>
        <v/>
      </c>
      <c r="AH329" s="207" t="str">
        <f aca="false">IF($A330="","",IF(Summary!$R$10="Y",(VLOOKUP($A329,Summary!$AD$6:$AF$9,3)+'Escalating commodity'!F342),'Escalating commodity'!F342))</f>
        <v/>
      </c>
      <c r="AI329" s="207" t="str">
        <f aca="false">IF($A330="","",AH329)</f>
        <v/>
      </c>
      <c r="AJ329" s="208" t="e">
        <f aca="false">A329+DAY(EOMONTH(A329,0))/2-1</f>
        <v>#VALUE!</v>
      </c>
      <c r="AK329" s="209" t="str">
        <f aca="false">IF($A330="","",$A329-$E$1)</f>
        <v/>
      </c>
      <c r="AL329" s="182" t="str">
        <f aca="false">IF($A330="","",SPRDOPT(P329,X329,AI329,0,AB329,AE329,AF329,AK329,$AJ$2,0))</f>
        <v/>
      </c>
      <c r="AM329" s="211" t="str">
        <f aca="false">IF($A330="","",MAX(0,O329-W329-AI329))</f>
        <v/>
      </c>
      <c r="AN329" s="211" t="str">
        <f aca="false">IF($A330="","",AL329-AM329)</f>
        <v/>
      </c>
      <c r="AO329" s="137" t="str">
        <f aca="false">IF(A330="","",A330-A329)</f>
        <v/>
      </c>
      <c r="AP329" s="212" t="str">
        <f aca="false">IF(A330="","",CHOOSE(F$3,A330+24,A329))</f>
        <v/>
      </c>
      <c r="AQ329" s="209" t="str">
        <f aca="false">IF(A330="","",AP329-$E$1)</f>
        <v/>
      </c>
      <c r="AR329" s="185" t="n">
        <f aca="false">'ANR OK vs ML7'!AR329</f>
        <v>0.1</v>
      </c>
      <c r="AS329" s="213" t="str">
        <f aca="false">IF(A330="","",1/(1+CHOOSE(F$3,(AR330+($I$3/10000))/2,(AR329+($I$3/10000))/2))^(2*AQ329/365.25))</f>
        <v/>
      </c>
      <c r="AT329" s="137" t="str">
        <f aca="false">IF(A330="","",IF(AND(mthbeg&lt;=A329,mthend&gt;=A329),1,0))</f>
        <v/>
      </c>
      <c r="AU329" s="137" t="str">
        <f aca="false">IF(A330="","",AO329*AT329)</f>
        <v/>
      </c>
      <c r="AW329" s="195" t="str">
        <f aca="false">IF($A330="","",AL329*$E329)</f>
        <v/>
      </c>
      <c r="AX329" s="195" t="str">
        <f aca="false">IF($A330="","",AM329*$E329)</f>
        <v/>
      </c>
      <c r="AY329" s="195" t="str">
        <f aca="false">IF($A330="","",AN329*$E329)</f>
        <v/>
      </c>
      <c r="BA329" s="195" t="str">
        <f aca="false">IF($A330="","",F329*Summary!$Q$10)</f>
        <v/>
      </c>
    </row>
    <row r="330" customFormat="false" ht="12" hidden="false" customHeight="true" outlineLevel="0" collapsed="false">
      <c r="A330" s="196" t="str">
        <f aca="false">IF(A329&lt;mthend,EDATE(A329,1),"")</f>
        <v/>
      </c>
      <c r="B330" s="197" t="str">
        <f aca="false">IF(A330&lt;mthend,B329,"")</f>
        <v/>
      </c>
      <c r="C330" s="215"/>
      <c r="D330" s="197" t="str">
        <f aca="false">IF(A331&lt;&gt;"",B330+C330,"")</f>
        <v/>
      </c>
      <c r="E330" s="199" t="str">
        <f aca="false">IF(A331="","",IF(AND(AT330=1,$H$3=1),D330*AO330,IF($H$3=2,D330,"N/A")))</f>
        <v/>
      </c>
      <c r="F330" s="199" t="str">
        <f aca="false">IF(A331="","",E330*AS330)</f>
        <v/>
      </c>
      <c r="G330" s="200" t="str">
        <f aca="false">IF($A331="","",VLOOKUP($A330,Table,MATCH(G$4,Curves,0)))</f>
        <v/>
      </c>
      <c r="H330" s="201" t="str">
        <f aca="false">IF(A331="","",G330)</f>
        <v/>
      </c>
      <c r="I330" s="202"/>
      <c r="J330" s="200" t="str">
        <f aca="false">IF($A331="","",VLOOKUP($A330,Table,MATCH(J$4,Curves,0)))</f>
        <v/>
      </c>
      <c r="K330" s="201" t="str">
        <f aca="false">IF(A331="","",J330)</f>
        <v/>
      </c>
      <c r="L330" s="185" t="n">
        <v>0</v>
      </c>
      <c r="M330" s="201" t="str">
        <f aca="false">IF(A331="","",L330)</f>
        <v/>
      </c>
      <c r="N330" s="203"/>
      <c r="O330" s="200" t="str">
        <f aca="false">IF(A331="","",L330+J330+G330)</f>
        <v/>
      </c>
      <c r="P330" s="200" t="str">
        <f aca="false">IF(A331="","",M330+K330+H330)</f>
        <v/>
      </c>
      <c r="Q330" s="204"/>
      <c r="R330" s="200" t="str">
        <f aca="false">IF($A331="","",VLOOKUP($A330,Table,MATCH(R$4,Curves,0)))</f>
        <v/>
      </c>
      <c r="S330" s="201" t="str">
        <f aca="false">IF(A331="","",R330)</f>
        <v/>
      </c>
      <c r="T330" s="200" t="str">
        <f aca="false">IF($A331="","",VLOOKUP($A330,Table,MATCH(T$4,Curves,0)))</f>
        <v/>
      </c>
      <c r="U330" s="201" t="str">
        <f aca="false">IF(A331="","",T330)</f>
        <v/>
      </c>
      <c r="V330" s="205" t="str">
        <f aca="false">IF($A331="","",IF(AND(MONTH(A330)&gt;3,MONTH(A330)&lt;11),(T330+R330+G330)*Summary!$T$10/(1-Summary!$T$10),(T330+R330+G330)*Summary!$U$10/(1-Summary!$U$10)))</f>
        <v/>
      </c>
      <c r="W330" s="200" t="str">
        <f aca="false">IF($A331="","",(T330+R330+G330+V330))</f>
        <v/>
      </c>
      <c r="X330" s="200" t="str">
        <f aca="false">IF($A331="","",(U330+S330+H330+V330))</f>
        <v/>
      </c>
      <c r="Y330" s="202"/>
      <c r="Z330" s="185" t="str">
        <f aca="false">IF($A331="","",VLOOKUP($A330,Table,MATCH(Z$4,Curves,0)))</f>
        <v/>
      </c>
      <c r="AA330" s="185" t="str">
        <f aca="false">IF($A331="","",VLOOKUP($A330,Table,MATCH(AA$4,Curves,0)))</f>
        <v/>
      </c>
      <c r="AB330" s="185" t="e">
        <f aca="false">SQRT((AA330^2*(A330-$D$3)+Z330^2*(DAY(EOMONTH(A330,0))/2))/AK330)</f>
        <v>#VALUE!</v>
      </c>
      <c r="AC330" s="185" t="str">
        <f aca="false">IF($A331="","",VLOOKUP($A330,Table,MATCH(AC$4,Curves,0)))</f>
        <v/>
      </c>
      <c r="AD330" s="185" t="str">
        <f aca="false">IF($A331="","",VLOOKUP($A330,Table,MATCH(AD$4,Curves,0)))</f>
        <v/>
      </c>
      <c r="AE330" s="185" t="e">
        <f aca="false">SQRT((AD330^2*(A330-$D$3)+AC330^2*(DAY(EOMONTH(A330,0))/2))/AK330)</f>
        <v>#VALUE!</v>
      </c>
      <c r="AF330" s="224" t="e">
        <f aca="false">((Summary!$N$10*(AA330*AD330)*(A330-$D$3))+(Summary!$M$10*Z330*AC330*(AJ330-EOMONTH(EDATE(A330,-1),0))))/(AK330*AB330*AE330)</f>
        <v>#VALUE!</v>
      </c>
      <c r="AG330" s="207" t="str">
        <f aca="false">IF($A331="","",Summary!$Q$10)</f>
        <v/>
      </c>
      <c r="AH330" s="207" t="str">
        <f aca="false">IF($A331="","",IF(Summary!$R$10="Y",(VLOOKUP($A330,Summary!$AD$6:$AF$9,3)+'Escalating commodity'!F343),'Escalating commodity'!F343))</f>
        <v/>
      </c>
      <c r="AI330" s="207" t="str">
        <f aca="false">IF($A331="","",AH330)</f>
        <v/>
      </c>
      <c r="AJ330" s="208" t="e">
        <f aca="false">A330+DAY(EOMONTH(A330,0))/2-1</f>
        <v>#VALUE!</v>
      </c>
      <c r="AK330" s="209" t="str">
        <f aca="false">IF($A331="","",$A330-$E$1)</f>
        <v/>
      </c>
      <c r="AL330" s="182" t="str">
        <f aca="false">IF($A331="","",SPRDOPT(P330,X330,AI330,0,AB330,AE330,AF330,AK330,$AJ$2,0))</f>
        <v/>
      </c>
      <c r="AM330" s="211" t="str">
        <f aca="false">IF($A331="","",MAX(0,O330-W330-AI330))</f>
        <v/>
      </c>
      <c r="AN330" s="211" t="str">
        <f aca="false">IF($A331="","",AL330-AM330)</f>
        <v/>
      </c>
      <c r="AO330" s="137" t="str">
        <f aca="false">IF(A331="","",A331-A330)</f>
        <v/>
      </c>
      <c r="AP330" s="212" t="str">
        <f aca="false">IF(A331="","",CHOOSE(F$3,A331+24,A330))</f>
        <v/>
      </c>
      <c r="AQ330" s="209" t="str">
        <f aca="false">IF(A331="","",AP330-$E$1)</f>
        <v/>
      </c>
      <c r="AR330" s="185" t="n">
        <f aca="false">'ANR OK vs ML7'!AR330</f>
        <v>0.1</v>
      </c>
      <c r="AS330" s="213" t="str">
        <f aca="false">IF(A331="","",1/(1+CHOOSE(F$3,(AR331+($I$3/10000))/2,(AR330+($I$3/10000))/2))^(2*AQ330/365.25))</f>
        <v/>
      </c>
      <c r="AT330" s="137" t="str">
        <f aca="false">IF(A331="","",IF(AND(mthbeg&lt;=A330,mthend&gt;=A330),1,0))</f>
        <v/>
      </c>
      <c r="AU330" s="137" t="str">
        <f aca="false">IF(A331="","",AO330*AT330)</f>
        <v/>
      </c>
      <c r="AW330" s="195" t="str">
        <f aca="false">IF($A331="","",AL330*$E330)</f>
        <v/>
      </c>
      <c r="AX330" s="195" t="str">
        <f aca="false">IF($A331="","",AM330*$E330)</f>
        <v/>
      </c>
      <c r="AY330" s="195" t="str">
        <f aca="false">IF($A331="","",AN330*$E330)</f>
        <v/>
      </c>
      <c r="BA330" s="195" t="str">
        <f aca="false">IF($A331="","",F330*Summary!$Q$10)</f>
        <v/>
      </c>
    </row>
    <row r="331" customFormat="false" ht="12" hidden="false" customHeight="true" outlineLevel="0" collapsed="false">
      <c r="A331" s="196" t="str">
        <f aca="false">IF(A330&lt;mthend,EDATE(A330,1),"")</f>
        <v/>
      </c>
      <c r="B331" s="197" t="str">
        <f aca="false">IF(A331&lt;mthend,B330,"")</f>
        <v/>
      </c>
      <c r="C331" s="215"/>
      <c r="D331" s="197" t="str">
        <f aca="false">IF(A332&lt;&gt;"",B331+C331,"")</f>
        <v/>
      </c>
      <c r="E331" s="199" t="str">
        <f aca="false">IF(A332="","",IF(AND(AT331=1,$H$3=1),D331*AO331,IF($H$3=2,D331,"N/A")))</f>
        <v/>
      </c>
      <c r="F331" s="199" t="str">
        <f aca="false">IF(A332="","",E331*AS331)</f>
        <v/>
      </c>
      <c r="G331" s="200" t="str">
        <f aca="false">IF($A332="","",VLOOKUP($A331,Table,MATCH(G$4,Curves,0)))</f>
        <v/>
      </c>
      <c r="H331" s="201" t="str">
        <f aca="false">IF(A332="","",G331)</f>
        <v/>
      </c>
      <c r="I331" s="202"/>
      <c r="J331" s="200" t="str">
        <f aca="false">IF($A332="","",VLOOKUP($A331,Table,MATCH(J$4,Curves,0)))</f>
        <v/>
      </c>
      <c r="K331" s="201" t="str">
        <f aca="false">IF(A332="","",J331)</f>
        <v/>
      </c>
      <c r="L331" s="185" t="n">
        <v>0</v>
      </c>
      <c r="M331" s="201" t="str">
        <f aca="false">IF(A332="","",L331)</f>
        <v/>
      </c>
      <c r="N331" s="203"/>
      <c r="O331" s="200" t="str">
        <f aca="false">IF(A332="","",L331+J331+G331)</f>
        <v/>
      </c>
      <c r="P331" s="200" t="str">
        <f aca="false">IF(A332="","",M331+K331+H331)</f>
        <v/>
      </c>
      <c r="Q331" s="204"/>
      <c r="R331" s="200" t="str">
        <f aca="false">IF($A332="","",VLOOKUP($A331,Table,MATCH(R$4,Curves,0)))</f>
        <v/>
      </c>
      <c r="S331" s="201" t="str">
        <f aca="false">IF(A332="","",R331)</f>
        <v/>
      </c>
      <c r="T331" s="200" t="str">
        <f aca="false">IF($A332="","",VLOOKUP($A331,Table,MATCH(T$4,Curves,0)))</f>
        <v/>
      </c>
      <c r="U331" s="201" t="str">
        <f aca="false">IF(A332="","",T331)</f>
        <v/>
      </c>
      <c r="V331" s="205" t="str">
        <f aca="false">IF($A332="","",IF(AND(MONTH(A331)&gt;3,MONTH(A331)&lt;11),(T331+R331+G331)*Summary!$T$10/(1-Summary!$T$10),(T331+R331+G331)*Summary!$U$10/(1-Summary!$U$10)))</f>
        <v/>
      </c>
      <c r="W331" s="200" t="str">
        <f aca="false">IF($A332="","",(T331+R331+G331+V331))</f>
        <v/>
      </c>
      <c r="X331" s="200" t="str">
        <f aca="false">IF($A332="","",(U331+S331+H331+V331))</f>
        <v/>
      </c>
      <c r="Y331" s="202"/>
      <c r="Z331" s="185" t="str">
        <f aca="false">IF($A332="","",VLOOKUP($A331,Table,MATCH(Z$4,Curves,0)))</f>
        <v/>
      </c>
      <c r="AA331" s="185" t="str">
        <f aca="false">IF($A332="","",VLOOKUP($A331,Table,MATCH(AA$4,Curves,0)))</f>
        <v/>
      </c>
      <c r="AB331" s="185" t="e">
        <f aca="false">SQRT((AA331^2*(A331-$D$3)+Z331^2*(DAY(EOMONTH(A331,0))/2))/AK331)</f>
        <v>#VALUE!</v>
      </c>
      <c r="AC331" s="185" t="str">
        <f aca="false">IF($A332="","",VLOOKUP($A331,Table,MATCH(AC$4,Curves,0)))</f>
        <v/>
      </c>
      <c r="AD331" s="185" t="str">
        <f aca="false">IF($A332="","",VLOOKUP($A331,Table,MATCH(AD$4,Curves,0)))</f>
        <v/>
      </c>
      <c r="AE331" s="185" t="e">
        <f aca="false">SQRT((AD331^2*(A331-$D$3)+AC331^2*(DAY(EOMONTH(A331,0))/2))/AK331)</f>
        <v>#VALUE!</v>
      </c>
      <c r="AF331" s="224" t="e">
        <f aca="false">((Summary!$N$10*(AA331*AD331)*(A331-$D$3))+(Summary!$M$10*Z331*AC331*(AJ331-EOMONTH(EDATE(A331,-1),0))))/(AK331*AB331*AE331)</f>
        <v>#VALUE!</v>
      </c>
      <c r="AG331" s="207" t="str">
        <f aca="false">IF($A332="","",Summary!$Q$10)</f>
        <v/>
      </c>
      <c r="AH331" s="207" t="str">
        <f aca="false">IF($A332="","",IF(Summary!$R$10="Y",(VLOOKUP($A331,Summary!$AD$6:$AF$9,3)+'Escalating commodity'!F344),'Escalating commodity'!F344))</f>
        <v/>
      </c>
      <c r="AI331" s="207" t="str">
        <f aca="false">IF($A332="","",AH331)</f>
        <v/>
      </c>
      <c r="AJ331" s="208" t="e">
        <f aca="false">A331+DAY(EOMONTH(A331,0))/2-1</f>
        <v>#VALUE!</v>
      </c>
      <c r="AK331" s="209" t="str">
        <f aca="false">IF($A332="","",$A331-$E$1)</f>
        <v/>
      </c>
      <c r="AL331" s="182" t="str">
        <f aca="false">IF($A332="","",SPRDOPT(P331,X331,AI331,0,AB331,AE331,AF331,AK331,$AJ$2,0))</f>
        <v/>
      </c>
      <c r="AM331" s="211" t="str">
        <f aca="false">IF($A332="","",MAX(0,O331-W331-AI331))</f>
        <v/>
      </c>
      <c r="AN331" s="211" t="str">
        <f aca="false">IF($A332="","",AL331-AM331)</f>
        <v/>
      </c>
      <c r="AO331" s="137" t="str">
        <f aca="false">IF(A332="","",A332-A331)</f>
        <v/>
      </c>
      <c r="AP331" s="212" t="str">
        <f aca="false">IF(A332="","",CHOOSE(F$3,A332+24,A331))</f>
        <v/>
      </c>
      <c r="AQ331" s="209" t="str">
        <f aca="false">IF(A332="","",AP331-$E$1)</f>
        <v/>
      </c>
      <c r="AR331" s="185" t="n">
        <f aca="false">'ANR OK vs ML7'!AR331</f>
        <v>0.1</v>
      </c>
      <c r="AS331" s="213" t="str">
        <f aca="false">IF(A332="","",1/(1+CHOOSE(F$3,(AR332+($I$3/10000))/2,(AR331+($I$3/10000))/2))^(2*AQ331/365.25))</f>
        <v/>
      </c>
      <c r="AT331" s="137" t="str">
        <f aca="false">IF(A332="","",IF(AND(mthbeg&lt;=A331,mthend&gt;=A331),1,0))</f>
        <v/>
      </c>
      <c r="AU331" s="137" t="str">
        <f aca="false">IF(A332="","",AO331*AT331)</f>
        <v/>
      </c>
      <c r="AW331" s="195" t="str">
        <f aca="false">IF($A332="","",AL331*$E331)</f>
        <v/>
      </c>
      <c r="AX331" s="195" t="str">
        <f aca="false">IF($A332="","",AM331*$E331)</f>
        <v/>
      </c>
      <c r="AY331" s="195" t="str">
        <f aca="false">IF($A332="","",AN331*$E331)</f>
        <v/>
      </c>
      <c r="BA331" s="195" t="str">
        <f aca="false">IF($A332="","",F331*Summary!$Q$10)</f>
        <v/>
      </c>
    </row>
    <row r="332" customFormat="false" ht="12" hidden="false" customHeight="true" outlineLevel="0" collapsed="false">
      <c r="A332" s="196" t="str">
        <f aca="false">IF(A331&lt;mthend,EDATE(A331,1),"")</f>
        <v/>
      </c>
      <c r="B332" s="197" t="str">
        <f aca="false">IF(A332&lt;mthend,B331,"")</f>
        <v/>
      </c>
      <c r="C332" s="215"/>
      <c r="D332" s="197" t="str">
        <f aca="false">IF(A333&lt;&gt;"",B332+C332,"")</f>
        <v/>
      </c>
      <c r="E332" s="199" t="str">
        <f aca="false">IF(A333="","",IF(AND(AT332=1,$H$3=1),D332*AO332,IF($H$3=2,D332,"N/A")))</f>
        <v/>
      </c>
      <c r="F332" s="199" t="str">
        <f aca="false">IF(A333="","",E332*AS332)</f>
        <v/>
      </c>
      <c r="G332" s="200" t="str">
        <f aca="false">IF($A333="","",VLOOKUP($A332,Table,MATCH(G$4,Curves,0)))</f>
        <v/>
      </c>
      <c r="H332" s="201" t="str">
        <f aca="false">IF(A333="","",G332)</f>
        <v/>
      </c>
      <c r="I332" s="202"/>
      <c r="J332" s="200" t="str">
        <f aca="false">IF($A333="","",VLOOKUP($A332,Table,MATCH(J$4,Curves,0)))</f>
        <v/>
      </c>
      <c r="K332" s="201" t="str">
        <f aca="false">IF(A333="","",J332)</f>
        <v/>
      </c>
      <c r="L332" s="185" t="n">
        <v>0</v>
      </c>
      <c r="M332" s="201" t="str">
        <f aca="false">IF(A333="","",L332)</f>
        <v/>
      </c>
      <c r="N332" s="203"/>
      <c r="O332" s="200" t="str">
        <f aca="false">IF(A333="","",L332+J332+G332)</f>
        <v/>
      </c>
      <c r="P332" s="200" t="str">
        <f aca="false">IF(A333="","",M332+K332+H332)</f>
        <v/>
      </c>
      <c r="Q332" s="204"/>
      <c r="R332" s="200" t="str">
        <f aca="false">IF($A333="","",VLOOKUP($A332,Table,MATCH(R$4,Curves,0)))</f>
        <v/>
      </c>
      <c r="S332" s="201" t="str">
        <f aca="false">IF(A333="","",R332)</f>
        <v/>
      </c>
      <c r="T332" s="200" t="str">
        <f aca="false">IF($A333="","",VLOOKUP($A332,Table,MATCH(T$4,Curves,0)))</f>
        <v/>
      </c>
      <c r="U332" s="201" t="str">
        <f aca="false">IF(A333="","",T332)</f>
        <v/>
      </c>
      <c r="V332" s="205" t="str">
        <f aca="false">IF($A333="","",IF(AND(MONTH(A332)&gt;3,MONTH(A332)&lt;11),(T332+R332+G332)*Summary!$T$10/(1-Summary!$T$10),(T332+R332+G332)*Summary!$U$10/(1-Summary!$U$10)))</f>
        <v/>
      </c>
      <c r="W332" s="200" t="str">
        <f aca="false">IF($A333="","",(T332+R332+G332+V332))</f>
        <v/>
      </c>
      <c r="X332" s="200" t="str">
        <f aca="false">IF($A333="","",(U332+S332+H332+V332))</f>
        <v/>
      </c>
      <c r="Y332" s="202"/>
      <c r="Z332" s="185" t="str">
        <f aca="false">IF($A333="","",VLOOKUP($A332,Table,MATCH(Z$4,Curves,0)))</f>
        <v/>
      </c>
      <c r="AA332" s="185" t="str">
        <f aca="false">IF($A333="","",VLOOKUP($A332,Table,MATCH(AA$4,Curves,0)))</f>
        <v/>
      </c>
      <c r="AB332" s="185" t="e">
        <f aca="false">SQRT((AA332^2*(A332-$D$3)+Z332^2*(DAY(EOMONTH(A332,0))/2))/AK332)</f>
        <v>#VALUE!</v>
      </c>
      <c r="AC332" s="185" t="str">
        <f aca="false">IF($A333="","",VLOOKUP($A332,Table,MATCH(AC$4,Curves,0)))</f>
        <v/>
      </c>
      <c r="AD332" s="185" t="str">
        <f aca="false">IF($A333="","",VLOOKUP($A332,Table,MATCH(AD$4,Curves,0)))</f>
        <v/>
      </c>
      <c r="AE332" s="185" t="e">
        <f aca="false">SQRT((AD332^2*(A332-$D$3)+AC332^2*(DAY(EOMONTH(A332,0))/2))/AK332)</f>
        <v>#VALUE!</v>
      </c>
      <c r="AF332" s="224" t="e">
        <f aca="false">((Summary!$N$10*(AA332*AD332)*(A332-$D$3))+(Summary!$M$10*Z332*AC332*(AJ332-EOMONTH(EDATE(A332,-1),0))))/(AK332*AB332*AE332)</f>
        <v>#VALUE!</v>
      </c>
      <c r="AG332" s="207" t="str">
        <f aca="false">IF($A333="","",Summary!$Q$10)</f>
        <v/>
      </c>
      <c r="AH332" s="207" t="str">
        <f aca="false">IF($A333="","",IF(Summary!$R$10="Y",(VLOOKUP($A332,Summary!$AD$6:$AF$9,3)+'Escalating commodity'!F345),'Escalating commodity'!F345))</f>
        <v/>
      </c>
      <c r="AI332" s="207" t="str">
        <f aca="false">IF($A333="","",AH332)</f>
        <v/>
      </c>
      <c r="AJ332" s="208" t="e">
        <f aca="false">A332+DAY(EOMONTH(A332,0))/2-1</f>
        <v>#VALUE!</v>
      </c>
      <c r="AK332" s="209" t="str">
        <f aca="false">IF($A333="","",$A332-$E$1)</f>
        <v/>
      </c>
      <c r="AL332" s="182" t="str">
        <f aca="false">IF($A333="","",SPRDOPT(P332,X332,AI332,0,AB332,AE332,AF332,AK332,$AJ$2,0))</f>
        <v/>
      </c>
      <c r="AM332" s="211" t="str">
        <f aca="false">IF($A333="","",MAX(0,O332-W332-AI332))</f>
        <v/>
      </c>
      <c r="AN332" s="211" t="str">
        <f aca="false">IF($A333="","",AL332-AM332)</f>
        <v/>
      </c>
      <c r="AO332" s="137" t="str">
        <f aca="false">IF(A333="","",A333-A332)</f>
        <v/>
      </c>
      <c r="AP332" s="212" t="str">
        <f aca="false">IF(A333="","",CHOOSE(F$3,A333+24,A332))</f>
        <v/>
      </c>
      <c r="AQ332" s="209" t="str">
        <f aca="false">IF(A333="","",AP332-$E$1)</f>
        <v/>
      </c>
      <c r="AR332" s="185" t="n">
        <f aca="false">'ANR OK vs ML7'!AR332</f>
        <v>0.1</v>
      </c>
      <c r="AS332" s="213" t="str">
        <f aca="false">IF(A333="","",1/(1+CHOOSE(F$3,(AR333+($I$3/10000))/2,(AR332+($I$3/10000))/2))^(2*AQ332/365.25))</f>
        <v/>
      </c>
      <c r="AT332" s="137" t="str">
        <f aca="false">IF(A333="","",IF(AND(mthbeg&lt;=A332,mthend&gt;=A332),1,0))</f>
        <v/>
      </c>
      <c r="AU332" s="137" t="str">
        <f aca="false">IF(A333="","",AO332*AT332)</f>
        <v/>
      </c>
      <c r="AW332" s="195" t="str">
        <f aca="false">IF($A333="","",AL332*$E332)</f>
        <v/>
      </c>
      <c r="AX332" s="195" t="str">
        <f aca="false">IF($A333="","",AM332*$E332)</f>
        <v/>
      </c>
      <c r="AY332" s="195" t="str">
        <f aca="false">IF($A333="","",AN332*$E332)</f>
        <v/>
      </c>
      <c r="BA332" s="195" t="str">
        <f aca="false">IF($A333="","",F332*Summary!$Q$10)</f>
        <v/>
      </c>
    </row>
    <row r="333" customFormat="false" ht="12" hidden="false" customHeight="true" outlineLevel="0" collapsed="false">
      <c r="A333" s="196" t="str">
        <f aca="false">IF(A332&lt;mthend,EDATE(A332,1),"")</f>
        <v/>
      </c>
      <c r="B333" s="197" t="str">
        <f aca="false">IF(A333&lt;mthend,B332,"")</f>
        <v/>
      </c>
      <c r="C333" s="215"/>
      <c r="D333" s="197" t="str">
        <f aca="false">IF(A334&lt;&gt;"",B333+C333,"")</f>
        <v/>
      </c>
      <c r="E333" s="199" t="str">
        <f aca="false">IF(A334="","",IF(AND(AT333=1,$H$3=1),D333*AO333,IF($H$3=2,D333,"N/A")))</f>
        <v/>
      </c>
      <c r="F333" s="199" t="str">
        <f aca="false">IF(A334="","",E333*AS333)</f>
        <v/>
      </c>
      <c r="G333" s="200" t="str">
        <f aca="false">IF($A334="","",VLOOKUP($A333,Table,MATCH(G$4,Curves,0)))</f>
        <v/>
      </c>
      <c r="H333" s="201" t="str">
        <f aca="false">IF(A334="","",G333)</f>
        <v/>
      </c>
      <c r="I333" s="202"/>
      <c r="J333" s="200" t="str">
        <f aca="false">IF($A334="","",VLOOKUP($A333,Table,MATCH(J$4,Curves,0)))</f>
        <v/>
      </c>
      <c r="K333" s="201" t="str">
        <f aca="false">IF(A334="","",J333)</f>
        <v/>
      </c>
      <c r="L333" s="185" t="n">
        <v>0</v>
      </c>
      <c r="M333" s="201" t="str">
        <f aca="false">IF(A334="","",L333)</f>
        <v/>
      </c>
      <c r="N333" s="203"/>
      <c r="O333" s="200" t="str">
        <f aca="false">IF(A334="","",L333+J333+G333)</f>
        <v/>
      </c>
      <c r="P333" s="200" t="str">
        <f aca="false">IF(A334="","",M333+K333+H333)</f>
        <v/>
      </c>
      <c r="Q333" s="204"/>
      <c r="R333" s="200" t="str">
        <f aca="false">IF($A334="","",VLOOKUP($A333,Table,MATCH(R$4,Curves,0)))</f>
        <v/>
      </c>
      <c r="S333" s="201" t="str">
        <f aca="false">IF(A334="","",R333)</f>
        <v/>
      </c>
      <c r="T333" s="200" t="str">
        <f aca="false">IF($A334="","",VLOOKUP($A333,Table,MATCH(T$4,Curves,0)))</f>
        <v/>
      </c>
      <c r="U333" s="201" t="str">
        <f aca="false">IF(A334="","",T333)</f>
        <v/>
      </c>
      <c r="V333" s="205" t="str">
        <f aca="false">IF($A334="","",IF(AND(MONTH(A333)&gt;3,MONTH(A333)&lt;11),(T333+R333+G333)*Summary!$T$10/(1-Summary!$T$10),(T333+R333+G333)*Summary!$U$10/(1-Summary!$U$10)))</f>
        <v/>
      </c>
      <c r="W333" s="200" t="str">
        <f aca="false">IF($A334="","",(T333+R333+G333+V333))</f>
        <v/>
      </c>
      <c r="X333" s="200" t="str">
        <f aca="false">IF($A334="","",(U333+S333+H333+V333))</f>
        <v/>
      </c>
      <c r="Y333" s="202"/>
      <c r="Z333" s="185" t="str">
        <f aca="false">IF($A334="","",VLOOKUP($A333,Table,MATCH(Z$4,Curves,0)))</f>
        <v/>
      </c>
      <c r="AA333" s="185" t="str">
        <f aca="false">IF($A334="","",VLOOKUP($A333,Table,MATCH(AA$4,Curves,0)))</f>
        <v/>
      </c>
      <c r="AB333" s="185" t="e">
        <f aca="false">SQRT((AA333^2*(A333-$D$3)+Z333^2*(DAY(EOMONTH(A333,0))/2))/AK333)</f>
        <v>#VALUE!</v>
      </c>
      <c r="AC333" s="185" t="str">
        <f aca="false">IF($A334="","",VLOOKUP($A333,Table,MATCH(AC$4,Curves,0)))</f>
        <v/>
      </c>
      <c r="AD333" s="185" t="str">
        <f aca="false">IF($A334="","",VLOOKUP($A333,Table,MATCH(AD$4,Curves,0)))</f>
        <v/>
      </c>
      <c r="AE333" s="185" t="e">
        <f aca="false">SQRT((AD333^2*(A333-$D$3)+AC333^2*(DAY(EOMONTH(A333,0))/2))/AK333)</f>
        <v>#VALUE!</v>
      </c>
      <c r="AF333" s="224" t="e">
        <f aca="false">((Summary!$N$10*(AA333*AD333)*(A333-$D$3))+(Summary!$M$10*Z333*AC333*(AJ333-EOMONTH(EDATE(A333,-1),0))))/(AK333*AB333*AE333)</f>
        <v>#VALUE!</v>
      </c>
      <c r="AG333" s="207" t="str">
        <f aca="false">IF($A334="","",Summary!$Q$10)</f>
        <v/>
      </c>
      <c r="AH333" s="207" t="str">
        <f aca="false">IF($A334="","",IF(Summary!$R$10="Y",(VLOOKUP($A333,Summary!$AD$6:$AF$9,3)+'Escalating commodity'!F346),'Escalating commodity'!F346))</f>
        <v/>
      </c>
      <c r="AI333" s="207" t="str">
        <f aca="false">IF($A334="","",AH333)</f>
        <v/>
      </c>
      <c r="AJ333" s="208" t="e">
        <f aca="false">A333+DAY(EOMONTH(A333,0))/2-1</f>
        <v>#VALUE!</v>
      </c>
      <c r="AK333" s="209" t="str">
        <f aca="false">IF($A334="","",$A333-$E$1)</f>
        <v/>
      </c>
      <c r="AL333" s="182" t="str">
        <f aca="false">IF($A334="","",SPRDOPT(P333,X333,AI333,0,AB333,AE333,AF333,AK333,$AJ$2,0))</f>
        <v/>
      </c>
      <c r="AM333" s="211" t="str">
        <f aca="false">IF($A334="","",MAX(0,O333-W333-AI333))</f>
        <v/>
      </c>
      <c r="AN333" s="211" t="str">
        <f aca="false">IF($A334="","",AL333-AM333)</f>
        <v/>
      </c>
      <c r="AO333" s="137" t="str">
        <f aca="false">IF(A334="","",A334-A333)</f>
        <v/>
      </c>
      <c r="AP333" s="212" t="str">
        <f aca="false">IF(A334="","",CHOOSE(F$3,A334+24,A333))</f>
        <v/>
      </c>
      <c r="AQ333" s="209" t="str">
        <f aca="false">IF(A334="","",AP333-$E$1)</f>
        <v/>
      </c>
      <c r="AR333" s="185" t="n">
        <f aca="false">'ANR OK vs ML7'!AR333</f>
        <v>0.1</v>
      </c>
      <c r="AS333" s="213" t="str">
        <f aca="false">IF(A334="","",1/(1+CHOOSE(F$3,(AR334+($I$3/10000))/2,(AR333+($I$3/10000))/2))^(2*AQ333/365.25))</f>
        <v/>
      </c>
      <c r="AT333" s="137" t="str">
        <f aca="false">IF(A334="","",IF(AND(mthbeg&lt;=A333,mthend&gt;=A333),1,0))</f>
        <v/>
      </c>
      <c r="AU333" s="137" t="str">
        <f aca="false">IF(A334="","",AO333*AT333)</f>
        <v/>
      </c>
      <c r="AW333" s="195" t="str">
        <f aca="false">IF($A334="","",AL333*$E333)</f>
        <v/>
      </c>
      <c r="AX333" s="195" t="str">
        <f aca="false">IF($A334="","",AM333*$E333)</f>
        <v/>
      </c>
      <c r="AY333" s="195" t="str">
        <f aca="false">IF($A334="","",AN333*$E333)</f>
        <v/>
      </c>
      <c r="BA333" s="195" t="str">
        <f aca="false">IF($A334="","",F333*Summary!$Q$10)</f>
        <v/>
      </c>
    </row>
    <row r="334" customFormat="false" ht="12" hidden="false" customHeight="true" outlineLevel="0" collapsed="false">
      <c r="A334" s="196" t="str">
        <f aca="false">IF(A333&lt;mthend,EDATE(A333,1),"")</f>
        <v/>
      </c>
      <c r="B334" s="197" t="str">
        <f aca="false">IF(A334&lt;mthend,B333,"")</f>
        <v/>
      </c>
      <c r="C334" s="215"/>
      <c r="D334" s="197" t="str">
        <f aca="false">IF(A335&lt;&gt;"",B334+C334,"")</f>
        <v/>
      </c>
      <c r="E334" s="199" t="str">
        <f aca="false">IF(A335="","",IF(AND(AT334=1,$H$3=1),D334*AO334,IF($H$3=2,D334,"N/A")))</f>
        <v/>
      </c>
      <c r="F334" s="199" t="str">
        <f aca="false">IF(A335="","",E334*AS334)</f>
        <v/>
      </c>
      <c r="G334" s="200" t="str">
        <f aca="false">IF($A335="","",VLOOKUP($A334,Table,MATCH(G$4,Curves,0)))</f>
        <v/>
      </c>
      <c r="H334" s="201" t="str">
        <f aca="false">IF(A335="","",G334)</f>
        <v/>
      </c>
      <c r="I334" s="202"/>
      <c r="J334" s="200" t="str">
        <f aca="false">IF($A335="","",VLOOKUP($A334,Table,MATCH(J$4,Curves,0)))</f>
        <v/>
      </c>
      <c r="K334" s="201" t="str">
        <f aca="false">IF(A335="","",J334)</f>
        <v/>
      </c>
      <c r="L334" s="185" t="n">
        <v>0</v>
      </c>
      <c r="M334" s="201" t="str">
        <f aca="false">IF(A335="","",L334)</f>
        <v/>
      </c>
      <c r="N334" s="203"/>
      <c r="O334" s="200" t="str">
        <f aca="false">IF(A335="","",L334+J334+G334)</f>
        <v/>
      </c>
      <c r="P334" s="200" t="str">
        <f aca="false">IF(A335="","",M334+K334+H334)</f>
        <v/>
      </c>
      <c r="Q334" s="204"/>
      <c r="R334" s="200" t="str">
        <f aca="false">IF($A335="","",VLOOKUP($A334,Table,MATCH(R$4,Curves,0)))</f>
        <v/>
      </c>
      <c r="S334" s="201" t="str">
        <f aca="false">IF(A335="","",R334)</f>
        <v/>
      </c>
      <c r="T334" s="200" t="str">
        <f aca="false">IF($A335="","",VLOOKUP($A334,Table,MATCH(T$4,Curves,0)))</f>
        <v/>
      </c>
      <c r="U334" s="201" t="str">
        <f aca="false">IF(A335="","",T334)</f>
        <v/>
      </c>
      <c r="V334" s="205" t="str">
        <f aca="false">IF($A335="","",IF(AND(MONTH(A334)&gt;3,MONTH(A334)&lt;11),(T334+R334+G334)*Summary!$T$10/(1-Summary!$T$10),(T334+R334+G334)*Summary!$U$10/(1-Summary!$U$10)))</f>
        <v/>
      </c>
      <c r="W334" s="200" t="str">
        <f aca="false">IF($A335="","",(T334+R334+G334+V334))</f>
        <v/>
      </c>
      <c r="X334" s="200" t="str">
        <f aca="false">IF($A335="","",(U334+S334+H334+V334))</f>
        <v/>
      </c>
      <c r="Y334" s="202"/>
      <c r="Z334" s="185" t="str">
        <f aca="false">IF($A335="","",VLOOKUP($A334,Table,MATCH(Z$4,Curves,0)))</f>
        <v/>
      </c>
      <c r="AA334" s="185" t="str">
        <f aca="false">IF($A335="","",VLOOKUP($A334,Table,MATCH(AA$4,Curves,0)))</f>
        <v/>
      </c>
      <c r="AB334" s="185" t="e">
        <f aca="false">SQRT((AA334^2*(A334-$D$3)+Z334^2*(DAY(EOMONTH(A334,0))/2))/AK334)</f>
        <v>#VALUE!</v>
      </c>
      <c r="AC334" s="185" t="str">
        <f aca="false">IF($A335="","",VLOOKUP($A334,Table,MATCH(AC$4,Curves,0)))</f>
        <v/>
      </c>
      <c r="AD334" s="185" t="str">
        <f aca="false">IF($A335="","",VLOOKUP($A334,Table,MATCH(AD$4,Curves,0)))</f>
        <v/>
      </c>
      <c r="AE334" s="185" t="e">
        <f aca="false">SQRT((AD334^2*(A334-$D$3)+AC334^2*(DAY(EOMONTH(A334,0))/2))/AK334)</f>
        <v>#VALUE!</v>
      </c>
      <c r="AF334" s="224" t="e">
        <f aca="false">((Summary!$N$10*(AA334*AD334)*(A334-$D$3))+(Summary!$M$10*Z334*AC334*(AJ334-EOMONTH(EDATE(A334,-1),0))))/(AK334*AB334*AE334)</f>
        <v>#VALUE!</v>
      </c>
      <c r="AG334" s="207" t="str">
        <f aca="false">IF($A335="","",Summary!$Q$10)</f>
        <v/>
      </c>
      <c r="AH334" s="207" t="str">
        <f aca="false">IF($A335="","",IF(Summary!$R$10="Y",(VLOOKUP($A334,Summary!$AD$6:$AF$9,3)+'Escalating commodity'!F347),'Escalating commodity'!F347))</f>
        <v/>
      </c>
      <c r="AI334" s="207" t="str">
        <f aca="false">IF($A335="","",AH334)</f>
        <v/>
      </c>
      <c r="AJ334" s="208" t="e">
        <f aca="false">A334+DAY(EOMONTH(A334,0))/2-1</f>
        <v>#VALUE!</v>
      </c>
      <c r="AK334" s="209" t="str">
        <f aca="false">IF($A335="","",$A334-$E$1)</f>
        <v/>
      </c>
      <c r="AL334" s="182" t="str">
        <f aca="false">IF($A335="","",SPRDOPT(P334,X334,AI334,0,AB334,AE334,AF334,AK334,$AJ$2,0))</f>
        <v/>
      </c>
      <c r="AM334" s="211" t="str">
        <f aca="false">IF($A335="","",MAX(0,O334-W334-AI334))</f>
        <v/>
      </c>
      <c r="AN334" s="211" t="str">
        <f aca="false">IF($A335="","",AL334-AM334)</f>
        <v/>
      </c>
      <c r="AO334" s="137" t="str">
        <f aca="false">IF(A335="","",A335-A334)</f>
        <v/>
      </c>
      <c r="AP334" s="212" t="str">
        <f aca="false">IF(A335="","",CHOOSE(F$3,A335+24,A334))</f>
        <v/>
      </c>
      <c r="AQ334" s="209" t="str">
        <f aca="false">IF(A335="","",AP334-$E$1)</f>
        <v/>
      </c>
      <c r="AR334" s="185" t="n">
        <f aca="false">'ANR OK vs ML7'!AR334</f>
        <v>0.1</v>
      </c>
      <c r="AS334" s="213" t="str">
        <f aca="false">IF(A335="","",1/(1+CHOOSE(F$3,(AR335+($I$3/10000))/2,(AR334+($I$3/10000))/2))^(2*AQ334/365.25))</f>
        <v/>
      </c>
      <c r="AT334" s="137" t="str">
        <f aca="false">IF(A335="","",IF(AND(mthbeg&lt;=A334,mthend&gt;=A334),1,0))</f>
        <v/>
      </c>
      <c r="AU334" s="137" t="str">
        <f aca="false">IF(A335="","",AO334*AT334)</f>
        <v/>
      </c>
      <c r="AW334" s="195" t="str">
        <f aca="false">IF($A335="","",AL334*$E334)</f>
        <v/>
      </c>
      <c r="AX334" s="195" t="str">
        <f aca="false">IF($A335="","",AM334*$E334)</f>
        <v/>
      </c>
      <c r="AY334" s="195" t="str">
        <f aca="false">IF($A335="","",AN334*$E334)</f>
        <v/>
      </c>
      <c r="BA334" s="195" t="str">
        <f aca="false">IF($A335="","",F334*Summary!$Q$10)</f>
        <v/>
      </c>
    </row>
    <row r="335" customFormat="false" ht="12" hidden="false" customHeight="true" outlineLevel="0" collapsed="false">
      <c r="A335" s="196" t="str">
        <f aca="false">IF(A334&lt;mthend,EDATE(A334,1),"")</f>
        <v/>
      </c>
      <c r="B335" s="197" t="str">
        <f aca="false">IF(A335&lt;mthend,B334,"")</f>
        <v/>
      </c>
      <c r="C335" s="215"/>
      <c r="D335" s="197" t="str">
        <f aca="false">IF(A336&lt;&gt;"",B335+C335,"")</f>
        <v/>
      </c>
      <c r="E335" s="199" t="str">
        <f aca="false">IF(A336="","",IF(AND(AT335=1,$H$3=1),D335*AO335,IF($H$3=2,D335,"N/A")))</f>
        <v/>
      </c>
      <c r="F335" s="199" t="str">
        <f aca="false">IF(A336="","",E335*AS335)</f>
        <v/>
      </c>
      <c r="G335" s="200" t="str">
        <f aca="false">IF($A336="","",VLOOKUP($A335,Table,MATCH(G$4,Curves,0)))</f>
        <v/>
      </c>
      <c r="H335" s="201" t="str">
        <f aca="false">IF(A336="","",G335)</f>
        <v/>
      </c>
      <c r="I335" s="202"/>
      <c r="J335" s="200" t="str">
        <f aca="false">IF($A336="","",VLOOKUP($A335,Table,MATCH(J$4,Curves,0)))</f>
        <v/>
      </c>
      <c r="K335" s="201" t="str">
        <f aca="false">IF(A336="","",J335)</f>
        <v/>
      </c>
      <c r="L335" s="185" t="n">
        <v>0</v>
      </c>
      <c r="M335" s="201" t="str">
        <f aca="false">IF(A336="","",L335)</f>
        <v/>
      </c>
      <c r="N335" s="203"/>
      <c r="O335" s="200" t="str">
        <f aca="false">IF(A336="","",L335+J335+G335)</f>
        <v/>
      </c>
      <c r="P335" s="200" t="str">
        <f aca="false">IF(A336="","",M335+K335+H335)</f>
        <v/>
      </c>
      <c r="Q335" s="204"/>
      <c r="R335" s="200" t="str">
        <f aca="false">IF($A336="","",VLOOKUP($A335,Table,MATCH(R$4,Curves,0)))</f>
        <v/>
      </c>
      <c r="S335" s="201" t="str">
        <f aca="false">IF(A336="","",R335)</f>
        <v/>
      </c>
      <c r="T335" s="200" t="str">
        <f aca="false">IF($A336="","",VLOOKUP($A335,Table,MATCH(T$4,Curves,0)))</f>
        <v/>
      </c>
      <c r="U335" s="201" t="str">
        <f aca="false">IF(A336="","",T335)</f>
        <v/>
      </c>
      <c r="V335" s="205" t="str">
        <f aca="false">IF($A336="","",IF(AND(MONTH(A335)&gt;3,MONTH(A335)&lt;11),(T335+R335+G335)*Summary!$T$10/(1-Summary!$T$10),(T335+R335+G335)*Summary!$U$10/(1-Summary!$U$10)))</f>
        <v/>
      </c>
      <c r="W335" s="200" t="str">
        <f aca="false">IF($A336="","",(T335+R335+G335+V335))</f>
        <v/>
      </c>
      <c r="X335" s="200" t="str">
        <f aca="false">IF($A336="","",(U335+S335+H335+V335))</f>
        <v/>
      </c>
      <c r="Y335" s="202"/>
      <c r="Z335" s="185" t="str">
        <f aca="false">IF($A336="","",VLOOKUP($A335,Table,MATCH(Z$4,Curves,0)))</f>
        <v/>
      </c>
      <c r="AA335" s="185" t="str">
        <f aca="false">IF($A336="","",VLOOKUP($A335,Table,MATCH(AA$4,Curves,0)))</f>
        <v/>
      </c>
      <c r="AB335" s="185" t="e">
        <f aca="false">SQRT((AA335^2*(A335-$D$3)+Z335^2*(DAY(EOMONTH(A335,0))/2))/AK335)</f>
        <v>#VALUE!</v>
      </c>
      <c r="AC335" s="185" t="str">
        <f aca="false">IF($A336="","",VLOOKUP($A335,Table,MATCH(AC$4,Curves,0)))</f>
        <v/>
      </c>
      <c r="AD335" s="185" t="str">
        <f aca="false">IF($A336="","",VLOOKUP($A335,Table,MATCH(AD$4,Curves,0)))</f>
        <v/>
      </c>
      <c r="AE335" s="185" t="e">
        <f aca="false">SQRT((AD335^2*(A335-$D$3)+AC335^2*(DAY(EOMONTH(A335,0))/2))/AK335)</f>
        <v>#VALUE!</v>
      </c>
      <c r="AF335" s="224" t="e">
        <f aca="false">((Summary!$N$10*(AA335*AD335)*(A335-$D$3))+(Summary!$M$10*Z335*AC335*(AJ335-EOMONTH(EDATE(A335,-1),0))))/(AK335*AB335*AE335)</f>
        <v>#VALUE!</v>
      </c>
      <c r="AG335" s="207" t="str">
        <f aca="false">IF($A336="","",Summary!$Q$10)</f>
        <v/>
      </c>
      <c r="AH335" s="207" t="str">
        <f aca="false">IF($A336="","",IF(Summary!$R$10="Y",(VLOOKUP($A335,Summary!$AD$6:$AF$9,3)+'Escalating commodity'!F348),'Escalating commodity'!F348))</f>
        <v/>
      </c>
      <c r="AI335" s="207" t="str">
        <f aca="false">IF($A336="","",AH335)</f>
        <v/>
      </c>
      <c r="AJ335" s="208" t="e">
        <f aca="false">A335+DAY(EOMONTH(A335,0))/2-1</f>
        <v>#VALUE!</v>
      </c>
      <c r="AK335" s="209" t="str">
        <f aca="false">IF($A336="","",$A335-$E$1)</f>
        <v/>
      </c>
      <c r="AL335" s="182" t="str">
        <f aca="false">IF($A336="","",SPRDOPT(P335,X335,AI335,0,AB335,AE335,AF335,AK335,$AJ$2,0))</f>
        <v/>
      </c>
      <c r="AM335" s="211" t="str">
        <f aca="false">IF($A336="","",MAX(0,O335-W335-AI335))</f>
        <v/>
      </c>
      <c r="AN335" s="211" t="str">
        <f aca="false">IF($A336="","",AL335-AM335)</f>
        <v/>
      </c>
      <c r="AO335" s="137" t="str">
        <f aca="false">IF(A336="","",A336-A335)</f>
        <v/>
      </c>
      <c r="AP335" s="212" t="str">
        <f aca="false">IF(A336="","",CHOOSE(F$3,A336+24,A335))</f>
        <v/>
      </c>
      <c r="AQ335" s="209" t="str">
        <f aca="false">IF(A336="","",AP335-$E$1)</f>
        <v/>
      </c>
      <c r="AR335" s="185" t="n">
        <f aca="false">'ANR OK vs ML7'!AR335</f>
        <v>0.1</v>
      </c>
      <c r="AS335" s="213" t="str">
        <f aca="false">IF(A336="","",1/(1+CHOOSE(F$3,(AR336+($I$3/10000))/2,(AR335+($I$3/10000))/2))^(2*AQ335/365.25))</f>
        <v/>
      </c>
      <c r="AT335" s="137" t="str">
        <f aca="false">IF(A336="","",IF(AND(mthbeg&lt;=A335,mthend&gt;=A335),1,0))</f>
        <v/>
      </c>
      <c r="AU335" s="137" t="str">
        <f aca="false">IF(A336="","",AO335*AT335)</f>
        <v/>
      </c>
      <c r="AW335" s="195" t="str">
        <f aca="false">IF($A336="","",AL335*$E335)</f>
        <v/>
      </c>
      <c r="AX335" s="195" t="str">
        <f aca="false">IF($A336="","",AM335*$E335)</f>
        <v/>
      </c>
      <c r="AY335" s="195" t="str">
        <f aca="false">IF($A336="","",AN335*$E335)</f>
        <v/>
      </c>
      <c r="BA335" s="195" t="str">
        <f aca="false">IF($A336="","",F335*Summary!$Q$10)</f>
        <v/>
      </c>
    </row>
    <row r="336" customFormat="false" ht="12" hidden="false" customHeight="true" outlineLevel="0" collapsed="false">
      <c r="A336" s="196" t="str">
        <f aca="false">IF(A335&lt;mthend,EDATE(A335,1),"")</f>
        <v/>
      </c>
      <c r="B336" s="197" t="str">
        <f aca="false">IF(A336&lt;mthend,B335,"")</f>
        <v/>
      </c>
      <c r="C336" s="215"/>
      <c r="D336" s="197" t="str">
        <f aca="false">IF(A337&lt;&gt;"",B336+C336,"")</f>
        <v/>
      </c>
      <c r="E336" s="199" t="str">
        <f aca="false">IF(A337="","",IF(AND(AT336=1,$H$3=1),D336*AO336,IF($H$3=2,D336,"N/A")))</f>
        <v/>
      </c>
      <c r="F336" s="199" t="str">
        <f aca="false">IF(A337="","",E336*AS336)</f>
        <v/>
      </c>
      <c r="G336" s="200" t="str">
        <f aca="false">IF($A337="","",VLOOKUP($A336,Table,MATCH(G$4,Curves,0)))</f>
        <v/>
      </c>
      <c r="H336" s="201" t="str">
        <f aca="false">IF(A337="","",G336)</f>
        <v/>
      </c>
      <c r="I336" s="202"/>
      <c r="J336" s="200" t="str">
        <f aca="false">IF($A337="","",VLOOKUP($A336,Table,MATCH(J$4,Curves,0)))</f>
        <v/>
      </c>
      <c r="K336" s="201" t="str">
        <f aca="false">IF(A337="","",J336)</f>
        <v/>
      </c>
      <c r="L336" s="185" t="n">
        <v>0</v>
      </c>
      <c r="M336" s="201" t="str">
        <f aca="false">IF(A337="","",L336)</f>
        <v/>
      </c>
      <c r="N336" s="203"/>
      <c r="O336" s="200" t="str">
        <f aca="false">IF(A337="","",L336+J336+G336)</f>
        <v/>
      </c>
      <c r="P336" s="200" t="str">
        <f aca="false">IF(A337="","",M336+K336+H336)</f>
        <v/>
      </c>
      <c r="Q336" s="204"/>
      <c r="R336" s="200" t="str">
        <f aca="false">IF($A337="","",VLOOKUP($A336,Table,MATCH(R$4,Curves,0)))</f>
        <v/>
      </c>
      <c r="S336" s="201" t="str">
        <f aca="false">IF(A337="","",R336)</f>
        <v/>
      </c>
      <c r="T336" s="200" t="str">
        <f aca="false">IF($A337="","",VLOOKUP($A336,Table,MATCH(T$4,Curves,0)))</f>
        <v/>
      </c>
      <c r="U336" s="201" t="str">
        <f aca="false">IF(A337="","",T336)</f>
        <v/>
      </c>
      <c r="V336" s="205" t="str">
        <f aca="false">IF($A337="","",IF(AND(MONTH(A336)&gt;3,MONTH(A336)&lt;11),(T336+R336+G336)*Summary!$T$10/(1-Summary!$T$10),(T336+R336+G336)*Summary!$U$10/(1-Summary!$U$10)))</f>
        <v/>
      </c>
      <c r="W336" s="200" t="str">
        <f aca="false">IF($A337="","",(T336+R336+G336+V336))</f>
        <v/>
      </c>
      <c r="X336" s="200" t="str">
        <f aca="false">IF($A337="","",(U336+S336+H336+V336))</f>
        <v/>
      </c>
      <c r="Y336" s="202"/>
      <c r="Z336" s="185" t="str">
        <f aca="false">IF($A337="","",VLOOKUP($A336,Table,MATCH(Z$4,Curves,0)))</f>
        <v/>
      </c>
      <c r="AA336" s="185" t="str">
        <f aca="false">IF($A337="","",VLOOKUP($A336,Table,MATCH(AA$4,Curves,0)))</f>
        <v/>
      </c>
      <c r="AB336" s="185" t="e">
        <f aca="false">SQRT((AA336^2*(A336-$D$3)+Z336^2*(DAY(EOMONTH(A336,0))/2))/AK336)</f>
        <v>#VALUE!</v>
      </c>
      <c r="AC336" s="185" t="str">
        <f aca="false">IF($A337="","",VLOOKUP($A336,Table,MATCH(AC$4,Curves,0)))</f>
        <v/>
      </c>
      <c r="AD336" s="185" t="str">
        <f aca="false">IF($A337="","",VLOOKUP($A336,Table,MATCH(AD$4,Curves,0)))</f>
        <v/>
      </c>
      <c r="AE336" s="185" t="e">
        <f aca="false">SQRT((AD336^2*(A336-$D$3)+AC336^2*(DAY(EOMONTH(A336,0))/2))/AK336)</f>
        <v>#VALUE!</v>
      </c>
      <c r="AF336" s="224" t="e">
        <f aca="false">((Summary!$N$10*(AA336*AD336)*(A336-$D$3))+(Summary!$M$10*Z336*AC336*(AJ336-EOMONTH(EDATE(A336,-1),0))))/(AK336*AB336*AE336)</f>
        <v>#VALUE!</v>
      </c>
      <c r="AG336" s="207" t="str">
        <f aca="false">IF($A337="","",Summary!$Q$10)</f>
        <v/>
      </c>
      <c r="AH336" s="207" t="str">
        <f aca="false">IF($A337="","",IF(Summary!$R$10="Y",(VLOOKUP($A336,Summary!$AD$6:$AF$9,3)+'Escalating commodity'!F349),'Escalating commodity'!F349))</f>
        <v/>
      </c>
      <c r="AI336" s="207" t="str">
        <f aca="false">IF($A337="","",AH336)</f>
        <v/>
      </c>
      <c r="AJ336" s="208" t="e">
        <f aca="false">A336+DAY(EOMONTH(A336,0))/2-1</f>
        <v>#VALUE!</v>
      </c>
      <c r="AK336" s="209" t="str">
        <f aca="false">IF($A337="","",$A336-$E$1)</f>
        <v/>
      </c>
      <c r="AL336" s="182" t="str">
        <f aca="false">IF($A337="","",SPRDOPT(P336,X336,AI336,0,AB336,AE336,AF336,AK336,$AJ$2,0))</f>
        <v/>
      </c>
      <c r="AM336" s="211" t="str">
        <f aca="false">IF($A337="","",MAX(0,O336-W336-AI336))</f>
        <v/>
      </c>
      <c r="AN336" s="211" t="str">
        <f aca="false">IF($A337="","",AL336-AM336)</f>
        <v/>
      </c>
      <c r="AO336" s="137" t="str">
        <f aca="false">IF(A337="","",A337-A336)</f>
        <v/>
      </c>
      <c r="AP336" s="212" t="str">
        <f aca="false">IF(A337="","",CHOOSE(F$3,A337+24,A336))</f>
        <v/>
      </c>
      <c r="AQ336" s="209" t="str">
        <f aca="false">IF(A337="","",AP336-$E$1)</f>
        <v/>
      </c>
      <c r="AR336" s="185" t="n">
        <f aca="false">'ANR OK vs ML7'!AR336</f>
        <v>0.1</v>
      </c>
      <c r="AS336" s="213" t="str">
        <f aca="false">IF(A337="","",1/(1+CHOOSE(F$3,(AR337+($I$3/10000))/2,(AR336+($I$3/10000))/2))^(2*AQ336/365.25))</f>
        <v/>
      </c>
      <c r="AT336" s="137" t="str">
        <f aca="false">IF(A337="","",IF(AND(mthbeg&lt;=A336,mthend&gt;=A336),1,0))</f>
        <v/>
      </c>
      <c r="AU336" s="137" t="str">
        <f aca="false">IF(A337="","",AO336*AT336)</f>
        <v/>
      </c>
      <c r="AW336" s="195" t="str">
        <f aca="false">IF($A337="","",AL336*$E336)</f>
        <v/>
      </c>
      <c r="AX336" s="195" t="str">
        <f aca="false">IF($A337="","",AM336*$E336)</f>
        <v/>
      </c>
      <c r="AY336" s="195" t="str">
        <f aca="false">IF($A337="","",AN336*$E336)</f>
        <v/>
      </c>
      <c r="BA336" s="195" t="str">
        <f aca="false">IF($A337="","",F336*Summary!$Q$10)</f>
        <v/>
      </c>
    </row>
    <row r="337" customFormat="false" ht="12" hidden="false" customHeight="true" outlineLevel="0" collapsed="false">
      <c r="A337" s="196" t="str">
        <f aca="false">IF(A336&lt;mthend,EDATE(A336,1),"")</f>
        <v/>
      </c>
      <c r="B337" s="197" t="str">
        <f aca="false">IF(A337&lt;mthend,B336,"")</f>
        <v/>
      </c>
      <c r="C337" s="215"/>
      <c r="D337" s="197" t="str">
        <f aca="false">IF(A338&lt;&gt;"",B337+C337,"")</f>
        <v/>
      </c>
      <c r="E337" s="199" t="str">
        <f aca="false">IF(A338="","",IF(AND(AT337=1,$H$3=1),D337*AO337,IF($H$3=2,D337,"N/A")))</f>
        <v/>
      </c>
      <c r="F337" s="199" t="str">
        <f aca="false">IF(A338="","",E337*AS337)</f>
        <v/>
      </c>
      <c r="G337" s="200" t="str">
        <f aca="false">IF($A338="","",VLOOKUP($A337,Table,MATCH(G$4,Curves,0)))</f>
        <v/>
      </c>
      <c r="H337" s="201" t="str">
        <f aca="false">IF(A338="","",G337)</f>
        <v/>
      </c>
      <c r="I337" s="202"/>
      <c r="J337" s="200" t="str">
        <f aca="false">IF($A338="","",VLOOKUP($A337,Table,MATCH(J$4,Curves,0)))</f>
        <v/>
      </c>
      <c r="K337" s="201" t="str">
        <f aca="false">IF(A338="","",J337)</f>
        <v/>
      </c>
      <c r="L337" s="185" t="n">
        <v>0</v>
      </c>
      <c r="M337" s="201" t="str">
        <f aca="false">IF(A338="","",L337)</f>
        <v/>
      </c>
      <c r="N337" s="203"/>
      <c r="O337" s="200" t="str">
        <f aca="false">IF(A338="","",L337+J337+G337)</f>
        <v/>
      </c>
      <c r="P337" s="200" t="str">
        <f aca="false">IF(A338="","",M337+K337+H337)</f>
        <v/>
      </c>
      <c r="Q337" s="204"/>
      <c r="R337" s="200" t="str">
        <f aca="false">IF($A338="","",VLOOKUP($A337,Table,MATCH(R$4,Curves,0)))</f>
        <v/>
      </c>
      <c r="S337" s="201" t="str">
        <f aca="false">IF(A338="","",R337)</f>
        <v/>
      </c>
      <c r="T337" s="200" t="str">
        <f aca="false">IF($A338="","",VLOOKUP($A337,Table,MATCH(T$4,Curves,0)))</f>
        <v/>
      </c>
      <c r="U337" s="201" t="str">
        <f aca="false">IF(A338="","",T337)</f>
        <v/>
      </c>
      <c r="V337" s="205" t="str">
        <f aca="false">IF($A338="","",IF(AND(MONTH(A337)&gt;3,MONTH(A337)&lt;11),(T337+R337+G337)*Summary!$T$10/(1-Summary!$T$10),(T337+R337+G337)*Summary!$U$10/(1-Summary!$U$10)))</f>
        <v/>
      </c>
      <c r="W337" s="200" t="str">
        <f aca="false">IF($A338="","",(T337+R337+G337+V337))</f>
        <v/>
      </c>
      <c r="X337" s="200" t="str">
        <f aca="false">IF($A338="","",(U337+S337+H337+V337))</f>
        <v/>
      </c>
      <c r="Y337" s="202"/>
      <c r="Z337" s="185" t="str">
        <f aca="false">IF($A338="","",VLOOKUP($A337,Table,MATCH(Z$4,Curves,0)))</f>
        <v/>
      </c>
      <c r="AA337" s="185" t="str">
        <f aca="false">IF($A338="","",VLOOKUP($A337,Table,MATCH(AA$4,Curves,0)))</f>
        <v/>
      </c>
      <c r="AB337" s="185" t="e">
        <f aca="false">SQRT((AA337^2*(A337-$D$3)+Z337^2*(DAY(EOMONTH(A337,0))/2))/AK337)</f>
        <v>#VALUE!</v>
      </c>
      <c r="AC337" s="185" t="str">
        <f aca="false">IF($A338="","",VLOOKUP($A337,Table,MATCH(AC$4,Curves,0)))</f>
        <v/>
      </c>
      <c r="AD337" s="185" t="str">
        <f aca="false">IF($A338="","",VLOOKUP($A337,Table,MATCH(AD$4,Curves,0)))</f>
        <v/>
      </c>
      <c r="AE337" s="185" t="e">
        <f aca="false">SQRT((AD337^2*(A337-$D$3)+AC337^2*(DAY(EOMONTH(A337,0))/2))/AK337)</f>
        <v>#VALUE!</v>
      </c>
      <c r="AF337" s="224" t="e">
        <f aca="false">((Summary!$N$10*(AA337*AD337)*(A337-$D$3))+(Summary!$M$10*Z337*AC337*(AJ337-EOMONTH(EDATE(A337,-1),0))))/(AK337*AB337*AE337)</f>
        <v>#VALUE!</v>
      </c>
      <c r="AG337" s="207" t="str">
        <f aca="false">IF($A338="","",Summary!$Q$10)</f>
        <v/>
      </c>
      <c r="AH337" s="207" t="str">
        <f aca="false">IF($A338="","",IF(Summary!$R$10="Y",(VLOOKUP($A337,Summary!$AD$6:$AF$9,3)+'Escalating commodity'!F350),'Escalating commodity'!F350))</f>
        <v/>
      </c>
      <c r="AI337" s="207" t="str">
        <f aca="false">IF($A338="","",AH337)</f>
        <v/>
      </c>
      <c r="AJ337" s="208" t="e">
        <f aca="false">A337+DAY(EOMONTH(A337,0))/2-1</f>
        <v>#VALUE!</v>
      </c>
      <c r="AK337" s="209" t="str">
        <f aca="false">IF($A338="","",$A337-$E$1)</f>
        <v/>
      </c>
      <c r="AL337" s="182" t="str">
        <f aca="false">IF($A338="","",SPRDOPT(P337,X337,AI337,0,AB337,AE337,AF337,AK337,$AJ$2,0))</f>
        <v/>
      </c>
      <c r="AM337" s="211" t="str">
        <f aca="false">IF($A338="","",MAX(0,O337-W337-AI337))</f>
        <v/>
      </c>
      <c r="AN337" s="211" t="str">
        <f aca="false">IF($A338="","",AL337-AM337)</f>
        <v/>
      </c>
      <c r="AO337" s="137" t="str">
        <f aca="false">IF(A338="","",A338-A337)</f>
        <v/>
      </c>
      <c r="AP337" s="212" t="str">
        <f aca="false">IF(A338="","",CHOOSE(F$3,A338+24,A337))</f>
        <v/>
      </c>
      <c r="AQ337" s="209" t="str">
        <f aca="false">IF(A338="","",AP337-$E$1)</f>
        <v/>
      </c>
      <c r="AR337" s="185" t="n">
        <f aca="false">'ANR OK vs ML7'!AR337</f>
        <v>0.1</v>
      </c>
      <c r="AS337" s="213" t="str">
        <f aca="false">IF(A338="","",1/(1+CHOOSE(F$3,(AR338+($I$3/10000))/2,(AR337+($I$3/10000))/2))^(2*AQ337/365.25))</f>
        <v/>
      </c>
      <c r="AT337" s="137" t="str">
        <f aca="false">IF(A338="","",IF(AND(mthbeg&lt;=A337,mthend&gt;=A337),1,0))</f>
        <v/>
      </c>
      <c r="AU337" s="137" t="str">
        <f aca="false">IF(A338="","",AO337*AT337)</f>
        <v/>
      </c>
      <c r="AW337" s="195" t="str">
        <f aca="false">IF($A338="","",AL337*$E337)</f>
        <v/>
      </c>
      <c r="AX337" s="195" t="str">
        <f aca="false">IF($A338="","",AM337*$E337)</f>
        <v/>
      </c>
      <c r="AY337" s="195" t="str">
        <f aca="false">IF($A338="","",AN337*$E337)</f>
        <v/>
      </c>
      <c r="BA337" s="195" t="str">
        <f aca="false">IF($A338="","",F337*Summary!$Q$10)</f>
        <v/>
      </c>
    </row>
    <row r="338" customFormat="false" ht="12" hidden="false" customHeight="true" outlineLevel="0" collapsed="false">
      <c r="A338" s="196" t="str">
        <f aca="false">IF(A337&lt;mthend,EDATE(A337,1),"")</f>
        <v/>
      </c>
      <c r="B338" s="197" t="str">
        <f aca="false">IF(A338&lt;mthend,B337,"")</f>
        <v/>
      </c>
      <c r="C338" s="215"/>
      <c r="D338" s="197" t="str">
        <f aca="false">IF(A339&lt;&gt;"",B338+C338,"")</f>
        <v/>
      </c>
      <c r="E338" s="199" t="str">
        <f aca="false">IF(A339="","",IF(AND(AT338=1,$H$3=1),D338*AO338,IF($H$3=2,D338,"N/A")))</f>
        <v/>
      </c>
      <c r="F338" s="199" t="str">
        <f aca="false">IF(A339="","",E338*AS338)</f>
        <v/>
      </c>
      <c r="G338" s="200" t="str">
        <f aca="false">IF($A339="","",VLOOKUP($A338,Table,MATCH(G$4,Curves,0)))</f>
        <v/>
      </c>
      <c r="H338" s="201" t="str">
        <f aca="false">IF(A339="","",G338)</f>
        <v/>
      </c>
      <c r="I338" s="202"/>
      <c r="J338" s="200" t="str">
        <f aca="false">IF($A339="","",VLOOKUP($A338,Table,MATCH(J$4,Curves,0)))</f>
        <v/>
      </c>
      <c r="K338" s="201" t="str">
        <f aca="false">IF(A339="","",J338)</f>
        <v/>
      </c>
      <c r="L338" s="185" t="n">
        <v>0</v>
      </c>
      <c r="M338" s="201" t="str">
        <f aca="false">IF(A339="","",L338)</f>
        <v/>
      </c>
      <c r="N338" s="203"/>
      <c r="O338" s="200" t="str">
        <f aca="false">IF(A339="","",L338+J338+G338)</f>
        <v/>
      </c>
      <c r="P338" s="200" t="str">
        <f aca="false">IF(A339="","",M338+K338+H338)</f>
        <v/>
      </c>
      <c r="Q338" s="204"/>
      <c r="R338" s="200" t="str">
        <f aca="false">IF($A339="","",VLOOKUP($A338,Table,MATCH(R$4,Curves,0)))</f>
        <v/>
      </c>
      <c r="S338" s="201" t="str">
        <f aca="false">IF(A339="","",R338)</f>
        <v/>
      </c>
      <c r="T338" s="200" t="str">
        <f aca="false">IF($A339="","",VLOOKUP($A338,Table,MATCH(T$4,Curves,0)))</f>
        <v/>
      </c>
      <c r="U338" s="201" t="str">
        <f aca="false">IF(A339="","",T338)</f>
        <v/>
      </c>
      <c r="V338" s="205" t="str">
        <f aca="false">IF($A339="","",IF(AND(MONTH(A338)&gt;3,MONTH(A338)&lt;11),(T338+R338+G338)*Summary!$T$10/(1-Summary!$T$10),(T338+R338+G338)*Summary!$U$10/(1-Summary!$U$10)))</f>
        <v/>
      </c>
      <c r="W338" s="200" t="str">
        <f aca="false">IF($A339="","",(T338+R338+G338+V338))</f>
        <v/>
      </c>
      <c r="X338" s="200" t="str">
        <f aca="false">IF($A339="","",(U338+S338+H338+V338))</f>
        <v/>
      </c>
      <c r="Y338" s="202"/>
      <c r="Z338" s="185" t="str">
        <f aca="false">IF($A339="","",VLOOKUP($A338,Table,MATCH(Z$4,Curves,0)))</f>
        <v/>
      </c>
      <c r="AA338" s="185" t="str">
        <f aca="false">IF($A339="","",VLOOKUP($A338,Table,MATCH(AA$4,Curves,0)))</f>
        <v/>
      </c>
      <c r="AB338" s="185" t="e">
        <f aca="false">SQRT((AA338^2*(A338-$D$3)+Z338^2*(DAY(EOMONTH(A338,0))/2))/AK338)</f>
        <v>#VALUE!</v>
      </c>
      <c r="AC338" s="185" t="str">
        <f aca="false">IF($A339="","",VLOOKUP($A338,Table,MATCH(AC$4,Curves,0)))</f>
        <v/>
      </c>
      <c r="AD338" s="185" t="str">
        <f aca="false">IF($A339="","",VLOOKUP($A338,Table,MATCH(AD$4,Curves,0)))</f>
        <v/>
      </c>
      <c r="AE338" s="185" t="e">
        <f aca="false">SQRT((AD338^2*(A338-$D$3)+AC338^2*(DAY(EOMONTH(A338,0))/2))/AK338)</f>
        <v>#VALUE!</v>
      </c>
      <c r="AF338" s="224" t="e">
        <f aca="false">((Summary!$N$10*(AA338*AD338)*(A338-$D$3))+(Summary!$M$10*Z338*AC338*(AJ338-EOMONTH(EDATE(A338,-1),0))))/(AK338*AB338*AE338)</f>
        <v>#VALUE!</v>
      </c>
      <c r="AG338" s="207" t="str">
        <f aca="false">IF($A339="","",Summary!$Q$10)</f>
        <v/>
      </c>
      <c r="AH338" s="207" t="str">
        <f aca="false">IF($A339="","",IF(Summary!$R$10="Y",(VLOOKUP($A338,Summary!$AD$6:$AF$9,3)+'Escalating commodity'!F351),'Escalating commodity'!F351))</f>
        <v/>
      </c>
      <c r="AI338" s="207" t="str">
        <f aca="false">IF($A339="","",AH338)</f>
        <v/>
      </c>
      <c r="AJ338" s="208" t="e">
        <f aca="false">A338+DAY(EOMONTH(A338,0))/2-1</f>
        <v>#VALUE!</v>
      </c>
      <c r="AK338" s="209" t="str">
        <f aca="false">IF($A339="","",$A338-$E$1)</f>
        <v/>
      </c>
      <c r="AL338" s="182" t="str">
        <f aca="false">IF($A339="","",SPRDOPT(P338,X338,AI338,0,AB338,AE338,AF338,AK338,$AJ$2,0))</f>
        <v/>
      </c>
      <c r="AM338" s="211" t="str">
        <f aca="false">IF($A339="","",MAX(0,O338-W338-AI338))</f>
        <v/>
      </c>
      <c r="AN338" s="211" t="str">
        <f aca="false">IF($A339="","",AL338-AM338)</f>
        <v/>
      </c>
      <c r="AO338" s="137" t="str">
        <f aca="false">IF(A339="","",A339-A338)</f>
        <v/>
      </c>
      <c r="AP338" s="212" t="str">
        <f aca="false">IF(A339="","",CHOOSE(F$3,A339+24,A338))</f>
        <v/>
      </c>
      <c r="AQ338" s="209" t="str">
        <f aca="false">IF(A339="","",AP338-$E$1)</f>
        <v/>
      </c>
      <c r="AR338" s="185" t="n">
        <f aca="false">'ANR OK vs ML7'!AR338</f>
        <v>0.1</v>
      </c>
      <c r="AS338" s="213" t="str">
        <f aca="false">IF(A339="","",1/(1+CHOOSE(F$3,(AR339+($I$3/10000))/2,(AR338+($I$3/10000))/2))^(2*AQ338/365.25))</f>
        <v/>
      </c>
      <c r="AT338" s="137" t="str">
        <f aca="false">IF(A339="","",IF(AND(mthbeg&lt;=A338,mthend&gt;=A338),1,0))</f>
        <v/>
      </c>
      <c r="AU338" s="137" t="str">
        <f aca="false">IF(A339="","",AO338*AT338)</f>
        <v/>
      </c>
      <c r="AW338" s="195" t="str">
        <f aca="false">IF($A339="","",AL338*$E338)</f>
        <v/>
      </c>
      <c r="AX338" s="195" t="str">
        <f aca="false">IF($A339="","",AM338*$E338)</f>
        <v/>
      </c>
      <c r="AY338" s="195" t="str">
        <f aca="false">IF($A339="","",AN338*$E338)</f>
        <v/>
      </c>
      <c r="BA338" s="195" t="str">
        <f aca="false">IF($A339="","",F338*Summary!$Q$10)</f>
        <v/>
      </c>
    </row>
    <row r="339" customFormat="false" ht="12" hidden="false" customHeight="true" outlineLevel="0" collapsed="false">
      <c r="A339" s="196" t="str">
        <f aca="false">IF(A338&lt;mthend,EDATE(A338,1),"")</f>
        <v/>
      </c>
      <c r="B339" s="197" t="str">
        <f aca="false">IF(A339&lt;mthend,B338,"")</f>
        <v/>
      </c>
      <c r="C339" s="215"/>
      <c r="D339" s="197" t="str">
        <f aca="false">IF(A340&lt;&gt;"",B339+C339,"")</f>
        <v/>
      </c>
      <c r="E339" s="199" t="str">
        <f aca="false">IF(A340="","",IF(AND(AT339=1,$H$3=1),D339*AO339,IF($H$3=2,D339,"N/A")))</f>
        <v/>
      </c>
      <c r="F339" s="199" t="str">
        <f aca="false">IF(A340="","",E339*AS339)</f>
        <v/>
      </c>
      <c r="G339" s="200" t="str">
        <f aca="false">IF($A340="","",VLOOKUP($A339,Table,MATCH(G$4,Curves,0)))</f>
        <v/>
      </c>
      <c r="H339" s="201" t="str">
        <f aca="false">IF(A340="","",G339)</f>
        <v/>
      </c>
      <c r="I339" s="202"/>
      <c r="J339" s="200" t="str">
        <f aca="false">IF($A340="","",VLOOKUP($A339,Table,MATCH(J$4,Curves,0)))</f>
        <v/>
      </c>
      <c r="K339" s="201" t="str">
        <f aca="false">IF(A340="","",J339)</f>
        <v/>
      </c>
      <c r="L339" s="185" t="n">
        <v>0</v>
      </c>
      <c r="M339" s="201" t="str">
        <f aca="false">IF(A340="","",L339)</f>
        <v/>
      </c>
      <c r="N339" s="203"/>
      <c r="O339" s="200" t="str">
        <f aca="false">IF(A340="","",L339+J339+G339)</f>
        <v/>
      </c>
      <c r="P339" s="200" t="str">
        <f aca="false">IF(A340="","",M339+K339+H339)</f>
        <v/>
      </c>
      <c r="Q339" s="204"/>
      <c r="R339" s="200" t="str">
        <f aca="false">IF($A340="","",VLOOKUP($A339,Table,MATCH(R$4,Curves,0)))</f>
        <v/>
      </c>
      <c r="S339" s="201" t="str">
        <f aca="false">IF(A340="","",R339)</f>
        <v/>
      </c>
      <c r="T339" s="200" t="str">
        <f aca="false">IF($A340="","",VLOOKUP($A339,Table,MATCH(T$4,Curves,0)))</f>
        <v/>
      </c>
      <c r="U339" s="201" t="str">
        <f aca="false">IF(A340="","",T339)</f>
        <v/>
      </c>
      <c r="V339" s="205" t="str">
        <f aca="false">IF($A340="","",IF(AND(MONTH(A339)&gt;3,MONTH(A339)&lt;11),(T339+R339+G339)*Summary!$T$10/(1-Summary!$T$10),(T339+R339+G339)*Summary!$U$10/(1-Summary!$U$10)))</f>
        <v/>
      </c>
      <c r="W339" s="200" t="str">
        <f aca="false">IF($A340="","",(T339+R339+G339+V339))</f>
        <v/>
      </c>
      <c r="X339" s="200" t="str">
        <f aca="false">IF($A340="","",(U339+S339+H339+V339))</f>
        <v/>
      </c>
      <c r="Y339" s="202"/>
      <c r="Z339" s="185" t="str">
        <f aca="false">IF($A340="","",VLOOKUP($A339,Table,MATCH(Z$4,Curves,0)))</f>
        <v/>
      </c>
      <c r="AA339" s="185" t="str">
        <f aca="false">IF($A340="","",VLOOKUP($A339,Table,MATCH(AA$4,Curves,0)))</f>
        <v/>
      </c>
      <c r="AB339" s="185" t="e">
        <f aca="false">SQRT((AA339^2*(A339-$D$3)+Z339^2*(DAY(EOMONTH(A339,0))/2))/AK339)</f>
        <v>#VALUE!</v>
      </c>
      <c r="AC339" s="185" t="str">
        <f aca="false">IF($A340="","",VLOOKUP($A339,Table,MATCH(AC$4,Curves,0)))</f>
        <v/>
      </c>
      <c r="AD339" s="185" t="str">
        <f aca="false">IF($A340="","",VLOOKUP($A339,Table,MATCH(AD$4,Curves,0)))</f>
        <v/>
      </c>
      <c r="AE339" s="185" t="e">
        <f aca="false">SQRT((AD339^2*(A339-$D$3)+AC339^2*(DAY(EOMONTH(A339,0))/2))/AK339)</f>
        <v>#VALUE!</v>
      </c>
      <c r="AF339" s="224" t="e">
        <f aca="false">((Summary!$N$10*(AA339*AD339)*(A339-$D$3))+(Summary!$M$10*Z339*AC339*(AJ339-EOMONTH(EDATE(A339,-1),0))))/(AK339*AB339*AE339)</f>
        <v>#VALUE!</v>
      </c>
      <c r="AG339" s="207" t="str">
        <f aca="false">IF($A340="","",Summary!$Q$10)</f>
        <v/>
      </c>
      <c r="AH339" s="207" t="str">
        <f aca="false">IF($A340="","",IF(Summary!$R$10="Y",(VLOOKUP($A339,Summary!$AD$6:$AF$9,3)+'Escalating commodity'!F352),'Escalating commodity'!F352))</f>
        <v/>
      </c>
      <c r="AI339" s="207" t="str">
        <f aca="false">IF($A340="","",AH339)</f>
        <v/>
      </c>
      <c r="AJ339" s="208" t="e">
        <f aca="false">A339+DAY(EOMONTH(A339,0))/2-1</f>
        <v>#VALUE!</v>
      </c>
      <c r="AK339" s="209" t="str">
        <f aca="false">IF($A340="","",$A339-$E$1)</f>
        <v/>
      </c>
      <c r="AL339" s="182" t="str">
        <f aca="false">IF($A340="","",SPRDOPT(P339,X339,AI339,0,AB339,AE339,AF339,AK339,$AJ$2,0))</f>
        <v/>
      </c>
      <c r="AM339" s="211" t="str">
        <f aca="false">IF($A340="","",MAX(0,O339-W339-AI339))</f>
        <v/>
      </c>
      <c r="AN339" s="211" t="str">
        <f aca="false">IF($A340="","",AL339-AM339)</f>
        <v/>
      </c>
      <c r="AO339" s="137" t="str">
        <f aca="false">IF(A340="","",A340-A339)</f>
        <v/>
      </c>
      <c r="AP339" s="212" t="str">
        <f aca="false">IF(A340="","",CHOOSE(F$3,A340+24,A339))</f>
        <v/>
      </c>
      <c r="AQ339" s="209" t="str">
        <f aca="false">IF(A340="","",AP339-$E$1)</f>
        <v/>
      </c>
      <c r="AR339" s="185" t="n">
        <f aca="false">'ANR OK vs ML7'!AR339</f>
        <v>0.1</v>
      </c>
      <c r="AS339" s="213" t="str">
        <f aca="false">IF(A340="","",1/(1+CHOOSE(F$3,(AR340+($I$3/10000))/2,(AR339+($I$3/10000))/2))^(2*AQ339/365.25))</f>
        <v/>
      </c>
      <c r="AT339" s="137" t="str">
        <f aca="false">IF(A340="","",IF(AND(mthbeg&lt;=A339,mthend&gt;=A339),1,0))</f>
        <v/>
      </c>
      <c r="AU339" s="137" t="str">
        <f aca="false">IF(A340="","",AO339*AT339)</f>
        <v/>
      </c>
      <c r="AW339" s="195" t="str">
        <f aca="false">IF($A340="","",AL339*$E339)</f>
        <v/>
      </c>
      <c r="AX339" s="195" t="str">
        <f aca="false">IF($A340="","",AM339*$E339)</f>
        <v/>
      </c>
      <c r="AY339" s="195" t="str">
        <f aca="false">IF($A340="","",AN339*$E339)</f>
        <v/>
      </c>
      <c r="BA339" s="195" t="str">
        <f aca="false">IF($A340="","",F339*Summary!$Q$10)</f>
        <v/>
      </c>
    </row>
    <row r="340" customFormat="false" ht="12" hidden="false" customHeight="true" outlineLevel="0" collapsed="false">
      <c r="A340" s="196" t="str">
        <f aca="false">IF(A339&lt;mthend,EDATE(A339,1),"")</f>
        <v/>
      </c>
      <c r="B340" s="197" t="str">
        <f aca="false">IF(A340&lt;mthend,B339,"")</f>
        <v/>
      </c>
      <c r="C340" s="215"/>
      <c r="D340" s="197" t="str">
        <f aca="false">IF(A341&lt;&gt;"",B340+C340,"")</f>
        <v/>
      </c>
      <c r="E340" s="199" t="str">
        <f aca="false">IF(A341="","",IF(AND(AT340=1,$H$3=1),D340*AO340,IF($H$3=2,D340,"N/A")))</f>
        <v/>
      </c>
      <c r="F340" s="199" t="str">
        <f aca="false">IF(A341="","",E340*AS340)</f>
        <v/>
      </c>
      <c r="G340" s="200" t="str">
        <f aca="false">IF($A341="","",VLOOKUP($A340,Table,MATCH(G$4,Curves,0)))</f>
        <v/>
      </c>
      <c r="H340" s="201" t="str">
        <f aca="false">IF(A341="","",G340)</f>
        <v/>
      </c>
      <c r="I340" s="202"/>
      <c r="J340" s="200" t="str">
        <f aca="false">IF($A341="","",VLOOKUP($A340,Table,MATCH(J$4,Curves,0)))</f>
        <v/>
      </c>
      <c r="K340" s="201" t="str">
        <f aca="false">IF(A341="","",J340)</f>
        <v/>
      </c>
      <c r="L340" s="185" t="n">
        <v>0</v>
      </c>
      <c r="M340" s="201" t="str">
        <f aca="false">IF(A341="","",L340)</f>
        <v/>
      </c>
      <c r="N340" s="203"/>
      <c r="O340" s="200" t="str">
        <f aca="false">IF(A341="","",L340+J340+G340)</f>
        <v/>
      </c>
      <c r="P340" s="200" t="str">
        <f aca="false">IF(A341="","",M340+K340+H340)</f>
        <v/>
      </c>
      <c r="Q340" s="204"/>
      <c r="R340" s="200" t="str">
        <f aca="false">IF($A341="","",VLOOKUP($A340,Table,MATCH(R$4,Curves,0)))</f>
        <v/>
      </c>
      <c r="S340" s="201" t="str">
        <f aca="false">IF(A341="","",R340)</f>
        <v/>
      </c>
      <c r="T340" s="200" t="str">
        <f aca="false">IF($A341="","",VLOOKUP($A340,Table,MATCH(T$4,Curves,0)))</f>
        <v/>
      </c>
      <c r="U340" s="201" t="str">
        <f aca="false">IF(A341="","",T340)</f>
        <v/>
      </c>
      <c r="V340" s="205" t="str">
        <f aca="false">IF($A341="","",IF(AND(MONTH(A340)&gt;3,MONTH(A340)&lt;11),(T340+R340+G340)*Summary!$T$10/(1-Summary!$T$10),(T340+R340+G340)*Summary!$U$10/(1-Summary!$U$10)))</f>
        <v/>
      </c>
      <c r="W340" s="200" t="str">
        <f aca="false">IF($A341="","",(T340+R340+G340+V340))</f>
        <v/>
      </c>
      <c r="X340" s="200" t="str">
        <f aca="false">IF($A341="","",(U340+S340+H340+V340))</f>
        <v/>
      </c>
      <c r="Y340" s="202"/>
      <c r="Z340" s="185" t="str">
        <f aca="false">IF($A341="","",VLOOKUP($A340,Table,MATCH(Z$4,Curves,0)))</f>
        <v/>
      </c>
      <c r="AA340" s="185" t="str">
        <f aca="false">IF($A341="","",VLOOKUP($A340,Table,MATCH(AA$4,Curves,0)))</f>
        <v/>
      </c>
      <c r="AB340" s="185" t="e">
        <f aca="false">SQRT((AA340^2*(A340-$D$3)+Z340^2*(DAY(EOMONTH(A340,0))/2))/AK340)</f>
        <v>#VALUE!</v>
      </c>
      <c r="AC340" s="185" t="str">
        <f aca="false">IF($A341="","",VLOOKUP($A340,Table,MATCH(AC$4,Curves,0)))</f>
        <v/>
      </c>
      <c r="AD340" s="185" t="str">
        <f aca="false">IF($A341="","",VLOOKUP($A340,Table,MATCH(AD$4,Curves,0)))</f>
        <v/>
      </c>
      <c r="AE340" s="185" t="e">
        <f aca="false">SQRT((AD340^2*(A340-$D$3)+AC340^2*(DAY(EOMONTH(A340,0))/2))/AK340)</f>
        <v>#VALUE!</v>
      </c>
      <c r="AF340" s="224" t="e">
        <f aca="false">((Summary!$N$10*(AA340*AD340)*(A340-$D$3))+(Summary!$M$10*Z340*AC340*(AJ340-EOMONTH(EDATE(A340,-1),0))))/(AK340*AB340*AE340)</f>
        <v>#VALUE!</v>
      </c>
      <c r="AG340" s="207" t="str">
        <f aca="false">IF($A341="","",Summary!$Q$10)</f>
        <v/>
      </c>
      <c r="AH340" s="207" t="str">
        <f aca="false">IF($A341="","",IF(Summary!$R$10="Y",(VLOOKUP($A340,Summary!$AD$6:$AF$9,3)+'Escalating commodity'!F353),'Escalating commodity'!F353))</f>
        <v/>
      </c>
      <c r="AI340" s="207" t="str">
        <f aca="false">IF($A341="","",AH340)</f>
        <v/>
      </c>
      <c r="AJ340" s="208" t="e">
        <f aca="false">A340+DAY(EOMONTH(A340,0))/2-1</f>
        <v>#VALUE!</v>
      </c>
      <c r="AK340" s="209" t="str">
        <f aca="false">IF($A341="","",$A340-$E$1)</f>
        <v/>
      </c>
      <c r="AL340" s="182" t="str">
        <f aca="false">IF($A341="","",SPRDOPT(P340,X340,AI340,0,AB340,AE340,AF340,AK340,$AJ$2,0))</f>
        <v/>
      </c>
      <c r="AM340" s="211" t="str">
        <f aca="false">IF($A341="","",MAX(0,O340-W340-AI340))</f>
        <v/>
      </c>
      <c r="AN340" s="211" t="str">
        <f aca="false">IF($A341="","",AL340-AM340)</f>
        <v/>
      </c>
      <c r="AO340" s="137" t="str">
        <f aca="false">IF(A341="","",A341-A340)</f>
        <v/>
      </c>
      <c r="AP340" s="212" t="str">
        <f aca="false">IF(A341="","",CHOOSE(F$3,A341+24,A340))</f>
        <v/>
      </c>
      <c r="AQ340" s="209" t="str">
        <f aca="false">IF(A341="","",AP340-$E$1)</f>
        <v/>
      </c>
      <c r="AR340" s="185" t="n">
        <f aca="false">'ANR OK vs ML7'!AR340</f>
        <v>0.1</v>
      </c>
      <c r="AS340" s="213" t="str">
        <f aca="false">IF(A341="","",1/(1+CHOOSE(F$3,(AR341+($I$3/10000))/2,(AR340+($I$3/10000))/2))^(2*AQ340/365.25))</f>
        <v/>
      </c>
      <c r="AT340" s="137" t="str">
        <f aca="false">IF(A341="","",IF(AND(mthbeg&lt;=A340,mthend&gt;=A340),1,0))</f>
        <v/>
      </c>
      <c r="AU340" s="137" t="str">
        <f aca="false">IF(A341="","",AO340*AT340)</f>
        <v/>
      </c>
      <c r="AW340" s="195" t="str">
        <f aca="false">IF($A341="","",AL340*$E340)</f>
        <v/>
      </c>
      <c r="AX340" s="195" t="str">
        <f aca="false">IF($A341="","",AM340*$E340)</f>
        <v/>
      </c>
      <c r="AY340" s="195" t="str">
        <f aca="false">IF($A341="","",AN340*$E340)</f>
        <v/>
      </c>
      <c r="BA340" s="195" t="str">
        <f aca="false">IF($A341="","",F340*Summary!$Q$10)</f>
        <v/>
      </c>
    </row>
    <row r="341" customFormat="false" ht="12" hidden="false" customHeight="true" outlineLevel="0" collapsed="false">
      <c r="A341" s="196" t="str">
        <f aca="false">IF(A340&lt;mthend,EDATE(A340,1),"")</f>
        <v/>
      </c>
      <c r="B341" s="197" t="str">
        <f aca="false">IF(A341&lt;mthend,B340,"")</f>
        <v/>
      </c>
      <c r="C341" s="215"/>
      <c r="D341" s="197" t="str">
        <f aca="false">IF(A342&lt;&gt;"",B341+C341,"")</f>
        <v/>
      </c>
      <c r="E341" s="199" t="str">
        <f aca="false">IF(A342="","",IF(AND(AT341=1,$H$3=1),D341*AO341,IF($H$3=2,D341,"N/A")))</f>
        <v/>
      </c>
      <c r="F341" s="199" t="str">
        <f aca="false">IF(A342="","",E341*AS341)</f>
        <v/>
      </c>
      <c r="G341" s="200" t="str">
        <f aca="false">IF($A342="","",VLOOKUP($A341,Table,MATCH(G$4,Curves,0)))</f>
        <v/>
      </c>
      <c r="H341" s="201" t="str">
        <f aca="false">IF(A342="","",G341)</f>
        <v/>
      </c>
      <c r="I341" s="202"/>
      <c r="J341" s="200" t="str">
        <f aca="false">IF($A342="","",VLOOKUP($A341,Table,MATCH(J$4,Curves,0)))</f>
        <v/>
      </c>
      <c r="K341" s="201" t="str">
        <f aca="false">IF(A342="","",J341)</f>
        <v/>
      </c>
      <c r="L341" s="185" t="n">
        <v>0</v>
      </c>
      <c r="M341" s="201" t="str">
        <f aca="false">IF(A342="","",L341)</f>
        <v/>
      </c>
      <c r="N341" s="203"/>
      <c r="O341" s="200" t="str">
        <f aca="false">IF(A342="","",L341+J341+G341)</f>
        <v/>
      </c>
      <c r="P341" s="200" t="str">
        <f aca="false">IF(A342="","",M341+K341+H341)</f>
        <v/>
      </c>
      <c r="Q341" s="204"/>
      <c r="R341" s="200" t="str">
        <f aca="false">IF($A342="","",VLOOKUP($A341,Table,MATCH(R$4,Curves,0)))</f>
        <v/>
      </c>
      <c r="S341" s="201" t="str">
        <f aca="false">IF(A342="","",R341)</f>
        <v/>
      </c>
      <c r="T341" s="200" t="str">
        <f aca="false">IF($A342="","",VLOOKUP($A341,Table,MATCH(T$4,Curves,0)))</f>
        <v/>
      </c>
      <c r="U341" s="201" t="str">
        <f aca="false">IF(A342="","",T341)</f>
        <v/>
      </c>
      <c r="V341" s="205" t="str">
        <f aca="false">IF($A342="","",IF(AND(MONTH(A341)&gt;3,MONTH(A341)&lt;11),(T341+R341+G341)*Summary!$T$10/(1-Summary!$T$10),(T341+R341+G341)*Summary!$U$10/(1-Summary!$U$10)))</f>
        <v/>
      </c>
      <c r="W341" s="200" t="str">
        <f aca="false">IF($A342="","",(T341+R341+G341+V341))</f>
        <v/>
      </c>
      <c r="X341" s="200" t="str">
        <f aca="false">IF($A342="","",(U341+S341+H341+V341))</f>
        <v/>
      </c>
      <c r="Y341" s="202"/>
      <c r="Z341" s="185" t="str">
        <f aca="false">IF($A342="","",VLOOKUP($A341,Table,MATCH(Z$4,Curves,0)))</f>
        <v/>
      </c>
      <c r="AA341" s="185" t="str">
        <f aca="false">IF($A342="","",VLOOKUP($A341,Table,MATCH(AA$4,Curves,0)))</f>
        <v/>
      </c>
      <c r="AB341" s="185" t="e">
        <f aca="false">SQRT((AA341^2*(A341-$D$3)+Z341^2*(DAY(EOMONTH(A341,0))/2))/AK341)</f>
        <v>#VALUE!</v>
      </c>
      <c r="AC341" s="185" t="str">
        <f aca="false">IF($A342="","",VLOOKUP($A341,Table,MATCH(AC$4,Curves,0)))</f>
        <v/>
      </c>
      <c r="AD341" s="185" t="str">
        <f aca="false">IF($A342="","",VLOOKUP($A341,Table,MATCH(AD$4,Curves,0)))</f>
        <v/>
      </c>
      <c r="AE341" s="185" t="e">
        <f aca="false">SQRT((AD341^2*(A341-$D$3)+AC341^2*(DAY(EOMONTH(A341,0))/2))/AK341)</f>
        <v>#VALUE!</v>
      </c>
      <c r="AF341" s="224" t="e">
        <f aca="false">((Summary!$N$10*(AA341*AD341)*(A341-$D$3))+(Summary!$M$10*Z341*AC341*(AJ341-EOMONTH(EDATE(A341,-1),0))))/(AK341*AB341*AE341)</f>
        <v>#VALUE!</v>
      </c>
      <c r="AG341" s="207" t="str">
        <f aca="false">IF($A342="","",Summary!$Q$10)</f>
        <v/>
      </c>
      <c r="AH341" s="207" t="str">
        <f aca="false">IF($A342="","",IF(Summary!$R$10="Y",(VLOOKUP($A341,Summary!$AD$6:$AF$9,3)+'Escalating commodity'!F354),'Escalating commodity'!F354))</f>
        <v/>
      </c>
      <c r="AI341" s="207" t="str">
        <f aca="false">IF($A342="","",AH341)</f>
        <v/>
      </c>
      <c r="AJ341" s="208" t="e">
        <f aca="false">A341+DAY(EOMONTH(A341,0))/2-1</f>
        <v>#VALUE!</v>
      </c>
      <c r="AK341" s="209" t="str">
        <f aca="false">IF($A342="","",$A341-$E$1)</f>
        <v/>
      </c>
      <c r="AL341" s="182" t="str">
        <f aca="false">IF($A342="","",SPRDOPT(P341,X341,AI341,0,AB341,AE341,AF341,AK341,$AJ$2,0))</f>
        <v/>
      </c>
      <c r="AM341" s="211" t="str">
        <f aca="false">IF($A342="","",MAX(0,O341-W341-AI341))</f>
        <v/>
      </c>
      <c r="AN341" s="211" t="str">
        <f aca="false">IF($A342="","",AL341-AM341)</f>
        <v/>
      </c>
      <c r="AO341" s="137" t="str">
        <f aca="false">IF(A342="","",A342-A341)</f>
        <v/>
      </c>
      <c r="AP341" s="212" t="str">
        <f aca="false">IF(A342="","",CHOOSE(F$3,A342+24,A341))</f>
        <v/>
      </c>
      <c r="AQ341" s="209" t="str">
        <f aca="false">IF(A342="","",AP341-$E$1)</f>
        <v/>
      </c>
      <c r="AR341" s="185" t="n">
        <f aca="false">'ANR OK vs ML7'!AR341</f>
        <v>0.1</v>
      </c>
      <c r="AS341" s="213" t="str">
        <f aca="false">IF(A342="","",1/(1+CHOOSE(F$3,(AR342+($I$3/10000))/2,(AR341+($I$3/10000))/2))^(2*AQ341/365.25))</f>
        <v/>
      </c>
      <c r="AT341" s="137" t="str">
        <f aca="false">IF(A342="","",IF(AND(mthbeg&lt;=A341,mthend&gt;=A341),1,0))</f>
        <v/>
      </c>
      <c r="AU341" s="137" t="str">
        <f aca="false">IF(A342="","",AO341*AT341)</f>
        <v/>
      </c>
      <c r="AW341" s="195" t="str">
        <f aca="false">IF($A342="","",AL341*$E341)</f>
        <v/>
      </c>
      <c r="AX341" s="195" t="str">
        <f aca="false">IF($A342="","",AM341*$E341)</f>
        <v/>
      </c>
      <c r="AY341" s="195" t="str">
        <f aca="false">IF($A342="","",AN341*$E341)</f>
        <v/>
      </c>
      <c r="BA341" s="195" t="str">
        <f aca="false">IF($A342="","",F341*Summary!$Q$10)</f>
        <v/>
      </c>
    </row>
    <row r="342" customFormat="false" ht="12" hidden="false" customHeight="true" outlineLevel="0" collapsed="false">
      <c r="A342" s="196" t="str">
        <f aca="false">IF(A341&lt;mthend,EDATE(A341,1),"")</f>
        <v/>
      </c>
      <c r="B342" s="197" t="str">
        <f aca="false">IF(A342&lt;mthend,B341,"")</f>
        <v/>
      </c>
      <c r="C342" s="215"/>
      <c r="D342" s="197" t="str">
        <f aca="false">IF(A343&lt;&gt;"",B342+C342,"")</f>
        <v/>
      </c>
      <c r="E342" s="199" t="str">
        <f aca="false">IF(A343="","",IF(AND(AT342=1,$H$3=1),D342*AO342,IF($H$3=2,D342,"N/A")))</f>
        <v/>
      </c>
      <c r="F342" s="199" t="str">
        <f aca="false">IF(A343="","",E342*AS342)</f>
        <v/>
      </c>
      <c r="G342" s="200" t="str">
        <f aca="false">IF($A343="","",VLOOKUP($A342,Table,MATCH(G$4,Curves,0)))</f>
        <v/>
      </c>
      <c r="H342" s="201" t="str">
        <f aca="false">IF(A343="","",G342)</f>
        <v/>
      </c>
      <c r="I342" s="202"/>
      <c r="J342" s="200" t="str">
        <f aca="false">IF($A343="","",VLOOKUP($A342,Table,MATCH(J$4,Curves,0)))</f>
        <v/>
      </c>
      <c r="K342" s="201" t="str">
        <f aca="false">IF(A343="","",J342)</f>
        <v/>
      </c>
      <c r="L342" s="185" t="n">
        <v>0</v>
      </c>
      <c r="M342" s="201" t="str">
        <f aca="false">IF(A343="","",L342)</f>
        <v/>
      </c>
      <c r="N342" s="203"/>
      <c r="O342" s="200" t="str">
        <f aca="false">IF(A343="","",L342+J342+G342)</f>
        <v/>
      </c>
      <c r="P342" s="200" t="str">
        <f aca="false">IF(A343="","",M342+K342+H342)</f>
        <v/>
      </c>
      <c r="Q342" s="204"/>
      <c r="R342" s="200" t="str">
        <f aca="false">IF($A343="","",VLOOKUP($A342,Table,MATCH(R$4,Curves,0)))</f>
        <v/>
      </c>
      <c r="S342" s="201" t="str">
        <f aca="false">IF(A343="","",R342)</f>
        <v/>
      </c>
      <c r="T342" s="200" t="str">
        <f aca="false">IF($A343="","",VLOOKUP($A342,Table,MATCH(T$4,Curves,0)))</f>
        <v/>
      </c>
      <c r="U342" s="201" t="str">
        <f aca="false">IF(A343="","",T342)</f>
        <v/>
      </c>
      <c r="V342" s="205" t="str">
        <f aca="false">IF($A343="","",IF(AND(MONTH(A342)&gt;3,MONTH(A342)&lt;11),(T342+R342+G342)*Summary!$T$10/(1-Summary!$T$10),(T342+R342+G342)*Summary!$U$10/(1-Summary!$U$10)))</f>
        <v/>
      </c>
      <c r="W342" s="200" t="str">
        <f aca="false">IF($A343="","",(T342+R342+G342+V342))</f>
        <v/>
      </c>
      <c r="X342" s="200" t="str">
        <f aca="false">IF($A343="","",(U342+S342+H342+V342))</f>
        <v/>
      </c>
      <c r="Y342" s="202"/>
      <c r="Z342" s="185" t="str">
        <f aca="false">IF($A343="","",VLOOKUP($A342,Table,MATCH(Z$4,Curves,0)))</f>
        <v/>
      </c>
      <c r="AA342" s="185" t="str">
        <f aca="false">IF($A343="","",VLOOKUP($A342,Table,MATCH(AA$4,Curves,0)))</f>
        <v/>
      </c>
      <c r="AB342" s="185" t="e">
        <f aca="false">SQRT((AA342^2*(A342-$D$3)+Z342^2*(DAY(EOMONTH(A342,0))/2))/AK342)</f>
        <v>#VALUE!</v>
      </c>
      <c r="AC342" s="185" t="str">
        <f aca="false">IF($A343="","",VLOOKUP($A342,Table,MATCH(AC$4,Curves,0)))</f>
        <v/>
      </c>
      <c r="AD342" s="185" t="str">
        <f aca="false">IF($A343="","",VLOOKUP($A342,Table,MATCH(AD$4,Curves,0)))</f>
        <v/>
      </c>
      <c r="AE342" s="185" t="e">
        <f aca="false">SQRT((AD342^2*(A342-$D$3)+AC342^2*(DAY(EOMONTH(A342,0))/2))/AK342)</f>
        <v>#VALUE!</v>
      </c>
      <c r="AF342" s="224" t="e">
        <f aca="false">((Summary!$N$10*(AA342*AD342)*(A342-$D$3))+(Summary!$M$10*Z342*AC342*(AJ342-EOMONTH(EDATE(A342,-1),0))))/(AK342*AB342*AE342)</f>
        <v>#VALUE!</v>
      </c>
      <c r="AG342" s="207" t="str">
        <f aca="false">IF($A343="","",Summary!$Q$10)</f>
        <v/>
      </c>
      <c r="AH342" s="207" t="str">
        <f aca="false">IF($A343="","",IF(Summary!$R$10="Y",(VLOOKUP($A342,Summary!$AD$6:$AF$9,3)+'Escalating commodity'!F355),'Escalating commodity'!F355))</f>
        <v/>
      </c>
      <c r="AI342" s="207" t="str">
        <f aca="false">IF($A343="","",AH342)</f>
        <v/>
      </c>
      <c r="AJ342" s="208" t="e">
        <f aca="false">A342+DAY(EOMONTH(A342,0))/2-1</f>
        <v>#VALUE!</v>
      </c>
      <c r="AK342" s="209" t="str">
        <f aca="false">IF($A343="","",$A342-$E$1)</f>
        <v/>
      </c>
      <c r="AL342" s="182" t="str">
        <f aca="false">IF($A343="","",SPRDOPT(P342,X342,AI342,0,AB342,AE342,AF342,AK342,$AJ$2,0))</f>
        <v/>
      </c>
      <c r="AM342" s="211" t="str">
        <f aca="false">IF($A343="","",MAX(0,O342-W342-AI342))</f>
        <v/>
      </c>
      <c r="AN342" s="211" t="str">
        <f aca="false">IF($A343="","",AL342-AM342)</f>
        <v/>
      </c>
      <c r="AO342" s="137" t="str">
        <f aca="false">IF(A343="","",A343-A342)</f>
        <v/>
      </c>
      <c r="AP342" s="212" t="str">
        <f aca="false">IF(A343="","",CHOOSE(F$3,A343+24,A342))</f>
        <v/>
      </c>
      <c r="AQ342" s="209" t="str">
        <f aca="false">IF(A343="","",AP342-$E$1)</f>
        <v/>
      </c>
      <c r="AR342" s="185" t="n">
        <f aca="false">'ANR OK vs ML7'!AR342</f>
        <v>0.1</v>
      </c>
      <c r="AS342" s="213" t="str">
        <f aca="false">IF(A343="","",1/(1+CHOOSE(F$3,(AR343+($I$3/10000))/2,(AR342+($I$3/10000))/2))^(2*AQ342/365.25))</f>
        <v/>
      </c>
      <c r="AT342" s="137" t="str">
        <f aca="false">IF(A343="","",IF(AND(mthbeg&lt;=A342,mthend&gt;=A342),1,0))</f>
        <v/>
      </c>
      <c r="AU342" s="137" t="str">
        <f aca="false">IF(A343="","",AO342*AT342)</f>
        <v/>
      </c>
      <c r="AW342" s="195" t="str">
        <f aca="false">IF($A343="","",AL342*$E342)</f>
        <v/>
      </c>
      <c r="AX342" s="195" t="str">
        <f aca="false">IF($A343="","",AM342*$E342)</f>
        <v/>
      </c>
      <c r="AY342" s="195" t="str">
        <f aca="false">IF($A343="","",AN342*$E342)</f>
        <v/>
      </c>
      <c r="BA342" s="195" t="str">
        <f aca="false">IF($A343="","",F342*Summary!$Q$10)</f>
        <v/>
      </c>
    </row>
    <row r="343" customFormat="false" ht="12" hidden="false" customHeight="true" outlineLevel="0" collapsed="false">
      <c r="A343" s="196" t="str">
        <f aca="false">IF(A342&lt;mthend,EDATE(A342,1),"")</f>
        <v/>
      </c>
      <c r="B343" s="197" t="str">
        <f aca="false">IF(A343&lt;mthend,B342,"")</f>
        <v/>
      </c>
      <c r="C343" s="215"/>
      <c r="D343" s="197" t="str">
        <f aca="false">IF(A344&lt;&gt;"",B343+C343,"")</f>
        <v/>
      </c>
      <c r="E343" s="199" t="str">
        <f aca="false">IF(A344="","",IF(AND(AT343=1,$H$3=1),D343*AO343,IF($H$3=2,D343,"N/A")))</f>
        <v/>
      </c>
      <c r="F343" s="199" t="str">
        <f aca="false">IF(A344="","",E343*AS343)</f>
        <v/>
      </c>
      <c r="G343" s="200" t="str">
        <f aca="false">IF($A344="","",VLOOKUP($A343,Table,MATCH(G$4,Curves,0)))</f>
        <v/>
      </c>
      <c r="H343" s="201" t="str">
        <f aca="false">IF(A344="","",G343)</f>
        <v/>
      </c>
      <c r="I343" s="202"/>
      <c r="J343" s="200" t="str">
        <f aca="false">IF($A344="","",VLOOKUP($A343,Table,MATCH(J$4,Curves,0)))</f>
        <v/>
      </c>
      <c r="K343" s="201" t="str">
        <f aca="false">IF(A344="","",J343)</f>
        <v/>
      </c>
      <c r="L343" s="185" t="n">
        <v>0</v>
      </c>
      <c r="M343" s="201" t="str">
        <f aca="false">IF(A344="","",L343)</f>
        <v/>
      </c>
      <c r="N343" s="203"/>
      <c r="O343" s="200" t="str">
        <f aca="false">IF(A344="","",L343+J343+G343)</f>
        <v/>
      </c>
      <c r="P343" s="200" t="str">
        <f aca="false">IF(A344="","",M343+K343+H343)</f>
        <v/>
      </c>
      <c r="Q343" s="204"/>
      <c r="R343" s="200" t="str">
        <f aca="false">IF($A344="","",VLOOKUP($A343,Table,MATCH(R$4,Curves,0)))</f>
        <v/>
      </c>
      <c r="S343" s="201" t="str">
        <f aca="false">IF(A344="","",R343)</f>
        <v/>
      </c>
      <c r="T343" s="200" t="str">
        <f aca="false">IF($A344="","",VLOOKUP($A343,Table,MATCH(T$4,Curves,0)))</f>
        <v/>
      </c>
      <c r="U343" s="201" t="str">
        <f aca="false">IF(A344="","",T343)</f>
        <v/>
      </c>
      <c r="V343" s="205" t="str">
        <f aca="false">IF($A344="","",IF(AND(MONTH(A343)&gt;3,MONTH(A343)&lt;11),(T343+R343+G343)*Summary!$T$10/(1-Summary!$T$10),(T343+R343+G343)*Summary!$U$10/(1-Summary!$U$10)))</f>
        <v/>
      </c>
      <c r="W343" s="200" t="str">
        <f aca="false">IF($A344="","",(T343+R343+G343+V343))</f>
        <v/>
      </c>
      <c r="X343" s="200" t="str">
        <f aca="false">IF($A344="","",(U343+S343+H343+V343))</f>
        <v/>
      </c>
      <c r="Y343" s="202"/>
      <c r="Z343" s="185" t="str">
        <f aca="false">IF($A344="","",VLOOKUP($A343,Table,MATCH(Z$4,Curves,0)))</f>
        <v/>
      </c>
      <c r="AA343" s="185" t="str">
        <f aca="false">IF($A344="","",VLOOKUP($A343,Table,MATCH(AA$4,Curves,0)))</f>
        <v/>
      </c>
      <c r="AB343" s="185" t="e">
        <f aca="false">SQRT((AA343^2*(A343-$D$3)+Z343^2*(DAY(EOMONTH(A343,0))/2))/AK343)</f>
        <v>#VALUE!</v>
      </c>
      <c r="AC343" s="185" t="str">
        <f aca="false">IF($A344="","",VLOOKUP($A343,Table,MATCH(AC$4,Curves,0)))</f>
        <v/>
      </c>
      <c r="AD343" s="185" t="str">
        <f aca="false">IF($A344="","",VLOOKUP($A343,Table,MATCH(AD$4,Curves,0)))</f>
        <v/>
      </c>
      <c r="AE343" s="185" t="e">
        <f aca="false">SQRT((AD343^2*(A343-$D$3)+AC343^2*(DAY(EOMONTH(A343,0))/2))/AK343)</f>
        <v>#VALUE!</v>
      </c>
      <c r="AF343" s="224" t="e">
        <f aca="false">((Summary!$N$10*(AA343*AD343)*(A343-$D$3))+(Summary!$M$10*Z343*AC343*(AJ343-EOMONTH(EDATE(A343,-1),0))))/(AK343*AB343*AE343)</f>
        <v>#VALUE!</v>
      </c>
      <c r="AG343" s="207" t="str">
        <f aca="false">IF($A344="","",Summary!$Q$10)</f>
        <v/>
      </c>
      <c r="AH343" s="207" t="str">
        <f aca="false">IF($A344="","",IF(Summary!$R$10="Y",(VLOOKUP($A343,Summary!$AD$6:$AF$9,3)+'Escalating commodity'!F356),'Escalating commodity'!F356))</f>
        <v/>
      </c>
      <c r="AI343" s="207" t="str">
        <f aca="false">IF($A344="","",AH343)</f>
        <v/>
      </c>
      <c r="AJ343" s="208" t="e">
        <f aca="false">A343+DAY(EOMONTH(A343,0))/2-1</f>
        <v>#VALUE!</v>
      </c>
      <c r="AK343" s="209" t="str">
        <f aca="false">IF($A344="","",$A343-$E$1)</f>
        <v/>
      </c>
      <c r="AL343" s="182" t="str">
        <f aca="false">IF($A344="","",SPRDOPT(P343,X343,AI343,0,AB343,AE343,AF343,AK343,$AJ$2,0))</f>
        <v/>
      </c>
      <c r="AM343" s="211" t="str">
        <f aca="false">IF($A344="","",MAX(0,O343-W343-AI343))</f>
        <v/>
      </c>
      <c r="AN343" s="211" t="str">
        <f aca="false">IF($A344="","",AL343-AM343)</f>
        <v/>
      </c>
      <c r="AO343" s="137" t="str">
        <f aca="false">IF(A344="","",A344-A343)</f>
        <v/>
      </c>
      <c r="AP343" s="212" t="str">
        <f aca="false">IF(A344="","",CHOOSE(F$3,A344+24,A343))</f>
        <v/>
      </c>
      <c r="AQ343" s="209" t="str">
        <f aca="false">IF(A344="","",AP343-$E$1)</f>
        <v/>
      </c>
      <c r="AR343" s="185" t="n">
        <f aca="false">'ANR OK vs ML7'!AR343</f>
        <v>0.1</v>
      </c>
      <c r="AS343" s="213" t="str">
        <f aca="false">IF(A344="","",1/(1+CHOOSE(F$3,(AR344+($I$3/10000))/2,(AR343+($I$3/10000))/2))^(2*AQ343/365.25))</f>
        <v/>
      </c>
      <c r="AT343" s="137" t="str">
        <f aca="false">IF(A344="","",IF(AND(mthbeg&lt;=A343,mthend&gt;=A343),1,0))</f>
        <v/>
      </c>
      <c r="AU343" s="137" t="str">
        <f aca="false">IF(A344="","",AO343*AT343)</f>
        <v/>
      </c>
      <c r="AW343" s="195" t="str">
        <f aca="false">IF($A344="","",AL343*$E343)</f>
        <v/>
      </c>
      <c r="AX343" s="195" t="str">
        <f aca="false">IF($A344="","",AM343*$E343)</f>
        <v/>
      </c>
      <c r="AY343" s="195" t="str">
        <f aca="false">IF($A344="","",AN343*$E343)</f>
        <v/>
      </c>
      <c r="BA343" s="195" t="str">
        <f aca="false">IF($A344="","",F343*Summary!$Q$10)</f>
        <v/>
      </c>
    </row>
    <row r="344" customFormat="false" ht="12" hidden="false" customHeight="true" outlineLevel="0" collapsed="false">
      <c r="A344" s="196" t="str">
        <f aca="false">IF(A343&lt;mthend,EDATE(A343,1),"")</f>
        <v/>
      </c>
      <c r="B344" s="197" t="str">
        <f aca="false">IF(A344&lt;mthend,B343,"")</f>
        <v/>
      </c>
      <c r="C344" s="215"/>
      <c r="D344" s="197" t="str">
        <f aca="false">IF(A345&lt;&gt;"",B344+C344,"")</f>
        <v/>
      </c>
      <c r="E344" s="199" t="str">
        <f aca="false">IF(A345="","",IF(AND(AT344=1,$H$3=1),D344*AO344,IF($H$3=2,D344,"N/A")))</f>
        <v/>
      </c>
      <c r="F344" s="199" t="str">
        <f aca="false">IF(A345="","",E344*AS344)</f>
        <v/>
      </c>
      <c r="G344" s="200" t="str">
        <f aca="false">IF($A345="","",VLOOKUP($A344,Table,MATCH(G$4,Curves,0)))</f>
        <v/>
      </c>
      <c r="H344" s="201" t="str">
        <f aca="false">IF(A345="","",G344)</f>
        <v/>
      </c>
      <c r="I344" s="202"/>
      <c r="J344" s="200" t="str">
        <f aca="false">IF($A345="","",VLOOKUP($A344,Table,MATCH(J$4,Curves,0)))</f>
        <v/>
      </c>
      <c r="K344" s="201" t="str">
        <f aca="false">IF(A345="","",J344)</f>
        <v/>
      </c>
      <c r="L344" s="185" t="n">
        <v>0</v>
      </c>
      <c r="M344" s="201" t="str">
        <f aca="false">IF(A345="","",L344)</f>
        <v/>
      </c>
      <c r="N344" s="203"/>
      <c r="O344" s="200" t="str">
        <f aca="false">IF(A345="","",L344+J344+G344)</f>
        <v/>
      </c>
      <c r="P344" s="200" t="str">
        <f aca="false">IF(A345="","",M344+K344+H344)</f>
        <v/>
      </c>
      <c r="Q344" s="204"/>
      <c r="R344" s="200" t="str">
        <f aca="false">IF($A345="","",VLOOKUP($A344,Table,MATCH(R$4,Curves,0)))</f>
        <v/>
      </c>
      <c r="S344" s="201" t="str">
        <f aca="false">IF(A345="","",R344)</f>
        <v/>
      </c>
      <c r="T344" s="200" t="str">
        <f aca="false">IF($A345="","",VLOOKUP($A344,Table,MATCH(T$4,Curves,0)))</f>
        <v/>
      </c>
      <c r="U344" s="201" t="str">
        <f aca="false">IF(A345="","",T344)</f>
        <v/>
      </c>
      <c r="V344" s="205" t="str">
        <f aca="false">IF($A345="","",IF(AND(MONTH(A344)&gt;3,MONTH(A344)&lt;11),(T344+R344+G344)*Summary!$T$10/(1-Summary!$T$10),(T344+R344+G344)*Summary!$U$10/(1-Summary!$U$10)))</f>
        <v/>
      </c>
      <c r="W344" s="200" t="str">
        <f aca="false">IF($A345="","",(T344+R344+G344+V344))</f>
        <v/>
      </c>
      <c r="X344" s="200" t="str">
        <f aca="false">IF($A345="","",(U344+S344+H344+V344))</f>
        <v/>
      </c>
      <c r="Y344" s="202"/>
      <c r="Z344" s="185" t="str">
        <f aca="false">IF($A345="","",VLOOKUP($A344,Table,MATCH(Z$4,Curves,0)))</f>
        <v/>
      </c>
      <c r="AA344" s="185" t="str">
        <f aca="false">IF($A345="","",VLOOKUP($A344,Table,MATCH(AA$4,Curves,0)))</f>
        <v/>
      </c>
      <c r="AB344" s="185" t="e">
        <f aca="false">SQRT((AA344^2*(A344-$D$3)+Z344^2*(DAY(EOMONTH(A344,0))/2))/AK344)</f>
        <v>#VALUE!</v>
      </c>
      <c r="AC344" s="185" t="str">
        <f aca="false">IF($A345="","",VLOOKUP($A344,Table,MATCH(AC$4,Curves,0)))</f>
        <v/>
      </c>
      <c r="AD344" s="185" t="str">
        <f aca="false">IF($A345="","",VLOOKUP($A344,Table,MATCH(AD$4,Curves,0)))</f>
        <v/>
      </c>
      <c r="AE344" s="185" t="e">
        <f aca="false">SQRT((AD344^2*(A344-$D$3)+AC344^2*(DAY(EOMONTH(A344,0))/2))/AK344)</f>
        <v>#VALUE!</v>
      </c>
      <c r="AF344" s="224" t="e">
        <f aca="false">((Summary!$N$10*(AA344*AD344)*(A344-$D$3))+(Summary!$M$10*Z344*AC344*(AJ344-EOMONTH(EDATE(A344,-1),0))))/(AK344*AB344*AE344)</f>
        <v>#VALUE!</v>
      </c>
      <c r="AG344" s="207" t="str">
        <f aca="false">IF($A345="","",Summary!$Q$10)</f>
        <v/>
      </c>
      <c r="AH344" s="207" t="str">
        <f aca="false">IF($A345="","",IF(Summary!$R$10="Y",(VLOOKUP($A344,Summary!$AD$6:$AF$9,3)+'Escalating commodity'!F357),'Escalating commodity'!F357))</f>
        <v/>
      </c>
      <c r="AI344" s="207" t="str">
        <f aca="false">IF($A345="","",AH344)</f>
        <v/>
      </c>
      <c r="AJ344" s="208" t="e">
        <f aca="false">A344+DAY(EOMONTH(A344,0))/2-1</f>
        <v>#VALUE!</v>
      </c>
      <c r="AK344" s="209" t="str">
        <f aca="false">IF($A345="","",$A344-$E$1)</f>
        <v/>
      </c>
      <c r="AL344" s="182" t="str">
        <f aca="false">IF($A345="","",SPRDOPT(P344,X344,AI344,0,AB344,AE344,AF344,AK344,$AJ$2,0))</f>
        <v/>
      </c>
      <c r="AM344" s="211" t="str">
        <f aca="false">IF($A345="","",MAX(0,O344-W344-AI344))</f>
        <v/>
      </c>
      <c r="AN344" s="211" t="str">
        <f aca="false">IF($A345="","",AL344-AM344)</f>
        <v/>
      </c>
      <c r="AO344" s="137" t="str">
        <f aca="false">IF(A345="","",A345-A344)</f>
        <v/>
      </c>
      <c r="AP344" s="212" t="str">
        <f aca="false">IF(A345="","",CHOOSE(F$3,A345+24,A344))</f>
        <v/>
      </c>
      <c r="AQ344" s="209" t="str">
        <f aca="false">IF(A345="","",AP344-$E$1)</f>
        <v/>
      </c>
      <c r="AR344" s="185" t="n">
        <f aca="false">'ANR OK vs ML7'!AR344</f>
        <v>0.1</v>
      </c>
      <c r="AS344" s="213" t="str">
        <f aca="false">IF(A345="","",1/(1+CHOOSE(F$3,(AR345+($I$3/10000))/2,(AR344+($I$3/10000))/2))^(2*AQ344/365.25))</f>
        <v/>
      </c>
      <c r="AT344" s="137" t="str">
        <f aca="false">IF(A345="","",IF(AND(mthbeg&lt;=A344,mthend&gt;=A344),1,0))</f>
        <v/>
      </c>
      <c r="AU344" s="137" t="str">
        <f aca="false">IF(A345="","",AO344*AT344)</f>
        <v/>
      </c>
      <c r="AW344" s="195" t="str">
        <f aca="false">IF($A345="","",AL344*$E344)</f>
        <v/>
      </c>
      <c r="AX344" s="195" t="str">
        <f aca="false">IF($A345="","",AM344*$E344)</f>
        <v/>
      </c>
      <c r="AY344" s="195" t="str">
        <f aca="false">IF($A345="","",AN344*$E344)</f>
        <v/>
      </c>
      <c r="BA344" s="195" t="str">
        <f aca="false">IF($A345="","",F344*Summary!$Q$10)</f>
        <v/>
      </c>
    </row>
    <row r="345" customFormat="false" ht="12" hidden="false" customHeight="true" outlineLevel="0" collapsed="false">
      <c r="A345" s="196" t="str">
        <f aca="false">IF(A344&lt;mthend,EDATE(A344,1),"")</f>
        <v/>
      </c>
      <c r="B345" s="197" t="str">
        <f aca="false">IF(A345&lt;mthend,B344,"")</f>
        <v/>
      </c>
      <c r="C345" s="215"/>
      <c r="D345" s="197" t="str">
        <f aca="false">IF(A346&lt;&gt;"",B345+C345,"")</f>
        <v/>
      </c>
      <c r="E345" s="199" t="str">
        <f aca="false">IF(A346="","",IF(AND(AT345=1,$H$3=1),D345*AO345,IF($H$3=2,D345,"N/A")))</f>
        <v/>
      </c>
      <c r="F345" s="199" t="str">
        <f aca="false">IF(A346="","",E345*AS345)</f>
        <v/>
      </c>
      <c r="G345" s="200" t="str">
        <f aca="false">IF($A346="","",VLOOKUP($A345,Table,MATCH(G$4,Curves,0)))</f>
        <v/>
      </c>
      <c r="H345" s="201" t="str">
        <f aca="false">IF(A346="","",G345)</f>
        <v/>
      </c>
      <c r="I345" s="202"/>
      <c r="J345" s="200" t="str">
        <f aca="false">IF($A346="","",VLOOKUP($A345,Table,MATCH(J$4,Curves,0)))</f>
        <v/>
      </c>
      <c r="K345" s="201" t="str">
        <f aca="false">IF(A346="","",J345)</f>
        <v/>
      </c>
      <c r="L345" s="185" t="n">
        <v>0</v>
      </c>
      <c r="M345" s="201" t="str">
        <f aca="false">IF(A346="","",L345)</f>
        <v/>
      </c>
      <c r="N345" s="203"/>
      <c r="O345" s="200" t="str">
        <f aca="false">IF(A346="","",L345+J345+G345)</f>
        <v/>
      </c>
      <c r="P345" s="200" t="str">
        <f aca="false">IF(A346="","",M345+K345+H345)</f>
        <v/>
      </c>
      <c r="Q345" s="204"/>
      <c r="R345" s="200" t="str">
        <f aca="false">IF($A346="","",VLOOKUP($A345,Table,MATCH(R$4,Curves,0)))</f>
        <v/>
      </c>
      <c r="S345" s="201" t="str">
        <f aca="false">IF(A346="","",R345)</f>
        <v/>
      </c>
      <c r="T345" s="200" t="str">
        <f aca="false">IF($A346="","",VLOOKUP($A345,Table,MATCH(T$4,Curves,0)))</f>
        <v/>
      </c>
      <c r="U345" s="201" t="str">
        <f aca="false">IF(A346="","",T345)</f>
        <v/>
      </c>
      <c r="V345" s="205" t="str">
        <f aca="false">IF($A346="","",IF(AND(MONTH(A345)&gt;3,MONTH(A345)&lt;11),(T345+R345+G345)*Summary!$T$10/(1-Summary!$T$10),(T345+R345+G345)*Summary!$U$10/(1-Summary!$U$10)))</f>
        <v/>
      </c>
      <c r="W345" s="200" t="str">
        <f aca="false">IF($A346="","",(T345+R345+G345+V345))</f>
        <v/>
      </c>
      <c r="X345" s="200" t="str">
        <f aca="false">IF($A346="","",(U345+S345+H345+V345))</f>
        <v/>
      </c>
      <c r="Y345" s="202"/>
      <c r="Z345" s="185" t="str">
        <f aca="false">IF($A346="","",VLOOKUP($A345,Table,MATCH(Z$4,Curves,0)))</f>
        <v/>
      </c>
      <c r="AA345" s="185" t="str">
        <f aca="false">IF($A346="","",VLOOKUP($A345,Table,MATCH(AA$4,Curves,0)))</f>
        <v/>
      </c>
      <c r="AB345" s="185" t="e">
        <f aca="false">SQRT((AA345^2*(A345-$D$3)+Z345^2*(DAY(EOMONTH(A345,0))/2))/AK345)</f>
        <v>#VALUE!</v>
      </c>
      <c r="AC345" s="185" t="str">
        <f aca="false">IF($A346="","",VLOOKUP($A345,Table,MATCH(AC$4,Curves,0)))</f>
        <v/>
      </c>
      <c r="AD345" s="185" t="str">
        <f aca="false">IF($A346="","",VLOOKUP($A345,Table,MATCH(AD$4,Curves,0)))</f>
        <v/>
      </c>
      <c r="AE345" s="185" t="e">
        <f aca="false">SQRT((AD345^2*(A345-$D$3)+AC345^2*(DAY(EOMONTH(A345,0))/2))/AK345)</f>
        <v>#VALUE!</v>
      </c>
      <c r="AF345" s="224" t="e">
        <f aca="false">((Summary!$N$10*(AA345*AD345)*(A345-$D$3))+(Summary!$M$10*Z345*AC345*(AJ345-EOMONTH(EDATE(A345,-1),0))))/(AK345*AB345*AE345)</f>
        <v>#VALUE!</v>
      </c>
      <c r="AG345" s="207" t="str">
        <f aca="false">IF($A346="","",Summary!$Q$10)</f>
        <v/>
      </c>
      <c r="AH345" s="207" t="str">
        <f aca="false">IF($A346="","",IF(Summary!$R$10="Y",(VLOOKUP($A345,Summary!$AD$6:$AF$9,3)+'Escalating commodity'!F358),'Escalating commodity'!F358))</f>
        <v/>
      </c>
      <c r="AI345" s="207" t="str">
        <f aca="false">IF($A346="","",AH345)</f>
        <v/>
      </c>
      <c r="AJ345" s="208" t="e">
        <f aca="false">A345+DAY(EOMONTH(A345,0))/2-1</f>
        <v>#VALUE!</v>
      </c>
      <c r="AK345" s="209" t="str">
        <f aca="false">IF($A346="","",$A345-$E$1)</f>
        <v/>
      </c>
      <c r="AL345" s="182" t="str">
        <f aca="false">IF($A346="","",SPRDOPT(P345,X345,AI345,0,AB345,AE345,AF345,AK345,$AJ$2,0))</f>
        <v/>
      </c>
      <c r="AM345" s="211" t="str">
        <f aca="false">IF($A346="","",MAX(0,O345-W345-AI345))</f>
        <v/>
      </c>
      <c r="AN345" s="211" t="str">
        <f aca="false">IF($A346="","",AL345-AM345)</f>
        <v/>
      </c>
      <c r="AO345" s="137" t="str">
        <f aca="false">IF(A346="","",A346-A345)</f>
        <v/>
      </c>
      <c r="AP345" s="212" t="str">
        <f aca="false">IF(A346="","",CHOOSE(F$3,A346+24,A345))</f>
        <v/>
      </c>
      <c r="AQ345" s="209" t="str">
        <f aca="false">IF(A346="","",AP345-$E$1)</f>
        <v/>
      </c>
      <c r="AR345" s="185" t="n">
        <f aca="false">'ANR OK vs ML7'!AR345</f>
        <v>0.1</v>
      </c>
      <c r="AS345" s="213" t="str">
        <f aca="false">IF(A346="","",1/(1+CHOOSE(F$3,(AR346+($I$3/10000))/2,(AR345+($I$3/10000))/2))^(2*AQ345/365.25))</f>
        <v/>
      </c>
      <c r="AT345" s="137" t="str">
        <f aca="false">IF(A346="","",IF(AND(mthbeg&lt;=A345,mthend&gt;=A345),1,0))</f>
        <v/>
      </c>
      <c r="AU345" s="137" t="str">
        <f aca="false">IF(A346="","",AO345*AT345)</f>
        <v/>
      </c>
      <c r="AW345" s="195" t="str">
        <f aca="false">IF($A346="","",AL345*$E345)</f>
        <v/>
      </c>
      <c r="AX345" s="195" t="str">
        <f aca="false">IF($A346="","",AM345*$E345)</f>
        <v/>
      </c>
      <c r="AY345" s="195" t="str">
        <f aca="false">IF($A346="","",AN345*$E345)</f>
        <v/>
      </c>
      <c r="BA345" s="195" t="str">
        <f aca="false">IF($A346="","",F345*Summary!$Q$10)</f>
        <v/>
      </c>
    </row>
    <row r="346" customFormat="false" ht="12" hidden="false" customHeight="true" outlineLevel="0" collapsed="false">
      <c r="A346" s="196" t="str">
        <f aca="false">IF(A345&lt;mthend,EDATE(A345,1),"")</f>
        <v/>
      </c>
      <c r="B346" s="197" t="str">
        <f aca="false">IF(A346&lt;mthend,B345,"")</f>
        <v/>
      </c>
      <c r="C346" s="215"/>
      <c r="D346" s="197" t="str">
        <f aca="false">IF(A347&lt;&gt;"",B346+C346,"")</f>
        <v/>
      </c>
      <c r="E346" s="199" t="str">
        <f aca="false">IF(A347="","",IF(AND(AT346=1,$H$3=1),D346*AO346,IF($H$3=2,D346,"N/A")))</f>
        <v/>
      </c>
      <c r="F346" s="199" t="str">
        <f aca="false">IF(A347="","",E346*AS346)</f>
        <v/>
      </c>
      <c r="G346" s="200" t="str">
        <f aca="false">IF($A347="","",VLOOKUP($A346,Table,MATCH(G$4,Curves,0)))</f>
        <v/>
      </c>
      <c r="H346" s="201" t="str">
        <f aca="false">IF(A347="","",G346)</f>
        <v/>
      </c>
      <c r="I346" s="202"/>
      <c r="J346" s="200" t="str">
        <f aca="false">IF($A347="","",VLOOKUP($A346,Table,MATCH(J$4,Curves,0)))</f>
        <v/>
      </c>
      <c r="K346" s="201" t="str">
        <f aca="false">IF(A347="","",J346)</f>
        <v/>
      </c>
      <c r="L346" s="185" t="n">
        <v>0</v>
      </c>
      <c r="M346" s="201" t="str">
        <f aca="false">IF(A347="","",L346)</f>
        <v/>
      </c>
      <c r="N346" s="203"/>
      <c r="O346" s="200" t="str">
        <f aca="false">IF(A347="","",L346+J346+G346)</f>
        <v/>
      </c>
      <c r="P346" s="200" t="str">
        <f aca="false">IF(A347="","",M346+K346+H346)</f>
        <v/>
      </c>
      <c r="Q346" s="204"/>
      <c r="R346" s="200" t="str">
        <f aca="false">IF($A347="","",VLOOKUP($A346,Table,MATCH(R$4,Curves,0)))</f>
        <v/>
      </c>
      <c r="S346" s="201" t="str">
        <f aca="false">IF(A347="","",R346)</f>
        <v/>
      </c>
      <c r="T346" s="200" t="str">
        <f aca="false">IF($A347="","",VLOOKUP($A346,Table,MATCH(T$4,Curves,0)))</f>
        <v/>
      </c>
      <c r="U346" s="201" t="str">
        <f aca="false">IF(A347="","",T346)</f>
        <v/>
      </c>
      <c r="V346" s="205" t="str">
        <f aca="false">IF($A347="","",IF(AND(MONTH(A346)&gt;3,MONTH(A346)&lt;11),(T346+R346+G346)*Summary!$T$10/(1-Summary!$T$10),(T346+R346+G346)*Summary!$U$10/(1-Summary!$U$10)))</f>
        <v/>
      </c>
      <c r="W346" s="200" t="str">
        <f aca="false">IF($A347="","",(T346+R346+G346+V346))</f>
        <v/>
      </c>
      <c r="X346" s="200" t="str">
        <f aca="false">IF($A347="","",(U346+S346+H346+V346))</f>
        <v/>
      </c>
      <c r="Y346" s="202"/>
      <c r="Z346" s="185" t="str">
        <f aca="false">IF($A347="","",VLOOKUP($A346,Table,MATCH(Z$4,Curves,0)))</f>
        <v/>
      </c>
      <c r="AA346" s="185" t="str">
        <f aca="false">IF($A347="","",VLOOKUP($A346,Table,MATCH(AA$4,Curves,0)))</f>
        <v/>
      </c>
      <c r="AB346" s="185" t="e">
        <f aca="false">SQRT((AA346^2*(A346-$D$3)+Z346^2*(DAY(EOMONTH(A346,0))/2))/AK346)</f>
        <v>#VALUE!</v>
      </c>
      <c r="AC346" s="185" t="str">
        <f aca="false">IF($A347="","",VLOOKUP($A346,Table,MATCH(AC$4,Curves,0)))</f>
        <v/>
      </c>
      <c r="AD346" s="185" t="str">
        <f aca="false">IF($A347="","",VLOOKUP($A346,Table,MATCH(AD$4,Curves,0)))</f>
        <v/>
      </c>
      <c r="AE346" s="185" t="e">
        <f aca="false">SQRT((AD346^2*(A346-$D$3)+AC346^2*(DAY(EOMONTH(A346,0))/2))/AK346)</f>
        <v>#VALUE!</v>
      </c>
      <c r="AF346" s="224" t="e">
        <f aca="false">((Summary!$N$10*(AA346*AD346)*(A346-$D$3))+(Summary!$M$10*Z346*AC346*(AJ346-EOMONTH(EDATE(A346,-1),0))))/(AK346*AB346*AE346)</f>
        <v>#VALUE!</v>
      </c>
      <c r="AG346" s="207" t="str">
        <f aca="false">IF($A347="","",Summary!$Q$10)</f>
        <v/>
      </c>
      <c r="AH346" s="207" t="str">
        <f aca="false">IF($A347="","",IF(Summary!$R$10="Y",(VLOOKUP($A346,Summary!$AD$6:$AF$9,3)+'Escalating commodity'!F359),'Escalating commodity'!F359))</f>
        <v/>
      </c>
      <c r="AI346" s="207" t="str">
        <f aca="false">IF($A347="","",AH346)</f>
        <v/>
      </c>
      <c r="AJ346" s="208" t="e">
        <f aca="false">A346+DAY(EOMONTH(A346,0))/2-1</f>
        <v>#VALUE!</v>
      </c>
      <c r="AK346" s="209" t="str">
        <f aca="false">IF($A347="","",$A346-$E$1)</f>
        <v/>
      </c>
      <c r="AL346" s="182" t="str">
        <f aca="false">IF($A347="","",SPRDOPT(P346,X346,AI346,0,AB346,AE346,AF346,AK346,$AJ$2,0))</f>
        <v/>
      </c>
      <c r="AM346" s="211" t="str">
        <f aca="false">IF($A347="","",MAX(0,O346-W346-AI346))</f>
        <v/>
      </c>
      <c r="AN346" s="211" t="str">
        <f aca="false">IF($A347="","",AL346-AM346)</f>
        <v/>
      </c>
      <c r="AO346" s="137" t="str">
        <f aca="false">IF(A347="","",A347-A346)</f>
        <v/>
      </c>
      <c r="AP346" s="212" t="str">
        <f aca="false">IF(A347="","",CHOOSE(F$3,A347+24,A346))</f>
        <v/>
      </c>
      <c r="AQ346" s="209" t="str">
        <f aca="false">IF(A347="","",AP346-$E$1)</f>
        <v/>
      </c>
      <c r="AR346" s="185" t="n">
        <f aca="false">'ANR OK vs ML7'!AR346</f>
        <v>0.1</v>
      </c>
      <c r="AS346" s="213" t="str">
        <f aca="false">IF(A347="","",1/(1+CHOOSE(F$3,(AR347+($I$3/10000))/2,(AR346+($I$3/10000))/2))^(2*AQ346/365.25))</f>
        <v/>
      </c>
      <c r="AT346" s="137" t="str">
        <f aca="false">IF(A347="","",IF(AND(mthbeg&lt;=A346,mthend&gt;=A346),1,0))</f>
        <v/>
      </c>
      <c r="AU346" s="137" t="str">
        <f aca="false">IF(A347="","",AO346*AT346)</f>
        <v/>
      </c>
      <c r="AW346" s="195" t="str">
        <f aca="false">IF($A347="","",AL346*$E346)</f>
        <v/>
      </c>
      <c r="AX346" s="195" t="str">
        <f aca="false">IF($A347="","",AM346*$E346)</f>
        <v/>
      </c>
      <c r="AY346" s="195" t="str">
        <f aca="false">IF($A347="","",AN346*$E346)</f>
        <v/>
      </c>
      <c r="BA346" s="195" t="str">
        <f aca="false">IF($A347="","",F346*Summary!$Q$10)</f>
        <v/>
      </c>
    </row>
    <row r="347" customFormat="false" ht="12" hidden="false" customHeight="true" outlineLevel="0" collapsed="false">
      <c r="A347" s="196" t="str">
        <f aca="false">IF(A346&lt;mthend,EDATE(A346,1),"")</f>
        <v/>
      </c>
      <c r="B347" s="197" t="str">
        <f aca="false">IF(A347&lt;mthend,B346,"")</f>
        <v/>
      </c>
      <c r="C347" s="215"/>
      <c r="D347" s="197" t="str">
        <f aca="false">IF(A348&lt;&gt;"",B347+C347,"")</f>
        <v/>
      </c>
      <c r="E347" s="199" t="str">
        <f aca="false">IF(A348="","",IF(AND(AT347=1,$H$3=1),D347*AO347,IF($H$3=2,D347,"N/A")))</f>
        <v/>
      </c>
      <c r="F347" s="199" t="str">
        <f aca="false">IF(A348="","",E347*AS347)</f>
        <v/>
      </c>
      <c r="G347" s="200" t="str">
        <f aca="false">IF($A348="","",VLOOKUP($A347,Table,MATCH(G$4,Curves,0)))</f>
        <v/>
      </c>
      <c r="H347" s="201" t="str">
        <f aca="false">IF(A348="","",G347)</f>
        <v/>
      </c>
      <c r="I347" s="202"/>
      <c r="J347" s="200" t="str">
        <f aca="false">IF($A348="","",VLOOKUP($A347,Table,MATCH(J$4,Curves,0)))</f>
        <v/>
      </c>
      <c r="K347" s="201" t="str">
        <f aca="false">IF(A348="","",J347)</f>
        <v/>
      </c>
      <c r="L347" s="185" t="n">
        <v>0</v>
      </c>
      <c r="M347" s="201" t="str">
        <f aca="false">IF(A348="","",L347)</f>
        <v/>
      </c>
      <c r="N347" s="203"/>
      <c r="O347" s="200" t="str">
        <f aca="false">IF(A348="","",L347+J347+G347)</f>
        <v/>
      </c>
      <c r="P347" s="200" t="str">
        <f aca="false">IF(A348="","",M347+K347+H347)</f>
        <v/>
      </c>
      <c r="Q347" s="204"/>
      <c r="R347" s="200" t="str">
        <f aca="false">IF($A348="","",VLOOKUP($A347,Table,MATCH(R$4,Curves,0)))</f>
        <v/>
      </c>
      <c r="S347" s="201" t="str">
        <f aca="false">IF(A348="","",R347)</f>
        <v/>
      </c>
      <c r="T347" s="200" t="str">
        <f aca="false">IF($A348="","",VLOOKUP($A347,Table,MATCH(T$4,Curves,0)))</f>
        <v/>
      </c>
      <c r="U347" s="201" t="str">
        <f aca="false">IF(A348="","",T347)</f>
        <v/>
      </c>
      <c r="V347" s="205" t="str">
        <f aca="false">IF($A348="","",IF(AND(MONTH(A347)&gt;3,MONTH(A347)&lt;11),(T347+R347+G347)*Summary!$T$10/(1-Summary!$T$10),(T347+R347+G347)*Summary!$U$10/(1-Summary!$U$10)))</f>
        <v/>
      </c>
      <c r="W347" s="200" t="str">
        <f aca="false">IF($A348="","",(T347+R347+G347+V347))</f>
        <v/>
      </c>
      <c r="X347" s="200" t="str">
        <f aca="false">IF($A348="","",(U347+S347+H347+V347))</f>
        <v/>
      </c>
      <c r="Y347" s="202"/>
      <c r="Z347" s="185" t="str">
        <f aca="false">IF($A348="","",VLOOKUP($A347,Table,MATCH(Z$4,Curves,0)))</f>
        <v/>
      </c>
      <c r="AA347" s="185" t="str">
        <f aca="false">IF($A348="","",VLOOKUP($A347,Table,MATCH(AA$4,Curves,0)))</f>
        <v/>
      </c>
      <c r="AB347" s="185" t="e">
        <f aca="false">SQRT((AA347^2*(A347-$D$3)+Z347^2*(DAY(EOMONTH(A347,0))/2))/AK347)</f>
        <v>#VALUE!</v>
      </c>
      <c r="AC347" s="185" t="str">
        <f aca="false">IF($A348="","",VLOOKUP($A347,Table,MATCH(AC$4,Curves,0)))</f>
        <v/>
      </c>
      <c r="AD347" s="185" t="str">
        <f aca="false">IF($A348="","",VLOOKUP($A347,Table,MATCH(AD$4,Curves,0)))</f>
        <v/>
      </c>
      <c r="AE347" s="185" t="e">
        <f aca="false">SQRT((AD347^2*(A347-$D$3)+AC347^2*(DAY(EOMONTH(A347,0))/2))/AK347)</f>
        <v>#VALUE!</v>
      </c>
      <c r="AF347" s="224" t="e">
        <f aca="false">((Summary!$N$10*(AA347*AD347)*(A347-$D$3))+(Summary!$M$10*Z347*AC347*(AJ347-EOMONTH(EDATE(A347,-1),0))))/(AK347*AB347*AE347)</f>
        <v>#VALUE!</v>
      </c>
      <c r="AG347" s="207" t="str">
        <f aca="false">IF($A348="","",Summary!$Q$10)</f>
        <v/>
      </c>
      <c r="AH347" s="207" t="str">
        <f aca="false">IF($A348="","",IF(Summary!$R$10="Y",(VLOOKUP($A347,Summary!$AD$6:$AF$9,3)+'Escalating commodity'!F360),'Escalating commodity'!F360))</f>
        <v/>
      </c>
      <c r="AI347" s="207" t="str">
        <f aca="false">IF($A348="","",AH347)</f>
        <v/>
      </c>
      <c r="AJ347" s="208" t="e">
        <f aca="false">A347+DAY(EOMONTH(A347,0))/2-1</f>
        <v>#VALUE!</v>
      </c>
      <c r="AK347" s="209" t="str">
        <f aca="false">IF($A348="","",$A347-$E$1)</f>
        <v/>
      </c>
      <c r="AL347" s="182" t="str">
        <f aca="false">IF($A348="","",SPRDOPT(P347,X347,AI347,0,AB347,AE347,AF347,AK347,$AJ$2,0))</f>
        <v/>
      </c>
      <c r="AM347" s="211" t="str">
        <f aca="false">IF($A348="","",MAX(0,O347-W347-AI347))</f>
        <v/>
      </c>
      <c r="AN347" s="211" t="str">
        <f aca="false">IF($A348="","",AL347-AM347)</f>
        <v/>
      </c>
      <c r="AO347" s="137" t="str">
        <f aca="false">IF(A348="","",A348-A347)</f>
        <v/>
      </c>
      <c r="AP347" s="212" t="str">
        <f aca="false">IF(A348="","",CHOOSE(F$3,A348+24,A347))</f>
        <v/>
      </c>
      <c r="AQ347" s="209" t="str">
        <f aca="false">IF(A348="","",AP347-$E$1)</f>
        <v/>
      </c>
      <c r="AR347" s="185" t="n">
        <f aca="false">'ANR OK vs ML7'!AR347</f>
        <v>0.1</v>
      </c>
      <c r="AS347" s="213" t="str">
        <f aca="false">IF(A348="","",1/(1+CHOOSE(F$3,(AR348+($I$3/10000))/2,(AR347+($I$3/10000))/2))^(2*AQ347/365.25))</f>
        <v/>
      </c>
      <c r="AT347" s="137" t="str">
        <f aca="false">IF(A348="","",IF(AND(mthbeg&lt;=A347,mthend&gt;=A347),1,0))</f>
        <v/>
      </c>
      <c r="AU347" s="137" t="str">
        <f aca="false">IF(A348="","",AO347*AT347)</f>
        <v/>
      </c>
      <c r="AW347" s="195" t="str">
        <f aca="false">IF($A348="","",AL347*$E347)</f>
        <v/>
      </c>
      <c r="AX347" s="195" t="str">
        <f aca="false">IF($A348="","",AM347*$E347)</f>
        <v/>
      </c>
      <c r="AY347" s="195" t="str">
        <f aca="false">IF($A348="","",AN347*$E347)</f>
        <v/>
      </c>
      <c r="BA347" s="195" t="str">
        <f aca="false">IF($A348="","",F347*Summary!$Q$10)</f>
        <v/>
      </c>
    </row>
    <row r="348" customFormat="false" ht="12" hidden="false" customHeight="true" outlineLevel="0" collapsed="false">
      <c r="A348" s="196" t="str">
        <f aca="false">IF(A347&lt;mthend,EDATE(A347,1),"")</f>
        <v/>
      </c>
      <c r="B348" s="197" t="str">
        <f aca="false">IF(A348&lt;mthend,B347,"")</f>
        <v/>
      </c>
      <c r="C348" s="215"/>
      <c r="D348" s="197" t="str">
        <f aca="false">IF(A349&lt;&gt;"",B348+C348,"")</f>
        <v/>
      </c>
      <c r="E348" s="199" t="str">
        <f aca="false">IF(A349="","",IF(AND(AT348=1,$H$3=1),D348*AO348,IF($H$3=2,D348,"N/A")))</f>
        <v/>
      </c>
      <c r="F348" s="199" t="str">
        <f aca="false">IF(A349="","",E348*AS348)</f>
        <v/>
      </c>
      <c r="G348" s="200" t="str">
        <f aca="false">IF($A349="","",VLOOKUP($A348,Table,MATCH(G$4,Curves,0)))</f>
        <v/>
      </c>
      <c r="H348" s="201" t="str">
        <f aca="false">IF(A349="","",G348)</f>
        <v/>
      </c>
      <c r="I348" s="202"/>
      <c r="J348" s="200" t="str">
        <f aca="false">IF($A349="","",VLOOKUP($A348,Table,MATCH(J$4,Curves,0)))</f>
        <v/>
      </c>
      <c r="K348" s="201" t="str">
        <f aca="false">IF(A349="","",J348)</f>
        <v/>
      </c>
      <c r="L348" s="185" t="n">
        <v>0</v>
      </c>
      <c r="M348" s="201" t="str">
        <f aca="false">IF(A349="","",L348)</f>
        <v/>
      </c>
      <c r="N348" s="203"/>
      <c r="O348" s="200" t="str">
        <f aca="false">IF(A349="","",L348+J348+G348)</f>
        <v/>
      </c>
      <c r="P348" s="200" t="str">
        <f aca="false">IF(A349="","",M348+K348+H348)</f>
        <v/>
      </c>
      <c r="Q348" s="204"/>
      <c r="R348" s="200" t="str">
        <f aca="false">IF($A349="","",VLOOKUP($A348,Table,MATCH(R$4,Curves,0)))</f>
        <v/>
      </c>
      <c r="S348" s="201" t="str">
        <f aca="false">IF(A349="","",R348)</f>
        <v/>
      </c>
      <c r="T348" s="200" t="str">
        <f aca="false">IF($A349="","",VLOOKUP($A348,Table,MATCH(T$4,Curves,0)))</f>
        <v/>
      </c>
      <c r="U348" s="201" t="str">
        <f aca="false">IF(A349="","",T348)</f>
        <v/>
      </c>
      <c r="V348" s="205" t="str">
        <f aca="false">IF($A349="","",IF(AND(MONTH(A348)&gt;3,MONTH(A348)&lt;11),(T348+R348+G348)*Summary!$T$10/(1-Summary!$T$10),(T348+R348+G348)*Summary!$U$10/(1-Summary!$U$10)))</f>
        <v/>
      </c>
      <c r="W348" s="200" t="str">
        <f aca="false">IF($A349="","",(T348+R348+G348+V348))</f>
        <v/>
      </c>
      <c r="X348" s="200" t="str">
        <f aca="false">IF($A349="","",(U348+S348+H348+V348))</f>
        <v/>
      </c>
      <c r="Y348" s="202"/>
      <c r="Z348" s="185" t="str">
        <f aca="false">IF($A349="","",VLOOKUP($A348,Table,MATCH(Z$4,Curves,0)))</f>
        <v/>
      </c>
      <c r="AA348" s="185" t="str">
        <f aca="false">IF($A349="","",VLOOKUP($A348,Table,MATCH(AA$4,Curves,0)))</f>
        <v/>
      </c>
      <c r="AB348" s="185" t="e">
        <f aca="false">SQRT((AA348^2*(A348-$D$3)+Z348^2*(DAY(EOMONTH(A348,0))/2))/AK348)</f>
        <v>#VALUE!</v>
      </c>
      <c r="AC348" s="185" t="str">
        <f aca="false">IF($A349="","",VLOOKUP($A348,Table,MATCH(AC$4,Curves,0)))</f>
        <v/>
      </c>
      <c r="AD348" s="185" t="str">
        <f aca="false">IF($A349="","",VLOOKUP($A348,Table,MATCH(AD$4,Curves,0)))</f>
        <v/>
      </c>
      <c r="AE348" s="185" t="e">
        <f aca="false">SQRT((AD348^2*(A348-$D$3)+AC348^2*(DAY(EOMONTH(A348,0))/2))/AK348)</f>
        <v>#VALUE!</v>
      </c>
      <c r="AF348" s="224" t="e">
        <f aca="false">((Summary!$N$10*(AA348*AD348)*(A348-$D$3))+(Summary!$M$10*Z348*AC348*(AJ348-EOMONTH(EDATE(A348,-1),0))))/(AK348*AB348*AE348)</f>
        <v>#VALUE!</v>
      </c>
      <c r="AG348" s="207" t="str">
        <f aca="false">IF($A349="","",Summary!$Q$10)</f>
        <v/>
      </c>
      <c r="AH348" s="207" t="str">
        <f aca="false">IF($A349="","",IF(Summary!$R$10="Y",(VLOOKUP($A348,Summary!$AD$6:$AF$9,3)+'Escalating commodity'!F361),'Escalating commodity'!F361))</f>
        <v/>
      </c>
      <c r="AI348" s="207" t="str">
        <f aca="false">IF($A349="","",AH348)</f>
        <v/>
      </c>
      <c r="AJ348" s="208" t="e">
        <f aca="false">A348+DAY(EOMONTH(A348,0))/2-1</f>
        <v>#VALUE!</v>
      </c>
      <c r="AK348" s="209" t="str">
        <f aca="false">IF($A349="","",$A348-$E$1)</f>
        <v/>
      </c>
      <c r="AL348" s="182" t="str">
        <f aca="false">IF($A349="","",SPRDOPT(P348,X348,AI348,0,AB348,AE348,AF348,AK348,$AJ$2,0))</f>
        <v/>
      </c>
      <c r="AM348" s="211" t="str">
        <f aca="false">IF($A349="","",MAX(0,O348-W348-AI348))</f>
        <v/>
      </c>
      <c r="AN348" s="211" t="str">
        <f aca="false">IF($A349="","",AL348-AM348)</f>
        <v/>
      </c>
      <c r="AO348" s="137" t="str">
        <f aca="false">IF(A349="","",A349-A348)</f>
        <v/>
      </c>
      <c r="AP348" s="212" t="str">
        <f aca="false">IF(A349="","",CHOOSE(F$3,A349+24,A348))</f>
        <v/>
      </c>
      <c r="AQ348" s="209" t="str">
        <f aca="false">IF(A349="","",AP348-$E$1)</f>
        <v/>
      </c>
      <c r="AR348" s="185" t="n">
        <f aca="false">'ANR OK vs ML7'!AR348</f>
        <v>0.1</v>
      </c>
      <c r="AS348" s="213" t="str">
        <f aca="false">IF(A349="","",1/(1+CHOOSE(F$3,(AR349+($I$3/10000))/2,(AR348+($I$3/10000))/2))^(2*AQ348/365.25))</f>
        <v/>
      </c>
      <c r="AT348" s="137" t="str">
        <f aca="false">IF(A349="","",IF(AND(mthbeg&lt;=A348,mthend&gt;=A348),1,0))</f>
        <v/>
      </c>
      <c r="AU348" s="137" t="str">
        <f aca="false">IF(A349="","",AO348*AT348)</f>
        <v/>
      </c>
      <c r="AW348" s="195" t="str">
        <f aca="false">IF($A349="","",AL348*$E348)</f>
        <v/>
      </c>
      <c r="AX348" s="195" t="str">
        <f aca="false">IF($A349="","",AM348*$E348)</f>
        <v/>
      </c>
      <c r="AY348" s="195" t="str">
        <f aca="false">IF($A349="","",AN348*$E348)</f>
        <v/>
      </c>
      <c r="BA348" s="195" t="str">
        <f aca="false">IF($A349="","",F348*Summary!$Q$10)</f>
        <v/>
      </c>
    </row>
    <row r="349" customFormat="false" ht="12" hidden="false" customHeight="true" outlineLevel="0" collapsed="false">
      <c r="A349" s="196" t="str">
        <f aca="false">IF(A348&lt;mthend,EDATE(A348,1),"")</f>
        <v/>
      </c>
      <c r="B349" s="197" t="str">
        <f aca="false">IF(A349&lt;mthend,B348,"")</f>
        <v/>
      </c>
      <c r="C349" s="215"/>
      <c r="D349" s="197" t="str">
        <f aca="false">IF(A350&lt;&gt;"",B349+C349,"")</f>
        <v/>
      </c>
      <c r="E349" s="199" t="str">
        <f aca="false">IF(A350="","",IF(AND(AT349=1,$H$3=1),D349*AO349,IF($H$3=2,D349,"N/A")))</f>
        <v/>
      </c>
      <c r="F349" s="199" t="str">
        <f aca="false">IF(A350="","",E349*AS349)</f>
        <v/>
      </c>
      <c r="G349" s="200" t="str">
        <f aca="false">IF($A350="","",VLOOKUP($A349,Table,MATCH(G$4,Curves,0)))</f>
        <v/>
      </c>
      <c r="H349" s="201" t="str">
        <f aca="false">IF(A350="","",G349)</f>
        <v/>
      </c>
      <c r="I349" s="202"/>
      <c r="J349" s="200" t="str">
        <f aca="false">IF($A350="","",VLOOKUP($A349,Table,MATCH(J$4,Curves,0)))</f>
        <v/>
      </c>
      <c r="K349" s="201" t="str">
        <f aca="false">IF(A350="","",J349)</f>
        <v/>
      </c>
      <c r="L349" s="185" t="n">
        <v>0</v>
      </c>
      <c r="M349" s="201" t="str">
        <f aca="false">IF(A350="","",L349)</f>
        <v/>
      </c>
      <c r="N349" s="203"/>
      <c r="O349" s="200" t="str">
        <f aca="false">IF(A350="","",L349+J349+G349)</f>
        <v/>
      </c>
      <c r="P349" s="200" t="str">
        <f aca="false">IF(A350="","",M349+K349+H349)</f>
        <v/>
      </c>
      <c r="Q349" s="204"/>
      <c r="R349" s="200" t="str">
        <f aca="false">IF($A350="","",VLOOKUP($A349,Table,MATCH(R$4,Curves,0)))</f>
        <v/>
      </c>
      <c r="S349" s="201" t="str">
        <f aca="false">IF(A350="","",R349)</f>
        <v/>
      </c>
      <c r="T349" s="200" t="str">
        <f aca="false">IF($A350="","",VLOOKUP($A349,Table,MATCH(T$4,Curves,0)))</f>
        <v/>
      </c>
      <c r="U349" s="201" t="str">
        <f aca="false">IF(A350="","",T349)</f>
        <v/>
      </c>
      <c r="V349" s="205" t="str">
        <f aca="false">IF($A350="","",IF(AND(MONTH(A349)&gt;3,MONTH(A349)&lt;11),(T349+R349+G349)*Summary!$T$10/(1-Summary!$T$10),(T349+R349+G349)*Summary!$U$10/(1-Summary!$U$10)))</f>
        <v/>
      </c>
      <c r="W349" s="200" t="str">
        <f aca="false">IF($A350="","",(T349+R349+G349+V349))</f>
        <v/>
      </c>
      <c r="X349" s="200" t="str">
        <f aca="false">IF($A350="","",(U349+S349+H349+V349))</f>
        <v/>
      </c>
      <c r="Y349" s="202"/>
      <c r="Z349" s="185" t="str">
        <f aca="false">IF($A350="","",VLOOKUP($A349,Table,MATCH(Z$4,Curves,0)))</f>
        <v/>
      </c>
      <c r="AA349" s="185" t="str">
        <f aca="false">IF($A350="","",VLOOKUP($A349,Table,MATCH(AA$4,Curves,0)))</f>
        <v/>
      </c>
      <c r="AB349" s="185" t="e">
        <f aca="false">SQRT((AA349^2*(A349-$D$3)+Z349^2*(DAY(EOMONTH(A349,0))/2))/AK349)</f>
        <v>#VALUE!</v>
      </c>
      <c r="AC349" s="185" t="str">
        <f aca="false">IF($A350="","",VLOOKUP($A349,Table,MATCH(AC$4,Curves,0)))</f>
        <v/>
      </c>
      <c r="AD349" s="185" t="str">
        <f aca="false">IF($A350="","",VLOOKUP($A349,Table,MATCH(AD$4,Curves,0)))</f>
        <v/>
      </c>
      <c r="AE349" s="185" t="e">
        <f aca="false">SQRT((AD349^2*(A349-$D$3)+AC349^2*(DAY(EOMONTH(A349,0))/2))/AK349)</f>
        <v>#VALUE!</v>
      </c>
      <c r="AF349" s="224" t="e">
        <f aca="false">((Summary!$N$10*(AA349*AD349)*(A349-$D$3))+(Summary!$M$10*Z349*AC349*(AJ349-EOMONTH(EDATE(A349,-1),0))))/(AK349*AB349*AE349)</f>
        <v>#VALUE!</v>
      </c>
      <c r="AG349" s="207" t="str">
        <f aca="false">IF($A350="","",Summary!$Q$10)</f>
        <v/>
      </c>
      <c r="AH349" s="207" t="str">
        <f aca="false">IF($A350="","",IF(Summary!$R$10="Y",(VLOOKUP($A349,Summary!$AD$6:$AF$9,3)+'Escalating commodity'!F362),'Escalating commodity'!F362))</f>
        <v/>
      </c>
      <c r="AI349" s="207" t="str">
        <f aca="false">IF($A350="","",AH349)</f>
        <v/>
      </c>
      <c r="AJ349" s="208" t="e">
        <f aca="false">A349+DAY(EOMONTH(A349,0))/2-1</f>
        <v>#VALUE!</v>
      </c>
      <c r="AK349" s="209" t="str">
        <f aca="false">IF($A350="","",$A349-$E$1)</f>
        <v/>
      </c>
      <c r="AL349" s="182" t="str">
        <f aca="false">IF($A350="","",SPRDOPT(P349,X349,AI349,0,AB349,AE349,AF349,AK349,$AJ$2,0))</f>
        <v/>
      </c>
      <c r="AM349" s="211" t="str">
        <f aca="false">IF($A350="","",MAX(0,O349-W349-AI349))</f>
        <v/>
      </c>
      <c r="AN349" s="211" t="str">
        <f aca="false">IF($A350="","",AL349-AM349)</f>
        <v/>
      </c>
      <c r="AO349" s="137" t="str">
        <f aca="false">IF(A350="","",A350-A349)</f>
        <v/>
      </c>
      <c r="AP349" s="212" t="str">
        <f aca="false">IF(A350="","",CHOOSE(F$3,A350+24,A349))</f>
        <v/>
      </c>
      <c r="AQ349" s="209" t="str">
        <f aca="false">IF(A350="","",AP349-$E$1)</f>
        <v/>
      </c>
      <c r="AR349" s="185" t="n">
        <f aca="false">'ANR OK vs ML7'!AR349</f>
        <v>0.1</v>
      </c>
      <c r="AS349" s="213" t="str">
        <f aca="false">IF(A350="","",1/(1+CHOOSE(F$3,(AR350+($I$3/10000))/2,(AR349+($I$3/10000))/2))^(2*AQ349/365.25))</f>
        <v/>
      </c>
      <c r="AT349" s="137" t="str">
        <f aca="false">IF(A350="","",IF(AND(mthbeg&lt;=A349,mthend&gt;=A349),1,0))</f>
        <v/>
      </c>
      <c r="AU349" s="137" t="str">
        <f aca="false">IF(A350="","",AO349*AT349)</f>
        <v/>
      </c>
      <c r="AW349" s="195" t="str">
        <f aca="false">IF($A350="","",AL349*$E349)</f>
        <v/>
      </c>
      <c r="AX349" s="195" t="str">
        <f aca="false">IF($A350="","",AM349*$E349)</f>
        <v/>
      </c>
      <c r="AY349" s="195" t="str">
        <f aca="false">IF($A350="","",AN349*$E349)</f>
        <v/>
      </c>
      <c r="BA349" s="195" t="str">
        <f aca="false">IF($A350="","",F349*Summary!$Q$10)</f>
        <v/>
      </c>
    </row>
    <row r="350" customFormat="false" ht="12" hidden="false" customHeight="true" outlineLevel="0" collapsed="false">
      <c r="A350" s="196" t="str">
        <f aca="false">IF(A349&lt;mthend,EDATE(A349,1),"")</f>
        <v/>
      </c>
      <c r="B350" s="197" t="str">
        <f aca="false">IF(A350&lt;mthend,B349,"")</f>
        <v/>
      </c>
      <c r="C350" s="215"/>
      <c r="D350" s="197" t="str">
        <f aca="false">IF(A351&lt;&gt;"",B350+C350,"")</f>
        <v/>
      </c>
      <c r="E350" s="199" t="str">
        <f aca="false">IF(A351="","",IF(AND(AT350=1,$H$3=1),D350*AO350,IF($H$3=2,D350,"N/A")))</f>
        <v/>
      </c>
      <c r="F350" s="199" t="str">
        <f aca="false">IF(A351="","",E350*AS350)</f>
        <v/>
      </c>
      <c r="G350" s="200" t="str">
        <f aca="false">IF($A351="","",VLOOKUP($A350,Table,MATCH(G$4,Curves,0)))</f>
        <v/>
      </c>
      <c r="H350" s="201" t="str">
        <f aca="false">IF(A351="","",G350)</f>
        <v/>
      </c>
      <c r="I350" s="202"/>
      <c r="J350" s="200" t="str">
        <f aca="false">IF($A351="","",VLOOKUP($A350,Table,MATCH(J$4,Curves,0)))</f>
        <v/>
      </c>
      <c r="K350" s="201" t="str">
        <f aca="false">IF(A351="","",J350)</f>
        <v/>
      </c>
      <c r="L350" s="185" t="n">
        <v>0</v>
      </c>
      <c r="M350" s="201" t="str">
        <f aca="false">IF(A351="","",L350)</f>
        <v/>
      </c>
      <c r="N350" s="203"/>
      <c r="O350" s="200" t="str">
        <f aca="false">IF(A351="","",L350+J350+G350)</f>
        <v/>
      </c>
      <c r="P350" s="200" t="str">
        <f aca="false">IF(A351="","",M350+K350+H350)</f>
        <v/>
      </c>
      <c r="Q350" s="204"/>
      <c r="R350" s="200" t="str">
        <f aca="false">IF($A351="","",VLOOKUP($A350,Table,MATCH(R$4,Curves,0)))</f>
        <v/>
      </c>
      <c r="S350" s="201" t="str">
        <f aca="false">IF(A351="","",R350)</f>
        <v/>
      </c>
      <c r="T350" s="200" t="str">
        <f aca="false">IF($A351="","",VLOOKUP($A350,Table,MATCH(T$4,Curves,0)))</f>
        <v/>
      </c>
      <c r="U350" s="201" t="str">
        <f aca="false">IF(A351="","",T350)</f>
        <v/>
      </c>
      <c r="V350" s="205" t="str">
        <f aca="false">IF($A351="","",IF(AND(MONTH(A350)&gt;3,MONTH(A350)&lt;11),(T350+R350+G350)*Summary!$T$10/(1-Summary!$T$10),(T350+R350+G350)*Summary!$U$10/(1-Summary!$U$10)))</f>
        <v/>
      </c>
      <c r="W350" s="200" t="str">
        <f aca="false">IF($A351="","",(T350+R350+G350+V350))</f>
        <v/>
      </c>
      <c r="X350" s="200" t="str">
        <f aca="false">IF($A351="","",(U350+S350+H350+V350))</f>
        <v/>
      </c>
      <c r="Y350" s="202"/>
      <c r="Z350" s="185" t="str">
        <f aca="false">IF($A351="","",VLOOKUP($A350,Table,MATCH(Z$4,Curves,0)))</f>
        <v/>
      </c>
      <c r="AA350" s="185" t="str">
        <f aca="false">IF($A351="","",VLOOKUP($A350,Table,MATCH(AA$4,Curves,0)))</f>
        <v/>
      </c>
      <c r="AB350" s="185" t="e">
        <f aca="false">SQRT((AA350^2*(A350-$D$3)+Z350^2*(DAY(EOMONTH(A350,0))/2))/AK350)</f>
        <v>#VALUE!</v>
      </c>
      <c r="AC350" s="185" t="str">
        <f aca="false">IF($A351="","",VLOOKUP($A350,Table,MATCH(AC$4,Curves,0)))</f>
        <v/>
      </c>
      <c r="AD350" s="185" t="str">
        <f aca="false">IF($A351="","",VLOOKUP($A350,Table,MATCH(AD$4,Curves,0)))</f>
        <v/>
      </c>
      <c r="AE350" s="185" t="e">
        <f aca="false">SQRT((AD350^2*(A350-$D$3)+AC350^2*(DAY(EOMONTH(A350,0))/2))/AK350)</f>
        <v>#VALUE!</v>
      </c>
      <c r="AF350" s="224" t="e">
        <f aca="false">((Summary!$N$10*(AA350*AD350)*(A350-$D$3))+(Summary!$M$10*Z350*AC350*(AJ350-EOMONTH(EDATE(A350,-1),0))))/(AK350*AB350*AE350)</f>
        <v>#VALUE!</v>
      </c>
      <c r="AG350" s="207" t="str">
        <f aca="false">IF($A351="","",Summary!$Q$10)</f>
        <v/>
      </c>
      <c r="AH350" s="207" t="str">
        <f aca="false">IF($A351="","",IF(Summary!$R$10="Y",(VLOOKUP($A350,Summary!$AD$6:$AF$9,3)+'Escalating commodity'!F363),'Escalating commodity'!F363))</f>
        <v/>
      </c>
      <c r="AI350" s="207" t="str">
        <f aca="false">IF($A351="","",AH350)</f>
        <v/>
      </c>
      <c r="AJ350" s="208" t="e">
        <f aca="false">A350+DAY(EOMONTH(A350,0))/2-1</f>
        <v>#VALUE!</v>
      </c>
      <c r="AK350" s="209" t="str">
        <f aca="false">IF($A351="","",$A350-$E$1)</f>
        <v/>
      </c>
      <c r="AL350" s="182" t="str">
        <f aca="false">IF($A351="","",SPRDOPT(P350,X350,AI350,0,AB350,AE350,AF350,AK350,$AJ$2,0))</f>
        <v/>
      </c>
      <c r="AM350" s="211" t="str">
        <f aca="false">IF($A351="","",MAX(0,O350-W350-AI350))</f>
        <v/>
      </c>
      <c r="AN350" s="211" t="str">
        <f aca="false">IF($A351="","",AL350-AM350)</f>
        <v/>
      </c>
      <c r="AO350" s="137" t="str">
        <f aca="false">IF(A351="","",A351-A350)</f>
        <v/>
      </c>
      <c r="AP350" s="212" t="str">
        <f aca="false">IF(A351="","",CHOOSE(F$3,A351+24,A350))</f>
        <v/>
      </c>
      <c r="AQ350" s="209" t="str">
        <f aca="false">IF(A351="","",AP350-$E$1)</f>
        <v/>
      </c>
      <c r="AR350" s="185" t="n">
        <f aca="false">'ANR OK vs ML7'!AR350</f>
        <v>0.1</v>
      </c>
      <c r="AS350" s="213" t="str">
        <f aca="false">IF(A351="","",1/(1+CHOOSE(F$3,(AR351+($I$3/10000))/2,(AR350+($I$3/10000))/2))^(2*AQ350/365.25))</f>
        <v/>
      </c>
      <c r="AT350" s="137" t="str">
        <f aca="false">IF(A351="","",IF(AND(mthbeg&lt;=A350,mthend&gt;=A350),1,0))</f>
        <v/>
      </c>
      <c r="AU350" s="137" t="str">
        <f aca="false">IF(A351="","",AO350*AT350)</f>
        <v/>
      </c>
      <c r="AW350" s="195" t="str">
        <f aca="false">IF($A351="","",AL350*$E350)</f>
        <v/>
      </c>
      <c r="AX350" s="195" t="str">
        <f aca="false">IF($A351="","",AM350*$E350)</f>
        <v/>
      </c>
      <c r="AY350" s="195" t="str">
        <f aca="false">IF($A351="","",AN350*$E350)</f>
        <v/>
      </c>
      <c r="BA350" s="195" t="str">
        <f aca="false">IF($A351="","",F350*Summary!$Q$10)</f>
        <v/>
      </c>
    </row>
    <row r="351" customFormat="false" ht="12" hidden="false" customHeight="true" outlineLevel="0" collapsed="false">
      <c r="A351" s="196" t="str">
        <f aca="false">IF(A350&lt;mthend,EDATE(A350,1),"")</f>
        <v/>
      </c>
      <c r="B351" s="197" t="str">
        <f aca="false">IF(A351&lt;mthend,B350,"")</f>
        <v/>
      </c>
      <c r="C351" s="215"/>
      <c r="D351" s="197" t="str">
        <f aca="false">IF(A352&lt;&gt;"",B351+C351,"")</f>
        <v/>
      </c>
      <c r="E351" s="199" t="str">
        <f aca="false">IF(A352="","",IF(AND(AT351=1,$H$3=1),D351*AO351,IF($H$3=2,D351,"N/A")))</f>
        <v/>
      </c>
      <c r="F351" s="199" t="str">
        <f aca="false">IF(A352="","",E351*AS351)</f>
        <v/>
      </c>
      <c r="G351" s="200" t="str">
        <f aca="false">IF($A352="","",VLOOKUP($A351,Table,MATCH(G$4,Curves,0)))</f>
        <v/>
      </c>
      <c r="H351" s="201" t="str">
        <f aca="false">IF(A352="","",G351)</f>
        <v/>
      </c>
      <c r="I351" s="202"/>
      <c r="J351" s="200" t="str">
        <f aca="false">IF($A352="","",VLOOKUP($A351,Table,MATCH(J$4,Curves,0)))</f>
        <v/>
      </c>
      <c r="K351" s="201" t="str">
        <f aca="false">IF(A352="","",J351)</f>
        <v/>
      </c>
      <c r="L351" s="185" t="n">
        <v>0</v>
      </c>
      <c r="M351" s="201" t="str">
        <f aca="false">IF(A352="","",L351)</f>
        <v/>
      </c>
      <c r="N351" s="203"/>
      <c r="O351" s="200" t="str">
        <f aca="false">IF(A352="","",L351+J351+G351)</f>
        <v/>
      </c>
      <c r="P351" s="200" t="str">
        <f aca="false">IF(A352="","",M351+K351+H351)</f>
        <v/>
      </c>
      <c r="Q351" s="204"/>
      <c r="R351" s="200" t="str">
        <f aca="false">IF($A352="","",VLOOKUP($A351,Table,MATCH(R$4,Curves,0)))</f>
        <v/>
      </c>
      <c r="S351" s="201" t="str">
        <f aca="false">IF(A352="","",R351)</f>
        <v/>
      </c>
      <c r="T351" s="200" t="str">
        <f aca="false">IF($A352="","",VLOOKUP($A351,Table,MATCH(T$4,Curves,0)))</f>
        <v/>
      </c>
      <c r="U351" s="201" t="str">
        <f aca="false">IF(A352="","",T351)</f>
        <v/>
      </c>
      <c r="V351" s="205" t="str">
        <f aca="false">IF($A352="","",IF(AND(MONTH(A351)&gt;3,MONTH(A351)&lt;11),(T351+R351+G351)*Summary!$T$10/(1-Summary!$T$10),(T351+R351+G351)*Summary!$U$10/(1-Summary!$U$10)))</f>
        <v/>
      </c>
      <c r="W351" s="200" t="str">
        <f aca="false">IF($A352="","",(T351+R351+G351+V351))</f>
        <v/>
      </c>
      <c r="X351" s="200" t="str">
        <f aca="false">IF($A352="","",(U351+S351+H351+V351))</f>
        <v/>
      </c>
      <c r="Y351" s="202"/>
      <c r="Z351" s="185" t="str">
        <f aca="false">IF($A352="","",VLOOKUP($A351,Table,MATCH(Z$4,Curves,0)))</f>
        <v/>
      </c>
      <c r="AA351" s="185" t="str">
        <f aca="false">IF($A352="","",VLOOKUP($A351,Table,MATCH(AA$4,Curves,0)))</f>
        <v/>
      </c>
      <c r="AB351" s="185" t="e">
        <f aca="false">SQRT((AA351^2*(A351-$D$3)+Z351^2*(DAY(EOMONTH(A351,0))/2))/AK351)</f>
        <v>#VALUE!</v>
      </c>
      <c r="AC351" s="185" t="str">
        <f aca="false">IF($A352="","",VLOOKUP($A351,Table,MATCH(AC$4,Curves,0)))</f>
        <v/>
      </c>
      <c r="AD351" s="185" t="str">
        <f aca="false">IF($A352="","",VLOOKUP($A351,Table,MATCH(AD$4,Curves,0)))</f>
        <v/>
      </c>
      <c r="AE351" s="185" t="e">
        <f aca="false">SQRT((AD351^2*(A351-$D$3)+AC351^2*(DAY(EOMONTH(A351,0))/2))/AK351)</f>
        <v>#VALUE!</v>
      </c>
      <c r="AF351" s="224" t="e">
        <f aca="false">((Summary!$N$10*(AA351*AD351)*(A351-$D$3))+(Summary!$M$10*Z351*AC351*(AJ351-EOMONTH(EDATE(A351,-1),0))))/(AK351*AB351*AE351)</f>
        <v>#VALUE!</v>
      </c>
      <c r="AG351" s="207" t="str">
        <f aca="false">IF($A352="","",Summary!$Q$10)</f>
        <v/>
      </c>
      <c r="AH351" s="207" t="str">
        <f aca="false">IF($A352="","",IF(Summary!$R$10="Y",(VLOOKUP($A351,Summary!$AD$6:$AF$9,3)+'Escalating commodity'!F364),'Escalating commodity'!F364))</f>
        <v/>
      </c>
      <c r="AI351" s="207" t="str">
        <f aca="false">IF($A352="","",AH351)</f>
        <v/>
      </c>
      <c r="AJ351" s="208" t="e">
        <f aca="false">A351+DAY(EOMONTH(A351,0))/2-1</f>
        <v>#VALUE!</v>
      </c>
      <c r="AK351" s="209" t="str">
        <f aca="false">IF($A352="","",$A351-$E$1)</f>
        <v/>
      </c>
      <c r="AL351" s="182" t="str">
        <f aca="false">IF($A352="","",SPRDOPT(P351,X351,AI351,0,AB351,AE351,AF351,AK351,$AJ$2,0))</f>
        <v/>
      </c>
      <c r="AM351" s="211" t="str">
        <f aca="false">IF($A352="","",MAX(0,O351-W351-AI351))</f>
        <v/>
      </c>
      <c r="AN351" s="211" t="str">
        <f aca="false">IF($A352="","",AL351-AM351)</f>
        <v/>
      </c>
      <c r="AO351" s="137" t="str">
        <f aca="false">IF(A352="","",A352-A351)</f>
        <v/>
      </c>
      <c r="AP351" s="212" t="str">
        <f aca="false">IF(A352="","",CHOOSE(F$3,A352+24,A351))</f>
        <v/>
      </c>
      <c r="AQ351" s="209" t="str">
        <f aca="false">IF(A352="","",AP351-$E$1)</f>
        <v/>
      </c>
      <c r="AR351" s="185" t="n">
        <f aca="false">'ANR OK vs ML7'!AR351</f>
        <v>0.1</v>
      </c>
      <c r="AS351" s="213" t="str">
        <f aca="false">IF(A352="","",1/(1+CHOOSE(F$3,(AR352+($I$3/10000))/2,(AR351+($I$3/10000))/2))^(2*AQ351/365.25))</f>
        <v/>
      </c>
      <c r="AT351" s="137" t="str">
        <f aca="false">IF(A352="","",IF(AND(mthbeg&lt;=A351,mthend&gt;=A351),1,0))</f>
        <v/>
      </c>
      <c r="AU351" s="137" t="str">
        <f aca="false">IF(A352="","",AO351*AT351)</f>
        <v/>
      </c>
      <c r="AW351" s="195" t="str">
        <f aca="false">IF($A352="","",AL351*$E351)</f>
        <v/>
      </c>
      <c r="AX351" s="195" t="str">
        <f aca="false">IF($A352="","",AM351*$E351)</f>
        <v/>
      </c>
      <c r="AY351" s="195" t="str">
        <f aca="false">IF($A352="","",AN351*$E351)</f>
        <v/>
      </c>
      <c r="BA351" s="195" t="str">
        <f aca="false">IF($A352="","",F351*Summary!$Q$10)</f>
        <v/>
      </c>
    </row>
    <row r="352" customFormat="false" ht="12" hidden="false" customHeight="true" outlineLevel="0" collapsed="false">
      <c r="A352" s="196" t="str">
        <f aca="false">IF(A351&lt;mthend,EDATE(A351,1),"")</f>
        <v/>
      </c>
      <c r="B352" s="197" t="str">
        <f aca="false">IF(A352&lt;mthend,B351,"")</f>
        <v/>
      </c>
      <c r="C352" s="215"/>
      <c r="D352" s="197" t="str">
        <f aca="false">IF(A353&lt;&gt;"",B352+C352,"")</f>
        <v/>
      </c>
      <c r="E352" s="199" t="str">
        <f aca="false">IF(A353="","",IF(AND(AT352=1,$H$3=1),D352*AO352,IF($H$3=2,D352,"N/A")))</f>
        <v/>
      </c>
      <c r="F352" s="199" t="str">
        <f aca="false">IF(A353="","",E352*AS352)</f>
        <v/>
      </c>
      <c r="G352" s="200" t="str">
        <f aca="false">IF($A353="","",VLOOKUP($A352,Table,MATCH(G$4,Curves,0)))</f>
        <v/>
      </c>
      <c r="H352" s="201" t="str">
        <f aca="false">IF(A353="","",G352)</f>
        <v/>
      </c>
      <c r="I352" s="202"/>
      <c r="J352" s="200" t="str">
        <f aca="false">IF($A353="","",VLOOKUP($A352,Table,MATCH(J$4,Curves,0)))</f>
        <v/>
      </c>
      <c r="K352" s="201" t="str">
        <f aca="false">IF(A353="","",J352)</f>
        <v/>
      </c>
      <c r="L352" s="185" t="n">
        <v>0</v>
      </c>
      <c r="M352" s="201" t="str">
        <f aca="false">IF(A353="","",L352)</f>
        <v/>
      </c>
      <c r="N352" s="203"/>
      <c r="O352" s="200" t="str">
        <f aca="false">IF(A353="","",L352+J352+G352)</f>
        <v/>
      </c>
      <c r="P352" s="200" t="str">
        <f aca="false">IF(A353="","",M352+K352+H352)</f>
        <v/>
      </c>
      <c r="Q352" s="204"/>
      <c r="R352" s="200" t="str">
        <f aca="false">IF($A353="","",VLOOKUP($A352,Table,MATCH(R$4,Curves,0)))</f>
        <v/>
      </c>
      <c r="S352" s="201" t="str">
        <f aca="false">IF(A353="","",R352)</f>
        <v/>
      </c>
      <c r="T352" s="200" t="str">
        <f aca="false">IF($A353="","",VLOOKUP($A352,Table,MATCH(T$4,Curves,0)))</f>
        <v/>
      </c>
      <c r="U352" s="201" t="str">
        <f aca="false">IF(A353="","",T352)</f>
        <v/>
      </c>
      <c r="V352" s="205" t="str">
        <f aca="false">IF($A353="","",IF(AND(MONTH(A352)&gt;3,MONTH(A352)&lt;11),(T352+R352+G352)*Summary!$T$10/(1-Summary!$T$10),(T352+R352+G352)*Summary!$U$10/(1-Summary!$U$10)))</f>
        <v/>
      </c>
      <c r="W352" s="200" t="str">
        <f aca="false">IF($A353="","",(T352+R352+G352+V352))</f>
        <v/>
      </c>
      <c r="X352" s="200" t="str">
        <f aca="false">IF($A353="","",(U352+S352+H352+V352))</f>
        <v/>
      </c>
      <c r="Y352" s="202"/>
      <c r="Z352" s="185" t="str">
        <f aca="false">IF($A353="","",VLOOKUP($A352,Table,MATCH(Z$4,Curves,0)))</f>
        <v/>
      </c>
      <c r="AA352" s="185" t="str">
        <f aca="false">IF($A353="","",VLOOKUP($A352,Table,MATCH(AA$4,Curves,0)))</f>
        <v/>
      </c>
      <c r="AB352" s="185" t="e">
        <f aca="false">SQRT((AA352^2*(A352-$D$3)+Z352^2*(DAY(EOMONTH(A352,0))/2))/AK352)</f>
        <v>#VALUE!</v>
      </c>
      <c r="AC352" s="185" t="str">
        <f aca="false">IF($A353="","",VLOOKUP($A352,Table,MATCH(AC$4,Curves,0)))</f>
        <v/>
      </c>
      <c r="AD352" s="185" t="str">
        <f aca="false">IF($A353="","",VLOOKUP($A352,Table,MATCH(AD$4,Curves,0)))</f>
        <v/>
      </c>
      <c r="AE352" s="185" t="e">
        <f aca="false">SQRT((AD352^2*(A352-$D$3)+AC352^2*(DAY(EOMONTH(A352,0))/2))/AK352)</f>
        <v>#VALUE!</v>
      </c>
      <c r="AF352" s="224" t="e">
        <f aca="false">((Summary!$N$10*(AA352*AD352)*(A352-$D$3))+(Summary!$M$10*Z352*AC352*(AJ352-EOMONTH(EDATE(A352,-1),0))))/(AK352*AB352*AE352)</f>
        <v>#VALUE!</v>
      </c>
      <c r="AG352" s="207" t="str">
        <f aca="false">IF($A353="","",Summary!$Q$10)</f>
        <v/>
      </c>
      <c r="AH352" s="207" t="str">
        <f aca="false">IF($A353="","",IF(Summary!$R$10="Y",(VLOOKUP($A352,Summary!$AD$6:$AF$9,3)+'Escalating commodity'!F365),'Escalating commodity'!F365))</f>
        <v/>
      </c>
      <c r="AI352" s="207" t="str">
        <f aca="false">IF($A353="","",AH352)</f>
        <v/>
      </c>
      <c r="AJ352" s="208" t="e">
        <f aca="false">A352+DAY(EOMONTH(A352,0))/2-1</f>
        <v>#VALUE!</v>
      </c>
      <c r="AK352" s="209" t="str">
        <f aca="false">IF($A353="","",$A352-$E$1)</f>
        <v/>
      </c>
      <c r="AL352" s="182" t="str">
        <f aca="false">IF($A353="","",SPRDOPT(P352,X352,AI352,0,AB352,AE352,AF352,AK352,$AJ$2,0))</f>
        <v/>
      </c>
      <c r="AM352" s="211" t="str">
        <f aca="false">IF($A353="","",MAX(0,O352-W352-AI352))</f>
        <v/>
      </c>
      <c r="AN352" s="211" t="str">
        <f aca="false">IF($A353="","",AL352-AM352)</f>
        <v/>
      </c>
      <c r="AO352" s="137" t="str">
        <f aca="false">IF(A353="","",A353-A352)</f>
        <v/>
      </c>
      <c r="AP352" s="212" t="str">
        <f aca="false">IF(A353="","",CHOOSE(F$3,A353+24,A352))</f>
        <v/>
      </c>
      <c r="AQ352" s="209" t="str">
        <f aca="false">IF(A353="","",AP352-$E$1)</f>
        <v/>
      </c>
      <c r="AR352" s="185" t="n">
        <f aca="false">'ANR OK vs ML7'!AR352</f>
        <v>0.1</v>
      </c>
      <c r="AS352" s="213" t="str">
        <f aca="false">IF(A353="","",1/(1+CHOOSE(F$3,(AR353+($I$3/10000))/2,(AR352+($I$3/10000))/2))^(2*AQ352/365.25))</f>
        <v/>
      </c>
      <c r="AT352" s="137" t="str">
        <f aca="false">IF(A353="","",IF(AND(mthbeg&lt;=A352,mthend&gt;=A352),1,0))</f>
        <v/>
      </c>
      <c r="AU352" s="137" t="str">
        <f aca="false">IF(A353="","",AO352*AT352)</f>
        <v/>
      </c>
      <c r="AW352" s="195" t="str">
        <f aca="false">IF($A353="","",AL352*$E352)</f>
        <v/>
      </c>
      <c r="AX352" s="195" t="str">
        <f aca="false">IF($A353="","",AM352*$E352)</f>
        <v/>
      </c>
      <c r="AY352" s="195" t="str">
        <f aca="false">IF($A353="","",AN352*$E352)</f>
        <v/>
      </c>
      <c r="BA352" s="195" t="str">
        <f aca="false">IF($A353="","",F352*Summary!$Q$10)</f>
        <v/>
      </c>
    </row>
    <row r="353" customFormat="false" ht="12" hidden="false" customHeight="true" outlineLevel="0" collapsed="false">
      <c r="A353" s="196" t="str">
        <f aca="false">IF(A352&lt;mthend,EDATE(A352,1),"")</f>
        <v/>
      </c>
      <c r="B353" s="197" t="str">
        <f aca="false">IF(A353&lt;mthend,B352,"")</f>
        <v/>
      </c>
      <c r="C353" s="215"/>
      <c r="D353" s="197" t="str">
        <f aca="false">IF(A354&lt;&gt;"",B353+C353,"")</f>
        <v/>
      </c>
      <c r="E353" s="199" t="str">
        <f aca="false">IF(A354="","",IF(AND(AT353=1,$H$3=1),D353*AO353,IF($H$3=2,D353,"N/A")))</f>
        <v/>
      </c>
      <c r="F353" s="199" t="str">
        <f aca="false">IF(A354="","",E353*AS353)</f>
        <v/>
      </c>
      <c r="G353" s="200" t="str">
        <f aca="false">IF($A354="","",VLOOKUP($A353,Table,MATCH(G$4,Curves,0)))</f>
        <v/>
      </c>
      <c r="H353" s="201" t="str">
        <f aca="false">IF(A354="","",G353)</f>
        <v/>
      </c>
      <c r="I353" s="202"/>
      <c r="J353" s="200" t="str">
        <f aca="false">IF($A354="","",VLOOKUP($A353,Table,MATCH(J$4,Curves,0)))</f>
        <v/>
      </c>
      <c r="K353" s="201" t="str">
        <f aca="false">IF(A354="","",J353)</f>
        <v/>
      </c>
      <c r="L353" s="185" t="n">
        <v>0</v>
      </c>
      <c r="M353" s="201" t="str">
        <f aca="false">IF(A354="","",L353)</f>
        <v/>
      </c>
      <c r="N353" s="203"/>
      <c r="O353" s="200" t="str">
        <f aca="false">IF(A354="","",L353+J353+G353)</f>
        <v/>
      </c>
      <c r="P353" s="200" t="str">
        <f aca="false">IF(A354="","",M353+K353+H353)</f>
        <v/>
      </c>
      <c r="Q353" s="204"/>
      <c r="R353" s="200" t="str">
        <f aca="false">IF($A354="","",VLOOKUP($A353,Table,MATCH(R$4,Curves,0)))</f>
        <v/>
      </c>
      <c r="S353" s="201" t="str">
        <f aca="false">IF(A354="","",R353)</f>
        <v/>
      </c>
      <c r="T353" s="200" t="str">
        <f aca="false">IF($A354="","",VLOOKUP($A353,Table,MATCH(T$4,Curves,0)))</f>
        <v/>
      </c>
      <c r="U353" s="201" t="str">
        <f aca="false">IF(A354="","",T353)</f>
        <v/>
      </c>
      <c r="V353" s="205" t="str">
        <f aca="false">IF($A354="","",IF(AND(MONTH(A353)&gt;3,MONTH(A353)&lt;11),(T353+R353+G353)*Summary!$T$10/(1-Summary!$T$10),(T353+R353+G353)*Summary!$U$10/(1-Summary!$U$10)))</f>
        <v/>
      </c>
      <c r="W353" s="200" t="str">
        <f aca="false">IF($A354="","",(T353+R353+G353+V353))</f>
        <v/>
      </c>
      <c r="X353" s="200" t="str">
        <f aca="false">IF($A354="","",(U353+S353+H353+V353))</f>
        <v/>
      </c>
      <c r="Y353" s="202"/>
      <c r="Z353" s="185" t="str">
        <f aca="false">IF($A354="","",VLOOKUP($A353,Table,MATCH(Z$4,Curves,0)))</f>
        <v/>
      </c>
      <c r="AA353" s="185" t="str">
        <f aca="false">IF($A354="","",VLOOKUP($A353,Table,MATCH(AA$4,Curves,0)))</f>
        <v/>
      </c>
      <c r="AB353" s="185" t="e">
        <f aca="false">SQRT((AA353^2*(A353-$D$3)+Z353^2*(DAY(EOMONTH(A353,0))/2))/AK353)</f>
        <v>#VALUE!</v>
      </c>
      <c r="AC353" s="185" t="str">
        <f aca="false">IF($A354="","",VLOOKUP($A353,Table,MATCH(AC$4,Curves,0)))</f>
        <v/>
      </c>
      <c r="AD353" s="185" t="str">
        <f aca="false">IF($A354="","",VLOOKUP($A353,Table,MATCH(AD$4,Curves,0)))</f>
        <v/>
      </c>
      <c r="AE353" s="185" t="e">
        <f aca="false">SQRT((AD353^2*(A353-$D$3)+AC353^2*(DAY(EOMONTH(A353,0))/2))/AK353)</f>
        <v>#VALUE!</v>
      </c>
      <c r="AF353" s="224" t="e">
        <f aca="false">((Summary!$N$10*(AA353*AD353)*(A353-$D$3))+(Summary!$M$10*Z353*AC353*(AJ353-EOMONTH(EDATE(A353,-1),0))))/(AK353*AB353*AE353)</f>
        <v>#VALUE!</v>
      </c>
      <c r="AG353" s="207" t="str">
        <f aca="false">IF($A354="","",Summary!$Q$10)</f>
        <v/>
      </c>
      <c r="AH353" s="207" t="str">
        <f aca="false">IF($A354="","",IF(Summary!$R$10="Y",(VLOOKUP($A353,Summary!$AD$6:$AF$9,3)+'Escalating commodity'!F366),'Escalating commodity'!F366))</f>
        <v/>
      </c>
      <c r="AI353" s="207" t="str">
        <f aca="false">IF($A354="","",AH353)</f>
        <v/>
      </c>
      <c r="AJ353" s="208" t="e">
        <f aca="false">A353+DAY(EOMONTH(A353,0))/2-1</f>
        <v>#VALUE!</v>
      </c>
      <c r="AK353" s="209" t="str">
        <f aca="false">IF($A354="","",$A353-$E$1)</f>
        <v/>
      </c>
      <c r="AL353" s="182" t="str">
        <f aca="false">IF($A354="","",SPRDOPT(P353,X353,AI353,0,AB353,AE353,AF353,AK353,$AJ$2,0))</f>
        <v/>
      </c>
      <c r="AM353" s="211" t="str">
        <f aca="false">IF($A354="","",MAX(0,O353-W353-AI353))</f>
        <v/>
      </c>
      <c r="AN353" s="211" t="str">
        <f aca="false">IF($A354="","",AL353-AM353)</f>
        <v/>
      </c>
      <c r="AO353" s="137" t="str">
        <f aca="false">IF(A354="","",A354-A353)</f>
        <v/>
      </c>
      <c r="AP353" s="212" t="str">
        <f aca="false">IF(A354="","",CHOOSE(F$3,A354+24,A353))</f>
        <v/>
      </c>
      <c r="AQ353" s="209" t="str">
        <f aca="false">IF(A354="","",AP353-$E$1)</f>
        <v/>
      </c>
      <c r="AR353" s="185" t="n">
        <f aca="false">'ANR OK vs ML7'!AR353</f>
        <v>0.1</v>
      </c>
      <c r="AS353" s="213" t="str">
        <f aca="false">IF(A354="","",1/(1+CHOOSE(F$3,(AR354+($I$3/10000))/2,(AR353+($I$3/10000))/2))^(2*AQ353/365.25))</f>
        <v/>
      </c>
      <c r="AT353" s="137" t="str">
        <f aca="false">IF(A354="","",IF(AND(mthbeg&lt;=A353,mthend&gt;=A353),1,0))</f>
        <v/>
      </c>
      <c r="AU353" s="137" t="str">
        <f aca="false">IF(A354="","",AO353*AT353)</f>
        <v/>
      </c>
      <c r="AW353" s="195" t="str">
        <f aca="false">IF($A354="","",AL353*$E353)</f>
        <v/>
      </c>
      <c r="AX353" s="195" t="str">
        <f aca="false">IF($A354="","",AM353*$E353)</f>
        <v/>
      </c>
      <c r="AY353" s="195" t="str">
        <f aca="false">IF($A354="","",AN353*$E353)</f>
        <v/>
      </c>
      <c r="BA353" s="195" t="str">
        <f aca="false">IF($A354="","",F353*Summary!$Q$10)</f>
        <v/>
      </c>
    </row>
    <row r="354" customFormat="false" ht="12" hidden="false" customHeight="true" outlineLevel="0" collapsed="false">
      <c r="A354" s="196" t="str">
        <f aca="false">IF(A353&lt;mthend,EDATE(A353,1),"")</f>
        <v/>
      </c>
      <c r="B354" s="197" t="str">
        <f aca="false">IF(A354&lt;mthend,B353,"")</f>
        <v/>
      </c>
      <c r="C354" s="215"/>
      <c r="D354" s="197" t="str">
        <f aca="false">IF(A355&lt;&gt;"",B354+C354,"")</f>
        <v/>
      </c>
      <c r="E354" s="199" t="str">
        <f aca="false">IF(A355="","",IF(AND(AT354=1,$H$3=1),D354*AO354,IF($H$3=2,D354,"N/A")))</f>
        <v/>
      </c>
      <c r="F354" s="199" t="str">
        <f aca="false">IF(A355="","",E354*AS354)</f>
        <v/>
      </c>
      <c r="G354" s="200" t="str">
        <f aca="false">IF($A355="","",VLOOKUP($A354,Table,MATCH(G$4,Curves,0)))</f>
        <v/>
      </c>
      <c r="H354" s="201" t="str">
        <f aca="false">IF(A355="","",G354)</f>
        <v/>
      </c>
      <c r="I354" s="202"/>
      <c r="J354" s="200" t="str">
        <f aca="false">IF($A355="","",VLOOKUP($A354,Table,MATCH(J$4,Curves,0)))</f>
        <v/>
      </c>
      <c r="K354" s="201" t="str">
        <f aca="false">IF(A355="","",J354)</f>
        <v/>
      </c>
      <c r="L354" s="185" t="n">
        <v>0</v>
      </c>
      <c r="M354" s="201" t="str">
        <f aca="false">IF(A355="","",L354)</f>
        <v/>
      </c>
      <c r="N354" s="203"/>
      <c r="O354" s="200" t="str">
        <f aca="false">IF(A355="","",L354+J354+G354)</f>
        <v/>
      </c>
      <c r="P354" s="200" t="str">
        <f aca="false">IF(A355="","",M354+K354+H354)</f>
        <v/>
      </c>
      <c r="Q354" s="204"/>
      <c r="R354" s="200" t="str">
        <f aca="false">IF($A355="","",VLOOKUP($A354,Table,MATCH(R$4,Curves,0)))</f>
        <v/>
      </c>
      <c r="S354" s="201" t="str">
        <f aca="false">IF(A355="","",R354)</f>
        <v/>
      </c>
      <c r="T354" s="200" t="str">
        <f aca="false">IF($A355="","",VLOOKUP($A354,Table,MATCH(T$4,Curves,0)))</f>
        <v/>
      </c>
      <c r="U354" s="201" t="str">
        <f aca="false">IF(A355="","",T354)</f>
        <v/>
      </c>
      <c r="V354" s="205" t="str">
        <f aca="false">IF($A355="","",IF(AND(MONTH(A354)&gt;3,MONTH(A354)&lt;11),(T354+R354+G354)*Summary!$T$10/(1-Summary!$T$10),(T354+R354+G354)*Summary!$U$10/(1-Summary!$U$10)))</f>
        <v/>
      </c>
      <c r="W354" s="200" t="str">
        <f aca="false">IF($A355="","",(T354+R354+G354+V354))</f>
        <v/>
      </c>
      <c r="X354" s="200" t="str">
        <f aca="false">IF($A355="","",(U354+S354+H354+V354))</f>
        <v/>
      </c>
      <c r="Y354" s="202"/>
      <c r="Z354" s="185" t="str">
        <f aca="false">IF($A355="","",VLOOKUP($A354,Table,MATCH(Z$4,Curves,0)))</f>
        <v/>
      </c>
      <c r="AA354" s="185" t="str">
        <f aca="false">IF($A355="","",VLOOKUP($A354,Table,MATCH(AA$4,Curves,0)))</f>
        <v/>
      </c>
      <c r="AB354" s="185" t="e">
        <f aca="false">SQRT((AA354^2*(A354-$D$3)+Z354^2*(DAY(EOMONTH(A354,0))/2))/AK354)</f>
        <v>#VALUE!</v>
      </c>
      <c r="AC354" s="185" t="str">
        <f aca="false">IF($A355="","",VLOOKUP($A354,Table,MATCH(AC$4,Curves,0)))</f>
        <v/>
      </c>
      <c r="AD354" s="185" t="str">
        <f aca="false">IF($A355="","",VLOOKUP($A354,Table,MATCH(AD$4,Curves,0)))</f>
        <v/>
      </c>
      <c r="AE354" s="185" t="e">
        <f aca="false">SQRT((AD354^2*(A354-$D$3)+AC354^2*(DAY(EOMONTH(A354,0))/2))/AK354)</f>
        <v>#VALUE!</v>
      </c>
      <c r="AF354" s="224" t="e">
        <f aca="false">((Summary!$N$10*(AA354*AD354)*(A354-$D$3))+(Summary!$M$10*Z354*AC354*(AJ354-EOMONTH(EDATE(A354,-1),0))))/(AK354*AB354*AE354)</f>
        <v>#VALUE!</v>
      </c>
      <c r="AG354" s="207" t="str">
        <f aca="false">IF($A355="","",Summary!$Q$10)</f>
        <v/>
      </c>
      <c r="AH354" s="207" t="str">
        <f aca="false">IF($A355="","",IF(Summary!$R$10="Y",(VLOOKUP($A354,Summary!$AD$6:$AF$9,3)+'Escalating commodity'!F367),'Escalating commodity'!F367))</f>
        <v/>
      </c>
      <c r="AI354" s="207" t="str">
        <f aca="false">IF($A355="","",AH354)</f>
        <v/>
      </c>
      <c r="AJ354" s="208" t="e">
        <f aca="false">A354+DAY(EOMONTH(A354,0))/2-1</f>
        <v>#VALUE!</v>
      </c>
      <c r="AK354" s="209" t="str">
        <f aca="false">IF($A355="","",$A354-$E$1)</f>
        <v/>
      </c>
      <c r="AL354" s="182" t="str">
        <f aca="false">IF($A355="","",SPRDOPT(P354,X354,AI354,0,AB354,AE354,AF354,AK354,$AJ$2,0))</f>
        <v/>
      </c>
      <c r="AM354" s="211" t="str">
        <f aca="false">IF($A355="","",MAX(0,O354-W354-AI354))</f>
        <v/>
      </c>
      <c r="AN354" s="211" t="str">
        <f aca="false">IF($A355="","",AL354-AM354)</f>
        <v/>
      </c>
      <c r="AO354" s="137" t="str">
        <f aca="false">IF(A355="","",A355-A354)</f>
        <v/>
      </c>
      <c r="AP354" s="212" t="str">
        <f aca="false">IF(A355="","",CHOOSE(F$3,A355+24,A354))</f>
        <v/>
      </c>
      <c r="AQ354" s="209" t="str">
        <f aca="false">IF(A355="","",AP354-$E$1)</f>
        <v/>
      </c>
      <c r="AR354" s="185" t="n">
        <f aca="false">'ANR OK vs ML7'!AR354</f>
        <v>0.1</v>
      </c>
      <c r="AS354" s="213" t="str">
        <f aca="false">IF(A355="","",1/(1+CHOOSE(F$3,(AR355+($I$3/10000))/2,(AR354+($I$3/10000))/2))^(2*AQ354/365.25))</f>
        <v/>
      </c>
      <c r="AT354" s="137" t="str">
        <f aca="false">IF(A355="","",IF(AND(mthbeg&lt;=A354,mthend&gt;=A354),1,0))</f>
        <v/>
      </c>
      <c r="AU354" s="137" t="str">
        <f aca="false">IF(A355="","",AO354*AT354)</f>
        <v/>
      </c>
      <c r="AW354" s="195" t="str">
        <f aca="false">IF($A355="","",AL354*$E354)</f>
        <v/>
      </c>
      <c r="AX354" s="195" t="str">
        <f aca="false">IF($A355="","",AM354*$E354)</f>
        <v/>
      </c>
      <c r="AY354" s="195" t="str">
        <f aca="false">IF($A355="","",AN354*$E354)</f>
        <v/>
      </c>
      <c r="BA354" s="195" t="str">
        <f aca="false">IF($A355="","",F354*Summary!$Q$10)</f>
        <v/>
      </c>
    </row>
    <row r="355" customFormat="false" ht="12" hidden="false" customHeight="true" outlineLevel="0" collapsed="false">
      <c r="A355" s="196" t="str">
        <f aca="false">IF(A354&lt;mthend,EDATE(A354,1),"")</f>
        <v/>
      </c>
      <c r="B355" s="197" t="str">
        <f aca="false">IF(A355&lt;mthend,B354,"")</f>
        <v/>
      </c>
      <c r="C355" s="215"/>
      <c r="D355" s="197" t="str">
        <f aca="false">IF(A356&lt;&gt;"",B355+C355,"")</f>
        <v/>
      </c>
      <c r="E355" s="199" t="str">
        <f aca="false">IF(A356="","",IF(AND(AT355=1,$H$3=1),D355*AO355,IF($H$3=2,D355,"N/A")))</f>
        <v/>
      </c>
      <c r="F355" s="199" t="str">
        <f aca="false">IF(A356="","",E355*AS355)</f>
        <v/>
      </c>
      <c r="G355" s="200" t="str">
        <f aca="false">IF($A356="","",VLOOKUP($A355,Table,MATCH(G$4,Curves,0)))</f>
        <v/>
      </c>
      <c r="H355" s="201" t="str">
        <f aca="false">IF(A356="","",G355)</f>
        <v/>
      </c>
      <c r="I355" s="202"/>
      <c r="J355" s="200" t="str">
        <f aca="false">IF($A356="","",VLOOKUP($A355,Table,MATCH(J$4,Curves,0)))</f>
        <v/>
      </c>
      <c r="K355" s="201" t="str">
        <f aca="false">IF(A356="","",J355)</f>
        <v/>
      </c>
      <c r="L355" s="185" t="n">
        <v>0</v>
      </c>
      <c r="M355" s="201" t="str">
        <f aca="false">IF(A356="","",L355)</f>
        <v/>
      </c>
      <c r="N355" s="203"/>
      <c r="O355" s="200" t="str">
        <f aca="false">IF(A356="","",L355+J355+G355)</f>
        <v/>
      </c>
      <c r="P355" s="200" t="str">
        <f aca="false">IF(A356="","",M355+K355+H355)</f>
        <v/>
      </c>
      <c r="Q355" s="204"/>
      <c r="R355" s="200" t="str">
        <f aca="false">IF($A356="","",VLOOKUP($A355,Table,MATCH(R$4,Curves,0)))</f>
        <v/>
      </c>
      <c r="S355" s="201" t="str">
        <f aca="false">IF(A356="","",R355)</f>
        <v/>
      </c>
      <c r="T355" s="200" t="str">
        <f aca="false">IF($A356="","",VLOOKUP($A355,Table,MATCH(T$4,Curves,0)))</f>
        <v/>
      </c>
      <c r="U355" s="201" t="str">
        <f aca="false">IF(A356="","",T355)</f>
        <v/>
      </c>
      <c r="V355" s="205" t="str">
        <f aca="false">IF($A356="","",IF(AND(MONTH(A355)&gt;3,MONTH(A355)&lt;11),(T355+R355+G355)*Summary!$T$10/(1-Summary!$T$10),(T355+R355+G355)*Summary!$U$10/(1-Summary!$U$10)))</f>
        <v/>
      </c>
      <c r="W355" s="200" t="str">
        <f aca="false">IF($A356="","",(T355+R355+G355+V355))</f>
        <v/>
      </c>
      <c r="X355" s="200" t="str">
        <f aca="false">IF($A356="","",(U355+S355+H355+V355))</f>
        <v/>
      </c>
      <c r="Y355" s="202"/>
      <c r="Z355" s="185" t="str">
        <f aca="false">IF($A356="","",VLOOKUP($A355,Table,MATCH(Z$4,Curves,0)))</f>
        <v/>
      </c>
      <c r="AA355" s="185" t="str">
        <f aca="false">IF($A356="","",VLOOKUP($A355,Table,MATCH(AA$4,Curves,0)))</f>
        <v/>
      </c>
      <c r="AB355" s="185" t="e">
        <f aca="false">SQRT((AA355^2*(A355-$D$3)+Z355^2*(DAY(EOMONTH(A355,0))/2))/AK355)</f>
        <v>#VALUE!</v>
      </c>
      <c r="AC355" s="185" t="str">
        <f aca="false">IF($A356="","",VLOOKUP($A355,Table,MATCH(AC$4,Curves,0)))</f>
        <v/>
      </c>
      <c r="AD355" s="185" t="str">
        <f aca="false">IF($A356="","",VLOOKUP($A355,Table,MATCH(AD$4,Curves,0)))</f>
        <v/>
      </c>
      <c r="AE355" s="185" t="e">
        <f aca="false">SQRT((AD355^2*(A355-$D$3)+AC355^2*(DAY(EOMONTH(A355,0))/2))/AK355)</f>
        <v>#VALUE!</v>
      </c>
      <c r="AF355" s="224" t="e">
        <f aca="false">((Summary!$N$10*(AA355*AD355)*(A355-$D$3))+(Summary!$M$10*Z355*AC355*(AJ355-EOMONTH(EDATE(A355,-1),0))))/(AK355*AB355*AE355)</f>
        <v>#VALUE!</v>
      </c>
      <c r="AG355" s="207" t="str">
        <f aca="false">IF($A356="","",Summary!$Q$10)</f>
        <v/>
      </c>
      <c r="AH355" s="207" t="str">
        <f aca="false">IF($A356="","",IF(Summary!$R$10="Y",(VLOOKUP($A355,Summary!$AD$6:$AF$9,3)+'Escalating commodity'!F368),'Escalating commodity'!F368))</f>
        <v/>
      </c>
      <c r="AI355" s="207" t="str">
        <f aca="false">IF($A356="","",AH355)</f>
        <v/>
      </c>
      <c r="AJ355" s="208" t="e">
        <f aca="false">A355+DAY(EOMONTH(A355,0))/2-1</f>
        <v>#VALUE!</v>
      </c>
      <c r="AK355" s="209" t="str">
        <f aca="false">IF($A356="","",$A355-$E$1)</f>
        <v/>
      </c>
      <c r="AL355" s="182" t="str">
        <f aca="false">IF($A356="","",SPRDOPT(P355,X355,AI355,0,AB355,AE355,AF355,AK355,$AJ$2,0))</f>
        <v/>
      </c>
      <c r="AM355" s="211" t="str">
        <f aca="false">IF($A356="","",MAX(0,O355-W355-AI355))</f>
        <v/>
      </c>
      <c r="AN355" s="211" t="str">
        <f aca="false">IF($A356="","",AL355-AM355)</f>
        <v/>
      </c>
      <c r="AO355" s="137" t="str">
        <f aca="false">IF(A356="","",A356-A355)</f>
        <v/>
      </c>
      <c r="AP355" s="212" t="str">
        <f aca="false">IF(A356="","",CHOOSE(F$3,A356+24,A355))</f>
        <v/>
      </c>
      <c r="AQ355" s="209" t="str">
        <f aca="false">IF(A356="","",AP355-$E$1)</f>
        <v/>
      </c>
      <c r="AR355" s="185" t="n">
        <f aca="false">'ANR OK vs ML7'!AR355</f>
        <v>0.1</v>
      </c>
      <c r="AS355" s="213" t="str">
        <f aca="false">IF(A356="","",1/(1+CHOOSE(F$3,(AR356+($I$3/10000))/2,(AR355+($I$3/10000))/2))^(2*AQ355/365.25))</f>
        <v/>
      </c>
      <c r="AT355" s="137" t="str">
        <f aca="false">IF(A356="","",IF(AND(mthbeg&lt;=A355,mthend&gt;=A355),1,0))</f>
        <v/>
      </c>
      <c r="AU355" s="137" t="str">
        <f aca="false">IF(A356="","",AO355*AT355)</f>
        <v/>
      </c>
      <c r="AW355" s="195" t="str">
        <f aca="false">IF($A356="","",AL355*$E355)</f>
        <v/>
      </c>
      <c r="AX355" s="195" t="str">
        <f aca="false">IF($A356="","",AM355*$E355)</f>
        <v/>
      </c>
      <c r="AY355" s="195" t="str">
        <f aca="false">IF($A356="","",AN355*$E355)</f>
        <v/>
      </c>
      <c r="BA355" s="195" t="str">
        <f aca="false">IF($A356="","",F355*Summary!$Q$10)</f>
        <v/>
      </c>
    </row>
    <row r="356" customFormat="false" ht="12" hidden="false" customHeight="true" outlineLevel="0" collapsed="false">
      <c r="A356" s="196" t="str">
        <f aca="false">IF(A355&lt;mthend,EDATE(A355,1),"")</f>
        <v/>
      </c>
      <c r="B356" s="197" t="str">
        <f aca="false">IF(A356&lt;mthend,B355,"")</f>
        <v/>
      </c>
      <c r="C356" s="215"/>
      <c r="D356" s="197" t="str">
        <f aca="false">IF(A357&lt;&gt;"",B356+C356,"")</f>
        <v/>
      </c>
      <c r="E356" s="199" t="str">
        <f aca="false">IF(A357="","",IF(AND(AT356=1,$H$3=1),D356*AO356,IF($H$3=2,D356,"N/A")))</f>
        <v/>
      </c>
      <c r="F356" s="199" t="str">
        <f aca="false">IF(A357="","",E356*AS356)</f>
        <v/>
      </c>
      <c r="G356" s="200" t="str">
        <f aca="false">IF($A357="","",VLOOKUP($A356,Table,MATCH(G$4,Curves,0)))</f>
        <v/>
      </c>
      <c r="H356" s="201" t="str">
        <f aca="false">IF(A357="","",G356)</f>
        <v/>
      </c>
      <c r="I356" s="202"/>
      <c r="J356" s="200" t="str">
        <f aca="false">IF($A357="","",VLOOKUP($A356,Table,MATCH(J$4,Curves,0)))</f>
        <v/>
      </c>
      <c r="K356" s="201" t="str">
        <f aca="false">IF(A357="","",J356)</f>
        <v/>
      </c>
      <c r="L356" s="185" t="n">
        <v>0</v>
      </c>
      <c r="M356" s="201" t="str">
        <f aca="false">IF(A357="","",L356)</f>
        <v/>
      </c>
      <c r="N356" s="203"/>
      <c r="O356" s="200" t="str">
        <f aca="false">IF(A357="","",L356+J356+G356)</f>
        <v/>
      </c>
      <c r="P356" s="200" t="str">
        <f aca="false">IF(A357="","",M356+K356+H356)</f>
        <v/>
      </c>
      <c r="Q356" s="204"/>
      <c r="R356" s="200" t="str">
        <f aca="false">IF($A357="","",VLOOKUP($A356,Table,MATCH(R$4,Curves,0)))</f>
        <v/>
      </c>
      <c r="S356" s="201" t="str">
        <f aca="false">IF(A357="","",R356)</f>
        <v/>
      </c>
      <c r="T356" s="200" t="str">
        <f aca="false">IF($A357="","",VLOOKUP($A356,Table,MATCH(T$4,Curves,0)))</f>
        <v/>
      </c>
      <c r="U356" s="201" t="str">
        <f aca="false">IF(A357="","",T356)</f>
        <v/>
      </c>
      <c r="V356" s="205" t="str">
        <f aca="false">IF($A357="","",IF(AND(MONTH(A356)&gt;3,MONTH(A356)&lt;11),(T356+R356+G356)*Summary!$T$10/(1-Summary!$T$10),(T356+R356+G356)*Summary!$U$10/(1-Summary!$U$10)))</f>
        <v/>
      </c>
      <c r="W356" s="200" t="str">
        <f aca="false">IF($A357="","",(T356+R356+G356+V356))</f>
        <v/>
      </c>
      <c r="X356" s="200" t="str">
        <f aca="false">IF($A357="","",(U356+S356+H356+V356))</f>
        <v/>
      </c>
      <c r="Y356" s="202"/>
      <c r="Z356" s="185" t="str">
        <f aca="false">IF($A357="","",VLOOKUP($A356,Table,MATCH(Z$4,Curves,0)))</f>
        <v/>
      </c>
      <c r="AA356" s="185" t="str">
        <f aca="false">IF($A357="","",VLOOKUP($A356,Table,MATCH(AA$4,Curves,0)))</f>
        <v/>
      </c>
      <c r="AB356" s="185" t="e">
        <f aca="false">SQRT((AA356^2*(A356-$D$3)+Z356^2*(DAY(EOMONTH(A356,0))/2))/AK356)</f>
        <v>#VALUE!</v>
      </c>
      <c r="AC356" s="185" t="str">
        <f aca="false">IF($A357="","",VLOOKUP($A356,Table,MATCH(AC$4,Curves,0)))</f>
        <v/>
      </c>
      <c r="AD356" s="185" t="str">
        <f aca="false">IF($A357="","",VLOOKUP($A356,Table,MATCH(AD$4,Curves,0)))</f>
        <v/>
      </c>
      <c r="AE356" s="185" t="e">
        <f aca="false">SQRT((AD356^2*(A356-$D$3)+AC356^2*(DAY(EOMONTH(A356,0))/2))/AK356)</f>
        <v>#VALUE!</v>
      </c>
      <c r="AF356" s="224" t="e">
        <f aca="false">((Summary!$N$10*(AA356*AD356)*(A356-$D$3))+(Summary!$M$10*Z356*AC356*(AJ356-EOMONTH(EDATE(A356,-1),0))))/(AK356*AB356*AE356)</f>
        <v>#VALUE!</v>
      </c>
      <c r="AG356" s="207" t="str">
        <f aca="false">IF($A357="","",Summary!$Q$10)</f>
        <v/>
      </c>
      <c r="AH356" s="207" t="str">
        <f aca="false">IF($A357="","",IF(Summary!$R$10="Y",(VLOOKUP($A356,Summary!$AD$6:$AF$9,3)+'Escalating commodity'!F369),'Escalating commodity'!F369))</f>
        <v/>
      </c>
      <c r="AI356" s="207" t="str">
        <f aca="false">IF($A357="","",AH356)</f>
        <v/>
      </c>
      <c r="AJ356" s="208" t="e">
        <f aca="false">A356+DAY(EOMONTH(A356,0))/2-1</f>
        <v>#VALUE!</v>
      </c>
      <c r="AK356" s="209" t="str">
        <f aca="false">IF($A357="","",$A356-$E$1)</f>
        <v/>
      </c>
      <c r="AL356" s="182" t="str">
        <f aca="false">IF($A357="","",SPRDOPT(P356,X356,AI356,0,AB356,AE356,AF356,AK356,$AJ$2,0))</f>
        <v/>
      </c>
      <c r="AM356" s="211" t="str">
        <f aca="false">IF($A357="","",MAX(0,O356-W356-AI356))</f>
        <v/>
      </c>
      <c r="AN356" s="211" t="str">
        <f aca="false">IF($A357="","",AL356-AM356)</f>
        <v/>
      </c>
      <c r="AO356" s="137" t="str">
        <f aca="false">IF(A357="","",A357-A356)</f>
        <v/>
      </c>
      <c r="AP356" s="212" t="str">
        <f aca="false">IF(A357="","",CHOOSE(F$3,A357+24,A356))</f>
        <v/>
      </c>
      <c r="AQ356" s="209" t="str">
        <f aca="false">IF(A357="","",AP356-$E$1)</f>
        <v/>
      </c>
      <c r="AR356" s="185" t="n">
        <f aca="false">'ANR OK vs ML7'!AR356</f>
        <v>0.1</v>
      </c>
      <c r="AS356" s="213" t="str">
        <f aca="false">IF(A357="","",1/(1+CHOOSE(F$3,(AR357+($I$3/10000))/2,(AR356+($I$3/10000))/2))^(2*AQ356/365.25))</f>
        <v/>
      </c>
      <c r="AT356" s="137" t="str">
        <f aca="false">IF(A357="","",IF(AND(mthbeg&lt;=A356,mthend&gt;=A356),1,0))</f>
        <v/>
      </c>
      <c r="AU356" s="137" t="str">
        <f aca="false">IF(A357="","",AO356*AT356)</f>
        <v/>
      </c>
      <c r="AW356" s="195" t="str">
        <f aca="false">IF($A357="","",AL356*$E356)</f>
        <v/>
      </c>
      <c r="AX356" s="195" t="str">
        <f aca="false">IF($A357="","",AM356*$E356)</f>
        <v/>
      </c>
      <c r="AY356" s="195" t="str">
        <f aca="false">IF($A357="","",AN356*$E356)</f>
        <v/>
      </c>
      <c r="BA356" s="195" t="str">
        <f aca="false">IF($A357="","",F356*Summary!$Q$10)</f>
        <v/>
      </c>
    </row>
    <row r="357" customFormat="false" ht="12" hidden="false" customHeight="true" outlineLevel="0" collapsed="false">
      <c r="A357" s="196" t="str">
        <f aca="false">IF(A356&lt;mthend,EDATE(A356,1),"")</f>
        <v/>
      </c>
      <c r="B357" s="197" t="str">
        <f aca="false">IF(A357&lt;mthend,B356,"")</f>
        <v/>
      </c>
      <c r="C357" s="215"/>
      <c r="D357" s="197" t="str">
        <f aca="false">IF(A358&lt;&gt;"",B357+C357,"")</f>
        <v/>
      </c>
      <c r="E357" s="199" t="str">
        <f aca="false">IF(A358="","",IF(AND(AT357=1,$H$3=1),D357*AO357,IF($H$3=2,D357,"N/A")))</f>
        <v/>
      </c>
      <c r="F357" s="199" t="str">
        <f aca="false">IF(A358="","",E357*AS357)</f>
        <v/>
      </c>
      <c r="G357" s="200" t="str">
        <f aca="false">IF($A358="","",VLOOKUP($A357,Table,MATCH(G$4,Curves,0)))</f>
        <v/>
      </c>
      <c r="H357" s="201" t="str">
        <f aca="false">IF(A358="","",G357)</f>
        <v/>
      </c>
      <c r="I357" s="202"/>
      <c r="J357" s="200" t="str">
        <f aca="false">IF($A358="","",VLOOKUP($A357,Table,MATCH(J$4,Curves,0)))</f>
        <v/>
      </c>
      <c r="K357" s="201" t="str">
        <f aca="false">IF(A358="","",J357)</f>
        <v/>
      </c>
      <c r="L357" s="185" t="n">
        <v>0</v>
      </c>
      <c r="M357" s="201" t="str">
        <f aca="false">IF(A358="","",L357)</f>
        <v/>
      </c>
      <c r="N357" s="203"/>
      <c r="O357" s="200" t="str">
        <f aca="false">IF(A358="","",L357+J357+G357)</f>
        <v/>
      </c>
      <c r="P357" s="200" t="str">
        <f aca="false">IF(A358="","",M357+K357+H357)</f>
        <v/>
      </c>
      <c r="Q357" s="204"/>
      <c r="R357" s="200" t="str">
        <f aca="false">IF($A358="","",VLOOKUP($A357,Table,MATCH(R$4,Curves,0)))</f>
        <v/>
      </c>
      <c r="S357" s="201" t="str">
        <f aca="false">IF(A358="","",R357)</f>
        <v/>
      </c>
      <c r="T357" s="200" t="str">
        <f aca="false">IF($A358="","",VLOOKUP($A357,Table,MATCH(T$4,Curves,0)))</f>
        <v/>
      </c>
      <c r="U357" s="201" t="str">
        <f aca="false">IF(A358="","",T357)</f>
        <v/>
      </c>
      <c r="V357" s="205" t="str">
        <f aca="false">IF($A358="","",IF(AND(MONTH(A357)&gt;3,MONTH(A357)&lt;11),(T357+R357+G357)*Summary!$T$10/(1-Summary!$T$10),(T357+R357+G357)*Summary!$U$10/(1-Summary!$U$10)))</f>
        <v/>
      </c>
      <c r="W357" s="200" t="str">
        <f aca="false">IF($A358="","",(T357+R357+G357+V357))</f>
        <v/>
      </c>
      <c r="X357" s="200" t="str">
        <f aca="false">IF($A358="","",(U357+S357+H357+V357))</f>
        <v/>
      </c>
      <c r="Y357" s="202"/>
      <c r="Z357" s="185" t="str">
        <f aca="false">IF($A358="","",VLOOKUP($A357,Table,MATCH(Z$4,Curves,0)))</f>
        <v/>
      </c>
      <c r="AA357" s="185" t="str">
        <f aca="false">IF($A358="","",VLOOKUP($A357,Table,MATCH(AA$4,Curves,0)))</f>
        <v/>
      </c>
      <c r="AB357" s="185" t="e">
        <f aca="false">SQRT((AA357^2*(A357-$D$3)+Z357^2*(DAY(EOMONTH(A357,0))/2))/AK357)</f>
        <v>#VALUE!</v>
      </c>
      <c r="AC357" s="185" t="str">
        <f aca="false">IF($A358="","",VLOOKUP($A357,Table,MATCH(AC$4,Curves,0)))</f>
        <v/>
      </c>
      <c r="AD357" s="185" t="str">
        <f aca="false">IF($A358="","",VLOOKUP($A357,Table,MATCH(AD$4,Curves,0)))</f>
        <v/>
      </c>
      <c r="AE357" s="185" t="e">
        <f aca="false">SQRT((AD357^2*(A357-$D$3)+AC357^2*(DAY(EOMONTH(A357,0))/2))/AK357)</f>
        <v>#VALUE!</v>
      </c>
      <c r="AF357" s="224" t="e">
        <f aca="false">((Summary!$N$10*(AA357*AD357)*(A357-$D$3))+(Summary!$M$10*Z357*AC357*(AJ357-EOMONTH(EDATE(A357,-1),0))))/(AK357*AB357*AE357)</f>
        <v>#VALUE!</v>
      </c>
      <c r="AG357" s="207" t="str">
        <f aca="false">IF($A358="","",Summary!$Q$10)</f>
        <v/>
      </c>
      <c r="AH357" s="207" t="str">
        <f aca="false">IF($A358="","",IF(Summary!$R$10="Y",(VLOOKUP($A357,Summary!$AD$6:$AF$9,3)+'Escalating commodity'!F370),'Escalating commodity'!F370))</f>
        <v/>
      </c>
      <c r="AI357" s="207" t="str">
        <f aca="false">IF($A358="","",AH357)</f>
        <v/>
      </c>
      <c r="AJ357" s="208" t="e">
        <f aca="false">A357+DAY(EOMONTH(A357,0))/2-1</f>
        <v>#VALUE!</v>
      </c>
      <c r="AK357" s="209" t="str">
        <f aca="false">IF($A358="","",$A357-$E$1)</f>
        <v/>
      </c>
      <c r="AL357" s="182" t="str">
        <f aca="false">IF($A358="","",SPRDOPT(P357,X357,AI357,0,AB357,AE357,AF357,AK357,$AJ$2,0))</f>
        <v/>
      </c>
      <c r="AM357" s="211" t="str">
        <f aca="false">IF($A358="","",MAX(0,O357-W357-AI357))</f>
        <v/>
      </c>
      <c r="AN357" s="211" t="str">
        <f aca="false">IF($A358="","",AL357-AM357)</f>
        <v/>
      </c>
      <c r="AO357" s="137" t="str">
        <f aca="false">IF(A358="","",A358-A357)</f>
        <v/>
      </c>
      <c r="AP357" s="212" t="str">
        <f aca="false">IF(A358="","",CHOOSE(F$3,A358+24,A357))</f>
        <v/>
      </c>
      <c r="AQ357" s="209" t="str">
        <f aca="false">IF(A358="","",AP357-$E$1)</f>
        <v/>
      </c>
      <c r="AR357" s="185" t="n">
        <f aca="false">'ANR OK vs ML7'!AR357</f>
        <v>0.1</v>
      </c>
      <c r="AS357" s="213" t="str">
        <f aca="false">IF(A358="","",1/(1+CHOOSE(F$3,(AR358+($I$3/10000))/2,(AR357+($I$3/10000))/2))^(2*AQ357/365.25))</f>
        <v/>
      </c>
      <c r="AT357" s="137" t="str">
        <f aca="false">IF(A358="","",IF(AND(mthbeg&lt;=A357,mthend&gt;=A357),1,0))</f>
        <v/>
      </c>
      <c r="AU357" s="137" t="str">
        <f aca="false">IF(A358="","",AO357*AT357)</f>
        <v/>
      </c>
      <c r="AW357" s="195" t="str">
        <f aca="false">IF($A358="","",AL357*$E357)</f>
        <v/>
      </c>
      <c r="AX357" s="195" t="str">
        <f aca="false">IF($A358="","",AM357*$E357)</f>
        <v/>
      </c>
      <c r="AY357" s="195" t="str">
        <f aca="false">IF($A358="","",AN357*$E357)</f>
        <v/>
      </c>
      <c r="BA357" s="195" t="str">
        <f aca="false">IF($A358="","",F357*Summary!$Q$10)</f>
        <v/>
      </c>
    </row>
    <row r="358" customFormat="false" ht="12" hidden="false" customHeight="true" outlineLevel="0" collapsed="false">
      <c r="A358" s="196" t="str">
        <f aca="false">IF(A357&lt;mthend,EDATE(A357,1),"")</f>
        <v/>
      </c>
      <c r="B358" s="197" t="str">
        <f aca="false">IF(A358&lt;mthend,B357,"")</f>
        <v/>
      </c>
      <c r="C358" s="215"/>
      <c r="D358" s="197" t="str">
        <f aca="false">IF(A359&lt;&gt;"",B358+C358,"")</f>
        <v/>
      </c>
      <c r="E358" s="199" t="str">
        <f aca="false">IF(A359="","",IF(AND(AT358=1,$H$3=1),D358*AO358,IF($H$3=2,D358,"N/A")))</f>
        <v/>
      </c>
      <c r="F358" s="199" t="str">
        <f aca="false">IF(A359="","",E358*AS358)</f>
        <v/>
      </c>
      <c r="G358" s="200" t="str">
        <f aca="false">IF($A359="","",VLOOKUP($A358,Table,MATCH(G$4,Curves,0)))</f>
        <v/>
      </c>
      <c r="H358" s="201" t="str">
        <f aca="false">IF(A359="","",G358)</f>
        <v/>
      </c>
      <c r="I358" s="202"/>
      <c r="J358" s="200" t="str">
        <f aca="false">IF($A359="","",VLOOKUP($A358,Table,MATCH(J$4,Curves,0)))</f>
        <v/>
      </c>
      <c r="K358" s="201" t="str">
        <f aca="false">IF(A359="","",J358)</f>
        <v/>
      </c>
      <c r="L358" s="185" t="n">
        <v>0</v>
      </c>
      <c r="M358" s="201" t="str">
        <f aca="false">IF(A359="","",L358)</f>
        <v/>
      </c>
      <c r="N358" s="203"/>
      <c r="O358" s="200" t="str">
        <f aca="false">IF(A359="","",L358+J358+G358)</f>
        <v/>
      </c>
      <c r="P358" s="200" t="str">
        <f aca="false">IF(A359="","",M358+K358+H358)</f>
        <v/>
      </c>
      <c r="Q358" s="204"/>
      <c r="R358" s="200" t="str">
        <f aca="false">IF($A359="","",VLOOKUP($A358,Table,MATCH(R$4,Curves,0)))</f>
        <v/>
      </c>
      <c r="S358" s="201" t="str">
        <f aca="false">IF(A359="","",R358)</f>
        <v/>
      </c>
      <c r="T358" s="200" t="str">
        <f aca="false">IF($A359="","",VLOOKUP($A358,Table,MATCH(T$4,Curves,0)))</f>
        <v/>
      </c>
      <c r="U358" s="201" t="str">
        <f aca="false">IF(A359="","",T358)</f>
        <v/>
      </c>
      <c r="V358" s="205" t="str">
        <f aca="false">IF($A359="","",IF(AND(MONTH(A358)&gt;3,MONTH(A358)&lt;11),(T358+R358+G358)*Summary!$T$10/(1-Summary!$T$10),(T358+R358+G358)*Summary!$U$10/(1-Summary!$U$10)))</f>
        <v/>
      </c>
      <c r="W358" s="200" t="str">
        <f aca="false">IF($A359="","",(T358+R358+G358+V358))</f>
        <v/>
      </c>
      <c r="X358" s="200" t="str">
        <f aca="false">IF($A359="","",(U358+S358+H358+V358))</f>
        <v/>
      </c>
      <c r="Y358" s="202"/>
      <c r="Z358" s="185" t="str">
        <f aca="false">IF($A359="","",VLOOKUP($A358,Table,MATCH(Z$4,Curves,0)))</f>
        <v/>
      </c>
      <c r="AA358" s="185" t="str">
        <f aca="false">IF($A359="","",VLOOKUP($A358,Table,MATCH(AA$4,Curves,0)))</f>
        <v/>
      </c>
      <c r="AB358" s="185" t="e">
        <f aca="false">SQRT((AA358^2*(A358-$D$3)+Z358^2*(DAY(EOMONTH(A358,0))/2))/AK358)</f>
        <v>#VALUE!</v>
      </c>
      <c r="AC358" s="185" t="str">
        <f aca="false">IF($A359="","",VLOOKUP($A358,Table,MATCH(AC$4,Curves,0)))</f>
        <v/>
      </c>
      <c r="AD358" s="185" t="str">
        <f aca="false">IF($A359="","",VLOOKUP($A358,Table,MATCH(AD$4,Curves,0)))</f>
        <v/>
      </c>
      <c r="AE358" s="185" t="e">
        <f aca="false">SQRT((AD358^2*(A358-$D$3)+AC358^2*(DAY(EOMONTH(A358,0))/2))/AK358)</f>
        <v>#VALUE!</v>
      </c>
      <c r="AF358" s="224" t="e">
        <f aca="false">((Summary!$N$10*(AA358*AD358)*(A358-$D$3))+(Summary!$M$10*Z358*AC358*(AJ358-EOMONTH(EDATE(A358,-1),0))))/(AK358*AB358*AE358)</f>
        <v>#VALUE!</v>
      </c>
      <c r="AG358" s="207" t="str">
        <f aca="false">IF($A359="","",Summary!$Q$10)</f>
        <v/>
      </c>
      <c r="AH358" s="207" t="str">
        <f aca="false">IF($A359="","",IF(Summary!$R$10="Y",(VLOOKUP($A358,Summary!$AD$6:$AF$9,3)+'Escalating commodity'!F371),'Escalating commodity'!F371))</f>
        <v/>
      </c>
      <c r="AI358" s="207" t="str">
        <f aca="false">IF($A359="","",AH358)</f>
        <v/>
      </c>
      <c r="AJ358" s="208" t="e">
        <f aca="false">A358+DAY(EOMONTH(A358,0))/2-1</f>
        <v>#VALUE!</v>
      </c>
      <c r="AK358" s="209" t="str">
        <f aca="false">IF($A359="","",$A358-$E$1)</f>
        <v/>
      </c>
      <c r="AL358" s="182" t="str">
        <f aca="false">IF($A359="","",SPRDOPT(P358,X358,AI358,0,AB358,AE358,AF358,AK358,$AJ$2,0))</f>
        <v/>
      </c>
      <c r="AM358" s="211" t="str">
        <f aca="false">IF($A359="","",MAX(0,O358-W358-AI358))</f>
        <v/>
      </c>
      <c r="AN358" s="211" t="str">
        <f aca="false">IF($A359="","",AL358-AM358)</f>
        <v/>
      </c>
      <c r="AO358" s="137" t="str">
        <f aca="false">IF(A359="","",A359-A358)</f>
        <v/>
      </c>
      <c r="AP358" s="212" t="str">
        <f aca="false">IF(A359="","",CHOOSE(F$3,A359+24,A358))</f>
        <v/>
      </c>
      <c r="AQ358" s="209" t="str">
        <f aca="false">IF(A359="","",AP358-$E$1)</f>
        <v/>
      </c>
      <c r="AR358" s="185" t="n">
        <f aca="false">'ANR OK vs ML7'!AR358</f>
        <v>0.1</v>
      </c>
      <c r="AS358" s="213" t="str">
        <f aca="false">IF(A359="","",1/(1+CHOOSE(F$3,(AR359+($I$3/10000))/2,(AR358+($I$3/10000))/2))^(2*AQ358/365.25))</f>
        <v/>
      </c>
      <c r="AT358" s="137" t="str">
        <f aca="false">IF(A359="","",IF(AND(mthbeg&lt;=A358,mthend&gt;=A358),1,0))</f>
        <v/>
      </c>
      <c r="AU358" s="137" t="str">
        <f aca="false">IF(A359="","",AO358*AT358)</f>
        <v/>
      </c>
      <c r="AW358" s="195" t="str">
        <f aca="false">IF($A359="","",AL358*$E358)</f>
        <v/>
      </c>
      <c r="AX358" s="195" t="str">
        <f aca="false">IF($A359="","",AM358*$E358)</f>
        <v/>
      </c>
      <c r="AY358" s="195" t="str">
        <f aca="false">IF($A359="","",AN358*$E358)</f>
        <v/>
      </c>
      <c r="BA358" s="195" t="str">
        <f aca="false">IF($A359="","",F358*Summary!$Q$10)</f>
        <v/>
      </c>
    </row>
    <row r="359" customFormat="false" ht="12" hidden="false" customHeight="true" outlineLevel="0" collapsed="false">
      <c r="A359" s="196" t="str">
        <f aca="false">IF(A358&lt;mthend,EDATE(A358,1),"")</f>
        <v/>
      </c>
      <c r="B359" s="197" t="str">
        <f aca="false">IF(A359&lt;mthend,B358,"")</f>
        <v/>
      </c>
      <c r="C359" s="215"/>
      <c r="D359" s="197" t="str">
        <f aca="false">IF(A360&lt;&gt;"",B359+C359,"")</f>
        <v/>
      </c>
      <c r="E359" s="199" t="str">
        <f aca="false">IF(A360="","",IF(AND(AT359=1,$H$3=1),D359*AO359,IF($H$3=2,D359,"N/A")))</f>
        <v/>
      </c>
      <c r="F359" s="199" t="str">
        <f aca="false">IF(A360="","",E359*AS359)</f>
        <v/>
      </c>
      <c r="G359" s="200" t="str">
        <f aca="false">IF($A360="","",VLOOKUP($A359,Table,MATCH(G$4,Curves,0)))</f>
        <v/>
      </c>
      <c r="H359" s="201" t="str">
        <f aca="false">IF(A360="","",G359)</f>
        <v/>
      </c>
      <c r="I359" s="202"/>
      <c r="J359" s="200" t="str">
        <f aca="false">IF($A360="","",VLOOKUP($A359,Table,MATCH(J$4,Curves,0)))</f>
        <v/>
      </c>
      <c r="K359" s="201" t="str">
        <f aca="false">IF(A360="","",J359)</f>
        <v/>
      </c>
      <c r="L359" s="185" t="n">
        <v>0</v>
      </c>
      <c r="M359" s="201" t="str">
        <f aca="false">IF(A360="","",L359)</f>
        <v/>
      </c>
      <c r="N359" s="203"/>
      <c r="O359" s="200" t="str">
        <f aca="false">IF(A360="","",L359+J359+G359)</f>
        <v/>
      </c>
      <c r="P359" s="200" t="str">
        <f aca="false">IF(A360="","",M359+K359+H359)</f>
        <v/>
      </c>
      <c r="Q359" s="204"/>
      <c r="R359" s="200" t="str">
        <f aca="false">IF($A360="","",VLOOKUP($A359,Table,MATCH(R$4,Curves,0)))</f>
        <v/>
      </c>
      <c r="S359" s="201" t="str">
        <f aca="false">IF(A360="","",R359)</f>
        <v/>
      </c>
      <c r="T359" s="200" t="str">
        <f aca="false">IF($A360="","",VLOOKUP($A359,Table,MATCH(T$4,Curves,0)))</f>
        <v/>
      </c>
      <c r="U359" s="201" t="str">
        <f aca="false">IF(A360="","",T359)</f>
        <v/>
      </c>
      <c r="V359" s="205" t="str">
        <f aca="false">IF($A360="","",IF(AND(MONTH(A359)&gt;3,MONTH(A359)&lt;11),(T359+R359+G359)*Summary!$T$10/(1-Summary!$T$10),(T359+R359+G359)*Summary!$U$10/(1-Summary!$U$10)))</f>
        <v/>
      </c>
      <c r="W359" s="200" t="str">
        <f aca="false">IF($A360="","",(T359+R359+G359+V359))</f>
        <v/>
      </c>
      <c r="X359" s="200" t="str">
        <f aca="false">IF($A360="","",(U359+S359+H359+V359))</f>
        <v/>
      </c>
      <c r="Y359" s="202"/>
      <c r="Z359" s="185" t="str">
        <f aca="false">IF($A360="","",VLOOKUP($A359,Table,MATCH(Z$4,Curves,0)))</f>
        <v/>
      </c>
      <c r="AA359" s="185" t="str">
        <f aca="false">IF($A360="","",VLOOKUP($A359,Table,MATCH(AA$4,Curves,0)))</f>
        <v/>
      </c>
      <c r="AB359" s="185" t="e">
        <f aca="false">SQRT((AA359^2*(A359-$D$3)+Z359^2*(DAY(EOMONTH(A359,0))/2))/AK359)</f>
        <v>#VALUE!</v>
      </c>
      <c r="AC359" s="185" t="str">
        <f aca="false">IF($A360="","",VLOOKUP($A359,Table,MATCH(AC$4,Curves,0)))</f>
        <v/>
      </c>
      <c r="AD359" s="185" t="str">
        <f aca="false">IF($A360="","",VLOOKUP($A359,Table,MATCH(AD$4,Curves,0)))</f>
        <v/>
      </c>
      <c r="AE359" s="185" t="e">
        <f aca="false">SQRT((AD359^2*(A359-$D$3)+AC359^2*(DAY(EOMONTH(A359,0))/2))/AK359)</f>
        <v>#VALUE!</v>
      </c>
      <c r="AF359" s="224" t="e">
        <f aca="false">((Summary!$N$10*(AA359*AD359)*(A359-$D$3))+(Summary!$M$10*Z359*AC359*(AJ359-EOMONTH(EDATE(A359,-1),0))))/(AK359*AB359*AE359)</f>
        <v>#VALUE!</v>
      </c>
      <c r="AG359" s="207" t="str">
        <f aca="false">IF($A360="","",Summary!$Q$10)</f>
        <v/>
      </c>
      <c r="AH359" s="207" t="str">
        <f aca="false">IF($A360="","",IF(Summary!$R$10="Y",(VLOOKUP($A359,Summary!$AD$6:$AF$9,3)+'Escalating commodity'!F372),'Escalating commodity'!F372))</f>
        <v/>
      </c>
      <c r="AI359" s="207" t="str">
        <f aca="false">IF($A360="","",AH359)</f>
        <v/>
      </c>
      <c r="AJ359" s="208" t="e">
        <f aca="false">A359+DAY(EOMONTH(A359,0))/2-1</f>
        <v>#VALUE!</v>
      </c>
      <c r="AK359" s="209" t="str">
        <f aca="false">IF($A360="","",$A359-$E$1)</f>
        <v/>
      </c>
      <c r="AL359" s="182" t="str">
        <f aca="false">IF($A360="","",SPRDOPT(P359,X359,AI359,0,AB359,AE359,AF359,AK359,$AJ$2,0))</f>
        <v/>
      </c>
      <c r="AM359" s="211" t="str">
        <f aca="false">IF($A360="","",MAX(0,O359-W359-AI359))</f>
        <v/>
      </c>
      <c r="AN359" s="211" t="str">
        <f aca="false">IF($A360="","",AL359-AM359)</f>
        <v/>
      </c>
      <c r="AO359" s="137" t="str">
        <f aca="false">IF(A360="","",A360-A359)</f>
        <v/>
      </c>
      <c r="AP359" s="212" t="str">
        <f aca="false">IF(A360="","",CHOOSE(F$3,A360+24,A359))</f>
        <v/>
      </c>
      <c r="AQ359" s="209" t="str">
        <f aca="false">IF(A360="","",AP359-$E$1)</f>
        <v/>
      </c>
      <c r="AR359" s="185" t="n">
        <f aca="false">'ANR OK vs ML7'!AR359</f>
        <v>0.1</v>
      </c>
      <c r="AS359" s="213" t="str">
        <f aca="false">IF(A360="","",1/(1+CHOOSE(F$3,(AR360+($I$3/10000))/2,(AR359+($I$3/10000))/2))^(2*AQ359/365.25))</f>
        <v/>
      </c>
      <c r="AT359" s="137" t="str">
        <f aca="false">IF(A360="","",IF(AND(mthbeg&lt;=A359,mthend&gt;=A359),1,0))</f>
        <v/>
      </c>
      <c r="AU359" s="137" t="str">
        <f aca="false">IF(A360="","",AO359*AT359)</f>
        <v/>
      </c>
      <c r="AW359" s="195" t="str">
        <f aca="false">IF($A360="","",AL359*$E359)</f>
        <v/>
      </c>
      <c r="AX359" s="195" t="str">
        <f aca="false">IF($A360="","",AM359*$E359)</f>
        <v/>
      </c>
      <c r="AY359" s="195" t="str">
        <f aca="false">IF($A360="","",AN359*$E359)</f>
        <v/>
      </c>
      <c r="BA359" s="195" t="str">
        <f aca="false">IF($A360="","",F359*Summary!$Q$10)</f>
        <v/>
      </c>
    </row>
    <row r="360" customFormat="false" ht="12" hidden="false" customHeight="true" outlineLevel="0" collapsed="false">
      <c r="A360" s="196" t="str">
        <f aca="false">IF(A359&lt;mthend,EDATE(A359,1),"")</f>
        <v/>
      </c>
      <c r="B360" s="197" t="str">
        <f aca="false">IF(A360&lt;mthend,B359,"")</f>
        <v/>
      </c>
      <c r="C360" s="215"/>
      <c r="D360" s="197" t="str">
        <f aca="false">IF(A361&lt;&gt;"",B360+C360,"")</f>
        <v/>
      </c>
      <c r="E360" s="199" t="str">
        <f aca="false">IF(A361="","",IF(AND(AT360=1,$H$3=1),D360*AO360,IF($H$3=2,D360,"N/A")))</f>
        <v/>
      </c>
      <c r="F360" s="199" t="str">
        <f aca="false">IF(A361="","",E360*AS360)</f>
        <v/>
      </c>
      <c r="G360" s="200" t="str">
        <f aca="false">IF($A361="","",VLOOKUP($A360,Table,MATCH(G$4,Curves,0)))</f>
        <v/>
      </c>
      <c r="H360" s="201" t="str">
        <f aca="false">IF(A361="","",G360)</f>
        <v/>
      </c>
      <c r="I360" s="202"/>
      <c r="J360" s="200" t="str">
        <f aca="false">IF($A361="","",VLOOKUP($A360,Table,MATCH(J$4,Curves,0)))</f>
        <v/>
      </c>
      <c r="K360" s="201" t="str">
        <f aca="false">IF(A361="","",J360)</f>
        <v/>
      </c>
      <c r="L360" s="185" t="n">
        <v>0</v>
      </c>
      <c r="M360" s="201" t="str">
        <f aca="false">IF(A361="","",L360)</f>
        <v/>
      </c>
      <c r="N360" s="203"/>
      <c r="O360" s="200" t="str">
        <f aca="false">IF(A361="","",L360+J360+G360)</f>
        <v/>
      </c>
      <c r="P360" s="200" t="str">
        <f aca="false">IF(A361="","",M360+K360+H360)</f>
        <v/>
      </c>
      <c r="Q360" s="204"/>
      <c r="R360" s="200" t="str">
        <f aca="false">IF($A361="","",VLOOKUP($A360,Table,MATCH(R$4,Curves,0)))</f>
        <v/>
      </c>
      <c r="S360" s="201" t="str">
        <f aca="false">IF(A361="","",R360)</f>
        <v/>
      </c>
      <c r="T360" s="200" t="str">
        <f aca="false">IF($A361="","",VLOOKUP($A360,Table,MATCH(T$4,Curves,0)))</f>
        <v/>
      </c>
      <c r="U360" s="201" t="str">
        <f aca="false">IF(A361="","",T360)</f>
        <v/>
      </c>
      <c r="V360" s="205" t="str">
        <f aca="false">IF($A361="","",IF(AND(MONTH(A360)&gt;3,MONTH(A360)&lt;11),(T360+R360+G360)*Summary!$T$10/(1-Summary!$T$10),(T360+R360+G360)*Summary!$U$10/(1-Summary!$U$10)))</f>
        <v/>
      </c>
      <c r="W360" s="200" t="str">
        <f aca="false">IF($A361="","",(T360+R360+G360+V360))</f>
        <v/>
      </c>
      <c r="X360" s="200" t="str">
        <f aca="false">IF($A361="","",(U360+S360+H360+V360))</f>
        <v/>
      </c>
      <c r="Y360" s="202"/>
      <c r="Z360" s="185" t="str">
        <f aca="false">IF($A361="","",VLOOKUP($A360,Table,MATCH(Z$4,Curves,0)))</f>
        <v/>
      </c>
      <c r="AA360" s="185" t="str">
        <f aca="false">IF($A361="","",VLOOKUP($A360,Table,MATCH(AA$4,Curves,0)))</f>
        <v/>
      </c>
      <c r="AB360" s="185" t="e">
        <f aca="false">SQRT((AA360^2*(A360-$D$3)+Z360^2*(DAY(EOMONTH(A360,0))/2))/AK360)</f>
        <v>#VALUE!</v>
      </c>
      <c r="AC360" s="185" t="str">
        <f aca="false">IF($A361="","",VLOOKUP($A360,Table,MATCH(AC$4,Curves,0)))</f>
        <v/>
      </c>
      <c r="AD360" s="185" t="str">
        <f aca="false">IF($A361="","",VLOOKUP($A360,Table,MATCH(AD$4,Curves,0)))</f>
        <v/>
      </c>
      <c r="AE360" s="185" t="e">
        <f aca="false">SQRT((AD360^2*(A360-$D$3)+AC360^2*(DAY(EOMONTH(A360,0))/2))/AK360)</f>
        <v>#VALUE!</v>
      </c>
      <c r="AF360" s="224" t="e">
        <f aca="false">((Summary!$N$10*(AA360*AD360)*(A360-$D$3))+(Summary!$M$10*Z360*AC360*(AJ360-EOMONTH(EDATE(A360,-1),0))))/(AK360*AB360*AE360)</f>
        <v>#VALUE!</v>
      </c>
      <c r="AG360" s="207" t="str">
        <f aca="false">IF($A361="","",Summary!$Q$10)</f>
        <v/>
      </c>
      <c r="AH360" s="207" t="str">
        <f aca="false">IF($A361="","",IF(Summary!$R$10="Y",(VLOOKUP($A360,Summary!$AD$6:$AF$9,3)+'Escalating commodity'!F373),'Escalating commodity'!F373))</f>
        <v/>
      </c>
      <c r="AI360" s="207" t="str">
        <f aca="false">IF($A361="","",AH360)</f>
        <v/>
      </c>
      <c r="AJ360" s="208" t="e">
        <f aca="false">A360+DAY(EOMONTH(A360,0))/2-1</f>
        <v>#VALUE!</v>
      </c>
      <c r="AK360" s="209" t="str">
        <f aca="false">IF($A361="","",$A360-$E$1)</f>
        <v/>
      </c>
      <c r="AL360" s="182" t="str">
        <f aca="false">IF($A361="","",SPRDOPT(P360,X360,AI360,0,AB360,AE360,AF360,AK360,$AJ$2,0))</f>
        <v/>
      </c>
      <c r="AM360" s="211" t="str">
        <f aca="false">IF($A361="","",MAX(0,O360-W360-AI360))</f>
        <v/>
      </c>
      <c r="AN360" s="211" t="str">
        <f aca="false">IF($A361="","",AL360-AM360)</f>
        <v/>
      </c>
      <c r="AO360" s="137" t="str">
        <f aca="false">IF(A361="","",A361-A360)</f>
        <v/>
      </c>
      <c r="AP360" s="212" t="str">
        <f aca="false">IF(A361="","",CHOOSE(F$3,A361+24,A360))</f>
        <v/>
      </c>
      <c r="AQ360" s="209" t="str">
        <f aca="false">IF(A361="","",AP360-$E$1)</f>
        <v/>
      </c>
      <c r="AR360" s="185" t="n">
        <f aca="false">'ANR OK vs ML7'!AR360</f>
        <v>0.1</v>
      </c>
      <c r="AS360" s="213" t="str">
        <f aca="false">IF(A361="","",1/(1+CHOOSE(F$3,(AR361+($I$3/10000))/2,(AR360+($I$3/10000))/2))^(2*AQ360/365.25))</f>
        <v/>
      </c>
      <c r="AT360" s="137" t="str">
        <f aca="false">IF(A361="","",IF(AND(mthbeg&lt;=A360,mthend&gt;=A360),1,0))</f>
        <v/>
      </c>
      <c r="AU360" s="137" t="str">
        <f aca="false">IF(A361="","",AO360*AT360)</f>
        <v/>
      </c>
      <c r="AW360" s="195" t="str">
        <f aca="false">IF($A361="","",AL360*$E360)</f>
        <v/>
      </c>
      <c r="AX360" s="195" t="str">
        <f aca="false">IF($A361="","",AM360*$E360)</f>
        <v/>
      </c>
      <c r="AY360" s="195" t="str">
        <f aca="false">IF($A361="","",AN360*$E360)</f>
        <v/>
      </c>
      <c r="BA360" s="195" t="str">
        <f aca="false">IF($A361="","",F360*Summary!$Q$10)</f>
        <v/>
      </c>
    </row>
    <row r="361" customFormat="false" ht="12" hidden="false" customHeight="true" outlineLevel="0" collapsed="false">
      <c r="A361" s="196" t="str">
        <f aca="false">IF(A360&lt;mthend,EDATE(A360,1),"")</f>
        <v/>
      </c>
      <c r="B361" s="197" t="str">
        <f aca="false">IF(A361&lt;mthend,B360,"")</f>
        <v/>
      </c>
      <c r="C361" s="215"/>
      <c r="D361" s="197" t="str">
        <f aca="false">IF(A362&lt;&gt;"",B361+C361,"")</f>
        <v/>
      </c>
      <c r="E361" s="199" t="str">
        <f aca="false">IF(A362="","",IF(AND(AT361=1,$H$3=1),D361*AO361,IF($H$3=2,D361,"N/A")))</f>
        <v/>
      </c>
      <c r="F361" s="199" t="str">
        <f aca="false">IF(A362="","",E361*AS361)</f>
        <v/>
      </c>
      <c r="G361" s="200" t="str">
        <f aca="false">IF($A362="","",VLOOKUP($A361,Table,MATCH(G$4,Curves,0)))</f>
        <v/>
      </c>
      <c r="H361" s="201" t="str">
        <f aca="false">IF(A362="","",G361)</f>
        <v/>
      </c>
      <c r="I361" s="202"/>
      <c r="J361" s="200" t="str">
        <f aca="false">IF($A362="","",VLOOKUP($A361,Table,MATCH(J$4,Curves,0)))</f>
        <v/>
      </c>
      <c r="K361" s="201" t="str">
        <f aca="false">IF(A362="","",J361)</f>
        <v/>
      </c>
      <c r="L361" s="185" t="n">
        <v>0</v>
      </c>
      <c r="M361" s="201" t="str">
        <f aca="false">IF(A362="","",L361)</f>
        <v/>
      </c>
      <c r="N361" s="203"/>
      <c r="O361" s="200" t="str">
        <f aca="false">IF(A362="","",L361+J361+G361)</f>
        <v/>
      </c>
      <c r="P361" s="200" t="str">
        <f aca="false">IF(A362="","",M361+K361+H361)</f>
        <v/>
      </c>
      <c r="Q361" s="204"/>
      <c r="R361" s="200" t="str">
        <f aca="false">IF($A362="","",VLOOKUP($A361,Table,MATCH(R$4,Curves,0)))</f>
        <v/>
      </c>
      <c r="S361" s="201" t="str">
        <f aca="false">IF(A362="","",R361)</f>
        <v/>
      </c>
      <c r="T361" s="200" t="str">
        <f aca="false">IF($A362="","",VLOOKUP($A361,Table,MATCH(T$4,Curves,0)))</f>
        <v/>
      </c>
      <c r="U361" s="201" t="str">
        <f aca="false">IF(A362="","",T361)</f>
        <v/>
      </c>
      <c r="V361" s="205" t="str">
        <f aca="false">IF($A362="","",IF(AND(MONTH(A361)&gt;3,MONTH(A361)&lt;11),(T361+R361+G361)*Summary!$T$10/(1-Summary!$T$10),(T361+R361+G361)*Summary!$U$10/(1-Summary!$U$10)))</f>
        <v/>
      </c>
      <c r="W361" s="200" t="str">
        <f aca="false">IF($A362="","",(T361+R361+G361+V361))</f>
        <v/>
      </c>
      <c r="X361" s="200" t="str">
        <f aca="false">IF($A362="","",(U361+S361+H361+V361))</f>
        <v/>
      </c>
      <c r="Y361" s="202"/>
      <c r="Z361" s="185" t="str">
        <f aca="false">IF($A362="","",VLOOKUP($A361,Table,MATCH(Z$4,Curves,0)))</f>
        <v/>
      </c>
      <c r="AA361" s="185" t="str">
        <f aca="false">IF($A362="","",VLOOKUP($A361,Table,MATCH(AA$4,Curves,0)))</f>
        <v/>
      </c>
      <c r="AB361" s="185" t="e">
        <f aca="false">SQRT((AA361^2*(A361-$D$3)+Z361^2*(DAY(EOMONTH(A361,0))/2))/AK361)</f>
        <v>#VALUE!</v>
      </c>
      <c r="AC361" s="185" t="str">
        <f aca="false">IF($A362="","",VLOOKUP($A361,Table,MATCH(AC$4,Curves,0)))</f>
        <v/>
      </c>
      <c r="AD361" s="185" t="str">
        <f aca="false">IF($A362="","",VLOOKUP($A361,Table,MATCH(AD$4,Curves,0)))</f>
        <v/>
      </c>
      <c r="AE361" s="185" t="e">
        <f aca="false">SQRT((AD361^2*(A361-$D$3)+AC361^2*(DAY(EOMONTH(A361,0))/2))/AK361)</f>
        <v>#VALUE!</v>
      </c>
      <c r="AF361" s="224" t="e">
        <f aca="false">((Summary!$N$10*(AA361*AD361)*(A361-$D$3))+(Summary!$M$10*Z361*AC361*(AJ361-EOMONTH(EDATE(A361,-1),0))))/(AK361*AB361*AE361)</f>
        <v>#VALUE!</v>
      </c>
      <c r="AG361" s="207" t="str">
        <f aca="false">IF($A362="","",Summary!$Q$10)</f>
        <v/>
      </c>
      <c r="AH361" s="207" t="str">
        <f aca="false">IF($A362="","",IF(Summary!$R$10="Y",(VLOOKUP($A361,Summary!$AD$6:$AF$9,3)+'Escalating commodity'!F374),'Escalating commodity'!F374))</f>
        <v/>
      </c>
      <c r="AI361" s="207" t="str">
        <f aca="false">IF($A362="","",AH361)</f>
        <v/>
      </c>
      <c r="AJ361" s="208" t="e">
        <f aca="false">A361+DAY(EOMONTH(A361,0))/2-1</f>
        <v>#VALUE!</v>
      </c>
      <c r="AK361" s="209" t="str">
        <f aca="false">IF($A362="","",$A361-$E$1)</f>
        <v/>
      </c>
      <c r="AL361" s="182" t="str">
        <f aca="false">IF($A362="","",SPRDOPT(P361,X361,AI361,0,AB361,AE361,AF361,AK361,$AJ$2,0))</f>
        <v/>
      </c>
      <c r="AM361" s="211" t="str">
        <f aca="false">IF($A362="","",MAX(0,O361-W361-AI361))</f>
        <v/>
      </c>
      <c r="AN361" s="211" t="str">
        <f aca="false">IF($A362="","",AL361-AM361)</f>
        <v/>
      </c>
      <c r="AO361" s="137" t="str">
        <f aca="false">IF(A362="","",A362-A361)</f>
        <v/>
      </c>
      <c r="AP361" s="212" t="str">
        <f aca="false">IF(A362="","",CHOOSE(F$3,A362+24,A361))</f>
        <v/>
      </c>
      <c r="AQ361" s="209" t="str">
        <f aca="false">IF(A362="","",AP361-$E$1)</f>
        <v/>
      </c>
      <c r="AR361" s="185" t="n">
        <f aca="false">'ANR OK vs ML7'!AR361</f>
        <v>0.1</v>
      </c>
      <c r="AS361" s="213" t="str">
        <f aca="false">IF(A362="","",1/(1+CHOOSE(F$3,(AR362+($I$3/10000))/2,(AR361+($I$3/10000))/2))^(2*AQ361/365.25))</f>
        <v/>
      </c>
      <c r="AT361" s="137" t="str">
        <f aca="false">IF(A362="","",IF(AND(mthbeg&lt;=A361,mthend&gt;=A361),1,0))</f>
        <v/>
      </c>
      <c r="AU361" s="137" t="str">
        <f aca="false">IF(A362="","",AO361*AT361)</f>
        <v/>
      </c>
      <c r="AW361" s="195" t="str">
        <f aca="false">IF($A362="","",AL361*$E361)</f>
        <v/>
      </c>
      <c r="AX361" s="195" t="str">
        <f aca="false">IF($A362="","",AM361*$E361)</f>
        <v/>
      </c>
      <c r="AY361" s="195" t="str">
        <f aca="false">IF($A362="","",AN361*$E361)</f>
        <v/>
      </c>
      <c r="BA361" s="195" t="str">
        <f aca="false">IF($A362="","",F361*Summary!$Q$10)</f>
        <v/>
      </c>
    </row>
    <row r="362" customFormat="false" ht="12" hidden="false" customHeight="true" outlineLevel="0" collapsed="false">
      <c r="A362" s="196" t="str">
        <f aca="false">IF(A361&lt;mthend,EDATE(A361,1),"")</f>
        <v/>
      </c>
      <c r="B362" s="197" t="str">
        <f aca="false">IF(A362&lt;mthend,B361,"")</f>
        <v/>
      </c>
      <c r="C362" s="215"/>
      <c r="D362" s="197" t="str">
        <f aca="false">IF(A363&lt;&gt;"",B362+C362,"")</f>
        <v/>
      </c>
      <c r="E362" s="199" t="str">
        <f aca="false">IF(A363="","",IF(AND(AT362=1,$H$3=1),D362*AO362,IF($H$3=2,D362,"N/A")))</f>
        <v/>
      </c>
      <c r="F362" s="199" t="str">
        <f aca="false">IF(A363="","",E362*AS362)</f>
        <v/>
      </c>
      <c r="G362" s="200" t="str">
        <f aca="false">IF($A363="","",VLOOKUP($A362,Table,MATCH(G$4,Curves,0)))</f>
        <v/>
      </c>
      <c r="H362" s="201" t="str">
        <f aca="false">IF(A363="","",G362)</f>
        <v/>
      </c>
      <c r="I362" s="202"/>
      <c r="J362" s="200" t="str">
        <f aca="false">IF($A363="","",VLOOKUP($A362,Table,MATCH(J$4,Curves,0)))</f>
        <v/>
      </c>
      <c r="K362" s="201" t="str">
        <f aca="false">IF(A363="","",J362)</f>
        <v/>
      </c>
      <c r="L362" s="185" t="n">
        <v>0</v>
      </c>
      <c r="M362" s="201" t="str">
        <f aca="false">IF(A363="","",L362)</f>
        <v/>
      </c>
      <c r="N362" s="203"/>
      <c r="O362" s="200" t="str">
        <f aca="false">IF(A363="","",L362+J362+G362)</f>
        <v/>
      </c>
      <c r="P362" s="200" t="str">
        <f aca="false">IF(A363="","",M362+K362+H362)</f>
        <v/>
      </c>
      <c r="Q362" s="204"/>
      <c r="R362" s="200" t="str">
        <f aca="false">IF($A363="","",VLOOKUP($A362,Table,MATCH(R$4,Curves,0)))</f>
        <v/>
      </c>
      <c r="S362" s="201" t="str">
        <f aca="false">IF(A363="","",R362)</f>
        <v/>
      </c>
      <c r="T362" s="200" t="str">
        <f aca="false">IF($A363="","",VLOOKUP($A362,Table,MATCH(T$4,Curves,0)))</f>
        <v/>
      </c>
      <c r="U362" s="201" t="str">
        <f aca="false">IF(A363="","",T362)</f>
        <v/>
      </c>
      <c r="V362" s="205" t="str">
        <f aca="false">IF($A363="","",IF(AND(MONTH(A362)&gt;3,MONTH(A362)&lt;11),(T362+R362+G362)*Summary!$T$10/(1-Summary!$T$10),(T362+R362+G362)*Summary!$U$10/(1-Summary!$U$10)))</f>
        <v/>
      </c>
      <c r="W362" s="200" t="str">
        <f aca="false">IF($A363="","",(T362+R362+G362+V362))</f>
        <v/>
      </c>
      <c r="X362" s="200" t="str">
        <f aca="false">IF($A363="","",(U362+S362+H362+V362))</f>
        <v/>
      </c>
      <c r="Y362" s="202"/>
      <c r="Z362" s="185" t="str">
        <f aca="false">IF($A363="","",VLOOKUP($A362,Table,MATCH(Z$4,Curves,0)))</f>
        <v/>
      </c>
      <c r="AA362" s="185" t="str">
        <f aca="false">IF($A363="","",VLOOKUP($A362,Table,MATCH(AA$4,Curves,0)))</f>
        <v/>
      </c>
      <c r="AB362" s="185" t="e">
        <f aca="false">SQRT((AA362^2*(A362-$D$3)+Z362^2*(DAY(EOMONTH(A362,0))/2))/AK362)</f>
        <v>#VALUE!</v>
      </c>
      <c r="AC362" s="185" t="str">
        <f aca="false">IF($A363="","",VLOOKUP($A362,Table,MATCH(AC$4,Curves,0)))</f>
        <v/>
      </c>
      <c r="AD362" s="185" t="str">
        <f aca="false">IF($A363="","",VLOOKUP($A362,Table,MATCH(AD$4,Curves,0)))</f>
        <v/>
      </c>
      <c r="AE362" s="185" t="e">
        <f aca="false">SQRT((AD362^2*(A362-$D$3)+AC362^2*(DAY(EOMONTH(A362,0))/2))/AK362)</f>
        <v>#VALUE!</v>
      </c>
      <c r="AF362" s="224" t="e">
        <f aca="false">((Summary!$N$10*(AA362*AD362)*(A362-$D$3))+(Summary!$M$10*Z362*AC362*(AJ362-EOMONTH(EDATE(A362,-1),0))))/(AK362*AB362*AE362)</f>
        <v>#VALUE!</v>
      </c>
      <c r="AG362" s="207" t="str">
        <f aca="false">IF($A363="","",Summary!$Q$10)</f>
        <v/>
      </c>
      <c r="AH362" s="207" t="str">
        <f aca="false">IF($A363="","",IF(Summary!$R$10="Y",(VLOOKUP($A362,Summary!$AD$6:$AF$9,3)+'Escalating commodity'!F375),'Escalating commodity'!F375))</f>
        <v/>
      </c>
      <c r="AI362" s="207" t="str">
        <f aca="false">IF($A363="","",AH362)</f>
        <v/>
      </c>
      <c r="AJ362" s="208" t="e">
        <f aca="false">A362+DAY(EOMONTH(A362,0))/2-1</f>
        <v>#VALUE!</v>
      </c>
      <c r="AK362" s="209" t="str">
        <f aca="false">IF($A363="","",$A362-$E$1)</f>
        <v/>
      </c>
      <c r="AL362" s="182" t="str">
        <f aca="false">IF($A363="","",SPRDOPT(P362,X362,AI362,0,AB362,AE362,AF362,AK362,$AJ$2,0))</f>
        <v/>
      </c>
      <c r="AM362" s="211" t="str">
        <f aca="false">IF($A363="","",MAX(0,O362-W362-AI362))</f>
        <v/>
      </c>
      <c r="AN362" s="211" t="str">
        <f aca="false">IF($A363="","",AL362-AM362)</f>
        <v/>
      </c>
      <c r="AO362" s="137" t="str">
        <f aca="false">IF(A363="","",A363-A362)</f>
        <v/>
      </c>
      <c r="AP362" s="212" t="str">
        <f aca="false">IF(A363="","",CHOOSE(F$3,A363+24,A362))</f>
        <v/>
      </c>
      <c r="AQ362" s="209" t="str">
        <f aca="false">IF(A363="","",AP362-$E$1)</f>
        <v/>
      </c>
      <c r="AR362" s="185" t="n">
        <f aca="false">'ANR OK vs ML7'!AR362</f>
        <v>0.1</v>
      </c>
      <c r="AS362" s="213" t="str">
        <f aca="false">IF(A363="","",1/(1+CHOOSE(F$3,(AR363+($I$3/10000))/2,(AR362+($I$3/10000))/2))^(2*AQ362/365.25))</f>
        <v/>
      </c>
      <c r="AT362" s="137" t="str">
        <f aca="false">IF(A363="","",IF(AND(mthbeg&lt;=A362,mthend&gt;=A362),1,0))</f>
        <v/>
      </c>
      <c r="AU362" s="137" t="str">
        <f aca="false">IF(A363="","",AO362*AT362)</f>
        <v/>
      </c>
      <c r="AW362" s="195" t="str">
        <f aca="false">IF($A363="","",AL362*$E362)</f>
        <v/>
      </c>
      <c r="AX362" s="195" t="str">
        <f aca="false">IF($A363="","",AM362*$E362)</f>
        <v/>
      </c>
      <c r="AY362" s="195" t="str">
        <f aca="false">IF($A363="","",AN362*$E362)</f>
        <v/>
      </c>
      <c r="BA362" s="195" t="str">
        <f aca="false">IF($A363="","",F362*Summary!$Q$10)</f>
        <v/>
      </c>
    </row>
    <row r="363" customFormat="false" ht="12" hidden="false" customHeight="true" outlineLevel="0" collapsed="false">
      <c r="A363" s="196" t="str">
        <f aca="false">IF(A362&lt;mthend,EDATE(A362,1),"")</f>
        <v/>
      </c>
      <c r="B363" s="197" t="str">
        <f aca="false">IF(A363&lt;mthend,B362,"")</f>
        <v/>
      </c>
      <c r="C363" s="215"/>
      <c r="D363" s="197" t="str">
        <f aca="false">IF(A364&lt;&gt;"",B363+C363,"")</f>
        <v/>
      </c>
      <c r="E363" s="199" t="str">
        <f aca="false">IF(A364="","",IF(AND(AT363=1,$H$3=1),D363*AO363,IF($H$3=2,D363,"N/A")))</f>
        <v/>
      </c>
      <c r="F363" s="199" t="str">
        <f aca="false">IF(A364="","",E363*AS363)</f>
        <v/>
      </c>
      <c r="G363" s="200" t="str">
        <f aca="false">IF($A364="","",VLOOKUP($A363,Table,MATCH(G$4,Curves,0)))</f>
        <v/>
      </c>
      <c r="H363" s="201" t="str">
        <f aca="false">IF(A364="","",G363)</f>
        <v/>
      </c>
      <c r="I363" s="202"/>
      <c r="J363" s="200" t="str">
        <f aca="false">IF($A364="","",VLOOKUP($A363,Table,MATCH(J$4,Curves,0)))</f>
        <v/>
      </c>
      <c r="K363" s="201" t="str">
        <f aca="false">IF(A364="","",J363)</f>
        <v/>
      </c>
      <c r="L363" s="185" t="n">
        <v>0</v>
      </c>
      <c r="M363" s="201" t="str">
        <f aca="false">IF(A364="","",L363)</f>
        <v/>
      </c>
      <c r="N363" s="203"/>
      <c r="O363" s="200" t="str">
        <f aca="false">IF(A364="","",L363+J363+G363)</f>
        <v/>
      </c>
      <c r="P363" s="200" t="str">
        <f aca="false">IF(A364="","",M363+K363+H363)</f>
        <v/>
      </c>
      <c r="Q363" s="204"/>
      <c r="R363" s="200" t="str">
        <f aca="false">IF($A364="","",VLOOKUP($A363,Table,MATCH(R$4,Curves,0)))</f>
        <v/>
      </c>
      <c r="S363" s="201" t="str">
        <f aca="false">IF(A364="","",R363)</f>
        <v/>
      </c>
      <c r="T363" s="200" t="str">
        <f aca="false">IF($A364="","",VLOOKUP($A363,Table,MATCH(T$4,Curves,0)))</f>
        <v/>
      </c>
      <c r="U363" s="201" t="str">
        <f aca="false">IF(A364="","",T363)</f>
        <v/>
      </c>
      <c r="V363" s="205" t="str">
        <f aca="false">IF($A364="","",IF(AND(MONTH(A363)&gt;3,MONTH(A363)&lt;11),(T363+R363+G363)*Summary!$T$10/(1-Summary!$T$10),(T363+R363+G363)*Summary!$U$10/(1-Summary!$U$10)))</f>
        <v/>
      </c>
      <c r="W363" s="200" t="str">
        <f aca="false">IF($A364="","",(T363+R363+G363+V363))</f>
        <v/>
      </c>
      <c r="X363" s="200" t="str">
        <f aca="false">IF($A364="","",(U363+S363+H363+V363))</f>
        <v/>
      </c>
      <c r="Y363" s="202"/>
      <c r="Z363" s="185" t="str">
        <f aca="false">IF($A364="","",VLOOKUP($A363,Table,MATCH(Z$4,Curves,0)))</f>
        <v/>
      </c>
      <c r="AA363" s="185" t="str">
        <f aca="false">IF($A364="","",VLOOKUP($A363,Table,MATCH(AA$4,Curves,0)))</f>
        <v/>
      </c>
      <c r="AB363" s="185" t="e">
        <f aca="false">SQRT((AA363^2*(A363-$D$3)+Z363^2*(DAY(EOMONTH(A363,0))/2))/AK363)</f>
        <v>#VALUE!</v>
      </c>
      <c r="AC363" s="185" t="str">
        <f aca="false">IF($A364="","",VLOOKUP($A363,Table,MATCH(AC$4,Curves,0)))</f>
        <v/>
      </c>
      <c r="AD363" s="185" t="str">
        <f aca="false">IF($A364="","",VLOOKUP($A363,Table,MATCH(AD$4,Curves,0)))</f>
        <v/>
      </c>
      <c r="AE363" s="185" t="e">
        <f aca="false">SQRT((AD363^2*(A363-$D$3)+AC363^2*(DAY(EOMONTH(A363,0))/2))/AK363)</f>
        <v>#VALUE!</v>
      </c>
      <c r="AF363" s="224" t="e">
        <f aca="false">((Summary!$N$10*(AA363*AD363)*(A363-$D$3))+(Summary!$M$10*Z363*AC363*(AJ363-EOMONTH(EDATE(A363,-1),0))))/(AK363*AB363*AE363)</f>
        <v>#VALUE!</v>
      </c>
      <c r="AG363" s="207" t="str">
        <f aca="false">IF($A364="","",Summary!$Q$10)</f>
        <v/>
      </c>
      <c r="AH363" s="207" t="str">
        <f aca="false">IF($A364="","",IF(Summary!$R$10="Y",(VLOOKUP($A363,Summary!$AD$6:$AF$9,3)+'Escalating commodity'!F376),'Escalating commodity'!F376))</f>
        <v/>
      </c>
      <c r="AI363" s="207" t="str">
        <f aca="false">IF($A364="","",AH363)</f>
        <v/>
      </c>
      <c r="AJ363" s="208" t="e">
        <f aca="false">A363+DAY(EOMONTH(A363,0))/2-1</f>
        <v>#VALUE!</v>
      </c>
      <c r="AK363" s="209" t="str">
        <f aca="false">IF($A364="","",$A363-$E$1)</f>
        <v/>
      </c>
      <c r="AL363" s="182" t="str">
        <f aca="false">IF($A364="","",SPRDOPT(P363,X363,AI363,0,AB363,AE363,AF363,AK363,$AJ$2,0))</f>
        <v/>
      </c>
      <c r="AM363" s="211" t="str">
        <f aca="false">IF($A364="","",MAX(0,O363-W363-AI363))</f>
        <v/>
      </c>
      <c r="AN363" s="211" t="str">
        <f aca="false">IF($A364="","",AL363-AM363)</f>
        <v/>
      </c>
      <c r="AO363" s="137" t="str">
        <f aca="false">IF(A364="","",A364-A363)</f>
        <v/>
      </c>
      <c r="AP363" s="212" t="str">
        <f aca="false">IF(A364="","",CHOOSE(F$3,A364+24,A363))</f>
        <v/>
      </c>
      <c r="AQ363" s="209" t="str">
        <f aca="false">IF(A364="","",AP363-$E$1)</f>
        <v/>
      </c>
      <c r="AR363" s="185" t="n">
        <f aca="false">'ANR OK vs ML7'!AR363</f>
        <v>0.1</v>
      </c>
      <c r="AS363" s="213" t="str">
        <f aca="false">IF(A364="","",1/(1+CHOOSE(F$3,(AR364+($I$3/10000))/2,(AR363+($I$3/10000))/2))^(2*AQ363/365.25))</f>
        <v/>
      </c>
      <c r="AT363" s="137" t="str">
        <f aca="false">IF(A364="","",IF(AND(mthbeg&lt;=A363,mthend&gt;=A363),1,0))</f>
        <v/>
      </c>
      <c r="AU363" s="137" t="str">
        <f aca="false">IF(A364="","",AO363*AT363)</f>
        <v/>
      </c>
      <c r="AW363" s="195" t="str">
        <f aca="false">IF($A364="","",AL363*$E363)</f>
        <v/>
      </c>
      <c r="AX363" s="195" t="str">
        <f aca="false">IF($A364="","",AM363*$E363)</f>
        <v/>
      </c>
      <c r="AY363" s="195" t="str">
        <f aca="false">IF($A364="","",AN363*$E363)</f>
        <v/>
      </c>
      <c r="BA363" s="195" t="str">
        <f aca="false">IF($A364="","",F363*Summary!$Q$10)</f>
        <v/>
      </c>
    </row>
    <row r="364" customFormat="false" ht="12" hidden="false" customHeight="true" outlineLevel="0" collapsed="false">
      <c r="A364" s="196" t="str">
        <f aca="false">IF(A363&lt;mthend,EDATE(A363,1),"")</f>
        <v/>
      </c>
      <c r="B364" s="197" t="str">
        <f aca="false">IF(A364&lt;mthend,B363,"")</f>
        <v/>
      </c>
      <c r="C364" s="215"/>
      <c r="D364" s="197" t="str">
        <f aca="false">IF(A365&lt;&gt;"",B364+C364,"")</f>
        <v/>
      </c>
      <c r="E364" s="199" t="str">
        <f aca="false">IF(A365="","",IF(AND(AT364=1,$H$3=1),D364*AO364,IF($H$3=2,D364,"N/A")))</f>
        <v/>
      </c>
      <c r="F364" s="199" t="str">
        <f aca="false">IF(A365="","",E364*AS364)</f>
        <v/>
      </c>
      <c r="G364" s="200" t="str">
        <f aca="false">IF($A365="","",VLOOKUP($A364,Table,MATCH(G$4,Curves,0)))</f>
        <v/>
      </c>
      <c r="H364" s="201" t="str">
        <f aca="false">IF(A365="","",G364)</f>
        <v/>
      </c>
      <c r="I364" s="202"/>
      <c r="J364" s="200" t="str">
        <f aca="false">IF($A365="","",VLOOKUP($A364,Table,MATCH(J$4,Curves,0)))</f>
        <v/>
      </c>
      <c r="K364" s="201" t="str">
        <f aca="false">IF(A365="","",J364)</f>
        <v/>
      </c>
      <c r="L364" s="185" t="n">
        <v>0</v>
      </c>
      <c r="M364" s="201" t="str">
        <f aca="false">IF(A365="","",L364)</f>
        <v/>
      </c>
      <c r="N364" s="203"/>
      <c r="O364" s="200" t="str">
        <f aca="false">IF(A365="","",L364+J364+G364)</f>
        <v/>
      </c>
      <c r="P364" s="200" t="str">
        <f aca="false">IF(A365="","",M364+K364+H364)</f>
        <v/>
      </c>
      <c r="Q364" s="204"/>
      <c r="R364" s="200" t="str">
        <f aca="false">IF($A365="","",VLOOKUP($A364,Table,MATCH(R$4,Curves,0)))</f>
        <v/>
      </c>
      <c r="S364" s="201" t="str">
        <f aca="false">IF(A365="","",R364)</f>
        <v/>
      </c>
      <c r="T364" s="200" t="str">
        <f aca="false">IF($A365="","",VLOOKUP($A364,Table,MATCH(T$4,Curves,0)))</f>
        <v/>
      </c>
      <c r="U364" s="201" t="str">
        <f aca="false">IF(A365="","",T364)</f>
        <v/>
      </c>
      <c r="V364" s="205" t="str">
        <f aca="false">IF($A365="","",IF(AND(MONTH(A364)&gt;3,MONTH(A364)&lt;11),(T364+R364+G364)*Summary!$T$10/(1-Summary!$T$10),(T364+R364+G364)*Summary!$U$10/(1-Summary!$U$10)))</f>
        <v/>
      </c>
      <c r="W364" s="200" t="str">
        <f aca="false">IF($A365="","",(T364+R364+G364+V364))</f>
        <v/>
      </c>
      <c r="X364" s="200" t="str">
        <f aca="false">IF($A365="","",(U364+S364+H364+V364))</f>
        <v/>
      </c>
      <c r="Y364" s="202"/>
      <c r="Z364" s="185" t="str">
        <f aca="false">IF($A365="","",VLOOKUP($A364,Table,MATCH(Z$4,Curves,0)))</f>
        <v/>
      </c>
      <c r="AA364" s="185" t="str">
        <f aca="false">IF($A365="","",VLOOKUP($A364,Table,MATCH(AA$4,Curves,0)))</f>
        <v/>
      </c>
      <c r="AB364" s="185" t="e">
        <f aca="false">SQRT((AA364^2*(A364-$D$3)+Z364^2*(DAY(EOMONTH(A364,0))/2))/AK364)</f>
        <v>#VALUE!</v>
      </c>
      <c r="AC364" s="185" t="str">
        <f aca="false">IF($A365="","",VLOOKUP($A364,Table,MATCH(AC$4,Curves,0)))</f>
        <v/>
      </c>
      <c r="AD364" s="185" t="str">
        <f aca="false">IF($A365="","",VLOOKUP($A364,Table,MATCH(AD$4,Curves,0)))</f>
        <v/>
      </c>
      <c r="AE364" s="185" t="e">
        <f aca="false">SQRT((AD364^2*(A364-$D$3)+AC364^2*(DAY(EOMONTH(A364,0))/2))/AK364)</f>
        <v>#VALUE!</v>
      </c>
      <c r="AF364" s="224" t="e">
        <f aca="false">((Summary!$N$10*(AA364*AD364)*(A364-$D$3))+(Summary!$M$10*Z364*AC364*(AJ364-EOMONTH(EDATE(A364,-1),0))))/(AK364*AB364*AE364)</f>
        <v>#VALUE!</v>
      </c>
      <c r="AG364" s="207" t="str">
        <f aca="false">IF($A365="","",Summary!$Q$10)</f>
        <v/>
      </c>
      <c r="AH364" s="207" t="str">
        <f aca="false">IF($A365="","",IF(Summary!$R$10="Y",(VLOOKUP($A364,Summary!$AD$6:$AF$9,3)+'Escalating commodity'!F377),'Escalating commodity'!F377))</f>
        <v/>
      </c>
      <c r="AI364" s="207" t="str">
        <f aca="false">IF($A365="","",AH364)</f>
        <v/>
      </c>
      <c r="AJ364" s="208" t="e">
        <f aca="false">A364+DAY(EOMONTH(A364,0))/2-1</f>
        <v>#VALUE!</v>
      </c>
      <c r="AK364" s="209" t="str">
        <f aca="false">IF($A365="","",$A364-$E$1)</f>
        <v/>
      </c>
      <c r="AL364" s="182" t="str">
        <f aca="false">IF($A365="","",SPRDOPT(P364,X364,AI364,0,AB364,AE364,AF364,AK364,$AJ$2,0))</f>
        <v/>
      </c>
      <c r="AM364" s="211" t="str">
        <f aca="false">IF($A365="","",MAX(0,O364-W364-AI364))</f>
        <v/>
      </c>
      <c r="AN364" s="211" t="str">
        <f aca="false">IF($A365="","",AL364-AM364)</f>
        <v/>
      </c>
      <c r="AO364" s="137" t="str">
        <f aca="false">IF(A365="","",A365-A364)</f>
        <v/>
      </c>
      <c r="AP364" s="212" t="str">
        <f aca="false">IF(A365="","",CHOOSE(F$3,A365+24,A364))</f>
        <v/>
      </c>
      <c r="AQ364" s="209" t="str">
        <f aca="false">IF(A365="","",AP364-$E$1)</f>
        <v/>
      </c>
      <c r="AR364" s="185" t="n">
        <f aca="false">'ANR OK vs ML7'!AR364</f>
        <v>0.1</v>
      </c>
      <c r="AS364" s="213" t="str">
        <f aca="false">IF(A365="","",1/(1+CHOOSE(F$3,(AR365+($I$3/10000))/2,(AR364+($I$3/10000))/2))^(2*AQ364/365.25))</f>
        <v/>
      </c>
      <c r="AT364" s="137" t="str">
        <f aca="false">IF(A365="","",IF(AND(mthbeg&lt;=A364,mthend&gt;=A364),1,0))</f>
        <v/>
      </c>
      <c r="AU364" s="137" t="str">
        <f aca="false">IF(A365="","",AO364*AT364)</f>
        <v/>
      </c>
      <c r="AW364" s="195" t="str">
        <f aca="false">IF($A365="","",AL364*$E364)</f>
        <v/>
      </c>
      <c r="AX364" s="195" t="str">
        <f aca="false">IF($A365="","",AM364*$E364)</f>
        <v/>
      </c>
      <c r="AY364" s="195" t="str">
        <f aca="false">IF($A365="","",AN364*$E364)</f>
        <v/>
      </c>
      <c r="BA364" s="195" t="str">
        <f aca="false">IF($A365="","",F364*Summary!$Q$10)</f>
        <v/>
      </c>
    </row>
    <row r="365" customFormat="false" ht="12" hidden="false" customHeight="true" outlineLevel="0" collapsed="false">
      <c r="A365" s="196" t="str">
        <f aca="false">IF(A364&lt;mthend,EDATE(A364,1),"")</f>
        <v/>
      </c>
      <c r="B365" s="197" t="str">
        <f aca="false">IF(A365&lt;mthend,B364,"")</f>
        <v/>
      </c>
      <c r="C365" s="215"/>
      <c r="D365" s="197" t="str">
        <f aca="false">IF(A366&lt;&gt;"",B365+C365,"")</f>
        <v/>
      </c>
      <c r="E365" s="199" t="str">
        <f aca="false">IF(A366="","",IF(AND(AT365=1,$H$3=1),D365*AO365,IF($H$3=2,D365,"N/A")))</f>
        <v/>
      </c>
      <c r="F365" s="199" t="str">
        <f aca="false">IF(A366="","",E365*AS365)</f>
        <v/>
      </c>
      <c r="G365" s="200" t="str">
        <f aca="false">IF($A366="","",VLOOKUP($A365,Table,MATCH(G$4,Curves,0)))</f>
        <v/>
      </c>
      <c r="H365" s="201" t="str">
        <f aca="false">IF(A366="","",G365)</f>
        <v/>
      </c>
      <c r="I365" s="202"/>
      <c r="J365" s="200" t="str">
        <f aca="false">IF($A366="","",VLOOKUP($A365,Table,MATCH(J$4,Curves,0)))</f>
        <v/>
      </c>
      <c r="K365" s="201" t="str">
        <f aca="false">IF(A366="","",J365)</f>
        <v/>
      </c>
      <c r="L365" s="185" t="n">
        <v>0</v>
      </c>
      <c r="M365" s="201" t="str">
        <f aca="false">IF(A366="","",L365)</f>
        <v/>
      </c>
      <c r="N365" s="203"/>
      <c r="O365" s="200" t="str">
        <f aca="false">IF(A366="","",L365+J365+G365)</f>
        <v/>
      </c>
      <c r="P365" s="200" t="str">
        <f aca="false">IF(A366="","",M365+K365+H365)</f>
        <v/>
      </c>
      <c r="Q365" s="204"/>
      <c r="R365" s="200" t="str">
        <f aca="false">IF($A366="","",VLOOKUP($A365,Table,MATCH(R$4,Curves,0)))</f>
        <v/>
      </c>
      <c r="S365" s="201" t="str">
        <f aca="false">IF(A366="","",R365)</f>
        <v/>
      </c>
      <c r="T365" s="200" t="str">
        <f aca="false">IF($A366="","",VLOOKUP($A365,Table,MATCH(T$4,Curves,0)))</f>
        <v/>
      </c>
      <c r="U365" s="201" t="str">
        <f aca="false">IF(A366="","",T365)</f>
        <v/>
      </c>
      <c r="V365" s="205" t="str">
        <f aca="false">IF($A366="","",IF(AND(MONTH(A365)&gt;3,MONTH(A365)&lt;11),(T365+R365+G365)*Summary!$T$10/(1-Summary!$T$10),(T365+R365+G365)*Summary!$U$10/(1-Summary!$U$10)))</f>
        <v/>
      </c>
      <c r="W365" s="200" t="str">
        <f aca="false">IF($A366="","",(T365+R365+G365+V365))</f>
        <v/>
      </c>
      <c r="X365" s="200" t="str">
        <f aca="false">IF($A366="","",(U365+S365+H365+V365))</f>
        <v/>
      </c>
      <c r="Y365" s="202"/>
      <c r="Z365" s="185" t="str">
        <f aca="false">IF($A366="","",VLOOKUP($A365,Table,MATCH(Z$4,Curves,0)))</f>
        <v/>
      </c>
      <c r="AA365" s="185" t="str">
        <f aca="false">IF($A366="","",VLOOKUP($A365,Table,MATCH(AA$4,Curves,0)))</f>
        <v/>
      </c>
      <c r="AB365" s="185" t="e">
        <f aca="false">SQRT((AA365^2*(A365-$D$3)+Z365^2*(DAY(EOMONTH(A365,0))/2))/AK365)</f>
        <v>#VALUE!</v>
      </c>
      <c r="AC365" s="185" t="str">
        <f aca="false">IF($A366="","",VLOOKUP($A365,Table,MATCH(AC$4,Curves,0)))</f>
        <v/>
      </c>
      <c r="AD365" s="185" t="str">
        <f aca="false">IF($A366="","",VLOOKUP($A365,Table,MATCH(AD$4,Curves,0)))</f>
        <v/>
      </c>
      <c r="AE365" s="185" t="e">
        <f aca="false">SQRT((AD365^2*(A365-$D$3)+AC365^2*(DAY(EOMONTH(A365,0))/2))/AK365)</f>
        <v>#VALUE!</v>
      </c>
      <c r="AF365" s="224" t="e">
        <f aca="false">((Summary!$N$10*(AA365*AD365)*(A365-$D$3))+(Summary!$M$10*Z365*AC365*(AJ365-EOMONTH(EDATE(A365,-1),0))))/(AK365*AB365*AE365)</f>
        <v>#VALUE!</v>
      </c>
      <c r="AG365" s="207" t="str">
        <f aca="false">IF($A366="","",Summary!$Q$10)</f>
        <v/>
      </c>
      <c r="AH365" s="207" t="str">
        <f aca="false">IF($A366="","",IF(Summary!$R$10="Y",(VLOOKUP($A365,Summary!$AD$6:$AF$9,3)+'Escalating commodity'!F378),'Escalating commodity'!F378))</f>
        <v/>
      </c>
      <c r="AI365" s="207" t="str">
        <f aca="false">IF($A366="","",AH365)</f>
        <v/>
      </c>
      <c r="AJ365" s="208" t="e">
        <f aca="false">A365+DAY(EOMONTH(A365,0))/2-1</f>
        <v>#VALUE!</v>
      </c>
      <c r="AK365" s="209" t="str">
        <f aca="false">IF($A366="","",$A365-$E$1)</f>
        <v/>
      </c>
      <c r="AL365" s="182" t="str">
        <f aca="false">IF($A366="","",SPRDOPT(P365,X365,AI365,0,AB365,AE365,AF365,AK365,$AJ$2,0))</f>
        <v/>
      </c>
      <c r="AM365" s="211" t="str">
        <f aca="false">IF($A366="","",MAX(0,O365-W365-AI365))</f>
        <v/>
      </c>
      <c r="AN365" s="211" t="str">
        <f aca="false">IF($A366="","",AL365-AM365)</f>
        <v/>
      </c>
      <c r="AO365" s="137" t="str">
        <f aca="false">IF(A366="","",A366-A365)</f>
        <v/>
      </c>
      <c r="AP365" s="212" t="str">
        <f aca="false">IF(A366="","",CHOOSE(F$3,A366+24,A365))</f>
        <v/>
      </c>
      <c r="AQ365" s="209" t="str">
        <f aca="false">IF(A366="","",AP365-$E$1)</f>
        <v/>
      </c>
      <c r="AR365" s="185" t="n">
        <f aca="false">'ANR OK vs ML7'!AR365</f>
        <v>0.1</v>
      </c>
      <c r="AS365" s="213" t="str">
        <f aca="false">IF(A366="","",1/(1+CHOOSE(F$3,(AR366+($I$3/10000))/2,(AR365+($I$3/10000))/2))^(2*AQ365/365.25))</f>
        <v/>
      </c>
      <c r="AT365" s="137" t="str">
        <f aca="false">IF(A366="","",IF(AND(mthbeg&lt;=A365,mthend&gt;=A365),1,0))</f>
        <v/>
      </c>
      <c r="AU365" s="137" t="str">
        <f aca="false">IF(A366="","",AO365*AT365)</f>
        <v/>
      </c>
      <c r="AW365" s="195" t="str">
        <f aca="false">IF($A366="","",AL365*$E365)</f>
        <v/>
      </c>
      <c r="AX365" s="195" t="str">
        <f aca="false">IF($A366="","",AM365*$E365)</f>
        <v/>
      </c>
      <c r="AY365" s="195" t="str">
        <f aca="false">IF($A366="","",AN365*$E365)</f>
        <v/>
      </c>
      <c r="BA365" s="195" t="str">
        <f aca="false">IF($A366="","",F365*Summary!$Q$10)</f>
        <v/>
      </c>
    </row>
    <row r="366" customFormat="false" ht="12" hidden="false" customHeight="true" outlineLevel="0" collapsed="false">
      <c r="A366" s="196" t="str">
        <f aca="false">IF(A365&lt;mthend,EDATE(A365,1),"")</f>
        <v/>
      </c>
      <c r="B366" s="197" t="str">
        <f aca="false">IF(A366&lt;mthend,B365,"")</f>
        <v/>
      </c>
      <c r="C366" s="215"/>
      <c r="D366" s="197" t="str">
        <f aca="false">IF(A367&lt;&gt;"",B366+C366,"")</f>
        <v/>
      </c>
      <c r="E366" s="199" t="str">
        <f aca="false">IF(A367="","",IF(AND(AT366=1,$H$3=1),D366*AO366,IF($H$3=2,D366,"N/A")))</f>
        <v/>
      </c>
      <c r="F366" s="199" t="str">
        <f aca="false">IF(A367="","",E366*AS366)</f>
        <v/>
      </c>
      <c r="G366" s="200" t="str">
        <f aca="false">IF($A367="","",VLOOKUP($A366,Table,MATCH(G$4,Curves,0)))</f>
        <v/>
      </c>
      <c r="H366" s="201" t="str">
        <f aca="false">IF(A367="","",G366)</f>
        <v/>
      </c>
      <c r="I366" s="202"/>
      <c r="J366" s="200" t="str">
        <f aca="false">IF($A367="","",VLOOKUP($A366,Table,MATCH(J$4,Curves,0)))</f>
        <v/>
      </c>
      <c r="K366" s="201" t="str">
        <f aca="false">IF(A367="","",J366)</f>
        <v/>
      </c>
      <c r="L366" s="185" t="n">
        <v>0</v>
      </c>
      <c r="M366" s="201" t="str">
        <f aca="false">IF(A367="","",L366)</f>
        <v/>
      </c>
      <c r="N366" s="203"/>
      <c r="O366" s="200" t="str">
        <f aca="false">IF(A367="","",L366+J366+G366)</f>
        <v/>
      </c>
      <c r="P366" s="200" t="str">
        <f aca="false">IF(A367="","",M366+K366+H366)</f>
        <v/>
      </c>
      <c r="Q366" s="204"/>
      <c r="R366" s="200" t="str">
        <f aca="false">IF($A367="","",VLOOKUP($A366,Table,MATCH(R$4,Curves,0)))</f>
        <v/>
      </c>
      <c r="S366" s="201" t="str">
        <f aca="false">IF(A367="","",R366)</f>
        <v/>
      </c>
      <c r="T366" s="200" t="str">
        <f aca="false">IF($A367="","",VLOOKUP($A366,Table,MATCH(T$4,Curves,0)))</f>
        <v/>
      </c>
      <c r="U366" s="201" t="str">
        <f aca="false">IF(A367="","",T366)</f>
        <v/>
      </c>
      <c r="V366" s="205" t="str">
        <f aca="false">IF($A367="","",IF(AND(MONTH(A366)&gt;3,MONTH(A366)&lt;11),(T366+R366+G366)*Summary!$T$10/(1-Summary!$T$10),(T366+R366+G366)*Summary!$U$10/(1-Summary!$U$10)))</f>
        <v/>
      </c>
      <c r="W366" s="200" t="str">
        <f aca="false">IF($A367="","",(T366+R366+G366+V366))</f>
        <v/>
      </c>
      <c r="X366" s="200" t="str">
        <f aca="false">IF($A367="","",(U366+S366+H366+V366))</f>
        <v/>
      </c>
      <c r="Y366" s="202"/>
      <c r="Z366" s="185" t="str">
        <f aca="false">IF($A367="","",VLOOKUP($A366,Table,MATCH(Z$4,Curves,0)))</f>
        <v/>
      </c>
      <c r="AA366" s="185" t="str">
        <f aca="false">IF($A367="","",VLOOKUP($A366,Table,MATCH(AA$4,Curves,0)))</f>
        <v/>
      </c>
      <c r="AB366" s="185" t="e">
        <f aca="false">SQRT((AA366^2*(A366-$D$3)+Z366^2*(DAY(EOMONTH(A366,0))/2))/AK366)</f>
        <v>#VALUE!</v>
      </c>
      <c r="AC366" s="185" t="str">
        <f aca="false">IF($A367="","",VLOOKUP($A366,Table,MATCH(AC$4,Curves,0)))</f>
        <v/>
      </c>
      <c r="AD366" s="185" t="str">
        <f aca="false">IF($A367="","",VLOOKUP($A366,Table,MATCH(AD$4,Curves,0)))</f>
        <v/>
      </c>
      <c r="AE366" s="185" t="e">
        <f aca="false">SQRT((AD366^2*(A366-$D$3)+AC366^2*(DAY(EOMONTH(A366,0))/2))/AK366)</f>
        <v>#VALUE!</v>
      </c>
      <c r="AF366" s="224" t="e">
        <f aca="false">((Summary!$N$10*(AA366*AD366)*(A366-$D$3))+(Summary!$M$10*Z366*AC366*(AJ366-EOMONTH(EDATE(A366,-1),0))))/(AK366*AB366*AE366)</f>
        <v>#VALUE!</v>
      </c>
      <c r="AG366" s="207" t="str">
        <f aca="false">IF($A367="","",Summary!$Q$10)</f>
        <v/>
      </c>
      <c r="AH366" s="207" t="str">
        <f aca="false">IF($A367="","",IF(Summary!$R$10="Y",(VLOOKUP($A366,Summary!$AD$6:$AF$9,3)+'Escalating commodity'!F379),'Escalating commodity'!F379))</f>
        <v/>
      </c>
      <c r="AI366" s="207" t="str">
        <f aca="false">IF($A367="","",AH366)</f>
        <v/>
      </c>
      <c r="AJ366" s="208" t="e">
        <f aca="false">A366+DAY(EOMONTH(A366,0))/2-1</f>
        <v>#VALUE!</v>
      </c>
      <c r="AK366" s="209" t="str">
        <f aca="false">IF($A367="","",$A366-$E$1)</f>
        <v/>
      </c>
      <c r="AL366" s="182" t="str">
        <f aca="false">IF($A367="","",SPRDOPT(P366,X366,AI366,0,AB366,AE366,AF366,AK366,$AJ$2,0))</f>
        <v/>
      </c>
      <c r="AM366" s="211" t="str">
        <f aca="false">IF($A367="","",MAX(0,O366-W366-AI366))</f>
        <v/>
      </c>
      <c r="AN366" s="211" t="str">
        <f aca="false">IF($A367="","",AL366-AM366)</f>
        <v/>
      </c>
      <c r="AO366" s="137" t="str">
        <f aca="false">IF(A367="","",A367-A366)</f>
        <v/>
      </c>
      <c r="AP366" s="212" t="str">
        <f aca="false">IF(A367="","",CHOOSE(F$3,A367+24,A366))</f>
        <v/>
      </c>
      <c r="AQ366" s="209" t="str">
        <f aca="false">IF(A367="","",AP366-$E$1)</f>
        <v/>
      </c>
      <c r="AR366" s="185" t="n">
        <f aca="false">'ANR OK vs ML7'!AR366</f>
        <v>0.1</v>
      </c>
      <c r="AS366" s="213" t="str">
        <f aca="false">IF(A367="","",1/(1+CHOOSE(F$3,(AR367+($I$3/10000))/2,(AR366+($I$3/10000))/2))^(2*AQ366/365.25))</f>
        <v/>
      </c>
      <c r="AT366" s="137" t="str">
        <f aca="false">IF(A367="","",IF(AND(mthbeg&lt;=A366,mthend&gt;=A366),1,0))</f>
        <v/>
      </c>
      <c r="AU366" s="137" t="str">
        <f aca="false">IF(A367="","",AO366*AT366)</f>
        <v/>
      </c>
      <c r="AW366" s="195" t="str">
        <f aca="false">IF($A367="","",AL366*$E366)</f>
        <v/>
      </c>
      <c r="AX366" s="195" t="str">
        <f aca="false">IF($A367="","",AM366*$E366)</f>
        <v/>
      </c>
      <c r="AY366" s="195" t="str">
        <f aca="false">IF($A367="","",AN366*$E366)</f>
        <v/>
      </c>
      <c r="BA366" s="195" t="str">
        <f aca="false">IF($A367="","",F366*Summary!$Q$10)</f>
        <v/>
      </c>
    </row>
    <row r="367" customFormat="false" ht="12" hidden="false" customHeight="true" outlineLevel="0" collapsed="false">
      <c r="A367" s="196" t="str">
        <f aca="false">IF(A366&lt;mthend,EDATE(A366,1),"")</f>
        <v/>
      </c>
      <c r="B367" s="197" t="str">
        <f aca="false">IF(A367&lt;mthend,B366,"")</f>
        <v/>
      </c>
      <c r="C367" s="215"/>
      <c r="D367" s="197" t="str">
        <f aca="false">IF(A368&lt;&gt;"",B367+C367,"")</f>
        <v/>
      </c>
      <c r="E367" s="199" t="str">
        <f aca="false">IF(A368="","",IF(AND(AT367=1,$H$3=1),D367*AO367,IF($H$3=2,D367,"N/A")))</f>
        <v/>
      </c>
      <c r="F367" s="199" t="str">
        <f aca="false">IF(A368="","",E367*AS367)</f>
        <v/>
      </c>
      <c r="G367" s="200" t="str">
        <f aca="false">IF($A368="","",VLOOKUP($A367,Table,MATCH(G$4,Curves,0)))</f>
        <v/>
      </c>
      <c r="H367" s="201" t="str">
        <f aca="false">IF(A368="","",G367)</f>
        <v/>
      </c>
      <c r="I367" s="202"/>
      <c r="J367" s="200" t="str">
        <f aca="false">IF($A368="","",VLOOKUP($A367,Table,MATCH(J$4,Curves,0)))</f>
        <v/>
      </c>
      <c r="K367" s="201" t="str">
        <f aca="false">IF(A368="","",J367)</f>
        <v/>
      </c>
      <c r="L367" s="185" t="n">
        <v>0</v>
      </c>
      <c r="M367" s="201" t="str">
        <f aca="false">IF(A368="","",L367)</f>
        <v/>
      </c>
      <c r="N367" s="203"/>
      <c r="O367" s="200" t="str">
        <f aca="false">IF(A368="","",L367+J367+G367)</f>
        <v/>
      </c>
      <c r="P367" s="200" t="str">
        <f aca="false">IF(A368="","",M367+K367+H367)</f>
        <v/>
      </c>
      <c r="Q367" s="204"/>
      <c r="R367" s="200" t="str">
        <f aca="false">IF($A368="","",VLOOKUP($A367,Table,MATCH(R$4,Curves,0)))</f>
        <v/>
      </c>
      <c r="S367" s="201" t="str">
        <f aca="false">IF(A368="","",R367)</f>
        <v/>
      </c>
      <c r="T367" s="200" t="str">
        <f aca="false">IF($A368="","",VLOOKUP($A367,Table,MATCH(T$4,Curves,0)))</f>
        <v/>
      </c>
      <c r="U367" s="201" t="str">
        <f aca="false">IF(A368="","",T367)</f>
        <v/>
      </c>
      <c r="V367" s="205" t="str">
        <f aca="false">IF($A368="","",IF(AND(MONTH(A367)&gt;3,MONTH(A367)&lt;11),(T367+R367+G367)*Summary!$T$10/(1-Summary!$T$10),(T367+R367+G367)*Summary!$U$10/(1-Summary!$U$10)))</f>
        <v/>
      </c>
      <c r="W367" s="200" t="str">
        <f aca="false">IF($A368="","",(T367+R367+G367+V367))</f>
        <v/>
      </c>
      <c r="X367" s="200" t="str">
        <f aca="false">IF($A368="","",(U367+S367+H367+V367))</f>
        <v/>
      </c>
      <c r="Y367" s="202"/>
      <c r="Z367" s="185" t="str">
        <f aca="false">IF($A368="","",VLOOKUP($A367,Table,MATCH(Z$4,Curves,0)))</f>
        <v/>
      </c>
      <c r="AA367" s="185" t="str">
        <f aca="false">IF($A368="","",VLOOKUP($A367,Table,MATCH(AA$4,Curves,0)))</f>
        <v/>
      </c>
      <c r="AB367" s="185" t="e">
        <f aca="false">SQRT((AA367^2*(A367-$D$3)+Z367^2*(DAY(EOMONTH(A367,0))/2))/AK367)</f>
        <v>#VALUE!</v>
      </c>
      <c r="AC367" s="185" t="str">
        <f aca="false">IF($A368="","",VLOOKUP($A367,Table,MATCH(AC$4,Curves,0)))</f>
        <v/>
      </c>
      <c r="AD367" s="185" t="str">
        <f aca="false">IF($A368="","",VLOOKUP($A367,Table,MATCH(AD$4,Curves,0)))</f>
        <v/>
      </c>
      <c r="AE367" s="185" t="e">
        <f aca="false">SQRT((AD367^2*(A367-$D$3)+AC367^2*(DAY(EOMONTH(A367,0))/2))/AK367)</f>
        <v>#VALUE!</v>
      </c>
      <c r="AF367" s="224" t="e">
        <f aca="false">((Summary!$N$10*(AA367*AD367)*(A367-$D$3))+(Summary!$M$10*Z367*AC367*(AJ367-EOMONTH(EDATE(A367,-1),0))))/(AK367*AB367*AE367)</f>
        <v>#VALUE!</v>
      </c>
      <c r="AG367" s="207" t="str">
        <f aca="false">IF($A368="","",Summary!$Q$10)</f>
        <v/>
      </c>
      <c r="AH367" s="207" t="str">
        <f aca="false">IF($A368="","",IF(Summary!$R$10="Y",(VLOOKUP($A367,Summary!$AD$6:$AF$9,3)+'Escalating commodity'!F380),'Escalating commodity'!F380))</f>
        <v/>
      </c>
      <c r="AI367" s="207" t="str">
        <f aca="false">IF($A368="","",AH367)</f>
        <v/>
      </c>
      <c r="AJ367" s="208" t="e">
        <f aca="false">A367+DAY(EOMONTH(A367,0))/2-1</f>
        <v>#VALUE!</v>
      </c>
      <c r="AK367" s="209" t="str">
        <f aca="false">IF($A368="","",$A367-$E$1)</f>
        <v/>
      </c>
      <c r="AL367" s="182" t="str">
        <f aca="false">IF($A368="","",SPRDOPT(P367,X367,AI367,0,AB367,AE367,AF367,AK367,$AJ$2,0))</f>
        <v/>
      </c>
      <c r="AM367" s="211" t="str">
        <f aca="false">IF($A368="","",MAX(0,O367-W367-AI367))</f>
        <v/>
      </c>
      <c r="AN367" s="211" t="str">
        <f aca="false">IF($A368="","",AL367-AM367)</f>
        <v/>
      </c>
      <c r="AO367" s="137" t="str">
        <f aca="false">IF(A368="","",A368-A367)</f>
        <v/>
      </c>
      <c r="AP367" s="212" t="str">
        <f aca="false">IF(A368="","",CHOOSE(F$3,A368+24,A367))</f>
        <v/>
      </c>
      <c r="AQ367" s="209" t="str">
        <f aca="false">IF(A368="","",AP367-$E$1)</f>
        <v/>
      </c>
      <c r="AR367" s="185" t="n">
        <f aca="false">'ANR OK vs ML7'!AR367</f>
        <v>0.1</v>
      </c>
      <c r="AS367" s="213" t="str">
        <f aca="false">IF(A368="","",1/(1+CHOOSE(F$3,(AR368+($I$3/10000))/2,(AR367+($I$3/10000))/2))^(2*AQ367/365.25))</f>
        <v/>
      </c>
      <c r="AT367" s="137" t="str">
        <f aca="false">IF(A368="","",IF(AND(mthbeg&lt;=A367,mthend&gt;=A367),1,0))</f>
        <v/>
      </c>
      <c r="AU367" s="137" t="str">
        <f aca="false">IF(A368="","",AO367*AT367)</f>
        <v/>
      </c>
      <c r="AW367" s="195" t="str">
        <f aca="false">IF($A368="","",AL367*$E367)</f>
        <v/>
      </c>
      <c r="AX367" s="195" t="str">
        <f aca="false">IF($A368="","",AM367*$E367)</f>
        <v/>
      </c>
      <c r="AY367" s="195" t="str">
        <f aca="false">IF($A368="","",AN367*$E367)</f>
        <v/>
      </c>
      <c r="BA367" s="195" t="str">
        <f aca="false">IF($A368="","",F367*Summary!$Q$10)</f>
        <v/>
      </c>
    </row>
    <row r="368" customFormat="false" ht="12" hidden="false" customHeight="true" outlineLevel="0" collapsed="false">
      <c r="A368" s="196" t="str">
        <f aca="false">IF(A367&lt;mthend,EDATE(A367,1),"")</f>
        <v/>
      </c>
      <c r="B368" s="197" t="str">
        <f aca="false">IF(A368&lt;mthend,B367,"")</f>
        <v/>
      </c>
      <c r="C368" s="215"/>
      <c r="D368" s="197" t="str">
        <f aca="false">IF(A369&lt;&gt;"",B368+C368,"")</f>
        <v/>
      </c>
      <c r="E368" s="199" t="str">
        <f aca="false">IF(A369="","",IF(AND(AT368=1,$H$3=1),D368*AO368,IF($H$3=2,D368,"N/A")))</f>
        <v/>
      </c>
      <c r="F368" s="199" t="str">
        <f aca="false">IF(A369="","",E368*AS368)</f>
        <v/>
      </c>
      <c r="G368" s="200" t="str">
        <f aca="false">IF($A369="","",VLOOKUP($A368,Table,MATCH(G$4,Curves,0)))</f>
        <v/>
      </c>
      <c r="H368" s="201" t="str">
        <f aca="false">IF(A369="","",G368)</f>
        <v/>
      </c>
      <c r="I368" s="202"/>
      <c r="J368" s="200" t="str">
        <f aca="false">IF($A369="","",VLOOKUP($A368,Table,MATCH(J$4,Curves,0)))</f>
        <v/>
      </c>
      <c r="K368" s="201" t="str">
        <f aca="false">IF(A369="","",J368)</f>
        <v/>
      </c>
      <c r="L368" s="185" t="n">
        <v>0</v>
      </c>
      <c r="M368" s="201" t="str">
        <f aca="false">IF(A369="","",L368)</f>
        <v/>
      </c>
      <c r="N368" s="203"/>
      <c r="O368" s="200" t="str">
        <f aca="false">IF(A369="","",L368+J368+G368)</f>
        <v/>
      </c>
      <c r="P368" s="200" t="str">
        <f aca="false">IF(A369="","",M368+K368+H368)</f>
        <v/>
      </c>
      <c r="Q368" s="204"/>
      <c r="R368" s="200" t="str">
        <f aca="false">IF($A369="","",VLOOKUP($A368,Table,MATCH(R$4,Curves,0)))</f>
        <v/>
      </c>
      <c r="S368" s="201" t="str">
        <f aca="false">IF(A369="","",R368)</f>
        <v/>
      </c>
      <c r="T368" s="200" t="str">
        <f aca="false">IF($A369="","",VLOOKUP($A368,Table,MATCH(T$4,Curves,0)))</f>
        <v/>
      </c>
      <c r="U368" s="201" t="str">
        <f aca="false">IF(A369="","",T368)</f>
        <v/>
      </c>
      <c r="V368" s="205" t="str">
        <f aca="false">IF($A369="","",IF(AND(MONTH(A368)&gt;3,MONTH(A368)&lt;11),(T368+R368+G368)*Summary!$T$10/(1-Summary!$T$10),(T368+R368+G368)*Summary!$U$10/(1-Summary!$U$10)))</f>
        <v/>
      </c>
      <c r="W368" s="200" t="str">
        <f aca="false">IF($A369="","",(T368+R368+G368+V368))</f>
        <v/>
      </c>
      <c r="X368" s="200" t="str">
        <f aca="false">IF($A369="","",(U368+S368+H368+V368))</f>
        <v/>
      </c>
      <c r="Y368" s="202"/>
      <c r="Z368" s="185" t="str">
        <f aca="false">IF($A369="","",VLOOKUP($A368,Table,MATCH(Z$4,Curves,0)))</f>
        <v/>
      </c>
      <c r="AA368" s="185" t="str">
        <f aca="false">IF($A369="","",VLOOKUP($A368,Table,MATCH(AA$4,Curves,0)))</f>
        <v/>
      </c>
      <c r="AB368" s="185" t="e">
        <f aca="false">SQRT((AA368^2*(A368-$D$3)+Z368^2*(DAY(EOMONTH(A368,0))/2))/AK368)</f>
        <v>#VALUE!</v>
      </c>
      <c r="AC368" s="185" t="str">
        <f aca="false">IF($A369="","",VLOOKUP($A368,Table,MATCH(AC$4,Curves,0)))</f>
        <v/>
      </c>
      <c r="AD368" s="185" t="str">
        <f aca="false">IF($A369="","",VLOOKUP($A368,Table,MATCH(AD$4,Curves,0)))</f>
        <v/>
      </c>
      <c r="AE368" s="185" t="e">
        <f aca="false">SQRT((AD368^2*(A368-$D$3)+AC368^2*(DAY(EOMONTH(A368,0))/2))/AK368)</f>
        <v>#VALUE!</v>
      </c>
      <c r="AF368" s="224" t="e">
        <f aca="false">((Summary!$N$10*(AA368*AD368)*(A368-$D$3))+(Summary!$M$10*Z368*AC368*(AJ368-EOMONTH(EDATE(A368,-1),0))))/(AK368*AB368*AE368)</f>
        <v>#VALUE!</v>
      </c>
      <c r="AG368" s="207" t="str">
        <f aca="false">IF($A369="","",Summary!$Q$10)</f>
        <v/>
      </c>
      <c r="AH368" s="207" t="str">
        <f aca="false">IF($A369="","",IF(Summary!$R$10="Y",(VLOOKUP($A368,Summary!$AD$6:$AF$9,3)+'Escalating commodity'!F381),'Escalating commodity'!F381))</f>
        <v/>
      </c>
      <c r="AI368" s="207" t="str">
        <f aca="false">IF($A369="","",AH368)</f>
        <v/>
      </c>
      <c r="AJ368" s="208" t="e">
        <f aca="false">A368+DAY(EOMONTH(A368,0))/2-1</f>
        <v>#VALUE!</v>
      </c>
      <c r="AK368" s="209" t="str">
        <f aca="false">IF($A369="","",$A368-$E$1)</f>
        <v/>
      </c>
      <c r="AL368" s="182" t="str">
        <f aca="false">IF($A369="","",SPRDOPT(P368,X368,AI368,0,AB368,AE368,AF368,AK368,$AJ$2,0))</f>
        <v/>
      </c>
      <c r="AM368" s="211" t="str">
        <f aca="false">IF($A369="","",MAX(0,O368-W368-AI368))</f>
        <v/>
      </c>
      <c r="AN368" s="211" t="str">
        <f aca="false">IF($A369="","",AL368-AM368)</f>
        <v/>
      </c>
      <c r="AO368" s="137" t="str">
        <f aca="false">IF(A369="","",A369-A368)</f>
        <v/>
      </c>
      <c r="AP368" s="212" t="str">
        <f aca="false">IF(A369="","",CHOOSE(F$3,A369+24,A368))</f>
        <v/>
      </c>
      <c r="AQ368" s="209" t="str">
        <f aca="false">IF(A369="","",AP368-$E$1)</f>
        <v/>
      </c>
      <c r="AR368" s="185" t="n">
        <f aca="false">'ANR OK vs ML7'!AR368</f>
        <v>0.1</v>
      </c>
      <c r="AS368" s="213" t="str">
        <f aca="false">IF(A369="","",1/(1+CHOOSE(F$3,(AR369+($I$3/10000))/2,(AR368+($I$3/10000))/2))^(2*AQ368/365.25))</f>
        <v/>
      </c>
      <c r="AT368" s="137" t="str">
        <f aca="false">IF(A369="","",IF(AND(mthbeg&lt;=A368,mthend&gt;=A368),1,0))</f>
        <v/>
      </c>
      <c r="AU368" s="137" t="str">
        <f aca="false">IF(A369="","",AO368*AT368)</f>
        <v/>
      </c>
      <c r="AW368" s="195" t="str">
        <f aca="false">IF($A369="","",AL368*$E368)</f>
        <v/>
      </c>
      <c r="AX368" s="195" t="str">
        <f aca="false">IF($A369="","",AM368*$E368)</f>
        <v/>
      </c>
      <c r="AY368" s="195" t="str">
        <f aca="false">IF($A369="","",AN368*$E368)</f>
        <v/>
      </c>
      <c r="BA368" s="195" t="str">
        <f aca="false">IF($A369="","",F368*Summary!$Q$10)</f>
        <v/>
      </c>
    </row>
    <row r="369" customFormat="false" ht="12" hidden="false" customHeight="true" outlineLevel="0" collapsed="false">
      <c r="A369" s="196" t="str">
        <f aca="false">IF(A368&lt;mthend,EDATE(A368,1),"")</f>
        <v/>
      </c>
      <c r="B369" s="197" t="str">
        <f aca="false">IF(A369&lt;mthend,B368,"")</f>
        <v/>
      </c>
      <c r="C369" s="215"/>
      <c r="D369" s="197" t="str">
        <f aca="false">IF(A370&lt;&gt;"",B369+C369,"")</f>
        <v/>
      </c>
      <c r="E369" s="199" t="str">
        <f aca="false">IF(A370="","",IF(AND(AT369=1,$H$3=1),D369*AO369,IF($H$3=2,D369,"N/A")))</f>
        <v/>
      </c>
      <c r="F369" s="199" t="str">
        <f aca="false">IF(A370="","",E369*AS369)</f>
        <v/>
      </c>
      <c r="G369" s="200" t="str">
        <f aca="false">IF($A370="","",VLOOKUP($A369,Table,MATCH(G$4,Curves,0)))</f>
        <v/>
      </c>
      <c r="H369" s="201" t="str">
        <f aca="false">IF(A370="","",G369)</f>
        <v/>
      </c>
      <c r="I369" s="202"/>
      <c r="J369" s="200" t="str">
        <f aca="false">IF($A370="","",VLOOKUP($A369,Table,MATCH(J$4,Curves,0)))</f>
        <v/>
      </c>
      <c r="K369" s="201" t="str">
        <f aca="false">IF(A370="","",J369)</f>
        <v/>
      </c>
      <c r="L369" s="185" t="n">
        <v>0</v>
      </c>
      <c r="M369" s="201" t="str">
        <f aca="false">IF(A370="","",L369)</f>
        <v/>
      </c>
      <c r="N369" s="203"/>
      <c r="O369" s="200" t="str">
        <f aca="false">IF(A370="","",L369+J369+G369)</f>
        <v/>
      </c>
      <c r="P369" s="200" t="str">
        <f aca="false">IF(A370="","",M369+K369+H369)</f>
        <v/>
      </c>
      <c r="Q369" s="204"/>
      <c r="R369" s="200" t="str">
        <f aca="false">IF($A370="","",VLOOKUP($A369,Table,MATCH(R$4,Curves,0)))</f>
        <v/>
      </c>
      <c r="S369" s="201" t="str">
        <f aca="false">IF(A370="","",R369)</f>
        <v/>
      </c>
      <c r="T369" s="200" t="str">
        <f aca="false">IF($A370="","",VLOOKUP($A369,Table,MATCH(T$4,Curves,0)))</f>
        <v/>
      </c>
      <c r="U369" s="201" t="str">
        <f aca="false">IF(A370="","",T369)</f>
        <v/>
      </c>
      <c r="V369" s="205" t="str">
        <f aca="false">IF($A370="","",IF(AND(MONTH(A369)&gt;3,MONTH(A369)&lt;11),(T369+R369+G369)*Summary!$T$10/(1-Summary!$T$10),(T369+R369+G369)*Summary!$U$10/(1-Summary!$U$10)))</f>
        <v/>
      </c>
      <c r="W369" s="200" t="str">
        <f aca="false">IF($A370="","",(T369+R369+G369+V369))</f>
        <v/>
      </c>
      <c r="X369" s="200" t="str">
        <f aca="false">IF($A370="","",(U369+S369+H369+V369))</f>
        <v/>
      </c>
      <c r="Y369" s="202"/>
      <c r="Z369" s="185" t="str">
        <f aca="false">IF($A370="","",VLOOKUP($A369,Table,MATCH(Z$4,Curves,0)))</f>
        <v/>
      </c>
      <c r="AA369" s="185" t="str">
        <f aca="false">IF($A370="","",VLOOKUP($A369,Table,MATCH(AA$4,Curves,0)))</f>
        <v/>
      </c>
      <c r="AB369" s="185" t="e">
        <f aca="false">SQRT((AA369^2*(A369-$D$3)+Z369^2*(DAY(EOMONTH(A369,0))/2))/AK369)</f>
        <v>#VALUE!</v>
      </c>
      <c r="AC369" s="185" t="str">
        <f aca="false">IF($A370="","",VLOOKUP($A369,Table,MATCH(AC$4,Curves,0)))</f>
        <v/>
      </c>
      <c r="AD369" s="185" t="str">
        <f aca="false">IF($A370="","",VLOOKUP($A369,Table,MATCH(AD$4,Curves,0)))</f>
        <v/>
      </c>
      <c r="AE369" s="185" t="e">
        <f aca="false">SQRT((AD369^2*(A369-$D$3)+AC369^2*(DAY(EOMONTH(A369,0))/2))/AK369)</f>
        <v>#VALUE!</v>
      </c>
      <c r="AF369" s="224" t="e">
        <f aca="false">((Summary!$N$10*(AA369*AD369)*(A369-$D$3))+(Summary!$M$10*Z369*AC369*(AJ369-EOMONTH(EDATE(A369,-1),0))))/(AK369*AB369*AE369)</f>
        <v>#VALUE!</v>
      </c>
      <c r="AG369" s="207" t="str">
        <f aca="false">IF($A370="","",Summary!$Q$10)</f>
        <v/>
      </c>
      <c r="AH369" s="207" t="str">
        <f aca="false">IF($A370="","",IF(Summary!$R$10="Y",(VLOOKUP($A369,Summary!$AD$6:$AF$9,3)+'Escalating commodity'!F382),'Escalating commodity'!F382))</f>
        <v/>
      </c>
      <c r="AI369" s="207" t="str">
        <f aca="false">IF($A370="","",AH369)</f>
        <v/>
      </c>
      <c r="AJ369" s="208" t="e">
        <f aca="false">A369+DAY(EOMONTH(A369,0))/2-1</f>
        <v>#VALUE!</v>
      </c>
      <c r="AK369" s="209" t="str">
        <f aca="false">IF($A370="","",$A369-$E$1)</f>
        <v/>
      </c>
      <c r="AL369" s="182" t="str">
        <f aca="false">IF($A370="","",SPRDOPT(P369,X369,AI369,0,AB369,AE369,AF369,AK369,$AJ$2,0))</f>
        <v/>
      </c>
      <c r="AM369" s="211" t="str">
        <f aca="false">IF($A370="","",MAX(0,O369-W369-AI369))</f>
        <v/>
      </c>
      <c r="AN369" s="211" t="str">
        <f aca="false">IF($A370="","",AL369-AM369)</f>
        <v/>
      </c>
      <c r="AO369" s="137" t="str">
        <f aca="false">IF(A370="","",A370-A369)</f>
        <v/>
      </c>
      <c r="AP369" s="212" t="str">
        <f aca="false">IF(A370="","",CHOOSE(F$3,A370+24,A369))</f>
        <v/>
      </c>
      <c r="AQ369" s="209" t="str">
        <f aca="false">IF(A370="","",AP369-$E$1)</f>
        <v/>
      </c>
      <c r="AR369" s="185" t="n">
        <f aca="false">'ANR OK vs ML7'!AR369</f>
        <v>0.1</v>
      </c>
      <c r="AS369" s="213" t="str">
        <f aca="false">IF(A370="","",1/(1+CHOOSE(F$3,(AR370+($I$3/10000))/2,(AR369+($I$3/10000))/2))^(2*AQ369/365.25))</f>
        <v/>
      </c>
      <c r="AT369" s="137" t="str">
        <f aca="false">IF(A370="","",IF(AND(mthbeg&lt;=A369,mthend&gt;=A369),1,0))</f>
        <v/>
      </c>
      <c r="AU369" s="137" t="str">
        <f aca="false">IF(A370="","",AO369*AT369)</f>
        <v/>
      </c>
      <c r="AW369" s="195" t="str">
        <f aca="false">IF($A370="","",AL369*$E369)</f>
        <v/>
      </c>
      <c r="AX369" s="195" t="str">
        <f aca="false">IF($A370="","",AM369*$E369)</f>
        <v/>
      </c>
      <c r="AY369" s="195" t="str">
        <f aca="false">IF($A370="","",AN369*$E369)</f>
        <v/>
      </c>
      <c r="BA369" s="195" t="str">
        <f aca="false">IF($A370="","",F369*Summary!$Q$10)</f>
        <v/>
      </c>
    </row>
    <row r="370" customFormat="false" ht="12.75" hidden="false" customHeight="false" outlineLevel="0" collapsed="false">
      <c r="A370" s="196" t="str">
        <f aca="false">IF(A369&lt;mthend,EDATE(A369,1),"")</f>
        <v/>
      </c>
      <c r="B370" s="197" t="str">
        <f aca="false">IF(A370&lt;mthend,B369,"")</f>
        <v/>
      </c>
      <c r="C370" s="216"/>
      <c r="D370" s="197" t="str">
        <f aca="false">IF(A371&lt;&gt;"",B370+C370,"")</f>
        <v/>
      </c>
      <c r="E370" s="199" t="str">
        <f aca="false">IF(A371="","",IF(AND(AT370=1,$H$3=1),D370*AO370,IF($H$3=2,D370,"N/A")))</f>
        <v/>
      </c>
      <c r="F370" s="199" t="str">
        <f aca="false">IF(A371="","",E370*AS370)</f>
        <v/>
      </c>
      <c r="G370" s="200" t="str">
        <f aca="false">IF($A371="","",VLOOKUP($A370,Table,MATCH(G$4,Curves,0)))</f>
        <v/>
      </c>
      <c r="H370" s="201" t="str">
        <f aca="false">IF(A371="","",G370)</f>
        <v/>
      </c>
      <c r="J370" s="200" t="str">
        <f aca="false">IF($A371="","",VLOOKUP($A370,Table,MATCH(J$4,Curves,0)))</f>
        <v/>
      </c>
      <c r="K370" s="201" t="str">
        <f aca="false">IF(A371="","",J370)</f>
        <v/>
      </c>
      <c r="L370" s="185" t="n">
        <v>0</v>
      </c>
      <c r="M370" s="201" t="str">
        <f aca="false">IF(A371="","",L370)</f>
        <v/>
      </c>
      <c r="O370" s="200" t="str">
        <f aca="false">IF(A371="","",L370+J370+G370)</f>
        <v/>
      </c>
      <c r="P370" s="200" t="str">
        <f aca="false">IF(A371="","",M370+K370+H370)</f>
        <v/>
      </c>
      <c r="R370" s="200" t="str">
        <f aca="false">IF($A371="","",VLOOKUP($A370,Table,MATCH(R$4,Curves,0)))</f>
        <v/>
      </c>
      <c r="S370" s="201" t="str">
        <f aca="false">IF(A371="","",R370)</f>
        <v/>
      </c>
      <c r="T370" s="200" t="str">
        <f aca="false">IF($A371="","",VLOOKUP($A370,Table,MATCH(T$4,Curves,0)))</f>
        <v/>
      </c>
      <c r="U370" s="201" t="str">
        <f aca="false">IF(A371="","",T370)</f>
        <v/>
      </c>
      <c r="V370" s="205" t="str">
        <f aca="false">IF($A371="","",IF(AND(MONTH(A370)&gt;3,MONTH(A370)&lt;11),(T370+R370+G370)*Summary!$T$10/(1-Summary!$T$10),(T370+R370+G370)*Summary!$U$10/(1-Summary!$U$10)))</f>
        <v/>
      </c>
      <c r="W370" s="200" t="str">
        <f aca="false">IF($A371="","",(T370+R370+G370+V370))</f>
        <v/>
      </c>
      <c r="X370" s="200" t="str">
        <f aca="false">IF($A371="","",(U370+S370+H370+V370))</f>
        <v/>
      </c>
      <c r="Y370" s="202"/>
      <c r="Z370" s="185"/>
      <c r="AA370" s="21"/>
      <c r="AB370" s="21"/>
      <c r="AC370" s="21"/>
      <c r="AD370" s="21"/>
      <c r="AE370" s="21"/>
      <c r="AF370" s="21"/>
      <c r="AG370" s="182"/>
      <c r="AH370" s="182"/>
      <c r="AI370" s="182"/>
      <c r="AO370" s="137" t="str">
        <f aca="false">IF(A371="","",A371-A370)</f>
        <v/>
      </c>
      <c r="AP370" s="212" t="str">
        <f aca="false">IF(A371="","",CHOOSE(F$3,A371+24,A370))</f>
        <v/>
      </c>
      <c r="AQ370" s="209" t="str">
        <f aca="false">IF(A371="","",AP370-$E$1)</f>
        <v/>
      </c>
      <c r="AR370" s="185" t="n">
        <f aca="false">'ANR OK vs ML7'!AR370</f>
        <v>0.1</v>
      </c>
      <c r="AS370" s="213" t="str">
        <f aca="false">IF(A371="","",1/(1+CHOOSE(F$3,(AR371+($I$3/10000))/2,(AR370+($I$3/10000))/2))^(2*AQ370/365.25))</f>
        <v/>
      </c>
      <c r="AT370" s="137" t="str">
        <f aca="false">IF(A371="","",IF(AND(mthbeg&lt;=A370,mthend&gt;=A370),1,0))</f>
        <v/>
      </c>
      <c r="AU370" s="137" t="str">
        <f aca="false">IF(A371="","",AO370*AT370)</f>
        <v/>
      </c>
      <c r="AW370" s="195" t="str">
        <f aca="false">IF($A371="","",AL370*$E370)</f>
        <v/>
      </c>
      <c r="AX370" s="195" t="str">
        <f aca="false">IF($A371="","",AM370*$E370)</f>
        <v/>
      </c>
      <c r="AY370" s="195" t="str">
        <f aca="false">IF($A371="","",AN370*$E370)</f>
        <v/>
      </c>
      <c r="BA370" s="195" t="str">
        <f aca="false">IF($A371="","",F370*Summary!$Q$10)</f>
        <v/>
      </c>
    </row>
    <row r="371" customFormat="false" ht="12.75" hidden="false" customHeight="false" outlineLevel="0" collapsed="false">
      <c r="A371" s="196" t="str">
        <f aca="false">IF(A370&lt;mthend,EDATE(A370,1),"")</f>
        <v/>
      </c>
      <c r="B371" s="197" t="str">
        <f aca="false">IF(A371&lt;mthend,B370,"")</f>
        <v/>
      </c>
      <c r="D371" s="197" t="str">
        <f aca="false">IF(A372&lt;&gt;"",B371+C371,"")</f>
        <v/>
      </c>
      <c r="E371" s="199" t="str">
        <f aca="false">IF(A372="","",IF(AND(AT371=1,$H$3=1),D371*AO371,IF($H$3=2,D371,"N/A")))</f>
        <v/>
      </c>
      <c r="F371" s="199" t="str">
        <f aca="false">IF(A372="","",E371*AS371)</f>
        <v/>
      </c>
      <c r="G371" s="200" t="str">
        <f aca="false">IF($A372="","",VLOOKUP($A371,Table,MATCH(G$4,Curves,0)))</f>
        <v/>
      </c>
      <c r="H371" s="201" t="str">
        <f aca="false">IF(A372="","",G371)</f>
        <v/>
      </c>
      <c r="J371" s="200" t="str">
        <f aca="false">IF($A372="","",VLOOKUP($A371,Table,MATCH(J$4,Curves,0)))</f>
        <v/>
      </c>
      <c r="K371" s="201" t="str">
        <f aca="false">IF(A372="","",J371)</f>
        <v/>
      </c>
      <c r="L371" s="185" t="n">
        <v>0</v>
      </c>
      <c r="M371" s="201" t="str">
        <f aca="false">IF(A372="","",L371)</f>
        <v/>
      </c>
      <c r="O371" s="200" t="str">
        <f aca="false">IF(A372="","",L371+J371+G371)</f>
        <v/>
      </c>
      <c r="P371" s="200" t="str">
        <f aca="false">IF(A372="","",M371+K371+H371)</f>
        <v/>
      </c>
      <c r="R371" s="200" t="str">
        <f aca="false">IF($A372="","",VLOOKUP($A371,Table,MATCH(R$4,Curves,0)))</f>
        <v/>
      </c>
      <c r="S371" s="201" t="str">
        <f aca="false">IF(A372="","",R371)</f>
        <v/>
      </c>
      <c r="T371" s="200" t="str">
        <f aca="false">IF($A372="","",VLOOKUP($A371,Table,MATCH(T$4,Curves,0)))</f>
        <v/>
      </c>
      <c r="U371" s="201" t="str">
        <f aca="false">IF(A372="","",T371)</f>
        <v/>
      </c>
      <c r="V371" s="205" t="str">
        <f aca="false">IF($A372="","",IF(AND(MONTH(A371)&gt;3,MONTH(A371)&lt;11),(T371+R371+G371)*Summary!$T$10/(1-Summary!$T$10),(T371+R371+G371)*Summary!$U$10/(1-Summary!$U$10)))</f>
        <v/>
      </c>
      <c r="W371" s="200" t="str">
        <f aca="false">IF($A372="","",(T371+R371+G371+V371))</f>
        <v/>
      </c>
      <c r="X371" s="200" t="str">
        <f aca="false">IF($A372="","",(U371+S371+H371+V371))</f>
        <v/>
      </c>
      <c r="Y371" s="202"/>
      <c r="Z371" s="185"/>
      <c r="AG371" s="182"/>
      <c r="AH371" s="182"/>
      <c r="AI371" s="182"/>
      <c r="AJ371" s="217"/>
      <c r="AK371" s="217"/>
      <c r="AL371" s="217"/>
      <c r="AM371" s="217"/>
      <c r="AN371" s="217"/>
      <c r="AO371" s="137" t="str">
        <f aca="false">IF(A372="","",A372-A371)</f>
        <v/>
      </c>
      <c r="AP371" s="212" t="str">
        <f aca="false">IF(A372="","",CHOOSE(F$3,A372+24,A371))</f>
        <v/>
      </c>
      <c r="AQ371" s="209" t="str">
        <f aca="false">IF(A372="","",AP371-$E$1)</f>
        <v/>
      </c>
      <c r="AR371" s="185" t="n">
        <f aca="false">'ANR OK vs ML7'!AR371</f>
        <v>0.1</v>
      </c>
      <c r="AS371" s="213" t="str">
        <f aca="false">IF(A372="","",1/(1+CHOOSE(F$3,(AR372+($I$3/10000))/2,(AR371+($I$3/10000))/2))^(2*AQ371/365.25))</f>
        <v/>
      </c>
      <c r="AT371" s="137" t="str">
        <f aca="false">IF(A372="","",IF(AND(mthbeg&lt;=A371,mthend&gt;=A371),1,0))</f>
        <v/>
      </c>
      <c r="AU371" s="137" t="str">
        <f aca="false">IF(A372="","",AO371*AT371)</f>
        <v/>
      </c>
      <c r="AW371" s="195" t="str">
        <f aca="false">IF($A372="","",AL371*$E371)</f>
        <v/>
      </c>
      <c r="AX371" s="195" t="str">
        <f aca="false">IF($A372="","",AM371*$E371)</f>
        <v/>
      </c>
      <c r="AY371" s="195" t="str">
        <f aca="false">IF($A372="","",AN371*$E371)</f>
        <v/>
      </c>
      <c r="BA371" s="195" t="str">
        <f aca="false">IF($A372="","",F371*Summary!$Q$10)</f>
        <v/>
      </c>
    </row>
    <row r="372" customFormat="false" ht="12.75" hidden="false" customHeight="false" outlineLevel="0" collapsed="false">
      <c r="A372" s="196" t="str">
        <f aca="false">IF(A371&lt;mthend,EDATE(A371,1),"")</f>
        <v/>
      </c>
      <c r="B372" s="197" t="str">
        <f aca="false">IF(A372&lt;mthend,B371,"")</f>
        <v/>
      </c>
      <c r="D372" s="197" t="str">
        <f aca="false">IF(A373&lt;&gt;"",B372+C372,"")</f>
        <v/>
      </c>
      <c r="E372" s="199" t="str">
        <f aca="false">IF(A373="","",IF(AND(AT372=1,$H$3=1),D372*AO372,IF($H$3=2,D372,"N/A")))</f>
        <v/>
      </c>
      <c r="F372" s="199" t="str">
        <f aca="false">IF(A373="","",E372*AS372)</f>
        <v/>
      </c>
      <c r="G372" s="200" t="str">
        <f aca="false">IF($A373="","",VLOOKUP($A372,Table,MATCH(G$4,Curves,0)))</f>
        <v/>
      </c>
      <c r="H372" s="201" t="str">
        <f aca="false">IF(A373="","",G372)</f>
        <v/>
      </c>
      <c r="J372" s="200" t="str">
        <f aca="false">IF($A373="","",VLOOKUP($A372,Table,MATCH(J$4,Curves,0)))</f>
        <v/>
      </c>
      <c r="K372" s="201" t="str">
        <f aca="false">IF(A373="","",J372)</f>
        <v/>
      </c>
      <c r="L372" s="185" t="n">
        <v>0</v>
      </c>
      <c r="M372" s="201" t="str">
        <f aca="false">IF(A373="","",L372)</f>
        <v/>
      </c>
      <c r="O372" s="200" t="str">
        <f aca="false">IF(A373="","",L372+J372+G372)</f>
        <v/>
      </c>
      <c r="P372" s="200" t="str">
        <f aca="false">IF(A373="","",M372+K372+H372)</f>
        <v/>
      </c>
      <c r="R372" s="200" t="str">
        <f aca="false">IF($A373="","",VLOOKUP($A372,Table,MATCH(R$4,Curves,0)))</f>
        <v/>
      </c>
      <c r="S372" s="201" t="str">
        <f aca="false">IF(A373="","",R372)</f>
        <v/>
      </c>
      <c r="T372" s="200" t="str">
        <f aca="false">IF($A373="","",VLOOKUP($A372,Table,MATCH(T$4,Curves,0)))</f>
        <v/>
      </c>
      <c r="U372" s="201" t="str">
        <f aca="false">IF(A373="","",T372)</f>
        <v/>
      </c>
      <c r="V372" s="205" t="str">
        <f aca="false">IF($A373="","",IF(AND(MONTH(A372)&gt;3,MONTH(A372)&lt;11),(T372+R372+G372)*Summary!$T$10/(1-Summary!$T$10),(T372+R372+G372)*Summary!$U$10/(1-Summary!$U$10)))</f>
        <v/>
      </c>
      <c r="W372" s="200" t="str">
        <f aca="false">IF($A373="","",(T372+R372+G372+V372))</f>
        <v/>
      </c>
      <c r="X372" s="200" t="str">
        <f aca="false">IF($A373="","",(U372+S372+H372+V372))</f>
        <v/>
      </c>
      <c r="Y372" s="202"/>
      <c r="Z372" s="185"/>
      <c r="AG372" s="182"/>
      <c r="AH372" s="182"/>
      <c r="AI372" s="182"/>
      <c r="AJ372" s="218"/>
      <c r="AK372" s="218"/>
      <c r="AL372" s="218"/>
      <c r="AM372" s="218"/>
      <c r="AN372" s="218"/>
      <c r="AO372" s="137" t="str">
        <f aca="false">IF(A373="","",A373-A372)</f>
        <v/>
      </c>
      <c r="AP372" s="212" t="str">
        <f aca="false">IF(A373="","",CHOOSE(F$3,A373+24,A372))</f>
        <v/>
      </c>
      <c r="AQ372" s="209" t="str">
        <f aca="false">IF(A373="","",AP372-$E$1)</f>
        <v/>
      </c>
      <c r="AR372" s="185" t="n">
        <f aca="false">'ANR OK vs ML7'!AR372</f>
        <v>0.1</v>
      </c>
      <c r="AS372" s="213" t="str">
        <f aca="false">IF(A373="","",1/(1+CHOOSE(F$3,(AR373+($I$3/10000))/2,(AR372+($I$3/10000))/2))^(2*AQ372/365.25))</f>
        <v/>
      </c>
      <c r="AT372" s="137" t="str">
        <f aca="false">IF(A373="","",IF(AND(mthbeg&lt;=A372,mthend&gt;=A372),1,0))</f>
        <v/>
      </c>
      <c r="AU372" s="137" t="str">
        <f aca="false">IF(A373="","",AO372*AT372)</f>
        <v/>
      </c>
      <c r="AW372" s="195" t="str">
        <f aca="false">IF($A373="","",AL372*$E372)</f>
        <v/>
      </c>
      <c r="AX372" s="195" t="str">
        <f aca="false">IF($A373="","",AM372*$E372)</f>
        <v/>
      </c>
      <c r="AY372" s="195" t="str">
        <f aca="false">IF($A373="","",AN372*$E372)</f>
        <v/>
      </c>
      <c r="BA372" s="195" t="str">
        <f aca="false">IF($A373="","",F372*Summary!$Q$10)</f>
        <v/>
      </c>
    </row>
    <row r="373" customFormat="false" ht="12.75" hidden="false" customHeight="false" outlineLevel="0" collapsed="false">
      <c r="A373" s="196" t="str">
        <f aca="false">IF(A372&lt;mthend,EDATE(A372,1),"")</f>
        <v/>
      </c>
      <c r="B373" s="197" t="str">
        <f aca="false">IF(A373&lt;mthend,B372,"")</f>
        <v/>
      </c>
      <c r="D373" s="197" t="str">
        <f aca="false">IF(A374&lt;&gt;"",B373+C373,"")</f>
        <v/>
      </c>
      <c r="E373" s="199" t="str">
        <f aca="false">IF(A374="","",IF(AND(AT373=1,$H$3=1),D373*AO373,IF($H$3=2,D373,"N/A")))</f>
        <v/>
      </c>
      <c r="F373" s="199" t="str">
        <f aca="false">IF(A374="","",E373*AS373)</f>
        <v/>
      </c>
      <c r="G373" s="200" t="str">
        <f aca="false">IF($A374="","",VLOOKUP($A373,Table,MATCH(G$4,Curves,0)))</f>
        <v/>
      </c>
      <c r="H373" s="201" t="str">
        <f aca="false">IF(A374="","",G373)</f>
        <v/>
      </c>
      <c r="J373" s="200" t="str">
        <f aca="false">IF($A374="","",VLOOKUP($A373,Table,MATCH(J$4,Curves,0)))</f>
        <v/>
      </c>
      <c r="K373" s="201" t="str">
        <f aca="false">IF(A374="","",J373)</f>
        <v/>
      </c>
      <c r="L373" s="185" t="n">
        <v>0</v>
      </c>
      <c r="M373" s="201" t="str">
        <f aca="false">IF(A374="","",L373)</f>
        <v/>
      </c>
      <c r="O373" s="200" t="str">
        <f aca="false">IF(A374="","",L373+J373+G373)</f>
        <v/>
      </c>
      <c r="P373" s="200" t="str">
        <f aca="false">IF(A374="","",M373+K373+H373)</f>
        <v/>
      </c>
      <c r="R373" s="200" t="str">
        <f aca="false">IF($A374="","",VLOOKUP($A373,Table,MATCH(R$4,Curves,0)))</f>
        <v/>
      </c>
      <c r="S373" s="201" t="str">
        <f aca="false">IF(A374="","",R373)</f>
        <v/>
      </c>
      <c r="T373" s="200" t="str">
        <f aca="false">IF($A374="","",VLOOKUP($A373,Table,MATCH(T$4,Curves,0)))</f>
        <v/>
      </c>
      <c r="U373" s="201" t="str">
        <f aca="false">IF(A374="","",T373)</f>
        <v/>
      </c>
      <c r="V373" s="205" t="str">
        <f aca="false">IF($A374="","",IF(AND(MONTH(A373)&gt;3,MONTH(A373)&lt;11),(T373+R373+G373)*Summary!$T$10/(1-Summary!$T$10),(T373+R373+G373)*Summary!$U$10/(1-Summary!$U$10)))</f>
        <v/>
      </c>
      <c r="W373" s="200" t="str">
        <f aca="false">IF($A374="","",(T373+R373+G373+V373))</f>
        <v/>
      </c>
      <c r="X373" s="200" t="str">
        <f aca="false">IF($A374="","",(U373+S373+H373+V373))</f>
        <v/>
      </c>
      <c r="Y373" s="202"/>
      <c r="Z373" s="185"/>
      <c r="AG373" s="182"/>
      <c r="AH373" s="182"/>
      <c r="AI373" s="182"/>
      <c r="AJ373" s="218"/>
      <c r="AK373" s="218"/>
      <c r="AL373" s="218"/>
      <c r="AM373" s="218"/>
      <c r="AN373" s="218"/>
      <c r="AO373" s="137" t="str">
        <f aca="false">IF(A374="","",A374-A373)</f>
        <v/>
      </c>
      <c r="AP373" s="212" t="str">
        <f aca="false">IF(A374="","",CHOOSE(F$3,A374+24,A373))</f>
        <v/>
      </c>
      <c r="AQ373" s="209" t="str">
        <f aca="false">IF(A374="","",AP373-$E$1)</f>
        <v/>
      </c>
      <c r="AR373" s="185" t="n">
        <f aca="false">'ANR OK vs ML7'!AR373</f>
        <v>0.1</v>
      </c>
      <c r="AS373" s="213" t="str">
        <f aca="false">IF(A374="","",1/(1+CHOOSE(F$3,(AR374+($I$3/10000))/2,(AR373+($I$3/10000))/2))^(2*AQ373/365.25))</f>
        <v/>
      </c>
      <c r="AT373" s="137" t="str">
        <f aca="false">IF(A374="","",IF(AND(mthbeg&lt;=A373,mthend&gt;=A373),1,0))</f>
        <v/>
      </c>
      <c r="AU373" s="137" t="str">
        <f aca="false">IF(A374="","",AO373*AT373)</f>
        <v/>
      </c>
      <c r="AW373" s="195" t="str">
        <f aca="false">IF($A374="","",AL373*$E373)</f>
        <v/>
      </c>
      <c r="AX373" s="195" t="str">
        <f aca="false">IF($A374="","",AM373*$E373)</f>
        <v/>
      </c>
      <c r="AY373" s="195" t="str">
        <f aca="false">IF($A374="","",AN373*$E373)</f>
        <v/>
      </c>
      <c r="BA373" s="195" t="str">
        <f aca="false">IF($A374="","",F373*Summary!$Q$10)</f>
        <v/>
      </c>
    </row>
    <row r="374" customFormat="false" ht="12.75" hidden="false" customHeight="false" outlineLevel="0" collapsed="false">
      <c r="A374" s="196" t="str">
        <f aca="false">IF(A373&lt;mthend,EDATE(A373,1),"")</f>
        <v/>
      </c>
      <c r="B374" s="197" t="str">
        <f aca="false">IF(A374&lt;mthend,B373,"")</f>
        <v/>
      </c>
      <c r="D374" s="197" t="str">
        <f aca="false">IF(A375&lt;&gt;"",B374+C374,"")</f>
        <v/>
      </c>
      <c r="E374" s="199" t="str">
        <f aca="false">IF(A375="","",IF(AND(AT374=1,$H$3=1),D374*AO374,IF($H$3=2,D374,"N/A")))</f>
        <v/>
      </c>
      <c r="F374" s="199" t="str">
        <f aca="false">IF(A375="","",E374*AS374)</f>
        <v/>
      </c>
      <c r="G374" s="200" t="str">
        <f aca="false">IF($A375="","",VLOOKUP($A374,Table,MATCH(G$4,Curves,0)))</f>
        <v/>
      </c>
      <c r="H374" s="201" t="str">
        <f aca="false">IF(A375="","",G374)</f>
        <v/>
      </c>
      <c r="J374" s="200" t="str">
        <f aca="false">IF($A375="","",VLOOKUP($A374,Table,MATCH(J$4,Curves,0)))</f>
        <v/>
      </c>
      <c r="K374" s="201" t="str">
        <f aca="false">IF(A375="","",J374)</f>
        <v/>
      </c>
      <c r="L374" s="185" t="n">
        <v>0</v>
      </c>
      <c r="M374" s="201" t="str">
        <f aca="false">IF(A375="","",L374)</f>
        <v/>
      </c>
      <c r="O374" s="200" t="str">
        <f aca="false">IF(A375="","",L374+J374+G374)</f>
        <v/>
      </c>
      <c r="P374" s="200" t="str">
        <f aca="false">IF(A375="","",M374+K374+H374)</f>
        <v/>
      </c>
      <c r="R374" s="200" t="str">
        <f aca="false">IF($A375="","",VLOOKUP($A374,Table,MATCH(R$4,Curves,0)))</f>
        <v/>
      </c>
      <c r="S374" s="201" t="str">
        <f aca="false">IF(A375="","",R374)</f>
        <v/>
      </c>
      <c r="T374" s="200" t="str">
        <f aca="false">IF($A375="","",VLOOKUP($A374,Table,MATCH(T$4,Curves,0)))</f>
        <v/>
      </c>
      <c r="U374" s="201" t="str">
        <f aca="false">IF(A375="","",T374)</f>
        <v/>
      </c>
      <c r="V374" s="205" t="str">
        <f aca="false">IF($A375="","",IF(AND(MONTH(A374)&gt;3,MONTH(A374)&lt;11),(T374+R374+G374)*Summary!$T$10/(1-Summary!$T$10),(T374+R374+G374)*Summary!$U$10/(1-Summary!$U$10)))</f>
        <v/>
      </c>
      <c r="W374" s="200" t="str">
        <f aca="false">IF($A375="","",(T374+R374+G374+V374))</f>
        <v/>
      </c>
      <c r="X374" s="200" t="str">
        <f aca="false">IF($A375="","",(U374+S374+H374+V374))</f>
        <v/>
      </c>
      <c r="Y374" s="202"/>
      <c r="Z374" s="185"/>
      <c r="AG374" s="182"/>
      <c r="AH374" s="182"/>
      <c r="AI374" s="182"/>
      <c r="AJ374" s="218"/>
      <c r="AK374" s="218"/>
      <c r="AL374" s="218"/>
      <c r="AM374" s="218"/>
      <c r="AN374" s="218"/>
      <c r="AO374" s="137" t="str">
        <f aca="false">IF(A375="","",A375-A374)</f>
        <v/>
      </c>
      <c r="AP374" s="212" t="str">
        <f aca="false">IF(A375="","",CHOOSE(F$3,A375+24,A374))</f>
        <v/>
      </c>
      <c r="AQ374" s="209" t="str">
        <f aca="false">IF(A375="","",AP374-$E$1)</f>
        <v/>
      </c>
      <c r="AR374" s="185" t="n">
        <f aca="false">'ANR OK vs ML7'!AR374</f>
        <v>0.1</v>
      </c>
      <c r="AS374" s="213" t="str">
        <f aca="false">IF(A375="","",1/(1+CHOOSE(F$3,(AR375+($I$3/10000))/2,(AR374+($I$3/10000))/2))^(2*AQ374/365.25))</f>
        <v/>
      </c>
      <c r="AT374" s="137" t="str">
        <f aca="false">IF(A375="","",IF(AND(mthbeg&lt;=A374,mthend&gt;=A374),1,0))</f>
        <v/>
      </c>
      <c r="AU374" s="137" t="str">
        <f aca="false">IF(A375="","",AO374*AT374)</f>
        <v/>
      </c>
      <c r="AW374" s="195" t="str">
        <f aca="false">IF($A375="","",AL374*$E374)</f>
        <v/>
      </c>
      <c r="AX374" s="195" t="str">
        <f aca="false">IF($A375="","",AM374*$E374)</f>
        <v/>
      </c>
      <c r="AY374" s="195" t="str">
        <f aca="false">IF($A375="","",AN374*$E374)</f>
        <v/>
      </c>
      <c r="BA374" s="195" t="str">
        <f aca="false">IF($A375="","",F374*Summary!$Q$10)</f>
        <v/>
      </c>
    </row>
    <row r="375" customFormat="false" ht="12.75" hidden="false" customHeight="false" outlineLevel="0" collapsed="false">
      <c r="A375" s="196" t="str">
        <f aca="false">IF(A374&lt;mthend,EDATE(A374,1),"")</f>
        <v/>
      </c>
      <c r="B375" s="197" t="str">
        <f aca="false">IF(A375&lt;mthend,B374,"")</f>
        <v/>
      </c>
      <c r="D375" s="197" t="str">
        <f aca="false">IF(A376&lt;&gt;"",B375+C375,"")</f>
        <v/>
      </c>
      <c r="E375" s="199" t="str">
        <f aca="false">IF(A376="","",IF(AND(AT375=1,$H$3=1),D375*AO375,IF($H$3=2,D375,"N/A")))</f>
        <v/>
      </c>
      <c r="F375" s="199" t="str">
        <f aca="false">IF(A376="","",E375*AS375)</f>
        <v/>
      </c>
      <c r="G375" s="200" t="str">
        <f aca="false">IF($A376="","",VLOOKUP($A375,Table,MATCH(G$4,Curves,0)))</f>
        <v/>
      </c>
      <c r="H375" s="201" t="str">
        <f aca="false">IF(A376="","",G375)</f>
        <v/>
      </c>
      <c r="J375" s="200" t="str">
        <f aca="false">IF($A376="","",VLOOKUP($A375,Table,MATCH(J$4,Curves,0)))</f>
        <v/>
      </c>
      <c r="K375" s="201" t="str">
        <f aca="false">IF(A376="","",J375)</f>
        <v/>
      </c>
      <c r="L375" s="185" t="n">
        <v>0</v>
      </c>
      <c r="M375" s="201" t="str">
        <f aca="false">IF(A376="","",L375)</f>
        <v/>
      </c>
      <c r="O375" s="200" t="str">
        <f aca="false">IF(A376="","",L375+J375+G375)</f>
        <v/>
      </c>
      <c r="P375" s="200" t="str">
        <f aca="false">IF(A376="","",M375+K375+H375)</f>
        <v/>
      </c>
      <c r="R375" s="200" t="str">
        <f aca="false">IF($A376="","",VLOOKUP($A375,Table,MATCH(R$4,Curves,0)))</f>
        <v/>
      </c>
      <c r="S375" s="201" t="str">
        <f aca="false">IF(A376="","",R375)</f>
        <v/>
      </c>
      <c r="T375" s="200" t="str">
        <f aca="false">IF($A376="","",VLOOKUP($A375,Table,MATCH(T$4,Curves,0)))</f>
        <v/>
      </c>
      <c r="U375" s="201" t="str">
        <f aca="false">IF(A376="","",T375)</f>
        <v/>
      </c>
      <c r="V375" s="205" t="str">
        <f aca="false">IF($A376="","",IF(AND(MONTH(A375)&gt;3,MONTH(A375)&lt;11),(T375+R375+G375)*Summary!$T$10/(1-Summary!$T$10),(T375+R375+G375)*Summary!$U$10/(1-Summary!$U$10)))</f>
        <v/>
      </c>
      <c r="W375" s="200" t="str">
        <f aca="false">IF($A376="","",(T375+R375+G375+V375))</f>
        <v/>
      </c>
      <c r="X375" s="200" t="str">
        <f aca="false">IF($A376="","",(U375+S375+H375+V375))</f>
        <v/>
      </c>
      <c r="Y375" s="202"/>
      <c r="Z375" s="185"/>
      <c r="AG375" s="182"/>
      <c r="AH375" s="182"/>
      <c r="AI375" s="182"/>
      <c r="AJ375" s="218"/>
      <c r="AK375" s="218"/>
      <c r="AL375" s="218"/>
      <c r="AM375" s="218"/>
      <c r="AN375" s="218"/>
      <c r="AO375" s="137" t="str">
        <f aca="false">IF(A376="","",A376-A375)</f>
        <v/>
      </c>
      <c r="AP375" s="212" t="str">
        <f aca="false">IF(A376="","",CHOOSE(F$3,A376+24,A375))</f>
        <v/>
      </c>
      <c r="AQ375" s="209" t="str">
        <f aca="false">IF(A376="","",AP375-$E$1)</f>
        <v/>
      </c>
      <c r="AR375" s="185" t="n">
        <f aca="false">'ANR OK vs ML7'!AR375</f>
        <v>0.1</v>
      </c>
      <c r="AS375" s="213" t="str">
        <f aca="false">IF(A376="","",1/(1+CHOOSE(F$3,(AR376+($I$3/10000))/2,(AR375+($I$3/10000))/2))^(2*AQ375/365.25))</f>
        <v/>
      </c>
      <c r="AT375" s="137" t="str">
        <f aca="false">IF(A376="","",IF(AND(mthbeg&lt;=A375,mthend&gt;=A375),1,0))</f>
        <v/>
      </c>
      <c r="AU375" s="137" t="str">
        <f aca="false">IF(A376="","",AO375*AT375)</f>
        <v/>
      </c>
      <c r="AW375" s="195" t="str">
        <f aca="false">IF($A376="","",AL375*$E375)</f>
        <v/>
      </c>
      <c r="AX375" s="195" t="str">
        <f aca="false">IF($A376="","",AM375*$E375)</f>
        <v/>
      </c>
      <c r="AY375" s="195" t="str">
        <f aca="false">IF($A376="","",AN375*$E375)</f>
        <v/>
      </c>
      <c r="BA375" s="195" t="str">
        <f aca="false">IF($A376="","",F375*Summary!$Q$10)</f>
        <v/>
      </c>
    </row>
    <row r="376" customFormat="false" ht="12.75" hidden="false" customHeight="false" outlineLevel="0" collapsed="false">
      <c r="A376" s="196" t="str">
        <f aca="false">IF(A375&lt;mthend,EDATE(A375,1),"")</f>
        <v/>
      </c>
      <c r="B376" s="197" t="str">
        <f aca="false">IF(A376&lt;mthend,B375,"")</f>
        <v/>
      </c>
      <c r="D376" s="197" t="str">
        <f aca="false">IF(A377&lt;&gt;"",B376+C376,"")</f>
        <v/>
      </c>
      <c r="E376" s="199" t="str">
        <f aca="false">IF(A377="","",IF(AND(AT376=1,$H$3=1),D376*AO376,IF($H$3=2,D376,"N/A")))</f>
        <v/>
      </c>
      <c r="F376" s="199" t="str">
        <f aca="false">IF(A377="","",E376*AS376)</f>
        <v/>
      </c>
      <c r="G376" s="200" t="str">
        <f aca="false">IF($A377="","",VLOOKUP($A376,Table,MATCH(G$4,Curves,0)))</f>
        <v/>
      </c>
      <c r="H376" s="201" t="str">
        <f aca="false">IF(A377="","",G376)</f>
        <v/>
      </c>
      <c r="J376" s="200" t="str">
        <f aca="false">IF($A377="","",VLOOKUP($A376,Table,MATCH(J$4,Curves,0)))</f>
        <v/>
      </c>
      <c r="K376" s="201" t="str">
        <f aca="false">IF(A377="","",J376)</f>
        <v/>
      </c>
      <c r="L376" s="185" t="n">
        <v>0</v>
      </c>
      <c r="M376" s="201" t="str">
        <f aca="false">IF(A377="","",L376)</f>
        <v/>
      </c>
      <c r="O376" s="200" t="str">
        <f aca="false">IF(A377="","",L376+J376+G376)</f>
        <v/>
      </c>
      <c r="P376" s="200" t="str">
        <f aca="false">IF(A377="","",M376+K376+H376)</f>
        <v/>
      </c>
      <c r="R376" s="200" t="str">
        <f aca="false">IF($A377="","",VLOOKUP($A376,Table,MATCH(R$4,Curves,0)))</f>
        <v/>
      </c>
      <c r="S376" s="201" t="str">
        <f aca="false">IF(A377="","",R376)</f>
        <v/>
      </c>
      <c r="T376" s="200" t="str">
        <f aca="false">IF($A377="","",VLOOKUP($A376,Table,MATCH(T$4,Curves,0)))</f>
        <v/>
      </c>
      <c r="U376" s="201" t="str">
        <f aca="false">IF(A377="","",T376)</f>
        <v/>
      </c>
      <c r="V376" s="205" t="str">
        <f aca="false">IF($A377="","",IF(AND(MONTH(A376)&gt;3,MONTH(A376)&lt;11),(T376+R376+G376)*Summary!$T$10/(1-Summary!$T$10),(T376+R376+G376)*Summary!$U$10/(1-Summary!$U$10)))</f>
        <v/>
      </c>
      <c r="W376" s="200" t="str">
        <f aca="false">IF($A377="","",(T376+R376+G376+V376))</f>
        <v/>
      </c>
      <c r="X376" s="200" t="str">
        <f aca="false">IF($A377="","",(U376+S376+H376+V376))</f>
        <v/>
      </c>
      <c r="Y376" s="202"/>
      <c r="Z376" s="185"/>
      <c r="AG376" s="182"/>
      <c r="AH376" s="182"/>
      <c r="AI376" s="182"/>
      <c r="AJ376" s="218"/>
      <c r="AK376" s="218"/>
      <c r="AL376" s="218"/>
      <c r="AM376" s="218"/>
      <c r="AN376" s="218"/>
      <c r="AO376" s="137" t="str">
        <f aca="false">IF(A377="","",A377-A376)</f>
        <v/>
      </c>
      <c r="AP376" s="212" t="str">
        <f aca="false">IF(A377="","",CHOOSE(F$3,A377+24,A376))</f>
        <v/>
      </c>
      <c r="AQ376" s="209" t="str">
        <f aca="false">IF(A377="","",AP376-$E$1)</f>
        <v/>
      </c>
      <c r="AR376" s="185" t="n">
        <f aca="false">'ANR OK vs ML7'!AR376</f>
        <v>0.1</v>
      </c>
      <c r="AS376" s="213" t="str">
        <f aca="false">IF(A377="","",1/(1+CHOOSE(F$3,(AR377+($I$3/10000))/2,(AR376+($I$3/10000))/2))^(2*AQ376/365.25))</f>
        <v/>
      </c>
      <c r="AT376" s="137" t="str">
        <f aca="false">IF(A377="","",IF(AND(mthbeg&lt;=A376,mthend&gt;=A376),1,0))</f>
        <v/>
      </c>
      <c r="AU376" s="137" t="str">
        <f aca="false">IF(A377="","",AO376*AT376)</f>
        <v/>
      </c>
      <c r="AW376" s="195" t="str">
        <f aca="false">IF($A377="","",AL376*$E376)</f>
        <v/>
      </c>
      <c r="AX376" s="195" t="str">
        <f aca="false">IF($A377="","",AM376*$E376)</f>
        <v/>
      </c>
      <c r="AY376" s="195" t="str">
        <f aca="false">IF($A377="","",AN376*$E376)</f>
        <v/>
      </c>
      <c r="BA376" s="195" t="str">
        <f aca="false">IF($A377="","",F376*Summary!$Q$10)</f>
        <v/>
      </c>
    </row>
    <row r="377" customFormat="false" ht="12.75" hidden="false" customHeight="false" outlineLevel="0" collapsed="false">
      <c r="A377" s="196" t="str">
        <f aca="false">IF(A376&lt;mthend,EDATE(A376,1),"")</f>
        <v/>
      </c>
      <c r="B377" s="197" t="str">
        <f aca="false">IF(A377&lt;mthend,B376,"")</f>
        <v/>
      </c>
      <c r="D377" s="197" t="str">
        <f aca="false">IF(A378&lt;&gt;"",B377+C377,"")</f>
        <v/>
      </c>
      <c r="E377" s="199" t="str">
        <f aca="false">IF(A378="","",IF(AND(AT377=1,$H$3=1),D377*AO377,IF($H$3=2,D377,"N/A")))</f>
        <v/>
      </c>
      <c r="F377" s="199" t="str">
        <f aca="false">IF(A378="","",E377*AS377)</f>
        <v/>
      </c>
      <c r="G377" s="200" t="str">
        <f aca="false">IF($A378="","",VLOOKUP($A377,Table,MATCH(G$4,Curves,0)))</f>
        <v/>
      </c>
      <c r="H377" s="201" t="str">
        <f aca="false">IF(A378="","",G377)</f>
        <v/>
      </c>
      <c r="J377" s="200" t="str">
        <f aca="false">IF($A378="","",VLOOKUP($A377,Table,MATCH(J$4,Curves,0)))</f>
        <v/>
      </c>
      <c r="K377" s="201" t="str">
        <f aca="false">IF(A378="","",J377)</f>
        <v/>
      </c>
      <c r="L377" s="185" t="n">
        <v>0</v>
      </c>
      <c r="M377" s="201" t="str">
        <f aca="false">IF(A378="","",L377)</f>
        <v/>
      </c>
      <c r="O377" s="200" t="str">
        <f aca="false">IF(A378="","",L377+J377+G377)</f>
        <v/>
      </c>
      <c r="P377" s="200" t="str">
        <f aca="false">IF(A378="","",M377+K377+H377)</f>
        <v/>
      </c>
      <c r="R377" s="200" t="str">
        <f aca="false">IF($A378="","",VLOOKUP($A377,Table,MATCH(R$4,Curves,0)))</f>
        <v/>
      </c>
      <c r="S377" s="201" t="str">
        <f aca="false">IF(A378="","",R377)</f>
        <v/>
      </c>
      <c r="T377" s="200" t="str">
        <f aca="false">IF($A378="","",VLOOKUP($A377,Table,MATCH(T$4,Curves,0)))</f>
        <v/>
      </c>
      <c r="U377" s="201" t="str">
        <f aca="false">IF(A378="","",T377)</f>
        <v/>
      </c>
      <c r="V377" s="205" t="str">
        <f aca="false">IF($A378="","",IF(AND(MONTH(A377)&gt;3,MONTH(A377)&lt;11),(T377+R377+G377)*Summary!$T$10/(1-Summary!$T$10),(T377+R377+G377)*Summary!$U$10/(1-Summary!$U$10)))</f>
        <v/>
      </c>
      <c r="W377" s="200" t="str">
        <f aca="false">IF($A378="","",(T377+R377+G377+V377))</f>
        <v/>
      </c>
      <c r="X377" s="200" t="str">
        <f aca="false">IF($A378="","",(U377+S377+H377+V377))</f>
        <v/>
      </c>
      <c r="Y377" s="202"/>
      <c r="Z377" s="185"/>
      <c r="AG377" s="182"/>
      <c r="AH377" s="182"/>
      <c r="AI377" s="182"/>
      <c r="AJ377" s="218"/>
      <c r="AK377" s="218"/>
      <c r="AL377" s="218"/>
      <c r="AM377" s="218"/>
      <c r="AN377" s="218"/>
      <c r="AO377" s="137" t="str">
        <f aca="false">IF(A378="","",A378-A377)</f>
        <v/>
      </c>
      <c r="AP377" s="212" t="str">
        <f aca="false">IF(A378="","",CHOOSE(F$3,A378+24,A377))</f>
        <v/>
      </c>
      <c r="AQ377" s="209" t="str">
        <f aca="false">IF(A378="","",AP377-$E$1)</f>
        <v/>
      </c>
      <c r="AR377" s="185" t="n">
        <f aca="false">'ANR OK vs ML7'!AR377</f>
        <v>0.1</v>
      </c>
      <c r="AS377" s="213" t="str">
        <f aca="false">IF(A378="","",1/(1+CHOOSE(F$3,(AR378+($I$3/10000))/2,(AR377+($I$3/10000))/2))^(2*AQ377/365.25))</f>
        <v/>
      </c>
      <c r="AT377" s="137" t="str">
        <f aca="false">IF(A378="","",IF(AND(mthbeg&lt;=A377,mthend&gt;=A377),1,0))</f>
        <v/>
      </c>
      <c r="AU377" s="137" t="str">
        <f aca="false">IF(A378="","",AO377*AT377)</f>
        <v/>
      </c>
      <c r="AW377" s="195" t="str">
        <f aca="false">IF($A378="","",AL377*$E377)</f>
        <v/>
      </c>
      <c r="AX377" s="195" t="str">
        <f aca="false">IF($A378="","",AM377*$E377)</f>
        <v/>
      </c>
      <c r="AY377" s="195" t="str">
        <f aca="false">IF($A378="","",AN377*$E377)</f>
        <v/>
      </c>
      <c r="BA377" s="195" t="str">
        <f aca="false">IF($A378="","",F377*Summary!$Q$10)</f>
        <v/>
      </c>
    </row>
    <row r="378" customFormat="false" ht="12.75" hidden="false" customHeight="false" outlineLevel="0" collapsed="false">
      <c r="A378" s="196" t="str">
        <f aca="false">IF(A377&lt;mthend,EDATE(A377,1),"")</f>
        <v/>
      </c>
      <c r="B378" s="197" t="str">
        <f aca="false">IF(A378&lt;mthend,B377,"")</f>
        <v/>
      </c>
      <c r="D378" s="197" t="str">
        <f aca="false">IF(A379&lt;&gt;"",B378+C378,"")</f>
        <v/>
      </c>
      <c r="E378" s="199" t="str">
        <f aca="false">IF(A379="","",IF(AND(AT378=1,$H$3=1),D378*AO378,IF($H$3=2,D378,"N/A")))</f>
        <v/>
      </c>
      <c r="F378" s="199" t="str">
        <f aca="false">IF(A379="","",E378*AS378)</f>
        <v/>
      </c>
      <c r="G378" s="200" t="str">
        <f aca="false">IF($A379="","",VLOOKUP($A378,Table,MATCH(G$4,Curves,0)))</f>
        <v/>
      </c>
      <c r="H378" s="201" t="str">
        <f aca="false">IF(A379="","",G378)</f>
        <v/>
      </c>
      <c r="J378" s="200" t="str">
        <f aca="false">IF($A379="","",VLOOKUP($A378,Table,MATCH(J$4,Curves,0)))</f>
        <v/>
      </c>
      <c r="K378" s="201" t="str">
        <f aca="false">IF(A379="","",J378)</f>
        <v/>
      </c>
      <c r="L378" s="185" t="n">
        <v>0</v>
      </c>
      <c r="M378" s="201" t="str">
        <f aca="false">IF(A379="","",L378)</f>
        <v/>
      </c>
      <c r="O378" s="200" t="str">
        <f aca="false">IF(A379="","",L378+J378+G378)</f>
        <v/>
      </c>
      <c r="P378" s="200" t="str">
        <f aca="false">IF(A379="","",M378+K378+H378)</f>
        <v/>
      </c>
      <c r="R378" s="200" t="str">
        <f aca="false">IF($A379="","",VLOOKUP($A378,Table,MATCH(R$4,Curves,0)))</f>
        <v/>
      </c>
      <c r="S378" s="201" t="str">
        <f aca="false">IF(A379="","",R378)</f>
        <v/>
      </c>
      <c r="T378" s="200" t="str">
        <f aca="false">IF($A379="","",VLOOKUP($A378,Table,MATCH(T$4,Curves,0)))</f>
        <v/>
      </c>
      <c r="U378" s="201" t="str">
        <f aca="false">IF(A379="","",T378)</f>
        <v/>
      </c>
      <c r="V378" s="205" t="str">
        <f aca="false">IF($A379="","",IF(AND(MONTH(A378)&gt;3,MONTH(A378)&lt;11),(T378+R378+G378)*Summary!$T$10/(1-Summary!$T$10),(T378+R378+G378)*Summary!$U$10/(1-Summary!$U$10)))</f>
        <v/>
      </c>
      <c r="W378" s="200" t="str">
        <f aca="false">IF($A379="","",(T378+R378+G378+V378))</f>
        <v/>
      </c>
      <c r="X378" s="200" t="str">
        <f aca="false">IF($A379="","",(U378+S378+H378+V378))</f>
        <v/>
      </c>
      <c r="Y378" s="202"/>
      <c r="Z378" s="185"/>
      <c r="AG378" s="182"/>
      <c r="AH378" s="182"/>
      <c r="AI378" s="182"/>
      <c r="AJ378" s="218"/>
      <c r="AK378" s="218"/>
      <c r="AL378" s="218"/>
      <c r="AM378" s="218"/>
      <c r="AN378" s="218"/>
      <c r="AO378" s="137" t="str">
        <f aca="false">IF(A379="","",A379-A378)</f>
        <v/>
      </c>
      <c r="AP378" s="212" t="str">
        <f aca="false">IF(A379="","",CHOOSE(F$3,A379+24,A378))</f>
        <v/>
      </c>
      <c r="AQ378" s="209" t="str">
        <f aca="false">IF(A379="","",AP378-$E$1)</f>
        <v/>
      </c>
      <c r="AR378" s="185" t="n">
        <f aca="false">'ANR OK vs ML7'!AR378</f>
        <v>0.1</v>
      </c>
      <c r="AS378" s="213" t="str">
        <f aca="false">IF(A379="","",1/(1+CHOOSE(F$3,(AR379+($I$3/10000))/2,(AR378+($I$3/10000))/2))^(2*AQ378/365.25))</f>
        <v/>
      </c>
      <c r="AT378" s="137" t="str">
        <f aca="false">IF(A379="","",IF(AND(mthbeg&lt;=A378,mthend&gt;=A378),1,0))</f>
        <v/>
      </c>
      <c r="AU378" s="137" t="str">
        <f aca="false">IF(A379="","",AO378*AT378)</f>
        <v/>
      </c>
      <c r="AW378" s="195" t="str">
        <f aca="false">IF($A379="","",AL378*$E378)</f>
        <v/>
      </c>
      <c r="AX378" s="195" t="str">
        <f aca="false">IF($A379="","",AM378*$E378)</f>
        <v/>
      </c>
      <c r="AY378" s="195" t="str">
        <f aca="false">IF($A379="","",AN378*$E378)</f>
        <v/>
      </c>
      <c r="BA378" s="195" t="str">
        <f aca="false">IF($A379="","",F378*Summary!$Q$10)</f>
        <v/>
      </c>
    </row>
    <row r="379" customFormat="false" ht="12.75" hidden="false" customHeight="false" outlineLevel="0" collapsed="false">
      <c r="A379" s="196" t="str">
        <f aca="false">IF(A378&lt;mthend,EDATE(A378,1),"")</f>
        <v/>
      </c>
      <c r="B379" s="197" t="str">
        <f aca="false">IF(A379&lt;mthend,B378,"")</f>
        <v/>
      </c>
      <c r="D379" s="197" t="str">
        <f aca="false">IF(A380&lt;&gt;"",B379+C379,"")</f>
        <v/>
      </c>
      <c r="E379" s="199" t="str">
        <f aca="false">IF(A380="","",IF(AND(AT379=1,$H$3=1),D379*AO379,IF($H$3=2,D379,"N/A")))</f>
        <v/>
      </c>
      <c r="F379" s="199" t="str">
        <f aca="false">IF(A380="","",E379*AS379)</f>
        <v/>
      </c>
      <c r="G379" s="200" t="str">
        <f aca="false">IF($A380="","",VLOOKUP($A379,Table,MATCH(G$4,Curves,0)))</f>
        <v/>
      </c>
      <c r="H379" s="201" t="str">
        <f aca="false">IF(A380="","",G379)</f>
        <v/>
      </c>
      <c r="J379" s="200" t="str">
        <f aca="false">IF($A380="","",VLOOKUP($A379,Table,MATCH(J$4,Curves,0)))</f>
        <v/>
      </c>
      <c r="K379" s="201" t="str">
        <f aca="false">IF(A380="","",J379)</f>
        <v/>
      </c>
      <c r="L379" s="185" t="n">
        <v>0</v>
      </c>
      <c r="M379" s="201" t="str">
        <f aca="false">IF(A380="","",L379)</f>
        <v/>
      </c>
      <c r="O379" s="200" t="str">
        <f aca="false">IF(A380="","",L379+J379+G379)</f>
        <v/>
      </c>
      <c r="P379" s="200" t="str">
        <f aca="false">IF(A380="","",M379+K379+H379)</f>
        <v/>
      </c>
      <c r="R379" s="200" t="str">
        <f aca="false">IF($A380="","",VLOOKUP($A379,Table,MATCH(R$4,Curves,0)))</f>
        <v/>
      </c>
      <c r="S379" s="201" t="str">
        <f aca="false">IF(A380="","",R379)</f>
        <v/>
      </c>
      <c r="T379" s="200" t="str">
        <f aca="false">IF($A380="","",VLOOKUP($A379,Table,MATCH(T$4,Curves,0)))</f>
        <v/>
      </c>
      <c r="U379" s="201" t="str">
        <f aca="false">IF(A380="","",T379)</f>
        <v/>
      </c>
      <c r="V379" s="205" t="str">
        <f aca="false">IF($A380="","",IF(AND(MONTH(A379)&gt;3,MONTH(A379)&lt;11),(T379+R379+G379)*Summary!$T$10/(1-Summary!$T$10),(T379+R379+G379)*Summary!$U$10/(1-Summary!$U$10)))</f>
        <v/>
      </c>
      <c r="W379" s="200" t="str">
        <f aca="false">IF($A380="","",(T379+R379+G379+V379))</f>
        <v/>
      </c>
      <c r="X379" s="200" t="str">
        <f aca="false">IF($A380="","",(U379+S379+H379+V379))</f>
        <v/>
      </c>
      <c r="Y379" s="202"/>
      <c r="Z379" s="185"/>
      <c r="AG379" s="182"/>
      <c r="AH379" s="182"/>
      <c r="AI379" s="182"/>
      <c r="AJ379" s="218"/>
      <c r="AK379" s="218"/>
      <c r="AL379" s="218"/>
      <c r="AM379" s="218"/>
      <c r="AN379" s="218"/>
      <c r="AO379" s="137" t="str">
        <f aca="false">IF(A380="","",A380-A379)</f>
        <v/>
      </c>
      <c r="AP379" s="212" t="str">
        <f aca="false">IF(A380="","",CHOOSE(F$3,A380+24,A379))</f>
        <v/>
      </c>
      <c r="AQ379" s="209" t="str">
        <f aca="false">IF(A380="","",AP379-$E$1)</f>
        <v/>
      </c>
      <c r="AR379" s="185" t="n">
        <f aca="false">'ANR OK vs ML7'!AR379</f>
        <v>0.1</v>
      </c>
      <c r="AS379" s="213" t="str">
        <f aca="false">IF(A380="","",1/(1+CHOOSE(F$3,(AR380+($I$3/10000))/2,(AR379+($I$3/10000))/2))^(2*AQ379/365.25))</f>
        <v/>
      </c>
      <c r="AT379" s="137" t="str">
        <f aca="false">IF(A380="","",IF(AND(mthbeg&lt;=A379,mthend&gt;=A379),1,0))</f>
        <v/>
      </c>
      <c r="AU379" s="137" t="str">
        <f aca="false">IF(A380="","",AO379*AT379)</f>
        <v/>
      </c>
      <c r="AW379" s="195" t="str">
        <f aca="false">IF($A380="","",AL379*$E379)</f>
        <v/>
      </c>
      <c r="AX379" s="195" t="str">
        <f aca="false">IF($A380="","",AM379*$E379)</f>
        <v/>
      </c>
      <c r="AY379" s="195" t="str">
        <f aca="false">IF($A380="","",AN379*$E379)</f>
        <v/>
      </c>
      <c r="BA379" s="195" t="str">
        <f aca="false">IF($A380="","",F379*Summary!$Q$10)</f>
        <v/>
      </c>
    </row>
    <row r="380" customFormat="false" ht="12.75" hidden="false" customHeight="false" outlineLevel="0" collapsed="false">
      <c r="A380" s="196" t="str">
        <f aca="false">IF(A379&lt;mthend,EDATE(A379,1),"")</f>
        <v/>
      </c>
      <c r="B380" s="197" t="str">
        <f aca="false">IF(A380&lt;mthend,B379,"")</f>
        <v/>
      </c>
      <c r="D380" s="197" t="str">
        <f aca="false">IF(A381&lt;&gt;"",B380+C380,"")</f>
        <v/>
      </c>
      <c r="E380" s="199" t="str">
        <f aca="false">IF(A381="","",IF(AND(AT380=1,$H$3=1),D380*AO380,IF($H$3=2,D380,"N/A")))</f>
        <v/>
      </c>
      <c r="F380" s="199" t="str">
        <f aca="false">IF(A381="","",E380*AS380)</f>
        <v/>
      </c>
      <c r="G380" s="200" t="str">
        <f aca="false">IF($A381="","",VLOOKUP($A380,Table,MATCH(G$4,Curves,0)))</f>
        <v/>
      </c>
      <c r="H380" s="201" t="str">
        <f aca="false">IF(A381="","",G380)</f>
        <v/>
      </c>
      <c r="J380" s="200" t="str">
        <f aca="false">IF($A381="","",VLOOKUP($A380,Table,MATCH(J$4,Curves,0)))</f>
        <v/>
      </c>
      <c r="K380" s="201" t="str">
        <f aca="false">IF(A381="","",J380)</f>
        <v/>
      </c>
      <c r="L380" s="185" t="n">
        <v>0</v>
      </c>
      <c r="M380" s="201" t="str">
        <f aca="false">IF(A381="","",L380)</f>
        <v/>
      </c>
      <c r="O380" s="200" t="str">
        <f aca="false">IF(A381="","",L380+J380+G380)</f>
        <v/>
      </c>
      <c r="P380" s="200" t="str">
        <f aca="false">IF(A381="","",M380+K380+H380)</f>
        <v/>
      </c>
      <c r="R380" s="200" t="str">
        <f aca="false">IF($A381="","",VLOOKUP($A380,Table,MATCH(R$4,Curves,0)))</f>
        <v/>
      </c>
      <c r="S380" s="201" t="str">
        <f aca="false">IF(A381="","",R380)</f>
        <v/>
      </c>
      <c r="T380" s="200" t="str">
        <f aca="false">IF($A381="","",VLOOKUP($A380,Table,MATCH(T$4,Curves,0)))</f>
        <v/>
      </c>
      <c r="U380" s="201" t="str">
        <f aca="false">IF(A381="","",T380)</f>
        <v/>
      </c>
      <c r="V380" s="205" t="str">
        <f aca="false">IF($A381="","",IF(AND(MONTH(A380)&gt;3,MONTH(A380)&lt;11),(T380+R380+G380)*Summary!$T$10/(1-Summary!$T$10),(T380+R380+G380)*Summary!$U$10/(1-Summary!$U$10)))</f>
        <v/>
      </c>
      <c r="W380" s="200" t="str">
        <f aca="false">IF($A381="","",(T380+R380+G380+V380))</f>
        <v/>
      </c>
      <c r="X380" s="200" t="str">
        <f aca="false">IF($A381="","",(U380+S380+H380+V380))</f>
        <v/>
      </c>
      <c r="Y380" s="202"/>
      <c r="Z380" s="185"/>
      <c r="AG380" s="182"/>
      <c r="AH380" s="182"/>
      <c r="AI380" s="182"/>
      <c r="AJ380" s="218"/>
      <c r="AK380" s="218"/>
      <c r="AL380" s="218"/>
      <c r="AM380" s="218"/>
      <c r="AN380" s="218"/>
      <c r="AO380" s="137" t="str">
        <f aca="false">IF(A381="","",A381-A380)</f>
        <v/>
      </c>
      <c r="AP380" s="212" t="str">
        <f aca="false">IF(A381="","",CHOOSE(F$3,A381+24,A380))</f>
        <v/>
      </c>
      <c r="AQ380" s="209" t="str">
        <f aca="false">IF(A381="","",AP380-$E$1)</f>
        <v/>
      </c>
      <c r="AR380" s="185" t="n">
        <f aca="false">'ANR OK vs ML7'!AR380</f>
        <v>0.1</v>
      </c>
      <c r="AS380" s="213" t="str">
        <f aca="false">IF(A381="","",1/(1+CHOOSE(F$3,(AR381+($I$3/10000))/2,(AR380+($I$3/10000))/2))^(2*AQ380/365.25))</f>
        <v/>
      </c>
      <c r="AT380" s="137" t="str">
        <f aca="false">IF(A381="","",IF(AND(mthbeg&lt;=A380,mthend&gt;=A380),1,0))</f>
        <v/>
      </c>
      <c r="AU380" s="137" t="str">
        <f aca="false">IF(A381="","",AO380*AT380)</f>
        <v/>
      </c>
      <c r="AW380" s="195" t="str">
        <f aca="false">IF($A381="","",AL380*$E380)</f>
        <v/>
      </c>
      <c r="AX380" s="195" t="str">
        <f aca="false">IF($A381="","",AM380*$E380)</f>
        <v/>
      </c>
      <c r="AY380" s="195" t="str">
        <f aca="false">IF($A381="","",AN380*$E380)</f>
        <v/>
      </c>
      <c r="BA380" s="195" t="str">
        <f aca="false">IF($A381="","",F380*Summary!$Q$10)</f>
        <v/>
      </c>
    </row>
    <row r="381" customFormat="false" ht="12.75" hidden="false" customHeight="false" outlineLevel="0" collapsed="false">
      <c r="A381" s="196" t="str">
        <f aca="false">IF(A380&lt;mthend,EDATE(A380,1),"")</f>
        <v/>
      </c>
      <c r="B381" s="197" t="str">
        <f aca="false">IF(A381&lt;mthend,B380,"")</f>
        <v/>
      </c>
      <c r="D381" s="197" t="str">
        <f aca="false">IF(A382&lt;&gt;"",B381+C381,"")</f>
        <v/>
      </c>
      <c r="E381" s="199" t="str">
        <f aca="false">IF(A382="","",IF(AND(AT381=1,$H$3=1),D381*AO381,IF($H$3=2,D381,"N/A")))</f>
        <v/>
      </c>
      <c r="F381" s="199" t="str">
        <f aca="false">IF(A382="","",E381*AS381)</f>
        <v/>
      </c>
      <c r="G381" s="200" t="str">
        <f aca="false">IF($A382="","",VLOOKUP($A381,Table,MATCH(G$4,Curves,0)))</f>
        <v/>
      </c>
      <c r="H381" s="201" t="str">
        <f aca="false">IF(A382="","",G381)</f>
        <v/>
      </c>
      <c r="J381" s="200" t="str">
        <f aca="false">IF($A382="","",VLOOKUP($A381,Table,MATCH(J$4,Curves,0)))</f>
        <v/>
      </c>
      <c r="K381" s="201" t="str">
        <f aca="false">IF(A382="","",J381)</f>
        <v/>
      </c>
      <c r="L381" s="185" t="n">
        <v>0</v>
      </c>
      <c r="M381" s="201" t="str">
        <f aca="false">IF(A382="","",L381)</f>
        <v/>
      </c>
      <c r="O381" s="200" t="str">
        <f aca="false">IF(A382="","",L381+J381+G381)</f>
        <v/>
      </c>
      <c r="P381" s="200" t="str">
        <f aca="false">IF(A382="","",M381+K381+H381)</f>
        <v/>
      </c>
      <c r="R381" s="200" t="str">
        <f aca="false">IF($A382="","",VLOOKUP($A381,Table,MATCH(R$4,Curves,0)))</f>
        <v/>
      </c>
      <c r="S381" s="201" t="str">
        <f aca="false">IF(A382="","",R381)</f>
        <v/>
      </c>
      <c r="T381" s="200" t="str">
        <f aca="false">IF($A382="","",VLOOKUP($A381,Table,MATCH(T$4,Curves,0)))</f>
        <v/>
      </c>
      <c r="U381" s="201" t="str">
        <f aca="false">IF(A382="","",T381)</f>
        <v/>
      </c>
      <c r="V381" s="205" t="str">
        <f aca="false">IF($A382="","",IF(AND(MONTH(A381)&gt;3,MONTH(A381)&lt;11),(T381+R381+G381)*Summary!$T$10/(1-Summary!$T$10),(T381+R381+G381)*Summary!$U$10/(1-Summary!$U$10)))</f>
        <v/>
      </c>
      <c r="W381" s="200" t="str">
        <f aca="false">IF($A382="","",(T381+R381+G381+V381))</f>
        <v/>
      </c>
      <c r="X381" s="200" t="str">
        <f aca="false">IF($A382="","",(U381+S381+H381+V381))</f>
        <v/>
      </c>
      <c r="Y381" s="202"/>
      <c r="Z381" s="185"/>
      <c r="AG381" s="182"/>
      <c r="AH381" s="182"/>
      <c r="AI381" s="182"/>
      <c r="AJ381" s="218"/>
      <c r="AK381" s="218"/>
      <c r="AL381" s="218"/>
      <c r="AM381" s="218"/>
      <c r="AN381" s="218"/>
      <c r="AO381" s="137" t="str">
        <f aca="false">IF(A382="","",A382-A381)</f>
        <v/>
      </c>
      <c r="AP381" s="212" t="str">
        <f aca="false">IF(A382="","",CHOOSE(F$3,A382+24,A381))</f>
        <v/>
      </c>
      <c r="AQ381" s="209" t="str">
        <f aca="false">IF(A382="","",AP381-$E$1)</f>
        <v/>
      </c>
      <c r="AR381" s="185" t="n">
        <f aca="false">'ANR OK vs ML7'!AR381</f>
        <v>0.1</v>
      </c>
      <c r="AS381" s="213" t="str">
        <f aca="false">IF(A382="","",1/(1+CHOOSE(F$3,(AR382+($I$3/10000))/2,(AR381+($I$3/10000))/2))^(2*AQ381/365.25))</f>
        <v/>
      </c>
      <c r="AT381" s="137" t="str">
        <f aca="false">IF(A382="","",IF(AND(mthbeg&lt;=A381,mthend&gt;=A381),1,0))</f>
        <v/>
      </c>
      <c r="AU381" s="137" t="str">
        <f aca="false">IF(A382="","",AO381*AT381)</f>
        <v/>
      </c>
      <c r="AW381" s="195" t="str">
        <f aca="false">IF($A382="","",AL381*$E381)</f>
        <v/>
      </c>
      <c r="AX381" s="195" t="str">
        <f aca="false">IF($A382="","",AM381*$E381)</f>
        <v/>
      </c>
      <c r="AY381" s="195" t="str">
        <f aca="false">IF($A382="","",AN381*$E381)</f>
        <v/>
      </c>
      <c r="BA381" s="195" t="str">
        <f aca="false">IF($A382="","",F381*Summary!$Q$10)</f>
        <v/>
      </c>
    </row>
    <row r="382" customFormat="false" ht="12.75" hidden="false" customHeight="false" outlineLevel="0" collapsed="false">
      <c r="A382" s="196" t="str">
        <f aca="false">IF(A381&lt;mthend,EDATE(A381,1),"")</f>
        <v/>
      </c>
      <c r="B382" s="197" t="str">
        <f aca="false">IF(A382&lt;mthend,B381,"")</f>
        <v/>
      </c>
      <c r="D382" s="197" t="str">
        <f aca="false">IF(A383&lt;&gt;"",B382+C382,"")</f>
        <v/>
      </c>
      <c r="E382" s="199" t="str">
        <f aca="false">IF(A383="","",IF(AND(AT382=1,$H$3=1),D382*AO382,IF($H$3=2,D382,"N/A")))</f>
        <v/>
      </c>
      <c r="F382" s="199" t="str">
        <f aca="false">IF(A383="","",E382*AS382)</f>
        <v/>
      </c>
      <c r="G382" s="200" t="str">
        <f aca="false">IF($A383="","",VLOOKUP($A382,Table,MATCH(G$4,Curves,0)))</f>
        <v/>
      </c>
      <c r="H382" s="201" t="str">
        <f aca="false">IF(A383="","",G382)</f>
        <v/>
      </c>
      <c r="J382" s="200" t="str">
        <f aca="false">IF($A383="","",VLOOKUP($A382,Table,MATCH(J$4,Curves,0)))</f>
        <v/>
      </c>
      <c r="K382" s="201" t="str">
        <f aca="false">IF(A383="","",J382)</f>
        <v/>
      </c>
      <c r="L382" s="185" t="n">
        <v>0</v>
      </c>
      <c r="M382" s="201" t="str">
        <f aca="false">IF(A383="","",L382)</f>
        <v/>
      </c>
      <c r="O382" s="200" t="str">
        <f aca="false">IF(A383="","",L382+J382+G382)</f>
        <v/>
      </c>
      <c r="P382" s="200" t="str">
        <f aca="false">IF(A383="","",M382+K382+H382)</f>
        <v/>
      </c>
      <c r="R382" s="200" t="str">
        <f aca="false">IF($A383="","",VLOOKUP($A382,Table,MATCH(R$4,Curves,0)))</f>
        <v/>
      </c>
      <c r="S382" s="201" t="str">
        <f aca="false">IF(A383="","",R382)</f>
        <v/>
      </c>
      <c r="T382" s="200" t="str">
        <f aca="false">IF($A383="","",VLOOKUP($A382,Table,MATCH(T$4,Curves,0)))</f>
        <v/>
      </c>
      <c r="U382" s="201" t="str">
        <f aca="false">IF(A383="","",T382)</f>
        <v/>
      </c>
      <c r="V382" s="205" t="str">
        <f aca="false">IF($A383="","",IF(AND(MONTH(A382)&gt;3,MONTH(A382)&lt;11),(T382+R382+G382)*Summary!$T$10/(1-Summary!$T$10),(T382+R382+G382)*Summary!$U$10/(1-Summary!$U$10)))</f>
        <v/>
      </c>
      <c r="W382" s="200" t="str">
        <f aca="false">IF($A383="","",(T382+R382+G382+V382))</f>
        <v/>
      </c>
      <c r="X382" s="200" t="str">
        <f aca="false">IF($A383="","",(U382+S382+H382+V382))</f>
        <v/>
      </c>
      <c r="Y382" s="202"/>
      <c r="Z382" s="185"/>
      <c r="AG382" s="182"/>
      <c r="AH382" s="182"/>
      <c r="AI382" s="182"/>
      <c r="AJ382" s="218"/>
      <c r="AK382" s="218"/>
      <c r="AL382" s="218"/>
      <c r="AM382" s="218"/>
      <c r="AN382" s="218"/>
      <c r="AO382" s="137" t="str">
        <f aca="false">IF(A383="","",A383-A382)</f>
        <v/>
      </c>
      <c r="AP382" s="212" t="str">
        <f aca="false">IF(A383="","",CHOOSE(F$3,A383+24,A382))</f>
        <v/>
      </c>
      <c r="AQ382" s="209" t="str">
        <f aca="false">IF(A383="","",AP382-$E$1)</f>
        <v/>
      </c>
      <c r="AR382" s="185" t="n">
        <f aca="false">'ANR OK vs ML7'!AR382</f>
        <v>0.1</v>
      </c>
      <c r="AS382" s="213" t="str">
        <f aca="false">IF(A383="","",1/(1+CHOOSE(F$3,(AR383+($I$3/10000))/2,(AR382+($I$3/10000))/2))^(2*AQ382/365.25))</f>
        <v/>
      </c>
      <c r="AT382" s="137" t="str">
        <f aca="false">IF(A383="","",IF(AND(mthbeg&lt;=A382,mthend&gt;=A382),1,0))</f>
        <v/>
      </c>
      <c r="AU382" s="137" t="str">
        <f aca="false">IF(A383="","",AO382*AT382)</f>
        <v/>
      </c>
      <c r="AW382" s="195" t="str">
        <f aca="false">IF($A383="","",AL382*$E382)</f>
        <v/>
      </c>
      <c r="AX382" s="195" t="str">
        <f aca="false">IF($A383="","",AM382*$E382)</f>
        <v/>
      </c>
      <c r="AY382" s="195" t="str">
        <f aca="false">IF($A383="","",AN382*$E382)</f>
        <v/>
      </c>
      <c r="BA382" s="195" t="str">
        <f aca="false">IF($A383="","",F382*Summary!$Q$10)</f>
        <v/>
      </c>
    </row>
    <row r="383" customFormat="false" ht="12.75" hidden="false" customHeight="false" outlineLevel="0" collapsed="false">
      <c r="A383" s="196" t="str">
        <f aca="false">IF(A382&lt;mthend,EDATE(A382,1),"")</f>
        <v/>
      </c>
      <c r="B383" s="197" t="str">
        <f aca="false">IF(A383&lt;mthend,B382,"")</f>
        <v/>
      </c>
      <c r="D383" s="197" t="str">
        <f aca="false">IF(A384&lt;&gt;"",B383+C383,"")</f>
        <v/>
      </c>
      <c r="E383" s="199" t="str">
        <f aca="false">IF(A384="","",IF(AND(AT383=1,$H$3=1),D383*AO383,IF($H$3=2,D383,"N/A")))</f>
        <v/>
      </c>
      <c r="F383" s="199" t="str">
        <f aca="false">IF(A384="","",E383*AS383)</f>
        <v/>
      </c>
      <c r="G383" s="200" t="str">
        <f aca="false">IF($A384="","",VLOOKUP($A383,Table,MATCH(G$4,Curves,0)))</f>
        <v/>
      </c>
      <c r="H383" s="201" t="str">
        <f aca="false">IF(A384="","",G383)</f>
        <v/>
      </c>
      <c r="J383" s="200" t="str">
        <f aca="false">IF($A384="","",VLOOKUP($A383,Table,MATCH(J$4,Curves,0)))</f>
        <v/>
      </c>
      <c r="K383" s="201" t="str">
        <f aca="false">IF(A384="","",J383)</f>
        <v/>
      </c>
      <c r="L383" s="185" t="n">
        <v>0</v>
      </c>
      <c r="M383" s="201" t="str">
        <f aca="false">IF(A384="","",L383)</f>
        <v/>
      </c>
      <c r="O383" s="200" t="str">
        <f aca="false">IF(A384="","",L383+J383+G383)</f>
        <v/>
      </c>
      <c r="P383" s="200" t="str">
        <f aca="false">IF(A384="","",M383+K383+H383)</f>
        <v/>
      </c>
      <c r="R383" s="200" t="str">
        <f aca="false">IF($A384="","",VLOOKUP($A383,Table,MATCH(R$4,Curves,0)))</f>
        <v/>
      </c>
      <c r="S383" s="201" t="str">
        <f aca="false">IF(A384="","",R383)</f>
        <v/>
      </c>
      <c r="T383" s="200" t="str">
        <f aca="false">IF($A384="","",VLOOKUP($A383,Table,MATCH(T$4,Curves,0)))</f>
        <v/>
      </c>
      <c r="U383" s="201" t="str">
        <f aca="false">IF(A384="","",T383)</f>
        <v/>
      </c>
      <c r="V383" s="205" t="str">
        <f aca="false">IF($A384="","",IF(AND(MONTH(A383)&gt;3,MONTH(A383)&lt;11),(T383+R383+G383)*Summary!$T$10/(1-Summary!$T$10),(T383+R383+G383)*Summary!$U$10/(1-Summary!$U$10)))</f>
        <v/>
      </c>
      <c r="W383" s="200" t="str">
        <f aca="false">IF($A384="","",(T383+R383+G383+V383))</f>
        <v/>
      </c>
      <c r="X383" s="200" t="str">
        <f aca="false">IF($A384="","",(U383+S383+H383+V383))</f>
        <v/>
      </c>
      <c r="Y383" s="202"/>
      <c r="Z383" s="185"/>
      <c r="AG383" s="182"/>
      <c r="AH383" s="182"/>
      <c r="AI383" s="182"/>
      <c r="AJ383" s="218"/>
      <c r="AK383" s="218"/>
      <c r="AL383" s="218"/>
      <c r="AM383" s="218"/>
      <c r="AN383" s="218"/>
      <c r="AO383" s="137" t="str">
        <f aca="false">IF(A384="","",A384-A383)</f>
        <v/>
      </c>
      <c r="AP383" s="212" t="str">
        <f aca="false">IF(A384="","",CHOOSE(F$3,A384+24,A383))</f>
        <v/>
      </c>
      <c r="AQ383" s="209" t="str">
        <f aca="false">IF(A384="","",AP383-$E$1)</f>
        <v/>
      </c>
      <c r="AR383" s="185" t="n">
        <f aca="false">'ANR OK vs ML7'!AR383</f>
        <v>0.1</v>
      </c>
      <c r="AS383" s="213" t="str">
        <f aca="false">IF(A384="","",1/(1+CHOOSE(F$3,(AR384+($I$3/10000))/2,(AR383+($I$3/10000))/2))^(2*AQ383/365.25))</f>
        <v/>
      </c>
      <c r="AT383" s="137" t="str">
        <f aca="false">IF(A384="","",IF(AND(mthbeg&lt;=A383,mthend&gt;=A383),1,0))</f>
        <v/>
      </c>
      <c r="AU383" s="137" t="str">
        <f aca="false">IF(A384="","",AO383*AT383)</f>
        <v/>
      </c>
      <c r="AW383" s="195" t="str">
        <f aca="false">IF($A384="","",AL383*$E383)</f>
        <v/>
      </c>
      <c r="AX383" s="195" t="str">
        <f aca="false">IF($A384="","",AM383*$E383)</f>
        <v/>
      </c>
      <c r="AY383" s="195" t="str">
        <f aca="false">IF($A384="","",AN383*$E383)</f>
        <v/>
      </c>
      <c r="BA383" s="195" t="str">
        <f aca="false">IF($A384="","",F383*Summary!$Q$10)</f>
        <v/>
      </c>
    </row>
    <row r="384" customFormat="false" ht="12.75" hidden="false" customHeight="false" outlineLevel="0" collapsed="false">
      <c r="A384" s="196" t="str">
        <f aca="false">IF(A383&lt;mthend,EDATE(A383,1),"")</f>
        <v/>
      </c>
      <c r="B384" s="197" t="str">
        <f aca="false">IF(A384&lt;mthend,B383,"")</f>
        <v/>
      </c>
      <c r="D384" s="197" t="str">
        <f aca="false">IF(A385&lt;&gt;"",B384+C384,"")</f>
        <v/>
      </c>
      <c r="E384" s="199" t="str">
        <f aca="false">IF(A385="","",IF(AND(AT384=1,$H$3=1),D384*AO384,IF($H$3=2,D384,"N/A")))</f>
        <v/>
      </c>
      <c r="F384" s="199" t="str">
        <f aca="false">IF(A385="","",E384*AS384)</f>
        <v/>
      </c>
      <c r="G384" s="200" t="str">
        <f aca="false">IF($A385="","",VLOOKUP($A384,Table,MATCH(G$4,Curves,0)))</f>
        <v/>
      </c>
      <c r="H384" s="201" t="str">
        <f aca="false">IF(A385="","",G384)</f>
        <v/>
      </c>
      <c r="J384" s="200" t="str">
        <f aca="false">IF($A385="","",VLOOKUP($A384,Table,MATCH(J$4,Curves,0)))</f>
        <v/>
      </c>
      <c r="K384" s="201" t="str">
        <f aca="false">IF(A385="","",J384)</f>
        <v/>
      </c>
      <c r="L384" s="185" t="n">
        <v>0</v>
      </c>
      <c r="M384" s="201" t="str">
        <f aca="false">IF(A385="","",L384)</f>
        <v/>
      </c>
      <c r="O384" s="200" t="str">
        <f aca="false">IF(A385="","",L384+J384+G384)</f>
        <v/>
      </c>
      <c r="P384" s="200" t="str">
        <f aca="false">IF(A385="","",M384+K384+H384)</f>
        <v/>
      </c>
      <c r="R384" s="200" t="str">
        <f aca="false">IF($A385="","",VLOOKUP($A384,Table,MATCH(R$4,Curves,0)))</f>
        <v/>
      </c>
      <c r="S384" s="201" t="str">
        <f aca="false">IF(A385="","",R384)</f>
        <v/>
      </c>
      <c r="T384" s="200" t="str">
        <f aca="false">IF($A385="","",VLOOKUP($A384,Table,MATCH(T$4,Curves,0)))</f>
        <v/>
      </c>
      <c r="U384" s="201" t="str">
        <f aca="false">IF(A385="","",T384)</f>
        <v/>
      </c>
      <c r="V384" s="205" t="str">
        <f aca="false">IF($A385="","",IF(AND(MONTH(A384)&gt;3,MONTH(A384)&lt;11),(T384+R384+G384)*Summary!$T$10/(1-Summary!$T$10),(T384+R384+G384)*Summary!$U$10/(1-Summary!$U$10)))</f>
        <v/>
      </c>
      <c r="W384" s="200" t="str">
        <f aca="false">IF($A385="","",(T384+R384+G384+V384))</f>
        <v/>
      </c>
      <c r="X384" s="200" t="str">
        <f aca="false">IF($A385="","",(U384+S384+H384+V384))</f>
        <v/>
      </c>
      <c r="Y384" s="202"/>
      <c r="Z384" s="185"/>
      <c r="AG384" s="182"/>
      <c r="AH384" s="182"/>
      <c r="AI384" s="182"/>
      <c r="AJ384" s="218"/>
      <c r="AK384" s="218"/>
      <c r="AL384" s="218"/>
      <c r="AM384" s="218"/>
      <c r="AN384" s="218"/>
      <c r="AO384" s="137" t="str">
        <f aca="false">IF(A385="","",A385-A384)</f>
        <v/>
      </c>
      <c r="AP384" s="212" t="str">
        <f aca="false">IF(A385="","",CHOOSE(F$3,A385+24,A384))</f>
        <v/>
      </c>
      <c r="AQ384" s="209" t="str">
        <f aca="false">IF(A385="","",AP384-$E$1)</f>
        <v/>
      </c>
      <c r="AR384" s="185" t="n">
        <f aca="false">'ANR OK vs ML7'!AR384</f>
        <v>0.1</v>
      </c>
      <c r="AS384" s="213" t="str">
        <f aca="false">IF(A385="","",1/(1+CHOOSE(F$3,(AR385+($I$3/10000))/2,(AR384+($I$3/10000))/2))^(2*AQ384/365.25))</f>
        <v/>
      </c>
      <c r="AT384" s="137" t="str">
        <f aca="false">IF(A385="","",IF(AND(mthbeg&lt;=A384,mthend&gt;=A384),1,0))</f>
        <v/>
      </c>
      <c r="AU384" s="137" t="str">
        <f aca="false">IF(A385="","",AO384*AT384)</f>
        <v/>
      </c>
      <c r="AW384" s="195" t="str">
        <f aca="false">IF($A385="","",AL384*$E384)</f>
        <v/>
      </c>
      <c r="AX384" s="195" t="str">
        <f aca="false">IF($A385="","",AM384*$E384)</f>
        <v/>
      </c>
      <c r="AY384" s="195" t="str">
        <f aca="false">IF($A385="","",AN384*$E384)</f>
        <v/>
      </c>
      <c r="BA384" s="195" t="str">
        <f aca="false">IF($A385="","",F384*Summary!$Q$10)</f>
        <v/>
      </c>
    </row>
    <row r="385" customFormat="false" ht="12.75" hidden="false" customHeight="false" outlineLevel="0" collapsed="false">
      <c r="A385" s="196" t="str">
        <f aca="false">IF(A384&lt;mthend,EDATE(A384,1),"")</f>
        <v/>
      </c>
      <c r="B385" s="197" t="str">
        <f aca="false">IF(A385&lt;mthend,B384,"")</f>
        <v/>
      </c>
      <c r="D385" s="197" t="str">
        <f aca="false">IF(A386&lt;&gt;"",B385+C385,"")</f>
        <v/>
      </c>
      <c r="E385" s="199" t="str">
        <f aca="false">IF(A386="","",IF(AND(AT385=1,$H$3=1),D385*AO385,IF($H$3=2,D385,"N/A")))</f>
        <v/>
      </c>
      <c r="F385" s="199" t="str">
        <f aca="false">IF(A386="","",E385*AS385)</f>
        <v/>
      </c>
      <c r="G385" s="200" t="str">
        <f aca="false">IF($A386="","",VLOOKUP($A385,Table,MATCH(G$4,Curves,0)))</f>
        <v/>
      </c>
      <c r="H385" s="201" t="str">
        <f aca="false">IF(A386="","",G385)</f>
        <v/>
      </c>
      <c r="J385" s="200" t="str">
        <f aca="false">IF($A386="","",VLOOKUP($A385,Table,MATCH(J$4,Curves,0)))</f>
        <v/>
      </c>
      <c r="K385" s="201" t="str">
        <f aca="false">IF(A386="","",J385)</f>
        <v/>
      </c>
      <c r="L385" s="185" t="n">
        <v>0</v>
      </c>
      <c r="M385" s="201" t="str">
        <f aca="false">IF(A386="","",L385)</f>
        <v/>
      </c>
      <c r="O385" s="200" t="str">
        <f aca="false">IF(A386="","",L385+J385+G385)</f>
        <v/>
      </c>
      <c r="P385" s="200" t="str">
        <f aca="false">IF(A386="","",M385+K385+H385)</f>
        <v/>
      </c>
      <c r="R385" s="200" t="str">
        <f aca="false">IF($A386="","",VLOOKUP($A385,Table,MATCH(R$4,Curves,0)))</f>
        <v/>
      </c>
      <c r="S385" s="201" t="str">
        <f aca="false">IF(A386="","",R385)</f>
        <v/>
      </c>
      <c r="T385" s="200" t="str">
        <f aca="false">IF($A386="","",VLOOKUP($A385,Table,MATCH(T$4,Curves,0)))</f>
        <v/>
      </c>
      <c r="U385" s="201" t="str">
        <f aca="false">IF(A386="","",T385)</f>
        <v/>
      </c>
      <c r="V385" s="205" t="str">
        <f aca="false">IF($A386="","",IF(AND(MONTH(A385)&gt;3,MONTH(A385)&lt;11),(T385+R385+G385)*Summary!$T$10/(1-Summary!$T$10),(T385+R385+G385)*Summary!$U$10/(1-Summary!$U$10)))</f>
        <v/>
      </c>
      <c r="W385" s="200" t="str">
        <f aca="false">IF($A386="","",(T385+R385+G385+V385))</f>
        <v/>
      </c>
      <c r="X385" s="200" t="str">
        <f aca="false">IF($A386="","",(U385+S385+H385+V385))</f>
        <v/>
      </c>
      <c r="Y385" s="202"/>
      <c r="Z385" s="185"/>
      <c r="AG385" s="182"/>
      <c r="AH385" s="182"/>
      <c r="AI385" s="182"/>
      <c r="AJ385" s="218"/>
      <c r="AK385" s="218"/>
      <c r="AL385" s="218"/>
      <c r="AM385" s="218"/>
      <c r="AN385" s="218"/>
      <c r="AO385" s="137" t="str">
        <f aca="false">IF(A386="","",A386-A385)</f>
        <v/>
      </c>
      <c r="AP385" s="212" t="str">
        <f aca="false">IF(A386="","",CHOOSE(F$3,A386+24,A385))</f>
        <v/>
      </c>
      <c r="AQ385" s="209" t="str">
        <f aca="false">IF(A386="","",AP385-$E$1)</f>
        <v/>
      </c>
      <c r="AR385" s="185" t="n">
        <f aca="false">'ANR OK vs ML7'!AR385</f>
        <v>0.1</v>
      </c>
      <c r="AS385" s="213" t="str">
        <f aca="false">IF(A386="","",1/(1+CHOOSE(F$3,(AR386+($I$3/10000))/2,(AR385+($I$3/10000))/2))^(2*AQ385/365.25))</f>
        <v/>
      </c>
      <c r="AT385" s="137" t="str">
        <f aca="false">IF(A386="","",IF(AND(mthbeg&lt;=A385,mthend&gt;=A385),1,0))</f>
        <v/>
      </c>
      <c r="AU385" s="137" t="str">
        <f aca="false">IF(A386="","",AO385*AT385)</f>
        <v/>
      </c>
      <c r="AW385" s="195" t="str">
        <f aca="false">IF($A386="","",AL385*$E385)</f>
        <v/>
      </c>
      <c r="AX385" s="195" t="str">
        <f aca="false">IF($A386="","",AM385*$E385)</f>
        <v/>
      </c>
      <c r="AY385" s="195" t="str">
        <f aca="false">IF($A386="","",AN385*$E385)</f>
        <v/>
      </c>
      <c r="BA385" s="195" t="str">
        <f aca="false">IF($A386="","",F385*Summary!$Q$10)</f>
        <v/>
      </c>
    </row>
    <row r="386" customFormat="false" ht="12.75" hidden="false" customHeight="false" outlineLevel="0" collapsed="false">
      <c r="A386" s="196" t="str">
        <f aca="false">IF(A385&lt;mthend,EDATE(A385,1),"")</f>
        <v/>
      </c>
      <c r="B386" s="197" t="str">
        <f aca="false">IF(A386&lt;mthend,B385,"")</f>
        <v/>
      </c>
      <c r="D386" s="197" t="str">
        <f aca="false">IF(A387&lt;&gt;"",B386+C386,"")</f>
        <v/>
      </c>
      <c r="E386" s="199" t="str">
        <f aca="false">IF(A387="","",IF(AND(AT386=1,$H$3=1),D386*AO386,IF($H$3=2,D386,"N/A")))</f>
        <v/>
      </c>
      <c r="F386" s="199" t="str">
        <f aca="false">IF(A387="","",E386*AS386)</f>
        <v/>
      </c>
      <c r="G386" s="200" t="str">
        <f aca="false">IF($A387="","",VLOOKUP($A386,Table,MATCH(G$4,Curves,0)))</f>
        <v/>
      </c>
      <c r="H386" s="201" t="str">
        <f aca="false">IF(A387="","",G386)</f>
        <v/>
      </c>
      <c r="J386" s="200" t="str">
        <f aca="false">IF($A387="","",VLOOKUP($A386,Table,MATCH(J$4,Curves,0)))</f>
        <v/>
      </c>
      <c r="K386" s="201" t="str">
        <f aca="false">IF(A387="","",J386)</f>
        <v/>
      </c>
      <c r="L386" s="185" t="n">
        <v>0</v>
      </c>
      <c r="M386" s="201" t="str">
        <f aca="false">IF(A387="","",L386)</f>
        <v/>
      </c>
      <c r="O386" s="200" t="str">
        <f aca="false">IF(A387="","",L386+J386+G386)</f>
        <v/>
      </c>
      <c r="P386" s="200" t="str">
        <f aca="false">IF(A387="","",M386+K386+H386)</f>
        <v/>
      </c>
      <c r="R386" s="200" t="str">
        <f aca="false">IF($A387="","",VLOOKUP($A386,Table,MATCH(R$4,Curves,0)))</f>
        <v/>
      </c>
      <c r="S386" s="201" t="str">
        <f aca="false">IF(A387="","",R386)</f>
        <v/>
      </c>
      <c r="T386" s="200" t="str">
        <f aca="false">IF($A387="","",VLOOKUP($A386,Table,MATCH(T$4,Curves,0)))</f>
        <v/>
      </c>
      <c r="U386" s="201" t="str">
        <f aca="false">IF(A387="","",T386)</f>
        <v/>
      </c>
      <c r="V386" s="205" t="str">
        <f aca="false">IF($A387="","",IF(AND(MONTH(A386)&gt;3,MONTH(A386)&lt;11),(T386+R386+G386)*Summary!$T$10/(1-Summary!$T$10),(T386+R386+G386)*Summary!$U$10/(1-Summary!$U$10)))</f>
        <v/>
      </c>
      <c r="W386" s="200" t="str">
        <f aca="false">IF($A387="","",(T386+R386+G386+V386))</f>
        <v/>
      </c>
      <c r="X386" s="200" t="str">
        <f aca="false">IF($A387="","",(U386+S386+H386+V386))</f>
        <v/>
      </c>
      <c r="Y386" s="202"/>
      <c r="Z386" s="185"/>
      <c r="AG386" s="182"/>
      <c r="AH386" s="182"/>
      <c r="AI386" s="182"/>
      <c r="AJ386" s="218"/>
      <c r="AK386" s="218"/>
      <c r="AL386" s="218"/>
      <c r="AM386" s="218"/>
      <c r="AN386" s="218"/>
      <c r="AO386" s="137" t="str">
        <f aca="false">IF(A387="","",A387-A386)</f>
        <v/>
      </c>
      <c r="AP386" s="212" t="str">
        <f aca="false">IF(A387="","",CHOOSE(F$3,A387+24,A386))</f>
        <v/>
      </c>
      <c r="AQ386" s="209" t="str">
        <f aca="false">IF(A387="","",AP386-$E$1)</f>
        <v/>
      </c>
      <c r="AR386" s="185" t="n">
        <f aca="false">'ANR OK vs ML7'!AR386</f>
        <v>0.1</v>
      </c>
      <c r="AS386" s="213" t="str">
        <f aca="false">IF(A387="","",1/(1+CHOOSE(F$3,(AR387+($I$3/10000))/2,(AR386+($I$3/10000))/2))^(2*AQ386/365.25))</f>
        <v/>
      </c>
      <c r="AT386" s="137" t="str">
        <f aca="false">IF(A387="","",IF(AND(mthbeg&lt;=A386,mthend&gt;=A386),1,0))</f>
        <v/>
      </c>
      <c r="AU386" s="137" t="str">
        <f aca="false">IF(A387="","",AO386*AT386)</f>
        <v/>
      </c>
      <c r="AW386" s="195" t="str">
        <f aca="false">IF($A387="","",AL386*$E386)</f>
        <v/>
      </c>
      <c r="AX386" s="195" t="str">
        <f aca="false">IF($A387="","",AM386*$E386)</f>
        <v/>
      </c>
      <c r="AY386" s="195" t="str">
        <f aca="false">IF($A387="","",AN386*$E386)</f>
        <v/>
      </c>
      <c r="BA386" s="195" t="str">
        <f aca="false">IF($A387="","",F386*Summary!$Q$10)</f>
        <v/>
      </c>
    </row>
    <row r="387" customFormat="false" ht="12.75" hidden="false" customHeight="false" outlineLevel="0" collapsed="false">
      <c r="A387" s="196" t="str">
        <f aca="false">IF(A386&lt;mthend,EDATE(A386,1),"")</f>
        <v/>
      </c>
      <c r="B387" s="197" t="str">
        <f aca="false">IF(A387&lt;mthend,B386,"")</f>
        <v/>
      </c>
      <c r="D387" s="197" t="str">
        <f aca="false">IF(A388&lt;&gt;"",B387+C387,"")</f>
        <v/>
      </c>
      <c r="E387" s="199" t="str">
        <f aca="false">IF(A388="","",IF(AND(AT387=1,$H$3=1),D387*AO387,IF($H$3=2,D387,"N/A")))</f>
        <v/>
      </c>
      <c r="F387" s="199" t="str">
        <f aca="false">IF(A388="","",E387*AS387)</f>
        <v/>
      </c>
      <c r="G387" s="200" t="str">
        <f aca="false">IF($A388="","",VLOOKUP($A387,Table,MATCH(G$4,Curves,0)))</f>
        <v/>
      </c>
      <c r="H387" s="201" t="str">
        <f aca="false">IF(A388="","",G387)</f>
        <v/>
      </c>
      <c r="J387" s="200" t="str">
        <f aca="false">IF($A388="","",VLOOKUP($A387,Table,MATCH(J$4,Curves,0)))</f>
        <v/>
      </c>
      <c r="K387" s="201" t="str">
        <f aca="false">IF(A388="","",J387)</f>
        <v/>
      </c>
      <c r="L387" s="185" t="n">
        <v>0</v>
      </c>
      <c r="M387" s="201" t="str">
        <f aca="false">IF(A388="","",L387)</f>
        <v/>
      </c>
      <c r="O387" s="200" t="str">
        <f aca="false">IF(A388="","",L387+J387+G387)</f>
        <v/>
      </c>
      <c r="P387" s="200" t="str">
        <f aca="false">IF(A388="","",M387+K387+H387)</f>
        <v/>
      </c>
      <c r="R387" s="200" t="str">
        <f aca="false">IF($A388="","",VLOOKUP($A387,Table,MATCH(R$4,Curves,0)))</f>
        <v/>
      </c>
      <c r="S387" s="201" t="str">
        <f aca="false">IF(A388="","",R387)</f>
        <v/>
      </c>
      <c r="T387" s="200" t="str">
        <f aca="false">IF($A388="","",VLOOKUP($A387,Table,MATCH(T$4,Curves,0)))</f>
        <v/>
      </c>
      <c r="U387" s="201" t="str">
        <f aca="false">IF(A388="","",T387)</f>
        <v/>
      </c>
      <c r="V387" s="205" t="str">
        <f aca="false">IF($A388="","",IF(AND(MONTH(A387)&gt;3,MONTH(A387)&lt;11),(T387+R387+G387)*Summary!$T$10/(1-Summary!$T$10),(T387+R387+G387)*Summary!$U$10/(1-Summary!$U$10)))</f>
        <v/>
      </c>
      <c r="W387" s="200" t="str">
        <f aca="false">IF($A388="","",(T387+R387+G387+V387))</f>
        <v/>
      </c>
      <c r="X387" s="200" t="str">
        <f aca="false">IF($A388="","",(U387+S387+H387+V387))</f>
        <v/>
      </c>
      <c r="Y387" s="202"/>
      <c r="Z387" s="185"/>
      <c r="AG387" s="182"/>
      <c r="AH387" s="182"/>
      <c r="AI387" s="182"/>
      <c r="AJ387" s="218"/>
      <c r="AK387" s="218"/>
      <c r="AL387" s="218"/>
      <c r="AM387" s="218"/>
      <c r="AN387" s="218"/>
      <c r="AO387" s="137" t="str">
        <f aca="false">IF(A388="","",A388-A387)</f>
        <v/>
      </c>
      <c r="AP387" s="212" t="str">
        <f aca="false">IF(A388="","",CHOOSE(F$3,A388+24,A387))</f>
        <v/>
      </c>
      <c r="AQ387" s="209" t="str">
        <f aca="false">IF(A388="","",AP387-$E$1)</f>
        <v/>
      </c>
      <c r="AR387" s="185" t="n">
        <f aca="false">'ANR OK vs ML7'!AR387</f>
        <v>0.1</v>
      </c>
      <c r="AS387" s="213" t="str">
        <f aca="false">IF(A388="","",1/(1+CHOOSE(F$3,(AR388+($I$3/10000))/2,(AR387+($I$3/10000))/2))^(2*AQ387/365.25))</f>
        <v/>
      </c>
      <c r="AT387" s="137" t="str">
        <f aca="false">IF(A388="","",IF(AND(mthbeg&lt;=A387,mthend&gt;=A387),1,0))</f>
        <v/>
      </c>
      <c r="AU387" s="137" t="str">
        <f aca="false">IF(A388="","",AO387*AT387)</f>
        <v/>
      </c>
      <c r="AW387" s="195" t="str">
        <f aca="false">IF($A388="","",AL387*$E387)</f>
        <v/>
      </c>
      <c r="AX387" s="195" t="str">
        <f aca="false">IF($A388="","",AM387*$E387)</f>
        <v/>
      </c>
      <c r="AY387" s="195" t="str">
        <f aca="false">IF($A388="","",AN387*$E387)</f>
        <v/>
      </c>
      <c r="BA387" s="195" t="str">
        <f aca="false">IF($A388="","",F387*Summary!$Q$10)</f>
        <v/>
      </c>
    </row>
    <row r="388" customFormat="false" ht="12.75" hidden="false" customHeight="false" outlineLevel="0" collapsed="false">
      <c r="A388" s="196" t="str">
        <f aca="false">IF(A387&lt;mthend,EDATE(A387,1),"")</f>
        <v/>
      </c>
      <c r="B388" s="197" t="str">
        <f aca="false">IF(A388&lt;mthend,B387,"")</f>
        <v/>
      </c>
      <c r="D388" s="197" t="str">
        <f aca="false">IF(A389&lt;&gt;"",B388+C388,"")</f>
        <v/>
      </c>
      <c r="E388" s="199" t="str">
        <f aca="false">IF(A389="","",IF(AND(AT388=1,$H$3=1),D388*AO388,IF($H$3=2,D388,"N/A")))</f>
        <v/>
      </c>
      <c r="F388" s="199" t="str">
        <f aca="false">IF(A389="","",E388*AS388)</f>
        <v/>
      </c>
      <c r="G388" s="200" t="str">
        <f aca="false">IF($A389="","",VLOOKUP($A388,Table,MATCH(G$4,Curves,0)))</f>
        <v/>
      </c>
      <c r="H388" s="201" t="str">
        <f aca="false">IF(A389="","",G388)</f>
        <v/>
      </c>
      <c r="J388" s="200" t="str">
        <f aca="false">IF($A389="","",VLOOKUP($A388,Table,MATCH(J$4,Curves,0)))</f>
        <v/>
      </c>
      <c r="K388" s="201" t="str">
        <f aca="false">IF(A389="","",J388)</f>
        <v/>
      </c>
      <c r="L388" s="185" t="n">
        <v>0</v>
      </c>
      <c r="M388" s="201" t="str">
        <f aca="false">IF(A389="","",L388)</f>
        <v/>
      </c>
      <c r="O388" s="200" t="str">
        <f aca="false">IF(A389="","",L388+J388+G388)</f>
        <v/>
      </c>
      <c r="P388" s="200" t="str">
        <f aca="false">IF(A389="","",M388+K388+H388)</f>
        <v/>
      </c>
      <c r="R388" s="200" t="str">
        <f aca="false">IF($A389="","",VLOOKUP($A388,Table,MATCH(R$4,Curves,0)))</f>
        <v/>
      </c>
      <c r="S388" s="201" t="str">
        <f aca="false">IF(A389="","",R388)</f>
        <v/>
      </c>
      <c r="T388" s="200" t="str">
        <f aca="false">IF($A389="","",VLOOKUP($A388,Table,MATCH(T$4,Curves,0)))</f>
        <v/>
      </c>
      <c r="U388" s="201" t="str">
        <f aca="false">IF(A389="","",T388)</f>
        <v/>
      </c>
      <c r="V388" s="205" t="str">
        <f aca="false">IF($A389="","",IF(AND(MONTH(A388)&gt;3,MONTH(A388)&lt;11),(T388+R388+G388)*Summary!$T$10/(1-Summary!$T$10),(T388+R388+G388)*Summary!$U$10/(1-Summary!$U$10)))</f>
        <v/>
      </c>
      <c r="W388" s="200" t="str">
        <f aca="false">IF($A389="","",(T388+R388+G388+V388))</f>
        <v/>
      </c>
      <c r="X388" s="200" t="str">
        <f aca="false">IF($A389="","",(U388+S388+H388+V388))</f>
        <v/>
      </c>
      <c r="Y388" s="202"/>
      <c r="Z388" s="185"/>
      <c r="AG388" s="182"/>
      <c r="AH388" s="182"/>
      <c r="AI388" s="182"/>
      <c r="AJ388" s="218"/>
      <c r="AK388" s="218"/>
      <c r="AL388" s="218"/>
      <c r="AM388" s="218"/>
      <c r="AN388" s="218"/>
      <c r="AO388" s="137" t="str">
        <f aca="false">IF(A389="","",A389-A388)</f>
        <v/>
      </c>
      <c r="AP388" s="212" t="str">
        <f aca="false">IF(A389="","",CHOOSE(F$3,A389+24,A388))</f>
        <v/>
      </c>
      <c r="AQ388" s="209" t="str">
        <f aca="false">IF(A389="","",AP388-$E$1)</f>
        <v/>
      </c>
      <c r="AR388" s="185" t="n">
        <f aca="false">'ANR OK vs ML7'!AR388</f>
        <v>0.1</v>
      </c>
      <c r="AS388" s="213" t="str">
        <f aca="false">IF(A389="","",1/(1+CHOOSE(F$3,(AR389+($I$3/10000))/2,(AR388+($I$3/10000))/2))^(2*AQ388/365.25))</f>
        <v/>
      </c>
      <c r="AT388" s="137" t="str">
        <f aca="false">IF(A389="","",IF(AND(mthbeg&lt;=A388,mthend&gt;=A388),1,0))</f>
        <v/>
      </c>
      <c r="AU388" s="137" t="str">
        <f aca="false">IF(A389="","",AO388*AT388)</f>
        <v/>
      </c>
      <c r="AW388" s="195" t="str">
        <f aca="false">IF($A389="","",AL388*$E388)</f>
        <v/>
      </c>
      <c r="AX388" s="195" t="str">
        <f aca="false">IF($A389="","",AM388*$E388)</f>
        <v/>
      </c>
      <c r="AY388" s="195" t="str">
        <f aca="false">IF($A389="","",AN388*$E388)</f>
        <v/>
      </c>
      <c r="BA388" s="195" t="str">
        <f aca="false">IF($A389="","",F388*Summary!$Q$10)</f>
        <v/>
      </c>
    </row>
    <row r="389" customFormat="false" ht="12.75" hidden="false" customHeight="false" outlineLevel="0" collapsed="false">
      <c r="A389" s="196" t="str">
        <f aca="false">IF(A388&lt;mthend,EDATE(A388,1),"")</f>
        <v/>
      </c>
      <c r="B389" s="197" t="str">
        <f aca="false">IF(A389&lt;mthend,B388,"")</f>
        <v/>
      </c>
      <c r="D389" s="197" t="str">
        <f aca="false">IF(A390&lt;&gt;"",B389+C389,"")</f>
        <v/>
      </c>
      <c r="E389" s="199" t="str">
        <f aca="false">IF(A390="","",IF(AND(AT389=1,$H$3=1),D389*AO389,IF($H$3=2,D389,"N/A")))</f>
        <v/>
      </c>
      <c r="F389" s="199" t="str">
        <f aca="false">IF(A390="","",E389*AS389)</f>
        <v/>
      </c>
      <c r="G389" s="200" t="str">
        <f aca="false">IF($A390="","",VLOOKUP($A389,Table,MATCH(G$4,Curves,0)))</f>
        <v/>
      </c>
      <c r="H389" s="201" t="str">
        <f aca="false">IF(A390="","",G389)</f>
        <v/>
      </c>
      <c r="J389" s="200" t="str">
        <f aca="false">IF($A390="","",VLOOKUP($A389,Table,MATCH(J$4,Curves,0)))</f>
        <v/>
      </c>
      <c r="K389" s="201" t="str">
        <f aca="false">IF(A390="","",J389)</f>
        <v/>
      </c>
      <c r="L389" s="185" t="n">
        <v>0</v>
      </c>
      <c r="M389" s="201" t="str">
        <f aca="false">IF(A390="","",L389)</f>
        <v/>
      </c>
      <c r="O389" s="200" t="str">
        <f aca="false">IF(A390="","",L389+J389+G389)</f>
        <v/>
      </c>
      <c r="P389" s="200" t="str">
        <f aca="false">IF(A390="","",M389+K389+H389)</f>
        <v/>
      </c>
      <c r="R389" s="200" t="str">
        <f aca="false">IF($A390="","",VLOOKUP($A389,Table,MATCH(R$4,Curves,0)))</f>
        <v/>
      </c>
      <c r="S389" s="201" t="str">
        <f aca="false">IF(A390="","",R389)</f>
        <v/>
      </c>
      <c r="T389" s="200" t="str">
        <f aca="false">IF($A390="","",VLOOKUP($A389,Table,MATCH(T$4,Curves,0)))</f>
        <v/>
      </c>
      <c r="U389" s="201" t="str">
        <f aca="false">IF(A390="","",T389)</f>
        <v/>
      </c>
      <c r="V389" s="205" t="str">
        <f aca="false">IF($A390="","",IF(AND(MONTH(A389)&gt;3,MONTH(A389)&lt;11),(T389+R389+G389)*Summary!$T$10/(1-Summary!$T$10),(T389+R389+G389)*Summary!$U$10/(1-Summary!$U$10)))</f>
        <v/>
      </c>
      <c r="W389" s="200" t="str">
        <f aca="false">IF($A390="","",(T389+R389+G389+V389))</f>
        <v/>
      </c>
      <c r="X389" s="200" t="str">
        <f aca="false">IF($A390="","",(U389+S389+H389+V389))</f>
        <v/>
      </c>
      <c r="Y389" s="202"/>
      <c r="Z389" s="185"/>
      <c r="AG389" s="182"/>
      <c r="AH389" s="182"/>
      <c r="AI389" s="182"/>
      <c r="AJ389" s="218"/>
      <c r="AK389" s="218"/>
      <c r="AL389" s="218"/>
      <c r="AM389" s="218"/>
      <c r="AN389" s="218"/>
      <c r="AO389" s="137" t="str">
        <f aca="false">IF(A390="","",A390-A389)</f>
        <v/>
      </c>
      <c r="AP389" s="212" t="str">
        <f aca="false">IF(A390="","",CHOOSE(F$3,A390+24,A389))</f>
        <v/>
      </c>
      <c r="AQ389" s="209" t="str">
        <f aca="false">IF(A390="","",AP389-$E$1)</f>
        <v/>
      </c>
      <c r="AR389" s="185" t="n">
        <f aca="false">'ANR OK vs ML7'!AR389</f>
        <v>0.1</v>
      </c>
      <c r="AS389" s="213" t="str">
        <f aca="false">IF(A390="","",1/(1+CHOOSE(F$3,(AR390+($I$3/10000))/2,(AR389+($I$3/10000))/2))^(2*AQ389/365.25))</f>
        <v/>
      </c>
      <c r="AT389" s="137" t="str">
        <f aca="false">IF(A390="","",IF(AND(mthbeg&lt;=A389,mthend&gt;=A389),1,0))</f>
        <v/>
      </c>
      <c r="AU389" s="137" t="str">
        <f aca="false">IF(A390="","",AO389*AT389)</f>
        <v/>
      </c>
      <c r="AW389" s="195" t="str">
        <f aca="false">IF($A390="","",AL389*$E389)</f>
        <v/>
      </c>
      <c r="AX389" s="195" t="str">
        <f aca="false">IF($A390="","",AM389*$E389)</f>
        <v/>
      </c>
      <c r="AY389" s="195" t="str">
        <f aca="false">IF($A390="","",AN389*$E389)</f>
        <v/>
      </c>
      <c r="BA389" s="195" t="str">
        <f aca="false">IF($A390="","",F389*Summary!$Q$10)</f>
        <v/>
      </c>
    </row>
    <row r="390" customFormat="false" ht="12.75" hidden="false" customHeight="false" outlineLevel="0" collapsed="false">
      <c r="A390" s="196" t="str">
        <f aca="false">IF(A389&lt;mthend,EDATE(A389,1),"")</f>
        <v/>
      </c>
      <c r="B390" s="197" t="str">
        <f aca="false">IF(A390&lt;mthend,B389,"")</f>
        <v/>
      </c>
      <c r="D390" s="197" t="str">
        <f aca="false">IF(A391&lt;&gt;"",B390+C390,"")</f>
        <v/>
      </c>
      <c r="E390" s="199" t="str">
        <f aca="false">IF(A391="","",IF(AND(AT390=1,$H$3=1),D390*AO390,IF($H$3=2,D390,"N/A")))</f>
        <v/>
      </c>
      <c r="F390" s="199" t="str">
        <f aca="false">IF(A391="","",E390*AS390)</f>
        <v/>
      </c>
      <c r="G390" s="200" t="str">
        <f aca="false">IF($A391="","",VLOOKUP($A390,Table,MATCH(G$4,Curves,0)))</f>
        <v/>
      </c>
      <c r="H390" s="201" t="str">
        <f aca="false">IF(A391="","",G390)</f>
        <v/>
      </c>
      <c r="J390" s="200" t="str">
        <f aca="false">IF($A391="","",VLOOKUP($A390,Table,MATCH(J$4,Curves,0)))</f>
        <v/>
      </c>
      <c r="K390" s="201" t="str">
        <f aca="false">IF(A391="","",J390)</f>
        <v/>
      </c>
      <c r="L390" s="185" t="n">
        <v>0</v>
      </c>
      <c r="M390" s="201" t="str">
        <f aca="false">IF(A391="","",L390)</f>
        <v/>
      </c>
      <c r="O390" s="200" t="str">
        <f aca="false">IF(A391="","",L390+J390+G390)</f>
        <v/>
      </c>
      <c r="P390" s="200" t="str">
        <f aca="false">IF(A391="","",M390+K390+H390)</f>
        <v/>
      </c>
      <c r="R390" s="200" t="str">
        <f aca="false">IF($A391="","",VLOOKUP($A390,Table,MATCH(R$4,Curves,0)))</f>
        <v/>
      </c>
      <c r="S390" s="201" t="str">
        <f aca="false">IF(A391="","",R390)</f>
        <v/>
      </c>
      <c r="T390" s="200" t="str">
        <f aca="false">IF($A391="","",VLOOKUP($A390,Table,MATCH(T$4,Curves,0)))</f>
        <v/>
      </c>
      <c r="U390" s="201" t="str">
        <f aca="false">IF(A391="","",T390)</f>
        <v/>
      </c>
      <c r="V390" s="205" t="str">
        <f aca="false">IF($A391="","",IF(AND(MONTH(A390)&gt;3,MONTH(A390)&lt;11),(T390+R390+G390)*Summary!$T$10/(1-Summary!$T$10),(T390+R390+G390)*Summary!$U$10/(1-Summary!$U$10)))</f>
        <v/>
      </c>
      <c r="W390" s="200" t="str">
        <f aca="false">IF($A391="","",(T390+R390+G390+V390))</f>
        <v/>
      </c>
      <c r="X390" s="200" t="str">
        <f aca="false">IF($A391="","",(U390+S390+H390+V390))</f>
        <v/>
      </c>
      <c r="Y390" s="202"/>
      <c r="Z390" s="185"/>
      <c r="AG390" s="182"/>
      <c r="AH390" s="182"/>
      <c r="AI390" s="182"/>
      <c r="AJ390" s="218"/>
      <c r="AK390" s="218"/>
      <c r="AL390" s="218"/>
      <c r="AM390" s="218"/>
      <c r="AN390" s="218"/>
      <c r="AO390" s="137" t="str">
        <f aca="false">IF(A391="","",A391-A390)</f>
        <v/>
      </c>
      <c r="AP390" s="212" t="str">
        <f aca="false">IF(A391="","",CHOOSE(F$3,A391+24,A390))</f>
        <v/>
      </c>
      <c r="AQ390" s="209" t="str">
        <f aca="false">IF(A391="","",AP390-$E$1)</f>
        <v/>
      </c>
      <c r="AR390" s="185" t="n">
        <f aca="false">'ANR OK vs ML7'!AR390</f>
        <v>0.1</v>
      </c>
      <c r="AS390" s="213" t="str">
        <f aca="false">IF(A391="","",1/(1+CHOOSE(F$3,(AR391+($I$3/10000))/2,(AR390+($I$3/10000))/2))^(2*AQ390/365.25))</f>
        <v/>
      </c>
      <c r="AT390" s="137" t="str">
        <f aca="false">IF(A391="","",IF(AND(mthbeg&lt;=A390,mthend&gt;=A390),1,0))</f>
        <v/>
      </c>
      <c r="AU390" s="137" t="str">
        <f aca="false">IF(A391="","",AO390*AT390)</f>
        <v/>
      </c>
      <c r="AW390" s="195" t="str">
        <f aca="false">IF($A391="","",AL390*$E390)</f>
        <v/>
      </c>
      <c r="AX390" s="195" t="str">
        <f aca="false">IF($A391="","",AM390*$E390)</f>
        <v/>
      </c>
      <c r="AY390" s="195" t="str">
        <f aca="false">IF($A391="","",AN390*$E390)</f>
        <v/>
      </c>
      <c r="BA390" s="195" t="str">
        <f aca="false">IF($A391="","",F390*Summary!$Q$10)</f>
        <v/>
      </c>
    </row>
    <row r="391" customFormat="false" ht="12.75" hidden="false" customHeight="false" outlineLevel="0" collapsed="false">
      <c r="A391" s="196" t="str">
        <f aca="false">IF(A390&lt;mthend,EDATE(A390,1),"")</f>
        <v/>
      </c>
      <c r="B391" s="197" t="str">
        <f aca="false">IF(A391&lt;mthend,B390,"")</f>
        <v/>
      </c>
      <c r="D391" s="197" t="str">
        <f aca="false">IF(A392&lt;&gt;"",B391+C391,"")</f>
        <v/>
      </c>
      <c r="E391" s="199" t="str">
        <f aca="false">IF(A392="","",IF(AND(AT391=1,$H$3=1),D391*AO391,IF($H$3=2,D391,"N/A")))</f>
        <v/>
      </c>
      <c r="F391" s="199" t="str">
        <f aca="false">IF(A392="","",E391*AS391)</f>
        <v/>
      </c>
      <c r="G391" s="200" t="str">
        <f aca="false">IF($A392="","",VLOOKUP($A391,Table,MATCH(G$4,Curves,0)))</f>
        <v/>
      </c>
      <c r="H391" s="201" t="str">
        <f aca="false">IF(A392="","",G391)</f>
        <v/>
      </c>
      <c r="J391" s="200" t="str">
        <f aca="false">IF($A392="","",VLOOKUP($A391,Table,MATCH(J$4,Curves,0)))</f>
        <v/>
      </c>
      <c r="K391" s="201" t="str">
        <f aca="false">IF(A392="","",J391)</f>
        <v/>
      </c>
      <c r="L391" s="185" t="n">
        <v>0</v>
      </c>
      <c r="M391" s="201" t="str">
        <f aca="false">IF(A392="","",L391)</f>
        <v/>
      </c>
      <c r="O391" s="200" t="str">
        <f aca="false">IF(A392="","",L391+J391+G391)</f>
        <v/>
      </c>
      <c r="P391" s="200" t="str">
        <f aca="false">IF(A392="","",M391+K391+H391)</f>
        <v/>
      </c>
      <c r="R391" s="200" t="str">
        <f aca="false">IF($A392="","",VLOOKUP($A391,Table,MATCH(R$4,Curves,0)))</f>
        <v/>
      </c>
      <c r="S391" s="201" t="str">
        <f aca="false">IF(A392="","",R391)</f>
        <v/>
      </c>
      <c r="T391" s="200" t="str">
        <f aca="false">IF($A392="","",VLOOKUP($A391,Table,MATCH(T$4,Curves,0)))</f>
        <v/>
      </c>
      <c r="U391" s="201" t="str">
        <f aca="false">IF(A392="","",T391)</f>
        <v/>
      </c>
      <c r="V391" s="205" t="str">
        <f aca="false">IF($A392="","",IF(AND(MONTH(A391)&gt;3,MONTH(A391)&lt;11),(T391+R391+G391)*Summary!$T$10/(1-Summary!$T$10),(T391+R391+G391)*Summary!$U$10/(1-Summary!$U$10)))</f>
        <v/>
      </c>
      <c r="W391" s="200" t="str">
        <f aca="false">IF($A392="","",(T391+R391+G391+V391))</f>
        <v/>
      </c>
      <c r="X391" s="200" t="str">
        <f aca="false">IF($A392="","",(U391+S391+H391+V391))</f>
        <v/>
      </c>
      <c r="Y391" s="202"/>
      <c r="Z391" s="185"/>
      <c r="AG391" s="182"/>
      <c r="AH391" s="182"/>
      <c r="AI391" s="182"/>
      <c r="AJ391" s="218"/>
      <c r="AK391" s="218"/>
      <c r="AL391" s="218"/>
      <c r="AM391" s="218"/>
      <c r="AN391" s="218"/>
      <c r="AO391" s="137" t="str">
        <f aca="false">IF(A392="","",A392-A391)</f>
        <v/>
      </c>
      <c r="AP391" s="212" t="str">
        <f aca="false">IF(A392="","",CHOOSE(F$3,A392+24,A391))</f>
        <v/>
      </c>
      <c r="AQ391" s="209" t="str">
        <f aca="false">IF(A392="","",AP391-$E$1)</f>
        <v/>
      </c>
      <c r="AR391" s="185" t="n">
        <f aca="false">'ANR OK vs ML7'!AR391</f>
        <v>0.1</v>
      </c>
      <c r="AS391" s="213" t="str">
        <f aca="false">IF(A392="","",1/(1+CHOOSE(F$3,(AR392+($I$3/10000))/2,(AR391+($I$3/10000))/2))^(2*AQ391/365.25))</f>
        <v/>
      </c>
      <c r="AT391" s="137" t="str">
        <f aca="false">IF(A392="","",IF(AND(mthbeg&lt;=A391,mthend&gt;=A391),1,0))</f>
        <v/>
      </c>
      <c r="AU391" s="137" t="str">
        <f aca="false">IF(A392="","",AO391*AT391)</f>
        <v/>
      </c>
      <c r="AW391" s="195" t="str">
        <f aca="false">IF($A392="","",AL391*$E391)</f>
        <v/>
      </c>
      <c r="AX391" s="195" t="str">
        <f aca="false">IF($A392="","",AM391*$E391)</f>
        <v/>
      </c>
      <c r="AY391" s="195" t="str">
        <f aca="false">IF($A392="","",AN391*$E391)</f>
        <v/>
      </c>
      <c r="BA391" s="195" t="str">
        <f aca="false">IF($A392="","",F391*Summary!$Q$10)</f>
        <v/>
      </c>
    </row>
    <row r="392" customFormat="false" ht="12.75" hidden="false" customHeight="false" outlineLevel="0" collapsed="false">
      <c r="A392" s="196" t="str">
        <f aca="false">IF(A391&lt;mthend,EDATE(A391,1),"")</f>
        <v/>
      </c>
      <c r="B392" s="197" t="str">
        <f aca="false">IF(A392&lt;mthend,B391,"")</f>
        <v/>
      </c>
      <c r="D392" s="197" t="str">
        <f aca="false">IF(A393&lt;&gt;"",B392+C392,"")</f>
        <v/>
      </c>
      <c r="E392" s="199" t="str">
        <f aca="false">IF(A393="","",IF(AND(AT392=1,$H$3=1),D392*AO392,IF($H$3=2,D392,"N/A")))</f>
        <v/>
      </c>
      <c r="F392" s="199" t="str">
        <f aca="false">IF(A393="","",E392*AS392)</f>
        <v/>
      </c>
      <c r="G392" s="200" t="str">
        <f aca="false">IF($A393="","",VLOOKUP($A392,Table,MATCH(G$4,Curves,0)))</f>
        <v/>
      </c>
      <c r="H392" s="201" t="str">
        <f aca="false">IF(A393="","",G392)</f>
        <v/>
      </c>
      <c r="J392" s="200" t="str">
        <f aca="false">IF($A393="","",VLOOKUP($A392,Table,MATCH(J$4,Curves,0)))</f>
        <v/>
      </c>
      <c r="K392" s="201" t="str">
        <f aca="false">IF(A393="","",J392)</f>
        <v/>
      </c>
      <c r="L392" s="185" t="n">
        <v>0</v>
      </c>
      <c r="M392" s="201" t="str">
        <f aca="false">IF(A393="","",L392)</f>
        <v/>
      </c>
      <c r="O392" s="200" t="str">
        <f aca="false">IF(A393="","",L392+J392+G392)</f>
        <v/>
      </c>
      <c r="P392" s="200" t="str">
        <f aca="false">IF(A393="","",M392+K392+H392)</f>
        <v/>
      </c>
      <c r="R392" s="200" t="str">
        <f aca="false">IF($A393="","",VLOOKUP($A392,Table,MATCH(R$4,Curves,0)))</f>
        <v/>
      </c>
      <c r="S392" s="201" t="str">
        <f aca="false">IF(A393="","",R392)</f>
        <v/>
      </c>
      <c r="T392" s="200" t="str">
        <f aca="false">IF($A393="","",VLOOKUP($A392,Table,MATCH(T$4,Curves,0)))</f>
        <v/>
      </c>
      <c r="U392" s="201" t="str">
        <f aca="false">IF(A393="","",T392)</f>
        <v/>
      </c>
      <c r="V392" s="205" t="str">
        <f aca="false">IF($A393="","",IF(AND(MONTH(A392)&gt;3,MONTH(A392)&lt;11),(T392+R392+G392)*Summary!$T$10/(1-Summary!$T$10),(T392+R392+G392)*Summary!$U$10/(1-Summary!$U$10)))</f>
        <v/>
      </c>
      <c r="W392" s="200" t="str">
        <f aca="false">IF($A393="","",(T392+R392+G392+V392))</f>
        <v/>
      </c>
      <c r="X392" s="200" t="str">
        <f aca="false">IF($A393="","",(U392+S392+H392+V392))</f>
        <v/>
      </c>
      <c r="Y392" s="202"/>
      <c r="Z392" s="185"/>
      <c r="AG392" s="182"/>
      <c r="AH392" s="182"/>
      <c r="AI392" s="182"/>
      <c r="AJ392" s="218"/>
      <c r="AK392" s="218"/>
      <c r="AL392" s="218"/>
      <c r="AM392" s="218"/>
      <c r="AN392" s="218"/>
      <c r="AO392" s="137" t="str">
        <f aca="false">IF(A393="","",A393-A392)</f>
        <v/>
      </c>
      <c r="AP392" s="212" t="str">
        <f aca="false">IF(A393="","",CHOOSE(F$3,A393+24,A392))</f>
        <v/>
      </c>
      <c r="AQ392" s="209" t="str">
        <f aca="false">IF(A393="","",AP392-$E$1)</f>
        <v/>
      </c>
      <c r="AR392" s="185" t="n">
        <f aca="false">'ANR OK vs ML7'!AR392</f>
        <v>0.1</v>
      </c>
      <c r="AS392" s="213" t="str">
        <f aca="false">IF(A393="","",1/(1+CHOOSE(F$3,(AR393+($I$3/10000))/2,(AR392+($I$3/10000))/2))^(2*AQ392/365.25))</f>
        <v/>
      </c>
      <c r="AT392" s="137" t="str">
        <f aca="false">IF(A393="","",IF(AND(mthbeg&lt;=A392,mthend&gt;=A392),1,0))</f>
        <v/>
      </c>
      <c r="AU392" s="137" t="str">
        <f aca="false">IF(A393="","",AO392*AT392)</f>
        <v/>
      </c>
      <c r="AW392" s="195" t="str">
        <f aca="false">IF($A393="","",AL392*$E392)</f>
        <v/>
      </c>
      <c r="AX392" s="195" t="str">
        <f aca="false">IF($A393="","",AM392*$E392)</f>
        <v/>
      </c>
      <c r="AY392" s="195" t="str">
        <f aca="false">IF($A393="","",AN392*$E392)</f>
        <v/>
      </c>
      <c r="BA392" s="195" t="str">
        <f aca="false">IF($A393="","",F392*Summary!$Q$10)</f>
        <v/>
      </c>
    </row>
    <row r="393" customFormat="false" ht="12.75" hidden="false" customHeight="false" outlineLevel="0" collapsed="false">
      <c r="A393" s="196" t="str">
        <f aca="false">IF(A392&lt;mthend,EDATE(A392,1),"")</f>
        <v/>
      </c>
      <c r="B393" s="197" t="str">
        <f aca="false">IF(A393&lt;mthend,B392,"")</f>
        <v/>
      </c>
      <c r="D393" s="197" t="str">
        <f aca="false">IF(A394&lt;&gt;"",B393+C393,"")</f>
        <v/>
      </c>
      <c r="E393" s="199" t="str">
        <f aca="false">IF(A394="","",IF(AND(AT393=1,$H$3=1),D393*AO393,IF($H$3=2,D393,"N/A")))</f>
        <v/>
      </c>
      <c r="F393" s="199" t="str">
        <f aca="false">IF(A394="","",E393*AS393)</f>
        <v/>
      </c>
      <c r="G393" s="200" t="str">
        <f aca="false">IF($A394="","",VLOOKUP($A393,Table,MATCH(G$4,Curves,0)))</f>
        <v/>
      </c>
      <c r="H393" s="201" t="str">
        <f aca="false">IF(A394="","",G393)</f>
        <v/>
      </c>
      <c r="J393" s="200" t="str">
        <f aca="false">IF($A394="","",VLOOKUP($A393,Table,MATCH(J$4,Curves,0)))</f>
        <v/>
      </c>
      <c r="K393" s="201" t="str">
        <f aca="false">IF(A394="","",J393)</f>
        <v/>
      </c>
      <c r="L393" s="185" t="n">
        <v>0</v>
      </c>
      <c r="M393" s="201" t="str">
        <f aca="false">IF(A394="","",L393)</f>
        <v/>
      </c>
      <c r="O393" s="200" t="str">
        <f aca="false">IF(A394="","",L393+J393+G393)</f>
        <v/>
      </c>
      <c r="P393" s="200" t="str">
        <f aca="false">IF(A394="","",M393+K393+H393)</f>
        <v/>
      </c>
      <c r="R393" s="200" t="str">
        <f aca="false">IF($A394="","",VLOOKUP($A393,Table,MATCH(R$4,Curves,0)))</f>
        <v/>
      </c>
      <c r="S393" s="201" t="str">
        <f aca="false">IF(A394="","",R393)</f>
        <v/>
      </c>
      <c r="T393" s="200" t="str">
        <f aca="false">IF($A394="","",VLOOKUP($A393,Table,MATCH(T$4,Curves,0)))</f>
        <v/>
      </c>
      <c r="U393" s="201" t="str">
        <f aca="false">IF(A394="","",T393)</f>
        <v/>
      </c>
      <c r="V393" s="205" t="str">
        <f aca="false">IF($A394="","",IF(AND(MONTH(A393)&gt;3,MONTH(A393)&lt;11),(T393+R393+G393)*Summary!$T$10/(1-Summary!$T$10),(T393+R393+G393)*Summary!$U$10/(1-Summary!$U$10)))</f>
        <v/>
      </c>
      <c r="W393" s="200" t="str">
        <f aca="false">IF($A394="","",(T393+R393+G393+V393))</f>
        <v/>
      </c>
      <c r="X393" s="200" t="str">
        <f aca="false">IF($A394="","",(U393+S393+H393+V393))</f>
        <v/>
      </c>
      <c r="Y393" s="202"/>
      <c r="Z393" s="185"/>
      <c r="AG393" s="182"/>
      <c r="AH393" s="182"/>
      <c r="AI393" s="182"/>
      <c r="AJ393" s="218"/>
      <c r="AK393" s="218"/>
      <c r="AL393" s="218"/>
      <c r="AM393" s="218"/>
      <c r="AN393" s="218"/>
      <c r="AO393" s="137" t="str">
        <f aca="false">IF(A394="","",A394-A393)</f>
        <v/>
      </c>
      <c r="AP393" s="212" t="str">
        <f aca="false">IF(A394="","",CHOOSE(F$3,A394+24,A393))</f>
        <v/>
      </c>
      <c r="AQ393" s="209" t="str">
        <f aca="false">IF(A394="","",AP393-$E$1)</f>
        <v/>
      </c>
      <c r="AR393" s="185" t="n">
        <f aca="false">'ANR OK vs ML7'!AR393</f>
        <v>0.1</v>
      </c>
      <c r="AS393" s="213" t="str">
        <f aca="false">IF(A394="","",1/(1+CHOOSE(F$3,(AR394+($I$3/10000))/2,(AR393+($I$3/10000))/2))^(2*AQ393/365.25))</f>
        <v/>
      </c>
      <c r="AT393" s="137" t="str">
        <f aca="false">IF(A394="","",IF(AND(mthbeg&lt;=A393,mthend&gt;=A393),1,0))</f>
        <v/>
      </c>
      <c r="AU393" s="137" t="str">
        <f aca="false">IF(A394="","",AO393*AT393)</f>
        <v/>
      </c>
      <c r="AW393" s="195" t="str">
        <f aca="false">IF($A394="","",AL393*$E393)</f>
        <v/>
      </c>
      <c r="AX393" s="195" t="str">
        <f aca="false">IF($A394="","",AM393*$E393)</f>
        <v/>
      </c>
      <c r="AY393" s="195" t="str">
        <f aca="false">IF($A394="","",AN393*$E393)</f>
        <v/>
      </c>
      <c r="BA393" s="195" t="str">
        <f aca="false">IF($A394="","",F393*Summary!$Q$10)</f>
        <v/>
      </c>
    </row>
    <row r="394" customFormat="false" ht="12.75" hidden="false" customHeight="false" outlineLevel="0" collapsed="false">
      <c r="A394" s="196" t="str">
        <f aca="false">IF(A393&lt;mthend,EDATE(A393,1),"")</f>
        <v/>
      </c>
      <c r="B394" s="197" t="str">
        <f aca="false">IF(A394&lt;mthend,B393,"")</f>
        <v/>
      </c>
      <c r="D394" s="197" t="str">
        <f aca="false">IF(A395&lt;&gt;"",B394+C394,"")</f>
        <v/>
      </c>
      <c r="E394" s="199" t="str">
        <f aca="false">IF(A395="","",IF(AND(AT394=1,$H$3=1),D394*AO394,IF($H$3=2,D394,"N/A")))</f>
        <v/>
      </c>
      <c r="F394" s="199" t="str">
        <f aca="false">IF(A395="","",E394*AS394)</f>
        <v/>
      </c>
      <c r="G394" s="200" t="str">
        <f aca="false">IF($A395="","",VLOOKUP($A394,Table,MATCH(G$4,Curves,0)))</f>
        <v/>
      </c>
      <c r="H394" s="201" t="str">
        <f aca="false">IF(A395="","",G394)</f>
        <v/>
      </c>
      <c r="J394" s="200" t="str">
        <f aca="false">IF($A395="","",VLOOKUP($A394,Table,MATCH(J$4,Curves,0)))</f>
        <v/>
      </c>
      <c r="K394" s="201" t="str">
        <f aca="false">IF(A395="","",J394)</f>
        <v/>
      </c>
      <c r="L394" s="185" t="n">
        <v>0</v>
      </c>
      <c r="M394" s="201" t="str">
        <f aca="false">IF(A395="","",L394)</f>
        <v/>
      </c>
      <c r="O394" s="200" t="str">
        <f aca="false">IF(A395="","",L394+J394+G394)</f>
        <v/>
      </c>
      <c r="P394" s="200" t="str">
        <f aca="false">IF(A395="","",M394+K394+H394)</f>
        <v/>
      </c>
      <c r="R394" s="200" t="str">
        <f aca="false">IF($A395="","",VLOOKUP($A394,Table,MATCH(R$4,Curves,0)))</f>
        <v/>
      </c>
      <c r="S394" s="201" t="str">
        <f aca="false">IF(A395="","",R394)</f>
        <v/>
      </c>
      <c r="T394" s="200" t="str">
        <f aca="false">IF($A395="","",VLOOKUP($A394,Table,MATCH(T$4,Curves,0)))</f>
        <v/>
      </c>
      <c r="U394" s="201" t="str">
        <f aca="false">IF(A395="","",T394)</f>
        <v/>
      </c>
      <c r="V394" s="205" t="str">
        <f aca="false">IF($A395="","",IF(AND(MONTH(A394)&gt;3,MONTH(A394)&lt;11),(T394+R394+G394)*Summary!$T$10/(1-Summary!$T$10),(T394+R394+G394)*Summary!$U$10/(1-Summary!$U$10)))</f>
        <v/>
      </c>
      <c r="W394" s="200" t="str">
        <f aca="false">IF($A395="","",(T394+R394+G394+V394))</f>
        <v/>
      </c>
      <c r="X394" s="200" t="str">
        <f aca="false">IF($A395="","",(U394+S394+H394+V394))</f>
        <v/>
      </c>
      <c r="Y394" s="202"/>
      <c r="Z394" s="185"/>
      <c r="AG394" s="182"/>
      <c r="AH394" s="182"/>
      <c r="AI394" s="182"/>
      <c r="AJ394" s="218"/>
      <c r="AK394" s="218"/>
      <c r="AL394" s="218"/>
      <c r="AM394" s="218"/>
      <c r="AN394" s="218"/>
      <c r="AO394" s="137" t="str">
        <f aca="false">IF(A395="","",A395-A394)</f>
        <v/>
      </c>
      <c r="AP394" s="212" t="str">
        <f aca="false">IF(A395="","",CHOOSE(F$3,A395+24,A394))</f>
        <v/>
      </c>
      <c r="AQ394" s="209" t="str">
        <f aca="false">IF(A395="","",AP394-$E$1)</f>
        <v/>
      </c>
      <c r="AR394" s="185" t="n">
        <f aca="false">'ANR OK vs ML7'!AR394</f>
        <v>0.1</v>
      </c>
      <c r="AS394" s="213" t="str">
        <f aca="false">IF(A395="","",1/(1+CHOOSE(F$3,(AR395+($I$3/10000))/2,(AR394+($I$3/10000))/2))^(2*AQ394/365.25))</f>
        <v/>
      </c>
      <c r="AT394" s="137" t="str">
        <f aca="false">IF(A395="","",IF(AND(mthbeg&lt;=A394,mthend&gt;=A394),1,0))</f>
        <v/>
      </c>
      <c r="AU394" s="137" t="str">
        <f aca="false">IF(A395="","",AO394*AT394)</f>
        <v/>
      </c>
      <c r="AW394" s="195" t="str">
        <f aca="false">IF($A395="","",AL394*$E394)</f>
        <v/>
      </c>
      <c r="AX394" s="195" t="str">
        <f aca="false">IF($A395="","",AM394*$E394)</f>
        <v/>
      </c>
      <c r="AY394" s="195" t="str">
        <f aca="false">IF($A395="","",AN394*$E394)</f>
        <v/>
      </c>
      <c r="BA394" s="195" t="str">
        <f aca="false">IF($A395="","",F394*Summary!$Q$10)</f>
        <v/>
      </c>
    </row>
    <row r="395" customFormat="false" ht="12.75" hidden="false" customHeight="false" outlineLevel="0" collapsed="false">
      <c r="A395" s="196" t="str">
        <f aca="false">IF(A394&lt;mthend,EDATE(A394,1),"")</f>
        <v/>
      </c>
      <c r="B395" s="197" t="str">
        <f aca="false">IF(A395&lt;mthend,B394,"")</f>
        <v/>
      </c>
      <c r="D395" s="197" t="str">
        <f aca="false">IF(A396&lt;&gt;"",B395+C395,"")</f>
        <v/>
      </c>
      <c r="E395" s="199" t="str">
        <f aca="false">IF(A396="","",IF(AND(AT395=1,$H$3=1),D395*AO395,IF($H$3=2,D395,"N/A")))</f>
        <v/>
      </c>
      <c r="F395" s="199" t="str">
        <f aca="false">IF(A396="","",E395*AS395)</f>
        <v/>
      </c>
      <c r="G395" s="200" t="str">
        <f aca="false">IF($A396="","",VLOOKUP($A395,Table,MATCH(G$4,Curves,0)))</f>
        <v/>
      </c>
      <c r="H395" s="201" t="str">
        <f aca="false">IF(A396="","",G395)</f>
        <v/>
      </c>
      <c r="J395" s="200" t="str">
        <f aca="false">IF($A396="","",VLOOKUP($A395,Table,MATCH(J$4,Curves,0)))</f>
        <v/>
      </c>
      <c r="K395" s="201" t="str">
        <f aca="false">IF(A396="","",J395)</f>
        <v/>
      </c>
      <c r="L395" s="185" t="n">
        <v>0</v>
      </c>
      <c r="M395" s="201" t="str">
        <f aca="false">IF(A396="","",L395)</f>
        <v/>
      </c>
      <c r="O395" s="200" t="str">
        <f aca="false">IF(A396="","",L395+J395+G395)</f>
        <v/>
      </c>
      <c r="P395" s="200" t="str">
        <f aca="false">IF(A396="","",M395+K395+H395)</f>
        <v/>
      </c>
      <c r="R395" s="200" t="str">
        <f aca="false">IF($A396="","",VLOOKUP($A395,Table,MATCH(R$4,Curves,0)))</f>
        <v/>
      </c>
      <c r="S395" s="201" t="str">
        <f aca="false">IF(A396="","",R395)</f>
        <v/>
      </c>
      <c r="T395" s="200" t="str">
        <f aca="false">IF($A396="","",VLOOKUP($A395,Table,MATCH(T$4,Curves,0)))</f>
        <v/>
      </c>
      <c r="U395" s="201" t="str">
        <f aca="false">IF(A396="","",T395)</f>
        <v/>
      </c>
      <c r="V395" s="205" t="str">
        <f aca="false">IF($A396="","",IF(AND(MONTH(A395)&gt;3,MONTH(A395)&lt;11),(T395+R395+G395)*Summary!$T$10/(1-Summary!$T$10),(T395+R395+G395)*Summary!$U$10/(1-Summary!$U$10)))</f>
        <v/>
      </c>
      <c r="W395" s="200" t="str">
        <f aca="false">IF($A396="","",(T395+R395+G395+V395))</f>
        <v/>
      </c>
      <c r="X395" s="200" t="str">
        <f aca="false">IF($A396="","",(U395+S395+H395+V395))</f>
        <v/>
      </c>
      <c r="Y395" s="202"/>
      <c r="Z395" s="185"/>
      <c r="AG395" s="182"/>
      <c r="AH395" s="182"/>
      <c r="AI395" s="182"/>
      <c r="AJ395" s="218"/>
      <c r="AK395" s="218"/>
      <c r="AL395" s="218"/>
      <c r="AM395" s="218"/>
      <c r="AN395" s="218"/>
      <c r="AO395" s="137" t="str">
        <f aca="false">IF(A396="","",A396-A395)</f>
        <v/>
      </c>
      <c r="AP395" s="212" t="str">
        <f aca="false">IF(A396="","",CHOOSE(F$3,A396+24,A395))</f>
        <v/>
      </c>
      <c r="AQ395" s="209" t="str">
        <f aca="false">IF(A396="","",AP395-$E$1)</f>
        <v/>
      </c>
      <c r="AR395" s="185" t="n">
        <f aca="false">'ANR OK vs ML7'!AR395</f>
        <v>0.1</v>
      </c>
      <c r="AS395" s="213" t="str">
        <f aca="false">IF(A396="","",1/(1+CHOOSE(F$3,(AR396+($I$3/10000))/2,(AR395+($I$3/10000))/2))^(2*AQ395/365.25))</f>
        <v/>
      </c>
      <c r="AT395" s="137" t="str">
        <f aca="false">IF(A396="","",IF(AND(mthbeg&lt;=A395,mthend&gt;=A395),1,0))</f>
        <v/>
      </c>
      <c r="AU395" s="137" t="str">
        <f aca="false">IF(A396="","",AO395*AT395)</f>
        <v/>
      </c>
      <c r="AW395" s="195" t="str">
        <f aca="false">IF($A396="","",AL395*$E395)</f>
        <v/>
      </c>
      <c r="AX395" s="195" t="str">
        <f aca="false">IF($A396="","",AM395*$E395)</f>
        <v/>
      </c>
      <c r="AY395" s="195" t="str">
        <f aca="false">IF($A396="","",AN395*$E395)</f>
        <v/>
      </c>
      <c r="BA395" s="195" t="str">
        <f aca="false">IF($A396="","",F395*Summary!$Q$10)</f>
        <v/>
      </c>
    </row>
    <row r="396" customFormat="false" ht="12.75" hidden="false" customHeight="false" outlineLevel="0" collapsed="false">
      <c r="A396" s="196" t="str">
        <f aca="false">IF(A395&lt;mthend,EDATE(A395,1),"")</f>
        <v/>
      </c>
      <c r="B396" s="197" t="str">
        <f aca="false">IF(A396&lt;mthend,B395,"")</f>
        <v/>
      </c>
      <c r="D396" s="197" t="str">
        <f aca="false">IF(A397&lt;&gt;"",B396+C396,"")</f>
        <v/>
      </c>
      <c r="E396" s="199" t="str">
        <f aca="false">IF(A397="","",IF(AND(AT396=1,$H$3=1),D396*AO396,IF($H$3=2,D396,"N/A")))</f>
        <v/>
      </c>
      <c r="F396" s="199" t="str">
        <f aca="false">IF(A397="","",E396*AS396)</f>
        <v/>
      </c>
      <c r="G396" s="200" t="str">
        <f aca="false">IF($A397="","",VLOOKUP($A396,Table,MATCH(G$4,Curves,0)))</f>
        <v/>
      </c>
      <c r="H396" s="201" t="str">
        <f aca="false">IF(A397="","",G396)</f>
        <v/>
      </c>
      <c r="J396" s="200" t="str">
        <f aca="false">IF($A397="","",VLOOKUP($A396,Table,MATCH(J$4,Curves,0)))</f>
        <v/>
      </c>
      <c r="K396" s="201" t="str">
        <f aca="false">IF(A397="","",J396)</f>
        <v/>
      </c>
      <c r="L396" s="185" t="n">
        <v>0</v>
      </c>
      <c r="M396" s="201" t="str">
        <f aca="false">IF(A397="","",L396)</f>
        <v/>
      </c>
      <c r="O396" s="200" t="str">
        <f aca="false">IF(A397="","",L396+J396+G396)</f>
        <v/>
      </c>
      <c r="P396" s="200" t="str">
        <f aca="false">IF(A397="","",M396+K396+H396)</f>
        <v/>
      </c>
      <c r="R396" s="200" t="str">
        <f aca="false">IF($A397="","",VLOOKUP($A396,Table,MATCH(R$4,Curves,0)))</f>
        <v/>
      </c>
      <c r="S396" s="201" t="str">
        <f aca="false">IF(A397="","",R396)</f>
        <v/>
      </c>
      <c r="T396" s="200" t="str">
        <f aca="false">IF($A397="","",VLOOKUP($A396,Table,MATCH(T$4,Curves,0)))</f>
        <v/>
      </c>
      <c r="U396" s="201" t="str">
        <f aca="false">IF(A397="","",T396)</f>
        <v/>
      </c>
      <c r="V396" s="205" t="str">
        <f aca="false">IF($A397="","",IF(AND(MONTH(A396)&gt;3,MONTH(A396)&lt;11),(T396+R396+G396)*Summary!$T$10/(1-Summary!$T$10),(T396+R396+G396)*Summary!$U$10/(1-Summary!$U$10)))</f>
        <v/>
      </c>
      <c r="W396" s="200" t="str">
        <f aca="false">IF($A397="","",(T396+R396+G396+V396))</f>
        <v/>
      </c>
      <c r="X396" s="200" t="str">
        <f aca="false">IF($A397="","",(U396+S396+H396+V396))</f>
        <v/>
      </c>
      <c r="Y396" s="202"/>
      <c r="Z396" s="185"/>
      <c r="AG396" s="182"/>
      <c r="AH396" s="182"/>
      <c r="AI396" s="182"/>
      <c r="AJ396" s="218"/>
      <c r="AK396" s="218"/>
      <c r="AL396" s="218"/>
      <c r="AM396" s="218"/>
      <c r="AN396" s="218"/>
      <c r="AO396" s="137" t="str">
        <f aca="false">IF(A397="","",A397-A396)</f>
        <v/>
      </c>
      <c r="AP396" s="212" t="str">
        <f aca="false">IF(A397="","",CHOOSE(F$3,A397+24,A396))</f>
        <v/>
      </c>
      <c r="AQ396" s="209" t="str">
        <f aca="false">IF(A397="","",AP396-$E$1)</f>
        <v/>
      </c>
      <c r="AR396" s="185" t="n">
        <f aca="false">'ANR OK vs ML7'!AR396</f>
        <v>0.1</v>
      </c>
      <c r="AS396" s="213" t="str">
        <f aca="false">IF(A397="","",1/(1+CHOOSE(F$3,(AR397+($I$3/10000))/2,(AR396+($I$3/10000))/2))^(2*AQ396/365.25))</f>
        <v/>
      </c>
      <c r="AT396" s="137" t="str">
        <f aca="false">IF(A397="","",IF(AND(mthbeg&lt;=A396,mthend&gt;=A396),1,0))</f>
        <v/>
      </c>
      <c r="AU396" s="137" t="str">
        <f aca="false">IF(A397="","",AO396*AT396)</f>
        <v/>
      </c>
      <c r="AW396" s="195" t="str">
        <f aca="false">IF($A397="","",AL396*$E396)</f>
        <v/>
      </c>
      <c r="AX396" s="195" t="str">
        <f aca="false">IF($A397="","",AM396*$E396)</f>
        <v/>
      </c>
      <c r="AY396" s="195" t="str">
        <f aca="false">IF($A397="","",AN396*$E396)</f>
        <v/>
      </c>
      <c r="BA396" s="195" t="str">
        <f aca="false">IF($A397="","",F396*Summary!$Q$10)</f>
        <v/>
      </c>
    </row>
    <row r="397" customFormat="false" ht="12.75" hidden="false" customHeight="false" outlineLevel="0" collapsed="false">
      <c r="A397" s="196" t="str">
        <f aca="false">IF(A396&lt;mthend,EDATE(A396,1),"")</f>
        <v/>
      </c>
      <c r="B397" s="197" t="str">
        <f aca="false">IF(A397&lt;mthend,B396,"")</f>
        <v/>
      </c>
      <c r="D397" s="197" t="str">
        <f aca="false">IF(A398&lt;&gt;"",B397+C397,"")</f>
        <v/>
      </c>
      <c r="E397" s="199" t="str">
        <f aca="false">IF(A398="","",IF(AND(AT397=1,$H$3=1),D397*AO397,IF($H$3=2,D397,"N/A")))</f>
        <v/>
      </c>
      <c r="F397" s="199" t="str">
        <f aca="false">IF(A398="","",E397*AS397)</f>
        <v/>
      </c>
      <c r="G397" s="200" t="str">
        <f aca="false">IF($A398="","",VLOOKUP($A397,Table,MATCH(G$4,Curves,0)))</f>
        <v/>
      </c>
      <c r="H397" s="201" t="str">
        <f aca="false">IF(A398="","",G397)</f>
        <v/>
      </c>
      <c r="J397" s="200" t="str">
        <f aca="false">IF($A398="","",VLOOKUP($A397,Table,MATCH(J$4,Curves,0)))</f>
        <v/>
      </c>
      <c r="K397" s="201" t="str">
        <f aca="false">IF(A398="","",J397)</f>
        <v/>
      </c>
      <c r="L397" s="185" t="n">
        <v>0</v>
      </c>
      <c r="M397" s="201" t="str">
        <f aca="false">IF(A398="","",L397)</f>
        <v/>
      </c>
      <c r="O397" s="200" t="str">
        <f aca="false">IF(A398="","",L397+J397+G397)</f>
        <v/>
      </c>
      <c r="P397" s="200" t="str">
        <f aca="false">IF(A398="","",M397+K397+H397)</f>
        <v/>
      </c>
      <c r="R397" s="200" t="str">
        <f aca="false">IF($A398="","",VLOOKUP($A397,Table,MATCH(R$4,Curves,0)))</f>
        <v/>
      </c>
      <c r="S397" s="201" t="str">
        <f aca="false">IF(A398="","",R397)</f>
        <v/>
      </c>
      <c r="T397" s="200" t="str">
        <f aca="false">IF($A398="","",VLOOKUP($A397,Table,MATCH(T$4,Curves,0)))</f>
        <v/>
      </c>
      <c r="U397" s="201" t="str">
        <f aca="false">IF(A398="","",T397)</f>
        <v/>
      </c>
      <c r="V397" s="205" t="str">
        <f aca="false">IF($A398="","",IF(AND(MONTH(A397)&gt;3,MONTH(A397)&lt;11),(T397+R397+G397)*Summary!$T$10/(1-Summary!$T$10),(T397+R397+G397)*Summary!$U$10/(1-Summary!$U$10)))</f>
        <v/>
      </c>
      <c r="W397" s="200" t="str">
        <f aca="false">IF($A398="","",(T397+R397+G397+V397))</f>
        <v/>
      </c>
      <c r="X397" s="200" t="str">
        <f aca="false">IF($A398="","",(U397+S397+H397+V397))</f>
        <v/>
      </c>
      <c r="Y397" s="202"/>
      <c r="Z397" s="185"/>
      <c r="AJ397" s="218"/>
      <c r="AK397" s="218"/>
      <c r="AL397" s="218"/>
      <c r="AM397" s="218"/>
      <c r="AN397" s="218"/>
      <c r="AO397" s="137" t="str">
        <f aca="false">IF(A398="","",A398-A397)</f>
        <v/>
      </c>
      <c r="AP397" s="212" t="str">
        <f aca="false">IF(A398="","",CHOOSE(F$3,A398+24,A397))</f>
        <v/>
      </c>
      <c r="AQ397" s="209" t="str">
        <f aca="false">IF(A398="","",AP397-$E$1)</f>
        <v/>
      </c>
      <c r="AR397" s="185" t="n">
        <f aca="false">'ANR OK vs ML7'!AR397</f>
        <v>0.1</v>
      </c>
      <c r="AS397" s="213" t="str">
        <f aca="false">IF(A398="","",1/(1+CHOOSE(F$3,(AR398+($I$3/10000))/2,(AR397+($I$3/10000))/2))^(2*AQ397/365.25))</f>
        <v/>
      </c>
      <c r="AT397" s="137" t="str">
        <f aca="false">IF(A398="","",IF(AND(mthbeg&lt;=A397,mthend&gt;=A397),1,0))</f>
        <v/>
      </c>
      <c r="AU397" s="137" t="str">
        <f aca="false">IF(A398="","",AO397*AT397)</f>
        <v/>
      </c>
      <c r="AW397" s="195" t="str">
        <f aca="false">IF($A398="","",AL397*$E397)</f>
        <v/>
      </c>
      <c r="AX397" s="195" t="str">
        <f aca="false">IF($A398="","",AM397*$E397)</f>
        <v/>
      </c>
      <c r="AY397" s="195" t="str">
        <f aca="false">IF($A398="","",AN397*$E397)</f>
        <v/>
      </c>
      <c r="BA397" s="195" t="str">
        <f aca="false">IF($A398="","",F397*Summary!$Q$10)</f>
        <v/>
      </c>
    </row>
    <row r="398" customFormat="false" ht="12.75" hidden="false" customHeight="false" outlineLevel="0" collapsed="false">
      <c r="A398" s="196" t="str">
        <f aca="false">IF(A397&lt;mthend,EDATE(A397,1),"")</f>
        <v/>
      </c>
      <c r="B398" s="197" t="str">
        <f aca="false">IF(A398&lt;mthend,B397,"")</f>
        <v/>
      </c>
      <c r="D398" s="197" t="str">
        <f aca="false">IF(A399&lt;&gt;"",B398+C398,"")</f>
        <v/>
      </c>
      <c r="E398" s="199" t="str">
        <f aca="false">IF(A399="","",IF(AND(AT398=1,$H$3=1),D398*AO398,IF($H$3=2,D398,"N/A")))</f>
        <v/>
      </c>
      <c r="F398" s="199" t="str">
        <f aca="false">IF(A399="","",E398*AS398)</f>
        <v/>
      </c>
      <c r="G398" s="200" t="str">
        <f aca="false">IF($A399="","",VLOOKUP($A398,Table,MATCH(G$4,Curves,0)))</f>
        <v/>
      </c>
      <c r="H398" s="201" t="str">
        <f aca="false">IF(A399="","",G398)</f>
        <v/>
      </c>
      <c r="J398" s="200" t="str">
        <f aca="false">IF($A399="","",VLOOKUP($A398,Table,MATCH(J$4,Curves,0)))</f>
        <v/>
      </c>
      <c r="K398" s="201" t="str">
        <f aca="false">IF(A399="","",J398)</f>
        <v/>
      </c>
      <c r="L398" s="185" t="n">
        <v>0</v>
      </c>
      <c r="M398" s="201" t="str">
        <f aca="false">IF(A399="","",L398)</f>
        <v/>
      </c>
      <c r="O398" s="200" t="str">
        <f aca="false">IF(A399="","",L398+J398+G398)</f>
        <v/>
      </c>
      <c r="P398" s="200" t="str">
        <f aca="false">IF(A399="","",M398+K398+H398)</f>
        <v/>
      </c>
      <c r="R398" s="200" t="str">
        <f aca="false">IF($A399="","",VLOOKUP($A398,Table,MATCH(R$4,Curves,0)))</f>
        <v/>
      </c>
      <c r="S398" s="201" t="str">
        <f aca="false">IF(A399="","",R398)</f>
        <v/>
      </c>
      <c r="T398" s="200" t="str">
        <f aca="false">IF($A399="","",VLOOKUP($A398,Table,MATCH(T$4,Curves,0)))</f>
        <v/>
      </c>
      <c r="U398" s="201" t="str">
        <f aca="false">IF(A399="","",T398)</f>
        <v/>
      </c>
      <c r="V398" s="205" t="str">
        <f aca="false">IF($A399="","",IF(AND(MONTH(A398)&gt;3,MONTH(A398)&lt;11),(T398+R398+G398)*Summary!$T$10/(1-Summary!$T$10),(T398+R398+G398)*Summary!$U$10/(1-Summary!$U$10)))</f>
        <v/>
      </c>
      <c r="W398" s="200" t="str">
        <f aca="false">IF($A399="","",(T398+R398+G398+V398))</f>
        <v/>
      </c>
      <c r="X398" s="200" t="str">
        <f aca="false">IF($A399="","",(U398+S398+H398+V398))</f>
        <v/>
      </c>
      <c r="Y398" s="202"/>
      <c r="Z398" s="185"/>
      <c r="AJ398" s="218"/>
      <c r="AK398" s="218"/>
      <c r="AL398" s="218"/>
      <c r="AM398" s="218"/>
      <c r="AN398" s="218"/>
      <c r="AO398" s="137" t="str">
        <f aca="false">IF(A399="","",A399-A398)</f>
        <v/>
      </c>
      <c r="AP398" s="212" t="str">
        <f aca="false">IF(A399="","",CHOOSE(F$3,A399+24,A398))</f>
        <v/>
      </c>
      <c r="AQ398" s="209" t="str">
        <f aca="false">IF(A399="","",AP398-$E$1)</f>
        <v/>
      </c>
      <c r="AR398" s="185" t="n">
        <f aca="false">'ANR OK vs ML7'!AR398</f>
        <v>0.1</v>
      </c>
      <c r="AS398" s="213" t="str">
        <f aca="false">IF(A399="","",1/(1+CHOOSE(F$3,(AR399+($I$3/10000))/2,(AR398+($I$3/10000))/2))^(2*AQ398/365.25))</f>
        <v/>
      </c>
      <c r="AT398" s="137" t="str">
        <f aca="false">IF(A399="","",IF(AND(mthbeg&lt;=A398,mthend&gt;=A398),1,0))</f>
        <v/>
      </c>
      <c r="AU398" s="137" t="str">
        <f aca="false">IF(A399="","",AO398*AT398)</f>
        <v/>
      </c>
      <c r="AW398" s="195" t="str">
        <f aca="false">IF($A399="","",AL398*$E398)</f>
        <v/>
      </c>
      <c r="AX398" s="195" t="str">
        <f aca="false">IF($A399="","",AM398*$E398)</f>
        <v/>
      </c>
      <c r="AY398" s="195" t="str">
        <f aca="false">IF($A399="","",AN398*$E398)</f>
        <v/>
      </c>
      <c r="BA398" s="195" t="str">
        <f aca="false">IF($A399="","",F398*Summary!$Q$10)</f>
        <v/>
      </c>
    </row>
    <row r="399" customFormat="false" ht="12.75" hidden="false" customHeight="false" outlineLevel="0" collapsed="false">
      <c r="A399" s="196" t="str">
        <f aca="false">IF(A398&lt;mthend,EDATE(A398,1),"")</f>
        <v/>
      </c>
      <c r="B399" s="197" t="str">
        <f aca="false">IF(A399&lt;mthend,B398,"")</f>
        <v/>
      </c>
      <c r="D399" s="197" t="str">
        <f aca="false">IF(A400&lt;&gt;"",B399+C399,"")</f>
        <v/>
      </c>
      <c r="E399" s="199" t="str">
        <f aca="false">IF(A400="","",IF(AND(AT399=1,$H$3=1),D399*AO399,IF($H$3=2,D399,"N/A")))</f>
        <v/>
      </c>
      <c r="F399" s="199" t="str">
        <f aca="false">IF(A400="","",E399*AS399)</f>
        <v/>
      </c>
      <c r="G399" s="200" t="str">
        <f aca="false">IF($A400="","",VLOOKUP($A399,Table,MATCH(G$4,Curves,0)))</f>
        <v/>
      </c>
      <c r="H399" s="201" t="str">
        <f aca="false">IF(A400="","",G399)</f>
        <v/>
      </c>
      <c r="J399" s="200" t="str">
        <f aca="false">IF($A400="","",VLOOKUP($A399,Table,MATCH(J$4,Curves,0)))</f>
        <v/>
      </c>
      <c r="K399" s="201" t="str">
        <f aca="false">IF(A400="","",J399)</f>
        <v/>
      </c>
      <c r="L399" s="185" t="n">
        <v>0</v>
      </c>
      <c r="M399" s="201" t="str">
        <f aca="false">IF(A400="","",L399)</f>
        <v/>
      </c>
      <c r="O399" s="200" t="str">
        <f aca="false">IF(A400="","",L399+J399+G399)</f>
        <v/>
      </c>
      <c r="P399" s="200" t="str">
        <f aca="false">IF(A400="","",M399+K399+H399)</f>
        <v/>
      </c>
      <c r="R399" s="200" t="str">
        <f aca="false">IF($A400="","",VLOOKUP($A399,Table,MATCH(R$4,Curves,0)))</f>
        <v/>
      </c>
      <c r="S399" s="201" t="str">
        <f aca="false">IF(A400="","",R399)</f>
        <v/>
      </c>
      <c r="T399" s="200" t="str">
        <f aca="false">IF($A400="","",VLOOKUP($A399,Table,MATCH(T$4,Curves,0)))</f>
        <v/>
      </c>
      <c r="U399" s="201" t="str">
        <f aca="false">IF(A400="","",T399)</f>
        <v/>
      </c>
      <c r="V399" s="205" t="str">
        <f aca="false">IF($A400="","",IF(AND(MONTH(A399)&gt;3,MONTH(A399)&lt;11),(T399+R399+G399)*Summary!$T$10/(1-Summary!$T$10),(T399+R399+G399)*Summary!$U$10/(1-Summary!$U$10)))</f>
        <v/>
      </c>
      <c r="W399" s="200" t="str">
        <f aca="false">IF($A400="","",(T399+R399+G399+V399))</f>
        <v/>
      </c>
      <c r="X399" s="200" t="str">
        <f aca="false">IF($A400="","",(U399+S399+H399+V399))</f>
        <v/>
      </c>
      <c r="Y399" s="202"/>
      <c r="Z399" s="185"/>
      <c r="AJ399" s="218"/>
      <c r="AK399" s="218"/>
      <c r="AL399" s="218"/>
      <c r="AM399" s="218"/>
      <c r="AN399" s="218"/>
      <c r="AO399" s="137" t="str">
        <f aca="false">IF(A400="","",A400-A399)</f>
        <v/>
      </c>
      <c r="AP399" s="212" t="str">
        <f aca="false">IF(A400="","",CHOOSE(F$3,A400+24,A399))</f>
        <v/>
      </c>
      <c r="AQ399" s="209" t="str">
        <f aca="false">IF(A400="","",AP399-$E$1)</f>
        <v/>
      </c>
      <c r="AR399" s="185" t="n">
        <f aca="false">'ANR OK vs ML7'!AR399</f>
        <v>0.1</v>
      </c>
      <c r="AS399" s="213" t="str">
        <f aca="false">IF(A400="","",1/(1+CHOOSE(F$3,(AR400+($I$3/10000))/2,(AR399+($I$3/10000))/2))^(2*AQ399/365.25))</f>
        <v/>
      </c>
      <c r="AT399" s="137" t="str">
        <f aca="false">IF(A400="","",IF(AND(mthbeg&lt;=A399,mthend&gt;=A399),1,0))</f>
        <v/>
      </c>
      <c r="AU399" s="137" t="str">
        <f aca="false">IF(A400="","",AO399*AT399)</f>
        <v/>
      </c>
      <c r="AW399" s="195" t="str">
        <f aca="false">IF($A400="","",AL399*$E399)</f>
        <v/>
      </c>
      <c r="AX399" s="195" t="str">
        <f aca="false">IF($A400="","",AM399*$E399)</f>
        <v/>
      </c>
      <c r="AY399" s="195" t="str">
        <f aca="false">IF($A400="","",AN399*$E399)</f>
        <v/>
      </c>
      <c r="BA399" s="195" t="str">
        <f aca="false">IF($A400="","",F399*Summary!$Q$10)</f>
        <v/>
      </c>
    </row>
    <row r="400" customFormat="false" ht="12.75" hidden="false" customHeight="false" outlineLevel="0" collapsed="false">
      <c r="A400" s="196" t="str">
        <f aca="false">IF(A399&lt;mthend,EDATE(A399,1),"")</f>
        <v/>
      </c>
      <c r="B400" s="197" t="str">
        <f aca="false">IF(A400&lt;mthend,B399,"")</f>
        <v/>
      </c>
      <c r="D400" s="197" t="str">
        <f aca="false">IF(A401&lt;&gt;"",B400+C400,"")</f>
        <v/>
      </c>
      <c r="E400" s="199" t="str">
        <f aca="false">IF(A401="","",IF(AND(AT400=1,$H$3=1),D400*AO400,IF($H$3=2,D400,"N/A")))</f>
        <v/>
      </c>
      <c r="F400" s="199" t="str">
        <f aca="false">IF(A401="","",E400*AS400)</f>
        <v/>
      </c>
      <c r="G400" s="200" t="str">
        <f aca="false">IF($A401="","",VLOOKUP($A400,Table,MATCH(G$4,Curves,0)))</f>
        <v/>
      </c>
      <c r="H400" s="201" t="str">
        <f aca="false">IF(A401="","",G400)</f>
        <v/>
      </c>
      <c r="J400" s="200" t="str">
        <f aca="false">IF($A401="","",VLOOKUP($A400,Table,MATCH(J$4,Curves,0)))</f>
        <v/>
      </c>
      <c r="K400" s="201" t="str">
        <f aca="false">IF(A401="","",J400)</f>
        <v/>
      </c>
      <c r="L400" s="185" t="n">
        <v>0</v>
      </c>
      <c r="M400" s="201" t="str">
        <f aca="false">IF(A401="","",L400)</f>
        <v/>
      </c>
      <c r="O400" s="200" t="str">
        <f aca="false">IF(A401="","",L400+J400+G400)</f>
        <v/>
      </c>
      <c r="P400" s="200" t="str">
        <f aca="false">IF(A401="","",M400+K400+H400)</f>
        <v/>
      </c>
      <c r="R400" s="200" t="str">
        <f aca="false">IF($A401="","",VLOOKUP($A400,Table,MATCH(R$4,Curves,0)))</f>
        <v/>
      </c>
      <c r="S400" s="201" t="str">
        <f aca="false">IF(A401="","",R400)</f>
        <v/>
      </c>
      <c r="T400" s="200" t="str">
        <f aca="false">IF($A401="","",VLOOKUP($A400,Table,MATCH(T$4,Curves,0)))</f>
        <v/>
      </c>
      <c r="U400" s="201" t="str">
        <f aca="false">IF(A401="","",T400)</f>
        <v/>
      </c>
      <c r="V400" s="205" t="str">
        <f aca="false">IF($A401="","",IF(AND(MONTH(A400)&gt;3,MONTH(A400)&lt;11),(T400+R400+G400)*Summary!$T$10/(1-Summary!$T$10),(T400+R400+G400)*Summary!$U$10/(1-Summary!$U$10)))</f>
        <v/>
      </c>
      <c r="W400" s="200" t="str">
        <f aca="false">IF($A401="","",(T400+R400+G400+V400))</f>
        <v/>
      </c>
      <c r="X400" s="200" t="str">
        <f aca="false">IF($A401="","",(U400+S400+H400+V400))</f>
        <v/>
      </c>
      <c r="Y400" s="202"/>
      <c r="Z400" s="185"/>
      <c r="AJ400" s="218"/>
      <c r="AK400" s="218"/>
      <c r="AL400" s="218"/>
      <c r="AM400" s="218"/>
      <c r="AN400" s="218"/>
      <c r="AO400" s="137" t="str">
        <f aca="false">IF(A401="","",A401-A400)</f>
        <v/>
      </c>
      <c r="AP400" s="212" t="str">
        <f aca="false">IF(A401="","",CHOOSE(F$3,A401+24,A400))</f>
        <v/>
      </c>
      <c r="AQ400" s="209" t="str">
        <f aca="false">IF(A401="","",AP400-$E$1)</f>
        <v/>
      </c>
      <c r="AR400" s="185" t="n">
        <f aca="false">'ANR OK vs ML7'!AR400</f>
        <v>0.1</v>
      </c>
      <c r="AS400" s="213" t="str">
        <f aca="false">IF(A401="","",1/(1+CHOOSE(F$3,(AR401+($I$3/10000))/2,(AR400+($I$3/10000))/2))^(2*AQ400/365.25))</f>
        <v/>
      </c>
      <c r="AT400" s="137" t="str">
        <f aca="false">IF(A401="","",IF(AND(mthbeg&lt;=A400,mthend&gt;=A400),1,0))</f>
        <v/>
      </c>
      <c r="AU400" s="137" t="str">
        <f aca="false">IF(A401="","",AO400*AT400)</f>
        <v/>
      </c>
      <c r="AW400" s="195" t="str">
        <f aca="false">IF($A401="","",AL400*$E400)</f>
        <v/>
      </c>
      <c r="AX400" s="195" t="str">
        <f aca="false">IF($A401="","",AM400*$E400)</f>
        <v/>
      </c>
      <c r="AY400" s="195" t="str">
        <f aca="false">IF($A401="","",AN400*$E400)</f>
        <v/>
      </c>
      <c r="BA400" s="195" t="str">
        <f aca="false">IF($A401="","",F400*Summary!$Q$10)</f>
        <v/>
      </c>
    </row>
    <row r="401" customFormat="false" ht="12.75" hidden="false" customHeight="false" outlineLevel="0" collapsed="false">
      <c r="A401" s="196" t="str">
        <f aca="false">IF(A400&lt;mthend,EDATE(A400,1),"")</f>
        <v/>
      </c>
      <c r="B401" s="197" t="str">
        <f aca="false">IF(A401&lt;mthend,B400,"")</f>
        <v/>
      </c>
      <c r="D401" s="197" t="str">
        <f aca="false">IF(A402&lt;&gt;"",B401+C401,"")</f>
        <v/>
      </c>
      <c r="E401" s="199" t="str">
        <f aca="false">IF(A402="","",IF(AND(AT401=1,$H$3=1),D401*AO401,IF($H$3=2,D401,"N/A")))</f>
        <v/>
      </c>
      <c r="F401" s="199" t="str">
        <f aca="false">IF(A402="","",E401*AS401)</f>
        <v/>
      </c>
      <c r="G401" s="200" t="str">
        <f aca="false">IF($A402="","",VLOOKUP($A401,Table,MATCH(G$4,Curves,0)))</f>
        <v/>
      </c>
      <c r="H401" s="201" t="str">
        <f aca="false">IF(A402="","",G401)</f>
        <v/>
      </c>
      <c r="J401" s="200" t="str">
        <f aca="false">IF($A402="","",VLOOKUP($A401,Table,MATCH(J$4,Curves,0)))</f>
        <v/>
      </c>
      <c r="K401" s="201" t="str">
        <f aca="false">IF(A402="","",J401)</f>
        <v/>
      </c>
      <c r="L401" s="185" t="n">
        <v>0</v>
      </c>
      <c r="M401" s="201" t="str">
        <f aca="false">IF(A402="","",L401)</f>
        <v/>
      </c>
      <c r="O401" s="200" t="str">
        <f aca="false">IF(A402="","",L401+J401+G401)</f>
        <v/>
      </c>
      <c r="P401" s="200" t="str">
        <f aca="false">IF(A402="","",M401+K401+H401)</f>
        <v/>
      </c>
      <c r="R401" s="200" t="str">
        <f aca="false">IF($A402="","",VLOOKUP($A401,Table,MATCH(R$4,Curves,0)))</f>
        <v/>
      </c>
      <c r="S401" s="201" t="str">
        <f aca="false">IF(A402="","",R401)</f>
        <v/>
      </c>
      <c r="T401" s="200" t="str">
        <f aca="false">IF($A402="","",VLOOKUP($A401,Table,MATCH(T$4,Curves,0)))</f>
        <v/>
      </c>
      <c r="U401" s="201" t="str">
        <f aca="false">IF(A402="","",T401)</f>
        <v/>
      </c>
      <c r="V401" s="205" t="str">
        <f aca="false">IF($A402="","",IF(AND(MONTH(A401)&gt;3,MONTH(A401)&lt;11),(T401+R401+G401)*Summary!$T$10/(1-Summary!$T$10),(T401+R401+G401)*Summary!$U$10/(1-Summary!$U$10)))</f>
        <v/>
      </c>
      <c r="W401" s="200" t="str">
        <f aca="false">IF($A402="","",(T401+R401+G401+V401))</f>
        <v/>
      </c>
      <c r="X401" s="200" t="str">
        <f aca="false">IF($A402="","",(U401+S401+H401+V401))</f>
        <v/>
      </c>
      <c r="Y401" s="202"/>
      <c r="Z401" s="185"/>
      <c r="AJ401" s="218"/>
      <c r="AK401" s="218"/>
      <c r="AL401" s="218"/>
      <c r="AM401" s="218"/>
      <c r="AN401" s="218"/>
      <c r="AO401" s="137" t="str">
        <f aca="false">IF(A402="","",A402-A401)</f>
        <v/>
      </c>
      <c r="AP401" s="212" t="str">
        <f aca="false">IF(A402="","",CHOOSE(F$3,A402+24,A401))</f>
        <v/>
      </c>
      <c r="AQ401" s="209" t="str">
        <f aca="false">IF(A402="","",AP401-$E$1)</f>
        <v/>
      </c>
      <c r="AR401" s="185" t="n">
        <f aca="false">'ANR OK vs ML7'!AR401</f>
        <v>0.1</v>
      </c>
      <c r="AS401" s="213" t="str">
        <f aca="false">IF(A402="","",1/(1+CHOOSE(F$3,(AR402+($I$3/10000))/2,(AR401+($I$3/10000))/2))^(2*AQ401/365.25))</f>
        <v/>
      </c>
      <c r="AT401" s="137" t="str">
        <f aca="false">IF(A402="","",IF(AND(mthbeg&lt;=A401,mthend&gt;=A401),1,0))</f>
        <v/>
      </c>
      <c r="AU401" s="137" t="str">
        <f aca="false">IF(A402="","",AO401*AT401)</f>
        <v/>
      </c>
      <c r="AW401" s="195" t="str">
        <f aca="false">IF($A402="","",AL401*$E401)</f>
        <v/>
      </c>
      <c r="AX401" s="195" t="str">
        <f aca="false">IF($A402="","",AM401*$E401)</f>
        <v/>
      </c>
      <c r="AY401" s="195" t="str">
        <f aca="false">IF($A402="","",AN401*$E401)</f>
        <v/>
      </c>
      <c r="BA401" s="195" t="str">
        <f aca="false">IF($A402="","",F401*Summary!$Q$10)</f>
        <v/>
      </c>
    </row>
    <row r="402" customFormat="false" ht="12.75" hidden="false" customHeight="false" outlineLevel="0" collapsed="false">
      <c r="A402" s="196" t="str">
        <f aca="false">IF(A401&lt;mthend,EDATE(A401,1),"")</f>
        <v/>
      </c>
      <c r="B402" s="197" t="str">
        <f aca="false">IF(A402&lt;mthend,B401,"")</f>
        <v/>
      </c>
      <c r="D402" s="197" t="str">
        <f aca="false">IF(A403&lt;&gt;"",B402+C402,"")</f>
        <v/>
      </c>
      <c r="E402" s="199" t="str">
        <f aca="false">IF(A403="","",IF(AND(AT402=1,$H$3=1),D402*AO402,IF($H$3=2,D402,"N/A")))</f>
        <v/>
      </c>
      <c r="F402" s="199" t="str">
        <f aca="false">IF(A403="","",E402*AS402)</f>
        <v/>
      </c>
      <c r="G402" s="200" t="str">
        <f aca="false">IF($A403="","",VLOOKUP($A402,Table,MATCH(G$4,Curves,0)))</f>
        <v/>
      </c>
      <c r="H402" s="201" t="str">
        <f aca="false">IF(A403="","",G402)</f>
        <v/>
      </c>
      <c r="J402" s="200" t="str">
        <f aca="false">IF($A403="","",VLOOKUP($A402,Table,MATCH(J$4,Curves,0)))</f>
        <v/>
      </c>
      <c r="K402" s="201" t="str">
        <f aca="false">IF(A403="","",J402)</f>
        <v/>
      </c>
      <c r="L402" s="185" t="n">
        <v>0</v>
      </c>
      <c r="M402" s="201" t="str">
        <f aca="false">IF(A403="","",L402)</f>
        <v/>
      </c>
      <c r="O402" s="200" t="str">
        <f aca="false">IF(A403="","",L402+J402+G402)</f>
        <v/>
      </c>
      <c r="P402" s="200" t="str">
        <f aca="false">IF(A403="","",M402+K402+H402)</f>
        <v/>
      </c>
      <c r="R402" s="200" t="str">
        <f aca="false">IF($A403="","",VLOOKUP($A402,Table,MATCH(R$4,Curves,0)))</f>
        <v/>
      </c>
      <c r="S402" s="201" t="str">
        <f aca="false">IF(A403="","",R402)</f>
        <v/>
      </c>
      <c r="T402" s="200" t="str">
        <f aca="false">IF($A403="","",VLOOKUP($A402,Table,MATCH(T$4,Curves,0)))</f>
        <v/>
      </c>
      <c r="U402" s="201" t="str">
        <f aca="false">IF(A403="","",T402)</f>
        <v/>
      </c>
      <c r="V402" s="205" t="str">
        <f aca="false">IF($A403="","",IF(AND(MONTH(A402)&gt;3,MONTH(A402)&lt;11),(T402+R402+G402)*Summary!$T$10/(1-Summary!$T$10),(T402+R402+G402)*Summary!$U$10/(1-Summary!$U$10)))</f>
        <v/>
      </c>
      <c r="W402" s="200" t="str">
        <f aca="false">IF($A403="","",(T402+R402+G402+V402))</f>
        <v/>
      </c>
      <c r="X402" s="200" t="str">
        <f aca="false">IF($A403="","",(U402+S402+H402+V402))</f>
        <v/>
      </c>
      <c r="Y402" s="202"/>
      <c r="Z402" s="185"/>
      <c r="AJ402" s="218"/>
      <c r="AK402" s="218"/>
      <c r="AL402" s="218"/>
      <c r="AM402" s="218"/>
      <c r="AN402" s="218"/>
      <c r="AO402" s="137" t="str">
        <f aca="false">IF(A403="","",A403-A402)</f>
        <v/>
      </c>
      <c r="AP402" s="212" t="str">
        <f aca="false">IF(A403="","",CHOOSE(F$3,A403+24,A402))</f>
        <v/>
      </c>
      <c r="AQ402" s="209" t="str">
        <f aca="false">IF(A403="","",AP402-$E$1)</f>
        <v/>
      </c>
      <c r="AR402" s="185" t="n">
        <f aca="false">'ANR OK vs ML7'!AR402</f>
        <v>0.1</v>
      </c>
      <c r="AS402" s="213" t="str">
        <f aca="false">IF(A403="","",1/(1+CHOOSE(F$3,(AR403+($I$3/10000))/2,(AR402+($I$3/10000))/2))^(2*AQ402/365.25))</f>
        <v/>
      </c>
      <c r="AT402" s="137" t="str">
        <f aca="false">IF(A403="","",IF(AND(mthbeg&lt;=A402,mthend&gt;=A402),1,0))</f>
        <v/>
      </c>
      <c r="AU402" s="137" t="str">
        <f aca="false">IF(A403="","",AO402*AT402)</f>
        <v/>
      </c>
      <c r="AW402" s="195" t="str">
        <f aca="false">IF($A403="","",AL402*$E402)</f>
        <v/>
      </c>
      <c r="AX402" s="195" t="str">
        <f aca="false">IF($A403="","",AM402*$E402)</f>
        <v/>
      </c>
      <c r="AY402" s="195" t="str">
        <f aca="false">IF($A403="","",AN402*$E402)</f>
        <v/>
      </c>
      <c r="BA402" s="195" t="str">
        <f aca="false">IF($A403="","",F402*Summary!$Q$10)</f>
        <v/>
      </c>
    </row>
    <row r="403" customFormat="false" ht="12.75" hidden="false" customHeight="false" outlineLevel="0" collapsed="false">
      <c r="A403" s="196" t="str">
        <f aca="false">IF(A402&lt;mthend,EDATE(A402,1),"")</f>
        <v/>
      </c>
      <c r="B403" s="197" t="str">
        <f aca="false">IF(A403&lt;mthend,B402,"")</f>
        <v/>
      </c>
      <c r="D403" s="197" t="str">
        <f aca="false">IF(A404&lt;&gt;"",B403+C403,"")</f>
        <v/>
      </c>
      <c r="E403" s="199" t="str">
        <f aca="false">IF(A404="","",IF(AND(AT403=1,$H$3=1),D403*AO403,IF($H$3=2,D403,"N/A")))</f>
        <v/>
      </c>
      <c r="F403" s="199" t="str">
        <f aca="false">IF(A404="","",E403*AS403)</f>
        <v/>
      </c>
      <c r="G403" s="200" t="str">
        <f aca="false">IF($A404="","",VLOOKUP($A403,Table,MATCH(G$4,Curves,0)))</f>
        <v/>
      </c>
      <c r="H403" s="201" t="str">
        <f aca="false">IF(A404="","",G403)</f>
        <v/>
      </c>
      <c r="J403" s="200" t="str">
        <f aca="false">IF($A404="","",VLOOKUP($A403,Table,MATCH(J$4,Curves,0)))</f>
        <v/>
      </c>
      <c r="K403" s="201" t="str">
        <f aca="false">IF(A404="","",J403)</f>
        <v/>
      </c>
      <c r="L403" s="185" t="n">
        <v>0</v>
      </c>
      <c r="M403" s="201" t="str">
        <f aca="false">IF(A404="","",L403)</f>
        <v/>
      </c>
      <c r="O403" s="200" t="str">
        <f aca="false">IF(A404="","",L403+J403+G403)</f>
        <v/>
      </c>
      <c r="P403" s="200" t="str">
        <f aca="false">IF(A404="","",M403+K403+H403)</f>
        <v/>
      </c>
      <c r="R403" s="200" t="str">
        <f aca="false">IF($A404="","",VLOOKUP($A403,Table,MATCH(R$4,Curves,0)))</f>
        <v/>
      </c>
      <c r="S403" s="201" t="str">
        <f aca="false">IF(A404="","",R403)</f>
        <v/>
      </c>
      <c r="T403" s="200" t="str">
        <f aca="false">IF($A404="","",VLOOKUP($A403,Table,MATCH(T$4,Curves,0)))</f>
        <v/>
      </c>
      <c r="U403" s="201" t="str">
        <f aca="false">IF(A404="","",T403)</f>
        <v/>
      </c>
      <c r="V403" s="205" t="str">
        <f aca="false">IF($A404="","",IF(AND(MONTH(A403)&gt;3,MONTH(A403)&lt;11),(T403+R403+G403)*Summary!$T$10/(1-Summary!$T$10),(T403+R403+G403)*Summary!$U$10/(1-Summary!$U$10)))</f>
        <v/>
      </c>
      <c r="W403" s="200" t="str">
        <f aca="false">IF($A404="","",(T403+R403+G403+V403))</f>
        <v/>
      </c>
      <c r="X403" s="200" t="str">
        <f aca="false">IF($A404="","",(U403+S403+H403+V403))</f>
        <v/>
      </c>
      <c r="Y403" s="202"/>
      <c r="Z403" s="185"/>
      <c r="AJ403" s="77"/>
      <c r="AK403" s="77"/>
      <c r="AL403" s="77"/>
      <c r="AM403" s="77"/>
      <c r="AN403" s="77"/>
      <c r="AO403" s="137" t="str">
        <f aca="false">IF(A404="","",A404-A403)</f>
        <v/>
      </c>
      <c r="AP403" s="212" t="str">
        <f aca="false">IF(A404="","",CHOOSE(F$3,A404+24,A403))</f>
        <v/>
      </c>
      <c r="AQ403" s="209" t="str">
        <f aca="false">IF(A404="","",AP403-$E$1)</f>
        <v/>
      </c>
      <c r="AR403" s="185" t="n">
        <f aca="false">'ANR OK vs ML7'!AR403</f>
        <v>0.1</v>
      </c>
      <c r="AS403" s="213" t="str">
        <f aca="false">IF(A404="","",1/(1+CHOOSE(F$3,(AR404+($I$3/10000))/2,(AR403+($I$3/10000))/2))^(2*AQ403/365.25))</f>
        <v/>
      </c>
      <c r="AT403" s="137" t="str">
        <f aca="false">IF(A404="","",IF(AND(mthbeg&lt;=A403,mthend&gt;=A403),1,0))</f>
        <v/>
      </c>
      <c r="AU403" s="137" t="str">
        <f aca="false">IF(A404="","",AO403*AT403)</f>
        <v/>
      </c>
      <c r="AW403" s="195" t="str">
        <f aca="false">IF($A404="","",AL403*$E403)</f>
        <v/>
      </c>
      <c r="AX403" s="195" t="str">
        <f aca="false">IF($A404="","",AM403*$E403)</f>
        <v/>
      </c>
      <c r="AY403" s="195" t="str">
        <f aca="false">IF($A404="","",AN403*$E403)</f>
        <v/>
      </c>
      <c r="BA403" s="195" t="str">
        <f aca="false">IF($A404="","",F403*Summary!$Q$10)</f>
        <v/>
      </c>
    </row>
    <row r="404" customFormat="false" ht="12.75" hidden="false" customHeight="false" outlineLevel="0" collapsed="false">
      <c r="A404" s="196" t="str">
        <f aca="false">IF(A403&lt;mthend,EDATE(A403,1),"")</f>
        <v/>
      </c>
      <c r="B404" s="197" t="str">
        <f aca="false">IF(A404&lt;mthend,B403,"")</f>
        <v/>
      </c>
      <c r="D404" s="197" t="str">
        <f aca="false">IF(A405&lt;&gt;"",B404+C404,"")</f>
        <v/>
      </c>
      <c r="E404" s="199" t="str">
        <f aca="false">IF(A405="","",IF(AND(AT404=1,$H$3=1),D404*AO404,IF($H$3=2,D404,"N/A")))</f>
        <v/>
      </c>
      <c r="F404" s="199" t="str">
        <f aca="false">IF(A405="","",E404*AS404)</f>
        <v/>
      </c>
      <c r="G404" s="200" t="str">
        <f aca="false">IF($A405="","",VLOOKUP($A404,Table,MATCH(G$4,Curves,0)))</f>
        <v/>
      </c>
      <c r="H404" s="201" t="str">
        <f aca="false">IF(A405="","",G404)</f>
        <v/>
      </c>
      <c r="J404" s="200" t="str">
        <f aca="false">IF($A405="","",VLOOKUP($A404,Table,MATCH(J$4,Curves,0)))</f>
        <v/>
      </c>
      <c r="K404" s="201" t="str">
        <f aca="false">IF(A405="","",J404)</f>
        <v/>
      </c>
      <c r="L404" s="185" t="n">
        <v>0</v>
      </c>
      <c r="M404" s="201" t="str">
        <f aca="false">IF(A405="","",L404)</f>
        <v/>
      </c>
      <c r="O404" s="200" t="str">
        <f aca="false">IF(A405="","",L404+J404+G404)</f>
        <v/>
      </c>
      <c r="P404" s="200" t="str">
        <f aca="false">IF(A405="","",M404+K404+H404)</f>
        <v/>
      </c>
      <c r="R404" s="200" t="str">
        <f aca="false">IF($A405="","",VLOOKUP($A404,Table,MATCH(R$4,Curves,0)))</f>
        <v/>
      </c>
      <c r="S404" s="201" t="str">
        <f aca="false">IF(A405="","",R404)</f>
        <v/>
      </c>
      <c r="T404" s="200" t="str">
        <f aca="false">IF($A405="","",VLOOKUP($A404,Table,MATCH(T$4,Curves,0)))</f>
        <v/>
      </c>
      <c r="U404" s="201" t="str">
        <f aca="false">IF(A405="","",T404)</f>
        <v/>
      </c>
      <c r="V404" s="205" t="str">
        <f aca="false">IF($A405="","",IF(AND(MONTH(A404)&gt;3,MONTH(A404)&lt;11),(T404+R404+G404)*Summary!$T$10/(1-Summary!$T$10),(T404+R404+G404)*Summary!$U$10/(1-Summary!$U$10)))</f>
        <v/>
      </c>
      <c r="W404" s="200" t="str">
        <f aca="false">IF($A405="","",(T404+R404+G404+V404))</f>
        <v/>
      </c>
      <c r="X404" s="200" t="str">
        <f aca="false">IF($A405="","",(U404+S404+H404+V404))</f>
        <v/>
      </c>
      <c r="Y404" s="202"/>
      <c r="Z404" s="185"/>
      <c r="AJ404" s="77"/>
      <c r="AK404" s="77"/>
      <c r="AL404" s="77"/>
      <c r="AM404" s="77"/>
      <c r="AN404" s="77"/>
      <c r="AO404" s="137" t="str">
        <f aca="false">IF(A405="","",A405-A404)</f>
        <v/>
      </c>
      <c r="AP404" s="212" t="str">
        <f aca="false">IF(A405="","",CHOOSE(F$3,A405+24,A404))</f>
        <v/>
      </c>
      <c r="AQ404" s="209" t="str">
        <f aca="false">IF(A405="","",AP404-$E$1)</f>
        <v/>
      </c>
      <c r="AR404" s="185" t="n">
        <f aca="false">'ANR OK vs ML7'!AR404</f>
        <v>0.1</v>
      </c>
      <c r="AS404" s="213" t="str">
        <f aca="false">IF(A405="","",1/(1+CHOOSE(F$3,(AR405+($I$3/10000))/2,(AR404+($I$3/10000))/2))^(2*AQ404/365.25))</f>
        <v/>
      </c>
      <c r="AT404" s="137" t="str">
        <f aca="false">IF(A405="","",IF(AND(mthbeg&lt;=A404,mthend&gt;=A404),1,0))</f>
        <v/>
      </c>
      <c r="AU404" s="137" t="str">
        <f aca="false">IF(A405="","",AO404*AT404)</f>
        <v/>
      </c>
      <c r="AW404" s="195" t="str">
        <f aca="false">IF($A405="","",AL404*$E404)</f>
        <v/>
      </c>
      <c r="AX404" s="195" t="str">
        <f aca="false">IF($A405="","",AM404*$E404)</f>
        <v/>
      </c>
      <c r="AY404" s="195" t="str">
        <f aca="false">IF($A405="","",AN404*$E404)</f>
        <v/>
      </c>
      <c r="BA404" s="195" t="str">
        <f aca="false">IF($A405="","",F404*Summary!$Q$10)</f>
        <v/>
      </c>
    </row>
    <row r="405" customFormat="false" ht="12.75" hidden="false" customHeight="false" outlineLevel="0" collapsed="false">
      <c r="A405" s="196" t="str">
        <f aca="false">IF(A404&lt;mthend,EDATE(A404,1),"")</f>
        <v/>
      </c>
      <c r="B405" s="197" t="str">
        <f aca="false">IF(A405&lt;mthend,B404,"")</f>
        <v/>
      </c>
      <c r="D405" s="197" t="str">
        <f aca="false">IF(A406&lt;&gt;"",B405+C405,"")</f>
        <v/>
      </c>
      <c r="E405" s="199" t="str">
        <f aca="false">IF(A406="","",IF(AND(AT405=1,$H$3=1),D405*AO405,IF($H$3=2,D405,"N/A")))</f>
        <v/>
      </c>
      <c r="F405" s="199" t="str">
        <f aca="false">IF(A406="","",E405*AS405)</f>
        <v/>
      </c>
      <c r="G405" s="200" t="str">
        <f aca="false">IF($A406="","",VLOOKUP($A405,Table,MATCH(G$4,Curves,0)))</f>
        <v/>
      </c>
      <c r="H405" s="201" t="str">
        <f aca="false">IF(A406="","",G405)</f>
        <v/>
      </c>
      <c r="J405" s="200" t="str">
        <f aca="false">IF($A406="","",VLOOKUP($A405,Table,MATCH(J$4,Curves,0)))</f>
        <v/>
      </c>
      <c r="K405" s="201" t="str">
        <f aca="false">IF(A406="","",J405)</f>
        <v/>
      </c>
      <c r="L405" s="185" t="n">
        <v>0</v>
      </c>
      <c r="M405" s="201" t="str">
        <f aca="false">IF(A406="","",L405)</f>
        <v/>
      </c>
      <c r="O405" s="200" t="str">
        <f aca="false">IF(A406="","",L405+J405+G405)</f>
        <v/>
      </c>
      <c r="P405" s="200" t="str">
        <f aca="false">IF(A406="","",M405+K405+H405)</f>
        <v/>
      </c>
      <c r="R405" s="200" t="str">
        <f aca="false">IF($A406="","",VLOOKUP($A405,Table,MATCH(R$4,Curves,0)))</f>
        <v/>
      </c>
      <c r="S405" s="201" t="str">
        <f aca="false">IF(A406="","",R405)</f>
        <v/>
      </c>
      <c r="T405" s="200" t="str">
        <f aca="false">IF($A406="","",VLOOKUP($A405,Table,MATCH(T$4,Curves,0)))</f>
        <v/>
      </c>
      <c r="U405" s="201" t="str">
        <f aca="false">IF(A406="","",T405)</f>
        <v/>
      </c>
      <c r="V405" s="205" t="str">
        <f aca="false">IF($A406="","",IF(AND(MONTH(A405)&gt;3,MONTH(A405)&lt;11),(T405+R405+G405)*Summary!$T$10/(1-Summary!$T$10),(T405+R405+G405)*Summary!$U$10/(1-Summary!$U$10)))</f>
        <v/>
      </c>
      <c r="W405" s="200" t="str">
        <f aca="false">IF($A406="","",(T405+R405+G405+V405))</f>
        <v/>
      </c>
      <c r="X405" s="200" t="str">
        <f aca="false">IF($A406="","",(U405+S405+H405+V405))</f>
        <v/>
      </c>
      <c r="Y405" s="202"/>
      <c r="Z405" s="185"/>
      <c r="AJ405" s="77"/>
      <c r="AK405" s="77"/>
      <c r="AL405" s="77"/>
      <c r="AM405" s="77"/>
      <c r="AN405" s="77"/>
      <c r="AO405" s="137" t="str">
        <f aca="false">IF(A406="","",A406-A405)</f>
        <v/>
      </c>
      <c r="AP405" s="212" t="str">
        <f aca="false">IF(A406="","",CHOOSE(F$3,A406+24,A405))</f>
        <v/>
      </c>
      <c r="AQ405" s="209" t="str">
        <f aca="false">IF(A406="","",AP405-$E$1)</f>
        <v/>
      </c>
      <c r="AR405" s="185" t="n">
        <f aca="false">'ANR OK vs ML7'!AR405</f>
        <v>0.1</v>
      </c>
      <c r="AS405" s="213" t="str">
        <f aca="false">IF(A406="","",1/(1+CHOOSE(F$3,(AR406+($I$3/10000))/2,(AR405+($I$3/10000))/2))^(2*AQ405/365.25))</f>
        <v/>
      </c>
      <c r="AT405" s="137" t="str">
        <f aca="false">IF(A406="","",IF(AND(mthbeg&lt;=A405,mthend&gt;=A405),1,0))</f>
        <v/>
      </c>
      <c r="AU405" s="137" t="str">
        <f aca="false">IF(A406="","",AO405*AT405)</f>
        <v/>
      </c>
      <c r="AW405" s="195" t="str">
        <f aca="false">IF($A406="","",AL405*$E405)</f>
        <v/>
      </c>
      <c r="AX405" s="195" t="str">
        <f aca="false">IF($A406="","",AM405*$E405)</f>
        <v/>
      </c>
      <c r="AY405" s="195" t="str">
        <f aca="false">IF($A406="","",AN405*$E405)</f>
        <v/>
      </c>
      <c r="BA405" s="195" t="str">
        <f aca="false">IF($A406="","",F405*Summary!$Q$10)</f>
        <v/>
      </c>
    </row>
    <row r="406" customFormat="false" ht="12.75" hidden="false" customHeight="false" outlineLevel="0" collapsed="false">
      <c r="A406" s="196" t="str">
        <f aca="false">IF(A405&lt;mthend,EDATE(A405,1),"")</f>
        <v/>
      </c>
      <c r="B406" s="197" t="str">
        <f aca="false">IF(A406&lt;mthend,B405,"")</f>
        <v/>
      </c>
      <c r="D406" s="197" t="str">
        <f aca="false">IF(A407&lt;&gt;"",B406+C406,"")</f>
        <v/>
      </c>
      <c r="E406" s="199" t="str">
        <f aca="false">IF(A407="","",IF(AND(AT406=1,$H$3=1),D406*AO406,IF($H$3=2,D406,"N/A")))</f>
        <v/>
      </c>
      <c r="F406" s="199" t="str">
        <f aca="false">IF(A407="","",E406*AS406)</f>
        <v/>
      </c>
      <c r="G406" s="200" t="str">
        <f aca="false">IF($A407="","",VLOOKUP($A406,Table,MATCH(G$4,Curves,0)))</f>
        <v/>
      </c>
      <c r="H406" s="201" t="str">
        <f aca="false">IF(A407="","",G406)</f>
        <v/>
      </c>
      <c r="J406" s="200" t="str">
        <f aca="false">IF($A407="","",VLOOKUP($A406,Table,MATCH(J$4,Curves,0)))</f>
        <v/>
      </c>
      <c r="K406" s="201" t="str">
        <f aca="false">IF(A407="","",J406)</f>
        <v/>
      </c>
      <c r="L406" s="185" t="n">
        <v>0</v>
      </c>
      <c r="M406" s="201" t="str">
        <f aca="false">IF(A407="","",L406)</f>
        <v/>
      </c>
      <c r="O406" s="200" t="str">
        <f aca="false">IF(A407="","",L406+J406+G406)</f>
        <v/>
      </c>
      <c r="P406" s="200" t="str">
        <f aca="false">IF(A407="","",M406+K406+H406)</f>
        <v/>
      </c>
      <c r="R406" s="200" t="str">
        <f aca="false">IF($A407="","",VLOOKUP($A406,Table,MATCH(R$4,Curves,0)))</f>
        <v/>
      </c>
      <c r="S406" s="201" t="str">
        <f aca="false">IF(A407="","",R406)</f>
        <v/>
      </c>
      <c r="T406" s="200" t="str">
        <f aca="false">IF($A407="","",VLOOKUP($A406,Table,MATCH(T$4,Curves,0)))</f>
        <v/>
      </c>
      <c r="U406" s="201" t="str">
        <f aca="false">IF(A407="","",T406)</f>
        <v/>
      </c>
      <c r="V406" s="205" t="str">
        <f aca="false">IF($A407="","",IF(AND(MONTH(A406)&gt;3,MONTH(A406)&lt;11),(T406+R406+G406)*Summary!$T$10/(1-Summary!$T$10),(T406+R406+G406)*Summary!$U$10/(1-Summary!$U$10)))</f>
        <v/>
      </c>
      <c r="W406" s="200" t="str">
        <f aca="false">IF($A407="","",(T406+R406+G406+V406))</f>
        <v/>
      </c>
      <c r="X406" s="200" t="str">
        <f aca="false">IF($A407="","",(U406+S406+H406+V406))</f>
        <v/>
      </c>
      <c r="Y406" s="202"/>
      <c r="Z406" s="185"/>
      <c r="AJ406" s="77"/>
      <c r="AK406" s="77"/>
      <c r="AL406" s="77"/>
      <c r="AM406" s="77"/>
      <c r="AN406" s="77"/>
      <c r="AO406" s="137" t="str">
        <f aca="false">IF(A407="","",A407-A406)</f>
        <v/>
      </c>
      <c r="AP406" s="212" t="str">
        <f aca="false">IF(A407="","",CHOOSE(F$3,A407+24,A406))</f>
        <v/>
      </c>
      <c r="AQ406" s="209" t="str">
        <f aca="false">IF(A407="","",AP406-$E$1)</f>
        <v/>
      </c>
      <c r="AR406" s="185" t="n">
        <f aca="false">'ANR OK vs ML7'!AR406</f>
        <v>0.1</v>
      </c>
      <c r="AS406" s="213" t="str">
        <f aca="false">IF(A407="","",1/(1+CHOOSE(F$3,(AR407+($I$3/10000))/2,(AR406+($I$3/10000))/2))^(2*AQ406/365.25))</f>
        <v/>
      </c>
      <c r="AT406" s="137" t="str">
        <f aca="false">IF(A407="","",IF(AND(mthbeg&lt;=A406,mthend&gt;=A406),1,0))</f>
        <v/>
      </c>
      <c r="AU406" s="137" t="str">
        <f aca="false">IF(A407="","",AO406*AT406)</f>
        <v/>
      </c>
      <c r="AW406" s="195" t="str">
        <f aca="false">IF($A407="","",AL406*$E406)</f>
        <v/>
      </c>
      <c r="AX406" s="195" t="str">
        <f aca="false">IF($A407="","",AM406*$E406)</f>
        <v/>
      </c>
      <c r="AY406" s="195" t="str">
        <f aca="false">IF($A407="","",AN406*$E406)</f>
        <v/>
      </c>
      <c r="BA406" s="195" t="str">
        <f aca="false">IF($A407="","",F406*Summary!$Q$10)</f>
        <v/>
      </c>
    </row>
    <row r="407" customFormat="false" ht="12.75" hidden="false" customHeight="false" outlineLevel="0" collapsed="false">
      <c r="A407" s="196" t="str">
        <f aca="false">IF(A406&lt;mthend,EDATE(A406,1),"")</f>
        <v/>
      </c>
      <c r="B407" s="197" t="str">
        <f aca="false">IF(A407&lt;mthend,B406,"")</f>
        <v/>
      </c>
      <c r="D407" s="197" t="str">
        <f aca="false">IF(A408&lt;&gt;"",B407+C407,"")</f>
        <v/>
      </c>
      <c r="E407" s="199" t="str">
        <f aca="false">IF(A408="","",IF(AND(AT407=1,$H$3=1),D407*AO407,IF($H$3=2,D407,"N/A")))</f>
        <v/>
      </c>
      <c r="F407" s="199" t="str">
        <f aca="false">IF(A408="","",E407*AS407)</f>
        <v/>
      </c>
      <c r="G407" s="200" t="str">
        <f aca="false">IF($A408="","",VLOOKUP($A407,Table,MATCH(G$4,Curves,0)))</f>
        <v/>
      </c>
      <c r="H407" s="201" t="str">
        <f aca="false">IF(A408="","",G407)</f>
        <v/>
      </c>
      <c r="J407" s="200" t="str">
        <f aca="false">IF($A408="","",VLOOKUP($A407,Table,MATCH(J$4,Curves,0)))</f>
        <v/>
      </c>
      <c r="K407" s="201" t="str">
        <f aca="false">IF(A408="","",J407)</f>
        <v/>
      </c>
      <c r="L407" s="185" t="n">
        <v>0</v>
      </c>
      <c r="M407" s="201" t="str">
        <f aca="false">IF(A408="","",L407)</f>
        <v/>
      </c>
      <c r="O407" s="200" t="str">
        <f aca="false">IF(A408="","",L407+J407+G407)</f>
        <v/>
      </c>
      <c r="P407" s="200" t="str">
        <f aca="false">IF(A408="","",M407+K407+H407)</f>
        <v/>
      </c>
      <c r="R407" s="200" t="str">
        <f aca="false">IF($A408="","",VLOOKUP($A407,Table,MATCH(R$4,Curves,0)))</f>
        <v/>
      </c>
      <c r="S407" s="201" t="str">
        <f aca="false">IF(A408="","",R407)</f>
        <v/>
      </c>
      <c r="T407" s="200" t="str">
        <f aca="false">IF($A408="","",VLOOKUP($A407,Table,MATCH(T$4,Curves,0)))</f>
        <v/>
      </c>
      <c r="U407" s="201" t="str">
        <f aca="false">IF(A408="","",T407)</f>
        <v/>
      </c>
      <c r="V407" s="205" t="str">
        <f aca="false">IF($A408="","",IF(AND(MONTH(A407)&gt;3,MONTH(A407)&lt;11),(T407+R407+G407)*Summary!$T$10/(1-Summary!$T$10),(T407+R407+G407)*Summary!$U$10/(1-Summary!$U$10)))</f>
        <v/>
      </c>
      <c r="W407" s="200" t="str">
        <f aca="false">IF($A408="","",(T407+R407+G407+V407))</f>
        <v/>
      </c>
      <c r="X407" s="200" t="str">
        <f aca="false">IF($A408="","",(U407+S407+H407+V407))</f>
        <v/>
      </c>
      <c r="Y407" s="202"/>
      <c r="Z407" s="185"/>
      <c r="AJ407" s="77"/>
      <c r="AK407" s="77"/>
      <c r="AL407" s="77"/>
      <c r="AM407" s="77"/>
      <c r="AN407" s="77"/>
      <c r="AO407" s="137" t="str">
        <f aca="false">IF(A408="","",A408-A407)</f>
        <v/>
      </c>
      <c r="AP407" s="212" t="str">
        <f aca="false">IF(A408="","",CHOOSE(F$3,A408+24,A407))</f>
        <v/>
      </c>
      <c r="AQ407" s="209" t="str">
        <f aca="false">IF(A408="","",AP407-$E$1)</f>
        <v/>
      </c>
      <c r="AR407" s="185" t="n">
        <f aca="false">'ANR OK vs ML7'!AR407</f>
        <v>0.1</v>
      </c>
      <c r="AS407" s="213" t="str">
        <f aca="false">IF(A408="","",1/(1+CHOOSE(F$3,(AR408+($I$3/10000))/2,(AR407+($I$3/10000))/2))^(2*AQ407/365.25))</f>
        <v/>
      </c>
      <c r="AT407" s="137" t="str">
        <f aca="false">IF(A408="","",IF(AND(mthbeg&lt;=A407,mthend&gt;=A407),1,0))</f>
        <v/>
      </c>
      <c r="AU407" s="137" t="str">
        <f aca="false">IF(A408="","",AO407*AT407)</f>
        <v/>
      </c>
      <c r="AW407" s="195" t="str">
        <f aca="false">IF($A408="","",AL407*$E407)</f>
        <v/>
      </c>
      <c r="AX407" s="195" t="str">
        <f aca="false">IF($A408="","",AM407*$E407)</f>
        <v/>
      </c>
      <c r="AY407" s="195" t="str">
        <f aca="false">IF($A408="","",AN407*$E407)</f>
        <v/>
      </c>
      <c r="BA407" s="195" t="str">
        <f aca="false">IF($A408="","",F407*Summary!$Q$10)</f>
        <v/>
      </c>
    </row>
    <row r="408" customFormat="false" ht="12.75" hidden="false" customHeight="false" outlineLevel="0" collapsed="false">
      <c r="A408" s="196" t="str">
        <f aca="false">IF(A407&lt;mthend,EDATE(A407,1),"")</f>
        <v/>
      </c>
      <c r="B408" s="197" t="str">
        <f aca="false">IF(A408&lt;mthend,B407,"")</f>
        <v/>
      </c>
      <c r="D408" s="197" t="str">
        <f aca="false">IF(A409&lt;&gt;"",B408+C408,"")</f>
        <v/>
      </c>
      <c r="E408" s="199" t="str">
        <f aca="false">IF(A409="","",IF(AND(AT408=1,$H$3=1),D408*AO408,IF($H$3=2,D408,"N/A")))</f>
        <v/>
      </c>
      <c r="F408" s="199" t="str">
        <f aca="false">IF(A409="","",E408*AS408)</f>
        <v/>
      </c>
      <c r="G408" s="200" t="str">
        <f aca="false">IF($A409="","",VLOOKUP($A408,Table,MATCH(G$4,Curves,0)))</f>
        <v/>
      </c>
      <c r="H408" s="201" t="str">
        <f aca="false">IF(A409="","",G408)</f>
        <v/>
      </c>
      <c r="J408" s="200" t="str">
        <f aca="false">IF($A409="","",VLOOKUP($A408,Table,MATCH(J$4,Curves,0)))</f>
        <v/>
      </c>
      <c r="K408" s="201" t="str">
        <f aca="false">IF(A409="","",J408)</f>
        <v/>
      </c>
      <c r="L408" s="185" t="n">
        <v>0</v>
      </c>
      <c r="M408" s="201" t="str">
        <f aca="false">IF(A409="","",L408)</f>
        <v/>
      </c>
      <c r="O408" s="200" t="str">
        <f aca="false">IF(A409="","",L408+J408+G408)</f>
        <v/>
      </c>
      <c r="P408" s="200" t="str">
        <f aca="false">IF(A409="","",M408+K408+H408)</f>
        <v/>
      </c>
      <c r="R408" s="200" t="str">
        <f aca="false">IF($A409="","",VLOOKUP($A408,Table,MATCH(R$4,Curves,0)))</f>
        <v/>
      </c>
      <c r="S408" s="201" t="str">
        <f aca="false">IF(A409="","",R408)</f>
        <v/>
      </c>
      <c r="T408" s="200" t="str">
        <f aca="false">IF($A409="","",VLOOKUP($A408,Table,MATCH(T$4,Curves,0)))</f>
        <v/>
      </c>
      <c r="U408" s="201" t="str">
        <f aca="false">IF(A409="","",T408)</f>
        <v/>
      </c>
      <c r="V408" s="205" t="str">
        <f aca="false">IF($A409="","",IF(AND(MONTH(A408)&gt;3,MONTH(A408)&lt;11),(T408+R408+G408)*Summary!$T$10/(1-Summary!$T$10),(T408+R408+G408)*Summary!$U$10/(1-Summary!$U$10)))</f>
        <v/>
      </c>
      <c r="W408" s="200" t="str">
        <f aca="false">IF($A409="","",(T408+R408+G408+V408))</f>
        <v/>
      </c>
      <c r="X408" s="200" t="str">
        <f aca="false">IF($A409="","",(U408+S408+H408+V408))</f>
        <v/>
      </c>
      <c r="Y408" s="202"/>
      <c r="Z408" s="185"/>
      <c r="AJ408" s="77"/>
      <c r="AK408" s="77"/>
      <c r="AL408" s="77"/>
      <c r="AM408" s="77"/>
      <c r="AN408" s="77"/>
      <c r="AO408" s="137" t="str">
        <f aca="false">IF(A409="","",A409-A408)</f>
        <v/>
      </c>
      <c r="AP408" s="212" t="str">
        <f aca="false">IF(A409="","",CHOOSE(F$3,A409+24,A408))</f>
        <v/>
      </c>
      <c r="AQ408" s="209" t="str">
        <f aca="false">IF(A409="","",AP408-$E$1)</f>
        <v/>
      </c>
      <c r="AR408" s="185" t="n">
        <f aca="false">'ANR OK vs ML7'!AR408</f>
        <v>0.1</v>
      </c>
      <c r="AS408" s="213" t="str">
        <f aca="false">IF(A409="","",1/(1+CHOOSE(F$3,(AR409+($I$3/10000))/2,(AR408+($I$3/10000))/2))^(2*AQ408/365.25))</f>
        <v/>
      </c>
      <c r="AT408" s="137" t="str">
        <f aca="false">IF(A409="","",IF(AND(mthbeg&lt;=A408,mthend&gt;=A408),1,0))</f>
        <v/>
      </c>
      <c r="AU408" s="137" t="str">
        <f aca="false">IF(A409="","",AO408*AT408)</f>
        <v/>
      </c>
      <c r="AW408" s="195" t="str">
        <f aca="false">IF($A409="","",AL408*$E408)</f>
        <v/>
      </c>
      <c r="AX408" s="195" t="str">
        <f aca="false">IF($A409="","",AM408*$E408)</f>
        <v/>
      </c>
      <c r="AY408" s="195" t="str">
        <f aca="false">IF($A409="","",AN408*$E408)</f>
        <v/>
      </c>
      <c r="BA408" s="195" t="str">
        <f aca="false">IF($A409="","",F408*Summary!$Q$10)</f>
        <v/>
      </c>
    </row>
    <row r="409" customFormat="false" ht="12.75" hidden="false" customHeight="false" outlineLevel="0" collapsed="false">
      <c r="A409" s="196" t="str">
        <f aca="false">IF(A408&lt;mthend,EDATE(A408,1),"")</f>
        <v/>
      </c>
      <c r="B409" s="197" t="str">
        <f aca="false">IF(A409&lt;mthend,B408,"")</f>
        <v/>
      </c>
      <c r="D409" s="197" t="str">
        <f aca="false">IF(A410&lt;&gt;"",B409+C409,"")</f>
        <v/>
      </c>
      <c r="E409" s="199" t="str">
        <f aca="false">IF(A410="","",IF(AND(AT409=1,$H$3=1),D409*AO409,IF($H$3=2,D409,"N/A")))</f>
        <v/>
      </c>
      <c r="F409" s="199" t="str">
        <f aca="false">IF(A410="","",E409*AS409)</f>
        <v/>
      </c>
      <c r="G409" s="200" t="str">
        <f aca="false">IF($A410="","",VLOOKUP($A409,Table,MATCH(G$4,Curves,0)))</f>
        <v/>
      </c>
      <c r="H409" s="201" t="str">
        <f aca="false">IF(A410="","",G409)</f>
        <v/>
      </c>
      <c r="J409" s="200" t="str">
        <f aca="false">IF($A410="","",VLOOKUP($A409,Table,MATCH(J$4,Curves,0)))</f>
        <v/>
      </c>
      <c r="K409" s="201" t="str">
        <f aca="false">IF(A410="","",J409)</f>
        <v/>
      </c>
      <c r="L409" s="185" t="n">
        <v>0</v>
      </c>
      <c r="M409" s="201" t="str">
        <f aca="false">IF(A410="","",L409)</f>
        <v/>
      </c>
      <c r="O409" s="200" t="str">
        <f aca="false">IF(A410="","",L409+J409+G409)</f>
        <v/>
      </c>
      <c r="P409" s="200" t="str">
        <f aca="false">IF(A410="","",M409+K409+H409)</f>
        <v/>
      </c>
      <c r="R409" s="200" t="str">
        <f aca="false">IF($A410="","",VLOOKUP($A409,Table,MATCH(R$4,Curves,0)))</f>
        <v/>
      </c>
      <c r="S409" s="201" t="str">
        <f aca="false">IF(A410="","",R409)</f>
        <v/>
      </c>
      <c r="T409" s="200" t="str">
        <f aca="false">IF($A410="","",VLOOKUP($A409,Table,MATCH(T$4,Curves,0)))</f>
        <v/>
      </c>
      <c r="U409" s="201" t="str">
        <f aca="false">IF(A410="","",T409)</f>
        <v/>
      </c>
      <c r="V409" s="205" t="str">
        <f aca="false">IF($A410="","",IF(AND(MONTH(A409)&gt;3,MONTH(A409)&lt;11),(T409+R409+G409)*Summary!$T$10/(1-Summary!$T$10),(T409+R409+G409)*Summary!$U$10/(1-Summary!$U$10)))</f>
        <v/>
      </c>
      <c r="W409" s="200" t="str">
        <f aca="false">IF($A410="","",(T409+R409+G409+V409))</f>
        <v/>
      </c>
      <c r="X409" s="200" t="str">
        <f aca="false">IF($A410="","",(U409+S409+H409+V409))</f>
        <v/>
      </c>
      <c r="Y409" s="202"/>
      <c r="Z409" s="185"/>
      <c r="AJ409" s="77"/>
      <c r="AK409" s="77"/>
      <c r="AL409" s="77"/>
      <c r="AM409" s="77"/>
      <c r="AN409" s="77"/>
      <c r="AO409" s="137" t="str">
        <f aca="false">IF(A410="","",A410-A409)</f>
        <v/>
      </c>
      <c r="AP409" s="212" t="str">
        <f aca="false">IF(A410="","",CHOOSE(F$3,A410+24,A409))</f>
        <v/>
      </c>
      <c r="AQ409" s="209" t="str">
        <f aca="false">IF(A410="","",AP409-$E$1)</f>
        <v/>
      </c>
      <c r="AR409" s="185" t="n">
        <f aca="false">'ANR OK vs ML7'!AR409</f>
        <v>0.1</v>
      </c>
      <c r="AS409" s="213" t="str">
        <f aca="false">IF(A410="","",1/(1+CHOOSE(F$3,(AR410+($I$3/10000))/2,(AR409+($I$3/10000))/2))^(2*AQ409/365.25))</f>
        <v/>
      </c>
      <c r="AT409" s="137" t="str">
        <f aca="false">IF(A410="","",IF(AND(mthbeg&lt;=A409,mthend&gt;=A409),1,0))</f>
        <v/>
      </c>
      <c r="AU409" s="137" t="str">
        <f aca="false">IF(A410="","",AO409*AT409)</f>
        <v/>
      </c>
      <c r="AW409" s="195" t="str">
        <f aca="false">IF($A410="","",AL409*$E409)</f>
        <v/>
      </c>
      <c r="AX409" s="195" t="str">
        <f aca="false">IF($A410="","",AM409*$E409)</f>
        <v/>
      </c>
      <c r="AY409" s="195" t="str">
        <f aca="false">IF($A410="","",AN409*$E409)</f>
        <v/>
      </c>
      <c r="BA409" s="195" t="str">
        <f aca="false">IF($A410="","",F409*Summary!$Q$10)</f>
        <v/>
      </c>
    </row>
    <row r="410" customFormat="false" ht="12.75" hidden="false" customHeight="false" outlineLevel="0" collapsed="false">
      <c r="A410" s="196" t="str">
        <f aca="false">IF(A409&lt;mthend,EDATE(A409,1),"")</f>
        <v/>
      </c>
      <c r="B410" s="197" t="str">
        <f aca="false">IF(A410&lt;mthend,B409,"")</f>
        <v/>
      </c>
      <c r="D410" s="197" t="str">
        <f aca="false">IF(A411&lt;&gt;"",B410+C410,"")</f>
        <v/>
      </c>
      <c r="E410" s="199" t="str">
        <f aca="false">IF(A411="","",IF(AND(AT410=1,$H$3=1),D410*AO410,IF($H$3=2,D410,"N/A")))</f>
        <v/>
      </c>
      <c r="F410" s="199" t="str">
        <f aca="false">IF(A411="","",E410*AS410)</f>
        <v/>
      </c>
      <c r="G410" s="200" t="str">
        <f aca="false">IF($A411="","",VLOOKUP($A410,Table,MATCH(G$4,Curves,0)))</f>
        <v/>
      </c>
      <c r="H410" s="201" t="str">
        <f aca="false">IF(A411="","",G410)</f>
        <v/>
      </c>
      <c r="J410" s="200" t="str">
        <f aca="false">IF($A411="","",VLOOKUP($A410,Table,MATCH(J$4,Curves,0)))</f>
        <v/>
      </c>
      <c r="K410" s="201" t="str">
        <f aca="false">IF(A411="","",J410)</f>
        <v/>
      </c>
      <c r="L410" s="185" t="n">
        <v>0</v>
      </c>
      <c r="M410" s="201" t="str">
        <f aca="false">IF(A411="","",L410)</f>
        <v/>
      </c>
      <c r="O410" s="200" t="str">
        <f aca="false">IF(A411="","",L410+J410+G410)</f>
        <v/>
      </c>
      <c r="P410" s="200" t="str">
        <f aca="false">IF(A411="","",M410+K410+H410)</f>
        <v/>
      </c>
      <c r="R410" s="200" t="str">
        <f aca="false">IF($A411="","",VLOOKUP($A410,Table,MATCH(R$4,Curves,0)))</f>
        <v/>
      </c>
      <c r="S410" s="201" t="str">
        <f aca="false">IF(A411="","",R410)</f>
        <v/>
      </c>
      <c r="T410" s="200" t="str">
        <f aca="false">IF($A411="","",VLOOKUP($A410,Table,MATCH(T$4,Curves,0)))</f>
        <v/>
      </c>
      <c r="U410" s="201" t="str">
        <f aca="false">IF(A411="","",T410)</f>
        <v/>
      </c>
      <c r="V410" s="205" t="str">
        <f aca="false">IF($A411="","",IF(AND(MONTH(A410)&gt;3,MONTH(A410)&lt;11),(T410+R410+G410)*Summary!$T$10/(1-Summary!$T$10),(T410+R410+G410)*Summary!$U$10/(1-Summary!$U$10)))</f>
        <v/>
      </c>
      <c r="W410" s="200" t="str">
        <f aca="false">IF($A411="","",(T410+R410+G410+V410))</f>
        <v/>
      </c>
      <c r="X410" s="200" t="str">
        <f aca="false">IF($A411="","",(U410+S410+H410+V410))</f>
        <v/>
      </c>
      <c r="Y410" s="202"/>
      <c r="Z410" s="185"/>
      <c r="AJ410" s="77"/>
      <c r="AK410" s="77"/>
      <c r="AL410" s="77"/>
      <c r="AM410" s="77"/>
      <c r="AN410" s="77"/>
      <c r="AO410" s="137" t="str">
        <f aca="false">IF(A411="","",A411-A410)</f>
        <v/>
      </c>
      <c r="AP410" s="212" t="str">
        <f aca="false">IF(A411="","",CHOOSE(F$3,A411+24,A410))</f>
        <v/>
      </c>
      <c r="AQ410" s="209" t="str">
        <f aca="false">IF(A411="","",AP410-$E$1)</f>
        <v/>
      </c>
      <c r="AR410" s="185" t="n">
        <f aca="false">'ANR OK vs ML7'!AR410</f>
        <v>0.1</v>
      </c>
      <c r="AS410" s="213" t="str">
        <f aca="false">IF(A411="","",1/(1+CHOOSE(F$3,(AR411+($I$3/10000))/2,(AR410+($I$3/10000))/2))^(2*AQ410/365.25))</f>
        <v/>
      </c>
      <c r="AT410" s="137" t="str">
        <f aca="false">IF(A411="","",IF(AND(mthbeg&lt;=A410,mthend&gt;=A410),1,0))</f>
        <v/>
      </c>
      <c r="AU410" s="137" t="str">
        <f aca="false">IF(A411="","",AO410*AT410)</f>
        <v/>
      </c>
      <c r="AW410" s="195" t="str">
        <f aca="false">IF($A411="","",AL410*$E410)</f>
        <v/>
      </c>
      <c r="AX410" s="195" t="str">
        <f aca="false">IF($A411="","",AM410*$E410)</f>
        <v/>
      </c>
      <c r="AY410" s="195" t="str">
        <f aca="false">IF($A411="","",AN410*$E410)</f>
        <v/>
      </c>
      <c r="BA410" s="195" t="str">
        <f aca="false">IF($A411="","",F410*Summary!$Q$10)</f>
        <v/>
      </c>
    </row>
    <row r="411" customFormat="false" ht="12.75" hidden="false" customHeight="false" outlineLevel="0" collapsed="false">
      <c r="A411" s="196" t="str">
        <f aca="false">IF(A410&lt;mthend,EDATE(A410,1),"")</f>
        <v/>
      </c>
      <c r="B411" s="197" t="str">
        <f aca="false">IF(A411&lt;mthend,B410,"")</f>
        <v/>
      </c>
      <c r="D411" s="197" t="str">
        <f aca="false">IF(A412&lt;&gt;"",B411+C411,"")</f>
        <v/>
      </c>
      <c r="E411" s="199" t="str">
        <f aca="false">IF(A412="","",IF(AND(AT411=1,$H$3=1),D411*AO411,IF($H$3=2,D411,"N/A")))</f>
        <v/>
      </c>
      <c r="F411" s="199" t="str">
        <f aca="false">IF(A412="","",E411*AS411)</f>
        <v/>
      </c>
      <c r="G411" s="200" t="str">
        <f aca="false">IF($A412="","",VLOOKUP($A411,Table,MATCH(G$4,Curves,0)))</f>
        <v/>
      </c>
      <c r="H411" s="201" t="str">
        <f aca="false">IF(A412="","",G411)</f>
        <v/>
      </c>
      <c r="J411" s="200" t="str">
        <f aca="false">IF($A412="","",VLOOKUP($A411,Table,MATCH(J$4,Curves,0)))</f>
        <v/>
      </c>
      <c r="K411" s="201" t="str">
        <f aca="false">IF(A412="","",J411)</f>
        <v/>
      </c>
      <c r="L411" s="185" t="n">
        <v>0</v>
      </c>
      <c r="M411" s="201" t="str">
        <f aca="false">IF(A412="","",L411)</f>
        <v/>
      </c>
      <c r="O411" s="200" t="str">
        <f aca="false">IF(A412="","",L411+J411+G411)</f>
        <v/>
      </c>
      <c r="P411" s="200" t="str">
        <f aca="false">IF(A412="","",M411+K411+H411)</f>
        <v/>
      </c>
      <c r="R411" s="200" t="str">
        <f aca="false">IF($A412="","",VLOOKUP($A411,Table,MATCH(R$4,Curves,0)))</f>
        <v/>
      </c>
      <c r="S411" s="201" t="str">
        <f aca="false">IF(A412="","",R411)</f>
        <v/>
      </c>
      <c r="T411" s="200" t="str">
        <f aca="false">IF($A412="","",VLOOKUP($A411,Table,MATCH(T$4,Curves,0)))</f>
        <v/>
      </c>
      <c r="U411" s="201" t="str">
        <f aca="false">IF(A412="","",T411)</f>
        <v/>
      </c>
      <c r="V411" s="205" t="str">
        <f aca="false">IF($A412="","",IF(AND(MONTH(A411)&gt;3,MONTH(A411)&lt;11),(T411+R411+G411)*Summary!$T$10/(1-Summary!$T$10),(T411+R411+G411)*Summary!$U$10/(1-Summary!$U$10)))</f>
        <v/>
      </c>
      <c r="W411" s="200" t="str">
        <f aca="false">IF($A412="","",(T411+R411+G411+V411))</f>
        <v/>
      </c>
      <c r="X411" s="200" t="str">
        <f aca="false">IF($A412="","",(U411+S411+H411+V411))</f>
        <v/>
      </c>
      <c r="Y411" s="202"/>
      <c r="Z411" s="185"/>
      <c r="AJ411" s="77"/>
      <c r="AK411" s="77"/>
      <c r="AL411" s="77"/>
      <c r="AM411" s="77"/>
      <c r="AN411" s="77"/>
      <c r="AO411" s="137" t="str">
        <f aca="false">IF(A412="","",A412-A411)</f>
        <v/>
      </c>
      <c r="AP411" s="212" t="str">
        <f aca="false">IF(A412="","",CHOOSE(F$3,A412+24,A411))</f>
        <v/>
      </c>
      <c r="AQ411" s="209" t="str">
        <f aca="false">IF(A412="","",AP411-$E$1)</f>
        <v/>
      </c>
      <c r="AR411" s="185" t="n">
        <f aca="false">'ANR OK vs ML7'!AR411</f>
        <v>0.1</v>
      </c>
      <c r="AS411" s="213" t="str">
        <f aca="false">IF(A412="","",1/(1+CHOOSE(F$3,(AR412+($I$3/10000))/2,(AR411+($I$3/10000))/2))^(2*AQ411/365.25))</f>
        <v/>
      </c>
      <c r="AT411" s="137" t="str">
        <f aca="false">IF(A412="","",IF(AND(mthbeg&lt;=A411,mthend&gt;=A411),1,0))</f>
        <v/>
      </c>
      <c r="AU411" s="137" t="str">
        <f aca="false">IF(A412="","",AO411*AT411)</f>
        <v/>
      </c>
      <c r="AW411" s="195" t="str">
        <f aca="false">IF($A412="","",AL411*$E411)</f>
        <v/>
      </c>
      <c r="AX411" s="195" t="str">
        <f aca="false">IF($A412="","",AM411*$E411)</f>
        <v/>
      </c>
      <c r="AY411" s="195" t="str">
        <f aca="false">IF($A412="","",AN411*$E411)</f>
        <v/>
      </c>
      <c r="BA411" s="195" t="str">
        <f aca="false">IF($A412="","",F411*Summary!$Q$10)</f>
        <v/>
      </c>
    </row>
    <row r="412" customFormat="false" ht="12.75" hidden="false" customHeight="false" outlineLevel="0" collapsed="false">
      <c r="A412" s="196" t="str">
        <f aca="false">IF(A411&lt;mthend,EDATE(A411,1),"")</f>
        <v/>
      </c>
      <c r="B412" s="197" t="str">
        <f aca="false">IF(A412&lt;mthend,B411,"")</f>
        <v/>
      </c>
      <c r="D412" s="197" t="str">
        <f aca="false">IF(A413&lt;&gt;"",B412+C412,"")</f>
        <v/>
      </c>
      <c r="E412" s="199" t="str">
        <f aca="false">IF(A413="","",IF(AND(AT412=1,$H$3=1),D412*AO412,IF($H$3=2,D412,"N/A")))</f>
        <v/>
      </c>
      <c r="F412" s="199" t="str">
        <f aca="false">IF(A413="","",E412*AS412)</f>
        <v/>
      </c>
      <c r="G412" s="200" t="str">
        <f aca="false">IF($A413="","",VLOOKUP($A412,Table,MATCH(G$4,Curves,0)))</f>
        <v/>
      </c>
      <c r="H412" s="201" t="str">
        <f aca="false">IF(A413="","",G412)</f>
        <v/>
      </c>
      <c r="J412" s="200" t="str">
        <f aca="false">IF($A413="","",VLOOKUP($A412,Table,MATCH(J$4,Curves,0)))</f>
        <v/>
      </c>
      <c r="K412" s="201" t="str">
        <f aca="false">IF(A413="","",J412)</f>
        <v/>
      </c>
      <c r="L412" s="185" t="n">
        <v>0</v>
      </c>
      <c r="M412" s="201" t="str">
        <f aca="false">IF(A413="","",L412)</f>
        <v/>
      </c>
      <c r="O412" s="200" t="str">
        <f aca="false">IF(A413="","",L412+J412+G412)</f>
        <v/>
      </c>
      <c r="P412" s="200" t="str">
        <f aca="false">IF(A413="","",M412+K412+H412)</f>
        <v/>
      </c>
      <c r="R412" s="200" t="str">
        <f aca="false">IF($A413="","",VLOOKUP($A412,Table,MATCH(R$4,Curves,0)))</f>
        <v/>
      </c>
      <c r="S412" s="201" t="str">
        <f aca="false">IF(A413="","",R412)</f>
        <v/>
      </c>
      <c r="T412" s="200" t="str">
        <f aca="false">IF($A413="","",VLOOKUP($A412,Table,MATCH(T$4,Curves,0)))</f>
        <v/>
      </c>
      <c r="U412" s="201" t="str">
        <f aca="false">IF(A413="","",T412)</f>
        <v/>
      </c>
      <c r="V412" s="205" t="str">
        <f aca="false">IF($A413="","",IF(AND(MONTH(A412)&gt;3,MONTH(A412)&lt;11),(T412+R412+G412)*Summary!$T$10/(1-Summary!$T$10),(T412+R412+G412)*Summary!$U$10/(1-Summary!$U$10)))</f>
        <v/>
      </c>
      <c r="W412" s="200" t="str">
        <f aca="false">IF($A413="","",(T412+R412+G412+V412))</f>
        <v/>
      </c>
      <c r="X412" s="200" t="str">
        <f aca="false">IF($A413="","",(U412+S412+H412+V412))</f>
        <v/>
      </c>
      <c r="Y412" s="202"/>
      <c r="Z412" s="185"/>
      <c r="AJ412" s="77"/>
      <c r="AK412" s="77"/>
      <c r="AL412" s="77"/>
      <c r="AM412" s="77"/>
      <c r="AN412" s="77"/>
      <c r="AO412" s="137" t="str">
        <f aca="false">IF(A413="","",A413-A412)</f>
        <v/>
      </c>
      <c r="AP412" s="212" t="str">
        <f aca="false">IF(A413="","",CHOOSE(F$3,A413+24,A412))</f>
        <v/>
      </c>
      <c r="AQ412" s="209" t="str">
        <f aca="false">IF(A413="","",AP412-$E$1)</f>
        <v/>
      </c>
      <c r="AR412" s="185" t="n">
        <f aca="false">'ANR OK vs ML7'!AR412</f>
        <v>0.1</v>
      </c>
      <c r="AS412" s="213" t="str">
        <f aca="false">IF(A413="","",1/(1+CHOOSE(F$3,(AR413+($I$3/10000))/2,(AR412+($I$3/10000))/2))^(2*AQ412/365.25))</f>
        <v/>
      </c>
      <c r="AT412" s="137" t="str">
        <f aca="false">IF(A413="","",IF(AND(mthbeg&lt;=A412,mthend&gt;=A412),1,0))</f>
        <v/>
      </c>
      <c r="AU412" s="137" t="str">
        <f aca="false">IF(A413="","",AO412*AT412)</f>
        <v/>
      </c>
      <c r="AW412" s="195" t="str">
        <f aca="false">IF($A413="","",AL412*$E412)</f>
        <v/>
      </c>
      <c r="AX412" s="195" t="str">
        <f aca="false">IF($A413="","",AM412*$E412)</f>
        <v/>
      </c>
      <c r="AY412" s="195" t="str">
        <f aca="false">IF($A413="","",AN412*$E412)</f>
        <v/>
      </c>
      <c r="BA412" s="195" t="str">
        <f aca="false">IF($A413="","",F412*Summary!$Q$10)</f>
        <v/>
      </c>
    </row>
    <row r="413" customFormat="false" ht="12.75" hidden="false" customHeight="false" outlineLevel="0" collapsed="false">
      <c r="A413" s="196" t="str">
        <f aca="false">IF(A412&lt;mthend,EDATE(A412,1),"")</f>
        <v/>
      </c>
      <c r="B413" s="197" t="str">
        <f aca="false">IF(A413&lt;mthend,B412,"")</f>
        <v/>
      </c>
      <c r="D413" s="197" t="str">
        <f aca="false">IF(A414&lt;&gt;"",B413+C413,"")</f>
        <v/>
      </c>
      <c r="E413" s="199" t="str">
        <f aca="false">IF(A414="","",IF(AND(AT413=1,$H$3=1),D413*AO413,IF($H$3=2,D413,"N/A")))</f>
        <v/>
      </c>
      <c r="F413" s="199" t="str">
        <f aca="false">IF(A414="","",E413*AS413)</f>
        <v/>
      </c>
      <c r="G413" s="200" t="str">
        <f aca="false">IF($A414="","",VLOOKUP($A413,Table,MATCH(G$4,Curves,0)))</f>
        <v/>
      </c>
      <c r="H413" s="201" t="str">
        <f aca="false">IF(A414="","",G413)</f>
        <v/>
      </c>
      <c r="J413" s="200" t="str">
        <f aca="false">IF($A414="","",VLOOKUP($A413,Table,MATCH(J$4,Curves,0)))</f>
        <v/>
      </c>
      <c r="K413" s="201" t="str">
        <f aca="false">IF(A414="","",J413)</f>
        <v/>
      </c>
      <c r="L413" s="185" t="n">
        <v>0</v>
      </c>
      <c r="M413" s="201" t="str">
        <f aca="false">IF(A414="","",L413)</f>
        <v/>
      </c>
      <c r="O413" s="200" t="str">
        <f aca="false">IF(A414="","",L413+J413+G413)</f>
        <v/>
      </c>
      <c r="P413" s="200" t="str">
        <f aca="false">IF(A414="","",M413+K413+H413)</f>
        <v/>
      </c>
      <c r="R413" s="200" t="str">
        <f aca="false">IF($A414="","",VLOOKUP($A413,Table,MATCH(R$4,Curves,0)))</f>
        <v/>
      </c>
      <c r="S413" s="201" t="str">
        <f aca="false">IF(A414="","",R413)</f>
        <v/>
      </c>
      <c r="T413" s="200" t="str">
        <f aca="false">IF($A414="","",VLOOKUP($A413,Table,MATCH(T$4,Curves,0)))</f>
        <v/>
      </c>
      <c r="U413" s="201" t="str">
        <f aca="false">IF(A414="","",T413)</f>
        <v/>
      </c>
      <c r="V413" s="205" t="str">
        <f aca="false">IF($A414="","",IF(AND(MONTH(A413)&gt;3,MONTH(A413)&lt;11),(T413+R413+G413)*Summary!$T$10/(1-Summary!$T$10),(T413+R413+G413)*Summary!$U$10/(1-Summary!$U$10)))</f>
        <v/>
      </c>
      <c r="W413" s="200" t="str">
        <f aca="false">IF($A414="","",(T413+R413+G413+V413))</f>
        <v/>
      </c>
      <c r="X413" s="200" t="str">
        <f aca="false">IF($A414="","",(U413+S413+H413+V413))</f>
        <v/>
      </c>
      <c r="Y413" s="202"/>
      <c r="Z413" s="185"/>
      <c r="AJ413" s="77"/>
      <c r="AK413" s="77"/>
      <c r="AL413" s="77"/>
      <c r="AM413" s="77"/>
      <c r="AN413" s="77"/>
      <c r="AO413" s="137" t="str">
        <f aca="false">IF(A414="","",A414-A413)</f>
        <v/>
      </c>
      <c r="AP413" s="212" t="str">
        <f aca="false">IF(A414="","",CHOOSE(F$3,A414+24,A413))</f>
        <v/>
      </c>
      <c r="AQ413" s="209" t="str">
        <f aca="false">IF(A414="","",AP413-$E$1)</f>
        <v/>
      </c>
      <c r="AR413" s="185" t="n">
        <f aca="false">'ANR OK vs ML7'!AR413</f>
        <v>0.1</v>
      </c>
      <c r="AS413" s="213" t="str">
        <f aca="false">IF(A414="","",1/(1+CHOOSE(F$3,(AR414+($I$3/10000))/2,(AR413+($I$3/10000))/2))^(2*AQ413/365.25))</f>
        <v/>
      </c>
      <c r="AT413" s="137" t="str">
        <f aca="false">IF(A414="","",IF(AND(mthbeg&lt;=A413,mthend&gt;=A413),1,0))</f>
        <v/>
      </c>
      <c r="AU413" s="137" t="str">
        <f aca="false">IF(A414="","",AO413*AT413)</f>
        <v/>
      </c>
      <c r="AW413" s="195" t="str">
        <f aca="false">IF($A414="","",AL413*$E413)</f>
        <v/>
      </c>
      <c r="AX413" s="195" t="str">
        <f aca="false">IF($A414="","",AM413*$E413)</f>
        <v/>
      </c>
      <c r="AY413" s="195" t="str">
        <f aca="false">IF($A414="","",AN413*$E413)</f>
        <v/>
      </c>
      <c r="BA413" s="195" t="str">
        <f aca="false">IF($A414="","",F413*Summary!$Q$10)</f>
        <v/>
      </c>
    </row>
    <row r="414" customFormat="false" ht="12.75" hidden="false" customHeight="false" outlineLevel="0" collapsed="false">
      <c r="A414" s="196" t="str">
        <f aca="false">IF(A413&lt;mthend,EDATE(A413,1),"")</f>
        <v/>
      </c>
      <c r="B414" s="197" t="str">
        <f aca="false">IF(A414&lt;mthend,B413,"")</f>
        <v/>
      </c>
      <c r="D414" s="197" t="str">
        <f aca="false">IF(A415&lt;&gt;"",B414+C414,"")</f>
        <v/>
      </c>
      <c r="E414" s="199" t="str">
        <f aca="false">IF(A415="","",IF(AND(AT414=1,$H$3=1),D414*AO414,IF($H$3=2,D414,"N/A")))</f>
        <v/>
      </c>
      <c r="F414" s="199" t="str">
        <f aca="false">IF(A415="","",E414*AS414)</f>
        <v/>
      </c>
      <c r="G414" s="200" t="str">
        <f aca="false">IF($A415="","",VLOOKUP($A414,Table,MATCH(G$4,Curves,0)))</f>
        <v/>
      </c>
      <c r="H414" s="201" t="str">
        <f aca="false">IF(A415="","",G414)</f>
        <v/>
      </c>
      <c r="J414" s="200" t="str">
        <f aca="false">IF($A415="","",VLOOKUP($A414,Table,MATCH(J$4,Curves,0)))</f>
        <v/>
      </c>
      <c r="K414" s="201" t="str">
        <f aca="false">IF(A415="","",J414)</f>
        <v/>
      </c>
      <c r="L414" s="185" t="n">
        <v>0</v>
      </c>
      <c r="M414" s="201" t="str">
        <f aca="false">IF(A415="","",L414)</f>
        <v/>
      </c>
      <c r="O414" s="200" t="str">
        <f aca="false">IF(A415="","",L414+J414+G414)</f>
        <v/>
      </c>
      <c r="P414" s="200" t="str">
        <f aca="false">IF(A415="","",M414+K414+H414)</f>
        <v/>
      </c>
      <c r="R414" s="200" t="str">
        <f aca="false">IF($A415="","",VLOOKUP($A414,Table,MATCH(R$4,Curves,0)))</f>
        <v/>
      </c>
      <c r="S414" s="201" t="str">
        <f aca="false">IF(A415="","",R414)</f>
        <v/>
      </c>
      <c r="T414" s="200" t="str">
        <f aca="false">IF($A415="","",VLOOKUP($A414,Table,MATCH(T$4,Curves,0)))</f>
        <v/>
      </c>
      <c r="U414" s="201" t="str">
        <f aca="false">IF(A415="","",T414)</f>
        <v/>
      </c>
      <c r="V414" s="205" t="str">
        <f aca="false">IF($A415="","",IF(AND(MONTH(A414)&gt;3,MONTH(A414)&lt;11),(T414+R414+G414)*Summary!$T$10/(1-Summary!$T$10),(T414+R414+G414)*Summary!$U$10/(1-Summary!$U$10)))</f>
        <v/>
      </c>
      <c r="W414" s="200" t="str">
        <f aca="false">IF($A415="","",(T414+R414+G414+V414))</f>
        <v/>
      </c>
      <c r="X414" s="200" t="str">
        <f aca="false">IF($A415="","",(U414+S414+H414+V414))</f>
        <v/>
      </c>
      <c r="Y414" s="202"/>
      <c r="Z414" s="185"/>
      <c r="AJ414" s="77"/>
      <c r="AK414" s="77"/>
      <c r="AL414" s="77"/>
      <c r="AM414" s="77"/>
      <c r="AN414" s="77"/>
      <c r="AO414" s="137" t="str">
        <f aca="false">IF(A415="","",A415-A414)</f>
        <v/>
      </c>
      <c r="AP414" s="212" t="str">
        <f aca="false">IF(A415="","",CHOOSE(F$3,A415+24,A414))</f>
        <v/>
      </c>
      <c r="AQ414" s="209" t="str">
        <f aca="false">IF(A415="","",AP414-$E$1)</f>
        <v/>
      </c>
      <c r="AR414" s="185" t="n">
        <f aca="false">'ANR OK vs ML7'!AR414</f>
        <v>0.1</v>
      </c>
      <c r="AS414" s="213" t="str">
        <f aca="false">IF(A415="","",1/(1+CHOOSE(F$3,(AR415+($I$3/10000))/2,(AR414+($I$3/10000))/2))^(2*AQ414/365.25))</f>
        <v/>
      </c>
      <c r="AT414" s="137" t="str">
        <f aca="false">IF(A415="","",IF(AND(mthbeg&lt;=A414,mthend&gt;=A414),1,0))</f>
        <v/>
      </c>
      <c r="AU414" s="137" t="str">
        <f aca="false">IF(A415="","",AO414*AT414)</f>
        <v/>
      </c>
      <c r="AW414" s="195" t="str">
        <f aca="false">IF($A415="","",AL414*$E414)</f>
        <v/>
      </c>
      <c r="AX414" s="195" t="str">
        <f aca="false">IF($A415="","",AM414*$E414)</f>
        <v/>
      </c>
      <c r="AY414" s="195" t="str">
        <f aca="false">IF($A415="","",AN414*$E414)</f>
        <v/>
      </c>
      <c r="BA414" s="195" t="str">
        <f aca="false">IF($A415="","",F414*Summary!$Q$10)</f>
        <v/>
      </c>
    </row>
    <row r="415" customFormat="false" ht="12.75" hidden="false" customHeight="false" outlineLevel="0" collapsed="false">
      <c r="A415" s="196" t="str">
        <f aca="false">IF(A414&lt;mthend,EDATE(A414,1),"")</f>
        <v/>
      </c>
      <c r="B415" s="197" t="str">
        <f aca="false">IF(A415&lt;mthend,B414,"")</f>
        <v/>
      </c>
      <c r="D415" s="197" t="str">
        <f aca="false">IF(A416&lt;&gt;"",B415+C415,"")</f>
        <v/>
      </c>
      <c r="E415" s="199" t="str">
        <f aca="false">IF(A416="","",IF(AND(AT415=1,$H$3=1),D415*AO415,IF($H$3=2,D415,"N/A")))</f>
        <v/>
      </c>
      <c r="F415" s="199" t="str">
        <f aca="false">IF(A416="","",E415*AS415)</f>
        <v/>
      </c>
      <c r="G415" s="200" t="str">
        <f aca="false">IF($A416="","",VLOOKUP($A415,Table,MATCH(G$4,Curves,0)))</f>
        <v/>
      </c>
      <c r="H415" s="201" t="str">
        <f aca="false">IF(A416="","",G415)</f>
        <v/>
      </c>
      <c r="J415" s="200" t="str">
        <f aca="false">IF($A416="","",VLOOKUP($A415,Table,MATCH(J$4,Curves,0)))</f>
        <v/>
      </c>
      <c r="K415" s="201" t="str">
        <f aca="false">IF(A416="","",J415)</f>
        <v/>
      </c>
      <c r="L415" s="185" t="n">
        <v>0</v>
      </c>
      <c r="M415" s="201" t="str">
        <f aca="false">IF(A416="","",L415)</f>
        <v/>
      </c>
      <c r="O415" s="200" t="str">
        <f aca="false">IF(A416="","",L415+J415+G415)</f>
        <v/>
      </c>
      <c r="P415" s="200" t="str">
        <f aca="false">IF(A416="","",M415+K415+H415)</f>
        <v/>
      </c>
      <c r="R415" s="200" t="str">
        <f aca="false">IF($A416="","",VLOOKUP($A415,Table,MATCH(R$4,Curves,0)))</f>
        <v/>
      </c>
      <c r="S415" s="201" t="str">
        <f aca="false">IF(A416="","",R415)</f>
        <v/>
      </c>
      <c r="T415" s="200" t="str">
        <f aca="false">IF($A416="","",VLOOKUP($A415,Table,MATCH(T$4,Curves,0)))</f>
        <v/>
      </c>
      <c r="U415" s="201" t="str">
        <f aca="false">IF(A416="","",T415)</f>
        <v/>
      </c>
      <c r="V415" s="205" t="str">
        <f aca="false">IF($A416="","",IF(AND(MONTH(A415)&gt;3,MONTH(A415)&lt;11),(T415+R415+G415)*Summary!$T$10/(1-Summary!$T$10),(T415+R415+G415)*Summary!$U$10/(1-Summary!$U$10)))</f>
        <v/>
      </c>
      <c r="W415" s="200" t="str">
        <f aca="false">IF($A416="","",(T415+R415+G415+V415))</f>
        <v/>
      </c>
      <c r="X415" s="200" t="str">
        <f aca="false">IF($A416="","",(U415+S415+H415+V415))</f>
        <v/>
      </c>
      <c r="Y415" s="202"/>
      <c r="Z415" s="185"/>
      <c r="AJ415" s="77"/>
      <c r="AK415" s="77"/>
      <c r="AL415" s="77"/>
      <c r="AM415" s="77"/>
      <c r="AN415" s="77"/>
      <c r="AO415" s="137" t="str">
        <f aca="false">IF(A416="","",A416-A415)</f>
        <v/>
      </c>
      <c r="AP415" s="212" t="str">
        <f aca="false">IF(A416="","",CHOOSE(F$3,A416+24,A415))</f>
        <v/>
      </c>
      <c r="AQ415" s="209" t="str">
        <f aca="false">IF(A416="","",AP415-$E$1)</f>
        <v/>
      </c>
      <c r="AR415" s="185" t="n">
        <f aca="false">'ANR OK vs ML7'!AR415</f>
        <v>0.1</v>
      </c>
      <c r="AS415" s="213" t="str">
        <f aca="false">IF(A416="","",1/(1+CHOOSE(F$3,(AR416+($I$3/10000))/2,(AR415+($I$3/10000))/2))^(2*AQ415/365.25))</f>
        <v/>
      </c>
      <c r="AT415" s="137" t="str">
        <f aca="false">IF(A416="","",IF(AND(mthbeg&lt;=A415,mthend&gt;=A415),1,0))</f>
        <v/>
      </c>
      <c r="AU415" s="137" t="str">
        <f aca="false">IF(A416="","",AO415*AT415)</f>
        <v/>
      </c>
      <c r="AW415" s="195" t="str">
        <f aca="false">IF($A416="","",AL415*$E415)</f>
        <v/>
      </c>
      <c r="AX415" s="195" t="str">
        <f aca="false">IF($A416="","",AM415*$E415)</f>
        <v/>
      </c>
      <c r="AY415" s="195" t="str">
        <f aca="false">IF($A416="","",AN415*$E415)</f>
        <v/>
      </c>
      <c r="BA415" s="195" t="str">
        <f aca="false">IF($A416="","",F415*Summary!$Q$10)</f>
        <v/>
      </c>
    </row>
    <row r="416" customFormat="false" ht="12.75" hidden="false" customHeight="false" outlineLevel="0" collapsed="false">
      <c r="A416" s="196" t="str">
        <f aca="false">IF(A415&lt;mthend,EDATE(A415,1),"")</f>
        <v/>
      </c>
      <c r="B416" s="197" t="str">
        <f aca="false">IF(A416&lt;mthend,B415,"")</f>
        <v/>
      </c>
      <c r="D416" s="197" t="str">
        <f aca="false">IF(A417&lt;&gt;"",B416+C416,"")</f>
        <v/>
      </c>
      <c r="E416" s="199" t="str">
        <f aca="false">IF(A417="","",IF(AND(AT416=1,$H$3=1),D416*AO416,IF($H$3=2,D416,"N/A")))</f>
        <v/>
      </c>
      <c r="F416" s="199" t="str">
        <f aca="false">IF(A417="","",E416*AS416)</f>
        <v/>
      </c>
      <c r="G416" s="200" t="str">
        <f aca="false">IF($A417="","",VLOOKUP($A416,Table,MATCH(G$4,Curves,0)))</f>
        <v/>
      </c>
      <c r="H416" s="201" t="str">
        <f aca="false">IF(A417="","",G416)</f>
        <v/>
      </c>
      <c r="J416" s="200" t="str">
        <f aca="false">IF($A417="","",VLOOKUP($A416,Table,MATCH(J$4,Curves,0)))</f>
        <v/>
      </c>
      <c r="K416" s="201" t="str">
        <f aca="false">IF(A417="","",J416)</f>
        <v/>
      </c>
      <c r="L416" s="185" t="n">
        <v>0</v>
      </c>
      <c r="M416" s="201" t="str">
        <f aca="false">IF(A417="","",L416)</f>
        <v/>
      </c>
      <c r="O416" s="200" t="str">
        <f aca="false">IF(A417="","",L416+J416+G416)</f>
        <v/>
      </c>
      <c r="P416" s="200" t="str">
        <f aca="false">IF(A417="","",M416+K416+H416)</f>
        <v/>
      </c>
      <c r="R416" s="200" t="str">
        <f aca="false">IF($A417="","",VLOOKUP($A416,Table,MATCH(R$4,Curves,0)))</f>
        <v/>
      </c>
      <c r="S416" s="201" t="str">
        <f aca="false">IF(A417="","",R416)</f>
        <v/>
      </c>
      <c r="T416" s="200" t="str">
        <f aca="false">IF($A417="","",VLOOKUP($A416,Table,MATCH(T$4,Curves,0)))</f>
        <v/>
      </c>
      <c r="U416" s="201" t="str">
        <f aca="false">IF(A417="","",T416)</f>
        <v/>
      </c>
      <c r="V416" s="205" t="str">
        <f aca="false">IF($A417="","",IF(AND(MONTH(A416)&gt;3,MONTH(A416)&lt;11),(T416+R416+G416)*Summary!$T$10/(1-Summary!$T$10),(T416+R416+G416)*Summary!$U$10/(1-Summary!$U$10)))</f>
        <v/>
      </c>
      <c r="W416" s="200" t="str">
        <f aca="false">IF($A417="","",(T416+R416+G416+V416))</f>
        <v/>
      </c>
      <c r="X416" s="200" t="str">
        <f aca="false">IF($A417="","",(U416+S416+H416+V416))</f>
        <v/>
      </c>
      <c r="Y416" s="202"/>
      <c r="Z416" s="185"/>
      <c r="AJ416" s="77"/>
      <c r="AK416" s="77"/>
      <c r="AL416" s="77"/>
      <c r="AM416" s="77"/>
      <c r="AN416" s="77"/>
      <c r="AO416" s="137" t="str">
        <f aca="false">IF(A417="","",A417-A416)</f>
        <v/>
      </c>
      <c r="AP416" s="212" t="str">
        <f aca="false">IF(A417="","",CHOOSE(F$3,A417+24,A416))</f>
        <v/>
      </c>
      <c r="AQ416" s="209" t="str">
        <f aca="false">IF(A417="","",AP416-$E$1)</f>
        <v/>
      </c>
      <c r="AR416" s="185" t="n">
        <f aca="false">'ANR OK vs ML7'!AR416</f>
        <v>0.1</v>
      </c>
      <c r="AS416" s="213" t="str">
        <f aca="false">IF(A417="","",1/(1+CHOOSE(F$3,(AR417+($I$3/10000))/2,(AR416+($I$3/10000))/2))^(2*AQ416/365.25))</f>
        <v/>
      </c>
      <c r="AT416" s="137" t="str">
        <f aca="false">IF(A417="","",IF(AND(mthbeg&lt;=A416,mthend&gt;=A416),1,0))</f>
        <v/>
      </c>
      <c r="AU416" s="137" t="str">
        <f aca="false">IF(A417="","",AO416*AT416)</f>
        <v/>
      </c>
      <c r="AW416" s="195" t="str">
        <f aca="false">IF($A417="","",AL416*$E416)</f>
        <v/>
      </c>
      <c r="AX416" s="195" t="str">
        <f aca="false">IF($A417="","",AM416*$E416)</f>
        <v/>
      </c>
      <c r="AY416" s="195" t="str">
        <f aca="false">IF($A417="","",AN416*$E416)</f>
        <v/>
      </c>
      <c r="BA416" s="195" t="str">
        <f aca="false">IF($A417="","",F416*Summary!$Q$10)</f>
        <v/>
      </c>
    </row>
    <row r="417" customFormat="false" ht="12.75" hidden="false" customHeight="false" outlineLevel="0" collapsed="false">
      <c r="A417" s="196" t="str">
        <f aca="false">IF(A416&lt;mthend,EDATE(A416,1),"")</f>
        <v/>
      </c>
      <c r="B417" s="197" t="str">
        <f aca="false">IF(A417&lt;mthend,B416,"")</f>
        <v/>
      </c>
      <c r="D417" s="197" t="str">
        <f aca="false">IF(A418&lt;&gt;"",B417+C417,"")</f>
        <v/>
      </c>
      <c r="E417" s="199" t="str">
        <f aca="false">IF(A418="","",IF(AND(AT417=1,$H$3=1),D417*AO417,IF($H$3=2,D417,"N/A")))</f>
        <v/>
      </c>
      <c r="F417" s="199" t="str">
        <f aca="false">IF(A418="","",E417*AS417)</f>
        <v/>
      </c>
      <c r="G417" s="200" t="str">
        <f aca="false">IF($A418="","",VLOOKUP($A417,Table,MATCH(G$4,Curves,0)))</f>
        <v/>
      </c>
      <c r="H417" s="201" t="str">
        <f aca="false">IF(A418="","",G417)</f>
        <v/>
      </c>
      <c r="J417" s="200" t="str">
        <f aca="false">IF($A418="","",VLOOKUP($A417,Table,MATCH(J$4,Curves,0)))</f>
        <v/>
      </c>
      <c r="K417" s="201" t="str">
        <f aca="false">IF(A418="","",J417)</f>
        <v/>
      </c>
      <c r="L417" s="185" t="n">
        <v>0</v>
      </c>
      <c r="M417" s="201" t="str">
        <f aca="false">IF(A418="","",L417)</f>
        <v/>
      </c>
      <c r="O417" s="200" t="str">
        <f aca="false">IF(A418="","",L417+J417+G417)</f>
        <v/>
      </c>
      <c r="P417" s="200" t="str">
        <f aca="false">IF(A418="","",M417+K417+H417)</f>
        <v/>
      </c>
      <c r="R417" s="200" t="str">
        <f aca="false">IF($A418="","",VLOOKUP($A417,Table,MATCH(R$4,Curves,0)))</f>
        <v/>
      </c>
      <c r="S417" s="201" t="str">
        <f aca="false">IF(A418="","",R417)</f>
        <v/>
      </c>
      <c r="T417" s="200" t="str">
        <f aca="false">IF($A418="","",VLOOKUP($A417,Table,MATCH(T$4,Curves,0)))</f>
        <v/>
      </c>
      <c r="U417" s="201" t="str">
        <f aca="false">IF(A418="","",T417)</f>
        <v/>
      </c>
      <c r="V417" s="205" t="str">
        <f aca="false">IF($A418="","",IF(AND(MONTH(A417)&gt;3,MONTH(A417)&lt;11),(T417+R417+G417)*Summary!$T$10/(1-Summary!$T$10),(T417+R417+G417)*Summary!$U$10/(1-Summary!$U$10)))</f>
        <v/>
      </c>
      <c r="W417" s="200" t="str">
        <f aca="false">IF($A418="","",(T417+R417+G417+V417))</f>
        <v/>
      </c>
      <c r="X417" s="200" t="str">
        <f aca="false">IF($A418="","",(U417+S417+H417+V417))</f>
        <v/>
      </c>
      <c r="Y417" s="202"/>
      <c r="Z417" s="185"/>
      <c r="AJ417" s="77"/>
      <c r="AK417" s="77"/>
      <c r="AL417" s="77"/>
      <c r="AM417" s="77"/>
      <c r="AN417" s="77"/>
      <c r="AO417" s="137" t="str">
        <f aca="false">IF(A418="","",A418-A417)</f>
        <v/>
      </c>
      <c r="AP417" s="212" t="str">
        <f aca="false">IF(A418="","",CHOOSE(F$3,A418+24,A417))</f>
        <v/>
      </c>
      <c r="AQ417" s="209" t="str">
        <f aca="false">IF(A418="","",AP417-$E$1)</f>
        <v/>
      </c>
      <c r="AR417" s="185" t="n">
        <f aca="false">'ANR OK vs ML7'!AR417</f>
        <v>0.1</v>
      </c>
      <c r="AS417" s="213" t="str">
        <f aca="false">IF(A418="","",1/(1+CHOOSE(F$3,(AR418+($I$3/10000))/2,(AR417+($I$3/10000))/2))^(2*AQ417/365.25))</f>
        <v/>
      </c>
      <c r="AT417" s="137" t="str">
        <f aca="false">IF(A418="","",IF(AND(mthbeg&lt;=A417,mthend&gt;=A417),1,0))</f>
        <v/>
      </c>
      <c r="AU417" s="137" t="str">
        <f aca="false">IF(A418="","",AO417*AT417)</f>
        <v/>
      </c>
      <c r="AW417" s="195" t="str">
        <f aca="false">IF($A418="","",AL417*$E417)</f>
        <v/>
      </c>
      <c r="AX417" s="195" t="str">
        <f aca="false">IF($A418="","",AM417*$E417)</f>
        <v/>
      </c>
      <c r="AY417" s="195" t="str">
        <f aca="false">IF($A418="","",AN417*$E417)</f>
        <v/>
      </c>
      <c r="BA417" s="195" t="str">
        <f aca="false">IF($A418="","",F417*Summary!$Q$10)</f>
        <v/>
      </c>
    </row>
    <row r="418" customFormat="false" ht="12.75" hidden="false" customHeight="false" outlineLevel="0" collapsed="false">
      <c r="A418" s="196" t="str">
        <f aca="false">IF(A417&lt;mthend,EDATE(A417,1),"")</f>
        <v/>
      </c>
      <c r="B418" s="197" t="str">
        <f aca="false">IF(A418&lt;mthend,B417,"")</f>
        <v/>
      </c>
      <c r="D418" s="197" t="str">
        <f aca="false">IF(A419&lt;&gt;"",B418+C418,"")</f>
        <v/>
      </c>
      <c r="E418" s="199" t="str">
        <f aca="false">IF(A419="","",IF(AND(AT418=1,$H$3=1),D418*AO418,IF($H$3=2,D418,"N/A")))</f>
        <v/>
      </c>
      <c r="F418" s="199" t="str">
        <f aca="false">IF(A419="","",E418*AS418)</f>
        <v/>
      </c>
      <c r="G418" s="200" t="str">
        <f aca="false">IF($A419="","",VLOOKUP($A418,Table,MATCH(G$4,Curves,0)))</f>
        <v/>
      </c>
      <c r="H418" s="201" t="str">
        <f aca="false">IF(A419="","",G418)</f>
        <v/>
      </c>
      <c r="J418" s="200" t="str">
        <f aca="false">IF($A419="","",VLOOKUP($A418,Table,MATCH(J$4,Curves,0)))</f>
        <v/>
      </c>
      <c r="K418" s="201" t="str">
        <f aca="false">IF(A419="","",J418)</f>
        <v/>
      </c>
      <c r="L418" s="185" t="n">
        <v>0</v>
      </c>
      <c r="M418" s="201" t="str">
        <f aca="false">IF(A419="","",L418)</f>
        <v/>
      </c>
      <c r="O418" s="200" t="str">
        <f aca="false">IF(A419="","",L418+J418+G418)</f>
        <v/>
      </c>
      <c r="P418" s="200" t="str">
        <f aca="false">IF(A419="","",M418+K418+H418)</f>
        <v/>
      </c>
      <c r="R418" s="200" t="str">
        <f aca="false">IF($A419="","",VLOOKUP($A418,Table,MATCH(R$4,Curves,0)))</f>
        <v/>
      </c>
      <c r="S418" s="201" t="str">
        <f aca="false">IF(A419="","",R418)</f>
        <v/>
      </c>
      <c r="T418" s="200" t="str">
        <f aca="false">IF($A419="","",VLOOKUP($A418,Table,MATCH(T$4,Curves,0)))</f>
        <v/>
      </c>
      <c r="U418" s="201" t="str">
        <f aca="false">IF(A419="","",T418)</f>
        <v/>
      </c>
      <c r="V418" s="205" t="str">
        <f aca="false">IF($A419="","",IF(AND(MONTH(A418)&gt;3,MONTH(A418)&lt;11),(T418+R418+G418)*Summary!$T$10/(1-Summary!$T$10),(T418+R418+G418)*Summary!$U$10/(1-Summary!$U$10)))</f>
        <v/>
      </c>
      <c r="W418" s="200" t="str">
        <f aca="false">IF($A419="","",(T418+R418+G418+V418))</f>
        <v/>
      </c>
      <c r="X418" s="200" t="str">
        <f aca="false">IF($A419="","",(U418+S418+H418+V418))</f>
        <v/>
      </c>
      <c r="Y418" s="202"/>
      <c r="Z418" s="185"/>
      <c r="AJ418" s="77"/>
      <c r="AK418" s="77"/>
      <c r="AL418" s="77"/>
      <c r="AM418" s="77"/>
      <c r="AN418" s="77"/>
      <c r="AO418" s="137" t="str">
        <f aca="false">IF(A419="","",A419-A418)</f>
        <v/>
      </c>
      <c r="AP418" s="212" t="str">
        <f aca="false">IF(A419="","",CHOOSE(F$3,A419+24,A418))</f>
        <v/>
      </c>
      <c r="AQ418" s="209" t="str">
        <f aca="false">IF(A419="","",AP418-$E$1)</f>
        <v/>
      </c>
      <c r="AR418" s="185" t="n">
        <f aca="false">'ANR OK vs ML7'!AR418</f>
        <v>0.1</v>
      </c>
      <c r="AS418" s="213" t="str">
        <f aca="false">IF(A419="","",1/(1+CHOOSE(F$3,(AR419+($I$3/10000))/2,(AR418+($I$3/10000))/2))^(2*AQ418/365.25))</f>
        <v/>
      </c>
      <c r="AT418" s="137" t="str">
        <f aca="false">IF(A419="","",IF(AND(mthbeg&lt;=A418,mthend&gt;=A418),1,0))</f>
        <v/>
      </c>
      <c r="AU418" s="137" t="str">
        <f aca="false">IF(A419="","",AO418*AT418)</f>
        <v/>
      </c>
      <c r="AW418" s="195" t="str">
        <f aca="false">IF($A419="","",AL418*$E418)</f>
        <v/>
      </c>
      <c r="AX418" s="195" t="str">
        <f aca="false">IF($A419="","",AM418*$E418)</f>
        <v/>
      </c>
      <c r="AY418" s="195" t="str">
        <f aca="false">IF($A419="","",AN418*$E418)</f>
        <v/>
      </c>
      <c r="BA418" s="195" t="str">
        <f aca="false">IF($A419="","",F418*Summary!$Q$10)</f>
        <v/>
      </c>
    </row>
    <row r="419" customFormat="false" ht="12.75" hidden="false" customHeight="false" outlineLevel="0" collapsed="false">
      <c r="A419" s="196" t="str">
        <f aca="false">IF(A418&lt;mthend,EDATE(A418,1),"")</f>
        <v/>
      </c>
      <c r="B419" s="197" t="str">
        <f aca="false">IF(A419&lt;mthend,B418,"")</f>
        <v/>
      </c>
      <c r="D419" s="197" t="str">
        <f aca="false">IF(A420&lt;&gt;"",B419+C419,"")</f>
        <v/>
      </c>
      <c r="E419" s="199" t="str">
        <f aca="false">IF(A420="","",IF(AND(AT419=1,$H$3=1),D419*AO419,IF($H$3=2,D419,"N/A")))</f>
        <v/>
      </c>
      <c r="F419" s="199" t="str">
        <f aca="false">IF(A420="","",E419*AS419)</f>
        <v/>
      </c>
      <c r="G419" s="200" t="str">
        <f aca="false">IF($A420="","",VLOOKUP($A419,Table,MATCH(G$4,Curves,0)))</f>
        <v/>
      </c>
      <c r="H419" s="201" t="str">
        <f aca="false">IF(A420="","",G419)</f>
        <v/>
      </c>
      <c r="J419" s="200" t="str">
        <f aca="false">IF($A420="","",VLOOKUP($A419,Table,MATCH(J$4,Curves,0)))</f>
        <v/>
      </c>
      <c r="K419" s="201" t="str">
        <f aca="false">IF(A420="","",J419)</f>
        <v/>
      </c>
      <c r="L419" s="185" t="n">
        <v>0</v>
      </c>
      <c r="M419" s="201" t="str">
        <f aca="false">IF(A420="","",L419)</f>
        <v/>
      </c>
      <c r="O419" s="200" t="str">
        <f aca="false">IF(A420="","",L419+J419+G419)</f>
        <v/>
      </c>
      <c r="P419" s="200" t="str">
        <f aca="false">IF(A420="","",M419+K419+H419)</f>
        <v/>
      </c>
      <c r="R419" s="200" t="str">
        <f aca="false">IF($A420="","",VLOOKUP($A419,Table,MATCH(R$4,Curves,0)))</f>
        <v/>
      </c>
      <c r="S419" s="201" t="str">
        <f aca="false">IF(A420="","",R419)</f>
        <v/>
      </c>
      <c r="T419" s="200" t="str">
        <f aca="false">IF($A420="","",VLOOKUP($A419,Table,MATCH(T$4,Curves,0)))</f>
        <v/>
      </c>
      <c r="U419" s="201" t="str">
        <f aca="false">IF(A420="","",T419)</f>
        <v/>
      </c>
      <c r="V419" s="205" t="str">
        <f aca="false">IF($A420="","",IF(AND(MONTH(A419)&gt;3,MONTH(A419)&lt;11),(T419+R419+G419)*Summary!$T$10/(1-Summary!$T$10),(T419+R419+G419)*Summary!$U$10/(1-Summary!$U$10)))</f>
        <v/>
      </c>
      <c r="W419" s="200" t="str">
        <f aca="false">IF($A420="","",(T419+R419+G419+V419))</f>
        <v/>
      </c>
      <c r="X419" s="200" t="str">
        <f aca="false">IF($A420="","",(U419+S419+H419+V419))</f>
        <v/>
      </c>
      <c r="Y419" s="202"/>
      <c r="Z419" s="185"/>
      <c r="AJ419" s="77"/>
      <c r="AK419" s="77"/>
      <c r="AL419" s="77"/>
      <c r="AM419" s="77"/>
      <c r="AN419" s="77"/>
      <c r="AO419" s="137" t="str">
        <f aca="false">IF(A420="","",A420-A419)</f>
        <v/>
      </c>
      <c r="AP419" s="212" t="str">
        <f aca="false">IF(A420="","",CHOOSE(F$3,A420+24,A419))</f>
        <v/>
      </c>
      <c r="AQ419" s="209" t="str">
        <f aca="false">IF(A420="","",AP419-$E$1)</f>
        <v/>
      </c>
      <c r="AR419" s="185" t="n">
        <f aca="false">'ANR OK vs ML7'!AR419</f>
        <v>0.1</v>
      </c>
      <c r="AS419" s="213" t="str">
        <f aca="false">IF(A420="","",1/(1+CHOOSE(F$3,(AR420+($I$3/10000))/2,(AR419+($I$3/10000))/2))^(2*AQ419/365.25))</f>
        <v/>
      </c>
      <c r="AT419" s="137" t="str">
        <f aca="false">IF(A420="","",IF(AND(mthbeg&lt;=A419,mthend&gt;=A419),1,0))</f>
        <v/>
      </c>
      <c r="AU419" s="137" t="str">
        <f aca="false">IF(A420="","",AO419*AT419)</f>
        <v/>
      </c>
      <c r="AW419" s="195" t="str">
        <f aca="false">IF($A420="","",AL419*$E419)</f>
        <v/>
      </c>
      <c r="AX419" s="195" t="str">
        <f aca="false">IF($A420="","",AM419*$E419)</f>
        <v/>
      </c>
      <c r="AY419" s="195" t="str">
        <f aca="false">IF($A420="","",AN419*$E419)</f>
        <v/>
      </c>
      <c r="BA419" s="195" t="str">
        <f aca="false">IF($A420="","",F419*Summary!$Q$10)</f>
        <v/>
      </c>
    </row>
    <row r="420" customFormat="false" ht="12.75" hidden="false" customHeight="false" outlineLevel="0" collapsed="false">
      <c r="A420" s="196" t="str">
        <f aca="false">IF(A419&lt;mthend,EDATE(A419,1),"")</f>
        <v/>
      </c>
      <c r="B420" s="197" t="str">
        <f aca="false">IF(A420&lt;mthend,B419,"")</f>
        <v/>
      </c>
      <c r="D420" s="197" t="str">
        <f aca="false">IF(A421&lt;&gt;"",B420+C420,"")</f>
        <v/>
      </c>
      <c r="E420" s="199" t="str">
        <f aca="false">IF(A421="","",IF(AND(AT420=1,$H$3=1),D420*AO420,IF($H$3=2,D420,"N/A")))</f>
        <v/>
      </c>
      <c r="F420" s="199" t="str">
        <f aca="false">IF(A421="","",E420*AS420)</f>
        <v/>
      </c>
      <c r="G420" s="200" t="str">
        <f aca="false">IF($A421="","",VLOOKUP($A420,Table,MATCH(G$4,Curves,0)))</f>
        <v/>
      </c>
      <c r="H420" s="201" t="str">
        <f aca="false">IF(A421="","",G420)</f>
        <v/>
      </c>
      <c r="J420" s="200" t="str">
        <f aca="false">IF($A421="","",VLOOKUP($A420,Table,MATCH(J$4,Curves,0)))</f>
        <v/>
      </c>
      <c r="K420" s="201" t="str">
        <f aca="false">IF(A421="","",J420)</f>
        <v/>
      </c>
      <c r="L420" s="185" t="n">
        <v>0</v>
      </c>
      <c r="M420" s="201" t="str">
        <f aca="false">IF(A421="","",L420)</f>
        <v/>
      </c>
      <c r="O420" s="200" t="str">
        <f aca="false">IF(A421="","",L420+J420+G420)</f>
        <v/>
      </c>
      <c r="P420" s="200" t="str">
        <f aca="false">IF(A421="","",M420+K420+H420)</f>
        <v/>
      </c>
      <c r="R420" s="200" t="str">
        <f aca="false">IF($A421="","",VLOOKUP($A420,Table,MATCH(R$4,Curves,0)))</f>
        <v/>
      </c>
      <c r="S420" s="201" t="str">
        <f aca="false">IF(A421="","",R420)</f>
        <v/>
      </c>
      <c r="T420" s="200" t="str">
        <f aca="false">IF($A421="","",VLOOKUP($A420,Table,MATCH(T$4,Curves,0)))</f>
        <v/>
      </c>
      <c r="U420" s="201" t="str">
        <f aca="false">IF(A421="","",T420)</f>
        <v/>
      </c>
      <c r="V420" s="205" t="str">
        <f aca="false">IF($A421="","",IF(AND(MONTH(A420)&gt;3,MONTH(A420)&lt;11),(T420+R420+G420)*Summary!$T$10/(1-Summary!$T$10),(T420+R420+G420)*Summary!$U$10/(1-Summary!$U$10)))</f>
        <v/>
      </c>
      <c r="W420" s="200" t="str">
        <f aca="false">IF($A421="","",(T420+R420+G420+V420))</f>
        <v/>
      </c>
      <c r="X420" s="200" t="str">
        <f aca="false">IF($A421="","",(U420+S420+H420+V420))</f>
        <v/>
      </c>
      <c r="Y420" s="202"/>
      <c r="Z420" s="185"/>
      <c r="AJ420" s="77"/>
      <c r="AK420" s="77"/>
      <c r="AL420" s="77"/>
      <c r="AM420" s="77"/>
      <c r="AN420" s="77"/>
      <c r="AO420" s="137" t="str">
        <f aca="false">IF(A421="","",A421-A420)</f>
        <v/>
      </c>
      <c r="AP420" s="212" t="str">
        <f aca="false">IF(A421="","",CHOOSE(F$3,A421+24,A420))</f>
        <v/>
      </c>
      <c r="AQ420" s="209" t="str">
        <f aca="false">IF(A421="","",AP420-$E$1)</f>
        <v/>
      </c>
      <c r="AR420" s="185" t="n">
        <f aca="false">'ANR OK vs ML7'!AR420</f>
        <v>0.1</v>
      </c>
      <c r="AS420" s="213" t="str">
        <f aca="false">IF(A421="","",1/(1+CHOOSE(F$3,(AR421+($I$3/10000))/2,(AR420+($I$3/10000))/2))^(2*AQ420/365.25))</f>
        <v/>
      </c>
      <c r="AT420" s="137" t="str">
        <f aca="false">IF(A421="","",IF(AND(mthbeg&lt;=A420,mthend&gt;=A420),1,0))</f>
        <v/>
      </c>
      <c r="AU420" s="137" t="str">
        <f aca="false">IF(A421="","",AO420*AT420)</f>
        <v/>
      </c>
      <c r="AW420" s="195" t="str">
        <f aca="false">IF($A421="","",AL420*$E420)</f>
        <v/>
      </c>
      <c r="AX420" s="195" t="str">
        <f aca="false">IF($A421="","",AM420*$E420)</f>
        <v/>
      </c>
      <c r="AY420" s="195" t="str">
        <f aca="false">IF($A421="","",AN420*$E420)</f>
        <v/>
      </c>
      <c r="BA420" s="195" t="str">
        <f aca="false">IF($A421="","",F420*Summary!$Q$10)</f>
        <v/>
      </c>
    </row>
    <row r="421" customFormat="false" ht="12.75" hidden="false" customHeight="false" outlineLevel="0" collapsed="false">
      <c r="A421" s="196" t="str">
        <f aca="false">IF(A420&lt;mthend,EDATE(A420,1),"")</f>
        <v/>
      </c>
      <c r="B421" s="197" t="str">
        <f aca="false">IF(A421&lt;mthend,B420,"")</f>
        <v/>
      </c>
      <c r="D421" s="197" t="str">
        <f aca="false">IF(A422&lt;&gt;"",B421+C421,"")</f>
        <v/>
      </c>
      <c r="E421" s="199" t="str">
        <f aca="false">IF(A422="","",IF(AND(AT421=1,$H$3=1),D421*AO421,IF($H$3=2,D421,"N/A")))</f>
        <v/>
      </c>
      <c r="F421" s="199" t="str">
        <f aca="false">IF(A422="","",E421*AS421)</f>
        <v/>
      </c>
      <c r="G421" s="200" t="str">
        <f aca="false">IF($A422="","",VLOOKUP($A421,Table,MATCH(G$4,Curves,0)))</f>
        <v/>
      </c>
      <c r="H421" s="201" t="str">
        <f aca="false">IF(A422="","",G421)</f>
        <v/>
      </c>
      <c r="J421" s="200" t="str">
        <f aca="false">IF($A422="","",VLOOKUP($A421,Table,MATCH(J$4,Curves,0)))</f>
        <v/>
      </c>
      <c r="K421" s="201" t="str">
        <f aca="false">IF(A422="","",J421)</f>
        <v/>
      </c>
      <c r="L421" s="185" t="n">
        <v>0</v>
      </c>
      <c r="M421" s="201" t="str">
        <f aca="false">IF(A422="","",L421)</f>
        <v/>
      </c>
      <c r="O421" s="200" t="str">
        <f aca="false">IF(A422="","",L421+J421+G421)</f>
        <v/>
      </c>
      <c r="P421" s="200" t="str">
        <f aca="false">IF(A422="","",M421+K421+H421)</f>
        <v/>
      </c>
      <c r="R421" s="200" t="str">
        <f aca="false">IF($A422="","",VLOOKUP($A421,Table,MATCH(R$4,Curves,0)))</f>
        <v/>
      </c>
      <c r="S421" s="201" t="str">
        <f aca="false">IF(A422="","",R421)</f>
        <v/>
      </c>
      <c r="T421" s="200" t="str">
        <f aca="false">IF($A422="","",VLOOKUP($A421,Table,MATCH(T$4,Curves,0)))</f>
        <v/>
      </c>
      <c r="U421" s="201" t="str">
        <f aca="false">IF(A422="","",T421)</f>
        <v/>
      </c>
      <c r="V421" s="205" t="str">
        <f aca="false">IF($A422="","",IF(AND(MONTH(A421)&gt;3,MONTH(A421)&lt;11),(T421+R421+G421)*Summary!$T$10/(1-Summary!$T$10),(T421+R421+G421)*Summary!$U$10/(1-Summary!$U$10)))</f>
        <v/>
      </c>
      <c r="W421" s="200" t="str">
        <f aca="false">IF($A422="","",(T421+R421+G421+V421))</f>
        <v/>
      </c>
      <c r="X421" s="200" t="str">
        <f aca="false">IF($A422="","",(U421+S421+H421+V421))</f>
        <v/>
      </c>
      <c r="Y421" s="202"/>
      <c r="Z421" s="185"/>
      <c r="AJ421" s="77"/>
      <c r="AK421" s="77"/>
      <c r="AL421" s="77"/>
      <c r="AM421" s="77"/>
      <c r="AN421" s="77"/>
      <c r="AO421" s="137" t="str">
        <f aca="false">IF(A422="","",A422-A421)</f>
        <v/>
      </c>
      <c r="AP421" s="212" t="str">
        <f aca="false">IF(A422="","",CHOOSE(F$3,A422+24,A421))</f>
        <v/>
      </c>
      <c r="AQ421" s="209" t="str">
        <f aca="false">IF(A422="","",AP421-$E$1)</f>
        <v/>
      </c>
      <c r="AR421" s="185" t="n">
        <f aca="false">'ANR OK vs ML7'!AR421</f>
        <v>0.1</v>
      </c>
      <c r="AS421" s="213" t="str">
        <f aca="false">IF(A422="","",1/(1+CHOOSE(F$3,(AR422+($I$3/10000))/2,(AR421+($I$3/10000))/2))^(2*AQ421/365.25))</f>
        <v/>
      </c>
      <c r="AT421" s="137" t="str">
        <f aca="false">IF(A422="","",IF(AND(mthbeg&lt;=A421,mthend&gt;=A421),1,0))</f>
        <v/>
      </c>
      <c r="AU421" s="137" t="str">
        <f aca="false">IF(A422="","",AO421*AT421)</f>
        <v/>
      </c>
      <c r="AW421" s="195" t="str">
        <f aca="false">IF($A422="","",AL421*$E421)</f>
        <v/>
      </c>
      <c r="AX421" s="195" t="str">
        <f aca="false">IF($A422="","",AM421*$E421)</f>
        <v/>
      </c>
      <c r="AY421" s="195" t="str">
        <f aca="false">IF($A422="","",AN421*$E421)</f>
        <v/>
      </c>
      <c r="BA421" s="195" t="str">
        <f aca="false">IF($A422="","",F421*Summary!$Q$10)</f>
        <v/>
      </c>
    </row>
    <row r="422" customFormat="false" ht="12.75" hidden="false" customHeight="false" outlineLevel="0" collapsed="false">
      <c r="A422" s="196" t="str">
        <f aca="false">IF(A421&lt;mthend,EDATE(A421,1),"")</f>
        <v/>
      </c>
      <c r="B422" s="197" t="str">
        <f aca="false">IF(A422&lt;mthend,B421,"")</f>
        <v/>
      </c>
      <c r="D422" s="197" t="str">
        <f aca="false">IF(A423&lt;&gt;"",B422+C422,"")</f>
        <v/>
      </c>
      <c r="E422" s="199" t="str">
        <f aca="false">IF(A423="","",IF(AND(AT422=1,$H$3=1),D422*AO422,IF($H$3=2,D422,"N/A")))</f>
        <v/>
      </c>
      <c r="F422" s="199" t="str">
        <f aca="false">IF(A423="","",E422*AS422)</f>
        <v/>
      </c>
      <c r="G422" s="200" t="str">
        <f aca="false">IF($A423="","",VLOOKUP($A422,Table,MATCH(G$4,Curves,0)))</f>
        <v/>
      </c>
      <c r="H422" s="201" t="str">
        <f aca="false">IF(A423="","",G422)</f>
        <v/>
      </c>
      <c r="J422" s="200" t="str">
        <f aca="false">IF($A423="","",VLOOKUP($A422,Table,MATCH(J$4,Curves,0)))</f>
        <v/>
      </c>
      <c r="K422" s="201" t="str">
        <f aca="false">IF(A423="","",J422)</f>
        <v/>
      </c>
      <c r="L422" s="185" t="n">
        <v>0</v>
      </c>
      <c r="M422" s="201" t="str">
        <f aca="false">IF(A423="","",L422)</f>
        <v/>
      </c>
      <c r="O422" s="200" t="str">
        <f aca="false">IF(A423="","",L422+J422+G422)</f>
        <v/>
      </c>
      <c r="P422" s="200" t="str">
        <f aca="false">IF(A423="","",M422+K422+H422)</f>
        <v/>
      </c>
      <c r="R422" s="200" t="str">
        <f aca="false">IF($A423="","",VLOOKUP($A422,Table,MATCH(R$4,Curves,0)))</f>
        <v/>
      </c>
      <c r="S422" s="201" t="str">
        <f aca="false">IF(A423="","",R422)</f>
        <v/>
      </c>
      <c r="T422" s="200" t="str">
        <f aca="false">IF($A423="","",VLOOKUP($A422,Table,MATCH(T$4,Curves,0)))</f>
        <v/>
      </c>
      <c r="U422" s="201" t="str">
        <f aca="false">IF(A423="","",T422)</f>
        <v/>
      </c>
      <c r="V422" s="205" t="str">
        <f aca="false">IF($A423="","",IF(AND(MONTH(A422)&gt;3,MONTH(A422)&lt;11),(T422+R422+G422)*Summary!$T$10/(1-Summary!$T$10),(T422+R422+G422)*Summary!$U$10/(1-Summary!$U$10)))</f>
        <v/>
      </c>
      <c r="W422" s="200" t="str">
        <f aca="false">IF($A423="","",(T422+R422+G422+V422))</f>
        <v/>
      </c>
      <c r="X422" s="200" t="str">
        <f aca="false">IF($A423="","",(U422+S422+H422+V422))</f>
        <v/>
      </c>
      <c r="Y422" s="202"/>
      <c r="Z422" s="185"/>
      <c r="AJ422" s="77"/>
      <c r="AK422" s="77"/>
      <c r="AL422" s="77"/>
      <c r="AM422" s="77"/>
      <c r="AN422" s="77"/>
      <c r="AO422" s="137" t="str">
        <f aca="false">IF(A423="","",A423-A422)</f>
        <v/>
      </c>
      <c r="AP422" s="212" t="str">
        <f aca="false">IF(A423="","",CHOOSE(F$3,A423+24,A422))</f>
        <v/>
      </c>
      <c r="AQ422" s="209" t="str">
        <f aca="false">IF(A423="","",AP422-$E$1)</f>
        <v/>
      </c>
      <c r="AR422" s="185" t="n">
        <f aca="false">'ANR OK vs ML7'!AR422</f>
        <v>0.1</v>
      </c>
      <c r="AS422" s="213" t="str">
        <f aca="false">IF(A423="","",1/(1+CHOOSE(F$3,(AR423+($I$3/10000))/2,(AR422+($I$3/10000))/2))^(2*AQ422/365.25))</f>
        <v/>
      </c>
      <c r="AT422" s="137" t="str">
        <f aca="false">IF(A423="","",IF(AND(mthbeg&lt;=A422,mthend&gt;=A422),1,0))</f>
        <v/>
      </c>
      <c r="AU422" s="137" t="str">
        <f aca="false">IF(A423="","",AO422*AT422)</f>
        <v/>
      </c>
      <c r="AW422" s="195" t="str">
        <f aca="false">IF($A423="","",AL422*$E422)</f>
        <v/>
      </c>
      <c r="AX422" s="195" t="str">
        <f aca="false">IF($A423="","",AM422*$E422)</f>
        <v/>
      </c>
      <c r="AY422" s="195" t="str">
        <f aca="false">IF($A423="","",AN422*$E422)</f>
        <v/>
      </c>
      <c r="BA422" s="195" t="str">
        <f aca="false">IF($A423="","",F422*Summary!$Q$10)</f>
        <v/>
      </c>
    </row>
    <row r="423" customFormat="false" ht="12.75" hidden="false" customHeight="false" outlineLevel="0" collapsed="false">
      <c r="A423" s="196" t="str">
        <f aca="false">IF(A422&lt;mthend,EDATE(A422,1),"")</f>
        <v/>
      </c>
      <c r="B423" s="197" t="str">
        <f aca="false">IF(A423&lt;mthend,B422,"")</f>
        <v/>
      </c>
      <c r="D423" s="197" t="str">
        <f aca="false">IF(A424&lt;&gt;"",B423+C423,"")</f>
        <v/>
      </c>
      <c r="E423" s="199" t="str">
        <f aca="false">IF(A424="","",IF(AND(AT423=1,$H$3=1),D423*AO423,IF($H$3=2,D423,"N/A")))</f>
        <v/>
      </c>
      <c r="F423" s="199" t="str">
        <f aca="false">IF(A424="","",E423*AS423)</f>
        <v/>
      </c>
      <c r="G423" s="200" t="str">
        <f aca="false">IF($A424="","",VLOOKUP($A423,Table,MATCH(G$4,Curves,0)))</f>
        <v/>
      </c>
      <c r="H423" s="201" t="str">
        <f aca="false">IF(A424="","",G423)</f>
        <v/>
      </c>
      <c r="J423" s="200" t="str">
        <f aca="false">IF($A424="","",VLOOKUP($A423,Table,MATCH(J$4,Curves,0)))</f>
        <v/>
      </c>
      <c r="K423" s="201" t="str">
        <f aca="false">IF(A424="","",J423)</f>
        <v/>
      </c>
      <c r="L423" s="185" t="n">
        <v>0</v>
      </c>
      <c r="M423" s="201" t="str">
        <f aca="false">IF(A424="","",L423)</f>
        <v/>
      </c>
      <c r="O423" s="200" t="str">
        <f aca="false">IF(A424="","",L423+J423+G423)</f>
        <v/>
      </c>
      <c r="P423" s="200" t="str">
        <f aca="false">IF(A424="","",M423+K423+H423)</f>
        <v/>
      </c>
      <c r="R423" s="200" t="str">
        <f aca="false">IF($A424="","",VLOOKUP($A423,Table,MATCH(R$4,Curves,0)))</f>
        <v/>
      </c>
      <c r="S423" s="201" t="str">
        <f aca="false">IF(A424="","",R423)</f>
        <v/>
      </c>
      <c r="T423" s="200" t="str">
        <f aca="false">IF($A424="","",VLOOKUP($A423,Table,MATCH(T$4,Curves,0)))</f>
        <v/>
      </c>
      <c r="U423" s="201" t="str">
        <f aca="false">IF(A424="","",T423)</f>
        <v/>
      </c>
      <c r="V423" s="205" t="str">
        <f aca="false">IF($A424="","",IF(AND(MONTH(A423)&gt;3,MONTH(A423)&lt;11),(T423+R423+G423)*Summary!$T$10/(1-Summary!$T$10),(T423+R423+G423)*Summary!$U$10/(1-Summary!$U$10)))</f>
        <v/>
      </c>
      <c r="W423" s="200" t="str">
        <f aca="false">IF($A424="","",(T423+R423+G423+V423))</f>
        <v/>
      </c>
      <c r="X423" s="200" t="str">
        <f aca="false">IF($A424="","",(U423+S423+H423+V423))</f>
        <v/>
      </c>
      <c r="Y423" s="202"/>
      <c r="Z423" s="185"/>
      <c r="AJ423" s="77"/>
      <c r="AK423" s="77"/>
      <c r="AL423" s="77"/>
      <c r="AM423" s="77"/>
      <c r="AN423" s="77"/>
      <c r="AO423" s="137" t="str">
        <f aca="false">IF(A424="","",A424-A423)</f>
        <v/>
      </c>
      <c r="AP423" s="212" t="str">
        <f aca="false">IF(A424="","",CHOOSE(F$3,A424+24,A423))</f>
        <v/>
      </c>
      <c r="AQ423" s="209" t="str">
        <f aca="false">IF(A424="","",AP423-$E$1)</f>
        <v/>
      </c>
      <c r="AR423" s="185" t="n">
        <f aca="false">'ANR OK vs ML7'!AR423</f>
        <v>0.1</v>
      </c>
      <c r="AS423" s="213" t="str">
        <f aca="false">IF(A424="","",1/(1+CHOOSE(F$3,(AR424+($I$3/10000))/2,(AR423+($I$3/10000))/2))^(2*AQ423/365.25))</f>
        <v/>
      </c>
      <c r="AT423" s="137" t="str">
        <f aca="false">IF(A424="","",IF(AND(mthbeg&lt;=A423,mthend&gt;=A423),1,0))</f>
        <v/>
      </c>
      <c r="AU423" s="137" t="str">
        <f aca="false">IF(A424="","",AO423*AT423)</f>
        <v/>
      </c>
      <c r="AW423" s="195" t="str">
        <f aca="false">IF($A424="","",AL423*$E423)</f>
        <v/>
      </c>
      <c r="AX423" s="195" t="str">
        <f aca="false">IF($A424="","",AM423*$E423)</f>
        <v/>
      </c>
      <c r="AY423" s="195" t="str">
        <f aca="false">IF($A424="","",AN423*$E423)</f>
        <v/>
      </c>
      <c r="BA423" s="195" t="str">
        <f aca="false">IF($A424="","",F423*Summary!$Q$10)</f>
        <v/>
      </c>
    </row>
    <row r="424" customFormat="false" ht="12.75" hidden="false" customHeight="false" outlineLevel="0" collapsed="false">
      <c r="A424" s="196" t="str">
        <f aca="false">IF(A423&lt;mthend,EDATE(A423,1),"")</f>
        <v/>
      </c>
      <c r="B424" s="197" t="str">
        <f aca="false">IF(A424&lt;mthend,B423,"")</f>
        <v/>
      </c>
      <c r="D424" s="197" t="str">
        <f aca="false">IF(A425&lt;&gt;"",B424+C424,"")</f>
        <v/>
      </c>
      <c r="E424" s="199" t="str">
        <f aca="false">IF(A425="","",IF(AND(AT424=1,$H$3=1),D424*AO424,IF($H$3=2,D424,"N/A")))</f>
        <v/>
      </c>
      <c r="F424" s="199" t="str">
        <f aca="false">IF(A425="","",E424*AS424)</f>
        <v/>
      </c>
      <c r="G424" s="200" t="str">
        <f aca="false">IF($A425="","",VLOOKUP($A424,Table,MATCH(G$4,Curves,0)))</f>
        <v/>
      </c>
      <c r="H424" s="201" t="str">
        <f aca="false">IF(A425="","",G424)</f>
        <v/>
      </c>
      <c r="J424" s="200" t="str">
        <f aca="false">IF($A425="","",VLOOKUP($A424,Table,MATCH(J$4,Curves,0)))</f>
        <v/>
      </c>
      <c r="K424" s="201" t="str">
        <f aca="false">IF(A425="","",J424)</f>
        <v/>
      </c>
      <c r="L424" s="185" t="n">
        <v>0</v>
      </c>
      <c r="M424" s="201" t="str">
        <f aca="false">IF(A425="","",L424)</f>
        <v/>
      </c>
      <c r="O424" s="200" t="str">
        <f aca="false">IF(A425="","",L424+J424+G424)</f>
        <v/>
      </c>
      <c r="P424" s="200" t="str">
        <f aca="false">IF(A425="","",M424+K424+H424)</f>
        <v/>
      </c>
      <c r="R424" s="200" t="str">
        <f aca="false">IF($A425="","",VLOOKUP($A424,Table,MATCH(R$4,Curves,0)))</f>
        <v/>
      </c>
      <c r="S424" s="201" t="str">
        <f aca="false">IF(A425="","",R424)</f>
        <v/>
      </c>
      <c r="T424" s="200" t="str">
        <f aca="false">IF($A425="","",VLOOKUP($A424,Table,MATCH(T$4,Curves,0)))</f>
        <v/>
      </c>
      <c r="U424" s="201" t="str">
        <f aca="false">IF(A425="","",T424)</f>
        <v/>
      </c>
      <c r="V424" s="205" t="str">
        <f aca="false">IF($A425="","",IF(AND(MONTH(A424)&gt;3,MONTH(A424)&lt;11),(T424+R424+G424)*Summary!$T$10/(1-Summary!$T$10),(T424+R424+G424)*Summary!$U$10/(1-Summary!$U$10)))</f>
        <v/>
      </c>
      <c r="W424" s="200" t="str">
        <f aca="false">IF($A425="","",(T424+R424+G424+V424))</f>
        <v/>
      </c>
      <c r="X424" s="200" t="str">
        <f aca="false">IF($A425="","",(U424+S424+H424+V424))</f>
        <v/>
      </c>
      <c r="Y424" s="202"/>
      <c r="Z424" s="185"/>
      <c r="AJ424" s="77"/>
      <c r="AK424" s="77"/>
      <c r="AL424" s="77"/>
      <c r="AM424" s="77"/>
      <c r="AN424" s="77"/>
      <c r="AO424" s="137" t="str">
        <f aca="false">IF(A425="","",A425-A424)</f>
        <v/>
      </c>
      <c r="AP424" s="212" t="str">
        <f aca="false">IF(A425="","",CHOOSE(F$3,A425+24,A424))</f>
        <v/>
      </c>
      <c r="AQ424" s="209" t="str">
        <f aca="false">IF(A425="","",AP424-$E$1)</f>
        <v/>
      </c>
      <c r="AR424" s="185" t="n">
        <f aca="false">'ANR OK vs ML7'!AR424</f>
        <v>0.1</v>
      </c>
      <c r="AS424" s="213" t="str">
        <f aca="false">IF(A425="","",1/(1+CHOOSE(F$3,(AR425+($I$3/10000))/2,(AR424+($I$3/10000))/2))^(2*AQ424/365.25))</f>
        <v/>
      </c>
      <c r="AT424" s="137" t="str">
        <f aca="false">IF(A425="","",IF(AND(mthbeg&lt;=A424,mthend&gt;=A424),1,0))</f>
        <v/>
      </c>
      <c r="AU424" s="137" t="str">
        <f aca="false">IF(A425="","",AO424*AT424)</f>
        <v/>
      </c>
      <c r="AW424" s="195" t="str">
        <f aca="false">IF($A425="","",AL424*$E424)</f>
        <v/>
      </c>
      <c r="AX424" s="195" t="str">
        <f aca="false">IF($A425="","",AM424*$E424)</f>
        <v/>
      </c>
      <c r="AY424" s="195" t="str">
        <f aca="false">IF($A425="","",AN424*$E424)</f>
        <v/>
      </c>
      <c r="BA424" s="195" t="str">
        <f aca="false">IF($A425="","",F424*Summary!$Q$10)</f>
        <v/>
      </c>
    </row>
    <row r="425" customFormat="false" ht="12.75" hidden="false" customHeight="false" outlineLevel="0" collapsed="false">
      <c r="A425" s="196" t="str">
        <f aca="false">IF(A424&lt;mthend,EDATE(A424,1),"")</f>
        <v/>
      </c>
      <c r="B425" s="197" t="str">
        <f aca="false">IF(A425&lt;mthend,B424,"")</f>
        <v/>
      </c>
      <c r="D425" s="197" t="str">
        <f aca="false">IF(A426&lt;&gt;"",B425+C425,"")</f>
        <v/>
      </c>
      <c r="E425" s="199" t="str">
        <f aca="false">IF(A426="","",IF(AND(AT425=1,$H$3=1),D425*AO425,IF($H$3=2,D425,"N/A")))</f>
        <v/>
      </c>
      <c r="F425" s="199" t="str">
        <f aca="false">IF(A426="","",E425*AS425)</f>
        <v/>
      </c>
      <c r="G425" s="200" t="str">
        <f aca="false">IF($A426="","",VLOOKUP($A425,Table,MATCH(G$4,Curves,0)))</f>
        <v/>
      </c>
      <c r="H425" s="201" t="str">
        <f aca="false">IF(A426="","",G425)</f>
        <v/>
      </c>
      <c r="J425" s="200" t="str">
        <f aca="false">IF($A426="","",VLOOKUP($A425,Table,MATCH(J$4,Curves,0)))</f>
        <v/>
      </c>
      <c r="K425" s="201" t="str">
        <f aca="false">IF(A426="","",J425)</f>
        <v/>
      </c>
      <c r="L425" s="185" t="n">
        <v>0</v>
      </c>
      <c r="M425" s="201" t="str">
        <f aca="false">IF(A426="","",L425)</f>
        <v/>
      </c>
      <c r="O425" s="200" t="str">
        <f aca="false">IF(A426="","",L425+J425+G425)</f>
        <v/>
      </c>
      <c r="P425" s="200" t="str">
        <f aca="false">IF(A426="","",M425+K425+H425)</f>
        <v/>
      </c>
      <c r="R425" s="200" t="str">
        <f aca="false">IF($A426="","",VLOOKUP($A425,Table,MATCH(R$4,Curves,0)))</f>
        <v/>
      </c>
      <c r="S425" s="201" t="str">
        <f aca="false">IF(A426="","",R425)</f>
        <v/>
      </c>
      <c r="T425" s="200" t="str">
        <f aca="false">IF($A426="","",VLOOKUP($A425,Table,MATCH(T$4,Curves,0)))</f>
        <v/>
      </c>
      <c r="U425" s="201" t="str">
        <f aca="false">IF(A426="","",T425)</f>
        <v/>
      </c>
      <c r="V425" s="205" t="str">
        <f aca="false">IF($A426="","",IF(AND(MONTH(A425)&gt;3,MONTH(A425)&lt;11),(T425+R425+G425)*Summary!$T$10/(1-Summary!$T$10),(T425+R425+G425)*Summary!$U$10/(1-Summary!$U$10)))</f>
        <v/>
      </c>
      <c r="W425" s="200" t="str">
        <f aca="false">IF($A426="","",(T425+R425+G425+V425))</f>
        <v/>
      </c>
      <c r="X425" s="200" t="str">
        <f aca="false">IF($A426="","",(U425+S425+H425+V425))</f>
        <v/>
      </c>
      <c r="Y425" s="202"/>
      <c r="Z425" s="185"/>
      <c r="AJ425" s="77"/>
      <c r="AK425" s="77"/>
      <c r="AL425" s="77"/>
      <c r="AM425" s="77"/>
      <c r="AN425" s="77"/>
      <c r="AO425" s="137" t="str">
        <f aca="false">IF(A426="","",A426-A425)</f>
        <v/>
      </c>
      <c r="AP425" s="212" t="str">
        <f aca="false">IF(A426="","",CHOOSE(F$3,A426+24,A425))</f>
        <v/>
      </c>
      <c r="AQ425" s="209" t="str">
        <f aca="false">IF(A426="","",AP425-$E$1)</f>
        <v/>
      </c>
      <c r="AR425" s="185" t="n">
        <f aca="false">'ANR OK vs ML7'!AR425</f>
        <v>0.1</v>
      </c>
      <c r="AS425" s="213" t="str">
        <f aca="false">IF(A426="","",1/(1+CHOOSE(F$3,(AR426+($I$3/10000))/2,(AR425+($I$3/10000))/2))^(2*AQ425/365.25))</f>
        <v/>
      </c>
      <c r="AT425" s="137" t="str">
        <f aca="false">IF(A426="","",IF(AND(mthbeg&lt;=A425,mthend&gt;=A425),1,0))</f>
        <v/>
      </c>
      <c r="AU425" s="137" t="str">
        <f aca="false">IF(A426="","",AO425*AT425)</f>
        <v/>
      </c>
      <c r="AW425" s="195" t="str">
        <f aca="false">IF($A426="","",AL425*$E425)</f>
        <v/>
      </c>
      <c r="AX425" s="195" t="str">
        <f aca="false">IF($A426="","",AM425*$E425)</f>
        <v/>
      </c>
      <c r="AY425" s="195" t="str">
        <f aca="false">IF($A426="","",AN425*$E425)</f>
        <v/>
      </c>
      <c r="BA425" s="195" t="str">
        <f aca="false">IF($A426="","",F425*Summary!$Q$10)</f>
        <v/>
      </c>
    </row>
    <row r="426" customFormat="false" ht="12.75" hidden="false" customHeight="false" outlineLevel="0" collapsed="false">
      <c r="A426" s="196" t="str">
        <f aca="false">IF(A425&lt;mthend,EDATE(A425,1),"")</f>
        <v/>
      </c>
      <c r="B426" s="197" t="str">
        <f aca="false">IF(A426&lt;mthend,B425,"")</f>
        <v/>
      </c>
      <c r="D426" s="197" t="str">
        <f aca="false">IF(A427&lt;&gt;"",B426+C426,"")</f>
        <v/>
      </c>
      <c r="E426" s="199" t="str">
        <f aca="false">IF(A427="","",IF(AND(AT426=1,$H$3=1),D426*AO426,IF($H$3=2,D426,"N/A")))</f>
        <v/>
      </c>
      <c r="F426" s="199" t="str">
        <f aca="false">IF(A427="","",E426*AS426)</f>
        <v/>
      </c>
      <c r="G426" s="200" t="str">
        <f aca="false">IF($A427="","",VLOOKUP($A426,Table,MATCH(G$4,Curves,0)))</f>
        <v/>
      </c>
      <c r="H426" s="201" t="str">
        <f aca="false">IF(A427="","",G426)</f>
        <v/>
      </c>
      <c r="J426" s="200" t="str">
        <f aca="false">IF($A427="","",VLOOKUP($A426,Table,MATCH(J$4,Curves,0)))</f>
        <v/>
      </c>
      <c r="K426" s="201" t="str">
        <f aca="false">IF(A427="","",J426)</f>
        <v/>
      </c>
      <c r="L426" s="185" t="n">
        <v>0</v>
      </c>
      <c r="M426" s="201" t="str">
        <f aca="false">IF(A427="","",L426)</f>
        <v/>
      </c>
      <c r="O426" s="200" t="str">
        <f aca="false">IF(A427="","",L426+J426+G426)</f>
        <v/>
      </c>
      <c r="P426" s="200" t="str">
        <f aca="false">IF(A427="","",M426+K426+H426)</f>
        <v/>
      </c>
      <c r="R426" s="200" t="str">
        <f aca="false">IF($A427="","",VLOOKUP($A426,Table,MATCH(R$4,Curves,0)))</f>
        <v/>
      </c>
      <c r="S426" s="201" t="str">
        <f aca="false">IF(A427="","",R426)</f>
        <v/>
      </c>
      <c r="T426" s="200" t="str">
        <f aca="false">IF($A427="","",VLOOKUP($A426,Table,MATCH(T$4,Curves,0)))</f>
        <v/>
      </c>
      <c r="U426" s="201" t="str">
        <f aca="false">IF(A427="","",T426)</f>
        <v/>
      </c>
      <c r="V426" s="205" t="str">
        <f aca="false">IF($A427="","",IF(AND(MONTH(A426)&gt;3,MONTH(A426)&lt;11),(T426+R426+G426)*Summary!$T$10/(1-Summary!$T$10),(T426+R426+G426)*Summary!$U$10/(1-Summary!$U$10)))</f>
        <v/>
      </c>
      <c r="W426" s="200" t="str">
        <f aca="false">IF($A427="","",(T426+R426+G426+V426))</f>
        <v/>
      </c>
      <c r="X426" s="200" t="str">
        <f aca="false">IF($A427="","",(U426+S426+H426+V426))</f>
        <v/>
      </c>
      <c r="Y426" s="202"/>
      <c r="Z426" s="185"/>
      <c r="AJ426" s="77"/>
      <c r="AK426" s="77"/>
      <c r="AL426" s="77"/>
      <c r="AM426" s="77"/>
      <c r="AN426" s="77"/>
      <c r="AO426" s="137" t="str">
        <f aca="false">IF(A427="","",A427-A426)</f>
        <v/>
      </c>
      <c r="AP426" s="212" t="str">
        <f aca="false">IF(A427="","",CHOOSE(F$3,A427+24,A426))</f>
        <v/>
      </c>
      <c r="AQ426" s="209" t="str">
        <f aca="false">IF(A427="","",AP426-$E$1)</f>
        <v/>
      </c>
      <c r="AR426" s="185" t="n">
        <f aca="false">'ANR OK vs ML7'!AR426</f>
        <v>0.1</v>
      </c>
      <c r="AS426" s="213" t="str">
        <f aca="false">IF(A427="","",1/(1+CHOOSE(F$3,(AR427+($I$3/10000))/2,(AR426+($I$3/10000))/2))^(2*AQ426/365.25))</f>
        <v/>
      </c>
      <c r="AT426" s="137" t="str">
        <f aca="false">IF(A427="","",IF(AND(mthbeg&lt;=A426,mthend&gt;=A426),1,0))</f>
        <v/>
      </c>
      <c r="AU426" s="137" t="str">
        <f aca="false">IF(A427="","",AO426*AT426)</f>
        <v/>
      </c>
      <c r="AW426" s="195" t="str">
        <f aca="false">IF($A427="","",AL426*$E426)</f>
        <v/>
      </c>
      <c r="AX426" s="195" t="str">
        <f aca="false">IF($A427="","",AM426*$E426)</f>
        <v/>
      </c>
      <c r="AY426" s="195" t="str">
        <f aca="false">IF($A427="","",AN426*$E426)</f>
        <v/>
      </c>
      <c r="BA426" s="195" t="str">
        <f aca="false">IF($A427="","",F426*Summary!$Q$10)</f>
        <v/>
      </c>
    </row>
    <row r="427" customFormat="false" ht="12.75" hidden="false" customHeight="false" outlineLevel="0" collapsed="false">
      <c r="A427" s="196" t="str">
        <f aca="false">IF(A426&lt;mthend,EDATE(A426,1),"")</f>
        <v/>
      </c>
      <c r="B427" s="197" t="str">
        <f aca="false">IF(A427&lt;mthend,B426,"")</f>
        <v/>
      </c>
      <c r="D427" s="197" t="str">
        <f aca="false">IF(A428&lt;&gt;"",B427+C427,"")</f>
        <v/>
      </c>
      <c r="E427" s="199" t="str">
        <f aca="false">IF(A428="","",IF(AND(AT427=1,$H$3=1),D427*AO427,IF($H$3=2,D427,"N/A")))</f>
        <v/>
      </c>
      <c r="F427" s="199" t="str">
        <f aca="false">IF(A428="","",E427*AS427)</f>
        <v/>
      </c>
      <c r="G427" s="200" t="str">
        <f aca="false">IF($A428="","",VLOOKUP($A427,Table,MATCH(G$4,Curves,0)))</f>
        <v/>
      </c>
      <c r="H427" s="201" t="str">
        <f aca="false">IF(A428="","",G427)</f>
        <v/>
      </c>
      <c r="J427" s="200" t="str">
        <f aca="false">IF($A428="","",VLOOKUP($A427,Table,MATCH(J$4,Curves,0)))</f>
        <v/>
      </c>
      <c r="K427" s="201" t="str">
        <f aca="false">IF(A428="","",J427)</f>
        <v/>
      </c>
      <c r="L427" s="185" t="n">
        <v>0</v>
      </c>
      <c r="M427" s="201" t="str">
        <f aca="false">IF(A428="","",L427)</f>
        <v/>
      </c>
      <c r="O427" s="200" t="str">
        <f aca="false">IF(A428="","",L427+J427+G427)</f>
        <v/>
      </c>
      <c r="P427" s="200" t="str">
        <f aca="false">IF(A428="","",M427+K427+H427)</f>
        <v/>
      </c>
      <c r="R427" s="200" t="str">
        <f aca="false">IF($A428="","",VLOOKUP($A427,Table,MATCH(R$4,Curves,0)))</f>
        <v/>
      </c>
      <c r="S427" s="201" t="str">
        <f aca="false">IF(A428="","",R427)</f>
        <v/>
      </c>
      <c r="T427" s="200" t="str">
        <f aca="false">IF($A428="","",VLOOKUP($A427,Table,MATCH(T$4,Curves,0)))</f>
        <v/>
      </c>
      <c r="U427" s="201" t="str">
        <f aca="false">IF(A428="","",T427)</f>
        <v/>
      </c>
      <c r="V427" s="205" t="str">
        <f aca="false">IF($A428="","",IF(AND(MONTH(A427)&gt;3,MONTH(A427)&lt;11),(T427+R427+G427)*Summary!$T$10/(1-Summary!$T$10),(T427+R427+G427)*Summary!$U$10/(1-Summary!$U$10)))</f>
        <v/>
      </c>
      <c r="W427" s="200" t="str">
        <f aca="false">IF($A428="","",(T427+R427+G427+V427))</f>
        <v/>
      </c>
      <c r="X427" s="200" t="str">
        <f aca="false">IF($A428="","",(U427+S427+H427+V427))</f>
        <v/>
      </c>
      <c r="Y427" s="202"/>
      <c r="Z427" s="185"/>
      <c r="AJ427" s="77"/>
      <c r="AK427" s="77"/>
      <c r="AL427" s="77"/>
      <c r="AM427" s="77"/>
      <c r="AN427" s="77"/>
      <c r="AO427" s="137" t="str">
        <f aca="false">IF(A428="","",A428-A427)</f>
        <v/>
      </c>
      <c r="AP427" s="212" t="str">
        <f aca="false">IF(A428="","",CHOOSE(F$3,A428+24,A427))</f>
        <v/>
      </c>
      <c r="AQ427" s="209" t="str">
        <f aca="false">IF(A428="","",AP427-$E$1)</f>
        <v/>
      </c>
      <c r="AR427" s="185" t="n">
        <f aca="false">'ANR OK vs ML7'!AR427</f>
        <v>0.1</v>
      </c>
      <c r="AS427" s="213" t="str">
        <f aca="false">IF(A428="","",1/(1+CHOOSE(F$3,(AR428+($I$3/10000))/2,(AR427+($I$3/10000))/2))^(2*AQ427/365.25))</f>
        <v/>
      </c>
      <c r="AT427" s="137" t="str">
        <f aca="false">IF(A428="","",IF(AND(mthbeg&lt;=A427,mthend&gt;=A427),1,0))</f>
        <v/>
      </c>
      <c r="AU427" s="137" t="str">
        <f aca="false">IF(A428="","",AO427*AT427)</f>
        <v/>
      </c>
      <c r="AW427" s="195" t="str">
        <f aca="false">IF($A428="","",AL427*$E427)</f>
        <v/>
      </c>
      <c r="AX427" s="195" t="str">
        <f aca="false">IF($A428="","",AM427*$E427)</f>
        <v/>
      </c>
      <c r="AY427" s="195" t="str">
        <f aca="false">IF($A428="","",AN427*$E427)</f>
        <v/>
      </c>
      <c r="BA427" s="195" t="str">
        <f aca="false">IF($A428="","",F427*Summary!$Q$10)</f>
        <v/>
      </c>
    </row>
    <row r="428" customFormat="false" ht="12.75" hidden="false" customHeight="false" outlineLevel="0" collapsed="false">
      <c r="A428" s="196" t="str">
        <f aca="false">IF(A427&lt;mthend,EDATE(A427,1),"")</f>
        <v/>
      </c>
      <c r="B428" s="197" t="str">
        <f aca="false">IF(A428&lt;mthend,B427,"")</f>
        <v/>
      </c>
      <c r="D428" s="197" t="str">
        <f aca="false">IF(A429&lt;&gt;"",B428+C428,"")</f>
        <v/>
      </c>
      <c r="E428" s="199" t="str">
        <f aca="false">IF(A429="","",IF(AND(AT428=1,$H$3=1),D428*AO428,IF($H$3=2,D428,"N/A")))</f>
        <v/>
      </c>
      <c r="F428" s="199" t="str">
        <f aca="false">IF(A429="","",E428*AS428)</f>
        <v/>
      </c>
      <c r="G428" s="200" t="str">
        <f aca="false">IF($A429="","",VLOOKUP($A428,Table,MATCH(G$4,Curves,0)))</f>
        <v/>
      </c>
      <c r="H428" s="201" t="str">
        <f aca="false">IF(A429="","",G428)</f>
        <v/>
      </c>
      <c r="J428" s="200" t="str">
        <f aca="false">IF($A429="","",VLOOKUP($A428,Table,MATCH(J$4,Curves,0)))</f>
        <v/>
      </c>
      <c r="K428" s="201" t="str">
        <f aca="false">IF(A429="","",J428)</f>
        <v/>
      </c>
      <c r="L428" s="185" t="n">
        <v>0</v>
      </c>
      <c r="M428" s="201" t="str">
        <f aca="false">IF(A429="","",L428)</f>
        <v/>
      </c>
      <c r="O428" s="200" t="str">
        <f aca="false">IF(A429="","",L428+J428+G428)</f>
        <v/>
      </c>
      <c r="P428" s="200" t="str">
        <f aca="false">IF(A429="","",M428+K428+H428)</f>
        <v/>
      </c>
      <c r="R428" s="200" t="str">
        <f aca="false">IF($A429="","",VLOOKUP($A428,Table,MATCH(R$4,Curves,0)))</f>
        <v/>
      </c>
      <c r="S428" s="201" t="str">
        <f aca="false">IF(A429="","",R428)</f>
        <v/>
      </c>
      <c r="T428" s="200" t="str">
        <f aca="false">IF($A429="","",VLOOKUP($A428,Table,MATCH(T$4,Curves,0)))</f>
        <v/>
      </c>
      <c r="U428" s="201" t="str">
        <f aca="false">IF(A429="","",T428)</f>
        <v/>
      </c>
      <c r="V428" s="205" t="str">
        <f aca="false">IF($A429="","",IF(AND(MONTH(A428)&gt;3,MONTH(A428)&lt;11),(T428+R428+G428)*Summary!$T$10/(1-Summary!$T$10),(T428+R428+G428)*Summary!$U$10/(1-Summary!$U$10)))</f>
        <v/>
      </c>
      <c r="W428" s="200" t="str">
        <f aca="false">IF($A429="","",(T428+R428+G428+V428))</f>
        <v/>
      </c>
      <c r="X428" s="200" t="str">
        <f aca="false">IF($A429="","",(U428+S428+H428+V428))</f>
        <v/>
      </c>
      <c r="Y428" s="202"/>
      <c r="Z428" s="185"/>
      <c r="AJ428" s="77"/>
      <c r="AK428" s="77"/>
      <c r="AL428" s="77"/>
      <c r="AM428" s="77"/>
      <c r="AN428" s="77"/>
      <c r="AO428" s="137" t="str">
        <f aca="false">IF(A429="","",A429-A428)</f>
        <v/>
      </c>
      <c r="AP428" s="212" t="str">
        <f aca="false">IF(A429="","",CHOOSE(F$3,A429+24,A428))</f>
        <v/>
      </c>
      <c r="AQ428" s="209" t="str">
        <f aca="false">IF(A429="","",AP428-$E$1)</f>
        <v/>
      </c>
      <c r="AR428" s="185" t="n">
        <f aca="false">'ANR OK vs ML7'!AR428</f>
        <v>0.1</v>
      </c>
      <c r="AS428" s="213" t="str">
        <f aca="false">IF(A429="","",1/(1+CHOOSE(F$3,(AR429+($I$3/10000))/2,(AR428+($I$3/10000))/2))^(2*AQ428/365.25))</f>
        <v/>
      </c>
      <c r="AT428" s="137" t="str">
        <f aca="false">IF(A429="","",IF(AND(mthbeg&lt;=A428,mthend&gt;=A428),1,0))</f>
        <v/>
      </c>
      <c r="AU428" s="137" t="str">
        <f aca="false">IF(A429="","",AO428*AT428)</f>
        <v/>
      </c>
      <c r="AW428" s="195" t="str">
        <f aca="false">IF($A429="","",AL428*$E428)</f>
        <v/>
      </c>
      <c r="AX428" s="195" t="str">
        <f aca="false">IF($A429="","",AM428*$E428)</f>
        <v/>
      </c>
      <c r="AY428" s="195" t="str">
        <f aca="false">IF($A429="","",AN428*$E428)</f>
        <v/>
      </c>
      <c r="BA428" s="195" t="str">
        <f aca="false">IF($A429="","",F428*Summary!$Q$10)</f>
        <v/>
      </c>
    </row>
    <row r="429" customFormat="false" ht="12.75" hidden="false" customHeight="false" outlineLevel="0" collapsed="false">
      <c r="A429" s="196" t="str">
        <f aca="false">IF(A428&lt;mthend,EDATE(A428,1),"")</f>
        <v/>
      </c>
      <c r="B429" s="197" t="str">
        <f aca="false">IF(A429&lt;mthend,B428,"")</f>
        <v/>
      </c>
      <c r="D429" s="197" t="str">
        <f aca="false">IF(A430&lt;&gt;"",B429+C429,"")</f>
        <v/>
      </c>
      <c r="E429" s="199" t="str">
        <f aca="false">IF(A430="","",IF(AND(AT429=1,$H$3=1),D429*AO429,IF($H$3=2,D429,"N/A")))</f>
        <v/>
      </c>
      <c r="F429" s="199" t="str">
        <f aca="false">IF(A430="","",E429*AS429)</f>
        <v/>
      </c>
      <c r="G429" s="200" t="str">
        <f aca="false">IF($A430="","",VLOOKUP($A429,Table,MATCH(G$4,Curves,0)))</f>
        <v/>
      </c>
      <c r="H429" s="201" t="str">
        <f aca="false">IF(A430="","",G429)</f>
        <v/>
      </c>
      <c r="J429" s="200" t="str">
        <f aca="false">IF($A430="","",VLOOKUP($A429,Table,MATCH(J$4,Curves,0)))</f>
        <v/>
      </c>
      <c r="K429" s="201" t="str">
        <f aca="false">IF(A430="","",J429)</f>
        <v/>
      </c>
      <c r="L429" s="185" t="n">
        <v>0</v>
      </c>
      <c r="M429" s="201" t="str">
        <f aca="false">IF(A430="","",L429)</f>
        <v/>
      </c>
      <c r="O429" s="200" t="str">
        <f aca="false">IF(A430="","",L429+J429+G429)</f>
        <v/>
      </c>
      <c r="P429" s="200" t="str">
        <f aca="false">IF(A430="","",M429+K429+H429)</f>
        <v/>
      </c>
      <c r="R429" s="200" t="str">
        <f aca="false">IF($A430="","",VLOOKUP($A429,Table,MATCH(R$4,Curves,0)))</f>
        <v/>
      </c>
      <c r="S429" s="201" t="str">
        <f aca="false">IF(A430="","",R429)</f>
        <v/>
      </c>
      <c r="T429" s="200" t="str">
        <f aca="false">IF($A430="","",VLOOKUP($A429,Table,MATCH(T$4,Curves,0)))</f>
        <v/>
      </c>
      <c r="U429" s="201" t="str">
        <f aca="false">IF(A430="","",T429)</f>
        <v/>
      </c>
      <c r="V429" s="205" t="str">
        <f aca="false">IF($A430="","",IF(AND(MONTH(A429)&gt;3,MONTH(A429)&lt;11),(T429+R429+G429)*Summary!$T$10/(1-Summary!$T$10),(T429+R429+G429)*Summary!$U$10/(1-Summary!$U$10)))</f>
        <v/>
      </c>
      <c r="W429" s="200" t="str">
        <f aca="false">IF($A430="","",(T429+R429+G429+V429))</f>
        <v/>
      </c>
      <c r="X429" s="200" t="str">
        <f aca="false">IF($A430="","",(U429+S429+H429+V429))</f>
        <v/>
      </c>
      <c r="Y429" s="202"/>
      <c r="Z429" s="185"/>
      <c r="AJ429" s="77"/>
      <c r="AK429" s="77"/>
      <c r="AL429" s="77"/>
      <c r="AM429" s="77"/>
      <c r="AN429" s="77"/>
      <c r="AO429" s="137" t="str">
        <f aca="false">IF(A430="","",A430-A429)</f>
        <v/>
      </c>
      <c r="AP429" s="212" t="str">
        <f aca="false">IF(A430="","",CHOOSE(F$3,A430+24,A429))</f>
        <v/>
      </c>
      <c r="AQ429" s="209" t="str">
        <f aca="false">IF(A430="","",AP429-$E$1)</f>
        <v/>
      </c>
      <c r="AR429" s="185" t="n">
        <f aca="false">'ANR OK vs ML7'!AR429</f>
        <v>0.1</v>
      </c>
      <c r="AS429" s="213" t="str">
        <f aca="false">IF(A430="","",1/(1+CHOOSE(F$3,(AR430+($I$3/10000))/2,(AR429+($I$3/10000))/2))^(2*AQ429/365.25))</f>
        <v/>
      </c>
      <c r="AT429" s="137" t="str">
        <f aca="false">IF(A430="","",IF(AND(mthbeg&lt;=A429,mthend&gt;=A429),1,0))</f>
        <v/>
      </c>
      <c r="AU429" s="137" t="str">
        <f aca="false">IF(A430="","",AO429*AT429)</f>
        <v/>
      </c>
      <c r="AW429" s="195" t="str">
        <f aca="false">IF($A430="","",AL429*$E429)</f>
        <v/>
      </c>
      <c r="AX429" s="195" t="str">
        <f aca="false">IF($A430="","",AM429*$E429)</f>
        <v/>
      </c>
      <c r="AY429" s="195" t="str">
        <f aca="false">IF($A430="","",AN429*$E429)</f>
        <v/>
      </c>
      <c r="BA429" s="195" t="str">
        <f aca="false">IF($A430="","",F429*Summary!$Q$10)</f>
        <v/>
      </c>
    </row>
    <row r="430" customFormat="false" ht="12.75" hidden="false" customHeight="false" outlineLevel="0" collapsed="false">
      <c r="A430" s="196" t="str">
        <f aca="false">IF(A429&lt;mthend,EDATE(A429,1),"")</f>
        <v/>
      </c>
      <c r="B430" s="197" t="str">
        <f aca="false">IF(A430&lt;mthend,B429,"")</f>
        <v/>
      </c>
      <c r="D430" s="197" t="str">
        <f aca="false">IF(A431&lt;&gt;"",B430+C430,"")</f>
        <v/>
      </c>
      <c r="E430" s="199" t="str">
        <f aca="false">IF(A431="","",IF(AND(AT430=1,$H$3=1),D430*AO430,IF($H$3=2,D430,"N/A")))</f>
        <v/>
      </c>
      <c r="F430" s="199" t="str">
        <f aca="false">IF(A431="","",E430*AS430)</f>
        <v/>
      </c>
      <c r="G430" s="200" t="str">
        <f aca="false">IF($A431="","",VLOOKUP($A430,Table,MATCH(G$4,Curves,0)))</f>
        <v/>
      </c>
      <c r="H430" s="201" t="str">
        <f aca="false">IF(A431="","",G430)</f>
        <v/>
      </c>
      <c r="J430" s="200" t="str">
        <f aca="false">IF($A431="","",VLOOKUP($A430,Table,MATCH(J$4,Curves,0)))</f>
        <v/>
      </c>
      <c r="K430" s="201" t="str">
        <f aca="false">IF(A431="","",J430)</f>
        <v/>
      </c>
      <c r="L430" s="185" t="n">
        <v>0</v>
      </c>
      <c r="M430" s="201" t="str">
        <f aca="false">IF(A431="","",L430)</f>
        <v/>
      </c>
      <c r="O430" s="200" t="str">
        <f aca="false">IF(A431="","",L430+J430+G430)</f>
        <v/>
      </c>
      <c r="P430" s="200" t="str">
        <f aca="false">IF(A431="","",M430+K430+H430)</f>
        <v/>
      </c>
      <c r="R430" s="200" t="str">
        <f aca="false">IF($A431="","",VLOOKUP($A430,Table,MATCH(R$4,Curves,0)))</f>
        <v/>
      </c>
      <c r="S430" s="201" t="str">
        <f aca="false">IF(A431="","",R430)</f>
        <v/>
      </c>
      <c r="T430" s="200" t="str">
        <f aca="false">IF($A431="","",VLOOKUP($A430,Table,MATCH(T$4,Curves,0)))</f>
        <v/>
      </c>
      <c r="U430" s="201" t="str">
        <f aca="false">IF(A431="","",T430)</f>
        <v/>
      </c>
      <c r="V430" s="205" t="str">
        <f aca="false">IF($A431="","",IF(AND(MONTH(A430)&gt;3,MONTH(A430)&lt;11),(T430+R430+G430)*Summary!$T$10/(1-Summary!$T$10),(T430+R430+G430)*Summary!$U$10/(1-Summary!$U$10)))</f>
        <v/>
      </c>
      <c r="W430" s="200" t="str">
        <f aca="false">IF($A431="","",(T430+R430+G430+V430))</f>
        <v/>
      </c>
      <c r="X430" s="200" t="str">
        <f aca="false">IF($A431="","",(U430+S430+H430+V430))</f>
        <v/>
      </c>
      <c r="Y430" s="202"/>
      <c r="Z430" s="185"/>
      <c r="AJ430" s="77"/>
      <c r="AK430" s="77"/>
      <c r="AL430" s="77"/>
      <c r="AM430" s="77"/>
      <c r="AN430" s="77"/>
      <c r="AO430" s="137" t="str">
        <f aca="false">IF(A431="","",A431-A430)</f>
        <v/>
      </c>
      <c r="AP430" s="212" t="str">
        <f aca="false">IF(A431="","",CHOOSE(F$3,A431+24,A430))</f>
        <v/>
      </c>
      <c r="AQ430" s="209" t="str">
        <f aca="false">IF(A431="","",AP430-$E$1)</f>
        <v/>
      </c>
      <c r="AR430" s="185" t="n">
        <f aca="false">'ANR OK vs ML7'!AR430</f>
        <v>0.1</v>
      </c>
      <c r="AS430" s="213" t="str">
        <f aca="false">IF(A431="","",1/(1+CHOOSE(F$3,(AR431+($I$3/10000))/2,(AR430+($I$3/10000))/2))^(2*AQ430/365.25))</f>
        <v/>
      </c>
      <c r="AT430" s="137" t="str">
        <f aca="false">IF(A431="","",IF(AND(mthbeg&lt;=A430,mthend&gt;=A430),1,0))</f>
        <v/>
      </c>
      <c r="AU430" s="137" t="str">
        <f aca="false">IF(A431="","",AO430*AT430)</f>
        <v/>
      </c>
      <c r="AW430" s="195" t="str">
        <f aca="false">IF($A431="","",AL430*$E430)</f>
        <v/>
      </c>
      <c r="AX430" s="195" t="str">
        <f aca="false">IF($A431="","",AM430*$E430)</f>
        <v/>
      </c>
      <c r="AY430" s="195" t="str">
        <f aca="false">IF($A431="","",AN430*$E430)</f>
        <v/>
      </c>
      <c r="BA430" s="195" t="str">
        <f aca="false">IF($A431="","",F430*Summary!$Q$10)</f>
        <v/>
      </c>
    </row>
    <row r="431" customFormat="false" ht="12.75" hidden="false" customHeight="false" outlineLevel="0" collapsed="false">
      <c r="A431" s="196" t="str">
        <f aca="false">IF(A430&lt;mthend,EDATE(A430,1),"")</f>
        <v/>
      </c>
      <c r="B431" s="197" t="str">
        <f aca="false">IF(A431&lt;mthend,B430,"")</f>
        <v/>
      </c>
      <c r="D431" s="197" t="str">
        <f aca="false">IF(A432&lt;&gt;"",B431+C431,"")</f>
        <v/>
      </c>
      <c r="E431" s="199" t="str">
        <f aca="false">IF(A432="","",IF(AND(AT431=1,$H$3=1),D431*AO431,IF($H$3=2,D431,"N/A")))</f>
        <v/>
      </c>
      <c r="F431" s="199" t="str">
        <f aca="false">IF(A432="","",E431*AS431)</f>
        <v/>
      </c>
      <c r="G431" s="200" t="str">
        <f aca="false">IF($A432="","",VLOOKUP($A431,Table,MATCH(G$4,Curves,0)))</f>
        <v/>
      </c>
      <c r="H431" s="201" t="str">
        <f aca="false">IF(A432="","",G431)</f>
        <v/>
      </c>
      <c r="J431" s="200" t="str">
        <f aca="false">IF($A432="","",VLOOKUP($A431,Table,MATCH(J$4,Curves,0)))</f>
        <v/>
      </c>
      <c r="K431" s="201" t="str">
        <f aca="false">IF(A432="","",J431)</f>
        <v/>
      </c>
      <c r="L431" s="185" t="n">
        <v>0</v>
      </c>
      <c r="M431" s="201" t="str">
        <f aca="false">IF(A432="","",L431)</f>
        <v/>
      </c>
      <c r="O431" s="200" t="str">
        <f aca="false">IF(A432="","",L431+J431+G431)</f>
        <v/>
      </c>
      <c r="P431" s="200" t="str">
        <f aca="false">IF(A432="","",M431+K431+H431)</f>
        <v/>
      </c>
      <c r="R431" s="200" t="str">
        <f aca="false">IF($A432="","",VLOOKUP($A431,Table,MATCH(R$4,Curves,0)))</f>
        <v/>
      </c>
      <c r="S431" s="201" t="str">
        <f aca="false">IF(A432="","",R431)</f>
        <v/>
      </c>
      <c r="T431" s="200" t="str">
        <f aca="false">IF($A432="","",VLOOKUP($A431,Table,MATCH(T$4,Curves,0)))</f>
        <v/>
      </c>
      <c r="U431" s="201" t="str">
        <f aca="false">IF(A432="","",T431)</f>
        <v/>
      </c>
      <c r="V431" s="205" t="str">
        <f aca="false">IF($A432="","",IF(AND(MONTH(A431)&gt;3,MONTH(A431)&lt;11),(T431+R431+G431)*Summary!$T$10/(1-Summary!$T$10),(T431+R431+G431)*Summary!$U$10/(1-Summary!$U$10)))</f>
        <v/>
      </c>
      <c r="W431" s="200" t="str">
        <f aca="false">IF($A432="","",(T431+R431+G431+V431))</f>
        <v/>
      </c>
      <c r="X431" s="200" t="str">
        <f aca="false">IF($A432="","",(U431+S431+H431+V431))</f>
        <v/>
      </c>
      <c r="Y431" s="202"/>
      <c r="Z431" s="185"/>
      <c r="AJ431" s="77"/>
      <c r="AK431" s="77"/>
      <c r="AL431" s="77"/>
      <c r="AM431" s="77"/>
      <c r="AN431" s="77"/>
      <c r="AO431" s="137" t="str">
        <f aca="false">IF(A432="","",A432-A431)</f>
        <v/>
      </c>
      <c r="AP431" s="212" t="str">
        <f aca="false">IF(A432="","",CHOOSE(F$3,A432+24,A431))</f>
        <v/>
      </c>
      <c r="AQ431" s="209" t="str">
        <f aca="false">IF(A432="","",AP431-$E$1)</f>
        <v/>
      </c>
      <c r="AR431" s="185" t="n">
        <f aca="false">'ANR OK vs ML7'!AR431</f>
        <v>0.1</v>
      </c>
      <c r="AS431" s="213" t="str">
        <f aca="false">IF(A432="","",1/(1+CHOOSE(F$3,(AR432+($I$3/10000))/2,(AR431+($I$3/10000))/2))^(2*AQ431/365.25))</f>
        <v/>
      </c>
      <c r="AT431" s="137" t="str">
        <f aca="false">IF(A432="","",IF(AND(mthbeg&lt;=A431,mthend&gt;=A431),1,0))</f>
        <v/>
      </c>
      <c r="AU431" s="137" t="str">
        <f aca="false">IF(A432="","",AO431*AT431)</f>
        <v/>
      </c>
      <c r="AW431" s="195" t="str">
        <f aca="false">IF($A432="","",AL431*$E431)</f>
        <v/>
      </c>
      <c r="AX431" s="195" t="str">
        <f aca="false">IF($A432="","",AM431*$E431)</f>
        <v/>
      </c>
      <c r="AY431" s="195" t="str">
        <f aca="false">IF($A432="","",AN431*$E431)</f>
        <v/>
      </c>
      <c r="BA431" s="195" t="str">
        <f aca="false">IF($A432="","",F431*Summary!$Q$10)</f>
        <v/>
      </c>
    </row>
    <row r="432" customFormat="false" ht="12.75" hidden="false" customHeight="false" outlineLevel="0" collapsed="false">
      <c r="A432" s="196" t="str">
        <f aca="false">IF(A431&lt;mthend,EDATE(A431,1),"")</f>
        <v/>
      </c>
      <c r="B432" s="197" t="str">
        <f aca="false">IF(A432&lt;mthend,B431,"")</f>
        <v/>
      </c>
      <c r="D432" s="197" t="str">
        <f aca="false">IF(A433&lt;&gt;"",B432+C432,"")</f>
        <v/>
      </c>
      <c r="E432" s="199" t="str">
        <f aca="false">IF(A433="","",IF(AND(AT432=1,$H$3=1),D432*AO432,IF($H$3=2,D432,"N/A")))</f>
        <v/>
      </c>
      <c r="F432" s="199" t="str">
        <f aca="false">IF(A433="","",E432*AS432)</f>
        <v/>
      </c>
      <c r="G432" s="200" t="str">
        <f aca="false">IF($A433="","",VLOOKUP($A432,Table,MATCH(G$4,Curves,0)))</f>
        <v/>
      </c>
      <c r="H432" s="201" t="str">
        <f aca="false">IF(A433="","",G432)</f>
        <v/>
      </c>
      <c r="J432" s="200" t="str">
        <f aca="false">IF($A433="","",VLOOKUP($A432,Table,MATCH(J$4,Curves,0)))</f>
        <v/>
      </c>
      <c r="K432" s="201" t="str">
        <f aca="false">IF(A433="","",J432)</f>
        <v/>
      </c>
      <c r="L432" s="185" t="n">
        <v>0</v>
      </c>
      <c r="M432" s="201" t="str">
        <f aca="false">IF(A433="","",L432)</f>
        <v/>
      </c>
      <c r="O432" s="200" t="str">
        <f aca="false">IF(A433="","",L432+J432+G432)</f>
        <v/>
      </c>
      <c r="P432" s="200" t="str">
        <f aca="false">IF(A433="","",M432+K432+H432)</f>
        <v/>
      </c>
      <c r="R432" s="200" t="str">
        <f aca="false">IF($A433="","",VLOOKUP($A432,Table,MATCH(R$4,Curves,0)))</f>
        <v/>
      </c>
      <c r="S432" s="201" t="str">
        <f aca="false">IF(A433="","",R432)</f>
        <v/>
      </c>
      <c r="T432" s="200" t="str">
        <f aca="false">IF($A433="","",VLOOKUP($A432,Table,MATCH(T$4,Curves,0)))</f>
        <v/>
      </c>
      <c r="U432" s="201" t="str">
        <f aca="false">IF(A433="","",T432)</f>
        <v/>
      </c>
      <c r="V432" s="205" t="str">
        <f aca="false">IF($A433="","",IF(AND(MONTH(A432)&gt;3,MONTH(A432)&lt;11),(T432+R432+G432)*Summary!$T$10/(1-Summary!$T$10),(T432+R432+G432)*Summary!$U$10/(1-Summary!$U$10)))</f>
        <v/>
      </c>
      <c r="W432" s="200" t="str">
        <f aca="false">IF($A433="","",(T432+R432+G432+V432))</f>
        <v/>
      </c>
      <c r="X432" s="200" t="str">
        <f aca="false">IF($A433="","",(U432+S432+H432+V432))</f>
        <v/>
      </c>
      <c r="Y432" s="202"/>
      <c r="Z432" s="185"/>
      <c r="AJ432" s="77"/>
      <c r="AK432" s="77"/>
      <c r="AL432" s="77"/>
      <c r="AM432" s="77"/>
      <c r="AN432" s="77"/>
      <c r="AO432" s="137" t="str">
        <f aca="false">IF(A433="","",A433-A432)</f>
        <v/>
      </c>
      <c r="AP432" s="212" t="str">
        <f aca="false">IF(A433="","",CHOOSE(F$3,A433+24,A432))</f>
        <v/>
      </c>
      <c r="AQ432" s="209" t="str">
        <f aca="false">IF(A433="","",AP432-$E$1)</f>
        <v/>
      </c>
      <c r="AR432" s="185" t="n">
        <f aca="false">'ANR OK vs ML7'!AR432</f>
        <v>0.1</v>
      </c>
      <c r="AS432" s="213" t="str">
        <f aca="false">IF(A433="","",1/(1+CHOOSE(F$3,(AR433+($I$3/10000))/2,(AR432+($I$3/10000))/2))^(2*AQ432/365.25))</f>
        <v/>
      </c>
      <c r="AT432" s="137" t="str">
        <f aca="false">IF(A433="","",IF(AND(mthbeg&lt;=A432,mthend&gt;=A432),1,0))</f>
        <v/>
      </c>
      <c r="AU432" s="137" t="str">
        <f aca="false">IF(A433="","",AO432*AT432)</f>
        <v/>
      </c>
      <c r="AW432" s="195" t="str">
        <f aca="false">IF($A433="","",AL432*$E432)</f>
        <v/>
      </c>
      <c r="AX432" s="195" t="str">
        <f aca="false">IF($A433="","",AM432*$E432)</f>
        <v/>
      </c>
      <c r="AY432" s="195" t="str">
        <f aca="false">IF($A433="","",AN432*$E432)</f>
        <v/>
      </c>
      <c r="BA432" s="195" t="str">
        <f aca="false">IF($A433="","",F432*Summary!$Q$10)</f>
        <v/>
      </c>
    </row>
    <row r="433" customFormat="false" ht="12.75" hidden="false" customHeight="false" outlineLevel="0" collapsed="false">
      <c r="A433" s="196" t="str">
        <f aca="false">IF(A432&lt;mthend,EDATE(A432,1),"")</f>
        <v/>
      </c>
      <c r="B433" s="197" t="str">
        <f aca="false">IF(A433&lt;mthend,B432,"")</f>
        <v/>
      </c>
      <c r="D433" s="197" t="str">
        <f aca="false">IF(A434&lt;&gt;"",B433+C433,"")</f>
        <v/>
      </c>
      <c r="E433" s="199" t="str">
        <f aca="false">IF(A434="","",IF(AND(AT433=1,$H$3=1),D433*AO433,IF($H$3=2,D433,"N/A")))</f>
        <v/>
      </c>
      <c r="F433" s="199" t="str">
        <f aca="false">IF(A434="","",E433*AS433)</f>
        <v/>
      </c>
      <c r="G433" s="200" t="str">
        <f aca="false">IF($A434="","",VLOOKUP($A433,Table,MATCH(G$4,Curves,0)))</f>
        <v/>
      </c>
      <c r="H433" s="201" t="str">
        <f aca="false">IF(A434="","",G433)</f>
        <v/>
      </c>
      <c r="J433" s="200" t="str">
        <f aca="false">IF($A434="","",VLOOKUP($A433,Table,MATCH(J$4,Curves,0)))</f>
        <v/>
      </c>
      <c r="K433" s="201" t="str">
        <f aca="false">IF(A434="","",J433)</f>
        <v/>
      </c>
      <c r="L433" s="185" t="n">
        <v>0</v>
      </c>
      <c r="M433" s="201" t="str">
        <f aca="false">IF(A434="","",L433)</f>
        <v/>
      </c>
      <c r="O433" s="200" t="str">
        <f aca="false">IF(A434="","",L433+J433+G433)</f>
        <v/>
      </c>
      <c r="P433" s="200" t="str">
        <f aca="false">IF(A434="","",M433+K433+H433)</f>
        <v/>
      </c>
      <c r="R433" s="200" t="str">
        <f aca="false">IF($A434="","",VLOOKUP($A433,Table,MATCH(R$4,Curves,0)))</f>
        <v/>
      </c>
      <c r="S433" s="201" t="str">
        <f aca="false">IF(A434="","",R433)</f>
        <v/>
      </c>
      <c r="T433" s="200" t="str">
        <f aca="false">IF($A434="","",VLOOKUP($A433,Table,MATCH(T$4,Curves,0)))</f>
        <v/>
      </c>
      <c r="U433" s="201" t="str">
        <f aca="false">IF(A434="","",T433)</f>
        <v/>
      </c>
      <c r="V433" s="205" t="str">
        <f aca="false">IF($A434="","",IF(AND(MONTH(A433)&gt;3,MONTH(A433)&lt;11),(T433+R433+G433)*Summary!$T$10/(1-Summary!$T$10),(T433+R433+G433)*Summary!$U$10/(1-Summary!$U$10)))</f>
        <v/>
      </c>
      <c r="W433" s="200" t="str">
        <f aca="false">IF($A434="","",(T433+R433+G433+V433))</f>
        <v/>
      </c>
      <c r="X433" s="200" t="str">
        <f aca="false">IF($A434="","",(U433+S433+H433+V433))</f>
        <v/>
      </c>
      <c r="Y433" s="202"/>
      <c r="Z433" s="185"/>
      <c r="AJ433" s="77"/>
      <c r="AK433" s="77"/>
      <c r="AL433" s="77"/>
      <c r="AM433" s="77"/>
      <c r="AN433" s="77"/>
      <c r="AO433" s="137" t="str">
        <f aca="false">IF(A434="","",A434-A433)</f>
        <v/>
      </c>
      <c r="AP433" s="212" t="str">
        <f aca="false">IF(A434="","",CHOOSE(F$3,A434+24,A433))</f>
        <v/>
      </c>
      <c r="AQ433" s="209" t="str">
        <f aca="false">IF(A434="","",AP433-$E$1)</f>
        <v/>
      </c>
      <c r="AR433" s="185" t="n">
        <f aca="false">'ANR OK vs ML7'!AR433</f>
        <v>0.1</v>
      </c>
      <c r="AS433" s="213" t="str">
        <f aca="false">IF(A434="","",1/(1+CHOOSE(F$3,(AR434+($I$3/10000))/2,(AR433+($I$3/10000))/2))^(2*AQ433/365.25))</f>
        <v/>
      </c>
      <c r="AT433" s="137" t="str">
        <f aca="false">IF(A434="","",IF(AND(mthbeg&lt;=A433,mthend&gt;=A433),1,0))</f>
        <v/>
      </c>
      <c r="AU433" s="137" t="str">
        <f aca="false">IF(A434="","",AO433*AT433)</f>
        <v/>
      </c>
      <c r="AW433" s="195" t="str">
        <f aca="false">IF($A434="","",AL433*$E433)</f>
        <v/>
      </c>
      <c r="AX433" s="195" t="str">
        <f aca="false">IF($A434="","",AM433*$E433)</f>
        <v/>
      </c>
      <c r="AY433" s="195" t="str">
        <f aca="false">IF($A434="","",AN433*$E433)</f>
        <v/>
      </c>
      <c r="BA433" s="195" t="str">
        <f aca="false">IF($A434="","",F433*Summary!$Q$10)</f>
        <v/>
      </c>
    </row>
    <row r="434" customFormat="false" ht="12.75" hidden="false" customHeight="false" outlineLevel="0" collapsed="false">
      <c r="A434" s="196" t="str">
        <f aca="false">IF(A433&lt;mthend,EDATE(A433,1),"")</f>
        <v/>
      </c>
      <c r="B434" s="197" t="str">
        <f aca="false">IF(A434&lt;mthend,B433,"")</f>
        <v/>
      </c>
      <c r="D434" s="197" t="str">
        <f aca="false">IF(A435&lt;&gt;"",B434+C434,"")</f>
        <v/>
      </c>
      <c r="E434" s="199" t="str">
        <f aca="false">IF(A435="","",IF(AND(AT434=1,$H$3=1),D434*AO434,IF($H$3=2,D434,"N/A")))</f>
        <v/>
      </c>
      <c r="F434" s="199" t="str">
        <f aca="false">IF(A435="","",E434*AS434)</f>
        <v/>
      </c>
      <c r="G434" s="200" t="str">
        <f aca="false">IF($A435="","",VLOOKUP($A434,Table,MATCH(G$4,Curves,0)))</f>
        <v/>
      </c>
      <c r="H434" s="201" t="str">
        <f aca="false">IF(A435="","",G434)</f>
        <v/>
      </c>
      <c r="J434" s="200" t="str">
        <f aca="false">IF($A435="","",VLOOKUP($A434,Table,MATCH(J$4,Curves,0)))</f>
        <v/>
      </c>
      <c r="K434" s="201" t="str">
        <f aca="false">IF(A435="","",J434)</f>
        <v/>
      </c>
      <c r="L434" s="185" t="n">
        <v>0</v>
      </c>
      <c r="M434" s="201" t="str">
        <f aca="false">IF(A435="","",L434)</f>
        <v/>
      </c>
      <c r="O434" s="200" t="str">
        <f aca="false">IF(A435="","",L434+J434+G434)</f>
        <v/>
      </c>
      <c r="P434" s="200" t="str">
        <f aca="false">IF(A435="","",M434+K434+H434)</f>
        <v/>
      </c>
      <c r="R434" s="200" t="str">
        <f aca="false">IF($A435="","",VLOOKUP($A434,Table,MATCH(R$4,Curves,0)))</f>
        <v/>
      </c>
      <c r="S434" s="201" t="str">
        <f aca="false">IF(A435="","",R434)</f>
        <v/>
      </c>
      <c r="T434" s="200" t="str">
        <f aca="false">IF($A435="","",VLOOKUP($A434,Table,MATCH(T$4,Curves,0)))</f>
        <v/>
      </c>
      <c r="U434" s="201" t="str">
        <f aca="false">IF(A435="","",T434)</f>
        <v/>
      </c>
      <c r="V434" s="205" t="str">
        <f aca="false">IF($A435="","",IF(AND(MONTH(A434)&gt;3,MONTH(A434)&lt;11),(T434+R434+G434)*Summary!$T$10/(1-Summary!$T$10),(T434+R434+G434)*Summary!$U$10/(1-Summary!$U$10)))</f>
        <v/>
      </c>
      <c r="W434" s="200" t="str">
        <f aca="false">IF($A435="","",(T434+R434+G434+V434))</f>
        <v/>
      </c>
      <c r="X434" s="200" t="str">
        <f aca="false">IF($A435="","",(U434+S434+H434+V434))</f>
        <v/>
      </c>
      <c r="Y434" s="202"/>
      <c r="Z434" s="185"/>
      <c r="AJ434" s="77"/>
      <c r="AK434" s="77"/>
      <c r="AL434" s="77"/>
      <c r="AM434" s="77"/>
      <c r="AN434" s="77"/>
      <c r="AO434" s="137" t="str">
        <f aca="false">IF(A435="","",A435-A434)</f>
        <v/>
      </c>
      <c r="AP434" s="212" t="str">
        <f aca="false">IF(A435="","",CHOOSE(F$3,A435+24,A434))</f>
        <v/>
      </c>
      <c r="AQ434" s="209" t="str">
        <f aca="false">IF(A435="","",AP434-$E$1)</f>
        <v/>
      </c>
      <c r="AR434" s="185" t="n">
        <f aca="false">'ANR OK vs ML7'!AR434</f>
        <v>0.1</v>
      </c>
      <c r="AS434" s="213" t="str">
        <f aca="false">IF(A435="","",1/(1+CHOOSE(F$3,(AR435+($I$3/10000))/2,(AR434+($I$3/10000))/2))^(2*AQ434/365.25))</f>
        <v/>
      </c>
      <c r="AT434" s="137" t="str">
        <f aca="false">IF(A435="","",IF(AND(mthbeg&lt;=A434,mthend&gt;=A434),1,0))</f>
        <v/>
      </c>
      <c r="AU434" s="137" t="str">
        <f aca="false">IF(A435="","",AO434*AT434)</f>
        <v/>
      </c>
      <c r="AW434" s="195" t="str">
        <f aca="false">IF($A435="","",AL434*$E434)</f>
        <v/>
      </c>
      <c r="AX434" s="195" t="str">
        <f aca="false">IF($A435="","",AM434*$E434)</f>
        <v/>
      </c>
      <c r="AY434" s="195" t="str">
        <f aca="false">IF($A435="","",AN434*$E434)</f>
        <v/>
      </c>
      <c r="BA434" s="195" t="str">
        <f aca="false">IF($A435="","",F434*Summary!$Q$10)</f>
        <v/>
      </c>
    </row>
    <row r="435" customFormat="false" ht="12.75" hidden="false" customHeight="false" outlineLevel="0" collapsed="false">
      <c r="A435" s="196" t="str">
        <f aca="false">IF(A434&lt;mthend,EDATE(A434,1),"")</f>
        <v/>
      </c>
      <c r="B435" s="197" t="str">
        <f aca="false">IF(A435&lt;mthend,B434,"")</f>
        <v/>
      </c>
      <c r="D435" s="197" t="str">
        <f aca="false">IF(A436&lt;&gt;"",B435+C435,"")</f>
        <v/>
      </c>
      <c r="E435" s="199" t="str">
        <f aca="false">IF(A436="","",IF(AND(AT435=1,$H$3=1),D435*AO435,IF($H$3=2,D435,"N/A")))</f>
        <v/>
      </c>
      <c r="F435" s="199" t="str">
        <f aca="false">IF(A436="","",E435*AS435)</f>
        <v/>
      </c>
      <c r="G435" s="200" t="str">
        <f aca="false">IF($A436="","",VLOOKUP($A435,Table,MATCH(G$4,Curves,0)))</f>
        <v/>
      </c>
      <c r="H435" s="201" t="str">
        <f aca="false">IF(A436="","",G435)</f>
        <v/>
      </c>
      <c r="J435" s="200" t="str">
        <f aca="false">IF($A436="","",VLOOKUP($A435,Table,MATCH(J$4,Curves,0)))</f>
        <v/>
      </c>
      <c r="K435" s="201" t="str">
        <f aca="false">IF(A436="","",J435)</f>
        <v/>
      </c>
      <c r="L435" s="185" t="n">
        <v>0</v>
      </c>
      <c r="M435" s="201" t="str">
        <f aca="false">IF(A436="","",L435)</f>
        <v/>
      </c>
      <c r="O435" s="200" t="str">
        <f aca="false">IF(A436="","",L435+J435+G435)</f>
        <v/>
      </c>
      <c r="P435" s="200" t="str">
        <f aca="false">IF(A436="","",M435+K435+H435)</f>
        <v/>
      </c>
      <c r="R435" s="200" t="str">
        <f aca="false">IF($A436="","",VLOOKUP($A435,Table,MATCH(R$4,Curves,0)))</f>
        <v/>
      </c>
      <c r="S435" s="201" t="str">
        <f aca="false">IF(A436="","",R435)</f>
        <v/>
      </c>
      <c r="T435" s="200" t="str">
        <f aca="false">IF($A436="","",VLOOKUP($A435,Table,MATCH(T$4,Curves,0)))</f>
        <v/>
      </c>
      <c r="U435" s="201" t="str">
        <f aca="false">IF(A436="","",T435)</f>
        <v/>
      </c>
      <c r="V435" s="205" t="str">
        <f aca="false">IF($A436="","",IF(AND(MONTH(A435)&gt;3,MONTH(A435)&lt;11),(T435+R435+G435)*Summary!$T$10/(1-Summary!$T$10),(T435+R435+G435)*Summary!$U$10/(1-Summary!$U$10)))</f>
        <v/>
      </c>
      <c r="W435" s="200" t="str">
        <f aca="false">IF($A436="","",(T435+R435+G435+V435))</f>
        <v/>
      </c>
      <c r="X435" s="200" t="str">
        <f aca="false">IF($A436="","",(U435+S435+H435+V435))</f>
        <v/>
      </c>
      <c r="Y435" s="202"/>
      <c r="Z435" s="185"/>
      <c r="AJ435" s="77"/>
      <c r="AK435" s="77"/>
      <c r="AL435" s="77"/>
      <c r="AM435" s="77"/>
      <c r="AN435" s="77"/>
      <c r="AO435" s="137" t="str">
        <f aca="false">IF(A436="","",A436-A435)</f>
        <v/>
      </c>
      <c r="AP435" s="212" t="str">
        <f aca="false">IF(A436="","",CHOOSE(F$3,A436+24,A435))</f>
        <v/>
      </c>
      <c r="AQ435" s="209" t="str">
        <f aca="false">IF(A436="","",AP435-$E$1)</f>
        <v/>
      </c>
      <c r="AR435" s="185" t="n">
        <f aca="false">'ANR OK vs ML7'!AR435</f>
        <v>0.1</v>
      </c>
      <c r="AS435" s="213" t="str">
        <f aca="false">IF(A436="","",1/(1+CHOOSE(F$3,(AR436+($I$3/10000))/2,(AR435+($I$3/10000))/2))^(2*AQ435/365.25))</f>
        <v/>
      </c>
      <c r="AT435" s="137" t="str">
        <f aca="false">IF(A436="","",IF(AND(mthbeg&lt;=A435,mthend&gt;=A435),1,0))</f>
        <v/>
      </c>
      <c r="AU435" s="137" t="str">
        <f aca="false">IF(A436="","",AO435*AT435)</f>
        <v/>
      </c>
      <c r="AW435" s="195" t="str">
        <f aca="false">IF($A436="","",AL435*$E435)</f>
        <v/>
      </c>
      <c r="AX435" s="195" t="str">
        <f aca="false">IF($A436="","",AM435*$E435)</f>
        <v/>
      </c>
      <c r="AY435" s="195" t="str">
        <f aca="false">IF($A436="","",AN435*$E435)</f>
        <v/>
      </c>
      <c r="BA435" s="195" t="str">
        <f aca="false">IF($A436="","",F435*Summary!$Q$10)</f>
        <v/>
      </c>
    </row>
    <row r="436" customFormat="false" ht="12.75" hidden="false" customHeight="false" outlineLevel="0" collapsed="false">
      <c r="A436" s="196" t="str">
        <f aca="false">IF(A435&lt;mthend,EDATE(A435,1),"")</f>
        <v/>
      </c>
      <c r="B436" s="197" t="str">
        <f aca="false">IF(A436&lt;mthend,B435,"")</f>
        <v/>
      </c>
      <c r="D436" s="197" t="str">
        <f aca="false">IF(A437&lt;&gt;"",B436+C436,"")</f>
        <v/>
      </c>
      <c r="E436" s="199" t="str">
        <f aca="false">IF(A437="","",IF(AND(AT436=1,$H$3=1),D436*AO436,IF($H$3=2,D436,"N/A")))</f>
        <v/>
      </c>
      <c r="F436" s="199" t="str">
        <f aca="false">IF(A437="","",E436*AS436)</f>
        <v/>
      </c>
      <c r="G436" s="200" t="str">
        <f aca="false">IF($A437="","",VLOOKUP($A436,Table,MATCH(G$4,Curves,0)))</f>
        <v/>
      </c>
      <c r="H436" s="201" t="str">
        <f aca="false">IF(A437="","",G436)</f>
        <v/>
      </c>
      <c r="J436" s="200" t="str">
        <f aca="false">IF($A437="","",VLOOKUP($A436,Table,MATCH(J$4,Curves,0)))</f>
        <v/>
      </c>
      <c r="K436" s="201" t="str">
        <f aca="false">IF(A437="","",J436)</f>
        <v/>
      </c>
      <c r="L436" s="185" t="n">
        <v>0</v>
      </c>
      <c r="M436" s="201" t="str">
        <f aca="false">IF(A437="","",L436)</f>
        <v/>
      </c>
      <c r="O436" s="200" t="str">
        <f aca="false">IF(A437="","",L436+J436+G436)</f>
        <v/>
      </c>
      <c r="P436" s="200" t="str">
        <f aca="false">IF(A437="","",M436+K436+H436)</f>
        <v/>
      </c>
      <c r="R436" s="200" t="str">
        <f aca="false">IF($A437="","",VLOOKUP($A436,Table,MATCH(R$4,Curves,0)))</f>
        <v/>
      </c>
      <c r="S436" s="201" t="str">
        <f aca="false">IF(A437="","",R436)</f>
        <v/>
      </c>
      <c r="T436" s="200" t="str">
        <f aca="false">IF($A437="","",VLOOKUP($A436,Table,MATCH(T$4,Curves,0)))</f>
        <v/>
      </c>
      <c r="U436" s="201" t="str">
        <f aca="false">IF(A437="","",T436)</f>
        <v/>
      </c>
      <c r="V436" s="205" t="str">
        <f aca="false">IF($A437="","",IF(AND(MONTH(A436)&gt;3,MONTH(A436)&lt;11),(T436+R436+G436)*Summary!$T$10/(1-Summary!$T$10),(T436+R436+G436)*Summary!$U$10/(1-Summary!$U$10)))</f>
        <v/>
      </c>
      <c r="W436" s="200" t="str">
        <f aca="false">IF($A437="","",(T436+R436+G436+V436))</f>
        <v/>
      </c>
      <c r="X436" s="200" t="str">
        <f aca="false">IF($A437="","",(U436+S436+H436+V436))</f>
        <v/>
      </c>
      <c r="Y436" s="202"/>
      <c r="Z436" s="185"/>
      <c r="AJ436" s="77"/>
      <c r="AK436" s="77"/>
      <c r="AL436" s="77"/>
      <c r="AM436" s="77"/>
      <c r="AN436" s="77"/>
      <c r="AO436" s="137" t="str">
        <f aca="false">IF(A437="","",A437-A436)</f>
        <v/>
      </c>
      <c r="AP436" s="212" t="str">
        <f aca="false">IF(A437="","",CHOOSE(F$3,A437+24,A436))</f>
        <v/>
      </c>
      <c r="AQ436" s="209" t="str">
        <f aca="false">IF(A437="","",AP436-$E$1)</f>
        <v/>
      </c>
      <c r="AR436" s="185" t="n">
        <f aca="false">'ANR OK vs ML7'!AR436</f>
        <v>0.1</v>
      </c>
      <c r="AS436" s="213" t="str">
        <f aca="false">IF(A437="","",1/(1+CHOOSE(F$3,(AR437+($I$3/10000))/2,(AR436+($I$3/10000))/2))^(2*AQ436/365.25))</f>
        <v/>
      </c>
      <c r="AT436" s="137" t="str">
        <f aca="false">IF(A437="","",IF(AND(mthbeg&lt;=A436,mthend&gt;=A436),1,0))</f>
        <v/>
      </c>
      <c r="AU436" s="137" t="str">
        <f aca="false">IF(A437="","",AO436*AT436)</f>
        <v/>
      </c>
      <c r="AW436" s="195" t="str">
        <f aca="false">IF($A437="","",AL436*$E436)</f>
        <v/>
      </c>
      <c r="AX436" s="195" t="str">
        <f aca="false">IF($A437="","",AM436*$E436)</f>
        <v/>
      </c>
      <c r="AY436" s="195" t="str">
        <f aca="false">IF($A437="","",AN436*$E436)</f>
        <v/>
      </c>
      <c r="BA436" s="195" t="str">
        <f aca="false">IF($A437="","",F436*Summary!$Q$10)</f>
        <v/>
      </c>
    </row>
    <row r="437" customFormat="false" ht="12.75" hidden="false" customHeight="false" outlineLevel="0" collapsed="false">
      <c r="A437" s="196" t="str">
        <f aca="false">IF(A436&lt;mthend,EDATE(A436,1),"")</f>
        <v/>
      </c>
      <c r="B437" s="197" t="str">
        <f aca="false">IF(A437&lt;mthend,B436,"")</f>
        <v/>
      </c>
      <c r="D437" s="197" t="str">
        <f aca="false">IF(A438&lt;&gt;"",B437+C437,"")</f>
        <v/>
      </c>
      <c r="E437" s="199" t="str">
        <f aca="false">IF(A438="","",IF(AND(AT437=1,$H$3=1),D437*AO437,IF($H$3=2,D437,"N/A")))</f>
        <v/>
      </c>
      <c r="F437" s="199" t="str">
        <f aca="false">IF(A438="","",E437*AS437)</f>
        <v/>
      </c>
      <c r="G437" s="200" t="str">
        <f aca="false">IF($A438="","",VLOOKUP($A437,Table,MATCH(G$4,Curves,0)))</f>
        <v/>
      </c>
      <c r="H437" s="201" t="str">
        <f aca="false">IF(A438="","",G437)</f>
        <v/>
      </c>
      <c r="J437" s="200" t="str">
        <f aca="false">IF($A438="","",VLOOKUP($A437,Table,MATCH(J$4,Curves,0)))</f>
        <v/>
      </c>
      <c r="K437" s="201" t="str">
        <f aca="false">IF(A438="","",J437)</f>
        <v/>
      </c>
      <c r="L437" s="185" t="n">
        <v>0</v>
      </c>
      <c r="M437" s="201" t="str">
        <f aca="false">IF(A438="","",L437)</f>
        <v/>
      </c>
      <c r="O437" s="200" t="str">
        <f aca="false">IF(A438="","",L437+J437+G437)</f>
        <v/>
      </c>
      <c r="P437" s="200" t="str">
        <f aca="false">IF(A438="","",M437+K437+H437)</f>
        <v/>
      </c>
      <c r="R437" s="200" t="str">
        <f aca="false">IF($A438="","",VLOOKUP($A437,Table,MATCH(R$4,Curves,0)))</f>
        <v/>
      </c>
      <c r="S437" s="201" t="str">
        <f aca="false">IF(A438="","",R437)</f>
        <v/>
      </c>
      <c r="T437" s="200" t="str">
        <f aca="false">IF($A438="","",VLOOKUP($A437,Table,MATCH(T$4,Curves,0)))</f>
        <v/>
      </c>
      <c r="U437" s="201" t="str">
        <f aca="false">IF(A438="","",T437)</f>
        <v/>
      </c>
      <c r="V437" s="205" t="str">
        <f aca="false">IF($A438="","",IF(AND(MONTH(A437)&gt;3,MONTH(A437)&lt;11),(T437+R437+G437)*Summary!$T$10/(1-Summary!$T$10),(T437+R437+G437)*Summary!$U$10/(1-Summary!$U$10)))</f>
        <v/>
      </c>
      <c r="W437" s="200" t="str">
        <f aca="false">IF($A438="","",(T437+R437+G437+V437))</f>
        <v/>
      </c>
      <c r="X437" s="200" t="str">
        <f aca="false">IF($A438="","",(U437+S437+H437+V437))</f>
        <v/>
      </c>
      <c r="Y437" s="202"/>
      <c r="Z437" s="185"/>
      <c r="AJ437" s="77"/>
      <c r="AK437" s="77"/>
      <c r="AL437" s="77"/>
      <c r="AM437" s="77"/>
      <c r="AN437" s="77"/>
      <c r="AO437" s="137" t="str">
        <f aca="false">IF(A438="","",A438-A437)</f>
        <v/>
      </c>
      <c r="AP437" s="212" t="str">
        <f aca="false">IF(A438="","",CHOOSE(F$3,A438+24,A437))</f>
        <v/>
      </c>
      <c r="AQ437" s="209" t="str">
        <f aca="false">IF(A438="","",AP437-$E$1)</f>
        <v/>
      </c>
      <c r="AR437" s="185" t="n">
        <f aca="false">'ANR OK vs ML7'!AR437</f>
        <v>0.1</v>
      </c>
      <c r="AS437" s="213" t="str">
        <f aca="false">IF(A438="","",1/(1+CHOOSE(F$3,(AR438+($I$3/10000))/2,(AR437+($I$3/10000))/2))^(2*AQ437/365.25))</f>
        <v/>
      </c>
      <c r="AT437" s="137" t="str">
        <f aca="false">IF(A438="","",IF(AND(mthbeg&lt;=A437,mthend&gt;=A437),1,0))</f>
        <v/>
      </c>
      <c r="AU437" s="137" t="str">
        <f aca="false">IF(A438="","",AO437*AT437)</f>
        <v/>
      </c>
      <c r="AW437" s="195" t="str">
        <f aca="false">IF($A438="","",AL437*$E437)</f>
        <v/>
      </c>
      <c r="AX437" s="195" t="str">
        <f aca="false">IF($A438="","",AM437*$E437)</f>
        <v/>
      </c>
      <c r="AY437" s="195" t="str">
        <f aca="false">IF($A438="","",AN437*$E437)</f>
        <v/>
      </c>
      <c r="BA437" s="195" t="str">
        <f aca="false">IF($A438="","",F437*Summary!$Q$10)</f>
        <v/>
      </c>
    </row>
    <row r="438" customFormat="false" ht="12.75" hidden="false" customHeight="false" outlineLevel="0" collapsed="false">
      <c r="A438" s="196" t="str">
        <f aca="false">IF(A437&lt;mthend,EDATE(A437,1),"")</f>
        <v/>
      </c>
      <c r="B438" s="197" t="str">
        <f aca="false">IF(A438&lt;mthend,B437,"")</f>
        <v/>
      </c>
      <c r="D438" s="197" t="str">
        <f aca="false">IF(A439&lt;&gt;"",B438+C438,"")</f>
        <v/>
      </c>
      <c r="E438" s="199" t="str">
        <f aca="false">IF(A439="","",IF(AND(AT438=1,$H$3=1),D438*AO438,IF($H$3=2,D438,"N/A")))</f>
        <v/>
      </c>
      <c r="F438" s="199" t="str">
        <f aca="false">IF(A439="","",E438*AS438)</f>
        <v/>
      </c>
      <c r="G438" s="200" t="str">
        <f aca="false">IF($A439="","",VLOOKUP($A438,Table,MATCH(G$4,Curves,0)))</f>
        <v/>
      </c>
      <c r="H438" s="201" t="str">
        <f aca="false">IF(A439="","",G438)</f>
        <v/>
      </c>
      <c r="J438" s="200" t="str">
        <f aca="false">IF($A439="","",VLOOKUP($A438,Table,MATCH(J$4,Curves,0)))</f>
        <v/>
      </c>
      <c r="K438" s="201" t="str">
        <f aca="false">IF(A439="","",J438)</f>
        <v/>
      </c>
      <c r="L438" s="185" t="n">
        <v>0</v>
      </c>
      <c r="M438" s="201" t="str">
        <f aca="false">IF(A439="","",L438)</f>
        <v/>
      </c>
      <c r="O438" s="200" t="str">
        <f aca="false">IF(A439="","",L438+J438+G438)</f>
        <v/>
      </c>
      <c r="P438" s="200" t="str">
        <f aca="false">IF(A439="","",M438+K438+H438)</f>
        <v/>
      </c>
      <c r="R438" s="200" t="str">
        <f aca="false">IF($A439="","",VLOOKUP($A438,Table,MATCH(R$4,Curves,0)))</f>
        <v/>
      </c>
      <c r="S438" s="201" t="str">
        <f aca="false">IF(A439="","",R438)</f>
        <v/>
      </c>
      <c r="T438" s="200" t="str">
        <f aca="false">IF($A439="","",VLOOKUP($A438,Table,MATCH(T$4,Curves,0)))</f>
        <v/>
      </c>
      <c r="U438" s="201" t="str">
        <f aca="false">IF(A439="","",T438)</f>
        <v/>
      </c>
      <c r="V438" s="205" t="str">
        <f aca="false">IF($A439="","",IF(AND(MONTH(A438)&gt;3,MONTH(A438)&lt;11),(T438+R438+G438)*Summary!$T$10/(1-Summary!$T$10),(T438+R438+G438)*Summary!$U$10/(1-Summary!$U$10)))</f>
        <v/>
      </c>
      <c r="W438" s="200" t="str">
        <f aca="false">IF($A439="","",(T438+R438+G438+V438))</f>
        <v/>
      </c>
      <c r="X438" s="200" t="str">
        <f aca="false">IF($A439="","",(U438+S438+H438+V438))</f>
        <v/>
      </c>
      <c r="Y438" s="202"/>
      <c r="Z438" s="185"/>
      <c r="AJ438" s="77"/>
      <c r="AK438" s="77"/>
      <c r="AL438" s="77"/>
      <c r="AM438" s="77"/>
      <c r="AN438" s="77"/>
      <c r="AO438" s="137" t="str">
        <f aca="false">IF(A439="","",A439-A438)</f>
        <v/>
      </c>
      <c r="AP438" s="212" t="str">
        <f aca="false">IF(A439="","",CHOOSE(F$3,A439+24,A438))</f>
        <v/>
      </c>
      <c r="AQ438" s="209" t="str">
        <f aca="false">IF(A439="","",AP438-$E$1)</f>
        <v/>
      </c>
      <c r="AR438" s="185" t="n">
        <f aca="false">'ANR OK vs ML7'!AR438</f>
        <v>0.1</v>
      </c>
      <c r="AS438" s="213" t="str">
        <f aca="false">IF(A439="","",1/(1+CHOOSE(F$3,(AR439+($I$3/10000))/2,(AR438+($I$3/10000))/2))^(2*AQ438/365.25))</f>
        <v/>
      </c>
      <c r="AT438" s="137" t="str">
        <f aca="false">IF(A439="","",IF(AND(mthbeg&lt;=A438,mthend&gt;=A438),1,0))</f>
        <v/>
      </c>
      <c r="AU438" s="137" t="str">
        <f aca="false">IF(A439="","",AO438*AT438)</f>
        <v/>
      </c>
      <c r="AW438" s="195" t="str">
        <f aca="false">IF($A439="","",AL438*$E438)</f>
        <v/>
      </c>
      <c r="AX438" s="195" t="str">
        <f aca="false">IF($A439="","",AM438*$E438)</f>
        <v/>
      </c>
      <c r="AY438" s="195" t="str">
        <f aca="false">IF($A439="","",AN438*$E438)</f>
        <v/>
      </c>
      <c r="BA438" s="195" t="str">
        <f aca="false">IF($A439="","",F438*Summary!$Q$10)</f>
        <v/>
      </c>
    </row>
    <row r="439" customFormat="false" ht="12.75" hidden="false" customHeight="false" outlineLevel="0" collapsed="false">
      <c r="A439" s="196" t="str">
        <f aca="false">IF(A438&lt;mthend,EDATE(A438,1),"")</f>
        <v/>
      </c>
      <c r="B439" s="197" t="str">
        <f aca="false">IF(A439&lt;mthend,B438,"")</f>
        <v/>
      </c>
      <c r="D439" s="197" t="str">
        <f aca="false">IF(A440&lt;&gt;"",B439+C439,"")</f>
        <v/>
      </c>
      <c r="E439" s="199" t="str">
        <f aca="false">IF(A440="","",IF(AND(AT439=1,$H$3=1),D439*AO439,IF($H$3=2,D439,"N/A")))</f>
        <v/>
      </c>
      <c r="F439" s="199" t="str">
        <f aca="false">IF(A440="","",E439*AS439)</f>
        <v/>
      </c>
      <c r="G439" s="200" t="str">
        <f aca="false">IF($A440="","",VLOOKUP($A439,Table,MATCH(G$4,Curves,0)))</f>
        <v/>
      </c>
      <c r="H439" s="201" t="str">
        <f aca="false">IF(A440="","",G439)</f>
        <v/>
      </c>
      <c r="J439" s="200" t="str">
        <f aca="false">IF($A440="","",VLOOKUP($A439,Table,MATCH(J$4,Curves,0)))</f>
        <v/>
      </c>
      <c r="K439" s="201" t="str">
        <f aca="false">IF(A440="","",J439)</f>
        <v/>
      </c>
      <c r="L439" s="185" t="n">
        <v>0</v>
      </c>
      <c r="M439" s="201" t="str">
        <f aca="false">IF(A440="","",L439)</f>
        <v/>
      </c>
      <c r="O439" s="200" t="str">
        <f aca="false">IF(A440="","",L439+J439+G439)</f>
        <v/>
      </c>
      <c r="P439" s="200" t="str">
        <f aca="false">IF(A440="","",M439+K439+H439)</f>
        <v/>
      </c>
      <c r="R439" s="200" t="str">
        <f aca="false">IF($A440="","",VLOOKUP($A439,Table,MATCH(R$4,Curves,0)))</f>
        <v/>
      </c>
      <c r="S439" s="201" t="str">
        <f aca="false">IF(A440="","",R439)</f>
        <v/>
      </c>
      <c r="T439" s="200" t="str">
        <f aca="false">IF($A440="","",VLOOKUP($A439,Table,MATCH(T$4,Curves,0)))</f>
        <v/>
      </c>
      <c r="U439" s="201" t="str">
        <f aca="false">IF(A440="","",T439)</f>
        <v/>
      </c>
      <c r="V439" s="205" t="str">
        <f aca="false">IF($A440="","",IF(AND(MONTH(A439)&gt;3,MONTH(A439)&lt;11),(T439+R439+G439)*Summary!$T$10/(1-Summary!$T$10),(T439+R439+G439)*Summary!$U$10/(1-Summary!$U$10)))</f>
        <v/>
      </c>
      <c r="W439" s="200" t="str">
        <f aca="false">IF($A440="","",(T439+R439+G439+V439))</f>
        <v/>
      </c>
      <c r="X439" s="200" t="str">
        <f aca="false">IF($A440="","",(U439+S439+H439+V439))</f>
        <v/>
      </c>
      <c r="Y439" s="202"/>
      <c r="Z439" s="185"/>
      <c r="AJ439" s="77"/>
      <c r="AK439" s="77"/>
      <c r="AL439" s="77"/>
      <c r="AM439" s="77"/>
      <c r="AN439" s="77"/>
      <c r="AO439" s="137" t="str">
        <f aca="false">IF(A440="","",A440-A439)</f>
        <v/>
      </c>
      <c r="AP439" s="212" t="str">
        <f aca="false">IF(A440="","",CHOOSE(F$3,A440+24,A439))</f>
        <v/>
      </c>
      <c r="AQ439" s="209" t="str">
        <f aca="false">IF(A440="","",AP439-$E$1)</f>
        <v/>
      </c>
      <c r="AR439" s="185" t="n">
        <f aca="false">'ANR OK vs ML7'!AR439</f>
        <v>0.1</v>
      </c>
      <c r="AS439" s="213" t="str">
        <f aca="false">IF(A440="","",1/(1+CHOOSE(F$3,(AR440+($I$3/10000))/2,(AR439+($I$3/10000))/2))^(2*AQ439/365.25))</f>
        <v/>
      </c>
      <c r="AT439" s="137" t="str">
        <f aca="false">IF(A440="","",IF(AND(mthbeg&lt;=A439,mthend&gt;=A439),1,0))</f>
        <v/>
      </c>
      <c r="AU439" s="137" t="str">
        <f aca="false">IF(A440="","",AO439*AT439)</f>
        <v/>
      </c>
      <c r="AW439" s="195" t="str">
        <f aca="false">IF($A440="","",AL439*$E439)</f>
        <v/>
      </c>
      <c r="AX439" s="195" t="str">
        <f aca="false">IF($A440="","",AM439*$E439)</f>
        <v/>
      </c>
      <c r="AY439" s="195" t="str">
        <f aca="false">IF($A440="","",AN439*$E439)</f>
        <v/>
      </c>
      <c r="BA439" s="195" t="str">
        <f aca="false">IF($A440="","",F439*Summary!$Q$10)</f>
        <v/>
      </c>
    </row>
    <row r="440" customFormat="false" ht="12.75" hidden="false" customHeight="false" outlineLevel="0" collapsed="false">
      <c r="A440" s="196" t="str">
        <f aca="false">IF(A439&lt;mthend,EDATE(A439,1),"")</f>
        <v/>
      </c>
      <c r="B440" s="197" t="str">
        <f aca="false">IF(A440&lt;mthend,B439,"")</f>
        <v/>
      </c>
      <c r="D440" s="197" t="str">
        <f aca="false">IF(A441&lt;&gt;"",B440+C440,"")</f>
        <v/>
      </c>
      <c r="E440" s="199" t="str">
        <f aca="false">IF(A441="","",IF(AND(AT440=1,$H$3=1),D440*AO440,IF($H$3=2,D440,"N/A")))</f>
        <v/>
      </c>
      <c r="F440" s="199" t="str">
        <f aca="false">IF(A441="","",E440*AS440)</f>
        <v/>
      </c>
      <c r="G440" s="200" t="str">
        <f aca="false">IF($A441="","",VLOOKUP($A440,Table,MATCH(G$4,Curves,0)))</f>
        <v/>
      </c>
      <c r="H440" s="201" t="str">
        <f aca="false">IF(A441="","",G440)</f>
        <v/>
      </c>
      <c r="J440" s="200" t="str">
        <f aca="false">IF($A441="","",VLOOKUP($A440,Table,MATCH(J$4,Curves,0)))</f>
        <v/>
      </c>
      <c r="K440" s="201" t="str">
        <f aca="false">IF(A441="","",J440)</f>
        <v/>
      </c>
      <c r="L440" s="185" t="n">
        <v>0</v>
      </c>
      <c r="M440" s="201" t="str">
        <f aca="false">IF(A441="","",L440)</f>
        <v/>
      </c>
      <c r="O440" s="200" t="str">
        <f aca="false">IF(A441="","",L440+J440+G440)</f>
        <v/>
      </c>
      <c r="P440" s="200" t="str">
        <f aca="false">IF(A441="","",M440+K440+H440)</f>
        <v/>
      </c>
      <c r="R440" s="200" t="str">
        <f aca="false">IF($A441="","",VLOOKUP($A440,Table,MATCH(R$4,Curves,0)))</f>
        <v/>
      </c>
      <c r="S440" s="201" t="str">
        <f aca="false">IF(A441="","",R440)</f>
        <v/>
      </c>
      <c r="T440" s="200" t="str">
        <f aca="false">IF($A441="","",VLOOKUP($A440,Table,MATCH(T$4,Curves,0)))</f>
        <v/>
      </c>
      <c r="U440" s="201" t="str">
        <f aca="false">IF(A441="","",T440)</f>
        <v/>
      </c>
      <c r="V440" s="205" t="str">
        <f aca="false">IF($A441="","",IF(AND(MONTH(A440)&gt;3,MONTH(A440)&lt;11),(T440+R440+G440)*Summary!$T$10/(1-Summary!$T$10),(T440+R440+G440)*Summary!$U$10/(1-Summary!$U$10)))</f>
        <v/>
      </c>
      <c r="W440" s="200" t="str">
        <f aca="false">IF($A441="","",(T440+R440+G440+V440))</f>
        <v/>
      </c>
      <c r="X440" s="200" t="str">
        <f aca="false">IF($A441="","",(U440+S440+H440+V440))</f>
        <v/>
      </c>
      <c r="Y440" s="202"/>
      <c r="Z440" s="185"/>
      <c r="AJ440" s="77"/>
      <c r="AK440" s="77"/>
      <c r="AL440" s="77"/>
      <c r="AM440" s="77"/>
      <c r="AN440" s="77"/>
      <c r="AO440" s="137" t="str">
        <f aca="false">IF(A441="","",A441-A440)</f>
        <v/>
      </c>
      <c r="AP440" s="212" t="str">
        <f aca="false">IF(A441="","",CHOOSE(F$3,A441+24,A440))</f>
        <v/>
      </c>
      <c r="AQ440" s="209" t="str">
        <f aca="false">IF(A441="","",AP440-$E$1)</f>
        <v/>
      </c>
      <c r="AR440" s="185" t="n">
        <f aca="false">'ANR OK vs ML7'!AR440</f>
        <v>0.1</v>
      </c>
      <c r="AS440" s="213" t="str">
        <f aca="false">IF(A441="","",1/(1+CHOOSE(F$3,(AR441+($I$3/10000))/2,(AR440+($I$3/10000))/2))^(2*AQ440/365.25))</f>
        <v/>
      </c>
      <c r="AT440" s="137" t="str">
        <f aca="false">IF(A441="","",IF(AND(mthbeg&lt;=A440,mthend&gt;=A440),1,0))</f>
        <v/>
      </c>
      <c r="AU440" s="137" t="str">
        <f aca="false">IF(A441="","",AO440*AT440)</f>
        <v/>
      </c>
      <c r="AW440" s="195" t="str">
        <f aca="false">IF($A441="","",AL440*$E440)</f>
        <v/>
      </c>
      <c r="AX440" s="195" t="str">
        <f aca="false">IF($A441="","",AM440*$E440)</f>
        <v/>
      </c>
      <c r="AY440" s="195" t="str">
        <f aca="false">IF($A441="","",AN440*$E440)</f>
        <v/>
      </c>
      <c r="BA440" s="195" t="str">
        <f aca="false">IF($A441="","",F440*Summary!$Q$10)</f>
        <v/>
      </c>
    </row>
    <row r="441" customFormat="false" ht="12.75" hidden="false" customHeight="false" outlineLevel="0" collapsed="false">
      <c r="A441" s="196" t="str">
        <f aca="false">IF(A440&lt;mthend,EDATE(A440,1),"")</f>
        <v/>
      </c>
      <c r="B441" s="197" t="str">
        <f aca="false">IF(A441&lt;mthend,B440,"")</f>
        <v/>
      </c>
      <c r="D441" s="197" t="str">
        <f aca="false">IF(A442&lt;&gt;"",B441+C441,"")</f>
        <v/>
      </c>
      <c r="E441" s="199" t="str">
        <f aca="false">IF(A442="","",IF(AND(AT441=1,$H$3=1),D441*AO441,IF($H$3=2,D441,"N/A")))</f>
        <v/>
      </c>
      <c r="F441" s="199" t="str">
        <f aca="false">IF(A442="","",E441*AS441)</f>
        <v/>
      </c>
      <c r="G441" s="200" t="str">
        <f aca="false">IF($A442="","",VLOOKUP($A441,Table,MATCH(G$4,Curves,0)))</f>
        <v/>
      </c>
      <c r="H441" s="201" t="str">
        <f aca="false">IF(A442="","",G441)</f>
        <v/>
      </c>
      <c r="J441" s="200" t="str">
        <f aca="false">IF($A442="","",VLOOKUP($A441,Table,MATCH(J$4,Curves,0)))</f>
        <v/>
      </c>
      <c r="K441" s="201" t="str">
        <f aca="false">IF(A442="","",J441)</f>
        <v/>
      </c>
      <c r="L441" s="185" t="n">
        <v>0</v>
      </c>
      <c r="M441" s="201" t="str">
        <f aca="false">IF(A442="","",L441)</f>
        <v/>
      </c>
      <c r="O441" s="200" t="str">
        <f aca="false">IF(A442="","",L441+J441+G441)</f>
        <v/>
      </c>
      <c r="P441" s="200" t="str">
        <f aca="false">IF(A442="","",M441+K441+H441)</f>
        <v/>
      </c>
      <c r="R441" s="200" t="str">
        <f aca="false">IF($A442="","",VLOOKUP($A441,Table,MATCH(R$4,Curves,0)))</f>
        <v/>
      </c>
      <c r="S441" s="201" t="str">
        <f aca="false">IF(A442="","",R441)</f>
        <v/>
      </c>
      <c r="T441" s="200" t="str">
        <f aca="false">IF($A442="","",VLOOKUP($A441,Table,MATCH(T$4,Curves,0)))</f>
        <v/>
      </c>
      <c r="U441" s="201" t="str">
        <f aca="false">IF(A442="","",T441)</f>
        <v/>
      </c>
      <c r="V441" s="205" t="str">
        <f aca="false">IF($A442="","",IF(AND(MONTH(A441)&gt;3,MONTH(A441)&lt;11),(T441+R441+G441)*Summary!$T$10/(1-Summary!$T$10),(T441+R441+G441)*Summary!$U$10/(1-Summary!$U$10)))</f>
        <v/>
      </c>
      <c r="W441" s="200" t="str">
        <f aca="false">IF($A442="","",(T441+R441+G441+V441))</f>
        <v/>
      </c>
      <c r="X441" s="200" t="str">
        <f aca="false">IF($A442="","",(U441+S441+H441+V441))</f>
        <v/>
      </c>
      <c r="Y441" s="202"/>
      <c r="Z441" s="185"/>
      <c r="AJ441" s="77"/>
      <c r="AK441" s="77"/>
      <c r="AL441" s="77"/>
      <c r="AM441" s="77"/>
      <c r="AN441" s="77"/>
      <c r="AO441" s="137" t="str">
        <f aca="false">IF(A442="","",A442-A441)</f>
        <v/>
      </c>
      <c r="AP441" s="212" t="str">
        <f aca="false">IF(A442="","",CHOOSE(F$3,A442+24,A441))</f>
        <v/>
      </c>
      <c r="AQ441" s="209" t="str">
        <f aca="false">IF(A442="","",AP441-$E$1)</f>
        <v/>
      </c>
      <c r="AR441" s="185" t="n">
        <f aca="false">'ANR OK vs ML7'!AR441</f>
        <v>0.1</v>
      </c>
      <c r="AS441" s="213" t="str">
        <f aca="false">IF(A442="","",1/(1+CHOOSE(F$3,(AR442+($I$3/10000))/2,(AR441+($I$3/10000))/2))^(2*AQ441/365.25))</f>
        <v/>
      </c>
      <c r="AT441" s="137" t="str">
        <f aca="false">IF(A442="","",IF(AND(mthbeg&lt;=A441,mthend&gt;=A441),1,0))</f>
        <v/>
      </c>
      <c r="AU441" s="137" t="str">
        <f aca="false">IF(A442="","",AO441*AT441)</f>
        <v/>
      </c>
      <c r="AW441" s="195" t="str">
        <f aca="false">IF($A442="","",AL441*$E441)</f>
        <v/>
      </c>
      <c r="AX441" s="195" t="str">
        <f aca="false">IF($A442="","",AM441*$E441)</f>
        <v/>
      </c>
      <c r="AY441" s="195" t="str">
        <f aca="false">IF($A442="","",AN441*$E441)</f>
        <v/>
      </c>
      <c r="BA441" s="195" t="str">
        <f aca="false">IF($A442="","",F441*Summary!$Q$10)</f>
        <v/>
      </c>
    </row>
    <row r="442" customFormat="false" ht="12.75" hidden="false" customHeight="false" outlineLevel="0" collapsed="false">
      <c r="A442" s="196" t="str">
        <f aca="false">IF(A441&lt;mthend,EDATE(A441,1),"")</f>
        <v/>
      </c>
      <c r="B442" s="197" t="str">
        <f aca="false">IF(A442&lt;mthend,B441,"")</f>
        <v/>
      </c>
      <c r="D442" s="197" t="str">
        <f aca="false">IF(A443&lt;&gt;"",B442+C442,"")</f>
        <v/>
      </c>
      <c r="E442" s="199" t="str">
        <f aca="false">IF(A443="","",IF(AND(AT442=1,$H$3=1),D442*AO442,IF($H$3=2,D442,"N/A")))</f>
        <v/>
      </c>
      <c r="F442" s="199" t="str">
        <f aca="false">IF(A443="","",E442*AS442)</f>
        <v/>
      </c>
      <c r="G442" s="200" t="str">
        <f aca="false">IF($A443="","",VLOOKUP($A442,Table,MATCH(G$4,Curves,0)))</f>
        <v/>
      </c>
      <c r="H442" s="201" t="str">
        <f aca="false">IF(A443="","",G442)</f>
        <v/>
      </c>
      <c r="J442" s="200" t="str">
        <f aca="false">IF($A443="","",VLOOKUP($A442,Table,MATCH(J$4,Curves,0)))</f>
        <v/>
      </c>
      <c r="K442" s="201" t="str">
        <f aca="false">IF(A443="","",J442)</f>
        <v/>
      </c>
      <c r="L442" s="185" t="n">
        <v>0</v>
      </c>
      <c r="M442" s="201" t="str">
        <f aca="false">IF(A443="","",L442)</f>
        <v/>
      </c>
      <c r="O442" s="200" t="str">
        <f aca="false">IF(A443="","",L442+J442+G442)</f>
        <v/>
      </c>
      <c r="P442" s="200" t="str">
        <f aca="false">IF(A443="","",M442+K442+H442)</f>
        <v/>
      </c>
      <c r="R442" s="200" t="str">
        <f aca="false">IF($A443="","",VLOOKUP($A442,Table,MATCH(R$4,Curves,0)))</f>
        <v/>
      </c>
      <c r="S442" s="201" t="str">
        <f aca="false">IF(A443="","",R442)</f>
        <v/>
      </c>
      <c r="T442" s="200" t="str">
        <f aca="false">IF($A443="","",VLOOKUP($A442,Table,MATCH(T$4,Curves,0)))</f>
        <v/>
      </c>
      <c r="U442" s="201" t="str">
        <f aca="false">IF(A443="","",T442)</f>
        <v/>
      </c>
      <c r="V442" s="205" t="str">
        <f aca="false">IF($A443="","",IF(AND(MONTH(A442)&gt;3,MONTH(A442)&lt;11),(T442+R442+G442)*Summary!$T$10/(1-Summary!$T$10),(T442+R442+G442)*Summary!$U$10/(1-Summary!$U$10)))</f>
        <v/>
      </c>
      <c r="W442" s="200" t="str">
        <f aca="false">IF($A443="","",(T442+R442+G442+V442))</f>
        <v/>
      </c>
      <c r="X442" s="200" t="str">
        <f aca="false">IF($A443="","",(U442+S442+H442+V442))</f>
        <v/>
      </c>
      <c r="Y442" s="202"/>
      <c r="Z442" s="185"/>
      <c r="AJ442" s="77"/>
      <c r="AK442" s="77"/>
      <c r="AL442" s="77"/>
      <c r="AM442" s="77"/>
      <c r="AN442" s="77"/>
      <c r="AO442" s="137" t="str">
        <f aca="false">IF(A443="","",A443-A442)</f>
        <v/>
      </c>
      <c r="AP442" s="212" t="str">
        <f aca="false">IF(A443="","",CHOOSE(F$3,A443+24,A442))</f>
        <v/>
      </c>
      <c r="AQ442" s="209" t="str">
        <f aca="false">IF(A443="","",AP442-$E$1)</f>
        <v/>
      </c>
      <c r="AR442" s="185" t="n">
        <f aca="false">'ANR OK vs ML7'!AR442</f>
        <v>0.1</v>
      </c>
      <c r="AS442" s="213" t="str">
        <f aca="false">IF(A443="","",1/(1+CHOOSE(F$3,(AR443+($I$3/10000))/2,(AR442+($I$3/10000))/2))^(2*AQ442/365.25))</f>
        <v/>
      </c>
      <c r="AT442" s="137" t="str">
        <f aca="false">IF(A443="","",IF(AND(mthbeg&lt;=A442,mthend&gt;=A442),1,0))</f>
        <v/>
      </c>
      <c r="AU442" s="137" t="str">
        <f aca="false">IF(A443="","",AO442*AT442)</f>
        <v/>
      </c>
      <c r="AW442" s="195" t="str">
        <f aca="false">IF($A443="","",AL442*$E442)</f>
        <v/>
      </c>
      <c r="AX442" s="195" t="str">
        <f aca="false">IF($A443="","",AM442*$E442)</f>
        <v/>
      </c>
      <c r="AY442" s="195" t="str">
        <f aca="false">IF($A443="","",AN442*$E442)</f>
        <v/>
      </c>
      <c r="BA442" s="195" t="str">
        <f aca="false">IF($A443="","",F442*Summary!$Q$10)</f>
        <v/>
      </c>
    </row>
    <row r="443" customFormat="false" ht="12.75" hidden="false" customHeight="false" outlineLevel="0" collapsed="false">
      <c r="A443" s="196" t="str">
        <f aca="false">IF(A442&lt;mthend,EDATE(A442,1),"")</f>
        <v/>
      </c>
      <c r="B443" s="197" t="str">
        <f aca="false">IF(A443&lt;mthend,B442,"")</f>
        <v/>
      </c>
      <c r="D443" s="197" t="str">
        <f aca="false">IF(A444&lt;&gt;"",B443+C443,"")</f>
        <v/>
      </c>
      <c r="E443" s="199" t="str">
        <f aca="false">IF(A444="","",IF(AND(AT443=1,$H$3=1),D443*AO443,IF($H$3=2,D443,"N/A")))</f>
        <v/>
      </c>
      <c r="F443" s="199" t="str">
        <f aca="false">IF(A444="","",E443*AS443)</f>
        <v/>
      </c>
      <c r="G443" s="200" t="str">
        <f aca="false">IF($A444="","",VLOOKUP($A443,Table,MATCH(G$4,Curves,0)))</f>
        <v/>
      </c>
      <c r="H443" s="201" t="str">
        <f aca="false">IF(A444="","",G443)</f>
        <v/>
      </c>
      <c r="J443" s="200" t="str">
        <f aca="false">IF($A444="","",VLOOKUP($A443,Table,MATCH(J$4,Curves,0)))</f>
        <v/>
      </c>
      <c r="K443" s="201" t="str">
        <f aca="false">IF(A444="","",J443)</f>
        <v/>
      </c>
      <c r="L443" s="185" t="n">
        <v>0</v>
      </c>
      <c r="M443" s="201" t="str">
        <f aca="false">IF(A444="","",L443)</f>
        <v/>
      </c>
      <c r="O443" s="200" t="str">
        <f aca="false">IF(A444="","",L443+J443+G443)</f>
        <v/>
      </c>
      <c r="P443" s="200" t="str">
        <f aca="false">IF(A444="","",M443+K443+H443)</f>
        <v/>
      </c>
      <c r="R443" s="200" t="str">
        <f aca="false">IF($A444="","",VLOOKUP($A443,Table,MATCH(R$4,Curves,0)))</f>
        <v/>
      </c>
      <c r="S443" s="201" t="str">
        <f aca="false">IF(A444="","",R443)</f>
        <v/>
      </c>
      <c r="T443" s="200" t="str">
        <f aca="false">IF($A444="","",VLOOKUP($A443,Table,MATCH(T$4,Curves,0)))</f>
        <v/>
      </c>
      <c r="U443" s="201" t="str">
        <f aca="false">IF(A444="","",T443)</f>
        <v/>
      </c>
      <c r="V443" s="205" t="str">
        <f aca="false">IF($A444="","",IF(AND(MONTH(A443)&gt;3,MONTH(A443)&lt;11),(T443+R443+G443)*Summary!$T$10/(1-Summary!$T$10),(T443+R443+G443)*Summary!$U$10/(1-Summary!$U$10)))</f>
        <v/>
      </c>
      <c r="W443" s="200" t="str">
        <f aca="false">IF($A444="","",(T443+R443+G443+V443))</f>
        <v/>
      </c>
      <c r="X443" s="200" t="str">
        <f aca="false">IF($A444="","",(U443+S443+H443+V443))</f>
        <v/>
      </c>
      <c r="Y443" s="202"/>
      <c r="Z443" s="185"/>
      <c r="AJ443" s="77"/>
      <c r="AK443" s="77"/>
      <c r="AL443" s="77"/>
      <c r="AM443" s="77"/>
      <c r="AN443" s="77"/>
      <c r="AO443" s="137" t="str">
        <f aca="false">IF(A444="","",A444-A443)</f>
        <v/>
      </c>
      <c r="AP443" s="212" t="str">
        <f aca="false">IF(A444="","",CHOOSE(F$3,A444+24,A443))</f>
        <v/>
      </c>
      <c r="AQ443" s="209" t="str">
        <f aca="false">IF(A444="","",AP443-$E$1)</f>
        <v/>
      </c>
      <c r="AR443" s="185" t="n">
        <f aca="false">'ANR OK vs ML7'!AR443</f>
        <v>0.1</v>
      </c>
      <c r="AS443" s="213" t="str">
        <f aca="false">IF(A444="","",1/(1+CHOOSE(F$3,(AR444+($I$3/10000))/2,(AR443+($I$3/10000))/2))^(2*AQ443/365.25))</f>
        <v/>
      </c>
      <c r="AT443" s="137" t="str">
        <f aca="false">IF(A444="","",IF(AND(mthbeg&lt;=A443,mthend&gt;=A443),1,0))</f>
        <v/>
      </c>
      <c r="AU443" s="137" t="str">
        <f aca="false">IF(A444="","",AO443*AT443)</f>
        <v/>
      </c>
      <c r="AW443" s="195" t="str">
        <f aca="false">IF($A444="","",AL443*$E443)</f>
        <v/>
      </c>
      <c r="AX443" s="195" t="str">
        <f aca="false">IF($A444="","",AM443*$E443)</f>
        <v/>
      </c>
      <c r="AY443" s="195" t="str">
        <f aca="false">IF($A444="","",AN443*$E443)</f>
        <v/>
      </c>
      <c r="BA443" s="195" t="str">
        <f aca="false">IF($A444="","",F443*Summary!$Q$10)</f>
        <v/>
      </c>
    </row>
    <row r="444" customFormat="false" ht="12.75" hidden="false" customHeight="false" outlineLevel="0" collapsed="false">
      <c r="A444" s="196" t="str">
        <f aca="false">IF(A443&lt;mthend,EDATE(A443,1),"")</f>
        <v/>
      </c>
      <c r="B444" s="197" t="str">
        <f aca="false">IF(A444&lt;mthend,B443,"")</f>
        <v/>
      </c>
      <c r="D444" s="197" t="str">
        <f aca="false">IF(A445&lt;&gt;"",B444+C444,"")</f>
        <v/>
      </c>
      <c r="E444" s="199" t="str">
        <f aca="false">IF(A445="","",IF(AND(AT444=1,$H$3=1),D444*AO444,IF($H$3=2,D444,"N/A")))</f>
        <v/>
      </c>
      <c r="F444" s="199" t="str">
        <f aca="false">IF(A445="","",E444*AS444)</f>
        <v/>
      </c>
      <c r="G444" s="200" t="str">
        <f aca="false">IF($A445="","",VLOOKUP($A444,Table,MATCH(G$4,Curves,0)))</f>
        <v/>
      </c>
      <c r="H444" s="201" t="str">
        <f aca="false">IF(A445="","",G444)</f>
        <v/>
      </c>
      <c r="J444" s="200" t="str">
        <f aca="false">IF($A445="","",VLOOKUP($A444,Table,MATCH(J$4,Curves,0)))</f>
        <v/>
      </c>
      <c r="K444" s="201" t="str">
        <f aca="false">IF(A445="","",J444)</f>
        <v/>
      </c>
      <c r="L444" s="185" t="n">
        <v>0</v>
      </c>
      <c r="M444" s="201" t="str">
        <f aca="false">IF(A445="","",L444)</f>
        <v/>
      </c>
      <c r="O444" s="200" t="str">
        <f aca="false">IF(A445="","",L444+J444+G444)</f>
        <v/>
      </c>
      <c r="P444" s="200" t="str">
        <f aca="false">IF(A445="","",M444+K444+H444)</f>
        <v/>
      </c>
      <c r="R444" s="200" t="str">
        <f aca="false">IF($A445="","",VLOOKUP($A444,Table,MATCH(R$4,Curves,0)))</f>
        <v/>
      </c>
      <c r="S444" s="201" t="str">
        <f aca="false">IF(A445="","",R444)</f>
        <v/>
      </c>
      <c r="T444" s="200" t="str">
        <f aca="false">IF($A445="","",VLOOKUP($A444,Table,MATCH(T$4,Curves,0)))</f>
        <v/>
      </c>
      <c r="U444" s="201" t="str">
        <f aca="false">IF(A445="","",T444)</f>
        <v/>
      </c>
      <c r="V444" s="205" t="str">
        <f aca="false">IF($A445="","",IF(AND(MONTH(A444)&gt;3,MONTH(A444)&lt;11),(T444+R444+G444)*Summary!$T$10/(1-Summary!$T$10),(T444+R444+G444)*Summary!$U$10/(1-Summary!$U$10)))</f>
        <v/>
      </c>
      <c r="W444" s="200" t="str">
        <f aca="false">IF($A445="","",(T444+R444+G444+V444))</f>
        <v/>
      </c>
      <c r="X444" s="200" t="str">
        <f aca="false">IF($A445="","",(U444+S444+H444+V444))</f>
        <v/>
      </c>
      <c r="Y444" s="202"/>
      <c r="Z444" s="185"/>
      <c r="AJ444" s="77"/>
      <c r="AK444" s="77"/>
      <c r="AL444" s="77"/>
      <c r="AM444" s="77"/>
      <c r="AN444" s="77"/>
      <c r="AO444" s="137" t="str">
        <f aca="false">IF(A445="","",A445-A444)</f>
        <v/>
      </c>
      <c r="AP444" s="212" t="str">
        <f aca="false">IF(A445="","",CHOOSE(F$3,A445+24,A444))</f>
        <v/>
      </c>
      <c r="AQ444" s="209" t="str">
        <f aca="false">IF(A445="","",AP444-$E$1)</f>
        <v/>
      </c>
      <c r="AR444" s="185" t="n">
        <f aca="false">'ANR OK vs ML7'!AR444</f>
        <v>0.1</v>
      </c>
      <c r="AS444" s="213" t="str">
        <f aca="false">IF(A445="","",1/(1+CHOOSE(F$3,(AR445+($I$3/10000))/2,(AR444+($I$3/10000))/2))^(2*AQ444/365.25))</f>
        <v/>
      </c>
      <c r="AT444" s="137" t="str">
        <f aca="false">IF(A445="","",IF(AND(mthbeg&lt;=A444,mthend&gt;=A444),1,0))</f>
        <v/>
      </c>
      <c r="AU444" s="137" t="str">
        <f aca="false">IF(A445="","",AO444*AT444)</f>
        <v/>
      </c>
      <c r="AW444" s="195" t="str">
        <f aca="false">IF($A445="","",AL444*$E444)</f>
        <v/>
      </c>
      <c r="AX444" s="195" t="str">
        <f aca="false">IF($A445="","",AM444*$E444)</f>
        <v/>
      </c>
      <c r="AY444" s="195" t="str">
        <f aca="false">IF($A445="","",AN444*$E444)</f>
        <v/>
      </c>
      <c r="BA444" s="195" t="str">
        <f aca="false">IF($A445="","",F444*Summary!$Q$10)</f>
        <v/>
      </c>
    </row>
    <row r="445" customFormat="false" ht="12.75" hidden="false" customHeight="false" outlineLevel="0" collapsed="false">
      <c r="A445" s="196" t="str">
        <f aca="false">IF(A444&lt;mthend,EDATE(A444,1),"")</f>
        <v/>
      </c>
      <c r="B445" s="197" t="str">
        <f aca="false">IF(A445&lt;mthend,B444,"")</f>
        <v/>
      </c>
      <c r="D445" s="197" t="str">
        <f aca="false">IF(A446&lt;&gt;"",B445+C445,"")</f>
        <v/>
      </c>
      <c r="E445" s="199" t="str">
        <f aca="false">IF(A446="","",IF(AND(AT445=1,$H$3=1),D445*AO445,IF($H$3=2,D445,"N/A")))</f>
        <v/>
      </c>
      <c r="F445" s="199" t="str">
        <f aca="false">IF(A446="","",E445*AS445)</f>
        <v/>
      </c>
      <c r="G445" s="200" t="str">
        <f aca="false">IF($A446="","",VLOOKUP($A445,Table,MATCH(G$4,Curves,0)))</f>
        <v/>
      </c>
      <c r="H445" s="201" t="str">
        <f aca="false">IF(A446="","",G445)</f>
        <v/>
      </c>
      <c r="J445" s="200" t="str">
        <f aca="false">IF($A446="","",VLOOKUP($A445,Table,MATCH(J$4,Curves,0)))</f>
        <v/>
      </c>
      <c r="K445" s="201" t="str">
        <f aca="false">IF(A446="","",J445)</f>
        <v/>
      </c>
      <c r="L445" s="185" t="n">
        <v>0</v>
      </c>
      <c r="M445" s="201" t="str">
        <f aca="false">IF(A446="","",L445)</f>
        <v/>
      </c>
      <c r="O445" s="200" t="str">
        <f aca="false">IF(A446="","",L445+J445+G445)</f>
        <v/>
      </c>
      <c r="P445" s="200" t="str">
        <f aca="false">IF(A446="","",M445+K445+H445)</f>
        <v/>
      </c>
      <c r="R445" s="200" t="str">
        <f aca="false">IF($A446="","",VLOOKUP($A445,Table,MATCH(R$4,Curves,0)))</f>
        <v/>
      </c>
      <c r="S445" s="201" t="str">
        <f aca="false">IF(A446="","",R445)</f>
        <v/>
      </c>
      <c r="T445" s="200" t="str">
        <f aca="false">IF($A446="","",VLOOKUP($A445,Table,MATCH(T$4,Curves,0)))</f>
        <v/>
      </c>
      <c r="U445" s="201" t="str">
        <f aca="false">IF(A446="","",T445)</f>
        <v/>
      </c>
      <c r="V445" s="205" t="str">
        <f aca="false">IF($A446="","",IF(AND(MONTH(A445)&gt;3,MONTH(A445)&lt;11),(T445+R445+G445)*Summary!$T$10/(1-Summary!$T$10),(T445+R445+G445)*Summary!$U$10/(1-Summary!$U$10)))</f>
        <v/>
      </c>
      <c r="W445" s="200" t="str">
        <f aca="false">IF($A446="","",(T445+R445+G445+V445))</f>
        <v/>
      </c>
      <c r="X445" s="200" t="str">
        <f aca="false">IF($A446="","",(U445+S445+H445+V445))</f>
        <v/>
      </c>
      <c r="Y445" s="202"/>
      <c r="Z445" s="185"/>
      <c r="AJ445" s="77"/>
      <c r="AK445" s="77"/>
      <c r="AL445" s="77"/>
      <c r="AM445" s="77"/>
      <c r="AN445" s="77"/>
      <c r="AO445" s="137" t="str">
        <f aca="false">IF(A446="","",A446-A445)</f>
        <v/>
      </c>
      <c r="AP445" s="212" t="str">
        <f aca="false">IF(A446="","",CHOOSE(F$3,A446+24,A445))</f>
        <v/>
      </c>
      <c r="AQ445" s="209" t="str">
        <f aca="false">IF(A446="","",AP445-$E$1)</f>
        <v/>
      </c>
      <c r="AR445" s="185" t="n">
        <f aca="false">'ANR OK vs ML7'!AR445</f>
        <v>0.1</v>
      </c>
      <c r="AS445" s="213" t="str">
        <f aca="false">IF(A446="","",1/(1+CHOOSE(F$3,(AR446+($I$3/10000))/2,(AR445+($I$3/10000))/2))^(2*AQ445/365.25))</f>
        <v/>
      </c>
      <c r="AT445" s="137" t="str">
        <f aca="false">IF(A446="","",IF(AND(mthbeg&lt;=A445,mthend&gt;=A445),1,0))</f>
        <v/>
      </c>
      <c r="AU445" s="137" t="str">
        <f aca="false">IF(A446="","",AO445*AT445)</f>
        <v/>
      </c>
      <c r="AW445" s="195" t="str">
        <f aca="false">IF($A446="","",AL445*$E445)</f>
        <v/>
      </c>
      <c r="AX445" s="195" t="str">
        <f aca="false">IF($A446="","",AM445*$E445)</f>
        <v/>
      </c>
      <c r="AY445" s="195" t="str">
        <f aca="false">IF($A446="","",AN445*$E445)</f>
        <v/>
      </c>
      <c r="BA445" s="195" t="str">
        <f aca="false">IF($A446="","",F445*Summary!$Q$10)</f>
        <v/>
      </c>
    </row>
    <row r="446" customFormat="false" ht="12.75" hidden="false" customHeight="false" outlineLevel="0" collapsed="false">
      <c r="A446" s="196" t="str">
        <f aca="false">IF(A445&lt;mthend,EDATE(A445,1),"")</f>
        <v/>
      </c>
      <c r="B446" s="197" t="str">
        <f aca="false">IF(A446&lt;mthend,B445,"")</f>
        <v/>
      </c>
      <c r="D446" s="197" t="str">
        <f aca="false">IF(A447&lt;&gt;"",B446+C446,"")</f>
        <v/>
      </c>
      <c r="E446" s="199" t="str">
        <f aca="false">IF(A447="","",IF(AND(AT446=1,$H$3=1),D446*AO446,IF($H$3=2,D446,"N/A")))</f>
        <v/>
      </c>
      <c r="F446" s="199" t="str">
        <f aca="false">IF(A447="","",E446*AS446)</f>
        <v/>
      </c>
      <c r="G446" s="200" t="str">
        <f aca="false">IF($A447="","",VLOOKUP($A446,Table,MATCH(G$4,Curves,0)))</f>
        <v/>
      </c>
      <c r="H446" s="201" t="str">
        <f aca="false">IF(A447="","",G446)</f>
        <v/>
      </c>
      <c r="J446" s="200" t="str">
        <f aca="false">IF($A447="","",VLOOKUP($A446,Table,MATCH(J$4,Curves,0)))</f>
        <v/>
      </c>
      <c r="K446" s="201" t="str">
        <f aca="false">IF(A447="","",J446)</f>
        <v/>
      </c>
      <c r="L446" s="185" t="n">
        <v>0</v>
      </c>
      <c r="M446" s="201" t="str">
        <f aca="false">IF(A447="","",L446)</f>
        <v/>
      </c>
      <c r="O446" s="200" t="str">
        <f aca="false">IF(A447="","",L446+J446+G446)</f>
        <v/>
      </c>
      <c r="P446" s="200" t="str">
        <f aca="false">IF(A447="","",M446+K446+H446)</f>
        <v/>
      </c>
      <c r="R446" s="200" t="str">
        <f aca="false">IF($A447="","",VLOOKUP($A446,Table,MATCH(R$4,Curves,0)))</f>
        <v/>
      </c>
      <c r="S446" s="201" t="str">
        <f aca="false">IF(A447="","",R446)</f>
        <v/>
      </c>
      <c r="T446" s="200" t="str">
        <f aca="false">IF($A447="","",VLOOKUP($A446,Table,MATCH(T$4,Curves,0)))</f>
        <v/>
      </c>
      <c r="U446" s="201" t="str">
        <f aca="false">IF(A447="","",T446)</f>
        <v/>
      </c>
      <c r="V446" s="205" t="str">
        <f aca="false">IF($A447="","",IF(AND(MONTH(A446)&gt;3,MONTH(A446)&lt;11),(T446+R446+G446)*Summary!$T$10/(1-Summary!$T$10),(T446+R446+G446)*Summary!$U$10/(1-Summary!$U$10)))</f>
        <v/>
      </c>
      <c r="W446" s="200" t="str">
        <f aca="false">IF($A447="","",(T446+R446+G446+V446))</f>
        <v/>
      </c>
      <c r="X446" s="200" t="str">
        <f aca="false">IF($A447="","",(U446+S446+H446+V446))</f>
        <v/>
      </c>
      <c r="Y446" s="202"/>
      <c r="Z446" s="185"/>
      <c r="AJ446" s="77"/>
      <c r="AK446" s="77"/>
      <c r="AL446" s="77"/>
      <c r="AM446" s="77"/>
      <c r="AN446" s="77"/>
      <c r="AO446" s="137" t="str">
        <f aca="false">IF(A447="","",A447-A446)</f>
        <v/>
      </c>
      <c r="AP446" s="212" t="str">
        <f aca="false">IF(A447="","",CHOOSE(F$3,A447+24,A446))</f>
        <v/>
      </c>
      <c r="AQ446" s="209" t="str">
        <f aca="false">IF(A447="","",AP446-$E$1)</f>
        <v/>
      </c>
      <c r="AR446" s="185" t="n">
        <f aca="false">'ANR OK vs ML7'!AR446</f>
        <v>0.1</v>
      </c>
      <c r="AS446" s="213" t="str">
        <f aca="false">IF(A447="","",1/(1+CHOOSE(F$3,(AR447+($I$3/10000))/2,(AR446+($I$3/10000))/2))^(2*AQ446/365.25))</f>
        <v/>
      </c>
      <c r="AT446" s="137" t="str">
        <f aca="false">IF(A447="","",IF(AND(mthbeg&lt;=A446,mthend&gt;=A446),1,0))</f>
        <v/>
      </c>
      <c r="AU446" s="137" t="str">
        <f aca="false">IF(A447="","",AO446*AT446)</f>
        <v/>
      </c>
      <c r="AW446" s="195" t="str">
        <f aca="false">IF($A447="","",AL446*$E446)</f>
        <v/>
      </c>
      <c r="AX446" s="195" t="str">
        <f aca="false">IF($A447="","",AM446*$E446)</f>
        <v/>
      </c>
      <c r="AY446" s="195" t="str">
        <f aca="false">IF($A447="","",AN446*$E446)</f>
        <v/>
      </c>
      <c r="BA446" s="195" t="str">
        <f aca="false">IF($A447="","",F446*Summary!$Q$10)</f>
        <v/>
      </c>
    </row>
    <row r="447" customFormat="false" ht="12.75" hidden="false" customHeight="false" outlineLevel="0" collapsed="false">
      <c r="A447" s="196" t="str">
        <f aca="false">IF(A446&lt;mthend,EDATE(A446,1),"")</f>
        <v/>
      </c>
      <c r="B447" s="197" t="str">
        <f aca="false">IF(A447&lt;mthend,B446,"")</f>
        <v/>
      </c>
      <c r="D447" s="197" t="str">
        <f aca="false">IF(A448&lt;&gt;"",B447+C447,"")</f>
        <v/>
      </c>
      <c r="E447" s="199" t="str">
        <f aca="false">IF(A448="","",IF(AND(AT447=1,$H$3=1),D447*AO447,IF($H$3=2,D447,"N/A")))</f>
        <v/>
      </c>
      <c r="F447" s="199" t="str">
        <f aca="false">IF(A448="","",E447*AS447)</f>
        <v/>
      </c>
      <c r="G447" s="200" t="str">
        <f aca="false">IF($A448="","",VLOOKUP($A447,Table,MATCH(G$4,Curves,0)))</f>
        <v/>
      </c>
      <c r="H447" s="201" t="str">
        <f aca="false">IF(A448="","",G447)</f>
        <v/>
      </c>
      <c r="J447" s="200" t="str">
        <f aca="false">IF($A448="","",VLOOKUP($A447,Table,MATCH(J$4,Curves,0)))</f>
        <v/>
      </c>
      <c r="K447" s="201" t="str">
        <f aca="false">IF(A448="","",J447)</f>
        <v/>
      </c>
      <c r="L447" s="185" t="n">
        <v>0</v>
      </c>
      <c r="M447" s="201" t="str">
        <f aca="false">IF(A448="","",L447)</f>
        <v/>
      </c>
      <c r="O447" s="200" t="str">
        <f aca="false">IF(A448="","",L447+J447+G447)</f>
        <v/>
      </c>
      <c r="P447" s="200" t="str">
        <f aca="false">IF(A448="","",M447+K447+H447)</f>
        <v/>
      </c>
      <c r="R447" s="200" t="str">
        <f aca="false">IF($A448="","",VLOOKUP($A447,Table,MATCH(R$4,Curves,0)))</f>
        <v/>
      </c>
      <c r="S447" s="201" t="str">
        <f aca="false">IF(A448="","",R447)</f>
        <v/>
      </c>
      <c r="T447" s="200" t="str">
        <f aca="false">IF($A448="","",VLOOKUP($A447,Table,MATCH(T$4,Curves,0)))</f>
        <v/>
      </c>
      <c r="U447" s="201" t="str">
        <f aca="false">IF(A448="","",T447)</f>
        <v/>
      </c>
      <c r="V447" s="205" t="str">
        <f aca="false">IF($A448="","",IF(AND(MONTH(A447)&gt;3,MONTH(A447)&lt;11),(T447+R447+G447)*Summary!$T$10/(1-Summary!$T$10),(T447+R447+G447)*Summary!$U$10/(1-Summary!$U$10)))</f>
        <v/>
      </c>
      <c r="W447" s="200" t="str">
        <f aca="false">IF($A448="","",(T447+R447+G447+V447))</f>
        <v/>
      </c>
      <c r="X447" s="200" t="str">
        <f aca="false">IF($A448="","",(U447+S447+H447+V447))</f>
        <v/>
      </c>
      <c r="Y447" s="202"/>
      <c r="Z447" s="185"/>
      <c r="AJ447" s="77"/>
      <c r="AK447" s="77"/>
      <c r="AL447" s="77"/>
      <c r="AM447" s="77"/>
      <c r="AN447" s="77"/>
      <c r="AO447" s="137" t="str">
        <f aca="false">IF(A448="","",A448-A447)</f>
        <v/>
      </c>
      <c r="AP447" s="212" t="str">
        <f aca="false">IF(A448="","",CHOOSE(F$3,A448+24,A447))</f>
        <v/>
      </c>
      <c r="AQ447" s="209" t="str">
        <f aca="false">IF(A448="","",AP447-$E$1)</f>
        <v/>
      </c>
      <c r="AR447" s="185" t="n">
        <f aca="false">'ANR OK vs ML7'!AR447</f>
        <v>0.1</v>
      </c>
      <c r="AS447" s="213" t="str">
        <f aca="false">IF(A448="","",1/(1+CHOOSE(F$3,(AR448+($I$3/10000))/2,(AR447+($I$3/10000))/2))^(2*AQ447/365.25))</f>
        <v/>
      </c>
      <c r="AT447" s="137" t="str">
        <f aca="false">IF(A448="","",IF(AND(mthbeg&lt;=A447,mthend&gt;=A447),1,0))</f>
        <v/>
      </c>
      <c r="AU447" s="137" t="str">
        <f aca="false">IF(A448="","",AO447*AT447)</f>
        <v/>
      </c>
      <c r="AW447" s="195" t="str">
        <f aca="false">IF($A448="","",AL447*$E447)</f>
        <v/>
      </c>
      <c r="AX447" s="195" t="str">
        <f aca="false">IF($A448="","",AM447*$E447)</f>
        <v/>
      </c>
      <c r="AY447" s="195" t="str">
        <f aca="false">IF($A448="","",AN447*$E447)</f>
        <v/>
      </c>
      <c r="BA447" s="195" t="str">
        <f aca="false">IF($A448="","",F447*Summary!$Q$10)</f>
        <v/>
      </c>
    </row>
    <row r="448" customFormat="false" ht="12.75" hidden="false" customHeight="false" outlineLevel="0" collapsed="false">
      <c r="A448" s="196" t="str">
        <f aca="false">IF(A447&lt;mthend,EDATE(A447,1),"")</f>
        <v/>
      </c>
      <c r="B448" s="197" t="str">
        <f aca="false">IF(A448&lt;mthend,B447,"")</f>
        <v/>
      </c>
      <c r="D448" s="197" t="str">
        <f aca="false">IF(A449&lt;&gt;"",B448+C448,"")</f>
        <v/>
      </c>
      <c r="E448" s="199" t="str">
        <f aca="false">IF(A449="","",IF(AND(AT448=1,$H$3=1),D448*AO448,IF($H$3=2,D448,"N/A")))</f>
        <v/>
      </c>
      <c r="F448" s="199" t="str">
        <f aca="false">IF(A449="","",E448*AS448)</f>
        <v/>
      </c>
      <c r="G448" s="200" t="str">
        <f aca="false">IF($A449="","",VLOOKUP($A448,Table,MATCH(G$4,Curves,0)))</f>
        <v/>
      </c>
      <c r="H448" s="201" t="str">
        <f aca="false">IF(A449="","",G448)</f>
        <v/>
      </c>
      <c r="J448" s="200" t="str">
        <f aca="false">IF($A449="","",VLOOKUP($A448,Table,MATCH(J$4,Curves,0)))</f>
        <v/>
      </c>
      <c r="K448" s="201" t="str">
        <f aca="false">IF(A449="","",J448)</f>
        <v/>
      </c>
      <c r="L448" s="185" t="n">
        <v>0</v>
      </c>
      <c r="M448" s="201" t="str">
        <f aca="false">IF(A449="","",L448)</f>
        <v/>
      </c>
      <c r="O448" s="200" t="str">
        <f aca="false">IF(A449="","",L448+J448+G448)</f>
        <v/>
      </c>
      <c r="P448" s="200" t="str">
        <f aca="false">IF(A449="","",M448+K448+H448)</f>
        <v/>
      </c>
      <c r="R448" s="200" t="str">
        <f aca="false">IF($A449="","",VLOOKUP($A448,Table,MATCH(R$4,Curves,0)))</f>
        <v/>
      </c>
      <c r="S448" s="201" t="str">
        <f aca="false">IF(A449="","",R448)</f>
        <v/>
      </c>
      <c r="T448" s="200" t="str">
        <f aca="false">IF($A449="","",VLOOKUP($A448,Table,MATCH(T$4,Curves,0)))</f>
        <v/>
      </c>
      <c r="U448" s="201" t="str">
        <f aca="false">IF(A449="","",T448)</f>
        <v/>
      </c>
      <c r="V448" s="205" t="str">
        <f aca="false">IF($A449="","",IF(AND(MONTH(A448)&gt;3,MONTH(A448)&lt;11),(T448+R448+G448)*Summary!$T$10/(1-Summary!$T$10),(T448+R448+G448)*Summary!$U$10/(1-Summary!$U$10)))</f>
        <v/>
      </c>
      <c r="W448" s="200" t="str">
        <f aca="false">IF($A449="","",(T448+R448+G448+V448))</f>
        <v/>
      </c>
      <c r="X448" s="200" t="str">
        <f aca="false">IF($A449="","",(U448+S448+H448+V448))</f>
        <v/>
      </c>
      <c r="Y448" s="202"/>
      <c r="Z448" s="185"/>
      <c r="AJ448" s="77"/>
      <c r="AK448" s="77"/>
      <c r="AL448" s="77"/>
      <c r="AM448" s="77"/>
      <c r="AN448" s="77"/>
      <c r="AO448" s="137" t="str">
        <f aca="false">IF(A449="","",A449-A448)</f>
        <v/>
      </c>
      <c r="AP448" s="212" t="str">
        <f aca="false">IF(A449="","",CHOOSE(F$3,A449+24,A448))</f>
        <v/>
      </c>
      <c r="AQ448" s="209" t="str">
        <f aca="false">IF(A449="","",AP448-$E$1)</f>
        <v/>
      </c>
      <c r="AR448" s="185" t="n">
        <f aca="false">'ANR OK vs ML7'!AR448</f>
        <v>0.1</v>
      </c>
      <c r="AS448" s="213" t="str">
        <f aca="false">IF(A449="","",1/(1+CHOOSE(F$3,(AR449+($I$3/10000))/2,(AR448+($I$3/10000))/2))^(2*AQ448/365.25))</f>
        <v/>
      </c>
      <c r="AT448" s="137" t="str">
        <f aca="false">IF(A449="","",IF(AND(mthbeg&lt;=A448,mthend&gt;=A448),1,0))</f>
        <v/>
      </c>
      <c r="AU448" s="137" t="str">
        <f aca="false">IF(A449="","",AO448*AT448)</f>
        <v/>
      </c>
      <c r="AW448" s="195" t="str">
        <f aca="false">IF($A449="","",AL448*$E448)</f>
        <v/>
      </c>
      <c r="AX448" s="195" t="str">
        <f aca="false">IF($A449="","",AM448*$E448)</f>
        <v/>
      </c>
      <c r="AY448" s="195" t="str">
        <f aca="false">IF($A449="","",AN448*$E448)</f>
        <v/>
      </c>
      <c r="BA448" s="195" t="str">
        <f aca="false">IF($A449="","",F448*Summary!$Q$10)</f>
        <v/>
      </c>
    </row>
    <row r="449" customFormat="false" ht="12.75" hidden="false" customHeight="false" outlineLevel="0" collapsed="false">
      <c r="A449" s="196" t="str">
        <f aca="false">IF(A448&lt;mthend,EDATE(A448,1),"")</f>
        <v/>
      </c>
      <c r="B449" s="197" t="str">
        <f aca="false">IF(A449&lt;mthend,B448,"")</f>
        <v/>
      </c>
      <c r="D449" s="197" t="str">
        <f aca="false">IF(A450&lt;&gt;"",B449+C449,"")</f>
        <v/>
      </c>
      <c r="E449" s="199" t="str">
        <f aca="false">IF(A450="","",IF(AND(AT449=1,$H$3=1),D449*AO449,IF($H$3=2,D449,"N/A")))</f>
        <v/>
      </c>
      <c r="F449" s="199" t="str">
        <f aca="false">IF(A450="","",E449*AS449)</f>
        <v/>
      </c>
      <c r="G449" s="200" t="str">
        <f aca="false">IF($A450="","",VLOOKUP($A449,Table,MATCH(G$4,Curves,0)))</f>
        <v/>
      </c>
      <c r="H449" s="201" t="str">
        <f aca="false">IF(A450="","",G449)</f>
        <v/>
      </c>
      <c r="J449" s="200" t="str">
        <f aca="false">IF($A450="","",VLOOKUP($A449,Table,MATCH(J$4,Curves,0)))</f>
        <v/>
      </c>
      <c r="K449" s="201" t="str">
        <f aca="false">IF(A450="","",J449)</f>
        <v/>
      </c>
      <c r="L449" s="185" t="n">
        <v>0</v>
      </c>
      <c r="M449" s="201" t="str">
        <f aca="false">IF(A450="","",L449)</f>
        <v/>
      </c>
      <c r="O449" s="200" t="str">
        <f aca="false">IF(A450="","",L449+J449+G449)</f>
        <v/>
      </c>
      <c r="P449" s="200" t="str">
        <f aca="false">IF(A450="","",M449+K449+H449)</f>
        <v/>
      </c>
      <c r="R449" s="200" t="str">
        <f aca="false">IF($A450="","",VLOOKUP($A449,Table,MATCH(R$4,Curves,0)))</f>
        <v/>
      </c>
      <c r="S449" s="201" t="str">
        <f aca="false">IF(A450="","",R449)</f>
        <v/>
      </c>
      <c r="T449" s="200" t="str">
        <f aca="false">IF($A450="","",VLOOKUP($A449,Table,MATCH(T$4,Curves,0)))</f>
        <v/>
      </c>
      <c r="U449" s="201" t="str">
        <f aca="false">IF(A450="","",T449)</f>
        <v/>
      </c>
      <c r="V449" s="205" t="str">
        <f aca="false">IF($A450="","",IF(AND(MONTH(A449)&gt;3,MONTH(A449)&lt;11),(T449+R449+G449)*Summary!$T$10/(1-Summary!$T$10),(T449+R449+G449)*Summary!$U$10/(1-Summary!$U$10)))</f>
        <v/>
      </c>
      <c r="W449" s="200" t="str">
        <f aca="false">IF($A450="","",(T449+R449+G449+V449))</f>
        <v/>
      </c>
      <c r="X449" s="200" t="str">
        <f aca="false">IF($A450="","",(U449+S449+H449+V449))</f>
        <v/>
      </c>
      <c r="Y449" s="202"/>
      <c r="Z449" s="185"/>
      <c r="AJ449" s="77"/>
      <c r="AK449" s="77"/>
      <c r="AL449" s="77"/>
      <c r="AM449" s="77"/>
      <c r="AN449" s="77"/>
      <c r="AO449" s="137" t="str">
        <f aca="false">IF(A450="","",A450-A449)</f>
        <v/>
      </c>
      <c r="AP449" s="212" t="str">
        <f aca="false">IF(A450="","",CHOOSE(F$3,A450+24,A449))</f>
        <v/>
      </c>
      <c r="AQ449" s="209" t="str">
        <f aca="false">IF(A450="","",AP449-$E$1)</f>
        <v/>
      </c>
      <c r="AR449" s="185" t="n">
        <f aca="false">'ANR OK vs ML7'!AR449</f>
        <v>0.1</v>
      </c>
      <c r="AS449" s="213" t="str">
        <f aca="false">IF(A450="","",1/(1+CHOOSE(F$3,(AR450+($I$3/10000))/2,(AR449+($I$3/10000))/2))^(2*AQ449/365.25))</f>
        <v/>
      </c>
      <c r="AT449" s="137" t="str">
        <f aca="false">IF(A450="","",IF(AND(mthbeg&lt;=A449,mthend&gt;=A449),1,0))</f>
        <v/>
      </c>
      <c r="AU449" s="137" t="str">
        <f aca="false">IF(A450="","",AO449*AT449)</f>
        <v/>
      </c>
      <c r="AW449" s="195" t="str">
        <f aca="false">IF($A450="","",AL449*$E449)</f>
        <v/>
      </c>
      <c r="AX449" s="195" t="str">
        <f aca="false">IF($A450="","",AM449*$E449)</f>
        <v/>
      </c>
      <c r="AY449" s="195" t="str">
        <f aca="false">IF($A450="","",AN449*$E449)</f>
        <v/>
      </c>
      <c r="BA449" s="195" t="str">
        <f aca="false">IF($A450="","",F449*Summary!$Q$10)</f>
        <v/>
      </c>
    </row>
    <row r="450" customFormat="false" ht="12.75" hidden="false" customHeight="false" outlineLevel="0" collapsed="false">
      <c r="A450" s="196" t="str">
        <f aca="false">IF(A449&lt;mthend,EDATE(A449,1),"")</f>
        <v/>
      </c>
      <c r="B450" s="197" t="str">
        <f aca="false">IF(A450&lt;mthend,B449,"")</f>
        <v/>
      </c>
      <c r="D450" s="197" t="str">
        <f aca="false">IF(A451&lt;&gt;"",B450+C450,"")</f>
        <v/>
      </c>
      <c r="E450" s="199" t="str">
        <f aca="false">IF(A451="","",IF(AND(AT450=1,$H$3=1),D450*AO450,IF($H$3=2,D450,"N/A")))</f>
        <v/>
      </c>
      <c r="F450" s="199" t="str">
        <f aca="false">IF(A451="","",E450*AS450)</f>
        <v/>
      </c>
      <c r="G450" s="200" t="str">
        <f aca="false">IF($A451="","",VLOOKUP($A450,Table,MATCH(G$4,Curves,0)))</f>
        <v/>
      </c>
      <c r="H450" s="201" t="str">
        <f aca="false">IF(A451="","",G450)</f>
        <v/>
      </c>
      <c r="J450" s="200" t="str">
        <f aca="false">IF($A451="","",VLOOKUP($A450,Table,MATCH(J$4,Curves,0)))</f>
        <v/>
      </c>
      <c r="K450" s="201" t="str">
        <f aca="false">IF(A451="","",J450)</f>
        <v/>
      </c>
      <c r="L450" s="185" t="n">
        <v>0</v>
      </c>
      <c r="M450" s="201" t="str">
        <f aca="false">IF(A451="","",L450)</f>
        <v/>
      </c>
      <c r="O450" s="200" t="str">
        <f aca="false">IF(A451="","",L450+J450+G450)</f>
        <v/>
      </c>
      <c r="P450" s="200" t="str">
        <f aca="false">IF(A451="","",M450+K450+H450)</f>
        <v/>
      </c>
      <c r="R450" s="200" t="str">
        <f aca="false">IF($A451="","",VLOOKUP($A450,Table,MATCH(R$4,Curves,0)))</f>
        <v/>
      </c>
      <c r="S450" s="201" t="str">
        <f aca="false">IF(A451="","",R450)</f>
        <v/>
      </c>
      <c r="T450" s="200" t="str">
        <f aca="false">IF($A451="","",VLOOKUP($A450,Table,MATCH(T$4,Curves,0)))</f>
        <v/>
      </c>
      <c r="U450" s="201" t="str">
        <f aca="false">IF(A451="","",T450)</f>
        <v/>
      </c>
      <c r="V450" s="205" t="str">
        <f aca="false">IF($A451="","",IF(AND(MONTH(A450)&gt;3,MONTH(A450)&lt;11),(T450+R450+G450)*Summary!$T$10/(1-Summary!$T$10),(T450+R450+G450)*Summary!$U$10/(1-Summary!$U$10)))</f>
        <v/>
      </c>
      <c r="W450" s="200" t="str">
        <f aca="false">IF($A451="","",(T450+R450+G450+V450))</f>
        <v/>
      </c>
      <c r="X450" s="200" t="str">
        <f aca="false">IF($A451="","",(U450+S450+H450+V450))</f>
        <v/>
      </c>
      <c r="Y450" s="202"/>
      <c r="Z450" s="185"/>
      <c r="AJ450" s="77"/>
      <c r="AK450" s="77"/>
      <c r="AL450" s="77"/>
      <c r="AM450" s="77"/>
      <c r="AN450" s="77"/>
      <c r="AO450" s="137" t="str">
        <f aca="false">IF(A451="","",A451-A450)</f>
        <v/>
      </c>
      <c r="AP450" s="212" t="str">
        <f aca="false">IF(A451="","",CHOOSE(F$3,A451+24,A450))</f>
        <v/>
      </c>
      <c r="AQ450" s="209" t="str">
        <f aca="false">IF(A451="","",AP450-$E$1)</f>
        <v/>
      </c>
      <c r="AR450" s="185" t="n">
        <f aca="false">'ANR OK vs ML7'!AR450</f>
        <v>0.1</v>
      </c>
      <c r="AS450" s="213" t="str">
        <f aca="false">IF(A451="","",1/(1+CHOOSE(F$3,(AR451+($I$3/10000))/2,(AR450+($I$3/10000))/2))^(2*AQ450/365.25))</f>
        <v/>
      </c>
      <c r="AT450" s="137" t="str">
        <f aca="false">IF(A451="","",IF(AND(mthbeg&lt;=A450,mthend&gt;=A450),1,0))</f>
        <v/>
      </c>
      <c r="AU450" s="137" t="str">
        <f aca="false">IF(A451="","",AO450*AT450)</f>
        <v/>
      </c>
      <c r="AW450" s="195" t="str">
        <f aca="false">IF($A451="","",AL450*$E450)</f>
        <v/>
      </c>
      <c r="AX450" s="195" t="str">
        <f aca="false">IF($A451="","",AM450*$E450)</f>
        <v/>
      </c>
      <c r="AY450" s="195" t="str">
        <f aca="false">IF($A451="","",AN450*$E450)</f>
        <v/>
      </c>
      <c r="BA450" s="195" t="str">
        <f aca="false">IF($A451="","",F450*Summary!$Q$10)</f>
        <v/>
      </c>
    </row>
    <row r="451" customFormat="false" ht="12.75" hidden="false" customHeight="false" outlineLevel="0" collapsed="false">
      <c r="A451" s="196" t="str">
        <f aca="false">IF(A450&lt;mthend,EDATE(A450,1),"")</f>
        <v/>
      </c>
      <c r="B451" s="197" t="str">
        <f aca="false">IF(A451&lt;mthend,B450,"")</f>
        <v/>
      </c>
      <c r="D451" s="197" t="str">
        <f aca="false">IF(A452&lt;&gt;"",B451+C451,"")</f>
        <v/>
      </c>
      <c r="E451" s="199" t="str">
        <f aca="false">IF(A452="","",IF(AND(AT451=1,$H$3=1),D451*AO451,IF($H$3=2,D451,"N/A")))</f>
        <v/>
      </c>
      <c r="F451" s="199" t="str">
        <f aca="false">IF(A452="","",E451*AS451)</f>
        <v/>
      </c>
      <c r="G451" s="200" t="str">
        <f aca="false">IF($A452="","",VLOOKUP($A451,Table,MATCH(G$4,Curves,0)))</f>
        <v/>
      </c>
      <c r="H451" s="201" t="str">
        <f aca="false">IF(A452="","",G451)</f>
        <v/>
      </c>
      <c r="J451" s="200" t="str">
        <f aca="false">IF($A452="","",VLOOKUP($A451,Table,MATCH(J$4,Curves,0)))</f>
        <v/>
      </c>
      <c r="K451" s="201" t="str">
        <f aca="false">IF(A452="","",J451)</f>
        <v/>
      </c>
      <c r="L451" s="185" t="n">
        <v>0</v>
      </c>
      <c r="M451" s="201" t="str">
        <f aca="false">IF(A452="","",L451)</f>
        <v/>
      </c>
      <c r="O451" s="200" t="str">
        <f aca="false">IF(A452="","",L451+J451+G451)</f>
        <v/>
      </c>
      <c r="P451" s="200" t="str">
        <f aca="false">IF(A452="","",M451+K451+H451)</f>
        <v/>
      </c>
      <c r="R451" s="200" t="str">
        <f aca="false">IF($A452="","",VLOOKUP($A451,Table,MATCH(R$4,Curves,0)))</f>
        <v/>
      </c>
      <c r="S451" s="201" t="str">
        <f aca="false">IF(A452="","",R451)</f>
        <v/>
      </c>
      <c r="T451" s="200" t="str">
        <f aca="false">IF($A452="","",VLOOKUP($A451,Table,MATCH(T$4,Curves,0)))</f>
        <v/>
      </c>
      <c r="U451" s="201" t="str">
        <f aca="false">IF(A452="","",T451)</f>
        <v/>
      </c>
      <c r="V451" s="205" t="str">
        <f aca="false">IF($A452="","",IF(AND(MONTH(A451)&gt;3,MONTH(A451)&lt;11),(T451+R451+G451)*Summary!$T$10/(1-Summary!$T$10),(T451+R451+G451)*Summary!$U$10/(1-Summary!$U$10)))</f>
        <v/>
      </c>
      <c r="W451" s="200" t="str">
        <f aca="false">IF($A452="","",(T451+R451+G451+V451))</f>
        <v/>
      </c>
      <c r="X451" s="200" t="str">
        <f aca="false">IF($A452="","",(U451+S451+H451+V451))</f>
        <v/>
      </c>
      <c r="Y451" s="202"/>
      <c r="Z451" s="185"/>
      <c r="AJ451" s="77"/>
      <c r="AK451" s="77"/>
      <c r="AL451" s="77"/>
      <c r="AM451" s="77"/>
      <c r="AN451" s="77"/>
      <c r="AO451" s="137" t="str">
        <f aca="false">IF(A452="","",A452-A451)</f>
        <v/>
      </c>
      <c r="AP451" s="212" t="str">
        <f aca="false">IF(A452="","",CHOOSE(F$3,A452+24,A451))</f>
        <v/>
      </c>
      <c r="AQ451" s="209" t="str">
        <f aca="false">IF(A452="","",AP451-$E$1)</f>
        <v/>
      </c>
      <c r="AR451" s="185" t="n">
        <f aca="false">'ANR OK vs ML7'!AR451</f>
        <v>0.1</v>
      </c>
      <c r="AS451" s="213" t="str">
        <f aca="false">IF(A452="","",1/(1+CHOOSE(F$3,(AR452+($I$3/10000))/2,(AR451+($I$3/10000))/2))^(2*AQ451/365.25))</f>
        <v/>
      </c>
      <c r="AT451" s="137" t="str">
        <f aca="false">IF(A452="","",IF(AND(mthbeg&lt;=A451,mthend&gt;=A451),1,0))</f>
        <v/>
      </c>
      <c r="AU451" s="137" t="str">
        <f aca="false">IF(A452="","",AO451*AT451)</f>
        <v/>
      </c>
      <c r="AW451" s="195" t="str">
        <f aca="false">IF($A452="","",AL451*$E451)</f>
        <v/>
      </c>
      <c r="AX451" s="195" t="str">
        <f aca="false">IF($A452="","",AM451*$E451)</f>
        <v/>
      </c>
      <c r="AY451" s="195" t="str">
        <f aca="false">IF($A452="","",AN451*$E451)</f>
        <v/>
      </c>
      <c r="BA451" s="195" t="str">
        <f aca="false">IF($A452="","",F451*Summary!$Q$10)</f>
        <v/>
      </c>
    </row>
    <row r="452" customFormat="false" ht="12.75" hidden="false" customHeight="false" outlineLevel="0" collapsed="false">
      <c r="A452" s="196" t="str">
        <f aca="false">IF(A451&lt;mthend,EDATE(A451,1),"")</f>
        <v/>
      </c>
      <c r="B452" s="197" t="str">
        <f aca="false">IF(A452&lt;mthend,B451,"")</f>
        <v/>
      </c>
      <c r="D452" s="197" t="str">
        <f aca="false">IF(A453&lt;&gt;"",B452+C452,"")</f>
        <v/>
      </c>
      <c r="E452" s="199" t="str">
        <f aca="false">IF(A453="","",IF(AND(AT452=1,$H$3=1),D452*AO452,IF($H$3=2,D452,"N/A")))</f>
        <v/>
      </c>
      <c r="F452" s="199" t="str">
        <f aca="false">IF(A453="","",E452*AS452)</f>
        <v/>
      </c>
      <c r="G452" s="200" t="str">
        <f aca="false">IF($A453="","",VLOOKUP($A452,Table,MATCH(G$4,Curves,0)))</f>
        <v/>
      </c>
      <c r="H452" s="201" t="str">
        <f aca="false">IF(A453="","",G452)</f>
        <v/>
      </c>
      <c r="J452" s="200" t="str">
        <f aca="false">IF($A453="","",VLOOKUP($A452,Table,MATCH(J$4,Curves,0)))</f>
        <v/>
      </c>
      <c r="K452" s="201" t="str">
        <f aca="false">IF(A453="","",J452)</f>
        <v/>
      </c>
      <c r="L452" s="185" t="n">
        <v>0</v>
      </c>
      <c r="M452" s="201" t="str">
        <f aca="false">IF(A453="","",L452)</f>
        <v/>
      </c>
      <c r="O452" s="200" t="str">
        <f aca="false">IF(A453="","",L452+J452+G452)</f>
        <v/>
      </c>
      <c r="P452" s="200" t="str">
        <f aca="false">IF(A453="","",M452+K452+H452)</f>
        <v/>
      </c>
      <c r="R452" s="200" t="str">
        <f aca="false">IF($A453="","",VLOOKUP($A452,Table,MATCH(R$4,Curves,0)))</f>
        <v/>
      </c>
      <c r="S452" s="201" t="str">
        <f aca="false">IF(A453="","",R452)</f>
        <v/>
      </c>
      <c r="T452" s="200" t="str">
        <f aca="false">IF($A453="","",VLOOKUP($A452,Table,MATCH(T$4,Curves,0)))</f>
        <v/>
      </c>
      <c r="U452" s="201" t="str">
        <f aca="false">IF(A453="","",T452)</f>
        <v/>
      </c>
      <c r="V452" s="205" t="str">
        <f aca="false">IF($A453="","",IF(AND(MONTH(A452)&gt;3,MONTH(A452)&lt;11),(T452+R452+G452)*Summary!$T$10/(1-Summary!$T$10),(T452+R452+G452)*Summary!$U$10/(1-Summary!$U$10)))</f>
        <v/>
      </c>
      <c r="W452" s="200" t="str">
        <f aca="false">IF($A453="","",(T452+R452+G452+V452))</f>
        <v/>
      </c>
      <c r="X452" s="200" t="str">
        <f aca="false">IF($A453="","",(U452+S452+H452+V452))</f>
        <v/>
      </c>
      <c r="Y452" s="202"/>
      <c r="Z452" s="185"/>
      <c r="AJ452" s="77"/>
      <c r="AK452" s="77"/>
      <c r="AL452" s="77"/>
      <c r="AM452" s="77"/>
      <c r="AN452" s="77"/>
      <c r="AO452" s="137" t="str">
        <f aca="false">IF(A453="","",A453-A452)</f>
        <v/>
      </c>
      <c r="AP452" s="212" t="str">
        <f aca="false">IF(A453="","",CHOOSE(F$3,A453+24,A452))</f>
        <v/>
      </c>
      <c r="AQ452" s="209" t="str">
        <f aca="false">IF(A453="","",AP452-$E$1)</f>
        <v/>
      </c>
      <c r="AR452" s="185" t="n">
        <f aca="false">'ANR OK vs ML7'!AR452</f>
        <v>0.1</v>
      </c>
      <c r="AS452" s="213" t="str">
        <f aca="false">IF(A453="","",1/(1+CHOOSE(F$3,(AR453+($I$3/10000))/2,(AR452+($I$3/10000))/2))^(2*AQ452/365.25))</f>
        <v/>
      </c>
      <c r="AT452" s="137" t="str">
        <f aca="false">IF(A453="","",IF(AND(mthbeg&lt;=A452,mthend&gt;=A452),1,0))</f>
        <v/>
      </c>
      <c r="AU452" s="137" t="str">
        <f aca="false">IF(A453="","",AO452*AT452)</f>
        <v/>
      </c>
      <c r="AW452" s="195" t="str">
        <f aca="false">IF($A453="","",AL452*$E452)</f>
        <v/>
      </c>
      <c r="AX452" s="195" t="str">
        <f aca="false">IF($A453="","",AM452*$E452)</f>
        <v/>
      </c>
      <c r="AY452" s="195" t="str">
        <f aca="false">IF($A453="","",AN452*$E452)</f>
        <v/>
      </c>
      <c r="BA452" s="195" t="str">
        <f aca="false">IF($A453="","",F452*Summary!$Q$10)</f>
        <v/>
      </c>
    </row>
    <row r="453" customFormat="false" ht="12.75" hidden="false" customHeight="false" outlineLevel="0" collapsed="false">
      <c r="A453" s="196" t="str">
        <f aca="false">IF(A452&lt;mthend,EDATE(A452,1),"")</f>
        <v/>
      </c>
      <c r="B453" s="197" t="str">
        <f aca="false">IF(A453&lt;mthend,B452,"")</f>
        <v/>
      </c>
      <c r="D453" s="197" t="str">
        <f aca="false">IF(A454&lt;&gt;"",B453+C453,"")</f>
        <v/>
      </c>
      <c r="E453" s="199" t="str">
        <f aca="false">IF(A454="","",IF(AND(AT453=1,$H$3=1),D453*AO453,IF($H$3=2,D453,"N/A")))</f>
        <v/>
      </c>
      <c r="F453" s="199" t="str">
        <f aca="false">IF(A454="","",E453*AS453)</f>
        <v/>
      </c>
      <c r="G453" s="200" t="str">
        <f aca="false">IF($A454="","",VLOOKUP($A453,Table,MATCH(G$4,Curves,0)))</f>
        <v/>
      </c>
      <c r="H453" s="201" t="str">
        <f aca="false">IF(A454="","",G453)</f>
        <v/>
      </c>
      <c r="J453" s="200" t="str">
        <f aca="false">IF($A454="","",VLOOKUP($A453,Table,MATCH(J$4,Curves,0)))</f>
        <v/>
      </c>
      <c r="K453" s="201" t="str">
        <f aca="false">IF(A454="","",J453)</f>
        <v/>
      </c>
      <c r="L453" s="185" t="n">
        <v>0</v>
      </c>
      <c r="M453" s="201" t="str">
        <f aca="false">IF(A454="","",L453)</f>
        <v/>
      </c>
      <c r="O453" s="200" t="str">
        <f aca="false">IF(A454="","",L453+J453+G453)</f>
        <v/>
      </c>
      <c r="P453" s="200" t="str">
        <f aca="false">IF(A454="","",M453+K453+H453)</f>
        <v/>
      </c>
      <c r="R453" s="200" t="str">
        <f aca="false">IF($A454="","",VLOOKUP($A453,Table,MATCH(R$4,Curves,0)))</f>
        <v/>
      </c>
      <c r="S453" s="201" t="str">
        <f aca="false">IF(A454="","",R453)</f>
        <v/>
      </c>
      <c r="T453" s="200" t="str">
        <f aca="false">IF($A454="","",VLOOKUP($A453,Table,MATCH(T$4,Curves,0)))</f>
        <v/>
      </c>
      <c r="U453" s="201" t="str">
        <f aca="false">IF(A454="","",T453)</f>
        <v/>
      </c>
      <c r="V453" s="205" t="str">
        <f aca="false">IF($A454="","",IF(AND(MONTH(A453)&gt;3,MONTH(A453)&lt;11),(T453+R453+G453)*Summary!$T$10/(1-Summary!$T$10),(T453+R453+G453)*Summary!$U$10/(1-Summary!$U$10)))</f>
        <v/>
      </c>
      <c r="W453" s="200" t="str">
        <f aca="false">IF($A454="","",(T453+R453+G453+V453))</f>
        <v/>
      </c>
      <c r="X453" s="200" t="str">
        <f aca="false">IF($A454="","",(U453+S453+H453+V453))</f>
        <v/>
      </c>
      <c r="Y453" s="202"/>
      <c r="Z453" s="185"/>
      <c r="AJ453" s="77"/>
      <c r="AK453" s="77"/>
      <c r="AL453" s="77"/>
      <c r="AM453" s="77"/>
      <c r="AN453" s="77"/>
      <c r="AO453" s="137" t="str">
        <f aca="false">IF(A454="","",A454-A453)</f>
        <v/>
      </c>
      <c r="AP453" s="212" t="str">
        <f aca="false">IF(A454="","",CHOOSE(F$3,A454+24,A453))</f>
        <v/>
      </c>
      <c r="AQ453" s="209" t="str">
        <f aca="false">IF(A454="","",AP453-$E$1)</f>
        <v/>
      </c>
      <c r="AR453" s="185" t="n">
        <f aca="false">'ANR OK vs ML7'!AR453</f>
        <v>0.1</v>
      </c>
      <c r="AS453" s="213" t="str">
        <f aca="false">IF(A454="","",1/(1+CHOOSE(F$3,(AR454+($I$3/10000))/2,(AR453+($I$3/10000))/2))^(2*AQ453/365.25))</f>
        <v/>
      </c>
      <c r="AT453" s="137" t="str">
        <f aca="false">IF(A454="","",IF(AND(mthbeg&lt;=A453,mthend&gt;=A453),1,0))</f>
        <v/>
      </c>
      <c r="AU453" s="137" t="str">
        <f aca="false">IF(A454="","",AO453*AT453)</f>
        <v/>
      </c>
      <c r="AW453" s="195" t="str">
        <f aca="false">IF($A454="","",AL453*$E453)</f>
        <v/>
      </c>
      <c r="AX453" s="195" t="str">
        <f aca="false">IF($A454="","",AM453*$E453)</f>
        <v/>
      </c>
      <c r="AY453" s="195" t="str">
        <f aca="false">IF($A454="","",AN453*$E453)</f>
        <v/>
      </c>
      <c r="BA453" s="195" t="str">
        <f aca="false">IF($A454="","",F453*Summary!$Q$10)</f>
        <v/>
      </c>
    </row>
    <row r="454" customFormat="false" ht="12.75" hidden="false" customHeight="false" outlineLevel="0" collapsed="false">
      <c r="A454" s="196" t="str">
        <f aca="false">IF(A453&lt;mthend,EDATE(A453,1),"")</f>
        <v/>
      </c>
      <c r="B454" s="197" t="str">
        <f aca="false">IF(A454&lt;mthend,B453,"")</f>
        <v/>
      </c>
      <c r="D454" s="197" t="str">
        <f aca="false">IF(A455&lt;&gt;"",B454+C454,"")</f>
        <v/>
      </c>
      <c r="E454" s="199" t="str">
        <f aca="false">IF(A455="","",IF(AND(AT454=1,$H$3=1),D454*AO454,IF($H$3=2,D454,"N/A")))</f>
        <v/>
      </c>
      <c r="F454" s="199" t="str">
        <f aca="false">IF(A455="","",E454*AS454)</f>
        <v/>
      </c>
      <c r="G454" s="200" t="str">
        <f aca="false">IF($A455="","",VLOOKUP($A454,Table,MATCH(G$4,Curves,0)))</f>
        <v/>
      </c>
      <c r="H454" s="201" t="str">
        <f aca="false">IF(A455="","",G454)</f>
        <v/>
      </c>
      <c r="J454" s="200" t="str">
        <f aca="false">IF($A455="","",VLOOKUP($A454,Table,MATCH(J$4,Curves,0)))</f>
        <v/>
      </c>
      <c r="K454" s="201" t="str">
        <f aca="false">IF(A455="","",J454)</f>
        <v/>
      </c>
      <c r="L454" s="185" t="n">
        <v>0</v>
      </c>
      <c r="M454" s="201" t="str">
        <f aca="false">IF(A455="","",L454)</f>
        <v/>
      </c>
      <c r="O454" s="200" t="str">
        <f aca="false">IF(A455="","",L454+J454+G454)</f>
        <v/>
      </c>
      <c r="P454" s="200" t="str">
        <f aca="false">IF(A455="","",M454+K454+H454)</f>
        <v/>
      </c>
      <c r="R454" s="200" t="str">
        <f aca="false">IF($A455="","",VLOOKUP($A454,Table,MATCH(R$4,Curves,0)))</f>
        <v/>
      </c>
      <c r="S454" s="201" t="str">
        <f aca="false">IF(A455="","",R454)</f>
        <v/>
      </c>
      <c r="T454" s="200" t="str">
        <f aca="false">IF($A455="","",VLOOKUP($A454,Table,MATCH(T$4,Curves,0)))</f>
        <v/>
      </c>
      <c r="U454" s="201" t="str">
        <f aca="false">IF(A455="","",T454)</f>
        <v/>
      </c>
      <c r="V454" s="205" t="str">
        <f aca="false">IF($A455="","",IF(AND(MONTH(A454)&gt;3,MONTH(A454)&lt;11),(T454+R454+G454)*Summary!$T$10/(1-Summary!$T$10),(T454+R454+G454)*Summary!$U$10/(1-Summary!$U$10)))</f>
        <v/>
      </c>
      <c r="W454" s="200" t="str">
        <f aca="false">IF($A455="","",(T454+R454+G454+V454))</f>
        <v/>
      </c>
      <c r="X454" s="200" t="str">
        <f aca="false">IF($A455="","",(U454+S454+H454+V454))</f>
        <v/>
      </c>
      <c r="Y454" s="202"/>
      <c r="Z454" s="185"/>
      <c r="AJ454" s="77"/>
      <c r="AK454" s="77"/>
      <c r="AL454" s="77"/>
      <c r="AM454" s="77"/>
      <c r="AN454" s="77"/>
      <c r="AO454" s="137" t="str">
        <f aca="false">IF(A455="","",A455-A454)</f>
        <v/>
      </c>
      <c r="AP454" s="212" t="str">
        <f aca="false">IF(A455="","",CHOOSE(F$3,A455+24,A454))</f>
        <v/>
      </c>
      <c r="AQ454" s="209" t="str">
        <f aca="false">IF(A455="","",AP454-$E$1)</f>
        <v/>
      </c>
      <c r="AR454" s="185" t="n">
        <f aca="false">'ANR OK vs ML7'!AR454</f>
        <v>0.1</v>
      </c>
      <c r="AS454" s="213" t="str">
        <f aca="false">IF(A455="","",1/(1+CHOOSE(F$3,(AR455+($I$3/10000))/2,(AR454+($I$3/10000))/2))^(2*AQ454/365.25))</f>
        <v/>
      </c>
      <c r="AT454" s="137" t="str">
        <f aca="false">IF(A455="","",IF(AND(mthbeg&lt;=A454,mthend&gt;=A454),1,0))</f>
        <v/>
      </c>
      <c r="AU454" s="137" t="str">
        <f aca="false">IF(A455="","",AO454*AT454)</f>
        <v/>
      </c>
      <c r="AW454" s="195" t="str">
        <f aca="false">IF($A455="","",AL454*$E454)</f>
        <v/>
      </c>
      <c r="AX454" s="195" t="str">
        <f aca="false">IF($A455="","",AM454*$E454)</f>
        <v/>
      </c>
      <c r="AY454" s="195" t="str">
        <f aca="false">IF($A455="","",AN454*$E454)</f>
        <v/>
      </c>
      <c r="BA454" s="195" t="str">
        <f aca="false">IF($A455="","",F454*Summary!$Q$10)</f>
        <v/>
      </c>
    </row>
    <row r="455" customFormat="false" ht="12.75" hidden="false" customHeight="false" outlineLevel="0" collapsed="false">
      <c r="A455" s="196" t="str">
        <f aca="false">IF(A454&lt;mthend,EDATE(A454,1),"")</f>
        <v/>
      </c>
      <c r="B455" s="197" t="str">
        <f aca="false">IF(A455&lt;mthend,B454,"")</f>
        <v/>
      </c>
      <c r="D455" s="197" t="str">
        <f aca="false">IF(A456&lt;&gt;"",B455+C455,"")</f>
        <v/>
      </c>
      <c r="E455" s="199" t="str">
        <f aca="false">IF(A456="","",IF(AND(AT455=1,$H$3=1),D455*AO455,IF($H$3=2,D455,"N/A")))</f>
        <v/>
      </c>
      <c r="F455" s="199" t="str">
        <f aca="false">IF(A456="","",E455*AS455)</f>
        <v/>
      </c>
      <c r="G455" s="200" t="str">
        <f aca="false">IF($A456="","",VLOOKUP($A455,Table,MATCH(G$4,Curves,0)))</f>
        <v/>
      </c>
      <c r="H455" s="201" t="str">
        <f aca="false">IF(A456="","",G455)</f>
        <v/>
      </c>
      <c r="J455" s="200" t="str">
        <f aca="false">IF($A456="","",VLOOKUP($A455,Table,MATCH(J$4,Curves,0)))</f>
        <v/>
      </c>
      <c r="K455" s="201" t="str">
        <f aca="false">IF(A456="","",J455)</f>
        <v/>
      </c>
      <c r="L455" s="185" t="n">
        <v>0</v>
      </c>
      <c r="M455" s="201" t="str">
        <f aca="false">IF(A456="","",L455)</f>
        <v/>
      </c>
      <c r="O455" s="200" t="str">
        <f aca="false">IF(A456="","",L455+J455+G455)</f>
        <v/>
      </c>
      <c r="P455" s="200" t="str">
        <f aca="false">IF(A456="","",M455+K455+H455)</f>
        <v/>
      </c>
      <c r="R455" s="200" t="str">
        <f aca="false">IF($A456="","",VLOOKUP($A455,Table,MATCH(R$4,Curves,0)))</f>
        <v/>
      </c>
      <c r="S455" s="201" t="str">
        <f aca="false">IF(A456="","",R455)</f>
        <v/>
      </c>
      <c r="T455" s="200" t="str">
        <f aca="false">IF($A456="","",VLOOKUP($A455,Table,MATCH(T$4,Curves,0)))</f>
        <v/>
      </c>
      <c r="U455" s="201" t="str">
        <f aca="false">IF(A456="","",T455)</f>
        <v/>
      </c>
      <c r="V455" s="205" t="str">
        <f aca="false">IF($A456="","",IF(AND(MONTH(A455)&gt;3,MONTH(A455)&lt;11),(T455+R455+G455)*Summary!$T$10/(1-Summary!$T$10),(T455+R455+G455)*Summary!$U$10/(1-Summary!$U$10)))</f>
        <v/>
      </c>
      <c r="W455" s="200" t="str">
        <f aca="false">IF($A456="","",(T455+R455+G455+V455))</f>
        <v/>
      </c>
      <c r="X455" s="200" t="str">
        <f aca="false">IF($A456="","",(U455+S455+H455+V455))</f>
        <v/>
      </c>
      <c r="Y455" s="202"/>
      <c r="Z455" s="185"/>
      <c r="AJ455" s="77"/>
      <c r="AK455" s="77"/>
      <c r="AL455" s="77"/>
      <c r="AM455" s="77"/>
      <c r="AN455" s="77"/>
      <c r="AO455" s="137" t="str">
        <f aca="false">IF(A456="","",A456-A455)</f>
        <v/>
      </c>
      <c r="AP455" s="212" t="str">
        <f aca="false">IF(A456="","",CHOOSE(F$3,A456+24,A455))</f>
        <v/>
      </c>
      <c r="AQ455" s="209" t="str">
        <f aca="false">IF(A456="","",AP455-$E$1)</f>
        <v/>
      </c>
      <c r="AR455" s="185" t="n">
        <f aca="false">'ANR OK vs ML7'!AR455</f>
        <v>0.1</v>
      </c>
      <c r="AS455" s="213" t="str">
        <f aca="false">IF(A456="","",1/(1+CHOOSE(F$3,(AR456+($I$3/10000))/2,(AR455+($I$3/10000))/2))^(2*AQ455/365.25))</f>
        <v/>
      </c>
      <c r="AT455" s="137" t="str">
        <f aca="false">IF(A456="","",IF(AND(mthbeg&lt;=A455,mthend&gt;=A455),1,0))</f>
        <v/>
      </c>
      <c r="AU455" s="137" t="str">
        <f aca="false">IF(A456="","",AO455*AT455)</f>
        <v/>
      </c>
      <c r="AW455" s="195" t="str">
        <f aca="false">IF($A456="","",AL455*$E455)</f>
        <v/>
      </c>
      <c r="AX455" s="195" t="str">
        <f aca="false">IF($A456="","",AM455*$E455)</f>
        <v/>
      </c>
      <c r="AY455" s="195" t="str">
        <f aca="false">IF($A456="","",AN455*$E455)</f>
        <v/>
      </c>
      <c r="BA455" s="195" t="str">
        <f aca="false">IF($A456="","",F455*Summary!$Q$10)</f>
        <v/>
      </c>
    </row>
    <row r="456" customFormat="false" ht="12.75" hidden="false" customHeight="false" outlineLevel="0" collapsed="false">
      <c r="A456" s="196" t="str">
        <f aca="false">IF(A455&lt;mthend,EDATE(A455,1),"")</f>
        <v/>
      </c>
      <c r="B456" s="197" t="str">
        <f aca="false">IF(A456&lt;mthend,B455,"")</f>
        <v/>
      </c>
      <c r="D456" s="197" t="str">
        <f aca="false">IF(A457&lt;&gt;"",B456+C456,"")</f>
        <v/>
      </c>
      <c r="E456" s="199" t="str">
        <f aca="false">IF(A457="","",IF(AND(AT456=1,$H$3=1),D456*AO456,IF($H$3=2,D456,"N/A")))</f>
        <v/>
      </c>
      <c r="F456" s="199" t="str">
        <f aca="false">IF(A457="","",E456*AS456)</f>
        <v/>
      </c>
      <c r="G456" s="200" t="str">
        <f aca="false">IF($A457="","",VLOOKUP($A456,Table,MATCH(G$4,Curves,0)))</f>
        <v/>
      </c>
      <c r="H456" s="201" t="str">
        <f aca="false">IF(A457="","",G456)</f>
        <v/>
      </c>
      <c r="J456" s="200" t="str">
        <f aca="false">IF($A457="","",VLOOKUP($A456,Table,MATCH(J$4,Curves,0)))</f>
        <v/>
      </c>
      <c r="K456" s="201" t="str">
        <f aca="false">IF(A457="","",J456)</f>
        <v/>
      </c>
      <c r="L456" s="185" t="n">
        <v>0</v>
      </c>
      <c r="M456" s="201" t="str">
        <f aca="false">IF(A457="","",L456)</f>
        <v/>
      </c>
      <c r="O456" s="200" t="str">
        <f aca="false">IF(A457="","",L456+J456+G456)</f>
        <v/>
      </c>
      <c r="P456" s="200" t="str">
        <f aca="false">IF(A457="","",M456+K456+H456)</f>
        <v/>
      </c>
      <c r="R456" s="200" t="str">
        <f aca="false">IF($A457="","",VLOOKUP($A456,Table,MATCH(R$4,Curves,0)))</f>
        <v/>
      </c>
      <c r="S456" s="201" t="str">
        <f aca="false">IF(A457="","",R456)</f>
        <v/>
      </c>
      <c r="T456" s="200" t="str">
        <f aca="false">IF($A457="","",VLOOKUP($A456,Table,MATCH(T$4,Curves,0)))</f>
        <v/>
      </c>
      <c r="U456" s="201" t="str">
        <f aca="false">IF(A457="","",T456)</f>
        <v/>
      </c>
      <c r="V456" s="205" t="str">
        <f aca="false">IF($A457="","",IF(AND(MONTH(A456)&gt;3,MONTH(A456)&lt;11),(T456+R456+G456)*Summary!$T$10/(1-Summary!$T$10),(T456+R456+G456)*Summary!$U$10/(1-Summary!$U$10)))</f>
        <v/>
      </c>
      <c r="W456" s="200" t="str">
        <f aca="false">IF($A457="","",(T456+R456+G456+V456))</f>
        <v/>
      </c>
      <c r="X456" s="200" t="str">
        <f aca="false">IF($A457="","",(U456+S456+H456+V456))</f>
        <v/>
      </c>
      <c r="Y456" s="202"/>
      <c r="Z456" s="185"/>
      <c r="AJ456" s="77"/>
      <c r="AK456" s="77"/>
      <c r="AL456" s="77"/>
      <c r="AM456" s="77"/>
      <c r="AN456" s="77"/>
      <c r="AO456" s="137" t="str">
        <f aca="false">IF(A457="","",A457-A456)</f>
        <v/>
      </c>
      <c r="AP456" s="212" t="str">
        <f aca="false">IF(A457="","",CHOOSE(F$3,A457+24,A456))</f>
        <v/>
      </c>
      <c r="AQ456" s="209" t="str">
        <f aca="false">IF(A457="","",AP456-$E$1)</f>
        <v/>
      </c>
      <c r="AR456" s="185" t="n">
        <f aca="false">'ANR OK vs ML7'!AR456</f>
        <v>0.1</v>
      </c>
      <c r="AS456" s="213" t="str">
        <f aca="false">IF(A457="","",1/(1+CHOOSE(F$3,(AR457+($I$3/10000))/2,(AR456+($I$3/10000))/2))^(2*AQ456/365.25))</f>
        <v/>
      </c>
      <c r="AT456" s="137" t="str">
        <f aca="false">IF(A457="","",IF(AND(mthbeg&lt;=A456,mthend&gt;=A456),1,0))</f>
        <v/>
      </c>
      <c r="AU456" s="137" t="str">
        <f aca="false">IF(A457="","",AO456*AT456)</f>
        <v/>
      </c>
      <c r="AW456" s="195" t="str">
        <f aca="false">IF($A457="","",AL456*$E456)</f>
        <v/>
      </c>
      <c r="AX456" s="195" t="str">
        <f aca="false">IF($A457="","",AM456*$E456)</f>
        <v/>
      </c>
      <c r="AY456" s="195" t="str">
        <f aca="false">IF($A457="","",AN456*$E456)</f>
        <v/>
      </c>
      <c r="BA456" s="195" t="str">
        <f aca="false">IF($A457="","",F456*Summary!$Q$10)</f>
        <v/>
      </c>
    </row>
    <row r="457" customFormat="false" ht="12.75" hidden="false" customHeight="false" outlineLevel="0" collapsed="false">
      <c r="A457" s="196" t="str">
        <f aca="false">IF(A456&lt;mthend,EDATE(A456,1),"")</f>
        <v/>
      </c>
      <c r="B457" s="197" t="str">
        <f aca="false">IF(A457&lt;mthend,B456,"")</f>
        <v/>
      </c>
      <c r="D457" s="197" t="str">
        <f aca="false">IF(A458&lt;&gt;"",B457+C457,"")</f>
        <v/>
      </c>
      <c r="E457" s="199" t="str">
        <f aca="false">IF(A458="","",IF(AND(AT457=1,$H$3=1),D457*AO457,IF($H$3=2,D457,"N/A")))</f>
        <v/>
      </c>
      <c r="F457" s="199" t="str">
        <f aca="false">IF(A458="","",E457*AS457)</f>
        <v/>
      </c>
      <c r="G457" s="200" t="str">
        <f aca="false">IF($A458="","",VLOOKUP($A457,Table,MATCH(G$4,Curves,0)))</f>
        <v/>
      </c>
      <c r="H457" s="201" t="str">
        <f aca="false">IF(A458="","",G457)</f>
        <v/>
      </c>
      <c r="J457" s="200" t="str">
        <f aca="false">IF($A458="","",VLOOKUP($A457,Table,MATCH(J$4,Curves,0)))</f>
        <v/>
      </c>
      <c r="K457" s="201" t="str">
        <f aca="false">IF(A458="","",J457)</f>
        <v/>
      </c>
      <c r="L457" s="185" t="n">
        <v>0</v>
      </c>
      <c r="M457" s="201" t="str">
        <f aca="false">IF(A458="","",L457)</f>
        <v/>
      </c>
      <c r="O457" s="200" t="str">
        <f aca="false">IF(A458="","",L457+J457+G457)</f>
        <v/>
      </c>
      <c r="P457" s="200" t="str">
        <f aca="false">IF(A458="","",M457+K457+H457)</f>
        <v/>
      </c>
      <c r="R457" s="200" t="str">
        <f aca="false">IF($A458="","",VLOOKUP($A457,Table,MATCH(R$4,Curves,0)))</f>
        <v/>
      </c>
      <c r="S457" s="201" t="str">
        <f aca="false">IF(A458="","",R457)</f>
        <v/>
      </c>
      <c r="T457" s="200" t="str">
        <f aca="false">IF($A458="","",VLOOKUP($A457,Table,MATCH(T$4,Curves,0)))</f>
        <v/>
      </c>
      <c r="U457" s="201" t="str">
        <f aca="false">IF(A458="","",T457)</f>
        <v/>
      </c>
      <c r="V457" s="205" t="str">
        <f aca="false">IF($A458="","",IF(AND(MONTH(A457)&gt;3,MONTH(A457)&lt;11),(T457+R457+G457)*Summary!$T$10/(1-Summary!$T$10),(T457+R457+G457)*Summary!$U$10/(1-Summary!$U$10)))</f>
        <v/>
      </c>
      <c r="W457" s="200" t="str">
        <f aca="false">IF($A458="","",(T457+R457+G457+V457))</f>
        <v/>
      </c>
      <c r="X457" s="200" t="str">
        <f aca="false">IF($A458="","",(U457+S457+H457+V457))</f>
        <v/>
      </c>
      <c r="Y457" s="202"/>
      <c r="Z457" s="185"/>
      <c r="AJ457" s="77"/>
      <c r="AK457" s="77"/>
      <c r="AL457" s="77"/>
      <c r="AM457" s="77"/>
      <c r="AN457" s="77"/>
      <c r="AO457" s="137" t="str">
        <f aca="false">IF(A458="","",A458-A457)</f>
        <v/>
      </c>
      <c r="AP457" s="212" t="str">
        <f aca="false">IF(A458="","",CHOOSE(F$3,A458+24,A457))</f>
        <v/>
      </c>
      <c r="AQ457" s="209" t="str">
        <f aca="false">IF(A458="","",AP457-$E$1)</f>
        <v/>
      </c>
      <c r="AR457" s="185" t="n">
        <f aca="false">'ANR OK vs ML7'!AR457</f>
        <v>0.1</v>
      </c>
      <c r="AS457" s="213" t="str">
        <f aca="false">IF(A458="","",1/(1+CHOOSE(F$3,(AR458+($I$3/10000))/2,(AR457+($I$3/10000))/2))^(2*AQ457/365.25))</f>
        <v/>
      </c>
      <c r="AT457" s="137" t="str">
        <f aca="false">IF(A458="","",IF(AND(mthbeg&lt;=A457,mthend&gt;=A457),1,0))</f>
        <v/>
      </c>
      <c r="AU457" s="137" t="str">
        <f aca="false">IF(A458="","",AO457*AT457)</f>
        <v/>
      </c>
      <c r="AW457" s="195" t="str">
        <f aca="false">IF($A458="","",AL457*$E457)</f>
        <v/>
      </c>
      <c r="AX457" s="195" t="str">
        <f aca="false">IF($A458="","",AM457*$E457)</f>
        <v/>
      </c>
      <c r="AY457" s="195" t="str">
        <f aca="false">IF($A458="","",AN457*$E457)</f>
        <v/>
      </c>
      <c r="BA457" s="195" t="str">
        <f aca="false">IF($A458="","",F457*Summary!$Q$10)</f>
        <v/>
      </c>
    </row>
    <row r="458" customFormat="false" ht="12.75" hidden="false" customHeight="false" outlineLevel="0" collapsed="false">
      <c r="A458" s="196" t="str">
        <f aca="false">IF(A457&lt;mthend,EDATE(A457,1),"")</f>
        <v/>
      </c>
      <c r="B458" s="197" t="str">
        <f aca="false">IF(A458&lt;mthend,B457,"")</f>
        <v/>
      </c>
      <c r="D458" s="197" t="str">
        <f aca="false">IF(A459&lt;&gt;"",B458+C458,"")</f>
        <v/>
      </c>
      <c r="E458" s="199" t="str">
        <f aca="false">IF(A459="","",IF(AND(AT458=1,$H$3=1),D458*AO458,IF($H$3=2,D458,"N/A")))</f>
        <v/>
      </c>
      <c r="F458" s="199" t="str">
        <f aca="false">IF(A459="","",E458*AS458)</f>
        <v/>
      </c>
      <c r="G458" s="200" t="str">
        <f aca="false">IF($A459="","",VLOOKUP($A458,Table,MATCH(G$4,Curves,0)))</f>
        <v/>
      </c>
      <c r="H458" s="201" t="str">
        <f aca="false">IF(A459="","",G458)</f>
        <v/>
      </c>
      <c r="J458" s="200" t="str">
        <f aca="false">IF($A459="","",VLOOKUP($A458,Table,MATCH(J$4,Curves,0)))</f>
        <v/>
      </c>
      <c r="K458" s="201" t="str">
        <f aca="false">IF(A459="","",J458)</f>
        <v/>
      </c>
      <c r="L458" s="185" t="n">
        <v>0</v>
      </c>
      <c r="M458" s="201" t="str">
        <f aca="false">IF(A459="","",L458)</f>
        <v/>
      </c>
      <c r="O458" s="200" t="str">
        <f aca="false">IF(A459="","",L458+J458+G458)</f>
        <v/>
      </c>
      <c r="P458" s="200" t="str">
        <f aca="false">IF(A459="","",M458+K458+H458)</f>
        <v/>
      </c>
      <c r="R458" s="200" t="str">
        <f aca="false">IF($A459="","",VLOOKUP($A458,Table,MATCH(R$4,Curves,0)))</f>
        <v/>
      </c>
      <c r="S458" s="201" t="str">
        <f aca="false">IF(A459="","",R458)</f>
        <v/>
      </c>
      <c r="T458" s="200" t="str">
        <f aca="false">IF($A459="","",VLOOKUP($A458,Table,MATCH(T$4,Curves,0)))</f>
        <v/>
      </c>
      <c r="U458" s="201" t="str">
        <f aca="false">IF(A459="","",T458)</f>
        <v/>
      </c>
      <c r="V458" s="205" t="str">
        <f aca="false">IF($A459="","",IF(AND(MONTH(A458)&gt;3,MONTH(A458)&lt;11),(T458+R458+G458)*Summary!$T$10/(1-Summary!$T$10),(T458+R458+G458)*Summary!$U$10/(1-Summary!$U$10)))</f>
        <v/>
      </c>
      <c r="W458" s="200" t="str">
        <f aca="false">IF($A459="","",(T458+R458+G458+V458))</f>
        <v/>
      </c>
      <c r="X458" s="200" t="str">
        <f aca="false">IF($A459="","",(U458+S458+H458+V458))</f>
        <v/>
      </c>
      <c r="Y458" s="202"/>
      <c r="Z458" s="185"/>
      <c r="AJ458" s="77"/>
      <c r="AK458" s="77"/>
      <c r="AL458" s="77"/>
      <c r="AM458" s="77"/>
      <c r="AN458" s="77"/>
      <c r="AO458" s="137" t="str">
        <f aca="false">IF(A459="","",A459-A458)</f>
        <v/>
      </c>
      <c r="AP458" s="212" t="str">
        <f aca="false">IF(A459="","",CHOOSE(F$3,A459+24,A458))</f>
        <v/>
      </c>
      <c r="AQ458" s="209" t="str">
        <f aca="false">IF(A459="","",AP458-$E$1)</f>
        <v/>
      </c>
      <c r="AR458" s="185" t="n">
        <f aca="false">'ANR OK vs ML7'!AR458</f>
        <v>0.1</v>
      </c>
      <c r="AS458" s="213" t="str">
        <f aca="false">IF(A459="","",1/(1+CHOOSE(F$3,(AR459+($I$3/10000))/2,(AR458+($I$3/10000))/2))^(2*AQ458/365.25))</f>
        <v/>
      </c>
      <c r="AT458" s="137" t="str">
        <f aca="false">IF(A459="","",IF(AND(mthbeg&lt;=A458,mthend&gt;=A458),1,0))</f>
        <v/>
      </c>
      <c r="AU458" s="137" t="str">
        <f aca="false">IF(A459="","",AO458*AT458)</f>
        <v/>
      </c>
      <c r="AW458" s="195" t="str">
        <f aca="false">IF($A459="","",AL458*$E458)</f>
        <v/>
      </c>
      <c r="AX458" s="195" t="str">
        <f aca="false">IF($A459="","",AM458*$E458)</f>
        <v/>
      </c>
      <c r="AY458" s="195" t="str">
        <f aca="false">IF($A459="","",AN458*$E458)</f>
        <v/>
      </c>
      <c r="BA458" s="195" t="str">
        <f aca="false">IF($A459="","",F458*Summary!$Q$10)</f>
        <v/>
      </c>
    </row>
    <row r="459" customFormat="false" ht="12.75" hidden="false" customHeight="false" outlineLevel="0" collapsed="false">
      <c r="A459" s="196" t="str">
        <f aca="false">IF(A458&lt;mthend,EDATE(A458,1),"")</f>
        <v/>
      </c>
      <c r="B459" s="197" t="str">
        <f aca="false">IF(A459&lt;mthend,B458,"")</f>
        <v/>
      </c>
      <c r="D459" s="197" t="str">
        <f aca="false">IF(A460&lt;&gt;"",B459+C459,"")</f>
        <v/>
      </c>
      <c r="E459" s="199" t="str">
        <f aca="false">IF(A460="","",IF(AND(AT459=1,$H$3=1),D459*AO459,IF($H$3=2,D459,"N/A")))</f>
        <v/>
      </c>
      <c r="F459" s="199" t="str">
        <f aca="false">IF(A460="","",E459*AS459)</f>
        <v/>
      </c>
      <c r="G459" s="200" t="str">
        <f aca="false">IF($A460="","",VLOOKUP($A459,Table,MATCH(G$4,Curves,0)))</f>
        <v/>
      </c>
      <c r="H459" s="201" t="str">
        <f aca="false">IF(A460="","",G459)</f>
        <v/>
      </c>
      <c r="J459" s="200" t="str">
        <f aca="false">IF($A460="","",VLOOKUP($A459,Table,MATCH(J$4,Curves,0)))</f>
        <v/>
      </c>
      <c r="K459" s="201" t="str">
        <f aca="false">IF(A460="","",J459)</f>
        <v/>
      </c>
      <c r="L459" s="185" t="n">
        <v>0</v>
      </c>
      <c r="M459" s="201" t="str">
        <f aca="false">IF(A460="","",L459)</f>
        <v/>
      </c>
      <c r="O459" s="200" t="str">
        <f aca="false">IF(A460="","",L459+J459+G459)</f>
        <v/>
      </c>
      <c r="P459" s="200" t="str">
        <f aca="false">IF(A460="","",M459+K459+H459)</f>
        <v/>
      </c>
      <c r="R459" s="200" t="str">
        <f aca="false">IF($A460="","",VLOOKUP($A459,Table,MATCH(R$4,Curves,0)))</f>
        <v/>
      </c>
      <c r="S459" s="201" t="str">
        <f aca="false">IF(A460="","",R459)</f>
        <v/>
      </c>
      <c r="T459" s="200" t="str">
        <f aca="false">IF($A460="","",VLOOKUP($A459,Table,MATCH(T$4,Curves,0)))</f>
        <v/>
      </c>
      <c r="U459" s="201" t="str">
        <f aca="false">IF(A460="","",T459)</f>
        <v/>
      </c>
      <c r="V459" s="205" t="str">
        <f aca="false">IF($A460="","",IF(AND(MONTH(A459)&gt;3,MONTH(A459)&lt;11),(T459+R459+G459)*Summary!$T$10/(1-Summary!$T$10),(T459+R459+G459)*Summary!$U$10/(1-Summary!$U$10)))</f>
        <v/>
      </c>
      <c r="W459" s="200" t="str">
        <f aca="false">IF($A460="","",(T459+R459+G459+V459))</f>
        <v/>
      </c>
      <c r="X459" s="200" t="str">
        <f aca="false">IF($A460="","",(U459+S459+H459+V459))</f>
        <v/>
      </c>
      <c r="Y459" s="202"/>
      <c r="Z459" s="185"/>
      <c r="AJ459" s="77"/>
      <c r="AK459" s="77"/>
      <c r="AL459" s="77"/>
      <c r="AM459" s="77"/>
      <c r="AN459" s="77"/>
      <c r="AO459" s="137" t="str">
        <f aca="false">IF(A460="","",A460-A459)</f>
        <v/>
      </c>
      <c r="AP459" s="212" t="str">
        <f aca="false">IF(A460="","",CHOOSE(F$3,A460+24,A459))</f>
        <v/>
      </c>
      <c r="AQ459" s="209" t="str">
        <f aca="false">IF(A460="","",AP459-$E$1)</f>
        <v/>
      </c>
      <c r="AR459" s="185" t="n">
        <f aca="false">'ANR OK vs ML7'!AR459</f>
        <v>0.1</v>
      </c>
      <c r="AS459" s="213" t="str">
        <f aca="false">IF(A460="","",1/(1+CHOOSE(F$3,(AR460+($I$3/10000))/2,(AR459+($I$3/10000))/2))^(2*AQ459/365.25))</f>
        <v/>
      </c>
      <c r="AT459" s="137" t="str">
        <f aca="false">IF(A460="","",IF(AND(mthbeg&lt;=A459,mthend&gt;=A459),1,0))</f>
        <v/>
      </c>
      <c r="AU459" s="137" t="str">
        <f aca="false">IF(A460="","",AO459*AT459)</f>
        <v/>
      </c>
      <c r="AW459" s="195" t="str">
        <f aca="false">IF($A460="","",AL459*$E459)</f>
        <v/>
      </c>
      <c r="AX459" s="195" t="str">
        <f aca="false">IF($A460="","",AM459*$E459)</f>
        <v/>
      </c>
      <c r="AY459" s="195" t="str">
        <f aca="false">IF($A460="","",AN459*$E459)</f>
        <v/>
      </c>
      <c r="BA459" s="195" t="str">
        <f aca="false">IF($A460="","",F459*Summary!$Q$10)</f>
        <v/>
      </c>
    </row>
    <row r="460" customFormat="false" ht="12.75" hidden="false" customHeight="false" outlineLevel="0" collapsed="false">
      <c r="A460" s="196" t="str">
        <f aca="false">IF(A459&lt;mthend,EDATE(A459,1),"")</f>
        <v/>
      </c>
      <c r="B460" s="197" t="str">
        <f aca="false">IF(A460&lt;mthend,B459,"")</f>
        <v/>
      </c>
      <c r="D460" s="197" t="str">
        <f aca="false">IF(A461&lt;&gt;"",B460+C460,"")</f>
        <v/>
      </c>
      <c r="E460" s="199" t="str">
        <f aca="false">IF(A461="","",IF(AND(AT460=1,$H$3=1),D460*AO460,IF($H$3=2,D460,"N/A")))</f>
        <v/>
      </c>
      <c r="F460" s="199" t="str">
        <f aca="false">IF(A461="","",E460*AS460)</f>
        <v/>
      </c>
      <c r="G460" s="200" t="str">
        <f aca="false">IF($A461="","",VLOOKUP($A460,Table,MATCH(G$4,Curves,0)))</f>
        <v/>
      </c>
      <c r="H460" s="201" t="str">
        <f aca="false">IF(A461="","",G460)</f>
        <v/>
      </c>
      <c r="J460" s="200" t="str">
        <f aca="false">IF($A461="","",VLOOKUP($A460,Table,MATCH(J$4,Curves,0)))</f>
        <v/>
      </c>
      <c r="K460" s="201" t="str">
        <f aca="false">IF(A461="","",J460)</f>
        <v/>
      </c>
      <c r="L460" s="185" t="n">
        <v>0</v>
      </c>
      <c r="M460" s="201" t="str">
        <f aca="false">IF(A461="","",L460)</f>
        <v/>
      </c>
      <c r="O460" s="200" t="str">
        <f aca="false">IF(A461="","",L460+J460+G460)</f>
        <v/>
      </c>
      <c r="P460" s="200" t="str">
        <f aca="false">IF(A461="","",M460+K460+H460)</f>
        <v/>
      </c>
      <c r="R460" s="200" t="str">
        <f aca="false">IF($A461="","",VLOOKUP($A460,Table,MATCH(R$4,Curves,0)))</f>
        <v/>
      </c>
      <c r="S460" s="201" t="str">
        <f aca="false">IF(A461="","",R460)</f>
        <v/>
      </c>
      <c r="T460" s="200" t="str">
        <f aca="false">IF($A461="","",VLOOKUP($A460,Table,MATCH(T$4,Curves,0)))</f>
        <v/>
      </c>
      <c r="U460" s="201" t="str">
        <f aca="false">IF(A461="","",T460)</f>
        <v/>
      </c>
      <c r="V460" s="205" t="str">
        <f aca="false">IF($A461="","",IF(AND(MONTH(A460)&gt;3,MONTH(A460)&lt;11),(T460+R460+G460)*Summary!$T$10/(1-Summary!$T$10),(T460+R460+G460)*Summary!$U$10/(1-Summary!$U$10)))</f>
        <v/>
      </c>
      <c r="W460" s="200" t="str">
        <f aca="false">IF($A461="","",(T460+R460+G460+V460))</f>
        <v/>
      </c>
      <c r="X460" s="200" t="str">
        <f aca="false">IF($A461="","",(U460+S460+H460+V460))</f>
        <v/>
      </c>
      <c r="Y460" s="202"/>
      <c r="Z460" s="185"/>
      <c r="AJ460" s="77"/>
      <c r="AK460" s="77"/>
      <c r="AL460" s="77"/>
      <c r="AM460" s="77"/>
      <c r="AN460" s="77"/>
      <c r="AO460" s="137" t="str">
        <f aca="false">IF(A461="","",A461-A460)</f>
        <v/>
      </c>
      <c r="AP460" s="212" t="str">
        <f aca="false">IF(A461="","",CHOOSE(F$3,A461+24,A460))</f>
        <v/>
      </c>
      <c r="AQ460" s="209" t="str">
        <f aca="false">IF(A461="","",AP460-$E$1)</f>
        <v/>
      </c>
      <c r="AR460" s="185" t="n">
        <f aca="false">'ANR OK vs ML7'!AR460</f>
        <v>0.1</v>
      </c>
      <c r="AS460" s="213" t="str">
        <f aca="false">IF(A461="","",1/(1+CHOOSE(F$3,(AR461+($I$3/10000))/2,(AR460+($I$3/10000))/2))^(2*AQ460/365.25))</f>
        <v/>
      </c>
      <c r="AT460" s="137" t="str">
        <f aca="false">IF(A461="","",IF(AND(mthbeg&lt;=A460,mthend&gt;=A460),1,0))</f>
        <v/>
      </c>
      <c r="AU460" s="137" t="str">
        <f aca="false">IF(A461="","",AO460*AT460)</f>
        <v/>
      </c>
      <c r="AW460" s="195" t="str">
        <f aca="false">IF($A461="","",AL460*$E460)</f>
        <v/>
      </c>
      <c r="AX460" s="195" t="str">
        <f aca="false">IF($A461="","",AM460*$E460)</f>
        <v/>
      </c>
      <c r="AY460" s="195" t="str">
        <f aca="false">IF($A461="","",AN460*$E460)</f>
        <v/>
      </c>
      <c r="BA460" s="195" t="str">
        <f aca="false">IF($A461="","",F460*Summary!$Q$10)</f>
        <v/>
      </c>
    </row>
    <row r="461" customFormat="false" ht="12.75" hidden="false" customHeight="false" outlineLevel="0" collapsed="false">
      <c r="A461" s="196" t="str">
        <f aca="false">IF(A460&lt;mthend,EDATE(A460,1),"")</f>
        <v/>
      </c>
      <c r="B461" s="197" t="str">
        <f aca="false">IF(A461&lt;mthend,B460,"")</f>
        <v/>
      </c>
      <c r="D461" s="197" t="str">
        <f aca="false">IF(A462&lt;&gt;"",B461+C461,"")</f>
        <v/>
      </c>
      <c r="E461" s="199" t="str">
        <f aca="false">IF(A462="","",IF(AND(AT461=1,$H$3=1),D461*AO461,IF($H$3=2,D461,"N/A")))</f>
        <v/>
      </c>
      <c r="F461" s="199" t="str">
        <f aca="false">IF(A462="","",E461*AS461)</f>
        <v/>
      </c>
      <c r="G461" s="200" t="str">
        <f aca="false">IF($A462="","",VLOOKUP($A461,Table,MATCH(G$4,Curves,0)))</f>
        <v/>
      </c>
      <c r="H461" s="201" t="str">
        <f aca="false">IF(A462="","",G461)</f>
        <v/>
      </c>
      <c r="J461" s="200" t="str">
        <f aca="false">IF($A462="","",VLOOKUP($A461,Table,MATCH(J$4,Curves,0)))</f>
        <v/>
      </c>
      <c r="K461" s="201" t="str">
        <f aca="false">IF(A462="","",J461)</f>
        <v/>
      </c>
      <c r="L461" s="185" t="n">
        <v>0</v>
      </c>
      <c r="M461" s="201" t="str">
        <f aca="false">IF(A462="","",L461)</f>
        <v/>
      </c>
      <c r="O461" s="200" t="str">
        <f aca="false">IF(A462="","",L461+J461+G461)</f>
        <v/>
      </c>
      <c r="P461" s="200" t="str">
        <f aca="false">IF(A462="","",M461+K461+H461)</f>
        <v/>
      </c>
      <c r="R461" s="200" t="str">
        <f aca="false">IF($A462="","",VLOOKUP($A461,Table,MATCH(R$4,Curves,0)))</f>
        <v/>
      </c>
      <c r="S461" s="201" t="str">
        <f aca="false">IF(A462="","",R461)</f>
        <v/>
      </c>
      <c r="T461" s="200" t="str">
        <f aca="false">IF($A462="","",VLOOKUP($A461,Table,MATCH(T$4,Curves,0)))</f>
        <v/>
      </c>
      <c r="U461" s="201" t="str">
        <f aca="false">IF(A462="","",T461)</f>
        <v/>
      </c>
      <c r="V461" s="205" t="str">
        <f aca="false">IF($A462="","",IF(AND(MONTH(A461)&gt;3,MONTH(A461)&lt;11),(T461+R461+G461)*Summary!$T$10/(1-Summary!$T$10),(T461+R461+G461)*Summary!$U$10/(1-Summary!$U$10)))</f>
        <v/>
      </c>
      <c r="W461" s="200" t="str">
        <f aca="false">IF($A462="","",(T461+R461+G461+V461))</f>
        <v/>
      </c>
      <c r="X461" s="200" t="str">
        <f aca="false">IF($A462="","",(U461+S461+H461+V461))</f>
        <v/>
      </c>
      <c r="Y461" s="202"/>
      <c r="Z461" s="185"/>
      <c r="AJ461" s="77"/>
      <c r="AK461" s="77"/>
      <c r="AL461" s="77"/>
      <c r="AM461" s="77"/>
      <c r="AN461" s="77"/>
      <c r="AO461" s="137" t="str">
        <f aca="false">IF(A462="","",A462-A461)</f>
        <v/>
      </c>
      <c r="AP461" s="212" t="str">
        <f aca="false">IF(A462="","",CHOOSE(F$3,A462+24,A461))</f>
        <v/>
      </c>
      <c r="AQ461" s="209" t="str">
        <f aca="false">IF(A462="","",AP461-$E$1)</f>
        <v/>
      </c>
      <c r="AR461" s="185" t="n">
        <f aca="false">'ANR OK vs ML7'!AR461</f>
        <v>0.1</v>
      </c>
      <c r="AS461" s="213" t="str">
        <f aca="false">IF(A462="","",1/(1+CHOOSE(F$3,(AR462+($I$3/10000))/2,(AR461+($I$3/10000))/2))^(2*AQ461/365.25))</f>
        <v/>
      </c>
      <c r="AT461" s="137" t="str">
        <f aca="false">IF(A462="","",IF(AND(mthbeg&lt;=A461,mthend&gt;=A461),1,0))</f>
        <v/>
      </c>
      <c r="AU461" s="137" t="str">
        <f aca="false">IF(A462="","",AO461*AT461)</f>
        <v/>
      </c>
      <c r="AW461" s="195" t="str">
        <f aca="false">IF($A462="","",AL461*$E461)</f>
        <v/>
      </c>
      <c r="AX461" s="195" t="str">
        <f aca="false">IF($A462="","",AM461*$E461)</f>
        <v/>
      </c>
      <c r="AY461" s="195" t="str">
        <f aca="false">IF($A462="","",AN461*$E461)</f>
        <v/>
      </c>
      <c r="BA461" s="195" t="str">
        <f aca="false">IF($A462="","",F461*Summary!$Q$10)</f>
        <v/>
      </c>
    </row>
    <row r="462" customFormat="false" ht="12.75" hidden="false" customHeight="false" outlineLevel="0" collapsed="false">
      <c r="A462" s="196" t="str">
        <f aca="false">IF(A461&lt;mthend,EDATE(A461,1),"")</f>
        <v/>
      </c>
      <c r="B462" s="197" t="str">
        <f aca="false">IF(A462&lt;mthend,B461,"")</f>
        <v/>
      </c>
      <c r="D462" s="197" t="str">
        <f aca="false">IF(A463&lt;&gt;"",B462+C462,"")</f>
        <v/>
      </c>
      <c r="E462" s="199" t="str">
        <f aca="false">IF(A463="","",IF(AND(AT462=1,$H$3=1),D462*AO462,IF($H$3=2,D462,"N/A")))</f>
        <v/>
      </c>
      <c r="F462" s="199" t="str">
        <f aca="false">IF(A463="","",E462*AS462)</f>
        <v/>
      </c>
      <c r="G462" s="200" t="str">
        <f aca="false">IF($A463="","",VLOOKUP($A462,Table,MATCH(G$4,Curves,0)))</f>
        <v/>
      </c>
      <c r="H462" s="201" t="str">
        <f aca="false">IF(A463="","",G462)</f>
        <v/>
      </c>
      <c r="J462" s="200" t="str">
        <f aca="false">IF($A463="","",VLOOKUP($A462,Table,MATCH(J$4,Curves,0)))</f>
        <v/>
      </c>
      <c r="K462" s="201" t="str">
        <f aca="false">IF(A463="","",J462)</f>
        <v/>
      </c>
      <c r="L462" s="185" t="n">
        <v>0</v>
      </c>
      <c r="M462" s="201" t="str">
        <f aca="false">IF(A463="","",L462)</f>
        <v/>
      </c>
      <c r="O462" s="200" t="str">
        <f aca="false">IF(A463="","",L462+J462+G462)</f>
        <v/>
      </c>
      <c r="P462" s="200" t="str">
        <f aca="false">IF(A463="","",M462+K462+H462)</f>
        <v/>
      </c>
      <c r="R462" s="200" t="str">
        <f aca="false">IF($A463="","",VLOOKUP($A462,Table,MATCH(R$4,Curves,0)))</f>
        <v/>
      </c>
      <c r="S462" s="201" t="str">
        <f aca="false">IF(A463="","",R462)</f>
        <v/>
      </c>
      <c r="T462" s="200" t="str">
        <f aca="false">IF($A463="","",VLOOKUP($A462,Table,MATCH(T$4,Curves,0)))</f>
        <v/>
      </c>
      <c r="U462" s="201" t="str">
        <f aca="false">IF(A463="","",T462)</f>
        <v/>
      </c>
      <c r="V462" s="205" t="str">
        <f aca="false">IF($A463="","",IF(AND(MONTH(A462)&gt;3,MONTH(A462)&lt;11),(T462+R462+G462)*Summary!$T$10/(1-Summary!$T$10),(T462+R462+G462)*Summary!$U$10/(1-Summary!$U$10)))</f>
        <v/>
      </c>
      <c r="W462" s="200" t="str">
        <f aca="false">IF($A463="","",(T462+R462+G462+V462))</f>
        <v/>
      </c>
      <c r="X462" s="200" t="str">
        <f aca="false">IF($A463="","",(U462+S462+H462+V462))</f>
        <v/>
      </c>
      <c r="Y462" s="202"/>
      <c r="Z462" s="185"/>
      <c r="AJ462" s="77"/>
      <c r="AK462" s="77"/>
      <c r="AL462" s="77"/>
      <c r="AM462" s="77"/>
      <c r="AN462" s="77"/>
      <c r="AO462" s="137" t="str">
        <f aca="false">IF(A463="","",A463-A462)</f>
        <v/>
      </c>
      <c r="AP462" s="212" t="str">
        <f aca="false">IF(A463="","",CHOOSE(F$3,A463+24,A462))</f>
        <v/>
      </c>
      <c r="AQ462" s="209" t="str">
        <f aca="false">IF(A463="","",AP462-$E$1)</f>
        <v/>
      </c>
      <c r="AR462" s="185" t="n">
        <f aca="false">'ANR OK vs ML7'!AR462</f>
        <v>0.1</v>
      </c>
      <c r="AS462" s="213" t="str">
        <f aca="false">IF(A463="","",1/(1+CHOOSE(F$3,(AR463+($I$3/10000))/2,(AR462+($I$3/10000))/2))^(2*AQ462/365.25))</f>
        <v/>
      </c>
      <c r="AT462" s="137" t="str">
        <f aca="false">IF(A463="","",IF(AND(mthbeg&lt;=A462,mthend&gt;=A462),1,0))</f>
        <v/>
      </c>
      <c r="AU462" s="137" t="str">
        <f aca="false">IF(A463="","",AO462*AT462)</f>
        <v/>
      </c>
      <c r="AW462" s="195" t="str">
        <f aca="false">IF($A463="","",AL462*$E462)</f>
        <v/>
      </c>
      <c r="AX462" s="195" t="str">
        <f aca="false">IF($A463="","",AM462*$E462)</f>
        <v/>
      </c>
      <c r="AY462" s="195" t="str">
        <f aca="false">IF($A463="","",AN462*$E462)</f>
        <v/>
      </c>
      <c r="BA462" s="195" t="str">
        <f aca="false">IF($A463="","",F462*Summary!$Q$10)</f>
        <v/>
      </c>
    </row>
    <row r="463" customFormat="false" ht="12.75" hidden="false" customHeight="false" outlineLevel="0" collapsed="false">
      <c r="A463" s="196" t="str">
        <f aca="false">IF(A462&lt;mthend,EDATE(A462,1),"")</f>
        <v/>
      </c>
      <c r="B463" s="197" t="str">
        <f aca="false">IF(A463&lt;mthend,B462,"")</f>
        <v/>
      </c>
      <c r="D463" s="197" t="str">
        <f aca="false">IF(A464&lt;&gt;"",B463+C463,"")</f>
        <v/>
      </c>
      <c r="E463" s="199" t="str">
        <f aca="false">IF(A464="","",IF(AND(AT463=1,$H$3=1),D463*AO463,IF($H$3=2,D463,"N/A")))</f>
        <v/>
      </c>
      <c r="F463" s="199" t="str">
        <f aca="false">IF(A464="","",E463*AS463)</f>
        <v/>
      </c>
      <c r="G463" s="200" t="str">
        <f aca="false">IF($A464="","",VLOOKUP($A463,Table,MATCH(G$4,Curves,0)))</f>
        <v/>
      </c>
      <c r="H463" s="201" t="str">
        <f aca="false">IF(A464="","",G463)</f>
        <v/>
      </c>
      <c r="J463" s="200" t="str">
        <f aca="false">IF($A464="","",VLOOKUP($A463,Table,MATCH(J$4,Curves,0)))</f>
        <v/>
      </c>
      <c r="K463" s="201" t="str">
        <f aca="false">IF(A464="","",J463)</f>
        <v/>
      </c>
      <c r="L463" s="185" t="n">
        <v>0</v>
      </c>
      <c r="M463" s="201" t="str">
        <f aca="false">IF(A464="","",L463)</f>
        <v/>
      </c>
      <c r="O463" s="200" t="str">
        <f aca="false">IF(A464="","",L463+J463+G463)</f>
        <v/>
      </c>
      <c r="P463" s="200" t="str">
        <f aca="false">IF(A464="","",M463+K463+H463)</f>
        <v/>
      </c>
      <c r="R463" s="200" t="str">
        <f aca="false">IF($A464="","",VLOOKUP($A463,Table,MATCH(R$4,Curves,0)))</f>
        <v/>
      </c>
      <c r="S463" s="201" t="str">
        <f aca="false">IF(A464="","",R463)</f>
        <v/>
      </c>
      <c r="T463" s="200" t="str">
        <f aca="false">IF($A464="","",VLOOKUP($A463,Table,MATCH(T$4,Curves,0)))</f>
        <v/>
      </c>
      <c r="U463" s="201" t="str">
        <f aca="false">IF(A464="","",T463)</f>
        <v/>
      </c>
      <c r="V463" s="205" t="str">
        <f aca="false">IF($A464="","",IF(AND(MONTH(A463)&gt;3,MONTH(A463)&lt;11),(T463+R463+G463)*Summary!$T$10/(1-Summary!$T$10),(T463+R463+G463)*Summary!$U$10/(1-Summary!$U$10)))</f>
        <v/>
      </c>
      <c r="W463" s="200" t="str">
        <f aca="false">IF($A464="","",(T463+R463+G463+V463))</f>
        <v/>
      </c>
      <c r="X463" s="200" t="str">
        <f aca="false">IF($A464="","",(U463+S463+H463+V463))</f>
        <v/>
      </c>
      <c r="Y463" s="202"/>
      <c r="Z463" s="185"/>
      <c r="AJ463" s="77"/>
      <c r="AK463" s="77"/>
      <c r="AL463" s="77"/>
      <c r="AM463" s="77"/>
      <c r="AN463" s="77"/>
      <c r="AO463" s="137" t="str">
        <f aca="false">IF(A464="","",A464-A463)</f>
        <v/>
      </c>
      <c r="AP463" s="212" t="str">
        <f aca="false">IF(A464="","",CHOOSE(F$3,A464+24,A463))</f>
        <v/>
      </c>
      <c r="AQ463" s="209" t="str">
        <f aca="false">IF(A464="","",AP463-$E$1)</f>
        <v/>
      </c>
      <c r="AR463" s="185" t="n">
        <f aca="false">'ANR OK vs ML7'!AR463</f>
        <v>0.1</v>
      </c>
      <c r="AS463" s="213" t="str">
        <f aca="false">IF(A464="","",1/(1+CHOOSE(F$3,(AR464+($I$3/10000))/2,(AR463+($I$3/10000))/2))^(2*AQ463/365.25))</f>
        <v/>
      </c>
      <c r="AT463" s="137" t="str">
        <f aca="false">IF(A464="","",IF(AND(mthbeg&lt;=A463,mthend&gt;=A463),1,0))</f>
        <v/>
      </c>
      <c r="AU463" s="137" t="str">
        <f aca="false">IF(A464="","",AO463*AT463)</f>
        <v/>
      </c>
      <c r="AW463" s="195" t="str">
        <f aca="false">IF($A464="","",AL463*$E463)</f>
        <v/>
      </c>
      <c r="AX463" s="195" t="str">
        <f aca="false">IF($A464="","",AM463*$E463)</f>
        <v/>
      </c>
      <c r="AY463" s="195" t="str">
        <f aca="false">IF($A464="","",AN463*$E463)</f>
        <v/>
      </c>
      <c r="BA463" s="195" t="str">
        <f aca="false">IF($A464="","",F463*Summary!$Q$10)</f>
        <v/>
      </c>
    </row>
    <row r="464" customFormat="false" ht="12.75" hidden="false" customHeight="false" outlineLevel="0" collapsed="false">
      <c r="A464" s="196" t="str">
        <f aca="false">IF(A463&lt;mthend,EDATE(A463,1),"")</f>
        <v/>
      </c>
      <c r="B464" s="197" t="str">
        <f aca="false">IF(A464&lt;mthend,B463,"")</f>
        <v/>
      </c>
      <c r="D464" s="197" t="str">
        <f aca="false">IF(A465&lt;&gt;"",B464+C464,"")</f>
        <v/>
      </c>
      <c r="E464" s="199" t="str">
        <f aca="false">IF(A465="","",IF(AND(AT464=1,$H$3=1),D464*AO464,IF($H$3=2,D464,"N/A")))</f>
        <v/>
      </c>
      <c r="F464" s="199" t="str">
        <f aca="false">IF(A465="","",E464*AS464)</f>
        <v/>
      </c>
      <c r="G464" s="200" t="str">
        <f aca="false">IF($A465="","",VLOOKUP($A464,Table,MATCH(G$4,Curves,0)))</f>
        <v/>
      </c>
      <c r="H464" s="201" t="str">
        <f aca="false">IF(A465="","",G464)</f>
        <v/>
      </c>
      <c r="J464" s="200" t="str">
        <f aca="false">IF($A465="","",VLOOKUP($A464,Table,MATCH(J$4,Curves,0)))</f>
        <v/>
      </c>
      <c r="K464" s="201" t="str">
        <f aca="false">IF(A465="","",J464)</f>
        <v/>
      </c>
      <c r="L464" s="185" t="n">
        <v>0</v>
      </c>
      <c r="M464" s="201" t="str">
        <f aca="false">IF(A465="","",L464)</f>
        <v/>
      </c>
      <c r="O464" s="200" t="str">
        <f aca="false">IF(A465="","",L464+J464+G464)</f>
        <v/>
      </c>
      <c r="P464" s="200" t="str">
        <f aca="false">IF(A465="","",M464+K464+H464)</f>
        <v/>
      </c>
      <c r="R464" s="200" t="str">
        <f aca="false">IF($A465="","",VLOOKUP($A464,Table,MATCH(R$4,Curves,0)))</f>
        <v/>
      </c>
      <c r="S464" s="201" t="str">
        <f aca="false">IF(A465="","",R464)</f>
        <v/>
      </c>
      <c r="T464" s="200" t="str">
        <f aca="false">IF($A465="","",VLOOKUP($A464,Table,MATCH(T$4,Curves,0)))</f>
        <v/>
      </c>
      <c r="U464" s="201" t="str">
        <f aca="false">IF(A465="","",T464)</f>
        <v/>
      </c>
      <c r="V464" s="205" t="str">
        <f aca="false">IF($A465="","",IF(AND(MONTH(A464)&gt;3,MONTH(A464)&lt;11),(T464+R464+G464)*Summary!$T$10/(1-Summary!$T$10),(T464+R464+G464)*Summary!$U$10/(1-Summary!$U$10)))</f>
        <v/>
      </c>
      <c r="W464" s="200" t="str">
        <f aca="false">IF($A465="","",(T464+R464+G464+V464))</f>
        <v/>
      </c>
      <c r="X464" s="200" t="str">
        <f aca="false">IF($A465="","",(U464+S464+H464+V464))</f>
        <v/>
      </c>
      <c r="Y464" s="202"/>
      <c r="Z464" s="185"/>
      <c r="AJ464" s="77"/>
      <c r="AK464" s="77"/>
      <c r="AL464" s="77"/>
      <c r="AM464" s="77"/>
      <c r="AN464" s="77"/>
      <c r="AO464" s="137" t="str">
        <f aca="false">IF(A465="","",A465-A464)</f>
        <v/>
      </c>
      <c r="AP464" s="212" t="str">
        <f aca="false">IF(A465="","",CHOOSE(F$3,A465+24,A464))</f>
        <v/>
      </c>
      <c r="AQ464" s="209" t="str">
        <f aca="false">IF(A465="","",AP464-$E$1)</f>
        <v/>
      </c>
      <c r="AR464" s="185" t="n">
        <f aca="false">'ANR OK vs ML7'!AR464</f>
        <v>0.1</v>
      </c>
      <c r="AS464" s="213" t="str">
        <f aca="false">IF(A465="","",1/(1+CHOOSE(F$3,(AR465+($I$3/10000))/2,(AR464+($I$3/10000))/2))^(2*AQ464/365.25))</f>
        <v/>
      </c>
      <c r="AT464" s="137" t="str">
        <f aca="false">IF(A465="","",IF(AND(mthbeg&lt;=A464,mthend&gt;=A464),1,0))</f>
        <v/>
      </c>
      <c r="AU464" s="137" t="str">
        <f aca="false">IF(A465="","",AO464*AT464)</f>
        <v/>
      </c>
      <c r="AW464" s="195" t="str">
        <f aca="false">IF($A465="","",AL464*$E464)</f>
        <v/>
      </c>
      <c r="AX464" s="195" t="str">
        <f aca="false">IF($A465="","",AM464*$E464)</f>
        <v/>
      </c>
      <c r="AY464" s="195" t="str">
        <f aca="false">IF($A465="","",AN464*$E464)</f>
        <v/>
      </c>
      <c r="BA464" s="195" t="str">
        <f aca="false">IF($A465="","",F464*Summary!$Q$10)</f>
        <v/>
      </c>
    </row>
    <row r="465" customFormat="false" ht="12.75" hidden="false" customHeight="false" outlineLevel="0" collapsed="false">
      <c r="A465" s="196" t="str">
        <f aca="false">IF(A464&lt;mthend,EDATE(A464,1),"")</f>
        <v/>
      </c>
      <c r="B465" s="197" t="str">
        <f aca="false">IF(A465&lt;mthend,B464,"")</f>
        <v/>
      </c>
      <c r="D465" s="197" t="str">
        <f aca="false">IF(A466&lt;&gt;"",B465+C465,"")</f>
        <v/>
      </c>
      <c r="E465" s="199" t="str">
        <f aca="false">IF(A466="","",IF(AND(AT465=1,$H$3=1),D465*AO465,IF($H$3=2,D465,"N/A")))</f>
        <v/>
      </c>
      <c r="F465" s="199" t="str">
        <f aca="false">IF(A466="","",E465*AS465)</f>
        <v/>
      </c>
      <c r="G465" s="200" t="str">
        <f aca="false">IF($A466="","",VLOOKUP($A465,Table,MATCH(G$4,Curves,0)))</f>
        <v/>
      </c>
      <c r="H465" s="201" t="str">
        <f aca="false">IF(A466="","",G465)</f>
        <v/>
      </c>
      <c r="J465" s="200" t="str">
        <f aca="false">IF($A466="","",VLOOKUP($A465,Table,MATCH(J$4,Curves,0)))</f>
        <v/>
      </c>
      <c r="K465" s="201" t="str">
        <f aca="false">IF(A466="","",J465)</f>
        <v/>
      </c>
      <c r="L465" s="185" t="n">
        <v>0</v>
      </c>
      <c r="M465" s="201" t="str">
        <f aca="false">IF(A466="","",L465)</f>
        <v/>
      </c>
      <c r="O465" s="200" t="str">
        <f aca="false">IF(A466="","",L465+J465+G465)</f>
        <v/>
      </c>
      <c r="P465" s="200" t="str">
        <f aca="false">IF(A466="","",M465+K465+H465)</f>
        <v/>
      </c>
      <c r="R465" s="200" t="str">
        <f aca="false">IF($A466="","",VLOOKUP($A465,Table,MATCH(R$4,Curves,0)))</f>
        <v/>
      </c>
      <c r="S465" s="201" t="str">
        <f aca="false">IF(A466="","",R465)</f>
        <v/>
      </c>
      <c r="T465" s="200" t="str">
        <f aca="false">IF($A466="","",VLOOKUP($A465,Table,MATCH(T$4,Curves,0)))</f>
        <v/>
      </c>
      <c r="U465" s="201" t="str">
        <f aca="false">IF(A466="","",T465)</f>
        <v/>
      </c>
      <c r="V465" s="205" t="str">
        <f aca="false">IF($A466="","",IF(AND(MONTH(A465)&gt;3,MONTH(A465)&lt;11),(T465+R465+G465)*Summary!$T$10/(1-Summary!$T$10),(T465+R465+G465)*Summary!$U$10/(1-Summary!$U$10)))</f>
        <v/>
      </c>
      <c r="W465" s="200" t="str">
        <f aca="false">IF($A466="","",(T465+R465+G465+V465))</f>
        <v/>
      </c>
      <c r="X465" s="200" t="str">
        <f aca="false">IF($A466="","",(U465+S465+H465+V465))</f>
        <v/>
      </c>
      <c r="Y465" s="202"/>
      <c r="Z465" s="185"/>
      <c r="AJ465" s="77"/>
      <c r="AK465" s="77"/>
      <c r="AL465" s="77"/>
      <c r="AM465" s="77"/>
      <c r="AN465" s="77"/>
      <c r="AO465" s="137" t="str">
        <f aca="false">IF(A466="","",A466-A465)</f>
        <v/>
      </c>
      <c r="AP465" s="212" t="str">
        <f aca="false">IF(A466="","",CHOOSE(F$3,A466+24,A465))</f>
        <v/>
      </c>
      <c r="AQ465" s="209" t="str">
        <f aca="false">IF(A466="","",AP465-$E$1)</f>
        <v/>
      </c>
      <c r="AR465" s="185" t="n">
        <f aca="false">'ANR OK vs ML7'!AR465</f>
        <v>0.1</v>
      </c>
      <c r="AS465" s="213" t="str">
        <f aca="false">IF(A466="","",1/(1+CHOOSE(F$3,(AR466+($I$3/10000))/2,(AR465+($I$3/10000))/2))^(2*AQ465/365.25))</f>
        <v/>
      </c>
      <c r="AT465" s="137" t="str">
        <f aca="false">IF(A466="","",IF(AND(mthbeg&lt;=A465,mthend&gt;=A465),1,0))</f>
        <v/>
      </c>
      <c r="AU465" s="137" t="str">
        <f aca="false">IF(A466="","",AO465*AT465)</f>
        <v/>
      </c>
      <c r="AW465" s="195" t="str">
        <f aca="false">IF($A466="","",AL465*$E465)</f>
        <v/>
      </c>
      <c r="AX465" s="195" t="str">
        <f aca="false">IF($A466="","",AM465*$E465)</f>
        <v/>
      </c>
      <c r="AY465" s="195" t="str">
        <f aca="false">IF($A466="","",AN465*$E465)</f>
        <v/>
      </c>
      <c r="BA465" s="195" t="str">
        <f aca="false">IF($A466="","",F465*Summary!$Q$10)</f>
        <v/>
      </c>
    </row>
    <row r="466" customFormat="false" ht="12.75" hidden="false" customHeight="false" outlineLevel="0" collapsed="false">
      <c r="A466" s="196" t="str">
        <f aca="false">IF(A465&lt;mthend,EDATE(A465,1),"")</f>
        <v/>
      </c>
      <c r="B466" s="197" t="str">
        <f aca="false">IF(A466&lt;mthend,B465,"")</f>
        <v/>
      </c>
      <c r="D466" s="197" t="str">
        <f aca="false">IF(A467&lt;&gt;"",B466+C466,"")</f>
        <v/>
      </c>
      <c r="E466" s="199" t="str">
        <f aca="false">IF(A467="","",IF(AND(AT466=1,$H$3=1),D466*AO466,IF($H$3=2,D466,"N/A")))</f>
        <v/>
      </c>
      <c r="F466" s="199" t="str">
        <f aca="false">IF(A467="","",E466*AS466)</f>
        <v/>
      </c>
      <c r="G466" s="200" t="str">
        <f aca="false">IF($A467="","",VLOOKUP($A466,Table,MATCH(G$4,Curves,0)))</f>
        <v/>
      </c>
      <c r="H466" s="201" t="str">
        <f aca="false">IF(A467="","",G466)</f>
        <v/>
      </c>
      <c r="J466" s="200" t="str">
        <f aca="false">IF($A467="","",VLOOKUP($A466,Table,MATCH(J$4,Curves,0)))</f>
        <v/>
      </c>
      <c r="K466" s="201" t="str">
        <f aca="false">IF(A467="","",J466)</f>
        <v/>
      </c>
      <c r="L466" s="185" t="n">
        <v>0</v>
      </c>
      <c r="M466" s="201" t="str">
        <f aca="false">IF(A467="","",L466)</f>
        <v/>
      </c>
      <c r="O466" s="200" t="str">
        <f aca="false">IF(A467="","",L466+J466+G466)</f>
        <v/>
      </c>
      <c r="P466" s="200" t="str">
        <f aca="false">IF(A467="","",M466+K466+H466)</f>
        <v/>
      </c>
      <c r="R466" s="200" t="str">
        <f aca="false">IF($A467="","",VLOOKUP($A466,Table,MATCH(R$4,Curves,0)))</f>
        <v/>
      </c>
      <c r="S466" s="201" t="str">
        <f aca="false">IF(A467="","",R466)</f>
        <v/>
      </c>
      <c r="T466" s="200" t="str">
        <f aca="false">IF($A467="","",VLOOKUP($A466,Table,MATCH(T$4,Curves,0)))</f>
        <v/>
      </c>
      <c r="U466" s="201" t="str">
        <f aca="false">IF(A467="","",T466)</f>
        <v/>
      </c>
      <c r="V466" s="205" t="str">
        <f aca="false">IF($A467="","",IF(AND(MONTH(A466)&gt;3,MONTH(A466)&lt;11),(T466+R466+G466)*Summary!$T$10/(1-Summary!$T$10),(T466+R466+G466)*Summary!$U$10/(1-Summary!$U$10)))</f>
        <v/>
      </c>
      <c r="W466" s="200" t="str">
        <f aca="false">IF($A467="","",(T466+R466+G466+V466))</f>
        <v/>
      </c>
      <c r="X466" s="200" t="str">
        <f aca="false">IF($A467="","",(U466+S466+H466+V466))</f>
        <v/>
      </c>
      <c r="Y466" s="202"/>
      <c r="Z466" s="185"/>
      <c r="AJ466" s="77"/>
      <c r="AK466" s="77"/>
      <c r="AL466" s="77"/>
      <c r="AM466" s="77"/>
      <c r="AN466" s="77"/>
      <c r="AO466" s="137" t="str">
        <f aca="false">IF(A467="","",A467-A466)</f>
        <v/>
      </c>
      <c r="AP466" s="212" t="str">
        <f aca="false">IF(A467="","",CHOOSE(F$3,A467+24,A466))</f>
        <v/>
      </c>
      <c r="AQ466" s="209" t="str">
        <f aca="false">IF(A467="","",AP466-$E$1)</f>
        <v/>
      </c>
      <c r="AR466" s="185" t="n">
        <f aca="false">'ANR OK vs ML7'!AR466</f>
        <v>0.1</v>
      </c>
      <c r="AS466" s="213" t="str">
        <f aca="false">IF(A467="","",1/(1+CHOOSE(F$3,(AR467+($I$3/10000))/2,(AR466+($I$3/10000))/2))^(2*AQ466/365.25))</f>
        <v/>
      </c>
      <c r="AT466" s="137" t="str">
        <f aca="false">IF(A467="","",IF(AND(mthbeg&lt;=A466,mthend&gt;=A466),1,0))</f>
        <v/>
      </c>
      <c r="AU466" s="137" t="str">
        <f aca="false">IF(A467="","",AO466*AT466)</f>
        <v/>
      </c>
      <c r="AW466" s="195" t="str">
        <f aca="false">IF($A467="","",AL466*$E466)</f>
        <v/>
      </c>
      <c r="AX466" s="195" t="str">
        <f aca="false">IF($A467="","",AM466*$E466)</f>
        <v/>
      </c>
      <c r="AY466" s="195" t="str">
        <f aca="false">IF($A467="","",AN466*$E466)</f>
        <v/>
      </c>
      <c r="BA466" s="195" t="str">
        <f aca="false">IF($A467="","",F466*Summary!$Q$10)</f>
        <v/>
      </c>
    </row>
    <row r="467" customFormat="false" ht="12.75" hidden="false" customHeight="false" outlineLevel="0" collapsed="false">
      <c r="A467" s="196" t="str">
        <f aca="false">IF(A466&lt;mthend,EDATE(A466,1),"")</f>
        <v/>
      </c>
      <c r="B467" s="197" t="str">
        <f aca="false">IF(A467&lt;mthend,B466,"")</f>
        <v/>
      </c>
      <c r="D467" s="197" t="str">
        <f aca="false">IF(A468&lt;&gt;"",B467+C467,"")</f>
        <v/>
      </c>
      <c r="E467" s="199" t="str">
        <f aca="false">IF(A468="","",IF(AND(AT467=1,$H$3=1),D467*AO467,IF($H$3=2,D467,"N/A")))</f>
        <v/>
      </c>
      <c r="F467" s="199" t="str">
        <f aca="false">IF(A468="","",E467*AS467)</f>
        <v/>
      </c>
      <c r="G467" s="200" t="str">
        <f aca="false">IF($A468="","",VLOOKUP($A467,Table,MATCH(G$4,Curves,0)))</f>
        <v/>
      </c>
      <c r="H467" s="201" t="str">
        <f aca="false">IF(A468="","",G467)</f>
        <v/>
      </c>
      <c r="J467" s="200" t="str">
        <f aca="false">IF($A468="","",VLOOKUP($A467,Table,MATCH(J$4,Curves,0)))</f>
        <v/>
      </c>
      <c r="K467" s="201" t="str">
        <f aca="false">IF(A468="","",J467)</f>
        <v/>
      </c>
      <c r="L467" s="185" t="n">
        <v>0</v>
      </c>
      <c r="M467" s="201" t="str">
        <f aca="false">IF(A468="","",L467)</f>
        <v/>
      </c>
      <c r="O467" s="200" t="str">
        <f aca="false">IF(A468="","",L467+J467+G467)</f>
        <v/>
      </c>
      <c r="P467" s="200" t="str">
        <f aca="false">IF(A468="","",M467+K467+H467)</f>
        <v/>
      </c>
      <c r="R467" s="200" t="str">
        <f aca="false">IF($A468="","",VLOOKUP($A467,Table,MATCH(R$4,Curves,0)))</f>
        <v/>
      </c>
      <c r="S467" s="201" t="str">
        <f aca="false">IF(A468="","",R467)</f>
        <v/>
      </c>
      <c r="T467" s="200" t="str">
        <f aca="false">IF($A468="","",VLOOKUP($A467,Table,MATCH(T$4,Curves,0)))</f>
        <v/>
      </c>
      <c r="U467" s="201" t="str">
        <f aca="false">IF(A468="","",T467)</f>
        <v/>
      </c>
      <c r="V467" s="205" t="str">
        <f aca="false">IF($A468="","",IF(AND(MONTH(A467)&gt;3,MONTH(A467)&lt;11),(T467+R467+G467)*Summary!$T$10/(1-Summary!$T$10),(T467+R467+G467)*Summary!$U$10/(1-Summary!$U$10)))</f>
        <v/>
      </c>
      <c r="W467" s="200" t="str">
        <f aca="false">IF($A468="","",(T467+R467+G467+V467))</f>
        <v/>
      </c>
      <c r="X467" s="200" t="str">
        <f aca="false">IF($A468="","",(U467+S467+H467+V467))</f>
        <v/>
      </c>
      <c r="Y467" s="202"/>
      <c r="Z467" s="185"/>
      <c r="AJ467" s="77"/>
      <c r="AK467" s="77"/>
      <c r="AL467" s="77"/>
      <c r="AM467" s="77"/>
      <c r="AN467" s="77"/>
      <c r="AO467" s="137" t="str">
        <f aca="false">IF(A468="","",A468-A467)</f>
        <v/>
      </c>
      <c r="AP467" s="212" t="str">
        <f aca="false">IF(A468="","",CHOOSE(F$3,A468+24,A467))</f>
        <v/>
      </c>
      <c r="AQ467" s="209" t="str">
        <f aca="false">IF(A468="","",AP467-$E$1)</f>
        <v/>
      </c>
      <c r="AR467" s="185" t="n">
        <f aca="false">'ANR OK vs ML7'!AR467</f>
        <v>0.1</v>
      </c>
      <c r="AS467" s="213" t="str">
        <f aca="false">IF(A468="","",1/(1+CHOOSE(F$3,(AR468+($I$3/10000))/2,(AR467+($I$3/10000))/2))^(2*AQ467/365.25))</f>
        <v/>
      </c>
      <c r="AT467" s="137" t="str">
        <f aca="false">IF(A468="","",IF(AND(mthbeg&lt;=A467,mthend&gt;=A467),1,0))</f>
        <v/>
      </c>
      <c r="AU467" s="137" t="str">
        <f aca="false">IF(A468="","",AO467*AT467)</f>
        <v/>
      </c>
      <c r="AW467" s="195" t="str">
        <f aca="false">IF($A468="","",AL467*$E467)</f>
        <v/>
      </c>
      <c r="AX467" s="195" t="str">
        <f aca="false">IF($A468="","",AM467*$E467)</f>
        <v/>
      </c>
      <c r="AY467" s="195" t="str">
        <f aca="false">IF($A468="","",AN467*$E467)</f>
        <v/>
      </c>
      <c r="BA467" s="195" t="str">
        <f aca="false">IF($A468="","",F467*Summary!$Q$10)</f>
        <v/>
      </c>
    </row>
    <row r="468" customFormat="false" ht="12.75" hidden="false" customHeight="false" outlineLevel="0" collapsed="false">
      <c r="A468" s="196" t="str">
        <f aca="false">IF(A467&lt;mthend,EDATE(A467,1),"")</f>
        <v/>
      </c>
      <c r="B468" s="197" t="str">
        <f aca="false">IF(A468&lt;mthend,B467,"")</f>
        <v/>
      </c>
      <c r="D468" s="197" t="str">
        <f aca="false">IF(A469&lt;&gt;"",B468+C468,"")</f>
        <v/>
      </c>
      <c r="E468" s="199" t="str">
        <f aca="false">IF(A469="","",IF(AND(AT468=1,$H$3=1),D468*AO468,IF($H$3=2,D468,"N/A")))</f>
        <v/>
      </c>
      <c r="F468" s="199" t="str">
        <f aca="false">IF(A469="","",E468*AS468)</f>
        <v/>
      </c>
      <c r="G468" s="200" t="str">
        <f aca="false">IF($A469="","",VLOOKUP($A468,Table,MATCH(G$4,Curves,0)))</f>
        <v/>
      </c>
      <c r="H468" s="201" t="str">
        <f aca="false">IF(A469="","",G468)</f>
        <v/>
      </c>
      <c r="J468" s="200" t="str">
        <f aca="false">IF($A469="","",VLOOKUP($A468,Table,MATCH(J$4,Curves,0)))</f>
        <v/>
      </c>
      <c r="K468" s="201" t="str">
        <f aca="false">IF(A469="","",J468)</f>
        <v/>
      </c>
      <c r="L468" s="185" t="n">
        <v>0</v>
      </c>
      <c r="M468" s="201" t="str">
        <f aca="false">IF(A469="","",L468)</f>
        <v/>
      </c>
      <c r="O468" s="200" t="str">
        <f aca="false">IF(A469="","",L468+J468+G468)</f>
        <v/>
      </c>
      <c r="P468" s="200" t="str">
        <f aca="false">IF(A469="","",M468+K468+H468)</f>
        <v/>
      </c>
      <c r="R468" s="200" t="str">
        <f aca="false">IF($A469="","",VLOOKUP($A468,Table,MATCH(R$4,Curves,0)))</f>
        <v/>
      </c>
      <c r="S468" s="201" t="str">
        <f aca="false">IF(A469="","",R468)</f>
        <v/>
      </c>
      <c r="T468" s="200" t="str">
        <f aca="false">IF($A469="","",VLOOKUP($A468,Table,MATCH(T$4,Curves,0)))</f>
        <v/>
      </c>
      <c r="U468" s="201" t="str">
        <f aca="false">IF(A469="","",T468)</f>
        <v/>
      </c>
      <c r="V468" s="205" t="str">
        <f aca="false">IF($A469="","",IF(AND(MONTH(A468)&gt;3,MONTH(A468)&lt;11),(T468+R468+G468)*Summary!$T$10/(1-Summary!$T$10),(T468+R468+G468)*Summary!$U$10/(1-Summary!$U$10)))</f>
        <v/>
      </c>
      <c r="W468" s="200" t="str">
        <f aca="false">IF($A469="","",(T468+R468+G468+V468))</f>
        <v/>
      </c>
      <c r="X468" s="200" t="str">
        <f aca="false">IF($A469="","",(U468+S468+H468+V468))</f>
        <v/>
      </c>
      <c r="Y468" s="202"/>
      <c r="Z468" s="185"/>
      <c r="AJ468" s="77"/>
      <c r="AK468" s="77"/>
      <c r="AL468" s="77"/>
      <c r="AM468" s="77"/>
      <c r="AN468" s="77"/>
      <c r="AO468" s="137" t="str">
        <f aca="false">IF(A469="","",A469-A468)</f>
        <v/>
      </c>
      <c r="AP468" s="212" t="str">
        <f aca="false">IF(A469="","",CHOOSE(F$3,A469+24,A468))</f>
        <v/>
      </c>
      <c r="AQ468" s="209" t="str">
        <f aca="false">IF(A469="","",AP468-$E$1)</f>
        <v/>
      </c>
      <c r="AR468" s="185" t="n">
        <f aca="false">'ANR OK vs ML7'!AR468</f>
        <v>0.1</v>
      </c>
      <c r="AS468" s="213" t="str">
        <f aca="false">IF(A469="","",1/(1+CHOOSE(F$3,(AR469+($I$3/10000))/2,(AR468+($I$3/10000))/2))^(2*AQ468/365.25))</f>
        <v/>
      </c>
      <c r="AT468" s="137" t="str">
        <f aca="false">IF(A469="","",IF(AND(mthbeg&lt;=A468,mthend&gt;=A468),1,0))</f>
        <v/>
      </c>
      <c r="AU468" s="137" t="str">
        <f aca="false">IF(A469="","",AO468*AT468)</f>
        <v/>
      </c>
      <c r="AW468" s="195" t="str">
        <f aca="false">IF($A469="","",AL468*$E468)</f>
        <v/>
      </c>
      <c r="AX468" s="195" t="str">
        <f aca="false">IF($A469="","",AM468*$E468)</f>
        <v/>
      </c>
      <c r="AY468" s="195" t="str">
        <f aca="false">IF($A469="","",AN468*$E468)</f>
        <v/>
      </c>
      <c r="BA468" s="195" t="str">
        <f aca="false">IF($A469="","",F468*Summary!$Q$10)</f>
        <v/>
      </c>
    </row>
    <row r="469" customFormat="false" ht="12.75" hidden="false" customHeight="false" outlineLevel="0" collapsed="false">
      <c r="A469" s="196" t="str">
        <f aca="false">IF(A468&lt;mthend,EDATE(A468,1),"")</f>
        <v/>
      </c>
      <c r="B469" s="197" t="str">
        <f aca="false">IF(A469&lt;mthend,B468,"")</f>
        <v/>
      </c>
      <c r="D469" s="197" t="str">
        <f aca="false">IF(A470&lt;&gt;"",B469+C469,"")</f>
        <v/>
      </c>
      <c r="E469" s="199" t="str">
        <f aca="false">IF(A470="","",IF(AND(AT469=1,$H$3=1),D469*AO469,IF($H$3=2,D469,"N/A")))</f>
        <v/>
      </c>
      <c r="F469" s="199" t="str">
        <f aca="false">IF(A470="","",E469*AS469)</f>
        <v/>
      </c>
      <c r="G469" s="200" t="str">
        <f aca="false">IF($A470="","",VLOOKUP($A469,Table,MATCH(G$4,Curves,0)))</f>
        <v/>
      </c>
      <c r="H469" s="201" t="str">
        <f aca="false">IF(A470="","",G469)</f>
        <v/>
      </c>
      <c r="J469" s="200" t="str">
        <f aca="false">IF($A470="","",VLOOKUP($A469,Table,MATCH(J$4,Curves,0)))</f>
        <v/>
      </c>
      <c r="K469" s="201" t="str">
        <f aca="false">IF(A470="","",J469)</f>
        <v/>
      </c>
      <c r="L469" s="185" t="n">
        <v>0</v>
      </c>
      <c r="M469" s="201" t="str">
        <f aca="false">IF(A470="","",L469)</f>
        <v/>
      </c>
      <c r="O469" s="200" t="str">
        <f aca="false">IF(A470="","",L469+J469+G469)</f>
        <v/>
      </c>
      <c r="P469" s="200" t="str">
        <f aca="false">IF(A470="","",M469+K469+H469)</f>
        <v/>
      </c>
      <c r="R469" s="200" t="str">
        <f aca="false">IF($A470="","",VLOOKUP($A469,Table,MATCH(R$4,Curves,0)))</f>
        <v/>
      </c>
      <c r="S469" s="201" t="str">
        <f aca="false">IF(A470="","",R469)</f>
        <v/>
      </c>
      <c r="T469" s="200" t="str">
        <f aca="false">IF($A470="","",VLOOKUP($A469,Table,MATCH(T$4,Curves,0)))</f>
        <v/>
      </c>
      <c r="U469" s="201" t="str">
        <f aca="false">IF(A470="","",T469)</f>
        <v/>
      </c>
      <c r="V469" s="205" t="str">
        <f aca="false">IF($A470="","",IF(AND(MONTH(A469)&gt;3,MONTH(A469)&lt;11),(T469+R469+G469)*Summary!$T$10/(1-Summary!$T$10),(T469+R469+G469)*Summary!$U$10/(1-Summary!$U$10)))</f>
        <v/>
      </c>
      <c r="W469" s="200" t="str">
        <f aca="false">IF($A470="","",(T469+R469+G469+V469))</f>
        <v/>
      </c>
      <c r="X469" s="200" t="str">
        <f aca="false">IF($A470="","",(U469+S469+H469+V469))</f>
        <v/>
      </c>
      <c r="Y469" s="202"/>
      <c r="Z469" s="185"/>
      <c r="AJ469" s="77"/>
      <c r="AK469" s="77"/>
      <c r="AL469" s="77"/>
      <c r="AM469" s="77"/>
      <c r="AN469" s="77"/>
      <c r="AO469" s="137" t="str">
        <f aca="false">IF(A470="","",A470-A469)</f>
        <v/>
      </c>
      <c r="AP469" s="212" t="str">
        <f aca="false">IF(A470="","",CHOOSE(F$3,A470+24,A469))</f>
        <v/>
      </c>
      <c r="AQ469" s="209" t="str">
        <f aca="false">IF(A470="","",AP469-$E$1)</f>
        <v/>
      </c>
      <c r="AR469" s="185" t="n">
        <f aca="false">'ANR OK vs ML7'!AR469</f>
        <v>0.1</v>
      </c>
      <c r="AS469" s="213" t="str">
        <f aca="false">IF(A470="","",1/(1+CHOOSE(F$3,(AR470+($I$3/10000))/2,(AR469+($I$3/10000))/2))^(2*AQ469/365.25))</f>
        <v/>
      </c>
      <c r="AT469" s="137" t="str">
        <f aca="false">IF(A470="","",IF(AND(mthbeg&lt;=A469,mthend&gt;=A469),1,0))</f>
        <v/>
      </c>
      <c r="AU469" s="137" t="str">
        <f aca="false">IF(A470="","",AO469*AT469)</f>
        <v/>
      </c>
      <c r="AW469" s="195" t="str">
        <f aca="false">IF($A470="","",AL469*$E469)</f>
        <v/>
      </c>
      <c r="AX469" s="195" t="str">
        <f aca="false">IF($A470="","",AM469*$E469)</f>
        <v/>
      </c>
      <c r="AY469" s="195" t="str">
        <f aca="false">IF($A470="","",AN469*$E469)</f>
        <v/>
      </c>
      <c r="BA469" s="195" t="str">
        <f aca="false">IF($A470="","",F469*Summary!$Q$10)</f>
        <v/>
      </c>
    </row>
    <row r="470" customFormat="false" ht="12.75" hidden="false" customHeight="false" outlineLevel="0" collapsed="false">
      <c r="A470" s="196" t="str">
        <f aca="false">IF(A469&lt;mthend,EDATE(A469,1),"")</f>
        <v/>
      </c>
      <c r="B470" s="197" t="str">
        <f aca="false">IF(A470&lt;mthend,B469,"")</f>
        <v/>
      </c>
      <c r="D470" s="197" t="str">
        <f aca="false">IF(A471&lt;&gt;"",B470+C470,"")</f>
        <v/>
      </c>
      <c r="E470" s="199" t="str">
        <f aca="false">IF(A471="","",IF(AND(AT470=1,$H$3=1),D470*AO470,IF($H$3=2,D470,"N/A")))</f>
        <v/>
      </c>
      <c r="F470" s="199" t="str">
        <f aca="false">IF(A471="","",E470*AS470)</f>
        <v/>
      </c>
      <c r="G470" s="200" t="str">
        <f aca="false">IF($A471="","",VLOOKUP($A470,Table,MATCH(G$4,Curves,0)))</f>
        <v/>
      </c>
      <c r="H470" s="201" t="str">
        <f aca="false">IF(A471="","",G470)</f>
        <v/>
      </c>
      <c r="J470" s="200" t="str">
        <f aca="false">IF($A471="","",VLOOKUP($A470,Table,MATCH(J$4,Curves,0)))</f>
        <v/>
      </c>
      <c r="K470" s="201" t="str">
        <f aca="false">IF(A471="","",J470)</f>
        <v/>
      </c>
      <c r="L470" s="185" t="n">
        <v>0</v>
      </c>
      <c r="M470" s="201" t="str">
        <f aca="false">IF(A471="","",L470)</f>
        <v/>
      </c>
      <c r="O470" s="200" t="str">
        <f aca="false">IF(A471="","",L470+J470+G470)</f>
        <v/>
      </c>
      <c r="P470" s="200" t="str">
        <f aca="false">IF(A471="","",M470+K470+H470)</f>
        <v/>
      </c>
      <c r="R470" s="200" t="str">
        <f aca="false">IF($A471="","",VLOOKUP($A470,Table,MATCH(R$4,Curves,0)))</f>
        <v/>
      </c>
      <c r="S470" s="201" t="str">
        <f aca="false">IF(A471="","",R470)</f>
        <v/>
      </c>
      <c r="T470" s="200" t="str">
        <f aca="false">IF($A471="","",VLOOKUP($A470,Table,MATCH(T$4,Curves,0)))</f>
        <v/>
      </c>
      <c r="U470" s="201" t="str">
        <f aca="false">IF(A471="","",T470)</f>
        <v/>
      </c>
      <c r="V470" s="205" t="str">
        <f aca="false">IF($A471="","",IF(AND(MONTH(A470)&gt;3,MONTH(A470)&lt;11),(T470+R470+G470)*Summary!$T$10/(1-Summary!$T$10),(T470+R470+G470)*Summary!$U$10/(1-Summary!$U$10)))</f>
        <v/>
      </c>
      <c r="W470" s="200" t="str">
        <f aca="false">IF($A471="","",(T470+R470+G470+V470))</f>
        <v/>
      </c>
      <c r="X470" s="200" t="str">
        <f aca="false">IF($A471="","",(U470+S470+H470+V470))</f>
        <v/>
      </c>
      <c r="Y470" s="202"/>
      <c r="Z470" s="185"/>
      <c r="AJ470" s="77"/>
      <c r="AK470" s="77"/>
      <c r="AL470" s="77"/>
      <c r="AM470" s="77"/>
      <c r="AN470" s="77"/>
      <c r="AO470" s="137" t="str">
        <f aca="false">IF(A471="","",A471-A470)</f>
        <v/>
      </c>
      <c r="AP470" s="212" t="str">
        <f aca="false">IF(A471="","",CHOOSE(F$3,A471+24,A470))</f>
        <v/>
      </c>
      <c r="AQ470" s="209" t="str">
        <f aca="false">IF(A471="","",AP470-$E$1)</f>
        <v/>
      </c>
      <c r="AR470" s="185" t="n">
        <f aca="false">'ANR OK vs ML7'!AR470</f>
        <v>0.1</v>
      </c>
      <c r="AS470" s="213" t="str">
        <f aca="false">IF(A471="","",1/(1+CHOOSE(F$3,(AR471+($I$3/10000))/2,(AR470+($I$3/10000))/2))^(2*AQ470/365.25))</f>
        <v/>
      </c>
      <c r="AT470" s="137" t="str">
        <f aca="false">IF(A471="","",IF(AND(mthbeg&lt;=A470,mthend&gt;=A470),1,0))</f>
        <v/>
      </c>
      <c r="AU470" s="137" t="str">
        <f aca="false">IF(A471="","",AO470*AT470)</f>
        <v/>
      </c>
      <c r="AW470" s="195" t="str">
        <f aca="false">IF($A471="","",AL470*$E470)</f>
        <v/>
      </c>
      <c r="AX470" s="195" t="str">
        <f aca="false">IF($A471="","",AM470*$E470)</f>
        <v/>
      </c>
      <c r="AY470" s="195" t="str">
        <f aca="false">IF($A471="","",AN470*$E470)</f>
        <v/>
      </c>
      <c r="BA470" s="195" t="str">
        <f aca="false">IF($A471="","",F470*Summary!$Q$10)</f>
        <v/>
      </c>
    </row>
    <row r="471" customFormat="false" ht="12.75" hidden="false" customHeight="false" outlineLevel="0" collapsed="false">
      <c r="A471" s="196" t="str">
        <f aca="false">IF(A470&lt;mthend,EDATE(A470,1),"")</f>
        <v/>
      </c>
      <c r="B471" s="197" t="str">
        <f aca="false">IF(A471&lt;mthend,B470,"")</f>
        <v/>
      </c>
      <c r="D471" s="197" t="str">
        <f aca="false">IF(A472&lt;&gt;"",B471+C471,"")</f>
        <v/>
      </c>
      <c r="E471" s="199" t="str">
        <f aca="false">IF(A472="","",IF(AND(AT471=1,$H$3=1),D471*AO471,IF($H$3=2,D471,"N/A")))</f>
        <v/>
      </c>
      <c r="F471" s="199" t="str">
        <f aca="false">IF(A472="","",E471*AS471)</f>
        <v/>
      </c>
      <c r="G471" s="200" t="str">
        <f aca="false">IF($A472="","",VLOOKUP($A471,Table,MATCH(G$4,Curves,0)))</f>
        <v/>
      </c>
      <c r="H471" s="201" t="str">
        <f aca="false">IF(A472="","",G471)</f>
        <v/>
      </c>
      <c r="J471" s="200" t="str">
        <f aca="false">IF($A472="","",VLOOKUP($A471,Table,MATCH(J$4,Curves,0)))</f>
        <v/>
      </c>
      <c r="K471" s="201" t="str">
        <f aca="false">IF(A472="","",J471)</f>
        <v/>
      </c>
      <c r="L471" s="185" t="n">
        <v>0</v>
      </c>
      <c r="M471" s="201" t="str">
        <f aca="false">IF(A472="","",L471)</f>
        <v/>
      </c>
      <c r="O471" s="200" t="str">
        <f aca="false">IF(A472="","",L471+J471+G471)</f>
        <v/>
      </c>
      <c r="P471" s="200" t="str">
        <f aca="false">IF(A472="","",M471+K471+H471)</f>
        <v/>
      </c>
      <c r="R471" s="200" t="str">
        <f aca="false">IF($A472="","",VLOOKUP($A471,Table,MATCH(R$4,Curves,0)))</f>
        <v/>
      </c>
      <c r="S471" s="201" t="str">
        <f aca="false">IF(A472="","",R471)</f>
        <v/>
      </c>
      <c r="T471" s="200" t="str">
        <f aca="false">IF($A472="","",VLOOKUP($A471,Table,MATCH(T$4,Curves,0)))</f>
        <v/>
      </c>
      <c r="U471" s="201" t="str">
        <f aca="false">IF(A472="","",T471)</f>
        <v/>
      </c>
      <c r="V471" s="205" t="str">
        <f aca="false">IF($A472="","",IF(AND(MONTH(A471)&gt;3,MONTH(A471)&lt;11),(T471+R471+G471)*Summary!$T$10/(1-Summary!$T$10),(T471+R471+G471)*Summary!$U$10/(1-Summary!$U$10)))</f>
        <v/>
      </c>
      <c r="W471" s="200" t="str">
        <f aca="false">IF($A472="","",(T471+R471+G471+V471))</f>
        <v/>
      </c>
      <c r="X471" s="200" t="str">
        <f aca="false">IF($A472="","",(U471+S471+H471+V471))</f>
        <v/>
      </c>
      <c r="Y471" s="202"/>
      <c r="Z471" s="21"/>
      <c r="AJ471" s="77"/>
      <c r="AK471" s="77"/>
      <c r="AL471" s="77"/>
      <c r="AM471" s="77"/>
      <c r="AN471" s="77"/>
      <c r="AO471" s="137" t="str">
        <f aca="false">IF(A472="","",A472-A471)</f>
        <v/>
      </c>
      <c r="AP471" s="212" t="str">
        <f aca="false">IF(A472="","",CHOOSE(F$3,A472+24,A471))</f>
        <v/>
      </c>
      <c r="AQ471" s="209" t="str">
        <f aca="false">IF(A472="","",AP471-$E$1)</f>
        <v/>
      </c>
      <c r="AR471" s="185" t="n">
        <f aca="false">'ANR OK vs ML7'!AR471</f>
        <v>0.1</v>
      </c>
      <c r="AS471" s="213" t="str">
        <f aca="false">IF(A472="","",1/(1+CHOOSE(F$3,(AR472+($I$3/10000))/2,(AR471+($I$3/10000))/2))^(2*AQ471/365.25))</f>
        <v/>
      </c>
      <c r="AT471" s="137" t="str">
        <f aca="false">IF(A472="","",IF(AND(mthbeg&lt;=A471,mthend&gt;=A471),1,0))</f>
        <v/>
      </c>
      <c r="AU471" s="137" t="str">
        <f aca="false">IF(A472="","",AO471*AT471)</f>
        <v/>
      </c>
      <c r="AW471" s="195" t="str">
        <f aca="false">IF($A472="","",AL471*$E471)</f>
        <v/>
      </c>
      <c r="AX471" s="195" t="str">
        <f aca="false">IF($A472="","",AM471*$E471)</f>
        <v/>
      </c>
      <c r="AY471" s="195" t="str">
        <f aca="false">IF($A472="","",AN471*$E471)</f>
        <v/>
      </c>
      <c r="BA471" s="195" t="str">
        <f aca="false">IF($A472="","",F471*Summary!$Q$10)</f>
        <v/>
      </c>
    </row>
    <row r="472" customFormat="false" ht="12.75" hidden="false" customHeight="false" outlineLevel="0" collapsed="false">
      <c r="A472" s="196" t="str">
        <f aca="false">IF(A471&lt;mthend,EDATE(A471,1),"")</f>
        <v/>
      </c>
      <c r="B472" s="197" t="str">
        <f aca="false">IF(A472&lt;mthend,B471,"")</f>
        <v/>
      </c>
      <c r="D472" s="197" t="str">
        <f aca="false">IF(A473&lt;&gt;"",B472+C472,"")</f>
        <v/>
      </c>
      <c r="E472" s="199" t="str">
        <f aca="false">IF(A473="","",IF(AND(AT472=1,$H$3=1),D472*AO472,IF($H$3=2,D472,"N/A")))</f>
        <v/>
      </c>
      <c r="F472" s="199" t="str">
        <f aca="false">IF(A473="","",E472*AS472)</f>
        <v/>
      </c>
      <c r="G472" s="200" t="str">
        <f aca="false">IF($A473="","",VLOOKUP($A472,Table,MATCH(G$4,Curves,0)))</f>
        <v/>
      </c>
      <c r="H472" s="201" t="str">
        <f aca="false">IF(A473="","",G472)</f>
        <v/>
      </c>
      <c r="J472" s="200" t="str">
        <f aca="false">IF($A473="","",VLOOKUP($A472,Table,MATCH(J$4,Curves,0)))</f>
        <v/>
      </c>
      <c r="K472" s="201" t="str">
        <f aca="false">IF(A473="","",J472)</f>
        <v/>
      </c>
      <c r="L472" s="185" t="n">
        <v>0</v>
      </c>
      <c r="M472" s="201" t="str">
        <f aca="false">IF(A473="","",L472)</f>
        <v/>
      </c>
      <c r="O472" s="200" t="str">
        <f aca="false">IF(A473="","",L472+J472+G472)</f>
        <v/>
      </c>
      <c r="P472" s="200" t="str">
        <f aca="false">IF(A473="","",M472+K472+H472)</f>
        <v/>
      </c>
      <c r="R472" s="200" t="str">
        <f aca="false">IF($A473="","",VLOOKUP($A472,Table,MATCH(R$4,Curves,0)))</f>
        <v/>
      </c>
      <c r="S472" s="201" t="str">
        <f aca="false">IF(A473="","",R472)</f>
        <v/>
      </c>
      <c r="T472" s="200" t="str">
        <f aca="false">IF($A473="","",VLOOKUP($A472,Table,MATCH(T$4,Curves,0)))</f>
        <v/>
      </c>
      <c r="U472" s="201" t="str">
        <f aca="false">IF(A473="","",T472)</f>
        <v/>
      </c>
      <c r="V472" s="205" t="str">
        <f aca="false">IF($A473="","",IF(AND(MONTH(A472)&gt;3,MONTH(A472)&lt;11),(T472+R472+G472)*Summary!$T$10/(1-Summary!$T$10),(T472+R472+G472)*Summary!$U$10/(1-Summary!$U$10)))</f>
        <v/>
      </c>
      <c r="W472" s="200" t="str">
        <f aca="false">IF($A473="","",(T472+R472+G472+V472))</f>
        <v/>
      </c>
      <c r="X472" s="200" t="str">
        <f aca="false">IF($A473="","",(U472+S472+H472+V472))</f>
        <v/>
      </c>
      <c r="Y472" s="202"/>
      <c r="AJ472" s="77"/>
      <c r="AK472" s="77"/>
      <c r="AL472" s="77"/>
      <c r="AM472" s="77"/>
      <c r="AN472" s="77"/>
      <c r="AO472" s="137" t="str">
        <f aca="false">IF(A473="","",A473-A472)</f>
        <v/>
      </c>
      <c r="AP472" s="212" t="str">
        <f aca="false">IF(A473="","",CHOOSE(F$3,A473+24,A472))</f>
        <v/>
      </c>
      <c r="AQ472" s="209" t="str">
        <f aca="false">IF(A473="","",AP472-$E$1)</f>
        <v/>
      </c>
      <c r="AR472" s="185" t="n">
        <f aca="false">'ANR OK vs ML7'!AR472</f>
        <v>0.1</v>
      </c>
      <c r="AS472" s="213" t="str">
        <f aca="false">IF(A473="","",1/(1+CHOOSE(F$3,(AR473+($I$3/10000))/2,(AR472+($I$3/10000))/2))^(2*AQ472/365.25))</f>
        <v/>
      </c>
      <c r="AT472" s="137" t="str">
        <f aca="false">IF(A473="","",IF(AND(mthbeg&lt;=A472,mthend&gt;=A472),1,0))</f>
        <v/>
      </c>
      <c r="AU472" s="137" t="str">
        <f aca="false">IF(A473="","",AO472*AT472)</f>
        <v/>
      </c>
      <c r="AW472" s="195" t="str">
        <f aca="false">IF($A473="","",AL472*$E472)</f>
        <v/>
      </c>
      <c r="AX472" s="195" t="str">
        <f aca="false">IF($A473="","",AM472*$E472)</f>
        <v/>
      </c>
      <c r="AY472" s="195" t="str">
        <f aca="false">IF($A473="","",AN472*$E472)</f>
        <v/>
      </c>
      <c r="BA472" s="195" t="str">
        <f aca="false">IF($A473="","",F472*Summary!$Q$10)</f>
        <v/>
      </c>
    </row>
    <row r="473" customFormat="false" ht="12.75" hidden="false" customHeight="false" outlineLevel="0" collapsed="false">
      <c r="A473" s="196" t="str">
        <f aca="false">IF(A472&lt;mthend,EDATE(A472,1),"")</f>
        <v/>
      </c>
      <c r="B473" s="197" t="str">
        <f aca="false">IF(A473&lt;mthend,B472,"")</f>
        <v/>
      </c>
      <c r="D473" s="197" t="str">
        <f aca="false">IF(A474&lt;&gt;"",B473+C473,"")</f>
        <v/>
      </c>
      <c r="E473" s="199" t="str">
        <f aca="false">IF(A474="","",IF(AND(AT473=1,$H$3=1),D473*AO473,IF($H$3=2,D473,"N/A")))</f>
        <v/>
      </c>
      <c r="F473" s="199" t="str">
        <f aca="false">IF(A474="","",E473*AS473)</f>
        <v/>
      </c>
      <c r="G473" s="200" t="str">
        <f aca="false">IF($A474="","",VLOOKUP($A473,Table,MATCH(G$4,Curves,0)))</f>
        <v/>
      </c>
      <c r="H473" s="201" t="str">
        <f aca="false">IF(A474="","",G473)</f>
        <v/>
      </c>
      <c r="J473" s="200" t="str">
        <f aca="false">IF($A474="","",VLOOKUP($A473,Table,MATCH(J$4,Curves,0)))</f>
        <v/>
      </c>
      <c r="K473" s="201" t="str">
        <f aca="false">IF(A474="","",J473)</f>
        <v/>
      </c>
      <c r="L473" s="185" t="n">
        <v>0</v>
      </c>
      <c r="M473" s="201" t="str">
        <f aca="false">IF(A474="","",L473)</f>
        <v/>
      </c>
      <c r="O473" s="200" t="str">
        <f aca="false">IF(A474="","",L473+J473+G473)</f>
        <v/>
      </c>
      <c r="P473" s="200" t="str">
        <f aca="false">IF(A474="","",M473+K473+H473)</f>
        <v/>
      </c>
      <c r="R473" s="200" t="str">
        <f aca="false">IF($A474="","",VLOOKUP($A473,Table,MATCH(R$4,Curves,0)))</f>
        <v/>
      </c>
      <c r="S473" s="201" t="str">
        <f aca="false">IF(A474="","",R473)</f>
        <v/>
      </c>
      <c r="T473" s="200" t="str">
        <f aca="false">IF($A474="","",VLOOKUP($A473,Table,MATCH(T$4,Curves,0)))</f>
        <v/>
      </c>
      <c r="U473" s="201" t="str">
        <f aca="false">IF(A474="","",T473)</f>
        <v/>
      </c>
      <c r="V473" s="205" t="str">
        <f aca="false">IF($A474="","",IF(AND(MONTH(A473)&gt;3,MONTH(A473)&lt;11),(T473+R473+G473)*Summary!$T$10/(1-Summary!$T$10),(T473+R473+G473)*Summary!$U$10/(1-Summary!$U$10)))</f>
        <v/>
      </c>
      <c r="W473" s="200" t="str">
        <f aca="false">IF($A474="","",(T473+R473+G473+V473))</f>
        <v/>
      </c>
      <c r="X473" s="200" t="str">
        <f aca="false">IF($A474="","",(U473+S473+H473+V473))</f>
        <v/>
      </c>
      <c r="Y473" s="202"/>
      <c r="AJ473" s="77"/>
      <c r="AK473" s="77"/>
      <c r="AL473" s="77"/>
      <c r="AM473" s="77"/>
      <c r="AN473" s="77"/>
      <c r="AO473" s="137" t="str">
        <f aca="false">IF(A474="","",A474-A473)</f>
        <v/>
      </c>
      <c r="AP473" s="212" t="str">
        <f aca="false">IF(A474="","",CHOOSE(F$3,A474+24,A473))</f>
        <v/>
      </c>
      <c r="AQ473" s="209" t="str">
        <f aca="false">IF(A474="","",AP473-$E$1)</f>
        <v/>
      </c>
      <c r="AR473" s="185" t="n">
        <f aca="false">'ANR OK vs ML7'!AR473</f>
        <v>0.1</v>
      </c>
      <c r="AS473" s="213" t="str">
        <f aca="false">IF(A474="","",1/(1+CHOOSE(F$3,(AR474+($I$3/10000))/2,(AR473+($I$3/10000))/2))^(2*AQ473/365.25))</f>
        <v/>
      </c>
      <c r="AT473" s="137" t="str">
        <f aca="false">IF(A474="","",IF(AND(mthbeg&lt;=A473,mthend&gt;=A473),1,0))</f>
        <v/>
      </c>
      <c r="AU473" s="137" t="str">
        <f aca="false">IF(A474="","",AO473*AT473)</f>
        <v/>
      </c>
      <c r="AW473" s="195" t="str">
        <f aca="false">IF($A474="","",AL473*$E473)</f>
        <v/>
      </c>
      <c r="AX473" s="195" t="str">
        <f aca="false">IF($A474="","",AM473*$E473)</f>
        <v/>
      </c>
      <c r="AY473" s="195" t="str">
        <f aca="false">IF($A474="","",AN473*$E473)</f>
        <v/>
      </c>
      <c r="BA473" s="195" t="str">
        <f aca="false">IF($A474="","",F473*Summary!$Q$10)</f>
        <v/>
      </c>
    </row>
    <row r="474" customFormat="false" ht="12.75" hidden="false" customHeight="false" outlineLevel="0" collapsed="false">
      <c r="A474" s="196" t="str">
        <f aca="false">IF(A473&lt;mthend,EDATE(A473,1),"")</f>
        <v/>
      </c>
      <c r="B474" s="197" t="str">
        <f aca="false">IF(A474&lt;mthend,B473,"")</f>
        <v/>
      </c>
      <c r="D474" s="197" t="str">
        <f aca="false">IF(A475&lt;&gt;"",B474+C474,"")</f>
        <v/>
      </c>
      <c r="E474" s="199" t="str">
        <f aca="false">IF(A475="","",IF(AND(AT474=1,$H$3=1),D474*AO474,IF($H$3=2,D474,"N/A")))</f>
        <v/>
      </c>
      <c r="F474" s="199" t="str">
        <f aca="false">IF(A475="","",E474*AS474)</f>
        <v/>
      </c>
      <c r="G474" s="200" t="str">
        <f aca="false">IF($A475="","",VLOOKUP($A474,Table,MATCH(G$4,Curves,0)))</f>
        <v/>
      </c>
      <c r="H474" s="201" t="str">
        <f aca="false">IF(A475="","",G474)</f>
        <v/>
      </c>
      <c r="J474" s="200" t="str">
        <f aca="false">IF($A475="","",VLOOKUP($A474,Table,MATCH(J$4,Curves,0)))</f>
        <v/>
      </c>
      <c r="K474" s="201" t="str">
        <f aca="false">IF(A475="","",J474)</f>
        <v/>
      </c>
      <c r="L474" s="185" t="n">
        <v>0</v>
      </c>
      <c r="M474" s="201" t="str">
        <f aca="false">IF(A475="","",L474)</f>
        <v/>
      </c>
      <c r="O474" s="200" t="str">
        <f aca="false">IF(A475="","",L474+J474+G474)</f>
        <v/>
      </c>
      <c r="P474" s="200" t="str">
        <f aca="false">IF(A475="","",M474+K474+H474)</f>
        <v/>
      </c>
      <c r="R474" s="200" t="str">
        <f aca="false">IF($A475="","",VLOOKUP($A474,Table,MATCH(R$4,Curves,0)))</f>
        <v/>
      </c>
      <c r="S474" s="201" t="str">
        <f aca="false">IF(A475="","",R474)</f>
        <v/>
      </c>
      <c r="T474" s="200" t="str">
        <f aca="false">IF($A475="","",VLOOKUP($A474,Table,MATCH(T$4,Curves,0)))</f>
        <v/>
      </c>
      <c r="U474" s="201" t="str">
        <f aca="false">IF(A475="","",T474)</f>
        <v/>
      </c>
      <c r="V474" s="205" t="str">
        <f aca="false">IF($A475="","",IF(AND(MONTH(A474)&gt;3,MONTH(A474)&lt;11),(T474+R474+G474)*Summary!$T$10/(1-Summary!$T$10),(T474+R474+G474)*Summary!$U$10/(1-Summary!$U$10)))</f>
        <v/>
      </c>
      <c r="W474" s="200" t="str">
        <f aca="false">IF($A475="","",(T474+R474+G474+V474))</f>
        <v/>
      </c>
      <c r="X474" s="200" t="str">
        <f aca="false">IF($A475="","",(U474+S474+H474+V474))</f>
        <v/>
      </c>
      <c r="Y474" s="202"/>
      <c r="AJ474" s="77"/>
      <c r="AK474" s="77"/>
      <c r="AL474" s="77"/>
      <c r="AM474" s="77"/>
      <c r="AN474" s="77"/>
      <c r="AO474" s="137" t="str">
        <f aca="false">IF(A475="","",A475-A474)</f>
        <v/>
      </c>
      <c r="AP474" s="212" t="str">
        <f aca="false">IF(A475="","",CHOOSE(F$3,A475+24,A474))</f>
        <v/>
      </c>
      <c r="AQ474" s="209" t="str">
        <f aca="false">IF(A475="","",AP474-$E$1)</f>
        <v/>
      </c>
      <c r="AR474" s="185" t="n">
        <f aca="false">'ANR OK vs ML7'!AR474</f>
        <v>0.1</v>
      </c>
      <c r="AS474" s="213" t="str">
        <f aca="false">IF(A475="","",1/(1+CHOOSE(F$3,(AR475+($I$3/10000))/2,(AR474+($I$3/10000))/2))^(2*AQ474/365.25))</f>
        <v/>
      </c>
      <c r="AT474" s="137" t="str">
        <f aca="false">IF(A475="","",IF(AND(mthbeg&lt;=A474,mthend&gt;=A474),1,0))</f>
        <v/>
      </c>
      <c r="AU474" s="137" t="str">
        <f aca="false">IF(A475="","",AO474*AT474)</f>
        <v/>
      </c>
      <c r="AW474" s="195" t="str">
        <f aca="false">IF($A475="","",AL474*$E474)</f>
        <v/>
      </c>
      <c r="AX474" s="195" t="str">
        <f aca="false">IF($A475="","",AM474*$E474)</f>
        <v/>
      </c>
      <c r="AY474" s="195" t="str">
        <f aca="false">IF($A475="","",AN474*$E474)</f>
        <v/>
      </c>
      <c r="BA474" s="195" t="str">
        <f aca="false">IF($A475="","",F474*Summary!$Q$10)</f>
        <v/>
      </c>
    </row>
    <row r="475" customFormat="false" ht="12.75" hidden="false" customHeight="false" outlineLevel="0" collapsed="false">
      <c r="A475" s="196" t="str">
        <f aca="false">IF(A474&lt;mthend,EDATE(A474,1),"")</f>
        <v/>
      </c>
      <c r="B475" s="197" t="str">
        <f aca="false">IF(A475&lt;mthend,B474,"")</f>
        <v/>
      </c>
      <c r="D475" s="197" t="str">
        <f aca="false">IF(A476&lt;&gt;"",B475+C475,"")</f>
        <v/>
      </c>
      <c r="E475" s="199" t="str">
        <f aca="false">IF(A476="","",IF(AND(AT475=1,$H$3=1),D475*AO475,IF($H$3=2,D475,"N/A")))</f>
        <v/>
      </c>
      <c r="F475" s="199" t="str">
        <f aca="false">IF(A476="","",E475*AS475)</f>
        <v/>
      </c>
      <c r="G475" s="200" t="str">
        <f aca="false">IF($A476="","",VLOOKUP($A475,Table,MATCH(G$4,Curves,0)))</f>
        <v/>
      </c>
      <c r="H475" s="201" t="str">
        <f aca="false">IF(A476="","",G475)</f>
        <v/>
      </c>
      <c r="J475" s="200" t="str">
        <f aca="false">IF($A476="","",VLOOKUP($A475,Table,MATCH(J$4,Curves,0)))</f>
        <v/>
      </c>
      <c r="K475" s="201" t="str">
        <f aca="false">IF(A476="","",J475)</f>
        <v/>
      </c>
      <c r="L475" s="185" t="n">
        <v>0</v>
      </c>
      <c r="M475" s="201" t="str">
        <f aca="false">IF(A476="","",L475)</f>
        <v/>
      </c>
      <c r="O475" s="200" t="str">
        <f aca="false">IF(A476="","",L475+J475+G475)</f>
        <v/>
      </c>
      <c r="P475" s="200" t="str">
        <f aca="false">IF(A476="","",M475+K475+H475)</f>
        <v/>
      </c>
      <c r="R475" s="200" t="str">
        <f aca="false">IF($A476="","",VLOOKUP($A475,Table,MATCH(R$4,Curves,0)))</f>
        <v/>
      </c>
      <c r="S475" s="201" t="str">
        <f aca="false">IF(A476="","",R475)</f>
        <v/>
      </c>
      <c r="T475" s="200" t="str">
        <f aca="false">IF($A476="","",VLOOKUP($A475,Table,MATCH(T$4,Curves,0)))</f>
        <v/>
      </c>
      <c r="U475" s="201" t="str">
        <f aca="false">IF(A476="","",T475)</f>
        <v/>
      </c>
      <c r="V475" s="205" t="str">
        <f aca="false">IF($A476="","",IF(AND(MONTH(A475)&gt;3,MONTH(A475)&lt;11),(T475+R475+G475)*Summary!$T$10/(1-Summary!$T$10),(T475+R475+G475)*Summary!$U$10/(1-Summary!$U$10)))</f>
        <v/>
      </c>
      <c r="W475" s="200" t="str">
        <f aca="false">IF($A476="","",(T475+R475+G475+V475))</f>
        <v/>
      </c>
      <c r="X475" s="200" t="str">
        <f aca="false">IF($A476="","",(U475+S475+H475+V475))</f>
        <v/>
      </c>
      <c r="Y475" s="202"/>
      <c r="AJ475" s="77"/>
      <c r="AK475" s="77"/>
      <c r="AL475" s="77"/>
      <c r="AM475" s="77"/>
      <c r="AN475" s="77"/>
      <c r="AO475" s="137" t="str">
        <f aca="false">IF(A476="","",A476-A475)</f>
        <v/>
      </c>
      <c r="AP475" s="212" t="str">
        <f aca="false">IF(A476="","",CHOOSE(F$3,A476+24,A475))</f>
        <v/>
      </c>
      <c r="AQ475" s="209" t="str">
        <f aca="false">IF(A476="","",AP475-$E$1)</f>
        <v/>
      </c>
      <c r="AR475" s="185" t="n">
        <f aca="false">'ANR OK vs ML7'!AR475</f>
        <v>0.1</v>
      </c>
      <c r="AS475" s="213" t="str">
        <f aca="false">IF(A476="","",1/(1+CHOOSE(F$3,(AR476+($I$3/10000))/2,(AR475+($I$3/10000))/2))^(2*AQ475/365.25))</f>
        <v/>
      </c>
      <c r="AT475" s="137" t="str">
        <f aca="false">IF(A476="","",IF(AND(mthbeg&lt;=A475,mthend&gt;=A475),1,0))</f>
        <v/>
      </c>
      <c r="AU475" s="137" t="str">
        <f aca="false">IF(A476="","",AO475*AT475)</f>
        <v/>
      </c>
      <c r="AW475" s="195" t="str">
        <f aca="false">IF($A476="","",AL475*$E475)</f>
        <v/>
      </c>
      <c r="AX475" s="195" t="str">
        <f aca="false">IF($A476="","",AM475*$E475)</f>
        <v/>
      </c>
      <c r="AY475" s="195" t="str">
        <f aca="false">IF($A476="","",AN475*$E475)</f>
        <v/>
      </c>
      <c r="BA475" s="195" t="str">
        <f aca="false">IF($A476="","",F475*Summary!$Q$10)</f>
        <v/>
      </c>
    </row>
    <row r="476" customFormat="false" ht="12.75" hidden="false" customHeight="false" outlineLevel="0" collapsed="false">
      <c r="A476" s="196" t="str">
        <f aca="false">IF(A475&lt;mthend,EDATE(A475,1),"")</f>
        <v/>
      </c>
      <c r="B476" s="197" t="str">
        <f aca="false">IF(A476&lt;mthend,B475,"")</f>
        <v/>
      </c>
      <c r="D476" s="197" t="str">
        <f aca="false">IF(A477&lt;&gt;"",B476+C476,"")</f>
        <v/>
      </c>
      <c r="E476" s="199" t="str">
        <f aca="false">IF(A477="","",IF(AND(AT476=1,$H$3=1),D476*AO476,IF($H$3=2,D476,"N/A")))</f>
        <v/>
      </c>
      <c r="F476" s="199" t="str">
        <f aca="false">IF(A477="","",E476*AS476)</f>
        <v/>
      </c>
      <c r="G476" s="200" t="str">
        <f aca="false">IF($A477="","",VLOOKUP($A476,Table,MATCH(G$4,Curves,0)))</f>
        <v/>
      </c>
      <c r="H476" s="201" t="str">
        <f aca="false">IF(A477="","",G476)</f>
        <v/>
      </c>
      <c r="J476" s="200" t="str">
        <f aca="false">IF($A477="","",VLOOKUP($A476,Table,MATCH(J$4,Curves,0)))</f>
        <v/>
      </c>
      <c r="K476" s="201" t="str">
        <f aca="false">IF(A477="","",J476)</f>
        <v/>
      </c>
      <c r="L476" s="185" t="n">
        <v>0</v>
      </c>
      <c r="M476" s="201" t="str">
        <f aca="false">IF(A477="","",L476)</f>
        <v/>
      </c>
      <c r="O476" s="200" t="str">
        <f aca="false">IF(A477="","",L476+J476+G476)</f>
        <v/>
      </c>
      <c r="P476" s="200" t="str">
        <f aca="false">IF(A477="","",M476+K476+H476)</f>
        <v/>
      </c>
      <c r="R476" s="200" t="str">
        <f aca="false">IF($A477="","",VLOOKUP($A476,Table,MATCH(R$4,Curves,0)))</f>
        <v/>
      </c>
      <c r="S476" s="201" t="str">
        <f aca="false">IF(A477="","",R476)</f>
        <v/>
      </c>
      <c r="T476" s="200" t="str">
        <f aca="false">IF($A477="","",VLOOKUP($A476,Table,MATCH(T$4,Curves,0)))</f>
        <v/>
      </c>
      <c r="U476" s="201" t="str">
        <f aca="false">IF(A477="","",T476)</f>
        <v/>
      </c>
      <c r="V476" s="205" t="str">
        <f aca="false">IF($A477="","",IF(AND(MONTH(A476)&gt;3,MONTH(A476)&lt;11),(T476+R476+G476)*Summary!$T$10/(1-Summary!$T$10),(T476+R476+G476)*Summary!$U$10/(1-Summary!$U$10)))</f>
        <v/>
      </c>
      <c r="W476" s="200" t="str">
        <f aca="false">IF($A477="","",(T476+R476+G476+V476))</f>
        <v/>
      </c>
      <c r="X476" s="200" t="str">
        <f aca="false">IF($A477="","",(U476+S476+H476+V476))</f>
        <v/>
      </c>
      <c r="Y476" s="202"/>
      <c r="AJ476" s="77"/>
      <c r="AK476" s="77"/>
      <c r="AL476" s="77"/>
      <c r="AM476" s="77"/>
      <c r="AN476" s="77"/>
      <c r="AO476" s="137" t="str">
        <f aca="false">IF(A477="","",A477-A476)</f>
        <v/>
      </c>
      <c r="AP476" s="212" t="str">
        <f aca="false">IF(A477="","",CHOOSE(F$3,A477+24,A476))</f>
        <v/>
      </c>
      <c r="AQ476" s="209" t="str">
        <f aca="false">IF(A477="","",AP476-$E$1)</f>
        <v/>
      </c>
      <c r="AR476" s="185" t="n">
        <f aca="false">'ANR OK vs ML7'!AR476</f>
        <v>0.1</v>
      </c>
      <c r="AS476" s="213" t="str">
        <f aca="false">IF(A477="","",1/(1+CHOOSE(F$3,(AR477+($I$3/10000))/2,(AR476+($I$3/10000))/2))^(2*AQ476/365.25))</f>
        <v/>
      </c>
      <c r="AT476" s="137" t="str">
        <f aca="false">IF(A477="","",IF(AND(mthbeg&lt;=A476,mthend&gt;=A476),1,0))</f>
        <v/>
      </c>
      <c r="AU476" s="137" t="str">
        <f aca="false">IF(A477="","",AO476*AT476)</f>
        <v/>
      </c>
      <c r="AW476" s="195" t="str">
        <f aca="false">IF($A477="","",AL476*$E476)</f>
        <v/>
      </c>
      <c r="AX476" s="195" t="str">
        <f aca="false">IF($A477="","",AM476*$E476)</f>
        <v/>
      </c>
      <c r="AY476" s="195" t="str">
        <f aca="false">IF($A477="","",AN476*$E476)</f>
        <v/>
      </c>
      <c r="BA476" s="195" t="str">
        <f aca="false">IF($A477="","",F476*Summary!$Q$10)</f>
        <v/>
      </c>
    </row>
    <row r="477" customFormat="false" ht="12.75" hidden="false" customHeight="false" outlineLevel="0" collapsed="false">
      <c r="A477" s="196" t="str">
        <f aca="false">IF(A476&lt;mthend,EDATE(A476,1),"")</f>
        <v/>
      </c>
      <c r="B477" s="197" t="str">
        <f aca="false">IF(A477&lt;mthend,B476,"")</f>
        <v/>
      </c>
      <c r="D477" s="197" t="str">
        <f aca="false">IF(A478&lt;&gt;"",B477+C477,"")</f>
        <v/>
      </c>
      <c r="E477" s="199" t="str">
        <f aca="false">IF(A478="","",IF(AND(AT477=1,$H$3=1),D477*AO477,IF($H$3=2,D477,"N/A")))</f>
        <v/>
      </c>
      <c r="F477" s="199" t="str">
        <f aca="false">IF(A478="","",E477*AS477)</f>
        <v/>
      </c>
      <c r="G477" s="200" t="str">
        <f aca="false">IF($A478="","",VLOOKUP($A477,Table,MATCH(G$4,Curves,0)))</f>
        <v/>
      </c>
      <c r="H477" s="201" t="str">
        <f aca="false">IF(A478="","",G477)</f>
        <v/>
      </c>
      <c r="J477" s="200" t="str">
        <f aca="false">IF($A478="","",VLOOKUP($A477,Table,MATCH(J$4,Curves,0)))</f>
        <v/>
      </c>
      <c r="K477" s="201" t="str">
        <f aca="false">IF(A478="","",J477)</f>
        <v/>
      </c>
      <c r="L477" s="185" t="n">
        <v>0</v>
      </c>
      <c r="M477" s="201" t="str">
        <f aca="false">IF(A478="","",L477)</f>
        <v/>
      </c>
      <c r="O477" s="200" t="str">
        <f aca="false">IF(A478="","",L477+J477+G477)</f>
        <v/>
      </c>
      <c r="P477" s="200" t="str">
        <f aca="false">IF(A478="","",M477+K477+H477)</f>
        <v/>
      </c>
      <c r="R477" s="200" t="str">
        <f aca="false">IF($A478="","",VLOOKUP($A477,Table,MATCH(R$4,Curves,0)))</f>
        <v/>
      </c>
      <c r="S477" s="201" t="str">
        <f aca="false">IF(A478="","",R477)</f>
        <v/>
      </c>
      <c r="T477" s="200" t="str">
        <f aca="false">IF($A478="","",VLOOKUP($A477,Table,MATCH(T$4,Curves,0)))</f>
        <v/>
      </c>
      <c r="U477" s="201" t="str">
        <f aca="false">IF(A478="","",T477)</f>
        <v/>
      </c>
      <c r="V477" s="205" t="str">
        <f aca="false">IF($A478="","",IF(AND(MONTH(A477)&gt;3,MONTH(A477)&lt;11),(T477+R477+G477)*Summary!$T$10/(1-Summary!$T$10),(T477+R477+G477)*Summary!$U$10/(1-Summary!$U$10)))</f>
        <v/>
      </c>
      <c r="W477" s="200" t="str">
        <f aca="false">IF($A478="","",(T477+R477+G477+V477))</f>
        <v/>
      </c>
      <c r="X477" s="200" t="str">
        <f aca="false">IF($A478="","",(U477+S477+H477+V477))</f>
        <v/>
      </c>
      <c r="Y477" s="202"/>
      <c r="AJ477" s="77"/>
      <c r="AK477" s="77"/>
      <c r="AL477" s="77"/>
      <c r="AM477" s="77"/>
      <c r="AN477" s="77"/>
      <c r="AO477" s="137" t="str">
        <f aca="false">IF(A478="","",A478-A477)</f>
        <v/>
      </c>
      <c r="AP477" s="212" t="str">
        <f aca="false">IF(A478="","",CHOOSE(F$3,A478+24,A477))</f>
        <v/>
      </c>
      <c r="AQ477" s="209" t="str">
        <f aca="false">IF(A478="","",AP477-$E$1)</f>
        <v/>
      </c>
      <c r="AR477" s="185" t="n">
        <f aca="false">'ANR OK vs ML7'!AR477</f>
        <v>0.1</v>
      </c>
      <c r="AS477" s="213" t="str">
        <f aca="false">IF(A478="","",1/(1+CHOOSE(F$3,(AR478+($I$3/10000))/2,(AR477+($I$3/10000))/2))^(2*AQ477/365.25))</f>
        <v/>
      </c>
      <c r="AT477" s="137" t="str">
        <f aca="false">IF(A478="","",IF(AND(mthbeg&lt;=A477,mthend&gt;=A477),1,0))</f>
        <v/>
      </c>
      <c r="AU477" s="137" t="str">
        <f aca="false">IF(A478="","",AO477*AT477)</f>
        <v/>
      </c>
      <c r="AW477" s="195" t="str">
        <f aca="false">IF($A478="","",AL477*$E477)</f>
        <v/>
      </c>
      <c r="AX477" s="195" t="str">
        <f aca="false">IF($A478="","",AM477*$E477)</f>
        <v/>
      </c>
      <c r="AY477" s="195" t="str">
        <f aca="false">IF($A478="","",AN477*$E477)</f>
        <v/>
      </c>
      <c r="BA477" s="195" t="str">
        <f aca="false">IF($A478="","",F477*Summary!$Q$10)</f>
        <v/>
      </c>
    </row>
    <row r="478" customFormat="false" ht="12.75" hidden="false" customHeight="false" outlineLevel="0" collapsed="false">
      <c r="A478" s="196" t="str">
        <f aca="false">IF(A477&lt;mthend,EDATE(A477,1),"")</f>
        <v/>
      </c>
      <c r="B478" s="197" t="str">
        <f aca="false">IF(A478&lt;mthend,B477,"")</f>
        <v/>
      </c>
      <c r="D478" s="197" t="str">
        <f aca="false">IF(A479&lt;&gt;"",B478+C478,"")</f>
        <v/>
      </c>
      <c r="E478" s="199" t="str">
        <f aca="false">IF(A479="","",IF(AND(AT478=1,$H$3=1),D478*AO478,IF($H$3=2,D478,"N/A")))</f>
        <v/>
      </c>
      <c r="F478" s="199" t="str">
        <f aca="false">IF(A479="","",E478*AS478)</f>
        <v/>
      </c>
      <c r="G478" s="200" t="str">
        <f aca="false">IF($A479="","",VLOOKUP($A478,Table,MATCH(G$4,Curves,0)))</f>
        <v/>
      </c>
      <c r="H478" s="201" t="str">
        <f aca="false">IF(A479="","",G478)</f>
        <v/>
      </c>
      <c r="J478" s="200" t="str">
        <f aca="false">IF($A479="","",VLOOKUP($A478,Table,MATCH(J$4,Curves,0)))</f>
        <v/>
      </c>
      <c r="K478" s="201" t="str">
        <f aca="false">IF(A479="","",J478)</f>
        <v/>
      </c>
      <c r="L478" s="185" t="n">
        <v>0</v>
      </c>
      <c r="M478" s="201" t="str">
        <f aca="false">IF(A479="","",L478)</f>
        <v/>
      </c>
      <c r="O478" s="200" t="str">
        <f aca="false">IF(A479="","",L478+J478+G478)</f>
        <v/>
      </c>
      <c r="P478" s="200" t="str">
        <f aca="false">IF(A479="","",M478+K478+H478)</f>
        <v/>
      </c>
      <c r="R478" s="200" t="str">
        <f aca="false">IF($A479="","",VLOOKUP($A478,Table,MATCH(R$4,Curves,0)))</f>
        <v/>
      </c>
      <c r="S478" s="201" t="str">
        <f aca="false">IF(A479="","",R478)</f>
        <v/>
      </c>
      <c r="T478" s="200" t="str">
        <f aca="false">IF($A479="","",VLOOKUP($A478,Table,MATCH(T$4,Curves,0)))</f>
        <v/>
      </c>
      <c r="U478" s="201" t="str">
        <f aca="false">IF(A479="","",T478)</f>
        <v/>
      </c>
      <c r="V478" s="205" t="str">
        <f aca="false">IF($A479="","",IF(AND(MONTH(A478)&gt;3,MONTH(A478)&lt;11),(T478+R478+G478)*Summary!$T$10/(1-Summary!$T$10),(T478+R478+G478)*Summary!$U$10/(1-Summary!$U$10)))</f>
        <v/>
      </c>
      <c r="W478" s="200" t="str">
        <f aca="false">IF($A479="","",(T478+R478+G478+V478))</f>
        <v/>
      </c>
      <c r="X478" s="200" t="str">
        <f aca="false">IF($A479="","",(U478+S478+H478+V478))</f>
        <v/>
      </c>
      <c r="Y478" s="202"/>
      <c r="AJ478" s="77"/>
      <c r="AK478" s="77"/>
      <c r="AL478" s="77"/>
      <c r="AM478" s="77"/>
      <c r="AN478" s="77"/>
      <c r="AO478" s="137" t="str">
        <f aca="false">IF(A479="","",A479-A478)</f>
        <v/>
      </c>
      <c r="AP478" s="212" t="str">
        <f aca="false">IF(A479="","",CHOOSE(F$3,A479+24,A478))</f>
        <v/>
      </c>
      <c r="AQ478" s="209" t="str">
        <f aca="false">IF(A479="","",AP478-$E$1)</f>
        <v/>
      </c>
      <c r="AR478" s="185" t="n">
        <f aca="false">'ANR OK vs ML7'!AR478</f>
        <v>0.1</v>
      </c>
      <c r="AS478" s="213" t="str">
        <f aca="false">IF(A479="","",1/(1+CHOOSE(F$3,(AR479+($I$3/10000))/2,(AR478+($I$3/10000))/2))^(2*AQ478/365.25))</f>
        <v/>
      </c>
      <c r="AT478" s="137" t="str">
        <f aca="false">IF(A479="","",IF(AND(mthbeg&lt;=A478,mthend&gt;=A478),1,0))</f>
        <v/>
      </c>
      <c r="AU478" s="137" t="str">
        <f aca="false">IF(A479="","",AO478*AT478)</f>
        <v/>
      </c>
      <c r="AW478" s="195" t="str">
        <f aca="false">IF($A479="","",AL478*$E478)</f>
        <v/>
      </c>
      <c r="AX478" s="195" t="str">
        <f aca="false">IF($A479="","",AM478*$E478)</f>
        <v/>
      </c>
      <c r="AY478" s="195" t="str">
        <f aca="false">IF($A479="","",AN478*$E478)</f>
        <v/>
      </c>
      <c r="BA478" s="195" t="str">
        <f aca="false">IF($A479="","",F478*Summary!$Q$10)</f>
        <v/>
      </c>
    </row>
    <row r="479" customFormat="false" ht="12.75" hidden="false" customHeight="false" outlineLevel="0" collapsed="false">
      <c r="A479" s="196" t="str">
        <f aca="false">IF(A478&lt;mthend,EDATE(A478,1),"")</f>
        <v/>
      </c>
      <c r="B479" s="197" t="str">
        <f aca="false">IF(A479&lt;mthend,B478,"")</f>
        <v/>
      </c>
      <c r="D479" s="197" t="str">
        <f aca="false">IF(A480&lt;&gt;"",B479+C479,"")</f>
        <v/>
      </c>
      <c r="E479" s="199" t="str">
        <f aca="false">IF(A480="","",IF(AND(AT479=1,$H$3=1),D479*AO479,IF($H$3=2,D479,"N/A")))</f>
        <v/>
      </c>
      <c r="F479" s="199" t="str">
        <f aca="false">IF(A480="","",E479*AS479)</f>
        <v/>
      </c>
      <c r="G479" s="200" t="str">
        <f aca="false">IF($A480="","",VLOOKUP($A479,Table,MATCH(G$4,Curves,0)))</f>
        <v/>
      </c>
      <c r="H479" s="201" t="str">
        <f aca="false">IF(A480="","",G479)</f>
        <v/>
      </c>
      <c r="J479" s="200" t="str">
        <f aca="false">IF($A480="","",VLOOKUP($A479,Table,MATCH(J$4,Curves,0)))</f>
        <v/>
      </c>
      <c r="K479" s="201" t="str">
        <f aca="false">IF(A480="","",J479)</f>
        <v/>
      </c>
      <c r="L479" s="185" t="n">
        <v>0</v>
      </c>
      <c r="M479" s="201" t="str">
        <f aca="false">IF(A480="","",L479)</f>
        <v/>
      </c>
      <c r="O479" s="200" t="str">
        <f aca="false">IF(A480="","",L479+J479+G479)</f>
        <v/>
      </c>
      <c r="P479" s="200" t="str">
        <f aca="false">IF(A480="","",M479+K479+H479)</f>
        <v/>
      </c>
      <c r="R479" s="200" t="str">
        <f aca="false">IF($A480="","",VLOOKUP($A479,Table,MATCH(R$4,Curves,0)))</f>
        <v/>
      </c>
      <c r="S479" s="201" t="str">
        <f aca="false">IF(A480="","",R479)</f>
        <v/>
      </c>
      <c r="T479" s="200" t="str">
        <f aca="false">IF($A480="","",VLOOKUP($A479,Table,MATCH(T$4,Curves,0)))</f>
        <v/>
      </c>
      <c r="U479" s="201" t="str">
        <f aca="false">IF(A480="","",T479)</f>
        <v/>
      </c>
      <c r="V479" s="205" t="str">
        <f aca="false">IF($A480="","",IF(AND(MONTH(A479)&gt;3,MONTH(A479)&lt;11),(T479+R479+G479)*Summary!$T$10/(1-Summary!$T$10),(T479+R479+G479)*Summary!$U$10/(1-Summary!$U$10)))</f>
        <v/>
      </c>
      <c r="W479" s="200" t="str">
        <f aca="false">IF($A480="","",(T479+R479+G479+V479))</f>
        <v/>
      </c>
      <c r="X479" s="200" t="str">
        <f aca="false">IF($A480="","",(U479+S479+H479+V479))</f>
        <v/>
      </c>
      <c r="Y479" s="202"/>
      <c r="AJ479" s="77"/>
      <c r="AK479" s="77"/>
      <c r="AL479" s="77"/>
      <c r="AM479" s="77"/>
      <c r="AN479" s="77"/>
      <c r="AO479" s="137" t="str">
        <f aca="false">IF(A480="","",A480-A479)</f>
        <v/>
      </c>
      <c r="AP479" s="212" t="str">
        <f aca="false">IF(A480="","",CHOOSE(F$3,A480+24,A479))</f>
        <v/>
      </c>
      <c r="AQ479" s="209" t="str">
        <f aca="false">IF(A480="","",AP479-$E$1)</f>
        <v/>
      </c>
      <c r="AR479" s="185" t="n">
        <f aca="false">'ANR OK vs ML7'!AR479</f>
        <v>0.1</v>
      </c>
      <c r="AS479" s="213" t="str">
        <f aca="false">IF(A480="","",1/(1+CHOOSE(F$3,(AR480+($I$3/10000))/2,(AR479+($I$3/10000))/2))^(2*AQ479/365.25))</f>
        <v/>
      </c>
      <c r="AT479" s="137" t="str">
        <f aca="false">IF(A480="","",IF(AND(mthbeg&lt;=A479,mthend&gt;=A479),1,0))</f>
        <v/>
      </c>
      <c r="AU479" s="137" t="str">
        <f aca="false">IF(A480="","",AO479*AT479)</f>
        <v/>
      </c>
      <c r="AW479" s="195" t="str">
        <f aca="false">IF($A480="","",AL479*$E479)</f>
        <v/>
      </c>
      <c r="AX479" s="195" t="str">
        <f aca="false">IF($A480="","",AM479*$E479)</f>
        <v/>
      </c>
      <c r="AY479" s="195" t="str">
        <f aca="false">IF($A480="","",AN479*$E479)</f>
        <v/>
      </c>
      <c r="BA479" s="195" t="str">
        <f aca="false">IF($A480="","",F479*Summary!$Q$10)</f>
        <v/>
      </c>
    </row>
    <row r="480" customFormat="false" ht="12.75" hidden="false" customHeight="false" outlineLevel="0" collapsed="false">
      <c r="A480" s="196" t="str">
        <f aca="false">IF(A479&lt;mthend,EDATE(A479,1),"")</f>
        <v/>
      </c>
      <c r="B480" s="197" t="str">
        <f aca="false">IF(A480&lt;mthend,B479,"")</f>
        <v/>
      </c>
      <c r="D480" s="197" t="str">
        <f aca="false">IF(A481&lt;&gt;"",B480+C480,"")</f>
        <v/>
      </c>
      <c r="E480" s="199" t="str">
        <f aca="false">IF(A481="","",IF(AND(AT480=1,$H$3=1),D480*AO480,IF($H$3=2,D480,"N/A")))</f>
        <v/>
      </c>
      <c r="F480" s="199" t="str">
        <f aca="false">IF(A481="","",E480*AS480)</f>
        <v/>
      </c>
      <c r="G480" s="200" t="str">
        <f aca="false">IF($A481="","",VLOOKUP($A480,Table,MATCH(G$4,Curves,0)))</f>
        <v/>
      </c>
      <c r="H480" s="201" t="str">
        <f aca="false">IF(A481="","",G480)</f>
        <v/>
      </c>
      <c r="J480" s="200" t="str">
        <f aca="false">IF($A481="","",VLOOKUP($A480,Table,MATCH(J$4,Curves,0)))</f>
        <v/>
      </c>
      <c r="K480" s="201" t="str">
        <f aca="false">IF(A481="","",J480)</f>
        <v/>
      </c>
      <c r="L480" s="185" t="n">
        <v>0</v>
      </c>
      <c r="M480" s="201" t="str">
        <f aca="false">IF(A481="","",L480)</f>
        <v/>
      </c>
      <c r="O480" s="200" t="str">
        <f aca="false">IF(A481="","",L480+J480+G480)</f>
        <v/>
      </c>
      <c r="P480" s="200" t="str">
        <f aca="false">IF(A481="","",M480+K480+H480)</f>
        <v/>
      </c>
      <c r="R480" s="200" t="str">
        <f aca="false">IF($A481="","",VLOOKUP($A480,Table,MATCH(R$4,Curves,0)))</f>
        <v/>
      </c>
      <c r="S480" s="201" t="str">
        <f aca="false">IF(A481="","",R480)</f>
        <v/>
      </c>
      <c r="T480" s="200" t="str">
        <f aca="false">IF($A481="","",VLOOKUP($A480,Table,MATCH(T$4,Curves,0)))</f>
        <v/>
      </c>
      <c r="U480" s="201" t="str">
        <f aca="false">IF(A481="","",T480)</f>
        <v/>
      </c>
      <c r="V480" s="205" t="str">
        <f aca="false">IF($A481="","",IF(AND(MONTH(A480)&gt;3,MONTH(A480)&lt;11),(T480+R480+G480)*Summary!$T$10/(1-Summary!$T$10),(T480+R480+G480)*Summary!$U$10/(1-Summary!$U$10)))</f>
        <v/>
      </c>
      <c r="W480" s="200" t="str">
        <f aca="false">IF($A481="","",(T480+R480+G480+V480))</f>
        <v/>
      </c>
      <c r="X480" s="200" t="str">
        <f aca="false">IF($A481="","",(U480+S480+H480+V480))</f>
        <v/>
      </c>
      <c r="Y480" s="202"/>
      <c r="AJ480" s="77"/>
      <c r="AK480" s="77"/>
      <c r="AL480" s="77"/>
      <c r="AM480" s="77"/>
      <c r="AN480" s="77"/>
      <c r="AO480" s="137" t="str">
        <f aca="false">IF(A481="","",A481-A480)</f>
        <v/>
      </c>
      <c r="AP480" s="212" t="str">
        <f aca="false">IF(A481="","",CHOOSE(F$3,A481+24,A480))</f>
        <v/>
      </c>
      <c r="AQ480" s="209" t="str">
        <f aca="false">IF(A481="","",AP480-$E$1)</f>
        <v/>
      </c>
      <c r="AR480" s="185" t="n">
        <f aca="false">'ANR OK vs ML7'!AR480</f>
        <v>0.1</v>
      </c>
      <c r="AS480" s="213" t="str">
        <f aca="false">IF(A481="","",1/(1+CHOOSE(F$3,(AR481+($I$3/10000))/2,(AR480+($I$3/10000))/2))^(2*AQ480/365.25))</f>
        <v/>
      </c>
      <c r="AT480" s="137" t="str">
        <f aca="false">IF(A481="","",IF(AND(mthbeg&lt;=A480,mthend&gt;=A480),1,0))</f>
        <v/>
      </c>
      <c r="AU480" s="137" t="str">
        <f aca="false">IF(A481="","",AO480*AT480)</f>
        <v/>
      </c>
      <c r="AW480" s="195" t="str">
        <f aca="false">IF($A481="","",AL480*$E480)</f>
        <v/>
      </c>
      <c r="AX480" s="195" t="str">
        <f aca="false">IF($A481="","",AM480*$E480)</f>
        <v/>
      </c>
      <c r="AY480" s="195" t="str">
        <f aca="false">IF($A481="","",AN480*$E480)</f>
        <v/>
      </c>
      <c r="BA480" s="195" t="str">
        <f aca="false">IF($A481="","",F480*Summary!$Q$10)</f>
        <v/>
      </c>
    </row>
    <row r="481" customFormat="false" ht="12.75" hidden="false" customHeight="false" outlineLevel="0" collapsed="false">
      <c r="A481" s="196" t="str">
        <f aca="false">IF(A480&lt;mthend,EDATE(A480,1),"")</f>
        <v/>
      </c>
      <c r="B481" s="197" t="str">
        <f aca="false">IF(A481&lt;mthend,B480,"")</f>
        <v/>
      </c>
      <c r="D481" s="197" t="str">
        <f aca="false">IF(A482&lt;&gt;"",B481+C481,"")</f>
        <v/>
      </c>
      <c r="E481" s="199" t="str">
        <f aca="false">IF(A482="","",IF(AND(AT481=1,$H$3=1),D481*AO481,IF($H$3=2,D481,"N/A")))</f>
        <v/>
      </c>
      <c r="F481" s="199" t="str">
        <f aca="false">IF(A482="","",E481*AS481)</f>
        <v/>
      </c>
      <c r="G481" s="200" t="str">
        <f aca="false">IF($A482="","",VLOOKUP($A481,Table,MATCH(G$4,Curves,0)))</f>
        <v/>
      </c>
      <c r="H481" s="201" t="str">
        <f aca="false">IF(A482="","",G481)</f>
        <v/>
      </c>
      <c r="J481" s="200" t="str">
        <f aca="false">IF($A482="","",VLOOKUP($A481,Table,MATCH(J$4,Curves,0)))</f>
        <v/>
      </c>
      <c r="K481" s="201" t="str">
        <f aca="false">IF(A482="","",J481)</f>
        <v/>
      </c>
      <c r="L481" s="185" t="n">
        <v>0</v>
      </c>
      <c r="M481" s="201" t="str">
        <f aca="false">IF(A482="","",L481)</f>
        <v/>
      </c>
      <c r="O481" s="200" t="str">
        <f aca="false">IF(A482="","",L481+J481+G481)</f>
        <v/>
      </c>
      <c r="P481" s="200" t="str">
        <f aca="false">IF(A482="","",M481+K481+H481)</f>
        <v/>
      </c>
      <c r="R481" s="200" t="str">
        <f aca="false">IF($A482="","",VLOOKUP($A481,Table,MATCH(R$4,Curves,0)))</f>
        <v/>
      </c>
      <c r="S481" s="201" t="str">
        <f aca="false">IF(A482="","",R481)</f>
        <v/>
      </c>
      <c r="T481" s="200" t="str">
        <f aca="false">IF($A482="","",VLOOKUP($A481,Table,MATCH(T$4,Curves,0)))</f>
        <v/>
      </c>
      <c r="U481" s="201" t="str">
        <f aca="false">IF(A482="","",T481)</f>
        <v/>
      </c>
      <c r="V481" s="205" t="str">
        <f aca="false">IF($A482="","",IF(AND(MONTH(A481)&gt;3,MONTH(A481)&lt;11),(T481+R481+G481)*Summary!$T$10/(1-Summary!$T$10),(T481+R481+G481)*Summary!$U$10/(1-Summary!$U$10)))</f>
        <v/>
      </c>
      <c r="W481" s="200" t="str">
        <f aca="false">IF($A482="","",(T481+R481+G481+V481))</f>
        <v/>
      </c>
      <c r="X481" s="200" t="str">
        <f aca="false">IF($A482="","",(U481+S481+H481+V481))</f>
        <v/>
      </c>
      <c r="Y481" s="202"/>
      <c r="AJ481" s="77"/>
      <c r="AK481" s="77"/>
      <c r="AL481" s="77"/>
      <c r="AM481" s="77"/>
      <c r="AN481" s="77"/>
      <c r="AO481" s="137" t="str">
        <f aca="false">IF(A482="","",A482-A481)</f>
        <v/>
      </c>
      <c r="AP481" s="212" t="str">
        <f aca="false">IF(A482="","",CHOOSE(F$3,A482+24,A481))</f>
        <v/>
      </c>
      <c r="AQ481" s="209" t="str">
        <f aca="false">IF(A482="","",AP481-$E$1)</f>
        <v/>
      </c>
      <c r="AR481" s="185" t="n">
        <f aca="false">'ANR OK vs ML7'!AR481</f>
        <v>0.1</v>
      </c>
      <c r="AS481" s="213" t="str">
        <f aca="false">IF(A482="","",1/(1+CHOOSE(F$3,(AR482+($I$3/10000))/2,(AR481+($I$3/10000))/2))^(2*AQ481/365.25))</f>
        <v/>
      </c>
      <c r="AT481" s="137" t="str">
        <f aca="false">IF(A482="","",IF(AND(mthbeg&lt;=A481,mthend&gt;=A481),1,0))</f>
        <v/>
      </c>
      <c r="AU481" s="137" t="str">
        <f aca="false">IF(A482="","",AO481*AT481)</f>
        <v/>
      </c>
      <c r="AW481" s="195" t="str">
        <f aca="false">IF($A482="","",AL481*$E481)</f>
        <v/>
      </c>
      <c r="AX481" s="195" t="str">
        <f aca="false">IF($A482="","",AM481*$E481)</f>
        <v/>
      </c>
      <c r="AY481" s="195" t="str">
        <f aca="false">IF($A482="","",AN481*$E481)</f>
        <v/>
      </c>
      <c r="BA481" s="195" t="str">
        <f aca="false">IF($A482="","",F481*Summary!$Q$10)</f>
        <v/>
      </c>
    </row>
    <row r="482" customFormat="false" ht="12.75" hidden="false" customHeight="false" outlineLevel="0" collapsed="false">
      <c r="A482" s="196" t="str">
        <f aca="false">IF(A481&lt;mthend,EDATE(A481,1),"")</f>
        <v/>
      </c>
      <c r="B482" s="197" t="str">
        <f aca="false">IF(A482&lt;mthend,B481,"")</f>
        <v/>
      </c>
      <c r="D482" s="197" t="str">
        <f aca="false">IF(A483&lt;&gt;"",B482+C482,"")</f>
        <v/>
      </c>
      <c r="E482" s="199" t="str">
        <f aca="false">IF(A483="","",IF(AND(AT482=1,$H$3=1),D482*AO482,IF($H$3=2,D482,"N/A")))</f>
        <v/>
      </c>
      <c r="F482" s="199" t="str">
        <f aca="false">IF(A483="","",E482*AS482)</f>
        <v/>
      </c>
      <c r="G482" s="200" t="str">
        <f aca="false">IF($A483="","",VLOOKUP($A482,Table,MATCH(G$4,Curves,0)))</f>
        <v/>
      </c>
      <c r="H482" s="201" t="str">
        <f aca="false">IF(A483="","",G482)</f>
        <v/>
      </c>
      <c r="J482" s="200" t="str">
        <f aca="false">IF($A483="","",VLOOKUP($A482,Table,MATCH(J$4,Curves,0)))</f>
        <v/>
      </c>
      <c r="K482" s="201" t="str">
        <f aca="false">IF(A483="","",J482)</f>
        <v/>
      </c>
      <c r="L482" s="185" t="n">
        <v>0</v>
      </c>
      <c r="M482" s="201" t="str">
        <f aca="false">IF(A483="","",L482)</f>
        <v/>
      </c>
      <c r="O482" s="200" t="str">
        <f aca="false">IF(A483="","",L482+J482+G482)</f>
        <v/>
      </c>
      <c r="P482" s="200" t="str">
        <f aca="false">IF(A483="","",M482+K482+H482)</f>
        <v/>
      </c>
      <c r="R482" s="200" t="str">
        <f aca="false">IF($A483="","",VLOOKUP($A482,Table,MATCH(R$4,Curves,0)))</f>
        <v/>
      </c>
      <c r="S482" s="201" t="str">
        <f aca="false">IF(A483="","",R482)</f>
        <v/>
      </c>
      <c r="T482" s="200" t="str">
        <f aca="false">IF($A483="","",VLOOKUP($A482,Table,MATCH(T$4,Curves,0)))</f>
        <v/>
      </c>
      <c r="U482" s="201" t="str">
        <f aca="false">IF(A483="","",T482)</f>
        <v/>
      </c>
      <c r="V482" s="205" t="str">
        <f aca="false">IF($A483="","",IF(AND(MONTH(A482)&gt;3,MONTH(A482)&lt;11),(T482+R482+G482)*Summary!$T$10/(1-Summary!$T$10),(T482+R482+G482)*Summary!$U$10/(1-Summary!$U$10)))</f>
        <v/>
      </c>
      <c r="W482" s="200" t="str">
        <f aca="false">IF($A483="","",(T482+R482+G482+V482))</f>
        <v/>
      </c>
      <c r="X482" s="200" t="str">
        <f aca="false">IF($A483="","",(U482+S482+H482+V482))</f>
        <v/>
      </c>
      <c r="Y482" s="202"/>
      <c r="AJ482" s="77"/>
      <c r="AK482" s="77"/>
      <c r="AL482" s="77"/>
      <c r="AM482" s="77"/>
      <c r="AN482" s="77"/>
      <c r="AO482" s="137" t="str">
        <f aca="false">IF(A483="","",A483-A482)</f>
        <v/>
      </c>
      <c r="AP482" s="212" t="str">
        <f aca="false">IF(A483="","",CHOOSE(F$3,A483+24,A482))</f>
        <v/>
      </c>
      <c r="AQ482" s="209" t="str">
        <f aca="false">IF(A483="","",AP482-$E$1)</f>
        <v/>
      </c>
      <c r="AR482" s="185" t="n">
        <f aca="false">'ANR OK vs ML7'!AR482</f>
        <v>0.1</v>
      </c>
      <c r="AS482" s="213" t="str">
        <f aca="false">IF(A483="","",1/(1+CHOOSE(F$3,(AR483+($I$3/10000))/2,(AR482+($I$3/10000))/2))^(2*AQ482/365.25))</f>
        <v/>
      </c>
      <c r="AT482" s="137" t="str">
        <f aca="false">IF(A483="","",IF(AND(mthbeg&lt;=A482,mthend&gt;=A482),1,0))</f>
        <v/>
      </c>
      <c r="AU482" s="137" t="str">
        <f aca="false">IF(A483="","",AO482*AT482)</f>
        <v/>
      </c>
      <c r="AW482" s="195" t="str">
        <f aca="false">IF($A483="","",AL482*$E482)</f>
        <v/>
      </c>
      <c r="AX482" s="195" t="str">
        <f aca="false">IF($A483="","",AM482*$E482)</f>
        <v/>
      </c>
      <c r="AY482" s="195" t="str">
        <f aca="false">IF($A483="","",AN482*$E482)</f>
        <v/>
      </c>
      <c r="BA482" s="195" t="str">
        <f aca="false">IF($A483="","",F482*Summary!$Q$10)</f>
        <v/>
      </c>
    </row>
    <row r="483" customFormat="false" ht="12.75" hidden="false" customHeight="false" outlineLevel="0" collapsed="false">
      <c r="A483" s="196" t="str">
        <f aca="false">IF(A482&lt;mthend,EDATE(A482,1),"")</f>
        <v/>
      </c>
      <c r="B483" s="197" t="str">
        <f aca="false">IF(A483&lt;mthend,B482,"")</f>
        <v/>
      </c>
      <c r="D483" s="197" t="str">
        <f aca="false">IF(A484&lt;&gt;"",B483+C483,"")</f>
        <v/>
      </c>
      <c r="E483" s="199" t="str">
        <f aca="false">IF(A484="","",IF(AND(AT483=1,$H$3=1),D483*AO483,IF($H$3=2,D483,"N/A")))</f>
        <v/>
      </c>
      <c r="F483" s="199" t="str">
        <f aca="false">IF(A484="","",E483*AS483)</f>
        <v/>
      </c>
      <c r="G483" s="200" t="str">
        <f aca="false">IF($A484="","",VLOOKUP($A483,Table,MATCH(G$4,Curves,0)))</f>
        <v/>
      </c>
      <c r="H483" s="201" t="str">
        <f aca="false">IF(A484="","",G483)</f>
        <v/>
      </c>
      <c r="J483" s="200" t="str">
        <f aca="false">IF($A484="","",VLOOKUP($A483,Table,MATCH(J$4,Curves,0)))</f>
        <v/>
      </c>
      <c r="K483" s="201" t="str">
        <f aca="false">IF(A484="","",J483)</f>
        <v/>
      </c>
      <c r="L483" s="185" t="n">
        <v>0</v>
      </c>
      <c r="M483" s="201" t="str">
        <f aca="false">IF(A484="","",L483)</f>
        <v/>
      </c>
      <c r="O483" s="200" t="str">
        <f aca="false">IF(A484="","",L483+J483+G483)</f>
        <v/>
      </c>
      <c r="P483" s="200" t="str">
        <f aca="false">IF(A484="","",M483+K483+H483)</f>
        <v/>
      </c>
      <c r="R483" s="200" t="str">
        <f aca="false">IF($A484="","",VLOOKUP($A483,Table,MATCH(R$4,Curves,0)))</f>
        <v/>
      </c>
      <c r="S483" s="201" t="str">
        <f aca="false">IF(A484="","",R483)</f>
        <v/>
      </c>
      <c r="T483" s="200" t="str">
        <f aca="false">IF($A484="","",VLOOKUP($A483,Table,MATCH(T$4,Curves,0)))</f>
        <v/>
      </c>
      <c r="U483" s="201" t="str">
        <f aca="false">IF(A484="","",T483)</f>
        <v/>
      </c>
      <c r="V483" s="205" t="str">
        <f aca="false">IF($A484="","",IF(AND(MONTH(A483)&gt;3,MONTH(A483)&lt;11),(T483+R483+G483)*Summary!$T$10/(1-Summary!$T$10),(T483+R483+G483)*Summary!$U$10/(1-Summary!$U$10)))</f>
        <v/>
      </c>
      <c r="W483" s="200" t="str">
        <f aca="false">IF($A484="","",(T483+R483+G483+V483))</f>
        <v/>
      </c>
      <c r="X483" s="200" t="str">
        <f aca="false">IF($A484="","",(U483+S483+H483+V483))</f>
        <v/>
      </c>
      <c r="Y483" s="202"/>
      <c r="AJ483" s="77"/>
      <c r="AK483" s="77"/>
      <c r="AL483" s="77"/>
      <c r="AM483" s="77"/>
      <c r="AN483" s="77"/>
      <c r="AO483" s="137" t="str">
        <f aca="false">IF(A484="","",A484-A483)</f>
        <v/>
      </c>
      <c r="AP483" s="212" t="str">
        <f aca="false">IF(A484="","",CHOOSE(F$3,A484+24,A483))</f>
        <v/>
      </c>
      <c r="AQ483" s="209" t="str">
        <f aca="false">IF(A484="","",AP483-$E$1)</f>
        <v/>
      </c>
      <c r="AR483" s="185" t="n">
        <f aca="false">'ANR OK vs ML7'!AR483</f>
        <v>0.1</v>
      </c>
      <c r="AS483" s="213" t="str">
        <f aca="false">IF(A484="","",1/(1+CHOOSE(F$3,(AR484+($I$3/10000))/2,(AR483+($I$3/10000))/2))^(2*AQ483/365.25))</f>
        <v/>
      </c>
      <c r="AT483" s="137" t="str">
        <f aca="false">IF(A484="","",IF(AND(mthbeg&lt;=A483,mthend&gt;=A483),1,0))</f>
        <v/>
      </c>
      <c r="AU483" s="137" t="str">
        <f aca="false">IF(A484="","",AO483*AT483)</f>
        <v/>
      </c>
      <c r="AW483" s="195" t="str">
        <f aca="false">IF($A484="","",AL483*$E483)</f>
        <v/>
      </c>
      <c r="AX483" s="195" t="str">
        <f aca="false">IF($A484="","",AM483*$E483)</f>
        <v/>
      </c>
      <c r="AY483" s="195" t="str">
        <f aca="false">IF($A484="","",AN483*$E483)</f>
        <v/>
      </c>
      <c r="BA483" s="195" t="str">
        <f aca="false">IF($A484="","",F483*Summary!$Q$10)</f>
        <v/>
      </c>
    </row>
    <row r="484" customFormat="false" ht="12.75" hidden="false" customHeight="false" outlineLevel="0" collapsed="false">
      <c r="A484" s="196" t="str">
        <f aca="false">IF(A483&lt;mthend,EDATE(A483,1),"")</f>
        <v/>
      </c>
      <c r="B484" s="197" t="str">
        <f aca="false">IF(A484&lt;mthend,B483,"")</f>
        <v/>
      </c>
      <c r="D484" s="197" t="str">
        <f aca="false">IF(A485&lt;&gt;"",B484+C484,"")</f>
        <v/>
      </c>
      <c r="E484" s="199" t="str">
        <f aca="false">IF(A485="","",IF(AND(AT484=1,$H$3=1),D484*AO484,IF($H$3=2,D484,"N/A")))</f>
        <v/>
      </c>
      <c r="F484" s="199" t="str">
        <f aca="false">IF(A485="","",E484*AS484)</f>
        <v/>
      </c>
      <c r="G484" s="200" t="str">
        <f aca="false">IF($A485="","",VLOOKUP($A484,Table,MATCH(G$4,Curves,0)))</f>
        <v/>
      </c>
      <c r="H484" s="201" t="str">
        <f aca="false">IF(A485="","",G484)</f>
        <v/>
      </c>
      <c r="J484" s="200" t="str">
        <f aca="false">IF($A485="","",VLOOKUP($A484,Table,MATCH(J$4,Curves,0)))</f>
        <v/>
      </c>
      <c r="K484" s="201" t="str">
        <f aca="false">IF(A485="","",J484)</f>
        <v/>
      </c>
      <c r="L484" s="185" t="n">
        <v>0</v>
      </c>
      <c r="M484" s="201" t="str">
        <f aca="false">IF(A485="","",L484)</f>
        <v/>
      </c>
      <c r="O484" s="200" t="str">
        <f aca="false">IF(A485="","",L484+J484+G484)</f>
        <v/>
      </c>
      <c r="P484" s="200" t="str">
        <f aca="false">IF(A485="","",M484+K484+H484)</f>
        <v/>
      </c>
      <c r="R484" s="200" t="str">
        <f aca="false">IF($A485="","",VLOOKUP($A484,Table,MATCH(R$4,Curves,0)))</f>
        <v/>
      </c>
      <c r="S484" s="201" t="str">
        <f aca="false">IF(A485="","",R484)</f>
        <v/>
      </c>
      <c r="T484" s="200" t="str">
        <f aca="false">IF($A485="","",VLOOKUP($A484,Table,MATCH(T$4,Curves,0)))</f>
        <v/>
      </c>
      <c r="U484" s="201" t="str">
        <f aca="false">IF(A485="","",T484)</f>
        <v/>
      </c>
      <c r="V484" s="205" t="str">
        <f aca="false">IF($A485="","",IF(AND(MONTH(A484)&gt;3,MONTH(A484)&lt;11),(T484+R484+G484)*Summary!$T$10/(1-Summary!$T$10),(T484+R484+G484)*Summary!$U$10/(1-Summary!$U$10)))</f>
        <v/>
      </c>
      <c r="W484" s="200" t="str">
        <f aca="false">IF($A485="","",(T484+R484+G484+V484))</f>
        <v/>
      </c>
      <c r="X484" s="200" t="str">
        <f aca="false">IF($A485="","",(U484+S484+H484+V484))</f>
        <v/>
      </c>
      <c r="Y484" s="202"/>
      <c r="AJ484" s="77"/>
      <c r="AK484" s="77"/>
      <c r="AL484" s="77"/>
      <c r="AM484" s="77"/>
      <c r="AN484" s="77"/>
      <c r="AO484" s="137" t="str">
        <f aca="false">IF(A485="","",A485-A484)</f>
        <v/>
      </c>
      <c r="AP484" s="212" t="str">
        <f aca="false">IF(A485="","",CHOOSE(F$3,A485+24,A484))</f>
        <v/>
      </c>
      <c r="AQ484" s="209" t="str">
        <f aca="false">IF(A485="","",AP484-$E$1)</f>
        <v/>
      </c>
      <c r="AR484" s="185" t="n">
        <f aca="false">'ANR OK vs ML7'!AR484</f>
        <v>0.1</v>
      </c>
      <c r="AS484" s="213" t="str">
        <f aca="false">IF(A485="","",1/(1+CHOOSE(F$3,(AR485+($I$3/10000))/2,(AR484+($I$3/10000))/2))^(2*AQ484/365.25))</f>
        <v/>
      </c>
      <c r="AT484" s="137" t="str">
        <f aca="false">IF(A485="","",IF(AND(mthbeg&lt;=A484,mthend&gt;=A484),1,0))</f>
        <v/>
      </c>
      <c r="AU484" s="137" t="str">
        <f aca="false">IF(A485="","",AO484*AT484)</f>
        <v/>
      </c>
      <c r="AW484" s="195" t="str">
        <f aca="false">IF($A485="","",AL484*$E484)</f>
        <v/>
      </c>
      <c r="AX484" s="195" t="str">
        <f aca="false">IF($A485="","",AM484*$E484)</f>
        <v/>
      </c>
      <c r="AY484" s="195" t="str">
        <f aca="false">IF($A485="","",AN484*$E484)</f>
        <v/>
      </c>
      <c r="BA484" s="195" t="str">
        <f aca="false">IF($A485="","",F484*Summary!$Q$10)</f>
        <v/>
      </c>
    </row>
    <row r="485" customFormat="false" ht="12.75" hidden="false" customHeight="false" outlineLevel="0" collapsed="false">
      <c r="A485" s="196" t="str">
        <f aca="false">IF(A484&lt;mthend,EDATE(A484,1),"")</f>
        <v/>
      </c>
      <c r="B485" s="197" t="str">
        <f aca="false">IF(A485&lt;mthend,B484,"")</f>
        <v/>
      </c>
      <c r="D485" s="197" t="str">
        <f aca="false">IF(A486&lt;&gt;"",B485+C485,"")</f>
        <v/>
      </c>
      <c r="E485" s="199" t="str">
        <f aca="false">IF(A486="","",IF(AND(AT485=1,$H$3=1),D485*AO485,IF($H$3=2,D485,"N/A")))</f>
        <v/>
      </c>
      <c r="F485" s="199" t="str">
        <f aca="false">IF(A486="","",E485*AS485)</f>
        <v/>
      </c>
      <c r="G485" s="200" t="str">
        <f aca="false">IF($A486="","",VLOOKUP($A485,Table,MATCH(G$4,Curves,0)))</f>
        <v/>
      </c>
      <c r="H485" s="201" t="str">
        <f aca="false">IF(A486="","",G485)</f>
        <v/>
      </c>
      <c r="J485" s="200" t="str">
        <f aca="false">IF($A486="","",VLOOKUP($A485,Table,MATCH(J$4,Curves,0)))</f>
        <v/>
      </c>
      <c r="K485" s="201" t="str">
        <f aca="false">IF(A486="","",J485)</f>
        <v/>
      </c>
      <c r="L485" s="185" t="n">
        <v>0</v>
      </c>
      <c r="M485" s="201" t="str">
        <f aca="false">IF(A486="","",L485)</f>
        <v/>
      </c>
      <c r="O485" s="200" t="str">
        <f aca="false">IF(A486="","",L485+J485+G485)</f>
        <v/>
      </c>
      <c r="P485" s="200" t="str">
        <f aca="false">IF(A486="","",M485+K485+H485)</f>
        <v/>
      </c>
      <c r="R485" s="200" t="str">
        <f aca="false">IF($A486="","",VLOOKUP($A485,Table,MATCH(R$4,Curves,0)))</f>
        <v/>
      </c>
      <c r="S485" s="201" t="str">
        <f aca="false">IF(A486="","",R485)</f>
        <v/>
      </c>
      <c r="T485" s="200" t="str">
        <f aca="false">IF($A486="","",VLOOKUP($A485,Table,MATCH(T$4,Curves,0)))</f>
        <v/>
      </c>
      <c r="U485" s="201" t="str">
        <f aca="false">IF(A486="","",T485)</f>
        <v/>
      </c>
      <c r="V485" s="205" t="str">
        <f aca="false">IF($A486="","",IF(AND(MONTH(A485)&gt;3,MONTH(A485)&lt;11),(T485+R485+G485)*Summary!$T$10/(1-Summary!$T$10),(T485+R485+G485)*Summary!$U$10/(1-Summary!$U$10)))</f>
        <v/>
      </c>
      <c r="W485" s="200" t="str">
        <f aca="false">IF($A486="","",(T485+R485+G485+V485))</f>
        <v/>
      </c>
      <c r="X485" s="200" t="str">
        <f aca="false">IF($A486="","",(U485+S485+H485+V485))</f>
        <v/>
      </c>
      <c r="Y485" s="202"/>
      <c r="AJ485" s="77"/>
      <c r="AK485" s="77"/>
      <c r="AL485" s="77"/>
      <c r="AM485" s="77"/>
      <c r="AN485" s="77"/>
      <c r="AO485" s="137" t="str">
        <f aca="false">IF(A486="","",A486-A485)</f>
        <v/>
      </c>
      <c r="AP485" s="212" t="str">
        <f aca="false">IF(A486="","",CHOOSE(F$3,A486+24,A485))</f>
        <v/>
      </c>
      <c r="AQ485" s="209" t="str">
        <f aca="false">IF(A486="","",AP485-$E$1)</f>
        <v/>
      </c>
      <c r="AR485" s="185" t="n">
        <f aca="false">'ANR OK vs ML7'!AR485</f>
        <v>0.1</v>
      </c>
      <c r="AS485" s="213" t="str">
        <f aca="false">IF(A486="","",1/(1+CHOOSE(F$3,(AR486+($I$3/10000))/2,(AR485+($I$3/10000))/2))^(2*AQ485/365.25))</f>
        <v/>
      </c>
      <c r="AT485" s="137" t="str">
        <f aca="false">IF(A486="","",IF(AND(mthbeg&lt;=A485,mthend&gt;=A485),1,0))</f>
        <v/>
      </c>
      <c r="AU485" s="137" t="str">
        <f aca="false">IF(A486="","",AO485*AT485)</f>
        <v/>
      </c>
      <c r="AW485" s="195" t="str">
        <f aca="false">IF($A486="","",AL485*$E485)</f>
        <v/>
      </c>
      <c r="AX485" s="195" t="str">
        <f aca="false">IF($A486="","",AM485*$E485)</f>
        <v/>
      </c>
      <c r="AY485" s="195" t="str">
        <f aca="false">IF($A486="","",AN485*$E485)</f>
        <v/>
      </c>
      <c r="BA485" s="195" t="str">
        <f aca="false">IF($A486="","",F485*Summary!$Q$10)</f>
        <v/>
      </c>
    </row>
    <row r="486" customFormat="false" ht="12.75" hidden="false" customHeight="false" outlineLevel="0" collapsed="false">
      <c r="A486" s="196" t="str">
        <f aca="false">IF(A485&lt;mthend,EDATE(A485,1),"")</f>
        <v/>
      </c>
      <c r="B486" s="197" t="str">
        <f aca="false">IF(A486&lt;mthend,B485,"")</f>
        <v/>
      </c>
      <c r="D486" s="197" t="str">
        <f aca="false">IF(A487&lt;&gt;"",B486+C486,"")</f>
        <v/>
      </c>
      <c r="E486" s="199" t="str">
        <f aca="false">IF(A487="","",IF(AND(AT486=1,$H$3=1),D486*AO486,IF($H$3=2,D486,"N/A")))</f>
        <v/>
      </c>
      <c r="F486" s="199" t="str">
        <f aca="false">IF(A487="","",E486*AS486)</f>
        <v/>
      </c>
      <c r="G486" s="200" t="str">
        <f aca="false">IF($A487="","",VLOOKUP($A486,Table,MATCH(G$4,Curves,0)))</f>
        <v/>
      </c>
      <c r="H486" s="201" t="str">
        <f aca="false">IF(A487="","",G486)</f>
        <v/>
      </c>
      <c r="J486" s="200" t="str">
        <f aca="false">IF($A487="","",VLOOKUP($A486,Table,MATCH(J$4,Curves,0)))</f>
        <v/>
      </c>
      <c r="K486" s="201" t="str">
        <f aca="false">IF(A487="","",J486)</f>
        <v/>
      </c>
      <c r="L486" s="185" t="n">
        <v>0</v>
      </c>
      <c r="M486" s="201" t="str">
        <f aca="false">IF(A487="","",L486)</f>
        <v/>
      </c>
      <c r="O486" s="200" t="str">
        <f aca="false">IF(A487="","",L486+J486+G486)</f>
        <v/>
      </c>
      <c r="P486" s="200" t="str">
        <f aca="false">IF(A487="","",M486+K486+H486)</f>
        <v/>
      </c>
      <c r="R486" s="200" t="str">
        <f aca="false">IF($A487="","",VLOOKUP($A486,Table,MATCH(R$4,Curves,0)))</f>
        <v/>
      </c>
      <c r="S486" s="201" t="str">
        <f aca="false">IF(A487="","",R486)</f>
        <v/>
      </c>
      <c r="T486" s="200" t="str">
        <f aca="false">IF($A487="","",VLOOKUP($A486,Table,MATCH(T$4,Curves,0)))</f>
        <v/>
      </c>
      <c r="U486" s="201" t="str">
        <f aca="false">IF(A487="","",T486)</f>
        <v/>
      </c>
      <c r="V486" s="205" t="str">
        <f aca="false">IF($A487="","",IF(AND(MONTH(A486)&gt;3,MONTH(A486)&lt;11),(T486+R486+G486)*Summary!$T$10/(1-Summary!$T$10),(T486+R486+G486)*Summary!$U$10/(1-Summary!$U$10)))</f>
        <v/>
      </c>
      <c r="W486" s="200" t="str">
        <f aca="false">IF($A487="","",(T486+R486+G486+V486))</f>
        <v/>
      </c>
      <c r="X486" s="200" t="str">
        <f aca="false">IF($A487="","",(U486+S486+H486+V486))</f>
        <v/>
      </c>
      <c r="Y486" s="202"/>
      <c r="AJ486" s="77"/>
      <c r="AK486" s="77"/>
      <c r="AL486" s="77"/>
      <c r="AM486" s="77"/>
      <c r="AN486" s="77"/>
      <c r="AO486" s="137" t="str">
        <f aca="false">IF(A487="","",A487-A486)</f>
        <v/>
      </c>
      <c r="AP486" s="212" t="str">
        <f aca="false">IF(A487="","",CHOOSE(F$3,A487+24,A486))</f>
        <v/>
      </c>
      <c r="AQ486" s="209" t="str">
        <f aca="false">IF(A487="","",AP486-$E$1)</f>
        <v/>
      </c>
      <c r="AR486" s="185" t="n">
        <f aca="false">'ANR OK vs ML7'!AR486</f>
        <v>0.1</v>
      </c>
      <c r="AS486" s="213" t="str">
        <f aca="false">IF(A487="","",1/(1+CHOOSE(F$3,(AR487+($I$3/10000))/2,(AR486+($I$3/10000))/2))^(2*AQ486/365.25))</f>
        <v/>
      </c>
      <c r="AT486" s="137" t="str">
        <f aca="false">IF(A487="","",IF(AND(mthbeg&lt;=A486,mthend&gt;=A486),1,0))</f>
        <v/>
      </c>
      <c r="AU486" s="137" t="str">
        <f aca="false">IF(A487="","",AO486*AT486)</f>
        <v/>
      </c>
      <c r="AW486" s="195" t="str">
        <f aca="false">IF($A487="","",AL486*$E486)</f>
        <v/>
      </c>
      <c r="AX486" s="195" t="str">
        <f aca="false">IF($A487="","",AM486*$E486)</f>
        <v/>
      </c>
      <c r="AY486" s="195" t="str">
        <f aca="false">IF($A487="","",AN486*$E486)</f>
        <v/>
      </c>
      <c r="BA486" s="195" t="str">
        <f aca="false">IF($A487="","",F486*Summary!$Q$10)</f>
        <v/>
      </c>
    </row>
    <row r="487" customFormat="false" ht="12.75" hidden="false" customHeight="false" outlineLevel="0" collapsed="false">
      <c r="A487" s="196" t="str">
        <f aca="false">IF(A486&lt;mthend,EDATE(A486,1),"")</f>
        <v/>
      </c>
      <c r="B487" s="197" t="str">
        <f aca="false">IF(A487&lt;mthend,B486,"")</f>
        <v/>
      </c>
      <c r="D487" s="197" t="str">
        <f aca="false">IF(A488&lt;&gt;"",B487+C487,"")</f>
        <v/>
      </c>
      <c r="E487" s="199" t="str">
        <f aca="false">IF(A488="","",IF(AND(AT487=1,$H$3=1),D487*AO487,IF($H$3=2,D487,"N/A")))</f>
        <v/>
      </c>
      <c r="F487" s="199" t="str">
        <f aca="false">IF(A488="","",E487*AS487)</f>
        <v/>
      </c>
      <c r="G487" s="200" t="str">
        <f aca="false">IF($A488="","",VLOOKUP($A487,Table,MATCH(G$4,Curves,0)))</f>
        <v/>
      </c>
      <c r="H487" s="201" t="str">
        <f aca="false">IF(A488="","",G487)</f>
        <v/>
      </c>
      <c r="J487" s="200" t="str">
        <f aca="false">IF($A488="","",VLOOKUP($A487,Table,MATCH(J$4,Curves,0)))</f>
        <v/>
      </c>
      <c r="K487" s="201" t="str">
        <f aca="false">IF(A488="","",J487)</f>
        <v/>
      </c>
      <c r="L487" s="185" t="n">
        <v>0</v>
      </c>
      <c r="M487" s="201" t="str">
        <f aca="false">IF(A488="","",L487)</f>
        <v/>
      </c>
      <c r="O487" s="200" t="str">
        <f aca="false">IF(A488="","",L487+J487+G487)</f>
        <v/>
      </c>
      <c r="P487" s="200" t="str">
        <f aca="false">IF(A488="","",M487+K487+H487)</f>
        <v/>
      </c>
      <c r="R487" s="200" t="str">
        <f aca="false">IF($A488="","",VLOOKUP($A487,Table,MATCH(R$4,Curves,0)))</f>
        <v/>
      </c>
      <c r="S487" s="201" t="str">
        <f aca="false">IF(A488="","",R487)</f>
        <v/>
      </c>
      <c r="T487" s="200" t="str">
        <f aca="false">IF($A488="","",VLOOKUP($A487,Table,MATCH(T$4,Curves,0)))</f>
        <v/>
      </c>
      <c r="U487" s="201" t="str">
        <f aca="false">IF(A488="","",T487)</f>
        <v/>
      </c>
      <c r="V487" s="205" t="str">
        <f aca="false">IF($A488="","",IF(AND(MONTH(A487)&gt;3,MONTH(A487)&lt;11),(T487+R487+G487)*Summary!$T$10/(1-Summary!$T$10),(T487+R487+G487)*Summary!$U$10/(1-Summary!$U$10)))</f>
        <v/>
      </c>
      <c r="W487" s="200" t="str">
        <f aca="false">IF($A488="","",(T487+R487+G487+V487))</f>
        <v/>
      </c>
      <c r="X487" s="200" t="str">
        <f aca="false">IF($A488="","",(U487+S487+H487+V487))</f>
        <v/>
      </c>
      <c r="Y487" s="202"/>
      <c r="AJ487" s="77"/>
      <c r="AK487" s="77"/>
      <c r="AL487" s="77"/>
      <c r="AM487" s="77"/>
      <c r="AN487" s="77"/>
      <c r="AO487" s="137" t="str">
        <f aca="false">IF(A488="","",A488-A487)</f>
        <v/>
      </c>
      <c r="AP487" s="212" t="str">
        <f aca="false">IF(A488="","",CHOOSE(F$3,A488+24,A487))</f>
        <v/>
      </c>
      <c r="AQ487" s="209" t="str">
        <f aca="false">IF(A488="","",AP487-$E$1)</f>
        <v/>
      </c>
      <c r="AR487" s="185" t="n">
        <f aca="false">'ANR OK vs ML7'!AR487</f>
        <v>0.1</v>
      </c>
      <c r="AS487" s="213" t="str">
        <f aca="false">IF(A488="","",1/(1+CHOOSE(F$3,(AR488+($I$3/10000))/2,(AR487+($I$3/10000))/2))^(2*AQ487/365.25))</f>
        <v/>
      </c>
      <c r="AT487" s="137" t="str">
        <f aca="false">IF(A488="","",IF(AND(mthbeg&lt;=A487,mthend&gt;=A487),1,0))</f>
        <v/>
      </c>
      <c r="AU487" s="137" t="str">
        <f aca="false">IF(A488="","",AO487*AT487)</f>
        <v/>
      </c>
      <c r="AW487" s="195" t="str">
        <f aca="false">IF($A488="","",AL487*$E487)</f>
        <v/>
      </c>
      <c r="AX487" s="195" t="str">
        <f aca="false">IF($A488="","",AM487*$E487)</f>
        <v/>
      </c>
      <c r="AY487" s="195" t="str">
        <f aca="false">IF($A488="","",AN487*$E487)</f>
        <v/>
      </c>
      <c r="BA487" s="195" t="str">
        <f aca="false">IF($A488="","",F487*Summary!$Q$10)</f>
        <v/>
      </c>
    </row>
    <row r="488" customFormat="false" ht="12.75" hidden="false" customHeight="false" outlineLevel="0" collapsed="false">
      <c r="A488" s="196" t="str">
        <f aca="false">IF(A487&lt;mthend,EDATE(A487,1),"")</f>
        <v/>
      </c>
      <c r="B488" s="197" t="str">
        <f aca="false">IF(A488&lt;mthend,B487,"")</f>
        <v/>
      </c>
      <c r="D488" s="197" t="str">
        <f aca="false">IF(A489&lt;&gt;"",B488+C488,"")</f>
        <v/>
      </c>
      <c r="E488" s="199" t="str">
        <f aca="false">IF(A489="","",IF(AND(AT488=1,$H$3=1),D488*AO488,IF($H$3=2,D488,"N/A")))</f>
        <v/>
      </c>
      <c r="F488" s="199" t="str">
        <f aca="false">IF(A489="","",E488*AS488)</f>
        <v/>
      </c>
      <c r="G488" s="200" t="str">
        <f aca="false">IF($A489="","",VLOOKUP($A488,Table,MATCH(G$4,Curves,0)))</f>
        <v/>
      </c>
      <c r="H488" s="201" t="str">
        <f aca="false">IF(A489="","",G488)</f>
        <v/>
      </c>
      <c r="J488" s="200" t="str">
        <f aca="false">IF($A489="","",VLOOKUP($A488,Table,MATCH(J$4,Curves,0)))</f>
        <v/>
      </c>
      <c r="K488" s="201" t="str">
        <f aca="false">IF(A489="","",J488)</f>
        <v/>
      </c>
      <c r="L488" s="185" t="n">
        <v>0</v>
      </c>
      <c r="M488" s="201" t="str">
        <f aca="false">IF(A489="","",L488)</f>
        <v/>
      </c>
      <c r="O488" s="200" t="str">
        <f aca="false">IF(A489="","",L488+J488+G488)</f>
        <v/>
      </c>
      <c r="P488" s="200" t="str">
        <f aca="false">IF(A489="","",M488+K488+H488)</f>
        <v/>
      </c>
      <c r="R488" s="200" t="str">
        <f aca="false">IF($A489="","",VLOOKUP($A488,Table,MATCH(R$4,Curves,0)))</f>
        <v/>
      </c>
      <c r="S488" s="201" t="str">
        <f aca="false">IF(A489="","",R488)</f>
        <v/>
      </c>
      <c r="T488" s="200" t="str">
        <f aca="false">IF($A489="","",VLOOKUP($A488,Table,MATCH(T$4,Curves,0)))</f>
        <v/>
      </c>
      <c r="U488" s="201" t="str">
        <f aca="false">IF(A489="","",T488)</f>
        <v/>
      </c>
      <c r="V488" s="205" t="str">
        <f aca="false">IF($A489="","",IF(AND(MONTH(A488)&gt;3,MONTH(A488)&lt;11),(T488+R488+G488)*Summary!$T$10/(1-Summary!$T$10),(T488+R488+G488)*Summary!$U$10/(1-Summary!$U$10)))</f>
        <v/>
      </c>
      <c r="W488" s="200" t="str">
        <f aca="false">IF($A489="","",(T488+R488+G488+V488))</f>
        <v/>
      </c>
      <c r="X488" s="200" t="str">
        <f aca="false">IF($A489="","",(U488+S488+H488+V488))</f>
        <v/>
      </c>
      <c r="Y488" s="202"/>
      <c r="AJ488" s="77"/>
      <c r="AK488" s="77"/>
      <c r="AL488" s="77"/>
      <c r="AM488" s="77"/>
      <c r="AN488" s="77"/>
      <c r="AO488" s="137" t="str">
        <f aca="false">IF(A489="","",A489-A488)</f>
        <v/>
      </c>
      <c r="AP488" s="212" t="str">
        <f aca="false">IF(A489="","",CHOOSE(F$3,A489+24,A488))</f>
        <v/>
      </c>
      <c r="AQ488" s="209" t="str">
        <f aca="false">IF(A489="","",AP488-$E$1)</f>
        <v/>
      </c>
      <c r="AR488" s="185" t="n">
        <f aca="false">'ANR OK vs ML7'!AR488</f>
        <v>0.1</v>
      </c>
      <c r="AS488" s="213" t="str">
        <f aca="false">IF(A489="","",1/(1+CHOOSE(F$3,(AR489+($I$3/10000))/2,(AR488+($I$3/10000))/2))^(2*AQ488/365.25))</f>
        <v/>
      </c>
      <c r="AT488" s="137" t="str">
        <f aca="false">IF(A489="","",IF(AND(mthbeg&lt;=A488,mthend&gt;=A488),1,0))</f>
        <v/>
      </c>
      <c r="AU488" s="137" t="str">
        <f aca="false">IF(A489="","",AO488*AT488)</f>
        <v/>
      </c>
      <c r="AW488" s="195" t="str">
        <f aca="false">IF($A489="","",AL488*$E488)</f>
        <v/>
      </c>
      <c r="AX488" s="195" t="str">
        <f aca="false">IF($A489="","",AM488*$E488)</f>
        <v/>
      </c>
      <c r="AY488" s="195" t="str">
        <f aca="false">IF($A489="","",AN488*$E488)</f>
        <v/>
      </c>
      <c r="BA488" s="195" t="str">
        <f aca="false">IF($A489="","",F488*Summary!$Q$10)</f>
        <v/>
      </c>
    </row>
    <row r="489" customFormat="false" ht="12.75" hidden="false" customHeight="false" outlineLevel="0" collapsed="false">
      <c r="A489" s="196" t="str">
        <f aca="false">IF(A488&lt;mthend,EDATE(A488,1),"")</f>
        <v/>
      </c>
      <c r="B489" s="197" t="str">
        <f aca="false">IF(A489&lt;mthend,B488,"")</f>
        <v/>
      </c>
      <c r="D489" s="197" t="str">
        <f aca="false">IF(A490&lt;&gt;"",B489+C489,"")</f>
        <v/>
      </c>
      <c r="E489" s="199" t="str">
        <f aca="false">IF(A490="","",IF(AND(AT489=1,$H$3=1),D489*AO489,IF($H$3=2,D489,"N/A")))</f>
        <v/>
      </c>
      <c r="F489" s="199" t="str">
        <f aca="false">IF(A490="","",E489*AS489)</f>
        <v/>
      </c>
      <c r="G489" s="200" t="str">
        <f aca="false">IF($A490="","",VLOOKUP($A489,Table,MATCH(G$4,Curves,0)))</f>
        <v/>
      </c>
      <c r="H489" s="201" t="str">
        <f aca="false">IF(A490="","",G489)</f>
        <v/>
      </c>
      <c r="J489" s="200" t="str">
        <f aca="false">IF($A490="","",VLOOKUP($A489,Table,MATCH(J$4,Curves,0)))</f>
        <v/>
      </c>
      <c r="K489" s="201" t="str">
        <f aca="false">IF(A490="","",J489)</f>
        <v/>
      </c>
      <c r="L489" s="185" t="n">
        <v>0</v>
      </c>
      <c r="M489" s="201" t="str">
        <f aca="false">IF(A490="","",L489)</f>
        <v/>
      </c>
      <c r="O489" s="200" t="str">
        <f aca="false">IF(A490="","",L489+J489+G489)</f>
        <v/>
      </c>
      <c r="P489" s="200" t="str">
        <f aca="false">IF(A490="","",M489+K489+H489)</f>
        <v/>
      </c>
      <c r="R489" s="200" t="str">
        <f aca="false">IF($A490="","",VLOOKUP($A489,Table,MATCH(R$4,Curves,0)))</f>
        <v/>
      </c>
      <c r="S489" s="201" t="str">
        <f aca="false">IF(A490="","",R489)</f>
        <v/>
      </c>
      <c r="T489" s="200" t="str">
        <f aca="false">IF($A490="","",VLOOKUP($A489,Table,MATCH(T$4,Curves,0)))</f>
        <v/>
      </c>
      <c r="U489" s="201" t="str">
        <f aca="false">IF(A490="","",T489)</f>
        <v/>
      </c>
      <c r="V489" s="205" t="str">
        <f aca="false">IF($A490="","",IF(AND(MONTH(A489)&gt;3,MONTH(A489)&lt;11),(T489+R489+G489)*Summary!$T$10/(1-Summary!$T$10),(T489+R489+G489)*Summary!$U$10/(1-Summary!$U$10)))</f>
        <v/>
      </c>
      <c r="W489" s="200" t="str">
        <f aca="false">IF($A490="","",(T489+R489+G489+V489))</f>
        <v/>
      </c>
      <c r="X489" s="200" t="str">
        <f aca="false">IF($A490="","",(U489+S489+H489+V489))</f>
        <v/>
      </c>
      <c r="Y489" s="202"/>
      <c r="AJ489" s="77"/>
      <c r="AK489" s="77"/>
      <c r="AL489" s="77"/>
      <c r="AM489" s="77"/>
      <c r="AN489" s="77"/>
      <c r="AO489" s="137" t="str">
        <f aca="false">IF(A490="","",A490-A489)</f>
        <v/>
      </c>
      <c r="AP489" s="212" t="str">
        <f aca="false">IF(A490="","",CHOOSE(F$3,A490+24,A489))</f>
        <v/>
      </c>
      <c r="AQ489" s="209" t="str">
        <f aca="false">IF(A490="","",AP489-$E$1)</f>
        <v/>
      </c>
      <c r="AR489" s="185" t="n">
        <f aca="false">'ANR OK vs ML7'!AR489</f>
        <v>0.1</v>
      </c>
      <c r="AS489" s="213" t="str">
        <f aca="false">IF(A490="","",1/(1+CHOOSE(F$3,(AR490+($I$3/10000))/2,(AR489+($I$3/10000))/2))^(2*AQ489/365.25))</f>
        <v/>
      </c>
      <c r="AT489" s="137" t="str">
        <f aca="false">IF(A490="","",IF(AND(mthbeg&lt;=A489,mthend&gt;=A489),1,0))</f>
        <v/>
      </c>
      <c r="AU489" s="137" t="str">
        <f aca="false">IF(A490="","",AO489*AT489)</f>
        <v/>
      </c>
      <c r="AW489" s="195" t="str">
        <f aca="false">IF($A490="","",AL489*$E489)</f>
        <v/>
      </c>
      <c r="AX489" s="195" t="str">
        <f aca="false">IF($A490="","",AM489*$E489)</f>
        <v/>
      </c>
      <c r="AY489" s="195" t="str">
        <f aca="false">IF($A490="","",AN489*$E489)</f>
        <v/>
      </c>
      <c r="BA489" s="195" t="str">
        <f aca="false">IF($A490="","",F489*Summary!$Q$10)</f>
        <v/>
      </c>
    </row>
    <row r="490" customFormat="false" ht="12.75" hidden="false" customHeight="false" outlineLevel="0" collapsed="false">
      <c r="A490" s="196" t="str">
        <f aca="false">IF(A489&lt;mthend,EDATE(A489,1),"")</f>
        <v/>
      </c>
      <c r="B490" s="197" t="str">
        <f aca="false">IF(A490&lt;mthend,B489,"")</f>
        <v/>
      </c>
      <c r="D490" s="197" t="str">
        <f aca="false">IF(A491&lt;&gt;"",B490+C490,"")</f>
        <v/>
      </c>
      <c r="E490" s="199" t="str">
        <f aca="false">IF(A491="","",IF(AND(AT490=1,$H$3=1),D490*AO490,IF($H$3=2,D490,"N/A")))</f>
        <v/>
      </c>
      <c r="F490" s="199" t="str">
        <f aca="false">IF(A491="","",E490*AS490)</f>
        <v/>
      </c>
      <c r="G490" s="200" t="str">
        <f aca="false">IF($A491="","",VLOOKUP($A490,Table,MATCH(G$4,Curves,0)))</f>
        <v/>
      </c>
      <c r="H490" s="201" t="str">
        <f aca="false">IF(A491="","",G490)</f>
        <v/>
      </c>
      <c r="J490" s="200" t="str">
        <f aca="false">IF($A491="","",VLOOKUP($A490,Table,MATCH(J$4,Curves,0)))</f>
        <v/>
      </c>
      <c r="K490" s="201" t="str">
        <f aca="false">IF(A491="","",J490)</f>
        <v/>
      </c>
      <c r="L490" s="185" t="n">
        <v>0</v>
      </c>
      <c r="M490" s="201" t="str">
        <f aca="false">IF(A491="","",L490)</f>
        <v/>
      </c>
      <c r="O490" s="200" t="str">
        <f aca="false">IF(A491="","",L490+J490+G490)</f>
        <v/>
      </c>
      <c r="P490" s="200" t="str">
        <f aca="false">IF(A491="","",M490+K490+H490)</f>
        <v/>
      </c>
      <c r="R490" s="200" t="str">
        <f aca="false">IF($A491="","",VLOOKUP($A490,Table,MATCH(R$4,Curves,0)))</f>
        <v/>
      </c>
      <c r="S490" s="201" t="str">
        <f aca="false">IF(A491="","",R490)</f>
        <v/>
      </c>
      <c r="T490" s="200" t="str">
        <f aca="false">IF($A491="","",VLOOKUP($A490,Table,MATCH(T$4,Curves,0)))</f>
        <v/>
      </c>
      <c r="U490" s="201" t="str">
        <f aca="false">IF(A491="","",T490)</f>
        <v/>
      </c>
      <c r="V490" s="205" t="str">
        <f aca="false">IF($A491="","",IF(AND(MONTH(A490)&gt;3,MONTH(A490)&lt;11),(T490+R490+G490)*Summary!$T$10/(1-Summary!$T$10),(T490+R490+G490)*Summary!$U$10/(1-Summary!$U$10)))</f>
        <v/>
      </c>
      <c r="W490" s="200" t="str">
        <f aca="false">IF($A491="","",(T490+R490+G490+V490))</f>
        <v/>
      </c>
      <c r="X490" s="200" t="str">
        <f aca="false">IF($A491="","",(U490+S490+H490+V490))</f>
        <v/>
      </c>
      <c r="Y490" s="202"/>
      <c r="AJ490" s="77"/>
      <c r="AK490" s="77"/>
      <c r="AL490" s="77"/>
      <c r="AM490" s="77"/>
      <c r="AN490" s="77"/>
      <c r="AO490" s="137" t="str">
        <f aca="false">IF(A491="","",A491-A490)</f>
        <v/>
      </c>
      <c r="AP490" s="212" t="str">
        <f aca="false">IF(A491="","",CHOOSE(F$3,A491+24,A490))</f>
        <v/>
      </c>
      <c r="AQ490" s="209" t="str">
        <f aca="false">IF(A491="","",AP490-$E$1)</f>
        <v/>
      </c>
      <c r="AR490" s="185" t="n">
        <f aca="false">'ANR OK vs ML7'!AR490</f>
        <v>0.1</v>
      </c>
      <c r="AS490" s="213" t="str">
        <f aca="false">IF(A491="","",1/(1+CHOOSE(F$3,(AR491+($I$3/10000))/2,(AR490+($I$3/10000))/2))^(2*AQ490/365.25))</f>
        <v/>
      </c>
      <c r="AT490" s="137" t="str">
        <f aca="false">IF(A491="","",IF(AND(mthbeg&lt;=A490,mthend&gt;=A490),1,0))</f>
        <v/>
      </c>
      <c r="AU490" s="137" t="str">
        <f aca="false">IF(A491="","",AO490*AT490)</f>
        <v/>
      </c>
      <c r="AW490" s="195" t="str">
        <f aca="false">IF($A491="","",AL490*$E490)</f>
        <v/>
      </c>
      <c r="AX490" s="195" t="str">
        <f aca="false">IF($A491="","",AM490*$E490)</f>
        <v/>
      </c>
      <c r="AY490" s="195" t="str">
        <f aca="false">IF($A491="","",AN490*$E490)</f>
        <v/>
      </c>
      <c r="BA490" s="195" t="str">
        <f aca="false">IF($A491="","",F490*Summary!$Q$10)</f>
        <v/>
      </c>
    </row>
    <row r="491" customFormat="false" ht="12.75" hidden="false" customHeight="false" outlineLevel="0" collapsed="false">
      <c r="A491" s="196" t="str">
        <f aca="false">IF(A490&lt;mthend,EDATE(A490,1),"")</f>
        <v/>
      </c>
      <c r="B491" s="197" t="str">
        <f aca="false">IF(A491&lt;mthend,B490,"")</f>
        <v/>
      </c>
      <c r="D491" s="197" t="str">
        <f aca="false">IF(A492&lt;&gt;"",B491+C491,"")</f>
        <v/>
      </c>
      <c r="E491" s="199" t="str">
        <f aca="false">IF(A492="","",IF(AND(AT491=1,$H$3=1),D491*AO491,IF($H$3=2,D491,"N/A")))</f>
        <v/>
      </c>
      <c r="F491" s="199" t="str">
        <f aca="false">IF(A492="","",E491*AS491)</f>
        <v/>
      </c>
      <c r="G491" s="200" t="str">
        <f aca="false">IF($A492="","",VLOOKUP($A491,Table,MATCH(G$4,Curves,0)))</f>
        <v/>
      </c>
      <c r="H491" s="201" t="str">
        <f aca="false">IF(A492="","",G491)</f>
        <v/>
      </c>
      <c r="J491" s="200" t="str">
        <f aca="false">IF($A492="","",VLOOKUP($A491,Table,MATCH(J$4,Curves,0)))</f>
        <v/>
      </c>
      <c r="K491" s="201" t="str">
        <f aca="false">IF(A492="","",J491)</f>
        <v/>
      </c>
      <c r="L491" s="185" t="n">
        <v>0</v>
      </c>
      <c r="M491" s="201" t="str">
        <f aca="false">IF(A492="","",L491)</f>
        <v/>
      </c>
      <c r="O491" s="200" t="str">
        <f aca="false">IF(A492="","",L491+J491+G491)</f>
        <v/>
      </c>
      <c r="P491" s="200" t="str">
        <f aca="false">IF(A492="","",M491+K491+H491)</f>
        <v/>
      </c>
      <c r="R491" s="200" t="str">
        <f aca="false">IF($A492="","",VLOOKUP($A491,Table,MATCH(R$4,Curves,0)))</f>
        <v/>
      </c>
      <c r="S491" s="201" t="str">
        <f aca="false">IF(A492="","",R491)</f>
        <v/>
      </c>
      <c r="T491" s="200" t="str">
        <f aca="false">IF($A492="","",VLOOKUP($A491,Table,MATCH(T$4,Curves,0)))</f>
        <v/>
      </c>
      <c r="U491" s="201" t="str">
        <f aca="false">IF(A492="","",T491)</f>
        <v/>
      </c>
      <c r="V491" s="205" t="str">
        <f aca="false">IF($A492="","",IF(AND(MONTH(A491)&gt;3,MONTH(A491)&lt;11),(T491+R491+G491)*Summary!$T$10/(1-Summary!$T$10),(T491+R491+G491)*Summary!$U$10/(1-Summary!$U$10)))</f>
        <v/>
      </c>
      <c r="W491" s="200" t="str">
        <f aca="false">IF($A492="","",(T491+R491+G491+V491))</f>
        <v/>
      </c>
      <c r="X491" s="200" t="str">
        <f aca="false">IF($A492="","",(U491+S491+H491+V491))</f>
        <v/>
      </c>
      <c r="Y491" s="202"/>
      <c r="AJ491" s="77"/>
      <c r="AK491" s="77"/>
      <c r="AL491" s="77"/>
      <c r="AM491" s="77"/>
      <c r="AN491" s="77"/>
      <c r="AO491" s="137" t="str">
        <f aca="false">IF(A492="","",A492-A491)</f>
        <v/>
      </c>
      <c r="AP491" s="212" t="str">
        <f aca="false">IF(A492="","",CHOOSE(F$3,A492+24,A491))</f>
        <v/>
      </c>
      <c r="AQ491" s="209" t="str">
        <f aca="false">IF(A492="","",AP491-$E$1)</f>
        <v/>
      </c>
      <c r="AR491" s="185" t="n">
        <f aca="false">'ANR OK vs ML7'!AR491</f>
        <v>0.1</v>
      </c>
      <c r="AS491" s="213" t="str">
        <f aca="false">IF(A492="","",1/(1+CHOOSE(F$3,(AR492+($I$3/10000))/2,(AR491+($I$3/10000))/2))^(2*AQ491/365.25))</f>
        <v/>
      </c>
      <c r="AT491" s="137" t="str">
        <f aca="false">IF(A492="","",IF(AND(mthbeg&lt;=A491,mthend&gt;=A491),1,0))</f>
        <v/>
      </c>
      <c r="AU491" s="137" t="str">
        <f aca="false">IF(A492="","",AO491*AT491)</f>
        <v/>
      </c>
      <c r="AW491" s="195" t="str">
        <f aca="false">IF($A492="","",AL491*$E491)</f>
        <v/>
      </c>
      <c r="AX491" s="195" t="str">
        <f aca="false">IF($A492="","",AM491*$E491)</f>
        <v/>
      </c>
      <c r="AY491" s="195" t="str">
        <f aca="false">IF($A492="","",AN491*$E491)</f>
        <v/>
      </c>
      <c r="BA491" s="195" t="str">
        <f aca="false">IF($A492="","",F491*Summary!$Q$10)</f>
        <v/>
      </c>
    </row>
    <row r="492" customFormat="false" ht="12.75" hidden="false" customHeight="false" outlineLevel="0" collapsed="false">
      <c r="A492" s="196" t="str">
        <f aca="false">IF(A491&lt;mthend,EDATE(A491,1),"")</f>
        <v/>
      </c>
      <c r="B492" s="197" t="str">
        <f aca="false">IF(A492&lt;mthend,B491,"")</f>
        <v/>
      </c>
      <c r="D492" s="197" t="str">
        <f aca="false">IF(A493&lt;&gt;"",B492+C492,"")</f>
        <v/>
      </c>
      <c r="E492" s="199" t="str">
        <f aca="false">IF(A493="","",IF(AND(AT492=1,$H$3=1),D492*AO492,IF($H$3=2,D492,"N/A")))</f>
        <v/>
      </c>
      <c r="F492" s="199" t="str">
        <f aca="false">IF(A493="","",E492*AS492)</f>
        <v/>
      </c>
      <c r="G492" s="200" t="str">
        <f aca="false">IF($A493="","",VLOOKUP($A492,Table,MATCH(G$4,Curves,0)))</f>
        <v/>
      </c>
      <c r="H492" s="201" t="str">
        <f aca="false">IF(A493="","",G492)</f>
        <v/>
      </c>
      <c r="J492" s="200" t="str">
        <f aca="false">IF($A493="","",VLOOKUP($A492,Table,MATCH(J$4,Curves,0)))</f>
        <v/>
      </c>
      <c r="K492" s="201" t="str">
        <f aca="false">IF(A493="","",J492)</f>
        <v/>
      </c>
      <c r="L492" s="185" t="n">
        <v>0</v>
      </c>
      <c r="M492" s="201" t="str">
        <f aca="false">IF(A493="","",L492)</f>
        <v/>
      </c>
      <c r="O492" s="200" t="str">
        <f aca="false">IF(A493="","",L492+J492+G492)</f>
        <v/>
      </c>
      <c r="P492" s="200" t="str">
        <f aca="false">IF(A493="","",M492+K492+H492)</f>
        <v/>
      </c>
      <c r="R492" s="200" t="str">
        <f aca="false">IF($A493="","",VLOOKUP($A492,Table,MATCH(R$4,Curves,0)))</f>
        <v/>
      </c>
      <c r="S492" s="201" t="str">
        <f aca="false">IF(A493="","",R492)</f>
        <v/>
      </c>
      <c r="T492" s="200" t="str">
        <f aca="false">IF($A493="","",VLOOKUP($A492,Table,MATCH(T$4,Curves,0)))</f>
        <v/>
      </c>
      <c r="U492" s="201" t="str">
        <f aca="false">IF(A493="","",T492)</f>
        <v/>
      </c>
      <c r="V492" s="205" t="str">
        <f aca="false">IF($A493="","",IF(AND(MONTH(A492)&gt;3,MONTH(A492)&lt;11),(T492+R492+G492)*Summary!$T$10/(1-Summary!$T$10),(T492+R492+G492)*Summary!$U$10/(1-Summary!$U$10)))</f>
        <v/>
      </c>
      <c r="W492" s="200" t="str">
        <f aca="false">IF($A493="","",(T492+R492+G492+V492))</f>
        <v/>
      </c>
      <c r="X492" s="200" t="str">
        <f aca="false">IF($A493="","",(U492+S492+H492+V492))</f>
        <v/>
      </c>
      <c r="Y492" s="202"/>
      <c r="AJ492" s="77"/>
      <c r="AK492" s="77"/>
      <c r="AL492" s="77"/>
      <c r="AM492" s="77"/>
      <c r="AN492" s="77"/>
      <c r="AO492" s="137" t="str">
        <f aca="false">IF(A493="","",A493-A492)</f>
        <v/>
      </c>
      <c r="AP492" s="212" t="str">
        <f aca="false">IF(A493="","",CHOOSE(F$3,A493+24,A492))</f>
        <v/>
      </c>
      <c r="AQ492" s="209" t="str">
        <f aca="false">IF(A493="","",AP492-$E$1)</f>
        <v/>
      </c>
      <c r="AR492" s="185" t="n">
        <f aca="false">'ANR OK vs ML7'!AR492</f>
        <v>0.1</v>
      </c>
      <c r="AS492" s="213" t="str">
        <f aca="false">IF(A493="","",1/(1+CHOOSE(F$3,(AR493+($I$3/10000))/2,(AR492+($I$3/10000))/2))^(2*AQ492/365.25))</f>
        <v/>
      </c>
      <c r="AT492" s="137" t="str">
        <f aca="false">IF(A493="","",IF(AND(mthbeg&lt;=A492,mthend&gt;=A492),1,0))</f>
        <v/>
      </c>
      <c r="AU492" s="137" t="str">
        <f aca="false">IF(A493="","",AO492*AT492)</f>
        <v/>
      </c>
      <c r="AW492" s="195" t="str">
        <f aca="false">IF($A493="","",AL492*$E492)</f>
        <v/>
      </c>
      <c r="AX492" s="195" t="str">
        <f aca="false">IF($A493="","",AM492*$E492)</f>
        <v/>
      </c>
      <c r="AY492" s="195" t="str">
        <f aca="false">IF($A493="","",AN492*$E492)</f>
        <v/>
      </c>
      <c r="BA492" s="195" t="str">
        <f aca="false">IF($A493="","",F492*Summary!$Q$10)</f>
        <v/>
      </c>
    </row>
    <row r="493" customFormat="false" ht="12.75" hidden="false" customHeight="false" outlineLevel="0" collapsed="false">
      <c r="A493" s="196" t="str">
        <f aca="false">IF(A492&lt;mthend,EDATE(A492,1),"")</f>
        <v/>
      </c>
      <c r="B493" s="197" t="str">
        <f aca="false">IF(A493&lt;mthend,B492,"")</f>
        <v/>
      </c>
      <c r="D493" s="197" t="str">
        <f aca="false">IF(A494&lt;&gt;"",B493+C493,"")</f>
        <v/>
      </c>
      <c r="E493" s="199" t="str">
        <f aca="false">IF(A494="","",IF(AND(AT493=1,$H$3=1),D493*AO493,IF($H$3=2,D493,"N/A")))</f>
        <v/>
      </c>
      <c r="F493" s="199" t="str">
        <f aca="false">IF(A494="","",E493*AS493)</f>
        <v/>
      </c>
      <c r="G493" s="200" t="str">
        <f aca="false">IF($A494="","",VLOOKUP($A493,Table,MATCH(G$4,Curves,0)))</f>
        <v/>
      </c>
      <c r="H493" s="201" t="str">
        <f aca="false">IF(A494="","",G493)</f>
        <v/>
      </c>
      <c r="J493" s="200" t="str">
        <f aca="false">IF($A494="","",VLOOKUP($A493,Table,MATCH(J$4,Curves,0)))</f>
        <v/>
      </c>
      <c r="K493" s="201" t="str">
        <f aca="false">IF(A494="","",J493)</f>
        <v/>
      </c>
      <c r="L493" s="185" t="n">
        <v>0</v>
      </c>
      <c r="M493" s="201" t="str">
        <f aca="false">IF(A494="","",L493)</f>
        <v/>
      </c>
      <c r="O493" s="200" t="str">
        <f aca="false">IF(A494="","",L493+J493+G493)</f>
        <v/>
      </c>
      <c r="P493" s="200" t="str">
        <f aca="false">IF(A494="","",M493+K493+H493)</f>
        <v/>
      </c>
      <c r="R493" s="200" t="str">
        <f aca="false">IF($A494="","",VLOOKUP($A493,Table,MATCH(R$4,Curves,0)))</f>
        <v/>
      </c>
      <c r="S493" s="201" t="str">
        <f aca="false">IF(A494="","",R493)</f>
        <v/>
      </c>
      <c r="T493" s="200" t="str">
        <f aca="false">IF($A494="","",VLOOKUP($A493,Table,MATCH(T$4,Curves,0)))</f>
        <v/>
      </c>
      <c r="U493" s="201" t="str">
        <f aca="false">IF(A494="","",T493)</f>
        <v/>
      </c>
      <c r="V493" s="205" t="str">
        <f aca="false">IF($A494="","",IF(AND(MONTH(A493)&gt;3,MONTH(A493)&lt;11),(T493+R493+G493)*Summary!$T$10/(1-Summary!$T$10),(T493+R493+G493)*Summary!$U$10/(1-Summary!$U$10)))</f>
        <v/>
      </c>
      <c r="W493" s="200" t="str">
        <f aca="false">IF($A494="","",(T493+R493+G493+V493))</f>
        <v/>
      </c>
      <c r="X493" s="200" t="str">
        <f aca="false">IF($A494="","",(U493+S493+H493+V493))</f>
        <v/>
      </c>
      <c r="Y493" s="202"/>
      <c r="AJ493" s="77"/>
      <c r="AK493" s="77"/>
      <c r="AL493" s="77"/>
      <c r="AM493" s="77"/>
      <c r="AN493" s="77"/>
      <c r="AO493" s="137" t="str">
        <f aca="false">IF(A494="","",A494-A493)</f>
        <v/>
      </c>
      <c r="AP493" s="212" t="str">
        <f aca="false">IF(A494="","",CHOOSE(F$3,A494+24,A493))</f>
        <v/>
      </c>
      <c r="AQ493" s="209" t="str">
        <f aca="false">IF(A494="","",AP493-$E$1)</f>
        <v/>
      </c>
      <c r="AR493" s="185" t="n">
        <f aca="false">'ANR OK vs ML7'!AR493</f>
        <v>0.1</v>
      </c>
      <c r="AS493" s="213" t="str">
        <f aca="false">IF(A494="","",1/(1+CHOOSE(F$3,(AR494+($I$3/10000))/2,(AR493+($I$3/10000))/2))^(2*AQ493/365.25))</f>
        <v/>
      </c>
      <c r="AT493" s="137" t="str">
        <f aca="false">IF(A494="","",IF(AND(mthbeg&lt;=A493,mthend&gt;=A493),1,0))</f>
        <v/>
      </c>
      <c r="AU493" s="137" t="str">
        <f aca="false">IF(A494="","",AO493*AT493)</f>
        <v/>
      </c>
      <c r="AW493" s="195" t="str">
        <f aca="false">IF($A494="","",AL493*$E493)</f>
        <v/>
      </c>
      <c r="AX493" s="195" t="str">
        <f aca="false">IF($A494="","",AM493*$E493)</f>
        <v/>
      </c>
      <c r="AY493" s="195" t="str">
        <f aca="false">IF($A494="","",AN493*$E493)</f>
        <v/>
      </c>
      <c r="BA493" s="195" t="str">
        <f aca="false">IF($A494="","",F493*Summary!$Q$10)</f>
        <v/>
      </c>
    </row>
    <row r="494" customFormat="false" ht="12.75" hidden="false" customHeight="false" outlineLevel="0" collapsed="false">
      <c r="A494" s="196" t="str">
        <f aca="false">IF(A493&lt;mthend,EDATE(A493,1),"")</f>
        <v/>
      </c>
      <c r="B494" s="197" t="str">
        <f aca="false">IF(A494&lt;mthend,B493,"")</f>
        <v/>
      </c>
      <c r="D494" s="197" t="str">
        <f aca="false">IF(A495&lt;&gt;"",B494+C494,"")</f>
        <v/>
      </c>
      <c r="E494" s="199" t="str">
        <f aca="false">IF(A495="","",IF(AND(AT494=1,$H$3=1),D494*AO494,IF($H$3=2,D494,"N/A")))</f>
        <v/>
      </c>
      <c r="F494" s="199" t="str">
        <f aca="false">IF(A495="","",E494*AS494)</f>
        <v/>
      </c>
      <c r="G494" s="200" t="str">
        <f aca="false">IF($A495="","",VLOOKUP($A494,Table,MATCH(G$4,Curves,0)))</f>
        <v/>
      </c>
      <c r="H494" s="201" t="str">
        <f aca="false">IF(A495="","",G494)</f>
        <v/>
      </c>
      <c r="J494" s="200" t="str">
        <f aca="false">IF($A495="","",VLOOKUP($A494,Table,MATCH(J$4,Curves,0)))</f>
        <v/>
      </c>
      <c r="K494" s="201" t="str">
        <f aca="false">IF(A495="","",J494)</f>
        <v/>
      </c>
      <c r="L494" s="185" t="n">
        <v>0</v>
      </c>
      <c r="M494" s="201" t="str">
        <f aca="false">IF(A495="","",L494)</f>
        <v/>
      </c>
      <c r="O494" s="200" t="str">
        <f aca="false">IF(A495="","",L494+J494+G494)</f>
        <v/>
      </c>
      <c r="P494" s="200" t="str">
        <f aca="false">IF(A495="","",M494+K494+H494)</f>
        <v/>
      </c>
      <c r="R494" s="200" t="str">
        <f aca="false">IF($A495="","",VLOOKUP($A494,Table,MATCH(R$4,Curves,0)))</f>
        <v/>
      </c>
      <c r="S494" s="201" t="str">
        <f aca="false">IF(A495="","",R494)</f>
        <v/>
      </c>
      <c r="T494" s="200" t="str">
        <f aca="false">IF($A495="","",VLOOKUP($A494,Table,MATCH(T$4,Curves,0)))</f>
        <v/>
      </c>
      <c r="U494" s="201" t="str">
        <f aca="false">IF(A495="","",T494)</f>
        <v/>
      </c>
      <c r="V494" s="205" t="str">
        <f aca="false">IF($A495="","",IF(AND(MONTH(A494)&gt;3,MONTH(A494)&lt;11),(T494+R494+G494)*Summary!$T$10/(1-Summary!$T$10),(T494+R494+G494)*Summary!$U$10/(1-Summary!$U$10)))</f>
        <v/>
      </c>
      <c r="W494" s="200" t="str">
        <f aca="false">IF($A495="","",(T494+R494+G494+V494))</f>
        <v/>
      </c>
      <c r="X494" s="200" t="str">
        <f aca="false">IF($A495="","",(U494+S494+H494+V494))</f>
        <v/>
      </c>
      <c r="Y494" s="202"/>
      <c r="AJ494" s="77"/>
      <c r="AK494" s="77"/>
      <c r="AL494" s="77"/>
      <c r="AM494" s="77"/>
      <c r="AN494" s="77"/>
      <c r="AO494" s="137" t="str">
        <f aca="false">IF(A495="","",A495-A494)</f>
        <v/>
      </c>
      <c r="AP494" s="212" t="str">
        <f aca="false">IF(A495="","",CHOOSE(F$3,A495+24,A494))</f>
        <v/>
      </c>
      <c r="AQ494" s="209" t="str">
        <f aca="false">IF(A495="","",AP494-$E$1)</f>
        <v/>
      </c>
      <c r="AR494" s="185" t="n">
        <f aca="false">'ANR OK vs ML7'!AR494</f>
        <v>0.1</v>
      </c>
      <c r="AS494" s="213" t="str">
        <f aca="false">IF(A495="","",1/(1+CHOOSE(F$3,(AR495+($I$3/10000))/2,(AR494+($I$3/10000))/2))^(2*AQ494/365.25))</f>
        <v/>
      </c>
      <c r="AT494" s="137" t="str">
        <f aca="false">IF(A495="","",IF(AND(mthbeg&lt;=A494,mthend&gt;=A494),1,0))</f>
        <v/>
      </c>
      <c r="AU494" s="137" t="str">
        <f aca="false">IF(A495="","",AO494*AT494)</f>
        <v/>
      </c>
      <c r="AW494" s="195" t="str">
        <f aca="false">IF($A495="","",AL494*$E494)</f>
        <v/>
      </c>
      <c r="AX494" s="195" t="str">
        <f aca="false">IF($A495="","",AM494*$E494)</f>
        <v/>
      </c>
      <c r="AY494" s="195" t="str">
        <f aca="false">IF($A495="","",AN494*$E494)</f>
        <v/>
      </c>
      <c r="BA494" s="195" t="str">
        <f aca="false">IF($A495="","",F494*Summary!$Q$10)</f>
        <v/>
      </c>
    </row>
    <row r="495" customFormat="false" ht="12.75" hidden="false" customHeight="false" outlineLevel="0" collapsed="false">
      <c r="A495" s="196" t="str">
        <f aca="false">IF(A494&lt;mthend,EDATE(A494,1),"")</f>
        <v/>
      </c>
      <c r="B495" s="197" t="str">
        <f aca="false">IF(A495&lt;mthend,B494,"")</f>
        <v/>
      </c>
      <c r="D495" s="197" t="str">
        <f aca="false">IF(A496&lt;&gt;"",B495+C495,"")</f>
        <v/>
      </c>
      <c r="E495" s="199" t="str">
        <f aca="false">IF(A496="","",IF(AND(AT495=1,$H$3=1),D495*AO495,IF($H$3=2,D495,"N/A")))</f>
        <v/>
      </c>
      <c r="F495" s="199" t="str">
        <f aca="false">IF(A496="","",E495*AS495)</f>
        <v/>
      </c>
      <c r="G495" s="200" t="str">
        <f aca="false">IF($A496="","",VLOOKUP($A495,Table,MATCH(G$4,Curves,0)))</f>
        <v/>
      </c>
      <c r="H495" s="201" t="str">
        <f aca="false">IF(A496="","",G495)</f>
        <v/>
      </c>
      <c r="J495" s="200" t="str">
        <f aca="false">IF($A496="","",VLOOKUP($A495,Table,MATCH(J$4,Curves,0)))</f>
        <v/>
      </c>
      <c r="K495" s="201" t="str">
        <f aca="false">IF(A496="","",J495)</f>
        <v/>
      </c>
      <c r="L495" s="185" t="n">
        <v>0</v>
      </c>
      <c r="M495" s="201" t="str">
        <f aca="false">IF(A496="","",L495)</f>
        <v/>
      </c>
      <c r="O495" s="200" t="str">
        <f aca="false">IF(A496="","",L495+J495+G495)</f>
        <v/>
      </c>
      <c r="P495" s="200" t="str">
        <f aca="false">IF(A496="","",M495+K495+H495)</f>
        <v/>
      </c>
      <c r="R495" s="200" t="str">
        <f aca="false">IF($A496="","",VLOOKUP($A495,Table,MATCH(R$4,Curves,0)))</f>
        <v/>
      </c>
      <c r="S495" s="201" t="str">
        <f aca="false">IF(A496="","",R495)</f>
        <v/>
      </c>
      <c r="T495" s="200" t="str">
        <f aca="false">IF($A496="","",VLOOKUP($A495,Table,MATCH(T$4,Curves,0)))</f>
        <v/>
      </c>
      <c r="U495" s="201" t="str">
        <f aca="false">IF(A496="","",T495)</f>
        <v/>
      </c>
      <c r="V495" s="205" t="str">
        <f aca="false">IF($A496="","",IF(AND(MONTH(A495)&gt;3,MONTH(A495)&lt;11),(T495+R495+G495)*Summary!$T$10/(1-Summary!$T$10),(T495+R495+G495)*Summary!$U$10/(1-Summary!$U$10)))</f>
        <v/>
      </c>
      <c r="W495" s="200" t="str">
        <f aca="false">IF($A496="","",(T495+R495+G495+V495))</f>
        <v/>
      </c>
      <c r="X495" s="200" t="str">
        <f aca="false">IF($A496="","",(U495+S495+H495+V495))</f>
        <v/>
      </c>
      <c r="Y495" s="202"/>
      <c r="AJ495" s="77"/>
      <c r="AK495" s="77"/>
      <c r="AL495" s="77"/>
      <c r="AM495" s="77"/>
      <c r="AN495" s="77"/>
      <c r="AO495" s="137" t="str">
        <f aca="false">IF(A496="","",A496-A495)</f>
        <v/>
      </c>
      <c r="AP495" s="212" t="str">
        <f aca="false">IF(A496="","",CHOOSE(F$3,A496+24,A495))</f>
        <v/>
      </c>
      <c r="AQ495" s="209" t="str">
        <f aca="false">IF(A496="","",AP495-$E$1)</f>
        <v/>
      </c>
      <c r="AR495" s="185" t="n">
        <f aca="false">'ANR OK vs ML7'!AR495</f>
        <v>0.1</v>
      </c>
      <c r="AS495" s="213" t="str">
        <f aca="false">IF(A496="","",1/(1+CHOOSE(F$3,(AR496+($I$3/10000))/2,(AR495+($I$3/10000))/2))^(2*AQ495/365.25))</f>
        <v/>
      </c>
      <c r="AT495" s="137" t="str">
        <f aca="false">IF(A496="","",IF(AND(mthbeg&lt;=A495,mthend&gt;=A495),1,0))</f>
        <v/>
      </c>
      <c r="AU495" s="137" t="str">
        <f aca="false">IF(A496="","",AO495*AT495)</f>
        <v/>
      </c>
      <c r="AW495" s="195" t="str">
        <f aca="false">IF($A496="","",AL495*$E495)</f>
        <v/>
      </c>
      <c r="AX495" s="195" t="str">
        <f aca="false">IF($A496="","",AM495*$E495)</f>
        <v/>
      </c>
      <c r="AY495" s="195" t="str">
        <f aca="false">IF($A496="","",AN495*$E495)</f>
        <v/>
      </c>
      <c r="BA495" s="195" t="str">
        <f aca="false">IF($A496="","",F495*Summary!$Q$10)</f>
        <v/>
      </c>
    </row>
    <row r="496" customFormat="false" ht="12.75" hidden="false" customHeight="false" outlineLevel="0" collapsed="false">
      <c r="A496" s="196" t="str">
        <f aca="false">IF(A495&lt;mthend,EDATE(A495,1),"")</f>
        <v/>
      </c>
      <c r="B496" s="197" t="str">
        <f aca="false">IF(A496&lt;mthend,B495,"")</f>
        <v/>
      </c>
      <c r="D496" s="197" t="str">
        <f aca="false">IF(A497&lt;&gt;"",B496+C496,"")</f>
        <v/>
      </c>
      <c r="E496" s="199" t="str">
        <f aca="false">IF(A497="","",IF(AND(AT496=1,$H$3=1),D496*AO496,IF($H$3=2,D496,"N/A")))</f>
        <v/>
      </c>
      <c r="F496" s="199" t="str">
        <f aca="false">IF(A497="","",E496*AS496)</f>
        <v/>
      </c>
      <c r="G496" s="200" t="str">
        <f aca="false">IF($A497="","",VLOOKUP($A496,Table,MATCH(G$4,Curves,0)))</f>
        <v/>
      </c>
      <c r="H496" s="201" t="str">
        <f aca="false">IF(A497="","",G496)</f>
        <v/>
      </c>
      <c r="J496" s="200" t="str">
        <f aca="false">IF($A497="","",VLOOKUP($A496,Table,MATCH(J$4,Curves,0)))</f>
        <v/>
      </c>
      <c r="K496" s="201" t="str">
        <f aca="false">IF(A497="","",J496)</f>
        <v/>
      </c>
      <c r="L496" s="185" t="n">
        <v>0</v>
      </c>
      <c r="M496" s="201" t="str">
        <f aca="false">IF(A497="","",L496)</f>
        <v/>
      </c>
      <c r="O496" s="200" t="str">
        <f aca="false">IF(A497="","",L496+J496+G496)</f>
        <v/>
      </c>
      <c r="P496" s="200" t="str">
        <f aca="false">IF(A497="","",M496+K496+H496)</f>
        <v/>
      </c>
      <c r="R496" s="200" t="str">
        <f aca="false">IF($A497="","",VLOOKUP($A496,Table,MATCH(R$4,Curves,0)))</f>
        <v/>
      </c>
      <c r="S496" s="201" t="str">
        <f aca="false">IF(A497="","",R496)</f>
        <v/>
      </c>
      <c r="T496" s="200" t="str">
        <f aca="false">IF($A497="","",VLOOKUP($A496,Table,MATCH(T$4,Curves,0)))</f>
        <v/>
      </c>
      <c r="U496" s="201" t="str">
        <f aca="false">IF(A497="","",T496)</f>
        <v/>
      </c>
      <c r="V496" s="205" t="str">
        <f aca="false">IF($A497="","",IF(AND(MONTH(A496)&gt;3,MONTH(A496)&lt;11),(T496+R496+G496)*Summary!$T$10/(1-Summary!$T$10),(T496+R496+G496)*Summary!$U$10/(1-Summary!$U$10)))</f>
        <v/>
      </c>
      <c r="W496" s="200" t="str">
        <f aca="false">IF($A497="","",(T496+R496+G496+V496))</f>
        <v/>
      </c>
      <c r="X496" s="200" t="str">
        <f aca="false">IF($A497="","",(U496+S496+H496+V496))</f>
        <v/>
      </c>
      <c r="Y496" s="202"/>
      <c r="AJ496" s="77"/>
      <c r="AK496" s="77"/>
      <c r="AL496" s="77"/>
      <c r="AM496" s="77"/>
      <c r="AN496" s="77"/>
      <c r="AO496" s="137" t="str">
        <f aca="false">IF(A497="","",A497-A496)</f>
        <v/>
      </c>
      <c r="AP496" s="212" t="str">
        <f aca="false">IF(A497="","",CHOOSE(F$3,A497+24,A496))</f>
        <v/>
      </c>
      <c r="AQ496" s="209" t="str">
        <f aca="false">IF(A497="","",AP496-$E$1)</f>
        <v/>
      </c>
      <c r="AR496" s="185" t="n">
        <f aca="false">'ANR OK vs ML7'!AR496</f>
        <v>0.1</v>
      </c>
      <c r="AS496" s="213" t="str">
        <f aca="false">IF(A497="","",1/(1+CHOOSE(F$3,(AR497+($I$3/10000))/2,(AR496+($I$3/10000))/2))^(2*AQ496/365.25))</f>
        <v/>
      </c>
      <c r="AT496" s="137" t="str">
        <f aca="false">IF(A497="","",IF(AND(mthbeg&lt;=A496,mthend&gt;=A496),1,0))</f>
        <v/>
      </c>
      <c r="AU496" s="137" t="str">
        <f aca="false">IF(A497="","",AO496*AT496)</f>
        <v/>
      </c>
      <c r="AW496" s="195" t="str">
        <f aca="false">IF($A497="","",AL496*$E496)</f>
        <v/>
      </c>
      <c r="AX496" s="195" t="str">
        <f aca="false">IF($A497="","",AM496*$E496)</f>
        <v/>
      </c>
      <c r="AY496" s="195" t="str">
        <f aca="false">IF($A497="","",AN496*$E496)</f>
        <v/>
      </c>
      <c r="BA496" s="195" t="str">
        <f aca="false">IF($A497="","",F496*Summary!$Q$10)</f>
        <v/>
      </c>
    </row>
    <row r="497" customFormat="false" ht="12.75" hidden="false" customHeight="false" outlineLevel="0" collapsed="false">
      <c r="A497" s="196" t="str">
        <f aca="false">IF(A496&lt;mthend,EDATE(A496,1),"")</f>
        <v/>
      </c>
      <c r="B497" s="197" t="str">
        <f aca="false">IF(A497&lt;mthend,B496,"")</f>
        <v/>
      </c>
      <c r="D497" s="197" t="str">
        <f aca="false">IF(A498&lt;&gt;"",B497+C497,"")</f>
        <v/>
      </c>
      <c r="E497" s="199" t="str">
        <f aca="false">IF(A498="","",IF(AND(AT497=1,$H$3=1),D497*AO497,IF($H$3=2,D497,"N/A")))</f>
        <v/>
      </c>
      <c r="F497" s="199" t="str">
        <f aca="false">IF(A498="","",E497*AS497)</f>
        <v/>
      </c>
      <c r="G497" s="200" t="str">
        <f aca="false">IF($A498="","",VLOOKUP($A497,Table,MATCH(G$4,Curves,0)))</f>
        <v/>
      </c>
      <c r="H497" s="201" t="str">
        <f aca="false">IF(A498="","",G497)</f>
        <v/>
      </c>
      <c r="J497" s="200" t="str">
        <f aca="false">IF($A498="","",VLOOKUP($A497,Table,MATCH(J$4,Curves,0)))</f>
        <v/>
      </c>
      <c r="K497" s="201" t="str">
        <f aca="false">IF(A498="","",J497)</f>
        <v/>
      </c>
      <c r="L497" s="185" t="n">
        <v>0</v>
      </c>
      <c r="M497" s="201" t="str">
        <f aca="false">IF(A498="","",L497)</f>
        <v/>
      </c>
      <c r="O497" s="200" t="str">
        <f aca="false">IF(A498="","",L497+J497+G497)</f>
        <v/>
      </c>
      <c r="P497" s="200" t="str">
        <f aca="false">IF(A498="","",M497+K497+H497)</f>
        <v/>
      </c>
      <c r="R497" s="200" t="str">
        <f aca="false">IF($A498="","",VLOOKUP($A497,Table,MATCH(R$4,Curves,0)))</f>
        <v/>
      </c>
      <c r="S497" s="201" t="str">
        <f aca="false">IF(A498="","",R497)</f>
        <v/>
      </c>
      <c r="T497" s="200" t="str">
        <f aca="false">IF($A498="","",VLOOKUP($A497,Table,MATCH(T$4,Curves,0)))</f>
        <v/>
      </c>
      <c r="U497" s="201" t="str">
        <f aca="false">IF(A498="","",T497)</f>
        <v/>
      </c>
      <c r="V497" s="205" t="str">
        <f aca="false">IF($A498="","",IF(AND(MONTH(A497)&gt;3,MONTH(A497)&lt;11),(T497+R497+G497)*Summary!$T$10/(1-Summary!$T$10),(T497+R497+G497)*Summary!$U$10/(1-Summary!$U$10)))</f>
        <v/>
      </c>
      <c r="W497" s="200" t="str">
        <f aca="false">IF($A498="","",(T497+R497+G497+V497))</f>
        <v/>
      </c>
      <c r="X497" s="200" t="str">
        <f aca="false">IF($A498="","",(U497+S497+H497+V497))</f>
        <v/>
      </c>
      <c r="Y497" s="202"/>
      <c r="AJ497" s="77"/>
      <c r="AK497" s="77"/>
      <c r="AL497" s="77"/>
      <c r="AM497" s="77"/>
      <c r="AN497" s="77"/>
      <c r="AO497" s="137" t="str">
        <f aca="false">IF(A498="","",A498-A497)</f>
        <v/>
      </c>
      <c r="AP497" s="212" t="str">
        <f aca="false">IF(A498="","",CHOOSE(F$3,A498+24,A497))</f>
        <v/>
      </c>
      <c r="AQ497" s="209" t="str">
        <f aca="false">IF(A498="","",AP497-$E$1)</f>
        <v/>
      </c>
      <c r="AR497" s="185" t="n">
        <f aca="false">'ANR OK vs ML7'!AR497</f>
        <v>0.1</v>
      </c>
      <c r="AS497" s="213" t="str">
        <f aca="false">IF(A498="","",1/(1+CHOOSE(F$3,(AR498+($I$3/10000))/2,(AR497+($I$3/10000))/2))^(2*AQ497/365.25))</f>
        <v/>
      </c>
      <c r="AT497" s="137" t="str">
        <f aca="false">IF(A498="","",IF(AND(mthbeg&lt;=A497,mthend&gt;=A497),1,0))</f>
        <v/>
      </c>
      <c r="AU497" s="137" t="str">
        <f aca="false">IF(A498="","",AO497*AT497)</f>
        <v/>
      </c>
      <c r="AW497" s="195" t="str">
        <f aca="false">IF($A498="","",AL497*$E497)</f>
        <v/>
      </c>
      <c r="AX497" s="195" t="str">
        <f aca="false">IF($A498="","",AM497*$E497)</f>
        <v/>
      </c>
      <c r="AY497" s="195" t="str">
        <f aca="false">IF($A498="","",AN497*$E497)</f>
        <v/>
      </c>
      <c r="BA497" s="195" t="str">
        <f aca="false">IF($A498="","",F497*Summary!$Q$10)</f>
        <v/>
      </c>
    </row>
    <row r="498" customFormat="false" ht="12.75" hidden="false" customHeight="false" outlineLevel="0" collapsed="false">
      <c r="A498" s="196" t="str">
        <f aca="false">IF(A497&lt;mthend,EDATE(A497,1),"")</f>
        <v/>
      </c>
      <c r="B498" s="197" t="str">
        <f aca="false">IF(A498&lt;mthend,B497,"")</f>
        <v/>
      </c>
      <c r="D498" s="197" t="str">
        <f aca="false">IF(A499&lt;&gt;"",B498+C498,"")</f>
        <v/>
      </c>
      <c r="E498" s="199" t="str">
        <f aca="false">IF(A499="","",IF(AND(AT498=1,$H$3=1),D498*AO498,IF($H$3=2,D498,"N/A")))</f>
        <v/>
      </c>
      <c r="F498" s="199" t="str">
        <f aca="false">IF(A499="","",E498*AS498)</f>
        <v/>
      </c>
      <c r="G498" s="200" t="str">
        <f aca="false">IF($A499="","",VLOOKUP($A498,Table,MATCH(G$4,Curves,0)))</f>
        <v/>
      </c>
      <c r="H498" s="201" t="str">
        <f aca="false">IF(A499="","",G498)</f>
        <v/>
      </c>
      <c r="J498" s="200" t="str">
        <f aca="false">IF($A499="","",VLOOKUP($A498,Table,MATCH(J$4,Curves,0)))</f>
        <v/>
      </c>
      <c r="K498" s="201" t="str">
        <f aca="false">IF(A499="","",J498)</f>
        <v/>
      </c>
      <c r="L498" s="185" t="n">
        <v>0</v>
      </c>
      <c r="M498" s="201" t="str">
        <f aca="false">IF(A499="","",L498)</f>
        <v/>
      </c>
      <c r="O498" s="200" t="str">
        <f aca="false">IF(A499="","",L498+J498+G498)</f>
        <v/>
      </c>
      <c r="P498" s="200" t="str">
        <f aca="false">IF(A499="","",M498+K498+H498)</f>
        <v/>
      </c>
      <c r="R498" s="200" t="str">
        <f aca="false">IF($A499="","",VLOOKUP($A498,Table,MATCH(R$4,Curves,0)))</f>
        <v/>
      </c>
      <c r="S498" s="201" t="str">
        <f aca="false">IF(A499="","",R498)</f>
        <v/>
      </c>
      <c r="T498" s="200" t="str">
        <f aca="false">IF($A499="","",VLOOKUP($A498,Table,MATCH(T$4,Curves,0)))</f>
        <v/>
      </c>
      <c r="U498" s="201" t="str">
        <f aca="false">IF(A499="","",T498)</f>
        <v/>
      </c>
      <c r="V498" s="205" t="str">
        <f aca="false">IF($A499="","",IF(AND(MONTH(A498)&gt;3,MONTH(A498)&lt;11),(T498+R498+G498)*Summary!$T$10/(1-Summary!$T$10),(T498+R498+G498)*Summary!$U$10/(1-Summary!$U$10)))</f>
        <v/>
      </c>
      <c r="W498" s="200" t="str">
        <f aca="false">IF($A499="","",(T498+R498+G498+V498))</f>
        <v/>
      </c>
      <c r="X498" s="200" t="str">
        <f aca="false">IF($A499="","",(U498+S498+H498+V498))</f>
        <v/>
      </c>
      <c r="Y498" s="202"/>
      <c r="AJ498" s="77"/>
      <c r="AK498" s="77"/>
      <c r="AL498" s="77"/>
      <c r="AM498" s="77"/>
      <c r="AN498" s="77"/>
      <c r="AO498" s="137" t="str">
        <f aca="false">IF(A499="","",A499-A498)</f>
        <v/>
      </c>
      <c r="AP498" s="212" t="str">
        <f aca="false">IF(A499="","",CHOOSE(F$3,A499+24,A498))</f>
        <v/>
      </c>
      <c r="AQ498" s="209" t="str">
        <f aca="false">IF(A499="","",AP498-$E$1)</f>
        <v/>
      </c>
      <c r="AR498" s="185" t="n">
        <f aca="false">'ANR OK vs ML7'!AR498</f>
        <v>0.1</v>
      </c>
      <c r="AS498" s="213" t="str">
        <f aca="false">IF(A499="","",1/(1+CHOOSE(F$3,(AR499+($I$3/10000))/2,(AR498+($I$3/10000))/2))^(2*AQ498/365.25))</f>
        <v/>
      </c>
      <c r="AT498" s="137" t="str">
        <f aca="false">IF(A499="","",IF(AND(mthbeg&lt;=A498,mthend&gt;=A498),1,0))</f>
        <v/>
      </c>
      <c r="AU498" s="137" t="str">
        <f aca="false">IF(A499="","",AO498*AT498)</f>
        <v/>
      </c>
      <c r="AW498" s="195" t="str">
        <f aca="false">IF($A499="","",AL498*$E498)</f>
        <v/>
      </c>
      <c r="AX498" s="195" t="str">
        <f aca="false">IF($A499="","",AM498*$E498)</f>
        <v/>
      </c>
      <c r="AY498" s="195" t="str">
        <f aca="false">IF($A499="","",AN498*$E498)</f>
        <v/>
      </c>
      <c r="BA498" s="195" t="str">
        <f aca="false">IF($A499="","",F498*Summary!$Q$10)</f>
        <v/>
      </c>
    </row>
    <row r="499" customFormat="false" ht="12.75" hidden="false" customHeight="false" outlineLevel="0" collapsed="false">
      <c r="A499" s="196" t="str">
        <f aca="false">IF(A498&lt;mthend,EDATE(A498,1),"")</f>
        <v/>
      </c>
      <c r="B499" s="197" t="str">
        <f aca="false">IF(A499&lt;mthend,B498,"")</f>
        <v/>
      </c>
      <c r="D499" s="197" t="str">
        <f aca="false">IF(A500&lt;&gt;"",B499+C499,"")</f>
        <v/>
      </c>
      <c r="E499" s="199" t="str">
        <f aca="false">IF(A500="","",IF(AND(AT499=1,$H$3=1),D499*AO499,IF($H$3=2,D499,"N/A")))</f>
        <v/>
      </c>
      <c r="F499" s="199" t="str">
        <f aca="false">IF(A500="","",E499*AS499)</f>
        <v/>
      </c>
      <c r="G499" s="200" t="str">
        <f aca="false">IF($A500="","",VLOOKUP($A499,Table,MATCH(G$4,Curves,0)))</f>
        <v/>
      </c>
      <c r="H499" s="201" t="str">
        <f aca="false">IF(A500="","",G499)</f>
        <v/>
      </c>
      <c r="J499" s="200" t="str">
        <f aca="false">IF($A500="","",VLOOKUP($A499,Table,MATCH(J$4,Curves,0)))</f>
        <v/>
      </c>
      <c r="K499" s="201" t="str">
        <f aca="false">IF(A500="","",J499)</f>
        <v/>
      </c>
      <c r="L499" s="185" t="n">
        <v>0</v>
      </c>
      <c r="M499" s="201" t="str">
        <f aca="false">IF(A500="","",L499)</f>
        <v/>
      </c>
      <c r="O499" s="200" t="str">
        <f aca="false">IF(A500="","",L499+J499+G499)</f>
        <v/>
      </c>
      <c r="P499" s="200" t="str">
        <f aca="false">IF(A500="","",M499+K499+H499)</f>
        <v/>
      </c>
      <c r="R499" s="200" t="str">
        <f aca="false">IF($A500="","",VLOOKUP($A499,Table,MATCH(R$4,Curves,0)))</f>
        <v/>
      </c>
      <c r="S499" s="201" t="str">
        <f aca="false">IF(A500="","",R499)</f>
        <v/>
      </c>
      <c r="T499" s="200" t="str">
        <f aca="false">IF($A500="","",VLOOKUP($A499,Table,MATCH(T$4,Curves,0)))</f>
        <v/>
      </c>
      <c r="U499" s="201" t="str">
        <f aca="false">IF(A500="","",T499)</f>
        <v/>
      </c>
      <c r="V499" s="205" t="str">
        <f aca="false">IF($A500="","",IF(AND(MONTH(A499)&gt;3,MONTH(A499)&lt;11),(T499+R499+G499)*Summary!$T$10/(1-Summary!$T$10),(T499+R499+G499)*Summary!$U$10/(1-Summary!$U$10)))</f>
        <v/>
      </c>
      <c r="W499" s="200" t="str">
        <f aca="false">IF($A500="","",(T499+R499+G499+V499))</f>
        <v/>
      </c>
      <c r="X499" s="200" t="str">
        <f aca="false">IF($A500="","",(U499+S499+H499+V499))</f>
        <v/>
      </c>
      <c r="Y499" s="202"/>
      <c r="AJ499" s="77"/>
      <c r="AK499" s="77"/>
      <c r="AL499" s="77"/>
      <c r="AM499" s="77"/>
      <c r="AN499" s="77"/>
      <c r="AO499" s="137" t="str">
        <f aca="false">IF(A500="","",A500-A499)</f>
        <v/>
      </c>
      <c r="AP499" s="212" t="str">
        <f aca="false">IF(A500="","",CHOOSE(F$3,A500+24,A499))</f>
        <v/>
      </c>
      <c r="AQ499" s="209" t="str">
        <f aca="false">IF(A500="","",AP499-$E$1)</f>
        <v/>
      </c>
      <c r="AR499" s="185" t="n">
        <f aca="false">'ANR OK vs ML7'!AR499</f>
        <v>0.1</v>
      </c>
      <c r="AS499" s="213" t="str">
        <f aca="false">IF(A500="","",1/(1+CHOOSE(F$3,(AR500+($I$3/10000))/2,(AR499+($I$3/10000))/2))^(2*AQ499/365.25))</f>
        <v/>
      </c>
      <c r="AT499" s="137" t="str">
        <f aca="false">IF(A500="","",IF(AND(mthbeg&lt;=A499,mthend&gt;=A499),1,0))</f>
        <v/>
      </c>
      <c r="AU499" s="137" t="str">
        <f aca="false">IF(A500="","",AO499*AT499)</f>
        <v/>
      </c>
      <c r="AW499" s="195" t="str">
        <f aca="false">IF($A500="","",AL499*$E499)</f>
        <v/>
      </c>
      <c r="AX499" s="195" t="str">
        <f aca="false">IF($A500="","",AM499*$E499)</f>
        <v/>
      </c>
      <c r="AY499" s="195" t="str">
        <f aca="false">IF($A500="","",AN499*$E499)</f>
        <v/>
      </c>
      <c r="BA499" s="195" t="str">
        <f aca="false">IF($A500="","",F499*Summary!$Q$10)</f>
        <v/>
      </c>
    </row>
    <row r="500" customFormat="false" ht="12.75" hidden="false" customHeight="false" outlineLevel="0" collapsed="false">
      <c r="A500" s="196" t="str">
        <f aca="false">IF(A499&lt;mthend,EDATE(A499,1),"")</f>
        <v/>
      </c>
      <c r="B500" s="197" t="str">
        <f aca="false">IF(A500&lt;mthend,B499,"")</f>
        <v/>
      </c>
      <c r="D500" s="197"/>
      <c r="E500" s="199"/>
      <c r="F500" s="199"/>
      <c r="G500" s="200"/>
      <c r="H500" s="201"/>
      <c r="J500" s="200"/>
      <c r="K500" s="201"/>
      <c r="L500" s="200"/>
      <c r="M500" s="201"/>
      <c r="O500" s="204"/>
      <c r="P500" s="204"/>
      <c r="R500" s="200"/>
      <c r="S500" s="201"/>
      <c r="T500" s="200"/>
      <c r="U500" s="201"/>
      <c r="W500" s="202"/>
      <c r="X500" s="202"/>
      <c r="Y500" s="202"/>
      <c r="AJ500" s="77"/>
      <c r="AK500" s="77"/>
      <c r="AL500" s="77"/>
      <c r="AM500" s="77"/>
      <c r="AN500" s="77"/>
      <c r="AP500" s="212"/>
      <c r="AQ500" s="209"/>
      <c r="AR500" s="185"/>
      <c r="AS500" s="213"/>
      <c r="AW500" s="195" t="str">
        <f aca="false">IF($A501="","",AL500*$E500)</f>
        <v/>
      </c>
      <c r="AX500" s="195" t="str">
        <f aca="false">IF($A501="","",AM500*$E500)</f>
        <v/>
      </c>
      <c r="AY500" s="195" t="str">
        <f aca="false">IF($A501="","",AN500*$E500)</f>
        <v/>
      </c>
      <c r="BA500" s="195" t="str">
        <f aca="false">IF($A501="","",F500*Summary!$Q$10)</f>
        <v/>
      </c>
    </row>
    <row r="501" customFormat="false" ht="12.75" hidden="false" customHeight="false" outlineLevel="0" collapsed="false">
      <c r="A501" s="196" t="str">
        <f aca="false">IF(A500&lt;mthend,EDATE(A500,1),"")</f>
        <v/>
      </c>
      <c r="B501" s="197" t="str">
        <f aca="false">IF(A501&lt;mthend,B500,"")</f>
        <v/>
      </c>
      <c r="C501" s="21" t="n">
        <v>0</v>
      </c>
      <c r="D501" s="21" t="n">
        <v>0</v>
      </c>
      <c r="E501" s="21" t="n">
        <v>0</v>
      </c>
      <c r="F501" s="21" t="n">
        <v>0</v>
      </c>
      <c r="G501" s="21" t="n">
        <v>0</v>
      </c>
      <c r="H501" s="21" t="n">
        <v>0</v>
      </c>
      <c r="I501" s="21" t="n">
        <v>0</v>
      </c>
      <c r="J501" s="21" t="n">
        <v>0</v>
      </c>
      <c r="K501" s="21" t="n">
        <v>0</v>
      </c>
      <c r="L501" s="21" t="n">
        <v>0</v>
      </c>
      <c r="M501" s="21" t="n">
        <v>0</v>
      </c>
      <c r="N501" s="21" t="n">
        <v>0</v>
      </c>
      <c r="O501" s="21" t="n">
        <v>0</v>
      </c>
      <c r="P501" s="21" t="n">
        <v>0</v>
      </c>
      <c r="Q501" s="21" t="n">
        <v>0</v>
      </c>
      <c r="R501" s="21" t="n">
        <v>0</v>
      </c>
      <c r="S501" s="21" t="n">
        <v>0</v>
      </c>
      <c r="T501" s="21" t="n">
        <v>0</v>
      </c>
      <c r="U501" s="21" t="n">
        <v>0</v>
      </c>
      <c r="V501" s="21" t="n">
        <v>0</v>
      </c>
      <c r="W501" s="21" t="n">
        <v>0</v>
      </c>
      <c r="X501" s="21" t="n">
        <v>0</v>
      </c>
      <c r="Y501" s="21" t="n">
        <v>0</v>
      </c>
      <c r="Z501" s="21" t="n">
        <v>0</v>
      </c>
      <c r="AA501" s="21" t="n">
        <v>0</v>
      </c>
      <c r="AB501" s="21"/>
      <c r="AC501" s="21" t="n">
        <v>0</v>
      </c>
      <c r="AD501" s="21"/>
      <c r="AE501" s="21"/>
      <c r="AF501" s="21" t="n">
        <v>0</v>
      </c>
      <c r="AG501" s="21" t="n">
        <v>0</v>
      </c>
      <c r="AH501" s="21" t="n">
        <v>0</v>
      </c>
      <c r="AI501" s="21" t="n">
        <v>0</v>
      </c>
      <c r="AJ501" s="77"/>
      <c r="AK501" s="77"/>
      <c r="AL501" s="77"/>
      <c r="AM501" s="77"/>
      <c r="AN501" s="77"/>
      <c r="AO501" s="21" t="n">
        <v>0</v>
      </c>
      <c r="AP501" s="21" t="n">
        <v>0</v>
      </c>
      <c r="AQ501" s="21" t="n">
        <v>0</v>
      </c>
      <c r="AR501" s="21" t="n">
        <v>0</v>
      </c>
      <c r="AS501" s="21" t="n">
        <v>0</v>
      </c>
      <c r="AT501" s="21" t="n">
        <v>0</v>
      </c>
      <c r="AU501" s="21" t="n">
        <v>0</v>
      </c>
      <c r="AV501" s="21" t="n">
        <v>0</v>
      </c>
      <c r="AW501" s="195" t="str">
        <f aca="false">IF($A502="","",AL501*$E501)</f>
        <v/>
      </c>
      <c r="AX501" s="195" t="str">
        <f aca="false">IF($A502="","",AM501*$E501)</f>
        <v/>
      </c>
      <c r="AY501" s="195" t="str">
        <f aca="false">IF($A502="","",AN501*$E501)</f>
        <v/>
      </c>
      <c r="AZ501" s="21" t="n">
        <v>0</v>
      </c>
      <c r="BA501" s="195" t="str">
        <f aca="false">IF($A502="","",F501*Summary!$Q$10)</f>
        <v/>
      </c>
      <c r="BB501" s="21" t="n">
        <v>0</v>
      </c>
      <c r="BC501" s="21" t="n">
        <v>0</v>
      </c>
      <c r="BD501" s="21" t="n">
        <v>0</v>
      </c>
      <c r="BE501" s="21" t="n">
        <v>0</v>
      </c>
      <c r="BF501" s="21" t="n">
        <v>0</v>
      </c>
      <c r="BG501" s="21" t="n">
        <v>0</v>
      </c>
      <c r="BH501" s="21" t="n">
        <v>0</v>
      </c>
      <c r="BI501" s="21" t="n">
        <v>0</v>
      </c>
      <c r="BJ501" s="21" t="n">
        <v>0</v>
      </c>
      <c r="BK501" s="21" t="n">
        <v>0</v>
      </c>
      <c r="BL501" s="21" t="n">
        <v>0</v>
      </c>
      <c r="BM501" s="21" t="n">
        <v>0</v>
      </c>
      <c r="BN501" s="21" t="n">
        <v>0</v>
      </c>
      <c r="BO501" s="21" t="n">
        <v>0</v>
      </c>
      <c r="BP501" s="21" t="n">
        <v>0</v>
      </c>
      <c r="BQ501" s="21" t="n">
        <v>0</v>
      </c>
      <c r="BR501" s="21" t="n">
        <v>0</v>
      </c>
      <c r="BS501" s="21" t="n">
        <v>0</v>
      </c>
      <c r="BT501" s="21" t="n">
        <v>0</v>
      </c>
      <c r="BU501" s="21" t="n">
        <v>0</v>
      </c>
      <c r="BV501" s="21" t="n">
        <v>0</v>
      </c>
      <c r="BW501" s="21" t="n">
        <v>0</v>
      </c>
      <c r="BX501" s="21" t="n">
        <v>0</v>
      </c>
      <c r="BY501" s="21" t="n">
        <v>0</v>
      </c>
      <c r="BZ501" s="21" t="n">
        <v>0</v>
      </c>
      <c r="CA501" s="21" t="n">
        <v>0</v>
      </c>
      <c r="CB501" s="21" t="n">
        <v>0</v>
      </c>
      <c r="CC501" s="21" t="n">
        <v>0</v>
      </c>
      <c r="CD501" s="21" t="n">
        <v>0</v>
      </c>
      <c r="CE501" s="21" t="n">
        <v>0</v>
      </c>
      <c r="CF501" s="21" t="n">
        <v>0</v>
      </c>
      <c r="CG501" s="21" t="n">
        <v>0</v>
      </c>
      <c r="CH501" s="21" t="n">
        <v>0</v>
      </c>
      <c r="CI501" s="21" t="n">
        <v>0</v>
      </c>
      <c r="CJ501" s="21" t="n">
        <v>0</v>
      </c>
      <c r="CK501" s="21" t="n">
        <v>0</v>
      </c>
      <c r="CL501" s="21" t="n">
        <v>0</v>
      </c>
      <c r="CM501" s="21" t="n">
        <v>0</v>
      </c>
      <c r="CN501" s="21" t="n">
        <v>0</v>
      </c>
      <c r="CO501" s="21" t="n">
        <v>0</v>
      </c>
      <c r="CP501" s="21" t="n">
        <v>0</v>
      </c>
      <c r="CQ501" s="21" t="n">
        <v>0</v>
      </c>
      <c r="CR501" s="21" t="n">
        <v>0</v>
      </c>
      <c r="CS501" s="21" t="n">
        <v>0</v>
      </c>
      <c r="CT501" s="21" t="n">
        <v>0</v>
      </c>
      <c r="CU501" s="21" t="n">
        <v>0</v>
      </c>
      <c r="CV501" s="21" t="n">
        <v>0</v>
      </c>
      <c r="CW501" s="21" t="n">
        <v>0</v>
      </c>
      <c r="CX501" s="21" t="n">
        <v>0</v>
      </c>
      <c r="CY501" s="21" t="n">
        <v>0</v>
      </c>
      <c r="CZ501" s="21" t="n">
        <v>0</v>
      </c>
      <c r="DA501" s="21" t="n">
        <v>0</v>
      </c>
      <c r="DB501" s="21" t="n">
        <v>0</v>
      </c>
      <c r="DC501" s="21" t="n">
        <v>0</v>
      </c>
      <c r="DD501" s="21" t="n">
        <v>0</v>
      </c>
      <c r="DE501" s="21" t="n">
        <v>0</v>
      </c>
      <c r="DF501" s="21" t="n">
        <v>0</v>
      </c>
      <c r="DG501" s="21" t="n">
        <v>0</v>
      </c>
      <c r="DH501" s="21" t="n">
        <v>0</v>
      </c>
      <c r="DI501" s="21" t="n">
        <v>0</v>
      </c>
      <c r="DJ501" s="21" t="n">
        <v>0</v>
      </c>
      <c r="DK501" s="21" t="n">
        <v>0</v>
      </c>
      <c r="DL501" s="21" t="n">
        <v>0</v>
      </c>
      <c r="DM501" s="21" t="n">
        <v>0</v>
      </c>
      <c r="DN501" s="21" t="n">
        <v>0</v>
      </c>
      <c r="DO501" s="21" t="n">
        <v>0</v>
      </c>
      <c r="DP501" s="21" t="n">
        <v>0</v>
      </c>
      <c r="DQ501" s="21" t="n">
        <v>0</v>
      </c>
      <c r="DR501" s="21" t="n">
        <v>0</v>
      </c>
      <c r="DS501" s="21" t="n">
        <v>0</v>
      </c>
      <c r="DT501" s="21" t="n">
        <v>0</v>
      </c>
      <c r="DU501" s="21" t="n">
        <v>0</v>
      </c>
      <c r="DV501" s="21" t="n">
        <v>0</v>
      </c>
      <c r="DW501" s="21" t="n">
        <v>0</v>
      </c>
      <c r="DX501" s="21" t="n">
        <v>0</v>
      </c>
      <c r="DY501" s="21" t="n">
        <v>0</v>
      </c>
      <c r="DZ501" s="21" t="n">
        <v>0</v>
      </c>
      <c r="EA501" s="21" t="n">
        <v>0</v>
      </c>
      <c r="EB501" s="21" t="n">
        <v>0</v>
      </c>
      <c r="EC501" s="21" t="n">
        <v>0</v>
      </c>
      <c r="ED501" s="21" t="n">
        <v>0</v>
      </c>
      <c r="EE501" s="21" t="n">
        <v>0</v>
      </c>
      <c r="EF501" s="21" t="n">
        <v>0</v>
      </c>
      <c r="EG501" s="21" t="n">
        <v>0</v>
      </c>
      <c r="EH501" s="21" t="n">
        <v>0</v>
      </c>
      <c r="EI501" s="21" t="n">
        <v>0</v>
      </c>
      <c r="EJ501" s="21" t="n">
        <v>0</v>
      </c>
      <c r="EK501" s="21" t="n">
        <v>0</v>
      </c>
      <c r="EL501" s="21" t="n">
        <v>0</v>
      </c>
      <c r="EM501" s="21" t="n">
        <v>0</v>
      </c>
      <c r="EN501" s="21" t="n">
        <v>0</v>
      </c>
      <c r="EO501" s="21" t="n">
        <v>0</v>
      </c>
      <c r="EP501" s="21" t="n">
        <v>0</v>
      </c>
      <c r="EQ501" s="21" t="n">
        <v>0</v>
      </c>
      <c r="ER501" s="21" t="n">
        <v>0</v>
      </c>
      <c r="ES501" s="21" t="n">
        <v>0</v>
      </c>
      <c r="ET501" s="21" t="n">
        <v>0</v>
      </c>
      <c r="EU501" s="21" t="n">
        <v>0</v>
      </c>
      <c r="EV501" s="21" t="n">
        <v>0</v>
      </c>
      <c r="EW501" s="21" t="n">
        <v>0</v>
      </c>
      <c r="EX501" s="21" t="n">
        <v>0</v>
      </c>
      <c r="EY501" s="21" t="n">
        <v>0</v>
      </c>
      <c r="EZ501" s="21" t="n">
        <v>0</v>
      </c>
      <c r="FA501" s="21" t="n">
        <v>0</v>
      </c>
      <c r="FB501" s="21" t="n">
        <v>0</v>
      </c>
      <c r="FC501" s="21" t="n">
        <v>0</v>
      </c>
      <c r="FD501" s="21" t="n">
        <v>0</v>
      </c>
      <c r="FE501" s="21" t="n">
        <v>0</v>
      </c>
      <c r="FF501" s="21" t="n">
        <v>0</v>
      </c>
      <c r="FG501" s="21" t="n">
        <v>0</v>
      </c>
      <c r="FH501" s="21" t="n">
        <v>0</v>
      </c>
      <c r="FI501" s="21" t="n">
        <v>0</v>
      </c>
      <c r="FJ501" s="21" t="n">
        <v>0</v>
      </c>
      <c r="FK501" s="21" t="n">
        <v>0</v>
      </c>
      <c r="FL501" s="21" t="n">
        <v>0</v>
      </c>
      <c r="FM501" s="21" t="n">
        <v>0</v>
      </c>
      <c r="FN501" s="21" t="n">
        <v>0</v>
      </c>
      <c r="FO501" s="21" t="n">
        <v>0</v>
      </c>
      <c r="FP501" s="21" t="n">
        <v>0</v>
      </c>
      <c r="FQ501" s="21" t="n">
        <v>0</v>
      </c>
      <c r="FR501" s="21" t="n">
        <v>0</v>
      </c>
      <c r="FS501" s="21" t="n">
        <v>0</v>
      </c>
      <c r="FT501" s="21" t="n">
        <v>0</v>
      </c>
      <c r="FU501" s="21" t="n">
        <v>0</v>
      </c>
      <c r="FV501" s="21" t="n">
        <v>0</v>
      </c>
      <c r="FW501" s="21" t="n">
        <v>0</v>
      </c>
      <c r="FX501" s="21" t="n">
        <v>0</v>
      </c>
      <c r="FY501" s="21" t="n">
        <v>0</v>
      </c>
      <c r="FZ501" s="21" t="n">
        <v>0</v>
      </c>
      <c r="GA501" s="21" t="n">
        <v>0</v>
      </c>
      <c r="GB501" s="21" t="n">
        <v>0</v>
      </c>
      <c r="GC501" s="21" t="n">
        <v>0</v>
      </c>
      <c r="GD501" s="21" t="n">
        <v>0</v>
      </c>
      <c r="GE501" s="21" t="n">
        <v>0</v>
      </c>
      <c r="GF501" s="21" t="n">
        <v>0</v>
      </c>
      <c r="GG501" s="21" t="n">
        <v>0</v>
      </c>
      <c r="GH501" s="21" t="n">
        <v>0</v>
      </c>
      <c r="GI501" s="21" t="n">
        <v>0</v>
      </c>
      <c r="GJ501" s="21" t="n">
        <v>0</v>
      </c>
      <c r="GK501" s="21" t="n">
        <v>0</v>
      </c>
      <c r="GL501" s="21" t="n">
        <v>0</v>
      </c>
      <c r="GM501" s="21" t="n">
        <v>0</v>
      </c>
      <c r="GN501" s="21" t="n">
        <v>0</v>
      </c>
      <c r="GO501" s="21" t="n">
        <v>0</v>
      </c>
      <c r="GP501" s="21" t="n">
        <v>0</v>
      </c>
      <c r="GQ501" s="21" t="n">
        <v>0</v>
      </c>
      <c r="GR501" s="21" t="n">
        <v>0</v>
      </c>
      <c r="GS501" s="21" t="n">
        <v>0</v>
      </c>
      <c r="GT501" s="21" t="n">
        <v>0</v>
      </c>
      <c r="GU501" s="21" t="n">
        <v>0</v>
      </c>
      <c r="GV501" s="21" t="n">
        <v>0</v>
      </c>
      <c r="GW501" s="21" t="n">
        <v>0</v>
      </c>
      <c r="GX501" s="21" t="n">
        <v>0</v>
      </c>
      <c r="GY501" s="21" t="n">
        <v>0</v>
      </c>
      <c r="GZ501" s="21" t="n">
        <v>0</v>
      </c>
      <c r="HA501" s="21" t="n">
        <v>0</v>
      </c>
      <c r="HB501" s="21" t="n">
        <v>0</v>
      </c>
      <c r="HC501" s="21" t="n">
        <v>0</v>
      </c>
      <c r="HD501" s="21" t="n">
        <v>0</v>
      </c>
      <c r="HE501" s="21" t="n">
        <v>0</v>
      </c>
      <c r="HF501" s="21" t="n">
        <v>0</v>
      </c>
      <c r="HG501" s="21" t="n">
        <v>0</v>
      </c>
      <c r="HH501" s="21" t="n">
        <v>0</v>
      </c>
      <c r="HI501" s="21" t="n">
        <v>0</v>
      </c>
      <c r="HJ501" s="21" t="n">
        <v>0</v>
      </c>
      <c r="HK501" s="21" t="n">
        <v>0</v>
      </c>
      <c r="HL501" s="21" t="n">
        <v>0</v>
      </c>
      <c r="HM501" s="21" t="n">
        <v>0</v>
      </c>
      <c r="HN501" s="21" t="n">
        <v>0</v>
      </c>
      <c r="HO501" s="21" t="n">
        <v>0</v>
      </c>
      <c r="HP501" s="21" t="n">
        <v>0</v>
      </c>
      <c r="HQ501" s="21" t="n">
        <v>0</v>
      </c>
      <c r="HR501" s="21" t="n">
        <v>0</v>
      </c>
      <c r="HS501" s="21" t="n">
        <v>0</v>
      </c>
      <c r="HT501" s="21" t="n">
        <v>0</v>
      </c>
      <c r="HU501" s="21" t="n">
        <v>0</v>
      </c>
      <c r="HV501" s="21" t="n">
        <v>0</v>
      </c>
      <c r="HW501" s="21" t="n">
        <v>0</v>
      </c>
      <c r="HX501" s="21" t="n">
        <v>0</v>
      </c>
      <c r="HY501" s="21" t="n">
        <v>0</v>
      </c>
      <c r="HZ501" s="21" t="n">
        <v>0</v>
      </c>
      <c r="IA501" s="21" t="n">
        <v>0</v>
      </c>
      <c r="IB501" s="21" t="n">
        <v>0</v>
      </c>
      <c r="IC501" s="21" t="n">
        <v>0</v>
      </c>
      <c r="ID501" s="21" t="n">
        <v>0</v>
      </c>
      <c r="IE501" s="21" t="n">
        <v>0</v>
      </c>
      <c r="IF501" s="21" t="n">
        <v>0</v>
      </c>
      <c r="IG501" s="21" t="n">
        <v>0</v>
      </c>
      <c r="IH501" s="21" t="n">
        <v>0</v>
      </c>
    </row>
    <row r="502" customFormat="false" ht="12.75" hidden="false" customHeight="false" outlineLevel="0" collapsed="false">
      <c r="AJ502" s="77"/>
      <c r="AK502" s="77"/>
      <c r="AL502" s="77"/>
      <c r="AM502" s="77"/>
      <c r="AN502" s="77"/>
    </row>
    <row r="503" customFormat="false" ht="12.75" hidden="false" customHeight="false" outlineLevel="0" collapsed="false">
      <c r="AJ503" s="77"/>
      <c r="AK503" s="77"/>
      <c r="AL503" s="77"/>
      <c r="AM503" s="77"/>
      <c r="AN503" s="77"/>
    </row>
    <row r="504" customFormat="false" ht="12.75" hidden="false" customHeight="false" outlineLevel="0" collapsed="false">
      <c r="AJ504" s="77"/>
      <c r="AK504" s="77"/>
      <c r="AL504" s="77"/>
      <c r="AM504" s="77"/>
      <c r="AN504" s="77"/>
    </row>
    <row r="505" customFormat="false" ht="12.75" hidden="false" customHeight="false" outlineLevel="0" collapsed="false">
      <c r="AJ505" s="77"/>
      <c r="AK505" s="77"/>
      <c r="AL505" s="77"/>
      <c r="AM505" s="77"/>
      <c r="AN505" s="77"/>
    </row>
    <row r="506" customFormat="false" ht="12.75" hidden="false" customHeight="false" outlineLevel="0" collapsed="false">
      <c r="AJ506" s="77"/>
      <c r="AK506" s="77"/>
      <c r="AL506" s="77"/>
      <c r="AM506" s="77"/>
      <c r="AN506" s="77"/>
    </row>
    <row r="507" customFormat="false" ht="12.75" hidden="false" customHeight="false" outlineLevel="0" collapsed="false">
      <c r="AJ507" s="77"/>
      <c r="AK507" s="77"/>
      <c r="AL507" s="77"/>
      <c r="AM507" s="77"/>
      <c r="AN507" s="77"/>
    </row>
    <row r="508" customFormat="false" ht="12.75" hidden="false" customHeight="false" outlineLevel="0" collapsed="false">
      <c r="AJ508" s="77"/>
      <c r="AK508" s="77"/>
      <c r="AL508" s="77"/>
      <c r="AM508" s="77"/>
      <c r="AN508" s="77"/>
    </row>
    <row r="509" customFormat="false" ht="12.75" hidden="false" customHeight="false" outlineLevel="0" collapsed="false">
      <c r="AJ509" s="77"/>
      <c r="AK509" s="77"/>
      <c r="AL509" s="77"/>
      <c r="AM509" s="77"/>
      <c r="AN509" s="77"/>
    </row>
    <row r="510" customFormat="false" ht="12.75" hidden="false" customHeight="false" outlineLevel="0" collapsed="false">
      <c r="AJ510" s="77"/>
      <c r="AK510" s="77"/>
      <c r="AL510" s="77"/>
      <c r="AM510" s="77"/>
      <c r="AN510" s="77"/>
    </row>
    <row r="511" customFormat="false" ht="12.75" hidden="false" customHeight="false" outlineLevel="0" collapsed="false">
      <c r="AJ511" s="77"/>
      <c r="AK511" s="77"/>
      <c r="AL511" s="77"/>
      <c r="AM511" s="77"/>
      <c r="AN511" s="77"/>
    </row>
    <row r="512" customFormat="false" ht="12.75" hidden="false" customHeight="false" outlineLevel="0" collapsed="false">
      <c r="AJ512" s="77"/>
      <c r="AK512" s="77"/>
      <c r="AL512" s="77"/>
      <c r="AM512" s="77"/>
      <c r="AN512" s="77"/>
    </row>
    <row r="513" customFormat="false" ht="12.75" hidden="false" customHeight="false" outlineLevel="0" collapsed="false">
      <c r="AJ513" s="77"/>
      <c r="AK513" s="77"/>
      <c r="AL513" s="77"/>
      <c r="AM513" s="77"/>
      <c r="AN513" s="77"/>
    </row>
    <row r="514" customFormat="false" ht="12.75" hidden="false" customHeight="false" outlineLevel="0" collapsed="false">
      <c r="AJ514" s="77"/>
      <c r="AK514" s="77"/>
      <c r="AL514" s="77"/>
      <c r="AM514" s="77"/>
      <c r="AN514" s="77"/>
    </row>
    <row r="515" customFormat="false" ht="12.75" hidden="false" customHeight="false" outlineLevel="0" collapsed="false">
      <c r="AJ515" s="77"/>
      <c r="AK515" s="77"/>
      <c r="AL515" s="77"/>
      <c r="AM515" s="77"/>
      <c r="AN515" s="77"/>
    </row>
    <row r="516" customFormat="false" ht="12.75" hidden="false" customHeight="false" outlineLevel="0" collapsed="false">
      <c r="AJ516" s="77"/>
      <c r="AK516" s="77"/>
      <c r="AL516" s="77"/>
      <c r="AM516" s="77"/>
      <c r="AN516" s="77"/>
    </row>
    <row r="517" customFormat="false" ht="12.75" hidden="false" customHeight="false" outlineLevel="0" collapsed="false">
      <c r="AJ517" s="77"/>
      <c r="AK517" s="77"/>
      <c r="AL517" s="77"/>
      <c r="AM517" s="77"/>
      <c r="AN517" s="77"/>
    </row>
    <row r="518" customFormat="false" ht="12.75" hidden="false" customHeight="false" outlineLevel="0" collapsed="false">
      <c r="AJ518" s="77"/>
      <c r="AK518" s="77"/>
      <c r="AL518" s="77"/>
      <c r="AM518" s="77"/>
      <c r="AN518" s="77"/>
    </row>
    <row r="519" customFormat="false" ht="12.75" hidden="false" customHeight="false" outlineLevel="0" collapsed="false">
      <c r="AJ519" s="77"/>
      <c r="AK519" s="77"/>
      <c r="AL519" s="77"/>
      <c r="AM519" s="77"/>
      <c r="AN519" s="77"/>
    </row>
    <row r="520" customFormat="false" ht="12.75" hidden="false" customHeight="false" outlineLevel="0" collapsed="false">
      <c r="AJ520" s="77"/>
      <c r="AK520" s="77"/>
      <c r="AL520" s="77"/>
      <c r="AM520" s="77"/>
      <c r="AN520" s="77"/>
    </row>
    <row r="521" customFormat="false" ht="12.75" hidden="false" customHeight="false" outlineLevel="0" collapsed="false">
      <c r="AJ521" s="77"/>
      <c r="AK521" s="77"/>
      <c r="AL521" s="77"/>
      <c r="AM521" s="77"/>
      <c r="AN521" s="77"/>
    </row>
    <row r="522" customFormat="false" ht="12.75" hidden="false" customHeight="false" outlineLevel="0" collapsed="false">
      <c r="AJ522" s="77"/>
      <c r="AK522" s="77"/>
      <c r="AL522" s="77"/>
      <c r="AM522" s="77"/>
      <c r="AN522" s="77"/>
    </row>
    <row r="523" customFormat="false" ht="12.75" hidden="false" customHeight="false" outlineLevel="0" collapsed="false">
      <c r="AJ523" s="77"/>
      <c r="AK523" s="77"/>
      <c r="AL523" s="77"/>
      <c r="AM523" s="77"/>
      <c r="AN523" s="77"/>
    </row>
    <row r="524" customFormat="false" ht="12.75" hidden="false" customHeight="false" outlineLevel="0" collapsed="false">
      <c r="AJ524" s="77"/>
      <c r="AK524" s="77"/>
      <c r="AL524" s="77"/>
      <c r="AM524" s="77"/>
      <c r="AN524" s="77"/>
    </row>
    <row r="525" customFormat="false" ht="12.75" hidden="false" customHeight="false" outlineLevel="0" collapsed="false">
      <c r="AJ525" s="77"/>
      <c r="AK525" s="77"/>
      <c r="AL525" s="77"/>
      <c r="AM525" s="77"/>
      <c r="AN525" s="77"/>
    </row>
    <row r="526" customFormat="false" ht="12.75" hidden="false" customHeight="false" outlineLevel="0" collapsed="false">
      <c r="AJ526" s="77"/>
      <c r="AK526" s="77"/>
      <c r="AL526" s="77"/>
      <c r="AM526" s="77"/>
      <c r="AN526" s="77"/>
    </row>
    <row r="527" customFormat="false" ht="12.75" hidden="false" customHeight="false" outlineLevel="0" collapsed="false">
      <c r="AJ527" s="77"/>
      <c r="AK527" s="77"/>
      <c r="AL527" s="77"/>
      <c r="AM527" s="77"/>
      <c r="AN527" s="77"/>
    </row>
    <row r="528" customFormat="false" ht="12.75" hidden="false" customHeight="false" outlineLevel="0" collapsed="false">
      <c r="AJ528" s="77"/>
      <c r="AK528" s="77"/>
      <c r="AL528" s="77"/>
      <c r="AM528" s="77"/>
      <c r="AN528" s="77"/>
    </row>
    <row r="529" customFormat="false" ht="12.75" hidden="false" customHeight="false" outlineLevel="0" collapsed="false">
      <c r="AJ529" s="77"/>
      <c r="AK529" s="77"/>
      <c r="AL529" s="77"/>
      <c r="AM529" s="77"/>
      <c r="AN529" s="77"/>
    </row>
    <row r="530" customFormat="false" ht="12.75" hidden="false" customHeight="false" outlineLevel="0" collapsed="false">
      <c r="AJ530" s="77"/>
      <c r="AK530" s="77"/>
      <c r="AL530" s="77"/>
      <c r="AM530" s="77"/>
      <c r="AN530" s="77"/>
    </row>
    <row r="531" customFormat="false" ht="12.75" hidden="false" customHeight="false" outlineLevel="0" collapsed="false">
      <c r="AJ531" s="77"/>
      <c r="AK531" s="77"/>
      <c r="AL531" s="77"/>
      <c r="AM531" s="77"/>
      <c r="AN531" s="77"/>
    </row>
    <row r="532" customFormat="false" ht="12.75" hidden="false" customHeight="false" outlineLevel="0" collapsed="false">
      <c r="AJ532" s="77"/>
      <c r="AK532" s="77"/>
      <c r="AL532" s="77"/>
      <c r="AM532" s="77"/>
      <c r="AN532" s="77"/>
    </row>
    <row r="533" customFormat="false" ht="12.75" hidden="false" customHeight="false" outlineLevel="0" collapsed="false">
      <c r="AJ533" s="77"/>
      <c r="AK533" s="77"/>
      <c r="AL533" s="77"/>
      <c r="AM533" s="77"/>
      <c r="AN533" s="77"/>
    </row>
    <row r="534" customFormat="false" ht="12.75" hidden="false" customHeight="false" outlineLevel="0" collapsed="false">
      <c r="AJ534" s="77"/>
      <c r="AK534" s="77"/>
      <c r="AL534" s="77"/>
      <c r="AM534" s="77"/>
      <c r="AN534" s="77"/>
    </row>
    <row r="535" customFormat="false" ht="12.75" hidden="false" customHeight="false" outlineLevel="0" collapsed="false">
      <c r="AJ535" s="77"/>
      <c r="AK535" s="77"/>
      <c r="AL535" s="77"/>
      <c r="AM535" s="77"/>
      <c r="AN535" s="77"/>
    </row>
    <row r="536" customFormat="false" ht="12.75" hidden="false" customHeight="false" outlineLevel="0" collapsed="false">
      <c r="AJ536" s="77"/>
      <c r="AK536" s="77"/>
      <c r="AL536" s="77"/>
      <c r="AM536" s="77"/>
      <c r="AN536" s="77"/>
    </row>
    <row r="537" customFormat="false" ht="12.75" hidden="false" customHeight="false" outlineLevel="0" collapsed="false">
      <c r="AJ537" s="77"/>
      <c r="AK537" s="77"/>
      <c r="AL537" s="77"/>
      <c r="AM537" s="77"/>
      <c r="AN537" s="77"/>
    </row>
    <row r="538" customFormat="false" ht="12.75" hidden="false" customHeight="false" outlineLevel="0" collapsed="false">
      <c r="AJ538" s="77"/>
      <c r="AK538" s="77"/>
      <c r="AL538" s="77"/>
      <c r="AM538" s="77"/>
      <c r="AN538" s="77"/>
    </row>
    <row r="539" customFormat="false" ht="12.75" hidden="false" customHeight="false" outlineLevel="0" collapsed="false">
      <c r="AJ539" s="77"/>
      <c r="AK539" s="77"/>
      <c r="AL539" s="77"/>
      <c r="AM539" s="77"/>
      <c r="AN539" s="77"/>
    </row>
    <row r="540" customFormat="false" ht="12.75" hidden="false" customHeight="false" outlineLevel="0" collapsed="false">
      <c r="AJ540" s="77"/>
      <c r="AK540" s="77"/>
      <c r="AL540" s="77"/>
      <c r="AM540" s="77"/>
      <c r="AN540" s="77"/>
    </row>
    <row r="541" customFormat="false" ht="12.75" hidden="false" customHeight="false" outlineLevel="0" collapsed="false">
      <c r="AJ541" s="77"/>
      <c r="AK541" s="77"/>
      <c r="AL541" s="77"/>
      <c r="AM541" s="77"/>
      <c r="AN541" s="77"/>
    </row>
    <row r="542" customFormat="false" ht="12.75" hidden="false" customHeight="false" outlineLevel="0" collapsed="false">
      <c r="AJ542" s="77"/>
      <c r="AK542" s="77"/>
      <c r="AL542" s="77"/>
      <c r="AM542" s="77"/>
      <c r="AN542" s="77"/>
    </row>
    <row r="543" customFormat="false" ht="12.75" hidden="false" customHeight="false" outlineLevel="0" collapsed="false">
      <c r="AJ543" s="77"/>
      <c r="AK543" s="77"/>
      <c r="AL543" s="77"/>
      <c r="AM543" s="77"/>
      <c r="AN543" s="77"/>
    </row>
    <row r="544" customFormat="false" ht="12.75" hidden="false" customHeight="false" outlineLevel="0" collapsed="false">
      <c r="AJ544" s="77"/>
      <c r="AK544" s="77"/>
      <c r="AL544" s="77"/>
      <c r="AM544" s="77"/>
      <c r="AN544" s="77"/>
    </row>
    <row r="545" customFormat="false" ht="12.75" hidden="false" customHeight="false" outlineLevel="0" collapsed="false">
      <c r="AJ545" s="77"/>
      <c r="AK545" s="77"/>
      <c r="AL545" s="77"/>
      <c r="AM545" s="77"/>
      <c r="AN545" s="77"/>
    </row>
    <row r="546" customFormat="false" ht="12.75" hidden="false" customHeight="false" outlineLevel="0" collapsed="false">
      <c r="AJ546" s="77"/>
      <c r="AK546" s="77"/>
      <c r="AL546" s="77"/>
      <c r="AM546" s="77"/>
      <c r="AN546" s="77"/>
    </row>
    <row r="547" customFormat="false" ht="12.75" hidden="false" customHeight="false" outlineLevel="0" collapsed="false">
      <c r="AJ547" s="77"/>
      <c r="AK547" s="77"/>
      <c r="AL547" s="77"/>
      <c r="AM547" s="77"/>
      <c r="AN547" s="77"/>
    </row>
    <row r="548" customFormat="false" ht="12.75" hidden="false" customHeight="false" outlineLevel="0" collapsed="false">
      <c r="AJ548" s="77"/>
      <c r="AK548" s="77"/>
      <c r="AL548" s="77"/>
      <c r="AM548" s="77"/>
      <c r="AN548" s="77"/>
    </row>
    <row r="549" customFormat="false" ht="12.75" hidden="false" customHeight="false" outlineLevel="0" collapsed="false">
      <c r="AJ549" s="77"/>
      <c r="AK549" s="77"/>
      <c r="AL549" s="77"/>
      <c r="AM549" s="77"/>
      <c r="AN549" s="77"/>
    </row>
    <row r="550" customFormat="false" ht="12.75" hidden="false" customHeight="false" outlineLevel="0" collapsed="false">
      <c r="AJ550" s="77"/>
      <c r="AK550" s="77"/>
      <c r="AL550" s="77"/>
      <c r="AM550" s="77"/>
      <c r="AN550" s="77"/>
    </row>
    <row r="551" customFormat="false" ht="12.75" hidden="false" customHeight="false" outlineLevel="0" collapsed="false">
      <c r="AJ551" s="77"/>
      <c r="AK551" s="77"/>
      <c r="AL551" s="77"/>
      <c r="AM551" s="77"/>
      <c r="AN551" s="77"/>
    </row>
    <row r="552" customFormat="false" ht="12.75" hidden="false" customHeight="false" outlineLevel="0" collapsed="false">
      <c r="AJ552" s="77"/>
      <c r="AK552" s="77"/>
      <c r="AL552" s="77"/>
      <c r="AM552" s="77"/>
      <c r="AN552" s="77"/>
    </row>
    <row r="553" customFormat="false" ht="12.75" hidden="false" customHeight="false" outlineLevel="0" collapsed="false">
      <c r="AJ553" s="77"/>
      <c r="AK553" s="77"/>
      <c r="AL553" s="77"/>
      <c r="AM553" s="77"/>
      <c r="AN553" s="77"/>
    </row>
    <row r="554" customFormat="false" ht="12.75" hidden="false" customHeight="false" outlineLevel="0" collapsed="false">
      <c r="AJ554" s="77"/>
      <c r="AK554" s="77"/>
      <c r="AL554" s="77"/>
      <c r="AM554" s="77"/>
      <c r="AN554" s="77"/>
    </row>
    <row r="555" customFormat="false" ht="12.75" hidden="false" customHeight="false" outlineLevel="0" collapsed="false">
      <c r="AJ555" s="77"/>
      <c r="AK555" s="77"/>
      <c r="AL555" s="77"/>
      <c r="AM555" s="77"/>
      <c r="AN555" s="77"/>
    </row>
    <row r="556" customFormat="false" ht="12.75" hidden="false" customHeight="false" outlineLevel="0" collapsed="false">
      <c r="AJ556" s="77"/>
      <c r="AK556" s="77"/>
      <c r="AL556" s="77"/>
      <c r="AM556" s="77"/>
      <c r="AN556" s="77"/>
    </row>
    <row r="557" customFormat="false" ht="12.75" hidden="false" customHeight="false" outlineLevel="0" collapsed="false">
      <c r="AJ557" s="77"/>
      <c r="AK557" s="77"/>
      <c r="AL557" s="77"/>
      <c r="AM557" s="77"/>
      <c r="AN557" s="77"/>
    </row>
    <row r="558" customFormat="false" ht="12.75" hidden="false" customHeight="false" outlineLevel="0" collapsed="false">
      <c r="AJ558" s="77"/>
      <c r="AK558" s="77"/>
      <c r="AL558" s="77"/>
      <c r="AM558" s="77"/>
      <c r="AN558" s="77"/>
    </row>
    <row r="559" customFormat="false" ht="12.75" hidden="false" customHeight="false" outlineLevel="0" collapsed="false">
      <c r="AJ559" s="77"/>
      <c r="AK559" s="77"/>
      <c r="AL559" s="77"/>
      <c r="AM559" s="77"/>
      <c r="AN559" s="77"/>
    </row>
    <row r="560" customFormat="false" ht="12.75" hidden="false" customHeight="false" outlineLevel="0" collapsed="false">
      <c r="AJ560" s="77"/>
      <c r="AK560" s="77"/>
      <c r="AL560" s="77"/>
      <c r="AM560" s="77"/>
      <c r="AN560" s="77"/>
    </row>
    <row r="561" customFormat="false" ht="12.75" hidden="false" customHeight="false" outlineLevel="0" collapsed="false">
      <c r="AJ561" s="77"/>
      <c r="AK561" s="77"/>
      <c r="AL561" s="77"/>
      <c r="AM561" s="77"/>
      <c r="AN561" s="77"/>
    </row>
    <row r="562" customFormat="false" ht="12.75" hidden="false" customHeight="false" outlineLevel="0" collapsed="false">
      <c r="AJ562" s="77"/>
      <c r="AK562" s="77"/>
      <c r="AL562" s="77"/>
      <c r="AM562" s="77"/>
      <c r="AN562" s="77"/>
    </row>
    <row r="563" customFormat="false" ht="12.75" hidden="false" customHeight="false" outlineLevel="0" collapsed="false">
      <c r="AJ563" s="77"/>
      <c r="AK563" s="77"/>
      <c r="AL563" s="77"/>
      <c r="AM563" s="77"/>
      <c r="AN563" s="77"/>
    </row>
    <row r="564" customFormat="false" ht="12.75" hidden="false" customHeight="false" outlineLevel="0" collapsed="false">
      <c r="AJ564" s="77"/>
      <c r="AK564" s="77"/>
      <c r="AL564" s="77"/>
      <c r="AM564" s="77"/>
      <c r="AN564" s="77"/>
    </row>
    <row r="565" customFormat="false" ht="12.75" hidden="false" customHeight="false" outlineLevel="0" collapsed="false">
      <c r="AJ565" s="77"/>
      <c r="AK565" s="77"/>
      <c r="AL565" s="77"/>
      <c r="AM565" s="77"/>
      <c r="AN565" s="77"/>
    </row>
    <row r="566" customFormat="false" ht="12.75" hidden="false" customHeight="false" outlineLevel="0" collapsed="false">
      <c r="AJ566" s="77"/>
      <c r="AK566" s="77"/>
      <c r="AL566" s="77"/>
      <c r="AM566" s="77"/>
      <c r="AN566" s="77"/>
    </row>
    <row r="567" customFormat="false" ht="12.75" hidden="false" customHeight="false" outlineLevel="0" collapsed="false">
      <c r="AJ567" s="77"/>
      <c r="AK567" s="77"/>
      <c r="AL567" s="77"/>
      <c r="AM567" s="77"/>
      <c r="AN567" s="77"/>
    </row>
    <row r="568" customFormat="false" ht="12.75" hidden="false" customHeight="false" outlineLevel="0" collapsed="false">
      <c r="AJ568" s="77"/>
      <c r="AK568" s="77"/>
      <c r="AL568" s="77"/>
      <c r="AM568" s="77"/>
      <c r="AN568" s="77"/>
    </row>
    <row r="569" customFormat="false" ht="12.75" hidden="false" customHeight="false" outlineLevel="0" collapsed="false">
      <c r="AJ569" s="77"/>
      <c r="AK569" s="77"/>
      <c r="AL569" s="77"/>
      <c r="AM569" s="77"/>
      <c r="AN569" s="77"/>
    </row>
    <row r="570" customFormat="false" ht="12.75" hidden="false" customHeight="false" outlineLevel="0" collapsed="false">
      <c r="AJ570" s="77"/>
      <c r="AK570" s="77"/>
      <c r="AL570" s="77"/>
      <c r="AM570" s="77"/>
      <c r="AN570" s="77"/>
    </row>
    <row r="571" customFormat="false" ht="12.75" hidden="false" customHeight="false" outlineLevel="0" collapsed="false">
      <c r="AJ571" s="77"/>
      <c r="AK571" s="77"/>
      <c r="AL571" s="77"/>
      <c r="AM571" s="77"/>
      <c r="AN571" s="77"/>
    </row>
    <row r="572" customFormat="false" ht="12.75" hidden="false" customHeight="false" outlineLevel="0" collapsed="false">
      <c r="AJ572" s="77"/>
      <c r="AK572" s="77"/>
      <c r="AL572" s="77"/>
      <c r="AM572" s="77"/>
      <c r="AN572" s="77"/>
    </row>
    <row r="573" customFormat="false" ht="12.75" hidden="false" customHeight="false" outlineLevel="0" collapsed="false">
      <c r="AJ573" s="77"/>
      <c r="AK573" s="77"/>
      <c r="AL573" s="77"/>
      <c r="AM573" s="77"/>
      <c r="AN573" s="77"/>
    </row>
    <row r="574" customFormat="false" ht="12.75" hidden="false" customHeight="false" outlineLevel="0" collapsed="false">
      <c r="AJ574" s="77"/>
      <c r="AK574" s="77"/>
      <c r="AL574" s="77"/>
      <c r="AM574" s="77"/>
      <c r="AN574" s="77"/>
    </row>
    <row r="575" customFormat="false" ht="12.75" hidden="false" customHeight="false" outlineLevel="0" collapsed="false">
      <c r="AJ575" s="77"/>
      <c r="AK575" s="77"/>
      <c r="AL575" s="77"/>
      <c r="AM575" s="77"/>
      <c r="AN575" s="77"/>
    </row>
    <row r="576" customFormat="false" ht="12.75" hidden="false" customHeight="false" outlineLevel="0" collapsed="false">
      <c r="AJ576" s="77"/>
      <c r="AK576" s="77"/>
      <c r="AL576" s="77"/>
      <c r="AM576" s="77"/>
      <c r="AN576" s="77"/>
    </row>
    <row r="577" customFormat="false" ht="12.75" hidden="false" customHeight="false" outlineLevel="0" collapsed="false">
      <c r="AJ577" s="77"/>
      <c r="AK577" s="77"/>
      <c r="AL577" s="77"/>
      <c r="AM577" s="77"/>
      <c r="AN577" s="77"/>
    </row>
    <row r="578" customFormat="false" ht="12.75" hidden="false" customHeight="false" outlineLevel="0" collapsed="false">
      <c r="AJ578" s="77"/>
      <c r="AK578" s="77"/>
      <c r="AL578" s="77"/>
      <c r="AM578" s="77"/>
      <c r="AN578" s="77"/>
    </row>
    <row r="579" customFormat="false" ht="12.75" hidden="false" customHeight="false" outlineLevel="0" collapsed="false">
      <c r="AJ579" s="77"/>
      <c r="AK579" s="77"/>
      <c r="AL579" s="77"/>
      <c r="AM579" s="77"/>
      <c r="AN579" s="77"/>
    </row>
    <row r="580" customFormat="false" ht="12.75" hidden="false" customHeight="false" outlineLevel="0" collapsed="false">
      <c r="AJ580" s="77"/>
      <c r="AK580" s="77"/>
      <c r="AL580" s="77"/>
      <c r="AM580" s="77"/>
      <c r="AN580" s="77"/>
    </row>
    <row r="581" customFormat="false" ht="12.75" hidden="false" customHeight="false" outlineLevel="0" collapsed="false">
      <c r="AJ581" s="77"/>
      <c r="AK581" s="77"/>
      <c r="AL581" s="77"/>
      <c r="AM581" s="77"/>
      <c r="AN581" s="77"/>
    </row>
    <row r="582" customFormat="false" ht="12.75" hidden="false" customHeight="false" outlineLevel="0" collapsed="false">
      <c r="AJ582" s="77"/>
      <c r="AK582" s="77"/>
      <c r="AL582" s="77"/>
      <c r="AM582" s="77"/>
      <c r="AN582" s="77"/>
    </row>
    <row r="583" customFormat="false" ht="12.75" hidden="false" customHeight="false" outlineLevel="0" collapsed="false">
      <c r="AJ583" s="77"/>
      <c r="AK583" s="77"/>
      <c r="AL583" s="77"/>
      <c r="AM583" s="77"/>
      <c r="AN583" s="77"/>
    </row>
    <row r="584" customFormat="false" ht="12.75" hidden="false" customHeight="false" outlineLevel="0" collapsed="false">
      <c r="AJ584" s="77"/>
      <c r="AK584" s="77"/>
      <c r="AL584" s="77"/>
      <c r="AM584" s="77"/>
      <c r="AN584" s="77"/>
    </row>
    <row r="585" customFormat="false" ht="12.75" hidden="false" customHeight="false" outlineLevel="0" collapsed="false">
      <c r="AJ585" s="77"/>
      <c r="AK585" s="77"/>
      <c r="AL585" s="77"/>
      <c r="AM585" s="77"/>
      <c r="AN585" s="77"/>
    </row>
    <row r="586" customFormat="false" ht="12.75" hidden="false" customHeight="false" outlineLevel="0" collapsed="false">
      <c r="AJ586" s="77"/>
      <c r="AK586" s="77"/>
      <c r="AL586" s="77"/>
      <c r="AM586" s="77"/>
      <c r="AN586" s="77"/>
    </row>
    <row r="587" customFormat="false" ht="12.75" hidden="false" customHeight="false" outlineLevel="0" collapsed="false">
      <c r="AJ587" s="77"/>
      <c r="AK587" s="77"/>
      <c r="AL587" s="77"/>
      <c r="AM587" s="77"/>
      <c r="AN587" s="77"/>
    </row>
    <row r="588" customFormat="false" ht="12.75" hidden="false" customHeight="false" outlineLevel="0" collapsed="false">
      <c r="AJ588" s="77"/>
      <c r="AK588" s="77"/>
      <c r="AL588" s="77"/>
      <c r="AM588" s="77"/>
      <c r="AN588" s="77"/>
    </row>
    <row r="589" customFormat="false" ht="12.75" hidden="false" customHeight="false" outlineLevel="0" collapsed="false">
      <c r="AJ589" s="77"/>
      <c r="AK589" s="77"/>
      <c r="AL589" s="77"/>
      <c r="AM589" s="77"/>
      <c r="AN589" s="77"/>
    </row>
    <row r="590" customFormat="false" ht="12.75" hidden="false" customHeight="false" outlineLevel="0" collapsed="false">
      <c r="AJ590" s="77"/>
      <c r="AK590" s="77"/>
      <c r="AL590" s="77"/>
      <c r="AM590" s="77"/>
      <c r="AN590" s="77"/>
    </row>
    <row r="591" customFormat="false" ht="12.75" hidden="false" customHeight="false" outlineLevel="0" collapsed="false">
      <c r="AJ591" s="77"/>
      <c r="AK591" s="77"/>
      <c r="AL591" s="77"/>
      <c r="AM591" s="77"/>
      <c r="AN591" s="77"/>
    </row>
    <row r="592" customFormat="false" ht="12.75" hidden="false" customHeight="false" outlineLevel="0" collapsed="false">
      <c r="AJ592" s="77"/>
      <c r="AK592" s="77"/>
      <c r="AL592" s="77"/>
      <c r="AM592" s="77"/>
      <c r="AN592" s="77"/>
    </row>
    <row r="593" customFormat="false" ht="12.75" hidden="false" customHeight="false" outlineLevel="0" collapsed="false">
      <c r="AJ593" s="77"/>
      <c r="AK593" s="77"/>
      <c r="AL593" s="77"/>
      <c r="AM593" s="77"/>
      <c r="AN593" s="77"/>
    </row>
    <row r="594" customFormat="false" ht="12.75" hidden="false" customHeight="false" outlineLevel="0" collapsed="false">
      <c r="AJ594" s="77"/>
      <c r="AK594" s="77"/>
      <c r="AL594" s="77"/>
      <c r="AM594" s="77"/>
      <c r="AN594" s="77"/>
    </row>
    <row r="595" customFormat="false" ht="12.75" hidden="false" customHeight="false" outlineLevel="0" collapsed="false">
      <c r="AJ595" s="77"/>
      <c r="AK595" s="77"/>
      <c r="AL595" s="77"/>
      <c r="AM595" s="77"/>
      <c r="AN595" s="77"/>
    </row>
    <row r="596" customFormat="false" ht="12.75" hidden="false" customHeight="false" outlineLevel="0" collapsed="false">
      <c r="AJ596" s="77"/>
      <c r="AK596" s="77"/>
      <c r="AL596" s="77"/>
      <c r="AM596" s="77"/>
      <c r="AN596" s="77"/>
    </row>
    <row r="597" customFormat="false" ht="12.75" hidden="false" customHeight="false" outlineLevel="0" collapsed="false">
      <c r="AJ597" s="77"/>
      <c r="AK597" s="77"/>
      <c r="AL597" s="77"/>
      <c r="AM597" s="77"/>
      <c r="AN597" s="77"/>
    </row>
    <row r="598" customFormat="false" ht="12.75" hidden="false" customHeight="false" outlineLevel="0" collapsed="false">
      <c r="AJ598" s="77"/>
      <c r="AK598" s="77"/>
      <c r="AL598" s="77"/>
      <c r="AM598" s="77"/>
      <c r="AN598" s="77"/>
    </row>
    <row r="599" customFormat="false" ht="12.75" hidden="false" customHeight="false" outlineLevel="0" collapsed="false">
      <c r="AJ599" s="77"/>
      <c r="AK599" s="77"/>
      <c r="AL599" s="77"/>
      <c r="AM599" s="77"/>
      <c r="AN599" s="77"/>
    </row>
    <row r="600" customFormat="false" ht="12.75" hidden="false" customHeight="false" outlineLevel="0" collapsed="false">
      <c r="AJ600" s="77"/>
      <c r="AK600" s="77"/>
      <c r="AL600" s="77"/>
      <c r="AM600" s="77"/>
      <c r="AN600" s="77"/>
    </row>
    <row r="601" customFormat="false" ht="12.75" hidden="false" customHeight="false" outlineLevel="0" collapsed="false">
      <c r="AJ601" s="77"/>
      <c r="AK601" s="77"/>
      <c r="AL601" s="77"/>
      <c r="AM601" s="77"/>
      <c r="AN601" s="77"/>
    </row>
    <row r="602" customFormat="false" ht="12.75" hidden="false" customHeight="false" outlineLevel="0" collapsed="false">
      <c r="AJ602" s="77"/>
      <c r="AK602" s="77"/>
      <c r="AL602" s="77"/>
      <c r="AM602" s="77"/>
      <c r="AN602" s="77"/>
    </row>
    <row r="603" customFormat="false" ht="12.75" hidden="false" customHeight="false" outlineLevel="0" collapsed="false">
      <c r="AJ603" s="77"/>
      <c r="AK603" s="77"/>
      <c r="AL603" s="77"/>
      <c r="AM603" s="77"/>
      <c r="AN603" s="77"/>
    </row>
    <row r="604" customFormat="false" ht="12.75" hidden="false" customHeight="false" outlineLevel="0" collapsed="false">
      <c r="AJ604" s="77"/>
      <c r="AK604" s="77"/>
      <c r="AL604" s="77"/>
      <c r="AM604" s="77"/>
      <c r="AN604" s="77"/>
    </row>
    <row r="605" customFormat="false" ht="12.75" hidden="false" customHeight="false" outlineLevel="0" collapsed="false">
      <c r="AJ605" s="77"/>
      <c r="AK605" s="77"/>
      <c r="AL605" s="77"/>
      <c r="AM605" s="77"/>
      <c r="AN605" s="77"/>
    </row>
    <row r="606" customFormat="false" ht="12.75" hidden="false" customHeight="false" outlineLevel="0" collapsed="false">
      <c r="AJ606" s="77"/>
      <c r="AK606" s="77"/>
      <c r="AL606" s="77"/>
      <c r="AM606" s="77"/>
      <c r="AN606" s="77"/>
    </row>
    <row r="607" customFormat="false" ht="12.75" hidden="false" customHeight="false" outlineLevel="0" collapsed="false">
      <c r="AJ607" s="77"/>
      <c r="AK607" s="77"/>
      <c r="AL607" s="77"/>
      <c r="AM607" s="77"/>
      <c r="AN607" s="77"/>
    </row>
    <row r="608" customFormat="false" ht="12.75" hidden="false" customHeight="false" outlineLevel="0" collapsed="false">
      <c r="AJ608" s="77"/>
      <c r="AK608" s="77"/>
      <c r="AL608" s="77"/>
      <c r="AM608" s="77"/>
      <c r="AN608" s="77"/>
    </row>
    <row r="609" customFormat="false" ht="12.75" hidden="false" customHeight="false" outlineLevel="0" collapsed="false">
      <c r="AJ609" s="77"/>
      <c r="AK609" s="77"/>
      <c r="AL609" s="77"/>
      <c r="AM609" s="77"/>
      <c r="AN609" s="77"/>
    </row>
    <row r="610" customFormat="false" ht="12.75" hidden="false" customHeight="false" outlineLevel="0" collapsed="false">
      <c r="AJ610" s="77"/>
      <c r="AK610" s="77"/>
      <c r="AL610" s="77"/>
      <c r="AM610" s="77"/>
      <c r="AN610" s="77"/>
    </row>
    <row r="611" customFormat="false" ht="12.75" hidden="false" customHeight="false" outlineLevel="0" collapsed="false">
      <c r="AJ611" s="77"/>
      <c r="AK611" s="77"/>
      <c r="AL611" s="77"/>
      <c r="AM611" s="77"/>
      <c r="AN611" s="77"/>
    </row>
    <row r="612" customFormat="false" ht="12.75" hidden="false" customHeight="false" outlineLevel="0" collapsed="false">
      <c r="AJ612" s="77"/>
      <c r="AK612" s="77"/>
      <c r="AL612" s="77"/>
      <c r="AM612" s="77"/>
      <c r="AN612" s="77"/>
    </row>
    <row r="613" customFormat="false" ht="12.75" hidden="false" customHeight="false" outlineLevel="0" collapsed="false">
      <c r="AJ613" s="77"/>
      <c r="AK613" s="77"/>
      <c r="AL613" s="77"/>
      <c r="AM613" s="77"/>
      <c r="AN613" s="77"/>
    </row>
    <row r="614" customFormat="false" ht="12.75" hidden="false" customHeight="false" outlineLevel="0" collapsed="false">
      <c r="AJ614" s="77"/>
      <c r="AK614" s="77"/>
      <c r="AL614" s="77"/>
      <c r="AM614" s="77"/>
      <c r="AN614" s="77"/>
    </row>
    <row r="615" customFormat="false" ht="12.75" hidden="false" customHeight="false" outlineLevel="0" collapsed="false">
      <c r="AJ615" s="77"/>
      <c r="AK615" s="77"/>
      <c r="AL615" s="77"/>
      <c r="AM615" s="77"/>
      <c r="AN615" s="77"/>
    </row>
    <row r="616" customFormat="false" ht="12.75" hidden="false" customHeight="false" outlineLevel="0" collapsed="false">
      <c r="AJ616" s="77"/>
      <c r="AK616" s="77"/>
      <c r="AL616" s="77"/>
      <c r="AM616" s="77"/>
      <c r="AN616" s="77"/>
    </row>
    <row r="617" customFormat="false" ht="12.75" hidden="false" customHeight="false" outlineLevel="0" collapsed="false">
      <c r="AJ617" s="77"/>
      <c r="AK617" s="77"/>
      <c r="AL617" s="77"/>
      <c r="AM617" s="77"/>
      <c r="AN617" s="77"/>
    </row>
    <row r="618" customFormat="false" ht="12.75" hidden="false" customHeight="false" outlineLevel="0" collapsed="false">
      <c r="AJ618" s="77"/>
      <c r="AK618" s="77"/>
      <c r="AL618" s="77"/>
      <c r="AM618" s="77"/>
      <c r="AN618" s="77"/>
    </row>
    <row r="619" customFormat="false" ht="12.75" hidden="false" customHeight="false" outlineLevel="0" collapsed="false">
      <c r="AJ619" s="77"/>
      <c r="AK619" s="77"/>
      <c r="AL619" s="77"/>
      <c r="AM619" s="77"/>
      <c r="AN619" s="77"/>
    </row>
    <row r="620" customFormat="false" ht="12.75" hidden="false" customHeight="false" outlineLevel="0" collapsed="false">
      <c r="AJ620" s="77"/>
      <c r="AK620" s="77"/>
      <c r="AL620" s="77"/>
      <c r="AM620" s="77"/>
      <c r="AN620" s="77"/>
    </row>
    <row r="621" customFormat="false" ht="12.75" hidden="false" customHeight="false" outlineLevel="0" collapsed="false">
      <c r="AJ621" s="77"/>
      <c r="AK621" s="77"/>
      <c r="AL621" s="77"/>
      <c r="AM621" s="77"/>
      <c r="AN621" s="77"/>
    </row>
    <row r="622" customFormat="false" ht="12.75" hidden="false" customHeight="false" outlineLevel="0" collapsed="false">
      <c r="AJ622" s="77"/>
      <c r="AK622" s="77"/>
      <c r="AL622" s="77"/>
      <c r="AM622" s="77"/>
      <c r="AN622" s="77"/>
    </row>
    <row r="623" customFormat="false" ht="12.75" hidden="false" customHeight="false" outlineLevel="0" collapsed="false">
      <c r="AJ623" s="77"/>
      <c r="AK623" s="77"/>
      <c r="AL623" s="77"/>
      <c r="AM623" s="77"/>
      <c r="AN623" s="77"/>
    </row>
    <row r="624" customFormat="false" ht="12.75" hidden="false" customHeight="false" outlineLevel="0" collapsed="false">
      <c r="AJ624" s="77"/>
      <c r="AK624" s="77"/>
      <c r="AL624" s="77"/>
      <c r="AM624" s="77"/>
      <c r="AN624" s="77"/>
    </row>
    <row r="625" customFormat="false" ht="12.75" hidden="false" customHeight="false" outlineLevel="0" collapsed="false">
      <c r="AJ625" s="77"/>
      <c r="AK625" s="77"/>
      <c r="AL625" s="77"/>
      <c r="AM625" s="77"/>
      <c r="AN625" s="77"/>
    </row>
    <row r="626" customFormat="false" ht="12.75" hidden="false" customHeight="false" outlineLevel="0" collapsed="false">
      <c r="AJ626" s="77"/>
      <c r="AK626" s="77"/>
      <c r="AL626" s="77"/>
      <c r="AM626" s="77"/>
      <c r="AN626" s="77"/>
    </row>
    <row r="627" customFormat="false" ht="12.75" hidden="false" customHeight="false" outlineLevel="0" collapsed="false">
      <c r="AJ627" s="77"/>
      <c r="AK627" s="77"/>
      <c r="AL627" s="77"/>
      <c r="AM627" s="77"/>
      <c r="AN627" s="77"/>
    </row>
    <row r="628" customFormat="false" ht="12.75" hidden="false" customHeight="false" outlineLevel="0" collapsed="false">
      <c r="AJ628" s="77"/>
      <c r="AK628" s="77"/>
      <c r="AL628" s="77"/>
      <c r="AM628" s="77"/>
      <c r="AN628" s="77"/>
    </row>
    <row r="629" customFormat="false" ht="12.75" hidden="false" customHeight="false" outlineLevel="0" collapsed="false">
      <c r="AJ629" s="77"/>
      <c r="AK629" s="77"/>
      <c r="AL629" s="77"/>
      <c r="AM629" s="77"/>
      <c r="AN629" s="77"/>
    </row>
    <row r="630" customFormat="false" ht="12.75" hidden="false" customHeight="false" outlineLevel="0" collapsed="false">
      <c r="AJ630" s="77"/>
      <c r="AK630" s="77"/>
      <c r="AL630" s="77"/>
      <c r="AM630" s="77"/>
      <c r="AN630" s="77"/>
    </row>
    <row r="631" customFormat="false" ht="12.75" hidden="false" customHeight="false" outlineLevel="0" collapsed="false">
      <c r="AJ631" s="77"/>
      <c r="AK631" s="77"/>
      <c r="AL631" s="77"/>
      <c r="AM631" s="77"/>
      <c r="AN631" s="77"/>
    </row>
    <row r="632" customFormat="false" ht="12.75" hidden="false" customHeight="false" outlineLevel="0" collapsed="false">
      <c r="AJ632" s="77"/>
      <c r="AK632" s="77"/>
      <c r="AL632" s="77"/>
      <c r="AM632" s="77"/>
      <c r="AN632" s="77"/>
    </row>
    <row r="633" customFormat="false" ht="12.75" hidden="false" customHeight="false" outlineLevel="0" collapsed="false">
      <c r="AJ633" s="77"/>
      <c r="AK633" s="77"/>
      <c r="AL633" s="77"/>
      <c r="AM633" s="77"/>
      <c r="AN633" s="77"/>
    </row>
    <row r="634" customFormat="false" ht="12.75" hidden="false" customHeight="false" outlineLevel="0" collapsed="false">
      <c r="AJ634" s="77"/>
      <c r="AK634" s="77"/>
      <c r="AL634" s="77"/>
      <c r="AM634" s="77"/>
      <c r="AN634" s="77"/>
    </row>
    <row r="635" customFormat="false" ht="12.75" hidden="false" customHeight="false" outlineLevel="0" collapsed="false">
      <c r="AJ635" s="77"/>
      <c r="AK635" s="77"/>
      <c r="AL635" s="77"/>
      <c r="AM635" s="77"/>
      <c r="AN635" s="77"/>
    </row>
    <row r="636" customFormat="false" ht="12.75" hidden="false" customHeight="false" outlineLevel="0" collapsed="false">
      <c r="AJ636" s="77"/>
      <c r="AK636" s="77"/>
      <c r="AL636" s="77"/>
      <c r="AM636" s="77"/>
      <c r="AN636" s="77"/>
    </row>
    <row r="637" customFormat="false" ht="12.75" hidden="false" customHeight="false" outlineLevel="0" collapsed="false">
      <c r="AJ637" s="77"/>
      <c r="AK637" s="77"/>
      <c r="AL637" s="77"/>
      <c r="AM637" s="77"/>
      <c r="AN637" s="77"/>
    </row>
    <row r="638" customFormat="false" ht="12.75" hidden="false" customHeight="false" outlineLevel="0" collapsed="false">
      <c r="AJ638" s="77"/>
      <c r="AK638" s="77"/>
      <c r="AL638" s="77"/>
      <c r="AM638" s="77"/>
      <c r="AN638" s="77"/>
    </row>
    <row r="639" customFormat="false" ht="12.75" hidden="false" customHeight="false" outlineLevel="0" collapsed="false">
      <c r="AJ639" s="77"/>
      <c r="AK639" s="77"/>
      <c r="AL639" s="77"/>
      <c r="AM639" s="77"/>
      <c r="AN639" s="77"/>
    </row>
    <row r="640" customFormat="false" ht="12.75" hidden="false" customHeight="false" outlineLevel="0" collapsed="false">
      <c r="AJ640" s="77"/>
      <c r="AK640" s="77"/>
      <c r="AL640" s="77"/>
      <c r="AM640" s="77"/>
      <c r="AN640" s="77"/>
    </row>
    <row r="641" customFormat="false" ht="12.75" hidden="false" customHeight="false" outlineLevel="0" collapsed="false">
      <c r="AJ641" s="77"/>
      <c r="AK641" s="77"/>
      <c r="AL641" s="77"/>
      <c r="AM641" s="77"/>
      <c r="AN641" s="77"/>
    </row>
    <row r="642" customFormat="false" ht="12.75" hidden="false" customHeight="false" outlineLevel="0" collapsed="false">
      <c r="AJ642" s="77"/>
      <c r="AK642" s="77"/>
      <c r="AL642" s="77"/>
      <c r="AM642" s="77"/>
      <c r="AN642" s="77"/>
    </row>
    <row r="643" customFormat="false" ht="12.75" hidden="false" customHeight="false" outlineLevel="0" collapsed="false">
      <c r="AJ643" s="77"/>
      <c r="AK643" s="77"/>
      <c r="AL643" s="77"/>
      <c r="AM643" s="77"/>
      <c r="AN643" s="77"/>
    </row>
    <row r="644" customFormat="false" ht="12.75" hidden="false" customHeight="false" outlineLevel="0" collapsed="false">
      <c r="AJ644" s="77"/>
      <c r="AK644" s="77"/>
      <c r="AL644" s="77"/>
      <c r="AM644" s="77"/>
      <c r="AN644" s="77"/>
    </row>
    <row r="645" customFormat="false" ht="12.75" hidden="false" customHeight="false" outlineLevel="0" collapsed="false">
      <c r="AJ645" s="77"/>
      <c r="AK645" s="77"/>
      <c r="AL645" s="77"/>
      <c r="AM645" s="77"/>
      <c r="AN645" s="77"/>
    </row>
    <row r="646" customFormat="false" ht="12.75" hidden="false" customHeight="false" outlineLevel="0" collapsed="false">
      <c r="AJ646" s="77"/>
      <c r="AK646" s="77"/>
      <c r="AL646" s="77"/>
      <c r="AM646" s="77"/>
      <c r="AN646" s="77"/>
    </row>
    <row r="647" customFormat="false" ht="12.75" hidden="false" customHeight="false" outlineLevel="0" collapsed="false">
      <c r="AJ647" s="77"/>
      <c r="AK647" s="77"/>
      <c r="AL647" s="77"/>
      <c r="AM647" s="77"/>
      <c r="AN647" s="77"/>
    </row>
    <row r="648" customFormat="false" ht="12.75" hidden="false" customHeight="false" outlineLevel="0" collapsed="false">
      <c r="AJ648" s="77"/>
      <c r="AK648" s="77"/>
      <c r="AL648" s="77"/>
      <c r="AM648" s="77"/>
      <c r="AN648" s="77"/>
    </row>
    <row r="649" customFormat="false" ht="12.75" hidden="false" customHeight="false" outlineLevel="0" collapsed="false">
      <c r="AJ649" s="77"/>
      <c r="AK649" s="77"/>
      <c r="AL649" s="77"/>
      <c r="AM649" s="77"/>
      <c r="AN649" s="77"/>
    </row>
    <row r="650" customFormat="false" ht="12.75" hidden="false" customHeight="false" outlineLevel="0" collapsed="false">
      <c r="AJ650" s="77"/>
      <c r="AK650" s="77"/>
      <c r="AL650" s="77"/>
      <c r="AM650" s="77"/>
      <c r="AN650" s="77"/>
    </row>
    <row r="651" customFormat="false" ht="12.75" hidden="false" customHeight="false" outlineLevel="0" collapsed="false">
      <c r="AJ651" s="77"/>
      <c r="AK651" s="77"/>
      <c r="AL651" s="77"/>
      <c r="AM651" s="77"/>
      <c r="AN651" s="77"/>
    </row>
    <row r="652" customFormat="false" ht="12.75" hidden="false" customHeight="false" outlineLevel="0" collapsed="false">
      <c r="AJ652" s="77"/>
      <c r="AK652" s="77"/>
      <c r="AL652" s="77"/>
      <c r="AM652" s="77"/>
      <c r="AN652" s="77"/>
    </row>
    <row r="653" customFormat="false" ht="12.75" hidden="false" customHeight="false" outlineLevel="0" collapsed="false">
      <c r="AJ653" s="77"/>
      <c r="AK653" s="77"/>
      <c r="AL653" s="77"/>
      <c r="AM653" s="77"/>
      <c r="AN653" s="77"/>
    </row>
    <row r="654" customFormat="false" ht="12.75" hidden="false" customHeight="false" outlineLevel="0" collapsed="false">
      <c r="AJ654" s="77"/>
      <c r="AK654" s="77"/>
      <c r="AL654" s="77"/>
      <c r="AM654" s="77"/>
      <c r="AN654" s="77"/>
    </row>
    <row r="655" customFormat="false" ht="12.75" hidden="false" customHeight="false" outlineLevel="0" collapsed="false">
      <c r="AJ655" s="77"/>
      <c r="AK655" s="77"/>
      <c r="AL655" s="77"/>
      <c r="AM655" s="77"/>
      <c r="AN655" s="77"/>
    </row>
    <row r="656" customFormat="false" ht="12.75" hidden="false" customHeight="false" outlineLevel="0" collapsed="false">
      <c r="AJ656" s="77"/>
      <c r="AK656" s="77"/>
      <c r="AL656" s="77"/>
      <c r="AM656" s="77"/>
      <c r="AN656" s="77"/>
    </row>
    <row r="657" customFormat="false" ht="12.75" hidden="false" customHeight="false" outlineLevel="0" collapsed="false">
      <c r="AJ657" s="77"/>
      <c r="AK657" s="77"/>
      <c r="AL657" s="77"/>
      <c r="AM657" s="77"/>
      <c r="AN657" s="77"/>
    </row>
    <row r="658" customFormat="false" ht="12.75" hidden="false" customHeight="false" outlineLevel="0" collapsed="false">
      <c r="AJ658" s="77"/>
      <c r="AK658" s="77"/>
      <c r="AL658" s="77"/>
      <c r="AM658" s="77"/>
      <c r="AN658" s="77"/>
    </row>
    <row r="659" customFormat="false" ht="12.75" hidden="false" customHeight="false" outlineLevel="0" collapsed="false">
      <c r="AJ659" s="77"/>
      <c r="AK659" s="77"/>
      <c r="AL659" s="77"/>
      <c r="AM659" s="77"/>
      <c r="AN659" s="77"/>
    </row>
    <row r="660" customFormat="false" ht="12.75" hidden="false" customHeight="false" outlineLevel="0" collapsed="false">
      <c r="AJ660" s="77"/>
      <c r="AK660" s="77"/>
      <c r="AL660" s="77"/>
      <c r="AM660" s="77"/>
      <c r="AN660" s="77"/>
    </row>
    <row r="661" customFormat="false" ht="12.75" hidden="false" customHeight="false" outlineLevel="0" collapsed="false">
      <c r="AJ661" s="77"/>
      <c r="AK661" s="77"/>
      <c r="AL661" s="77"/>
      <c r="AM661" s="77"/>
      <c r="AN661" s="77"/>
    </row>
    <row r="662" customFormat="false" ht="12.75" hidden="false" customHeight="false" outlineLevel="0" collapsed="false">
      <c r="AJ662" s="77"/>
      <c r="AK662" s="77"/>
      <c r="AL662" s="77"/>
      <c r="AM662" s="77"/>
      <c r="AN662" s="77"/>
    </row>
    <row r="663" customFormat="false" ht="12.75" hidden="false" customHeight="false" outlineLevel="0" collapsed="false">
      <c r="AJ663" s="77"/>
      <c r="AK663" s="77"/>
      <c r="AL663" s="77"/>
      <c r="AM663" s="77"/>
      <c r="AN663" s="77"/>
    </row>
    <row r="664" customFormat="false" ht="12.75" hidden="false" customHeight="false" outlineLevel="0" collapsed="false">
      <c r="AJ664" s="77"/>
      <c r="AK664" s="77"/>
      <c r="AL664" s="77"/>
      <c r="AM664" s="77"/>
      <c r="AN664" s="77"/>
    </row>
    <row r="665" customFormat="false" ht="12.75" hidden="false" customHeight="false" outlineLevel="0" collapsed="false">
      <c r="AJ665" s="77"/>
      <c r="AK665" s="77"/>
      <c r="AL665" s="77"/>
      <c r="AM665" s="77"/>
      <c r="AN665" s="77"/>
    </row>
    <row r="666" customFormat="false" ht="12.75" hidden="false" customHeight="false" outlineLevel="0" collapsed="false">
      <c r="AJ666" s="77"/>
      <c r="AK666" s="77"/>
      <c r="AL666" s="77"/>
      <c r="AM666" s="77"/>
      <c r="AN666" s="77"/>
    </row>
    <row r="667" customFormat="false" ht="12.75" hidden="false" customHeight="false" outlineLevel="0" collapsed="false">
      <c r="AJ667" s="77"/>
      <c r="AK667" s="77"/>
      <c r="AL667" s="77"/>
      <c r="AM667" s="77"/>
      <c r="AN667" s="77"/>
    </row>
    <row r="668" customFormat="false" ht="12.75" hidden="false" customHeight="false" outlineLevel="0" collapsed="false">
      <c r="AJ668" s="77"/>
      <c r="AK668" s="77"/>
      <c r="AL668" s="77"/>
      <c r="AM668" s="77"/>
      <c r="AN668" s="77"/>
    </row>
    <row r="669" customFormat="false" ht="12.75" hidden="false" customHeight="false" outlineLevel="0" collapsed="false">
      <c r="AJ669" s="77"/>
      <c r="AK669" s="77"/>
      <c r="AL669" s="77"/>
      <c r="AM669" s="77"/>
      <c r="AN669" s="77"/>
    </row>
    <row r="670" customFormat="false" ht="12.75" hidden="false" customHeight="false" outlineLevel="0" collapsed="false">
      <c r="AJ670" s="77"/>
      <c r="AK670" s="77"/>
      <c r="AL670" s="77"/>
      <c r="AM670" s="77"/>
      <c r="AN670" s="77"/>
    </row>
    <row r="671" customFormat="false" ht="12.75" hidden="false" customHeight="false" outlineLevel="0" collapsed="false">
      <c r="AJ671" s="77"/>
      <c r="AK671" s="77"/>
      <c r="AL671" s="77"/>
      <c r="AM671" s="77"/>
      <c r="AN671" s="77"/>
    </row>
    <row r="672" customFormat="false" ht="12.75" hidden="false" customHeight="false" outlineLevel="0" collapsed="false">
      <c r="AJ672" s="77"/>
      <c r="AK672" s="77"/>
      <c r="AL672" s="77"/>
      <c r="AM672" s="77"/>
      <c r="AN672" s="77"/>
    </row>
    <row r="673" customFormat="false" ht="12.75" hidden="false" customHeight="false" outlineLevel="0" collapsed="false">
      <c r="AJ673" s="77"/>
      <c r="AK673" s="77"/>
      <c r="AL673" s="77"/>
      <c r="AM673" s="77"/>
      <c r="AN673" s="77"/>
    </row>
    <row r="674" customFormat="false" ht="12.75" hidden="false" customHeight="false" outlineLevel="0" collapsed="false">
      <c r="AJ674" s="77"/>
      <c r="AK674" s="77"/>
      <c r="AL674" s="77"/>
      <c r="AM674" s="77"/>
      <c r="AN674" s="77"/>
    </row>
    <row r="675" customFormat="false" ht="12.75" hidden="false" customHeight="false" outlineLevel="0" collapsed="false">
      <c r="AJ675" s="77"/>
      <c r="AK675" s="77"/>
      <c r="AL675" s="77"/>
      <c r="AM675" s="77"/>
      <c r="AN675" s="77"/>
    </row>
    <row r="676" customFormat="false" ht="12.75" hidden="false" customHeight="false" outlineLevel="0" collapsed="false">
      <c r="AJ676" s="77"/>
      <c r="AK676" s="77"/>
      <c r="AL676" s="77"/>
      <c r="AM676" s="77"/>
      <c r="AN676" s="77"/>
    </row>
    <row r="677" customFormat="false" ht="12.75" hidden="false" customHeight="false" outlineLevel="0" collapsed="false">
      <c r="AJ677" s="77"/>
      <c r="AK677" s="77"/>
      <c r="AL677" s="77"/>
      <c r="AM677" s="77"/>
      <c r="AN677" s="77"/>
    </row>
    <row r="678" customFormat="false" ht="12.75" hidden="false" customHeight="false" outlineLevel="0" collapsed="false">
      <c r="AJ678" s="77"/>
      <c r="AK678" s="77"/>
      <c r="AL678" s="77"/>
      <c r="AM678" s="77"/>
      <c r="AN678" s="77"/>
    </row>
    <row r="679" customFormat="false" ht="12.75" hidden="false" customHeight="false" outlineLevel="0" collapsed="false">
      <c r="AJ679" s="77"/>
      <c r="AK679" s="77"/>
      <c r="AL679" s="77"/>
      <c r="AM679" s="77"/>
      <c r="AN679" s="77"/>
    </row>
    <row r="680" customFormat="false" ht="12.75" hidden="false" customHeight="false" outlineLevel="0" collapsed="false">
      <c r="AJ680" s="77"/>
      <c r="AK680" s="77"/>
      <c r="AL680" s="77"/>
      <c r="AM680" s="77"/>
      <c r="AN680" s="77"/>
    </row>
    <row r="681" customFormat="false" ht="12.75" hidden="false" customHeight="false" outlineLevel="0" collapsed="false">
      <c r="AJ681" s="77"/>
      <c r="AK681" s="77"/>
      <c r="AL681" s="77"/>
      <c r="AM681" s="77"/>
      <c r="AN681" s="77"/>
    </row>
    <row r="682" customFormat="false" ht="12.75" hidden="false" customHeight="false" outlineLevel="0" collapsed="false">
      <c r="AJ682" s="77"/>
      <c r="AK682" s="77"/>
      <c r="AL682" s="77"/>
      <c r="AM682" s="77"/>
      <c r="AN682" s="77"/>
    </row>
    <row r="683" customFormat="false" ht="12.75" hidden="false" customHeight="false" outlineLevel="0" collapsed="false">
      <c r="AJ683" s="77"/>
      <c r="AK683" s="77"/>
      <c r="AL683" s="77"/>
      <c r="AM683" s="77"/>
      <c r="AN683" s="77"/>
    </row>
    <row r="684" customFormat="false" ht="12.75" hidden="false" customHeight="false" outlineLevel="0" collapsed="false">
      <c r="AJ684" s="77"/>
      <c r="AK684" s="77"/>
      <c r="AL684" s="77"/>
      <c r="AM684" s="77"/>
      <c r="AN684" s="77"/>
    </row>
    <row r="685" customFormat="false" ht="12.75" hidden="false" customHeight="false" outlineLevel="0" collapsed="false">
      <c r="AJ685" s="77"/>
      <c r="AK685" s="77"/>
      <c r="AL685" s="77"/>
      <c r="AM685" s="77"/>
      <c r="AN685" s="77"/>
    </row>
    <row r="686" customFormat="false" ht="12.75" hidden="false" customHeight="false" outlineLevel="0" collapsed="false">
      <c r="AJ686" s="77"/>
      <c r="AK686" s="77"/>
      <c r="AL686" s="77"/>
      <c r="AM686" s="77"/>
      <c r="AN686" s="77"/>
    </row>
    <row r="687" customFormat="false" ht="12.75" hidden="false" customHeight="false" outlineLevel="0" collapsed="false">
      <c r="AJ687" s="77"/>
      <c r="AK687" s="77"/>
      <c r="AL687" s="77"/>
      <c r="AM687" s="77"/>
      <c r="AN687" s="77"/>
    </row>
    <row r="688" customFormat="false" ht="12.75" hidden="false" customHeight="false" outlineLevel="0" collapsed="false">
      <c r="AJ688" s="77"/>
      <c r="AK688" s="77"/>
      <c r="AL688" s="77"/>
      <c r="AM688" s="77"/>
      <c r="AN688" s="77"/>
    </row>
    <row r="689" customFormat="false" ht="12.75" hidden="false" customHeight="false" outlineLevel="0" collapsed="false">
      <c r="AJ689" s="77"/>
      <c r="AK689" s="77"/>
      <c r="AL689" s="77"/>
      <c r="AM689" s="77"/>
      <c r="AN689" s="77"/>
    </row>
    <row r="690" customFormat="false" ht="12.75" hidden="false" customHeight="false" outlineLevel="0" collapsed="false">
      <c r="AJ690" s="77"/>
      <c r="AK690" s="77"/>
      <c r="AL690" s="77"/>
      <c r="AM690" s="77"/>
      <c r="AN690" s="77"/>
    </row>
    <row r="691" customFormat="false" ht="12.75" hidden="false" customHeight="false" outlineLevel="0" collapsed="false">
      <c r="AJ691" s="77"/>
      <c r="AK691" s="77"/>
      <c r="AL691" s="77"/>
      <c r="AM691" s="77"/>
      <c r="AN691" s="77"/>
    </row>
    <row r="692" customFormat="false" ht="12.75" hidden="false" customHeight="false" outlineLevel="0" collapsed="false">
      <c r="AJ692" s="77"/>
      <c r="AK692" s="77"/>
      <c r="AL692" s="77"/>
      <c r="AM692" s="77"/>
      <c r="AN692" s="77"/>
    </row>
    <row r="693" customFormat="false" ht="12.75" hidden="false" customHeight="false" outlineLevel="0" collapsed="false">
      <c r="AJ693" s="77"/>
      <c r="AK693" s="77"/>
      <c r="AL693" s="77"/>
      <c r="AM693" s="77"/>
      <c r="AN693" s="77"/>
    </row>
    <row r="694" customFormat="false" ht="12.75" hidden="false" customHeight="false" outlineLevel="0" collapsed="false">
      <c r="AJ694" s="77"/>
      <c r="AK694" s="77"/>
      <c r="AL694" s="77"/>
      <c r="AM694" s="77"/>
      <c r="AN694" s="77"/>
    </row>
    <row r="695" customFormat="false" ht="12.75" hidden="false" customHeight="false" outlineLevel="0" collapsed="false">
      <c r="AJ695" s="77"/>
      <c r="AK695" s="77"/>
      <c r="AL695" s="77"/>
      <c r="AM695" s="77"/>
      <c r="AN695" s="77"/>
    </row>
    <row r="696" customFormat="false" ht="12.75" hidden="false" customHeight="false" outlineLevel="0" collapsed="false">
      <c r="AJ696" s="77"/>
      <c r="AK696" s="77"/>
      <c r="AL696" s="77"/>
      <c r="AM696" s="77"/>
      <c r="AN696" s="77"/>
    </row>
    <row r="697" customFormat="false" ht="12.75" hidden="false" customHeight="false" outlineLevel="0" collapsed="false">
      <c r="AJ697" s="77"/>
      <c r="AK697" s="77"/>
      <c r="AL697" s="77"/>
      <c r="AM697" s="77"/>
      <c r="AN697" s="77"/>
    </row>
    <row r="698" customFormat="false" ht="12.75" hidden="false" customHeight="false" outlineLevel="0" collapsed="false">
      <c r="AJ698" s="77"/>
      <c r="AK698" s="77"/>
      <c r="AL698" s="77"/>
      <c r="AM698" s="77"/>
      <c r="AN698" s="77"/>
    </row>
    <row r="699" customFormat="false" ht="12.75" hidden="false" customHeight="false" outlineLevel="0" collapsed="false">
      <c r="AJ699" s="77"/>
      <c r="AK699" s="77"/>
      <c r="AL699" s="77"/>
      <c r="AM699" s="77"/>
      <c r="AN699" s="77"/>
    </row>
    <row r="700" customFormat="false" ht="12.75" hidden="false" customHeight="false" outlineLevel="0" collapsed="false">
      <c r="AJ700" s="77"/>
      <c r="AK700" s="77"/>
      <c r="AL700" s="77"/>
      <c r="AM700" s="77"/>
      <c r="AN700" s="77"/>
    </row>
    <row r="701" customFormat="false" ht="12.75" hidden="false" customHeight="false" outlineLevel="0" collapsed="false">
      <c r="AJ701" s="77"/>
      <c r="AK701" s="77"/>
      <c r="AL701" s="77"/>
      <c r="AM701" s="77"/>
      <c r="AN701" s="77"/>
    </row>
    <row r="702" customFormat="false" ht="12.75" hidden="false" customHeight="false" outlineLevel="0" collapsed="false">
      <c r="AJ702" s="77"/>
      <c r="AK702" s="77"/>
      <c r="AL702" s="77"/>
      <c r="AM702" s="77"/>
      <c r="AN702" s="77"/>
    </row>
    <row r="703" customFormat="false" ht="12.75" hidden="false" customHeight="false" outlineLevel="0" collapsed="false">
      <c r="AJ703" s="77"/>
      <c r="AK703" s="77"/>
      <c r="AL703" s="77"/>
      <c r="AM703" s="77"/>
      <c r="AN703" s="77"/>
    </row>
    <row r="704" customFormat="false" ht="12.75" hidden="false" customHeight="false" outlineLevel="0" collapsed="false">
      <c r="AJ704" s="77"/>
      <c r="AK704" s="77"/>
      <c r="AL704" s="77"/>
      <c r="AM704" s="77"/>
      <c r="AN704" s="77"/>
    </row>
    <row r="705" customFormat="false" ht="12.75" hidden="false" customHeight="false" outlineLevel="0" collapsed="false">
      <c r="AJ705" s="77"/>
      <c r="AK705" s="77"/>
      <c r="AL705" s="77"/>
      <c r="AM705" s="77"/>
      <c r="AN705" s="77"/>
    </row>
    <row r="706" customFormat="false" ht="12.75" hidden="false" customHeight="false" outlineLevel="0" collapsed="false">
      <c r="AJ706" s="77"/>
      <c r="AK706" s="77"/>
      <c r="AL706" s="77"/>
      <c r="AM706" s="77"/>
      <c r="AN706" s="77"/>
    </row>
    <row r="707" customFormat="false" ht="12.75" hidden="false" customHeight="false" outlineLevel="0" collapsed="false">
      <c r="AJ707" s="77"/>
      <c r="AK707" s="77"/>
      <c r="AL707" s="77"/>
      <c r="AM707" s="77"/>
      <c r="AN707" s="77"/>
    </row>
    <row r="708" customFormat="false" ht="12.75" hidden="false" customHeight="false" outlineLevel="0" collapsed="false">
      <c r="AJ708" s="77"/>
      <c r="AK708" s="77"/>
      <c r="AL708" s="77"/>
      <c r="AM708" s="77"/>
      <c r="AN708" s="77"/>
    </row>
    <row r="709" customFormat="false" ht="12.75" hidden="false" customHeight="false" outlineLevel="0" collapsed="false">
      <c r="AJ709" s="77"/>
      <c r="AK709" s="77"/>
      <c r="AL709" s="77"/>
      <c r="AM709" s="77"/>
      <c r="AN709" s="77"/>
    </row>
    <row r="710" customFormat="false" ht="12.75" hidden="false" customHeight="false" outlineLevel="0" collapsed="false">
      <c r="AJ710" s="77"/>
      <c r="AK710" s="77"/>
      <c r="AL710" s="77"/>
      <c r="AM710" s="77"/>
      <c r="AN710" s="77"/>
    </row>
    <row r="711" customFormat="false" ht="12.75" hidden="false" customHeight="false" outlineLevel="0" collapsed="false">
      <c r="AJ711" s="77"/>
      <c r="AK711" s="77"/>
      <c r="AL711" s="77"/>
      <c r="AM711" s="77"/>
      <c r="AN711" s="77"/>
    </row>
    <row r="712" customFormat="false" ht="12.75" hidden="false" customHeight="false" outlineLevel="0" collapsed="false">
      <c r="AJ712" s="77"/>
      <c r="AK712" s="77"/>
      <c r="AL712" s="77"/>
      <c r="AM712" s="77"/>
      <c r="AN712" s="77"/>
    </row>
    <row r="713" customFormat="false" ht="12.75" hidden="false" customHeight="false" outlineLevel="0" collapsed="false">
      <c r="AJ713" s="77"/>
      <c r="AK713" s="77"/>
      <c r="AL713" s="77"/>
      <c r="AM713" s="77"/>
      <c r="AN713" s="77"/>
    </row>
    <row r="714" customFormat="false" ht="12.75" hidden="false" customHeight="false" outlineLevel="0" collapsed="false">
      <c r="AJ714" s="77"/>
      <c r="AK714" s="77"/>
      <c r="AL714" s="77"/>
      <c r="AM714" s="77"/>
      <c r="AN714" s="77"/>
    </row>
    <row r="715" customFormat="false" ht="12.75" hidden="false" customHeight="false" outlineLevel="0" collapsed="false">
      <c r="AJ715" s="77"/>
      <c r="AK715" s="77"/>
      <c r="AL715" s="77"/>
      <c r="AM715" s="77"/>
      <c r="AN715" s="77"/>
    </row>
    <row r="716" customFormat="false" ht="12.75" hidden="false" customHeight="false" outlineLevel="0" collapsed="false">
      <c r="AJ716" s="77"/>
      <c r="AK716" s="77"/>
      <c r="AL716" s="77"/>
      <c r="AM716" s="77"/>
      <c r="AN716" s="77"/>
    </row>
    <row r="717" customFormat="false" ht="12.75" hidden="false" customHeight="false" outlineLevel="0" collapsed="false">
      <c r="AJ717" s="77"/>
      <c r="AK717" s="77"/>
      <c r="AL717" s="77"/>
      <c r="AM717" s="77"/>
      <c r="AN717" s="77"/>
    </row>
    <row r="718" customFormat="false" ht="12.75" hidden="false" customHeight="false" outlineLevel="0" collapsed="false">
      <c r="AJ718" s="77"/>
      <c r="AK718" s="77"/>
      <c r="AL718" s="77"/>
      <c r="AM718" s="77"/>
      <c r="AN718" s="77"/>
    </row>
    <row r="719" customFormat="false" ht="12.75" hidden="false" customHeight="false" outlineLevel="0" collapsed="false">
      <c r="AJ719" s="77"/>
      <c r="AK719" s="77"/>
      <c r="AL719" s="77"/>
      <c r="AM719" s="77"/>
      <c r="AN719" s="77"/>
    </row>
    <row r="720" customFormat="false" ht="12.75" hidden="false" customHeight="false" outlineLevel="0" collapsed="false">
      <c r="AJ720" s="77"/>
      <c r="AK720" s="77"/>
      <c r="AL720" s="77"/>
      <c r="AM720" s="77"/>
      <c r="AN720" s="77"/>
    </row>
    <row r="721" customFormat="false" ht="12.75" hidden="false" customHeight="false" outlineLevel="0" collapsed="false">
      <c r="AJ721" s="77"/>
      <c r="AK721" s="77"/>
      <c r="AL721" s="77"/>
      <c r="AM721" s="77"/>
      <c r="AN721" s="77"/>
    </row>
    <row r="722" customFormat="false" ht="12.75" hidden="false" customHeight="false" outlineLevel="0" collapsed="false">
      <c r="AJ722" s="77"/>
      <c r="AK722" s="77"/>
      <c r="AL722" s="77"/>
      <c r="AM722" s="77"/>
      <c r="AN722" s="77"/>
    </row>
  </sheetData>
  <printOptions headings="false" gridLines="false" gridLinesSet="true" horizontalCentered="false" verticalCentered="false"/>
  <pageMargins left="0.270138888888889" right="0.329861111111111" top="0.984027777777778" bottom="0.984027777777778" header="0.511811023622047" footer="0.511811023622047"/>
  <pageSetup paperSize="5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H722"/>
  <sheetViews>
    <sheetView showFormulas="false" showGridLines="false" showRowColHeaders="true" showZeros="true" rightToLeft="false" tabSelected="false" showOutlineSymbols="true" defaultGridColor="true" view="normal" topLeftCell="L1" colorId="64" zoomScale="80" zoomScaleNormal="80" zoomScalePageLayoutView="100" workbookViewId="0">
      <selection pane="topLeft" activeCell="AH8" activeCellId="0" sqref="AH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3" min="3" style="21" width="5.13"/>
    <col collapsed="false" customWidth="true" hidden="false" outlineLevel="0" max="4" min="4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8" min="8" style="21" width="14.56"/>
    <col collapsed="false" customWidth="true" hidden="false" outlineLevel="0" max="9" min="9" style="21" width="9.99"/>
    <col collapsed="false" customWidth="true" hidden="false" outlineLevel="0" max="10" min="10" style="21" width="20.13"/>
    <col collapsed="false" customWidth="true" hidden="false" outlineLevel="0" max="11" min="11" style="21" width="17.85"/>
    <col collapsed="false" customWidth="true" hidden="false" outlineLevel="0" max="12" min="12" style="21" width="19.14"/>
    <col collapsed="false" customWidth="true" hidden="false" outlineLevel="0" max="13" min="13" style="21" width="14.99"/>
    <col collapsed="false" customWidth="true" hidden="false" outlineLevel="0" max="14" min="14" style="21" width="1.41"/>
    <col collapsed="false" customWidth="true" hidden="false" outlineLevel="0" max="15" min="15" style="21" width="14.99"/>
    <col collapsed="false" customWidth="true" hidden="false" outlineLevel="0" max="16" min="16" style="21" width="16.84"/>
    <col collapsed="false" customWidth="true" hidden="false" outlineLevel="0" max="17" min="17" style="21" width="2.99"/>
    <col collapsed="false" customWidth="true" hidden="false" outlineLevel="0" max="18" min="18" style="21" width="20.13"/>
    <col collapsed="false" customWidth="true" hidden="false" outlineLevel="0" max="19" min="19" style="21" width="17.85"/>
    <col collapsed="false" customWidth="true" hidden="false" outlineLevel="0" max="20" min="20" style="21" width="21.56"/>
    <col collapsed="false" customWidth="true" hidden="false" outlineLevel="0" max="21" min="21" style="21" width="14.99"/>
    <col collapsed="false" customWidth="true" hidden="false" outlineLevel="0" max="22" min="22" style="21" width="10.71"/>
    <col collapsed="false" customWidth="true" hidden="false" outlineLevel="0" max="23" min="23" style="21" width="14.99"/>
    <col collapsed="false" customWidth="true" hidden="false" outlineLevel="0" max="24" min="24" style="21" width="16.84"/>
    <col collapsed="false" customWidth="true" hidden="false" outlineLevel="0" max="25" min="25" style="21" width="1.99"/>
    <col collapsed="false" customWidth="true" hidden="false" outlineLevel="0" max="26" min="26" style="137" width="17.85"/>
    <col collapsed="false" customWidth="true" hidden="false" outlineLevel="0" max="27" min="27" style="137" width="20.28"/>
    <col collapsed="false" customWidth="true" hidden="false" outlineLevel="0" max="28" min="28" style="137" width="15.28"/>
    <col collapsed="false" customWidth="true" hidden="false" outlineLevel="0" max="29" min="29" style="137" width="20.28"/>
    <col collapsed="false" customWidth="true" hidden="false" outlineLevel="0" max="31" min="30" style="137" width="15.7"/>
    <col collapsed="false" customWidth="true" hidden="false" outlineLevel="0" max="32" min="32" style="137" width="17.56"/>
    <col collapsed="false" customWidth="true" hidden="false" outlineLevel="0" max="33" min="33" style="137" width="13.85"/>
    <col collapsed="false" customWidth="true" hidden="false" outlineLevel="0" max="34" min="34" style="137" width="13.28"/>
    <col collapsed="false" customWidth="true" hidden="false" outlineLevel="0" max="35" min="35" style="137" width="13.99"/>
    <col collapsed="false" customWidth="true" hidden="false" outlineLevel="0" max="36" min="36" style="21" width="12.56"/>
    <col collapsed="false" customWidth="true" hidden="false" outlineLevel="0" max="37" min="37" style="21" width="10.71"/>
    <col collapsed="false" customWidth="false" hidden="false" outlineLevel="0" max="38" min="38" style="21" width="9.14"/>
    <col collapsed="false" customWidth="true" hidden="false" outlineLevel="0" max="39" min="39" style="21" width="10.71"/>
    <col collapsed="false" customWidth="false" hidden="false" outlineLevel="0" max="40" min="40" style="21" width="9.14"/>
    <col collapsed="false" customWidth="true" hidden="false" outlineLevel="0" max="41" min="41" style="137" width="8.28"/>
    <col collapsed="false" customWidth="true" hidden="false" outlineLevel="0" max="43" min="42" style="137" width="8.56"/>
    <col collapsed="false" customWidth="true" hidden="false" outlineLevel="0" max="44" min="44" style="137" width="11.7"/>
    <col collapsed="false" customWidth="true" hidden="false" outlineLevel="0" max="45" min="45" style="137" width="10.28"/>
    <col collapsed="false" customWidth="true" hidden="false" outlineLevel="0" max="46" min="46" style="137" width="7.56"/>
    <col collapsed="false" customWidth="true" hidden="false" outlineLevel="0" max="47" min="47" style="137" width="6.41"/>
    <col collapsed="false" customWidth="true" hidden="false" outlineLevel="0" max="48" min="48" style="21" width="1.41"/>
    <col collapsed="false" customWidth="true" hidden="false" outlineLevel="0" max="49" min="49" style="138" width="14.28"/>
    <col collapsed="false" customWidth="true" hidden="false" outlineLevel="0" max="51" min="50" style="21" width="14.28"/>
    <col collapsed="false" customWidth="false" hidden="false" outlineLevel="0" max="52" min="52" style="21" width="9.14"/>
    <col collapsed="false" customWidth="true" hidden="false" outlineLevel="0" max="53" min="53" style="21" width="15.56"/>
    <col collapsed="false" customWidth="false" hidden="false" outlineLevel="0" max="54" min="54" style="21" width="9.14"/>
    <col collapsed="false" customWidth="true" hidden="false" outlineLevel="0" max="55" min="55" style="21" width="14.28"/>
    <col collapsed="false" customWidth="false" hidden="false" outlineLevel="0" max="257" min="56" style="21" width="9.14"/>
  </cols>
  <sheetData>
    <row r="1" customFormat="false" ht="13.5" hidden="false" customHeight="false" outlineLevel="0" collapsed="false">
      <c r="A1" s="139" t="s">
        <v>114</v>
      </c>
      <c r="C1" s="140"/>
      <c r="D1" s="140" t="s">
        <v>115</v>
      </c>
      <c r="E1" s="141" t="n">
        <f aca="false">Summary!D11</f>
        <v>45926</v>
      </c>
      <c r="H1" s="142" t="s">
        <v>116</v>
      </c>
      <c r="I1" s="143" t="s">
        <v>117</v>
      </c>
      <c r="J1" s="142" t="s">
        <v>118</v>
      </c>
      <c r="K1" s="143" t="s">
        <v>119</v>
      </c>
      <c r="R1" s="142" t="s">
        <v>118</v>
      </c>
      <c r="S1" s="143" t="s">
        <v>119</v>
      </c>
      <c r="Z1" s="144" t="str">
        <f aca="false">Summary!J11</f>
        <v>NG_OMICRON_11</v>
      </c>
      <c r="AA1" s="144" t="str">
        <f aca="false">Summary!L11</f>
        <v>CGPR-DAWN</v>
      </c>
      <c r="AC1" s="144" t="str">
        <f aca="false">Summary!I11</f>
        <v>NG_OMICRON_11</v>
      </c>
      <c r="AD1" s="144" t="str">
        <f aca="false">Summary!K11</f>
        <v>CGPR-DAWN</v>
      </c>
      <c r="AJ1" s="83"/>
    </row>
    <row r="2" customFormat="false" ht="12.75" hidden="false" customHeight="false" outlineLevel="0" collapsed="false">
      <c r="A2" s="142" t="s">
        <v>120</v>
      </c>
      <c r="B2" s="145" t="s">
        <v>121</v>
      </c>
      <c r="C2" s="145"/>
      <c r="D2" s="146" t="s">
        <v>122</v>
      </c>
      <c r="E2" s="145" t="s">
        <v>98</v>
      </c>
      <c r="F2" s="145" t="s">
        <v>123</v>
      </c>
      <c r="G2" s="145" t="s">
        <v>124</v>
      </c>
      <c r="H2" s="147" t="s">
        <v>125</v>
      </c>
      <c r="I2" s="148" t="s">
        <v>126</v>
      </c>
      <c r="J2" s="149" t="s">
        <v>127</v>
      </c>
      <c r="K2" s="148" t="s">
        <v>127</v>
      </c>
      <c r="R2" s="149" t="s">
        <v>128</v>
      </c>
      <c r="S2" s="148" t="str">
        <f aca="false">R2</f>
        <v>Receipt Pt</v>
      </c>
      <c r="AI2" s="137" t="s">
        <v>129</v>
      </c>
      <c r="AJ2" s="21" t="n">
        <v>1</v>
      </c>
    </row>
    <row r="3" customFormat="false" ht="13.5" hidden="false" customHeight="false" outlineLevel="0" collapsed="false">
      <c r="A3" s="150" t="n">
        <f aca="false">Summary!E11</f>
        <v>37043</v>
      </c>
      <c r="B3" s="151" t="n">
        <f aca="false">Summary!F11</f>
        <v>42094</v>
      </c>
      <c r="C3" s="152"/>
      <c r="D3" s="152" t="n">
        <f aca="false">Summary!C11</f>
        <v>37025</v>
      </c>
      <c r="E3" s="153" t="str">
        <f aca="false">CONCATENATE(INT(AT8/12)," Y - ",AT8-INT(AT8/12)*12," M")</f>
        <v>13 Y - 10 M</v>
      </c>
      <c r="F3" s="154" t="n">
        <v>2</v>
      </c>
      <c r="G3" s="154" t="n">
        <v>1</v>
      </c>
      <c r="H3" s="155" t="n">
        <v>1</v>
      </c>
      <c r="I3" s="156" t="n">
        <f aca="false">Summary!P11</f>
        <v>0</v>
      </c>
      <c r="J3" s="157" t="str">
        <f aca="false">Summary!H11</f>
        <v>CGPR-CHIPPAWA</v>
      </c>
      <c r="K3" s="156" t="str">
        <f aca="false">J3</f>
        <v>CGPR-CHIPPAWA</v>
      </c>
      <c r="R3" s="157" t="str">
        <f aca="false">Summary!G11</f>
        <v>CGPR-ST.CLAIR</v>
      </c>
      <c r="S3" s="156" t="str">
        <f aca="false">R3</f>
        <v>CGPR-ST.CLAIR</v>
      </c>
      <c r="Z3" s="219" t="s">
        <v>130</v>
      </c>
      <c r="AA3" s="220" t="s">
        <v>130</v>
      </c>
      <c r="AB3" s="221" t="s">
        <v>130</v>
      </c>
      <c r="AC3" s="219" t="s">
        <v>131</v>
      </c>
      <c r="AD3" s="220" t="s">
        <v>131</v>
      </c>
      <c r="AE3" s="221" t="s">
        <v>131</v>
      </c>
    </row>
    <row r="4" customFormat="false" ht="12.75" hidden="false" customHeight="false" outlineLevel="0" collapsed="false">
      <c r="A4" s="158"/>
      <c r="B4" s="158"/>
      <c r="C4" s="158"/>
      <c r="D4" s="158" t="s">
        <v>132</v>
      </c>
      <c r="E4" s="158" t="s">
        <v>93</v>
      </c>
      <c r="F4" s="158" t="s">
        <v>94</v>
      </c>
      <c r="G4" s="159" t="s">
        <v>133</v>
      </c>
      <c r="H4" s="160"/>
      <c r="I4" s="158"/>
      <c r="J4" s="159" t="str">
        <f aca="false">CONCATENATE(J3,"-","D")</f>
        <v>CGPR-CHIPPAWA-D</v>
      </c>
      <c r="K4" s="160" t="str">
        <f aca="false">J3</f>
        <v>CGPR-CHIPPAWA</v>
      </c>
      <c r="L4" s="159" t="str">
        <f aca="false">CONCATENATE(K3,"-","I")</f>
        <v>CGPR-CHIPPAWA-I</v>
      </c>
      <c r="M4" s="160" t="str">
        <f aca="false">K3</f>
        <v>CGPR-CHIPPAWA</v>
      </c>
      <c r="O4" s="160" t="str">
        <f aca="false">K4</f>
        <v>CGPR-CHIPPAWA</v>
      </c>
      <c r="P4" s="160" t="str">
        <f aca="false">J4</f>
        <v>CGPR-CHIPPAWA-D</v>
      </c>
      <c r="Q4" s="158"/>
      <c r="R4" s="159" t="str">
        <f aca="false">CONCATENATE(R3,"-","D")</f>
        <v>CGPR-ST.CLAIR-D</v>
      </c>
      <c r="S4" s="160" t="str">
        <f aca="false">R3</f>
        <v>CGPR-ST.CLAIR</v>
      </c>
      <c r="T4" s="159" t="str">
        <f aca="false">CONCATENATE(S3,"-","I")</f>
        <v>CGPR-ST.CLAIR-I</v>
      </c>
      <c r="U4" s="160" t="str">
        <f aca="false">S3</f>
        <v>CGPR-ST.CLAIR</v>
      </c>
      <c r="V4" s="160" t="s">
        <v>134</v>
      </c>
      <c r="W4" s="160" t="str">
        <f aca="false">S4</f>
        <v>CGPR-ST.CLAIR</v>
      </c>
      <c r="X4" s="160" t="str">
        <f aca="false">R4</f>
        <v>CGPR-ST.CLAIR-D</v>
      </c>
      <c r="Z4" s="161" t="str">
        <f aca="false">IF(Z1="NG",CONCATENATE(Z1,"-","VO"),CONCATENATE(Z1,"-","P"))</f>
        <v>NG_OMICRON_11-P</v>
      </c>
      <c r="AA4" s="162" t="str">
        <f aca="false">IF(AA1="NG",CONCATENATE(AA1,"-","VO"),CONCATENATE(AA1,"-","P"))</f>
        <v>CGPR-DAWN-P</v>
      </c>
      <c r="AB4" s="162" t="s">
        <v>135</v>
      </c>
      <c r="AC4" s="161" t="str">
        <f aca="false">IF(AC1="NG",CONCATENATE(AC1,"-","VO"),CONCATENATE(AC1,"-","P"))</f>
        <v>NG_OMICRON_11-P</v>
      </c>
      <c r="AD4" s="162" t="str">
        <f aca="false">IF(AD1="NG",CONCATENATE(AD1,"-","VO"),CONCATENATE(AD1,"-","P"))</f>
        <v>CGPR-DAWN-P</v>
      </c>
      <c r="AE4" s="163" t="s">
        <v>136</v>
      </c>
      <c r="AF4" s="160" t="str">
        <f aca="false">J3</f>
        <v>CGPR-CHIPPAWA</v>
      </c>
      <c r="AG4" s="160" t="s">
        <v>81</v>
      </c>
      <c r="AH4" s="160" t="s">
        <v>167</v>
      </c>
      <c r="AI4" s="160" t="s">
        <v>81</v>
      </c>
      <c r="AJ4" s="160"/>
      <c r="AK4" s="160"/>
      <c r="AL4" s="160"/>
      <c r="AM4" s="160"/>
      <c r="AN4" s="160"/>
      <c r="AO4" s="164"/>
      <c r="AP4" s="164"/>
      <c r="AQ4" s="164" t="s">
        <v>137</v>
      </c>
      <c r="AR4" s="159" t="s">
        <v>138</v>
      </c>
      <c r="AS4" s="164"/>
      <c r="AT4" s="164"/>
      <c r="AU4" s="164"/>
      <c r="AW4" s="164"/>
      <c r="AX4" s="164" t="s">
        <v>139</v>
      </c>
      <c r="AY4" s="164"/>
      <c r="BA4" s="164"/>
      <c r="BC4" s="165" t="s">
        <v>140</v>
      </c>
    </row>
    <row r="5" customFormat="false" ht="12.75" hidden="false" customHeight="false" outlineLevel="0" collapsed="false">
      <c r="A5" s="158" t="s">
        <v>141</v>
      </c>
      <c r="B5" s="158" t="s">
        <v>32</v>
      </c>
      <c r="C5" s="158"/>
      <c r="D5" s="158" t="s">
        <v>32</v>
      </c>
      <c r="E5" s="158" t="s">
        <v>32</v>
      </c>
      <c r="F5" s="158" t="s">
        <v>32</v>
      </c>
      <c r="G5" s="158" t="s">
        <v>142</v>
      </c>
      <c r="H5" s="158" t="s">
        <v>142</v>
      </c>
      <c r="I5" s="158"/>
      <c r="J5" s="158" t="s">
        <v>118</v>
      </c>
      <c r="K5" s="158" t="s">
        <v>118</v>
      </c>
      <c r="L5" s="158" t="s">
        <v>119</v>
      </c>
      <c r="M5" s="158" t="s">
        <v>119</v>
      </c>
      <c r="O5" s="158" t="s">
        <v>97</v>
      </c>
      <c r="P5" s="158" t="s">
        <v>97</v>
      </c>
      <c r="Q5" s="158"/>
      <c r="R5" s="158" t="s">
        <v>118</v>
      </c>
      <c r="S5" s="158" t="s">
        <v>118</v>
      </c>
      <c r="T5" s="158" t="s">
        <v>119</v>
      </c>
      <c r="U5" s="158" t="s">
        <v>119</v>
      </c>
      <c r="V5" s="158" t="s">
        <v>101</v>
      </c>
      <c r="W5" s="158" t="s">
        <v>97</v>
      </c>
      <c r="X5" s="158" t="s">
        <v>97</v>
      </c>
      <c r="Z5" s="166" t="s">
        <v>143</v>
      </c>
      <c r="AA5" s="158" t="s">
        <v>143</v>
      </c>
      <c r="AB5" s="167" t="s">
        <v>143</v>
      </c>
      <c r="AC5" s="166" t="s">
        <v>143</v>
      </c>
      <c r="AD5" s="158" t="s">
        <v>143</v>
      </c>
      <c r="AE5" s="167" t="s">
        <v>144</v>
      </c>
      <c r="AF5" s="158" t="str">
        <f aca="false">S3</f>
        <v>CGPR-ST.CLAIR</v>
      </c>
      <c r="AG5" s="158" t="s">
        <v>151</v>
      </c>
      <c r="AH5" s="158" t="s">
        <v>168</v>
      </c>
      <c r="AI5" s="158"/>
      <c r="AJ5" s="158" t="s">
        <v>146</v>
      </c>
      <c r="AK5" s="158" t="s">
        <v>146</v>
      </c>
      <c r="AL5" s="158" t="s">
        <v>146</v>
      </c>
      <c r="AM5" s="158" t="s">
        <v>86</v>
      </c>
      <c r="AN5" s="158" t="s">
        <v>96</v>
      </c>
      <c r="AO5" s="168" t="s">
        <v>147</v>
      </c>
      <c r="AP5" s="168" t="s">
        <v>148</v>
      </c>
      <c r="AQ5" s="168" t="s">
        <v>148</v>
      </c>
      <c r="AR5" s="169" t="s">
        <v>149</v>
      </c>
      <c r="AS5" s="168" t="s">
        <v>148</v>
      </c>
      <c r="AT5" s="168" t="s">
        <v>150</v>
      </c>
      <c r="AU5" s="168" t="s">
        <v>150</v>
      </c>
      <c r="AW5" s="168" t="s">
        <v>97</v>
      </c>
      <c r="AX5" s="168" t="s">
        <v>86</v>
      </c>
      <c r="AY5" s="168" t="s">
        <v>96</v>
      </c>
      <c r="BA5" s="168" t="s">
        <v>151</v>
      </c>
      <c r="BC5" s="170" t="s">
        <v>86</v>
      </c>
    </row>
    <row r="6" customFormat="false" ht="12.75" hidden="false" customHeight="false" outlineLevel="0" collapsed="false">
      <c r="A6" s="171" t="s">
        <v>152</v>
      </c>
      <c r="B6" s="171" t="s">
        <v>153</v>
      </c>
      <c r="C6" s="171"/>
      <c r="D6" s="171" t="s">
        <v>153</v>
      </c>
      <c r="E6" s="171" t="s">
        <v>154</v>
      </c>
      <c r="F6" s="171" t="s">
        <v>154</v>
      </c>
      <c r="G6" s="171" t="s">
        <v>155</v>
      </c>
      <c r="H6" s="171" t="str">
        <f aca="false">CHOOSE(G3,"Bid","Offer")</f>
        <v>Bid</v>
      </c>
      <c r="I6" s="171"/>
      <c r="J6" s="171" t="s">
        <v>155</v>
      </c>
      <c r="K6" s="171" t="str">
        <f aca="false">H6</f>
        <v>Bid</v>
      </c>
      <c r="L6" s="171" t="s">
        <v>155</v>
      </c>
      <c r="M6" s="171" t="str">
        <f aca="false">K6</f>
        <v>Bid</v>
      </c>
      <c r="O6" s="171" t="s">
        <v>155</v>
      </c>
      <c r="P6" s="171" t="str">
        <f aca="false">K6</f>
        <v>Bid</v>
      </c>
      <c r="Q6" s="158"/>
      <c r="R6" s="171" t="s">
        <v>155</v>
      </c>
      <c r="S6" s="171" t="str">
        <f aca="false">IF(K6="Offer","Bid","Offer")</f>
        <v>Offer</v>
      </c>
      <c r="T6" s="171" t="s">
        <v>155</v>
      </c>
      <c r="U6" s="171" t="str">
        <f aca="false">S6</f>
        <v>Offer</v>
      </c>
      <c r="V6" s="171"/>
      <c r="W6" s="171" t="s">
        <v>155</v>
      </c>
      <c r="X6" s="171" t="str">
        <f aca="false">S6</f>
        <v>Offer</v>
      </c>
      <c r="Z6" s="172" t="s">
        <v>155</v>
      </c>
      <c r="AA6" s="171" t="str">
        <f aca="false">P6</f>
        <v>Bid</v>
      </c>
      <c r="AB6" s="173" t="s">
        <v>156</v>
      </c>
      <c r="AC6" s="172" t="str">
        <f aca="false">U6</f>
        <v>Offer</v>
      </c>
      <c r="AD6" s="171" t="s">
        <v>157</v>
      </c>
      <c r="AE6" s="173" t="s">
        <v>157</v>
      </c>
      <c r="AF6" s="174" t="s">
        <v>48</v>
      </c>
      <c r="AG6" s="171" t="s">
        <v>101</v>
      </c>
      <c r="AH6" s="171" t="s">
        <v>101</v>
      </c>
      <c r="AI6" s="171" t="s">
        <v>158</v>
      </c>
      <c r="AJ6" s="171" t="s">
        <v>159</v>
      </c>
      <c r="AK6" s="171" t="s">
        <v>160</v>
      </c>
      <c r="AL6" s="171" t="s">
        <v>102</v>
      </c>
      <c r="AM6" s="171" t="s">
        <v>102</v>
      </c>
      <c r="AN6" s="171" t="s">
        <v>102</v>
      </c>
      <c r="AO6" s="175" t="s">
        <v>161</v>
      </c>
      <c r="AP6" s="175" t="s">
        <v>44</v>
      </c>
      <c r="AQ6" s="175" t="s">
        <v>161</v>
      </c>
      <c r="AR6" s="176" t="s">
        <v>162</v>
      </c>
      <c r="AS6" s="175" t="s">
        <v>163</v>
      </c>
      <c r="AT6" s="175" t="s">
        <v>164</v>
      </c>
      <c r="AU6" s="175" t="s">
        <v>161</v>
      </c>
      <c r="AW6" s="175" t="s">
        <v>102</v>
      </c>
      <c r="AX6" s="175" t="s">
        <v>165</v>
      </c>
      <c r="AY6" s="175" t="s">
        <v>165</v>
      </c>
      <c r="BA6" s="175" t="s">
        <v>101</v>
      </c>
      <c r="BC6" s="177" t="s">
        <v>165</v>
      </c>
    </row>
    <row r="7" customFormat="false" ht="13.5" hidden="false" customHeight="false" outlineLevel="0" collapsed="false">
      <c r="A7" s="178"/>
      <c r="B7" s="178"/>
      <c r="C7" s="178"/>
      <c r="D7" s="178"/>
      <c r="Z7" s="21"/>
      <c r="AA7" s="21"/>
      <c r="AB7" s="21"/>
      <c r="AC7" s="21"/>
      <c r="AD7" s="21"/>
      <c r="AE7" s="21"/>
      <c r="AF7" s="21"/>
      <c r="AG7" s="21"/>
      <c r="AH7" s="21"/>
      <c r="AI7" s="21"/>
      <c r="AQ7" s="144"/>
      <c r="BC7" s="179"/>
    </row>
    <row r="8" customFormat="false" ht="13.5" hidden="false" customHeight="false" outlineLevel="0" collapsed="false">
      <c r="A8" s="180" t="s">
        <v>166</v>
      </c>
      <c r="B8" s="181"/>
      <c r="C8" s="181"/>
      <c r="D8" s="181" t="n">
        <f aca="false">SUM(D10:D500)</f>
        <v>20607572</v>
      </c>
      <c r="E8" s="181" t="n">
        <f aca="false">SUM(E10:E500)</f>
        <v>627165384</v>
      </c>
      <c r="F8" s="181" t="n">
        <f aca="false">SUM(F10:F370)</f>
        <v>3708555663.24706</v>
      </c>
      <c r="G8" s="182" t="e">
        <f aca="false">SUMPRODUCT(G10:G499,$F$10:$F$499)/SUM($F$10:$F$499)</f>
        <v>#N/A</v>
      </c>
      <c r="H8" s="182" t="e">
        <f aca="false">SUMPRODUCT(H10:H499,$F$10:$F$499)/SUM($F$10:$F$499)</f>
        <v>#N/A</v>
      </c>
      <c r="I8" s="182"/>
      <c r="J8" s="182" t="e">
        <f aca="false">SUMPRODUCT(J10:J499,$F$10:$F$499)/SUM($F$10:$F$499)</f>
        <v>#N/A</v>
      </c>
      <c r="K8" s="182" t="e">
        <f aca="false">SUMPRODUCT(K10:K499,$F$10:$F$499)/SUM($F$10:$F$499)</f>
        <v>#N/A</v>
      </c>
      <c r="L8" s="182" t="e">
        <f aca="false">SUMPRODUCT(L10:L499,$F$10:$F$499)/SUM($F$10:$F$499)</f>
        <v>#N/A</v>
      </c>
      <c r="M8" s="182" t="e">
        <f aca="false">SUMPRODUCT(M10:M499,$F$10:$F$499)/SUM($F$10:$F$499)</f>
        <v>#N/A</v>
      </c>
      <c r="O8" s="182" t="e">
        <f aca="false">SUMPRODUCT(O10:O499,$F$10:$F$499)/SUM($F$10:$F$499)</f>
        <v>#N/A</v>
      </c>
      <c r="P8" s="182" t="e">
        <f aca="false">SUMPRODUCT(P10:P499,$F$10:$F$499)/SUM($F$10:$F$499)</f>
        <v>#N/A</v>
      </c>
      <c r="Q8" s="182"/>
      <c r="R8" s="182" t="e">
        <f aca="false">SUMPRODUCT(R10:R499,$F$10:$F$499)/SUM($F$10:$F$499)</f>
        <v>#N/A</v>
      </c>
      <c r="S8" s="182" t="e">
        <f aca="false">SUMPRODUCT(S10:S499,$F$10:$F$499)/SUM($F$10:$F$499)</f>
        <v>#N/A</v>
      </c>
      <c r="T8" s="182" t="n">
        <f aca="false">SUMPRODUCT(T10:T499,$F$10:$F$499)/SUM($F$10:$F$499)</f>
        <v>0</v>
      </c>
      <c r="U8" s="182" t="n">
        <f aca="false">SUMPRODUCT(U10:U499,$F$10:$F$499)/SUM($F$10:$F$499)</f>
        <v>0</v>
      </c>
      <c r="V8" s="183" t="e">
        <f aca="false">SUMPRODUCT(V10:V499,F10:F499)/F8</f>
        <v>#N/A</v>
      </c>
      <c r="W8" s="182" t="e">
        <f aca="false">SUMPRODUCT(W10:W499,$F$10:$F$499)/SUM($F$10:$F$499)</f>
        <v>#N/A</v>
      </c>
      <c r="X8" s="182" t="e">
        <f aca="false">SUMPRODUCT(X10:X499,$F$10:$F$499)/SUM($F$10:$F$499)</f>
        <v>#N/A</v>
      </c>
      <c r="Y8" s="182"/>
      <c r="Z8" s="184"/>
      <c r="AA8" s="185"/>
      <c r="AB8" s="185"/>
      <c r="AC8" s="185"/>
      <c r="AD8" s="185"/>
      <c r="AE8" s="185"/>
      <c r="AF8" s="182"/>
      <c r="AG8" s="182"/>
      <c r="AH8" s="182" t="n">
        <f aca="false">SUMPRODUCT(AH10:AH300,F10:F300)/F8</f>
        <v>0.00514655416258674</v>
      </c>
      <c r="AI8" s="182"/>
      <c r="AJ8" s="182"/>
      <c r="AK8" s="182"/>
      <c r="AL8" s="182" t="e">
        <f aca="false">AW8/$E8</f>
        <v>#NAME?</v>
      </c>
      <c r="AM8" s="182" t="e">
        <f aca="false">BC8/$F8</f>
        <v>#N/A</v>
      </c>
      <c r="AN8" s="182" t="e">
        <f aca="false">AY8/$E8</f>
        <v>#N/A</v>
      </c>
      <c r="AR8" s="186"/>
      <c r="AT8" s="187" t="n">
        <f aca="false">SUM(AT10:AT500)</f>
        <v>166</v>
      </c>
      <c r="AU8" s="187" t="n">
        <f aca="false">SUM(AU10:AU500)</f>
        <v>5052</v>
      </c>
      <c r="AW8" s="188" t="e">
        <f aca="false">SUM(AW10:AW501)</f>
        <v>#NAME?</v>
      </c>
      <c r="AX8" s="188" t="e">
        <f aca="false">SUM(AX10:AX501)</f>
        <v>#N/A</v>
      </c>
      <c r="AY8" s="188" t="e">
        <f aca="false">SUM(AY10:AY501)</f>
        <v>#N/A</v>
      </c>
      <c r="BA8" s="188" t="n">
        <f aca="false">SUM(BA10:BA501)</f>
        <v>0</v>
      </c>
      <c r="BC8" s="189" t="e">
        <f aca="false">SUM(BC10:BC501)</f>
        <v>#N/A</v>
      </c>
    </row>
    <row r="9" customFormat="false" ht="12.75" hidden="false" customHeight="false" outlineLevel="0" collapsed="false">
      <c r="B9" s="190"/>
      <c r="C9" s="190"/>
      <c r="D9" s="190"/>
      <c r="E9" s="190"/>
      <c r="F9" s="190"/>
      <c r="G9" s="191"/>
      <c r="H9" s="191"/>
      <c r="I9" s="191"/>
      <c r="J9" s="191"/>
      <c r="K9" s="191"/>
      <c r="L9" s="191"/>
      <c r="M9" s="191"/>
      <c r="O9" s="191"/>
      <c r="P9" s="191"/>
      <c r="Q9" s="191"/>
      <c r="R9" s="191"/>
      <c r="S9" s="191"/>
      <c r="T9" s="191"/>
      <c r="U9" s="191"/>
      <c r="W9" s="191"/>
      <c r="X9" s="191"/>
      <c r="Y9" s="191"/>
      <c r="Z9" s="193"/>
      <c r="AA9" s="185"/>
      <c r="AB9" s="185"/>
      <c r="AC9" s="185"/>
      <c r="AD9" s="185"/>
      <c r="AE9" s="185"/>
      <c r="AF9" s="194"/>
      <c r="AG9" s="182"/>
      <c r="AH9" s="182"/>
      <c r="AI9" s="182"/>
      <c r="AJ9" s="191"/>
      <c r="AK9" s="191"/>
      <c r="AL9" s="191"/>
      <c r="AM9" s="191"/>
      <c r="AN9" s="191"/>
      <c r="AW9" s="195"/>
      <c r="BC9" s="179"/>
    </row>
    <row r="10" customFormat="false" ht="12.75" hidden="false" customHeight="false" outlineLevel="0" collapsed="false">
      <c r="A10" s="196" t="n">
        <f aca="false">A3</f>
        <v>37043</v>
      </c>
      <c r="B10" s="197" t="n">
        <f aca="false">Summary!O11</f>
        <v>124142</v>
      </c>
      <c r="C10" s="198"/>
      <c r="D10" s="197" t="n">
        <f aca="false">IF(A11&lt;&gt;"",B10+C10,"")</f>
        <v>124142</v>
      </c>
      <c r="E10" s="199" t="n">
        <f aca="false">IF(A11="","",IF(AND(AT10=1,$H$3=1),D10*AO10,IF($H$3=2,D10,"N/A")))</f>
        <v>3724260</v>
      </c>
      <c r="F10" s="199" t="n">
        <f aca="false">IF(A11="","",E10*AS10)</f>
        <v>39966988.2181626</v>
      </c>
      <c r="G10" s="200" t="e">
        <f aca="false">IF($A11="","",VLOOKUP($A10,Table,MATCH(G$4,Curves,0)))</f>
        <v>#N/A</v>
      </c>
      <c r="H10" s="201" t="e">
        <f aca="false">IF(A11="","",G10)</f>
        <v>#N/A</v>
      </c>
      <c r="I10" s="202"/>
      <c r="J10" s="200" t="e">
        <f aca="false">IF($A11="","",VLOOKUP($A10,Table,MATCH(J$4,Curves,0)))</f>
        <v>#N/A</v>
      </c>
      <c r="K10" s="201" t="e">
        <f aca="false">IF(A11="","",J10)</f>
        <v>#N/A</v>
      </c>
      <c r="L10" s="200" t="e">
        <f aca="false">IF($A11="","",VLOOKUP($A10,Table,MATCH(L$4,Curves,0)))</f>
        <v>#N/A</v>
      </c>
      <c r="M10" s="201" t="e">
        <f aca="false">IF(A11="","",L10)</f>
        <v>#N/A</v>
      </c>
      <c r="N10" s="203"/>
      <c r="O10" s="200" t="e">
        <f aca="false">IF(A11="","",L10+J10+G10)</f>
        <v>#N/A</v>
      </c>
      <c r="P10" s="200" t="e">
        <f aca="false">IF(A11="","",M10+K10+H10)</f>
        <v>#N/A</v>
      </c>
      <c r="Q10" s="204"/>
      <c r="R10" s="200" t="e">
        <f aca="false">IF($A11="","",VLOOKUP($A10,Table,MATCH(R$4,Curves,0)))</f>
        <v>#N/A</v>
      </c>
      <c r="S10" s="201" t="e">
        <f aca="false">IF(A11="","",R10)</f>
        <v>#N/A</v>
      </c>
      <c r="T10" s="185" t="n">
        <v>0</v>
      </c>
      <c r="U10" s="201" t="n">
        <f aca="false">IF(A11="","",T10)</f>
        <v>0</v>
      </c>
      <c r="V10" s="205" t="e">
        <f aca="false">IF($A11="","",IF(AND(MONTH(A10)&gt;3,MONTH(A10)&lt;11),(T10+R10+G10)*Summary!$T$11/(1-Summary!$T$11),(T10+R10+G10)*Summary!$U$11/(1-Summary!$U$11)))</f>
        <v>#N/A</v>
      </c>
      <c r="W10" s="202" t="e">
        <f aca="false">IF($A11="","",(T10+R10+G10+V10))</f>
        <v>#N/A</v>
      </c>
      <c r="X10" s="202" t="e">
        <f aca="false">IF($A11="","",(U10+S10+H10+V10))</f>
        <v>#N/A</v>
      </c>
      <c r="Y10" s="202"/>
      <c r="Z10" s="185" t="e">
        <f aca="false">IF($A11="","",VLOOKUP($A10,Table,MATCH(Z$4,Curves,0)))</f>
        <v>#N/A</v>
      </c>
      <c r="AA10" s="185" t="e">
        <f aca="false">IF($A11="","",VLOOKUP($A10,Table,MATCH(AA$4,Curves,0)))</f>
        <v>#N/A</v>
      </c>
      <c r="AB10" s="185" t="e">
        <f aca="false">SQRT((AA10^2*(A10-$D$3)+Z10^2*(DAY(EOMONTH(A10,0))/2))/AK10)</f>
        <v>#N/A</v>
      </c>
      <c r="AC10" s="185" t="e">
        <f aca="false">IF($A11="","",VLOOKUP($A10,Table,MATCH(AC$4,Curves,0)))</f>
        <v>#N/A</v>
      </c>
      <c r="AD10" s="185" t="e">
        <f aca="false">IF($A11="","",VLOOKUP($A10,Table,MATCH(AD$4,Curves,0)))</f>
        <v>#N/A</v>
      </c>
      <c r="AE10" s="185" t="e">
        <f aca="false">SQRT((AD10^2*(A10-$D$3)+AC10^2*(DAY(EOMONTH(A10,0))/2))/AK10)</f>
        <v>#N/A</v>
      </c>
      <c r="AF10" s="206" t="e">
        <f aca="false">((Summary!$N$11*(AA10*AD10)*(A10-$D$3))+(Summary!$M$11*Z10*AC10*(AJ10-EOMONTH(EDATE(A10,-1),0))))/(AK10*AB10*AE10)</f>
        <v>#N/A</v>
      </c>
      <c r="AG10" s="207" t="n">
        <f aca="false">IF($A11="","",Summary!$Q$11)</f>
        <v>0</v>
      </c>
      <c r="AH10" s="207" t="n">
        <f aca="false">IF($A11="","",IF(Summary!$R$11="Y",(VLOOKUP($A10,Summary!$AD$6:$AF$9,3)+'Escalating commodity'!G23),'Escalating commodity'!G23))</f>
        <v>0.0036970217296</v>
      </c>
      <c r="AI10" s="207" t="n">
        <f aca="false">IF($A11="","",AH10)</f>
        <v>0.0036970217296</v>
      </c>
      <c r="AJ10" s="208" t="n">
        <f aca="false">A10+DAY(EOMONTH(A10,0))/2-1</f>
        <v>37057</v>
      </c>
      <c r="AK10" s="209" t="n">
        <f aca="false">IF($A11="","",$A10-$E$1)</f>
        <v>-8883</v>
      </c>
      <c r="AL10" s="182" t="e">
        <f aca="false">IF($A11="","",SPRDOPT(P10,X10,AI10,0,AB10,AE10,AF10,AK10,$AJ$2,0))</f>
        <v>#NAME?</v>
      </c>
      <c r="AM10" s="210" t="e">
        <f aca="false">IF($A11="","",MAX(0,O10-W10-AI10))</f>
        <v>#N/A</v>
      </c>
      <c r="AN10" s="211" t="e">
        <f aca="false">IF($A11="","",AL10-AM10)</f>
        <v>#N/A</v>
      </c>
      <c r="AO10" s="137" t="n">
        <f aca="false">IF(A11="","",A11-A10)</f>
        <v>30</v>
      </c>
      <c r="AP10" s="212" t="n">
        <f aca="false">IF(A11="","",CHOOSE(F$3,A11+24,A10))</f>
        <v>37043</v>
      </c>
      <c r="AQ10" s="209" t="n">
        <f aca="false">IF(A11="","",AP10-$E$1)</f>
        <v>-8883</v>
      </c>
      <c r="AR10" s="185" t="n">
        <f aca="false">'ANR OK vs ML7'!AR10</f>
        <v>0.1</v>
      </c>
      <c r="AS10" s="213" t="n">
        <f aca="false">IF(A11="","",1/(1+CHOOSE(F$3,(AR11+($I$3/10000))/2,(AR10+($I$3/10000))/2))^(2*AQ10/365.25))</f>
        <v>10.7315247104559</v>
      </c>
      <c r="AT10" s="137" t="n">
        <f aca="false">IF(A11="","",IF(AND(mthbeg&lt;=A10,mthend&gt;=A10),1,0))</f>
        <v>1</v>
      </c>
      <c r="AU10" s="137" t="n">
        <f aca="false">IF(A11="","",AO10*AT10)</f>
        <v>30</v>
      </c>
      <c r="AW10" s="195" t="e">
        <f aca="false">IF($A11="","",AL10*$E10)</f>
        <v>#NAME?</v>
      </c>
      <c r="AX10" s="195" t="e">
        <f aca="false">IF($A11="","",AM10*$E10)</f>
        <v>#N/A</v>
      </c>
      <c r="AY10" s="195" t="e">
        <f aca="false">IF($A11="","",AN10*$E10)</f>
        <v>#N/A</v>
      </c>
      <c r="AZ10" s="214"/>
      <c r="BA10" s="195" t="n">
        <f aca="false">IF($A11="","",F10*Summary!$Q$11)</f>
        <v>0</v>
      </c>
      <c r="BC10" s="179" t="e">
        <f aca="false">IF(A11="","",AM10*F10)</f>
        <v>#N/A</v>
      </c>
    </row>
    <row r="11" customFormat="false" ht="12.75" hidden="false" customHeight="false" outlineLevel="0" collapsed="false">
      <c r="A11" s="196" t="n">
        <f aca="false">IF(A10&lt;mthend,EDATE(A10,1),"")</f>
        <v>37073</v>
      </c>
      <c r="B11" s="197" t="n">
        <f aca="false">IF(A11&lt;mthend,B10,"")</f>
        <v>124142</v>
      </c>
      <c r="C11" s="215"/>
      <c r="D11" s="197" t="n">
        <f aca="false">IF(A12&lt;&gt;"",B11+C11,"")</f>
        <v>124142</v>
      </c>
      <c r="E11" s="199" t="n">
        <f aca="false">IF(A12="","",IF(AND(AT11=1,$H$3=1),D11*AO11,IF($H$3=2,D11,"N/A")))</f>
        <v>3848402</v>
      </c>
      <c r="F11" s="199" t="n">
        <f aca="false">IF(A12="","",E11*AS11)</f>
        <v>40969538.6282285</v>
      </c>
      <c r="G11" s="200" t="e">
        <f aca="false">IF($A12="","",VLOOKUP($A11,Table,MATCH(G$4,Curves,0)))</f>
        <v>#N/A</v>
      </c>
      <c r="H11" s="201" t="e">
        <f aca="false">IF(A12="","",G11)</f>
        <v>#N/A</v>
      </c>
      <c r="I11" s="202"/>
      <c r="J11" s="200" t="e">
        <f aca="false">IF($A12="","",VLOOKUP($A11,Table,MATCH(J$4,Curves,0)))</f>
        <v>#N/A</v>
      </c>
      <c r="K11" s="201" t="e">
        <f aca="false">IF(A12="","",J11)</f>
        <v>#N/A</v>
      </c>
      <c r="L11" s="200" t="e">
        <f aca="false">IF($A12="","",VLOOKUP($A11,Table,MATCH(L$4,Curves,0)))</f>
        <v>#N/A</v>
      </c>
      <c r="M11" s="201" t="e">
        <f aca="false">IF(A12="","",L11)</f>
        <v>#N/A</v>
      </c>
      <c r="N11" s="203"/>
      <c r="O11" s="200" t="e">
        <f aca="false">IF(A12="","",L11+J11+G11)</f>
        <v>#N/A</v>
      </c>
      <c r="P11" s="200" t="e">
        <f aca="false">IF(A12="","",M11+K11+H11)</f>
        <v>#N/A</v>
      </c>
      <c r="Q11" s="204"/>
      <c r="R11" s="200" t="e">
        <f aca="false">IF($A12="","",VLOOKUP($A11,Table,MATCH(R$4,Curves,0)))</f>
        <v>#N/A</v>
      </c>
      <c r="S11" s="201" t="e">
        <f aca="false">IF(A12="","",R11)</f>
        <v>#N/A</v>
      </c>
      <c r="T11" s="185" t="n">
        <v>0</v>
      </c>
      <c r="U11" s="201" t="n">
        <f aca="false">IF(A12="","",T11)</f>
        <v>0</v>
      </c>
      <c r="V11" s="205" t="e">
        <f aca="false">IF($A12="","",IF(AND(MONTH(A11)&gt;3,MONTH(A11)&lt;11),(T11+R11+G11)*Summary!$T$11/(1-Summary!$T$11),(T11+R11+G11)*Summary!$U$11/(1-Summary!$U$11)))</f>
        <v>#N/A</v>
      </c>
      <c r="W11" s="202" t="e">
        <f aca="false">IF($A12="","",(T11+R11+G11+V11))</f>
        <v>#N/A</v>
      </c>
      <c r="X11" s="202" t="e">
        <f aca="false">IF($A12="","",(U11+S11+H11+V11))</f>
        <v>#N/A</v>
      </c>
      <c r="Y11" s="202"/>
      <c r="Z11" s="185" t="e">
        <f aca="false">IF($A12="","",VLOOKUP($A11,Table,MATCH(Z$4,Curves,0)))</f>
        <v>#N/A</v>
      </c>
      <c r="AA11" s="185" t="e">
        <f aca="false">IF($A12="","",VLOOKUP($A11,Table,MATCH(AA$4,Curves,0)))</f>
        <v>#N/A</v>
      </c>
      <c r="AB11" s="185" t="e">
        <f aca="false">SQRT((AA11^2*(A11-$D$3)+Z11^2*(DAY(EOMONTH(A11,0))/2))/AK11)</f>
        <v>#N/A</v>
      </c>
      <c r="AC11" s="185" t="e">
        <f aca="false">IF($A12="","",VLOOKUP($A11,Table,MATCH(AC$4,Curves,0)))</f>
        <v>#N/A</v>
      </c>
      <c r="AD11" s="185" t="e">
        <f aca="false">IF($A12="","",VLOOKUP($A11,Table,MATCH(AD$4,Curves,0)))</f>
        <v>#N/A</v>
      </c>
      <c r="AE11" s="185" t="e">
        <f aca="false">SQRT((AD11^2*(A11-$D$3)+AC11^2*(DAY(EOMONTH(A11,0))/2))/AK11)</f>
        <v>#N/A</v>
      </c>
      <c r="AF11" s="206" t="e">
        <f aca="false">((Summary!$N$11*(AA11*AD11)*(A11-$D$3))+(Summary!$M$11*Z11*AC11*(AJ11-EOMONTH(EDATE(A11,-1),0))))/(AK11*AB11*AE11)</f>
        <v>#N/A</v>
      </c>
      <c r="AG11" s="207" t="n">
        <f aca="false">IF($A12="","",Summary!$Q$11)</f>
        <v>0</v>
      </c>
      <c r="AH11" s="207" t="n">
        <f aca="false">IF($A12="","",IF(Summary!$R$11="Y",(VLOOKUP($A11,Summary!$AD$6:$AF$9,3)+'Escalating commodity'!G24),'Escalating commodity'!G24))</f>
        <v>0.0036970217296</v>
      </c>
      <c r="AI11" s="207" t="n">
        <f aca="false">IF($A12="","",AH11)</f>
        <v>0.0036970217296</v>
      </c>
      <c r="AJ11" s="208" t="n">
        <f aca="false">A11+DAY(EOMONTH(A11,0))/2-1</f>
        <v>37087.5</v>
      </c>
      <c r="AK11" s="209" t="n">
        <f aca="false">IF($A12="","",$A11-$E$1)</f>
        <v>-8853</v>
      </c>
      <c r="AL11" s="182" t="e">
        <f aca="false">IF($A12="","",SPRDOPT(P11,X11,AI11,0,AB11,AE11,AF11,AK11,$AJ$2,0))</f>
        <v>#NAME?</v>
      </c>
      <c r="AM11" s="210" t="e">
        <f aca="false">IF($A12="","",MAX(0,O11-W11-AI11))</f>
        <v>#N/A</v>
      </c>
      <c r="AN11" s="211" t="e">
        <f aca="false">IF($A12="","",AL11-AM11)</f>
        <v>#N/A</v>
      </c>
      <c r="AO11" s="137" t="n">
        <f aca="false">IF(A12="","",A12-A11)</f>
        <v>31</v>
      </c>
      <c r="AP11" s="212" t="n">
        <f aca="false">IF(A12="","",CHOOSE(F$3,A12+24,A11))</f>
        <v>37073</v>
      </c>
      <c r="AQ11" s="209" t="n">
        <f aca="false">IF(A12="","",AP11-$E$1)</f>
        <v>-8853</v>
      </c>
      <c r="AR11" s="185" t="n">
        <f aca="false">'ANR OK vs ML7'!AR11</f>
        <v>0.1</v>
      </c>
      <c r="AS11" s="213" t="n">
        <f aca="false">IF(A12="","",1/(1+CHOOSE(F$3,(AR12+($I$3/10000))/2,(AR11+($I$3/10000))/2))^(2*AQ11/365.25))</f>
        <v>10.6458573268147</v>
      </c>
      <c r="AT11" s="137" t="n">
        <f aca="false">IF(A12="","",IF(AND(mthbeg&lt;=A11,mthend&gt;=A11),1,0))</f>
        <v>1</v>
      </c>
      <c r="AU11" s="137" t="n">
        <f aca="false">IF(A12="","",AO11*AT11)</f>
        <v>31</v>
      </c>
      <c r="AW11" s="195" t="e">
        <f aca="false">IF($A12="","",AL11*$E11)</f>
        <v>#NAME?</v>
      </c>
      <c r="AX11" s="195" t="e">
        <f aca="false">IF($A12="","",AM11*$E11)</f>
        <v>#N/A</v>
      </c>
      <c r="AY11" s="195" t="e">
        <f aca="false">IF($A12="","",AN11*$E11)</f>
        <v>#N/A</v>
      </c>
      <c r="BA11" s="195" t="n">
        <f aca="false">IF($A12="","",F11*Summary!$Q$11)</f>
        <v>0</v>
      </c>
      <c r="BC11" s="179" t="e">
        <f aca="false">IF(A12="","",AM11*F11)</f>
        <v>#N/A</v>
      </c>
    </row>
    <row r="12" customFormat="false" ht="12.75" hidden="false" customHeight="false" outlineLevel="0" collapsed="false">
      <c r="A12" s="196" t="n">
        <f aca="false">IF(A11&lt;mthend,EDATE(A11,1),"")</f>
        <v>37104</v>
      </c>
      <c r="B12" s="197" t="n">
        <f aca="false">IF(A12&lt;mthend,B11,"")</f>
        <v>124142</v>
      </c>
      <c r="C12" s="215"/>
      <c r="D12" s="197" t="n">
        <f aca="false">IF(A13&lt;&gt;"",B12+C12,"")</f>
        <v>124142</v>
      </c>
      <c r="E12" s="199" t="n">
        <f aca="false">IF(A13="","",IF(AND(AT12=1,$H$3=1),D12*AO12,IF($H$3=2,D12,"N/A")))</f>
        <v>3848402</v>
      </c>
      <c r="F12" s="199" t="n">
        <f aca="false">IF(A13="","",E12*AS12)</f>
        <v>40631631.2681095</v>
      </c>
      <c r="G12" s="200" t="e">
        <f aca="false">IF($A13="","",VLOOKUP($A12,Table,MATCH(G$4,Curves,0)))</f>
        <v>#N/A</v>
      </c>
      <c r="H12" s="201" t="e">
        <f aca="false">IF(A13="","",G12)</f>
        <v>#N/A</v>
      </c>
      <c r="I12" s="202"/>
      <c r="J12" s="200" t="e">
        <f aca="false">IF($A13="","",VLOOKUP($A12,Table,MATCH(J$4,Curves,0)))</f>
        <v>#N/A</v>
      </c>
      <c r="K12" s="201" t="e">
        <f aca="false">IF(A13="","",J12)</f>
        <v>#N/A</v>
      </c>
      <c r="L12" s="200" t="e">
        <f aca="false">IF($A13="","",VLOOKUP($A12,Table,MATCH(L$4,Curves,0)))</f>
        <v>#N/A</v>
      </c>
      <c r="M12" s="201" t="e">
        <f aca="false">IF(A13="","",L12)</f>
        <v>#N/A</v>
      </c>
      <c r="N12" s="203"/>
      <c r="O12" s="200" t="e">
        <f aca="false">IF(A13="","",L12+J12+G12)</f>
        <v>#N/A</v>
      </c>
      <c r="P12" s="200" t="e">
        <f aca="false">IF(A13="","",M12+K12+H12)</f>
        <v>#N/A</v>
      </c>
      <c r="Q12" s="204"/>
      <c r="R12" s="200" t="e">
        <f aca="false">IF($A13="","",VLOOKUP($A12,Table,MATCH(R$4,Curves,0)))</f>
        <v>#N/A</v>
      </c>
      <c r="S12" s="201" t="e">
        <f aca="false">IF(A13="","",R12)</f>
        <v>#N/A</v>
      </c>
      <c r="T12" s="185" t="n">
        <v>0</v>
      </c>
      <c r="U12" s="201" t="n">
        <f aca="false">IF(A13="","",T12)</f>
        <v>0</v>
      </c>
      <c r="V12" s="205" t="e">
        <f aca="false">IF($A13="","",IF(AND(MONTH(A12)&gt;3,MONTH(A12)&lt;11),(T12+R12+G12)*Summary!$T$11/(1-Summary!$T$11),(T12+R12+G12)*Summary!$U$11/(1-Summary!$U$11)))</f>
        <v>#N/A</v>
      </c>
      <c r="W12" s="202" t="e">
        <f aca="false">IF($A13="","",(T12+R12+G12+V12))</f>
        <v>#N/A</v>
      </c>
      <c r="X12" s="202" t="e">
        <f aca="false">IF($A13="","",(U12+S12+H12+V12))</f>
        <v>#N/A</v>
      </c>
      <c r="Y12" s="202"/>
      <c r="Z12" s="185" t="e">
        <f aca="false">IF($A13="","",VLOOKUP($A12,Table,MATCH(Z$4,Curves,0)))</f>
        <v>#N/A</v>
      </c>
      <c r="AA12" s="185" t="e">
        <f aca="false">IF($A13="","",VLOOKUP($A12,Table,MATCH(AA$4,Curves,0)))</f>
        <v>#N/A</v>
      </c>
      <c r="AB12" s="185" t="e">
        <f aca="false">SQRT((AA12^2*(A12-$D$3)+Z12^2*(DAY(EOMONTH(A12,0))/2))/AK12)</f>
        <v>#N/A</v>
      </c>
      <c r="AC12" s="185" t="e">
        <f aca="false">IF($A13="","",VLOOKUP($A12,Table,MATCH(AC$4,Curves,0)))</f>
        <v>#N/A</v>
      </c>
      <c r="AD12" s="185" t="e">
        <f aca="false">IF($A13="","",VLOOKUP($A12,Table,MATCH(AD$4,Curves,0)))</f>
        <v>#N/A</v>
      </c>
      <c r="AE12" s="185" t="e">
        <f aca="false">SQRT((AD12^2*(A12-$D$3)+AC12^2*(DAY(EOMONTH(A12,0))/2))/AK12)</f>
        <v>#N/A</v>
      </c>
      <c r="AF12" s="206" t="e">
        <f aca="false">((Summary!$N$11*(AA12*AD12)*(A12-$D$3))+(Summary!$M$11*Z12*AC12*(AJ12-EOMONTH(EDATE(A12,-1),0))))/(AK12*AB12*AE12)</f>
        <v>#N/A</v>
      </c>
      <c r="AG12" s="207" t="n">
        <f aca="false">IF($A13="","",Summary!$Q$11)</f>
        <v>0</v>
      </c>
      <c r="AH12" s="207" t="n">
        <f aca="false">IF($A13="","",IF(Summary!$R$11="Y",(VLOOKUP($A12,Summary!$AD$6:$AF$9,3)+'Escalating commodity'!G25),'Escalating commodity'!G25))</f>
        <v>0.0036970217296</v>
      </c>
      <c r="AI12" s="207" t="n">
        <f aca="false">IF($A13="","",AH12)</f>
        <v>0.0036970217296</v>
      </c>
      <c r="AJ12" s="208" t="n">
        <f aca="false">A12+DAY(EOMONTH(A12,0))/2-1</f>
        <v>37118.5</v>
      </c>
      <c r="AK12" s="209" t="n">
        <f aca="false">IF($A13="","",$A12-$E$1)</f>
        <v>-8822</v>
      </c>
      <c r="AL12" s="182" t="e">
        <f aca="false">IF($A13="","",SPRDOPT(P12,X12,AI12,0,AB12,AE12,AF12,AK12,$AJ$2,0))</f>
        <v>#NAME?</v>
      </c>
      <c r="AM12" s="210" t="e">
        <f aca="false">IF($A13="","",MAX(0,O12-W12-AI12))</f>
        <v>#N/A</v>
      </c>
      <c r="AN12" s="211" t="e">
        <f aca="false">IF($A13="","",AL12-AM12)</f>
        <v>#N/A</v>
      </c>
      <c r="AO12" s="137" t="n">
        <f aca="false">IF(A13="","",A13-A12)</f>
        <v>31</v>
      </c>
      <c r="AP12" s="212" t="n">
        <f aca="false">IF(A13="","",CHOOSE(F$3,A13+24,A12))</f>
        <v>37104</v>
      </c>
      <c r="AQ12" s="209" t="n">
        <f aca="false">IF(A13="","",AP12-$E$1)</f>
        <v>-8822</v>
      </c>
      <c r="AR12" s="185" t="n">
        <f aca="false">'ANR OK vs ML7'!AR12</f>
        <v>0.1</v>
      </c>
      <c r="AS12" s="213" t="n">
        <f aca="false">IF(A13="","",1/(1+CHOOSE(F$3,(AR13+($I$3/10000))/2,(AR12+($I$3/10000))/2))^(2*AQ12/365.25))</f>
        <v>10.5580527367228</v>
      </c>
      <c r="AT12" s="137" t="n">
        <f aca="false">IF(A13="","",IF(AND(mthbeg&lt;=A12,mthend&gt;=A12),1,0))</f>
        <v>1</v>
      </c>
      <c r="AU12" s="137" t="n">
        <f aca="false">IF(A13="","",AO12*AT12)</f>
        <v>31</v>
      </c>
      <c r="AW12" s="195" t="e">
        <f aca="false">IF($A13="","",AL12*$E12)</f>
        <v>#NAME?</v>
      </c>
      <c r="AX12" s="195" t="e">
        <f aca="false">IF($A13="","",AM12*$E12)</f>
        <v>#N/A</v>
      </c>
      <c r="AY12" s="195" t="e">
        <f aca="false">IF($A13="","",AN12*$E12)</f>
        <v>#N/A</v>
      </c>
      <c r="BA12" s="195" t="n">
        <f aca="false">IF($A13="","",F12*Summary!$Q$11)</f>
        <v>0</v>
      </c>
      <c r="BC12" s="179" t="e">
        <f aca="false">IF(A13="","",AM12*F12)</f>
        <v>#N/A</v>
      </c>
    </row>
    <row r="13" customFormat="false" ht="12.75" hidden="false" customHeight="false" outlineLevel="0" collapsed="false">
      <c r="A13" s="196" t="n">
        <f aca="false">IF(A12&lt;mthend,EDATE(A12,1),"")</f>
        <v>37135</v>
      </c>
      <c r="B13" s="197" t="n">
        <f aca="false">IF(A13&lt;mthend,B12,"")</f>
        <v>124142</v>
      </c>
      <c r="C13" s="215"/>
      <c r="D13" s="197" t="n">
        <f aca="false">IF(A14&lt;&gt;"",B13+C13,"")</f>
        <v>124142</v>
      </c>
      <c r="E13" s="199" t="n">
        <f aca="false">IF(A14="","",IF(AND(AT13=1,$H$3=1),D13*AO13,IF($H$3=2,D13,"N/A")))</f>
        <v>3724260</v>
      </c>
      <c r="F13" s="199" t="n">
        <f aca="false">IF(A14="","",E13*AS13)</f>
        <v>38996623.4423353</v>
      </c>
      <c r="G13" s="200" t="e">
        <f aca="false">IF($A14="","",VLOOKUP($A13,Table,MATCH(G$4,Curves,0)))</f>
        <v>#N/A</v>
      </c>
      <c r="H13" s="201" t="e">
        <f aca="false">IF(A14="","",G13)</f>
        <v>#N/A</v>
      </c>
      <c r="I13" s="202"/>
      <c r="J13" s="200" t="e">
        <f aca="false">IF($A14="","",VLOOKUP($A13,Table,MATCH(J$4,Curves,0)))</f>
        <v>#N/A</v>
      </c>
      <c r="K13" s="201" t="e">
        <f aca="false">IF(A14="","",J13)</f>
        <v>#N/A</v>
      </c>
      <c r="L13" s="200" t="e">
        <f aca="false">IF($A14="","",VLOOKUP($A13,Table,MATCH(L$4,Curves,0)))</f>
        <v>#N/A</v>
      </c>
      <c r="M13" s="201" t="e">
        <f aca="false">IF(A14="","",L13)</f>
        <v>#N/A</v>
      </c>
      <c r="N13" s="203"/>
      <c r="O13" s="200" t="e">
        <f aca="false">IF(A14="","",L13+J13+G13)</f>
        <v>#N/A</v>
      </c>
      <c r="P13" s="200" t="e">
        <f aca="false">IF(A14="","",M13+K13+H13)</f>
        <v>#N/A</v>
      </c>
      <c r="Q13" s="204"/>
      <c r="R13" s="200" t="e">
        <f aca="false">IF($A14="","",VLOOKUP($A13,Table,MATCH(R$4,Curves,0)))</f>
        <v>#N/A</v>
      </c>
      <c r="S13" s="201" t="e">
        <f aca="false">IF(A14="","",R13)</f>
        <v>#N/A</v>
      </c>
      <c r="T13" s="185" t="n">
        <v>0</v>
      </c>
      <c r="U13" s="201" t="n">
        <f aca="false">IF(A14="","",T13)</f>
        <v>0</v>
      </c>
      <c r="V13" s="205" t="e">
        <f aca="false">IF($A14="","",IF(AND(MONTH(A13)&gt;3,MONTH(A13)&lt;11),(T13+R13+G13)*Summary!$T$11/(1-Summary!$T$11),(T13+R13+G13)*Summary!$U$11/(1-Summary!$U$11)))</f>
        <v>#N/A</v>
      </c>
      <c r="W13" s="202" t="e">
        <f aca="false">IF($A14="","",(T13+R13+G13+V13))</f>
        <v>#N/A</v>
      </c>
      <c r="X13" s="202" t="e">
        <f aca="false">IF($A14="","",(U13+S13+H13+V13))</f>
        <v>#N/A</v>
      </c>
      <c r="Y13" s="202"/>
      <c r="Z13" s="185" t="e">
        <f aca="false">IF($A14="","",VLOOKUP($A13,Table,MATCH(Z$4,Curves,0)))</f>
        <v>#N/A</v>
      </c>
      <c r="AA13" s="185" t="e">
        <f aca="false">IF($A14="","",VLOOKUP($A13,Table,MATCH(AA$4,Curves,0)))</f>
        <v>#N/A</v>
      </c>
      <c r="AB13" s="185" t="e">
        <f aca="false">SQRT((AA13^2*(A13-$D$3)+Z13^2*(DAY(EOMONTH(A13,0))/2))/AK13)</f>
        <v>#N/A</v>
      </c>
      <c r="AC13" s="185" t="e">
        <f aca="false">IF($A14="","",VLOOKUP($A13,Table,MATCH(AC$4,Curves,0)))</f>
        <v>#N/A</v>
      </c>
      <c r="AD13" s="185" t="e">
        <f aca="false">IF($A14="","",VLOOKUP($A13,Table,MATCH(AD$4,Curves,0)))</f>
        <v>#N/A</v>
      </c>
      <c r="AE13" s="185" t="e">
        <f aca="false">SQRT((AD13^2*(A13-$D$3)+AC13^2*(DAY(EOMONTH(A13,0))/2))/AK13)</f>
        <v>#N/A</v>
      </c>
      <c r="AF13" s="206" t="e">
        <f aca="false">((Summary!$N$11*(AA13*AD13)*(A13-$D$3))+(Summary!$M$11*Z13*AC13*(AJ13-EOMONTH(EDATE(A13,-1),0))))/(AK13*AB13*AE13)</f>
        <v>#N/A</v>
      </c>
      <c r="AG13" s="207" t="n">
        <f aca="false">IF($A14="","",Summary!$Q$11)</f>
        <v>0</v>
      </c>
      <c r="AH13" s="207" t="n">
        <f aca="false">IF($A14="","",IF(Summary!$R$11="Y",(VLOOKUP($A13,Summary!$AD$6:$AF$9,3)+'Escalating commodity'!G26),'Escalating commodity'!G26))</f>
        <v>0.0036970217296</v>
      </c>
      <c r="AI13" s="207" t="n">
        <f aca="false">IF($A14="","",AH13)</f>
        <v>0.0036970217296</v>
      </c>
      <c r="AJ13" s="208" t="n">
        <f aca="false">A13+DAY(EOMONTH(A13,0))/2-1</f>
        <v>37149</v>
      </c>
      <c r="AK13" s="209" t="n">
        <f aca="false">IF($A14="","",$A13-$E$1)</f>
        <v>-8791</v>
      </c>
      <c r="AL13" s="182" t="e">
        <f aca="false">IF($A14="","",SPRDOPT(P13,X13,AI13,0,AB13,AE13,AF13,AK13,$AJ$2,0))</f>
        <v>#NAME?</v>
      </c>
      <c r="AM13" s="210" t="e">
        <f aca="false">IF($A14="","",MAX(0,O13-W13-AI13))</f>
        <v>#N/A</v>
      </c>
      <c r="AN13" s="211" t="e">
        <f aca="false">IF($A14="","",AL13-AM13)</f>
        <v>#N/A</v>
      </c>
      <c r="AO13" s="137" t="n">
        <f aca="false">IF(A14="","",A14-A13)</f>
        <v>30</v>
      </c>
      <c r="AP13" s="212" t="n">
        <f aca="false">IF(A14="","",CHOOSE(F$3,A14+24,A13))</f>
        <v>37135</v>
      </c>
      <c r="AQ13" s="209" t="n">
        <f aca="false">IF(A14="","",AP13-$E$1)</f>
        <v>-8791</v>
      </c>
      <c r="AR13" s="185" t="n">
        <f aca="false">'ANR OK vs ML7'!AR13</f>
        <v>0.1</v>
      </c>
      <c r="AS13" s="213" t="n">
        <f aca="false">IF(A14="","",1/(1+CHOOSE(F$3,(AR14+($I$3/10000))/2,(AR13+($I$3/10000))/2))^(2*AQ13/365.25))</f>
        <v>10.470972338756</v>
      </c>
      <c r="AT13" s="137" t="n">
        <f aca="false">IF(A14="","",IF(AND(mthbeg&lt;=A13,mthend&gt;=A13),1,0))</f>
        <v>1</v>
      </c>
      <c r="AU13" s="137" t="n">
        <f aca="false">IF(A14="","",AO13*AT13)</f>
        <v>30</v>
      </c>
      <c r="AW13" s="195" t="e">
        <f aca="false">IF($A14="","",AL13*$E13)</f>
        <v>#NAME?</v>
      </c>
      <c r="AX13" s="195" t="e">
        <f aca="false">IF($A14="","",AM13*$E13)</f>
        <v>#N/A</v>
      </c>
      <c r="AY13" s="195" t="e">
        <f aca="false">IF($A14="","",AN13*$E13)</f>
        <v>#N/A</v>
      </c>
      <c r="BA13" s="195" t="n">
        <f aca="false">IF($A14="","",F13*Summary!$Q$11)</f>
        <v>0</v>
      </c>
      <c r="BC13" s="179" t="e">
        <f aca="false">IF(A14="","",AM13*F13)</f>
        <v>#N/A</v>
      </c>
    </row>
    <row r="14" customFormat="false" ht="12.75" hidden="false" customHeight="false" outlineLevel="0" collapsed="false">
      <c r="A14" s="196" t="n">
        <f aca="false">IF(A13&lt;mthend,EDATE(A13,1),"")</f>
        <v>37165</v>
      </c>
      <c r="B14" s="197" t="n">
        <f aca="false">IF(A14&lt;mthend,B13,"")</f>
        <v>124142</v>
      </c>
      <c r="C14" s="215"/>
      <c r="D14" s="197" t="n">
        <f aca="false">IF(A15&lt;&gt;"",B14+C14,"")</f>
        <v>124142</v>
      </c>
      <c r="E14" s="199" t="n">
        <f aca="false">IF(A15="","",IF(AND(AT14=1,$H$3=1),D14*AO14,IF($H$3=2,D14,"N/A")))</f>
        <v>3848402</v>
      </c>
      <c r="F14" s="199" t="n">
        <f aca="false">IF(A15="","",E14*AS14)</f>
        <v>39974832.7737437</v>
      </c>
      <c r="G14" s="200" t="e">
        <f aca="false">IF($A15="","",VLOOKUP($A14,Table,MATCH(G$4,Curves,0)))</f>
        <v>#N/A</v>
      </c>
      <c r="H14" s="201" t="e">
        <f aca="false">IF(A15="","",G14)</f>
        <v>#N/A</v>
      </c>
      <c r="I14" s="202"/>
      <c r="J14" s="200" t="e">
        <f aca="false">IF($A15="","",VLOOKUP($A14,Table,MATCH(J$4,Curves,0)))</f>
        <v>#N/A</v>
      </c>
      <c r="K14" s="201" t="e">
        <f aca="false">IF(A15="","",J14)</f>
        <v>#N/A</v>
      </c>
      <c r="L14" s="200" t="e">
        <f aca="false">IF($A15="","",VLOOKUP($A14,Table,MATCH(L$4,Curves,0)))</f>
        <v>#N/A</v>
      </c>
      <c r="M14" s="201" t="e">
        <f aca="false">IF(A15="","",L14)</f>
        <v>#N/A</v>
      </c>
      <c r="N14" s="203"/>
      <c r="O14" s="200" t="e">
        <f aca="false">IF(A15="","",L14+J14+G14)</f>
        <v>#N/A</v>
      </c>
      <c r="P14" s="200" t="e">
        <f aca="false">IF(A15="","",M14+K14+H14)</f>
        <v>#N/A</v>
      </c>
      <c r="Q14" s="204"/>
      <c r="R14" s="200" t="e">
        <f aca="false">IF($A15="","",VLOOKUP($A14,Table,MATCH(R$4,Curves,0)))</f>
        <v>#N/A</v>
      </c>
      <c r="S14" s="201" t="e">
        <f aca="false">IF(A15="","",R14)</f>
        <v>#N/A</v>
      </c>
      <c r="T14" s="185" t="n">
        <v>0</v>
      </c>
      <c r="U14" s="201" t="n">
        <f aca="false">IF(A15="","",T14)</f>
        <v>0</v>
      </c>
      <c r="V14" s="205" t="e">
        <f aca="false">IF($A15="","",IF(AND(MONTH(A14)&gt;3,MONTH(A14)&lt;11),(T14+R14+G14)*Summary!$T$11/(1-Summary!$T$11),(T14+R14+G14)*Summary!$U$11/(1-Summary!$U$11)))</f>
        <v>#N/A</v>
      </c>
      <c r="W14" s="202" t="e">
        <f aca="false">IF($A15="","",(T14+R14+G14+V14))</f>
        <v>#N/A</v>
      </c>
      <c r="X14" s="202" t="e">
        <f aca="false">IF($A15="","",(U14+S14+H14+V14))</f>
        <v>#N/A</v>
      </c>
      <c r="Y14" s="202"/>
      <c r="Z14" s="185" t="e">
        <f aca="false">IF($A15="","",VLOOKUP($A14,Table,MATCH(Z$4,Curves,0)))</f>
        <v>#N/A</v>
      </c>
      <c r="AA14" s="185" t="e">
        <f aca="false">IF($A15="","",VLOOKUP($A14,Table,MATCH(AA$4,Curves,0)))</f>
        <v>#N/A</v>
      </c>
      <c r="AB14" s="185" t="e">
        <f aca="false">SQRT((AA14^2*(A14-$D$3)+Z14^2*(DAY(EOMONTH(A14,0))/2))/AK14)</f>
        <v>#N/A</v>
      </c>
      <c r="AC14" s="185" t="e">
        <f aca="false">IF($A15="","",VLOOKUP($A14,Table,MATCH(AC$4,Curves,0)))</f>
        <v>#N/A</v>
      </c>
      <c r="AD14" s="185" t="e">
        <f aca="false">IF($A15="","",VLOOKUP($A14,Table,MATCH(AD$4,Curves,0)))</f>
        <v>#N/A</v>
      </c>
      <c r="AE14" s="185" t="e">
        <f aca="false">SQRT((AD14^2*(A14-$D$3)+AC14^2*(DAY(EOMONTH(A14,0))/2))/AK14)</f>
        <v>#N/A</v>
      </c>
      <c r="AF14" s="206" t="e">
        <f aca="false">((Summary!$N$11*(AA14*AD14)*(A14-$D$3))+(Summary!$M$11*Z14*AC14*(AJ14-EOMONTH(EDATE(A14,-1),0))))/(AK14*AB14*AE14)</f>
        <v>#N/A</v>
      </c>
      <c r="AG14" s="207" t="n">
        <f aca="false">IF($A15="","",Summary!$Q$11)</f>
        <v>0</v>
      </c>
      <c r="AH14" s="207" t="n">
        <f aca="false">IF($A15="","",IF(Summary!$R$11="Y",(VLOOKUP($A14,Summary!$AD$6:$AF$9,3)+'Escalating commodity'!G27),'Escalating commodity'!G27))</f>
        <v>0.0036970217296</v>
      </c>
      <c r="AI14" s="207" t="n">
        <f aca="false">IF($A15="","",AH14)</f>
        <v>0.0036970217296</v>
      </c>
      <c r="AJ14" s="208" t="n">
        <f aca="false">A14+DAY(EOMONTH(A14,0))/2-1</f>
        <v>37179.5</v>
      </c>
      <c r="AK14" s="209" t="n">
        <f aca="false">IF($A15="","",$A14-$E$1)</f>
        <v>-8761</v>
      </c>
      <c r="AL14" s="182" t="e">
        <f aca="false">IF($A15="","",SPRDOPT(P14,X14,AI14,0,AB14,AE14,AF14,AK14,$AJ$2,0))</f>
        <v>#NAME?</v>
      </c>
      <c r="AM14" s="210" t="e">
        <f aca="false">IF($A15="","",MAX(0,O14-W14-AI14))</f>
        <v>#N/A</v>
      </c>
      <c r="AN14" s="211" t="e">
        <f aca="false">IF($A15="","",AL14-AM14)</f>
        <v>#N/A</v>
      </c>
      <c r="AO14" s="137" t="n">
        <f aca="false">IF(A15="","",A15-A14)</f>
        <v>31</v>
      </c>
      <c r="AP14" s="212" t="n">
        <f aca="false">IF(A15="","",CHOOSE(F$3,A15+24,A14))</f>
        <v>37165</v>
      </c>
      <c r="AQ14" s="209" t="n">
        <f aca="false">IF(A15="","",AP14-$E$1)</f>
        <v>-8761</v>
      </c>
      <c r="AR14" s="185" t="n">
        <f aca="false">'ANR OK vs ML7'!AR14</f>
        <v>0.1</v>
      </c>
      <c r="AS14" s="213" t="n">
        <f aca="false">IF(A15="","",1/(1+CHOOSE(F$3,(AR15+($I$3/10000))/2,(AR14+($I$3/10000))/2))^(2*AQ14/365.25))</f>
        <v>10.3873848869592</v>
      </c>
      <c r="AT14" s="137" t="n">
        <f aca="false">IF(A15="","",IF(AND(mthbeg&lt;=A14,mthend&gt;=A14),1,0))</f>
        <v>1</v>
      </c>
      <c r="AU14" s="137" t="n">
        <f aca="false">IF(A15="","",AO14*AT14)</f>
        <v>31</v>
      </c>
      <c r="AW14" s="195" t="e">
        <f aca="false">IF($A15="","",AL14*$E14)</f>
        <v>#NAME?</v>
      </c>
      <c r="AX14" s="195" t="e">
        <f aca="false">IF($A15="","",AM14*$E14)</f>
        <v>#N/A</v>
      </c>
      <c r="AY14" s="195" t="e">
        <f aca="false">IF($A15="","",AN14*$E14)</f>
        <v>#N/A</v>
      </c>
      <c r="BA14" s="195" t="n">
        <f aca="false">IF($A15="","",F14*Summary!$Q$11)</f>
        <v>0</v>
      </c>
      <c r="BC14" s="179" t="e">
        <f aca="false">IF(A15="","",AM14*F14)</f>
        <v>#N/A</v>
      </c>
    </row>
    <row r="15" customFormat="false" ht="12.75" hidden="false" customHeight="false" outlineLevel="0" collapsed="false">
      <c r="A15" s="196" t="n">
        <f aca="false">IF(A14&lt;mthend,EDATE(A14,1),"")</f>
        <v>37196</v>
      </c>
      <c r="B15" s="197" t="n">
        <f aca="false">IF(A15&lt;mthend,B14,"")</f>
        <v>124142</v>
      </c>
      <c r="C15" s="215"/>
      <c r="D15" s="197" t="n">
        <f aca="false">IF(A16&lt;&gt;"",B15+C15,"")</f>
        <v>124142</v>
      </c>
      <c r="E15" s="199" t="n">
        <f aca="false">IF(A16="","",IF(AND(AT15=1,$H$3=1),D15*AO15,IF($H$3=2,D15,"N/A")))</f>
        <v>3724260</v>
      </c>
      <c r="F15" s="199" t="n">
        <f aca="false">IF(A16="","",E15*AS15)</f>
        <v>38366254.3736345</v>
      </c>
      <c r="G15" s="200" t="e">
        <f aca="false">IF($A16="","",VLOOKUP($A15,Table,MATCH(G$4,Curves,0)))</f>
        <v>#N/A</v>
      </c>
      <c r="H15" s="201" t="e">
        <f aca="false">IF(A16="","",G15)</f>
        <v>#N/A</v>
      </c>
      <c r="I15" s="202"/>
      <c r="J15" s="200" t="e">
        <f aca="false">IF($A16="","",VLOOKUP($A15,Table,MATCH(J$4,Curves,0)))</f>
        <v>#N/A</v>
      </c>
      <c r="K15" s="201" t="e">
        <f aca="false">IF(A16="","",J15)</f>
        <v>#N/A</v>
      </c>
      <c r="L15" s="200" t="e">
        <f aca="false">IF($A16="","",VLOOKUP($A15,Table,MATCH(L$4,Curves,0)))</f>
        <v>#N/A</v>
      </c>
      <c r="M15" s="201" t="e">
        <f aca="false">IF(A16="","",L15)</f>
        <v>#N/A</v>
      </c>
      <c r="N15" s="203"/>
      <c r="O15" s="200" t="e">
        <f aca="false">IF(A16="","",L15+J15+G15)</f>
        <v>#N/A</v>
      </c>
      <c r="P15" s="200" t="e">
        <f aca="false">IF(A16="","",M15+K15+H15)</f>
        <v>#N/A</v>
      </c>
      <c r="Q15" s="204"/>
      <c r="R15" s="200" t="e">
        <f aca="false">IF($A16="","",VLOOKUP($A15,Table,MATCH(R$4,Curves,0)))</f>
        <v>#N/A</v>
      </c>
      <c r="S15" s="201" t="e">
        <f aca="false">IF(A16="","",R15)</f>
        <v>#N/A</v>
      </c>
      <c r="T15" s="185" t="n">
        <v>0</v>
      </c>
      <c r="U15" s="201" t="n">
        <f aca="false">IF(A16="","",T15)</f>
        <v>0</v>
      </c>
      <c r="V15" s="205" t="e">
        <f aca="false">IF($A16="","",IF(AND(MONTH(A15)&gt;3,MONTH(A15)&lt;11),(T15+R15+G15)*Summary!$T$11/(1-Summary!$T$11),(T15+R15+G15)*Summary!$U$11/(1-Summary!$U$11)))</f>
        <v>#N/A</v>
      </c>
      <c r="W15" s="202" t="e">
        <f aca="false">IF($A16="","",(T15+R15+G15+V15))</f>
        <v>#N/A</v>
      </c>
      <c r="X15" s="202" t="e">
        <f aca="false">IF($A16="","",(U15+S15+H15+V15))</f>
        <v>#N/A</v>
      </c>
      <c r="Y15" s="202"/>
      <c r="Z15" s="185" t="e">
        <f aca="false">IF($A16="","",VLOOKUP($A15,Table,MATCH(Z$4,Curves,0)))</f>
        <v>#N/A</v>
      </c>
      <c r="AA15" s="185" t="e">
        <f aca="false">IF($A16="","",VLOOKUP($A15,Table,MATCH(AA$4,Curves,0)))</f>
        <v>#N/A</v>
      </c>
      <c r="AB15" s="185" t="e">
        <f aca="false">SQRT((AA15^2*(A15-$D$3)+Z15^2*(DAY(EOMONTH(A15,0))/2))/AK15)</f>
        <v>#N/A</v>
      </c>
      <c r="AC15" s="185" t="e">
        <f aca="false">IF($A16="","",VLOOKUP($A15,Table,MATCH(AC$4,Curves,0)))</f>
        <v>#N/A</v>
      </c>
      <c r="AD15" s="185" t="e">
        <f aca="false">IF($A16="","",VLOOKUP($A15,Table,MATCH(AD$4,Curves,0)))</f>
        <v>#N/A</v>
      </c>
      <c r="AE15" s="185" t="e">
        <f aca="false">SQRT((AD15^2*(A15-$D$3)+AC15^2*(DAY(EOMONTH(A15,0))/2))/AK15)</f>
        <v>#N/A</v>
      </c>
      <c r="AF15" s="206" t="e">
        <f aca="false">((Summary!$N$11*(AA15*AD15)*(A15-$D$3))+(Summary!$M$11*Z15*AC15*(AJ15-EOMONTH(EDATE(A15,-1),0))))/(AK15*AB15*AE15)</f>
        <v>#N/A</v>
      </c>
      <c r="AG15" s="207" t="n">
        <f aca="false">IF($A16="","",Summary!$Q$11)</f>
        <v>0</v>
      </c>
      <c r="AH15" s="207" t="n">
        <f aca="false">IF($A16="","",IF(Summary!$R$11="Y",(VLOOKUP($A15,Summary!$AD$6:$AF$9,3)+'Escalating commodity'!G28),'Escalating commodity'!G28))</f>
        <v>0.0036970217296</v>
      </c>
      <c r="AI15" s="207" t="n">
        <f aca="false">IF($A16="","",AH15)</f>
        <v>0.0036970217296</v>
      </c>
      <c r="AJ15" s="208" t="n">
        <f aca="false">A15+DAY(EOMONTH(A15,0))/2-1</f>
        <v>37210</v>
      </c>
      <c r="AK15" s="209" t="n">
        <f aca="false">IF($A16="","",$A15-$E$1)</f>
        <v>-8730</v>
      </c>
      <c r="AL15" s="182" t="e">
        <f aca="false">IF($A16="","",SPRDOPT(P15,X15,AI15,0,AB15,AE15,AF15,AK15,$AJ$2,0))</f>
        <v>#NAME?</v>
      </c>
      <c r="AM15" s="210" t="e">
        <f aca="false">IF($A16="","",MAX(0,O15-W15-AI15))</f>
        <v>#N/A</v>
      </c>
      <c r="AN15" s="211" t="e">
        <f aca="false">IF($A16="","",AL15-AM15)</f>
        <v>#N/A</v>
      </c>
      <c r="AO15" s="137" t="n">
        <f aca="false">IF(A16="","",A16-A15)</f>
        <v>30</v>
      </c>
      <c r="AP15" s="212" t="n">
        <f aca="false">IF(A16="","",CHOOSE(F$3,A16+24,A15))</f>
        <v>37196</v>
      </c>
      <c r="AQ15" s="209" t="n">
        <f aca="false">IF(A16="","",AP15-$E$1)</f>
        <v>-8730</v>
      </c>
      <c r="AR15" s="185" t="n">
        <f aca="false">'ANR OK vs ML7'!AR15</f>
        <v>0.1</v>
      </c>
      <c r="AS15" s="213" t="n">
        <f aca="false">IF(A16="","",1/(1+CHOOSE(F$3,(AR16+($I$3/10000))/2,(AR15+($I$3/10000))/2))^(2*AQ15/365.25))</f>
        <v>10.3017121182824</v>
      </c>
      <c r="AT15" s="137" t="n">
        <f aca="false">IF(A16="","",IF(AND(mthbeg&lt;=A15,mthend&gt;=A15),1,0))</f>
        <v>1</v>
      </c>
      <c r="AU15" s="137" t="n">
        <f aca="false">IF(A16="","",AO15*AT15)</f>
        <v>30</v>
      </c>
      <c r="AW15" s="195" t="e">
        <f aca="false">IF($A16="","",AL15*$E15)</f>
        <v>#NAME?</v>
      </c>
      <c r="AX15" s="195" t="e">
        <f aca="false">IF($A16="","",AM15*$E15)</f>
        <v>#N/A</v>
      </c>
      <c r="AY15" s="195" t="e">
        <f aca="false">IF($A16="","",AN15*$E15)</f>
        <v>#N/A</v>
      </c>
      <c r="BA15" s="195" t="n">
        <f aca="false">IF($A16="","",F15*Summary!$Q$11)</f>
        <v>0</v>
      </c>
      <c r="BC15" s="179" t="e">
        <f aca="false">IF(A16="","",AM15*F15)</f>
        <v>#N/A</v>
      </c>
    </row>
    <row r="16" customFormat="false" ht="12.75" hidden="false" customHeight="false" outlineLevel="0" collapsed="false">
      <c r="A16" s="196" t="n">
        <f aca="false">IF(A15&lt;mthend,EDATE(A15,1),"")</f>
        <v>37226</v>
      </c>
      <c r="B16" s="197" t="n">
        <f aca="false">IF(A16&lt;mthend,B15,"")</f>
        <v>124142</v>
      </c>
      <c r="C16" s="215"/>
      <c r="D16" s="197" t="n">
        <f aca="false">IF(A17&lt;&gt;"",B16+C16,"")</f>
        <v>124142</v>
      </c>
      <c r="E16" s="199" t="n">
        <f aca="false">IF(A17="","",IF(AND(AT16=1,$H$3=1),D16*AO16,IF($H$3=2,D16,"N/A")))</f>
        <v>3848402</v>
      </c>
      <c r="F16" s="199" t="n">
        <f aca="false">IF(A17="","",E16*AS16)</f>
        <v>39328651.2358904</v>
      </c>
      <c r="G16" s="200" t="e">
        <f aca="false">IF($A17="","",VLOOKUP($A16,Table,MATCH(G$4,Curves,0)))</f>
        <v>#N/A</v>
      </c>
      <c r="H16" s="201" t="e">
        <f aca="false">IF(A17="","",G16)</f>
        <v>#N/A</v>
      </c>
      <c r="I16" s="202"/>
      <c r="J16" s="200" t="e">
        <f aca="false">IF($A17="","",VLOOKUP($A16,Table,MATCH(J$4,Curves,0)))</f>
        <v>#N/A</v>
      </c>
      <c r="K16" s="201" t="e">
        <f aca="false">IF(A17="","",J16)</f>
        <v>#N/A</v>
      </c>
      <c r="L16" s="200" t="e">
        <f aca="false">IF($A17="","",VLOOKUP($A16,Table,MATCH(L$4,Curves,0)))</f>
        <v>#N/A</v>
      </c>
      <c r="M16" s="201" t="e">
        <f aca="false">IF(A17="","",L16)</f>
        <v>#N/A</v>
      </c>
      <c r="N16" s="203"/>
      <c r="O16" s="200" t="e">
        <f aca="false">IF(A17="","",L16+J16+G16)</f>
        <v>#N/A</v>
      </c>
      <c r="P16" s="200" t="e">
        <f aca="false">IF(A17="","",M16+K16+H16)</f>
        <v>#N/A</v>
      </c>
      <c r="Q16" s="204"/>
      <c r="R16" s="200" t="e">
        <f aca="false">IF($A17="","",VLOOKUP($A16,Table,MATCH(R$4,Curves,0)))</f>
        <v>#N/A</v>
      </c>
      <c r="S16" s="201" t="e">
        <f aca="false">IF(A17="","",R16)</f>
        <v>#N/A</v>
      </c>
      <c r="T16" s="185" t="n">
        <v>0</v>
      </c>
      <c r="U16" s="201" t="n">
        <f aca="false">IF(A17="","",T16)</f>
        <v>0</v>
      </c>
      <c r="V16" s="205" t="e">
        <f aca="false">IF($A17="","",IF(AND(MONTH(A16)&gt;3,MONTH(A16)&lt;11),(T16+R16+G16)*Summary!$T$11/(1-Summary!$T$11),(T16+R16+G16)*Summary!$U$11/(1-Summary!$U$11)))</f>
        <v>#N/A</v>
      </c>
      <c r="W16" s="202" t="e">
        <f aca="false">IF($A17="","",(T16+R16+G16+V16))</f>
        <v>#N/A</v>
      </c>
      <c r="X16" s="202" t="e">
        <f aca="false">IF($A17="","",(U16+S16+H16+V16))</f>
        <v>#N/A</v>
      </c>
      <c r="Y16" s="202"/>
      <c r="Z16" s="185" t="e">
        <f aca="false">IF($A17="","",VLOOKUP($A16,Table,MATCH(Z$4,Curves,0)))</f>
        <v>#N/A</v>
      </c>
      <c r="AA16" s="185" t="e">
        <f aca="false">IF($A17="","",VLOOKUP($A16,Table,MATCH(AA$4,Curves,0)))</f>
        <v>#N/A</v>
      </c>
      <c r="AB16" s="185" t="e">
        <f aca="false">SQRT((AA16^2*(A16-$D$3)+Z16^2*(DAY(EOMONTH(A16,0))/2))/AK16)</f>
        <v>#N/A</v>
      </c>
      <c r="AC16" s="185" t="e">
        <f aca="false">IF($A17="","",VLOOKUP($A16,Table,MATCH(AC$4,Curves,0)))</f>
        <v>#N/A</v>
      </c>
      <c r="AD16" s="185" t="e">
        <f aca="false">IF($A17="","",VLOOKUP($A16,Table,MATCH(AD$4,Curves,0)))</f>
        <v>#N/A</v>
      </c>
      <c r="AE16" s="185" t="e">
        <f aca="false">SQRT((AD16^2*(A16-$D$3)+AC16^2*(DAY(EOMONTH(A16,0))/2))/AK16)</f>
        <v>#N/A</v>
      </c>
      <c r="AF16" s="206" t="e">
        <f aca="false">((Summary!$N$11*(AA16*AD16)*(A16-$D$3))+(Summary!$M$11*Z16*AC16*(AJ16-EOMONTH(EDATE(A16,-1),0))))/(AK16*AB16*AE16)</f>
        <v>#N/A</v>
      </c>
      <c r="AG16" s="207" t="n">
        <f aca="false">IF($A17="","",Summary!$Q$11)</f>
        <v>0</v>
      </c>
      <c r="AH16" s="207" t="n">
        <f aca="false">IF($A17="","",IF(Summary!$R$11="Y",(VLOOKUP($A16,Summary!$AD$6:$AF$9,3)+'Escalating commodity'!G29),'Escalating commodity'!G29))</f>
        <v>0.0036970217296</v>
      </c>
      <c r="AI16" s="207" t="n">
        <f aca="false">IF($A17="","",AH16)</f>
        <v>0.0036970217296</v>
      </c>
      <c r="AJ16" s="208" t="n">
        <f aca="false">A16+DAY(EOMONTH(A16,0))/2-1</f>
        <v>37240.5</v>
      </c>
      <c r="AK16" s="209" t="n">
        <f aca="false">IF($A17="","",$A16-$E$1)</f>
        <v>-8700</v>
      </c>
      <c r="AL16" s="182" t="e">
        <f aca="false">IF($A17="","",SPRDOPT(P16,X16,AI16,0,AB16,AE16,AF16,AK16,$AJ$2,0))</f>
        <v>#NAME?</v>
      </c>
      <c r="AM16" s="210" t="e">
        <f aca="false">IF($A17="","",MAX(0,O16-W16-AI16))</f>
        <v>#N/A</v>
      </c>
      <c r="AN16" s="211" t="e">
        <f aca="false">IF($A17="","",AL16-AM16)</f>
        <v>#N/A</v>
      </c>
      <c r="AO16" s="137" t="n">
        <f aca="false">IF(A17="","",A17-A16)</f>
        <v>31</v>
      </c>
      <c r="AP16" s="212" t="n">
        <f aca="false">IF(A17="","",CHOOSE(F$3,A17+24,A16))</f>
        <v>37226</v>
      </c>
      <c r="AQ16" s="209" t="n">
        <f aca="false">IF(A17="","",AP16-$E$1)</f>
        <v>-8700</v>
      </c>
      <c r="AR16" s="185" t="n">
        <f aca="false">'ANR OK vs ML7'!AR16</f>
        <v>0.1</v>
      </c>
      <c r="AS16" s="213" t="n">
        <f aca="false">IF(A17="","",1/(1+CHOOSE(F$3,(AR17+($I$3/10000))/2,(AR16+($I$3/10000))/2))^(2*AQ16/365.25))</f>
        <v>10.2194758333174</v>
      </c>
      <c r="AT16" s="137" t="n">
        <f aca="false">IF(A17="","",IF(AND(mthbeg&lt;=A16,mthend&gt;=A16),1,0))</f>
        <v>1</v>
      </c>
      <c r="AU16" s="137" t="n">
        <f aca="false">IF(A17="","",AO16*AT16)</f>
        <v>31</v>
      </c>
      <c r="AW16" s="195" t="e">
        <f aca="false">IF($A17="","",AL16*$E16)</f>
        <v>#NAME?</v>
      </c>
      <c r="AX16" s="195" t="e">
        <f aca="false">IF($A17="","",AM16*$E16)</f>
        <v>#N/A</v>
      </c>
      <c r="AY16" s="195" t="e">
        <f aca="false">IF($A17="","",AN16*$E16)</f>
        <v>#N/A</v>
      </c>
      <c r="BA16" s="195" t="n">
        <f aca="false">IF($A17="","",F16*Summary!$Q$11)</f>
        <v>0</v>
      </c>
      <c r="BC16" s="179" t="e">
        <f aca="false">IF(A17="","",AM16*F16)</f>
        <v>#N/A</v>
      </c>
    </row>
    <row r="17" customFormat="false" ht="12.75" hidden="false" customHeight="false" outlineLevel="0" collapsed="false">
      <c r="A17" s="196" t="n">
        <f aca="false">IF(A16&lt;mthend,EDATE(A16,1),"")</f>
        <v>37257</v>
      </c>
      <c r="B17" s="197" t="n">
        <f aca="false">IF(A17&lt;mthend,B16,"")</f>
        <v>124142</v>
      </c>
      <c r="C17" s="215"/>
      <c r="D17" s="197" t="n">
        <f aca="false">IF(A18&lt;&gt;"",B17+C17,"")</f>
        <v>124142</v>
      </c>
      <c r="E17" s="199" t="n">
        <f aca="false">IF(A18="","",IF(AND(AT17=1,$H$3=1),D17*AO17,IF($H$3=2,D17,"N/A")))</f>
        <v>3848402</v>
      </c>
      <c r="F17" s="199" t="n">
        <f aca="false">IF(A18="","",E17*AS17)</f>
        <v>39004277.5387211</v>
      </c>
      <c r="G17" s="200" t="e">
        <f aca="false">IF($A18="","",VLOOKUP($A17,Table,MATCH(G$4,Curves,0)))</f>
        <v>#N/A</v>
      </c>
      <c r="H17" s="201" t="e">
        <f aca="false">IF(A18="","",G17)</f>
        <v>#N/A</v>
      </c>
      <c r="I17" s="202"/>
      <c r="J17" s="200" t="e">
        <f aca="false">IF($A18="","",VLOOKUP($A17,Table,MATCH(J$4,Curves,0)))</f>
        <v>#N/A</v>
      </c>
      <c r="K17" s="201" t="e">
        <f aca="false">IF(A18="","",J17)</f>
        <v>#N/A</v>
      </c>
      <c r="L17" s="200" t="e">
        <f aca="false">IF($A18="","",VLOOKUP($A17,Table,MATCH(L$4,Curves,0)))</f>
        <v>#N/A</v>
      </c>
      <c r="M17" s="201" t="e">
        <f aca="false">IF(A18="","",L17)</f>
        <v>#N/A</v>
      </c>
      <c r="N17" s="203"/>
      <c r="O17" s="200" t="e">
        <f aca="false">IF(A18="","",L17+J17+G17)</f>
        <v>#N/A</v>
      </c>
      <c r="P17" s="200" t="e">
        <f aca="false">IF(A18="","",M17+K17+H17)</f>
        <v>#N/A</v>
      </c>
      <c r="Q17" s="204"/>
      <c r="R17" s="200" t="e">
        <f aca="false">IF($A18="","",VLOOKUP($A17,Table,MATCH(R$4,Curves,0)))</f>
        <v>#N/A</v>
      </c>
      <c r="S17" s="201" t="e">
        <f aca="false">IF(A18="","",R17)</f>
        <v>#N/A</v>
      </c>
      <c r="T17" s="185" t="n">
        <v>0</v>
      </c>
      <c r="U17" s="201" t="n">
        <f aca="false">IF(A18="","",T17)</f>
        <v>0</v>
      </c>
      <c r="V17" s="205" t="e">
        <f aca="false">IF($A18="","",IF(AND(MONTH(A17)&gt;3,MONTH(A17)&lt;11),(T17+R17+G17)*Summary!$T$11/(1-Summary!$T$11),(T17+R17+G17)*Summary!$U$11/(1-Summary!$U$11)))</f>
        <v>#N/A</v>
      </c>
      <c r="W17" s="202" t="e">
        <f aca="false">IF($A18="","",(T17+R17+G17+V17))</f>
        <v>#N/A</v>
      </c>
      <c r="X17" s="202" t="e">
        <f aca="false">IF($A18="","",(U17+S17+H17+V17))</f>
        <v>#N/A</v>
      </c>
      <c r="Y17" s="202"/>
      <c r="Z17" s="185" t="e">
        <f aca="false">IF($A18="","",VLOOKUP($A17,Table,MATCH(Z$4,Curves,0)))</f>
        <v>#N/A</v>
      </c>
      <c r="AA17" s="185" t="e">
        <f aca="false">IF($A18="","",VLOOKUP($A17,Table,MATCH(AA$4,Curves,0)))</f>
        <v>#N/A</v>
      </c>
      <c r="AB17" s="185" t="e">
        <f aca="false">SQRT((AA17^2*(A17-$D$3)+Z17^2*(DAY(EOMONTH(A17,0))/2))/AK17)</f>
        <v>#N/A</v>
      </c>
      <c r="AC17" s="185" t="e">
        <f aca="false">IF($A18="","",VLOOKUP($A17,Table,MATCH(AC$4,Curves,0)))</f>
        <v>#N/A</v>
      </c>
      <c r="AD17" s="185" t="e">
        <f aca="false">IF($A18="","",VLOOKUP($A17,Table,MATCH(AD$4,Curves,0)))</f>
        <v>#N/A</v>
      </c>
      <c r="AE17" s="185" t="e">
        <f aca="false">SQRT((AD17^2*(A17-$D$3)+AC17^2*(DAY(EOMONTH(A17,0))/2))/AK17)</f>
        <v>#N/A</v>
      </c>
      <c r="AF17" s="206" t="e">
        <f aca="false">((Summary!$N$11*(AA17*AD17)*(A17-$D$3))+(Summary!$M$11*Z17*AC17*(AJ17-EOMONTH(EDATE(A17,-1),0))))/(AK17*AB17*AE17)</f>
        <v>#N/A</v>
      </c>
      <c r="AG17" s="207" t="n">
        <f aca="false">IF($A18="","",Summary!$Q$11)</f>
        <v>0</v>
      </c>
      <c r="AH17" s="207" t="n">
        <f aca="false">IF($A18="","",IF(Summary!$R$11="Y",(VLOOKUP($A17,Summary!$AD$6:$AF$9,3)+'Escalating commodity'!G30),'Escalating commodity'!G30))</f>
        <v>0.0038892668595392</v>
      </c>
      <c r="AI17" s="207" t="n">
        <f aca="false">IF($A18="","",AH17)</f>
        <v>0.0038892668595392</v>
      </c>
      <c r="AJ17" s="208" t="n">
        <f aca="false">A17+DAY(EOMONTH(A17,0))/2-1</f>
        <v>37271.5</v>
      </c>
      <c r="AK17" s="209" t="n">
        <f aca="false">IF($A18="","",$A17-$E$1)</f>
        <v>-8669</v>
      </c>
      <c r="AL17" s="182" t="e">
        <f aca="false">IF($A18="","",SPRDOPT(P17,X17,AI17,0,AB17,AE17,AF17,AK17,$AJ$2,0))</f>
        <v>#NAME?</v>
      </c>
      <c r="AM17" s="210" t="e">
        <f aca="false">IF($A18="","",MAX(0,O17-W17-AI17))</f>
        <v>#N/A</v>
      </c>
      <c r="AN17" s="211" t="e">
        <f aca="false">IF($A18="","",AL17-AM17)</f>
        <v>#N/A</v>
      </c>
      <c r="AO17" s="137" t="n">
        <f aca="false">IF(A18="","",A18-A17)</f>
        <v>31</v>
      </c>
      <c r="AP17" s="212" t="n">
        <f aca="false">IF(A18="","",CHOOSE(F$3,A18+24,A17))</f>
        <v>37257</v>
      </c>
      <c r="AQ17" s="209" t="n">
        <f aca="false">IF(A18="","",AP17-$E$1)</f>
        <v>-8669</v>
      </c>
      <c r="AR17" s="185" t="n">
        <f aca="false">'ANR OK vs ML7'!AR17</f>
        <v>0.1</v>
      </c>
      <c r="AS17" s="213" t="n">
        <f aca="false">IF(A18="","",1/(1+CHOOSE(F$3,(AR18+($I$3/10000))/2,(AR17+($I$3/10000))/2))^(2*AQ17/365.25))</f>
        <v>10.1351879400128</v>
      </c>
      <c r="AT17" s="137" t="n">
        <f aca="false">IF(A18="","",IF(AND(mthbeg&lt;=A17,mthend&gt;=A17),1,0))</f>
        <v>1</v>
      </c>
      <c r="AU17" s="137" t="n">
        <f aca="false">IF(A18="","",AO17*AT17)</f>
        <v>31</v>
      </c>
      <c r="AW17" s="195" t="e">
        <f aca="false">IF($A18="","",AL17*$E17)</f>
        <v>#NAME?</v>
      </c>
      <c r="AX17" s="195" t="e">
        <f aca="false">IF($A18="","",AM17*$E17)</f>
        <v>#N/A</v>
      </c>
      <c r="AY17" s="195" t="e">
        <f aca="false">IF($A18="","",AN17*$E17)</f>
        <v>#N/A</v>
      </c>
      <c r="BA17" s="195" t="n">
        <f aca="false">IF($A18="","",F17*Summary!$Q$11)</f>
        <v>0</v>
      </c>
      <c r="BC17" s="179" t="e">
        <f aca="false">IF(A18="","",AM17*F17)</f>
        <v>#N/A</v>
      </c>
    </row>
    <row r="18" customFormat="false" ht="12.75" hidden="false" customHeight="false" outlineLevel="0" collapsed="false">
      <c r="A18" s="196" t="n">
        <f aca="false">IF(A17&lt;mthend,EDATE(A17,1),"")</f>
        <v>37288</v>
      </c>
      <c r="B18" s="197" t="n">
        <f aca="false">IF(A18&lt;mthend,B17,"")</f>
        <v>124142</v>
      </c>
      <c r="C18" s="215"/>
      <c r="D18" s="197" t="n">
        <f aca="false">IF(A19&lt;&gt;"",B18+C18,"")</f>
        <v>124142</v>
      </c>
      <c r="E18" s="199" t="n">
        <f aca="false">IF(A19="","",IF(AND(AT18=1,$H$3=1),D18*AO18,IF($H$3=2,D18,"N/A")))</f>
        <v>3475976</v>
      </c>
      <c r="F18" s="199" t="n">
        <f aca="false">IF(A19="","",E18*AS18)</f>
        <v>34939103.7948361</v>
      </c>
      <c r="G18" s="200" t="e">
        <f aca="false">IF($A19="","",VLOOKUP($A18,Table,MATCH(G$4,Curves,0)))</f>
        <v>#N/A</v>
      </c>
      <c r="H18" s="201" t="e">
        <f aca="false">IF(A19="","",G18)</f>
        <v>#N/A</v>
      </c>
      <c r="I18" s="202"/>
      <c r="J18" s="200" t="e">
        <f aca="false">IF($A19="","",VLOOKUP($A18,Table,MATCH(J$4,Curves,0)))</f>
        <v>#N/A</v>
      </c>
      <c r="K18" s="201" t="e">
        <f aca="false">IF(A19="","",J18)</f>
        <v>#N/A</v>
      </c>
      <c r="L18" s="200" t="e">
        <f aca="false">IF($A19="","",VLOOKUP($A18,Table,MATCH(L$4,Curves,0)))</f>
        <v>#N/A</v>
      </c>
      <c r="M18" s="201" t="e">
        <f aca="false">IF(A19="","",L18)</f>
        <v>#N/A</v>
      </c>
      <c r="N18" s="203"/>
      <c r="O18" s="200" t="e">
        <f aca="false">IF(A19="","",L18+J18+G18)</f>
        <v>#N/A</v>
      </c>
      <c r="P18" s="200" t="e">
        <f aca="false">IF(A19="","",M18+K18+H18)</f>
        <v>#N/A</v>
      </c>
      <c r="Q18" s="204"/>
      <c r="R18" s="200" t="e">
        <f aca="false">IF($A19="","",VLOOKUP($A18,Table,MATCH(R$4,Curves,0)))</f>
        <v>#N/A</v>
      </c>
      <c r="S18" s="201" t="e">
        <f aca="false">IF(A19="","",R18)</f>
        <v>#N/A</v>
      </c>
      <c r="T18" s="185" t="n">
        <v>0</v>
      </c>
      <c r="U18" s="201" t="n">
        <f aca="false">IF(A19="","",T18)</f>
        <v>0</v>
      </c>
      <c r="V18" s="205" t="e">
        <f aca="false">IF($A19="","",IF(AND(MONTH(A18)&gt;3,MONTH(A18)&lt;11),(T18+R18+G18)*Summary!$T$11/(1-Summary!$T$11),(T18+R18+G18)*Summary!$U$11/(1-Summary!$U$11)))</f>
        <v>#N/A</v>
      </c>
      <c r="W18" s="202" t="e">
        <f aca="false">IF($A19="","",(T18+R18+G18+V18))</f>
        <v>#N/A</v>
      </c>
      <c r="X18" s="202" t="e">
        <f aca="false">IF($A19="","",(U18+S18+H18+V18))</f>
        <v>#N/A</v>
      </c>
      <c r="Y18" s="202"/>
      <c r="Z18" s="185" t="e">
        <f aca="false">IF($A19="","",VLOOKUP($A18,Table,MATCH(Z$4,Curves,0)))</f>
        <v>#N/A</v>
      </c>
      <c r="AA18" s="185" t="e">
        <f aca="false">IF($A19="","",VLOOKUP($A18,Table,MATCH(AA$4,Curves,0)))</f>
        <v>#N/A</v>
      </c>
      <c r="AB18" s="185" t="e">
        <f aca="false">SQRT((AA18^2*(A18-$D$3)+Z18^2*(DAY(EOMONTH(A18,0))/2))/AK18)</f>
        <v>#N/A</v>
      </c>
      <c r="AC18" s="185" t="e">
        <f aca="false">IF($A19="","",VLOOKUP($A18,Table,MATCH(AC$4,Curves,0)))</f>
        <v>#N/A</v>
      </c>
      <c r="AD18" s="185" t="e">
        <f aca="false">IF($A19="","",VLOOKUP($A18,Table,MATCH(AD$4,Curves,0)))</f>
        <v>#N/A</v>
      </c>
      <c r="AE18" s="185" t="e">
        <f aca="false">SQRT((AD18^2*(A18-$D$3)+AC18^2*(DAY(EOMONTH(A18,0))/2))/AK18)</f>
        <v>#N/A</v>
      </c>
      <c r="AF18" s="206" t="e">
        <f aca="false">((Summary!$N$11*(AA18*AD18)*(A18-$D$3))+(Summary!$M$11*Z18*AC18*(AJ18-EOMONTH(EDATE(A18,-1),0))))/(AK18*AB18*AE18)</f>
        <v>#N/A</v>
      </c>
      <c r="AG18" s="207" t="n">
        <f aca="false">IF($A19="","",Summary!$Q$11)</f>
        <v>0</v>
      </c>
      <c r="AH18" s="207" t="n">
        <f aca="false">IF($A19="","",IF(Summary!$R$11="Y",(VLOOKUP($A18,Summary!$AD$6:$AF$9,3)+'Escalating commodity'!G31),'Escalating commodity'!G31))</f>
        <v>0.0038892668595392</v>
      </c>
      <c r="AI18" s="207" t="n">
        <f aca="false">IF($A19="","",AH18)</f>
        <v>0.0038892668595392</v>
      </c>
      <c r="AJ18" s="208" t="n">
        <f aca="false">A18+DAY(EOMONTH(A18,0))/2-1</f>
        <v>37301</v>
      </c>
      <c r="AK18" s="209" t="n">
        <f aca="false">IF($A19="","",$A18-$E$1)</f>
        <v>-8638</v>
      </c>
      <c r="AL18" s="182" t="e">
        <f aca="false">IF($A19="","",SPRDOPT(P18,X18,AI18,0,AB18,AE18,AF18,AK18,$AJ$2,0))</f>
        <v>#NAME?</v>
      </c>
      <c r="AM18" s="210" t="e">
        <f aca="false">IF($A19="","",MAX(0,O18-W18-AI18))</f>
        <v>#N/A</v>
      </c>
      <c r="AN18" s="211" t="e">
        <f aca="false">IF($A19="","",AL18-AM18)</f>
        <v>#N/A</v>
      </c>
      <c r="AO18" s="137" t="n">
        <f aca="false">IF(A19="","",A19-A18)</f>
        <v>28</v>
      </c>
      <c r="AP18" s="212" t="n">
        <f aca="false">IF(A19="","",CHOOSE(F$3,A19+24,A18))</f>
        <v>37288</v>
      </c>
      <c r="AQ18" s="209" t="n">
        <f aca="false">IF(A19="","",AP18-$E$1)</f>
        <v>-8638</v>
      </c>
      <c r="AR18" s="185" t="n">
        <f aca="false">'ANR OK vs ML7'!AR18</f>
        <v>0.1</v>
      </c>
      <c r="AS18" s="213" t="n">
        <f aca="false">IF(A19="","",1/(1+CHOOSE(F$3,(AR19+($I$3/10000))/2,(AR18+($I$3/10000))/2))^(2*AQ18/365.25))</f>
        <v>10.0515952339246</v>
      </c>
      <c r="AT18" s="137" t="n">
        <f aca="false">IF(A19="","",IF(AND(mthbeg&lt;=A18,mthend&gt;=A18),1,0))</f>
        <v>1</v>
      </c>
      <c r="AU18" s="137" t="n">
        <f aca="false">IF(A19="","",AO18*AT18)</f>
        <v>28</v>
      </c>
      <c r="AW18" s="195" t="e">
        <f aca="false">IF($A19="","",AL18*$E18)</f>
        <v>#NAME?</v>
      </c>
      <c r="AX18" s="195" t="e">
        <f aca="false">IF($A19="","",AM18*$E18)</f>
        <v>#N/A</v>
      </c>
      <c r="AY18" s="195" t="e">
        <f aca="false">IF($A19="","",AN18*$E18)</f>
        <v>#N/A</v>
      </c>
      <c r="BA18" s="195" t="n">
        <f aca="false">IF($A19="","",F18*Summary!$Q$11)</f>
        <v>0</v>
      </c>
      <c r="BC18" s="179" t="e">
        <f aca="false">IF(A19="","",AM18*F18)</f>
        <v>#N/A</v>
      </c>
    </row>
    <row r="19" customFormat="false" ht="12.75" hidden="false" customHeight="false" outlineLevel="0" collapsed="false">
      <c r="A19" s="196" t="n">
        <f aca="false">IF(A18&lt;mthend,EDATE(A18,1),"")</f>
        <v>37316</v>
      </c>
      <c r="B19" s="197" t="n">
        <f aca="false">IF(A19&lt;mthend,B18,"")</f>
        <v>124142</v>
      </c>
      <c r="C19" s="215"/>
      <c r="D19" s="197" t="n">
        <f aca="false">IF(A20&lt;&gt;"",B19+C19,"")</f>
        <v>124142</v>
      </c>
      <c r="E19" s="199" t="n">
        <f aca="false">IF(A20="","",IF(AND(AT19=1,$H$3=1),D19*AO19,IF($H$3=2,D19,"N/A")))</f>
        <v>3848402</v>
      </c>
      <c r="F19" s="199" t="n">
        <f aca="false">IF(A20="","",E19*AS19)</f>
        <v>38394294.1323204</v>
      </c>
      <c r="G19" s="200" t="e">
        <f aca="false">IF($A20="","",VLOOKUP($A19,Table,MATCH(G$4,Curves,0)))</f>
        <v>#N/A</v>
      </c>
      <c r="H19" s="201" t="e">
        <f aca="false">IF(A20="","",G19)</f>
        <v>#N/A</v>
      </c>
      <c r="I19" s="202"/>
      <c r="J19" s="200" t="e">
        <f aca="false">IF($A20="","",VLOOKUP($A19,Table,MATCH(J$4,Curves,0)))</f>
        <v>#N/A</v>
      </c>
      <c r="K19" s="201" t="e">
        <f aca="false">IF(A20="","",J19)</f>
        <v>#N/A</v>
      </c>
      <c r="L19" s="200" t="e">
        <f aca="false">IF($A20="","",VLOOKUP($A19,Table,MATCH(L$4,Curves,0)))</f>
        <v>#N/A</v>
      </c>
      <c r="M19" s="201" t="e">
        <f aca="false">IF(A20="","",L19)</f>
        <v>#N/A</v>
      </c>
      <c r="N19" s="203"/>
      <c r="O19" s="200" t="e">
        <f aca="false">IF(A20="","",L19+J19+G19)</f>
        <v>#N/A</v>
      </c>
      <c r="P19" s="200" t="e">
        <f aca="false">IF(A20="","",M19+K19+H19)</f>
        <v>#N/A</v>
      </c>
      <c r="Q19" s="204"/>
      <c r="R19" s="200" t="e">
        <f aca="false">IF($A20="","",VLOOKUP($A19,Table,MATCH(R$4,Curves,0)))</f>
        <v>#N/A</v>
      </c>
      <c r="S19" s="201" t="e">
        <f aca="false">IF(A20="","",R19)</f>
        <v>#N/A</v>
      </c>
      <c r="T19" s="185" t="n">
        <v>0</v>
      </c>
      <c r="U19" s="201" t="n">
        <f aca="false">IF(A20="","",T19)</f>
        <v>0</v>
      </c>
      <c r="V19" s="205" t="e">
        <f aca="false">IF($A20="","",IF(AND(MONTH(A19)&gt;3,MONTH(A19)&lt;11),(T19+R19+G19)*Summary!$T$11/(1-Summary!$T$11),(T19+R19+G19)*Summary!$U$11/(1-Summary!$U$11)))</f>
        <v>#N/A</v>
      </c>
      <c r="W19" s="202" t="e">
        <f aca="false">IF($A20="","",(T19+R19+G19+V19))</f>
        <v>#N/A</v>
      </c>
      <c r="X19" s="202" t="e">
        <f aca="false">IF($A20="","",(U19+S19+H19+V19))</f>
        <v>#N/A</v>
      </c>
      <c r="Y19" s="202"/>
      <c r="Z19" s="185" t="e">
        <f aca="false">IF($A20="","",VLOOKUP($A19,Table,MATCH(Z$4,Curves,0)))</f>
        <v>#N/A</v>
      </c>
      <c r="AA19" s="185" t="e">
        <f aca="false">IF($A20="","",VLOOKUP($A19,Table,MATCH(AA$4,Curves,0)))</f>
        <v>#N/A</v>
      </c>
      <c r="AB19" s="185" t="e">
        <f aca="false">SQRT((AA19^2*(A19-$D$3)+Z19^2*(DAY(EOMONTH(A19,0))/2))/AK19)</f>
        <v>#N/A</v>
      </c>
      <c r="AC19" s="185" t="e">
        <f aca="false">IF($A20="","",VLOOKUP($A19,Table,MATCH(AC$4,Curves,0)))</f>
        <v>#N/A</v>
      </c>
      <c r="AD19" s="185" t="e">
        <f aca="false">IF($A20="","",VLOOKUP($A19,Table,MATCH(AD$4,Curves,0)))</f>
        <v>#N/A</v>
      </c>
      <c r="AE19" s="185" t="e">
        <f aca="false">SQRT((AD19^2*(A19-$D$3)+AC19^2*(DAY(EOMONTH(A19,0))/2))/AK19)</f>
        <v>#N/A</v>
      </c>
      <c r="AF19" s="206" t="e">
        <f aca="false">((Summary!$N$11*(AA19*AD19)*(A19-$D$3))+(Summary!$M$11*Z19*AC19*(AJ19-EOMONTH(EDATE(A19,-1),0))))/(AK19*AB19*AE19)</f>
        <v>#N/A</v>
      </c>
      <c r="AG19" s="207" t="n">
        <f aca="false">IF($A20="","",Summary!$Q$11)</f>
        <v>0</v>
      </c>
      <c r="AH19" s="207" t="n">
        <f aca="false">IF($A20="","",IF(Summary!$R$11="Y",(VLOOKUP($A19,Summary!$AD$6:$AF$9,3)+'Escalating commodity'!G32),'Escalating commodity'!G32))</f>
        <v>0.0038892668595392</v>
      </c>
      <c r="AI19" s="207" t="n">
        <f aca="false">IF($A20="","",AH19)</f>
        <v>0.0038892668595392</v>
      </c>
      <c r="AJ19" s="208" t="n">
        <f aca="false">A19+DAY(EOMONTH(A19,0))/2-1</f>
        <v>37330.5</v>
      </c>
      <c r="AK19" s="209" t="n">
        <f aca="false">IF($A20="","",$A19-$E$1)</f>
        <v>-8610</v>
      </c>
      <c r="AL19" s="182" t="e">
        <f aca="false">IF($A20="","",SPRDOPT(P19,X19,AI19,0,AB19,AE19,AF19,AK19,$AJ$2,0))</f>
        <v>#NAME?</v>
      </c>
      <c r="AM19" s="210" t="e">
        <f aca="false">IF($A20="","",MAX(0,O19-W19-AI19))</f>
        <v>#N/A</v>
      </c>
      <c r="AN19" s="211" t="e">
        <f aca="false">IF($A20="","",AL19-AM19)</f>
        <v>#N/A</v>
      </c>
      <c r="AO19" s="137" t="n">
        <f aca="false">IF(A20="","",A20-A19)</f>
        <v>31</v>
      </c>
      <c r="AP19" s="212" t="n">
        <f aca="false">IF(A20="","",CHOOSE(F$3,A20+24,A19))</f>
        <v>37316</v>
      </c>
      <c r="AQ19" s="209" t="n">
        <f aca="false">IF(A20="","",AP19-$E$1)</f>
        <v>-8610</v>
      </c>
      <c r="AR19" s="185" t="n">
        <f aca="false">'ANR OK vs ML7'!AR19</f>
        <v>0.1</v>
      </c>
      <c r="AS19" s="213" t="n">
        <f aca="false">IF(A20="","",1/(1+CHOOSE(F$3,(AR20+($I$3/10000))/2,(AR19+($I$3/10000))/2))^(2*AQ19/365.25))</f>
        <v>9.97668490254406</v>
      </c>
      <c r="AT19" s="137" t="n">
        <f aca="false">IF(A20="","",IF(AND(mthbeg&lt;=A19,mthend&gt;=A19),1,0))</f>
        <v>1</v>
      </c>
      <c r="AU19" s="137" t="n">
        <f aca="false">IF(A20="","",AO19*AT19)</f>
        <v>31</v>
      </c>
      <c r="AW19" s="195" t="e">
        <f aca="false">IF($A20="","",AL19*$E19)</f>
        <v>#NAME?</v>
      </c>
      <c r="AX19" s="195" t="e">
        <f aca="false">IF($A20="","",AM19*$E19)</f>
        <v>#N/A</v>
      </c>
      <c r="AY19" s="195" t="e">
        <f aca="false">IF($A20="","",AN19*$E19)</f>
        <v>#N/A</v>
      </c>
      <c r="BA19" s="195" t="n">
        <f aca="false">IF($A20="","",F19*Summary!$Q$11)</f>
        <v>0</v>
      </c>
      <c r="BC19" s="179" t="e">
        <f aca="false">IF(A20="","",AM19*F19)</f>
        <v>#N/A</v>
      </c>
    </row>
    <row r="20" customFormat="false" ht="12.75" hidden="false" customHeight="false" outlineLevel="0" collapsed="false">
      <c r="A20" s="196" t="n">
        <f aca="false">IF(A19&lt;mthend,EDATE(A19,1),"")</f>
        <v>37347</v>
      </c>
      <c r="B20" s="197" t="n">
        <f aca="false">IF(A20&lt;mthend,B19,"")</f>
        <v>124142</v>
      </c>
      <c r="C20" s="215"/>
      <c r="D20" s="197" t="n">
        <f aca="false">IF(A21&lt;&gt;"",B20+C20,"")</f>
        <v>124142</v>
      </c>
      <c r="E20" s="199" t="n">
        <f aca="false">IF(A21="","",IF(AND(AT20=1,$H$3=1),D20*AO20,IF($H$3=2,D20,"N/A")))</f>
        <v>3724260</v>
      </c>
      <c r="F20" s="199" t="n">
        <f aca="false">IF(A21="","",E20*AS20)</f>
        <v>36849316.256409</v>
      </c>
      <c r="G20" s="200" t="e">
        <f aca="false">IF($A21="","",VLOOKUP($A20,Table,MATCH(G$4,Curves,0)))</f>
        <v>#N/A</v>
      </c>
      <c r="H20" s="201" t="e">
        <f aca="false">IF(A21="","",G20)</f>
        <v>#N/A</v>
      </c>
      <c r="I20" s="202"/>
      <c r="J20" s="200" t="e">
        <f aca="false">IF($A21="","",VLOOKUP($A20,Table,MATCH(J$4,Curves,0)))</f>
        <v>#N/A</v>
      </c>
      <c r="K20" s="201" t="e">
        <f aca="false">IF(A21="","",J20)</f>
        <v>#N/A</v>
      </c>
      <c r="L20" s="200" t="e">
        <f aca="false">IF($A21="","",VLOOKUP($A20,Table,MATCH(L$4,Curves,0)))</f>
        <v>#N/A</v>
      </c>
      <c r="M20" s="201" t="e">
        <f aca="false">IF(A21="","",L20)</f>
        <v>#N/A</v>
      </c>
      <c r="N20" s="203"/>
      <c r="O20" s="200" t="e">
        <f aca="false">IF(A21="","",L20+J20+G20)</f>
        <v>#N/A</v>
      </c>
      <c r="P20" s="200" t="e">
        <f aca="false">IF(A21="","",M20+K20+H20)</f>
        <v>#N/A</v>
      </c>
      <c r="Q20" s="204"/>
      <c r="R20" s="200" t="e">
        <f aca="false">IF($A21="","",VLOOKUP($A20,Table,MATCH(R$4,Curves,0)))</f>
        <v>#N/A</v>
      </c>
      <c r="S20" s="201" t="e">
        <f aca="false">IF(A21="","",R20)</f>
        <v>#N/A</v>
      </c>
      <c r="T20" s="185" t="n">
        <v>0</v>
      </c>
      <c r="U20" s="201" t="n">
        <f aca="false">IF(A21="","",T20)</f>
        <v>0</v>
      </c>
      <c r="V20" s="205" t="e">
        <f aca="false">IF($A21="","",IF(AND(MONTH(A20)&gt;3,MONTH(A20)&lt;11),(T20+R20+G20)*Summary!$T$11/(1-Summary!$T$11),(T20+R20+G20)*Summary!$U$11/(1-Summary!$U$11)))</f>
        <v>#N/A</v>
      </c>
      <c r="W20" s="202" t="e">
        <f aca="false">IF($A21="","",(T20+R20+G20+V20))</f>
        <v>#N/A</v>
      </c>
      <c r="X20" s="202" t="e">
        <f aca="false">IF($A21="","",(U20+S20+H20+V20))</f>
        <v>#N/A</v>
      </c>
      <c r="Y20" s="202"/>
      <c r="Z20" s="185" t="e">
        <f aca="false">IF($A21="","",VLOOKUP($A20,Table,MATCH(Z$4,Curves,0)))</f>
        <v>#N/A</v>
      </c>
      <c r="AA20" s="185" t="e">
        <f aca="false">IF($A21="","",VLOOKUP($A20,Table,MATCH(AA$4,Curves,0)))</f>
        <v>#N/A</v>
      </c>
      <c r="AB20" s="185" t="e">
        <f aca="false">SQRT((AA20^2*(A20-$D$3)+Z20^2*(DAY(EOMONTH(A20,0))/2))/AK20)</f>
        <v>#N/A</v>
      </c>
      <c r="AC20" s="185" t="e">
        <f aca="false">IF($A21="","",VLOOKUP($A20,Table,MATCH(AC$4,Curves,0)))</f>
        <v>#N/A</v>
      </c>
      <c r="AD20" s="185" t="e">
        <f aca="false">IF($A21="","",VLOOKUP($A20,Table,MATCH(AD$4,Curves,0)))</f>
        <v>#N/A</v>
      </c>
      <c r="AE20" s="185" t="e">
        <f aca="false">SQRT((AD20^2*(A20-$D$3)+AC20^2*(DAY(EOMONTH(A20,0))/2))/AK20)</f>
        <v>#N/A</v>
      </c>
      <c r="AF20" s="206" t="e">
        <f aca="false">((Summary!$N$11*(AA20*AD20)*(A20-$D$3))+(Summary!$M$11*Z20*AC20*(AJ20-EOMONTH(EDATE(A20,-1),0))))/(AK20*AB20*AE20)</f>
        <v>#N/A</v>
      </c>
      <c r="AG20" s="207" t="n">
        <f aca="false">IF($A21="","",Summary!$Q$11)</f>
        <v>0</v>
      </c>
      <c r="AH20" s="207" t="n">
        <f aca="false">IF($A21="","",IF(Summary!$R$11="Y",(VLOOKUP($A20,Summary!$AD$6:$AF$9,3)+'Escalating commodity'!G33),'Escalating commodity'!G33))</f>
        <v>0.0038892668595392</v>
      </c>
      <c r="AI20" s="207" t="n">
        <f aca="false">IF($A21="","",AH20)</f>
        <v>0.0038892668595392</v>
      </c>
      <c r="AJ20" s="208" t="n">
        <f aca="false">A20+DAY(EOMONTH(A20,0))/2-1</f>
        <v>37361</v>
      </c>
      <c r="AK20" s="209" t="n">
        <f aca="false">IF($A21="","",$A20-$E$1)</f>
        <v>-8579</v>
      </c>
      <c r="AL20" s="182" t="e">
        <f aca="false">IF($A21="","",SPRDOPT(P20,X20,AI20,0,AB20,AE20,AF20,AK20,$AJ$2,0))</f>
        <v>#NAME?</v>
      </c>
      <c r="AM20" s="210" t="e">
        <f aca="false">IF($A21="","",MAX(0,O20-W20-AI20))</f>
        <v>#N/A</v>
      </c>
      <c r="AN20" s="211" t="e">
        <f aca="false">IF($A21="","",AL20-AM20)</f>
        <v>#N/A</v>
      </c>
      <c r="AO20" s="137" t="n">
        <f aca="false">IF(A21="","",A21-A20)</f>
        <v>30</v>
      </c>
      <c r="AP20" s="212" t="n">
        <f aca="false">IF(A21="","",CHOOSE(F$3,A21+24,A20))</f>
        <v>37347</v>
      </c>
      <c r="AQ20" s="209" t="n">
        <f aca="false">IF(A21="","",AP20-$E$1)</f>
        <v>-8579</v>
      </c>
      <c r="AR20" s="185" t="n">
        <f aca="false">'ANR OK vs ML7'!AR20</f>
        <v>0.1</v>
      </c>
      <c r="AS20" s="213" t="n">
        <f aca="false">IF(A21="","",1/(1+CHOOSE(F$3,(AR21+($I$3/10000))/2,(AR20+($I$3/10000))/2))^(2*AQ20/365.25))</f>
        <v>9.89439949316346</v>
      </c>
      <c r="AT20" s="137" t="n">
        <f aca="false">IF(A21="","",IF(AND(mthbeg&lt;=A20,mthend&gt;=A20),1,0))</f>
        <v>1</v>
      </c>
      <c r="AU20" s="137" t="n">
        <f aca="false">IF(A21="","",AO20*AT20)</f>
        <v>30</v>
      </c>
      <c r="AW20" s="195" t="e">
        <f aca="false">IF($A21="","",AL20*$E20)</f>
        <v>#NAME?</v>
      </c>
      <c r="AX20" s="195" t="e">
        <f aca="false">IF($A21="","",AM20*$E20)</f>
        <v>#N/A</v>
      </c>
      <c r="AY20" s="195" t="e">
        <f aca="false">IF($A21="","",AN20*$E20)</f>
        <v>#N/A</v>
      </c>
      <c r="BA20" s="195" t="n">
        <f aca="false">IF($A21="","",F20*Summary!$Q$11)</f>
        <v>0</v>
      </c>
      <c r="BC20" s="179" t="e">
        <f aca="false">IF(A21="","",AM20*F20)</f>
        <v>#N/A</v>
      </c>
    </row>
    <row r="21" customFormat="false" ht="12.75" hidden="false" customHeight="false" outlineLevel="0" collapsed="false">
      <c r="A21" s="196" t="n">
        <f aca="false">IF(A20&lt;mthend,EDATE(A20,1),"")</f>
        <v>37377</v>
      </c>
      <c r="B21" s="197" t="n">
        <f aca="false">IF(A21&lt;mthend,B20,"")</f>
        <v>124142</v>
      </c>
      <c r="C21" s="215"/>
      <c r="D21" s="197" t="n">
        <f aca="false">IF(A22&lt;&gt;"",B21+C21,"")</f>
        <v>124142</v>
      </c>
      <c r="E21" s="199" t="n">
        <f aca="false">IF(A22="","",IF(AND(AT21=1,$H$3=1),D21*AO21,IF($H$3=2,D21,"N/A")))</f>
        <v>3848402</v>
      </c>
      <c r="F21" s="199" t="n">
        <f aca="false">IF(A22="","",E21*AS21)</f>
        <v>37773661.5416192</v>
      </c>
      <c r="G21" s="200" t="e">
        <f aca="false">IF($A22="","",VLOOKUP($A21,Table,MATCH(G$4,Curves,0)))</f>
        <v>#N/A</v>
      </c>
      <c r="H21" s="201" t="e">
        <f aca="false">IF(A22="","",G21)</f>
        <v>#N/A</v>
      </c>
      <c r="I21" s="202"/>
      <c r="J21" s="200" t="e">
        <f aca="false">IF($A22="","",VLOOKUP($A21,Table,MATCH(J$4,Curves,0)))</f>
        <v>#N/A</v>
      </c>
      <c r="K21" s="201" t="e">
        <f aca="false">IF(A22="","",J21)</f>
        <v>#N/A</v>
      </c>
      <c r="L21" s="200" t="e">
        <f aca="false">IF($A22="","",VLOOKUP($A21,Table,MATCH(L$4,Curves,0)))</f>
        <v>#N/A</v>
      </c>
      <c r="M21" s="201" t="e">
        <f aca="false">IF(A22="","",L21)</f>
        <v>#N/A</v>
      </c>
      <c r="N21" s="203"/>
      <c r="O21" s="200" t="e">
        <f aca="false">IF(A22="","",L21+J21+G21)</f>
        <v>#N/A</v>
      </c>
      <c r="P21" s="200" t="e">
        <f aca="false">IF(A22="","",M21+K21+H21)</f>
        <v>#N/A</v>
      </c>
      <c r="Q21" s="204"/>
      <c r="R21" s="200" t="e">
        <f aca="false">IF($A22="","",VLOOKUP($A21,Table,MATCH(R$4,Curves,0)))</f>
        <v>#N/A</v>
      </c>
      <c r="S21" s="201" t="e">
        <f aca="false">IF(A22="","",R21)</f>
        <v>#N/A</v>
      </c>
      <c r="T21" s="185" t="n">
        <v>0</v>
      </c>
      <c r="U21" s="201" t="n">
        <f aca="false">IF(A22="","",T21)</f>
        <v>0</v>
      </c>
      <c r="V21" s="205" t="e">
        <f aca="false">IF($A22="","",IF(AND(MONTH(A21)&gt;3,MONTH(A21)&lt;11),(T21+R21+G21)*Summary!$T$11/(1-Summary!$T$11),(T21+R21+G21)*Summary!$U$11/(1-Summary!$U$11)))</f>
        <v>#N/A</v>
      </c>
      <c r="W21" s="202" t="e">
        <f aca="false">IF($A22="","",(T21+R21+G21+V21))</f>
        <v>#N/A</v>
      </c>
      <c r="X21" s="202" t="e">
        <f aca="false">IF($A22="","",(U21+S21+H21+V21))</f>
        <v>#N/A</v>
      </c>
      <c r="Y21" s="202"/>
      <c r="Z21" s="185" t="e">
        <f aca="false">IF($A22="","",VLOOKUP($A21,Table,MATCH(Z$4,Curves,0)))</f>
        <v>#N/A</v>
      </c>
      <c r="AA21" s="185" t="e">
        <f aca="false">IF($A22="","",VLOOKUP($A21,Table,MATCH(AA$4,Curves,0)))</f>
        <v>#N/A</v>
      </c>
      <c r="AB21" s="185" t="e">
        <f aca="false">SQRT((AA21^2*(A21-$D$3)+Z21^2*(DAY(EOMONTH(A21,0))/2))/AK21)</f>
        <v>#N/A</v>
      </c>
      <c r="AC21" s="185" t="e">
        <f aca="false">IF($A22="","",VLOOKUP($A21,Table,MATCH(AC$4,Curves,0)))</f>
        <v>#N/A</v>
      </c>
      <c r="AD21" s="185" t="e">
        <f aca="false">IF($A22="","",VLOOKUP($A21,Table,MATCH(AD$4,Curves,0)))</f>
        <v>#N/A</v>
      </c>
      <c r="AE21" s="185" t="e">
        <f aca="false">SQRT((AD21^2*(A21-$D$3)+AC21^2*(DAY(EOMONTH(A21,0))/2))/AK21)</f>
        <v>#N/A</v>
      </c>
      <c r="AF21" s="206" t="e">
        <f aca="false">((Summary!$N$11*(AA21*AD21)*(A21-$D$3))+(Summary!$M$11*Z21*AC21*(AJ21-EOMONTH(EDATE(A21,-1),0))))/(AK21*AB21*AE21)</f>
        <v>#N/A</v>
      </c>
      <c r="AG21" s="207" t="n">
        <f aca="false">IF($A22="","",Summary!$Q$11)</f>
        <v>0</v>
      </c>
      <c r="AH21" s="207" t="n">
        <f aca="false">IF($A22="","",IF(Summary!$R$11="Y",(VLOOKUP($A21,Summary!$AD$6:$AF$9,3)+'Escalating commodity'!G34),'Escalating commodity'!G34))</f>
        <v>0.0038892668595392</v>
      </c>
      <c r="AI21" s="207" t="n">
        <f aca="false">IF($A22="","",AH21)</f>
        <v>0.0038892668595392</v>
      </c>
      <c r="AJ21" s="208" t="n">
        <f aca="false">A21+DAY(EOMONTH(A21,0))/2-1</f>
        <v>37391.5</v>
      </c>
      <c r="AK21" s="209" t="n">
        <f aca="false">IF($A22="","",$A21-$E$1)</f>
        <v>-8549</v>
      </c>
      <c r="AL21" s="182" t="e">
        <f aca="false">IF($A22="","",SPRDOPT(P21,X21,AI21,0,AB21,AE21,AF21,AK21,$AJ$2,0))</f>
        <v>#NAME?</v>
      </c>
      <c r="AM21" s="210" t="e">
        <f aca="false">IF($A22="","",MAX(0,O21-W21-AI21))</f>
        <v>#N/A</v>
      </c>
      <c r="AN21" s="211" t="e">
        <f aca="false">IF($A22="","",AL21-AM21)</f>
        <v>#N/A</v>
      </c>
      <c r="AO21" s="137" t="n">
        <f aca="false">IF(A22="","",A22-A21)</f>
        <v>31</v>
      </c>
      <c r="AP21" s="212" t="n">
        <f aca="false">IF(A22="","",CHOOSE(F$3,A22+24,A21))</f>
        <v>37377</v>
      </c>
      <c r="AQ21" s="209" t="n">
        <f aca="false">IF(A22="","",AP21-$E$1)</f>
        <v>-8549</v>
      </c>
      <c r="AR21" s="185" t="n">
        <f aca="false">'ANR OK vs ML7'!AR21</f>
        <v>0.1</v>
      </c>
      <c r="AS21" s="213" t="n">
        <f aca="false">IF(A22="","",1/(1+CHOOSE(F$3,(AR22+($I$3/10000))/2,(AR21+($I$3/10000))/2))^(2*AQ21/365.25))</f>
        <v>9.81541469462368</v>
      </c>
      <c r="AT21" s="137" t="n">
        <f aca="false">IF(A22="","",IF(AND(mthbeg&lt;=A21,mthend&gt;=A21),1,0))</f>
        <v>1</v>
      </c>
      <c r="AU21" s="137" t="n">
        <f aca="false">IF(A22="","",AO21*AT21)</f>
        <v>31</v>
      </c>
      <c r="AW21" s="195" t="e">
        <f aca="false">IF($A22="","",AL21*$E21)</f>
        <v>#NAME?</v>
      </c>
      <c r="AX21" s="195" t="e">
        <f aca="false">IF($A22="","",AM21*$E21)</f>
        <v>#N/A</v>
      </c>
      <c r="AY21" s="195" t="e">
        <f aca="false">IF($A22="","",AN21*$E21)</f>
        <v>#N/A</v>
      </c>
      <c r="BA21" s="195" t="n">
        <f aca="false">IF($A22="","",F21*Summary!$Q$11)</f>
        <v>0</v>
      </c>
      <c r="BC21" s="179" t="e">
        <f aca="false">IF(A22="","",AM21*F21)</f>
        <v>#N/A</v>
      </c>
    </row>
    <row r="22" customFormat="false" ht="12.75" hidden="false" customHeight="false" outlineLevel="0" collapsed="false">
      <c r="A22" s="196" t="n">
        <f aca="false">IF(A21&lt;mthend,EDATE(A21,1),"")</f>
        <v>37408</v>
      </c>
      <c r="B22" s="197" t="n">
        <f aca="false">IF(A22&lt;mthend,B21,"")</f>
        <v>124142</v>
      </c>
      <c r="C22" s="215"/>
      <c r="D22" s="197" t="n">
        <f aca="false">IF(A23&lt;&gt;"",B22+C22,"")</f>
        <v>124142</v>
      </c>
      <c r="E22" s="199" t="n">
        <f aca="false">IF(A23="","",IF(AND(AT22=1,$H$3=1),D22*AO22,IF($H$3=2,D22,"N/A")))</f>
        <v>3724260</v>
      </c>
      <c r="F22" s="199" t="n">
        <f aca="false">IF(A23="","",E22*AS22)</f>
        <v>36253657.7834347</v>
      </c>
      <c r="G22" s="200" t="e">
        <f aca="false">IF($A23="","",VLOOKUP($A22,Table,MATCH(G$4,Curves,0)))</f>
        <v>#N/A</v>
      </c>
      <c r="H22" s="201" t="e">
        <f aca="false">IF(A23="","",G22)</f>
        <v>#N/A</v>
      </c>
      <c r="I22" s="202"/>
      <c r="J22" s="200" t="e">
        <f aca="false">IF($A23="","",VLOOKUP($A22,Table,MATCH(J$4,Curves,0)))</f>
        <v>#N/A</v>
      </c>
      <c r="K22" s="201" t="e">
        <f aca="false">IF(A23="","",J22)</f>
        <v>#N/A</v>
      </c>
      <c r="L22" s="200" t="e">
        <f aca="false">IF($A23="","",VLOOKUP($A22,Table,MATCH(L$4,Curves,0)))</f>
        <v>#N/A</v>
      </c>
      <c r="M22" s="201" t="e">
        <f aca="false">IF(A23="","",L22)</f>
        <v>#N/A</v>
      </c>
      <c r="N22" s="203"/>
      <c r="O22" s="200" t="e">
        <f aca="false">IF(A23="","",L22+J22+G22)</f>
        <v>#N/A</v>
      </c>
      <c r="P22" s="200" t="e">
        <f aca="false">IF(A23="","",M22+K22+H22)</f>
        <v>#N/A</v>
      </c>
      <c r="Q22" s="204"/>
      <c r="R22" s="200" t="e">
        <f aca="false">IF($A23="","",VLOOKUP($A22,Table,MATCH(R$4,Curves,0)))</f>
        <v>#N/A</v>
      </c>
      <c r="S22" s="201" t="e">
        <f aca="false">IF(A23="","",R22)</f>
        <v>#N/A</v>
      </c>
      <c r="T22" s="185" t="n">
        <v>0</v>
      </c>
      <c r="U22" s="201" t="n">
        <f aca="false">IF(A23="","",T22)</f>
        <v>0</v>
      </c>
      <c r="V22" s="205" t="e">
        <f aca="false">IF($A23="","",IF(AND(MONTH(A22)&gt;3,MONTH(A22)&lt;11),(T22+R22+G22)*Summary!$T$11/(1-Summary!$T$11),(T22+R22+G22)*Summary!$U$11/(1-Summary!$U$11)))</f>
        <v>#N/A</v>
      </c>
      <c r="W22" s="202" t="e">
        <f aca="false">IF($A23="","",(T22+R22+G22+V22))</f>
        <v>#N/A</v>
      </c>
      <c r="X22" s="202" t="e">
        <f aca="false">IF($A23="","",(U22+S22+H22+V22))</f>
        <v>#N/A</v>
      </c>
      <c r="Y22" s="202"/>
      <c r="Z22" s="185" t="e">
        <f aca="false">IF($A23="","",VLOOKUP($A22,Table,MATCH(Z$4,Curves,0)))</f>
        <v>#N/A</v>
      </c>
      <c r="AA22" s="185" t="e">
        <f aca="false">IF($A23="","",VLOOKUP($A22,Table,MATCH(AA$4,Curves,0)))</f>
        <v>#N/A</v>
      </c>
      <c r="AB22" s="185" t="e">
        <f aca="false">SQRT((AA22^2*(A22-$D$3)+Z22^2*(DAY(EOMONTH(A22,0))/2))/AK22)</f>
        <v>#N/A</v>
      </c>
      <c r="AC22" s="185" t="e">
        <f aca="false">IF($A23="","",VLOOKUP($A22,Table,MATCH(AC$4,Curves,0)))</f>
        <v>#N/A</v>
      </c>
      <c r="AD22" s="185" t="e">
        <f aca="false">IF($A23="","",VLOOKUP($A22,Table,MATCH(AD$4,Curves,0)))</f>
        <v>#N/A</v>
      </c>
      <c r="AE22" s="185" t="e">
        <f aca="false">SQRT((AD22^2*(A22-$D$3)+AC22^2*(DAY(EOMONTH(A22,0))/2))/AK22)</f>
        <v>#N/A</v>
      </c>
      <c r="AF22" s="206" t="e">
        <f aca="false">((Summary!$N$11*(AA22*AD22)*(A22-$D$3))+(Summary!$M$11*Z22*AC22*(AJ22-EOMONTH(EDATE(A22,-1),0))))/(AK22*AB22*AE22)</f>
        <v>#N/A</v>
      </c>
      <c r="AG22" s="207" t="n">
        <f aca="false">IF($A23="","",Summary!$Q$11)</f>
        <v>0</v>
      </c>
      <c r="AH22" s="207" t="n">
        <f aca="false">IF($A23="","",IF(Summary!$R$11="Y",(VLOOKUP($A22,Summary!$AD$6:$AF$9,3)+'Escalating commodity'!G35),'Escalating commodity'!G35))</f>
        <v>0.0038892668595392</v>
      </c>
      <c r="AI22" s="207" t="n">
        <f aca="false">IF($A23="","",AH22)</f>
        <v>0.0038892668595392</v>
      </c>
      <c r="AJ22" s="208" t="n">
        <f aca="false">A22+DAY(EOMONTH(A22,0))/2-1</f>
        <v>37422</v>
      </c>
      <c r="AK22" s="209" t="n">
        <f aca="false">IF($A23="","",$A22-$E$1)</f>
        <v>-8518</v>
      </c>
      <c r="AL22" s="182" t="e">
        <f aca="false">IF($A23="","",SPRDOPT(P22,X22,AI22,0,AB22,AE22,AF22,AK22,$AJ$2,0))</f>
        <v>#NAME?</v>
      </c>
      <c r="AM22" s="210" t="e">
        <f aca="false">IF($A23="","",MAX(0,O22-W22-AI22))</f>
        <v>#N/A</v>
      </c>
      <c r="AN22" s="211" t="e">
        <f aca="false">IF($A23="","",AL22-AM22)</f>
        <v>#N/A</v>
      </c>
      <c r="AO22" s="137" t="n">
        <f aca="false">IF(A23="","",A23-A22)</f>
        <v>30</v>
      </c>
      <c r="AP22" s="212" t="n">
        <f aca="false">IF(A23="","",CHOOSE(F$3,A23+24,A22))</f>
        <v>37408</v>
      </c>
      <c r="AQ22" s="209" t="n">
        <f aca="false">IF(A23="","",AP22-$E$1)</f>
        <v>-8518</v>
      </c>
      <c r="AR22" s="185" t="n">
        <f aca="false">'ANR OK vs ML7'!AR22</f>
        <v>0.1</v>
      </c>
      <c r="AS22" s="213" t="n">
        <f aca="false">IF(A23="","",1/(1+CHOOSE(F$3,(AR23+($I$3/10000))/2,(AR22+($I$3/10000))/2))^(2*AQ22/365.25))</f>
        <v>9.73445940493808</v>
      </c>
      <c r="AT22" s="137" t="n">
        <f aca="false">IF(A23="","",IF(AND(mthbeg&lt;=A22,mthend&gt;=A22),1,0))</f>
        <v>1</v>
      </c>
      <c r="AU22" s="137" t="n">
        <f aca="false">IF(A23="","",AO22*AT22)</f>
        <v>30</v>
      </c>
      <c r="AW22" s="195" t="e">
        <f aca="false">IF($A23="","",AL22*$E22)</f>
        <v>#NAME?</v>
      </c>
      <c r="AX22" s="195" t="e">
        <f aca="false">IF($A23="","",AM22*$E22)</f>
        <v>#N/A</v>
      </c>
      <c r="AY22" s="195" t="e">
        <f aca="false">IF($A23="","",AN22*$E22)</f>
        <v>#N/A</v>
      </c>
      <c r="BA22" s="195" t="n">
        <f aca="false">IF($A23="","",F22*Summary!$Q$11)</f>
        <v>0</v>
      </c>
      <c r="BC22" s="179" t="e">
        <f aca="false">IF(A23="","",AM22*F22)</f>
        <v>#N/A</v>
      </c>
    </row>
    <row r="23" customFormat="false" ht="12.75" hidden="false" customHeight="false" outlineLevel="0" collapsed="false">
      <c r="A23" s="196" t="n">
        <f aca="false">IF(A22&lt;mthend,EDATE(A22,1),"")</f>
        <v>37438</v>
      </c>
      <c r="B23" s="197" t="n">
        <f aca="false">IF(A23&lt;mthend,B22,"")</f>
        <v>124142</v>
      </c>
      <c r="C23" s="215"/>
      <c r="D23" s="197" t="n">
        <f aca="false">IF(A24&lt;&gt;"",B23+C23,"")</f>
        <v>124142</v>
      </c>
      <c r="E23" s="199" t="n">
        <f aca="false">IF(A24="","",IF(AND(AT23=1,$H$3=1),D23*AO23,IF($H$3=2,D23,"N/A")))</f>
        <v>3848402</v>
      </c>
      <c r="F23" s="199" t="n">
        <f aca="false">IF(A24="","",E23*AS23)</f>
        <v>37163061.296123</v>
      </c>
      <c r="G23" s="200" t="e">
        <f aca="false">IF($A24="","",VLOOKUP($A23,Table,MATCH(G$4,Curves,0)))</f>
        <v>#N/A</v>
      </c>
      <c r="H23" s="201" t="e">
        <f aca="false">IF(A24="","",G23)</f>
        <v>#N/A</v>
      </c>
      <c r="I23" s="202"/>
      <c r="J23" s="200" t="e">
        <f aca="false">IF($A24="","",VLOOKUP($A23,Table,MATCH(J$4,Curves,0)))</f>
        <v>#N/A</v>
      </c>
      <c r="K23" s="201" t="e">
        <f aca="false">IF(A24="","",J23)</f>
        <v>#N/A</v>
      </c>
      <c r="L23" s="200" t="e">
        <f aca="false">IF($A24="","",VLOOKUP($A23,Table,MATCH(L$4,Curves,0)))</f>
        <v>#N/A</v>
      </c>
      <c r="M23" s="201" t="e">
        <f aca="false">IF(A24="","",L23)</f>
        <v>#N/A</v>
      </c>
      <c r="N23" s="203"/>
      <c r="O23" s="200" t="e">
        <f aca="false">IF(A24="","",L23+J23+G23)</f>
        <v>#N/A</v>
      </c>
      <c r="P23" s="200" t="e">
        <f aca="false">IF(A24="","",M23+K23+H23)</f>
        <v>#N/A</v>
      </c>
      <c r="Q23" s="204"/>
      <c r="R23" s="200" t="e">
        <f aca="false">IF($A24="","",VLOOKUP($A23,Table,MATCH(R$4,Curves,0)))</f>
        <v>#N/A</v>
      </c>
      <c r="S23" s="201" t="e">
        <f aca="false">IF(A24="","",R23)</f>
        <v>#N/A</v>
      </c>
      <c r="T23" s="185" t="n">
        <v>0</v>
      </c>
      <c r="U23" s="201" t="n">
        <f aca="false">IF(A24="","",T23)</f>
        <v>0</v>
      </c>
      <c r="V23" s="205" t="e">
        <f aca="false">IF($A24="","",IF(AND(MONTH(A23)&gt;3,MONTH(A23)&lt;11),(T23+R23+G23)*Summary!$T$11/(1-Summary!$T$11),(T23+R23+G23)*Summary!$U$11/(1-Summary!$U$11)))</f>
        <v>#N/A</v>
      </c>
      <c r="W23" s="202" t="e">
        <f aca="false">IF($A24="","",(T23+R23+G23+V23))</f>
        <v>#N/A</v>
      </c>
      <c r="X23" s="202" t="e">
        <f aca="false">IF($A24="","",(U23+S23+H23+V23))</f>
        <v>#N/A</v>
      </c>
      <c r="Y23" s="202"/>
      <c r="Z23" s="185" t="e">
        <f aca="false">IF($A24="","",VLOOKUP($A23,Table,MATCH(Z$4,Curves,0)))</f>
        <v>#N/A</v>
      </c>
      <c r="AA23" s="185" t="e">
        <f aca="false">IF($A24="","",VLOOKUP($A23,Table,MATCH(AA$4,Curves,0)))</f>
        <v>#N/A</v>
      </c>
      <c r="AB23" s="185" t="e">
        <f aca="false">SQRT((AA23^2*(A23-$D$3)+Z23^2*(DAY(EOMONTH(A23,0))/2))/AK23)</f>
        <v>#N/A</v>
      </c>
      <c r="AC23" s="185" t="e">
        <f aca="false">IF($A24="","",VLOOKUP($A23,Table,MATCH(AC$4,Curves,0)))</f>
        <v>#N/A</v>
      </c>
      <c r="AD23" s="185" t="e">
        <f aca="false">IF($A24="","",VLOOKUP($A23,Table,MATCH(AD$4,Curves,0)))</f>
        <v>#N/A</v>
      </c>
      <c r="AE23" s="185" t="e">
        <f aca="false">SQRT((AD23^2*(A23-$D$3)+AC23^2*(DAY(EOMONTH(A23,0))/2))/AK23)</f>
        <v>#N/A</v>
      </c>
      <c r="AF23" s="206" t="e">
        <f aca="false">((Summary!$N$11*(AA23*AD23)*(A23-$D$3))+(Summary!$M$11*Z23*AC23*(AJ23-EOMONTH(EDATE(A23,-1),0))))/(AK23*AB23*AE23)</f>
        <v>#N/A</v>
      </c>
      <c r="AG23" s="207" t="n">
        <f aca="false">IF($A24="","",Summary!$Q$11)</f>
        <v>0</v>
      </c>
      <c r="AH23" s="207" t="n">
        <f aca="false">IF($A24="","",IF(Summary!$R$11="Y",(VLOOKUP($A23,Summary!$AD$6:$AF$9,3)+'Escalating commodity'!G36),'Escalating commodity'!G36))</f>
        <v>0.0038892668595392</v>
      </c>
      <c r="AI23" s="207" t="n">
        <f aca="false">IF($A24="","",AH23)</f>
        <v>0.0038892668595392</v>
      </c>
      <c r="AJ23" s="208" t="n">
        <f aca="false">A23+DAY(EOMONTH(A23,0))/2-1</f>
        <v>37452.5</v>
      </c>
      <c r="AK23" s="209" t="n">
        <f aca="false">IF($A24="","",$A23-$E$1)</f>
        <v>-8488</v>
      </c>
      <c r="AL23" s="182" t="e">
        <f aca="false">IF($A24="","",SPRDOPT(P23,X23,AI23,0,AB23,AE23,AF23,AK23,$AJ$2,0))</f>
        <v>#NAME?</v>
      </c>
      <c r="AM23" s="210" t="e">
        <f aca="false">IF($A24="","",MAX(0,O23-W23-AI23))</f>
        <v>#N/A</v>
      </c>
      <c r="AN23" s="211" t="e">
        <f aca="false">IF($A24="","",AL23-AM23)</f>
        <v>#N/A</v>
      </c>
      <c r="AO23" s="137" t="n">
        <f aca="false">IF(A24="","",A24-A23)</f>
        <v>31</v>
      </c>
      <c r="AP23" s="212" t="n">
        <f aca="false">IF(A24="","",CHOOSE(F$3,A24+24,A23))</f>
        <v>37438</v>
      </c>
      <c r="AQ23" s="209" t="n">
        <f aca="false">IF(A24="","",AP23-$E$1)</f>
        <v>-8488</v>
      </c>
      <c r="AR23" s="185" t="n">
        <f aca="false">'ANR OK vs ML7'!AR23</f>
        <v>0.1</v>
      </c>
      <c r="AS23" s="213" t="n">
        <f aca="false">IF(A24="","",1/(1+CHOOSE(F$3,(AR24+($I$3/10000))/2,(AR23+($I$3/10000))/2))^(2*AQ23/365.25))</f>
        <v>9.65675137267963</v>
      </c>
      <c r="AT23" s="137" t="n">
        <f aca="false">IF(A24="","",IF(AND(mthbeg&lt;=A23,mthend&gt;=A23),1,0))</f>
        <v>1</v>
      </c>
      <c r="AU23" s="137" t="n">
        <f aca="false">IF(A24="","",AO23*AT23)</f>
        <v>31</v>
      </c>
      <c r="AW23" s="195" t="e">
        <f aca="false">IF($A24="","",AL23*$E23)</f>
        <v>#NAME?</v>
      </c>
      <c r="AX23" s="195" t="e">
        <f aca="false">IF($A24="","",AM23*$E23)</f>
        <v>#N/A</v>
      </c>
      <c r="AY23" s="195" t="e">
        <f aca="false">IF($A24="","",AN23*$E23)</f>
        <v>#N/A</v>
      </c>
      <c r="BA23" s="195" t="n">
        <f aca="false">IF($A24="","",F23*Summary!$Q$11)</f>
        <v>0</v>
      </c>
      <c r="BC23" s="179" t="e">
        <f aca="false">IF(A24="","",AM23*F23)</f>
        <v>#N/A</v>
      </c>
    </row>
    <row r="24" customFormat="false" ht="12.75" hidden="false" customHeight="false" outlineLevel="0" collapsed="false">
      <c r="A24" s="196" t="n">
        <f aca="false">IF(A23&lt;mthend,EDATE(A23,1),"")</f>
        <v>37469</v>
      </c>
      <c r="B24" s="197" t="n">
        <f aca="false">IF(A24&lt;mthend,B23,"")</f>
        <v>124142</v>
      </c>
      <c r="C24" s="215"/>
      <c r="D24" s="197" t="n">
        <f aca="false">IF(A25&lt;&gt;"",B24+C24,"")</f>
        <v>124142</v>
      </c>
      <c r="E24" s="199" t="n">
        <f aca="false">IF(A25="","",IF(AND(AT24=1,$H$3=1),D24*AO24,IF($H$3=2,D24,"N/A")))</f>
        <v>3848402</v>
      </c>
      <c r="F24" s="199" t="n">
        <f aca="false">IF(A25="","",E24*AS24)</f>
        <v>36856548.8881981</v>
      </c>
      <c r="G24" s="200" t="e">
        <f aca="false">IF($A25="","",VLOOKUP($A24,Table,MATCH(G$4,Curves,0)))</f>
        <v>#N/A</v>
      </c>
      <c r="H24" s="201" t="e">
        <f aca="false">IF(A25="","",G24)</f>
        <v>#N/A</v>
      </c>
      <c r="I24" s="202"/>
      <c r="J24" s="200" t="e">
        <f aca="false">IF($A25="","",VLOOKUP($A24,Table,MATCH(J$4,Curves,0)))</f>
        <v>#N/A</v>
      </c>
      <c r="K24" s="201" t="e">
        <f aca="false">IF(A25="","",J24)</f>
        <v>#N/A</v>
      </c>
      <c r="L24" s="200" t="e">
        <f aca="false">IF($A25="","",VLOOKUP($A24,Table,MATCH(L$4,Curves,0)))</f>
        <v>#N/A</v>
      </c>
      <c r="M24" s="201" t="e">
        <f aca="false">IF(A25="","",L24)</f>
        <v>#N/A</v>
      </c>
      <c r="N24" s="203"/>
      <c r="O24" s="200" t="e">
        <f aca="false">IF(A25="","",L24+J24+G24)</f>
        <v>#N/A</v>
      </c>
      <c r="P24" s="200" t="e">
        <f aca="false">IF(A25="","",M24+K24+H24)</f>
        <v>#N/A</v>
      </c>
      <c r="Q24" s="204"/>
      <c r="R24" s="200" t="e">
        <f aca="false">IF($A25="","",VLOOKUP($A24,Table,MATCH(R$4,Curves,0)))</f>
        <v>#N/A</v>
      </c>
      <c r="S24" s="201" t="e">
        <f aca="false">IF(A25="","",R24)</f>
        <v>#N/A</v>
      </c>
      <c r="T24" s="185" t="n">
        <v>0</v>
      </c>
      <c r="U24" s="201" t="n">
        <f aca="false">IF(A25="","",T24)</f>
        <v>0</v>
      </c>
      <c r="V24" s="205" t="e">
        <f aca="false">IF($A25="","",IF(AND(MONTH(A24)&gt;3,MONTH(A24)&lt;11),(T24+R24+G24)*Summary!$T$11/(1-Summary!$T$11),(T24+R24+G24)*Summary!$U$11/(1-Summary!$U$11)))</f>
        <v>#N/A</v>
      </c>
      <c r="W24" s="202" t="e">
        <f aca="false">IF($A25="","",(T24+R24+G24+V24))</f>
        <v>#N/A</v>
      </c>
      <c r="X24" s="202" t="e">
        <f aca="false">IF($A25="","",(U24+S24+H24+V24))</f>
        <v>#N/A</v>
      </c>
      <c r="Y24" s="202"/>
      <c r="Z24" s="185" t="e">
        <f aca="false">IF($A25="","",VLOOKUP($A24,Table,MATCH(Z$4,Curves,0)))</f>
        <v>#N/A</v>
      </c>
      <c r="AA24" s="185" t="e">
        <f aca="false">IF($A25="","",VLOOKUP($A24,Table,MATCH(AA$4,Curves,0)))</f>
        <v>#N/A</v>
      </c>
      <c r="AB24" s="185" t="e">
        <f aca="false">SQRT((AA24^2*(A24-$D$3)+Z24^2*(DAY(EOMONTH(A24,0))/2))/AK24)</f>
        <v>#N/A</v>
      </c>
      <c r="AC24" s="185" t="e">
        <f aca="false">IF($A25="","",VLOOKUP($A24,Table,MATCH(AC$4,Curves,0)))</f>
        <v>#N/A</v>
      </c>
      <c r="AD24" s="185" t="e">
        <f aca="false">IF($A25="","",VLOOKUP($A24,Table,MATCH(AD$4,Curves,0)))</f>
        <v>#N/A</v>
      </c>
      <c r="AE24" s="185" t="e">
        <f aca="false">SQRT((AD24^2*(A24-$D$3)+AC24^2*(DAY(EOMONTH(A24,0))/2))/AK24)</f>
        <v>#N/A</v>
      </c>
      <c r="AF24" s="206" t="e">
        <f aca="false">((Summary!$N$11*(AA24*AD24)*(A24-$D$3))+(Summary!$M$11*Z24*AC24*(AJ24-EOMONTH(EDATE(A24,-1),0))))/(AK24*AB24*AE24)</f>
        <v>#N/A</v>
      </c>
      <c r="AG24" s="207" t="n">
        <f aca="false">IF($A25="","",Summary!$Q$11)</f>
        <v>0</v>
      </c>
      <c r="AH24" s="207" t="n">
        <f aca="false">IF($A25="","",IF(Summary!$R$11="Y",(VLOOKUP($A24,Summary!$AD$6:$AF$9,3)+'Escalating commodity'!G37),'Escalating commodity'!G37))</f>
        <v>0.0038892668595392</v>
      </c>
      <c r="AI24" s="207" t="n">
        <f aca="false">IF($A25="","",AH24)</f>
        <v>0.0038892668595392</v>
      </c>
      <c r="AJ24" s="208" t="n">
        <f aca="false">A24+DAY(EOMONTH(A24,0))/2-1</f>
        <v>37483.5</v>
      </c>
      <c r="AK24" s="209" t="n">
        <f aca="false">IF($A25="","",$A24-$E$1)</f>
        <v>-8457</v>
      </c>
      <c r="AL24" s="182" t="e">
        <f aca="false">IF($A25="","",SPRDOPT(P24,X24,AI24,0,AB24,AE24,AF24,AK24,$AJ$2,0))</f>
        <v>#NAME?</v>
      </c>
      <c r="AM24" s="210" t="e">
        <f aca="false">IF($A25="","",MAX(0,O24-W24-AI24))</f>
        <v>#N/A</v>
      </c>
      <c r="AN24" s="211" t="e">
        <f aca="false">IF($A25="","",AL24-AM24)</f>
        <v>#N/A</v>
      </c>
      <c r="AO24" s="137" t="n">
        <f aca="false">IF(A25="","",A25-A24)</f>
        <v>31</v>
      </c>
      <c r="AP24" s="212" t="n">
        <f aca="false">IF(A25="","",CHOOSE(F$3,A25+24,A24))</f>
        <v>37469</v>
      </c>
      <c r="AQ24" s="209" t="n">
        <f aca="false">IF(A25="","",AP24-$E$1)</f>
        <v>-8457</v>
      </c>
      <c r="AR24" s="185" t="n">
        <f aca="false">'ANR OK vs ML7'!AR24</f>
        <v>0.1</v>
      </c>
      <c r="AS24" s="213" t="n">
        <f aca="false">IF(A25="","",1/(1+CHOOSE(F$3,(AR25+($I$3/10000))/2,(AR24+($I$3/10000))/2))^(2*AQ24/365.25))</f>
        <v>9.57710470169126</v>
      </c>
      <c r="AT24" s="137" t="n">
        <f aca="false">IF(A25="","",IF(AND(mthbeg&lt;=A24,mthend&gt;=A24),1,0))</f>
        <v>1</v>
      </c>
      <c r="AU24" s="137" t="n">
        <f aca="false">IF(A25="","",AO24*AT24)</f>
        <v>31</v>
      </c>
      <c r="AW24" s="195" t="e">
        <f aca="false">IF($A25="","",AL24*$E24)</f>
        <v>#NAME?</v>
      </c>
      <c r="AX24" s="195" t="e">
        <f aca="false">IF($A25="","",AM24*$E24)</f>
        <v>#N/A</v>
      </c>
      <c r="AY24" s="195" t="e">
        <f aca="false">IF($A25="","",AN24*$E24)</f>
        <v>#N/A</v>
      </c>
      <c r="BA24" s="195" t="n">
        <f aca="false">IF($A25="","",F24*Summary!$Q$11)</f>
        <v>0</v>
      </c>
      <c r="BC24" s="179" t="e">
        <f aca="false">IF(A25="","",AM24*F24)</f>
        <v>#N/A</v>
      </c>
    </row>
    <row r="25" customFormat="false" ht="12.75" hidden="false" customHeight="false" outlineLevel="0" collapsed="false">
      <c r="A25" s="196" t="n">
        <f aca="false">IF(A24&lt;mthend,EDATE(A24,1),"")</f>
        <v>37500</v>
      </c>
      <c r="B25" s="197" t="n">
        <f aca="false">IF(A25&lt;mthend,B24,"")</f>
        <v>124142</v>
      </c>
      <c r="C25" s="215"/>
      <c r="D25" s="197" t="n">
        <f aca="false">IF(A26&lt;&gt;"",B25+C25,"")</f>
        <v>124142</v>
      </c>
      <c r="E25" s="199" t="n">
        <f aca="false">IF(A26="","",IF(AND(AT25=1,$H$3=1),D25*AO25,IF($H$3=2,D25,"N/A")))</f>
        <v>3724260</v>
      </c>
      <c r="F25" s="199" t="n">
        <f aca="false">IF(A26="","",E25*AS25)</f>
        <v>35373449.5396733</v>
      </c>
      <c r="G25" s="200" t="e">
        <f aca="false">IF($A26="","",VLOOKUP($A25,Table,MATCH(G$4,Curves,0)))</f>
        <v>#N/A</v>
      </c>
      <c r="H25" s="201" t="e">
        <f aca="false">IF(A26="","",G25)</f>
        <v>#N/A</v>
      </c>
      <c r="I25" s="202"/>
      <c r="J25" s="200" t="e">
        <f aca="false">IF($A26="","",VLOOKUP($A25,Table,MATCH(J$4,Curves,0)))</f>
        <v>#N/A</v>
      </c>
      <c r="K25" s="201" t="e">
        <f aca="false">IF(A26="","",J25)</f>
        <v>#N/A</v>
      </c>
      <c r="L25" s="200" t="e">
        <f aca="false">IF($A26="","",VLOOKUP($A25,Table,MATCH(L$4,Curves,0)))</f>
        <v>#N/A</v>
      </c>
      <c r="M25" s="201" t="e">
        <f aca="false">IF(A26="","",L25)</f>
        <v>#N/A</v>
      </c>
      <c r="N25" s="203"/>
      <c r="O25" s="200" t="e">
        <f aca="false">IF(A26="","",L25+J25+G25)</f>
        <v>#N/A</v>
      </c>
      <c r="P25" s="200" t="e">
        <f aca="false">IF(A26="","",M25+K25+H25)</f>
        <v>#N/A</v>
      </c>
      <c r="Q25" s="204"/>
      <c r="R25" s="200" t="e">
        <f aca="false">IF($A26="","",VLOOKUP($A25,Table,MATCH(R$4,Curves,0)))</f>
        <v>#N/A</v>
      </c>
      <c r="S25" s="201" t="e">
        <f aca="false">IF(A26="","",R25)</f>
        <v>#N/A</v>
      </c>
      <c r="T25" s="185" t="n">
        <v>0</v>
      </c>
      <c r="U25" s="201" t="n">
        <f aca="false">IF(A26="","",T25)</f>
        <v>0</v>
      </c>
      <c r="V25" s="205" t="e">
        <f aca="false">IF($A26="","",IF(AND(MONTH(A25)&gt;3,MONTH(A25)&lt;11),(T25+R25+G25)*Summary!$T$11/(1-Summary!$T$11),(T25+R25+G25)*Summary!$U$11/(1-Summary!$U$11)))</f>
        <v>#N/A</v>
      </c>
      <c r="W25" s="202" t="e">
        <f aca="false">IF($A26="","",(T25+R25+G25+V25))</f>
        <v>#N/A</v>
      </c>
      <c r="X25" s="202" t="e">
        <f aca="false">IF($A26="","",(U25+S25+H25+V25))</f>
        <v>#N/A</v>
      </c>
      <c r="Y25" s="202"/>
      <c r="Z25" s="185" t="e">
        <f aca="false">IF($A26="","",VLOOKUP($A25,Table,MATCH(Z$4,Curves,0)))</f>
        <v>#N/A</v>
      </c>
      <c r="AA25" s="185" t="e">
        <f aca="false">IF($A26="","",VLOOKUP($A25,Table,MATCH(AA$4,Curves,0)))</f>
        <v>#N/A</v>
      </c>
      <c r="AB25" s="185" t="e">
        <f aca="false">SQRT((AA25^2*(A25-$D$3)+Z25^2*(DAY(EOMONTH(A25,0))/2))/AK25)</f>
        <v>#N/A</v>
      </c>
      <c r="AC25" s="185" t="e">
        <f aca="false">IF($A26="","",VLOOKUP($A25,Table,MATCH(AC$4,Curves,0)))</f>
        <v>#N/A</v>
      </c>
      <c r="AD25" s="185" t="e">
        <f aca="false">IF($A26="","",VLOOKUP($A25,Table,MATCH(AD$4,Curves,0)))</f>
        <v>#N/A</v>
      </c>
      <c r="AE25" s="185" t="e">
        <f aca="false">SQRT((AD25^2*(A25-$D$3)+AC25^2*(DAY(EOMONTH(A25,0))/2))/AK25)</f>
        <v>#N/A</v>
      </c>
      <c r="AF25" s="206" t="e">
        <f aca="false">((Summary!$N$11*(AA25*AD25)*(A25-$D$3))+(Summary!$M$11*Z25*AC25*(AJ25-EOMONTH(EDATE(A25,-1),0))))/(AK25*AB25*AE25)</f>
        <v>#N/A</v>
      </c>
      <c r="AG25" s="207" t="n">
        <f aca="false">IF($A26="","",Summary!$Q$11)</f>
        <v>0</v>
      </c>
      <c r="AH25" s="207" t="n">
        <f aca="false">IF($A26="","",IF(Summary!$R$11="Y",(VLOOKUP($A25,Summary!$AD$6:$AF$9,3)+'Escalating commodity'!G38),'Escalating commodity'!G38))</f>
        <v>0.0038892668595392</v>
      </c>
      <c r="AI25" s="207" t="n">
        <f aca="false">IF($A26="","",AH25)</f>
        <v>0.0038892668595392</v>
      </c>
      <c r="AJ25" s="208" t="n">
        <f aca="false">A25+DAY(EOMONTH(A25,0))/2-1</f>
        <v>37514</v>
      </c>
      <c r="AK25" s="209" t="n">
        <f aca="false">IF($A26="","",$A25-$E$1)</f>
        <v>-8426</v>
      </c>
      <c r="AL25" s="182" t="e">
        <f aca="false">IF($A26="","",SPRDOPT(P25,X25,AI25,0,AB25,AE25,AF25,AK25,$AJ$2,0))</f>
        <v>#NAME?</v>
      </c>
      <c r="AM25" s="210" t="e">
        <f aca="false">IF($A26="","",MAX(0,O25-W25-AI25))</f>
        <v>#N/A</v>
      </c>
      <c r="AN25" s="211" t="e">
        <f aca="false">IF($A26="","",AL25-AM25)</f>
        <v>#N/A</v>
      </c>
      <c r="AO25" s="137" t="n">
        <f aca="false">IF(A26="","",A26-A25)</f>
        <v>30</v>
      </c>
      <c r="AP25" s="212" t="n">
        <f aca="false">IF(A26="","",CHOOSE(F$3,A26+24,A25))</f>
        <v>37500</v>
      </c>
      <c r="AQ25" s="209" t="n">
        <f aca="false">IF(A26="","",AP25-$E$1)</f>
        <v>-8426</v>
      </c>
      <c r="AR25" s="185" t="n">
        <f aca="false">'ANR OK vs ML7'!AR25</f>
        <v>0.1</v>
      </c>
      <c r="AS25" s="213" t="n">
        <f aca="false">IF(A26="","",1/(1+CHOOSE(F$3,(AR26+($I$3/10000))/2,(AR25+($I$3/10000))/2))^(2*AQ25/365.25))</f>
        <v>9.49811493818189</v>
      </c>
      <c r="AT25" s="137" t="n">
        <f aca="false">IF(A26="","",IF(AND(mthbeg&lt;=A25,mthend&gt;=A25),1,0))</f>
        <v>1</v>
      </c>
      <c r="AU25" s="137" t="n">
        <f aca="false">IF(A26="","",AO25*AT25)</f>
        <v>30</v>
      </c>
      <c r="AW25" s="195" t="e">
        <f aca="false">IF($A26="","",AL25*$E25)</f>
        <v>#NAME?</v>
      </c>
      <c r="AX25" s="195" t="e">
        <f aca="false">IF($A26="","",AM25*$E25)</f>
        <v>#N/A</v>
      </c>
      <c r="AY25" s="195" t="e">
        <f aca="false">IF($A26="","",AN25*$E25)</f>
        <v>#N/A</v>
      </c>
      <c r="BA25" s="195" t="n">
        <f aca="false">IF($A26="","",F25*Summary!$Q$11)</f>
        <v>0</v>
      </c>
      <c r="BC25" s="179" t="e">
        <f aca="false">IF(A26="","",AM25*F25)</f>
        <v>#N/A</v>
      </c>
    </row>
    <row r="26" customFormat="false" ht="12.75" hidden="false" customHeight="false" outlineLevel="0" collapsed="false">
      <c r="A26" s="196" t="n">
        <f aca="false">IF(A25&lt;mthend,EDATE(A25,1),"")</f>
        <v>37530</v>
      </c>
      <c r="B26" s="197" t="n">
        <f aca="false">IF(A26&lt;mthend,B25,"")</f>
        <v>124142</v>
      </c>
      <c r="C26" s="215"/>
      <c r="D26" s="197" t="n">
        <f aca="false">IF(A27&lt;&gt;"",B26+C26,"")</f>
        <v>124142</v>
      </c>
      <c r="E26" s="199" t="n">
        <f aca="false">IF(A27="","",IF(AND(AT26=1,$H$3=1),D26*AO26,IF($H$3=2,D26,"N/A")))</f>
        <v>3848402</v>
      </c>
      <c r="F26" s="199" t="n">
        <f aca="false">IF(A27="","",E26*AS26)</f>
        <v>36260773.5018358</v>
      </c>
      <c r="G26" s="200" t="e">
        <f aca="false">IF($A27="","",VLOOKUP($A26,Table,MATCH(G$4,Curves,0)))</f>
        <v>#N/A</v>
      </c>
      <c r="H26" s="201" t="e">
        <f aca="false">IF(A27="","",G26)</f>
        <v>#N/A</v>
      </c>
      <c r="I26" s="202"/>
      <c r="J26" s="200" t="e">
        <f aca="false">IF($A27="","",VLOOKUP($A26,Table,MATCH(J$4,Curves,0)))</f>
        <v>#N/A</v>
      </c>
      <c r="K26" s="201" t="e">
        <f aca="false">IF(A27="","",J26)</f>
        <v>#N/A</v>
      </c>
      <c r="L26" s="200" t="e">
        <f aca="false">IF($A27="","",VLOOKUP($A26,Table,MATCH(L$4,Curves,0)))</f>
        <v>#N/A</v>
      </c>
      <c r="M26" s="201" t="e">
        <f aca="false">IF(A27="","",L26)</f>
        <v>#N/A</v>
      </c>
      <c r="N26" s="203"/>
      <c r="O26" s="200" t="e">
        <f aca="false">IF(A27="","",L26+J26+G26)</f>
        <v>#N/A</v>
      </c>
      <c r="P26" s="200" t="e">
        <f aca="false">IF(A27="","",M26+K26+H26)</f>
        <v>#N/A</v>
      </c>
      <c r="Q26" s="204"/>
      <c r="R26" s="200" t="e">
        <f aca="false">IF($A27="","",VLOOKUP($A26,Table,MATCH(R$4,Curves,0)))</f>
        <v>#N/A</v>
      </c>
      <c r="S26" s="201" t="e">
        <f aca="false">IF(A27="","",R26)</f>
        <v>#N/A</v>
      </c>
      <c r="T26" s="185" t="n">
        <v>0</v>
      </c>
      <c r="U26" s="201" t="n">
        <f aca="false">IF(A27="","",T26)</f>
        <v>0</v>
      </c>
      <c r="V26" s="205" t="e">
        <f aca="false">IF($A27="","",IF(AND(MONTH(A26)&gt;3,MONTH(A26)&lt;11),(T26+R26+G26)*Summary!$T$11/(1-Summary!$T$11),(T26+R26+G26)*Summary!$U$11/(1-Summary!$U$11)))</f>
        <v>#N/A</v>
      </c>
      <c r="W26" s="202" t="e">
        <f aca="false">IF($A27="","",(T26+R26+G26+V26))</f>
        <v>#N/A</v>
      </c>
      <c r="X26" s="202" t="e">
        <f aca="false">IF($A27="","",(U26+S26+H26+V26))</f>
        <v>#N/A</v>
      </c>
      <c r="Y26" s="202"/>
      <c r="Z26" s="185" t="e">
        <f aca="false">IF($A27="","",VLOOKUP($A26,Table,MATCH(Z$4,Curves,0)))</f>
        <v>#N/A</v>
      </c>
      <c r="AA26" s="185" t="e">
        <f aca="false">IF($A27="","",VLOOKUP($A26,Table,MATCH(AA$4,Curves,0)))</f>
        <v>#N/A</v>
      </c>
      <c r="AB26" s="185" t="e">
        <f aca="false">SQRT((AA26^2*(A26-$D$3)+Z26^2*(DAY(EOMONTH(A26,0))/2))/AK26)</f>
        <v>#N/A</v>
      </c>
      <c r="AC26" s="185" t="e">
        <f aca="false">IF($A27="","",VLOOKUP($A26,Table,MATCH(AC$4,Curves,0)))</f>
        <v>#N/A</v>
      </c>
      <c r="AD26" s="185" t="e">
        <f aca="false">IF($A27="","",VLOOKUP($A26,Table,MATCH(AD$4,Curves,0)))</f>
        <v>#N/A</v>
      </c>
      <c r="AE26" s="185" t="e">
        <f aca="false">SQRT((AD26^2*(A26-$D$3)+AC26^2*(DAY(EOMONTH(A26,0))/2))/AK26)</f>
        <v>#N/A</v>
      </c>
      <c r="AF26" s="206" t="e">
        <f aca="false">((Summary!$N$11*(AA26*AD26)*(A26-$D$3))+(Summary!$M$11*Z26*AC26*(AJ26-EOMONTH(EDATE(A26,-1),0))))/(AK26*AB26*AE26)</f>
        <v>#N/A</v>
      </c>
      <c r="AG26" s="207" t="n">
        <f aca="false">IF($A27="","",Summary!$Q$11)</f>
        <v>0</v>
      </c>
      <c r="AH26" s="207" t="n">
        <f aca="false">IF($A27="","",IF(Summary!$R$11="Y",(VLOOKUP($A26,Summary!$AD$6:$AF$9,3)+'Escalating commodity'!G39),'Escalating commodity'!G39))</f>
        <v>0.0038892668595392</v>
      </c>
      <c r="AI26" s="207" t="n">
        <f aca="false">IF($A27="","",AH26)</f>
        <v>0.0038892668595392</v>
      </c>
      <c r="AJ26" s="208" t="n">
        <f aca="false">A26+DAY(EOMONTH(A26,0))/2-1</f>
        <v>37544.5</v>
      </c>
      <c r="AK26" s="209" t="n">
        <f aca="false">IF($A27="","",$A26-$E$1)</f>
        <v>-8396</v>
      </c>
      <c r="AL26" s="182" t="e">
        <f aca="false">IF($A27="","",SPRDOPT(P26,X26,AI26,0,AB26,AE26,AF26,AK26,$AJ$2,0))</f>
        <v>#NAME?</v>
      </c>
      <c r="AM26" s="210" t="e">
        <f aca="false">IF($A27="","",MAX(0,O26-W26-AI26))</f>
        <v>#N/A</v>
      </c>
      <c r="AN26" s="211" t="e">
        <f aca="false">IF($A27="","",AL26-AM26)</f>
        <v>#N/A</v>
      </c>
      <c r="AO26" s="137" t="n">
        <f aca="false">IF(A27="","",A27-A26)</f>
        <v>31</v>
      </c>
      <c r="AP26" s="212" t="n">
        <f aca="false">IF(A27="","",CHOOSE(F$3,A27+24,A26))</f>
        <v>37530</v>
      </c>
      <c r="AQ26" s="209" t="n">
        <f aca="false">IF(A27="","",AP26-$E$1)</f>
        <v>-8396</v>
      </c>
      <c r="AR26" s="185" t="n">
        <f aca="false">'ANR OK vs ML7'!AR26</f>
        <v>0.1</v>
      </c>
      <c r="AS26" s="213" t="n">
        <f aca="false">IF(A27="","",1/(1+CHOOSE(F$3,(AR27+($I$3/10000))/2,(AR26+($I$3/10000))/2))^(2*AQ26/365.25))</f>
        <v>9.42229359142726</v>
      </c>
      <c r="AT26" s="137" t="n">
        <f aca="false">IF(A27="","",IF(AND(mthbeg&lt;=A26,mthend&gt;=A26),1,0))</f>
        <v>1</v>
      </c>
      <c r="AU26" s="137" t="n">
        <f aca="false">IF(A27="","",AO26*AT26)</f>
        <v>31</v>
      </c>
      <c r="AW26" s="195" t="e">
        <f aca="false">IF($A27="","",AL26*$E26)</f>
        <v>#NAME?</v>
      </c>
      <c r="AX26" s="195" t="e">
        <f aca="false">IF($A27="","",AM26*$E26)</f>
        <v>#N/A</v>
      </c>
      <c r="AY26" s="195" t="e">
        <f aca="false">IF($A27="","",AN26*$E26)</f>
        <v>#N/A</v>
      </c>
      <c r="BA26" s="195" t="n">
        <f aca="false">IF($A27="","",F26*Summary!$Q$11)</f>
        <v>0</v>
      </c>
      <c r="BC26" s="179" t="e">
        <f aca="false">IF(A27="","",AM26*F26)</f>
        <v>#N/A</v>
      </c>
    </row>
    <row r="27" customFormat="false" ht="12.75" hidden="false" customHeight="false" outlineLevel="0" collapsed="false">
      <c r="A27" s="196" t="n">
        <f aca="false">IF(A26&lt;mthend,EDATE(A26,1),"")</f>
        <v>37561</v>
      </c>
      <c r="B27" s="197" t="n">
        <f aca="false">IF(A27&lt;mthend,B26,"")</f>
        <v>124142</v>
      </c>
      <c r="C27" s="215"/>
      <c r="D27" s="197" t="n">
        <f aca="false">IF(A28&lt;&gt;"",B27+C27,"")</f>
        <v>124142</v>
      </c>
      <c r="E27" s="199" t="n">
        <f aca="false">IF(A28="","",IF(AND(AT27=1,$H$3=1),D27*AO27,IF($H$3=2,D27,"N/A")))</f>
        <v>3724260</v>
      </c>
      <c r="F27" s="199" t="n">
        <f aca="false">IF(A28="","",E27*AS27)</f>
        <v>34801648.0226514</v>
      </c>
      <c r="G27" s="200" t="e">
        <f aca="false">IF($A28="","",VLOOKUP($A27,Table,MATCH(G$4,Curves,0)))</f>
        <v>#N/A</v>
      </c>
      <c r="H27" s="201" t="e">
        <f aca="false">IF(A28="","",G27)</f>
        <v>#N/A</v>
      </c>
      <c r="I27" s="202"/>
      <c r="J27" s="200" t="e">
        <f aca="false">IF($A28="","",VLOOKUP($A27,Table,MATCH(J$4,Curves,0)))</f>
        <v>#N/A</v>
      </c>
      <c r="K27" s="201" t="e">
        <f aca="false">IF(A28="","",J27)</f>
        <v>#N/A</v>
      </c>
      <c r="L27" s="200" t="e">
        <f aca="false">IF($A28="","",VLOOKUP($A27,Table,MATCH(L$4,Curves,0)))</f>
        <v>#N/A</v>
      </c>
      <c r="M27" s="201" t="e">
        <f aca="false">IF(A28="","",L27)</f>
        <v>#N/A</v>
      </c>
      <c r="N27" s="203"/>
      <c r="O27" s="200" t="e">
        <f aca="false">IF(A28="","",L27+J27+G27)</f>
        <v>#N/A</v>
      </c>
      <c r="P27" s="200" t="e">
        <f aca="false">IF(A28="","",M27+K27+H27)</f>
        <v>#N/A</v>
      </c>
      <c r="Q27" s="204"/>
      <c r="R27" s="200" t="e">
        <f aca="false">IF($A28="","",VLOOKUP($A27,Table,MATCH(R$4,Curves,0)))</f>
        <v>#N/A</v>
      </c>
      <c r="S27" s="201" t="e">
        <f aca="false">IF(A28="","",R27)</f>
        <v>#N/A</v>
      </c>
      <c r="T27" s="185" t="n">
        <v>0</v>
      </c>
      <c r="U27" s="201" t="n">
        <f aca="false">IF(A28="","",T27)</f>
        <v>0</v>
      </c>
      <c r="V27" s="205" t="e">
        <f aca="false">IF($A28="","",IF(AND(MONTH(A27)&gt;3,MONTH(A27)&lt;11),(T27+R27+G27)*Summary!$T$11/(1-Summary!$T$11),(T27+R27+G27)*Summary!$U$11/(1-Summary!$U$11)))</f>
        <v>#N/A</v>
      </c>
      <c r="W27" s="202" t="e">
        <f aca="false">IF($A28="","",(T27+R27+G27+V27))</f>
        <v>#N/A</v>
      </c>
      <c r="X27" s="202" t="e">
        <f aca="false">IF($A28="","",(U27+S27+H27+V27))</f>
        <v>#N/A</v>
      </c>
      <c r="Y27" s="202"/>
      <c r="Z27" s="185" t="e">
        <f aca="false">IF($A28="","",VLOOKUP($A27,Table,MATCH(Z$4,Curves,0)))</f>
        <v>#N/A</v>
      </c>
      <c r="AA27" s="185" t="e">
        <f aca="false">IF($A28="","",VLOOKUP($A27,Table,MATCH(AA$4,Curves,0)))</f>
        <v>#N/A</v>
      </c>
      <c r="AB27" s="185" t="e">
        <f aca="false">SQRT((AA27^2*(A27-$D$3)+Z27^2*(DAY(EOMONTH(A27,0))/2))/AK27)</f>
        <v>#N/A</v>
      </c>
      <c r="AC27" s="185" t="e">
        <f aca="false">IF($A28="","",VLOOKUP($A27,Table,MATCH(AC$4,Curves,0)))</f>
        <v>#N/A</v>
      </c>
      <c r="AD27" s="185" t="e">
        <f aca="false">IF($A28="","",VLOOKUP($A27,Table,MATCH(AD$4,Curves,0)))</f>
        <v>#N/A</v>
      </c>
      <c r="AE27" s="185" t="e">
        <f aca="false">SQRT((AD27^2*(A27-$D$3)+AC27^2*(DAY(EOMONTH(A27,0))/2))/AK27)</f>
        <v>#N/A</v>
      </c>
      <c r="AF27" s="206" t="e">
        <f aca="false">((Summary!$N$11*(AA27*AD27)*(A27-$D$3))+(Summary!$M$11*Z27*AC27*(AJ27-EOMONTH(EDATE(A27,-1),0))))/(AK27*AB27*AE27)</f>
        <v>#N/A</v>
      </c>
      <c r="AG27" s="207" t="n">
        <f aca="false">IF($A28="","",Summary!$Q$11)</f>
        <v>0</v>
      </c>
      <c r="AH27" s="207" t="n">
        <f aca="false">IF($A28="","",IF(Summary!$R$11="Y",(VLOOKUP($A27,Summary!$AD$6:$AF$9,3)+'Escalating commodity'!G40),'Escalating commodity'!G40))</f>
        <v>0.0038892668595392</v>
      </c>
      <c r="AI27" s="207" t="n">
        <f aca="false">IF($A28="","",AH27)</f>
        <v>0.0038892668595392</v>
      </c>
      <c r="AJ27" s="208" t="n">
        <f aca="false">A27+DAY(EOMONTH(A27,0))/2-1</f>
        <v>37575</v>
      </c>
      <c r="AK27" s="209" t="n">
        <f aca="false">IF($A28="","",$A27-$E$1)</f>
        <v>-8365</v>
      </c>
      <c r="AL27" s="182" t="e">
        <f aca="false">IF($A28="","",SPRDOPT(P27,X27,AI27,0,AB27,AE27,AF27,AK27,$AJ$2,0))</f>
        <v>#NAME?</v>
      </c>
      <c r="AM27" s="210" t="e">
        <f aca="false">IF($A28="","",MAX(0,O27-W27-AI27))</f>
        <v>#N/A</v>
      </c>
      <c r="AN27" s="211" t="e">
        <f aca="false">IF($A28="","",AL27-AM27)</f>
        <v>#N/A</v>
      </c>
      <c r="AO27" s="137" t="n">
        <f aca="false">IF(A28="","",A28-A27)</f>
        <v>30</v>
      </c>
      <c r="AP27" s="212" t="n">
        <f aca="false">IF(A28="","",CHOOSE(F$3,A28+24,A27))</f>
        <v>37561</v>
      </c>
      <c r="AQ27" s="209" t="n">
        <f aca="false">IF(A28="","",AP27-$E$1)</f>
        <v>-8365</v>
      </c>
      <c r="AR27" s="185" t="n">
        <f aca="false">'ANR OK vs ML7'!AR27</f>
        <v>0.1</v>
      </c>
      <c r="AS27" s="213" t="n">
        <f aca="false">IF(A28="","",1/(1+CHOOSE(F$3,(AR28+($I$3/10000))/2,(AR27+($I$3/10000))/2))^(2*AQ27/365.25))</f>
        <v>9.34458067445651</v>
      </c>
      <c r="AT27" s="137" t="n">
        <f aca="false">IF(A28="","",IF(AND(mthbeg&lt;=A27,mthend&gt;=A27),1,0))</f>
        <v>1</v>
      </c>
      <c r="AU27" s="137" t="n">
        <f aca="false">IF(A28="","",AO27*AT27)</f>
        <v>30</v>
      </c>
      <c r="AW27" s="195" t="e">
        <f aca="false">IF($A28="","",AL27*$E27)</f>
        <v>#NAME?</v>
      </c>
      <c r="AX27" s="195" t="e">
        <f aca="false">IF($A28="","",AM27*$E27)</f>
        <v>#N/A</v>
      </c>
      <c r="AY27" s="195" t="e">
        <f aca="false">IF($A28="","",AN27*$E27)</f>
        <v>#N/A</v>
      </c>
      <c r="BA27" s="195" t="n">
        <f aca="false">IF($A28="","",F27*Summary!$Q$11)</f>
        <v>0</v>
      </c>
      <c r="BC27" s="179" t="e">
        <f aca="false">IF(A28="","",AM27*F27)</f>
        <v>#N/A</v>
      </c>
    </row>
    <row r="28" customFormat="false" ht="12.75" hidden="false" customHeight="false" outlineLevel="0" collapsed="false">
      <c r="A28" s="196" t="n">
        <f aca="false">IF(A27&lt;mthend,EDATE(A27,1),"")</f>
        <v>37591</v>
      </c>
      <c r="B28" s="197" t="n">
        <f aca="false">IF(A28&lt;mthend,B27,"")</f>
        <v>124142</v>
      </c>
      <c r="C28" s="215"/>
      <c r="D28" s="197" t="n">
        <f aca="false">IF(A29&lt;&gt;"",B28+C28,"")</f>
        <v>124142</v>
      </c>
      <c r="E28" s="199" t="n">
        <f aca="false">IF(A29="","",IF(AND(AT28=1,$H$3=1),D28*AO28,IF($H$3=2,D28,"N/A")))</f>
        <v>3848402</v>
      </c>
      <c r="F28" s="199" t="n">
        <f aca="false">IF(A29="","",E28*AS28)</f>
        <v>35674628.6512048</v>
      </c>
      <c r="G28" s="200" t="e">
        <f aca="false">IF($A29="","",VLOOKUP($A28,Table,MATCH(G$4,Curves,0)))</f>
        <v>#N/A</v>
      </c>
      <c r="H28" s="201" t="e">
        <f aca="false">IF(A29="","",G28)</f>
        <v>#N/A</v>
      </c>
      <c r="I28" s="202"/>
      <c r="J28" s="200" t="e">
        <f aca="false">IF($A29="","",VLOOKUP($A28,Table,MATCH(J$4,Curves,0)))</f>
        <v>#N/A</v>
      </c>
      <c r="K28" s="201" t="e">
        <f aca="false">IF(A29="","",J28)</f>
        <v>#N/A</v>
      </c>
      <c r="L28" s="200" t="e">
        <f aca="false">IF($A29="","",VLOOKUP($A28,Table,MATCH(L$4,Curves,0)))</f>
        <v>#N/A</v>
      </c>
      <c r="M28" s="201" t="e">
        <f aca="false">IF(A29="","",L28)</f>
        <v>#N/A</v>
      </c>
      <c r="N28" s="203"/>
      <c r="O28" s="200" t="e">
        <f aca="false">IF(A29="","",L28+J28+G28)</f>
        <v>#N/A</v>
      </c>
      <c r="P28" s="200" t="e">
        <f aca="false">IF(A29="","",M28+K28+H28)</f>
        <v>#N/A</v>
      </c>
      <c r="Q28" s="204"/>
      <c r="R28" s="200" t="e">
        <f aca="false">IF($A29="","",VLOOKUP($A28,Table,MATCH(R$4,Curves,0)))</f>
        <v>#N/A</v>
      </c>
      <c r="S28" s="201" t="e">
        <f aca="false">IF(A29="","",R28)</f>
        <v>#N/A</v>
      </c>
      <c r="T28" s="185" t="n">
        <v>0</v>
      </c>
      <c r="U28" s="201" t="n">
        <f aca="false">IF(A29="","",T28)</f>
        <v>0</v>
      </c>
      <c r="V28" s="205" t="e">
        <f aca="false">IF($A29="","",IF(AND(MONTH(A28)&gt;3,MONTH(A28)&lt;11),(T28+R28+G28)*Summary!$T$11/(1-Summary!$T$11),(T28+R28+G28)*Summary!$U$11/(1-Summary!$U$11)))</f>
        <v>#N/A</v>
      </c>
      <c r="W28" s="202" t="e">
        <f aca="false">IF($A29="","",(T28+R28+G28+V28))</f>
        <v>#N/A</v>
      </c>
      <c r="X28" s="202" t="e">
        <f aca="false">IF($A29="","",(U28+S28+H28+V28))</f>
        <v>#N/A</v>
      </c>
      <c r="Y28" s="202"/>
      <c r="Z28" s="185" t="e">
        <f aca="false">IF($A29="","",VLOOKUP($A28,Table,MATCH(Z$4,Curves,0)))</f>
        <v>#N/A</v>
      </c>
      <c r="AA28" s="185" t="e">
        <f aca="false">IF($A29="","",VLOOKUP($A28,Table,MATCH(AA$4,Curves,0)))</f>
        <v>#N/A</v>
      </c>
      <c r="AB28" s="185" t="e">
        <f aca="false">SQRT((AA28^2*(A28-$D$3)+Z28^2*(DAY(EOMONTH(A28,0))/2))/AK28)</f>
        <v>#N/A</v>
      </c>
      <c r="AC28" s="185" t="e">
        <f aca="false">IF($A29="","",VLOOKUP($A28,Table,MATCH(AC$4,Curves,0)))</f>
        <v>#N/A</v>
      </c>
      <c r="AD28" s="185" t="e">
        <f aca="false">IF($A29="","",VLOOKUP($A28,Table,MATCH(AD$4,Curves,0)))</f>
        <v>#N/A</v>
      </c>
      <c r="AE28" s="185" t="e">
        <f aca="false">SQRT((AD28^2*(A28-$D$3)+AC28^2*(DAY(EOMONTH(A28,0))/2))/AK28)</f>
        <v>#N/A</v>
      </c>
      <c r="AF28" s="206" t="e">
        <f aca="false">((Summary!$N$11*(AA28*AD28)*(A28-$D$3))+(Summary!$M$11*Z28*AC28*(AJ28-EOMONTH(EDATE(A28,-1),0))))/(AK28*AB28*AE28)</f>
        <v>#N/A</v>
      </c>
      <c r="AG28" s="207" t="n">
        <f aca="false">IF($A29="","",Summary!$Q$11)</f>
        <v>0</v>
      </c>
      <c r="AH28" s="207" t="n">
        <f aca="false">IF($A29="","",IF(Summary!$R$11="Y",(VLOOKUP($A28,Summary!$AD$6:$AF$9,3)+'Escalating commodity'!G41),'Escalating commodity'!G41))</f>
        <v>0.0038892668595392</v>
      </c>
      <c r="AI28" s="207" t="n">
        <f aca="false">IF($A29="","",AH28)</f>
        <v>0.0038892668595392</v>
      </c>
      <c r="AJ28" s="208" t="n">
        <f aca="false">A28+DAY(EOMONTH(A28,0))/2-1</f>
        <v>37605.5</v>
      </c>
      <c r="AK28" s="209" t="n">
        <f aca="false">IF($A29="","",$A28-$E$1)</f>
        <v>-8335</v>
      </c>
      <c r="AL28" s="182" t="e">
        <f aca="false">IF($A29="","",SPRDOPT(P28,X28,AI28,0,AB28,AE28,AF28,AK28,$AJ$2,0))</f>
        <v>#NAME?</v>
      </c>
      <c r="AM28" s="210" t="e">
        <f aca="false">IF($A29="","",MAX(0,O28-W28-AI28))</f>
        <v>#N/A</v>
      </c>
      <c r="AN28" s="211" t="e">
        <f aca="false">IF($A29="","",AL28-AM28)</f>
        <v>#N/A</v>
      </c>
      <c r="AO28" s="137" t="n">
        <f aca="false">IF(A29="","",A29-A28)</f>
        <v>31</v>
      </c>
      <c r="AP28" s="212" t="n">
        <f aca="false">IF(A29="","",CHOOSE(F$3,A29+24,A28))</f>
        <v>37591</v>
      </c>
      <c r="AQ28" s="209" t="n">
        <f aca="false">IF(A29="","",AP28-$E$1)</f>
        <v>-8335</v>
      </c>
      <c r="AR28" s="185" t="n">
        <f aca="false">'ANR OK vs ML7'!AR28</f>
        <v>0.1</v>
      </c>
      <c r="AS28" s="213" t="n">
        <f aca="false">IF(A29="","",1/(1+CHOOSE(F$3,(AR29+($I$3/10000))/2,(AR28+($I$3/10000))/2))^(2*AQ28/365.25))</f>
        <v>9.26998495770576</v>
      </c>
      <c r="AT28" s="137" t="n">
        <f aca="false">IF(A29="","",IF(AND(mthbeg&lt;=A28,mthend&gt;=A28),1,0))</f>
        <v>1</v>
      </c>
      <c r="AU28" s="137" t="n">
        <f aca="false">IF(A29="","",AO28*AT28)</f>
        <v>31</v>
      </c>
      <c r="AW28" s="195" t="e">
        <f aca="false">IF($A29="","",AL28*$E28)</f>
        <v>#NAME?</v>
      </c>
      <c r="AX28" s="195" t="e">
        <f aca="false">IF($A29="","",AM28*$E28)</f>
        <v>#N/A</v>
      </c>
      <c r="AY28" s="195" t="e">
        <f aca="false">IF($A29="","",AN28*$E28)</f>
        <v>#N/A</v>
      </c>
      <c r="BA28" s="195" t="n">
        <f aca="false">IF($A29="","",F28*Summary!$Q$11)</f>
        <v>0</v>
      </c>
      <c r="BC28" s="179" t="e">
        <f aca="false">IF(A29="","",AM28*F28)</f>
        <v>#N/A</v>
      </c>
    </row>
    <row r="29" customFormat="false" ht="12.75" hidden="false" customHeight="false" outlineLevel="0" collapsed="false">
      <c r="A29" s="196" t="n">
        <f aca="false">IF(A28&lt;mthend,EDATE(A28,1),"")</f>
        <v>37622</v>
      </c>
      <c r="B29" s="197" t="n">
        <f aca="false">IF(A29&lt;mthend,B28,"")</f>
        <v>124142</v>
      </c>
      <c r="C29" s="215"/>
      <c r="D29" s="197" t="n">
        <f aca="false">IF(A30&lt;&gt;"",B29+C29,"")</f>
        <v>124142</v>
      </c>
      <c r="E29" s="199" t="n">
        <f aca="false">IF(A30="","",IF(AND(AT29=1,$H$3=1),D29*AO29,IF($H$3=2,D29,"N/A")))</f>
        <v>3848402</v>
      </c>
      <c r="F29" s="199" t="n">
        <f aca="false">IF(A30="","",E29*AS29)</f>
        <v>35380392.4944313</v>
      </c>
      <c r="G29" s="200" t="e">
        <f aca="false">IF($A30="","",VLOOKUP($A29,Table,MATCH(G$4,Curves,0)))</f>
        <v>#N/A</v>
      </c>
      <c r="H29" s="201" t="e">
        <f aca="false">IF(A30="","",G29)</f>
        <v>#N/A</v>
      </c>
      <c r="I29" s="202"/>
      <c r="J29" s="200" t="e">
        <f aca="false">IF($A30="","",VLOOKUP($A29,Table,MATCH(J$4,Curves,0)))</f>
        <v>#N/A</v>
      </c>
      <c r="K29" s="201" t="e">
        <f aca="false">IF(A30="","",J29)</f>
        <v>#N/A</v>
      </c>
      <c r="L29" s="200" t="e">
        <f aca="false">IF($A30="","",VLOOKUP($A29,Table,MATCH(L$4,Curves,0)))</f>
        <v>#N/A</v>
      </c>
      <c r="M29" s="201" t="e">
        <f aca="false">IF(A30="","",L29)</f>
        <v>#N/A</v>
      </c>
      <c r="N29" s="203"/>
      <c r="O29" s="200" t="e">
        <f aca="false">IF(A30="","",L29+J29+G29)</f>
        <v>#N/A</v>
      </c>
      <c r="P29" s="200" t="e">
        <f aca="false">IF(A30="","",M29+K29+H29)</f>
        <v>#N/A</v>
      </c>
      <c r="Q29" s="204"/>
      <c r="R29" s="200" t="e">
        <f aca="false">IF($A30="","",VLOOKUP($A29,Table,MATCH(R$4,Curves,0)))</f>
        <v>#N/A</v>
      </c>
      <c r="S29" s="201" t="e">
        <f aca="false">IF(A30="","",R29)</f>
        <v>#N/A</v>
      </c>
      <c r="T29" s="185" t="n">
        <v>0</v>
      </c>
      <c r="U29" s="201" t="n">
        <f aca="false">IF(A30="","",T29)</f>
        <v>0</v>
      </c>
      <c r="V29" s="205" t="e">
        <f aca="false">IF($A30="","",IF(AND(MONTH(A29)&gt;3,MONTH(A29)&lt;11),(T29+R29+G29)*Summary!$T$11/(1-Summary!$T$11),(T29+R29+G29)*Summary!$U$11/(1-Summary!$U$11)))</f>
        <v>#N/A</v>
      </c>
      <c r="W29" s="202" t="e">
        <f aca="false">IF($A30="","",(T29+R29+G29+V29))</f>
        <v>#N/A</v>
      </c>
      <c r="X29" s="202" t="e">
        <f aca="false">IF($A30="","",(U29+S29+H29+V29))</f>
        <v>#N/A</v>
      </c>
      <c r="Y29" s="202"/>
      <c r="Z29" s="185" t="e">
        <f aca="false">IF($A30="","",VLOOKUP($A29,Table,MATCH(Z$4,Curves,0)))</f>
        <v>#N/A</v>
      </c>
      <c r="AA29" s="185" t="e">
        <f aca="false">IF($A30="","",VLOOKUP($A29,Table,MATCH(AA$4,Curves,0)))</f>
        <v>#N/A</v>
      </c>
      <c r="AB29" s="185" t="e">
        <f aca="false">SQRT((AA29^2*(A29-$D$3)+Z29^2*(DAY(EOMONTH(A29,0))/2))/AK29)</f>
        <v>#N/A</v>
      </c>
      <c r="AC29" s="185" t="e">
        <f aca="false">IF($A30="","",VLOOKUP($A29,Table,MATCH(AC$4,Curves,0)))</f>
        <v>#N/A</v>
      </c>
      <c r="AD29" s="185" t="e">
        <f aca="false">IF($A30="","",VLOOKUP($A29,Table,MATCH(AD$4,Curves,0)))</f>
        <v>#N/A</v>
      </c>
      <c r="AE29" s="185" t="e">
        <f aca="false">SQRT((AD29^2*(A29-$D$3)+AC29^2*(DAY(EOMONTH(A29,0))/2))/AK29)</f>
        <v>#N/A</v>
      </c>
      <c r="AF29" s="206" t="e">
        <f aca="false">((Summary!$N$11*(AA29*AD29)*(A29-$D$3))+(Summary!$M$11*Z29*AC29*(AJ29-EOMONTH(EDATE(A29,-1),0))))/(AK29*AB29*AE29)</f>
        <v>#N/A</v>
      </c>
      <c r="AG29" s="207" t="n">
        <f aca="false">IF($A30="","",Summary!$Q$11)</f>
        <v>0</v>
      </c>
      <c r="AH29" s="207" t="n">
        <f aca="false">IF($A30="","",IF(Summary!$R$11="Y",(VLOOKUP($A29,Summary!$AD$6:$AF$9,3)+'Escalating commodity'!G42),'Escalating commodity'!G42))</f>
        <v>0.00505604691740096</v>
      </c>
      <c r="AI29" s="207" t="n">
        <f aca="false">IF($A30="","",AH29)</f>
        <v>0.00505604691740096</v>
      </c>
      <c r="AJ29" s="208" t="n">
        <f aca="false">A29+DAY(EOMONTH(A29,0))/2-1</f>
        <v>37636.5</v>
      </c>
      <c r="AK29" s="209" t="n">
        <f aca="false">IF($A30="","",$A29-$E$1)</f>
        <v>-8304</v>
      </c>
      <c r="AL29" s="182" t="e">
        <f aca="false">IF($A30="","",SPRDOPT(P29,X29,AI29,0,AB29,AE29,AF29,AK29,$AJ$2,0))</f>
        <v>#NAME?</v>
      </c>
      <c r="AM29" s="210" t="e">
        <f aca="false">IF($A30="","",MAX(0,O29-W29-AI29))</f>
        <v>#N/A</v>
      </c>
      <c r="AN29" s="211" t="e">
        <f aca="false">IF($A30="","",AL29-AM29)</f>
        <v>#N/A</v>
      </c>
      <c r="AO29" s="137" t="n">
        <f aca="false">IF(A30="","",A30-A29)</f>
        <v>31</v>
      </c>
      <c r="AP29" s="212" t="n">
        <f aca="false">IF(A30="","",CHOOSE(F$3,A30+24,A29))</f>
        <v>37622</v>
      </c>
      <c r="AQ29" s="209" t="n">
        <f aca="false">IF(A30="","",AP29-$E$1)</f>
        <v>-8304</v>
      </c>
      <c r="AR29" s="185" t="n">
        <f aca="false">'ANR OK vs ML7'!AR29</f>
        <v>0.1</v>
      </c>
      <c r="AS29" s="213" t="n">
        <f aca="false">IF(A30="","",1/(1+CHOOSE(F$3,(AR30+($I$3/10000))/2,(AR29+($I$3/10000))/2))^(2*AQ29/365.25))</f>
        <v>9.19352824742094</v>
      </c>
      <c r="AT29" s="137" t="n">
        <f aca="false">IF(A30="","",IF(AND(mthbeg&lt;=A29,mthend&gt;=A29),1,0))</f>
        <v>1</v>
      </c>
      <c r="AU29" s="137" t="n">
        <f aca="false">IF(A30="","",AO29*AT29)</f>
        <v>31</v>
      </c>
      <c r="AW29" s="195" t="e">
        <f aca="false">IF($A30="","",AL29*$E29)</f>
        <v>#NAME?</v>
      </c>
      <c r="AX29" s="195" t="e">
        <f aca="false">IF($A30="","",AM29*$E29)</f>
        <v>#N/A</v>
      </c>
      <c r="AY29" s="195" t="e">
        <f aca="false">IF($A30="","",AN29*$E29)</f>
        <v>#N/A</v>
      </c>
      <c r="BA29" s="195" t="n">
        <f aca="false">IF($A30="","",F29*Summary!$Q$11)</f>
        <v>0</v>
      </c>
      <c r="BC29" s="179" t="e">
        <f aca="false">IF(A30="","",AM29*F29)</f>
        <v>#N/A</v>
      </c>
    </row>
    <row r="30" customFormat="false" ht="12.75" hidden="false" customHeight="false" outlineLevel="0" collapsed="false">
      <c r="A30" s="196" t="n">
        <f aca="false">IF(A29&lt;mthend,EDATE(A29,1),"")</f>
        <v>37653</v>
      </c>
      <c r="B30" s="197" t="n">
        <f aca="false">IF(A30&lt;mthend,B29,"")</f>
        <v>124142</v>
      </c>
      <c r="C30" s="215"/>
      <c r="D30" s="197" t="n">
        <f aca="false">IF(A31&lt;&gt;"",B30+C30,"")</f>
        <v>124142</v>
      </c>
      <c r="E30" s="199" t="n">
        <f aca="false">IF(A31="","",IF(AND(AT30=1,$H$3=1),D30*AO30,IF($H$3=2,D30,"N/A")))</f>
        <v>3475976</v>
      </c>
      <c r="F30" s="199" t="n">
        <f aca="false">IF(A31="","",E30*AS30)</f>
        <v>31692913.794847</v>
      </c>
      <c r="G30" s="200" t="e">
        <f aca="false">IF($A31="","",VLOOKUP($A30,Table,MATCH(G$4,Curves,0)))</f>
        <v>#N/A</v>
      </c>
      <c r="H30" s="201" t="e">
        <f aca="false">IF(A31="","",G30)</f>
        <v>#N/A</v>
      </c>
      <c r="I30" s="202"/>
      <c r="J30" s="200" t="e">
        <f aca="false">IF($A31="","",VLOOKUP($A30,Table,MATCH(J$4,Curves,0)))</f>
        <v>#N/A</v>
      </c>
      <c r="K30" s="201" t="e">
        <f aca="false">IF(A31="","",J30)</f>
        <v>#N/A</v>
      </c>
      <c r="L30" s="200" t="e">
        <f aca="false">IF($A31="","",VLOOKUP($A30,Table,MATCH(L$4,Curves,0)))</f>
        <v>#N/A</v>
      </c>
      <c r="M30" s="201" t="e">
        <f aca="false">IF(A31="","",L30)</f>
        <v>#N/A</v>
      </c>
      <c r="N30" s="203"/>
      <c r="O30" s="200" t="e">
        <f aca="false">IF(A31="","",L30+J30+G30)</f>
        <v>#N/A</v>
      </c>
      <c r="P30" s="200" t="e">
        <f aca="false">IF(A31="","",M30+K30+H30)</f>
        <v>#N/A</v>
      </c>
      <c r="Q30" s="204"/>
      <c r="R30" s="200" t="e">
        <f aca="false">IF($A31="","",VLOOKUP($A30,Table,MATCH(R$4,Curves,0)))</f>
        <v>#N/A</v>
      </c>
      <c r="S30" s="201" t="e">
        <f aca="false">IF(A31="","",R30)</f>
        <v>#N/A</v>
      </c>
      <c r="T30" s="185" t="n">
        <v>0</v>
      </c>
      <c r="U30" s="201" t="n">
        <f aca="false">IF(A31="","",T30)</f>
        <v>0</v>
      </c>
      <c r="V30" s="205" t="e">
        <f aca="false">IF($A31="","",IF(AND(MONTH(A30)&gt;3,MONTH(A30)&lt;11),(T30+R30+G30)*Summary!$T$11/(1-Summary!$T$11),(T30+R30+G30)*Summary!$U$11/(1-Summary!$U$11)))</f>
        <v>#N/A</v>
      </c>
      <c r="W30" s="202" t="e">
        <f aca="false">IF($A31="","",(T30+R30+G30+V30))</f>
        <v>#N/A</v>
      </c>
      <c r="X30" s="202" t="e">
        <f aca="false">IF($A31="","",(U30+S30+H30+V30))</f>
        <v>#N/A</v>
      </c>
      <c r="Y30" s="202"/>
      <c r="Z30" s="185" t="e">
        <f aca="false">IF($A31="","",VLOOKUP($A30,Table,MATCH(Z$4,Curves,0)))</f>
        <v>#N/A</v>
      </c>
      <c r="AA30" s="185" t="e">
        <f aca="false">IF($A31="","",VLOOKUP($A30,Table,MATCH(AA$4,Curves,0)))</f>
        <v>#N/A</v>
      </c>
      <c r="AB30" s="185" t="e">
        <f aca="false">SQRT((AA30^2*(A30-$D$3)+Z30^2*(DAY(EOMONTH(A30,0))/2))/AK30)</f>
        <v>#N/A</v>
      </c>
      <c r="AC30" s="185" t="e">
        <f aca="false">IF($A31="","",VLOOKUP($A30,Table,MATCH(AC$4,Curves,0)))</f>
        <v>#N/A</v>
      </c>
      <c r="AD30" s="185" t="e">
        <f aca="false">IF($A31="","",VLOOKUP($A30,Table,MATCH(AD$4,Curves,0)))</f>
        <v>#N/A</v>
      </c>
      <c r="AE30" s="185" t="e">
        <f aca="false">SQRT((AD30^2*(A30-$D$3)+AC30^2*(DAY(EOMONTH(A30,0))/2))/AK30)</f>
        <v>#N/A</v>
      </c>
      <c r="AF30" s="206" t="e">
        <f aca="false">((Summary!$N$11*(AA30*AD30)*(A30-$D$3))+(Summary!$M$11*Z30*AC30*(AJ30-EOMONTH(EDATE(A30,-1),0))))/(AK30*AB30*AE30)</f>
        <v>#N/A</v>
      </c>
      <c r="AG30" s="207" t="n">
        <f aca="false">IF($A31="","",Summary!$Q$11)</f>
        <v>0</v>
      </c>
      <c r="AH30" s="207" t="n">
        <f aca="false">IF($A31="","",IF(Summary!$R$11="Y",(VLOOKUP($A30,Summary!$AD$6:$AF$9,3)+'Escalating commodity'!G43),'Escalating commodity'!G43))</f>
        <v>0.00505604691740096</v>
      </c>
      <c r="AI30" s="207" t="n">
        <f aca="false">IF($A31="","",AH30)</f>
        <v>0.00505604691740096</v>
      </c>
      <c r="AJ30" s="208" t="n">
        <f aca="false">A30+DAY(EOMONTH(A30,0))/2-1</f>
        <v>37666</v>
      </c>
      <c r="AK30" s="209" t="n">
        <f aca="false">IF($A31="","",$A30-$E$1)</f>
        <v>-8273</v>
      </c>
      <c r="AL30" s="182" t="e">
        <f aca="false">IF($A31="","",SPRDOPT(P30,X30,AI30,0,AB30,AE30,AF30,AK30,$AJ$2,0))</f>
        <v>#NAME?</v>
      </c>
      <c r="AM30" s="210" t="e">
        <f aca="false">IF($A31="","",MAX(0,O30-W30-AI30))</f>
        <v>#N/A</v>
      </c>
      <c r="AN30" s="211" t="e">
        <f aca="false">IF($A31="","",AL30-AM30)</f>
        <v>#N/A</v>
      </c>
      <c r="AO30" s="137" t="n">
        <f aca="false">IF(A31="","",A31-A30)</f>
        <v>28</v>
      </c>
      <c r="AP30" s="212" t="n">
        <f aca="false">IF(A31="","",CHOOSE(F$3,A31+24,A30))</f>
        <v>37653</v>
      </c>
      <c r="AQ30" s="209" t="n">
        <f aca="false">IF(A31="","",AP30-$E$1)</f>
        <v>-8273</v>
      </c>
      <c r="AR30" s="185" t="n">
        <f aca="false">'ANR OK vs ML7'!AR30</f>
        <v>0.1</v>
      </c>
      <c r="AS30" s="213" t="n">
        <f aca="false">IF(A31="","",1/(1+CHOOSE(F$3,(AR31+($I$3/10000))/2,(AR30+($I$3/10000))/2))^(2*AQ30/365.25))</f>
        <v>9.11770213455071</v>
      </c>
      <c r="AT30" s="137" t="n">
        <f aca="false">IF(A31="","",IF(AND(mthbeg&lt;=A30,mthend&gt;=A30),1,0))</f>
        <v>1</v>
      </c>
      <c r="AU30" s="137" t="n">
        <f aca="false">IF(A31="","",AO30*AT30)</f>
        <v>28</v>
      </c>
      <c r="AW30" s="195" t="e">
        <f aca="false">IF($A31="","",AL30*$E30)</f>
        <v>#NAME?</v>
      </c>
      <c r="AX30" s="195" t="e">
        <f aca="false">IF($A31="","",AM30*$E30)</f>
        <v>#N/A</v>
      </c>
      <c r="AY30" s="195" t="e">
        <f aca="false">IF($A31="","",AN30*$E30)</f>
        <v>#N/A</v>
      </c>
      <c r="BA30" s="195" t="n">
        <f aca="false">IF($A31="","",F30*Summary!$Q$11)</f>
        <v>0</v>
      </c>
      <c r="BC30" s="179" t="e">
        <f aca="false">IF(A31="","",AM30*F30)</f>
        <v>#N/A</v>
      </c>
    </row>
    <row r="31" customFormat="false" ht="12.75" hidden="false" customHeight="false" outlineLevel="0" collapsed="false">
      <c r="A31" s="196" t="n">
        <f aca="false">IF(A30&lt;mthend,EDATE(A30,1),"")</f>
        <v>37681</v>
      </c>
      <c r="B31" s="197" t="n">
        <f aca="false">IF(A31&lt;mthend,B30,"")</f>
        <v>124142</v>
      </c>
      <c r="C31" s="215"/>
      <c r="D31" s="197" t="n">
        <f aca="false">IF(A32&lt;&gt;"",B31+C31,"")</f>
        <v>124142</v>
      </c>
      <c r="E31" s="199" t="n">
        <f aca="false">IF(A32="","",IF(AND(AT31=1,$H$3=1),D31*AO31,IF($H$3=2,D31,"N/A")))</f>
        <v>3848402</v>
      </c>
      <c r="F31" s="199" t="n">
        <f aca="false">IF(A32="","",E31*AS31)</f>
        <v>34827082.60907</v>
      </c>
      <c r="G31" s="200" t="e">
        <f aca="false">IF($A32="","",VLOOKUP($A31,Table,MATCH(G$4,Curves,0)))</f>
        <v>#N/A</v>
      </c>
      <c r="H31" s="201" t="e">
        <f aca="false">IF(A32="","",G31)</f>
        <v>#N/A</v>
      </c>
      <c r="I31" s="202"/>
      <c r="J31" s="200" t="e">
        <f aca="false">IF($A32="","",VLOOKUP($A31,Table,MATCH(J$4,Curves,0)))</f>
        <v>#N/A</v>
      </c>
      <c r="K31" s="201" t="e">
        <f aca="false">IF(A32="","",J31)</f>
        <v>#N/A</v>
      </c>
      <c r="L31" s="200" t="e">
        <f aca="false">IF($A32="","",VLOOKUP($A31,Table,MATCH(L$4,Curves,0)))</f>
        <v>#N/A</v>
      </c>
      <c r="M31" s="201" t="e">
        <f aca="false">IF(A32="","",L31)</f>
        <v>#N/A</v>
      </c>
      <c r="N31" s="203"/>
      <c r="O31" s="200" t="e">
        <f aca="false">IF(A32="","",L31+J31+G31)</f>
        <v>#N/A</v>
      </c>
      <c r="P31" s="200" t="e">
        <f aca="false">IF(A32="","",M31+K31+H31)</f>
        <v>#N/A</v>
      </c>
      <c r="Q31" s="204"/>
      <c r="R31" s="200" t="e">
        <f aca="false">IF($A32="","",VLOOKUP($A31,Table,MATCH(R$4,Curves,0)))</f>
        <v>#N/A</v>
      </c>
      <c r="S31" s="201" t="e">
        <f aca="false">IF(A32="","",R31)</f>
        <v>#N/A</v>
      </c>
      <c r="T31" s="185" t="n">
        <v>0</v>
      </c>
      <c r="U31" s="201" t="n">
        <f aca="false">IF(A32="","",T31)</f>
        <v>0</v>
      </c>
      <c r="V31" s="205" t="e">
        <f aca="false">IF($A32="","",IF(AND(MONTH(A31)&gt;3,MONTH(A31)&lt;11),(T31+R31+G31)*Summary!$T$11/(1-Summary!$T$11),(T31+R31+G31)*Summary!$U$11/(1-Summary!$U$11)))</f>
        <v>#N/A</v>
      </c>
      <c r="W31" s="202" t="e">
        <f aca="false">IF($A32="","",(T31+R31+G31+V31))</f>
        <v>#N/A</v>
      </c>
      <c r="X31" s="202" t="e">
        <f aca="false">IF($A32="","",(U31+S31+H31+V31))</f>
        <v>#N/A</v>
      </c>
      <c r="Y31" s="202"/>
      <c r="Z31" s="185" t="e">
        <f aca="false">IF($A32="","",VLOOKUP($A31,Table,MATCH(Z$4,Curves,0)))</f>
        <v>#N/A</v>
      </c>
      <c r="AA31" s="185" t="e">
        <f aca="false">IF($A32="","",VLOOKUP($A31,Table,MATCH(AA$4,Curves,0)))</f>
        <v>#N/A</v>
      </c>
      <c r="AB31" s="185" t="e">
        <f aca="false">SQRT((AA31^2*(A31-$D$3)+Z31^2*(DAY(EOMONTH(A31,0))/2))/AK31)</f>
        <v>#N/A</v>
      </c>
      <c r="AC31" s="185" t="e">
        <f aca="false">IF($A32="","",VLOOKUP($A31,Table,MATCH(AC$4,Curves,0)))</f>
        <v>#N/A</v>
      </c>
      <c r="AD31" s="185" t="e">
        <f aca="false">IF($A32="","",VLOOKUP($A31,Table,MATCH(AD$4,Curves,0)))</f>
        <v>#N/A</v>
      </c>
      <c r="AE31" s="185" t="e">
        <f aca="false">SQRT((AD31^2*(A31-$D$3)+AC31^2*(DAY(EOMONTH(A31,0))/2))/AK31)</f>
        <v>#N/A</v>
      </c>
      <c r="AF31" s="206" t="e">
        <f aca="false">((Summary!$N$11*(AA31*AD31)*(A31-$D$3))+(Summary!$M$11*Z31*AC31*(AJ31-EOMONTH(EDATE(A31,-1),0))))/(AK31*AB31*AE31)</f>
        <v>#N/A</v>
      </c>
      <c r="AG31" s="207" t="n">
        <f aca="false">IF($A32="","",Summary!$Q$11)</f>
        <v>0</v>
      </c>
      <c r="AH31" s="207" t="n">
        <f aca="false">IF($A32="","",IF(Summary!$R$11="Y",(VLOOKUP($A31,Summary!$AD$6:$AF$9,3)+'Escalating commodity'!G44),'Escalating commodity'!G44))</f>
        <v>0.00505604691740096</v>
      </c>
      <c r="AI31" s="207" t="n">
        <f aca="false">IF($A32="","",AH31)</f>
        <v>0.00505604691740096</v>
      </c>
      <c r="AJ31" s="208" t="n">
        <f aca="false">A31+DAY(EOMONTH(A31,0))/2-1</f>
        <v>37695.5</v>
      </c>
      <c r="AK31" s="209" t="n">
        <f aca="false">IF($A32="","",$A31-$E$1)</f>
        <v>-8245</v>
      </c>
      <c r="AL31" s="182" t="e">
        <f aca="false">IF($A32="","",SPRDOPT(P31,X31,AI31,0,AB31,AE31,AF31,AK31,$AJ$2,0))</f>
        <v>#NAME?</v>
      </c>
      <c r="AM31" s="210" t="e">
        <f aca="false">IF($A32="","",MAX(0,O31-W31-AI31))</f>
        <v>#N/A</v>
      </c>
      <c r="AN31" s="211" t="e">
        <f aca="false">IF($A32="","",AL31-AM31)</f>
        <v>#N/A</v>
      </c>
      <c r="AO31" s="137" t="n">
        <f aca="false">IF(A32="","",A32-A31)</f>
        <v>31</v>
      </c>
      <c r="AP31" s="212" t="n">
        <f aca="false">IF(A32="","",CHOOSE(F$3,A32+24,A31))</f>
        <v>37681</v>
      </c>
      <c r="AQ31" s="209" t="n">
        <f aca="false">IF(A32="","",AP31-$E$1)</f>
        <v>-8245</v>
      </c>
      <c r="AR31" s="185" t="n">
        <f aca="false">'ANR OK vs ML7'!AR31</f>
        <v>0.1</v>
      </c>
      <c r="AS31" s="213" t="n">
        <f aca="false">IF(A32="","",1/(1+CHOOSE(F$3,(AR32+($I$3/10000))/2,(AR31+($I$3/10000))/2))^(2*AQ31/365.25))</f>
        <v>9.0497517174843</v>
      </c>
      <c r="AT31" s="137" t="n">
        <f aca="false">IF(A32="","",IF(AND(mthbeg&lt;=A31,mthend&gt;=A31),1,0))</f>
        <v>1</v>
      </c>
      <c r="AU31" s="137" t="n">
        <f aca="false">IF(A32="","",AO31*AT31)</f>
        <v>31</v>
      </c>
      <c r="AW31" s="195" t="e">
        <f aca="false">IF($A32="","",AL31*$E31)</f>
        <v>#NAME?</v>
      </c>
      <c r="AX31" s="195" t="e">
        <f aca="false">IF($A32="","",AM31*$E31)</f>
        <v>#N/A</v>
      </c>
      <c r="AY31" s="195" t="e">
        <f aca="false">IF($A32="","",AN31*$E31)</f>
        <v>#N/A</v>
      </c>
      <c r="BA31" s="195" t="n">
        <f aca="false">IF($A32="","",F31*Summary!$Q$11)</f>
        <v>0</v>
      </c>
      <c r="BC31" s="179" t="e">
        <f aca="false">IF(A32="","",AM31*F31)</f>
        <v>#N/A</v>
      </c>
    </row>
    <row r="32" customFormat="false" ht="12.75" hidden="false" customHeight="false" outlineLevel="0" collapsed="false">
      <c r="A32" s="196" t="n">
        <f aca="false">IF(A31&lt;mthend,EDATE(A31,1),"")</f>
        <v>37712</v>
      </c>
      <c r="B32" s="197" t="n">
        <f aca="false">IF(A32&lt;mthend,B31,"")</f>
        <v>124142</v>
      </c>
      <c r="C32" s="215"/>
      <c r="D32" s="197" t="n">
        <f aca="false">IF(A33&lt;&gt;"",B32+C32,"")</f>
        <v>124142</v>
      </c>
      <c r="E32" s="199" t="n">
        <f aca="false">IF(A33="","",IF(AND(AT32=1,$H$3=1),D32*AO32,IF($H$3=2,D32,"N/A")))</f>
        <v>3724260</v>
      </c>
      <c r="F32" s="199" t="n">
        <f aca="false">IF(A33="","",E32*AS32)</f>
        <v>33425648.533264</v>
      </c>
      <c r="G32" s="200" t="e">
        <f aca="false">IF($A33="","",VLOOKUP($A32,Table,MATCH(G$4,Curves,0)))</f>
        <v>#N/A</v>
      </c>
      <c r="H32" s="201" t="e">
        <f aca="false">IF(A33="","",G32)</f>
        <v>#N/A</v>
      </c>
      <c r="I32" s="202"/>
      <c r="J32" s="200" t="e">
        <f aca="false">IF($A33="","",VLOOKUP($A32,Table,MATCH(J$4,Curves,0)))</f>
        <v>#N/A</v>
      </c>
      <c r="K32" s="201" t="e">
        <f aca="false">IF(A33="","",J32)</f>
        <v>#N/A</v>
      </c>
      <c r="L32" s="200" t="e">
        <f aca="false">IF($A33="","",VLOOKUP($A32,Table,MATCH(L$4,Curves,0)))</f>
        <v>#N/A</v>
      </c>
      <c r="M32" s="201" t="e">
        <f aca="false">IF(A33="","",L32)</f>
        <v>#N/A</v>
      </c>
      <c r="N32" s="203"/>
      <c r="O32" s="200" t="e">
        <f aca="false">IF(A33="","",L32+J32+G32)</f>
        <v>#N/A</v>
      </c>
      <c r="P32" s="200" t="e">
        <f aca="false">IF(A33="","",M32+K32+H32)</f>
        <v>#N/A</v>
      </c>
      <c r="Q32" s="204"/>
      <c r="R32" s="200" t="e">
        <f aca="false">IF($A33="","",VLOOKUP($A32,Table,MATCH(R$4,Curves,0)))</f>
        <v>#N/A</v>
      </c>
      <c r="S32" s="201" t="e">
        <f aca="false">IF(A33="","",R32)</f>
        <v>#N/A</v>
      </c>
      <c r="T32" s="185" t="n">
        <v>0</v>
      </c>
      <c r="U32" s="201" t="n">
        <f aca="false">IF(A33="","",T32)</f>
        <v>0</v>
      </c>
      <c r="V32" s="205" t="e">
        <f aca="false">IF($A33="","",IF(AND(MONTH(A32)&gt;3,MONTH(A32)&lt;11),(T32+R32+G32)*Summary!$T$11/(1-Summary!$T$11),(T32+R32+G32)*Summary!$U$11/(1-Summary!$U$11)))</f>
        <v>#N/A</v>
      </c>
      <c r="W32" s="202" t="e">
        <f aca="false">IF($A33="","",(T32+R32+G32+V32))</f>
        <v>#N/A</v>
      </c>
      <c r="X32" s="202" t="e">
        <f aca="false">IF($A33="","",(U32+S32+H32+V32))</f>
        <v>#N/A</v>
      </c>
      <c r="Y32" s="202"/>
      <c r="Z32" s="185" t="e">
        <f aca="false">IF($A33="","",VLOOKUP($A32,Table,MATCH(Z$4,Curves,0)))</f>
        <v>#N/A</v>
      </c>
      <c r="AA32" s="185" t="e">
        <f aca="false">IF($A33="","",VLOOKUP($A32,Table,MATCH(AA$4,Curves,0)))</f>
        <v>#N/A</v>
      </c>
      <c r="AB32" s="185" t="e">
        <f aca="false">SQRT((AA32^2*(A32-$D$3)+Z32^2*(DAY(EOMONTH(A32,0))/2))/AK32)</f>
        <v>#N/A</v>
      </c>
      <c r="AC32" s="185" t="e">
        <f aca="false">IF($A33="","",VLOOKUP($A32,Table,MATCH(AC$4,Curves,0)))</f>
        <v>#N/A</v>
      </c>
      <c r="AD32" s="185" t="e">
        <f aca="false">IF($A33="","",VLOOKUP($A32,Table,MATCH(AD$4,Curves,0)))</f>
        <v>#N/A</v>
      </c>
      <c r="AE32" s="185" t="e">
        <f aca="false">SQRT((AD32^2*(A32-$D$3)+AC32^2*(DAY(EOMONTH(A32,0))/2))/AK32)</f>
        <v>#N/A</v>
      </c>
      <c r="AF32" s="206" t="e">
        <f aca="false">((Summary!$N$11*(AA32*AD32)*(A32-$D$3))+(Summary!$M$11*Z32*AC32*(AJ32-EOMONTH(EDATE(A32,-1),0))))/(AK32*AB32*AE32)</f>
        <v>#N/A</v>
      </c>
      <c r="AG32" s="207" t="n">
        <f aca="false">IF($A33="","",Summary!$Q$11)</f>
        <v>0</v>
      </c>
      <c r="AH32" s="207" t="n">
        <f aca="false">IF($A33="","",IF(Summary!$R$11="Y",(VLOOKUP($A32,Summary!$AD$6:$AF$9,3)+'Escalating commodity'!G45),'Escalating commodity'!G45))</f>
        <v>0.00505604691740096</v>
      </c>
      <c r="AI32" s="207" t="n">
        <f aca="false">IF($A33="","",AH32)</f>
        <v>0.00505604691740096</v>
      </c>
      <c r="AJ32" s="208" t="n">
        <f aca="false">A32+DAY(EOMONTH(A32,0))/2-1</f>
        <v>37726</v>
      </c>
      <c r="AK32" s="209" t="n">
        <f aca="false">IF($A33="","",$A32-$E$1)</f>
        <v>-8214</v>
      </c>
      <c r="AL32" s="182" t="e">
        <f aca="false">IF($A33="","",SPRDOPT(P32,X32,AI32,0,AB32,AE32,AF32,AK32,$AJ$2,0))</f>
        <v>#NAME?</v>
      </c>
      <c r="AM32" s="210" t="e">
        <f aca="false">IF($A33="","",MAX(0,O32-W32-AI32))</f>
        <v>#N/A</v>
      </c>
      <c r="AN32" s="211" t="e">
        <f aca="false">IF($A33="","",AL32-AM32)</f>
        <v>#N/A</v>
      </c>
      <c r="AO32" s="137" t="n">
        <f aca="false">IF(A33="","",A33-A32)</f>
        <v>30</v>
      </c>
      <c r="AP32" s="212" t="n">
        <f aca="false">IF(A33="","",CHOOSE(F$3,A33+24,A32))</f>
        <v>37712</v>
      </c>
      <c r="AQ32" s="209" t="n">
        <f aca="false">IF(A33="","",AP32-$E$1)</f>
        <v>-8214</v>
      </c>
      <c r="AR32" s="185" t="n">
        <f aca="false">'ANR OK vs ML7'!AR32</f>
        <v>0.1</v>
      </c>
      <c r="AS32" s="213" t="n">
        <f aca="false">IF(A33="","",1/(1+CHOOSE(F$3,(AR33+($I$3/10000))/2,(AR32+($I$3/10000))/2))^(2*AQ32/365.25))</f>
        <v>8.97511144046442</v>
      </c>
      <c r="AT32" s="137" t="n">
        <f aca="false">IF(A33="","",IF(AND(mthbeg&lt;=A32,mthend&gt;=A32),1,0))</f>
        <v>1</v>
      </c>
      <c r="AU32" s="137" t="n">
        <f aca="false">IF(A33="","",AO32*AT32)</f>
        <v>30</v>
      </c>
      <c r="AW32" s="195" t="e">
        <f aca="false">IF($A33="","",AL32*$E32)</f>
        <v>#NAME?</v>
      </c>
      <c r="AX32" s="195" t="e">
        <f aca="false">IF($A33="","",AM32*$E32)</f>
        <v>#N/A</v>
      </c>
      <c r="AY32" s="195" t="e">
        <f aca="false">IF($A33="","",AN32*$E32)</f>
        <v>#N/A</v>
      </c>
      <c r="BA32" s="195" t="n">
        <f aca="false">IF($A33="","",F32*Summary!$Q$11)</f>
        <v>0</v>
      </c>
      <c r="BC32" s="179" t="e">
        <f aca="false">IF(A33="","",AM32*F32)</f>
        <v>#N/A</v>
      </c>
    </row>
    <row r="33" customFormat="false" ht="12.75" hidden="false" customHeight="false" outlineLevel="0" collapsed="false">
      <c r="A33" s="196" t="n">
        <f aca="false">IF(A32&lt;mthend,EDATE(A32,1),"")</f>
        <v>37742</v>
      </c>
      <c r="B33" s="197" t="n">
        <f aca="false">IF(A33&lt;mthend,B32,"")</f>
        <v>124142</v>
      </c>
      <c r="C33" s="215"/>
      <c r="D33" s="197" t="n">
        <f aca="false">IF(A34&lt;&gt;"",B33+C33,"")</f>
        <v>124142</v>
      </c>
      <c r="E33" s="199" t="n">
        <f aca="false">IF(A34="","",IF(AND(AT33=1,$H$3=1),D33*AO33,IF($H$3=2,D33,"N/A")))</f>
        <v>3848402</v>
      </c>
      <c r="F33" s="199" t="n">
        <f aca="false">IF(A34="","",E33*AS33)</f>
        <v>34264112.9544714</v>
      </c>
      <c r="G33" s="200" t="e">
        <f aca="false">IF($A34="","",VLOOKUP($A33,Table,MATCH(G$4,Curves,0)))</f>
        <v>#N/A</v>
      </c>
      <c r="H33" s="201" t="e">
        <f aca="false">IF(A34="","",G33)</f>
        <v>#N/A</v>
      </c>
      <c r="I33" s="202"/>
      <c r="J33" s="200" t="e">
        <f aca="false">IF($A34="","",VLOOKUP($A33,Table,MATCH(J$4,Curves,0)))</f>
        <v>#N/A</v>
      </c>
      <c r="K33" s="201" t="e">
        <f aca="false">IF(A34="","",J33)</f>
        <v>#N/A</v>
      </c>
      <c r="L33" s="200" t="e">
        <f aca="false">IF($A34="","",VLOOKUP($A33,Table,MATCH(L$4,Curves,0)))</f>
        <v>#N/A</v>
      </c>
      <c r="M33" s="201" t="e">
        <f aca="false">IF(A34="","",L33)</f>
        <v>#N/A</v>
      </c>
      <c r="N33" s="203"/>
      <c r="O33" s="200" t="e">
        <f aca="false">IF(A34="","",L33+J33+G33)</f>
        <v>#N/A</v>
      </c>
      <c r="P33" s="200" t="e">
        <f aca="false">IF(A34="","",M33+K33+H33)</f>
        <v>#N/A</v>
      </c>
      <c r="Q33" s="204"/>
      <c r="R33" s="200" t="e">
        <f aca="false">IF($A34="","",VLOOKUP($A33,Table,MATCH(R$4,Curves,0)))</f>
        <v>#N/A</v>
      </c>
      <c r="S33" s="201" t="e">
        <f aca="false">IF(A34="","",R33)</f>
        <v>#N/A</v>
      </c>
      <c r="T33" s="185" t="n">
        <v>0</v>
      </c>
      <c r="U33" s="201" t="n">
        <f aca="false">IF(A34="","",T33)</f>
        <v>0</v>
      </c>
      <c r="V33" s="205" t="e">
        <f aca="false">IF($A34="","",IF(AND(MONTH(A33)&gt;3,MONTH(A33)&lt;11),(T33+R33+G33)*Summary!$T$11/(1-Summary!$T$11),(T33+R33+G33)*Summary!$U$11/(1-Summary!$U$11)))</f>
        <v>#N/A</v>
      </c>
      <c r="W33" s="202" t="e">
        <f aca="false">IF($A34="","",(T33+R33+G33+V33))</f>
        <v>#N/A</v>
      </c>
      <c r="X33" s="202" t="e">
        <f aca="false">IF($A34="","",(U33+S33+H33+V33))</f>
        <v>#N/A</v>
      </c>
      <c r="Y33" s="202"/>
      <c r="Z33" s="185" t="e">
        <f aca="false">IF($A34="","",VLOOKUP($A33,Table,MATCH(Z$4,Curves,0)))</f>
        <v>#N/A</v>
      </c>
      <c r="AA33" s="185" t="e">
        <f aca="false">IF($A34="","",VLOOKUP($A33,Table,MATCH(AA$4,Curves,0)))</f>
        <v>#N/A</v>
      </c>
      <c r="AB33" s="185" t="e">
        <f aca="false">SQRT((AA33^2*(A33-$D$3)+Z33^2*(DAY(EOMONTH(A33,0))/2))/AK33)</f>
        <v>#N/A</v>
      </c>
      <c r="AC33" s="185" t="e">
        <f aca="false">IF($A34="","",VLOOKUP($A33,Table,MATCH(AC$4,Curves,0)))</f>
        <v>#N/A</v>
      </c>
      <c r="AD33" s="185" t="e">
        <f aca="false">IF($A34="","",VLOOKUP($A33,Table,MATCH(AD$4,Curves,0)))</f>
        <v>#N/A</v>
      </c>
      <c r="AE33" s="185" t="e">
        <f aca="false">SQRT((AD33^2*(A33-$D$3)+AC33^2*(DAY(EOMONTH(A33,0))/2))/AK33)</f>
        <v>#N/A</v>
      </c>
      <c r="AF33" s="206" t="e">
        <f aca="false">((Summary!$N$11*(AA33*AD33)*(A33-$D$3))+(Summary!$M$11*Z33*AC33*(AJ33-EOMONTH(EDATE(A33,-1),0))))/(AK33*AB33*AE33)</f>
        <v>#N/A</v>
      </c>
      <c r="AG33" s="207" t="n">
        <f aca="false">IF($A34="","",Summary!$Q$11)</f>
        <v>0</v>
      </c>
      <c r="AH33" s="207" t="n">
        <f aca="false">IF($A34="","",IF(Summary!$R$11="Y",(VLOOKUP($A33,Summary!$AD$6:$AF$9,3)+'Escalating commodity'!G46),'Escalating commodity'!G46))</f>
        <v>0.00505604691740096</v>
      </c>
      <c r="AI33" s="207" t="n">
        <f aca="false">IF($A34="","",AH33)</f>
        <v>0.00505604691740096</v>
      </c>
      <c r="AJ33" s="208" t="n">
        <f aca="false">A33+DAY(EOMONTH(A33,0))/2-1</f>
        <v>37756.5</v>
      </c>
      <c r="AK33" s="209" t="n">
        <f aca="false">IF($A34="","",$A33-$E$1)</f>
        <v>-8184</v>
      </c>
      <c r="AL33" s="182" t="e">
        <f aca="false">IF($A34="","",SPRDOPT(P33,X33,AI33,0,AB33,AE33,AF33,AK33,$AJ$2,0))</f>
        <v>#NAME?</v>
      </c>
      <c r="AM33" s="210" t="e">
        <f aca="false">IF($A34="","",MAX(0,O33-W33-AI33))</f>
        <v>#N/A</v>
      </c>
      <c r="AN33" s="211" t="e">
        <f aca="false">IF($A34="","",AL33-AM33)</f>
        <v>#N/A</v>
      </c>
      <c r="AO33" s="137" t="n">
        <f aca="false">IF(A34="","",A34-A33)</f>
        <v>31</v>
      </c>
      <c r="AP33" s="212" t="n">
        <f aca="false">IF(A34="","",CHOOSE(F$3,A34+24,A33))</f>
        <v>37742</v>
      </c>
      <c r="AQ33" s="209" t="n">
        <f aca="false">IF(A34="","",AP33-$E$1)</f>
        <v>-8184</v>
      </c>
      <c r="AR33" s="185" t="n">
        <f aca="false">'ANR OK vs ML7'!AR33</f>
        <v>0.1</v>
      </c>
      <c r="AS33" s="213" t="n">
        <f aca="false">IF(A34="","",1/(1+CHOOSE(F$3,(AR34+($I$3/10000))/2,(AR33+($I$3/10000))/2))^(2*AQ33/365.25))</f>
        <v>8.90346511473369</v>
      </c>
      <c r="AT33" s="137" t="n">
        <f aca="false">IF(A34="","",IF(AND(mthbeg&lt;=A33,mthend&gt;=A33),1,0))</f>
        <v>1</v>
      </c>
      <c r="AU33" s="137" t="n">
        <f aca="false">IF(A34="","",AO33*AT33)</f>
        <v>31</v>
      </c>
      <c r="AW33" s="195" t="e">
        <f aca="false">IF($A34="","",AL33*$E33)</f>
        <v>#NAME?</v>
      </c>
      <c r="AX33" s="195" t="e">
        <f aca="false">IF($A34="","",AM33*$E33)</f>
        <v>#N/A</v>
      </c>
      <c r="AY33" s="195" t="e">
        <f aca="false">IF($A34="","",AN33*$E33)</f>
        <v>#N/A</v>
      </c>
      <c r="BA33" s="195" t="n">
        <f aca="false">IF($A34="","",F33*Summary!$Q$11)</f>
        <v>0</v>
      </c>
      <c r="BC33" s="179" t="e">
        <f aca="false">IF(A34="","",AM33*F33)</f>
        <v>#N/A</v>
      </c>
    </row>
    <row r="34" customFormat="false" ht="12.75" hidden="false" customHeight="false" outlineLevel="0" collapsed="false">
      <c r="A34" s="196" t="n">
        <f aca="false">IF(A33&lt;mthend,EDATE(A33,1),"")</f>
        <v>37773</v>
      </c>
      <c r="B34" s="197" t="n">
        <f aca="false">IF(A34&lt;mthend,B33,"")</f>
        <v>124142</v>
      </c>
      <c r="C34" s="215"/>
      <c r="D34" s="197" t="n">
        <f aca="false">IF(A35&lt;&gt;"",B34+C34,"")</f>
        <v>124142</v>
      </c>
      <c r="E34" s="199" t="n">
        <f aca="false">IF(A35="","",IF(AND(AT34=1,$H$3=1),D34*AO34,IF($H$3=2,D34,"N/A")))</f>
        <v>3724260</v>
      </c>
      <c r="F34" s="199" t="n">
        <f aca="false">IF(A35="","",E34*AS34)</f>
        <v>32885332.6526394</v>
      </c>
      <c r="G34" s="200" t="e">
        <f aca="false">IF($A35="","",VLOOKUP($A34,Table,MATCH(G$4,Curves,0)))</f>
        <v>#N/A</v>
      </c>
      <c r="H34" s="201" t="e">
        <f aca="false">IF(A35="","",G34)</f>
        <v>#N/A</v>
      </c>
      <c r="I34" s="202"/>
      <c r="J34" s="200" t="e">
        <f aca="false">IF($A35="","",VLOOKUP($A34,Table,MATCH(J$4,Curves,0)))</f>
        <v>#N/A</v>
      </c>
      <c r="K34" s="201" t="e">
        <f aca="false">IF(A35="","",J34)</f>
        <v>#N/A</v>
      </c>
      <c r="L34" s="200" t="e">
        <f aca="false">IF($A35="","",VLOOKUP($A34,Table,MATCH(L$4,Curves,0)))</f>
        <v>#N/A</v>
      </c>
      <c r="M34" s="201" t="e">
        <f aca="false">IF(A35="","",L34)</f>
        <v>#N/A</v>
      </c>
      <c r="N34" s="203"/>
      <c r="O34" s="200" t="e">
        <f aca="false">IF(A35="","",L34+J34+G34)</f>
        <v>#N/A</v>
      </c>
      <c r="P34" s="200" t="e">
        <f aca="false">IF(A35="","",M34+K34+H34)</f>
        <v>#N/A</v>
      </c>
      <c r="Q34" s="204"/>
      <c r="R34" s="200" t="e">
        <f aca="false">IF($A35="","",VLOOKUP($A34,Table,MATCH(R$4,Curves,0)))</f>
        <v>#N/A</v>
      </c>
      <c r="S34" s="201" t="e">
        <f aca="false">IF(A35="","",R34)</f>
        <v>#N/A</v>
      </c>
      <c r="T34" s="185" t="n">
        <v>0</v>
      </c>
      <c r="U34" s="201" t="n">
        <f aca="false">IF(A35="","",T34)</f>
        <v>0</v>
      </c>
      <c r="V34" s="205" t="e">
        <f aca="false">IF($A35="","",IF(AND(MONTH(A34)&gt;3,MONTH(A34)&lt;11),(T34+R34+G34)*Summary!$T$11/(1-Summary!$T$11),(T34+R34+G34)*Summary!$U$11/(1-Summary!$U$11)))</f>
        <v>#N/A</v>
      </c>
      <c r="W34" s="202" t="e">
        <f aca="false">IF($A35="","",(T34+R34+G34+V34))</f>
        <v>#N/A</v>
      </c>
      <c r="X34" s="202" t="e">
        <f aca="false">IF($A35="","",(U34+S34+H34+V34))</f>
        <v>#N/A</v>
      </c>
      <c r="Y34" s="202"/>
      <c r="Z34" s="185" t="e">
        <f aca="false">IF($A35="","",VLOOKUP($A34,Table,MATCH(Z$4,Curves,0)))</f>
        <v>#N/A</v>
      </c>
      <c r="AA34" s="185" t="e">
        <f aca="false">IF($A35="","",VLOOKUP($A34,Table,MATCH(AA$4,Curves,0)))</f>
        <v>#N/A</v>
      </c>
      <c r="AB34" s="185" t="e">
        <f aca="false">SQRT((AA34^2*(A34-$D$3)+Z34^2*(DAY(EOMONTH(A34,0))/2))/AK34)</f>
        <v>#N/A</v>
      </c>
      <c r="AC34" s="185" t="e">
        <f aca="false">IF($A35="","",VLOOKUP($A34,Table,MATCH(AC$4,Curves,0)))</f>
        <v>#N/A</v>
      </c>
      <c r="AD34" s="185" t="e">
        <f aca="false">IF($A35="","",VLOOKUP($A34,Table,MATCH(AD$4,Curves,0)))</f>
        <v>#N/A</v>
      </c>
      <c r="AE34" s="185" t="e">
        <f aca="false">SQRT((AD34^2*(A34-$D$3)+AC34^2*(DAY(EOMONTH(A34,0))/2))/AK34)</f>
        <v>#N/A</v>
      </c>
      <c r="AF34" s="206" t="e">
        <f aca="false">((Summary!$N$11*(AA34*AD34)*(A34-$D$3))+(Summary!$M$11*Z34*AC34*(AJ34-EOMONTH(EDATE(A34,-1),0))))/(AK34*AB34*AE34)</f>
        <v>#N/A</v>
      </c>
      <c r="AG34" s="207" t="n">
        <f aca="false">IF($A35="","",Summary!$Q$11)</f>
        <v>0</v>
      </c>
      <c r="AH34" s="207" t="n">
        <f aca="false">IF($A35="","",IF(Summary!$R$11="Y",(VLOOKUP($A34,Summary!$AD$6:$AF$9,3)+'Escalating commodity'!G47),'Escalating commodity'!G47))</f>
        <v>0.00505604691740096</v>
      </c>
      <c r="AI34" s="207" t="n">
        <f aca="false">IF($A35="","",AH34)</f>
        <v>0.00505604691740096</v>
      </c>
      <c r="AJ34" s="208" t="n">
        <f aca="false">A34+DAY(EOMONTH(A34,0))/2-1</f>
        <v>37787</v>
      </c>
      <c r="AK34" s="209" t="n">
        <f aca="false">IF($A35="","",$A34-$E$1)</f>
        <v>-8153</v>
      </c>
      <c r="AL34" s="182" t="e">
        <f aca="false">IF($A35="","",SPRDOPT(P34,X34,AI34,0,AB34,AE34,AF34,AK34,$AJ$2,0))</f>
        <v>#NAME?</v>
      </c>
      <c r="AM34" s="210" t="e">
        <f aca="false">IF($A35="","",MAX(0,O34-W34-AI34))</f>
        <v>#N/A</v>
      </c>
      <c r="AN34" s="211" t="e">
        <f aca="false">IF($A35="","",AL34-AM34)</f>
        <v>#N/A</v>
      </c>
      <c r="AO34" s="137" t="n">
        <f aca="false">IF(A35="","",A35-A34)</f>
        <v>30</v>
      </c>
      <c r="AP34" s="212" t="n">
        <f aca="false">IF(A35="","",CHOOSE(F$3,A35+24,A34))</f>
        <v>37773</v>
      </c>
      <c r="AQ34" s="209" t="n">
        <f aca="false">IF(A35="","",AP34-$E$1)</f>
        <v>-8153</v>
      </c>
      <c r="AR34" s="185" t="n">
        <f aca="false">'ANR OK vs ML7'!AR34</f>
        <v>0.1</v>
      </c>
      <c r="AS34" s="213" t="n">
        <f aca="false">IF(A35="","",1/(1+CHOOSE(F$3,(AR35+($I$3/10000))/2,(AR34+($I$3/10000))/2))^(2*AQ34/365.25))</f>
        <v>8.83003137606917</v>
      </c>
      <c r="AT34" s="137" t="n">
        <f aca="false">IF(A35="","",IF(AND(mthbeg&lt;=A34,mthend&gt;=A34),1,0))</f>
        <v>1</v>
      </c>
      <c r="AU34" s="137" t="n">
        <f aca="false">IF(A35="","",AO34*AT34)</f>
        <v>30</v>
      </c>
      <c r="AW34" s="195" t="e">
        <f aca="false">IF($A35="","",AL34*$E34)</f>
        <v>#NAME?</v>
      </c>
      <c r="AX34" s="195" t="e">
        <f aca="false">IF($A35="","",AM34*$E34)</f>
        <v>#N/A</v>
      </c>
      <c r="AY34" s="195" t="e">
        <f aca="false">IF($A35="","",AN34*$E34)</f>
        <v>#N/A</v>
      </c>
      <c r="BA34" s="195" t="n">
        <f aca="false">IF($A35="","",F34*Summary!$Q$11)</f>
        <v>0</v>
      </c>
      <c r="BC34" s="179" t="e">
        <f aca="false">IF(A35="","",AM34*F34)</f>
        <v>#N/A</v>
      </c>
    </row>
    <row r="35" customFormat="false" ht="12.75" hidden="false" customHeight="false" outlineLevel="0" collapsed="false">
      <c r="A35" s="196" t="n">
        <f aca="false">IF(A34&lt;mthend,EDATE(A34,1),"")</f>
        <v>37803</v>
      </c>
      <c r="B35" s="197" t="n">
        <f aca="false">IF(A35&lt;mthend,B34,"")</f>
        <v>124142</v>
      </c>
      <c r="C35" s="215"/>
      <c r="D35" s="197" t="n">
        <f aca="false">IF(A36&lt;&gt;"",B35+C35,"")</f>
        <v>124142</v>
      </c>
      <c r="E35" s="199" t="n">
        <f aca="false">IF(A36="","",IF(AND(AT35=1,$H$3=1),D35*AO35,IF($H$3=2,D35,"N/A")))</f>
        <v>3848402</v>
      </c>
      <c r="F35" s="199" t="n">
        <f aca="false">IF(A36="","",E35*AS35)</f>
        <v>33710243.5404974</v>
      </c>
      <c r="G35" s="200" t="e">
        <f aca="false">IF($A36="","",VLOOKUP($A35,Table,MATCH(G$4,Curves,0)))</f>
        <v>#N/A</v>
      </c>
      <c r="H35" s="201" t="e">
        <f aca="false">IF(A36="","",G35)</f>
        <v>#N/A</v>
      </c>
      <c r="I35" s="202"/>
      <c r="J35" s="200" t="e">
        <f aca="false">IF($A36="","",VLOOKUP($A35,Table,MATCH(J$4,Curves,0)))</f>
        <v>#N/A</v>
      </c>
      <c r="K35" s="201" t="e">
        <f aca="false">IF(A36="","",J35)</f>
        <v>#N/A</v>
      </c>
      <c r="L35" s="200" t="e">
        <f aca="false">IF($A36="","",VLOOKUP($A35,Table,MATCH(L$4,Curves,0)))</f>
        <v>#N/A</v>
      </c>
      <c r="M35" s="201" t="e">
        <f aca="false">IF(A36="","",L35)</f>
        <v>#N/A</v>
      </c>
      <c r="N35" s="203"/>
      <c r="O35" s="200" t="e">
        <f aca="false">IF(A36="","",L35+J35+G35)</f>
        <v>#N/A</v>
      </c>
      <c r="P35" s="200" t="e">
        <f aca="false">IF(A36="","",M35+K35+H35)</f>
        <v>#N/A</v>
      </c>
      <c r="Q35" s="204"/>
      <c r="R35" s="200" t="e">
        <f aca="false">IF($A36="","",VLOOKUP($A35,Table,MATCH(R$4,Curves,0)))</f>
        <v>#N/A</v>
      </c>
      <c r="S35" s="201" t="e">
        <f aca="false">IF(A36="","",R35)</f>
        <v>#N/A</v>
      </c>
      <c r="T35" s="185" t="n">
        <v>0</v>
      </c>
      <c r="U35" s="201" t="n">
        <f aca="false">IF(A36="","",T35)</f>
        <v>0</v>
      </c>
      <c r="V35" s="205" t="e">
        <f aca="false">IF($A36="","",IF(AND(MONTH(A35)&gt;3,MONTH(A35)&lt;11),(T35+R35+G35)*Summary!$T$11/(1-Summary!$T$11),(T35+R35+G35)*Summary!$U$11/(1-Summary!$U$11)))</f>
        <v>#N/A</v>
      </c>
      <c r="W35" s="202" t="e">
        <f aca="false">IF($A36="","",(T35+R35+G35+V35))</f>
        <v>#N/A</v>
      </c>
      <c r="X35" s="202" t="e">
        <f aca="false">IF($A36="","",(U35+S35+H35+V35))</f>
        <v>#N/A</v>
      </c>
      <c r="Y35" s="202"/>
      <c r="Z35" s="185" t="e">
        <f aca="false">IF($A36="","",VLOOKUP($A35,Table,MATCH(Z$4,Curves,0)))</f>
        <v>#N/A</v>
      </c>
      <c r="AA35" s="185" t="e">
        <f aca="false">IF($A36="","",VLOOKUP($A35,Table,MATCH(AA$4,Curves,0)))</f>
        <v>#N/A</v>
      </c>
      <c r="AB35" s="185" t="e">
        <f aca="false">SQRT((AA35^2*(A35-$D$3)+Z35^2*(DAY(EOMONTH(A35,0))/2))/AK35)</f>
        <v>#N/A</v>
      </c>
      <c r="AC35" s="185" t="e">
        <f aca="false">IF($A36="","",VLOOKUP($A35,Table,MATCH(AC$4,Curves,0)))</f>
        <v>#N/A</v>
      </c>
      <c r="AD35" s="185" t="e">
        <f aca="false">IF($A36="","",VLOOKUP($A35,Table,MATCH(AD$4,Curves,0)))</f>
        <v>#N/A</v>
      </c>
      <c r="AE35" s="185" t="e">
        <f aca="false">SQRT((AD35^2*(A35-$D$3)+AC35^2*(DAY(EOMONTH(A35,0))/2))/AK35)</f>
        <v>#N/A</v>
      </c>
      <c r="AF35" s="206" t="e">
        <f aca="false">((Summary!$N$11*(AA35*AD35)*(A35-$D$3))+(Summary!$M$11*Z35*AC35*(AJ35-EOMONTH(EDATE(A35,-1),0))))/(AK35*AB35*AE35)</f>
        <v>#N/A</v>
      </c>
      <c r="AG35" s="207" t="n">
        <f aca="false">IF($A36="","",Summary!$Q$11)</f>
        <v>0</v>
      </c>
      <c r="AH35" s="207" t="n">
        <f aca="false">IF($A36="","",IF(Summary!$R$11="Y",(VLOOKUP($A35,Summary!$AD$6:$AF$9,3)+'Escalating commodity'!G48),'Escalating commodity'!G48))</f>
        <v>0.00505604691740096</v>
      </c>
      <c r="AI35" s="207" t="n">
        <f aca="false">IF($A36="","",AH35)</f>
        <v>0.00505604691740096</v>
      </c>
      <c r="AJ35" s="208" t="n">
        <f aca="false">A35+DAY(EOMONTH(A35,0))/2-1</f>
        <v>37817.5</v>
      </c>
      <c r="AK35" s="209" t="n">
        <f aca="false">IF($A36="","",$A35-$E$1)</f>
        <v>-8123</v>
      </c>
      <c r="AL35" s="182" t="e">
        <f aca="false">IF($A36="","",SPRDOPT(P35,X35,AI35,0,AB35,AE35,AF35,AK35,$AJ$2,0))</f>
        <v>#NAME?</v>
      </c>
      <c r="AM35" s="210" t="e">
        <f aca="false">IF($A36="","",MAX(0,O35-W35-AI35))</f>
        <v>#N/A</v>
      </c>
      <c r="AN35" s="211" t="e">
        <f aca="false">IF($A36="","",AL35-AM35)</f>
        <v>#N/A</v>
      </c>
      <c r="AO35" s="137" t="n">
        <f aca="false">IF(A36="","",A36-A35)</f>
        <v>31</v>
      </c>
      <c r="AP35" s="212" t="n">
        <f aca="false">IF(A36="","",CHOOSE(F$3,A36+24,A35))</f>
        <v>37803</v>
      </c>
      <c r="AQ35" s="209" t="n">
        <f aca="false">IF(A36="","",AP35-$E$1)</f>
        <v>-8123</v>
      </c>
      <c r="AR35" s="185" t="n">
        <f aca="false">'ANR OK vs ML7'!AR35</f>
        <v>0.1</v>
      </c>
      <c r="AS35" s="213" t="n">
        <f aca="false">IF(A36="","",1/(1+CHOOSE(F$3,(AR36+($I$3/10000))/2,(AR35+($I$3/10000))/2))^(2*AQ35/365.25))</f>
        <v>8.75954319234254</v>
      </c>
      <c r="AT35" s="137" t="n">
        <f aca="false">IF(A36="","",IF(AND(mthbeg&lt;=A35,mthend&gt;=A35),1,0))</f>
        <v>1</v>
      </c>
      <c r="AU35" s="137" t="n">
        <f aca="false">IF(A36="","",AO35*AT35)</f>
        <v>31</v>
      </c>
      <c r="AW35" s="195" t="e">
        <f aca="false">IF($A36="","",AL35*$E35)</f>
        <v>#NAME?</v>
      </c>
      <c r="AX35" s="195" t="e">
        <f aca="false">IF($A36="","",AM35*$E35)</f>
        <v>#N/A</v>
      </c>
      <c r="AY35" s="195" t="e">
        <f aca="false">IF($A36="","",AN35*$E35)</f>
        <v>#N/A</v>
      </c>
      <c r="BA35" s="195" t="n">
        <f aca="false">IF($A36="","",F35*Summary!$Q$11)</f>
        <v>0</v>
      </c>
      <c r="BC35" s="179" t="e">
        <f aca="false">IF(A36="","",AM35*F35)</f>
        <v>#N/A</v>
      </c>
    </row>
    <row r="36" customFormat="false" ht="12.75" hidden="false" customHeight="false" outlineLevel="0" collapsed="false">
      <c r="A36" s="196" t="n">
        <f aca="false">IF(A35&lt;mthend,EDATE(A35,1),"")</f>
        <v>37834</v>
      </c>
      <c r="B36" s="197" t="n">
        <f aca="false">IF(A36&lt;mthend,B35,"")</f>
        <v>124142</v>
      </c>
      <c r="C36" s="215"/>
      <c r="D36" s="197" t="n">
        <f aca="false">IF(A37&lt;&gt;"",B36+C36,"")</f>
        <v>124142</v>
      </c>
      <c r="E36" s="199" t="n">
        <f aca="false">IF(A37="","",IF(AND(AT36=1,$H$3=1),D36*AO36,IF($H$3=2,D36,"N/A")))</f>
        <v>3848402</v>
      </c>
      <c r="F36" s="199" t="n">
        <f aca="false">IF(A37="","",E36*AS36)</f>
        <v>33432209.1816753</v>
      </c>
      <c r="G36" s="200" t="e">
        <f aca="false">IF($A37="","",VLOOKUP($A36,Table,MATCH(G$4,Curves,0)))</f>
        <v>#N/A</v>
      </c>
      <c r="H36" s="201" t="e">
        <f aca="false">IF(A37="","",G36)</f>
        <v>#N/A</v>
      </c>
      <c r="I36" s="202"/>
      <c r="J36" s="200" t="e">
        <f aca="false">IF($A37="","",VLOOKUP($A36,Table,MATCH(J$4,Curves,0)))</f>
        <v>#N/A</v>
      </c>
      <c r="K36" s="201" t="e">
        <f aca="false">IF(A37="","",J36)</f>
        <v>#N/A</v>
      </c>
      <c r="L36" s="200" t="e">
        <f aca="false">IF($A37="","",VLOOKUP($A36,Table,MATCH(L$4,Curves,0)))</f>
        <v>#N/A</v>
      </c>
      <c r="M36" s="201" t="e">
        <f aca="false">IF(A37="","",L36)</f>
        <v>#N/A</v>
      </c>
      <c r="N36" s="203"/>
      <c r="O36" s="200" t="e">
        <f aca="false">IF(A37="","",L36+J36+G36)</f>
        <v>#N/A</v>
      </c>
      <c r="P36" s="200" t="e">
        <f aca="false">IF(A37="","",M36+K36+H36)</f>
        <v>#N/A</v>
      </c>
      <c r="Q36" s="204"/>
      <c r="R36" s="200" t="e">
        <f aca="false">IF($A37="","",VLOOKUP($A36,Table,MATCH(R$4,Curves,0)))</f>
        <v>#N/A</v>
      </c>
      <c r="S36" s="201" t="e">
        <f aca="false">IF(A37="","",R36)</f>
        <v>#N/A</v>
      </c>
      <c r="T36" s="185" t="n">
        <v>0</v>
      </c>
      <c r="U36" s="201" t="n">
        <f aca="false">IF(A37="","",T36)</f>
        <v>0</v>
      </c>
      <c r="V36" s="205" t="e">
        <f aca="false">IF($A37="","",IF(AND(MONTH(A36)&gt;3,MONTH(A36)&lt;11),(T36+R36+G36)*Summary!$T$11/(1-Summary!$T$11),(T36+R36+G36)*Summary!$U$11/(1-Summary!$U$11)))</f>
        <v>#N/A</v>
      </c>
      <c r="W36" s="202" t="e">
        <f aca="false">IF($A37="","",(T36+R36+G36+V36))</f>
        <v>#N/A</v>
      </c>
      <c r="X36" s="202" t="e">
        <f aca="false">IF($A37="","",(U36+S36+H36+V36))</f>
        <v>#N/A</v>
      </c>
      <c r="Y36" s="202"/>
      <c r="Z36" s="185" t="e">
        <f aca="false">IF($A37="","",VLOOKUP($A36,Table,MATCH(Z$4,Curves,0)))</f>
        <v>#N/A</v>
      </c>
      <c r="AA36" s="185" t="e">
        <f aca="false">IF($A37="","",VLOOKUP($A36,Table,MATCH(AA$4,Curves,0)))</f>
        <v>#N/A</v>
      </c>
      <c r="AB36" s="185" t="e">
        <f aca="false">SQRT((AA36^2*(A36-$D$3)+Z36^2*(DAY(EOMONTH(A36,0))/2))/AK36)</f>
        <v>#N/A</v>
      </c>
      <c r="AC36" s="185" t="e">
        <f aca="false">IF($A37="","",VLOOKUP($A36,Table,MATCH(AC$4,Curves,0)))</f>
        <v>#N/A</v>
      </c>
      <c r="AD36" s="185" t="e">
        <f aca="false">IF($A37="","",VLOOKUP($A36,Table,MATCH(AD$4,Curves,0)))</f>
        <v>#N/A</v>
      </c>
      <c r="AE36" s="185" t="e">
        <f aca="false">SQRT((AD36^2*(A36-$D$3)+AC36^2*(DAY(EOMONTH(A36,0))/2))/AK36)</f>
        <v>#N/A</v>
      </c>
      <c r="AF36" s="206" t="e">
        <f aca="false">((Summary!$N$11*(AA36*AD36)*(A36-$D$3))+(Summary!$M$11*Z36*AC36*(AJ36-EOMONTH(EDATE(A36,-1),0))))/(AK36*AB36*AE36)</f>
        <v>#N/A</v>
      </c>
      <c r="AG36" s="207" t="n">
        <f aca="false">IF($A37="","",Summary!$Q$11)</f>
        <v>0</v>
      </c>
      <c r="AH36" s="207" t="n">
        <f aca="false">IF($A37="","",IF(Summary!$R$11="Y",(VLOOKUP($A36,Summary!$AD$6:$AF$9,3)+'Escalating commodity'!G49),'Escalating commodity'!G49))</f>
        <v>0.00505604691740096</v>
      </c>
      <c r="AI36" s="207" t="n">
        <f aca="false">IF($A37="","",AH36)</f>
        <v>0.00505604691740096</v>
      </c>
      <c r="AJ36" s="208" t="n">
        <f aca="false">A36+DAY(EOMONTH(A36,0))/2-1</f>
        <v>37848.5</v>
      </c>
      <c r="AK36" s="209" t="n">
        <f aca="false">IF($A37="","",$A36-$E$1)</f>
        <v>-8092</v>
      </c>
      <c r="AL36" s="182" t="e">
        <f aca="false">IF($A37="","",SPRDOPT(P36,X36,AI36,0,AB36,AE36,AF36,AK36,$AJ$2,0))</f>
        <v>#NAME?</v>
      </c>
      <c r="AM36" s="210" t="e">
        <f aca="false">IF($A37="","",MAX(0,O36-W36-AI36))</f>
        <v>#N/A</v>
      </c>
      <c r="AN36" s="211" t="e">
        <f aca="false">IF($A37="","",AL36-AM36)</f>
        <v>#N/A</v>
      </c>
      <c r="AO36" s="137" t="n">
        <f aca="false">IF(A37="","",A37-A36)</f>
        <v>31</v>
      </c>
      <c r="AP36" s="212" t="n">
        <f aca="false">IF(A37="","",CHOOSE(F$3,A37+24,A36))</f>
        <v>37834</v>
      </c>
      <c r="AQ36" s="209" t="n">
        <f aca="false">IF(A37="","",AP36-$E$1)</f>
        <v>-8092</v>
      </c>
      <c r="AR36" s="185" t="n">
        <f aca="false">'ANR OK vs ML7'!AR36</f>
        <v>0.1</v>
      </c>
      <c r="AS36" s="213" t="n">
        <f aca="false">IF(A37="","",1/(1+CHOOSE(F$3,(AR37+($I$3/10000))/2,(AR36+($I$3/10000))/2))^(2*AQ36/365.25))</f>
        <v>8.687296488692</v>
      </c>
      <c r="AT36" s="137" t="n">
        <f aca="false">IF(A37="","",IF(AND(mthbeg&lt;=A36,mthend&gt;=A36),1,0))</f>
        <v>1</v>
      </c>
      <c r="AU36" s="137" t="n">
        <f aca="false">IF(A37="","",AO36*AT36)</f>
        <v>31</v>
      </c>
      <c r="AW36" s="195" t="e">
        <f aca="false">IF($A37="","",AL36*$E36)</f>
        <v>#NAME?</v>
      </c>
      <c r="AX36" s="195" t="e">
        <f aca="false">IF($A37="","",AM36*$E36)</f>
        <v>#N/A</v>
      </c>
      <c r="AY36" s="195" t="e">
        <f aca="false">IF($A37="","",AN36*$E36)</f>
        <v>#N/A</v>
      </c>
      <c r="BA36" s="195" t="n">
        <f aca="false">IF($A37="","",F36*Summary!$Q$11)</f>
        <v>0</v>
      </c>
      <c r="BC36" s="179" t="e">
        <f aca="false">IF(A37="","",AM36*F36)</f>
        <v>#N/A</v>
      </c>
    </row>
    <row r="37" customFormat="false" ht="12.75" hidden="false" customHeight="false" outlineLevel="0" collapsed="false">
      <c r="A37" s="196" t="n">
        <f aca="false">IF(A36&lt;mthend,EDATE(A36,1),"")</f>
        <v>37865</v>
      </c>
      <c r="B37" s="197" t="n">
        <f aca="false">IF(A37&lt;mthend,B36,"")</f>
        <v>124142</v>
      </c>
      <c r="C37" s="215"/>
      <c r="D37" s="197" t="n">
        <f aca="false">IF(A38&lt;&gt;"",B37+C37,"")</f>
        <v>124142</v>
      </c>
      <c r="E37" s="199" t="n">
        <f aca="false">IF(A38="","",IF(AND(AT37=1,$H$3=1),D37*AO37,IF($H$3=2,D37,"N/A")))</f>
        <v>3724260</v>
      </c>
      <c r="F37" s="199" t="n">
        <f aca="false">IF(A38="","",E37*AS37)</f>
        <v>32086904.5030551</v>
      </c>
      <c r="G37" s="200" t="e">
        <f aca="false">IF($A38="","",VLOOKUP($A37,Table,MATCH(G$4,Curves,0)))</f>
        <v>#N/A</v>
      </c>
      <c r="H37" s="201" t="e">
        <f aca="false">IF(A38="","",G37)</f>
        <v>#N/A</v>
      </c>
      <c r="I37" s="202"/>
      <c r="J37" s="200" t="e">
        <f aca="false">IF($A38="","",VLOOKUP($A37,Table,MATCH(J$4,Curves,0)))</f>
        <v>#N/A</v>
      </c>
      <c r="K37" s="201" t="e">
        <f aca="false">IF(A38="","",J37)</f>
        <v>#N/A</v>
      </c>
      <c r="L37" s="200" t="e">
        <f aca="false">IF($A38="","",VLOOKUP($A37,Table,MATCH(L$4,Curves,0)))</f>
        <v>#N/A</v>
      </c>
      <c r="M37" s="201" t="e">
        <f aca="false">IF(A38="","",L37)</f>
        <v>#N/A</v>
      </c>
      <c r="N37" s="203"/>
      <c r="O37" s="200" t="e">
        <f aca="false">IF(A38="","",L37+J37+G37)</f>
        <v>#N/A</v>
      </c>
      <c r="P37" s="200" t="e">
        <f aca="false">IF(A38="","",M37+K37+H37)</f>
        <v>#N/A</v>
      </c>
      <c r="Q37" s="204"/>
      <c r="R37" s="200" t="e">
        <f aca="false">IF($A38="","",VLOOKUP($A37,Table,MATCH(R$4,Curves,0)))</f>
        <v>#N/A</v>
      </c>
      <c r="S37" s="201" t="e">
        <f aca="false">IF(A38="","",R37)</f>
        <v>#N/A</v>
      </c>
      <c r="T37" s="185" t="n">
        <v>0</v>
      </c>
      <c r="U37" s="201" t="n">
        <f aca="false">IF(A38="","",T37)</f>
        <v>0</v>
      </c>
      <c r="V37" s="205" t="e">
        <f aca="false">IF($A38="","",IF(AND(MONTH(A37)&gt;3,MONTH(A37)&lt;11),(T37+R37+G37)*Summary!$T$11/(1-Summary!$T$11),(T37+R37+G37)*Summary!$U$11/(1-Summary!$U$11)))</f>
        <v>#N/A</v>
      </c>
      <c r="W37" s="202" t="e">
        <f aca="false">IF($A38="","",(T37+R37+G37+V37))</f>
        <v>#N/A</v>
      </c>
      <c r="X37" s="202" t="e">
        <f aca="false">IF($A38="","",(U37+S37+H37+V37))</f>
        <v>#N/A</v>
      </c>
      <c r="Y37" s="202"/>
      <c r="Z37" s="185" t="e">
        <f aca="false">IF($A38="","",VLOOKUP($A37,Table,MATCH(Z$4,Curves,0)))</f>
        <v>#N/A</v>
      </c>
      <c r="AA37" s="185" t="e">
        <f aca="false">IF($A38="","",VLOOKUP($A37,Table,MATCH(AA$4,Curves,0)))</f>
        <v>#N/A</v>
      </c>
      <c r="AB37" s="185" t="e">
        <f aca="false">SQRT((AA37^2*(A37-$D$3)+Z37^2*(DAY(EOMONTH(A37,0))/2))/AK37)</f>
        <v>#N/A</v>
      </c>
      <c r="AC37" s="185" t="e">
        <f aca="false">IF($A38="","",VLOOKUP($A37,Table,MATCH(AC$4,Curves,0)))</f>
        <v>#N/A</v>
      </c>
      <c r="AD37" s="185" t="e">
        <f aca="false">IF($A38="","",VLOOKUP($A37,Table,MATCH(AD$4,Curves,0)))</f>
        <v>#N/A</v>
      </c>
      <c r="AE37" s="185" t="e">
        <f aca="false">SQRT((AD37^2*(A37-$D$3)+AC37^2*(DAY(EOMONTH(A37,0))/2))/AK37)</f>
        <v>#N/A</v>
      </c>
      <c r="AF37" s="206" t="e">
        <f aca="false">((Summary!$N$11*(AA37*AD37)*(A37-$D$3))+(Summary!$M$11*Z37*AC37*(AJ37-EOMONTH(EDATE(A37,-1),0))))/(AK37*AB37*AE37)</f>
        <v>#N/A</v>
      </c>
      <c r="AG37" s="207" t="n">
        <f aca="false">IF($A38="","",Summary!$Q$11)</f>
        <v>0</v>
      </c>
      <c r="AH37" s="207" t="n">
        <f aca="false">IF($A38="","",IF(Summary!$R$11="Y",(VLOOKUP($A37,Summary!$AD$6:$AF$9,3)+'Escalating commodity'!G50),'Escalating commodity'!G50))</f>
        <v>0.00505604691740096</v>
      </c>
      <c r="AI37" s="207" t="n">
        <f aca="false">IF($A38="","",AH37)</f>
        <v>0.00505604691740096</v>
      </c>
      <c r="AJ37" s="208" t="n">
        <f aca="false">A37+DAY(EOMONTH(A37,0))/2-1</f>
        <v>37879</v>
      </c>
      <c r="AK37" s="209" t="n">
        <f aca="false">IF($A38="","",$A37-$E$1)</f>
        <v>-8061</v>
      </c>
      <c r="AL37" s="182" t="e">
        <f aca="false">IF($A38="","",SPRDOPT(P37,X37,AI37,0,AB37,AE37,AF37,AK37,$AJ$2,0))</f>
        <v>#NAME?</v>
      </c>
      <c r="AM37" s="210" t="e">
        <f aca="false">IF($A38="","",MAX(0,O37-W37-AI37))</f>
        <v>#N/A</v>
      </c>
      <c r="AN37" s="211" t="e">
        <f aca="false">IF($A38="","",AL37-AM37)</f>
        <v>#N/A</v>
      </c>
      <c r="AO37" s="137" t="n">
        <f aca="false">IF(A38="","",A38-A37)</f>
        <v>30</v>
      </c>
      <c r="AP37" s="212" t="n">
        <f aca="false">IF(A38="","",CHOOSE(F$3,A38+24,A37))</f>
        <v>37865</v>
      </c>
      <c r="AQ37" s="209" t="n">
        <f aca="false">IF(A38="","",AP37-$E$1)</f>
        <v>-8061</v>
      </c>
      <c r="AR37" s="185" t="n">
        <f aca="false">'ANR OK vs ML7'!AR37</f>
        <v>0.1</v>
      </c>
      <c r="AS37" s="213" t="n">
        <f aca="false">IF(A38="","",1/(1+CHOOSE(F$3,(AR38+($I$3/10000))/2,(AR37+($I$3/10000))/2))^(2*AQ37/365.25))</f>
        <v>8.6156456592867</v>
      </c>
      <c r="AT37" s="137" t="n">
        <f aca="false">IF(A38="","",IF(AND(mthbeg&lt;=A37,mthend&gt;=A37),1,0))</f>
        <v>1</v>
      </c>
      <c r="AU37" s="137" t="n">
        <f aca="false">IF(A38="","",AO37*AT37)</f>
        <v>30</v>
      </c>
      <c r="AW37" s="195" t="e">
        <f aca="false">IF($A38="","",AL37*$E37)</f>
        <v>#NAME?</v>
      </c>
      <c r="AX37" s="195" t="e">
        <f aca="false">IF($A38="","",AM37*$E37)</f>
        <v>#N/A</v>
      </c>
      <c r="AY37" s="195" t="e">
        <f aca="false">IF($A38="","",AN37*$E37)</f>
        <v>#N/A</v>
      </c>
      <c r="BA37" s="195" t="n">
        <f aca="false">IF($A38="","",F37*Summary!$Q$11)</f>
        <v>0</v>
      </c>
      <c r="BC37" s="179" t="e">
        <f aca="false">IF(A38="","",AM37*F37)</f>
        <v>#N/A</v>
      </c>
    </row>
    <row r="38" customFormat="false" ht="12.75" hidden="false" customHeight="false" outlineLevel="0" collapsed="false">
      <c r="A38" s="196" t="n">
        <f aca="false">IF(A37&lt;mthend,EDATE(A37,1),"")</f>
        <v>37895</v>
      </c>
      <c r="B38" s="197" t="n">
        <f aca="false">IF(A38&lt;mthend,B37,"")</f>
        <v>124142</v>
      </c>
      <c r="C38" s="215"/>
      <c r="D38" s="197" t="n">
        <f aca="false">IF(A39&lt;&gt;"",B38+C38,"")</f>
        <v>124142</v>
      </c>
      <c r="E38" s="199" t="n">
        <f aca="false">IF(A39="","",IF(AND(AT38=1,$H$3=1),D38*AO38,IF($H$3=2,D38,"N/A")))</f>
        <v>3848402</v>
      </c>
      <c r="F38" s="199" t="n">
        <f aca="false">IF(A39="","",E38*AS38)</f>
        <v>32891787.2500784</v>
      </c>
      <c r="G38" s="200" t="e">
        <f aca="false">IF($A39="","",VLOOKUP($A38,Table,MATCH(G$4,Curves,0)))</f>
        <v>#N/A</v>
      </c>
      <c r="H38" s="201" t="e">
        <f aca="false">IF(A39="","",G38)</f>
        <v>#N/A</v>
      </c>
      <c r="I38" s="202"/>
      <c r="J38" s="200" t="e">
        <f aca="false">IF($A39="","",VLOOKUP($A38,Table,MATCH(J$4,Curves,0)))</f>
        <v>#N/A</v>
      </c>
      <c r="K38" s="201" t="e">
        <f aca="false">IF(A39="","",J38)</f>
        <v>#N/A</v>
      </c>
      <c r="L38" s="200" t="e">
        <f aca="false">IF($A39="","",VLOOKUP($A38,Table,MATCH(L$4,Curves,0)))</f>
        <v>#N/A</v>
      </c>
      <c r="M38" s="201" t="e">
        <f aca="false">IF(A39="","",L38)</f>
        <v>#N/A</v>
      </c>
      <c r="N38" s="203"/>
      <c r="O38" s="200" t="e">
        <f aca="false">IF(A39="","",L38+J38+G38)</f>
        <v>#N/A</v>
      </c>
      <c r="P38" s="200" t="e">
        <f aca="false">IF(A39="","",M38+K38+H38)</f>
        <v>#N/A</v>
      </c>
      <c r="Q38" s="204"/>
      <c r="R38" s="200" t="e">
        <f aca="false">IF($A39="","",VLOOKUP($A38,Table,MATCH(R$4,Curves,0)))</f>
        <v>#N/A</v>
      </c>
      <c r="S38" s="201" t="e">
        <f aca="false">IF(A39="","",R38)</f>
        <v>#N/A</v>
      </c>
      <c r="T38" s="185" t="n">
        <v>0</v>
      </c>
      <c r="U38" s="201" t="n">
        <f aca="false">IF(A39="","",T38)</f>
        <v>0</v>
      </c>
      <c r="V38" s="205" t="e">
        <f aca="false">IF($A39="","",IF(AND(MONTH(A38)&gt;3,MONTH(A38)&lt;11),(T38+R38+G38)*Summary!$T$11/(1-Summary!$T$11),(T38+R38+G38)*Summary!$U$11/(1-Summary!$U$11)))</f>
        <v>#N/A</v>
      </c>
      <c r="W38" s="202" t="e">
        <f aca="false">IF($A39="","",(T38+R38+G38+V38))</f>
        <v>#N/A</v>
      </c>
      <c r="X38" s="202" t="e">
        <f aca="false">IF($A39="","",(U38+S38+H38+V38))</f>
        <v>#N/A</v>
      </c>
      <c r="Y38" s="202"/>
      <c r="Z38" s="185" t="e">
        <f aca="false">IF($A39="","",VLOOKUP($A38,Table,MATCH(Z$4,Curves,0)))</f>
        <v>#N/A</v>
      </c>
      <c r="AA38" s="185" t="e">
        <f aca="false">IF($A39="","",VLOOKUP($A38,Table,MATCH(AA$4,Curves,0)))</f>
        <v>#N/A</v>
      </c>
      <c r="AB38" s="185" t="e">
        <f aca="false">SQRT((AA38^2*(A38-$D$3)+Z38^2*(DAY(EOMONTH(A38,0))/2))/AK38)</f>
        <v>#N/A</v>
      </c>
      <c r="AC38" s="185" t="e">
        <f aca="false">IF($A39="","",VLOOKUP($A38,Table,MATCH(AC$4,Curves,0)))</f>
        <v>#N/A</v>
      </c>
      <c r="AD38" s="185" t="e">
        <f aca="false">IF($A39="","",VLOOKUP($A38,Table,MATCH(AD$4,Curves,0)))</f>
        <v>#N/A</v>
      </c>
      <c r="AE38" s="185" t="e">
        <f aca="false">SQRT((AD38^2*(A38-$D$3)+AC38^2*(DAY(EOMONTH(A38,0))/2))/AK38)</f>
        <v>#N/A</v>
      </c>
      <c r="AF38" s="206" t="e">
        <f aca="false">((Summary!$N$11*(AA38*AD38)*(A38-$D$3))+(Summary!$M$11*Z38*AC38*(AJ38-EOMONTH(EDATE(A38,-1),0))))/(AK38*AB38*AE38)</f>
        <v>#N/A</v>
      </c>
      <c r="AG38" s="207" t="n">
        <f aca="false">IF($A39="","",Summary!$Q$11)</f>
        <v>0</v>
      </c>
      <c r="AH38" s="207" t="n">
        <f aca="false">IF($A39="","",IF(Summary!$R$11="Y",(VLOOKUP($A38,Summary!$AD$6:$AF$9,3)+'Escalating commodity'!G51),'Escalating commodity'!G51))</f>
        <v>0.00505604691740096</v>
      </c>
      <c r="AI38" s="207" t="n">
        <f aca="false">IF($A39="","",AH38)</f>
        <v>0.00505604691740096</v>
      </c>
      <c r="AJ38" s="208" t="n">
        <f aca="false">A38+DAY(EOMONTH(A38,0))/2-1</f>
        <v>37909.5</v>
      </c>
      <c r="AK38" s="209" t="n">
        <f aca="false">IF($A39="","",$A38-$E$1)</f>
        <v>-8031</v>
      </c>
      <c r="AL38" s="182" t="e">
        <f aca="false">IF($A39="","",SPRDOPT(P38,X38,AI38,0,AB38,AE38,AF38,AK38,$AJ$2,0))</f>
        <v>#NAME?</v>
      </c>
      <c r="AM38" s="210" t="e">
        <f aca="false">IF($A39="","",MAX(0,O38-W38-AI38))</f>
        <v>#N/A</v>
      </c>
      <c r="AN38" s="211" t="e">
        <f aca="false">IF($A39="","",AL38-AM38)</f>
        <v>#N/A</v>
      </c>
      <c r="AO38" s="137" t="n">
        <f aca="false">IF(A39="","",A39-A38)</f>
        <v>31</v>
      </c>
      <c r="AP38" s="212" t="n">
        <f aca="false">IF(A39="","",CHOOSE(F$3,A39+24,A38))</f>
        <v>37895</v>
      </c>
      <c r="AQ38" s="209" t="n">
        <f aca="false">IF(A39="","",AP38-$E$1)</f>
        <v>-8031</v>
      </c>
      <c r="AR38" s="185" t="n">
        <f aca="false">'ANR OK vs ML7'!AR38</f>
        <v>0.1</v>
      </c>
      <c r="AS38" s="213" t="n">
        <f aca="false">IF(A39="","",1/(1+CHOOSE(F$3,(AR39+($I$3/10000))/2,(AR38+($I$3/10000))/2))^(2*AQ38/365.25))</f>
        <v>8.54686886922894</v>
      </c>
      <c r="AT38" s="137" t="n">
        <f aca="false">IF(A39="","",IF(AND(mthbeg&lt;=A38,mthend&gt;=A38),1,0))</f>
        <v>1</v>
      </c>
      <c r="AU38" s="137" t="n">
        <f aca="false">IF(A39="","",AO38*AT38)</f>
        <v>31</v>
      </c>
      <c r="AW38" s="195" t="e">
        <f aca="false">IF($A39="","",AL38*$E38)</f>
        <v>#NAME?</v>
      </c>
      <c r="AX38" s="195" t="e">
        <f aca="false">IF($A39="","",AM38*$E38)</f>
        <v>#N/A</v>
      </c>
      <c r="AY38" s="195" t="e">
        <f aca="false">IF($A39="","",AN38*$E38)</f>
        <v>#N/A</v>
      </c>
      <c r="BA38" s="195" t="n">
        <f aca="false">IF($A39="","",F38*Summary!$Q$11)</f>
        <v>0</v>
      </c>
      <c r="BC38" s="179" t="e">
        <f aca="false">IF(A39="","",AM38*F38)</f>
        <v>#N/A</v>
      </c>
    </row>
    <row r="39" customFormat="false" ht="12.75" hidden="false" customHeight="false" outlineLevel="0" collapsed="false">
      <c r="A39" s="196" t="n">
        <f aca="false">IF(A38&lt;mthend,EDATE(A38,1),"")</f>
        <v>37926</v>
      </c>
      <c r="B39" s="197" t="n">
        <f aca="false">IF(A39&lt;mthend,B38,"")</f>
        <v>124142</v>
      </c>
      <c r="C39" s="215"/>
      <c r="D39" s="197" t="n">
        <f aca="false">IF(A40&lt;&gt;"",B39+C39,"")</f>
        <v>124142</v>
      </c>
      <c r="E39" s="199" t="n">
        <f aca="false">IF(A40="","",IF(AND(AT39=1,$H$3=1),D39*AO39,IF($H$3=2,D39,"N/A")))</f>
        <v>3724260</v>
      </c>
      <c r="F39" s="199" t="n">
        <f aca="false">IF(A40="","",E39*AS39)</f>
        <v>31568229.0300621</v>
      </c>
      <c r="G39" s="200" t="e">
        <f aca="false">IF($A40="","",VLOOKUP($A39,Table,MATCH(G$4,Curves,0)))</f>
        <v>#N/A</v>
      </c>
      <c r="H39" s="201" t="e">
        <f aca="false">IF(A40="","",G39)</f>
        <v>#N/A</v>
      </c>
      <c r="I39" s="202"/>
      <c r="J39" s="200" t="e">
        <f aca="false">IF($A40="","",VLOOKUP($A39,Table,MATCH(J$4,Curves,0)))</f>
        <v>#N/A</v>
      </c>
      <c r="K39" s="201" t="e">
        <f aca="false">IF(A40="","",J39)</f>
        <v>#N/A</v>
      </c>
      <c r="L39" s="200" t="e">
        <f aca="false">IF($A40="","",VLOOKUP($A39,Table,MATCH(L$4,Curves,0)))</f>
        <v>#N/A</v>
      </c>
      <c r="M39" s="201" t="e">
        <f aca="false">IF(A40="","",L39)</f>
        <v>#N/A</v>
      </c>
      <c r="N39" s="203"/>
      <c r="O39" s="200" t="e">
        <f aca="false">IF(A40="","",L39+J39+G39)</f>
        <v>#N/A</v>
      </c>
      <c r="P39" s="200" t="e">
        <f aca="false">IF(A40="","",M39+K39+H39)</f>
        <v>#N/A</v>
      </c>
      <c r="Q39" s="204"/>
      <c r="R39" s="200" t="e">
        <f aca="false">IF($A40="","",VLOOKUP($A39,Table,MATCH(R$4,Curves,0)))</f>
        <v>#N/A</v>
      </c>
      <c r="S39" s="201" t="e">
        <f aca="false">IF(A40="","",R39)</f>
        <v>#N/A</v>
      </c>
      <c r="T39" s="185" t="n">
        <v>0</v>
      </c>
      <c r="U39" s="201" t="n">
        <f aca="false">IF(A40="","",T39)</f>
        <v>0</v>
      </c>
      <c r="V39" s="205" t="e">
        <f aca="false">IF($A40="","",IF(AND(MONTH(A39)&gt;3,MONTH(A39)&lt;11),(T39+R39+G39)*Summary!$T$11/(1-Summary!$T$11),(T39+R39+G39)*Summary!$U$11/(1-Summary!$U$11)))</f>
        <v>#N/A</v>
      </c>
      <c r="W39" s="202" t="e">
        <f aca="false">IF($A40="","",(T39+R39+G39+V39))</f>
        <v>#N/A</v>
      </c>
      <c r="X39" s="202" t="e">
        <f aca="false">IF($A40="","",(U39+S39+H39+V39))</f>
        <v>#N/A</v>
      </c>
      <c r="Y39" s="202"/>
      <c r="Z39" s="185" t="e">
        <f aca="false">IF($A40="","",VLOOKUP($A39,Table,MATCH(Z$4,Curves,0)))</f>
        <v>#N/A</v>
      </c>
      <c r="AA39" s="185" t="e">
        <f aca="false">IF($A40="","",VLOOKUP($A39,Table,MATCH(AA$4,Curves,0)))</f>
        <v>#N/A</v>
      </c>
      <c r="AB39" s="185" t="e">
        <f aca="false">SQRT((AA39^2*(A39-$D$3)+Z39^2*(DAY(EOMONTH(A39,0))/2))/AK39)</f>
        <v>#N/A</v>
      </c>
      <c r="AC39" s="185" t="e">
        <f aca="false">IF($A40="","",VLOOKUP($A39,Table,MATCH(AC$4,Curves,0)))</f>
        <v>#N/A</v>
      </c>
      <c r="AD39" s="185" t="e">
        <f aca="false">IF($A40="","",VLOOKUP($A39,Table,MATCH(AD$4,Curves,0)))</f>
        <v>#N/A</v>
      </c>
      <c r="AE39" s="185" t="e">
        <f aca="false">SQRT((AD39^2*(A39-$D$3)+AC39^2*(DAY(EOMONTH(A39,0))/2))/AK39)</f>
        <v>#N/A</v>
      </c>
      <c r="AF39" s="206" t="e">
        <f aca="false">((Summary!$N$11*(AA39*AD39)*(A39-$D$3))+(Summary!$M$11*Z39*AC39*(AJ39-EOMONTH(EDATE(A39,-1),0))))/(AK39*AB39*AE39)</f>
        <v>#N/A</v>
      </c>
      <c r="AG39" s="207" t="n">
        <f aca="false">IF($A40="","",Summary!$Q$11)</f>
        <v>0</v>
      </c>
      <c r="AH39" s="207" t="n">
        <f aca="false">IF($A40="","",IF(Summary!$R$11="Y",(VLOOKUP($A39,Summary!$AD$6:$AF$9,3)+'Escalating commodity'!G52),'Escalating commodity'!G52))</f>
        <v>0.00505604691740096</v>
      </c>
      <c r="AI39" s="207" t="n">
        <f aca="false">IF($A40="","",AH39)</f>
        <v>0.00505604691740096</v>
      </c>
      <c r="AJ39" s="208" t="n">
        <f aca="false">A39+DAY(EOMONTH(A39,0))/2-1</f>
        <v>37940</v>
      </c>
      <c r="AK39" s="209" t="n">
        <f aca="false">IF($A40="","",$A39-$E$1)</f>
        <v>-8000</v>
      </c>
      <c r="AL39" s="182" t="e">
        <f aca="false">IF($A40="","",SPRDOPT(P39,X39,AI39,0,AB39,AE39,AF39,AK39,$AJ$2,0))</f>
        <v>#NAME?</v>
      </c>
      <c r="AM39" s="210" t="e">
        <f aca="false">IF($A40="","",MAX(0,O39-W39-AI39))</f>
        <v>#N/A</v>
      </c>
      <c r="AN39" s="211" t="e">
        <f aca="false">IF($A40="","",AL39-AM39)</f>
        <v>#N/A</v>
      </c>
      <c r="AO39" s="137" t="n">
        <f aca="false">IF(A40="","",A40-A39)</f>
        <v>30</v>
      </c>
      <c r="AP39" s="212" t="n">
        <f aca="false">IF(A40="","",CHOOSE(F$3,A40+24,A39))</f>
        <v>37926</v>
      </c>
      <c r="AQ39" s="209" t="n">
        <f aca="false">IF(A40="","",AP39-$E$1)</f>
        <v>-8000</v>
      </c>
      <c r="AR39" s="185" t="n">
        <f aca="false">'ANR OK vs ML7'!AR39</f>
        <v>0.1</v>
      </c>
      <c r="AS39" s="213" t="n">
        <f aca="false">IF(A40="","",1/(1+CHOOSE(F$3,(AR40+($I$3/10000))/2,(AR39+($I$3/10000))/2))^(2*AQ39/365.25))</f>
        <v>8.47637625462833</v>
      </c>
      <c r="AT39" s="137" t="n">
        <f aca="false">IF(A40="","",IF(AND(mthbeg&lt;=A39,mthend&gt;=A39),1,0))</f>
        <v>1</v>
      </c>
      <c r="AU39" s="137" t="n">
        <f aca="false">IF(A40="","",AO39*AT39)</f>
        <v>30</v>
      </c>
      <c r="AW39" s="195" t="e">
        <f aca="false">IF($A40="","",AL39*$E39)</f>
        <v>#NAME?</v>
      </c>
      <c r="AX39" s="195" t="e">
        <f aca="false">IF($A40="","",AM39*$E39)</f>
        <v>#N/A</v>
      </c>
      <c r="AY39" s="195" t="e">
        <f aca="false">IF($A40="","",AN39*$E39)</f>
        <v>#N/A</v>
      </c>
      <c r="BA39" s="195" t="n">
        <f aca="false">IF($A40="","",F39*Summary!$Q$11)</f>
        <v>0</v>
      </c>
      <c r="BC39" s="179" t="e">
        <f aca="false">IF(A40="","",AM39*F39)</f>
        <v>#N/A</v>
      </c>
    </row>
    <row r="40" customFormat="false" ht="12.75" hidden="false" customHeight="false" outlineLevel="0" collapsed="false">
      <c r="A40" s="196" t="n">
        <f aca="false">IF(A39&lt;mthend,EDATE(A39,1),"")</f>
        <v>37956</v>
      </c>
      <c r="B40" s="197" t="n">
        <f aca="false">IF(A40&lt;mthend,B39,"")</f>
        <v>124142</v>
      </c>
      <c r="C40" s="215"/>
      <c r="D40" s="197" t="n">
        <f aca="false">IF(A41&lt;&gt;"",B40+C40,"")</f>
        <v>124142</v>
      </c>
      <c r="E40" s="199" t="n">
        <f aca="false">IF(A41="","",IF(AND(AT40=1,$H$3=1),D40*AO40,IF($H$3=2,D40,"N/A")))</f>
        <v>3848402</v>
      </c>
      <c r="F40" s="199" t="n">
        <f aca="false">IF(A41="","",E40*AS40)</f>
        <v>32360101.081726</v>
      </c>
      <c r="G40" s="200" t="e">
        <f aca="false">IF($A41="","",VLOOKUP($A40,Table,MATCH(G$4,Curves,0)))</f>
        <v>#N/A</v>
      </c>
      <c r="H40" s="201" t="e">
        <f aca="false">IF(A41="","",G40)</f>
        <v>#N/A</v>
      </c>
      <c r="I40" s="202"/>
      <c r="J40" s="200" t="e">
        <f aca="false">IF($A41="","",VLOOKUP($A40,Table,MATCH(J$4,Curves,0)))</f>
        <v>#N/A</v>
      </c>
      <c r="K40" s="201" t="e">
        <f aca="false">IF(A41="","",J40)</f>
        <v>#N/A</v>
      </c>
      <c r="L40" s="200" t="e">
        <f aca="false">IF($A41="","",VLOOKUP($A40,Table,MATCH(L$4,Curves,0)))</f>
        <v>#N/A</v>
      </c>
      <c r="M40" s="201" t="e">
        <f aca="false">IF(A41="","",L40)</f>
        <v>#N/A</v>
      </c>
      <c r="N40" s="203"/>
      <c r="O40" s="200" t="e">
        <f aca="false">IF(A41="","",L40+J40+G40)</f>
        <v>#N/A</v>
      </c>
      <c r="P40" s="200" t="e">
        <f aca="false">IF(A41="","",M40+K40+H40)</f>
        <v>#N/A</v>
      </c>
      <c r="Q40" s="204"/>
      <c r="R40" s="200" t="e">
        <f aca="false">IF($A41="","",VLOOKUP($A40,Table,MATCH(R$4,Curves,0)))</f>
        <v>#N/A</v>
      </c>
      <c r="S40" s="201" t="e">
        <f aca="false">IF(A41="","",R40)</f>
        <v>#N/A</v>
      </c>
      <c r="T40" s="185" t="n">
        <v>0</v>
      </c>
      <c r="U40" s="201" t="n">
        <f aca="false">IF(A41="","",T40)</f>
        <v>0</v>
      </c>
      <c r="V40" s="205" t="e">
        <f aca="false">IF($A41="","",IF(AND(MONTH(A40)&gt;3,MONTH(A40)&lt;11),(T40+R40+G40)*Summary!$T$11/(1-Summary!$T$11),(T40+R40+G40)*Summary!$U$11/(1-Summary!$U$11)))</f>
        <v>#N/A</v>
      </c>
      <c r="W40" s="202" t="e">
        <f aca="false">IF($A41="","",(T40+R40+G40+V40))</f>
        <v>#N/A</v>
      </c>
      <c r="X40" s="202" t="e">
        <f aca="false">IF($A41="","",(U40+S40+H40+V40))</f>
        <v>#N/A</v>
      </c>
      <c r="Y40" s="202"/>
      <c r="Z40" s="185" t="e">
        <f aca="false">IF($A41="","",VLOOKUP($A40,Table,MATCH(Z$4,Curves,0)))</f>
        <v>#N/A</v>
      </c>
      <c r="AA40" s="185" t="e">
        <f aca="false">IF($A41="","",VLOOKUP($A40,Table,MATCH(AA$4,Curves,0)))</f>
        <v>#N/A</v>
      </c>
      <c r="AB40" s="185" t="e">
        <f aca="false">SQRT((AA40^2*(A40-$D$3)+Z40^2*(DAY(EOMONTH(A40,0))/2))/AK40)</f>
        <v>#N/A</v>
      </c>
      <c r="AC40" s="185" t="e">
        <f aca="false">IF($A41="","",VLOOKUP($A40,Table,MATCH(AC$4,Curves,0)))</f>
        <v>#N/A</v>
      </c>
      <c r="AD40" s="185" t="e">
        <f aca="false">IF($A41="","",VLOOKUP($A40,Table,MATCH(AD$4,Curves,0)))</f>
        <v>#N/A</v>
      </c>
      <c r="AE40" s="185" t="e">
        <f aca="false">SQRT((AD40^2*(A40-$D$3)+AC40^2*(DAY(EOMONTH(A40,0))/2))/AK40)</f>
        <v>#N/A</v>
      </c>
      <c r="AF40" s="206" t="e">
        <f aca="false">((Summary!$N$11*(AA40*AD40)*(A40-$D$3))+(Summary!$M$11*Z40*AC40*(AJ40-EOMONTH(EDATE(A40,-1),0))))/(AK40*AB40*AE40)</f>
        <v>#N/A</v>
      </c>
      <c r="AG40" s="207" t="n">
        <f aca="false">IF($A41="","",Summary!$Q$11)</f>
        <v>0</v>
      </c>
      <c r="AH40" s="207" t="n">
        <f aca="false">IF($A41="","",IF(Summary!$R$11="Y",(VLOOKUP($A40,Summary!$AD$6:$AF$9,3)+'Escalating commodity'!G53),'Escalating commodity'!G53))</f>
        <v>0.00505604691740096</v>
      </c>
      <c r="AI40" s="207" t="n">
        <f aca="false">IF($A41="","",AH40)</f>
        <v>0.00505604691740096</v>
      </c>
      <c r="AJ40" s="208" t="n">
        <f aca="false">A40+DAY(EOMONTH(A40,0))/2-1</f>
        <v>37970.5</v>
      </c>
      <c r="AK40" s="209" t="n">
        <f aca="false">IF($A41="","",$A40-$E$1)</f>
        <v>-7970</v>
      </c>
      <c r="AL40" s="182" t="e">
        <f aca="false">IF($A41="","",SPRDOPT(P40,X40,AI40,0,AB40,AE40,AF40,AK40,$AJ$2,0))</f>
        <v>#NAME?</v>
      </c>
      <c r="AM40" s="210" t="e">
        <f aca="false">IF($A41="","",MAX(0,O40-W40-AI40))</f>
        <v>#N/A</v>
      </c>
      <c r="AN40" s="211" t="e">
        <f aca="false">IF($A41="","",AL40-AM40)</f>
        <v>#N/A</v>
      </c>
      <c r="AO40" s="137" t="n">
        <f aca="false">IF(A41="","",A41-A40)</f>
        <v>31</v>
      </c>
      <c r="AP40" s="212" t="n">
        <f aca="false">IF(A41="","",CHOOSE(F$3,A41+24,A40))</f>
        <v>37956</v>
      </c>
      <c r="AQ40" s="209" t="n">
        <f aca="false">IF(A41="","",AP40-$E$1)</f>
        <v>-7970</v>
      </c>
      <c r="AR40" s="185" t="n">
        <f aca="false">'ANR OK vs ML7'!AR40</f>
        <v>0.1</v>
      </c>
      <c r="AS40" s="213" t="n">
        <f aca="false">IF(A41="","",1/(1+CHOOSE(F$3,(AR41+($I$3/10000))/2,(AR40+($I$3/10000))/2))^(2*AQ40/365.25))</f>
        <v>8.40871122136564</v>
      </c>
      <c r="AT40" s="137" t="n">
        <f aca="false">IF(A41="","",IF(AND(mthbeg&lt;=A40,mthend&gt;=A40),1,0))</f>
        <v>1</v>
      </c>
      <c r="AU40" s="137" t="n">
        <f aca="false">IF(A41="","",AO40*AT40)</f>
        <v>31</v>
      </c>
      <c r="AW40" s="195" t="e">
        <f aca="false">IF($A41="","",AL40*$E40)</f>
        <v>#NAME?</v>
      </c>
      <c r="AX40" s="195" t="e">
        <f aca="false">IF($A41="","",AM40*$E40)</f>
        <v>#N/A</v>
      </c>
      <c r="AY40" s="195" t="e">
        <f aca="false">IF($A41="","",AN40*$E40)</f>
        <v>#N/A</v>
      </c>
      <c r="BA40" s="195" t="n">
        <f aca="false">IF($A41="","",F40*Summary!$Q$11)</f>
        <v>0</v>
      </c>
      <c r="BC40" s="179" t="e">
        <f aca="false">IF(A41="","",AM40*F40)</f>
        <v>#N/A</v>
      </c>
    </row>
    <row r="41" customFormat="false" ht="12.75" hidden="false" customHeight="false" outlineLevel="0" collapsed="false">
      <c r="A41" s="196" t="n">
        <f aca="false">IF(A40&lt;mthend,EDATE(A40,1),"")</f>
        <v>37987</v>
      </c>
      <c r="B41" s="197" t="n">
        <f aca="false">IF(A41&lt;mthend,B40,"")</f>
        <v>124142</v>
      </c>
      <c r="C41" s="215"/>
      <c r="D41" s="197" t="n">
        <f aca="false">IF(A42&lt;&gt;"",B41+C41,"")</f>
        <v>124142</v>
      </c>
      <c r="E41" s="199" t="n">
        <f aca="false">IF(A42="","",IF(AND(AT41=1,$H$3=1),D41*AO41,IF($H$3=2,D41,"N/A")))</f>
        <v>3848402</v>
      </c>
      <c r="F41" s="199" t="n">
        <f aca="false">IF(A42="","",E41*AS41)</f>
        <v>32093202.3883105</v>
      </c>
      <c r="G41" s="200" t="e">
        <f aca="false">IF($A42="","",VLOOKUP($A41,Table,MATCH(G$4,Curves,0)))</f>
        <v>#N/A</v>
      </c>
      <c r="H41" s="201" t="e">
        <f aca="false">IF(A42="","",G41)</f>
        <v>#N/A</v>
      </c>
      <c r="I41" s="202"/>
      <c r="J41" s="200" t="e">
        <f aca="false">IF($A42="","",VLOOKUP($A41,Table,MATCH(J$4,Curves,0)))</f>
        <v>#N/A</v>
      </c>
      <c r="K41" s="201" t="e">
        <f aca="false">IF(A42="","",J41)</f>
        <v>#N/A</v>
      </c>
      <c r="L41" s="200" t="e">
        <f aca="false">IF($A42="","",VLOOKUP($A41,Table,MATCH(L$4,Curves,0)))</f>
        <v>#N/A</v>
      </c>
      <c r="M41" s="201" t="e">
        <f aca="false">IF(A42="","",L41)</f>
        <v>#N/A</v>
      </c>
      <c r="N41" s="203"/>
      <c r="O41" s="200" t="e">
        <f aca="false">IF(A42="","",L41+J41+G41)</f>
        <v>#N/A</v>
      </c>
      <c r="P41" s="200" t="e">
        <f aca="false">IF(A42="","",M41+K41+H41)</f>
        <v>#N/A</v>
      </c>
      <c r="Q41" s="204"/>
      <c r="R41" s="200" t="e">
        <f aca="false">IF($A42="","",VLOOKUP($A41,Table,MATCH(R$4,Curves,0)))</f>
        <v>#N/A</v>
      </c>
      <c r="S41" s="201" t="e">
        <f aca="false">IF(A42="","",R41)</f>
        <v>#N/A</v>
      </c>
      <c r="T41" s="185" t="n">
        <v>0</v>
      </c>
      <c r="U41" s="201" t="n">
        <f aca="false">IF(A42="","",T41)</f>
        <v>0</v>
      </c>
      <c r="V41" s="205" t="e">
        <f aca="false">IF($A42="","",IF(AND(MONTH(A41)&gt;3,MONTH(A41)&lt;11),(T41+R41+G41)*Summary!$T$11/(1-Summary!$T$11),(T41+R41+G41)*Summary!$U$11/(1-Summary!$U$11)))</f>
        <v>#N/A</v>
      </c>
      <c r="W41" s="202" t="e">
        <f aca="false">IF($A42="","",(T41+R41+G41+V41))</f>
        <v>#N/A</v>
      </c>
      <c r="X41" s="202" t="e">
        <f aca="false">IF($A42="","",(U41+S41+H41+V41))</f>
        <v>#N/A</v>
      </c>
      <c r="Y41" s="202"/>
      <c r="Z41" s="185" t="e">
        <f aca="false">IF($A42="","",VLOOKUP($A41,Table,MATCH(Z$4,Curves,0)))</f>
        <v>#N/A</v>
      </c>
      <c r="AA41" s="185" t="e">
        <f aca="false">IF($A42="","",VLOOKUP($A41,Table,MATCH(AA$4,Curves,0)))</f>
        <v>#N/A</v>
      </c>
      <c r="AB41" s="185" t="e">
        <f aca="false">SQRT((AA41^2*(A41-$D$3)+Z41^2*(DAY(EOMONTH(A41,0))/2))/AK41)</f>
        <v>#N/A</v>
      </c>
      <c r="AC41" s="185" t="e">
        <f aca="false">IF($A42="","",VLOOKUP($A41,Table,MATCH(AC$4,Curves,0)))</f>
        <v>#N/A</v>
      </c>
      <c r="AD41" s="185" t="e">
        <f aca="false">IF($A42="","",VLOOKUP($A41,Table,MATCH(AD$4,Curves,0)))</f>
        <v>#N/A</v>
      </c>
      <c r="AE41" s="185" t="e">
        <f aca="false">SQRT((AD41^2*(A41-$D$3)+AC41^2*(DAY(EOMONTH(A41,0))/2))/AK41)</f>
        <v>#N/A</v>
      </c>
      <c r="AF41" s="206" t="e">
        <f aca="false">((Summary!$N$11*(AA41*AD41)*(A41-$D$3))+(Summary!$M$11*Z41*AC41*(AJ41-EOMONTH(EDATE(A41,-1),0))))/(AK41*AB41*AE41)</f>
        <v>#N/A</v>
      </c>
      <c r="AG41" s="207" t="n">
        <f aca="false">IF($A42="","",Summary!$Q$11)</f>
        <v>0</v>
      </c>
      <c r="AH41" s="207" t="n">
        <f aca="false">IF($A42="","",IF(Summary!$R$11="Y",(VLOOKUP($A41,Summary!$AD$6:$AF$9,3)+'Escalating commodity'!G54),'Escalating commodity'!G54))</f>
        <v>0.00515716785574898</v>
      </c>
      <c r="AI41" s="207" t="n">
        <f aca="false">IF($A42="","",AH41)</f>
        <v>0.00515716785574898</v>
      </c>
      <c r="AJ41" s="208" t="n">
        <f aca="false">A41+DAY(EOMONTH(A41,0))/2-1</f>
        <v>38001.5</v>
      </c>
      <c r="AK41" s="209" t="n">
        <f aca="false">IF($A42="","",$A41-$E$1)</f>
        <v>-7939</v>
      </c>
      <c r="AL41" s="182" t="e">
        <f aca="false">IF($A42="","",SPRDOPT(P41,X41,AI41,0,AB41,AE41,AF41,AK41,$AJ$2,0))</f>
        <v>#NAME?</v>
      </c>
      <c r="AM41" s="210" t="e">
        <f aca="false">IF($A42="","",MAX(0,O41-W41-AI41))</f>
        <v>#N/A</v>
      </c>
      <c r="AN41" s="211" t="e">
        <f aca="false">IF($A42="","",AL41-AM41)</f>
        <v>#N/A</v>
      </c>
      <c r="AO41" s="137" t="n">
        <f aca="false">IF(A42="","",A42-A41)</f>
        <v>31</v>
      </c>
      <c r="AP41" s="212" t="n">
        <f aca="false">IF(A42="","",CHOOSE(F$3,A42+24,A41))</f>
        <v>37987</v>
      </c>
      <c r="AQ41" s="209" t="n">
        <f aca="false">IF(A42="","",AP41-$E$1)</f>
        <v>-7939</v>
      </c>
      <c r="AR41" s="185" t="n">
        <f aca="false">'ANR OK vs ML7'!AR41</f>
        <v>0.1</v>
      </c>
      <c r="AS41" s="213" t="n">
        <f aca="false">IF(A42="","",1/(1+CHOOSE(F$3,(AR42+($I$3/10000))/2,(AR41+($I$3/10000))/2))^(2*AQ41/365.25))</f>
        <v>8.33935809936448</v>
      </c>
      <c r="AT41" s="137" t="n">
        <f aca="false">IF(A42="","",IF(AND(mthbeg&lt;=A41,mthend&gt;=A41),1,0))</f>
        <v>1</v>
      </c>
      <c r="AU41" s="137" t="n">
        <f aca="false">IF(A42="","",AO41*AT41)</f>
        <v>31</v>
      </c>
      <c r="AW41" s="195" t="e">
        <f aca="false">IF($A42="","",AL41*$E41)</f>
        <v>#NAME?</v>
      </c>
      <c r="AX41" s="195" t="e">
        <f aca="false">IF($A42="","",AM41*$E41)</f>
        <v>#N/A</v>
      </c>
      <c r="AY41" s="195" t="e">
        <f aca="false">IF($A42="","",AN41*$E41)</f>
        <v>#N/A</v>
      </c>
      <c r="BA41" s="195" t="n">
        <f aca="false">IF($A42="","",F41*Summary!$Q$11)</f>
        <v>0</v>
      </c>
      <c r="BC41" s="179" t="e">
        <f aca="false">IF(A42="","",AM41*F41)</f>
        <v>#N/A</v>
      </c>
    </row>
    <row r="42" customFormat="false" ht="12.75" hidden="false" customHeight="false" outlineLevel="0" collapsed="false">
      <c r="A42" s="196" t="n">
        <f aca="false">IF(A41&lt;mthend,EDATE(A41,1),"")</f>
        <v>38018</v>
      </c>
      <c r="B42" s="197" t="n">
        <f aca="false">IF(A42&lt;mthend,B41,"")</f>
        <v>124142</v>
      </c>
      <c r="C42" s="215"/>
      <c r="D42" s="197" t="n">
        <f aca="false">IF(A43&lt;&gt;"",B42+C42,"")</f>
        <v>124142</v>
      </c>
      <c r="E42" s="199" t="n">
        <f aca="false">IF(A43="","",IF(AND(AT42=1,$H$3=1),D42*AO42,IF($H$3=2,D42,"N/A")))</f>
        <v>3600118</v>
      </c>
      <c r="F42" s="199" t="n">
        <f aca="false">IF(A43="","",E42*AS42)</f>
        <v>29775053.0777226</v>
      </c>
      <c r="G42" s="200" t="e">
        <f aca="false">IF($A43="","",VLOOKUP($A42,Table,MATCH(G$4,Curves,0)))</f>
        <v>#N/A</v>
      </c>
      <c r="H42" s="201" t="e">
        <f aca="false">IF(A43="","",G42)</f>
        <v>#N/A</v>
      </c>
      <c r="I42" s="202"/>
      <c r="J42" s="200" t="e">
        <f aca="false">IF($A43="","",VLOOKUP($A42,Table,MATCH(J$4,Curves,0)))</f>
        <v>#N/A</v>
      </c>
      <c r="K42" s="201" t="e">
        <f aca="false">IF(A43="","",J42)</f>
        <v>#N/A</v>
      </c>
      <c r="L42" s="200" t="e">
        <f aca="false">IF($A43="","",VLOOKUP($A42,Table,MATCH(L$4,Curves,0)))</f>
        <v>#N/A</v>
      </c>
      <c r="M42" s="201" t="e">
        <f aca="false">IF(A43="","",L42)</f>
        <v>#N/A</v>
      </c>
      <c r="N42" s="203"/>
      <c r="O42" s="200" t="e">
        <f aca="false">IF(A43="","",L42+J42+G42)</f>
        <v>#N/A</v>
      </c>
      <c r="P42" s="200" t="e">
        <f aca="false">IF(A43="","",M42+K42+H42)</f>
        <v>#N/A</v>
      </c>
      <c r="Q42" s="204"/>
      <c r="R42" s="200" t="e">
        <f aca="false">IF($A43="","",VLOOKUP($A42,Table,MATCH(R$4,Curves,0)))</f>
        <v>#N/A</v>
      </c>
      <c r="S42" s="201" t="e">
        <f aca="false">IF(A43="","",R42)</f>
        <v>#N/A</v>
      </c>
      <c r="T42" s="185" t="n">
        <v>0</v>
      </c>
      <c r="U42" s="201" t="n">
        <f aca="false">IF(A43="","",T42)</f>
        <v>0</v>
      </c>
      <c r="V42" s="205" t="e">
        <f aca="false">IF($A43="","",IF(AND(MONTH(A42)&gt;3,MONTH(A42)&lt;11),(T42+R42+G42)*Summary!$T$11/(1-Summary!$T$11),(T42+R42+G42)*Summary!$U$11/(1-Summary!$U$11)))</f>
        <v>#N/A</v>
      </c>
      <c r="W42" s="202" t="e">
        <f aca="false">IF($A43="","",(T42+R42+G42+V42))</f>
        <v>#N/A</v>
      </c>
      <c r="X42" s="202" t="e">
        <f aca="false">IF($A43="","",(U42+S42+H42+V42))</f>
        <v>#N/A</v>
      </c>
      <c r="Y42" s="202"/>
      <c r="Z42" s="185" t="e">
        <f aca="false">IF($A43="","",VLOOKUP($A42,Table,MATCH(Z$4,Curves,0)))</f>
        <v>#N/A</v>
      </c>
      <c r="AA42" s="185" t="e">
        <f aca="false">IF($A43="","",VLOOKUP($A42,Table,MATCH(AA$4,Curves,0)))</f>
        <v>#N/A</v>
      </c>
      <c r="AB42" s="185" t="e">
        <f aca="false">SQRT((AA42^2*(A42-$D$3)+Z42^2*(DAY(EOMONTH(A42,0))/2))/AK42)</f>
        <v>#N/A</v>
      </c>
      <c r="AC42" s="185" t="e">
        <f aca="false">IF($A43="","",VLOOKUP($A42,Table,MATCH(AC$4,Curves,0)))</f>
        <v>#N/A</v>
      </c>
      <c r="AD42" s="185" t="e">
        <f aca="false">IF($A43="","",VLOOKUP($A42,Table,MATCH(AD$4,Curves,0)))</f>
        <v>#N/A</v>
      </c>
      <c r="AE42" s="185" t="e">
        <f aca="false">SQRT((AD42^2*(A42-$D$3)+AC42^2*(DAY(EOMONTH(A42,0))/2))/AK42)</f>
        <v>#N/A</v>
      </c>
      <c r="AF42" s="206" t="e">
        <f aca="false">((Summary!$N$11*(AA42*AD42)*(A42-$D$3))+(Summary!$M$11*Z42*AC42*(AJ42-EOMONTH(EDATE(A42,-1),0))))/(AK42*AB42*AE42)</f>
        <v>#N/A</v>
      </c>
      <c r="AG42" s="207" t="n">
        <f aca="false">IF($A43="","",Summary!$Q$11)</f>
        <v>0</v>
      </c>
      <c r="AH42" s="207" t="n">
        <f aca="false">IF($A43="","",IF(Summary!$R$11="Y",(VLOOKUP($A42,Summary!$AD$6:$AF$9,3)+'Escalating commodity'!G55),'Escalating commodity'!G55))</f>
        <v>0.00515716785574898</v>
      </c>
      <c r="AI42" s="207" t="n">
        <f aca="false">IF($A43="","",AH42)</f>
        <v>0.00515716785574898</v>
      </c>
      <c r="AJ42" s="208" t="n">
        <f aca="false">A42+DAY(EOMONTH(A42,0))/2-1</f>
        <v>38031.5</v>
      </c>
      <c r="AK42" s="209" t="n">
        <f aca="false">IF($A43="","",$A42-$E$1)</f>
        <v>-7908</v>
      </c>
      <c r="AL42" s="182" t="e">
        <f aca="false">IF($A43="","",SPRDOPT(P42,X42,AI42,0,AB42,AE42,AF42,AK42,$AJ$2,0))</f>
        <v>#NAME?</v>
      </c>
      <c r="AM42" s="210" t="e">
        <f aca="false">IF($A43="","",MAX(0,O42-W42-AI42))</f>
        <v>#N/A</v>
      </c>
      <c r="AN42" s="211" t="e">
        <f aca="false">IF($A43="","",AL42-AM42)</f>
        <v>#N/A</v>
      </c>
      <c r="AO42" s="137" t="n">
        <f aca="false">IF(A43="","",A43-A42)</f>
        <v>29</v>
      </c>
      <c r="AP42" s="212" t="n">
        <f aca="false">IF(A43="","",CHOOSE(F$3,A43+24,A42))</f>
        <v>38018</v>
      </c>
      <c r="AQ42" s="209" t="n">
        <f aca="false">IF(A43="","",AP42-$E$1)</f>
        <v>-7908</v>
      </c>
      <c r="AR42" s="185" t="n">
        <f aca="false">'ANR OK vs ML7'!AR42</f>
        <v>0.1</v>
      </c>
      <c r="AS42" s="213" t="n">
        <f aca="false">IF(A43="","",1/(1+CHOOSE(F$3,(AR43+($I$3/10000))/2,(AR42+($I$3/10000))/2))^(2*AQ42/365.25))</f>
        <v>8.27057698601063</v>
      </c>
      <c r="AT42" s="137" t="n">
        <f aca="false">IF(A43="","",IF(AND(mthbeg&lt;=A42,mthend&gt;=A42),1,0))</f>
        <v>1</v>
      </c>
      <c r="AU42" s="137" t="n">
        <f aca="false">IF(A43="","",AO42*AT42)</f>
        <v>29</v>
      </c>
      <c r="AW42" s="195" t="e">
        <f aca="false">IF($A43="","",AL42*$E42)</f>
        <v>#NAME?</v>
      </c>
      <c r="AX42" s="195" t="e">
        <f aca="false">IF($A43="","",AM42*$E42)</f>
        <v>#N/A</v>
      </c>
      <c r="AY42" s="195" t="e">
        <f aca="false">IF($A43="","",AN42*$E42)</f>
        <v>#N/A</v>
      </c>
      <c r="BA42" s="195" t="n">
        <f aca="false">IF($A43="","",F42*Summary!$Q$11)</f>
        <v>0</v>
      </c>
      <c r="BC42" s="179" t="e">
        <f aca="false">IF(A43="","",AM42*F42)</f>
        <v>#N/A</v>
      </c>
    </row>
    <row r="43" customFormat="false" ht="12.75" hidden="false" customHeight="false" outlineLevel="0" collapsed="false">
      <c r="A43" s="196" t="n">
        <f aca="false">IF(A42&lt;mthend,EDATE(A42,1),"")</f>
        <v>38047</v>
      </c>
      <c r="B43" s="197" t="n">
        <f aca="false">IF(A43&lt;mthend,B42,"")</f>
        <v>124142</v>
      </c>
      <c r="C43" s="215"/>
      <c r="D43" s="197" t="n">
        <f aca="false">IF(A44&lt;&gt;"",B43+C43,"")</f>
        <v>124142</v>
      </c>
      <c r="E43" s="199" t="n">
        <f aca="false">IF(A44="","",IF(AND(AT43=1,$H$3=1),D43*AO43,IF($H$3=2,D43,"N/A")))</f>
        <v>3848402</v>
      </c>
      <c r="F43" s="199" t="n">
        <f aca="false">IF(A44="","",E43*AS43)</f>
        <v>31582861.6741143</v>
      </c>
      <c r="G43" s="200" t="e">
        <f aca="false">IF($A44="","",VLOOKUP($A43,Table,MATCH(G$4,Curves,0)))</f>
        <v>#N/A</v>
      </c>
      <c r="H43" s="201" t="e">
        <f aca="false">IF(A44="","",G43)</f>
        <v>#N/A</v>
      </c>
      <c r="I43" s="202"/>
      <c r="J43" s="200" t="e">
        <f aca="false">IF($A44="","",VLOOKUP($A43,Table,MATCH(J$4,Curves,0)))</f>
        <v>#N/A</v>
      </c>
      <c r="K43" s="201" t="e">
        <f aca="false">IF(A44="","",J43)</f>
        <v>#N/A</v>
      </c>
      <c r="L43" s="200" t="e">
        <f aca="false">IF($A44="","",VLOOKUP($A43,Table,MATCH(L$4,Curves,0)))</f>
        <v>#N/A</v>
      </c>
      <c r="M43" s="201" t="e">
        <f aca="false">IF(A44="","",L43)</f>
        <v>#N/A</v>
      </c>
      <c r="N43" s="203"/>
      <c r="O43" s="200" t="e">
        <f aca="false">IF(A44="","",L43+J43+G43)</f>
        <v>#N/A</v>
      </c>
      <c r="P43" s="200" t="e">
        <f aca="false">IF(A44="","",M43+K43+H43)</f>
        <v>#N/A</v>
      </c>
      <c r="Q43" s="204"/>
      <c r="R43" s="200" t="e">
        <f aca="false">IF($A44="","",VLOOKUP($A43,Table,MATCH(R$4,Curves,0)))</f>
        <v>#N/A</v>
      </c>
      <c r="S43" s="201" t="e">
        <f aca="false">IF(A44="","",R43)</f>
        <v>#N/A</v>
      </c>
      <c r="T43" s="185" t="n">
        <v>0</v>
      </c>
      <c r="U43" s="201" t="n">
        <f aca="false">IF(A44="","",T43)</f>
        <v>0</v>
      </c>
      <c r="V43" s="205" t="e">
        <f aca="false">IF($A44="","",IF(AND(MONTH(A43)&gt;3,MONTH(A43)&lt;11),(T43+R43+G43)*Summary!$T$11/(1-Summary!$T$11),(T43+R43+G43)*Summary!$U$11/(1-Summary!$U$11)))</f>
        <v>#N/A</v>
      </c>
      <c r="W43" s="202" t="e">
        <f aca="false">IF($A44="","",(T43+R43+G43+V43))</f>
        <v>#N/A</v>
      </c>
      <c r="X43" s="202" t="e">
        <f aca="false">IF($A44="","",(U43+S43+H43+V43))</f>
        <v>#N/A</v>
      </c>
      <c r="Y43" s="202"/>
      <c r="Z43" s="185" t="e">
        <f aca="false">IF($A44="","",VLOOKUP($A43,Table,MATCH(Z$4,Curves,0)))</f>
        <v>#N/A</v>
      </c>
      <c r="AA43" s="185" t="e">
        <f aca="false">IF($A44="","",VLOOKUP($A43,Table,MATCH(AA$4,Curves,0)))</f>
        <v>#N/A</v>
      </c>
      <c r="AB43" s="185" t="e">
        <f aca="false">SQRT((AA43^2*(A43-$D$3)+Z43^2*(DAY(EOMONTH(A43,0))/2))/AK43)</f>
        <v>#N/A</v>
      </c>
      <c r="AC43" s="185" t="e">
        <f aca="false">IF($A44="","",VLOOKUP($A43,Table,MATCH(AC$4,Curves,0)))</f>
        <v>#N/A</v>
      </c>
      <c r="AD43" s="185" t="e">
        <f aca="false">IF($A44="","",VLOOKUP($A43,Table,MATCH(AD$4,Curves,0)))</f>
        <v>#N/A</v>
      </c>
      <c r="AE43" s="185" t="e">
        <f aca="false">SQRT((AD43^2*(A43-$D$3)+AC43^2*(DAY(EOMONTH(A43,0))/2))/AK43)</f>
        <v>#N/A</v>
      </c>
      <c r="AF43" s="206" t="e">
        <f aca="false">((Summary!$N$11*(AA43*AD43)*(A43-$D$3))+(Summary!$M$11*Z43*AC43*(AJ43-EOMONTH(EDATE(A43,-1),0))))/(AK43*AB43*AE43)</f>
        <v>#N/A</v>
      </c>
      <c r="AG43" s="207" t="n">
        <f aca="false">IF($A44="","",Summary!$Q$11)</f>
        <v>0</v>
      </c>
      <c r="AH43" s="207" t="n">
        <f aca="false">IF($A44="","",IF(Summary!$R$11="Y",(VLOOKUP($A43,Summary!$AD$6:$AF$9,3)+'Escalating commodity'!G56),'Escalating commodity'!G56))</f>
        <v>0.00515716785574898</v>
      </c>
      <c r="AI43" s="207" t="n">
        <f aca="false">IF($A44="","",AH43)</f>
        <v>0.00515716785574898</v>
      </c>
      <c r="AJ43" s="208" t="n">
        <f aca="false">A43+DAY(EOMONTH(A43,0))/2-1</f>
        <v>38061.5</v>
      </c>
      <c r="AK43" s="209" t="n">
        <f aca="false">IF($A44="","",$A43-$E$1)</f>
        <v>-7879</v>
      </c>
      <c r="AL43" s="182" t="e">
        <f aca="false">IF($A44="","",SPRDOPT(P43,X43,AI43,0,AB43,AE43,AF43,AK43,$AJ$2,0))</f>
        <v>#NAME?</v>
      </c>
      <c r="AM43" s="210" t="e">
        <f aca="false">IF($A44="","",MAX(0,O43-W43-AI43))</f>
        <v>#N/A</v>
      </c>
      <c r="AN43" s="211" t="e">
        <f aca="false">IF($A44="","",AL43-AM43)</f>
        <v>#N/A</v>
      </c>
      <c r="AO43" s="137" t="n">
        <f aca="false">IF(A44="","",A44-A43)</f>
        <v>31</v>
      </c>
      <c r="AP43" s="212" t="n">
        <f aca="false">IF(A44="","",CHOOSE(F$3,A44+24,A43))</f>
        <v>38047</v>
      </c>
      <c r="AQ43" s="209" t="n">
        <f aca="false">IF(A44="","",AP43-$E$1)</f>
        <v>-7879</v>
      </c>
      <c r="AR43" s="185" t="n">
        <f aca="false">'ANR OK vs ML7'!AR43</f>
        <v>0.1</v>
      </c>
      <c r="AS43" s="213" t="n">
        <f aca="false">IF(A44="","",1/(1+CHOOSE(F$3,(AR44+($I$3/10000))/2,(AR43+($I$3/10000))/2))^(2*AQ43/365.25))</f>
        <v>8.20674702749722</v>
      </c>
      <c r="AT43" s="137" t="n">
        <f aca="false">IF(A44="","",IF(AND(mthbeg&lt;=A43,mthend&gt;=A43),1,0))</f>
        <v>1</v>
      </c>
      <c r="AU43" s="137" t="n">
        <f aca="false">IF(A44="","",AO43*AT43)</f>
        <v>31</v>
      </c>
      <c r="AW43" s="195" t="e">
        <f aca="false">IF($A44="","",AL43*$E43)</f>
        <v>#NAME?</v>
      </c>
      <c r="AX43" s="195" t="e">
        <f aca="false">IF($A44="","",AM43*$E43)</f>
        <v>#N/A</v>
      </c>
      <c r="AY43" s="195" t="e">
        <f aca="false">IF($A44="","",AN43*$E43)</f>
        <v>#N/A</v>
      </c>
      <c r="BA43" s="195" t="n">
        <f aca="false">IF($A44="","",F43*Summary!$Q$11)</f>
        <v>0</v>
      </c>
      <c r="BC43" s="179" t="e">
        <f aca="false">IF(A44="","",AM43*F43)</f>
        <v>#N/A</v>
      </c>
    </row>
    <row r="44" customFormat="false" ht="12.75" hidden="false" customHeight="false" outlineLevel="0" collapsed="false">
      <c r="A44" s="196" t="n">
        <f aca="false">IF(A43&lt;mthend,EDATE(A43,1),"")</f>
        <v>38078</v>
      </c>
      <c r="B44" s="197" t="n">
        <f aca="false">IF(A44&lt;mthend,B43,"")</f>
        <v>124142</v>
      </c>
      <c r="C44" s="215"/>
      <c r="D44" s="197" t="n">
        <f aca="false">IF(A45&lt;&gt;"",B44+C44,"")</f>
        <v>124142</v>
      </c>
      <c r="E44" s="199" t="n">
        <f aca="false">IF(A45="","",IF(AND(AT44=1,$H$3=1),D44*AO44,IF($H$3=2,D44,"N/A")))</f>
        <v>3724260</v>
      </c>
      <c r="F44" s="199" t="n">
        <f aca="false">IF(A45="","",E44*AS44)</f>
        <v>30311974.3288148</v>
      </c>
      <c r="G44" s="200" t="e">
        <f aca="false">IF($A45="","",VLOOKUP($A44,Table,MATCH(G$4,Curves,0)))</f>
        <v>#N/A</v>
      </c>
      <c r="H44" s="201" t="e">
        <f aca="false">IF(A45="","",G44)</f>
        <v>#N/A</v>
      </c>
      <c r="I44" s="202"/>
      <c r="J44" s="200" t="e">
        <f aca="false">IF($A45="","",VLOOKUP($A44,Table,MATCH(J$4,Curves,0)))</f>
        <v>#N/A</v>
      </c>
      <c r="K44" s="201" t="e">
        <f aca="false">IF(A45="","",J44)</f>
        <v>#N/A</v>
      </c>
      <c r="L44" s="200" t="e">
        <f aca="false">IF($A45="","",VLOOKUP($A44,Table,MATCH(L$4,Curves,0)))</f>
        <v>#N/A</v>
      </c>
      <c r="M44" s="201" t="e">
        <f aca="false">IF(A45="","",L44)</f>
        <v>#N/A</v>
      </c>
      <c r="N44" s="203"/>
      <c r="O44" s="200" t="e">
        <f aca="false">IF(A45="","",L44+J44+G44)</f>
        <v>#N/A</v>
      </c>
      <c r="P44" s="200" t="e">
        <f aca="false">IF(A45="","",M44+K44+H44)</f>
        <v>#N/A</v>
      </c>
      <c r="Q44" s="204"/>
      <c r="R44" s="200" t="e">
        <f aca="false">IF($A45="","",VLOOKUP($A44,Table,MATCH(R$4,Curves,0)))</f>
        <v>#N/A</v>
      </c>
      <c r="S44" s="201" t="e">
        <f aca="false">IF(A45="","",R44)</f>
        <v>#N/A</v>
      </c>
      <c r="T44" s="185" t="n">
        <v>0</v>
      </c>
      <c r="U44" s="201" t="n">
        <f aca="false">IF(A45="","",T44)</f>
        <v>0</v>
      </c>
      <c r="V44" s="205" t="e">
        <f aca="false">IF($A45="","",IF(AND(MONTH(A44)&gt;3,MONTH(A44)&lt;11),(T44+R44+G44)*Summary!$T$11/(1-Summary!$T$11),(T44+R44+G44)*Summary!$U$11/(1-Summary!$U$11)))</f>
        <v>#N/A</v>
      </c>
      <c r="W44" s="202" t="e">
        <f aca="false">IF($A45="","",(T44+R44+G44+V44))</f>
        <v>#N/A</v>
      </c>
      <c r="X44" s="202" t="e">
        <f aca="false">IF($A45="","",(U44+S44+H44+V44))</f>
        <v>#N/A</v>
      </c>
      <c r="Y44" s="202"/>
      <c r="Z44" s="185" t="e">
        <f aca="false">IF($A45="","",VLOOKUP($A44,Table,MATCH(Z$4,Curves,0)))</f>
        <v>#N/A</v>
      </c>
      <c r="AA44" s="185" t="e">
        <f aca="false">IF($A45="","",VLOOKUP($A44,Table,MATCH(AA$4,Curves,0)))</f>
        <v>#N/A</v>
      </c>
      <c r="AB44" s="185" t="e">
        <f aca="false">SQRT((AA44^2*(A44-$D$3)+Z44^2*(DAY(EOMONTH(A44,0))/2))/AK44)</f>
        <v>#N/A</v>
      </c>
      <c r="AC44" s="185" t="e">
        <f aca="false">IF($A45="","",VLOOKUP($A44,Table,MATCH(AC$4,Curves,0)))</f>
        <v>#N/A</v>
      </c>
      <c r="AD44" s="185" t="e">
        <f aca="false">IF($A45="","",VLOOKUP($A44,Table,MATCH(AD$4,Curves,0)))</f>
        <v>#N/A</v>
      </c>
      <c r="AE44" s="185" t="e">
        <f aca="false">SQRT((AD44^2*(A44-$D$3)+AC44^2*(DAY(EOMONTH(A44,0))/2))/AK44)</f>
        <v>#N/A</v>
      </c>
      <c r="AF44" s="206" t="e">
        <f aca="false">((Summary!$N$11*(AA44*AD44)*(A44-$D$3))+(Summary!$M$11*Z44*AC44*(AJ44-EOMONTH(EDATE(A44,-1),0))))/(AK44*AB44*AE44)</f>
        <v>#N/A</v>
      </c>
      <c r="AG44" s="207" t="n">
        <f aca="false">IF($A45="","",Summary!$Q$11)</f>
        <v>0</v>
      </c>
      <c r="AH44" s="207" t="n">
        <f aca="false">IF($A45="","",IF(Summary!$R$11="Y",(VLOOKUP($A44,Summary!$AD$6:$AF$9,3)+'Escalating commodity'!G57),'Escalating commodity'!G57))</f>
        <v>0.00515716785574898</v>
      </c>
      <c r="AI44" s="207" t="n">
        <f aca="false">IF($A45="","",AH44)</f>
        <v>0.00515716785574898</v>
      </c>
      <c r="AJ44" s="208" t="n">
        <f aca="false">A44+DAY(EOMONTH(A44,0))/2-1</f>
        <v>38092</v>
      </c>
      <c r="AK44" s="209" t="n">
        <f aca="false">IF($A45="","",$A44-$E$1)</f>
        <v>-7848</v>
      </c>
      <c r="AL44" s="182" t="e">
        <f aca="false">IF($A45="","",SPRDOPT(P44,X44,AI44,0,AB44,AE44,AF44,AK44,$AJ$2,0))</f>
        <v>#NAME?</v>
      </c>
      <c r="AM44" s="210" t="e">
        <f aca="false">IF($A45="","",MAX(0,O44-W44-AI44))</f>
        <v>#N/A</v>
      </c>
      <c r="AN44" s="211" t="e">
        <f aca="false">IF($A45="","",AL44-AM44)</f>
        <v>#N/A</v>
      </c>
      <c r="AO44" s="137" t="n">
        <f aca="false">IF(A45="","",A45-A44)</f>
        <v>30</v>
      </c>
      <c r="AP44" s="212" t="n">
        <f aca="false">IF(A45="","",CHOOSE(F$3,A45+24,A44))</f>
        <v>38078</v>
      </c>
      <c r="AQ44" s="209" t="n">
        <f aca="false">IF(A45="","",AP44-$E$1)</f>
        <v>-7848</v>
      </c>
      <c r="AR44" s="185" t="n">
        <f aca="false">'ANR OK vs ML7'!AR44</f>
        <v>0.1</v>
      </c>
      <c r="AS44" s="213" t="n">
        <f aca="false">IF(A45="","",1/(1+CHOOSE(F$3,(AR45+($I$3/10000))/2,(AR44+($I$3/10000))/2))^(2*AQ44/365.25))</f>
        <v>8.13905965985585</v>
      </c>
      <c r="AT44" s="137" t="n">
        <f aca="false">IF(A45="","",IF(AND(mthbeg&lt;=A44,mthend&gt;=A44),1,0))</f>
        <v>1</v>
      </c>
      <c r="AU44" s="137" t="n">
        <f aca="false">IF(A45="","",AO44*AT44)</f>
        <v>30</v>
      </c>
      <c r="AW44" s="195" t="e">
        <f aca="false">IF($A45="","",AL44*$E44)</f>
        <v>#NAME?</v>
      </c>
      <c r="AX44" s="195" t="e">
        <f aca="false">IF($A45="","",AM44*$E44)</f>
        <v>#N/A</v>
      </c>
      <c r="AY44" s="195" t="e">
        <f aca="false">IF($A45="","",AN44*$E44)</f>
        <v>#N/A</v>
      </c>
      <c r="BA44" s="195" t="n">
        <f aca="false">IF($A45="","",F44*Summary!$Q$11)</f>
        <v>0</v>
      </c>
      <c r="BC44" s="179" t="e">
        <f aca="false">IF(A45="","",AM44*F44)</f>
        <v>#N/A</v>
      </c>
    </row>
    <row r="45" customFormat="false" ht="12.75" hidden="false" customHeight="false" outlineLevel="0" collapsed="false">
      <c r="A45" s="196" t="n">
        <f aca="false">IF(A44&lt;mthend,EDATE(A44,1),"")</f>
        <v>38108</v>
      </c>
      <c r="B45" s="197" t="n">
        <f aca="false">IF(A45&lt;mthend,B44,"")</f>
        <v>124142</v>
      </c>
      <c r="C45" s="215"/>
      <c r="D45" s="197" t="n">
        <f aca="false">IF(A46&lt;&gt;"",B45+C45,"")</f>
        <v>124142</v>
      </c>
      <c r="E45" s="199" t="n">
        <f aca="false">IF(A46="","",IF(AND(AT45=1,$H$3=1),D45*AO45,IF($H$3=2,D45,"N/A")))</f>
        <v>3848402</v>
      </c>
      <c r="F45" s="199" t="n">
        <f aca="false">IF(A46="","",E45*AS45)</f>
        <v>31072333.9067589</v>
      </c>
      <c r="G45" s="200" t="e">
        <f aca="false">IF($A46="","",VLOOKUP($A45,Table,MATCH(G$4,Curves,0)))</f>
        <v>#N/A</v>
      </c>
      <c r="H45" s="201" t="e">
        <f aca="false">IF(A46="","",G45)</f>
        <v>#N/A</v>
      </c>
      <c r="I45" s="202"/>
      <c r="J45" s="200" t="e">
        <f aca="false">IF($A46="","",VLOOKUP($A45,Table,MATCH(J$4,Curves,0)))</f>
        <v>#N/A</v>
      </c>
      <c r="K45" s="201" t="e">
        <f aca="false">IF(A46="","",J45)</f>
        <v>#N/A</v>
      </c>
      <c r="L45" s="200" t="e">
        <f aca="false">IF($A46="","",VLOOKUP($A45,Table,MATCH(L$4,Curves,0)))</f>
        <v>#N/A</v>
      </c>
      <c r="M45" s="201" t="e">
        <f aca="false">IF(A46="","",L45)</f>
        <v>#N/A</v>
      </c>
      <c r="N45" s="203"/>
      <c r="O45" s="200" t="e">
        <f aca="false">IF(A46="","",L45+J45+G45)</f>
        <v>#N/A</v>
      </c>
      <c r="P45" s="200" t="e">
        <f aca="false">IF(A46="","",M45+K45+H45)</f>
        <v>#N/A</v>
      </c>
      <c r="Q45" s="204"/>
      <c r="R45" s="200" t="e">
        <f aca="false">IF($A46="","",VLOOKUP($A45,Table,MATCH(R$4,Curves,0)))</f>
        <v>#N/A</v>
      </c>
      <c r="S45" s="201" t="e">
        <f aca="false">IF(A46="","",R45)</f>
        <v>#N/A</v>
      </c>
      <c r="T45" s="185" t="n">
        <v>0</v>
      </c>
      <c r="U45" s="201" t="n">
        <f aca="false">IF(A46="","",T45)</f>
        <v>0</v>
      </c>
      <c r="V45" s="205" t="e">
        <f aca="false">IF($A46="","",IF(AND(MONTH(A45)&gt;3,MONTH(A45)&lt;11),(T45+R45+G45)*Summary!$T$11/(1-Summary!$T$11),(T45+R45+G45)*Summary!$U$11/(1-Summary!$U$11)))</f>
        <v>#N/A</v>
      </c>
      <c r="W45" s="202" t="e">
        <f aca="false">IF($A46="","",(T45+R45+G45+V45))</f>
        <v>#N/A</v>
      </c>
      <c r="X45" s="202" t="e">
        <f aca="false">IF($A46="","",(U45+S45+H45+V45))</f>
        <v>#N/A</v>
      </c>
      <c r="Y45" s="202"/>
      <c r="Z45" s="185" t="e">
        <f aca="false">IF($A46="","",VLOOKUP($A45,Table,MATCH(Z$4,Curves,0)))</f>
        <v>#N/A</v>
      </c>
      <c r="AA45" s="185" t="e">
        <f aca="false">IF($A46="","",VLOOKUP($A45,Table,MATCH(AA$4,Curves,0)))</f>
        <v>#N/A</v>
      </c>
      <c r="AB45" s="185" t="e">
        <f aca="false">SQRT((AA45^2*(A45-$D$3)+Z45^2*(DAY(EOMONTH(A45,0))/2))/AK45)</f>
        <v>#N/A</v>
      </c>
      <c r="AC45" s="185" t="e">
        <f aca="false">IF($A46="","",VLOOKUP($A45,Table,MATCH(AC$4,Curves,0)))</f>
        <v>#N/A</v>
      </c>
      <c r="AD45" s="185" t="e">
        <f aca="false">IF($A46="","",VLOOKUP($A45,Table,MATCH(AD$4,Curves,0)))</f>
        <v>#N/A</v>
      </c>
      <c r="AE45" s="185" t="e">
        <f aca="false">SQRT((AD45^2*(A45-$D$3)+AC45^2*(DAY(EOMONTH(A45,0))/2))/AK45)</f>
        <v>#N/A</v>
      </c>
      <c r="AF45" s="206" t="e">
        <f aca="false">((Summary!$N$11*(AA45*AD45)*(A45-$D$3))+(Summary!$M$11*Z45*AC45*(AJ45-EOMONTH(EDATE(A45,-1),0))))/(AK45*AB45*AE45)</f>
        <v>#N/A</v>
      </c>
      <c r="AG45" s="207" t="n">
        <f aca="false">IF($A46="","",Summary!$Q$11)</f>
        <v>0</v>
      </c>
      <c r="AH45" s="207" t="n">
        <f aca="false">IF($A46="","",IF(Summary!$R$11="Y",(VLOOKUP($A45,Summary!$AD$6:$AF$9,3)+'Escalating commodity'!G58),'Escalating commodity'!G58))</f>
        <v>0.00515716785574898</v>
      </c>
      <c r="AI45" s="207" t="n">
        <f aca="false">IF($A46="","",AH45)</f>
        <v>0.00515716785574898</v>
      </c>
      <c r="AJ45" s="208" t="n">
        <f aca="false">A45+DAY(EOMONTH(A45,0))/2-1</f>
        <v>38122.5</v>
      </c>
      <c r="AK45" s="209" t="n">
        <f aca="false">IF($A46="","",$A45-$E$1)</f>
        <v>-7818</v>
      </c>
      <c r="AL45" s="182" t="e">
        <f aca="false">IF($A46="","",SPRDOPT(P45,X45,AI45,0,AB45,AE45,AF45,AK45,$AJ$2,0))</f>
        <v>#NAME?</v>
      </c>
      <c r="AM45" s="210" t="e">
        <f aca="false">IF($A46="","",MAX(0,O45-W45-AI45))</f>
        <v>#N/A</v>
      </c>
      <c r="AN45" s="211" t="e">
        <f aca="false">IF($A46="","",AL45-AM45)</f>
        <v>#N/A</v>
      </c>
      <c r="AO45" s="137" t="n">
        <f aca="false">IF(A46="","",A46-A45)</f>
        <v>31</v>
      </c>
      <c r="AP45" s="212" t="n">
        <f aca="false">IF(A46="","",CHOOSE(F$3,A46+24,A45))</f>
        <v>38108</v>
      </c>
      <c r="AQ45" s="209" t="n">
        <f aca="false">IF(A46="","",AP45-$E$1)</f>
        <v>-7818</v>
      </c>
      <c r="AR45" s="185" t="n">
        <f aca="false">'ANR OK vs ML7'!AR45</f>
        <v>0.1</v>
      </c>
      <c r="AS45" s="213" t="n">
        <f aca="false">IF(A46="","",1/(1+CHOOSE(F$3,(AR46+($I$3/10000))/2,(AR45+($I$3/10000))/2))^(2*AQ45/365.25))</f>
        <v>8.07408735021935</v>
      </c>
      <c r="AT45" s="137" t="n">
        <f aca="false">IF(A46="","",IF(AND(mthbeg&lt;=A45,mthend&gt;=A45),1,0))</f>
        <v>1</v>
      </c>
      <c r="AU45" s="137" t="n">
        <f aca="false">IF(A46="","",AO45*AT45)</f>
        <v>31</v>
      </c>
      <c r="AW45" s="195" t="e">
        <f aca="false">IF($A46="","",AL45*$E45)</f>
        <v>#NAME?</v>
      </c>
      <c r="AX45" s="195" t="e">
        <f aca="false">IF($A46="","",AM45*$E45)</f>
        <v>#N/A</v>
      </c>
      <c r="AY45" s="195" t="e">
        <f aca="false">IF($A46="","",AN45*$E45)</f>
        <v>#N/A</v>
      </c>
      <c r="BA45" s="195" t="n">
        <f aca="false">IF($A46="","",F45*Summary!$Q$11)</f>
        <v>0</v>
      </c>
      <c r="BC45" s="179" t="e">
        <f aca="false">IF(A46="","",AM45*F45)</f>
        <v>#N/A</v>
      </c>
    </row>
    <row r="46" customFormat="false" ht="12.75" hidden="false" customHeight="false" outlineLevel="0" collapsed="false">
      <c r="A46" s="196" t="n">
        <f aca="false">IF(A45&lt;mthend,EDATE(A45,1),"")</f>
        <v>38139</v>
      </c>
      <c r="B46" s="197" t="n">
        <f aca="false">IF(A46&lt;mthend,B45,"")</f>
        <v>124142</v>
      </c>
      <c r="C46" s="215"/>
      <c r="D46" s="197" t="n">
        <f aca="false">IF(A47&lt;&gt;"",B46+C46,"")</f>
        <v>124142</v>
      </c>
      <c r="E46" s="199" t="n">
        <f aca="false">IF(A47="","",IF(AND(AT46=1,$H$3=1),D46*AO46,IF($H$3=2,D46,"N/A")))</f>
        <v>3724260</v>
      </c>
      <c r="F46" s="199" t="n">
        <f aca="false">IF(A47="","",E46*AS46)</f>
        <v>29821990.0855278</v>
      </c>
      <c r="G46" s="200" t="e">
        <f aca="false">IF($A47="","",VLOOKUP($A46,Table,MATCH(G$4,Curves,0)))</f>
        <v>#N/A</v>
      </c>
      <c r="H46" s="201" t="e">
        <f aca="false">IF(A47="","",G46)</f>
        <v>#N/A</v>
      </c>
      <c r="I46" s="202"/>
      <c r="J46" s="200" t="e">
        <f aca="false">IF($A47="","",VLOOKUP($A46,Table,MATCH(J$4,Curves,0)))</f>
        <v>#N/A</v>
      </c>
      <c r="K46" s="201" t="e">
        <f aca="false">IF(A47="","",J46)</f>
        <v>#N/A</v>
      </c>
      <c r="L46" s="200" t="e">
        <f aca="false">IF($A47="","",VLOOKUP($A46,Table,MATCH(L$4,Curves,0)))</f>
        <v>#N/A</v>
      </c>
      <c r="M46" s="201" t="e">
        <f aca="false">IF(A47="","",L46)</f>
        <v>#N/A</v>
      </c>
      <c r="N46" s="203"/>
      <c r="O46" s="200" t="e">
        <f aca="false">IF(A47="","",L46+J46+G46)</f>
        <v>#N/A</v>
      </c>
      <c r="P46" s="200" t="e">
        <f aca="false">IF(A47="","",M46+K46+H46)</f>
        <v>#N/A</v>
      </c>
      <c r="Q46" s="204"/>
      <c r="R46" s="200" t="e">
        <f aca="false">IF($A47="","",VLOOKUP($A46,Table,MATCH(R$4,Curves,0)))</f>
        <v>#N/A</v>
      </c>
      <c r="S46" s="201" t="e">
        <f aca="false">IF(A47="","",R46)</f>
        <v>#N/A</v>
      </c>
      <c r="T46" s="185" t="n">
        <v>0</v>
      </c>
      <c r="U46" s="201" t="n">
        <f aca="false">IF(A47="","",T46)</f>
        <v>0</v>
      </c>
      <c r="V46" s="205" t="e">
        <f aca="false">IF($A47="","",IF(AND(MONTH(A46)&gt;3,MONTH(A46)&lt;11),(T46+R46+G46)*Summary!$T$11/(1-Summary!$T$11),(T46+R46+G46)*Summary!$U$11/(1-Summary!$U$11)))</f>
        <v>#N/A</v>
      </c>
      <c r="W46" s="202" t="e">
        <f aca="false">IF($A47="","",(T46+R46+G46+V46))</f>
        <v>#N/A</v>
      </c>
      <c r="X46" s="202" t="e">
        <f aca="false">IF($A47="","",(U46+S46+H46+V46))</f>
        <v>#N/A</v>
      </c>
      <c r="Y46" s="202"/>
      <c r="Z46" s="185" t="e">
        <f aca="false">IF($A47="","",VLOOKUP($A46,Table,MATCH(Z$4,Curves,0)))</f>
        <v>#N/A</v>
      </c>
      <c r="AA46" s="185" t="e">
        <f aca="false">IF($A47="","",VLOOKUP($A46,Table,MATCH(AA$4,Curves,0)))</f>
        <v>#N/A</v>
      </c>
      <c r="AB46" s="185" t="e">
        <f aca="false">SQRT((AA46^2*(A46-$D$3)+Z46^2*(DAY(EOMONTH(A46,0))/2))/AK46)</f>
        <v>#N/A</v>
      </c>
      <c r="AC46" s="185" t="e">
        <f aca="false">IF($A47="","",VLOOKUP($A46,Table,MATCH(AC$4,Curves,0)))</f>
        <v>#N/A</v>
      </c>
      <c r="AD46" s="185" t="e">
        <f aca="false">IF($A47="","",VLOOKUP($A46,Table,MATCH(AD$4,Curves,0)))</f>
        <v>#N/A</v>
      </c>
      <c r="AE46" s="185" t="e">
        <f aca="false">SQRT((AD46^2*(A46-$D$3)+AC46^2*(DAY(EOMONTH(A46,0))/2))/AK46)</f>
        <v>#N/A</v>
      </c>
      <c r="AF46" s="206" t="e">
        <f aca="false">((Summary!$N$11*(AA46*AD46)*(A46-$D$3))+(Summary!$M$11*Z46*AC46*(AJ46-EOMONTH(EDATE(A46,-1),0))))/(AK46*AB46*AE46)</f>
        <v>#N/A</v>
      </c>
      <c r="AG46" s="207" t="n">
        <f aca="false">IF($A47="","",Summary!$Q$11)</f>
        <v>0</v>
      </c>
      <c r="AH46" s="207" t="n">
        <f aca="false">IF($A47="","",IF(Summary!$R$11="Y",(VLOOKUP($A46,Summary!$AD$6:$AF$9,3)+'Escalating commodity'!G59),'Escalating commodity'!G59))</f>
        <v>0.00515716785574898</v>
      </c>
      <c r="AI46" s="207" t="n">
        <f aca="false">IF($A47="","",AH46)</f>
        <v>0.00515716785574898</v>
      </c>
      <c r="AJ46" s="208" t="n">
        <f aca="false">A46+DAY(EOMONTH(A46,0))/2-1</f>
        <v>38153</v>
      </c>
      <c r="AK46" s="209" t="n">
        <f aca="false">IF($A47="","",$A46-$E$1)</f>
        <v>-7787</v>
      </c>
      <c r="AL46" s="182" t="e">
        <f aca="false">IF($A47="","",SPRDOPT(P46,X46,AI46,0,AB46,AE46,AF46,AK46,$AJ$2,0))</f>
        <v>#NAME?</v>
      </c>
      <c r="AM46" s="210" t="e">
        <f aca="false">IF($A47="","",MAX(0,O46-W46-AI46))</f>
        <v>#N/A</v>
      </c>
      <c r="AN46" s="211" t="e">
        <f aca="false">IF($A47="","",AL46-AM46)</f>
        <v>#N/A</v>
      </c>
      <c r="AO46" s="137" t="n">
        <f aca="false">IF(A47="","",A47-A46)</f>
        <v>30</v>
      </c>
      <c r="AP46" s="212" t="n">
        <f aca="false">IF(A47="","",CHOOSE(F$3,A47+24,A46))</f>
        <v>38139</v>
      </c>
      <c r="AQ46" s="209" t="n">
        <f aca="false">IF(A47="","",AP46-$E$1)</f>
        <v>-7787</v>
      </c>
      <c r="AR46" s="185" t="n">
        <f aca="false">'ANR OK vs ML7'!AR46</f>
        <v>0.1</v>
      </c>
      <c r="AS46" s="213" t="n">
        <f aca="false">IF(A47="","",1/(1+CHOOSE(F$3,(AR47+($I$3/10000))/2,(AR46+($I$3/10000))/2))^(2*AQ46/365.25))</f>
        <v>8.00749412917676</v>
      </c>
      <c r="AT46" s="137" t="n">
        <f aca="false">IF(A47="","",IF(AND(mthbeg&lt;=A46,mthend&gt;=A46),1,0))</f>
        <v>1</v>
      </c>
      <c r="AU46" s="137" t="n">
        <f aca="false">IF(A47="","",AO46*AT46)</f>
        <v>30</v>
      </c>
      <c r="AW46" s="195" t="e">
        <f aca="false">IF($A47="","",AL46*$E46)</f>
        <v>#NAME?</v>
      </c>
      <c r="AX46" s="195" t="e">
        <f aca="false">IF($A47="","",AM46*$E46)</f>
        <v>#N/A</v>
      </c>
      <c r="AY46" s="195" t="e">
        <f aca="false">IF($A47="","",AN46*$E46)</f>
        <v>#N/A</v>
      </c>
      <c r="BA46" s="195" t="n">
        <f aca="false">IF($A47="","",F46*Summary!$Q$11)</f>
        <v>0</v>
      </c>
      <c r="BC46" s="179" t="e">
        <f aca="false">IF(A47="","",AM46*F46)</f>
        <v>#N/A</v>
      </c>
    </row>
    <row r="47" customFormat="false" ht="12.75" hidden="false" customHeight="false" outlineLevel="0" collapsed="false">
      <c r="A47" s="196" t="n">
        <f aca="false">IF(A46&lt;mthend,EDATE(A46,1),"")</f>
        <v>38169</v>
      </c>
      <c r="B47" s="197" t="n">
        <f aca="false">IF(A47&lt;mthend,B46,"")</f>
        <v>124142</v>
      </c>
      <c r="C47" s="215"/>
      <c r="D47" s="197" t="n">
        <f aca="false">IF(A48&lt;&gt;"",B47+C47,"")</f>
        <v>124142</v>
      </c>
      <c r="E47" s="199" t="n">
        <f aca="false">IF(A48="","",IF(AND(AT47=1,$H$3=1),D47*AO47,IF($H$3=2,D47,"N/A")))</f>
        <v>3848402</v>
      </c>
      <c r="F47" s="199" t="n">
        <f aca="false">IF(A48="","",E47*AS47)</f>
        <v>30570058.672183</v>
      </c>
      <c r="G47" s="200" t="e">
        <f aca="false">IF($A48="","",VLOOKUP($A47,Table,MATCH(G$4,Curves,0)))</f>
        <v>#N/A</v>
      </c>
      <c r="H47" s="201" t="e">
        <f aca="false">IF(A48="","",G47)</f>
        <v>#N/A</v>
      </c>
      <c r="I47" s="202"/>
      <c r="J47" s="200" t="e">
        <f aca="false">IF($A48="","",VLOOKUP($A47,Table,MATCH(J$4,Curves,0)))</f>
        <v>#N/A</v>
      </c>
      <c r="K47" s="201" t="e">
        <f aca="false">IF(A48="","",J47)</f>
        <v>#N/A</v>
      </c>
      <c r="L47" s="200" t="e">
        <f aca="false">IF($A48="","",VLOOKUP($A47,Table,MATCH(L$4,Curves,0)))</f>
        <v>#N/A</v>
      </c>
      <c r="M47" s="201" t="e">
        <f aca="false">IF(A48="","",L47)</f>
        <v>#N/A</v>
      </c>
      <c r="N47" s="203"/>
      <c r="O47" s="200" t="e">
        <f aca="false">IF(A48="","",L47+J47+G47)</f>
        <v>#N/A</v>
      </c>
      <c r="P47" s="200" t="e">
        <f aca="false">IF(A48="","",M47+K47+H47)</f>
        <v>#N/A</v>
      </c>
      <c r="Q47" s="204"/>
      <c r="R47" s="200" t="e">
        <f aca="false">IF($A48="","",VLOOKUP($A47,Table,MATCH(R$4,Curves,0)))</f>
        <v>#N/A</v>
      </c>
      <c r="S47" s="201" t="e">
        <f aca="false">IF(A48="","",R47)</f>
        <v>#N/A</v>
      </c>
      <c r="T47" s="185" t="n">
        <v>0</v>
      </c>
      <c r="U47" s="201" t="n">
        <f aca="false">IF(A48="","",T47)</f>
        <v>0</v>
      </c>
      <c r="V47" s="205" t="e">
        <f aca="false">IF($A48="","",IF(AND(MONTH(A47)&gt;3,MONTH(A47)&lt;11),(T47+R47+G47)*Summary!$T$11/(1-Summary!$T$11),(T47+R47+G47)*Summary!$U$11/(1-Summary!$U$11)))</f>
        <v>#N/A</v>
      </c>
      <c r="W47" s="202" t="e">
        <f aca="false">IF($A48="","",(T47+R47+G47+V47))</f>
        <v>#N/A</v>
      </c>
      <c r="X47" s="202" t="e">
        <f aca="false">IF($A48="","",(U47+S47+H47+V47))</f>
        <v>#N/A</v>
      </c>
      <c r="Y47" s="202"/>
      <c r="Z47" s="185" t="e">
        <f aca="false">IF($A48="","",VLOOKUP($A47,Table,MATCH(Z$4,Curves,0)))</f>
        <v>#N/A</v>
      </c>
      <c r="AA47" s="185" t="e">
        <f aca="false">IF($A48="","",VLOOKUP($A47,Table,MATCH(AA$4,Curves,0)))</f>
        <v>#N/A</v>
      </c>
      <c r="AB47" s="185" t="e">
        <f aca="false">SQRT((AA47^2*(A47-$D$3)+Z47^2*(DAY(EOMONTH(A47,0))/2))/AK47)</f>
        <v>#N/A</v>
      </c>
      <c r="AC47" s="185" t="e">
        <f aca="false">IF($A48="","",VLOOKUP($A47,Table,MATCH(AC$4,Curves,0)))</f>
        <v>#N/A</v>
      </c>
      <c r="AD47" s="185" t="e">
        <f aca="false">IF($A48="","",VLOOKUP($A47,Table,MATCH(AD$4,Curves,0)))</f>
        <v>#N/A</v>
      </c>
      <c r="AE47" s="185" t="e">
        <f aca="false">SQRT((AD47^2*(A47-$D$3)+AC47^2*(DAY(EOMONTH(A47,0))/2))/AK47)</f>
        <v>#N/A</v>
      </c>
      <c r="AF47" s="206" t="e">
        <f aca="false">((Summary!$N$11*(AA47*AD47)*(A47-$D$3))+(Summary!$M$11*Z47*AC47*(AJ47-EOMONTH(EDATE(A47,-1),0))))/(AK47*AB47*AE47)</f>
        <v>#N/A</v>
      </c>
      <c r="AG47" s="207" t="n">
        <f aca="false">IF($A48="","",Summary!$Q$11)</f>
        <v>0</v>
      </c>
      <c r="AH47" s="207" t="n">
        <f aca="false">IF($A48="","",IF(Summary!$R$11="Y",(VLOOKUP($A47,Summary!$AD$6:$AF$9,3)+'Escalating commodity'!G60),'Escalating commodity'!G60))</f>
        <v>0.00515716785574898</v>
      </c>
      <c r="AI47" s="207" t="n">
        <f aca="false">IF($A48="","",AH47)</f>
        <v>0.00515716785574898</v>
      </c>
      <c r="AJ47" s="208" t="n">
        <f aca="false">A47+DAY(EOMONTH(A47,0))/2-1</f>
        <v>38183.5</v>
      </c>
      <c r="AK47" s="209" t="n">
        <f aca="false">IF($A48="","",$A47-$E$1)</f>
        <v>-7757</v>
      </c>
      <c r="AL47" s="182" t="e">
        <f aca="false">IF($A48="","",SPRDOPT(P47,X47,AI47,0,AB47,AE47,AF47,AK47,$AJ$2,0))</f>
        <v>#NAME?</v>
      </c>
      <c r="AM47" s="210" t="e">
        <f aca="false">IF($A48="","",MAX(0,O47-W47-AI47))</f>
        <v>#N/A</v>
      </c>
      <c r="AN47" s="211" t="e">
        <f aca="false">IF($A48="","",AL47-AM47)</f>
        <v>#N/A</v>
      </c>
      <c r="AO47" s="137" t="n">
        <f aca="false">IF(A48="","",A48-A47)</f>
        <v>31</v>
      </c>
      <c r="AP47" s="212" t="n">
        <f aca="false">IF(A48="","",CHOOSE(F$3,A48+24,A47))</f>
        <v>38169</v>
      </c>
      <c r="AQ47" s="209" t="n">
        <f aca="false">IF(A48="","",AP47-$E$1)</f>
        <v>-7757</v>
      </c>
      <c r="AR47" s="185" t="n">
        <f aca="false">'ANR OK vs ML7'!AR47</f>
        <v>0.1</v>
      </c>
      <c r="AS47" s="213" t="n">
        <f aca="false">IF(A48="","",1/(1+CHOOSE(F$3,(AR48+($I$3/10000))/2,(AR47+($I$3/10000))/2))^(2*AQ47/365.25))</f>
        <v>7.94357207801655</v>
      </c>
      <c r="AT47" s="137" t="n">
        <f aca="false">IF(A48="","",IF(AND(mthbeg&lt;=A47,mthend&gt;=A47),1,0))</f>
        <v>1</v>
      </c>
      <c r="AU47" s="137" t="n">
        <f aca="false">IF(A48="","",AO47*AT47)</f>
        <v>31</v>
      </c>
      <c r="AW47" s="195" t="e">
        <f aca="false">IF($A48="","",AL47*$E47)</f>
        <v>#NAME?</v>
      </c>
      <c r="AX47" s="195" t="e">
        <f aca="false">IF($A48="","",AM47*$E47)</f>
        <v>#N/A</v>
      </c>
      <c r="AY47" s="195" t="e">
        <f aca="false">IF($A48="","",AN47*$E47)</f>
        <v>#N/A</v>
      </c>
      <c r="BA47" s="195" t="n">
        <f aca="false">IF($A48="","",F47*Summary!$Q$11)</f>
        <v>0</v>
      </c>
      <c r="BC47" s="179" t="e">
        <f aca="false">IF(A48="","",AM47*F47)</f>
        <v>#N/A</v>
      </c>
    </row>
    <row r="48" customFormat="false" ht="12.75" hidden="false" customHeight="false" outlineLevel="0" collapsed="false">
      <c r="A48" s="196" t="n">
        <f aca="false">IF(A47&lt;mthend,EDATE(A47,1),"")</f>
        <v>38200</v>
      </c>
      <c r="B48" s="197" t="n">
        <f aca="false">IF(A48&lt;mthend,B47,"")</f>
        <v>124142</v>
      </c>
      <c r="C48" s="215"/>
      <c r="D48" s="197" t="n">
        <f aca="false">IF(A49&lt;&gt;"",B48+C48,"")</f>
        <v>124142</v>
      </c>
      <c r="E48" s="199" t="n">
        <f aca="false">IF(A49="","",IF(AND(AT48=1,$H$3=1),D48*AO48,IF($H$3=2,D48,"N/A")))</f>
        <v>3848402</v>
      </c>
      <c r="F48" s="199" t="n">
        <f aca="false">IF(A49="","",E48*AS48)</f>
        <v>30317923.8380972</v>
      </c>
      <c r="G48" s="200" t="e">
        <f aca="false">IF($A49="","",VLOOKUP($A48,Table,MATCH(G$4,Curves,0)))</f>
        <v>#N/A</v>
      </c>
      <c r="H48" s="201" t="e">
        <f aca="false">IF(A49="","",G48)</f>
        <v>#N/A</v>
      </c>
      <c r="I48" s="202"/>
      <c r="J48" s="200" t="e">
        <f aca="false">IF($A49="","",VLOOKUP($A48,Table,MATCH(J$4,Curves,0)))</f>
        <v>#N/A</v>
      </c>
      <c r="K48" s="201" t="e">
        <f aca="false">IF(A49="","",J48)</f>
        <v>#N/A</v>
      </c>
      <c r="L48" s="200" t="e">
        <f aca="false">IF($A49="","",VLOOKUP($A48,Table,MATCH(L$4,Curves,0)))</f>
        <v>#N/A</v>
      </c>
      <c r="M48" s="201" t="e">
        <f aca="false">IF(A49="","",L48)</f>
        <v>#N/A</v>
      </c>
      <c r="N48" s="203"/>
      <c r="O48" s="200" t="e">
        <f aca="false">IF(A49="","",L48+J48+G48)</f>
        <v>#N/A</v>
      </c>
      <c r="P48" s="200" t="e">
        <f aca="false">IF(A49="","",M48+K48+H48)</f>
        <v>#N/A</v>
      </c>
      <c r="Q48" s="204"/>
      <c r="R48" s="200" t="e">
        <f aca="false">IF($A49="","",VLOOKUP($A48,Table,MATCH(R$4,Curves,0)))</f>
        <v>#N/A</v>
      </c>
      <c r="S48" s="201" t="e">
        <f aca="false">IF(A49="","",R48)</f>
        <v>#N/A</v>
      </c>
      <c r="T48" s="185" t="n">
        <v>0</v>
      </c>
      <c r="U48" s="201" t="n">
        <f aca="false">IF(A49="","",T48)</f>
        <v>0</v>
      </c>
      <c r="V48" s="205" t="e">
        <f aca="false">IF($A49="","",IF(AND(MONTH(A48)&gt;3,MONTH(A48)&lt;11),(T48+R48+G48)*Summary!$T$11/(1-Summary!$T$11),(T48+R48+G48)*Summary!$U$11/(1-Summary!$U$11)))</f>
        <v>#N/A</v>
      </c>
      <c r="W48" s="202" t="e">
        <f aca="false">IF($A49="","",(T48+R48+G48+V48))</f>
        <v>#N/A</v>
      </c>
      <c r="X48" s="202" t="e">
        <f aca="false">IF($A49="","",(U48+S48+H48+V48))</f>
        <v>#N/A</v>
      </c>
      <c r="Y48" s="202"/>
      <c r="Z48" s="185" t="e">
        <f aca="false">IF($A49="","",VLOOKUP($A48,Table,MATCH(Z$4,Curves,0)))</f>
        <v>#N/A</v>
      </c>
      <c r="AA48" s="185" t="e">
        <f aca="false">IF($A49="","",VLOOKUP($A48,Table,MATCH(AA$4,Curves,0)))</f>
        <v>#N/A</v>
      </c>
      <c r="AB48" s="185" t="e">
        <f aca="false">SQRT((AA48^2*(A48-$D$3)+Z48^2*(DAY(EOMONTH(A48,0))/2))/AK48)</f>
        <v>#N/A</v>
      </c>
      <c r="AC48" s="185" t="e">
        <f aca="false">IF($A49="","",VLOOKUP($A48,Table,MATCH(AC$4,Curves,0)))</f>
        <v>#N/A</v>
      </c>
      <c r="AD48" s="185" t="e">
        <f aca="false">IF($A49="","",VLOOKUP($A48,Table,MATCH(AD$4,Curves,0)))</f>
        <v>#N/A</v>
      </c>
      <c r="AE48" s="185" t="e">
        <f aca="false">SQRT((AD48^2*(A48-$D$3)+AC48^2*(DAY(EOMONTH(A48,0))/2))/AK48)</f>
        <v>#N/A</v>
      </c>
      <c r="AF48" s="206" t="e">
        <f aca="false">((Summary!$N$11*(AA48*AD48)*(A48-$D$3))+(Summary!$M$11*Z48*AC48*(AJ48-EOMONTH(EDATE(A48,-1),0))))/(AK48*AB48*AE48)</f>
        <v>#N/A</v>
      </c>
      <c r="AG48" s="207" t="n">
        <f aca="false">IF($A49="","",Summary!$Q$11)</f>
        <v>0</v>
      </c>
      <c r="AH48" s="207" t="n">
        <f aca="false">IF($A49="","",IF(Summary!$R$11="Y",(VLOOKUP($A48,Summary!$AD$6:$AF$9,3)+'Escalating commodity'!G61),'Escalating commodity'!G61))</f>
        <v>0.00515716785574898</v>
      </c>
      <c r="AI48" s="207" t="n">
        <f aca="false">IF($A49="","",AH48)</f>
        <v>0.00515716785574898</v>
      </c>
      <c r="AJ48" s="208" t="n">
        <f aca="false">A48+DAY(EOMONTH(A48,0))/2-1</f>
        <v>38214.5</v>
      </c>
      <c r="AK48" s="209" t="n">
        <f aca="false">IF($A49="","",$A48-$E$1)</f>
        <v>-7726</v>
      </c>
      <c r="AL48" s="182" t="e">
        <f aca="false">IF($A49="","",SPRDOPT(P48,X48,AI48,0,AB48,AE48,AF48,AK48,$AJ$2,0))</f>
        <v>#NAME?</v>
      </c>
      <c r="AM48" s="210" t="e">
        <f aca="false">IF($A49="","",MAX(0,O48-W48-AI48))</f>
        <v>#N/A</v>
      </c>
      <c r="AN48" s="211" t="e">
        <f aca="false">IF($A49="","",AL48-AM48)</f>
        <v>#N/A</v>
      </c>
      <c r="AO48" s="137" t="n">
        <f aca="false">IF(A49="","",A49-A48)</f>
        <v>31</v>
      </c>
      <c r="AP48" s="212" t="n">
        <f aca="false">IF(A49="","",CHOOSE(F$3,A49+24,A48))</f>
        <v>38200</v>
      </c>
      <c r="AQ48" s="209" t="n">
        <f aca="false">IF(A49="","",AP48-$E$1)</f>
        <v>-7726</v>
      </c>
      <c r="AR48" s="185" t="n">
        <f aca="false">'ANR OK vs ML7'!AR48</f>
        <v>0.1</v>
      </c>
      <c r="AS48" s="213" t="n">
        <f aca="false">IF(A49="","",1/(1+CHOOSE(F$3,(AR49+($I$3/10000))/2,(AR48+($I$3/10000))/2))^(2*AQ48/365.25))</f>
        <v>7.87805531701138</v>
      </c>
      <c r="AT48" s="137" t="n">
        <f aca="false">IF(A49="","",IF(AND(mthbeg&lt;=A48,mthend&gt;=A48),1,0))</f>
        <v>1</v>
      </c>
      <c r="AU48" s="137" t="n">
        <f aca="false">IF(A49="","",AO48*AT48)</f>
        <v>31</v>
      </c>
      <c r="AW48" s="195" t="e">
        <f aca="false">IF($A49="","",AL48*$E48)</f>
        <v>#NAME?</v>
      </c>
      <c r="AX48" s="195" t="e">
        <f aca="false">IF($A49="","",AM48*$E48)</f>
        <v>#N/A</v>
      </c>
      <c r="AY48" s="195" t="e">
        <f aca="false">IF($A49="","",AN48*$E48)</f>
        <v>#N/A</v>
      </c>
      <c r="BA48" s="195" t="n">
        <f aca="false">IF($A49="","",F48*Summary!$Q$11)</f>
        <v>0</v>
      </c>
      <c r="BC48" s="179" t="e">
        <f aca="false">IF(A49="","",AM48*F48)</f>
        <v>#N/A</v>
      </c>
    </row>
    <row r="49" customFormat="false" ht="12.75" hidden="false" customHeight="false" outlineLevel="0" collapsed="false">
      <c r="A49" s="196" t="n">
        <f aca="false">IF(A48&lt;mthend,EDATE(A48,1),"")</f>
        <v>38231</v>
      </c>
      <c r="B49" s="197" t="n">
        <f aca="false">IF(A49&lt;mthend,B48,"")</f>
        <v>124142</v>
      </c>
      <c r="C49" s="215"/>
      <c r="D49" s="197" t="n">
        <f aca="false">IF(A50&lt;&gt;"",B49+C49,"")</f>
        <v>124142</v>
      </c>
      <c r="E49" s="199" t="n">
        <f aca="false">IF(A50="","",IF(AND(AT49=1,$H$3=1),D49*AO49,IF($H$3=2,D49,"N/A")))</f>
        <v>3724260</v>
      </c>
      <c r="F49" s="199" t="n">
        <f aca="false">IF(A50="","",E49*AS49)</f>
        <v>29097937.3106201</v>
      </c>
      <c r="G49" s="200" t="e">
        <f aca="false">IF($A50="","",VLOOKUP($A49,Table,MATCH(G$4,Curves,0)))</f>
        <v>#N/A</v>
      </c>
      <c r="H49" s="201" t="e">
        <f aca="false">IF(A50="","",G49)</f>
        <v>#N/A</v>
      </c>
      <c r="I49" s="202"/>
      <c r="J49" s="200" t="e">
        <f aca="false">IF($A50="","",VLOOKUP($A49,Table,MATCH(J$4,Curves,0)))</f>
        <v>#N/A</v>
      </c>
      <c r="K49" s="201" t="e">
        <f aca="false">IF(A50="","",J49)</f>
        <v>#N/A</v>
      </c>
      <c r="L49" s="200" t="e">
        <f aca="false">IF($A50="","",VLOOKUP($A49,Table,MATCH(L$4,Curves,0)))</f>
        <v>#N/A</v>
      </c>
      <c r="M49" s="201" t="e">
        <f aca="false">IF(A50="","",L49)</f>
        <v>#N/A</v>
      </c>
      <c r="N49" s="203"/>
      <c r="O49" s="200" t="e">
        <f aca="false">IF(A50="","",L49+J49+G49)</f>
        <v>#N/A</v>
      </c>
      <c r="P49" s="200" t="e">
        <f aca="false">IF(A50="","",M49+K49+H49)</f>
        <v>#N/A</v>
      </c>
      <c r="Q49" s="204"/>
      <c r="R49" s="200" t="e">
        <f aca="false">IF($A50="","",VLOOKUP($A49,Table,MATCH(R$4,Curves,0)))</f>
        <v>#N/A</v>
      </c>
      <c r="S49" s="201" t="e">
        <f aca="false">IF(A50="","",R49)</f>
        <v>#N/A</v>
      </c>
      <c r="T49" s="185" t="n">
        <v>0</v>
      </c>
      <c r="U49" s="201" t="n">
        <f aca="false">IF(A50="","",T49)</f>
        <v>0</v>
      </c>
      <c r="V49" s="205" t="e">
        <f aca="false">IF($A50="","",IF(AND(MONTH(A49)&gt;3,MONTH(A49)&lt;11),(T49+R49+G49)*Summary!$T$11/(1-Summary!$T$11),(T49+R49+G49)*Summary!$U$11/(1-Summary!$U$11)))</f>
        <v>#N/A</v>
      </c>
      <c r="W49" s="202" t="e">
        <f aca="false">IF($A50="","",(T49+R49+G49+V49))</f>
        <v>#N/A</v>
      </c>
      <c r="X49" s="202" t="e">
        <f aca="false">IF($A50="","",(U49+S49+H49+V49))</f>
        <v>#N/A</v>
      </c>
      <c r="Y49" s="202"/>
      <c r="Z49" s="185" t="e">
        <f aca="false">IF($A50="","",VLOOKUP($A49,Table,MATCH(Z$4,Curves,0)))</f>
        <v>#N/A</v>
      </c>
      <c r="AA49" s="185" t="e">
        <f aca="false">IF($A50="","",VLOOKUP($A49,Table,MATCH(AA$4,Curves,0)))</f>
        <v>#N/A</v>
      </c>
      <c r="AB49" s="185" t="e">
        <f aca="false">SQRT((AA49^2*(A49-$D$3)+Z49^2*(DAY(EOMONTH(A49,0))/2))/AK49)</f>
        <v>#N/A</v>
      </c>
      <c r="AC49" s="185" t="e">
        <f aca="false">IF($A50="","",VLOOKUP($A49,Table,MATCH(AC$4,Curves,0)))</f>
        <v>#N/A</v>
      </c>
      <c r="AD49" s="185" t="e">
        <f aca="false">IF($A50="","",VLOOKUP($A49,Table,MATCH(AD$4,Curves,0)))</f>
        <v>#N/A</v>
      </c>
      <c r="AE49" s="185" t="e">
        <f aca="false">SQRT((AD49^2*(A49-$D$3)+AC49^2*(DAY(EOMONTH(A49,0))/2))/AK49)</f>
        <v>#N/A</v>
      </c>
      <c r="AF49" s="206" t="e">
        <f aca="false">((Summary!$N$11*(AA49*AD49)*(A49-$D$3))+(Summary!$M$11*Z49*AC49*(AJ49-EOMONTH(EDATE(A49,-1),0))))/(AK49*AB49*AE49)</f>
        <v>#N/A</v>
      </c>
      <c r="AG49" s="207" t="n">
        <f aca="false">IF($A50="","",Summary!$Q$11)</f>
        <v>0</v>
      </c>
      <c r="AH49" s="207" t="n">
        <f aca="false">IF($A50="","",IF(Summary!$R$11="Y",(VLOOKUP($A49,Summary!$AD$6:$AF$9,3)+'Escalating commodity'!G62),'Escalating commodity'!G62))</f>
        <v>0.00515716785574898</v>
      </c>
      <c r="AI49" s="207" t="n">
        <f aca="false">IF($A50="","",AH49)</f>
        <v>0.00515716785574898</v>
      </c>
      <c r="AJ49" s="208" t="n">
        <f aca="false">A49+DAY(EOMONTH(A49,0))/2-1</f>
        <v>38245</v>
      </c>
      <c r="AK49" s="209" t="n">
        <f aca="false">IF($A50="","",$A49-$E$1)</f>
        <v>-7695</v>
      </c>
      <c r="AL49" s="182" t="e">
        <f aca="false">IF($A50="","",SPRDOPT(P49,X49,AI49,0,AB49,AE49,AF49,AK49,$AJ$2,0))</f>
        <v>#NAME?</v>
      </c>
      <c r="AM49" s="210" t="e">
        <f aca="false">IF($A50="","",MAX(0,O49-W49-AI49))</f>
        <v>#N/A</v>
      </c>
      <c r="AN49" s="211" t="e">
        <f aca="false">IF($A50="","",AL49-AM49)</f>
        <v>#N/A</v>
      </c>
      <c r="AO49" s="137" t="n">
        <f aca="false">IF(A50="","",A50-A49)</f>
        <v>30</v>
      </c>
      <c r="AP49" s="212" t="n">
        <f aca="false">IF(A50="","",CHOOSE(F$3,A50+24,A49))</f>
        <v>38231</v>
      </c>
      <c r="AQ49" s="209" t="n">
        <f aca="false">IF(A50="","",AP49-$E$1)</f>
        <v>-7695</v>
      </c>
      <c r="AR49" s="185" t="n">
        <f aca="false">'ANR OK vs ML7'!AR49</f>
        <v>0.1</v>
      </c>
      <c r="AS49" s="213" t="n">
        <f aca="false">IF(A50="","",1/(1+CHOOSE(F$3,(AR50+($I$3/10000))/2,(AR49+($I$3/10000))/2))^(2*AQ49/365.25))</f>
        <v>7.81307892322772</v>
      </c>
      <c r="AT49" s="137" t="n">
        <f aca="false">IF(A50="","",IF(AND(mthbeg&lt;=A49,mthend&gt;=A49),1,0))</f>
        <v>1</v>
      </c>
      <c r="AU49" s="137" t="n">
        <f aca="false">IF(A50="","",AO49*AT49)</f>
        <v>30</v>
      </c>
      <c r="AW49" s="195" t="e">
        <f aca="false">IF($A50="","",AL49*$E49)</f>
        <v>#NAME?</v>
      </c>
      <c r="AX49" s="195" t="e">
        <f aca="false">IF($A50="","",AM49*$E49)</f>
        <v>#N/A</v>
      </c>
      <c r="AY49" s="195" t="e">
        <f aca="false">IF($A50="","",AN49*$E49)</f>
        <v>#N/A</v>
      </c>
      <c r="BA49" s="195" t="n">
        <f aca="false">IF($A50="","",F49*Summary!$Q$11)</f>
        <v>0</v>
      </c>
      <c r="BC49" s="179" t="e">
        <f aca="false">IF(A50="","",AM49*F49)</f>
        <v>#N/A</v>
      </c>
    </row>
    <row r="50" customFormat="false" ht="12.75" hidden="false" customHeight="false" outlineLevel="0" collapsed="false">
      <c r="A50" s="196" t="n">
        <f aca="false">IF(A49&lt;mthend,EDATE(A49,1),"")</f>
        <v>38261</v>
      </c>
      <c r="B50" s="197" t="n">
        <f aca="false">IF(A50&lt;mthend,B49,"")</f>
        <v>124142</v>
      </c>
      <c r="C50" s="215"/>
      <c r="D50" s="197" t="n">
        <f aca="false">IF(A51&lt;&gt;"",B50+C50,"")</f>
        <v>124142</v>
      </c>
      <c r="E50" s="199" t="n">
        <f aca="false">IF(A51="","",IF(AND(AT50=1,$H$3=1),D50*AO50,IF($H$3=2,D50,"N/A")))</f>
        <v>3848402</v>
      </c>
      <c r="F50" s="199" t="n">
        <f aca="false">IF(A51="","",E50*AS50)</f>
        <v>29827843.4227243</v>
      </c>
      <c r="G50" s="200" t="e">
        <f aca="false">IF($A51="","",VLOOKUP($A50,Table,MATCH(G$4,Curves,0)))</f>
        <v>#N/A</v>
      </c>
      <c r="H50" s="201" t="e">
        <f aca="false">IF(A51="","",G50)</f>
        <v>#N/A</v>
      </c>
      <c r="I50" s="202"/>
      <c r="J50" s="200" t="e">
        <f aca="false">IF($A51="","",VLOOKUP($A50,Table,MATCH(J$4,Curves,0)))</f>
        <v>#N/A</v>
      </c>
      <c r="K50" s="201" t="e">
        <f aca="false">IF(A51="","",J50)</f>
        <v>#N/A</v>
      </c>
      <c r="L50" s="200" t="e">
        <f aca="false">IF($A51="","",VLOOKUP($A50,Table,MATCH(L$4,Curves,0)))</f>
        <v>#N/A</v>
      </c>
      <c r="M50" s="201" t="e">
        <f aca="false">IF(A51="","",L50)</f>
        <v>#N/A</v>
      </c>
      <c r="N50" s="203"/>
      <c r="O50" s="200" t="e">
        <f aca="false">IF(A51="","",L50+J50+G50)</f>
        <v>#N/A</v>
      </c>
      <c r="P50" s="200" t="e">
        <f aca="false">IF(A51="","",M50+K50+H50)</f>
        <v>#N/A</v>
      </c>
      <c r="Q50" s="204"/>
      <c r="R50" s="200" t="e">
        <f aca="false">IF($A51="","",VLOOKUP($A50,Table,MATCH(R$4,Curves,0)))</f>
        <v>#N/A</v>
      </c>
      <c r="S50" s="201" t="e">
        <f aca="false">IF(A51="","",R50)</f>
        <v>#N/A</v>
      </c>
      <c r="T50" s="185" t="n">
        <v>0</v>
      </c>
      <c r="U50" s="201" t="n">
        <f aca="false">IF(A51="","",T50)</f>
        <v>0</v>
      </c>
      <c r="V50" s="205" t="e">
        <f aca="false">IF($A51="","",IF(AND(MONTH(A50)&gt;3,MONTH(A50)&lt;11),(T50+R50+G50)*Summary!$T$11/(1-Summary!$T$11),(T50+R50+G50)*Summary!$U$11/(1-Summary!$U$11)))</f>
        <v>#N/A</v>
      </c>
      <c r="W50" s="202" t="e">
        <f aca="false">IF($A51="","",(T50+R50+G50+V50))</f>
        <v>#N/A</v>
      </c>
      <c r="X50" s="202" t="e">
        <f aca="false">IF($A51="","",(U50+S50+H50+V50))</f>
        <v>#N/A</v>
      </c>
      <c r="Y50" s="202"/>
      <c r="Z50" s="185" t="e">
        <f aca="false">IF($A51="","",VLOOKUP($A50,Table,MATCH(Z$4,Curves,0)))</f>
        <v>#N/A</v>
      </c>
      <c r="AA50" s="185" t="e">
        <f aca="false">IF($A51="","",VLOOKUP($A50,Table,MATCH(AA$4,Curves,0)))</f>
        <v>#N/A</v>
      </c>
      <c r="AB50" s="185" t="e">
        <f aca="false">SQRT((AA50^2*(A50-$D$3)+Z50^2*(DAY(EOMONTH(A50,0))/2))/AK50)</f>
        <v>#N/A</v>
      </c>
      <c r="AC50" s="185" t="e">
        <f aca="false">IF($A51="","",VLOOKUP($A50,Table,MATCH(AC$4,Curves,0)))</f>
        <v>#N/A</v>
      </c>
      <c r="AD50" s="185" t="e">
        <f aca="false">IF($A51="","",VLOOKUP($A50,Table,MATCH(AD$4,Curves,0)))</f>
        <v>#N/A</v>
      </c>
      <c r="AE50" s="185" t="e">
        <f aca="false">SQRT((AD50^2*(A50-$D$3)+AC50^2*(DAY(EOMONTH(A50,0))/2))/AK50)</f>
        <v>#N/A</v>
      </c>
      <c r="AF50" s="206" t="e">
        <f aca="false">((Summary!$N$11*(AA50*AD50)*(A50-$D$3))+(Summary!$M$11*Z50*AC50*(AJ50-EOMONTH(EDATE(A50,-1),0))))/(AK50*AB50*AE50)</f>
        <v>#N/A</v>
      </c>
      <c r="AG50" s="207" t="n">
        <f aca="false">IF($A51="","",Summary!$Q$11)</f>
        <v>0</v>
      </c>
      <c r="AH50" s="207" t="n">
        <f aca="false">IF($A51="","",IF(Summary!$R$11="Y",(VLOOKUP($A50,Summary!$AD$6:$AF$9,3)+'Escalating commodity'!G63),'Escalating commodity'!G63))</f>
        <v>0.00515716785574898</v>
      </c>
      <c r="AI50" s="207" t="n">
        <f aca="false">IF($A51="","",AH50)</f>
        <v>0.00515716785574898</v>
      </c>
      <c r="AJ50" s="208" t="n">
        <f aca="false">A50+DAY(EOMONTH(A50,0))/2-1</f>
        <v>38275.5</v>
      </c>
      <c r="AK50" s="209" t="n">
        <f aca="false">IF($A51="","",$A50-$E$1)</f>
        <v>-7665</v>
      </c>
      <c r="AL50" s="182" t="e">
        <f aca="false">IF($A51="","",SPRDOPT(P50,X50,AI50,0,AB50,AE50,AF50,AK50,$AJ$2,0))</f>
        <v>#NAME?</v>
      </c>
      <c r="AM50" s="210" t="e">
        <f aca="false">IF($A51="","",MAX(0,O50-W50-AI50))</f>
        <v>#N/A</v>
      </c>
      <c r="AN50" s="211" t="e">
        <f aca="false">IF($A51="","",AL50-AM50)</f>
        <v>#N/A</v>
      </c>
      <c r="AO50" s="137" t="n">
        <f aca="false">IF(A51="","",A51-A50)</f>
        <v>31</v>
      </c>
      <c r="AP50" s="212" t="n">
        <f aca="false">IF(A51="","",CHOOSE(F$3,A51+24,A50))</f>
        <v>38261</v>
      </c>
      <c r="AQ50" s="209" t="n">
        <f aca="false">IF(A51="","",AP50-$E$1)</f>
        <v>-7665</v>
      </c>
      <c r="AR50" s="185" t="n">
        <f aca="false">'ANR OK vs ML7'!AR50</f>
        <v>0.1</v>
      </c>
      <c r="AS50" s="213" t="n">
        <f aca="false">IF(A51="","",1/(1+CHOOSE(F$3,(AR51+($I$3/10000))/2,(AR50+($I$3/10000))/2))^(2*AQ50/365.25))</f>
        <v>7.75070884557389</v>
      </c>
      <c r="AT50" s="137" t="n">
        <f aca="false">IF(A51="","",IF(AND(mthbeg&lt;=A50,mthend&gt;=A50),1,0))</f>
        <v>1</v>
      </c>
      <c r="AU50" s="137" t="n">
        <f aca="false">IF(A51="","",AO50*AT50)</f>
        <v>31</v>
      </c>
      <c r="AW50" s="195" t="e">
        <f aca="false">IF($A51="","",AL50*$E50)</f>
        <v>#NAME?</v>
      </c>
      <c r="AX50" s="195" t="e">
        <f aca="false">IF($A51="","",AM50*$E50)</f>
        <v>#N/A</v>
      </c>
      <c r="AY50" s="195" t="e">
        <f aca="false">IF($A51="","",AN50*$E50)</f>
        <v>#N/A</v>
      </c>
      <c r="BA50" s="195" t="n">
        <f aca="false">IF($A51="","",F50*Summary!$Q$11)</f>
        <v>0</v>
      </c>
      <c r="BC50" s="179" t="e">
        <f aca="false">IF(A51="","",AM50*F50)</f>
        <v>#N/A</v>
      </c>
    </row>
    <row r="51" customFormat="false" ht="12.75" hidden="false" customHeight="false" outlineLevel="0" collapsed="false">
      <c r="A51" s="196" t="n">
        <f aca="false">IF(A50&lt;mthend,EDATE(A50,1),"")</f>
        <v>38292</v>
      </c>
      <c r="B51" s="197" t="n">
        <f aca="false">IF(A51&lt;mthend,B50,"")</f>
        <v>124142</v>
      </c>
      <c r="C51" s="215"/>
      <c r="D51" s="197" t="n">
        <f aca="false">IF(A52&lt;&gt;"",B51+C51,"")</f>
        <v>124142</v>
      </c>
      <c r="E51" s="199" t="n">
        <f aca="false">IF(A52="","",IF(AND(AT51=1,$H$3=1),D51*AO51,IF($H$3=2,D51,"N/A")))</f>
        <v>3724260</v>
      </c>
      <c r="F51" s="199" t="n">
        <f aca="false">IF(A52="","",E51*AS51)</f>
        <v>28627577.6224093</v>
      </c>
      <c r="G51" s="200" t="e">
        <f aca="false">IF($A52="","",VLOOKUP($A51,Table,MATCH(G$4,Curves,0)))</f>
        <v>#N/A</v>
      </c>
      <c r="H51" s="201" t="e">
        <f aca="false">IF(A52="","",G51)</f>
        <v>#N/A</v>
      </c>
      <c r="I51" s="202"/>
      <c r="J51" s="200" t="e">
        <f aca="false">IF($A52="","",VLOOKUP($A51,Table,MATCH(J$4,Curves,0)))</f>
        <v>#N/A</v>
      </c>
      <c r="K51" s="201" t="e">
        <f aca="false">IF(A52="","",J51)</f>
        <v>#N/A</v>
      </c>
      <c r="L51" s="200" t="e">
        <f aca="false">IF($A52="","",VLOOKUP($A51,Table,MATCH(L$4,Curves,0)))</f>
        <v>#N/A</v>
      </c>
      <c r="M51" s="201" t="e">
        <f aca="false">IF(A52="","",L51)</f>
        <v>#N/A</v>
      </c>
      <c r="N51" s="203"/>
      <c r="O51" s="200" t="e">
        <f aca="false">IF(A52="","",L51+J51+G51)</f>
        <v>#N/A</v>
      </c>
      <c r="P51" s="200" t="e">
        <f aca="false">IF(A52="","",M51+K51+H51)</f>
        <v>#N/A</v>
      </c>
      <c r="Q51" s="204"/>
      <c r="R51" s="200" t="e">
        <f aca="false">IF($A52="","",VLOOKUP($A51,Table,MATCH(R$4,Curves,0)))</f>
        <v>#N/A</v>
      </c>
      <c r="S51" s="201" t="e">
        <f aca="false">IF(A52="","",R51)</f>
        <v>#N/A</v>
      </c>
      <c r="T51" s="185" t="n">
        <v>0</v>
      </c>
      <c r="U51" s="201" t="n">
        <f aca="false">IF(A52="","",T51)</f>
        <v>0</v>
      </c>
      <c r="V51" s="205" t="e">
        <f aca="false">IF($A52="","",IF(AND(MONTH(A51)&gt;3,MONTH(A51)&lt;11),(T51+R51+G51)*Summary!$T$11/(1-Summary!$T$11),(T51+R51+G51)*Summary!$U$11/(1-Summary!$U$11)))</f>
        <v>#N/A</v>
      </c>
      <c r="W51" s="202" t="e">
        <f aca="false">IF($A52="","",(T51+R51+G51+V51))</f>
        <v>#N/A</v>
      </c>
      <c r="X51" s="202" t="e">
        <f aca="false">IF($A52="","",(U51+S51+H51+V51))</f>
        <v>#N/A</v>
      </c>
      <c r="Y51" s="202"/>
      <c r="Z51" s="185" t="e">
        <f aca="false">IF($A52="","",VLOOKUP($A51,Table,MATCH(Z$4,Curves,0)))</f>
        <v>#N/A</v>
      </c>
      <c r="AA51" s="185" t="e">
        <f aca="false">IF($A52="","",VLOOKUP($A51,Table,MATCH(AA$4,Curves,0)))</f>
        <v>#N/A</v>
      </c>
      <c r="AB51" s="185" t="e">
        <f aca="false">SQRT((AA51^2*(A51-$D$3)+Z51^2*(DAY(EOMONTH(A51,0))/2))/AK51)</f>
        <v>#N/A</v>
      </c>
      <c r="AC51" s="185" t="e">
        <f aca="false">IF($A52="","",VLOOKUP($A51,Table,MATCH(AC$4,Curves,0)))</f>
        <v>#N/A</v>
      </c>
      <c r="AD51" s="185" t="e">
        <f aca="false">IF($A52="","",VLOOKUP($A51,Table,MATCH(AD$4,Curves,0)))</f>
        <v>#N/A</v>
      </c>
      <c r="AE51" s="185" t="e">
        <f aca="false">SQRT((AD51^2*(A51-$D$3)+AC51^2*(DAY(EOMONTH(A51,0))/2))/AK51)</f>
        <v>#N/A</v>
      </c>
      <c r="AF51" s="206" t="e">
        <f aca="false">((Summary!$N$11*(AA51*AD51)*(A51-$D$3))+(Summary!$M$11*Z51*AC51*(AJ51-EOMONTH(EDATE(A51,-1),0))))/(AK51*AB51*AE51)</f>
        <v>#N/A</v>
      </c>
      <c r="AG51" s="207" t="n">
        <f aca="false">IF($A52="","",Summary!$Q$11)</f>
        <v>0</v>
      </c>
      <c r="AH51" s="207" t="n">
        <f aca="false">IF($A52="","",IF(Summary!$R$11="Y",(VLOOKUP($A51,Summary!$AD$6:$AF$9,3)+'Escalating commodity'!G64),'Escalating commodity'!G64))</f>
        <v>0.00515716785574898</v>
      </c>
      <c r="AI51" s="207" t="n">
        <f aca="false">IF($A52="","",AH51)</f>
        <v>0.00515716785574898</v>
      </c>
      <c r="AJ51" s="208" t="n">
        <f aca="false">A51+DAY(EOMONTH(A51,0))/2-1</f>
        <v>38306</v>
      </c>
      <c r="AK51" s="209" t="n">
        <f aca="false">IF($A52="","",$A51-$E$1)</f>
        <v>-7634</v>
      </c>
      <c r="AL51" s="182" t="e">
        <f aca="false">IF($A52="","",SPRDOPT(P51,X51,AI51,0,AB51,AE51,AF51,AK51,$AJ$2,0))</f>
        <v>#NAME?</v>
      </c>
      <c r="AM51" s="210" t="e">
        <f aca="false">IF($A52="","",MAX(0,O51-W51-AI51))</f>
        <v>#N/A</v>
      </c>
      <c r="AN51" s="211" t="e">
        <f aca="false">IF($A52="","",AL51-AM51)</f>
        <v>#N/A</v>
      </c>
      <c r="AO51" s="137" t="n">
        <f aca="false">IF(A52="","",A52-A51)</f>
        <v>30</v>
      </c>
      <c r="AP51" s="212" t="n">
        <f aca="false">IF(A52="","",CHOOSE(F$3,A52+24,A51))</f>
        <v>38292</v>
      </c>
      <c r="AQ51" s="209" t="n">
        <f aca="false">IF(A52="","",AP51-$E$1)</f>
        <v>-7634</v>
      </c>
      <c r="AR51" s="185" t="n">
        <f aca="false">'ANR OK vs ML7'!AR51</f>
        <v>0.1</v>
      </c>
      <c r="AS51" s="213" t="n">
        <f aca="false">IF(A52="","",1/(1+CHOOSE(F$3,(AR52+($I$3/10000))/2,(AR51+($I$3/10000))/2))^(2*AQ51/365.25))</f>
        <v>7.68678277628556</v>
      </c>
      <c r="AT51" s="137" t="n">
        <f aca="false">IF(A52="","",IF(AND(mthbeg&lt;=A51,mthend&gt;=A51),1,0))</f>
        <v>1</v>
      </c>
      <c r="AU51" s="137" t="n">
        <f aca="false">IF(A52="","",AO51*AT51)</f>
        <v>30</v>
      </c>
      <c r="AW51" s="195" t="e">
        <f aca="false">IF($A52="","",AL51*$E51)</f>
        <v>#NAME?</v>
      </c>
      <c r="AX51" s="195" t="e">
        <f aca="false">IF($A52="","",AM51*$E51)</f>
        <v>#N/A</v>
      </c>
      <c r="AY51" s="195" t="e">
        <f aca="false">IF($A52="","",AN51*$E51)</f>
        <v>#N/A</v>
      </c>
      <c r="BA51" s="195" t="n">
        <f aca="false">IF($A52="","",F51*Summary!$Q$11)</f>
        <v>0</v>
      </c>
      <c r="BC51" s="179" t="e">
        <f aca="false">IF(A52="","",AM51*F51)</f>
        <v>#N/A</v>
      </c>
    </row>
    <row r="52" customFormat="false" ht="12.75" hidden="false" customHeight="false" outlineLevel="0" collapsed="false">
      <c r="A52" s="196" t="n">
        <f aca="false">IF(A51&lt;mthend,EDATE(A51,1),"")</f>
        <v>38322</v>
      </c>
      <c r="B52" s="197" t="n">
        <f aca="false">IF(A52&lt;mthend,B51,"")</f>
        <v>124142</v>
      </c>
      <c r="C52" s="215"/>
      <c r="D52" s="197" t="n">
        <f aca="false">IF(A53&lt;&gt;"",B52+C52,"")</f>
        <v>124142</v>
      </c>
      <c r="E52" s="199" t="n">
        <f aca="false">IF(A53="","",IF(AND(AT52=1,$H$3=1),D52*AO52,IF($H$3=2,D52,"N/A")))</f>
        <v>3848402</v>
      </c>
      <c r="F52" s="199" t="n">
        <f aca="false">IF(A53="","",E52*AS52)</f>
        <v>29345685.014637</v>
      </c>
      <c r="G52" s="200" t="e">
        <f aca="false">IF($A53="","",VLOOKUP($A52,Table,MATCH(G$4,Curves,0)))</f>
        <v>#N/A</v>
      </c>
      <c r="H52" s="201" t="e">
        <f aca="false">IF(A53="","",G52)</f>
        <v>#N/A</v>
      </c>
      <c r="I52" s="202"/>
      <c r="J52" s="200" t="e">
        <f aca="false">IF($A53="","",VLOOKUP($A52,Table,MATCH(J$4,Curves,0)))</f>
        <v>#N/A</v>
      </c>
      <c r="K52" s="201" t="e">
        <f aca="false">IF(A53="","",J52)</f>
        <v>#N/A</v>
      </c>
      <c r="L52" s="200" t="e">
        <f aca="false">IF($A53="","",VLOOKUP($A52,Table,MATCH(L$4,Curves,0)))</f>
        <v>#N/A</v>
      </c>
      <c r="M52" s="201" t="e">
        <f aca="false">IF(A53="","",L52)</f>
        <v>#N/A</v>
      </c>
      <c r="N52" s="203"/>
      <c r="O52" s="200" t="e">
        <f aca="false">IF(A53="","",L52+J52+G52)</f>
        <v>#N/A</v>
      </c>
      <c r="P52" s="200" t="e">
        <f aca="false">IF(A53="","",M52+K52+H52)</f>
        <v>#N/A</v>
      </c>
      <c r="Q52" s="204"/>
      <c r="R52" s="200" t="e">
        <f aca="false">IF($A53="","",VLOOKUP($A52,Table,MATCH(R$4,Curves,0)))</f>
        <v>#N/A</v>
      </c>
      <c r="S52" s="201" t="e">
        <f aca="false">IF(A53="","",R52)</f>
        <v>#N/A</v>
      </c>
      <c r="T52" s="185" t="n">
        <v>0</v>
      </c>
      <c r="U52" s="201" t="n">
        <f aca="false">IF(A53="","",T52)</f>
        <v>0</v>
      </c>
      <c r="V52" s="205" t="e">
        <f aca="false">IF($A53="","",IF(AND(MONTH(A52)&gt;3,MONTH(A52)&lt;11),(T52+R52+G52)*Summary!$T$11/(1-Summary!$T$11),(T52+R52+G52)*Summary!$U$11/(1-Summary!$U$11)))</f>
        <v>#N/A</v>
      </c>
      <c r="W52" s="202" t="e">
        <f aca="false">IF($A53="","",(T52+R52+G52+V52))</f>
        <v>#N/A</v>
      </c>
      <c r="X52" s="202" t="e">
        <f aca="false">IF($A53="","",(U52+S52+H52+V52))</f>
        <v>#N/A</v>
      </c>
      <c r="Y52" s="202"/>
      <c r="Z52" s="185" t="e">
        <f aca="false">IF($A53="","",VLOOKUP($A52,Table,MATCH(Z$4,Curves,0)))</f>
        <v>#N/A</v>
      </c>
      <c r="AA52" s="185" t="e">
        <f aca="false">IF($A53="","",VLOOKUP($A52,Table,MATCH(AA$4,Curves,0)))</f>
        <v>#N/A</v>
      </c>
      <c r="AB52" s="185" t="e">
        <f aca="false">SQRT((AA52^2*(A52-$D$3)+Z52^2*(DAY(EOMONTH(A52,0))/2))/AK52)</f>
        <v>#N/A</v>
      </c>
      <c r="AC52" s="185" t="e">
        <f aca="false">IF($A53="","",VLOOKUP($A52,Table,MATCH(AC$4,Curves,0)))</f>
        <v>#N/A</v>
      </c>
      <c r="AD52" s="185" t="e">
        <f aca="false">IF($A53="","",VLOOKUP($A52,Table,MATCH(AD$4,Curves,0)))</f>
        <v>#N/A</v>
      </c>
      <c r="AE52" s="185" t="e">
        <f aca="false">SQRT((AD52^2*(A52-$D$3)+AC52^2*(DAY(EOMONTH(A52,0))/2))/AK52)</f>
        <v>#N/A</v>
      </c>
      <c r="AF52" s="206" t="e">
        <f aca="false">((Summary!$N$11*(AA52*AD52)*(A52-$D$3))+(Summary!$M$11*Z52*AC52*(AJ52-EOMONTH(EDATE(A52,-1),0))))/(AK52*AB52*AE52)</f>
        <v>#N/A</v>
      </c>
      <c r="AG52" s="207" t="n">
        <f aca="false">IF($A53="","",Summary!$Q$11)</f>
        <v>0</v>
      </c>
      <c r="AH52" s="207" t="n">
        <f aca="false">IF($A53="","",IF(Summary!$R$11="Y",(VLOOKUP($A52,Summary!$AD$6:$AF$9,3)+'Escalating commodity'!G65),'Escalating commodity'!G65))</f>
        <v>0.00515716785574898</v>
      </c>
      <c r="AI52" s="207" t="n">
        <f aca="false">IF($A53="","",AH52)</f>
        <v>0.00515716785574898</v>
      </c>
      <c r="AJ52" s="208" t="n">
        <f aca="false">A52+DAY(EOMONTH(A52,0))/2-1</f>
        <v>38336.5</v>
      </c>
      <c r="AK52" s="209" t="n">
        <f aca="false">IF($A53="","",$A52-$E$1)</f>
        <v>-7604</v>
      </c>
      <c r="AL52" s="182" t="e">
        <f aca="false">IF($A53="","",SPRDOPT(P52,X52,AI52,0,AB52,AE52,AF52,AK52,$AJ$2,0))</f>
        <v>#NAME?</v>
      </c>
      <c r="AM52" s="210" t="e">
        <f aca="false">IF($A53="","",MAX(0,O52-W52-AI52))</f>
        <v>#N/A</v>
      </c>
      <c r="AN52" s="211" t="e">
        <f aca="false">IF($A53="","",AL52-AM52)</f>
        <v>#N/A</v>
      </c>
      <c r="AO52" s="137" t="n">
        <f aca="false">IF(A53="","",A53-A52)</f>
        <v>31</v>
      </c>
      <c r="AP52" s="212" t="n">
        <f aca="false">IF(A53="","",CHOOSE(F$3,A53+24,A52))</f>
        <v>38322</v>
      </c>
      <c r="AQ52" s="209" t="n">
        <f aca="false">IF(A53="","",AP52-$E$1)</f>
        <v>-7604</v>
      </c>
      <c r="AR52" s="185" t="n">
        <f aca="false">'ANR OK vs ML7'!AR52</f>
        <v>0.1</v>
      </c>
      <c r="AS52" s="213" t="n">
        <f aca="false">IF(A53="","",1/(1+CHOOSE(F$3,(AR53+($I$3/10000))/2,(AR52+($I$3/10000))/2))^(2*AQ52/365.25))</f>
        <v>7.62542089278536</v>
      </c>
      <c r="AT52" s="137" t="n">
        <f aca="false">IF(A53="","",IF(AND(mthbeg&lt;=A52,mthend&gt;=A52),1,0))</f>
        <v>1</v>
      </c>
      <c r="AU52" s="137" t="n">
        <f aca="false">IF(A53="","",AO52*AT52)</f>
        <v>31</v>
      </c>
      <c r="AW52" s="195" t="e">
        <f aca="false">IF($A53="","",AL52*$E52)</f>
        <v>#NAME?</v>
      </c>
      <c r="AX52" s="195" t="e">
        <f aca="false">IF($A53="","",AM52*$E52)</f>
        <v>#N/A</v>
      </c>
      <c r="AY52" s="195" t="e">
        <f aca="false">IF($A53="","",AN52*$E52)</f>
        <v>#N/A</v>
      </c>
      <c r="BA52" s="195" t="n">
        <f aca="false">IF($A53="","",F52*Summary!$Q$11)</f>
        <v>0</v>
      </c>
      <c r="BC52" s="179" t="e">
        <f aca="false">IF(A53="","",AM52*F52)</f>
        <v>#N/A</v>
      </c>
    </row>
    <row r="53" customFormat="false" ht="12.75" hidden="false" customHeight="false" outlineLevel="0" collapsed="false">
      <c r="A53" s="196" t="n">
        <f aca="false">IF(A52&lt;mthend,EDATE(A52,1),"")</f>
        <v>38353</v>
      </c>
      <c r="B53" s="197" t="n">
        <f aca="false">IF(A53&lt;mthend,B52,"")</f>
        <v>124142</v>
      </c>
      <c r="C53" s="215"/>
      <c r="D53" s="197" t="n">
        <f aca="false">IF(A54&lt;&gt;"",B53+C53,"")</f>
        <v>124142</v>
      </c>
      <c r="E53" s="199" t="n">
        <f aca="false">IF(A54="","",IF(AND(AT53=1,$H$3=1),D53*AO53,IF($H$3=2,D53,"N/A")))</f>
        <v>3848402</v>
      </c>
      <c r="F53" s="199" t="n">
        <f aca="false">IF(A54="","",E53*AS53)</f>
        <v>29103648.5337246</v>
      </c>
      <c r="G53" s="200" t="e">
        <f aca="false">IF($A54="","",VLOOKUP($A53,Table,MATCH(G$4,Curves,0)))</f>
        <v>#N/A</v>
      </c>
      <c r="H53" s="201" t="e">
        <f aca="false">IF(A54="","",G53)</f>
        <v>#N/A</v>
      </c>
      <c r="I53" s="202"/>
      <c r="J53" s="200" t="e">
        <f aca="false">IF($A54="","",VLOOKUP($A53,Table,MATCH(J$4,Curves,0)))</f>
        <v>#N/A</v>
      </c>
      <c r="K53" s="201" t="e">
        <f aca="false">IF(A54="","",J53)</f>
        <v>#N/A</v>
      </c>
      <c r="L53" s="200" t="e">
        <f aca="false">IF($A54="","",VLOOKUP($A53,Table,MATCH(L$4,Curves,0)))</f>
        <v>#N/A</v>
      </c>
      <c r="M53" s="201" t="e">
        <f aca="false">IF(A54="","",L53)</f>
        <v>#N/A</v>
      </c>
      <c r="N53" s="203"/>
      <c r="O53" s="200" t="e">
        <f aca="false">IF(A54="","",L53+J53+G53)</f>
        <v>#N/A</v>
      </c>
      <c r="P53" s="200" t="e">
        <f aca="false">IF(A54="","",M53+K53+H53)</f>
        <v>#N/A</v>
      </c>
      <c r="Q53" s="204"/>
      <c r="R53" s="200" t="e">
        <f aca="false">IF($A54="","",VLOOKUP($A53,Table,MATCH(R$4,Curves,0)))</f>
        <v>#N/A</v>
      </c>
      <c r="S53" s="201" t="e">
        <f aca="false">IF(A54="","",R53)</f>
        <v>#N/A</v>
      </c>
      <c r="T53" s="185" t="n">
        <v>0</v>
      </c>
      <c r="U53" s="201" t="n">
        <f aca="false">IF(A54="","",T53)</f>
        <v>0</v>
      </c>
      <c r="V53" s="205" t="e">
        <f aca="false">IF($A54="","",IF(AND(MONTH(A53)&gt;3,MONTH(A53)&lt;11),(T53+R53+G53)*Summary!$T$11/(1-Summary!$T$11),(T53+R53+G53)*Summary!$U$11/(1-Summary!$U$11)))</f>
        <v>#N/A</v>
      </c>
      <c r="W53" s="202" t="e">
        <f aca="false">IF($A54="","",(T53+R53+G53+V53))</f>
        <v>#N/A</v>
      </c>
      <c r="X53" s="202" t="e">
        <f aca="false">IF($A54="","",(U53+S53+H53+V53))</f>
        <v>#N/A</v>
      </c>
      <c r="Y53" s="202"/>
      <c r="Z53" s="185" t="e">
        <f aca="false">IF($A54="","",VLOOKUP($A53,Table,MATCH(Z$4,Curves,0)))</f>
        <v>#N/A</v>
      </c>
      <c r="AA53" s="185" t="e">
        <f aca="false">IF($A54="","",VLOOKUP($A53,Table,MATCH(AA$4,Curves,0)))</f>
        <v>#N/A</v>
      </c>
      <c r="AB53" s="185" t="e">
        <f aca="false">SQRT((AA53^2*(A53-$D$3)+Z53^2*(DAY(EOMONTH(A53,0))/2))/AK53)</f>
        <v>#N/A</v>
      </c>
      <c r="AC53" s="185" t="e">
        <f aca="false">IF($A54="","",VLOOKUP($A53,Table,MATCH(AC$4,Curves,0)))</f>
        <v>#N/A</v>
      </c>
      <c r="AD53" s="185" t="e">
        <f aca="false">IF($A54="","",VLOOKUP($A53,Table,MATCH(AD$4,Curves,0)))</f>
        <v>#N/A</v>
      </c>
      <c r="AE53" s="185" t="e">
        <f aca="false">SQRT((AD53^2*(A53-$D$3)+AC53^2*(DAY(EOMONTH(A53,0))/2))/AK53)</f>
        <v>#N/A</v>
      </c>
      <c r="AF53" s="206" t="e">
        <f aca="false">((Summary!$N$11*(AA53*AD53)*(A53-$D$3))+(Summary!$M$11*Z53*AC53*(AJ53-EOMONTH(EDATE(A53,-1),0))))/(AK53*AB53*AE53)</f>
        <v>#N/A</v>
      </c>
      <c r="AG53" s="207" t="n">
        <f aca="false">IF($A54="","",Summary!$Q$11)</f>
        <v>0</v>
      </c>
      <c r="AH53" s="207" t="n">
        <f aca="false">IF($A54="","",IF(Summary!$R$11="Y",(VLOOKUP($A53,Summary!$AD$6:$AF$9,3)+'Escalating commodity'!G66),'Escalating commodity'!G66))</f>
        <v>0.00526031121286396</v>
      </c>
      <c r="AI53" s="207" t="n">
        <f aca="false">IF($A54="","",AH53)</f>
        <v>0.00526031121286396</v>
      </c>
      <c r="AJ53" s="208" t="n">
        <f aca="false">A53+DAY(EOMONTH(A53,0))/2-1</f>
        <v>38367.5</v>
      </c>
      <c r="AK53" s="209" t="n">
        <f aca="false">IF($A54="","",$A53-$E$1)</f>
        <v>-7573</v>
      </c>
      <c r="AL53" s="182" t="e">
        <f aca="false">IF($A54="","",SPRDOPT(P53,X53,AI53,0,AB53,AE53,AF53,AK53,$AJ$2,0))</f>
        <v>#NAME?</v>
      </c>
      <c r="AM53" s="210" t="e">
        <f aca="false">IF($A54="","",MAX(0,O53-W53-AI53))</f>
        <v>#N/A</v>
      </c>
      <c r="AN53" s="211" t="e">
        <f aca="false">IF($A54="","",AL53-AM53)</f>
        <v>#N/A</v>
      </c>
      <c r="AO53" s="137" t="n">
        <f aca="false">IF(A54="","",A54-A53)</f>
        <v>31</v>
      </c>
      <c r="AP53" s="212" t="n">
        <f aca="false">IF(A54="","",CHOOSE(F$3,A54+24,A53))</f>
        <v>38353</v>
      </c>
      <c r="AQ53" s="209" t="n">
        <f aca="false">IF(A54="","",AP53-$E$1)</f>
        <v>-7573</v>
      </c>
      <c r="AR53" s="185" t="n">
        <f aca="false">'ANR OK vs ML7'!AR53</f>
        <v>0.1</v>
      </c>
      <c r="AS53" s="213" t="n">
        <f aca="false">IF(A54="","",1/(1+CHOOSE(F$3,(AR54+($I$3/10000))/2,(AR53+($I$3/10000))/2))^(2*AQ53/365.25))</f>
        <v>7.56252816980258</v>
      </c>
      <c r="AT53" s="137" t="n">
        <f aca="false">IF(A54="","",IF(AND(mthbeg&lt;=A53,mthend&gt;=A53),1,0))</f>
        <v>1</v>
      </c>
      <c r="AU53" s="137" t="n">
        <f aca="false">IF(A54="","",AO53*AT53)</f>
        <v>31</v>
      </c>
      <c r="AW53" s="195" t="e">
        <f aca="false">IF($A54="","",AL53*$E53)</f>
        <v>#NAME?</v>
      </c>
      <c r="AX53" s="195" t="e">
        <f aca="false">IF($A54="","",AM53*$E53)</f>
        <v>#N/A</v>
      </c>
      <c r="AY53" s="195" t="e">
        <f aca="false">IF($A54="","",AN53*$E53)</f>
        <v>#N/A</v>
      </c>
      <c r="BA53" s="195" t="n">
        <f aca="false">IF($A54="","",F53*Summary!$Q$11)</f>
        <v>0</v>
      </c>
      <c r="BC53" s="179" t="e">
        <f aca="false">IF(A54="","",AM53*F53)</f>
        <v>#N/A</v>
      </c>
    </row>
    <row r="54" customFormat="false" ht="12.75" hidden="false" customHeight="false" outlineLevel="0" collapsed="false">
      <c r="A54" s="196" t="n">
        <f aca="false">IF(A53&lt;mthend,EDATE(A53,1),"")</f>
        <v>38384</v>
      </c>
      <c r="B54" s="197" t="n">
        <f aca="false">IF(A54&lt;mthend,B53,"")</f>
        <v>124142</v>
      </c>
      <c r="C54" s="215"/>
      <c r="D54" s="197" t="n">
        <f aca="false">IF(A55&lt;&gt;"",B54+C54,"")</f>
        <v>124142</v>
      </c>
      <c r="E54" s="199" t="n">
        <f aca="false">IF(A55="","",IF(AND(AT54=1,$H$3=1),D54*AO54,IF($H$3=2,D54,"N/A")))</f>
        <v>3475976</v>
      </c>
      <c r="F54" s="199" t="n">
        <f aca="false">IF(A55="","",E54*AS54)</f>
        <v>26070355.8967029</v>
      </c>
      <c r="G54" s="200" t="e">
        <f aca="false">IF($A55="","",VLOOKUP($A54,Table,MATCH(G$4,Curves,0)))</f>
        <v>#N/A</v>
      </c>
      <c r="H54" s="201" t="e">
        <f aca="false">IF(A55="","",G54)</f>
        <v>#N/A</v>
      </c>
      <c r="I54" s="202"/>
      <c r="J54" s="200" t="e">
        <f aca="false">IF($A55="","",VLOOKUP($A54,Table,MATCH(J$4,Curves,0)))</f>
        <v>#N/A</v>
      </c>
      <c r="K54" s="201" t="e">
        <f aca="false">IF(A55="","",J54)</f>
        <v>#N/A</v>
      </c>
      <c r="L54" s="200" t="e">
        <f aca="false">IF($A55="","",VLOOKUP($A54,Table,MATCH(L$4,Curves,0)))</f>
        <v>#N/A</v>
      </c>
      <c r="M54" s="201" t="e">
        <f aca="false">IF(A55="","",L54)</f>
        <v>#N/A</v>
      </c>
      <c r="N54" s="203"/>
      <c r="O54" s="200" t="e">
        <f aca="false">IF(A55="","",L54+J54+G54)</f>
        <v>#N/A</v>
      </c>
      <c r="P54" s="200" t="e">
        <f aca="false">IF(A55="","",M54+K54+H54)</f>
        <v>#N/A</v>
      </c>
      <c r="Q54" s="204"/>
      <c r="R54" s="200" t="e">
        <f aca="false">IF($A55="","",VLOOKUP($A54,Table,MATCH(R$4,Curves,0)))</f>
        <v>#N/A</v>
      </c>
      <c r="S54" s="201" t="e">
        <f aca="false">IF(A55="","",R54)</f>
        <v>#N/A</v>
      </c>
      <c r="T54" s="185" t="n">
        <v>0</v>
      </c>
      <c r="U54" s="201" t="n">
        <f aca="false">IF(A55="","",T54)</f>
        <v>0</v>
      </c>
      <c r="V54" s="205" t="e">
        <f aca="false">IF($A55="","",IF(AND(MONTH(A54)&gt;3,MONTH(A54)&lt;11),(T54+R54+G54)*Summary!$T$11/(1-Summary!$T$11),(T54+R54+G54)*Summary!$U$11/(1-Summary!$U$11)))</f>
        <v>#N/A</v>
      </c>
      <c r="W54" s="202" t="e">
        <f aca="false">IF($A55="","",(T54+R54+G54+V54))</f>
        <v>#N/A</v>
      </c>
      <c r="X54" s="202" t="e">
        <f aca="false">IF($A55="","",(U54+S54+H54+V54))</f>
        <v>#N/A</v>
      </c>
      <c r="Y54" s="202"/>
      <c r="Z54" s="185" t="e">
        <f aca="false">IF($A55="","",VLOOKUP($A54,Table,MATCH(Z$4,Curves,0)))</f>
        <v>#N/A</v>
      </c>
      <c r="AA54" s="185" t="e">
        <f aca="false">IF($A55="","",VLOOKUP($A54,Table,MATCH(AA$4,Curves,0)))</f>
        <v>#N/A</v>
      </c>
      <c r="AB54" s="185" t="e">
        <f aca="false">SQRT((AA54^2*(A54-$D$3)+Z54^2*(DAY(EOMONTH(A54,0))/2))/AK54)</f>
        <v>#N/A</v>
      </c>
      <c r="AC54" s="185" t="e">
        <f aca="false">IF($A55="","",VLOOKUP($A54,Table,MATCH(AC$4,Curves,0)))</f>
        <v>#N/A</v>
      </c>
      <c r="AD54" s="185" t="e">
        <f aca="false">IF($A55="","",VLOOKUP($A54,Table,MATCH(AD$4,Curves,0)))</f>
        <v>#N/A</v>
      </c>
      <c r="AE54" s="185" t="e">
        <f aca="false">SQRT((AD54^2*(A54-$D$3)+AC54^2*(DAY(EOMONTH(A54,0))/2))/AK54)</f>
        <v>#N/A</v>
      </c>
      <c r="AF54" s="206" t="e">
        <f aca="false">((Summary!$N$11*(AA54*AD54)*(A54-$D$3))+(Summary!$M$11*Z54*AC54*(AJ54-EOMONTH(EDATE(A54,-1),0))))/(AK54*AB54*AE54)</f>
        <v>#N/A</v>
      </c>
      <c r="AG54" s="207" t="n">
        <f aca="false">IF($A55="","",Summary!$Q$11)</f>
        <v>0</v>
      </c>
      <c r="AH54" s="207" t="n">
        <f aca="false">IF($A55="","",IF(Summary!$R$11="Y",(VLOOKUP($A54,Summary!$AD$6:$AF$9,3)+'Escalating commodity'!G67),'Escalating commodity'!G67))</f>
        <v>0.00526031121286396</v>
      </c>
      <c r="AI54" s="207" t="n">
        <f aca="false">IF($A55="","",AH54)</f>
        <v>0.00526031121286396</v>
      </c>
      <c r="AJ54" s="208" t="n">
        <f aca="false">A54+DAY(EOMONTH(A54,0))/2-1</f>
        <v>38397</v>
      </c>
      <c r="AK54" s="209" t="n">
        <f aca="false">IF($A55="","",$A54-$E$1)</f>
        <v>-7542</v>
      </c>
      <c r="AL54" s="182" t="e">
        <f aca="false">IF($A55="","",SPRDOPT(P54,X54,AI54,0,AB54,AE54,AF54,AK54,$AJ$2,0))</f>
        <v>#NAME?</v>
      </c>
      <c r="AM54" s="210" t="e">
        <f aca="false">IF($A55="","",MAX(0,O54-W54-AI54))</f>
        <v>#N/A</v>
      </c>
      <c r="AN54" s="211" t="e">
        <f aca="false">IF($A55="","",AL54-AM54)</f>
        <v>#N/A</v>
      </c>
      <c r="AO54" s="137" t="n">
        <f aca="false">IF(A55="","",A55-A54)</f>
        <v>28</v>
      </c>
      <c r="AP54" s="212" t="n">
        <f aca="false">IF(A55="","",CHOOSE(F$3,A55+24,A54))</f>
        <v>38384</v>
      </c>
      <c r="AQ54" s="209" t="n">
        <f aca="false">IF(A55="","",AP54-$E$1)</f>
        <v>-7542</v>
      </c>
      <c r="AR54" s="185" t="n">
        <f aca="false">'ANR OK vs ML7'!AR54</f>
        <v>0.1</v>
      </c>
      <c r="AS54" s="213" t="n">
        <f aca="false">IF(A55="","",1/(1+CHOOSE(F$3,(AR55+($I$3/10000))/2,(AR54+($I$3/10000))/2))^(2*AQ54/365.25))</f>
        <v>7.5001541715774</v>
      </c>
      <c r="AT54" s="137" t="n">
        <f aca="false">IF(A55="","",IF(AND(mthbeg&lt;=A54,mthend&gt;=A54),1,0))</f>
        <v>1</v>
      </c>
      <c r="AU54" s="137" t="n">
        <f aca="false">IF(A55="","",AO54*AT54)</f>
        <v>28</v>
      </c>
      <c r="AW54" s="195" t="e">
        <f aca="false">IF($A55="","",AL54*$E54)</f>
        <v>#NAME?</v>
      </c>
      <c r="AX54" s="195" t="e">
        <f aca="false">IF($A55="","",AM54*$E54)</f>
        <v>#N/A</v>
      </c>
      <c r="AY54" s="195" t="e">
        <f aca="false">IF($A55="","",AN54*$E54)</f>
        <v>#N/A</v>
      </c>
      <c r="BA54" s="195" t="n">
        <f aca="false">IF($A55="","",F54*Summary!$Q$11)</f>
        <v>0</v>
      </c>
      <c r="BC54" s="179" t="e">
        <f aca="false">IF(A55="","",AM54*F54)</f>
        <v>#N/A</v>
      </c>
    </row>
    <row r="55" customFormat="false" ht="12.75" hidden="false" customHeight="false" outlineLevel="0" collapsed="false">
      <c r="A55" s="196" t="n">
        <f aca="false">IF(A54&lt;mthend,EDATE(A54,1),"")</f>
        <v>38412</v>
      </c>
      <c r="B55" s="197" t="n">
        <f aca="false">IF(A55&lt;mthend,B54,"")</f>
        <v>124142</v>
      </c>
      <c r="C55" s="215"/>
      <c r="D55" s="197" t="n">
        <f aca="false">IF(A56&lt;&gt;"",B55+C55,"")</f>
        <v>124142</v>
      </c>
      <c r="E55" s="199" t="n">
        <f aca="false">IF(A56="","",IF(AND(AT55=1,$H$3=1),D55*AO55,IF($H$3=2,D55,"N/A")))</f>
        <v>3848402</v>
      </c>
      <c r="F55" s="199" t="n">
        <f aca="false">IF(A56="","",E55*AS55)</f>
        <v>28648499.9246094</v>
      </c>
      <c r="G55" s="200" t="e">
        <f aca="false">IF($A56="","",VLOOKUP($A55,Table,MATCH(G$4,Curves,0)))</f>
        <v>#N/A</v>
      </c>
      <c r="H55" s="201" t="e">
        <f aca="false">IF(A56="","",G55)</f>
        <v>#N/A</v>
      </c>
      <c r="I55" s="202"/>
      <c r="J55" s="200" t="e">
        <f aca="false">IF($A56="","",VLOOKUP($A55,Table,MATCH(J$4,Curves,0)))</f>
        <v>#N/A</v>
      </c>
      <c r="K55" s="201" t="e">
        <f aca="false">IF(A56="","",J55)</f>
        <v>#N/A</v>
      </c>
      <c r="L55" s="200" t="e">
        <f aca="false">IF($A56="","",VLOOKUP($A55,Table,MATCH(L$4,Curves,0)))</f>
        <v>#N/A</v>
      </c>
      <c r="M55" s="201" t="e">
        <f aca="false">IF(A56="","",L55)</f>
        <v>#N/A</v>
      </c>
      <c r="N55" s="203"/>
      <c r="O55" s="200" t="e">
        <f aca="false">IF(A56="","",L55+J55+G55)</f>
        <v>#N/A</v>
      </c>
      <c r="P55" s="200" t="e">
        <f aca="false">IF(A56="","",M55+K55+H55)</f>
        <v>#N/A</v>
      </c>
      <c r="Q55" s="204"/>
      <c r="R55" s="200" t="e">
        <f aca="false">IF($A56="","",VLOOKUP($A55,Table,MATCH(R$4,Curves,0)))</f>
        <v>#N/A</v>
      </c>
      <c r="S55" s="201" t="e">
        <f aca="false">IF(A56="","",R55)</f>
        <v>#N/A</v>
      </c>
      <c r="T55" s="185" t="n">
        <v>0</v>
      </c>
      <c r="U55" s="201" t="n">
        <f aca="false">IF(A56="","",T55)</f>
        <v>0</v>
      </c>
      <c r="V55" s="205" t="e">
        <f aca="false">IF($A56="","",IF(AND(MONTH(A55)&gt;3,MONTH(A55)&lt;11),(T55+R55+G55)*Summary!$T$11/(1-Summary!$T$11),(T55+R55+G55)*Summary!$U$11/(1-Summary!$U$11)))</f>
        <v>#N/A</v>
      </c>
      <c r="W55" s="202" t="e">
        <f aca="false">IF($A56="","",(T55+R55+G55+V55))</f>
        <v>#N/A</v>
      </c>
      <c r="X55" s="202" t="e">
        <f aca="false">IF($A56="","",(U55+S55+H55+V55))</f>
        <v>#N/A</v>
      </c>
      <c r="Y55" s="202"/>
      <c r="Z55" s="185" t="e">
        <f aca="false">IF($A56="","",VLOOKUP($A55,Table,MATCH(Z$4,Curves,0)))</f>
        <v>#N/A</v>
      </c>
      <c r="AA55" s="185" t="e">
        <f aca="false">IF($A56="","",VLOOKUP($A55,Table,MATCH(AA$4,Curves,0)))</f>
        <v>#N/A</v>
      </c>
      <c r="AB55" s="185" t="e">
        <f aca="false">SQRT((AA55^2*(A55-$D$3)+Z55^2*(DAY(EOMONTH(A55,0))/2))/AK55)</f>
        <v>#N/A</v>
      </c>
      <c r="AC55" s="185" t="e">
        <f aca="false">IF($A56="","",VLOOKUP($A55,Table,MATCH(AC$4,Curves,0)))</f>
        <v>#N/A</v>
      </c>
      <c r="AD55" s="185" t="e">
        <f aca="false">IF($A56="","",VLOOKUP($A55,Table,MATCH(AD$4,Curves,0)))</f>
        <v>#N/A</v>
      </c>
      <c r="AE55" s="185" t="e">
        <f aca="false">SQRT((AD55^2*(A55-$D$3)+AC55^2*(DAY(EOMONTH(A55,0))/2))/AK55)</f>
        <v>#N/A</v>
      </c>
      <c r="AF55" s="206" t="e">
        <f aca="false">((Summary!$N$11*(AA55*AD55)*(A55-$D$3))+(Summary!$M$11*Z55*AC55*(AJ55-EOMONTH(EDATE(A55,-1),0))))/(AK55*AB55*AE55)</f>
        <v>#N/A</v>
      </c>
      <c r="AG55" s="207" t="n">
        <f aca="false">IF($A56="","",Summary!$Q$11)</f>
        <v>0</v>
      </c>
      <c r="AH55" s="207" t="n">
        <f aca="false">IF($A56="","",IF(Summary!$R$11="Y",(VLOOKUP($A55,Summary!$AD$6:$AF$9,3)+'Escalating commodity'!G68),'Escalating commodity'!G68))</f>
        <v>0.00526031121286396</v>
      </c>
      <c r="AI55" s="207" t="n">
        <f aca="false">IF($A56="","",AH55)</f>
        <v>0.00526031121286396</v>
      </c>
      <c r="AJ55" s="208" t="n">
        <f aca="false">A55+DAY(EOMONTH(A55,0))/2-1</f>
        <v>38426.5</v>
      </c>
      <c r="AK55" s="209" t="n">
        <f aca="false">IF($A56="","",$A55-$E$1)</f>
        <v>-7514</v>
      </c>
      <c r="AL55" s="182" t="e">
        <f aca="false">IF($A56="","",SPRDOPT(P55,X55,AI55,0,AB55,AE55,AF55,AK55,$AJ$2,0))</f>
        <v>#NAME?</v>
      </c>
      <c r="AM55" s="210" t="e">
        <f aca="false">IF($A56="","",MAX(0,O55-W55-AI55))</f>
        <v>#N/A</v>
      </c>
      <c r="AN55" s="211" t="e">
        <f aca="false">IF($A56="","",AL55-AM55)</f>
        <v>#N/A</v>
      </c>
      <c r="AO55" s="137" t="n">
        <f aca="false">IF(A56="","",A56-A55)</f>
        <v>31</v>
      </c>
      <c r="AP55" s="212" t="n">
        <f aca="false">IF(A56="","",CHOOSE(F$3,A56+24,A55))</f>
        <v>38412</v>
      </c>
      <c r="AQ55" s="209" t="n">
        <f aca="false">IF(A56="","",AP55-$E$1)</f>
        <v>-7514</v>
      </c>
      <c r="AR55" s="185" t="n">
        <f aca="false">'ANR OK vs ML7'!AR55</f>
        <v>0.1</v>
      </c>
      <c r="AS55" s="213" t="n">
        <f aca="false">IF(A56="","",1/(1+CHOOSE(F$3,(AR56+($I$3/10000))/2,(AR55+($I$3/10000))/2))^(2*AQ55/365.25))</f>
        <v>7.44425866232515</v>
      </c>
      <c r="AT55" s="137" t="n">
        <f aca="false">IF(A56="","",IF(AND(mthbeg&lt;=A55,mthend&gt;=A55),1,0))</f>
        <v>1</v>
      </c>
      <c r="AU55" s="137" t="n">
        <f aca="false">IF(A56="","",AO55*AT55)</f>
        <v>31</v>
      </c>
      <c r="AW55" s="195" t="e">
        <f aca="false">IF($A56="","",AL55*$E55)</f>
        <v>#NAME?</v>
      </c>
      <c r="AX55" s="195" t="e">
        <f aca="false">IF($A56="","",AM55*$E55)</f>
        <v>#N/A</v>
      </c>
      <c r="AY55" s="195" t="e">
        <f aca="false">IF($A56="","",AN55*$E55)</f>
        <v>#N/A</v>
      </c>
      <c r="BA55" s="195" t="n">
        <f aca="false">IF($A56="","",F55*Summary!$Q$11)</f>
        <v>0</v>
      </c>
      <c r="BC55" s="179" t="e">
        <f aca="false">IF(A56="","",AM55*F55)</f>
        <v>#N/A</v>
      </c>
    </row>
    <row r="56" customFormat="false" ht="12.75" hidden="false" customHeight="false" outlineLevel="0" collapsed="false">
      <c r="A56" s="196" t="n">
        <f aca="false">IF(A55&lt;mthend,EDATE(A55,1),"")</f>
        <v>38443</v>
      </c>
      <c r="B56" s="197" t="n">
        <f aca="false">IF(A56&lt;mthend,B55,"")</f>
        <v>124142</v>
      </c>
      <c r="C56" s="215"/>
      <c r="D56" s="197" t="n">
        <f aca="false">IF(A57&lt;&gt;"",B56+C56,"")</f>
        <v>124142</v>
      </c>
      <c r="E56" s="199" t="n">
        <f aca="false">IF(A57="","",IF(AND(AT56=1,$H$3=1),D56*AO56,IF($H$3=2,D56,"N/A")))</f>
        <v>3724260</v>
      </c>
      <c r="F56" s="199" t="n">
        <f aca="false">IF(A57="","",E56*AS56)</f>
        <v>27495690.6449537</v>
      </c>
      <c r="G56" s="200" t="e">
        <f aca="false">IF($A57="","",VLOOKUP($A56,Table,MATCH(G$4,Curves,0)))</f>
        <v>#N/A</v>
      </c>
      <c r="H56" s="201" t="e">
        <f aca="false">IF(A57="","",G56)</f>
        <v>#N/A</v>
      </c>
      <c r="I56" s="202"/>
      <c r="J56" s="200" t="e">
        <f aca="false">IF($A57="","",VLOOKUP($A56,Table,MATCH(J$4,Curves,0)))</f>
        <v>#N/A</v>
      </c>
      <c r="K56" s="201" t="e">
        <f aca="false">IF(A57="","",J56)</f>
        <v>#N/A</v>
      </c>
      <c r="L56" s="200" t="e">
        <f aca="false">IF($A57="","",VLOOKUP($A56,Table,MATCH(L$4,Curves,0)))</f>
        <v>#N/A</v>
      </c>
      <c r="M56" s="201" t="e">
        <f aca="false">IF(A57="","",L56)</f>
        <v>#N/A</v>
      </c>
      <c r="N56" s="203"/>
      <c r="O56" s="200" t="e">
        <f aca="false">IF(A57="","",L56+J56+G56)</f>
        <v>#N/A</v>
      </c>
      <c r="P56" s="200" t="e">
        <f aca="false">IF(A57="","",M56+K56+H56)</f>
        <v>#N/A</v>
      </c>
      <c r="Q56" s="204"/>
      <c r="R56" s="200" t="e">
        <f aca="false">IF($A57="","",VLOOKUP($A56,Table,MATCH(R$4,Curves,0)))</f>
        <v>#N/A</v>
      </c>
      <c r="S56" s="201" t="e">
        <f aca="false">IF(A57="","",R56)</f>
        <v>#N/A</v>
      </c>
      <c r="T56" s="185" t="n">
        <v>0</v>
      </c>
      <c r="U56" s="201" t="n">
        <f aca="false">IF(A57="","",T56)</f>
        <v>0</v>
      </c>
      <c r="V56" s="205" t="e">
        <f aca="false">IF($A57="","",IF(AND(MONTH(A56)&gt;3,MONTH(A56)&lt;11),(T56+R56+G56)*Summary!$T$11/(1-Summary!$T$11),(T56+R56+G56)*Summary!$U$11/(1-Summary!$U$11)))</f>
        <v>#N/A</v>
      </c>
      <c r="W56" s="202" t="e">
        <f aca="false">IF($A57="","",(T56+R56+G56+V56))</f>
        <v>#N/A</v>
      </c>
      <c r="X56" s="202" t="e">
        <f aca="false">IF($A57="","",(U56+S56+H56+V56))</f>
        <v>#N/A</v>
      </c>
      <c r="Y56" s="202"/>
      <c r="Z56" s="185" t="e">
        <f aca="false">IF($A57="","",VLOOKUP($A56,Table,MATCH(Z$4,Curves,0)))</f>
        <v>#N/A</v>
      </c>
      <c r="AA56" s="185" t="e">
        <f aca="false">IF($A57="","",VLOOKUP($A56,Table,MATCH(AA$4,Curves,0)))</f>
        <v>#N/A</v>
      </c>
      <c r="AB56" s="185" t="e">
        <f aca="false">SQRT((AA56^2*(A56-$D$3)+Z56^2*(DAY(EOMONTH(A56,0))/2))/AK56)</f>
        <v>#N/A</v>
      </c>
      <c r="AC56" s="185" t="e">
        <f aca="false">IF($A57="","",VLOOKUP($A56,Table,MATCH(AC$4,Curves,0)))</f>
        <v>#N/A</v>
      </c>
      <c r="AD56" s="185" t="e">
        <f aca="false">IF($A57="","",VLOOKUP($A56,Table,MATCH(AD$4,Curves,0)))</f>
        <v>#N/A</v>
      </c>
      <c r="AE56" s="185" t="e">
        <f aca="false">SQRT((AD56^2*(A56-$D$3)+AC56^2*(DAY(EOMONTH(A56,0))/2))/AK56)</f>
        <v>#N/A</v>
      </c>
      <c r="AF56" s="206" t="e">
        <f aca="false">((Summary!$N$11*(AA56*AD56)*(A56-$D$3))+(Summary!$M$11*Z56*AC56*(AJ56-EOMONTH(EDATE(A56,-1),0))))/(AK56*AB56*AE56)</f>
        <v>#N/A</v>
      </c>
      <c r="AG56" s="207" t="n">
        <f aca="false">IF($A57="","",Summary!$Q$11)</f>
        <v>0</v>
      </c>
      <c r="AH56" s="207" t="n">
        <f aca="false">IF($A57="","",IF(Summary!$R$11="Y",(VLOOKUP($A56,Summary!$AD$6:$AF$9,3)+'Escalating commodity'!G69),'Escalating commodity'!G69))</f>
        <v>0.00526031121286396</v>
      </c>
      <c r="AI56" s="207" t="n">
        <f aca="false">IF($A57="","",AH56)</f>
        <v>0.00526031121286396</v>
      </c>
      <c r="AJ56" s="208" t="n">
        <f aca="false">A56+DAY(EOMONTH(A56,0))/2-1</f>
        <v>38457</v>
      </c>
      <c r="AK56" s="209" t="n">
        <f aca="false">IF($A57="","",$A56-$E$1)</f>
        <v>-7483</v>
      </c>
      <c r="AL56" s="182" t="e">
        <f aca="false">IF($A57="","",SPRDOPT(P56,X56,AI56,0,AB56,AE56,AF56,AK56,$AJ$2,0))</f>
        <v>#NAME?</v>
      </c>
      <c r="AM56" s="210" t="e">
        <f aca="false">IF($A57="","",MAX(0,O56-W56-AI56))</f>
        <v>#N/A</v>
      </c>
      <c r="AN56" s="211" t="e">
        <f aca="false">IF($A57="","",AL56-AM56)</f>
        <v>#N/A</v>
      </c>
      <c r="AO56" s="137" t="n">
        <f aca="false">IF(A57="","",A57-A56)</f>
        <v>30</v>
      </c>
      <c r="AP56" s="212" t="n">
        <f aca="false">IF(A57="","",CHOOSE(F$3,A57+24,A56))</f>
        <v>38443</v>
      </c>
      <c r="AQ56" s="209" t="n">
        <f aca="false">IF(A57="","",AP56-$E$1)</f>
        <v>-7483</v>
      </c>
      <c r="AR56" s="185" t="n">
        <f aca="false">'ANR OK vs ML7'!AR56</f>
        <v>0.1</v>
      </c>
      <c r="AS56" s="213" t="n">
        <f aca="false">IF(A57="","",1/(1+CHOOSE(F$3,(AR57+($I$3/10000))/2,(AR56+($I$3/10000))/2))^(2*AQ56/365.25))</f>
        <v>7.38286012387795</v>
      </c>
      <c r="AT56" s="137" t="n">
        <f aca="false">IF(A57="","",IF(AND(mthbeg&lt;=A56,mthend&gt;=A56),1,0))</f>
        <v>1</v>
      </c>
      <c r="AU56" s="137" t="n">
        <f aca="false">IF(A57="","",AO56*AT56)</f>
        <v>30</v>
      </c>
      <c r="AW56" s="195" t="e">
        <f aca="false">IF($A57="","",AL56*$E56)</f>
        <v>#NAME?</v>
      </c>
      <c r="AX56" s="195" t="e">
        <f aca="false">IF($A57="","",AM56*$E56)</f>
        <v>#N/A</v>
      </c>
      <c r="AY56" s="195" t="e">
        <f aca="false">IF($A57="","",AN56*$E56)</f>
        <v>#N/A</v>
      </c>
      <c r="BA56" s="195" t="n">
        <f aca="false">IF($A57="","",F56*Summary!$Q$11)</f>
        <v>0</v>
      </c>
      <c r="BC56" s="179" t="e">
        <f aca="false">IF(A57="","",AM56*F56)</f>
        <v>#N/A</v>
      </c>
    </row>
    <row r="57" customFormat="false" ht="12.75" hidden="false" customHeight="false" outlineLevel="0" collapsed="false">
      <c r="A57" s="196" t="n">
        <f aca="false">IF(A56&lt;mthend,EDATE(A56,1),"")</f>
        <v>38473</v>
      </c>
      <c r="B57" s="197" t="n">
        <f aca="false">IF(A57&lt;mthend,B56,"")</f>
        <v>124142</v>
      </c>
      <c r="C57" s="215"/>
      <c r="D57" s="197" t="n">
        <f aca="false">IF(A58&lt;&gt;"",B57+C57,"")</f>
        <v>124142</v>
      </c>
      <c r="E57" s="199" t="n">
        <f aca="false">IF(A58="","",IF(AND(AT57=1,$H$3=1),D57*AO57,IF($H$3=2,D57,"N/A")))</f>
        <v>3848402</v>
      </c>
      <c r="F57" s="199" t="n">
        <f aca="false">IF(A58="","",E57*AS57)</f>
        <v>28185405.2609431</v>
      </c>
      <c r="G57" s="200" t="e">
        <f aca="false">IF($A58="","",VLOOKUP($A57,Table,MATCH(G$4,Curves,0)))</f>
        <v>#N/A</v>
      </c>
      <c r="H57" s="201" t="e">
        <f aca="false">IF(A58="","",G57)</f>
        <v>#N/A</v>
      </c>
      <c r="I57" s="202"/>
      <c r="J57" s="200" t="e">
        <f aca="false">IF($A58="","",VLOOKUP($A57,Table,MATCH(J$4,Curves,0)))</f>
        <v>#N/A</v>
      </c>
      <c r="K57" s="201" t="e">
        <f aca="false">IF(A58="","",J57)</f>
        <v>#N/A</v>
      </c>
      <c r="L57" s="200" t="e">
        <f aca="false">IF($A58="","",VLOOKUP($A57,Table,MATCH(L$4,Curves,0)))</f>
        <v>#N/A</v>
      </c>
      <c r="M57" s="201" t="e">
        <f aca="false">IF(A58="","",L57)</f>
        <v>#N/A</v>
      </c>
      <c r="N57" s="203"/>
      <c r="O57" s="200" t="e">
        <f aca="false">IF(A58="","",L57+J57+G57)</f>
        <v>#N/A</v>
      </c>
      <c r="P57" s="200" t="e">
        <f aca="false">IF(A58="","",M57+K57+H57)</f>
        <v>#N/A</v>
      </c>
      <c r="Q57" s="204"/>
      <c r="R57" s="200" t="e">
        <f aca="false">IF($A58="","",VLOOKUP($A57,Table,MATCH(R$4,Curves,0)))</f>
        <v>#N/A</v>
      </c>
      <c r="S57" s="201" t="e">
        <f aca="false">IF(A58="","",R57)</f>
        <v>#N/A</v>
      </c>
      <c r="T57" s="185" t="n">
        <v>0</v>
      </c>
      <c r="U57" s="201" t="n">
        <f aca="false">IF(A58="","",T57)</f>
        <v>0</v>
      </c>
      <c r="V57" s="205" t="e">
        <f aca="false">IF($A58="","",IF(AND(MONTH(A57)&gt;3,MONTH(A57)&lt;11),(T57+R57+G57)*Summary!$T$11/(1-Summary!$T$11),(T57+R57+G57)*Summary!$U$11/(1-Summary!$U$11)))</f>
        <v>#N/A</v>
      </c>
      <c r="W57" s="202" t="e">
        <f aca="false">IF($A58="","",(T57+R57+G57+V57))</f>
        <v>#N/A</v>
      </c>
      <c r="X57" s="202" t="e">
        <f aca="false">IF($A58="","",(U57+S57+H57+V57))</f>
        <v>#N/A</v>
      </c>
      <c r="Y57" s="202"/>
      <c r="Z57" s="185" t="e">
        <f aca="false">IF($A58="","",VLOOKUP($A57,Table,MATCH(Z$4,Curves,0)))</f>
        <v>#N/A</v>
      </c>
      <c r="AA57" s="185" t="e">
        <f aca="false">IF($A58="","",VLOOKUP($A57,Table,MATCH(AA$4,Curves,0)))</f>
        <v>#N/A</v>
      </c>
      <c r="AB57" s="185" t="e">
        <f aca="false">SQRT((AA57^2*(A57-$D$3)+Z57^2*(DAY(EOMONTH(A57,0))/2))/AK57)</f>
        <v>#N/A</v>
      </c>
      <c r="AC57" s="185" t="e">
        <f aca="false">IF($A58="","",VLOOKUP($A57,Table,MATCH(AC$4,Curves,0)))</f>
        <v>#N/A</v>
      </c>
      <c r="AD57" s="185" t="e">
        <f aca="false">IF($A58="","",VLOOKUP($A57,Table,MATCH(AD$4,Curves,0)))</f>
        <v>#N/A</v>
      </c>
      <c r="AE57" s="185" t="e">
        <f aca="false">SQRT((AD57^2*(A57-$D$3)+AC57^2*(DAY(EOMONTH(A57,0))/2))/AK57)</f>
        <v>#N/A</v>
      </c>
      <c r="AF57" s="206" t="e">
        <f aca="false">((Summary!$N$11*(AA57*AD57)*(A57-$D$3))+(Summary!$M$11*Z57*AC57*(AJ57-EOMONTH(EDATE(A57,-1),0))))/(AK57*AB57*AE57)</f>
        <v>#N/A</v>
      </c>
      <c r="AG57" s="207" t="n">
        <f aca="false">IF($A58="","",Summary!$Q$11)</f>
        <v>0</v>
      </c>
      <c r="AH57" s="207" t="n">
        <f aca="false">IF($A58="","",IF(Summary!$R$11="Y",(VLOOKUP($A57,Summary!$AD$6:$AF$9,3)+'Escalating commodity'!G70),'Escalating commodity'!G70))</f>
        <v>0.00526031121286396</v>
      </c>
      <c r="AI57" s="207" t="n">
        <f aca="false">IF($A58="","",AH57)</f>
        <v>0.00526031121286396</v>
      </c>
      <c r="AJ57" s="208" t="n">
        <f aca="false">A57+DAY(EOMONTH(A57,0))/2-1</f>
        <v>38487.5</v>
      </c>
      <c r="AK57" s="209" t="n">
        <f aca="false">IF($A58="","",$A57-$E$1)</f>
        <v>-7453</v>
      </c>
      <c r="AL57" s="182" t="e">
        <f aca="false">IF($A58="","",SPRDOPT(P57,X57,AI57,0,AB57,AE57,AF57,AK57,$AJ$2,0))</f>
        <v>#NAME?</v>
      </c>
      <c r="AM57" s="210" t="e">
        <f aca="false">IF($A58="","",MAX(0,O57-W57-AI57))</f>
        <v>#N/A</v>
      </c>
      <c r="AN57" s="211" t="e">
        <f aca="false">IF($A58="","",AL57-AM57)</f>
        <v>#N/A</v>
      </c>
      <c r="AO57" s="137" t="n">
        <f aca="false">IF(A58="","",A58-A57)</f>
        <v>31</v>
      </c>
      <c r="AP57" s="212" t="n">
        <f aca="false">IF(A58="","",CHOOSE(F$3,A58+24,A57))</f>
        <v>38473</v>
      </c>
      <c r="AQ57" s="209" t="n">
        <f aca="false">IF(A58="","",AP57-$E$1)</f>
        <v>-7453</v>
      </c>
      <c r="AR57" s="185" t="n">
        <f aca="false">'ANR OK vs ML7'!AR57</f>
        <v>0.1</v>
      </c>
      <c r="AS57" s="213" t="n">
        <f aca="false">IF(A58="","",1/(1+CHOOSE(F$3,(AR58+($I$3/10000))/2,(AR57+($I$3/10000))/2))^(2*AQ57/365.25))</f>
        <v>7.32392438756219</v>
      </c>
      <c r="AT57" s="137" t="n">
        <f aca="false">IF(A58="","",IF(AND(mthbeg&lt;=A57,mthend&gt;=A57),1,0))</f>
        <v>1</v>
      </c>
      <c r="AU57" s="137" t="n">
        <f aca="false">IF(A58="","",AO57*AT57)</f>
        <v>31</v>
      </c>
      <c r="AW57" s="195" t="e">
        <f aca="false">IF($A58="","",AL57*$E57)</f>
        <v>#NAME?</v>
      </c>
      <c r="AX57" s="195" t="e">
        <f aca="false">IF($A58="","",AM57*$E57)</f>
        <v>#N/A</v>
      </c>
      <c r="AY57" s="195" t="e">
        <f aca="false">IF($A58="","",AN57*$E57)</f>
        <v>#N/A</v>
      </c>
      <c r="BA57" s="195" t="n">
        <f aca="false">IF($A58="","",F57*Summary!$Q$11)</f>
        <v>0</v>
      </c>
      <c r="BC57" s="179" t="e">
        <f aca="false">IF(A58="","",AM57*F57)</f>
        <v>#N/A</v>
      </c>
    </row>
    <row r="58" customFormat="false" ht="12.75" hidden="false" customHeight="false" outlineLevel="0" collapsed="false">
      <c r="A58" s="196" t="n">
        <f aca="false">IF(A57&lt;mthend,EDATE(A57,1),"")</f>
        <v>38504</v>
      </c>
      <c r="B58" s="197" t="n">
        <f aca="false">IF(A58&lt;mthend,B57,"")</f>
        <v>124142</v>
      </c>
      <c r="C58" s="215"/>
      <c r="D58" s="197" t="n">
        <f aca="false">IF(A59&lt;&gt;"",B58+C58,"")</f>
        <v>124142</v>
      </c>
      <c r="E58" s="199" t="n">
        <f aca="false">IF(A59="","",IF(AND(AT58=1,$H$3=1),D58*AO58,IF($H$3=2,D58,"N/A")))</f>
        <v>3724260</v>
      </c>
      <c r="F58" s="199" t="n">
        <f aca="false">IF(A59="","",E58*AS58)</f>
        <v>27051230.8077892</v>
      </c>
      <c r="G58" s="200" t="e">
        <f aca="false">IF($A59="","",VLOOKUP($A58,Table,MATCH(G$4,Curves,0)))</f>
        <v>#N/A</v>
      </c>
      <c r="H58" s="201" t="e">
        <f aca="false">IF(A59="","",G58)</f>
        <v>#N/A</v>
      </c>
      <c r="I58" s="202"/>
      <c r="J58" s="200" t="e">
        <f aca="false">IF($A59="","",VLOOKUP($A58,Table,MATCH(J$4,Curves,0)))</f>
        <v>#N/A</v>
      </c>
      <c r="K58" s="201" t="e">
        <f aca="false">IF(A59="","",J58)</f>
        <v>#N/A</v>
      </c>
      <c r="L58" s="200" t="e">
        <f aca="false">IF($A59="","",VLOOKUP($A58,Table,MATCH(L$4,Curves,0)))</f>
        <v>#N/A</v>
      </c>
      <c r="M58" s="201" t="e">
        <f aca="false">IF(A59="","",L58)</f>
        <v>#N/A</v>
      </c>
      <c r="N58" s="203"/>
      <c r="O58" s="200" t="e">
        <f aca="false">IF(A59="","",L58+J58+G58)</f>
        <v>#N/A</v>
      </c>
      <c r="P58" s="200" t="e">
        <f aca="false">IF(A59="","",M58+K58+H58)</f>
        <v>#N/A</v>
      </c>
      <c r="Q58" s="204"/>
      <c r="R58" s="200" t="e">
        <f aca="false">IF($A59="","",VLOOKUP($A58,Table,MATCH(R$4,Curves,0)))</f>
        <v>#N/A</v>
      </c>
      <c r="S58" s="201" t="e">
        <f aca="false">IF(A59="","",R58)</f>
        <v>#N/A</v>
      </c>
      <c r="T58" s="185" t="n">
        <v>0</v>
      </c>
      <c r="U58" s="201" t="n">
        <f aca="false">IF(A59="","",T58)</f>
        <v>0</v>
      </c>
      <c r="V58" s="205" t="e">
        <f aca="false">IF($A59="","",IF(AND(MONTH(A58)&gt;3,MONTH(A58)&lt;11),(T58+R58+G58)*Summary!$T$11/(1-Summary!$T$11),(T58+R58+G58)*Summary!$U$11/(1-Summary!$U$11)))</f>
        <v>#N/A</v>
      </c>
      <c r="W58" s="202" t="e">
        <f aca="false">IF($A59="","",(T58+R58+G58+V58))</f>
        <v>#N/A</v>
      </c>
      <c r="X58" s="202" t="e">
        <f aca="false">IF($A59="","",(U58+S58+H58+V58))</f>
        <v>#N/A</v>
      </c>
      <c r="Y58" s="202"/>
      <c r="Z58" s="185" t="e">
        <f aca="false">IF($A59="","",VLOOKUP($A58,Table,MATCH(Z$4,Curves,0)))</f>
        <v>#N/A</v>
      </c>
      <c r="AA58" s="185" t="e">
        <f aca="false">IF($A59="","",VLOOKUP($A58,Table,MATCH(AA$4,Curves,0)))</f>
        <v>#N/A</v>
      </c>
      <c r="AB58" s="185" t="e">
        <f aca="false">SQRT((AA58^2*(A58-$D$3)+Z58^2*(DAY(EOMONTH(A58,0))/2))/AK58)</f>
        <v>#N/A</v>
      </c>
      <c r="AC58" s="185" t="e">
        <f aca="false">IF($A59="","",VLOOKUP($A58,Table,MATCH(AC$4,Curves,0)))</f>
        <v>#N/A</v>
      </c>
      <c r="AD58" s="185" t="e">
        <f aca="false">IF($A59="","",VLOOKUP($A58,Table,MATCH(AD$4,Curves,0)))</f>
        <v>#N/A</v>
      </c>
      <c r="AE58" s="185" t="e">
        <f aca="false">SQRT((AD58^2*(A58-$D$3)+AC58^2*(DAY(EOMONTH(A58,0))/2))/AK58)</f>
        <v>#N/A</v>
      </c>
      <c r="AF58" s="206" t="e">
        <f aca="false">((Summary!$N$11*(AA58*AD58)*(A58-$D$3))+(Summary!$M$11*Z58*AC58*(AJ58-EOMONTH(EDATE(A58,-1),0))))/(AK58*AB58*AE58)</f>
        <v>#N/A</v>
      </c>
      <c r="AG58" s="207" t="n">
        <f aca="false">IF($A59="","",Summary!$Q$11)</f>
        <v>0</v>
      </c>
      <c r="AH58" s="207" t="n">
        <f aca="false">IF($A59="","",IF(Summary!$R$11="Y",(VLOOKUP($A58,Summary!$AD$6:$AF$9,3)+'Escalating commodity'!G71),'Escalating commodity'!G71))</f>
        <v>0.00526031121286396</v>
      </c>
      <c r="AI58" s="207" t="n">
        <f aca="false">IF($A59="","",AH58)</f>
        <v>0.00526031121286396</v>
      </c>
      <c r="AJ58" s="208" t="n">
        <f aca="false">A58+DAY(EOMONTH(A58,0))/2-1</f>
        <v>38518</v>
      </c>
      <c r="AK58" s="209" t="n">
        <f aca="false">IF($A59="","",$A58-$E$1)</f>
        <v>-7422</v>
      </c>
      <c r="AL58" s="182" t="e">
        <f aca="false">IF($A59="","",SPRDOPT(P58,X58,AI58,0,AB58,AE58,AF58,AK58,$AJ$2,0))</f>
        <v>#NAME?</v>
      </c>
      <c r="AM58" s="210" t="e">
        <f aca="false">IF($A59="","",MAX(0,O58-W58-AI58))</f>
        <v>#N/A</v>
      </c>
      <c r="AN58" s="211" t="e">
        <f aca="false">IF($A59="","",AL58-AM58)</f>
        <v>#N/A</v>
      </c>
      <c r="AO58" s="137" t="n">
        <f aca="false">IF(A59="","",A59-A58)</f>
        <v>30</v>
      </c>
      <c r="AP58" s="212" t="n">
        <f aca="false">IF(A59="","",CHOOSE(F$3,A59+24,A58))</f>
        <v>38504</v>
      </c>
      <c r="AQ58" s="209" t="n">
        <f aca="false">IF(A59="","",AP58-$E$1)</f>
        <v>-7422</v>
      </c>
      <c r="AR58" s="185" t="n">
        <f aca="false">'ANR OK vs ML7'!AR58</f>
        <v>0.1</v>
      </c>
      <c r="AS58" s="213" t="n">
        <f aca="false">IF(A59="","",1/(1+CHOOSE(F$3,(AR59+($I$3/10000))/2,(AR58+($I$3/10000))/2))^(2*AQ58/365.25))</f>
        <v>7.26351833862008</v>
      </c>
      <c r="AT58" s="137" t="n">
        <f aca="false">IF(A59="","",IF(AND(mthbeg&lt;=A58,mthend&gt;=A58),1,0))</f>
        <v>1</v>
      </c>
      <c r="AU58" s="137" t="n">
        <f aca="false">IF(A59="","",AO58*AT58)</f>
        <v>30</v>
      </c>
      <c r="AW58" s="195" t="e">
        <f aca="false">IF($A59="","",AL58*$E58)</f>
        <v>#NAME?</v>
      </c>
      <c r="AX58" s="195" t="e">
        <f aca="false">IF($A59="","",AM58*$E58)</f>
        <v>#N/A</v>
      </c>
      <c r="AY58" s="195" t="e">
        <f aca="false">IF($A59="","",AN58*$E58)</f>
        <v>#N/A</v>
      </c>
      <c r="BA58" s="195" t="n">
        <f aca="false">IF($A59="","",F58*Summary!$Q$11)</f>
        <v>0</v>
      </c>
      <c r="BC58" s="179" t="e">
        <f aca="false">IF(A59="","",AM58*F58)</f>
        <v>#N/A</v>
      </c>
    </row>
    <row r="59" customFormat="false" ht="12.75" hidden="false" customHeight="false" outlineLevel="0" collapsed="false">
      <c r="A59" s="196" t="n">
        <f aca="false">IF(A58&lt;mthend,EDATE(A58,1),"")</f>
        <v>38534</v>
      </c>
      <c r="B59" s="197" t="n">
        <f aca="false">IF(A59&lt;mthend,B58,"")</f>
        <v>124142</v>
      </c>
      <c r="C59" s="215"/>
      <c r="D59" s="197" t="n">
        <f aca="false">IF(A60&lt;&gt;"",B59+C59,"")</f>
        <v>124142</v>
      </c>
      <c r="E59" s="199" t="n">
        <f aca="false">IF(A60="","",IF(AND(AT59=1,$H$3=1),D59*AO59,IF($H$3=2,D59,"N/A")))</f>
        <v>3848402</v>
      </c>
      <c r="F59" s="199" t="n">
        <f aca="false">IF(A60="","",E59*AS59)</f>
        <v>27729796.3877398</v>
      </c>
      <c r="G59" s="200" t="e">
        <f aca="false">IF($A60="","",VLOOKUP($A59,Table,MATCH(G$4,Curves,0)))</f>
        <v>#N/A</v>
      </c>
      <c r="H59" s="201" t="e">
        <f aca="false">IF(A60="","",G59)</f>
        <v>#N/A</v>
      </c>
      <c r="I59" s="202"/>
      <c r="J59" s="200" t="e">
        <f aca="false">IF($A60="","",VLOOKUP($A59,Table,MATCH(J$4,Curves,0)))</f>
        <v>#N/A</v>
      </c>
      <c r="K59" s="201" t="e">
        <f aca="false">IF(A60="","",J59)</f>
        <v>#N/A</v>
      </c>
      <c r="L59" s="200" t="e">
        <f aca="false">IF($A60="","",VLOOKUP($A59,Table,MATCH(L$4,Curves,0)))</f>
        <v>#N/A</v>
      </c>
      <c r="M59" s="201" t="e">
        <f aca="false">IF(A60="","",L59)</f>
        <v>#N/A</v>
      </c>
      <c r="N59" s="203"/>
      <c r="O59" s="200" t="e">
        <f aca="false">IF(A60="","",L59+J59+G59)</f>
        <v>#N/A</v>
      </c>
      <c r="P59" s="200" t="e">
        <f aca="false">IF(A60="","",M59+K59+H59)</f>
        <v>#N/A</v>
      </c>
      <c r="Q59" s="204"/>
      <c r="R59" s="200" t="e">
        <f aca="false">IF($A60="","",VLOOKUP($A59,Table,MATCH(R$4,Curves,0)))</f>
        <v>#N/A</v>
      </c>
      <c r="S59" s="201" t="e">
        <f aca="false">IF(A60="","",R59)</f>
        <v>#N/A</v>
      </c>
      <c r="T59" s="185" t="n">
        <v>0</v>
      </c>
      <c r="U59" s="201" t="n">
        <f aca="false">IF(A60="","",T59)</f>
        <v>0</v>
      </c>
      <c r="V59" s="205" t="e">
        <f aca="false">IF($A60="","",IF(AND(MONTH(A59)&gt;3,MONTH(A59)&lt;11),(T59+R59+G59)*Summary!$T$11/(1-Summary!$T$11),(T59+R59+G59)*Summary!$U$11/(1-Summary!$U$11)))</f>
        <v>#N/A</v>
      </c>
      <c r="W59" s="202" t="e">
        <f aca="false">IF($A60="","",(T59+R59+G59+V59))</f>
        <v>#N/A</v>
      </c>
      <c r="X59" s="202" t="e">
        <f aca="false">IF($A60="","",(U59+S59+H59+V59))</f>
        <v>#N/A</v>
      </c>
      <c r="Y59" s="202"/>
      <c r="Z59" s="185" t="e">
        <f aca="false">IF($A60="","",VLOOKUP($A59,Table,MATCH(Z$4,Curves,0)))</f>
        <v>#N/A</v>
      </c>
      <c r="AA59" s="185" t="e">
        <f aca="false">IF($A60="","",VLOOKUP($A59,Table,MATCH(AA$4,Curves,0)))</f>
        <v>#N/A</v>
      </c>
      <c r="AB59" s="185" t="e">
        <f aca="false">SQRT((AA59^2*(A59-$D$3)+Z59^2*(DAY(EOMONTH(A59,0))/2))/AK59)</f>
        <v>#N/A</v>
      </c>
      <c r="AC59" s="185" t="e">
        <f aca="false">IF($A60="","",VLOOKUP($A59,Table,MATCH(AC$4,Curves,0)))</f>
        <v>#N/A</v>
      </c>
      <c r="AD59" s="185" t="e">
        <f aca="false">IF($A60="","",VLOOKUP($A59,Table,MATCH(AD$4,Curves,0)))</f>
        <v>#N/A</v>
      </c>
      <c r="AE59" s="185" t="e">
        <f aca="false">SQRT((AD59^2*(A59-$D$3)+AC59^2*(DAY(EOMONTH(A59,0))/2))/AK59)</f>
        <v>#N/A</v>
      </c>
      <c r="AF59" s="206" t="e">
        <f aca="false">((Summary!$N$11*(AA59*AD59)*(A59-$D$3))+(Summary!$M$11*Z59*AC59*(AJ59-EOMONTH(EDATE(A59,-1),0))))/(AK59*AB59*AE59)</f>
        <v>#N/A</v>
      </c>
      <c r="AG59" s="207" t="n">
        <f aca="false">IF($A60="","",Summary!$Q$11)</f>
        <v>0</v>
      </c>
      <c r="AH59" s="207" t="n">
        <f aca="false">IF($A60="","",IF(Summary!$R$11="Y",(VLOOKUP($A59,Summary!$AD$6:$AF$9,3)+'Escalating commodity'!G72),'Escalating commodity'!G72))</f>
        <v>0.00526031121286396</v>
      </c>
      <c r="AI59" s="207" t="n">
        <f aca="false">IF($A60="","",AH59)</f>
        <v>0.00526031121286396</v>
      </c>
      <c r="AJ59" s="208" t="n">
        <f aca="false">A59+DAY(EOMONTH(A59,0))/2-1</f>
        <v>38548.5</v>
      </c>
      <c r="AK59" s="209" t="n">
        <f aca="false">IF($A60="","",$A59-$E$1)</f>
        <v>-7392</v>
      </c>
      <c r="AL59" s="182" t="e">
        <f aca="false">IF($A60="","",SPRDOPT(P59,X59,AI59,0,AB59,AE59,AF59,AK59,$AJ$2,0))</f>
        <v>#NAME?</v>
      </c>
      <c r="AM59" s="210" t="e">
        <f aca="false">IF($A60="","",MAX(0,O59-W59-AI59))</f>
        <v>#N/A</v>
      </c>
      <c r="AN59" s="211" t="e">
        <f aca="false">IF($A60="","",AL59-AM59)</f>
        <v>#N/A</v>
      </c>
      <c r="AO59" s="137" t="n">
        <f aca="false">IF(A60="","",A60-A59)</f>
        <v>31</v>
      </c>
      <c r="AP59" s="212" t="n">
        <f aca="false">IF(A60="","",CHOOSE(F$3,A60+24,A59))</f>
        <v>38534</v>
      </c>
      <c r="AQ59" s="209" t="n">
        <f aca="false">IF(A60="","",AP59-$E$1)</f>
        <v>-7392</v>
      </c>
      <c r="AR59" s="185" t="n">
        <f aca="false">'ANR OK vs ML7'!AR59</f>
        <v>0.1</v>
      </c>
      <c r="AS59" s="213" t="n">
        <f aca="false">IF(A60="","",1/(1+CHOOSE(F$3,(AR60+($I$3/10000))/2,(AR59+($I$3/10000))/2))^(2*AQ59/365.25))</f>
        <v>7.20553528132971</v>
      </c>
      <c r="AT59" s="137" t="n">
        <f aca="false">IF(A60="","",IF(AND(mthbeg&lt;=A59,mthend&gt;=A59),1,0))</f>
        <v>1</v>
      </c>
      <c r="AU59" s="137" t="n">
        <f aca="false">IF(A60="","",AO59*AT59)</f>
        <v>31</v>
      </c>
      <c r="AW59" s="195" t="e">
        <f aca="false">IF($A60="","",AL59*$E59)</f>
        <v>#NAME?</v>
      </c>
      <c r="AX59" s="195" t="e">
        <f aca="false">IF($A60="","",AM59*$E59)</f>
        <v>#N/A</v>
      </c>
      <c r="AY59" s="195" t="e">
        <f aca="false">IF($A60="","",AN59*$E59)</f>
        <v>#N/A</v>
      </c>
      <c r="BA59" s="195" t="n">
        <f aca="false">IF($A60="","",F59*Summary!$Q$11)</f>
        <v>0</v>
      </c>
      <c r="BC59" s="179" t="e">
        <f aca="false">IF(A60="","",AM59*F59)</f>
        <v>#N/A</v>
      </c>
    </row>
    <row r="60" customFormat="false" ht="12.75" hidden="false" customHeight="false" outlineLevel="0" collapsed="false">
      <c r="A60" s="196" t="n">
        <f aca="false">IF(A59&lt;mthend,EDATE(A59,1),"")</f>
        <v>38565</v>
      </c>
      <c r="B60" s="197" t="n">
        <f aca="false">IF(A60&lt;mthend,B59,"")</f>
        <v>124142</v>
      </c>
      <c r="C60" s="215"/>
      <c r="D60" s="197" t="n">
        <f aca="false">IF(A61&lt;&gt;"",B60+C60,"")</f>
        <v>124142</v>
      </c>
      <c r="E60" s="199" t="n">
        <f aca="false">IF(A61="","",IF(AND(AT60=1,$H$3=1),D60*AO60,IF($H$3=2,D60,"N/A")))</f>
        <v>3848402</v>
      </c>
      <c r="F60" s="199" t="n">
        <f aca="false">IF(A61="","",E60*AS60)</f>
        <v>27501087.3856921</v>
      </c>
      <c r="G60" s="200" t="e">
        <f aca="false">IF($A61="","",VLOOKUP($A60,Table,MATCH(G$4,Curves,0)))</f>
        <v>#N/A</v>
      </c>
      <c r="H60" s="201" t="e">
        <f aca="false">IF(A61="","",G60)</f>
        <v>#N/A</v>
      </c>
      <c r="I60" s="202"/>
      <c r="J60" s="200" t="e">
        <f aca="false">IF($A61="","",VLOOKUP($A60,Table,MATCH(J$4,Curves,0)))</f>
        <v>#N/A</v>
      </c>
      <c r="K60" s="201" t="e">
        <f aca="false">IF(A61="","",J60)</f>
        <v>#N/A</v>
      </c>
      <c r="L60" s="200" t="e">
        <f aca="false">IF($A61="","",VLOOKUP($A60,Table,MATCH(L$4,Curves,0)))</f>
        <v>#N/A</v>
      </c>
      <c r="M60" s="201" t="e">
        <f aca="false">IF(A61="","",L60)</f>
        <v>#N/A</v>
      </c>
      <c r="N60" s="203"/>
      <c r="O60" s="200" t="e">
        <f aca="false">IF(A61="","",L60+J60+G60)</f>
        <v>#N/A</v>
      </c>
      <c r="P60" s="200" t="e">
        <f aca="false">IF(A61="","",M60+K60+H60)</f>
        <v>#N/A</v>
      </c>
      <c r="Q60" s="204"/>
      <c r="R60" s="200" t="e">
        <f aca="false">IF($A61="","",VLOOKUP($A60,Table,MATCH(R$4,Curves,0)))</f>
        <v>#N/A</v>
      </c>
      <c r="S60" s="201" t="e">
        <f aca="false">IF(A61="","",R60)</f>
        <v>#N/A</v>
      </c>
      <c r="T60" s="185" t="n">
        <v>0</v>
      </c>
      <c r="U60" s="201" t="n">
        <f aca="false">IF(A61="","",T60)</f>
        <v>0</v>
      </c>
      <c r="V60" s="205" t="e">
        <f aca="false">IF($A61="","",IF(AND(MONTH(A60)&gt;3,MONTH(A60)&lt;11),(T60+R60+G60)*Summary!$T$11/(1-Summary!$T$11),(T60+R60+G60)*Summary!$U$11/(1-Summary!$U$11)))</f>
        <v>#N/A</v>
      </c>
      <c r="W60" s="202" t="e">
        <f aca="false">IF($A61="","",(T60+R60+G60+V60))</f>
        <v>#N/A</v>
      </c>
      <c r="X60" s="202" t="e">
        <f aca="false">IF($A61="","",(U60+S60+H60+V60))</f>
        <v>#N/A</v>
      </c>
      <c r="Y60" s="202"/>
      <c r="Z60" s="185" t="e">
        <f aca="false">IF($A61="","",VLOOKUP($A60,Table,MATCH(Z$4,Curves,0)))</f>
        <v>#N/A</v>
      </c>
      <c r="AA60" s="185" t="e">
        <f aca="false">IF($A61="","",VLOOKUP($A60,Table,MATCH(AA$4,Curves,0)))</f>
        <v>#N/A</v>
      </c>
      <c r="AB60" s="185" t="e">
        <f aca="false">SQRT((AA60^2*(A60-$D$3)+Z60^2*(DAY(EOMONTH(A60,0))/2))/AK60)</f>
        <v>#N/A</v>
      </c>
      <c r="AC60" s="185" t="e">
        <f aca="false">IF($A61="","",VLOOKUP($A60,Table,MATCH(AC$4,Curves,0)))</f>
        <v>#N/A</v>
      </c>
      <c r="AD60" s="185" t="e">
        <f aca="false">IF($A61="","",VLOOKUP($A60,Table,MATCH(AD$4,Curves,0)))</f>
        <v>#N/A</v>
      </c>
      <c r="AE60" s="185" t="e">
        <f aca="false">SQRT((AD60^2*(A60-$D$3)+AC60^2*(DAY(EOMONTH(A60,0))/2))/AK60)</f>
        <v>#N/A</v>
      </c>
      <c r="AF60" s="206" t="e">
        <f aca="false">((Summary!$N$11*(AA60*AD60)*(A60-$D$3))+(Summary!$M$11*Z60*AC60*(AJ60-EOMONTH(EDATE(A60,-1),0))))/(AK60*AB60*AE60)</f>
        <v>#N/A</v>
      </c>
      <c r="AG60" s="207" t="n">
        <f aca="false">IF($A61="","",Summary!$Q$11)</f>
        <v>0</v>
      </c>
      <c r="AH60" s="207" t="n">
        <f aca="false">IF($A61="","",IF(Summary!$R$11="Y",(VLOOKUP($A60,Summary!$AD$6:$AF$9,3)+'Escalating commodity'!G73),'Escalating commodity'!G73))</f>
        <v>0.00526031121286396</v>
      </c>
      <c r="AI60" s="207" t="n">
        <f aca="false">IF($A61="","",AH60)</f>
        <v>0.00526031121286396</v>
      </c>
      <c r="AJ60" s="208" t="n">
        <f aca="false">A60+DAY(EOMONTH(A60,0))/2-1</f>
        <v>38579.5</v>
      </c>
      <c r="AK60" s="209" t="n">
        <f aca="false">IF($A61="","",$A60-$E$1)</f>
        <v>-7361</v>
      </c>
      <c r="AL60" s="182" t="e">
        <f aca="false">IF($A61="","",SPRDOPT(P60,X60,AI60,0,AB60,AE60,AF60,AK60,$AJ$2,0))</f>
        <v>#NAME?</v>
      </c>
      <c r="AM60" s="210" t="e">
        <f aca="false">IF($A61="","",MAX(0,O60-W60-AI60))</f>
        <v>#N/A</v>
      </c>
      <c r="AN60" s="211" t="e">
        <f aca="false">IF($A61="","",AL60-AM60)</f>
        <v>#N/A</v>
      </c>
      <c r="AO60" s="137" t="n">
        <f aca="false">IF(A61="","",A61-A60)</f>
        <v>31</v>
      </c>
      <c r="AP60" s="212" t="n">
        <f aca="false">IF(A61="","",CHOOSE(F$3,A61+24,A60))</f>
        <v>38565</v>
      </c>
      <c r="AQ60" s="209" t="n">
        <f aca="false">IF(A61="","",AP60-$E$1)</f>
        <v>-7361</v>
      </c>
      <c r="AR60" s="185" t="n">
        <f aca="false">'ANR OK vs ML7'!AR60</f>
        <v>0.1</v>
      </c>
      <c r="AS60" s="213" t="n">
        <f aca="false">IF(A61="","",1/(1+CHOOSE(F$3,(AR61+($I$3/10000))/2,(AR60+($I$3/10000))/2))^(2*AQ60/365.25))</f>
        <v>7.14610567858869</v>
      </c>
      <c r="AT60" s="137" t="n">
        <f aca="false">IF(A61="","",IF(AND(mthbeg&lt;=A60,mthend&gt;=A60),1,0))</f>
        <v>1</v>
      </c>
      <c r="AU60" s="137" t="n">
        <f aca="false">IF(A61="","",AO60*AT60)</f>
        <v>31</v>
      </c>
      <c r="AW60" s="195" t="e">
        <f aca="false">IF($A61="","",AL60*$E60)</f>
        <v>#NAME?</v>
      </c>
      <c r="AX60" s="195" t="e">
        <f aca="false">IF($A61="","",AM60*$E60)</f>
        <v>#N/A</v>
      </c>
      <c r="AY60" s="195" t="e">
        <f aca="false">IF($A61="","",AN60*$E60)</f>
        <v>#N/A</v>
      </c>
      <c r="BA60" s="195" t="n">
        <f aca="false">IF($A61="","",F60*Summary!$Q$11)</f>
        <v>0</v>
      </c>
      <c r="BC60" s="179" t="e">
        <f aca="false">IF(A61="","",AM60*F60)</f>
        <v>#N/A</v>
      </c>
    </row>
    <row r="61" customFormat="false" ht="12.75" hidden="false" customHeight="false" outlineLevel="0" collapsed="false">
      <c r="A61" s="196" t="n">
        <f aca="false">IF(A60&lt;mthend,EDATE(A60,1),"")</f>
        <v>38596</v>
      </c>
      <c r="B61" s="197" t="n">
        <f aca="false">IF(A61&lt;mthend,B60,"")</f>
        <v>124142</v>
      </c>
      <c r="C61" s="215"/>
      <c r="D61" s="197" t="n">
        <f aca="false">IF(A62&lt;&gt;"",B61+C61,"")</f>
        <v>124142</v>
      </c>
      <c r="E61" s="199" t="n">
        <f aca="false">IF(A62="","",IF(AND(AT61=1,$H$3=1),D61*AO61,IF($H$3=2,D61,"N/A")))</f>
        <v>3724260</v>
      </c>
      <c r="F61" s="199" t="n">
        <f aca="false">IF(A62="","",E61*AS61)</f>
        <v>26394449.7319832</v>
      </c>
      <c r="G61" s="200" t="e">
        <f aca="false">IF($A62="","",VLOOKUP($A61,Table,MATCH(G$4,Curves,0)))</f>
        <v>#N/A</v>
      </c>
      <c r="H61" s="201" t="e">
        <f aca="false">IF(A62="","",G61)</f>
        <v>#N/A</v>
      </c>
      <c r="I61" s="202"/>
      <c r="J61" s="200" t="e">
        <f aca="false">IF($A62="","",VLOOKUP($A61,Table,MATCH(J$4,Curves,0)))</f>
        <v>#N/A</v>
      </c>
      <c r="K61" s="201" t="e">
        <f aca="false">IF(A62="","",J61)</f>
        <v>#N/A</v>
      </c>
      <c r="L61" s="200" t="e">
        <f aca="false">IF($A62="","",VLOOKUP($A61,Table,MATCH(L$4,Curves,0)))</f>
        <v>#N/A</v>
      </c>
      <c r="M61" s="201" t="e">
        <f aca="false">IF(A62="","",L61)</f>
        <v>#N/A</v>
      </c>
      <c r="N61" s="203"/>
      <c r="O61" s="200" t="e">
        <f aca="false">IF(A62="","",L61+J61+G61)</f>
        <v>#N/A</v>
      </c>
      <c r="P61" s="200" t="e">
        <f aca="false">IF(A62="","",M61+K61+H61)</f>
        <v>#N/A</v>
      </c>
      <c r="Q61" s="204"/>
      <c r="R61" s="200" t="e">
        <f aca="false">IF($A62="","",VLOOKUP($A61,Table,MATCH(R$4,Curves,0)))</f>
        <v>#N/A</v>
      </c>
      <c r="S61" s="201" t="e">
        <f aca="false">IF(A62="","",R61)</f>
        <v>#N/A</v>
      </c>
      <c r="T61" s="185" t="n">
        <v>0</v>
      </c>
      <c r="U61" s="201" t="n">
        <f aca="false">IF(A62="","",T61)</f>
        <v>0</v>
      </c>
      <c r="V61" s="205" t="e">
        <f aca="false">IF($A62="","",IF(AND(MONTH(A61)&gt;3,MONTH(A61)&lt;11),(T61+R61+G61)*Summary!$T$11/(1-Summary!$T$11),(T61+R61+G61)*Summary!$U$11/(1-Summary!$U$11)))</f>
        <v>#N/A</v>
      </c>
      <c r="W61" s="202" t="e">
        <f aca="false">IF($A62="","",(T61+R61+G61+V61))</f>
        <v>#N/A</v>
      </c>
      <c r="X61" s="202" t="e">
        <f aca="false">IF($A62="","",(U61+S61+H61+V61))</f>
        <v>#N/A</v>
      </c>
      <c r="Y61" s="202"/>
      <c r="Z61" s="185" t="e">
        <f aca="false">IF($A62="","",VLOOKUP($A61,Table,MATCH(Z$4,Curves,0)))</f>
        <v>#N/A</v>
      </c>
      <c r="AA61" s="185" t="e">
        <f aca="false">IF($A62="","",VLOOKUP($A61,Table,MATCH(AA$4,Curves,0)))</f>
        <v>#N/A</v>
      </c>
      <c r="AB61" s="185" t="e">
        <f aca="false">SQRT((AA61^2*(A61-$D$3)+Z61^2*(DAY(EOMONTH(A61,0))/2))/AK61)</f>
        <v>#N/A</v>
      </c>
      <c r="AC61" s="185" t="e">
        <f aca="false">IF($A62="","",VLOOKUP($A61,Table,MATCH(AC$4,Curves,0)))</f>
        <v>#N/A</v>
      </c>
      <c r="AD61" s="185" t="e">
        <f aca="false">IF($A62="","",VLOOKUP($A61,Table,MATCH(AD$4,Curves,0)))</f>
        <v>#N/A</v>
      </c>
      <c r="AE61" s="185" t="e">
        <f aca="false">SQRT((AD61^2*(A61-$D$3)+AC61^2*(DAY(EOMONTH(A61,0))/2))/AK61)</f>
        <v>#N/A</v>
      </c>
      <c r="AF61" s="206" t="e">
        <f aca="false">((Summary!$N$11*(AA61*AD61)*(A61-$D$3))+(Summary!$M$11*Z61*AC61*(AJ61-EOMONTH(EDATE(A61,-1),0))))/(AK61*AB61*AE61)</f>
        <v>#N/A</v>
      </c>
      <c r="AG61" s="207" t="n">
        <f aca="false">IF($A62="","",Summary!$Q$11)</f>
        <v>0</v>
      </c>
      <c r="AH61" s="207" t="n">
        <f aca="false">IF($A62="","",IF(Summary!$R$11="Y",(VLOOKUP($A61,Summary!$AD$6:$AF$9,3)+'Escalating commodity'!G74),'Escalating commodity'!G74))</f>
        <v>0.00526031121286396</v>
      </c>
      <c r="AI61" s="207" t="n">
        <f aca="false">IF($A62="","",AH61)</f>
        <v>0.00526031121286396</v>
      </c>
      <c r="AJ61" s="208" t="n">
        <f aca="false">A61+DAY(EOMONTH(A61,0))/2-1</f>
        <v>38610</v>
      </c>
      <c r="AK61" s="209" t="n">
        <f aca="false">IF($A62="","",$A61-$E$1)</f>
        <v>-7330</v>
      </c>
      <c r="AL61" s="182" t="e">
        <f aca="false">IF($A62="","",SPRDOPT(P61,X61,AI61,0,AB61,AE61,AF61,AK61,$AJ$2,0))</f>
        <v>#NAME?</v>
      </c>
      <c r="AM61" s="210" t="e">
        <f aca="false">IF($A62="","",MAX(0,O61-W61-AI61))</f>
        <v>#N/A</v>
      </c>
      <c r="AN61" s="211" t="e">
        <f aca="false">IF($A62="","",AL61-AM61)</f>
        <v>#N/A</v>
      </c>
      <c r="AO61" s="137" t="n">
        <f aca="false">IF(A62="","",A62-A61)</f>
        <v>30</v>
      </c>
      <c r="AP61" s="212" t="n">
        <f aca="false">IF(A62="","",CHOOSE(F$3,A62+24,A61))</f>
        <v>38596</v>
      </c>
      <c r="AQ61" s="209" t="n">
        <f aca="false">IF(A62="","",AP61-$E$1)</f>
        <v>-7330</v>
      </c>
      <c r="AR61" s="185" t="n">
        <f aca="false">'ANR OK vs ML7'!AR61</f>
        <v>0.1</v>
      </c>
      <c r="AS61" s="213" t="n">
        <f aca="false">IF(A62="","",1/(1+CHOOSE(F$3,(AR62+($I$3/10000))/2,(AR61+($I$3/10000))/2))^(2*AQ61/365.25))</f>
        <v>7.08716623758362</v>
      </c>
      <c r="AT61" s="137" t="n">
        <f aca="false">IF(A62="","",IF(AND(mthbeg&lt;=A61,mthend&gt;=A61),1,0))</f>
        <v>1</v>
      </c>
      <c r="AU61" s="137" t="n">
        <f aca="false">IF(A62="","",AO61*AT61)</f>
        <v>30</v>
      </c>
      <c r="AW61" s="195" t="e">
        <f aca="false">IF($A62="","",AL61*$E61)</f>
        <v>#NAME?</v>
      </c>
      <c r="AX61" s="195" t="e">
        <f aca="false">IF($A62="","",AM61*$E61)</f>
        <v>#N/A</v>
      </c>
      <c r="AY61" s="195" t="e">
        <f aca="false">IF($A62="","",AN61*$E61)</f>
        <v>#N/A</v>
      </c>
      <c r="BA61" s="195" t="n">
        <f aca="false">IF($A62="","",F61*Summary!$Q$11)</f>
        <v>0</v>
      </c>
      <c r="BC61" s="179" t="e">
        <f aca="false">IF(A62="","",AM61*F61)</f>
        <v>#N/A</v>
      </c>
    </row>
    <row r="62" customFormat="false" ht="12.75" hidden="false" customHeight="false" outlineLevel="0" collapsed="false">
      <c r="A62" s="196" t="n">
        <f aca="false">IF(A61&lt;mthend,EDATE(A61,1),"")</f>
        <v>38626</v>
      </c>
      <c r="B62" s="197" t="n">
        <f aca="false">IF(A62&lt;mthend,B61,"")</f>
        <v>124142</v>
      </c>
      <c r="C62" s="215"/>
      <c r="D62" s="197" t="n">
        <f aca="false">IF(A63&lt;&gt;"",B62+C62,"")</f>
        <v>124142</v>
      </c>
      <c r="E62" s="199" t="n">
        <f aca="false">IF(A63="","",IF(AND(AT62=1,$H$3=1),D62*AO62,IF($H$3=2,D62,"N/A")))</f>
        <v>3848402</v>
      </c>
      <c r="F62" s="199" t="n">
        <f aca="false">IF(A63="","",E62*AS62)</f>
        <v>27056540.3117842</v>
      </c>
      <c r="G62" s="200" t="e">
        <f aca="false">IF($A63="","",VLOOKUP($A62,Table,MATCH(G$4,Curves,0)))</f>
        <v>#N/A</v>
      </c>
      <c r="H62" s="201" t="e">
        <f aca="false">IF(A63="","",G62)</f>
        <v>#N/A</v>
      </c>
      <c r="I62" s="202"/>
      <c r="J62" s="200" t="e">
        <f aca="false">IF($A63="","",VLOOKUP($A62,Table,MATCH(J$4,Curves,0)))</f>
        <v>#N/A</v>
      </c>
      <c r="K62" s="201" t="e">
        <f aca="false">IF(A63="","",J62)</f>
        <v>#N/A</v>
      </c>
      <c r="L62" s="200" t="e">
        <f aca="false">IF($A63="","",VLOOKUP($A62,Table,MATCH(L$4,Curves,0)))</f>
        <v>#N/A</v>
      </c>
      <c r="M62" s="201" t="e">
        <f aca="false">IF(A63="","",L62)</f>
        <v>#N/A</v>
      </c>
      <c r="N62" s="203"/>
      <c r="O62" s="200" t="e">
        <f aca="false">IF(A63="","",L62+J62+G62)</f>
        <v>#N/A</v>
      </c>
      <c r="P62" s="200" t="e">
        <f aca="false">IF(A63="","",M62+K62+H62)</f>
        <v>#N/A</v>
      </c>
      <c r="Q62" s="204"/>
      <c r="R62" s="200" t="e">
        <f aca="false">IF($A63="","",VLOOKUP($A62,Table,MATCH(R$4,Curves,0)))</f>
        <v>#N/A</v>
      </c>
      <c r="S62" s="201" t="e">
        <f aca="false">IF(A63="","",R62)</f>
        <v>#N/A</v>
      </c>
      <c r="T62" s="185" t="n">
        <v>0</v>
      </c>
      <c r="U62" s="201" t="n">
        <f aca="false">IF(A63="","",T62)</f>
        <v>0</v>
      </c>
      <c r="V62" s="205" t="e">
        <f aca="false">IF($A63="","",IF(AND(MONTH(A62)&gt;3,MONTH(A62)&lt;11),(T62+R62+G62)*Summary!$T$11/(1-Summary!$T$11),(T62+R62+G62)*Summary!$U$11/(1-Summary!$U$11)))</f>
        <v>#N/A</v>
      </c>
      <c r="W62" s="202" t="e">
        <f aca="false">IF($A63="","",(T62+R62+G62+V62))</f>
        <v>#N/A</v>
      </c>
      <c r="X62" s="202" t="e">
        <f aca="false">IF($A63="","",(U62+S62+H62+V62))</f>
        <v>#N/A</v>
      </c>
      <c r="Y62" s="202"/>
      <c r="Z62" s="185" t="e">
        <f aca="false">IF($A63="","",VLOOKUP($A62,Table,MATCH(Z$4,Curves,0)))</f>
        <v>#N/A</v>
      </c>
      <c r="AA62" s="185" t="e">
        <f aca="false">IF($A63="","",VLOOKUP($A62,Table,MATCH(AA$4,Curves,0)))</f>
        <v>#N/A</v>
      </c>
      <c r="AB62" s="185" t="e">
        <f aca="false">SQRT((AA62^2*(A62-$D$3)+Z62^2*(DAY(EOMONTH(A62,0))/2))/AK62)</f>
        <v>#N/A</v>
      </c>
      <c r="AC62" s="185" t="e">
        <f aca="false">IF($A63="","",VLOOKUP($A62,Table,MATCH(AC$4,Curves,0)))</f>
        <v>#N/A</v>
      </c>
      <c r="AD62" s="185" t="e">
        <f aca="false">IF($A63="","",VLOOKUP($A62,Table,MATCH(AD$4,Curves,0)))</f>
        <v>#N/A</v>
      </c>
      <c r="AE62" s="185" t="e">
        <f aca="false">SQRT((AD62^2*(A62-$D$3)+AC62^2*(DAY(EOMONTH(A62,0))/2))/AK62)</f>
        <v>#N/A</v>
      </c>
      <c r="AF62" s="206" t="e">
        <f aca="false">((Summary!$N$11*(AA62*AD62)*(A62-$D$3))+(Summary!$M$11*Z62*AC62*(AJ62-EOMONTH(EDATE(A62,-1),0))))/(AK62*AB62*AE62)</f>
        <v>#N/A</v>
      </c>
      <c r="AG62" s="207" t="n">
        <f aca="false">IF($A63="","",Summary!$Q$11)</f>
        <v>0</v>
      </c>
      <c r="AH62" s="207" t="n">
        <f aca="false">IF($A63="","",IF(Summary!$R$11="Y",(VLOOKUP($A62,Summary!$AD$6:$AF$9,3)+'Escalating commodity'!G75),'Escalating commodity'!G75))</f>
        <v>0.00526031121286396</v>
      </c>
      <c r="AI62" s="207" t="n">
        <f aca="false">IF($A63="","",AH62)</f>
        <v>0.00526031121286396</v>
      </c>
      <c r="AJ62" s="208" t="n">
        <f aca="false">A62+DAY(EOMONTH(A62,0))/2-1</f>
        <v>38640.5</v>
      </c>
      <c r="AK62" s="209" t="n">
        <f aca="false">IF($A63="","",$A62-$E$1)</f>
        <v>-7300</v>
      </c>
      <c r="AL62" s="182" t="e">
        <f aca="false">IF($A63="","",SPRDOPT(P62,X62,AI62,0,AB62,AE62,AF62,AK62,$AJ$2,0))</f>
        <v>#NAME?</v>
      </c>
      <c r="AM62" s="210" t="e">
        <f aca="false">IF($A63="","",MAX(0,O62-W62-AI62))</f>
        <v>#N/A</v>
      </c>
      <c r="AN62" s="211" t="e">
        <f aca="false">IF($A63="","",AL62-AM62)</f>
        <v>#N/A</v>
      </c>
      <c r="AO62" s="137" t="n">
        <f aca="false">IF(A63="","",A63-A62)</f>
        <v>31</v>
      </c>
      <c r="AP62" s="212" t="n">
        <f aca="false">IF(A63="","",CHOOSE(F$3,A63+24,A62))</f>
        <v>38626</v>
      </c>
      <c r="AQ62" s="209" t="n">
        <f aca="false">IF(A63="","",AP62-$E$1)</f>
        <v>-7300</v>
      </c>
      <c r="AR62" s="185" t="n">
        <f aca="false">'ANR OK vs ML7'!AR62</f>
        <v>0.1</v>
      </c>
      <c r="AS62" s="213" t="n">
        <f aca="false">IF(A63="","",1/(1+CHOOSE(F$3,(AR63+($I$3/10000))/2,(AR62+($I$3/10000))/2))^(2*AQ62/365.25))</f>
        <v>7.03059096003592</v>
      </c>
      <c r="AT62" s="137" t="n">
        <f aca="false">IF(A63="","",IF(AND(mthbeg&lt;=A62,mthend&gt;=A62),1,0))</f>
        <v>1</v>
      </c>
      <c r="AU62" s="137" t="n">
        <f aca="false">IF(A63="","",AO62*AT62)</f>
        <v>31</v>
      </c>
      <c r="AW62" s="195" t="e">
        <f aca="false">IF($A63="","",AL62*$E62)</f>
        <v>#NAME?</v>
      </c>
      <c r="AX62" s="195" t="e">
        <f aca="false">IF($A63="","",AM62*$E62)</f>
        <v>#N/A</v>
      </c>
      <c r="AY62" s="195" t="e">
        <f aca="false">IF($A63="","",AN62*$E62)</f>
        <v>#N/A</v>
      </c>
      <c r="BA62" s="195" t="n">
        <f aca="false">IF($A63="","",F62*Summary!$Q$11)</f>
        <v>0</v>
      </c>
      <c r="BC62" s="179" t="e">
        <f aca="false">IF(A63="","",AM62*F62)</f>
        <v>#N/A</v>
      </c>
    </row>
    <row r="63" customFormat="false" ht="12.75" hidden="false" customHeight="false" outlineLevel="0" collapsed="false">
      <c r="A63" s="196" t="n">
        <f aca="false">IF(A62&lt;mthend,EDATE(A62,1),"")</f>
        <v>38657</v>
      </c>
      <c r="B63" s="197" t="n">
        <f aca="false">IF(A63&lt;mthend,B62,"")</f>
        <v>124142</v>
      </c>
      <c r="C63" s="215"/>
      <c r="D63" s="197" t="n">
        <f aca="false">IF(A64&lt;&gt;"",B63+C63,"")</f>
        <v>124142</v>
      </c>
      <c r="E63" s="199" t="n">
        <f aca="false">IF(A64="","",IF(AND(AT63=1,$H$3=1),D63*AO63,IF($H$3=2,D63,"N/A")))</f>
        <v>3724260</v>
      </c>
      <c r="F63" s="199" t="n">
        <f aca="false">IF(A64="","",E63*AS63)</f>
        <v>25967791.1336811</v>
      </c>
      <c r="G63" s="200" t="e">
        <f aca="false">IF($A64="","",VLOOKUP($A63,Table,MATCH(G$4,Curves,0)))</f>
        <v>#N/A</v>
      </c>
      <c r="H63" s="201" t="e">
        <f aca="false">IF(A64="","",G63)</f>
        <v>#N/A</v>
      </c>
      <c r="I63" s="202"/>
      <c r="J63" s="200" t="e">
        <f aca="false">IF($A64="","",VLOOKUP($A63,Table,MATCH(J$4,Curves,0)))</f>
        <v>#N/A</v>
      </c>
      <c r="K63" s="201" t="e">
        <f aca="false">IF(A64="","",J63)</f>
        <v>#N/A</v>
      </c>
      <c r="L63" s="200" t="e">
        <f aca="false">IF($A64="","",VLOOKUP($A63,Table,MATCH(L$4,Curves,0)))</f>
        <v>#N/A</v>
      </c>
      <c r="M63" s="201" t="e">
        <f aca="false">IF(A64="","",L63)</f>
        <v>#N/A</v>
      </c>
      <c r="N63" s="203"/>
      <c r="O63" s="200" t="e">
        <f aca="false">IF(A64="","",L63+J63+G63)</f>
        <v>#N/A</v>
      </c>
      <c r="P63" s="200" t="e">
        <f aca="false">IF(A64="","",M63+K63+H63)</f>
        <v>#N/A</v>
      </c>
      <c r="Q63" s="204"/>
      <c r="R63" s="200" t="e">
        <f aca="false">IF($A64="","",VLOOKUP($A63,Table,MATCH(R$4,Curves,0)))</f>
        <v>#N/A</v>
      </c>
      <c r="S63" s="201" t="e">
        <f aca="false">IF(A64="","",R63)</f>
        <v>#N/A</v>
      </c>
      <c r="T63" s="185" t="n">
        <v>0</v>
      </c>
      <c r="U63" s="201" t="n">
        <f aca="false">IF(A64="","",T63)</f>
        <v>0</v>
      </c>
      <c r="V63" s="205" t="e">
        <f aca="false">IF($A64="","",IF(AND(MONTH(A63)&gt;3,MONTH(A63)&lt;11),(T63+R63+G63)*Summary!$T$11/(1-Summary!$T$11),(T63+R63+G63)*Summary!$U$11/(1-Summary!$U$11)))</f>
        <v>#N/A</v>
      </c>
      <c r="W63" s="202" t="e">
        <f aca="false">IF($A64="","",(T63+R63+G63+V63))</f>
        <v>#N/A</v>
      </c>
      <c r="X63" s="202" t="e">
        <f aca="false">IF($A64="","",(U63+S63+H63+V63))</f>
        <v>#N/A</v>
      </c>
      <c r="Y63" s="202"/>
      <c r="Z63" s="185" t="e">
        <f aca="false">IF($A64="","",VLOOKUP($A63,Table,MATCH(Z$4,Curves,0)))</f>
        <v>#N/A</v>
      </c>
      <c r="AA63" s="185" t="e">
        <f aca="false">IF($A64="","",VLOOKUP($A63,Table,MATCH(AA$4,Curves,0)))</f>
        <v>#N/A</v>
      </c>
      <c r="AB63" s="185" t="e">
        <f aca="false">SQRT((AA63^2*(A63-$D$3)+Z63^2*(DAY(EOMONTH(A63,0))/2))/AK63)</f>
        <v>#N/A</v>
      </c>
      <c r="AC63" s="185" t="e">
        <f aca="false">IF($A64="","",VLOOKUP($A63,Table,MATCH(AC$4,Curves,0)))</f>
        <v>#N/A</v>
      </c>
      <c r="AD63" s="185" t="e">
        <f aca="false">IF($A64="","",VLOOKUP($A63,Table,MATCH(AD$4,Curves,0)))</f>
        <v>#N/A</v>
      </c>
      <c r="AE63" s="185" t="e">
        <f aca="false">SQRT((AD63^2*(A63-$D$3)+AC63^2*(DAY(EOMONTH(A63,0))/2))/AK63)</f>
        <v>#N/A</v>
      </c>
      <c r="AF63" s="206" t="e">
        <f aca="false">((Summary!$N$11*(AA63*AD63)*(A63-$D$3))+(Summary!$M$11*Z63*AC63*(AJ63-EOMONTH(EDATE(A63,-1),0))))/(AK63*AB63*AE63)</f>
        <v>#N/A</v>
      </c>
      <c r="AG63" s="207" t="n">
        <f aca="false">IF($A64="","",Summary!$Q$11)</f>
        <v>0</v>
      </c>
      <c r="AH63" s="207" t="n">
        <f aca="false">IF($A64="","",IF(Summary!$R$11="Y",(VLOOKUP($A63,Summary!$AD$6:$AF$9,3)+'Escalating commodity'!G76),'Escalating commodity'!G76))</f>
        <v>0.00526031121286396</v>
      </c>
      <c r="AI63" s="207" t="n">
        <f aca="false">IF($A64="","",AH63)</f>
        <v>0.00526031121286396</v>
      </c>
      <c r="AJ63" s="208" t="n">
        <f aca="false">A63+DAY(EOMONTH(A63,0))/2-1</f>
        <v>38671</v>
      </c>
      <c r="AK63" s="209" t="n">
        <f aca="false">IF($A64="","",$A63-$E$1)</f>
        <v>-7269</v>
      </c>
      <c r="AL63" s="182" t="e">
        <f aca="false">IF($A64="","",SPRDOPT(P63,X63,AI63,0,AB63,AE63,AF63,AK63,$AJ$2,0))</f>
        <v>#NAME?</v>
      </c>
      <c r="AM63" s="210" t="e">
        <f aca="false">IF($A64="","",MAX(0,O63-W63-AI63))</f>
        <v>#N/A</v>
      </c>
      <c r="AN63" s="211" t="e">
        <f aca="false">IF($A64="","",AL63-AM63)</f>
        <v>#N/A</v>
      </c>
      <c r="AO63" s="137" t="n">
        <f aca="false">IF(A64="","",A64-A63)</f>
        <v>30</v>
      </c>
      <c r="AP63" s="212" t="n">
        <f aca="false">IF(A64="","",CHOOSE(F$3,A64+24,A63))</f>
        <v>38657</v>
      </c>
      <c r="AQ63" s="209" t="n">
        <f aca="false">IF(A64="","",AP63-$E$1)</f>
        <v>-7269</v>
      </c>
      <c r="AR63" s="185" t="n">
        <f aca="false">'ANR OK vs ML7'!AR63</f>
        <v>0.1</v>
      </c>
      <c r="AS63" s="213" t="n">
        <f aca="false">IF(A64="","",1/(1+CHOOSE(F$3,(AR64+($I$3/10000))/2,(AR63+($I$3/10000))/2))^(2*AQ63/365.25))</f>
        <v>6.97260425794147</v>
      </c>
      <c r="AT63" s="137" t="n">
        <f aca="false">IF(A64="","",IF(AND(mthbeg&lt;=A63,mthend&gt;=A63),1,0))</f>
        <v>1</v>
      </c>
      <c r="AU63" s="137" t="n">
        <f aca="false">IF(A64="","",AO63*AT63)</f>
        <v>30</v>
      </c>
      <c r="AW63" s="195" t="e">
        <f aca="false">IF($A64="","",AL63*$E63)</f>
        <v>#NAME?</v>
      </c>
      <c r="AX63" s="195" t="e">
        <f aca="false">IF($A64="","",AM63*$E63)</f>
        <v>#N/A</v>
      </c>
      <c r="AY63" s="195" t="e">
        <f aca="false">IF($A64="","",AN63*$E63)</f>
        <v>#N/A</v>
      </c>
      <c r="BA63" s="195" t="n">
        <f aca="false">IF($A64="","",F63*Summary!$Q$11)</f>
        <v>0</v>
      </c>
      <c r="BC63" s="179" t="e">
        <f aca="false">IF(A64="","",AM63*F63)</f>
        <v>#N/A</v>
      </c>
    </row>
    <row r="64" customFormat="false" ht="12.75" hidden="false" customHeight="false" outlineLevel="0" collapsed="false">
      <c r="A64" s="196" t="n">
        <f aca="false">IF(A63&lt;mthend,EDATE(A63,1),"")</f>
        <v>38687</v>
      </c>
      <c r="B64" s="197" t="n">
        <f aca="false">IF(A64&lt;mthend,B63,"")</f>
        <v>124142</v>
      </c>
      <c r="C64" s="215"/>
      <c r="D64" s="197" t="n">
        <f aca="false">IF(A65&lt;&gt;"",B64+C64,"")</f>
        <v>124142</v>
      </c>
      <c r="E64" s="199" t="n">
        <f aca="false">IF(A65="","",IF(AND(AT64=1,$H$3=1),D64*AO64,IF($H$3=2,D64,"N/A")))</f>
        <v>3848402</v>
      </c>
      <c r="F64" s="199" t="n">
        <f aca="false">IF(A65="","",E64*AS64)</f>
        <v>26619179.2119488</v>
      </c>
      <c r="G64" s="200" t="e">
        <f aca="false">IF($A65="","",VLOOKUP($A64,Table,MATCH(G$4,Curves,0)))</f>
        <v>#N/A</v>
      </c>
      <c r="H64" s="201" t="e">
        <f aca="false">IF(A65="","",G64)</f>
        <v>#N/A</v>
      </c>
      <c r="I64" s="202"/>
      <c r="J64" s="200" t="e">
        <f aca="false">IF($A65="","",VLOOKUP($A64,Table,MATCH(J$4,Curves,0)))</f>
        <v>#N/A</v>
      </c>
      <c r="K64" s="201" t="e">
        <f aca="false">IF(A65="","",J64)</f>
        <v>#N/A</v>
      </c>
      <c r="L64" s="200" t="e">
        <f aca="false">IF($A65="","",VLOOKUP($A64,Table,MATCH(L$4,Curves,0)))</f>
        <v>#N/A</v>
      </c>
      <c r="M64" s="201" t="e">
        <f aca="false">IF(A65="","",L64)</f>
        <v>#N/A</v>
      </c>
      <c r="N64" s="203"/>
      <c r="O64" s="200" t="e">
        <f aca="false">IF(A65="","",L64+J64+G64)</f>
        <v>#N/A</v>
      </c>
      <c r="P64" s="200" t="e">
        <f aca="false">IF(A65="","",M64+K64+H64)</f>
        <v>#N/A</v>
      </c>
      <c r="Q64" s="204"/>
      <c r="R64" s="200" t="e">
        <f aca="false">IF($A65="","",VLOOKUP($A64,Table,MATCH(R$4,Curves,0)))</f>
        <v>#N/A</v>
      </c>
      <c r="S64" s="201" t="e">
        <f aca="false">IF(A65="","",R64)</f>
        <v>#N/A</v>
      </c>
      <c r="T64" s="185" t="n">
        <v>0</v>
      </c>
      <c r="U64" s="201" t="n">
        <f aca="false">IF(A65="","",T64)</f>
        <v>0</v>
      </c>
      <c r="V64" s="205" t="e">
        <f aca="false">IF($A65="","",IF(AND(MONTH(A64)&gt;3,MONTH(A64)&lt;11),(T64+R64+G64)*Summary!$T$11/(1-Summary!$T$11),(T64+R64+G64)*Summary!$U$11/(1-Summary!$U$11)))</f>
        <v>#N/A</v>
      </c>
      <c r="W64" s="202" t="e">
        <f aca="false">IF($A65="","",(T64+R64+G64+V64))</f>
        <v>#N/A</v>
      </c>
      <c r="X64" s="202" t="e">
        <f aca="false">IF($A65="","",(U64+S64+H64+V64))</f>
        <v>#N/A</v>
      </c>
      <c r="Y64" s="202"/>
      <c r="Z64" s="185" t="e">
        <f aca="false">IF($A65="","",VLOOKUP($A64,Table,MATCH(Z$4,Curves,0)))</f>
        <v>#N/A</v>
      </c>
      <c r="AA64" s="185" t="e">
        <f aca="false">IF($A65="","",VLOOKUP($A64,Table,MATCH(AA$4,Curves,0)))</f>
        <v>#N/A</v>
      </c>
      <c r="AB64" s="185" t="e">
        <f aca="false">SQRT((AA64^2*(A64-$D$3)+Z64^2*(DAY(EOMONTH(A64,0))/2))/AK64)</f>
        <v>#N/A</v>
      </c>
      <c r="AC64" s="185" t="e">
        <f aca="false">IF($A65="","",VLOOKUP($A64,Table,MATCH(AC$4,Curves,0)))</f>
        <v>#N/A</v>
      </c>
      <c r="AD64" s="185" t="e">
        <f aca="false">IF($A65="","",VLOOKUP($A64,Table,MATCH(AD$4,Curves,0)))</f>
        <v>#N/A</v>
      </c>
      <c r="AE64" s="185" t="e">
        <f aca="false">SQRT((AD64^2*(A64-$D$3)+AC64^2*(DAY(EOMONTH(A64,0))/2))/AK64)</f>
        <v>#N/A</v>
      </c>
      <c r="AF64" s="206" t="e">
        <f aca="false">((Summary!$N$11*(AA64*AD64)*(A64-$D$3))+(Summary!$M$11*Z64*AC64*(AJ64-EOMONTH(EDATE(A64,-1),0))))/(AK64*AB64*AE64)</f>
        <v>#N/A</v>
      </c>
      <c r="AG64" s="207" t="n">
        <f aca="false">IF($A65="","",Summary!$Q$11)</f>
        <v>0</v>
      </c>
      <c r="AH64" s="207" t="n">
        <f aca="false">IF($A65="","",IF(Summary!$R$11="Y",(VLOOKUP($A64,Summary!$AD$6:$AF$9,3)+'Escalating commodity'!G77),'Escalating commodity'!G77))</f>
        <v>0.00526031121286396</v>
      </c>
      <c r="AI64" s="207" t="n">
        <f aca="false">IF($A65="","",AH64)</f>
        <v>0.00526031121286396</v>
      </c>
      <c r="AJ64" s="208" t="n">
        <f aca="false">A64+DAY(EOMONTH(A64,0))/2-1</f>
        <v>38701.5</v>
      </c>
      <c r="AK64" s="209" t="n">
        <f aca="false">IF($A65="","",$A64-$E$1)</f>
        <v>-7239</v>
      </c>
      <c r="AL64" s="182" t="e">
        <f aca="false">IF($A65="","",SPRDOPT(P64,X64,AI64,0,AB64,AE64,AF64,AK64,$AJ$2,0))</f>
        <v>#NAME?</v>
      </c>
      <c r="AM64" s="210" t="e">
        <f aca="false">IF($A65="","",MAX(0,O64-W64-AI64))</f>
        <v>#N/A</v>
      </c>
      <c r="AN64" s="211" t="e">
        <f aca="false">IF($A65="","",AL64-AM64)</f>
        <v>#N/A</v>
      </c>
      <c r="AO64" s="137" t="n">
        <f aca="false">IF(A65="","",A65-A64)</f>
        <v>31</v>
      </c>
      <c r="AP64" s="212" t="n">
        <f aca="false">IF(A65="","",CHOOSE(F$3,A65+24,A64))</f>
        <v>38687</v>
      </c>
      <c r="AQ64" s="209" t="n">
        <f aca="false">IF(A65="","",AP64-$E$1)</f>
        <v>-7239</v>
      </c>
      <c r="AR64" s="185" t="n">
        <f aca="false">'ANR OK vs ML7'!AR64</f>
        <v>0.1</v>
      </c>
      <c r="AS64" s="213" t="n">
        <f aca="false">IF(A65="","",1/(1+CHOOSE(F$3,(AR65+($I$3/10000))/2,(AR64+($I$3/10000))/2))^(2*AQ64/365.25))</f>
        <v>6.91694350329014</v>
      </c>
      <c r="AT64" s="137" t="n">
        <f aca="false">IF(A65="","",IF(AND(mthbeg&lt;=A64,mthend&gt;=A64),1,0))</f>
        <v>1</v>
      </c>
      <c r="AU64" s="137" t="n">
        <f aca="false">IF(A65="","",AO64*AT64)</f>
        <v>31</v>
      </c>
      <c r="AW64" s="195" t="e">
        <f aca="false">IF($A65="","",AL64*$E64)</f>
        <v>#NAME?</v>
      </c>
      <c r="AX64" s="195" t="e">
        <f aca="false">IF($A65="","",AM64*$E64)</f>
        <v>#N/A</v>
      </c>
      <c r="AY64" s="195" t="e">
        <f aca="false">IF($A65="","",AN64*$E64)</f>
        <v>#N/A</v>
      </c>
      <c r="BA64" s="195" t="n">
        <f aca="false">IF($A65="","",F64*Summary!$Q$11)</f>
        <v>0</v>
      </c>
      <c r="BC64" s="179" t="e">
        <f aca="false">IF(A65="","",AM64*F64)</f>
        <v>#N/A</v>
      </c>
    </row>
    <row r="65" customFormat="false" ht="12.75" hidden="false" customHeight="false" outlineLevel="0" collapsed="false">
      <c r="A65" s="196" t="n">
        <f aca="false">IF(A64&lt;mthend,EDATE(A64,1),"")</f>
        <v>38718</v>
      </c>
      <c r="B65" s="197" t="n">
        <f aca="false">IF(A65&lt;mthend,B64,"")</f>
        <v>124142</v>
      </c>
      <c r="C65" s="215"/>
      <c r="D65" s="197" t="n">
        <f aca="false">IF(A66&lt;&gt;"",B65+C65,"")</f>
        <v>124142</v>
      </c>
      <c r="E65" s="199" t="n">
        <f aca="false">IF(A66="","",IF(AND(AT65=1,$H$3=1),D65*AO65,IF($H$3=2,D65,"N/A")))</f>
        <v>3848402</v>
      </c>
      <c r="F65" s="199" t="n">
        <f aca="false">IF(A66="","",E65*AS65)</f>
        <v>26399630.3256978</v>
      </c>
      <c r="G65" s="200" t="e">
        <f aca="false">IF($A66="","",VLOOKUP($A65,Table,MATCH(G$4,Curves,0)))</f>
        <v>#N/A</v>
      </c>
      <c r="H65" s="201" t="e">
        <f aca="false">IF(A66="","",G65)</f>
        <v>#N/A</v>
      </c>
      <c r="I65" s="202"/>
      <c r="J65" s="200" t="e">
        <f aca="false">IF($A66="","",VLOOKUP($A65,Table,MATCH(J$4,Curves,0)))</f>
        <v>#N/A</v>
      </c>
      <c r="K65" s="201" t="e">
        <f aca="false">IF(A66="","",J65)</f>
        <v>#N/A</v>
      </c>
      <c r="L65" s="200" t="e">
        <f aca="false">IF($A66="","",VLOOKUP($A65,Table,MATCH(L$4,Curves,0)))</f>
        <v>#N/A</v>
      </c>
      <c r="M65" s="201" t="e">
        <f aca="false">IF(A66="","",L65)</f>
        <v>#N/A</v>
      </c>
      <c r="N65" s="203"/>
      <c r="O65" s="200" t="e">
        <f aca="false">IF(A66="","",L65+J65+G65)</f>
        <v>#N/A</v>
      </c>
      <c r="P65" s="200" t="e">
        <f aca="false">IF(A66="","",M65+K65+H65)</f>
        <v>#N/A</v>
      </c>
      <c r="Q65" s="204"/>
      <c r="R65" s="200" t="e">
        <f aca="false">IF($A66="","",VLOOKUP($A65,Table,MATCH(R$4,Curves,0)))</f>
        <v>#N/A</v>
      </c>
      <c r="S65" s="201" t="e">
        <f aca="false">IF(A66="","",R65)</f>
        <v>#N/A</v>
      </c>
      <c r="T65" s="185" t="n">
        <v>0</v>
      </c>
      <c r="U65" s="201" t="n">
        <f aca="false">IF(A66="","",T65)</f>
        <v>0</v>
      </c>
      <c r="V65" s="205" t="e">
        <f aca="false">IF($A66="","",IF(AND(MONTH(A65)&gt;3,MONTH(A65)&lt;11),(T65+R65+G65)*Summary!$T$11/(1-Summary!$T$11),(T65+R65+G65)*Summary!$U$11/(1-Summary!$U$11)))</f>
        <v>#N/A</v>
      </c>
      <c r="W65" s="202" t="e">
        <f aca="false">IF($A66="","",(T65+R65+G65+V65))</f>
        <v>#N/A</v>
      </c>
      <c r="X65" s="202" t="e">
        <f aca="false">IF($A66="","",(U65+S65+H65+V65))</f>
        <v>#N/A</v>
      </c>
      <c r="Y65" s="202"/>
      <c r="Z65" s="185" t="e">
        <f aca="false">IF($A66="","",VLOOKUP($A65,Table,MATCH(Z$4,Curves,0)))</f>
        <v>#N/A</v>
      </c>
      <c r="AA65" s="185" t="e">
        <f aca="false">IF($A66="","",VLOOKUP($A65,Table,MATCH(AA$4,Curves,0)))</f>
        <v>#N/A</v>
      </c>
      <c r="AB65" s="185" t="e">
        <f aca="false">SQRT((AA65^2*(A65-$D$3)+Z65^2*(DAY(EOMONTH(A65,0))/2))/AK65)</f>
        <v>#N/A</v>
      </c>
      <c r="AC65" s="185" t="e">
        <f aca="false">IF($A66="","",VLOOKUP($A65,Table,MATCH(AC$4,Curves,0)))</f>
        <v>#N/A</v>
      </c>
      <c r="AD65" s="185" t="e">
        <f aca="false">IF($A66="","",VLOOKUP($A65,Table,MATCH(AD$4,Curves,0)))</f>
        <v>#N/A</v>
      </c>
      <c r="AE65" s="185" t="e">
        <f aca="false">SQRT((AD65^2*(A65-$D$3)+AC65^2*(DAY(EOMONTH(A65,0))/2))/AK65)</f>
        <v>#N/A</v>
      </c>
      <c r="AF65" s="206" t="e">
        <f aca="false">((Summary!$N$11*(AA65*AD65)*(A65-$D$3))+(Summary!$M$11*Z65*AC65*(AJ65-EOMONTH(EDATE(A65,-1),0))))/(AK65*AB65*AE65)</f>
        <v>#N/A</v>
      </c>
      <c r="AG65" s="207" t="n">
        <f aca="false">IF($A66="","",Summary!$Q$11)</f>
        <v>0</v>
      </c>
      <c r="AH65" s="207" t="n">
        <f aca="false">IF($A66="","",IF(Summary!$R$11="Y",(VLOOKUP($A65,Summary!$AD$6:$AF$9,3)+'Escalating commodity'!G78),'Escalating commodity'!G78))</f>
        <v>0.00536551743712124</v>
      </c>
      <c r="AI65" s="207" t="n">
        <f aca="false">IF($A66="","",AH65)</f>
        <v>0.00536551743712124</v>
      </c>
      <c r="AJ65" s="208" t="n">
        <f aca="false">A65+DAY(EOMONTH(A65,0))/2-1</f>
        <v>38732.5</v>
      </c>
      <c r="AK65" s="209" t="n">
        <f aca="false">IF($A66="","",$A65-$E$1)</f>
        <v>-7208</v>
      </c>
      <c r="AL65" s="182" t="e">
        <f aca="false">IF($A66="","",SPRDOPT(P65,X65,AI65,0,AB65,AE65,AF65,AK65,$AJ$2,0))</f>
        <v>#NAME?</v>
      </c>
      <c r="AM65" s="210" t="e">
        <f aca="false">IF($A66="","",MAX(0,O65-W65-AI65))</f>
        <v>#N/A</v>
      </c>
      <c r="AN65" s="211" t="e">
        <f aca="false">IF($A66="","",AL65-AM65)</f>
        <v>#N/A</v>
      </c>
      <c r="AO65" s="137" t="n">
        <f aca="false">IF(A66="","",A66-A65)</f>
        <v>31</v>
      </c>
      <c r="AP65" s="212" t="n">
        <f aca="false">IF(A66="","",CHOOSE(F$3,A66+24,A65))</f>
        <v>38718</v>
      </c>
      <c r="AQ65" s="209" t="n">
        <f aca="false">IF(A66="","",AP65-$E$1)</f>
        <v>-7208</v>
      </c>
      <c r="AR65" s="185" t="n">
        <f aca="false">'ANR OK vs ML7'!AR65</f>
        <v>0.1</v>
      </c>
      <c r="AS65" s="213" t="n">
        <f aca="false">IF(A66="","",1/(1+CHOOSE(F$3,(AR66+($I$3/10000))/2,(AR65+($I$3/10000))/2))^(2*AQ65/365.25))</f>
        <v>6.85989413935909</v>
      </c>
      <c r="AT65" s="137" t="n">
        <f aca="false">IF(A66="","",IF(AND(mthbeg&lt;=A65,mthend&gt;=A65),1,0))</f>
        <v>1</v>
      </c>
      <c r="AU65" s="137" t="n">
        <f aca="false">IF(A66="","",AO65*AT65)</f>
        <v>31</v>
      </c>
      <c r="AW65" s="195" t="e">
        <f aca="false">IF($A66="","",AL65*$E65)</f>
        <v>#NAME?</v>
      </c>
      <c r="AX65" s="195" t="e">
        <f aca="false">IF($A66="","",AM65*$E65)</f>
        <v>#N/A</v>
      </c>
      <c r="AY65" s="195" t="e">
        <f aca="false">IF($A66="","",AN65*$E65)</f>
        <v>#N/A</v>
      </c>
      <c r="BA65" s="195" t="n">
        <f aca="false">IF($A66="","",F65*Summary!$Q$11)</f>
        <v>0</v>
      </c>
      <c r="BC65" s="179" t="e">
        <f aca="false">IF(A66="","",AM65*F65)</f>
        <v>#N/A</v>
      </c>
    </row>
    <row r="66" customFormat="false" ht="12.75" hidden="false" customHeight="false" outlineLevel="0" collapsed="false">
      <c r="A66" s="196" t="n">
        <f aca="false">IF(A65&lt;mthend,EDATE(A65,1),"")</f>
        <v>38749</v>
      </c>
      <c r="B66" s="197" t="n">
        <f aca="false">IF(A66&lt;mthend,B65,"")</f>
        <v>124142</v>
      </c>
      <c r="C66" s="215"/>
      <c r="D66" s="197" t="n">
        <f aca="false">IF(A67&lt;&gt;"",B66+C66,"")</f>
        <v>124142</v>
      </c>
      <c r="E66" s="199" t="n">
        <f aca="false">IF(A67="","",IF(AND(AT66=1,$H$3=1),D66*AO66,IF($H$3=2,D66,"N/A")))</f>
        <v>3475976</v>
      </c>
      <c r="F66" s="199" t="n">
        <f aca="false">IF(A67="","",E66*AS66)</f>
        <v>23648160.722351</v>
      </c>
      <c r="G66" s="200" t="e">
        <f aca="false">IF($A67="","",VLOOKUP($A66,Table,MATCH(G$4,Curves,0)))</f>
        <v>#N/A</v>
      </c>
      <c r="H66" s="201" t="e">
        <f aca="false">IF(A67="","",G66)</f>
        <v>#N/A</v>
      </c>
      <c r="I66" s="202"/>
      <c r="J66" s="200" t="e">
        <f aca="false">IF($A67="","",VLOOKUP($A66,Table,MATCH(J$4,Curves,0)))</f>
        <v>#N/A</v>
      </c>
      <c r="K66" s="201" t="e">
        <f aca="false">IF(A67="","",J66)</f>
        <v>#N/A</v>
      </c>
      <c r="L66" s="200" t="e">
        <f aca="false">IF($A67="","",VLOOKUP($A66,Table,MATCH(L$4,Curves,0)))</f>
        <v>#N/A</v>
      </c>
      <c r="M66" s="201" t="e">
        <f aca="false">IF(A67="","",L66)</f>
        <v>#N/A</v>
      </c>
      <c r="N66" s="203"/>
      <c r="O66" s="200" t="e">
        <f aca="false">IF(A67="","",L66+J66+G66)</f>
        <v>#N/A</v>
      </c>
      <c r="P66" s="200" t="e">
        <f aca="false">IF(A67="","",M66+K66+H66)</f>
        <v>#N/A</v>
      </c>
      <c r="Q66" s="204"/>
      <c r="R66" s="200" t="e">
        <f aca="false">IF($A67="","",VLOOKUP($A66,Table,MATCH(R$4,Curves,0)))</f>
        <v>#N/A</v>
      </c>
      <c r="S66" s="201" t="e">
        <f aca="false">IF(A67="","",R66)</f>
        <v>#N/A</v>
      </c>
      <c r="T66" s="185" t="n">
        <v>0</v>
      </c>
      <c r="U66" s="201" t="n">
        <f aca="false">IF(A67="","",T66)</f>
        <v>0</v>
      </c>
      <c r="V66" s="205" t="e">
        <f aca="false">IF($A67="","",IF(AND(MONTH(A66)&gt;3,MONTH(A66)&lt;11),(T66+R66+G66)*Summary!$T$11/(1-Summary!$T$11),(T66+R66+G66)*Summary!$U$11/(1-Summary!$U$11)))</f>
        <v>#N/A</v>
      </c>
      <c r="W66" s="202" t="e">
        <f aca="false">IF($A67="","",(T66+R66+G66+V66))</f>
        <v>#N/A</v>
      </c>
      <c r="X66" s="202" t="e">
        <f aca="false">IF($A67="","",(U66+S66+H66+V66))</f>
        <v>#N/A</v>
      </c>
      <c r="Y66" s="202"/>
      <c r="Z66" s="185" t="e">
        <f aca="false">IF($A67="","",VLOOKUP($A66,Table,MATCH(Z$4,Curves,0)))</f>
        <v>#N/A</v>
      </c>
      <c r="AA66" s="185" t="e">
        <f aca="false">IF($A67="","",VLOOKUP($A66,Table,MATCH(AA$4,Curves,0)))</f>
        <v>#N/A</v>
      </c>
      <c r="AB66" s="185" t="e">
        <f aca="false">SQRT((AA66^2*(A66-$D$3)+Z66^2*(DAY(EOMONTH(A66,0))/2))/AK66)</f>
        <v>#N/A</v>
      </c>
      <c r="AC66" s="185" t="e">
        <f aca="false">IF($A67="","",VLOOKUP($A66,Table,MATCH(AC$4,Curves,0)))</f>
        <v>#N/A</v>
      </c>
      <c r="AD66" s="185" t="e">
        <f aca="false">IF($A67="","",VLOOKUP($A66,Table,MATCH(AD$4,Curves,0)))</f>
        <v>#N/A</v>
      </c>
      <c r="AE66" s="185" t="e">
        <f aca="false">SQRT((AD66^2*(A66-$D$3)+AC66^2*(DAY(EOMONTH(A66,0))/2))/AK66)</f>
        <v>#N/A</v>
      </c>
      <c r="AF66" s="206" t="e">
        <f aca="false">((Summary!$N$11*(AA66*AD66)*(A66-$D$3))+(Summary!$M$11*Z66*AC66*(AJ66-EOMONTH(EDATE(A66,-1),0))))/(AK66*AB66*AE66)</f>
        <v>#N/A</v>
      </c>
      <c r="AG66" s="207" t="n">
        <f aca="false">IF($A67="","",Summary!$Q$11)</f>
        <v>0</v>
      </c>
      <c r="AH66" s="207" t="n">
        <f aca="false">IF($A67="","",IF(Summary!$R$11="Y",(VLOOKUP($A66,Summary!$AD$6:$AF$9,3)+'Escalating commodity'!G79),'Escalating commodity'!G79))</f>
        <v>0.00536551743712124</v>
      </c>
      <c r="AI66" s="207" t="n">
        <f aca="false">IF($A67="","",AH66)</f>
        <v>0.00536551743712124</v>
      </c>
      <c r="AJ66" s="208" t="n">
        <f aca="false">A66+DAY(EOMONTH(A66,0))/2-1</f>
        <v>38762</v>
      </c>
      <c r="AK66" s="209" t="n">
        <f aca="false">IF($A67="","",$A66-$E$1)</f>
        <v>-7177</v>
      </c>
      <c r="AL66" s="182" t="e">
        <f aca="false">IF($A67="","",SPRDOPT(P66,X66,AI66,0,AB66,AE66,AF66,AK66,$AJ$2,0))</f>
        <v>#NAME?</v>
      </c>
      <c r="AM66" s="210" t="e">
        <f aca="false">IF($A67="","",MAX(0,O66-W66-AI66))</f>
        <v>#N/A</v>
      </c>
      <c r="AN66" s="211" t="e">
        <f aca="false">IF($A67="","",AL66-AM66)</f>
        <v>#N/A</v>
      </c>
      <c r="AO66" s="137" t="n">
        <f aca="false">IF(A67="","",A67-A66)</f>
        <v>28</v>
      </c>
      <c r="AP66" s="212" t="n">
        <f aca="false">IF(A67="","",CHOOSE(F$3,A67+24,A66))</f>
        <v>38749</v>
      </c>
      <c r="AQ66" s="209" t="n">
        <f aca="false">IF(A67="","",AP66-$E$1)</f>
        <v>-7177</v>
      </c>
      <c r="AR66" s="185" t="n">
        <f aca="false">'ANR OK vs ML7'!AR66</f>
        <v>0.1</v>
      </c>
      <c r="AS66" s="213" t="n">
        <f aca="false">IF(A67="","",1/(1+CHOOSE(F$3,(AR67+($I$3/10000))/2,(AR66+($I$3/10000))/2))^(2*AQ66/365.25))</f>
        <v>6.80331530550009</v>
      </c>
      <c r="AT66" s="137" t="n">
        <f aca="false">IF(A67="","",IF(AND(mthbeg&lt;=A66,mthend&gt;=A66),1,0))</f>
        <v>1</v>
      </c>
      <c r="AU66" s="137" t="n">
        <f aca="false">IF(A67="","",AO66*AT66)</f>
        <v>28</v>
      </c>
      <c r="AW66" s="195" t="e">
        <f aca="false">IF($A67="","",AL66*$E66)</f>
        <v>#NAME?</v>
      </c>
      <c r="AX66" s="195" t="e">
        <f aca="false">IF($A67="","",AM66*$E66)</f>
        <v>#N/A</v>
      </c>
      <c r="AY66" s="195" t="e">
        <f aca="false">IF($A67="","",AN66*$E66)</f>
        <v>#N/A</v>
      </c>
      <c r="BA66" s="195" t="n">
        <f aca="false">IF($A67="","",F66*Summary!$Q$11)</f>
        <v>0</v>
      </c>
      <c r="BC66" s="179" t="e">
        <f aca="false">IF(A67="","",AM66*F66)</f>
        <v>#N/A</v>
      </c>
    </row>
    <row r="67" customFormat="false" ht="12.75" hidden="false" customHeight="false" outlineLevel="0" collapsed="false">
      <c r="A67" s="196" t="n">
        <f aca="false">IF(A66&lt;mthend,EDATE(A66,1),"")</f>
        <v>38777</v>
      </c>
      <c r="B67" s="197" t="n">
        <f aca="false">IF(A67&lt;mthend,B66,"")</f>
        <v>124142</v>
      </c>
      <c r="C67" s="215"/>
      <c r="D67" s="197" t="n">
        <f aca="false">IF(A68&lt;&gt;"",B67+C67,"")</f>
        <v>124142</v>
      </c>
      <c r="E67" s="199" t="n">
        <f aca="false">IF(A68="","",IF(AND(AT67=1,$H$3=1),D67*AO67,IF($H$3=2,D67,"N/A")))</f>
        <v>3848402</v>
      </c>
      <c r="F67" s="199" t="n">
        <f aca="false">IF(A68="","",E67*AS67)</f>
        <v>25986769.5460615</v>
      </c>
      <c r="G67" s="200" t="e">
        <f aca="false">IF($A68="","",VLOOKUP($A67,Table,MATCH(G$4,Curves,0)))</f>
        <v>#N/A</v>
      </c>
      <c r="H67" s="201" t="e">
        <f aca="false">IF(A68="","",G67)</f>
        <v>#N/A</v>
      </c>
      <c r="I67" s="202"/>
      <c r="J67" s="200" t="e">
        <f aca="false">IF($A68="","",VLOOKUP($A67,Table,MATCH(J$4,Curves,0)))</f>
        <v>#N/A</v>
      </c>
      <c r="K67" s="201" t="e">
        <f aca="false">IF(A68="","",J67)</f>
        <v>#N/A</v>
      </c>
      <c r="L67" s="200" t="e">
        <f aca="false">IF($A68="","",VLOOKUP($A67,Table,MATCH(L$4,Curves,0)))</f>
        <v>#N/A</v>
      </c>
      <c r="M67" s="201" t="e">
        <f aca="false">IF(A68="","",L67)</f>
        <v>#N/A</v>
      </c>
      <c r="N67" s="203"/>
      <c r="O67" s="200" t="e">
        <f aca="false">IF(A68="","",L67+J67+G67)</f>
        <v>#N/A</v>
      </c>
      <c r="P67" s="200" t="e">
        <f aca="false">IF(A68="","",M67+K67+H67)</f>
        <v>#N/A</v>
      </c>
      <c r="Q67" s="204"/>
      <c r="R67" s="200" t="e">
        <f aca="false">IF($A68="","",VLOOKUP($A67,Table,MATCH(R$4,Curves,0)))</f>
        <v>#N/A</v>
      </c>
      <c r="S67" s="201" t="e">
        <f aca="false">IF(A68="","",R67)</f>
        <v>#N/A</v>
      </c>
      <c r="T67" s="185" t="n">
        <v>0</v>
      </c>
      <c r="U67" s="201" t="n">
        <f aca="false">IF(A68="","",T67)</f>
        <v>0</v>
      </c>
      <c r="V67" s="205" t="e">
        <f aca="false">IF($A68="","",IF(AND(MONTH(A67)&gt;3,MONTH(A67)&lt;11),(T67+R67+G67)*Summary!$T$11/(1-Summary!$T$11),(T67+R67+G67)*Summary!$U$11/(1-Summary!$U$11)))</f>
        <v>#N/A</v>
      </c>
      <c r="W67" s="202" t="e">
        <f aca="false">IF($A68="","",(T67+R67+G67+V67))</f>
        <v>#N/A</v>
      </c>
      <c r="X67" s="202" t="e">
        <f aca="false">IF($A68="","",(U67+S67+H67+V67))</f>
        <v>#N/A</v>
      </c>
      <c r="Y67" s="202"/>
      <c r="Z67" s="185" t="e">
        <f aca="false">IF($A68="","",VLOOKUP($A67,Table,MATCH(Z$4,Curves,0)))</f>
        <v>#N/A</v>
      </c>
      <c r="AA67" s="185" t="e">
        <f aca="false">IF($A68="","",VLOOKUP($A67,Table,MATCH(AA$4,Curves,0)))</f>
        <v>#N/A</v>
      </c>
      <c r="AB67" s="185" t="e">
        <f aca="false">SQRT((AA67^2*(A67-$D$3)+Z67^2*(DAY(EOMONTH(A67,0))/2))/AK67)</f>
        <v>#N/A</v>
      </c>
      <c r="AC67" s="185" t="e">
        <f aca="false">IF($A68="","",VLOOKUP($A67,Table,MATCH(AC$4,Curves,0)))</f>
        <v>#N/A</v>
      </c>
      <c r="AD67" s="185" t="e">
        <f aca="false">IF($A68="","",VLOOKUP($A67,Table,MATCH(AD$4,Curves,0)))</f>
        <v>#N/A</v>
      </c>
      <c r="AE67" s="185" t="e">
        <f aca="false">SQRT((AD67^2*(A67-$D$3)+AC67^2*(DAY(EOMONTH(A67,0))/2))/AK67)</f>
        <v>#N/A</v>
      </c>
      <c r="AF67" s="206" t="e">
        <f aca="false">((Summary!$N$11*(AA67*AD67)*(A67-$D$3))+(Summary!$M$11*Z67*AC67*(AJ67-EOMONTH(EDATE(A67,-1),0))))/(AK67*AB67*AE67)</f>
        <v>#N/A</v>
      </c>
      <c r="AG67" s="207" t="n">
        <f aca="false">IF($A68="","",Summary!$Q$11)</f>
        <v>0</v>
      </c>
      <c r="AH67" s="207" t="n">
        <f aca="false">IF($A68="","",IF(Summary!$R$11="Y",(VLOOKUP($A67,Summary!$AD$6:$AF$9,3)+'Escalating commodity'!G80),'Escalating commodity'!G80))</f>
        <v>0.00536551743712124</v>
      </c>
      <c r="AI67" s="207" t="n">
        <f aca="false">IF($A68="","",AH67)</f>
        <v>0.00536551743712124</v>
      </c>
      <c r="AJ67" s="208" t="n">
        <f aca="false">A67+DAY(EOMONTH(A67,0))/2-1</f>
        <v>38791.5</v>
      </c>
      <c r="AK67" s="209" t="n">
        <f aca="false">IF($A68="","",$A67-$E$1)</f>
        <v>-7149</v>
      </c>
      <c r="AL67" s="182" t="e">
        <f aca="false">IF($A68="","",SPRDOPT(P67,X67,AI67,0,AB67,AE67,AF67,AK67,$AJ$2,0))</f>
        <v>#NAME?</v>
      </c>
      <c r="AM67" s="210" t="e">
        <f aca="false">IF($A68="","",MAX(0,O67-W67-AI67))</f>
        <v>#N/A</v>
      </c>
      <c r="AN67" s="211" t="e">
        <f aca="false">IF($A68="","",AL67-AM67)</f>
        <v>#N/A</v>
      </c>
      <c r="AO67" s="137" t="n">
        <f aca="false">IF(A68="","",A68-A67)</f>
        <v>31</v>
      </c>
      <c r="AP67" s="212" t="n">
        <f aca="false">IF(A68="","",CHOOSE(F$3,A68+24,A67))</f>
        <v>38777</v>
      </c>
      <c r="AQ67" s="209" t="n">
        <f aca="false">IF(A68="","",AP67-$E$1)</f>
        <v>-7149</v>
      </c>
      <c r="AR67" s="185" t="n">
        <f aca="false">'ANR OK vs ML7'!AR67</f>
        <v>0.1</v>
      </c>
      <c r="AS67" s="213" t="n">
        <f aca="false">IF(A68="","",1/(1+CHOOSE(F$3,(AR68+($I$3/10000))/2,(AR67+($I$3/10000))/2))^(2*AQ67/365.25))</f>
        <v>6.75261304459915</v>
      </c>
      <c r="AT67" s="137" t="n">
        <f aca="false">IF(A68="","",IF(AND(mthbeg&lt;=A67,mthend&gt;=A67),1,0))</f>
        <v>1</v>
      </c>
      <c r="AU67" s="137" t="n">
        <f aca="false">IF(A68="","",AO67*AT67)</f>
        <v>31</v>
      </c>
      <c r="AW67" s="195" t="e">
        <f aca="false">IF($A68="","",AL67*$E67)</f>
        <v>#NAME?</v>
      </c>
      <c r="AX67" s="195" t="e">
        <f aca="false">IF($A68="","",AM67*$E67)</f>
        <v>#N/A</v>
      </c>
      <c r="AY67" s="195" t="e">
        <f aca="false">IF($A68="","",AN67*$E67)</f>
        <v>#N/A</v>
      </c>
      <c r="BA67" s="195" t="n">
        <f aca="false">IF($A68="","",F67*Summary!$Q$11)</f>
        <v>0</v>
      </c>
      <c r="BC67" s="179" t="e">
        <f aca="false">IF(A68="","",AM67*F67)</f>
        <v>#N/A</v>
      </c>
    </row>
    <row r="68" customFormat="false" ht="12.75" hidden="false" customHeight="false" outlineLevel="0" collapsed="false">
      <c r="A68" s="196" t="n">
        <f aca="false">IF(A67&lt;mthend,EDATE(A67,1),"")</f>
        <v>38808</v>
      </c>
      <c r="B68" s="197" t="n">
        <f aca="false">IF(A68&lt;mthend,B67,"")</f>
        <v>124142</v>
      </c>
      <c r="C68" s="215"/>
      <c r="D68" s="197" t="n">
        <f aca="false">IF(A69&lt;&gt;"",B68+C68,"")</f>
        <v>124142</v>
      </c>
      <c r="E68" s="199" t="n">
        <f aca="false">IF(A69="","",IF(AND(AT68=1,$H$3=1),D68*AO68,IF($H$3=2,D68,"N/A")))</f>
        <v>3724260</v>
      </c>
      <c r="F68" s="199" t="n">
        <f aca="false">IF(A69="","",E68*AS68)</f>
        <v>24941067.7061812</v>
      </c>
      <c r="G68" s="200" t="e">
        <f aca="false">IF($A69="","",VLOOKUP($A68,Table,MATCH(G$4,Curves,0)))</f>
        <v>#N/A</v>
      </c>
      <c r="H68" s="201" t="e">
        <f aca="false">IF(A69="","",G68)</f>
        <v>#N/A</v>
      </c>
      <c r="I68" s="202"/>
      <c r="J68" s="200" t="e">
        <f aca="false">IF($A69="","",VLOOKUP($A68,Table,MATCH(J$4,Curves,0)))</f>
        <v>#N/A</v>
      </c>
      <c r="K68" s="201" t="e">
        <f aca="false">IF(A69="","",J68)</f>
        <v>#N/A</v>
      </c>
      <c r="L68" s="200" t="e">
        <f aca="false">IF($A69="","",VLOOKUP($A68,Table,MATCH(L$4,Curves,0)))</f>
        <v>#N/A</v>
      </c>
      <c r="M68" s="201" t="e">
        <f aca="false">IF(A69="","",L68)</f>
        <v>#N/A</v>
      </c>
      <c r="N68" s="203"/>
      <c r="O68" s="200" t="e">
        <f aca="false">IF(A69="","",L68+J68+G68)</f>
        <v>#N/A</v>
      </c>
      <c r="P68" s="200" t="e">
        <f aca="false">IF(A69="","",M68+K68+H68)</f>
        <v>#N/A</v>
      </c>
      <c r="Q68" s="204"/>
      <c r="R68" s="200" t="e">
        <f aca="false">IF($A69="","",VLOOKUP($A68,Table,MATCH(R$4,Curves,0)))</f>
        <v>#N/A</v>
      </c>
      <c r="S68" s="201" t="e">
        <f aca="false">IF(A69="","",R68)</f>
        <v>#N/A</v>
      </c>
      <c r="T68" s="185" t="n">
        <v>0</v>
      </c>
      <c r="U68" s="201" t="n">
        <f aca="false">IF(A69="","",T68)</f>
        <v>0</v>
      </c>
      <c r="V68" s="205" t="e">
        <f aca="false">IF($A69="","",IF(AND(MONTH(A68)&gt;3,MONTH(A68)&lt;11),(T68+R68+G68)*Summary!$T$11/(1-Summary!$T$11),(T68+R68+G68)*Summary!$U$11/(1-Summary!$U$11)))</f>
        <v>#N/A</v>
      </c>
      <c r="W68" s="202" t="e">
        <f aca="false">IF($A69="","",(T68+R68+G68+V68))</f>
        <v>#N/A</v>
      </c>
      <c r="X68" s="202" t="e">
        <f aca="false">IF($A69="","",(U68+S68+H68+V68))</f>
        <v>#N/A</v>
      </c>
      <c r="Y68" s="202"/>
      <c r="Z68" s="185" t="e">
        <f aca="false">IF($A69="","",VLOOKUP($A68,Table,MATCH(Z$4,Curves,0)))</f>
        <v>#N/A</v>
      </c>
      <c r="AA68" s="185" t="e">
        <f aca="false">IF($A69="","",VLOOKUP($A68,Table,MATCH(AA$4,Curves,0)))</f>
        <v>#N/A</v>
      </c>
      <c r="AB68" s="185" t="e">
        <f aca="false">SQRT((AA68^2*(A68-$D$3)+Z68^2*(DAY(EOMONTH(A68,0))/2))/AK68)</f>
        <v>#N/A</v>
      </c>
      <c r="AC68" s="185" t="e">
        <f aca="false">IF($A69="","",VLOOKUP($A68,Table,MATCH(AC$4,Curves,0)))</f>
        <v>#N/A</v>
      </c>
      <c r="AD68" s="185" t="e">
        <f aca="false">IF($A69="","",VLOOKUP($A68,Table,MATCH(AD$4,Curves,0)))</f>
        <v>#N/A</v>
      </c>
      <c r="AE68" s="185" t="e">
        <f aca="false">SQRT((AD68^2*(A68-$D$3)+AC68^2*(DAY(EOMONTH(A68,0))/2))/AK68)</f>
        <v>#N/A</v>
      </c>
      <c r="AF68" s="206" t="e">
        <f aca="false">((Summary!$N$11*(AA68*AD68)*(A68-$D$3))+(Summary!$M$11*Z68*AC68*(AJ68-EOMONTH(EDATE(A68,-1),0))))/(AK68*AB68*AE68)</f>
        <v>#N/A</v>
      </c>
      <c r="AG68" s="207" t="n">
        <f aca="false">IF($A69="","",Summary!$Q$11)</f>
        <v>0</v>
      </c>
      <c r="AH68" s="207" t="n">
        <f aca="false">IF($A69="","",IF(Summary!$R$11="Y",(VLOOKUP($A68,Summary!$AD$6:$AF$9,3)+'Escalating commodity'!G81),'Escalating commodity'!G81))</f>
        <v>0.00536551743712124</v>
      </c>
      <c r="AI68" s="207" t="n">
        <f aca="false">IF($A69="","",AH68)</f>
        <v>0.00536551743712124</v>
      </c>
      <c r="AJ68" s="208" t="n">
        <f aca="false">A68+DAY(EOMONTH(A68,0))/2-1</f>
        <v>38822</v>
      </c>
      <c r="AK68" s="209" t="n">
        <f aca="false">IF($A69="","",$A68-$E$1)</f>
        <v>-7118</v>
      </c>
      <c r="AL68" s="182" t="e">
        <f aca="false">IF($A69="","",SPRDOPT(P68,X68,AI68,0,AB68,AE68,AF68,AK68,$AJ$2,0))</f>
        <v>#NAME?</v>
      </c>
      <c r="AM68" s="210" t="e">
        <f aca="false">IF($A69="","",MAX(0,O68-W68-AI68))</f>
        <v>#N/A</v>
      </c>
      <c r="AN68" s="211" t="e">
        <f aca="false">IF($A69="","",AL68-AM68)</f>
        <v>#N/A</v>
      </c>
      <c r="AO68" s="137" t="n">
        <f aca="false">IF(A69="","",A69-A68)</f>
        <v>30</v>
      </c>
      <c r="AP68" s="212" t="n">
        <f aca="false">IF(A69="","",CHOOSE(F$3,A69+24,A68))</f>
        <v>38808</v>
      </c>
      <c r="AQ68" s="209" t="n">
        <f aca="false">IF(A69="","",AP68-$E$1)</f>
        <v>-7118</v>
      </c>
      <c r="AR68" s="185" t="n">
        <f aca="false">'ANR OK vs ML7'!AR68</f>
        <v>0.1</v>
      </c>
      <c r="AS68" s="213" t="n">
        <f aca="false">IF(A69="","",1/(1+CHOOSE(F$3,(AR69+($I$3/10000))/2,(AR68+($I$3/10000))/2))^(2*AQ68/365.25))</f>
        <v>6.69691904060972</v>
      </c>
      <c r="AT68" s="137" t="n">
        <f aca="false">IF(A69="","",IF(AND(mthbeg&lt;=A68,mthend&gt;=A68),1,0))</f>
        <v>1</v>
      </c>
      <c r="AU68" s="137" t="n">
        <f aca="false">IF(A69="","",AO68*AT68)</f>
        <v>30</v>
      </c>
      <c r="AW68" s="195" t="e">
        <f aca="false">IF($A69="","",AL68*$E68)</f>
        <v>#NAME?</v>
      </c>
      <c r="AX68" s="195" t="e">
        <f aca="false">IF($A69="","",AM68*$E68)</f>
        <v>#N/A</v>
      </c>
      <c r="AY68" s="195" t="e">
        <f aca="false">IF($A69="","",AN68*$E68)</f>
        <v>#N/A</v>
      </c>
      <c r="BA68" s="195" t="n">
        <f aca="false">IF($A69="","",F68*Summary!$Q$11)</f>
        <v>0</v>
      </c>
      <c r="BC68" s="179" t="e">
        <f aca="false">IF(A69="","",AM68*F68)</f>
        <v>#N/A</v>
      </c>
    </row>
    <row r="69" customFormat="false" ht="12.75" hidden="false" customHeight="false" outlineLevel="0" collapsed="false">
      <c r="A69" s="196" t="n">
        <f aca="false">IF(A68&lt;mthend,EDATE(A68,1),"")</f>
        <v>38838</v>
      </c>
      <c r="B69" s="197" t="n">
        <f aca="false">IF(A69&lt;mthend,B68,"")</f>
        <v>124142</v>
      </c>
      <c r="C69" s="215"/>
      <c r="D69" s="197" t="n">
        <f aca="false">IF(A70&lt;&gt;"",B69+C69,"")</f>
        <v>124142</v>
      </c>
      <c r="E69" s="199" t="n">
        <f aca="false">IF(A70="","",IF(AND(AT69=1,$H$3=1),D69*AO69,IF($H$3=2,D69,"N/A")))</f>
        <v>3848402</v>
      </c>
      <c r="F69" s="199" t="n">
        <f aca="false">IF(A70="","",E69*AS69)</f>
        <v>25566700.9793171</v>
      </c>
      <c r="G69" s="200" t="e">
        <f aca="false">IF($A70="","",VLOOKUP($A69,Table,MATCH(G$4,Curves,0)))</f>
        <v>#N/A</v>
      </c>
      <c r="H69" s="201" t="e">
        <f aca="false">IF(A70="","",G69)</f>
        <v>#N/A</v>
      </c>
      <c r="I69" s="202"/>
      <c r="J69" s="200" t="e">
        <f aca="false">IF($A70="","",VLOOKUP($A69,Table,MATCH(J$4,Curves,0)))</f>
        <v>#N/A</v>
      </c>
      <c r="K69" s="201" t="e">
        <f aca="false">IF(A70="","",J69)</f>
        <v>#N/A</v>
      </c>
      <c r="L69" s="200" t="e">
        <f aca="false">IF($A70="","",VLOOKUP($A69,Table,MATCH(L$4,Curves,0)))</f>
        <v>#N/A</v>
      </c>
      <c r="M69" s="201" t="e">
        <f aca="false">IF(A70="","",L69)</f>
        <v>#N/A</v>
      </c>
      <c r="N69" s="203"/>
      <c r="O69" s="200" t="e">
        <f aca="false">IF(A70="","",L69+J69+G69)</f>
        <v>#N/A</v>
      </c>
      <c r="P69" s="200" t="e">
        <f aca="false">IF(A70="","",M69+K69+H69)</f>
        <v>#N/A</v>
      </c>
      <c r="Q69" s="204"/>
      <c r="R69" s="200" t="e">
        <f aca="false">IF($A70="","",VLOOKUP($A69,Table,MATCH(R$4,Curves,0)))</f>
        <v>#N/A</v>
      </c>
      <c r="S69" s="201" t="e">
        <f aca="false">IF(A70="","",R69)</f>
        <v>#N/A</v>
      </c>
      <c r="T69" s="185" t="n">
        <v>0</v>
      </c>
      <c r="U69" s="201" t="n">
        <f aca="false">IF(A70="","",T69)</f>
        <v>0</v>
      </c>
      <c r="V69" s="205" t="e">
        <f aca="false">IF($A70="","",IF(AND(MONTH(A69)&gt;3,MONTH(A69)&lt;11),(T69+R69+G69)*Summary!$T$11/(1-Summary!$T$11),(T69+R69+G69)*Summary!$U$11/(1-Summary!$U$11)))</f>
        <v>#N/A</v>
      </c>
      <c r="W69" s="202" t="e">
        <f aca="false">IF($A70="","",(T69+R69+G69+V69))</f>
        <v>#N/A</v>
      </c>
      <c r="X69" s="202" t="e">
        <f aca="false">IF($A70="","",(U69+S69+H69+V69))</f>
        <v>#N/A</v>
      </c>
      <c r="Y69" s="202"/>
      <c r="Z69" s="185" t="e">
        <f aca="false">IF($A70="","",VLOOKUP($A69,Table,MATCH(Z$4,Curves,0)))</f>
        <v>#N/A</v>
      </c>
      <c r="AA69" s="185" t="e">
        <f aca="false">IF($A70="","",VLOOKUP($A69,Table,MATCH(AA$4,Curves,0)))</f>
        <v>#N/A</v>
      </c>
      <c r="AB69" s="185" t="e">
        <f aca="false">SQRT((AA69^2*(A69-$D$3)+Z69^2*(DAY(EOMONTH(A69,0))/2))/AK69)</f>
        <v>#N/A</v>
      </c>
      <c r="AC69" s="185" t="e">
        <f aca="false">IF($A70="","",VLOOKUP($A69,Table,MATCH(AC$4,Curves,0)))</f>
        <v>#N/A</v>
      </c>
      <c r="AD69" s="185" t="e">
        <f aca="false">IF($A70="","",VLOOKUP($A69,Table,MATCH(AD$4,Curves,0)))</f>
        <v>#N/A</v>
      </c>
      <c r="AE69" s="185" t="e">
        <f aca="false">SQRT((AD69^2*(A69-$D$3)+AC69^2*(DAY(EOMONTH(A69,0))/2))/AK69)</f>
        <v>#N/A</v>
      </c>
      <c r="AF69" s="206" t="e">
        <f aca="false">((Summary!$N$11*(AA69*AD69)*(A69-$D$3))+(Summary!$M$11*Z69*AC69*(AJ69-EOMONTH(EDATE(A69,-1),0))))/(AK69*AB69*AE69)</f>
        <v>#N/A</v>
      </c>
      <c r="AG69" s="207" t="n">
        <f aca="false">IF($A70="","",Summary!$Q$11)</f>
        <v>0</v>
      </c>
      <c r="AH69" s="207" t="n">
        <f aca="false">IF($A70="","",IF(Summary!$R$11="Y",(VLOOKUP($A69,Summary!$AD$6:$AF$9,3)+'Escalating commodity'!G82),'Escalating commodity'!G82))</f>
        <v>0.00536551743712124</v>
      </c>
      <c r="AI69" s="207" t="n">
        <f aca="false">IF($A70="","",AH69)</f>
        <v>0.00536551743712124</v>
      </c>
      <c r="AJ69" s="208" t="n">
        <f aca="false">A69+DAY(EOMONTH(A69,0))/2-1</f>
        <v>38852.5</v>
      </c>
      <c r="AK69" s="209" t="n">
        <f aca="false">IF($A70="","",$A69-$E$1)</f>
        <v>-7088</v>
      </c>
      <c r="AL69" s="182" t="e">
        <f aca="false">IF($A70="","",SPRDOPT(P69,X69,AI69,0,AB69,AE69,AF69,AK69,$AJ$2,0))</f>
        <v>#NAME?</v>
      </c>
      <c r="AM69" s="210" t="e">
        <f aca="false">IF($A70="","",MAX(0,O69-W69-AI69))</f>
        <v>#N/A</v>
      </c>
      <c r="AN69" s="211" t="e">
        <f aca="false">IF($A70="","",AL69-AM69)</f>
        <v>#N/A</v>
      </c>
      <c r="AO69" s="137" t="n">
        <f aca="false">IF(A70="","",A70-A69)</f>
        <v>31</v>
      </c>
      <c r="AP69" s="212" t="n">
        <f aca="false">IF(A70="","",CHOOSE(F$3,A70+24,A69))</f>
        <v>38838</v>
      </c>
      <c r="AQ69" s="209" t="n">
        <f aca="false">IF(A70="","",AP69-$E$1)</f>
        <v>-7088</v>
      </c>
      <c r="AR69" s="185" t="n">
        <f aca="false">'ANR OK vs ML7'!AR69</f>
        <v>0.1</v>
      </c>
      <c r="AS69" s="213" t="n">
        <f aca="false">IF(A70="","",1/(1+CHOOSE(F$3,(AR70+($I$3/10000))/2,(AR69+($I$3/10000))/2))^(2*AQ69/365.25))</f>
        <v>6.64345901995609</v>
      </c>
      <c r="AT69" s="137" t="n">
        <f aca="false">IF(A70="","",IF(AND(mthbeg&lt;=A69,mthend&gt;=A69),1,0))</f>
        <v>1</v>
      </c>
      <c r="AU69" s="137" t="n">
        <f aca="false">IF(A70="","",AO69*AT69)</f>
        <v>31</v>
      </c>
      <c r="AW69" s="195" t="e">
        <f aca="false">IF($A70="","",AL69*$E69)</f>
        <v>#NAME?</v>
      </c>
      <c r="AX69" s="195" t="e">
        <f aca="false">IF($A70="","",AM69*$E69)</f>
        <v>#N/A</v>
      </c>
      <c r="AY69" s="195" t="e">
        <f aca="false">IF($A70="","",AN69*$E69)</f>
        <v>#N/A</v>
      </c>
      <c r="BA69" s="195" t="n">
        <f aca="false">IF($A70="","",F69*Summary!$Q$11)</f>
        <v>0</v>
      </c>
      <c r="BC69" s="179" t="e">
        <f aca="false">IF(A70="","",AM69*F69)</f>
        <v>#N/A</v>
      </c>
    </row>
    <row r="70" customFormat="false" ht="12.75" hidden="false" customHeight="false" outlineLevel="0" collapsed="false">
      <c r="A70" s="196" t="n">
        <f aca="false">IF(A69&lt;mthend,EDATE(A69,1),"")</f>
        <v>38869</v>
      </c>
      <c r="B70" s="197" t="n">
        <f aca="false">IF(A70&lt;mthend,B69,"")</f>
        <v>124142</v>
      </c>
      <c r="C70" s="215"/>
      <c r="D70" s="197" t="n">
        <f aca="false">IF(A71&lt;&gt;"",B70+C70,"")</f>
        <v>124142</v>
      </c>
      <c r="E70" s="199" t="n">
        <f aca="false">IF(A71="","",IF(AND(AT70=1,$H$3=1),D70*AO70,IF($H$3=2,D70,"N/A")))</f>
        <v>3724260</v>
      </c>
      <c r="F70" s="199" t="n">
        <f aca="false">IF(A71="","",E70*AS70)</f>
        <v>24537902.6053463</v>
      </c>
      <c r="G70" s="200" t="e">
        <f aca="false">IF($A71="","",VLOOKUP($A70,Table,MATCH(G$4,Curves,0)))</f>
        <v>#N/A</v>
      </c>
      <c r="H70" s="201" t="e">
        <f aca="false">IF(A71="","",G70)</f>
        <v>#N/A</v>
      </c>
      <c r="I70" s="202"/>
      <c r="J70" s="200" t="e">
        <f aca="false">IF($A71="","",VLOOKUP($A70,Table,MATCH(J$4,Curves,0)))</f>
        <v>#N/A</v>
      </c>
      <c r="K70" s="201" t="e">
        <f aca="false">IF(A71="","",J70)</f>
        <v>#N/A</v>
      </c>
      <c r="L70" s="200" t="e">
        <f aca="false">IF($A71="","",VLOOKUP($A70,Table,MATCH(L$4,Curves,0)))</f>
        <v>#N/A</v>
      </c>
      <c r="M70" s="201" t="e">
        <f aca="false">IF(A71="","",L70)</f>
        <v>#N/A</v>
      </c>
      <c r="N70" s="203"/>
      <c r="O70" s="200" t="e">
        <f aca="false">IF(A71="","",L70+J70+G70)</f>
        <v>#N/A</v>
      </c>
      <c r="P70" s="200" t="e">
        <f aca="false">IF(A71="","",M70+K70+H70)</f>
        <v>#N/A</v>
      </c>
      <c r="Q70" s="204"/>
      <c r="R70" s="200" t="e">
        <f aca="false">IF($A71="","",VLOOKUP($A70,Table,MATCH(R$4,Curves,0)))</f>
        <v>#N/A</v>
      </c>
      <c r="S70" s="201" t="e">
        <f aca="false">IF(A71="","",R70)</f>
        <v>#N/A</v>
      </c>
      <c r="T70" s="185" t="n">
        <v>0</v>
      </c>
      <c r="U70" s="201" t="n">
        <f aca="false">IF(A71="","",T70)</f>
        <v>0</v>
      </c>
      <c r="V70" s="205" t="e">
        <f aca="false">IF($A71="","",IF(AND(MONTH(A70)&gt;3,MONTH(A70)&lt;11),(T70+R70+G70)*Summary!$T$11/(1-Summary!$T$11),(T70+R70+G70)*Summary!$U$11/(1-Summary!$U$11)))</f>
        <v>#N/A</v>
      </c>
      <c r="W70" s="202" t="e">
        <f aca="false">IF($A71="","",(T70+R70+G70+V70))</f>
        <v>#N/A</v>
      </c>
      <c r="X70" s="202" t="e">
        <f aca="false">IF($A71="","",(U70+S70+H70+V70))</f>
        <v>#N/A</v>
      </c>
      <c r="Y70" s="202"/>
      <c r="Z70" s="185" t="e">
        <f aca="false">IF($A71="","",VLOOKUP($A70,Table,MATCH(Z$4,Curves,0)))</f>
        <v>#N/A</v>
      </c>
      <c r="AA70" s="185" t="e">
        <f aca="false">IF($A71="","",VLOOKUP($A70,Table,MATCH(AA$4,Curves,0)))</f>
        <v>#N/A</v>
      </c>
      <c r="AB70" s="185" t="e">
        <f aca="false">SQRT((AA70^2*(A70-$D$3)+Z70^2*(DAY(EOMONTH(A70,0))/2))/AK70)</f>
        <v>#N/A</v>
      </c>
      <c r="AC70" s="185" t="e">
        <f aca="false">IF($A71="","",VLOOKUP($A70,Table,MATCH(AC$4,Curves,0)))</f>
        <v>#N/A</v>
      </c>
      <c r="AD70" s="185" t="e">
        <f aca="false">IF($A71="","",VLOOKUP($A70,Table,MATCH(AD$4,Curves,0)))</f>
        <v>#N/A</v>
      </c>
      <c r="AE70" s="185" t="e">
        <f aca="false">SQRT((AD70^2*(A70-$D$3)+AC70^2*(DAY(EOMONTH(A70,0))/2))/AK70)</f>
        <v>#N/A</v>
      </c>
      <c r="AF70" s="206" t="e">
        <f aca="false">((Summary!$N$11*(AA70*AD70)*(A70-$D$3))+(Summary!$M$11*Z70*AC70*(AJ70-EOMONTH(EDATE(A70,-1),0))))/(AK70*AB70*AE70)</f>
        <v>#N/A</v>
      </c>
      <c r="AG70" s="207" t="n">
        <f aca="false">IF($A71="","",Summary!$Q$11)</f>
        <v>0</v>
      </c>
      <c r="AH70" s="207" t="n">
        <f aca="false">IF($A71="","",IF(Summary!$R$11="Y",(VLOOKUP($A70,Summary!$AD$6:$AF$9,3)+'Escalating commodity'!G83),'Escalating commodity'!G83))</f>
        <v>0.00536551743712124</v>
      </c>
      <c r="AI70" s="207" t="n">
        <f aca="false">IF($A71="","",AH70)</f>
        <v>0.00536551743712124</v>
      </c>
      <c r="AJ70" s="208" t="n">
        <f aca="false">A70+DAY(EOMONTH(A70,0))/2-1</f>
        <v>38883</v>
      </c>
      <c r="AK70" s="209" t="n">
        <f aca="false">IF($A71="","",$A70-$E$1)</f>
        <v>-7057</v>
      </c>
      <c r="AL70" s="182" t="e">
        <f aca="false">IF($A71="","",SPRDOPT(P70,X70,AI70,0,AB70,AE70,AF70,AK70,$AJ$2,0))</f>
        <v>#NAME?</v>
      </c>
      <c r="AM70" s="210" t="e">
        <f aca="false">IF($A71="","",MAX(0,O70-W70-AI70))</f>
        <v>#N/A</v>
      </c>
      <c r="AN70" s="211" t="e">
        <f aca="false">IF($A71="","",AL70-AM70)</f>
        <v>#N/A</v>
      </c>
      <c r="AO70" s="137" t="n">
        <f aca="false">IF(A71="","",A71-A70)</f>
        <v>30</v>
      </c>
      <c r="AP70" s="212" t="n">
        <f aca="false">IF(A71="","",CHOOSE(F$3,A71+24,A70))</f>
        <v>38869</v>
      </c>
      <c r="AQ70" s="209" t="n">
        <f aca="false">IF(A71="","",AP70-$E$1)</f>
        <v>-7057</v>
      </c>
      <c r="AR70" s="185" t="n">
        <f aca="false">'ANR OK vs ML7'!AR70</f>
        <v>0.1</v>
      </c>
      <c r="AS70" s="213" t="n">
        <f aca="false">IF(A71="","",1/(1+CHOOSE(F$3,(AR71+($I$3/10000))/2,(AR70+($I$3/10000))/2))^(2*AQ70/365.25))</f>
        <v>6.58866529333244</v>
      </c>
      <c r="AT70" s="137" t="n">
        <f aca="false">IF(A71="","",IF(AND(mthbeg&lt;=A70,mthend&gt;=A70),1,0))</f>
        <v>1</v>
      </c>
      <c r="AU70" s="137" t="n">
        <f aca="false">IF(A71="","",AO70*AT70)</f>
        <v>30</v>
      </c>
      <c r="AW70" s="195" t="e">
        <f aca="false">IF($A71="","",AL70*$E70)</f>
        <v>#NAME?</v>
      </c>
      <c r="AX70" s="195" t="e">
        <f aca="false">IF($A71="","",AM70*$E70)</f>
        <v>#N/A</v>
      </c>
      <c r="AY70" s="195" t="e">
        <f aca="false">IF($A71="","",AN70*$E70)</f>
        <v>#N/A</v>
      </c>
      <c r="BA70" s="195" t="n">
        <f aca="false">IF($A71="","",F70*Summary!$Q$11)</f>
        <v>0</v>
      </c>
      <c r="BC70" s="179" t="e">
        <f aca="false">IF(A71="","",AM70*F70)</f>
        <v>#N/A</v>
      </c>
    </row>
    <row r="71" customFormat="false" ht="12.75" hidden="false" customHeight="false" outlineLevel="0" collapsed="false">
      <c r="A71" s="196" t="n">
        <f aca="false">IF(A70&lt;mthend,EDATE(A70,1),"")</f>
        <v>38899</v>
      </c>
      <c r="B71" s="197" t="n">
        <f aca="false">IF(A71&lt;mthend,B70,"")</f>
        <v>124142</v>
      </c>
      <c r="C71" s="215"/>
      <c r="D71" s="197" t="n">
        <f aca="false">IF(A72&lt;&gt;"",B71+C71,"")</f>
        <v>124142</v>
      </c>
      <c r="E71" s="199" t="n">
        <f aca="false">IF(A72="","",IF(AND(AT71=1,$H$3=1),D71*AO71,IF($H$3=2,D71,"N/A")))</f>
        <v>3848402</v>
      </c>
      <c r="F71" s="199" t="n">
        <f aca="false">IF(A72="","",E71*AS71)</f>
        <v>25153422.6987009</v>
      </c>
      <c r="G71" s="200" t="e">
        <f aca="false">IF($A72="","",VLOOKUP($A71,Table,MATCH(G$4,Curves,0)))</f>
        <v>#N/A</v>
      </c>
      <c r="H71" s="201" t="e">
        <f aca="false">IF(A72="","",G71)</f>
        <v>#N/A</v>
      </c>
      <c r="I71" s="202"/>
      <c r="J71" s="200" t="e">
        <f aca="false">IF($A72="","",VLOOKUP($A71,Table,MATCH(J$4,Curves,0)))</f>
        <v>#N/A</v>
      </c>
      <c r="K71" s="201" t="e">
        <f aca="false">IF(A72="","",J71)</f>
        <v>#N/A</v>
      </c>
      <c r="L71" s="200" t="e">
        <f aca="false">IF($A72="","",VLOOKUP($A71,Table,MATCH(L$4,Curves,0)))</f>
        <v>#N/A</v>
      </c>
      <c r="M71" s="201" t="e">
        <f aca="false">IF(A72="","",L71)</f>
        <v>#N/A</v>
      </c>
      <c r="N71" s="203"/>
      <c r="O71" s="200" t="e">
        <f aca="false">IF(A72="","",L71+J71+G71)</f>
        <v>#N/A</v>
      </c>
      <c r="P71" s="200" t="e">
        <f aca="false">IF(A72="","",M71+K71+H71)</f>
        <v>#N/A</v>
      </c>
      <c r="Q71" s="204"/>
      <c r="R71" s="200" t="e">
        <f aca="false">IF($A72="","",VLOOKUP($A71,Table,MATCH(R$4,Curves,0)))</f>
        <v>#N/A</v>
      </c>
      <c r="S71" s="201" t="e">
        <f aca="false">IF(A72="","",R71)</f>
        <v>#N/A</v>
      </c>
      <c r="T71" s="185" t="n">
        <v>0</v>
      </c>
      <c r="U71" s="201" t="n">
        <f aca="false">IF(A72="","",T71)</f>
        <v>0</v>
      </c>
      <c r="V71" s="205" t="e">
        <f aca="false">IF($A72="","",IF(AND(MONTH(A71)&gt;3,MONTH(A71)&lt;11),(T71+R71+G71)*Summary!$T$11/(1-Summary!$T$11),(T71+R71+G71)*Summary!$U$11/(1-Summary!$U$11)))</f>
        <v>#N/A</v>
      </c>
      <c r="W71" s="202" t="e">
        <f aca="false">IF($A72="","",(T71+R71+G71+V71))</f>
        <v>#N/A</v>
      </c>
      <c r="X71" s="202" t="e">
        <f aca="false">IF($A72="","",(U71+S71+H71+V71))</f>
        <v>#N/A</v>
      </c>
      <c r="Y71" s="202"/>
      <c r="Z71" s="185" t="e">
        <f aca="false">IF($A72="","",VLOOKUP($A71,Table,MATCH(Z$4,Curves,0)))</f>
        <v>#N/A</v>
      </c>
      <c r="AA71" s="185" t="e">
        <f aca="false">IF($A72="","",VLOOKUP($A71,Table,MATCH(AA$4,Curves,0)))</f>
        <v>#N/A</v>
      </c>
      <c r="AB71" s="185" t="e">
        <f aca="false">SQRT((AA71^2*(A71-$D$3)+Z71^2*(DAY(EOMONTH(A71,0))/2))/AK71)</f>
        <v>#N/A</v>
      </c>
      <c r="AC71" s="185" t="e">
        <f aca="false">IF($A72="","",VLOOKUP($A71,Table,MATCH(AC$4,Curves,0)))</f>
        <v>#N/A</v>
      </c>
      <c r="AD71" s="185" t="e">
        <f aca="false">IF($A72="","",VLOOKUP($A71,Table,MATCH(AD$4,Curves,0)))</f>
        <v>#N/A</v>
      </c>
      <c r="AE71" s="185" t="e">
        <f aca="false">SQRT((AD71^2*(A71-$D$3)+AC71^2*(DAY(EOMONTH(A71,0))/2))/AK71)</f>
        <v>#N/A</v>
      </c>
      <c r="AF71" s="206" t="e">
        <f aca="false">((Summary!$N$11*(AA71*AD71)*(A71-$D$3))+(Summary!$M$11*Z71*AC71*(AJ71-EOMONTH(EDATE(A71,-1),0))))/(AK71*AB71*AE71)</f>
        <v>#N/A</v>
      </c>
      <c r="AG71" s="207" t="n">
        <f aca="false">IF($A72="","",Summary!$Q$11)</f>
        <v>0</v>
      </c>
      <c r="AH71" s="207" t="n">
        <f aca="false">IF($A72="","",IF(Summary!$R$11="Y",(VLOOKUP($A71,Summary!$AD$6:$AF$9,3)+'Escalating commodity'!G84),'Escalating commodity'!G84))</f>
        <v>0.00536551743712124</v>
      </c>
      <c r="AI71" s="207" t="n">
        <f aca="false">IF($A72="","",AH71)</f>
        <v>0.00536551743712124</v>
      </c>
      <c r="AJ71" s="208" t="n">
        <f aca="false">A71+DAY(EOMONTH(A71,0))/2-1</f>
        <v>38913.5</v>
      </c>
      <c r="AK71" s="209" t="n">
        <f aca="false">IF($A72="","",$A71-$E$1)</f>
        <v>-7027</v>
      </c>
      <c r="AL71" s="182" t="e">
        <f aca="false">IF($A72="","",SPRDOPT(P71,X71,AI71,0,AB71,AE71,AF71,AK71,$AJ$2,0))</f>
        <v>#NAME?</v>
      </c>
      <c r="AM71" s="210" t="e">
        <f aca="false">IF($A72="","",MAX(0,O71-W71-AI71))</f>
        <v>#N/A</v>
      </c>
      <c r="AN71" s="211" t="e">
        <f aca="false">IF($A72="","",AL71-AM71)</f>
        <v>#N/A</v>
      </c>
      <c r="AO71" s="137" t="n">
        <f aca="false">IF(A72="","",A72-A71)</f>
        <v>31</v>
      </c>
      <c r="AP71" s="212" t="n">
        <f aca="false">IF(A72="","",CHOOSE(F$3,A72+24,A71))</f>
        <v>38899</v>
      </c>
      <c r="AQ71" s="209" t="n">
        <f aca="false">IF(A72="","",AP71-$E$1)</f>
        <v>-7027</v>
      </c>
      <c r="AR71" s="185" t="n">
        <f aca="false">'ANR OK vs ML7'!AR71</f>
        <v>0.1</v>
      </c>
      <c r="AS71" s="213" t="n">
        <f aca="false">IF(A72="","",1/(1+CHOOSE(F$3,(AR72+($I$3/10000))/2,(AR71+($I$3/10000))/2))^(2*AQ71/365.25))</f>
        <v>6.53606943835413</v>
      </c>
      <c r="AT71" s="137" t="n">
        <f aca="false">IF(A72="","",IF(AND(mthbeg&lt;=A71,mthend&gt;=A71),1,0))</f>
        <v>1</v>
      </c>
      <c r="AU71" s="137" t="n">
        <f aca="false">IF(A72="","",AO71*AT71)</f>
        <v>31</v>
      </c>
      <c r="AW71" s="195" t="e">
        <f aca="false">IF($A72="","",AL71*$E71)</f>
        <v>#NAME?</v>
      </c>
      <c r="AX71" s="195" t="e">
        <f aca="false">IF($A72="","",AM71*$E71)</f>
        <v>#N/A</v>
      </c>
      <c r="AY71" s="195" t="e">
        <f aca="false">IF($A72="","",AN71*$E71)</f>
        <v>#N/A</v>
      </c>
      <c r="BA71" s="195" t="n">
        <f aca="false">IF($A72="","",F71*Summary!$Q$11)</f>
        <v>0</v>
      </c>
      <c r="BC71" s="179" t="e">
        <f aca="false">IF(A72="","",AM71*F71)</f>
        <v>#N/A</v>
      </c>
    </row>
    <row r="72" customFormat="false" ht="12.75" hidden="false" customHeight="false" outlineLevel="0" collapsed="false">
      <c r="A72" s="196" t="n">
        <f aca="false">IF(A71&lt;mthend,EDATE(A71,1),"")</f>
        <v>38930</v>
      </c>
      <c r="B72" s="197" t="n">
        <f aca="false">IF(A72&lt;mthend,B71,"")</f>
        <v>124142</v>
      </c>
      <c r="C72" s="215"/>
      <c r="D72" s="197" t="n">
        <f aca="false">IF(A73&lt;&gt;"",B72+C72,"")</f>
        <v>124142</v>
      </c>
      <c r="E72" s="199" t="n">
        <f aca="false">IF(A73="","",IF(AND(AT72=1,$H$3=1),D72*AO72,IF($H$3=2,D72,"N/A")))</f>
        <v>3848402</v>
      </c>
      <c r="F72" s="199" t="n">
        <f aca="false">IF(A73="","",E72*AS72)</f>
        <v>24945963.0360671</v>
      </c>
      <c r="G72" s="200" t="e">
        <f aca="false">IF($A73="","",VLOOKUP($A72,Table,MATCH(G$4,Curves,0)))</f>
        <v>#N/A</v>
      </c>
      <c r="H72" s="201" t="e">
        <f aca="false">IF(A73="","",G72)</f>
        <v>#N/A</v>
      </c>
      <c r="I72" s="202"/>
      <c r="J72" s="200" t="e">
        <f aca="false">IF($A73="","",VLOOKUP($A72,Table,MATCH(J$4,Curves,0)))</f>
        <v>#N/A</v>
      </c>
      <c r="K72" s="201" t="e">
        <f aca="false">IF(A73="","",J72)</f>
        <v>#N/A</v>
      </c>
      <c r="L72" s="200" t="e">
        <f aca="false">IF($A73="","",VLOOKUP($A72,Table,MATCH(L$4,Curves,0)))</f>
        <v>#N/A</v>
      </c>
      <c r="M72" s="201" t="e">
        <f aca="false">IF(A73="","",L72)</f>
        <v>#N/A</v>
      </c>
      <c r="N72" s="203"/>
      <c r="O72" s="200" t="e">
        <f aca="false">IF(A73="","",L72+J72+G72)</f>
        <v>#N/A</v>
      </c>
      <c r="P72" s="200" t="e">
        <f aca="false">IF(A73="","",M72+K72+H72)</f>
        <v>#N/A</v>
      </c>
      <c r="Q72" s="204"/>
      <c r="R72" s="200" t="e">
        <f aca="false">IF($A73="","",VLOOKUP($A72,Table,MATCH(R$4,Curves,0)))</f>
        <v>#N/A</v>
      </c>
      <c r="S72" s="201" t="e">
        <f aca="false">IF(A73="","",R72)</f>
        <v>#N/A</v>
      </c>
      <c r="T72" s="185" t="n">
        <v>0</v>
      </c>
      <c r="U72" s="201" t="n">
        <f aca="false">IF(A73="","",T72)</f>
        <v>0</v>
      </c>
      <c r="V72" s="205" t="e">
        <f aca="false">IF($A73="","",IF(AND(MONTH(A72)&gt;3,MONTH(A72)&lt;11),(T72+R72+G72)*Summary!$T$11/(1-Summary!$T$11),(T72+R72+G72)*Summary!$U$11/(1-Summary!$U$11)))</f>
        <v>#N/A</v>
      </c>
      <c r="W72" s="202" t="e">
        <f aca="false">IF($A73="","",(T72+R72+G72+V72))</f>
        <v>#N/A</v>
      </c>
      <c r="X72" s="202" t="e">
        <f aca="false">IF($A73="","",(U72+S72+H72+V72))</f>
        <v>#N/A</v>
      </c>
      <c r="Y72" s="202"/>
      <c r="Z72" s="185" t="e">
        <f aca="false">IF($A73="","",VLOOKUP($A72,Table,MATCH(Z$4,Curves,0)))</f>
        <v>#N/A</v>
      </c>
      <c r="AA72" s="185" t="e">
        <f aca="false">IF($A73="","",VLOOKUP($A72,Table,MATCH(AA$4,Curves,0)))</f>
        <v>#N/A</v>
      </c>
      <c r="AB72" s="185" t="e">
        <f aca="false">SQRT((AA72^2*(A72-$D$3)+Z72^2*(DAY(EOMONTH(A72,0))/2))/AK72)</f>
        <v>#N/A</v>
      </c>
      <c r="AC72" s="185" t="e">
        <f aca="false">IF($A73="","",VLOOKUP($A72,Table,MATCH(AC$4,Curves,0)))</f>
        <v>#N/A</v>
      </c>
      <c r="AD72" s="185" t="e">
        <f aca="false">IF($A73="","",VLOOKUP($A72,Table,MATCH(AD$4,Curves,0)))</f>
        <v>#N/A</v>
      </c>
      <c r="AE72" s="185" t="e">
        <f aca="false">SQRT((AD72^2*(A72-$D$3)+AC72^2*(DAY(EOMONTH(A72,0))/2))/AK72)</f>
        <v>#N/A</v>
      </c>
      <c r="AF72" s="206" t="e">
        <f aca="false">((Summary!$N$11*(AA72*AD72)*(A72-$D$3))+(Summary!$M$11*Z72*AC72*(AJ72-EOMONTH(EDATE(A72,-1),0))))/(AK72*AB72*AE72)</f>
        <v>#N/A</v>
      </c>
      <c r="AG72" s="207" t="n">
        <f aca="false">IF($A73="","",Summary!$Q$11)</f>
        <v>0</v>
      </c>
      <c r="AH72" s="207" t="n">
        <f aca="false">IF($A73="","",IF(Summary!$R$11="Y",(VLOOKUP($A72,Summary!$AD$6:$AF$9,3)+'Escalating commodity'!G85),'Escalating commodity'!G85))</f>
        <v>0.00536551743712124</v>
      </c>
      <c r="AI72" s="207" t="n">
        <f aca="false">IF($A73="","",AH72)</f>
        <v>0.00536551743712124</v>
      </c>
      <c r="AJ72" s="208" t="n">
        <f aca="false">A72+DAY(EOMONTH(A72,0))/2-1</f>
        <v>38944.5</v>
      </c>
      <c r="AK72" s="209" t="n">
        <f aca="false">IF($A73="","",$A72-$E$1)</f>
        <v>-6996</v>
      </c>
      <c r="AL72" s="182" t="e">
        <f aca="false">IF($A73="","",SPRDOPT(P72,X72,AI72,0,AB72,AE72,AF72,AK72,$AJ$2,0))</f>
        <v>#NAME?</v>
      </c>
      <c r="AM72" s="210" t="e">
        <f aca="false">IF($A73="","",MAX(0,O72-W72-AI72))</f>
        <v>#N/A</v>
      </c>
      <c r="AN72" s="211" t="e">
        <f aca="false">IF($A73="","",AL72-AM72)</f>
        <v>#N/A</v>
      </c>
      <c r="AO72" s="137" t="n">
        <f aca="false">IF(A73="","",A73-A72)</f>
        <v>31</v>
      </c>
      <c r="AP72" s="212" t="n">
        <f aca="false">IF(A73="","",CHOOSE(F$3,A73+24,A72))</f>
        <v>38930</v>
      </c>
      <c r="AQ72" s="209" t="n">
        <f aca="false">IF(A73="","",AP72-$E$1)</f>
        <v>-6996</v>
      </c>
      <c r="AR72" s="185" t="n">
        <f aca="false">'ANR OK vs ML7'!AR72</f>
        <v>0.1</v>
      </c>
      <c r="AS72" s="213" t="n">
        <f aca="false">IF(A73="","",1/(1+CHOOSE(F$3,(AR73+($I$3/10000))/2,(AR72+($I$3/10000))/2))^(2*AQ72/365.25))</f>
        <v>6.48216143637465</v>
      </c>
      <c r="AT72" s="137" t="n">
        <f aca="false">IF(A73="","",IF(AND(mthbeg&lt;=A72,mthend&gt;=A72),1,0))</f>
        <v>1</v>
      </c>
      <c r="AU72" s="137" t="n">
        <f aca="false">IF(A73="","",AO72*AT72)</f>
        <v>31</v>
      </c>
      <c r="AW72" s="195" t="e">
        <f aca="false">IF($A73="","",AL72*$E72)</f>
        <v>#NAME?</v>
      </c>
      <c r="AX72" s="195" t="e">
        <f aca="false">IF($A73="","",AM72*$E72)</f>
        <v>#N/A</v>
      </c>
      <c r="AY72" s="195" t="e">
        <f aca="false">IF($A73="","",AN72*$E72)</f>
        <v>#N/A</v>
      </c>
      <c r="BA72" s="195" t="n">
        <f aca="false">IF($A73="","",F72*Summary!$Q$11)</f>
        <v>0</v>
      </c>
      <c r="BC72" s="179" t="e">
        <f aca="false">IF(A73="","",AM72*F72)</f>
        <v>#N/A</v>
      </c>
    </row>
    <row r="73" customFormat="false" ht="12.75" hidden="false" customHeight="false" outlineLevel="0" collapsed="false">
      <c r="A73" s="196" t="n">
        <f aca="false">IF(A72&lt;mthend,EDATE(A72,1),"")</f>
        <v>38961</v>
      </c>
      <c r="B73" s="197" t="n">
        <f aca="false">IF(A73&lt;mthend,B72,"")</f>
        <v>124142</v>
      </c>
      <c r="C73" s="215"/>
      <c r="D73" s="197" t="n">
        <f aca="false">IF(A74&lt;&gt;"",B73+C73,"")</f>
        <v>124142</v>
      </c>
      <c r="E73" s="199" t="n">
        <f aca="false">IF(A74="","",IF(AND(AT73=1,$H$3=1),D73*AO73,IF($H$3=2,D73,"N/A")))</f>
        <v>3724260</v>
      </c>
      <c r="F73" s="199" t="n">
        <f aca="false">IF(A74="","",E73*AS73)</f>
        <v>23942143.0191864</v>
      </c>
      <c r="G73" s="200" t="e">
        <f aca="false">IF($A74="","",VLOOKUP($A73,Table,MATCH(G$4,Curves,0)))</f>
        <v>#N/A</v>
      </c>
      <c r="H73" s="201" t="e">
        <f aca="false">IF(A74="","",G73)</f>
        <v>#N/A</v>
      </c>
      <c r="I73" s="202"/>
      <c r="J73" s="200" t="e">
        <f aca="false">IF($A74="","",VLOOKUP($A73,Table,MATCH(J$4,Curves,0)))</f>
        <v>#N/A</v>
      </c>
      <c r="K73" s="201" t="e">
        <f aca="false">IF(A74="","",J73)</f>
        <v>#N/A</v>
      </c>
      <c r="L73" s="200" t="e">
        <f aca="false">IF($A74="","",VLOOKUP($A73,Table,MATCH(L$4,Curves,0)))</f>
        <v>#N/A</v>
      </c>
      <c r="M73" s="201" t="e">
        <f aca="false">IF(A74="","",L73)</f>
        <v>#N/A</v>
      </c>
      <c r="N73" s="203"/>
      <c r="O73" s="200" t="e">
        <f aca="false">IF(A74="","",L73+J73+G73)</f>
        <v>#N/A</v>
      </c>
      <c r="P73" s="200" t="e">
        <f aca="false">IF(A74="","",M73+K73+H73)</f>
        <v>#N/A</v>
      </c>
      <c r="Q73" s="204"/>
      <c r="R73" s="200" t="e">
        <f aca="false">IF($A74="","",VLOOKUP($A73,Table,MATCH(R$4,Curves,0)))</f>
        <v>#N/A</v>
      </c>
      <c r="S73" s="201" t="e">
        <f aca="false">IF(A74="","",R73)</f>
        <v>#N/A</v>
      </c>
      <c r="T73" s="185" t="n">
        <v>0</v>
      </c>
      <c r="U73" s="201" t="n">
        <f aca="false">IF(A74="","",T73)</f>
        <v>0</v>
      </c>
      <c r="V73" s="205" t="e">
        <f aca="false">IF($A74="","",IF(AND(MONTH(A73)&gt;3,MONTH(A73)&lt;11),(T73+R73+G73)*Summary!$T$11/(1-Summary!$T$11),(T73+R73+G73)*Summary!$U$11/(1-Summary!$U$11)))</f>
        <v>#N/A</v>
      </c>
      <c r="W73" s="202" t="e">
        <f aca="false">IF($A74="","",(T73+R73+G73+V73))</f>
        <v>#N/A</v>
      </c>
      <c r="X73" s="202" t="e">
        <f aca="false">IF($A74="","",(U73+S73+H73+V73))</f>
        <v>#N/A</v>
      </c>
      <c r="Y73" s="202"/>
      <c r="Z73" s="185" t="e">
        <f aca="false">IF($A74="","",VLOOKUP($A73,Table,MATCH(Z$4,Curves,0)))</f>
        <v>#N/A</v>
      </c>
      <c r="AA73" s="185" t="e">
        <f aca="false">IF($A74="","",VLOOKUP($A73,Table,MATCH(AA$4,Curves,0)))</f>
        <v>#N/A</v>
      </c>
      <c r="AB73" s="185" t="e">
        <f aca="false">SQRT((AA73^2*(A73-$D$3)+Z73^2*(DAY(EOMONTH(A73,0))/2))/AK73)</f>
        <v>#N/A</v>
      </c>
      <c r="AC73" s="185" t="e">
        <f aca="false">IF($A74="","",VLOOKUP($A73,Table,MATCH(AC$4,Curves,0)))</f>
        <v>#N/A</v>
      </c>
      <c r="AD73" s="185" t="e">
        <f aca="false">IF($A74="","",VLOOKUP($A73,Table,MATCH(AD$4,Curves,0)))</f>
        <v>#N/A</v>
      </c>
      <c r="AE73" s="185" t="e">
        <f aca="false">SQRT((AD73^2*(A73-$D$3)+AC73^2*(DAY(EOMONTH(A73,0))/2))/AK73)</f>
        <v>#N/A</v>
      </c>
      <c r="AF73" s="206" t="e">
        <f aca="false">((Summary!$N$11*(AA73*AD73)*(A73-$D$3))+(Summary!$M$11*Z73*AC73*(AJ73-EOMONTH(EDATE(A73,-1),0))))/(AK73*AB73*AE73)</f>
        <v>#N/A</v>
      </c>
      <c r="AG73" s="207" t="n">
        <f aca="false">IF($A74="","",Summary!$Q$11)</f>
        <v>0</v>
      </c>
      <c r="AH73" s="207" t="n">
        <f aca="false">IF($A74="","",IF(Summary!$R$11="Y",(VLOOKUP($A73,Summary!$AD$6:$AF$9,3)+'Escalating commodity'!G86),'Escalating commodity'!G86))</f>
        <v>0.00536551743712124</v>
      </c>
      <c r="AI73" s="207" t="n">
        <f aca="false">IF($A74="","",AH73)</f>
        <v>0.00536551743712124</v>
      </c>
      <c r="AJ73" s="208" t="n">
        <f aca="false">A73+DAY(EOMONTH(A73,0))/2-1</f>
        <v>38975</v>
      </c>
      <c r="AK73" s="209" t="n">
        <f aca="false">IF($A74="","",$A73-$E$1)</f>
        <v>-6965</v>
      </c>
      <c r="AL73" s="182" t="e">
        <f aca="false">IF($A74="","",SPRDOPT(P73,X73,AI73,0,AB73,AE73,AF73,AK73,$AJ$2,0))</f>
        <v>#NAME?</v>
      </c>
      <c r="AM73" s="210" t="e">
        <f aca="false">IF($A74="","",MAX(0,O73-W73-AI73))</f>
        <v>#N/A</v>
      </c>
      <c r="AN73" s="211" t="e">
        <f aca="false">IF($A74="","",AL73-AM73)</f>
        <v>#N/A</v>
      </c>
      <c r="AO73" s="137" t="n">
        <f aca="false">IF(A74="","",A74-A73)</f>
        <v>30</v>
      </c>
      <c r="AP73" s="212" t="n">
        <f aca="false">IF(A74="","",CHOOSE(F$3,A74+24,A73))</f>
        <v>38961</v>
      </c>
      <c r="AQ73" s="209" t="n">
        <f aca="false">IF(A74="","",AP73-$E$1)</f>
        <v>-6965</v>
      </c>
      <c r="AR73" s="185" t="n">
        <f aca="false">'ANR OK vs ML7'!AR73</f>
        <v>0.1</v>
      </c>
      <c r="AS73" s="213" t="n">
        <f aca="false">IF(A74="","",1/(1+CHOOSE(F$3,(AR74+($I$3/10000))/2,(AR73+($I$3/10000))/2))^(2*AQ73/365.25))</f>
        <v>6.42869805523417</v>
      </c>
      <c r="AT73" s="137" t="n">
        <f aca="false">IF(A74="","",IF(AND(mthbeg&lt;=A73,mthend&gt;=A73),1,0))</f>
        <v>1</v>
      </c>
      <c r="AU73" s="137" t="n">
        <f aca="false">IF(A74="","",AO73*AT73)</f>
        <v>30</v>
      </c>
      <c r="AW73" s="195" t="e">
        <f aca="false">IF($A74="","",AL73*$E73)</f>
        <v>#NAME?</v>
      </c>
      <c r="AX73" s="195" t="e">
        <f aca="false">IF($A74="","",AM73*$E73)</f>
        <v>#N/A</v>
      </c>
      <c r="AY73" s="195" t="e">
        <f aca="false">IF($A74="","",AN73*$E73)</f>
        <v>#N/A</v>
      </c>
      <c r="BA73" s="195" t="n">
        <f aca="false">IF($A74="","",F73*Summary!$Q$11)</f>
        <v>0</v>
      </c>
      <c r="BC73" s="179" t="e">
        <f aca="false">IF(A74="","",AM73*F73)</f>
        <v>#N/A</v>
      </c>
    </row>
    <row r="74" customFormat="false" ht="12.75" hidden="false" customHeight="false" outlineLevel="0" collapsed="false">
      <c r="A74" s="196" t="n">
        <f aca="false">IF(A73&lt;mthend,EDATE(A73,1),"")</f>
        <v>38991</v>
      </c>
      <c r="B74" s="197" t="n">
        <f aca="false">IF(A74&lt;mthend,B73,"")</f>
        <v>124142</v>
      </c>
      <c r="C74" s="215"/>
      <c r="D74" s="197" t="n">
        <f aca="false">IF(A75&lt;&gt;"",B74+C74,"")</f>
        <v>124142</v>
      </c>
      <c r="E74" s="199" t="n">
        <f aca="false">IF(A75="","",IF(AND(AT74=1,$H$3=1),D74*AO74,IF($H$3=2,D74,"N/A")))</f>
        <v>3848402</v>
      </c>
      <c r="F74" s="199" t="n">
        <f aca="false">IF(A75="","",E74*AS74)</f>
        <v>24542718.8036493</v>
      </c>
      <c r="G74" s="200" t="e">
        <f aca="false">IF($A75="","",VLOOKUP($A74,Table,MATCH(G$4,Curves,0)))</f>
        <v>#N/A</v>
      </c>
      <c r="H74" s="201" t="e">
        <f aca="false">IF(A75="","",G74)</f>
        <v>#N/A</v>
      </c>
      <c r="I74" s="202"/>
      <c r="J74" s="200" t="e">
        <f aca="false">IF($A75="","",VLOOKUP($A74,Table,MATCH(J$4,Curves,0)))</f>
        <v>#N/A</v>
      </c>
      <c r="K74" s="201" t="e">
        <f aca="false">IF(A75="","",J74)</f>
        <v>#N/A</v>
      </c>
      <c r="L74" s="200" t="e">
        <f aca="false">IF($A75="","",VLOOKUP($A74,Table,MATCH(L$4,Curves,0)))</f>
        <v>#N/A</v>
      </c>
      <c r="M74" s="201" t="e">
        <f aca="false">IF(A75="","",L74)</f>
        <v>#N/A</v>
      </c>
      <c r="N74" s="203"/>
      <c r="O74" s="200" t="e">
        <f aca="false">IF(A75="","",L74+J74+G74)</f>
        <v>#N/A</v>
      </c>
      <c r="P74" s="200" t="e">
        <f aca="false">IF(A75="","",M74+K74+H74)</f>
        <v>#N/A</v>
      </c>
      <c r="Q74" s="204"/>
      <c r="R74" s="200" t="e">
        <f aca="false">IF($A75="","",VLOOKUP($A74,Table,MATCH(R$4,Curves,0)))</f>
        <v>#N/A</v>
      </c>
      <c r="S74" s="201" t="e">
        <f aca="false">IF(A75="","",R74)</f>
        <v>#N/A</v>
      </c>
      <c r="T74" s="185" t="n">
        <v>0</v>
      </c>
      <c r="U74" s="201" t="n">
        <f aca="false">IF(A75="","",T74)</f>
        <v>0</v>
      </c>
      <c r="V74" s="205" t="e">
        <f aca="false">IF($A75="","",IF(AND(MONTH(A74)&gt;3,MONTH(A74)&lt;11),(T74+R74+G74)*Summary!$T$11/(1-Summary!$T$11),(T74+R74+G74)*Summary!$U$11/(1-Summary!$U$11)))</f>
        <v>#N/A</v>
      </c>
      <c r="W74" s="202" t="e">
        <f aca="false">IF($A75="","",(T74+R74+G74+V74))</f>
        <v>#N/A</v>
      </c>
      <c r="X74" s="202" t="e">
        <f aca="false">IF($A75="","",(U74+S74+H74+V74))</f>
        <v>#N/A</v>
      </c>
      <c r="Y74" s="202"/>
      <c r="Z74" s="185" t="e">
        <f aca="false">IF($A75="","",VLOOKUP($A74,Table,MATCH(Z$4,Curves,0)))</f>
        <v>#N/A</v>
      </c>
      <c r="AA74" s="185" t="e">
        <f aca="false">IF($A75="","",VLOOKUP($A74,Table,MATCH(AA$4,Curves,0)))</f>
        <v>#N/A</v>
      </c>
      <c r="AB74" s="185" t="e">
        <f aca="false">SQRT((AA74^2*(A74-$D$3)+Z74^2*(DAY(EOMONTH(A74,0))/2))/AK74)</f>
        <v>#N/A</v>
      </c>
      <c r="AC74" s="185" t="e">
        <f aca="false">IF($A75="","",VLOOKUP($A74,Table,MATCH(AC$4,Curves,0)))</f>
        <v>#N/A</v>
      </c>
      <c r="AD74" s="185" t="e">
        <f aca="false">IF($A75="","",VLOOKUP($A74,Table,MATCH(AD$4,Curves,0)))</f>
        <v>#N/A</v>
      </c>
      <c r="AE74" s="185" t="e">
        <f aca="false">SQRT((AD74^2*(A74-$D$3)+AC74^2*(DAY(EOMONTH(A74,0))/2))/AK74)</f>
        <v>#N/A</v>
      </c>
      <c r="AF74" s="206" t="e">
        <f aca="false">((Summary!$N$11*(AA74*AD74)*(A74-$D$3))+(Summary!$M$11*Z74*AC74*(AJ74-EOMONTH(EDATE(A74,-1),0))))/(AK74*AB74*AE74)</f>
        <v>#N/A</v>
      </c>
      <c r="AG74" s="207" t="n">
        <f aca="false">IF($A75="","",Summary!$Q$11)</f>
        <v>0</v>
      </c>
      <c r="AH74" s="207" t="n">
        <f aca="false">IF($A75="","",IF(Summary!$R$11="Y",(VLOOKUP($A74,Summary!$AD$6:$AF$9,3)+'Escalating commodity'!G87),'Escalating commodity'!G87))</f>
        <v>0.00536551743712124</v>
      </c>
      <c r="AI74" s="207" t="n">
        <f aca="false">IF($A75="","",AH74)</f>
        <v>0.00536551743712124</v>
      </c>
      <c r="AJ74" s="208" t="n">
        <f aca="false">A74+DAY(EOMONTH(A74,0))/2-1</f>
        <v>39005.5</v>
      </c>
      <c r="AK74" s="209" t="n">
        <f aca="false">IF($A75="","",$A74-$E$1)</f>
        <v>-6935</v>
      </c>
      <c r="AL74" s="182" t="e">
        <f aca="false">IF($A75="","",SPRDOPT(P74,X74,AI74,0,AB74,AE74,AF74,AK74,$AJ$2,0))</f>
        <v>#NAME?</v>
      </c>
      <c r="AM74" s="210" t="e">
        <f aca="false">IF($A75="","",MAX(0,O74-W74-AI74))</f>
        <v>#N/A</v>
      </c>
      <c r="AN74" s="211" t="e">
        <f aca="false">IF($A75="","",AL74-AM74)</f>
        <v>#N/A</v>
      </c>
      <c r="AO74" s="137" t="n">
        <f aca="false">IF(A75="","",A75-A74)</f>
        <v>31</v>
      </c>
      <c r="AP74" s="212" t="n">
        <f aca="false">IF(A75="","",CHOOSE(F$3,A75+24,A74))</f>
        <v>38991</v>
      </c>
      <c r="AQ74" s="209" t="n">
        <f aca="false">IF(A75="","",AP74-$E$1)</f>
        <v>-6935</v>
      </c>
      <c r="AR74" s="185" t="n">
        <f aca="false">'ANR OK vs ML7'!AR74</f>
        <v>0.1</v>
      </c>
      <c r="AS74" s="213" t="n">
        <f aca="false">IF(A75="","",1/(1+CHOOSE(F$3,(AR75+($I$3/10000))/2,(AR74+($I$3/10000))/2))^(2*AQ74/365.25))</f>
        <v>6.37737918326861</v>
      </c>
      <c r="AT74" s="137" t="n">
        <f aca="false">IF(A75="","",IF(AND(mthbeg&lt;=A74,mthend&gt;=A74),1,0))</f>
        <v>1</v>
      </c>
      <c r="AU74" s="137" t="n">
        <f aca="false">IF(A75="","",AO74*AT74)</f>
        <v>31</v>
      </c>
      <c r="AW74" s="195" t="e">
        <f aca="false">IF($A75="","",AL74*$E74)</f>
        <v>#NAME?</v>
      </c>
      <c r="AX74" s="195" t="e">
        <f aca="false">IF($A75="","",AM74*$E74)</f>
        <v>#N/A</v>
      </c>
      <c r="AY74" s="195" t="e">
        <f aca="false">IF($A75="","",AN74*$E74)</f>
        <v>#N/A</v>
      </c>
      <c r="BA74" s="195" t="n">
        <f aca="false">IF($A75="","",F74*Summary!$Q$11)</f>
        <v>0</v>
      </c>
      <c r="BC74" s="179" t="e">
        <f aca="false">IF(A75="","",AM74*F74)</f>
        <v>#N/A</v>
      </c>
    </row>
    <row r="75" customFormat="false" ht="12.75" hidden="false" customHeight="false" outlineLevel="0" collapsed="false">
      <c r="A75" s="196" t="n">
        <f aca="false">IF(A74&lt;mthend,EDATE(A74,1),"")</f>
        <v>39022</v>
      </c>
      <c r="B75" s="197" t="n">
        <f aca="false">IF(A75&lt;mthend,B74,"")</f>
        <v>124142</v>
      </c>
      <c r="C75" s="215"/>
      <c r="D75" s="197" t="n">
        <f aca="false">IF(A76&lt;&gt;"",B75+C75,"")</f>
        <v>124142</v>
      </c>
      <c r="E75" s="199" t="n">
        <f aca="false">IF(A76="","",IF(AND(AT75=1,$H$3=1),D75*AO75,IF($H$3=2,D75,"N/A")))</f>
        <v>3724260</v>
      </c>
      <c r="F75" s="199" t="n">
        <f aca="false">IF(A76="","",E75*AS75)</f>
        <v>23555125.2451983</v>
      </c>
      <c r="G75" s="200" t="e">
        <f aca="false">IF($A76="","",VLOOKUP($A75,Table,MATCH(G$4,Curves,0)))</f>
        <v>#N/A</v>
      </c>
      <c r="H75" s="201" t="e">
        <f aca="false">IF(A76="","",G75)</f>
        <v>#N/A</v>
      </c>
      <c r="I75" s="202"/>
      <c r="J75" s="200" t="e">
        <f aca="false">IF($A76="","",VLOOKUP($A75,Table,MATCH(J$4,Curves,0)))</f>
        <v>#N/A</v>
      </c>
      <c r="K75" s="201" t="e">
        <f aca="false">IF(A76="","",J75)</f>
        <v>#N/A</v>
      </c>
      <c r="L75" s="200" t="e">
        <f aca="false">IF($A76="","",VLOOKUP($A75,Table,MATCH(L$4,Curves,0)))</f>
        <v>#N/A</v>
      </c>
      <c r="M75" s="201" t="e">
        <f aca="false">IF(A76="","",L75)</f>
        <v>#N/A</v>
      </c>
      <c r="N75" s="203"/>
      <c r="O75" s="200" t="e">
        <f aca="false">IF(A76="","",L75+J75+G75)</f>
        <v>#N/A</v>
      </c>
      <c r="P75" s="200" t="e">
        <f aca="false">IF(A76="","",M75+K75+H75)</f>
        <v>#N/A</v>
      </c>
      <c r="Q75" s="204"/>
      <c r="R75" s="200" t="e">
        <f aca="false">IF($A76="","",VLOOKUP($A75,Table,MATCH(R$4,Curves,0)))</f>
        <v>#N/A</v>
      </c>
      <c r="S75" s="201" t="e">
        <f aca="false">IF(A76="","",R75)</f>
        <v>#N/A</v>
      </c>
      <c r="T75" s="185" t="n">
        <v>0</v>
      </c>
      <c r="U75" s="201" t="n">
        <f aca="false">IF(A76="","",T75)</f>
        <v>0</v>
      </c>
      <c r="V75" s="205" t="e">
        <f aca="false">IF($A76="","",IF(AND(MONTH(A75)&gt;3,MONTH(A75)&lt;11),(T75+R75+G75)*Summary!$T$11/(1-Summary!$T$11),(T75+R75+G75)*Summary!$U$11/(1-Summary!$U$11)))</f>
        <v>#N/A</v>
      </c>
      <c r="W75" s="202" t="e">
        <f aca="false">IF($A76="","",(T75+R75+G75+V75))</f>
        <v>#N/A</v>
      </c>
      <c r="X75" s="202" t="e">
        <f aca="false">IF($A76="","",(U75+S75+H75+V75))</f>
        <v>#N/A</v>
      </c>
      <c r="Y75" s="202"/>
      <c r="Z75" s="185" t="e">
        <f aca="false">IF($A76="","",VLOOKUP($A75,Table,MATCH(Z$4,Curves,0)))</f>
        <v>#N/A</v>
      </c>
      <c r="AA75" s="185" t="e">
        <f aca="false">IF($A76="","",VLOOKUP($A75,Table,MATCH(AA$4,Curves,0)))</f>
        <v>#N/A</v>
      </c>
      <c r="AB75" s="185" t="e">
        <f aca="false">SQRT((AA75^2*(A75-$D$3)+Z75^2*(DAY(EOMONTH(A75,0))/2))/AK75)</f>
        <v>#N/A</v>
      </c>
      <c r="AC75" s="185" t="e">
        <f aca="false">IF($A76="","",VLOOKUP($A75,Table,MATCH(AC$4,Curves,0)))</f>
        <v>#N/A</v>
      </c>
      <c r="AD75" s="185" t="e">
        <f aca="false">IF($A76="","",VLOOKUP($A75,Table,MATCH(AD$4,Curves,0)))</f>
        <v>#N/A</v>
      </c>
      <c r="AE75" s="185" t="e">
        <f aca="false">SQRT((AD75^2*(A75-$D$3)+AC75^2*(DAY(EOMONTH(A75,0))/2))/AK75)</f>
        <v>#N/A</v>
      </c>
      <c r="AF75" s="206" t="e">
        <f aca="false">((Summary!$N$11*(AA75*AD75)*(A75-$D$3))+(Summary!$M$11*Z75*AC75*(AJ75-EOMONTH(EDATE(A75,-1),0))))/(AK75*AB75*AE75)</f>
        <v>#N/A</v>
      </c>
      <c r="AG75" s="207" t="n">
        <f aca="false">IF($A76="","",Summary!$Q$11)</f>
        <v>0</v>
      </c>
      <c r="AH75" s="207" t="n">
        <f aca="false">IF($A76="","",IF(Summary!$R$11="Y",(VLOOKUP($A75,Summary!$AD$6:$AF$9,3)+'Escalating commodity'!G88),'Escalating commodity'!G88))</f>
        <v>0.00536551743712124</v>
      </c>
      <c r="AI75" s="207" t="n">
        <f aca="false">IF($A76="","",AH75)</f>
        <v>0.00536551743712124</v>
      </c>
      <c r="AJ75" s="208" t="n">
        <f aca="false">A75+DAY(EOMONTH(A75,0))/2-1</f>
        <v>39036</v>
      </c>
      <c r="AK75" s="209" t="n">
        <f aca="false">IF($A76="","",$A75-$E$1)</f>
        <v>-6904</v>
      </c>
      <c r="AL75" s="182" t="e">
        <f aca="false">IF($A76="","",SPRDOPT(P75,X75,AI75,0,AB75,AE75,AF75,AK75,$AJ$2,0))</f>
        <v>#NAME?</v>
      </c>
      <c r="AM75" s="210" t="e">
        <f aca="false">IF($A76="","",MAX(0,O75-W75-AI75))</f>
        <v>#N/A</v>
      </c>
      <c r="AN75" s="211" t="e">
        <f aca="false">IF($A76="","",AL75-AM75)</f>
        <v>#N/A</v>
      </c>
      <c r="AO75" s="137" t="n">
        <f aca="false">IF(A76="","",A76-A75)</f>
        <v>30</v>
      </c>
      <c r="AP75" s="212" t="n">
        <f aca="false">IF(A76="","",CHOOSE(F$3,A76+24,A75))</f>
        <v>39022</v>
      </c>
      <c r="AQ75" s="209" t="n">
        <f aca="false">IF(A76="","",AP75-$E$1)</f>
        <v>-6904</v>
      </c>
      <c r="AR75" s="185" t="n">
        <f aca="false">'ANR OK vs ML7'!AR75</f>
        <v>0.1</v>
      </c>
      <c r="AS75" s="213" t="n">
        <f aca="false">IF(A76="","",1/(1+CHOOSE(F$3,(AR76+($I$3/10000))/2,(AR75+($I$3/10000))/2))^(2*AQ75/365.25))</f>
        <v>6.32478002212474</v>
      </c>
      <c r="AT75" s="137" t="n">
        <f aca="false">IF(A76="","",IF(AND(mthbeg&lt;=A75,mthend&gt;=A75),1,0))</f>
        <v>1</v>
      </c>
      <c r="AU75" s="137" t="n">
        <f aca="false">IF(A76="","",AO75*AT75)</f>
        <v>30</v>
      </c>
      <c r="AW75" s="195" t="e">
        <f aca="false">IF($A76="","",AL75*$E75)</f>
        <v>#NAME?</v>
      </c>
      <c r="AX75" s="195" t="e">
        <f aca="false">IF($A76="","",AM75*$E75)</f>
        <v>#N/A</v>
      </c>
      <c r="AY75" s="195" t="e">
        <f aca="false">IF($A76="","",AN75*$E75)</f>
        <v>#N/A</v>
      </c>
      <c r="BA75" s="195" t="n">
        <f aca="false">IF($A76="","",F75*Summary!$Q$11)</f>
        <v>0</v>
      </c>
      <c r="BC75" s="179" t="e">
        <f aca="false">IF(A76="","",AM75*F75)</f>
        <v>#N/A</v>
      </c>
    </row>
    <row r="76" customFormat="false" ht="12.75" hidden="false" customHeight="false" outlineLevel="0" collapsed="false">
      <c r="A76" s="196" t="n">
        <f aca="false">IF(A75&lt;mthend,EDATE(A75,1),"")</f>
        <v>39052</v>
      </c>
      <c r="B76" s="197" t="n">
        <f aca="false">IF(A76&lt;mthend,B75,"")</f>
        <v>124142</v>
      </c>
      <c r="C76" s="215"/>
      <c r="D76" s="197" t="n">
        <f aca="false">IF(A77&lt;&gt;"",B76+C76,"")</f>
        <v>124142</v>
      </c>
      <c r="E76" s="199" t="n">
        <f aca="false">IF(A77="","",IF(AND(AT76=1,$H$3=1),D76*AO76,IF($H$3=2,D76,"N/A")))</f>
        <v>3848402</v>
      </c>
      <c r="F76" s="199" t="n">
        <f aca="false">IF(A77="","",E76*AS76)</f>
        <v>24145992.8968918</v>
      </c>
      <c r="G76" s="200" t="e">
        <f aca="false">IF($A77="","",VLOOKUP($A76,Table,MATCH(G$4,Curves,0)))</f>
        <v>#N/A</v>
      </c>
      <c r="H76" s="201" t="e">
        <f aca="false">IF(A77="","",G76)</f>
        <v>#N/A</v>
      </c>
      <c r="I76" s="202"/>
      <c r="J76" s="200" t="e">
        <f aca="false">IF($A77="","",VLOOKUP($A76,Table,MATCH(J$4,Curves,0)))</f>
        <v>#N/A</v>
      </c>
      <c r="K76" s="201" t="e">
        <f aca="false">IF(A77="","",J76)</f>
        <v>#N/A</v>
      </c>
      <c r="L76" s="200" t="e">
        <f aca="false">IF($A77="","",VLOOKUP($A76,Table,MATCH(L$4,Curves,0)))</f>
        <v>#N/A</v>
      </c>
      <c r="M76" s="201" t="e">
        <f aca="false">IF(A77="","",L76)</f>
        <v>#N/A</v>
      </c>
      <c r="N76" s="203"/>
      <c r="O76" s="200" t="e">
        <f aca="false">IF(A77="","",L76+J76+G76)</f>
        <v>#N/A</v>
      </c>
      <c r="P76" s="200" t="e">
        <f aca="false">IF(A77="","",M76+K76+H76)</f>
        <v>#N/A</v>
      </c>
      <c r="Q76" s="204"/>
      <c r="R76" s="200" t="e">
        <f aca="false">IF($A77="","",VLOOKUP($A76,Table,MATCH(R$4,Curves,0)))</f>
        <v>#N/A</v>
      </c>
      <c r="S76" s="201" t="e">
        <f aca="false">IF(A77="","",R76)</f>
        <v>#N/A</v>
      </c>
      <c r="T76" s="185" t="n">
        <v>0</v>
      </c>
      <c r="U76" s="201" t="n">
        <f aca="false">IF(A77="","",T76)</f>
        <v>0</v>
      </c>
      <c r="V76" s="205" t="e">
        <f aca="false">IF($A77="","",IF(AND(MONTH(A76)&gt;3,MONTH(A76)&lt;11),(T76+R76+G76)*Summary!$T$11/(1-Summary!$T$11),(T76+R76+G76)*Summary!$U$11/(1-Summary!$U$11)))</f>
        <v>#N/A</v>
      </c>
      <c r="W76" s="202" t="e">
        <f aca="false">IF($A77="","",(T76+R76+G76+V76))</f>
        <v>#N/A</v>
      </c>
      <c r="X76" s="202" t="e">
        <f aca="false">IF($A77="","",(U76+S76+H76+V76))</f>
        <v>#N/A</v>
      </c>
      <c r="Y76" s="202"/>
      <c r="Z76" s="185" t="e">
        <f aca="false">IF($A77="","",VLOOKUP($A76,Table,MATCH(Z$4,Curves,0)))</f>
        <v>#N/A</v>
      </c>
      <c r="AA76" s="185" t="e">
        <f aca="false">IF($A77="","",VLOOKUP($A76,Table,MATCH(AA$4,Curves,0)))</f>
        <v>#N/A</v>
      </c>
      <c r="AB76" s="185" t="e">
        <f aca="false">SQRT((AA76^2*(A76-$D$3)+Z76^2*(DAY(EOMONTH(A76,0))/2))/AK76)</f>
        <v>#N/A</v>
      </c>
      <c r="AC76" s="185" t="e">
        <f aca="false">IF($A77="","",VLOOKUP($A76,Table,MATCH(AC$4,Curves,0)))</f>
        <v>#N/A</v>
      </c>
      <c r="AD76" s="185" t="e">
        <f aca="false">IF($A77="","",VLOOKUP($A76,Table,MATCH(AD$4,Curves,0)))</f>
        <v>#N/A</v>
      </c>
      <c r="AE76" s="185" t="e">
        <f aca="false">SQRT((AD76^2*(A76-$D$3)+AC76^2*(DAY(EOMONTH(A76,0))/2))/AK76)</f>
        <v>#N/A</v>
      </c>
      <c r="AF76" s="206" t="e">
        <f aca="false">((Summary!$N$11*(AA76*AD76)*(A76-$D$3))+(Summary!$M$11*Z76*AC76*(AJ76-EOMONTH(EDATE(A76,-1),0))))/(AK76*AB76*AE76)</f>
        <v>#N/A</v>
      </c>
      <c r="AG76" s="207" t="n">
        <f aca="false">IF($A77="","",Summary!$Q$11)</f>
        <v>0</v>
      </c>
      <c r="AH76" s="207" t="n">
        <f aca="false">IF($A77="","",IF(Summary!$R$11="Y",(VLOOKUP($A76,Summary!$AD$6:$AF$9,3)+'Escalating commodity'!G89),'Escalating commodity'!G89))</f>
        <v>0.00536551743712124</v>
      </c>
      <c r="AI76" s="207" t="n">
        <f aca="false">IF($A77="","",AH76)</f>
        <v>0.00536551743712124</v>
      </c>
      <c r="AJ76" s="208" t="n">
        <f aca="false">A76+DAY(EOMONTH(A76,0))/2-1</f>
        <v>39066.5</v>
      </c>
      <c r="AK76" s="209" t="n">
        <f aca="false">IF($A77="","",$A76-$E$1)</f>
        <v>-6874</v>
      </c>
      <c r="AL76" s="182" t="e">
        <f aca="false">IF($A77="","",SPRDOPT(P76,X76,AI76,0,AB76,AE76,AF76,AK76,$AJ$2,0))</f>
        <v>#NAME?</v>
      </c>
      <c r="AM76" s="210" t="e">
        <f aca="false">IF($A77="","",MAX(0,O76-W76-AI76))</f>
        <v>#N/A</v>
      </c>
      <c r="AN76" s="211" t="e">
        <f aca="false">IF($A77="","",AL76-AM76)</f>
        <v>#N/A</v>
      </c>
      <c r="AO76" s="137" t="n">
        <f aca="false">IF(A77="","",A77-A76)</f>
        <v>31</v>
      </c>
      <c r="AP76" s="212" t="n">
        <f aca="false">IF(A77="","",CHOOSE(F$3,A77+24,A76))</f>
        <v>39052</v>
      </c>
      <c r="AQ76" s="209" t="n">
        <f aca="false">IF(A77="","",AP76-$E$1)</f>
        <v>-6874</v>
      </c>
      <c r="AR76" s="185" t="n">
        <f aca="false">'ANR OK vs ML7'!AR76</f>
        <v>0.1</v>
      </c>
      <c r="AS76" s="213" t="n">
        <f aca="false">IF(A77="","",1/(1+CHOOSE(F$3,(AR77+($I$3/10000))/2,(AR76+($I$3/10000))/2))^(2*AQ76/365.25))</f>
        <v>6.27429070478909</v>
      </c>
      <c r="AT76" s="137" t="n">
        <f aca="false">IF(A77="","",IF(AND(mthbeg&lt;=A76,mthend&gt;=A76),1,0))</f>
        <v>1</v>
      </c>
      <c r="AU76" s="137" t="n">
        <f aca="false">IF(A77="","",AO76*AT76)</f>
        <v>31</v>
      </c>
      <c r="AW76" s="195" t="e">
        <f aca="false">IF($A77="","",AL76*$E76)</f>
        <v>#NAME?</v>
      </c>
      <c r="AX76" s="195" t="e">
        <f aca="false">IF($A77="","",AM76*$E76)</f>
        <v>#N/A</v>
      </c>
      <c r="AY76" s="195" t="e">
        <f aca="false">IF($A77="","",AN76*$E76)</f>
        <v>#N/A</v>
      </c>
      <c r="BA76" s="195" t="n">
        <f aca="false">IF($A77="","",F76*Summary!$Q$11)</f>
        <v>0</v>
      </c>
      <c r="BC76" s="179" t="e">
        <f aca="false">IF(A77="","",AM76*F76)</f>
        <v>#N/A</v>
      </c>
    </row>
    <row r="77" customFormat="false" ht="12.75" hidden="false" customHeight="false" outlineLevel="0" collapsed="false">
      <c r="A77" s="196" t="n">
        <f aca="false">IF(A76&lt;mthend,EDATE(A76,1),"")</f>
        <v>39083</v>
      </c>
      <c r="B77" s="197" t="n">
        <f aca="false">IF(A77&lt;mthend,B76,"")</f>
        <v>124142</v>
      </c>
      <c r="C77" s="215"/>
      <c r="D77" s="197" t="n">
        <f aca="false">IF(A78&lt;&gt;"",B77+C77,"")</f>
        <v>124142</v>
      </c>
      <c r="E77" s="199" t="n">
        <f aca="false">IF(A78="","",IF(AND(AT77=1,$H$3=1),D77*AO77,IF($H$3=2,D77,"N/A")))</f>
        <v>3848402</v>
      </c>
      <c r="F77" s="199" t="n">
        <f aca="false">IF(A78="","",E77*AS77)</f>
        <v>23946842.2842554</v>
      </c>
      <c r="G77" s="200" t="e">
        <f aca="false">IF($A78="","",VLOOKUP($A77,Table,MATCH(G$4,Curves,0)))</f>
        <v>#N/A</v>
      </c>
      <c r="H77" s="201" t="e">
        <f aca="false">IF(A78="","",G77)</f>
        <v>#N/A</v>
      </c>
      <c r="I77" s="202"/>
      <c r="J77" s="200" t="e">
        <f aca="false">IF($A78="","",VLOOKUP($A77,Table,MATCH(J$4,Curves,0)))</f>
        <v>#N/A</v>
      </c>
      <c r="K77" s="201" t="e">
        <f aca="false">IF(A78="","",J77)</f>
        <v>#N/A</v>
      </c>
      <c r="L77" s="200" t="e">
        <f aca="false">IF($A78="","",VLOOKUP($A77,Table,MATCH(L$4,Curves,0)))</f>
        <v>#N/A</v>
      </c>
      <c r="M77" s="201" t="e">
        <f aca="false">IF(A78="","",L77)</f>
        <v>#N/A</v>
      </c>
      <c r="N77" s="203"/>
      <c r="O77" s="200" t="e">
        <f aca="false">IF(A78="","",L77+J77+G77)</f>
        <v>#N/A</v>
      </c>
      <c r="P77" s="200" t="e">
        <f aca="false">IF(A78="","",M77+K77+H77)</f>
        <v>#N/A</v>
      </c>
      <c r="Q77" s="204"/>
      <c r="R77" s="200" t="e">
        <f aca="false">IF($A78="","",VLOOKUP($A77,Table,MATCH(R$4,Curves,0)))</f>
        <v>#N/A</v>
      </c>
      <c r="S77" s="201" t="e">
        <f aca="false">IF(A78="","",R77)</f>
        <v>#N/A</v>
      </c>
      <c r="T77" s="185" t="n">
        <v>0</v>
      </c>
      <c r="U77" s="201" t="n">
        <f aca="false">IF(A78="","",T77)</f>
        <v>0</v>
      </c>
      <c r="V77" s="205" t="e">
        <f aca="false">IF($A78="","",IF(AND(MONTH(A77)&gt;3,MONTH(A77)&lt;11),(T77+R77+G77)*Summary!$T$11/(1-Summary!$T$11),(T77+R77+G77)*Summary!$U$11/(1-Summary!$U$11)))</f>
        <v>#N/A</v>
      </c>
      <c r="W77" s="202" t="e">
        <f aca="false">IF($A78="","",(T77+R77+G77+V77))</f>
        <v>#N/A</v>
      </c>
      <c r="X77" s="202" t="e">
        <f aca="false">IF($A78="","",(U77+S77+H77+V77))</f>
        <v>#N/A</v>
      </c>
      <c r="Y77" s="202"/>
      <c r="Z77" s="185" t="e">
        <f aca="false">IF($A78="","",VLOOKUP($A77,Table,MATCH(Z$4,Curves,0)))</f>
        <v>#N/A</v>
      </c>
      <c r="AA77" s="185" t="e">
        <f aca="false">IF($A78="","",VLOOKUP($A77,Table,MATCH(AA$4,Curves,0)))</f>
        <v>#N/A</v>
      </c>
      <c r="AB77" s="185" t="e">
        <f aca="false">SQRT((AA77^2*(A77-$D$3)+Z77^2*(DAY(EOMONTH(A77,0))/2))/AK77)</f>
        <v>#N/A</v>
      </c>
      <c r="AC77" s="185" t="e">
        <f aca="false">IF($A78="","",VLOOKUP($A77,Table,MATCH(AC$4,Curves,0)))</f>
        <v>#N/A</v>
      </c>
      <c r="AD77" s="185" t="e">
        <f aca="false">IF($A78="","",VLOOKUP($A77,Table,MATCH(AD$4,Curves,0)))</f>
        <v>#N/A</v>
      </c>
      <c r="AE77" s="185" t="e">
        <f aca="false">SQRT((AD77^2*(A77-$D$3)+AC77^2*(DAY(EOMONTH(A77,0))/2))/AK77)</f>
        <v>#N/A</v>
      </c>
      <c r="AF77" s="206" t="e">
        <f aca="false">((Summary!$N$11*(AA77*AD77)*(A77-$D$3))+(Summary!$M$11*Z77*AC77*(AJ77-EOMONTH(EDATE(A77,-1),0))))/(AK77*AB77*AE77)</f>
        <v>#N/A</v>
      </c>
      <c r="AG77" s="207" t="n">
        <f aca="false">IF($A78="","",Summary!$Q$11)</f>
        <v>0</v>
      </c>
      <c r="AH77" s="207" t="n">
        <f aca="false">IF($A78="","",IF(Summary!$R$11="Y",(VLOOKUP($A77,Summary!$AD$6:$AF$9,3)+'Escalating commodity'!G90),'Escalating commodity'!G90))</f>
        <v>0.00547282778586367</v>
      </c>
      <c r="AI77" s="207" t="n">
        <f aca="false">IF($A78="","",AH77)</f>
        <v>0.00547282778586367</v>
      </c>
      <c r="AJ77" s="208" t="n">
        <f aca="false">A77+DAY(EOMONTH(A77,0))/2-1</f>
        <v>39097.5</v>
      </c>
      <c r="AK77" s="209" t="n">
        <f aca="false">IF($A78="","",$A77-$E$1)</f>
        <v>-6843</v>
      </c>
      <c r="AL77" s="182" t="e">
        <f aca="false">IF($A78="","",SPRDOPT(P77,X77,AI77,0,AB77,AE77,AF77,AK77,$AJ$2,0))</f>
        <v>#NAME?</v>
      </c>
      <c r="AM77" s="210" t="e">
        <f aca="false">IF($A78="","",MAX(0,O77-W77-AI77))</f>
        <v>#N/A</v>
      </c>
      <c r="AN77" s="211" t="e">
        <f aca="false">IF($A78="","",AL77-AM77)</f>
        <v>#N/A</v>
      </c>
      <c r="AO77" s="137" t="n">
        <f aca="false">IF(A78="","",A78-A77)</f>
        <v>31</v>
      </c>
      <c r="AP77" s="212" t="n">
        <f aca="false">IF(A78="","",CHOOSE(F$3,A78+24,A77))</f>
        <v>39083</v>
      </c>
      <c r="AQ77" s="209" t="n">
        <f aca="false">IF(A78="","",AP77-$E$1)</f>
        <v>-6843</v>
      </c>
      <c r="AR77" s="185" t="n">
        <f aca="false">'ANR OK vs ML7'!AR77</f>
        <v>0.1</v>
      </c>
      <c r="AS77" s="213" t="n">
        <f aca="false">IF(A78="","",1/(1+CHOOSE(F$3,(AR78+($I$3/10000))/2,(AR77+($I$3/10000))/2))^(2*AQ77/365.25))</f>
        <v>6.2225417937771</v>
      </c>
      <c r="AT77" s="137" t="n">
        <f aca="false">IF(A78="","",IF(AND(mthbeg&lt;=A77,mthend&gt;=A77),1,0))</f>
        <v>1</v>
      </c>
      <c r="AU77" s="137" t="n">
        <f aca="false">IF(A78="","",AO77*AT77)</f>
        <v>31</v>
      </c>
      <c r="AW77" s="195" t="e">
        <f aca="false">IF($A78="","",AL77*$E77)</f>
        <v>#NAME?</v>
      </c>
      <c r="AX77" s="195" t="e">
        <f aca="false">IF($A78="","",AM77*$E77)</f>
        <v>#N/A</v>
      </c>
      <c r="AY77" s="195" t="e">
        <f aca="false">IF($A78="","",AN77*$E77)</f>
        <v>#N/A</v>
      </c>
      <c r="BA77" s="195" t="n">
        <f aca="false">IF($A78="","",F77*Summary!$Q$11)</f>
        <v>0</v>
      </c>
      <c r="BC77" s="179" t="e">
        <f aca="false">IF(A78="","",AM77*F77)</f>
        <v>#N/A</v>
      </c>
    </row>
    <row r="78" customFormat="false" ht="12.75" hidden="false" customHeight="false" outlineLevel="0" collapsed="false">
      <c r="A78" s="196" t="n">
        <f aca="false">IF(A77&lt;mthend,EDATE(A77,1),"")</f>
        <v>39114</v>
      </c>
      <c r="B78" s="197" t="n">
        <f aca="false">IF(A78&lt;mthend,B77,"")</f>
        <v>124142</v>
      </c>
      <c r="C78" s="215"/>
      <c r="D78" s="197" t="n">
        <f aca="false">IF(A79&lt;&gt;"",B78+C78,"")</f>
        <v>124142</v>
      </c>
      <c r="E78" s="199" t="n">
        <f aca="false">IF(A79="","",IF(AND(AT78=1,$H$3=1),D78*AO78,IF($H$3=2,D78,"N/A")))</f>
        <v>3475976</v>
      </c>
      <c r="F78" s="199" t="n">
        <f aca="false">IF(A79="","",E78*AS78)</f>
        <v>21451011.5537344</v>
      </c>
      <c r="G78" s="200" t="e">
        <f aca="false">IF($A79="","",VLOOKUP($A78,Table,MATCH(G$4,Curves,0)))</f>
        <v>#N/A</v>
      </c>
      <c r="H78" s="201" t="e">
        <f aca="false">IF(A79="","",G78)</f>
        <v>#N/A</v>
      </c>
      <c r="I78" s="202"/>
      <c r="J78" s="200" t="e">
        <f aca="false">IF($A79="","",VLOOKUP($A78,Table,MATCH(J$4,Curves,0)))</f>
        <v>#N/A</v>
      </c>
      <c r="K78" s="201" t="e">
        <f aca="false">IF(A79="","",J78)</f>
        <v>#N/A</v>
      </c>
      <c r="L78" s="200" t="e">
        <f aca="false">IF($A79="","",VLOOKUP($A78,Table,MATCH(L$4,Curves,0)))</f>
        <v>#N/A</v>
      </c>
      <c r="M78" s="201" t="e">
        <f aca="false">IF(A79="","",L78)</f>
        <v>#N/A</v>
      </c>
      <c r="N78" s="203"/>
      <c r="O78" s="200" t="e">
        <f aca="false">IF(A79="","",L78+J78+G78)</f>
        <v>#N/A</v>
      </c>
      <c r="P78" s="200" t="e">
        <f aca="false">IF(A79="","",M78+K78+H78)</f>
        <v>#N/A</v>
      </c>
      <c r="Q78" s="204"/>
      <c r="R78" s="200" t="e">
        <f aca="false">IF($A79="","",VLOOKUP($A78,Table,MATCH(R$4,Curves,0)))</f>
        <v>#N/A</v>
      </c>
      <c r="S78" s="201" t="e">
        <f aca="false">IF(A79="","",R78)</f>
        <v>#N/A</v>
      </c>
      <c r="T78" s="185" t="n">
        <v>0</v>
      </c>
      <c r="U78" s="201" t="n">
        <f aca="false">IF(A79="","",T78)</f>
        <v>0</v>
      </c>
      <c r="V78" s="205" t="e">
        <f aca="false">IF($A79="","",IF(AND(MONTH(A78)&gt;3,MONTH(A78)&lt;11),(T78+R78+G78)*Summary!$T$11/(1-Summary!$T$11),(T78+R78+G78)*Summary!$U$11/(1-Summary!$U$11)))</f>
        <v>#N/A</v>
      </c>
      <c r="W78" s="202" t="e">
        <f aca="false">IF($A79="","",(T78+R78+G78+V78))</f>
        <v>#N/A</v>
      </c>
      <c r="X78" s="202" t="e">
        <f aca="false">IF($A79="","",(U78+S78+H78+V78))</f>
        <v>#N/A</v>
      </c>
      <c r="Y78" s="202"/>
      <c r="Z78" s="185" t="e">
        <f aca="false">IF($A79="","",VLOOKUP($A78,Table,MATCH(Z$4,Curves,0)))</f>
        <v>#N/A</v>
      </c>
      <c r="AA78" s="185" t="e">
        <f aca="false">IF($A79="","",VLOOKUP($A78,Table,MATCH(AA$4,Curves,0)))</f>
        <v>#N/A</v>
      </c>
      <c r="AB78" s="185" t="e">
        <f aca="false">SQRT((AA78^2*(A78-$D$3)+Z78^2*(DAY(EOMONTH(A78,0))/2))/AK78)</f>
        <v>#N/A</v>
      </c>
      <c r="AC78" s="185" t="e">
        <f aca="false">IF($A79="","",VLOOKUP($A78,Table,MATCH(AC$4,Curves,0)))</f>
        <v>#N/A</v>
      </c>
      <c r="AD78" s="185" t="e">
        <f aca="false">IF($A79="","",VLOOKUP($A78,Table,MATCH(AD$4,Curves,0)))</f>
        <v>#N/A</v>
      </c>
      <c r="AE78" s="185" t="e">
        <f aca="false">SQRT((AD78^2*(A78-$D$3)+AC78^2*(DAY(EOMONTH(A78,0))/2))/AK78)</f>
        <v>#N/A</v>
      </c>
      <c r="AF78" s="206" t="e">
        <f aca="false">((Summary!$N$11*(AA78*AD78)*(A78-$D$3))+(Summary!$M$11*Z78*AC78*(AJ78-EOMONTH(EDATE(A78,-1),0))))/(AK78*AB78*AE78)</f>
        <v>#N/A</v>
      </c>
      <c r="AG78" s="207" t="n">
        <f aca="false">IF($A79="","",Summary!$Q$11)</f>
        <v>0</v>
      </c>
      <c r="AH78" s="207" t="n">
        <f aca="false">IF($A79="","",IF(Summary!$R$11="Y",(VLOOKUP($A78,Summary!$AD$6:$AF$9,3)+'Escalating commodity'!G91),'Escalating commodity'!G91))</f>
        <v>0.00547282778586367</v>
      </c>
      <c r="AI78" s="207" t="n">
        <f aca="false">IF($A79="","",AH78)</f>
        <v>0.00547282778586367</v>
      </c>
      <c r="AJ78" s="208" t="n">
        <f aca="false">A78+DAY(EOMONTH(A78,0))/2-1</f>
        <v>39127</v>
      </c>
      <c r="AK78" s="209" t="n">
        <f aca="false">IF($A79="","",$A78-$E$1)</f>
        <v>-6812</v>
      </c>
      <c r="AL78" s="182" t="e">
        <f aca="false">IF($A79="","",SPRDOPT(P78,X78,AI78,0,AB78,AE78,AF78,AK78,$AJ$2,0))</f>
        <v>#NAME?</v>
      </c>
      <c r="AM78" s="210" t="e">
        <f aca="false">IF($A79="","",MAX(0,O78-W78-AI78))</f>
        <v>#N/A</v>
      </c>
      <c r="AN78" s="211" t="e">
        <f aca="false">IF($A79="","",AL78-AM78)</f>
        <v>#N/A</v>
      </c>
      <c r="AO78" s="137" t="n">
        <f aca="false">IF(A79="","",A79-A78)</f>
        <v>28</v>
      </c>
      <c r="AP78" s="212" t="n">
        <f aca="false">IF(A79="","",CHOOSE(F$3,A79+24,A78))</f>
        <v>39114</v>
      </c>
      <c r="AQ78" s="209" t="n">
        <f aca="false">IF(A79="","",AP78-$E$1)</f>
        <v>-6812</v>
      </c>
      <c r="AR78" s="185" t="n">
        <f aca="false">'ANR OK vs ML7'!AR78</f>
        <v>0.1</v>
      </c>
      <c r="AS78" s="213" t="n">
        <f aca="false">IF(A79="","",1/(1+CHOOSE(F$3,(AR79+($I$3/10000))/2,(AR78+($I$3/10000))/2))^(2*AQ78/365.25))</f>
        <v>6.1712196959169</v>
      </c>
      <c r="AT78" s="137" t="n">
        <f aca="false">IF(A79="","",IF(AND(mthbeg&lt;=A78,mthend&gt;=A78),1,0))</f>
        <v>1</v>
      </c>
      <c r="AU78" s="137" t="n">
        <f aca="false">IF(A79="","",AO78*AT78)</f>
        <v>28</v>
      </c>
      <c r="AW78" s="195" t="e">
        <f aca="false">IF($A79="","",AL78*$E78)</f>
        <v>#NAME?</v>
      </c>
      <c r="AX78" s="195" t="e">
        <f aca="false">IF($A79="","",AM78*$E78)</f>
        <v>#N/A</v>
      </c>
      <c r="AY78" s="195" t="e">
        <f aca="false">IF($A79="","",AN78*$E78)</f>
        <v>#N/A</v>
      </c>
      <c r="BA78" s="195" t="n">
        <f aca="false">IF($A79="","",F78*Summary!$Q$11)</f>
        <v>0</v>
      </c>
      <c r="BC78" s="179" t="e">
        <f aca="false">IF(A79="","",AM78*F78)</f>
        <v>#N/A</v>
      </c>
    </row>
    <row r="79" customFormat="false" ht="12.75" hidden="false" customHeight="false" outlineLevel="0" collapsed="false">
      <c r="A79" s="196" t="n">
        <f aca="false">IF(A78&lt;mthend,EDATE(A78,1),"")</f>
        <v>39142</v>
      </c>
      <c r="B79" s="197" t="n">
        <f aca="false">IF(A79&lt;mthend,B78,"")</f>
        <v>124142</v>
      </c>
      <c r="C79" s="215"/>
      <c r="D79" s="197" t="n">
        <f aca="false">IF(A80&lt;&gt;"",B79+C79,"")</f>
        <v>124142</v>
      </c>
      <c r="E79" s="199" t="n">
        <f aca="false">IF(A80="","",IF(AND(AT79=1,$H$3=1),D79*AO79,IF($H$3=2,D79,"N/A")))</f>
        <v>3848402</v>
      </c>
      <c r="F79" s="199" t="n">
        <f aca="false">IF(A80="","",E79*AS79)</f>
        <v>23572340.3744433</v>
      </c>
      <c r="G79" s="200" t="e">
        <f aca="false">IF($A80="","",VLOOKUP($A79,Table,MATCH(G$4,Curves,0)))</f>
        <v>#N/A</v>
      </c>
      <c r="H79" s="201" t="e">
        <f aca="false">IF(A80="","",G79)</f>
        <v>#N/A</v>
      </c>
      <c r="I79" s="202"/>
      <c r="J79" s="200" t="e">
        <f aca="false">IF($A80="","",VLOOKUP($A79,Table,MATCH(J$4,Curves,0)))</f>
        <v>#N/A</v>
      </c>
      <c r="K79" s="201" t="e">
        <f aca="false">IF(A80="","",J79)</f>
        <v>#N/A</v>
      </c>
      <c r="L79" s="200" t="e">
        <f aca="false">IF($A80="","",VLOOKUP($A79,Table,MATCH(L$4,Curves,0)))</f>
        <v>#N/A</v>
      </c>
      <c r="M79" s="201" t="e">
        <f aca="false">IF(A80="","",L79)</f>
        <v>#N/A</v>
      </c>
      <c r="N79" s="203"/>
      <c r="O79" s="200" t="e">
        <f aca="false">IF(A80="","",L79+J79+G79)</f>
        <v>#N/A</v>
      </c>
      <c r="P79" s="200" t="e">
        <f aca="false">IF(A80="","",M79+K79+H79)</f>
        <v>#N/A</v>
      </c>
      <c r="Q79" s="204"/>
      <c r="R79" s="200" t="e">
        <f aca="false">IF($A80="","",VLOOKUP($A79,Table,MATCH(R$4,Curves,0)))</f>
        <v>#N/A</v>
      </c>
      <c r="S79" s="201" t="e">
        <f aca="false">IF(A80="","",R79)</f>
        <v>#N/A</v>
      </c>
      <c r="T79" s="185" t="n">
        <v>0</v>
      </c>
      <c r="U79" s="201" t="n">
        <f aca="false">IF(A80="","",T79)</f>
        <v>0</v>
      </c>
      <c r="V79" s="205" t="e">
        <f aca="false">IF($A80="","",IF(AND(MONTH(A79)&gt;3,MONTH(A79)&lt;11),(T79+R79+G79)*Summary!$T$11/(1-Summary!$T$11),(T79+R79+G79)*Summary!$U$11/(1-Summary!$U$11)))</f>
        <v>#N/A</v>
      </c>
      <c r="W79" s="202" t="e">
        <f aca="false">IF($A80="","",(T79+R79+G79+V79))</f>
        <v>#N/A</v>
      </c>
      <c r="X79" s="202" t="e">
        <f aca="false">IF($A80="","",(U79+S79+H79+V79))</f>
        <v>#N/A</v>
      </c>
      <c r="Y79" s="202"/>
      <c r="Z79" s="185" t="e">
        <f aca="false">IF($A80="","",VLOOKUP($A79,Table,MATCH(Z$4,Curves,0)))</f>
        <v>#N/A</v>
      </c>
      <c r="AA79" s="185" t="e">
        <f aca="false">IF($A80="","",VLOOKUP($A79,Table,MATCH(AA$4,Curves,0)))</f>
        <v>#N/A</v>
      </c>
      <c r="AB79" s="185" t="e">
        <f aca="false">SQRT((AA79^2*(A79-$D$3)+Z79^2*(DAY(EOMONTH(A79,0))/2))/AK79)</f>
        <v>#N/A</v>
      </c>
      <c r="AC79" s="185" t="e">
        <f aca="false">IF($A80="","",VLOOKUP($A79,Table,MATCH(AC$4,Curves,0)))</f>
        <v>#N/A</v>
      </c>
      <c r="AD79" s="185" t="e">
        <f aca="false">IF($A80="","",VLOOKUP($A79,Table,MATCH(AD$4,Curves,0)))</f>
        <v>#N/A</v>
      </c>
      <c r="AE79" s="185" t="e">
        <f aca="false">SQRT((AD79^2*(A79-$D$3)+AC79^2*(DAY(EOMONTH(A79,0))/2))/AK79)</f>
        <v>#N/A</v>
      </c>
      <c r="AF79" s="206" t="e">
        <f aca="false">((Summary!$N$11*(AA79*AD79)*(A79-$D$3))+(Summary!$M$11*Z79*AC79*(AJ79-EOMONTH(EDATE(A79,-1),0))))/(AK79*AB79*AE79)</f>
        <v>#N/A</v>
      </c>
      <c r="AG79" s="207" t="n">
        <f aca="false">IF($A80="","",Summary!$Q$11)</f>
        <v>0</v>
      </c>
      <c r="AH79" s="207" t="n">
        <f aca="false">IF($A80="","",IF(Summary!$R$11="Y",(VLOOKUP($A79,Summary!$AD$6:$AF$9,3)+'Escalating commodity'!G92),'Escalating commodity'!G92))</f>
        <v>0.00547282778586367</v>
      </c>
      <c r="AI79" s="207" t="n">
        <f aca="false">IF($A80="","",AH79)</f>
        <v>0.00547282778586367</v>
      </c>
      <c r="AJ79" s="208" t="n">
        <f aca="false">A79+DAY(EOMONTH(A79,0))/2-1</f>
        <v>39156.5</v>
      </c>
      <c r="AK79" s="209" t="n">
        <f aca="false">IF($A80="","",$A79-$E$1)</f>
        <v>-6784</v>
      </c>
      <c r="AL79" s="182" t="e">
        <f aca="false">IF($A80="","",SPRDOPT(P79,X79,AI79,0,AB79,AE79,AF79,AK79,$AJ$2,0))</f>
        <v>#NAME?</v>
      </c>
      <c r="AM79" s="210" t="e">
        <f aca="false">IF($A80="","",MAX(0,O79-W79-AI79))</f>
        <v>#N/A</v>
      </c>
      <c r="AN79" s="211" t="e">
        <f aca="false">IF($A80="","",AL79-AM79)</f>
        <v>#N/A</v>
      </c>
      <c r="AO79" s="137" t="n">
        <f aca="false">IF(A80="","",A80-A79)</f>
        <v>31</v>
      </c>
      <c r="AP79" s="212" t="n">
        <f aca="false">IF(A80="","",CHOOSE(F$3,A80+24,A79))</f>
        <v>39142</v>
      </c>
      <c r="AQ79" s="209" t="n">
        <f aca="false">IF(A80="","",AP79-$E$1)</f>
        <v>-6784</v>
      </c>
      <c r="AR79" s="185" t="n">
        <f aca="false">'ANR OK vs ML7'!AR79</f>
        <v>0.1</v>
      </c>
      <c r="AS79" s="213" t="n">
        <f aca="false">IF(A80="","",1/(1+CHOOSE(F$3,(AR80+($I$3/10000))/2,(AR79+($I$3/10000))/2))^(2*AQ79/365.25))</f>
        <v>6.12522817898009</v>
      </c>
      <c r="AT79" s="137" t="n">
        <f aca="false">IF(A80="","",IF(AND(mthbeg&lt;=A79,mthend&gt;=A79),1,0))</f>
        <v>1</v>
      </c>
      <c r="AU79" s="137" t="n">
        <f aca="false">IF(A80="","",AO79*AT79)</f>
        <v>31</v>
      </c>
      <c r="AW79" s="195" t="e">
        <f aca="false">IF($A80="","",AL79*$E79)</f>
        <v>#NAME?</v>
      </c>
      <c r="AX79" s="195" t="e">
        <f aca="false">IF($A80="","",AM79*$E79)</f>
        <v>#N/A</v>
      </c>
      <c r="AY79" s="195" t="e">
        <f aca="false">IF($A80="","",AN79*$E79)</f>
        <v>#N/A</v>
      </c>
      <c r="BA79" s="195" t="n">
        <f aca="false">IF($A80="","",F79*Summary!$Q$11)</f>
        <v>0</v>
      </c>
      <c r="BC79" s="179" t="e">
        <f aca="false">IF(A80="","",AM79*F79)</f>
        <v>#N/A</v>
      </c>
    </row>
    <row r="80" customFormat="false" ht="12.75" hidden="false" customHeight="false" outlineLevel="0" collapsed="false">
      <c r="A80" s="196" t="n">
        <f aca="false">IF(A79&lt;mthend,EDATE(A79,1),"")</f>
        <v>39173</v>
      </c>
      <c r="B80" s="197" t="n">
        <f aca="false">IF(A80&lt;mthend,B79,"")</f>
        <v>124142</v>
      </c>
      <c r="C80" s="215"/>
      <c r="D80" s="197" t="n">
        <f aca="false">IF(A81&lt;&gt;"",B80+C80,"")</f>
        <v>124142</v>
      </c>
      <c r="E80" s="199" t="n">
        <f aca="false">IF(A81="","",IF(AND(AT80=1,$H$3=1),D80*AO80,IF($H$3=2,D80,"N/A")))</f>
        <v>3724260</v>
      </c>
      <c r="F80" s="199" t="n">
        <f aca="false">IF(A81="","",E80*AS80)</f>
        <v>22623794.6286495</v>
      </c>
      <c r="G80" s="200" t="e">
        <f aca="false">IF($A81="","",VLOOKUP($A80,Table,MATCH(G$4,Curves,0)))</f>
        <v>#N/A</v>
      </c>
      <c r="H80" s="201" t="e">
        <f aca="false">IF(A81="","",G80)</f>
        <v>#N/A</v>
      </c>
      <c r="I80" s="202"/>
      <c r="J80" s="200" t="e">
        <f aca="false">IF($A81="","",VLOOKUP($A80,Table,MATCH(J$4,Curves,0)))</f>
        <v>#N/A</v>
      </c>
      <c r="K80" s="201" t="e">
        <f aca="false">IF(A81="","",J80)</f>
        <v>#N/A</v>
      </c>
      <c r="L80" s="200" t="e">
        <f aca="false">IF($A81="","",VLOOKUP($A80,Table,MATCH(L$4,Curves,0)))</f>
        <v>#N/A</v>
      </c>
      <c r="M80" s="201" t="e">
        <f aca="false">IF(A81="","",L80)</f>
        <v>#N/A</v>
      </c>
      <c r="N80" s="203"/>
      <c r="O80" s="200" t="e">
        <f aca="false">IF(A81="","",L80+J80+G80)</f>
        <v>#N/A</v>
      </c>
      <c r="P80" s="200" t="e">
        <f aca="false">IF(A81="","",M80+K80+H80)</f>
        <v>#N/A</v>
      </c>
      <c r="Q80" s="204"/>
      <c r="R80" s="200" t="e">
        <f aca="false">IF($A81="","",VLOOKUP($A80,Table,MATCH(R$4,Curves,0)))</f>
        <v>#N/A</v>
      </c>
      <c r="S80" s="201" t="e">
        <f aca="false">IF(A81="","",R80)</f>
        <v>#N/A</v>
      </c>
      <c r="T80" s="185" t="n">
        <v>0</v>
      </c>
      <c r="U80" s="201" t="n">
        <f aca="false">IF(A81="","",T80)</f>
        <v>0</v>
      </c>
      <c r="V80" s="205" t="e">
        <f aca="false">IF($A81="","",IF(AND(MONTH(A80)&gt;3,MONTH(A80)&lt;11),(T80+R80+G80)*Summary!$T$11/(1-Summary!$T$11),(T80+R80+G80)*Summary!$U$11/(1-Summary!$U$11)))</f>
        <v>#N/A</v>
      </c>
      <c r="W80" s="202" t="e">
        <f aca="false">IF($A81="","",(T80+R80+G80+V80))</f>
        <v>#N/A</v>
      </c>
      <c r="X80" s="202" t="e">
        <f aca="false">IF($A81="","",(U80+S80+H80+V80))</f>
        <v>#N/A</v>
      </c>
      <c r="Y80" s="202"/>
      <c r="Z80" s="185" t="e">
        <f aca="false">IF($A81="","",VLOOKUP($A80,Table,MATCH(Z$4,Curves,0)))</f>
        <v>#N/A</v>
      </c>
      <c r="AA80" s="185" t="e">
        <f aca="false">IF($A81="","",VLOOKUP($A80,Table,MATCH(AA$4,Curves,0)))</f>
        <v>#N/A</v>
      </c>
      <c r="AB80" s="185" t="e">
        <f aca="false">SQRT((AA80^2*(A80-$D$3)+Z80^2*(DAY(EOMONTH(A80,0))/2))/AK80)</f>
        <v>#N/A</v>
      </c>
      <c r="AC80" s="185" t="e">
        <f aca="false">IF($A81="","",VLOOKUP($A80,Table,MATCH(AC$4,Curves,0)))</f>
        <v>#N/A</v>
      </c>
      <c r="AD80" s="185" t="e">
        <f aca="false">IF($A81="","",VLOOKUP($A80,Table,MATCH(AD$4,Curves,0)))</f>
        <v>#N/A</v>
      </c>
      <c r="AE80" s="185" t="e">
        <f aca="false">SQRT((AD80^2*(A80-$D$3)+AC80^2*(DAY(EOMONTH(A80,0))/2))/AK80)</f>
        <v>#N/A</v>
      </c>
      <c r="AF80" s="206" t="e">
        <f aca="false">((Summary!$N$11*(AA80*AD80)*(A80-$D$3))+(Summary!$M$11*Z80*AC80*(AJ80-EOMONTH(EDATE(A80,-1),0))))/(AK80*AB80*AE80)</f>
        <v>#N/A</v>
      </c>
      <c r="AG80" s="207" t="n">
        <f aca="false">IF($A81="","",Summary!$Q$11)</f>
        <v>0</v>
      </c>
      <c r="AH80" s="207" t="n">
        <f aca="false">IF($A81="","",IF(Summary!$R$11="Y",(VLOOKUP($A80,Summary!$AD$6:$AF$9,3)+'Escalating commodity'!G93),'Escalating commodity'!G93))</f>
        <v>0.00547282778586367</v>
      </c>
      <c r="AI80" s="207" t="n">
        <f aca="false">IF($A81="","",AH80)</f>
        <v>0.00547282778586367</v>
      </c>
      <c r="AJ80" s="208" t="n">
        <f aca="false">A80+DAY(EOMONTH(A80,0))/2-1</f>
        <v>39187</v>
      </c>
      <c r="AK80" s="209" t="n">
        <f aca="false">IF($A81="","",$A80-$E$1)</f>
        <v>-6753</v>
      </c>
      <c r="AL80" s="182" t="e">
        <f aca="false">IF($A81="","",SPRDOPT(P80,X80,AI80,0,AB80,AE80,AF80,AK80,$AJ$2,0))</f>
        <v>#NAME?</v>
      </c>
      <c r="AM80" s="210" t="e">
        <f aca="false">IF($A81="","",MAX(0,O80-W80-AI80))</f>
        <v>#N/A</v>
      </c>
      <c r="AN80" s="211" t="e">
        <f aca="false">IF($A81="","",AL80-AM80)</f>
        <v>#N/A</v>
      </c>
      <c r="AO80" s="137" t="n">
        <f aca="false">IF(A81="","",A81-A80)</f>
        <v>30</v>
      </c>
      <c r="AP80" s="212" t="n">
        <f aca="false">IF(A81="","",CHOOSE(F$3,A81+24,A80))</f>
        <v>39173</v>
      </c>
      <c r="AQ80" s="209" t="n">
        <f aca="false">IF(A81="","",AP80-$E$1)</f>
        <v>-6753</v>
      </c>
      <c r="AR80" s="185" t="n">
        <f aca="false">'ANR OK vs ML7'!AR80</f>
        <v>0.1</v>
      </c>
      <c r="AS80" s="213" t="n">
        <f aca="false">IF(A81="","",1/(1+CHOOSE(F$3,(AR81+($I$3/10000))/2,(AR80+($I$3/10000))/2))^(2*AQ80/365.25))</f>
        <v>6.07470870150031</v>
      </c>
      <c r="AT80" s="137" t="n">
        <f aca="false">IF(A81="","",IF(AND(mthbeg&lt;=A80,mthend&gt;=A80),1,0))</f>
        <v>1</v>
      </c>
      <c r="AU80" s="137" t="n">
        <f aca="false">IF(A81="","",AO80*AT80)</f>
        <v>30</v>
      </c>
      <c r="AW80" s="195" t="e">
        <f aca="false">IF($A81="","",AL80*$E80)</f>
        <v>#NAME?</v>
      </c>
      <c r="AX80" s="195" t="e">
        <f aca="false">IF($A81="","",AM80*$E80)</f>
        <v>#N/A</v>
      </c>
      <c r="AY80" s="195" t="e">
        <f aca="false">IF($A81="","",AN80*$E80)</f>
        <v>#N/A</v>
      </c>
      <c r="BA80" s="195" t="n">
        <f aca="false">IF($A81="","",F80*Summary!$Q$11)</f>
        <v>0</v>
      </c>
      <c r="BC80" s="179" t="e">
        <f aca="false">IF(A81="","",AM80*F80)</f>
        <v>#N/A</v>
      </c>
    </row>
    <row r="81" customFormat="false" ht="12.75" hidden="false" customHeight="false" outlineLevel="0" collapsed="false">
      <c r="A81" s="196" t="n">
        <f aca="false">IF(A80&lt;mthend,EDATE(A80,1),"")</f>
        <v>39203</v>
      </c>
      <c r="B81" s="197" t="n">
        <f aca="false">IF(A81&lt;mthend,B80,"")</f>
        <v>124142</v>
      </c>
      <c r="C81" s="215"/>
      <c r="D81" s="197" t="n">
        <f aca="false">IF(A82&lt;&gt;"",B81+C81,"")</f>
        <v>124142</v>
      </c>
      <c r="E81" s="199" t="n">
        <f aca="false">IF(A82="","",IF(AND(AT81=1,$H$3=1),D81*AO81,IF($H$3=2,D81,"N/A")))</f>
        <v>3848402</v>
      </c>
      <c r="F81" s="199" t="n">
        <f aca="false">IF(A82="","",E81*AS81)</f>
        <v>23191300.3525833</v>
      </c>
      <c r="G81" s="200" t="e">
        <f aca="false">IF($A82="","",VLOOKUP($A81,Table,MATCH(G$4,Curves,0)))</f>
        <v>#N/A</v>
      </c>
      <c r="H81" s="201" t="e">
        <f aca="false">IF(A82="","",G81)</f>
        <v>#N/A</v>
      </c>
      <c r="I81" s="202"/>
      <c r="J81" s="200" t="e">
        <f aca="false">IF($A82="","",VLOOKUP($A81,Table,MATCH(J$4,Curves,0)))</f>
        <v>#N/A</v>
      </c>
      <c r="K81" s="201" t="e">
        <f aca="false">IF(A82="","",J81)</f>
        <v>#N/A</v>
      </c>
      <c r="L81" s="200" t="e">
        <f aca="false">IF($A82="","",VLOOKUP($A81,Table,MATCH(L$4,Curves,0)))</f>
        <v>#N/A</v>
      </c>
      <c r="M81" s="201" t="e">
        <f aca="false">IF(A82="","",L81)</f>
        <v>#N/A</v>
      </c>
      <c r="N81" s="203"/>
      <c r="O81" s="200" t="e">
        <f aca="false">IF(A82="","",L81+J81+G81)</f>
        <v>#N/A</v>
      </c>
      <c r="P81" s="200" t="e">
        <f aca="false">IF(A82="","",M81+K81+H81)</f>
        <v>#N/A</v>
      </c>
      <c r="Q81" s="204"/>
      <c r="R81" s="200" t="e">
        <f aca="false">IF($A82="","",VLOOKUP($A81,Table,MATCH(R$4,Curves,0)))</f>
        <v>#N/A</v>
      </c>
      <c r="S81" s="201" t="e">
        <f aca="false">IF(A82="","",R81)</f>
        <v>#N/A</v>
      </c>
      <c r="T81" s="185" t="n">
        <v>0</v>
      </c>
      <c r="U81" s="201" t="n">
        <f aca="false">IF(A82="","",T81)</f>
        <v>0</v>
      </c>
      <c r="V81" s="205" t="e">
        <f aca="false">IF($A82="","",IF(AND(MONTH(A81)&gt;3,MONTH(A81)&lt;11),(T81+R81+G81)*Summary!$T$11/(1-Summary!$T$11),(T81+R81+G81)*Summary!$U$11/(1-Summary!$U$11)))</f>
        <v>#N/A</v>
      </c>
      <c r="W81" s="202" t="e">
        <f aca="false">IF($A82="","",(T81+R81+G81+V81))</f>
        <v>#N/A</v>
      </c>
      <c r="X81" s="202" t="e">
        <f aca="false">IF($A82="","",(U81+S81+H81+V81))</f>
        <v>#N/A</v>
      </c>
      <c r="Y81" s="202"/>
      <c r="Z81" s="185" t="e">
        <f aca="false">IF($A82="","",VLOOKUP($A81,Table,MATCH(Z$4,Curves,0)))</f>
        <v>#N/A</v>
      </c>
      <c r="AA81" s="185" t="e">
        <f aca="false">IF($A82="","",VLOOKUP($A81,Table,MATCH(AA$4,Curves,0)))</f>
        <v>#N/A</v>
      </c>
      <c r="AB81" s="185" t="e">
        <f aca="false">SQRT((AA81^2*(A81-$D$3)+Z81^2*(DAY(EOMONTH(A81,0))/2))/AK81)</f>
        <v>#N/A</v>
      </c>
      <c r="AC81" s="185" t="e">
        <f aca="false">IF($A82="","",VLOOKUP($A81,Table,MATCH(AC$4,Curves,0)))</f>
        <v>#N/A</v>
      </c>
      <c r="AD81" s="185" t="e">
        <f aca="false">IF($A82="","",VLOOKUP($A81,Table,MATCH(AD$4,Curves,0)))</f>
        <v>#N/A</v>
      </c>
      <c r="AE81" s="185" t="e">
        <f aca="false">SQRT((AD81^2*(A81-$D$3)+AC81^2*(DAY(EOMONTH(A81,0))/2))/AK81)</f>
        <v>#N/A</v>
      </c>
      <c r="AF81" s="206" t="e">
        <f aca="false">((Summary!$N$11*(AA81*AD81)*(A81-$D$3))+(Summary!$M$11*Z81*AC81*(AJ81-EOMONTH(EDATE(A81,-1),0))))/(AK81*AB81*AE81)</f>
        <v>#N/A</v>
      </c>
      <c r="AG81" s="207" t="n">
        <f aca="false">IF($A82="","",Summary!$Q$11)</f>
        <v>0</v>
      </c>
      <c r="AH81" s="207" t="n">
        <f aca="false">IF($A82="","",IF(Summary!$R$11="Y",(VLOOKUP($A81,Summary!$AD$6:$AF$9,3)+'Escalating commodity'!G94),'Escalating commodity'!G94))</f>
        <v>0.00547282778586367</v>
      </c>
      <c r="AI81" s="207" t="n">
        <f aca="false">IF($A82="","",AH81)</f>
        <v>0.00547282778586367</v>
      </c>
      <c r="AJ81" s="208" t="n">
        <f aca="false">A81+DAY(EOMONTH(A81,0))/2-1</f>
        <v>39217.5</v>
      </c>
      <c r="AK81" s="209" t="n">
        <f aca="false">IF($A82="","",$A81-$E$1)</f>
        <v>-6723</v>
      </c>
      <c r="AL81" s="182" t="e">
        <f aca="false">IF($A82="","",SPRDOPT(P81,X81,AI81,0,AB81,AE81,AF81,AK81,$AJ$2,0))</f>
        <v>#NAME?</v>
      </c>
      <c r="AM81" s="210" t="e">
        <f aca="false">IF($A82="","",MAX(0,O81-W81-AI81))</f>
        <v>#N/A</v>
      </c>
      <c r="AN81" s="211" t="e">
        <f aca="false">IF($A82="","",AL81-AM81)</f>
        <v>#N/A</v>
      </c>
      <c r="AO81" s="137" t="n">
        <f aca="false">IF(A82="","",A82-A81)</f>
        <v>31</v>
      </c>
      <c r="AP81" s="212" t="n">
        <f aca="false">IF(A82="","",CHOOSE(F$3,A82+24,A81))</f>
        <v>39203</v>
      </c>
      <c r="AQ81" s="209" t="n">
        <f aca="false">IF(A82="","",AP81-$E$1)</f>
        <v>-6723</v>
      </c>
      <c r="AR81" s="185" t="n">
        <f aca="false">'ANR OK vs ML7'!AR81</f>
        <v>0.1</v>
      </c>
      <c r="AS81" s="213" t="n">
        <f aca="false">IF(A82="","",1/(1+CHOOSE(F$3,(AR82+($I$3/10000))/2,(AR81+($I$3/10000))/2))^(2*AQ81/365.25))</f>
        <v>6.02621564810102</v>
      </c>
      <c r="AT81" s="137" t="n">
        <f aca="false">IF(A82="","",IF(AND(mthbeg&lt;=A81,mthend&gt;=A81),1,0))</f>
        <v>1</v>
      </c>
      <c r="AU81" s="137" t="n">
        <f aca="false">IF(A82="","",AO81*AT81)</f>
        <v>31</v>
      </c>
      <c r="AW81" s="195" t="e">
        <f aca="false">IF($A82="","",AL81*$E81)</f>
        <v>#NAME?</v>
      </c>
      <c r="AX81" s="195" t="e">
        <f aca="false">IF($A82="","",AM81*$E81)</f>
        <v>#N/A</v>
      </c>
      <c r="AY81" s="195" t="e">
        <f aca="false">IF($A82="","",AN81*$E81)</f>
        <v>#N/A</v>
      </c>
      <c r="BA81" s="195" t="n">
        <f aca="false">IF($A82="","",F81*Summary!$Q$11)</f>
        <v>0</v>
      </c>
      <c r="BC81" s="179" t="e">
        <f aca="false">IF(A82="","",AM81*F81)</f>
        <v>#N/A</v>
      </c>
    </row>
    <row r="82" customFormat="false" ht="12.75" hidden="false" customHeight="false" outlineLevel="0" collapsed="false">
      <c r="A82" s="196" t="n">
        <f aca="false">IF(A81&lt;mthend,EDATE(A81,1),"")</f>
        <v>39234</v>
      </c>
      <c r="B82" s="197" t="n">
        <f aca="false">IF(A82&lt;mthend,B81,"")</f>
        <v>124142</v>
      </c>
      <c r="C82" s="215"/>
      <c r="D82" s="197" t="n">
        <f aca="false">IF(A83&lt;&gt;"",B82+C82,"")</f>
        <v>124142</v>
      </c>
      <c r="E82" s="199" t="n">
        <f aca="false">IF(A83="","",IF(AND(AT82=1,$H$3=1),D82*AO82,IF($H$3=2,D82,"N/A")))</f>
        <v>3724260</v>
      </c>
      <c r="F82" s="199" t="n">
        <f aca="false">IF(A83="","",E82*AS82)</f>
        <v>22258087.5727136</v>
      </c>
      <c r="G82" s="200" t="e">
        <f aca="false">IF($A83="","",VLOOKUP($A82,Table,MATCH(G$4,Curves,0)))</f>
        <v>#N/A</v>
      </c>
      <c r="H82" s="201" t="e">
        <f aca="false">IF(A83="","",G82)</f>
        <v>#N/A</v>
      </c>
      <c r="I82" s="202"/>
      <c r="J82" s="200" t="e">
        <f aca="false">IF($A83="","",VLOOKUP($A82,Table,MATCH(J$4,Curves,0)))</f>
        <v>#N/A</v>
      </c>
      <c r="K82" s="201" t="e">
        <f aca="false">IF(A83="","",J82)</f>
        <v>#N/A</v>
      </c>
      <c r="L82" s="200" t="e">
        <f aca="false">IF($A83="","",VLOOKUP($A82,Table,MATCH(L$4,Curves,0)))</f>
        <v>#N/A</v>
      </c>
      <c r="M82" s="201" t="e">
        <f aca="false">IF(A83="","",L82)</f>
        <v>#N/A</v>
      </c>
      <c r="N82" s="203"/>
      <c r="O82" s="200" t="e">
        <f aca="false">IF(A83="","",L82+J82+G82)</f>
        <v>#N/A</v>
      </c>
      <c r="P82" s="200" t="e">
        <f aca="false">IF(A83="","",M82+K82+H82)</f>
        <v>#N/A</v>
      </c>
      <c r="Q82" s="204"/>
      <c r="R82" s="200" t="e">
        <f aca="false">IF($A83="","",VLOOKUP($A82,Table,MATCH(R$4,Curves,0)))</f>
        <v>#N/A</v>
      </c>
      <c r="S82" s="201" t="e">
        <f aca="false">IF(A83="","",R82)</f>
        <v>#N/A</v>
      </c>
      <c r="T82" s="185" t="n">
        <v>0</v>
      </c>
      <c r="U82" s="201" t="n">
        <f aca="false">IF(A83="","",T82)</f>
        <v>0</v>
      </c>
      <c r="V82" s="205" t="e">
        <f aca="false">IF($A83="","",IF(AND(MONTH(A82)&gt;3,MONTH(A82)&lt;11),(T82+R82+G82)*Summary!$T$11/(1-Summary!$T$11),(T82+R82+G82)*Summary!$U$11/(1-Summary!$U$11)))</f>
        <v>#N/A</v>
      </c>
      <c r="W82" s="202" t="e">
        <f aca="false">IF($A83="","",(T82+R82+G82+V82))</f>
        <v>#N/A</v>
      </c>
      <c r="X82" s="202" t="e">
        <f aca="false">IF($A83="","",(U82+S82+H82+V82))</f>
        <v>#N/A</v>
      </c>
      <c r="Y82" s="202"/>
      <c r="Z82" s="185" t="e">
        <f aca="false">IF($A83="","",VLOOKUP($A82,Table,MATCH(Z$4,Curves,0)))</f>
        <v>#N/A</v>
      </c>
      <c r="AA82" s="185" t="e">
        <f aca="false">IF($A83="","",VLOOKUP($A82,Table,MATCH(AA$4,Curves,0)))</f>
        <v>#N/A</v>
      </c>
      <c r="AB82" s="185" t="e">
        <f aca="false">SQRT((AA82^2*(A82-$D$3)+Z82^2*(DAY(EOMONTH(A82,0))/2))/AK82)</f>
        <v>#N/A</v>
      </c>
      <c r="AC82" s="185" t="e">
        <f aca="false">IF($A83="","",VLOOKUP($A82,Table,MATCH(AC$4,Curves,0)))</f>
        <v>#N/A</v>
      </c>
      <c r="AD82" s="185" t="e">
        <f aca="false">IF($A83="","",VLOOKUP($A82,Table,MATCH(AD$4,Curves,0)))</f>
        <v>#N/A</v>
      </c>
      <c r="AE82" s="185" t="e">
        <f aca="false">SQRT((AD82^2*(A82-$D$3)+AC82^2*(DAY(EOMONTH(A82,0))/2))/AK82)</f>
        <v>#N/A</v>
      </c>
      <c r="AF82" s="206" t="e">
        <f aca="false">((Summary!$N$11*(AA82*AD82)*(A82-$D$3))+(Summary!$M$11*Z82*AC82*(AJ82-EOMONTH(EDATE(A82,-1),0))))/(AK82*AB82*AE82)</f>
        <v>#N/A</v>
      </c>
      <c r="AG82" s="207" t="n">
        <f aca="false">IF($A83="","",Summary!$Q$11)</f>
        <v>0</v>
      </c>
      <c r="AH82" s="207" t="n">
        <f aca="false">IF($A83="","",IF(Summary!$R$11="Y",(VLOOKUP($A82,Summary!$AD$6:$AF$9,3)+'Escalating commodity'!G95),'Escalating commodity'!G95))</f>
        <v>0.00547282778586367</v>
      </c>
      <c r="AI82" s="207" t="n">
        <f aca="false">IF($A83="","",AH82)</f>
        <v>0.00547282778586367</v>
      </c>
      <c r="AJ82" s="208" t="n">
        <f aca="false">A82+DAY(EOMONTH(A82,0))/2-1</f>
        <v>39248</v>
      </c>
      <c r="AK82" s="209" t="n">
        <f aca="false">IF($A83="","",$A82-$E$1)</f>
        <v>-6692</v>
      </c>
      <c r="AL82" s="182" t="e">
        <f aca="false">IF($A83="","",SPRDOPT(P82,X82,AI82,0,AB82,AE82,AF82,AK82,$AJ$2,0))</f>
        <v>#NAME?</v>
      </c>
      <c r="AM82" s="210" t="e">
        <f aca="false">IF($A83="","",MAX(0,O82-W82-AI82))</f>
        <v>#N/A</v>
      </c>
      <c r="AN82" s="211" t="e">
        <f aca="false">IF($A83="","",AL82-AM82)</f>
        <v>#N/A</v>
      </c>
      <c r="AO82" s="137" t="n">
        <f aca="false">IF(A83="","",A83-A82)</f>
        <v>30</v>
      </c>
      <c r="AP82" s="212" t="n">
        <f aca="false">IF(A83="","",CHOOSE(F$3,A83+24,A82))</f>
        <v>39234</v>
      </c>
      <c r="AQ82" s="209" t="n">
        <f aca="false">IF(A83="","",AP82-$E$1)</f>
        <v>-6692</v>
      </c>
      <c r="AR82" s="185" t="n">
        <f aca="false">'ANR OK vs ML7'!AR82</f>
        <v>0.1</v>
      </c>
      <c r="AS82" s="213" t="n">
        <f aca="false">IF(A83="","",1/(1+CHOOSE(F$3,(AR83+($I$3/10000))/2,(AR82+($I$3/10000))/2))^(2*AQ82/365.25))</f>
        <v>5.97651280327195</v>
      </c>
      <c r="AT82" s="137" t="n">
        <f aca="false">IF(A83="","",IF(AND(mthbeg&lt;=A82,mthend&gt;=A82),1,0))</f>
        <v>1</v>
      </c>
      <c r="AU82" s="137" t="n">
        <f aca="false">IF(A83="","",AO82*AT82)</f>
        <v>30</v>
      </c>
      <c r="AW82" s="195" t="e">
        <f aca="false">IF($A83="","",AL82*$E82)</f>
        <v>#NAME?</v>
      </c>
      <c r="AX82" s="195" t="e">
        <f aca="false">IF($A83="","",AM82*$E82)</f>
        <v>#N/A</v>
      </c>
      <c r="AY82" s="195" t="e">
        <f aca="false">IF($A83="","",AN82*$E82)</f>
        <v>#N/A</v>
      </c>
      <c r="BA82" s="195" t="n">
        <f aca="false">IF($A83="","",F82*Summary!$Q$11)</f>
        <v>0</v>
      </c>
      <c r="BC82" s="179" t="e">
        <f aca="false">IF(A83="","",AM82*F82)</f>
        <v>#N/A</v>
      </c>
    </row>
    <row r="83" customFormat="false" ht="12.75" hidden="false" customHeight="false" outlineLevel="0" collapsed="false">
      <c r="A83" s="196" t="n">
        <f aca="false">IF(A82&lt;mthend,EDATE(A82,1),"")</f>
        <v>39264</v>
      </c>
      <c r="B83" s="197" t="n">
        <f aca="false">IF(A83&lt;mthend,B82,"")</f>
        <v>124142</v>
      </c>
      <c r="C83" s="215"/>
      <c r="D83" s="197" t="n">
        <f aca="false">IF(A84&lt;&gt;"",B83+C83,"")</f>
        <v>124142</v>
      </c>
      <c r="E83" s="199" t="n">
        <f aca="false">IF(A84="","",IF(AND(AT83=1,$H$3=1),D83*AO83,IF($H$3=2,D83,"N/A")))</f>
        <v>3848402</v>
      </c>
      <c r="F83" s="199" t="n">
        <f aca="false">IF(A84="","",E83*AS83)</f>
        <v>22816419.7317819</v>
      </c>
      <c r="G83" s="200" t="e">
        <f aca="false">IF($A84="","",VLOOKUP($A83,Table,MATCH(G$4,Curves,0)))</f>
        <v>#N/A</v>
      </c>
      <c r="H83" s="201" t="e">
        <f aca="false">IF(A84="","",G83)</f>
        <v>#N/A</v>
      </c>
      <c r="I83" s="202"/>
      <c r="J83" s="200" t="e">
        <f aca="false">IF($A84="","",VLOOKUP($A83,Table,MATCH(J$4,Curves,0)))</f>
        <v>#N/A</v>
      </c>
      <c r="K83" s="201" t="e">
        <f aca="false">IF(A84="","",J83)</f>
        <v>#N/A</v>
      </c>
      <c r="L83" s="200" t="e">
        <f aca="false">IF($A84="","",VLOOKUP($A83,Table,MATCH(L$4,Curves,0)))</f>
        <v>#N/A</v>
      </c>
      <c r="M83" s="201" t="e">
        <f aca="false">IF(A84="","",L83)</f>
        <v>#N/A</v>
      </c>
      <c r="N83" s="203"/>
      <c r="O83" s="200" t="e">
        <f aca="false">IF(A84="","",L83+J83+G83)</f>
        <v>#N/A</v>
      </c>
      <c r="P83" s="200" t="e">
        <f aca="false">IF(A84="","",M83+K83+H83)</f>
        <v>#N/A</v>
      </c>
      <c r="Q83" s="204"/>
      <c r="R83" s="200" t="e">
        <f aca="false">IF($A84="","",VLOOKUP($A83,Table,MATCH(R$4,Curves,0)))</f>
        <v>#N/A</v>
      </c>
      <c r="S83" s="201" t="e">
        <f aca="false">IF(A84="","",R83)</f>
        <v>#N/A</v>
      </c>
      <c r="T83" s="185" t="n">
        <v>0</v>
      </c>
      <c r="U83" s="201" t="n">
        <f aca="false">IF(A84="","",T83)</f>
        <v>0</v>
      </c>
      <c r="V83" s="205" t="e">
        <f aca="false">IF($A84="","",IF(AND(MONTH(A83)&gt;3,MONTH(A83)&lt;11),(T83+R83+G83)*Summary!$T$11/(1-Summary!$T$11),(T83+R83+G83)*Summary!$U$11/(1-Summary!$U$11)))</f>
        <v>#N/A</v>
      </c>
      <c r="W83" s="202" t="e">
        <f aca="false">IF($A84="","",(T83+R83+G83+V83))</f>
        <v>#N/A</v>
      </c>
      <c r="X83" s="202" t="e">
        <f aca="false">IF($A84="","",(U83+S83+H83+V83))</f>
        <v>#N/A</v>
      </c>
      <c r="Y83" s="202"/>
      <c r="Z83" s="185" t="e">
        <f aca="false">IF($A84="","",VLOOKUP($A83,Table,MATCH(Z$4,Curves,0)))</f>
        <v>#N/A</v>
      </c>
      <c r="AA83" s="185" t="e">
        <f aca="false">IF($A84="","",VLOOKUP($A83,Table,MATCH(AA$4,Curves,0)))</f>
        <v>#N/A</v>
      </c>
      <c r="AB83" s="185" t="e">
        <f aca="false">SQRT((AA83^2*(A83-$D$3)+Z83^2*(DAY(EOMONTH(A83,0))/2))/AK83)</f>
        <v>#N/A</v>
      </c>
      <c r="AC83" s="185" t="e">
        <f aca="false">IF($A84="","",VLOOKUP($A83,Table,MATCH(AC$4,Curves,0)))</f>
        <v>#N/A</v>
      </c>
      <c r="AD83" s="185" t="e">
        <f aca="false">IF($A84="","",VLOOKUP($A83,Table,MATCH(AD$4,Curves,0)))</f>
        <v>#N/A</v>
      </c>
      <c r="AE83" s="185" t="e">
        <f aca="false">SQRT((AD83^2*(A83-$D$3)+AC83^2*(DAY(EOMONTH(A83,0))/2))/AK83)</f>
        <v>#N/A</v>
      </c>
      <c r="AF83" s="206" t="e">
        <f aca="false">((Summary!$N$11*(AA83*AD83)*(A83-$D$3))+(Summary!$M$11*Z83*AC83*(AJ83-EOMONTH(EDATE(A83,-1),0))))/(AK83*AB83*AE83)</f>
        <v>#N/A</v>
      </c>
      <c r="AG83" s="207" t="n">
        <f aca="false">IF($A84="","",Summary!$Q$11)</f>
        <v>0</v>
      </c>
      <c r="AH83" s="207" t="n">
        <f aca="false">IF($A84="","",IF(Summary!$R$11="Y",(VLOOKUP($A83,Summary!$AD$6:$AF$9,3)+'Escalating commodity'!G96),'Escalating commodity'!G96))</f>
        <v>0.00547282778586367</v>
      </c>
      <c r="AI83" s="207" t="n">
        <f aca="false">IF($A84="","",AH83)</f>
        <v>0.00547282778586367</v>
      </c>
      <c r="AJ83" s="208" t="n">
        <f aca="false">A83+DAY(EOMONTH(A83,0))/2-1</f>
        <v>39278.5</v>
      </c>
      <c r="AK83" s="209" t="n">
        <f aca="false">IF($A84="","",$A83-$E$1)</f>
        <v>-6662</v>
      </c>
      <c r="AL83" s="182" t="e">
        <f aca="false">IF($A84="","",SPRDOPT(P83,X83,AI83,0,AB83,AE83,AF83,AK83,$AJ$2,0))</f>
        <v>#NAME?</v>
      </c>
      <c r="AM83" s="210" t="e">
        <f aca="false">IF($A84="","",MAX(0,O83-W83-AI83))</f>
        <v>#N/A</v>
      </c>
      <c r="AN83" s="211" t="e">
        <f aca="false">IF($A84="","",AL83-AM83)</f>
        <v>#N/A</v>
      </c>
      <c r="AO83" s="137" t="n">
        <f aca="false">IF(A84="","",A84-A83)</f>
        <v>31</v>
      </c>
      <c r="AP83" s="212" t="n">
        <f aca="false">IF(A84="","",CHOOSE(F$3,A84+24,A83))</f>
        <v>39264</v>
      </c>
      <c r="AQ83" s="209" t="n">
        <f aca="false">IF(A84="","",AP83-$E$1)</f>
        <v>-6662</v>
      </c>
      <c r="AR83" s="185" t="n">
        <f aca="false">'ANR OK vs ML7'!AR83</f>
        <v>0.1</v>
      </c>
      <c r="AS83" s="213" t="n">
        <f aca="false">IF(A84="","",1/(1+CHOOSE(F$3,(AR84+($I$3/10000))/2,(AR83+($I$3/10000))/2))^(2*AQ83/365.25))</f>
        <v>5.92880362596785</v>
      </c>
      <c r="AT83" s="137" t="n">
        <f aca="false">IF(A84="","",IF(AND(mthbeg&lt;=A83,mthend&gt;=A83),1,0))</f>
        <v>1</v>
      </c>
      <c r="AU83" s="137" t="n">
        <f aca="false">IF(A84="","",AO83*AT83)</f>
        <v>31</v>
      </c>
      <c r="AW83" s="195" t="e">
        <f aca="false">IF($A84="","",AL83*$E83)</f>
        <v>#NAME?</v>
      </c>
      <c r="AX83" s="195" t="e">
        <f aca="false">IF($A84="","",AM83*$E83)</f>
        <v>#N/A</v>
      </c>
      <c r="AY83" s="195" t="e">
        <f aca="false">IF($A84="","",AN83*$E83)</f>
        <v>#N/A</v>
      </c>
      <c r="BA83" s="195" t="n">
        <f aca="false">IF($A84="","",F83*Summary!$Q$11)</f>
        <v>0</v>
      </c>
      <c r="BC83" s="179" t="e">
        <f aca="false">IF(A84="","",AM83*F83)</f>
        <v>#N/A</v>
      </c>
    </row>
    <row r="84" customFormat="false" ht="12.75" hidden="false" customHeight="false" outlineLevel="0" collapsed="false">
      <c r="A84" s="196" t="n">
        <f aca="false">IF(A83&lt;mthend,EDATE(A83,1),"")</f>
        <v>39295</v>
      </c>
      <c r="B84" s="197" t="n">
        <f aca="false">IF(A84&lt;mthend,B83,"")</f>
        <v>124142</v>
      </c>
      <c r="C84" s="215"/>
      <c r="D84" s="197" t="n">
        <f aca="false">IF(A85&lt;&gt;"",B84+C84,"")</f>
        <v>124142</v>
      </c>
      <c r="E84" s="199" t="n">
        <f aca="false">IF(A85="","",IF(AND(AT84=1,$H$3=1),D84*AO84,IF($H$3=2,D84,"N/A")))</f>
        <v>3848402</v>
      </c>
      <c r="F84" s="199" t="n">
        <f aca="false">IF(A85="","",E84*AS84)</f>
        <v>22628235.1337347</v>
      </c>
      <c r="G84" s="200" t="e">
        <f aca="false">IF($A85="","",VLOOKUP($A84,Table,MATCH(G$4,Curves,0)))</f>
        <v>#N/A</v>
      </c>
      <c r="H84" s="201" t="e">
        <f aca="false">IF(A85="","",G84)</f>
        <v>#N/A</v>
      </c>
      <c r="I84" s="202"/>
      <c r="J84" s="200" t="e">
        <f aca="false">IF($A85="","",VLOOKUP($A84,Table,MATCH(J$4,Curves,0)))</f>
        <v>#N/A</v>
      </c>
      <c r="K84" s="201" t="e">
        <f aca="false">IF(A85="","",J84)</f>
        <v>#N/A</v>
      </c>
      <c r="L84" s="200" t="e">
        <f aca="false">IF($A85="","",VLOOKUP($A84,Table,MATCH(L$4,Curves,0)))</f>
        <v>#N/A</v>
      </c>
      <c r="M84" s="201" t="e">
        <f aca="false">IF(A85="","",L84)</f>
        <v>#N/A</v>
      </c>
      <c r="N84" s="203"/>
      <c r="O84" s="200" t="e">
        <f aca="false">IF(A85="","",L84+J84+G84)</f>
        <v>#N/A</v>
      </c>
      <c r="P84" s="200" t="e">
        <f aca="false">IF(A85="","",M84+K84+H84)</f>
        <v>#N/A</v>
      </c>
      <c r="Q84" s="204"/>
      <c r="R84" s="200" t="e">
        <f aca="false">IF($A85="","",VLOOKUP($A84,Table,MATCH(R$4,Curves,0)))</f>
        <v>#N/A</v>
      </c>
      <c r="S84" s="201" t="e">
        <f aca="false">IF(A85="","",R84)</f>
        <v>#N/A</v>
      </c>
      <c r="T84" s="185" t="n">
        <v>0</v>
      </c>
      <c r="U84" s="201" t="n">
        <f aca="false">IF(A85="","",T84)</f>
        <v>0</v>
      </c>
      <c r="V84" s="205" t="e">
        <f aca="false">IF($A85="","",IF(AND(MONTH(A84)&gt;3,MONTH(A84)&lt;11),(T84+R84+G84)*Summary!$T$11/(1-Summary!$T$11),(T84+R84+G84)*Summary!$U$11/(1-Summary!$U$11)))</f>
        <v>#N/A</v>
      </c>
      <c r="W84" s="202" t="e">
        <f aca="false">IF($A85="","",(T84+R84+G84+V84))</f>
        <v>#N/A</v>
      </c>
      <c r="X84" s="202" t="e">
        <f aca="false">IF($A85="","",(U84+S84+H84+V84))</f>
        <v>#N/A</v>
      </c>
      <c r="Y84" s="202"/>
      <c r="Z84" s="185" t="e">
        <f aca="false">IF($A85="","",VLOOKUP($A84,Table,MATCH(Z$4,Curves,0)))</f>
        <v>#N/A</v>
      </c>
      <c r="AA84" s="185" t="e">
        <f aca="false">IF($A85="","",VLOOKUP($A84,Table,MATCH(AA$4,Curves,0)))</f>
        <v>#N/A</v>
      </c>
      <c r="AB84" s="185" t="e">
        <f aca="false">SQRT((AA84^2*(A84-$D$3)+Z84^2*(DAY(EOMONTH(A84,0))/2))/AK84)</f>
        <v>#N/A</v>
      </c>
      <c r="AC84" s="185" t="e">
        <f aca="false">IF($A85="","",VLOOKUP($A84,Table,MATCH(AC$4,Curves,0)))</f>
        <v>#N/A</v>
      </c>
      <c r="AD84" s="185" t="e">
        <f aca="false">IF($A85="","",VLOOKUP($A84,Table,MATCH(AD$4,Curves,0)))</f>
        <v>#N/A</v>
      </c>
      <c r="AE84" s="185" t="e">
        <f aca="false">SQRT((AD84^2*(A84-$D$3)+AC84^2*(DAY(EOMONTH(A84,0))/2))/AK84)</f>
        <v>#N/A</v>
      </c>
      <c r="AF84" s="206" t="e">
        <f aca="false">((Summary!$N$11*(AA84*AD84)*(A84-$D$3))+(Summary!$M$11*Z84*AC84*(AJ84-EOMONTH(EDATE(A84,-1),0))))/(AK84*AB84*AE84)</f>
        <v>#N/A</v>
      </c>
      <c r="AG84" s="207" t="n">
        <f aca="false">IF($A85="","",Summary!$Q$11)</f>
        <v>0</v>
      </c>
      <c r="AH84" s="207" t="n">
        <f aca="false">IF($A85="","",IF(Summary!$R$11="Y",(VLOOKUP($A84,Summary!$AD$6:$AF$9,3)+'Escalating commodity'!G97),'Escalating commodity'!G97))</f>
        <v>0.00547282778586367</v>
      </c>
      <c r="AI84" s="207" t="n">
        <f aca="false">IF($A85="","",AH84)</f>
        <v>0.00547282778586367</v>
      </c>
      <c r="AJ84" s="208" t="n">
        <f aca="false">A84+DAY(EOMONTH(A84,0))/2-1</f>
        <v>39309.5</v>
      </c>
      <c r="AK84" s="209" t="n">
        <f aca="false">IF($A85="","",$A84-$E$1)</f>
        <v>-6631</v>
      </c>
      <c r="AL84" s="182" t="e">
        <f aca="false">IF($A85="","",SPRDOPT(P84,X84,AI84,0,AB84,AE84,AF84,AK84,$AJ$2,0))</f>
        <v>#NAME?</v>
      </c>
      <c r="AM84" s="210" t="e">
        <f aca="false">IF($A85="","",MAX(0,O84-W84-AI84))</f>
        <v>#N/A</v>
      </c>
      <c r="AN84" s="211" t="e">
        <f aca="false">IF($A85="","",AL84-AM84)</f>
        <v>#N/A</v>
      </c>
      <c r="AO84" s="137" t="n">
        <f aca="false">IF(A85="","",A85-A84)</f>
        <v>31</v>
      </c>
      <c r="AP84" s="212" t="n">
        <f aca="false">IF(A85="","",CHOOSE(F$3,A85+24,A84))</f>
        <v>39295</v>
      </c>
      <c r="AQ84" s="209" t="n">
        <f aca="false">IF(A85="","",AP84-$E$1)</f>
        <v>-6631</v>
      </c>
      <c r="AR84" s="185" t="n">
        <f aca="false">'ANR OK vs ML7'!AR84</f>
        <v>0.1</v>
      </c>
      <c r="AS84" s="213" t="n">
        <f aca="false">IF(A85="","",1/(1+CHOOSE(F$3,(AR85+($I$3/10000))/2,(AR84+($I$3/10000))/2))^(2*AQ84/365.25))</f>
        <v>5.87990421316034</v>
      </c>
      <c r="AT84" s="137" t="n">
        <f aca="false">IF(A85="","",IF(AND(mthbeg&lt;=A84,mthend&gt;=A84),1,0))</f>
        <v>1</v>
      </c>
      <c r="AU84" s="137" t="n">
        <f aca="false">IF(A85="","",AO84*AT84)</f>
        <v>31</v>
      </c>
      <c r="AW84" s="195" t="e">
        <f aca="false">IF($A85="","",AL84*$E84)</f>
        <v>#NAME?</v>
      </c>
      <c r="AX84" s="195" t="e">
        <f aca="false">IF($A85="","",AM84*$E84)</f>
        <v>#N/A</v>
      </c>
      <c r="AY84" s="195" t="e">
        <f aca="false">IF($A85="","",AN84*$E84)</f>
        <v>#N/A</v>
      </c>
      <c r="BA84" s="195" t="n">
        <f aca="false">IF($A85="","",F84*Summary!$Q$11)</f>
        <v>0</v>
      </c>
      <c r="BC84" s="179" t="e">
        <f aca="false">IF(A85="","",AM84*F84)</f>
        <v>#N/A</v>
      </c>
    </row>
    <row r="85" customFormat="false" ht="12.75" hidden="false" customHeight="false" outlineLevel="0" collapsed="false">
      <c r="A85" s="196" t="n">
        <f aca="false">IF(A84&lt;mthend,EDATE(A84,1),"")</f>
        <v>39326</v>
      </c>
      <c r="B85" s="197" t="n">
        <f aca="false">IF(A85&lt;mthend,B84,"")</f>
        <v>124142</v>
      </c>
      <c r="C85" s="215"/>
      <c r="D85" s="197" t="n">
        <f aca="false">IF(A86&lt;&gt;"",B85+C85,"")</f>
        <v>124142</v>
      </c>
      <c r="E85" s="199" t="n">
        <f aca="false">IF(A86="","",IF(AND(AT85=1,$H$3=1),D85*AO85,IF($H$3=2,D85,"N/A")))</f>
        <v>3724260</v>
      </c>
      <c r="F85" s="199" t="n">
        <f aca="false">IF(A86="","",E85*AS85)</f>
        <v>21717679.9733232</v>
      </c>
      <c r="G85" s="200" t="e">
        <f aca="false">IF($A86="","",VLOOKUP($A85,Table,MATCH(G$4,Curves,0)))</f>
        <v>#N/A</v>
      </c>
      <c r="H85" s="201" t="e">
        <f aca="false">IF(A86="","",G85)</f>
        <v>#N/A</v>
      </c>
      <c r="I85" s="202"/>
      <c r="J85" s="200" t="e">
        <f aca="false">IF($A86="","",VLOOKUP($A85,Table,MATCH(J$4,Curves,0)))</f>
        <v>#N/A</v>
      </c>
      <c r="K85" s="201" t="e">
        <f aca="false">IF(A86="","",J85)</f>
        <v>#N/A</v>
      </c>
      <c r="L85" s="200" t="e">
        <f aca="false">IF($A86="","",VLOOKUP($A85,Table,MATCH(L$4,Curves,0)))</f>
        <v>#N/A</v>
      </c>
      <c r="M85" s="201" t="e">
        <f aca="false">IF(A86="","",L85)</f>
        <v>#N/A</v>
      </c>
      <c r="N85" s="203"/>
      <c r="O85" s="200" t="e">
        <f aca="false">IF(A86="","",L85+J85+G85)</f>
        <v>#N/A</v>
      </c>
      <c r="P85" s="200" t="e">
        <f aca="false">IF(A86="","",M85+K85+H85)</f>
        <v>#N/A</v>
      </c>
      <c r="Q85" s="204"/>
      <c r="R85" s="200" t="e">
        <f aca="false">IF($A86="","",VLOOKUP($A85,Table,MATCH(R$4,Curves,0)))</f>
        <v>#N/A</v>
      </c>
      <c r="S85" s="201" t="e">
        <f aca="false">IF(A86="","",R85)</f>
        <v>#N/A</v>
      </c>
      <c r="T85" s="185" t="n">
        <v>0</v>
      </c>
      <c r="U85" s="201" t="n">
        <f aca="false">IF(A86="","",T85)</f>
        <v>0</v>
      </c>
      <c r="V85" s="205" t="e">
        <f aca="false">IF($A86="","",IF(AND(MONTH(A85)&gt;3,MONTH(A85)&lt;11),(T85+R85+G85)*Summary!$T$11/(1-Summary!$T$11),(T85+R85+G85)*Summary!$U$11/(1-Summary!$U$11)))</f>
        <v>#N/A</v>
      </c>
      <c r="W85" s="202" t="e">
        <f aca="false">IF($A86="","",(T85+R85+G85+V85))</f>
        <v>#N/A</v>
      </c>
      <c r="X85" s="202" t="e">
        <f aca="false">IF($A86="","",(U85+S85+H85+V85))</f>
        <v>#N/A</v>
      </c>
      <c r="Y85" s="202"/>
      <c r="Z85" s="185" t="e">
        <f aca="false">IF($A86="","",VLOOKUP($A85,Table,MATCH(Z$4,Curves,0)))</f>
        <v>#N/A</v>
      </c>
      <c r="AA85" s="185" t="e">
        <f aca="false">IF($A86="","",VLOOKUP($A85,Table,MATCH(AA$4,Curves,0)))</f>
        <v>#N/A</v>
      </c>
      <c r="AB85" s="185" t="e">
        <f aca="false">SQRT((AA85^2*(A85-$D$3)+Z85^2*(DAY(EOMONTH(A85,0))/2))/AK85)</f>
        <v>#N/A</v>
      </c>
      <c r="AC85" s="185" t="e">
        <f aca="false">IF($A86="","",VLOOKUP($A85,Table,MATCH(AC$4,Curves,0)))</f>
        <v>#N/A</v>
      </c>
      <c r="AD85" s="185" t="e">
        <f aca="false">IF($A86="","",VLOOKUP($A85,Table,MATCH(AD$4,Curves,0)))</f>
        <v>#N/A</v>
      </c>
      <c r="AE85" s="185" t="e">
        <f aca="false">SQRT((AD85^2*(A85-$D$3)+AC85^2*(DAY(EOMONTH(A85,0))/2))/AK85)</f>
        <v>#N/A</v>
      </c>
      <c r="AF85" s="206" t="e">
        <f aca="false">((Summary!$N$11*(AA85*AD85)*(A85-$D$3))+(Summary!$M$11*Z85*AC85*(AJ85-EOMONTH(EDATE(A85,-1),0))))/(AK85*AB85*AE85)</f>
        <v>#N/A</v>
      </c>
      <c r="AG85" s="207" t="n">
        <f aca="false">IF($A86="","",Summary!$Q$11)</f>
        <v>0</v>
      </c>
      <c r="AH85" s="207" t="n">
        <f aca="false">IF($A86="","",IF(Summary!$R$11="Y",(VLOOKUP($A85,Summary!$AD$6:$AF$9,3)+'Escalating commodity'!G98),'Escalating commodity'!G98))</f>
        <v>0.00547282778586367</v>
      </c>
      <c r="AI85" s="207" t="n">
        <f aca="false">IF($A86="","",AH85)</f>
        <v>0.00547282778586367</v>
      </c>
      <c r="AJ85" s="208" t="n">
        <f aca="false">A85+DAY(EOMONTH(A85,0))/2-1</f>
        <v>39340</v>
      </c>
      <c r="AK85" s="209" t="n">
        <f aca="false">IF($A86="","",$A85-$E$1)</f>
        <v>-6600</v>
      </c>
      <c r="AL85" s="182" t="e">
        <f aca="false">IF($A86="","",SPRDOPT(P85,X85,AI85,0,AB85,AE85,AF85,AK85,$AJ$2,0))</f>
        <v>#NAME?</v>
      </c>
      <c r="AM85" s="210" t="e">
        <f aca="false">IF($A86="","",MAX(0,O85-W85-AI85))</f>
        <v>#N/A</v>
      </c>
      <c r="AN85" s="211" t="e">
        <f aca="false">IF($A86="","",AL85-AM85)</f>
        <v>#N/A</v>
      </c>
      <c r="AO85" s="137" t="n">
        <f aca="false">IF(A86="","",A86-A85)</f>
        <v>30</v>
      </c>
      <c r="AP85" s="212" t="n">
        <f aca="false">IF(A86="","",CHOOSE(F$3,A86+24,A85))</f>
        <v>39326</v>
      </c>
      <c r="AQ85" s="209" t="n">
        <f aca="false">IF(A86="","",AP85-$E$1)</f>
        <v>-6600</v>
      </c>
      <c r="AR85" s="185" t="n">
        <f aca="false">'ANR OK vs ML7'!AR85</f>
        <v>0.1</v>
      </c>
      <c r="AS85" s="213" t="n">
        <f aca="false">IF(A86="","",1/(1+CHOOSE(F$3,(AR86+($I$3/10000))/2,(AR85+($I$3/10000))/2))^(2*AQ85/365.25))</f>
        <v>5.83140811149684</v>
      </c>
      <c r="AT85" s="137" t="n">
        <f aca="false">IF(A86="","",IF(AND(mthbeg&lt;=A85,mthend&gt;=A85),1,0))</f>
        <v>1</v>
      </c>
      <c r="AU85" s="137" t="n">
        <f aca="false">IF(A86="","",AO85*AT85)</f>
        <v>30</v>
      </c>
      <c r="AW85" s="195" t="e">
        <f aca="false">IF($A86="","",AL85*$E85)</f>
        <v>#NAME?</v>
      </c>
      <c r="AX85" s="195" t="e">
        <f aca="false">IF($A86="","",AM85*$E85)</f>
        <v>#N/A</v>
      </c>
      <c r="AY85" s="195" t="e">
        <f aca="false">IF($A86="","",AN85*$E85)</f>
        <v>#N/A</v>
      </c>
      <c r="BA85" s="195" t="n">
        <f aca="false">IF($A86="","",F85*Summary!$Q$11)</f>
        <v>0</v>
      </c>
      <c r="BC85" s="179" t="e">
        <f aca="false">IF(A86="","",AM85*F85)</f>
        <v>#N/A</v>
      </c>
    </row>
    <row r="86" customFormat="false" ht="12.75" hidden="false" customHeight="false" outlineLevel="0" collapsed="false">
      <c r="A86" s="196" t="n">
        <f aca="false">IF(A85&lt;mthend,EDATE(A85,1),"")</f>
        <v>39356</v>
      </c>
      <c r="B86" s="197" t="n">
        <f aca="false">IF(A86&lt;mthend,B85,"")</f>
        <v>124142</v>
      </c>
      <c r="C86" s="215"/>
      <c r="D86" s="197" t="n">
        <f aca="false">IF(A87&lt;&gt;"",B86+C86,"")</f>
        <v>124142</v>
      </c>
      <c r="E86" s="199" t="n">
        <f aca="false">IF(A87="","",IF(AND(AT86=1,$H$3=1),D86*AO86,IF($H$3=2,D86,"N/A")))</f>
        <v>3848402</v>
      </c>
      <c r="F86" s="199" t="n">
        <f aca="false">IF(A87="","",E86*AS86)</f>
        <v>22262456.2983263</v>
      </c>
      <c r="G86" s="200" t="e">
        <f aca="false">IF($A87="","",VLOOKUP($A86,Table,MATCH(G$4,Curves,0)))</f>
        <v>#N/A</v>
      </c>
      <c r="H86" s="201" t="e">
        <f aca="false">IF(A87="","",G86)</f>
        <v>#N/A</v>
      </c>
      <c r="I86" s="202"/>
      <c r="J86" s="200" t="e">
        <f aca="false">IF($A87="","",VLOOKUP($A86,Table,MATCH(J$4,Curves,0)))</f>
        <v>#N/A</v>
      </c>
      <c r="K86" s="201" t="e">
        <f aca="false">IF(A87="","",J86)</f>
        <v>#N/A</v>
      </c>
      <c r="L86" s="200" t="e">
        <f aca="false">IF($A87="","",VLOOKUP($A86,Table,MATCH(L$4,Curves,0)))</f>
        <v>#N/A</v>
      </c>
      <c r="M86" s="201" t="e">
        <f aca="false">IF(A87="","",L86)</f>
        <v>#N/A</v>
      </c>
      <c r="N86" s="203"/>
      <c r="O86" s="200" t="e">
        <f aca="false">IF(A87="","",L86+J86+G86)</f>
        <v>#N/A</v>
      </c>
      <c r="P86" s="200" t="e">
        <f aca="false">IF(A87="","",M86+K86+H86)</f>
        <v>#N/A</v>
      </c>
      <c r="Q86" s="204"/>
      <c r="R86" s="200" t="e">
        <f aca="false">IF($A87="","",VLOOKUP($A86,Table,MATCH(R$4,Curves,0)))</f>
        <v>#N/A</v>
      </c>
      <c r="S86" s="201" t="e">
        <f aca="false">IF(A87="","",R86)</f>
        <v>#N/A</v>
      </c>
      <c r="T86" s="185" t="n">
        <v>0</v>
      </c>
      <c r="U86" s="201" t="n">
        <f aca="false">IF(A87="","",T86)</f>
        <v>0</v>
      </c>
      <c r="V86" s="205" t="e">
        <f aca="false">IF($A87="","",IF(AND(MONTH(A86)&gt;3,MONTH(A86)&lt;11),(T86+R86+G86)*Summary!$T$11/(1-Summary!$T$11),(T86+R86+G86)*Summary!$U$11/(1-Summary!$U$11)))</f>
        <v>#N/A</v>
      </c>
      <c r="W86" s="202" t="e">
        <f aca="false">IF($A87="","",(T86+R86+G86+V86))</f>
        <v>#N/A</v>
      </c>
      <c r="X86" s="202" t="e">
        <f aca="false">IF($A87="","",(U86+S86+H86+V86))</f>
        <v>#N/A</v>
      </c>
      <c r="Y86" s="202"/>
      <c r="Z86" s="185" t="e">
        <f aca="false">IF($A87="","",VLOOKUP($A86,Table,MATCH(Z$4,Curves,0)))</f>
        <v>#N/A</v>
      </c>
      <c r="AA86" s="185" t="e">
        <f aca="false">IF($A87="","",VLOOKUP($A86,Table,MATCH(AA$4,Curves,0)))</f>
        <v>#N/A</v>
      </c>
      <c r="AB86" s="185" t="e">
        <f aca="false">SQRT((AA86^2*(A86-$D$3)+Z86^2*(DAY(EOMONTH(A86,0))/2))/AK86)</f>
        <v>#N/A</v>
      </c>
      <c r="AC86" s="185" t="e">
        <f aca="false">IF($A87="","",VLOOKUP($A86,Table,MATCH(AC$4,Curves,0)))</f>
        <v>#N/A</v>
      </c>
      <c r="AD86" s="185" t="e">
        <f aca="false">IF($A87="","",VLOOKUP($A86,Table,MATCH(AD$4,Curves,0)))</f>
        <v>#N/A</v>
      </c>
      <c r="AE86" s="185" t="e">
        <f aca="false">SQRT((AD86^2*(A86-$D$3)+AC86^2*(DAY(EOMONTH(A86,0))/2))/AK86)</f>
        <v>#N/A</v>
      </c>
      <c r="AF86" s="206" t="e">
        <f aca="false">((Summary!$N$11*(AA86*AD86)*(A86-$D$3))+(Summary!$M$11*Z86*AC86*(AJ86-EOMONTH(EDATE(A86,-1),0))))/(AK86*AB86*AE86)</f>
        <v>#N/A</v>
      </c>
      <c r="AG86" s="207" t="n">
        <f aca="false">IF($A87="","",Summary!$Q$11)</f>
        <v>0</v>
      </c>
      <c r="AH86" s="207" t="n">
        <f aca="false">IF($A87="","",IF(Summary!$R$11="Y",(VLOOKUP($A86,Summary!$AD$6:$AF$9,3)+'Escalating commodity'!G99),'Escalating commodity'!G99))</f>
        <v>0.00547282778586367</v>
      </c>
      <c r="AI86" s="207" t="n">
        <f aca="false">IF($A87="","",AH86)</f>
        <v>0.00547282778586367</v>
      </c>
      <c r="AJ86" s="208" t="n">
        <f aca="false">A86+DAY(EOMONTH(A86,0))/2-1</f>
        <v>39370.5</v>
      </c>
      <c r="AK86" s="209" t="n">
        <f aca="false">IF($A87="","",$A86-$E$1)</f>
        <v>-6570</v>
      </c>
      <c r="AL86" s="182" t="e">
        <f aca="false">IF($A87="","",SPRDOPT(P86,X86,AI86,0,AB86,AE86,AF86,AK86,$AJ$2,0))</f>
        <v>#NAME?</v>
      </c>
      <c r="AM86" s="210" t="e">
        <f aca="false">IF($A87="","",MAX(0,O86-W86-AI86))</f>
        <v>#N/A</v>
      </c>
      <c r="AN86" s="211" t="e">
        <f aca="false">IF($A87="","",AL86-AM86)</f>
        <v>#N/A</v>
      </c>
      <c r="AO86" s="137" t="n">
        <f aca="false">IF(A87="","",A87-A86)</f>
        <v>31</v>
      </c>
      <c r="AP86" s="212" t="n">
        <f aca="false">IF(A87="","",CHOOSE(F$3,A87+24,A86))</f>
        <v>39356</v>
      </c>
      <c r="AQ86" s="209" t="n">
        <f aca="false">IF(A87="","",AP86-$E$1)</f>
        <v>-6570</v>
      </c>
      <c r="AR86" s="185" t="n">
        <f aca="false">'ANR OK vs ML7'!AR86</f>
        <v>0.1</v>
      </c>
      <c r="AS86" s="213" t="n">
        <f aca="false">IF(A87="","",1/(1+CHOOSE(F$3,(AR87+($I$3/10000))/2,(AR86+($I$3/10000))/2))^(2*AQ86/365.25))</f>
        <v>5.78485727279176</v>
      </c>
      <c r="AT86" s="137" t="n">
        <f aca="false">IF(A87="","",IF(AND(mthbeg&lt;=A86,mthend&gt;=A86),1,0))</f>
        <v>1</v>
      </c>
      <c r="AU86" s="137" t="n">
        <f aca="false">IF(A87="","",AO86*AT86)</f>
        <v>31</v>
      </c>
      <c r="AW86" s="195" t="e">
        <f aca="false">IF($A87="","",AL86*$E86)</f>
        <v>#NAME?</v>
      </c>
      <c r="AX86" s="195" t="e">
        <f aca="false">IF($A87="","",AM86*$E86)</f>
        <v>#N/A</v>
      </c>
      <c r="AY86" s="195" t="e">
        <f aca="false">IF($A87="","",AN86*$E86)</f>
        <v>#N/A</v>
      </c>
      <c r="BA86" s="195" t="n">
        <f aca="false">IF($A87="","",F86*Summary!$Q$11)</f>
        <v>0</v>
      </c>
      <c r="BC86" s="179" t="e">
        <f aca="false">IF(A87="","",AM86*F86)</f>
        <v>#N/A</v>
      </c>
    </row>
    <row r="87" customFormat="false" ht="12.75" hidden="false" customHeight="false" outlineLevel="0" collapsed="false">
      <c r="A87" s="196" t="n">
        <f aca="false">IF(A86&lt;mthend,EDATE(A86,1),"")</f>
        <v>39387</v>
      </c>
      <c r="B87" s="197" t="n">
        <f aca="false">IF(A87&lt;mthend,B86,"")</f>
        <v>124142</v>
      </c>
      <c r="C87" s="215"/>
      <c r="D87" s="197" t="n">
        <f aca="false">IF(A88&lt;&gt;"",B87+C87,"")</f>
        <v>124142</v>
      </c>
      <c r="E87" s="199" t="n">
        <f aca="false">IF(A88="","",IF(AND(AT87=1,$H$3=1),D87*AO87,IF($H$3=2,D87,"N/A")))</f>
        <v>3724260</v>
      </c>
      <c r="F87" s="199" t="n">
        <f aca="false">IF(A88="","",E87*AS87)</f>
        <v>21366619.9970827</v>
      </c>
      <c r="G87" s="200" t="e">
        <f aca="false">IF($A88="","",VLOOKUP($A87,Table,MATCH(G$4,Curves,0)))</f>
        <v>#N/A</v>
      </c>
      <c r="H87" s="201" t="e">
        <f aca="false">IF(A88="","",G87)</f>
        <v>#N/A</v>
      </c>
      <c r="I87" s="202"/>
      <c r="J87" s="200" t="e">
        <f aca="false">IF($A88="","",VLOOKUP($A87,Table,MATCH(J$4,Curves,0)))</f>
        <v>#N/A</v>
      </c>
      <c r="K87" s="201" t="e">
        <f aca="false">IF(A88="","",J87)</f>
        <v>#N/A</v>
      </c>
      <c r="L87" s="200" t="e">
        <f aca="false">IF($A88="","",VLOOKUP($A87,Table,MATCH(L$4,Curves,0)))</f>
        <v>#N/A</v>
      </c>
      <c r="M87" s="201" t="e">
        <f aca="false">IF(A88="","",L87)</f>
        <v>#N/A</v>
      </c>
      <c r="N87" s="203"/>
      <c r="O87" s="200" t="e">
        <f aca="false">IF(A88="","",L87+J87+G87)</f>
        <v>#N/A</v>
      </c>
      <c r="P87" s="200" t="e">
        <f aca="false">IF(A88="","",M87+K87+H87)</f>
        <v>#N/A</v>
      </c>
      <c r="Q87" s="204"/>
      <c r="R87" s="200" t="e">
        <f aca="false">IF($A88="","",VLOOKUP($A87,Table,MATCH(R$4,Curves,0)))</f>
        <v>#N/A</v>
      </c>
      <c r="S87" s="201" t="e">
        <f aca="false">IF(A88="","",R87)</f>
        <v>#N/A</v>
      </c>
      <c r="T87" s="185" t="n">
        <v>0</v>
      </c>
      <c r="U87" s="201" t="n">
        <f aca="false">IF(A88="","",T87)</f>
        <v>0</v>
      </c>
      <c r="V87" s="205" t="e">
        <f aca="false">IF($A88="","",IF(AND(MONTH(A87)&gt;3,MONTH(A87)&lt;11),(T87+R87+G87)*Summary!$T$11/(1-Summary!$T$11),(T87+R87+G87)*Summary!$U$11/(1-Summary!$U$11)))</f>
        <v>#N/A</v>
      </c>
      <c r="W87" s="202" t="e">
        <f aca="false">IF($A88="","",(T87+R87+G87+V87))</f>
        <v>#N/A</v>
      </c>
      <c r="X87" s="202" t="e">
        <f aca="false">IF($A88="","",(U87+S87+H87+V87))</f>
        <v>#N/A</v>
      </c>
      <c r="Y87" s="202"/>
      <c r="Z87" s="185" t="e">
        <f aca="false">IF($A88="","",VLOOKUP($A87,Table,MATCH(Z$4,Curves,0)))</f>
        <v>#N/A</v>
      </c>
      <c r="AA87" s="185" t="e">
        <f aca="false">IF($A88="","",VLOOKUP($A87,Table,MATCH(AA$4,Curves,0)))</f>
        <v>#N/A</v>
      </c>
      <c r="AB87" s="185" t="e">
        <f aca="false">SQRT((AA87^2*(A87-$D$3)+Z87^2*(DAY(EOMONTH(A87,0))/2))/AK87)</f>
        <v>#N/A</v>
      </c>
      <c r="AC87" s="185" t="e">
        <f aca="false">IF($A88="","",VLOOKUP($A87,Table,MATCH(AC$4,Curves,0)))</f>
        <v>#N/A</v>
      </c>
      <c r="AD87" s="185" t="e">
        <f aca="false">IF($A88="","",VLOOKUP($A87,Table,MATCH(AD$4,Curves,0)))</f>
        <v>#N/A</v>
      </c>
      <c r="AE87" s="185" t="e">
        <f aca="false">SQRT((AD87^2*(A87-$D$3)+AC87^2*(DAY(EOMONTH(A87,0))/2))/AK87)</f>
        <v>#N/A</v>
      </c>
      <c r="AF87" s="206" t="e">
        <f aca="false">((Summary!$N$11*(AA87*AD87)*(A87-$D$3))+(Summary!$M$11*Z87*AC87*(AJ87-EOMONTH(EDATE(A87,-1),0))))/(AK87*AB87*AE87)</f>
        <v>#N/A</v>
      </c>
      <c r="AG87" s="207" t="n">
        <f aca="false">IF($A88="","",Summary!$Q$11)</f>
        <v>0</v>
      </c>
      <c r="AH87" s="207" t="n">
        <f aca="false">IF($A88="","",IF(Summary!$R$11="Y",(VLOOKUP($A87,Summary!$AD$6:$AF$9,3)+'Escalating commodity'!G100),'Escalating commodity'!G100))</f>
        <v>0.00547282778586367</v>
      </c>
      <c r="AI87" s="207" t="n">
        <f aca="false">IF($A88="","",AH87)</f>
        <v>0.00547282778586367</v>
      </c>
      <c r="AJ87" s="208" t="n">
        <f aca="false">A87+DAY(EOMONTH(A87,0))/2-1</f>
        <v>39401</v>
      </c>
      <c r="AK87" s="209" t="n">
        <f aca="false">IF($A88="","",$A87-$E$1)</f>
        <v>-6539</v>
      </c>
      <c r="AL87" s="182" t="e">
        <f aca="false">IF($A88="","",SPRDOPT(P87,X87,AI87,0,AB87,AE87,AF87,AK87,$AJ$2,0))</f>
        <v>#NAME?</v>
      </c>
      <c r="AM87" s="210" t="e">
        <f aca="false">IF($A88="","",MAX(0,O87-W87-AI87))</f>
        <v>#N/A</v>
      </c>
      <c r="AN87" s="211" t="e">
        <f aca="false">IF($A88="","",AL87-AM87)</f>
        <v>#N/A</v>
      </c>
      <c r="AO87" s="137" t="n">
        <f aca="false">IF(A88="","",A88-A87)</f>
        <v>30</v>
      </c>
      <c r="AP87" s="212" t="n">
        <f aca="false">IF(A88="","",CHOOSE(F$3,A88+24,A87))</f>
        <v>39387</v>
      </c>
      <c r="AQ87" s="209" t="n">
        <f aca="false">IF(A88="","",AP87-$E$1)</f>
        <v>-6539</v>
      </c>
      <c r="AR87" s="185" t="n">
        <f aca="false">'ANR OK vs ML7'!AR87</f>
        <v>0.1</v>
      </c>
      <c r="AS87" s="213" t="n">
        <f aca="false">IF(A88="","",1/(1+CHOOSE(F$3,(AR88+($I$3/10000))/2,(AR87+($I$3/10000))/2))^(2*AQ87/365.25))</f>
        <v>5.73714509649775</v>
      </c>
      <c r="AT87" s="137" t="n">
        <f aca="false">IF(A88="","",IF(AND(mthbeg&lt;=A87,mthend&gt;=A87),1,0))</f>
        <v>1</v>
      </c>
      <c r="AU87" s="137" t="n">
        <f aca="false">IF(A88="","",AO87*AT87)</f>
        <v>30</v>
      </c>
      <c r="AW87" s="195" t="e">
        <f aca="false">IF($A88="","",AL87*$E87)</f>
        <v>#NAME?</v>
      </c>
      <c r="AX87" s="195" t="e">
        <f aca="false">IF($A88="","",AM87*$E87)</f>
        <v>#N/A</v>
      </c>
      <c r="AY87" s="195" t="e">
        <f aca="false">IF($A88="","",AN87*$E87)</f>
        <v>#N/A</v>
      </c>
      <c r="BA87" s="195" t="n">
        <f aca="false">IF($A88="","",F87*Summary!$Q$11)</f>
        <v>0</v>
      </c>
      <c r="BC87" s="179" t="e">
        <f aca="false">IF(A88="","",AM87*F87)</f>
        <v>#N/A</v>
      </c>
    </row>
    <row r="88" customFormat="false" ht="12.75" hidden="false" customHeight="false" outlineLevel="0" collapsed="false">
      <c r="A88" s="196" t="n">
        <f aca="false">IF(A87&lt;mthend,EDATE(A87,1),"")</f>
        <v>39417</v>
      </c>
      <c r="B88" s="197" t="n">
        <f aca="false">IF(A88&lt;mthend,B87,"")</f>
        <v>124142</v>
      </c>
      <c r="C88" s="215"/>
      <c r="D88" s="197" t="n">
        <f aca="false">IF(A89&lt;&gt;"",B88+C88,"")</f>
        <v>124142</v>
      </c>
      <c r="E88" s="199" t="n">
        <f aca="false">IF(A89="","",IF(AND(AT88=1,$H$3=1),D88*AO88,IF($H$3=2,D88,"N/A")))</f>
        <v>3848402</v>
      </c>
      <c r="F88" s="199" t="n">
        <f aca="false">IF(A89="","",E88*AS88)</f>
        <v>21902590.1713392</v>
      </c>
      <c r="G88" s="200" t="e">
        <f aca="false">IF($A89="","",VLOOKUP($A88,Table,MATCH(G$4,Curves,0)))</f>
        <v>#N/A</v>
      </c>
      <c r="H88" s="201" t="e">
        <f aca="false">IF(A89="","",G88)</f>
        <v>#N/A</v>
      </c>
      <c r="I88" s="202"/>
      <c r="J88" s="200" t="e">
        <f aca="false">IF($A89="","",VLOOKUP($A88,Table,MATCH(J$4,Curves,0)))</f>
        <v>#N/A</v>
      </c>
      <c r="K88" s="201" t="e">
        <f aca="false">IF(A89="","",J88)</f>
        <v>#N/A</v>
      </c>
      <c r="L88" s="200" t="e">
        <f aca="false">IF($A89="","",VLOOKUP($A88,Table,MATCH(L$4,Curves,0)))</f>
        <v>#N/A</v>
      </c>
      <c r="M88" s="201" t="e">
        <f aca="false">IF(A89="","",L88)</f>
        <v>#N/A</v>
      </c>
      <c r="N88" s="203"/>
      <c r="O88" s="200" t="e">
        <f aca="false">IF(A89="","",L88+J88+G88)</f>
        <v>#N/A</v>
      </c>
      <c r="P88" s="200" t="e">
        <f aca="false">IF(A89="","",M88+K88+H88)</f>
        <v>#N/A</v>
      </c>
      <c r="Q88" s="204"/>
      <c r="R88" s="200" t="e">
        <f aca="false">IF($A89="","",VLOOKUP($A88,Table,MATCH(R$4,Curves,0)))</f>
        <v>#N/A</v>
      </c>
      <c r="S88" s="201" t="e">
        <f aca="false">IF(A89="","",R88)</f>
        <v>#N/A</v>
      </c>
      <c r="T88" s="185" t="n">
        <v>0</v>
      </c>
      <c r="U88" s="201" t="n">
        <f aca="false">IF(A89="","",T88)</f>
        <v>0</v>
      </c>
      <c r="V88" s="205" t="e">
        <f aca="false">IF($A89="","",IF(AND(MONTH(A88)&gt;3,MONTH(A88)&lt;11),(T88+R88+G88)*Summary!$T$11/(1-Summary!$T$11),(T88+R88+G88)*Summary!$U$11/(1-Summary!$U$11)))</f>
        <v>#N/A</v>
      </c>
      <c r="W88" s="202" t="e">
        <f aca="false">IF($A89="","",(T88+R88+G88+V88))</f>
        <v>#N/A</v>
      </c>
      <c r="X88" s="202" t="e">
        <f aca="false">IF($A89="","",(U88+S88+H88+V88))</f>
        <v>#N/A</v>
      </c>
      <c r="Y88" s="202"/>
      <c r="Z88" s="185" t="e">
        <f aca="false">IF($A89="","",VLOOKUP($A88,Table,MATCH(Z$4,Curves,0)))</f>
        <v>#N/A</v>
      </c>
      <c r="AA88" s="185" t="e">
        <f aca="false">IF($A89="","",VLOOKUP($A88,Table,MATCH(AA$4,Curves,0)))</f>
        <v>#N/A</v>
      </c>
      <c r="AB88" s="185" t="e">
        <f aca="false">SQRT((AA88^2*(A88-$D$3)+Z88^2*(DAY(EOMONTH(A88,0))/2))/AK88)</f>
        <v>#N/A</v>
      </c>
      <c r="AC88" s="185" t="e">
        <f aca="false">IF($A89="","",VLOOKUP($A88,Table,MATCH(AC$4,Curves,0)))</f>
        <v>#N/A</v>
      </c>
      <c r="AD88" s="185" t="e">
        <f aca="false">IF($A89="","",VLOOKUP($A88,Table,MATCH(AD$4,Curves,0)))</f>
        <v>#N/A</v>
      </c>
      <c r="AE88" s="185" t="e">
        <f aca="false">SQRT((AD88^2*(A88-$D$3)+AC88^2*(DAY(EOMONTH(A88,0))/2))/AK88)</f>
        <v>#N/A</v>
      </c>
      <c r="AF88" s="206" t="e">
        <f aca="false">((Summary!$N$11*(AA88*AD88)*(A88-$D$3))+(Summary!$M$11*Z88*AC88*(AJ88-EOMONTH(EDATE(A88,-1),0))))/(AK88*AB88*AE88)</f>
        <v>#N/A</v>
      </c>
      <c r="AG88" s="207" t="n">
        <f aca="false">IF($A89="","",Summary!$Q$11)</f>
        <v>0</v>
      </c>
      <c r="AH88" s="207" t="n">
        <f aca="false">IF($A89="","",IF(Summary!$R$11="Y",(VLOOKUP($A88,Summary!$AD$6:$AF$9,3)+'Escalating commodity'!G101),'Escalating commodity'!G101))</f>
        <v>0.00547282778586367</v>
      </c>
      <c r="AI88" s="207" t="n">
        <f aca="false">IF($A89="","",AH88)</f>
        <v>0.00547282778586367</v>
      </c>
      <c r="AJ88" s="208" t="n">
        <f aca="false">A88+DAY(EOMONTH(A88,0))/2-1</f>
        <v>39431.5</v>
      </c>
      <c r="AK88" s="209" t="n">
        <f aca="false">IF($A89="","",$A88-$E$1)</f>
        <v>-6509</v>
      </c>
      <c r="AL88" s="182" t="e">
        <f aca="false">IF($A89="","",SPRDOPT(P88,X88,AI88,0,AB88,AE88,AF88,AK88,$AJ$2,0))</f>
        <v>#NAME?</v>
      </c>
      <c r="AM88" s="210" t="e">
        <f aca="false">IF($A89="","",MAX(0,O88-W88-AI88))</f>
        <v>#N/A</v>
      </c>
      <c r="AN88" s="211" t="e">
        <f aca="false">IF($A89="","",AL88-AM88)</f>
        <v>#N/A</v>
      </c>
      <c r="AO88" s="137" t="n">
        <f aca="false">IF(A89="","",A89-A88)</f>
        <v>31</v>
      </c>
      <c r="AP88" s="212" t="n">
        <f aca="false">IF(A89="","",CHOOSE(F$3,A89+24,A88))</f>
        <v>39417</v>
      </c>
      <c r="AQ88" s="209" t="n">
        <f aca="false">IF(A89="","",AP88-$E$1)</f>
        <v>-6509</v>
      </c>
      <c r="AR88" s="185" t="n">
        <f aca="false">'ANR OK vs ML7'!AR88</f>
        <v>0.1</v>
      </c>
      <c r="AS88" s="213" t="n">
        <f aca="false">IF(A89="","",1/(1+CHOOSE(F$3,(AR89+($I$3/10000))/2,(AR88+($I$3/10000))/2))^(2*AQ88/365.25))</f>
        <v>5.69134673855258</v>
      </c>
      <c r="AT88" s="137" t="n">
        <f aca="false">IF(A89="","",IF(AND(mthbeg&lt;=A88,mthend&gt;=A88),1,0))</f>
        <v>1</v>
      </c>
      <c r="AU88" s="137" t="n">
        <f aca="false">IF(A89="","",AO88*AT88)</f>
        <v>31</v>
      </c>
      <c r="AW88" s="195" t="e">
        <f aca="false">IF($A89="","",AL88*$E88)</f>
        <v>#NAME?</v>
      </c>
      <c r="AX88" s="195" t="e">
        <f aca="false">IF($A89="","",AM88*$E88)</f>
        <v>#N/A</v>
      </c>
      <c r="AY88" s="195" t="e">
        <f aca="false">IF($A89="","",AN88*$E88)</f>
        <v>#N/A</v>
      </c>
      <c r="BA88" s="195" t="n">
        <f aca="false">IF($A89="","",F88*Summary!$Q$11)</f>
        <v>0</v>
      </c>
      <c r="BC88" s="179" t="e">
        <f aca="false">IF(A89="","",AM88*F88)</f>
        <v>#N/A</v>
      </c>
    </row>
    <row r="89" customFormat="false" ht="12.75" hidden="false" customHeight="false" outlineLevel="0" collapsed="false">
      <c r="A89" s="196" t="n">
        <f aca="false">IF(A88&lt;mthend,EDATE(A88,1),"")</f>
        <v>39448</v>
      </c>
      <c r="B89" s="197" t="n">
        <f aca="false">IF(A89&lt;mthend,B88,"")</f>
        <v>124142</v>
      </c>
      <c r="C89" s="215"/>
      <c r="D89" s="197" t="n">
        <f aca="false">IF(A90&lt;&gt;"",B89+C89,"")</f>
        <v>124142</v>
      </c>
      <c r="E89" s="199" t="n">
        <f aca="false">IF(A90="","",IF(AND(AT89=1,$H$3=1),D89*AO89,IF($H$3=2,D89,"N/A")))</f>
        <v>3848402</v>
      </c>
      <c r="F89" s="199" t="n">
        <f aca="false">IF(A90="","",E89*AS89)</f>
        <v>21721942.6299616</v>
      </c>
      <c r="G89" s="200" t="e">
        <f aca="false">IF($A90="","",VLOOKUP($A89,Table,MATCH(G$4,Curves,0)))</f>
        <v>#N/A</v>
      </c>
      <c r="H89" s="201" t="e">
        <f aca="false">IF(A90="","",G89)</f>
        <v>#N/A</v>
      </c>
      <c r="I89" s="202"/>
      <c r="J89" s="200" t="e">
        <f aca="false">IF($A90="","",VLOOKUP($A89,Table,MATCH(J$4,Curves,0)))</f>
        <v>#N/A</v>
      </c>
      <c r="K89" s="201" t="e">
        <f aca="false">IF(A90="","",J89)</f>
        <v>#N/A</v>
      </c>
      <c r="L89" s="200" t="e">
        <f aca="false">IF($A90="","",VLOOKUP($A89,Table,MATCH(L$4,Curves,0)))</f>
        <v>#N/A</v>
      </c>
      <c r="M89" s="201" t="e">
        <f aca="false">IF(A90="","",L89)</f>
        <v>#N/A</v>
      </c>
      <c r="N89" s="203"/>
      <c r="O89" s="200" t="e">
        <f aca="false">IF(A90="","",L89+J89+G89)</f>
        <v>#N/A</v>
      </c>
      <c r="P89" s="200" t="e">
        <f aca="false">IF(A90="","",M89+K89+H89)</f>
        <v>#N/A</v>
      </c>
      <c r="Q89" s="204"/>
      <c r="R89" s="200" t="e">
        <f aca="false">IF($A90="","",VLOOKUP($A89,Table,MATCH(R$4,Curves,0)))</f>
        <v>#N/A</v>
      </c>
      <c r="S89" s="201" t="e">
        <f aca="false">IF(A90="","",R89)</f>
        <v>#N/A</v>
      </c>
      <c r="T89" s="185" t="n">
        <v>0</v>
      </c>
      <c r="U89" s="201" t="n">
        <f aca="false">IF(A90="","",T89)</f>
        <v>0</v>
      </c>
      <c r="V89" s="205" t="e">
        <f aca="false">IF($A90="","",IF(AND(MONTH(A89)&gt;3,MONTH(A89)&lt;11),(T89+R89+G89)*Summary!$T$11/(1-Summary!$T$11),(T89+R89+G89)*Summary!$U$11/(1-Summary!$U$11)))</f>
        <v>#N/A</v>
      </c>
      <c r="W89" s="202" t="e">
        <f aca="false">IF($A90="","",(T89+R89+G89+V89))</f>
        <v>#N/A</v>
      </c>
      <c r="X89" s="202" t="e">
        <f aca="false">IF($A90="","",(U89+S89+H89+V89))</f>
        <v>#N/A</v>
      </c>
      <c r="Y89" s="202"/>
      <c r="Z89" s="185" t="e">
        <f aca="false">IF($A90="","",VLOOKUP($A89,Table,MATCH(Z$4,Curves,0)))</f>
        <v>#N/A</v>
      </c>
      <c r="AA89" s="185" t="e">
        <f aca="false">IF($A90="","",VLOOKUP($A89,Table,MATCH(AA$4,Curves,0)))</f>
        <v>#N/A</v>
      </c>
      <c r="AB89" s="185" t="e">
        <f aca="false">SQRT((AA89^2*(A89-$D$3)+Z89^2*(DAY(EOMONTH(A89,0))/2))/AK89)</f>
        <v>#N/A</v>
      </c>
      <c r="AC89" s="185" t="e">
        <f aca="false">IF($A90="","",VLOOKUP($A89,Table,MATCH(AC$4,Curves,0)))</f>
        <v>#N/A</v>
      </c>
      <c r="AD89" s="185" t="e">
        <f aca="false">IF($A90="","",VLOOKUP($A89,Table,MATCH(AD$4,Curves,0)))</f>
        <v>#N/A</v>
      </c>
      <c r="AE89" s="185" t="e">
        <f aca="false">SQRT((AD89^2*(A89-$D$3)+AC89^2*(DAY(EOMONTH(A89,0))/2))/AK89)</f>
        <v>#N/A</v>
      </c>
      <c r="AF89" s="206" t="e">
        <f aca="false">((Summary!$N$11*(AA89*AD89)*(A89-$D$3))+(Summary!$M$11*Z89*AC89*(AJ89-EOMONTH(EDATE(A89,-1),0))))/(AK89*AB89*AE89)</f>
        <v>#N/A</v>
      </c>
      <c r="AG89" s="207" t="n">
        <f aca="false">IF($A90="","",Summary!$Q$11)</f>
        <v>0</v>
      </c>
      <c r="AH89" s="207" t="n">
        <f aca="false">IF($A90="","",IF(Summary!$R$11="Y",(VLOOKUP($A89,Summary!$AD$6:$AF$9,3)+'Escalating commodity'!G102),'Escalating commodity'!G102))</f>
        <v>0.00558228434158094</v>
      </c>
      <c r="AI89" s="207" t="n">
        <f aca="false">IF($A90="","",AH89)</f>
        <v>0.00558228434158094</v>
      </c>
      <c r="AJ89" s="208" t="n">
        <f aca="false">A89+DAY(EOMONTH(A89,0))/2-1</f>
        <v>39462.5</v>
      </c>
      <c r="AK89" s="209" t="n">
        <f aca="false">IF($A90="","",$A89-$E$1)</f>
        <v>-6478</v>
      </c>
      <c r="AL89" s="182" t="e">
        <f aca="false">IF($A90="","",SPRDOPT(P89,X89,AI89,0,AB89,AE89,AF89,AK89,$AJ$2,0))</f>
        <v>#NAME?</v>
      </c>
      <c r="AM89" s="210" t="e">
        <f aca="false">IF($A90="","",MAX(0,O89-W89-AI89))</f>
        <v>#N/A</v>
      </c>
      <c r="AN89" s="211" t="e">
        <f aca="false">IF($A90="","",AL89-AM89)</f>
        <v>#N/A</v>
      </c>
      <c r="AO89" s="137" t="n">
        <f aca="false">IF(A90="","",A90-A89)</f>
        <v>31</v>
      </c>
      <c r="AP89" s="212" t="n">
        <f aca="false">IF(A90="","",CHOOSE(F$3,A90+24,A89))</f>
        <v>39448</v>
      </c>
      <c r="AQ89" s="209" t="n">
        <f aca="false">IF(A90="","",AP89-$E$1)</f>
        <v>-6478</v>
      </c>
      <c r="AR89" s="185" t="n">
        <f aca="false">'ANR OK vs ML7'!AR89</f>
        <v>0.1</v>
      </c>
      <c r="AS89" s="213" t="n">
        <f aca="false">IF(A90="","",1/(1+CHOOSE(F$3,(AR90+($I$3/10000))/2,(AR89+($I$3/10000))/2))^(2*AQ89/365.25))</f>
        <v>5.64440581570262</v>
      </c>
      <c r="AT89" s="137" t="n">
        <f aca="false">IF(A90="","",IF(AND(mthbeg&lt;=A89,mthend&gt;=A89),1,0))</f>
        <v>1</v>
      </c>
      <c r="AU89" s="137" t="n">
        <f aca="false">IF(A90="","",AO89*AT89)</f>
        <v>31</v>
      </c>
      <c r="AW89" s="195" t="e">
        <f aca="false">IF($A90="","",AL89*$E89)</f>
        <v>#NAME?</v>
      </c>
      <c r="AX89" s="195" t="e">
        <f aca="false">IF($A90="","",AM89*$E89)</f>
        <v>#N/A</v>
      </c>
      <c r="AY89" s="195" t="e">
        <f aca="false">IF($A90="","",AN89*$E89)</f>
        <v>#N/A</v>
      </c>
      <c r="BA89" s="195" t="n">
        <f aca="false">IF($A90="","",F89*Summary!$Q$11)</f>
        <v>0</v>
      </c>
      <c r="BC89" s="179" t="e">
        <f aca="false">IF(A90="","",AM89*F89)</f>
        <v>#N/A</v>
      </c>
    </row>
    <row r="90" customFormat="false" ht="12.75" hidden="false" customHeight="false" outlineLevel="0" collapsed="false">
      <c r="A90" s="196" t="n">
        <f aca="false">IF(A89&lt;mthend,EDATE(A89,1),"")</f>
        <v>39479</v>
      </c>
      <c r="B90" s="197" t="n">
        <f aca="false">IF(A90&lt;mthend,B89,"")</f>
        <v>124142</v>
      </c>
      <c r="C90" s="215"/>
      <c r="D90" s="197" t="n">
        <f aca="false">IF(A91&lt;&gt;"",B90+C90,"")</f>
        <v>124142</v>
      </c>
      <c r="E90" s="199" t="n">
        <f aca="false">IF(A91="","",IF(AND(AT90=1,$H$3=1),D90*AO90,IF($H$3=2,D90,"N/A")))</f>
        <v>3600118</v>
      </c>
      <c r="F90" s="199" t="n">
        <f aca="false">IF(A91="","",E90*AS90)</f>
        <v>20152927.9294961</v>
      </c>
      <c r="G90" s="200" t="e">
        <f aca="false">IF($A91="","",VLOOKUP($A90,Table,MATCH(G$4,Curves,0)))</f>
        <v>#N/A</v>
      </c>
      <c r="H90" s="201" t="e">
        <f aca="false">IF(A91="","",G90)</f>
        <v>#N/A</v>
      </c>
      <c r="I90" s="202"/>
      <c r="J90" s="200" t="e">
        <f aca="false">IF($A91="","",VLOOKUP($A90,Table,MATCH(J$4,Curves,0)))</f>
        <v>#N/A</v>
      </c>
      <c r="K90" s="201" t="e">
        <f aca="false">IF(A91="","",J90)</f>
        <v>#N/A</v>
      </c>
      <c r="L90" s="200" t="e">
        <f aca="false">IF($A91="","",VLOOKUP($A90,Table,MATCH(L$4,Curves,0)))</f>
        <v>#N/A</v>
      </c>
      <c r="M90" s="201" t="e">
        <f aca="false">IF(A91="","",L90)</f>
        <v>#N/A</v>
      </c>
      <c r="N90" s="203"/>
      <c r="O90" s="200" t="e">
        <f aca="false">IF(A91="","",L90+J90+G90)</f>
        <v>#N/A</v>
      </c>
      <c r="P90" s="200" t="e">
        <f aca="false">IF(A91="","",M90+K90+H90)</f>
        <v>#N/A</v>
      </c>
      <c r="Q90" s="204"/>
      <c r="R90" s="200" t="e">
        <f aca="false">IF($A91="","",VLOOKUP($A90,Table,MATCH(R$4,Curves,0)))</f>
        <v>#N/A</v>
      </c>
      <c r="S90" s="201" t="e">
        <f aca="false">IF(A91="","",R90)</f>
        <v>#N/A</v>
      </c>
      <c r="T90" s="185" t="n">
        <v>0</v>
      </c>
      <c r="U90" s="201" t="n">
        <f aca="false">IF(A91="","",T90)</f>
        <v>0</v>
      </c>
      <c r="V90" s="205" t="e">
        <f aca="false">IF($A91="","",IF(AND(MONTH(A90)&gt;3,MONTH(A90)&lt;11),(T90+R90+G90)*Summary!$T$11/(1-Summary!$T$11),(T90+R90+G90)*Summary!$U$11/(1-Summary!$U$11)))</f>
        <v>#N/A</v>
      </c>
      <c r="W90" s="202" t="e">
        <f aca="false">IF($A91="","",(T90+R90+G90+V90))</f>
        <v>#N/A</v>
      </c>
      <c r="X90" s="202" t="e">
        <f aca="false">IF($A91="","",(U90+S90+H90+V90))</f>
        <v>#N/A</v>
      </c>
      <c r="Y90" s="202"/>
      <c r="Z90" s="185" t="e">
        <f aca="false">IF($A91="","",VLOOKUP($A90,Table,MATCH(Z$4,Curves,0)))</f>
        <v>#N/A</v>
      </c>
      <c r="AA90" s="185" t="e">
        <f aca="false">IF($A91="","",VLOOKUP($A90,Table,MATCH(AA$4,Curves,0)))</f>
        <v>#N/A</v>
      </c>
      <c r="AB90" s="185" t="e">
        <f aca="false">SQRT((AA90^2*(A90-$D$3)+Z90^2*(DAY(EOMONTH(A90,0))/2))/AK90)</f>
        <v>#N/A</v>
      </c>
      <c r="AC90" s="185" t="e">
        <f aca="false">IF($A91="","",VLOOKUP($A90,Table,MATCH(AC$4,Curves,0)))</f>
        <v>#N/A</v>
      </c>
      <c r="AD90" s="185" t="e">
        <f aca="false">IF($A91="","",VLOOKUP($A90,Table,MATCH(AD$4,Curves,0)))</f>
        <v>#N/A</v>
      </c>
      <c r="AE90" s="185" t="e">
        <f aca="false">SQRT((AD90^2*(A90-$D$3)+AC90^2*(DAY(EOMONTH(A90,0))/2))/AK90)</f>
        <v>#N/A</v>
      </c>
      <c r="AF90" s="206" t="e">
        <f aca="false">((Summary!$N$11*(AA90*AD90)*(A90-$D$3))+(Summary!$M$11*Z90*AC90*(AJ90-EOMONTH(EDATE(A90,-1),0))))/(AK90*AB90*AE90)</f>
        <v>#N/A</v>
      </c>
      <c r="AG90" s="207" t="n">
        <f aca="false">IF($A91="","",Summary!$Q$11)</f>
        <v>0</v>
      </c>
      <c r="AH90" s="207" t="n">
        <f aca="false">IF($A91="","",IF(Summary!$R$11="Y",(VLOOKUP($A90,Summary!$AD$6:$AF$9,3)+'Escalating commodity'!G103),'Escalating commodity'!G103))</f>
        <v>0.00558228434158094</v>
      </c>
      <c r="AI90" s="207" t="n">
        <f aca="false">IF($A91="","",AH90)</f>
        <v>0.00558228434158094</v>
      </c>
      <c r="AJ90" s="208" t="n">
        <f aca="false">A90+DAY(EOMONTH(A90,0))/2-1</f>
        <v>39492.5</v>
      </c>
      <c r="AK90" s="209" t="n">
        <f aca="false">IF($A91="","",$A90-$E$1)</f>
        <v>-6447</v>
      </c>
      <c r="AL90" s="182" t="e">
        <f aca="false">IF($A91="","",SPRDOPT(P90,X90,AI90,0,AB90,AE90,AF90,AK90,$AJ$2,0))</f>
        <v>#NAME?</v>
      </c>
      <c r="AM90" s="210" t="e">
        <f aca="false">IF($A91="","",MAX(0,O90-W90-AI90))</f>
        <v>#N/A</v>
      </c>
      <c r="AN90" s="211" t="e">
        <f aca="false">IF($A91="","",AL90-AM90)</f>
        <v>#N/A</v>
      </c>
      <c r="AO90" s="137" t="n">
        <f aca="false">IF(A91="","",A91-A90)</f>
        <v>29</v>
      </c>
      <c r="AP90" s="212" t="n">
        <f aca="false">IF(A91="","",CHOOSE(F$3,A91+24,A90))</f>
        <v>39479</v>
      </c>
      <c r="AQ90" s="209" t="n">
        <f aca="false">IF(A91="","",AP90-$E$1)</f>
        <v>-6447</v>
      </c>
      <c r="AR90" s="185" t="n">
        <f aca="false">'ANR OK vs ML7'!AR90</f>
        <v>0.1</v>
      </c>
      <c r="AS90" s="213" t="n">
        <f aca="false">IF(A91="","",1/(1+CHOOSE(F$3,(AR91+($I$3/10000))/2,(AR90+($I$3/10000))/2))^(2*AQ90/365.25))</f>
        <v>5.59785205082057</v>
      </c>
      <c r="AT90" s="137" t="n">
        <f aca="false">IF(A91="","",IF(AND(mthbeg&lt;=A90,mthend&gt;=A90),1,0))</f>
        <v>1</v>
      </c>
      <c r="AU90" s="137" t="n">
        <f aca="false">IF(A91="","",AO90*AT90)</f>
        <v>29</v>
      </c>
      <c r="AW90" s="195" t="e">
        <f aca="false">IF($A91="","",AL90*$E90)</f>
        <v>#NAME?</v>
      </c>
      <c r="AX90" s="195" t="e">
        <f aca="false">IF($A91="","",AM90*$E90)</f>
        <v>#N/A</v>
      </c>
      <c r="AY90" s="195" t="e">
        <f aca="false">IF($A91="","",AN90*$E90)</f>
        <v>#N/A</v>
      </c>
      <c r="BA90" s="195" t="n">
        <f aca="false">IF($A91="","",F90*Summary!$Q$11)</f>
        <v>0</v>
      </c>
      <c r="BC90" s="179" t="e">
        <f aca="false">IF(A91="","",AM90*F90)</f>
        <v>#N/A</v>
      </c>
    </row>
    <row r="91" customFormat="false" ht="12.75" hidden="false" customHeight="false" outlineLevel="0" collapsed="false">
      <c r="A91" s="196" t="n">
        <f aca="false">IF(A90&lt;mthend,EDATE(A90,1),"")</f>
        <v>39508</v>
      </c>
      <c r="B91" s="197" t="n">
        <f aca="false">IF(A91&lt;mthend,B90,"")</f>
        <v>124142</v>
      </c>
      <c r="C91" s="215"/>
      <c r="D91" s="197" t="n">
        <f aca="false">IF(A92&lt;&gt;"",B91+C91,"")</f>
        <v>124142</v>
      </c>
      <c r="E91" s="199" t="n">
        <f aca="false">IF(A92="","",IF(AND(AT91=1,$H$3=1),D91*AO91,IF($H$3=2,D91,"N/A")))</f>
        <v>3848402</v>
      </c>
      <c r="F91" s="199" t="n">
        <f aca="false">IF(A92="","",E91*AS91)</f>
        <v>21376523.9465478</v>
      </c>
      <c r="G91" s="200" t="e">
        <f aca="false">IF($A92="","",VLOOKUP($A91,Table,MATCH(G$4,Curves,0)))</f>
        <v>#N/A</v>
      </c>
      <c r="H91" s="201" t="e">
        <f aca="false">IF(A92="","",G91)</f>
        <v>#N/A</v>
      </c>
      <c r="I91" s="202"/>
      <c r="J91" s="200" t="e">
        <f aca="false">IF($A92="","",VLOOKUP($A91,Table,MATCH(J$4,Curves,0)))</f>
        <v>#N/A</v>
      </c>
      <c r="K91" s="201" t="e">
        <f aca="false">IF(A92="","",J91)</f>
        <v>#N/A</v>
      </c>
      <c r="L91" s="200" t="e">
        <f aca="false">IF($A92="","",VLOOKUP($A91,Table,MATCH(L$4,Curves,0)))</f>
        <v>#N/A</v>
      </c>
      <c r="M91" s="201" t="e">
        <f aca="false">IF(A92="","",L91)</f>
        <v>#N/A</v>
      </c>
      <c r="N91" s="203"/>
      <c r="O91" s="200" t="e">
        <f aca="false">IF(A92="","",L91+J91+G91)</f>
        <v>#N/A</v>
      </c>
      <c r="P91" s="200" t="e">
        <f aca="false">IF(A92="","",M91+K91+H91)</f>
        <v>#N/A</v>
      </c>
      <c r="Q91" s="204"/>
      <c r="R91" s="200" t="e">
        <f aca="false">IF($A92="","",VLOOKUP($A91,Table,MATCH(R$4,Curves,0)))</f>
        <v>#N/A</v>
      </c>
      <c r="S91" s="201" t="e">
        <f aca="false">IF(A92="","",R91)</f>
        <v>#N/A</v>
      </c>
      <c r="T91" s="185" t="n">
        <v>0</v>
      </c>
      <c r="U91" s="201" t="n">
        <f aca="false">IF(A92="","",T91)</f>
        <v>0</v>
      </c>
      <c r="V91" s="205" t="e">
        <f aca="false">IF($A92="","",IF(AND(MONTH(A91)&gt;3,MONTH(A91)&lt;11),(T91+R91+G91)*Summary!$T$11/(1-Summary!$T$11),(T91+R91+G91)*Summary!$U$11/(1-Summary!$U$11)))</f>
        <v>#N/A</v>
      </c>
      <c r="W91" s="202" t="e">
        <f aca="false">IF($A92="","",(T91+R91+G91+V91))</f>
        <v>#N/A</v>
      </c>
      <c r="X91" s="202" t="e">
        <f aca="false">IF($A92="","",(U91+S91+H91+V91))</f>
        <v>#N/A</v>
      </c>
      <c r="Y91" s="202"/>
      <c r="Z91" s="185" t="e">
        <f aca="false">IF($A92="","",VLOOKUP($A91,Table,MATCH(Z$4,Curves,0)))</f>
        <v>#N/A</v>
      </c>
      <c r="AA91" s="185" t="e">
        <f aca="false">IF($A92="","",VLOOKUP($A91,Table,MATCH(AA$4,Curves,0)))</f>
        <v>#N/A</v>
      </c>
      <c r="AB91" s="185" t="e">
        <f aca="false">SQRT((AA91^2*(A91-$D$3)+Z91^2*(DAY(EOMONTH(A91,0))/2))/AK91)</f>
        <v>#N/A</v>
      </c>
      <c r="AC91" s="185" t="e">
        <f aca="false">IF($A92="","",VLOOKUP($A91,Table,MATCH(AC$4,Curves,0)))</f>
        <v>#N/A</v>
      </c>
      <c r="AD91" s="185" t="e">
        <f aca="false">IF($A92="","",VLOOKUP($A91,Table,MATCH(AD$4,Curves,0)))</f>
        <v>#N/A</v>
      </c>
      <c r="AE91" s="185" t="e">
        <f aca="false">SQRT((AD91^2*(A91-$D$3)+AC91^2*(DAY(EOMONTH(A91,0))/2))/AK91)</f>
        <v>#N/A</v>
      </c>
      <c r="AF91" s="206" t="e">
        <f aca="false">((Summary!$N$11*(AA91*AD91)*(A91-$D$3))+(Summary!$M$11*Z91*AC91*(AJ91-EOMONTH(EDATE(A91,-1),0))))/(AK91*AB91*AE91)</f>
        <v>#N/A</v>
      </c>
      <c r="AG91" s="207" t="n">
        <f aca="false">IF($A92="","",Summary!$Q$11)</f>
        <v>0</v>
      </c>
      <c r="AH91" s="207" t="n">
        <f aca="false">IF($A92="","",IF(Summary!$R$11="Y",(VLOOKUP($A91,Summary!$AD$6:$AF$9,3)+'Escalating commodity'!G104),'Escalating commodity'!G104))</f>
        <v>0.00558228434158094</v>
      </c>
      <c r="AI91" s="207" t="n">
        <f aca="false">IF($A92="","",AH91)</f>
        <v>0.00558228434158094</v>
      </c>
      <c r="AJ91" s="208" t="n">
        <f aca="false">A91+DAY(EOMONTH(A91,0))/2-1</f>
        <v>39522.5</v>
      </c>
      <c r="AK91" s="209" t="n">
        <f aca="false">IF($A92="","",$A91-$E$1)</f>
        <v>-6418</v>
      </c>
      <c r="AL91" s="182" t="e">
        <f aca="false">IF($A92="","",SPRDOPT(P91,X91,AI91,0,AB91,AE91,AF91,AK91,$AJ$2,0))</f>
        <v>#NAME?</v>
      </c>
      <c r="AM91" s="210" t="e">
        <f aca="false">IF($A92="","",MAX(0,O91-W91-AI91))</f>
        <v>#N/A</v>
      </c>
      <c r="AN91" s="211" t="e">
        <f aca="false">IF($A92="","",AL91-AM91)</f>
        <v>#N/A</v>
      </c>
      <c r="AO91" s="137" t="n">
        <f aca="false">IF(A92="","",A92-A91)</f>
        <v>31</v>
      </c>
      <c r="AP91" s="212" t="n">
        <f aca="false">IF(A92="","",CHOOSE(F$3,A92+24,A91))</f>
        <v>39508</v>
      </c>
      <c r="AQ91" s="209" t="n">
        <f aca="false">IF(A92="","",AP91-$E$1)</f>
        <v>-6418</v>
      </c>
      <c r="AR91" s="185" t="n">
        <f aca="false">'ANR OK vs ML7'!AR91</f>
        <v>0.1</v>
      </c>
      <c r="AS91" s="213" t="n">
        <f aca="false">IF(A92="","",1/(1+CHOOSE(F$3,(AR92+($I$3/10000))/2,(AR91+($I$3/10000))/2))^(2*AQ91/365.25))</f>
        <v>5.55464942242204</v>
      </c>
      <c r="AT91" s="137" t="n">
        <f aca="false">IF(A92="","",IF(AND(mthbeg&lt;=A91,mthend&gt;=A91),1,0))</f>
        <v>1</v>
      </c>
      <c r="AU91" s="137" t="n">
        <f aca="false">IF(A92="","",AO91*AT91)</f>
        <v>31</v>
      </c>
      <c r="AW91" s="195" t="e">
        <f aca="false">IF($A92="","",AL91*$E91)</f>
        <v>#NAME?</v>
      </c>
      <c r="AX91" s="195" t="e">
        <f aca="false">IF($A92="","",AM91*$E91)</f>
        <v>#N/A</v>
      </c>
      <c r="AY91" s="195" t="e">
        <f aca="false">IF($A92="","",AN91*$E91)</f>
        <v>#N/A</v>
      </c>
      <c r="BA91" s="195" t="n">
        <f aca="false">IF($A92="","",F91*Summary!$Q$11)</f>
        <v>0</v>
      </c>
      <c r="BC91" s="179" t="e">
        <f aca="false">IF(A92="","",AM91*F91)</f>
        <v>#N/A</v>
      </c>
    </row>
    <row r="92" customFormat="false" ht="12.75" hidden="false" customHeight="false" outlineLevel="0" collapsed="false">
      <c r="A92" s="196" t="n">
        <f aca="false">IF(A91&lt;mthend,EDATE(A91,1),"")</f>
        <v>39539</v>
      </c>
      <c r="B92" s="197" t="n">
        <f aca="false">IF(A92&lt;mthend,B91,"")</f>
        <v>124142</v>
      </c>
      <c r="C92" s="215"/>
      <c r="D92" s="197" t="n">
        <f aca="false">IF(A93&lt;&gt;"",B92+C92,"")</f>
        <v>124142</v>
      </c>
      <c r="E92" s="199" t="n">
        <f aca="false">IF(A93="","",IF(AND(AT92=1,$H$3=1),D92*AO92,IF($H$3=2,D92,"N/A")))</f>
        <v>3724260</v>
      </c>
      <c r="F92" s="199" t="n">
        <f aca="false">IF(A93="","",E92*AS92)</f>
        <v>20516337.3665449</v>
      </c>
      <c r="G92" s="200" t="e">
        <f aca="false">IF($A93="","",VLOOKUP($A92,Table,MATCH(G$4,Curves,0)))</f>
        <v>#N/A</v>
      </c>
      <c r="H92" s="201" t="e">
        <f aca="false">IF(A93="","",G92)</f>
        <v>#N/A</v>
      </c>
      <c r="I92" s="202"/>
      <c r="J92" s="200" t="e">
        <f aca="false">IF($A93="","",VLOOKUP($A92,Table,MATCH(J$4,Curves,0)))</f>
        <v>#N/A</v>
      </c>
      <c r="K92" s="201" t="e">
        <f aca="false">IF(A93="","",J92)</f>
        <v>#N/A</v>
      </c>
      <c r="L92" s="200" t="e">
        <f aca="false">IF($A93="","",VLOOKUP($A92,Table,MATCH(L$4,Curves,0)))</f>
        <v>#N/A</v>
      </c>
      <c r="M92" s="201" t="e">
        <f aca="false">IF(A93="","",L92)</f>
        <v>#N/A</v>
      </c>
      <c r="N92" s="203"/>
      <c r="O92" s="200" t="e">
        <f aca="false">IF(A93="","",L92+J92+G92)</f>
        <v>#N/A</v>
      </c>
      <c r="P92" s="200" t="e">
        <f aca="false">IF(A93="","",M92+K92+H92)</f>
        <v>#N/A</v>
      </c>
      <c r="Q92" s="204"/>
      <c r="R92" s="200" t="e">
        <f aca="false">IF($A93="","",VLOOKUP($A92,Table,MATCH(R$4,Curves,0)))</f>
        <v>#N/A</v>
      </c>
      <c r="S92" s="201" t="e">
        <f aca="false">IF(A93="","",R92)</f>
        <v>#N/A</v>
      </c>
      <c r="T92" s="185" t="n">
        <v>0</v>
      </c>
      <c r="U92" s="201" t="n">
        <f aca="false">IF(A93="","",T92)</f>
        <v>0</v>
      </c>
      <c r="V92" s="205" t="e">
        <f aca="false">IF($A93="","",IF(AND(MONTH(A92)&gt;3,MONTH(A92)&lt;11),(T92+R92+G92)*Summary!$T$11/(1-Summary!$T$11),(T92+R92+G92)*Summary!$U$11/(1-Summary!$U$11)))</f>
        <v>#N/A</v>
      </c>
      <c r="W92" s="202" t="e">
        <f aca="false">IF($A93="","",(T92+R92+G92+V92))</f>
        <v>#N/A</v>
      </c>
      <c r="X92" s="202" t="e">
        <f aca="false">IF($A93="","",(U92+S92+H92+V92))</f>
        <v>#N/A</v>
      </c>
      <c r="Y92" s="202"/>
      <c r="Z92" s="185" t="e">
        <f aca="false">IF($A93="","",VLOOKUP($A92,Table,MATCH(Z$4,Curves,0)))</f>
        <v>#N/A</v>
      </c>
      <c r="AA92" s="185" t="e">
        <f aca="false">IF($A93="","",VLOOKUP($A92,Table,MATCH(AA$4,Curves,0)))</f>
        <v>#N/A</v>
      </c>
      <c r="AB92" s="185" t="e">
        <f aca="false">SQRT((AA92^2*(A92-$D$3)+Z92^2*(DAY(EOMONTH(A92,0))/2))/AK92)</f>
        <v>#N/A</v>
      </c>
      <c r="AC92" s="185" t="e">
        <f aca="false">IF($A93="","",VLOOKUP($A92,Table,MATCH(AC$4,Curves,0)))</f>
        <v>#N/A</v>
      </c>
      <c r="AD92" s="185" t="e">
        <f aca="false">IF($A93="","",VLOOKUP($A92,Table,MATCH(AD$4,Curves,0)))</f>
        <v>#N/A</v>
      </c>
      <c r="AE92" s="185" t="e">
        <f aca="false">SQRT((AD92^2*(A92-$D$3)+AC92^2*(DAY(EOMONTH(A92,0))/2))/AK92)</f>
        <v>#N/A</v>
      </c>
      <c r="AF92" s="206" t="e">
        <f aca="false">((Summary!$N$11*(AA92*AD92)*(A92-$D$3))+(Summary!$M$11*Z92*AC92*(AJ92-EOMONTH(EDATE(A92,-1),0))))/(AK92*AB92*AE92)</f>
        <v>#N/A</v>
      </c>
      <c r="AG92" s="207" t="n">
        <f aca="false">IF($A93="","",Summary!$Q$11)</f>
        <v>0</v>
      </c>
      <c r="AH92" s="207" t="n">
        <f aca="false">IF($A93="","",IF(Summary!$R$11="Y",(VLOOKUP($A92,Summary!$AD$6:$AF$9,3)+'Escalating commodity'!G105),'Escalating commodity'!G105))</f>
        <v>0.00558228434158094</v>
      </c>
      <c r="AI92" s="207" t="n">
        <f aca="false">IF($A93="","",AH92)</f>
        <v>0.00558228434158094</v>
      </c>
      <c r="AJ92" s="208" t="n">
        <f aca="false">A92+DAY(EOMONTH(A92,0))/2-1</f>
        <v>39553</v>
      </c>
      <c r="AK92" s="209" t="n">
        <f aca="false">IF($A93="","",$A92-$E$1)</f>
        <v>-6387</v>
      </c>
      <c r="AL92" s="182" t="e">
        <f aca="false">IF($A93="","",SPRDOPT(P92,X92,AI92,0,AB92,AE92,AF92,AK92,$AJ$2,0))</f>
        <v>#NAME?</v>
      </c>
      <c r="AM92" s="210" t="e">
        <f aca="false">IF($A93="","",MAX(0,O92-W92-AI92))</f>
        <v>#N/A</v>
      </c>
      <c r="AN92" s="211" t="e">
        <f aca="false">IF($A93="","",AL92-AM92)</f>
        <v>#N/A</v>
      </c>
      <c r="AO92" s="137" t="n">
        <f aca="false">IF(A93="","",A93-A92)</f>
        <v>30</v>
      </c>
      <c r="AP92" s="212" t="n">
        <f aca="false">IF(A93="","",CHOOSE(F$3,A93+24,A92))</f>
        <v>39539</v>
      </c>
      <c r="AQ92" s="209" t="n">
        <f aca="false">IF(A93="","",AP92-$E$1)</f>
        <v>-6387</v>
      </c>
      <c r="AR92" s="185" t="n">
        <f aca="false">'ANR OK vs ML7'!AR92</f>
        <v>0.1</v>
      </c>
      <c r="AS92" s="213" t="n">
        <f aca="false">IF(A93="","",1/(1+CHOOSE(F$3,(AR93+($I$3/10000))/2,(AR92+($I$3/10000))/2))^(2*AQ92/365.25))</f>
        <v>5.50883594769026</v>
      </c>
      <c r="AT92" s="137" t="n">
        <f aca="false">IF(A93="","",IF(AND(mthbeg&lt;=A92,mthend&gt;=A92),1,0))</f>
        <v>1</v>
      </c>
      <c r="AU92" s="137" t="n">
        <f aca="false">IF(A93="","",AO92*AT92)</f>
        <v>30</v>
      </c>
      <c r="AW92" s="195" t="e">
        <f aca="false">IF($A93="","",AL92*$E92)</f>
        <v>#NAME?</v>
      </c>
      <c r="AX92" s="195" t="e">
        <f aca="false">IF($A93="","",AM92*$E92)</f>
        <v>#N/A</v>
      </c>
      <c r="AY92" s="195" t="e">
        <f aca="false">IF($A93="","",AN92*$E92)</f>
        <v>#N/A</v>
      </c>
      <c r="BA92" s="195" t="n">
        <f aca="false">IF($A93="","",F92*Summary!$Q$11)</f>
        <v>0</v>
      </c>
      <c r="BC92" s="179" t="e">
        <f aca="false">IF(A93="","",AM92*F92)</f>
        <v>#N/A</v>
      </c>
    </row>
    <row r="93" customFormat="false" ht="12.75" hidden="false" customHeight="false" outlineLevel="0" collapsed="false">
      <c r="A93" s="196" t="n">
        <f aca="false">IF(A92&lt;mthend,EDATE(A92,1),"")</f>
        <v>39569</v>
      </c>
      <c r="B93" s="197" t="n">
        <f aca="false">IF(A93&lt;mthend,B92,"")</f>
        <v>124142</v>
      </c>
      <c r="C93" s="215"/>
      <c r="D93" s="197" t="n">
        <f aca="false">IF(A94&lt;&gt;"",B93+C93,"")</f>
        <v>124142</v>
      </c>
      <c r="E93" s="199" t="n">
        <f aca="false">IF(A94="","",IF(AND(AT93=1,$H$3=1),D93*AO93,IF($H$3=2,D93,"N/A")))</f>
        <v>3848402</v>
      </c>
      <c r="F93" s="199" t="n">
        <f aca="false">IF(A94="","",E93*AS93)</f>
        <v>21030978.658193</v>
      </c>
      <c r="G93" s="200" t="e">
        <f aca="false">IF($A94="","",VLOOKUP($A93,Table,MATCH(G$4,Curves,0)))</f>
        <v>#N/A</v>
      </c>
      <c r="H93" s="201" t="e">
        <f aca="false">IF(A94="","",G93)</f>
        <v>#N/A</v>
      </c>
      <c r="I93" s="202"/>
      <c r="J93" s="200" t="e">
        <f aca="false">IF($A94="","",VLOOKUP($A93,Table,MATCH(J$4,Curves,0)))</f>
        <v>#N/A</v>
      </c>
      <c r="K93" s="201" t="e">
        <f aca="false">IF(A94="","",J93)</f>
        <v>#N/A</v>
      </c>
      <c r="L93" s="200" t="e">
        <f aca="false">IF($A94="","",VLOOKUP($A93,Table,MATCH(L$4,Curves,0)))</f>
        <v>#N/A</v>
      </c>
      <c r="M93" s="201" t="e">
        <f aca="false">IF(A94="","",L93)</f>
        <v>#N/A</v>
      </c>
      <c r="N93" s="203"/>
      <c r="O93" s="200" t="e">
        <f aca="false">IF(A94="","",L93+J93+G93)</f>
        <v>#N/A</v>
      </c>
      <c r="P93" s="200" t="e">
        <f aca="false">IF(A94="","",M93+K93+H93)</f>
        <v>#N/A</v>
      </c>
      <c r="Q93" s="204"/>
      <c r="R93" s="200" t="e">
        <f aca="false">IF($A94="","",VLOOKUP($A93,Table,MATCH(R$4,Curves,0)))</f>
        <v>#N/A</v>
      </c>
      <c r="S93" s="201" t="e">
        <f aca="false">IF(A94="","",R93)</f>
        <v>#N/A</v>
      </c>
      <c r="T93" s="185" t="n">
        <v>0</v>
      </c>
      <c r="U93" s="201" t="n">
        <f aca="false">IF(A94="","",T93)</f>
        <v>0</v>
      </c>
      <c r="V93" s="205" t="e">
        <f aca="false">IF($A94="","",IF(AND(MONTH(A93)&gt;3,MONTH(A93)&lt;11),(T93+R93+G93)*Summary!$T$11/(1-Summary!$T$11),(T93+R93+G93)*Summary!$U$11/(1-Summary!$U$11)))</f>
        <v>#N/A</v>
      </c>
      <c r="W93" s="202" t="e">
        <f aca="false">IF($A94="","",(T93+R93+G93+V93))</f>
        <v>#N/A</v>
      </c>
      <c r="X93" s="202" t="e">
        <f aca="false">IF($A94="","",(U93+S93+H93+V93))</f>
        <v>#N/A</v>
      </c>
      <c r="Y93" s="202"/>
      <c r="Z93" s="185" t="e">
        <f aca="false">IF($A94="","",VLOOKUP($A93,Table,MATCH(Z$4,Curves,0)))</f>
        <v>#N/A</v>
      </c>
      <c r="AA93" s="185" t="e">
        <f aca="false">IF($A94="","",VLOOKUP($A93,Table,MATCH(AA$4,Curves,0)))</f>
        <v>#N/A</v>
      </c>
      <c r="AB93" s="185" t="e">
        <f aca="false">SQRT((AA93^2*(A93-$D$3)+Z93^2*(DAY(EOMONTH(A93,0))/2))/AK93)</f>
        <v>#N/A</v>
      </c>
      <c r="AC93" s="185" t="e">
        <f aca="false">IF($A94="","",VLOOKUP($A93,Table,MATCH(AC$4,Curves,0)))</f>
        <v>#N/A</v>
      </c>
      <c r="AD93" s="185" t="e">
        <f aca="false">IF($A94="","",VLOOKUP($A93,Table,MATCH(AD$4,Curves,0)))</f>
        <v>#N/A</v>
      </c>
      <c r="AE93" s="185" t="e">
        <f aca="false">SQRT((AD93^2*(A93-$D$3)+AC93^2*(DAY(EOMONTH(A93,0))/2))/AK93)</f>
        <v>#N/A</v>
      </c>
      <c r="AF93" s="206" t="e">
        <f aca="false">((Summary!$N$11*(AA93*AD93)*(A93-$D$3))+(Summary!$M$11*Z93*AC93*(AJ93-EOMONTH(EDATE(A93,-1),0))))/(AK93*AB93*AE93)</f>
        <v>#N/A</v>
      </c>
      <c r="AG93" s="207" t="n">
        <f aca="false">IF($A94="","",Summary!$Q$11)</f>
        <v>0</v>
      </c>
      <c r="AH93" s="207" t="n">
        <f aca="false">IF($A94="","",IF(Summary!$R$11="Y",(VLOOKUP($A93,Summary!$AD$6:$AF$9,3)+'Escalating commodity'!G106),'Escalating commodity'!G106))</f>
        <v>0.00558228434158094</v>
      </c>
      <c r="AI93" s="207" t="n">
        <f aca="false">IF($A94="","",AH93)</f>
        <v>0.00558228434158094</v>
      </c>
      <c r="AJ93" s="208" t="n">
        <f aca="false">A93+DAY(EOMONTH(A93,0))/2-1</f>
        <v>39583.5</v>
      </c>
      <c r="AK93" s="209" t="n">
        <f aca="false">IF($A94="","",$A93-$E$1)</f>
        <v>-6357</v>
      </c>
      <c r="AL93" s="182" t="e">
        <f aca="false">IF($A94="","",SPRDOPT(P93,X93,AI93,0,AB93,AE93,AF93,AK93,$AJ$2,0))</f>
        <v>#NAME?</v>
      </c>
      <c r="AM93" s="210" t="e">
        <f aca="false">IF($A94="","",MAX(0,O93-W93-AI93))</f>
        <v>#N/A</v>
      </c>
      <c r="AN93" s="211" t="e">
        <f aca="false">IF($A94="","",AL93-AM93)</f>
        <v>#N/A</v>
      </c>
      <c r="AO93" s="137" t="n">
        <f aca="false">IF(A94="","",A94-A93)</f>
        <v>31</v>
      </c>
      <c r="AP93" s="212" t="n">
        <f aca="false">IF(A94="","",CHOOSE(F$3,A94+24,A93))</f>
        <v>39569</v>
      </c>
      <c r="AQ93" s="209" t="n">
        <f aca="false">IF(A94="","",AP93-$E$1)</f>
        <v>-6357</v>
      </c>
      <c r="AR93" s="185" t="n">
        <f aca="false">'ANR OK vs ML7'!AR93</f>
        <v>0.1</v>
      </c>
      <c r="AS93" s="213" t="n">
        <f aca="false">IF(A94="","",1/(1+CHOOSE(F$3,(AR94+($I$3/10000))/2,(AR93+($I$3/10000))/2))^(2*AQ93/365.25))</f>
        <v>5.46486013108636</v>
      </c>
      <c r="AT93" s="137" t="n">
        <f aca="false">IF(A94="","",IF(AND(mthbeg&lt;=A93,mthend&gt;=A93),1,0))</f>
        <v>1</v>
      </c>
      <c r="AU93" s="137" t="n">
        <f aca="false">IF(A94="","",AO93*AT93)</f>
        <v>31</v>
      </c>
      <c r="AW93" s="195" t="e">
        <f aca="false">IF($A94="","",AL93*$E93)</f>
        <v>#NAME?</v>
      </c>
      <c r="AX93" s="195" t="e">
        <f aca="false">IF($A94="","",AM93*$E93)</f>
        <v>#N/A</v>
      </c>
      <c r="AY93" s="195" t="e">
        <f aca="false">IF($A94="","",AN93*$E93)</f>
        <v>#N/A</v>
      </c>
      <c r="BA93" s="195" t="n">
        <f aca="false">IF($A94="","",F93*Summary!$Q$11)</f>
        <v>0</v>
      </c>
      <c r="BC93" s="179" t="e">
        <f aca="false">IF(A94="","",AM93*F93)</f>
        <v>#N/A</v>
      </c>
    </row>
    <row r="94" customFormat="false" ht="12.75" hidden="false" customHeight="false" outlineLevel="0" collapsed="false">
      <c r="A94" s="196" t="n">
        <f aca="false">IF(A93&lt;mthend,EDATE(A93,1),"")</f>
        <v>39600</v>
      </c>
      <c r="B94" s="197" t="n">
        <f aca="false">IF(A94&lt;mthend,B93,"")</f>
        <v>124142</v>
      </c>
      <c r="C94" s="215"/>
      <c r="D94" s="197" t="n">
        <f aca="false">IF(A95&lt;&gt;"",B94+C94,"")</f>
        <v>124142</v>
      </c>
      <c r="E94" s="199" t="n">
        <f aca="false">IF(A95="","",IF(AND(AT94=1,$H$3=1),D94*AO94,IF($H$3=2,D94,"N/A")))</f>
        <v>3724260</v>
      </c>
      <c r="F94" s="199" t="n">
        <f aca="false">IF(A95="","",E94*AS94)</f>
        <v>20184696.7439145</v>
      </c>
      <c r="G94" s="200" t="e">
        <f aca="false">IF($A95="","",VLOOKUP($A94,Table,MATCH(G$4,Curves,0)))</f>
        <v>#N/A</v>
      </c>
      <c r="H94" s="201" t="e">
        <f aca="false">IF(A95="","",G94)</f>
        <v>#N/A</v>
      </c>
      <c r="I94" s="202"/>
      <c r="J94" s="200" t="e">
        <f aca="false">IF($A95="","",VLOOKUP($A94,Table,MATCH(J$4,Curves,0)))</f>
        <v>#N/A</v>
      </c>
      <c r="K94" s="201" t="e">
        <f aca="false">IF(A95="","",J94)</f>
        <v>#N/A</v>
      </c>
      <c r="L94" s="200" t="e">
        <f aca="false">IF($A95="","",VLOOKUP($A94,Table,MATCH(L$4,Curves,0)))</f>
        <v>#N/A</v>
      </c>
      <c r="M94" s="201" t="e">
        <f aca="false">IF(A95="","",L94)</f>
        <v>#N/A</v>
      </c>
      <c r="N94" s="203"/>
      <c r="O94" s="200" t="e">
        <f aca="false">IF(A95="","",L94+J94+G94)</f>
        <v>#N/A</v>
      </c>
      <c r="P94" s="200" t="e">
        <f aca="false">IF(A95="","",M94+K94+H94)</f>
        <v>#N/A</v>
      </c>
      <c r="Q94" s="204"/>
      <c r="R94" s="200" t="e">
        <f aca="false">IF($A95="","",VLOOKUP($A94,Table,MATCH(R$4,Curves,0)))</f>
        <v>#N/A</v>
      </c>
      <c r="S94" s="201" t="e">
        <f aca="false">IF(A95="","",R94)</f>
        <v>#N/A</v>
      </c>
      <c r="T94" s="185" t="n">
        <v>0</v>
      </c>
      <c r="U94" s="201" t="n">
        <f aca="false">IF(A95="","",T94)</f>
        <v>0</v>
      </c>
      <c r="V94" s="205" t="e">
        <f aca="false">IF($A95="","",IF(AND(MONTH(A94)&gt;3,MONTH(A94)&lt;11),(T94+R94+G94)*Summary!$T$11/(1-Summary!$T$11),(T94+R94+G94)*Summary!$U$11/(1-Summary!$U$11)))</f>
        <v>#N/A</v>
      </c>
      <c r="W94" s="202" t="e">
        <f aca="false">IF($A95="","",(T94+R94+G94+V94))</f>
        <v>#N/A</v>
      </c>
      <c r="X94" s="202" t="e">
        <f aca="false">IF($A95="","",(U94+S94+H94+V94))</f>
        <v>#N/A</v>
      </c>
      <c r="Y94" s="202"/>
      <c r="Z94" s="185" t="e">
        <f aca="false">IF($A95="","",VLOOKUP($A94,Table,MATCH(Z$4,Curves,0)))</f>
        <v>#N/A</v>
      </c>
      <c r="AA94" s="185" t="e">
        <f aca="false">IF($A95="","",VLOOKUP($A94,Table,MATCH(AA$4,Curves,0)))</f>
        <v>#N/A</v>
      </c>
      <c r="AB94" s="185" t="e">
        <f aca="false">SQRT((AA94^2*(A94-$D$3)+Z94^2*(DAY(EOMONTH(A94,0))/2))/AK94)</f>
        <v>#N/A</v>
      </c>
      <c r="AC94" s="185" t="e">
        <f aca="false">IF($A95="","",VLOOKUP($A94,Table,MATCH(AC$4,Curves,0)))</f>
        <v>#N/A</v>
      </c>
      <c r="AD94" s="185" t="e">
        <f aca="false">IF($A95="","",VLOOKUP($A94,Table,MATCH(AD$4,Curves,0)))</f>
        <v>#N/A</v>
      </c>
      <c r="AE94" s="185" t="e">
        <f aca="false">SQRT((AD94^2*(A94-$D$3)+AC94^2*(DAY(EOMONTH(A94,0))/2))/AK94)</f>
        <v>#N/A</v>
      </c>
      <c r="AF94" s="206" t="e">
        <f aca="false">((Summary!$N$11*(AA94*AD94)*(A94-$D$3))+(Summary!$M$11*Z94*AC94*(AJ94-EOMONTH(EDATE(A94,-1),0))))/(AK94*AB94*AE94)</f>
        <v>#N/A</v>
      </c>
      <c r="AG94" s="207" t="n">
        <f aca="false">IF($A95="","",Summary!$Q$11)</f>
        <v>0</v>
      </c>
      <c r="AH94" s="207" t="n">
        <f aca="false">IF($A95="","",IF(Summary!$R$11="Y",(VLOOKUP($A94,Summary!$AD$6:$AF$9,3)+'Escalating commodity'!G107),'Escalating commodity'!G107))</f>
        <v>0.00558228434158094</v>
      </c>
      <c r="AI94" s="207" t="n">
        <f aca="false">IF($A95="","",AH94)</f>
        <v>0.00558228434158094</v>
      </c>
      <c r="AJ94" s="208" t="n">
        <f aca="false">A94+DAY(EOMONTH(A94,0))/2-1</f>
        <v>39614</v>
      </c>
      <c r="AK94" s="209" t="n">
        <f aca="false">IF($A95="","",$A94-$E$1)</f>
        <v>-6326</v>
      </c>
      <c r="AL94" s="182" t="e">
        <f aca="false">IF($A95="","",SPRDOPT(P94,X94,AI94,0,AB94,AE94,AF94,AK94,$AJ$2,0))</f>
        <v>#NAME?</v>
      </c>
      <c r="AM94" s="210" t="e">
        <f aca="false">IF($A95="","",MAX(0,O94-W94-AI94))</f>
        <v>#N/A</v>
      </c>
      <c r="AN94" s="211" t="e">
        <f aca="false">IF($A95="","",AL94-AM94)</f>
        <v>#N/A</v>
      </c>
      <c r="AO94" s="137" t="n">
        <f aca="false">IF(A95="","",A95-A94)</f>
        <v>30</v>
      </c>
      <c r="AP94" s="212" t="n">
        <f aca="false">IF(A95="","",CHOOSE(F$3,A95+24,A94))</f>
        <v>39600</v>
      </c>
      <c r="AQ94" s="209" t="n">
        <f aca="false">IF(A95="","",AP94-$E$1)</f>
        <v>-6326</v>
      </c>
      <c r="AR94" s="185" t="n">
        <f aca="false">'ANR OK vs ML7'!AR94</f>
        <v>0.1</v>
      </c>
      <c r="AS94" s="213" t="n">
        <f aca="false">IF(A95="","",1/(1+CHOOSE(F$3,(AR95+($I$3/10000))/2,(AR94+($I$3/10000))/2))^(2*AQ94/365.25))</f>
        <v>5.41978721784045</v>
      </c>
      <c r="AT94" s="137" t="n">
        <f aca="false">IF(A95="","",IF(AND(mthbeg&lt;=A94,mthend&gt;=A94),1,0))</f>
        <v>1</v>
      </c>
      <c r="AU94" s="137" t="n">
        <f aca="false">IF(A95="","",AO94*AT94)</f>
        <v>30</v>
      </c>
      <c r="AW94" s="195" t="e">
        <f aca="false">IF($A95="","",AL94*$E94)</f>
        <v>#NAME?</v>
      </c>
      <c r="AX94" s="195" t="e">
        <f aca="false">IF($A95="","",AM94*$E94)</f>
        <v>#N/A</v>
      </c>
      <c r="AY94" s="195" t="e">
        <f aca="false">IF($A95="","",AN94*$E94)</f>
        <v>#N/A</v>
      </c>
      <c r="BA94" s="195" t="n">
        <f aca="false">IF($A95="","",F94*Summary!$Q$11)</f>
        <v>0</v>
      </c>
      <c r="BC94" s="179" t="e">
        <f aca="false">IF(A95="","",AM94*F94)</f>
        <v>#N/A</v>
      </c>
    </row>
    <row r="95" customFormat="false" ht="12.75" hidden="false" customHeight="false" outlineLevel="0" collapsed="false">
      <c r="A95" s="196" t="n">
        <f aca="false">IF(A94&lt;mthend,EDATE(A94,1),"")</f>
        <v>39630</v>
      </c>
      <c r="B95" s="197" t="n">
        <f aca="false">IF(A95&lt;mthend,B94,"")</f>
        <v>124142</v>
      </c>
      <c r="C95" s="215"/>
      <c r="D95" s="197" t="n">
        <f aca="false">IF(A96&lt;&gt;"",B95+C95,"")</f>
        <v>124142</v>
      </c>
      <c r="E95" s="199" t="n">
        <f aca="false">IF(A96="","",IF(AND(AT95=1,$H$3=1),D95*AO95,IF($H$3=2,D95,"N/A")))</f>
        <v>3848402</v>
      </c>
      <c r="F95" s="199" t="n">
        <f aca="false">IF(A96="","",E95*AS95)</f>
        <v>20691019.0088599</v>
      </c>
      <c r="G95" s="200" t="e">
        <f aca="false">IF($A96="","",VLOOKUP($A95,Table,MATCH(G$4,Curves,0)))</f>
        <v>#N/A</v>
      </c>
      <c r="H95" s="201" t="e">
        <f aca="false">IF(A96="","",G95)</f>
        <v>#N/A</v>
      </c>
      <c r="I95" s="202"/>
      <c r="J95" s="200" t="e">
        <f aca="false">IF($A96="","",VLOOKUP($A95,Table,MATCH(J$4,Curves,0)))</f>
        <v>#N/A</v>
      </c>
      <c r="K95" s="201" t="e">
        <f aca="false">IF(A96="","",J95)</f>
        <v>#N/A</v>
      </c>
      <c r="L95" s="200" t="e">
        <f aca="false">IF($A96="","",VLOOKUP($A95,Table,MATCH(L$4,Curves,0)))</f>
        <v>#N/A</v>
      </c>
      <c r="M95" s="201" t="e">
        <f aca="false">IF(A96="","",L95)</f>
        <v>#N/A</v>
      </c>
      <c r="N95" s="203"/>
      <c r="O95" s="200" t="e">
        <f aca="false">IF(A96="","",L95+J95+G95)</f>
        <v>#N/A</v>
      </c>
      <c r="P95" s="200" t="e">
        <f aca="false">IF(A96="","",M95+K95+H95)</f>
        <v>#N/A</v>
      </c>
      <c r="Q95" s="204"/>
      <c r="R95" s="200" t="e">
        <f aca="false">IF($A96="","",VLOOKUP($A95,Table,MATCH(R$4,Curves,0)))</f>
        <v>#N/A</v>
      </c>
      <c r="S95" s="201" t="e">
        <f aca="false">IF(A96="","",R95)</f>
        <v>#N/A</v>
      </c>
      <c r="T95" s="185" t="n">
        <v>0</v>
      </c>
      <c r="U95" s="201" t="n">
        <f aca="false">IF(A96="","",T95)</f>
        <v>0</v>
      </c>
      <c r="V95" s="205" t="e">
        <f aca="false">IF($A96="","",IF(AND(MONTH(A95)&gt;3,MONTH(A95)&lt;11),(T95+R95+G95)*Summary!$T$11/(1-Summary!$T$11),(T95+R95+G95)*Summary!$U$11/(1-Summary!$U$11)))</f>
        <v>#N/A</v>
      </c>
      <c r="W95" s="202" t="e">
        <f aca="false">IF($A96="","",(T95+R95+G95+V95))</f>
        <v>#N/A</v>
      </c>
      <c r="X95" s="202" t="e">
        <f aca="false">IF($A96="","",(U95+S95+H95+V95))</f>
        <v>#N/A</v>
      </c>
      <c r="Y95" s="202"/>
      <c r="Z95" s="185" t="e">
        <f aca="false">IF($A96="","",VLOOKUP($A95,Table,MATCH(Z$4,Curves,0)))</f>
        <v>#N/A</v>
      </c>
      <c r="AA95" s="185" t="e">
        <f aca="false">IF($A96="","",VLOOKUP($A95,Table,MATCH(AA$4,Curves,0)))</f>
        <v>#N/A</v>
      </c>
      <c r="AB95" s="185" t="e">
        <f aca="false">SQRT((AA95^2*(A95-$D$3)+Z95^2*(DAY(EOMONTH(A95,0))/2))/AK95)</f>
        <v>#N/A</v>
      </c>
      <c r="AC95" s="185" t="e">
        <f aca="false">IF($A96="","",VLOOKUP($A95,Table,MATCH(AC$4,Curves,0)))</f>
        <v>#N/A</v>
      </c>
      <c r="AD95" s="185" t="e">
        <f aca="false">IF($A96="","",VLOOKUP($A95,Table,MATCH(AD$4,Curves,0)))</f>
        <v>#N/A</v>
      </c>
      <c r="AE95" s="185" t="e">
        <f aca="false">SQRT((AD95^2*(A95-$D$3)+AC95^2*(DAY(EOMONTH(A95,0))/2))/AK95)</f>
        <v>#N/A</v>
      </c>
      <c r="AF95" s="206" t="e">
        <f aca="false">((Summary!$N$11*(AA95*AD95)*(A95-$D$3))+(Summary!$M$11*Z95*AC95*(AJ95-EOMONTH(EDATE(A95,-1),0))))/(AK95*AB95*AE95)</f>
        <v>#N/A</v>
      </c>
      <c r="AG95" s="207" t="n">
        <f aca="false">IF($A96="","",Summary!$Q$11)</f>
        <v>0</v>
      </c>
      <c r="AH95" s="207" t="n">
        <f aca="false">IF($A96="","",IF(Summary!$R$11="Y",(VLOOKUP($A95,Summary!$AD$6:$AF$9,3)+'Escalating commodity'!G108),'Escalating commodity'!G108))</f>
        <v>0.00558228434158094</v>
      </c>
      <c r="AI95" s="207" t="n">
        <f aca="false">IF($A96="","",AH95)</f>
        <v>0.00558228434158094</v>
      </c>
      <c r="AJ95" s="208" t="n">
        <f aca="false">A95+DAY(EOMONTH(A95,0))/2-1</f>
        <v>39644.5</v>
      </c>
      <c r="AK95" s="209" t="n">
        <f aca="false">IF($A96="","",$A95-$E$1)</f>
        <v>-6296</v>
      </c>
      <c r="AL95" s="182" t="e">
        <f aca="false">IF($A96="","",SPRDOPT(P95,X95,AI95,0,AB95,AE95,AF95,AK95,$AJ$2,0))</f>
        <v>#NAME?</v>
      </c>
      <c r="AM95" s="210" t="e">
        <f aca="false">IF($A96="","",MAX(0,O95-W95-AI95))</f>
        <v>#N/A</v>
      </c>
      <c r="AN95" s="211" t="e">
        <f aca="false">IF($A96="","",AL95-AM95)</f>
        <v>#N/A</v>
      </c>
      <c r="AO95" s="137" t="n">
        <f aca="false">IF(A96="","",A96-A95)</f>
        <v>31</v>
      </c>
      <c r="AP95" s="212" t="n">
        <f aca="false">IF(A96="","",CHOOSE(F$3,A96+24,A95))</f>
        <v>39630</v>
      </c>
      <c r="AQ95" s="209" t="n">
        <f aca="false">IF(A96="","",AP95-$E$1)</f>
        <v>-6296</v>
      </c>
      <c r="AR95" s="185" t="n">
        <f aca="false">'ANR OK vs ML7'!AR95</f>
        <v>0.1</v>
      </c>
      <c r="AS95" s="213" t="n">
        <f aca="false">IF(A96="","",1/(1+CHOOSE(F$3,(AR96+($I$3/10000))/2,(AR95+($I$3/10000))/2))^(2*AQ95/365.25))</f>
        <v>5.37652225751361</v>
      </c>
      <c r="AT95" s="137" t="n">
        <f aca="false">IF(A96="","",IF(AND(mthbeg&lt;=A95,mthend&gt;=A95),1,0))</f>
        <v>1</v>
      </c>
      <c r="AU95" s="137" t="n">
        <f aca="false">IF(A96="","",AO95*AT95)</f>
        <v>31</v>
      </c>
      <c r="AW95" s="195" t="e">
        <f aca="false">IF($A96="","",AL95*$E95)</f>
        <v>#NAME?</v>
      </c>
      <c r="AX95" s="195" t="e">
        <f aca="false">IF($A96="","",AM95*$E95)</f>
        <v>#N/A</v>
      </c>
      <c r="AY95" s="195" t="e">
        <f aca="false">IF($A96="","",AN95*$E95)</f>
        <v>#N/A</v>
      </c>
      <c r="BA95" s="195" t="n">
        <f aca="false">IF($A96="","",F95*Summary!$Q$11)</f>
        <v>0</v>
      </c>
      <c r="BC95" s="179" t="e">
        <f aca="false">IF(A96="","",AM95*F95)</f>
        <v>#N/A</v>
      </c>
    </row>
    <row r="96" customFormat="false" ht="12.75" hidden="false" customHeight="false" outlineLevel="0" collapsed="false">
      <c r="A96" s="196" t="n">
        <f aca="false">IF(A95&lt;mthend,EDATE(A95,1),"")</f>
        <v>39661</v>
      </c>
      <c r="B96" s="197" t="n">
        <f aca="false">IF(A96&lt;mthend,B95,"")</f>
        <v>124142</v>
      </c>
      <c r="C96" s="215"/>
      <c r="D96" s="197" t="n">
        <f aca="false">IF(A97&lt;&gt;"",B96+C96,"")</f>
        <v>124142</v>
      </c>
      <c r="E96" s="199" t="n">
        <f aca="false">IF(A97="","",IF(AND(AT96=1,$H$3=1),D96*AO96,IF($H$3=2,D96,"N/A")))</f>
        <v>3848402</v>
      </c>
      <c r="F96" s="199" t="n">
        <f aca="false">IF(A97="","",E96*AS96)</f>
        <v>20520364.2286121</v>
      </c>
      <c r="G96" s="200" t="e">
        <f aca="false">IF($A97="","",VLOOKUP($A96,Table,MATCH(G$4,Curves,0)))</f>
        <v>#N/A</v>
      </c>
      <c r="H96" s="201" t="e">
        <f aca="false">IF(A97="","",G96)</f>
        <v>#N/A</v>
      </c>
      <c r="I96" s="202"/>
      <c r="J96" s="200" t="e">
        <f aca="false">IF($A97="","",VLOOKUP($A96,Table,MATCH(J$4,Curves,0)))</f>
        <v>#N/A</v>
      </c>
      <c r="K96" s="201" t="e">
        <f aca="false">IF(A97="","",J96)</f>
        <v>#N/A</v>
      </c>
      <c r="L96" s="200" t="e">
        <f aca="false">IF($A97="","",VLOOKUP($A96,Table,MATCH(L$4,Curves,0)))</f>
        <v>#N/A</v>
      </c>
      <c r="M96" s="201" t="e">
        <f aca="false">IF(A97="","",L96)</f>
        <v>#N/A</v>
      </c>
      <c r="N96" s="203"/>
      <c r="O96" s="200" t="e">
        <f aca="false">IF(A97="","",L96+J96+G96)</f>
        <v>#N/A</v>
      </c>
      <c r="P96" s="200" t="e">
        <f aca="false">IF(A97="","",M96+K96+H96)</f>
        <v>#N/A</v>
      </c>
      <c r="Q96" s="204"/>
      <c r="R96" s="200" t="e">
        <f aca="false">IF($A97="","",VLOOKUP($A96,Table,MATCH(R$4,Curves,0)))</f>
        <v>#N/A</v>
      </c>
      <c r="S96" s="201" t="e">
        <f aca="false">IF(A97="","",R96)</f>
        <v>#N/A</v>
      </c>
      <c r="T96" s="185" t="n">
        <v>0</v>
      </c>
      <c r="U96" s="201" t="n">
        <f aca="false">IF(A97="","",T96)</f>
        <v>0</v>
      </c>
      <c r="V96" s="205" t="e">
        <f aca="false">IF($A97="","",IF(AND(MONTH(A96)&gt;3,MONTH(A96)&lt;11),(T96+R96+G96)*Summary!$T$11/(1-Summary!$T$11),(T96+R96+G96)*Summary!$U$11/(1-Summary!$U$11)))</f>
        <v>#N/A</v>
      </c>
      <c r="W96" s="202" t="e">
        <f aca="false">IF($A97="","",(T96+R96+G96+V96))</f>
        <v>#N/A</v>
      </c>
      <c r="X96" s="202" t="e">
        <f aca="false">IF($A97="","",(U96+S96+H96+V96))</f>
        <v>#N/A</v>
      </c>
      <c r="Y96" s="202"/>
      <c r="Z96" s="185" t="e">
        <f aca="false">IF($A97="","",VLOOKUP($A96,Table,MATCH(Z$4,Curves,0)))</f>
        <v>#N/A</v>
      </c>
      <c r="AA96" s="185" t="e">
        <f aca="false">IF($A97="","",VLOOKUP($A96,Table,MATCH(AA$4,Curves,0)))</f>
        <v>#N/A</v>
      </c>
      <c r="AB96" s="185" t="e">
        <f aca="false">SQRT((AA96^2*(A96-$D$3)+Z96^2*(DAY(EOMONTH(A96,0))/2))/AK96)</f>
        <v>#N/A</v>
      </c>
      <c r="AC96" s="185" t="e">
        <f aca="false">IF($A97="","",VLOOKUP($A96,Table,MATCH(AC$4,Curves,0)))</f>
        <v>#N/A</v>
      </c>
      <c r="AD96" s="185" t="e">
        <f aca="false">IF($A97="","",VLOOKUP($A96,Table,MATCH(AD$4,Curves,0)))</f>
        <v>#N/A</v>
      </c>
      <c r="AE96" s="185" t="e">
        <f aca="false">SQRT((AD96^2*(A96-$D$3)+AC96^2*(DAY(EOMONTH(A96,0))/2))/AK96)</f>
        <v>#N/A</v>
      </c>
      <c r="AF96" s="206" t="e">
        <f aca="false">((Summary!$N$11*(AA96*AD96)*(A96-$D$3))+(Summary!$M$11*Z96*AC96*(AJ96-EOMONTH(EDATE(A96,-1),0))))/(AK96*AB96*AE96)</f>
        <v>#N/A</v>
      </c>
      <c r="AG96" s="207" t="n">
        <f aca="false">IF($A97="","",Summary!$Q$11)</f>
        <v>0</v>
      </c>
      <c r="AH96" s="207" t="n">
        <f aca="false">IF($A97="","",IF(Summary!$R$11="Y",(VLOOKUP($A96,Summary!$AD$6:$AF$9,3)+'Escalating commodity'!G109),'Escalating commodity'!G109))</f>
        <v>0.00558228434158094</v>
      </c>
      <c r="AI96" s="207" t="n">
        <f aca="false">IF($A97="","",AH96)</f>
        <v>0.00558228434158094</v>
      </c>
      <c r="AJ96" s="208" t="n">
        <f aca="false">A96+DAY(EOMONTH(A96,0))/2-1</f>
        <v>39675.5</v>
      </c>
      <c r="AK96" s="209" t="n">
        <f aca="false">IF($A97="","",$A96-$E$1)</f>
        <v>-6265</v>
      </c>
      <c r="AL96" s="182" t="e">
        <f aca="false">IF($A97="","",SPRDOPT(P96,X96,AI96,0,AB96,AE96,AF96,AK96,$AJ$2,0))</f>
        <v>#NAME?</v>
      </c>
      <c r="AM96" s="210" t="e">
        <f aca="false">IF($A97="","",MAX(0,O96-W96-AI96))</f>
        <v>#N/A</v>
      </c>
      <c r="AN96" s="211" t="e">
        <f aca="false">IF($A97="","",AL96-AM96)</f>
        <v>#N/A</v>
      </c>
      <c r="AO96" s="137" t="n">
        <f aca="false">IF(A97="","",A97-A96)</f>
        <v>31</v>
      </c>
      <c r="AP96" s="212" t="n">
        <f aca="false">IF(A97="","",CHOOSE(F$3,A97+24,A96))</f>
        <v>39661</v>
      </c>
      <c r="AQ96" s="209" t="n">
        <f aca="false">IF(A97="","",AP96-$E$1)</f>
        <v>-6265</v>
      </c>
      <c r="AR96" s="185" t="n">
        <f aca="false">'ANR OK vs ML7'!AR96</f>
        <v>0.1</v>
      </c>
      <c r="AS96" s="213" t="n">
        <f aca="false">IF(A97="","",1/(1+CHOOSE(F$3,(AR97+($I$3/10000))/2,(AR96+($I$3/10000))/2))^(2*AQ96/365.25))</f>
        <v>5.33217793479269</v>
      </c>
      <c r="AT96" s="137" t="n">
        <f aca="false">IF(A97="","",IF(AND(mthbeg&lt;=A96,mthend&gt;=A96),1,0))</f>
        <v>1</v>
      </c>
      <c r="AU96" s="137" t="n">
        <f aca="false">IF(A97="","",AO96*AT96)</f>
        <v>31</v>
      </c>
      <c r="AW96" s="195" t="e">
        <f aca="false">IF($A97="","",AL96*$E96)</f>
        <v>#NAME?</v>
      </c>
      <c r="AX96" s="195" t="e">
        <f aca="false">IF($A97="","",AM96*$E96)</f>
        <v>#N/A</v>
      </c>
      <c r="AY96" s="195" t="e">
        <f aca="false">IF($A97="","",AN96*$E96)</f>
        <v>#N/A</v>
      </c>
      <c r="BA96" s="195" t="n">
        <f aca="false">IF($A97="","",F96*Summary!$Q$11)</f>
        <v>0</v>
      </c>
      <c r="BC96" s="179" t="e">
        <f aca="false">IF(A97="","",AM96*F96)</f>
        <v>#N/A</v>
      </c>
    </row>
    <row r="97" customFormat="false" ht="12.75" hidden="false" customHeight="false" outlineLevel="0" collapsed="false">
      <c r="A97" s="196" t="n">
        <f aca="false">IF(A96&lt;mthend,EDATE(A96,1),"")</f>
        <v>39692</v>
      </c>
      <c r="B97" s="197" t="n">
        <f aca="false">IF(A97&lt;mthend,B96,"")</f>
        <v>124142</v>
      </c>
      <c r="C97" s="215"/>
      <c r="D97" s="197" t="n">
        <f aca="false">IF(A98&lt;&gt;"",B97+C97,"")</f>
        <v>124142</v>
      </c>
      <c r="E97" s="199" t="n">
        <f aca="false">IF(A98="","",IF(AND(AT97=1,$H$3=1),D97*AO97,IF($H$3=2,D97,"N/A")))</f>
        <v>3724260</v>
      </c>
      <c r="F97" s="199" t="n">
        <f aca="false">IF(A98="","",E97*AS97)</f>
        <v>19694629.3256708</v>
      </c>
      <c r="G97" s="200" t="e">
        <f aca="false">IF($A98="","",VLOOKUP($A97,Table,MATCH(G$4,Curves,0)))</f>
        <v>#N/A</v>
      </c>
      <c r="H97" s="201" t="e">
        <f aca="false">IF(A98="","",G97)</f>
        <v>#N/A</v>
      </c>
      <c r="I97" s="202"/>
      <c r="J97" s="200" t="e">
        <f aca="false">IF($A98="","",VLOOKUP($A97,Table,MATCH(J$4,Curves,0)))</f>
        <v>#N/A</v>
      </c>
      <c r="K97" s="201" t="e">
        <f aca="false">IF(A98="","",J97)</f>
        <v>#N/A</v>
      </c>
      <c r="L97" s="200" t="e">
        <f aca="false">IF($A98="","",VLOOKUP($A97,Table,MATCH(L$4,Curves,0)))</f>
        <v>#N/A</v>
      </c>
      <c r="M97" s="201" t="e">
        <f aca="false">IF(A98="","",L97)</f>
        <v>#N/A</v>
      </c>
      <c r="N97" s="203"/>
      <c r="O97" s="200" t="e">
        <f aca="false">IF(A98="","",L97+J97+G97)</f>
        <v>#N/A</v>
      </c>
      <c r="P97" s="200" t="e">
        <f aca="false">IF(A98="","",M97+K97+H97)</f>
        <v>#N/A</v>
      </c>
      <c r="Q97" s="204"/>
      <c r="R97" s="200" t="e">
        <f aca="false">IF($A98="","",VLOOKUP($A97,Table,MATCH(R$4,Curves,0)))</f>
        <v>#N/A</v>
      </c>
      <c r="S97" s="201" t="e">
        <f aca="false">IF(A98="","",R97)</f>
        <v>#N/A</v>
      </c>
      <c r="T97" s="185" t="n">
        <v>0</v>
      </c>
      <c r="U97" s="201" t="n">
        <f aca="false">IF(A98="","",T97)</f>
        <v>0</v>
      </c>
      <c r="V97" s="205" t="e">
        <f aca="false">IF($A98="","",IF(AND(MONTH(A97)&gt;3,MONTH(A97)&lt;11),(T97+R97+G97)*Summary!$T$11/(1-Summary!$T$11),(T97+R97+G97)*Summary!$U$11/(1-Summary!$U$11)))</f>
        <v>#N/A</v>
      </c>
      <c r="W97" s="202" t="e">
        <f aca="false">IF($A98="","",(T97+R97+G97+V97))</f>
        <v>#N/A</v>
      </c>
      <c r="X97" s="202" t="e">
        <f aca="false">IF($A98="","",(U97+S97+H97+V97))</f>
        <v>#N/A</v>
      </c>
      <c r="Y97" s="202"/>
      <c r="Z97" s="185" t="e">
        <f aca="false">IF($A98="","",VLOOKUP($A97,Table,MATCH(Z$4,Curves,0)))</f>
        <v>#N/A</v>
      </c>
      <c r="AA97" s="185" t="e">
        <f aca="false">IF($A98="","",VLOOKUP($A97,Table,MATCH(AA$4,Curves,0)))</f>
        <v>#N/A</v>
      </c>
      <c r="AB97" s="185" t="e">
        <f aca="false">SQRT((AA97^2*(A97-$D$3)+Z97^2*(DAY(EOMONTH(A97,0))/2))/AK97)</f>
        <v>#N/A</v>
      </c>
      <c r="AC97" s="185" t="e">
        <f aca="false">IF($A98="","",VLOOKUP($A97,Table,MATCH(AC$4,Curves,0)))</f>
        <v>#N/A</v>
      </c>
      <c r="AD97" s="185" t="e">
        <f aca="false">IF($A98="","",VLOOKUP($A97,Table,MATCH(AD$4,Curves,0)))</f>
        <v>#N/A</v>
      </c>
      <c r="AE97" s="185" t="e">
        <f aca="false">SQRT((AD97^2*(A97-$D$3)+AC97^2*(DAY(EOMONTH(A97,0))/2))/AK97)</f>
        <v>#N/A</v>
      </c>
      <c r="AF97" s="206" t="e">
        <f aca="false">((Summary!$N$11*(AA97*AD97)*(A97-$D$3))+(Summary!$M$11*Z97*AC97*(AJ97-EOMONTH(EDATE(A97,-1),0))))/(AK97*AB97*AE97)</f>
        <v>#N/A</v>
      </c>
      <c r="AG97" s="207" t="n">
        <f aca="false">IF($A98="","",Summary!$Q$11)</f>
        <v>0</v>
      </c>
      <c r="AH97" s="207" t="n">
        <f aca="false">IF($A98="","",IF(Summary!$R$11="Y",(VLOOKUP($A97,Summary!$AD$6:$AF$9,3)+'Escalating commodity'!G110),'Escalating commodity'!G110))</f>
        <v>0.00558228434158094</v>
      </c>
      <c r="AI97" s="207" t="n">
        <f aca="false">IF($A98="","",AH97)</f>
        <v>0.00558228434158094</v>
      </c>
      <c r="AJ97" s="208" t="n">
        <f aca="false">A97+DAY(EOMONTH(A97,0))/2-1</f>
        <v>39706</v>
      </c>
      <c r="AK97" s="209" t="n">
        <f aca="false">IF($A98="","",$A97-$E$1)</f>
        <v>-6234</v>
      </c>
      <c r="AL97" s="182" t="e">
        <f aca="false">IF($A98="","",SPRDOPT(P97,X97,AI97,0,AB97,AE97,AF97,AK97,$AJ$2,0))</f>
        <v>#NAME?</v>
      </c>
      <c r="AM97" s="210" t="e">
        <f aca="false">IF($A98="","",MAX(0,O97-W97-AI97))</f>
        <v>#N/A</v>
      </c>
      <c r="AN97" s="211" t="e">
        <f aca="false">IF($A98="","",AL97-AM97)</f>
        <v>#N/A</v>
      </c>
      <c r="AO97" s="137" t="n">
        <f aca="false">IF(A98="","",A98-A97)</f>
        <v>30</v>
      </c>
      <c r="AP97" s="212" t="n">
        <f aca="false">IF(A98="","",CHOOSE(F$3,A98+24,A97))</f>
        <v>39692</v>
      </c>
      <c r="AQ97" s="209" t="n">
        <f aca="false">IF(A98="","",AP97-$E$1)</f>
        <v>-6234</v>
      </c>
      <c r="AR97" s="185" t="n">
        <f aca="false">'ANR OK vs ML7'!AR97</f>
        <v>0.1</v>
      </c>
      <c r="AS97" s="213" t="n">
        <f aca="false">IF(A98="","",1/(1+CHOOSE(F$3,(AR98+($I$3/10000))/2,(AR97+($I$3/10000))/2))^(2*AQ97/365.25))</f>
        <v>5.28819935387723</v>
      </c>
      <c r="AT97" s="137" t="n">
        <f aca="false">IF(A98="","",IF(AND(mthbeg&lt;=A97,mthend&gt;=A97),1,0))</f>
        <v>1</v>
      </c>
      <c r="AU97" s="137" t="n">
        <f aca="false">IF(A98="","",AO97*AT97)</f>
        <v>30</v>
      </c>
      <c r="AW97" s="195" t="e">
        <f aca="false">IF($A98="","",AL97*$E97)</f>
        <v>#NAME?</v>
      </c>
      <c r="AX97" s="195" t="e">
        <f aca="false">IF($A98="","",AM97*$E97)</f>
        <v>#N/A</v>
      </c>
      <c r="AY97" s="195" t="e">
        <f aca="false">IF($A98="","",AN97*$E97)</f>
        <v>#N/A</v>
      </c>
      <c r="BA97" s="195" t="n">
        <f aca="false">IF($A98="","",F97*Summary!$Q$11)</f>
        <v>0</v>
      </c>
      <c r="BC97" s="179" t="e">
        <f aca="false">IF(A98="","",AM97*F97)</f>
        <v>#N/A</v>
      </c>
    </row>
    <row r="98" customFormat="false" ht="12.75" hidden="false" customHeight="false" outlineLevel="0" collapsed="false">
      <c r="A98" s="196" t="n">
        <f aca="false">IF(A97&lt;mthend,EDATE(A97,1),"")</f>
        <v>39722</v>
      </c>
      <c r="B98" s="197" t="n">
        <f aca="false">IF(A98&lt;mthend,B97,"")</f>
        <v>124142</v>
      </c>
      <c r="C98" s="215"/>
      <c r="D98" s="197" t="n">
        <f aca="false">IF(A99&lt;&gt;"",B98+C98,"")</f>
        <v>124142</v>
      </c>
      <c r="E98" s="199" t="n">
        <f aca="false">IF(A99="","",IF(AND(AT98=1,$H$3=1),D98*AO98,IF($H$3=2,D98,"N/A")))</f>
        <v>3848402</v>
      </c>
      <c r="F98" s="199" t="n">
        <f aca="false">IF(A99="","",E98*AS98)</f>
        <v>20188658.5129283</v>
      </c>
      <c r="G98" s="200" t="e">
        <f aca="false">IF($A99="","",VLOOKUP($A98,Table,MATCH(G$4,Curves,0)))</f>
        <v>#N/A</v>
      </c>
      <c r="H98" s="201" t="e">
        <f aca="false">IF(A99="","",G98)</f>
        <v>#N/A</v>
      </c>
      <c r="I98" s="202"/>
      <c r="J98" s="200" t="e">
        <f aca="false">IF($A99="","",VLOOKUP($A98,Table,MATCH(J$4,Curves,0)))</f>
        <v>#N/A</v>
      </c>
      <c r="K98" s="201" t="e">
        <f aca="false">IF(A99="","",J98)</f>
        <v>#N/A</v>
      </c>
      <c r="L98" s="200" t="e">
        <f aca="false">IF($A99="","",VLOOKUP($A98,Table,MATCH(L$4,Curves,0)))</f>
        <v>#N/A</v>
      </c>
      <c r="M98" s="201" t="e">
        <f aca="false">IF(A99="","",L98)</f>
        <v>#N/A</v>
      </c>
      <c r="N98" s="203"/>
      <c r="O98" s="200" t="e">
        <f aca="false">IF(A99="","",L98+J98+G98)</f>
        <v>#N/A</v>
      </c>
      <c r="P98" s="200" t="e">
        <f aca="false">IF(A99="","",M98+K98+H98)</f>
        <v>#N/A</v>
      </c>
      <c r="Q98" s="204"/>
      <c r="R98" s="200" t="e">
        <f aca="false">IF($A99="","",VLOOKUP($A98,Table,MATCH(R$4,Curves,0)))</f>
        <v>#N/A</v>
      </c>
      <c r="S98" s="201" t="e">
        <f aca="false">IF(A99="","",R98)</f>
        <v>#N/A</v>
      </c>
      <c r="T98" s="185" t="n">
        <v>0</v>
      </c>
      <c r="U98" s="201" t="n">
        <f aca="false">IF(A99="","",T98)</f>
        <v>0</v>
      </c>
      <c r="V98" s="205" t="e">
        <f aca="false">IF($A99="","",IF(AND(MONTH(A98)&gt;3,MONTH(A98)&lt;11),(T98+R98+G98)*Summary!$T$11/(1-Summary!$T$11),(T98+R98+G98)*Summary!$U$11/(1-Summary!$U$11)))</f>
        <v>#N/A</v>
      </c>
      <c r="W98" s="202" t="e">
        <f aca="false">IF($A99="","",(T98+R98+G98+V98))</f>
        <v>#N/A</v>
      </c>
      <c r="X98" s="202" t="e">
        <f aca="false">IF($A99="","",(U98+S98+H98+V98))</f>
        <v>#N/A</v>
      </c>
      <c r="Y98" s="202"/>
      <c r="Z98" s="185" t="e">
        <f aca="false">IF($A99="","",VLOOKUP($A98,Table,MATCH(Z$4,Curves,0)))</f>
        <v>#N/A</v>
      </c>
      <c r="AA98" s="185" t="e">
        <f aca="false">IF($A99="","",VLOOKUP($A98,Table,MATCH(AA$4,Curves,0)))</f>
        <v>#N/A</v>
      </c>
      <c r="AB98" s="185" t="e">
        <f aca="false">SQRT((AA98^2*(A98-$D$3)+Z98^2*(DAY(EOMONTH(A98,0))/2))/AK98)</f>
        <v>#N/A</v>
      </c>
      <c r="AC98" s="185" t="e">
        <f aca="false">IF($A99="","",VLOOKUP($A98,Table,MATCH(AC$4,Curves,0)))</f>
        <v>#N/A</v>
      </c>
      <c r="AD98" s="185" t="e">
        <f aca="false">IF($A99="","",VLOOKUP($A98,Table,MATCH(AD$4,Curves,0)))</f>
        <v>#N/A</v>
      </c>
      <c r="AE98" s="185" t="e">
        <f aca="false">SQRT((AD98^2*(A98-$D$3)+AC98^2*(DAY(EOMONTH(A98,0))/2))/AK98)</f>
        <v>#N/A</v>
      </c>
      <c r="AF98" s="206" t="e">
        <f aca="false">((Summary!$N$11*(AA98*AD98)*(A98-$D$3))+(Summary!$M$11*Z98*AC98*(AJ98-EOMONTH(EDATE(A98,-1),0))))/(AK98*AB98*AE98)</f>
        <v>#N/A</v>
      </c>
      <c r="AG98" s="207" t="n">
        <f aca="false">IF($A99="","",Summary!$Q$11)</f>
        <v>0</v>
      </c>
      <c r="AH98" s="207" t="n">
        <f aca="false">IF($A99="","",IF(Summary!$R$11="Y",(VLOOKUP($A98,Summary!$AD$6:$AF$9,3)+'Escalating commodity'!G111),'Escalating commodity'!G111))</f>
        <v>0.00558228434158094</v>
      </c>
      <c r="AI98" s="207" t="n">
        <f aca="false">IF($A99="","",AH98)</f>
        <v>0.00558228434158094</v>
      </c>
      <c r="AJ98" s="208" t="n">
        <f aca="false">A98+DAY(EOMONTH(A98,0))/2-1</f>
        <v>39736.5</v>
      </c>
      <c r="AK98" s="209" t="n">
        <f aca="false">IF($A99="","",$A98-$E$1)</f>
        <v>-6204</v>
      </c>
      <c r="AL98" s="182" t="e">
        <f aca="false">IF($A99="","",SPRDOPT(P98,X98,AI98,0,AB98,AE98,AF98,AK98,$AJ$2,0))</f>
        <v>#NAME?</v>
      </c>
      <c r="AM98" s="210" t="e">
        <f aca="false">IF($A99="","",MAX(0,O98-W98-AI98))</f>
        <v>#N/A</v>
      </c>
      <c r="AN98" s="211" t="e">
        <f aca="false">IF($A99="","",AL98-AM98)</f>
        <v>#N/A</v>
      </c>
      <c r="AO98" s="137" t="n">
        <f aca="false">IF(A99="","",A99-A98)</f>
        <v>31</v>
      </c>
      <c r="AP98" s="212" t="n">
        <f aca="false">IF(A99="","",CHOOSE(F$3,A99+24,A98))</f>
        <v>39722</v>
      </c>
      <c r="AQ98" s="209" t="n">
        <f aca="false">IF(A99="","",AP98-$E$1)</f>
        <v>-6204</v>
      </c>
      <c r="AR98" s="185" t="n">
        <f aca="false">'ANR OK vs ML7'!AR98</f>
        <v>0.1</v>
      </c>
      <c r="AS98" s="213" t="n">
        <f aca="false">IF(A99="","",1/(1+CHOOSE(F$3,(AR99+($I$3/10000))/2,(AR98+($I$3/10000))/2))^(2*AQ98/365.25))</f>
        <v>5.24598483030833</v>
      </c>
      <c r="AT98" s="137" t="n">
        <f aca="false">IF(A99="","",IF(AND(mthbeg&lt;=A98,mthend&gt;=A98),1,0))</f>
        <v>1</v>
      </c>
      <c r="AU98" s="137" t="n">
        <f aca="false">IF(A99="","",AO98*AT98)</f>
        <v>31</v>
      </c>
      <c r="AW98" s="195" t="e">
        <f aca="false">IF($A99="","",AL98*$E98)</f>
        <v>#NAME?</v>
      </c>
      <c r="AX98" s="195" t="e">
        <f aca="false">IF($A99="","",AM98*$E98)</f>
        <v>#N/A</v>
      </c>
      <c r="AY98" s="195" t="e">
        <f aca="false">IF($A99="","",AN98*$E98)</f>
        <v>#N/A</v>
      </c>
      <c r="BA98" s="195" t="n">
        <f aca="false">IF($A99="","",F98*Summary!$Q$11)</f>
        <v>0</v>
      </c>
      <c r="BC98" s="179" t="e">
        <f aca="false">IF(A99="","",AM98*F98)</f>
        <v>#N/A</v>
      </c>
    </row>
    <row r="99" customFormat="false" ht="12.75" hidden="false" customHeight="false" outlineLevel="0" collapsed="false">
      <c r="A99" s="196" t="n">
        <f aca="false">IF(A98&lt;mthend,EDATE(A98,1),"")</f>
        <v>39753</v>
      </c>
      <c r="B99" s="197" t="n">
        <f aca="false">IF(A99&lt;mthend,B98,"")</f>
        <v>124142</v>
      </c>
      <c r="C99" s="215"/>
      <c r="D99" s="197" t="n">
        <f aca="false">IF(A100&lt;&gt;"",B99+C99,"")</f>
        <v>124142</v>
      </c>
      <c r="E99" s="199" t="n">
        <f aca="false">IF(A100="","",IF(AND(AT99=1,$H$3=1),D99*AO99,IF($H$3=2,D99,"N/A")))</f>
        <v>3724260</v>
      </c>
      <c r="F99" s="199" t="n">
        <f aca="false">IF(A100="","",E99*AS99)</f>
        <v>19376271.3743782</v>
      </c>
      <c r="G99" s="200" t="e">
        <f aca="false">IF($A100="","",VLOOKUP($A99,Table,MATCH(G$4,Curves,0)))</f>
        <v>#N/A</v>
      </c>
      <c r="H99" s="201" t="e">
        <f aca="false">IF(A100="","",G99)</f>
        <v>#N/A</v>
      </c>
      <c r="I99" s="202"/>
      <c r="J99" s="200" t="e">
        <f aca="false">IF($A100="","",VLOOKUP($A99,Table,MATCH(J$4,Curves,0)))</f>
        <v>#N/A</v>
      </c>
      <c r="K99" s="201" t="e">
        <f aca="false">IF(A100="","",J99)</f>
        <v>#N/A</v>
      </c>
      <c r="L99" s="200" t="e">
        <f aca="false">IF($A100="","",VLOOKUP($A99,Table,MATCH(L$4,Curves,0)))</f>
        <v>#N/A</v>
      </c>
      <c r="M99" s="201" t="e">
        <f aca="false">IF(A100="","",L99)</f>
        <v>#N/A</v>
      </c>
      <c r="N99" s="203"/>
      <c r="O99" s="200" t="e">
        <f aca="false">IF(A100="","",L99+J99+G99)</f>
        <v>#N/A</v>
      </c>
      <c r="P99" s="200" t="e">
        <f aca="false">IF(A100="","",M99+K99+H99)</f>
        <v>#N/A</v>
      </c>
      <c r="Q99" s="204"/>
      <c r="R99" s="200" t="e">
        <f aca="false">IF($A100="","",VLOOKUP($A99,Table,MATCH(R$4,Curves,0)))</f>
        <v>#N/A</v>
      </c>
      <c r="S99" s="201" t="e">
        <f aca="false">IF(A100="","",R99)</f>
        <v>#N/A</v>
      </c>
      <c r="T99" s="185" t="n">
        <v>0</v>
      </c>
      <c r="U99" s="201" t="n">
        <f aca="false">IF(A100="","",T99)</f>
        <v>0</v>
      </c>
      <c r="V99" s="205" t="e">
        <f aca="false">IF($A100="","",IF(AND(MONTH(A99)&gt;3,MONTH(A99)&lt;11),(T99+R99+G99)*Summary!$T$11/(1-Summary!$T$11),(T99+R99+G99)*Summary!$U$11/(1-Summary!$U$11)))</f>
        <v>#N/A</v>
      </c>
      <c r="W99" s="202" t="e">
        <f aca="false">IF($A100="","",(T99+R99+G99+V99))</f>
        <v>#N/A</v>
      </c>
      <c r="X99" s="202" t="e">
        <f aca="false">IF($A100="","",(U99+S99+H99+V99))</f>
        <v>#N/A</v>
      </c>
      <c r="Y99" s="202"/>
      <c r="Z99" s="185" t="e">
        <f aca="false">IF($A100="","",VLOOKUP($A99,Table,MATCH(Z$4,Curves,0)))</f>
        <v>#N/A</v>
      </c>
      <c r="AA99" s="185" t="e">
        <f aca="false">IF($A100="","",VLOOKUP($A99,Table,MATCH(AA$4,Curves,0)))</f>
        <v>#N/A</v>
      </c>
      <c r="AB99" s="185" t="e">
        <f aca="false">SQRT((AA99^2*(A99-$D$3)+Z99^2*(DAY(EOMONTH(A99,0))/2))/AK99)</f>
        <v>#N/A</v>
      </c>
      <c r="AC99" s="185" t="e">
        <f aca="false">IF($A100="","",VLOOKUP($A99,Table,MATCH(AC$4,Curves,0)))</f>
        <v>#N/A</v>
      </c>
      <c r="AD99" s="185" t="e">
        <f aca="false">IF($A100="","",VLOOKUP($A99,Table,MATCH(AD$4,Curves,0)))</f>
        <v>#N/A</v>
      </c>
      <c r="AE99" s="185" t="e">
        <f aca="false">SQRT((AD99^2*(A99-$D$3)+AC99^2*(DAY(EOMONTH(A99,0))/2))/AK99)</f>
        <v>#N/A</v>
      </c>
      <c r="AF99" s="206" t="e">
        <f aca="false">((Summary!$N$11*(AA99*AD99)*(A99-$D$3))+(Summary!$M$11*Z99*AC99*(AJ99-EOMONTH(EDATE(A99,-1),0))))/(AK99*AB99*AE99)</f>
        <v>#N/A</v>
      </c>
      <c r="AG99" s="207" t="n">
        <f aca="false">IF($A100="","",Summary!$Q$11)</f>
        <v>0</v>
      </c>
      <c r="AH99" s="207" t="n">
        <f aca="false">IF($A100="","",IF(Summary!$R$11="Y",(VLOOKUP($A99,Summary!$AD$6:$AF$9,3)+'Escalating commodity'!G112),'Escalating commodity'!G112))</f>
        <v>0.00558228434158094</v>
      </c>
      <c r="AI99" s="207" t="n">
        <f aca="false">IF($A100="","",AH99)</f>
        <v>0.00558228434158094</v>
      </c>
      <c r="AJ99" s="208" t="n">
        <f aca="false">A99+DAY(EOMONTH(A99,0))/2-1</f>
        <v>39767</v>
      </c>
      <c r="AK99" s="209" t="n">
        <f aca="false">IF($A100="","",$A99-$E$1)</f>
        <v>-6173</v>
      </c>
      <c r="AL99" s="182" t="e">
        <f aca="false">IF($A100="","",SPRDOPT(P99,X99,AI99,0,AB99,AE99,AF99,AK99,$AJ$2,0))</f>
        <v>#NAME?</v>
      </c>
      <c r="AM99" s="210" t="e">
        <f aca="false">IF($A100="","",MAX(0,O99-W99-AI99))</f>
        <v>#N/A</v>
      </c>
      <c r="AN99" s="211" t="e">
        <f aca="false">IF($A100="","",AL99-AM99)</f>
        <v>#N/A</v>
      </c>
      <c r="AO99" s="137" t="n">
        <f aca="false">IF(A100="","",A100-A99)</f>
        <v>30</v>
      </c>
      <c r="AP99" s="212" t="n">
        <f aca="false">IF(A100="","",CHOOSE(F$3,A100+24,A99))</f>
        <v>39753</v>
      </c>
      <c r="AQ99" s="209" t="n">
        <f aca="false">IF(A100="","",AP99-$E$1)</f>
        <v>-6173</v>
      </c>
      <c r="AR99" s="185" t="n">
        <f aca="false">'ANR OK vs ML7'!AR99</f>
        <v>0.1</v>
      </c>
      <c r="AS99" s="213" t="n">
        <f aca="false">IF(A100="","",1/(1+CHOOSE(F$3,(AR100+($I$3/10000))/2,(AR99+($I$3/10000))/2))^(2*AQ99/365.25))</f>
        <v>5.20271715035422</v>
      </c>
      <c r="AT99" s="137" t="n">
        <f aca="false">IF(A100="","",IF(AND(mthbeg&lt;=A99,mthend&gt;=A99),1,0))</f>
        <v>1</v>
      </c>
      <c r="AU99" s="137" t="n">
        <f aca="false">IF(A100="","",AO99*AT99)</f>
        <v>30</v>
      </c>
      <c r="AW99" s="195" t="e">
        <f aca="false">IF($A100="","",AL99*$E99)</f>
        <v>#NAME?</v>
      </c>
      <c r="AX99" s="195" t="e">
        <f aca="false">IF($A100="","",AM99*$E99)</f>
        <v>#N/A</v>
      </c>
      <c r="AY99" s="195" t="e">
        <f aca="false">IF($A100="","",AN99*$E99)</f>
        <v>#N/A</v>
      </c>
      <c r="BA99" s="195" t="n">
        <f aca="false">IF($A100="","",F99*Summary!$Q$11)</f>
        <v>0</v>
      </c>
      <c r="BC99" s="179" t="e">
        <f aca="false">IF(A100="","",AM99*F99)</f>
        <v>#N/A</v>
      </c>
    </row>
    <row r="100" customFormat="false" ht="12.75" hidden="false" customHeight="false" outlineLevel="0" collapsed="false">
      <c r="A100" s="196" t="n">
        <f aca="false">IF(A99&lt;mthend,EDATE(A99,1),"")</f>
        <v>39783</v>
      </c>
      <c r="B100" s="197" t="n">
        <f aca="false">IF(A100&lt;mthend,B99,"")</f>
        <v>124142</v>
      </c>
      <c r="C100" s="215"/>
      <c r="D100" s="197" t="n">
        <f aca="false">IF(A101&lt;&gt;"",B100+C100,"")</f>
        <v>124142</v>
      </c>
      <c r="E100" s="199" t="n">
        <f aca="false">IF(A101="","",IF(AND(AT100=1,$H$3=1),D100*AO100,IF($H$3=2,D100,"N/A")))</f>
        <v>3848402</v>
      </c>
      <c r="F100" s="199" t="n">
        <f aca="false">IF(A101="","",E100*AS100)</f>
        <v>19862314.7236017</v>
      </c>
      <c r="G100" s="200" t="e">
        <f aca="false">IF($A101="","",VLOOKUP($A100,Table,MATCH(G$4,Curves,0)))</f>
        <v>#N/A</v>
      </c>
      <c r="H100" s="201" t="e">
        <f aca="false">IF(A101="","",G100)</f>
        <v>#N/A</v>
      </c>
      <c r="I100" s="202"/>
      <c r="J100" s="200" t="e">
        <f aca="false">IF($A101="","",VLOOKUP($A100,Table,MATCH(J$4,Curves,0)))</f>
        <v>#N/A</v>
      </c>
      <c r="K100" s="201" t="e">
        <f aca="false">IF(A101="","",J100)</f>
        <v>#N/A</v>
      </c>
      <c r="L100" s="200" t="e">
        <f aca="false">IF($A101="","",VLOOKUP($A100,Table,MATCH(L$4,Curves,0)))</f>
        <v>#N/A</v>
      </c>
      <c r="M100" s="201" t="e">
        <f aca="false">IF(A101="","",L100)</f>
        <v>#N/A</v>
      </c>
      <c r="N100" s="203"/>
      <c r="O100" s="200" t="e">
        <f aca="false">IF(A101="","",L100+J100+G100)</f>
        <v>#N/A</v>
      </c>
      <c r="P100" s="200" t="e">
        <f aca="false">IF(A101="","",M100+K100+H100)</f>
        <v>#N/A</v>
      </c>
      <c r="Q100" s="204"/>
      <c r="R100" s="200" t="e">
        <f aca="false">IF($A101="","",VLOOKUP($A100,Table,MATCH(R$4,Curves,0)))</f>
        <v>#N/A</v>
      </c>
      <c r="S100" s="201" t="e">
        <f aca="false">IF(A101="","",R100)</f>
        <v>#N/A</v>
      </c>
      <c r="T100" s="185" t="n">
        <v>0</v>
      </c>
      <c r="U100" s="201" t="n">
        <f aca="false">IF(A101="","",T100)</f>
        <v>0</v>
      </c>
      <c r="V100" s="205" t="e">
        <f aca="false">IF($A101="","",IF(AND(MONTH(A100)&gt;3,MONTH(A100)&lt;11),(T100+R100+G100)*Summary!$T$11/(1-Summary!$T$11),(T100+R100+G100)*Summary!$U$11/(1-Summary!$U$11)))</f>
        <v>#N/A</v>
      </c>
      <c r="W100" s="202" t="e">
        <f aca="false">IF($A101="","",(T100+R100+G100+V100))</f>
        <v>#N/A</v>
      </c>
      <c r="X100" s="202" t="e">
        <f aca="false">IF($A101="","",(U100+S100+H100+V100))</f>
        <v>#N/A</v>
      </c>
      <c r="Y100" s="202"/>
      <c r="Z100" s="185" t="e">
        <f aca="false">IF($A101="","",VLOOKUP($A100,Table,MATCH(Z$4,Curves,0)))</f>
        <v>#N/A</v>
      </c>
      <c r="AA100" s="185" t="e">
        <f aca="false">IF($A101="","",VLOOKUP($A100,Table,MATCH(AA$4,Curves,0)))</f>
        <v>#N/A</v>
      </c>
      <c r="AB100" s="185" t="e">
        <f aca="false">SQRT((AA100^2*(A100-$D$3)+Z100^2*(DAY(EOMONTH(A100,0))/2))/AK100)</f>
        <v>#N/A</v>
      </c>
      <c r="AC100" s="185" t="e">
        <f aca="false">IF($A101="","",VLOOKUP($A100,Table,MATCH(AC$4,Curves,0)))</f>
        <v>#N/A</v>
      </c>
      <c r="AD100" s="185" t="e">
        <f aca="false">IF($A101="","",VLOOKUP($A100,Table,MATCH(AD$4,Curves,0)))</f>
        <v>#N/A</v>
      </c>
      <c r="AE100" s="185" t="e">
        <f aca="false">SQRT((AD100^2*(A100-$D$3)+AC100^2*(DAY(EOMONTH(A100,0))/2))/AK100)</f>
        <v>#N/A</v>
      </c>
      <c r="AF100" s="206" t="e">
        <f aca="false">((Summary!$N$11*(AA100*AD100)*(A100-$D$3))+(Summary!$M$11*Z100*AC100*(AJ100-EOMONTH(EDATE(A100,-1),0))))/(AK100*AB100*AE100)</f>
        <v>#N/A</v>
      </c>
      <c r="AG100" s="207" t="n">
        <f aca="false">IF($A101="","",Summary!$Q$11)</f>
        <v>0</v>
      </c>
      <c r="AH100" s="207" t="n">
        <f aca="false">IF($A101="","",IF(Summary!$R$11="Y",(VLOOKUP($A100,Summary!$AD$6:$AF$9,3)+'Escalating commodity'!G113),'Escalating commodity'!G113))</f>
        <v>0.00558228434158094</v>
      </c>
      <c r="AI100" s="207" t="n">
        <f aca="false">IF($A101="","",AH100)</f>
        <v>0.00558228434158094</v>
      </c>
      <c r="AJ100" s="208" t="n">
        <f aca="false">A100+DAY(EOMONTH(A100,0))/2-1</f>
        <v>39797.5</v>
      </c>
      <c r="AK100" s="209" t="n">
        <f aca="false">IF($A101="","",$A100-$E$1)</f>
        <v>-6143</v>
      </c>
      <c r="AL100" s="182" t="e">
        <f aca="false">IF($A101="","",SPRDOPT(P100,X100,AI100,0,AB100,AE100,AF100,AK100,$AJ$2,0))</f>
        <v>#NAME?</v>
      </c>
      <c r="AM100" s="210" t="e">
        <f aca="false">IF($A101="","",MAX(0,O100-W100-AI100))</f>
        <v>#N/A</v>
      </c>
      <c r="AN100" s="211" t="e">
        <f aca="false">IF($A101="","",AL100-AM100)</f>
        <v>#N/A</v>
      </c>
      <c r="AO100" s="137" t="n">
        <f aca="false">IF(A101="","",A101-A100)</f>
        <v>31</v>
      </c>
      <c r="AP100" s="212" t="n">
        <f aca="false">IF(A101="","",CHOOSE(F$3,A101+24,A100))</f>
        <v>39783</v>
      </c>
      <c r="AQ100" s="209" t="n">
        <f aca="false">IF(A101="","",AP100-$E$1)</f>
        <v>-6143</v>
      </c>
      <c r="AR100" s="185" t="n">
        <f aca="false">'ANR OK vs ML7'!AR100</f>
        <v>0.1</v>
      </c>
      <c r="AS100" s="213" t="n">
        <f aca="false">IF(A101="","",1/(1+CHOOSE(F$3,(AR101+($I$3/10000))/2,(AR100+($I$3/10000))/2))^(2*AQ100/365.25))</f>
        <v>5.16118501227306</v>
      </c>
      <c r="AT100" s="137" t="n">
        <f aca="false">IF(A101="","",IF(AND(mthbeg&lt;=A100,mthend&gt;=A100),1,0))</f>
        <v>1</v>
      </c>
      <c r="AU100" s="137" t="n">
        <f aca="false">IF(A101="","",AO100*AT100)</f>
        <v>31</v>
      </c>
      <c r="AW100" s="195" t="e">
        <f aca="false">IF($A101="","",AL100*$E100)</f>
        <v>#NAME?</v>
      </c>
      <c r="AX100" s="195" t="e">
        <f aca="false">IF($A101="","",AM100*$E100)</f>
        <v>#N/A</v>
      </c>
      <c r="AY100" s="195" t="e">
        <f aca="false">IF($A101="","",AN100*$E100)</f>
        <v>#N/A</v>
      </c>
      <c r="BA100" s="195" t="n">
        <f aca="false">IF($A101="","",F100*Summary!$Q$11)</f>
        <v>0</v>
      </c>
      <c r="BC100" s="179" t="e">
        <f aca="false">IF(A101="","",AM100*F100)</f>
        <v>#N/A</v>
      </c>
    </row>
    <row r="101" customFormat="false" ht="12.75" hidden="false" customHeight="false" outlineLevel="0" collapsed="false">
      <c r="A101" s="196" t="n">
        <f aca="false">IF(A100&lt;mthend,EDATE(A100,1),"")</f>
        <v>39814</v>
      </c>
      <c r="B101" s="197" t="n">
        <f aca="false">IF(A101&lt;mthend,B100,"")</f>
        <v>124142</v>
      </c>
      <c r="C101" s="215"/>
      <c r="D101" s="197" t="n">
        <f aca="false">IF(A102&lt;&gt;"",B101+C101,"")</f>
        <v>124142</v>
      </c>
      <c r="E101" s="199" t="n">
        <f aca="false">IF(A102="","",IF(AND(AT101=1,$H$3=1),D101*AO101,IF($H$3=2,D101,"N/A")))</f>
        <v>3848402</v>
      </c>
      <c r="F101" s="199" t="n">
        <f aca="false">IF(A102="","",E101*AS101)</f>
        <v>19698494.9062733</v>
      </c>
      <c r="G101" s="200" t="e">
        <f aca="false">IF($A102="","",VLOOKUP($A101,Table,MATCH(G$4,Curves,0)))</f>
        <v>#N/A</v>
      </c>
      <c r="H101" s="201" t="e">
        <f aca="false">IF(A102="","",G101)</f>
        <v>#N/A</v>
      </c>
      <c r="I101" s="202"/>
      <c r="J101" s="200" t="e">
        <f aca="false">IF($A102="","",VLOOKUP($A101,Table,MATCH(J$4,Curves,0)))</f>
        <v>#N/A</v>
      </c>
      <c r="K101" s="201" t="e">
        <f aca="false">IF(A102="","",J101)</f>
        <v>#N/A</v>
      </c>
      <c r="L101" s="200" t="e">
        <f aca="false">IF($A102="","",VLOOKUP($A101,Table,MATCH(L$4,Curves,0)))</f>
        <v>#N/A</v>
      </c>
      <c r="M101" s="201" t="e">
        <f aca="false">IF(A102="","",L101)</f>
        <v>#N/A</v>
      </c>
      <c r="N101" s="203"/>
      <c r="O101" s="200" t="e">
        <f aca="false">IF(A102="","",L101+J101+G101)</f>
        <v>#N/A</v>
      </c>
      <c r="P101" s="200" t="e">
        <f aca="false">IF(A102="","",M101+K101+H101)</f>
        <v>#N/A</v>
      </c>
      <c r="Q101" s="204"/>
      <c r="R101" s="200" t="e">
        <f aca="false">IF($A102="","",VLOOKUP($A101,Table,MATCH(R$4,Curves,0)))</f>
        <v>#N/A</v>
      </c>
      <c r="S101" s="201" t="e">
        <f aca="false">IF(A102="","",R101)</f>
        <v>#N/A</v>
      </c>
      <c r="T101" s="185" t="n">
        <v>0</v>
      </c>
      <c r="U101" s="201" t="n">
        <f aca="false">IF(A102="","",T101)</f>
        <v>0</v>
      </c>
      <c r="V101" s="205" t="e">
        <f aca="false">IF($A102="","",IF(AND(MONTH(A101)&gt;3,MONTH(A101)&lt;11),(T101+R101+G101)*Summary!$T$11/(1-Summary!$T$11),(T101+R101+G101)*Summary!$U$11/(1-Summary!$U$11)))</f>
        <v>#N/A</v>
      </c>
      <c r="W101" s="202" t="e">
        <f aca="false">IF($A102="","",(T101+R101+G101+V101))</f>
        <v>#N/A</v>
      </c>
      <c r="X101" s="202" t="e">
        <f aca="false">IF($A102="","",(U101+S101+H101+V101))</f>
        <v>#N/A</v>
      </c>
      <c r="Y101" s="202"/>
      <c r="Z101" s="185" t="e">
        <f aca="false">IF($A102="","",VLOOKUP($A101,Table,MATCH(Z$4,Curves,0)))</f>
        <v>#N/A</v>
      </c>
      <c r="AA101" s="185" t="e">
        <f aca="false">IF($A102="","",VLOOKUP($A101,Table,MATCH(AA$4,Curves,0)))</f>
        <v>#N/A</v>
      </c>
      <c r="AB101" s="185" t="e">
        <f aca="false">SQRT((AA101^2*(A101-$D$3)+Z101^2*(DAY(EOMONTH(A101,0))/2))/AK101)</f>
        <v>#N/A</v>
      </c>
      <c r="AC101" s="185" t="e">
        <f aca="false">IF($A102="","",VLOOKUP($A101,Table,MATCH(AC$4,Curves,0)))</f>
        <v>#N/A</v>
      </c>
      <c r="AD101" s="185" t="e">
        <f aca="false">IF($A102="","",VLOOKUP($A101,Table,MATCH(AD$4,Curves,0)))</f>
        <v>#N/A</v>
      </c>
      <c r="AE101" s="185" t="e">
        <f aca="false">SQRT((AD101^2*(A101-$D$3)+AC101^2*(DAY(EOMONTH(A101,0))/2))/AK101)</f>
        <v>#N/A</v>
      </c>
      <c r="AF101" s="206" t="e">
        <f aca="false">((Summary!$N$11*(AA101*AD101)*(A101-$D$3))+(Summary!$M$11*Z101*AC101*(AJ101-EOMONTH(EDATE(A101,-1),0))))/(AK101*AB101*AE101)</f>
        <v>#N/A</v>
      </c>
      <c r="AG101" s="207" t="n">
        <f aca="false">IF($A102="","",Summary!$Q$11)</f>
        <v>0</v>
      </c>
      <c r="AH101" s="207" t="n">
        <f aca="false">IF($A102="","",IF(Summary!$R$11="Y",(VLOOKUP($A101,Summary!$AD$6:$AF$9,3)+'Escalating commodity'!G114),'Escalating commodity'!G114))</f>
        <v>0.00569393002841256</v>
      </c>
      <c r="AI101" s="207" t="n">
        <f aca="false">IF($A102="","",AH101)</f>
        <v>0.00569393002841256</v>
      </c>
      <c r="AJ101" s="208" t="n">
        <f aca="false">A101+DAY(EOMONTH(A101,0))/2-1</f>
        <v>39828.5</v>
      </c>
      <c r="AK101" s="209" t="n">
        <f aca="false">IF($A102="","",$A101-$E$1)</f>
        <v>-6112</v>
      </c>
      <c r="AL101" s="182" t="e">
        <f aca="false">IF($A102="","",SPRDOPT(P101,X101,AI101,0,AB101,AE101,AF101,AK101,$AJ$2,0))</f>
        <v>#NAME?</v>
      </c>
      <c r="AM101" s="210" t="e">
        <f aca="false">IF($A102="","",MAX(0,O101-W101-AI101))</f>
        <v>#N/A</v>
      </c>
      <c r="AN101" s="211" t="e">
        <f aca="false">IF($A102="","",AL101-AM101)</f>
        <v>#N/A</v>
      </c>
      <c r="AO101" s="137" t="n">
        <f aca="false">IF(A102="","",A102-A101)</f>
        <v>31</v>
      </c>
      <c r="AP101" s="212" t="n">
        <f aca="false">IF(A102="","",CHOOSE(F$3,A102+24,A101))</f>
        <v>39814</v>
      </c>
      <c r="AQ101" s="209" t="n">
        <f aca="false">IF(A102="","",AP101-$E$1)</f>
        <v>-6112</v>
      </c>
      <c r="AR101" s="185" t="n">
        <f aca="false">'ANR OK vs ML7'!AR101</f>
        <v>0.1</v>
      </c>
      <c r="AS101" s="213" t="n">
        <f aca="false">IF(A102="","",1/(1+CHOOSE(F$3,(AR102+($I$3/10000))/2,(AR101+($I$3/10000))/2))^(2*AQ101/365.25))</f>
        <v>5.11861674177315</v>
      </c>
      <c r="AT101" s="137" t="n">
        <f aca="false">IF(A102="","",IF(AND(mthbeg&lt;=A101,mthend&gt;=A101),1,0))</f>
        <v>1</v>
      </c>
      <c r="AU101" s="137" t="n">
        <f aca="false">IF(A102="","",AO101*AT101)</f>
        <v>31</v>
      </c>
      <c r="AW101" s="195" t="e">
        <f aca="false">IF($A102="","",AL101*$E101)</f>
        <v>#NAME?</v>
      </c>
      <c r="AX101" s="195" t="e">
        <f aca="false">IF($A102="","",AM101*$E101)</f>
        <v>#N/A</v>
      </c>
      <c r="AY101" s="195" t="e">
        <f aca="false">IF($A102="","",AN101*$E101)</f>
        <v>#N/A</v>
      </c>
      <c r="BA101" s="195" t="n">
        <f aca="false">IF($A102="","",F101*Summary!$Q$11)</f>
        <v>0</v>
      </c>
      <c r="BC101" s="179" t="e">
        <f aca="false">IF(A102="","",AM101*F101)</f>
        <v>#N/A</v>
      </c>
    </row>
    <row r="102" customFormat="false" ht="12.75" hidden="false" customHeight="false" outlineLevel="0" collapsed="false">
      <c r="A102" s="196" t="n">
        <f aca="false">IF(A101&lt;mthend,EDATE(A101,1),"")</f>
        <v>39845</v>
      </c>
      <c r="B102" s="197" t="n">
        <f aca="false">IF(A102&lt;mthend,B101,"")</f>
        <v>124142</v>
      </c>
      <c r="C102" s="215"/>
      <c r="D102" s="197" t="n">
        <f aca="false">IF(A103&lt;&gt;"",B102+C102,"")</f>
        <v>124142</v>
      </c>
      <c r="E102" s="199" t="n">
        <f aca="false">IF(A103="","",IF(AND(AT102=1,$H$3=1),D102*AO102,IF($H$3=2,D102,"N/A")))</f>
        <v>3475976</v>
      </c>
      <c r="F102" s="199" t="n">
        <f aca="false">IF(A103="","",E102*AS102)</f>
        <v>17645443.0529852</v>
      </c>
      <c r="G102" s="200" t="e">
        <f aca="false">IF($A103="","",VLOOKUP($A102,Table,MATCH(G$4,Curves,0)))</f>
        <v>#N/A</v>
      </c>
      <c r="H102" s="201" t="e">
        <f aca="false">IF(A103="","",G102)</f>
        <v>#N/A</v>
      </c>
      <c r="I102" s="202"/>
      <c r="J102" s="200" t="e">
        <f aca="false">IF($A103="","",VLOOKUP($A102,Table,MATCH(J$4,Curves,0)))</f>
        <v>#N/A</v>
      </c>
      <c r="K102" s="201" t="e">
        <f aca="false">IF(A103="","",J102)</f>
        <v>#N/A</v>
      </c>
      <c r="L102" s="200" t="e">
        <f aca="false">IF($A103="","",VLOOKUP($A102,Table,MATCH(L$4,Curves,0)))</f>
        <v>#N/A</v>
      </c>
      <c r="M102" s="201" t="e">
        <f aca="false">IF(A103="","",L102)</f>
        <v>#N/A</v>
      </c>
      <c r="N102" s="203"/>
      <c r="O102" s="200" t="e">
        <f aca="false">IF(A103="","",L102+J102+G102)</f>
        <v>#N/A</v>
      </c>
      <c r="P102" s="200" t="e">
        <f aca="false">IF(A103="","",M102+K102+H102)</f>
        <v>#N/A</v>
      </c>
      <c r="Q102" s="204"/>
      <c r="R102" s="200" t="e">
        <f aca="false">IF($A103="","",VLOOKUP($A102,Table,MATCH(R$4,Curves,0)))</f>
        <v>#N/A</v>
      </c>
      <c r="S102" s="201" t="e">
        <f aca="false">IF(A103="","",R102)</f>
        <v>#N/A</v>
      </c>
      <c r="T102" s="185" t="n">
        <v>0</v>
      </c>
      <c r="U102" s="201" t="n">
        <f aca="false">IF(A103="","",T102)</f>
        <v>0</v>
      </c>
      <c r="V102" s="205" t="e">
        <f aca="false">IF($A103="","",IF(AND(MONTH(A102)&gt;3,MONTH(A102)&lt;11),(T102+R102+G102)*Summary!$T$11/(1-Summary!$T$11),(T102+R102+G102)*Summary!$U$11/(1-Summary!$U$11)))</f>
        <v>#N/A</v>
      </c>
      <c r="W102" s="202" t="e">
        <f aca="false">IF($A103="","",(T102+R102+G102+V102))</f>
        <v>#N/A</v>
      </c>
      <c r="X102" s="202" t="e">
        <f aca="false">IF($A103="","",(U102+S102+H102+V102))</f>
        <v>#N/A</v>
      </c>
      <c r="Y102" s="202"/>
      <c r="Z102" s="185" t="e">
        <f aca="false">IF($A103="","",VLOOKUP($A102,Table,MATCH(Z$4,Curves,0)))</f>
        <v>#N/A</v>
      </c>
      <c r="AA102" s="185" t="e">
        <f aca="false">IF($A103="","",VLOOKUP($A102,Table,MATCH(AA$4,Curves,0)))</f>
        <v>#N/A</v>
      </c>
      <c r="AB102" s="185" t="e">
        <f aca="false">SQRT((AA102^2*(A102-$D$3)+Z102^2*(DAY(EOMONTH(A102,0))/2))/AK102)</f>
        <v>#N/A</v>
      </c>
      <c r="AC102" s="185" t="e">
        <f aca="false">IF($A103="","",VLOOKUP($A102,Table,MATCH(AC$4,Curves,0)))</f>
        <v>#N/A</v>
      </c>
      <c r="AD102" s="185" t="e">
        <f aca="false">IF($A103="","",VLOOKUP($A102,Table,MATCH(AD$4,Curves,0)))</f>
        <v>#N/A</v>
      </c>
      <c r="AE102" s="185" t="e">
        <f aca="false">SQRT((AD102^2*(A102-$D$3)+AC102^2*(DAY(EOMONTH(A102,0))/2))/AK102)</f>
        <v>#N/A</v>
      </c>
      <c r="AF102" s="206" t="e">
        <f aca="false">((Summary!$N$11*(AA102*AD102)*(A102-$D$3))+(Summary!$M$11*Z102*AC102*(AJ102-EOMONTH(EDATE(A102,-1),0))))/(AK102*AB102*AE102)</f>
        <v>#N/A</v>
      </c>
      <c r="AG102" s="207" t="n">
        <f aca="false">IF($A103="","",Summary!$Q$11)</f>
        <v>0</v>
      </c>
      <c r="AH102" s="207" t="n">
        <f aca="false">IF($A103="","",IF(Summary!$R$11="Y",(VLOOKUP($A102,Summary!$AD$6:$AF$9,3)+'Escalating commodity'!G115),'Escalating commodity'!G115))</f>
        <v>0.00569393002841256</v>
      </c>
      <c r="AI102" s="207" t="n">
        <f aca="false">IF($A103="","",AH102)</f>
        <v>0.00569393002841256</v>
      </c>
      <c r="AJ102" s="208" t="n">
        <f aca="false">A102+DAY(EOMONTH(A102,0))/2-1</f>
        <v>39858</v>
      </c>
      <c r="AK102" s="209" t="n">
        <f aca="false">IF($A103="","",$A102-$E$1)</f>
        <v>-6081</v>
      </c>
      <c r="AL102" s="182" t="e">
        <f aca="false">IF($A103="","",SPRDOPT(P102,X102,AI102,0,AB102,AE102,AF102,AK102,$AJ$2,0))</f>
        <v>#NAME?</v>
      </c>
      <c r="AM102" s="210" t="e">
        <f aca="false">IF($A103="","",MAX(0,O102-W102-AI102))</f>
        <v>#N/A</v>
      </c>
      <c r="AN102" s="211" t="e">
        <f aca="false">IF($A103="","",AL102-AM102)</f>
        <v>#N/A</v>
      </c>
      <c r="AO102" s="137" t="n">
        <f aca="false">IF(A103="","",A103-A102)</f>
        <v>28</v>
      </c>
      <c r="AP102" s="212" t="n">
        <f aca="false">IF(A103="","",CHOOSE(F$3,A103+24,A102))</f>
        <v>39845</v>
      </c>
      <c r="AQ102" s="209" t="n">
        <f aca="false">IF(A103="","",AP102-$E$1)</f>
        <v>-6081</v>
      </c>
      <c r="AR102" s="185" t="n">
        <f aca="false">'ANR OK vs ML7'!AR102</f>
        <v>0.1</v>
      </c>
      <c r="AS102" s="213" t="n">
        <f aca="false">IF(A103="","",1/(1+CHOOSE(F$3,(AR103+($I$3/10000))/2,(AR102+($I$3/10000))/2))^(2*AQ102/365.25))</f>
        <v>5.07639956460724</v>
      </c>
      <c r="AT102" s="137" t="n">
        <f aca="false">IF(A103="","",IF(AND(mthbeg&lt;=A102,mthend&gt;=A102),1,0))</f>
        <v>1</v>
      </c>
      <c r="AU102" s="137" t="n">
        <f aca="false">IF(A103="","",AO102*AT102)</f>
        <v>28</v>
      </c>
      <c r="AW102" s="195" t="e">
        <f aca="false">IF($A103="","",AL102*$E102)</f>
        <v>#NAME?</v>
      </c>
      <c r="AX102" s="195" t="e">
        <f aca="false">IF($A103="","",AM102*$E102)</f>
        <v>#N/A</v>
      </c>
      <c r="AY102" s="195" t="e">
        <f aca="false">IF($A103="","",AN102*$E102)</f>
        <v>#N/A</v>
      </c>
      <c r="BA102" s="195" t="n">
        <f aca="false">IF($A103="","",F102*Summary!$Q$11)</f>
        <v>0</v>
      </c>
      <c r="BC102" s="179" t="e">
        <f aca="false">IF(A103="","",AM102*F102)</f>
        <v>#N/A</v>
      </c>
    </row>
    <row r="103" customFormat="false" ht="12.75" hidden="false" customHeight="false" outlineLevel="0" collapsed="false">
      <c r="A103" s="196" t="n">
        <f aca="false">IF(A102&lt;mthend,EDATE(A102,1),"")</f>
        <v>39873</v>
      </c>
      <c r="B103" s="197" t="n">
        <f aca="false">IF(A103&lt;mthend,B102,"")</f>
        <v>124142</v>
      </c>
      <c r="C103" s="215"/>
      <c r="D103" s="197" t="n">
        <f aca="false">IF(A104&lt;&gt;"",B103+C103,"")</f>
        <v>124142</v>
      </c>
      <c r="E103" s="199" t="n">
        <f aca="false">IF(A104="","",IF(AND(AT103=1,$H$3=1),D103*AO103,IF($H$3=2,D103,"N/A")))</f>
        <v>3848402</v>
      </c>
      <c r="F103" s="199" t="n">
        <f aca="false">IF(A104="","",E103*AS103)</f>
        <v>19390432.4120515</v>
      </c>
      <c r="G103" s="200" t="e">
        <f aca="false">IF($A104="","",VLOOKUP($A103,Table,MATCH(G$4,Curves,0)))</f>
        <v>#N/A</v>
      </c>
      <c r="H103" s="201" t="e">
        <f aca="false">IF(A104="","",G103)</f>
        <v>#N/A</v>
      </c>
      <c r="I103" s="202"/>
      <c r="J103" s="200" t="e">
        <f aca="false">IF($A104="","",VLOOKUP($A103,Table,MATCH(J$4,Curves,0)))</f>
        <v>#N/A</v>
      </c>
      <c r="K103" s="201" t="e">
        <f aca="false">IF(A104="","",J103)</f>
        <v>#N/A</v>
      </c>
      <c r="L103" s="200" t="e">
        <f aca="false">IF($A104="","",VLOOKUP($A103,Table,MATCH(L$4,Curves,0)))</f>
        <v>#N/A</v>
      </c>
      <c r="M103" s="201" t="e">
        <f aca="false">IF(A104="","",L103)</f>
        <v>#N/A</v>
      </c>
      <c r="N103" s="203"/>
      <c r="O103" s="200" t="e">
        <f aca="false">IF(A104="","",L103+J103+G103)</f>
        <v>#N/A</v>
      </c>
      <c r="P103" s="200" t="e">
        <f aca="false">IF(A104="","",M103+K103+H103)</f>
        <v>#N/A</v>
      </c>
      <c r="Q103" s="204"/>
      <c r="R103" s="200" t="e">
        <f aca="false">IF($A104="","",VLOOKUP($A103,Table,MATCH(R$4,Curves,0)))</f>
        <v>#N/A</v>
      </c>
      <c r="S103" s="201" t="e">
        <f aca="false">IF(A104="","",R103)</f>
        <v>#N/A</v>
      </c>
      <c r="T103" s="185" t="n">
        <v>0</v>
      </c>
      <c r="U103" s="201" t="n">
        <f aca="false">IF(A104="","",T103)</f>
        <v>0</v>
      </c>
      <c r="V103" s="205" t="e">
        <f aca="false">IF($A104="","",IF(AND(MONTH(A103)&gt;3,MONTH(A103)&lt;11),(T103+R103+G103)*Summary!$T$11/(1-Summary!$T$11),(T103+R103+G103)*Summary!$U$11/(1-Summary!$U$11)))</f>
        <v>#N/A</v>
      </c>
      <c r="W103" s="202" t="e">
        <f aca="false">IF($A104="","",(T103+R103+G103+V103))</f>
        <v>#N/A</v>
      </c>
      <c r="X103" s="202" t="e">
        <f aca="false">IF($A104="","",(U103+S103+H103+V103))</f>
        <v>#N/A</v>
      </c>
      <c r="Y103" s="202"/>
      <c r="Z103" s="185" t="e">
        <f aca="false">IF($A104="","",VLOOKUP($A103,Table,MATCH(Z$4,Curves,0)))</f>
        <v>#N/A</v>
      </c>
      <c r="AA103" s="185" t="e">
        <f aca="false">IF($A104="","",VLOOKUP($A103,Table,MATCH(AA$4,Curves,0)))</f>
        <v>#N/A</v>
      </c>
      <c r="AB103" s="185" t="e">
        <f aca="false">SQRT((AA103^2*(A103-$D$3)+Z103^2*(DAY(EOMONTH(A103,0))/2))/AK103)</f>
        <v>#N/A</v>
      </c>
      <c r="AC103" s="185" t="e">
        <f aca="false">IF($A104="","",VLOOKUP($A103,Table,MATCH(AC$4,Curves,0)))</f>
        <v>#N/A</v>
      </c>
      <c r="AD103" s="185" t="e">
        <f aca="false">IF($A104="","",VLOOKUP($A103,Table,MATCH(AD$4,Curves,0)))</f>
        <v>#N/A</v>
      </c>
      <c r="AE103" s="185" t="e">
        <f aca="false">SQRT((AD103^2*(A103-$D$3)+AC103^2*(DAY(EOMONTH(A103,0))/2))/AK103)</f>
        <v>#N/A</v>
      </c>
      <c r="AF103" s="206" t="e">
        <f aca="false">((Summary!$N$11*(AA103*AD103)*(A103-$D$3))+(Summary!$M$11*Z103*AC103*(AJ103-EOMONTH(EDATE(A103,-1),0))))/(AK103*AB103*AE103)</f>
        <v>#N/A</v>
      </c>
      <c r="AG103" s="207" t="n">
        <f aca="false">IF($A104="","",Summary!$Q$11)</f>
        <v>0</v>
      </c>
      <c r="AH103" s="207" t="n">
        <f aca="false">IF($A104="","",IF(Summary!$R$11="Y",(VLOOKUP($A103,Summary!$AD$6:$AF$9,3)+'Escalating commodity'!G116),'Escalating commodity'!G116))</f>
        <v>0.00569393002841256</v>
      </c>
      <c r="AI103" s="207" t="n">
        <f aca="false">IF($A104="","",AH103)</f>
        <v>0.00569393002841256</v>
      </c>
      <c r="AJ103" s="208" t="n">
        <f aca="false">A103+DAY(EOMONTH(A103,0))/2-1</f>
        <v>39887.5</v>
      </c>
      <c r="AK103" s="209" t="n">
        <f aca="false">IF($A104="","",$A103-$E$1)</f>
        <v>-6053</v>
      </c>
      <c r="AL103" s="182" t="e">
        <f aca="false">IF($A104="","",SPRDOPT(P103,X103,AI103,0,AB103,AE103,AF103,AK103,$AJ$2,0))</f>
        <v>#NAME?</v>
      </c>
      <c r="AM103" s="210" t="e">
        <f aca="false">IF($A104="","",MAX(0,O103-W103-AI103))</f>
        <v>#N/A</v>
      </c>
      <c r="AN103" s="211" t="e">
        <f aca="false">IF($A104="","",AL103-AM103)</f>
        <v>#N/A</v>
      </c>
      <c r="AO103" s="137" t="n">
        <f aca="false">IF(A104="","",A104-A103)</f>
        <v>31</v>
      </c>
      <c r="AP103" s="212" t="n">
        <f aca="false">IF(A104="","",CHOOSE(F$3,A104+24,A103))</f>
        <v>39873</v>
      </c>
      <c r="AQ103" s="209" t="n">
        <f aca="false">IF(A104="","",AP103-$E$1)</f>
        <v>-6053</v>
      </c>
      <c r="AR103" s="185" t="n">
        <f aca="false">'ANR OK vs ML7'!AR103</f>
        <v>0.1</v>
      </c>
      <c r="AS103" s="213" t="n">
        <f aca="false">IF(A104="","",1/(1+CHOOSE(F$3,(AR104+($I$3/10000))/2,(AR103+($I$3/10000))/2))^(2*AQ103/365.25))</f>
        <v>5.03856728378468</v>
      </c>
      <c r="AT103" s="137" t="n">
        <f aca="false">IF(A104="","",IF(AND(mthbeg&lt;=A103,mthend&gt;=A103),1,0))</f>
        <v>1</v>
      </c>
      <c r="AU103" s="137" t="n">
        <f aca="false">IF(A104="","",AO103*AT103)</f>
        <v>31</v>
      </c>
      <c r="AW103" s="195" t="e">
        <f aca="false">IF($A104="","",AL103*$E103)</f>
        <v>#NAME?</v>
      </c>
      <c r="AX103" s="195" t="e">
        <f aca="false">IF($A104="","",AM103*$E103)</f>
        <v>#N/A</v>
      </c>
      <c r="AY103" s="195" t="e">
        <f aca="false">IF($A104="","",AN103*$E103)</f>
        <v>#N/A</v>
      </c>
      <c r="BA103" s="195" t="n">
        <f aca="false">IF($A104="","",F103*Summary!$Q$11)</f>
        <v>0</v>
      </c>
      <c r="BC103" s="179" t="e">
        <f aca="false">IF(A104="","",AM103*F103)</f>
        <v>#N/A</v>
      </c>
    </row>
    <row r="104" customFormat="false" ht="12.75" hidden="false" customHeight="false" outlineLevel="0" collapsed="false">
      <c r="A104" s="196" t="n">
        <f aca="false">IF(A103&lt;mthend,EDATE(A103,1),"")</f>
        <v>39904</v>
      </c>
      <c r="B104" s="197" t="n">
        <f aca="false">IF(A104&lt;mthend,B103,"")</f>
        <v>124142</v>
      </c>
      <c r="C104" s="215"/>
      <c r="D104" s="197" t="n">
        <f aca="false">IF(A105&lt;&gt;"",B104+C104,"")</f>
        <v>124142</v>
      </c>
      <c r="E104" s="199" t="n">
        <f aca="false">IF(A105="","",IF(AND(AT104=1,$H$3=1),D104*AO104,IF($H$3=2,D104,"N/A")))</f>
        <v>3724260</v>
      </c>
      <c r="F104" s="199" t="n">
        <f aca="false">IF(A105="","",E104*AS104)</f>
        <v>18610165.7146686</v>
      </c>
      <c r="G104" s="200" t="e">
        <f aca="false">IF($A105="","",VLOOKUP($A104,Table,MATCH(G$4,Curves,0)))</f>
        <v>#N/A</v>
      </c>
      <c r="H104" s="201" t="e">
        <f aca="false">IF(A105="","",G104)</f>
        <v>#N/A</v>
      </c>
      <c r="I104" s="202"/>
      <c r="J104" s="200" t="e">
        <f aca="false">IF($A105="","",VLOOKUP($A104,Table,MATCH(J$4,Curves,0)))</f>
        <v>#N/A</v>
      </c>
      <c r="K104" s="201" t="e">
        <f aca="false">IF(A105="","",J104)</f>
        <v>#N/A</v>
      </c>
      <c r="L104" s="200" t="e">
        <f aca="false">IF($A105="","",VLOOKUP($A104,Table,MATCH(L$4,Curves,0)))</f>
        <v>#N/A</v>
      </c>
      <c r="M104" s="201" t="e">
        <f aca="false">IF(A105="","",L104)</f>
        <v>#N/A</v>
      </c>
      <c r="N104" s="203"/>
      <c r="O104" s="200" t="e">
        <f aca="false">IF(A105="","",L104+J104+G104)</f>
        <v>#N/A</v>
      </c>
      <c r="P104" s="200" t="e">
        <f aca="false">IF(A105="","",M104+K104+H104)</f>
        <v>#N/A</v>
      </c>
      <c r="Q104" s="204"/>
      <c r="R104" s="200" t="e">
        <f aca="false">IF($A105="","",VLOOKUP($A104,Table,MATCH(R$4,Curves,0)))</f>
        <v>#N/A</v>
      </c>
      <c r="S104" s="201" t="e">
        <f aca="false">IF(A105="","",R104)</f>
        <v>#N/A</v>
      </c>
      <c r="T104" s="185" t="n">
        <v>0</v>
      </c>
      <c r="U104" s="201" t="n">
        <f aca="false">IF(A105="","",T104)</f>
        <v>0</v>
      </c>
      <c r="V104" s="205" t="e">
        <f aca="false">IF($A105="","",IF(AND(MONTH(A104)&gt;3,MONTH(A104)&lt;11),(T104+R104+G104)*Summary!$T$11/(1-Summary!$T$11),(T104+R104+G104)*Summary!$U$11/(1-Summary!$U$11)))</f>
        <v>#N/A</v>
      </c>
      <c r="W104" s="202" t="e">
        <f aca="false">IF($A105="","",(T104+R104+G104+V104))</f>
        <v>#N/A</v>
      </c>
      <c r="X104" s="202" t="e">
        <f aca="false">IF($A105="","",(U104+S104+H104+V104))</f>
        <v>#N/A</v>
      </c>
      <c r="Y104" s="202"/>
      <c r="Z104" s="185" t="e">
        <f aca="false">IF($A105="","",VLOOKUP($A104,Table,MATCH(Z$4,Curves,0)))</f>
        <v>#N/A</v>
      </c>
      <c r="AA104" s="185" t="e">
        <f aca="false">IF($A105="","",VLOOKUP($A104,Table,MATCH(AA$4,Curves,0)))</f>
        <v>#N/A</v>
      </c>
      <c r="AB104" s="185" t="e">
        <f aca="false">SQRT((AA104^2*(A104-$D$3)+Z104^2*(DAY(EOMONTH(A104,0))/2))/AK104)</f>
        <v>#N/A</v>
      </c>
      <c r="AC104" s="185" t="e">
        <f aca="false">IF($A105="","",VLOOKUP($A104,Table,MATCH(AC$4,Curves,0)))</f>
        <v>#N/A</v>
      </c>
      <c r="AD104" s="185" t="e">
        <f aca="false">IF($A105="","",VLOOKUP($A104,Table,MATCH(AD$4,Curves,0)))</f>
        <v>#N/A</v>
      </c>
      <c r="AE104" s="185" t="e">
        <f aca="false">SQRT((AD104^2*(A104-$D$3)+AC104^2*(DAY(EOMONTH(A104,0))/2))/AK104)</f>
        <v>#N/A</v>
      </c>
      <c r="AF104" s="206" t="e">
        <f aca="false">((Summary!$N$11*(AA104*AD104)*(A104-$D$3))+(Summary!$M$11*Z104*AC104*(AJ104-EOMONTH(EDATE(A104,-1),0))))/(AK104*AB104*AE104)</f>
        <v>#N/A</v>
      </c>
      <c r="AG104" s="207" t="n">
        <f aca="false">IF($A105="","",Summary!$Q$11)</f>
        <v>0</v>
      </c>
      <c r="AH104" s="207" t="n">
        <f aca="false">IF($A105="","",IF(Summary!$R$11="Y",(VLOOKUP($A104,Summary!$AD$6:$AF$9,3)+'Escalating commodity'!G117),'Escalating commodity'!G117))</f>
        <v>0.00569393002841256</v>
      </c>
      <c r="AI104" s="207" t="n">
        <f aca="false">IF($A105="","",AH104)</f>
        <v>0.00569393002841256</v>
      </c>
      <c r="AJ104" s="208" t="n">
        <f aca="false">A104+DAY(EOMONTH(A104,0))/2-1</f>
        <v>39918</v>
      </c>
      <c r="AK104" s="209" t="n">
        <f aca="false">IF($A105="","",$A104-$E$1)</f>
        <v>-6022</v>
      </c>
      <c r="AL104" s="182" t="e">
        <f aca="false">IF($A105="","",SPRDOPT(P104,X104,AI104,0,AB104,AE104,AF104,AK104,$AJ$2,0))</f>
        <v>#NAME?</v>
      </c>
      <c r="AM104" s="210" t="e">
        <f aca="false">IF($A105="","",MAX(0,O104-W104-AI104))</f>
        <v>#N/A</v>
      </c>
      <c r="AN104" s="211" t="e">
        <f aca="false">IF($A105="","",AL104-AM104)</f>
        <v>#N/A</v>
      </c>
      <c r="AO104" s="137" t="n">
        <f aca="false">IF(A105="","",A105-A104)</f>
        <v>30</v>
      </c>
      <c r="AP104" s="212" t="n">
        <f aca="false">IF(A105="","",CHOOSE(F$3,A105+24,A104))</f>
        <v>39904</v>
      </c>
      <c r="AQ104" s="209" t="n">
        <f aca="false">IF(A105="","",AP104-$E$1)</f>
        <v>-6022</v>
      </c>
      <c r="AR104" s="185" t="n">
        <f aca="false">'ANR OK vs ML7'!AR104</f>
        <v>0.1</v>
      </c>
      <c r="AS104" s="213" t="n">
        <f aca="false">IF(A105="","",1/(1+CHOOSE(F$3,(AR105+($I$3/10000))/2,(AR104+($I$3/10000))/2))^(2*AQ104/365.25))</f>
        <v>4.99701033619258</v>
      </c>
      <c r="AT104" s="137" t="n">
        <f aca="false">IF(A105="","",IF(AND(mthbeg&lt;=A104,mthend&gt;=A104),1,0))</f>
        <v>1</v>
      </c>
      <c r="AU104" s="137" t="n">
        <f aca="false">IF(A105="","",AO104*AT104)</f>
        <v>30</v>
      </c>
      <c r="AW104" s="195" t="e">
        <f aca="false">IF($A105="","",AL104*$E104)</f>
        <v>#NAME?</v>
      </c>
      <c r="AX104" s="195" t="e">
        <f aca="false">IF($A105="","",AM104*$E104)</f>
        <v>#N/A</v>
      </c>
      <c r="AY104" s="195" t="e">
        <f aca="false">IF($A105="","",AN104*$E104)</f>
        <v>#N/A</v>
      </c>
      <c r="BA104" s="195" t="n">
        <f aca="false">IF($A105="","",F104*Summary!$Q$11)</f>
        <v>0</v>
      </c>
      <c r="BC104" s="179" t="e">
        <f aca="false">IF(A105="","",AM104*F104)</f>
        <v>#N/A</v>
      </c>
    </row>
    <row r="105" customFormat="false" ht="12.75" hidden="false" customHeight="false" outlineLevel="0" collapsed="false">
      <c r="A105" s="196" t="n">
        <f aca="false">IF(A104&lt;mthend,EDATE(A104,1),"")</f>
        <v>39934</v>
      </c>
      <c r="B105" s="197" t="n">
        <f aca="false">IF(A105&lt;mthend,B104,"")</f>
        <v>124142</v>
      </c>
      <c r="C105" s="215"/>
      <c r="D105" s="197" t="n">
        <f aca="false">IF(A106&lt;&gt;"",B105+C105,"")</f>
        <v>124142</v>
      </c>
      <c r="E105" s="199" t="n">
        <f aca="false">IF(A106="","",IF(AND(AT105=1,$H$3=1),D105*AO105,IF($H$3=2,D105,"N/A")))</f>
        <v>3848402</v>
      </c>
      <c r="F105" s="199" t="n">
        <f aca="false">IF(A106="","",E105*AS105)</f>
        <v>19076991.7153367</v>
      </c>
      <c r="G105" s="200" t="e">
        <f aca="false">IF($A106="","",VLOOKUP($A105,Table,MATCH(G$4,Curves,0)))</f>
        <v>#N/A</v>
      </c>
      <c r="H105" s="201" t="e">
        <f aca="false">IF(A106="","",G105)</f>
        <v>#N/A</v>
      </c>
      <c r="I105" s="202"/>
      <c r="J105" s="200" t="e">
        <f aca="false">IF($A106="","",VLOOKUP($A105,Table,MATCH(J$4,Curves,0)))</f>
        <v>#N/A</v>
      </c>
      <c r="K105" s="201" t="e">
        <f aca="false">IF(A106="","",J105)</f>
        <v>#N/A</v>
      </c>
      <c r="L105" s="200" t="e">
        <f aca="false">IF($A106="","",VLOOKUP($A105,Table,MATCH(L$4,Curves,0)))</f>
        <v>#N/A</v>
      </c>
      <c r="M105" s="201" t="e">
        <f aca="false">IF(A106="","",L105)</f>
        <v>#N/A</v>
      </c>
      <c r="N105" s="203"/>
      <c r="O105" s="200" t="e">
        <f aca="false">IF(A106="","",L105+J105+G105)</f>
        <v>#N/A</v>
      </c>
      <c r="P105" s="200" t="e">
        <f aca="false">IF(A106="","",M105+K105+H105)</f>
        <v>#N/A</v>
      </c>
      <c r="Q105" s="204"/>
      <c r="R105" s="200" t="e">
        <f aca="false">IF($A106="","",VLOOKUP($A105,Table,MATCH(R$4,Curves,0)))</f>
        <v>#N/A</v>
      </c>
      <c r="S105" s="201" t="e">
        <f aca="false">IF(A106="","",R105)</f>
        <v>#N/A</v>
      </c>
      <c r="T105" s="185" t="n">
        <v>0</v>
      </c>
      <c r="U105" s="201" t="n">
        <f aca="false">IF(A106="","",T105)</f>
        <v>0</v>
      </c>
      <c r="V105" s="205" t="e">
        <f aca="false">IF($A106="","",IF(AND(MONTH(A105)&gt;3,MONTH(A105)&lt;11),(T105+R105+G105)*Summary!$T$11/(1-Summary!$T$11),(T105+R105+G105)*Summary!$U$11/(1-Summary!$U$11)))</f>
        <v>#N/A</v>
      </c>
      <c r="W105" s="202" t="e">
        <f aca="false">IF($A106="","",(T105+R105+G105+V105))</f>
        <v>#N/A</v>
      </c>
      <c r="X105" s="202" t="e">
        <f aca="false">IF($A106="","",(U105+S105+H105+V105))</f>
        <v>#N/A</v>
      </c>
      <c r="Y105" s="202"/>
      <c r="Z105" s="185" t="e">
        <f aca="false">IF($A106="","",VLOOKUP($A105,Table,MATCH(Z$4,Curves,0)))</f>
        <v>#N/A</v>
      </c>
      <c r="AA105" s="185" t="e">
        <f aca="false">IF($A106="","",VLOOKUP($A105,Table,MATCH(AA$4,Curves,0)))</f>
        <v>#N/A</v>
      </c>
      <c r="AB105" s="185" t="e">
        <f aca="false">SQRT((AA105^2*(A105-$D$3)+Z105^2*(DAY(EOMONTH(A105,0))/2))/AK105)</f>
        <v>#N/A</v>
      </c>
      <c r="AC105" s="185" t="e">
        <f aca="false">IF($A106="","",VLOOKUP($A105,Table,MATCH(AC$4,Curves,0)))</f>
        <v>#N/A</v>
      </c>
      <c r="AD105" s="185" t="e">
        <f aca="false">IF($A106="","",VLOOKUP($A105,Table,MATCH(AD$4,Curves,0)))</f>
        <v>#N/A</v>
      </c>
      <c r="AE105" s="185" t="e">
        <f aca="false">SQRT((AD105^2*(A105-$D$3)+AC105^2*(DAY(EOMONTH(A105,0))/2))/AK105)</f>
        <v>#N/A</v>
      </c>
      <c r="AF105" s="206" t="e">
        <f aca="false">((Summary!$N$11*(AA105*AD105)*(A105-$D$3))+(Summary!$M$11*Z105*AC105*(AJ105-EOMONTH(EDATE(A105,-1),0))))/(AK105*AB105*AE105)</f>
        <v>#N/A</v>
      </c>
      <c r="AG105" s="207" t="n">
        <f aca="false">IF($A106="","",Summary!$Q$11)</f>
        <v>0</v>
      </c>
      <c r="AH105" s="207" t="n">
        <f aca="false">IF($A106="","",IF(Summary!$R$11="Y",(VLOOKUP($A105,Summary!$AD$6:$AF$9,3)+'Escalating commodity'!G118),'Escalating commodity'!G118))</f>
        <v>0.00569393002841256</v>
      </c>
      <c r="AI105" s="207" t="n">
        <f aca="false">IF($A106="","",AH105)</f>
        <v>0.00569393002841256</v>
      </c>
      <c r="AJ105" s="208" t="n">
        <f aca="false">A105+DAY(EOMONTH(A105,0))/2-1</f>
        <v>39948.5</v>
      </c>
      <c r="AK105" s="209" t="n">
        <f aca="false">IF($A106="","",$A105-$E$1)</f>
        <v>-5992</v>
      </c>
      <c r="AL105" s="182" t="e">
        <f aca="false">IF($A106="","",SPRDOPT(P105,X105,AI105,0,AB105,AE105,AF105,AK105,$AJ$2,0))</f>
        <v>#NAME?</v>
      </c>
      <c r="AM105" s="210" t="e">
        <f aca="false">IF($A106="","",MAX(0,O105-W105-AI105))</f>
        <v>#N/A</v>
      </c>
      <c r="AN105" s="211" t="e">
        <f aca="false">IF($A106="","",AL105-AM105)</f>
        <v>#N/A</v>
      </c>
      <c r="AO105" s="137" t="n">
        <f aca="false">IF(A106="","",A106-A105)</f>
        <v>31</v>
      </c>
      <c r="AP105" s="212" t="n">
        <f aca="false">IF(A106="","",CHOOSE(F$3,A106+24,A105))</f>
        <v>39934</v>
      </c>
      <c r="AQ105" s="209" t="n">
        <f aca="false">IF(A106="","",AP105-$E$1)</f>
        <v>-5992</v>
      </c>
      <c r="AR105" s="185" t="n">
        <f aca="false">'ANR OK vs ML7'!AR105</f>
        <v>0.1</v>
      </c>
      <c r="AS105" s="213" t="n">
        <f aca="false">IF(A106="","",1/(1+CHOOSE(F$3,(AR106+($I$3/10000))/2,(AR105+($I$3/10000))/2))^(2*AQ105/365.25))</f>
        <v>4.95712031002393</v>
      </c>
      <c r="AT105" s="137" t="n">
        <f aca="false">IF(A106="","",IF(AND(mthbeg&lt;=A105,mthend&gt;=A105),1,0))</f>
        <v>1</v>
      </c>
      <c r="AU105" s="137" t="n">
        <f aca="false">IF(A106="","",AO105*AT105)</f>
        <v>31</v>
      </c>
      <c r="AW105" s="195" t="e">
        <f aca="false">IF($A106="","",AL105*$E105)</f>
        <v>#NAME?</v>
      </c>
      <c r="AX105" s="195" t="e">
        <f aca="false">IF($A106="","",AM105*$E105)</f>
        <v>#N/A</v>
      </c>
      <c r="AY105" s="195" t="e">
        <f aca="false">IF($A106="","",AN105*$E105)</f>
        <v>#N/A</v>
      </c>
      <c r="BA105" s="195" t="n">
        <f aca="false">IF($A106="","",F105*Summary!$Q$11)</f>
        <v>0</v>
      </c>
      <c r="BC105" s="179" t="e">
        <f aca="false">IF(A106="","",AM105*F105)</f>
        <v>#N/A</v>
      </c>
    </row>
    <row r="106" customFormat="false" ht="12.75" hidden="false" customHeight="false" outlineLevel="0" collapsed="false">
      <c r="A106" s="196" t="n">
        <f aca="false">IF(A105&lt;mthend,EDATE(A105,1),"")</f>
        <v>39965</v>
      </c>
      <c r="B106" s="197" t="n">
        <f aca="false">IF(A106&lt;mthend,B105,"")</f>
        <v>124142</v>
      </c>
      <c r="C106" s="215"/>
      <c r="D106" s="197" t="n">
        <f aca="false">IF(A107&lt;&gt;"",B106+C106,"")</f>
        <v>124142</v>
      </c>
      <c r="E106" s="199" t="n">
        <f aca="false">IF(A107="","",IF(AND(AT106=1,$H$3=1),D106*AO106,IF($H$3=2,D106,"N/A")))</f>
        <v>3724260</v>
      </c>
      <c r="F106" s="199" t="n">
        <f aca="false">IF(A107="","",E106*AS106)</f>
        <v>18309337.8020348</v>
      </c>
      <c r="G106" s="200" t="e">
        <f aca="false">IF($A107="","",VLOOKUP($A106,Table,MATCH(G$4,Curves,0)))</f>
        <v>#N/A</v>
      </c>
      <c r="H106" s="201" t="e">
        <f aca="false">IF(A107="","",G106)</f>
        <v>#N/A</v>
      </c>
      <c r="I106" s="202"/>
      <c r="J106" s="200" t="e">
        <f aca="false">IF($A107="","",VLOOKUP($A106,Table,MATCH(J$4,Curves,0)))</f>
        <v>#N/A</v>
      </c>
      <c r="K106" s="201" t="e">
        <f aca="false">IF(A107="","",J106)</f>
        <v>#N/A</v>
      </c>
      <c r="L106" s="200" t="e">
        <f aca="false">IF($A107="","",VLOOKUP($A106,Table,MATCH(L$4,Curves,0)))</f>
        <v>#N/A</v>
      </c>
      <c r="M106" s="201" t="e">
        <f aca="false">IF(A107="","",L106)</f>
        <v>#N/A</v>
      </c>
      <c r="N106" s="203"/>
      <c r="O106" s="200" t="e">
        <f aca="false">IF(A107="","",L106+J106+G106)</f>
        <v>#N/A</v>
      </c>
      <c r="P106" s="200" t="e">
        <f aca="false">IF(A107="","",M106+K106+H106)</f>
        <v>#N/A</v>
      </c>
      <c r="Q106" s="204"/>
      <c r="R106" s="200" t="e">
        <f aca="false">IF($A107="","",VLOOKUP($A106,Table,MATCH(R$4,Curves,0)))</f>
        <v>#N/A</v>
      </c>
      <c r="S106" s="201" t="e">
        <f aca="false">IF(A107="","",R106)</f>
        <v>#N/A</v>
      </c>
      <c r="T106" s="185" t="n">
        <v>0</v>
      </c>
      <c r="U106" s="201" t="n">
        <f aca="false">IF(A107="","",T106)</f>
        <v>0</v>
      </c>
      <c r="V106" s="205" t="e">
        <f aca="false">IF($A107="","",IF(AND(MONTH(A106)&gt;3,MONTH(A106)&lt;11),(T106+R106+G106)*Summary!$T$11/(1-Summary!$T$11),(T106+R106+G106)*Summary!$U$11/(1-Summary!$U$11)))</f>
        <v>#N/A</v>
      </c>
      <c r="W106" s="202" t="e">
        <f aca="false">IF($A107="","",(T106+R106+G106+V106))</f>
        <v>#N/A</v>
      </c>
      <c r="X106" s="202" t="e">
        <f aca="false">IF($A107="","",(U106+S106+H106+V106))</f>
        <v>#N/A</v>
      </c>
      <c r="Y106" s="202"/>
      <c r="Z106" s="185" t="e">
        <f aca="false">IF($A107="","",VLOOKUP($A106,Table,MATCH(Z$4,Curves,0)))</f>
        <v>#N/A</v>
      </c>
      <c r="AA106" s="185" t="e">
        <f aca="false">IF($A107="","",VLOOKUP($A106,Table,MATCH(AA$4,Curves,0)))</f>
        <v>#N/A</v>
      </c>
      <c r="AB106" s="185" t="e">
        <f aca="false">SQRT((AA106^2*(A106-$D$3)+Z106^2*(DAY(EOMONTH(A106,0))/2))/AK106)</f>
        <v>#N/A</v>
      </c>
      <c r="AC106" s="185" t="e">
        <f aca="false">IF($A107="","",VLOOKUP($A106,Table,MATCH(AC$4,Curves,0)))</f>
        <v>#N/A</v>
      </c>
      <c r="AD106" s="185" t="e">
        <f aca="false">IF($A107="","",VLOOKUP($A106,Table,MATCH(AD$4,Curves,0)))</f>
        <v>#N/A</v>
      </c>
      <c r="AE106" s="185" t="e">
        <f aca="false">SQRT((AD106^2*(A106-$D$3)+AC106^2*(DAY(EOMONTH(A106,0))/2))/AK106)</f>
        <v>#N/A</v>
      </c>
      <c r="AF106" s="206" t="e">
        <f aca="false">((Summary!$N$11*(AA106*AD106)*(A106-$D$3))+(Summary!$M$11*Z106*AC106*(AJ106-EOMONTH(EDATE(A106,-1),0))))/(AK106*AB106*AE106)</f>
        <v>#N/A</v>
      </c>
      <c r="AG106" s="207" t="n">
        <f aca="false">IF($A107="","",Summary!$Q$11)</f>
        <v>0</v>
      </c>
      <c r="AH106" s="207" t="n">
        <f aca="false">IF($A107="","",IF(Summary!$R$11="Y",(VLOOKUP($A106,Summary!$AD$6:$AF$9,3)+'Escalating commodity'!G119),'Escalating commodity'!G119))</f>
        <v>0.00569393002841256</v>
      </c>
      <c r="AI106" s="207" t="n">
        <f aca="false">IF($A107="","",AH106)</f>
        <v>0.00569393002841256</v>
      </c>
      <c r="AJ106" s="208" t="n">
        <f aca="false">A106+DAY(EOMONTH(A106,0))/2-1</f>
        <v>39979</v>
      </c>
      <c r="AK106" s="209" t="n">
        <f aca="false">IF($A107="","",$A106-$E$1)</f>
        <v>-5961</v>
      </c>
      <c r="AL106" s="182" t="e">
        <f aca="false">IF($A107="","",SPRDOPT(P106,X106,AI106,0,AB106,AE106,AF106,AK106,$AJ$2,0))</f>
        <v>#NAME?</v>
      </c>
      <c r="AM106" s="210" t="e">
        <f aca="false">IF($A107="","",MAX(0,O106-W106-AI106))</f>
        <v>#N/A</v>
      </c>
      <c r="AN106" s="211" t="e">
        <f aca="false">IF($A107="","",AL106-AM106)</f>
        <v>#N/A</v>
      </c>
      <c r="AO106" s="137" t="n">
        <f aca="false">IF(A107="","",A107-A106)</f>
        <v>30</v>
      </c>
      <c r="AP106" s="212" t="n">
        <f aca="false">IF(A107="","",CHOOSE(F$3,A107+24,A106))</f>
        <v>39965</v>
      </c>
      <c r="AQ106" s="209" t="n">
        <f aca="false">IF(A107="","",AP106-$E$1)</f>
        <v>-5961</v>
      </c>
      <c r="AR106" s="185" t="n">
        <f aca="false">'ANR OK vs ML7'!AR106</f>
        <v>0.1</v>
      </c>
      <c r="AS106" s="213" t="n">
        <f aca="false">IF(A107="","",1/(1+CHOOSE(F$3,(AR107+($I$3/10000))/2,(AR106+($I$3/10000))/2))^(2*AQ106/365.25))</f>
        <v>4.91623511839528</v>
      </c>
      <c r="AT106" s="137" t="n">
        <f aca="false">IF(A107="","",IF(AND(mthbeg&lt;=A106,mthend&gt;=A106),1,0))</f>
        <v>1</v>
      </c>
      <c r="AU106" s="137" t="n">
        <f aca="false">IF(A107="","",AO106*AT106)</f>
        <v>30</v>
      </c>
      <c r="AW106" s="195" t="e">
        <f aca="false">IF($A107="","",AL106*$E106)</f>
        <v>#NAME?</v>
      </c>
      <c r="AX106" s="195" t="e">
        <f aca="false">IF($A107="","",AM106*$E106)</f>
        <v>#N/A</v>
      </c>
      <c r="AY106" s="195" t="e">
        <f aca="false">IF($A107="","",AN106*$E106)</f>
        <v>#N/A</v>
      </c>
      <c r="BA106" s="195" t="n">
        <f aca="false">IF($A107="","",F106*Summary!$Q$11)</f>
        <v>0</v>
      </c>
      <c r="BC106" s="179" t="e">
        <f aca="false">IF(A107="","",AM106*F106)</f>
        <v>#N/A</v>
      </c>
    </row>
    <row r="107" customFormat="false" ht="12.75" hidden="false" customHeight="false" outlineLevel="0" collapsed="false">
      <c r="A107" s="196" t="n">
        <f aca="false">IF(A106&lt;mthend,EDATE(A106,1),"")</f>
        <v>39995</v>
      </c>
      <c r="B107" s="197" t="n">
        <f aca="false">IF(A107&lt;mthend,B106,"")</f>
        <v>124142</v>
      </c>
      <c r="C107" s="215"/>
      <c r="D107" s="197" t="n">
        <f aca="false">IF(A108&lt;&gt;"",B107+C107,"")</f>
        <v>124142</v>
      </c>
      <c r="E107" s="199" t="n">
        <f aca="false">IF(A108="","",IF(AND(AT107=1,$H$3=1),D107*AO107,IF($H$3=2,D107,"N/A")))</f>
        <v>3848402</v>
      </c>
      <c r="F107" s="199" t="n">
        <f aca="false">IF(A108="","",E107*AS107)</f>
        <v>18768617.6962632</v>
      </c>
      <c r="G107" s="200" t="e">
        <f aca="false">IF($A108="","",VLOOKUP($A107,Table,MATCH(G$4,Curves,0)))</f>
        <v>#N/A</v>
      </c>
      <c r="H107" s="201" t="e">
        <f aca="false">IF(A108="","",G107)</f>
        <v>#N/A</v>
      </c>
      <c r="I107" s="202"/>
      <c r="J107" s="200" t="e">
        <f aca="false">IF($A108="","",VLOOKUP($A107,Table,MATCH(J$4,Curves,0)))</f>
        <v>#N/A</v>
      </c>
      <c r="K107" s="201" t="e">
        <f aca="false">IF(A108="","",J107)</f>
        <v>#N/A</v>
      </c>
      <c r="L107" s="200" t="e">
        <f aca="false">IF($A108="","",VLOOKUP($A107,Table,MATCH(L$4,Curves,0)))</f>
        <v>#N/A</v>
      </c>
      <c r="M107" s="201" t="e">
        <f aca="false">IF(A108="","",L107)</f>
        <v>#N/A</v>
      </c>
      <c r="N107" s="203"/>
      <c r="O107" s="200" t="e">
        <f aca="false">IF(A108="","",L107+J107+G107)</f>
        <v>#N/A</v>
      </c>
      <c r="P107" s="200" t="e">
        <f aca="false">IF(A108="","",M107+K107+H107)</f>
        <v>#N/A</v>
      </c>
      <c r="Q107" s="204"/>
      <c r="R107" s="200" t="e">
        <f aca="false">IF($A108="","",VLOOKUP($A107,Table,MATCH(R$4,Curves,0)))</f>
        <v>#N/A</v>
      </c>
      <c r="S107" s="201" t="e">
        <f aca="false">IF(A108="","",R107)</f>
        <v>#N/A</v>
      </c>
      <c r="T107" s="185" t="n">
        <v>0</v>
      </c>
      <c r="U107" s="201" t="n">
        <f aca="false">IF(A108="","",T107)</f>
        <v>0</v>
      </c>
      <c r="V107" s="205" t="e">
        <f aca="false">IF($A108="","",IF(AND(MONTH(A107)&gt;3,MONTH(A107)&lt;11),(T107+R107+G107)*Summary!$T$11/(1-Summary!$T$11),(T107+R107+G107)*Summary!$U$11/(1-Summary!$U$11)))</f>
        <v>#N/A</v>
      </c>
      <c r="W107" s="202" t="e">
        <f aca="false">IF($A108="","",(T107+R107+G107+V107))</f>
        <v>#N/A</v>
      </c>
      <c r="X107" s="202" t="e">
        <f aca="false">IF($A108="","",(U107+S107+H107+V107))</f>
        <v>#N/A</v>
      </c>
      <c r="Y107" s="202"/>
      <c r="Z107" s="185" t="e">
        <f aca="false">IF($A108="","",VLOOKUP($A107,Table,MATCH(Z$4,Curves,0)))</f>
        <v>#N/A</v>
      </c>
      <c r="AA107" s="185" t="e">
        <f aca="false">IF($A108="","",VLOOKUP($A107,Table,MATCH(AA$4,Curves,0)))</f>
        <v>#N/A</v>
      </c>
      <c r="AB107" s="185" t="e">
        <f aca="false">SQRT((AA107^2*(A107-$D$3)+Z107^2*(DAY(EOMONTH(A107,0))/2))/AK107)</f>
        <v>#N/A</v>
      </c>
      <c r="AC107" s="185" t="e">
        <f aca="false">IF($A108="","",VLOOKUP($A107,Table,MATCH(AC$4,Curves,0)))</f>
        <v>#N/A</v>
      </c>
      <c r="AD107" s="185" t="e">
        <f aca="false">IF($A108="","",VLOOKUP($A107,Table,MATCH(AD$4,Curves,0)))</f>
        <v>#N/A</v>
      </c>
      <c r="AE107" s="185" t="e">
        <f aca="false">SQRT((AD107^2*(A107-$D$3)+AC107^2*(DAY(EOMONTH(A107,0))/2))/AK107)</f>
        <v>#N/A</v>
      </c>
      <c r="AF107" s="206" t="e">
        <f aca="false">((Summary!$N$11*(AA107*AD107)*(A107-$D$3))+(Summary!$M$11*Z107*AC107*(AJ107-EOMONTH(EDATE(A107,-1),0))))/(AK107*AB107*AE107)</f>
        <v>#N/A</v>
      </c>
      <c r="AG107" s="207" t="n">
        <f aca="false">IF($A108="","",Summary!$Q$11)</f>
        <v>0</v>
      </c>
      <c r="AH107" s="207" t="n">
        <f aca="false">IF($A108="","",IF(Summary!$R$11="Y",(VLOOKUP($A107,Summary!$AD$6:$AF$9,3)+'Escalating commodity'!G120),'Escalating commodity'!G120))</f>
        <v>0.00569393002841256</v>
      </c>
      <c r="AI107" s="207" t="n">
        <f aca="false">IF($A108="","",AH107)</f>
        <v>0.00569393002841256</v>
      </c>
      <c r="AJ107" s="208" t="n">
        <f aca="false">A107+DAY(EOMONTH(A107,0))/2-1</f>
        <v>40009.5</v>
      </c>
      <c r="AK107" s="209" t="n">
        <f aca="false">IF($A108="","",$A107-$E$1)</f>
        <v>-5931</v>
      </c>
      <c r="AL107" s="182" t="e">
        <f aca="false">IF($A108="","",SPRDOPT(P107,X107,AI107,0,AB107,AE107,AF107,AK107,$AJ$2,0))</f>
        <v>#NAME?</v>
      </c>
      <c r="AM107" s="210" t="e">
        <f aca="false">IF($A108="","",MAX(0,O107-W107-AI107))</f>
        <v>#N/A</v>
      </c>
      <c r="AN107" s="211" t="e">
        <f aca="false">IF($A108="","",AL107-AM107)</f>
        <v>#N/A</v>
      </c>
      <c r="AO107" s="137" t="n">
        <f aca="false">IF(A108="","",A108-A107)</f>
        <v>31</v>
      </c>
      <c r="AP107" s="212" t="n">
        <f aca="false">IF(A108="","",CHOOSE(F$3,A108+24,A107))</f>
        <v>39995</v>
      </c>
      <c r="AQ107" s="209" t="n">
        <f aca="false">IF(A108="","",AP107-$E$1)</f>
        <v>-5931</v>
      </c>
      <c r="AR107" s="185" t="n">
        <f aca="false">'ANR OK vs ML7'!AR107</f>
        <v>0.1</v>
      </c>
      <c r="AS107" s="213" t="n">
        <f aca="false">IF(A108="","",1/(1+CHOOSE(F$3,(AR108+($I$3/10000))/2,(AR107+($I$3/10000))/2))^(2*AQ107/365.25))</f>
        <v>4.87698990289039</v>
      </c>
      <c r="AT107" s="137" t="n">
        <f aca="false">IF(A108="","",IF(AND(mthbeg&lt;=A107,mthend&gt;=A107),1,0))</f>
        <v>1</v>
      </c>
      <c r="AU107" s="137" t="n">
        <f aca="false">IF(A108="","",AO107*AT107)</f>
        <v>31</v>
      </c>
      <c r="AW107" s="195" t="e">
        <f aca="false">IF($A108="","",AL107*$E107)</f>
        <v>#NAME?</v>
      </c>
      <c r="AX107" s="195" t="e">
        <f aca="false">IF($A108="","",AM107*$E107)</f>
        <v>#N/A</v>
      </c>
      <c r="AY107" s="195" t="e">
        <f aca="false">IF($A108="","",AN107*$E107)</f>
        <v>#N/A</v>
      </c>
      <c r="BA107" s="195" t="n">
        <f aca="false">IF($A108="","",F107*Summary!$Q$11)</f>
        <v>0</v>
      </c>
      <c r="BC107" s="179" t="e">
        <f aca="false">IF(A108="","",AM107*F107)</f>
        <v>#N/A</v>
      </c>
    </row>
    <row r="108" customFormat="false" ht="12.75" hidden="false" customHeight="false" outlineLevel="0" collapsed="false">
      <c r="A108" s="196" t="n">
        <f aca="false">IF(A107&lt;mthend,EDATE(A107,1),"")</f>
        <v>40026</v>
      </c>
      <c r="B108" s="197" t="n">
        <f aca="false">IF(A108&lt;mthend,B107,"")</f>
        <v>124142</v>
      </c>
      <c r="C108" s="215"/>
      <c r="D108" s="197" t="n">
        <f aca="false">IF(A109&lt;&gt;"",B108+C108,"")</f>
        <v>124142</v>
      </c>
      <c r="E108" s="199" t="n">
        <f aca="false">IF(A109="","",IF(AND(AT108=1,$H$3=1),D108*AO108,IF($H$3=2,D108,"N/A")))</f>
        <v>3848402</v>
      </c>
      <c r="F108" s="199" t="n">
        <f aca="false">IF(A109="","",E108*AS108)</f>
        <v>18613818.441227</v>
      </c>
      <c r="G108" s="200" t="e">
        <f aca="false">IF($A109="","",VLOOKUP($A108,Table,MATCH(G$4,Curves,0)))</f>
        <v>#N/A</v>
      </c>
      <c r="H108" s="201" t="e">
        <f aca="false">IF(A109="","",G108)</f>
        <v>#N/A</v>
      </c>
      <c r="I108" s="202"/>
      <c r="J108" s="200" t="e">
        <f aca="false">IF($A109="","",VLOOKUP($A108,Table,MATCH(J$4,Curves,0)))</f>
        <v>#N/A</v>
      </c>
      <c r="K108" s="201" t="e">
        <f aca="false">IF(A109="","",J108)</f>
        <v>#N/A</v>
      </c>
      <c r="L108" s="200" t="e">
        <f aca="false">IF($A109="","",VLOOKUP($A108,Table,MATCH(L$4,Curves,0)))</f>
        <v>#N/A</v>
      </c>
      <c r="M108" s="201" t="e">
        <f aca="false">IF(A109="","",L108)</f>
        <v>#N/A</v>
      </c>
      <c r="N108" s="203"/>
      <c r="O108" s="200" t="e">
        <f aca="false">IF(A109="","",L108+J108+G108)</f>
        <v>#N/A</v>
      </c>
      <c r="P108" s="200" t="e">
        <f aca="false">IF(A109="","",M108+K108+H108)</f>
        <v>#N/A</v>
      </c>
      <c r="Q108" s="204"/>
      <c r="R108" s="200" t="e">
        <f aca="false">IF($A109="","",VLOOKUP($A108,Table,MATCH(R$4,Curves,0)))</f>
        <v>#N/A</v>
      </c>
      <c r="S108" s="201" t="e">
        <f aca="false">IF(A109="","",R108)</f>
        <v>#N/A</v>
      </c>
      <c r="T108" s="185" t="n">
        <v>0</v>
      </c>
      <c r="U108" s="201" t="n">
        <f aca="false">IF(A109="","",T108)</f>
        <v>0</v>
      </c>
      <c r="V108" s="205" t="e">
        <f aca="false">IF($A109="","",IF(AND(MONTH(A108)&gt;3,MONTH(A108)&lt;11),(T108+R108+G108)*Summary!$T$11/(1-Summary!$T$11),(T108+R108+G108)*Summary!$U$11/(1-Summary!$U$11)))</f>
        <v>#N/A</v>
      </c>
      <c r="W108" s="202" t="e">
        <f aca="false">IF($A109="","",(T108+R108+G108+V108))</f>
        <v>#N/A</v>
      </c>
      <c r="X108" s="202" t="e">
        <f aca="false">IF($A109="","",(U108+S108+H108+V108))</f>
        <v>#N/A</v>
      </c>
      <c r="Y108" s="202"/>
      <c r="Z108" s="185" t="e">
        <f aca="false">IF($A109="","",VLOOKUP($A108,Table,MATCH(Z$4,Curves,0)))</f>
        <v>#N/A</v>
      </c>
      <c r="AA108" s="185" t="e">
        <f aca="false">IF($A109="","",VLOOKUP($A108,Table,MATCH(AA$4,Curves,0)))</f>
        <v>#N/A</v>
      </c>
      <c r="AB108" s="185" t="e">
        <f aca="false">SQRT((AA108^2*(A108-$D$3)+Z108^2*(DAY(EOMONTH(A108,0))/2))/AK108)</f>
        <v>#N/A</v>
      </c>
      <c r="AC108" s="185" t="e">
        <f aca="false">IF($A109="","",VLOOKUP($A108,Table,MATCH(AC$4,Curves,0)))</f>
        <v>#N/A</v>
      </c>
      <c r="AD108" s="185" t="e">
        <f aca="false">IF($A109="","",VLOOKUP($A108,Table,MATCH(AD$4,Curves,0)))</f>
        <v>#N/A</v>
      </c>
      <c r="AE108" s="185" t="e">
        <f aca="false">SQRT((AD108^2*(A108-$D$3)+AC108^2*(DAY(EOMONTH(A108,0))/2))/AK108)</f>
        <v>#N/A</v>
      </c>
      <c r="AF108" s="206" t="e">
        <f aca="false">((Summary!$N$11*(AA108*AD108)*(A108-$D$3))+(Summary!$M$11*Z108*AC108*(AJ108-EOMONTH(EDATE(A108,-1),0))))/(AK108*AB108*AE108)</f>
        <v>#N/A</v>
      </c>
      <c r="AG108" s="207" t="n">
        <f aca="false">IF($A109="","",Summary!$Q$11)</f>
        <v>0</v>
      </c>
      <c r="AH108" s="207" t="n">
        <f aca="false">IF($A109="","",IF(Summary!$R$11="Y",(VLOOKUP($A108,Summary!$AD$6:$AF$9,3)+'Escalating commodity'!G121),'Escalating commodity'!G121))</f>
        <v>0.00569393002841256</v>
      </c>
      <c r="AI108" s="207" t="n">
        <f aca="false">IF($A109="","",AH108)</f>
        <v>0.00569393002841256</v>
      </c>
      <c r="AJ108" s="208" t="n">
        <f aca="false">A108+DAY(EOMONTH(A108,0))/2-1</f>
        <v>40040.5</v>
      </c>
      <c r="AK108" s="209" t="n">
        <f aca="false">IF($A109="","",$A108-$E$1)</f>
        <v>-5900</v>
      </c>
      <c r="AL108" s="182" t="e">
        <f aca="false">IF($A109="","",SPRDOPT(P108,X108,AI108,0,AB108,AE108,AF108,AK108,$AJ$2,0))</f>
        <v>#NAME?</v>
      </c>
      <c r="AM108" s="210" t="e">
        <f aca="false">IF($A109="","",MAX(0,O108-W108-AI108))</f>
        <v>#N/A</v>
      </c>
      <c r="AN108" s="211" t="e">
        <f aca="false">IF($A109="","",AL108-AM108)</f>
        <v>#N/A</v>
      </c>
      <c r="AO108" s="137" t="n">
        <f aca="false">IF(A109="","",A109-A108)</f>
        <v>31</v>
      </c>
      <c r="AP108" s="212" t="n">
        <f aca="false">IF(A109="","",CHOOSE(F$3,A109+24,A108))</f>
        <v>40026</v>
      </c>
      <c r="AQ108" s="209" t="n">
        <f aca="false">IF(A109="","",AP108-$E$1)</f>
        <v>-5900</v>
      </c>
      <c r="AR108" s="185" t="n">
        <f aca="false">'ANR OK vs ML7'!AR108</f>
        <v>0.1</v>
      </c>
      <c r="AS108" s="213" t="n">
        <f aca="false">IF(A109="","",1/(1+CHOOSE(F$3,(AR109+($I$3/10000))/2,(AR108+($I$3/10000))/2))^(2*AQ108/365.25))</f>
        <v>4.83676560848554</v>
      </c>
      <c r="AT108" s="137" t="n">
        <f aca="false">IF(A109="","",IF(AND(mthbeg&lt;=A108,mthend&gt;=A108),1,0))</f>
        <v>1</v>
      </c>
      <c r="AU108" s="137" t="n">
        <f aca="false">IF(A109="","",AO108*AT108)</f>
        <v>31</v>
      </c>
      <c r="AW108" s="195" t="e">
        <f aca="false">IF($A109="","",AL108*$E108)</f>
        <v>#NAME?</v>
      </c>
      <c r="AX108" s="195" t="e">
        <f aca="false">IF($A109="","",AM108*$E108)</f>
        <v>#N/A</v>
      </c>
      <c r="AY108" s="195" t="e">
        <f aca="false">IF($A109="","",AN108*$E108)</f>
        <v>#N/A</v>
      </c>
      <c r="BA108" s="195" t="n">
        <f aca="false">IF($A109="","",F108*Summary!$Q$11)</f>
        <v>0</v>
      </c>
      <c r="BC108" s="179" t="e">
        <f aca="false">IF(A109="","",AM108*F108)</f>
        <v>#N/A</v>
      </c>
    </row>
    <row r="109" customFormat="false" ht="12.75" hidden="false" customHeight="false" outlineLevel="0" collapsed="false">
      <c r="A109" s="196" t="n">
        <f aca="false">IF(A108&lt;mthend,EDATE(A108,1),"")</f>
        <v>40057</v>
      </c>
      <c r="B109" s="197" t="n">
        <f aca="false">IF(A109&lt;mthend,B108,"")</f>
        <v>124142</v>
      </c>
      <c r="C109" s="215"/>
      <c r="D109" s="197" t="n">
        <f aca="false">IF(A110&lt;&gt;"",B109+C109,"")</f>
        <v>124142</v>
      </c>
      <c r="E109" s="199" t="n">
        <f aca="false">IF(A110="","",IF(AND(AT109=1,$H$3=1),D109*AO109,IF($H$3=2,D109,"N/A")))</f>
        <v>3724260</v>
      </c>
      <c r="F109" s="199" t="n">
        <f aca="false">IF(A110="","",E109*AS109)</f>
        <v>17864802.5176937</v>
      </c>
      <c r="G109" s="200" t="e">
        <f aca="false">IF($A110="","",VLOOKUP($A109,Table,MATCH(G$4,Curves,0)))</f>
        <v>#N/A</v>
      </c>
      <c r="H109" s="201" t="e">
        <f aca="false">IF(A110="","",G109)</f>
        <v>#N/A</v>
      </c>
      <c r="I109" s="202"/>
      <c r="J109" s="200" t="e">
        <f aca="false">IF($A110="","",VLOOKUP($A109,Table,MATCH(J$4,Curves,0)))</f>
        <v>#N/A</v>
      </c>
      <c r="K109" s="201" t="e">
        <f aca="false">IF(A110="","",J109)</f>
        <v>#N/A</v>
      </c>
      <c r="L109" s="200" t="e">
        <f aca="false">IF($A110="","",VLOOKUP($A109,Table,MATCH(L$4,Curves,0)))</f>
        <v>#N/A</v>
      </c>
      <c r="M109" s="201" t="e">
        <f aca="false">IF(A110="","",L109)</f>
        <v>#N/A</v>
      </c>
      <c r="N109" s="203"/>
      <c r="O109" s="200" t="e">
        <f aca="false">IF(A110="","",L109+J109+G109)</f>
        <v>#N/A</v>
      </c>
      <c r="P109" s="200" t="e">
        <f aca="false">IF(A110="","",M109+K109+H109)</f>
        <v>#N/A</v>
      </c>
      <c r="Q109" s="204"/>
      <c r="R109" s="200" t="e">
        <f aca="false">IF($A110="","",VLOOKUP($A109,Table,MATCH(R$4,Curves,0)))</f>
        <v>#N/A</v>
      </c>
      <c r="S109" s="201" t="e">
        <f aca="false">IF(A110="","",R109)</f>
        <v>#N/A</v>
      </c>
      <c r="T109" s="185" t="n">
        <v>0</v>
      </c>
      <c r="U109" s="201" t="n">
        <f aca="false">IF(A110="","",T109)</f>
        <v>0</v>
      </c>
      <c r="V109" s="205" t="e">
        <f aca="false">IF($A110="","",IF(AND(MONTH(A109)&gt;3,MONTH(A109)&lt;11),(T109+R109+G109)*Summary!$T$11/(1-Summary!$T$11),(T109+R109+G109)*Summary!$U$11/(1-Summary!$U$11)))</f>
        <v>#N/A</v>
      </c>
      <c r="W109" s="202" t="e">
        <f aca="false">IF($A110="","",(T109+R109+G109+V109))</f>
        <v>#N/A</v>
      </c>
      <c r="X109" s="202" t="e">
        <f aca="false">IF($A110="","",(U109+S109+H109+V109))</f>
        <v>#N/A</v>
      </c>
      <c r="Y109" s="202"/>
      <c r="Z109" s="185" t="e">
        <f aca="false">IF($A110="","",VLOOKUP($A109,Table,MATCH(Z$4,Curves,0)))</f>
        <v>#N/A</v>
      </c>
      <c r="AA109" s="185" t="e">
        <f aca="false">IF($A110="","",VLOOKUP($A109,Table,MATCH(AA$4,Curves,0)))</f>
        <v>#N/A</v>
      </c>
      <c r="AB109" s="185" t="e">
        <f aca="false">SQRT((AA109^2*(A109-$D$3)+Z109^2*(DAY(EOMONTH(A109,0))/2))/AK109)</f>
        <v>#N/A</v>
      </c>
      <c r="AC109" s="185" t="e">
        <f aca="false">IF($A110="","",VLOOKUP($A109,Table,MATCH(AC$4,Curves,0)))</f>
        <v>#N/A</v>
      </c>
      <c r="AD109" s="185" t="e">
        <f aca="false">IF($A110="","",VLOOKUP($A109,Table,MATCH(AD$4,Curves,0)))</f>
        <v>#N/A</v>
      </c>
      <c r="AE109" s="185" t="e">
        <f aca="false">SQRT((AD109^2*(A109-$D$3)+AC109^2*(DAY(EOMONTH(A109,0))/2))/AK109)</f>
        <v>#N/A</v>
      </c>
      <c r="AF109" s="206" t="e">
        <f aca="false">((Summary!$N$11*(AA109*AD109)*(A109-$D$3))+(Summary!$M$11*Z109*AC109*(AJ109-EOMONTH(EDATE(A109,-1),0))))/(AK109*AB109*AE109)</f>
        <v>#N/A</v>
      </c>
      <c r="AG109" s="207" t="n">
        <f aca="false">IF($A110="","",Summary!$Q$11)</f>
        <v>0</v>
      </c>
      <c r="AH109" s="207" t="n">
        <f aca="false">IF($A110="","",IF(Summary!$R$11="Y",(VLOOKUP($A109,Summary!$AD$6:$AF$9,3)+'Escalating commodity'!G122),'Escalating commodity'!G122))</f>
        <v>0.00569393002841256</v>
      </c>
      <c r="AI109" s="207" t="n">
        <f aca="false">IF($A110="","",AH109)</f>
        <v>0.00569393002841256</v>
      </c>
      <c r="AJ109" s="208" t="n">
        <f aca="false">A109+DAY(EOMONTH(A109,0))/2-1</f>
        <v>40071</v>
      </c>
      <c r="AK109" s="209" t="n">
        <f aca="false">IF($A110="","",$A109-$E$1)</f>
        <v>-5869</v>
      </c>
      <c r="AL109" s="182" t="e">
        <f aca="false">IF($A110="","",SPRDOPT(P109,X109,AI109,0,AB109,AE109,AF109,AK109,$AJ$2,0))</f>
        <v>#NAME?</v>
      </c>
      <c r="AM109" s="210" t="e">
        <f aca="false">IF($A110="","",MAX(0,O109-W109-AI109))</f>
        <v>#N/A</v>
      </c>
      <c r="AN109" s="211" t="e">
        <f aca="false">IF($A110="","",AL109-AM109)</f>
        <v>#N/A</v>
      </c>
      <c r="AO109" s="137" t="n">
        <f aca="false">IF(A110="","",A110-A109)</f>
        <v>30</v>
      </c>
      <c r="AP109" s="212" t="n">
        <f aca="false">IF(A110="","",CHOOSE(F$3,A110+24,A109))</f>
        <v>40057</v>
      </c>
      <c r="AQ109" s="209" t="n">
        <f aca="false">IF(A110="","",AP109-$E$1)</f>
        <v>-5869</v>
      </c>
      <c r="AR109" s="185" t="n">
        <f aca="false">'ANR OK vs ML7'!AR109</f>
        <v>0.1</v>
      </c>
      <c r="AS109" s="213" t="n">
        <f aca="false">IF(A110="","",1/(1+CHOOSE(F$3,(AR110+($I$3/10000))/2,(AR109+($I$3/10000))/2))^(2*AQ109/365.25))</f>
        <v>4.79687307483734</v>
      </c>
      <c r="AT109" s="137" t="n">
        <f aca="false">IF(A110="","",IF(AND(mthbeg&lt;=A109,mthend&gt;=A109),1,0))</f>
        <v>1</v>
      </c>
      <c r="AU109" s="137" t="n">
        <f aca="false">IF(A110="","",AO109*AT109)</f>
        <v>30</v>
      </c>
      <c r="AW109" s="195" t="e">
        <f aca="false">IF($A110="","",AL109*$E109)</f>
        <v>#NAME?</v>
      </c>
      <c r="AX109" s="195" t="e">
        <f aca="false">IF($A110="","",AM109*$E109)</f>
        <v>#N/A</v>
      </c>
      <c r="AY109" s="195" t="e">
        <f aca="false">IF($A110="","",AN109*$E109)</f>
        <v>#N/A</v>
      </c>
      <c r="BA109" s="195" t="n">
        <f aca="false">IF($A110="","",F109*Summary!$Q$11)</f>
        <v>0</v>
      </c>
      <c r="BC109" s="179" t="e">
        <f aca="false">IF(A110="","",AM109*F109)</f>
        <v>#N/A</v>
      </c>
    </row>
    <row r="110" customFormat="false" ht="12.75" hidden="false" customHeight="false" outlineLevel="0" collapsed="false">
      <c r="A110" s="196" t="n">
        <f aca="false">IF(A109&lt;mthend,EDATE(A109,1),"")</f>
        <v>40087</v>
      </c>
      <c r="B110" s="197" t="n">
        <f aca="false">IF(A110&lt;mthend,B109,"")</f>
        <v>124142</v>
      </c>
      <c r="C110" s="215"/>
      <c r="D110" s="197" t="n">
        <f aca="false">IF(A111&lt;&gt;"",B110+C110,"")</f>
        <v>124142</v>
      </c>
      <c r="E110" s="199" t="n">
        <f aca="false">IF(A111="","",IF(AND(AT110=1,$H$3=1),D110*AO110,IF($H$3=2,D110,"N/A")))</f>
        <v>3848402</v>
      </c>
      <c r="F110" s="199" t="n">
        <f aca="false">IF(A111="","",E110*AS110)</f>
        <v>18312931.4833314</v>
      </c>
      <c r="G110" s="200" t="e">
        <f aca="false">IF($A111="","",VLOOKUP($A110,Table,MATCH(G$4,Curves,0)))</f>
        <v>#N/A</v>
      </c>
      <c r="H110" s="201" t="e">
        <f aca="false">IF(A111="","",G110)</f>
        <v>#N/A</v>
      </c>
      <c r="I110" s="202"/>
      <c r="J110" s="200" t="e">
        <f aca="false">IF($A111="","",VLOOKUP($A110,Table,MATCH(J$4,Curves,0)))</f>
        <v>#N/A</v>
      </c>
      <c r="K110" s="201" t="e">
        <f aca="false">IF(A111="","",J110)</f>
        <v>#N/A</v>
      </c>
      <c r="L110" s="200" t="e">
        <f aca="false">IF($A111="","",VLOOKUP($A110,Table,MATCH(L$4,Curves,0)))</f>
        <v>#N/A</v>
      </c>
      <c r="M110" s="201" t="e">
        <f aca="false">IF(A111="","",L110)</f>
        <v>#N/A</v>
      </c>
      <c r="N110" s="203"/>
      <c r="O110" s="200" t="e">
        <f aca="false">IF(A111="","",L110+J110+G110)</f>
        <v>#N/A</v>
      </c>
      <c r="P110" s="200" t="e">
        <f aca="false">IF(A111="","",M110+K110+H110)</f>
        <v>#N/A</v>
      </c>
      <c r="Q110" s="204"/>
      <c r="R110" s="200" t="e">
        <f aca="false">IF($A111="","",VLOOKUP($A110,Table,MATCH(R$4,Curves,0)))</f>
        <v>#N/A</v>
      </c>
      <c r="S110" s="201" t="e">
        <f aca="false">IF(A111="","",R110)</f>
        <v>#N/A</v>
      </c>
      <c r="T110" s="185" t="n">
        <v>0</v>
      </c>
      <c r="U110" s="201" t="n">
        <f aca="false">IF(A111="","",T110)</f>
        <v>0</v>
      </c>
      <c r="V110" s="205" t="e">
        <f aca="false">IF($A111="","",IF(AND(MONTH(A110)&gt;3,MONTH(A110)&lt;11),(T110+R110+G110)*Summary!$T$11/(1-Summary!$T$11),(T110+R110+G110)*Summary!$U$11/(1-Summary!$U$11)))</f>
        <v>#N/A</v>
      </c>
      <c r="W110" s="202" t="e">
        <f aca="false">IF($A111="","",(T110+R110+G110+V110))</f>
        <v>#N/A</v>
      </c>
      <c r="X110" s="202" t="e">
        <f aca="false">IF($A111="","",(U110+S110+H110+V110))</f>
        <v>#N/A</v>
      </c>
      <c r="Y110" s="202"/>
      <c r="Z110" s="185" t="e">
        <f aca="false">IF($A111="","",VLOOKUP($A110,Table,MATCH(Z$4,Curves,0)))</f>
        <v>#N/A</v>
      </c>
      <c r="AA110" s="185" t="e">
        <f aca="false">IF($A111="","",VLOOKUP($A110,Table,MATCH(AA$4,Curves,0)))</f>
        <v>#N/A</v>
      </c>
      <c r="AB110" s="185" t="e">
        <f aca="false">SQRT((AA110^2*(A110-$D$3)+Z110^2*(DAY(EOMONTH(A110,0))/2))/AK110)</f>
        <v>#N/A</v>
      </c>
      <c r="AC110" s="185" t="e">
        <f aca="false">IF($A111="","",VLOOKUP($A110,Table,MATCH(AC$4,Curves,0)))</f>
        <v>#N/A</v>
      </c>
      <c r="AD110" s="185" t="e">
        <f aca="false">IF($A111="","",VLOOKUP($A110,Table,MATCH(AD$4,Curves,0)))</f>
        <v>#N/A</v>
      </c>
      <c r="AE110" s="185" t="e">
        <f aca="false">SQRT((AD110^2*(A110-$D$3)+AC110^2*(DAY(EOMONTH(A110,0))/2))/AK110)</f>
        <v>#N/A</v>
      </c>
      <c r="AF110" s="206" t="e">
        <f aca="false">((Summary!$N$11*(AA110*AD110)*(A110-$D$3))+(Summary!$M$11*Z110*AC110*(AJ110-EOMONTH(EDATE(A110,-1),0))))/(AK110*AB110*AE110)</f>
        <v>#N/A</v>
      </c>
      <c r="AG110" s="207" t="n">
        <f aca="false">IF($A111="","",Summary!$Q$11)</f>
        <v>0</v>
      </c>
      <c r="AH110" s="207" t="n">
        <f aca="false">IF($A111="","",IF(Summary!$R$11="Y",(VLOOKUP($A110,Summary!$AD$6:$AF$9,3)+'Escalating commodity'!G123),'Escalating commodity'!G123))</f>
        <v>0.00569393002841256</v>
      </c>
      <c r="AI110" s="207" t="n">
        <f aca="false">IF($A111="","",AH110)</f>
        <v>0.00569393002841256</v>
      </c>
      <c r="AJ110" s="208" t="n">
        <f aca="false">A110+DAY(EOMONTH(A110,0))/2-1</f>
        <v>40101.5</v>
      </c>
      <c r="AK110" s="209" t="n">
        <f aca="false">IF($A111="","",$A110-$E$1)</f>
        <v>-5839</v>
      </c>
      <c r="AL110" s="182" t="e">
        <f aca="false">IF($A111="","",SPRDOPT(P110,X110,AI110,0,AB110,AE110,AF110,AK110,$AJ$2,0))</f>
        <v>#NAME?</v>
      </c>
      <c r="AM110" s="210" t="e">
        <f aca="false">IF($A111="","",MAX(0,O110-W110-AI110))</f>
        <v>#N/A</v>
      </c>
      <c r="AN110" s="211" t="e">
        <f aca="false">IF($A111="","",AL110-AM110)</f>
        <v>#N/A</v>
      </c>
      <c r="AO110" s="137" t="n">
        <f aca="false">IF(A111="","",A111-A110)</f>
        <v>31</v>
      </c>
      <c r="AP110" s="212" t="n">
        <f aca="false">IF(A111="","",CHOOSE(F$3,A111+24,A110))</f>
        <v>40087</v>
      </c>
      <c r="AQ110" s="209" t="n">
        <f aca="false">IF(A111="","",AP110-$E$1)</f>
        <v>-5839</v>
      </c>
      <c r="AR110" s="185" t="n">
        <f aca="false">'ANR OK vs ML7'!AR110</f>
        <v>0.1</v>
      </c>
      <c r="AS110" s="213" t="n">
        <f aca="false">IF(A111="","",1/(1+CHOOSE(F$3,(AR111+($I$3/10000))/2,(AR110+($I$3/10000))/2))^(2*AQ110/365.25))</f>
        <v>4.75858070007537</v>
      </c>
      <c r="AT110" s="137" t="n">
        <f aca="false">IF(A111="","",IF(AND(mthbeg&lt;=A110,mthend&gt;=A110),1,0))</f>
        <v>1</v>
      </c>
      <c r="AU110" s="137" t="n">
        <f aca="false">IF(A111="","",AO110*AT110)</f>
        <v>31</v>
      </c>
      <c r="AW110" s="195" t="e">
        <f aca="false">IF($A111="","",AL110*$E110)</f>
        <v>#NAME?</v>
      </c>
      <c r="AX110" s="195" t="e">
        <f aca="false">IF($A111="","",AM110*$E110)</f>
        <v>#N/A</v>
      </c>
      <c r="AY110" s="195" t="e">
        <f aca="false">IF($A111="","",AN110*$E110)</f>
        <v>#N/A</v>
      </c>
      <c r="BA110" s="195" t="n">
        <f aca="false">IF($A111="","",F110*Summary!$Q$11)</f>
        <v>0</v>
      </c>
      <c r="BC110" s="179" t="e">
        <f aca="false">IF(A111="","",AM110*F110)</f>
        <v>#N/A</v>
      </c>
    </row>
    <row r="111" customFormat="false" ht="12.75" hidden="false" customHeight="false" outlineLevel="0" collapsed="false">
      <c r="A111" s="196" t="n">
        <f aca="false">IF(A110&lt;mthend,EDATE(A110,1),"")</f>
        <v>40118</v>
      </c>
      <c r="B111" s="197" t="n">
        <f aca="false">IF(A111&lt;mthend,B110,"")</f>
        <v>124142</v>
      </c>
      <c r="C111" s="215"/>
      <c r="D111" s="197" t="n">
        <f aca="false">IF(A112&lt;&gt;"",B111+C111,"")</f>
        <v>124142</v>
      </c>
      <c r="E111" s="199" t="n">
        <f aca="false">IF(A112="","",IF(AND(AT111=1,$H$3=1),D111*AO111,IF($H$3=2,D111,"N/A")))</f>
        <v>3724260</v>
      </c>
      <c r="F111" s="199" t="n">
        <f aca="false">IF(A112="","",E111*AS111)</f>
        <v>17576023.1842149</v>
      </c>
      <c r="G111" s="200" t="e">
        <f aca="false">IF($A112="","",VLOOKUP($A111,Table,MATCH(G$4,Curves,0)))</f>
        <v>#N/A</v>
      </c>
      <c r="H111" s="201" t="e">
        <f aca="false">IF(A112="","",G111)</f>
        <v>#N/A</v>
      </c>
      <c r="I111" s="202"/>
      <c r="J111" s="200" t="e">
        <f aca="false">IF($A112="","",VLOOKUP($A111,Table,MATCH(J$4,Curves,0)))</f>
        <v>#N/A</v>
      </c>
      <c r="K111" s="201" t="e">
        <f aca="false">IF(A112="","",J111)</f>
        <v>#N/A</v>
      </c>
      <c r="L111" s="200" t="e">
        <f aca="false">IF($A112="","",VLOOKUP($A111,Table,MATCH(L$4,Curves,0)))</f>
        <v>#N/A</v>
      </c>
      <c r="M111" s="201" t="e">
        <f aca="false">IF(A112="","",L111)</f>
        <v>#N/A</v>
      </c>
      <c r="N111" s="203"/>
      <c r="O111" s="200" t="e">
        <f aca="false">IF(A112="","",L111+J111+G111)</f>
        <v>#N/A</v>
      </c>
      <c r="P111" s="200" t="e">
        <f aca="false">IF(A112="","",M111+K111+H111)</f>
        <v>#N/A</v>
      </c>
      <c r="Q111" s="204"/>
      <c r="R111" s="200" t="e">
        <f aca="false">IF($A112="","",VLOOKUP($A111,Table,MATCH(R$4,Curves,0)))</f>
        <v>#N/A</v>
      </c>
      <c r="S111" s="201" t="e">
        <f aca="false">IF(A112="","",R111)</f>
        <v>#N/A</v>
      </c>
      <c r="T111" s="185" t="n">
        <v>0</v>
      </c>
      <c r="U111" s="201" t="n">
        <f aca="false">IF(A112="","",T111)</f>
        <v>0</v>
      </c>
      <c r="V111" s="205" t="e">
        <f aca="false">IF($A112="","",IF(AND(MONTH(A111)&gt;3,MONTH(A111)&lt;11),(T111+R111+G111)*Summary!$T$11/(1-Summary!$T$11),(T111+R111+G111)*Summary!$U$11/(1-Summary!$U$11)))</f>
        <v>#N/A</v>
      </c>
      <c r="W111" s="202" t="e">
        <f aca="false">IF($A112="","",(T111+R111+G111+V111))</f>
        <v>#N/A</v>
      </c>
      <c r="X111" s="202" t="e">
        <f aca="false">IF($A112="","",(U111+S111+H111+V111))</f>
        <v>#N/A</v>
      </c>
      <c r="Y111" s="202"/>
      <c r="Z111" s="185" t="e">
        <f aca="false">IF($A112="","",VLOOKUP($A111,Table,MATCH(Z$4,Curves,0)))</f>
        <v>#N/A</v>
      </c>
      <c r="AA111" s="185" t="e">
        <f aca="false">IF($A112="","",VLOOKUP($A111,Table,MATCH(AA$4,Curves,0)))</f>
        <v>#N/A</v>
      </c>
      <c r="AB111" s="185" t="e">
        <f aca="false">SQRT((AA111^2*(A111-$D$3)+Z111^2*(DAY(EOMONTH(A111,0))/2))/AK111)</f>
        <v>#N/A</v>
      </c>
      <c r="AC111" s="185" t="e">
        <f aca="false">IF($A112="","",VLOOKUP($A111,Table,MATCH(AC$4,Curves,0)))</f>
        <v>#N/A</v>
      </c>
      <c r="AD111" s="185" t="e">
        <f aca="false">IF($A112="","",VLOOKUP($A111,Table,MATCH(AD$4,Curves,0)))</f>
        <v>#N/A</v>
      </c>
      <c r="AE111" s="185" t="e">
        <f aca="false">SQRT((AD111^2*(A111-$D$3)+AC111^2*(DAY(EOMONTH(A111,0))/2))/AK111)</f>
        <v>#N/A</v>
      </c>
      <c r="AF111" s="206" t="e">
        <f aca="false">((Summary!$N$11*(AA111*AD111)*(A111-$D$3))+(Summary!$M$11*Z111*AC111*(AJ111-EOMONTH(EDATE(A111,-1),0))))/(AK111*AB111*AE111)</f>
        <v>#N/A</v>
      </c>
      <c r="AG111" s="207" t="n">
        <f aca="false">IF($A112="","",Summary!$Q$11)</f>
        <v>0</v>
      </c>
      <c r="AH111" s="207" t="n">
        <f aca="false">IF($A112="","",IF(Summary!$R$11="Y",(VLOOKUP($A111,Summary!$AD$6:$AF$9,3)+'Escalating commodity'!G124),'Escalating commodity'!G124))</f>
        <v>0.00569393002841256</v>
      </c>
      <c r="AI111" s="207" t="n">
        <f aca="false">IF($A112="","",AH111)</f>
        <v>0.00569393002841256</v>
      </c>
      <c r="AJ111" s="208" t="n">
        <f aca="false">A111+DAY(EOMONTH(A111,0))/2-1</f>
        <v>40132</v>
      </c>
      <c r="AK111" s="209" t="n">
        <f aca="false">IF($A112="","",$A111-$E$1)</f>
        <v>-5808</v>
      </c>
      <c r="AL111" s="182" t="e">
        <f aca="false">IF($A112="","",SPRDOPT(P111,X111,AI111,0,AB111,AE111,AF111,AK111,$AJ$2,0))</f>
        <v>#NAME?</v>
      </c>
      <c r="AM111" s="210" t="e">
        <f aca="false">IF($A112="","",MAX(0,O111-W111-AI111))</f>
        <v>#N/A</v>
      </c>
      <c r="AN111" s="211" t="e">
        <f aca="false">IF($A112="","",AL111-AM111)</f>
        <v>#N/A</v>
      </c>
      <c r="AO111" s="137" t="n">
        <f aca="false">IF(A112="","",A112-A111)</f>
        <v>30</v>
      </c>
      <c r="AP111" s="212" t="n">
        <f aca="false">IF(A112="","",CHOOSE(F$3,A112+24,A111))</f>
        <v>40118</v>
      </c>
      <c r="AQ111" s="209" t="n">
        <f aca="false">IF(A112="","",AP111-$E$1)</f>
        <v>-5808</v>
      </c>
      <c r="AR111" s="185" t="n">
        <f aca="false">'ANR OK vs ML7'!AR111</f>
        <v>0.1</v>
      </c>
      <c r="AS111" s="213" t="n">
        <f aca="false">IF(A112="","",1/(1+CHOOSE(F$3,(AR112+($I$3/10000))/2,(AR111+($I$3/10000))/2))^(2*AQ111/365.25))</f>
        <v>4.71933301762361</v>
      </c>
      <c r="AT111" s="137" t="n">
        <f aca="false">IF(A112="","",IF(AND(mthbeg&lt;=A111,mthend&gt;=A111),1,0))</f>
        <v>1</v>
      </c>
      <c r="AU111" s="137" t="n">
        <f aca="false">IF(A112="","",AO111*AT111)</f>
        <v>30</v>
      </c>
      <c r="AW111" s="195" t="e">
        <f aca="false">IF($A112="","",AL111*$E111)</f>
        <v>#NAME?</v>
      </c>
      <c r="AX111" s="195" t="e">
        <f aca="false">IF($A112="","",AM111*$E111)</f>
        <v>#N/A</v>
      </c>
      <c r="AY111" s="195" t="e">
        <f aca="false">IF($A112="","",AN111*$E111)</f>
        <v>#N/A</v>
      </c>
      <c r="BA111" s="195" t="n">
        <f aca="false">IF($A112="","",F111*Summary!$Q$11)</f>
        <v>0</v>
      </c>
      <c r="BC111" s="179" t="e">
        <f aca="false">IF(A112="","",AM111*F111)</f>
        <v>#N/A</v>
      </c>
    </row>
    <row r="112" customFormat="false" ht="12.75" hidden="false" customHeight="false" outlineLevel="0" collapsed="false">
      <c r="A112" s="196" t="n">
        <f aca="false">IF(A111&lt;mthend,EDATE(A111,1),"")</f>
        <v>40148</v>
      </c>
      <c r="B112" s="197" t="n">
        <f aca="false">IF(A112&lt;mthend,B111,"")</f>
        <v>124142</v>
      </c>
      <c r="C112" s="215"/>
      <c r="D112" s="197" t="n">
        <f aca="false">IF(A113&lt;&gt;"",B112+C112,"")</f>
        <v>124142</v>
      </c>
      <c r="E112" s="199" t="n">
        <f aca="false">IF(A113="","",IF(AND(AT112=1,$H$3=1),D112*AO112,IF($H$3=2,D112,"N/A")))</f>
        <v>3848402</v>
      </c>
      <c r="F112" s="199" t="n">
        <f aca="false">IF(A113="","",E112*AS112)</f>
        <v>18016908.2755427</v>
      </c>
      <c r="G112" s="200" t="e">
        <f aca="false">IF($A113="","",VLOOKUP($A112,Table,MATCH(G$4,Curves,0)))</f>
        <v>#N/A</v>
      </c>
      <c r="H112" s="201" t="e">
        <f aca="false">IF(A113="","",G112)</f>
        <v>#N/A</v>
      </c>
      <c r="I112" s="202"/>
      <c r="J112" s="200" t="e">
        <f aca="false">IF($A113="","",VLOOKUP($A112,Table,MATCH(J$4,Curves,0)))</f>
        <v>#N/A</v>
      </c>
      <c r="K112" s="201" t="e">
        <f aca="false">IF(A113="","",J112)</f>
        <v>#N/A</v>
      </c>
      <c r="L112" s="200" t="e">
        <f aca="false">IF($A113="","",VLOOKUP($A112,Table,MATCH(L$4,Curves,0)))</f>
        <v>#N/A</v>
      </c>
      <c r="M112" s="201" t="e">
        <f aca="false">IF(A113="","",L112)</f>
        <v>#N/A</v>
      </c>
      <c r="N112" s="203"/>
      <c r="O112" s="200" t="e">
        <f aca="false">IF(A113="","",L112+J112+G112)</f>
        <v>#N/A</v>
      </c>
      <c r="P112" s="200" t="e">
        <f aca="false">IF(A113="","",M112+K112+H112)</f>
        <v>#N/A</v>
      </c>
      <c r="Q112" s="204"/>
      <c r="R112" s="200" t="e">
        <f aca="false">IF($A113="","",VLOOKUP($A112,Table,MATCH(R$4,Curves,0)))</f>
        <v>#N/A</v>
      </c>
      <c r="S112" s="201" t="e">
        <f aca="false">IF(A113="","",R112)</f>
        <v>#N/A</v>
      </c>
      <c r="T112" s="185" t="n">
        <v>0</v>
      </c>
      <c r="U112" s="201" t="n">
        <f aca="false">IF(A113="","",T112)</f>
        <v>0</v>
      </c>
      <c r="V112" s="205" t="e">
        <f aca="false">IF($A113="","",IF(AND(MONTH(A112)&gt;3,MONTH(A112)&lt;11),(T112+R112+G112)*Summary!$T$11/(1-Summary!$T$11),(T112+R112+G112)*Summary!$U$11/(1-Summary!$U$11)))</f>
        <v>#N/A</v>
      </c>
      <c r="W112" s="202" t="e">
        <f aca="false">IF($A113="","",(T112+R112+G112+V112))</f>
        <v>#N/A</v>
      </c>
      <c r="X112" s="202" t="e">
        <f aca="false">IF($A113="","",(U112+S112+H112+V112))</f>
        <v>#N/A</v>
      </c>
      <c r="Y112" s="202"/>
      <c r="Z112" s="185" t="e">
        <f aca="false">IF($A113="","",VLOOKUP($A112,Table,MATCH(Z$4,Curves,0)))</f>
        <v>#N/A</v>
      </c>
      <c r="AA112" s="185" t="e">
        <f aca="false">IF($A113="","",VLOOKUP($A112,Table,MATCH(AA$4,Curves,0)))</f>
        <v>#N/A</v>
      </c>
      <c r="AB112" s="185" t="e">
        <f aca="false">SQRT((AA112^2*(A112-$D$3)+Z112^2*(DAY(EOMONTH(A112,0))/2))/AK112)</f>
        <v>#N/A</v>
      </c>
      <c r="AC112" s="185" t="e">
        <f aca="false">IF($A113="","",VLOOKUP($A112,Table,MATCH(AC$4,Curves,0)))</f>
        <v>#N/A</v>
      </c>
      <c r="AD112" s="185" t="e">
        <f aca="false">IF($A113="","",VLOOKUP($A112,Table,MATCH(AD$4,Curves,0)))</f>
        <v>#N/A</v>
      </c>
      <c r="AE112" s="185" t="e">
        <f aca="false">SQRT((AD112^2*(A112-$D$3)+AC112^2*(DAY(EOMONTH(A112,0))/2))/AK112)</f>
        <v>#N/A</v>
      </c>
      <c r="AF112" s="206" t="e">
        <f aca="false">((Summary!$N$11*(AA112*AD112)*(A112-$D$3))+(Summary!$M$11*Z112*AC112*(AJ112-EOMONTH(EDATE(A112,-1),0))))/(AK112*AB112*AE112)</f>
        <v>#N/A</v>
      </c>
      <c r="AG112" s="207" t="n">
        <f aca="false">IF($A113="","",Summary!$Q$11)</f>
        <v>0</v>
      </c>
      <c r="AH112" s="207" t="n">
        <f aca="false">IF($A113="","",IF(Summary!$R$11="Y",(VLOOKUP($A112,Summary!$AD$6:$AF$9,3)+'Escalating commodity'!G125),'Escalating commodity'!G125))</f>
        <v>0.00569393002841256</v>
      </c>
      <c r="AI112" s="207" t="n">
        <f aca="false">IF($A113="","",AH112)</f>
        <v>0.00569393002841256</v>
      </c>
      <c r="AJ112" s="208" t="n">
        <f aca="false">A112+DAY(EOMONTH(A112,0))/2-1</f>
        <v>40162.5</v>
      </c>
      <c r="AK112" s="209" t="n">
        <f aca="false">IF($A113="","",$A112-$E$1)</f>
        <v>-5778</v>
      </c>
      <c r="AL112" s="182" t="e">
        <f aca="false">IF($A113="","",SPRDOPT(P112,X112,AI112,0,AB112,AE112,AF112,AK112,$AJ$2,0))</f>
        <v>#NAME?</v>
      </c>
      <c r="AM112" s="210" t="e">
        <f aca="false">IF($A113="","",MAX(0,O112-W112-AI112))</f>
        <v>#N/A</v>
      </c>
      <c r="AN112" s="211" t="e">
        <f aca="false">IF($A113="","",AL112-AM112)</f>
        <v>#N/A</v>
      </c>
      <c r="AO112" s="137" t="n">
        <f aca="false">IF(A113="","",A113-A112)</f>
        <v>31</v>
      </c>
      <c r="AP112" s="212" t="n">
        <f aca="false">IF(A113="","",CHOOSE(F$3,A113+24,A112))</f>
        <v>40148</v>
      </c>
      <c r="AQ112" s="209" t="n">
        <f aca="false">IF(A113="","",AP112-$E$1)</f>
        <v>-5778</v>
      </c>
      <c r="AR112" s="185" t="n">
        <f aca="false">'ANR OK vs ML7'!AR112</f>
        <v>0.1</v>
      </c>
      <c r="AS112" s="213" t="n">
        <f aca="false">IF(A113="","",1/(1+CHOOSE(F$3,(AR113+($I$3/10000))/2,(AR112+($I$3/10000))/2))^(2*AQ112/365.25))</f>
        <v>4.68165962795537</v>
      </c>
      <c r="AT112" s="137" t="n">
        <f aca="false">IF(A113="","",IF(AND(mthbeg&lt;=A112,mthend&gt;=A112),1,0))</f>
        <v>1</v>
      </c>
      <c r="AU112" s="137" t="n">
        <f aca="false">IF(A113="","",AO112*AT112)</f>
        <v>31</v>
      </c>
      <c r="AW112" s="195" t="e">
        <f aca="false">IF($A113="","",AL112*$E112)</f>
        <v>#NAME?</v>
      </c>
      <c r="AX112" s="195" t="e">
        <f aca="false">IF($A113="","",AM112*$E112)</f>
        <v>#N/A</v>
      </c>
      <c r="AY112" s="195" t="e">
        <f aca="false">IF($A113="","",AN112*$E112)</f>
        <v>#N/A</v>
      </c>
      <c r="BA112" s="195" t="n">
        <f aca="false">IF($A113="","",F112*Summary!$Q$11)</f>
        <v>0</v>
      </c>
      <c r="BC112" s="179" t="e">
        <f aca="false">IF(A113="","",AM112*F112)</f>
        <v>#N/A</v>
      </c>
    </row>
    <row r="113" customFormat="false" ht="12.75" hidden="false" customHeight="false" outlineLevel="0" collapsed="false">
      <c r="A113" s="196" t="n">
        <f aca="false">IF(A112&lt;mthend,EDATE(A112,1),"")</f>
        <v>40179</v>
      </c>
      <c r="B113" s="197" t="n">
        <f aca="false">IF(A113&lt;mthend,B112,"")</f>
        <v>124142</v>
      </c>
      <c r="C113" s="215"/>
      <c r="D113" s="197" t="n">
        <f aca="false">IF(A114&lt;&gt;"",B113+C113,"")</f>
        <v>124142</v>
      </c>
      <c r="E113" s="199" t="n">
        <f aca="false">IF(A114="","",IF(AND(AT113=1,$H$3=1),D113*AO113,IF($H$3=2,D113,"N/A")))</f>
        <v>3848402</v>
      </c>
      <c r="F113" s="199" t="n">
        <f aca="false">IF(A114="","",E113*AS113)</f>
        <v>17868308.9474385</v>
      </c>
      <c r="G113" s="200" t="e">
        <f aca="false">IF($A114="","",VLOOKUP($A113,Table,MATCH(G$4,Curves,0)))</f>
        <v>#N/A</v>
      </c>
      <c r="H113" s="201" t="e">
        <f aca="false">IF(A114="","",G113)</f>
        <v>#N/A</v>
      </c>
      <c r="I113" s="202"/>
      <c r="J113" s="200" t="e">
        <f aca="false">IF($A114="","",VLOOKUP($A113,Table,MATCH(J$4,Curves,0)))</f>
        <v>#N/A</v>
      </c>
      <c r="K113" s="201" t="e">
        <f aca="false">IF(A114="","",J113)</f>
        <v>#N/A</v>
      </c>
      <c r="L113" s="200" t="e">
        <f aca="false">IF($A114="","",VLOOKUP($A113,Table,MATCH(L$4,Curves,0)))</f>
        <v>#N/A</v>
      </c>
      <c r="M113" s="201" t="e">
        <f aca="false">IF(A114="","",L113)</f>
        <v>#N/A</v>
      </c>
      <c r="N113" s="203"/>
      <c r="O113" s="200" t="e">
        <f aca="false">IF(A114="","",L113+J113+G113)</f>
        <v>#N/A</v>
      </c>
      <c r="P113" s="200" t="e">
        <f aca="false">IF(A114="","",M113+K113+H113)</f>
        <v>#N/A</v>
      </c>
      <c r="Q113" s="204"/>
      <c r="R113" s="200" t="e">
        <f aca="false">IF($A114="","",VLOOKUP($A113,Table,MATCH(R$4,Curves,0)))</f>
        <v>#N/A</v>
      </c>
      <c r="S113" s="201" t="e">
        <f aca="false">IF(A114="","",R113)</f>
        <v>#N/A</v>
      </c>
      <c r="T113" s="185" t="n">
        <v>0</v>
      </c>
      <c r="U113" s="201" t="n">
        <f aca="false">IF(A114="","",T113)</f>
        <v>0</v>
      </c>
      <c r="V113" s="205" t="e">
        <f aca="false">IF($A114="","",IF(AND(MONTH(A113)&gt;3,MONTH(A113)&lt;11),(T113+R113+G113)*Summary!$T$11/(1-Summary!$T$11),(T113+R113+G113)*Summary!$U$11/(1-Summary!$U$11)))</f>
        <v>#N/A</v>
      </c>
      <c r="W113" s="202" t="e">
        <f aca="false">IF($A114="","",(T113+R113+G113+V113))</f>
        <v>#N/A</v>
      </c>
      <c r="X113" s="202" t="e">
        <f aca="false">IF($A114="","",(U113+S113+H113+V113))</f>
        <v>#N/A</v>
      </c>
      <c r="Y113" s="202"/>
      <c r="Z113" s="185" t="e">
        <f aca="false">IF($A114="","",VLOOKUP($A113,Table,MATCH(Z$4,Curves,0)))</f>
        <v>#N/A</v>
      </c>
      <c r="AA113" s="185" t="e">
        <f aca="false">IF($A114="","",VLOOKUP($A113,Table,MATCH(AA$4,Curves,0)))</f>
        <v>#N/A</v>
      </c>
      <c r="AB113" s="185" t="e">
        <f aca="false">SQRT((AA113^2*(A113-$D$3)+Z113^2*(DAY(EOMONTH(A113,0))/2))/AK113)</f>
        <v>#N/A</v>
      </c>
      <c r="AC113" s="185" t="e">
        <f aca="false">IF($A114="","",VLOOKUP($A113,Table,MATCH(AC$4,Curves,0)))</f>
        <v>#N/A</v>
      </c>
      <c r="AD113" s="185" t="e">
        <f aca="false">IF($A114="","",VLOOKUP($A113,Table,MATCH(AD$4,Curves,0)))</f>
        <v>#N/A</v>
      </c>
      <c r="AE113" s="185" t="e">
        <f aca="false">SQRT((AD113^2*(A113-$D$3)+AC113^2*(DAY(EOMONTH(A113,0))/2))/AK113)</f>
        <v>#N/A</v>
      </c>
      <c r="AF113" s="206" t="e">
        <f aca="false">((Summary!$N$11*(AA113*AD113)*(A113-$D$3))+(Summary!$M$11*Z113*AC113*(AJ113-EOMONTH(EDATE(A113,-1),0))))/(AK113*AB113*AE113)</f>
        <v>#N/A</v>
      </c>
      <c r="AG113" s="207" t="n">
        <f aca="false">IF($A114="","",Summary!$Q$11)</f>
        <v>0</v>
      </c>
      <c r="AH113" s="207" t="n">
        <f aca="false">IF($A114="","",IF(Summary!$R$11="Y",(VLOOKUP($A113,Summary!$AD$6:$AF$9,3)+'Escalating commodity'!G126),'Escalating commodity'!G126))</f>
        <v>0.00580780862898081</v>
      </c>
      <c r="AI113" s="207" t="n">
        <f aca="false">IF($A114="","",AH113)</f>
        <v>0.00580780862898081</v>
      </c>
      <c r="AJ113" s="208" t="n">
        <f aca="false">A113+DAY(EOMONTH(A113,0))/2-1</f>
        <v>40193.5</v>
      </c>
      <c r="AK113" s="209" t="n">
        <f aca="false">IF($A114="","",$A113-$E$1)</f>
        <v>-5747</v>
      </c>
      <c r="AL113" s="182" t="e">
        <f aca="false">IF($A114="","",SPRDOPT(P113,X113,AI113,0,AB113,AE113,AF113,AK113,$AJ$2,0))</f>
        <v>#NAME?</v>
      </c>
      <c r="AM113" s="210" t="e">
        <f aca="false">IF($A114="","",MAX(0,O113-W113-AI113))</f>
        <v>#N/A</v>
      </c>
      <c r="AN113" s="211" t="e">
        <f aca="false">IF($A114="","",AL113-AM113)</f>
        <v>#N/A</v>
      </c>
      <c r="AO113" s="137" t="n">
        <f aca="false">IF(A114="","",A114-A113)</f>
        <v>31</v>
      </c>
      <c r="AP113" s="212" t="n">
        <f aca="false">IF(A114="","",CHOOSE(F$3,A114+24,A113))</f>
        <v>40179</v>
      </c>
      <c r="AQ113" s="209" t="n">
        <f aca="false">IF(A114="","",AP113-$E$1)</f>
        <v>-5747</v>
      </c>
      <c r="AR113" s="185" t="n">
        <f aca="false">'ANR OK vs ML7'!AR113</f>
        <v>0.1</v>
      </c>
      <c r="AS113" s="213" t="n">
        <f aca="false">IF(A114="","",1/(1+CHOOSE(F$3,(AR114+($I$3/10000))/2,(AR113+($I$3/10000))/2))^(2*AQ113/365.25))</f>
        <v>4.64304637286814</v>
      </c>
      <c r="AT113" s="137" t="n">
        <f aca="false">IF(A114="","",IF(AND(mthbeg&lt;=A113,mthend&gt;=A113),1,0))</f>
        <v>1</v>
      </c>
      <c r="AU113" s="137" t="n">
        <f aca="false">IF(A114="","",AO113*AT113)</f>
        <v>31</v>
      </c>
      <c r="AW113" s="195" t="e">
        <f aca="false">IF($A114="","",AL113*$E113)</f>
        <v>#NAME?</v>
      </c>
      <c r="AX113" s="195" t="e">
        <f aca="false">IF($A114="","",AM113*$E113)</f>
        <v>#N/A</v>
      </c>
      <c r="AY113" s="195" t="e">
        <f aca="false">IF($A114="","",AN113*$E113)</f>
        <v>#N/A</v>
      </c>
      <c r="BA113" s="195" t="n">
        <f aca="false">IF($A114="","",F113*Summary!$Q$11)</f>
        <v>0</v>
      </c>
      <c r="BC113" s="179" t="e">
        <f aca="false">IF(A114="","",AM113*F113)</f>
        <v>#N/A</v>
      </c>
    </row>
    <row r="114" customFormat="false" ht="12.75" hidden="false" customHeight="false" outlineLevel="0" collapsed="false">
      <c r="A114" s="196" t="n">
        <f aca="false">IF(A113&lt;mthend,EDATE(A113,1),"")</f>
        <v>40210</v>
      </c>
      <c r="B114" s="197" t="n">
        <f aca="false">IF(A114&lt;mthend,B113,"")</f>
        <v>124142</v>
      </c>
      <c r="C114" s="215"/>
      <c r="D114" s="197" t="n">
        <f aca="false">IF(A115&lt;&gt;"",B114+C114,"")</f>
        <v>124142</v>
      </c>
      <c r="E114" s="199" t="n">
        <f aca="false">IF(A115="","",IF(AND(AT114=1,$H$3=1),D114*AO114,IF($H$3=2,D114,"N/A")))</f>
        <v>3475976</v>
      </c>
      <c r="F114" s="199" t="n">
        <f aca="false">IF(A115="","",E114*AS114)</f>
        <v>16006006.0164679</v>
      </c>
      <c r="G114" s="200" t="e">
        <f aca="false">IF($A115="","",VLOOKUP($A114,Table,MATCH(G$4,Curves,0)))</f>
        <v>#N/A</v>
      </c>
      <c r="H114" s="201" t="e">
        <f aca="false">IF(A115="","",G114)</f>
        <v>#N/A</v>
      </c>
      <c r="I114" s="202"/>
      <c r="J114" s="200" t="e">
        <f aca="false">IF($A115="","",VLOOKUP($A114,Table,MATCH(J$4,Curves,0)))</f>
        <v>#N/A</v>
      </c>
      <c r="K114" s="201" t="e">
        <f aca="false">IF(A115="","",J114)</f>
        <v>#N/A</v>
      </c>
      <c r="L114" s="200" t="e">
        <f aca="false">IF($A115="","",VLOOKUP($A114,Table,MATCH(L$4,Curves,0)))</f>
        <v>#N/A</v>
      </c>
      <c r="M114" s="201" t="e">
        <f aca="false">IF(A115="","",L114)</f>
        <v>#N/A</v>
      </c>
      <c r="N114" s="203"/>
      <c r="O114" s="200" t="e">
        <f aca="false">IF(A115="","",L114+J114+G114)</f>
        <v>#N/A</v>
      </c>
      <c r="P114" s="200" t="e">
        <f aca="false">IF(A115="","",M114+K114+H114)</f>
        <v>#N/A</v>
      </c>
      <c r="Q114" s="204"/>
      <c r="R114" s="200" t="e">
        <f aca="false">IF($A115="","",VLOOKUP($A114,Table,MATCH(R$4,Curves,0)))</f>
        <v>#N/A</v>
      </c>
      <c r="S114" s="201" t="e">
        <f aca="false">IF(A115="","",R114)</f>
        <v>#N/A</v>
      </c>
      <c r="T114" s="185" t="n">
        <v>0</v>
      </c>
      <c r="U114" s="201" t="n">
        <f aca="false">IF(A115="","",T114)</f>
        <v>0</v>
      </c>
      <c r="V114" s="205" t="e">
        <f aca="false">IF($A115="","",IF(AND(MONTH(A114)&gt;3,MONTH(A114)&lt;11),(T114+R114+G114)*Summary!$T$11/(1-Summary!$T$11),(T114+R114+G114)*Summary!$U$11/(1-Summary!$U$11)))</f>
        <v>#N/A</v>
      </c>
      <c r="W114" s="202" t="e">
        <f aca="false">IF($A115="","",(T114+R114+G114+V114))</f>
        <v>#N/A</v>
      </c>
      <c r="X114" s="202" t="e">
        <f aca="false">IF($A115="","",(U114+S114+H114+V114))</f>
        <v>#N/A</v>
      </c>
      <c r="Y114" s="202"/>
      <c r="Z114" s="185" t="e">
        <f aca="false">IF($A115="","",VLOOKUP($A114,Table,MATCH(Z$4,Curves,0)))</f>
        <v>#N/A</v>
      </c>
      <c r="AA114" s="185" t="e">
        <f aca="false">IF($A115="","",VLOOKUP($A114,Table,MATCH(AA$4,Curves,0)))</f>
        <v>#N/A</v>
      </c>
      <c r="AB114" s="185" t="e">
        <f aca="false">SQRT((AA114^2*(A114-$D$3)+Z114^2*(DAY(EOMONTH(A114,0))/2))/AK114)</f>
        <v>#N/A</v>
      </c>
      <c r="AC114" s="185" t="e">
        <f aca="false">IF($A115="","",VLOOKUP($A114,Table,MATCH(AC$4,Curves,0)))</f>
        <v>#N/A</v>
      </c>
      <c r="AD114" s="185" t="e">
        <f aca="false">IF($A115="","",VLOOKUP($A114,Table,MATCH(AD$4,Curves,0)))</f>
        <v>#N/A</v>
      </c>
      <c r="AE114" s="185" t="e">
        <f aca="false">SQRT((AD114^2*(A114-$D$3)+AC114^2*(DAY(EOMONTH(A114,0))/2))/AK114)</f>
        <v>#N/A</v>
      </c>
      <c r="AF114" s="206" t="e">
        <f aca="false">((Summary!$N$11*(AA114*AD114)*(A114-$D$3))+(Summary!$M$11*Z114*AC114*(AJ114-EOMONTH(EDATE(A114,-1),0))))/(AK114*AB114*AE114)</f>
        <v>#N/A</v>
      </c>
      <c r="AG114" s="207" t="n">
        <f aca="false">IF($A115="","",Summary!$Q$11)</f>
        <v>0</v>
      </c>
      <c r="AH114" s="207" t="n">
        <f aca="false">IF($A115="","",IF(Summary!$R$11="Y",(VLOOKUP($A114,Summary!$AD$6:$AF$9,3)+'Escalating commodity'!G127),'Escalating commodity'!G127))</f>
        <v>0.00580780862898081</v>
      </c>
      <c r="AI114" s="207" t="n">
        <f aca="false">IF($A115="","",AH114)</f>
        <v>0.00580780862898081</v>
      </c>
      <c r="AJ114" s="208" t="n">
        <f aca="false">A114+DAY(EOMONTH(A114,0))/2-1</f>
        <v>40223</v>
      </c>
      <c r="AK114" s="209" t="n">
        <f aca="false">IF($A115="","",$A114-$E$1)</f>
        <v>-5716</v>
      </c>
      <c r="AL114" s="182" t="e">
        <f aca="false">IF($A115="","",SPRDOPT(P114,X114,AI114,0,AB114,AE114,AF114,AK114,$AJ$2,0))</f>
        <v>#NAME?</v>
      </c>
      <c r="AM114" s="210" t="e">
        <f aca="false">IF($A115="","",MAX(0,O114-W114-AI114))</f>
        <v>#N/A</v>
      </c>
      <c r="AN114" s="211" t="e">
        <f aca="false">IF($A115="","",AL114-AM114)</f>
        <v>#N/A</v>
      </c>
      <c r="AO114" s="137" t="n">
        <f aca="false">IF(A115="","",A115-A114)</f>
        <v>28</v>
      </c>
      <c r="AP114" s="212" t="n">
        <f aca="false">IF(A115="","",CHOOSE(F$3,A115+24,A114))</f>
        <v>40210</v>
      </c>
      <c r="AQ114" s="209" t="n">
        <f aca="false">IF(A115="","",AP114-$E$1)</f>
        <v>-5716</v>
      </c>
      <c r="AR114" s="185" t="n">
        <f aca="false">'ANR OK vs ML7'!AR114</f>
        <v>0.1</v>
      </c>
      <c r="AS114" s="213" t="n">
        <f aca="false">IF(A115="","",1/(1+CHOOSE(F$3,(AR115+($I$3/10000))/2,(AR114+($I$3/10000))/2))^(2*AQ114/365.25))</f>
        <v>4.60475159105468</v>
      </c>
      <c r="AT114" s="137" t="n">
        <f aca="false">IF(A115="","",IF(AND(mthbeg&lt;=A114,mthend&gt;=A114),1,0))</f>
        <v>1</v>
      </c>
      <c r="AU114" s="137" t="n">
        <f aca="false">IF(A115="","",AO114*AT114)</f>
        <v>28</v>
      </c>
      <c r="AW114" s="195" t="e">
        <f aca="false">IF($A115="","",AL114*$E114)</f>
        <v>#NAME?</v>
      </c>
      <c r="AX114" s="195" t="e">
        <f aca="false">IF($A115="","",AM114*$E114)</f>
        <v>#N/A</v>
      </c>
      <c r="AY114" s="195" t="e">
        <f aca="false">IF($A115="","",AN114*$E114)</f>
        <v>#N/A</v>
      </c>
      <c r="BA114" s="195" t="n">
        <f aca="false">IF($A115="","",F114*Summary!$Q$11)</f>
        <v>0</v>
      </c>
      <c r="BC114" s="179" t="e">
        <f aca="false">IF(A115="","",AM114*F114)</f>
        <v>#N/A</v>
      </c>
    </row>
    <row r="115" customFormat="false" ht="12.75" hidden="false" customHeight="false" outlineLevel="0" collapsed="false">
      <c r="A115" s="196" t="n">
        <f aca="false">IF(A114&lt;mthend,EDATE(A114,1),"")</f>
        <v>40238</v>
      </c>
      <c r="B115" s="197" t="n">
        <f aca="false">IF(A115&lt;mthend,B114,"")</f>
        <v>124142</v>
      </c>
      <c r="C115" s="215"/>
      <c r="D115" s="197" t="n">
        <f aca="false">IF(A116&lt;&gt;"",B115+C115,"")</f>
        <v>124142</v>
      </c>
      <c r="E115" s="199" t="n">
        <f aca="false">IF(A116="","",IF(AND(AT115=1,$H$3=1),D115*AO115,IF($H$3=2,D115,"N/A")))</f>
        <v>3848402</v>
      </c>
      <c r="F115" s="199" t="n">
        <f aca="false">IF(A116="","",E115*AS115)</f>
        <v>17588868.5207428</v>
      </c>
      <c r="G115" s="200" t="e">
        <f aca="false">IF($A116="","",VLOOKUP($A115,Table,MATCH(G$4,Curves,0)))</f>
        <v>#N/A</v>
      </c>
      <c r="H115" s="201" t="e">
        <f aca="false">IF(A116="","",G115)</f>
        <v>#N/A</v>
      </c>
      <c r="I115" s="202"/>
      <c r="J115" s="200" t="e">
        <f aca="false">IF($A116="","",VLOOKUP($A115,Table,MATCH(J$4,Curves,0)))</f>
        <v>#N/A</v>
      </c>
      <c r="K115" s="201" t="e">
        <f aca="false">IF(A116="","",J115)</f>
        <v>#N/A</v>
      </c>
      <c r="L115" s="200" t="e">
        <f aca="false">IF($A116="","",VLOOKUP($A115,Table,MATCH(L$4,Curves,0)))</f>
        <v>#N/A</v>
      </c>
      <c r="M115" s="201" t="e">
        <f aca="false">IF(A116="","",L115)</f>
        <v>#N/A</v>
      </c>
      <c r="N115" s="203"/>
      <c r="O115" s="200" t="e">
        <f aca="false">IF(A116="","",L115+J115+G115)</f>
        <v>#N/A</v>
      </c>
      <c r="P115" s="200" t="e">
        <f aca="false">IF(A116="","",M115+K115+H115)</f>
        <v>#N/A</v>
      </c>
      <c r="Q115" s="204"/>
      <c r="R115" s="200" t="e">
        <f aca="false">IF($A116="","",VLOOKUP($A115,Table,MATCH(R$4,Curves,0)))</f>
        <v>#N/A</v>
      </c>
      <c r="S115" s="201" t="e">
        <f aca="false">IF(A116="","",R115)</f>
        <v>#N/A</v>
      </c>
      <c r="T115" s="185" t="n">
        <v>0</v>
      </c>
      <c r="U115" s="201" t="n">
        <f aca="false">IF(A116="","",T115)</f>
        <v>0</v>
      </c>
      <c r="V115" s="205" t="e">
        <f aca="false">IF($A116="","",IF(AND(MONTH(A115)&gt;3,MONTH(A115)&lt;11),(T115+R115+G115)*Summary!$T$11/(1-Summary!$T$11),(T115+R115+G115)*Summary!$U$11/(1-Summary!$U$11)))</f>
        <v>#N/A</v>
      </c>
      <c r="W115" s="202" t="e">
        <f aca="false">IF($A116="","",(T115+R115+G115+V115))</f>
        <v>#N/A</v>
      </c>
      <c r="X115" s="202" t="e">
        <f aca="false">IF($A116="","",(U115+S115+H115+V115))</f>
        <v>#N/A</v>
      </c>
      <c r="Y115" s="202"/>
      <c r="Z115" s="185" t="e">
        <f aca="false">IF($A116="","",VLOOKUP($A115,Table,MATCH(Z$4,Curves,0)))</f>
        <v>#N/A</v>
      </c>
      <c r="AA115" s="185" t="e">
        <f aca="false">IF($A116="","",VLOOKUP($A115,Table,MATCH(AA$4,Curves,0)))</f>
        <v>#N/A</v>
      </c>
      <c r="AB115" s="185" t="e">
        <f aca="false">SQRT((AA115^2*(A115-$D$3)+Z115^2*(DAY(EOMONTH(A115,0))/2))/AK115)</f>
        <v>#N/A</v>
      </c>
      <c r="AC115" s="185" t="e">
        <f aca="false">IF($A116="","",VLOOKUP($A115,Table,MATCH(AC$4,Curves,0)))</f>
        <v>#N/A</v>
      </c>
      <c r="AD115" s="185" t="e">
        <f aca="false">IF($A116="","",VLOOKUP($A115,Table,MATCH(AD$4,Curves,0)))</f>
        <v>#N/A</v>
      </c>
      <c r="AE115" s="185" t="e">
        <f aca="false">SQRT((AD115^2*(A115-$D$3)+AC115^2*(DAY(EOMONTH(A115,0))/2))/AK115)</f>
        <v>#N/A</v>
      </c>
      <c r="AF115" s="206" t="e">
        <f aca="false">((Summary!$N$11*(AA115*AD115)*(A115-$D$3))+(Summary!$M$11*Z115*AC115*(AJ115-EOMONTH(EDATE(A115,-1),0))))/(AK115*AB115*AE115)</f>
        <v>#N/A</v>
      </c>
      <c r="AG115" s="207" t="n">
        <f aca="false">IF($A116="","",Summary!$Q$11)</f>
        <v>0</v>
      </c>
      <c r="AH115" s="207" t="n">
        <f aca="false">IF($A116="","",IF(Summary!$R$11="Y",(VLOOKUP($A115,Summary!$AD$6:$AF$9,3)+'Escalating commodity'!G128),'Escalating commodity'!G128))</f>
        <v>0.00580780862898081</v>
      </c>
      <c r="AI115" s="207" t="n">
        <f aca="false">IF($A116="","",AH115)</f>
        <v>0.00580780862898081</v>
      </c>
      <c r="AJ115" s="208" t="n">
        <f aca="false">A115+DAY(EOMONTH(A115,0))/2-1</f>
        <v>40252.5</v>
      </c>
      <c r="AK115" s="209" t="n">
        <f aca="false">IF($A116="","",$A115-$E$1)</f>
        <v>-5688</v>
      </c>
      <c r="AL115" s="182" t="e">
        <f aca="false">IF($A116="","",SPRDOPT(P115,X115,AI115,0,AB115,AE115,AF115,AK115,$AJ$2,0))</f>
        <v>#NAME?</v>
      </c>
      <c r="AM115" s="210" t="e">
        <f aca="false">IF($A116="","",MAX(0,O115-W115-AI115))</f>
        <v>#N/A</v>
      </c>
      <c r="AN115" s="211" t="e">
        <f aca="false">IF($A116="","",AL115-AM115)</f>
        <v>#N/A</v>
      </c>
      <c r="AO115" s="137" t="n">
        <f aca="false">IF(A116="","",A116-A115)</f>
        <v>31</v>
      </c>
      <c r="AP115" s="212" t="n">
        <f aca="false">IF(A116="","",CHOOSE(F$3,A116+24,A115))</f>
        <v>40238</v>
      </c>
      <c r="AQ115" s="209" t="n">
        <f aca="false">IF(A116="","",AP115-$E$1)</f>
        <v>-5688</v>
      </c>
      <c r="AR115" s="185" t="n">
        <f aca="false">'ANR OK vs ML7'!AR115</f>
        <v>0.1</v>
      </c>
      <c r="AS115" s="213" t="n">
        <f aca="false">IF(A116="","",1/(1+CHOOSE(F$3,(AR116+($I$3/10000))/2,(AR115+($I$3/10000))/2))^(2*AQ115/365.25))</f>
        <v>4.57043430513308</v>
      </c>
      <c r="AT115" s="137" t="n">
        <f aca="false">IF(A116="","",IF(AND(mthbeg&lt;=A115,mthend&gt;=A115),1,0))</f>
        <v>1</v>
      </c>
      <c r="AU115" s="137" t="n">
        <f aca="false">IF(A116="","",AO115*AT115)</f>
        <v>31</v>
      </c>
      <c r="AW115" s="195" t="e">
        <f aca="false">IF($A116="","",AL115*$E115)</f>
        <v>#NAME?</v>
      </c>
      <c r="AX115" s="195" t="e">
        <f aca="false">IF($A116="","",AM115*$E115)</f>
        <v>#N/A</v>
      </c>
      <c r="AY115" s="195" t="e">
        <f aca="false">IF($A116="","",AN115*$E115)</f>
        <v>#N/A</v>
      </c>
      <c r="BA115" s="195" t="n">
        <f aca="false">IF($A116="","",F115*Summary!$Q$11)</f>
        <v>0</v>
      </c>
      <c r="BC115" s="179" t="e">
        <f aca="false">IF(A116="","",AM115*F115)</f>
        <v>#N/A</v>
      </c>
    </row>
    <row r="116" customFormat="false" ht="12.75" hidden="false" customHeight="false" outlineLevel="0" collapsed="false">
      <c r="A116" s="196" t="n">
        <f aca="false">IF(A115&lt;mthend,EDATE(A115,1),"")</f>
        <v>40269</v>
      </c>
      <c r="B116" s="197" t="n">
        <f aca="false">IF(A116&lt;mthend,B115,"")</f>
        <v>124142</v>
      </c>
      <c r="C116" s="215"/>
      <c r="D116" s="197" t="n">
        <f aca="false">IF(A117&lt;&gt;"",B116+C116,"")</f>
        <v>124142</v>
      </c>
      <c r="E116" s="199" t="n">
        <f aca="false">IF(A117="","",IF(AND(AT116=1,$H$3=1),D116*AO116,IF($H$3=2,D116,"N/A")))</f>
        <v>3724260</v>
      </c>
      <c r="F116" s="199" t="n">
        <f aca="false">IF(A117="","",E116*AS116)</f>
        <v>16881096.354566</v>
      </c>
      <c r="G116" s="200" t="e">
        <f aca="false">IF($A117="","",VLOOKUP($A116,Table,MATCH(G$4,Curves,0)))</f>
        <v>#N/A</v>
      </c>
      <c r="H116" s="201" t="e">
        <f aca="false">IF(A117="","",G116)</f>
        <v>#N/A</v>
      </c>
      <c r="I116" s="202"/>
      <c r="J116" s="200" t="e">
        <f aca="false">IF($A117="","",VLOOKUP($A116,Table,MATCH(J$4,Curves,0)))</f>
        <v>#N/A</v>
      </c>
      <c r="K116" s="201" t="e">
        <f aca="false">IF(A117="","",J116)</f>
        <v>#N/A</v>
      </c>
      <c r="L116" s="200" t="e">
        <f aca="false">IF($A117="","",VLOOKUP($A116,Table,MATCH(L$4,Curves,0)))</f>
        <v>#N/A</v>
      </c>
      <c r="M116" s="201" t="e">
        <f aca="false">IF(A117="","",L116)</f>
        <v>#N/A</v>
      </c>
      <c r="N116" s="203"/>
      <c r="O116" s="200" t="e">
        <f aca="false">IF(A117="","",L116+J116+G116)</f>
        <v>#N/A</v>
      </c>
      <c r="P116" s="200" t="e">
        <f aca="false">IF(A117="","",M116+K116+H116)</f>
        <v>#N/A</v>
      </c>
      <c r="Q116" s="204"/>
      <c r="R116" s="200" t="e">
        <f aca="false">IF($A117="","",VLOOKUP($A116,Table,MATCH(R$4,Curves,0)))</f>
        <v>#N/A</v>
      </c>
      <c r="S116" s="201" t="e">
        <f aca="false">IF(A117="","",R116)</f>
        <v>#N/A</v>
      </c>
      <c r="T116" s="185" t="n">
        <v>0</v>
      </c>
      <c r="U116" s="201" t="n">
        <f aca="false">IF(A117="","",T116)</f>
        <v>0</v>
      </c>
      <c r="V116" s="205" t="e">
        <f aca="false">IF($A117="","",IF(AND(MONTH(A116)&gt;3,MONTH(A116)&lt;11),(T116+R116+G116)*Summary!$T$11/(1-Summary!$T$11),(T116+R116+G116)*Summary!$U$11/(1-Summary!$U$11)))</f>
        <v>#N/A</v>
      </c>
      <c r="W116" s="202" t="e">
        <f aca="false">IF($A117="","",(T116+R116+G116+V116))</f>
        <v>#N/A</v>
      </c>
      <c r="X116" s="202" t="e">
        <f aca="false">IF($A117="","",(U116+S116+H116+V116))</f>
        <v>#N/A</v>
      </c>
      <c r="Y116" s="202"/>
      <c r="Z116" s="185" t="e">
        <f aca="false">IF($A117="","",VLOOKUP($A116,Table,MATCH(Z$4,Curves,0)))</f>
        <v>#N/A</v>
      </c>
      <c r="AA116" s="185" t="e">
        <f aca="false">IF($A117="","",VLOOKUP($A116,Table,MATCH(AA$4,Curves,0)))</f>
        <v>#N/A</v>
      </c>
      <c r="AB116" s="185" t="e">
        <f aca="false">SQRT((AA116^2*(A116-$D$3)+Z116^2*(DAY(EOMONTH(A116,0))/2))/AK116)</f>
        <v>#N/A</v>
      </c>
      <c r="AC116" s="185" t="e">
        <f aca="false">IF($A117="","",VLOOKUP($A116,Table,MATCH(AC$4,Curves,0)))</f>
        <v>#N/A</v>
      </c>
      <c r="AD116" s="185" t="e">
        <f aca="false">IF($A117="","",VLOOKUP($A116,Table,MATCH(AD$4,Curves,0)))</f>
        <v>#N/A</v>
      </c>
      <c r="AE116" s="185" t="e">
        <f aca="false">SQRT((AD116^2*(A116-$D$3)+AC116^2*(DAY(EOMONTH(A116,0))/2))/AK116)</f>
        <v>#N/A</v>
      </c>
      <c r="AF116" s="206" t="e">
        <f aca="false">((Summary!$N$11*(AA116*AD116)*(A116-$D$3))+(Summary!$M$11*Z116*AC116*(AJ116-EOMONTH(EDATE(A116,-1),0))))/(AK116*AB116*AE116)</f>
        <v>#N/A</v>
      </c>
      <c r="AG116" s="207" t="n">
        <f aca="false">IF($A117="","",Summary!$Q$11)</f>
        <v>0</v>
      </c>
      <c r="AH116" s="207" t="n">
        <f aca="false">IF($A117="","",IF(Summary!$R$11="Y",(VLOOKUP($A116,Summary!$AD$6:$AF$9,3)+'Escalating commodity'!G129),'Escalating commodity'!G129))</f>
        <v>0.00580780862898081</v>
      </c>
      <c r="AI116" s="207" t="n">
        <f aca="false">IF($A117="","",AH116)</f>
        <v>0.00580780862898081</v>
      </c>
      <c r="AJ116" s="208" t="n">
        <f aca="false">A116+DAY(EOMONTH(A116,0))/2-1</f>
        <v>40283</v>
      </c>
      <c r="AK116" s="209" t="n">
        <f aca="false">IF($A117="","",$A116-$E$1)</f>
        <v>-5657</v>
      </c>
      <c r="AL116" s="182" t="e">
        <f aca="false">IF($A117="","",SPRDOPT(P116,X116,AI116,0,AB116,AE116,AF116,AK116,$AJ$2,0))</f>
        <v>#NAME?</v>
      </c>
      <c r="AM116" s="210" t="e">
        <f aca="false">IF($A117="","",MAX(0,O116-W116-AI116))</f>
        <v>#N/A</v>
      </c>
      <c r="AN116" s="211" t="e">
        <f aca="false">IF($A117="","",AL116-AM116)</f>
        <v>#N/A</v>
      </c>
      <c r="AO116" s="137" t="n">
        <f aca="false">IF(A117="","",A117-A116)</f>
        <v>30</v>
      </c>
      <c r="AP116" s="212" t="n">
        <f aca="false">IF(A117="","",CHOOSE(F$3,A117+24,A116))</f>
        <v>40269</v>
      </c>
      <c r="AQ116" s="209" t="n">
        <f aca="false">IF(A117="","",AP116-$E$1)</f>
        <v>-5657</v>
      </c>
      <c r="AR116" s="185" t="n">
        <f aca="false">'ANR OK vs ML7'!AR116</f>
        <v>0.1</v>
      </c>
      <c r="AS116" s="213" t="n">
        <f aca="false">IF(A117="","",1/(1+CHOOSE(F$3,(AR117+($I$3/10000))/2,(AR116+($I$3/10000))/2))^(2*AQ116/365.25))</f>
        <v>4.53273841100405</v>
      </c>
      <c r="AT116" s="137" t="n">
        <f aca="false">IF(A117="","",IF(AND(mthbeg&lt;=A116,mthend&gt;=A116),1,0))</f>
        <v>1</v>
      </c>
      <c r="AU116" s="137" t="n">
        <f aca="false">IF(A117="","",AO116*AT116)</f>
        <v>30</v>
      </c>
      <c r="AW116" s="195" t="e">
        <f aca="false">IF($A117="","",AL116*$E116)</f>
        <v>#NAME?</v>
      </c>
      <c r="AX116" s="195" t="e">
        <f aca="false">IF($A117="","",AM116*$E116)</f>
        <v>#N/A</v>
      </c>
      <c r="AY116" s="195" t="e">
        <f aca="false">IF($A117="","",AN116*$E116)</f>
        <v>#N/A</v>
      </c>
      <c r="BA116" s="195" t="n">
        <f aca="false">IF($A117="","",F116*Summary!$Q$11)</f>
        <v>0</v>
      </c>
      <c r="BC116" s="179" t="e">
        <f aca="false">IF(A117="","",AM116*F116)</f>
        <v>#N/A</v>
      </c>
    </row>
    <row r="117" customFormat="false" ht="12.75" hidden="false" customHeight="false" outlineLevel="0" collapsed="false">
      <c r="A117" s="196" t="n">
        <f aca="false">IF(A116&lt;mthend,EDATE(A116,1),"")</f>
        <v>40299</v>
      </c>
      <c r="B117" s="197" t="n">
        <f aca="false">IF(A117&lt;mthend,B116,"")</f>
        <v>124142</v>
      </c>
      <c r="C117" s="215"/>
      <c r="D117" s="197" t="n">
        <f aca="false">IF(A118&lt;&gt;"",B117+C117,"")</f>
        <v>124142</v>
      </c>
      <c r="E117" s="199" t="n">
        <f aca="false">IF(A118="","",IF(AND(AT117=1,$H$3=1),D117*AO117,IF($H$3=2,D117,"N/A")))</f>
        <v>3848402</v>
      </c>
      <c r="F117" s="199" t="n">
        <f aca="false">IF(A118="","",E117*AS117)</f>
        <v>17304549.5800192</v>
      </c>
      <c r="G117" s="200" t="e">
        <f aca="false">IF($A118="","",VLOOKUP($A117,Table,MATCH(G$4,Curves,0)))</f>
        <v>#N/A</v>
      </c>
      <c r="H117" s="201" t="e">
        <f aca="false">IF(A118="","",G117)</f>
        <v>#N/A</v>
      </c>
      <c r="I117" s="202"/>
      <c r="J117" s="200" t="e">
        <f aca="false">IF($A118="","",VLOOKUP($A117,Table,MATCH(J$4,Curves,0)))</f>
        <v>#N/A</v>
      </c>
      <c r="K117" s="201" t="e">
        <f aca="false">IF(A118="","",J117)</f>
        <v>#N/A</v>
      </c>
      <c r="L117" s="200" t="e">
        <f aca="false">IF($A118="","",VLOOKUP($A117,Table,MATCH(L$4,Curves,0)))</f>
        <v>#N/A</v>
      </c>
      <c r="M117" s="201" t="e">
        <f aca="false">IF(A118="","",L117)</f>
        <v>#N/A</v>
      </c>
      <c r="N117" s="203"/>
      <c r="O117" s="200" t="e">
        <f aca="false">IF(A118="","",L117+J117+G117)</f>
        <v>#N/A</v>
      </c>
      <c r="P117" s="200" t="e">
        <f aca="false">IF(A118="","",M117+K117+H117)</f>
        <v>#N/A</v>
      </c>
      <c r="Q117" s="204"/>
      <c r="R117" s="200" t="e">
        <f aca="false">IF($A118="","",VLOOKUP($A117,Table,MATCH(R$4,Curves,0)))</f>
        <v>#N/A</v>
      </c>
      <c r="S117" s="201" t="e">
        <f aca="false">IF(A118="","",R117)</f>
        <v>#N/A</v>
      </c>
      <c r="T117" s="185" t="n">
        <v>0</v>
      </c>
      <c r="U117" s="201" t="n">
        <f aca="false">IF(A118="","",T117)</f>
        <v>0</v>
      </c>
      <c r="V117" s="205" t="e">
        <f aca="false">IF($A118="","",IF(AND(MONTH(A117)&gt;3,MONTH(A117)&lt;11),(T117+R117+G117)*Summary!$T$11/(1-Summary!$T$11),(T117+R117+G117)*Summary!$U$11/(1-Summary!$U$11)))</f>
        <v>#N/A</v>
      </c>
      <c r="W117" s="202" t="e">
        <f aca="false">IF($A118="","",(T117+R117+G117+V117))</f>
        <v>#N/A</v>
      </c>
      <c r="X117" s="202" t="e">
        <f aca="false">IF($A118="","",(U117+S117+H117+V117))</f>
        <v>#N/A</v>
      </c>
      <c r="Y117" s="202"/>
      <c r="Z117" s="185" t="e">
        <f aca="false">IF($A118="","",VLOOKUP($A117,Table,MATCH(Z$4,Curves,0)))</f>
        <v>#N/A</v>
      </c>
      <c r="AA117" s="185" t="e">
        <f aca="false">IF($A118="","",VLOOKUP($A117,Table,MATCH(AA$4,Curves,0)))</f>
        <v>#N/A</v>
      </c>
      <c r="AB117" s="185" t="e">
        <f aca="false">SQRT((AA117^2*(A117-$D$3)+Z117^2*(DAY(EOMONTH(A117,0))/2))/AK117)</f>
        <v>#N/A</v>
      </c>
      <c r="AC117" s="185" t="e">
        <f aca="false">IF($A118="","",VLOOKUP($A117,Table,MATCH(AC$4,Curves,0)))</f>
        <v>#N/A</v>
      </c>
      <c r="AD117" s="185" t="e">
        <f aca="false">IF($A118="","",VLOOKUP($A117,Table,MATCH(AD$4,Curves,0)))</f>
        <v>#N/A</v>
      </c>
      <c r="AE117" s="185" t="e">
        <f aca="false">SQRT((AD117^2*(A117-$D$3)+AC117^2*(DAY(EOMONTH(A117,0))/2))/AK117)</f>
        <v>#N/A</v>
      </c>
      <c r="AF117" s="206" t="e">
        <f aca="false">((Summary!$N$11*(AA117*AD117)*(A117-$D$3))+(Summary!$M$11*Z117*AC117*(AJ117-EOMONTH(EDATE(A117,-1),0))))/(AK117*AB117*AE117)</f>
        <v>#N/A</v>
      </c>
      <c r="AG117" s="207" t="n">
        <f aca="false">IF($A118="","",Summary!$Q$11)</f>
        <v>0</v>
      </c>
      <c r="AH117" s="207" t="n">
        <f aca="false">IF($A118="","",IF(Summary!$R$11="Y",(VLOOKUP($A117,Summary!$AD$6:$AF$9,3)+'Escalating commodity'!G130),'Escalating commodity'!G130))</f>
        <v>0.00580780862898081</v>
      </c>
      <c r="AI117" s="207" t="n">
        <f aca="false">IF($A118="","",AH117)</f>
        <v>0.00580780862898081</v>
      </c>
      <c r="AJ117" s="208" t="n">
        <f aca="false">A117+DAY(EOMONTH(A117,0))/2-1</f>
        <v>40313.5</v>
      </c>
      <c r="AK117" s="209" t="n">
        <f aca="false">IF($A118="","",$A117-$E$1)</f>
        <v>-5627</v>
      </c>
      <c r="AL117" s="182" t="e">
        <f aca="false">IF($A118="","",SPRDOPT(P117,X117,AI117,0,AB117,AE117,AF117,AK117,$AJ$2,0))</f>
        <v>#NAME?</v>
      </c>
      <c r="AM117" s="210" t="e">
        <f aca="false">IF($A118="","",MAX(0,O117-W117-AI117))</f>
        <v>#N/A</v>
      </c>
      <c r="AN117" s="211" t="e">
        <f aca="false">IF($A118="","",AL117-AM117)</f>
        <v>#N/A</v>
      </c>
      <c r="AO117" s="137" t="n">
        <f aca="false">IF(A118="","",A118-A117)</f>
        <v>31</v>
      </c>
      <c r="AP117" s="212" t="n">
        <f aca="false">IF(A118="","",CHOOSE(F$3,A118+24,A117))</f>
        <v>40299</v>
      </c>
      <c r="AQ117" s="209" t="n">
        <f aca="false">IF(A118="","",AP117-$E$1)</f>
        <v>-5627</v>
      </c>
      <c r="AR117" s="185" t="n">
        <f aca="false">'ANR OK vs ML7'!AR117</f>
        <v>0.1</v>
      </c>
      <c r="AS117" s="213" t="n">
        <f aca="false">IF(A118="","",1/(1+CHOOSE(F$3,(AR118+($I$3/10000))/2,(AR117+($I$3/10000))/2))^(2*AQ117/365.25))</f>
        <v>4.49655456473081</v>
      </c>
      <c r="AT117" s="137" t="n">
        <f aca="false">IF(A118="","",IF(AND(mthbeg&lt;=A117,mthend&gt;=A117),1,0))</f>
        <v>1</v>
      </c>
      <c r="AU117" s="137" t="n">
        <f aca="false">IF(A118="","",AO117*AT117)</f>
        <v>31</v>
      </c>
      <c r="AW117" s="195" t="e">
        <f aca="false">IF($A118="","",AL117*$E117)</f>
        <v>#NAME?</v>
      </c>
      <c r="AX117" s="195" t="e">
        <f aca="false">IF($A118="","",AM117*$E117)</f>
        <v>#N/A</v>
      </c>
      <c r="AY117" s="195" t="e">
        <f aca="false">IF($A118="","",AN117*$E117)</f>
        <v>#N/A</v>
      </c>
      <c r="BA117" s="195" t="n">
        <f aca="false">IF($A118="","",F117*Summary!$Q$11)</f>
        <v>0</v>
      </c>
      <c r="BC117" s="179" t="e">
        <f aca="false">IF(A118="","",AM117*F117)</f>
        <v>#N/A</v>
      </c>
    </row>
    <row r="118" customFormat="false" ht="12.75" hidden="false" customHeight="false" outlineLevel="0" collapsed="false">
      <c r="A118" s="196" t="n">
        <f aca="false">IF(A117&lt;mthend,EDATE(A117,1),"")</f>
        <v>40330</v>
      </c>
      <c r="B118" s="197" t="n">
        <f aca="false">IF(A118&lt;mthend,B117,"")</f>
        <v>124142</v>
      </c>
      <c r="C118" s="215"/>
      <c r="D118" s="197" t="n">
        <f aca="false">IF(A119&lt;&gt;"",B118+C118,"")</f>
        <v>124142</v>
      </c>
      <c r="E118" s="199" t="n">
        <f aca="false">IF(A119="","",IF(AND(AT118=1,$H$3=1),D118*AO118,IF($H$3=2,D118,"N/A")))</f>
        <v>3724260</v>
      </c>
      <c r="F118" s="199" t="n">
        <f aca="false">IF(A119="","",E118*AS118)</f>
        <v>16608218.3449246</v>
      </c>
      <c r="G118" s="200" t="e">
        <f aca="false">IF($A119="","",VLOOKUP($A118,Table,MATCH(G$4,Curves,0)))</f>
        <v>#N/A</v>
      </c>
      <c r="H118" s="201" t="e">
        <f aca="false">IF(A119="","",G118)</f>
        <v>#N/A</v>
      </c>
      <c r="I118" s="202"/>
      <c r="J118" s="200" t="e">
        <f aca="false">IF($A119="","",VLOOKUP($A118,Table,MATCH(J$4,Curves,0)))</f>
        <v>#N/A</v>
      </c>
      <c r="K118" s="201" t="e">
        <f aca="false">IF(A119="","",J118)</f>
        <v>#N/A</v>
      </c>
      <c r="L118" s="200" t="e">
        <f aca="false">IF($A119="","",VLOOKUP($A118,Table,MATCH(L$4,Curves,0)))</f>
        <v>#N/A</v>
      </c>
      <c r="M118" s="201" t="e">
        <f aca="false">IF(A119="","",L118)</f>
        <v>#N/A</v>
      </c>
      <c r="N118" s="203"/>
      <c r="O118" s="200" t="e">
        <f aca="false">IF(A119="","",L118+J118+G118)</f>
        <v>#N/A</v>
      </c>
      <c r="P118" s="200" t="e">
        <f aca="false">IF(A119="","",M118+K118+H118)</f>
        <v>#N/A</v>
      </c>
      <c r="Q118" s="204"/>
      <c r="R118" s="200" t="e">
        <f aca="false">IF($A119="","",VLOOKUP($A118,Table,MATCH(R$4,Curves,0)))</f>
        <v>#N/A</v>
      </c>
      <c r="S118" s="201" t="e">
        <f aca="false">IF(A119="","",R118)</f>
        <v>#N/A</v>
      </c>
      <c r="T118" s="185" t="n">
        <v>0</v>
      </c>
      <c r="U118" s="201" t="n">
        <f aca="false">IF(A119="","",T118)</f>
        <v>0</v>
      </c>
      <c r="V118" s="205" t="e">
        <f aca="false">IF($A119="","",IF(AND(MONTH(A118)&gt;3,MONTH(A118)&lt;11),(T118+R118+G118)*Summary!$T$11/(1-Summary!$T$11),(T118+R118+G118)*Summary!$U$11/(1-Summary!$U$11)))</f>
        <v>#N/A</v>
      </c>
      <c r="W118" s="202" t="e">
        <f aca="false">IF($A119="","",(T118+R118+G118+V118))</f>
        <v>#N/A</v>
      </c>
      <c r="X118" s="202" t="e">
        <f aca="false">IF($A119="","",(U118+S118+H118+V118))</f>
        <v>#N/A</v>
      </c>
      <c r="Y118" s="202"/>
      <c r="Z118" s="185" t="e">
        <f aca="false">IF($A119="","",VLOOKUP($A118,Table,MATCH(Z$4,Curves,0)))</f>
        <v>#N/A</v>
      </c>
      <c r="AA118" s="185" t="e">
        <f aca="false">IF($A119="","",VLOOKUP($A118,Table,MATCH(AA$4,Curves,0)))</f>
        <v>#N/A</v>
      </c>
      <c r="AB118" s="185" t="e">
        <f aca="false">SQRT((AA118^2*(A118-$D$3)+Z118^2*(DAY(EOMONTH(A118,0))/2))/AK118)</f>
        <v>#N/A</v>
      </c>
      <c r="AC118" s="185" t="e">
        <f aca="false">IF($A119="","",VLOOKUP($A118,Table,MATCH(AC$4,Curves,0)))</f>
        <v>#N/A</v>
      </c>
      <c r="AD118" s="185" t="e">
        <f aca="false">IF($A119="","",VLOOKUP($A118,Table,MATCH(AD$4,Curves,0)))</f>
        <v>#N/A</v>
      </c>
      <c r="AE118" s="185" t="e">
        <f aca="false">SQRT((AD118^2*(A118-$D$3)+AC118^2*(DAY(EOMONTH(A118,0))/2))/AK118)</f>
        <v>#N/A</v>
      </c>
      <c r="AF118" s="206" t="e">
        <f aca="false">((Summary!$N$11*(AA118*AD118)*(A118-$D$3))+(Summary!$M$11*Z118*AC118*(AJ118-EOMONTH(EDATE(A118,-1),0))))/(AK118*AB118*AE118)</f>
        <v>#N/A</v>
      </c>
      <c r="AG118" s="207" t="n">
        <f aca="false">IF($A119="","",Summary!$Q$11)</f>
        <v>0</v>
      </c>
      <c r="AH118" s="207" t="n">
        <f aca="false">IF($A119="","",IF(Summary!$R$11="Y",(VLOOKUP($A118,Summary!$AD$6:$AF$9,3)+'Escalating commodity'!G131),'Escalating commodity'!G131))</f>
        <v>0.00580780862898081</v>
      </c>
      <c r="AI118" s="207" t="n">
        <f aca="false">IF($A119="","",AH118)</f>
        <v>0.00580780862898081</v>
      </c>
      <c r="AJ118" s="208" t="n">
        <f aca="false">A118+DAY(EOMONTH(A118,0))/2-1</f>
        <v>40344</v>
      </c>
      <c r="AK118" s="209" t="n">
        <f aca="false">IF($A119="","",$A118-$E$1)</f>
        <v>-5596</v>
      </c>
      <c r="AL118" s="182" t="e">
        <f aca="false">IF($A119="","",SPRDOPT(P118,X118,AI118,0,AB118,AE118,AF118,AK118,$AJ$2,0))</f>
        <v>#NAME?</v>
      </c>
      <c r="AM118" s="210" t="e">
        <f aca="false">IF($A119="","",MAX(0,O118-W118-AI118))</f>
        <v>#N/A</v>
      </c>
      <c r="AN118" s="211" t="e">
        <f aca="false">IF($A119="","",AL118-AM118)</f>
        <v>#N/A</v>
      </c>
      <c r="AO118" s="137" t="n">
        <f aca="false">IF(A119="","",A119-A118)</f>
        <v>30</v>
      </c>
      <c r="AP118" s="212" t="n">
        <f aca="false">IF(A119="","",CHOOSE(F$3,A119+24,A118))</f>
        <v>40330</v>
      </c>
      <c r="AQ118" s="209" t="n">
        <f aca="false">IF(A119="","",AP118-$E$1)</f>
        <v>-5596</v>
      </c>
      <c r="AR118" s="185" t="n">
        <f aca="false">'ANR OK vs ML7'!AR118</f>
        <v>0.1</v>
      </c>
      <c r="AS118" s="213" t="n">
        <f aca="false">IF(A119="","",1/(1+CHOOSE(F$3,(AR119+($I$3/10000))/2,(AR118+($I$3/10000))/2))^(2*AQ118/365.25))</f>
        <v>4.45946801375968</v>
      </c>
      <c r="AT118" s="137" t="n">
        <f aca="false">IF(A119="","",IF(AND(mthbeg&lt;=A118,mthend&gt;=A118),1,0))</f>
        <v>1</v>
      </c>
      <c r="AU118" s="137" t="n">
        <f aca="false">IF(A119="","",AO118*AT118)</f>
        <v>30</v>
      </c>
      <c r="AW118" s="195" t="e">
        <f aca="false">IF($A119="","",AL118*$E118)</f>
        <v>#NAME?</v>
      </c>
      <c r="AX118" s="195" t="e">
        <f aca="false">IF($A119="","",AM118*$E118)</f>
        <v>#N/A</v>
      </c>
      <c r="AY118" s="195" t="e">
        <f aca="false">IF($A119="","",AN118*$E118)</f>
        <v>#N/A</v>
      </c>
      <c r="BA118" s="195" t="n">
        <f aca="false">IF($A119="","",F118*Summary!$Q$11)</f>
        <v>0</v>
      </c>
      <c r="BC118" s="179" t="e">
        <f aca="false">IF(A119="","",AM118*F118)</f>
        <v>#N/A</v>
      </c>
    </row>
    <row r="119" customFormat="false" ht="12.75" hidden="false" customHeight="false" outlineLevel="0" collapsed="false">
      <c r="A119" s="196" t="n">
        <f aca="false">IF(A118&lt;mthend,EDATE(A118,1),"")</f>
        <v>40360</v>
      </c>
      <c r="B119" s="197" t="n">
        <f aca="false">IF(A119&lt;mthend,B118,"")</f>
        <v>124142</v>
      </c>
      <c r="C119" s="215"/>
      <c r="D119" s="197" t="n">
        <f aca="false">IF(A120&lt;&gt;"",B119+C119,"")</f>
        <v>124142</v>
      </c>
      <c r="E119" s="199" t="n">
        <f aca="false">IF(A120="","",IF(AND(AT119=1,$H$3=1),D119*AO119,IF($H$3=2,D119,"N/A")))</f>
        <v>3848402</v>
      </c>
      <c r="F119" s="199" t="n">
        <f aca="false">IF(A120="","",E119*AS119)</f>
        <v>17024826.5722266</v>
      </c>
      <c r="G119" s="200" t="e">
        <f aca="false">IF($A120="","",VLOOKUP($A119,Table,MATCH(G$4,Curves,0)))</f>
        <v>#N/A</v>
      </c>
      <c r="H119" s="201" t="e">
        <f aca="false">IF(A120="","",G119)</f>
        <v>#N/A</v>
      </c>
      <c r="I119" s="202"/>
      <c r="J119" s="200" t="e">
        <f aca="false">IF($A120="","",VLOOKUP($A119,Table,MATCH(J$4,Curves,0)))</f>
        <v>#N/A</v>
      </c>
      <c r="K119" s="201" t="e">
        <f aca="false">IF(A120="","",J119)</f>
        <v>#N/A</v>
      </c>
      <c r="L119" s="200" t="e">
        <f aca="false">IF($A120="","",VLOOKUP($A119,Table,MATCH(L$4,Curves,0)))</f>
        <v>#N/A</v>
      </c>
      <c r="M119" s="201" t="e">
        <f aca="false">IF(A120="","",L119)</f>
        <v>#N/A</v>
      </c>
      <c r="N119" s="203"/>
      <c r="O119" s="200" t="e">
        <f aca="false">IF(A120="","",L119+J119+G119)</f>
        <v>#N/A</v>
      </c>
      <c r="P119" s="200" t="e">
        <f aca="false">IF(A120="","",M119+K119+H119)</f>
        <v>#N/A</v>
      </c>
      <c r="Q119" s="204"/>
      <c r="R119" s="200" t="e">
        <f aca="false">IF($A120="","",VLOOKUP($A119,Table,MATCH(R$4,Curves,0)))</f>
        <v>#N/A</v>
      </c>
      <c r="S119" s="201" t="e">
        <f aca="false">IF(A120="","",R119)</f>
        <v>#N/A</v>
      </c>
      <c r="T119" s="185" t="n">
        <v>0</v>
      </c>
      <c r="U119" s="201" t="n">
        <f aca="false">IF(A120="","",T119)</f>
        <v>0</v>
      </c>
      <c r="V119" s="205" t="e">
        <f aca="false">IF($A120="","",IF(AND(MONTH(A119)&gt;3,MONTH(A119)&lt;11),(T119+R119+G119)*Summary!$T$11/(1-Summary!$T$11),(T119+R119+G119)*Summary!$U$11/(1-Summary!$U$11)))</f>
        <v>#N/A</v>
      </c>
      <c r="W119" s="202" t="e">
        <f aca="false">IF($A120="","",(T119+R119+G119+V119))</f>
        <v>#N/A</v>
      </c>
      <c r="X119" s="202" t="e">
        <f aca="false">IF($A120="","",(U119+S119+H119+V119))</f>
        <v>#N/A</v>
      </c>
      <c r="Y119" s="202"/>
      <c r="Z119" s="185" t="e">
        <f aca="false">IF($A120="","",VLOOKUP($A119,Table,MATCH(Z$4,Curves,0)))</f>
        <v>#N/A</v>
      </c>
      <c r="AA119" s="185" t="e">
        <f aca="false">IF($A120="","",VLOOKUP($A119,Table,MATCH(AA$4,Curves,0)))</f>
        <v>#N/A</v>
      </c>
      <c r="AB119" s="185" t="e">
        <f aca="false">SQRT((AA119^2*(A119-$D$3)+Z119^2*(DAY(EOMONTH(A119,0))/2))/AK119)</f>
        <v>#N/A</v>
      </c>
      <c r="AC119" s="185" t="e">
        <f aca="false">IF($A120="","",VLOOKUP($A119,Table,MATCH(AC$4,Curves,0)))</f>
        <v>#N/A</v>
      </c>
      <c r="AD119" s="185" t="e">
        <f aca="false">IF($A120="","",VLOOKUP($A119,Table,MATCH(AD$4,Curves,0)))</f>
        <v>#N/A</v>
      </c>
      <c r="AE119" s="185" t="e">
        <f aca="false">SQRT((AD119^2*(A119-$D$3)+AC119^2*(DAY(EOMONTH(A119,0))/2))/AK119)</f>
        <v>#N/A</v>
      </c>
      <c r="AF119" s="206" t="e">
        <f aca="false">((Summary!$N$11*(AA119*AD119)*(A119-$D$3))+(Summary!$M$11*Z119*AC119*(AJ119-EOMONTH(EDATE(A119,-1),0))))/(AK119*AB119*AE119)</f>
        <v>#N/A</v>
      </c>
      <c r="AG119" s="207" t="n">
        <f aca="false">IF($A120="","",Summary!$Q$11)</f>
        <v>0</v>
      </c>
      <c r="AH119" s="207" t="n">
        <f aca="false">IF($A120="","",IF(Summary!$R$11="Y",(VLOOKUP($A119,Summary!$AD$6:$AF$9,3)+'Escalating commodity'!G132),'Escalating commodity'!G132))</f>
        <v>0.00580780862898081</v>
      </c>
      <c r="AI119" s="207" t="n">
        <f aca="false">IF($A120="","",AH119)</f>
        <v>0.00580780862898081</v>
      </c>
      <c r="AJ119" s="208" t="n">
        <f aca="false">A119+DAY(EOMONTH(A119,0))/2-1</f>
        <v>40374.5</v>
      </c>
      <c r="AK119" s="209" t="n">
        <f aca="false">IF($A120="","",$A119-$E$1)</f>
        <v>-5566</v>
      </c>
      <c r="AL119" s="182" t="e">
        <f aca="false">IF($A120="","",SPRDOPT(P119,X119,AI119,0,AB119,AE119,AF119,AK119,$AJ$2,0))</f>
        <v>#NAME?</v>
      </c>
      <c r="AM119" s="210" t="e">
        <f aca="false">IF($A120="","",MAX(0,O119-W119-AI119))</f>
        <v>#N/A</v>
      </c>
      <c r="AN119" s="211" t="e">
        <f aca="false">IF($A120="","",AL119-AM119)</f>
        <v>#N/A</v>
      </c>
      <c r="AO119" s="137" t="n">
        <f aca="false">IF(A120="","",A120-A119)</f>
        <v>31</v>
      </c>
      <c r="AP119" s="212" t="n">
        <f aca="false">IF(A120="","",CHOOSE(F$3,A120+24,A119))</f>
        <v>40360</v>
      </c>
      <c r="AQ119" s="209" t="n">
        <f aca="false">IF(A120="","",AP119-$E$1)</f>
        <v>-5566</v>
      </c>
      <c r="AR119" s="185" t="n">
        <f aca="false">'ANR OK vs ML7'!AR119</f>
        <v>0.1</v>
      </c>
      <c r="AS119" s="213" t="n">
        <f aca="false">IF(A120="","",1/(1+CHOOSE(F$3,(AR120+($I$3/10000))/2,(AR119+($I$3/10000))/2))^(2*AQ119/365.25))</f>
        <v>4.42386906883081</v>
      </c>
      <c r="AT119" s="137" t="n">
        <f aca="false">IF(A120="","",IF(AND(mthbeg&lt;=A119,mthend&gt;=A119),1,0))</f>
        <v>1</v>
      </c>
      <c r="AU119" s="137" t="n">
        <f aca="false">IF(A120="","",AO119*AT119)</f>
        <v>31</v>
      </c>
      <c r="AW119" s="195" t="e">
        <f aca="false">IF($A120="","",AL119*$E119)</f>
        <v>#NAME?</v>
      </c>
      <c r="AX119" s="195" t="e">
        <f aca="false">IF($A120="","",AM119*$E119)</f>
        <v>#N/A</v>
      </c>
      <c r="AY119" s="195" t="e">
        <f aca="false">IF($A120="","",AN119*$E119)</f>
        <v>#N/A</v>
      </c>
      <c r="BA119" s="195" t="n">
        <f aca="false">IF($A120="","",F119*Summary!$Q$11)</f>
        <v>0</v>
      </c>
      <c r="BC119" s="179" t="e">
        <f aca="false">IF(A120="","",AM119*F119)</f>
        <v>#N/A</v>
      </c>
    </row>
    <row r="120" customFormat="false" ht="12.75" hidden="false" customHeight="false" outlineLevel="0" collapsed="false">
      <c r="A120" s="196" t="n">
        <f aca="false">IF(A119&lt;mthend,EDATE(A119,1),"")</f>
        <v>40391</v>
      </c>
      <c r="B120" s="197" t="n">
        <f aca="false">IF(A120&lt;mthend,B119,"")</f>
        <v>124142</v>
      </c>
      <c r="C120" s="215"/>
      <c r="D120" s="197" t="n">
        <f aca="false">IF(A121&lt;&gt;"",B120+C120,"")</f>
        <v>124142</v>
      </c>
      <c r="E120" s="199" t="n">
        <f aca="false">IF(A121="","",IF(AND(AT120=1,$H$3=1),D120*AO120,IF($H$3=2,D120,"N/A")))</f>
        <v>3848402</v>
      </c>
      <c r="F120" s="199" t="n">
        <f aca="false">IF(A121="","",E120*AS120)</f>
        <v>16884409.7065229</v>
      </c>
      <c r="G120" s="200" t="e">
        <f aca="false">IF($A121="","",VLOOKUP($A120,Table,MATCH(G$4,Curves,0)))</f>
        <v>#N/A</v>
      </c>
      <c r="H120" s="201" t="e">
        <f aca="false">IF(A121="","",G120)</f>
        <v>#N/A</v>
      </c>
      <c r="I120" s="202"/>
      <c r="J120" s="200" t="e">
        <f aca="false">IF($A121="","",VLOOKUP($A120,Table,MATCH(J$4,Curves,0)))</f>
        <v>#N/A</v>
      </c>
      <c r="K120" s="201" t="e">
        <f aca="false">IF(A121="","",J120)</f>
        <v>#N/A</v>
      </c>
      <c r="L120" s="200" t="e">
        <f aca="false">IF($A121="","",VLOOKUP($A120,Table,MATCH(L$4,Curves,0)))</f>
        <v>#N/A</v>
      </c>
      <c r="M120" s="201" t="e">
        <f aca="false">IF(A121="","",L120)</f>
        <v>#N/A</v>
      </c>
      <c r="N120" s="203"/>
      <c r="O120" s="200" t="e">
        <f aca="false">IF(A121="","",L120+J120+G120)</f>
        <v>#N/A</v>
      </c>
      <c r="P120" s="200" t="e">
        <f aca="false">IF(A121="","",M120+K120+H120)</f>
        <v>#N/A</v>
      </c>
      <c r="Q120" s="204"/>
      <c r="R120" s="200" t="e">
        <f aca="false">IF($A121="","",VLOOKUP($A120,Table,MATCH(R$4,Curves,0)))</f>
        <v>#N/A</v>
      </c>
      <c r="S120" s="201" t="e">
        <f aca="false">IF(A121="","",R120)</f>
        <v>#N/A</v>
      </c>
      <c r="T120" s="185" t="n">
        <v>0</v>
      </c>
      <c r="U120" s="201" t="n">
        <f aca="false">IF(A121="","",T120)</f>
        <v>0</v>
      </c>
      <c r="V120" s="205" t="e">
        <f aca="false">IF($A121="","",IF(AND(MONTH(A120)&gt;3,MONTH(A120)&lt;11),(T120+R120+G120)*Summary!$T$11/(1-Summary!$T$11),(T120+R120+G120)*Summary!$U$11/(1-Summary!$U$11)))</f>
        <v>#N/A</v>
      </c>
      <c r="W120" s="202" t="e">
        <f aca="false">IF($A121="","",(T120+R120+G120+V120))</f>
        <v>#N/A</v>
      </c>
      <c r="X120" s="202" t="e">
        <f aca="false">IF($A121="","",(U120+S120+H120+V120))</f>
        <v>#N/A</v>
      </c>
      <c r="Y120" s="202"/>
      <c r="Z120" s="185" t="e">
        <f aca="false">IF($A121="","",VLOOKUP($A120,Table,MATCH(Z$4,Curves,0)))</f>
        <v>#N/A</v>
      </c>
      <c r="AA120" s="185" t="e">
        <f aca="false">IF($A121="","",VLOOKUP($A120,Table,MATCH(AA$4,Curves,0)))</f>
        <v>#N/A</v>
      </c>
      <c r="AB120" s="185" t="e">
        <f aca="false">SQRT((AA120^2*(A120-$D$3)+Z120^2*(DAY(EOMONTH(A120,0))/2))/AK120)</f>
        <v>#N/A</v>
      </c>
      <c r="AC120" s="185" t="e">
        <f aca="false">IF($A121="","",VLOOKUP($A120,Table,MATCH(AC$4,Curves,0)))</f>
        <v>#N/A</v>
      </c>
      <c r="AD120" s="185" t="e">
        <f aca="false">IF($A121="","",VLOOKUP($A120,Table,MATCH(AD$4,Curves,0)))</f>
        <v>#N/A</v>
      </c>
      <c r="AE120" s="185" t="e">
        <f aca="false">SQRT((AD120^2*(A120-$D$3)+AC120^2*(DAY(EOMONTH(A120,0))/2))/AK120)</f>
        <v>#N/A</v>
      </c>
      <c r="AF120" s="206" t="e">
        <f aca="false">((Summary!$N$11*(AA120*AD120)*(A120-$D$3))+(Summary!$M$11*Z120*AC120*(AJ120-EOMONTH(EDATE(A120,-1),0))))/(AK120*AB120*AE120)</f>
        <v>#N/A</v>
      </c>
      <c r="AG120" s="207" t="n">
        <f aca="false">IF($A121="","",Summary!$Q$11)</f>
        <v>0</v>
      </c>
      <c r="AH120" s="207" t="n">
        <f aca="false">IF($A121="","",IF(Summary!$R$11="Y",(VLOOKUP($A120,Summary!$AD$6:$AF$9,3)+'Escalating commodity'!G133),'Escalating commodity'!G133))</f>
        <v>0.00580780862898081</v>
      </c>
      <c r="AI120" s="207" t="n">
        <f aca="false">IF($A121="","",AH120)</f>
        <v>0.00580780862898081</v>
      </c>
      <c r="AJ120" s="208" t="n">
        <f aca="false">A120+DAY(EOMONTH(A120,0))/2-1</f>
        <v>40405.5</v>
      </c>
      <c r="AK120" s="209" t="n">
        <f aca="false">IF($A121="","",$A120-$E$1)</f>
        <v>-5535</v>
      </c>
      <c r="AL120" s="182" t="e">
        <f aca="false">IF($A121="","",SPRDOPT(P120,X120,AI120,0,AB120,AE120,AF120,AK120,$AJ$2,0))</f>
        <v>#NAME?</v>
      </c>
      <c r="AM120" s="210" t="e">
        <f aca="false">IF($A121="","",MAX(0,O120-W120-AI120))</f>
        <v>#N/A</v>
      </c>
      <c r="AN120" s="211" t="e">
        <f aca="false">IF($A121="","",AL120-AM120)</f>
        <v>#N/A</v>
      </c>
      <c r="AO120" s="137" t="n">
        <f aca="false">IF(A121="","",A121-A120)</f>
        <v>31</v>
      </c>
      <c r="AP120" s="212" t="n">
        <f aca="false">IF(A121="","",CHOOSE(F$3,A121+24,A120))</f>
        <v>40391</v>
      </c>
      <c r="AQ120" s="209" t="n">
        <f aca="false">IF(A121="","",AP120-$E$1)</f>
        <v>-5535</v>
      </c>
      <c r="AR120" s="185" t="n">
        <f aca="false">'ANR OK vs ML7'!AR120</f>
        <v>0.1</v>
      </c>
      <c r="AS120" s="213" t="n">
        <f aca="false">IF(A121="","",1/(1+CHOOSE(F$3,(AR121+($I$3/10000))/2,(AR120+($I$3/10000))/2))^(2*AQ120/365.25))</f>
        <v>4.38738201116278</v>
      </c>
      <c r="AT120" s="137" t="n">
        <f aca="false">IF(A121="","",IF(AND(mthbeg&lt;=A120,mthend&gt;=A120),1,0))</f>
        <v>1</v>
      </c>
      <c r="AU120" s="137" t="n">
        <f aca="false">IF(A121="","",AO120*AT120)</f>
        <v>31</v>
      </c>
      <c r="AW120" s="195" t="e">
        <f aca="false">IF($A121="","",AL120*$E120)</f>
        <v>#NAME?</v>
      </c>
      <c r="AX120" s="195" t="e">
        <f aca="false">IF($A121="","",AM120*$E120)</f>
        <v>#N/A</v>
      </c>
      <c r="AY120" s="195" t="e">
        <f aca="false">IF($A121="","",AN120*$E120)</f>
        <v>#N/A</v>
      </c>
      <c r="BA120" s="195" t="n">
        <f aca="false">IF($A121="","",F120*Summary!$Q$11)</f>
        <v>0</v>
      </c>
      <c r="BC120" s="179" t="e">
        <f aca="false">IF(A121="","",AM120*F120)</f>
        <v>#N/A</v>
      </c>
    </row>
    <row r="121" customFormat="false" ht="12.75" hidden="false" customHeight="false" outlineLevel="0" collapsed="false">
      <c r="A121" s="196" t="n">
        <f aca="false">IF(A120&lt;mthend,EDATE(A120,1),"")</f>
        <v>40422</v>
      </c>
      <c r="B121" s="197" t="n">
        <f aca="false">IF(A121&lt;mthend,B120,"")</f>
        <v>124142</v>
      </c>
      <c r="C121" s="215"/>
      <c r="D121" s="197" t="n">
        <f aca="false">IF(A122&lt;&gt;"",B121+C121,"")</f>
        <v>124142</v>
      </c>
      <c r="E121" s="199" t="n">
        <f aca="false">IF(A122="","",IF(AND(AT121=1,$H$3=1),D121*AO121,IF($H$3=2,D121,"N/A")))</f>
        <v>3724260</v>
      </c>
      <c r="F121" s="199" t="n">
        <f aca="false">IF(A122="","",E121*AS121)</f>
        <v>16204984.8067057</v>
      </c>
      <c r="G121" s="200" t="e">
        <f aca="false">IF($A122="","",VLOOKUP($A121,Table,MATCH(G$4,Curves,0)))</f>
        <v>#N/A</v>
      </c>
      <c r="H121" s="201" t="e">
        <f aca="false">IF(A122="","",G121)</f>
        <v>#N/A</v>
      </c>
      <c r="I121" s="202"/>
      <c r="J121" s="200" t="e">
        <f aca="false">IF($A122="","",VLOOKUP($A121,Table,MATCH(J$4,Curves,0)))</f>
        <v>#N/A</v>
      </c>
      <c r="K121" s="201" t="e">
        <f aca="false">IF(A122="","",J121)</f>
        <v>#N/A</v>
      </c>
      <c r="L121" s="200" t="e">
        <f aca="false">IF($A122="","",VLOOKUP($A121,Table,MATCH(L$4,Curves,0)))</f>
        <v>#N/A</v>
      </c>
      <c r="M121" s="201" t="e">
        <f aca="false">IF(A122="","",L121)</f>
        <v>#N/A</v>
      </c>
      <c r="N121" s="203"/>
      <c r="O121" s="200" t="e">
        <f aca="false">IF(A122="","",L121+J121+G121)</f>
        <v>#N/A</v>
      </c>
      <c r="P121" s="200" t="e">
        <f aca="false">IF(A122="","",M121+K121+H121)</f>
        <v>#N/A</v>
      </c>
      <c r="Q121" s="204"/>
      <c r="R121" s="200" t="e">
        <f aca="false">IF($A122="","",VLOOKUP($A121,Table,MATCH(R$4,Curves,0)))</f>
        <v>#N/A</v>
      </c>
      <c r="S121" s="201" t="e">
        <f aca="false">IF(A122="","",R121)</f>
        <v>#N/A</v>
      </c>
      <c r="T121" s="185" t="n">
        <v>0</v>
      </c>
      <c r="U121" s="201" t="n">
        <f aca="false">IF(A122="","",T121)</f>
        <v>0</v>
      </c>
      <c r="V121" s="205" t="e">
        <f aca="false">IF($A122="","",IF(AND(MONTH(A121)&gt;3,MONTH(A121)&lt;11),(T121+R121+G121)*Summary!$T$11/(1-Summary!$T$11),(T121+R121+G121)*Summary!$U$11/(1-Summary!$U$11)))</f>
        <v>#N/A</v>
      </c>
      <c r="W121" s="202" t="e">
        <f aca="false">IF($A122="","",(T121+R121+G121+V121))</f>
        <v>#N/A</v>
      </c>
      <c r="X121" s="202" t="e">
        <f aca="false">IF($A122="","",(U121+S121+H121+V121))</f>
        <v>#N/A</v>
      </c>
      <c r="Y121" s="202"/>
      <c r="Z121" s="185" t="e">
        <f aca="false">IF($A122="","",VLOOKUP($A121,Table,MATCH(Z$4,Curves,0)))</f>
        <v>#N/A</v>
      </c>
      <c r="AA121" s="185" t="e">
        <f aca="false">IF($A122="","",VLOOKUP($A121,Table,MATCH(AA$4,Curves,0)))</f>
        <v>#N/A</v>
      </c>
      <c r="AB121" s="185" t="e">
        <f aca="false">SQRT((AA121^2*(A121-$D$3)+Z121^2*(DAY(EOMONTH(A121,0))/2))/AK121)</f>
        <v>#N/A</v>
      </c>
      <c r="AC121" s="185" t="e">
        <f aca="false">IF($A122="","",VLOOKUP($A121,Table,MATCH(AC$4,Curves,0)))</f>
        <v>#N/A</v>
      </c>
      <c r="AD121" s="185" t="e">
        <f aca="false">IF($A122="","",VLOOKUP($A121,Table,MATCH(AD$4,Curves,0)))</f>
        <v>#N/A</v>
      </c>
      <c r="AE121" s="185" t="e">
        <f aca="false">SQRT((AD121^2*(A121-$D$3)+AC121^2*(DAY(EOMONTH(A121,0))/2))/AK121)</f>
        <v>#N/A</v>
      </c>
      <c r="AF121" s="206" t="e">
        <f aca="false">((Summary!$N$11*(AA121*AD121)*(A121-$D$3))+(Summary!$M$11*Z121*AC121*(AJ121-EOMONTH(EDATE(A121,-1),0))))/(AK121*AB121*AE121)</f>
        <v>#N/A</v>
      </c>
      <c r="AG121" s="207" t="n">
        <f aca="false">IF($A122="","",Summary!$Q$11)</f>
        <v>0</v>
      </c>
      <c r="AH121" s="207" t="n">
        <f aca="false">IF($A122="","",IF(Summary!$R$11="Y",(VLOOKUP($A121,Summary!$AD$6:$AF$9,3)+'Escalating commodity'!G134),'Escalating commodity'!G134))</f>
        <v>0.00580780862898081</v>
      </c>
      <c r="AI121" s="207" t="n">
        <f aca="false">IF($A122="","",AH121)</f>
        <v>0.00580780862898081</v>
      </c>
      <c r="AJ121" s="208" t="n">
        <f aca="false">A121+DAY(EOMONTH(A121,0))/2-1</f>
        <v>40436</v>
      </c>
      <c r="AK121" s="209" t="n">
        <f aca="false">IF($A122="","",$A121-$E$1)</f>
        <v>-5504</v>
      </c>
      <c r="AL121" s="182" t="e">
        <f aca="false">IF($A122="","",SPRDOPT(P121,X121,AI121,0,AB121,AE121,AF121,AK121,$AJ$2,0))</f>
        <v>#NAME?</v>
      </c>
      <c r="AM121" s="210" t="e">
        <f aca="false">IF($A122="","",MAX(0,O121-W121-AI121))</f>
        <v>#N/A</v>
      </c>
      <c r="AN121" s="211" t="e">
        <f aca="false">IF($A122="","",AL121-AM121)</f>
        <v>#N/A</v>
      </c>
      <c r="AO121" s="137" t="n">
        <f aca="false">IF(A122="","",A122-A121)</f>
        <v>30</v>
      </c>
      <c r="AP121" s="212" t="n">
        <f aca="false">IF(A122="","",CHOOSE(F$3,A122+24,A121))</f>
        <v>40422</v>
      </c>
      <c r="AQ121" s="209" t="n">
        <f aca="false">IF(A122="","",AP121-$E$1)</f>
        <v>-5504</v>
      </c>
      <c r="AR121" s="185" t="n">
        <f aca="false">'ANR OK vs ML7'!AR121</f>
        <v>0.1</v>
      </c>
      <c r="AS121" s="213" t="n">
        <f aca="false">IF(A122="","",1/(1+CHOOSE(F$3,(AR122+($I$3/10000))/2,(AR121+($I$3/10000))/2))^(2*AQ121/365.25))</f>
        <v>4.35119589037976</v>
      </c>
      <c r="AT121" s="137" t="n">
        <f aca="false">IF(A122="","",IF(AND(mthbeg&lt;=A121,mthend&gt;=A121),1,0))</f>
        <v>1</v>
      </c>
      <c r="AU121" s="137" t="n">
        <f aca="false">IF(A122="","",AO121*AT121)</f>
        <v>30</v>
      </c>
      <c r="AW121" s="195" t="e">
        <f aca="false">IF($A122="","",AL121*$E121)</f>
        <v>#NAME?</v>
      </c>
      <c r="AX121" s="195" t="e">
        <f aca="false">IF($A122="","",AM121*$E121)</f>
        <v>#N/A</v>
      </c>
      <c r="AY121" s="195" t="e">
        <f aca="false">IF($A122="","",AN121*$E121)</f>
        <v>#N/A</v>
      </c>
      <c r="BA121" s="195" t="n">
        <f aca="false">IF($A122="","",F121*Summary!$Q$11)</f>
        <v>0</v>
      </c>
      <c r="BC121" s="179" t="e">
        <f aca="false">IF(A122="","",AM121*F121)</f>
        <v>#N/A</v>
      </c>
    </row>
    <row r="122" customFormat="false" ht="12.75" hidden="false" customHeight="false" outlineLevel="0" collapsed="false">
      <c r="A122" s="196" t="n">
        <f aca="false">IF(A121&lt;mthend,EDATE(A121,1),"")</f>
        <v>40452</v>
      </c>
      <c r="B122" s="197" t="n">
        <f aca="false">IF(A122&lt;mthend,B121,"")</f>
        <v>124142</v>
      </c>
      <c r="C122" s="215"/>
      <c r="D122" s="197" t="n">
        <f aca="false">IF(A123&lt;&gt;"",B122+C122,"")</f>
        <v>124142</v>
      </c>
      <c r="E122" s="199" t="n">
        <f aca="false">IF(A123="","",IF(AND(AT122=1,$H$3=1),D122*AO122,IF($H$3=2,D122,"N/A")))</f>
        <v>3848402</v>
      </c>
      <c r="F122" s="199" t="n">
        <f aca="false">IF(A123="","",E122*AS122)</f>
        <v>16611478.1375114</v>
      </c>
      <c r="G122" s="200" t="e">
        <f aca="false">IF($A123="","",VLOOKUP($A122,Table,MATCH(G$4,Curves,0)))</f>
        <v>#N/A</v>
      </c>
      <c r="H122" s="201" t="e">
        <f aca="false">IF(A123="","",G122)</f>
        <v>#N/A</v>
      </c>
      <c r="I122" s="202"/>
      <c r="J122" s="200" t="e">
        <f aca="false">IF($A123="","",VLOOKUP($A122,Table,MATCH(J$4,Curves,0)))</f>
        <v>#N/A</v>
      </c>
      <c r="K122" s="201" t="e">
        <f aca="false">IF(A123="","",J122)</f>
        <v>#N/A</v>
      </c>
      <c r="L122" s="200" t="e">
        <f aca="false">IF($A123="","",VLOOKUP($A122,Table,MATCH(L$4,Curves,0)))</f>
        <v>#N/A</v>
      </c>
      <c r="M122" s="201" t="e">
        <f aca="false">IF(A123="","",L122)</f>
        <v>#N/A</v>
      </c>
      <c r="N122" s="203"/>
      <c r="O122" s="200" t="e">
        <f aca="false">IF(A123="","",L122+J122+G122)</f>
        <v>#N/A</v>
      </c>
      <c r="P122" s="200" t="e">
        <f aca="false">IF(A123="","",M122+K122+H122)</f>
        <v>#N/A</v>
      </c>
      <c r="Q122" s="204"/>
      <c r="R122" s="200" t="e">
        <f aca="false">IF($A123="","",VLOOKUP($A122,Table,MATCH(R$4,Curves,0)))</f>
        <v>#N/A</v>
      </c>
      <c r="S122" s="201" t="e">
        <f aca="false">IF(A123="","",R122)</f>
        <v>#N/A</v>
      </c>
      <c r="T122" s="185" t="n">
        <v>0</v>
      </c>
      <c r="U122" s="201" t="n">
        <f aca="false">IF(A123="","",T122)</f>
        <v>0</v>
      </c>
      <c r="V122" s="205" t="e">
        <f aca="false">IF($A123="","",IF(AND(MONTH(A122)&gt;3,MONTH(A122)&lt;11),(T122+R122+G122)*Summary!$T$11/(1-Summary!$T$11),(T122+R122+G122)*Summary!$U$11/(1-Summary!$U$11)))</f>
        <v>#N/A</v>
      </c>
      <c r="W122" s="202" t="e">
        <f aca="false">IF($A123="","",(T122+R122+G122+V122))</f>
        <v>#N/A</v>
      </c>
      <c r="X122" s="202" t="e">
        <f aca="false">IF($A123="","",(U122+S122+H122+V122))</f>
        <v>#N/A</v>
      </c>
      <c r="Y122" s="202"/>
      <c r="Z122" s="185" t="e">
        <f aca="false">IF($A123="","",VLOOKUP($A122,Table,MATCH(Z$4,Curves,0)))</f>
        <v>#N/A</v>
      </c>
      <c r="AA122" s="185" t="e">
        <f aca="false">IF($A123="","",VLOOKUP($A122,Table,MATCH(AA$4,Curves,0)))</f>
        <v>#N/A</v>
      </c>
      <c r="AB122" s="185" t="e">
        <f aca="false">SQRT((AA122^2*(A122-$D$3)+Z122^2*(DAY(EOMONTH(A122,0))/2))/AK122)</f>
        <v>#N/A</v>
      </c>
      <c r="AC122" s="185" t="e">
        <f aca="false">IF($A123="","",VLOOKUP($A122,Table,MATCH(AC$4,Curves,0)))</f>
        <v>#N/A</v>
      </c>
      <c r="AD122" s="185" t="e">
        <f aca="false">IF($A123="","",VLOOKUP($A122,Table,MATCH(AD$4,Curves,0)))</f>
        <v>#N/A</v>
      </c>
      <c r="AE122" s="185" t="e">
        <f aca="false">SQRT((AD122^2*(A122-$D$3)+AC122^2*(DAY(EOMONTH(A122,0))/2))/AK122)</f>
        <v>#N/A</v>
      </c>
      <c r="AF122" s="206" t="e">
        <f aca="false">((Summary!$N$11*(AA122*AD122)*(A122-$D$3))+(Summary!$M$11*Z122*AC122*(AJ122-EOMONTH(EDATE(A122,-1),0))))/(AK122*AB122*AE122)</f>
        <v>#N/A</v>
      </c>
      <c r="AG122" s="207" t="n">
        <f aca="false">IF($A123="","",Summary!$Q$11)</f>
        <v>0</v>
      </c>
      <c r="AH122" s="207" t="n">
        <f aca="false">IF($A123="","",IF(Summary!$R$11="Y",(VLOOKUP($A122,Summary!$AD$6:$AF$9,3)+'Escalating commodity'!G135),'Escalating commodity'!G135))</f>
        <v>0.00580780862898081</v>
      </c>
      <c r="AI122" s="207" t="n">
        <f aca="false">IF($A123="","",AH122)</f>
        <v>0.00580780862898081</v>
      </c>
      <c r="AJ122" s="208" t="n">
        <f aca="false">A122+DAY(EOMONTH(A122,0))/2-1</f>
        <v>40466.5</v>
      </c>
      <c r="AK122" s="209" t="n">
        <f aca="false">IF($A123="","",$A122-$E$1)</f>
        <v>-5474</v>
      </c>
      <c r="AL122" s="182" t="e">
        <f aca="false">IF($A123="","",SPRDOPT(P122,X122,AI122,0,AB122,AE122,AF122,AK122,$AJ$2,0))</f>
        <v>#NAME?</v>
      </c>
      <c r="AM122" s="210" t="e">
        <f aca="false">IF($A123="","",MAX(0,O122-W122-AI122))</f>
        <v>#N/A</v>
      </c>
      <c r="AN122" s="211" t="e">
        <f aca="false">IF($A123="","",AL122-AM122)</f>
        <v>#N/A</v>
      </c>
      <c r="AO122" s="137" t="n">
        <f aca="false">IF(A123="","",A123-A122)</f>
        <v>31</v>
      </c>
      <c r="AP122" s="212" t="n">
        <f aca="false">IF(A123="","",CHOOSE(F$3,A123+24,A122))</f>
        <v>40452</v>
      </c>
      <c r="AQ122" s="209" t="n">
        <f aca="false">IF(A123="","",AP122-$E$1)</f>
        <v>-5474</v>
      </c>
      <c r="AR122" s="185" t="n">
        <f aca="false">'ANR OK vs ML7'!AR122</f>
        <v>0.1</v>
      </c>
      <c r="AS122" s="213" t="n">
        <f aca="false">IF(A123="","",1/(1+CHOOSE(F$3,(AR123+($I$3/10000))/2,(AR122+($I$3/10000))/2))^(2*AQ122/365.25))</f>
        <v>4.31646125781855</v>
      </c>
      <c r="AT122" s="137" t="n">
        <f aca="false">IF(A123="","",IF(AND(mthbeg&lt;=A122,mthend&gt;=A122),1,0))</f>
        <v>1</v>
      </c>
      <c r="AU122" s="137" t="n">
        <f aca="false">IF(A123="","",AO122*AT122)</f>
        <v>31</v>
      </c>
      <c r="AW122" s="195" t="e">
        <f aca="false">IF($A123="","",AL122*$E122)</f>
        <v>#NAME?</v>
      </c>
      <c r="AX122" s="195" t="e">
        <f aca="false">IF($A123="","",AM122*$E122)</f>
        <v>#N/A</v>
      </c>
      <c r="AY122" s="195" t="e">
        <f aca="false">IF($A123="","",AN122*$E122)</f>
        <v>#N/A</v>
      </c>
      <c r="BA122" s="195" t="n">
        <f aca="false">IF($A123="","",F122*Summary!$Q$11)</f>
        <v>0</v>
      </c>
      <c r="BC122" s="179" t="e">
        <f aca="false">IF(A123="","",AM122*F122)</f>
        <v>#N/A</v>
      </c>
    </row>
    <row r="123" customFormat="false" ht="12.75" hidden="false" customHeight="false" outlineLevel="0" collapsed="false">
      <c r="A123" s="196" t="n">
        <f aca="false">IF(A122&lt;mthend,EDATE(A122,1),"")</f>
        <v>40483</v>
      </c>
      <c r="B123" s="197" t="n">
        <f aca="false">IF(A123&lt;mthend,B122,"")</f>
        <v>124142</v>
      </c>
      <c r="C123" s="215"/>
      <c r="D123" s="197" t="n">
        <f aca="false">IF(A124&lt;&gt;"",B123+C123,"")</f>
        <v>124142</v>
      </c>
      <c r="E123" s="199" t="n">
        <f aca="false">IF(A124="","",IF(AND(AT123=1,$H$3=1),D123*AO123,IF($H$3=2,D123,"N/A")))</f>
        <v>3724260</v>
      </c>
      <c r="F123" s="199" t="n">
        <f aca="false">IF(A124="","",E123*AS123)</f>
        <v>15943035.9434658</v>
      </c>
      <c r="G123" s="200" t="e">
        <f aca="false">IF($A124="","",VLOOKUP($A123,Table,MATCH(G$4,Curves,0)))</f>
        <v>#N/A</v>
      </c>
      <c r="H123" s="201" t="e">
        <f aca="false">IF(A124="","",G123)</f>
        <v>#N/A</v>
      </c>
      <c r="I123" s="202"/>
      <c r="J123" s="200" t="e">
        <f aca="false">IF($A124="","",VLOOKUP($A123,Table,MATCH(J$4,Curves,0)))</f>
        <v>#N/A</v>
      </c>
      <c r="K123" s="201" t="e">
        <f aca="false">IF(A124="","",J123)</f>
        <v>#N/A</v>
      </c>
      <c r="L123" s="200" t="e">
        <f aca="false">IF($A124="","",VLOOKUP($A123,Table,MATCH(L$4,Curves,0)))</f>
        <v>#N/A</v>
      </c>
      <c r="M123" s="201" t="e">
        <f aca="false">IF(A124="","",L123)</f>
        <v>#N/A</v>
      </c>
      <c r="N123" s="203"/>
      <c r="O123" s="200" t="e">
        <f aca="false">IF(A124="","",L123+J123+G123)</f>
        <v>#N/A</v>
      </c>
      <c r="P123" s="200" t="e">
        <f aca="false">IF(A124="","",M123+K123+H123)</f>
        <v>#N/A</v>
      </c>
      <c r="Q123" s="204"/>
      <c r="R123" s="200" t="e">
        <f aca="false">IF($A124="","",VLOOKUP($A123,Table,MATCH(R$4,Curves,0)))</f>
        <v>#N/A</v>
      </c>
      <c r="S123" s="201" t="e">
        <f aca="false">IF(A124="","",R123)</f>
        <v>#N/A</v>
      </c>
      <c r="T123" s="185" t="n">
        <v>0</v>
      </c>
      <c r="U123" s="201" t="n">
        <f aca="false">IF(A124="","",T123)</f>
        <v>0</v>
      </c>
      <c r="V123" s="205" t="e">
        <f aca="false">IF($A124="","",IF(AND(MONTH(A123)&gt;3,MONTH(A123)&lt;11),(T123+R123+G123)*Summary!$T$11/(1-Summary!$T$11),(T123+R123+G123)*Summary!$U$11/(1-Summary!$U$11)))</f>
        <v>#N/A</v>
      </c>
      <c r="W123" s="202" t="e">
        <f aca="false">IF($A124="","",(T123+R123+G123+V123))</f>
        <v>#N/A</v>
      </c>
      <c r="X123" s="202" t="e">
        <f aca="false">IF($A124="","",(U123+S123+H123+V123))</f>
        <v>#N/A</v>
      </c>
      <c r="Y123" s="202"/>
      <c r="Z123" s="185" t="e">
        <f aca="false">IF($A124="","",VLOOKUP($A123,Table,MATCH(Z$4,Curves,0)))</f>
        <v>#N/A</v>
      </c>
      <c r="AA123" s="185" t="e">
        <f aca="false">IF($A124="","",VLOOKUP($A123,Table,MATCH(AA$4,Curves,0)))</f>
        <v>#N/A</v>
      </c>
      <c r="AB123" s="185" t="e">
        <f aca="false">SQRT((AA123^2*(A123-$D$3)+Z123^2*(DAY(EOMONTH(A123,0))/2))/AK123)</f>
        <v>#N/A</v>
      </c>
      <c r="AC123" s="185" t="e">
        <f aca="false">IF($A124="","",VLOOKUP($A123,Table,MATCH(AC$4,Curves,0)))</f>
        <v>#N/A</v>
      </c>
      <c r="AD123" s="185" t="e">
        <f aca="false">IF($A124="","",VLOOKUP($A123,Table,MATCH(AD$4,Curves,0)))</f>
        <v>#N/A</v>
      </c>
      <c r="AE123" s="185" t="e">
        <f aca="false">SQRT((AD123^2*(A123-$D$3)+AC123^2*(DAY(EOMONTH(A123,0))/2))/AK123)</f>
        <v>#N/A</v>
      </c>
      <c r="AF123" s="206" t="e">
        <f aca="false">((Summary!$N$11*(AA123*AD123)*(A123-$D$3))+(Summary!$M$11*Z123*AC123*(AJ123-EOMONTH(EDATE(A123,-1),0))))/(AK123*AB123*AE123)</f>
        <v>#N/A</v>
      </c>
      <c r="AG123" s="207" t="n">
        <f aca="false">IF($A124="","",Summary!$Q$11)</f>
        <v>0</v>
      </c>
      <c r="AH123" s="207" t="n">
        <f aca="false">IF($A124="","",IF(Summary!$R$11="Y",(VLOOKUP($A123,Summary!$AD$6:$AF$9,3)+'Escalating commodity'!G136),'Escalating commodity'!G136))</f>
        <v>0.00580780862898081</v>
      </c>
      <c r="AI123" s="207" t="n">
        <f aca="false">IF($A124="","",AH123)</f>
        <v>0.00580780862898081</v>
      </c>
      <c r="AJ123" s="208" t="n">
        <f aca="false">A123+DAY(EOMONTH(A123,0))/2-1</f>
        <v>40497</v>
      </c>
      <c r="AK123" s="209" t="n">
        <f aca="false">IF($A124="","",$A123-$E$1)</f>
        <v>-5443</v>
      </c>
      <c r="AL123" s="182" t="e">
        <f aca="false">IF($A124="","",SPRDOPT(P123,X123,AI123,0,AB123,AE123,AF123,AK123,$AJ$2,0))</f>
        <v>#NAME?</v>
      </c>
      <c r="AM123" s="210" t="e">
        <f aca="false">IF($A124="","",MAX(0,O123-W123-AI123))</f>
        <v>#N/A</v>
      </c>
      <c r="AN123" s="211" t="e">
        <f aca="false">IF($A124="","",AL123-AM123)</f>
        <v>#N/A</v>
      </c>
      <c r="AO123" s="137" t="n">
        <f aca="false">IF(A124="","",A124-A123)</f>
        <v>30</v>
      </c>
      <c r="AP123" s="212" t="n">
        <f aca="false">IF(A124="","",CHOOSE(F$3,A124+24,A123))</f>
        <v>40483</v>
      </c>
      <c r="AQ123" s="209" t="n">
        <f aca="false">IF(A124="","",AP123-$E$1)</f>
        <v>-5443</v>
      </c>
      <c r="AR123" s="185" t="n">
        <f aca="false">'ANR OK vs ML7'!AR123</f>
        <v>0.1</v>
      </c>
      <c r="AS123" s="213" t="n">
        <f aca="false">IF(A124="","",1/(1+CHOOSE(F$3,(AR124+($I$3/10000))/2,(AR123+($I$3/10000))/2))^(2*AQ123/365.25))</f>
        <v>4.28086007514669</v>
      </c>
      <c r="AT123" s="137" t="n">
        <f aca="false">IF(A124="","",IF(AND(mthbeg&lt;=A123,mthend&gt;=A123),1,0))</f>
        <v>1</v>
      </c>
      <c r="AU123" s="137" t="n">
        <f aca="false">IF(A124="","",AO123*AT123)</f>
        <v>30</v>
      </c>
      <c r="AW123" s="195" t="e">
        <f aca="false">IF($A124="","",AL123*$E123)</f>
        <v>#NAME?</v>
      </c>
      <c r="AX123" s="195" t="e">
        <f aca="false">IF($A124="","",AM123*$E123)</f>
        <v>#N/A</v>
      </c>
      <c r="AY123" s="195" t="e">
        <f aca="false">IF($A124="","",AN123*$E123)</f>
        <v>#N/A</v>
      </c>
      <c r="BA123" s="195" t="n">
        <f aca="false">IF($A124="","",F123*Summary!$Q$11)</f>
        <v>0</v>
      </c>
      <c r="BC123" s="179" t="e">
        <f aca="false">IF(A124="","",AM123*F123)</f>
        <v>#N/A</v>
      </c>
    </row>
    <row r="124" customFormat="false" ht="12.75" hidden="false" customHeight="false" outlineLevel="0" collapsed="false">
      <c r="A124" s="196" t="n">
        <f aca="false">IF(A123&lt;mthend,EDATE(A123,1),"")</f>
        <v>40513</v>
      </c>
      <c r="B124" s="197" t="n">
        <f aca="false">IF(A124&lt;mthend,B123,"")</f>
        <v>124142</v>
      </c>
      <c r="C124" s="215"/>
      <c r="D124" s="197" t="n">
        <f aca="false">IF(A125&lt;&gt;"",B124+C124,"")</f>
        <v>124142</v>
      </c>
      <c r="E124" s="199" t="n">
        <f aca="false">IF(A125="","",IF(AND(AT124=1,$H$3=1),D124*AO124,IF($H$3=2,D124,"N/A")))</f>
        <v>3848402</v>
      </c>
      <c r="F124" s="199" t="n">
        <f aca="false">IF(A125="","",E124*AS124)</f>
        <v>16342958.4278814</v>
      </c>
      <c r="G124" s="200" t="e">
        <f aca="false">IF($A125="","",VLOOKUP($A124,Table,MATCH(G$4,Curves,0)))</f>
        <v>#N/A</v>
      </c>
      <c r="H124" s="201" t="e">
        <f aca="false">IF(A125="","",G124)</f>
        <v>#N/A</v>
      </c>
      <c r="I124" s="202"/>
      <c r="J124" s="200" t="e">
        <f aca="false">IF($A125="","",VLOOKUP($A124,Table,MATCH(J$4,Curves,0)))</f>
        <v>#N/A</v>
      </c>
      <c r="K124" s="201" t="e">
        <f aca="false">IF(A125="","",J124)</f>
        <v>#N/A</v>
      </c>
      <c r="L124" s="200" t="e">
        <f aca="false">IF($A125="","",VLOOKUP($A124,Table,MATCH(L$4,Curves,0)))</f>
        <v>#N/A</v>
      </c>
      <c r="M124" s="201" t="e">
        <f aca="false">IF(A125="","",L124)</f>
        <v>#N/A</v>
      </c>
      <c r="N124" s="203"/>
      <c r="O124" s="200" t="e">
        <f aca="false">IF(A125="","",L124+J124+G124)</f>
        <v>#N/A</v>
      </c>
      <c r="P124" s="200" t="e">
        <f aca="false">IF(A125="","",M124+K124+H124)</f>
        <v>#N/A</v>
      </c>
      <c r="Q124" s="204"/>
      <c r="R124" s="200" t="e">
        <f aca="false">IF($A125="","",VLOOKUP($A124,Table,MATCH(R$4,Curves,0)))</f>
        <v>#N/A</v>
      </c>
      <c r="S124" s="201" t="e">
        <f aca="false">IF(A125="","",R124)</f>
        <v>#N/A</v>
      </c>
      <c r="T124" s="185" t="n">
        <v>0</v>
      </c>
      <c r="U124" s="201" t="n">
        <f aca="false">IF(A125="","",T124)</f>
        <v>0</v>
      </c>
      <c r="V124" s="205" t="e">
        <f aca="false">IF($A125="","",IF(AND(MONTH(A124)&gt;3,MONTH(A124)&lt;11),(T124+R124+G124)*Summary!$T$11/(1-Summary!$T$11),(T124+R124+G124)*Summary!$U$11/(1-Summary!$U$11)))</f>
        <v>#N/A</v>
      </c>
      <c r="W124" s="202" t="e">
        <f aca="false">IF($A125="","",(T124+R124+G124+V124))</f>
        <v>#N/A</v>
      </c>
      <c r="X124" s="202" t="e">
        <f aca="false">IF($A125="","",(U124+S124+H124+V124))</f>
        <v>#N/A</v>
      </c>
      <c r="Y124" s="202"/>
      <c r="Z124" s="185" t="e">
        <f aca="false">IF($A125="","",VLOOKUP($A124,Table,MATCH(Z$4,Curves,0)))</f>
        <v>#N/A</v>
      </c>
      <c r="AA124" s="185" t="e">
        <f aca="false">IF($A125="","",VLOOKUP($A124,Table,MATCH(AA$4,Curves,0)))</f>
        <v>#N/A</v>
      </c>
      <c r="AB124" s="185" t="e">
        <f aca="false">SQRT((AA124^2*(A124-$D$3)+Z124^2*(DAY(EOMONTH(A124,0))/2))/AK124)</f>
        <v>#N/A</v>
      </c>
      <c r="AC124" s="185" t="e">
        <f aca="false">IF($A125="","",VLOOKUP($A124,Table,MATCH(AC$4,Curves,0)))</f>
        <v>#N/A</v>
      </c>
      <c r="AD124" s="185" t="e">
        <f aca="false">IF($A125="","",VLOOKUP($A124,Table,MATCH(AD$4,Curves,0)))</f>
        <v>#N/A</v>
      </c>
      <c r="AE124" s="185" t="e">
        <f aca="false">SQRT((AD124^2*(A124-$D$3)+AC124^2*(DAY(EOMONTH(A124,0))/2))/AK124)</f>
        <v>#N/A</v>
      </c>
      <c r="AF124" s="206" t="e">
        <f aca="false">((Summary!$N$11*(AA124*AD124)*(A124-$D$3))+(Summary!$M$11*Z124*AC124*(AJ124-EOMONTH(EDATE(A124,-1),0))))/(AK124*AB124*AE124)</f>
        <v>#N/A</v>
      </c>
      <c r="AG124" s="207" t="n">
        <f aca="false">IF($A125="","",Summary!$Q$11)</f>
        <v>0</v>
      </c>
      <c r="AH124" s="207" t="n">
        <f aca="false">IF($A125="","",IF(Summary!$R$11="Y",(VLOOKUP($A124,Summary!$AD$6:$AF$9,3)+'Escalating commodity'!G137),'Escalating commodity'!G137))</f>
        <v>0.00580780862898081</v>
      </c>
      <c r="AI124" s="207" t="n">
        <f aca="false">IF($A125="","",AH124)</f>
        <v>0.00580780862898081</v>
      </c>
      <c r="AJ124" s="208" t="n">
        <f aca="false">A124+DAY(EOMONTH(A124,0))/2-1</f>
        <v>40527.5</v>
      </c>
      <c r="AK124" s="209" t="n">
        <f aca="false">IF($A125="","",$A124-$E$1)</f>
        <v>-5413</v>
      </c>
      <c r="AL124" s="182" t="e">
        <f aca="false">IF($A125="","",SPRDOPT(P124,X124,AI124,0,AB124,AE124,AF124,AK124,$AJ$2,0))</f>
        <v>#NAME?</v>
      </c>
      <c r="AM124" s="210" t="e">
        <f aca="false">IF($A125="","",MAX(0,O124-W124-AI124))</f>
        <v>#N/A</v>
      </c>
      <c r="AN124" s="211" t="e">
        <f aca="false">IF($A125="","",AL124-AM124)</f>
        <v>#N/A</v>
      </c>
      <c r="AO124" s="137" t="n">
        <f aca="false">IF(A125="","",A125-A124)</f>
        <v>31</v>
      </c>
      <c r="AP124" s="212" t="n">
        <f aca="false">IF(A125="","",CHOOSE(F$3,A125+24,A124))</f>
        <v>40513</v>
      </c>
      <c r="AQ124" s="209" t="n">
        <f aca="false">IF(A125="","",AP124-$E$1)</f>
        <v>-5413</v>
      </c>
      <c r="AR124" s="185" t="n">
        <f aca="false">'ANR OK vs ML7'!AR124</f>
        <v>0.1</v>
      </c>
      <c r="AS124" s="213" t="n">
        <f aca="false">IF(A125="","",1/(1+CHOOSE(F$3,(AR125+($I$3/10000))/2,(AR124+($I$3/10000))/2))^(2*AQ124/365.25))</f>
        <v>4.24668691781197</v>
      </c>
      <c r="AT124" s="137" t="n">
        <f aca="false">IF(A125="","",IF(AND(mthbeg&lt;=A124,mthend&gt;=A124),1,0))</f>
        <v>1</v>
      </c>
      <c r="AU124" s="137" t="n">
        <f aca="false">IF(A125="","",AO124*AT124)</f>
        <v>31</v>
      </c>
      <c r="AW124" s="195" t="e">
        <f aca="false">IF($A125="","",AL124*$E124)</f>
        <v>#NAME?</v>
      </c>
      <c r="AX124" s="195" t="e">
        <f aca="false">IF($A125="","",AM124*$E124)</f>
        <v>#N/A</v>
      </c>
      <c r="AY124" s="195" t="e">
        <f aca="false">IF($A125="","",AN124*$E124)</f>
        <v>#N/A</v>
      </c>
      <c r="BA124" s="195" t="n">
        <f aca="false">IF($A125="","",F124*Summary!$Q$11)</f>
        <v>0</v>
      </c>
      <c r="BC124" s="179" t="e">
        <f aca="false">IF(A125="","",AM124*F124)</f>
        <v>#N/A</v>
      </c>
    </row>
    <row r="125" customFormat="false" ht="12.75" hidden="false" customHeight="false" outlineLevel="0" collapsed="false">
      <c r="A125" s="196" t="n">
        <f aca="false">IF(A124&lt;mthend,EDATE(A124,1),"")</f>
        <v>40544</v>
      </c>
      <c r="B125" s="197" t="n">
        <f aca="false">IF(A125&lt;mthend,B124,"")</f>
        <v>124142</v>
      </c>
      <c r="C125" s="215"/>
      <c r="D125" s="197" t="n">
        <f aca="false">IF(A126&lt;&gt;"",B125+C125,"")</f>
        <v>124142</v>
      </c>
      <c r="E125" s="199" t="n">
        <f aca="false">IF(A126="","",IF(AND(AT125=1,$H$3=1),D125*AO125,IF($H$3=2,D125,"N/A")))</f>
        <v>3848402</v>
      </c>
      <c r="F125" s="199" t="n">
        <f aca="false">IF(A126="","",E125*AS125)</f>
        <v>16208165.454277</v>
      </c>
      <c r="G125" s="200" t="e">
        <f aca="false">IF($A126="","",VLOOKUP($A125,Table,MATCH(G$4,Curves,0)))</f>
        <v>#N/A</v>
      </c>
      <c r="H125" s="201" t="e">
        <f aca="false">IF(A126="","",G125)</f>
        <v>#N/A</v>
      </c>
      <c r="I125" s="202"/>
      <c r="J125" s="200" t="e">
        <f aca="false">IF($A126="","",VLOOKUP($A125,Table,MATCH(J$4,Curves,0)))</f>
        <v>#N/A</v>
      </c>
      <c r="K125" s="201" t="e">
        <f aca="false">IF(A126="","",J125)</f>
        <v>#N/A</v>
      </c>
      <c r="L125" s="200" t="e">
        <f aca="false">IF($A126="","",VLOOKUP($A125,Table,MATCH(L$4,Curves,0)))</f>
        <v>#N/A</v>
      </c>
      <c r="M125" s="201" t="e">
        <f aca="false">IF(A126="","",L125)</f>
        <v>#N/A</v>
      </c>
      <c r="N125" s="203"/>
      <c r="O125" s="200" t="e">
        <f aca="false">IF(A126="","",L125+J125+G125)</f>
        <v>#N/A</v>
      </c>
      <c r="P125" s="200" t="e">
        <f aca="false">IF(A126="","",M125+K125+H125)</f>
        <v>#N/A</v>
      </c>
      <c r="Q125" s="204"/>
      <c r="R125" s="200" t="e">
        <f aca="false">IF($A126="","",VLOOKUP($A125,Table,MATCH(R$4,Curves,0)))</f>
        <v>#N/A</v>
      </c>
      <c r="S125" s="201" t="e">
        <f aca="false">IF(A126="","",R125)</f>
        <v>#N/A</v>
      </c>
      <c r="T125" s="185" t="n">
        <v>0</v>
      </c>
      <c r="U125" s="201" t="n">
        <f aca="false">IF(A126="","",T125)</f>
        <v>0</v>
      </c>
      <c r="V125" s="205" t="e">
        <f aca="false">IF($A126="","",IF(AND(MONTH(A125)&gt;3,MONTH(A125)&lt;11),(T125+R125+G125)*Summary!$T$11/(1-Summary!$T$11),(T125+R125+G125)*Summary!$U$11/(1-Summary!$U$11)))</f>
        <v>#N/A</v>
      </c>
      <c r="W125" s="202" t="e">
        <f aca="false">IF($A126="","",(T125+R125+G125+V125))</f>
        <v>#N/A</v>
      </c>
      <c r="X125" s="202" t="e">
        <f aca="false">IF($A126="","",(U125+S125+H125+V125))</f>
        <v>#N/A</v>
      </c>
      <c r="Y125" s="202"/>
      <c r="Z125" s="185" t="e">
        <f aca="false">IF($A126="","",VLOOKUP($A125,Table,MATCH(Z$4,Curves,0)))</f>
        <v>#N/A</v>
      </c>
      <c r="AA125" s="185" t="e">
        <f aca="false">IF($A126="","",VLOOKUP($A125,Table,MATCH(AA$4,Curves,0)))</f>
        <v>#N/A</v>
      </c>
      <c r="AB125" s="185" t="e">
        <f aca="false">SQRT((AA125^2*(A125-$D$3)+Z125^2*(DAY(EOMONTH(A125,0))/2))/AK125)</f>
        <v>#N/A</v>
      </c>
      <c r="AC125" s="185" t="e">
        <f aca="false">IF($A126="","",VLOOKUP($A125,Table,MATCH(AC$4,Curves,0)))</f>
        <v>#N/A</v>
      </c>
      <c r="AD125" s="185" t="e">
        <f aca="false">IF($A126="","",VLOOKUP($A125,Table,MATCH(AD$4,Curves,0)))</f>
        <v>#N/A</v>
      </c>
      <c r="AE125" s="185" t="e">
        <f aca="false">SQRT((AD125^2*(A125-$D$3)+AC125^2*(DAY(EOMONTH(A125,0))/2))/AK125)</f>
        <v>#N/A</v>
      </c>
      <c r="AF125" s="206" t="e">
        <f aca="false">((Summary!$N$11*(AA125*AD125)*(A125-$D$3))+(Summary!$M$11*Z125*AC125*(AJ125-EOMONTH(EDATE(A125,-1),0))))/(AK125*AB125*AE125)</f>
        <v>#N/A</v>
      </c>
      <c r="AG125" s="207" t="n">
        <f aca="false">IF($A126="","",Summary!$Q$11)</f>
        <v>0</v>
      </c>
      <c r="AH125" s="207" t="n">
        <f aca="false">IF($A126="","",IF(Summary!$R$11="Y",(VLOOKUP($A125,Summary!$AD$6:$AF$9,3)+'Escalating commodity'!G138),'Escalating commodity'!G138))</f>
        <v>0.00592396480156043</v>
      </c>
      <c r="AI125" s="207" t="n">
        <f aca="false">IF($A126="","",AH125)</f>
        <v>0.00592396480156043</v>
      </c>
      <c r="AJ125" s="208" t="n">
        <f aca="false">A125+DAY(EOMONTH(A125,0))/2-1</f>
        <v>40558.5</v>
      </c>
      <c r="AK125" s="209" t="n">
        <f aca="false">IF($A126="","",$A125-$E$1)</f>
        <v>-5382</v>
      </c>
      <c r="AL125" s="182" t="e">
        <f aca="false">IF($A126="","",SPRDOPT(P125,X125,AI125,0,AB125,AE125,AF125,AK125,$AJ$2,0))</f>
        <v>#NAME?</v>
      </c>
      <c r="AM125" s="210" t="e">
        <f aca="false">IF($A126="","",MAX(0,O125-W125-AI125))</f>
        <v>#N/A</v>
      </c>
      <c r="AN125" s="211" t="e">
        <f aca="false">IF($A126="","",AL125-AM125)</f>
        <v>#N/A</v>
      </c>
      <c r="AO125" s="137" t="n">
        <f aca="false">IF(A126="","",A126-A125)</f>
        <v>31</v>
      </c>
      <c r="AP125" s="212" t="n">
        <f aca="false">IF(A126="","",CHOOSE(F$3,A126+24,A125))</f>
        <v>40544</v>
      </c>
      <c r="AQ125" s="209" t="n">
        <f aca="false">IF(A126="","",AP125-$E$1)</f>
        <v>-5382</v>
      </c>
      <c r="AR125" s="185" t="n">
        <f aca="false">'ANR OK vs ML7'!AR125</f>
        <v>0.1</v>
      </c>
      <c r="AS125" s="213" t="n">
        <f aca="false">IF(A126="","",1/(1+CHOOSE(F$3,(AR126+($I$3/10000))/2,(AR125+($I$3/10000))/2))^(2*AQ125/365.25))</f>
        <v>4.21166121789694</v>
      </c>
      <c r="AT125" s="137" t="n">
        <f aca="false">IF(A126="","",IF(AND(mthbeg&lt;=A125,mthend&gt;=A125),1,0))</f>
        <v>1</v>
      </c>
      <c r="AU125" s="137" t="n">
        <f aca="false">IF(A126="","",AO125*AT125)</f>
        <v>31</v>
      </c>
      <c r="AW125" s="195" t="e">
        <f aca="false">IF($A126="","",AL125*$E125)</f>
        <v>#NAME?</v>
      </c>
      <c r="AX125" s="195" t="e">
        <f aca="false">IF($A126="","",AM125*$E125)</f>
        <v>#N/A</v>
      </c>
      <c r="AY125" s="195" t="e">
        <f aca="false">IF($A126="","",AN125*$E125)</f>
        <v>#N/A</v>
      </c>
      <c r="BA125" s="195" t="n">
        <f aca="false">IF($A126="","",F125*Summary!$Q$11)</f>
        <v>0</v>
      </c>
      <c r="BC125" s="179" t="e">
        <f aca="false">IF(A126="","",AM125*F125)</f>
        <v>#N/A</v>
      </c>
    </row>
    <row r="126" customFormat="false" ht="12.75" hidden="false" customHeight="false" outlineLevel="0" collapsed="false">
      <c r="A126" s="196" t="n">
        <f aca="false">IF(A125&lt;mthend,EDATE(A125,1),"")</f>
        <v>40575</v>
      </c>
      <c r="B126" s="197" t="n">
        <f aca="false">IF(A126&lt;mthend,B125,"")</f>
        <v>124142</v>
      </c>
      <c r="C126" s="215"/>
      <c r="D126" s="197" t="n">
        <f aca="false">IF(A127&lt;&gt;"",B126+C126,"")</f>
        <v>124142</v>
      </c>
      <c r="E126" s="199" t="n">
        <f aca="false">IF(A127="","",IF(AND(AT126=1,$H$3=1),D126*AO126,IF($H$3=2,D126,"N/A")))</f>
        <v>3475976</v>
      </c>
      <c r="F126" s="199" t="n">
        <f aca="false">IF(A127="","",E126*AS126)</f>
        <v>14518888.9748996</v>
      </c>
      <c r="G126" s="200" t="e">
        <f aca="false">IF($A127="","",VLOOKUP($A126,Table,MATCH(G$4,Curves,0)))</f>
        <v>#N/A</v>
      </c>
      <c r="H126" s="201" t="e">
        <f aca="false">IF(A127="","",G126)</f>
        <v>#N/A</v>
      </c>
      <c r="I126" s="202"/>
      <c r="J126" s="200" t="e">
        <f aca="false">IF($A127="","",VLOOKUP($A126,Table,MATCH(J$4,Curves,0)))</f>
        <v>#N/A</v>
      </c>
      <c r="K126" s="201" t="e">
        <f aca="false">IF(A127="","",J126)</f>
        <v>#N/A</v>
      </c>
      <c r="L126" s="200" t="e">
        <f aca="false">IF($A127="","",VLOOKUP($A126,Table,MATCH(L$4,Curves,0)))</f>
        <v>#N/A</v>
      </c>
      <c r="M126" s="201" t="e">
        <f aca="false">IF(A127="","",L126)</f>
        <v>#N/A</v>
      </c>
      <c r="N126" s="203"/>
      <c r="O126" s="200" t="e">
        <f aca="false">IF(A127="","",L126+J126+G126)</f>
        <v>#N/A</v>
      </c>
      <c r="P126" s="200" t="e">
        <f aca="false">IF(A127="","",M126+K126+H126)</f>
        <v>#N/A</v>
      </c>
      <c r="Q126" s="204"/>
      <c r="R126" s="200" t="e">
        <f aca="false">IF($A127="","",VLOOKUP($A126,Table,MATCH(R$4,Curves,0)))</f>
        <v>#N/A</v>
      </c>
      <c r="S126" s="201" t="e">
        <f aca="false">IF(A127="","",R126)</f>
        <v>#N/A</v>
      </c>
      <c r="T126" s="185" t="n">
        <v>0</v>
      </c>
      <c r="U126" s="201" t="n">
        <f aca="false">IF(A127="","",T126)</f>
        <v>0</v>
      </c>
      <c r="V126" s="205" t="e">
        <f aca="false">IF($A127="","",IF(AND(MONTH(A126)&gt;3,MONTH(A126)&lt;11),(T126+R126+G126)*Summary!$T$11/(1-Summary!$T$11),(T126+R126+G126)*Summary!$U$11/(1-Summary!$U$11)))</f>
        <v>#N/A</v>
      </c>
      <c r="W126" s="202" t="e">
        <f aca="false">IF($A127="","",(T126+R126+G126+V126))</f>
        <v>#N/A</v>
      </c>
      <c r="X126" s="202" t="e">
        <f aca="false">IF($A127="","",(U126+S126+H126+V126))</f>
        <v>#N/A</v>
      </c>
      <c r="Y126" s="202"/>
      <c r="Z126" s="185" t="e">
        <f aca="false">IF($A127="","",VLOOKUP($A126,Table,MATCH(Z$4,Curves,0)))</f>
        <v>#N/A</v>
      </c>
      <c r="AA126" s="185" t="e">
        <f aca="false">IF($A127="","",VLOOKUP($A126,Table,MATCH(AA$4,Curves,0)))</f>
        <v>#N/A</v>
      </c>
      <c r="AB126" s="185" t="e">
        <f aca="false">SQRT((AA126^2*(A126-$D$3)+Z126^2*(DAY(EOMONTH(A126,0))/2))/AK126)</f>
        <v>#N/A</v>
      </c>
      <c r="AC126" s="185" t="e">
        <f aca="false">IF($A127="","",VLOOKUP($A126,Table,MATCH(AC$4,Curves,0)))</f>
        <v>#N/A</v>
      </c>
      <c r="AD126" s="185" t="e">
        <f aca="false">IF($A127="","",VLOOKUP($A126,Table,MATCH(AD$4,Curves,0)))</f>
        <v>#N/A</v>
      </c>
      <c r="AE126" s="185" t="e">
        <f aca="false">SQRT((AD126^2*(A126-$D$3)+AC126^2*(DAY(EOMONTH(A126,0))/2))/AK126)</f>
        <v>#N/A</v>
      </c>
      <c r="AF126" s="206" t="e">
        <f aca="false">((Summary!$N$11*(AA126*AD126)*(A126-$D$3))+(Summary!$M$11*Z126*AC126*(AJ126-EOMONTH(EDATE(A126,-1),0))))/(AK126*AB126*AE126)</f>
        <v>#N/A</v>
      </c>
      <c r="AG126" s="207" t="n">
        <f aca="false">IF($A127="","",Summary!$Q$11)</f>
        <v>0</v>
      </c>
      <c r="AH126" s="207" t="n">
        <f aca="false">IF($A127="","",IF(Summary!$R$11="Y",(VLOOKUP($A126,Summary!$AD$6:$AF$9,3)+'Escalating commodity'!G139),'Escalating commodity'!G139))</f>
        <v>0.00592396480156043</v>
      </c>
      <c r="AI126" s="207" t="n">
        <f aca="false">IF($A127="","",AH126)</f>
        <v>0.00592396480156043</v>
      </c>
      <c r="AJ126" s="208" t="n">
        <f aca="false">A126+DAY(EOMONTH(A126,0))/2-1</f>
        <v>40588</v>
      </c>
      <c r="AK126" s="209" t="n">
        <f aca="false">IF($A127="","",$A126-$E$1)</f>
        <v>-5351</v>
      </c>
      <c r="AL126" s="182" t="e">
        <f aca="false">IF($A127="","",SPRDOPT(P126,X126,AI126,0,AB126,AE126,AF126,AK126,$AJ$2,0))</f>
        <v>#NAME?</v>
      </c>
      <c r="AM126" s="210" t="e">
        <f aca="false">IF($A127="","",MAX(0,O126-W126-AI126))</f>
        <v>#N/A</v>
      </c>
      <c r="AN126" s="211" t="e">
        <f aca="false">IF($A127="","",AL126-AM126)</f>
        <v>#N/A</v>
      </c>
      <c r="AO126" s="137" t="n">
        <f aca="false">IF(A127="","",A127-A126)</f>
        <v>28</v>
      </c>
      <c r="AP126" s="212" t="n">
        <f aca="false">IF(A127="","",CHOOSE(F$3,A127+24,A126))</f>
        <v>40575</v>
      </c>
      <c r="AQ126" s="209" t="n">
        <f aca="false">IF(A127="","",AP126-$E$1)</f>
        <v>-5351</v>
      </c>
      <c r="AR126" s="185" t="n">
        <f aca="false">'ANR OK vs ML7'!AR126</f>
        <v>0.1</v>
      </c>
      <c r="AS126" s="213" t="n">
        <f aca="false">IF(A127="","",1/(1+CHOOSE(F$3,(AR127+($I$3/10000))/2,(AR126+($I$3/10000))/2))^(2*AQ126/365.25))</f>
        <v>4.17692440192326</v>
      </c>
      <c r="AT126" s="137" t="n">
        <f aca="false">IF(A127="","",IF(AND(mthbeg&lt;=A126,mthend&gt;=A126),1,0))</f>
        <v>1</v>
      </c>
      <c r="AU126" s="137" t="n">
        <f aca="false">IF(A127="","",AO126*AT126)</f>
        <v>28</v>
      </c>
      <c r="AW126" s="195" t="e">
        <f aca="false">IF($A127="","",AL126*$E126)</f>
        <v>#NAME?</v>
      </c>
      <c r="AX126" s="195" t="e">
        <f aca="false">IF($A127="","",AM126*$E126)</f>
        <v>#N/A</v>
      </c>
      <c r="AY126" s="195" t="e">
        <f aca="false">IF($A127="","",AN126*$E126)</f>
        <v>#N/A</v>
      </c>
      <c r="BA126" s="195" t="n">
        <f aca="false">IF($A127="","",F126*Summary!$Q$11)</f>
        <v>0</v>
      </c>
      <c r="BC126" s="179" t="e">
        <f aca="false">IF(A127="","",AM126*F126)</f>
        <v>#N/A</v>
      </c>
    </row>
    <row r="127" customFormat="false" ht="12.75" hidden="false" customHeight="false" outlineLevel="0" collapsed="false">
      <c r="A127" s="196" t="n">
        <f aca="false">IF(A126&lt;mthend,EDATE(A126,1),"")</f>
        <v>40603</v>
      </c>
      <c r="B127" s="197" t="n">
        <f aca="false">IF(A127&lt;mthend,B126,"")</f>
        <v>124142</v>
      </c>
      <c r="C127" s="215"/>
      <c r="D127" s="197" t="n">
        <f aca="false">IF(A128&lt;&gt;"",B127+C127,"")</f>
        <v>124142</v>
      </c>
      <c r="E127" s="199" t="n">
        <f aca="false">IF(A128="","",IF(AND(AT127=1,$H$3=1),D127*AO127,IF($H$3=2,D127,"N/A")))</f>
        <v>3848402</v>
      </c>
      <c r="F127" s="199" t="n">
        <f aca="false">IF(A128="","",E127*AS127)</f>
        <v>15954687.8205613</v>
      </c>
      <c r="G127" s="200" t="e">
        <f aca="false">IF($A128="","",VLOOKUP($A127,Table,MATCH(G$4,Curves,0)))</f>
        <v>#N/A</v>
      </c>
      <c r="H127" s="201" t="e">
        <f aca="false">IF(A128="","",G127)</f>
        <v>#N/A</v>
      </c>
      <c r="I127" s="202"/>
      <c r="J127" s="200" t="e">
        <f aca="false">IF($A128="","",VLOOKUP($A127,Table,MATCH(J$4,Curves,0)))</f>
        <v>#N/A</v>
      </c>
      <c r="K127" s="201" t="e">
        <f aca="false">IF(A128="","",J127)</f>
        <v>#N/A</v>
      </c>
      <c r="L127" s="200" t="e">
        <f aca="false">IF($A128="","",VLOOKUP($A127,Table,MATCH(L$4,Curves,0)))</f>
        <v>#N/A</v>
      </c>
      <c r="M127" s="201" t="e">
        <f aca="false">IF(A128="","",L127)</f>
        <v>#N/A</v>
      </c>
      <c r="N127" s="203"/>
      <c r="O127" s="200" t="e">
        <f aca="false">IF(A128="","",L127+J127+G127)</f>
        <v>#N/A</v>
      </c>
      <c r="P127" s="200" t="e">
        <f aca="false">IF(A128="","",M127+K127+H127)</f>
        <v>#N/A</v>
      </c>
      <c r="Q127" s="204"/>
      <c r="R127" s="200" t="e">
        <f aca="false">IF($A128="","",VLOOKUP($A127,Table,MATCH(R$4,Curves,0)))</f>
        <v>#N/A</v>
      </c>
      <c r="S127" s="201" t="e">
        <f aca="false">IF(A128="","",R127)</f>
        <v>#N/A</v>
      </c>
      <c r="T127" s="185" t="n">
        <v>0</v>
      </c>
      <c r="U127" s="201" t="n">
        <f aca="false">IF(A128="","",T127)</f>
        <v>0</v>
      </c>
      <c r="V127" s="205" t="e">
        <f aca="false">IF($A128="","",IF(AND(MONTH(A127)&gt;3,MONTH(A127)&lt;11),(T127+R127+G127)*Summary!$T$11/(1-Summary!$T$11),(T127+R127+G127)*Summary!$U$11/(1-Summary!$U$11)))</f>
        <v>#N/A</v>
      </c>
      <c r="W127" s="202" t="e">
        <f aca="false">IF($A128="","",(T127+R127+G127+V127))</f>
        <v>#N/A</v>
      </c>
      <c r="X127" s="202" t="e">
        <f aca="false">IF($A128="","",(U127+S127+H127+V127))</f>
        <v>#N/A</v>
      </c>
      <c r="Y127" s="202"/>
      <c r="Z127" s="185" t="e">
        <f aca="false">IF($A128="","",VLOOKUP($A127,Table,MATCH(Z$4,Curves,0)))</f>
        <v>#N/A</v>
      </c>
      <c r="AA127" s="185" t="e">
        <f aca="false">IF($A128="","",VLOOKUP($A127,Table,MATCH(AA$4,Curves,0)))</f>
        <v>#N/A</v>
      </c>
      <c r="AB127" s="185" t="e">
        <f aca="false">SQRT((AA127^2*(A127-$D$3)+Z127^2*(DAY(EOMONTH(A127,0))/2))/AK127)</f>
        <v>#N/A</v>
      </c>
      <c r="AC127" s="185" t="e">
        <f aca="false">IF($A128="","",VLOOKUP($A127,Table,MATCH(AC$4,Curves,0)))</f>
        <v>#N/A</v>
      </c>
      <c r="AD127" s="185" t="e">
        <f aca="false">IF($A128="","",VLOOKUP($A127,Table,MATCH(AD$4,Curves,0)))</f>
        <v>#N/A</v>
      </c>
      <c r="AE127" s="185" t="e">
        <f aca="false">SQRT((AD127^2*(A127-$D$3)+AC127^2*(DAY(EOMONTH(A127,0))/2))/AK127)</f>
        <v>#N/A</v>
      </c>
      <c r="AF127" s="206" t="e">
        <f aca="false">((Summary!$N$11*(AA127*AD127)*(A127-$D$3))+(Summary!$M$11*Z127*AC127*(AJ127-EOMONTH(EDATE(A127,-1),0))))/(AK127*AB127*AE127)</f>
        <v>#N/A</v>
      </c>
      <c r="AG127" s="207" t="n">
        <f aca="false">IF($A128="","",Summary!$Q$11)</f>
        <v>0</v>
      </c>
      <c r="AH127" s="207" t="n">
        <f aca="false">IF($A128="","",IF(Summary!$R$11="Y",(VLOOKUP($A127,Summary!$AD$6:$AF$9,3)+'Escalating commodity'!G140),'Escalating commodity'!G140))</f>
        <v>0.00592396480156043</v>
      </c>
      <c r="AI127" s="207" t="n">
        <f aca="false">IF($A128="","",AH127)</f>
        <v>0.00592396480156043</v>
      </c>
      <c r="AJ127" s="208" t="n">
        <f aca="false">A127+DAY(EOMONTH(A127,0))/2-1</f>
        <v>40617.5</v>
      </c>
      <c r="AK127" s="209" t="n">
        <f aca="false">IF($A128="","",$A127-$E$1)</f>
        <v>-5323</v>
      </c>
      <c r="AL127" s="182" t="e">
        <f aca="false">IF($A128="","",SPRDOPT(P127,X127,AI127,0,AB127,AE127,AF127,AK127,$AJ$2,0))</f>
        <v>#NAME?</v>
      </c>
      <c r="AM127" s="210" t="e">
        <f aca="false">IF($A128="","",MAX(0,O127-W127-AI127))</f>
        <v>#N/A</v>
      </c>
      <c r="AN127" s="211" t="e">
        <f aca="false">IF($A128="","",AL127-AM127)</f>
        <v>#N/A</v>
      </c>
      <c r="AO127" s="137" t="n">
        <f aca="false">IF(A128="","",A128-A127)</f>
        <v>31</v>
      </c>
      <c r="AP127" s="212" t="n">
        <f aca="false">IF(A128="","",CHOOSE(F$3,A128+24,A127))</f>
        <v>40603</v>
      </c>
      <c r="AQ127" s="209" t="n">
        <f aca="false">IF(A128="","",AP127-$E$1)</f>
        <v>-5323</v>
      </c>
      <c r="AR127" s="185" t="n">
        <f aca="false">'ANR OK vs ML7'!AR127</f>
        <v>0.1</v>
      </c>
      <c r="AS127" s="213" t="n">
        <f aca="false">IF(A128="","",1/(1+CHOOSE(F$3,(AR128+($I$3/10000))/2,(AR127+($I$3/10000))/2))^(2*AQ127/365.25))</f>
        <v>4.14579553294102</v>
      </c>
      <c r="AT127" s="137" t="n">
        <f aca="false">IF(A128="","",IF(AND(mthbeg&lt;=A127,mthend&gt;=A127),1,0))</f>
        <v>1</v>
      </c>
      <c r="AU127" s="137" t="n">
        <f aca="false">IF(A128="","",AO127*AT127)</f>
        <v>31</v>
      </c>
      <c r="AW127" s="195" t="e">
        <f aca="false">IF($A128="","",AL127*$E127)</f>
        <v>#NAME?</v>
      </c>
      <c r="AX127" s="195" t="e">
        <f aca="false">IF($A128="","",AM127*$E127)</f>
        <v>#N/A</v>
      </c>
      <c r="AY127" s="195" t="e">
        <f aca="false">IF($A128="","",AN127*$E127)</f>
        <v>#N/A</v>
      </c>
      <c r="BA127" s="195" t="n">
        <f aca="false">IF($A128="","",F127*Summary!$Q$11)</f>
        <v>0</v>
      </c>
      <c r="BC127" s="179" t="e">
        <f aca="false">IF(A128="","",AM127*F127)</f>
        <v>#N/A</v>
      </c>
    </row>
    <row r="128" customFormat="false" ht="12.75" hidden="false" customHeight="false" outlineLevel="0" collapsed="false">
      <c r="A128" s="196" t="n">
        <f aca="false">IF(A127&lt;mthend,EDATE(A127,1),"")</f>
        <v>40634</v>
      </c>
      <c r="B128" s="197" t="n">
        <f aca="false">IF(A128&lt;mthend,B127,"")</f>
        <v>124142</v>
      </c>
      <c r="C128" s="215"/>
      <c r="D128" s="197" t="n">
        <f aca="false">IF(A129&lt;&gt;"",B128+C128,"")</f>
        <v>124142</v>
      </c>
      <c r="E128" s="199" t="n">
        <f aca="false">IF(A129="","",IF(AND(AT128=1,$H$3=1),D128*AO128,IF($H$3=2,D128,"N/A")))</f>
        <v>3724260</v>
      </c>
      <c r="F128" s="199" t="n">
        <f aca="false">IF(A129="","",E128*AS128)</f>
        <v>15312674.7231232</v>
      </c>
      <c r="G128" s="200" t="e">
        <f aca="false">IF($A129="","",VLOOKUP($A128,Table,MATCH(G$4,Curves,0)))</f>
        <v>#N/A</v>
      </c>
      <c r="H128" s="201" t="e">
        <f aca="false">IF(A129="","",G128)</f>
        <v>#N/A</v>
      </c>
      <c r="I128" s="202"/>
      <c r="J128" s="200" t="e">
        <f aca="false">IF($A129="","",VLOOKUP($A128,Table,MATCH(J$4,Curves,0)))</f>
        <v>#N/A</v>
      </c>
      <c r="K128" s="201" t="e">
        <f aca="false">IF(A129="","",J128)</f>
        <v>#N/A</v>
      </c>
      <c r="L128" s="200" t="e">
        <f aca="false">IF($A129="","",VLOOKUP($A128,Table,MATCH(L$4,Curves,0)))</f>
        <v>#N/A</v>
      </c>
      <c r="M128" s="201" t="e">
        <f aca="false">IF(A129="","",L128)</f>
        <v>#N/A</v>
      </c>
      <c r="N128" s="203"/>
      <c r="O128" s="200" t="e">
        <f aca="false">IF(A129="","",L128+J128+G128)</f>
        <v>#N/A</v>
      </c>
      <c r="P128" s="200" t="e">
        <f aca="false">IF(A129="","",M128+K128+H128)</f>
        <v>#N/A</v>
      </c>
      <c r="Q128" s="204"/>
      <c r="R128" s="200" t="e">
        <f aca="false">IF($A129="","",VLOOKUP($A128,Table,MATCH(R$4,Curves,0)))</f>
        <v>#N/A</v>
      </c>
      <c r="S128" s="201" t="e">
        <f aca="false">IF(A129="","",R128)</f>
        <v>#N/A</v>
      </c>
      <c r="T128" s="185" t="n">
        <v>0</v>
      </c>
      <c r="U128" s="201" t="n">
        <f aca="false">IF(A129="","",T128)</f>
        <v>0</v>
      </c>
      <c r="V128" s="205" t="e">
        <f aca="false">IF($A129="","",IF(AND(MONTH(A128)&gt;3,MONTH(A128)&lt;11),(T128+R128+G128)*Summary!$T$11/(1-Summary!$T$11),(T128+R128+G128)*Summary!$U$11/(1-Summary!$U$11)))</f>
        <v>#N/A</v>
      </c>
      <c r="W128" s="202" t="e">
        <f aca="false">IF($A129="","",(T128+R128+G128+V128))</f>
        <v>#N/A</v>
      </c>
      <c r="X128" s="202" t="e">
        <f aca="false">IF($A129="","",(U128+S128+H128+V128))</f>
        <v>#N/A</v>
      </c>
      <c r="Y128" s="202"/>
      <c r="Z128" s="185" t="e">
        <f aca="false">IF($A129="","",VLOOKUP($A128,Table,MATCH(Z$4,Curves,0)))</f>
        <v>#N/A</v>
      </c>
      <c r="AA128" s="185" t="e">
        <f aca="false">IF($A129="","",VLOOKUP($A128,Table,MATCH(AA$4,Curves,0)))</f>
        <v>#N/A</v>
      </c>
      <c r="AB128" s="185" t="e">
        <f aca="false">SQRT((AA128^2*(A128-$D$3)+Z128^2*(DAY(EOMONTH(A128,0))/2))/AK128)</f>
        <v>#N/A</v>
      </c>
      <c r="AC128" s="185" t="e">
        <f aca="false">IF($A129="","",VLOOKUP($A128,Table,MATCH(AC$4,Curves,0)))</f>
        <v>#N/A</v>
      </c>
      <c r="AD128" s="185" t="e">
        <f aca="false">IF($A129="","",VLOOKUP($A128,Table,MATCH(AD$4,Curves,0)))</f>
        <v>#N/A</v>
      </c>
      <c r="AE128" s="185" t="e">
        <f aca="false">SQRT((AD128^2*(A128-$D$3)+AC128^2*(DAY(EOMONTH(A128,0))/2))/AK128)</f>
        <v>#N/A</v>
      </c>
      <c r="AF128" s="206" t="e">
        <f aca="false">((Summary!$N$11*(AA128*AD128)*(A128-$D$3))+(Summary!$M$11*Z128*AC128*(AJ128-EOMONTH(EDATE(A128,-1),0))))/(AK128*AB128*AE128)</f>
        <v>#N/A</v>
      </c>
      <c r="AG128" s="207" t="n">
        <f aca="false">IF($A129="","",Summary!$Q$11)</f>
        <v>0</v>
      </c>
      <c r="AH128" s="207" t="n">
        <f aca="false">IF($A129="","",IF(Summary!$R$11="Y",(VLOOKUP($A128,Summary!$AD$6:$AF$9,3)+'Escalating commodity'!G141),'Escalating commodity'!G141))</f>
        <v>0.00592396480156043</v>
      </c>
      <c r="AI128" s="207" t="n">
        <f aca="false">IF($A129="","",AH128)</f>
        <v>0.00592396480156043</v>
      </c>
      <c r="AJ128" s="208" t="n">
        <f aca="false">A128+DAY(EOMONTH(A128,0))/2-1</f>
        <v>40648</v>
      </c>
      <c r="AK128" s="209" t="n">
        <f aca="false">IF($A129="","",$A128-$E$1)</f>
        <v>-5292</v>
      </c>
      <c r="AL128" s="182" t="e">
        <f aca="false">IF($A129="","",SPRDOPT(P128,X128,AI128,0,AB128,AE128,AF128,AK128,$AJ$2,0))</f>
        <v>#NAME?</v>
      </c>
      <c r="AM128" s="210" t="e">
        <f aca="false">IF($A129="","",MAX(0,O128-W128-AI128))</f>
        <v>#N/A</v>
      </c>
      <c r="AN128" s="211" t="e">
        <f aca="false">IF($A129="","",AL128-AM128)</f>
        <v>#N/A</v>
      </c>
      <c r="AO128" s="137" t="n">
        <f aca="false">IF(A129="","",A129-A128)</f>
        <v>30</v>
      </c>
      <c r="AP128" s="212" t="n">
        <f aca="false">IF(A129="","",CHOOSE(F$3,A129+24,A128))</f>
        <v>40634</v>
      </c>
      <c r="AQ128" s="209" t="n">
        <f aca="false">IF(A129="","",AP128-$E$1)</f>
        <v>-5292</v>
      </c>
      <c r="AR128" s="185" t="n">
        <f aca="false">'ANR OK vs ML7'!AR128</f>
        <v>0.1</v>
      </c>
      <c r="AS128" s="213" t="n">
        <f aca="false">IF(A129="","",1/(1+CHOOSE(F$3,(AR129+($I$3/10000))/2,(AR128+($I$3/10000))/2))^(2*AQ128/365.25))</f>
        <v>4.11160196203358</v>
      </c>
      <c r="AT128" s="137" t="n">
        <f aca="false">IF(A129="","",IF(AND(mthbeg&lt;=A128,mthend&gt;=A128),1,0))</f>
        <v>1</v>
      </c>
      <c r="AU128" s="137" t="n">
        <f aca="false">IF(A129="","",AO128*AT128)</f>
        <v>30</v>
      </c>
      <c r="AW128" s="195" t="e">
        <f aca="false">IF($A129="","",AL128*$E128)</f>
        <v>#NAME?</v>
      </c>
      <c r="AX128" s="195" t="e">
        <f aca="false">IF($A129="","",AM128*$E128)</f>
        <v>#N/A</v>
      </c>
      <c r="AY128" s="195" t="e">
        <f aca="false">IF($A129="","",AN128*$E128)</f>
        <v>#N/A</v>
      </c>
      <c r="BA128" s="195" t="n">
        <f aca="false">IF($A129="","",F128*Summary!$Q$11)</f>
        <v>0</v>
      </c>
      <c r="BC128" s="179" t="e">
        <f aca="false">IF(A129="","",AM128*F128)</f>
        <v>#N/A</v>
      </c>
    </row>
    <row r="129" customFormat="false" ht="12.75" hidden="false" customHeight="false" outlineLevel="0" collapsed="false">
      <c r="A129" s="196" t="n">
        <f aca="false">IF(A128&lt;mthend,EDATE(A128,1),"")</f>
        <v>40664</v>
      </c>
      <c r="B129" s="197" t="n">
        <f aca="false">IF(A129&lt;mthend,B128,"")</f>
        <v>124142</v>
      </c>
      <c r="C129" s="215"/>
      <c r="D129" s="197" t="n">
        <f aca="false">IF(A130&lt;&gt;"",B129+C129,"")</f>
        <v>124142</v>
      </c>
      <c r="E129" s="199" t="n">
        <f aca="false">IF(A130="","",IF(AND(AT129=1,$H$3=1),D129*AO129,IF($H$3=2,D129,"N/A")))</f>
        <v>3848402</v>
      </c>
      <c r="F129" s="199" t="n">
        <f aca="false">IF(A130="","",E129*AS129)</f>
        <v>15696784.9352581</v>
      </c>
      <c r="G129" s="200" t="e">
        <f aca="false">IF($A130="","",VLOOKUP($A129,Table,MATCH(G$4,Curves,0)))</f>
        <v>#N/A</v>
      </c>
      <c r="H129" s="201" t="e">
        <f aca="false">IF(A130="","",G129)</f>
        <v>#N/A</v>
      </c>
      <c r="I129" s="202"/>
      <c r="J129" s="200" t="e">
        <f aca="false">IF($A130="","",VLOOKUP($A129,Table,MATCH(J$4,Curves,0)))</f>
        <v>#N/A</v>
      </c>
      <c r="K129" s="201" t="e">
        <f aca="false">IF(A130="","",J129)</f>
        <v>#N/A</v>
      </c>
      <c r="L129" s="200" t="e">
        <f aca="false">IF($A130="","",VLOOKUP($A129,Table,MATCH(L$4,Curves,0)))</f>
        <v>#N/A</v>
      </c>
      <c r="M129" s="201" t="e">
        <f aca="false">IF(A130="","",L129)</f>
        <v>#N/A</v>
      </c>
      <c r="N129" s="203"/>
      <c r="O129" s="200" t="e">
        <f aca="false">IF(A130="","",L129+J129+G129)</f>
        <v>#N/A</v>
      </c>
      <c r="P129" s="200" t="e">
        <f aca="false">IF(A130="","",M129+K129+H129)</f>
        <v>#N/A</v>
      </c>
      <c r="Q129" s="204"/>
      <c r="R129" s="200" t="e">
        <f aca="false">IF($A130="","",VLOOKUP($A129,Table,MATCH(R$4,Curves,0)))</f>
        <v>#N/A</v>
      </c>
      <c r="S129" s="201" t="e">
        <f aca="false">IF(A130="","",R129)</f>
        <v>#N/A</v>
      </c>
      <c r="T129" s="185" t="n">
        <v>0</v>
      </c>
      <c r="U129" s="201" t="n">
        <f aca="false">IF(A130="","",T129)</f>
        <v>0</v>
      </c>
      <c r="V129" s="205" t="e">
        <f aca="false">IF($A130="","",IF(AND(MONTH(A129)&gt;3,MONTH(A129)&lt;11),(T129+R129+G129)*Summary!$T$11/(1-Summary!$T$11),(T129+R129+G129)*Summary!$U$11/(1-Summary!$U$11)))</f>
        <v>#N/A</v>
      </c>
      <c r="W129" s="202" t="e">
        <f aca="false">IF($A130="","",(T129+R129+G129+V129))</f>
        <v>#N/A</v>
      </c>
      <c r="X129" s="202" t="e">
        <f aca="false">IF($A130="","",(U129+S129+H129+V129))</f>
        <v>#N/A</v>
      </c>
      <c r="Y129" s="202"/>
      <c r="Z129" s="185" t="e">
        <f aca="false">IF($A130="","",VLOOKUP($A129,Table,MATCH(Z$4,Curves,0)))</f>
        <v>#N/A</v>
      </c>
      <c r="AA129" s="185" t="e">
        <f aca="false">IF($A130="","",VLOOKUP($A129,Table,MATCH(AA$4,Curves,0)))</f>
        <v>#N/A</v>
      </c>
      <c r="AB129" s="185" t="e">
        <f aca="false">SQRT((AA129^2*(A129-$D$3)+Z129^2*(DAY(EOMONTH(A129,0))/2))/AK129)</f>
        <v>#N/A</v>
      </c>
      <c r="AC129" s="185" t="e">
        <f aca="false">IF($A130="","",VLOOKUP($A129,Table,MATCH(AC$4,Curves,0)))</f>
        <v>#N/A</v>
      </c>
      <c r="AD129" s="185" t="e">
        <f aca="false">IF($A130="","",VLOOKUP($A129,Table,MATCH(AD$4,Curves,0)))</f>
        <v>#N/A</v>
      </c>
      <c r="AE129" s="185" t="e">
        <f aca="false">SQRT((AD129^2*(A129-$D$3)+AC129^2*(DAY(EOMONTH(A129,0))/2))/AK129)</f>
        <v>#N/A</v>
      </c>
      <c r="AF129" s="206" t="e">
        <f aca="false">((Summary!$N$11*(AA129*AD129)*(A129-$D$3))+(Summary!$M$11*Z129*AC129*(AJ129-EOMONTH(EDATE(A129,-1),0))))/(AK129*AB129*AE129)</f>
        <v>#N/A</v>
      </c>
      <c r="AG129" s="207" t="n">
        <f aca="false">IF($A130="","",Summary!$Q$11)</f>
        <v>0</v>
      </c>
      <c r="AH129" s="207" t="n">
        <f aca="false">IF($A130="","",IF(Summary!$R$11="Y",(VLOOKUP($A129,Summary!$AD$6:$AF$9,3)+'Escalating commodity'!G142),'Escalating commodity'!G142))</f>
        <v>0.00592396480156043</v>
      </c>
      <c r="AI129" s="207" t="n">
        <f aca="false">IF($A130="","",AH129)</f>
        <v>0.00592396480156043</v>
      </c>
      <c r="AJ129" s="208" t="n">
        <f aca="false">A129+DAY(EOMONTH(A129,0))/2-1</f>
        <v>40678.5</v>
      </c>
      <c r="AK129" s="209" t="n">
        <f aca="false">IF($A130="","",$A129-$E$1)</f>
        <v>-5262</v>
      </c>
      <c r="AL129" s="182" t="e">
        <f aca="false">IF($A130="","",SPRDOPT(P129,X129,AI129,0,AB129,AE129,AF129,AK129,$AJ$2,0))</f>
        <v>#NAME?</v>
      </c>
      <c r="AM129" s="210" t="e">
        <f aca="false">IF($A130="","",MAX(0,O129-W129-AI129))</f>
        <v>#N/A</v>
      </c>
      <c r="AN129" s="211" t="e">
        <f aca="false">IF($A130="","",AL129-AM129)</f>
        <v>#N/A</v>
      </c>
      <c r="AO129" s="137" t="n">
        <f aca="false">IF(A130="","",A130-A129)</f>
        <v>31</v>
      </c>
      <c r="AP129" s="212" t="n">
        <f aca="false">IF(A130="","",CHOOSE(F$3,A130+24,A129))</f>
        <v>40664</v>
      </c>
      <c r="AQ129" s="209" t="n">
        <f aca="false">IF(A130="","",AP129-$E$1)</f>
        <v>-5262</v>
      </c>
      <c r="AR129" s="185" t="n">
        <f aca="false">'ANR OK vs ML7'!AR129</f>
        <v>0.1</v>
      </c>
      <c r="AS129" s="213" t="n">
        <f aca="false">IF(A130="","",1/(1+CHOOSE(F$3,(AR130+($I$3/10000))/2,(AR129+($I$3/10000))/2))^(2*AQ129/365.25))</f>
        <v>4.07877995470799</v>
      </c>
      <c r="AT129" s="137" t="n">
        <f aca="false">IF(A130="","",IF(AND(mthbeg&lt;=A129,mthend&gt;=A129),1,0))</f>
        <v>1</v>
      </c>
      <c r="AU129" s="137" t="n">
        <f aca="false">IF(A130="","",AO129*AT129)</f>
        <v>31</v>
      </c>
      <c r="AW129" s="195" t="e">
        <f aca="false">IF($A130="","",AL129*$E129)</f>
        <v>#NAME?</v>
      </c>
      <c r="AX129" s="195" t="e">
        <f aca="false">IF($A130="","",AM129*$E129)</f>
        <v>#N/A</v>
      </c>
      <c r="AY129" s="195" t="e">
        <f aca="false">IF($A130="","",AN129*$E129)</f>
        <v>#N/A</v>
      </c>
      <c r="BA129" s="195" t="n">
        <f aca="false">IF($A130="","",F129*Summary!$Q$11)</f>
        <v>0</v>
      </c>
      <c r="BC129" s="179" t="e">
        <f aca="false">IF(A130="","",AM129*F129)</f>
        <v>#N/A</v>
      </c>
    </row>
    <row r="130" customFormat="false" ht="12.75" hidden="false" customHeight="false" outlineLevel="0" collapsed="false">
      <c r="A130" s="196" t="n">
        <f aca="false">IF(A129&lt;mthend,EDATE(A129,1),"")</f>
        <v>40695</v>
      </c>
      <c r="B130" s="197" t="n">
        <f aca="false">IF(A130&lt;mthend,B129,"")</f>
        <v>124142</v>
      </c>
      <c r="C130" s="215"/>
      <c r="D130" s="197" t="n">
        <f aca="false">IF(A131&lt;&gt;"",B130+C130,"")</f>
        <v>124142</v>
      </c>
      <c r="E130" s="199" t="n">
        <f aca="false">IF(A131="","",IF(AND(AT130=1,$H$3=1),D130*AO130,IF($H$3=2,D130,"N/A")))</f>
        <v>3724260</v>
      </c>
      <c r="F130" s="199" t="n">
        <f aca="false">IF(A131="","",E130*AS130)</f>
        <v>15065149.7926941</v>
      </c>
      <c r="G130" s="200" t="e">
        <f aca="false">IF($A131="","",VLOOKUP($A130,Table,MATCH(G$4,Curves,0)))</f>
        <v>#N/A</v>
      </c>
      <c r="H130" s="201" t="e">
        <f aca="false">IF(A131="","",G130)</f>
        <v>#N/A</v>
      </c>
      <c r="I130" s="202"/>
      <c r="J130" s="200" t="e">
        <f aca="false">IF($A131="","",VLOOKUP($A130,Table,MATCH(J$4,Curves,0)))</f>
        <v>#N/A</v>
      </c>
      <c r="K130" s="201" t="e">
        <f aca="false">IF(A131="","",J130)</f>
        <v>#N/A</v>
      </c>
      <c r="L130" s="200" t="e">
        <f aca="false">IF($A131="","",VLOOKUP($A130,Table,MATCH(L$4,Curves,0)))</f>
        <v>#N/A</v>
      </c>
      <c r="M130" s="201" t="e">
        <f aca="false">IF(A131="","",L130)</f>
        <v>#N/A</v>
      </c>
      <c r="N130" s="203"/>
      <c r="O130" s="200" t="e">
        <f aca="false">IF(A131="","",L130+J130+G130)</f>
        <v>#N/A</v>
      </c>
      <c r="P130" s="200" t="e">
        <f aca="false">IF(A131="","",M130+K130+H130)</f>
        <v>#N/A</v>
      </c>
      <c r="Q130" s="204"/>
      <c r="R130" s="200" t="e">
        <f aca="false">IF($A131="","",VLOOKUP($A130,Table,MATCH(R$4,Curves,0)))</f>
        <v>#N/A</v>
      </c>
      <c r="S130" s="201" t="e">
        <f aca="false">IF(A131="","",R130)</f>
        <v>#N/A</v>
      </c>
      <c r="T130" s="185" t="n">
        <v>0</v>
      </c>
      <c r="U130" s="201" t="n">
        <f aca="false">IF(A131="","",T130)</f>
        <v>0</v>
      </c>
      <c r="V130" s="205" t="e">
        <f aca="false">IF($A131="","",IF(AND(MONTH(A130)&gt;3,MONTH(A130)&lt;11),(T130+R130+G130)*Summary!$T$11/(1-Summary!$T$11),(T130+R130+G130)*Summary!$U$11/(1-Summary!$U$11)))</f>
        <v>#N/A</v>
      </c>
      <c r="W130" s="202" t="e">
        <f aca="false">IF($A131="","",(T130+R130+G130+V130))</f>
        <v>#N/A</v>
      </c>
      <c r="X130" s="202" t="e">
        <f aca="false">IF($A131="","",(U130+S130+H130+V130))</f>
        <v>#N/A</v>
      </c>
      <c r="Y130" s="202"/>
      <c r="Z130" s="185" t="e">
        <f aca="false">IF($A131="","",VLOOKUP($A130,Table,MATCH(Z$4,Curves,0)))</f>
        <v>#N/A</v>
      </c>
      <c r="AA130" s="185" t="e">
        <f aca="false">IF($A131="","",VLOOKUP($A130,Table,MATCH(AA$4,Curves,0)))</f>
        <v>#N/A</v>
      </c>
      <c r="AB130" s="185" t="e">
        <f aca="false">SQRT((AA130^2*(A130-$D$3)+Z130^2*(DAY(EOMONTH(A130,0))/2))/AK130)</f>
        <v>#N/A</v>
      </c>
      <c r="AC130" s="185" t="e">
        <f aca="false">IF($A131="","",VLOOKUP($A130,Table,MATCH(AC$4,Curves,0)))</f>
        <v>#N/A</v>
      </c>
      <c r="AD130" s="185" t="e">
        <f aca="false">IF($A131="","",VLOOKUP($A130,Table,MATCH(AD$4,Curves,0)))</f>
        <v>#N/A</v>
      </c>
      <c r="AE130" s="185" t="e">
        <f aca="false">SQRT((AD130^2*(A130-$D$3)+AC130^2*(DAY(EOMONTH(A130,0))/2))/AK130)</f>
        <v>#N/A</v>
      </c>
      <c r="AF130" s="206" t="e">
        <f aca="false">((Summary!$N$11*(AA130*AD130)*(A130-$D$3))+(Summary!$M$11*Z130*AC130*(AJ130-EOMONTH(EDATE(A130,-1),0))))/(AK130*AB130*AE130)</f>
        <v>#N/A</v>
      </c>
      <c r="AG130" s="207" t="n">
        <f aca="false">IF($A131="","",Summary!$Q$11)</f>
        <v>0</v>
      </c>
      <c r="AH130" s="207" t="n">
        <f aca="false">IF($A131="","",IF(Summary!$R$11="Y",(VLOOKUP($A130,Summary!$AD$6:$AF$9,3)+'Escalating commodity'!G143),'Escalating commodity'!G143))</f>
        <v>0.00592396480156043</v>
      </c>
      <c r="AI130" s="207" t="n">
        <f aca="false">IF($A131="","",AH130)</f>
        <v>0.00592396480156043</v>
      </c>
      <c r="AJ130" s="208" t="n">
        <f aca="false">A130+DAY(EOMONTH(A130,0))/2-1</f>
        <v>40709</v>
      </c>
      <c r="AK130" s="209" t="n">
        <f aca="false">IF($A131="","",$A130-$E$1)</f>
        <v>-5231</v>
      </c>
      <c r="AL130" s="182" t="e">
        <f aca="false">IF($A131="","",SPRDOPT(P130,X130,AI130,0,AB130,AE130,AF130,AK130,$AJ$2,0))</f>
        <v>#NAME?</v>
      </c>
      <c r="AM130" s="210" t="e">
        <f aca="false">IF($A131="","",MAX(0,O130-W130-AI130))</f>
        <v>#N/A</v>
      </c>
      <c r="AN130" s="211" t="e">
        <f aca="false">IF($A131="","",AL130-AM130)</f>
        <v>#N/A</v>
      </c>
      <c r="AO130" s="137" t="n">
        <f aca="false">IF(A131="","",A131-A130)</f>
        <v>30</v>
      </c>
      <c r="AP130" s="212" t="n">
        <f aca="false">IF(A131="","",CHOOSE(F$3,A131+24,A130))</f>
        <v>40695</v>
      </c>
      <c r="AQ130" s="209" t="n">
        <f aca="false">IF(A131="","",AP130-$E$1)</f>
        <v>-5231</v>
      </c>
      <c r="AR130" s="185" t="n">
        <f aca="false">'ANR OK vs ML7'!AR130</f>
        <v>0.1</v>
      </c>
      <c r="AS130" s="213" t="n">
        <f aca="false">IF(A131="","",1/(1+CHOOSE(F$3,(AR131+($I$3/10000))/2,(AR130+($I$3/10000))/2))^(2*AQ130/365.25))</f>
        <v>4.04513911292286</v>
      </c>
      <c r="AT130" s="137" t="n">
        <f aca="false">IF(A131="","",IF(AND(mthbeg&lt;=A130,mthend&gt;=A130),1,0))</f>
        <v>1</v>
      </c>
      <c r="AU130" s="137" t="n">
        <f aca="false">IF(A131="","",AO130*AT130)</f>
        <v>30</v>
      </c>
      <c r="AW130" s="195" t="e">
        <f aca="false">IF($A131="","",AL130*$E130)</f>
        <v>#NAME?</v>
      </c>
      <c r="AX130" s="195" t="e">
        <f aca="false">IF($A131="","",AM130*$E130)</f>
        <v>#N/A</v>
      </c>
      <c r="AY130" s="195" t="e">
        <f aca="false">IF($A131="","",AN130*$E130)</f>
        <v>#N/A</v>
      </c>
      <c r="BA130" s="195" t="n">
        <f aca="false">IF($A131="","",F130*Summary!$Q$11)</f>
        <v>0</v>
      </c>
      <c r="BC130" s="179" t="e">
        <f aca="false">IF(A131="","",AM130*F130)</f>
        <v>#N/A</v>
      </c>
    </row>
    <row r="131" customFormat="false" ht="12.75" hidden="false" customHeight="false" outlineLevel="0" collapsed="false">
      <c r="A131" s="196" t="n">
        <f aca="false">IF(A130&lt;mthend,EDATE(A130,1),"")</f>
        <v>40725</v>
      </c>
      <c r="B131" s="197" t="n">
        <f aca="false">IF(A131&lt;mthend,B130,"")</f>
        <v>124142</v>
      </c>
      <c r="C131" s="215"/>
      <c r="D131" s="197" t="n">
        <f aca="false">IF(A132&lt;&gt;"",B131+C131,"")</f>
        <v>124142</v>
      </c>
      <c r="E131" s="199" t="n">
        <f aca="false">IF(A132="","",IF(AND(AT131=1,$H$3=1),D131*AO131,IF($H$3=2,D131,"N/A")))</f>
        <v>3848402</v>
      </c>
      <c r="F131" s="199" t="n">
        <f aca="false">IF(A132="","",E131*AS131)</f>
        <v>15443050.975038</v>
      </c>
      <c r="G131" s="200" t="e">
        <f aca="false">IF($A132="","",VLOOKUP($A131,Table,MATCH(G$4,Curves,0)))</f>
        <v>#N/A</v>
      </c>
      <c r="H131" s="201" t="e">
        <f aca="false">IF(A132="","",G131)</f>
        <v>#N/A</v>
      </c>
      <c r="I131" s="202"/>
      <c r="J131" s="200" t="e">
        <f aca="false">IF($A132="","",VLOOKUP($A131,Table,MATCH(J$4,Curves,0)))</f>
        <v>#N/A</v>
      </c>
      <c r="K131" s="201" t="e">
        <f aca="false">IF(A132="","",J131)</f>
        <v>#N/A</v>
      </c>
      <c r="L131" s="200" t="e">
        <f aca="false">IF($A132="","",VLOOKUP($A131,Table,MATCH(L$4,Curves,0)))</f>
        <v>#N/A</v>
      </c>
      <c r="M131" s="201" t="e">
        <f aca="false">IF(A132="","",L131)</f>
        <v>#N/A</v>
      </c>
      <c r="N131" s="203"/>
      <c r="O131" s="200" t="e">
        <f aca="false">IF(A132="","",L131+J131+G131)</f>
        <v>#N/A</v>
      </c>
      <c r="P131" s="200" t="e">
        <f aca="false">IF(A132="","",M131+K131+H131)</f>
        <v>#N/A</v>
      </c>
      <c r="Q131" s="204"/>
      <c r="R131" s="200" t="e">
        <f aca="false">IF($A132="","",VLOOKUP($A131,Table,MATCH(R$4,Curves,0)))</f>
        <v>#N/A</v>
      </c>
      <c r="S131" s="201" t="e">
        <f aca="false">IF(A132="","",R131)</f>
        <v>#N/A</v>
      </c>
      <c r="T131" s="185" t="n">
        <v>0</v>
      </c>
      <c r="U131" s="201" t="n">
        <f aca="false">IF(A132="","",T131)</f>
        <v>0</v>
      </c>
      <c r="V131" s="205" t="e">
        <f aca="false">IF($A132="","",IF(AND(MONTH(A131)&gt;3,MONTH(A131)&lt;11),(T131+R131+G131)*Summary!$T$11/(1-Summary!$T$11),(T131+R131+G131)*Summary!$U$11/(1-Summary!$U$11)))</f>
        <v>#N/A</v>
      </c>
      <c r="W131" s="202" t="e">
        <f aca="false">IF($A132="","",(T131+R131+G131+V131))</f>
        <v>#N/A</v>
      </c>
      <c r="X131" s="202" t="e">
        <f aca="false">IF($A132="","",(U131+S131+H131+V131))</f>
        <v>#N/A</v>
      </c>
      <c r="Y131" s="202"/>
      <c r="Z131" s="185" t="e">
        <f aca="false">IF($A132="","",VLOOKUP($A131,Table,MATCH(Z$4,Curves,0)))</f>
        <v>#N/A</v>
      </c>
      <c r="AA131" s="185" t="e">
        <f aca="false">IF($A132="","",VLOOKUP($A131,Table,MATCH(AA$4,Curves,0)))</f>
        <v>#N/A</v>
      </c>
      <c r="AB131" s="185" t="e">
        <f aca="false">SQRT((AA131^2*(A131-$D$3)+Z131^2*(DAY(EOMONTH(A131,0))/2))/AK131)</f>
        <v>#N/A</v>
      </c>
      <c r="AC131" s="185" t="e">
        <f aca="false">IF($A132="","",VLOOKUP($A131,Table,MATCH(AC$4,Curves,0)))</f>
        <v>#N/A</v>
      </c>
      <c r="AD131" s="185" t="e">
        <f aca="false">IF($A132="","",VLOOKUP($A131,Table,MATCH(AD$4,Curves,0)))</f>
        <v>#N/A</v>
      </c>
      <c r="AE131" s="185" t="e">
        <f aca="false">SQRT((AD131^2*(A131-$D$3)+AC131^2*(DAY(EOMONTH(A131,0))/2))/AK131)</f>
        <v>#N/A</v>
      </c>
      <c r="AF131" s="206" t="e">
        <f aca="false">((Summary!$N$11*(AA131*AD131)*(A131-$D$3))+(Summary!$M$11*Z131*AC131*(AJ131-EOMONTH(EDATE(A131,-1),0))))/(AK131*AB131*AE131)</f>
        <v>#N/A</v>
      </c>
      <c r="AG131" s="207" t="n">
        <f aca="false">IF($A132="","",Summary!$Q$11)</f>
        <v>0</v>
      </c>
      <c r="AH131" s="207" t="n">
        <f aca="false">IF($A132="","",IF(Summary!$R$11="Y",(VLOOKUP($A131,Summary!$AD$6:$AF$9,3)+'Escalating commodity'!G144),'Escalating commodity'!G144))</f>
        <v>0.00592396480156043</v>
      </c>
      <c r="AI131" s="207" t="n">
        <f aca="false">IF($A132="","",AH131)</f>
        <v>0.00592396480156043</v>
      </c>
      <c r="AJ131" s="208" t="n">
        <f aca="false">A131+DAY(EOMONTH(A131,0))/2-1</f>
        <v>40739.5</v>
      </c>
      <c r="AK131" s="209" t="n">
        <f aca="false">IF($A132="","",$A131-$E$1)</f>
        <v>-5201</v>
      </c>
      <c r="AL131" s="182" t="e">
        <f aca="false">IF($A132="","",SPRDOPT(P131,X131,AI131,0,AB131,AE131,AF131,AK131,$AJ$2,0))</f>
        <v>#NAME?</v>
      </c>
      <c r="AM131" s="210" t="e">
        <f aca="false">IF($A132="","",MAX(0,O131-W131-AI131))</f>
        <v>#N/A</v>
      </c>
      <c r="AN131" s="211" t="e">
        <f aca="false">IF($A132="","",AL131-AM131)</f>
        <v>#N/A</v>
      </c>
      <c r="AO131" s="137" t="n">
        <f aca="false">IF(A132="","",A132-A131)</f>
        <v>31</v>
      </c>
      <c r="AP131" s="212" t="n">
        <f aca="false">IF(A132="","",CHOOSE(F$3,A132+24,A131))</f>
        <v>40725</v>
      </c>
      <c r="AQ131" s="209" t="n">
        <f aca="false">IF(A132="","",AP131-$E$1)</f>
        <v>-5201</v>
      </c>
      <c r="AR131" s="185" t="n">
        <f aca="false">'ANR OK vs ML7'!AR131</f>
        <v>0.1</v>
      </c>
      <c r="AS131" s="213" t="n">
        <f aca="false">IF(A132="","",1/(1+CHOOSE(F$3,(AR132+($I$3/10000))/2,(AR131+($I$3/10000))/2))^(2*AQ131/365.25))</f>
        <v>4.01284766379345</v>
      </c>
      <c r="AT131" s="137" t="n">
        <f aca="false">IF(A132="","",IF(AND(mthbeg&lt;=A131,mthend&gt;=A131),1,0))</f>
        <v>1</v>
      </c>
      <c r="AU131" s="137" t="n">
        <f aca="false">IF(A132="","",AO131*AT131)</f>
        <v>31</v>
      </c>
      <c r="AW131" s="195" t="e">
        <f aca="false">IF($A132="","",AL131*$E131)</f>
        <v>#NAME?</v>
      </c>
      <c r="AX131" s="195" t="e">
        <f aca="false">IF($A132="","",AM131*$E131)</f>
        <v>#N/A</v>
      </c>
      <c r="AY131" s="195" t="e">
        <f aca="false">IF($A132="","",AN131*$E131)</f>
        <v>#N/A</v>
      </c>
      <c r="BA131" s="195" t="n">
        <f aca="false">IF($A132="","",F131*Summary!$Q$11)</f>
        <v>0</v>
      </c>
      <c r="BC131" s="179" t="e">
        <f aca="false">IF(A132="","",AM131*F131)</f>
        <v>#N/A</v>
      </c>
    </row>
    <row r="132" customFormat="false" ht="12.75" hidden="false" customHeight="false" outlineLevel="0" collapsed="false">
      <c r="A132" s="196" t="n">
        <f aca="false">IF(A131&lt;mthend,EDATE(A131,1),"")</f>
        <v>40756</v>
      </c>
      <c r="B132" s="197" t="n">
        <f aca="false">IF(A132&lt;mthend,B131,"")</f>
        <v>124142</v>
      </c>
      <c r="C132" s="215"/>
      <c r="D132" s="197" t="n">
        <f aca="false">IF(A133&lt;&gt;"",B132+C132,"")</f>
        <v>124142</v>
      </c>
      <c r="E132" s="199" t="n">
        <f aca="false">IF(A133="","",IF(AND(AT132=1,$H$3=1),D132*AO132,IF($H$3=2,D132,"N/A")))</f>
        <v>3848402</v>
      </c>
      <c r="F132" s="199" t="n">
        <f aca="false">IF(A133="","",E132*AS132)</f>
        <v>15315680.2317521</v>
      </c>
      <c r="G132" s="200" t="e">
        <f aca="false">IF($A133="","",VLOOKUP($A132,Table,MATCH(G$4,Curves,0)))</f>
        <v>#N/A</v>
      </c>
      <c r="H132" s="201" t="e">
        <f aca="false">IF(A133="","",G132)</f>
        <v>#N/A</v>
      </c>
      <c r="I132" s="202"/>
      <c r="J132" s="200" t="e">
        <f aca="false">IF($A133="","",VLOOKUP($A132,Table,MATCH(J$4,Curves,0)))</f>
        <v>#N/A</v>
      </c>
      <c r="K132" s="201" t="e">
        <f aca="false">IF(A133="","",J132)</f>
        <v>#N/A</v>
      </c>
      <c r="L132" s="200" t="e">
        <f aca="false">IF($A133="","",VLOOKUP($A132,Table,MATCH(L$4,Curves,0)))</f>
        <v>#N/A</v>
      </c>
      <c r="M132" s="201" t="e">
        <f aca="false">IF(A133="","",L132)</f>
        <v>#N/A</v>
      </c>
      <c r="N132" s="203"/>
      <c r="O132" s="200" t="e">
        <f aca="false">IF(A133="","",L132+J132+G132)</f>
        <v>#N/A</v>
      </c>
      <c r="P132" s="200" t="e">
        <f aca="false">IF(A133="","",M132+K132+H132)</f>
        <v>#N/A</v>
      </c>
      <c r="Q132" s="204"/>
      <c r="R132" s="200" t="e">
        <f aca="false">IF($A133="","",VLOOKUP($A132,Table,MATCH(R$4,Curves,0)))</f>
        <v>#N/A</v>
      </c>
      <c r="S132" s="201" t="e">
        <f aca="false">IF(A133="","",R132)</f>
        <v>#N/A</v>
      </c>
      <c r="T132" s="185" t="n">
        <v>0</v>
      </c>
      <c r="U132" s="201" t="n">
        <f aca="false">IF(A133="","",T132)</f>
        <v>0</v>
      </c>
      <c r="V132" s="205" t="e">
        <f aca="false">IF($A133="","",IF(AND(MONTH(A132)&gt;3,MONTH(A132)&lt;11),(T132+R132+G132)*Summary!$T$11/(1-Summary!$T$11),(T132+R132+G132)*Summary!$U$11/(1-Summary!$U$11)))</f>
        <v>#N/A</v>
      </c>
      <c r="W132" s="202" t="e">
        <f aca="false">IF($A133="","",(T132+R132+G132+V132))</f>
        <v>#N/A</v>
      </c>
      <c r="X132" s="202" t="e">
        <f aca="false">IF($A133="","",(U132+S132+H132+V132))</f>
        <v>#N/A</v>
      </c>
      <c r="Y132" s="202"/>
      <c r="Z132" s="185" t="e">
        <f aca="false">IF($A133="","",VLOOKUP($A132,Table,MATCH(Z$4,Curves,0)))</f>
        <v>#N/A</v>
      </c>
      <c r="AA132" s="185" t="e">
        <f aca="false">IF($A133="","",VLOOKUP($A132,Table,MATCH(AA$4,Curves,0)))</f>
        <v>#N/A</v>
      </c>
      <c r="AB132" s="185" t="e">
        <f aca="false">SQRT((AA132^2*(A132-$D$3)+Z132^2*(DAY(EOMONTH(A132,0))/2))/AK132)</f>
        <v>#N/A</v>
      </c>
      <c r="AC132" s="185" t="e">
        <f aca="false">IF($A133="","",VLOOKUP($A132,Table,MATCH(AC$4,Curves,0)))</f>
        <v>#N/A</v>
      </c>
      <c r="AD132" s="185" t="e">
        <f aca="false">IF($A133="","",VLOOKUP($A132,Table,MATCH(AD$4,Curves,0)))</f>
        <v>#N/A</v>
      </c>
      <c r="AE132" s="185" t="e">
        <f aca="false">SQRT((AD132^2*(A132-$D$3)+AC132^2*(DAY(EOMONTH(A132,0))/2))/AK132)</f>
        <v>#N/A</v>
      </c>
      <c r="AF132" s="206" t="e">
        <f aca="false">((Summary!$N$11*(AA132*AD132)*(A132-$D$3))+(Summary!$M$11*Z132*AC132*(AJ132-EOMONTH(EDATE(A132,-1),0))))/(AK132*AB132*AE132)</f>
        <v>#N/A</v>
      </c>
      <c r="AG132" s="207" t="n">
        <f aca="false">IF($A133="","",Summary!$Q$11)</f>
        <v>0</v>
      </c>
      <c r="AH132" s="207" t="n">
        <f aca="false">IF($A133="","",IF(Summary!$R$11="Y",(VLOOKUP($A132,Summary!$AD$6:$AF$9,3)+'Escalating commodity'!G145),'Escalating commodity'!G145))</f>
        <v>0.00592396480156043</v>
      </c>
      <c r="AI132" s="207" t="n">
        <f aca="false">IF($A133="","",AH132)</f>
        <v>0.00592396480156043</v>
      </c>
      <c r="AJ132" s="208" t="n">
        <f aca="false">A132+DAY(EOMONTH(A132,0))/2-1</f>
        <v>40770.5</v>
      </c>
      <c r="AK132" s="209" t="n">
        <f aca="false">IF($A133="","",$A132-$E$1)</f>
        <v>-5170</v>
      </c>
      <c r="AL132" s="182" t="e">
        <f aca="false">IF($A133="","",SPRDOPT(P132,X132,AI132,0,AB132,AE132,AF132,AK132,$AJ$2,0))</f>
        <v>#NAME?</v>
      </c>
      <c r="AM132" s="210" t="e">
        <f aca="false">IF($A133="","",MAX(0,O132-W132-AI132))</f>
        <v>#N/A</v>
      </c>
      <c r="AN132" s="211" t="e">
        <f aca="false">IF($A133="","",AL132-AM132)</f>
        <v>#N/A</v>
      </c>
      <c r="AO132" s="137" t="n">
        <f aca="false">IF(A133="","",A133-A132)</f>
        <v>31</v>
      </c>
      <c r="AP132" s="212" t="n">
        <f aca="false">IF(A133="","",CHOOSE(F$3,A133+24,A132))</f>
        <v>40756</v>
      </c>
      <c r="AQ132" s="209" t="n">
        <f aca="false">IF(A133="","",AP132-$E$1)</f>
        <v>-5170</v>
      </c>
      <c r="AR132" s="185" t="n">
        <f aca="false">'ANR OK vs ML7'!AR132</f>
        <v>0.1</v>
      </c>
      <c r="AS132" s="213" t="n">
        <f aca="false">IF(A133="","",1/(1+CHOOSE(F$3,(AR133+($I$3/10000))/2,(AR132+($I$3/10000))/2))^(2*AQ132/365.25))</f>
        <v>3.97975061642524</v>
      </c>
      <c r="AT132" s="137" t="n">
        <f aca="false">IF(A133="","",IF(AND(mthbeg&lt;=A132,mthend&gt;=A132),1,0))</f>
        <v>1</v>
      </c>
      <c r="AU132" s="137" t="n">
        <f aca="false">IF(A133="","",AO132*AT132)</f>
        <v>31</v>
      </c>
      <c r="AW132" s="195" t="e">
        <f aca="false">IF($A133="","",AL132*$E132)</f>
        <v>#NAME?</v>
      </c>
      <c r="AX132" s="195" t="e">
        <f aca="false">IF($A133="","",AM132*$E132)</f>
        <v>#N/A</v>
      </c>
      <c r="AY132" s="195" t="e">
        <f aca="false">IF($A133="","",AN132*$E132)</f>
        <v>#N/A</v>
      </c>
      <c r="BA132" s="195" t="n">
        <f aca="false">IF($A133="","",F132*Summary!$Q$11)</f>
        <v>0</v>
      </c>
      <c r="BC132" s="179" t="e">
        <f aca="false">IF(A133="","",AM132*F132)</f>
        <v>#N/A</v>
      </c>
    </row>
    <row r="133" customFormat="false" ht="12.75" hidden="false" customHeight="false" outlineLevel="0" collapsed="false">
      <c r="A133" s="196" t="n">
        <f aca="false">IF(A132&lt;mthend,EDATE(A132,1),"")</f>
        <v>40787</v>
      </c>
      <c r="B133" s="197" t="n">
        <f aca="false">IF(A133&lt;mthend,B132,"")</f>
        <v>124142</v>
      </c>
      <c r="C133" s="215"/>
      <c r="D133" s="197" t="n">
        <f aca="false">IF(A134&lt;&gt;"",B133+C133,"")</f>
        <v>124142</v>
      </c>
      <c r="E133" s="199" t="n">
        <f aca="false">IF(A134="","",IF(AND(AT133=1,$H$3=1),D133*AO133,IF($H$3=2,D133,"N/A")))</f>
        <v>3724260</v>
      </c>
      <c r="F133" s="199" t="n">
        <f aca="false">IF(A134="","",E133*AS133)</f>
        <v>14699380.6578873</v>
      </c>
      <c r="G133" s="200" t="e">
        <f aca="false">IF($A134="","",VLOOKUP($A133,Table,MATCH(G$4,Curves,0)))</f>
        <v>#N/A</v>
      </c>
      <c r="H133" s="201" t="e">
        <f aca="false">IF(A134="","",G133)</f>
        <v>#N/A</v>
      </c>
      <c r="I133" s="202"/>
      <c r="J133" s="200" t="e">
        <f aca="false">IF($A134="","",VLOOKUP($A133,Table,MATCH(J$4,Curves,0)))</f>
        <v>#N/A</v>
      </c>
      <c r="K133" s="201" t="e">
        <f aca="false">IF(A134="","",J133)</f>
        <v>#N/A</v>
      </c>
      <c r="L133" s="200" t="e">
        <f aca="false">IF($A134="","",VLOOKUP($A133,Table,MATCH(L$4,Curves,0)))</f>
        <v>#N/A</v>
      </c>
      <c r="M133" s="201" t="e">
        <f aca="false">IF(A134="","",L133)</f>
        <v>#N/A</v>
      </c>
      <c r="N133" s="203"/>
      <c r="O133" s="200" t="e">
        <f aca="false">IF(A134="","",L133+J133+G133)</f>
        <v>#N/A</v>
      </c>
      <c r="P133" s="200" t="e">
        <f aca="false">IF(A134="","",M133+K133+H133)</f>
        <v>#N/A</v>
      </c>
      <c r="Q133" s="204"/>
      <c r="R133" s="200" t="e">
        <f aca="false">IF($A134="","",VLOOKUP($A133,Table,MATCH(R$4,Curves,0)))</f>
        <v>#N/A</v>
      </c>
      <c r="S133" s="201" t="e">
        <f aca="false">IF(A134="","",R133)</f>
        <v>#N/A</v>
      </c>
      <c r="T133" s="185" t="n">
        <v>0</v>
      </c>
      <c r="U133" s="201" t="n">
        <f aca="false">IF(A134="","",T133)</f>
        <v>0</v>
      </c>
      <c r="V133" s="205" t="e">
        <f aca="false">IF($A134="","",IF(AND(MONTH(A133)&gt;3,MONTH(A133)&lt;11),(T133+R133+G133)*Summary!$T$11/(1-Summary!$T$11),(T133+R133+G133)*Summary!$U$11/(1-Summary!$U$11)))</f>
        <v>#N/A</v>
      </c>
      <c r="W133" s="202" t="e">
        <f aca="false">IF($A134="","",(T133+R133+G133+V133))</f>
        <v>#N/A</v>
      </c>
      <c r="X133" s="202" t="e">
        <f aca="false">IF($A134="","",(U133+S133+H133+V133))</f>
        <v>#N/A</v>
      </c>
      <c r="Y133" s="202"/>
      <c r="Z133" s="185" t="e">
        <f aca="false">IF($A134="","",VLOOKUP($A133,Table,MATCH(Z$4,Curves,0)))</f>
        <v>#N/A</v>
      </c>
      <c r="AA133" s="185" t="e">
        <f aca="false">IF($A134="","",VLOOKUP($A133,Table,MATCH(AA$4,Curves,0)))</f>
        <v>#N/A</v>
      </c>
      <c r="AB133" s="185" t="e">
        <f aca="false">SQRT((AA133^2*(A133-$D$3)+Z133^2*(DAY(EOMONTH(A133,0))/2))/AK133)</f>
        <v>#N/A</v>
      </c>
      <c r="AC133" s="185" t="e">
        <f aca="false">IF($A134="","",VLOOKUP($A133,Table,MATCH(AC$4,Curves,0)))</f>
        <v>#N/A</v>
      </c>
      <c r="AD133" s="185" t="e">
        <f aca="false">IF($A134="","",VLOOKUP($A133,Table,MATCH(AD$4,Curves,0)))</f>
        <v>#N/A</v>
      </c>
      <c r="AE133" s="185" t="e">
        <f aca="false">SQRT((AD133^2*(A133-$D$3)+AC133^2*(DAY(EOMONTH(A133,0))/2))/AK133)</f>
        <v>#N/A</v>
      </c>
      <c r="AF133" s="206" t="e">
        <f aca="false">((Summary!$N$11*(AA133*AD133)*(A133-$D$3))+(Summary!$M$11*Z133*AC133*(AJ133-EOMONTH(EDATE(A133,-1),0))))/(AK133*AB133*AE133)</f>
        <v>#N/A</v>
      </c>
      <c r="AG133" s="207" t="n">
        <f aca="false">IF($A134="","",Summary!$Q$11)</f>
        <v>0</v>
      </c>
      <c r="AH133" s="207" t="n">
        <f aca="false">IF($A134="","",IF(Summary!$R$11="Y",(VLOOKUP($A133,Summary!$AD$6:$AF$9,3)+'Escalating commodity'!G146),'Escalating commodity'!G146))</f>
        <v>0.00592396480156043</v>
      </c>
      <c r="AI133" s="207" t="n">
        <f aca="false">IF($A134="","",AH133)</f>
        <v>0.00592396480156043</v>
      </c>
      <c r="AJ133" s="208" t="n">
        <f aca="false">A133+DAY(EOMONTH(A133,0))/2-1</f>
        <v>40801</v>
      </c>
      <c r="AK133" s="209" t="n">
        <f aca="false">IF($A134="","",$A133-$E$1)</f>
        <v>-5139</v>
      </c>
      <c r="AL133" s="182" t="e">
        <f aca="false">IF($A134="","",SPRDOPT(P133,X133,AI133,0,AB133,AE133,AF133,AK133,$AJ$2,0))</f>
        <v>#NAME?</v>
      </c>
      <c r="AM133" s="210" t="e">
        <f aca="false">IF($A134="","",MAX(0,O133-W133-AI133))</f>
        <v>#N/A</v>
      </c>
      <c r="AN133" s="211" t="e">
        <f aca="false">IF($A134="","",AL133-AM133)</f>
        <v>#N/A</v>
      </c>
      <c r="AO133" s="137" t="n">
        <f aca="false">IF(A134="","",A134-A133)</f>
        <v>30</v>
      </c>
      <c r="AP133" s="212" t="n">
        <f aca="false">IF(A134="","",CHOOSE(F$3,A134+24,A133))</f>
        <v>40787</v>
      </c>
      <c r="AQ133" s="209" t="n">
        <f aca="false">IF(A134="","",AP133-$E$1)</f>
        <v>-5139</v>
      </c>
      <c r="AR133" s="185" t="n">
        <f aca="false">'ANR OK vs ML7'!AR133</f>
        <v>0.1</v>
      </c>
      <c r="AS133" s="213" t="n">
        <f aca="false">IF(A134="","",1/(1+CHOOSE(F$3,(AR134+($I$3/10000))/2,(AR133+($I$3/10000))/2))^(2*AQ133/365.25))</f>
        <v>3.94692654591443</v>
      </c>
      <c r="AT133" s="137" t="n">
        <f aca="false">IF(A134="","",IF(AND(mthbeg&lt;=A133,mthend&gt;=A133),1,0))</f>
        <v>1</v>
      </c>
      <c r="AU133" s="137" t="n">
        <f aca="false">IF(A134="","",AO133*AT133)</f>
        <v>30</v>
      </c>
      <c r="AW133" s="195" t="e">
        <f aca="false">IF($A134="","",AL133*$E133)</f>
        <v>#NAME?</v>
      </c>
      <c r="AX133" s="195" t="e">
        <f aca="false">IF($A134="","",AM133*$E133)</f>
        <v>#N/A</v>
      </c>
      <c r="AY133" s="195" t="e">
        <f aca="false">IF($A134="","",AN133*$E133)</f>
        <v>#N/A</v>
      </c>
      <c r="BA133" s="195" t="n">
        <f aca="false">IF($A134="","",F133*Summary!$Q$11)</f>
        <v>0</v>
      </c>
      <c r="BC133" s="179" t="e">
        <f aca="false">IF(A134="","",AM133*F133)</f>
        <v>#N/A</v>
      </c>
    </row>
    <row r="134" customFormat="false" ht="12.75" hidden="false" customHeight="false" outlineLevel="0" collapsed="false">
      <c r="A134" s="196" t="n">
        <f aca="false">IF(A133&lt;mthend,EDATE(A133,1),"")</f>
        <v>40817</v>
      </c>
      <c r="B134" s="197" t="n">
        <f aca="false">IF(A134&lt;mthend,B133,"")</f>
        <v>124142</v>
      </c>
      <c r="C134" s="215"/>
      <c r="D134" s="197" t="n">
        <f aca="false">IF(A135&lt;&gt;"",B134+C134,"")</f>
        <v>124142</v>
      </c>
      <c r="E134" s="199" t="n">
        <f aca="false">IF(A135="","",IF(AND(AT134=1,$H$3=1),D134*AO134,IF($H$3=2,D134,"N/A")))</f>
        <v>3848402</v>
      </c>
      <c r="F134" s="199" t="n">
        <f aca="false">IF(A135="","",E134*AS134)</f>
        <v>15068106.7181507</v>
      </c>
      <c r="G134" s="200" t="e">
        <f aca="false">IF($A135="","",VLOOKUP($A134,Table,MATCH(G$4,Curves,0)))</f>
        <v>#N/A</v>
      </c>
      <c r="H134" s="201" t="e">
        <f aca="false">IF(A135="","",G134)</f>
        <v>#N/A</v>
      </c>
      <c r="I134" s="202"/>
      <c r="J134" s="200" t="e">
        <f aca="false">IF($A135="","",VLOOKUP($A134,Table,MATCH(J$4,Curves,0)))</f>
        <v>#N/A</v>
      </c>
      <c r="K134" s="201" t="e">
        <f aca="false">IF(A135="","",J134)</f>
        <v>#N/A</v>
      </c>
      <c r="L134" s="200" t="e">
        <f aca="false">IF($A135="","",VLOOKUP($A134,Table,MATCH(L$4,Curves,0)))</f>
        <v>#N/A</v>
      </c>
      <c r="M134" s="201" t="e">
        <f aca="false">IF(A135="","",L134)</f>
        <v>#N/A</v>
      </c>
      <c r="N134" s="203"/>
      <c r="O134" s="200" t="e">
        <f aca="false">IF(A135="","",L134+J134+G134)</f>
        <v>#N/A</v>
      </c>
      <c r="P134" s="200" t="e">
        <f aca="false">IF(A135="","",M134+K134+H134)</f>
        <v>#N/A</v>
      </c>
      <c r="Q134" s="204"/>
      <c r="R134" s="200" t="e">
        <f aca="false">IF($A135="","",VLOOKUP($A134,Table,MATCH(R$4,Curves,0)))</f>
        <v>#N/A</v>
      </c>
      <c r="S134" s="201" t="e">
        <f aca="false">IF(A135="","",R134)</f>
        <v>#N/A</v>
      </c>
      <c r="T134" s="185" t="n">
        <v>0</v>
      </c>
      <c r="U134" s="201" t="n">
        <f aca="false">IF(A135="","",T134)</f>
        <v>0</v>
      </c>
      <c r="V134" s="205" t="e">
        <f aca="false">IF($A135="","",IF(AND(MONTH(A134)&gt;3,MONTH(A134)&lt;11),(T134+R134+G134)*Summary!$T$11/(1-Summary!$T$11),(T134+R134+G134)*Summary!$U$11/(1-Summary!$U$11)))</f>
        <v>#N/A</v>
      </c>
      <c r="W134" s="202" t="e">
        <f aca="false">IF($A135="","",(T134+R134+G134+V134))</f>
        <v>#N/A</v>
      </c>
      <c r="X134" s="202" t="e">
        <f aca="false">IF($A135="","",(U134+S134+H134+V134))</f>
        <v>#N/A</v>
      </c>
      <c r="Y134" s="202"/>
      <c r="Z134" s="185" t="e">
        <f aca="false">IF($A135="","",VLOOKUP($A134,Table,MATCH(Z$4,Curves,0)))</f>
        <v>#N/A</v>
      </c>
      <c r="AA134" s="185" t="e">
        <f aca="false">IF($A135="","",VLOOKUP($A134,Table,MATCH(AA$4,Curves,0)))</f>
        <v>#N/A</v>
      </c>
      <c r="AB134" s="185" t="e">
        <f aca="false">SQRT((AA134^2*(A134-$D$3)+Z134^2*(DAY(EOMONTH(A134,0))/2))/AK134)</f>
        <v>#N/A</v>
      </c>
      <c r="AC134" s="185" t="e">
        <f aca="false">IF($A135="","",VLOOKUP($A134,Table,MATCH(AC$4,Curves,0)))</f>
        <v>#N/A</v>
      </c>
      <c r="AD134" s="185" t="e">
        <f aca="false">IF($A135="","",VLOOKUP($A134,Table,MATCH(AD$4,Curves,0)))</f>
        <v>#N/A</v>
      </c>
      <c r="AE134" s="185" t="e">
        <f aca="false">SQRT((AD134^2*(A134-$D$3)+AC134^2*(DAY(EOMONTH(A134,0))/2))/AK134)</f>
        <v>#N/A</v>
      </c>
      <c r="AF134" s="206" t="e">
        <f aca="false">((Summary!$N$11*(AA134*AD134)*(A134-$D$3))+(Summary!$M$11*Z134*AC134*(AJ134-EOMONTH(EDATE(A134,-1),0))))/(AK134*AB134*AE134)</f>
        <v>#N/A</v>
      </c>
      <c r="AG134" s="207" t="n">
        <f aca="false">IF($A135="","",Summary!$Q$11)</f>
        <v>0</v>
      </c>
      <c r="AH134" s="207" t="n">
        <f aca="false">IF($A135="","",IF(Summary!$R$11="Y",(VLOOKUP($A134,Summary!$AD$6:$AF$9,3)+'Escalating commodity'!G147),'Escalating commodity'!G147))</f>
        <v>0.00592396480156043</v>
      </c>
      <c r="AI134" s="207" t="n">
        <f aca="false">IF($A135="","",AH134)</f>
        <v>0.00592396480156043</v>
      </c>
      <c r="AJ134" s="208" t="n">
        <f aca="false">A134+DAY(EOMONTH(A134,0))/2-1</f>
        <v>40831.5</v>
      </c>
      <c r="AK134" s="209" t="n">
        <f aca="false">IF($A135="","",$A134-$E$1)</f>
        <v>-5109</v>
      </c>
      <c r="AL134" s="182" t="e">
        <f aca="false">IF($A135="","",SPRDOPT(P134,X134,AI134,0,AB134,AE134,AF134,AK134,$AJ$2,0))</f>
        <v>#NAME?</v>
      </c>
      <c r="AM134" s="210" t="e">
        <f aca="false">IF($A135="","",MAX(0,O134-W134-AI134))</f>
        <v>#N/A</v>
      </c>
      <c r="AN134" s="211" t="e">
        <f aca="false">IF($A135="","",AL134-AM134)</f>
        <v>#N/A</v>
      </c>
      <c r="AO134" s="137" t="n">
        <f aca="false">IF(A135="","",A135-A134)</f>
        <v>31</v>
      </c>
      <c r="AP134" s="212" t="n">
        <f aca="false">IF(A135="","",CHOOSE(F$3,A135+24,A134))</f>
        <v>40817</v>
      </c>
      <c r="AQ134" s="209" t="n">
        <f aca="false">IF(A135="","",AP134-$E$1)</f>
        <v>-5109</v>
      </c>
      <c r="AR134" s="185" t="n">
        <f aca="false">'ANR OK vs ML7'!AR134</f>
        <v>0.1</v>
      </c>
      <c r="AS134" s="213" t="n">
        <f aca="false">IF(A135="","",1/(1+CHOOSE(F$3,(AR135+($I$3/10000))/2,(AR134+($I$3/10000))/2))^(2*AQ134/365.25))</f>
        <v>3.91541910594338</v>
      </c>
      <c r="AT134" s="137" t="n">
        <f aca="false">IF(A135="","",IF(AND(mthbeg&lt;=A134,mthend&gt;=A134),1,0))</f>
        <v>1</v>
      </c>
      <c r="AU134" s="137" t="n">
        <f aca="false">IF(A135="","",AO134*AT134)</f>
        <v>31</v>
      </c>
      <c r="AW134" s="195" t="e">
        <f aca="false">IF($A135="","",AL134*$E134)</f>
        <v>#NAME?</v>
      </c>
      <c r="AX134" s="195" t="e">
        <f aca="false">IF($A135="","",AM134*$E134)</f>
        <v>#N/A</v>
      </c>
      <c r="AY134" s="195" t="e">
        <f aca="false">IF($A135="","",AN134*$E134)</f>
        <v>#N/A</v>
      </c>
      <c r="BA134" s="195" t="n">
        <f aca="false">IF($A135="","",F134*Summary!$Q$11)</f>
        <v>0</v>
      </c>
      <c r="BC134" s="179" t="e">
        <f aca="false">IF(A135="","",AM134*F134)</f>
        <v>#N/A</v>
      </c>
    </row>
    <row r="135" customFormat="false" ht="12.75" hidden="false" customHeight="false" outlineLevel="0" collapsed="false">
      <c r="A135" s="196" t="n">
        <f aca="false">IF(A134&lt;mthend,EDATE(A134,1),"")</f>
        <v>40848</v>
      </c>
      <c r="B135" s="197" t="n">
        <f aca="false">IF(A135&lt;mthend,B134,"")</f>
        <v>124142</v>
      </c>
      <c r="C135" s="215"/>
      <c r="D135" s="197" t="n">
        <f aca="false">IF(A136&lt;&gt;"",B135+C135,"")</f>
        <v>124142</v>
      </c>
      <c r="E135" s="199" t="n">
        <f aca="false">IF(A136="","",IF(AND(AT135=1,$H$3=1),D135*AO135,IF($H$3=2,D135,"N/A")))</f>
        <v>3724260</v>
      </c>
      <c r="F135" s="199" t="n">
        <f aca="false">IF(A136="","",E135*AS135)</f>
        <v>14461769.4475348</v>
      </c>
      <c r="G135" s="200" t="e">
        <f aca="false">IF($A136="","",VLOOKUP($A135,Table,MATCH(G$4,Curves,0)))</f>
        <v>#N/A</v>
      </c>
      <c r="H135" s="201" t="e">
        <f aca="false">IF(A136="","",G135)</f>
        <v>#N/A</v>
      </c>
      <c r="I135" s="202"/>
      <c r="J135" s="200" t="e">
        <f aca="false">IF($A136="","",VLOOKUP($A135,Table,MATCH(J$4,Curves,0)))</f>
        <v>#N/A</v>
      </c>
      <c r="K135" s="201" t="e">
        <f aca="false">IF(A136="","",J135)</f>
        <v>#N/A</v>
      </c>
      <c r="L135" s="200" t="e">
        <f aca="false">IF($A136="","",VLOOKUP($A135,Table,MATCH(L$4,Curves,0)))</f>
        <v>#N/A</v>
      </c>
      <c r="M135" s="201" t="e">
        <f aca="false">IF(A136="","",L135)</f>
        <v>#N/A</v>
      </c>
      <c r="N135" s="203"/>
      <c r="O135" s="200" t="e">
        <f aca="false">IF(A136="","",L135+J135+G135)</f>
        <v>#N/A</v>
      </c>
      <c r="P135" s="200" t="e">
        <f aca="false">IF(A136="","",M135+K135+H135)</f>
        <v>#N/A</v>
      </c>
      <c r="Q135" s="204"/>
      <c r="R135" s="200" t="e">
        <f aca="false">IF($A136="","",VLOOKUP($A135,Table,MATCH(R$4,Curves,0)))</f>
        <v>#N/A</v>
      </c>
      <c r="S135" s="201" t="e">
        <f aca="false">IF(A136="","",R135)</f>
        <v>#N/A</v>
      </c>
      <c r="T135" s="185" t="n">
        <v>0</v>
      </c>
      <c r="U135" s="201" t="n">
        <f aca="false">IF(A136="","",T135)</f>
        <v>0</v>
      </c>
      <c r="V135" s="205" t="e">
        <f aca="false">IF($A136="","",IF(AND(MONTH(A135)&gt;3,MONTH(A135)&lt;11),(T135+R135+G135)*Summary!$T$11/(1-Summary!$T$11),(T135+R135+G135)*Summary!$U$11/(1-Summary!$U$11)))</f>
        <v>#N/A</v>
      </c>
      <c r="W135" s="202" t="e">
        <f aca="false">IF($A136="","",(T135+R135+G135+V135))</f>
        <v>#N/A</v>
      </c>
      <c r="X135" s="202" t="e">
        <f aca="false">IF($A136="","",(U135+S135+H135+V135))</f>
        <v>#N/A</v>
      </c>
      <c r="Y135" s="202"/>
      <c r="Z135" s="185" t="e">
        <f aca="false">IF($A136="","",VLOOKUP($A135,Table,MATCH(Z$4,Curves,0)))</f>
        <v>#N/A</v>
      </c>
      <c r="AA135" s="185" t="e">
        <f aca="false">IF($A136="","",VLOOKUP($A135,Table,MATCH(AA$4,Curves,0)))</f>
        <v>#N/A</v>
      </c>
      <c r="AB135" s="185" t="e">
        <f aca="false">SQRT((AA135^2*(A135-$D$3)+Z135^2*(DAY(EOMONTH(A135,0))/2))/AK135)</f>
        <v>#N/A</v>
      </c>
      <c r="AC135" s="185" t="e">
        <f aca="false">IF($A136="","",VLOOKUP($A135,Table,MATCH(AC$4,Curves,0)))</f>
        <v>#N/A</v>
      </c>
      <c r="AD135" s="185" t="e">
        <f aca="false">IF($A136="","",VLOOKUP($A135,Table,MATCH(AD$4,Curves,0)))</f>
        <v>#N/A</v>
      </c>
      <c r="AE135" s="185" t="e">
        <f aca="false">SQRT((AD135^2*(A135-$D$3)+AC135^2*(DAY(EOMONTH(A135,0))/2))/AK135)</f>
        <v>#N/A</v>
      </c>
      <c r="AF135" s="206" t="e">
        <f aca="false">((Summary!$N$11*(AA135*AD135)*(A135-$D$3))+(Summary!$M$11*Z135*AC135*(AJ135-EOMONTH(EDATE(A135,-1),0))))/(AK135*AB135*AE135)</f>
        <v>#N/A</v>
      </c>
      <c r="AG135" s="207" t="n">
        <f aca="false">IF($A136="","",Summary!$Q$11)</f>
        <v>0</v>
      </c>
      <c r="AH135" s="207" t="n">
        <f aca="false">IF($A136="","",IF(Summary!$R$11="Y",(VLOOKUP($A135,Summary!$AD$6:$AF$9,3)+'Escalating commodity'!G148),'Escalating commodity'!G148))</f>
        <v>0.00592396480156043</v>
      </c>
      <c r="AI135" s="207" t="n">
        <f aca="false">IF($A136="","",AH135)</f>
        <v>0.00592396480156043</v>
      </c>
      <c r="AJ135" s="208" t="n">
        <f aca="false">A135+DAY(EOMONTH(A135,0))/2-1</f>
        <v>40862</v>
      </c>
      <c r="AK135" s="209" t="n">
        <f aca="false">IF($A136="","",$A135-$E$1)</f>
        <v>-5078</v>
      </c>
      <c r="AL135" s="182" t="e">
        <f aca="false">IF($A136="","",SPRDOPT(P135,X135,AI135,0,AB135,AE135,AF135,AK135,$AJ$2,0))</f>
        <v>#NAME?</v>
      </c>
      <c r="AM135" s="210" t="e">
        <f aca="false">IF($A136="","",MAX(0,O135-W135-AI135))</f>
        <v>#N/A</v>
      </c>
      <c r="AN135" s="211" t="e">
        <f aca="false">IF($A136="","",AL135-AM135)</f>
        <v>#N/A</v>
      </c>
      <c r="AO135" s="137" t="n">
        <f aca="false">IF(A136="","",A136-A135)</f>
        <v>30</v>
      </c>
      <c r="AP135" s="212" t="n">
        <f aca="false">IF(A136="","",CHOOSE(F$3,A136+24,A135))</f>
        <v>40848</v>
      </c>
      <c r="AQ135" s="209" t="n">
        <f aca="false">IF(A136="","",AP135-$E$1)</f>
        <v>-5078</v>
      </c>
      <c r="AR135" s="185" t="n">
        <f aca="false">'ANR OK vs ML7'!AR135</f>
        <v>0.1</v>
      </c>
      <c r="AS135" s="213" t="n">
        <f aca="false">IF(A136="","",1/(1+CHOOSE(F$3,(AR136+($I$3/10000))/2,(AR135+($I$3/10000))/2))^(2*AQ135/365.25))</f>
        <v>3.88312562697955</v>
      </c>
      <c r="AT135" s="137" t="n">
        <f aca="false">IF(A136="","",IF(AND(mthbeg&lt;=A135,mthend&gt;=A135),1,0))</f>
        <v>1</v>
      </c>
      <c r="AU135" s="137" t="n">
        <f aca="false">IF(A136="","",AO135*AT135)</f>
        <v>30</v>
      </c>
      <c r="AW135" s="195" t="e">
        <f aca="false">IF($A136="","",AL135*$E135)</f>
        <v>#NAME?</v>
      </c>
      <c r="AX135" s="195" t="e">
        <f aca="false">IF($A136="","",AM135*$E135)</f>
        <v>#N/A</v>
      </c>
      <c r="AY135" s="195" t="e">
        <f aca="false">IF($A136="","",AN135*$E135)</f>
        <v>#N/A</v>
      </c>
      <c r="BA135" s="195" t="n">
        <f aca="false">IF($A136="","",F135*Summary!$Q$11)</f>
        <v>0</v>
      </c>
      <c r="BC135" s="179" t="e">
        <f aca="false">IF(A136="","",AM135*F135)</f>
        <v>#N/A</v>
      </c>
    </row>
    <row r="136" customFormat="false" ht="12.75" hidden="false" customHeight="false" outlineLevel="0" collapsed="false">
      <c r="A136" s="196" t="n">
        <f aca="false">IF(A135&lt;mthend,EDATE(A135,1),"")</f>
        <v>40878</v>
      </c>
      <c r="B136" s="197" t="n">
        <f aca="false">IF(A136&lt;mthend,B135,"")</f>
        <v>124142</v>
      </c>
      <c r="C136" s="215"/>
      <c r="D136" s="197" t="n">
        <f aca="false">IF(A137&lt;&gt;"",B136+C136,"")</f>
        <v>124142</v>
      </c>
      <c r="E136" s="199" t="n">
        <f aca="false">IF(A137="","",IF(AND(AT136=1,$H$3=1),D136*AO136,IF($H$3=2,D136,"N/A")))</f>
        <v>3848402</v>
      </c>
      <c r="F136" s="199" t="n">
        <f aca="false">IF(A137="","",E136*AS136)</f>
        <v>14824535.158345</v>
      </c>
      <c r="G136" s="200" t="e">
        <f aca="false">IF($A137="","",VLOOKUP($A136,Table,MATCH(G$4,Curves,0)))</f>
        <v>#N/A</v>
      </c>
      <c r="H136" s="201" t="e">
        <f aca="false">IF(A137="","",G136)</f>
        <v>#N/A</v>
      </c>
      <c r="I136" s="202"/>
      <c r="J136" s="200" t="e">
        <f aca="false">IF($A137="","",VLOOKUP($A136,Table,MATCH(J$4,Curves,0)))</f>
        <v>#N/A</v>
      </c>
      <c r="K136" s="201" t="e">
        <f aca="false">IF(A137="","",J136)</f>
        <v>#N/A</v>
      </c>
      <c r="L136" s="200" t="e">
        <f aca="false">IF($A137="","",VLOOKUP($A136,Table,MATCH(L$4,Curves,0)))</f>
        <v>#N/A</v>
      </c>
      <c r="M136" s="201" t="e">
        <f aca="false">IF(A137="","",L136)</f>
        <v>#N/A</v>
      </c>
      <c r="N136" s="203"/>
      <c r="O136" s="200" t="e">
        <f aca="false">IF(A137="","",L136+J136+G136)</f>
        <v>#N/A</v>
      </c>
      <c r="P136" s="200" t="e">
        <f aca="false">IF(A137="","",M136+K136+H136)</f>
        <v>#N/A</v>
      </c>
      <c r="Q136" s="204"/>
      <c r="R136" s="200" t="e">
        <f aca="false">IF($A137="","",VLOOKUP($A136,Table,MATCH(R$4,Curves,0)))</f>
        <v>#N/A</v>
      </c>
      <c r="S136" s="201" t="e">
        <f aca="false">IF(A137="","",R136)</f>
        <v>#N/A</v>
      </c>
      <c r="T136" s="185" t="n">
        <v>0</v>
      </c>
      <c r="U136" s="201" t="n">
        <f aca="false">IF(A137="","",T136)</f>
        <v>0</v>
      </c>
      <c r="V136" s="205" t="e">
        <f aca="false">IF($A137="","",IF(AND(MONTH(A136)&gt;3,MONTH(A136)&lt;11),(T136+R136+G136)*Summary!$T$11/(1-Summary!$T$11),(T136+R136+G136)*Summary!$U$11/(1-Summary!$U$11)))</f>
        <v>#N/A</v>
      </c>
      <c r="W136" s="202" t="e">
        <f aca="false">IF($A137="","",(T136+R136+G136+V136))</f>
        <v>#N/A</v>
      </c>
      <c r="X136" s="202" t="e">
        <f aca="false">IF($A137="","",(U136+S136+H136+V136))</f>
        <v>#N/A</v>
      </c>
      <c r="Y136" s="202"/>
      <c r="Z136" s="185" t="e">
        <f aca="false">IF($A137="","",VLOOKUP($A136,Table,MATCH(Z$4,Curves,0)))</f>
        <v>#N/A</v>
      </c>
      <c r="AA136" s="185" t="e">
        <f aca="false">IF($A137="","",VLOOKUP($A136,Table,MATCH(AA$4,Curves,0)))</f>
        <v>#N/A</v>
      </c>
      <c r="AB136" s="185" t="e">
        <f aca="false">SQRT((AA136^2*(A136-$D$3)+Z136^2*(DAY(EOMONTH(A136,0))/2))/AK136)</f>
        <v>#N/A</v>
      </c>
      <c r="AC136" s="185" t="e">
        <f aca="false">IF($A137="","",VLOOKUP($A136,Table,MATCH(AC$4,Curves,0)))</f>
        <v>#N/A</v>
      </c>
      <c r="AD136" s="185" t="e">
        <f aca="false">IF($A137="","",VLOOKUP($A136,Table,MATCH(AD$4,Curves,0)))</f>
        <v>#N/A</v>
      </c>
      <c r="AE136" s="185" t="e">
        <f aca="false">SQRT((AD136^2*(A136-$D$3)+AC136^2*(DAY(EOMONTH(A136,0))/2))/AK136)</f>
        <v>#N/A</v>
      </c>
      <c r="AF136" s="206" t="e">
        <f aca="false">((Summary!$N$11*(AA136*AD136)*(A136-$D$3))+(Summary!$M$11*Z136*AC136*(AJ136-EOMONTH(EDATE(A136,-1),0))))/(AK136*AB136*AE136)</f>
        <v>#N/A</v>
      </c>
      <c r="AG136" s="207" t="n">
        <f aca="false">IF($A137="","",Summary!$Q$11)</f>
        <v>0</v>
      </c>
      <c r="AH136" s="207" t="n">
        <f aca="false">IF($A137="","",IF(Summary!$R$11="Y",(VLOOKUP($A136,Summary!$AD$6:$AF$9,3)+'Escalating commodity'!G149),'Escalating commodity'!G149))</f>
        <v>0.00592396480156043</v>
      </c>
      <c r="AI136" s="207" t="n">
        <f aca="false">IF($A137="","",AH136)</f>
        <v>0.00592396480156043</v>
      </c>
      <c r="AJ136" s="208" t="n">
        <f aca="false">A136+DAY(EOMONTH(A136,0))/2-1</f>
        <v>40892.5</v>
      </c>
      <c r="AK136" s="209" t="n">
        <f aca="false">IF($A137="","",$A136-$E$1)</f>
        <v>-5048</v>
      </c>
      <c r="AL136" s="182" t="e">
        <f aca="false">IF($A137="","",SPRDOPT(P136,X136,AI136,0,AB136,AE136,AF136,AK136,$AJ$2,0))</f>
        <v>#NAME?</v>
      </c>
      <c r="AM136" s="210" t="e">
        <f aca="false">IF($A137="","",MAX(0,O136-W136-AI136))</f>
        <v>#N/A</v>
      </c>
      <c r="AN136" s="211" t="e">
        <f aca="false">IF($A137="","",AL136-AM136)</f>
        <v>#N/A</v>
      </c>
      <c r="AO136" s="137" t="n">
        <f aca="false">IF(A137="","",A137-A136)</f>
        <v>31</v>
      </c>
      <c r="AP136" s="212" t="n">
        <f aca="false">IF(A137="","",CHOOSE(F$3,A137+24,A136))</f>
        <v>40878</v>
      </c>
      <c r="AQ136" s="209" t="n">
        <f aca="false">IF(A137="","",AP136-$E$1)</f>
        <v>-5048</v>
      </c>
      <c r="AR136" s="185" t="n">
        <f aca="false">'ANR OK vs ML7'!AR136</f>
        <v>0.1</v>
      </c>
      <c r="AS136" s="213" t="n">
        <f aca="false">IF(A137="","",1/(1+CHOOSE(F$3,(AR137+($I$3/10000))/2,(AR136+($I$3/10000))/2))^(2*AQ136/365.25))</f>
        <v>3.85212749560598</v>
      </c>
      <c r="AT136" s="137" t="n">
        <f aca="false">IF(A137="","",IF(AND(mthbeg&lt;=A136,mthend&gt;=A136),1,0))</f>
        <v>1</v>
      </c>
      <c r="AU136" s="137" t="n">
        <f aca="false">IF(A137="","",AO136*AT136)</f>
        <v>31</v>
      </c>
      <c r="AW136" s="195" t="e">
        <f aca="false">IF($A137="","",AL136*$E136)</f>
        <v>#NAME?</v>
      </c>
      <c r="AX136" s="195" t="e">
        <f aca="false">IF($A137="","",AM136*$E136)</f>
        <v>#N/A</v>
      </c>
      <c r="AY136" s="195" t="e">
        <f aca="false">IF($A137="","",AN136*$E136)</f>
        <v>#N/A</v>
      </c>
      <c r="BA136" s="195" t="n">
        <f aca="false">IF($A137="","",F136*Summary!$Q$11)</f>
        <v>0</v>
      </c>
      <c r="BC136" s="179" t="e">
        <f aca="false">IF(A137="","",AM136*F136)</f>
        <v>#N/A</v>
      </c>
    </row>
    <row r="137" customFormat="false" ht="12.75" hidden="false" customHeight="false" outlineLevel="0" collapsed="false">
      <c r="A137" s="196" t="n">
        <f aca="false">IF(A136&lt;mthend,EDATE(A136,1),"")</f>
        <v>40909</v>
      </c>
      <c r="B137" s="197" t="n">
        <f aca="false">IF(A137&lt;mthend,B136,"")</f>
        <v>124142</v>
      </c>
      <c r="C137" s="215"/>
      <c r="D137" s="197" t="n">
        <f aca="false">IF(A138&lt;&gt;"",B137+C137,"")</f>
        <v>124142</v>
      </c>
      <c r="E137" s="199" t="n">
        <f aca="false">IF(A138="","",IF(AND(AT137=1,$H$3=1),D137*AO137,IF($H$3=2,D137,"N/A")))</f>
        <v>3848402</v>
      </c>
      <c r="F137" s="199" t="n">
        <f aca="false">IF(A138="","",E137*AS137)</f>
        <v>14702265.7916869</v>
      </c>
      <c r="G137" s="200" t="e">
        <f aca="false">IF($A138="","",VLOOKUP($A137,Table,MATCH(G$4,Curves,0)))</f>
        <v>#N/A</v>
      </c>
      <c r="H137" s="201" t="e">
        <f aca="false">IF(A138="","",G137)</f>
        <v>#N/A</v>
      </c>
      <c r="I137" s="202"/>
      <c r="J137" s="200" t="e">
        <f aca="false">IF($A138="","",VLOOKUP($A137,Table,MATCH(J$4,Curves,0)))</f>
        <v>#N/A</v>
      </c>
      <c r="K137" s="201" t="e">
        <f aca="false">IF(A138="","",J137)</f>
        <v>#N/A</v>
      </c>
      <c r="L137" s="200" t="e">
        <f aca="false">IF($A138="","",VLOOKUP($A137,Table,MATCH(L$4,Curves,0)))</f>
        <v>#N/A</v>
      </c>
      <c r="M137" s="201" t="e">
        <f aca="false">IF(A138="","",L137)</f>
        <v>#N/A</v>
      </c>
      <c r="N137" s="203"/>
      <c r="O137" s="200" t="e">
        <f aca="false">IF(A138="","",L137+J137+G137)</f>
        <v>#N/A</v>
      </c>
      <c r="P137" s="200" t="e">
        <f aca="false">IF(A138="","",M137+K137+H137)</f>
        <v>#N/A</v>
      </c>
      <c r="Q137" s="204"/>
      <c r="R137" s="200" t="e">
        <f aca="false">IF($A138="","",VLOOKUP($A137,Table,MATCH(R$4,Curves,0)))</f>
        <v>#N/A</v>
      </c>
      <c r="S137" s="201" t="e">
        <f aca="false">IF(A138="","",R137)</f>
        <v>#N/A</v>
      </c>
      <c r="T137" s="185" t="n">
        <v>0</v>
      </c>
      <c r="U137" s="201" t="n">
        <f aca="false">IF(A138="","",T137)</f>
        <v>0</v>
      </c>
      <c r="V137" s="205" t="e">
        <f aca="false">IF($A138="","",IF(AND(MONTH(A137)&gt;3,MONTH(A137)&lt;11),(T137+R137+G137)*Summary!$T$11/(1-Summary!$T$11),(T137+R137+G137)*Summary!$U$11/(1-Summary!$U$11)))</f>
        <v>#N/A</v>
      </c>
      <c r="W137" s="202" t="e">
        <f aca="false">IF($A138="","",(T137+R137+G137+V137))</f>
        <v>#N/A</v>
      </c>
      <c r="X137" s="202" t="e">
        <f aca="false">IF($A138="","",(U137+S137+H137+V137))</f>
        <v>#N/A</v>
      </c>
      <c r="Y137" s="202"/>
      <c r="Z137" s="185" t="e">
        <f aca="false">IF($A138="","",VLOOKUP($A137,Table,MATCH(Z$4,Curves,0)))</f>
        <v>#N/A</v>
      </c>
      <c r="AA137" s="185" t="e">
        <f aca="false">IF($A138="","",VLOOKUP($A137,Table,MATCH(AA$4,Curves,0)))</f>
        <v>#N/A</v>
      </c>
      <c r="AB137" s="185" t="e">
        <f aca="false">SQRT((AA137^2*(A137-$D$3)+Z137^2*(DAY(EOMONTH(A137,0))/2))/AK137)</f>
        <v>#N/A</v>
      </c>
      <c r="AC137" s="185" t="e">
        <f aca="false">IF($A138="","",VLOOKUP($A137,Table,MATCH(AC$4,Curves,0)))</f>
        <v>#N/A</v>
      </c>
      <c r="AD137" s="185" t="e">
        <f aca="false">IF($A138="","",VLOOKUP($A137,Table,MATCH(AD$4,Curves,0)))</f>
        <v>#N/A</v>
      </c>
      <c r="AE137" s="185" t="e">
        <f aca="false">SQRT((AD137^2*(A137-$D$3)+AC137^2*(DAY(EOMONTH(A137,0))/2))/AK137)</f>
        <v>#N/A</v>
      </c>
      <c r="AF137" s="206" t="e">
        <f aca="false">((Summary!$N$11*(AA137*AD137)*(A137-$D$3))+(Summary!$M$11*Z137*AC137*(AJ137-EOMONTH(EDATE(A137,-1),0))))/(AK137*AB137*AE137)</f>
        <v>#N/A</v>
      </c>
      <c r="AG137" s="207" t="n">
        <f aca="false">IF($A138="","",Summary!$Q$11)</f>
        <v>0</v>
      </c>
      <c r="AH137" s="207" t="n">
        <f aca="false">IF($A138="","",IF(Summary!$R$11="Y",(VLOOKUP($A137,Summary!$AD$6:$AF$9,3)+'Escalating commodity'!G150),'Escalating commodity'!G150))</f>
        <v>0.00604244409759163</v>
      </c>
      <c r="AI137" s="207" t="n">
        <f aca="false">IF($A138="","",AH137)</f>
        <v>0.00604244409759163</v>
      </c>
      <c r="AJ137" s="208" t="n">
        <f aca="false">A137+DAY(EOMONTH(A137,0))/2-1</f>
        <v>40923.5</v>
      </c>
      <c r="AK137" s="209" t="n">
        <f aca="false">IF($A138="","",$A137-$E$1)</f>
        <v>-5017</v>
      </c>
      <c r="AL137" s="182" t="e">
        <f aca="false">IF($A138="","",SPRDOPT(P137,X137,AI137,0,AB137,AE137,AF137,AK137,$AJ$2,0))</f>
        <v>#NAME?</v>
      </c>
      <c r="AM137" s="210" t="e">
        <f aca="false">IF($A138="","",MAX(0,O137-W137-AI137))</f>
        <v>#N/A</v>
      </c>
      <c r="AN137" s="211" t="e">
        <f aca="false">IF($A138="","",AL137-AM137)</f>
        <v>#N/A</v>
      </c>
      <c r="AO137" s="137" t="n">
        <f aca="false">IF(A138="","",A138-A137)</f>
        <v>31</v>
      </c>
      <c r="AP137" s="212" t="n">
        <f aca="false">IF(A138="","",CHOOSE(F$3,A138+24,A137))</f>
        <v>40909</v>
      </c>
      <c r="AQ137" s="209" t="n">
        <f aca="false">IF(A138="","",AP137-$E$1)</f>
        <v>-5017</v>
      </c>
      <c r="AR137" s="185" t="n">
        <f aca="false">'ANR OK vs ML7'!AR137</f>
        <v>0.1</v>
      </c>
      <c r="AS137" s="213" t="n">
        <f aca="false">IF(A138="","",1/(1+CHOOSE(F$3,(AR138+($I$3/10000))/2,(AR137+($I$3/10000))/2))^(2*AQ137/365.25))</f>
        <v>3.82035603133117</v>
      </c>
      <c r="AT137" s="137" t="n">
        <f aca="false">IF(A138="","",IF(AND(mthbeg&lt;=A137,mthend&gt;=A137),1,0))</f>
        <v>1</v>
      </c>
      <c r="AU137" s="137" t="n">
        <f aca="false">IF(A138="","",AO137*AT137)</f>
        <v>31</v>
      </c>
      <c r="AW137" s="195" t="e">
        <f aca="false">IF($A138="","",AL137*$E137)</f>
        <v>#NAME?</v>
      </c>
      <c r="AX137" s="195" t="e">
        <f aca="false">IF($A138="","",AM137*$E137)</f>
        <v>#N/A</v>
      </c>
      <c r="AY137" s="195" t="e">
        <f aca="false">IF($A138="","",AN137*$E137)</f>
        <v>#N/A</v>
      </c>
      <c r="BA137" s="195" t="n">
        <f aca="false">IF($A138="","",F137*Summary!$Q$11)</f>
        <v>0</v>
      </c>
      <c r="BC137" s="179" t="e">
        <f aca="false">IF(A138="","",AM137*F137)</f>
        <v>#N/A</v>
      </c>
    </row>
    <row r="138" customFormat="false" ht="12.75" hidden="false" customHeight="false" outlineLevel="0" collapsed="false">
      <c r="A138" s="196" t="n">
        <f aca="false">IF(A137&lt;mthend,EDATE(A137,1),"")</f>
        <v>40940</v>
      </c>
      <c r="B138" s="197" t="n">
        <f aca="false">IF(A138&lt;mthend,B137,"")</f>
        <v>124142</v>
      </c>
      <c r="C138" s="215"/>
      <c r="D138" s="197" t="n">
        <f aca="false">IF(A139&lt;&gt;"",B138+C138,"")</f>
        <v>124142</v>
      </c>
      <c r="E138" s="199" t="n">
        <f aca="false">IF(A139="","",IF(AND(AT138=1,$H$3=1),D138*AO138,IF($H$3=2,D138,"N/A")))</f>
        <v>3600118</v>
      </c>
      <c r="F138" s="199" t="n">
        <f aca="false">IF(A139="","",E138*AS138)</f>
        <v>13640294.8828102</v>
      </c>
      <c r="G138" s="200" t="e">
        <f aca="false">IF($A139="","",VLOOKUP($A138,Table,MATCH(G$4,Curves,0)))</f>
        <v>#N/A</v>
      </c>
      <c r="H138" s="201" t="e">
        <f aca="false">IF(A139="","",G138)</f>
        <v>#N/A</v>
      </c>
      <c r="I138" s="202"/>
      <c r="J138" s="200" t="e">
        <f aca="false">IF($A139="","",VLOOKUP($A138,Table,MATCH(J$4,Curves,0)))</f>
        <v>#N/A</v>
      </c>
      <c r="K138" s="201" t="e">
        <f aca="false">IF(A139="","",J138)</f>
        <v>#N/A</v>
      </c>
      <c r="L138" s="200" t="e">
        <f aca="false">IF($A139="","",VLOOKUP($A138,Table,MATCH(L$4,Curves,0)))</f>
        <v>#N/A</v>
      </c>
      <c r="M138" s="201" t="e">
        <f aca="false">IF(A139="","",L138)</f>
        <v>#N/A</v>
      </c>
      <c r="N138" s="203"/>
      <c r="O138" s="200" t="e">
        <f aca="false">IF(A139="","",L138+J138+G138)</f>
        <v>#N/A</v>
      </c>
      <c r="P138" s="200" t="e">
        <f aca="false">IF(A139="","",M138+K138+H138)</f>
        <v>#N/A</v>
      </c>
      <c r="Q138" s="204"/>
      <c r="R138" s="200" t="e">
        <f aca="false">IF($A139="","",VLOOKUP($A138,Table,MATCH(R$4,Curves,0)))</f>
        <v>#N/A</v>
      </c>
      <c r="S138" s="201" t="e">
        <f aca="false">IF(A139="","",R138)</f>
        <v>#N/A</v>
      </c>
      <c r="T138" s="185" t="n">
        <v>0</v>
      </c>
      <c r="U138" s="201" t="n">
        <f aca="false">IF(A139="","",T138)</f>
        <v>0</v>
      </c>
      <c r="V138" s="205" t="e">
        <f aca="false">IF($A139="","",IF(AND(MONTH(A138)&gt;3,MONTH(A138)&lt;11),(T138+R138+G138)*Summary!$T$11/(1-Summary!$T$11),(T138+R138+G138)*Summary!$U$11/(1-Summary!$U$11)))</f>
        <v>#N/A</v>
      </c>
      <c r="W138" s="202" t="e">
        <f aca="false">IF($A139="","",(T138+R138+G138+V138))</f>
        <v>#N/A</v>
      </c>
      <c r="X138" s="202" t="e">
        <f aca="false">IF($A139="","",(U138+S138+H138+V138))</f>
        <v>#N/A</v>
      </c>
      <c r="Y138" s="202"/>
      <c r="Z138" s="185" t="e">
        <f aca="false">IF($A139="","",VLOOKUP($A138,Table,MATCH(Z$4,Curves,0)))</f>
        <v>#N/A</v>
      </c>
      <c r="AA138" s="185" t="e">
        <f aca="false">IF($A139="","",VLOOKUP($A138,Table,MATCH(AA$4,Curves,0)))</f>
        <v>#N/A</v>
      </c>
      <c r="AB138" s="185" t="e">
        <f aca="false">SQRT((AA138^2*(A138-$D$3)+Z138^2*(DAY(EOMONTH(A138,0))/2))/AK138)</f>
        <v>#N/A</v>
      </c>
      <c r="AC138" s="185" t="e">
        <f aca="false">IF($A139="","",VLOOKUP($A138,Table,MATCH(AC$4,Curves,0)))</f>
        <v>#N/A</v>
      </c>
      <c r="AD138" s="185" t="e">
        <f aca="false">IF($A139="","",VLOOKUP($A138,Table,MATCH(AD$4,Curves,0)))</f>
        <v>#N/A</v>
      </c>
      <c r="AE138" s="185" t="e">
        <f aca="false">SQRT((AD138^2*(A138-$D$3)+AC138^2*(DAY(EOMONTH(A138,0))/2))/AK138)</f>
        <v>#N/A</v>
      </c>
      <c r="AF138" s="206" t="e">
        <f aca="false">((Summary!$N$11*(AA138*AD138)*(A138-$D$3))+(Summary!$M$11*Z138*AC138*(AJ138-EOMONTH(EDATE(A138,-1),0))))/(AK138*AB138*AE138)</f>
        <v>#N/A</v>
      </c>
      <c r="AG138" s="207" t="n">
        <f aca="false">IF($A139="","",Summary!$Q$11)</f>
        <v>0</v>
      </c>
      <c r="AH138" s="207" t="n">
        <f aca="false">IF($A139="","",IF(Summary!$R$11="Y",(VLOOKUP($A138,Summary!$AD$6:$AF$9,3)+'Escalating commodity'!G151),'Escalating commodity'!G151))</f>
        <v>0.00604244409759163</v>
      </c>
      <c r="AI138" s="207" t="n">
        <f aca="false">IF($A139="","",AH138)</f>
        <v>0.00604244409759163</v>
      </c>
      <c r="AJ138" s="208" t="n">
        <f aca="false">A138+DAY(EOMONTH(A138,0))/2-1</f>
        <v>40953.5</v>
      </c>
      <c r="AK138" s="209" t="n">
        <f aca="false">IF($A139="","",$A138-$E$1)</f>
        <v>-4986</v>
      </c>
      <c r="AL138" s="182" t="e">
        <f aca="false">IF($A139="","",SPRDOPT(P138,X138,AI138,0,AB138,AE138,AF138,AK138,$AJ$2,0))</f>
        <v>#NAME?</v>
      </c>
      <c r="AM138" s="210" t="e">
        <f aca="false">IF($A139="","",MAX(0,O138-W138-AI138))</f>
        <v>#N/A</v>
      </c>
      <c r="AN138" s="211" t="e">
        <f aca="false">IF($A139="","",AL138-AM138)</f>
        <v>#N/A</v>
      </c>
      <c r="AO138" s="137" t="n">
        <f aca="false">IF(A139="","",A139-A138)</f>
        <v>29</v>
      </c>
      <c r="AP138" s="212" t="n">
        <f aca="false">IF(A139="","",CHOOSE(F$3,A139+24,A138))</f>
        <v>40940</v>
      </c>
      <c r="AQ138" s="209" t="n">
        <f aca="false">IF(A139="","",AP138-$E$1)</f>
        <v>-4986</v>
      </c>
      <c r="AR138" s="185" t="n">
        <f aca="false">'ANR OK vs ML7'!AR138</f>
        <v>0.1</v>
      </c>
      <c r="AS138" s="213" t="n">
        <f aca="false">IF(A139="","",1/(1+CHOOSE(F$3,(AR139+($I$3/10000))/2,(AR138+($I$3/10000))/2))^(2*AQ138/365.25))</f>
        <v>3.78884661080837</v>
      </c>
      <c r="AT138" s="137" t="n">
        <f aca="false">IF(A139="","",IF(AND(mthbeg&lt;=A138,mthend&gt;=A138),1,0))</f>
        <v>1</v>
      </c>
      <c r="AU138" s="137" t="n">
        <f aca="false">IF(A139="","",AO138*AT138)</f>
        <v>29</v>
      </c>
      <c r="AW138" s="195" t="e">
        <f aca="false">IF($A139="","",AL138*$E138)</f>
        <v>#NAME?</v>
      </c>
      <c r="AX138" s="195" t="e">
        <f aca="false">IF($A139="","",AM138*$E138)</f>
        <v>#N/A</v>
      </c>
      <c r="AY138" s="195" t="e">
        <f aca="false">IF($A139="","",AN138*$E138)</f>
        <v>#N/A</v>
      </c>
      <c r="BA138" s="195" t="n">
        <f aca="false">IF($A139="","",F138*Summary!$Q$11)</f>
        <v>0</v>
      </c>
      <c r="BC138" s="179" t="e">
        <f aca="false">IF(A139="","",AM138*F138)</f>
        <v>#N/A</v>
      </c>
    </row>
    <row r="139" customFormat="false" ht="12.75" hidden="false" customHeight="false" outlineLevel="0" collapsed="false">
      <c r="A139" s="196" t="n">
        <f aca="false">IF(A138&lt;mthend,EDATE(A138,1),"")</f>
        <v>40969</v>
      </c>
      <c r="B139" s="197" t="n">
        <f aca="false">IF(A139&lt;mthend,B138,"")</f>
        <v>124142</v>
      </c>
      <c r="C139" s="215"/>
      <c r="D139" s="197" t="n">
        <f aca="false">IF(A140&lt;&gt;"",B139+C139,"")</f>
        <v>124142</v>
      </c>
      <c r="E139" s="199" t="n">
        <f aca="false">IF(A140="","",IF(AND(AT139=1,$H$3=1),D139*AO139,IF($H$3=2,D139,"N/A")))</f>
        <v>3848402</v>
      </c>
      <c r="F139" s="199" t="n">
        <f aca="false">IF(A140="","",E139*AS139)</f>
        <v>14468472.8303724</v>
      </c>
      <c r="G139" s="200" t="e">
        <f aca="false">IF($A140="","",VLOOKUP($A139,Table,MATCH(G$4,Curves,0)))</f>
        <v>#N/A</v>
      </c>
      <c r="H139" s="201" t="e">
        <f aca="false">IF(A140="","",G139)</f>
        <v>#N/A</v>
      </c>
      <c r="I139" s="202"/>
      <c r="J139" s="200" t="e">
        <f aca="false">IF($A140="","",VLOOKUP($A139,Table,MATCH(J$4,Curves,0)))</f>
        <v>#N/A</v>
      </c>
      <c r="K139" s="201" t="e">
        <f aca="false">IF(A140="","",J139)</f>
        <v>#N/A</v>
      </c>
      <c r="L139" s="200" t="e">
        <f aca="false">IF($A140="","",VLOOKUP($A139,Table,MATCH(L$4,Curves,0)))</f>
        <v>#N/A</v>
      </c>
      <c r="M139" s="201" t="e">
        <f aca="false">IF(A140="","",L139)</f>
        <v>#N/A</v>
      </c>
      <c r="N139" s="203"/>
      <c r="O139" s="200" t="e">
        <f aca="false">IF(A140="","",L139+J139+G139)</f>
        <v>#N/A</v>
      </c>
      <c r="P139" s="200" t="e">
        <f aca="false">IF(A140="","",M139+K139+H139)</f>
        <v>#N/A</v>
      </c>
      <c r="Q139" s="204"/>
      <c r="R139" s="200" t="e">
        <f aca="false">IF($A140="","",VLOOKUP($A139,Table,MATCH(R$4,Curves,0)))</f>
        <v>#N/A</v>
      </c>
      <c r="S139" s="201" t="e">
        <f aca="false">IF(A140="","",R139)</f>
        <v>#N/A</v>
      </c>
      <c r="T139" s="185" t="n">
        <v>0</v>
      </c>
      <c r="U139" s="201" t="n">
        <f aca="false">IF(A140="","",T139)</f>
        <v>0</v>
      </c>
      <c r="V139" s="205" t="e">
        <f aca="false">IF($A140="","",IF(AND(MONTH(A139)&gt;3,MONTH(A139)&lt;11),(T139+R139+G139)*Summary!$T$11/(1-Summary!$T$11),(T139+R139+G139)*Summary!$U$11/(1-Summary!$U$11)))</f>
        <v>#N/A</v>
      </c>
      <c r="W139" s="202" t="e">
        <f aca="false">IF($A140="","",(T139+R139+G139+V139))</f>
        <v>#N/A</v>
      </c>
      <c r="X139" s="202" t="e">
        <f aca="false">IF($A140="","",(U139+S139+H139+V139))</f>
        <v>#N/A</v>
      </c>
      <c r="Y139" s="202"/>
      <c r="Z139" s="185" t="e">
        <f aca="false">IF($A140="","",VLOOKUP($A139,Table,MATCH(Z$4,Curves,0)))</f>
        <v>#N/A</v>
      </c>
      <c r="AA139" s="185" t="e">
        <f aca="false">IF($A140="","",VLOOKUP($A139,Table,MATCH(AA$4,Curves,0)))</f>
        <v>#N/A</v>
      </c>
      <c r="AB139" s="185" t="e">
        <f aca="false">SQRT((AA139^2*(A139-$D$3)+Z139^2*(DAY(EOMONTH(A139,0))/2))/AK139)</f>
        <v>#N/A</v>
      </c>
      <c r="AC139" s="185" t="e">
        <f aca="false">IF($A140="","",VLOOKUP($A139,Table,MATCH(AC$4,Curves,0)))</f>
        <v>#N/A</v>
      </c>
      <c r="AD139" s="185" t="e">
        <f aca="false">IF($A140="","",VLOOKUP($A139,Table,MATCH(AD$4,Curves,0)))</f>
        <v>#N/A</v>
      </c>
      <c r="AE139" s="185" t="e">
        <f aca="false">SQRT((AD139^2*(A139-$D$3)+AC139^2*(DAY(EOMONTH(A139,0))/2))/AK139)</f>
        <v>#N/A</v>
      </c>
      <c r="AF139" s="206" t="e">
        <f aca="false">((Summary!$N$11*(AA139*AD139)*(A139-$D$3))+(Summary!$M$11*Z139*AC139*(AJ139-EOMONTH(EDATE(A139,-1),0))))/(AK139*AB139*AE139)</f>
        <v>#N/A</v>
      </c>
      <c r="AG139" s="207" t="n">
        <f aca="false">IF($A140="","",Summary!$Q$11)</f>
        <v>0</v>
      </c>
      <c r="AH139" s="207" t="n">
        <f aca="false">IF($A140="","",IF(Summary!$R$11="Y",(VLOOKUP($A139,Summary!$AD$6:$AF$9,3)+'Escalating commodity'!G152),'Escalating commodity'!G152))</f>
        <v>0.00604244409759163</v>
      </c>
      <c r="AI139" s="207" t="n">
        <f aca="false">IF($A140="","",AH139)</f>
        <v>0.00604244409759163</v>
      </c>
      <c r="AJ139" s="208" t="n">
        <f aca="false">A139+DAY(EOMONTH(A139,0))/2-1</f>
        <v>40983.5</v>
      </c>
      <c r="AK139" s="209" t="n">
        <f aca="false">IF($A140="","",$A139-$E$1)</f>
        <v>-4957</v>
      </c>
      <c r="AL139" s="182" t="e">
        <f aca="false">IF($A140="","",SPRDOPT(P139,X139,AI139,0,AB139,AE139,AF139,AK139,$AJ$2,0))</f>
        <v>#NAME?</v>
      </c>
      <c r="AM139" s="210" t="e">
        <f aca="false">IF($A140="","",MAX(0,O139-W139-AI139))</f>
        <v>#N/A</v>
      </c>
      <c r="AN139" s="211" t="e">
        <f aca="false">IF($A140="","",AL139-AM139)</f>
        <v>#N/A</v>
      </c>
      <c r="AO139" s="137" t="n">
        <f aca="false">IF(A140="","",A140-A139)</f>
        <v>31</v>
      </c>
      <c r="AP139" s="212" t="n">
        <f aca="false">IF(A140="","",CHOOSE(F$3,A140+24,A139))</f>
        <v>40969</v>
      </c>
      <c r="AQ139" s="209" t="n">
        <f aca="false">IF(A140="","",AP139-$E$1)</f>
        <v>-4957</v>
      </c>
      <c r="AR139" s="185" t="n">
        <f aca="false">'ANR OK vs ML7'!AR139</f>
        <v>0.1</v>
      </c>
      <c r="AS139" s="213" t="n">
        <f aca="false">IF(A140="","",1/(1+CHOOSE(F$3,(AR140+($I$3/10000))/2,(AR139+($I$3/10000))/2))^(2*AQ139/365.25))</f>
        <v>3.75960537136515</v>
      </c>
      <c r="AT139" s="137" t="n">
        <f aca="false">IF(A140="","",IF(AND(mthbeg&lt;=A139,mthend&gt;=A139),1,0))</f>
        <v>1</v>
      </c>
      <c r="AU139" s="137" t="n">
        <f aca="false">IF(A140="","",AO139*AT139)</f>
        <v>31</v>
      </c>
      <c r="AW139" s="195" t="e">
        <f aca="false">IF($A140="","",AL139*$E139)</f>
        <v>#NAME?</v>
      </c>
      <c r="AX139" s="195" t="e">
        <f aca="false">IF($A140="","",AM139*$E139)</f>
        <v>#N/A</v>
      </c>
      <c r="AY139" s="195" t="e">
        <f aca="false">IF($A140="","",AN139*$E139)</f>
        <v>#N/A</v>
      </c>
      <c r="BA139" s="195" t="n">
        <f aca="false">IF($A140="","",F139*Summary!$Q$11)</f>
        <v>0</v>
      </c>
      <c r="BC139" s="179" t="e">
        <f aca="false">IF(A140="","",AM139*F139)</f>
        <v>#N/A</v>
      </c>
    </row>
    <row r="140" customFormat="false" ht="12.75" hidden="false" customHeight="false" outlineLevel="0" collapsed="false">
      <c r="A140" s="196" t="n">
        <f aca="false">IF(A139&lt;mthend,EDATE(A139,1),"")</f>
        <v>41000</v>
      </c>
      <c r="B140" s="197" t="n">
        <f aca="false">IF(A140&lt;mthend,B139,"")</f>
        <v>124142</v>
      </c>
      <c r="C140" s="215"/>
      <c r="D140" s="197" t="n">
        <f aca="false">IF(A141&lt;&gt;"",B140+C140,"")</f>
        <v>124142</v>
      </c>
      <c r="E140" s="199" t="n">
        <f aca="false">IF(A141="","",IF(AND(AT140=1,$H$3=1),D140*AO140,IF($H$3=2,D140,"N/A")))</f>
        <v>3724260</v>
      </c>
      <c r="F140" s="199" t="n">
        <f aca="false">IF(A141="","",E140*AS140)</f>
        <v>13886264.6943376</v>
      </c>
      <c r="G140" s="200" t="e">
        <f aca="false">IF($A141="","",VLOOKUP($A140,Table,MATCH(G$4,Curves,0)))</f>
        <v>#N/A</v>
      </c>
      <c r="H140" s="201" t="e">
        <f aca="false">IF(A141="","",G140)</f>
        <v>#N/A</v>
      </c>
      <c r="I140" s="202"/>
      <c r="J140" s="200" t="e">
        <f aca="false">IF($A141="","",VLOOKUP($A140,Table,MATCH(J$4,Curves,0)))</f>
        <v>#N/A</v>
      </c>
      <c r="K140" s="201" t="e">
        <f aca="false">IF(A141="","",J140)</f>
        <v>#N/A</v>
      </c>
      <c r="L140" s="200" t="e">
        <f aca="false">IF($A141="","",VLOOKUP($A140,Table,MATCH(L$4,Curves,0)))</f>
        <v>#N/A</v>
      </c>
      <c r="M140" s="201" t="e">
        <f aca="false">IF(A141="","",L140)</f>
        <v>#N/A</v>
      </c>
      <c r="N140" s="203"/>
      <c r="O140" s="200" t="e">
        <f aca="false">IF(A141="","",L140+J140+G140)</f>
        <v>#N/A</v>
      </c>
      <c r="P140" s="200" t="e">
        <f aca="false">IF(A141="","",M140+K140+H140)</f>
        <v>#N/A</v>
      </c>
      <c r="Q140" s="204"/>
      <c r="R140" s="200" t="e">
        <f aca="false">IF($A141="","",VLOOKUP($A140,Table,MATCH(R$4,Curves,0)))</f>
        <v>#N/A</v>
      </c>
      <c r="S140" s="201" t="e">
        <f aca="false">IF(A141="","",R140)</f>
        <v>#N/A</v>
      </c>
      <c r="T140" s="185" t="n">
        <v>0</v>
      </c>
      <c r="U140" s="201" t="n">
        <f aca="false">IF(A141="","",T140)</f>
        <v>0</v>
      </c>
      <c r="V140" s="205" t="e">
        <f aca="false">IF($A141="","",IF(AND(MONTH(A140)&gt;3,MONTH(A140)&lt;11),(T140+R140+G140)*Summary!$T$11/(1-Summary!$T$11),(T140+R140+G140)*Summary!$U$11/(1-Summary!$U$11)))</f>
        <v>#N/A</v>
      </c>
      <c r="W140" s="202" t="e">
        <f aca="false">IF($A141="","",(T140+R140+G140+V140))</f>
        <v>#N/A</v>
      </c>
      <c r="X140" s="202" t="e">
        <f aca="false">IF($A141="","",(U140+S140+H140+V140))</f>
        <v>#N/A</v>
      </c>
      <c r="Y140" s="202"/>
      <c r="Z140" s="185" t="e">
        <f aca="false">IF($A141="","",VLOOKUP($A140,Table,MATCH(Z$4,Curves,0)))</f>
        <v>#N/A</v>
      </c>
      <c r="AA140" s="185" t="e">
        <f aca="false">IF($A141="","",VLOOKUP($A140,Table,MATCH(AA$4,Curves,0)))</f>
        <v>#N/A</v>
      </c>
      <c r="AB140" s="185" t="e">
        <f aca="false">SQRT((AA140^2*(A140-$D$3)+Z140^2*(DAY(EOMONTH(A140,0))/2))/AK140)</f>
        <v>#N/A</v>
      </c>
      <c r="AC140" s="185" t="e">
        <f aca="false">IF($A141="","",VLOOKUP($A140,Table,MATCH(AC$4,Curves,0)))</f>
        <v>#N/A</v>
      </c>
      <c r="AD140" s="185" t="e">
        <f aca="false">IF($A141="","",VLOOKUP($A140,Table,MATCH(AD$4,Curves,0)))</f>
        <v>#N/A</v>
      </c>
      <c r="AE140" s="185" t="e">
        <f aca="false">SQRT((AD140^2*(A140-$D$3)+AC140^2*(DAY(EOMONTH(A140,0))/2))/AK140)</f>
        <v>#N/A</v>
      </c>
      <c r="AF140" s="206" t="e">
        <f aca="false">((Summary!$N$11*(AA140*AD140)*(A140-$D$3))+(Summary!$M$11*Z140*AC140*(AJ140-EOMONTH(EDATE(A140,-1),0))))/(AK140*AB140*AE140)</f>
        <v>#N/A</v>
      </c>
      <c r="AG140" s="207" t="n">
        <f aca="false">IF($A141="","",Summary!$Q$11)</f>
        <v>0</v>
      </c>
      <c r="AH140" s="207" t="n">
        <f aca="false">IF($A141="","",IF(Summary!$R$11="Y",(VLOOKUP($A140,Summary!$AD$6:$AF$9,3)+'Escalating commodity'!G153),'Escalating commodity'!G153))</f>
        <v>0.00604244409759163</v>
      </c>
      <c r="AI140" s="207" t="n">
        <f aca="false">IF($A141="","",AH140)</f>
        <v>0.00604244409759163</v>
      </c>
      <c r="AJ140" s="208" t="n">
        <f aca="false">A140+DAY(EOMONTH(A140,0))/2-1</f>
        <v>41014</v>
      </c>
      <c r="AK140" s="209" t="n">
        <f aca="false">IF($A141="","",$A140-$E$1)</f>
        <v>-4926</v>
      </c>
      <c r="AL140" s="182" t="e">
        <f aca="false">IF($A141="","",SPRDOPT(P140,X140,AI140,0,AB140,AE140,AF140,AK140,$AJ$2,0))</f>
        <v>#NAME?</v>
      </c>
      <c r="AM140" s="210" t="e">
        <f aca="false">IF($A141="","",MAX(0,O140-W140-AI140))</f>
        <v>#N/A</v>
      </c>
      <c r="AN140" s="211" t="e">
        <f aca="false">IF($A141="","",AL140-AM140)</f>
        <v>#N/A</v>
      </c>
      <c r="AO140" s="137" t="n">
        <f aca="false">IF(A141="","",A141-A140)</f>
        <v>30</v>
      </c>
      <c r="AP140" s="212" t="n">
        <f aca="false">IF(A141="","",CHOOSE(F$3,A141+24,A140))</f>
        <v>41000</v>
      </c>
      <c r="AQ140" s="209" t="n">
        <f aca="false">IF(A141="","",AP140-$E$1)</f>
        <v>-4926</v>
      </c>
      <c r="AR140" s="185" t="n">
        <f aca="false">'ANR OK vs ML7'!AR140</f>
        <v>0.1</v>
      </c>
      <c r="AS140" s="213" t="n">
        <f aca="false">IF(A141="","",1/(1+CHOOSE(F$3,(AR141+($I$3/10000))/2,(AR140+($I$3/10000))/2))^(2*AQ140/365.25))</f>
        <v>3.72859700835537</v>
      </c>
      <c r="AT140" s="137" t="n">
        <f aca="false">IF(A141="","",IF(AND(mthbeg&lt;=A140,mthend&gt;=A140),1,0))</f>
        <v>1</v>
      </c>
      <c r="AU140" s="137" t="n">
        <f aca="false">IF(A141="","",AO140*AT140)</f>
        <v>30</v>
      </c>
      <c r="AW140" s="195" t="e">
        <f aca="false">IF($A141="","",AL140*$E140)</f>
        <v>#NAME?</v>
      </c>
      <c r="AX140" s="195" t="e">
        <f aca="false">IF($A141="","",AM140*$E140)</f>
        <v>#N/A</v>
      </c>
      <c r="AY140" s="195" t="e">
        <f aca="false">IF($A141="","",AN140*$E140)</f>
        <v>#N/A</v>
      </c>
      <c r="BA140" s="195" t="n">
        <f aca="false">IF($A141="","",F140*Summary!$Q$11)</f>
        <v>0</v>
      </c>
      <c r="BC140" s="179" t="e">
        <f aca="false">IF(A141="","",AM140*F140)</f>
        <v>#N/A</v>
      </c>
    </row>
    <row r="141" customFormat="false" ht="12.75" hidden="false" customHeight="false" outlineLevel="0" collapsed="false">
      <c r="A141" s="196" t="n">
        <f aca="false">IF(A140&lt;mthend,EDATE(A140,1),"")</f>
        <v>41030</v>
      </c>
      <c r="B141" s="197" t="n">
        <f aca="false">IF(A141&lt;mthend,B140,"")</f>
        <v>124142</v>
      </c>
      <c r="C141" s="215"/>
      <c r="D141" s="197" t="n">
        <f aca="false">IF(A142&lt;&gt;"",B141+C141,"")</f>
        <v>124142</v>
      </c>
      <c r="E141" s="199" t="n">
        <f aca="false">IF(A142="","",IF(AND(AT141=1,$H$3=1),D141*AO141,IF($H$3=2,D141,"N/A")))</f>
        <v>3848402</v>
      </c>
      <c r="F141" s="199" t="n">
        <f aca="false">IF(A142="","",E141*AS141)</f>
        <v>14234594.1778503</v>
      </c>
      <c r="G141" s="200" t="e">
        <f aca="false">IF($A142="","",VLOOKUP($A141,Table,MATCH(G$4,Curves,0)))</f>
        <v>#N/A</v>
      </c>
      <c r="H141" s="201" t="e">
        <f aca="false">IF(A142="","",G141)</f>
        <v>#N/A</v>
      </c>
      <c r="I141" s="202"/>
      <c r="J141" s="200" t="e">
        <f aca="false">IF($A142="","",VLOOKUP($A141,Table,MATCH(J$4,Curves,0)))</f>
        <v>#N/A</v>
      </c>
      <c r="K141" s="201" t="e">
        <f aca="false">IF(A142="","",J141)</f>
        <v>#N/A</v>
      </c>
      <c r="L141" s="200" t="e">
        <f aca="false">IF($A142="","",VLOOKUP($A141,Table,MATCH(L$4,Curves,0)))</f>
        <v>#N/A</v>
      </c>
      <c r="M141" s="201" t="e">
        <f aca="false">IF(A142="","",L141)</f>
        <v>#N/A</v>
      </c>
      <c r="N141" s="203"/>
      <c r="O141" s="200" t="e">
        <f aca="false">IF(A142="","",L141+J141+G141)</f>
        <v>#N/A</v>
      </c>
      <c r="P141" s="200" t="e">
        <f aca="false">IF(A142="","",M141+K141+H141)</f>
        <v>#N/A</v>
      </c>
      <c r="Q141" s="204"/>
      <c r="R141" s="200" t="e">
        <f aca="false">IF($A142="","",VLOOKUP($A141,Table,MATCH(R$4,Curves,0)))</f>
        <v>#N/A</v>
      </c>
      <c r="S141" s="201" t="e">
        <f aca="false">IF(A142="","",R141)</f>
        <v>#N/A</v>
      </c>
      <c r="T141" s="185" t="n">
        <v>0</v>
      </c>
      <c r="U141" s="201" t="n">
        <f aca="false">IF(A142="","",T141)</f>
        <v>0</v>
      </c>
      <c r="V141" s="205" t="e">
        <f aca="false">IF($A142="","",IF(AND(MONTH(A141)&gt;3,MONTH(A141)&lt;11),(T141+R141+G141)*Summary!$T$11/(1-Summary!$T$11),(T141+R141+G141)*Summary!$U$11/(1-Summary!$U$11)))</f>
        <v>#N/A</v>
      </c>
      <c r="W141" s="202" t="e">
        <f aca="false">IF($A142="","",(T141+R141+G141+V141))</f>
        <v>#N/A</v>
      </c>
      <c r="X141" s="202" t="e">
        <f aca="false">IF($A142="","",(U141+S141+H141+V141))</f>
        <v>#N/A</v>
      </c>
      <c r="Y141" s="202"/>
      <c r="Z141" s="185" t="e">
        <f aca="false">IF($A142="","",VLOOKUP($A141,Table,MATCH(Z$4,Curves,0)))</f>
        <v>#N/A</v>
      </c>
      <c r="AA141" s="185" t="e">
        <f aca="false">IF($A142="","",VLOOKUP($A141,Table,MATCH(AA$4,Curves,0)))</f>
        <v>#N/A</v>
      </c>
      <c r="AB141" s="185" t="e">
        <f aca="false">SQRT((AA141^2*(A141-$D$3)+Z141^2*(DAY(EOMONTH(A141,0))/2))/AK141)</f>
        <v>#N/A</v>
      </c>
      <c r="AC141" s="185" t="e">
        <f aca="false">IF($A142="","",VLOOKUP($A141,Table,MATCH(AC$4,Curves,0)))</f>
        <v>#N/A</v>
      </c>
      <c r="AD141" s="185" t="e">
        <f aca="false">IF($A142="","",VLOOKUP($A141,Table,MATCH(AD$4,Curves,0)))</f>
        <v>#N/A</v>
      </c>
      <c r="AE141" s="185" t="e">
        <f aca="false">SQRT((AD141^2*(A141-$D$3)+AC141^2*(DAY(EOMONTH(A141,0))/2))/AK141)</f>
        <v>#N/A</v>
      </c>
      <c r="AF141" s="206" t="e">
        <f aca="false">((Summary!$N$11*(AA141*AD141)*(A141-$D$3))+(Summary!$M$11*Z141*AC141*(AJ141-EOMONTH(EDATE(A141,-1),0))))/(AK141*AB141*AE141)</f>
        <v>#N/A</v>
      </c>
      <c r="AG141" s="207" t="n">
        <f aca="false">IF($A142="","",Summary!$Q$11)</f>
        <v>0</v>
      </c>
      <c r="AH141" s="207" t="n">
        <f aca="false">IF($A142="","",IF(Summary!$R$11="Y",(VLOOKUP($A141,Summary!$AD$6:$AF$9,3)+'Escalating commodity'!G154),'Escalating commodity'!G154))</f>
        <v>0.00604244409759163</v>
      </c>
      <c r="AI141" s="207" t="n">
        <f aca="false">IF($A142="","",AH141)</f>
        <v>0.00604244409759163</v>
      </c>
      <c r="AJ141" s="208" t="n">
        <f aca="false">A141+DAY(EOMONTH(A141,0))/2-1</f>
        <v>41044.5</v>
      </c>
      <c r="AK141" s="209" t="n">
        <f aca="false">IF($A142="","",$A141-$E$1)</f>
        <v>-4896</v>
      </c>
      <c r="AL141" s="182" t="e">
        <f aca="false">IF($A142="","",SPRDOPT(P141,X141,AI141,0,AB141,AE141,AF141,AK141,$AJ$2,0))</f>
        <v>#NAME?</v>
      </c>
      <c r="AM141" s="210" t="e">
        <f aca="false">IF($A142="","",MAX(0,O141-W141-AI141))</f>
        <v>#N/A</v>
      </c>
      <c r="AN141" s="211" t="e">
        <f aca="false">IF($A142="","",AL141-AM141)</f>
        <v>#N/A</v>
      </c>
      <c r="AO141" s="137" t="n">
        <f aca="false">IF(A142="","",A142-A141)</f>
        <v>31</v>
      </c>
      <c r="AP141" s="212" t="n">
        <f aca="false">IF(A142="","",CHOOSE(F$3,A142+24,A141))</f>
        <v>41030</v>
      </c>
      <c r="AQ141" s="209" t="n">
        <f aca="false">IF(A142="","",AP141-$E$1)</f>
        <v>-4896</v>
      </c>
      <c r="AR141" s="185" t="n">
        <f aca="false">'ANR OK vs ML7'!AR141</f>
        <v>0.1</v>
      </c>
      <c r="AS141" s="213" t="n">
        <f aca="false">IF(A142="","",1/(1+CHOOSE(F$3,(AR142+($I$3/10000))/2,(AR141+($I$3/10000))/2))^(2*AQ141/365.25))</f>
        <v>3.6988324447005</v>
      </c>
      <c r="AT141" s="137" t="n">
        <f aca="false">IF(A142="","",IF(AND(mthbeg&lt;=A141,mthend&gt;=A141),1,0))</f>
        <v>1</v>
      </c>
      <c r="AU141" s="137" t="n">
        <f aca="false">IF(A142="","",AO141*AT141)</f>
        <v>31</v>
      </c>
      <c r="AW141" s="195" t="e">
        <f aca="false">IF($A142="","",AL141*$E141)</f>
        <v>#NAME?</v>
      </c>
      <c r="AX141" s="195" t="e">
        <f aca="false">IF($A142="","",AM141*$E141)</f>
        <v>#N/A</v>
      </c>
      <c r="AY141" s="195" t="e">
        <f aca="false">IF($A142="","",AN141*$E141)</f>
        <v>#N/A</v>
      </c>
      <c r="BA141" s="195" t="n">
        <f aca="false">IF($A142="","",F141*Summary!$Q$11)</f>
        <v>0</v>
      </c>
      <c r="BC141" s="179" t="e">
        <f aca="false">IF(A142="","",AM141*F141)</f>
        <v>#N/A</v>
      </c>
    </row>
    <row r="142" customFormat="false" ht="12.75" hidden="false" customHeight="false" outlineLevel="0" collapsed="false">
      <c r="A142" s="196" t="n">
        <f aca="false">IF(A141&lt;mthend,EDATE(A141,1),"")</f>
        <v>41061</v>
      </c>
      <c r="B142" s="197" t="n">
        <f aca="false">IF(A142&lt;mthend,B141,"")</f>
        <v>124142</v>
      </c>
      <c r="C142" s="215"/>
      <c r="D142" s="197" t="n">
        <f aca="false">IF(A143&lt;&gt;"",B142+C142,"")</f>
        <v>124142</v>
      </c>
      <c r="E142" s="199" t="n">
        <f aca="false">IF(A143="","",IF(AND(AT142=1,$H$3=1),D142*AO142,IF($H$3=2,D142,"N/A")))</f>
        <v>3724260</v>
      </c>
      <c r="F142" s="199" t="n">
        <f aca="false">IF(A143="","",E142*AS142)</f>
        <v>13661797.2668936</v>
      </c>
      <c r="G142" s="200" t="e">
        <f aca="false">IF($A143="","",VLOOKUP($A142,Table,MATCH(G$4,Curves,0)))</f>
        <v>#N/A</v>
      </c>
      <c r="H142" s="201" t="e">
        <f aca="false">IF(A143="","",G142)</f>
        <v>#N/A</v>
      </c>
      <c r="I142" s="202"/>
      <c r="J142" s="200" t="e">
        <f aca="false">IF($A143="","",VLOOKUP($A142,Table,MATCH(J$4,Curves,0)))</f>
        <v>#N/A</v>
      </c>
      <c r="K142" s="201" t="e">
        <f aca="false">IF(A143="","",J142)</f>
        <v>#N/A</v>
      </c>
      <c r="L142" s="200" t="e">
        <f aca="false">IF($A143="","",VLOOKUP($A142,Table,MATCH(L$4,Curves,0)))</f>
        <v>#N/A</v>
      </c>
      <c r="M142" s="201" t="e">
        <f aca="false">IF(A143="","",L142)</f>
        <v>#N/A</v>
      </c>
      <c r="N142" s="203"/>
      <c r="O142" s="200" t="e">
        <f aca="false">IF(A143="","",L142+J142+G142)</f>
        <v>#N/A</v>
      </c>
      <c r="P142" s="200" t="e">
        <f aca="false">IF(A143="","",M142+K142+H142)</f>
        <v>#N/A</v>
      </c>
      <c r="Q142" s="204"/>
      <c r="R142" s="200" t="e">
        <f aca="false">IF($A143="","",VLOOKUP($A142,Table,MATCH(R$4,Curves,0)))</f>
        <v>#N/A</v>
      </c>
      <c r="S142" s="201" t="e">
        <f aca="false">IF(A143="","",R142)</f>
        <v>#N/A</v>
      </c>
      <c r="T142" s="185" t="n">
        <v>0</v>
      </c>
      <c r="U142" s="201" t="n">
        <f aca="false">IF(A143="","",T142)</f>
        <v>0</v>
      </c>
      <c r="V142" s="205" t="e">
        <f aca="false">IF($A143="","",IF(AND(MONTH(A142)&gt;3,MONTH(A142)&lt;11),(T142+R142+G142)*Summary!$T$11/(1-Summary!$T$11),(T142+R142+G142)*Summary!$U$11/(1-Summary!$U$11)))</f>
        <v>#N/A</v>
      </c>
      <c r="W142" s="202" t="e">
        <f aca="false">IF($A143="","",(T142+R142+G142+V142))</f>
        <v>#N/A</v>
      </c>
      <c r="X142" s="202" t="e">
        <f aca="false">IF($A143="","",(U142+S142+H142+V142))</f>
        <v>#N/A</v>
      </c>
      <c r="Y142" s="202"/>
      <c r="Z142" s="185" t="e">
        <f aca="false">IF($A143="","",VLOOKUP($A142,Table,MATCH(Z$4,Curves,0)))</f>
        <v>#N/A</v>
      </c>
      <c r="AA142" s="185" t="e">
        <f aca="false">IF($A143="","",VLOOKUP($A142,Table,MATCH(AA$4,Curves,0)))</f>
        <v>#N/A</v>
      </c>
      <c r="AB142" s="185" t="e">
        <f aca="false">SQRT((AA142^2*(A142-$D$3)+Z142^2*(DAY(EOMONTH(A142,0))/2))/AK142)</f>
        <v>#N/A</v>
      </c>
      <c r="AC142" s="185" t="e">
        <f aca="false">IF($A143="","",VLOOKUP($A142,Table,MATCH(AC$4,Curves,0)))</f>
        <v>#N/A</v>
      </c>
      <c r="AD142" s="185" t="e">
        <f aca="false">IF($A143="","",VLOOKUP($A142,Table,MATCH(AD$4,Curves,0)))</f>
        <v>#N/A</v>
      </c>
      <c r="AE142" s="185" t="e">
        <f aca="false">SQRT((AD142^2*(A142-$D$3)+AC142^2*(DAY(EOMONTH(A142,0))/2))/AK142)</f>
        <v>#N/A</v>
      </c>
      <c r="AF142" s="206" t="e">
        <f aca="false">((Summary!$N$11*(AA142*AD142)*(A142-$D$3))+(Summary!$M$11*Z142*AC142*(AJ142-EOMONTH(EDATE(A142,-1),0))))/(AK142*AB142*AE142)</f>
        <v>#N/A</v>
      </c>
      <c r="AG142" s="207" t="n">
        <f aca="false">IF($A143="","",Summary!$Q$11)</f>
        <v>0</v>
      </c>
      <c r="AH142" s="207" t="n">
        <f aca="false">IF($A143="","",IF(Summary!$R$11="Y",(VLOOKUP($A142,Summary!$AD$6:$AF$9,3)+'Escalating commodity'!G155),'Escalating commodity'!G155))</f>
        <v>0.00604244409759163</v>
      </c>
      <c r="AI142" s="207" t="n">
        <f aca="false">IF($A143="","",AH142)</f>
        <v>0.00604244409759163</v>
      </c>
      <c r="AJ142" s="208" t="n">
        <f aca="false">A142+DAY(EOMONTH(A142,0))/2-1</f>
        <v>41075</v>
      </c>
      <c r="AK142" s="209" t="n">
        <f aca="false">IF($A143="","",$A142-$E$1)</f>
        <v>-4865</v>
      </c>
      <c r="AL142" s="182" t="e">
        <f aca="false">IF($A143="","",SPRDOPT(P142,X142,AI142,0,AB142,AE142,AF142,AK142,$AJ$2,0))</f>
        <v>#NAME?</v>
      </c>
      <c r="AM142" s="210" t="e">
        <f aca="false">IF($A143="","",MAX(0,O142-W142-AI142))</f>
        <v>#N/A</v>
      </c>
      <c r="AN142" s="211" t="e">
        <f aca="false">IF($A143="","",AL142-AM142)</f>
        <v>#N/A</v>
      </c>
      <c r="AO142" s="137" t="n">
        <f aca="false">IF(A143="","",A143-A142)</f>
        <v>30</v>
      </c>
      <c r="AP142" s="212" t="n">
        <f aca="false">IF(A143="","",CHOOSE(F$3,A143+24,A142))</f>
        <v>41061</v>
      </c>
      <c r="AQ142" s="209" t="n">
        <f aca="false">IF(A143="","",AP142-$E$1)</f>
        <v>-4865</v>
      </c>
      <c r="AR142" s="185" t="n">
        <f aca="false">'ANR OK vs ML7'!AR142</f>
        <v>0.1</v>
      </c>
      <c r="AS142" s="213" t="n">
        <f aca="false">IF(A143="","",1/(1+CHOOSE(F$3,(AR143+($I$3/10000))/2,(AR142+($I$3/10000))/2))^(2*AQ142/365.25))</f>
        <v>3.66832532285436</v>
      </c>
      <c r="AT142" s="137" t="n">
        <f aca="false">IF(A143="","",IF(AND(mthbeg&lt;=A142,mthend&gt;=A142),1,0))</f>
        <v>1</v>
      </c>
      <c r="AU142" s="137" t="n">
        <f aca="false">IF(A143="","",AO142*AT142)</f>
        <v>30</v>
      </c>
      <c r="AW142" s="195" t="e">
        <f aca="false">IF($A143="","",AL142*$E142)</f>
        <v>#NAME?</v>
      </c>
      <c r="AX142" s="195" t="e">
        <f aca="false">IF($A143="","",AM142*$E142)</f>
        <v>#N/A</v>
      </c>
      <c r="AY142" s="195" t="e">
        <f aca="false">IF($A143="","",AN142*$E142)</f>
        <v>#N/A</v>
      </c>
      <c r="BA142" s="195" t="n">
        <f aca="false">IF($A143="","",F142*Summary!$Q$11)</f>
        <v>0</v>
      </c>
      <c r="BC142" s="179" t="e">
        <f aca="false">IF(A143="","",AM142*F142)</f>
        <v>#N/A</v>
      </c>
    </row>
    <row r="143" customFormat="false" ht="12.75" hidden="false" customHeight="false" outlineLevel="0" collapsed="false">
      <c r="A143" s="196" t="n">
        <f aca="false">IF(A142&lt;mthend,EDATE(A142,1),"")</f>
        <v>41091</v>
      </c>
      <c r="B143" s="197" t="n">
        <f aca="false">IF(A143&lt;mthend,B142,"")</f>
        <v>124142</v>
      </c>
      <c r="C143" s="215"/>
      <c r="D143" s="197" t="n">
        <f aca="false">IF(A144&lt;&gt;"",B143+C143,"")</f>
        <v>124142</v>
      </c>
      <c r="E143" s="199" t="n">
        <f aca="false">IF(A144="","",IF(AND(AT143=1,$H$3=1),D143*AO143,IF($H$3=2,D143,"N/A")))</f>
        <v>3848402</v>
      </c>
      <c r="F143" s="199" t="n">
        <f aca="false">IF(A144="","",E143*AS143)</f>
        <v>14004496.1056802</v>
      </c>
      <c r="G143" s="200" t="e">
        <f aca="false">IF($A144="","",VLOOKUP($A143,Table,MATCH(G$4,Curves,0)))</f>
        <v>#N/A</v>
      </c>
      <c r="H143" s="201" t="e">
        <f aca="false">IF(A144="","",G143)</f>
        <v>#N/A</v>
      </c>
      <c r="I143" s="202"/>
      <c r="J143" s="200" t="e">
        <f aca="false">IF($A144="","",VLOOKUP($A143,Table,MATCH(J$4,Curves,0)))</f>
        <v>#N/A</v>
      </c>
      <c r="K143" s="201" t="e">
        <f aca="false">IF(A144="","",J143)</f>
        <v>#N/A</v>
      </c>
      <c r="L143" s="200" t="e">
        <f aca="false">IF($A144="","",VLOOKUP($A143,Table,MATCH(L$4,Curves,0)))</f>
        <v>#N/A</v>
      </c>
      <c r="M143" s="201" t="e">
        <f aca="false">IF(A144="","",L143)</f>
        <v>#N/A</v>
      </c>
      <c r="N143" s="203"/>
      <c r="O143" s="200" t="e">
        <f aca="false">IF(A144="","",L143+J143+G143)</f>
        <v>#N/A</v>
      </c>
      <c r="P143" s="200" t="e">
        <f aca="false">IF(A144="","",M143+K143+H143)</f>
        <v>#N/A</v>
      </c>
      <c r="Q143" s="204"/>
      <c r="R143" s="200" t="e">
        <f aca="false">IF($A144="","",VLOOKUP($A143,Table,MATCH(R$4,Curves,0)))</f>
        <v>#N/A</v>
      </c>
      <c r="S143" s="201" t="e">
        <f aca="false">IF(A144="","",R143)</f>
        <v>#N/A</v>
      </c>
      <c r="T143" s="185" t="n">
        <v>0</v>
      </c>
      <c r="U143" s="201" t="n">
        <f aca="false">IF(A144="","",T143)</f>
        <v>0</v>
      </c>
      <c r="V143" s="205" t="e">
        <f aca="false">IF($A144="","",IF(AND(MONTH(A143)&gt;3,MONTH(A143)&lt;11),(T143+R143+G143)*Summary!$T$11/(1-Summary!$T$11),(T143+R143+G143)*Summary!$U$11/(1-Summary!$U$11)))</f>
        <v>#N/A</v>
      </c>
      <c r="W143" s="202" t="e">
        <f aca="false">IF($A144="","",(T143+R143+G143+V143))</f>
        <v>#N/A</v>
      </c>
      <c r="X143" s="202" t="e">
        <f aca="false">IF($A144="","",(U143+S143+H143+V143))</f>
        <v>#N/A</v>
      </c>
      <c r="Y143" s="202"/>
      <c r="Z143" s="185" t="e">
        <f aca="false">IF($A144="","",VLOOKUP($A143,Table,MATCH(Z$4,Curves,0)))</f>
        <v>#N/A</v>
      </c>
      <c r="AA143" s="185" t="e">
        <f aca="false">IF($A144="","",VLOOKUP($A143,Table,MATCH(AA$4,Curves,0)))</f>
        <v>#N/A</v>
      </c>
      <c r="AB143" s="185" t="e">
        <f aca="false">SQRT((AA143^2*(A143-$D$3)+Z143^2*(DAY(EOMONTH(A143,0))/2))/AK143)</f>
        <v>#N/A</v>
      </c>
      <c r="AC143" s="185" t="e">
        <f aca="false">IF($A144="","",VLOOKUP($A143,Table,MATCH(AC$4,Curves,0)))</f>
        <v>#N/A</v>
      </c>
      <c r="AD143" s="185" t="e">
        <f aca="false">IF($A144="","",VLOOKUP($A143,Table,MATCH(AD$4,Curves,0)))</f>
        <v>#N/A</v>
      </c>
      <c r="AE143" s="185" t="e">
        <f aca="false">SQRT((AD143^2*(A143-$D$3)+AC143^2*(DAY(EOMONTH(A143,0))/2))/AK143)</f>
        <v>#N/A</v>
      </c>
      <c r="AF143" s="206" t="e">
        <f aca="false">((Summary!$N$11*(AA143*AD143)*(A143-$D$3))+(Summary!$M$11*Z143*AC143*(AJ143-EOMONTH(EDATE(A143,-1),0))))/(AK143*AB143*AE143)</f>
        <v>#N/A</v>
      </c>
      <c r="AG143" s="207" t="n">
        <f aca="false">IF($A144="","",Summary!$Q$11)</f>
        <v>0</v>
      </c>
      <c r="AH143" s="207" t="n">
        <f aca="false">IF($A144="","",IF(Summary!$R$11="Y",(VLOOKUP($A143,Summary!$AD$6:$AF$9,3)+'Escalating commodity'!G156),'Escalating commodity'!G156))</f>
        <v>0.00604244409759163</v>
      </c>
      <c r="AI143" s="207" t="n">
        <f aca="false">IF($A144="","",AH143)</f>
        <v>0.00604244409759163</v>
      </c>
      <c r="AJ143" s="208" t="n">
        <f aca="false">A143+DAY(EOMONTH(A143,0))/2-1</f>
        <v>41105.5</v>
      </c>
      <c r="AK143" s="209" t="n">
        <f aca="false">IF($A144="","",$A143-$E$1)</f>
        <v>-4835</v>
      </c>
      <c r="AL143" s="182" t="e">
        <f aca="false">IF($A144="","",SPRDOPT(P143,X143,AI143,0,AB143,AE143,AF143,AK143,$AJ$2,0))</f>
        <v>#NAME?</v>
      </c>
      <c r="AM143" s="210" t="e">
        <f aca="false">IF($A144="","",MAX(0,O143-W143-AI143))</f>
        <v>#N/A</v>
      </c>
      <c r="AN143" s="211" t="e">
        <f aca="false">IF($A144="","",AL143-AM143)</f>
        <v>#N/A</v>
      </c>
      <c r="AO143" s="137" t="n">
        <f aca="false">IF(A144="","",A144-A143)</f>
        <v>31</v>
      </c>
      <c r="AP143" s="212" t="n">
        <f aca="false">IF(A144="","",CHOOSE(F$3,A144+24,A143))</f>
        <v>41091</v>
      </c>
      <c r="AQ143" s="209" t="n">
        <f aca="false">IF(A144="","",AP143-$E$1)</f>
        <v>-4835</v>
      </c>
      <c r="AR143" s="185" t="n">
        <f aca="false">'ANR OK vs ML7'!AR143</f>
        <v>0.1</v>
      </c>
      <c r="AS143" s="213" t="n">
        <f aca="false">IF(A144="","",1/(1+CHOOSE(F$3,(AR144+($I$3/10000))/2,(AR143+($I$3/10000))/2))^(2*AQ143/365.25))</f>
        <v>3.63904189470855</v>
      </c>
      <c r="AT143" s="137" t="n">
        <f aca="false">IF(A144="","",IF(AND(mthbeg&lt;=A143,mthend&gt;=A143),1,0))</f>
        <v>1</v>
      </c>
      <c r="AU143" s="137" t="n">
        <f aca="false">IF(A144="","",AO143*AT143)</f>
        <v>31</v>
      </c>
      <c r="AW143" s="195" t="e">
        <f aca="false">IF($A144="","",AL143*$E143)</f>
        <v>#NAME?</v>
      </c>
      <c r="AX143" s="195" t="e">
        <f aca="false">IF($A144="","",AM143*$E143)</f>
        <v>#N/A</v>
      </c>
      <c r="AY143" s="195" t="e">
        <f aca="false">IF($A144="","",AN143*$E143)</f>
        <v>#N/A</v>
      </c>
      <c r="BA143" s="195" t="n">
        <f aca="false">IF($A144="","",F143*Summary!$Q$11)</f>
        <v>0</v>
      </c>
      <c r="BC143" s="179" t="e">
        <f aca="false">IF(A144="","",AM143*F143)</f>
        <v>#N/A</v>
      </c>
    </row>
    <row r="144" customFormat="false" ht="12.75" hidden="false" customHeight="false" outlineLevel="0" collapsed="false">
      <c r="A144" s="196" t="n">
        <f aca="false">IF(A143&lt;mthend,EDATE(A143,1),"")</f>
        <v>41122</v>
      </c>
      <c r="B144" s="197" t="n">
        <f aca="false">IF(A144&lt;mthend,B143,"")</f>
        <v>124142</v>
      </c>
      <c r="C144" s="215"/>
      <c r="D144" s="197" t="n">
        <f aca="false">IF(A145&lt;&gt;"",B144+C144,"")</f>
        <v>124142</v>
      </c>
      <c r="E144" s="199" t="n">
        <f aca="false">IF(A145="","",IF(AND(AT144=1,$H$3=1),D144*AO144,IF($H$3=2,D144,"N/A")))</f>
        <v>3848402</v>
      </c>
      <c r="F144" s="199" t="n">
        <f aca="false">IF(A145="","",E144*AS144)</f>
        <v>13888990.2330901</v>
      </c>
      <c r="G144" s="200" t="e">
        <f aca="false">IF($A145="","",VLOOKUP($A144,Table,MATCH(G$4,Curves,0)))</f>
        <v>#N/A</v>
      </c>
      <c r="H144" s="201" t="e">
        <f aca="false">IF(A145="","",G144)</f>
        <v>#N/A</v>
      </c>
      <c r="I144" s="202"/>
      <c r="J144" s="200" t="e">
        <f aca="false">IF($A145="","",VLOOKUP($A144,Table,MATCH(J$4,Curves,0)))</f>
        <v>#N/A</v>
      </c>
      <c r="K144" s="201" t="e">
        <f aca="false">IF(A145="","",J144)</f>
        <v>#N/A</v>
      </c>
      <c r="L144" s="200" t="e">
        <f aca="false">IF($A145="","",VLOOKUP($A144,Table,MATCH(L$4,Curves,0)))</f>
        <v>#N/A</v>
      </c>
      <c r="M144" s="201" t="e">
        <f aca="false">IF(A145="","",L144)</f>
        <v>#N/A</v>
      </c>
      <c r="N144" s="203"/>
      <c r="O144" s="200" t="e">
        <f aca="false">IF(A145="","",L144+J144+G144)</f>
        <v>#N/A</v>
      </c>
      <c r="P144" s="200" t="e">
        <f aca="false">IF(A145="","",M144+K144+H144)</f>
        <v>#N/A</v>
      </c>
      <c r="Q144" s="204"/>
      <c r="R144" s="200" t="e">
        <f aca="false">IF($A145="","",VLOOKUP($A144,Table,MATCH(R$4,Curves,0)))</f>
        <v>#N/A</v>
      </c>
      <c r="S144" s="201" t="e">
        <f aca="false">IF(A145="","",R144)</f>
        <v>#N/A</v>
      </c>
      <c r="T144" s="185" t="n">
        <v>0</v>
      </c>
      <c r="U144" s="201" t="n">
        <f aca="false">IF(A145="","",T144)</f>
        <v>0</v>
      </c>
      <c r="V144" s="205" t="e">
        <f aca="false">IF($A145="","",IF(AND(MONTH(A144)&gt;3,MONTH(A144)&lt;11),(T144+R144+G144)*Summary!$T$11/(1-Summary!$T$11),(T144+R144+G144)*Summary!$U$11/(1-Summary!$U$11)))</f>
        <v>#N/A</v>
      </c>
      <c r="W144" s="202" t="e">
        <f aca="false">IF($A145="","",(T144+R144+G144+V144))</f>
        <v>#N/A</v>
      </c>
      <c r="X144" s="202" t="e">
        <f aca="false">IF($A145="","",(U144+S144+H144+V144))</f>
        <v>#N/A</v>
      </c>
      <c r="Y144" s="202"/>
      <c r="Z144" s="185" t="e">
        <f aca="false">IF($A145="","",VLOOKUP($A144,Table,MATCH(Z$4,Curves,0)))</f>
        <v>#N/A</v>
      </c>
      <c r="AA144" s="185" t="e">
        <f aca="false">IF($A145="","",VLOOKUP($A144,Table,MATCH(AA$4,Curves,0)))</f>
        <v>#N/A</v>
      </c>
      <c r="AB144" s="185" t="e">
        <f aca="false">SQRT((AA144^2*(A144-$D$3)+Z144^2*(DAY(EOMONTH(A144,0))/2))/AK144)</f>
        <v>#N/A</v>
      </c>
      <c r="AC144" s="185" t="e">
        <f aca="false">IF($A145="","",VLOOKUP($A144,Table,MATCH(AC$4,Curves,0)))</f>
        <v>#N/A</v>
      </c>
      <c r="AD144" s="185" t="e">
        <f aca="false">IF($A145="","",VLOOKUP($A144,Table,MATCH(AD$4,Curves,0)))</f>
        <v>#N/A</v>
      </c>
      <c r="AE144" s="185" t="e">
        <f aca="false">SQRT((AD144^2*(A144-$D$3)+AC144^2*(DAY(EOMONTH(A144,0))/2))/AK144)</f>
        <v>#N/A</v>
      </c>
      <c r="AF144" s="206" t="e">
        <f aca="false">((Summary!$N$11*(AA144*AD144)*(A144-$D$3))+(Summary!$M$11*Z144*AC144*(AJ144-EOMONTH(EDATE(A144,-1),0))))/(AK144*AB144*AE144)</f>
        <v>#N/A</v>
      </c>
      <c r="AG144" s="207" t="n">
        <f aca="false">IF($A145="","",Summary!$Q$11)</f>
        <v>0</v>
      </c>
      <c r="AH144" s="207" t="n">
        <f aca="false">IF($A145="","",IF(Summary!$R$11="Y",(VLOOKUP($A144,Summary!$AD$6:$AF$9,3)+'Escalating commodity'!G157),'Escalating commodity'!G157))</f>
        <v>0.00604244409759163</v>
      </c>
      <c r="AI144" s="207" t="n">
        <f aca="false">IF($A145="","",AH144)</f>
        <v>0.00604244409759163</v>
      </c>
      <c r="AJ144" s="208" t="n">
        <f aca="false">A144+DAY(EOMONTH(A144,0))/2-1</f>
        <v>41136.5</v>
      </c>
      <c r="AK144" s="209" t="n">
        <f aca="false">IF($A145="","",$A144-$E$1)</f>
        <v>-4804</v>
      </c>
      <c r="AL144" s="182" t="e">
        <f aca="false">IF($A145="","",SPRDOPT(P144,X144,AI144,0,AB144,AE144,AF144,AK144,$AJ$2,0))</f>
        <v>#NAME?</v>
      </c>
      <c r="AM144" s="210" t="e">
        <f aca="false">IF($A145="","",MAX(0,O144-W144-AI144))</f>
        <v>#N/A</v>
      </c>
      <c r="AN144" s="211" t="e">
        <f aca="false">IF($A145="","",AL144-AM144)</f>
        <v>#N/A</v>
      </c>
      <c r="AO144" s="137" t="n">
        <f aca="false">IF(A145="","",A145-A144)</f>
        <v>31</v>
      </c>
      <c r="AP144" s="212" t="n">
        <f aca="false">IF(A145="","",CHOOSE(F$3,A145+24,A144))</f>
        <v>41122</v>
      </c>
      <c r="AQ144" s="209" t="n">
        <f aca="false">IF(A145="","",AP144-$E$1)</f>
        <v>-4804</v>
      </c>
      <c r="AR144" s="185" t="n">
        <f aca="false">'ANR OK vs ML7'!AR144</f>
        <v>0.1</v>
      </c>
      <c r="AS144" s="213" t="n">
        <f aca="false">IF(A145="","",1/(1+CHOOSE(F$3,(AR145+($I$3/10000))/2,(AR144+($I$3/10000))/2))^(2*AQ144/365.25))</f>
        <v>3.60902791160853</v>
      </c>
      <c r="AT144" s="137" t="n">
        <f aca="false">IF(A145="","",IF(AND(mthbeg&lt;=A144,mthend&gt;=A144),1,0))</f>
        <v>1</v>
      </c>
      <c r="AU144" s="137" t="n">
        <f aca="false">IF(A145="","",AO144*AT144)</f>
        <v>31</v>
      </c>
      <c r="AW144" s="195" t="e">
        <f aca="false">IF($A145="","",AL144*$E144)</f>
        <v>#NAME?</v>
      </c>
      <c r="AX144" s="195" t="e">
        <f aca="false">IF($A145="","",AM144*$E144)</f>
        <v>#N/A</v>
      </c>
      <c r="AY144" s="195" t="e">
        <f aca="false">IF($A145="","",AN144*$E144)</f>
        <v>#N/A</v>
      </c>
      <c r="BA144" s="195" t="n">
        <f aca="false">IF($A145="","",F144*Summary!$Q$11)</f>
        <v>0</v>
      </c>
      <c r="BC144" s="179" t="e">
        <f aca="false">IF(A145="","",AM144*F144)</f>
        <v>#N/A</v>
      </c>
    </row>
    <row r="145" customFormat="false" ht="12.75" hidden="false" customHeight="false" outlineLevel="0" collapsed="false">
      <c r="A145" s="196" t="n">
        <f aca="false">IF(A144&lt;mthend,EDATE(A144,1),"")</f>
        <v>41153</v>
      </c>
      <c r="B145" s="197" t="n">
        <f aca="false">IF(A145&lt;mthend,B144,"")</f>
        <v>124142</v>
      </c>
      <c r="C145" s="215"/>
      <c r="D145" s="197" t="n">
        <f aca="false">IF(A146&lt;&gt;"",B145+C145,"")</f>
        <v>124142</v>
      </c>
      <c r="E145" s="199" t="n">
        <f aca="false">IF(A146="","",IF(AND(AT145=1,$H$3=1),D145*AO145,IF($H$3=2,D145,"N/A")))</f>
        <v>3724260</v>
      </c>
      <c r="F145" s="199" t="n">
        <f aca="false">IF(A146="","",E145*AS145)</f>
        <v>13330100.3481785</v>
      </c>
      <c r="G145" s="200" t="e">
        <f aca="false">IF($A146="","",VLOOKUP($A145,Table,MATCH(G$4,Curves,0)))</f>
        <v>#N/A</v>
      </c>
      <c r="H145" s="201" t="e">
        <f aca="false">IF(A146="","",G145)</f>
        <v>#N/A</v>
      </c>
      <c r="I145" s="202"/>
      <c r="J145" s="200" t="e">
        <f aca="false">IF($A146="","",VLOOKUP($A145,Table,MATCH(J$4,Curves,0)))</f>
        <v>#N/A</v>
      </c>
      <c r="K145" s="201" t="e">
        <f aca="false">IF(A146="","",J145)</f>
        <v>#N/A</v>
      </c>
      <c r="L145" s="200" t="e">
        <f aca="false">IF($A146="","",VLOOKUP($A145,Table,MATCH(L$4,Curves,0)))</f>
        <v>#N/A</v>
      </c>
      <c r="M145" s="201" t="e">
        <f aca="false">IF(A146="","",L145)</f>
        <v>#N/A</v>
      </c>
      <c r="N145" s="203"/>
      <c r="O145" s="200" t="e">
        <f aca="false">IF(A146="","",L145+J145+G145)</f>
        <v>#N/A</v>
      </c>
      <c r="P145" s="200" t="e">
        <f aca="false">IF(A146="","",M145+K145+H145)</f>
        <v>#N/A</v>
      </c>
      <c r="Q145" s="204"/>
      <c r="R145" s="200" t="e">
        <f aca="false">IF($A146="","",VLOOKUP($A145,Table,MATCH(R$4,Curves,0)))</f>
        <v>#N/A</v>
      </c>
      <c r="S145" s="201" t="e">
        <f aca="false">IF(A146="","",R145)</f>
        <v>#N/A</v>
      </c>
      <c r="T145" s="185" t="n">
        <v>0</v>
      </c>
      <c r="U145" s="201" t="n">
        <f aca="false">IF(A146="","",T145)</f>
        <v>0</v>
      </c>
      <c r="V145" s="205" t="e">
        <f aca="false">IF($A146="","",IF(AND(MONTH(A145)&gt;3,MONTH(A145)&lt;11),(T145+R145+G145)*Summary!$T$11/(1-Summary!$T$11),(T145+R145+G145)*Summary!$U$11/(1-Summary!$U$11)))</f>
        <v>#N/A</v>
      </c>
      <c r="W145" s="202" t="e">
        <f aca="false">IF($A146="","",(T145+R145+G145+V145))</f>
        <v>#N/A</v>
      </c>
      <c r="X145" s="202" t="e">
        <f aca="false">IF($A146="","",(U145+S145+H145+V145))</f>
        <v>#N/A</v>
      </c>
      <c r="Y145" s="202"/>
      <c r="Z145" s="185" t="e">
        <f aca="false">IF($A146="","",VLOOKUP($A145,Table,MATCH(Z$4,Curves,0)))</f>
        <v>#N/A</v>
      </c>
      <c r="AA145" s="185" t="e">
        <f aca="false">IF($A146="","",VLOOKUP($A145,Table,MATCH(AA$4,Curves,0)))</f>
        <v>#N/A</v>
      </c>
      <c r="AB145" s="185" t="e">
        <f aca="false">SQRT((AA145^2*(A145-$D$3)+Z145^2*(DAY(EOMONTH(A145,0))/2))/AK145)</f>
        <v>#N/A</v>
      </c>
      <c r="AC145" s="185" t="e">
        <f aca="false">IF($A146="","",VLOOKUP($A145,Table,MATCH(AC$4,Curves,0)))</f>
        <v>#N/A</v>
      </c>
      <c r="AD145" s="185" t="e">
        <f aca="false">IF($A146="","",VLOOKUP($A145,Table,MATCH(AD$4,Curves,0)))</f>
        <v>#N/A</v>
      </c>
      <c r="AE145" s="185" t="e">
        <f aca="false">SQRT((AD145^2*(A145-$D$3)+AC145^2*(DAY(EOMONTH(A145,0))/2))/AK145)</f>
        <v>#N/A</v>
      </c>
      <c r="AF145" s="206" t="e">
        <f aca="false">((Summary!$N$11*(AA145*AD145)*(A145-$D$3))+(Summary!$M$11*Z145*AC145*(AJ145-EOMONTH(EDATE(A145,-1),0))))/(AK145*AB145*AE145)</f>
        <v>#N/A</v>
      </c>
      <c r="AG145" s="207" t="n">
        <f aca="false">IF($A146="","",Summary!$Q$11)</f>
        <v>0</v>
      </c>
      <c r="AH145" s="207" t="n">
        <f aca="false">IF($A146="","",IF(Summary!$R$11="Y",(VLOOKUP($A145,Summary!$AD$6:$AF$9,3)+'Escalating commodity'!G158),'Escalating commodity'!G158))</f>
        <v>0.00604244409759163</v>
      </c>
      <c r="AI145" s="207" t="n">
        <f aca="false">IF($A146="","",AH145)</f>
        <v>0.00604244409759163</v>
      </c>
      <c r="AJ145" s="208" t="n">
        <f aca="false">A145+DAY(EOMONTH(A145,0))/2-1</f>
        <v>41167</v>
      </c>
      <c r="AK145" s="209" t="n">
        <f aca="false">IF($A146="","",$A145-$E$1)</f>
        <v>-4773</v>
      </c>
      <c r="AL145" s="182" t="e">
        <f aca="false">IF($A146="","",SPRDOPT(P145,X145,AI145,0,AB145,AE145,AF145,AK145,$AJ$2,0))</f>
        <v>#NAME?</v>
      </c>
      <c r="AM145" s="210" t="e">
        <f aca="false">IF($A146="","",MAX(0,O145-W145-AI145))</f>
        <v>#N/A</v>
      </c>
      <c r="AN145" s="211" t="e">
        <f aca="false">IF($A146="","",AL145-AM145)</f>
        <v>#N/A</v>
      </c>
      <c r="AO145" s="137" t="n">
        <f aca="false">IF(A146="","",A146-A145)</f>
        <v>30</v>
      </c>
      <c r="AP145" s="212" t="n">
        <f aca="false">IF(A146="","",CHOOSE(F$3,A146+24,A145))</f>
        <v>41153</v>
      </c>
      <c r="AQ145" s="209" t="n">
        <f aca="false">IF(A146="","",AP145-$E$1)</f>
        <v>-4773</v>
      </c>
      <c r="AR145" s="185" t="n">
        <f aca="false">'ANR OK vs ML7'!AR145</f>
        <v>0.1</v>
      </c>
      <c r="AS145" s="213" t="n">
        <f aca="false">IF(A146="","",1/(1+CHOOSE(F$3,(AR146+($I$3/10000))/2,(AR145+($I$3/10000))/2))^(2*AQ145/365.25))</f>
        <v>3.57926147695878</v>
      </c>
      <c r="AT145" s="137" t="n">
        <f aca="false">IF(A146="","",IF(AND(mthbeg&lt;=A145,mthend&gt;=A145),1,0))</f>
        <v>1</v>
      </c>
      <c r="AU145" s="137" t="n">
        <f aca="false">IF(A146="","",AO145*AT145)</f>
        <v>30</v>
      </c>
      <c r="AW145" s="195" t="e">
        <f aca="false">IF($A146="","",AL145*$E145)</f>
        <v>#NAME?</v>
      </c>
      <c r="AX145" s="195" t="e">
        <f aca="false">IF($A146="","",AM145*$E145)</f>
        <v>#N/A</v>
      </c>
      <c r="AY145" s="195" t="e">
        <f aca="false">IF($A146="","",AN145*$E145)</f>
        <v>#N/A</v>
      </c>
      <c r="BA145" s="195" t="n">
        <f aca="false">IF($A146="","",F145*Summary!$Q$11)</f>
        <v>0</v>
      </c>
      <c r="BC145" s="179" t="e">
        <f aca="false">IF(A146="","",AM145*F145)</f>
        <v>#N/A</v>
      </c>
    </row>
    <row r="146" customFormat="false" ht="12.75" hidden="false" customHeight="false" outlineLevel="0" collapsed="false">
      <c r="A146" s="196" t="n">
        <f aca="false">IF(A145&lt;mthend,EDATE(A145,1),"")</f>
        <v>41183</v>
      </c>
      <c r="B146" s="197" t="n">
        <f aca="false">IF(A146&lt;mthend,B145,"")</f>
        <v>124142</v>
      </c>
      <c r="C146" s="215"/>
      <c r="D146" s="197" t="n">
        <f aca="false">IF(A147&lt;&gt;"",B146+C146,"")</f>
        <v>124142</v>
      </c>
      <c r="E146" s="199" t="n">
        <f aca="false">IF(A147="","",IF(AND(AT146=1,$H$3=1),D146*AO146,IF($H$3=2,D146,"N/A")))</f>
        <v>3848402</v>
      </c>
      <c r="F146" s="199" t="n">
        <f aca="false">IF(A147="","",E146*AS146)</f>
        <v>13664478.7481054</v>
      </c>
      <c r="G146" s="200" t="e">
        <f aca="false">IF($A147="","",VLOOKUP($A146,Table,MATCH(G$4,Curves,0)))</f>
        <v>#N/A</v>
      </c>
      <c r="H146" s="201" t="e">
        <f aca="false">IF(A147="","",G146)</f>
        <v>#N/A</v>
      </c>
      <c r="I146" s="202"/>
      <c r="J146" s="200" t="e">
        <f aca="false">IF($A147="","",VLOOKUP($A146,Table,MATCH(J$4,Curves,0)))</f>
        <v>#N/A</v>
      </c>
      <c r="K146" s="201" t="e">
        <f aca="false">IF(A147="","",J146)</f>
        <v>#N/A</v>
      </c>
      <c r="L146" s="200" t="e">
        <f aca="false">IF($A147="","",VLOOKUP($A146,Table,MATCH(L$4,Curves,0)))</f>
        <v>#N/A</v>
      </c>
      <c r="M146" s="201" t="e">
        <f aca="false">IF(A147="","",L146)</f>
        <v>#N/A</v>
      </c>
      <c r="N146" s="203"/>
      <c r="O146" s="200" t="e">
        <f aca="false">IF(A147="","",L146+J146+G146)</f>
        <v>#N/A</v>
      </c>
      <c r="P146" s="200" t="e">
        <f aca="false">IF(A147="","",M146+K146+H146)</f>
        <v>#N/A</v>
      </c>
      <c r="Q146" s="204"/>
      <c r="R146" s="200" t="e">
        <f aca="false">IF($A147="","",VLOOKUP($A146,Table,MATCH(R$4,Curves,0)))</f>
        <v>#N/A</v>
      </c>
      <c r="S146" s="201" t="e">
        <f aca="false">IF(A147="","",R146)</f>
        <v>#N/A</v>
      </c>
      <c r="T146" s="185" t="n">
        <v>0</v>
      </c>
      <c r="U146" s="201" t="n">
        <f aca="false">IF(A147="","",T146)</f>
        <v>0</v>
      </c>
      <c r="V146" s="205" t="e">
        <f aca="false">IF($A147="","",IF(AND(MONTH(A146)&gt;3,MONTH(A146)&lt;11),(T146+R146+G146)*Summary!$T$11/(1-Summary!$T$11),(T146+R146+G146)*Summary!$U$11/(1-Summary!$U$11)))</f>
        <v>#N/A</v>
      </c>
      <c r="W146" s="202" t="e">
        <f aca="false">IF($A147="","",(T146+R146+G146+V146))</f>
        <v>#N/A</v>
      </c>
      <c r="X146" s="202" t="e">
        <f aca="false">IF($A147="","",(U146+S146+H146+V146))</f>
        <v>#N/A</v>
      </c>
      <c r="Y146" s="202"/>
      <c r="Z146" s="185" t="e">
        <f aca="false">IF($A147="","",VLOOKUP($A146,Table,MATCH(Z$4,Curves,0)))</f>
        <v>#N/A</v>
      </c>
      <c r="AA146" s="185" t="e">
        <f aca="false">IF($A147="","",VLOOKUP($A146,Table,MATCH(AA$4,Curves,0)))</f>
        <v>#N/A</v>
      </c>
      <c r="AB146" s="185" t="e">
        <f aca="false">SQRT((AA146^2*(A146-$D$3)+Z146^2*(DAY(EOMONTH(A146,0))/2))/AK146)</f>
        <v>#N/A</v>
      </c>
      <c r="AC146" s="185" t="e">
        <f aca="false">IF($A147="","",VLOOKUP($A146,Table,MATCH(AC$4,Curves,0)))</f>
        <v>#N/A</v>
      </c>
      <c r="AD146" s="185" t="e">
        <f aca="false">IF($A147="","",VLOOKUP($A146,Table,MATCH(AD$4,Curves,0)))</f>
        <v>#N/A</v>
      </c>
      <c r="AE146" s="185" t="e">
        <f aca="false">SQRT((AD146^2*(A146-$D$3)+AC146^2*(DAY(EOMONTH(A146,0))/2))/AK146)</f>
        <v>#N/A</v>
      </c>
      <c r="AF146" s="206" t="e">
        <f aca="false">((Summary!$N$11*(AA146*AD146)*(A146-$D$3))+(Summary!$M$11*Z146*AC146*(AJ146-EOMONTH(EDATE(A146,-1),0))))/(AK146*AB146*AE146)</f>
        <v>#N/A</v>
      </c>
      <c r="AG146" s="207" t="n">
        <f aca="false">IF($A147="","",Summary!$Q$11)</f>
        <v>0</v>
      </c>
      <c r="AH146" s="207" t="n">
        <f aca="false">IF($A147="","",IF(Summary!$R$11="Y",(VLOOKUP($A146,Summary!$AD$6:$AF$9,3)+'Escalating commodity'!G159),'Escalating commodity'!G159))</f>
        <v>0.00604244409759163</v>
      </c>
      <c r="AI146" s="207" t="n">
        <f aca="false">IF($A147="","",AH146)</f>
        <v>0.00604244409759163</v>
      </c>
      <c r="AJ146" s="208" t="n">
        <f aca="false">A146+DAY(EOMONTH(A146,0))/2-1</f>
        <v>41197.5</v>
      </c>
      <c r="AK146" s="209" t="n">
        <f aca="false">IF($A147="","",$A146-$E$1)</f>
        <v>-4743</v>
      </c>
      <c r="AL146" s="182" t="e">
        <f aca="false">IF($A147="","",SPRDOPT(P146,X146,AI146,0,AB146,AE146,AF146,AK146,$AJ$2,0))</f>
        <v>#NAME?</v>
      </c>
      <c r="AM146" s="210" t="e">
        <f aca="false">IF($A147="","",MAX(0,O146-W146-AI146))</f>
        <v>#N/A</v>
      </c>
      <c r="AN146" s="211" t="e">
        <f aca="false">IF($A147="","",AL146-AM146)</f>
        <v>#N/A</v>
      </c>
      <c r="AO146" s="137" t="n">
        <f aca="false">IF(A147="","",A147-A146)</f>
        <v>31</v>
      </c>
      <c r="AP146" s="212" t="n">
        <f aca="false">IF(A147="","",CHOOSE(F$3,A147+24,A146))</f>
        <v>41183</v>
      </c>
      <c r="AQ146" s="209" t="n">
        <f aca="false">IF(A147="","",AP146-$E$1)</f>
        <v>-4743</v>
      </c>
      <c r="AR146" s="185" t="n">
        <f aca="false">'ANR OK vs ML7'!AR146</f>
        <v>0.1</v>
      </c>
      <c r="AS146" s="213" t="n">
        <f aca="false">IF(A147="","",1/(1+CHOOSE(F$3,(AR147+($I$3/10000))/2,(AR146+($I$3/10000))/2))^(2*AQ146/365.25))</f>
        <v>3.55068902575806</v>
      </c>
      <c r="AT146" s="137" t="n">
        <f aca="false">IF(A147="","",IF(AND(mthbeg&lt;=A146,mthend&gt;=A146),1,0))</f>
        <v>1</v>
      </c>
      <c r="AU146" s="137" t="n">
        <f aca="false">IF(A147="","",AO146*AT146)</f>
        <v>31</v>
      </c>
      <c r="AW146" s="195" t="e">
        <f aca="false">IF($A147="","",AL146*$E146)</f>
        <v>#NAME?</v>
      </c>
      <c r="AX146" s="195" t="e">
        <f aca="false">IF($A147="","",AM146*$E146)</f>
        <v>#N/A</v>
      </c>
      <c r="AY146" s="195" t="e">
        <f aca="false">IF($A147="","",AN146*$E146)</f>
        <v>#N/A</v>
      </c>
      <c r="BA146" s="195" t="n">
        <f aca="false">IF($A147="","",F146*Summary!$Q$11)</f>
        <v>0</v>
      </c>
      <c r="BC146" s="179" t="e">
        <f aca="false">IF(A147="","",AM146*F146)</f>
        <v>#N/A</v>
      </c>
    </row>
    <row r="147" customFormat="false" ht="12.75" hidden="false" customHeight="false" outlineLevel="0" collapsed="false">
      <c r="A147" s="196" t="n">
        <f aca="false">IF(A146&lt;mthend,EDATE(A146,1),"")</f>
        <v>41214</v>
      </c>
      <c r="B147" s="197" t="n">
        <f aca="false">IF(A147&lt;mthend,B146,"")</f>
        <v>124142</v>
      </c>
      <c r="C147" s="215"/>
      <c r="D147" s="197" t="n">
        <f aca="false">IF(A148&lt;&gt;"",B147+C147,"")</f>
        <v>124142</v>
      </c>
      <c r="E147" s="199" t="n">
        <f aca="false">IF(A148="","",IF(AND(AT147=1,$H$3=1),D147*AO147,IF($H$3=2,D147,"N/A")))</f>
        <v>3724260</v>
      </c>
      <c r="F147" s="199" t="n">
        <f aca="false">IF(A148="","",E147*AS147)</f>
        <v>13114623.1555289</v>
      </c>
      <c r="G147" s="200" t="e">
        <f aca="false">IF($A148="","",VLOOKUP($A147,Table,MATCH(G$4,Curves,0)))</f>
        <v>#N/A</v>
      </c>
      <c r="H147" s="201" t="e">
        <f aca="false">IF(A148="","",G147)</f>
        <v>#N/A</v>
      </c>
      <c r="I147" s="202"/>
      <c r="J147" s="200" t="e">
        <f aca="false">IF($A148="","",VLOOKUP($A147,Table,MATCH(J$4,Curves,0)))</f>
        <v>#N/A</v>
      </c>
      <c r="K147" s="201" t="e">
        <f aca="false">IF(A148="","",J147)</f>
        <v>#N/A</v>
      </c>
      <c r="L147" s="200" t="e">
        <f aca="false">IF($A148="","",VLOOKUP($A147,Table,MATCH(L$4,Curves,0)))</f>
        <v>#N/A</v>
      </c>
      <c r="M147" s="201" t="e">
        <f aca="false">IF(A148="","",L147)</f>
        <v>#N/A</v>
      </c>
      <c r="N147" s="203"/>
      <c r="O147" s="200" t="e">
        <f aca="false">IF(A148="","",L147+J147+G147)</f>
        <v>#N/A</v>
      </c>
      <c r="P147" s="200" t="e">
        <f aca="false">IF(A148="","",M147+K147+H147)</f>
        <v>#N/A</v>
      </c>
      <c r="Q147" s="204"/>
      <c r="R147" s="200" t="e">
        <f aca="false">IF($A148="","",VLOOKUP($A147,Table,MATCH(R$4,Curves,0)))</f>
        <v>#N/A</v>
      </c>
      <c r="S147" s="201" t="e">
        <f aca="false">IF(A148="","",R147)</f>
        <v>#N/A</v>
      </c>
      <c r="T147" s="185" t="n">
        <v>0</v>
      </c>
      <c r="U147" s="201" t="n">
        <f aca="false">IF(A148="","",T147)</f>
        <v>0</v>
      </c>
      <c r="V147" s="205" t="e">
        <f aca="false">IF($A148="","",IF(AND(MONTH(A147)&gt;3,MONTH(A147)&lt;11),(T147+R147+G147)*Summary!$T$11/(1-Summary!$T$11),(T147+R147+G147)*Summary!$U$11/(1-Summary!$U$11)))</f>
        <v>#N/A</v>
      </c>
      <c r="W147" s="202" t="e">
        <f aca="false">IF($A148="","",(T147+R147+G147+V147))</f>
        <v>#N/A</v>
      </c>
      <c r="X147" s="202" t="e">
        <f aca="false">IF($A148="","",(U147+S147+H147+V147))</f>
        <v>#N/A</v>
      </c>
      <c r="Y147" s="202"/>
      <c r="Z147" s="185" t="e">
        <f aca="false">IF($A148="","",VLOOKUP($A147,Table,MATCH(Z$4,Curves,0)))</f>
        <v>#N/A</v>
      </c>
      <c r="AA147" s="185" t="e">
        <f aca="false">IF($A148="","",VLOOKUP($A147,Table,MATCH(AA$4,Curves,0)))</f>
        <v>#N/A</v>
      </c>
      <c r="AB147" s="185" t="e">
        <f aca="false">SQRT((AA147^2*(A147-$D$3)+Z147^2*(DAY(EOMONTH(A147,0))/2))/AK147)</f>
        <v>#N/A</v>
      </c>
      <c r="AC147" s="185" t="e">
        <f aca="false">IF($A148="","",VLOOKUP($A147,Table,MATCH(AC$4,Curves,0)))</f>
        <v>#N/A</v>
      </c>
      <c r="AD147" s="185" t="e">
        <f aca="false">IF($A148="","",VLOOKUP($A147,Table,MATCH(AD$4,Curves,0)))</f>
        <v>#N/A</v>
      </c>
      <c r="AE147" s="185" t="e">
        <f aca="false">SQRT((AD147^2*(A147-$D$3)+AC147^2*(DAY(EOMONTH(A147,0))/2))/AK147)</f>
        <v>#N/A</v>
      </c>
      <c r="AF147" s="206" t="e">
        <f aca="false">((Summary!$N$11*(AA147*AD147)*(A147-$D$3))+(Summary!$M$11*Z147*AC147*(AJ147-EOMONTH(EDATE(A147,-1),0))))/(AK147*AB147*AE147)</f>
        <v>#N/A</v>
      </c>
      <c r="AG147" s="207" t="n">
        <f aca="false">IF($A148="","",Summary!$Q$11)</f>
        <v>0</v>
      </c>
      <c r="AH147" s="207" t="n">
        <f aca="false">IF($A148="","",IF(Summary!$R$11="Y",(VLOOKUP($A147,Summary!$AD$6:$AF$9,3)+'Escalating commodity'!G160),'Escalating commodity'!G160))</f>
        <v>0.00604244409759163</v>
      </c>
      <c r="AI147" s="207" t="n">
        <f aca="false">IF($A148="","",AH147)</f>
        <v>0.00604244409759163</v>
      </c>
      <c r="AJ147" s="208" t="n">
        <f aca="false">A147+DAY(EOMONTH(A147,0))/2-1</f>
        <v>41228</v>
      </c>
      <c r="AK147" s="209" t="n">
        <f aca="false">IF($A148="","",$A147-$E$1)</f>
        <v>-4712</v>
      </c>
      <c r="AL147" s="182" t="e">
        <f aca="false">IF($A148="","",SPRDOPT(P147,X147,AI147,0,AB147,AE147,AF147,AK147,$AJ$2,0))</f>
        <v>#NAME?</v>
      </c>
      <c r="AM147" s="210" t="e">
        <f aca="false">IF($A148="","",MAX(0,O147-W147-AI147))</f>
        <v>#N/A</v>
      </c>
      <c r="AN147" s="211" t="e">
        <f aca="false">IF($A148="","",AL147-AM147)</f>
        <v>#N/A</v>
      </c>
      <c r="AO147" s="137" t="n">
        <f aca="false">IF(A148="","",A148-A147)</f>
        <v>30</v>
      </c>
      <c r="AP147" s="212" t="n">
        <f aca="false">IF(A148="","",CHOOSE(F$3,A148+24,A147))</f>
        <v>41214</v>
      </c>
      <c r="AQ147" s="209" t="n">
        <f aca="false">IF(A148="","",AP147-$E$1)</f>
        <v>-4712</v>
      </c>
      <c r="AR147" s="185" t="n">
        <f aca="false">'ANR OK vs ML7'!AR147</f>
        <v>0.1</v>
      </c>
      <c r="AS147" s="213" t="n">
        <f aca="false">IF(A148="","",1/(1+CHOOSE(F$3,(AR148+($I$3/10000))/2,(AR147+($I$3/10000))/2))^(2*AQ147/365.25))</f>
        <v>3.52140375686146</v>
      </c>
      <c r="AT147" s="137" t="n">
        <f aca="false">IF(A148="","",IF(AND(mthbeg&lt;=A147,mthend&gt;=A147),1,0))</f>
        <v>1</v>
      </c>
      <c r="AU147" s="137" t="n">
        <f aca="false">IF(A148="","",AO147*AT147)</f>
        <v>30</v>
      </c>
      <c r="AW147" s="195" t="e">
        <f aca="false">IF($A148="","",AL147*$E147)</f>
        <v>#NAME?</v>
      </c>
      <c r="AX147" s="195" t="e">
        <f aca="false">IF($A148="","",AM147*$E147)</f>
        <v>#N/A</v>
      </c>
      <c r="AY147" s="195" t="e">
        <f aca="false">IF($A148="","",AN147*$E147)</f>
        <v>#N/A</v>
      </c>
      <c r="BA147" s="195" t="n">
        <f aca="false">IF($A148="","",F147*Summary!$Q$11)</f>
        <v>0</v>
      </c>
      <c r="BC147" s="179" t="e">
        <f aca="false">IF(A148="","",AM147*F147)</f>
        <v>#N/A</v>
      </c>
    </row>
    <row r="148" customFormat="false" ht="12.75" hidden="false" customHeight="false" outlineLevel="0" collapsed="false">
      <c r="A148" s="196" t="n">
        <f aca="false">IF(A147&lt;mthend,EDATE(A147,1),"")</f>
        <v>41244</v>
      </c>
      <c r="B148" s="197" t="n">
        <f aca="false">IF(A148&lt;mthend,B147,"")</f>
        <v>124142</v>
      </c>
      <c r="C148" s="215"/>
      <c r="D148" s="197" t="n">
        <f aca="false">IF(A149&lt;&gt;"",B148+C148,"")</f>
        <v>124142</v>
      </c>
      <c r="E148" s="199" t="n">
        <f aca="false">IF(A149="","",IF(AND(AT148=1,$H$3=1),D148*AO148,IF($H$3=2,D148,"N/A")))</f>
        <v>3848402</v>
      </c>
      <c r="F148" s="199" t="n">
        <f aca="false">IF(A149="","",E148*AS148)</f>
        <v>13443596.4259356</v>
      </c>
      <c r="G148" s="200" t="e">
        <f aca="false">IF($A149="","",VLOOKUP($A148,Table,MATCH(G$4,Curves,0)))</f>
        <v>#N/A</v>
      </c>
      <c r="H148" s="201" t="e">
        <f aca="false">IF(A149="","",G148)</f>
        <v>#N/A</v>
      </c>
      <c r="I148" s="202"/>
      <c r="J148" s="200" t="e">
        <f aca="false">IF($A149="","",VLOOKUP($A148,Table,MATCH(J$4,Curves,0)))</f>
        <v>#N/A</v>
      </c>
      <c r="K148" s="201" t="e">
        <f aca="false">IF(A149="","",J148)</f>
        <v>#N/A</v>
      </c>
      <c r="L148" s="200" t="e">
        <f aca="false">IF($A149="","",VLOOKUP($A148,Table,MATCH(L$4,Curves,0)))</f>
        <v>#N/A</v>
      </c>
      <c r="M148" s="201" t="e">
        <f aca="false">IF(A149="","",L148)</f>
        <v>#N/A</v>
      </c>
      <c r="N148" s="203"/>
      <c r="O148" s="200" t="e">
        <f aca="false">IF(A149="","",L148+J148+G148)</f>
        <v>#N/A</v>
      </c>
      <c r="P148" s="200" t="e">
        <f aca="false">IF(A149="","",M148+K148+H148)</f>
        <v>#N/A</v>
      </c>
      <c r="Q148" s="204"/>
      <c r="R148" s="200" t="e">
        <f aca="false">IF($A149="","",VLOOKUP($A148,Table,MATCH(R$4,Curves,0)))</f>
        <v>#N/A</v>
      </c>
      <c r="S148" s="201" t="e">
        <f aca="false">IF(A149="","",R148)</f>
        <v>#N/A</v>
      </c>
      <c r="T148" s="185" t="n">
        <v>0</v>
      </c>
      <c r="U148" s="201" t="n">
        <f aca="false">IF(A149="","",T148)</f>
        <v>0</v>
      </c>
      <c r="V148" s="205" t="e">
        <f aca="false">IF($A149="","",IF(AND(MONTH(A148)&gt;3,MONTH(A148)&lt;11),(T148+R148+G148)*Summary!$T$11/(1-Summary!$T$11),(T148+R148+G148)*Summary!$U$11/(1-Summary!$U$11)))</f>
        <v>#N/A</v>
      </c>
      <c r="W148" s="202" t="e">
        <f aca="false">IF($A149="","",(T148+R148+G148+V148))</f>
        <v>#N/A</v>
      </c>
      <c r="X148" s="202" t="e">
        <f aca="false">IF($A149="","",(U148+S148+H148+V148))</f>
        <v>#N/A</v>
      </c>
      <c r="Y148" s="202"/>
      <c r="Z148" s="185" t="e">
        <f aca="false">IF($A149="","",VLOOKUP($A148,Table,MATCH(Z$4,Curves,0)))</f>
        <v>#N/A</v>
      </c>
      <c r="AA148" s="185" t="e">
        <f aca="false">IF($A149="","",VLOOKUP($A148,Table,MATCH(AA$4,Curves,0)))</f>
        <v>#N/A</v>
      </c>
      <c r="AB148" s="185" t="e">
        <f aca="false">SQRT((AA148^2*(A148-$D$3)+Z148^2*(DAY(EOMONTH(A148,0))/2))/AK148)</f>
        <v>#N/A</v>
      </c>
      <c r="AC148" s="185" t="e">
        <f aca="false">IF($A149="","",VLOOKUP($A148,Table,MATCH(AC$4,Curves,0)))</f>
        <v>#N/A</v>
      </c>
      <c r="AD148" s="185" t="e">
        <f aca="false">IF($A149="","",VLOOKUP($A148,Table,MATCH(AD$4,Curves,0)))</f>
        <v>#N/A</v>
      </c>
      <c r="AE148" s="185" t="e">
        <f aca="false">SQRT((AD148^2*(A148-$D$3)+AC148^2*(DAY(EOMONTH(A148,0))/2))/AK148)</f>
        <v>#N/A</v>
      </c>
      <c r="AF148" s="206" t="e">
        <f aca="false">((Summary!$N$11*(AA148*AD148)*(A148-$D$3))+(Summary!$M$11*Z148*AC148*(AJ148-EOMONTH(EDATE(A148,-1),0))))/(AK148*AB148*AE148)</f>
        <v>#N/A</v>
      </c>
      <c r="AG148" s="207" t="n">
        <f aca="false">IF($A149="","",Summary!$Q$11)</f>
        <v>0</v>
      </c>
      <c r="AH148" s="207" t="n">
        <f aca="false">IF($A149="","",IF(Summary!$R$11="Y",(VLOOKUP($A148,Summary!$AD$6:$AF$9,3)+'Escalating commodity'!G161),'Escalating commodity'!G161))</f>
        <v>0.00604244409759163</v>
      </c>
      <c r="AI148" s="207" t="n">
        <f aca="false">IF($A149="","",AH148)</f>
        <v>0.00604244409759163</v>
      </c>
      <c r="AJ148" s="208" t="n">
        <f aca="false">A148+DAY(EOMONTH(A148,0))/2-1</f>
        <v>41258.5</v>
      </c>
      <c r="AK148" s="209" t="n">
        <f aca="false">IF($A149="","",$A148-$E$1)</f>
        <v>-4682</v>
      </c>
      <c r="AL148" s="182" t="e">
        <f aca="false">IF($A149="","",SPRDOPT(P148,X148,AI148,0,AB148,AE148,AF148,AK148,$AJ$2,0))</f>
        <v>#NAME?</v>
      </c>
      <c r="AM148" s="210" t="e">
        <f aca="false">IF($A149="","",MAX(0,O148-W148-AI148))</f>
        <v>#N/A</v>
      </c>
      <c r="AN148" s="211" t="e">
        <f aca="false">IF($A149="","",AL148-AM148)</f>
        <v>#N/A</v>
      </c>
      <c r="AO148" s="137" t="n">
        <f aca="false">IF(A149="","",A149-A148)</f>
        <v>31</v>
      </c>
      <c r="AP148" s="212" t="n">
        <f aca="false">IF(A149="","",CHOOSE(F$3,A149+24,A148))</f>
        <v>41244</v>
      </c>
      <c r="AQ148" s="209" t="n">
        <f aca="false">IF(A149="","",AP148-$E$1)</f>
        <v>-4682</v>
      </c>
      <c r="AR148" s="185" t="n">
        <f aca="false">'ANR OK vs ML7'!AR148</f>
        <v>0.1</v>
      </c>
      <c r="AS148" s="213" t="n">
        <f aca="false">IF(A149="","",1/(1+CHOOSE(F$3,(AR149+($I$3/10000))/2,(AR148+($I$3/10000))/2))^(2*AQ148/365.25))</f>
        <v>3.49329317101892</v>
      </c>
      <c r="AT148" s="137" t="n">
        <f aca="false">IF(A149="","",IF(AND(mthbeg&lt;=A148,mthend&gt;=A148),1,0))</f>
        <v>1</v>
      </c>
      <c r="AU148" s="137" t="n">
        <f aca="false">IF(A149="","",AO148*AT148)</f>
        <v>31</v>
      </c>
      <c r="AW148" s="195" t="e">
        <f aca="false">IF($A149="","",AL148*$E148)</f>
        <v>#NAME?</v>
      </c>
      <c r="AX148" s="195" t="e">
        <f aca="false">IF($A149="","",AM148*$E148)</f>
        <v>#N/A</v>
      </c>
      <c r="AY148" s="195" t="e">
        <f aca="false">IF($A149="","",AN148*$E148)</f>
        <v>#N/A</v>
      </c>
      <c r="BA148" s="195" t="n">
        <f aca="false">IF($A149="","",F148*Summary!$Q$11)</f>
        <v>0</v>
      </c>
      <c r="BC148" s="179" t="e">
        <f aca="false">IF(A149="","",AM148*F148)</f>
        <v>#N/A</v>
      </c>
    </row>
    <row r="149" customFormat="false" ht="12.75" hidden="false" customHeight="false" outlineLevel="0" collapsed="false">
      <c r="A149" s="196" t="n">
        <f aca="false">IF(A148&lt;mthend,EDATE(A148,1),"")</f>
        <v>41275</v>
      </c>
      <c r="B149" s="197" t="n">
        <f aca="false">IF(A149&lt;mthend,B148,"")</f>
        <v>124142</v>
      </c>
      <c r="C149" s="215"/>
      <c r="D149" s="197" t="n">
        <f aca="false">IF(A150&lt;&gt;"",B149+C149,"")</f>
        <v>124142</v>
      </c>
      <c r="E149" s="199" t="n">
        <f aca="false">IF(A150="","",IF(AND(AT149=1,$H$3=1),D149*AO149,IF($H$3=2,D149,"N/A")))</f>
        <v>3848402</v>
      </c>
      <c r="F149" s="199" t="n">
        <f aca="false">IF(A150="","",E149*AS149)</f>
        <v>13332716.7252873</v>
      </c>
      <c r="G149" s="200" t="e">
        <f aca="false">IF($A150="","",VLOOKUP($A149,Table,MATCH(G$4,Curves,0)))</f>
        <v>#N/A</v>
      </c>
      <c r="H149" s="201" t="e">
        <f aca="false">IF(A150="","",G149)</f>
        <v>#N/A</v>
      </c>
      <c r="I149" s="202"/>
      <c r="J149" s="200" t="e">
        <f aca="false">IF($A150="","",VLOOKUP($A149,Table,MATCH(J$4,Curves,0)))</f>
        <v>#N/A</v>
      </c>
      <c r="K149" s="201" t="e">
        <f aca="false">IF(A150="","",J149)</f>
        <v>#N/A</v>
      </c>
      <c r="L149" s="200" t="e">
        <f aca="false">IF($A150="","",VLOOKUP($A149,Table,MATCH(L$4,Curves,0)))</f>
        <v>#N/A</v>
      </c>
      <c r="M149" s="201" t="e">
        <f aca="false">IF(A150="","",L149)</f>
        <v>#N/A</v>
      </c>
      <c r="N149" s="203"/>
      <c r="O149" s="200" t="e">
        <f aca="false">IF(A150="","",L149+J149+G149)</f>
        <v>#N/A</v>
      </c>
      <c r="P149" s="200" t="e">
        <f aca="false">IF(A150="","",M149+K149+H149)</f>
        <v>#N/A</v>
      </c>
      <c r="Q149" s="204"/>
      <c r="R149" s="200" t="e">
        <f aca="false">IF($A150="","",VLOOKUP($A149,Table,MATCH(R$4,Curves,0)))</f>
        <v>#N/A</v>
      </c>
      <c r="S149" s="201" t="e">
        <f aca="false">IF(A150="","",R149)</f>
        <v>#N/A</v>
      </c>
      <c r="T149" s="185" t="n">
        <v>0</v>
      </c>
      <c r="U149" s="201" t="n">
        <f aca="false">IF(A150="","",T149)</f>
        <v>0</v>
      </c>
      <c r="V149" s="205" t="e">
        <f aca="false">IF($A150="","",IF(AND(MONTH(A149)&gt;3,MONTH(A149)&lt;11),(T149+R149+G149)*Summary!$T$11/(1-Summary!$T$11),(T149+R149+G149)*Summary!$U$11/(1-Summary!$U$11)))</f>
        <v>#N/A</v>
      </c>
      <c r="W149" s="202" t="e">
        <f aca="false">IF($A150="","",(T149+R149+G149+V149))</f>
        <v>#N/A</v>
      </c>
      <c r="X149" s="202" t="e">
        <f aca="false">IF($A150="","",(U149+S149+H149+V149))</f>
        <v>#N/A</v>
      </c>
      <c r="Y149" s="202"/>
      <c r="Z149" s="185" t="e">
        <f aca="false">IF($A150="","",VLOOKUP($A149,Table,MATCH(Z$4,Curves,0)))</f>
        <v>#N/A</v>
      </c>
      <c r="AA149" s="185" t="e">
        <f aca="false">IF($A150="","",VLOOKUP($A149,Table,MATCH(AA$4,Curves,0)))</f>
        <v>#N/A</v>
      </c>
      <c r="AB149" s="185" t="e">
        <f aca="false">SQRT((AA149^2*(A149-$D$3)+Z149^2*(DAY(EOMONTH(A149,0))/2))/AK149)</f>
        <v>#N/A</v>
      </c>
      <c r="AC149" s="185" t="e">
        <f aca="false">IF($A150="","",VLOOKUP($A149,Table,MATCH(AC$4,Curves,0)))</f>
        <v>#N/A</v>
      </c>
      <c r="AD149" s="185" t="e">
        <f aca="false">IF($A150="","",VLOOKUP($A149,Table,MATCH(AD$4,Curves,0)))</f>
        <v>#N/A</v>
      </c>
      <c r="AE149" s="185" t="e">
        <f aca="false">SQRT((AD149^2*(A149-$D$3)+AC149^2*(DAY(EOMONTH(A149,0))/2))/AK149)</f>
        <v>#N/A</v>
      </c>
      <c r="AF149" s="206" t="e">
        <f aca="false">((Summary!$N$11*(AA149*AD149)*(A149-$D$3))+(Summary!$M$11*Z149*AC149*(AJ149-EOMONTH(EDATE(A149,-1),0))))/(AK149*AB149*AE149)</f>
        <v>#N/A</v>
      </c>
      <c r="AG149" s="207" t="n">
        <f aca="false">IF($A150="","",Summary!$Q$11)</f>
        <v>0</v>
      </c>
      <c r="AH149" s="207" t="n">
        <f aca="false">IF($A150="","",IF(Summary!$R$11="Y",(VLOOKUP($A149,Summary!$AD$6:$AF$9,3)+'Escalating commodity'!G162),'Escalating commodity'!G162))</f>
        <v>0.00616329297954347</v>
      </c>
      <c r="AI149" s="207" t="n">
        <f aca="false">IF($A150="","",AH149)</f>
        <v>0.00616329297954347</v>
      </c>
      <c r="AJ149" s="208" t="n">
        <f aca="false">A149+DAY(EOMONTH(A149,0))/2-1</f>
        <v>41289.5</v>
      </c>
      <c r="AK149" s="209" t="n">
        <f aca="false">IF($A150="","",$A149-$E$1)</f>
        <v>-4651</v>
      </c>
      <c r="AL149" s="182" t="e">
        <f aca="false">IF($A150="","",SPRDOPT(P149,X149,AI149,0,AB149,AE149,AF149,AK149,$AJ$2,0))</f>
        <v>#NAME?</v>
      </c>
      <c r="AM149" s="210" t="e">
        <f aca="false">IF($A150="","",MAX(0,O149-W149-AI149))</f>
        <v>#N/A</v>
      </c>
      <c r="AN149" s="211" t="e">
        <f aca="false">IF($A150="","",AL149-AM149)</f>
        <v>#N/A</v>
      </c>
      <c r="AO149" s="137" t="n">
        <f aca="false">IF(A150="","",A150-A149)</f>
        <v>31</v>
      </c>
      <c r="AP149" s="212" t="n">
        <f aca="false">IF(A150="","",CHOOSE(F$3,A150+24,A149))</f>
        <v>41275</v>
      </c>
      <c r="AQ149" s="209" t="n">
        <f aca="false">IF(A150="","",AP149-$E$1)</f>
        <v>-4651</v>
      </c>
      <c r="AR149" s="185" t="n">
        <f aca="false">'ANR OK vs ML7'!AR149</f>
        <v>0.1</v>
      </c>
      <c r="AS149" s="213" t="n">
        <f aca="false">IF(A150="","",1/(1+CHOOSE(F$3,(AR150+($I$3/10000))/2,(AR149+($I$3/10000))/2))^(2*AQ149/365.25))</f>
        <v>3.4644812899711</v>
      </c>
      <c r="AT149" s="137" t="n">
        <f aca="false">IF(A150="","",IF(AND(mthbeg&lt;=A149,mthend&gt;=A149),1,0))</f>
        <v>1</v>
      </c>
      <c r="AU149" s="137" t="n">
        <f aca="false">IF(A150="","",AO149*AT149)</f>
        <v>31</v>
      </c>
      <c r="AW149" s="195" t="e">
        <f aca="false">IF($A150="","",AL149*$E149)</f>
        <v>#NAME?</v>
      </c>
      <c r="AX149" s="195" t="e">
        <f aca="false">IF($A150="","",AM149*$E149)</f>
        <v>#N/A</v>
      </c>
      <c r="AY149" s="195" t="e">
        <f aca="false">IF($A150="","",AN149*$E149)</f>
        <v>#N/A</v>
      </c>
      <c r="BA149" s="195" t="n">
        <f aca="false">IF($A150="","",F149*Summary!$Q$11)</f>
        <v>0</v>
      </c>
      <c r="BC149" s="179" t="e">
        <f aca="false">IF(A150="","",AM149*F149)</f>
        <v>#N/A</v>
      </c>
    </row>
    <row r="150" customFormat="false" ht="12.75" hidden="false" customHeight="false" outlineLevel="0" collapsed="false">
      <c r="A150" s="196" t="n">
        <f aca="false">IF(A149&lt;mthend,EDATE(A149,1),"")</f>
        <v>41306</v>
      </c>
      <c r="B150" s="197" t="n">
        <f aca="false">IF(A150&lt;mthend,B149,"")</f>
        <v>124142</v>
      </c>
      <c r="C150" s="215"/>
      <c r="D150" s="197" t="n">
        <f aca="false">IF(A151&lt;&gt;"",B150+C150,"")</f>
        <v>124142</v>
      </c>
      <c r="E150" s="199" t="n">
        <f aca="false">IF(A151="","",IF(AND(AT150=1,$H$3=1),D150*AO150,IF($H$3=2,D150,"N/A")))</f>
        <v>3475976</v>
      </c>
      <c r="F150" s="199" t="n">
        <f aca="false">IF(A151="","",E150*AS150)</f>
        <v>11943130.418696</v>
      </c>
      <c r="G150" s="200" t="e">
        <f aca="false">IF($A151="","",VLOOKUP($A150,Table,MATCH(G$4,Curves,0)))</f>
        <v>#N/A</v>
      </c>
      <c r="H150" s="201" t="e">
        <f aca="false">IF(A151="","",G150)</f>
        <v>#N/A</v>
      </c>
      <c r="I150" s="202"/>
      <c r="J150" s="200" t="e">
        <f aca="false">IF($A151="","",VLOOKUP($A150,Table,MATCH(J$4,Curves,0)))</f>
        <v>#N/A</v>
      </c>
      <c r="K150" s="201" t="e">
        <f aca="false">IF(A151="","",J150)</f>
        <v>#N/A</v>
      </c>
      <c r="L150" s="200" t="e">
        <f aca="false">IF($A151="","",VLOOKUP($A150,Table,MATCH(L$4,Curves,0)))</f>
        <v>#N/A</v>
      </c>
      <c r="M150" s="201" t="e">
        <f aca="false">IF(A151="","",L150)</f>
        <v>#N/A</v>
      </c>
      <c r="N150" s="203"/>
      <c r="O150" s="200" t="e">
        <f aca="false">IF(A151="","",L150+J150+G150)</f>
        <v>#N/A</v>
      </c>
      <c r="P150" s="200" t="e">
        <f aca="false">IF(A151="","",M150+K150+H150)</f>
        <v>#N/A</v>
      </c>
      <c r="Q150" s="204"/>
      <c r="R150" s="200" t="e">
        <f aca="false">IF($A151="","",VLOOKUP($A150,Table,MATCH(R$4,Curves,0)))</f>
        <v>#N/A</v>
      </c>
      <c r="S150" s="201" t="e">
        <f aca="false">IF(A151="","",R150)</f>
        <v>#N/A</v>
      </c>
      <c r="T150" s="185" t="n">
        <v>0</v>
      </c>
      <c r="U150" s="201" t="n">
        <f aca="false">IF(A151="","",T150)</f>
        <v>0</v>
      </c>
      <c r="V150" s="205" t="e">
        <f aca="false">IF($A151="","",IF(AND(MONTH(A150)&gt;3,MONTH(A150)&lt;11),(T150+R150+G150)*Summary!$T$11/(1-Summary!$T$11),(T150+R150+G150)*Summary!$U$11/(1-Summary!$U$11)))</f>
        <v>#N/A</v>
      </c>
      <c r="W150" s="202" t="e">
        <f aca="false">IF($A151="","",(T150+R150+G150+V150))</f>
        <v>#N/A</v>
      </c>
      <c r="X150" s="202" t="e">
        <f aca="false">IF($A151="","",(U150+S150+H150+V150))</f>
        <v>#N/A</v>
      </c>
      <c r="Y150" s="202"/>
      <c r="Z150" s="185" t="e">
        <f aca="false">IF($A151="","",VLOOKUP($A150,Table,MATCH(Z$4,Curves,0)))</f>
        <v>#N/A</v>
      </c>
      <c r="AA150" s="185" t="e">
        <f aca="false">IF($A151="","",VLOOKUP($A150,Table,MATCH(AA$4,Curves,0)))</f>
        <v>#N/A</v>
      </c>
      <c r="AB150" s="185" t="e">
        <f aca="false">SQRT((AA150^2*(A150-$D$3)+Z150^2*(DAY(EOMONTH(A150,0))/2))/AK150)</f>
        <v>#N/A</v>
      </c>
      <c r="AC150" s="185" t="e">
        <f aca="false">IF($A151="","",VLOOKUP($A150,Table,MATCH(AC$4,Curves,0)))</f>
        <v>#N/A</v>
      </c>
      <c r="AD150" s="185" t="e">
        <f aca="false">IF($A151="","",VLOOKUP($A150,Table,MATCH(AD$4,Curves,0)))</f>
        <v>#N/A</v>
      </c>
      <c r="AE150" s="185" t="e">
        <f aca="false">SQRT((AD150^2*(A150-$D$3)+AC150^2*(DAY(EOMONTH(A150,0))/2))/AK150)</f>
        <v>#N/A</v>
      </c>
      <c r="AF150" s="206" t="e">
        <f aca="false">((Summary!$N$11*(AA150*AD150)*(A150-$D$3))+(Summary!$M$11*Z150*AC150*(AJ150-EOMONTH(EDATE(A150,-1),0))))/(AK150*AB150*AE150)</f>
        <v>#N/A</v>
      </c>
      <c r="AG150" s="207" t="n">
        <f aca="false">IF($A151="","",Summary!$Q$11)</f>
        <v>0</v>
      </c>
      <c r="AH150" s="207" t="n">
        <f aca="false">IF($A151="","",IF(Summary!$R$11="Y",(VLOOKUP($A150,Summary!$AD$6:$AF$9,3)+'Escalating commodity'!G163),'Escalating commodity'!G163))</f>
        <v>0.00616329297954347</v>
      </c>
      <c r="AI150" s="207" t="n">
        <f aca="false">IF($A151="","",AH150)</f>
        <v>0.00616329297954347</v>
      </c>
      <c r="AJ150" s="208" t="n">
        <f aca="false">A150+DAY(EOMONTH(A150,0))/2-1</f>
        <v>41319</v>
      </c>
      <c r="AK150" s="209" t="n">
        <f aca="false">IF($A151="","",$A150-$E$1)</f>
        <v>-4620</v>
      </c>
      <c r="AL150" s="182" t="e">
        <f aca="false">IF($A151="","",SPRDOPT(P150,X150,AI150,0,AB150,AE150,AF150,AK150,$AJ$2,0))</f>
        <v>#NAME?</v>
      </c>
      <c r="AM150" s="210" t="e">
        <f aca="false">IF($A151="","",MAX(0,O150-W150-AI150))</f>
        <v>#N/A</v>
      </c>
      <c r="AN150" s="211" t="e">
        <f aca="false">IF($A151="","",AL150-AM150)</f>
        <v>#N/A</v>
      </c>
      <c r="AO150" s="137" t="n">
        <f aca="false">IF(A151="","",A151-A150)</f>
        <v>28</v>
      </c>
      <c r="AP150" s="212" t="n">
        <f aca="false">IF(A151="","",CHOOSE(F$3,A151+24,A150))</f>
        <v>41306</v>
      </c>
      <c r="AQ150" s="209" t="n">
        <f aca="false">IF(A151="","",AP150-$E$1)</f>
        <v>-4620</v>
      </c>
      <c r="AR150" s="185" t="n">
        <f aca="false">'ANR OK vs ML7'!AR150</f>
        <v>0.1</v>
      </c>
      <c r="AS150" s="213" t="n">
        <f aca="false">IF(A151="","",1/(1+CHOOSE(F$3,(AR151+($I$3/10000))/2,(AR150+($I$3/10000))/2))^(2*AQ150/365.25))</f>
        <v>3.43590704271147</v>
      </c>
      <c r="AT150" s="137" t="n">
        <f aca="false">IF(A151="","",IF(AND(mthbeg&lt;=A150,mthend&gt;=A150),1,0))</f>
        <v>1</v>
      </c>
      <c r="AU150" s="137" t="n">
        <f aca="false">IF(A151="","",AO150*AT150)</f>
        <v>28</v>
      </c>
      <c r="AW150" s="195" t="e">
        <f aca="false">IF($A151="","",AL150*$E150)</f>
        <v>#NAME?</v>
      </c>
      <c r="AX150" s="195" t="e">
        <f aca="false">IF($A151="","",AM150*$E150)</f>
        <v>#N/A</v>
      </c>
      <c r="AY150" s="195" t="e">
        <f aca="false">IF($A151="","",AN150*$E150)</f>
        <v>#N/A</v>
      </c>
      <c r="BA150" s="195" t="n">
        <f aca="false">IF($A151="","",F150*Summary!$Q$11)</f>
        <v>0</v>
      </c>
      <c r="BC150" s="179" t="e">
        <f aca="false">IF(A151="","",AM150*F150)</f>
        <v>#N/A</v>
      </c>
    </row>
    <row r="151" customFormat="false" ht="12.75" hidden="false" customHeight="false" outlineLevel="0" collapsed="false">
      <c r="A151" s="196" t="n">
        <f aca="false">IF(A150&lt;mthend,EDATE(A150,1),"")</f>
        <v>41334</v>
      </c>
      <c r="B151" s="197" t="n">
        <f aca="false">IF(A151&lt;mthend,B150,"")</f>
        <v>124142</v>
      </c>
      <c r="C151" s="215"/>
      <c r="D151" s="197" t="n">
        <f aca="false">IF(A152&lt;&gt;"",B151+C151,"")</f>
        <v>124142</v>
      </c>
      <c r="E151" s="199" t="n">
        <f aca="false">IF(A152="","",IF(AND(AT151=1,$H$3=1),D151*AO151,IF($H$3=2,D151,"N/A")))</f>
        <v>3848402</v>
      </c>
      <c r="F151" s="199" t="n">
        <f aca="false">IF(A152="","",E151*AS151)</f>
        <v>13124207.9032333</v>
      </c>
      <c r="G151" s="200" t="e">
        <f aca="false">IF($A152="","",VLOOKUP($A151,Table,MATCH(G$4,Curves,0)))</f>
        <v>#N/A</v>
      </c>
      <c r="H151" s="201" t="e">
        <f aca="false">IF(A152="","",G151)</f>
        <v>#N/A</v>
      </c>
      <c r="I151" s="202"/>
      <c r="J151" s="200" t="e">
        <f aca="false">IF($A152="","",VLOOKUP($A151,Table,MATCH(J$4,Curves,0)))</f>
        <v>#N/A</v>
      </c>
      <c r="K151" s="201" t="e">
        <f aca="false">IF(A152="","",J151)</f>
        <v>#N/A</v>
      </c>
      <c r="L151" s="200" t="e">
        <f aca="false">IF($A152="","",VLOOKUP($A151,Table,MATCH(L$4,Curves,0)))</f>
        <v>#N/A</v>
      </c>
      <c r="M151" s="201" t="e">
        <f aca="false">IF(A152="","",L151)</f>
        <v>#N/A</v>
      </c>
      <c r="N151" s="203"/>
      <c r="O151" s="200" t="e">
        <f aca="false">IF(A152="","",L151+J151+G151)</f>
        <v>#N/A</v>
      </c>
      <c r="P151" s="200" t="e">
        <f aca="false">IF(A152="","",M151+K151+H151)</f>
        <v>#N/A</v>
      </c>
      <c r="Q151" s="204"/>
      <c r="R151" s="200" t="e">
        <f aca="false">IF($A152="","",VLOOKUP($A151,Table,MATCH(R$4,Curves,0)))</f>
        <v>#N/A</v>
      </c>
      <c r="S151" s="201" t="e">
        <f aca="false">IF(A152="","",R151)</f>
        <v>#N/A</v>
      </c>
      <c r="T151" s="185" t="n">
        <v>0</v>
      </c>
      <c r="U151" s="201" t="n">
        <f aca="false">IF(A152="","",T151)</f>
        <v>0</v>
      </c>
      <c r="V151" s="205" t="e">
        <f aca="false">IF($A152="","",IF(AND(MONTH(A151)&gt;3,MONTH(A151)&lt;11),(T151+R151+G151)*Summary!$T$11/(1-Summary!$T$11),(T151+R151+G151)*Summary!$U$11/(1-Summary!$U$11)))</f>
        <v>#N/A</v>
      </c>
      <c r="W151" s="202" t="e">
        <f aca="false">IF($A152="","",(T151+R151+G151+V151))</f>
        <v>#N/A</v>
      </c>
      <c r="X151" s="202" t="e">
        <f aca="false">IF($A152="","",(U151+S151+H151+V151))</f>
        <v>#N/A</v>
      </c>
      <c r="Y151" s="202"/>
      <c r="Z151" s="185" t="e">
        <f aca="false">IF($A152="","",VLOOKUP($A151,Table,MATCH(Z$4,Curves,0)))</f>
        <v>#N/A</v>
      </c>
      <c r="AA151" s="185" t="e">
        <f aca="false">IF($A152="","",VLOOKUP($A151,Table,MATCH(AA$4,Curves,0)))</f>
        <v>#N/A</v>
      </c>
      <c r="AB151" s="185" t="e">
        <f aca="false">SQRT((AA151^2*(A151-$D$3)+Z151^2*(DAY(EOMONTH(A151,0))/2))/AK151)</f>
        <v>#N/A</v>
      </c>
      <c r="AC151" s="185" t="e">
        <f aca="false">IF($A152="","",VLOOKUP($A151,Table,MATCH(AC$4,Curves,0)))</f>
        <v>#N/A</v>
      </c>
      <c r="AD151" s="185" t="e">
        <f aca="false">IF($A152="","",VLOOKUP($A151,Table,MATCH(AD$4,Curves,0)))</f>
        <v>#N/A</v>
      </c>
      <c r="AE151" s="185" t="e">
        <f aca="false">SQRT((AD151^2*(A151-$D$3)+AC151^2*(DAY(EOMONTH(A151,0))/2))/AK151)</f>
        <v>#N/A</v>
      </c>
      <c r="AF151" s="206" t="e">
        <f aca="false">((Summary!$N$11*(AA151*AD151)*(A151-$D$3))+(Summary!$M$11*Z151*AC151*(AJ151-EOMONTH(EDATE(A151,-1),0))))/(AK151*AB151*AE151)</f>
        <v>#N/A</v>
      </c>
      <c r="AG151" s="207" t="n">
        <f aca="false">IF($A152="","",Summary!$Q$11)</f>
        <v>0</v>
      </c>
      <c r="AH151" s="207" t="n">
        <f aca="false">IF($A152="","",IF(Summary!$R$11="Y",(VLOOKUP($A151,Summary!$AD$6:$AF$9,3)+'Escalating commodity'!G164),'Escalating commodity'!G164))</f>
        <v>0.00616329297954347</v>
      </c>
      <c r="AI151" s="207" t="n">
        <f aca="false">IF($A152="","",AH151)</f>
        <v>0.00616329297954347</v>
      </c>
      <c r="AJ151" s="208" t="n">
        <f aca="false">A151+DAY(EOMONTH(A151,0))/2-1</f>
        <v>41348.5</v>
      </c>
      <c r="AK151" s="209" t="n">
        <f aca="false">IF($A152="","",$A151-$E$1)</f>
        <v>-4592</v>
      </c>
      <c r="AL151" s="182" t="e">
        <f aca="false">IF($A152="","",SPRDOPT(P151,X151,AI151,0,AB151,AE151,AF151,AK151,$AJ$2,0))</f>
        <v>#NAME?</v>
      </c>
      <c r="AM151" s="210" t="e">
        <f aca="false">IF($A152="","",MAX(0,O151-W151-AI151))</f>
        <v>#N/A</v>
      </c>
      <c r="AN151" s="211" t="e">
        <f aca="false">IF($A152="","",AL151-AM151)</f>
        <v>#N/A</v>
      </c>
      <c r="AO151" s="137" t="n">
        <f aca="false">IF(A152="","",A152-A151)</f>
        <v>31</v>
      </c>
      <c r="AP151" s="212" t="n">
        <f aca="false">IF(A152="","",CHOOSE(F$3,A152+24,A151))</f>
        <v>41334</v>
      </c>
      <c r="AQ151" s="209" t="n">
        <f aca="false">IF(A152="","",AP151-$E$1)</f>
        <v>-4592</v>
      </c>
      <c r="AR151" s="185" t="n">
        <f aca="false">'ANR OK vs ML7'!AR151</f>
        <v>0.1</v>
      </c>
      <c r="AS151" s="213" t="n">
        <f aca="false">IF(A152="","",1/(1+CHOOSE(F$3,(AR152+($I$3/10000))/2,(AR151+($I$3/10000))/2))^(2*AQ151/365.25))</f>
        <v>3.41030066589544</v>
      </c>
      <c r="AT151" s="137" t="n">
        <f aca="false">IF(A152="","",IF(AND(mthbeg&lt;=A151,mthend&gt;=A151),1,0))</f>
        <v>1</v>
      </c>
      <c r="AU151" s="137" t="n">
        <f aca="false">IF(A152="","",AO151*AT151)</f>
        <v>31</v>
      </c>
      <c r="AW151" s="195" t="e">
        <f aca="false">IF($A152="","",AL151*$E151)</f>
        <v>#NAME?</v>
      </c>
      <c r="AX151" s="195" t="e">
        <f aca="false">IF($A152="","",AM151*$E151)</f>
        <v>#N/A</v>
      </c>
      <c r="AY151" s="195" t="e">
        <f aca="false">IF($A152="","",AN151*$E151)</f>
        <v>#N/A</v>
      </c>
      <c r="BA151" s="195" t="n">
        <f aca="false">IF($A152="","",F151*Summary!$Q$11)</f>
        <v>0</v>
      </c>
      <c r="BC151" s="179" t="e">
        <f aca="false">IF(A152="","",AM151*F151)</f>
        <v>#N/A</v>
      </c>
    </row>
    <row r="152" customFormat="false" ht="12.75" hidden="false" customHeight="false" outlineLevel="0" collapsed="false">
      <c r="A152" s="196" t="n">
        <f aca="false">IF(A151&lt;mthend,EDATE(A151,1),"")</f>
        <v>41365</v>
      </c>
      <c r="B152" s="197" t="n">
        <f aca="false">IF(A152&lt;mthend,B151,"")</f>
        <v>124142</v>
      </c>
      <c r="C152" s="215"/>
      <c r="D152" s="197" t="n">
        <f aca="false">IF(A153&lt;&gt;"",B152+C152,"")</f>
        <v>124142</v>
      </c>
      <c r="E152" s="199" t="n">
        <f aca="false">IF(A153="","",IF(AND(AT152=1,$H$3=1),D152*AO152,IF($H$3=2,D152,"N/A")))</f>
        <v>3724260</v>
      </c>
      <c r="F152" s="199" t="n">
        <f aca="false">IF(A153="","",E152*AS152)</f>
        <v>12596092.6895644</v>
      </c>
      <c r="G152" s="200" t="e">
        <f aca="false">IF($A153="","",VLOOKUP($A152,Table,MATCH(G$4,Curves,0)))</f>
        <v>#N/A</v>
      </c>
      <c r="H152" s="201" t="e">
        <f aca="false">IF(A153="","",G152)</f>
        <v>#N/A</v>
      </c>
      <c r="I152" s="202"/>
      <c r="J152" s="200" t="e">
        <f aca="false">IF($A153="","",VLOOKUP($A152,Table,MATCH(J$4,Curves,0)))</f>
        <v>#N/A</v>
      </c>
      <c r="K152" s="201" t="e">
        <f aca="false">IF(A153="","",J152)</f>
        <v>#N/A</v>
      </c>
      <c r="L152" s="200" t="e">
        <f aca="false">IF($A153="","",VLOOKUP($A152,Table,MATCH(L$4,Curves,0)))</f>
        <v>#N/A</v>
      </c>
      <c r="M152" s="201" t="e">
        <f aca="false">IF(A153="","",L152)</f>
        <v>#N/A</v>
      </c>
      <c r="N152" s="203"/>
      <c r="O152" s="200" t="e">
        <f aca="false">IF(A153="","",L152+J152+G152)</f>
        <v>#N/A</v>
      </c>
      <c r="P152" s="200" t="e">
        <f aca="false">IF(A153="","",M152+K152+H152)</f>
        <v>#N/A</v>
      </c>
      <c r="Q152" s="204"/>
      <c r="R152" s="200" t="e">
        <f aca="false">IF($A153="","",VLOOKUP($A152,Table,MATCH(R$4,Curves,0)))</f>
        <v>#N/A</v>
      </c>
      <c r="S152" s="201" t="e">
        <f aca="false">IF(A153="","",R152)</f>
        <v>#N/A</v>
      </c>
      <c r="T152" s="185" t="n">
        <v>0</v>
      </c>
      <c r="U152" s="201" t="n">
        <f aca="false">IF(A153="","",T152)</f>
        <v>0</v>
      </c>
      <c r="V152" s="205" t="e">
        <f aca="false">IF($A153="","",IF(AND(MONTH(A152)&gt;3,MONTH(A152)&lt;11),(T152+R152+G152)*Summary!$T$11/(1-Summary!$T$11),(T152+R152+G152)*Summary!$U$11/(1-Summary!$U$11)))</f>
        <v>#N/A</v>
      </c>
      <c r="W152" s="202" t="e">
        <f aca="false">IF($A153="","",(T152+R152+G152+V152))</f>
        <v>#N/A</v>
      </c>
      <c r="X152" s="202" t="e">
        <f aca="false">IF($A153="","",(U152+S152+H152+V152))</f>
        <v>#N/A</v>
      </c>
      <c r="Y152" s="202"/>
      <c r="Z152" s="185" t="e">
        <f aca="false">IF($A153="","",VLOOKUP($A152,Table,MATCH(Z$4,Curves,0)))</f>
        <v>#N/A</v>
      </c>
      <c r="AA152" s="185" t="e">
        <f aca="false">IF($A153="","",VLOOKUP($A152,Table,MATCH(AA$4,Curves,0)))</f>
        <v>#N/A</v>
      </c>
      <c r="AB152" s="185" t="e">
        <f aca="false">SQRT((AA152^2*(A152-$D$3)+Z152^2*(DAY(EOMONTH(A152,0))/2))/AK152)</f>
        <v>#N/A</v>
      </c>
      <c r="AC152" s="185" t="e">
        <f aca="false">IF($A153="","",VLOOKUP($A152,Table,MATCH(AC$4,Curves,0)))</f>
        <v>#N/A</v>
      </c>
      <c r="AD152" s="185" t="e">
        <f aca="false">IF($A153="","",VLOOKUP($A152,Table,MATCH(AD$4,Curves,0)))</f>
        <v>#N/A</v>
      </c>
      <c r="AE152" s="185" t="e">
        <f aca="false">SQRT((AD152^2*(A152-$D$3)+AC152^2*(DAY(EOMONTH(A152,0))/2))/AK152)</f>
        <v>#N/A</v>
      </c>
      <c r="AF152" s="206" t="e">
        <f aca="false">((Summary!$N$11*(AA152*AD152)*(A152-$D$3))+(Summary!$M$11*Z152*AC152*(AJ152-EOMONTH(EDATE(A152,-1),0))))/(AK152*AB152*AE152)</f>
        <v>#N/A</v>
      </c>
      <c r="AG152" s="207" t="n">
        <f aca="false">IF($A153="","",Summary!$Q$11)</f>
        <v>0</v>
      </c>
      <c r="AH152" s="207" t="n">
        <f aca="false">IF($A153="","",IF(Summary!$R$11="Y",(VLOOKUP($A152,Summary!$AD$6:$AF$9,3)+'Escalating commodity'!G165),'Escalating commodity'!G165))</f>
        <v>0.00616329297954347</v>
      </c>
      <c r="AI152" s="207" t="n">
        <f aca="false">IF($A153="","",AH152)</f>
        <v>0.00616329297954347</v>
      </c>
      <c r="AJ152" s="208" t="n">
        <f aca="false">A152+DAY(EOMONTH(A152,0))/2-1</f>
        <v>41379</v>
      </c>
      <c r="AK152" s="209" t="n">
        <f aca="false">IF($A153="","",$A152-$E$1)</f>
        <v>-4561</v>
      </c>
      <c r="AL152" s="182" t="e">
        <f aca="false">IF($A153="","",SPRDOPT(P152,X152,AI152,0,AB152,AE152,AF152,AK152,$AJ$2,0))</f>
        <v>#NAME?</v>
      </c>
      <c r="AM152" s="210" t="e">
        <f aca="false">IF($A153="","",MAX(0,O152-W152-AI152))</f>
        <v>#N/A</v>
      </c>
      <c r="AN152" s="211" t="e">
        <f aca="false">IF($A153="","",AL152-AM152)</f>
        <v>#N/A</v>
      </c>
      <c r="AO152" s="137" t="n">
        <f aca="false">IF(A153="","",A153-A152)</f>
        <v>30</v>
      </c>
      <c r="AP152" s="212" t="n">
        <f aca="false">IF(A153="","",CHOOSE(F$3,A153+24,A152))</f>
        <v>41365</v>
      </c>
      <c r="AQ152" s="209" t="n">
        <f aca="false">IF(A153="","",AP152-$E$1)</f>
        <v>-4561</v>
      </c>
      <c r="AR152" s="185" t="n">
        <f aca="false">'ANR OK vs ML7'!AR152</f>
        <v>0.1</v>
      </c>
      <c r="AS152" s="213" t="n">
        <f aca="false">IF(A153="","",1/(1+CHOOSE(F$3,(AR153+($I$3/10000))/2,(AR152+($I$3/10000))/2))^(2*AQ152/365.25))</f>
        <v>3.38217328799934</v>
      </c>
      <c r="AT152" s="137" t="n">
        <f aca="false">IF(A153="","",IF(AND(mthbeg&lt;=A152,mthend&gt;=A152),1,0))</f>
        <v>1</v>
      </c>
      <c r="AU152" s="137" t="n">
        <f aca="false">IF(A153="","",AO152*AT152)</f>
        <v>30</v>
      </c>
      <c r="AW152" s="195" t="e">
        <f aca="false">IF($A153="","",AL152*$E152)</f>
        <v>#NAME?</v>
      </c>
      <c r="AX152" s="195" t="e">
        <f aca="false">IF($A153="","",AM152*$E152)</f>
        <v>#N/A</v>
      </c>
      <c r="AY152" s="195" t="e">
        <f aca="false">IF($A153="","",AN152*$E152)</f>
        <v>#N/A</v>
      </c>
      <c r="BA152" s="195" t="n">
        <f aca="false">IF($A153="","",F152*Summary!$Q$11)</f>
        <v>0</v>
      </c>
      <c r="BC152" s="179" t="e">
        <f aca="false">IF(A153="","",AM152*F152)</f>
        <v>#N/A</v>
      </c>
    </row>
    <row r="153" customFormat="false" ht="12.75" hidden="false" customHeight="false" outlineLevel="0" collapsed="false">
      <c r="A153" s="196" t="n">
        <f aca="false">IF(A152&lt;mthend,EDATE(A152,1),"")</f>
        <v>41395</v>
      </c>
      <c r="B153" s="197" t="n">
        <f aca="false">IF(A153&lt;mthend,B152,"")</f>
        <v>124142</v>
      </c>
      <c r="C153" s="215"/>
      <c r="D153" s="197" t="n">
        <f aca="false">IF(A154&lt;&gt;"",B153+C153,"")</f>
        <v>124142</v>
      </c>
      <c r="E153" s="199" t="n">
        <f aca="false">IF(A154="","",IF(AND(AT153=1,$H$3=1),D153*AO153,IF($H$3=2,D153,"N/A")))</f>
        <v>3848402</v>
      </c>
      <c r="F153" s="199" t="n">
        <f aca="false">IF(A154="","",E153*AS153)</f>
        <v>12912058.9020351</v>
      </c>
      <c r="G153" s="200" t="e">
        <f aca="false">IF($A154="","",VLOOKUP($A153,Table,MATCH(G$4,Curves,0)))</f>
        <v>#N/A</v>
      </c>
      <c r="H153" s="201" t="e">
        <f aca="false">IF(A154="","",G153)</f>
        <v>#N/A</v>
      </c>
      <c r="I153" s="202"/>
      <c r="J153" s="200" t="e">
        <f aca="false">IF($A154="","",VLOOKUP($A153,Table,MATCH(J$4,Curves,0)))</f>
        <v>#N/A</v>
      </c>
      <c r="K153" s="201" t="e">
        <f aca="false">IF(A154="","",J153)</f>
        <v>#N/A</v>
      </c>
      <c r="L153" s="200" t="e">
        <f aca="false">IF($A154="","",VLOOKUP($A153,Table,MATCH(L$4,Curves,0)))</f>
        <v>#N/A</v>
      </c>
      <c r="M153" s="201" t="e">
        <f aca="false">IF(A154="","",L153)</f>
        <v>#N/A</v>
      </c>
      <c r="N153" s="203"/>
      <c r="O153" s="200" t="e">
        <f aca="false">IF(A154="","",L153+J153+G153)</f>
        <v>#N/A</v>
      </c>
      <c r="P153" s="200" t="e">
        <f aca="false">IF(A154="","",M153+K153+H153)</f>
        <v>#N/A</v>
      </c>
      <c r="Q153" s="204"/>
      <c r="R153" s="200" t="e">
        <f aca="false">IF($A154="","",VLOOKUP($A153,Table,MATCH(R$4,Curves,0)))</f>
        <v>#N/A</v>
      </c>
      <c r="S153" s="201" t="e">
        <f aca="false">IF(A154="","",R153)</f>
        <v>#N/A</v>
      </c>
      <c r="T153" s="185" t="n">
        <v>0</v>
      </c>
      <c r="U153" s="201" t="n">
        <f aca="false">IF(A154="","",T153)</f>
        <v>0</v>
      </c>
      <c r="V153" s="205" t="e">
        <f aca="false">IF($A154="","",IF(AND(MONTH(A153)&gt;3,MONTH(A153)&lt;11),(T153+R153+G153)*Summary!$T$11/(1-Summary!$T$11),(T153+R153+G153)*Summary!$U$11/(1-Summary!$U$11)))</f>
        <v>#N/A</v>
      </c>
      <c r="W153" s="202" t="e">
        <f aca="false">IF($A154="","",(T153+R153+G153+V153))</f>
        <v>#N/A</v>
      </c>
      <c r="X153" s="202" t="e">
        <f aca="false">IF($A154="","",(U153+S153+H153+V153))</f>
        <v>#N/A</v>
      </c>
      <c r="Y153" s="202"/>
      <c r="Z153" s="185" t="e">
        <f aca="false">IF($A154="","",VLOOKUP($A153,Table,MATCH(Z$4,Curves,0)))</f>
        <v>#N/A</v>
      </c>
      <c r="AA153" s="185" t="e">
        <f aca="false">IF($A154="","",VLOOKUP($A153,Table,MATCH(AA$4,Curves,0)))</f>
        <v>#N/A</v>
      </c>
      <c r="AB153" s="185" t="e">
        <f aca="false">SQRT((AA153^2*(A153-$D$3)+Z153^2*(DAY(EOMONTH(A153,0))/2))/AK153)</f>
        <v>#N/A</v>
      </c>
      <c r="AC153" s="185" t="e">
        <f aca="false">IF($A154="","",VLOOKUP($A153,Table,MATCH(AC$4,Curves,0)))</f>
        <v>#N/A</v>
      </c>
      <c r="AD153" s="185" t="e">
        <f aca="false">IF($A154="","",VLOOKUP($A153,Table,MATCH(AD$4,Curves,0)))</f>
        <v>#N/A</v>
      </c>
      <c r="AE153" s="185" t="e">
        <f aca="false">SQRT((AD153^2*(A153-$D$3)+AC153^2*(DAY(EOMONTH(A153,0))/2))/AK153)</f>
        <v>#N/A</v>
      </c>
      <c r="AF153" s="206" t="e">
        <f aca="false">((Summary!$N$11*(AA153*AD153)*(A153-$D$3))+(Summary!$M$11*Z153*AC153*(AJ153-EOMONTH(EDATE(A153,-1),0))))/(AK153*AB153*AE153)</f>
        <v>#N/A</v>
      </c>
      <c r="AG153" s="207" t="n">
        <f aca="false">IF($A154="","",Summary!$Q$11)</f>
        <v>0</v>
      </c>
      <c r="AH153" s="207" t="n">
        <f aca="false">IF($A154="","",IF(Summary!$R$11="Y",(VLOOKUP($A153,Summary!$AD$6:$AF$9,3)+'Escalating commodity'!G166),'Escalating commodity'!G166))</f>
        <v>0.00616329297954347</v>
      </c>
      <c r="AI153" s="207" t="n">
        <f aca="false">IF($A154="","",AH153)</f>
        <v>0.00616329297954347</v>
      </c>
      <c r="AJ153" s="208" t="n">
        <f aca="false">A153+DAY(EOMONTH(A153,0))/2-1</f>
        <v>41409.5</v>
      </c>
      <c r="AK153" s="209" t="n">
        <f aca="false">IF($A154="","",$A153-$E$1)</f>
        <v>-4531</v>
      </c>
      <c r="AL153" s="182" t="e">
        <f aca="false">IF($A154="","",SPRDOPT(P153,X153,AI153,0,AB153,AE153,AF153,AK153,$AJ$2,0))</f>
        <v>#NAME?</v>
      </c>
      <c r="AM153" s="210" t="e">
        <f aca="false">IF($A154="","",MAX(0,O153-W153-AI153))</f>
        <v>#N/A</v>
      </c>
      <c r="AN153" s="211" t="e">
        <f aca="false">IF($A154="","",AL153-AM153)</f>
        <v>#N/A</v>
      </c>
      <c r="AO153" s="137" t="n">
        <f aca="false">IF(A154="","",A154-A153)</f>
        <v>31</v>
      </c>
      <c r="AP153" s="212" t="n">
        <f aca="false">IF(A154="","",CHOOSE(F$3,A154+24,A153))</f>
        <v>41395</v>
      </c>
      <c r="AQ153" s="209" t="n">
        <f aca="false">IF(A154="","",AP153-$E$1)</f>
        <v>-4531</v>
      </c>
      <c r="AR153" s="185" t="n">
        <f aca="false">'ANR OK vs ML7'!AR153</f>
        <v>0.1</v>
      </c>
      <c r="AS153" s="213" t="n">
        <f aca="false">IF(A154="","",1/(1+CHOOSE(F$3,(AR154+($I$3/10000))/2,(AR153+($I$3/10000))/2))^(2*AQ153/365.25))</f>
        <v>3.35517414813605</v>
      </c>
      <c r="AT153" s="137" t="n">
        <f aca="false">IF(A154="","",IF(AND(mthbeg&lt;=A153,mthend&gt;=A153),1,0))</f>
        <v>1</v>
      </c>
      <c r="AU153" s="137" t="n">
        <f aca="false">IF(A154="","",AO153*AT153)</f>
        <v>31</v>
      </c>
      <c r="AW153" s="195" t="e">
        <f aca="false">IF($A154="","",AL153*$E153)</f>
        <v>#NAME?</v>
      </c>
      <c r="AX153" s="195" t="e">
        <f aca="false">IF($A154="","",AM153*$E153)</f>
        <v>#N/A</v>
      </c>
      <c r="AY153" s="195" t="e">
        <f aca="false">IF($A154="","",AN153*$E153)</f>
        <v>#N/A</v>
      </c>
      <c r="BA153" s="195" t="n">
        <f aca="false">IF($A154="","",F153*Summary!$Q$11)</f>
        <v>0</v>
      </c>
      <c r="BC153" s="179" t="e">
        <f aca="false">IF(A154="","",AM153*F153)</f>
        <v>#N/A</v>
      </c>
    </row>
    <row r="154" customFormat="false" ht="12.75" hidden="false" customHeight="false" outlineLevel="0" collapsed="false">
      <c r="A154" s="196" t="n">
        <f aca="false">IF(A153&lt;mthend,EDATE(A153,1),"")</f>
        <v>41426</v>
      </c>
      <c r="B154" s="197" t="n">
        <f aca="false">IF(A154&lt;mthend,B153,"")</f>
        <v>124142</v>
      </c>
      <c r="C154" s="215"/>
      <c r="D154" s="197" t="n">
        <f aca="false">IF(A155&lt;&gt;"",B154+C154,"")</f>
        <v>124142</v>
      </c>
      <c r="E154" s="199" t="n">
        <f aca="false">IF(A155="","",IF(AND(AT154=1,$H$3=1),D154*AO154,IF($H$3=2,D154,"N/A")))</f>
        <v>3724260</v>
      </c>
      <c r="F154" s="199" t="n">
        <f aca="false">IF(A155="","",E154*AS154)</f>
        <v>12392480.517097</v>
      </c>
      <c r="G154" s="200" t="e">
        <f aca="false">IF($A155="","",VLOOKUP($A154,Table,MATCH(G$4,Curves,0)))</f>
        <v>#N/A</v>
      </c>
      <c r="H154" s="201" t="e">
        <f aca="false">IF(A155="","",G154)</f>
        <v>#N/A</v>
      </c>
      <c r="I154" s="202"/>
      <c r="J154" s="200" t="e">
        <f aca="false">IF($A155="","",VLOOKUP($A154,Table,MATCH(J$4,Curves,0)))</f>
        <v>#N/A</v>
      </c>
      <c r="K154" s="201" t="e">
        <f aca="false">IF(A155="","",J154)</f>
        <v>#N/A</v>
      </c>
      <c r="L154" s="200" t="e">
        <f aca="false">IF($A155="","",VLOOKUP($A154,Table,MATCH(L$4,Curves,0)))</f>
        <v>#N/A</v>
      </c>
      <c r="M154" s="201" t="e">
        <f aca="false">IF(A155="","",L154)</f>
        <v>#N/A</v>
      </c>
      <c r="N154" s="203"/>
      <c r="O154" s="200" t="e">
        <f aca="false">IF(A155="","",L154+J154+G154)</f>
        <v>#N/A</v>
      </c>
      <c r="P154" s="200" t="e">
        <f aca="false">IF(A155="","",M154+K154+H154)</f>
        <v>#N/A</v>
      </c>
      <c r="Q154" s="204"/>
      <c r="R154" s="200" t="e">
        <f aca="false">IF($A155="","",VLOOKUP($A154,Table,MATCH(R$4,Curves,0)))</f>
        <v>#N/A</v>
      </c>
      <c r="S154" s="201" t="e">
        <f aca="false">IF(A155="","",R154)</f>
        <v>#N/A</v>
      </c>
      <c r="T154" s="185" t="n">
        <v>0</v>
      </c>
      <c r="U154" s="201" t="n">
        <f aca="false">IF(A155="","",T154)</f>
        <v>0</v>
      </c>
      <c r="V154" s="205" t="e">
        <f aca="false">IF($A155="","",IF(AND(MONTH(A154)&gt;3,MONTH(A154)&lt;11),(T154+R154+G154)*Summary!$T$11/(1-Summary!$T$11),(T154+R154+G154)*Summary!$U$11/(1-Summary!$U$11)))</f>
        <v>#N/A</v>
      </c>
      <c r="W154" s="202" t="e">
        <f aca="false">IF($A155="","",(T154+R154+G154+V154))</f>
        <v>#N/A</v>
      </c>
      <c r="X154" s="202" t="e">
        <f aca="false">IF($A155="","",(U154+S154+H154+V154))</f>
        <v>#N/A</v>
      </c>
      <c r="Y154" s="202"/>
      <c r="Z154" s="185" t="e">
        <f aca="false">IF($A155="","",VLOOKUP($A154,Table,MATCH(Z$4,Curves,0)))</f>
        <v>#N/A</v>
      </c>
      <c r="AA154" s="185" t="e">
        <f aca="false">IF($A155="","",VLOOKUP($A154,Table,MATCH(AA$4,Curves,0)))</f>
        <v>#N/A</v>
      </c>
      <c r="AB154" s="185" t="e">
        <f aca="false">SQRT((AA154^2*(A154-$D$3)+Z154^2*(DAY(EOMONTH(A154,0))/2))/AK154)</f>
        <v>#N/A</v>
      </c>
      <c r="AC154" s="185" t="e">
        <f aca="false">IF($A155="","",VLOOKUP($A154,Table,MATCH(AC$4,Curves,0)))</f>
        <v>#N/A</v>
      </c>
      <c r="AD154" s="185" t="e">
        <f aca="false">IF($A155="","",VLOOKUP($A154,Table,MATCH(AD$4,Curves,0)))</f>
        <v>#N/A</v>
      </c>
      <c r="AE154" s="185" t="e">
        <f aca="false">SQRT((AD154^2*(A154-$D$3)+AC154^2*(DAY(EOMONTH(A154,0))/2))/AK154)</f>
        <v>#N/A</v>
      </c>
      <c r="AF154" s="206" t="e">
        <f aca="false">((Summary!$N$11*(AA154*AD154)*(A154-$D$3))+(Summary!$M$11*Z154*AC154*(AJ154-EOMONTH(EDATE(A154,-1),0))))/(AK154*AB154*AE154)</f>
        <v>#N/A</v>
      </c>
      <c r="AG154" s="207" t="n">
        <f aca="false">IF($A155="","",Summary!$Q$11)</f>
        <v>0</v>
      </c>
      <c r="AH154" s="207" t="n">
        <f aca="false">IF($A155="","",IF(Summary!$R$11="Y",(VLOOKUP($A154,Summary!$AD$6:$AF$9,3)+'Escalating commodity'!G167),'Escalating commodity'!G167))</f>
        <v>0.00616329297954347</v>
      </c>
      <c r="AI154" s="207" t="n">
        <f aca="false">IF($A155="","",AH154)</f>
        <v>0.00616329297954347</v>
      </c>
      <c r="AJ154" s="208" t="n">
        <f aca="false">A154+DAY(EOMONTH(A154,0))/2-1</f>
        <v>41440</v>
      </c>
      <c r="AK154" s="209" t="n">
        <f aca="false">IF($A155="","",$A154-$E$1)</f>
        <v>-4500</v>
      </c>
      <c r="AL154" s="182" t="e">
        <f aca="false">IF($A155="","",SPRDOPT(P154,X154,AI154,0,AB154,AE154,AF154,AK154,$AJ$2,0))</f>
        <v>#NAME?</v>
      </c>
      <c r="AM154" s="210" t="e">
        <f aca="false">IF($A155="","",MAX(0,O154-W154-AI154))</f>
        <v>#N/A</v>
      </c>
      <c r="AN154" s="211" t="e">
        <f aca="false">IF($A155="","",AL154-AM154)</f>
        <v>#N/A</v>
      </c>
      <c r="AO154" s="137" t="n">
        <f aca="false">IF(A155="","",A155-A154)</f>
        <v>30</v>
      </c>
      <c r="AP154" s="212" t="n">
        <f aca="false">IF(A155="","",CHOOSE(F$3,A155+24,A154))</f>
        <v>41426</v>
      </c>
      <c r="AQ154" s="209" t="n">
        <f aca="false">IF(A155="","",AP154-$E$1)</f>
        <v>-4500</v>
      </c>
      <c r="AR154" s="185" t="n">
        <f aca="false">'ANR OK vs ML7'!AR154</f>
        <v>0.1</v>
      </c>
      <c r="AS154" s="213" t="n">
        <f aca="false">IF(A155="","",1/(1+CHOOSE(F$3,(AR155+($I$3/10000))/2,(AR154+($I$3/10000))/2))^(2*AQ154/365.25))</f>
        <v>3.32750144111769</v>
      </c>
      <c r="AT154" s="137" t="n">
        <f aca="false">IF(A155="","",IF(AND(mthbeg&lt;=A154,mthend&gt;=A154),1,0))</f>
        <v>1</v>
      </c>
      <c r="AU154" s="137" t="n">
        <f aca="false">IF(A155="","",AO154*AT154)</f>
        <v>30</v>
      </c>
      <c r="AW154" s="195" t="e">
        <f aca="false">IF($A155="","",AL154*$E154)</f>
        <v>#NAME?</v>
      </c>
      <c r="AX154" s="195" t="e">
        <f aca="false">IF($A155="","",AM154*$E154)</f>
        <v>#N/A</v>
      </c>
      <c r="AY154" s="195" t="e">
        <f aca="false">IF($A155="","",AN154*$E154)</f>
        <v>#N/A</v>
      </c>
      <c r="BA154" s="195" t="n">
        <f aca="false">IF($A155="","",F154*Summary!$Q$11)</f>
        <v>0</v>
      </c>
      <c r="BC154" s="179" t="e">
        <f aca="false">IF(A155="","",AM154*F154)</f>
        <v>#N/A</v>
      </c>
    </row>
    <row r="155" customFormat="false" ht="12.75" hidden="false" customHeight="false" outlineLevel="0" collapsed="false">
      <c r="A155" s="196" t="n">
        <f aca="false">IF(A154&lt;mthend,EDATE(A154,1),"")</f>
        <v>41456</v>
      </c>
      <c r="B155" s="197" t="n">
        <f aca="false">IF(A155&lt;mthend,B154,"")</f>
        <v>124142</v>
      </c>
      <c r="C155" s="215"/>
      <c r="D155" s="197" t="n">
        <f aca="false">IF(A156&lt;&gt;"",B155+C155,"")</f>
        <v>124142</v>
      </c>
      <c r="E155" s="199" t="n">
        <f aca="false">IF(A156="","",IF(AND(AT155=1,$H$3=1),D155*AO155,IF($H$3=2,D155,"N/A")))</f>
        <v>3848402</v>
      </c>
      <c r="F155" s="199" t="n">
        <f aca="false">IF(A156="","",E155*AS155)</f>
        <v>12703339.2276991</v>
      </c>
      <c r="G155" s="200" t="e">
        <f aca="false">IF($A156="","",VLOOKUP($A155,Table,MATCH(G$4,Curves,0)))</f>
        <v>#N/A</v>
      </c>
      <c r="H155" s="201" t="e">
        <f aca="false">IF(A156="","",G155)</f>
        <v>#N/A</v>
      </c>
      <c r="I155" s="202"/>
      <c r="J155" s="200" t="e">
        <f aca="false">IF($A156="","",VLOOKUP($A155,Table,MATCH(J$4,Curves,0)))</f>
        <v>#N/A</v>
      </c>
      <c r="K155" s="201" t="e">
        <f aca="false">IF(A156="","",J155)</f>
        <v>#N/A</v>
      </c>
      <c r="L155" s="200" t="e">
        <f aca="false">IF($A156="","",VLOOKUP($A155,Table,MATCH(L$4,Curves,0)))</f>
        <v>#N/A</v>
      </c>
      <c r="M155" s="201" t="e">
        <f aca="false">IF(A156="","",L155)</f>
        <v>#N/A</v>
      </c>
      <c r="N155" s="203"/>
      <c r="O155" s="200" t="e">
        <f aca="false">IF(A156="","",L155+J155+G155)</f>
        <v>#N/A</v>
      </c>
      <c r="P155" s="200" t="e">
        <f aca="false">IF(A156="","",M155+K155+H155)</f>
        <v>#N/A</v>
      </c>
      <c r="Q155" s="204"/>
      <c r="R155" s="200" t="e">
        <f aca="false">IF($A156="","",VLOOKUP($A155,Table,MATCH(R$4,Curves,0)))</f>
        <v>#N/A</v>
      </c>
      <c r="S155" s="201" t="e">
        <f aca="false">IF(A156="","",R155)</f>
        <v>#N/A</v>
      </c>
      <c r="T155" s="185" t="n">
        <v>0</v>
      </c>
      <c r="U155" s="201" t="n">
        <f aca="false">IF(A156="","",T155)</f>
        <v>0</v>
      </c>
      <c r="V155" s="205" t="e">
        <f aca="false">IF($A156="","",IF(AND(MONTH(A155)&gt;3,MONTH(A155)&lt;11),(T155+R155+G155)*Summary!$T$11/(1-Summary!$T$11),(T155+R155+G155)*Summary!$U$11/(1-Summary!$U$11)))</f>
        <v>#N/A</v>
      </c>
      <c r="W155" s="202" t="e">
        <f aca="false">IF($A156="","",(T155+R155+G155+V155))</f>
        <v>#N/A</v>
      </c>
      <c r="X155" s="202" t="e">
        <f aca="false">IF($A156="","",(U155+S155+H155+V155))</f>
        <v>#N/A</v>
      </c>
      <c r="Y155" s="202"/>
      <c r="Z155" s="185" t="e">
        <f aca="false">IF($A156="","",VLOOKUP($A155,Table,MATCH(Z$4,Curves,0)))</f>
        <v>#N/A</v>
      </c>
      <c r="AA155" s="185" t="e">
        <f aca="false">IF($A156="","",VLOOKUP($A155,Table,MATCH(AA$4,Curves,0)))</f>
        <v>#N/A</v>
      </c>
      <c r="AB155" s="185" t="e">
        <f aca="false">SQRT((AA155^2*(A155-$D$3)+Z155^2*(DAY(EOMONTH(A155,0))/2))/AK155)</f>
        <v>#N/A</v>
      </c>
      <c r="AC155" s="185" t="e">
        <f aca="false">IF($A156="","",VLOOKUP($A155,Table,MATCH(AC$4,Curves,0)))</f>
        <v>#N/A</v>
      </c>
      <c r="AD155" s="185" t="e">
        <f aca="false">IF($A156="","",VLOOKUP($A155,Table,MATCH(AD$4,Curves,0)))</f>
        <v>#N/A</v>
      </c>
      <c r="AE155" s="185" t="e">
        <f aca="false">SQRT((AD155^2*(A155-$D$3)+AC155^2*(DAY(EOMONTH(A155,0))/2))/AK155)</f>
        <v>#N/A</v>
      </c>
      <c r="AF155" s="206" t="e">
        <f aca="false">((Summary!$N$11*(AA155*AD155)*(A155-$D$3))+(Summary!$M$11*Z155*AC155*(AJ155-EOMONTH(EDATE(A155,-1),0))))/(AK155*AB155*AE155)</f>
        <v>#N/A</v>
      </c>
      <c r="AG155" s="207" t="n">
        <f aca="false">IF($A156="","",Summary!$Q$11)</f>
        <v>0</v>
      </c>
      <c r="AH155" s="207" t="n">
        <f aca="false">IF($A156="","",IF(Summary!$R$11="Y",(VLOOKUP($A155,Summary!$AD$6:$AF$9,3)+'Escalating commodity'!G168),'Escalating commodity'!G168))</f>
        <v>0.00616329297954347</v>
      </c>
      <c r="AI155" s="207" t="n">
        <f aca="false">IF($A156="","",AH155)</f>
        <v>0.00616329297954347</v>
      </c>
      <c r="AJ155" s="208" t="n">
        <f aca="false">A155+DAY(EOMONTH(A155,0))/2-1</f>
        <v>41470.5</v>
      </c>
      <c r="AK155" s="209" t="n">
        <f aca="false">IF($A156="","",$A155-$E$1)</f>
        <v>-4470</v>
      </c>
      <c r="AL155" s="182" t="e">
        <f aca="false">IF($A156="","",SPRDOPT(P155,X155,AI155,0,AB155,AE155,AF155,AK155,$AJ$2,0))</f>
        <v>#NAME?</v>
      </c>
      <c r="AM155" s="210" t="e">
        <f aca="false">IF($A156="","",MAX(0,O155-W155-AI155))</f>
        <v>#N/A</v>
      </c>
      <c r="AN155" s="211" t="e">
        <f aca="false">IF($A156="","",AL155-AM155)</f>
        <v>#N/A</v>
      </c>
      <c r="AO155" s="137" t="n">
        <f aca="false">IF(A156="","",A156-A155)</f>
        <v>31</v>
      </c>
      <c r="AP155" s="212" t="n">
        <f aca="false">IF(A156="","",CHOOSE(F$3,A156+24,A155))</f>
        <v>41456</v>
      </c>
      <c r="AQ155" s="209" t="n">
        <f aca="false">IF(A156="","",AP155-$E$1)</f>
        <v>-4470</v>
      </c>
      <c r="AR155" s="185" t="n">
        <f aca="false">'ANR OK vs ML7'!AR155</f>
        <v>0.1</v>
      </c>
      <c r="AS155" s="213" t="n">
        <f aca="false">IF(A156="","",1/(1+CHOOSE(F$3,(AR156+($I$3/10000))/2,(AR155+($I$3/10000))/2))^(2*AQ155/365.25))</f>
        <v>3.30093873449268</v>
      </c>
      <c r="AT155" s="137" t="n">
        <f aca="false">IF(A156="","",IF(AND(mthbeg&lt;=A155,mthend&gt;=A155),1,0))</f>
        <v>1</v>
      </c>
      <c r="AU155" s="137" t="n">
        <f aca="false">IF(A156="","",AO155*AT155)</f>
        <v>31</v>
      </c>
      <c r="AW155" s="195" t="e">
        <f aca="false">IF($A156="","",AL155*$E155)</f>
        <v>#NAME?</v>
      </c>
      <c r="AX155" s="195" t="e">
        <f aca="false">IF($A156="","",AM155*$E155)</f>
        <v>#N/A</v>
      </c>
      <c r="AY155" s="195" t="e">
        <f aca="false">IF($A156="","",AN155*$E155)</f>
        <v>#N/A</v>
      </c>
      <c r="BA155" s="195" t="n">
        <f aca="false">IF($A156="","",F155*Summary!$Q$11)</f>
        <v>0</v>
      </c>
      <c r="BC155" s="179" t="e">
        <f aca="false">IF(A156="","",AM155*F155)</f>
        <v>#N/A</v>
      </c>
    </row>
    <row r="156" customFormat="false" ht="12.75" hidden="false" customHeight="false" outlineLevel="0" collapsed="false">
      <c r="A156" s="196" t="n">
        <f aca="false">IF(A155&lt;mthend,EDATE(A155,1),"")</f>
        <v>41487</v>
      </c>
      <c r="B156" s="197" t="n">
        <f aca="false">IF(A156&lt;mthend,B155,"")</f>
        <v>124142</v>
      </c>
      <c r="C156" s="215"/>
      <c r="D156" s="197" t="n">
        <f aca="false">IF(A157&lt;&gt;"",B156+C156,"")</f>
        <v>124142</v>
      </c>
      <c r="E156" s="199" t="n">
        <f aca="false">IF(A157="","",IF(AND(AT156=1,$H$3=1),D156*AO156,IF($H$3=2,D156,"N/A")))</f>
        <v>3848402</v>
      </c>
      <c r="F156" s="199" t="n">
        <f aca="false">IF(A157="","",E156*AS156)</f>
        <v>12598564.9986779</v>
      </c>
      <c r="G156" s="200" t="e">
        <f aca="false">IF($A157="","",VLOOKUP($A156,Table,MATCH(G$4,Curves,0)))</f>
        <v>#N/A</v>
      </c>
      <c r="H156" s="201" t="e">
        <f aca="false">IF(A157="","",G156)</f>
        <v>#N/A</v>
      </c>
      <c r="I156" s="202"/>
      <c r="J156" s="200" t="e">
        <f aca="false">IF($A157="","",VLOOKUP($A156,Table,MATCH(J$4,Curves,0)))</f>
        <v>#N/A</v>
      </c>
      <c r="K156" s="201" t="e">
        <f aca="false">IF(A157="","",J156)</f>
        <v>#N/A</v>
      </c>
      <c r="L156" s="200" t="e">
        <f aca="false">IF($A157="","",VLOOKUP($A156,Table,MATCH(L$4,Curves,0)))</f>
        <v>#N/A</v>
      </c>
      <c r="M156" s="201" t="e">
        <f aca="false">IF(A157="","",L156)</f>
        <v>#N/A</v>
      </c>
      <c r="N156" s="203"/>
      <c r="O156" s="200" t="e">
        <f aca="false">IF(A157="","",L156+J156+G156)</f>
        <v>#N/A</v>
      </c>
      <c r="P156" s="200" t="e">
        <f aca="false">IF(A157="","",M156+K156+H156)</f>
        <v>#N/A</v>
      </c>
      <c r="Q156" s="204"/>
      <c r="R156" s="200" t="e">
        <f aca="false">IF($A157="","",VLOOKUP($A156,Table,MATCH(R$4,Curves,0)))</f>
        <v>#N/A</v>
      </c>
      <c r="S156" s="201" t="e">
        <f aca="false">IF(A157="","",R156)</f>
        <v>#N/A</v>
      </c>
      <c r="T156" s="185" t="n">
        <v>0</v>
      </c>
      <c r="U156" s="201" t="n">
        <f aca="false">IF(A157="","",T156)</f>
        <v>0</v>
      </c>
      <c r="V156" s="205" t="e">
        <f aca="false">IF($A157="","",IF(AND(MONTH(A156)&gt;3,MONTH(A156)&lt;11),(T156+R156+G156)*Summary!$T$11/(1-Summary!$T$11),(T156+R156+G156)*Summary!$U$11/(1-Summary!$U$11)))</f>
        <v>#N/A</v>
      </c>
      <c r="W156" s="202" t="e">
        <f aca="false">IF($A157="","",(T156+R156+G156+V156))</f>
        <v>#N/A</v>
      </c>
      <c r="X156" s="202" t="e">
        <f aca="false">IF($A157="","",(U156+S156+H156+V156))</f>
        <v>#N/A</v>
      </c>
      <c r="Y156" s="202"/>
      <c r="Z156" s="185" t="e">
        <f aca="false">IF($A157="","",VLOOKUP($A156,Table,MATCH(Z$4,Curves,0)))</f>
        <v>#N/A</v>
      </c>
      <c r="AA156" s="185" t="e">
        <f aca="false">IF($A157="","",VLOOKUP($A156,Table,MATCH(AA$4,Curves,0)))</f>
        <v>#N/A</v>
      </c>
      <c r="AB156" s="185" t="e">
        <f aca="false">SQRT((AA156^2*(A156-$D$3)+Z156^2*(DAY(EOMONTH(A156,0))/2))/AK156)</f>
        <v>#N/A</v>
      </c>
      <c r="AC156" s="185" t="e">
        <f aca="false">IF($A157="","",VLOOKUP($A156,Table,MATCH(AC$4,Curves,0)))</f>
        <v>#N/A</v>
      </c>
      <c r="AD156" s="185" t="e">
        <f aca="false">IF($A157="","",VLOOKUP($A156,Table,MATCH(AD$4,Curves,0)))</f>
        <v>#N/A</v>
      </c>
      <c r="AE156" s="185" t="e">
        <f aca="false">SQRT((AD156^2*(A156-$D$3)+AC156^2*(DAY(EOMONTH(A156,0))/2))/AK156)</f>
        <v>#N/A</v>
      </c>
      <c r="AF156" s="206" t="e">
        <f aca="false">((Summary!$N$11*(AA156*AD156)*(A156-$D$3))+(Summary!$M$11*Z156*AC156*(AJ156-EOMONTH(EDATE(A156,-1),0))))/(AK156*AB156*AE156)</f>
        <v>#N/A</v>
      </c>
      <c r="AG156" s="207" t="n">
        <f aca="false">IF($A157="","",Summary!$Q$11)</f>
        <v>0</v>
      </c>
      <c r="AH156" s="207" t="n">
        <f aca="false">IF($A157="","",IF(Summary!$R$11="Y",(VLOOKUP($A156,Summary!$AD$6:$AF$9,3)+'Escalating commodity'!G169),'Escalating commodity'!G169))</f>
        <v>0.00616329297954347</v>
      </c>
      <c r="AI156" s="207" t="n">
        <f aca="false">IF($A157="","",AH156)</f>
        <v>0.00616329297954347</v>
      </c>
      <c r="AJ156" s="208" t="n">
        <f aca="false">A156+DAY(EOMONTH(A156,0))/2-1</f>
        <v>41501.5</v>
      </c>
      <c r="AK156" s="209" t="n">
        <f aca="false">IF($A157="","",$A156-$E$1)</f>
        <v>-4439</v>
      </c>
      <c r="AL156" s="182" t="e">
        <f aca="false">IF($A157="","",SPRDOPT(P156,X156,AI156,0,AB156,AE156,AF156,AK156,$AJ$2,0))</f>
        <v>#NAME?</v>
      </c>
      <c r="AM156" s="210" t="e">
        <f aca="false">IF($A157="","",MAX(0,O156-W156-AI156))</f>
        <v>#N/A</v>
      </c>
      <c r="AN156" s="211" t="e">
        <f aca="false">IF($A157="","",AL156-AM156)</f>
        <v>#N/A</v>
      </c>
      <c r="AO156" s="137" t="n">
        <f aca="false">IF(A157="","",A157-A156)</f>
        <v>31</v>
      </c>
      <c r="AP156" s="212" t="n">
        <f aca="false">IF(A157="","",CHOOSE(F$3,A157+24,A156))</f>
        <v>41487</v>
      </c>
      <c r="AQ156" s="209" t="n">
        <f aca="false">IF(A157="","",AP156-$E$1)</f>
        <v>-4439</v>
      </c>
      <c r="AR156" s="185" t="n">
        <f aca="false">'ANR OK vs ML7'!AR156</f>
        <v>0.1</v>
      </c>
      <c r="AS156" s="213" t="n">
        <f aca="false">IF(A157="","",1/(1+CHOOSE(F$3,(AR157+($I$3/10000))/2,(AR156+($I$3/10000))/2))^(2*AQ156/365.25))</f>
        <v>3.27371334872965</v>
      </c>
      <c r="AT156" s="137" t="n">
        <f aca="false">IF(A157="","",IF(AND(mthbeg&lt;=A156,mthend&gt;=A156),1,0))</f>
        <v>1</v>
      </c>
      <c r="AU156" s="137" t="n">
        <f aca="false">IF(A157="","",AO156*AT156)</f>
        <v>31</v>
      </c>
      <c r="AW156" s="195" t="e">
        <f aca="false">IF($A157="","",AL156*$E156)</f>
        <v>#NAME?</v>
      </c>
      <c r="AX156" s="195" t="e">
        <f aca="false">IF($A157="","",AM156*$E156)</f>
        <v>#N/A</v>
      </c>
      <c r="AY156" s="195" t="e">
        <f aca="false">IF($A157="","",AN156*$E156)</f>
        <v>#N/A</v>
      </c>
      <c r="BA156" s="195" t="n">
        <f aca="false">IF($A157="","",F156*Summary!$Q$11)</f>
        <v>0</v>
      </c>
      <c r="BC156" s="179" t="e">
        <f aca="false">IF(A157="","",AM156*F156)</f>
        <v>#N/A</v>
      </c>
    </row>
    <row r="157" customFormat="false" ht="12.75" hidden="false" customHeight="false" outlineLevel="0" collapsed="false">
      <c r="A157" s="196" t="n">
        <f aca="false">IF(A156&lt;mthend,EDATE(A156,1),"")</f>
        <v>41518</v>
      </c>
      <c r="B157" s="197" t="n">
        <f aca="false">IF(A157&lt;mthend,B156,"")</f>
        <v>124142</v>
      </c>
      <c r="C157" s="215"/>
      <c r="D157" s="197" t="n">
        <f aca="false">IF(A158&lt;&gt;"",B157+C157,"")</f>
        <v>124142</v>
      </c>
      <c r="E157" s="199" t="n">
        <f aca="false">IF(A158="","",IF(AND(AT157=1,$H$3=1),D157*AO157,IF($H$3=2,D157,"N/A")))</f>
        <v>3724260</v>
      </c>
      <c r="F157" s="199" t="n">
        <f aca="false">IF(A158="","",E157*AS157)</f>
        <v>12091601.5388443</v>
      </c>
      <c r="G157" s="200" t="e">
        <f aca="false">IF($A158="","",VLOOKUP($A157,Table,MATCH(G$4,Curves,0)))</f>
        <v>#N/A</v>
      </c>
      <c r="H157" s="201" t="e">
        <f aca="false">IF(A158="","",G157)</f>
        <v>#N/A</v>
      </c>
      <c r="I157" s="202"/>
      <c r="J157" s="200" t="e">
        <f aca="false">IF($A158="","",VLOOKUP($A157,Table,MATCH(J$4,Curves,0)))</f>
        <v>#N/A</v>
      </c>
      <c r="K157" s="201" t="e">
        <f aca="false">IF(A158="","",J157)</f>
        <v>#N/A</v>
      </c>
      <c r="L157" s="200" t="e">
        <f aca="false">IF($A158="","",VLOOKUP($A157,Table,MATCH(L$4,Curves,0)))</f>
        <v>#N/A</v>
      </c>
      <c r="M157" s="201" t="e">
        <f aca="false">IF(A158="","",L157)</f>
        <v>#N/A</v>
      </c>
      <c r="N157" s="203"/>
      <c r="O157" s="200" t="e">
        <f aca="false">IF(A158="","",L157+J157+G157)</f>
        <v>#N/A</v>
      </c>
      <c r="P157" s="200" t="e">
        <f aca="false">IF(A158="","",M157+K157+H157)</f>
        <v>#N/A</v>
      </c>
      <c r="Q157" s="204"/>
      <c r="R157" s="200" t="e">
        <f aca="false">IF($A158="","",VLOOKUP($A157,Table,MATCH(R$4,Curves,0)))</f>
        <v>#N/A</v>
      </c>
      <c r="S157" s="201" t="e">
        <f aca="false">IF(A158="","",R157)</f>
        <v>#N/A</v>
      </c>
      <c r="T157" s="185" t="n">
        <v>0</v>
      </c>
      <c r="U157" s="201" t="n">
        <f aca="false">IF(A158="","",T157)</f>
        <v>0</v>
      </c>
      <c r="V157" s="205" t="e">
        <f aca="false">IF($A158="","",IF(AND(MONTH(A157)&gt;3,MONTH(A157)&lt;11),(T157+R157+G157)*Summary!$T$11/(1-Summary!$T$11),(T157+R157+G157)*Summary!$U$11/(1-Summary!$U$11)))</f>
        <v>#N/A</v>
      </c>
      <c r="W157" s="202" t="e">
        <f aca="false">IF($A158="","",(T157+R157+G157+V157))</f>
        <v>#N/A</v>
      </c>
      <c r="X157" s="202" t="e">
        <f aca="false">IF($A158="","",(U157+S157+H157+V157))</f>
        <v>#N/A</v>
      </c>
      <c r="Y157" s="202"/>
      <c r="Z157" s="185" t="e">
        <f aca="false">IF($A158="","",VLOOKUP($A157,Table,MATCH(Z$4,Curves,0)))</f>
        <v>#N/A</v>
      </c>
      <c r="AA157" s="185" t="e">
        <f aca="false">IF($A158="","",VLOOKUP($A157,Table,MATCH(AA$4,Curves,0)))</f>
        <v>#N/A</v>
      </c>
      <c r="AB157" s="185" t="e">
        <f aca="false">SQRT((AA157^2*(A157-$D$3)+Z157^2*(DAY(EOMONTH(A157,0))/2))/AK157)</f>
        <v>#N/A</v>
      </c>
      <c r="AC157" s="185" t="e">
        <f aca="false">IF($A158="","",VLOOKUP($A157,Table,MATCH(AC$4,Curves,0)))</f>
        <v>#N/A</v>
      </c>
      <c r="AD157" s="185" t="e">
        <f aca="false">IF($A158="","",VLOOKUP($A157,Table,MATCH(AD$4,Curves,0)))</f>
        <v>#N/A</v>
      </c>
      <c r="AE157" s="185" t="e">
        <f aca="false">SQRT((AD157^2*(A157-$D$3)+AC157^2*(DAY(EOMONTH(A157,0))/2))/AK157)</f>
        <v>#N/A</v>
      </c>
      <c r="AF157" s="206" t="e">
        <f aca="false">((Summary!$N$11*(AA157*AD157)*(A157-$D$3))+(Summary!$M$11*Z157*AC157*(AJ157-EOMONTH(EDATE(A157,-1),0))))/(AK157*AB157*AE157)</f>
        <v>#N/A</v>
      </c>
      <c r="AG157" s="207" t="n">
        <f aca="false">IF($A158="","",Summary!$Q$11)</f>
        <v>0</v>
      </c>
      <c r="AH157" s="207" t="n">
        <f aca="false">IF($A158="","",IF(Summary!$R$11="Y",(VLOOKUP($A157,Summary!$AD$6:$AF$9,3)+'Escalating commodity'!G170),'Escalating commodity'!G170))</f>
        <v>0.00616329297954347</v>
      </c>
      <c r="AI157" s="207" t="n">
        <f aca="false">IF($A158="","",AH157)</f>
        <v>0.00616329297954347</v>
      </c>
      <c r="AJ157" s="208" t="n">
        <f aca="false">A157+DAY(EOMONTH(A157,0))/2-1</f>
        <v>41532</v>
      </c>
      <c r="AK157" s="209" t="n">
        <f aca="false">IF($A158="","",$A157-$E$1)</f>
        <v>-4408</v>
      </c>
      <c r="AL157" s="182" t="e">
        <f aca="false">IF($A158="","",SPRDOPT(P157,X157,AI157,0,AB157,AE157,AF157,AK157,$AJ$2,0))</f>
        <v>#NAME?</v>
      </c>
      <c r="AM157" s="210" t="e">
        <f aca="false">IF($A158="","",MAX(0,O157-W157-AI157))</f>
        <v>#N/A</v>
      </c>
      <c r="AN157" s="211" t="e">
        <f aca="false">IF($A158="","",AL157-AM157)</f>
        <v>#N/A</v>
      </c>
      <c r="AO157" s="137" t="n">
        <f aca="false">IF(A158="","",A158-A157)</f>
        <v>30</v>
      </c>
      <c r="AP157" s="212" t="n">
        <f aca="false">IF(A158="","",CHOOSE(F$3,A158+24,A157))</f>
        <v>41518</v>
      </c>
      <c r="AQ157" s="209" t="n">
        <f aca="false">IF(A158="","",AP157-$E$1)</f>
        <v>-4408</v>
      </c>
      <c r="AR157" s="185" t="n">
        <f aca="false">'ANR OK vs ML7'!AR157</f>
        <v>0.1</v>
      </c>
      <c r="AS157" s="213" t="n">
        <f aca="false">IF(A158="","",1/(1+CHOOSE(F$3,(AR158+($I$3/10000))/2,(AR157+($I$3/10000))/2))^(2*AQ157/365.25))</f>
        <v>3.2467125117055</v>
      </c>
      <c r="AT157" s="137" t="n">
        <f aca="false">IF(A158="","",IF(AND(mthbeg&lt;=A157,mthend&gt;=A157),1,0))</f>
        <v>1</v>
      </c>
      <c r="AU157" s="137" t="n">
        <f aca="false">IF(A158="","",AO157*AT157)</f>
        <v>30</v>
      </c>
      <c r="AW157" s="195" t="e">
        <f aca="false">IF($A158="","",AL157*$E157)</f>
        <v>#NAME?</v>
      </c>
      <c r="AX157" s="195" t="e">
        <f aca="false">IF($A158="","",AM157*$E157)</f>
        <v>#N/A</v>
      </c>
      <c r="AY157" s="195" t="e">
        <f aca="false">IF($A158="","",AN157*$E157)</f>
        <v>#N/A</v>
      </c>
      <c r="BA157" s="195" t="n">
        <f aca="false">IF($A158="","",F157*Summary!$Q$11)</f>
        <v>0</v>
      </c>
      <c r="BC157" s="179" t="e">
        <f aca="false">IF(A158="","",AM157*F157)</f>
        <v>#N/A</v>
      </c>
    </row>
    <row r="158" customFormat="false" ht="12.75" hidden="false" customHeight="false" outlineLevel="0" collapsed="false">
      <c r="A158" s="196" t="n">
        <f aca="false">IF(A157&lt;mthend,EDATE(A157,1),"")</f>
        <v>41548</v>
      </c>
      <c r="B158" s="197" t="n">
        <f aca="false">IF(A158&lt;mthend,B157,"")</f>
        <v>124142</v>
      </c>
      <c r="C158" s="215"/>
      <c r="D158" s="197" t="n">
        <f aca="false">IF(A159&lt;&gt;"",B158+C158,"")</f>
        <v>124142</v>
      </c>
      <c r="E158" s="199" t="n">
        <f aca="false">IF(A159="","",IF(AND(AT158=1,$H$3=1),D158*AO158,IF($H$3=2,D158,"N/A")))</f>
        <v>3848402</v>
      </c>
      <c r="F158" s="199" t="n">
        <f aca="false">IF(A159="","",E158*AS158)</f>
        <v>12394912.8620531</v>
      </c>
      <c r="G158" s="200" t="e">
        <f aca="false">IF($A159="","",VLOOKUP($A158,Table,MATCH(G$4,Curves,0)))</f>
        <v>#N/A</v>
      </c>
      <c r="H158" s="201" t="e">
        <f aca="false">IF(A159="","",G158)</f>
        <v>#N/A</v>
      </c>
      <c r="I158" s="202"/>
      <c r="J158" s="200" t="e">
        <f aca="false">IF($A159="","",VLOOKUP($A158,Table,MATCH(J$4,Curves,0)))</f>
        <v>#N/A</v>
      </c>
      <c r="K158" s="201" t="e">
        <f aca="false">IF(A159="","",J158)</f>
        <v>#N/A</v>
      </c>
      <c r="L158" s="200" t="e">
        <f aca="false">IF($A159="","",VLOOKUP($A158,Table,MATCH(L$4,Curves,0)))</f>
        <v>#N/A</v>
      </c>
      <c r="M158" s="201" t="e">
        <f aca="false">IF(A159="","",L158)</f>
        <v>#N/A</v>
      </c>
      <c r="N158" s="203"/>
      <c r="O158" s="200" t="e">
        <f aca="false">IF(A159="","",L158+J158+G158)</f>
        <v>#N/A</v>
      </c>
      <c r="P158" s="200" t="e">
        <f aca="false">IF(A159="","",M158+K158+H158)</f>
        <v>#N/A</v>
      </c>
      <c r="Q158" s="204"/>
      <c r="R158" s="200" t="e">
        <f aca="false">IF($A159="","",VLOOKUP($A158,Table,MATCH(R$4,Curves,0)))</f>
        <v>#N/A</v>
      </c>
      <c r="S158" s="201" t="e">
        <f aca="false">IF(A159="","",R158)</f>
        <v>#N/A</v>
      </c>
      <c r="T158" s="185" t="n">
        <v>0</v>
      </c>
      <c r="U158" s="201" t="n">
        <f aca="false">IF(A159="","",T158)</f>
        <v>0</v>
      </c>
      <c r="V158" s="205" t="e">
        <f aca="false">IF($A159="","",IF(AND(MONTH(A158)&gt;3,MONTH(A158)&lt;11),(T158+R158+G158)*Summary!$T$11/(1-Summary!$T$11),(T158+R158+G158)*Summary!$U$11/(1-Summary!$U$11)))</f>
        <v>#N/A</v>
      </c>
      <c r="W158" s="202" t="e">
        <f aca="false">IF($A159="","",(T158+R158+G158+V158))</f>
        <v>#N/A</v>
      </c>
      <c r="X158" s="202" t="e">
        <f aca="false">IF($A159="","",(U158+S158+H158+V158))</f>
        <v>#N/A</v>
      </c>
      <c r="Y158" s="202"/>
      <c r="Z158" s="185" t="e">
        <f aca="false">IF($A159="","",VLOOKUP($A158,Table,MATCH(Z$4,Curves,0)))</f>
        <v>#N/A</v>
      </c>
      <c r="AA158" s="185" t="e">
        <f aca="false">IF($A159="","",VLOOKUP($A158,Table,MATCH(AA$4,Curves,0)))</f>
        <v>#N/A</v>
      </c>
      <c r="AB158" s="185" t="e">
        <f aca="false">SQRT((AA158^2*(A158-$D$3)+Z158^2*(DAY(EOMONTH(A158,0))/2))/AK158)</f>
        <v>#N/A</v>
      </c>
      <c r="AC158" s="185" t="e">
        <f aca="false">IF($A159="","",VLOOKUP($A158,Table,MATCH(AC$4,Curves,0)))</f>
        <v>#N/A</v>
      </c>
      <c r="AD158" s="185" t="e">
        <f aca="false">IF($A159="","",VLOOKUP($A158,Table,MATCH(AD$4,Curves,0)))</f>
        <v>#N/A</v>
      </c>
      <c r="AE158" s="185" t="e">
        <f aca="false">SQRT((AD158^2*(A158-$D$3)+AC158^2*(DAY(EOMONTH(A158,0))/2))/AK158)</f>
        <v>#N/A</v>
      </c>
      <c r="AF158" s="206" t="e">
        <f aca="false">((Summary!$N$11*(AA158*AD158)*(A158-$D$3))+(Summary!$M$11*Z158*AC158*(AJ158-EOMONTH(EDATE(A158,-1),0))))/(AK158*AB158*AE158)</f>
        <v>#N/A</v>
      </c>
      <c r="AG158" s="207" t="n">
        <f aca="false">IF($A159="","",Summary!$Q$11)</f>
        <v>0</v>
      </c>
      <c r="AH158" s="207" t="n">
        <f aca="false">IF($A159="","",IF(Summary!$R$11="Y",(VLOOKUP($A158,Summary!$AD$6:$AF$9,3)+'Escalating commodity'!G171),'Escalating commodity'!G171))</f>
        <v>0.00616329297954347</v>
      </c>
      <c r="AI158" s="207" t="n">
        <f aca="false">IF($A159="","",AH158)</f>
        <v>0.00616329297954347</v>
      </c>
      <c r="AJ158" s="208" t="n">
        <f aca="false">A158+DAY(EOMONTH(A158,0))/2-1</f>
        <v>41562.5</v>
      </c>
      <c r="AK158" s="209" t="n">
        <f aca="false">IF($A159="","",$A158-$E$1)</f>
        <v>-4378</v>
      </c>
      <c r="AL158" s="182" t="e">
        <f aca="false">IF($A159="","",SPRDOPT(P158,X158,AI158,0,AB158,AE158,AF158,AK158,$AJ$2,0))</f>
        <v>#NAME?</v>
      </c>
      <c r="AM158" s="210" t="e">
        <f aca="false">IF($A159="","",MAX(0,O158-W158-AI158))</f>
        <v>#N/A</v>
      </c>
      <c r="AN158" s="211" t="e">
        <f aca="false">IF($A159="","",AL158-AM158)</f>
        <v>#N/A</v>
      </c>
      <c r="AO158" s="137" t="n">
        <f aca="false">IF(A159="","",A159-A158)</f>
        <v>31</v>
      </c>
      <c r="AP158" s="212" t="n">
        <f aca="false">IF(A159="","",CHOOSE(F$3,A159+24,A158))</f>
        <v>41548</v>
      </c>
      <c r="AQ158" s="209" t="n">
        <f aca="false">IF(A159="","",AP158-$E$1)</f>
        <v>-4378</v>
      </c>
      <c r="AR158" s="185" t="n">
        <f aca="false">'ANR OK vs ML7'!AR158</f>
        <v>0.1</v>
      </c>
      <c r="AS158" s="213" t="n">
        <f aca="false">IF(A159="","",1/(1+CHOOSE(F$3,(AR159+($I$3/10000))/2,(AR158+($I$3/10000))/2))^(2*AQ158/365.25))</f>
        <v>3.22079472520103</v>
      </c>
      <c r="AT158" s="137" t="n">
        <f aca="false">IF(A159="","",IF(AND(mthbeg&lt;=A158,mthend&gt;=A158),1,0))</f>
        <v>1</v>
      </c>
      <c r="AU158" s="137" t="n">
        <f aca="false">IF(A159="","",AO158*AT158)</f>
        <v>31</v>
      </c>
      <c r="AW158" s="195" t="e">
        <f aca="false">IF($A159="","",AL158*$E158)</f>
        <v>#NAME?</v>
      </c>
      <c r="AX158" s="195" t="e">
        <f aca="false">IF($A159="","",AM158*$E158)</f>
        <v>#N/A</v>
      </c>
      <c r="AY158" s="195" t="e">
        <f aca="false">IF($A159="","",AN158*$E158)</f>
        <v>#N/A</v>
      </c>
      <c r="BA158" s="195" t="n">
        <f aca="false">IF($A159="","",F158*Summary!$Q$11)</f>
        <v>0</v>
      </c>
      <c r="BC158" s="179" t="e">
        <f aca="false">IF(A159="","",AM158*F158)</f>
        <v>#N/A</v>
      </c>
    </row>
    <row r="159" customFormat="false" ht="12.75" hidden="false" customHeight="false" outlineLevel="0" collapsed="false">
      <c r="A159" s="196" t="n">
        <f aca="false">IF(A158&lt;mthend,EDATE(A158,1),"")</f>
        <v>41579</v>
      </c>
      <c r="B159" s="197" t="n">
        <f aca="false">IF(A159&lt;mthend,B158,"")</f>
        <v>124142</v>
      </c>
      <c r="C159" s="215"/>
      <c r="D159" s="197" t="n">
        <f aca="false">IF(A160&lt;&gt;"",B159+C159,"")</f>
        <v>124142</v>
      </c>
      <c r="E159" s="199" t="n">
        <f aca="false">IF(A160="","",IF(AND(AT159=1,$H$3=1),D159*AO159,IF($H$3=2,D159,"N/A")))</f>
        <v>3724260</v>
      </c>
      <c r="F159" s="199" t="n">
        <f aca="false">IF(A160="","",E159*AS159)</f>
        <v>11896144.3190054</v>
      </c>
      <c r="G159" s="200" t="e">
        <f aca="false">IF($A160="","",VLOOKUP($A159,Table,MATCH(G$4,Curves,0)))</f>
        <v>#N/A</v>
      </c>
      <c r="H159" s="201" t="e">
        <f aca="false">IF(A160="","",G159)</f>
        <v>#N/A</v>
      </c>
      <c r="I159" s="202"/>
      <c r="J159" s="200" t="e">
        <f aca="false">IF($A160="","",VLOOKUP($A159,Table,MATCH(J$4,Curves,0)))</f>
        <v>#N/A</v>
      </c>
      <c r="K159" s="201" t="e">
        <f aca="false">IF(A160="","",J159)</f>
        <v>#N/A</v>
      </c>
      <c r="L159" s="200" t="e">
        <f aca="false">IF($A160="","",VLOOKUP($A159,Table,MATCH(L$4,Curves,0)))</f>
        <v>#N/A</v>
      </c>
      <c r="M159" s="201" t="e">
        <f aca="false">IF(A160="","",L159)</f>
        <v>#N/A</v>
      </c>
      <c r="N159" s="203"/>
      <c r="O159" s="200" t="e">
        <f aca="false">IF(A160="","",L159+J159+G159)</f>
        <v>#N/A</v>
      </c>
      <c r="P159" s="200" t="e">
        <f aca="false">IF(A160="","",M159+K159+H159)</f>
        <v>#N/A</v>
      </c>
      <c r="Q159" s="204"/>
      <c r="R159" s="200" t="e">
        <f aca="false">IF($A160="","",VLOOKUP($A159,Table,MATCH(R$4,Curves,0)))</f>
        <v>#N/A</v>
      </c>
      <c r="S159" s="201" t="e">
        <f aca="false">IF(A160="","",R159)</f>
        <v>#N/A</v>
      </c>
      <c r="T159" s="185" t="n">
        <v>0</v>
      </c>
      <c r="U159" s="201" t="n">
        <f aca="false">IF(A160="","",T159)</f>
        <v>0</v>
      </c>
      <c r="V159" s="205" t="e">
        <f aca="false">IF($A160="","",IF(AND(MONTH(A159)&gt;3,MONTH(A159)&lt;11),(T159+R159+G159)*Summary!$T$11/(1-Summary!$T$11),(T159+R159+G159)*Summary!$U$11/(1-Summary!$U$11)))</f>
        <v>#N/A</v>
      </c>
      <c r="W159" s="202" t="e">
        <f aca="false">IF($A160="","",(T159+R159+G159+V159))</f>
        <v>#N/A</v>
      </c>
      <c r="X159" s="202" t="e">
        <f aca="false">IF($A160="","",(U159+S159+H159+V159))</f>
        <v>#N/A</v>
      </c>
      <c r="Y159" s="202"/>
      <c r="Z159" s="185" t="e">
        <f aca="false">IF($A160="","",VLOOKUP($A159,Table,MATCH(Z$4,Curves,0)))</f>
        <v>#N/A</v>
      </c>
      <c r="AA159" s="185" t="e">
        <f aca="false">IF($A160="","",VLOOKUP($A159,Table,MATCH(AA$4,Curves,0)))</f>
        <v>#N/A</v>
      </c>
      <c r="AB159" s="185" t="e">
        <f aca="false">SQRT((AA159^2*(A159-$D$3)+Z159^2*(DAY(EOMONTH(A159,0))/2))/AK159)</f>
        <v>#N/A</v>
      </c>
      <c r="AC159" s="185" t="e">
        <f aca="false">IF($A160="","",VLOOKUP($A159,Table,MATCH(AC$4,Curves,0)))</f>
        <v>#N/A</v>
      </c>
      <c r="AD159" s="185" t="e">
        <f aca="false">IF($A160="","",VLOOKUP($A159,Table,MATCH(AD$4,Curves,0)))</f>
        <v>#N/A</v>
      </c>
      <c r="AE159" s="185" t="e">
        <f aca="false">SQRT((AD159^2*(A159-$D$3)+AC159^2*(DAY(EOMONTH(A159,0))/2))/AK159)</f>
        <v>#N/A</v>
      </c>
      <c r="AF159" s="206" t="e">
        <f aca="false">((Summary!$N$11*(AA159*AD159)*(A159-$D$3))+(Summary!$M$11*Z159*AC159*(AJ159-EOMONTH(EDATE(A159,-1),0))))/(AK159*AB159*AE159)</f>
        <v>#N/A</v>
      </c>
      <c r="AG159" s="207" t="n">
        <f aca="false">IF($A160="","",Summary!$Q$11)</f>
        <v>0</v>
      </c>
      <c r="AH159" s="207" t="n">
        <f aca="false">IF($A160="","",IF(Summary!$R$11="Y",(VLOOKUP($A159,Summary!$AD$6:$AF$9,3)+'Escalating commodity'!G172),'Escalating commodity'!G172))</f>
        <v>0.00616329297954347</v>
      </c>
      <c r="AI159" s="207" t="n">
        <f aca="false">IF($A160="","",AH159)</f>
        <v>0.00616329297954347</v>
      </c>
      <c r="AJ159" s="208" t="n">
        <f aca="false">A159+DAY(EOMONTH(A159,0))/2-1</f>
        <v>41593</v>
      </c>
      <c r="AK159" s="209" t="n">
        <f aca="false">IF($A160="","",$A159-$E$1)</f>
        <v>-4347</v>
      </c>
      <c r="AL159" s="182" t="e">
        <f aca="false">IF($A160="","",SPRDOPT(P159,X159,AI159,0,AB159,AE159,AF159,AK159,$AJ$2,0))</f>
        <v>#NAME?</v>
      </c>
      <c r="AM159" s="210" t="e">
        <f aca="false">IF($A160="","",MAX(0,O159-W159-AI159))</f>
        <v>#N/A</v>
      </c>
      <c r="AN159" s="211" t="e">
        <f aca="false">IF($A160="","",AL159-AM159)</f>
        <v>#N/A</v>
      </c>
      <c r="AO159" s="137" t="n">
        <f aca="false">IF(A160="","",A160-A159)</f>
        <v>30</v>
      </c>
      <c r="AP159" s="212" t="n">
        <f aca="false">IF(A160="","",CHOOSE(F$3,A160+24,A159))</f>
        <v>41579</v>
      </c>
      <c r="AQ159" s="209" t="n">
        <f aca="false">IF(A160="","",AP159-$E$1)</f>
        <v>-4347</v>
      </c>
      <c r="AR159" s="185" t="n">
        <f aca="false">'ANR OK vs ML7'!AR159</f>
        <v>0.1</v>
      </c>
      <c r="AS159" s="213" t="n">
        <f aca="false">IF(A160="","",1/(1+CHOOSE(F$3,(AR160+($I$3/10000))/2,(AR159+($I$3/10000))/2))^(2*AQ159/365.25))</f>
        <v>3.19423034884928</v>
      </c>
      <c r="AT159" s="137" t="n">
        <f aca="false">IF(A160="","",IF(AND(mthbeg&lt;=A159,mthend&gt;=A159),1,0))</f>
        <v>1</v>
      </c>
      <c r="AU159" s="137" t="n">
        <f aca="false">IF(A160="","",AO159*AT159)</f>
        <v>30</v>
      </c>
      <c r="AW159" s="195" t="e">
        <f aca="false">IF($A160="","",AL159*$E159)</f>
        <v>#NAME?</v>
      </c>
      <c r="AX159" s="195" t="e">
        <f aca="false">IF($A160="","",AM159*$E159)</f>
        <v>#N/A</v>
      </c>
      <c r="AY159" s="195" t="e">
        <f aca="false">IF($A160="","",AN159*$E159)</f>
        <v>#N/A</v>
      </c>
      <c r="BA159" s="195" t="n">
        <f aca="false">IF($A160="","",F159*Summary!$Q$11)</f>
        <v>0</v>
      </c>
      <c r="BC159" s="179" t="e">
        <f aca="false">IF(A160="","",AM159*F159)</f>
        <v>#N/A</v>
      </c>
    </row>
    <row r="160" customFormat="false" ht="12.75" hidden="false" customHeight="false" outlineLevel="0" collapsed="false">
      <c r="A160" s="196" t="n">
        <f aca="false">IF(A159&lt;mthend,EDATE(A159,1),"")</f>
        <v>41609</v>
      </c>
      <c r="B160" s="197" t="n">
        <f aca="false">IF(A160&lt;mthend,B159,"")</f>
        <v>124142</v>
      </c>
      <c r="C160" s="215"/>
      <c r="D160" s="197" t="n">
        <f aca="false">IF(A161&lt;&gt;"",B160+C160,"")</f>
        <v>124142</v>
      </c>
      <c r="E160" s="199" t="n">
        <f aca="false">IF(A161="","",IF(AND(AT160=1,$H$3=1),D160*AO160,IF($H$3=2,D160,"N/A")))</f>
        <v>3848402</v>
      </c>
      <c r="F160" s="199" t="n">
        <f aca="false">IF(A161="","",E160*AS160)</f>
        <v>12194552.7029477</v>
      </c>
      <c r="G160" s="200" t="e">
        <f aca="false">IF($A161="","",VLOOKUP($A160,Table,MATCH(G$4,Curves,0)))</f>
        <v>#N/A</v>
      </c>
      <c r="H160" s="201" t="e">
        <f aca="false">IF(A161="","",G160)</f>
        <v>#N/A</v>
      </c>
      <c r="I160" s="202"/>
      <c r="J160" s="200" t="e">
        <f aca="false">IF($A161="","",VLOOKUP($A160,Table,MATCH(J$4,Curves,0)))</f>
        <v>#N/A</v>
      </c>
      <c r="K160" s="201" t="e">
        <f aca="false">IF(A161="","",J160)</f>
        <v>#N/A</v>
      </c>
      <c r="L160" s="200" t="e">
        <f aca="false">IF($A161="","",VLOOKUP($A160,Table,MATCH(L$4,Curves,0)))</f>
        <v>#N/A</v>
      </c>
      <c r="M160" s="201" t="e">
        <f aca="false">IF(A161="","",L160)</f>
        <v>#N/A</v>
      </c>
      <c r="N160" s="203"/>
      <c r="O160" s="200" t="e">
        <f aca="false">IF(A161="","",L160+J160+G160)</f>
        <v>#N/A</v>
      </c>
      <c r="P160" s="200" t="e">
        <f aca="false">IF(A161="","",M160+K160+H160)</f>
        <v>#N/A</v>
      </c>
      <c r="Q160" s="204"/>
      <c r="R160" s="200" t="e">
        <f aca="false">IF($A161="","",VLOOKUP($A160,Table,MATCH(R$4,Curves,0)))</f>
        <v>#N/A</v>
      </c>
      <c r="S160" s="201" t="e">
        <f aca="false">IF(A161="","",R160)</f>
        <v>#N/A</v>
      </c>
      <c r="T160" s="185" t="n">
        <v>0</v>
      </c>
      <c r="U160" s="201" t="n">
        <f aca="false">IF(A161="","",T160)</f>
        <v>0</v>
      </c>
      <c r="V160" s="205" t="e">
        <f aca="false">IF($A161="","",IF(AND(MONTH(A160)&gt;3,MONTH(A160)&lt;11),(T160+R160+G160)*Summary!$T$11/(1-Summary!$T$11),(T160+R160+G160)*Summary!$U$11/(1-Summary!$U$11)))</f>
        <v>#N/A</v>
      </c>
      <c r="W160" s="202" t="e">
        <f aca="false">IF($A161="","",(T160+R160+G160+V160))</f>
        <v>#N/A</v>
      </c>
      <c r="X160" s="202" t="e">
        <f aca="false">IF($A161="","",(U160+S160+H160+V160))</f>
        <v>#N/A</v>
      </c>
      <c r="Y160" s="202"/>
      <c r="Z160" s="185" t="e">
        <f aca="false">IF($A161="","",VLOOKUP($A160,Table,MATCH(Z$4,Curves,0)))</f>
        <v>#N/A</v>
      </c>
      <c r="AA160" s="185" t="e">
        <f aca="false">IF($A161="","",VLOOKUP($A160,Table,MATCH(AA$4,Curves,0)))</f>
        <v>#N/A</v>
      </c>
      <c r="AB160" s="185" t="e">
        <f aca="false">SQRT((AA160^2*(A160-$D$3)+Z160^2*(DAY(EOMONTH(A160,0))/2))/AK160)</f>
        <v>#N/A</v>
      </c>
      <c r="AC160" s="185" t="e">
        <f aca="false">IF($A161="","",VLOOKUP($A160,Table,MATCH(AC$4,Curves,0)))</f>
        <v>#N/A</v>
      </c>
      <c r="AD160" s="185" t="e">
        <f aca="false">IF($A161="","",VLOOKUP($A160,Table,MATCH(AD$4,Curves,0)))</f>
        <v>#N/A</v>
      </c>
      <c r="AE160" s="185" t="e">
        <f aca="false">SQRT((AD160^2*(A160-$D$3)+AC160^2*(DAY(EOMONTH(A160,0))/2))/AK160)</f>
        <v>#N/A</v>
      </c>
      <c r="AF160" s="206" t="e">
        <f aca="false">((Summary!$N$11*(AA160*AD160)*(A160-$D$3))+(Summary!$M$11*Z160*AC160*(AJ160-EOMONTH(EDATE(A160,-1),0))))/(AK160*AB160*AE160)</f>
        <v>#N/A</v>
      </c>
      <c r="AG160" s="207" t="n">
        <f aca="false">IF($A161="","",Summary!$Q$11)</f>
        <v>0</v>
      </c>
      <c r="AH160" s="207" t="n">
        <f aca="false">IF($A161="","",IF(Summary!$R$11="Y",(VLOOKUP($A160,Summary!$AD$6:$AF$9,3)+'Escalating commodity'!G173),'Escalating commodity'!G173))</f>
        <v>0.00616329297954347</v>
      </c>
      <c r="AI160" s="207" t="n">
        <f aca="false">IF($A161="","",AH160)</f>
        <v>0.00616329297954347</v>
      </c>
      <c r="AJ160" s="208" t="n">
        <f aca="false">A160+DAY(EOMONTH(A160,0))/2-1</f>
        <v>41623.5</v>
      </c>
      <c r="AK160" s="209" t="n">
        <f aca="false">IF($A161="","",$A160-$E$1)</f>
        <v>-4317</v>
      </c>
      <c r="AL160" s="182" t="e">
        <f aca="false">IF($A161="","",SPRDOPT(P160,X160,AI160,0,AB160,AE160,AF160,AK160,$AJ$2,0))</f>
        <v>#NAME?</v>
      </c>
      <c r="AM160" s="210" t="e">
        <f aca="false">IF($A161="","",MAX(0,O160-W160-AI160))</f>
        <v>#N/A</v>
      </c>
      <c r="AN160" s="211" t="e">
        <f aca="false">IF($A161="","",AL160-AM160)</f>
        <v>#N/A</v>
      </c>
      <c r="AO160" s="137" t="n">
        <f aca="false">IF(A161="","",A161-A160)</f>
        <v>31</v>
      </c>
      <c r="AP160" s="212" t="n">
        <f aca="false">IF(A161="","",CHOOSE(F$3,A161+24,A160))</f>
        <v>41609</v>
      </c>
      <c r="AQ160" s="209" t="n">
        <f aca="false">IF(A161="","",AP160-$E$1)</f>
        <v>-4317</v>
      </c>
      <c r="AR160" s="185" t="n">
        <f aca="false">'ANR OK vs ML7'!AR160</f>
        <v>0.1</v>
      </c>
      <c r="AS160" s="213" t="n">
        <f aca="false">IF(A161="","",1/(1+CHOOSE(F$3,(AR161+($I$3/10000))/2,(AR160+($I$3/10000))/2))^(2*AQ160/365.25))</f>
        <v>3.16873151582077</v>
      </c>
      <c r="AT160" s="137" t="n">
        <f aca="false">IF(A161="","",IF(AND(mthbeg&lt;=A160,mthend&gt;=A160),1,0))</f>
        <v>1</v>
      </c>
      <c r="AU160" s="137" t="n">
        <f aca="false">IF(A161="","",AO160*AT160)</f>
        <v>31</v>
      </c>
      <c r="AW160" s="195" t="e">
        <f aca="false">IF($A161="","",AL160*$E160)</f>
        <v>#NAME?</v>
      </c>
      <c r="AX160" s="195" t="e">
        <f aca="false">IF($A161="","",AM160*$E160)</f>
        <v>#N/A</v>
      </c>
      <c r="AY160" s="195" t="e">
        <f aca="false">IF($A161="","",AN160*$E160)</f>
        <v>#N/A</v>
      </c>
      <c r="BA160" s="195" t="n">
        <f aca="false">IF($A161="","",F160*Summary!$Q$11)</f>
        <v>0</v>
      </c>
      <c r="BC160" s="179" t="e">
        <f aca="false">IF(A161="","",AM160*F160)</f>
        <v>#N/A</v>
      </c>
    </row>
    <row r="161" customFormat="false" ht="12.75" hidden="false" customHeight="false" outlineLevel="0" collapsed="false">
      <c r="A161" s="196" t="n">
        <f aca="false">IF(A160&lt;mthend,EDATE(A160,1),"")</f>
        <v>41640</v>
      </c>
      <c r="B161" s="197" t="n">
        <f aca="false">IF(A161&lt;mthend,B160,"")</f>
        <v>124142</v>
      </c>
      <c r="C161" s="215"/>
      <c r="D161" s="197" t="n">
        <f aca="false">IF(A162&lt;&gt;"",B161+C161,"")</f>
        <v>124142</v>
      </c>
      <c r="E161" s="199" t="n">
        <f aca="false">IF(A162="","",IF(AND(AT161=1,$H$3=1),D161*AO161,IF($H$3=2,D161,"N/A")))</f>
        <v>3848402</v>
      </c>
      <c r="F161" s="199" t="n">
        <f aca="false">IF(A162="","",E161*AS161)</f>
        <v>12093974.8285157</v>
      </c>
      <c r="G161" s="200" t="e">
        <f aca="false">IF($A162="","",VLOOKUP($A161,Table,MATCH(G$4,Curves,0)))</f>
        <v>#N/A</v>
      </c>
      <c r="H161" s="201" t="e">
        <f aca="false">IF(A162="","",G161)</f>
        <v>#N/A</v>
      </c>
      <c r="I161" s="202"/>
      <c r="J161" s="200" t="e">
        <f aca="false">IF($A162="","",VLOOKUP($A161,Table,MATCH(J$4,Curves,0)))</f>
        <v>#N/A</v>
      </c>
      <c r="K161" s="201" t="e">
        <f aca="false">IF(A162="","",J161)</f>
        <v>#N/A</v>
      </c>
      <c r="L161" s="200" t="e">
        <f aca="false">IF($A162="","",VLOOKUP($A161,Table,MATCH(L$4,Curves,0)))</f>
        <v>#N/A</v>
      </c>
      <c r="M161" s="201" t="e">
        <f aca="false">IF(A162="","",L161)</f>
        <v>#N/A</v>
      </c>
      <c r="N161" s="203"/>
      <c r="O161" s="200" t="e">
        <f aca="false">IF(A162="","",L161+J161+G161)</f>
        <v>#N/A</v>
      </c>
      <c r="P161" s="200" t="e">
        <f aca="false">IF(A162="","",M161+K161+H161)</f>
        <v>#N/A</v>
      </c>
      <c r="Q161" s="204"/>
      <c r="R161" s="200" t="e">
        <f aca="false">IF($A162="","",VLOOKUP($A161,Table,MATCH(R$4,Curves,0)))</f>
        <v>#N/A</v>
      </c>
      <c r="S161" s="201" t="e">
        <f aca="false">IF(A162="","",R161)</f>
        <v>#N/A</v>
      </c>
      <c r="T161" s="185" t="n">
        <v>0</v>
      </c>
      <c r="U161" s="201" t="n">
        <f aca="false">IF(A162="","",T161)</f>
        <v>0</v>
      </c>
      <c r="V161" s="205" t="e">
        <f aca="false">IF($A162="","",IF(AND(MONTH(A161)&gt;3,MONTH(A161)&lt;11),(T161+R161+G161)*Summary!$T$11/(1-Summary!$T$11),(T161+R161+G161)*Summary!$U$11/(1-Summary!$U$11)))</f>
        <v>#N/A</v>
      </c>
      <c r="W161" s="202" t="e">
        <f aca="false">IF($A162="","",(T161+R161+G161+V161))</f>
        <v>#N/A</v>
      </c>
      <c r="X161" s="202" t="e">
        <f aca="false">IF($A162="","",(U161+S161+H161+V161))</f>
        <v>#N/A</v>
      </c>
      <c r="Y161" s="202"/>
      <c r="Z161" s="185" t="e">
        <f aca="false">IF($A162="","",VLOOKUP($A161,Table,MATCH(Z$4,Curves,0)))</f>
        <v>#N/A</v>
      </c>
      <c r="AA161" s="185" t="e">
        <f aca="false">IF($A162="","",VLOOKUP($A161,Table,MATCH(AA$4,Curves,0)))</f>
        <v>#N/A</v>
      </c>
      <c r="AB161" s="185" t="e">
        <f aca="false">SQRT((AA161^2*(A161-$D$3)+Z161^2*(DAY(EOMONTH(A161,0))/2))/AK161)</f>
        <v>#N/A</v>
      </c>
      <c r="AC161" s="185" t="e">
        <f aca="false">IF($A162="","",VLOOKUP($A161,Table,MATCH(AC$4,Curves,0)))</f>
        <v>#N/A</v>
      </c>
      <c r="AD161" s="185" t="e">
        <f aca="false">IF($A162="","",VLOOKUP($A161,Table,MATCH(AD$4,Curves,0)))</f>
        <v>#N/A</v>
      </c>
      <c r="AE161" s="185" t="e">
        <f aca="false">SQRT((AD161^2*(A161-$D$3)+AC161^2*(DAY(EOMONTH(A161,0))/2))/AK161)</f>
        <v>#N/A</v>
      </c>
      <c r="AF161" s="206" t="e">
        <f aca="false">((Summary!$N$11*(AA161*AD161)*(A161-$D$3))+(Summary!$M$11*Z161*AC161*(AJ161-EOMONTH(EDATE(A161,-1),0))))/(AK161*AB161*AE161)</f>
        <v>#N/A</v>
      </c>
      <c r="AG161" s="207" t="n">
        <f aca="false">IF($A162="","",Summary!$Q$11)</f>
        <v>0</v>
      </c>
      <c r="AH161" s="207" t="n">
        <f aca="false">IF($A162="","",IF(Summary!$R$11="Y",(VLOOKUP($A161,Summary!$AD$6:$AF$9,3)+'Escalating commodity'!G174),'Escalating commodity'!G174))</f>
        <v>0.00628655883913434</v>
      </c>
      <c r="AI161" s="207" t="n">
        <f aca="false">IF($A162="","",AH161)</f>
        <v>0.00628655883913434</v>
      </c>
      <c r="AJ161" s="208" t="n">
        <f aca="false">A161+DAY(EOMONTH(A161,0))/2-1</f>
        <v>41654.5</v>
      </c>
      <c r="AK161" s="209" t="n">
        <f aca="false">IF($A162="","",$A161-$E$1)</f>
        <v>-4286</v>
      </c>
      <c r="AL161" s="182" t="e">
        <f aca="false">IF($A162="","",SPRDOPT(P161,X161,AI161,0,AB161,AE161,AF161,AK161,$AJ$2,0))</f>
        <v>#NAME?</v>
      </c>
      <c r="AM161" s="210" t="e">
        <f aca="false">IF($A162="","",MAX(0,O161-W161-AI161))</f>
        <v>#N/A</v>
      </c>
      <c r="AN161" s="211" t="e">
        <f aca="false">IF($A162="","",AL161-AM161)</f>
        <v>#N/A</v>
      </c>
      <c r="AO161" s="137" t="n">
        <f aca="false">IF(A162="","",A162-A161)</f>
        <v>31</v>
      </c>
      <c r="AP161" s="212" t="n">
        <f aca="false">IF(A162="","",CHOOSE(F$3,A162+24,A161))</f>
        <v>41640</v>
      </c>
      <c r="AQ161" s="209" t="n">
        <f aca="false">IF(A162="","",AP161-$E$1)</f>
        <v>-4286</v>
      </c>
      <c r="AR161" s="185" t="n">
        <f aca="false">'ANR OK vs ML7'!AR161</f>
        <v>0.1</v>
      </c>
      <c r="AS161" s="213" t="n">
        <f aca="false">IF(A162="","",1/(1+CHOOSE(F$3,(AR162+($I$3/10000))/2,(AR161+($I$3/10000))/2))^(2*AQ161/365.25))</f>
        <v>3.14259654488168</v>
      </c>
      <c r="AT161" s="137" t="n">
        <f aca="false">IF(A162="","",IF(AND(mthbeg&lt;=A161,mthend&gt;=A161),1,0))</f>
        <v>1</v>
      </c>
      <c r="AU161" s="137" t="n">
        <f aca="false">IF(A162="","",AO161*AT161)</f>
        <v>31</v>
      </c>
      <c r="AW161" s="195" t="e">
        <f aca="false">IF($A162="","",AL161*$E161)</f>
        <v>#NAME?</v>
      </c>
      <c r="AX161" s="195" t="e">
        <f aca="false">IF($A162="","",AM161*$E161)</f>
        <v>#N/A</v>
      </c>
      <c r="AY161" s="195" t="e">
        <f aca="false">IF($A162="","",AN161*$E161)</f>
        <v>#N/A</v>
      </c>
      <c r="BA161" s="195" t="n">
        <f aca="false">IF($A162="","",F161*Summary!$Q$11)</f>
        <v>0</v>
      </c>
      <c r="BC161" s="179" t="e">
        <f aca="false">IF(A162="","",AM161*F161)</f>
        <v>#N/A</v>
      </c>
    </row>
    <row r="162" customFormat="false" ht="12.75" hidden="false" customHeight="false" outlineLevel="0" collapsed="false">
      <c r="A162" s="196" t="n">
        <f aca="false">IF(A161&lt;mthend,EDATE(A161,1),"")</f>
        <v>41671</v>
      </c>
      <c r="B162" s="197" t="n">
        <f aca="false">IF(A162&lt;mthend,B161,"")</f>
        <v>124142</v>
      </c>
      <c r="C162" s="215"/>
      <c r="D162" s="197" t="n">
        <f aca="false">IF(A163&lt;&gt;"",B162+C162,"")</f>
        <v>124142</v>
      </c>
      <c r="E162" s="199" t="n">
        <f aca="false">IF(A163="","",IF(AND(AT162=1,$H$3=1),D162*AO162,IF($H$3=2,D162,"N/A")))</f>
        <v>3475976</v>
      </c>
      <c r="F162" s="199" t="n">
        <f aca="false">IF(A163="","",E162*AS162)</f>
        <v>10833494.9008134</v>
      </c>
      <c r="G162" s="200" t="e">
        <f aca="false">IF($A163="","",VLOOKUP($A162,Table,MATCH(G$4,Curves,0)))</f>
        <v>#N/A</v>
      </c>
      <c r="H162" s="201" t="e">
        <f aca="false">IF(A163="","",G162)</f>
        <v>#N/A</v>
      </c>
      <c r="I162" s="202"/>
      <c r="J162" s="200" t="e">
        <f aca="false">IF($A163="","",VLOOKUP($A162,Table,MATCH(J$4,Curves,0)))</f>
        <v>#N/A</v>
      </c>
      <c r="K162" s="201" t="e">
        <f aca="false">IF(A163="","",J162)</f>
        <v>#N/A</v>
      </c>
      <c r="L162" s="200" t="e">
        <f aca="false">IF($A163="","",VLOOKUP($A162,Table,MATCH(L$4,Curves,0)))</f>
        <v>#N/A</v>
      </c>
      <c r="M162" s="201" t="e">
        <f aca="false">IF(A163="","",L162)</f>
        <v>#N/A</v>
      </c>
      <c r="N162" s="203"/>
      <c r="O162" s="200" t="e">
        <f aca="false">IF(A163="","",L162+J162+G162)</f>
        <v>#N/A</v>
      </c>
      <c r="P162" s="200" t="e">
        <f aca="false">IF(A163="","",M162+K162+H162)</f>
        <v>#N/A</v>
      </c>
      <c r="Q162" s="204"/>
      <c r="R162" s="200" t="e">
        <f aca="false">IF($A163="","",VLOOKUP($A162,Table,MATCH(R$4,Curves,0)))</f>
        <v>#N/A</v>
      </c>
      <c r="S162" s="201" t="e">
        <f aca="false">IF(A163="","",R162)</f>
        <v>#N/A</v>
      </c>
      <c r="T162" s="185" t="n">
        <v>0</v>
      </c>
      <c r="U162" s="201" t="n">
        <f aca="false">IF(A163="","",T162)</f>
        <v>0</v>
      </c>
      <c r="V162" s="205" t="e">
        <f aca="false">IF($A163="","",IF(AND(MONTH(A162)&gt;3,MONTH(A162)&lt;11),(T162+R162+G162)*Summary!$T$11/(1-Summary!$T$11),(T162+R162+G162)*Summary!$U$11/(1-Summary!$U$11)))</f>
        <v>#N/A</v>
      </c>
      <c r="W162" s="202" t="e">
        <f aca="false">IF($A163="","",(T162+R162+G162+V162))</f>
        <v>#N/A</v>
      </c>
      <c r="X162" s="202" t="e">
        <f aca="false">IF($A163="","",(U162+S162+H162+V162))</f>
        <v>#N/A</v>
      </c>
      <c r="Y162" s="202"/>
      <c r="Z162" s="185" t="e">
        <f aca="false">IF($A163="","",VLOOKUP($A162,Table,MATCH(Z$4,Curves,0)))</f>
        <v>#N/A</v>
      </c>
      <c r="AA162" s="185" t="e">
        <f aca="false">IF($A163="","",VLOOKUP($A162,Table,MATCH(AA$4,Curves,0)))</f>
        <v>#N/A</v>
      </c>
      <c r="AB162" s="185" t="e">
        <f aca="false">SQRT((AA162^2*(A162-$D$3)+Z162^2*(DAY(EOMONTH(A162,0))/2))/AK162)</f>
        <v>#N/A</v>
      </c>
      <c r="AC162" s="185" t="e">
        <f aca="false">IF($A163="","",VLOOKUP($A162,Table,MATCH(AC$4,Curves,0)))</f>
        <v>#N/A</v>
      </c>
      <c r="AD162" s="185" t="e">
        <f aca="false">IF($A163="","",VLOOKUP($A162,Table,MATCH(AD$4,Curves,0)))</f>
        <v>#N/A</v>
      </c>
      <c r="AE162" s="185" t="e">
        <f aca="false">SQRT((AD162^2*(A162-$D$3)+AC162^2*(DAY(EOMONTH(A162,0))/2))/AK162)</f>
        <v>#N/A</v>
      </c>
      <c r="AF162" s="206" t="e">
        <f aca="false">((Summary!$N$11*(AA162*AD162)*(A162-$D$3))+(Summary!$M$11*Z162*AC162*(AJ162-EOMONTH(EDATE(A162,-1),0))))/(AK162*AB162*AE162)</f>
        <v>#N/A</v>
      </c>
      <c r="AG162" s="207" t="n">
        <f aca="false">IF($A163="","",Summary!$Q$11)</f>
        <v>0</v>
      </c>
      <c r="AH162" s="207" t="n">
        <f aca="false">IF($A163="","",IF(Summary!$R$11="Y",(VLOOKUP($A162,Summary!$AD$6:$AF$9,3)+'Escalating commodity'!G175),'Escalating commodity'!G175))</f>
        <v>0.00628655883913434</v>
      </c>
      <c r="AI162" s="207" t="n">
        <f aca="false">IF($A163="","",AH162)</f>
        <v>0.00628655883913434</v>
      </c>
      <c r="AJ162" s="208" t="n">
        <f aca="false">A162+DAY(EOMONTH(A162,0))/2-1</f>
        <v>41684</v>
      </c>
      <c r="AK162" s="209" t="n">
        <f aca="false">IF($A163="","",$A162-$E$1)</f>
        <v>-4255</v>
      </c>
      <c r="AL162" s="182" t="e">
        <f aca="false">IF($A163="","",SPRDOPT(P162,X162,AI162,0,AB162,AE162,AF162,AK162,$AJ$2,0))</f>
        <v>#NAME?</v>
      </c>
      <c r="AM162" s="210" t="e">
        <f aca="false">IF($A163="","",MAX(0,O162-W162-AI162))</f>
        <v>#N/A</v>
      </c>
      <c r="AN162" s="211" t="e">
        <f aca="false">IF($A163="","",AL162-AM162)</f>
        <v>#N/A</v>
      </c>
      <c r="AO162" s="137" t="n">
        <f aca="false">IF(A163="","",A163-A162)</f>
        <v>28</v>
      </c>
      <c r="AP162" s="212" t="n">
        <f aca="false">IF(A163="","",CHOOSE(F$3,A163+24,A162))</f>
        <v>41671</v>
      </c>
      <c r="AQ162" s="209" t="n">
        <f aca="false">IF(A163="","",AP162-$E$1)</f>
        <v>-4255</v>
      </c>
      <c r="AR162" s="185" t="n">
        <f aca="false">'ANR OK vs ML7'!AR162</f>
        <v>0.1</v>
      </c>
      <c r="AS162" s="213" t="n">
        <f aca="false">IF(A163="","",1/(1+CHOOSE(F$3,(AR163+($I$3/10000))/2,(AR162+($I$3/10000))/2))^(2*AQ162/365.25))</f>
        <v>3.11667712919003</v>
      </c>
      <c r="AT162" s="137" t="n">
        <f aca="false">IF(A163="","",IF(AND(mthbeg&lt;=A162,mthend&gt;=A162),1,0))</f>
        <v>1</v>
      </c>
      <c r="AU162" s="137" t="n">
        <f aca="false">IF(A163="","",AO162*AT162)</f>
        <v>28</v>
      </c>
      <c r="AW162" s="195" t="e">
        <f aca="false">IF($A163="","",AL162*$E162)</f>
        <v>#NAME?</v>
      </c>
      <c r="AX162" s="195" t="e">
        <f aca="false">IF($A163="","",AM162*$E162)</f>
        <v>#N/A</v>
      </c>
      <c r="AY162" s="195" t="e">
        <f aca="false">IF($A163="","",AN162*$E162)</f>
        <v>#N/A</v>
      </c>
      <c r="BA162" s="195" t="n">
        <f aca="false">IF($A163="","",F162*Summary!$Q$11)</f>
        <v>0</v>
      </c>
      <c r="BC162" s="179" t="e">
        <f aca="false">IF(A163="","",AM162*F162)</f>
        <v>#N/A</v>
      </c>
    </row>
    <row r="163" customFormat="false" ht="12.75" hidden="false" customHeight="false" outlineLevel="0" collapsed="false">
      <c r="A163" s="196" t="n">
        <f aca="false">IF(A162&lt;mthend,EDATE(A162,1),"")</f>
        <v>41699</v>
      </c>
      <c r="B163" s="197" t="n">
        <f aca="false">IF(A163&lt;mthend,B162,"")</f>
        <v>124142</v>
      </c>
      <c r="C163" s="215"/>
      <c r="D163" s="197" t="n">
        <f aca="false">IF(A164&lt;&gt;"",B163+C163,"")</f>
        <v>124142</v>
      </c>
      <c r="E163" s="199" t="n">
        <f aca="false">IF(A164="","",IF(AND(AT163=1,$H$3=1),D163*AO163,IF($H$3=2,D163,"N/A")))</f>
        <v>3848402</v>
      </c>
      <c r="F163" s="199" t="n">
        <f aca="false">IF(A164="","",E163*AS163)</f>
        <v>11904838.548386</v>
      </c>
      <c r="G163" s="200" t="e">
        <f aca="false">IF($A164="","",VLOOKUP($A163,Table,MATCH(G$4,Curves,0)))</f>
        <v>#N/A</v>
      </c>
      <c r="H163" s="201" t="e">
        <f aca="false">IF(A164="","",G163)</f>
        <v>#N/A</v>
      </c>
      <c r="I163" s="202"/>
      <c r="J163" s="200" t="e">
        <f aca="false">IF($A164="","",VLOOKUP($A163,Table,MATCH(J$4,Curves,0)))</f>
        <v>#N/A</v>
      </c>
      <c r="K163" s="201" t="e">
        <f aca="false">IF(A164="","",J163)</f>
        <v>#N/A</v>
      </c>
      <c r="L163" s="200" t="e">
        <f aca="false">IF($A164="","",VLOOKUP($A163,Table,MATCH(L$4,Curves,0)))</f>
        <v>#N/A</v>
      </c>
      <c r="M163" s="201" t="e">
        <f aca="false">IF(A164="","",L163)</f>
        <v>#N/A</v>
      </c>
      <c r="N163" s="203"/>
      <c r="O163" s="200" t="e">
        <f aca="false">IF(A164="","",L163+J163+G163)</f>
        <v>#N/A</v>
      </c>
      <c r="P163" s="200" t="e">
        <f aca="false">IF(A164="","",M163+K163+H163)</f>
        <v>#N/A</v>
      </c>
      <c r="Q163" s="204"/>
      <c r="R163" s="200" t="e">
        <f aca="false">IF($A164="","",VLOOKUP($A163,Table,MATCH(R$4,Curves,0)))</f>
        <v>#N/A</v>
      </c>
      <c r="S163" s="201" t="e">
        <f aca="false">IF(A164="","",R163)</f>
        <v>#N/A</v>
      </c>
      <c r="T163" s="185" t="n">
        <v>0</v>
      </c>
      <c r="U163" s="201" t="n">
        <f aca="false">IF(A164="","",T163)</f>
        <v>0</v>
      </c>
      <c r="V163" s="205" t="e">
        <f aca="false">IF($A164="","",IF(AND(MONTH(A163)&gt;3,MONTH(A163)&lt;11),(T163+R163+G163)*Summary!$T$11/(1-Summary!$T$11),(T163+R163+G163)*Summary!$U$11/(1-Summary!$U$11)))</f>
        <v>#N/A</v>
      </c>
      <c r="W163" s="202" t="e">
        <f aca="false">IF($A164="","",(T163+R163+G163+V163))</f>
        <v>#N/A</v>
      </c>
      <c r="X163" s="202" t="e">
        <f aca="false">IF($A164="","",(U163+S163+H163+V163))</f>
        <v>#N/A</v>
      </c>
      <c r="Y163" s="202"/>
      <c r="Z163" s="185" t="e">
        <f aca="false">IF($A164="","",VLOOKUP($A163,Table,MATCH(Z$4,Curves,0)))</f>
        <v>#N/A</v>
      </c>
      <c r="AA163" s="185" t="e">
        <f aca="false">IF($A164="","",VLOOKUP($A163,Table,MATCH(AA$4,Curves,0)))</f>
        <v>#N/A</v>
      </c>
      <c r="AB163" s="185" t="e">
        <f aca="false">SQRT((AA163^2*(A163-$D$3)+Z163^2*(DAY(EOMONTH(A163,0))/2))/AK163)</f>
        <v>#N/A</v>
      </c>
      <c r="AC163" s="185" t="e">
        <f aca="false">IF($A164="","",VLOOKUP($A163,Table,MATCH(AC$4,Curves,0)))</f>
        <v>#N/A</v>
      </c>
      <c r="AD163" s="185" t="e">
        <f aca="false">IF($A164="","",VLOOKUP($A163,Table,MATCH(AD$4,Curves,0)))</f>
        <v>#N/A</v>
      </c>
      <c r="AE163" s="185" t="e">
        <f aca="false">SQRT((AD163^2*(A163-$D$3)+AC163^2*(DAY(EOMONTH(A163,0))/2))/AK163)</f>
        <v>#N/A</v>
      </c>
      <c r="AF163" s="206" t="e">
        <f aca="false">((Summary!$N$11*(AA163*AD163)*(A163-$D$3))+(Summary!$M$11*Z163*AC163*(AJ163-EOMONTH(EDATE(A163,-1),0))))/(AK163*AB163*AE163)</f>
        <v>#N/A</v>
      </c>
      <c r="AG163" s="207" t="n">
        <f aca="false">IF($A164="","",Summary!$Q$11)</f>
        <v>0</v>
      </c>
      <c r="AH163" s="207" t="n">
        <f aca="false">IF($A164="","",IF(Summary!$R$11="Y",(VLOOKUP($A163,Summary!$AD$6:$AF$9,3)+'Escalating commodity'!G176),'Escalating commodity'!G176))</f>
        <v>0.00628655883913434</v>
      </c>
      <c r="AI163" s="207" t="n">
        <f aca="false">IF($A164="","",AH163)</f>
        <v>0.00628655883913434</v>
      </c>
      <c r="AJ163" s="208" t="n">
        <f aca="false">A163+DAY(EOMONTH(A163,0))/2-1</f>
        <v>41713.5</v>
      </c>
      <c r="AK163" s="209" t="n">
        <f aca="false">IF($A164="","",$A163-$E$1)</f>
        <v>-4227</v>
      </c>
      <c r="AL163" s="182" t="e">
        <f aca="false">IF($A164="","",SPRDOPT(P163,X163,AI163,0,AB163,AE163,AF163,AK163,$AJ$2,0))</f>
        <v>#NAME?</v>
      </c>
      <c r="AM163" s="210" t="e">
        <f aca="false">IF($A164="","",MAX(0,O163-W163-AI163))</f>
        <v>#N/A</v>
      </c>
      <c r="AN163" s="211" t="e">
        <f aca="false">IF($A164="","",AL163-AM163)</f>
        <v>#N/A</v>
      </c>
      <c r="AO163" s="137" t="n">
        <f aca="false">IF(A164="","",A164-A163)</f>
        <v>31</v>
      </c>
      <c r="AP163" s="212" t="n">
        <f aca="false">IF(A164="","",CHOOSE(F$3,A164+24,A163))</f>
        <v>41699</v>
      </c>
      <c r="AQ163" s="209" t="n">
        <f aca="false">IF(A164="","",AP163-$E$1)</f>
        <v>-4227</v>
      </c>
      <c r="AR163" s="185" t="n">
        <f aca="false">'ANR OK vs ML7'!AR163</f>
        <v>0.1</v>
      </c>
      <c r="AS163" s="213" t="n">
        <f aca="false">IF(A164="","",1/(1+CHOOSE(F$3,(AR164+($I$3/10000))/2,(AR163+($I$3/10000))/2))^(2*AQ163/365.25))</f>
        <v>3.0934498392803</v>
      </c>
      <c r="AT163" s="137" t="n">
        <f aca="false">IF(A164="","",IF(AND(mthbeg&lt;=A163,mthend&gt;=A163),1,0))</f>
        <v>1</v>
      </c>
      <c r="AU163" s="137" t="n">
        <f aca="false">IF(A164="","",AO163*AT163)</f>
        <v>31</v>
      </c>
      <c r="AW163" s="195" t="e">
        <f aca="false">IF($A164="","",AL163*$E163)</f>
        <v>#NAME?</v>
      </c>
      <c r="AX163" s="195" t="e">
        <f aca="false">IF($A164="","",AM163*$E163)</f>
        <v>#N/A</v>
      </c>
      <c r="AY163" s="195" t="e">
        <f aca="false">IF($A164="","",AN163*$E163)</f>
        <v>#N/A</v>
      </c>
      <c r="BA163" s="195" t="n">
        <f aca="false">IF($A164="","",F163*Summary!$Q$11)</f>
        <v>0</v>
      </c>
      <c r="BC163" s="179" t="e">
        <f aca="false">IF(A164="","",AM163*F163)</f>
        <v>#N/A</v>
      </c>
    </row>
    <row r="164" customFormat="false" ht="12.75" hidden="false" customHeight="false" outlineLevel="0" collapsed="false">
      <c r="A164" s="196" t="n">
        <f aca="false">IF(A163&lt;mthend,EDATE(A163,1),"")</f>
        <v>41730</v>
      </c>
      <c r="B164" s="197" t="n">
        <f aca="false">IF(A164&lt;mthend,B163,"")</f>
        <v>124142</v>
      </c>
      <c r="C164" s="215"/>
      <c r="D164" s="197" t="n">
        <f aca="false">IF(A165&lt;&gt;"",B164+C164,"")</f>
        <v>124142</v>
      </c>
      <c r="E164" s="199" t="n">
        <f aca="false">IF(A165="","",IF(AND(AT164=1,$H$3=1),D164*AO164,IF($H$3=2,D164,"N/A")))</f>
        <v>3724260</v>
      </c>
      <c r="F164" s="199" t="n">
        <f aca="false">IF(A165="","",E164*AS164)</f>
        <v>11425790.4869692</v>
      </c>
      <c r="G164" s="200" t="e">
        <f aca="false">IF($A165="","",VLOOKUP($A164,Table,MATCH(G$4,Curves,0)))</f>
        <v>#N/A</v>
      </c>
      <c r="H164" s="201" t="e">
        <f aca="false">IF(A165="","",G164)</f>
        <v>#N/A</v>
      </c>
      <c r="I164" s="202"/>
      <c r="J164" s="200" t="e">
        <f aca="false">IF($A165="","",VLOOKUP($A164,Table,MATCH(J$4,Curves,0)))</f>
        <v>#N/A</v>
      </c>
      <c r="K164" s="201" t="e">
        <f aca="false">IF(A165="","",J164)</f>
        <v>#N/A</v>
      </c>
      <c r="L164" s="200" t="e">
        <f aca="false">IF($A165="","",VLOOKUP($A164,Table,MATCH(L$4,Curves,0)))</f>
        <v>#N/A</v>
      </c>
      <c r="M164" s="201" t="e">
        <f aca="false">IF(A165="","",L164)</f>
        <v>#N/A</v>
      </c>
      <c r="N164" s="203"/>
      <c r="O164" s="200" t="e">
        <f aca="false">IF(A165="","",L164+J164+G164)</f>
        <v>#N/A</v>
      </c>
      <c r="P164" s="200" t="e">
        <f aca="false">IF(A165="","",M164+K164+H164)</f>
        <v>#N/A</v>
      </c>
      <c r="Q164" s="204"/>
      <c r="R164" s="200" t="e">
        <f aca="false">IF($A165="","",VLOOKUP($A164,Table,MATCH(R$4,Curves,0)))</f>
        <v>#N/A</v>
      </c>
      <c r="S164" s="201" t="e">
        <f aca="false">IF(A165="","",R164)</f>
        <v>#N/A</v>
      </c>
      <c r="T164" s="185" t="n">
        <v>0</v>
      </c>
      <c r="U164" s="201" t="n">
        <f aca="false">IF(A165="","",T164)</f>
        <v>0</v>
      </c>
      <c r="V164" s="205" t="e">
        <f aca="false">IF($A165="","",IF(AND(MONTH(A164)&gt;3,MONTH(A164)&lt;11),(T164+R164+G164)*Summary!$T$11/(1-Summary!$T$11),(T164+R164+G164)*Summary!$U$11/(1-Summary!$U$11)))</f>
        <v>#N/A</v>
      </c>
      <c r="W164" s="202" t="e">
        <f aca="false">IF($A165="","",(T164+R164+G164+V164))</f>
        <v>#N/A</v>
      </c>
      <c r="X164" s="202" t="e">
        <f aca="false">IF($A165="","",(U164+S164+H164+V164))</f>
        <v>#N/A</v>
      </c>
      <c r="Y164" s="202"/>
      <c r="Z164" s="185" t="e">
        <f aca="false">IF($A165="","",VLOOKUP($A164,Table,MATCH(Z$4,Curves,0)))</f>
        <v>#N/A</v>
      </c>
      <c r="AA164" s="185" t="e">
        <f aca="false">IF($A165="","",VLOOKUP($A164,Table,MATCH(AA$4,Curves,0)))</f>
        <v>#N/A</v>
      </c>
      <c r="AB164" s="185" t="e">
        <f aca="false">SQRT((AA164^2*(A164-$D$3)+Z164^2*(DAY(EOMONTH(A164,0))/2))/AK164)</f>
        <v>#N/A</v>
      </c>
      <c r="AC164" s="185" t="e">
        <f aca="false">IF($A165="","",VLOOKUP($A164,Table,MATCH(AC$4,Curves,0)))</f>
        <v>#N/A</v>
      </c>
      <c r="AD164" s="185" t="e">
        <f aca="false">IF($A165="","",VLOOKUP($A164,Table,MATCH(AD$4,Curves,0)))</f>
        <v>#N/A</v>
      </c>
      <c r="AE164" s="185" t="e">
        <f aca="false">SQRT((AD164^2*(A164-$D$3)+AC164^2*(DAY(EOMONTH(A164,0))/2))/AK164)</f>
        <v>#N/A</v>
      </c>
      <c r="AF164" s="206" t="e">
        <f aca="false">((Summary!$N$11*(AA164*AD164)*(A164-$D$3))+(Summary!$M$11*Z164*AC164*(AJ164-EOMONTH(EDATE(A164,-1),0))))/(AK164*AB164*AE164)</f>
        <v>#N/A</v>
      </c>
      <c r="AG164" s="207" t="n">
        <f aca="false">IF($A165="","",Summary!$Q$11)</f>
        <v>0</v>
      </c>
      <c r="AH164" s="207" t="n">
        <f aca="false">IF($A165="","",IF(Summary!$R$11="Y",(VLOOKUP($A164,Summary!$AD$6:$AF$9,3)+'Escalating commodity'!G177),'Escalating commodity'!G177))</f>
        <v>0.00628655883913434</v>
      </c>
      <c r="AI164" s="207" t="n">
        <f aca="false">IF($A165="","",AH164)</f>
        <v>0.00628655883913434</v>
      </c>
      <c r="AJ164" s="208" t="n">
        <f aca="false">A164+DAY(EOMONTH(A164,0))/2-1</f>
        <v>41744</v>
      </c>
      <c r="AK164" s="209" t="n">
        <f aca="false">IF($A165="","",$A164-$E$1)</f>
        <v>-4196</v>
      </c>
      <c r="AL164" s="182" t="e">
        <f aca="false">IF($A165="","",SPRDOPT(P164,X164,AI164,0,AB164,AE164,AF164,AK164,$AJ$2,0))</f>
        <v>#NAME?</v>
      </c>
      <c r="AM164" s="210" t="e">
        <f aca="false">IF($A165="","",MAX(0,O164-W164-AI164))</f>
        <v>#N/A</v>
      </c>
      <c r="AN164" s="211" t="e">
        <f aca="false">IF($A165="","",AL164-AM164)</f>
        <v>#N/A</v>
      </c>
      <c r="AO164" s="137" t="n">
        <f aca="false">IF(A165="","",A165-A164)</f>
        <v>30</v>
      </c>
      <c r="AP164" s="212" t="n">
        <f aca="false">IF(A165="","",CHOOSE(F$3,A165+24,A164))</f>
        <v>41730</v>
      </c>
      <c r="AQ164" s="209" t="n">
        <f aca="false">IF(A165="","",AP164-$E$1)</f>
        <v>-4196</v>
      </c>
      <c r="AR164" s="185" t="n">
        <f aca="false">'ANR OK vs ML7'!AR164</f>
        <v>0.1</v>
      </c>
      <c r="AS164" s="213" t="n">
        <f aca="false">IF(A165="","",1/(1+CHOOSE(F$3,(AR165+($I$3/10000))/2,(AR164+($I$3/10000))/2))^(2*AQ164/365.25))</f>
        <v>3.06793577434691</v>
      </c>
      <c r="AT164" s="137" t="n">
        <f aca="false">IF(A165="","",IF(AND(mthbeg&lt;=A164,mthend&gt;=A164),1,0))</f>
        <v>1</v>
      </c>
      <c r="AU164" s="137" t="n">
        <f aca="false">IF(A165="","",AO164*AT164)</f>
        <v>30</v>
      </c>
      <c r="AW164" s="195" t="e">
        <f aca="false">IF($A165="","",AL164*$E164)</f>
        <v>#NAME?</v>
      </c>
      <c r="AX164" s="195" t="e">
        <f aca="false">IF($A165="","",AM164*$E164)</f>
        <v>#N/A</v>
      </c>
      <c r="AY164" s="195" t="e">
        <f aca="false">IF($A165="","",AN164*$E164)</f>
        <v>#N/A</v>
      </c>
      <c r="BA164" s="195" t="n">
        <f aca="false">IF($A165="","",F164*Summary!$Q$11)</f>
        <v>0</v>
      </c>
      <c r="BC164" s="179" t="e">
        <f aca="false">IF(A165="","",AM164*F164)</f>
        <v>#N/A</v>
      </c>
    </row>
    <row r="165" customFormat="false" ht="12.75" hidden="false" customHeight="false" outlineLevel="0" collapsed="false">
      <c r="A165" s="196" t="n">
        <f aca="false">IF(A164&lt;mthend,EDATE(A164,1),"")</f>
        <v>41760</v>
      </c>
      <c r="B165" s="197" t="n">
        <f aca="false">IF(A165&lt;mthend,B164,"")</f>
        <v>124142</v>
      </c>
      <c r="C165" s="215"/>
      <c r="D165" s="197" t="n">
        <f aca="false">IF(A166&lt;&gt;"",B165+C165,"")</f>
        <v>124142</v>
      </c>
      <c r="E165" s="199" t="n">
        <f aca="false">IF(A166="","",IF(AND(AT165=1,$H$3=1),D165*AO165,IF($H$3=2,D165,"N/A")))</f>
        <v>3848402</v>
      </c>
      <c r="F165" s="199" t="n">
        <f aca="false">IF(A166="","",E165*AS165)</f>
        <v>11712400.297934</v>
      </c>
      <c r="G165" s="200" t="e">
        <f aca="false">IF($A166="","",VLOOKUP($A165,Table,MATCH(G$4,Curves,0)))</f>
        <v>#N/A</v>
      </c>
      <c r="H165" s="201" t="e">
        <f aca="false">IF(A166="","",G165)</f>
        <v>#N/A</v>
      </c>
      <c r="I165" s="202"/>
      <c r="J165" s="200" t="e">
        <f aca="false">IF($A166="","",VLOOKUP($A165,Table,MATCH(J$4,Curves,0)))</f>
        <v>#N/A</v>
      </c>
      <c r="K165" s="201" t="e">
        <f aca="false">IF(A166="","",J165)</f>
        <v>#N/A</v>
      </c>
      <c r="L165" s="200" t="e">
        <f aca="false">IF($A166="","",VLOOKUP($A165,Table,MATCH(L$4,Curves,0)))</f>
        <v>#N/A</v>
      </c>
      <c r="M165" s="201" t="e">
        <f aca="false">IF(A166="","",L165)</f>
        <v>#N/A</v>
      </c>
      <c r="N165" s="203"/>
      <c r="O165" s="200" t="e">
        <f aca="false">IF(A166="","",L165+J165+G165)</f>
        <v>#N/A</v>
      </c>
      <c r="P165" s="200" t="e">
        <f aca="false">IF(A166="","",M165+K165+H165)</f>
        <v>#N/A</v>
      </c>
      <c r="Q165" s="204"/>
      <c r="R165" s="200" t="e">
        <f aca="false">IF($A166="","",VLOOKUP($A165,Table,MATCH(R$4,Curves,0)))</f>
        <v>#N/A</v>
      </c>
      <c r="S165" s="201" t="e">
        <f aca="false">IF(A166="","",R165)</f>
        <v>#N/A</v>
      </c>
      <c r="T165" s="185" t="n">
        <v>0</v>
      </c>
      <c r="U165" s="201" t="n">
        <f aca="false">IF(A166="","",T165)</f>
        <v>0</v>
      </c>
      <c r="V165" s="205" t="e">
        <f aca="false">IF($A166="","",IF(AND(MONTH(A165)&gt;3,MONTH(A165)&lt;11),(T165+R165+G165)*Summary!$T$11/(1-Summary!$T$11),(T165+R165+G165)*Summary!$U$11/(1-Summary!$U$11)))</f>
        <v>#N/A</v>
      </c>
      <c r="W165" s="202" t="e">
        <f aca="false">IF($A166="","",(T165+R165+G165+V165))</f>
        <v>#N/A</v>
      </c>
      <c r="X165" s="202" t="e">
        <f aca="false">IF($A166="","",(U165+S165+H165+V165))</f>
        <v>#N/A</v>
      </c>
      <c r="Y165" s="202"/>
      <c r="Z165" s="185" t="e">
        <f aca="false">IF($A166="","",VLOOKUP($A165,Table,MATCH(Z$4,Curves,0)))</f>
        <v>#N/A</v>
      </c>
      <c r="AA165" s="185" t="e">
        <f aca="false">IF($A166="","",VLOOKUP($A165,Table,MATCH(AA$4,Curves,0)))</f>
        <v>#N/A</v>
      </c>
      <c r="AB165" s="185" t="e">
        <f aca="false">SQRT((AA165^2*(A165-$D$3)+Z165^2*(DAY(EOMONTH(A165,0))/2))/AK165)</f>
        <v>#N/A</v>
      </c>
      <c r="AC165" s="185" t="e">
        <f aca="false">IF($A166="","",VLOOKUP($A165,Table,MATCH(AC$4,Curves,0)))</f>
        <v>#N/A</v>
      </c>
      <c r="AD165" s="185" t="e">
        <f aca="false">IF($A166="","",VLOOKUP($A165,Table,MATCH(AD$4,Curves,0)))</f>
        <v>#N/A</v>
      </c>
      <c r="AE165" s="185" t="e">
        <f aca="false">SQRT((AD165^2*(A165-$D$3)+AC165^2*(DAY(EOMONTH(A165,0))/2))/AK165)</f>
        <v>#N/A</v>
      </c>
      <c r="AF165" s="206" t="e">
        <f aca="false">((Summary!$N$11*(AA165*AD165)*(A165-$D$3))+(Summary!$M$11*Z165*AC165*(AJ165-EOMONTH(EDATE(A165,-1),0))))/(AK165*AB165*AE165)</f>
        <v>#N/A</v>
      </c>
      <c r="AG165" s="207" t="n">
        <f aca="false">IF($A166="","",Summary!$Q$11)</f>
        <v>0</v>
      </c>
      <c r="AH165" s="207" t="n">
        <f aca="false">IF($A166="","",IF(Summary!$R$11="Y",(VLOOKUP($A165,Summary!$AD$6:$AF$9,3)+'Escalating commodity'!G178),'Escalating commodity'!G178))</f>
        <v>0.00628655883913434</v>
      </c>
      <c r="AI165" s="207" t="n">
        <f aca="false">IF($A166="","",AH165)</f>
        <v>0.00628655883913434</v>
      </c>
      <c r="AJ165" s="208" t="n">
        <f aca="false">A165+DAY(EOMONTH(A165,0))/2-1</f>
        <v>41774.5</v>
      </c>
      <c r="AK165" s="209" t="n">
        <f aca="false">IF($A166="","",$A165-$E$1)</f>
        <v>-4166</v>
      </c>
      <c r="AL165" s="182" t="e">
        <f aca="false">IF($A166="","",SPRDOPT(P165,X165,AI165,0,AB165,AE165,AF165,AK165,$AJ$2,0))</f>
        <v>#NAME?</v>
      </c>
      <c r="AM165" s="210" t="e">
        <f aca="false">IF($A166="","",MAX(0,O165-W165-AI165))</f>
        <v>#N/A</v>
      </c>
      <c r="AN165" s="211" t="e">
        <f aca="false">IF($A166="","",AL165-AM165)</f>
        <v>#N/A</v>
      </c>
      <c r="AO165" s="137" t="n">
        <f aca="false">IF(A166="","",A166-A165)</f>
        <v>31</v>
      </c>
      <c r="AP165" s="212" t="n">
        <f aca="false">IF(A166="","",CHOOSE(F$3,A166+24,A165))</f>
        <v>41760</v>
      </c>
      <c r="AQ165" s="209" t="n">
        <f aca="false">IF(A166="","",AP165-$E$1)</f>
        <v>-4166</v>
      </c>
      <c r="AR165" s="185" t="n">
        <f aca="false">'ANR OK vs ML7'!AR165</f>
        <v>0.1</v>
      </c>
      <c r="AS165" s="213" t="n">
        <f aca="false">IF(A166="","",1/(1+CHOOSE(F$3,(AR166+($I$3/10000))/2,(AR165+($I$3/10000))/2))^(2*AQ165/365.25))</f>
        <v>3.04344512291958</v>
      </c>
      <c r="AT165" s="137" t="n">
        <f aca="false">IF(A166="","",IF(AND(mthbeg&lt;=A165,mthend&gt;=A165),1,0))</f>
        <v>1</v>
      </c>
      <c r="AU165" s="137" t="n">
        <f aca="false">IF(A166="","",AO165*AT165)</f>
        <v>31</v>
      </c>
      <c r="AW165" s="195" t="e">
        <f aca="false">IF($A166="","",AL165*$E165)</f>
        <v>#NAME?</v>
      </c>
      <c r="AX165" s="195" t="e">
        <f aca="false">IF($A166="","",AM165*$E165)</f>
        <v>#N/A</v>
      </c>
      <c r="AY165" s="195" t="e">
        <f aca="false">IF($A166="","",AN165*$E165)</f>
        <v>#N/A</v>
      </c>
      <c r="BA165" s="195" t="n">
        <f aca="false">IF($A166="","",F165*Summary!$Q$11)</f>
        <v>0</v>
      </c>
      <c r="BC165" s="179" t="e">
        <f aca="false">IF(A166="","",AM165*F165)</f>
        <v>#N/A</v>
      </c>
    </row>
    <row r="166" customFormat="false" ht="12.75" hidden="false" customHeight="false" outlineLevel="0" collapsed="false">
      <c r="A166" s="196" t="n">
        <f aca="false">IF(A165&lt;mthend,EDATE(A165,1),"")</f>
        <v>41791</v>
      </c>
      <c r="B166" s="197" t="n">
        <f aca="false">IF(A166&lt;mthend,B165,"")</f>
        <v>124142</v>
      </c>
      <c r="C166" s="215"/>
      <c r="D166" s="197" t="n">
        <f aca="false">IF(A167&lt;&gt;"",B166+C166,"")</f>
        <v>124142</v>
      </c>
      <c r="E166" s="199" t="n">
        <f aca="false">IF(A167="","",IF(AND(AT166=1,$H$3=1),D166*AO166,IF($H$3=2,D166,"N/A")))</f>
        <v>3724260</v>
      </c>
      <c r="F166" s="199" t="n">
        <f aca="false">IF(A167="","",E166*AS166)</f>
        <v>11241095.9090119</v>
      </c>
      <c r="G166" s="200" t="e">
        <f aca="false">IF($A167="","",VLOOKUP($A166,Table,MATCH(G$4,Curves,0)))</f>
        <v>#N/A</v>
      </c>
      <c r="H166" s="201" t="e">
        <f aca="false">IF(A167="","",G166)</f>
        <v>#N/A</v>
      </c>
      <c r="I166" s="202"/>
      <c r="J166" s="200" t="e">
        <f aca="false">IF($A167="","",VLOOKUP($A166,Table,MATCH(J$4,Curves,0)))</f>
        <v>#N/A</v>
      </c>
      <c r="K166" s="201" t="e">
        <f aca="false">IF(A167="","",J166)</f>
        <v>#N/A</v>
      </c>
      <c r="L166" s="200" t="e">
        <f aca="false">IF($A167="","",VLOOKUP($A166,Table,MATCH(L$4,Curves,0)))</f>
        <v>#N/A</v>
      </c>
      <c r="M166" s="201" t="e">
        <f aca="false">IF(A167="","",L166)</f>
        <v>#N/A</v>
      </c>
      <c r="N166" s="203"/>
      <c r="O166" s="200" t="e">
        <f aca="false">IF(A167="","",L166+J166+G166)</f>
        <v>#N/A</v>
      </c>
      <c r="P166" s="200" t="e">
        <f aca="false">IF(A167="","",M166+K166+H166)</f>
        <v>#N/A</v>
      </c>
      <c r="Q166" s="204"/>
      <c r="R166" s="200" t="e">
        <f aca="false">IF($A167="","",VLOOKUP($A166,Table,MATCH(R$4,Curves,0)))</f>
        <v>#N/A</v>
      </c>
      <c r="S166" s="201" t="e">
        <f aca="false">IF(A167="","",R166)</f>
        <v>#N/A</v>
      </c>
      <c r="T166" s="185" t="n">
        <v>0</v>
      </c>
      <c r="U166" s="201" t="n">
        <f aca="false">IF(A167="","",T166)</f>
        <v>0</v>
      </c>
      <c r="V166" s="205" t="e">
        <f aca="false">IF($A167="","",IF(AND(MONTH(A166)&gt;3,MONTH(A166)&lt;11),(T166+R166+G166)*Summary!$T$11/(1-Summary!$T$11),(T166+R166+G166)*Summary!$U$11/(1-Summary!$U$11)))</f>
        <v>#N/A</v>
      </c>
      <c r="W166" s="202" t="e">
        <f aca="false">IF($A167="","",(T166+R166+G166+V166))</f>
        <v>#N/A</v>
      </c>
      <c r="X166" s="202" t="e">
        <f aca="false">IF($A167="","",(U166+S166+H166+V166))</f>
        <v>#N/A</v>
      </c>
      <c r="Y166" s="202"/>
      <c r="Z166" s="185" t="e">
        <f aca="false">IF($A167="","",VLOOKUP($A166,Table,MATCH(Z$4,Curves,0)))</f>
        <v>#N/A</v>
      </c>
      <c r="AA166" s="185" t="e">
        <f aca="false">IF($A167="","",VLOOKUP($A166,Table,MATCH(AA$4,Curves,0)))</f>
        <v>#N/A</v>
      </c>
      <c r="AB166" s="185" t="e">
        <f aca="false">SQRT((AA166^2*(A166-$D$3)+Z166^2*(DAY(EOMONTH(A166,0))/2))/AK166)</f>
        <v>#N/A</v>
      </c>
      <c r="AC166" s="185" t="e">
        <f aca="false">IF($A167="","",VLOOKUP($A166,Table,MATCH(AC$4,Curves,0)))</f>
        <v>#N/A</v>
      </c>
      <c r="AD166" s="185" t="e">
        <f aca="false">IF($A167="","",VLOOKUP($A166,Table,MATCH(AD$4,Curves,0)))</f>
        <v>#N/A</v>
      </c>
      <c r="AE166" s="185" t="e">
        <f aca="false">SQRT((AD166^2*(A166-$D$3)+AC166^2*(DAY(EOMONTH(A166,0))/2))/AK166)</f>
        <v>#N/A</v>
      </c>
      <c r="AF166" s="206" t="e">
        <f aca="false">((Summary!$N$11*(AA166*AD166)*(A166-$D$3))+(Summary!$M$11*Z166*AC166*(AJ166-EOMONTH(EDATE(A166,-1),0))))/(AK166*AB166*AE166)</f>
        <v>#N/A</v>
      </c>
      <c r="AG166" s="207" t="n">
        <f aca="false">IF($A167="","",Summary!$Q$11)</f>
        <v>0</v>
      </c>
      <c r="AH166" s="207" t="n">
        <f aca="false">IF($A167="","",IF(Summary!$R$11="Y",(VLOOKUP($A166,Summary!$AD$6:$AF$9,3)+'Escalating commodity'!G179),'Escalating commodity'!G179))</f>
        <v>0.00628655883913434</v>
      </c>
      <c r="AI166" s="207" t="n">
        <f aca="false">IF($A167="","",AH166)</f>
        <v>0.00628655883913434</v>
      </c>
      <c r="AJ166" s="208" t="n">
        <f aca="false">A166+DAY(EOMONTH(A166,0))/2-1</f>
        <v>41805</v>
      </c>
      <c r="AK166" s="209" t="n">
        <f aca="false">IF($A167="","",$A166-$E$1)</f>
        <v>-4135</v>
      </c>
      <c r="AL166" s="182" t="e">
        <f aca="false">IF($A167="","",SPRDOPT(P166,X166,AI166,0,AB166,AE166,AF166,AK166,$AJ$2,0))</f>
        <v>#NAME?</v>
      </c>
      <c r="AM166" s="210" t="e">
        <f aca="false">IF($A167="","",MAX(0,O166-W166-AI166))</f>
        <v>#N/A</v>
      </c>
      <c r="AN166" s="211" t="e">
        <f aca="false">IF($A167="","",AL166-AM166)</f>
        <v>#N/A</v>
      </c>
      <c r="AO166" s="137" t="n">
        <f aca="false">IF(A167="","",A167-A166)</f>
        <v>30</v>
      </c>
      <c r="AP166" s="212" t="n">
        <f aca="false">IF(A167="","",CHOOSE(F$3,A167+24,A166))</f>
        <v>41791</v>
      </c>
      <c r="AQ166" s="209" t="n">
        <f aca="false">IF(A167="","",AP166-$E$1)</f>
        <v>-4135</v>
      </c>
      <c r="AR166" s="185" t="n">
        <f aca="false">'ANR OK vs ML7'!AR166</f>
        <v>0.1</v>
      </c>
      <c r="AS166" s="213" t="n">
        <f aca="false">IF(A167="","",1/(1+CHOOSE(F$3,(AR167+($I$3/10000))/2,(AR166+($I$3/10000))/2))^(2*AQ166/365.25))</f>
        <v>3.01834348542044</v>
      </c>
      <c r="AT166" s="137" t="n">
        <f aca="false">IF(A167="","",IF(AND(mthbeg&lt;=A166,mthend&gt;=A166),1,0))</f>
        <v>1</v>
      </c>
      <c r="AU166" s="137" t="n">
        <f aca="false">IF(A167="","",AO166*AT166)</f>
        <v>30</v>
      </c>
      <c r="AW166" s="195" t="e">
        <f aca="false">IF($A167="","",AL166*$E166)</f>
        <v>#NAME?</v>
      </c>
      <c r="AX166" s="195" t="e">
        <f aca="false">IF($A167="","",AM166*$E166)</f>
        <v>#N/A</v>
      </c>
      <c r="AY166" s="195" t="e">
        <f aca="false">IF($A167="","",AN166*$E166)</f>
        <v>#N/A</v>
      </c>
      <c r="BA166" s="195" t="n">
        <f aca="false">IF($A167="","",F166*Summary!$Q$11)</f>
        <v>0</v>
      </c>
      <c r="BC166" s="179" t="e">
        <f aca="false">IF(A167="","",AM166*F166)</f>
        <v>#N/A</v>
      </c>
    </row>
    <row r="167" customFormat="false" ht="12.75" hidden="false" customHeight="false" outlineLevel="0" collapsed="false">
      <c r="A167" s="196" t="n">
        <f aca="false">IF(A166&lt;mthend,EDATE(A166,1),"")</f>
        <v>41821</v>
      </c>
      <c r="B167" s="197" t="n">
        <f aca="false">IF(A167&lt;mthend,B166,"")</f>
        <v>124142</v>
      </c>
      <c r="C167" s="215"/>
      <c r="D167" s="197" t="n">
        <f aca="false">IF(A168&lt;&gt;"",B167+C167,"")</f>
        <v>124142</v>
      </c>
      <c r="E167" s="199" t="n">
        <f aca="false">IF(A168="","",IF(AND(AT167=1,$H$3=1),D167*AO167,IF($H$3=2,D167,"N/A")))</f>
        <v>3848402</v>
      </c>
      <c r="F167" s="199" t="n">
        <f aca="false">IF(A168="","",E167*AS167)</f>
        <v>11523072.7557949</v>
      </c>
      <c r="G167" s="200" t="e">
        <f aca="false">IF($A168="","",VLOOKUP($A167,Table,MATCH(G$4,Curves,0)))</f>
        <v>#N/A</v>
      </c>
      <c r="H167" s="201" t="e">
        <f aca="false">IF(A168="","",G167)</f>
        <v>#N/A</v>
      </c>
      <c r="I167" s="202"/>
      <c r="J167" s="200" t="e">
        <f aca="false">IF($A168="","",VLOOKUP($A167,Table,MATCH(J$4,Curves,0)))</f>
        <v>#N/A</v>
      </c>
      <c r="K167" s="201" t="e">
        <f aca="false">IF(A168="","",J167)</f>
        <v>#N/A</v>
      </c>
      <c r="L167" s="200" t="e">
        <f aca="false">IF($A168="","",VLOOKUP($A167,Table,MATCH(L$4,Curves,0)))</f>
        <v>#N/A</v>
      </c>
      <c r="M167" s="201" t="e">
        <f aca="false">IF(A168="","",L167)</f>
        <v>#N/A</v>
      </c>
      <c r="N167" s="203"/>
      <c r="O167" s="200" t="e">
        <f aca="false">IF(A168="","",L167+J167+G167)</f>
        <v>#N/A</v>
      </c>
      <c r="P167" s="200" t="e">
        <f aca="false">IF(A168="","",M167+K167+H167)</f>
        <v>#N/A</v>
      </c>
      <c r="Q167" s="204"/>
      <c r="R167" s="200" t="e">
        <f aca="false">IF($A168="","",VLOOKUP($A167,Table,MATCH(R$4,Curves,0)))</f>
        <v>#N/A</v>
      </c>
      <c r="S167" s="201" t="e">
        <f aca="false">IF(A168="","",R167)</f>
        <v>#N/A</v>
      </c>
      <c r="T167" s="185" t="n">
        <v>0</v>
      </c>
      <c r="U167" s="201" t="n">
        <f aca="false">IF(A168="","",T167)</f>
        <v>0</v>
      </c>
      <c r="V167" s="205" t="e">
        <f aca="false">IF($A168="","",IF(AND(MONTH(A167)&gt;3,MONTH(A167)&lt;11),(T167+R167+G167)*Summary!$T$11/(1-Summary!$T$11),(T167+R167+G167)*Summary!$U$11/(1-Summary!$U$11)))</f>
        <v>#N/A</v>
      </c>
      <c r="W167" s="202" t="e">
        <f aca="false">IF($A168="","",(T167+R167+G167+V167))</f>
        <v>#N/A</v>
      </c>
      <c r="X167" s="202" t="e">
        <f aca="false">IF($A168="","",(U167+S167+H167+V167))</f>
        <v>#N/A</v>
      </c>
      <c r="Y167" s="202"/>
      <c r="Z167" s="185" t="e">
        <f aca="false">IF($A168="","",VLOOKUP($A167,Table,MATCH(Z$4,Curves,0)))</f>
        <v>#N/A</v>
      </c>
      <c r="AA167" s="185" t="e">
        <f aca="false">IF($A168="","",VLOOKUP($A167,Table,MATCH(AA$4,Curves,0)))</f>
        <v>#N/A</v>
      </c>
      <c r="AB167" s="185" t="e">
        <f aca="false">SQRT((AA167^2*(A167-$D$3)+Z167^2*(DAY(EOMONTH(A167,0))/2))/AK167)</f>
        <v>#N/A</v>
      </c>
      <c r="AC167" s="185" t="e">
        <f aca="false">IF($A168="","",VLOOKUP($A167,Table,MATCH(AC$4,Curves,0)))</f>
        <v>#N/A</v>
      </c>
      <c r="AD167" s="185" t="e">
        <f aca="false">IF($A168="","",VLOOKUP($A167,Table,MATCH(AD$4,Curves,0)))</f>
        <v>#N/A</v>
      </c>
      <c r="AE167" s="185" t="e">
        <f aca="false">SQRT((AD167^2*(A167-$D$3)+AC167^2*(DAY(EOMONTH(A167,0))/2))/AK167)</f>
        <v>#N/A</v>
      </c>
      <c r="AF167" s="206" t="e">
        <f aca="false">((Summary!$N$11*(AA167*AD167)*(A167-$D$3))+(Summary!$M$11*Z167*AC167*(AJ167-EOMONTH(EDATE(A167,-1),0))))/(AK167*AB167*AE167)</f>
        <v>#N/A</v>
      </c>
      <c r="AG167" s="207" t="n">
        <f aca="false">IF($A168="","",Summary!$Q$11)</f>
        <v>0</v>
      </c>
      <c r="AH167" s="207" t="n">
        <f aca="false">IF($A168="","",IF(Summary!$R$11="Y",(VLOOKUP($A167,Summary!$AD$6:$AF$9,3)+'Escalating commodity'!G180),'Escalating commodity'!G180))</f>
        <v>0.00628655883913434</v>
      </c>
      <c r="AI167" s="207" t="n">
        <f aca="false">IF($A168="","",AH167)</f>
        <v>0.00628655883913434</v>
      </c>
      <c r="AJ167" s="208" t="n">
        <f aca="false">A167+DAY(EOMONTH(A167,0))/2-1</f>
        <v>41835.5</v>
      </c>
      <c r="AK167" s="209" t="n">
        <f aca="false">IF($A168="","",$A167-$E$1)</f>
        <v>-4105</v>
      </c>
      <c r="AL167" s="182" t="e">
        <f aca="false">IF($A168="","",SPRDOPT(P167,X167,AI167,0,AB167,AE167,AF167,AK167,$AJ$2,0))</f>
        <v>#NAME?</v>
      </c>
      <c r="AM167" s="210" t="e">
        <f aca="false">IF($A168="","",MAX(0,O167-W167-AI167))</f>
        <v>#N/A</v>
      </c>
      <c r="AN167" s="211" t="e">
        <f aca="false">IF($A168="","",AL167-AM167)</f>
        <v>#N/A</v>
      </c>
      <c r="AO167" s="137" t="n">
        <f aca="false">IF(A168="","",A168-A167)</f>
        <v>31</v>
      </c>
      <c r="AP167" s="212" t="n">
        <f aca="false">IF(A168="","",CHOOSE(F$3,A168+24,A167))</f>
        <v>41821</v>
      </c>
      <c r="AQ167" s="209" t="n">
        <f aca="false">IF(A168="","",AP167-$E$1)</f>
        <v>-4105</v>
      </c>
      <c r="AR167" s="185" t="n">
        <f aca="false">'ANR OK vs ML7'!AR167</f>
        <v>0.1</v>
      </c>
      <c r="AS167" s="213" t="n">
        <f aca="false">IF(A168="","",1/(1+CHOOSE(F$3,(AR168+($I$3/10000))/2,(AR167+($I$3/10000))/2))^(2*AQ167/365.25))</f>
        <v>2.99424871824588</v>
      </c>
      <c r="AT167" s="137" t="n">
        <f aca="false">IF(A168="","",IF(AND(mthbeg&lt;=A167,mthend&gt;=A167),1,0))</f>
        <v>1</v>
      </c>
      <c r="AU167" s="137" t="n">
        <f aca="false">IF(A168="","",AO167*AT167)</f>
        <v>31</v>
      </c>
      <c r="AW167" s="195" t="e">
        <f aca="false">IF($A168="","",AL167*$E167)</f>
        <v>#NAME?</v>
      </c>
      <c r="AX167" s="195" t="e">
        <f aca="false">IF($A168="","",AM167*$E167)</f>
        <v>#N/A</v>
      </c>
      <c r="AY167" s="195" t="e">
        <f aca="false">IF($A168="","",AN167*$E167)</f>
        <v>#N/A</v>
      </c>
      <c r="BA167" s="195" t="n">
        <f aca="false">IF($A168="","",F167*Summary!$Q$11)</f>
        <v>0</v>
      </c>
      <c r="BC167" s="179" t="e">
        <f aca="false">IF(A168="","",AM167*F167)</f>
        <v>#N/A</v>
      </c>
    </row>
    <row r="168" customFormat="false" ht="12.75" hidden="false" customHeight="false" outlineLevel="0" collapsed="false">
      <c r="A168" s="196" t="n">
        <f aca="false">IF(A167&lt;mthend,EDATE(A167,1),"")</f>
        <v>41852</v>
      </c>
      <c r="B168" s="197" t="n">
        <f aca="false">IF(A168&lt;mthend,B167,"")</f>
        <v>124142</v>
      </c>
      <c r="C168" s="215"/>
      <c r="D168" s="197" t="n">
        <f aca="false">IF(A169&lt;&gt;"",B168+C168,"")</f>
        <v>124142</v>
      </c>
      <c r="E168" s="199" t="n">
        <f aca="false">IF(A169="","",IF(AND(AT168=1,$H$3=1),D168*AO168,IF($H$3=2,D168,"N/A")))</f>
        <v>3848402</v>
      </c>
      <c r="F168" s="199" t="n">
        <f aca="false">IF(A169="","",E168*AS168)</f>
        <v>11428033.0939939</v>
      </c>
      <c r="G168" s="200" t="e">
        <f aca="false">IF($A169="","",VLOOKUP($A168,Table,MATCH(G$4,Curves,0)))</f>
        <v>#N/A</v>
      </c>
      <c r="H168" s="201" t="e">
        <f aca="false">IF(A169="","",G168)</f>
        <v>#N/A</v>
      </c>
      <c r="I168" s="202"/>
      <c r="J168" s="200" t="e">
        <f aca="false">IF($A169="","",VLOOKUP($A168,Table,MATCH(J$4,Curves,0)))</f>
        <v>#N/A</v>
      </c>
      <c r="K168" s="201" t="e">
        <f aca="false">IF(A169="","",J168)</f>
        <v>#N/A</v>
      </c>
      <c r="L168" s="200" t="e">
        <f aca="false">IF($A169="","",VLOOKUP($A168,Table,MATCH(L$4,Curves,0)))</f>
        <v>#N/A</v>
      </c>
      <c r="M168" s="201" t="e">
        <f aca="false">IF(A169="","",L168)</f>
        <v>#N/A</v>
      </c>
      <c r="N168" s="203"/>
      <c r="O168" s="200" t="e">
        <f aca="false">IF(A169="","",L168+J168+G168)</f>
        <v>#N/A</v>
      </c>
      <c r="P168" s="200" t="e">
        <f aca="false">IF(A169="","",M168+K168+H168)</f>
        <v>#N/A</v>
      </c>
      <c r="Q168" s="204"/>
      <c r="R168" s="200" t="e">
        <f aca="false">IF($A169="","",VLOOKUP($A168,Table,MATCH(R$4,Curves,0)))</f>
        <v>#N/A</v>
      </c>
      <c r="S168" s="201" t="e">
        <f aca="false">IF(A169="","",R168)</f>
        <v>#N/A</v>
      </c>
      <c r="T168" s="185" t="n">
        <v>0</v>
      </c>
      <c r="U168" s="201" t="n">
        <f aca="false">IF(A169="","",T168)</f>
        <v>0</v>
      </c>
      <c r="V168" s="205" t="e">
        <f aca="false">IF($A169="","",IF(AND(MONTH(A168)&gt;3,MONTH(A168)&lt;11),(T168+R168+G168)*Summary!$T$11/(1-Summary!$T$11),(T168+R168+G168)*Summary!$U$11/(1-Summary!$U$11)))</f>
        <v>#N/A</v>
      </c>
      <c r="W168" s="202" t="e">
        <f aca="false">IF($A169="","",(T168+R168+G168+V168))</f>
        <v>#N/A</v>
      </c>
      <c r="X168" s="202" t="e">
        <f aca="false">IF($A169="","",(U168+S168+H168+V168))</f>
        <v>#N/A</v>
      </c>
      <c r="Y168" s="202"/>
      <c r="Z168" s="185" t="e">
        <f aca="false">IF($A169="","",VLOOKUP($A168,Table,MATCH(Z$4,Curves,0)))</f>
        <v>#N/A</v>
      </c>
      <c r="AA168" s="185" t="e">
        <f aca="false">IF($A169="","",VLOOKUP($A168,Table,MATCH(AA$4,Curves,0)))</f>
        <v>#N/A</v>
      </c>
      <c r="AB168" s="185" t="e">
        <f aca="false">SQRT((AA168^2*(A168-$D$3)+Z168^2*(DAY(EOMONTH(A168,0))/2))/AK168)</f>
        <v>#N/A</v>
      </c>
      <c r="AC168" s="185" t="e">
        <f aca="false">IF($A169="","",VLOOKUP($A168,Table,MATCH(AC$4,Curves,0)))</f>
        <v>#N/A</v>
      </c>
      <c r="AD168" s="185" t="e">
        <f aca="false">IF($A169="","",VLOOKUP($A168,Table,MATCH(AD$4,Curves,0)))</f>
        <v>#N/A</v>
      </c>
      <c r="AE168" s="185" t="e">
        <f aca="false">SQRT((AD168^2*(A168-$D$3)+AC168^2*(DAY(EOMONTH(A168,0))/2))/AK168)</f>
        <v>#N/A</v>
      </c>
      <c r="AF168" s="206" t="e">
        <f aca="false">((Summary!$N$11*(AA168*AD168)*(A168-$D$3))+(Summary!$M$11*Z168*AC168*(AJ168-EOMONTH(EDATE(A168,-1),0))))/(AK168*AB168*AE168)</f>
        <v>#N/A</v>
      </c>
      <c r="AG168" s="207" t="n">
        <f aca="false">IF($A169="","",Summary!$Q$11)</f>
        <v>0</v>
      </c>
      <c r="AH168" s="207" t="n">
        <f aca="false">IF($A169="","",IF(Summary!$R$11="Y",(VLOOKUP($A168,Summary!$AD$6:$AF$9,3)+'Escalating commodity'!G181),'Escalating commodity'!G181))</f>
        <v>0.00628655883913434</v>
      </c>
      <c r="AI168" s="207" t="n">
        <f aca="false">IF($A169="","",AH168)</f>
        <v>0.00628655883913434</v>
      </c>
      <c r="AJ168" s="208" t="n">
        <f aca="false">A168+DAY(EOMONTH(A168,0))/2-1</f>
        <v>41866.5</v>
      </c>
      <c r="AK168" s="209" t="n">
        <f aca="false">IF($A169="","",$A168-$E$1)</f>
        <v>-4074</v>
      </c>
      <c r="AL168" s="182" t="e">
        <f aca="false">IF($A169="","",SPRDOPT(P168,X168,AI168,0,AB168,AE168,AF168,AK168,$AJ$2,0))</f>
        <v>#NAME?</v>
      </c>
      <c r="AM168" s="210" t="e">
        <f aca="false">IF($A169="","",MAX(0,O168-W168-AI168))</f>
        <v>#N/A</v>
      </c>
      <c r="AN168" s="211" t="e">
        <f aca="false">IF($A169="","",AL168-AM168)</f>
        <v>#N/A</v>
      </c>
      <c r="AO168" s="137" t="n">
        <f aca="false">IF(A169="","",A169-A168)</f>
        <v>31</v>
      </c>
      <c r="AP168" s="212" t="n">
        <f aca="false">IF(A169="","",CHOOSE(F$3,A169+24,A168))</f>
        <v>41852</v>
      </c>
      <c r="AQ168" s="209" t="n">
        <f aca="false">IF(A169="","",AP168-$E$1)</f>
        <v>-4074</v>
      </c>
      <c r="AR168" s="185" t="n">
        <f aca="false">'ANR OK vs ML7'!AR168</f>
        <v>0.1</v>
      </c>
      <c r="AS168" s="213" t="n">
        <f aca="false">IF(A169="","",1/(1+CHOOSE(F$3,(AR169+($I$3/10000))/2,(AR168+($I$3/10000))/2))^(2*AQ168/365.25))</f>
        <v>2.96955284141155</v>
      </c>
      <c r="AT168" s="137" t="n">
        <f aca="false">IF(A169="","",IF(AND(mthbeg&lt;=A168,mthend&gt;=A168),1,0))</f>
        <v>1</v>
      </c>
      <c r="AU168" s="137" t="n">
        <f aca="false">IF(A169="","",AO168*AT168)</f>
        <v>31</v>
      </c>
      <c r="AW168" s="195" t="e">
        <f aca="false">IF($A169="","",AL168*$E168)</f>
        <v>#NAME?</v>
      </c>
      <c r="AX168" s="195" t="e">
        <f aca="false">IF($A169="","",AM168*$E168)</f>
        <v>#N/A</v>
      </c>
      <c r="AY168" s="195" t="e">
        <f aca="false">IF($A169="","",AN168*$E168)</f>
        <v>#N/A</v>
      </c>
      <c r="BA168" s="195" t="n">
        <f aca="false">IF($A169="","",F168*Summary!$Q$11)</f>
        <v>0</v>
      </c>
      <c r="BC168" s="179" t="e">
        <f aca="false">IF(A169="","",AM168*F168)</f>
        <v>#N/A</v>
      </c>
    </row>
    <row r="169" customFormat="false" ht="12.75" hidden="false" customHeight="false" outlineLevel="0" collapsed="false">
      <c r="A169" s="196" t="n">
        <f aca="false">IF(A168&lt;mthend,EDATE(A168,1),"")</f>
        <v>41883</v>
      </c>
      <c r="B169" s="197" t="n">
        <f aca="false">IF(A169&lt;mthend,B168,"")</f>
        <v>124142</v>
      </c>
      <c r="C169" s="215"/>
      <c r="D169" s="197" t="n">
        <f aca="false">IF(A170&lt;&gt;"",B169+C169,"")</f>
        <v>124142</v>
      </c>
      <c r="E169" s="199" t="n">
        <f aca="false">IF(A170="","",IF(AND(AT169=1,$H$3=1),D169*AO169,IF($H$3=2,D169,"N/A")))</f>
        <v>3724260</v>
      </c>
      <c r="F169" s="199" t="n">
        <f aca="false">IF(A170="","",E169*AS169)</f>
        <v>10968171.5782553</v>
      </c>
      <c r="G169" s="200" t="e">
        <f aca="false">IF($A170="","",VLOOKUP($A169,Table,MATCH(G$4,Curves,0)))</f>
        <v>#N/A</v>
      </c>
      <c r="H169" s="201" t="e">
        <f aca="false">IF(A170="","",G169)</f>
        <v>#N/A</v>
      </c>
      <c r="I169" s="202"/>
      <c r="J169" s="200" t="e">
        <f aca="false">IF($A170="","",VLOOKUP($A169,Table,MATCH(J$4,Curves,0)))</f>
        <v>#N/A</v>
      </c>
      <c r="K169" s="201" t="e">
        <f aca="false">IF(A170="","",J169)</f>
        <v>#N/A</v>
      </c>
      <c r="L169" s="200" t="e">
        <f aca="false">IF($A170="","",VLOOKUP($A169,Table,MATCH(L$4,Curves,0)))</f>
        <v>#N/A</v>
      </c>
      <c r="M169" s="201" t="e">
        <f aca="false">IF(A170="","",L169)</f>
        <v>#N/A</v>
      </c>
      <c r="N169" s="203"/>
      <c r="O169" s="200" t="e">
        <f aca="false">IF(A170="","",L169+J169+G169)</f>
        <v>#N/A</v>
      </c>
      <c r="P169" s="200" t="e">
        <f aca="false">IF(A170="","",M169+K169+H169)</f>
        <v>#N/A</v>
      </c>
      <c r="Q169" s="204"/>
      <c r="R169" s="200" t="e">
        <f aca="false">IF($A170="","",VLOOKUP($A169,Table,MATCH(R$4,Curves,0)))</f>
        <v>#N/A</v>
      </c>
      <c r="S169" s="201" t="e">
        <f aca="false">IF(A170="","",R169)</f>
        <v>#N/A</v>
      </c>
      <c r="T169" s="185" t="n">
        <v>0</v>
      </c>
      <c r="U169" s="201" t="n">
        <f aca="false">IF(A170="","",T169)</f>
        <v>0</v>
      </c>
      <c r="V169" s="205" t="e">
        <f aca="false">IF($A170="","",IF(AND(MONTH(A169)&gt;3,MONTH(A169)&lt;11),(T169+R169+G169)*Summary!$T$11/(1-Summary!$T$11),(T169+R169+G169)*Summary!$U$11/(1-Summary!$U$11)))</f>
        <v>#N/A</v>
      </c>
      <c r="W169" s="202" t="e">
        <f aca="false">IF($A170="","",(T169+R169+G169+V169))</f>
        <v>#N/A</v>
      </c>
      <c r="X169" s="202" t="e">
        <f aca="false">IF($A170="","",(U169+S169+H169+V169))</f>
        <v>#N/A</v>
      </c>
      <c r="Y169" s="202"/>
      <c r="Z169" s="185" t="e">
        <f aca="false">IF($A170="","",VLOOKUP($A169,Table,MATCH(Z$4,Curves,0)))</f>
        <v>#N/A</v>
      </c>
      <c r="AA169" s="185" t="e">
        <f aca="false">IF($A170="","",VLOOKUP($A169,Table,MATCH(AA$4,Curves,0)))</f>
        <v>#N/A</v>
      </c>
      <c r="AB169" s="185" t="e">
        <f aca="false">SQRT((AA169^2*(A169-$D$3)+Z169^2*(DAY(EOMONTH(A169,0))/2))/AK169)</f>
        <v>#N/A</v>
      </c>
      <c r="AC169" s="185" t="e">
        <f aca="false">IF($A170="","",VLOOKUP($A169,Table,MATCH(AC$4,Curves,0)))</f>
        <v>#N/A</v>
      </c>
      <c r="AD169" s="185" t="e">
        <f aca="false">IF($A170="","",VLOOKUP($A169,Table,MATCH(AD$4,Curves,0)))</f>
        <v>#N/A</v>
      </c>
      <c r="AE169" s="185" t="e">
        <f aca="false">SQRT((AD169^2*(A169-$D$3)+AC169^2*(DAY(EOMONTH(A169,0))/2))/AK169)</f>
        <v>#N/A</v>
      </c>
      <c r="AF169" s="206" t="e">
        <f aca="false">((Summary!$N$11*(AA169*AD169)*(A169-$D$3))+(Summary!$M$11*Z169*AC169*(AJ169-EOMONTH(EDATE(A169,-1),0))))/(AK169*AB169*AE169)</f>
        <v>#N/A</v>
      </c>
      <c r="AG169" s="207" t="n">
        <f aca="false">IF($A170="","",Summary!$Q$11)</f>
        <v>0</v>
      </c>
      <c r="AH169" s="207" t="n">
        <f aca="false">IF($A170="","",IF(Summary!$R$11="Y",(VLOOKUP($A169,Summary!$AD$6:$AF$9,3)+'Escalating commodity'!G182),'Escalating commodity'!G182))</f>
        <v>0.00628655883913434</v>
      </c>
      <c r="AI169" s="207" t="n">
        <f aca="false">IF($A170="","",AH169)</f>
        <v>0.00628655883913434</v>
      </c>
      <c r="AJ169" s="208" t="n">
        <f aca="false">A169+DAY(EOMONTH(A169,0))/2-1</f>
        <v>41897</v>
      </c>
      <c r="AK169" s="209" t="n">
        <f aca="false">IF($A170="","",$A169-$E$1)</f>
        <v>-4043</v>
      </c>
      <c r="AL169" s="182" t="e">
        <f aca="false">IF($A170="","",SPRDOPT(P169,X169,AI169,0,AB169,AE169,AF169,AK169,$AJ$2,0))</f>
        <v>#NAME?</v>
      </c>
      <c r="AM169" s="210" t="e">
        <f aca="false">IF($A170="","",MAX(0,O169-W169-AI169))</f>
        <v>#N/A</v>
      </c>
      <c r="AN169" s="211" t="e">
        <f aca="false">IF($A170="","",AL169-AM169)</f>
        <v>#N/A</v>
      </c>
      <c r="AO169" s="137" t="n">
        <f aca="false">IF(A170="","",A170-A169)</f>
        <v>30</v>
      </c>
      <c r="AP169" s="212" t="n">
        <f aca="false">IF(A170="","",CHOOSE(F$3,A170+24,A169))</f>
        <v>41883</v>
      </c>
      <c r="AQ169" s="209" t="n">
        <f aca="false">IF(A170="","",AP169-$E$1)</f>
        <v>-4043</v>
      </c>
      <c r="AR169" s="185" t="n">
        <f aca="false">'ANR OK vs ML7'!AR169</f>
        <v>0.1</v>
      </c>
      <c r="AS169" s="213" t="n">
        <f aca="false">IF(A170="","",1/(1+CHOOSE(F$3,(AR170+($I$3/10000))/2,(AR169+($I$3/10000))/2))^(2*AQ169/365.25))</f>
        <v>2.94506065050648</v>
      </c>
      <c r="AT169" s="137" t="n">
        <f aca="false">IF(A170="","",IF(AND(mthbeg&lt;=A169,mthend&gt;=A169),1,0))</f>
        <v>1</v>
      </c>
      <c r="AU169" s="137" t="n">
        <f aca="false">IF(A170="","",AO169*AT169)</f>
        <v>30</v>
      </c>
      <c r="AW169" s="195" t="e">
        <f aca="false">IF($A170="","",AL169*$E169)</f>
        <v>#NAME?</v>
      </c>
      <c r="AX169" s="195" t="e">
        <f aca="false">IF($A170="","",AM169*$E169)</f>
        <v>#N/A</v>
      </c>
      <c r="AY169" s="195" t="e">
        <f aca="false">IF($A170="","",AN169*$E169)</f>
        <v>#N/A</v>
      </c>
      <c r="BA169" s="195" t="n">
        <f aca="false">IF($A170="","",F169*Summary!$Q$11)</f>
        <v>0</v>
      </c>
      <c r="BC169" s="179" t="e">
        <f aca="false">IF(A170="","",AM169*F169)</f>
        <v>#N/A</v>
      </c>
    </row>
    <row r="170" customFormat="false" ht="12" hidden="false" customHeight="true" outlineLevel="0" collapsed="false">
      <c r="A170" s="196" t="n">
        <f aca="false">IF(A169&lt;mthend,EDATE(A169,1),"")</f>
        <v>41913</v>
      </c>
      <c r="B170" s="197" t="n">
        <f aca="false">IF(A170&lt;mthend,B169,"")</f>
        <v>124142</v>
      </c>
      <c r="C170" s="215"/>
      <c r="D170" s="197" t="n">
        <f aca="false">IF(A171&lt;&gt;"",B170+C170,"")</f>
        <v>124142</v>
      </c>
      <c r="E170" s="199" t="n">
        <f aca="false">IF(A171="","",IF(AND(AT170=1,$H$3=1),D170*AO170,IF($H$3=2,D170,"N/A")))</f>
        <v>3848402</v>
      </c>
      <c r="F170" s="199" t="n">
        <f aca="false">IF(A171="","",E170*AS170)</f>
        <v>11243302.2649467</v>
      </c>
      <c r="G170" s="200" t="e">
        <f aca="false">IF($A171="","",VLOOKUP($A170,Table,MATCH(G$4,Curves,0)))</f>
        <v>#N/A</v>
      </c>
      <c r="H170" s="201" t="e">
        <f aca="false">IF(A171="","",G170)</f>
        <v>#N/A</v>
      </c>
      <c r="I170" s="202"/>
      <c r="J170" s="200" t="e">
        <f aca="false">IF($A171="","",VLOOKUP($A170,Table,MATCH(J$4,Curves,0)))</f>
        <v>#N/A</v>
      </c>
      <c r="K170" s="201" t="e">
        <f aca="false">IF(A171="","",J170)</f>
        <v>#N/A</v>
      </c>
      <c r="L170" s="200" t="e">
        <f aca="false">IF($A171="","",VLOOKUP($A170,Table,MATCH(L$4,Curves,0)))</f>
        <v>#N/A</v>
      </c>
      <c r="M170" s="201" t="e">
        <f aca="false">IF(A171="","",L170)</f>
        <v>#N/A</v>
      </c>
      <c r="N170" s="203"/>
      <c r="O170" s="200" t="e">
        <f aca="false">IF(A171="","",L170+J170+G170)</f>
        <v>#N/A</v>
      </c>
      <c r="P170" s="200" t="e">
        <f aca="false">IF(A171="","",M170+K170+H170)</f>
        <v>#N/A</v>
      </c>
      <c r="Q170" s="204"/>
      <c r="R170" s="200" t="e">
        <f aca="false">IF($A171="","",VLOOKUP($A170,Table,MATCH(R$4,Curves,0)))</f>
        <v>#N/A</v>
      </c>
      <c r="S170" s="201" t="e">
        <f aca="false">IF(A171="","",R170)</f>
        <v>#N/A</v>
      </c>
      <c r="T170" s="185" t="n">
        <v>0</v>
      </c>
      <c r="U170" s="201" t="n">
        <f aca="false">IF(A171="","",T170)</f>
        <v>0</v>
      </c>
      <c r="V170" s="205" t="e">
        <f aca="false">IF($A171="","",IF(AND(MONTH(A170)&gt;3,MONTH(A170)&lt;11),(T170+R170+G170)*Summary!$T$11/(1-Summary!$T$11),(T170+R170+G170)*Summary!$U$11/(1-Summary!$U$11)))</f>
        <v>#N/A</v>
      </c>
      <c r="W170" s="202" t="e">
        <f aca="false">IF($A171="","",(T170+R170+G170+V170))</f>
        <v>#N/A</v>
      </c>
      <c r="X170" s="202" t="e">
        <f aca="false">IF($A171="","",(U170+S170+H170+V170))</f>
        <v>#N/A</v>
      </c>
      <c r="Y170" s="202"/>
      <c r="Z170" s="185" t="e">
        <f aca="false">IF($A171="","",VLOOKUP($A170,Table,MATCH(Z$4,Curves,0)))</f>
        <v>#N/A</v>
      </c>
      <c r="AA170" s="185" t="e">
        <f aca="false">IF($A171="","",VLOOKUP($A170,Table,MATCH(AA$4,Curves,0)))</f>
        <v>#N/A</v>
      </c>
      <c r="AB170" s="185" t="e">
        <f aca="false">SQRT((AA170^2*(A170-$D$3)+Z170^2*(DAY(EOMONTH(A170,0))/2))/AK170)</f>
        <v>#N/A</v>
      </c>
      <c r="AC170" s="185" t="e">
        <f aca="false">IF($A171="","",VLOOKUP($A170,Table,MATCH(AC$4,Curves,0)))</f>
        <v>#N/A</v>
      </c>
      <c r="AD170" s="185" t="e">
        <f aca="false">IF($A171="","",VLOOKUP($A170,Table,MATCH(AD$4,Curves,0)))</f>
        <v>#N/A</v>
      </c>
      <c r="AE170" s="185" t="e">
        <f aca="false">SQRT((AD170^2*(A170-$D$3)+AC170^2*(DAY(EOMONTH(A170,0))/2))/AK170)</f>
        <v>#N/A</v>
      </c>
      <c r="AF170" s="206" t="e">
        <f aca="false">((Summary!$N$11*(AA170*AD170)*(A170-$D$3))+(Summary!$M$11*Z170*AC170*(AJ170-EOMONTH(EDATE(A170,-1),0))))/(AK170*AB170*AE170)</f>
        <v>#N/A</v>
      </c>
      <c r="AG170" s="207" t="n">
        <f aca="false">IF($A171="","",Summary!$Q$11)</f>
        <v>0</v>
      </c>
      <c r="AH170" s="207" t="n">
        <f aca="false">IF($A171="","",IF(Summary!$R$11="Y",(VLOOKUP($A170,Summary!$AD$6:$AF$9,3)+'Escalating commodity'!G183),'Escalating commodity'!G183))</f>
        <v>0.00628655883913434</v>
      </c>
      <c r="AI170" s="207" t="n">
        <f aca="false">IF($A171="","",AH170)</f>
        <v>0.00628655883913434</v>
      </c>
      <c r="AJ170" s="208" t="n">
        <f aca="false">A170+DAY(EOMONTH(A170,0))/2-1</f>
        <v>41927.5</v>
      </c>
      <c r="AK170" s="209" t="n">
        <f aca="false">IF($A171="","",$A170-$E$1)</f>
        <v>-4013</v>
      </c>
      <c r="AL170" s="182" t="e">
        <f aca="false">IF($A171="","",SPRDOPT(P170,X170,AI170,0,AB170,AE170,AF170,AK170,$AJ$2,0))</f>
        <v>#NAME?</v>
      </c>
      <c r="AM170" s="210" t="e">
        <f aca="false">IF($A171="","",MAX(0,O170-W170-AI170))</f>
        <v>#N/A</v>
      </c>
      <c r="AN170" s="211" t="e">
        <f aca="false">IF($A171="","",AL170-AM170)</f>
        <v>#N/A</v>
      </c>
      <c r="AO170" s="137" t="n">
        <f aca="false">IF(A171="","",A171-A170)</f>
        <v>31</v>
      </c>
      <c r="AP170" s="212" t="n">
        <f aca="false">IF(A171="","",CHOOSE(F$3,A171+24,A170))</f>
        <v>41913</v>
      </c>
      <c r="AQ170" s="209" t="n">
        <f aca="false">IF(A171="","",AP170-$E$1)</f>
        <v>-4013</v>
      </c>
      <c r="AR170" s="185" t="n">
        <f aca="false">'ANR OK vs ML7'!AR170</f>
        <v>0.1</v>
      </c>
      <c r="AS170" s="213" t="n">
        <f aca="false">IF(A171="","",1/(1+CHOOSE(F$3,(AR171+($I$3/10000))/2,(AR170+($I$3/10000))/2))^(2*AQ170/365.25))</f>
        <v>2.92155088396345</v>
      </c>
      <c r="AT170" s="137" t="n">
        <f aca="false">IF(A171="","",IF(AND(mthbeg&lt;=A170,mthend&gt;=A170),1,0))</f>
        <v>1</v>
      </c>
      <c r="AU170" s="137" t="n">
        <f aca="false">IF(A171="","",AO170*AT170)</f>
        <v>31</v>
      </c>
      <c r="AW170" s="195" t="e">
        <f aca="false">IF($A171="","",AL170*$E170)</f>
        <v>#NAME?</v>
      </c>
      <c r="AX170" s="195" t="e">
        <f aca="false">IF($A171="","",AM170*$E170)</f>
        <v>#N/A</v>
      </c>
      <c r="AY170" s="195" t="e">
        <f aca="false">IF($A171="","",AN170*$E170)</f>
        <v>#N/A</v>
      </c>
      <c r="BA170" s="195" t="n">
        <f aca="false">IF($A171="","",F170*Summary!$Q$11)</f>
        <v>0</v>
      </c>
      <c r="BC170" s="179" t="e">
        <f aca="false">IF(A171="","",AM170*F170)</f>
        <v>#N/A</v>
      </c>
    </row>
    <row r="171" customFormat="false" ht="12" hidden="false" customHeight="true" outlineLevel="0" collapsed="false">
      <c r="A171" s="196" t="n">
        <f aca="false">IF(A170&lt;mthend,EDATE(A170,1),"")</f>
        <v>41944</v>
      </c>
      <c r="B171" s="197" t="n">
        <f aca="false">IF(A171&lt;mthend,B170,"")</f>
        <v>124142</v>
      </c>
      <c r="C171" s="215"/>
      <c r="D171" s="197" t="n">
        <f aca="false">IF(A172&lt;&gt;"",B171+C171,"")</f>
        <v>124142</v>
      </c>
      <c r="E171" s="199" t="n">
        <f aca="false">IF(A172="","",IF(AND(AT171=1,$H$3=1),D171*AO171,IF($H$3=2,D171,"N/A")))</f>
        <v>3724260</v>
      </c>
      <c r="F171" s="199" t="n">
        <f aca="false">IF(A172="","",E171*AS171)</f>
        <v>10790874.2767758</v>
      </c>
      <c r="G171" s="200" t="e">
        <f aca="false">IF($A172="","",VLOOKUP($A171,Table,MATCH(G$4,Curves,0)))</f>
        <v>#N/A</v>
      </c>
      <c r="H171" s="201" t="e">
        <f aca="false">IF(A172="","",G171)</f>
        <v>#N/A</v>
      </c>
      <c r="I171" s="202"/>
      <c r="J171" s="227" t="e">
        <f aca="false">J159</f>
        <v>#N/A</v>
      </c>
      <c r="K171" s="201" t="e">
        <f aca="false">IF(A172="","",J171)</f>
        <v>#N/A</v>
      </c>
      <c r="L171" s="200" t="e">
        <f aca="false">IF($A172="","",VLOOKUP($A171,Table,MATCH(L$4,Curves,0)))</f>
        <v>#N/A</v>
      </c>
      <c r="M171" s="201" t="e">
        <f aca="false">IF(A172="","",L171)</f>
        <v>#N/A</v>
      </c>
      <c r="N171" s="203"/>
      <c r="O171" s="200" t="e">
        <f aca="false">IF(A172="","",L171+J171+G171)</f>
        <v>#N/A</v>
      </c>
      <c r="P171" s="200" t="e">
        <f aca="false">IF(A172="","",M171+K171+H171)</f>
        <v>#N/A</v>
      </c>
      <c r="Q171" s="204"/>
      <c r="R171" s="227" t="e">
        <f aca="false">R159</f>
        <v>#N/A</v>
      </c>
      <c r="S171" s="201" t="e">
        <f aca="false">IF(A172="","",R171)</f>
        <v>#N/A</v>
      </c>
      <c r="T171" s="185" t="n">
        <v>0</v>
      </c>
      <c r="U171" s="201" t="n">
        <f aca="false">IF(A172="","",T171)</f>
        <v>0</v>
      </c>
      <c r="V171" s="205" t="e">
        <f aca="false">IF($A172="","",IF(AND(MONTH(A171)&gt;3,MONTH(A171)&lt;11),(T171+R171+G171)*Summary!$T$11/(1-Summary!$T$11),(T171+R171+G171)*Summary!$U$11/(1-Summary!$U$11)))</f>
        <v>#N/A</v>
      </c>
      <c r="W171" s="202" t="e">
        <f aca="false">IF($A172="","",(T171+R171+G171+V171))</f>
        <v>#N/A</v>
      </c>
      <c r="X171" s="202" t="e">
        <f aca="false">IF($A172="","",(U171+S171+H171+V171))</f>
        <v>#N/A</v>
      </c>
      <c r="Y171" s="202"/>
      <c r="Z171" s="185" t="e">
        <f aca="false">IF($A172="","",VLOOKUP($A171,Table,MATCH(Z$4,Curves,0)))</f>
        <v>#N/A</v>
      </c>
      <c r="AA171" s="185" t="e">
        <f aca="false">IF($A172="","",VLOOKUP($A171,Table,MATCH(AA$4,Curves,0)))</f>
        <v>#N/A</v>
      </c>
      <c r="AB171" s="185" t="e">
        <f aca="false">SQRT((AA171^2*(A171-$D$3)+Z171^2*(DAY(EOMONTH(A171,0))/2))/AK171)</f>
        <v>#N/A</v>
      </c>
      <c r="AC171" s="185" t="e">
        <f aca="false">IF($A172="","",VLOOKUP($A171,Table,MATCH(AC$4,Curves,0)))</f>
        <v>#N/A</v>
      </c>
      <c r="AD171" s="185" t="e">
        <f aca="false">IF($A172="","",VLOOKUP($A171,Table,MATCH(AD$4,Curves,0)))</f>
        <v>#N/A</v>
      </c>
      <c r="AE171" s="185" t="e">
        <f aca="false">SQRT((AD171^2*(A171-$D$3)+AC171^2*(DAY(EOMONTH(A171,0))/2))/AK171)</f>
        <v>#N/A</v>
      </c>
      <c r="AF171" s="206" t="e">
        <f aca="false">((Summary!$N$11*(AA171*AD171)*(A171-$D$3))+(Summary!$M$11*Z171*AC171*(AJ171-EOMONTH(EDATE(A171,-1),0))))/(AK171*AB171*AE171)</f>
        <v>#N/A</v>
      </c>
      <c r="AG171" s="207" t="n">
        <f aca="false">IF($A172="","",Summary!$Q$11)</f>
        <v>0</v>
      </c>
      <c r="AH171" s="207" t="n">
        <f aca="false">IF($A172="","",IF(Summary!$R$11="Y",(VLOOKUP($A171,Summary!$AD$6:$AF$9,3)+'Escalating commodity'!G184),'Escalating commodity'!G184))</f>
        <v>0.00628655883913434</v>
      </c>
      <c r="AI171" s="207" t="n">
        <f aca="false">IF($A172="","",AH171)</f>
        <v>0.00628655883913434</v>
      </c>
      <c r="AJ171" s="208" t="n">
        <f aca="false">A171+DAY(EOMONTH(A171,0))/2-1</f>
        <v>41958</v>
      </c>
      <c r="AK171" s="209" t="n">
        <f aca="false">IF($A172="","",$A171-$E$1)</f>
        <v>-3982</v>
      </c>
      <c r="AL171" s="182" t="e">
        <f aca="false">IF($A172="","",SPRDOPT(P171,X171,AI171,0,AB171,AE171,AF171,AK171,$AJ$2,0))</f>
        <v>#NAME?</v>
      </c>
      <c r="AM171" s="210" t="e">
        <f aca="false">IF($A172="","",MAX(0,O171-W171-AI171))</f>
        <v>#N/A</v>
      </c>
      <c r="AN171" s="211" t="e">
        <f aca="false">IF($A172="","",AL171-AM171)</f>
        <v>#N/A</v>
      </c>
      <c r="AO171" s="137" t="n">
        <f aca="false">IF(A172="","",A172-A171)</f>
        <v>30</v>
      </c>
      <c r="AP171" s="212" t="n">
        <f aca="false">IF(A172="","",CHOOSE(F$3,A172+24,A171))</f>
        <v>41944</v>
      </c>
      <c r="AQ171" s="209" t="n">
        <f aca="false">IF(A172="","",AP171-$E$1)</f>
        <v>-3982</v>
      </c>
      <c r="AR171" s="185" t="n">
        <f aca="false">'ANR OK vs ML7'!AR171</f>
        <v>0.1</v>
      </c>
      <c r="AS171" s="213" t="n">
        <f aca="false">IF(A172="","",1/(1+CHOOSE(F$3,(AR172+($I$3/10000))/2,(AR171+($I$3/10000))/2))^(2*AQ171/365.25))</f>
        <v>2.89745460219636</v>
      </c>
      <c r="AT171" s="137" t="n">
        <f aca="false">IF(A172="","",IF(AND(mthbeg&lt;=A171,mthend&gt;=A171),1,0))</f>
        <v>1</v>
      </c>
      <c r="AU171" s="137" t="n">
        <f aca="false">IF(A172="","",AO171*AT171)</f>
        <v>30</v>
      </c>
      <c r="AW171" s="195" t="e">
        <f aca="false">IF($A172="","",AL171*$E171)</f>
        <v>#NAME?</v>
      </c>
      <c r="AX171" s="195" t="e">
        <f aca="false">IF($A172="","",AM171*$E171)</f>
        <v>#N/A</v>
      </c>
      <c r="AY171" s="195" t="e">
        <f aca="false">IF($A172="","",AN171*$E171)</f>
        <v>#N/A</v>
      </c>
      <c r="BA171" s="195" t="n">
        <f aca="false">IF($A172="","",F171*Summary!$Q$11)</f>
        <v>0</v>
      </c>
      <c r="BC171" s="179" t="e">
        <f aca="false">IF(A172="","",AM171*F171)</f>
        <v>#N/A</v>
      </c>
    </row>
    <row r="172" customFormat="false" ht="12" hidden="false" customHeight="true" outlineLevel="0" collapsed="false">
      <c r="A172" s="196" t="n">
        <f aca="false">IF(A171&lt;mthend,EDATE(A171,1),"")</f>
        <v>41974</v>
      </c>
      <c r="B172" s="197" t="n">
        <f aca="false">IF(A172&lt;mthend,B171,"")</f>
        <v>124142</v>
      </c>
      <c r="C172" s="215"/>
      <c r="D172" s="197" t="n">
        <f aca="false">IF(A173&lt;&gt;"",B172+C172,"")</f>
        <v>124142</v>
      </c>
      <c r="E172" s="199" t="n">
        <f aca="false">IF(A173="","",IF(AND(AT172=1,$H$3=1),D172*AO172,IF($H$3=2,D172,"N/A")))</f>
        <v>3848402</v>
      </c>
      <c r="F172" s="199" t="n">
        <f aca="false">IF(A173="","",E172*AS172)</f>
        <v>11061557.5559886</v>
      </c>
      <c r="G172" s="200" t="e">
        <f aca="false">IF($A173="","",VLOOKUP($A172,Table,MATCH(G$4,Curves,0)))</f>
        <v>#N/A</v>
      </c>
      <c r="H172" s="201" t="e">
        <f aca="false">IF(A173="","",G172)</f>
        <v>#N/A</v>
      </c>
      <c r="I172" s="202"/>
      <c r="J172" s="227" t="e">
        <f aca="false">J160</f>
        <v>#N/A</v>
      </c>
      <c r="K172" s="201" t="e">
        <f aca="false">IF(A173="","",J172)</f>
        <v>#N/A</v>
      </c>
      <c r="L172" s="200" t="e">
        <f aca="false">IF($A173="","",VLOOKUP($A172,Table,MATCH(L$4,Curves,0)))</f>
        <v>#N/A</v>
      </c>
      <c r="M172" s="201" t="e">
        <f aca="false">IF(A173="","",L172)</f>
        <v>#N/A</v>
      </c>
      <c r="N172" s="203"/>
      <c r="O172" s="200" t="e">
        <f aca="false">IF(A173="","",L172+J172+G172)</f>
        <v>#N/A</v>
      </c>
      <c r="P172" s="200" t="e">
        <f aca="false">IF(A173="","",M172+K172+H172)</f>
        <v>#N/A</v>
      </c>
      <c r="Q172" s="204"/>
      <c r="R172" s="227" t="e">
        <f aca="false">R160</f>
        <v>#N/A</v>
      </c>
      <c r="S172" s="201" t="e">
        <f aca="false">IF(A173="","",R172)</f>
        <v>#N/A</v>
      </c>
      <c r="T172" s="185" t="n">
        <v>0</v>
      </c>
      <c r="U172" s="201" t="n">
        <f aca="false">IF(A173="","",T172)</f>
        <v>0</v>
      </c>
      <c r="V172" s="205" t="e">
        <f aca="false">IF($A173="","",IF(AND(MONTH(A172)&gt;3,MONTH(A172)&lt;11),(T172+R172+G172)*Summary!$T$11/(1-Summary!$T$11),(T172+R172+G172)*Summary!$U$11/(1-Summary!$U$11)))</f>
        <v>#N/A</v>
      </c>
      <c r="W172" s="202" t="e">
        <f aca="false">IF($A173="","",(T172+R172+G172+V172))</f>
        <v>#N/A</v>
      </c>
      <c r="X172" s="202" t="e">
        <f aca="false">IF($A173="","",(U172+S172+H172+V172))</f>
        <v>#N/A</v>
      </c>
      <c r="Y172" s="202"/>
      <c r="Z172" s="185" t="e">
        <f aca="false">IF($A173="","",VLOOKUP($A172,Table,MATCH(Z$4,Curves,0)))</f>
        <v>#N/A</v>
      </c>
      <c r="AA172" s="185" t="e">
        <f aca="false">IF($A173="","",VLOOKUP($A172,Table,MATCH(AA$4,Curves,0)))</f>
        <v>#N/A</v>
      </c>
      <c r="AB172" s="185" t="e">
        <f aca="false">SQRT((AA172^2*(A172-$D$3)+Z172^2*(DAY(EOMONTH(A172,0))/2))/AK172)</f>
        <v>#N/A</v>
      </c>
      <c r="AC172" s="185" t="e">
        <f aca="false">IF($A173="","",VLOOKUP($A172,Table,MATCH(AC$4,Curves,0)))</f>
        <v>#N/A</v>
      </c>
      <c r="AD172" s="185" t="e">
        <f aca="false">IF($A173="","",VLOOKUP($A172,Table,MATCH(AD$4,Curves,0)))</f>
        <v>#N/A</v>
      </c>
      <c r="AE172" s="185" t="e">
        <f aca="false">SQRT((AD172^2*(A172-$D$3)+AC172^2*(DAY(EOMONTH(A172,0))/2))/AK172)</f>
        <v>#N/A</v>
      </c>
      <c r="AF172" s="206" t="e">
        <f aca="false">((Summary!$N$11*(AA172*AD172)*(A172-$D$3))+(Summary!$M$11*Z172*AC172*(AJ172-EOMONTH(EDATE(A172,-1),0))))/(AK172*AB172*AE172)</f>
        <v>#N/A</v>
      </c>
      <c r="AG172" s="207" t="n">
        <f aca="false">IF($A173="","",Summary!$Q$11)</f>
        <v>0</v>
      </c>
      <c r="AH172" s="207" t="n">
        <f aca="false">IF($A173="","",IF(Summary!$R$11="Y",(VLOOKUP($A172,Summary!$AD$6:$AF$9,3)+'Escalating commodity'!G185),'Escalating commodity'!G185))</f>
        <v>0.00628655883913434</v>
      </c>
      <c r="AI172" s="207" t="n">
        <f aca="false">IF($A173="","",AH172)</f>
        <v>0.00628655883913434</v>
      </c>
      <c r="AJ172" s="208" t="n">
        <f aca="false">A172+DAY(EOMONTH(A172,0))/2-1</f>
        <v>41988.5</v>
      </c>
      <c r="AK172" s="209" t="n">
        <f aca="false">IF($A173="","",$A172-$E$1)</f>
        <v>-3952</v>
      </c>
      <c r="AL172" s="182" t="e">
        <f aca="false">IF($A173="","",SPRDOPT(P172,X172,AI172,0,AB172,AE172,AF172,AK172,$AJ$2,0))</f>
        <v>#NAME?</v>
      </c>
      <c r="AM172" s="210" t="e">
        <f aca="false">IF($A173="","",MAX(0,O172-W172-AI172))</f>
        <v>#N/A</v>
      </c>
      <c r="AN172" s="211" t="e">
        <f aca="false">IF($A173="","",AL172-AM172)</f>
        <v>#N/A</v>
      </c>
      <c r="AO172" s="137" t="n">
        <f aca="false">IF(A173="","",A173-A172)</f>
        <v>31</v>
      </c>
      <c r="AP172" s="212" t="n">
        <f aca="false">IF(A173="","",CHOOSE(F$3,A173+24,A172))</f>
        <v>41974</v>
      </c>
      <c r="AQ172" s="209" t="n">
        <f aca="false">IF(A173="","",AP172-$E$1)</f>
        <v>-3952</v>
      </c>
      <c r="AR172" s="185" t="n">
        <f aca="false">'ANR OK vs ML7'!AR172</f>
        <v>0.1</v>
      </c>
      <c r="AS172" s="213" t="n">
        <f aca="false">IF(A173="","",1/(1+CHOOSE(F$3,(AR173+($I$3/10000))/2,(AR172+($I$3/10000))/2))^(2*AQ172/365.25))</f>
        <v>2.87432486418743</v>
      </c>
      <c r="AT172" s="137" t="n">
        <f aca="false">IF(A173="","",IF(AND(mthbeg&lt;=A172,mthend&gt;=A172),1,0))</f>
        <v>1</v>
      </c>
      <c r="AU172" s="137" t="n">
        <f aca="false">IF(A173="","",AO172*AT172)</f>
        <v>31</v>
      </c>
      <c r="AW172" s="195" t="e">
        <f aca="false">IF($A173="","",AL172*$E172)</f>
        <v>#NAME?</v>
      </c>
      <c r="AX172" s="195" t="e">
        <f aca="false">IF($A173="","",AM172*$E172)</f>
        <v>#N/A</v>
      </c>
      <c r="AY172" s="195" t="e">
        <f aca="false">IF($A173="","",AN172*$E172)</f>
        <v>#N/A</v>
      </c>
      <c r="BA172" s="195" t="n">
        <f aca="false">IF($A173="","",F172*Summary!$Q$11)</f>
        <v>0</v>
      </c>
      <c r="BC172" s="179" t="e">
        <f aca="false">IF(A173="","",AM172*F172)</f>
        <v>#N/A</v>
      </c>
    </row>
    <row r="173" customFormat="false" ht="12" hidden="false" customHeight="true" outlineLevel="0" collapsed="false">
      <c r="A173" s="196" t="n">
        <f aca="false">IF(A172&lt;mthend,EDATE(A172,1),"")</f>
        <v>42005</v>
      </c>
      <c r="B173" s="197" t="n">
        <f aca="false">IF(A173&lt;mthend,B172,"")</f>
        <v>124142</v>
      </c>
      <c r="C173" s="215"/>
      <c r="D173" s="197" t="n">
        <f aca="false">IF(A174&lt;&gt;"",B173+C173,"")</f>
        <v>124142</v>
      </c>
      <c r="E173" s="199" t="n">
        <f aca="false">IF(A174="","",IF(AND(AT173=1,$H$3=1),D173*AO173,IF($H$3=2,D173,"N/A")))</f>
        <v>3848402</v>
      </c>
      <c r="F173" s="199" t="n">
        <f aca="false">IF(A174="","",E173*AS173)</f>
        <v>10970324.3657283</v>
      </c>
      <c r="G173" s="200" t="e">
        <f aca="false">IF($A174="","",VLOOKUP($A173,Table,MATCH(G$4,Curves,0)))</f>
        <v>#N/A</v>
      </c>
      <c r="H173" s="201" t="e">
        <f aca="false">IF(A174="","",G173)</f>
        <v>#N/A</v>
      </c>
      <c r="I173" s="202"/>
      <c r="J173" s="227" t="e">
        <f aca="false">J161</f>
        <v>#N/A</v>
      </c>
      <c r="K173" s="201" t="e">
        <f aca="false">IF(A174="","",J173)</f>
        <v>#N/A</v>
      </c>
      <c r="L173" s="200" t="e">
        <f aca="false">IF($A174="","",VLOOKUP($A173,Table,MATCH(L$4,Curves,0)))</f>
        <v>#N/A</v>
      </c>
      <c r="M173" s="201" t="e">
        <f aca="false">IF(A174="","",L173)</f>
        <v>#N/A</v>
      </c>
      <c r="N173" s="203"/>
      <c r="O173" s="200" t="e">
        <f aca="false">IF(A174="","",L173+J173+G173)</f>
        <v>#N/A</v>
      </c>
      <c r="P173" s="200" t="e">
        <f aca="false">IF(A174="","",M173+K173+H173)</f>
        <v>#N/A</v>
      </c>
      <c r="Q173" s="204"/>
      <c r="R173" s="227" t="e">
        <f aca="false">R161</f>
        <v>#N/A</v>
      </c>
      <c r="S173" s="201" t="e">
        <f aca="false">IF(A174="","",R173)</f>
        <v>#N/A</v>
      </c>
      <c r="T173" s="185" t="n">
        <v>0</v>
      </c>
      <c r="U173" s="201" t="n">
        <f aca="false">IF(A174="","",T173)</f>
        <v>0</v>
      </c>
      <c r="V173" s="205" t="e">
        <f aca="false">IF($A174="","",IF(AND(MONTH(A173)&gt;3,MONTH(A173)&lt;11),(T173+R173+G173)*Summary!$T$11/(1-Summary!$T$11),(T173+R173+G173)*Summary!$U$11/(1-Summary!$U$11)))</f>
        <v>#N/A</v>
      </c>
      <c r="W173" s="202" t="e">
        <f aca="false">IF($A174="","",(T173+R173+G173+V173))</f>
        <v>#N/A</v>
      </c>
      <c r="X173" s="202" t="e">
        <f aca="false">IF($A174="","",(U173+S173+H173+V173))</f>
        <v>#N/A</v>
      </c>
      <c r="Y173" s="202"/>
      <c r="Z173" s="185" t="e">
        <f aca="false">IF($A174="","",VLOOKUP($A173,Table,MATCH(Z$4,Curves,0)))</f>
        <v>#N/A</v>
      </c>
      <c r="AA173" s="185" t="e">
        <f aca="false">IF($A174="","",VLOOKUP($A173,Table,MATCH(AA$4,Curves,0)))</f>
        <v>#N/A</v>
      </c>
      <c r="AB173" s="185" t="e">
        <f aca="false">SQRT((AA173^2*(A173-$D$3)+Z173^2*(DAY(EOMONTH(A173,0))/2))/AK173)</f>
        <v>#N/A</v>
      </c>
      <c r="AC173" s="185" t="e">
        <f aca="false">IF($A174="","",VLOOKUP($A173,Table,MATCH(AC$4,Curves,0)))</f>
        <v>#N/A</v>
      </c>
      <c r="AD173" s="185" t="e">
        <f aca="false">IF($A174="","",VLOOKUP($A173,Table,MATCH(AD$4,Curves,0)))</f>
        <v>#N/A</v>
      </c>
      <c r="AE173" s="185" t="e">
        <f aca="false">SQRT((AD173^2*(A173-$D$3)+AC173^2*(DAY(EOMONTH(A173,0))/2))/AK173)</f>
        <v>#N/A</v>
      </c>
      <c r="AF173" s="206" t="e">
        <f aca="false">((Summary!$N$11*(AA173*AD173)*(A173-$D$3))+(Summary!$M$11*Z173*AC173*(AJ173-EOMONTH(EDATE(A173,-1),0))))/(AK173*AB173*AE173)</f>
        <v>#N/A</v>
      </c>
      <c r="AG173" s="207" t="n">
        <f aca="false">IF($A174="","",Summary!$Q$11)</f>
        <v>0</v>
      </c>
      <c r="AH173" s="207" t="n">
        <f aca="false">IF($A174="","",IF(Summary!$R$11="Y",(VLOOKUP($A173,Summary!$AD$6:$AF$9,3)+'Escalating commodity'!G186),'Escalating commodity'!G186))</f>
        <v>0</v>
      </c>
      <c r="AI173" s="207" t="n">
        <f aca="false">IF($A174="","",AH173)</f>
        <v>0</v>
      </c>
      <c r="AJ173" s="208" t="n">
        <f aca="false">A173+DAY(EOMONTH(A173,0))/2-1</f>
        <v>42019.5</v>
      </c>
      <c r="AK173" s="209" t="n">
        <f aca="false">IF($A174="","",$A173-$E$1)</f>
        <v>-3921</v>
      </c>
      <c r="AL173" s="182" t="e">
        <f aca="false">IF($A174="","",SPRDOPT(P173,X173,AI173,0,AB173,AE173,AF173,AK173,$AJ$2,0))</f>
        <v>#NAME?</v>
      </c>
      <c r="AM173" s="210" t="e">
        <f aca="false">IF($A174="","",MAX(0,O173-W173-AI173))</f>
        <v>#N/A</v>
      </c>
      <c r="AN173" s="211" t="e">
        <f aca="false">IF($A174="","",AL173-AM173)</f>
        <v>#N/A</v>
      </c>
      <c r="AO173" s="137" t="n">
        <f aca="false">IF(A174="","",A174-A173)</f>
        <v>31</v>
      </c>
      <c r="AP173" s="212" t="n">
        <f aca="false">IF(A174="","",CHOOSE(F$3,A174+24,A173))</f>
        <v>42005</v>
      </c>
      <c r="AQ173" s="209" t="n">
        <f aca="false">IF(A174="","",AP173-$E$1)</f>
        <v>-3921</v>
      </c>
      <c r="AR173" s="185" t="n">
        <f aca="false">'ANR OK vs ML7'!AR173</f>
        <v>0.1</v>
      </c>
      <c r="AS173" s="213" t="n">
        <f aca="false">IF(A174="","",1/(1+CHOOSE(F$3,(AR174+($I$3/10000))/2,(AR173+($I$3/10000))/2))^(2*AQ173/365.25))</f>
        <v>2.85061809180233</v>
      </c>
      <c r="AT173" s="137" t="n">
        <f aca="false">IF(A174="","",IF(AND(mthbeg&lt;=A173,mthend&gt;=A173),1,0))</f>
        <v>1</v>
      </c>
      <c r="AU173" s="137" t="n">
        <f aca="false">IF(A174="","",AO173*AT173)</f>
        <v>31</v>
      </c>
      <c r="AW173" s="195" t="e">
        <f aca="false">IF($A174="","",AL173*$E173)</f>
        <v>#NAME?</v>
      </c>
      <c r="AX173" s="195" t="e">
        <f aca="false">IF($A174="","",AM173*$E173)</f>
        <v>#N/A</v>
      </c>
      <c r="AY173" s="195" t="e">
        <f aca="false">IF($A174="","",AN173*$E173)</f>
        <v>#N/A</v>
      </c>
      <c r="BA173" s="195" t="n">
        <f aca="false">IF($A174="","",F173*Summary!$Q$11)</f>
        <v>0</v>
      </c>
      <c r="BC173" s="179" t="e">
        <f aca="false">IF(A174="","",AM173*F173)</f>
        <v>#N/A</v>
      </c>
    </row>
    <row r="174" customFormat="false" ht="12" hidden="false" customHeight="true" outlineLevel="0" collapsed="false">
      <c r="A174" s="196" t="n">
        <f aca="false">IF(A173&lt;mthend,EDATE(A173,1),"")</f>
        <v>42036</v>
      </c>
      <c r="B174" s="197" t="n">
        <f aca="false">IF(A174&lt;mthend,B173,"")</f>
        <v>124142</v>
      </c>
      <c r="C174" s="215"/>
      <c r="D174" s="197" t="n">
        <f aca="false">IF(A175&lt;&gt;"",B174+C174,"")</f>
        <v>124142</v>
      </c>
      <c r="E174" s="199" t="n">
        <f aca="false">IF(A175="","",IF(AND(AT174=1,$H$3=1),D174*AO174,IF($H$3=2,D174,"N/A")))</f>
        <v>3475976</v>
      </c>
      <c r="F174" s="199" t="n">
        <f aca="false">IF(A175="","",E174*AS174)</f>
        <v>9826955.55113639</v>
      </c>
      <c r="G174" s="200" t="e">
        <f aca="false">IF($A175="","",VLOOKUP($A174,Table,MATCH(G$4,Curves,0)))</f>
        <v>#N/A</v>
      </c>
      <c r="H174" s="201" t="e">
        <f aca="false">IF(A175="","",G174)</f>
        <v>#N/A</v>
      </c>
      <c r="I174" s="202"/>
      <c r="J174" s="227" t="e">
        <f aca="false">J162</f>
        <v>#N/A</v>
      </c>
      <c r="K174" s="201" t="e">
        <f aca="false">IF(A175="","",J174)</f>
        <v>#N/A</v>
      </c>
      <c r="L174" s="200" t="e">
        <f aca="false">IF($A175="","",VLOOKUP($A174,Table,MATCH(L$4,Curves,0)))</f>
        <v>#N/A</v>
      </c>
      <c r="M174" s="201" t="e">
        <f aca="false">IF(A175="","",L174)</f>
        <v>#N/A</v>
      </c>
      <c r="N174" s="203"/>
      <c r="O174" s="200" t="e">
        <f aca="false">IF(A175="","",L174+J174+G174)</f>
        <v>#N/A</v>
      </c>
      <c r="P174" s="200" t="e">
        <f aca="false">IF(A175="","",M174+K174+H174)</f>
        <v>#N/A</v>
      </c>
      <c r="Q174" s="204"/>
      <c r="R174" s="227" t="e">
        <f aca="false">R162</f>
        <v>#N/A</v>
      </c>
      <c r="S174" s="201" t="e">
        <f aca="false">IF(A175="","",R174)</f>
        <v>#N/A</v>
      </c>
      <c r="T174" s="185" t="n">
        <v>0</v>
      </c>
      <c r="U174" s="201" t="n">
        <f aca="false">IF(A175="","",T174)</f>
        <v>0</v>
      </c>
      <c r="V174" s="205" t="e">
        <f aca="false">IF($A175="","",IF(AND(MONTH(A174)&gt;3,MONTH(A174)&lt;11),(T174+R174+G174)*Summary!$T$11/(1-Summary!$T$11),(T174+R174+G174)*Summary!$U$11/(1-Summary!$U$11)))</f>
        <v>#N/A</v>
      </c>
      <c r="W174" s="202" t="e">
        <f aca="false">IF($A175="","",(T174+R174+G174+V174))</f>
        <v>#N/A</v>
      </c>
      <c r="X174" s="202" t="e">
        <f aca="false">IF($A175="","",(U174+S174+H174+V174))</f>
        <v>#N/A</v>
      </c>
      <c r="Y174" s="202"/>
      <c r="Z174" s="185" t="e">
        <f aca="false">IF($A175="","",VLOOKUP($A174,Table,MATCH(Z$4,Curves,0)))</f>
        <v>#N/A</v>
      </c>
      <c r="AA174" s="185" t="e">
        <f aca="false">IF($A175="","",VLOOKUP($A174,Table,MATCH(AA$4,Curves,0)))</f>
        <v>#N/A</v>
      </c>
      <c r="AB174" s="185" t="e">
        <f aca="false">SQRT((AA174^2*(A174-$D$3)+Z174^2*(DAY(EOMONTH(A174,0))/2))/AK174)</f>
        <v>#N/A</v>
      </c>
      <c r="AC174" s="185" t="e">
        <f aca="false">IF($A175="","",VLOOKUP($A174,Table,MATCH(AC$4,Curves,0)))</f>
        <v>#N/A</v>
      </c>
      <c r="AD174" s="185" t="e">
        <f aca="false">IF($A175="","",VLOOKUP($A174,Table,MATCH(AD$4,Curves,0)))</f>
        <v>#N/A</v>
      </c>
      <c r="AE174" s="185" t="e">
        <f aca="false">SQRT((AD174^2*(A174-$D$3)+AC174^2*(DAY(EOMONTH(A174,0))/2))/AK174)</f>
        <v>#N/A</v>
      </c>
      <c r="AF174" s="206" t="e">
        <f aca="false">((Summary!$N$11*(AA174*AD174)*(A174-$D$3))+(Summary!$M$11*Z174*AC174*(AJ174-EOMONTH(EDATE(A174,-1),0))))/(AK174*AB174*AE174)</f>
        <v>#N/A</v>
      </c>
      <c r="AG174" s="207" t="n">
        <f aca="false">IF($A175="","",Summary!$Q$11)</f>
        <v>0</v>
      </c>
      <c r="AH174" s="207" t="n">
        <f aca="false">IF($A175="","",IF(Summary!$R$11="Y",(VLOOKUP($A174,Summary!$AD$6:$AF$9,3)+'Escalating commodity'!G187),'Escalating commodity'!G187))</f>
        <v>0</v>
      </c>
      <c r="AI174" s="207" t="n">
        <f aca="false">IF($A175="","",AH174)</f>
        <v>0</v>
      </c>
      <c r="AJ174" s="208" t="n">
        <f aca="false">A174+DAY(EOMONTH(A174,0))/2-1</f>
        <v>42049</v>
      </c>
      <c r="AK174" s="209" t="n">
        <f aca="false">IF($A175="","",$A174-$E$1)</f>
        <v>-3890</v>
      </c>
      <c r="AL174" s="182" t="e">
        <f aca="false">IF($A175="","",SPRDOPT(P174,X174,AI174,0,AB174,AE174,AF174,AK174,$AJ$2,0))</f>
        <v>#NAME?</v>
      </c>
      <c r="AM174" s="210" t="e">
        <f aca="false">IF($A175="","",MAX(0,O174-W174-AI174))</f>
        <v>#N/A</v>
      </c>
      <c r="AN174" s="211" t="e">
        <f aca="false">IF($A175="","",AL174-AM174)</f>
        <v>#N/A</v>
      </c>
      <c r="AO174" s="137" t="n">
        <f aca="false">IF(A175="","",A175-A174)</f>
        <v>28</v>
      </c>
      <c r="AP174" s="212" t="n">
        <f aca="false">IF(A175="","",CHOOSE(F$3,A175+24,A174))</f>
        <v>42036</v>
      </c>
      <c r="AQ174" s="209" t="n">
        <f aca="false">IF(A175="","",AP174-$E$1)</f>
        <v>-3890</v>
      </c>
      <c r="AR174" s="185" t="n">
        <f aca="false">'ANR OK vs ML7'!AR174</f>
        <v>0.1</v>
      </c>
      <c r="AS174" s="213" t="n">
        <f aca="false">IF(A175="","",1/(1+CHOOSE(F$3,(AR175+($I$3/10000))/2,(AR174+($I$3/10000))/2))^(2*AQ174/365.25))</f>
        <v>2.8271068474398</v>
      </c>
      <c r="AT174" s="137" t="n">
        <f aca="false">IF(A175="","",IF(AND(mthbeg&lt;=A174,mthend&gt;=A174),1,0))</f>
        <v>1</v>
      </c>
      <c r="AU174" s="137" t="n">
        <f aca="false">IF(A175="","",AO174*AT174)</f>
        <v>28</v>
      </c>
      <c r="AW174" s="195" t="e">
        <f aca="false">IF($A175="","",AL174*$E174)</f>
        <v>#NAME?</v>
      </c>
      <c r="AX174" s="195" t="e">
        <f aca="false">IF($A175="","",AM174*$E174)</f>
        <v>#N/A</v>
      </c>
      <c r="AY174" s="195" t="e">
        <f aca="false">IF($A175="","",AN174*$E174)</f>
        <v>#N/A</v>
      </c>
      <c r="BA174" s="195" t="n">
        <f aca="false">IF($A175="","",F174*Summary!$Q$11)</f>
        <v>0</v>
      </c>
    </row>
    <row r="175" customFormat="false" ht="12" hidden="false" customHeight="true" outlineLevel="0" collapsed="false">
      <c r="A175" s="196" t="n">
        <f aca="false">IF(A174&lt;mthend,EDATE(A174,1),"")</f>
        <v>42064</v>
      </c>
      <c r="B175" s="197" t="n">
        <f aca="false">IF(A175&lt;mthend,B174,"")</f>
        <v>124142</v>
      </c>
      <c r="C175" s="215"/>
      <c r="D175" s="197" t="n">
        <f aca="false">IF(A176&lt;&gt;"",B175+C175,"")</f>
        <v>124142</v>
      </c>
      <c r="E175" s="199" t="n">
        <f aca="false">IF(A176="","",IF(AND(AT175=1,$H$3=1),D175*AO175,IF($H$3=2,D175,"N/A")))</f>
        <v>3848402</v>
      </c>
      <c r="F175" s="199" t="n">
        <f aca="false">IF(A176="","",E175*AS175)</f>
        <v>10798760.7258356</v>
      </c>
      <c r="G175" s="200" t="e">
        <f aca="false">IF($A176="","",VLOOKUP($A175,Table,MATCH(G$4,Curves,0)))</f>
        <v>#N/A</v>
      </c>
      <c r="H175" s="201" t="e">
        <f aca="false">IF(A176="","",G175)</f>
        <v>#N/A</v>
      </c>
      <c r="I175" s="202"/>
      <c r="J175" s="227" t="e">
        <f aca="false">J163</f>
        <v>#N/A</v>
      </c>
      <c r="K175" s="201" t="e">
        <f aca="false">IF(A176="","",J175)</f>
        <v>#N/A</v>
      </c>
      <c r="L175" s="200" t="e">
        <f aca="false">IF($A176="","",VLOOKUP($A175,Table,MATCH(L$4,Curves,0)))</f>
        <v>#N/A</v>
      </c>
      <c r="M175" s="201" t="e">
        <f aca="false">IF(A176="","",L175)</f>
        <v>#N/A</v>
      </c>
      <c r="N175" s="203"/>
      <c r="O175" s="200" t="e">
        <f aca="false">IF(A176="","",L175+J175+G175)</f>
        <v>#N/A</v>
      </c>
      <c r="P175" s="200" t="e">
        <f aca="false">IF(A176="","",M175+K175+H175)</f>
        <v>#N/A</v>
      </c>
      <c r="Q175" s="204"/>
      <c r="R175" s="227" t="e">
        <f aca="false">R163</f>
        <v>#N/A</v>
      </c>
      <c r="S175" s="201" t="e">
        <f aca="false">IF(A176="","",R175)</f>
        <v>#N/A</v>
      </c>
      <c r="T175" s="185" t="n">
        <v>0</v>
      </c>
      <c r="U175" s="201" t="n">
        <f aca="false">IF(A176="","",T175)</f>
        <v>0</v>
      </c>
      <c r="V175" s="205" t="e">
        <f aca="false">IF($A176="","",IF(AND(MONTH(A175)&gt;3,MONTH(A175)&lt;11),(T175+R175+G175)*Summary!$T$11/(1-Summary!$T$11),(T175+R175+G175)*Summary!$U$11/(1-Summary!$U$11)))</f>
        <v>#N/A</v>
      </c>
      <c r="W175" s="202" t="e">
        <f aca="false">IF($A176="","",(T175+R175+G175+V175))</f>
        <v>#N/A</v>
      </c>
      <c r="X175" s="202" t="e">
        <f aca="false">IF($A176="","",(U175+S175+H175+V175))</f>
        <v>#N/A</v>
      </c>
      <c r="Y175" s="202"/>
      <c r="Z175" s="185" t="e">
        <f aca="false">IF($A176="","",VLOOKUP($A175,Table,MATCH(Z$4,Curves,0)))</f>
        <v>#N/A</v>
      </c>
      <c r="AA175" s="185" t="e">
        <f aca="false">IF($A176="","",VLOOKUP($A175,Table,MATCH(AA$4,Curves,0)))</f>
        <v>#N/A</v>
      </c>
      <c r="AB175" s="185" t="e">
        <f aca="false">SQRT((AA175^2*(A175-$D$3)+Z175^2*(DAY(EOMONTH(A175,0))/2))/AK175)</f>
        <v>#N/A</v>
      </c>
      <c r="AC175" s="185" t="e">
        <f aca="false">IF($A176="","",VLOOKUP($A175,Table,MATCH(AC$4,Curves,0)))</f>
        <v>#N/A</v>
      </c>
      <c r="AD175" s="185" t="e">
        <f aca="false">IF($A176="","",VLOOKUP($A175,Table,MATCH(AD$4,Curves,0)))</f>
        <v>#N/A</v>
      </c>
      <c r="AE175" s="185" t="e">
        <f aca="false">SQRT((AD175^2*(A175-$D$3)+AC175^2*(DAY(EOMONTH(A175,0))/2))/AK175)</f>
        <v>#N/A</v>
      </c>
      <c r="AF175" s="206" t="e">
        <f aca="false">((Summary!$N$11*(AA175*AD175)*(A175-$D$3))+(Summary!$M$11*Z175*AC175*(AJ175-EOMONTH(EDATE(A175,-1),0))))/(AK175*AB175*AE175)</f>
        <v>#N/A</v>
      </c>
      <c r="AG175" s="207" t="n">
        <f aca="false">IF($A176="","",Summary!$Q$11)</f>
        <v>0</v>
      </c>
      <c r="AH175" s="207" t="n">
        <f aca="false">IF($A176="","",IF(Summary!$R$11="Y",(VLOOKUP($A175,Summary!$AD$6:$AF$9,3)+'Escalating commodity'!G188),'Escalating commodity'!G188))</f>
        <v>0</v>
      </c>
      <c r="AI175" s="207" t="n">
        <f aca="false">IF($A176="","",AH175)</f>
        <v>0</v>
      </c>
      <c r="AJ175" s="208" t="n">
        <f aca="false">A175+DAY(EOMONTH(A175,0))/2-1</f>
        <v>42078.5</v>
      </c>
      <c r="AK175" s="209" t="n">
        <f aca="false">IF($A176="","",$A175-$E$1)</f>
        <v>-3862</v>
      </c>
      <c r="AL175" s="182" t="e">
        <f aca="false">IF($A176="","",SPRDOPT(P175,X175,AI175,0,AB175,AE175,AF175,AK175,$AJ$2,0))</f>
        <v>#NAME?</v>
      </c>
      <c r="AM175" s="210" t="e">
        <f aca="false">IF($A176="","",MAX(0,O175-W175-AI175))</f>
        <v>#N/A</v>
      </c>
      <c r="AN175" s="211" t="e">
        <f aca="false">IF($A176="","",AL175-AM175)</f>
        <v>#N/A</v>
      </c>
      <c r="AO175" s="137" t="n">
        <f aca="false">IF(A176="","",A176-A175)</f>
        <v>31</v>
      </c>
      <c r="AP175" s="212" t="n">
        <f aca="false">IF(A176="","",CHOOSE(F$3,A176+24,A175))</f>
        <v>42064</v>
      </c>
      <c r="AQ175" s="209" t="n">
        <f aca="false">IF(A176="","",AP175-$E$1)</f>
        <v>-3862</v>
      </c>
      <c r="AR175" s="185" t="n">
        <f aca="false">'ANR OK vs ML7'!AR175</f>
        <v>0.1</v>
      </c>
      <c r="AS175" s="213" t="n">
        <f aca="false">IF(A176="","",1/(1+CHOOSE(F$3,(AR176+($I$3/10000))/2,(AR175+($I$3/10000))/2))^(2*AQ175/365.25))</f>
        <v>2.80603760361718</v>
      </c>
      <c r="AT175" s="137" t="n">
        <f aca="false">IF(A176="","",IF(AND(mthbeg&lt;=A175,mthend&gt;=A175),1,0))</f>
        <v>1</v>
      </c>
      <c r="AU175" s="137" t="n">
        <f aca="false">IF(A176="","",AO175*AT175)</f>
        <v>31</v>
      </c>
      <c r="AW175" s="195" t="e">
        <f aca="false">IF($A176="","",AL175*$E175)</f>
        <v>#NAME?</v>
      </c>
      <c r="AX175" s="195" t="e">
        <f aca="false">IF($A176="","",AM175*$E175)</f>
        <v>#N/A</v>
      </c>
      <c r="AY175" s="195" t="e">
        <f aca="false">IF($A176="","",AN175*$E175)</f>
        <v>#N/A</v>
      </c>
      <c r="BA175" s="195" t="n">
        <f aca="false">IF($A176="","",F175*Summary!$Q$11)</f>
        <v>0</v>
      </c>
    </row>
    <row r="176" customFormat="false" ht="12" hidden="false" customHeight="true" outlineLevel="0" collapsed="false">
      <c r="A176" s="196" t="n">
        <f aca="false">IF(A175&lt;mthend,EDATE(A175,1),"")</f>
        <v>42095</v>
      </c>
      <c r="B176" s="197" t="str">
        <f aca="false">IF(A176&lt;mthend,B175,"")</f>
        <v/>
      </c>
      <c r="C176" s="215"/>
      <c r="D176" s="197" t="str">
        <f aca="false">IF(A177&lt;&gt;"",B176+C176,"")</f>
        <v/>
      </c>
      <c r="E176" s="199" t="str">
        <f aca="false">IF(A177="","",IF(AND(AT176=1,$H$3=1),D176*AO176,IF($H$3=2,D176,"N/A")))</f>
        <v/>
      </c>
      <c r="F176" s="199" t="str">
        <f aca="false">IF(A177="","",E176*AS176)</f>
        <v/>
      </c>
      <c r="G176" s="200" t="str">
        <f aca="false">IF($A177="","",VLOOKUP($A176,Table,MATCH(G$4,Curves,0)))</f>
        <v/>
      </c>
      <c r="H176" s="201" t="str">
        <f aca="false">IF(A177="","",G176)</f>
        <v/>
      </c>
      <c r="I176" s="202"/>
      <c r="J176" s="200" t="str">
        <f aca="false">IF($A177="","",VLOOKUP($A176,Table,MATCH(J$4,Curves,0)))</f>
        <v/>
      </c>
      <c r="K176" s="201" t="str">
        <f aca="false">IF(A177="","",J176)</f>
        <v/>
      </c>
      <c r="L176" s="200" t="str">
        <f aca="false">IF($A177="","",VLOOKUP($A176,Table,MATCH(L$4,Curves,0)))</f>
        <v/>
      </c>
      <c r="M176" s="201" t="str">
        <f aca="false">IF(A177="","",L176)</f>
        <v/>
      </c>
      <c r="N176" s="203"/>
      <c r="O176" s="200" t="str">
        <f aca="false">IF(A177="","",L176+J176+G176)</f>
        <v/>
      </c>
      <c r="P176" s="200" t="str">
        <f aca="false">IF(A177="","",M176+K176+H176)</f>
        <v/>
      </c>
      <c r="Q176" s="204"/>
      <c r="R176" s="200" t="str">
        <f aca="false">IF($A177="","",VLOOKUP($A176,Table,MATCH(R$4,Curves,0)))</f>
        <v/>
      </c>
      <c r="S176" s="201" t="str">
        <f aca="false">IF(A177="","",R176)</f>
        <v/>
      </c>
      <c r="T176" s="185" t="n">
        <v>0</v>
      </c>
      <c r="U176" s="201" t="str">
        <f aca="false">IF(A177="","",T176)</f>
        <v/>
      </c>
      <c r="V176" s="205" t="str">
        <f aca="false">IF($A177="","",IF(AND(MONTH(A176)&gt;3,MONTH(A176)&lt;11),(T176+R176+G176)*Summary!$T$11/(1-Summary!$T$11),(T176+R176+G176)*Summary!$U$11/(1-Summary!$U$11)))</f>
        <v/>
      </c>
      <c r="W176" s="202" t="str">
        <f aca="false">IF($A177="","",(T176+R176+G176+V176))</f>
        <v/>
      </c>
      <c r="X176" s="202" t="str">
        <f aca="false">IF($A177="","",(U176+S176+H176+V176))</f>
        <v/>
      </c>
      <c r="Y176" s="202"/>
      <c r="Z176" s="185" t="str">
        <f aca="false">IF($A177="","",VLOOKUP($A176,Table,MATCH(Z$4,Curves,0)))</f>
        <v/>
      </c>
      <c r="AA176" s="185" t="str">
        <f aca="false">IF($A177="","",VLOOKUP($A176,Table,MATCH(AA$4,Curves,0)))</f>
        <v/>
      </c>
      <c r="AB176" s="185" t="e">
        <f aca="false">SQRT((AA176^2*(A176-$D$3)+Z176^2*(DAY(EOMONTH(A176,0))/2))/AK176)</f>
        <v>#VALUE!</v>
      </c>
      <c r="AC176" s="185" t="str">
        <f aca="false">IF($A177="","",VLOOKUP($A176,Table,MATCH(AC$4,Curves,0)))</f>
        <v/>
      </c>
      <c r="AD176" s="185" t="str">
        <f aca="false">IF($A177="","",VLOOKUP($A176,Table,MATCH(AD$4,Curves,0)))</f>
        <v/>
      </c>
      <c r="AE176" s="185" t="e">
        <f aca="false">SQRT((AD176^2*(A176-$D$3)+AC176^2*(DAY(EOMONTH(A176,0))/2))/AK176)</f>
        <v>#VALUE!</v>
      </c>
      <c r="AF176" s="206" t="e">
        <f aca="false">((Summary!$N$11*(AA176*AD176)*(A176-$D$3))+(Summary!$M$11*Z176*AC176*(AJ176-EOMONTH(EDATE(A176,-1),0))))/(AK176*AB176*AE176)</f>
        <v>#VALUE!</v>
      </c>
      <c r="AG176" s="207" t="str">
        <f aca="false">IF($A177="","",Summary!$Q$11)</f>
        <v/>
      </c>
      <c r="AH176" s="207" t="str">
        <f aca="false">IF($A177="","",IF(Summary!$R$11="Y",(VLOOKUP($A176,Summary!$AD$6:$AF$9,3)+'Escalating commodity'!G189),'Escalating commodity'!G189))</f>
        <v/>
      </c>
      <c r="AI176" s="207" t="str">
        <f aca="false">IF($A177="","",AH176)</f>
        <v/>
      </c>
      <c r="AJ176" s="208" t="n">
        <f aca="false">A176+DAY(EOMONTH(A176,0))/2-1</f>
        <v>42109</v>
      </c>
      <c r="AK176" s="209" t="str">
        <f aca="false">IF($A177="","",$A176-$E$1)</f>
        <v/>
      </c>
      <c r="AL176" s="182" t="str">
        <f aca="false">IF($A177="","",SPRDOPT(P176,X176,AI176,0,AB176,AE176,AF176,AK176,$AJ$2,0))</f>
        <v/>
      </c>
      <c r="AM176" s="210" t="str">
        <f aca="false">IF($A177="","",MAX(0,O176-W176-AI176))</f>
        <v/>
      </c>
      <c r="AN176" s="211" t="str">
        <f aca="false">IF($A177="","",AL176-AM176)</f>
        <v/>
      </c>
      <c r="AO176" s="137" t="str">
        <f aca="false">IF(A177="","",A177-A176)</f>
        <v/>
      </c>
      <c r="AP176" s="212" t="str">
        <f aca="false">IF(A177="","",CHOOSE(F$3,A177+24,A176))</f>
        <v/>
      </c>
      <c r="AQ176" s="209" t="str">
        <f aca="false">IF(A177="","",AP176-$E$1)</f>
        <v/>
      </c>
      <c r="AR176" s="185" t="n">
        <f aca="false">'ANR OK vs ML7'!AR176</f>
        <v>0.1</v>
      </c>
      <c r="AS176" s="213" t="str">
        <f aca="false">IF(A177="","",1/(1+CHOOSE(F$3,(AR177+($I$3/10000))/2,(AR176+($I$3/10000))/2))^(2*AQ176/365.25))</f>
        <v/>
      </c>
      <c r="AT176" s="137" t="str">
        <f aca="false">IF(A177="","",IF(AND(mthbeg&lt;=A176,mthend&gt;=A176),1,0))</f>
        <v/>
      </c>
      <c r="AU176" s="137" t="str">
        <f aca="false">IF(A177="","",AO176*AT176)</f>
        <v/>
      </c>
      <c r="AW176" s="195" t="str">
        <f aca="false">IF($A177="","",AL176*$E176)</f>
        <v/>
      </c>
      <c r="AX176" s="195" t="str">
        <f aca="false">IF($A177="","",AM176*$E176)</f>
        <v/>
      </c>
      <c r="AY176" s="195" t="str">
        <f aca="false">IF($A177="","",AN176*$E176)</f>
        <v/>
      </c>
      <c r="BA176" s="195" t="str">
        <f aca="false">IF($A177="","",F176*Summary!$Q$11)</f>
        <v/>
      </c>
    </row>
    <row r="177" customFormat="false" ht="12" hidden="false" customHeight="true" outlineLevel="0" collapsed="false">
      <c r="A177" s="196" t="str">
        <f aca="false">IF(A176&lt;mthend,EDATE(A176,1),"")</f>
        <v/>
      </c>
      <c r="B177" s="197" t="str">
        <f aca="false">IF(A177&lt;mthend,B176,"")</f>
        <v/>
      </c>
      <c r="C177" s="215"/>
      <c r="D177" s="197" t="str">
        <f aca="false">IF(A178&lt;&gt;"",B177+C177,"")</f>
        <v/>
      </c>
      <c r="E177" s="199" t="str">
        <f aca="false">IF(A178="","",IF(AND(AT177=1,$H$3=1),D177*AO177,IF($H$3=2,D177,"N/A")))</f>
        <v/>
      </c>
      <c r="F177" s="199" t="str">
        <f aca="false">IF(A178="","",E177*AS177)</f>
        <v/>
      </c>
      <c r="G177" s="200" t="str">
        <f aca="false">IF($A178="","",VLOOKUP($A177,Table,MATCH(G$4,Curves,0)))</f>
        <v/>
      </c>
      <c r="H177" s="201" t="str">
        <f aca="false">IF(A178="","",G177)</f>
        <v/>
      </c>
      <c r="I177" s="202"/>
      <c r="J177" s="200" t="str">
        <f aca="false">IF($A178="","",VLOOKUP($A177,Table,MATCH(J$4,Curves,0)))</f>
        <v/>
      </c>
      <c r="K177" s="201" t="str">
        <f aca="false">IF(A178="","",J177)</f>
        <v/>
      </c>
      <c r="L177" s="200" t="str">
        <f aca="false">IF($A178="","",VLOOKUP($A177,Table,MATCH(L$4,Curves,0)))</f>
        <v/>
      </c>
      <c r="M177" s="201" t="str">
        <f aca="false">IF(A178="","",L177)</f>
        <v/>
      </c>
      <c r="N177" s="203"/>
      <c r="O177" s="200" t="str">
        <f aca="false">IF(A178="","",L177+J177+G177)</f>
        <v/>
      </c>
      <c r="P177" s="200" t="str">
        <f aca="false">IF(A178="","",M177+K177+H177)</f>
        <v/>
      </c>
      <c r="Q177" s="204"/>
      <c r="R177" s="200" t="str">
        <f aca="false">IF($A178="","",VLOOKUP($A177,Table,MATCH(R$4,Curves,0)))</f>
        <v/>
      </c>
      <c r="S177" s="201" t="str">
        <f aca="false">IF(A178="","",R177)</f>
        <v/>
      </c>
      <c r="T177" s="185" t="n">
        <v>0</v>
      </c>
      <c r="U177" s="201" t="str">
        <f aca="false">IF(A178="","",T177)</f>
        <v/>
      </c>
      <c r="V177" s="205" t="str">
        <f aca="false">IF($A178="","",IF(AND(MONTH(A177)&gt;3,MONTH(A177)&lt;11),(T177+R177+G177)*Summary!$T$11/(1-Summary!$T$11),(T177+R177+G177)*Summary!$U$11/(1-Summary!$U$11)))</f>
        <v/>
      </c>
      <c r="W177" s="202" t="str">
        <f aca="false">IF($A178="","",(T177+R177+G177+V177))</f>
        <v/>
      </c>
      <c r="X177" s="202" t="str">
        <f aca="false">IF($A178="","",(U177+S177+H177+V177))</f>
        <v/>
      </c>
      <c r="Y177" s="202"/>
      <c r="Z177" s="185" t="str">
        <f aca="false">IF($A178="","",VLOOKUP($A177,Table,MATCH(Z$4,Curves,0)))</f>
        <v/>
      </c>
      <c r="AA177" s="185" t="str">
        <f aca="false">IF($A178="","",VLOOKUP($A177,Table,MATCH(AA$4,Curves,0)))</f>
        <v/>
      </c>
      <c r="AB177" s="185" t="e">
        <f aca="false">SQRT((AA177^2*(A177-$D$3)+Z177^2*(DAY(EOMONTH(A177,0))/2))/AK177)</f>
        <v>#VALUE!</v>
      </c>
      <c r="AC177" s="185" t="str">
        <f aca="false">IF($A178="","",VLOOKUP($A177,Table,MATCH(AC$4,Curves,0)))</f>
        <v/>
      </c>
      <c r="AD177" s="185" t="str">
        <f aca="false">IF($A178="","",VLOOKUP($A177,Table,MATCH(AD$4,Curves,0)))</f>
        <v/>
      </c>
      <c r="AE177" s="185" t="e">
        <f aca="false">SQRT((AD177^2*(A177-$D$3)+AC177^2*(DAY(EOMONTH(A177,0))/2))/AK177)</f>
        <v>#VALUE!</v>
      </c>
      <c r="AF177" s="206" t="e">
        <f aca="false">((Summary!$N$11*(AA177*AD177)*(A177-$D$3))+(Summary!$M$11*Z177*AC177*(AJ177-EOMONTH(EDATE(A177,-1),0))))/(AK177*AB177*AE177)</f>
        <v>#VALUE!</v>
      </c>
      <c r="AG177" s="207" t="str">
        <f aca="false">IF($A178="","",Summary!$Q$11)</f>
        <v/>
      </c>
      <c r="AH177" s="207" t="str">
        <f aca="false">IF($A178="","",IF(Summary!$R$11="Y",(VLOOKUP($A177,Summary!$AD$6:$AF$9,3)+'Escalating commodity'!G190),'Escalating commodity'!G190))</f>
        <v/>
      </c>
      <c r="AI177" s="207" t="str">
        <f aca="false">IF($A178="","",AH177)</f>
        <v/>
      </c>
      <c r="AJ177" s="208" t="e">
        <f aca="false">A177+DAY(EOMONTH(A177,0))/2-1</f>
        <v>#VALUE!</v>
      </c>
      <c r="AK177" s="209" t="str">
        <f aca="false">IF($A178="","",$A177-$E$1)</f>
        <v/>
      </c>
      <c r="AL177" s="182" t="str">
        <f aca="false">IF($A178="","",SPRDOPT(P177,X177,AI177,0,AB177,AE177,AF177,AK177,$AJ$2,0))</f>
        <v/>
      </c>
      <c r="AM177" s="210" t="str">
        <f aca="false">IF($A178="","",MAX(0,O177-W177-AI177))</f>
        <v/>
      </c>
      <c r="AN177" s="211" t="str">
        <f aca="false">IF($A178="","",AL177-AM177)</f>
        <v/>
      </c>
      <c r="AO177" s="137" t="str">
        <f aca="false">IF(A178="","",A178-A177)</f>
        <v/>
      </c>
      <c r="AP177" s="212" t="str">
        <f aca="false">IF(A178="","",CHOOSE(F$3,A178+24,A177))</f>
        <v/>
      </c>
      <c r="AQ177" s="209" t="str">
        <f aca="false">IF(A178="","",AP177-$E$1)</f>
        <v/>
      </c>
      <c r="AR177" s="185" t="n">
        <f aca="false">'ANR OK vs ML7'!AR177</f>
        <v>0.1</v>
      </c>
      <c r="AS177" s="213" t="str">
        <f aca="false">IF(A178="","",1/(1+CHOOSE(F$3,(AR178+($I$3/10000))/2,(AR177+($I$3/10000))/2))^(2*AQ177/365.25))</f>
        <v/>
      </c>
      <c r="AT177" s="137" t="str">
        <f aca="false">IF(A178="","",IF(AND(mthbeg&lt;=A177,mthend&gt;=A177),1,0))</f>
        <v/>
      </c>
      <c r="AU177" s="137" t="str">
        <f aca="false">IF(A178="","",AO177*AT177)</f>
        <v/>
      </c>
      <c r="AW177" s="195" t="str">
        <f aca="false">IF($A178="","",AL177*$E177)</f>
        <v/>
      </c>
      <c r="AX177" s="195" t="str">
        <f aca="false">IF($A178="","",AM177*$E177)</f>
        <v/>
      </c>
      <c r="AY177" s="195" t="str">
        <f aca="false">IF($A178="","",AN177*$E177)</f>
        <v/>
      </c>
      <c r="BA177" s="195" t="str">
        <f aca="false">IF($A178="","",F177*Summary!$Q$11)</f>
        <v/>
      </c>
    </row>
    <row r="178" customFormat="false" ht="12" hidden="false" customHeight="true" outlineLevel="0" collapsed="false">
      <c r="A178" s="196" t="str">
        <f aca="false">IF(A177&lt;mthend,EDATE(A177,1),"")</f>
        <v/>
      </c>
      <c r="B178" s="197" t="str">
        <f aca="false">IF(A178&lt;mthend,B177,"")</f>
        <v/>
      </c>
      <c r="C178" s="215"/>
      <c r="D178" s="197" t="str">
        <f aca="false">IF(A179&lt;&gt;"",B178+C178,"")</f>
        <v/>
      </c>
      <c r="E178" s="199" t="str">
        <f aca="false">IF(A179="","",IF(AND(AT178=1,$H$3=1),D178*AO178,IF($H$3=2,D178,"N/A")))</f>
        <v/>
      </c>
      <c r="F178" s="199" t="str">
        <f aca="false">IF(A179="","",E178*AS178)</f>
        <v/>
      </c>
      <c r="G178" s="200" t="str">
        <f aca="false">IF($A179="","",VLOOKUP($A178,Table,MATCH(G$4,Curves,0)))</f>
        <v/>
      </c>
      <c r="H178" s="201" t="str">
        <f aca="false">IF(A179="","",G178)</f>
        <v/>
      </c>
      <c r="I178" s="202"/>
      <c r="J178" s="200" t="str">
        <f aca="false">IF($A179="","",VLOOKUP($A178,Table,MATCH(J$4,Curves,0)))</f>
        <v/>
      </c>
      <c r="K178" s="201" t="str">
        <f aca="false">IF(A179="","",J178)</f>
        <v/>
      </c>
      <c r="L178" s="200" t="str">
        <f aca="false">IF($A179="","",VLOOKUP($A178,Table,MATCH(L$4,Curves,0)))</f>
        <v/>
      </c>
      <c r="M178" s="201" t="str">
        <f aca="false">IF(A179="","",L178)</f>
        <v/>
      </c>
      <c r="N178" s="203"/>
      <c r="O178" s="200" t="str">
        <f aca="false">IF(A179="","",L178+J178+G178)</f>
        <v/>
      </c>
      <c r="P178" s="200" t="str">
        <f aca="false">IF(A179="","",M178+K178+H178)</f>
        <v/>
      </c>
      <c r="Q178" s="204"/>
      <c r="R178" s="200" t="str">
        <f aca="false">IF($A179="","",VLOOKUP($A178,Table,MATCH(R$4,Curves,0)))</f>
        <v/>
      </c>
      <c r="S178" s="201" t="str">
        <f aca="false">IF(A179="","",R178)</f>
        <v/>
      </c>
      <c r="T178" s="185" t="n">
        <v>0</v>
      </c>
      <c r="U178" s="201" t="str">
        <f aca="false">IF(A179="","",T178)</f>
        <v/>
      </c>
      <c r="V178" s="205" t="str">
        <f aca="false">IF($A179="","",IF(AND(MONTH(A178)&gt;3,MONTH(A178)&lt;11),(T178+R178+G178)*Summary!$T$11/(1-Summary!$T$11),(T178+R178+G178)*Summary!$U$11/(1-Summary!$U$11)))</f>
        <v/>
      </c>
      <c r="W178" s="202" t="str">
        <f aca="false">IF($A179="","",(T178+R178+G178+V178))</f>
        <v/>
      </c>
      <c r="X178" s="202" t="str">
        <f aca="false">IF($A179="","",(U178+S178+H178+V178))</f>
        <v/>
      </c>
      <c r="Y178" s="202"/>
      <c r="Z178" s="185" t="str">
        <f aca="false">IF($A179="","",VLOOKUP($A178,Table,MATCH(Z$4,Curves,0)))</f>
        <v/>
      </c>
      <c r="AA178" s="185" t="str">
        <f aca="false">IF($A179="","",VLOOKUP($A178,Table,MATCH(AA$4,Curves,0)))</f>
        <v/>
      </c>
      <c r="AB178" s="185" t="e">
        <f aca="false">SQRT((AA178^2*(A178-$D$3)+Z178^2*(DAY(EOMONTH(A178,0))/2))/AK178)</f>
        <v>#VALUE!</v>
      </c>
      <c r="AC178" s="185" t="str">
        <f aca="false">IF($A179="","",VLOOKUP($A178,Table,MATCH(AC$4,Curves,0)))</f>
        <v/>
      </c>
      <c r="AD178" s="185" t="str">
        <f aca="false">IF($A179="","",VLOOKUP($A178,Table,MATCH(AD$4,Curves,0)))</f>
        <v/>
      </c>
      <c r="AE178" s="185" t="e">
        <f aca="false">SQRT((AD178^2*(A178-$D$3)+AC178^2*(DAY(EOMONTH(A178,0))/2))/AK178)</f>
        <v>#VALUE!</v>
      </c>
      <c r="AF178" s="206" t="e">
        <f aca="false">((Summary!$N$11*(AA178*AD178)*(A178-$D$3))+(Summary!$M$11*Z178*AC178*(AJ178-EOMONTH(EDATE(A178,-1),0))))/(AK178*AB178*AE178)</f>
        <v>#VALUE!</v>
      </c>
      <c r="AG178" s="207" t="str">
        <f aca="false">IF($A179="","",Summary!$Q$11)</f>
        <v/>
      </c>
      <c r="AH178" s="207" t="str">
        <f aca="false">IF($A179="","",IF(Summary!$R$11="Y",(VLOOKUP($A178,Summary!$AD$6:$AF$9,3)+'Escalating commodity'!G191),'Escalating commodity'!G191))</f>
        <v/>
      </c>
      <c r="AI178" s="207" t="str">
        <f aca="false">IF($A179="","",AH178)</f>
        <v/>
      </c>
      <c r="AJ178" s="208" t="e">
        <f aca="false">A178+DAY(EOMONTH(A178,0))/2-1</f>
        <v>#VALUE!</v>
      </c>
      <c r="AK178" s="209" t="str">
        <f aca="false">IF($A179="","",$A178-$E$1)</f>
        <v/>
      </c>
      <c r="AL178" s="182" t="str">
        <f aca="false">IF($A179="","",SPRDOPT(P178,X178,AI178,0,AB178,AE178,AF178,AK178,$AJ$2,0))</f>
        <v/>
      </c>
      <c r="AM178" s="210" t="str">
        <f aca="false">IF($A179="","",MAX(0,O178-W178-AI178))</f>
        <v/>
      </c>
      <c r="AN178" s="211" t="str">
        <f aca="false">IF($A179="","",AL178-AM178)</f>
        <v/>
      </c>
      <c r="AO178" s="137" t="str">
        <f aca="false">IF(A179="","",A179-A178)</f>
        <v/>
      </c>
      <c r="AP178" s="212" t="str">
        <f aca="false">IF(A179="","",CHOOSE(F$3,A179+24,A178))</f>
        <v/>
      </c>
      <c r="AQ178" s="209" t="str">
        <f aca="false">IF(A179="","",AP178-$E$1)</f>
        <v/>
      </c>
      <c r="AR178" s="185" t="n">
        <f aca="false">'ANR OK vs ML7'!AR178</f>
        <v>0.1</v>
      </c>
      <c r="AS178" s="213" t="str">
        <f aca="false">IF(A179="","",1/(1+CHOOSE(F$3,(AR179+($I$3/10000))/2,(AR178+($I$3/10000))/2))^(2*AQ178/365.25))</f>
        <v/>
      </c>
      <c r="AT178" s="137" t="str">
        <f aca="false">IF(A179="","",IF(AND(mthbeg&lt;=A178,mthend&gt;=A178),1,0))</f>
        <v/>
      </c>
      <c r="AU178" s="137" t="str">
        <f aca="false">IF(A179="","",AO178*AT178)</f>
        <v/>
      </c>
      <c r="AW178" s="195" t="str">
        <f aca="false">IF($A179="","",AL178*$E178)</f>
        <v/>
      </c>
      <c r="AX178" s="195" t="str">
        <f aca="false">IF($A179="","",AM178*$E178)</f>
        <v/>
      </c>
      <c r="AY178" s="195" t="str">
        <f aca="false">IF($A179="","",AN178*$E178)</f>
        <v/>
      </c>
      <c r="BA178" s="195" t="str">
        <f aca="false">IF($A179="","",F178*Summary!$Q$11)</f>
        <v/>
      </c>
    </row>
    <row r="179" customFormat="false" ht="12" hidden="false" customHeight="true" outlineLevel="0" collapsed="false">
      <c r="A179" s="196" t="str">
        <f aca="false">IF(A178&lt;mthend,EDATE(A178,1),"")</f>
        <v/>
      </c>
      <c r="B179" s="197" t="str">
        <f aca="false">IF(A179&lt;mthend,B178,"")</f>
        <v/>
      </c>
      <c r="C179" s="215"/>
      <c r="D179" s="197" t="str">
        <f aca="false">IF(A180&lt;&gt;"",B179+C179,"")</f>
        <v/>
      </c>
      <c r="E179" s="199" t="str">
        <f aca="false">IF(A180="","",IF(AND(AT179=1,$H$3=1),D179*AO179,IF($H$3=2,D179,"N/A")))</f>
        <v/>
      </c>
      <c r="F179" s="199" t="str">
        <f aca="false">IF(A180="","",E179*AS179)</f>
        <v/>
      </c>
      <c r="G179" s="200" t="str">
        <f aca="false">IF($A180="","",VLOOKUP($A179,Table,MATCH(G$4,Curves,0)))</f>
        <v/>
      </c>
      <c r="H179" s="201" t="str">
        <f aca="false">IF(A180="","",G179)</f>
        <v/>
      </c>
      <c r="I179" s="202"/>
      <c r="J179" s="200" t="str">
        <f aca="false">IF($A180="","",VLOOKUP($A179,Table,MATCH(J$4,Curves,0)))</f>
        <v/>
      </c>
      <c r="K179" s="201" t="str">
        <f aca="false">IF(A180="","",J179)</f>
        <v/>
      </c>
      <c r="L179" s="200" t="str">
        <f aca="false">IF($A180="","",VLOOKUP($A179,Table,MATCH(L$4,Curves,0)))</f>
        <v/>
      </c>
      <c r="M179" s="201" t="str">
        <f aca="false">IF(A180="","",L179)</f>
        <v/>
      </c>
      <c r="N179" s="203"/>
      <c r="O179" s="200" t="str">
        <f aca="false">IF(A180="","",L179+J179+G179)</f>
        <v/>
      </c>
      <c r="P179" s="200" t="str">
        <f aca="false">IF(A180="","",M179+K179+H179)</f>
        <v/>
      </c>
      <c r="Q179" s="204"/>
      <c r="R179" s="200" t="str">
        <f aca="false">IF($A180="","",VLOOKUP($A179,Table,MATCH(R$4,Curves,0)))</f>
        <v/>
      </c>
      <c r="S179" s="201" t="str">
        <f aca="false">IF(A180="","",R179)</f>
        <v/>
      </c>
      <c r="T179" s="185" t="n">
        <v>0</v>
      </c>
      <c r="U179" s="201" t="str">
        <f aca="false">IF(A180="","",T179)</f>
        <v/>
      </c>
      <c r="V179" s="205" t="str">
        <f aca="false">IF($A180="","",IF(AND(MONTH(A179)&gt;3,MONTH(A179)&lt;11),(T179+R179+G179)*Summary!$T$11/(1-Summary!$T$11),(T179+R179+G179)*Summary!$U$11/(1-Summary!$U$11)))</f>
        <v/>
      </c>
      <c r="W179" s="202" t="str">
        <f aca="false">IF($A180="","",(T179+R179+G179+V179))</f>
        <v/>
      </c>
      <c r="X179" s="202" t="str">
        <f aca="false">IF($A180="","",(U179+S179+H179+V179))</f>
        <v/>
      </c>
      <c r="Y179" s="202"/>
      <c r="Z179" s="185" t="str">
        <f aca="false">IF($A180="","",VLOOKUP($A179,Table,MATCH(Z$4,Curves,0)))</f>
        <v/>
      </c>
      <c r="AA179" s="185" t="str">
        <f aca="false">IF($A180="","",VLOOKUP($A179,Table,MATCH(AA$4,Curves,0)))</f>
        <v/>
      </c>
      <c r="AB179" s="185" t="e">
        <f aca="false">SQRT((AA179^2*(A179-$D$3)+Z179^2*(DAY(EOMONTH(A179,0))/2))/AK179)</f>
        <v>#VALUE!</v>
      </c>
      <c r="AC179" s="185" t="str">
        <f aca="false">IF($A180="","",VLOOKUP($A179,Table,MATCH(AC$4,Curves,0)))</f>
        <v/>
      </c>
      <c r="AD179" s="185" t="str">
        <f aca="false">IF($A180="","",VLOOKUP($A179,Table,MATCH(AD$4,Curves,0)))</f>
        <v/>
      </c>
      <c r="AE179" s="185" t="e">
        <f aca="false">SQRT((AD179^2*(A179-$D$3)+AC179^2*(DAY(EOMONTH(A179,0))/2))/AK179)</f>
        <v>#VALUE!</v>
      </c>
      <c r="AF179" s="206" t="e">
        <f aca="false">((Summary!$N$11*(AA179*AD179)*(A179-$D$3))+(Summary!$M$11*Z179*AC179*(AJ179-EOMONTH(EDATE(A179,-1),0))))/(AK179*AB179*AE179)</f>
        <v>#VALUE!</v>
      </c>
      <c r="AG179" s="207" t="str">
        <f aca="false">IF($A180="","",Summary!$Q$11)</f>
        <v/>
      </c>
      <c r="AH179" s="207" t="str">
        <f aca="false">IF($A180="","",IF(Summary!$R$11="Y",(VLOOKUP($A179,Summary!$AD$6:$AF$9,3)+'Escalating commodity'!G192),'Escalating commodity'!G192))</f>
        <v/>
      </c>
      <c r="AI179" s="207" t="str">
        <f aca="false">IF($A180="","",AH179)</f>
        <v/>
      </c>
      <c r="AJ179" s="208" t="e">
        <f aca="false">A179+DAY(EOMONTH(A179,0))/2-1</f>
        <v>#VALUE!</v>
      </c>
      <c r="AK179" s="209" t="str">
        <f aca="false">IF($A180="","",$A179-$E$1)</f>
        <v/>
      </c>
      <c r="AL179" s="182" t="str">
        <f aca="false">IF($A180="","",SPRDOPT(P179,X179,AI179,0,AB179,AE179,AF179,AK179,$AJ$2,0))</f>
        <v/>
      </c>
      <c r="AM179" s="210" t="str">
        <f aca="false">IF($A180="","",MAX(0,O179-W179-AI179))</f>
        <v/>
      </c>
      <c r="AN179" s="211" t="str">
        <f aca="false">IF($A180="","",AL179-AM179)</f>
        <v/>
      </c>
      <c r="AO179" s="137" t="str">
        <f aca="false">IF(A180="","",A180-A179)</f>
        <v/>
      </c>
      <c r="AP179" s="212" t="str">
        <f aca="false">IF(A180="","",CHOOSE(F$3,A180+24,A179))</f>
        <v/>
      </c>
      <c r="AQ179" s="209" t="str">
        <f aca="false">IF(A180="","",AP179-$E$1)</f>
        <v/>
      </c>
      <c r="AR179" s="185" t="n">
        <f aca="false">'ANR OK vs ML7'!AR179</f>
        <v>0.1</v>
      </c>
      <c r="AS179" s="213" t="str">
        <f aca="false">IF(A180="","",1/(1+CHOOSE(F$3,(AR180+($I$3/10000))/2,(AR179+($I$3/10000))/2))^(2*AQ179/365.25))</f>
        <v/>
      </c>
      <c r="AT179" s="137" t="str">
        <f aca="false">IF(A180="","",IF(AND(mthbeg&lt;=A179,mthend&gt;=A179),1,0))</f>
        <v/>
      </c>
      <c r="AU179" s="137" t="str">
        <f aca="false">IF(A180="","",AO179*AT179)</f>
        <v/>
      </c>
      <c r="AW179" s="195" t="str">
        <f aca="false">IF($A180="","",AL179*$E179)</f>
        <v/>
      </c>
      <c r="AX179" s="195" t="str">
        <f aca="false">IF($A180="","",AM179*$E179)</f>
        <v/>
      </c>
      <c r="AY179" s="195" t="str">
        <f aca="false">IF($A180="","",AN179*$E179)</f>
        <v/>
      </c>
      <c r="BA179" s="195" t="str">
        <f aca="false">IF($A180="","",F179*Summary!$Q$11)</f>
        <v/>
      </c>
    </row>
    <row r="180" customFormat="false" ht="12" hidden="false" customHeight="true" outlineLevel="0" collapsed="false">
      <c r="A180" s="196" t="str">
        <f aca="false">IF(A179&lt;mthend,EDATE(A179,1),"")</f>
        <v/>
      </c>
      <c r="B180" s="197" t="str">
        <f aca="false">IF(A180&lt;mthend,B179,"")</f>
        <v/>
      </c>
      <c r="C180" s="215"/>
      <c r="D180" s="197" t="str">
        <f aca="false">IF(A181&lt;&gt;"",B180+C180,"")</f>
        <v/>
      </c>
      <c r="E180" s="199" t="str">
        <f aca="false">IF(A181="","",IF(AND(AT180=1,$H$3=1),D180*AO180,IF($H$3=2,D180,"N/A")))</f>
        <v/>
      </c>
      <c r="F180" s="199" t="str">
        <f aca="false">IF(A181="","",E180*AS180)</f>
        <v/>
      </c>
      <c r="G180" s="200" t="str">
        <f aca="false">IF($A181="","",VLOOKUP($A180,Table,MATCH(G$4,Curves,0)))</f>
        <v/>
      </c>
      <c r="H180" s="201" t="str">
        <f aca="false">IF(A181="","",G180)</f>
        <v/>
      </c>
      <c r="I180" s="202"/>
      <c r="J180" s="200" t="str">
        <f aca="false">IF($A181="","",VLOOKUP($A180,Table,MATCH(J$4,Curves,0)))</f>
        <v/>
      </c>
      <c r="K180" s="201" t="str">
        <f aca="false">IF(A181="","",J180)</f>
        <v/>
      </c>
      <c r="L180" s="200" t="str">
        <f aca="false">IF($A181="","",VLOOKUP($A180,Table,MATCH(L$4,Curves,0)))</f>
        <v/>
      </c>
      <c r="M180" s="201" t="str">
        <f aca="false">IF(A181="","",L180)</f>
        <v/>
      </c>
      <c r="N180" s="203"/>
      <c r="O180" s="200" t="str">
        <f aca="false">IF(A181="","",L180+J180+G180)</f>
        <v/>
      </c>
      <c r="P180" s="200" t="str">
        <f aca="false">IF(A181="","",M180+K180+H180)</f>
        <v/>
      </c>
      <c r="Q180" s="204"/>
      <c r="R180" s="200" t="str">
        <f aca="false">IF($A181="","",VLOOKUP($A180,Table,MATCH(R$4,Curves,0)))</f>
        <v/>
      </c>
      <c r="S180" s="201" t="str">
        <f aca="false">IF(A181="","",R180)</f>
        <v/>
      </c>
      <c r="T180" s="185" t="n">
        <v>0</v>
      </c>
      <c r="U180" s="201" t="str">
        <f aca="false">IF(A181="","",T180)</f>
        <v/>
      </c>
      <c r="V180" s="205" t="str">
        <f aca="false">IF($A181="","",IF(AND(MONTH(A180)&gt;3,MONTH(A180)&lt;11),(T180+R180+G180)*Summary!$T$11/(1-Summary!$T$11),(T180+R180+G180)*Summary!$U$11/(1-Summary!$U$11)))</f>
        <v/>
      </c>
      <c r="W180" s="202" t="str">
        <f aca="false">IF($A181="","",(T180+R180+G180+V180))</f>
        <v/>
      </c>
      <c r="X180" s="202" t="str">
        <f aca="false">IF($A181="","",(U180+S180+H180+V180))</f>
        <v/>
      </c>
      <c r="Y180" s="202"/>
      <c r="Z180" s="185" t="str">
        <f aca="false">IF($A181="","",VLOOKUP($A180,Table,MATCH(Z$4,Curves,0)))</f>
        <v/>
      </c>
      <c r="AA180" s="185" t="str">
        <f aca="false">IF($A181="","",VLOOKUP($A180,Table,MATCH(AA$4,Curves,0)))</f>
        <v/>
      </c>
      <c r="AB180" s="185" t="e">
        <f aca="false">SQRT((AA180^2*(A180-$D$3)+Z180^2*(DAY(EOMONTH(A180,0))/2))/AK180)</f>
        <v>#VALUE!</v>
      </c>
      <c r="AC180" s="185" t="str">
        <f aca="false">IF($A181="","",VLOOKUP($A180,Table,MATCH(AC$4,Curves,0)))</f>
        <v/>
      </c>
      <c r="AD180" s="185" t="str">
        <f aca="false">IF($A181="","",VLOOKUP($A180,Table,MATCH(AD$4,Curves,0)))</f>
        <v/>
      </c>
      <c r="AE180" s="185" t="e">
        <f aca="false">SQRT((AD180^2*(A180-$D$3)+AC180^2*(DAY(EOMONTH(A180,0))/2))/AK180)</f>
        <v>#VALUE!</v>
      </c>
      <c r="AF180" s="206" t="e">
        <f aca="false">((Summary!$N$11*(AA180*AD180)*(A180-$D$3))+(Summary!$M$11*Z180*AC180*(AJ180-EOMONTH(EDATE(A180,-1),0))))/(AK180*AB180*AE180)</f>
        <v>#VALUE!</v>
      </c>
      <c r="AG180" s="207" t="str">
        <f aca="false">IF($A181="","",Summary!$Q$11)</f>
        <v/>
      </c>
      <c r="AH180" s="207" t="str">
        <f aca="false">IF($A181="","",IF(Summary!$R$11="Y",(VLOOKUP($A180,Summary!$AD$6:$AF$9,3)+'Escalating commodity'!G193),'Escalating commodity'!G193))</f>
        <v/>
      </c>
      <c r="AI180" s="207" t="str">
        <f aca="false">IF($A181="","",AH180)</f>
        <v/>
      </c>
      <c r="AJ180" s="208" t="e">
        <f aca="false">A180+DAY(EOMONTH(A180,0))/2-1</f>
        <v>#VALUE!</v>
      </c>
      <c r="AK180" s="209" t="str">
        <f aca="false">IF($A181="","",$A180-$E$1)</f>
        <v/>
      </c>
      <c r="AL180" s="182" t="str">
        <f aca="false">IF($A181="","",SPRDOPT(P180,X180,AI180,0,AB180,AE180,AF180,AK180,$AJ$2,0))</f>
        <v/>
      </c>
      <c r="AM180" s="210" t="str">
        <f aca="false">IF($A181="","",MAX(0,O180-W180-AI180))</f>
        <v/>
      </c>
      <c r="AN180" s="211" t="str">
        <f aca="false">IF($A181="","",AL180-AM180)</f>
        <v/>
      </c>
      <c r="AO180" s="137" t="str">
        <f aca="false">IF(A181="","",A181-A180)</f>
        <v/>
      </c>
      <c r="AP180" s="212" t="str">
        <f aca="false">IF(A181="","",CHOOSE(F$3,A181+24,A180))</f>
        <v/>
      </c>
      <c r="AQ180" s="209" t="str">
        <f aca="false">IF(A181="","",AP180-$E$1)</f>
        <v/>
      </c>
      <c r="AR180" s="185" t="n">
        <f aca="false">'ANR OK vs ML7'!AR180</f>
        <v>0.1</v>
      </c>
      <c r="AS180" s="213" t="str">
        <f aca="false">IF(A181="","",1/(1+CHOOSE(F$3,(AR181+($I$3/10000))/2,(AR180+($I$3/10000))/2))^(2*AQ180/365.25))</f>
        <v/>
      </c>
      <c r="AT180" s="137" t="str">
        <f aca="false">IF(A181="","",IF(AND(mthbeg&lt;=A180,mthend&gt;=A180),1,0))</f>
        <v/>
      </c>
      <c r="AU180" s="137" t="str">
        <f aca="false">IF(A181="","",AO180*AT180)</f>
        <v/>
      </c>
      <c r="AW180" s="195" t="str">
        <f aca="false">IF($A181="","",AL180*$E180)</f>
        <v/>
      </c>
      <c r="AX180" s="195" t="str">
        <f aca="false">IF($A181="","",AM180*$E180)</f>
        <v/>
      </c>
      <c r="AY180" s="195" t="str">
        <f aca="false">IF($A181="","",AN180*$E180)</f>
        <v/>
      </c>
      <c r="BA180" s="195" t="str">
        <f aca="false">IF($A181="","",F180*Summary!$Q$11)</f>
        <v/>
      </c>
    </row>
    <row r="181" customFormat="false" ht="12" hidden="false" customHeight="true" outlineLevel="0" collapsed="false">
      <c r="A181" s="196" t="str">
        <f aca="false">IF(A180&lt;mthend,EDATE(A180,1),"")</f>
        <v/>
      </c>
      <c r="B181" s="197" t="str">
        <f aca="false">IF(A181&lt;mthend,B180,"")</f>
        <v/>
      </c>
      <c r="C181" s="215"/>
      <c r="D181" s="197" t="str">
        <f aca="false">IF(A182&lt;&gt;"",B181+C181,"")</f>
        <v/>
      </c>
      <c r="E181" s="199" t="str">
        <f aca="false">IF(A182="","",IF(AND(AT181=1,$H$3=1),D181*AO181,IF($H$3=2,D181,"N/A")))</f>
        <v/>
      </c>
      <c r="F181" s="199" t="str">
        <f aca="false">IF(A182="","",E181*AS181)</f>
        <v/>
      </c>
      <c r="G181" s="200" t="str">
        <f aca="false">IF($A182="","",VLOOKUP($A181,Table,MATCH(G$4,Curves,0)))</f>
        <v/>
      </c>
      <c r="H181" s="201" t="str">
        <f aca="false">IF(A182="","",G181)</f>
        <v/>
      </c>
      <c r="I181" s="202"/>
      <c r="J181" s="200" t="str">
        <f aca="false">IF($A182="","",VLOOKUP($A181,Table,MATCH(J$4,Curves,0)))</f>
        <v/>
      </c>
      <c r="K181" s="201" t="str">
        <f aca="false">IF(A182="","",J181)</f>
        <v/>
      </c>
      <c r="L181" s="200" t="str">
        <f aca="false">IF($A182="","",VLOOKUP($A181,Table,MATCH(L$4,Curves,0)))</f>
        <v/>
      </c>
      <c r="M181" s="201" t="str">
        <f aca="false">IF(A182="","",L181)</f>
        <v/>
      </c>
      <c r="N181" s="203"/>
      <c r="O181" s="200" t="str">
        <f aca="false">IF(A182="","",L181+J181+G181)</f>
        <v/>
      </c>
      <c r="P181" s="200" t="str">
        <f aca="false">IF(A182="","",M181+K181+H181)</f>
        <v/>
      </c>
      <c r="Q181" s="204"/>
      <c r="R181" s="200" t="str">
        <f aca="false">IF($A182="","",VLOOKUP($A181,Table,MATCH(R$4,Curves,0)))</f>
        <v/>
      </c>
      <c r="S181" s="201" t="str">
        <f aca="false">IF(A182="","",R181)</f>
        <v/>
      </c>
      <c r="T181" s="185" t="n">
        <v>0</v>
      </c>
      <c r="U181" s="201" t="str">
        <f aca="false">IF(A182="","",T181)</f>
        <v/>
      </c>
      <c r="V181" s="205" t="str">
        <f aca="false">IF($A182="","",IF(AND(MONTH(A181)&gt;3,MONTH(A181)&lt;11),(T181+R181+G181)*Summary!$T$11/(1-Summary!$T$11),(T181+R181+G181)*Summary!$U$11/(1-Summary!$U$11)))</f>
        <v/>
      </c>
      <c r="W181" s="202" t="str">
        <f aca="false">IF($A182="","",(T181+R181+G181+V181))</f>
        <v/>
      </c>
      <c r="X181" s="202" t="str">
        <f aca="false">IF($A182="","",(U181+S181+H181+V181))</f>
        <v/>
      </c>
      <c r="Y181" s="202"/>
      <c r="Z181" s="185" t="str">
        <f aca="false">IF($A182="","",VLOOKUP($A181,Table,MATCH(Z$4,Curves,0)))</f>
        <v/>
      </c>
      <c r="AA181" s="185" t="str">
        <f aca="false">IF($A182="","",VLOOKUP($A181,Table,MATCH(AA$4,Curves,0)))</f>
        <v/>
      </c>
      <c r="AB181" s="185" t="e">
        <f aca="false">SQRT((AA181^2*(A181-$D$3)+Z181^2*(DAY(EOMONTH(A181,0))/2))/AK181)</f>
        <v>#VALUE!</v>
      </c>
      <c r="AC181" s="185" t="str">
        <f aca="false">IF($A182="","",VLOOKUP($A181,Table,MATCH(AC$4,Curves,0)))</f>
        <v/>
      </c>
      <c r="AD181" s="185" t="str">
        <f aca="false">IF($A182="","",VLOOKUP($A181,Table,MATCH(AD$4,Curves,0)))</f>
        <v/>
      </c>
      <c r="AE181" s="185" t="e">
        <f aca="false">SQRT((AD181^2*(A181-$D$3)+AC181^2*(DAY(EOMONTH(A181,0))/2))/AK181)</f>
        <v>#VALUE!</v>
      </c>
      <c r="AF181" s="206" t="e">
        <f aca="false">((Summary!$N$11*(AA181*AD181)*(A181-$D$3))+(Summary!$M$11*Z181*AC181*(AJ181-EOMONTH(EDATE(A181,-1),0))))/(AK181*AB181*AE181)</f>
        <v>#VALUE!</v>
      </c>
      <c r="AG181" s="207" t="str">
        <f aca="false">IF($A182="","",Summary!$Q$11)</f>
        <v/>
      </c>
      <c r="AH181" s="207" t="str">
        <f aca="false">IF($A182="","",IF(Summary!$R$11="Y",(VLOOKUP($A181,Summary!$AD$6:$AF$9,3)+'Escalating commodity'!G194),'Escalating commodity'!G194))</f>
        <v/>
      </c>
      <c r="AI181" s="207" t="str">
        <f aca="false">IF($A182="","",AH181)</f>
        <v/>
      </c>
      <c r="AJ181" s="208" t="e">
        <f aca="false">A181+DAY(EOMONTH(A181,0))/2-1</f>
        <v>#VALUE!</v>
      </c>
      <c r="AK181" s="209" t="str">
        <f aca="false">IF($A182="","",$A181-$E$1)</f>
        <v/>
      </c>
      <c r="AL181" s="182" t="str">
        <f aca="false">IF($A182="","",SPRDOPT(P181,X181,AI181,0,AB181,AE181,AF181,AK181,$AJ$2,0))</f>
        <v/>
      </c>
      <c r="AM181" s="210" t="str">
        <f aca="false">IF($A182="","",MAX(0,O181-W181-AI181))</f>
        <v/>
      </c>
      <c r="AN181" s="211" t="str">
        <f aca="false">IF($A182="","",AL181-AM181)</f>
        <v/>
      </c>
      <c r="AO181" s="137" t="str">
        <f aca="false">IF(A182="","",A182-A181)</f>
        <v/>
      </c>
      <c r="AP181" s="212" t="str">
        <f aca="false">IF(A182="","",CHOOSE(F$3,A182+24,A181))</f>
        <v/>
      </c>
      <c r="AQ181" s="209" t="str">
        <f aca="false">IF(A182="","",AP181-$E$1)</f>
        <v/>
      </c>
      <c r="AR181" s="185" t="n">
        <f aca="false">'ANR OK vs ML7'!AR181</f>
        <v>0.1</v>
      </c>
      <c r="AS181" s="213" t="str">
        <f aca="false">IF(A182="","",1/(1+CHOOSE(F$3,(AR182+($I$3/10000))/2,(AR181+($I$3/10000))/2))^(2*AQ181/365.25))</f>
        <v/>
      </c>
      <c r="AT181" s="137" t="str">
        <f aca="false">IF(A182="","",IF(AND(mthbeg&lt;=A181,mthend&gt;=A181),1,0))</f>
        <v/>
      </c>
      <c r="AU181" s="137" t="str">
        <f aca="false">IF(A182="","",AO181*AT181)</f>
        <v/>
      </c>
      <c r="AW181" s="195" t="str">
        <f aca="false">IF($A182="","",AL181*$E181)</f>
        <v/>
      </c>
      <c r="AX181" s="195" t="str">
        <f aca="false">IF($A182="","",AM181*$E181)</f>
        <v/>
      </c>
      <c r="AY181" s="195" t="str">
        <f aca="false">IF($A182="","",AN181*$E181)</f>
        <v/>
      </c>
      <c r="BA181" s="195" t="str">
        <f aca="false">IF($A182="","",F181*Summary!$Q$11)</f>
        <v/>
      </c>
    </row>
    <row r="182" customFormat="false" ht="12" hidden="false" customHeight="true" outlineLevel="0" collapsed="false">
      <c r="A182" s="196" t="str">
        <f aca="false">IF(A181&lt;mthend,EDATE(A181,1),"")</f>
        <v/>
      </c>
      <c r="B182" s="197" t="str">
        <f aca="false">IF(A182&lt;mthend,B181,"")</f>
        <v/>
      </c>
      <c r="C182" s="215"/>
      <c r="D182" s="197" t="str">
        <f aca="false">IF(A183&lt;&gt;"",B182+C182,"")</f>
        <v/>
      </c>
      <c r="E182" s="199" t="str">
        <f aca="false">IF(A183="","",IF(AND(AT182=1,$H$3=1),D182*AO182,IF($H$3=2,D182,"N/A")))</f>
        <v/>
      </c>
      <c r="F182" s="199" t="str">
        <f aca="false">IF(A183="","",E182*AS182)</f>
        <v/>
      </c>
      <c r="G182" s="200" t="str">
        <f aca="false">IF($A183="","",VLOOKUP($A182,Table,MATCH(G$4,Curves,0)))</f>
        <v/>
      </c>
      <c r="H182" s="201" t="str">
        <f aca="false">IF(A183="","",G182)</f>
        <v/>
      </c>
      <c r="I182" s="202"/>
      <c r="J182" s="200" t="str">
        <f aca="false">IF($A183="","",VLOOKUP($A182,Table,MATCH(J$4,Curves,0)))</f>
        <v/>
      </c>
      <c r="K182" s="201" t="str">
        <f aca="false">IF(A183="","",J182)</f>
        <v/>
      </c>
      <c r="L182" s="200" t="str">
        <f aca="false">IF($A183="","",VLOOKUP($A182,Table,MATCH(L$4,Curves,0)))</f>
        <v/>
      </c>
      <c r="M182" s="201" t="str">
        <f aca="false">IF(A183="","",L182)</f>
        <v/>
      </c>
      <c r="N182" s="203"/>
      <c r="O182" s="200" t="str">
        <f aca="false">IF(A183="","",L182+J182+G182)</f>
        <v/>
      </c>
      <c r="P182" s="200" t="str">
        <f aca="false">IF(A183="","",M182+K182+H182)</f>
        <v/>
      </c>
      <c r="Q182" s="204"/>
      <c r="R182" s="200" t="str">
        <f aca="false">IF($A183="","",VLOOKUP($A182,Table,MATCH(R$4,Curves,0)))</f>
        <v/>
      </c>
      <c r="S182" s="201" t="str">
        <f aca="false">IF(A183="","",R182)</f>
        <v/>
      </c>
      <c r="T182" s="185" t="n">
        <v>0</v>
      </c>
      <c r="U182" s="201" t="str">
        <f aca="false">IF(A183="","",T182)</f>
        <v/>
      </c>
      <c r="V182" s="205" t="str">
        <f aca="false">IF($A183="","",IF(AND(MONTH(A182)&gt;3,MONTH(A182)&lt;11),(T182+R182+G182)*Summary!$T$11/(1-Summary!$T$11),(T182+R182+G182)*Summary!$U$11/(1-Summary!$U$11)))</f>
        <v/>
      </c>
      <c r="W182" s="202" t="str">
        <f aca="false">IF($A183="","",(T182+R182+G182+V182))</f>
        <v/>
      </c>
      <c r="X182" s="202" t="str">
        <f aca="false">IF($A183="","",(U182+S182+H182+V182))</f>
        <v/>
      </c>
      <c r="Y182" s="202"/>
      <c r="Z182" s="185" t="str">
        <f aca="false">IF($A183="","",VLOOKUP($A182,Table,MATCH(Z$4,Curves,0)))</f>
        <v/>
      </c>
      <c r="AA182" s="185" t="str">
        <f aca="false">IF($A183="","",VLOOKUP($A182,Table,MATCH(AA$4,Curves,0)))</f>
        <v/>
      </c>
      <c r="AB182" s="185" t="e">
        <f aca="false">SQRT((AA182^2*(A182-$D$3)+Z182^2*(DAY(EOMONTH(A182,0))/2))/AK182)</f>
        <v>#VALUE!</v>
      </c>
      <c r="AC182" s="185" t="str">
        <f aca="false">IF($A183="","",VLOOKUP($A182,Table,MATCH(AC$4,Curves,0)))</f>
        <v/>
      </c>
      <c r="AD182" s="185" t="str">
        <f aca="false">IF($A183="","",VLOOKUP($A182,Table,MATCH(AD$4,Curves,0)))</f>
        <v/>
      </c>
      <c r="AE182" s="185" t="e">
        <f aca="false">SQRT((AD182^2*(A182-$D$3)+AC182^2*(DAY(EOMONTH(A182,0))/2))/AK182)</f>
        <v>#VALUE!</v>
      </c>
      <c r="AF182" s="206" t="e">
        <f aca="false">((Summary!$N$11*(AA182*AD182)*(A182-$D$3))+(Summary!$M$11*Z182*AC182*(AJ182-EOMONTH(EDATE(A182,-1),0))))/(AK182*AB182*AE182)</f>
        <v>#VALUE!</v>
      </c>
      <c r="AG182" s="207" t="str">
        <f aca="false">IF($A183="","",Summary!$Q$11)</f>
        <v/>
      </c>
      <c r="AH182" s="207" t="str">
        <f aca="false">IF($A183="","",IF(Summary!$R$11="Y",(VLOOKUP($A182,Summary!$AD$6:$AF$9,3)+'Escalating commodity'!G195),'Escalating commodity'!G195))</f>
        <v/>
      </c>
      <c r="AI182" s="207" t="str">
        <f aca="false">IF($A183="","",AH182)</f>
        <v/>
      </c>
      <c r="AJ182" s="208" t="e">
        <f aca="false">A182+DAY(EOMONTH(A182,0))/2-1</f>
        <v>#VALUE!</v>
      </c>
      <c r="AK182" s="209" t="str">
        <f aca="false">IF($A183="","",$A182-$E$1)</f>
        <v/>
      </c>
      <c r="AL182" s="182" t="str">
        <f aca="false">IF($A183="","",SPRDOPT(P182,X182,AI182,0,AB182,AE182,AF182,AK182,$AJ$2,0))</f>
        <v/>
      </c>
      <c r="AM182" s="210" t="str">
        <f aca="false">IF($A183="","",MAX(0,O182-W182-AI182))</f>
        <v/>
      </c>
      <c r="AN182" s="211" t="str">
        <f aca="false">IF($A183="","",AL182-AM182)</f>
        <v/>
      </c>
      <c r="AO182" s="137" t="str">
        <f aca="false">IF(A183="","",A183-A182)</f>
        <v/>
      </c>
      <c r="AP182" s="212" t="str">
        <f aca="false">IF(A183="","",CHOOSE(F$3,A183+24,A182))</f>
        <v/>
      </c>
      <c r="AQ182" s="209" t="str">
        <f aca="false">IF(A183="","",AP182-$E$1)</f>
        <v/>
      </c>
      <c r="AR182" s="185" t="n">
        <f aca="false">'ANR OK vs ML7'!AR182</f>
        <v>0.1</v>
      </c>
      <c r="AS182" s="213" t="str">
        <f aca="false">IF(A183="","",1/(1+CHOOSE(F$3,(AR183+($I$3/10000))/2,(AR182+($I$3/10000))/2))^(2*AQ182/365.25))</f>
        <v/>
      </c>
      <c r="AT182" s="137" t="str">
        <f aca="false">IF(A183="","",IF(AND(mthbeg&lt;=A182,mthend&gt;=A182),1,0))</f>
        <v/>
      </c>
      <c r="AU182" s="137" t="str">
        <f aca="false">IF(A183="","",AO182*AT182)</f>
        <v/>
      </c>
      <c r="AW182" s="195" t="str">
        <f aca="false">IF($A183="","",AL182*$E182)</f>
        <v/>
      </c>
      <c r="AX182" s="195" t="str">
        <f aca="false">IF($A183="","",AM182*$E182)</f>
        <v/>
      </c>
      <c r="AY182" s="195" t="str">
        <f aca="false">IF($A183="","",AN182*$E182)</f>
        <v/>
      </c>
      <c r="BA182" s="195" t="str">
        <f aca="false">IF($A183="","",F182*Summary!$Q$11)</f>
        <v/>
      </c>
    </row>
    <row r="183" customFormat="false" ht="12" hidden="false" customHeight="true" outlineLevel="0" collapsed="false">
      <c r="A183" s="196" t="str">
        <f aca="false">IF(A182&lt;mthend,EDATE(A182,1),"")</f>
        <v/>
      </c>
      <c r="B183" s="197" t="str">
        <f aca="false">IF(A183&lt;mthend,B182,"")</f>
        <v/>
      </c>
      <c r="C183" s="215"/>
      <c r="D183" s="197" t="str">
        <f aca="false">IF(A184&lt;&gt;"",B183+C183,"")</f>
        <v/>
      </c>
      <c r="E183" s="199" t="str">
        <f aca="false">IF(A184="","",IF(AND(AT183=1,$H$3=1),D183*AO183,IF($H$3=2,D183,"N/A")))</f>
        <v/>
      </c>
      <c r="F183" s="199" t="str">
        <f aca="false">IF(A184="","",E183*AS183)</f>
        <v/>
      </c>
      <c r="G183" s="200" t="str">
        <f aca="false">IF($A184="","",VLOOKUP($A183,Table,MATCH(G$4,Curves,0)))</f>
        <v/>
      </c>
      <c r="H183" s="201" t="str">
        <f aca="false">IF(A184="","",G183)</f>
        <v/>
      </c>
      <c r="I183" s="202"/>
      <c r="J183" s="200" t="str">
        <f aca="false">IF($A184="","",VLOOKUP($A183,Table,MATCH(J$4,Curves,0)))</f>
        <v/>
      </c>
      <c r="K183" s="201" t="str">
        <f aca="false">IF(A184="","",J183)</f>
        <v/>
      </c>
      <c r="L183" s="200" t="str">
        <f aca="false">IF($A184="","",VLOOKUP($A183,Table,MATCH(L$4,Curves,0)))</f>
        <v/>
      </c>
      <c r="M183" s="201" t="str">
        <f aca="false">IF(A184="","",L183)</f>
        <v/>
      </c>
      <c r="N183" s="203"/>
      <c r="O183" s="200" t="str">
        <f aca="false">IF(A184="","",L183+J183+G183)</f>
        <v/>
      </c>
      <c r="P183" s="200" t="str">
        <f aca="false">IF(A184="","",M183+K183+H183)</f>
        <v/>
      </c>
      <c r="Q183" s="204"/>
      <c r="R183" s="200" t="str">
        <f aca="false">IF($A184="","",VLOOKUP($A183,Table,MATCH(R$4,Curves,0)))</f>
        <v/>
      </c>
      <c r="S183" s="201" t="str">
        <f aca="false">IF(A184="","",R183)</f>
        <v/>
      </c>
      <c r="T183" s="185" t="n">
        <v>0</v>
      </c>
      <c r="U183" s="201" t="str">
        <f aca="false">IF(A184="","",T183)</f>
        <v/>
      </c>
      <c r="V183" s="205" t="str">
        <f aca="false">IF($A184="","",IF(AND(MONTH(A183)&gt;3,MONTH(A183)&lt;11),(T183+R183+G183)*Summary!$T$11/(1-Summary!$T$11),(T183+R183+G183)*Summary!$U$11/(1-Summary!$U$11)))</f>
        <v/>
      </c>
      <c r="W183" s="202" t="str">
        <f aca="false">IF($A184="","",(T183+R183+G183+V183))</f>
        <v/>
      </c>
      <c r="X183" s="202" t="str">
        <f aca="false">IF($A184="","",(U183+S183+H183+V183))</f>
        <v/>
      </c>
      <c r="Y183" s="202"/>
      <c r="Z183" s="185" t="str">
        <f aca="false">IF($A184="","",VLOOKUP($A183,Table,MATCH(Z$4,Curves,0)))</f>
        <v/>
      </c>
      <c r="AA183" s="185" t="str">
        <f aca="false">IF($A184="","",VLOOKUP($A183,Table,MATCH(AA$4,Curves,0)))</f>
        <v/>
      </c>
      <c r="AB183" s="185" t="e">
        <f aca="false">SQRT((AA183^2*(A183-$D$3)+Z183^2*(DAY(EOMONTH(A183,0))/2))/AK183)</f>
        <v>#VALUE!</v>
      </c>
      <c r="AC183" s="185" t="str">
        <f aca="false">IF($A184="","",VLOOKUP($A183,Table,MATCH(AC$4,Curves,0)))</f>
        <v/>
      </c>
      <c r="AD183" s="185" t="str">
        <f aca="false">IF($A184="","",VLOOKUP($A183,Table,MATCH(AD$4,Curves,0)))</f>
        <v/>
      </c>
      <c r="AE183" s="185" t="e">
        <f aca="false">SQRT((AD183^2*(A183-$D$3)+AC183^2*(DAY(EOMONTH(A183,0))/2))/AK183)</f>
        <v>#VALUE!</v>
      </c>
      <c r="AF183" s="206" t="e">
        <f aca="false">((Summary!$N$11*(AA183*AD183)*(A183-$D$3))+(Summary!$M$11*Z183*AC183*(AJ183-EOMONTH(EDATE(A183,-1),0))))/(AK183*AB183*AE183)</f>
        <v>#VALUE!</v>
      </c>
      <c r="AG183" s="207" t="str">
        <f aca="false">IF($A184="","",Summary!$Q$11)</f>
        <v/>
      </c>
      <c r="AH183" s="207" t="str">
        <f aca="false">IF($A184="","",IF(Summary!$R$11="Y",(VLOOKUP($A183,Summary!$AD$6:$AF$9,3)+'Escalating commodity'!G196),'Escalating commodity'!G196))</f>
        <v/>
      </c>
      <c r="AI183" s="207" t="str">
        <f aca="false">IF($A184="","",AH183)</f>
        <v/>
      </c>
      <c r="AJ183" s="208" t="e">
        <f aca="false">A183+DAY(EOMONTH(A183,0))/2-1</f>
        <v>#VALUE!</v>
      </c>
      <c r="AK183" s="209" t="str">
        <f aca="false">IF($A184="","",$A183-$E$1)</f>
        <v/>
      </c>
      <c r="AL183" s="182" t="str">
        <f aca="false">IF($A184="","",SPRDOPT(P183,X183,AI183,0,AB183,AE183,AF183,AK183,$AJ$2,0))</f>
        <v/>
      </c>
      <c r="AM183" s="210" t="str">
        <f aca="false">IF($A184="","",MAX(0,O183-W183-AI183))</f>
        <v/>
      </c>
      <c r="AN183" s="211" t="str">
        <f aca="false">IF($A184="","",AL183-AM183)</f>
        <v/>
      </c>
      <c r="AO183" s="137" t="str">
        <f aca="false">IF(A184="","",A184-A183)</f>
        <v/>
      </c>
      <c r="AP183" s="212" t="str">
        <f aca="false">IF(A184="","",CHOOSE(F$3,A184+24,A183))</f>
        <v/>
      </c>
      <c r="AQ183" s="209" t="str">
        <f aca="false">IF(A184="","",AP183-$E$1)</f>
        <v/>
      </c>
      <c r="AR183" s="185" t="n">
        <f aca="false">'ANR OK vs ML7'!AR183</f>
        <v>0.1</v>
      </c>
      <c r="AS183" s="213" t="str">
        <f aca="false">IF(A184="","",1/(1+CHOOSE(F$3,(AR184+($I$3/10000))/2,(AR183+($I$3/10000))/2))^(2*AQ183/365.25))</f>
        <v/>
      </c>
      <c r="AT183" s="137" t="str">
        <f aca="false">IF(A184="","",IF(AND(mthbeg&lt;=A183,mthend&gt;=A183),1,0))</f>
        <v/>
      </c>
      <c r="AU183" s="137" t="str">
        <f aca="false">IF(A184="","",AO183*AT183)</f>
        <v/>
      </c>
      <c r="AW183" s="195" t="str">
        <f aca="false">IF($A184="","",AL183*$E183)</f>
        <v/>
      </c>
      <c r="AX183" s="195" t="str">
        <f aca="false">IF($A184="","",AM183*$E183)</f>
        <v/>
      </c>
      <c r="AY183" s="195" t="str">
        <f aca="false">IF($A184="","",AN183*$E183)</f>
        <v/>
      </c>
      <c r="BA183" s="195" t="str">
        <f aca="false">IF($A184="","",F183*Summary!$Q$11)</f>
        <v/>
      </c>
    </row>
    <row r="184" customFormat="false" ht="12" hidden="false" customHeight="true" outlineLevel="0" collapsed="false">
      <c r="A184" s="196" t="str">
        <f aca="false">IF(A183&lt;mthend,EDATE(A183,1),"")</f>
        <v/>
      </c>
      <c r="B184" s="197" t="str">
        <f aca="false">IF(A184&lt;mthend,B183,"")</f>
        <v/>
      </c>
      <c r="C184" s="215"/>
      <c r="D184" s="197" t="str">
        <f aca="false">IF(A185&lt;&gt;"",B184+C184,"")</f>
        <v/>
      </c>
      <c r="E184" s="199" t="str">
        <f aca="false">IF(A185="","",IF(AND(AT184=1,$H$3=1),D184*AO184,IF($H$3=2,D184,"N/A")))</f>
        <v/>
      </c>
      <c r="F184" s="199" t="str">
        <f aca="false">IF(A185="","",E184*AS184)</f>
        <v/>
      </c>
      <c r="G184" s="200" t="str">
        <f aca="false">IF($A185="","",VLOOKUP($A184,Table,MATCH(G$4,Curves,0)))</f>
        <v/>
      </c>
      <c r="H184" s="201" t="str">
        <f aca="false">IF(A185="","",G184)</f>
        <v/>
      </c>
      <c r="I184" s="202"/>
      <c r="J184" s="200" t="str">
        <f aca="false">IF($A185="","",VLOOKUP($A184,Table,MATCH(J$4,Curves,0)))</f>
        <v/>
      </c>
      <c r="K184" s="201" t="str">
        <f aca="false">IF(A185="","",J184)</f>
        <v/>
      </c>
      <c r="L184" s="200" t="str">
        <f aca="false">IF($A185="","",VLOOKUP($A184,Table,MATCH(L$4,Curves,0)))</f>
        <v/>
      </c>
      <c r="M184" s="201" t="str">
        <f aca="false">IF(A185="","",L184)</f>
        <v/>
      </c>
      <c r="N184" s="203"/>
      <c r="O184" s="200" t="str">
        <f aca="false">IF(A185="","",L184+J184+G184)</f>
        <v/>
      </c>
      <c r="P184" s="200" t="str">
        <f aca="false">IF(A185="","",M184+K184+H184)</f>
        <v/>
      </c>
      <c r="Q184" s="204"/>
      <c r="R184" s="200" t="str">
        <f aca="false">IF($A185="","",VLOOKUP($A184,Table,MATCH(R$4,Curves,0)))</f>
        <v/>
      </c>
      <c r="S184" s="201" t="str">
        <f aca="false">IF(A185="","",R184)</f>
        <v/>
      </c>
      <c r="T184" s="185" t="n">
        <v>0</v>
      </c>
      <c r="U184" s="201" t="str">
        <f aca="false">IF(A185="","",T184)</f>
        <v/>
      </c>
      <c r="V184" s="205" t="str">
        <f aca="false">IF($A185="","",IF(AND(MONTH(A184)&gt;3,MONTH(A184)&lt;11),(T184+R184+G184)*Summary!$T$11/(1-Summary!$T$11),(T184+R184+G184)*Summary!$U$11/(1-Summary!$U$11)))</f>
        <v/>
      </c>
      <c r="W184" s="202" t="str">
        <f aca="false">IF($A185="","",(T184+R184+G184+V184))</f>
        <v/>
      </c>
      <c r="X184" s="202" t="str">
        <f aca="false">IF($A185="","",(U184+S184+H184+V184))</f>
        <v/>
      </c>
      <c r="Y184" s="202"/>
      <c r="Z184" s="185" t="str">
        <f aca="false">IF($A185="","",VLOOKUP($A184,Table,MATCH(Z$4,Curves,0)))</f>
        <v/>
      </c>
      <c r="AA184" s="185" t="str">
        <f aca="false">IF($A185="","",VLOOKUP($A184,Table,MATCH(AA$4,Curves,0)))</f>
        <v/>
      </c>
      <c r="AB184" s="185" t="e">
        <f aca="false">SQRT((AA184^2*(A184-$D$3)+Z184^2*(DAY(EOMONTH(A184,0))/2))/AK184)</f>
        <v>#VALUE!</v>
      </c>
      <c r="AC184" s="185" t="str">
        <f aca="false">IF($A185="","",VLOOKUP($A184,Table,MATCH(AC$4,Curves,0)))</f>
        <v/>
      </c>
      <c r="AD184" s="185" t="str">
        <f aca="false">IF($A185="","",VLOOKUP($A184,Table,MATCH(AD$4,Curves,0)))</f>
        <v/>
      </c>
      <c r="AE184" s="185" t="e">
        <f aca="false">SQRT((AD184^2*(A184-$D$3)+AC184^2*(DAY(EOMONTH(A184,0))/2))/AK184)</f>
        <v>#VALUE!</v>
      </c>
      <c r="AF184" s="206" t="e">
        <f aca="false">((Summary!$N$11*(AA184*AD184)*(A184-$D$3))+(Summary!$M$11*Z184*AC184*(AJ184-EOMONTH(EDATE(A184,-1),0))))/(AK184*AB184*AE184)</f>
        <v>#VALUE!</v>
      </c>
      <c r="AG184" s="207" t="str">
        <f aca="false">IF($A185="","",Summary!$Q$11)</f>
        <v/>
      </c>
      <c r="AH184" s="207" t="str">
        <f aca="false">IF($A185="","",IF(Summary!$R$11="Y",(VLOOKUP($A184,Summary!$AD$6:$AF$9,3)+'Escalating commodity'!G197),'Escalating commodity'!G197))</f>
        <v/>
      </c>
      <c r="AI184" s="207" t="str">
        <f aca="false">IF($A185="","",AH184)</f>
        <v/>
      </c>
      <c r="AJ184" s="208" t="e">
        <f aca="false">A184+DAY(EOMONTH(A184,0))/2-1</f>
        <v>#VALUE!</v>
      </c>
      <c r="AK184" s="209" t="str">
        <f aca="false">IF($A185="","",$A184-$E$1)</f>
        <v/>
      </c>
      <c r="AL184" s="182" t="str">
        <f aca="false">IF($A185="","",SPRDOPT(P184,X184,AI184,0,AB184,AE184,AF184,AK184,$AJ$2,0))</f>
        <v/>
      </c>
      <c r="AM184" s="210" t="str">
        <f aca="false">IF($A185="","",MAX(0,O184-W184-AI184))</f>
        <v/>
      </c>
      <c r="AN184" s="211" t="str">
        <f aca="false">IF($A185="","",AL184-AM184)</f>
        <v/>
      </c>
      <c r="AO184" s="137" t="str">
        <f aca="false">IF(A185="","",A185-A184)</f>
        <v/>
      </c>
      <c r="AP184" s="212" t="str">
        <f aca="false">IF(A185="","",CHOOSE(F$3,A185+24,A184))</f>
        <v/>
      </c>
      <c r="AQ184" s="209" t="str">
        <f aca="false">IF(A185="","",AP184-$E$1)</f>
        <v/>
      </c>
      <c r="AR184" s="185" t="n">
        <f aca="false">'ANR OK vs ML7'!AR184</f>
        <v>0.1</v>
      </c>
      <c r="AS184" s="213" t="str">
        <f aca="false">IF(A185="","",1/(1+CHOOSE(F$3,(AR185+($I$3/10000))/2,(AR184+($I$3/10000))/2))^(2*AQ184/365.25))</f>
        <v/>
      </c>
      <c r="AT184" s="137" t="str">
        <f aca="false">IF(A185="","",IF(AND(mthbeg&lt;=A184,mthend&gt;=A184),1,0))</f>
        <v/>
      </c>
      <c r="AU184" s="137" t="str">
        <f aca="false">IF(A185="","",AO184*AT184)</f>
        <v/>
      </c>
      <c r="AW184" s="195" t="str">
        <f aca="false">IF($A185="","",AL184*$E184)</f>
        <v/>
      </c>
      <c r="AX184" s="195" t="str">
        <f aca="false">IF($A185="","",AM184*$E184)</f>
        <v/>
      </c>
      <c r="AY184" s="195" t="str">
        <f aca="false">IF($A185="","",AN184*$E184)</f>
        <v/>
      </c>
      <c r="BA184" s="195" t="str">
        <f aca="false">IF($A185="","",F184*Summary!$Q$11)</f>
        <v/>
      </c>
    </row>
    <row r="185" customFormat="false" ht="12" hidden="false" customHeight="true" outlineLevel="0" collapsed="false">
      <c r="A185" s="196" t="str">
        <f aca="false">IF(A184&lt;mthend,EDATE(A184,1),"")</f>
        <v/>
      </c>
      <c r="B185" s="197" t="str">
        <f aca="false">IF(A185&lt;mthend,B184,"")</f>
        <v/>
      </c>
      <c r="C185" s="215"/>
      <c r="D185" s="197" t="str">
        <f aca="false">IF(A186&lt;&gt;"",B185+C185,"")</f>
        <v/>
      </c>
      <c r="E185" s="199" t="str">
        <f aca="false">IF(A186="","",IF(AND(AT185=1,$H$3=1),D185*AO185,IF($H$3=2,D185,"N/A")))</f>
        <v/>
      </c>
      <c r="F185" s="199" t="str">
        <f aca="false">IF(A186="","",E185*AS185)</f>
        <v/>
      </c>
      <c r="G185" s="200" t="str">
        <f aca="false">IF($A186="","",VLOOKUP($A185,Table,MATCH(G$4,Curves,0)))</f>
        <v/>
      </c>
      <c r="H185" s="201" t="str">
        <f aca="false">IF(A186="","",G185)</f>
        <v/>
      </c>
      <c r="I185" s="202"/>
      <c r="J185" s="200" t="str">
        <f aca="false">IF($A186="","",VLOOKUP($A185,Table,MATCH(J$4,Curves,0)))</f>
        <v/>
      </c>
      <c r="K185" s="201" t="str">
        <f aca="false">IF(A186="","",J185)</f>
        <v/>
      </c>
      <c r="L185" s="200" t="str">
        <f aca="false">IF($A186="","",VLOOKUP($A185,Table,MATCH(L$4,Curves,0)))</f>
        <v/>
      </c>
      <c r="M185" s="201" t="str">
        <f aca="false">IF(A186="","",L185)</f>
        <v/>
      </c>
      <c r="N185" s="203"/>
      <c r="O185" s="200" t="str">
        <f aca="false">IF(A186="","",L185+J185+G185)</f>
        <v/>
      </c>
      <c r="P185" s="200" t="str">
        <f aca="false">IF(A186="","",M185+K185+H185)</f>
        <v/>
      </c>
      <c r="Q185" s="204"/>
      <c r="R185" s="200" t="str">
        <f aca="false">IF($A186="","",VLOOKUP($A185,Table,MATCH(R$4,Curves,0)))</f>
        <v/>
      </c>
      <c r="S185" s="201" t="str">
        <f aca="false">IF(A186="","",R185)</f>
        <v/>
      </c>
      <c r="T185" s="185" t="n">
        <v>0</v>
      </c>
      <c r="U185" s="201" t="str">
        <f aca="false">IF(A186="","",T185)</f>
        <v/>
      </c>
      <c r="V185" s="205" t="str">
        <f aca="false">IF($A186="","",IF(AND(MONTH(A185)&gt;3,MONTH(A185)&lt;11),(T185+R185+G185)*Summary!$T$11/(1-Summary!$T$11),(T185+R185+G185)*Summary!$U$11/(1-Summary!$U$11)))</f>
        <v/>
      </c>
      <c r="W185" s="202" t="str">
        <f aca="false">IF($A186="","",(T185+R185+G185+V185))</f>
        <v/>
      </c>
      <c r="X185" s="202" t="str">
        <f aca="false">IF($A186="","",(U185+S185+H185+V185))</f>
        <v/>
      </c>
      <c r="Y185" s="202"/>
      <c r="Z185" s="185" t="str">
        <f aca="false">IF($A186="","",VLOOKUP($A185,Table,MATCH(Z$4,Curves,0)))</f>
        <v/>
      </c>
      <c r="AA185" s="185" t="str">
        <f aca="false">IF($A186="","",VLOOKUP($A185,Table,MATCH(AA$4,Curves,0)))</f>
        <v/>
      </c>
      <c r="AB185" s="185" t="e">
        <f aca="false">SQRT((AA185^2*(A185-$D$3)+Z185^2*(DAY(EOMONTH(A185,0))/2))/AK185)</f>
        <v>#VALUE!</v>
      </c>
      <c r="AC185" s="185" t="str">
        <f aca="false">IF($A186="","",VLOOKUP($A185,Table,MATCH(AC$4,Curves,0)))</f>
        <v/>
      </c>
      <c r="AD185" s="185" t="str">
        <f aca="false">IF($A186="","",VLOOKUP($A185,Table,MATCH(AD$4,Curves,0)))</f>
        <v/>
      </c>
      <c r="AE185" s="185" t="e">
        <f aca="false">SQRT((AD185^2*(A185-$D$3)+AC185^2*(DAY(EOMONTH(A185,0))/2))/AK185)</f>
        <v>#VALUE!</v>
      </c>
      <c r="AF185" s="206" t="e">
        <f aca="false">((Summary!$N$11*(AA185*AD185)*(A185-$D$3))+(Summary!$M$11*Z185*AC185*(AJ185-EOMONTH(EDATE(A185,-1),0))))/(AK185*AB185*AE185)</f>
        <v>#VALUE!</v>
      </c>
      <c r="AG185" s="207" t="str">
        <f aca="false">IF($A186="","",Summary!$Q$11)</f>
        <v/>
      </c>
      <c r="AH185" s="207" t="str">
        <f aca="false">IF($A186="","",IF(Summary!$R$11="Y",(VLOOKUP($A185,Summary!$AD$6:$AF$9,3)+'Escalating commodity'!G198),'Escalating commodity'!G198))</f>
        <v/>
      </c>
      <c r="AI185" s="207" t="str">
        <f aca="false">IF($A186="","",AH185)</f>
        <v/>
      </c>
      <c r="AJ185" s="208" t="e">
        <f aca="false">A185+DAY(EOMONTH(A185,0))/2-1</f>
        <v>#VALUE!</v>
      </c>
      <c r="AK185" s="209" t="str">
        <f aca="false">IF($A186="","",$A185-$E$1)</f>
        <v/>
      </c>
      <c r="AL185" s="182" t="str">
        <f aca="false">IF($A186="","",SPRDOPT(P185,X185,AI185,0,AB185,AE185,AF185,AK185,$AJ$2,0))</f>
        <v/>
      </c>
      <c r="AM185" s="210" t="str">
        <f aca="false">IF($A186="","",MAX(0,O185-W185-AI185))</f>
        <v/>
      </c>
      <c r="AN185" s="211" t="str">
        <f aca="false">IF($A186="","",AL185-AM185)</f>
        <v/>
      </c>
      <c r="AO185" s="137" t="str">
        <f aca="false">IF(A186="","",A186-A185)</f>
        <v/>
      </c>
      <c r="AP185" s="212" t="str">
        <f aca="false">IF(A186="","",CHOOSE(F$3,A186+24,A185))</f>
        <v/>
      </c>
      <c r="AQ185" s="209" t="str">
        <f aca="false">IF(A186="","",AP185-$E$1)</f>
        <v/>
      </c>
      <c r="AR185" s="185" t="n">
        <f aca="false">'ANR OK vs ML7'!AR185</f>
        <v>0.1</v>
      </c>
      <c r="AS185" s="213" t="str">
        <f aca="false">IF(A186="","",1/(1+CHOOSE(F$3,(AR186+($I$3/10000))/2,(AR185+($I$3/10000))/2))^(2*AQ185/365.25))</f>
        <v/>
      </c>
      <c r="AT185" s="137" t="str">
        <f aca="false">IF(A186="","",IF(AND(mthbeg&lt;=A185,mthend&gt;=A185),1,0))</f>
        <v/>
      </c>
      <c r="AU185" s="137" t="str">
        <f aca="false">IF(A186="","",AO185*AT185)</f>
        <v/>
      </c>
      <c r="AW185" s="195" t="str">
        <f aca="false">IF($A186="","",AL185*$E185)</f>
        <v/>
      </c>
      <c r="AX185" s="195" t="str">
        <f aca="false">IF($A186="","",AM185*$E185)</f>
        <v/>
      </c>
      <c r="AY185" s="195" t="str">
        <f aca="false">IF($A186="","",AN185*$E185)</f>
        <v/>
      </c>
      <c r="BA185" s="195" t="str">
        <f aca="false">IF($A186="","",F185*Summary!$Q$11)</f>
        <v/>
      </c>
    </row>
    <row r="186" customFormat="false" ht="12" hidden="false" customHeight="true" outlineLevel="0" collapsed="false">
      <c r="A186" s="196" t="str">
        <f aca="false">IF(A185&lt;mthend,EDATE(A185,1),"")</f>
        <v/>
      </c>
      <c r="B186" s="197" t="str">
        <f aca="false">IF(A186&lt;mthend,B185,"")</f>
        <v/>
      </c>
      <c r="C186" s="215"/>
      <c r="D186" s="197" t="str">
        <f aca="false">IF(A187&lt;&gt;"",B186+C186,"")</f>
        <v/>
      </c>
      <c r="E186" s="199" t="str">
        <f aca="false">IF(A187="","",IF(AND(AT186=1,$H$3=1),D186*AO186,IF($H$3=2,D186,"N/A")))</f>
        <v/>
      </c>
      <c r="F186" s="199" t="str">
        <f aca="false">IF(A187="","",E186*AS186)</f>
        <v/>
      </c>
      <c r="G186" s="200" t="str">
        <f aca="false">IF($A187="","",VLOOKUP($A186,Table,MATCH(G$4,Curves,0)))</f>
        <v/>
      </c>
      <c r="H186" s="201" t="str">
        <f aca="false">IF(A187="","",G186)</f>
        <v/>
      </c>
      <c r="I186" s="202"/>
      <c r="J186" s="200" t="str">
        <f aca="false">IF($A187="","",VLOOKUP($A186,Table,MATCH(J$4,Curves,0)))</f>
        <v/>
      </c>
      <c r="K186" s="201" t="str">
        <f aca="false">IF(A187="","",J186)</f>
        <v/>
      </c>
      <c r="L186" s="200" t="str">
        <f aca="false">IF($A187="","",VLOOKUP($A186,Table,MATCH(L$4,Curves,0)))</f>
        <v/>
      </c>
      <c r="M186" s="201" t="str">
        <f aca="false">IF(A187="","",L186)</f>
        <v/>
      </c>
      <c r="N186" s="203"/>
      <c r="O186" s="200" t="str">
        <f aca="false">IF(A187="","",L186+J186+G186)</f>
        <v/>
      </c>
      <c r="P186" s="200" t="str">
        <f aca="false">IF(A187="","",M186+K186+H186)</f>
        <v/>
      </c>
      <c r="Q186" s="204"/>
      <c r="R186" s="200" t="str">
        <f aca="false">IF($A187="","",VLOOKUP($A186,Table,MATCH(R$4,Curves,0)))</f>
        <v/>
      </c>
      <c r="S186" s="201" t="str">
        <f aca="false">IF(A187="","",R186)</f>
        <v/>
      </c>
      <c r="T186" s="185" t="n">
        <v>0</v>
      </c>
      <c r="U186" s="201" t="str">
        <f aca="false">IF(A187="","",T186)</f>
        <v/>
      </c>
      <c r="V186" s="205" t="str">
        <f aca="false">IF($A187="","",IF(AND(MONTH(A186)&gt;3,MONTH(A186)&lt;11),(T186+R186+G186)*Summary!$T$11/(1-Summary!$T$11),(T186+R186+G186)*Summary!$U$11/(1-Summary!$U$11)))</f>
        <v/>
      </c>
      <c r="W186" s="202" t="str">
        <f aca="false">IF($A187="","",(T186+R186+G186+V186))</f>
        <v/>
      </c>
      <c r="X186" s="202" t="str">
        <f aca="false">IF($A187="","",(U186+S186+H186+V186))</f>
        <v/>
      </c>
      <c r="Y186" s="202"/>
      <c r="Z186" s="185" t="str">
        <f aca="false">IF($A187="","",VLOOKUP($A186,Table,MATCH(Z$4,Curves,0)))</f>
        <v/>
      </c>
      <c r="AA186" s="185" t="str">
        <f aca="false">IF($A187="","",VLOOKUP($A186,Table,MATCH(AA$4,Curves,0)))</f>
        <v/>
      </c>
      <c r="AB186" s="185" t="e">
        <f aca="false">SQRT((AA186^2*(A186-$D$3)+Z186^2*(DAY(EOMONTH(A186,0))/2))/AK186)</f>
        <v>#VALUE!</v>
      </c>
      <c r="AC186" s="185" t="str">
        <f aca="false">IF($A187="","",VLOOKUP($A186,Table,MATCH(AC$4,Curves,0)))</f>
        <v/>
      </c>
      <c r="AD186" s="185" t="str">
        <f aca="false">IF($A187="","",VLOOKUP($A186,Table,MATCH(AD$4,Curves,0)))</f>
        <v/>
      </c>
      <c r="AE186" s="185" t="e">
        <f aca="false">SQRT((AD186^2*(A186-$D$3)+AC186^2*(DAY(EOMONTH(A186,0))/2))/AK186)</f>
        <v>#VALUE!</v>
      </c>
      <c r="AF186" s="206" t="e">
        <f aca="false">((Summary!$N$11*(AA186*AD186)*(A186-$D$3))+(Summary!$M$11*Z186*AC186*(AJ186-EOMONTH(EDATE(A186,-1),0))))/(AK186*AB186*AE186)</f>
        <v>#VALUE!</v>
      </c>
      <c r="AG186" s="207" t="str">
        <f aca="false">IF($A187="","",Summary!$Q$11)</f>
        <v/>
      </c>
      <c r="AH186" s="207" t="str">
        <f aca="false">IF($A187="","",IF(Summary!$R$11="Y",(VLOOKUP($A186,Summary!$AD$6:$AF$9,3)+'Escalating commodity'!G199),'Escalating commodity'!G199))</f>
        <v/>
      </c>
      <c r="AI186" s="207" t="str">
        <f aca="false">IF($A187="","",AH186)</f>
        <v/>
      </c>
      <c r="AJ186" s="208" t="e">
        <f aca="false">A186+DAY(EOMONTH(A186,0))/2-1</f>
        <v>#VALUE!</v>
      </c>
      <c r="AK186" s="209" t="str">
        <f aca="false">IF($A187="","",$A186-$E$1)</f>
        <v/>
      </c>
      <c r="AL186" s="182" t="str">
        <f aca="false">IF($A187="","",SPRDOPT(P186,X186,AI186,0,AB186,AE186,AF186,AK186,$AJ$2,0))</f>
        <v/>
      </c>
      <c r="AM186" s="210" t="str">
        <f aca="false">IF($A187="","",MAX(0,O186-W186-AI186))</f>
        <v/>
      </c>
      <c r="AN186" s="211" t="str">
        <f aca="false">IF($A187="","",AL186-AM186)</f>
        <v/>
      </c>
      <c r="AO186" s="137" t="str">
        <f aca="false">IF(A187="","",A187-A186)</f>
        <v/>
      </c>
      <c r="AP186" s="212" t="str">
        <f aca="false">IF(A187="","",CHOOSE(F$3,A187+24,A186))</f>
        <v/>
      </c>
      <c r="AQ186" s="209" t="str">
        <f aca="false">IF(A187="","",AP186-$E$1)</f>
        <v/>
      </c>
      <c r="AR186" s="185" t="n">
        <f aca="false">'ANR OK vs ML7'!AR186</f>
        <v>0.1</v>
      </c>
      <c r="AS186" s="213" t="str">
        <f aca="false">IF(A187="","",1/(1+CHOOSE(F$3,(AR187+($I$3/10000))/2,(AR186+($I$3/10000))/2))^(2*AQ186/365.25))</f>
        <v/>
      </c>
      <c r="AT186" s="137" t="str">
        <f aca="false">IF(A187="","",IF(AND(mthbeg&lt;=A186,mthend&gt;=A186),1,0))</f>
        <v/>
      </c>
      <c r="AU186" s="137" t="str">
        <f aca="false">IF(A187="","",AO186*AT186)</f>
        <v/>
      </c>
      <c r="AW186" s="195" t="str">
        <f aca="false">IF($A187="","",AL186*$E186)</f>
        <v/>
      </c>
      <c r="AX186" s="195" t="str">
        <f aca="false">IF($A187="","",AM186*$E186)</f>
        <v/>
      </c>
      <c r="AY186" s="195" t="str">
        <f aca="false">IF($A187="","",AN186*$E186)</f>
        <v/>
      </c>
      <c r="BA186" s="195" t="str">
        <f aca="false">IF($A187="","",F186*Summary!$Q$11)</f>
        <v/>
      </c>
    </row>
    <row r="187" customFormat="false" ht="12" hidden="false" customHeight="true" outlineLevel="0" collapsed="false">
      <c r="A187" s="196" t="str">
        <f aca="false">IF(A186&lt;mthend,EDATE(A186,1),"")</f>
        <v/>
      </c>
      <c r="B187" s="197" t="str">
        <f aca="false">IF(A187&lt;mthend,B186,"")</f>
        <v/>
      </c>
      <c r="C187" s="215"/>
      <c r="D187" s="197" t="str">
        <f aca="false">IF(A188&lt;&gt;"",B187+C187,"")</f>
        <v/>
      </c>
      <c r="E187" s="199" t="str">
        <f aca="false">IF(A188="","",IF(AND(AT187=1,$H$3=1),D187*AO187,IF($H$3=2,D187,"N/A")))</f>
        <v/>
      </c>
      <c r="F187" s="199" t="str">
        <f aca="false">IF(A188="","",E187*AS187)</f>
        <v/>
      </c>
      <c r="G187" s="200" t="str">
        <f aca="false">IF($A188="","",VLOOKUP($A187,Table,MATCH(G$4,Curves,0)))</f>
        <v/>
      </c>
      <c r="H187" s="201" t="str">
        <f aca="false">IF(A188="","",G187)</f>
        <v/>
      </c>
      <c r="I187" s="202"/>
      <c r="J187" s="200" t="str">
        <f aca="false">IF($A188="","",VLOOKUP($A187,Table,MATCH(J$4,Curves,0)))</f>
        <v/>
      </c>
      <c r="K187" s="201" t="str">
        <f aca="false">IF(A188="","",J187)</f>
        <v/>
      </c>
      <c r="L187" s="200" t="str">
        <f aca="false">IF($A188="","",VLOOKUP($A187,Table,MATCH(L$4,Curves,0)))</f>
        <v/>
      </c>
      <c r="M187" s="201" t="str">
        <f aca="false">IF(A188="","",L187)</f>
        <v/>
      </c>
      <c r="N187" s="203"/>
      <c r="O187" s="200" t="str">
        <f aca="false">IF(A188="","",L187+J187+G187)</f>
        <v/>
      </c>
      <c r="P187" s="200" t="str">
        <f aca="false">IF(A188="","",M187+K187+H187)</f>
        <v/>
      </c>
      <c r="Q187" s="204"/>
      <c r="R187" s="200" t="str">
        <f aca="false">IF($A188="","",VLOOKUP($A187,Table,MATCH(R$4,Curves,0)))</f>
        <v/>
      </c>
      <c r="S187" s="201" t="str">
        <f aca="false">IF(A188="","",R187)</f>
        <v/>
      </c>
      <c r="T187" s="185" t="n">
        <v>0</v>
      </c>
      <c r="U187" s="201" t="str">
        <f aca="false">IF(A188="","",T187)</f>
        <v/>
      </c>
      <c r="V187" s="205" t="str">
        <f aca="false">IF($A188="","",IF(AND(MONTH(A187)&gt;3,MONTH(A187)&lt;11),(T187+R187+G187)*Summary!$T$11/(1-Summary!$T$11),(T187+R187+G187)*Summary!$U$11/(1-Summary!$U$11)))</f>
        <v/>
      </c>
      <c r="W187" s="202" t="str">
        <f aca="false">IF($A188="","",(T187+R187+G187+V187))</f>
        <v/>
      </c>
      <c r="X187" s="202" t="str">
        <f aca="false">IF($A188="","",(U187+S187+H187+V187))</f>
        <v/>
      </c>
      <c r="Y187" s="202"/>
      <c r="Z187" s="185" t="str">
        <f aca="false">IF($A188="","",VLOOKUP($A187,Table,MATCH(Z$4,Curves,0)))</f>
        <v/>
      </c>
      <c r="AA187" s="185" t="str">
        <f aca="false">IF($A188="","",VLOOKUP($A187,Table,MATCH(AA$4,Curves,0)))</f>
        <v/>
      </c>
      <c r="AB187" s="185" t="e">
        <f aca="false">SQRT((AA187^2*(A187-$D$3)+Z187^2*(DAY(EOMONTH(A187,0))/2))/AK187)</f>
        <v>#VALUE!</v>
      </c>
      <c r="AC187" s="185" t="str">
        <f aca="false">IF($A188="","",VLOOKUP($A187,Table,MATCH(AC$4,Curves,0)))</f>
        <v/>
      </c>
      <c r="AD187" s="185" t="str">
        <f aca="false">IF($A188="","",VLOOKUP($A187,Table,MATCH(AD$4,Curves,0)))</f>
        <v/>
      </c>
      <c r="AE187" s="185" t="e">
        <f aca="false">SQRT((AD187^2*(A187-$D$3)+AC187^2*(DAY(EOMONTH(A187,0))/2))/AK187)</f>
        <v>#VALUE!</v>
      </c>
      <c r="AF187" s="206" t="e">
        <f aca="false">((Summary!$N$11*(AA187*AD187)*(A187-$D$3))+(Summary!$M$11*Z187*AC187*(AJ187-EOMONTH(EDATE(A187,-1),0))))/(AK187*AB187*AE187)</f>
        <v>#VALUE!</v>
      </c>
      <c r="AG187" s="207" t="str">
        <f aca="false">IF($A188="","",Summary!$Q$11)</f>
        <v/>
      </c>
      <c r="AH187" s="207" t="str">
        <f aca="false">IF($A188="","",IF(Summary!$R$11="Y",(VLOOKUP($A187,Summary!$AD$6:$AF$9,3)+'Escalating commodity'!G200),'Escalating commodity'!G200))</f>
        <v/>
      </c>
      <c r="AI187" s="207" t="str">
        <f aca="false">IF($A188="","",AH187)</f>
        <v/>
      </c>
      <c r="AJ187" s="208" t="e">
        <f aca="false">A187+DAY(EOMONTH(A187,0))/2-1</f>
        <v>#VALUE!</v>
      </c>
      <c r="AK187" s="209" t="str">
        <f aca="false">IF($A188="","",$A187-$E$1)</f>
        <v/>
      </c>
      <c r="AL187" s="182" t="str">
        <f aca="false">IF($A188="","",SPRDOPT(P187,X187,AI187,0,AB187,AE187,AF187,AK187,$AJ$2,0))</f>
        <v/>
      </c>
      <c r="AM187" s="210" t="str">
        <f aca="false">IF($A188="","",MAX(0,O187-W187-AI187))</f>
        <v/>
      </c>
      <c r="AN187" s="211" t="str">
        <f aca="false">IF($A188="","",AL187-AM187)</f>
        <v/>
      </c>
      <c r="AO187" s="137" t="str">
        <f aca="false">IF(A188="","",A188-A187)</f>
        <v/>
      </c>
      <c r="AP187" s="212" t="str">
        <f aca="false">IF(A188="","",CHOOSE(F$3,A188+24,A187))</f>
        <v/>
      </c>
      <c r="AQ187" s="209" t="str">
        <f aca="false">IF(A188="","",AP187-$E$1)</f>
        <v/>
      </c>
      <c r="AR187" s="185" t="n">
        <f aca="false">'ANR OK vs ML7'!AR187</f>
        <v>0.1</v>
      </c>
      <c r="AS187" s="213" t="str">
        <f aca="false">IF(A188="","",1/(1+CHOOSE(F$3,(AR188+($I$3/10000))/2,(AR187+($I$3/10000))/2))^(2*AQ187/365.25))</f>
        <v/>
      </c>
      <c r="AT187" s="137" t="str">
        <f aca="false">IF(A188="","",IF(AND(mthbeg&lt;=A187,mthend&gt;=A187),1,0))</f>
        <v/>
      </c>
      <c r="AU187" s="137" t="str">
        <f aca="false">IF(A188="","",AO187*AT187)</f>
        <v/>
      </c>
      <c r="AW187" s="195" t="str">
        <f aca="false">IF($A188="","",AL187*$E187)</f>
        <v/>
      </c>
      <c r="AX187" s="195" t="str">
        <f aca="false">IF($A188="","",AM187*$E187)</f>
        <v/>
      </c>
      <c r="AY187" s="195" t="str">
        <f aca="false">IF($A188="","",AN187*$E187)</f>
        <v/>
      </c>
      <c r="BA187" s="195" t="str">
        <f aca="false">IF($A188="","",F187*Summary!$Q$11)</f>
        <v/>
      </c>
    </row>
    <row r="188" customFormat="false" ht="12" hidden="false" customHeight="true" outlineLevel="0" collapsed="false">
      <c r="A188" s="196" t="str">
        <f aca="false">IF(A187&lt;mthend,EDATE(A187,1),"")</f>
        <v/>
      </c>
      <c r="B188" s="197" t="str">
        <f aca="false">IF(A188&lt;mthend,B187,"")</f>
        <v/>
      </c>
      <c r="C188" s="215"/>
      <c r="D188" s="197" t="str">
        <f aca="false">IF(A189&lt;&gt;"",B188+C188,"")</f>
        <v/>
      </c>
      <c r="E188" s="199" t="str">
        <f aca="false">IF(A189="","",IF(AND(AT188=1,$H$3=1),D188*AO188,IF($H$3=2,D188,"N/A")))</f>
        <v/>
      </c>
      <c r="F188" s="199" t="str">
        <f aca="false">IF(A189="","",E188*AS188)</f>
        <v/>
      </c>
      <c r="G188" s="200" t="str">
        <f aca="false">IF($A189="","",VLOOKUP($A188,Table,MATCH(G$4,Curves,0)))</f>
        <v/>
      </c>
      <c r="H188" s="201" t="str">
        <f aca="false">IF(A189="","",G188)</f>
        <v/>
      </c>
      <c r="I188" s="202"/>
      <c r="J188" s="200" t="str">
        <f aca="false">IF($A189="","",VLOOKUP($A188,Table,MATCH(J$4,Curves,0)))</f>
        <v/>
      </c>
      <c r="K188" s="201" t="str">
        <f aca="false">IF(A189="","",J188)</f>
        <v/>
      </c>
      <c r="L188" s="200" t="str">
        <f aca="false">IF($A189="","",VLOOKUP($A188,Table,MATCH(L$4,Curves,0)))</f>
        <v/>
      </c>
      <c r="M188" s="201" t="str">
        <f aca="false">IF(A189="","",L188)</f>
        <v/>
      </c>
      <c r="N188" s="203"/>
      <c r="O188" s="200" t="str">
        <f aca="false">IF(A189="","",L188+J188+G188)</f>
        <v/>
      </c>
      <c r="P188" s="200" t="str">
        <f aca="false">IF(A189="","",M188+K188+H188)</f>
        <v/>
      </c>
      <c r="Q188" s="204"/>
      <c r="R188" s="200" t="str">
        <f aca="false">IF($A189="","",VLOOKUP($A188,Table,MATCH(R$4,Curves,0)))</f>
        <v/>
      </c>
      <c r="S188" s="201" t="str">
        <f aca="false">IF(A189="","",R188)</f>
        <v/>
      </c>
      <c r="T188" s="185" t="n">
        <v>0</v>
      </c>
      <c r="U188" s="201" t="str">
        <f aca="false">IF(A189="","",T188)</f>
        <v/>
      </c>
      <c r="V188" s="205" t="str">
        <f aca="false">IF($A189="","",IF(AND(MONTH(A188)&gt;3,MONTH(A188)&lt;11),(T188+R188+G188)*Summary!$T$11/(1-Summary!$T$11),(T188+R188+G188)*Summary!$U$11/(1-Summary!$U$11)))</f>
        <v/>
      </c>
      <c r="W188" s="202" t="str">
        <f aca="false">IF($A189="","",(T188+R188+G188+V188))</f>
        <v/>
      </c>
      <c r="X188" s="202" t="str">
        <f aca="false">IF($A189="","",(U188+S188+H188+V188))</f>
        <v/>
      </c>
      <c r="Y188" s="202"/>
      <c r="Z188" s="185" t="str">
        <f aca="false">IF($A189="","",VLOOKUP($A188,Table,MATCH(Z$4,Curves,0)))</f>
        <v/>
      </c>
      <c r="AA188" s="185" t="str">
        <f aca="false">IF($A189="","",VLOOKUP($A188,Table,MATCH(AA$4,Curves,0)))</f>
        <v/>
      </c>
      <c r="AB188" s="185" t="e">
        <f aca="false">SQRT((AA188^2*(A188-$D$3)+Z188^2*(DAY(EOMONTH(A188,0))/2))/AK188)</f>
        <v>#VALUE!</v>
      </c>
      <c r="AC188" s="185" t="str">
        <f aca="false">IF($A189="","",VLOOKUP($A188,Table,MATCH(AC$4,Curves,0)))</f>
        <v/>
      </c>
      <c r="AD188" s="185" t="str">
        <f aca="false">IF($A189="","",VLOOKUP($A188,Table,MATCH(AD$4,Curves,0)))</f>
        <v/>
      </c>
      <c r="AE188" s="185" t="e">
        <f aca="false">SQRT((AD188^2*(A188-$D$3)+AC188^2*(DAY(EOMONTH(A188,0))/2))/AK188)</f>
        <v>#VALUE!</v>
      </c>
      <c r="AF188" s="206" t="e">
        <f aca="false">((Summary!$N$11*(AA188*AD188)*(A188-$D$3))+(Summary!$M$11*Z188*AC188*(AJ188-EOMONTH(EDATE(A188,-1),0))))/(AK188*AB188*AE188)</f>
        <v>#VALUE!</v>
      </c>
      <c r="AG188" s="207" t="str">
        <f aca="false">IF($A189="","",Summary!$Q$11)</f>
        <v/>
      </c>
      <c r="AH188" s="207" t="str">
        <f aca="false">IF($A189="","",IF(Summary!$R$11="Y",(VLOOKUP($A188,Summary!$AD$6:$AF$9,3)+'Escalating commodity'!G201),'Escalating commodity'!G201))</f>
        <v/>
      </c>
      <c r="AI188" s="207" t="str">
        <f aca="false">IF($A189="","",AH188)</f>
        <v/>
      </c>
      <c r="AJ188" s="208" t="e">
        <f aca="false">A188+DAY(EOMONTH(A188,0))/2-1</f>
        <v>#VALUE!</v>
      </c>
      <c r="AK188" s="209" t="str">
        <f aca="false">IF($A189="","",$A188-$E$1)</f>
        <v/>
      </c>
      <c r="AL188" s="182" t="str">
        <f aca="false">IF($A189="","",SPRDOPT(P188,X188,AI188,0,AB188,AE188,AF188,AK188,$AJ$2,0))</f>
        <v/>
      </c>
      <c r="AM188" s="210" t="str">
        <f aca="false">IF($A189="","",MAX(0,O188-W188-AI188))</f>
        <v/>
      </c>
      <c r="AN188" s="211" t="str">
        <f aca="false">IF($A189="","",AL188-AM188)</f>
        <v/>
      </c>
      <c r="AO188" s="137" t="str">
        <f aca="false">IF(A189="","",A189-A188)</f>
        <v/>
      </c>
      <c r="AP188" s="212" t="str">
        <f aca="false">IF(A189="","",CHOOSE(F$3,A189+24,A188))</f>
        <v/>
      </c>
      <c r="AQ188" s="209" t="str">
        <f aca="false">IF(A189="","",AP188-$E$1)</f>
        <v/>
      </c>
      <c r="AR188" s="185" t="n">
        <f aca="false">'ANR OK vs ML7'!AR188</f>
        <v>0.1</v>
      </c>
      <c r="AS188" s="213" t="str">
        <f aca="false">IF(A189="","",1/(1+CHOOSE(F$3,(AR189+($I$3/10000))/2,(AR188+($I$3/10000))/2))^(2*AQ188/365.25))</f>
        <v/>
      </c>
      <c r="AT188" s="137" t="str">
        <f aca="false">IF(A189="","",IF(AND(mthbeg&lt;=A188,mthend&gt;=A188),1,0))</f>
        <v/>
      </c>
      <c r="AU188" s="137" t="str">
        <f aca="false">IF(A189="","",AO188*AT188)</f>
        <v/>
      </c>
      <c r="AW188" s="195" t="str">
        <f aca="false">IF($A189="","",AL188*$E188)</f>
        <v/>
      </c>
      <c r="AX188" s="195" t="str">
        <f aca="false">IF($A189="","",AM188*$E188)</f>
        <v/>
      </c>
      <c r="AY188" s="195" t="str">
        <f aca="false">IF($A189="","",AN188*$E188)</f>
        <v/>
      </c>
      <c r="BA188" s="195" t="str">
        <f aca="false">IF($A189="","",F188*Summary!$Q$11)</f>
        <v/>
      </c>
    </row>
    <row r="189" customFormat="false" ht="12" hidden="false" customHeight="true" outlineLevel="0" collapsed="false">
      <c r="A189" s="196" t="str">
        <f aca="false">IF(A188&lt;mthend,EDATE(A188,1),"")</f>
        <v/>
      </c>
      <c r="B189" s="197" t="str">
        <f aca="false">IF(A189&lt;mthend,B188,"")</f>
        <v/>
      </c>
      <c r="C189" s="215"/>
      <c r="D189" s="197" t="str">
        <f aca="false">IF(A190&lt;&gt;"",B189+C189,"")</f>
        <v/>
      </c>
      <c r="E189" s="199" t="str">
        <f aca="false">IF(A190="","",IF(AND(AT189=1,$H$3=1),D189*AO189,IF($H$3=2,D189,"N/A")))</f>
        <v/>
      </c>
      <c r="F189" s="199" t="str">
        <f aca="false">IF(A190="","",E189*AS189)</f>
        <v/>
      </c>
      <c r="G189" s="200" t="str">
        <f aca="false">IF($A190="","",VLOOKUP($A189,Table,MATCH(G$4,Curves,0)))</f>
        <v/>
      </c>
      <c r="H189" s="201" t="str">
        <f aca="false">IF(A190="","",G189)</f>
        <v/>
      </c>
      <c r="I189" s="202"/>
      <c r="J189" s="200" t="str">
        <f aca="false">IF($A190="","",VLOOKUP($A189,Table,MATCH(J$4,Curves,0)))</f>
        <v/>
      </c>
      <c r="K189" s="201" t="str">
        <f aca="false">IF(A190="","",J189)</f>
        <v/>
      </c>
      <c r="L189" s="200" t="str">
        <f aca="false">IF($A190="","",VLOOKUP($A189,Table,MATCH(L$4,Curves,0)))</f>
        <v/>
      </c>
      <c r="M189" s="201" t="str">
        <f aca="false">IF(A190="","",L189)</f>
        <v/>
      </c>
      <c r="N189" s="203"/>
      <c r="O189" s="200" t="str">
        <f aca="false">IF(A190="","",L189+J189+G189)</f>
        <v/>
      </c>
      <c r="P189" s="200" t="str">
        <f aca="false">IF(A190="","",M189+K189+H189)</f>
        <v/>
      </c>
      <c r="Q189" s="204"/>
      <c r="R189" s="200" t="str">
        <f aca="false">IF($A190="","",VLOOKUP($A189,Table,MATCH(R$4,Curves,0)))</f>
        <v/>
      </c>
      <c r="S189" s="201" t="str">
        <f aca="false">IF(A190="","",R189)</f>
        <v/>
      </c>
      <c r="T189" s="185" t="n">
        <v>0</v>
      </c>
      <c r="U189" s="201" t="str">
        <f aca="false">IF(A190="","",T189)</f>
        <v/>
      </c>
      <c r="V189" s="205" t="str">
        <f aca="false">IF($A190="","",IF(AND(MONTH(A189)&gt;3,MONTH(A189)&lt;11),(T189+R189+G189)*Summary!$T$11/(1-Summary!$T$11),(T189+R189+G189)*Summary!$U$11/(1-Summary!$U$11)))</f>
        <v/>
      </c>
      <c r="W189" s="202" t="str">
        <f aca="false">IF($A190="","",(T189+R189+G189+V189))</f>
        <v/>
      </c>
      <c r="X189" s="202" t="str">
        <f aca="false">IF($A190="","",(U189+S189+H189+V189))</f>
        <v/>
      </c>
      <c r="Y189" s="202"/>
      <c r="Z189" s="185" t="str">
        <f aca="false">IF($A190="","",VLOOKUP($A189,Table,MATCH(Z$4,Curves,0)))</f>
        <v/>
      </c>
      <c r="AA189" s="185" t="str">
        <f aca="false">IF($A190="","",VLOOKUP($A189,Table,MATCH(AA$4,Curves,0)))</f>
        <v/>
      </c>
      <c r="AB189" s="185" t="e">
        <f aca="false">SQRT((AA189^2*(A189-$D$3)+Z189^2*(DAY(EOMONTH(A189,0))/2))/AK189)</f>
        <v>#VALUE!</v>
      </c>
      <c r="AC189" s="185" t="str">
        <f aca="false">IF($A190="","",VLOOKUP($A189,Table,MATCH(AC$4,Curves,0)))</f>
        <v/>
      </c>
      <c r="AD189" s="185" t="str">
        <f aca="false">IF($A190="","",VLOOKUP($A189,Table,MATCH(AD$4,Curves,0)))</f>
        <v/>
      </c>
      <c r="AE189" s="185" t="e">
        <f aca="false">SQRT((AD189^2*(A189-$D$3)+AC189^2*(DAY(EOMONTH(A189,0))/2))/AK189)</f>
        <v>#VALUE!</v>
      </c>
      <c r="AF189" s="206" t="e">
        <f aca="false">((Summary!$N$11*(AA189*AD189)*(A189-$D$3))+(Summary!$M$11*Z189*AC189*(AJ189-EOMONTH(EDATE(A189,-1),0))))/(AK189*AB189*AE189)</f>
        <v>#VALUE!</v>
      </c>
      <c r="AG189" s="207" t="str">
        <f aca="false">IF($A190="","",Summary!$Q$11)</f>
        <v/>
      </c>
      <c r="AH189" s="207" t="str">
        <f aca="false">IF($A190="","",IF(Summary!$R$11="Y",(VLOOKUP($A189,Summary!$AD$6:$AF$9,3)+'Escalating commodity'!G202),'Escalating commodity'!G202))</f>
        <v/>
      </c>
      <c r="AI189" s="207" t="str">
        <f aca="false">IF($A190="","",AH189)</f>
        <v/>
      </c>
      <c r="AJ189" s="208" t="e">
        <f aca="false">A189+DAY(EOMONTH(A189,0))/2-1</f>
        <v>#VALUE!</v>
      </c>
      <c r="AK189" s="209" t="str">
        <f aca="false">IF($A190="","",$A189-$E$1)</f>
        <v/>
      </c>
      <c r="AL189" s="182" t="str">
        <f aca="false">IF($A190="","",SPRDOPT(P189,X189,AI189,0,AB189,AE189,AF189,AK189,$AJ$2,0))</f>
        <v/>
      </c>
      <c r="AM189" s="210" t="str">
        <f aca="false">IF($A190="","",MAX(0,O189-W189-AI189))</f>
        <v/>
      </c>
      <c r="AN189" s="211" t="str">
        <f aca="false">IF($A190="","",AL189-AM189)</f>
        <v/>
      </c>
      <c r="AO189" s="137" t="str">
        <f aca="false">IF(A190="","",A190-A189)</f>
        <v/>
      </c>
      <c r="AP189" s="212" t="str">
        <f aca="false">IF(A190="","",CHOOSE(F$3,A190+24,A189))</f>
        <v/>
      </c>
      <c r="AQ189" s="209" t="str">
        <f aca="false">IF(A190="","",AP189-$E$1)</f>
        <v/>
      </c>
      <c r="AR189" s="185" t="n">
        <f aca="false">'ANR OK vs ML7'!AR189</f>
        <v>0.1</v>
      </c>
      <c r="AS189" s="213" t="str">
        <f aca="false">IF(A190="","",1/(1+CHOOSE(F$3,(AR190+($I$3/10000))/2,(AR189+($I$3/10000))/2))^(2*AQ189/365.25))</f>
        <v/>
      </c>
      <c r="AT189" s="137" t="str">
        <f aca="false">IF(A190="","",IF(AND(mthbeg&lt;=A189,mthend&gt;=A189),1,0))</f>
        <v/>
      </c>
      <c r="AU189" s="137" t="str">
        <f aca="false">IF(A190="","",AO189*AT189)</f>
        <v/>
      </c>
      <c r="AW189" s="195" t="str">
        <f aca="false">IF($A190="","",AL189*$E189)</f>
        <v/>
      </c>
      <c r="AX189" s="195" t="str">
        <f aca="false">IF($A190="","",AM189*$E189)</f>
        <v/>
      </c>
      <c r="AY189" s="195" t="str">
        <f aca="false">IF($A190="","",AN189*$E189)</f>
        <v/>
      </c>
      <c r="BA189" s="195" t="str">
        <f aca="false">IF($A190="","",F189*Summary!$Q$11)</f>
        <v/>
      </c>
    </row>
    <row r="190" customFormat="false" ht="12" hidden="false" customHeight="true" outlineLevel="0" collapsed="false">
      <c r="A190" s="196" t="str">
        <f aca="false">IF(A189&lt;mthend,EDATE(A189,1),"")</f>
        <v/>
      </c>
      <c r="B190" s="197" t="str">
        <f aca="false">IF(A190&lt;mthend,B189,"")</f>
        <v/>
      </c>
      <c r="C190" s="215"/>
      <c r="D190" s="197" t="str">
        <f aca="false">IF(A191&lt;&gt;"",B190+C190,"")</f>
        <v/>
      </c>
      <c r="E190" s="199" t="str">
        <f aca="false">IF(A191="","",IF(AND(AT190=1,$H$3=1),D190*AO190,IF($H$3=2,D190,"N/A")))</f>
        <v/>
      </c>
      <c r="F190" s="199" t="str">
        <f aca="false">IF(A191="","",E190*AS190)</f>
        <v/>
      </c>
      <c r="G190" s="200" t="str">
        <f aca="false">IF($A191="","",VLOOKUP($A190,Table,MATCH(G$4,Curves,0)))</f>
        <v/>
      </c>
      <c r="H190" s="201" t="str">
        <f aca="false">IF(A191="","",G190)</f>
        <v/>
      </c>
      <c r="I190" s="202"/>
      <c r="J190" s="200" t="str">
        <f aca="false">IF($A191="","",VLOOKUP($A190,Table,MATCH(J$4,Curves,0)))</f>
        <v/>
      </c>
      <c r="K190" s="201" t="str">
        <f aca="false">IF(A191="","",J190)</f>
        <v/>
      </c>
      <c r="L190" s="200" t="str">
        <f aca="false">IF($A191="","",VLOOKUP($A190,Table,MATCH(L$4,Curves,0)))</f>
        <v/>
      </c>
      <c r="M190" s="201" t="str">
        <f aca="false">IF(A191="","",L190)</f>
        <v/>
      </c>
      <c r="N190" s="203"/>
      <c r="O190" s="200" t="str">
        <f aca="false">IF(A191="","",L190+J190+G190)</f>
        <v/>
      </c>
      <c r="P190" s="200" t="str">
        <f aca="false">IF(A191="","",M190+K190+H190)</f>
        <v/>
      </c>
      <c r="Q190" s="204"/>
      <c r="R190" s="200" t="str">
        <f aca="false">IF($A191="","",VLOOKUP($A190,Table,MATCH(R$4,Curves,0)))</f>
        <v/>
      </c>
      <c r="S190" s="201" t="str">
        <f aca="false">IF(A191="","",R190)</f>
        <v/>
      </c>
      <c r="T190" s="185" t="n">
        <v>0</v>
      </c>
      <c r="U190" s="201" t="str">
        <f aca="false">IF(A191="","",T190)</f>
        <v/>
      </c>
      <c r="V190" s="205" t="str">
        <f aca="false">IF($A191="","",IF(AND(MONTH(A190)&gt;3,MONTH(A190)&lt;11),(T190+R190+G190)*Summary!$T$11/(1-Summary!$T$11),(T190+R190+G190)*Summary!$U$11/(1-Summary!$U$11)))</f>
        <v/>
      </c>
      <c r="W190" s="202" t="str">
        <f aca="false">IF($A191="","",(T190+R190+G190+V190))</f>
        <v/>
      </c>
      <c r="X190" s="202" t="str">
        <f aca="false">IF($A191="","",(U190+S190+H190+V190))</f>
        <v/>
      </c>
      <c r="Y190" s="202"/>
      <c r="Z190" s="185" t="str">
        <f aca="false">IF($A191="","",VLOOKUP($A190,Table,MATCH(Z$4,Curves,0)))</f>
        <v/>
      </c>
      <c r="AA190" s="185" t="str">
        <f aca="false">IF($A191="","",VLOOKUP($A190,Table,MATCH(AA$4,Curves,0)))</f>
        <v/>
      </c>
      <c r="AB190" s="185" t="e">
        <f aca="false">SQRT((AA190^2*(A190-$D$3)+Z190^2*(DAY(EOMONTH(A190,0))/2))/AK190)</f>
        <v>#VALUE!</v>
      </c>
      <c r="AC190" s="185" t="str">
        <f aca="false">IF($A191="","",VLOOKUP($A190,Table,MATCH(AC$4,Curves,0)))</f>
        <v/>
      </c>
      <c r="AD190" s="185" t="str">
        <f aca="false">IF($A191="","",VLOOKUP($A190,Table,MATCH(AD$4,Curves,0)))</f>
        <v/>
      </c>
      <c r="AE190" s="185" t="e">
        <f aca="false">SQRT((AD190^2*(A190-$D$3)+AC190^2*(DAY(EOMONTH(A190,0))/2))/AK190)</f>
        <v>#VALUE!</v>
      </c>
      <c r="AF190" s="206" t="e">
        <f aca="false">((Summary!$N$11*(AA190*AD190)*(A190-$D$3))+(Summary!$M$11*Z190*AC190*(AJ190-EOMONTH(EDATE(A190,-1),0))))/(AK190*AB190*AE190)</f>
        <v>#VALUE!</v>
      </c>
      <c r="AG190" s="207" t="str">
        <f aca="false">IF($A191="","",Summary!$Q$11)</f>
        <v/>
      </c>
      <c r="AH190" s="207" t="str">
        <f aca="false">IF($A191="","",IF(Summary!$R$11="Y",(VLOOKUP($A190,Summary!$AD$6:$AF$9,3)+'Escalating commodity'!G203),'Escalating commodity'!G203))</f>
        <v/>
      </c>
      <c r="AI190" s="207" t="str">
        <f aca="false">IF($A191="","",AH190)</f>
        <v/>
      </c>
      <c r="AJ190" s="208" t="e">
        <f aca="false">A190+DAY(EOMONTH(A190,0))/2-1</f>
        <v>#VALUE!</v>
      </c>
      <c r="AK190" s="209" t="str">
        <f aca="false">IF($A191="","",$A190-$E$1)</f>
        <v/>
      </c>
      <c r="AL190" s="182" t="str">
        <f aca="false">IF($A191="","",SPRDOPT(P190,X190,AI190,0,AB190,AE190,AF190,AK190,$AJ$2,0))</f>
        <v/>
      </c>
      <c r="AM190" s="210" t="str">
        <f aca="false">IF($A191="","",MAX(0,O190-W190-AI190))</f>
        <v/>
      </c>
      <c r="AN190" s="211" t="str">
        <f aca="false">IF($A191="","",AL190-AM190)</f>
        <v/>
      </c>
      <c r="AO190" s="137" t="str">
        <f aca="false">IF(A191="","",A191-A190)</f>
        <v/>
      </c>
      <c r="AP190" s="212" t="str">
        <f aca="false">IF(A191="","",CHOOSE(F$3,A191+24,A190))</f>
        <v/>
      </c>
      <c r="AQ190" s="209" t="str">
        <f aca="false">IF(A191="","",AP190-$E$1)</f>
        <v/>
      </c>
      <c r="AR190" s="185" t="n">
        <f aca="false">'ANR OK vs ML7'!AR190</f>
        <v>0.1</v>
      </c>
      <c r="AS190" s="213" t="str">
        <f aca="false">IF(A191="","",1/(1+CHOOSE(F$3,(AR191+($I$3/10000))/2,(AR190+($I$3/10000))/2))^(2*AQ190/365.25))</f>
        <v/>
      </c>
      <c r="AT190" s="137" t="str">
        <f aca="false">IF(A191="","",IF(AND(mthbeg&lt;=A190,mthend&gt;=A190),1,0))</f>
        <v/>
      </c>
      <c r="AU190" s="137" t="str">
        <f aca="false">IF(A191="","",AO190*AT190)</f>
        <v/>
      </c>
      <c r="AW190" s="195" t="str">
        <f aca="false">IF($A191="","",AL190*$E190)</f>
        <v/>
      </c>
      <c r="AX190" s="195" t="str">
        <f aca="false">IF($A191="","",AM190*$E190)</f>
        <v/>
      </c>
      <c r="AY190" s="195" t="str">
        <f aca="false">IF($A191="","",AN190*$E190)</f>
        <v/>
      </c>
      <c r="BA190" s="195" t="str">
        <f aca="false">IF($A191="","",F190*Summary!$Q$11)</f>
        <v/>
      </c>
    </row>
    <row r="191" customFormat="false" ht="12" hidden="false" customHeight="true" outlineLevel="0" collapsed="false">
      <c r="A191" s="196" t="str">
        <f aca="false">IF(A190&lt;mthend,EDATE(A190,1),"")</f>
        <v/>
      </c>
      <c r="B191" s="197" t="str">
        <f aca="false">IF(A191&lt;mthend,B190,"")</f>
        <v/>
      </c>
      <c r="C191" s="215"/>
      <c r="D191" s="197" t="str">
        <f aca="false">IF(A192&lt;&gt;"",B191+C191,"")</f>
        <v/>
      </c>
      <c r="E191" s="199" t="str">
        <f aca="false">IF(A192="","",IF(AND(AT191=1,$H$3=1),D191*AO191,IF($H$3=2,D191,"N/A")))</f>
        <v/>
      </c>
      <c r="F191" s="199" t="str">
        <f aca="false">IF(A192="","",E191*AS191)</f>
        <v/>
      </c>
      <c r="G191" s="200" t="str">
        <f aca="false">IF($A192="","",VLOOKUP($A191,Table,MATCH(G$4,Curves,0)))</f>
        <v/>
      </c>
      <c r="H191" s="201" t="str">
        <f aca="false">IF(A192="","",G191)</f>
        <v/>
      </c>
      <c r="I191" s="202"/>
      <c r="J191" s="200" t="str">
        <f aca="false">IF($A192="","",VLOOKUP($A191,Table,MATCH(J$4,Curves,0)))</f>
        <v/>
      </c>
      <c r="K191" s="201" t="str">
        <f aca="false">IF(A192="","",J191)</f>
        <v/>
      </c>
      <c r="L191" s="200" t="str">
        <f aca="false">IF($A192="","",VLOOKUP($A191,Table,MATCH(L$4,Curves,0)))</f>
        <v/>
      </c>
      <c r="M191" s="201" t="str">
        <f aca="false">IF(A192="","",L191)</f>
        <v/>
      </c>
      <c r="N191" s="203"/>
      <c r="O191" s="200" t="str">
        <f aca="false">IF(A192="","",L191+J191+G191)</f>
        <v/>
      </c>
      <c r="P191" s="200" t="str">
        <f aca="false">IF(A192="","",M191+K191+H191)</f>
        <v/>
      </c>
      <c r="Q191" s="204"/>
      <c r="R191" s="200" t="str">
        <f aca="false">IF($A192="","",VLOOKUP($A191,Table,MATCH(R$4,Curves,0)))</f>
        <v/>
      </c>
      <c r="S191" s="201" t="str">
        <f aca="false">IF(A192="","",R191)</f>
        <v/>
      </c>
      <c r="T191" s="185" t="n">
        <v>0</v>
      </c>
      <c r="U191" s="201" t="str">
        <f aca="false">IF(A192="","",T191)</f>
        <v/>
      </c>
      <c r="V191" s="205" t="str">
        <f aca="false">IF($A192="","",IF(AND(MONTH(A191)&gt;3,MONTH(A191)&lt;11),(T191+R191+G191)*Summary!$T$11/(1-Summary!$T$11),(T191+R191+G191)*Summary!$U$11/(1-Summary!$U$11)))</f>
        <v/>
      </c>
      <c r="W191" s="202" t="str">
        <f aca="false">IF($A192="","",(T191+R191+G191+V191))</f>
        <v/>
      </c>
      <c r="X191" s="202" t="str">
        <f aca="false">IF($A192="","",(U191+S191+H191+V191))</f>
        <v/>
      </c>
      <c r="Y191" s="202"/>
      <c r="Z191" s="185" t="str">
        <f aca="false">IF($A192="","",VLOOKUP($A191,Table,MATCH(Z$4,Curves,0)))</f>
        <v/>
      </c>
      <c r="AA191" s="185" t="str">
        <f aca="false">IF($A192="","",VLOOKUP($A191,Table,MATCH(AA$4,Curves,0)))</f>
        <v/>
      </c>
      <c r="AB191" s="185" t="e">
        <f aca="false">SQRT((AA191^2*(A191-$D$3)+Z191^2*(DAY(EOMONTH(A191,0))/2))/AK191)</f>
        <v>#VALUE!</v>
      </c>
      <c r="AC191" s="185" t="str">
        <f aca="false">IF($A192="","",VLOOKUP($A191,Table,MATCH(AC$4,Curves,0)))</f>
        <v/>
      </c>
      <c r="AD191" s="185" t="str">
        <f aca="false">IF($A192="","",VLOOKUP($A191,Table,MATCH(AD$4,Curves,0)))</f>
        <v/>
      </c>
      <c r="AE191" s="185" t="e">
        <f aca="false">SQRT((AD191^2*(A191-$D$3)+AC191^2*(DAY(EOMONTH(A191,0))/2))/AK191)</f>
        <v>#VALUE!</v>
      </c>
      <c r="AF191" s="206" t="e">
        <f aca="false">((Summary!$N$11*(AA191*AD191)*(A191-$D$3))+(Summary!$M$11*Z191*AC191*(AJ191-EOMONTH(EDATE(A191,-1),0))))/(AK191*AB191*AE191)</f>
        <v>#VALUE!</v>
      </c>
      <c r="AG191" s="207" t="str">
        <f aca="false">IF($A192="","",Summary!$Q$11)</f>
        <v/>
      </c>
      <c r="AH191" s="207" t="str">
        <f aca="false">IF($A192="","",IF(Summary!$R$11="Y",(VLOOKUP($A191,Summary!$AD$6:$AF$9,3)+'Escalating commodity'!G204),'Escalating commodity'!G204))</f>
        <v/>
      </c>
      <c r="AI191" s="207" t="str">
        <f aca="false">IF($A192="","",AH191)</f>
        <v/>
      </c>
      <c r="AJ191" s="208" t="e">
        <f aca="false">A191+DAY(EOMONTH(A191,0))/2-1</f>
        <v>#VALUE!</v>
      </c>
      <c r="AK191" s="209" t="str">
        <f aca="false">IF($A192="","",$A191-$E$1)</f>
        <v/>
      </c>
      <c r="AL191" s="182" t="str">
        <f aca="false">IF($A192="","",SPRDOPT(P191,X191,AI191,0,AB191,AE191,AF191,AK191,$AJ$2,0))</f>
        <v/>
      </c>
      <c r="AM191" s="210" t="str">
        <f aca="false">IF($A192="","",MAX(0,O191-W191-AI191))</f>
        <v/>
      </c>
      <c r="AN191" s="211" t="str">
        <f aca="false">IF($A192="","",AL191-AM191)</f>
        <v/>
      </c>
      <c r="AO191" s="137" t="str">
        <f aca="false">IF(A192="","",A192-A191)</f>
        <v/>
      </c>
      <c r="AP191" s="212" t="str">
        <f aca="false">IF(A192="","",CHOOSE(F$3,A192+24,A191))</f>
        <v/>
      </c>
      <c r="AQ191" s="209" t="str">
        <f aca="false">IF(A192="","",AP191-$E$1)</f>
        <v/>
      </c>
      <c r="AR191" s="185" t="n">
        <f aca="false">'ANR OK vs ML7'!AR191</f>
        <v>0.1</v>
      </c>
      <c r="AS191" s="213" t="str">
        <f aca="false">IF(A192="","",1/(1+CHOOSE(F$3,(AR192+($I$3/10000))/2,(AR191+($I$3/10000))/2))^(2*AQ191/365.25))</f>
        <v/>
      </c>
      <c r="AT191" s="137" t="str">
        <f aca="false">IF(A192="","",IF(AND(mthbeg&lt;=A191,mthend&gt;=A191),1,0))</f>
        <v/>
      </c>
      <c r="AU191" s="137" t="str">
        <f aca="false">IF(A192="","",AO191*AT191)</f>
        <v/>
      </c>
      <c r="AW191" s="195" t="str">
        <f aca="false">IF($A192="","",AL191*$E191)</f>
        <v/>
      </c>
      <c r="AX191" s="195" t="str">
        <f aca="false">IF($A192="","",AM191*$E191)</f>
        <v/>
      </c>
      <c r="AY191" s="195" t="str">
        <f aca="false">IF($A192="","",AN191*$E191)</f>
        <v/>
      </c>
      <c r="BA191" s="195" t="str">
        <f aca="false">IF($A192="","",F191*Summary!$Q$11)</f>
        <v/>
      </c>
    </row>
    <row r="192" customFormat="false" ht="12" hidden="false" customHeight="true" outlineLevel="0" collapsed="false">
      <c r="A192" s="196" t="str">
        <f aca="false">IF(A191&lt;mthend,EDATE(A191,1),"")</f>
        <v/>
      </c>
      <c r="B192" s="197" t="str">
        <f aca="false">IF(A192&lt;mthend,B191,"")</f>
        <v/>
      </c>
      <c r="C192" s="215"/>
      <c r="D192" s="197" t="str">
        <f aca="false">IF(A193&lt;&gt;"",B192+C192,"")</f>
        <v/>
      </c>
      <c r="E192" s="199" t="str">
        <f aca="false">IF(A193="","",IF(AND(AT192=1,$H$3=1),D192*AO192,IF($H$3=2,D192,"N/A")))</f>
        <v/>
      </c>
      <c r="F192" s="199" t="str">
        <f aca="false">IF(A193="","",E192*AS192)</f>
        <v/>
      </c>
      <c r="G192" s="200" t="str">
        <f aca="false">IF($A193="","",VLOOKUP($A192,Table,MATCH(G$4,Curves,0)))</f>
        <v/>
      </c>
      <c r="H192" s="201" t="str">
        <f aca="false">IF(A193="","",G192)</f>
        <v/>
      </c>
      <c r="I192" s="202"/>
      <c r="J192" s="200" t="str">
        <f aca="false">IF($A193="","",VLOOKUP($A192,Table,MATCH(J$4,Curves,0)))</f>
        <v/>
      </c>
      <c r="K192" s="201" t="str">
        <f aca="false">IF(A193="","",J192)</f>
        <v/>
      </c>
      <c r="L192" s="200" t="str">
        <f aca="false">IF($A193="","",VLOOKUP($A192,Table,MATCH(L$4,Curves,0)))</f>
        <v/>
      </c>
      <c r="M192" s="201" t="str">
        <f aca="false">IF(A193="","",L192)</f>
        <v/>
      </c>
      <c r="N192" s="203"/>
      <c r="O192" s="200" t="str">
        <f aca="false">IF(A193="","",L192+J192+G192)</f>
        <v/>
      </c>
      <c r="P192" s="200" t="str">
        <f aca="false">IF(A193="","",M192+K192+H192)</f>
        <v/>
      </c>
      <c r="Q192" s="204"/>
      <c r="R192" s="200" t="str">
        <f aca="false">IF($A193="","",VLOOKUP($A192,Table,MATCH(R$4,Curves,0)))</f>
        <v/>
      </c>
      <c r="S192" s="201" t="str">
        <f aca="false">IF(A193="","",R192)</f>
        <v/>
      </c>
      <c r="T192" s="185" t="n">
        <v>0</v>
      </c>
      <c r="U192" s="201" t="str">
        <f aca="false">IF(A193="","",T192)</f>
        <v/>
      </c>
      <c r="V192" s="205" t="str">
        <f aca="false">IF($A193="","",IF(AND(MONTH(A192)&gt;3,MONTH(A192)&lt;11),(T192+R192+G192)*Summary!$T$11/(1-Summary!$T$11),(T192+R192+G192)*Summary!$U$11/(1-Summary!$U$11)))</f>
        <v/>
      </c>
      <c r="W192" s="202" t="str">
        <f aca="false">IF($A193="","",(T192+R192+G192+V192))</f>
        <v/>
      </c>
      <c r="X192" s="202" t="str">
        <f aca="false">IF($A193="","",(U192+S192+H192+V192))</f>
        <v/>
      </c>
      <c r="Y192" s="202"/>
      <c r="Z192" s="185" t="str">
        <f aca="false">IF($A193="","",VLOOKUP($A192,Table,MATCH(Z$4,Curves,0)))</f>
        <v/>
      </c>
      <c r="AA192" s="185" t="str">
        <f aca="false">IF($A193="","",VLOOKUP($A192,Table,MATCH(AA$4,Curves,0)))</f>
        <v/>
      </c>
      <c r="AB192" s="185" t="e">
        <f aca="false">SQRT((AA192^2*(A192-$D$3)+Z192^2*(DAY(EOMONTH(A192,0))/2))/AK192)</f>
        <v>#VALUE!</v>
      </c>
      <c r="AC192" s="185" t="str">
        <f aca="false">IF($A193="","",VLOOKUP($A192,Table,MATCH(AC$4,Curves,0)))</f>
        <v/>
      </c>
      <c r="AD192" s="185" t="str">
        <f aca="false">IF($A193="","",VLOOKUP($A192,Table,MATCH(AD$4,Curves,0)))</f>
        <v/>
      </c>
      <c r="AE192" s="185" t="e">
        <f aca="false">SQRT((AD192^2*(A192-$D$3)+AC192^2*(DAY(EOMONTH(A192,0))/2))/AK192)</f>
        <v>#VALUE!</v>
      </c>
      <c r="AF192" s="206" t="e">
        <f aca="false">((Summary!$N$11*(AA192*AD192)*(A192-$D$3))+(Summary!$M$11*Z192*AC192*(AJ192-EOMONTH(EDATE(A192,-1),0))))/(AK192*AB192*AE192)</f>
        <v>#VALUE!</v>
      </c>
      <c r="AG192" s="207" t="str">
        <f aca="false">IF($A193="","",Summary!$Q$11)</f>
        <v/>
      </c>
      <c r="AH192" s="207" t="str">
        <f aca="false">IF($A193="","",IF(Summary!$R$11="Y",(VLOOKUP($A192,Summary!$AD$6:$AF$9,3)+'Escalating commodity'!G205),'Escalating commodity'!G205))</f>
        <v/>
      </c>
      <c r="AI192" s="207" t="str">
        <f aca="false">IF($A193="","",AH192)</f>
        <v/>
      </c>
      <c r="AJ192" s="208" t="e">
        <f aca="false">A192+DAY(EOMONTH(A192,0))/2-1</f>
        <v>#VALUE!</v>
      </c>
      <c r="AK192" s="209" t="str">
        <f aca="false">IF($A193="","",$A192-$E$1)</f>
        <v/>
      </c>
      <c r="AL192" s="182" t="str">
        <f aca="false">IF($A193="","",SPRDOPT(P192,X192,AI192,0,AB192,AE192,AF192,AK192,$AJ$2,0))</f>
        <v/>
      </c>
      <c r="AM192" s="210" t="str">
        <f aca="false">IF($A193="","",MAX(0,O192-W192-AI192))</f>
        <v/>
      </c>
      <c r="AN192" s="211" t="str">
        <f aca="false">IF($A193="","",AL192-AM192)</f>
        <v/>
      </c>
      <c r="AO192" s="137" t="str">
        <f aca="false">IF(A193="","",A193-A192)</f>
        <v/>
      </c>
      <c r="AP192" s="212" t="str">
        <f aca="false">IF(A193="","",CHOOSE(F$3,A193+24,A192))</f>
        <v/>
      </c>
      <c r="AQ192" s="209" t="str">
        <f aca="false">IF(A193="","",AP192-$E$1)</f>
        <v/>
      </c>
      <c r="AR192" s="185" t="n">
        <f aca="false">'ANR OK vs ML7'!AR192</f>
        <v>0.1</v>
      </c>
      <c r="AS192" s="213" t="str">
        <f aca="false">IF(A193="","",1/(1+CHOOSE(F$3,(AR193+($I$3/10000))/2,(AR192+($I$3/10000))/2))^(2*AQ192/365.25))</f>
        <v/>
      </c>
      <c r="AT192" s="137" t="str">
        <f aca="false">IF(A193="","",IF(AND(mthbeg&lt;=A192,mthend&gt;=A192),1,0))</f>
        <v/>
      </c>
      <c r="AU192" s="137" t="str">
        <f aca="false">IF(A193="","",AO192*AT192)</f>
        <v/>
      </c>
      <c r="AW192" s="195" t="str">
        <f aca="false">IF($A193="","",AL192*$E192)</f>
        <v/>
      </c>
      <c r="AX192" s="195" t="str">
        <f aca="false">IF($A193="","",AM192*$E192)</f>
        <v/>
      </c>
      <c r="AY192" s="195" t="str">
        <f aca="false">IF($A193="","",AN192*$E192)</f>
        <v/>
      </c>
      <c r="BA192" s="195" t="str">
        <f aca="false">IF($A193="","",F192*Summary!$Q$11)</f>
        <v/>
      </c>
    </row>
    <row r="193" customFormat="false" ht="12" hidden="false" customHeight="true" outlineLevel="0" collapsed="false">
      <c r="A193" s="196" t="str">
        <f aca="false">IF(A192&lt;mthend,EDATE(A192,1),"")</f>
        <v/>
      </c>
      <c r="B193" s="197" t="str">
        <f aca="false">IF(A193&lt;mthend,B192,"")</f>
        <v/>
      </c>
      <c r="C193" s="215"/>
      <c r="D193" s="197" t="str">
        <f aca="false">IF(A194&lt;&gt;"",B193+C193,"")</f>
        <v/>
      </c>
      <c r="E193" s="199" t="str">
        <f aca="false">IF(A194="","",IF(AND(AT193=1,$H$3=1),D193*AO193,IF($H$3=2,D193,"N/A")))</f>
        <v/>
      </c>
      <c r="F193" s="199" t="str">
        <f aca="false">IF(A194="","",E193*AS193)</f>
        <v/>
      </c>
      <c r="G193" s="200" t="str">
        <f aca="false">IF($A194="","",VLOOKUP($A193,Table,MATCH(G$4,Curves,0)))</f>
        <v/>
      </c>
      <c r="H193" s="201" t="str">
        <f aca="false">IF(A194="","",G193)</f>
        <v/>
      </c>
      <c r="I193" s="202"/>
      <c r="J193" s="200" t="str">
        <f aca="false">IF($A194="","",VLOOKUP($A193,Table,MATCH(J$4,Curves,0)))</f>
        <v/>
      </c>
      <c r="K193" s="201" t="str">
        <f aca="false">IF(A194="","",J193)</f>
        <v/>
      </c>
      <c r="L193" s="200" t="str">
        <f aca="false">IF($A194="","",VLOOKUP($A193,Table,MATCH(L$4,Curves,0)))</f>
        <v/>
      </c>
      <c r="M193" s="201" t="str">
        <f aca="false">IF(A194="","",L193)</f>
        <v/>
      </c>
      <c r="N193" s="203"/>
      <c r="O193" s="200" t="str">
        <f aca="false">IF(A194="","",L193+J193+G193)</f>
        <v/>
      </c>
      <c r="P193" s="200" t="str">
        <f aca="false">IF(A194="","",M193+K193+H193)</f>
        <v/>
      </c>
      <c r="Q193" s="204"/>
      <c r="R193" s="200" t="str">
        <f aca="false">IF($A194="","",VLOOKUP($A193,Table,MATCH(R$4,Curves,0)))</f>
        <v/>
      </c>
      <c r="S193" s="201" t="str">
        <f aca="false">IF(A194="","",R193)</f>
        <v/>
      </c>
      <c r="T193" s="185" t="n">
        <v>0</v>
      </c>
      <c r="U193" s="201" t="str">
        <f aca="false">IF(A194="","",T193)</f>
        <v/>
      </c>
      <c r="V193" s="205" t="str">
        <f aca="false">IF($A194="","",IF(AND(MONTH(A193)&gt;3,MONTH(A193)&lt;11),(T193+R193+G193)*Summary!$T$11/(1-Summary!$T$11),(T193+R193+G193)*Summary!$U$11/(1-Summary!$U$11)))</f>
        <v/>
      </c>
      <c r="W193" s="202" t="str">
        <f aca="false">IF($A194="","",(T193+R193+G193+V193))</f>
        <v/>
      </c>
      <c r="X193" s="202" t="str">
        <f aca="false">IF($A194="","",(U193+S193+H193+V193))</f>
        <v/>
      </c>
      <c r="Y193" s="202"/>
      <c r="Z193" s="185" t="str">
        <f aca="false">IF($A194="","",VLOOKUP($A193,Table,MATCH(Z$4,Curves,0)))</f>
        <v/>
      </c>
      <c r="AA193" s="185" t="str">
        <f aca="false">IF($A194="","",VLOOKUP($A193,Table,MATCH(AA$4,Curves,0)))</f>
        <v/>
      </c>
      <c r="AB193" s="185" t="e">
        <f aca="false">SQRT((AA193^2*(A193-$D$3)+Z193^2*(DAY(EOMONTH(A193,0))/2))/AK193)</f>
        <v>#VALUE!</v>
      </c>
      <c r="AC193" s="185" t="str">
        <f aca="false">IF($A194="","",VLOOKUP($A193,Table,MATCH(AC$4,Curves,0)))</f>
        <v/>
      </c>
      <c r="AD193" s="185" t="str">
        <f aca="false">IF($A194="","",VLOOKUP($A193,Table,MATCH(AD$4,Curves,0)))</f>
        <v/>
      </c>
      <c r="AE193" s="185" t="e">
        <f aca="false">SQRT((AD193^2*(A193-$D$3)+AC193^2*(DAY(EOMONTH(A193,0))/2))/AK193)</f>
        <v>#VALUE!</v>
      </c>
      <c r="AF193" s="206" t="e">
        <f aca="false">((Summary!$N$11*(AA193*AD193)*(A193-$D$3))+(Summary!$M$11*Z193*AC193*(AJ193-EOMONTH(EDATE(A193,-1),0))))/(AK193*AB193*AE193)</f>
        <v>#VALUE!</v>
      </c>
      <c r="AG193" s="207" t="str">
        <f aca="false">IF($A194="","",Summary!$Q$11)</f>
        <v/>
      </c>
      <c r="AH193" s="207" t="str">
        <f aca="false">IF($A194="","",IF(Summary!$R$11="Y",(VLOOKUP($A193,Summary!$AD$6:$AF$9,3)+'Escalating commodity'!G206),'Escalating commodity'!G206))</f>
        <v/>
      </c>
      <c r="AI193" s="207" t="str">
        <f aca="false">IF($A194="","",AH193)</f>
        <v/>
      </c>
      <c r="AJ193" s="208" t="e">
        <f aca="false">A193+DAY(EOMONTH(A193,0))/2-1</f>
        <v>#VALUE!</v>
      </c>
      <c r="AK193" s="209" t="str">
        <f aca="false">IF($A194="","",$A193-$E$1)</f>
        <v/>
      </c>
      <c r="AL193" s="182" t="str">
        <f aca="false">IF($A194="","",SPRDOPT(P193,X193,AI193,0,AB193,AE193,AF193,AK193,$AJ$2,0))</f>
        <v/>
      </c>
      <c r="AM193" s="210" t="str">
        <f aca="false">IF($A194="","",MAX(0,O193-W193-AI193))</f>
        <v/>
      </c>
      <c r="AN193" s="211" t="str">
        <f aca="false">IF($A194="","",AL193-AM193)</f>
        <v/>
      </c>
      <c r="AO193" s="137" t="str">
        <f aca="false">IF(A194="","",A194-A193)</f>
        <v/>
      </c>
      <c r="AP193" s="212" t="str">
        <f aca="false">IF(A194="","",CHOOSE(F$3,A194+24,A193))</f>
        <v/>
      </c>
      <c r="AQ193" s="209" t="str">
        <f aca="false">IF(A194="","",AP193-$E$1)</f>
        <v/>
      </c>
      <c r="AR193" s="185" t="n">
        <f aca="false">'ANR OK vs ML7'!AR193</f>
        <v>0.1</v>
      </c>
      <c r="AS193" s="213" t="str">
        <f aca="false">IF(A194="","",1/(1+CHOOSE(F$3,(AR194+($I$3/10000))/2,(AR193+($I$3/10000))/2))^(2*AQ193/365.25))</f>
        <v/>
      </c>
      <c r="AT193" s="137" t="str">
        <f aca="false">IF(A194="","",IF(AND(mthbeg&lt;=A193,mthend&gt;=A193),1,0))</f>
        <v/>
      </c>
      <c r="AU193" s="137" t="str">
        <f aca="false">IF(A194="","",AO193*AT193)</f>
        <v/>
      </c>
      <c r="AW193" s="195" t="str">
        <f aca="false">IF($A194="","",AL193*$E193)</f>
        <v/>
      </c>
      <c r="AX193" s="195" t="str">
        <f aca="false">IF($A194="","",AM193*$E193)</f>
        <v/>
      </c>
      <c r="AY193" s="195" t="str">
        <f aca="false">IF($A194="","",AN193*$E193)</f>
        <v/>
      </c>
      <c r="BA193" s="195" t="str">
        <f aca="false">IF($A194="","",F193*Summary!$Q$11)</f>
        <v/>
      </c>
    </row>
    <row r="194" customFormat="false" ht="12" hidden="false" customHeight="true" outlineLevel="0" collapsed="false">
      <c r="A194" s="196" t="str">
        <f aca="false">IF(A193&lt;mthend,EDATE(A193,1),"")</f>
        <v/>
      </c>
      <c r="B194" s="197" t="str">
        <f aca="false">IF(A194&lt;mthend,B193,"")</f>
        <v/>
      </c>
      <c r="C194" s="215"/>
      <c r="D194" s="197" t="str">
        <f aca="false">IF(A195&lt;&gt;"",B194+C194,"")</f>
        <v/>
      </c>
      <c r="E194" s="199" t="str">
        <f aca="false">IF(A195="","",IF(AND(AT194=1,$H$3=1),D194*AO194,IF($H$3=2,D194,"N/A")))</f>
        <v/>
      </c>
      <c r="F194" s="199" t="str">
        <f aca="false">IF(A195="","",E194*AS194)</f>
        <v/>
      </c>
      <c r="G194" s="200" t="str">
        <f aca="false">IF($A195="","",VLOOKUP($A194,Table,MATCH(G$4,Curves,0)))</f>
        <v/>
      </c>
      <c r="H194" s="201" t="str">
        <f aca="false">IF(A195="","",G194)</f>
        <v/>
      </c>
      <c r="I194" s="202"/>
      <c r="J194" s="200" t="str">
        <f aca="false">IF($A195="","",VLOOKUP($A194,Table,MATCH(J$4,Curves,0)))</f>
        <v/>
      </c>
      <c r="K194" s="201" t="str">
        <f aca="false">IF(A195="","",J194)</f>
        <v/>
      </c>
      <c r="L194" s="200" t="str">
        <f aca="false">IF($A195="","",VLOOKUP($A194,Table,MATCH(L$4,Curves,0)))</f>
        <v/>
      </c>
      <c r="M194" s="201" t="str">
        <f aca="false">IF(A195="","",L194)</f>
        <v/>
      </c>
      <c r="N194" s="203"/>
      <c r="O194" s="200" t="str">
        <f aca="false">IF(A195="","",L194+J194+G194)</f>
        <v/>
      </c>
      <c r="P194" s="200" t="str">
        <f aca="false">IF(A195="","",M194+K194+H194)</f>
        <v/>
      </c>
      <c r="Q194" s="204"/>
      <c r="R194" s="200" t="str">
        <f aca="false">IF($A195="","",VLOOKUP($A194,Table,MATCH(R$4,Curves,0)))</f>
        <v/>
      </c>
      <c r="S194" s="201" t="str">
        <f aca="false">IF(A195="","",R194)</f>
        <v/>
      </c>
      <c r="T194" s="185" t="n">
        <v>0</v>
      </c>
      <c r="U194" s="201" t="str">
        <f aca="false">IF(A195="","",T194)</f>
        <v/>
      </c>
      <c r="V194" s="205" t="str">
        <f aca="false">IF($A195="","",IF(AND(MONTH(A194)&gt;3,MONTH(A194)&lt;11),(T194+R194+G194)*Summary!$T$11/(1-Summary!$T$11),(T194+R194+G194)*Summary!$U$11/(1-Summary!$U$11)))</f>
        <v/>
      </c>
      <c r="W194" s="202" t="str">
        <f aca="false">IF($A195="","",(T194+R194+G194+V194))</f>
        <v/>
      </c>
      <c r="X194" s="202" t="str">
        <f aca="false">IF($A195="","",(U194+S194+H194+V194))</f>
        <v/>
      </c>
      <c r="Y194" s="202"/>
      <c r="Z194" s="185" t="str">
        <f aca="false">IF($A195="","",VLOOKUP($A194,Table,MATCH(Z$4,Curves,0)))</f>
        <v/>
      </c>
      <c r="AA194" s="185" t="str">
        <f aca="false">IF($A195="","",VLOOKUP($A194,Table,MATCH(AA$4,Curves,0)))</f>
        <v/>
      </c>
      <c r="AB194" s="185" t="e">
        <f aca="false">SQRT((AA194^2*(A194-$D$3)+Z194^2*(DAY(EOMONTH(A194,0))/2))/AK194)</f>
        <v>#VALUE!</v>
      </c>
      <c r="AC194" s="185" t="str">
        <f aca="false">IF($A195="","",VLOOKUP($A194,Table,MATCH(AC$4,Curves,0)))</f>
        <v/>
      </c>
      <c r="AD194" s="185" t="str">
        <f aca="false">IF($A195="","",VLOOKUP($A194,Table,MATCH(AD$4,Curves,0)))</f>
        <v/>
      </c>
      <c r="AE194" s="185" t="e">
        <f aca="false">SQRT((AD194^2*(A194-$D$3)+AC194^2*(DAY(EOMONTH(A194,0))/2))/AK194)</f>
        <v>#VALUE!</v>
      </c>
      <c r="AF194" s="206" t="e">
        <f aca="false">((Summary!$N$11*(AA194*AD194)*(A194-$D$3))+(Summary!$M$11*Z194*AC194*(AJ194-EOMONTH(EDATE(A194,-1),0))))/(AK194*AB194*AE194)</f>
        <v>#VALUE!</v>
      </c>
      <c r="AG194" s="207" t="str">
        <f aca="false">IF($A195="","",Summary!$Q$11)</f>
        <v/>
      </c>
      <c r="AH194" s="207" t="str">
        <f aca="false">IF($A195="","",IF(Summary!$R$11="Y",(VLOOKUP($A194,Summary!$AD$6:$AF$9,3)+'Escalating commodity'!G207),'Escalating commodity'!G207))</f>
        <v/>
      </c>
      <c r="AI194" s="207" t="str">
        <f aca="false">IF($A195="","",AH194)</f>
        <v/>
      </c>
      <c r="AJ194" s="208" t="e">
        <f aca="false">A194+DAY(EOMONTH(A194,0))/2-1</f>
        <v>#VALUE!</v>
      </c>
      <c r="AK194" s="209" t="str">
        <f aca="false">IF($A195="","",$A194-$E$1)</f>
        <v/>
      </c>
      <c r="AL194" s="182" t="str">
        <f aca="false">IF($A195="","",SPRDOPT(P194,X194,AI194,0,AB194,AE194,AF194,AK194,$AJ$2,0))</f>
        <v/>
      </c>
      <c r="AM194" s="210" t="str">
        <f aca="false">IF($A195="","",MAX(0,O194-W194-AI194))</f>
        <v/>
      </c>
      <c r="AN194" s="211" t="str">
        <f aca="false">IF($A195="","",AL194-AM194)</f>
        <v/>
      </c>
      <c r="AO194" s="137" t="str">
        <f aca="false">IF(A195="","",A195-A194)</f>
        <v/>
      </c>
      <c r="AP194" s="212" t="str">
        <f aca="false">IF(A195="","",CHOOSE(F$3,A195+24,A194))</f>
        <v/>
      </c>
      <c r="AQ194" s="209" t="str">
        <f aca="false">IF(A195="","",AP194-$E$1)</f>
        <v/>
      </c>
      <c r="AR194" s="185" t="n">
        <f aca="false">'ANR OK vs ML7'!AR194</f>
        <v>0.1</v>
      </c>
      <c r="AS194" s="213" t="str">
        <f aca="false">IF(A195="","",1/(1+CHOOSE(F$3,(AR195+($I$3/10000))/2,(AR194+($I$3/10000))/2))^(2*AQ194/365.25))</f>
        <v/>
      </c>
      <c r="AT194" s="137" t="str">
        <f aca="false">IF(A195="","",IF(AND(mthbeg&lt;=A194,mthend&gt;=A194),1,0))</f>
        <v/>
      </c>
      <c r="AU194" s="137" t="str">
        <f aca="false">IF(A195="","",AO194*AT194)</f>
        <v/>
      </c>
      <c r="AW194" s="195" t="str">
        <f aca="false">IF($A195="","",AL194*$E194)</f>
        <v/>
      </c>
      <c r="AX194" s="195" t="str">
        <f aca="false">IF($A195="","",AM194*$E194)</f>
        <v/>
      </c>
      <c r="AY194" s="195" t="str">
        <f aca="false">IF($A195="","",AN194*$E194)</f>
        <v/>
      </c>
      <c r="BA194" s="195" t="str">
        <f aca="false">IF($A195="","",F194*Summary!$Q$11)</f>
        <v/>
      </c>
    </row>
    <row r="195" customFormat="false" ht="12" hidden="false" customHeight="true" outlineLevel="0" collapsed="false">
      <c r="A195" s="196" t="str">
        <f aca="false">IF(A194&lt;mthend,EDATE(A194,1),"")</f>
        <v/>
      </c>
      <c r="B195" s="197" t="str">
        <f aca="false">IF(A195&lt;mthend,B194,"")</f>
        <v/>
      </c>
      <c r="C195" s="215"/>
      <c r="D195" s="197" t="str">
        <f aca="false">IF(A196&lt;&gt;"",B195+C195,"")</f>
        <v/>
      </c>
      <c r="E195" s="199" t="str">
        <f aca="false">IF(A196="","",IF(AND(AT195=1,$H$3=1),D195*AO195,IF($H$3=2,D195,"N/A")))</f>
        <v/>
      </c>
      <c r="F195" s="199" t="str">
        <f aca="false">IF(A196="","",E195*AS195)</f>
        <v/>
      </c>
      <c r="G195" s="200" t="str">
        <f aca="false">IF($A196="","",VLOOKUP($A195,Table,MATCH(G$4,Curves,0)))</f>
        <v/>
      </c>
      <c r="H195" s="201" t="str">
        <f aca="false">IF(A196="","",G195)</f>
        <v/>
      </c>
      <c r="I195" s="202"/>
      <c r="J195" s="200" t="str">
        <f aca="false">IF($A196="","",VLOOKUP($A195,Table,MATCH(J$4,Curves,0)))</f>
        <v/>
      </c>
      <c r="K195" s="201" t="str">
        <f aca="false">IF(A196="","",J195)</f>
        <v/>
      </c>
      <c r="L195" s="200" t="str">
        <f aca="false">IF($A196="","",VLOOKUP($A195,Table,MATCH(L$4,Curves,0)))</f>
        <v/>
      </c>
      <c r="M195" s="201" t="str">
        <f aca="false">IF(A196="","",L195)</f>
        <v/>
      </c>
      <c r="N195" s="203"/>
      <c r="O195" s="200" t="str">
        <f aca="false">IF(A196="","",L195+J195+G195)</f>
        <v/>
      </c>
      <c r="P195" s="200" t="str">
        <f aca="false">IF(A196="","",M195+K195+H195)</f>
        <v/>
      </c>
      <c r="Q195" s="204"/>
      <c r="R195" s="200" t="str">
        <f aca="false">IF($A196="","",VLOOKUP($A195,Table,MATCH(R$4,Curves,0)))</f>
        <v/>
      </c>
      <c r="S195" s="201" t="str">
        <f aca="false">IF(A196="","",R195)</f>
        <v/>
      </c>
      <c r="T195" s="185" t="n">
        <v>0</v>
      </c>
      <c r="U195" s="201" t="str">
        <f aca="false">IF(A196="","",T195)</f>
        <v/>
      </c>
      <c r="V195" s="205" t="str">
        <f aca="false">IF($A196="","",IF(AND(MONTH(A195)&gt;3,MONTH(A195)&lt;11),(T195+R195+G195)*Summary!$T$11/(1-Summary!$T$11),(T195+R195+G195)*Summary!$U$11/(1-Summary!$U$11)))</f>
        <v/>
      </c>
      <c r="W195" s="202" t="str">
        <f aca="false">IF($A196="","",(T195+R195+G195+V195))</f>
        <v/>
      </c>
      <c r="X195" s="202" t="str">
        <f aca="false">IF($A196="","",(U195+S195+H195+V195))</f>
        <v/>
      </c>
      <c r="Y195" s="202"/>
      <c r="Z195" s="185" t="str">
        <f aca="false">IF($A196="","",VLOOKUP($A195,Table,MATCH(Z$4,Curves,0)))</f>
        <v/>
      </c>
      <c r="AA195" s="185" t="str">
        <f aca="false">IF($A196="","",VLOOKUP($A195,Table,MATCH(AA$4,Curves,0)))</f>
        <v/>
      </c>
      <c r="AB195" s="185" t="e">
        <f aca="false">SQRT((AA195^2*(A195-$D$3)+Z195^2*(DAY(EOMONTH(A195,0))/2))/AK195)</f>
        <v>#VALUE!</v>
      </c>
      <c r="AC195" s="185" t="str">
        <f aca="false">IF($A196="","",VLOOKUP($A195,Table,MATCH(AC$4,Curves,0)))</f>
        <v/>
      </c>
      <c r="AD195" s="185" t="str">
        <f aca="false">IF($A196="","",VLOOKUP($A195,Table,MATCH(AD$4,Curves,0)))</f>
        <v/>
      </c>
      <c r="AE195" s="185" t="e">
        <f aca="false">SQRT((AD195^2*(A195-$D$3)+AC195^2*(DAY(EOMONTH(A195,0))/2))/AK195)</f>
        <v>#VALUE!</v>
      </c>
      <c r="AF195" s="206" t="e">
        <f aca="false">((Summary!$N$11*(AA195*AD195)*(A195-$D$3))+(Summary!$M$11*Z195*AC195*(AJ195-EOMONTH(EDATE(A195,-1),0))))/(AK195*AB195*AE195)</f>
        <v>#VALUE!</v>
      </c>
      <c r="AG195" s="207" t="str">
        <f aca="false">IF($A196="","",Summary!$Q$11)</f>
        <v/>
      </c>
      <c r="AH195" s="207" t="str">
        <f aca="false">IF($A196="","",IF(Summary!$R$11="Y",(VLOOKUP($A195,Summary!$AD$6:$AF$9,3)+'Escalating commodity'!G208),'Escalating commodity'!G208))</f>
        <v/>
      </c>
      <c r="AI195" s="207" t="str">
        <f aca="false">IF($A196="","",AH195)</f>
        <v/>
      </c>
      <c r="AJ195" s="208" t="e">
        <f aca="false">A195+DAY(EOMONTH(A195,0))/2-1</f>
        <v>#VALUE!</v>
      </c>
      <c r="AK195" s="209" t="str">
        <f aca="false">IF($A196="","",$A195-$E$1)</f>
        <v/>
      </c>
      <c r="AL195" s="182" t="str">
        <f aca="false">IF($A196="","",SPRDOPT(P195,X195,AI195,0,AB195,AE195,AF195,AK195,$AJ$2,0))</f>
        <v/>
      </c>
      <c r="AM195" s="210" t="str">
        <f aca="false">IF($A196="","",MAX(0,O195-W195-AI195))</f>
        <v/>
      </c>
      <c r="AN195" s="211" t="str">
        <f aca="false">IF($A196="","",AL195-AM195)</f>
        <v/>
      </c>
      <c r="AO195" s="137" t="str">
        <f aca="false">IF(A196="","",A196-A195)</f>
        <v/>
      </c>
      <c r="AP195" s="212" t="str">
        <f aca="false">IF(A196="","",CHOOSE(F$3,A196+24,A195))</f>
        <v/>
      </c>
      <c r="AQ195" s="209" t="str">
        <f aca="false">IF(A196="","",AP195-$E$1)</f>
        <v/>
      </c>
      <c r="AR195" s="185" t="n">
        <f aca="false">'ANR OK vs ML7'!AR195</f>
        <v>0.1</v>
      </c>
      <c r="AS195" s="213" t="str">
        <f aca="false">IF(A196="","",1/(1+CHOOSE(F$3,(AR196+($I$3/10000))/2,(AR195+($I$3/10000))/2))^(2*AQ195/365.25))</f>
        <v/>
      </c>
      <c r="AT195" s="137" t="str">
        <f aca="false">IF(A196="","",IF(AND(mthbeg&lt;=A195,mthend&gt;=A195),1,0))</f>
        <v/>
      </c>
      <c r="AU195" s="137" t="str">
        <f aca="false">IF(A196="","",AO195*AT195)</f>
        <v/>
      </c>
      <c r="AW195" s="195" t="str">
        <f aca="false">IF($A196="","",AL195*$E195)</f>
        <v/>
      </c>
      <c r="AX195" s="195" t="str">
        <f aca="false">IF($A196="","",AM195*$E195)</f>
        <v/>
      </c>
      <c r="AY195" s="195" t="str">
        <f aca="false">IF($A196="","",AN195*$E195)</f>
        <v/>
      </c>
      <c r="BA195" s="195" t="str">
        <f aca="false">IF($A196="","",F195*Summary!$Q$11)</f>
        <v/>
      </c>
    </row>
    <row r="196" customFormat="false" ht="12" hidden="false" customHeight="true" outlineLevel="0" collapsed="false">
      <c r="A196" s="196" t="str">
        <f aca="false">IF(A195&lt;mthend,EDATE(A195,1),"")</f>
        <v/>
      </c>
      <c r="B196" s="197" t="str">
        <f aca="false">IF(A196&lt;mthend,B195,"")</f>
        <v/>
      </c>
      <c r="C196" s="215"/>
      <c r="D196" s="197" t="str">
        <f aca="false">IF(A197&lt;&gt;"",B196+C196,"")</f>
        <v/>
      </c>
      <c r="E196" s="199" t="str">
        <f aca="false">IF(A197="","",IF(AND(AT196=1,$H$3=1),D196*AO196,IF($H$3=2,D196,"N/A")))</f>
        <v/>
      </c>
      <c r="F196" s="199" t="str">
        <f aca="false">IF(A197="","",E196*AS196)</f>
        <v/>
      </c>
      <c r="G196" s="200" t="str">
        <f aca="false">IF($A197="","",VLOOKUP($A196,Table,MATCH(G$4,Curves,0)))</f>
        <v/>
      </c>
      <c r="H196" s="201" t="str">
        <f aca="false">IF(A197="","",G196)</f>
        <v/>
      </c>
      <c r="I196" s="202"/>
      <c r="J196" s="200" t="str">
        <f aca="false">IF($A197="","",VLOOKUP($A196,Table,MATCH(J$4,Curves,0)))</f>
        <v/>
      </c>
      <c r="K196" s="201" t="str">
        <f aca="false">IF(A197="","",J196)</f>
        <v/>
      </c>
      <c r="L196" s="200" t="str">
        <f aca="false">IF($A197="","",VLOOKUP($A196,Table,MATCH(L$4,Curves,0)))</f>
        <v/>
      </c>
      <c r="M196" s="201" t="str">
        <f aca="false">IF(A197="","",L196)</f>
        <v/>
      </c>
      <c r="N196" s="203"/>
      <c r="O196" s="200" t="str">
        <f aca="false">IF(A197="","",L196+J196+G196)</f>
        <v/>
      </c>
      <c r="P196" s="200" t="str">
        <f aca="false">IF(A197="","",M196+K196+H196)</f>
        <v/>
      </c>
      <c r="Q196" s="204"/>
      <c r="R196" s="200" t="str">
        <f aca="false">IF($A197="","",VLOOKUP($A196,Table,MATCH(R$4,Curves,0)))</f>
        <v/>
      </c>
      <c r="S196" s="201" t="str">
        <f aca="false">IF(A197="","",R196)</f>
        <v/>
      </c>
      <c r="T196" s="185" t="n">
        <v>0</v>
      </c>
      <c r="U196" s="201" t="str">
        <f aca="false">IF(A197="","",T196)</f>
        <v/>
      </c>
      <c r="V196" s="205" t="str">
        <f aca="false">IF($A197="","",IF(AND(MONTH(A196)&gt;3,MONTH(A196)&lt;11),(T196+R196+G196)*Summary!$T$11/(1-Summary!$T$11),(T196+R196+G196)*Summary!$U$11/(1-Summary!$U$11)))</f>
        <v/>
      </c>
      <c r="W196" s="202" t="str">
        <f aca="false">IF($A197="","",(T196+R196+G196+V196))</f>
        <v/>
      </c>
      <c r="X196" s="202" t="str">
        <f aca="false">IF($A197="","",(U196+S196+H196+V196))</f>
        <v/>
      </c>
      <c r="Y196" s="202"/>
      <c r="Z196" s="185" t="str">
        <f aca="false">IF($A197="","",VLOOKUP($A196,Table,MATCH(Z$4,Curves,0)))</f>
        <v/>
      </c>
      <c r="AA196" s="185" t="str">
        <f aca="false">IF($A197="","",VLOOKUP($A196,Table,MATCH(AA$4,Curves,0)))</f>
        <v/>
      </c>
      <c r="AB196" s="185" t="e">
        <f aca="false">SQRT((AA196^2*(A196-$D$3)+Z196^2*(DAY(EOMONTH(A196,0))/2))/AK196)</f>
        <v>#VALUE!</v>
      </c>
      <c r="AC196" s="185" t="str">
        <f aca="false">IF($A197="","",VLOOKUP($A196,Table,MATCH(AC$4,Curves,0)))</f>
        <v/>
      </c>
      <c r="AD196" s="185" t="str">
        <f aca="false">IF($A197="","",VLOOKUP($A196,Table,MATCH(AD$4,Curves,0)))</f>
        <v/>
      </c>
      <c r="AE196" s="185" t="e">
        <f aca="false">SQRT((AD196^2*(A196-$D$3)+AC196^2*(DAY(EOMONTH(A196,0))/2))/AK196)</f>
        <v>#VALUE!</v>
      </c>
      <c r="AF196" s="206" t="e">
        <f aca="false">((Summary!$N$11*(AA196*AD196)*(A196-$D$3))+(Summary!$M$11*Z196*AC196*(AJ196-EOMONTH(EDATE(A196,-1),0))))/(AK196*AB196*AE196)</f>
        <v>#VALUE!</v>
      </c>
      <c r="AG196" s="207" t="str">
        <f aca="false">IF($A197="","",Summary!$Q$11)</f>
        <v/>
      </c>
      <c r="AH196" s="207" t="str">
        <f aca="false">IF($A197="","",IF(Summary!$R$11="Y",(VLOOKUP($A196,Summary!$AD$6:$AF$9,3)+'Escalating commodity'!G209),'Escalating commodity'!G209))</f>
        <v/>
      </c>
      <c r="AI196" s="207" t="str">
        <f aca="false">IF($A197="","",AH196)</f>
        <v/>
      </c>
      <c r="AJ196" s="208" t="e">
        <f aca="false">A196+DAY(EOMONTH(A196,0))/2-1</f>
        <v>#VALUE!</v>
      </c>
      <c r="AK196" s="209" t="str">
        <f aca="false">IF($A197="","",$A196-$E$1)</f>
        <v/>
      </c>
      <c r="AL196" s="182" t="str">
        <f aca="false">IF($A197="","",SPRDOPT(P196,X196,AI196,0,AB196,AE196,AF196,AK196,$AJ$2,0))</f>
        <v/>
      </c>
      <c r="AM196" s="210" t="str">
        <f aca="false">IF($A197="","",MAX(0,O196-W196-AI196))</f>
        <v/>
      </c>
      <c r="AN196" s="211" t="str">
        <f aca="false">IF($A197="","",AL196-AM196)</f>
        <v/>
      </c>
      <c r="AO196" s="137" t="str">
        <f aca="false">IF(A197="","",A197-A196)</f>
        <v/>
      </c>
      <c r="AP196" s="212" t="str">
        <f aca="false">IF(A197="","",CHOOSE(F$3,A197+24,A196))</f>
        <v/>
      </c>
      <c r="AQ196" s="209" t="str">
        <f aca="false">IF(A197="","",AP196-$E$1)</f>
        <v/>
      </c>
      <c r="AR196" s="185" t="n">
        <f aca="false">'ANR OK vs ML7'!AR196</f>
        <v>0.1</v>
      </c>
      <c r="AS196" s="213" t="str">
        <f aca="false">IF(A197="","",1/(1+CHOOSE(F$3,(AR197+($I$3/10000))/2,(AR196+($I$3/10000))/2))^(2*AQ196/365.25))</f>
        <v/>
      </c>
      <c r="AT196" s="137" t="str">
        <f aca="false">IF(A197="","",IF(AND(mthbeg&lt;=A196,mthend&gt;=A196),1,0))</f>
        <v/>
      </c>
      <c r="AU196" s="137" t="str">
        <f aca="false">IF(A197="","",AO196*AT196)</f>
        <v/>
      </c>
      <c r="AW196" s="195" t="str">
        <f aca="false">IF($A197="","",AL196*$E196)</f>
        <v/>
      </c>
      <c r="AX196" s="195" t="str">
        <f aca="false">IF($A197="","",AM196*$E196)</f>
        <v/>
      </c>
      <c r="AY196" s="195" t="str">
        <f aca="false">IF($A197="","",AN196*$E196)</f>
        <v/>
      </c>
      <c r="BA196" s="195" t="str">
        <f aca="false">IF($A197="","",F196*Summary!$Q$11)</f>
        <v/>
      </c>
    </row>
    <row r="197" customFormat="false" ht="12" hidden="false" customHeight="true" outlineLevel="0" collapsed="false">
      <c r="A197" s="196" t="str">
        <f aca="false">IF(A196&lt;mthend,EDATE(A196,1),"")</f>
        <v/>
      </c>
      <c r="B197" s="197" t="str">
        <f aca="false">IF(A197&lt;mthend,B196,"")</f>
        <v/>
      </c>
      <c r="C197" s="215"/>
      <c r="D197" s="197" t="str">
        <f aca="false">IF(A198&lt;&gt;"",B197+C197,"")</f>
        <v/>
      </c>
      <c r="E197" s="199" t="str">
        <f aca="false">IF(A198="","",IF(AND(AT197=1,$H$3=1),D197*AO197,IF($H$3=2,D197,"N/A")))</f>
        <v/>
      </c>
      <c r="F197" s="199" t="str">
        <f aca="false">IF(A198="","",E197*AS197)</f>
        <v/>
      </c>
      <c r="G197" s="200" t="str">
        <f aca="false">IF($A198="","",VLOOKUP($A197,Table,MATCH(G$4,Curves,0)))</f>
        <v/>
      </c>
      <c r="H197" s="201" t="str">
        <f aca="false">IF(A198="","",G197)</f>
        <v/>
      </c>
      <c r="I197" s="202"/>
      <c r="J197" s="200" t="str">
        <f aca="false">IF($A198="","",VLOOKUP($A197,Table,MATCH(J$4,Curves,0)))</f>
        <v/>
      </c>
      <c r="K197" s="201" t="str">
        <f aca="false">IF(A198="","",J197)</f>
        <v/>
      </c>
      <c r="L197" s="200" t="str">
        <f aca="false">IF($A198="","",VLOOKUP($A197,Table,MATCH(L$4,Curves,0)))</f>
        <v/>
      </c>
      <c r="M197" s="201" t="str">
        <f aca="false">IF(A198="","",L197)</f>
        <v/>
      </c>
      <c r="N197" s="203"/>
      <c r="O197" s="200" t="str">
        <f aca="false">IF(A198="","",L197+J197+G197)</f>
        <v/>
      </c>
      <c r="P197" s="200" t="str">
        <f aca="false">IF(A198="","",M197+K197+H197)</f>
        <v/>
      </c>
      <c r="Q197" s="204"/>
      <c r="R197" s="200" t="str">
        <f aca="false">IF($A198="","",VLOOKUP($A197,Table,MATCH(R$4,Curves,0)))</f>
        <v/>
      </c>
      <c r="S197" s="201" t="str">
        <f aca="false">IF(A198="","",R197)</f>
        <v/>
      </c>
      <c r="T197" s="185" t="n">
        <v>0</v>
      </c>
      <c r="U197" s="201" t="str">
        <f aca="false">IF(A198="","",T197)</f>
        <v/>
      </c>
      <c r="V197" s="205" t="str">
        <f aca="false">IF($A198="","",IF(AND(MONTH(A197)&gt;3,MONTH(A197)&lt;11),(T197+R197+G197)*Summary!$T$11/(1-Summary!$T$11),(T197+R197+G197)*Summary!$U$11/(1-Summary!$U$11)))</f>
        <v/>
      </c>
      <c r="W197" s="202" t="str">
        <f aca="false">IF($A198="","",(T197+R197+G197+V197))</f>
        <v/>
      </c>
      <c r="X197" s="202" t="str">
        <f aca="false">IF($A198="","",(U197+S197+H197+V197))</f>
        <v/>
      </c>
      <c r="Y197" s="202"/>
      <c r="Z197" s="185" t="str">
        <f aca="false">IF($A198="","",VLOOKUP($A197,Table,MATCH(Z$4,Curves,0)))</f>
        <v/>
      </c>
      <c r="AA197" s="185" t="str">
        <f aca="false">IF($A198="","",VLOOKUP($A197,Table,MATCH(AA$4,Curves,0)))</f>
        <v/>
      </c>
      <c r="AB197" s="185" t="e">
        <f aca="false">SQRT((AA197^2*(A197-$D$3)+Z197^2*(DAY(EOMONTH(A197,0))/2))/AK197)</f>
        <v>#VALUE!</v>
      </c>
      <c r="AC197" s="185" t="str">
        <f aca="false">IF($A198="","",VLOOKUP($A197,Table,MATCH(AC$4,Curves,0)))</f>
        <v/>
      </c>
      <c r="AD197" s="185" t="str">
        <f aca="false">IF($A198="","",VLOOKUP($A197,Table,MATCH(AD$4,Curves,0)))</f>
        <v/>
      </c>
      <c r="AE197" s="185" t="e">
        <f aca="false">SQRT((AD197^2*(A197-$D$3)+AC197^2*(DAY(EOMONTH(A197,0))/2))/AK197)</f>
        <v>#VALUE!</v>
      </c>
      <c r="AF197" s="206" t="e">
        <f aca="false">((Summary!$N$11*(AA197*AD197)*(A197-$D$3))+(Summary!$M$11*Z197*AC197*(AJ197-EOMONTH(EDATE(A197,-1),0))))/(AK197*AB197*AE197)</f>
        <v>#VALUE!</v>
      </c>
      <c r="AG197" s="207" t="str">
        <f aca="false">IF($A198="","",Summary!$Q$11)</f>
        <v/>
      </c>
      <c r="AH197" s="207" t="str">
        <f aca="false">IF($A198="","",IF(Summary!$R$11="Y",(VLOOKUP($A197,Summary!$AD$6:$AF$9,3)+'Escalating commodity'!G210),'Escalating commodity'!G210))</f>
        <v/>
      </c>
      <c r="AI197" s="207" t="str">
        <f aca="false">IF($A198="","",AH197)</f>
        <v/>
      </c>
      <c r="AJ197" s="208" t="e">
        <f aca="false">A197+DAY(EOMONTH(A197,0))/2-1</f>
        <v>#VALUE!</v>
      </c>
      <c r="AK197" s="209" t="str">
        <f aca="false">IF($A198="","",$A197-$E$1)</f>
        <v/>
      </c>
      <c r="AL197" s="182" t="str">
        <f aca="false">IF($A198="","",SPRDOPT(P197,X197,AI197,0,AB197,AE197,AF197,AK197,$AJ$2,0))</f>
        <v/>
      </c>
      <c r="AM197" s="210" t="str">
        <f aca="false">IF($A198="","",MAX(0,O197-W197-AI197))</f>
        <v/>
      </c>
      <c r="AN197" s="211" t="str">
        <f aca="false">IF($A198="","",AL197-AM197)</f>
        <v/>
      </c>
      <c r="AO197" s="137" t="str">
        <f aca="false">IF(A198="","",A198-A197)</f>
        <v/>
      </c>
      <c r="AP197" s="212" t="str">
        <f aca="false">IF(A198="","",CHOOSE(F$3,A198+24,A197))</f>
        <v/>
      </c>
      <c r="AQ197" s="209" t="str">
        <f aca="false">IF(A198="","",AP197-$E$1)</f>
        <v/>
      </c>
      <c r="AR197" s="185" t="n">
        <f aca="false">'ANR OK vs ML7'!AR197</f>
        <v>0.1</v>
      </c>
      <c r="AS197" s="213" t="str">
        <f aca="false">IF(A198="","",1/(1+CHOOSE(F$3,(AR198+($I$3/10000))/2,(AR197+($I$3/10000))/2))^(2*AQ197/365.25))</f>
        <v/>
      </c>
      <c r="AT197" s="137" t="str">
        <f aca="false">IF(A198="","",IF(AND(mthbeg&lt;=A197,mthend&gt;=A197),1,0))</f>
        <v/>
      </c>
      <c r="AU197" s="137" t="str">
        <f aca="false">IF(A198="","",AO197*AT197)</f>
        <v/>
      </c>
      <c r="AW197" s="195" t="str">
        <f aca="false">IF($A198="","",AL197*$E197)</f>
        <v/>
      </c>
      <c r="AX197" s="195" t="str">
        <f aca="false">IF($A198="","",AM197*$E197)</f>
        <v/>
      </c>
      <c r="AY197" s="195" t="str">
        <f aca="false">IF($A198="","",AN197*$E197)</f>
        <v/>
      </c>
      <c r="BA197" s="195" t="str">
        <f aca="false">IF($A198="","",F197*Summary!$Q$11)</f>
        <v/>
      </c>
    </row>
    <row r="198" customFormat="false" ht="12" hidden="false" customHeight="true" outlineLevel="0" collapsed="false">
      <c r="A198" s="196" t="str">
        <f aca="false">IF(A197&lt;mthend,EDATE(A197,1),"")</f>
        <v/>
      </c>
      <c r="B198" s="197" t="str">
        <f aca="false">IF(A198&lt;mthend,B197,"")</f>
        <v/>
      </c>
      <c r="C198" s="215"/>
      <c r="D198" s="197" t="str">
        <f aca="false">IF(A199&lt;&gt;"",B198+C198,"")</f>
        <v/>
      </c>
      <c r="E198" s="199" t="str">
        <f aca="false">IF(A199="","",IF(AND(AT198=1,$H$3=1),D198*AO198,IF($H$3=2,D198,"N/A")))</f>
        <v/>
      </c>
      <c r="F198" s="199" t="str">
        <f aca="false">IF(A199="","",E198*AS198)</f>
        <v/>
      </c>
      <c r="G198" s="200" t="str">
        <f aca="false">IF($A199="","",VLOOKUP($A198,Table,MATCH(G$4,Curves,0)))</f>
        <v/>
      </c>
      <c r="H198" s="201" t="str">
        <f aca="false">IF(A199="","",G198)</f>
        <v/>
      </c>
      <c r="I198" s="202"/>
      <c r="J198" s="200" t="str">
        <f aca="false">IF($A199="","",VLOOKUP($A198,Table,MATCH(J$4,Curves,0)))</f>
        <v/>
      </c>
      <c r="K198" s="201" t="str">
        <f aca="false">IF(A199="","",J198)</f>
        <v/>
      </c>
      <c r="L198" s="200" t="str">
        <f aca="false">IF($A199="","",VLOOKUP($A198,Table,MATCH(L$4,Curves,0)))</f>
        <v/>
      </c>
      <c r="M198" s="201" t="str">
        <f aca="false">IF(A199="","",L198)</f>
        <v/>
      </c>
      <c r="N198" s="203"/>
      <c r="O198" s="200" t="str">
        <f aca="false">IF(A199="","",L198+J198+G198)</f>
        <v/>
      </c>
      <c r="P198" s="200" t="str">
        <f aca="false">IF(A199="","",M198+K198+H198)</f>
        <v/>
      </c>
      <c r="Q198" s="204"/>
      <c r="R198" s="200" t="str">
        <f aca="false">IF($A199="","",VLOOKUP($A198,Table,MATCH(R$4,Curves,0)))</f>
        <v/>
      </c>
      <c r="S198" s="201" t="str">
        <f aca="false">IF(A199="","",R198)</f>
        <v/>
      </c>
      <c r="T198" s="185" t="n">
        <v>0</v>
      </c>
      <c r="U198" s="201" t="str">
        <f aca="false">IF(A199="","",T198)</f>
        <v/>
      </c>
      <c r="V198" s="205" t="str">
        <f aca="false">IF($A199="","",IF(AND(MONTH(A198)&gt;3,MONTH(A198)&lt;11),(T198+R198+G198)*Summary!$T$11/(1-Summary!$T$11),(T198+R198+G198)*Summary!$U$11/(1-Summary!$U$11)))</f>
        <v/>
      </c>
      <c r="W198" s="202" t="str">
        <f aca="false">IF($A199="","",(T198+R198+G198+V198))</f>
        <v/>
      </c>
      <c r="X198" s="202" t="str">
        <f aca="false">IF($A199="","",(U198+S198+H198+V198))</f>
        <v/>
      </c>
      <c r="Y198" s="202"/>
      <c r="Z198" s="185" t="str">
        <f aca="false">IF($A199="","",VLOOKUP($A198,Table,MATCH(Z$4,Curves,0)))</f>
        <v/>
      </c>
      <c r="AA198" s="185" t="str">
        <f aca="false">IF($A199="","",VLOOKUP($A198,Table,MATCH(AA$4,Curves,0)))</f>
        <v/>
      </c>
      <c r="AB198" s="185" t="e">
        <f aca="false">SQRT((AA198^2*(A198-$D$3)+Z198^2*(DAY(EOMONTH(A198,0))/2))/AK198)</f>
        <v>#VALUE!</v>
      </c>
      <c r="AC198" s="185" t="str">
        <f aca="false">IF($A199="","",VLOOKUP($A198,Table,MATCH(AC$4,Curves,0)))</f>
        <v/>
      </c>
      <c r="AD198" s="185" t="str">
        <f aca="false">IF($A199="","",VLOOKUP($A198,Table,MATCH(AD$4,Curves,0)))</f>
        <v/>
      </c>
      <c r="AE198" s="185" t="e">
        <f aca="false">SQRT((AD198^2*(A198-$D$3)+AC198^2*(DAY(EOMONTH(A198,0))/2))/AK198)</f>
        <v>#VALUE!</v>
      </c>
      <c r="AF198" s="206" t="e">
        <f aca="false">((Summary!$N$11*(AA198*AD198)*(A198-$D$3))+(Summary!$M$11*Z198*AC198*(AJ198-EOMONTH(EDATE(A198,-1),0))))/(AK198*AB198*AE198)</f>
        <v>#VALUE!</v>
      </c>
      <c r="AG198" s="207" t="str">
        <f aca="false">IF($A199="","",Summary!$Q$11)</f>
        <v/>
      </c>
      <c r="AH198" s="207" t="str">
        <f aca="false">IF($A199="","",IF(Summary!$R$11="Y",(VLOOKUP($A198,Summary!$AD$6:$AF$9,3)+'Escalating commodity'!G211),'Escalating commodity'!G211))</f>
        <v/>
      </c>
      <c r="AI198" s="207" t="str">
        <f aca="false">IF($A199="","",AH198)</f>
        <v/>
      </c>
      <c r="AJ198" s="208" t="e">
        <f aca="false">A198+DAY(EOMONTH(A198,0))/2-1</f>
        <v>#VALUE!</v>
      </c>
      <c r="AK198" s="209" t="str">
        <f aca="false">IF($A199="","",$A198-$E$1)</f>
        <v/>
      </c>
      <c r="AL198" s="182" t="str">
        <f aca="false">IF($A199="","",SPRDOPT(P198,X198,AI198,0,AB198,AE198,AF198,AK198,$AJ$2,0))</f>
        <v/>
      </c>
      <c r="AM198" s="210" t="str">
        <f aca="false">IF($A199="","",MAX(0,O198-W198-AI198))</f>
        <v/>
      </c>
      <c r="AN198" s="211" t="str">
        <f aca="false">IF($A199="","",AL198-AM198)</f>
        <v/>
      </c>
      <c r="AO198" s="137" t="str">
        <f aca="false">IF(A199="","",A199-A198)</f>
        <v/>
      </c>
      <c r="AP198" s="212" t="str">
        <f aca="false">IF(A199="","",CHOOSE(F$3,A199+24,A198))</f>
        <v/>
      </c>
      <c r="AQ198" s="209" t="str">
        <f aca="false">IF(A199="","",AP198-$E$1)</f>
        <v/>
      </c>
      <c r="AR198" s="185" t="n">
        <f aca="false">'ANR OK vs ML7'!AR198</f>
        <v>0.1</v>
      </c>
      <c r="AS198" s="213" t="str">
        <f aca="false">IF(A199="","",1/(1+CHOOSE(F$3,(AR199+($I$3/10000))/2,(AR198+($I$3/10000))/2))^(2*AQ198/365.25))</f>
        <v/>
      </c>
      <c r="AT198" s="137" t="str">
        <f aca="false">IF(A199="","",IF(AND(mthbeg&lt;=A198,mthend&gt;=A198),1,0))</f>
        <v/>
      </c>
      <c r="AU198" s="137" t="str">
        <f aca="false">IF(A199="","",AO198*AT198)</f>
        <v/>
      </c>
      <c r="AW198" s="195" t="str">
        <f aca="false">IF($A199="","",AL198*$E198)</f>
        <v/>
      </c>
      <c r="AX198" s="195" t="str">
        <f aca="false">IF($A199="","",AM198*$E198)</f>
        <v/>
      </c>
      <c r="AY198" s="195" t="str">
        <f aca="false">IF($A199="","",AN198*$E198)</f>
        <v/>
      </c>
      <c r="BA198" s="195" t="str">
        <f aca="false">IF($A199="","",F198*Summary!$Q$11)</f>
        <v/>
      </c>
    </row>
    <row r="199" customFormat="false" ht="12" hidden="false" customHeight="true" outlineLevel="0" collapsed="false">
      <c r="A199" s="196" t="str">
        <f aca="false">IF(A198&lt;mthend,EDATE(A198,1),"")</f>
        <v/>
      </c>
      <c r="B199" s="197" t="str">
        <f aca="false">IF(A199&lt;mthend,B198,"")</f>
        <v/>
      </c>
      <c r="C199" s="215"/>
      <c r="D199" s="197" t="str">
        <f aca="false">IF(A200&lt;&gt;"",B199+C199,"")</f>
        <v/>
      </c>
      <c r="E199" s="199" t="str">
        <f aca="false">IF(A200="","",IF(AND(AT199=1,$H$3=1),D199*AO199,IF($H$3=2,D199,"N/A")))</f>
        <v/>
      </c>
      <c r="F199" s="199" t="str">
        <f aca="false">IF(A200="","",E199*AS199)</f>
        <v/>
      </c>
      <c r="G199" s="200" t="str">
        <f aca="false">IF($A200="","",VLOOKUP($A199,Table,MATCH(G$4,Curves,0)))</f>
        <v/>
      </c>
      <c r="H199" s="201" t="str">
        <f aca="false">IF(A200="","",G199)</f>
        <v/>
      </c>
      <c r="I199" s="202"/>
      <c r="J199" s="200" t="str">
        <f aca="false">IF($A200="","",VLOOKUP($A199,Table,MATCH(J$4,Curves,0)))</f>
        <v/>
      </c>
      <c r="K199" s="201" t="str">
        <f aca="false">IF(A200="","",J199)</f>
        <v/>
      </c>
      <c r="L199" s="200" t="str">
        <f aca="false">IF($A200="","",VLOOKUP($A199,Table,MATCH(L$4,Curves,0)))</f>
        <v/>
      </c>
      <c r="M199" s="201" t="str">
        <f aca="false">IF(A200="","",L199)</f>
        <v/>
      </c>
      <c r="N199" s="203"/>
      <c r="O199" s="200" t="str">
        <f aca="false">IF(A200="","",L199+J199+G199)</f>
        <v/>
      </c>
      <c r="P199" s="200" t="str">
        <f aca="false">IF(A200="","",M199+K199+H199)</f>
        <v/>
      </c>
      <c r="Q199" s="204"/>
      <c r="R199" s="200" t="str">
        <f aca="false">IF($A200="","",VLOOKUP($A199,Table,MATCH(R$4,Curves,0)))</f>
        <v/>
      </c>
      <c r="S199" s="201" t="str">
        <f aca="false">IF(A200="","",R199)</f>
        <v/>
      </c>
      <c r="T199" s="185" t="n">
        <v>0</v>
      </c>
      <c r="U199" s="201" t="str">
        <f aca="false">IF(A200="","",T199)</f>
        <v/>
      </c>
      <c r="V199" s="205" t="str">
        <f aca="false">IF($A200="","",IF(AND(MONTH(A199)&gt;3,MONTH(A199)&lt;11),(T199+R199+G199)*Summary!$T$11/(1-Summary!$T$11),(T199+R199+G199)*Summary!$U$11/(1-Summary!$U$11)))</f>
        <v/>
      </c>
      <c r="W199" s="202" t="str">
        <f aca="false">IF($A200="","",(T199+R199+G199+V199))</f>
        <v/>
      </c>
      <c r="X199" s="202" t="str">
        <f aca="false">IF($A200="","",(U199+S199+H199+V199))</f>
        <v/>
      </c>
      <c r="Y199" s="202"/>
      <c r="Z199" s="185" t="str">
        <f aca="false">IF($A200="","",VLOOKUP($A199,Table,MATCH(Z$4,Curves,0)))</f>
        <v/>
      </c>
      <c r="AA199" s="185" t="str">
        <f aca="false">IF($A200="","",VLOOKUP($A199,Table,MATCH(AA$4,Curves,0)))</f>
        <v/>
      </c>
      <c r="AB199" s="185" t="e">
        <f aca="false">SQRT((AA199^2*(A199-$D$3)+Z199^2*(DAY(EOMONTH(A199,0))/2))/AK199)</f>
        <v>#VALUE!</v>
      </c>
      <c r="AC199" s="185" t="str">
        <f aca="false">IF($A200="","",VLOOKUP($A199,Table,MATCH(AC$4,Curves,0)))</f>
        <v/>
      </c>
      <c r="AD199" s="185" t="str">
        <f aca="false">IF($A200="","",VLOOKUP($A199,Table,MATCH(AD$4,Curves,0)))</f>
        <v/>
      </c>
      <c r="AE199" s="185" t="e">
        <f aca="false">SQRT((AD199^2*(A199-$D$3)+AC199^2*(DAY(EOMONTH(A199,0))/2))/AK199)</f>
        <v>#VALUE!</v>
      </c>
      <c r="AF199" s="206" t="e">
        <f aca="false">((Summary!$N$11*(AA199*AD199)*(A199-$D$3))+(Summary!$M$11*Z199*AC199*(AJ199-EOMONTH(EDATE(A199,-1),0))))/(AK199*AB199*AE199)</f>
        <v>#VALUE!</v>
      </c>
      <c r="AG199" s="207" t="str">
        <f aca="false">IF($A200="","",Summary!$Q$11)</f>
        <v/>
      </c>
      <c r="AH199" s="207" t="str">
        <f aca="false">IF($A200="","",IF(Summary!$R$11="Y",(VLOOKUP($A199,Summary!$AD$6:$AF$9,3)+'Escalating commodity'!G212),'Escalating commodity'!G212))</f>
        <v/>
      </c>
      <c r="AI199" s="207" t="str">
        <f aca="false">IF($A200="","",AH199)</f>
        <v/>
      </c>
      <c r="AJ199" s="208" t="e">
        <f aca="false">A199+DAY(EOMONTH(A199,0))/2-1</f>
        <v>#VALUE!</v>
      </c>
      <c r="AK199" s="209" t="str">
        <f aca="false">IF($A200="","",$A199-$E$1)</f>
        <v/>
      </c>
      <c r="AL199" s="182" t="str">
        <f aca="false">IF($A200="","",SPRDOPT(P199,X199,AI199,0,AB199,AE199,AF199,AK199,$AJ$2,0))</f>
        <v/>
      </c>
      <c r="AM199" s="210" t="str">
        <f aca="false">IF($A200="","",MAX(0,O199-W199-AI199))</f>
        <v/>
      </c>
      <c r="AN199" s="211" t="str">
        <f aca="false">IF($A200="","",AL199-AM199)</f>
        <v/>
      </c>
      <c r="AO199" s="137" t="str">
        <f aca="false">IF(A200="","",A200-A199)</f>
        <v/>
      </c>
      <c r="AP199" s="212" t="str">
        <f aca="false">IF(A200="","",CHOOSE(F$3,A200+24,A199))</f>
        <v/>
      </c>
      <c r="AQ199" s="209" t="str">
        <f aca="false">IF(A200="","",AP199-$E$1)</f>
        <v/>
      </c>
      <c r="AR199" s="185" t="n">
        <f aca="false">'ANR OK vs ML7'!AR199</f>
        <v>0.1</v>
      </c>
      <c r="AS199" s="213" t="str">
        <f aca="false">IF(A200="","",1/(1+CHOOSE(F$3,(AR200+($I$3/10000))/2,(AR199+($I$3/10000))/2))^(2*AQ199/365.25))</f>
        <v/>
      </c>
      <c r="AT199" s="137" t="str">
        <f aca="false">IF(A200="","",IF(AND(mthbeg&lt;=A199,mthend&gt;=A199),1,0))</f>
        <v/>
      </c>
      <c r="AU199" s="137" t="str">
        <f aca="false">IF(A200="","",AO199*AT199)</f>
        <v/>
      </c>
      <c r="AW199" s="195" t="str">
        <f aca="false">IF($A200="","",AL199*$E199)</f>
        <v/>
      </c>
      <c r="AX199" s="195" t="str">
        <f aca="false">IF($A200="","",AM199*$E199)</f>
        <v/>
      </c>
      <c r="AY199" s="195" t="str">
        <f aca="false">IF($A200="","",AN199*$E199)</f>
        <v/>
      </c>
      <c r="BA199" s="195" t="str">
        <f aca="false">IF($A200="","",F199*Summary!$Q$11)</f>
        <v/>
      </c>
    </row>
    <row r="200" customFormat="false" ht="12" hidden="false" customHeight="true" outlineLevel="0" collapsed="false">
      <c r="A200" s="196" t="str">
        <f aca="false">IF(A199&lt;mthend,EDATE(A199,1),"")</f>
        <v/>
      </c>
      <c r="B200" s="197" t="str">
        <f aca="false">IF(A200&lt;mthend,B199,"")</f>
        <v/>
      </c>
      <c r="C200" s="215"/>
      <c r="D200" s="197" t="str">
        <f aca="false">IF(A201&lt;&gt;"",B200+C200,"")</f>
        <v/>
      </c>
      <c r="E200" s="199" t="str">
        <f aca="false">IF(A201="","",IF(AND(AT200=1,$H$3=1),D200*AO200,IF($H$3=2,D200,"N/A")))</f>
        <v/>
      </c>
      <c r="F200" s="199" t="str">
        <f aca="false">IF(A201="","",E200*AS200)</f>
        <v/>
      </c>
      <c r="G200" s="200" t="str">
        <f aca="false">IF($A201="","",VLOOKUP($A200,Table,MATCH(G$4,Curves,0)))</f>
        <v/>
      </c>
      <c r="H200" s="201" t="str">
        <f aca="false">IF(A201="","",G200)</f>
        <v/>
      </c>
      <c r="I200" s="202"/>
      <c r="J200" s="200" t="str">
        <f aca="false">IF($A201="","",VLOOKUP($A200,Table,MATCH(J$4,Curves,0)))</f>
        <v/>
      </c>
      <c r="K200" s="201" t="str">
        <f aca="false">IF(A201="","",J200)</f>
        <v/>
      </c>
      <c r="L200" s="200" t="str">
        <f aca="false">IF($A201="","",VLOOKUP($A200,Table,MATCH(L$4,Curves,0)))</f>
        <v/>
      </c>
      <c r="M200" s="201" t="str">
        <f aca="false">IF(A201="","",L200)</f>
        <v/>
      </c>
      <c r="N200" s="203"/>
      <c r="O200" s="200" t="str">
        <f aca="false">IF(A201="","",L200+J200+G200)</f>
        <v/>
      </c>
      <c r="P200" s="200" t="str">
        <f aca="false">IF(A201="","",M200+K200+H200)</f>
        <v/>
      </c>
      <c r="Q200" s="204"/>
      <c r="R200" s="200" t="str">
        <f aca="false">IF($A201="","",VLOOKUP($A200,Table,MATCH(R$4,Curves,0)))</f>
        <v/>
      </c>
      <c r="S200" s="201" t="str">
        <f aca="false">IF(A201="","",R200)</f>
        <v/>
      </c>
      <c r="T200" s="185" t="n">
        <v>0</v>
      </c>
      <c r="U200" s="201" t="str">
        <f aca="false">IF(A201="","",T200)</f>
        <v/>
      </c>
      <c r="V200" s="205" t="str">
        <f aca="false">IF($A201="","",IF(AND(MONTH(A200)&gt;3,MONTH(A200)&lt;11),(T200+R200+G200)*Summary!$T$11/(1-Summary!$T$11),(T200+R200+G200)*Summary!$U$11/(1-Summary!$U$11)))</f>
        <v/>
      </c>
      <c r="W200" s="202" t="str">
        <f aca="false">IF($A201="","",(T200+R200+G200+V200))</f>
        <v/>
      </c>
      <c r="X200" s="202" t="str">
        <f aca="false">IF($A201="","",(U200+S200+H200+V200))</f>
        <v/>
      </c>
      <c r="Y200" s="202"/>
      <c r="Z200" s="185" t="str">
        <f aca="false">IF($A201="","",VLOOKUP($A200,Table,MATCH(Z$4,Curves,0)))</f>
        <v/>
      </c>
      <c r="AA200" s="185" t="str">
        <f aca="false">IF($A201="","",VLOOKUP($A200,Table,MATCH(AA$4,Curves,0)))</f>
        <v/>
      </c>
      <c r="AB200" s="185" t="e">
        <f aca="false">SQRT((AA200^2*(A200-$D$3)+Z200^2*(DAY(EOMONTH(A200,0))/2))/AK200)</f>
        <v>#VALUE!</v>
      </c>
      <c r="AC200" s="185" t="str">
        <f aca="false">IF($A201="","",VLOOKUP($A200,Table,MATCH(AC$4,Curves,0)))</f>
        <v/>
      </c>
      <c r="AD200" s="185" t="str">
        <f aca="false">IF($A201="","",VLOOKUP($A200,Table,MATCH(AD$4,Curves,0)))</f>
        <v/>
      </c>
      <c r="AE200" s="185" t="e">
        <f aca="false">SQRT((AD200^2*(A200-$D$3)+AC200^2*(DAY(EOMONTH(A200,0))/2))/AK200)</f>
        <v>#VALUE!</v>
      </c>
      <c r="AF200" s="206" t="e">
        <f aca="false">((Summary!$N$11*(AA200*AD200)*(A200-$D$3))+(Summary!$M$11*Z200*AC200*(AJ200-EOMONTH(EDATE(A200,-1),0))))/(AK200*AB200*AE200)</f>
        <v>#VALUE!</v>
      </c>
      <c r="AG200" s="207" t="str">
        <f aca="false">IF($A201="","",Summary!$Q$11)</f>
        <v/>
      </c>
      <c r="AH200" s="207" t="str">
        <f aca="false">IF($A201="","",IF(Summary!$R$11="Y",(VLOOKUP($A200,Summary!$AD$6:$AF$9,3)+'Escalating commodity'!G213),'Escalating commodity'!G213))</f>
        <v/>
      </c>
      <c r="AI200" s="207" t="str">
        <f aca="false">IF($A201="","",AH200)</f>
        <v/>
      </c>
      <c r="AJ200" s="208" t="e">
        <f aca="false">A200+DAY(EOMONTH(A200,0))/2-1</f>
        <v>#VALUE!</v>
      </c>
      <c r="AK200" s="209" t="str">
        <f aca="false">IF($A201="","",$A200-$E$1)</f>
        <v/>
      </c>
      <c r="AL200" s="182" t="str">
        <f aca="false">IF($A201="","",SPRDOPT(P200,X200,AI200,0,AB200,AE200,AF200,AK200,$AJ$2,0))</f>
        <v/>
      </c>
      <c r="AM200" s="210" t="str">
        <f aca="false">IF($A201="","",MAX(0,O200-W200-AI200))</f>
        <v/>
      </c>
      <c r="AN200" s="211" t="str">
        <f aca="false">IF($A201="","",AL200-AM200)</f>
        <v/>
      </c>
      <c r="AO200" s="137" t="str">
        <f aca="false">IF(A201="","",A201-A200)</f>
        <v/>
      </c>
      <c r="AP200" s="212" t="str">
        <f aca="false">IF(A201="","",CHOOSE(F$3,A201+24,A200))</f>
        <v/>
      </c>
      <c r="AQ200" s="209" t="str">
        <f aca="false">IF(A201="","",AP200-$E$1)</f>
        <v/>
      </c>
      <c r="AR200" s="185" t="n">
        <f aca="false">'ANR OK vs ML7'!AR200</f>
        <v>0.1</v>
      </c>
      <c r="AS200" s="213" t="str">
        <f aca="false">IF(A201="","",1/(1+CHOOSE(F$3,(AR201+($I$3/10000))/2,(AR200+($I$3/10000))/2))^(2*AQ200/365.25))</f>
        <v/>
      </c>
      <c r="AT200" s="137" t="str">
        <f aca="false">IF(A201="","",IF(AND(mthbeg&lt;=A200,mthend&gt;=A200),1,0))</f>
        <v/>
      </c>
      <c r="AU200" s="137" t="str">
        <f aca="false">IF(A201="","",AO200*AT200)</f>
        <v/>
      </c>
      <c r="AW200" s="195" t="str">
        <f aca="false">IF($A201="","",AL200*$E200)</f>
        <v/>
      </c>
      <c r="AX200" s="195" t="str">
        <f aca="false">IF($A201="","",AM200*$E200)</f>
        <v/>
      </c>
      <c r="AY200" s="195" t="str">
        <f aca="false">IF($A201="","",AN200*$E200)</f>
        <v/>
      </c>
      <c r="BA200" s="195" t="str">
        <f aca="false">IF($A201="","",F200*Summary!$Q$11)</f>
        <v/>
      </c>
    </row>
    <row r="201" customFormat="false" ht="12" hidden="false" customHeight="true" outlineLevel="0" collapsed="false">
      <c r="A201" s="196" t="str">
        <f aca="false">IF(A200&lt;mthend,EDATE(A200,1),"")</f>
        <v/>
      </c>
      <c r="B201" s="197" t="str">
        <f aca="false">IF(A201&lt;mthend,B200,"")</f>
        <v/>
      </c>
      <c r="C201" s="215"/>
      <c r="D201" s="197" t="str">
        <f aca="false">IF(A202&lt;&gt;"",B201+C201,"")</f>
        <v/>
      </c>
      <c r="E201" s="199" t="str">
        <f aca="false">IF(A202="","",IF(AND(AT201=1,$H$3=1),D201*AO201,IF($H$3=2,D201,"N/A")))</f>
        <v/>
      </c>
      <c r="F201" s="199" t="str">
        <f aca="false">IF(A202="","",E201*AS201)</f>
        <v/>
      </c>
      <c r="G201" s="200" t="str">
        <f aca="false">IF($A202="","",VLOOKUP($A201,Table,MATCH(G$4,Curves,0)))</f>
        <v/>
      </c>
      <c r="H201" s="201" t="str">
        <f aca="false">IF(A202="","",G201)</f>
        <v/>
      </c>
      <c r="I201" s="202"/>
      <c r="J201" s="200" t="str">
        <f aca="false">IF($A202="","",VLOOKUP($A201,Table,MATCH(J$4,Curves,0)))</f>
        <v/>
      </c>
      <c r="K201" s="201" t="str">
        <f aca="false">IF(A202="","",J201)</f>
        <v/>
      </c>
      <c r="L201" s="200" t="str">
        <f aca="false">IF($A202="","",VLOOKUP($A201,Table,MATCH(L$4,Curves,0)))</f>
        <v/>
      </c>
      <c r="M201" s="201" t="str">
        <f aca="false">IF(A202="","",L201)</f>
        <v/>
      </c>
      <c r="N201" s="203"/>
      <c r="O201" s="200" t="str">
        <f aca="false">IF(A202="","",L201+J201+G201)</f>
        <v/>
      </c>
      <c r="P201" s="200" t="str">
        <f aca="false">IF(A202="","",M201+K201+H201)</f>
        <v/>
      </c>
      <c r="Q201" s="204"/>
      <c r="R201" s="200" t="str">
        <f aca="false">IF($A202="","",VLOOKUP($A201,Table,MATCH(R$4,Curves,0)))</f>
        <v/>
      </c>
      <c r="S201" s="201" t="str">
        <f aca="false">IF(A202="","",R201)</f>
        <v/>
      </c>
      <c r="T201" s="185" t="n">
        <v>0</v>
      </c>
      <c r="U201" s="201" t="str">
        <f aca="false">IF(A202="","",T201)</f>
        <v/>
      </c>
      <c r="V201" s="205" t="str">
        <f aca="false">IF($A202="","",IF(AND(MONTH(A201)&gt;3,MONTH(A201)&lt;11),(T201+R201+G201)*Summary!$T$11/(1-Summary!$T$11),(T201+R201+G201)*Summary!$U$11/(1-Summary!$U$11)))</f>
        <v/>
      </c>
      <c r="W201" s="202" t="str">
        <f aca="false">IF($A202="","",(T201+R201+G201+V201))</f>
        <v/>
      </c>
      <c r="X201" s="202" t="str">
        <f aca="false">IF($A202="","",(U201+S201+H201+V201))</f>
        <v/>
      </c>
      <c r="Y201" s="202"/>
      <c r="Z201" s="185" t="str">
        <f aca="false">IF($A202="","",VLOOKUP($A201,Table,MATCH(Z$4,Curves,0)))</f>
        <v/>
      </c>
      <c r="AA201" s="185" t="str">
        <f aca="false">IF($A202="","",VLOOKUP($A201,Table,MATCH(AA$4,Curves,0)))</f>
        <v/>
      </c>
      <c r="AB201" s="185" t="e">
        <f aca="false">SQRT((AA201^2*(A201-$D$3)+Z201^2*(DAY(EOMONTH(A201,0))/2))/AK201)</f>
        <v>#VALUE!</v>
      </c>
      <c r="AC201" s="185" t="str">
        <f aca="false">IF($A202="","",VLOOKUP($A201,Table,MATCH(AC$4,Curves,0)))</f>
        <v/>
      </c>
      <c r="AD201" s="185" t="str">
        <f aca="false">IF($A202="","",VLOOKUP($A201,Table,MATCH(AD$4,Curves,0)))</f>
        <v/>
      </c>
      <c r="AE201" s="185" t="e">
        <f aca="false">SQRT((AD201^2*(A201-$D$3)+AC201^2*(DAY(EOMONTH(A201,0))/2))/AK201)</f>
        <v>#VALUE!</v>
      </c>
      <c r="AF201" s="206" t="e">
        <f aca="false">((Summary!$N$11*(AA201*AD201)*(A201-$D$3))+(Summary!$M$11*Z201*AC201*(AJ201-EOMONTH(EDATE(A201,-1),0))))/(AK201*AB201*AE201)</f>
        <v>#VALUE!</v>
      </c>
      <c r="AG201" s="207" t="str">
        <f aca="false">IF($A202="","",Summary!$Q$11)</f>
        <v/>
      </c>
      <c r="AH201" s="207" t="str">
        <f aca="false">IF($A202="","",IF(Summary!$R$11="Y",(VLOOKUP($A201,Summary!$AD$6:$AF$9,3)+'Escalating commodity'!G214),'Escalating commodity'!G214))</f>
        <v/>
      </c>
      <c r="AI201" s="207" t="str">
        <f aca="false">IF($A202="","",AH201)</f>
        <v/>
      </c>
      <c r="AJ201" s="208" t="e">
        <f aca="false">A201+DAY(EOMONTH(A201,0))/2-1</f>
        <v>#VALUE!</v>
      </c>
      <c r="AK201" s="209" t="str">
        <f aca="false">IF($A202="","",$A201-$E$1)</f>
        <v/>
      </c>
      <c r="AL201" s="182" t="str">
        <f aca="false">IF($A202="","",SPRDOPT(P201,X201,AI201,0,AB201,AE201,AF201,AK201,$AJ$2,0))</f>
        <v/>
      </c>
      <c r="AM201" s="210" t="str">
        <f aca="false">IF($A202="","",MAX(0,O201-W201-AI201))</f>
        <v/>
      </c>
      <c r="AN201" s="211" t="str">
        <f aca="false">IF($A202="","",AL201-AM201)</f>
        <v/>
      </c>
      <c r="AO201" s="137" t="str">
        <f aca="false">IF(A202="","",A202-A201)</f>
        <v/>
      </c>
      <c r="AP201" s="212" t="str">
        <f aca="false">IF(A202="","",CHOOSE(F$3,A202+24,A201))</f>
        <v/>
      </c>
      <c r="AQ201" s="209" t="str">
        <f aca="false">IF(A202="","",AP201-$E$1)</f>
        <v/>
      </c>
      <c r="AR201" s="185" t="n">
        <f aca="false">'ANR OK vs ML7'!AR201</f>
        <v>0.1</v>
      </c>
      <c r="AS201" s="213" t="str">
        <f aca="false">IF(A202="","",1/(1+CHOOSE(F$3,(AR202+($I$3/10000))/2,(AR201+($I$3/10000))/2))^(2*AQ201/365.25))</f>
        <v/>
      </c>
      <c r="AT201" s="137" t="str">
        <f aca="false">IF(A202="","",IF(AND(mthbeg&lt;=A201,mthend&gt;=A201),1,0))</f>
        <v/>
      </c>
      <c r="AU201" s="137" t="str">
        <f aca="false">IF(A202="","",AO201*AT201)</f>
        <v/>
      </c>
      <c r="AW201" s="195" t="str">
        <f aca="false">IF($A202="","",AL201*$E201)</f>
        <v/>
      </c>
      <c r="AX201" s="195" t="str">
        <f aca="false">IF($A202="","",AM201*$E201)</f>
        <v/>
      </c>
      <c r="AY201" s="195" t="str">
        <f aca="false">IF($A202="","",AN201*$E201)</f>
        <v/>
      </c>
      <c r="BA201" s="195" t="str">
        <f aca="false">IF($A202="","",F201*Summary!$Q$11)</f>
        <v/>
      </c>
    </row>
    <row r="202" customFormat="false" ht="12" hidden="false" customHeight="true" outlineLevel="0" collapsed="false">
      <c r="A202" s="196" t="str">
        <f aca="false">IF(A201&lt;mthend,EDATE(A201,1),"")</f>
        <v/>
      </c>
      <c r="B202" s="197" t="str">
        <f aca="false">IF(A202&lt;mthend,B201,"")</f>
        <v/>
      </c>
      <c r="C202" s="215"/>
      <c r="D202" s="197" t="str">
        <f aca="false">IF(A203&lt;&gt;"",B202+C202,"")</f>
        <v/>
      </c>
      <c r="E202" s="199" t="str">
        <f aca="false">IF(A203="","",IF(AND(AT202=1,$H$3=1),D202*AO202,IF($H$3=2,D202,"N/A")))</f>
        <v/>
      </c>
      <c r="F202" s="199" t="str">
        <f aca="false">IF(A203="","",E202*AS202)</f>
        <v/>
      </c>
      <c r="G202" s="200" t="str">
        <f aca="false">IF($A203="","",VLOOKUP($A202,Table,MATCH(G$4,Curves,0)))</f>
        <v/>
      </c>
      <c r="H202" s="201" t="str">
        <f aca="false">IF(A203="","",G202)</f>
        <v/>
      </c>
      <c r="I202" s="202"/>
      <c r="J202" s="200" t="str">
        <f aca="false">IF($A203="","",VLOOKUP($A202,Table,MATCH(J$4,Curves,0)))</f>
        <v/>
      </c>
      <c r="K202" s="201" t="str">
        <f aca="false">IF(A203="","",J202)</f>
        <v/>
      </c>
      <c r="L202" s="200" t="str">
        <f aca="false">IF($A203="","",VLOOKUP($A202,Table,MATCH(L$4,Curves,0)))</f>
        <v/>
      </c>
      <c r="M202" s="201" t="str">
        <f aca="false">IF(A203="","",L202)</f>
        <v/>
      </c>
      <c r="N202" s="203"/>
      <c r="O202" s="200" t="str">
        <f aca="false">IF(A203="","",L202+J202+G202)</f>
        <v/>
      </c>
      <c r="P202" s="200" t="str">
        <f aca="false">IF(A203="","",M202+K202+H202)</f>
        <v/>
      </c>
      <c r="Q202" s="204"/>
      <c r="R202" s="200" t="str">
        <f aca="false">IF($A203="","",VLOOKUP($A202,Table,MATCH(R$4,Curves,0)))</f>
        <v/>
      </c>
      <c r="S202" s="201" t="str">
        <f aca="false">IF(A203="","",R202)</f>
        <v/>
      </c>
      <c r="T202" s="185" t="n">
        <v>0</v>
      </c>
      <c r="U202" s="201" t="str">
        <f aca="false">IF(A203="","",T202)</f>
        <v/>
      </c>
      <c r="V202" s="205" t="str">
        <f aca="false">IF($A203="","",IF(AND(MONTH(A202)&gt;3,MONTH(A202)&lt;11),(T202+R202+G202)*Summary!$T$11/(1-Summary!$T$11),(T202+R202+G202)*Summary!$U$11/(1-Summary!$U$11)))</f>
        <v/>
      </c>
      <c r="W202" s="202" t="str">
        <f aca="false">IF($A203="","",(T202+R202+G202+V202))</f>
        <v/>
      </c>
      <c r="X202" s="202" t="str">
        <f aca="false">IF($A203="","",(U202+S202+H202+V202))</f>
        <v/>
      </c>
      <c r="Y202" s="202"/>
      <c r="Z202" s="185" t="str">
        <f aca="false">IF($A203="","",VLOOKUP($A202,Table,MATCH(Z$4,Curves,0)))</f>
        <v/>
      </c>
      <c r="AA202" s="185" t="str">
        <f aca="false">IF($A203="","",VLOOKUP($A202,Table,MATCH(AA$4,Curves,0)))</f>
        <v/>
      </c>
      <c r="AB202" s="185" t="e">
        <f aca="false">SQRT((AA202^2*(A202-$D$3)+Z202^2*(DAY(EOMONTH(A202,0))/2))/AK202)</f>
        <v>#VALUE!</v>
      </c>
      <c r="AC202" s="185" t="str">
        <f aca="false">IF($A203="","",VLOOKUP($A202,Table,MATCH(AC$4,Curves,0)))</f>
        <v/>
      </c>
      <c r="AD202" s="185" t="str">
        <f aca="false">IF($A203="","",VLOOKUP($A202,Table,MATCH(AD$4,Curves,0)))</f>
        <v/>
      </c>
      <c r="AE202" s="185" t="e">
        <f aca="false">SQRT((AD202^2*(A202-$D$3)+AC202^2*(DAY(EOMONTH(A202,0))/2))/AK202)</f>
        <v>#VALUE!</v>
      </c>
      <c r="AF202" s="206" t="e">
        <f aca="false">((Summary!$N$11*(AA202*AD202)*(A202-$D$3))+(Summary!$M$11*Z202*AC202*(AJ202-EOMONTH(EDATE(A202,-1),0))))/(AK202*AB202*AE202)</f>
        <v>#VALUE!</v>
      </c>
      <c r="AG202" s="207" t="str">
        <f aca="false">IF($A203="","",Summary!$Q$11)</f>
        <v/>
      </c>
      <c r="AH202" s="207" t="str">
        <f aca="false">IF($A203="","",IF(Summary!$R$11="Y",(VLOOKUP($A202,Summary!$AD$6:$AF$9,3)+'Escalating commodity'!G215),'Escalating commodity'!G215))</f>
        <v/>
      </c>
      <c r="AI202" s="207" t="str">
        <f aca="false">IF($A203="","",AH202)</f>
        <v/>
      </c>
      <c r="AJ202" s="208" t="e">
        <f aca="false">A202+DAY(EOMONTH(A202,0))/2-1</f>
        <v>#VALUE!</v>
      </c>
      <c r="AK202" s="209" t="str">
        <f aca="false">IF($A203="","",$A202-$E$1)</f>
        <v/>
      </c>
      <c r="AL202" s="182" t="str">
        <f aca="false">IF($A203="","",SPRDOPT(P202,X202,AI202,0,AB202,AE202,AF202,AK202,$AJ$2,0))</f>
        <v/>
      </c>
      <c r="AM202" s="210" t="str">
        <f aca="false">IF($A203="","",MAX(0,O202-W202-AI202))</f>
        <v/>
      </c>
      <c r="AN202" s="211" t="str">
        <f aca="false">IF($A203="","",AL202-AM202)</f>
        <v/>
      </c>
      <c r="AO202" s="137" t="str">
        <f aca="false">IF(A203="","",A203-A202)</f>
        <v/>
      </c>
      <c r="AP202" s="212" t="str">
        <f aca="false">IF(A203="","",CHOOSE(F$3,A203+24,A202))</f>
        <v/>
      </c>
      <c r="AQ202" s="209" t="str">
        <f aca="false">IF(A203="","",AP202-$E$1)</f>
        <v/>
      </c>
      <c r="AR202" s="185" t="n">
        <f aca="false">'ANR OK vs ML7'!AR202</f>
        <v>0.1</v>
      </c>
      <c r="AS202" s="213" t="str">
        <f aca="false">IF(A203="","",1/(1+CHOOSE(F$3,(AR203+($I$3/10000))/2,(AR202+($I$3/10000))/2))^(2*AQ202/365.25))</f>
        <v/>
      </c>
      <c r="AT202" s="137" t="str">
        <f aca="false">IF(A203="","",IF(AND(mthbeg&lt;=A202,mthend&gt;=A202),1,0))</f>
        <v/>
      </c>
      <c r="AU202" s="137" t="str">
        <f aca="false">IF(A203="","",AO202*AT202)</f>
        <v/>
      </c>
      <c r="AW202" s="195" t="str">
        <f aca="false">IF($A203="","",AL202*$E202)</f>
        <v/>
      </c>
      <c r="AX202" s="195" t="str">
        <f aca="false">IF($A203="","",AM202*$E202)</f>
        <v/>
      </c>
      <c r="AY202" s="195" t="str">
        <f aca="false">IF($A203="","",AN202*$E202)</f>
        <v/>
      </c>
      <c r="BA202" s="195" t="str">
        <f aca="false">IF($A203="","",F202*Summary!$Q$11)</f>
        <v/>
      </c>
    </row>
    <row r="203" customFormat="false" ht="12" hidden="false" customHeight="true" outlineLevel="0" collapsed="false">
      <c r="A203" s="196" t="str">
        <f aca="false">IF(A202&lt;mthend,EDATE(A202,1),"")</f>
        <v/>
      </c>
      <c r="B203" s="197" t="str">
        <f aca="false">IF(A203&lt;mthend,B202,"")</f>
        <v/>
      </c>
      <c r="C203" s="215"/>
      <c r="D203" s="197" t="str">
        <f aca="false">IF(A204&lt;&gt;"",B203+C203,"")</f>
        <v/>
      </c>
      <c r="E203" s="199" t="str">
        <f aca="false">IF(A204="","",IF(AND(AT203=1,$H$3=1),D203*AO203,IF($H$3=2,D203,"N/A")))</f>
        <v/>
      </c>
      <c r="F203" s="199" t="str">
        <f aca="false">IF(A204="","",E203*AS203)</f>
        <v/>
      </c>
      <c r="G203" s="200" t="str">
        <f aca="false">IF($A204="","",VLOOKUP($A203,Table,MATCH(G$4,Curves,0)))</f>
        <v/>
      </c>
      <c r="H203" s="201" t="str">
        <f aca="false">IF(A204="","",G203)</f>
        <v/>
      </c>
      <c r="I203" s="202"/>
      <c r="J203" s="200" t="str">
        <f aca="false">IF($A204="","",VLOOKUP($A203,Table,MATCH(J$4,Curves,0)))</f>
        <v/>
      </c>
      <c r="K203" s="201" t="str">
        <f aca="false">IF(A204="","",J203)</f>
        <v/>
      </c>
      <c r="L203" s="200" t="str">
        <f aca="false">IF($A204="","",VLOOKUP($A203,Table,MATCH(L$4,Curves,0)))</f>
        <v/>
      </c>
      <c r="M203" s="201" t="str">
        <f aca="false">IF(A204="","",L203)</f>
        <v/>
      </c>
      <c r="N203" s="203"/>
      <c r="O203" s="200" t="str">
        <f aca="false">IF(A204="","",L203+J203+G203)</f>
        <v/>
      </c>
      <c r="P203" s="200" t="str">
        <f aca="false">IF(A204="","",M203+K203+H203)</f>
        <v/>
      </c>
      <c r="Q203" s="204"/>
      <c r="R203" s="200" t="str">
        <f aca="false">IF($A204="","",VLOOKUP($A203,Table,MATCH(R$4,Curves,0)))</f>
        <v/>
      </c>
      <c r="S203" s="201" t="str">
        <f aca="false">IF(A204="","",R203)</f>
        <v/>
      </c>
      <c r="T203" s="185" t="n">
        <v>0</v>
      </c>
      <c r="U203" s="201" t="str">
        <f aca="false">IF(A204="","",T203)</f>
        <v/>
      </c>
      <c r="V203" s="205" t="str">
        <f aca="false">IF($A204="","",IF(AND(MONTH(A203)&gt;3,MONTH(A203)&lt;11),(T203+R203+G203)*Summary!$T$11/(1-Summary!$T$11),(T203+R203+G203)*Summary!$U$11/(1-Summary!$U$11)))</f>
        <v/>
      </c>
      <c r="W203" s="202" t="str">
        <f aca="false">IF($A204="","",(T203+R203+G203+V203))</f>
        <v/>
      </c>
      <c r="X203" s="202" t="str">
        <f aca="false">IF($A204="","",(U203+S203+H203+V203))</f>
        <v/>
      </c>
      <c r="Y203" s="202"/>
      <c r="Z203" s="185" t="str">
        <f aca="false">IF($A204="","",VLOOKUP($A203,Table,MATCH(Z$4,Curves,0)))</f>
        <v/>
      </c>
      <c r="AA203" s="185" t="str">
        <f aca="false">IF($A204="","",VLOOKUP($A203,Table,MATCH(AA$4,Curves,0)))</f>
        <v/>
      </c>
      <c r="AB203" s="185" t="e">
        <f aca="false">SQRT((AA203^2*(A203-$D$3)+Z203^2*(DAY(EOMONTH(A203,0))/2))/AK203)</f>
        <v>#VALUE!</v>
      </c>
      <c r="AC203" s="185" t="str">
        <f aca="false">IF($A204="","",VLOOKUP($A203,Table,MATCH(AC$4,Curves,0)))</f>
        <v/>
      </c>
      <c r="AD203" s="185" t="str">
        <f aca="false">IF($A204="","",VLOOKUP($A203,Table,MATCH(AD$4,Curves,0)))</f>
        <v/>
      </c>
      <c r="AE203" s="185" t="e">
        <f aca="false">SQRT((AD203^2*(A203-$D$3)+AC203^2*(DAY(EOMONTH(A203,0))/2))/AK203)</f>
        <v>#VALUE!</v>
      </c>
      <c r="AF203" s="206" t="e">
        <f aca="false">((Summary!$N$11*(AA203*AD203)*(A203-$D$3))+(Summary!$M$11*Z203*AC203*(AJ203-EOMONTH(EDATE(A203,-1),0))))/(AK203*AB203*AE203)</f>
        <v>#VALUE!</v>
      </c>
      <c r="AG203" s="207" t="str">
        <f aca="false">IF($A204="","",Summary!$Q$11)</f>
        <v/>
      </c>
      <c r="AH203" s="207" t="str">
        <f aca="false">IF($A204="","",IF(Summary!$R$11="Y",(VLOOKUP($A203,Summary!$AD$6:$AF$9,3)+'Escalating commodity'!G216),'Escalating commodity'!G216))</f>
        <v/>
      </c>
      <c r="AI203" s="207" t="str">
        <f aca="false">IF($A204="","",AH203)</f>
        <v/>
      </c>
      <c r="AJ203" s="208" t="e">
        <f aca="false">A203+DAY(EOMONTH(A203,0))/2-1</f>
        <v>#VALUE!</v>
      </c>
      <c r="AK203" s="209" t="str">
        <f aca="false">IF($A204="","",$A203-$E$1)</f>
        <v/>
      </c>
      <c r="AL203" s="182" t="str">
        <f aca="false">IF($A204="","",SPRDOPT(P203,X203,AI203,0,AB203,AE203,AF203,AK203,$AJ$2,0))</f>
        <v/>
      </c>
      <c r="AM203" s="210" t="str">
        <f aca="false">IF($A204="","",MAX(0,O203-W203-AI203))</f>
        <v/>
      </c>
      <c r="AN203" s="211" t="str">
        <f aca="false">IF($A204="","",AL203-AM203)</f>
        <v/>
      </c>
      <c r="AO203" s="137" t="str">
        <f aca="false">IF(A204="","",A204-A203)</f>
        <v/>
      </c>
      <c r="AP203" s="212" t="str">
        <f aca="false">IF(A204="","",CHOOSE(F$3,A204+24,A203))</f>
        <v/>
      </c>
      <c r="AQ203" s="209" t="str">
        <f aca="false">IF(A204="","",AP203-$E$1)</f>
        <v/>
      </c>
      <c r="AR203" s="185" t="n">
        <f aca="false">'ANR OK vs ML7'!AR203</f>
        <v>0.1</v>
      </c>
      <c r="AS203" s="213" t="str">
        <f aca="false">IF(A204="","",1/(1+CHOOSE(F$3,(AR204+($I$3/10000))/2,(AR203+($I$3/10000))/2))^(2*AQ203/365.25))</f>
        <v/>
      </c>
      <c r="AT203" s="137" t="str">
        <f aca="false">IF(A204="","",IF(AND(mthbeg&lt;=A203,mthend&gt;=A203),1,0))</f>
        <v/>
      </c>
      <c r="AU203" s="137" t="str">
        <f aca="false">IF(A204="","",AO203*AT203)</f>
        <v/>
      </c>
      <c r="AW203" s="195" t="str">
        <f aca="false">IF($A204="","",AL203*$E203)</f>
        <v/>
      </c>
      <c r="AX203" s="195" t="str">
        <f aca="false">IF($A204="","",AM203*$E203)</f>
        <v/>
      </c>
      <c r="AY203" s="195" t="str">
        <f aca="false">IF($A204="","",AN203*$E203)</f>
        <v/>
      </c>
      <c r="BA203" s="195" t="str">
        <f aca="false">IF($A204="","",F203*Summary!$Q$11)</f>
        <v/>
      </c>
    </row>
    <row r="204" customFormat="false" ht="12" hidden="false" customHeight="true" outlineLevel="0" collapsed="false">
      <c r="A204" s="196" t="str">
        <f aca="false">IF(A203&lt;mthend,EDATE(A203,1),"")</f>
        <v/>
      </c>
      <c r="B204" s="197" t="str">
        <f aca="false">IF(A204&lt;mthend,B203,"")</f>
        <v/>
      </c>
      <c r="C204" s="215"/>
      <c r="D204" s="197" t="str">
        <f aca="false">IF(A205&lt;&gt;"",B204+C204,"")</f>
        <v/>
      </c>
      <c r="E204" s="199" t="str">
        <f aca="false">IF(A205="","",IF(AND(AT204=1,$H$3=1),D204*AO204,IF($H$3=2,D204,"N/A")))</f>
        <v/>
      </c>
      <c r="F204" s="199" t="str">
        <f aca="false">IF(A205="","",E204*AS204)</f>
        <v/>
      </c>
      <c r="G204" s="200" t="str">
        <f aca="false">IF($A205="","",VLOOKUP($A204,Table,MATCH(G$4,Curves,0)))</f>
        <v/>
      </c>
      <c r="H204" s="201" t="str">
        <f aca="false">IF(A205="","",G204)</f>
        <v/>
      </c>
      <c r="I204" s="202"/>
      <c r="J204" s="200" t="str">
        <f aca="false">IF($A205="","",VLOOKUP($A204,Table,MATCH(J$4,Curves,0)))</f>
        <v/>
      </c>
      <c r="K204" s="201" t="str">
        <f aca="false">IF(A205="","",J204)</f>
        <v/>
      </c>
      <c r="L204" s="200" t="str">
        <f aca="false">IF($A205="","",VLOOKUP($A204,Table,MATCH(L$4,Curves,0)))</f>
        <v/>
      </c>
      <c r="M204" s="201" t="str">
        <f aca="false">IF(A205="","",L204)</f>
        <v/>
      </c>
      <c r="N204" s="203"/>
      <c r="O204" s="200" t="str">
        <f aca="false">IF(A205="","",L204+J204+G204)</f>
        <v/>
      </c>
      <c r="P204" s="200" t="str">
        <f aca="false">IF(A205="","",M204+K204+H204)</f>
        <v/>
      </c>
      <c r="Q204" s="204"/>
      <c r="R204" s="200" t="str">
        <f aca="false">IF($A205="","",VLOOKUP($A204,Table,MATCH(R$4,Curves,0)))</f>
        <v/>
      </c>
      <c r="S204" s="201" t="str">
        <f aca="false">IF(A205="","",R204)</f>
        <v/>
      </c>
      <c r="T204" s="185" t="n">
        <v>0</v>
      </c>
      <c r="U204" s="201" t="str">
        <f aca="false">IF(A205="","",T204)</f>
        <v/>
      </c>
      <c r="V204" s="205" t="str">
        <f aca="false">IF($A205="","",IF(AND(MONTH(A204)&gt;3,MONTH(A204)&lt;11),(T204+R204+G204)*Summary!$T$11/(1-Summary!$T$11),(T204+R204+G204)*Summary!$U$11/(1-Summary!$U$11)))</f>
        <v/>
      </c>
      <c r="W204" s="202" t="str">
        <f aca="false">IF($A205="","",(T204+R204+G204+V204))</f>
        <v/>
      </c>
      <c r="X204" s="202" t="str">
        <f aca="false">IF($A205="","",(U204+S204+H204+V204))</f>
        <v/>
      </c>
      <c r="Y204" s="202"/>
      <c r="Z204" s="185" t="str">
        <f aca="false">IF($A205="","",VLOOKUP($A204,Table,MATCH(Z$4,Curves,0)))</f>
        <v/>
      </c>
      <c r="AA204" s="185" t="str">
        <f aca="false">IF($A205="","",VLOOKUP($A204,Table,MATCH(AA$4,Curves,0)))</f>
        <v/>
      </c>
      <c r="AB204" s="185" t="e">
        <f aca="false">SQRT((AA204^2*(A204-$D$3)+Z204^2*(DAY(EOMONTH(A204,0))/2))/AK204)</f>
        <v>#VALUE!</v>
      </c>
      <c r="AC204" s="185" t="str">
        <f aca="false">IF($A205="","",VLOOKUP($A204,Table,MATCH(AC$4,Curves,0)))</f>
        <v/>
      </c>
      <c r="AD204" s="185" t="str">
        <f aca="false">IF($A205="","",VLOOKUP($A204,Table,MATCH(AD$4,Curves,0)))</f>
        <v/>
      </c>
      <c r="AE204" s="185" t="e">
        <f aca="false">SQRT((AD204^2*(A204-$D$3)+AC204^2*(DAY(EOMONTH(A204,0))/2))/AK204)</f>
        <v>#VALUE!</v>
      </c>
      <c r="AF204" s="206" t="e">
        <f aca="false">((Summary!$N$11*(AA204*AD204)*(A204-$D$3))+(Summary!$M$11*Z204*AC204*(AJ204-EOMONTH(EDATE(A204,-1),0))))/(AK204*AB204*AE204)</f>
        <v>#VALUE!</v>
      </c>
      <c r="AG204" s="207" t="str">
        <f aca="false">IF($A205="","",Summary!$Q$11)</f>
        <v/>
      </c>
      <c r="AH204" s="207" t="str">
        <f aca="false">IF($A205="","",IF(Summary!$R$11="Y",(VLOOKUP($A204,Summary!$AD$6:$AF$9,3)+'Escalating commodity'!G217),'Escalating commodity'!G217))</f>
        <v/>
      </c>
      <c r="AI204" s="207" t="str">
        <f aca="false">IF($A205="","",AH204)</f>
        <v/>
      </c>
      <c r="AJ204" s="208" t="e">
        <f aca="false">A204+DAY(EOMONTH(A204,0))/2-1</f>
        <v>#VALUE!</v>
      </c>
      <c r="AK204" s="209" t="str">
        <f aca="false">IF($A205="","",$A204-$E$1)</f>
        <v/>
      </c>
      <c r="AL204" s="182" t="str">
        <f aca="false">IF($A205="","",SPRDOPT(P204,X204,AI204,0,AB204,AE204,AF204,AK204,$AJ$2,0))</f>
        <v/>
      </c>
      <c r="AM204" s="210" t="str">
        <f aca="false">IF($A205="","",MAX(0,O204-W204-AI204))</f>
        <v/>
      </c>
      <c r="AN204" s="211" t="str">
        <f aca="false">IF($A205="","",AL204-AM204)</f>
        <v/>
      </c>
      <c r="AO204" s="137" t="str">
        <f aca="false">IF(A205="","",A205-A204)</f>
        <v/>
      </c>
      <c r="AP204" s="212" t="str">
        <f aca="false">IF(A205="","",CHOOSE(F$3,A205+24,A204))</f>
        <v/>
      </c>
      <c r="AQ204" s="209" t="str">
        <f aca="false">IF(A205="","",AP204-$E$1)</f>
        <v/>
      </c>
      <c r="AR204" s="185" t="n">
        <f aca="false">'ANR OK vs ML7'!AR204</f>
        <v>0.1</v>
      </c>
      <c r="AS204" s="213" t="str">
        <f aca="false">IF(A205="","",1/(1+CHOOSE(F$3,(AR205+($I$3/10000))/2,(AR204+($I$3/10000))/2))^(2*AQ204/365.25))</f>
        <v/>
      </c>
      <c r="AT204" s="137" t="str">
        <f aca="false">IF(A205="","",IF(AND(mthbeg&lt;=A204,mthend&gt;=A204),1,0))</f>
        <v/>
      </c>
      <c r="AU204" s="137" t="str">
        <f aca="false">IF(A205="","",AO204*AT204)</f>
        <v/>
      </c>
      <c r="AW204" s="195" t="str">
        <f aca="false">IF($A205="","",AL204*$E204)</f>
        <v/>
      </c>
      <c r="AX204" s="195" t="str">
        <f aca="false">IF($A205="","",AM204*$E204)</f>
        <v/>
      </c>
      <c r="AY204" s="195" t="str">
        <f aca="false">IF($A205="","",AN204*$E204)</f>
        <v/>
      </c>
      <c r="BA204" s="195" t="str">
        <f aca="false">IF($A205="","",F204*Summary!$Q$11)</f>
        <v/>
      </c>
    </row>
    <row r="205" customFormat="false" ht="12" hidden="false" customHeight="true" outlineLevel="0" collapsed="false">
      <c r="A205" s="196" t="str">
        <f aca="false">IF(A204&lt;mthend,EDATE(A204,1),"")</f>
        <v/>
      </c>
      <c r="B205" s="197" t="str">
        <f aca="false">IF(A205&lt;mthend,B204,"")</f>
        <v/>
      </c>
      <c r="C205" s="215"/>
      <c r="D205" s="197" t="str">
        <f aca="false">IF(A206&lt;&gt;"",B205+C205,"")</f>
        <v/>
      </c>
      <c r="E205" s="199" t="str">
        <f aca="false">IF(A206="","",IF(AND(AT205=1,$H$3=1),D205*AO205,IF($H$3=2,D205,"N/A")))</f>
        <v/>
      </c>
      <c r="F205" s="199" t="str">
        <f aca="false">IF(A206="","",E205*AS205)</f>
        <v/>
      </c>
      <c r="G205" s="200" t="str">
        <f aca="false">IF($A206="","",VLOOKUP($A205,Table,MATCH(G$4,Curves,0)))</f>
        <v/>
      </c>
      <c r="H205" s="201" t="str">
        <f aca="false">IF(A206="","",G205)</f>
        <v/>
      </c>
      <c r="I205" s="202"/>
      <c r="J205" s="200" t="str">
        <f aca="false">IF($A206="","",VLOOKUP($A205,Table,MATCH(J$4,Curves,0)))</f>
        <v/>
      </c>
      <c r="K205" s="201" t="str">
        <f aca="false">IF(A206="","",J205)</f>
        <v/>
      </c>
      <c r="L205" s="200" t="str">
        <f aca="false">IF($A206="","",VLOOKUP($A205,Table,MATCH(L$4,Curves,0)))</f>
        <v/>
      </c>
      <c r="M205" s="201" t="str">
        <f aca="false">IF(A206="","",L205)</f>
        <v/>
      </c>
      <c r="N205" s="203"/>
      <c r="O205" s="200" t="str">
        <f aca="false">IF(A206="","",L205+J205+G205)</f>
        <v/>
      </c>
      <c r="P205" s="200" t="str">
        <f aca="false">IF(A206="","",M205+K205+H205)</f>
        <v/>
      </c>
      <c r="Q205" s="204"/>
      <c r="R205" s="200" t="str">
        <f aca="false">IF($A206="","",VLOOKUP($A205,Table,MATCH(R$4,Curves,0)))</f>
        <v/>
      </c>
      <c r="S205" s="201" t="str">
        <f aca="false">IF(A206="","",R205)</f>
        <v/>
      </c>
      <c r="T205" s="185" t="n">
        <v>0</v>
      </c>
      <c r="U205" s="201" t="str">
        <f aca="false">IF(A206="","",T205)</f>
        <v/>
      </c>
      <c r="V205" s="205" t="str">
        <f aca="false">IF($A206="","",IF(AND(MONTH(A205)&gt;3,MONTH(A205)&lt;11),(T205+R205+G205)*Summary!$T$11/(1-Summary!$T$11),(T205+R205+G205)*Summary!$U$11/(1-Summary!$U$11)))</f>
        <v/>
      </c>
      <c r="W205" s="202" t="str">
        <f aca="false">IF($A206="","",(T205+R205+G205+V205))</f>
        <v/>
      </c>
      <c r="X205" s="202" t="str">
        <f aca="false">IF($A206="","",(U205+S205+H205+V205))</f>
        <v/>
      </c>
      <c r="Y205" s="202"/>
      <c r="Z205" s="185" t="str">
        <f aca="false">IF($A206="","",VLOOKUP($A205,Table,MATCH(Z$4,Curves,0)))</f>
        <v/>
      </c>
      <c r="AA205" s="185" t="str">
        <f aca="false">IF($A206="","",VLOOKUP($A205,Table,MATCH(AA$4,Curves,0)))</f>
        <v/>
      </c>
      <c r="AB205" s="185" t="e">
        <f aca="false">SQRT((AA205^2*(A205-$D$3)+Z205^2*(DAY(EOMONTH(A205,0))/2))/AK205)</f>
        <v>#VALUE!</v>
      </c>
      <c r="AC205" s="185" t="str">
        <f aca="false">IF($A206="","",VLOOKUP($A205,Table,MATCH(AC$4,Curves,0)))</f>
        <v/>
      </c>
      <c r="AD205" s="185" t="str">
        <f aca="false">IF($A206="","",VLOOKUP($A205,Table,MATCH(AD$4,Curves,0)))</f>
        <v/>
      </c>
      <c r="AE205" s="185" t="e">
        <f aca="false">SQRT((AD205^2*(A205-$D$3)+AC205^2*(DAY(EOMONTH(A205,0))/2))/AK205)</f>
        <v>#VALUE!</v>
      </c>
      <c r="AF205" s="206" t="e">
        <f aca="false">((Summary!$N$11*(AA205*AD205)*(A205-$D$3))+(Summary!$M$11*Z205*AC205*(AJ205-EOMONTH(EDATE(A205,-1),0))))/(AK205*AB205*AE205)</f>
        <v>#VALUE!</v>
      </c>
      <c r="AG205" s="207" t="str">
        <f aca="false">IF($A206="","",Summary!$Q$11)</f>
        <v/>
      </c>
      <c r="AH205" s="207" t="str">
        <f aca="false">IF($A206="","",IF(Summary!$R$11="Y",(VLOOKUP($A205,Summary!$AD$6:$AF$9,3)+'Escalating commodity'!G218),'Escalating commodity'!G218))</f>
        <v/>
      </c>
      <c r="AI205" s="207" t="str">
        <f aca="false">IF($A206="","",AH205)</f>
        <v/>
      </c>
      <c r="AJ205" s="208" t="e">
        <f aca="false">A205+DAY(EOMONTH(A205,0))/2-1</f>
        <v>#VALUE!</v>
      </c>
      <c r="AK205" s="209" t="str">
        <f aca="false">IF($A206="","",$A205-$E$1)</f>
        <v/>
      </c>
      <c r="AL205" s="182" t="str">
        <f aca="false">IF($A206="","",SPRDOPT(P205,X205,AI205,0,AB205,AE205,AF205,AK205,$AJ$2,0))</f>
        <v/>
      </c>
      <c r="AM205" s="210" t="str">
        <f aca="false">IF($A206="","",MAX(0,O205-W205-AI205))</f>
        <v/>
      </c>
      <c r="AN205" s="211" t="str">
        <f aca="false">IF($A206="","",AL205-AM205)</f>
        <v/>
      </c>
      <c r="AO205" s="137" t="str">
        <f aca="false">IF(A206="","",A206-A205)</f>
        <v/>
      </c>
      <c r="AP205" s="212" t="str">
        <f aca="false">IF(A206="","",CHOOSE(F$3,A206+24,A205))</f>
        <v/>
      </c>
      <c r="AQ205" s="209" t="str">
        <f aca="false">IF(A206="","",AP205-$E$1)</f>
        <v/>
      </c>
      <c r="AR205" s="185" t="n">
        <f aca="false">'ANR OK vs ML7'!AR205</f>
        <v>0.1</v>
      </c>
      <c r="AS205" s="213" t="str">
        <f aca="false">IF(A206="","",1/(1+CHOOSE(F$3,(AR206+($I$3/10000))/2,(AR205+($I$3/10000))/2))^(2*AQ205/365.25))</f>
        <v/>
      </c>
      <c r="AT205" s="137" t="str">
        <f aca="false">IF(A206="","",IF(AND(mthbeg&lt;=A205,mthend&gt;=A205),1,0))</f>
        <v/>
      </c>
      <c r="AU205" s="137" t="str">
        <f aca="false">IF(A206="","",AO205*AT205)</f>
        <v/>
      </c>
      <c r="AW205" s="195" t="str">
        <f aca="false">IF($A206="","",AL205*$E205)</f>
        <v/>
      </c>
      <c r="AX205" s="195" t="str">
        <f aca="false">IF($A206="","",AM205*$E205)</f>
        <v/>
      </c>
      <c r="AY205" s="195" t="str">
        <f aca="false">IF($A206="","",AN205*$E205)</f>
        <v/>
      </c>
      <c r="BA205" s="195" t="str">
        <f aca="false">IF($A206="","",F205*Summary!$Q$11)</f>
        <v/>
      </c>
    </row>
    <row r="206" customFormat="false" ht="12" hidden="false" customHeight="true" outlineLevel="0" collapsed="false">
      <c r="A206" s="196" t="str">
        <f aca="false">IF(A205&lt;mthend,EDATE(A205,1),"")</f>
        <v/>
      </c>
      <c r="B206" s="197" t="str">
        <f aca="false">IF(A206&lt;mthend,B205,"")</f>
        <v/>
      </c>
      <c r="C206" s="215"/>
      <c r="D206" s="197" t="str">
        <f aca="false">IF(A207&lt;&gt;"",B206+C206,"")</f>
        <v/>
      </c>
      <c r="E206" s="199" t="str">
        <f aca="false">IF(A207="","",IF(AND(AT206=1,$H$3=1),D206*AO206,IF($H$3=2,D206,"N/A")))</f>
        <v/>
      </c>
      <c r="F206" s="199" t="str">
        <f aca="false">IF(A207="","",E206*AS206)</f>
        <v/>
      </c>
      <c r="G206" s="200" t="str">
        <f aca="false">IF($A207="","",VLOOKUP($A206,Table,MATCH(G$4,Curves,0)))</f>
        <v/>
      </c>
      <c r="H206" s="201" t="str">
        <f aca="false">IF(A207="","",G206)</f>
        <v/>
      </c>
      <c r="I206" s="202"/>
      <c r="J206" s="200" t="str">
        <f aca="false">IF($A207="","",VLOOKUP($A206,Table,MATCH(J$4,Curves,0)))</f>
        <v/>
      </c>
      <c r="K206" s="201" t="str">
        <f aca="false">IF(A207="","",J206)</f>
        <v/>
      </c>
      <c r="L206" s="200" t="str">
        <f aca="false">IF($A207="","",VLOOKUP($A206,Table,MATCH(L$4,Curves,0)))</f>
        <v/>
      </c>
      <c r="M206" s="201" t="str">
        <f aca="false">IF(A207="","",L206)</f>
        <v/>
      </c>
      <c r="N206" s="203"/>
      <c r="O206" s="200" t="str">
        <f aca="false">IF(A207="","",L206+J206+G206)</f>
        <v/>
      </c>
      <c r="P206" s="200" t="str">
        <f aca="false">IF(A207="","",M206+K206+H206)</f>
        <v/>
      </c>
      <c r="Q206" s="204"/>
      <c r="R206" s="200" t="str">
        <f aca="false">IF($A207="","",VLOOKUP($A206,Table,MATCH(R$4,Curves,0)))</f>
        <v/>
      </c>
      <c r="S206" s="201" t="str">
        <f aca="false">IF(A207="","",R206)</f>
        <v/>
      </c>
      <c r="T206" s="185" t="n">
        <v>0</v>
      </c>
      <c r="U206" s="201" t="str">
        <f aca="false">IF(A207="","",T206)</f>
        <v/>
      </c>
      <c r="V206" s="205" t="str">
        <f aca="false">IF($A207="","",IF(AND(MONTH(A206)&gt;3,MONTH(A206)&lt;11),(T206+R206+G206)*Summary!$T$11/(1-Summary!$T$11),(T206+R206+G206)*Summary!$U$11/(1-Summary!$U$11)))</f>
        <v/>
      </c>
      <c r="W206" s="202" t="str">
        <f aca="false">IF($A207="","",(T206+R206+G206+V206))</f>
        <v/>
      </c>
      <c r="X206" s="202" t="str">
        <f aca="false">IF($A207="","",(U206+S206+H206+V206))</f>
        <v/>
      </c>
      <c r="Y206" s="202"/>
      <c r="Z206" s="185" t="str">
        <f aca="false">IF($A207="","",VLOOKUP($A206,Table,MATCH(Z$4,Curves,0)))</f>
        <v/>
      </c>
      <c r="AA206" s="185" t="str">
        <f aca="false">IF($A207="","",VLOOKUP($A206,Table,MATCH(AA$4,Curves,0)))</f>
        <v/>
      </c>
      <c r="AB206" s="185" t="e">
        <f aca="false">SQRT((AA206^2*(A206-$D$3)+Z206^2*(DAY(EOMONTH(A206,0))/2))/AK206)</f>
        <v>#VALUE!</v>
      </c>
      <c r="AC206" s="185" t="str">
        <f aca="false">IF($A207="","",VLOOKUP($A206,Table,MATCH(AC$4,Curves,0)))</f>
        <v/>
      </c>
      <c r="AD206" s="185" t="str">
        <f aca="false">IF($A207="","",VLOOKUP($A206,Table,MATCH(AD$4,Curves,0)))</f>
        <v/>
      </c>
      <c r="AE206" s="185" t="e">
        <f aca="false">SQRT((AD206^2*(A206-$D$3)+AC206^2*(DAY(EOMONTH(A206,0))/2))/AK206)</f>
        <v>#VALUE!</v>
      </c>
      <c r="AF206" s="206" t="e">
        <f aca="false">((Summary!$N$11*(AA206*AD206)*(A206-$D$3))+(Summary!$M$11*Z206*AC206*(AJ206-EOMONTH(EDATE(A206,-1),0))))/(AK206*AB206*AE206)</f>
        <v>#VALUE!</v>
      </c>
      <c r="AG206" s="207" t="str">
        <f aca="false">IF($A207="","",Summary!$Q$11)</f>
        <v/>
      </c>
      <c r="AH206" s="207" t="str">
        <f aca="false">IF($A207="","",IF(Summary!$R$11="Y",(VLOOKUP($A206,Summary!$AD$6:$AF$9,3)+'Escalating commodity'!G219),'Escalating commodity'!G219))</f>
        <v/>
      </c>
      <c r="AI206" s="207" t="str">
        <f aca="false">IF($A207="","",AH206)</f>
        <v/>
      </c>
      <c r="AJ206" s="208" t="e">
        <f aca="false">A206+DAY(EOMONTH(A206,0))/2-1</f>
        <v>#VALUE!</v>
      </c>
      <c r="AK206" s="209" t="str">
        <f aca="false">IF($A207="","",$A206-$E$1)</f>
        <v/>
      </c>
      <c r="AL206" s="182" t="str">
        <f aca="false">IF($A207="","",SPRDOPT(P206,X206,AI206,0,AB206,AE206,AF206,AK206,$AJ$2,0))</f>
        <v/>
      </c>
      <c r="AM206" s="210" t="str">
        <f aca="false">IF($A207="","",MAX(0,O206-W206-AI206))</f>
        <v/>
      </c>
      <c r="AN206" s="211" t="str">
        <f aca="false">IF($A207="","",AL206-AM206)</f>
        <v/>
      </c>
      <c r="AO206" s="137" t="str">
        <f aca="false">IF(A207="","",A207-A206)</f>
        <v/>
      </c>
      <c r="AP206" s="212" t="str">
        <f aca="false">IF(A207="","",CHOOSE(F$3,A207+24,A206))</f>
        <v/>
      </c>
      <c r="AQ206" s="209" t="str">
        <f aca="false">IF(A207="","",AP206-$E$1)</f>
        <v/>
      </c>
      <c r="AR206" s="185" t="n">
        <f aca="false">'ANR OK vs ML7'!AR206</f>
        <v>0.1</v>
      </c>
      <c r="AS206" s="213" t="str">
        <f aca="false">IF(A207="","",1/(1+CHOOSE(F$3,(AR207+($I$3/10000))/2,(AR206+($I$3/10000))/2))^(2*AQ206/365.25))</f>
        <v/>
      </c>
      <c r="AT206" s="137" t="str">
        <f aca="false">IF(A207="","",IF(AND(mthbeg&lt;=A206,mthend&gt;=A206),1,0))</f>
        <v/>
      </c>
      <c r="AU206" s="137" t="str">
        <f aca="false">IF(A207="","",AO206*AT206)</f>
        <v/>
      </c>
      <c r="AW206" s="195" t="str">
        <f aca="false">IF($A207="","",AL206*$E206)</f>
        <v/>
      </c>
      <c r="AX206" s="195" t="str">
        <f aca="false">IF($A207="","",AM206*$E206)</f>
        <v/>
      </c>
      <c r="AY206" s="195" t="str">
        <f aca="false">IF($A207="","",AN206*$E206)</f>
        <v/>
      </c>
      <c r="BA206" s="195" t="str">
        <f aca="false">IF($A207="","",F206*Summary!$Q$11)</f>
        <v/>
      </c>
    </row>
    <row r="207" customFormat="false" ht="12" hidden="false" customHeight="true" outlineLevel="0" collapsed="false">
      <c r="A207" s="196" t="str">
        <f aca="false">IF(A206&lt;mthend,EDATE(A206,1),"")</f>
        <v/>
      </c>
      <c r="B207" s="197" t="str">
        <f aca="false">IF(A207&lt;mthend,B206,"")</f>
        <v/>
      </c>
      <c r="C207" s="215"/>
      <c r="D207" s="197" t="str">
        <f aca="false">IF(A208&lt;&gt;"",B207+C207,"")</f>
        <v/>
      </c>
      <c r="E207" s="199" t="str">
        <f aca="false">IF(A208="","",IF(AND(AT207=1,$H$3=1),D207*AO207,IF($H$3=2,D207,"N/A")))</f>
        <v/>
      </c>
      <c r="F207" s="199" t="str">
        <f aca="false">IF(A208="","",E207*AS207)</f>
        <v/>
      </c>
      <c r="G207" s="200" t="str">
        <f aca="false">IF($A208="","",VLOOKUP($A207,Table,MATCH(G$4,Curves,0)))</f>
        <v/>
      </c>
      <c r="H207" s="201" t="str">
        <f aca="false">IF(A208="","",G207)</f>
        <v/>
      </c>
      <c r="I207" s="202"/>
      <c r="J207" s="200" t="str">
        <f aca="false">IF($A208="","",VLOOKUP($A207,Table,MATCH(J$4,Curves,0)))</f>
        <v/>
      </c>
      <c r="K207" s="201" t="str">
        <f aca="false">IF(A208="","",J207)</f>
        <v/>
      </c>
      <c r="L207" s="200" t="str">
        <f aca="false">IF($A208="","",VLOOKUP($A207,Table,MATCH(L$4,Curves,0)))</f>
        <v/>
      </c>
      <c r="M207" s="201" t="str">
        <f aca="false">IF(A208="","",L207)</f>
        <v/>
      </c>
      <c r="N207" s="203"/>
      <c r="O207" s="200" t="str">
        <f aca="false">IF(A208="","",L207+J207+G207)</f>
        <v/>
      </c>
      <c r="P207" s="200" t="str">
        <f aca="false">IF(A208="","",M207+K207+H207)</f>
        <v/>
      </c>
      <c r="Q207" s="204"/>
      <c r="R207" s="200" t="str">
        <f aca="false">IF($A208="","",VLOOKUP($A207,Table,MATCH(R$4,Curves,0)))</f>
        <v/>
      </c>
      <c r="S207" s="201" t="str">
        <f aca="false">IF(A208="","",R207)</f>
        <v/>
      </c>
      <c r="T207" s="185" t="n">
        <v>0</v>
      </c>
      <c r="U207" s="201" t="str">
        <f aca="false">IF(A208="","",T207)</f>
        <v/>
      </c>
      <c r="V207" s="205" t="str">
        <f aca="false">IF($A208="","",IF(AND(MONTH(A207)&gt;3,MONTH(A207)&lt;11),(T207+R207+G207)*Summary!$T$11/(1-Summary!$T$11),(T207+R207+G207)*Summary!$U$11/(1-Summary!$U$11)))</f>
        <v/>
      </c>
      <c r="W207" s="202" t="str">
        <f aca="false">IF($A208="","",(T207+R207+G207+V207))</f>
        <v/>
      </c>
      <c r="X207" s="202" t="str">
        <f aca="false">IF($A208="","",(U207+S207+H207+V207))</f>
        <v/>
      </c>
      <c r="Y207" s="202"/>
      <c r="Z207" s="185" t="str">
        <f aca="false">IF($A208="","",VLOOKUP($A207,Table,MATCH(Z$4,Curves,0)))</f>
        <v/>
      </c>
      <c r="AA207" s="185" t="str">
        <f aca="false">IF($A208="","",VLOOKUP($A207,Table,MATCH(AA$4,Curves,0)))</f>
        <v/>
      </c>
      <c r="AB207" s="185" t="e">
        <f aca="false">SQRT((AA207^2*(A207-$D$3)+Z207^2*(DAY(EOMONTH(A207,0))/2))/AK207)</f>
        <v>#VALUE!</v>
      </c>
      <c r="AC207" s="185" t="str">
        <f aca="false">IF($A208="","",VLOOKUP($A207,Table,MATCH(AC$4,Curves,0)))</f>
        <v/>
      </c>
      <c r="AD207" s="185" t="str">
        <f aca="false">IF($A208="","",VLOOKUP($A207,Table,MATCH(AD$4,Curves,0)))</f>
        <v/>
      </c>
      <c r="AE207" s="185" t="e">
        <f aca="false">SQRT((AD207^2*(A207-$D$3)+AC207^2*(DAY(EOMONTH(A207,0))/2))/AK207)</f>
        <v>#VALUE!</v>
      </c>
      <c r="AF207" s="206" t="e">
        <f aca="false">((Summary!$N$11*(AA207*AD207)*(A207-$D$3))+(Summary!$M$11*Z207*AC207*(AJ207-EOMONTH(EDATE(A207,-1),0))))/(AK207*AB207*AE207)</f>
        <v>#VALUE!</v>
      </c>
      <c r="AG207" s="207" t="str">
        <f aca="false">IF($A208="","",Summary!$Q$11)</f>
        <v/>
      </c>
      <c r="AH207" s="207" t="str">
        <f aca="false">IF($A208="","",IF(Summary!$R$11="Y",(VLOOKUP($A207,Summary!$AD$6:$AF$9,3)+'Escalating commodity'!G220),'Escalating commodity'!G220))</f>
        <v/>
      </c>
      <c r="AI207" s="207" t="str">
        <f aca="false">IF($A208="","",AH207)</f>
        <v/>
      </c>
      <c r="AJ207" s="208" t="e">
        <f aca="false">A207+DAY(EOMONTH(A207,0))/2-1</f>
        <v>#VALUE!</v>
      </c>
      <c r="AK207" s="209" t="str">
        <f aca="false">IF($A208="","",$A207-$E$1)</f>
        <v/>
      </c>
      <c r="AL207" s="182" t="str">
        <f aca="false">IF($A208="","",SPRDOPT(P207,X207,AI207,0,AB207,AE207,AF207,AK207,$AJ$2,0))</f>
        <v/>
      </c>
      <c r="AM207" s="210" t="str">
        <f aca="false">IF($A208="","",MAX(0,O207-W207-AI207))</f>
        <v/>
      </c>
      <c r="AN207" s="211" t="str">
        <f aca="false">IF($A208="","",AL207-AM207)</f>
        <v/>
      </c>
      <c r="AO207" s="137" t="str">
        <f aca="false">IF(A208="","",A208-A207)</f>
        <v/>
      </c>
      <c r="AP207" s="212" t="str">
        <f aca="false">IF(A208="","",CHOOSE(F$3,A208+24,A207))</f>
        <v/>
      </c>
      <c r="AQ207" s="209" t="str">
        <f aca="false">IF(A208="","",AP207-$E$1)</f>
        <v/>
      </c>
      <c r="AR207" s="185" t="n">
        <f aca="false">'ANR OK vs ML7'!AR207</f>
        <v>0.1</v>
      </c>
      <c r="AS207" s="213" t="str">
        <f aca="false">IF(A208="","",1/(1+CHOOSE(F$3,(AR208+($I$3/10000))/2,(AR207+($I$3/10000))/2))^(2*AQ207/365.25))</f>
        <v/>
      </c>
      <c r="AT207" s="137" t="str">
        <f aca="false">IF(A208="","",IF(AND(mthbeg&lt;=A207,mthend&gt;=A207),1,0))</f>
        <v/>
      </c>
      <c r="AU207" s="137" t="str">
        <f aca="false">IF(A208="","",AO207*AT207)</f>
        <v/>
      </c>
      <c r="AW207" s="195" t="str">
        <f aca="false">IF($A208="","",AL207*$E207)</f>
        <v/>
      </c>
      <c r="AX207" s="195" t="str">
        <f aca="false">IF($A208="","",AM207*$E207)</f>
        <v/>
      </c>
      <c r="AY207" s="195" t="str">
        <f aca="false">IF($A208="","",AN207*$E207)</f>
        <v/>
      </c>
      <c r="BA207" s="195" t="str">
        <f aca="false">IF($A208="","",F207*Summary!$Q$11)</f>
        <v/>
      </c>
    </row>
    <row r="208" customFormat="false" ht="12" hidden="false" customHeight="true" outlineLevel="0" collapsed="false">
      <c r="A208" s="196" t="str">
        <f aca="false">IF(A207&lt;mthend,EDATE(A207,1),"")</f>
        <v/>
      </c>
      <c r="B208" s="197" t="str">
        <f aca="false">IF(A208&lt;mthend,B207,"")</f>
        <v/>
      </c>
      <c r="C208" s="215"/>
      <c r="D208" s="197" t="str">
        <f aca="false">IF(A209&lt;&gt;"",B208+C208,"")</f>
        <v/>
      </c>
      <c r="E208" s="199" t="str">
        <f aca="false">IF(A209="","",IF(AND(AT208=1,$H$3=1),D208*AO208,IF($H$3=2,D208,"N/A")))</f>
        <v/>
      </c>
      <c r="F208" s="199" t="str">
        <f aca="false">IF(A209="","",E208*AS208)</f>
        <v/>
      </c>
      <c r="G208" s="200" t="str">
        <f aca="false">IF($A209="","",VLOOKUP($A208,Table,MATCH(G$4,Curves,0)))</f>
        <v/>
      </c>
      <c r="H208" s="201" t="str">
        <f aca="false">IF(A209="","",G208)</f>
        <v/>
      </c>
      <c r="I208" s="202"/>
      <c r="J208" s="200" t="str">
        <f aca="false">IF($A209="","",VLOOKUP($A208,Table,MATCH(J$4,Curves,0)))</f>
        <v/>
      </c>
      <c r="K208" s="201" t="str">
        <f aca="false">IF(A209="","",J208)</f>
        <v/>
      </c>
      <c r="L208" s="200" t="str">
        <f aca="false">IF($A209="","",VLOOKUP($A208,Table,MATCH(L$4,Curves,0)))</f>
        <v/>
      </c>
      <c r="M208" s="201" t="str">
        <f aca="false">IF(A209="","",L208)</f>
        <v/>
      </c>
      <c r="N208" s="203"/>
      <c r="O208" s="200" t="str">
        <f aca="false">IF(A209="","",L208+J208+G208)</f>
        <v/>
      </c>
      <c r="P208" s="200" t="str">
        <f aca="false">IF(A209="","",M208+K208+H208)</f>
        <v/>
      </c>
      <c r="Q208" s="204"/>
      <c r="R208" s="200" t="str">
        <f aca="false">IF($A209="","",VLOOKUP($A208,Table,MATCH(R$4,Curves,0)))</f>
        <v/>
      </c>
      <c r="S208" s="201" t="str">
        <f aca="false">IF(A209="","",R208)</f>
        <v/>
      </c>
      <c r="T208" s="185" t="n">
        <v>0</v>
      </c>
      <c r="U208" s="201" t="str">
        <f aca="false">IF(A209="","",T208)</f>
        <v/>
      </c>
      <c r="V208" s="205" t="str">
        <f aca="false">IF($A209="","",IF(AND(MONTH(A208)&gt;3,MONTH(A208)&lt;11),(T208+R208+G208)*Summary!$T$11/(1-Summary!$T$11),(T208+R208+G208)*Summary!$U$11/(1-Summary!$U$11)))</f>
        <v/>
      </c>
      <c r="W208" s="202" t="str">
        <f aca="false">IF($A209="","",(T208+R208+G208+V208))</f>
        <v/>
      </c>
      <c r="X208" s="202" t="str">
        <f aca="false">IF($A209="","",(U208+S208+H208+V208))</f>
        <v/>
      </c>
      <c r="Y208" s="202"/>
      <c r="Z208" s="185" t="str">
        <f aca="false">IF($A209="","",VLOOKUP($A208,Table,MATCH(Z$4,Curves,0)))</f>
        <v/>
      </c>
      <c r="AA208" s="185" t="str">
        <f aca="false">IF($A209="","",VLOOKUP($A208,Table,MATCH(AA$4,Curves,0)))</f>
        <v/>
      </c>
      <c r="AB208" s="185" t="e">
        <f aca="false">SQRT((AA208^2*(A208-$D$3)+Z208^2*(DAY(EOMONTH(A208,0))/2))/AK208)</f>
        <v>#VALUE!</v>
      </c>
      <c r="AC208" s="185" t="str">
        <f aca="false">IF($A209="","",VLOOKUP($A208,Table,MATCH(AC$4,Curves,0)))</f>
        <v/>
      </c>
      <c r="AD208" s="185" t="str">
        <f aca="false">IF($A209="","",VLOOKUP($A208,Table,MATCH(AD$4,Curves,0)))</f>
        <v/>
      </c>
      <c r="AE208" s="185" t="e">
        <f aca="false">SQRT((AD208^2*(A208-$D$3)+AC208^2*(DAY(EOMONTH(A208,0))/2))/AK208)</f>
        <v>#VALUE!</v>
      </c>
      <c r="AF208" s="206" t="e">
        <f aca="false">((Summary!$N$11*(AA208*AD208)*(A208-$D$3))+(Summary!$M$11*Z208*AC208*(AJ208-EOMONTH(EDATE(A208,-1),0))))/(AK208*AB208*AE208)</f>
        <v>#VALUE!</v>
      </c>
      <c r="AG208" s="207" t="str">
        <f aca="false">IF($A209="","",Summary!$Q$11)</f>
        <v/>
      </c>
      <c r="AH208" s="207" t="str">
        <f aca="false">IF($A209="","",IF(Summary!$R$11="Y",(VLOOKUP($A208,Summary!$AD$6:$AF$9,3)+'Escalating commodity'!G221),'Escalating commodity'!G221))</f>
        <v/>
      </c>
      <c r="AI208" s="207" t="str">
        <f aca="false">IF($A209="","",AH208)</f>
        <v/>
      </c>
      <c r="AJ208" s="208" t="e">
        <f aca="false">A208+DAY(EOMONTH(A208,0))/2-1</f>
        <v>#VALUE!</v>
      </c>
      <c r="AK208" s="209" t="str">
        <f aca="false">IF($A209="","",$A208-$E$1)</f>
        <v/>
      </c>
      <c r="AL208" s="182" t="str">
        <f aca="false">IF($A209="","",SPRDOPT(P208,X208,AI208,0,AB208,AE208,AF208,AK208,$AJ$2,0))</f>
        <v/>
      </c>
      <c r="AM208" s="210" t="str">
        <f aca="false">IF($A209="","",MAX(0,O208-W208-AI208))</f>
        <v/>
      </c>
      <c r="AN208" s="211" t="str">
        <f aca="false">IF($A209="","",AL208-AM208)</f>
        <v/>
      </c>
      <c r="AO208" s="137" t="str">
        <f aca="false">IF(A209="","",A209-A208)</f>
        <v/>
      </c>
      <c r="AP208" s="212" t="str">
        <f aca="false">IF(A209="","",CHOOSE(F$3,A209+24,A208))</f>
        <v/>
      </c>
      <c r="AQ208" s="209" t="str">
        <f aca="false">IF(A209="","",AP208-$E$1)</f>
        <v/>
      </c>
      <c r="AR208" s="185" t="n">
        <f aca="false">'ANR OK vs ML7'!AR208</f>
        <v>0.1</v>
      </c>
      <c r="AS208" s="213" t="str">
        <f aca="false">IF(A209="","",1/(1+CHOOSE(F$3,(AR209+($I$3/10000))/2,(AR208+($I$3/10000))/2))^(2*AQ208/365.25))</f>
        <v/>
      </c>
      <c r="AT208" s="137" t="str">
        <f aca="false">IF(A209="","",IF(AND(mthbeg&lt;=A208,mthend&gt;=A208),1,0))</f>
        <v/>
      </c>
      <c r="AU208" s="137" t="str">
        <f aca="false">IF(A209="","",AO208*AT208)</f>
        <v/>
      </c>
      <c r="AW208" s="195" t="str">
        <f aca="false">IF($A209="","",AL208*$E208)</f>
        <v/>
      </c>
      <c r="AX208" s="195" t="str">
        <f aca="false">IF($A209="","",AM208*$E208)</f>
        <v/>
      </c>
      <c r="AY208" s="195" t="str">
        <f aca="false">IF($A209="","",AN208*$E208)</f>
        <v/>
      </c>
      <c r="BA208" s="195" t="str">
        <f aca="false">IF($A209="","",F208*Summary!$Q$11)</f>
        <v/>
      </c>
    </row>
    <row r="209" customFormat="false" ht="12" hidden="false" customHeight="true" outlineLevel="0" collapsed="false">
      <c r="A209" s="196" t="str">
        <f aca="false">IF(A208&lt;mthend,EDATE(A208,1),"")</f>
        <v/>
      </c>
      <c r="B209" s="197" t="str">
        <f aca="false">IF(A209&lt;mthend,B208,"")</f>
        <v/>
      </c>
      <c r="C209" s="215"/>
      <c r="D209" s="197" t="str">
        <f aca="false">IF(A210&lt;&gt;"",B209+C209,"")</f>
        <v/>
      </c>
      <c r="E209" s="199" t="str">
        <f aca="false">IF(A210="","",IF(AND(AT209=1,$H$3=1),D209*AO209,IF($H$3=2,D209,"N/A")))</f>
        <v/>
      </c>
      <c r="F209" s="199" t="str">
        <f aca="false">IF(A210="","",E209*AS209)</f>
        <v/>
      </c>
      <c r="G209" s="200" t="str">
        <f aca="false">IF($A210="","",VLOOKUP($A209,Table,MATCH(G$4,Curves,0)))</f>
        <v/>
      </c>
      <c r="H209" s="201" t="str">
        <f aca="false">IF(A210="","",G209)</f>
        <v/>
      </c>
      <c r="I209" s="202"/>
      <c r="J209" s="200" t="str">
        <f aca="false">IF($A210="","",VLOOKUP($A209,Table,MATCH(J$4,Curves,0)))</f>
        <v/>
      </c>
      <c r="K209" s="201" t="str">
        <f aca="false">IF(A210="","",J209)</f>
        <v/>
      </c>
      <c r="L209" s="200" t="str">
        <f aca="false">IF($A210="","",VLOOKUP($A209,Table,MATCH(L$4,Curves,0)))</f>
        <v/>
      </c>
      <c r="M209" s="201" t="str">
        <f aca="false">IF(A210="","",L209)</f>
        <v/>
      </c>
      <c r="N209" s="203"/>
      <c r="O209" s="200" t="str">
        <f aca="false">IF(A210="","",L209+J209+G209)</f>
        <v/>
      </c>
      <c r="P209" s="200" t="str">
        <f aca="false">IF(A210="","",M209+K209+H209)</f>
        <v/>
      </c>
      <c r="Q209" s="204"/>
      <c r="R209" s="200" t="str">
        <f aca="false">IF($A210="","",VLOOKUP($A209,Table,MATCH(R$4,Curves,0)))</f>
        <v/>
      </c>
      <c r="S209" s="201" t="str">
        <f aca="false">IF(A210="","",R209)</f>
        <v/>
      </c>
      <c r="T209" s="185" t="n">
        <v>0</v>
      </c>
      <c r="U209" s="201" t="str">
        <f aca="false">IF(A210="","",T209)</f>
        <v/>
      </c>
      <c r="V209" s="205" t="str">
        <f aca="false">IF($A210="","",IF(AND(MONTH(A209)&gt;3,MONTH(A209)&lt;11),(T209+R209+G209)*Summary!$T$11/(1-Summary!$T$11),(T209+R209+G209)*Summary!$U$11/(1-Summary!$U$11)))</f>
        <v/>
      </c>
      <c r="W209" s="202" t="str">
        <f aca="false">IF($A210="","",(T209+R209+G209+V209))</f>
        <v/>
      </c>
      <c r="X209" s="202" t="str">
        <f aca="false">IF($A210="","",(U209+S209+H209+V209))</f>
        <v/>
      </c>
      <c r="Y209" s="202"/>
      <c r="Z209" s="185" t="str">
        <f aca="false">IF($A210="","",VLOOKUP($A209,Table,MATCH(Z$4,Curves,0)))</f>
        <v/>
      </c>
      <c r="AA209" s="185" t="str">
        <f aca="false">IF($A210="","",VLOOKUP($A209,Table,MATCH(AA$4,Curves,0)))</f>
        <v/>
      </c>
      <c r="AB209" s="185" t="e">
        <f aca="false">SQRT((AA209^2*(A209-$D$3)+Z209^2*(DAY(EOMONTH(A209,0))/2))/AK209)</f>
        <v>#VALUE!</v>
      </c>
      <c r="AC209" s="185" t="str">
        <f aca="false">IF($A210="","",VLOOKUP($A209,Table,MATCH(AC$4,Curves,0)))</f>
        <v/>
      </c>
      <c r="AD209" s="185" t="str">
        <f aca="false">IF($A210="","",VLOOKUP($A209,Table,MATCH(AD$4,Curves,0)))</f>
        <v/>
      </c>
      <c r="AE209" s="185" t="e">
        <f aca="false">SQRT((AD209^2*(A209-$D$3)+AC209^2*(DAY(EOMONTH(A209,0))/2))/AK209)</f>
        <v>#VALUE!</v>
      </c>
      <c r="AF209" s="206" t="e">
        <f aca="false">((Summary!$N$11*(AA209*AD209)*(A209-$D$3))+(Summary!$M$11*Z209*AC209*(AJ209-EOMONTH(EDATE(A209,-1),0))))/(AK209*AB209*AE209)</f>
        <v>#VALUE!</v>
      </c>
      <c r="AG209" s="207" t="str">
        <f aca="false">IF($A210="","",Summary!$Q$11)</f>
        <v/>
      </c>
      <c r="AH209" s="207" t="str">
        <f aca="false">IF($A210="","",IF(Summary!$R$11="Y",(VLOOKUP($A209,Summary!$AD$6:$AF$9,3)+'Escalating commodity'!G222),'Escalating commodity'!G222))</f>
        <v/>
      </c>
      <c r="AI209" s="207" t="str">
        <f aca="false">IF($A210="","",AH209)</f>
        <v/>
      </c>
      <c r="AJ209" s="208" t="e">
        <f aca="false">A209+DAY(EOMONTH(A209,0))/2-1</f>
        <v>#VALUE!</v>
      </c>
      <c r="AK209" s="209" t="str">
        <f aca="false">IF($A210="","",$A209-$E$1)</f>
        <v/>
      </c>
      <c r="AL209" s="182" t="str">
        <f aca="false">IF($A210="","",SPRDOPT(P209,X209,AI209,0,AB209,AE209,AF209,AK209,$AJ$2,0))</f>
        <v/>
      </c>
      <c r="AM209" s="210" t="str">
        <f aca="false">IF($A210="","",MAX(0,O209-W209-AI209))</f>
        <v/>
      </c>
      <c r="AN209" s="211" t="str">
        <f aca="false">IF($A210="","",AL209-AM209)</f>
        <v/>
      </c>
      <c r="AO209" s="137" t="str">
        <f aca="false">IF(A210="","",A210-A209)</f>
        <v/>
      </c>
      <c r="AP209" s="212" t="str">
        <f aca="false">IF(A210="","",CHOOSE(F$3,A210+24,A209))</f>
        <v/>
      </c>
      <c r="AQ209" s="209" t="str">
        <f aca="false">IF(A210="","",AP209-$E$1)</f>
        <v/>
      </c>
      <c r="AR209" s="185" t="n">
        <f aca="false">'ANR OK vs ML7'!AR209</f>
        <v>0.1</v>
      </c>
      <c r="AS209" s="213" t="str">
        <f aca="false">IF(A210="","",1/(1+CHOOSE(F$3,(AR210+($I$3/10000))/2,(AR209+($I$3/10000))/2))^(2*AQ209/365.25))</f>
        <v/>
      </c>
      <c r="AT209" s="137" t="str">
        <f aca="false">IF(A210="","",IF(AND(mthbeg&lt;=A209,mthend&gt;=A209),1,0))</f>
        <v/>
      </c>
      <c r="AU209" s="137" t="str">
        <f aca="false">IF(A210="","",AO209*AT209)</f>
        <v/>
      </c>
      <c r="AW209" s="195" t="str">
        <f aca="false">IF($A210="","",AL209*$E209)</f>
        <v/>
      </c>
      <c r="AX209" s="195" t="str">
        <f aca="false">IF($A210="","",AM209*$E209)</f>
        <v/>
      </c>
      <c r="AY209" s="195" t="str">
        <f aca="false">IF($A210="","",AN209*$E209)</f>
        <v/>
      </c>
      <c r="BA209" s="195" t="str">
        <f aca="false">IF($A210="","",F209*Summary!$Q$11)</f>
        <v/>
      </c>
    </row>
    <row r="210" customFormat="false" ht="12" hidden="false" customHeight="true" outlineLevel="0" collapsed="false">
      <c r="A210" s="196" t="str">
        <f aca="false">IF(A209&lt;mthend,EDATE(A209,1),"")</f>
        <v/>
      </c>
      <c r="B210" s="197" t="str">
        <f aca="false">IF(A210&lt;mthend,B209,"")</f>
        <v/>
      </c>
      <c r="C210" s="215"/>
      <c r="D210" s="197" t="str">
        <f aca="false">IF(A211&lt;&gt;"",B210+C210,"")</f>
        <v/>
      </c>
      <c r="E210" s="199" t="str">
        <f aca="false">IF(A211="","",IF(AND(AT210=1,$H$3=1),D210*AO210,IF($H$3=2,D210,"N/A")))</f>
        <v/>
      </c>
      <c r="F210" s="199" t="str">
        <f aca="false">IF(A211="","",E210*AS210)</f>
        <v/>
      </c>
      <c r="G210" s="200" t="str">
        <f aca="false">IF($A211="","",VLOOKUP($A210,Table,MATCH(G$4,Curves,0)))</f>
        <v/>
      </c>
      <c r="H210" s="201" t="str">
        <f aca="false">IF(A211="","",G210)</f>
        <v/>
      </c>
      <c r="I210" s="202"/>
      <c r="J210" s="200" t="str">
        <f aca="false">IF($A211="","",VLOOKUP($A210,Table,MATCH(J$4,Curves,0)))</f>
        <v/>
      </c>
      <c r="K210" s="201" t="str">
        <f aca="false">IF(A211="","",J210)</f>
        <v/>
      </c>
      <c r="L210" s="200" t="str">
        <f aca="false">IF($A211="","",VLOOKUP($A210,Table,MATCH(L$4,Curves,0)))</f>
        <v/>
      </c>
      <c r="M210" s="201" t="str">
        <f aca="false">IF(A211="","",L210)</f>
        <v/>
      </c>
      <c r="N210" s="203"/>
      <c r="O210" s="200" t="str">
        <f aca="false">IF(A211="","",L210+J210+G210)</f>
        <v/>
      </c>
      <c r="P210" s="200" t="str">
        <f aca="false">IF(A211="","",M210+K210+H210)</f>
        <v/>
      </c>
      <c r="Q210" s="204"/>
      <c r="R210" s="200" t="str">
        <f aca="false">IF($A211="","",VLOOKUP($A210,Table,MATCH(R$4,Curves,0)))</f>
        <v/>
      </c>
      <c r="S210" s="201" t="str">
        <f aca="false">IF(A211="","",R210)</f>
        <v/>
      </c>
      <c r="T210" s="185" t="n">
        <v>0</v>
      </c>
      <c r="U210" s="201" t="str">
        <f aca="false">IF(A211="","",T210)</f>
        <v/>
      </c>
      <c r="V210" s="205" t="str">
        <f aca="false">IF($A211="","",IF(AND(MONTH(A210)&gt;3,MONTH(A210)&lt;11),(T210+R210+G210)*Summary!$T$11/(1-Summary!$T$11),(T210+R210+G210)*Summary!$U$11/(1-Summary!$U$11)))</f>
        <v/>
      </c>
      <c r="W210" s="202" t="str">
        <f aca="false">IF($A211="","",(T210+R210+G210+V210))</f>
        <v/>
      </c>
      <c r="X210" s="202" t="str">
        <f aca="false">IF($A211="","",(U210+S210+H210+V210))</f>
        <v/>
      </c>
      <c r="Y210" s="202"/>
      <c r="Z210" s="185" t="str">
        <f aca="false">IF($A211="","",VLOOKUP($A210,Table,MATCH(Z$4,Curves,0)))</f>
        <v/>
      </c>
      <c r="AA210" s="185" t="str">
        <f aca="false">IF($A211="","",VLOOKUP($A210,Table,MATCH(AA$4,Curves,0)))</f>
        <v/>
      </c>
      <c r="AB210" s="185" t="e">
        <f aca="false">SQRT((AA210^2*(A210-$D$3)+Z210^2*(DAY(EOMONTH(A210,0))/2))/AK210)</f>
        <v>#VALUE!</v>
      </c>
      <c r="AC210" s="185" t="str">
        <f aca="false">IF($A211="","",VLOOKUP($A210,Table,MATCH(AC$4,Curves,0)))</f>
        <v/>
      </c>
      <c r="AD210" s="185" t="str">
        <f aca="false">IF($A211="","",VLOOKUP($A210,Table,MATCH(AD$4,Curves,0)))</f>
        <v/>
      </c>
      <c r="AE210" s="185" t="e">
        <f aca="false">SQRT((AD210^2*(A210-$D$3)+AC210^2*(DAY(EOMONTH(A210,0))/2))/AK210)</f>
        <v>#VALUE!</v>
      </c>
      <c r="AF210" s="206" t="e">
        <f aca="false">((Summary!$N$11*(AA210*AD210)*(A210-$D$3))+(Summary!$M$11*Z210*AC210*(AJ210-EOMONTH(EDATE(A210,-1),0))))/(AK210*AB210*AE210)</f>
        <v>#VALUE!</v>
      </c>
      <c r="AG210" s="207" t="str">
        <f aca="false">IF($A211="","",Summary!$Q$11)</f>
        <v/>
      </c>
      <c r="AH210" s="207" t="str">
        <f aca="false">IF($A211="","",IF(Summary!$R$11="Y",(VLOOKUP($A210,Summary!$AD$6:$AF$9,3)+'Escalating commodity'!G223),'Escalating commodity'!G223))</f>
        <v/>
      </c>
      <c r="AI210" s="207" t="str">
        <f aca="false">IF($A211="","",AH210)</f>
        <v/>
      </c>
      <c r="AJ210" s="208" t="e">
        <f aca="false">A210+DAY(EOMONTH(A210,0))/2-1</f>
        <v>#VALUE!</v>
      </c>
      <c r="AK210" s="209" t="str">
        <f aca="false">IF($A211="","",$A210-$E$1)</f>
        <v/>
      </c>
      <c r="AL210" s="182" t="str">
        <f aca="false">IF($A211="","",SPRDOPT(P210,X210,AI210,0,AB210,AE210,AF210,AK210,$AJ$2,0))</f>
        <v/>
      </c>
      <c r="AM210" s="210" t="str">
        <f aca="false">IF($A211="","",MAX(0,O210-W210-AI210))</f>
        <v/>
      </c>
      <c r="AN210" s="211" t="str">
        <f aca="false">IF($A211="","",AL210-AM210)</f>
        <v/>
      </c>
      <c r="AO210" s="137" t="str">
        <f aca="false">IF(A211="","",A211-A210)</f>
        <v/>
      </c>
      <c r="AP210" s="212" t="str">
        <f aca="false">IF(A211="","",CHOOSE(F$3,A211+24,A210))</f>
        <v/>
      </c>
      <c r="AQ210" s="209" t="str">
        <f aca="false">IF(A211="","",AP210-$E$1)</f>
        <v/>
      </c>
      <c r="AR210" s="185" t="n">
        <f aca="false">'ANR OK vs ML7'!AR210</f>
        <v>0.1</v>
      </c>
      <c r="AS210" s="213" t="str">
        <f aca="false">IF(A211="","",1/(1+CHOOSE(F$3,(AR211+($I$3/10000))/2,(AR210+($I$3/10000))/2))^(2*AQ210/365.25))</f>
        <v/>
      </c>
      <c r="AT210" s="137" t="str">
        <f aca="false">IF(A211="","",IF(AND(mthbeg&lt;=A210,mthend&gt;=A210),1,0))</f>
        <v/>
      </c>
      <c r="AU210" s="137" t="str">
        <f aca="false">IF(A211="","",AO210*AT210)</f>
        <v/>
      </c>
      <c r="AW210" s="195" t="str">
        <f aca="false">IF($A211="","",AL210*$E210)</f>
        <v/>
      </c>
      <c r="AX210" s="195" t="str">
        <f aca="false">IF($A211="","",AM210*$E210)</f>
        <v/>
      </c>
      <c r="AY210" s="195" t="str">
        <f aca="false">IF($A211="","",AN210*$E210)</f>
        <v/>
      </c>
      <c r="BA210" s="195" t="str">
        <f aca="false">IF($A211="","",F210*Summary!$Q$11)</f>
        <v/>
      </c>
    </row>
    <row r="211" customFormat="false" ht="12" hidden="false" customHeight="true" outlineLevel="0" collapsed="false">
      <c r="A211" s="196" t="str">
        <f aca="false">IF(A210&lt;mthend,EDATE(A210,1),"")</f>
        <v/>
      </c>
      <c r="B211" s="197" t="str">
        <f aca="false">IF(A211&lt;mthend,B210,"")</f>
        <v/>
      </c>
      <c r="C211" s="215"/>
      <c r="D211" s="197" t="str">
        <f aca="false">IF(A212&lt;&gt;"",B211+C211,"")</f>
        <v/>
      </c>
      <c r="E211" s="199" t="str">
        <f aca="false">IF(A212="","",IF(AND(AT211=1,$H$3=1),D211*AO211,IF($H$3=2,D211,"N/A")))</f>
        <v/>
      </c>
      <c r="F211" s="199" t="str">
        <f aca="false">IF(A212="","",E211*AS211)</f>
        <v/>
      </c>
      <c r="G211" s="200" t="str">
        <f aca="false">IF($A212="","",VLOOKUP($A211,Table,MATCH(G$4,Curves,0)))</f>
        <v/>
      </c>
      <c r="H211" s="201" t="str">
        <f aca="false">IF(A212="","",G211)</f>
        <v/>
      </c>
      <c r="I211" s="202"/>
      <c r="J211" s="200" t="str">
        <f aca="false">IF($A212="","",VLOOKUP($A211,Table,MATCH(J$4,Curves,0)))</f>
        <v/>
      </c>
      <c r="K211" s="201" t="str">
        <f aca="false">IF(A212="","",J211)</f>
        <v/>
      </c>
      <c r="L211" s="200" t="str">
        <f aca="false">IF($A212="","",VLOOKUP($A211,Table,MATCH(L$4,Curves,0)))</f>
        <v/>
      </c>
      <c r="M211" s="201" t="str">
        <f aca="false">IF(A212="","",L211)</f>
        <v/>
      </c>
      <c r="N211" s="203"/>
      <c r="O211" s="200" t="str">
        <f aca="false">IF(A212="","",L211+J211+G211)</f>
        <v/>
      </c>
      <c r="P211" s="200" t="str">
        <f aca="false">IF(A212="","",M211+K211+H211)</f>
        <v/>
      </c>
      <c r="Q211" s="204"/>
      <c r="R211" s="200" t="str">
        <f aca="false">IF($A212="","",VLOOKUP($A211,Table,MATCH(R$4,Curves,0)))</f>
        <v/>
      </c>
      <c r="S211" s="201" t="str">
        <f aca="false">IF(A212="","",R211)</f>
        <v/>
      </c>
      <c r="T211" s="185" t="n">
        <v>0</v>
      </c>
      <c r="U211" s="201" t="str">
        <f aca="false">IF(A212="","",T211)</f>
        <v/>
      </c>
      <c r="V211" s="205" t="str">
        <f aca="false">IF($A212="","",IF(AND(MONTH(A211)&gt;3,MONTH(A211)&lt;11),(T211+R211+G211)*Summary!$T$11/(1-Summary!$T$11),(T211+R211+G211)*Summary!$U$11/(1-Summary!$U$11)))</f>
        <v/>
      </c>
      <c r="W211" s="202" t="str">
        <f aca="false">IF($A212="","",(T211+R211+G211+V211))</f>
        <v/>
      </c>
      <c r="X211" s="202" t="str">
        <f aca="false">IF($A212="","",(U211+S211+H211+V211))</f>
        <v/>
      </c>
      <c r="Y211" s="202"/>
      <c r="Z211" s="185" t="str">
        <f aca="false">IF($A212="","",VLOOKUP($A211,Table,MATCH(Z$4,Curves,0)))</f>
        <v/>
      </c>
      <c r="AA211" s="185" t="str">
        <f aca="false">IF($A212="","",VLOOKUP($A211,Table,MATCH(AA$4,Curves,0)))</f>
        <v/>
      </c>
      <c r="AB211" s="185" t="e">
        <f aca="false">SQRT((AA211^2*(A211-$D$3)+Z211^2*(DAY(EOMONTH(A211,0))/2))/AK211)</f>
        <v>#VALUE!</v>
      </c>
      <c r="AC211" s="185" t="str">
        <f aca="false">IF($A212="","",VLOOKUP($A211,Table,MATCH(AC$4,Curves,0)))</f>
        <v/>
      </c>
      <c r="AD211" s="185" t="str">
        <f aca="false">IF($A212="","",VLOOKUP($A211,Table,MATCH(AD$4,Curves,0)))</f>
        <v/>
      </c>
      <c r="AE211" s="185" t="e">
        <f aca="false">SQRT((AD211^2*(A211-$D$3)+AC211^2*(DAY(EOMONTH(A211,0))/2))/AK211)</f>
        <v>#VALUE!</v>
      </c>
      <c r="AF211" s="206" t="e">
        <f aca="false">((Summary!$N$11*(AA211*AD211)*(A211-$D$3))+(Summary!$M$11*Z211*AC211*(AJ211-EOMONTH(EDATE(A211,-1),0))))/(AK211*AB211*AE211)</f>
        <v>#VALUE!</v>
      </c>
      <c r="AG211" s="207" t="str">
        <f aca="false">IF($A212="","",Summary!$Q$11)</f>
        <v/>
      </c>
      <c r="AH211" s="207" t="str">
        <f aca="false">IF($A212="","",IF(Summary!$R$11="Y",(VLOOKUP($A211,Summary!$AD$6:$AF$9,3)+'Escalating commodity'!G224),'Escalating commodity'!G224))</f>
        <v/>
      </c>
      <c r="AI211" s="207" t="str">
        <f aca="false">IF($A212="","",AH211)</f>
        <v/>
      </c>
      <c r="AJ211" s="208" t="e">
        <f aca="false">A211+DAY(EOMONTH(A211,0))/2-1</f>
        <v>#VALUE!</v>
      </c>
      <c r="AK211" s="209" t="str">
        <f aca="false">IF($A212="","",$A211-$E$1)</f>
        <v/>
      </c>
      <c r="AL211" s="182" t="str">
        <f aca="false">IF($A212="","",SPRDOPT(P211,X211,AI211,0,AB211,AE211,AF211,AK211,$AJ$2,0))</f>
        <v/>
      </c>
      <c r="AM211" s="210" t="str">
        <f aca="false">IF($A212="","",MAX(0,O211-W211-AI211))</f>
        <v/>
      </c>
      <c r="AN211" s="211" t="str">
        <f aca="false">IF($A212="","",AL211-AM211)</f>
        <v/>
      </c>
      <c r="AO211" s="137" t="str">
        <f aca="false">IF(A212="","",A212-A211)</f>
        <v/>
      </c>
      <c r="AP211" s="212" t="str">
        <f aca="false">IF(A212="","",CHOOSE(F$3,A212+24,A211))</f>
        <v/>
      </c>
      <c r="AQ211" s="209" t="str">
        <f aca="false">IF(A212="","",AP211-$E$1)</f>
        <v/>
      </c>
      <c r="AR211" s="185" t="n">
        <f aca="false">'ANR OK vs ML7'!AR211</f>
        <v>0.1</v>
      </c>
      <c r="AS211" s="213" t="str">
        <f aca="false">IF(A212="","",1/(1+CHOOSE(F$3,(AR212+($I$3/10000))/2,(AR211+($I$3/10000))/2))^(2*AQ211/365.25))</f>
        <v/>
      </c>
      <c r="AT211" s="137" t="str">
        <f aca="false">IF(A212="","",IF(AND(mthbeg&lt;=A211,mthend&gt;=A211),1,0))</f>
        <v/>
      </c>
      <c r="AU211" s="137" t="str">
        <f aca="false">IF(A212="","",AO211*AT211)</f>
        <v/>
      </c>
      <c r="AW211" s="195" t="str">
        <f aca="false">IF($A212="","",AL211*$E211)</f>
        <v/>
      </c>
      <c r="AX211" s="195" t="str">
        <f aca="false">IF($A212="","",AM211*$E211)</f>
        <v/>
      </c>
      <c r="AY211" s="195" t="str">
        <f aca="false">IF($A212="","",AN211*$E211)</f>
        <v/>
      </c>
      <c r="BA211" s="195" t="str">
        <f aca="false">IF($A212="","",F211*Summary!$Q$11)</f>
        <v/>
      </c>
    </row>
    <row r="212" customFormat="false" ht="12" hidden="false" customHeight="true" outlineLevel="0" collapsed="false">
      <c r="A212" s="196" t="str">
        <f aca="false">IF(A211&lt;mthend,EDATE(A211,1),"")</f>
        <v/>
      </c>
      <c r="B212" s="197" t="str">
        <f aca="false">IF(A212&lt;mthend,B211,"")</f>
        <v/>
      </c>
      <c r="C212" s="215"/>
      <c r="D212" s="197" t="str">
        <f aca="false">IF(A213&lt;&gt;"",B212+C212,"")</f>
        <v/>
      </c>
      <c r="E212" s="199" t="str">
        <f aca="false">IF(A213="","",IF(AND(AT212=1,$H$3=1),D212*AO212,IF($H$3=2,D212,"N/A")))</f>
        <v/>
      </c>
      <c r="F212" s="199" t="str">
        <f aca="false">IF(A213="","",E212*AS212)</f>
        <v/>
      </c>
      <c r="G212" s="200" t="str">
        <f aca="false">IF($A213="","",VLOOKUP($A212,Table,MATCH(G$4,Curves,0)))</f>
        <v/>
      </c>
      <c r="H212" s="201" t="str">
        <f aca="false">IF(A213="","",G212)</f>
        <v/>
      </c>
      <c r="I212" s="202"/>
      <c r="J212" s="200" t="str">
        <f aca="false">IF($A213="","",VLOOKUP($A212,Table,MATCH(J$4,Curves,0)))</f>
        <v/>
      </c>
      <c r="K212" s="201" t="str">
        <f aca="false">IF(A213="","",J212)</f>
        <v/>
      </c>
      <c r="L212" s="200" t="str">
        <f aca="false">IF($A213="","",VLOOKUP($A212,Table,MATCH(L$4,Curves,0)))</f>
        <v/>
      </c>
      <c r="M212" s="201" t="str">
        <f aca="false">IF(A213="","",L212)</f>
        <v/>
      </c>
      <c r="N212" s="203"/>
      <c r="O212" s="200" t="str">
        <f aca="false">IF(A213="","",L212+J212+G212)</f>
        <v/>
      </c>
      <c r="P212" s="200" t="str">
        <f aca="false">IF(A213="","",M212+K212+H212)</f>
        <v/>
      </c>
      <c r="Q212" s="204"/>
      <c r="R212" s="200" t="str">
        <f aca="false">IF($A213="","",VLOOKUP($A212,Table,MATCH(R$4,Curves,0)))</f>
        <v/>
      </c>
      <c r="S212" s="201" t="str">
        <f aca="false">IF(A213="","",R212)</f>
        <v/>
      </c>
      <c r="T212" s="185" t="n">
        <v>0</v>
      </c>
      <c r="U212" s="201" t="str">
        <f aca="false">IF(A213="","",T212)</f>
        <v/>
      </c>
      <c r="V212" s="205" t="str">
        <f aca="false">IF($A213="","",IF(AND(MONTH(A212)&gt;3,MONTH(A212)&lt;11),(T212+R212+G212)*Summary!$T$11/(1-Summary!$T$11),(T212+R212+G212)*Summary!$U$11/(1-Summary!$U$11)))</f>
        <v/>
      </c>
      <c r="W212" s="202" t="str">
        <f aca="false">IF($A213="","",(T212+R212+G212+V212))</f>
        <v/>
      </c>
      <c r="X212" s="202" t="str">
        <f aca="false">IF($A213="","",(U212+S212+H212+V212))</f>
        <v/>
      </c>
      <c r="Y212" s="202"/>
      <c r="Z212" s="185" t="str">
        <f aca="false">IF($A213="","",VLOOKUP($A212,Table,MATCH(Z$4,Curves,0)))</f>
        <v/>
      </c>
      <c r="AA212" s="185" t="str">
        <f aca="false">IF($A213="","",VLOOKUP($A212,Table,MATCH(AA$4,Curves,0)))</f>
        <v/>
      </c>
      <c r="AB212" s="185" t="e">
        <f aca="false">SQRT((AA212^2*(A212-$D$3)+Z212^2*(DAY(EOMONTH(A212,0))/2))/AK212)</f>
        <v>#VALUE!</v>
      </c>
      <c r="AC212" s="185" t="str">
        <f aca="false">IF($A213="","",VLOOKUP($A212,Table,MATCH(AC$4,Curves,0)))</f>
        <v/>
      </c>
      <c r="AD212" s="185" t="str">
        <f aca="false">IF($A213="","",VLOOKUP($A212,Table,MATCH(AD$4,Curves,0)))</f>
        <v/>
      </c>
      <c r="AE212" s="185" t="e">
        <f aca="false">SQRT((AD212^2*(A212-$D$3)+AC212^2*(DAY(EOMONTH(A212,0))/2))/AK212)</f>
        <v>#VALUE!</v>
      </c>
      <c r="AF212" s="206" t="e">
        <f aca="false">((Summary!$N$11*(AA212*AD212)*(A212-$D$3))+(Summary!$M$11*Z212*AC212*(AJ212-EOMONTH(EDATE(A212,-1),0))))/(AK212*AB212*AE212)</f>
        <v>#VALUE!</v>
      </c>
      <c r="AG212" s="207" t="str">
        <f aca="false">IF($A213="","",Summary!$Q$11)</f>
        <v/>
      </c>
      <c r="AH212" s="207" t="str">
        <f aca="false">IF($A213="","",IF(Summary!$R$11="Y",(VLOOKUP($A212,Summary!$AD$6:$AF$9,3)+'Escalating commodity'!G225),'Escalating commodity'!G225))</f>
        <v/>
      </c>
      <c r="AI212" s="207" t="str">
        <f aca="false">IF($A213="","",AH212)</f>
        <v/>
      </c>
      <c r="AJ212" s="208" t="e">
        <f aca="false">A212+DAY(EOMONTH(A212,0))/2-1</f>
        <v>#VALUE!</v>
      </c>
      <c r="AK212" s="209" t="str">
        <f aca="false">IF($A213="","",$A212-$E$1)</f>
        <v/>
      </c>
      <c r="AL212" s="182" t="str">
        <f aca="false">IF($A213="","",SPRDOPT(P212,X212,AI212,0,AB212,AE212,AF212,AK212,$AJ$2,0))</f>
        <v/>
      </c>
      <c r="AM212" s="210" t="str">
        <f aca="false">IF($A213="","",MAX(0,O212-W212-AI212))</f>
        <v/>
      </c>
      <c r="AN212" s="211" t="str">
        <f aca="false">IF($A213="","",AL212-AM212)</f>
        <v/>
      </c>
      <c r="AO212" s="137" t="str">
        <f aca="false">IF(A213="","",A213-A212)</f>
        <v/>
      </c>
      <c r="AP212" s="212" t="str">
        <f aca="false">IF(A213="","",CHOOSE(F$3,A213+24,A212))</f>
        <v/>
      </c>
      <c r="AQ212" s="209" t="str">
        <f aca="false">IF(A213="","",AP212-$E$1)</f>
        <v/>
      </c>
      <c r="AR212" s="185" t="n">
        <f aca="false">'ANR OK vs ML7'!AR212</f>
        <v>0.1</v>
      </c>
      <c r="AS212" s="213" t="str">
        <f aca="false">IF(A213="","",1/(1+CHOOSE(F$3,(AR213+($I$3/10000))/2,(AR212+($I$3/10000))/2))^(2*AQ212/365.25))</f>
        <v/>
      </c>
      <c r="AT212" s="137" t="str">
        <f aca="false">IF(A213="","",IF(AND(mthbeg&lt;=A212,mthend&gt;=A212),1,0))</f>
        <v/>
      </c>
      <c r="AU212" s="137" t="str">
        <f aca="false">IF(A213="","",AO212*AT212)</f>
        <v/>
      </c>
      <c r="AW212" s="195" t="str">
        <f aca="false">IF($A213="","",AL212*$E212)</f>
        <v/>
      </c>
      <c r="AX212" s="195" t="str">
        <f aca="false">IF($A213="","",AM212*$E212)</f>
        <v/>
      </c>
      <c r="AY212" s="195" t="str">
        <f aca="false">IF($A213="","",AN212*$E212)</f>
        <v/>
      </c>
      <c r="BA212" s="195" t="str">
        <f aca="false">IF($A213="","",F212*Summary!$Q$11)</f>
        <v/>
      </c>
    </row>
    <row r="213" customFormat="false" ht="12" hidden="false" customHeight="true" outlineLevel="0" collapsed="false">
      <c r="A213" s="196" t="str">
        <f aca="false">IF(A212&lt;mthend,EDATE(A212,1),"")</f>
        <v/>
      </c>
      <c r="B213" s="197" t="str">
        <f aca="false">IF(A213&lt;mthend,B212,"")</f>
        <v/>
      </c>
      <c r="C213" s="215"/>
      <c r="D213" s="197" t="str">
        <f aca="false">IF(A214&lt;&gt;"",B213+C213,"")</f>
        <v/>
      </c>
      <c r="E213" s="199" t="str">
        <f aca="false">IF(A214="","",IF(AND(AT213=1,$H$3=1),D213*AO213,IF($H$3=2,D213,"N/A")))</f>
        <v/>
      </c>
      <c r="F213" s="199" t="str">
        <f aca="false">IF(A214="","",E213*AS213)</f>
        <v/>
      </c>
      <c r="G213" s="200" t="str">
        <f aca="false">IF($A214="","",VLOOKUP($A213,Table,MATCH(G$4,Curves,0)))</f>
        <v/>
      </c>
      <c r="H213" s="201" t="str">
        <f aca="false">IF(A214="","",G213)</f>
        <v/>
      </c>
      <c r="I213" s="202"/>
      <c r="J213" s="200" t="str">
        <f aca="false">IF($A214="","",VLOOKUP($A213,Table,MATCH(J$4,Curves,0)))</f>
        <v/>
      </c>
      <c r="K213" s="201" t="str">
        <f aca="false">IF(A214="","",J213)</f>
        <v/>
      </c>
      <c r="L213" s="200" t="str">
        <f aca="false">IF($A214="","",VLOOKUP($A213,Table,MATCH(L$4,Curves,0)))</f>
        <v/>
      </c>
      <c r="M213" s="201" t="str">
        <f aca="false">IF(A214="","",L213)</f>
        <v/>
      </c>
      <c r="N213" s="203"/>
      <c r="O213" s="200" t="str">
        <f aca="false">IF(A214="","",L213+J213+G213)</f>
        <v/>
      </c>
      <c r="P213" s="200" t="str">
        <f aca="false">IF(A214="","",M213+K213+H213)</f>
        <v/>
      </c>
      <c r="Q213" s="204"/>
      <c r="R213" s="200" t="str">
        <f aca="false">IF($A214="","",VLOOKUP($A213,Table,MATCH(R$4,Curves,0)))</f>
        <v/>
      </c>
      <c r="S213" s="201" t="str">
        <f aca="false">IF(A214="","",R213)</f>
        <v/>
      </c>
      <c r="T213" s="185" t="n">
        <v>0</v>
      </c>
      <c r="U213" s="201" t="str">
        <f aca="false">IF(A214="","",T213)</f>
        <v/>
      </c>
      <c r="V213" s="205" t="str">
        <f aca="false">IF($A214="","",IF(AND(MONTH(A213)&gt;3,MONTH(A213)&lt;11),(T213+R213+G213)*Summary!$T$11/(1-Summary!$T$11),(T213+R213+G213)*Summary!$U$11/(1-Summary!$U$11)))</f>
        <v/>
      </c>
      <c r="W213" s="202" t="str">
        <f aca="false">IF($A214="","",(T213+R213+G213+V213))</f>
        <v/>
      </c>
      <c r="X213" s="202" t="str">
        <f aca="false">IF($A214="","",(U213+S213+H213+V213))</f>
        <v/>
      </c>
      <c r="Y213" s="202"/>
      <c r="Z213" s="185" t="str">
        <f aca="false">IF($A214="","",VLOOKUP($A213,Table,MATCH(Z$4,Curves,0)))</f>
        <v/>
      </c>
      <c r="AA213" s="185" t="str">
        <f aca="false">IF($A214="","",VLOOKUP($A213,Table,MATCH(AA$4,Curves,0)))</f>
        <v/>
      </c>
      <c r="AB213" s="185" t="e">
        <f aca="false">SQRT((AA213^2*(A213-$D$3)+Z213^2*(DAY(EOMONTH(A213,0))/2))/AK213)</f>
        <v>#VALUE!</v>
      </c>
      <c r="AC213" s="185" t="str">
        <f aca="false">IF($A214="","",VLOOKUP($A213,Table,MATCH(AC$4,Curves,0)))</f>
        <v/>
      </c>
      <c r="AD213" s="185" t="str">
        <f aca="false">IF($A214="","",VLOOKUP($A213,Table,MATCH(AD$4,Curves,0)))</f>
        <v/>
      </c>
      <c r="AE213" s="185" t="e">
        <f aca="false">SQRT((AD213^2*(A213-$D$3)+AC213^2*(DAY(EOMONTH(A213,0))/2))/AK213)</f>
        <v>#VALUE!</v>
      </c>
      <c r="AF213" s="206" t="e">
        <f aca="false">((Summary!$N$11*(AA213*AD213)*(A213-$D$3))+(Summary!$M$11*Z213*AC213*(AJ213-EOMONTH(EDATE(A213,-1),0))))/(AK213*AB213*AE213)</f>
        <v>#VALUE!</v>
      </c>
      <c r="AG213" s="207" t="str">
        <f aca="false">IF($A214="","",Summary!$Q$11)</f>
        <v/>
      </c>
      <c r="AH213" s="207" t="str">
        <f aca="false">IF($A214="","",IF(Summary!$R$11="Y",(VLOOKUP($A213,Summary!$AD$6:$AF$9,3)+'Escalating commodity'!G226),'Escalating commodity'!G226))</f>
        <v/>
      </c>
      <c r="AI213" s="207" t="str">
        <f aca="false">IF($A214="","",AH213)</f>
        <v/>
      </c>
      <c r="AJ213" s="208" t="e">
        <f aca="false">A213+DAY(EOMONTH(A213,0))/2-1</f>
        <v>#VALUE!</v>
      </c>
      <c r="AK213" s="209" t="str">
        <f aca="false">IF($A214="","",$A213-$E$1)</f>
        <v/>
      </c>
      <c r="AL213" s="182" t="str">
        <f aca="false">IF($A214="","",SPRDOPT(P213,X213,AI213,0,AB213,AE213,AF213,AK213,$AJ$2,0))</f>
        <v/>
      </c>
      <c r="AM213" s="210" t="str">
        <f aca="false">IF($A214="","",MAX(0,O213-W213-AI213))</f>
        <v/>
      </c>
      <c r="AN213" s="211" t="str">
        <f aca="false">IF($A214="","",AL213-AM213)</f>
        <v/>
      </c>
      <c r="AO213" s="137" t="str">
        <f aca="false">IF(A214="","",A214-A213)</f>
        <v/>
      </c>
      <c r="AP213" s="212" t="str">
        <f aca="false">IF(A214="","",CHOOSE(F$3,A214+24,A213))</f>
        <v/>
      </c>
      <c r="AQ213" s="209" t="str">
        <f aca="false">IF(A214="","",AP213-$E$1)</f>
        <v/>
      </c>
      <c r="AR213" s="185" t="n">
        <f aca="false">'ANR OK vs ML7'!AR213</f>
        <v>0.1</v>
      </c>
      <c r="AS213" s="213" t="str">
        <f aca="false">IF(A214="","",1/(1+CHOOSE(F$3,(AR214+($I$3/10000))/2,(AR213+($I$3/10000))/2))^(2*AQ213/365.25))</f>
        <v/>
      </c>
      <c r="AT213" s="137" t="str">
        <f aca="false">IF(A214="","",IF(AND(mthbeg&lt;=A213,mthend&gt;=A213),1,0))</f>
        <v/>
      </c>
      <c r="AU213" s="137" t="str">
        <f aca="false">IF(A214="","",AO213*AT213)</f>
        <v/>
      </c>
      <c r="AW213" s="195" t="str">
        <f aca="false">IF($A214="","",AL213*$E213)</f>
        <v/>
      </c>
      <c r="AX213" s="195" t="str">
        <f aca="false">IF($A214="","",AM213*$E213)</f>
        <v/>
      </c>
      <c r="AY213" s="195" t="str">
        <f aca="false">IF($A214="","",AN213*$E213)</f>
        <v/>
      </c>
      <c r="BA213" s="195" t="str">
        <f aca="false">IF($A214="","",F213*Summary!$Q$11)</f>
        <v/>
      </c>
    </row>
    <row r="214" customFormat="false" ht="12" hidden="false" customHeight="true" outlineLevel="0" collapsed="false">
      <c r="A214" s="196" t="str">
        <f aca="false">IF(A213&lt;mthend,EDATE(A213,1),"")</f>
        <v/>
      </c>
      <c r="B214" s="197" t="str">
        <f aca="false">IF(A214&lt;mthend,B213,"")</f>
        <v/>
      </c>
      <c r="C214" s="215"/>
      <c r="D214" s="197" t="str">
        <f aca="false">IF(A215&lt;&gt;"",B214+C214,"")</f>
        <v/>
      </c>
      <c r="E214" s="199" t="str">
        <f aca="false">IF(A215="","",IF(AND(AT214=1,$H$3=1),D214*AO214,IF($H$3=2,D214,"N/A")))</f>
        <v/>
      </c>
      <c r="F214" s="199" t="str">
        <f aca="false">IF(A215="","",E214*AS214)</f>
        <v/>
      </c>
      <c r="G214" s="200" t="str">
        <f aca="false">IF($A215="","",VLOOKUP($A214,Table,MATCH(G$4,Curves,0)))</f>
        <v/>
      </c>
      <c r="H214" s="201" t="str">
        <f aca="false">IF(A215="","",G214)</f>
        <v/>
      </c>
      <c r="I214" s="202"/>
      <c r="J214" s="200" t="str">
        <f aca="false">IF($A215="","",VLOOKUP($A214,Table,MATCH(J$4,Curves,0)))</f>
        <v/>
      </c>
      <c r="K214" s="201" t="str">
        <f aca="false">IF(A215="","",J214)</f>
        <v/>
      </c>
      <c r="L214" s="200" t="str">
        <f aca="false">IF($A215="","",VLOOKUP($A214,Table,MATCH(L$4,Curves,0)))</f>
        <v/>
      </c>
      <c r="M214" s="201" t="str">
        <f aca="false">IF(A215="","",L214)</f>
        <v/>
      </c>
      <c r="N214" s="203"/>
      <c r="O214" s="200" t="str">
        <f aca="false">IF(A215="","",L214+J214+G214)</f>
        <v/>
      </c>
      <c r="P214" s="200" t="str">
        <f aca="false">IF(A215="","",M214+K214+H214)</f>
        <v/>
      </c>
      <c r="Q214" s="204"/>
      <c r="R214" s="200" t="str">
        <f aca="false">IF($A215="","",VLOOKUP($A214,Table,MATCH(R$4,Curves,0)))</f>
        <v/>
      </c>
      <c r="S214" s="201" t="str">
        <f aca="false">IF(A215="","",R214)</f>
        <v/>
      </c>
      <c r="T214" s="185" t="n">
        <v>0</v>
      </c>
      <c r="U214" s="201" t="str">
        <f aca="false">IF(A215="","",T214)</f>
        <v/>
      </c>
      <c r="V214" s="205" t="str">
        <f aca="false">IF($A215="","",IF(AND(MONTH(A214)&gt;3,MONTH(A214)&lt;11),(T214+R214+G214)*Summary!$T$11/(1-Summary!$T$11),(T214+R214+G214)*Summary!$U$11/(1-Summary!$U$11)))</f>
        <v/>
      </c>
      <c r="W214" s="202" t="str">
        <f aca="false">IF($A215="","",(T214+R214+G214+V214))</f>
        <v/>
      </c>
      <c r="X214" s="202" t="str">
        <f aca="false">IF($A215="","",(U214+S214+H214+V214))</f>
        <v/>
      </c>
      <c r="Y214" s="202"/>
      <c r="Z214" s="185" t="str">
        <f aca="false">IF($A215="","",VLOOKUP($A214,Table,MATCH(Z$4,Curves,0)))</f>
        <v/>
      </c>
      <c r="AA214" s="185" t="str">
        <f aca="false">IF($A215="","",VLOOKUP($A214,Table,MATCH(AA$4,Curves,0)))</f>
        <v/>
      </c>
      <c r="AB214" s="185" t="e">
        <f aca="false">SQRT((AA214^2*(A214-$D$3)+Z214^2*(DAY(EOMONTH(A214,0))/2))/AK214)</f>
        <v>#VALUE!</v>
      </c>
      <c r="AC214" s="185" t="str">
        <f aca="false">IF($A215="","",VLOOKUP($A214,Table,MATCH(AC$4,Curves,0)))</f>
        <v/>
      </c>
      <c r="AD214" s="185" t="str">
        <f aca="false">IF($A215="","",VLOOKUP($A214,Table,MATCH(AD$4,Curves,0)))</f>
        <v/>
      </c>
      <c r="AE214" s="185" t="e">
        <f aca="false">SQRT((AD214^2*(A214-$D$3)+AC214^2*(DAY(EOMONTH(A214,0))/2))/AK214)</f>
        <v>#VALUE!</v>
      </c>
      <c r="AF214" s="206" t="e">
        <f aca="false">((Summary!$N$11*(AA214*AD214)*(A214-$D$3))+(Summary!$M$11*Z214*AC214*(AJ214-EOMONTH(EDATE(A214,-1),0))))/(AK214*AB214*AE214)</f>
        <v>#VALUE!</v>
      </c>
      <c r="AG214" s="207" t="str">
        <f aca="false">IF($A215="","",Summary!$Q$11)</f>
        <v/>
      </c>
      <c r="AH214" s="207" t="str">
        <f aca="false">IF($A215="","",IF(Summary!$R$11="Y",(VLOOKUP($A214,Summary!$AD$6:$AF$9,3)+'Escalating commodity'!G227),'Escalating commodity'!G227))</f>
        <v/>
      </c>
      <c r="AI214" s="207" t="str">
        <f aca="false">IF($A215="","",AH214)</f>
        <v/>
      </c>
      <c r="AJ214" s="208" t="e">
        <f aca="false">A214+DAY(EOMONTH(A214,0))/2-1</f>
        <v>#VALUE!</v>
      </c>
      <c r="AK214" s="209" t="str">
        <f aca="false">IF($A215="","",$A214-$E$1)</f>
        <v/>
      </c>
      <c r="AL214" s="182" t="str">
        <f aca="false">IF($A215="","",SPRDOPT(P214,X214,AI214,0,AB214,AE214,AF214,AK214,$AJ$2,0))</f>
        <v/>
      </c>
      <c r="AM214" s="210" t="str">
        <f aca="false">IF($A215="","",MAX(0,O214-W214-AI214))</f>
        <v/>
      </c>
      <c r="AN214" s="211" t="str">
        <f aca="false">IF($A215="","",AL214-AM214)</f>
        <v/>
      </c>
      <c r="AO214" s="137" t="str">
        <f aca="false">IF(A215="","",A215-A214)</f>
        <v/>
      </c>
      <c r="AP214" s="212" t="str">
        <f aca="false">IF(A215="","",CHOOSE(F$3,A215+24,A214))</f>
        <v/>
      </c>
      <c r="AQ214" s="209" t="str">
        <f aca="false">IF(A215="","",AP214-$E$1)</f>
        <v/>
      </c>
      <c r="AR214" s="185" t="n">
        <f aca="false">'ANR OK vs ML7'!AR214</f>
        <v>0.1</v>
      </c>
      <c r="AS214" s="213" t="str">
        <f aca="false">IF(A215="","",1/(1+CHOOSE(F$3,(AR215+($I$3/10000))/2,(AR214+($I$3/10000))/2))^(2*AQ214/365.25))</f>
        <v/>
      </c>
      <c r="AT214" s="137" t="str">
        <f aca="false">IF(A215="","",IF(AND(mthbeg&lt;=A214,mthend&gt;=A214),1,0))</f>
        <v/>
      </c>
      <c r="AU214" s="137" t="str">
        <f aca="false">IF(A215="","",AO214*AT214)</f>
        <v/>
      </c>
      <c r="AW214" s="195" t="str">
        <f aca="false">IF($A215="","",AL214*$E214)</f>
        <v/>
      </c>
      <c r="AX214" s="195" t="str">
        <f aca="false">IF($A215="","",AM214*$E214)</f>
        <v/>
      </c>
      <c r="AY214" s="195" t="str">
        <f aca="false">IF($A215="","",AN214*$E214)</f>
        <v/>
      </c>
      <c r="BA214" s="195" t="str">
        <f aca="false">IF($A215="","",F214*Summary!$Q$11)</f>
        <v/>
      </c>
    </row>
    <row r="215" customFormat="false" ht="12" hidden="false" customHeight="true" outlineLevel="0" collapsed="false">
      <c r="A215" s="196" t="str">
        <f aca="false">IF(A214&lt;mthend,EDATE(A214,1),"")</f>
        <v/>
      </c>
      <c r="B215" s="197" t="str">
        <f aca="false">IF(A215&lt;mthend,B214,"")</f>
        <v/>
      </c>
      <c r="C215" s="215"/>
      <c r="D215" s="197" t="str">
        <f aca="false">IF(A216&lt;&gt;"",B215+C215,"")</f>
        <v/>
      </c>
      <c r="E215" s="199" t="str">
        <f aca="false">IF(A216="","",IF(AND(AT215=1,$H$3=1),D215*AO215,IF($H$3=2,D215,"N/A")))</f>
        <v/>
      </c>
      <c r="F215" s="199" t="str">
        <f aca="false">IF(A216="","",E215*AS215)</f>
        <v/>
      </c>
      <c r="G215" s="200" t="str">
        <f aca="false">IF($A216="","",VLOOKUP($A215,Table,MATCH(G$4,Curves,0)))</f>
        <v/>
      </c>
      <c r="H215" s="201" t="str">
        <f aca="false">IF(A216="","",G215)</f>
        <v/>
      </c>
      <c r="I215" s="202"/>
      <c r="J215" s="200" t="str">
        <f aca="false">IF($A216="","",VLOOKUP($A215,Table,MATCH(J$4,Curves,0)))</f>
        <v/>
      </c>
      <c r="K215" s="201" t="str">
        <f aca="false">IF(A216="","",J215)</f>
        <v/>
      </c>
      <c r="L215" s="200" t="str">
        <f aca="false">IF($A216="","",VLOOKUP($A215,Table,MATCH(L$4,Curves,0)))</f>
        <v/>
      </c>
      <c r="M215" s="201" t="str">
        <f aca="false">IF(A216="","",L215)</f>
        <v/>
      </c>
      <c r="N215" s="203"/>
      <c r="O215" s="200" t="str">
        <f aca="false">IF(A216="","",L215+J215+G215)</f>
        <v/>
      </c>
      <c r="P215" s="200" t="str">
        <f aca="false">IF(A216="","",M215+K215+H215)</f>
        <v/>
      </c>
      <c r="Q215" s="204"/>
      <c r="R215" s="200" t="str">
        <f aca="false">IF($A216="","",VLOOKUP($A215,Table,MATCH(R$4,Curves,0)))</f>
        <v/>
      </c>
      <c r="S215" s="201" t="str">
        <f aca="false">IF(A216="","",R215)</f>
        <v/>
      </c>
      <c r="T215" s="185" t="n">
        <v>0</v>
      </c>
      <c r="U215" s="201" t="str">
        <f aca="false">IF(A216="","",T215)</f>
        <v/>
      </c>
      <c r="V215" s="205" t="str">
        <f aca="false">IF($A216="","",IF(AND(MONTH(A215)&gt;3,MONTH(A215)&lt;11),(T215+R215+G215)*Summary!$T$11/(1-Summary!$T$11),(T215+R215+G215)*Summary!$U$11/(1-Summary!$U$11)))</f>
        <v/>
      </c>
      <c r="W215" s="202" t="str">
        <f aca="false">IF($A216="","",(T215+R215+G215+V215))</f>
        <v/>
      </c>
      <c r="X215" s="202" t="str">
        <f aca="false">IF($A216="","",(U215+S215+H215+V215))</f>
        <v/>
      </c>
      <c r="Y215" s="202"/>
      <c r="Z215" s="185" t="str">
        <f aca="false">IF($A216="","",VLOOKUP($A215,Table,MATCH(Z$4,Curves,0)))</f>
        <v/>
      </c>
      <c r="AA215" s="185" t="str">
        <f aca="false">IF($A216="","",VLOOKUP($A215,Table,MATCH(AA$4,Curves,0)))</f>
        <v/>
      </c>
      <c r="AB215" s="185" t="e">
        <f aca="false">SQRT((AA215^2*(A215-$D$3)+Z215^2*(DAY(EOMONTH(A215,0))/2))/AK215)</f>
        <v>#VALUE!</v>
      </c>
      <c r="AC215" s="185" t="str">
        <f aca="false">IF($A216="","",VLOOKUP($A215,Table,MATCH(AC$4,Curves,0)))</f>
        <v/>
      </c>
      <c r="AD215" s="185" t="str">
        <f aca="false">IF($A216="","",VLOOKUP($A215,Table,MATCH(AD$4,Curves,0)))</f>
        <v/>
      </c>
      <c r="AE215" s="185" t="e">
        <f aca="false">SQRT((AD215^2*(A215-$D$3)+AC215^2*(DAY(EOMONTH(A215,0))/2))/AK215)</f>
        <v>#VALUE!</v>
      </c>
      <c r="AF215" s="206" t="e">
        <f aca="false">((Summary!$N$11*(AA215*AD215)*(A215-$D$3))+(Summary!$M$11*Z215*AC215*(AJ215-EOMONTH(EDATE(A215,-1),0))))/(AK215*AB215*AE215)</f>
        <v>#VALUE!</v>
      </c>
      <c r="AG215" s="207" t="str">
        <f aca="false">IF($A216="","",Summary!$Q$11)</f>
        <v/>
      </c>
      <c r="AH215" s="207" t="str">
        <f aca="false">IF($A216="","",IF(Summary!$R$11="Y",(VLOOKUP($A215,Summary!$AD$6:$AF$9,3)+'Escalating commodity'!G228),'Escalating commodity'!G228))</f>
        <v/>
      </c>
      <c r="AI215" s="207" t="str">
        <f aca="false">IF($A216="","",AH215)</f>
        <v/>
      </c>
      <c r="AJ215" s="208" t="e">
        <f aca="false">A215+DAY(EOMONTH(A215,0))/2-1</f>
        <v>#VALUE!</v>
      </c>
      <c r="AK215" s="209" t="str">
        <f aca="false">IF($A216="","",$A215-$E$1)</f>
        <v/>
      </c>
      <c r="AL215" s="182" t="str">
        <f aca="false">IF($A216="","",SPRDOPT(P215,X215,AI215,0,AB215,AE215,AF215,AK215,$AJ$2,0))</f>
        <v/>
      </c>
      <c r="AM215" s="210" t="str">
        <f aca="false">IF($A216="","",MAX(0,O215-W215-AI215))</f>
        <v/>
      </c>
      <c r="AN215" s="211" t="str">
        <f aca="false">IF($A216="","",AL215-AM215)</f>
        <v/>
      </c>
      <c r="AO215" s="137" t="str">
        <f aca="false">IF(A216="","",A216-A215)</f>
        <v/>
      </c>
      <c r="AP215" s="212" t="str">
        <f aca="false">IF(A216="","",CHOOSE(F$3,A216+24,A215))</f>
        <v/>
      </c>
      <c r="AQ215" s="209" t="str">
        <f aca="false">IF(A216="","",AP215-$E$1)</f>
        <v/>
      </c>
      <c r="AR215" s="185" t="n">
        <f aca="false">'ANR OK vs ML7'!AR215</f>
        <v>0.1</v>
      </c>
      <c r="AS215" s="213" t="str">
        <f aca="false">IF(A216="","",1/(1+CHOOSE(F$3,(AR216+($I$3/10000))/2,(AR215+($I$3/10000))/2))^(2*AQ215/365.25))</f>
        <v/>
      </c>
      <c r="AT215" s="137" t="str">
        <f aca="false">IF(A216="","",IF(AND(mthbeg&lt;=A215,mthend&gt;=A215),1,0))</f>
        <v/>
      </c>
      <c r="AU215" s="137" t="str">
        <f aca="false">IF(A216="","",AO215*AT215)</f>
        <v/>
      </c>
      <c r="AW215" s="195" t="str">
        <f aca="false">IF($A216="","",AL215*$E215)</f>
        <v/>
      </c>
      <c r="AX215" s="195" t="str">
        <f aca="false">IF($A216="","",AM215*$E215)</f>
        <v/>
      </c>
      <c r="AY215" s="195" t="str">
        <f aca="false">IF($A216="","",AN215*$E215)</f>
        <v/>
      </c>
      <c r="BA215" s="195" t="str">
        <f aca="false">IF($A216="","",F215*Summary!$Q$11)</f>
        <v/>
      </c>
    </row>
    <row r="216" customFormat="false" ht="12" hidden="false" customHeight="true" outlineLevel="0" collapsed="false">
      <c r="A216" s="196" t="str">
        <f aca="false">IF(A215&lt;mthend,EDATE(A215,1),"")</f>
        <v/>
      </c>
      <c r="B216" s="197" t="str">
        <f aca="false">IF(A216&lt;mthend,B215,"")</f>
        <v/>
      </c>
      <c r="C216" s="215"/>
      <c r="D216" s="197" t="str">
        <f aca="false">IF(A217&lt;&gt;"",B216+C216,"")</f>
        <v/>
      </c>
      <c r="E216" s="199" t="str">
        <f aca="false">IF(A217="","",IF(AND(AT216=1,$H$3=1),D216*AO216,IF($H$3=2,D216,"N/A")))</f>
        <v/>
      </c>
      <c r="F216" s="199" t="str">
        <f aca="false">IF(A217="","",E216*AS216)</f>
        <v/>
      </c>
      <c r="G216" s="200" t="str">
        <f aca="false">IF($A217="","",VLOOKUP($A216,Table,MATCH(G$4,Curves,0)))</f>
        <v/>
      </c>
      <c r="H216" s="201" t="str">
        <f aca="false">IF(A217="","",G216)</f>
        <v/>
      </c>
      <c r="I216" s="202"/>
      <c r="J216" s="200" t="str">
        <f aca="false">IF($A217="","",VLOOKUP($A216,Table,MATCH(J$4,Curves,0)))</f>
        <v/>
      </c>
      <c r="K216" s="201" t="str">
        <f aca="false">IF(A217="","",J216)</f>
        <v/>
      </c>
      <c r="L216" s="200" t="str">
        <f aca="false">IF($A217="","",VLOOKUP($A216,Table,MATCH(L$4,Curves,0)))</f>
        <v/>
      </c>
      <c r="M216" s="201" t="str">
        <f aca="false">IF(A217="","",L216)</f>
        <v/>
      </c>
      <c r="N216" s="203"/>
      <c r="O216" s="200" t="str">
        <f aca="false">IF(A217="","",L216+J216+G216)</f>
        <v/>
      </c>
      <c r="P216" s="200" t="str">
        <f aca="false">IF(A217="","",M216+K216+H216)</f>
        <v/>
      </c>
      <c r="Q216" s="204"/>
      <c r="R216" s="200" t="str">
        <f aca="false">IF($A217="","",VLOOKUP($A216,Table,MATCH(R$4,Curves,0)))</f>
        <v/>
      </c>
      <c r="S216" s="201" t="str">
        <f aca="false">IF(A217="","",R216)</f>
        <v/>
      </c>
      <c r="T216" s="185" t="n">
        <v>0</v>
      </c>
      <c r="U216" s="201" t="str">
        <f aca="false">IF(A217="","",T216)</f>
        <v/>
      </c>
      <c r="V216" s="205" t="str">
        <f aca="false">IF($A217="","",IF(AND(MONTH(A216)&gt;3,MONTH(A216)&lt;11),(T216+R216+G216)*Summary!$T$11/(1-Summary!$T$11),(T216+R216+G216)*Summary!$U$11/(1-Summary!$U$11)))</f>
        <v/>
      </c>
      <c r="W216" s="202" t="str">
        <f aca="false">IF($A217="","",(T216+R216+G216+V216))</f>
        <v/>
      </c>
      <c r="X216" s="202" t="str">
        <f aca="false">IF($A217="","",(U216+S216+H216+V216))</f>
        <v/>
      </c>
      <c r="Y216" s="202"/>
      <c r="Z216" s="185" t="str">
        <f aca="false">IF($A217="","",VLOOKUP($A216,Table,MATCH(Z$4,Curves,0)))</f>
        <v/>
      </c>
      <c r="AA216" s="185" t="str">
        <f aca="false">IF($A217="","",VLOOKUP($A216,Table,MATCH(AA$4,Curves,0)))</f>
        <v/>
      </c>
      <c r="AB216" s="185" t="e">
        <f aca="false">SQRT((AA216^2*(A216-$D$3)+Z216^2*(DAY(EOMONTH(A216,0))/2))/AK216)</f>
        <v>#VALUE!</v>
      </c>
      <c r="AC216" s="185" t="str">
        <f aca="false">IF($A217="","",VLOOKUP($A216,Table,MATCH(AC$4,Curves,0)))</f>
        <v/>
      </c>
      <c r="AD216" s="185" t="str">
        <f aca="false">IF($A217="","",VLOOKUP($A216,Table,MATCH(AD$4,Curves,0)))</f>
        <v/>
      </c>
      <c r="AE216" s="185" t="e">
        <f aca="false">SQRT((AD216^2*(A216-$D$3)+AC216^2*(DAY(EOMONTH(A216,0))/2))/AK216)</f>
        <v>#VALUE!</v>
      </c>
      <c r="AF216" s="206" t="e">
        <f aca="false">((Summary!$N$11*(AA216*AD216)*(A216-$D$3))+(Summary!$M$11*Z216*AC216*(AJ216-EOMONTH(EDATE(A216,-1),0))))/(AK216*AB216*AE216)</f>
        <v>#VALUE!</v>
      </c>
      <c r="AG216" s="207" t="str">
        <f aca="false">IF($A217="","",Summary!$Q$11)</f>
        <v/>
      </c>
      <c r="AH216" s="207" t="str">
        <f aca="false">IF($A217="","",IF(Summary!$R$11="Y",(VLOOKUP($A216,Summary!$AD$6:$AF$9,3)+'Escalating commodity'!G229),'Escalating commodity'!G229))</f>
        <v/>
      </c>
      <c r="AI216" s="207" t="str">
        <f aca="false">IF($A217="","",AH216)</f>
        <v/>
      </c>
      <c r="AJ216" s="208" t="e">
        <f aca="false">A216+DAY(EOMONTH(A216,0))/2-1</f>
        <v>#VALUE!</v>
      </c>
      <c r="AK216" s="209" t="str">
        <f aca="false">IF($A217="","",$A216-$E$1)</f>
        <v/>
      </c>
      <c r="AL216" s="182" t="str">
        <f aca="false">IF($A217="","",SPRDOPT(P216,X216,AI216,0,AB216,AE216,AF216,AK216,$AJ$2,0))</f>
        <v/>
      </c>
      <c r="AM216" s="210" t="str">
        <f aca="false">IF($A217="","",MAX(0,O216-W216-AI216))</f>
        <v/>
      </c>
      <c r="AN216" s="211" t="str">
        <f aca="false">IF($A217="","",AL216-AM216)</f>
        <v/>
      </c>
      <c r="AO216" s="137" t="str">
        <f aca="false">IF(A217="","",A217-A216)</f>
        <v/>
      </c>
      <c r="AP216" s="212" t="str">
        <f aca="false">IF(A217="","",CHOOSE(F$3,A217+24,A216))</f>
        <v/>
      </c>
      <c r="AQ216" s="209" t="str">
        <f aca="false">IF(A217="","",AP216-$E$1)</f>
        <v/>
      </c>
      <c r="AR216" s="185" t="n">
        <f aca="false">'ANR OK vs ML7'!AR216</f>
        <v>0.1</v>
      </c>
      <c r="AS216" s="213" t="str">
        <f aca="false">IF(A217="","",1/(1+CHOOSE(F$3,(AR217+($I$3/10000))/2,(AR216+($I$3/10000))/2))^(2*AQ216/365.25))</f>
        <v/>
      </c>
      <c r="AT216" s="137" t="str">
        <f aca="false">IF(A217="","",IF(AND(mthbeg&lt;=A216,mthend&gt;=A216),1,0))</f>
        <v/>
      </c>
      <c r="AU216" s="137" t="str">
        <f aca="false">IF(A217="","",AO216*AT216)</f>
        <v/>
      </c>
      <c r="AW216" s="195" t="str">
        <f aca="false">IF($A217="","",AL216*$E216)</f>
        <v/>
      </c>
      <c r="AX216" s="195" t="str">
        <f aca="false">IF($A217="","",AM216*$E216)</f>
        <v/>
      </c>
      <c r="AY216" s="195" t="str">
        <f aca="false">IF($A217="","",AN216*$E216)</f>
        <v/>
      </c>
      <c r="BA216" s="195" t="str">
        <f aca="false">IF($A217="","",F216*Summary!$Q$11)</f>
        <v/>
      </c>
    </row>
    <row r="217" customFormat="false" ht="12" hidden="false" customHeight="true" outlineLevel="0" collapsed="false">
      <c r="A217" s="196" t="str">
        <f aca="false">IF(A216&lt;mthend,EDATE(A216,1),"")</f>
        <v/>
      </c>
      <c r="B217" s="197" t="str">
        <f aca="false">IF(A217&lt;mthend,B216,"")</f>
        <v/>
      </c>
      <c r="C217" s="215"/>
      <c r="D217" s="197" t="str">
        <f aca="false">IF(A218&lt;&gt;"",B217+C217,"")</f>
        <v/>
      </c>
      <c r="E217" s="199" t="str">
        <f aca="false">IF(A218="","",IF(AND(AT217=1,$H$3=1),D217*AO217,IF($H$3=2,D217,"N/A")))</f>
        <v/>
      </c>
      <c r="F217" s="199" t="str">
        <f aca="false">IF(A218="","",E217*AS217)</f>
        <v/>
      </c>
      <c r="G217" s="200" t="str">
        <f aca="false">IF($A218="","",VLOOKUP($A217,Table,MATCH(G$4,Curves,0)))</f>
        <v/>
      </c>
      <c r="H217" s="201" t="str">
        <f aca="false">IF(A218="","",G217)</f>
        <v/>
      </c>
      <c r="I217" s="202"/>
      <c r="J217" s="200" t="str">
        <f aca="false">IF($A218="","",VLOOKUP($A217,Table,MATCH(J$4,Curves,0)))</f>
        <v/>
      </c>
      <c r="K217" s="201" t="str">
        <f aca="false">IF(A218="","",J217)</f>
        <v/>
      </c>
      <c r="L217" s="200" t="str">
        <f aca="false">IF($A218="","",VLOOKUP($A217,Table,MATCH(L$4,Curves,0)))</f>
        <v/>
      </c>
      <c r="M217" s="201" t="str">
        <f aca="false">IF(A218="","",L217)</f>
        <v/>
      </c>
      <c r="N217" s="203"/>
      <c r="O217" s="200" t="str">
        <f aca="false">IF(A218="","",L217+J217+G217)</f>
        <v/>
      </c>
      <c r="P217" s="200" t="str">
        <f aca="false">IF(A218="","",M217+K217+H217)</f>
        <v/>
      </c>
      <c r="Q217" s="204"/>
      <c r="R217" s="200" t="str">
        <f aca="false">IF($A218="","",VLOOKUP($A217,Table,MATCH(R$4,Curves,0)))</f>
        <v/>
      </c>
      <c r="S217" s="201" t="str">
        <f aca="false">IF(A218="","",R217)</f>
        <v/>
      </c>
      <c r="T217" s="185" t="n">
        <v>0</v>
      </c>
      <c r="U217" s="201" t="str">
        <f aca="false">IF(A218="","",T217)</f>
        <v/>
      </c>
      <c r="V217" s="205" t="str">
        <f aca="false">IF($A218="","",IF(AND(MONTH(A217)&gt;3,MONTH(A217)&lt;11),(T217+R217+G217)*Summary!$T$11/(1-Summary!$T$11),(T217+R217+G217)*Summary!$U$11/(1-Summary!$U$11)))</f>
        <v/>
      </c>
      <c r="W217" s="202" t="str">
        <f aca="false">IF($A218="","",(T217+R217+G217+V217))</f>
        <v/>
      </c>
      <c r="X217" s="202" t="str">
        <f aca="false">IF($A218="","",(U217+S217+H217+V217))</f>
        <v/>
      </c>
      <c r="Y217" s="202"/>
      <c r="Z217" s="185" t="str">
        <f aca="false">IF($A218="","",VLOOKUP($A217,Table,MATCH(Z$4,Curves,0)))</f>
        <v/>
      </c>
      <c r="AA217" s="185" t="str">
        <f aca="false">IF($A218="","",VLOOKUP($A217,Table,MATCH(AA$4,Curves,0)))</f>
        <v/>
      </c>
      <c r="AB217" s="185" t="e">
        <f aca="false">SQRT((AA217^2*(A217-$D$3)+Z217^2*(DAY(EOMONTH(A217,0))/2))/AK217)</f>
        <v>#VALUE!</v>
      </c>
      <c r="AC217" s="185" t="str">
        <f aca="false">IF($A218="","",VLOOKUP($A217,Table,MATCH(AC$4,Curves,0)))</f>
        <v/>
      </c>
      <c r="AD217" s="185" t="str">
        <f aca="false">IF($A218="","",VLOOKUP($A217,Table,MATCH(AD$4,Curves,0)))</f>
        <v/>
      </c>
      <c r="AE217" s="185" t="e">
        <f aca="false">SQRT((AD217^2*(A217-$D$3)+AC217^2*(DAY(EOMONTH(A217,0))/2))/AK217)</f>
        <v>#VALUE!</v>
      </c>
      <c r="AF217" s="206" t="e">
        <f aca="false">((Summary!$N$11*(AA217*AD217)*(A217-$D$3))+(Summary!$M$11*Z217*AC217*(AJ217-EOMONTH(EDATE(A217,-1),0))))/(AK217*AB217*AE217)</f>
        <v>#VALUE!</v>
      </c>
      <c r="AG217" s="207" t="str">
        <f aca="false">IF($A218="","",Summary!$Q$11)</f>
        <v/>
      </c>
      <c r="AH217" s="207" t="str">
        <f aca="false">IF($A218="","",IF(Summary!$R$11="Y",(VLOOKUP($A217,Summary!$AD$6:$AF$9,3)+'Escalating commodity'!G230),'Escalating commodity'!G230))</f>
        <v/>
      </c>
      <c r="AI217" s="207" t="str">
        <f aca="false">IF($A218="","",AH217)</f>
        <v/>
      </c>
      <c r="AJ217" s="208" t="e">
        <f aca="false">A217+DAY(EOMONTH(A217,0))/2-1</f>
        <v>#VALUE!</v>
      </c>
      <c r="AK217" s="209" t="str">
        <f aca="false">IF($A218="","",$A217-$E$1)</f>
        <v/>
      </c>
      <c r="AL217" s="182" t="str">
        <f aca="false">IF($A218="","",SPRDOPT(P217,X217,AI217,0,AB217,AE217,AF217,AK217,$AJ$2,0))</f>
        <v/>
      </c>
      <c r="AM217" s="210" t="str">
        <f aca="false">IF($A218="","",MAX(0,O217-W217-AI217))</f>
        <v/>
      </c>
      <c r="AN217" s="211" t="str">
        <f aca="false">IF($A218="","",AL217-AM217)</f>
        <v/>
      </c>
      <c r="AO217" s="137" t="str">
        <f aca="false">IF(A218="","",A218-A217)</f>
        <v/>
      </c>
      <c r="AP217" s="212" t="str">
        <f aca="false">IF(A218="","",CHOOSE(F$3,A218+24,A217))</f>
        <v/>
      </c>
      <c r="AQ217" s="209" t="str">
        <f aca="false">IF(A218="","",AP217-$E$1)</f>
        <v/>
      </c>
      <c r="AR217" s="185" t="n">
        <f aca="false">'ANR OK vs ML7'!AR217</f>
        <v>0.1</v>
      </c>
      <c r="AS217" s="213" t="str">
        <f aca="false">IF(A218="","",1/(1+CHOOSE(F$3,(AR218+($I$3/10000))/2,(AR217+($I$3/10000))/2))^(2*AQ217/365.25))</f>
        <v/>
      </c>
      <c r="AT217" s="137" t="str">
        <f aca="false">IF(A218="","",IF(AND(mthbeg&lt;=A217,mthend&gt;=A217),1,0))</f>
        <v/>
      </c>
      <c r="AU217" s="137" t="str">
        <f aca="false">IF(A218="","",AO217*AT217)</f>
        <v/>
      </c>
      <c r="AW217" s="195" t="str">
        <f aca="false">IF($A218="","",AL217*$E217)</f>
        <v/>
      </c>
      <c r="AX217" s="195" t="str">
        <f aca="false">IF($A218="","",AM217*$E217)</f>
        <v/>
      </c>
      <c r="AY217" s="195" t="str">
        <f aca="false">IF($A218="","",AN217*$E217)</f>
        <v/>
      </c>
      <c r="BA217" s="195" t="str">
        <f aca="false">IF($A218="","",F217*Summary!$Q$11)</f>
        <v/>
      </c>
    </row>
    <row r="218" customFormat="false" ht="12" hidden="false" customHeight="true" outlineLevel="0" collapsed="false">
      <c r="A218" s="196" t="str">
        <f aca="false">IF(A217&lt;mthend,EDATE(A217,1),"")</f>
        <v/>
      </c>
      <c r="B218" s="197" t="str">
        <f aca="false">IF(A218&lt;mthend,B217,"")</f>
        <v/>
      </c>
      <c r="C218" s="215"/>
      <c r="D218" s="197" t="str">
        <f aca="false">IF(A219&lt;&gt;"",B218+C218,"")</f>
        <v/>
      </c>
      <c r="E218" s="199" t="str">
        <f aca="false">IF(A219="","",IF(AND(AT218=1,$H$3=1),D218*AO218,IF($H$3=2,D218,"N/A")))</f>
        <v/>
      </c>
      <c r="F218" s="199" t="str">
        <f aca="false">IF(A219="","",E218*AS218)</f>
        <v/>
      </c>
      <c r="G218" s="200" t="str">
        <f aca="false">IF($A219="","",VLOOKUP($A218,Table,MATCH(G$4,Curves,0)))</f>
        <v/>
      </c>
      <c r="H218" s="201" t="str">
        <f aca="false">IF(A219="","",G218)</f>
        <v/>
      </c>
      <c r="I218" s="202"/>
      <c r="J218" s="200" t="str">
        <f aca="false">IF($A219="","",VLOOKUP($A218,Table,MATCH(J$4,Curves,0)))</f>
        <v/>
      </c>
      <c r="K218" s="201" t="str">
        <f aca="false">IF(A219="","",J218)</f>
        <v/>
      </c>
      <c r="L218" s="200" t="str">
        <f aca="false">IF($A219="","",VLOOKUP($A218,Table,MATCH(L$4,Curves,0)))</f>
        <v/>
      </c>
      <c r="M218" s="201" t="str">
        <f aca="false">IF(A219="","",L218)</f>
        <v/>
      </c>
      <c r="N218" s="203"/>
      <c r="O218" s="200" t="str">
        <f aca="false">IF(A219="","",L218+J218+G218)</f>
        <v/>
      </c>
      <c r="P218" s="200" t="str">
        <f aca="false">IF(A219="","",M218+K218+H218)</f>
        <v/>
      </c>
      <c r="Q218" s="204"/>
      <c r="R218" s="200" t="str">
        <f aca="false">IF($A219="","",VLOOKUP($A218,Table,MATCH(R$4,Curves,0)))</f>
        <v/>
      </c>
      <c r="S218" s="201" t="str">
        <f aca="false">IF(A219="","",R218)</f>
        <v/>
      </c>
      <c r="T218" s="185" t="n">
        <v>0</v>
      </c>
      <c r="U218" s="201" t="str">
        <f aca="false">IF(A219="","",T218)</f>
        <v/>
      </c>
      <c r="V218" s="205" t="str">
        <f aca="false">IF($A219="","",IF(AND(MONTH(A218)&gt;3,MONTH(A218)&lt;11),(T218+R218+G218)*Summary!$T$11/(1-Summary!$T$11),(T218+R218+G218)*Summary!$U$11/(1-Summary!$U$11)))</f>
        <v/>
      </c>
      <c r="W218" s="202" t="str">
        <f aca="false">IF($A219="","",(T218+R218+G218+V218))</f>
        <v/>
      </c>
      <c r="X218" s="202" t="str">
        <f aca="false">IF($A219="","",(U218+S218+H218+V218))</f>
        <v/>
      </c>
      <c r="Y218" s="202"/>
      <c r="Z218" s="185" t="str">
        <f aca="false">IF($A219="","",VLOOKUP($A218,Table,MATCH(Z$4,Curves,0)))</f>
        <v/>
      </c>
      <c r="AA218" s="185" t="str">
        <f aca="false">IF($A219="","",VLOOKUP($A218,Table,MATCH(AA$4,Curves,0)))</f>
        <v/>
      </c>
      <c r="AB218" s="185" t="e">
        <f aca="false">SQRT((AA218^2*(A218-$D$3)+Z218^2*(DAY(EOMONTH(A218,0))/2))/AK218)</f>
        <v>#VALUE!</v>
      </c>
      <c r="AC218" s="185" t="str">
        <f aca="false">IF($A219="","",VLOOKUP($A218,Table,MATCH(AC$4,Curves,0)))</f>
        <v/>
      </c>
      <c r="AD218" s="185" t="str">
        <f aca="false">IF($A219="","",VLOOKUP($A218,Table,MATCH(AD$4,Curves,0)))</f>
        <v/>
      </c>
      <c r="AE218" s="185" t="e">
        <f aca="false">SQRT((AD218^2*(A218-$D$3)+AC218^2*(DAY(EOMONTH(A218,0))/2))/AK218)</f>
        <v>#VALUE!</v>
      </c>
      <c r="AF218" s="206" t="e">
        <f aca="false">((Summary!$N$11*(AA218*AD218)*(A218-$D$3))+(Summary!$M$11*Z218*AC218*(AJ218-EOMONTH(EDATE(A218,-1),0))))/(AK218*AB218*AE218)</f>
        <v>#VALUE!</v>
      </c>
      <c r="AG218" s="207" t="str">
        <f aca="false">IF($A219="","",Summary!$Q$11)</f>
        <v/>
      </c>
      <c r="AH218" s="207" t="str">
        <f aca="false">IF($A219="","",IF(Summary!$R$11="Y",(VLOOKUP($A218,Summary!$AD$6:$AF$9,3)+'Escalating commodity'!G231),'Escalating commodity'!G231))</f>
        <v/>
      </c>
      <c r="AI218" s="207" t="str">
        <f aca="false">IF($A219="","",AH218)</f>
        <v/>
      </c>
      <c r="AJ218" s="208" t="e">
        <f aca="false">A218+DAY(EOMONTH(A218,0))/2-1</f>
        <v>#VALUE!</v>
      </c>
      <c r="AK218" s="209" t="str">
        <f aca="false">IF($A219="","",$A218-$E$1)</f>
        <v/>
      </c>
      <c r="AL218" s="182" t="str">
        <f aca="false">IF($A219="","",SPRDOPT(P218,X218,AI218,0,AB218,AE218,AF218,AK218,$AJ$2,0))</f>
        <v/>
      </c>
      <c r="AM218" s="210" t="str">
        <f aca="false">IF($A219="","",MAX(0,O218-W218-AI218))</f>
        <v/>
      </c>
      <c r="AN218" s="211" t="str">
        <f aca="false">IF($A219="","",AL218-AM218)</f>
        <v/>
      </c>
      <c r="AO218" s="137" t="str">
        <f aca="false">IF(A219="","",A219-A218)</f>
        <v/>
      </c>
      <c r="AP218" s="212" t="str">
        <f aca="false">IF(A219="","",CHOOSE(F$3,A219+24,A218))</f>
        <v/>
      </c>
      <c r="AQ218" s="209" t="str">
        <f aca="false">IF(A219="","",AP218-$E$1)</f>
        <v/>
      </c>
      <c r="AR218" s="185" t="n">
        <f aca="false">'ANR OK vs ML7'!AR218</f>
        <v>0.1</v>
      </c>
      <c r="AS218" s="213" t="str">
        <f aca="false">IF(A219="","",1/(1+CHOOSE(F$3,(AR219+($I$3/10000))/2,(AR218+($I$3/10000))/2))^(2*AQ218/365.25))</f>
        <v/>
      </c>
      <c r="AT218" s="137" t="str">
        <f aca="false">IF(A219="","",IF(AND(mthbeg&lt;=A218,mthend&gt;=A218),1,0))</f>
        <v/>
      </c>
      <c r="AU218" s="137" t="str">
        <f aca="false">IF(A219="","",AO218*AT218)</f>
        <v/>
      </c>
      <c r="AW218" s="195" t="str">
        <f aca="false">IF($A219="","",AL218*$E218)</f>
        <v/>
      </c>
      <c r="AX218" s="195" t="str">
        <f aca="false">IF($A219="","",AM218*$E218)</f>
        <v/>
      </c>
      <c r="AY218" s="195" t="str">
        <f aca="false">IF($A219="","",AN218*$E218)</f>
        <v/>
      </c>
      <c r="BA218" s="195" t="str">
        <f aca="false">IF($A219="","",F218*Summary!$Q$11)</f>
        <v/>
      </c>
    </row>
    <row r="219" customFormat="false" ht="12" hidden="false" customHeight="true" outlineLevel="0" collapsed="false">
      <c r="A219" s="196" t="str">
        <f aca="false">IF(A218&lt;mthend,EDATE(A218,1),"")</f>
        <v/>
      </c>
      <c r="B219" s="197" t="str">
        <f aca="false">IF(A219&lt;mthend,B218,"")</f>
        <v/>
      </c>
      <c r="C219" s="215"/>
      <c r="D219" s="197" t="str">
        <f aca="false">IF(A220&lt;&gt;"",B219+C219,"")</f>
        <v/>
      </c>
      <c r="E219" s="199" t="str">
        <f aca="false">IF(A220="","",IF(AND(AT219=1,$H$3=1),D219*AO219,IF($H$3=2,D219,"N/A")))</f>
        <v/>
      </c>
      <c r="F219" s="199" t="str">
        <f aca="false">IF(A220="","",E219*AS219)</f>
        <v/>
      </c>
      <c r="G219" s="200" t="str">
        <f aca="false">IF($A220="","",VLOOKUP($A219,Table,MATCH(G$4,Curves,0)))</f>
        <v/>
      </c>
      <c r="H219" s="201" t="str">
        <f aca="false">IF(A220="","",G219)</f>
        <v/>
      </c>
      <c r="I219" s="202"/>
      <c r="J219" s="200" t="str">
        <f aca="false">IF($A220="","",VLOOKUP($A219,Table,MATCH(J$4,Curves,0)))</f>
        <v/>
      </c>
      <c r="K219" s="201" t="str">
        <f aca="false">IF(A220="","",J219)</f>
        <v/>
      </c>
      <c r="L219" s="200" t="str">
        <f aca="false">IF($A220="","",VLOOKUP($A219,Table,MATCH(L$4,Curves,0)))</f>
        <v/>
      </c>
      <c r="M219" s="201" t="str">
        <f aca="false">IF(A220="","",L219)</f>
        <v/>
      </c>
      <c r="N219" s="203"/>
      <c r="O219" s="200" t="str">
        <f aca="false">IF(A220="","",L219+J219+G219)</f>
        <v/>
      </c>
      <c r="P219" s="200" t="str">
        <f aca="false">IF(A220="","",M219+K219+H219)</f>
        <v/>
      </c>
      <c r="Q219" s="204"/>
      <c r="R219" s="200" t="str">
        <f aca="false">IF($A220="","",VLOOKUP($A219,Table,MATCH(R$4,Curves,0)))</f>
        <v/>
      </c>
      <c r="S219" s="201" t="str">
        <f aca="false">IF(A220="","",R219)</f>
        <v/>
      </c>
      <c r="T219" s="185" t="n">
        <v>0</v>
      </c>
      <c r="U219" s="201" t="str">
        <f aca="false">IF(A220="","",T219)</f>
        <v/>
      </c>
      <c r="V219" s="205" t="str">
        <f aca="false">IF($A220="","",IF(AND(MONTH(A219)&gt;3,MONTH(A219)&lt;11),(T219+R219+G219)*Summary!$T$11/(1-Summary!$T$11),(T219+R219+G219)*Summary!$U$11/(1-Summary!$U$11)))</f>
        <v/>
      </c>
      <c r="W219" s="202" t="str">
        <f aca="false">IF($A220="","",(T219+R219+G219+V219))</f>
        <v/>
      </c>
      <c r="X219" s="202" t="str">
        <f aca="false">IF($A220="","",(U219+S219+H219+V219))</f>
        <v/>
      </c>
      <c r="Y219" s="202"/>
      <c r="Z219" s="185" t="str">
        <f aca="false">IF($A220="","",VLOOKUP($A219,Table,MATCH(Z$4,Curves,0)))</f>
        <v/>
      </c>
      <c r="AA219" s="185" t="str">
        <f aca="false">IF($A220="","",VLOOKUP($A219,Table,MATCH(AA$4,Curves,0)))</f>
        <v/>
      </c>
      <c r="AB219" s="185" t="e">
        <f aca="false">SQRT((AA219^2*(A219-$D$3)+Z219^2*(DAY(EOMONTH(A219,0))/2))/AK219)</f>
        <v>#VALUE!</v>
      </c>
      <c r="AC219" s="185" t="str">
        <f aca="false">IF($A220="","",VLOOKUP($A219,Table,MATCH(AC$4,Curves,0)))</f>
        <v/>
      </c>
      <c r="AD219" s="185" t="str">
        <f aca="false">IF($A220="","",VLOOKUP($A219,Table,MATCH(AD$4,Curves,0)))</f>
        <v/>
      </c>
      <c r="AE219" s="185" t="e">
        <f aca="false">SQRT((AD219^2*(A219-$D$3)+AC219^2*(DAY(EOMONTH(A219,0))/2))/AK219)</f>
        <v>#VALUE!</v>
      </c>
      <c r="AF219" s="206" t="e">
        <f aca="false">((Summary!$N$11*(AA219*AD219)*(A219-$D$3))+(Summary!$M$11*Z219*AC219*(AJ219-EOMONTH(EDATE(A219,-1),0))))/(AK219*AB219*AE219)</f>
        <v>#VALUE!</v>
      </c>
      <c r="AG219" s="207" t="str">
        <f aca="false">IF($A220="","",Summary!$Q$11)</f>
        <v/>
      </c>
      <c r="AH219" s="207" t="str">
        <f aca="false">IF($A220="","",IF(Summary!$R$11="Y",(VLOOKUP($A219,Summary!$AD$6:$AF$9,3)+'Escalating commodity'!G232),'Escalating commodity'!G232))</f>
        <v/>
      </c>
      <c r="AI219" s="207" t="str">
        <f aca="false">IF($A220="","",AH219)</f>
        <v/>
      </c>
      <c r="AJ219" s="208" t="e">
        <f aca="false">A219+DAY(EOMONTH(A219,0))/2-1</f>
        <v>#VALUE!</v>
      </c>
      <c r="AK219" s="209" t="str">
        <f aca="false">IF($A220="","",$A219-$E$1)</f>
        <v/>
      </c>
      <c r="AL219" s="182" t="str">
        <f aca="false">IF($A220="","",SPRDOPT(P219,X219,AI219,0,AB219,AE219,AF219,AK219,$AJ$2,0))</f>
        <v/>
      </c>
      <c r="AM219" s="210" t="str">
        <f aca="false">IF($A220="","",MAX(0,O219-W219-AI219))</f>
        <v/>
      </c>
      <c r="AN219" s="211" t="str">
        <f aca="false">IF($A220="","",AL219-AM219)</f>
        <v/>
      </c>
      <c r="AO219" s="137" t="str">
        <f aca="false">IF(A220="","",A220-A219)</f>
        <v/>
      </c>
      <c r="AP219" s="212" t="str">
        <f aca="false">IF(A220="","",CHOOSE(F$3,A220+24,A219))</f>
        <v/>
      </c>
      <c r="AQ219" s="209" t="str">
        <f aca="false">IF(A220="","",AP219-$E$1)</f>
        <v/>
      </c>
      <c r="AR219" s="185" t="n">
        <f aca="false">'ANR OK vs ML7'!AR219</f>
        <v>0.1</v>
      </c>
      <c r="AS219" s="213" t="str">
        <f aca="false">IF(A220="","",1/(1+CHOOSE(F$3,(AR220+($I$3/10000))/2,(AR219+($I$3/10000))/2))^(2*AQ219/365.25))</f>
        <v/>
      </c>
      <c r="AT219" s="137" t="str">
        <f aca="false">IF(A220="","",IF(AND(mthbeg&lt;=A219,mthend&gt;=A219),1,0))</f>
        <v/>
      </c>
      <c r="AU219" s="137" t="str">
        <f aca="false">IF(A220="","",AO219*AT219)</f>
        <v/>
      </c>
      <c r="AW219" s="195" t="str">
        <f aca="false">IF($A220="","",AL219*$E219)</f>
        <v/>
      </c>
      <c r="AX219" s="195" t="str">
        <f aca="false">IF($A220="","",AM219*$E219)</f>
        <v/>
      </c>
      <c r="AY219" s="195" t="str">
        <f aca="false">IF($A220="","",AN219*$E219)</f>
        <v/>
      </c>
      <c r="BA219" s="195" t="str">
        <f aca="false">IF($A220="","",F219*Summary!$Q$11)</f>
        <v/>
      </c>
    </row>
    <row r="220" customFormat="false" ht="12" hidden="false" customHeight="true" outlineLevel="0" collapsed="false">
      <c r="A220" s="196" t="str">
        <f aca="false">IF(A219&lt;mthend,EDATE(A219,1),"")</f>
        <v/>
      </c>
      <c r="B220" s="197" t="str">
        <f aca="false">IF(A220&lt;mthend,B219,"")</f>
        <v/>
      </c>
      <c r="C220" s="215"/>
      <c r="D220" s="197" t="str">
        <f aca="false">IF(A221&lt;&gt;"",B220+C220,"")</f>
        <v/>
      </c>
      <c r="E220" s="199" t="str">
        <f aca="false">IF(A221="","",IF(AND(AT220=1,$H$3=1),D220*AO220,IF($H$3=2,D220,"N/A")))</f>
        <v/>
      </c>
      <c r="F220" s="199" t="str">
        <f aca="false">IF(A221="","",E220*AS220)</f>
        <v/>
      </c>
      <c r="G220" s="200" t="str">
        <f aca="false">IF($A221="","",VLOOKUP($A220,Table,MATCH(G$4,Curves,0)))</f>
        <v/>
      </c>
      <c r="H220" s="201" t="str">
        <f aca="false">IF(A221="","",G220)</f>
        <v/>
      </c>
      <c r="I220" s="202"/>
      <c r="J220" s="200" t="str">
        <f aca="false">IF($A221="","",VLOOKUP($A220,Table,MATCH(J$4,Curves,0)))</f>
        <v/>
      </c>
      <c r="K220" s="201" t="str">
        <f aca="false">IF(A221="","",J220)</f>
        <v/>
      </c>
      <c r="L220" s="200" t="str">
        <f aca="false">IF($A221="","",VLOOKUP($A220,Table,MATCH(L$4,Curves,0)))</f>
        <v/>
      </c>
      <c r="M220" s="201" t="str">
        <f aca="false">IF(A221="","",L220)</f>
        <v/>
      </c>
      <c r="N220" s="203"/>
      <c r="O220" s="200" t="str">
        <f aca="false">IF(A221="","",L220+J220+G220)</f>
        <v/>
      </c>
      <c r="P220" s="200" t="str">
        <f aca="false">IF(A221="","",M220+K220+H220)</f>
        <v/>
      </c>
      <c r="Q220" s="204"/>
      <c r="R220" s="200" t="str">
        <f aca="false">IF($A221="","",VLOOKUP($A220,Table,MATCH(R$4,Curves,0)))</f>
        <v/>
      </c>
      <c r="S220" s="201" t="str">
        <f aca="false">IF(A221="","",R220)</f>
        <v/>
      </c>
      <c r="T220" s="185" t="n">
        <v>0</v>
      </c>
      <c r="U220" s="201" t="str">
        <f aca="false">IF(A221="","",T220)</f>
        <v/>
      </c>
      <c r="V220" s="205" t="str">
        <f aca="false">IF($A221="","",IF(AND(MONTH(A220)&gt;3,MONTH(A220)&lt;11),(T220+R220+G220)*Summary!$T$11/(1-Summary!$T$11),(T220+R220+G220)*Summary!$U$11/(1-Summary!$U$11)))</f>
        <v/>
      </c>
      <c r="W220" s="202" t="str">
        <f aca="false">IF($A221="","",(T220+R220+G220+V220))</f>
        <v/>
      </c>
      <c r="X220" s="202" t="str">
        <f aca="false">IF($A221="","",(U220+S220+H220+V220))</f>
        <v/>
      </c>
      <c r="Y220" s="202"/>
      <c r="Z220" s="185" t="str">
        <f aca="false">IF($A221="","",VLOOKUP($A220,Table,MATCH(Z$4,Curves,0)))</f>
        <v/>
      </c>
      <c r="AA220" s="185" t="str">
        <f aca="false">IF($A221="","",VLOOKUP($A220,Table,MATCH(AA$4,Curves,0)))</f>
        <v/>
      </c>
      <c r="AB220" s="185" t="e">
        <f aca="false">SQRT((AA220^2*(A220-$D$3)+Z220^2*(DAY(EOMONTH(A220,0))/2))/AK220)</f>
        <v>#VALUE!</v>
      </c>
      <c r="AC220" s="185" t="str">
        <f aca="false">IF($A221="","",VLOOKUP($A220,Table,MATCH(AC$4,Curves,0)))</f>
        <v/>
      </c>
      <c r="AD220" s="185" t="str">
        <f aca="false">IF($A221="","",VLOOKUP($A220,Table,MATCH(AD$4,Curves,0)))</f>
        <v/>
      </c>
      <c r="AE220" s="185" t="e">
        <f aca="false">SQRT((AD220^2*(A220-$D$3)+AC220^2*(DAY(EOMONTH(A220,0))/2))/AK220)</f>
        <v>#VALUE!</v>
      </c>
      <c r="AF220" s="206" t="e">
        <f aca="false">((Summary!$N$11*(AA220*AD220)*(A220-$D$3))+(Summary!$M$11*Z220*AC220*(AJ220-EOMONTH(EDATE(A220,-1),0))))/(AK220*AB220*AE220)</f>
        <v>#VALUE!</v>
      </c>
      <c r="AG220" s="207" t="str">
        <f aca="false">IF($A221="","",Summary!$Q$11)</f>
        <v/>
      </c>
      <c r="AH220" s="207" t="str">
        <f aca="false">IF($A221="","",IF(Summary!$R$11="Y",(VLOOKUP($A220,Summary!$AD$6:$AF$9,3)+'Escalating commodity'!G233),'Escalating commodity'!G233))</f>
        <v/>
      </c>
      <c r="AI220" s="207" t="str">
        <f aca="false">IF($A221="","",AH220)</f>
        <v/>
      </c>
      <c r="AJ220" s="208" t="e">
        <f aca="false">A220+DAY(EOMONTH(A220,0))/2-1</f>
        <v>#VALUE!</v>
      </c>
      <c r="AK220" s="209" t="str">
        <f aca="false">IF($A221="","",$A220-$E$1)</f>
        <v/>
      </c>
      <c r="AL220" s="182" t="str">
        <f aca="false">IF($A221="","",SPRDOPT(P220,X220,AI220,0,AB220,AE220,AF220,AK220,$AJ$2,0))</f>
        <v/>
      </c>
      <c r="AM220" s="210" t="str">
        <f aca="false">IF($A221="","",MAX(0,O220-W220-AI220))</f>
        <v/>
      </c>
      <c r="AN220" s="211" t="str">
        <f aca="false">IF($A221="","",AL220-AM220)</f>
        <v/>
      </c>
      <c r="AO220" s="137" t="str">
        <f aca="false">IF(A221="","",A221-A220)</f>
        <v/>
      </c>
      <c r="AP220" s="212" t="str">
        <f aca="false">IF(A221="","",CHOOSE(F$3,A221+24,A220))</f>
        <v/>
      </c>
      <c r="AQ220" s="209" t="str">
        <f aca="false">IF(A221="","",AP220-$E$1)</f>
        <v/>
      </c>
      <c r="AR220" s="185" t="n">
        <f aca="false">'ANR OK vs ML7'!AR220</f>
        <v>0.1</v>
      </c>
      <c r="AS220" s="213" t="str">
        <f aca="false">IF(A221="","",1/(1+CHOOSE(F$3,(AR221+($I$3/10000))/2,(AR220+($I$3/10000))/2))^(2*AQ220/365.25))</f>
        <v/>
      </c>
      <c r="AT220" s="137" t="str">
        <f aca="false">IF(A221="","",IF(AND(mthbeg&lt;=A220,mthend&gt;=A220),1,0))</f>
        <v/>
      </c>
      <c r="AU220" s="137" t="str">
        <f aca="false">IF(A221="","",AO220*AT220)</f>
        <v/>
      </c>
      <c r="AW220" s="195" t="str">
        <f aca="false">IF($A221="","",AL220*$E220)</f>
        <v/>
      </c>
      <c r="AX220" s="195" t="str">
        <f aca="false">IF($A221="","",AM220*$E220)</f>
        <v/>
      </c>
      <c r="AY220" s="195" t="str">
        <f aca="false">IF($A221="","",AN220*$E220)</f>
        <v/>
      </c>
      <c r="BA220" s="195" t="str">
        <f aca="false">IF($A221="","",F220*Summary!$Q$11)</f>
        <v/>
      </c>
    </row>
    <row r="221" customFormat="false" ht="12" hidden="false" customHeight="true" outlineLevel="0" collapsed="false">
      <c r="A221" s="196" t="str">
        <f aca="false">IF(A220&lt;mthend,EDATE(A220,1),"")</f>
        <v/>
      </c>
      <c r="B221" s="197" t="str">
        <f aca="false">IF(A221&lt;mthend,B220,"")</f>
        <v/>
      </c>
      <c r="C221" s="215"/>
      <c r="D221" s="197" t="str">
        <f aca="false">IF(A222&lt;&gt;"",B221+C221,"")</f>
        <v/>
      </c>
      <c r="E221" s="199" t="str">
        <f aca="false">IF(A222="","",IF(AND(AT221=1,$H$3=1),D221*AO221,IF($H$3=2,D221,"N/A")))</f>
        <v/>
      </c>
      <c r="F221" s="199" t="str">
        <f aca="false">IF(A222="","",E221*AS221)</f>
        <v/>
      </c>
      <c r="G221" s="200" t="str">
        <f aca="false">IF($A222="","",VLOOKUP($A221,Table,MATCH(G$4,Curves,0)))</f>
        <v/>
      </c>
      <c r="H221" s="201" t="str">
        <f aca="false">IF(A222="","",G221)</f>
        <v/>
      </c>
      <c r="I221" s="202"/>
      <c r="J221" s="200" t="str">
        <f aca="false">IF($A222="","",VLOOKUP($A221,Table,MATCH(J$4,Curves,0)))</f>
        <v/>
      </c>
      <c r="K221" s="201" t="str">
        <f aca="false">IF(A222="","",J221)</f>
        <v/>
      </c>
      <c r="L221" s="200" t="str">
        <f aca="false">IF($A222="","",VLOOKUP($A221,Table,MATCH(L$4,Curves,0)))</f>
        <v/>
      </c>
      <c r="M221" s="201" t="str">
        <f aca="false">IF(A222="","",L221)</f>
        <v/>
      </c>
      <c r="N221" s="203"/>
      <c r="O221" s="200" t="str">
        <f aca="false">IF(A222="","",L221+J221+G221)</f>
        <v/>
      </c>
      <c r="P221" s="200" t="str">
        <f aca="false">IF(A222="","",M221+K221+H221)</f>
        <v/>
      </c>
      <c r="Q221" s="204"/>
      <c r="R221" s="200" t="str">
        <f aca="false">IF($A222="","",VLOOKUP($A221,Table,MATCH(R$4,Curves,0)))</f>
        <v/>
      </c>
      <c r="S221" s="201" t="str">
        <f aca="false">IF(A222="","",R221)</f>
        <v/>
      </c>
      <c r="T221" s="185" t="n">
        <v>0</v>
      </c>
      <c r="U221" s="201" t="str">
        <f aca="false">IF(A222="","",T221)</f>
        <v/>
      </c>
      <c r="V221" s="205" t="str">
        <f aca="false">IF($A222="","",IF(AND(MONTH(A221)&gt;3,MONTH(A221)&lt;11),(T221+R221+G221)*Summary!$T$11/(1-Summary!$T$11),(T221+R221+G221)*Summary!$U$11/(1-Summary!$U$11)))</f>
        <v/>
      </c>
      <c r="W221" s="202" t="str">
        <f aca="false">IF($A222="","",(T221+R221+G221+V221))</f>
        <v/>
      </c>
      <c r="X221" s="202" t="str">
        <f aca="false">IF($A222="","",(U221+S221+H221+V221))</f>
        <v/>
      </c>
      <c r="Y221" s="202"/>
      <c r="Z221" s="185" t="str">
        <f aca="false">IF($A222="","",VLOOKUP($A221,Table,MATCH(Z$4,Curves,0)))</f>
        <v/>
      </c>
      <c r="AA221" s="185" t="str">
        <f aca="false">IF($A222="","",VLOOKUP($A221,Table,MATCH(AA$4,Curves,0)))</f>
        <v/>
      </c>
      <c r="AB221" s="185" t="e">
        <f aca="false">SQRT((AA221^2*(A221-$D$3)+Z221^2*(DAY(EOMONTH(A221,0))/2))/AK221)</f>
        <v>#VALUE!</v>
      </c>
      <c r="AC221" s="185" t="str">
        <f aca="false">IF($A222="","",VLOOKUP($A221,Table,MATCH(AC$4,Curves,0)))</f>
        <v/>
      </c>
      <c r="AD221" s="185" t="str">
        <f aca="false">IF($A222="","",VLOOKUP($A221,Table,MATCH(AD$4,Curves,0)))</f>
        <v/>
      </c>
      <c r="AE221" s="185" t="e">
        <f aca="false">SQRT((AD221^2*(A221-$D$3)+AC221^2*(DAY(EOMONTH(A221,0))/2))/AK221)</f>
        <v>#VALUE!</v>
      </c>
      <c r="AF221" s="206" t="e">
        <f aca="false">((Summary!$N$11*(AA221*AD221)*(A221-$D$3))+(Summary!$M$11*Z221*AC221*(AJ221-EOMONTH(EDATE(A221,-1),0))))/(AK221*AB221*AE221)</f>
        <v>#VALUE!</v>
      </c>
      <c r="AG221" s="207" t="str">
        <f aca="false">IF($A222="","",Summary!$Q$11)</f>
        <v/>
      </c>
      <c r="AH221" s="207" t="str">
        <f aca="false">IF($A222="","",IF(Summary!$R$11="Y",(VLOOKUP($A221,Summary!$AD$6:$AF$9,3)+'Escalating commodity'!G234),'Escalating commodity'!G234))</f>
        <v/>
      </c>
      <c r="AI221" s="207" t="str">
        <f aca="false">IF($A222="","",AH221)</f>
        <v/>
      </c>
      <c r="AJ221" s="208" t="e">
        <f aca="false">A221+DAY(EOMONTH(A221,0))/2-1</f>
        <v>#VALUE!</v>
      </c>
      <c r="AK221" s="209" t="str">
        <f aca="false">IF($A222="","",$A221-$E$1)</f>
        <v/>
      </c>
      <c r="AL221" s="182" t="str">
        <f aca="false">IF($A222="","",SPRDOPT(P221,X221,AI221,0,AB221,AE221,AF221,AK221,$AJ$2,0))</f>
        <v/>
      </c>
      <c r="AM221" s="210" t="str">
        <f aca="false">IF($A222="","",MAX(0,O221-W221-AI221))</f>
        <v/>
      </c>
      <c r="AN221" s="211" t="str">
        <f aca="false">IF($A222="","",AL221-AM221)</f>
        <v/>
      </c>
      <c r="AO221" s="137" t="str">
        <f aca="false">IF(A222="","",A222-A221)</f>
        <v/>
      </c>
      <c r="AP221" s="212" t="str">
        <f aca="false">IF(A222="","",CHOOSE(F$3,A222+24,A221))</f>
        <v/>
      </c>
      <c r="AQ221" s="209" t="str">
        <f aca="false">IF(A222="","",AP221-$E$1)</f>
        <v/>
      </c>
      <c r="AR221" s="185" t="n">
        <f aca="false">'ANR OK vs ML7'!AR221</f>
        <v>0.1</v>
      </c>
      <c r="AS221" s="213" t="str">
        <f aca="false">IF(A222="","",1/(1+CHOOSE(F$3,(AR222+($I$3/10000))/2,(AR221+($I$3/10000))/2))^(2*AQ221/365.25))</f>
        <v/>
      </c>
      <c r="AT221" s="137" t="str">
        <f aca="false">IF(A222="","",IF(AND(mthbeg&lt;=A221,mthend&gt;=A221),1,0))</f>
        <v/>
      </c>
      <c r="AU221" s="137" t="str">
        <f aca="false">IF(A222="","",AO221*AT221)</f>
        <v/>
      </c>
      <c r="AW221" s="195" t="str">
        <f aca="false">IF($A222="","",AL221*$E221)</f>
        <v/>
      </c>
      <c r="AX221" s="195" t="str">
        <f aca="false">IF($A222="","",AM221*$E221)</f>
        <v/>
      </c>
      <c r="AY221" s="195" t="str">
        <f aca="false">IF($A222="","",AN221*$E221)</f>
        <v/>
      </c>
      <c r="BA221" s="195" t="str">
        <f aca="false">IF($A222="","",F221*Summary!$Q$11)</f>
        <v/>
      </c>
    </row>
    <row r="222" customFormat="false" ht="12" hidden="false" customHeight="true" outlineLevel="0" collapsed="false">
      <c r="A222" s="196" t="str">
        <f aca="false">IF(A221&lt;mthend,EDATE(A221,1),"")</f>
        <v/>
      </c>
      <c r="B222" s="197" t="str">
        <f aca="false">IF(A222&lt;mthend,B221,"")</f>
        <v/>
      </c>
      <c r="C222" s="215"/>
      <c r="D222" s="197" t="str">
        <f aca="false">IF(A223&lt;&gt;"",B222+C222,"")</f>
        <v/>
      </c>
      <c r="E222" s="199" t="str">
        <f aca="false">IF(A223="","",IF(AND(AT222=1,$H$3=1),D222*AO222,IF($H$3=2,D222,"N/A")))</f>
        <v/>
      </c>
      <c r="F222" s="199" t="str">
        <f aca="false">IF(A223="","",E222*AS222)</f>
        <v/>
      </c>
      <c r="G222" s="200" t="str">
        <f aca="false">IF($A223="","",VLOOKUP($A222,Table,MATCH(G$4,Curves,0)))</f>
        <v/>
      </c>
      <c r="H222" s="201" t="str">
        <f aca="false">IF(A223="","",G222)</f>
        <v/>
      </c>
      <c r="I222" s="202"/>
      <c r="J222" s="200" t="str">
        <f aca="false">IF($A223="","",VLOOKUP($A222,Table,MATCH(J$4,Curves,0)))</f>
        <v/>
      </c>
      <c r="K222" s="201" t="str">
        <f aca="false">IF(A223="","",J222)</f>
        <v/>
      </c>
      <c r="L222" s="200" t="str">
        <f aca="false">IF($A223="","",VLOOKUP($A222,Table,MATCH(L$4,Curves,0)))</f>
        <v/>
      </c>
      <c r="M222" s="201" t="str">
        <f aca="false">IF(A223="","",L222)</f>
        <v/>
      </c>
      <c r="N222" s="203"/>
      <c r="O222" s="200" t="str">
        <f aca="false">IF(A223="","",L222+J222+G222)</f>
        <v/>
      </c>
      <c r="P222" s="200" t="str">
        <f aca="false">IF(A223="","",M222+K222+H222)</f>
        <v/>
      </c>
      <c r="Q222" s="204"/>
      <c r="R222" s="200" t="str">
        <f aca="false">IF($A223="","",VLOOKUP($A222,Table,MATCH(R$4,Curves,0)))</f>
        <v/>
      </c>
      <c r="S222" s="201" t="str">
        <f aca="false">IF(A223="","",R222)</f>
        <v/>
      </c>
      <c r="T222" s="185" t="n">
        <v>0</v>
      </c>
      <c r="U222" s="201" t="str">
        <f aca="false">IF(A223="","",T222)</f>
        <v/>
      </c>
      <c r="V222" s="205" t="str">
        <f aca="false">IF($A223="","",IF(AND(MONTH(A222)&gt;3,MONTH(A222)&lt;11),(T222+R222+G222)*Summary!$T$11/(1-Summary!$T$11),(T222+R222+G222)*Summary!$U$11/(1-Summary!$U$11)))</f>
        <v/>
      </c>
      <c r="W222" s="202" t="str">
        <f aca="false">IF($A223="","",(T222+R222+G222+V222))</f>
        <v/>
      </c>
      <c r="X222" s="202" t="str">
        <f aca="false">IF($A223="","",(U222+S222+H222+V222))</f>
        <v/>
      </c>
      <c r="Y222" s="202"/>
      <c r="Z222" s="185" t="str">
        <f aca="false">IF($A223="","",VLOOKUP($A222,Table,MATCH(Z$4,Curves,0)))</f>
        <v/>
      </c>
      <c r="AA222" s="185" t="str">
        <f aca="false">IF($A223="","",VLOOKUP($A222,Table,MATCH(AA$4,Curves,0)))</f>
        <v/>
      </c>
      <c r="AB222" s="185" t="e">
        <f aca="false">SQRT((AA222^2*(A222-$D$3)+Z222^2*(DAY(EOMONTH(A222,0))/2))/AK222)</f>
        <v>#VALUE!</v>
      </c>
      <c r="AC222" s="185" t="str">
        <f aca="false">IF($A223="","",VLOOKUP($A222,Table,MATCH(AC$4,Curves,0)))</f>
        <v/>
      </c>
      <c r="AD222" s="185" t="str">
        <f aca="false">IF($A223="","",VLOOKUP($A222,Table,MATCH(AD$4,Curves,0)))</f>
        <v/>
      </c>
      <c r="AE222" s="185" t="e">
        <f aca="false">SQRT((AD222^2*(A222-$D$3)+AC222^2*(DAY(EOMONTH(A222,0))/2))/AK222)</f>
        <v>#VALUE!</v>
      </c>
      <c r="AF222" s="206" t="e">
        <f aca="false">((Summary!$N$11*(AA222*AD222)*(A222-$D$3))+(Summary!$M$11*Z222*AC222*(AJ222-EOMONTH(EDATE(A222,-1),0))))/(AK222*AB222*AE222)</f>
        <v>#VALUE!</v>
      </c>
      <c r="AG222" s="207" t="str">
        <f aca="false">IF($A223="","",Summary!$Q$11)</f>
        <v/>
      </c>
      <c r="AH222" s="207" t="str">
        <f aca="false">IF($A223="","",IF(Summary!$R$11="Y",(VLOOKUP($A222,Summary!$AD$6:$AF$9,3)+'Escalating commodity'!G235),'Escalating commodity'!G235))</f>
        <v/>
      </c>
      <c r="AI222" s="207" t="str">
        <f aca="false">IF($A223="","",AH222)</f>
        <v/>
      </c>
      <c r="AJ222" s="208" t="e">
        <f aca="false">A222+DAY(EOMONTH(A222,0))/2-1</f>
        <v>#VALUE!</v>
      </c>
      <c r="AK222" s="209" t="str">
        <f aca="false">IF($A223="","",$A222-$E$1)</f>
        <v/>
      </c>
      <c r="AL222" s="182" t="str">
        <f aca="false">IF($A223="","",SPRDOPT(P222,X222,AI222,0,AB222,AE222,AF222,AK222,$AJ$2,0))</f>
        <v/>
      </c>
      <c r="AM222" s="210" t="str">
        <f aca="false">IF($A223="","",MAX(0,O222-W222-AI222))</f>
        <v/>
      </c>
      <c r="AN222" s="211" t="str">
        <f aca="false">IF($A223="","",AL222-AM222)</f>
        <v/>
      </c>
      <c r="AO222" s="137" t="str">
        <f aca="false">IF(A223="","",A223-A222)</f>
        <v/>
      </c>
      <c r="AP222" s="212" t="str">
        <f aca="false">IF(A223="","",CHOOSE(F$3,A223+24,A222))</f>
        <v/>
      </c>
      <c r="AQ222" s="209" t="str">
        <f aca="false">IF(A223="","",AP222-$E$1)</f>
        <v/>
      </c>
      <c r="AR222" s="185" t="n">
        <f aca="false">'ANR OK vs ML7'!AR222</f>
        <v>0.1</v>
      </c>
      <c r="AS222" s="213" t="str">
        <f aca="false">IF(A223="","",1/(1+CHOOSE(F$3,(AR223+($I$3/10000))/2,(AR222+($I$3/10000))/2))^(2*AQ222/365.25))</f>
        <v/>
      </c>
      <c r="AT222" s="137" t="str">
        <f aca="false">IF(A223="","",IF(AND(mthbeg&lt;=A222,mthend&gt;=A222),1,0))</f>
        <v/>
      </c>
      <c r="AU222" s="137" t="str">
        <f aca="false">IF(A223="","",AO222*AT222)</f>
        <v/>
      </c>
      <c r="AW222" s="195" t="str">
        <f aca="false">IF($A223="","",AL222*$E222)</f>
        <v/>
      </c>
      <c r="AX222" s="195" t="str">
        <f aca="false">IF($A223="","",AM222*$E222)</f>
        <v/>
      </c>
      <c r="AY222" s="195" t="str">
        <f aca="false">IF($A223="","",AN222*$E222)</f>
        <v/>
      </c>
      <c r="BA222" s="195" t="str">
        <f aca="false">IF($A223="","",F222*Summary!$Q$11)</f>
        <v/>
      </c>
    </row>
    <row r="223" customFormat="false" ht="12" hidden="false" customHeight="true" outlineLevel="0" collapsed="false">
      <c r="A223" s="196" t="str">
        <f aca="false">IF(A222&lt;mthend,EDATE(A222,1),"")</f>
        <v/>
      </c>
      <c r="B223" s="197" t="str">
        <f aca="false">IF(A223&lt;mthend,B222,"")</f>
        <v/>
      </c>
      <c r="C223" s="215"/>
      <c r="D223" s="197" t="str">
        <f aca="false">IF(A224&lt;&gt;"",B223+C223,"")</f>
        <v/>
      </c>
      <c r="E223" s="199" t="str">
        <f aca="false">IF(A224="","",IF(AND(AT223=1,$H$3=1),D223*AO223,IF($H$3=2,D223,"N/A")))</f>
        <v/>
      </c>
      <c r="F223" s="199" t="str">
        <f aca="false">IF(A224="","",E223*AS223)</f>
        <v/>
      </c>
      <c r="G223" s="200" t="str">
        <f aca="false">IF($A224="","",VLOOKUP($A223,Table,MATCH(G$4,Curves,0)))</f>
        <v/>
      </c>
      <c r="H223" s="201" t="str">
        <f aca="false">IF(A224="","",G223)</f>
        <v/>
      </c>
      <c r="I223" s="202"/>
      <c r="J223" s="200" t="str">
        <f aca="false">IF($A224="","",VLOOKUP($A223,Table,MATCH(J$4,Curves,0)))</f>
        <v/>
      </c>
      <c r="K223" s="201" t="str">
        <f aca="false">IF(A224="","",J223)</f>
        <v/>
      </c>
      <c r="L223" s="200" t="str">
        <f aca="false">IF($A224="","",VLOOKUP($A223,Table,MATCH(L$4,Curves,0)))</f>
        <v/>
      </c>
      <c r="M223" s="201" t="str">
        <f aca="false">IF(A224="","",L223)</f>
        <v/>
      </c>
      <c r="N223" s="203"/>
      <c r="O223" s="200" t="str">
        <f aca="false">IF(A224="","",L223+J223+G223)</f>
        <v/>
      </c>
      <c r="P223" s="200" t="str">
        <f aca="false">IF(A224="","",M223+K223+H223)</f>
        <v/>
      </c>
      <c r="Q223" s="204"/>
      <c r="R223" s="200" t="str">
        <f aca="false">IF($A224="","",VLOOKUP($A223,Table,MATCH(R$4,Curves,0)))</f>
        <v/>
      </c>
      <c r="S223" s="201" t="str">
        <f aca="false">IF(A224="","",R223)</f>
        <v/>
      </c>
      <c r="T223" s="185" t="n">
        <v>0</v>
      </c>
      <c r="U223" s="201" t="str">
        <f aca="false">IF(A224="","",T223)</f>
        <v/>
      </c>
      <c r="V223" s="205" t="str">
        <f aca="false">IF($A224="","",IF(AND(MONTH(A223)&gt;3,MONTH(A223)&lt;11),(T223+R223+G223)*Summary!$T$11/(1-Summary!$T$11),(T223+R223+G223)*Summary!$U$11/(1-Summary!$U$11)))</f>
        <v/>
      </c>
      <c r="W223" s="202" t="str">
        <f aca="false">IF($A224="","",(T223+R223+G223+V223))</f>
        <v/>
      </c>
      <c r="X223" s="202" t="str">
        <f aca="false">IF($A224="","",(U223+S223+H223+V223))</f>
        <v/>
      </c>
      <c r="Y223" s="202"/>
      <c r="Z223" s="185" t="str">
        <f aca="false">IF($A224="","",VLOOKUP($A223,Table,MATCH(Z$4,Curves,0)))</f>
        <v/>
      </c>
      <c r="AA223" s="185" t="str">
        <f aca="false">IF($A224="","",VLOOKUP($A223,Table,MATCH(AA$4,Curves,0)))</f>
        <v/>
      </c>
      <c r="AB223" s="185" t="e">
        <f aca="false">SQRT((AA223^2*(A223-$D$3)+Z223^2*(DAY(EOMONTH(A223,0))/2))/AK223)</f>
        <v>#VALUE!</v>
      </c>
      <c r="AC223" s="185" t="str">
        <f aca="false">IF($A224="","",VLOOKUP($A223,Table,MATCH(AC$4,Curves,0)))</f>
        <v/>
      </c>
      <c r="AD223" s="185" t="str">
        <f aca="false">IF($A224="","",VLOOKUP($A223,Table,MATCH(AD$4,Curves,0)))</f>
        <v/>
      </c>
      <c r="AE223" s="185" t="e">
        <f aca="false">SQRT((AD223^2*(A223-$D$3)+AC223^2*(DAY(EOMONTH(A223,0))/2))/AK223)</f>
        <v>#VALUE!</v>
      </c>
      <c r="AF223" s="206" t="e">
        <f aca="false">((Summary!$N$11*(AA223*AD223)*(A223-$D$3))+(Summary!$M$11*Z223*AC223*(AJ223-EOMONTH(EDATE(A223,-1),0))))/(AK223*AB223*AE223)</f>
        <v>#VALUE!</v>
      </c>
      <c r="AG223" s="207" t="str">
        <f aca="false">IF($A224="","",Summary!$Q$11)</f>
        <v/>
      </c>
      <c r="AH223" s="207" t="str">
        <f aca="false">IF($A224="","",IF(Summary!$R$11="Y",(VLOOKUP($A223,Summary!$AD$6:$AF$9,3)+'Escalating commodity'!G236),'Escalating commodity'!G236))</f>
        <v/>
      </c>
      <c r="AI223" s="207" t="str">
        <f aca="false">IF($A224="","",AH223)</f>
        <v/>
      </c>
      <c r="AJ223" s="208" t="e">
        <f aca="false">A223+DAY(EOMONTH(A223,0))/2-1</f>
        <v>#VALUE!</v>
      </c>
      <c r="AK223" s="209" t="str">
        <f aca="false">IF($A224="","",$A223-$E$1)</f>
        <v/>
      </c>
      <c r="AL223" s="182" t="str">
        <f aca="false">IF($A224="","",SPRDOPT(P223,X223,AI223,0,AB223,AE223,AF223,AK223,$AJ$2,0))</f>
        <v/>
      </c>
      <c r="AM223" s="210" t="str">
        <f aca="false">IF($A224="","",MAX(0,O223-W223-AI223))</f>
        <v/>
      </c>
      <c r="AN223" s="211" t="str">
        <f aca="false">IF($A224="","",AL223-AM223)</f>
        <v/>
      </c>
      <c r="AO223" s="137" t="str">
        <f aca="false">IF(A224="","",A224-A223)</f>
        <v/>
      </c>
      <c r="AP223" s="212" t="str">
        <f aca="false">IF(A224="","",CHOOSE(F$3,A224+24,A223))</f>
        <v/>
      </c>
      <c r="AQ223" s="209" t="str">
        <f aca="false">IF(A224="","",AP223-$E$1)</f>
        <v/>
      </c>
      <c r="AR223" s="185" t="n">
        <f aca="false">'ANR OK vs ML7'!AR223</f>
        <v>0.1</v>
      </c>
      <c r="AS223" s="213" t="str">
        <f aca="false">IF(A224="","",1/(1+CHOOSE(F$3,(AR224+($I$3/10000))/2,(AR223+($I$3/10000))/2))^(2*AQ223/365.25))</f>
        <v/>
      </c>
      <c r="AT223" s="137" t="str">
        <f aca="false">IF(A224="","",IF(AND(mthbeg&lt;=A223,mthend&gt;=A223),1,0))</f>
        <v/>
      </c>
      <c r="AU223" s="137" t="str">
        <f aca="false">IF(A224="","",AO223*AT223)</f>
        <v/>
      </c>
      <c r="AW223" s="195" t="str">
        <f aca="false">IF($A224="","",AL223*$E223)</f>
        <v/>
      </c>
      <c r="AX223" s="195" t="str">
        <f aca="false">IF($A224="","",AM223*$E223)</f>
        <v/>
      </c>
      <c r="AY223" s="195" t="str">
        <f aca="false">IF($A224="","",AN223*$E223)</f>
        <v/>
      </c>
      <c r="BA223" s="195" t="str">
        <f aca="false">IF($A224="","",F223*Summary!$Q$11)</f>
        <v/>
      </c>
    </row>
    <row r="224" customFormat="false" ht="12" hidden="false" customHeight="true" outlineLevel="0" collapsed="false">
      <c r="A224" s="196" t="str">
        <f aca="false">IF(A223&lt;mthend,EDATE(A223,1),"")</f>
        <v/>
      </c>
      <c r="B224" s="197" t="str">
        <f aca="false">IF(A224&lt;mthend,B223,"")</f>
        <v/>
      </c>
      <c r="C224" s="215"/>
      <c r="D224" s="197" t="str">
        <f aca="false">IF(A225&lt;&gt;"",B224+C224,"")</f>
        <v/>
      </c>
      <c r="E224" s="199" t="str">
        <f aca="false">IF(A225="","",IF(AND(AT224=1,$H$3=1),D224*AO224,IF($H$3=2,D224,"N/A")))</f>
        <v/>
      </c>
      <c r="F224" s="199" t="str">
        <f aca="false">IF(A225="","",E224*AS224)</f>
        <v/>
      </c>
      <c r="G224" s="200" t="str">
        <f aca="false">IF($A225="","",VLOOKUP($A224,Table,MATCH(G$4,Curves,0)))</f>
        <v/>
      </c>
      <c r="H224" s="201" t="str">
        <f aca="false">IF(A225="","",G224)</f>
        <v/>
      </c>
      <c r="I224" s="202"/>
      <c r="J224" s="200" t="str">
        <f aca="false">IF($A225="","",VLOOKUP($A224,Table,MATCH(J$4,Curves,0)))</f>
        <v/>
      </c>
      <c r="K224" s="201" t="str">
        <f aca="false">IF(A225="","",J224)</f>
        <v/>
      </c>
      <c r="L224" s="200" t="str">
        <f aca="false">IF($A225="","",VLOOKUP($A224,Table,MATCH(L$4,Curves,0)))</f>
        <v/>
      </c>
      <c r="M224" s="201" t="str">
        <f aca="false">IF(A225="","",L224)</f>
        <v/>
      </c>
      <c r="N224" s="203"/>
      <c r="O224" s="200" t="str">
        <f aca="false">IF(A225="","",L224+J224+G224)</f>
        <v/>
      </c>
      <c r="P224" s="200" t="str">
        <f aca="false">IF(A225="","",M224+K224+H224)</f>
        <v/>
      </c>
      <c r="Q224" s="204"/>
      <c r="R224" s="200" t="str">
        <f aca="false">IF($A225="","",VLOOKUP($A224,Table,MATCH(R$4,Curves,0)))</f>
        <v/>
      </c>
      <c r="S224" s="201" t="str">
        <f aca="false">IF(A225="","",R224)</f>
        <v/>
      </c>
      <c r="T224" s="185" t="n">
        <v>0</v>
      </c>
      <c r="U224" s="201" t="str">
        <f aca="false">IF(A225="","",T224)</f>
        <v/>
      </c>
      <c r="V224" s="205" t="str">
        <f aca="false">IF($A225="","",IF(AND(MONTH(A224)&gt;3,MONTH(A224)&lt;11),(T224+R224+G224)*Summary!$T$11/(1-Summary!$T$11),(T224+R224+G224)*Summary!$U$11/(1-Summary!$U$11)))</f>
        <v/>
      </c>
      <c r="W224" s="202" t="str">
        <f aca="false">IF($A225="","",(T224+R224+G224+V224))</f>
        <v/>
      </c>
      <c r="X224" s="202" t="str">
        <f aca="false">IF($A225="","",(U224+S224+H224+V224))</f>
        <v/>
      </c>
      <c r="Y224" s="202"/>
      <c r="Z224" s="185" t="str">
        <f aca="false">IF($A225="","",VLOOKUP($A224,Table,MATCH(Z$4,Curves,0)))</f>
        <v/>
      </c>
      <c r="AA224" s="185" t="str">
        <f aca="false">IF($A225="","",VLOOKUP($A224,Table,MATCH(AA$4,Curves,0)))</f>
        <v/>
      </c>
      <c r="AB224" s="185" t="e">
        <f aca="false">SQRT((AA224^2*(A224-$D$3)+Z224^2*(DAY(EOMONTH(A224,0))/2))/AK224)</f>
        <v>#VALUE!</v>
      </c>
      <c r="AC224" s="185" t="str">
        <f aca="false">IF($A225="","",VLOOKUP($A224,Table,MATCH(AC$4,Curves,0)))</f>
        <v/>
      </c>
      <c r="AD224" s="185" t="str">
        <f aca="false">IF($A225="","",VLOOKUP($A224,Table,MATCH(AD$4,Curves,0)))</f>
        <v/>
      </c>
      <c r="AE224" s="185" t="e">
        <f aca="false">SQRT((AD224^2*(A224-$D$3)+AC224^2*(DAY(EOMONTH(A224,0))/2))/AK224)</f>
        <v>#VALUE!</v>
      </c>
      <c r="AF224" s="206" t="e">
        <f aca="false">((Summary!$N$11*(AA224*AD224)*(A224-$D$3))+(Summary!$M$11*Z224*AC224*(AJ224-EOMONTH(EDATE(A224,-1),0))))/(AK224*AB224*AE224)</f>
        <v>#VALUE!</v>
      </c>
      <c r="AG224" s="207" t="str">
        <f aca="false">IF($A225="","",Summary!$Q$11)</f>
        <v/>
      </c>
      <c r="AH224" s="207" t="str">
        <f aca="false">IF($A225="","",IF(Summary!$R$11="Y",(VLOOKUP($A224,Summary!$AD$6:$AF$9,3)+'Escalating commodity'!G237),'Escalating commodity'!G237))</f>
        <v/>
      </c>
      <c r="AI224" s="207" t="str">
        <f aca="false">IF($A225="","",AH224)</f>
        <v/>
      </c>
      <c r="AJ224" s="208" t="e">
        <f aca="false">A224+DAY(EOMONTH(A224,0))/2-1</f>
        <v>#VALUE!</v>
      </c>
      <c r="AK224" s="209" t="str">
        <f aca="false">IF($A225="","",$A224-$E$1)</f>
        <v/>
      </c>
      <c r="AL224" s="182" t="str">
        <f aca="false">IF($A225="","",SPRDOPT(P224,X224,AI224,0,AB224,AE224,AF224,AK224,$AJ$2,0))</f>
        <v/>
      </c>
      <c r="AM224" s="210" t="str">
        <f aca="false">IF($A225="","",MAX(0,O224-W224-AI224))</f>
        <v/>
      </c>
      <c r="AN224" s="211" t="str">
        <f aca="false">IF($A225="","",AL224-AM224)</f>
        <v/>
      </c>
      <c r="AO224" s="137" t="str">
        <f aca="false">IF(A225="","",A225-A224)</f>
        <v/>
      </c>
      <c r="AP224" s="212" t="str">
        <f aca="false">IF(A225="","",CHOOSE(F$3,A225+24,A224))</f>
        <v/>
      </c>
      <c r="AQ224" s="209" t="str">
        <f aca="false">IF(A225="","",AP224-$E$1)</f>
        <v/>
      </c>
      <c r="AR224" s="185" t="n">
        <f aca="false">'ANR OK vs ML7'!AR224</f>
        <v>0.1</v>
      </c>
      <c r="AS224" s="213" t="str">
        <f aca="false">IF(A225="","",1/(1+CHOOSE(F$3,(AR225+($I$3/10000))/2,(AR224+($I$3/10000))/2))^(2*AQ224/365.25))</f>
        <v/>
      </c>
      <c r="AT224" s="137" t="str">
        <f aca="false">IF(A225="","",IF(AND(mthbeg&lt;=A224,mthend&gt;=A224),1,0))</f>
        <v/>
      </c>
      <c r="AU224" s="137" t="str">
        <f aca="false">IF(A225="","",AO224*AT224)</f>
        <v/>
      </c>
      <c r="AW224" s="195" t="str">
        <f aca="false">IF($A225="","",AL224*$E224)</f>
        <v/>
      </c>
      <c r="AX224" s="195" t="str">
        <f aca="false">IF($A225="","",AM224*$E224)</f>
        <v/>
      </c>
      <c r="AY224" s="195" t="str">
        <f aca="false">IF($A225="","",AN224*$E224)</f>
        <v/>
      </c>
      <c r="BA224" s="195" t="str">
        <f aca="false">IF($A225="","",F224*Summary!$Q$11)</f>
        <v/>
      </c>
    </row>
    <row r="225" customFormat="false" ht="12" hidden="false" customHeight="true" outlineLevel="0" collapsed="false">
      <c r="A225" s="196" t="str">
        <f aca="false">IF(A224&lt;mthend,EDATE(A224,1),"")</f>
        <v/>
      </c>
      <c r="B225" s="197" t="str">
        <f aca="false">IF(A225&lt;mthend,B224,"")</f>
        <v/>
      </c>
      <c r="C225" s="215"/>
      <c r="D225" s="197" t="str">
        <f aca="false">IF(A226&lt;&gt;"",B225+C225,"")</f>
        <v/>
      </c>
      <c r="E225" s="199" t="str">
        <f aca="false">IF(A226="","",IF(AND(AT225=1,$H$3=1),D225*AO225,IF($H$3=2,D225,"N/A")))</f>
        <v/>
      </c>
      <c r="F225" s="199" t="str">
        <f aca="false">IF(A226="","",E225*AS225)</f>
        <v/>
      </c>
      <c r="G225" s="200" t="str">
        <f aca="false">IF($A226="","",VLOOKUP($A225,Table,MATCH(G$4,Curves,0)))</f>
        <v/>
      </c>
      <c r="H225" s="201" t="str">
        <f aca="false">IF(A226="","",G225)</f>
        <v/>
      </c>
      <c r="I225" s="202"/>
      <c r="J225" s="200" t="str">
        <f aca="false">IF($A226="","",VLOOKUP($A225,Table,MATCH(J$4,Curves,0)))</f>
        <v/>
      </c>
      <c r="K225" s="201" t="str">
        <f aca="false">IF(A226="","",J225)</f>
        <v/>
      </c>
      <c r="L225" s="200" t="str">
        <f aca="false">IF($A226="","",VLOOKUP($A225,Table,MATCH(L$4,Curves,0)))</f>
        <v/>
      </c>
      <c r="M225" s="201" t="str">
        <f aca="false">IF(A226="","",L225)</f>
        <v/>
      </c>
      <c r="N225" s="203"/>
      <c r="O225" s="200" t="str">
        <f aca="false">IF(A226="","",L225+J225+G225)</f>
        <v/>
      </c>
      <c r="P225" s="200" t="str">
        <f aca="false">IF(A226="","",M225+K225+H225)</f>
        <v/>
      </c>
      <c r="Q225" s="204"/>
      <c r="R225" s="200" t="str">
        <f aca="false">IF($A226="","",VLOOKUP($A225,Table,MATCH(R$4,Curves,0)))</f>
        <v/>
      </c>
      <c r="S225" s="201" t="str">
        <f aca="false">IF(A226="","",R225)</f>
        <v/>
      </c>
      <c r="T225" s="185" t="n">
        <v>0</v>
      </c>
      <c r="U225" s="201" t="str">
        <f aca="false">IF(A226="","",T225)</f>
        <v/>
      </c>
      <c r="V225" s="205" t="str">
        <f aca="false">IF($A226="","",IF(AND(MONTH(A225)&gt;3,MONTH(A225)&lt;11),(T225+R225+G225)*Summary!$T$11/(1-Summary!$T$11),(T225+R225+G225)*Summary!$U$11/(1-Summary!$U$11)))</f>
        <v/>
      </c>
      <c r="W225" s="202" t="str">
        <f aca="false">IF($A226="","",(T225+R225+G225+V225))</f>
        <v/>
      </c>
      <c r="X225" s="202" t="str">
        <f aca="false">IF($A226="","",(U225+S225+H225+V225))</f>
        <v/>
      </c>
      <c r="Y225" s="202"/>
      <c r="Z225" s="185" t="str">
        <f aca="false">IF($A226="","",VLOOKUP($A225,Table,MATCH(Z$4,Curves,0)))</f>
        <v/>
      </c>
      <c r="AA225" s="185" t="str">
        <f aca="false">IF($A226="","",VLOOKUP($A225,Table,MATCH(AA$4,Curves,0)))</f>
        <v/>
      </c>
      <c r="AB225" s="185" t="e">
        <f aca="false">SQRT((AA225^2*(A225-$D$3)+Z225^2*(DAY(EOMONTH(A225,0))/2))/AK225)</f>
        <v>#VALUE!</v>
      </c>
      <c r="AC225" s="185" t="str">
        <f aca="false">IF($A226="","",VLOOKUP($A225,Table,MATCH(AC$4,Curves,0)))</f>
        <v/>
      </c>
      <c r="AD225" s="185" t="str">
        <f aca="false">IF($A226="","",VLOOKUP($A225,Table,MATCH(AD$4,Curves,0)))</f>
        <v/>
      </c>
      <c r="AE225" s="185" t="e">
        <f aca="false">SQRT((AD225^2*(A225-$D$3)+AC225^2*(DAY(EOMONTH(A225,0))/2))/AK225)</f>
        <v>#VALUE!</v>
      </c>
      <c r="AF225" s="206" t="e">
        <f aca="false">((Summary!$N$11*(AA225*AD225)*(A225-$D$3))+(Summary!$M$11*Z225*AC225*(AJ225-EOMONTH(EDATE(A225,-1),0))))/(AK225*AB225*AE225)</f>
        <v>#VALUE!</v>
      </c>
      <c r="AG225" s="207" t="str">
        <f aca="false">IF($A226="","",Summary!$Q$11)</f>
        <v/>
      </c>
      <c r="AH225" s="207" t="str">
        <f aca="false">IF($A226="","",IF(Summary!$R$11="Y",(VLOOKUP($A225,Summary!$AD$6:$AF$9,3)+'Escalating commodity'!G238),'Escalating commodity'!G238))</f>
        <v/>
      </c>
      <c r="AI225" s="207" t="str">
        <f aca="false">IF($A226="","",AH225)</f>
        <v/>
      </c>
      <c r="AJ225" s="208" t="e">
        <f aca="false">A225+DAY(EOMONTH(A225,0))/2-1</f>
        <v>#VALUE!</v>
      </c>
      <c r="AK225" s="209" t="str">
        <f aca="false">IF($A226="","",$A225-$E$1)</f>
        <v/>
      </c>
      <c r="AL225" s="182" t="str">
        <f aca="false">IF($A226="","",SPRDOPT(P225,X225,AI225,0,AB225,AE225,AF225,AK225,$AJ$2,0))</f>
        <v/>
      </c>
      <c r="AM225" s="210" t="str">
        <f aca="false">IF($A226="","",MAX(0,O225-W225-AI225))</f>
        <v/>
      </c>
      <c r="AN225" s="211" t="str">
        <f aca="false">IF($A226="","",AL225-AM225)</f>
        <v/>
      </c>
      <c r="AO225" s="137" t="str">
        <f aca="false">IF(A226="","",A226-A225)</f>
        <v/>
      </c>
      <c r="AP225" s="212" t="str">
        <f aca="false">IF(A226="","",CHOOSE(F$3,A226+24,A225))</f>
        <v/>
      </c>
      <c r="AQ225" s="209" t="str">
        <f aca="false">IF(A226="","",AP225-$E$1)</f>
        <v/>
      </c>
      <c r="AR225" s="185" t="n">
        <f aca="false">'ANR OK vs ML7'!AR225</f>
        <v>0.1</v>
      </c>
      <c r="AS225" s="213" t="str">
        <f aca="false">IF(A226="","",1/(1+CHOOSE(F$3,(AR226+($I$3/10000))/2,(AR225+($I$3/10000))/2))^(2*AQ225/365.25))</f>
        <v/>
      </c>
      <c r="AT225" s="137" t="str">
        <f aca="false">IF(A226="","",IF(AND(mthbeg&lt;=A225,mthend&gt;=A225),1,0))</f>
        <v/>
      </c>
      <c r="AU225" s="137" t="str">
        <f aca="false">IF(A226="","",AO225*AT225)</f>
        <v/>
      </c>
      <c r="AW225" s="195" t="str">
        <f aca="false">IF($A226="","",AL225*$E225)</f>
        <v/>
      </c>
      <c r="AX225" s="195" t="str">
        <f aca="false">IF($A226="","",AM225*$E225)</f>
        <v/>
      </c>
      <c r="AY225" s="195" t="str">
        <f aca="false">IF($A226="","",AN225*$E225)</f>
        <v/>
      </c>
      <c r="BA225" s="195" t="str">
        <f aca="false">IF($A226="","",F225*Summary!$Q$11)</f>
        <v/>
      </c>
    </row>
    <row r="226" customFormat="false" ht="12" hidden="false" customHeight="true" outlineLevel="0" collapsed="false">
      <c r="A226" s="196" t="str">
        <f aca="false">IF(A225&lt;mthend,EDATE(A225,1),"")</f>
        <v/>
      </c>
      <c r="B226" s="197" t="str">
        <f aca="false">IF(A226&lt;mthend,B225,"")</f>
        <v/>
      </c>
      <c r="C226" s="215"/>
      <c r="D226" s="197" t="str">
        <f aca="false">IF(A227&lt;&gt;"",B226+C226,"")</f>
        <v/>
      </c>
      <c r="E226" s="199" t="str">
        <f aca="false">IF(A227="","",IF(AND(AT226=1,$H$3=1),D226*AO226,IF($H$3=2,D226,"N/A")))</f>
        <v/>
      </c>
      <c r="F226" s="199" t="str">
        <f aca="false">IF(A227="","",E226*AS226)</f>
        <v/>
      </c>
      <c r="G226" s="200" t="str">
        <f aca="false">IF($A227="","",VLOOKUP($A226,Table,MATCH(G$4,Curves,0)))</f>
        <v/>
      </c>
      <c r="H226" s="201" t="str">
        <f aca="false">IF(A227="","",G226)</f>
        <v/>
      </c>
      <c r="I226" s="202"/>
      <c r="J226" s="200" t="str">
        <f aca="false">IF($A227="","",VLOOKUP($A226,Table,MATCH(J$4,Curves,0)))</f>
        <v/>
      </c>
      <c r="K226" s="201" t="str">
        <f aca="false">IF(A227="","",J226)</f>
        <v/>
      </c>
      <c r="L226" s="200" t="str">
        <f aca="false">IF($A227="","",VLOOKUP($A226,Table,MATCH(L$4,Curves,0)))</f>
        <v/>
      </c>
      <c r="M226" s="201" t="str">
        <f aca="false">IF(A227="","",L226)</f>
        <v/>
      </c>
      <c r="N226" s="203"/>
      <c r="O226" s="200" t="str">
        <f aca="false">IF(A227="","",L226+J226+G226)</f>
        <v/>
      </c>
      <c r="P226" s="200" t="str">
        <f aca="false">IF(A227="","",M226+K226+H226)</f>
        <v/>
      </c>
      <c r="Q226" s="204"/>
      <c r="R226" s="200" t="str">
        <f aca="false">IF($A227="","",VLOOKUP($A226,Table,MATCH(R$4,Curves,0)))</f>
        <v/>
      </c>
      <c r="S226" s="201" t="str">
        <f aca="false">IF(A227="","",R226)</f>
        <v/>
      </c>
      <c r="T226" s="185" t="n">
        <v>0</v>
      </c>
      <c r="U226" s="201" t="str">
        <f aca="false">IF(A227="","",T226)</f>
        <v/>
      </c>
      <c r="V226" s="205" t="str">
        <f aca="false">IF($A227="","",IF(AND(MONTH(A226)&gt;3,MONTH(A226)&lt;11),(T226+R226+G226)*Summary!$T$11/(1-Summary!$T$11),(T226+R226+G226)*Summary!$U$11/(1-Summary!$U$11)))</f>
        <v/>
      </c>
      <c r="W226" s="202" t="str">
        <f aca="false">IF($A227="","",(T226+R226+G226+V226))</f>
        <v/>
      </c>
      <c r="X226" s="202" t="str">
        <f aca="false">IF($A227="","",(U226+S226+H226+V226))</f>
        <v/>
      </c>
      <c r="Y226" s="202"/>
      <c r="Z226" s="185" t="str">
        <f aca="false">IF($A227="","",VLOOKUP($A226,Table,MATCH(Z$4,Curves,0)))</f>
        <v/>
      </c>
      <c r="AA226" s="185" t="str">
        <f aca="false">IF($A227="","",VLOOKUP($A226,Table,MATCH(AA$4,Curves,0)))</f>
        <v/>
      </c>
      <c r="AB226" s="185" t="e">
        <f aca="false">SQRT((AA226^2*(A226-$D$3)+Z226^2*(DAY(EOMONTH(A226,0))/2))/AK226)</f>
        <v>#VALUE!</v>
      </c>
      <c r="AC226" s="185" t="str">
        <f aca="false">IF($A227="","",VLOOKUP($A226,Table,MATCH(AC$4,Curves,0)))</f>
        <v/>
      </c>
      <c r="AD226" s="185" t="str">
        <f aca="false">IF($A227="","",VLOOKUP($A226,Table,MATCH(AD$4,Curves,0)))</f>
        <v/>
      </c>
      <c r="AE226" s="185" t="e">
        <f aca="false">SQRT((AD226^2*(A226-$D$3)+AC226^2*(DAY(EOMONTH(A226,0))/2))/AK226)</f>
        <v>#VALUE!</v>
      </c>
      <c r="AF226" s="206" t="e">
        <f aca="false">((Summary!$N$11*(AA226*AD226)*(A226-$D$3))+(Summary!$M$11*Z226*AC226*(AJ226-EOMONTH(EDATE(A226,-1),0))))/(AK226*AB226*AE226)</f>
        <v>#VALUE!</v>
      </c>
      <c r="AG226" s="207" t="str">
        <f aca="false">IF($A227="","",Summary!$Q$11)</f>
        <v/>
      </c>
      <c r="AH226" s="207" t="str">
        <f aca="false">IF($A227="","",IF(Summary!$R$11="Y",(VLOOKUP($A226,Summary!$AD$6:$AF$9,3)+'Escalating commodity'!G239),'Escalating commodity'!G239))</f>
        <v/>
      </c>
      <c r="AI226" s="207" t="str">
        <f aca="false">IF($A227="","",AH226)</f>
        <v/>
      </c>
      <c r="AJ226" s="208" t="e">
        <f aca="false">A226+DAY(EOMONTH(A226,0))/2-1</f>
        <v>#VALUE!</v>
      </c>
      <c r="AK226" s="209" t="str">
        <f aca="false">IF($A227="","",$A226-$E$1)</f>
        <v/>
      </c>
      <c r="AL226" s="182" t="str">
        <f aca="false">IF($A227="","",SPRDOPT(P226,X226,AI226,0,AB226,AE226,AF226,AK226,$AJ$2,0))</f>
        <v/>
      </c>
      <c r="AM226" s="210" t="str">
        <f aca="false">IF($A227="","",MAX(0,O226-W226-AI226))</f>
        <v/>
      </c>
      <c r="AN226" s="211" t="str">
        <f aca="false">IF($A227="","",AL226-AM226)</f>
        <v/>
      </c>
      <c r="AO226" s="137" t="str">
        <f aca="false">IF(A227="","",A227-A226)</f>
        <v/>
      </c>
      <c r="AP226" s="212" t="str">
        <f aca="false">IF(A227="","",CHOOSE(F$3,A227+24,A226))</f>
        <v/>
      </c>
      <c r="AQ226" s="209" t="str">
        <f aca="false">IF(A227="","",AP226-$E$1)</f>
        <v/>
      </c>
      <c r="AR226" s="185" t="n">
        <f aca="false">'ANR OK vs ML7'!AR226</f>
        <v>0.1</v>
      </c>
      <c r="AS226" s="213" t="str">
        <f aca="false">IF(A227="","",1/(1+CHOOSE(F$3,(AR227+($I$3/10000))/2,(AR226+($I$3/10000))/2))^(2*AQ226/365.25))</f>
        <v/>
      </c>
      <c r="AT226" s="137" t="str">
        <f aca="false">IF(A227="","",IF(AND(mthbeg&lt;=A226,mthend&gt;=A226),1,0))</f>
        <v/>
      </c>
      <c r="AU226" s="137" t="str">
        <f aca="false">IF(A227="","",AO226*AT226)</f>
        <v/>
      </c>
      <c r="AW226" s="195" t="str">
        <f aca="false">IF($A227="","",AL226*$E226)</f>
        <v/>
      </c>
      <c r="AX226" s="195" t="str">
        <f aca="false">IF($A227="","",AM226*$E226)</f>
        <v/>
      </c>
      <c r="AY226" s="195" t="str">
        <f aca="false">IF($A227="","",AN226*$E226)</f>
        <v/>
      </c>
      <c r="BA226" s="195" t="str">
        <f aca="false">IF($A227="","",F226*Summary!$Q$11)</f>
        <v/>
      </c>
    </row>
    <row r="227" customFormat="false" ht="12" hidden="false" customHeight="true" outlineLevel="0" collapsed="false">
      <c r="A227" s="196" t="str">
        <f aca="false">IF(A226&lt;mthend,EDATE(A226,1),"")</f>
        <v/>
      </c>
      <c r="B227" s="197" t="str">
        <f aca="false">IF(A227&lt;mthend,B226,"")</f>
        <v/>
      </c>
      <c r="C227" s="215"/>
      <c r="D227" s="197" t="str">
        <f aca="false">IF(A228&lt;&gt;"",B227+C227,"")</f>
        <v/>
      </c>
      <c r="E227" s="199" t="str">
        <f aca="false">IF(A228="","",IF(AND(AT227=1,$H$3=1),D227*AO227,IF($H$3=2,D227,"N/A")))</f>
        <v/>
      </c>
      <c r="F227" s="199" t="str">
        <f aca="false">IF(A228="","",E227*AS227)</f>
        <v/>
      </c>
      <c r="G227" s="200" t="str">
        <f aca="false">IF($A228="","",VLOOKUP($A227,Table,MATCH(G$4,Curves,0)))</f>
        <v/>
      </c>
      <c r="H227" s="201" t="str">
        <f aca="false">IF(A228="","",G227)</f>
        <v/>
      </c>
      <c r="I227" s="202"/>
      <c r="J227" s="200" t="str">
        <f aca="false">IF($A228="","",VLOOKUP($A227,Table,MATCH(J$4,Curves,0)))</f>
        <v/>
      </c>
      <c r="K227" s="201" t="str">
        <f aca="false">IF(A228="","",J227)</f>
        <v/>
      </c>
      <c r="L227" s="200" t="str">
        <f aca="false">IF($A228="","",VLOOKUP($A227,Table,MATCH(L$4,Curves,0)))</f>
        <v/>
      </c>
      <c r="M227" s="201" t="str">
        <f aca="false">IF(A228="","",L227)</f>
        <v/>
      </c>
      <c r="N227" s="203"/>
      <c r="O227" s="200" t="str">
        <f aca="false">IF(A228="","",L227+J227+G227)</f>
        <v/>
      </c>
      <c r="P227" s="200" t="str">
        <f aca="false">IF(A228="","",M227+K227+H227)</f>
        <v/>
      </c>
      <c r="Q227" s="204"/>
      <c r="R227" s="200" t="str">
        <f aca="false">IF($A228="","",VLOOKUP($A227,Table,MATCH(R$4,Curves,0)))</f>
        <v/>
      </c>
      <c r="S227" s="201" t="str">
        <f aca="false">IF(A228="","",R227)</f>
        <v/>
      </c>
      <c r="T227" s="185" t="n">
        <v>0</v>
      </c>
      <c r="U227" s="201" t="str">
        <f aca="false">IF(A228="","",T227)</f>
        <v/>
      </c>
      <c r="V227" s="205" t="str">
        <f aca="false">IF($A228="","",IF(AND(MONTH(A227)&gt;3,MONTH(A227)&lt;11),(T227+R227+G227)*Summary!$T$11/(1-Summary!$T$11),(T227+R227+G227)*Summary!$U$11/(1-Summary!$U$11)))</f>
        <v/>
      </c>
      <c r="W227" s="202" t="str">
        <f aca="false">IF($A228="","",(T227+R227+G227+V227))</f>
        <v/>
      </c>
      <c r="X227" s="202" t="str">
        <f aca="false">IF($A228="","",(U227+S227+H227+V227))</f>
        <v/>
      </c>
      <c r="Y227" s="202"/>
      <c r="Z227" s="185" t="str">
        <f aca="false">IF($A228="","",VLOOKUP($A227,Table,MATCH(Z$4,Curves,0)))</f>
        <v/>
      </c>
      <c r="AA227" s="185" t="str">
        <f aca="false">IF($A228="","",VLOOKUP($A227,Table,MATCH(AA$4,Curves,0)))</f>
        <v/>
      </c>
      <c r="AB227" s="185" t="e">
        <f aca="false">SQRT((AA227^2*(A227-$D$3)+Z227^2*(DAY(EOMONTH(A227,0))/2))/AK227)</f>
        <v>#VALUE!</v>
      </c>
      <c r="AC227" s="185" t="str">
        <f aca="false">IF($A228="","",VLOOKUP($A227,Table,MATCH(AC$4,Curves,0)))</f>
        <v/>
      </c>
      <c r="AD227" s="185" t="str">
        <f aca="false">IF($A228="","",VLOOKUP($A227,Table,MATCH(AD$4,Curves,0)))</f>
        <v/>
      </c>
      <c r="AE227" s="185" t="e">
        <f aca="false">SQRT((AD227^2*(A227-$D$3)+AC227^2*(DAY(EOMONTH(A227,0))/2))/AK227)</f>
        <v>#VALUE!</v>
      </c>
      <c r="AF227" s="206" t="e">
        <f aca="false">((Summary!$N$11*(AA227*AD227)*(A227-$D$3))+(Summary!$M$11*Z227*AC227*(AJ227-EOMONTH(EDATE(A227,-1),0))))/(AK227*AB227*AE227)</f>
        <v>#VALUE!</v>
      </c>
      <c r="AG227" s="207" t="str">
        <f aca="false">IF($A228="","",Summary!$Q$11)</f>
        <v/>
      </c>
      <c r="AH227" s="207" t="str">
        <f aca="false">IF($A228="","",IF(Summary!$R$11="Y",(VLOOKUP($A227,Summary!$AD$6:$AF$9,3)+'Escalating commodity'!G240),'Escalating commodity'!G240))</f>
        <v/>
      </c>
      <c r="AI227" s="207" t="str">
        <f aca="false">IF($A228="","",AH227)</f>
        <v/>
      </c>
      <c r="AJ227" s="208" t="e">
        <f aca="false">A227+DAY(EOMONTH(A227,0))/2-1</f>
        <v>#VALUE!</v>
      </c>
      <c r="AK227" s="209" t="str">
        <f aca="false">IF($A228="","",$A227-$E$1)</f>
        <v/>
      </c>
      <c r="AL227" s="182" t="str">
        <f aca="false">IF($A228="","",SPRDOPT(P227,X227,AI227,0,AB227,AE227,AF227,AK227,$AJ$2,0))</f>
        <v/>
      </c>
      <c r="AM227" s="210" t="str">
        <f aca="false">IF($A228="","",MAX(0,O227-W227-AI227))</f>
        <v/>
      </c>
      <c r="AN227" s="211" t="str">
        <f aca="false">IF($A228="","",AL227-AM227)</f>
        <v/>
      </c>
      <c r="AO227" s="137" t="str">
        <f aca="false">IF(A228="","",A228-A227)</f>
        <v/>
      </c>
      <c r="AP227" s="212" t="str">
        <f aca="false">IF(A228="","",CHOOSE(F$3,A228+24,A227))</f>
        <v/>
      </c>
      <c r="AQ227" s="209" t="str">
        <f aca="false">IF(A228="","",AP227-$E$1)</f>
        <v/>
      </c>
      <c r="AR227" s="185" t="n">
        <f aca="false">'ANR OK vs ML7'!AR227</f>
        <v>0.1</v>
      </c>
      <c r="AS227" s="213" t="str">
        <f aca="false">IF(A228="","",1/(1+CHOOSE(F$3,(AR228+($I$3/10000))/2,(AR227+($I$3/10000))/2))^(2*AQ227/365.25))</f>
        <v/>
      </c>
      <c r="AT227" s="137" t="str">
        <f aca="false">IF(A228="","",IF(AND(mthbeg&lt;=A227,mthend&gt;=A227),1,0))</f>
        <v/>
      </c>
      <c r="AU227" s="137" t="str">
        <f aca="false">IF(A228="","",AO227*AT227)</f>
        <v/>
      </c>
      <c r="AW227" s="195" t="str">
        <f aca="false">IF($A228="","",AL227*$E227)</f>
        <v/>
      </c>
      <c r="AX227" s="195" t="str">
        <f aca="false">IF($A228="","",AM227*$E227)</f>
        <v/>
      </c>
      <c r="AY227" s="195" t="str">
        <f aca="false">IF($A228="","",AN227*$E227)</f>
        <v/>
      </c>
      <c r="BA227" s="195" t="str">
        <f aca="false">IF($A228="","",F227*Summary!$Q$11)</f>
        <v/>
      </c>
    </row>
    <row r="228" customFormat="false" ht="12" hidden="false" customHeight="true" outlineLevel="0" collapsed="false">
      <c r="A228" s="196" t="str">
        <f aca="false">IF(A227&lt;mthend,EDATE(A227,1),"")</f>
        <v/>
      </c>
      <c r="B228" s="197" t="str">
        <f aca="false">IF(A228&lt;mthend,B227,"")</f>
        <v/>
      </c>
      <c r="C228" s="215"/>
      <c r="D228" s="197" t="str">
        <f aca="false">IF(A229&lt;&gt;"",B228+C228,"")</f>
        <v/>
      </c>
      <c r="E228" s="199" t="str">
        <f aca="false">IF(A229="","",IF(AND(AT228=1,$H$3=1),D228*AO228,IF($H$3=2,D228,"N/A")))</f>
        <v/>
      </c>
      <c r="F228" s="199" t="str">
        <f aca="false">IF(A229="","",E228*AS228)</f>
        <v/>
      </c>
      <c r="G228" s="200" t="str">
        <f aca="false">IF($A229="","",VLOOKUP($A228,Table,MATCH(G$4,Curves,0)))</f>
        <v/>
      </c>
      <c r="H228" s="201" t="str">
        <f aca="false">IF(A229="","",G228)</f>
        <v/>
      </c>
      <c r="I228" s="202"/>
      <c r="J228" s="200" t="str">
        <f aca="false">IF($A229="","",VLOOKUP($A228,Table,MATCH(J$4,Curves,0)))</f>
        <v/>
      </c>
      <c r="K228" s="201" t="str">
        <f aca="false">IF(A229="","",J228)</f>
        <v/>
      </c>
      <c r="L228" s="200" t="str">
        <f aca="false">IF($A229="","",VLOOKUP($A228,Table,MATCH(L$4,Curves,0)))</f>
        <v/>
      </c>
      <c r="M228" s="201" t="str">
        <f aca="false">IF(A229="","",L228)</f>
        <v/>
      </c>
      <c r="N228" s="203"/>
      <c r="O228" s="200" t="str">
        <f aca="false">IF(A229="","",L228+J228+G228)</f>
        <v/>
      </c>
      <c r="P228" s="200" t="str">
        <f aca="false">IF(A229="","",M228+K228+H228)</f>
        <v/>
      </c>
      <c r="Q228" s="204"/>
      <c r="R228" s="200" t="str">
        <f aca="false">IF($A229="","",VLOOKUP($A228,Table,MATCH(R$4,Curves,0)))</f>
        <v/>
      </c>
      <c r="S228" s="201" t="str">
        <f aca="false">IF(A229="","",R228)</f>
        <v/>
      </c>
      <c r="T228" s="185" t="n">
        <v>0</v>
      </c>
      <c r="U228" s="201" t="str">
        <f aca="false">IF(A229="","",T228)</f>
        <v/>
      </c>
      <c r="V228" s="205" t="str">
        <f aca="false">IF($A229="","",IF(AND(MONTH(A228)&gt;3,MONTH(A228)&lt;11),(T228+R228+G228)*Summary!$T$11/(1-Summary!$T$11),(T228+R228+G228)*Summary!$U$11/(1-Summary!$U$11)))</f>
        <v/>
      </c>
      <c r="W228" s="202" t="str">
        <f aca="false">IF($A229="","",(T228+R228+G228+V228))</f>
        <v/>
      </c>
      <c r="X228" s="202" t="str">
        <f aca="false">IF($A229="","",(U228+S228+H228+V228))</f>
        <v/>
      </c>
      <c r="Y228" s="202"/>
      <c r="Z228" s="185" t="str">
        <f aca="false">IF($A229="","",VLOOKUP($A228,Table,MATCH(Z$4,Curves,0)))</f>
        <v/>
      </c>
      <c r="AA228" s="185" t="str">
        <f aca="false">IF($A229="","",VLOOKUP($A228,Table,MATCH(AA$4,Curves,0)))</f>
        <v/>
      </c>
      <c r="AB228" s="185" t="e">
        <f aca="false">SQRT((AA228^2*(A228-$D$3)+Z228^2*(DAY(EOMONTH(A228,0))/2))/AK228)</f>
        <v>#VALUE!</v>
      </c>
      <c r="AC228" s="185" t="str">
        <f aca="false">IF($A229="","",VLOOKUP($A228,Table,MATCH(AC$4,Curves,0)))</f>
        <v/>
      </c>
      <c r="AD228" s="185" t="str">
        <f aca="false">IF($A229="","",VLOOKUP($A228,Table,MATCH(AD$4,Curves,0)))</f>
        <v/>
      </c>
      <c r="AE228" s="185" t="e">
        <f aca="false">SQRT((AD228^2*(A228-$D$3)+AC228^2*(DAY(EOMONTH(A228,0))/2))/AK228)</f>
        <v>#VALUE!</v>
      </c>
      <c r="AF228" s="206" t="e">
        <f aca="false">((Summary!$N$11*(AA228*AD228)*(A228-$D$3))+(Summary!$M$11*Z228*AC228*(AJ228-EOMONTH(EDATE(A228,-1),0))))/(AK228*AB228*AE228)</f>
        <v>#VALUE!</v>
      </c>
      <c r="AG228" s="207" t="str">
        <f aca="false">IF($A229="","",Summary!$Q$11)</f>
        <v/>
      </c>
      <c r="AH228" s="207" t="str">
        <f aca="false">IF($A229="","",IF(Summary!$R$11="Y",(VLOOKUP($A228,Summary!$AD$6:$AF$9,3)+'Escalating commodity'!G241),'Escalating commodity'!G241))</f>
        <v/>
      </c>
      <c r="AI228" s="207" t="str">
        <f aca="false">IF($A229="","",AH228)</f>
        <v/>
      </c>
      <c r="AJ228" s="208" t="e">
        <f aca="false">A228+DAY(EOMONTH(A228,0))/2-1</f>
        <v>#VALUE!</v>
      </c>
      <c r="AK228" s="209" t="str">
        <f aca="false">IF($A229="","",$A228-$E$1)</f>
        <v/>
      </c>
      <c r="AL228" s="182" t="str">
        <f aca="false">IF($A229="","",SPRDOPT(P228,X228,AI228,0,AB228,AE228,AF228,AK228,$AJ$2,0))</f>
        <v/>
      </c>
      <c r="AM228" s="210" t="str">
        <f aca="false">IF($A229="","",MAX(0,O228-W228-AI228))</f>
        <v/>
      </c>
      <c r="AN228" s="211" t="str">
        <f aca="false">IF($A229="","",AL228-AM228)</f>
        <v/>
      </c>
      <c r="AO228" s="137" t="str">
        <f aca="false">IF(A229="","",A229-A228)</f>
        <v/>
      </c>
      <c r="AP228" s="212" t="str">
        <f aca="false">IF(A229="","",CHOOSE(F$3,A229+24,A228))</f>
        <v/>
      </c>
      <c r="AQ228" s="209" t="str">
        <f aca="false">IF(A229="","",AP228-$E$1)</f>
        <v/>
      </c>
      <c r="AR228" s="185" t="n">
        <f aca="false">'ANR OK vs ML7'!AR228</f>
        <v>0.1</v>
      </c>
      <c r="AS228" s="213" t="str">
        <f aca="false">IF(A229="","",1/(1+CHOOSE(F$3,(AR229+($I$3/10000))/2,(AR228+($I$3/10000))/2))^(2*AQ228/365.25))</f>
        <v/>
      </c>
      <c r="AT228" s="137" t="str">
        <f aca="false">IF(A229="","",IF(AND(mthbeg&lt;=A228,mthend&gt;=A228),1,0))</f>
        <v/>
      </c>
      <c r="AU228" s="137" t="str">
        <f aca="false">IF(A229="","",AO228*AT228)</f>
        <v/>
      </c>
      <c r="AW228" s="195" t="str">
        <f aca="false">IF($A229="","",AL228*$E228)</f>
        <v/>
      </c>
      <c r="AX228" s="195" t="str">
        <f aca="false">IF($A229="","",AM228*$E228)</f>
        <v/>
      </c>
      <c r="AY228" s="195" t="str">
        <f aca="false">IF($A229="","",AN228*$E228)</f>
        <v/>
      </c>
      <c r="BA228" s="195" t="str">
        <f aca="false">IF($A229="","",F228*Summary!$Q$11)</f>
        <v/>
      </c>
    </row>
    <row r="229" customFormat="false" ht="12" hidden="false" customHeight="true" outlineLevel="0" collapsed="false">
      <c r="A229" s="196" t="str">
        <f aca="false">IF(A228&lt;mthend,EDATE(A228,1),"")</f>
        <v/>
      </c>
      <c r="B229" s="197" t="str">
        <f aca="false">IF(A229&lt;mthend,B228,"")</f>
        <v/>
      </c>
      <c r="C229" s="215"/>
      <c r="D229" s="197" t="str">
        <f aca="false">IF(A230&lt;&gt;"",B229+C229,"")</f>
        <v/>
      </c>
      <c r="E229" s="199" t="str">
        <f aca="false">IF(A230="","",IF(AND(AT229=1,$H$3=1),D229*AO229,IF($H$3=2,D229,"N/A")))</f>
        <v/>
      </c>
      <c r="F229" s="199" t="str">
        <f aca="false">IF(A230="","",E229*AS229)</f>
        <v/>
      </c>
      <c r="G229" s="200" t="str">
        <f aca="false">IF($A230="","",VLOOKUP($A229,Table,MATCH(G$4,Curves,0)))</f>
        <v/>
      </c>
      <c r="H229" s="201" t="str">
        <f aca="false">IF(A230="","",G229)</f>
        <v/>
      </c>
      <c r="I229" s="202"/>
      <c r="J229" s="200" t="str">
        <f aca="false">IF($A230="","",VLOOKUP($A229,Table,MATCH(J$4,Curves,0)))</f>
        <v/>
      </c>
      <c r="K229" s="201" t="str">
        <f aca="false">IF(A230="","",J229)</f>
        <v/>
      </c>
      <c r="L229" s="200" t="str">
        <f aca="false">IF($A230="","",VLOOKUP($A229,Table,MATCH(L$4,Curves,0)))</f>
        <v/>
      </c>
      <c r="M229" s="201" t="str">
        <f aca="false">IF(A230="","",L229)</f>
        <v/>
      </c>
      <c r="N229" s="203"/>
      <c r="O229" s="200" t="str">
        <f aca="false">IF(A230="","",L229+J229+G229)</f>
        <v/>
      </c>
      <c r="P229" s="200" t="str">
        <f aca="false">IF(A230="","",M229+K229+H229)</f>
        <v/>
      </c>
      <c r="Q229" s="204"/>
      <c r="R229" s="200" t="str">
        <f aca="false">IF($A230="","",VLOOKUP($A229,Table,MATCH(R$4,Curves,0)))</f>
        <v/>
      </c>
      <c r="S229" s="201" t="str">
        <f aca="false">IF(A230="","",R229)</f>
        <v/>
      </c>
      <c r="T229" s="185" t="n">
        <v>0</v>
      </c>
      <c r="U229" s="201" t="str">
        <f aca="false">IF(A230="","",T229)</f>
        <v/>
      </c>
      <c r="V229" s="205" t="str">
        <f aca="false">IF($A230="","",IF(AND(MONTH(A229)&gt;3,MONTH(A229)&lt;11),(T229+R229+G229)*Summary!$T$11/(1-Summary!$T$11),(T229+R229+G229)*Summary!$U$11/(1-Summary!$U$11)))</f>
        <v/>
      </c>
      <c r="W229" s="202" t="str">
        <f aca="false">IF($A230="","",(T229+R229+G229+V229))</f>
        <v/>
      </c>
      <c r="X229" s="202" t="str">
        <f aca="false">IF($A230="","",(U229+S229+H229+V229))</f>
        <v/>
      </c>
      <c r="Y229" s="202"/>
      <c r="Z229" s="185" t="str">
        <f aca="false">IF($A230="","",VLOOKUP($A229,Table,MATCH(Z$4,Curves,0)))</f>
        <v/>
      </c>
      <c r="AA229" s="185" t="str">
        <f aca="false">IF($A230="","",VLOOKUP($A229,Table,MATCH(AA$4,Curves,0)))</f>
        <v/>
      </c>
      <c r="AB229" s="185" t="e">
        <f aca="false">SQRT((AA229^2*(A229-$D$3)+Z229^2*(DAY(EOMONTH(A229,0))/2))/AK229)</f>
        <v>#VALUE!</v>
      </c>
      <c r="AC229" s="185" t="str">
        <f aca="false">IF($A230="","",VLOOKUP($A229,Table,MATCH(AC$4,Curves,0)))</f>
        <v/>
      </c>
      <c r="AD229" s="185" t="str">
        <f aca="false">IF($A230="","",VLOOKUP($A229,Table,MATCH(AD$4,Curves,0)))</f>
        <v/>
      </c>
      <c r="AE229" s="185" t="e">
        <f aca="false">SQRT((AD229^2*(A229-$D$3)+AC229^2*(DAY(EOMONTH(A229,0))/2))/AK229)</f>
        <v>#VALUE!</v>
      </c>
      <c r="AF229" s="206" t="e">
        <f aca="false">((Summary!$N$11*(AA229*AD229)*(A229-$D$3))+(Summary!$M$11*Z229*AC229*(AJ229-EOMONTH(EDATE(A229,-1),0))))/(AK229*AB229*AE229)</f>
        <v>#VALUE!</v>
      </c>
      <c r="AG229" s="207" t="str">
        <f aca="false">IF($A230="","",Summary!$Q$11)</f>
        <v/>
      </c>
      <c r="AH229" s="207" t="str">
        <f aca="false">IF($A230="","",IF(Summary!$R$11="Y",(VLOOKUP($A229,Summary!$AD$6:$AF$9,3)+'Escalating commodity'!G242),'Escalating commodity'!G242))</f>
        <v/>
      </c>
      <c r="AI229" s="207" t="str">
        <f aca="false">IF($A230="","",AH229)</f>
        <v/>
      </c>
      <c r="AJ229" s="208" t="e">
        <f aca="false">A229+DAY(EOMONTH(A229,0))/2-1</f>
        <v>#VALUE!</v>
      </c>
      <c r="AK229" s="209" t="str">
        <f aca="false">IF($A230="","",$A229-$E$1)</f>
        <v/>
      </c>
      <c r="AL229" s="182" t="str">
        <f aca="false">IF($A230="","",SPRDOPT(P229,X229,AI229,0,AB229,AE229,AF229,AK229,$AJ$2,0))</f>
        <v/>
      </c>
      <c r="AM229" s="210" t="str">
        <f aca="false">IF($A230="","",MAX(0,O229-W229-AI229))</f>
        <v/>
      </c>
      <c r="AN229" s="211" t="str">
        <f aca="false">IF($A230="","",AL229-AM229)</f>
        <v/>
      </c>
      <c r="AO229" s="137" t="str">
        <f aca="false">IF(A230="","",A230-A229)</f>
        <v/>
      </c>
      <c r="AP229" s="212" t="str">
        <f aca="false">IF(A230="","",CHOOSE(F$3,A230+24,A229))</f>
        <v/>
      </c>
      <c r="AQ229" s="209" t="str">
        <f aca="false">IF(A230="","",AP229-$E$1)</f>
        <v/>
      </c>
      <c r="AR229" s="185" t="n">
        <f aca="false">'ANR OK vs ML7'!AR229</f>
        <v>0.1</v>
      </c>
      <c r="AS229" s="213" t="str">
        <f aca="false">IF(A230="","",1/(1+CHOOSE(F$3,(AR230+($I$3/10000))/2,(AR229+($I$3/10000))/2))^(2*AQ229/365.25))</f>
        <v/>
      </c>
      <c r="AT229" s="137" t="str">
        <f aca="false">IF(A230="","",IF(AND(mthbeg&lt;=A229,mthend&gt;=A229),1,0))</f>
        <v/>
      </c>
      <c r="AU229" s="137" t="str">
        <f aca="false">IF(A230="","",AO229*AT229)</f>
        <v/>
      </c>
      <c r="AW229" s="195" t="str">
        <f aca="false">IF($A230="","",AL229*$E229)</f>
        <v/>
      </c>
      <c r="AX229" s="195" t="str">
        <f aca="false">IF($A230="","",AM229*$E229)</f>
        <v/>
      </c>
      <c r="AY229" s="195" t="str">
        <f aca="false">IF($A230="","",AN229*$E229)</f>
        <v/>
      </c>
      <c r="BA229" s="195" t="str">
        <f aca="false">IF($A230="","",F229*Summary!$Q$11)</f>
        <v/>
      </c>
    </row>
    <row r="230" customFormat="false" ht="12" hidden="false" customHeight="true" outlineLevel="0" collapsed="false">
      <c r="A230" s="196" t="str">
        <f aca="false">IF(A229&lt;mthend,EDATE(A229,1),"")</f>
        <v/>
      </c>
      <c r="B230" s="197" t="str">
        <f aca="false">IF(A230&lt;mthend,B229,"")</f>
        <v/>
      </c>
      <c r="C230" s="215"/>
      <c r="D230" s="197" t="str">
        <f aca="false">IF(A231&lt;&gt;"",B230+C230,"")</f>
        <v/>
      </c>
      <c r="E230" s="199" t="str">
        <f aca="false">IF(A231="","",IF(AND(AT230=1,$H$3=1),D230*AO230,IF($H$3=2,D230,"N/A")))</f>
        <v/>
      </c>
      <c r="F230" s="199" t="str">
        <f aca="false">IF(A231="","",E230*AS230)</f>
        <v/>
      </c>
      <c r="G230" s="200" t="str">
        <f aca="false">IF($A231="","",VLOOKUP($A230,Table,MATCH(G$4,Curves,0)))</f>
        <v/>
      </c>
      <c r="H230" s="201" t="str">
        <f aca="false">IF(A231="","",G230)</f>
        <v/>
      </c>
      <c r="I230" s="202"/>
      <c r="J230" s="200" t="str">
        <f aca="false">IF($A231="","",VLOOKUP($A230,Table,MATCH(J$4,Curves,0)))</f>
        <v/>
      </c>
      <c r="K230" s="201" t="str">
        <f aca="false">IF(A231="","",J230)</f>
        <v/>
      </c>
      <c r="L230" s="200" t="str">
        <f aca="false">IF($A231="","",VLOOKUP($A230,Table,MATCH(L$4,Curves,0)))</f>
        <v/>
      </c>
      <c r="M230" s="201" t="str">
        <f aca="false">IF(A231="","",L230)</f>
        <v/>
      </c>
      <c r="N230" s="203"/>
      <c r="O230" s="200" t="str">
        <f aca="false">IF(A231="","",L230+J230+G230)</f>
        <v/>
      </c>
      <c r="P230" s="200" t="str">
        <f aca="false">IF(A231="","",M230+K230+H230)</f>
        <v/>
      </c>
      <c r="Q230" s="204"/>
      <c r="R230" s="200" t="str">
        <f aca="false">IF($A231="","",VLOOKUP($A230,Table,MATCH(R$4,Curves,0)))</f>
        <v/>
      </c>
      <c r="S230" s="201" t="str">
        <f aca="false">IF(A231="","",R230)</f>
        <v/>
      </c>
      <c r="T230" s="185" t="n">
        <v>0</v>
      </c>
      <c r="U230" s="201" t="str">
        <f aca="false">IF(A231="","",T230)</f>
        <v/>
      </c>
      <c r="V230" s="205" t="str">
        <f aca="false">IF($A231="","",IF(AND(MONTH(A230)&gt;3,MONTH(A230)&lt;11),(T230+R230+G230)*Summary!$T$11/(1-Summary!$T$11),(T230+R230+G230)*Summary!$U$11/(1-Summary!$U$11)))</f>
        <v/>
      </c>
      <c r="W230" s="202" t="str">
        <f aca="false">IF($A231="","",(T230+R230+G230+V230))</f>
        <v/>
      </c>
      <c r="X230" s="202" t="str">
        <f aca="false">IF($A231="","",(U230+S230+H230+V230))</f>
        <v/>
      </c>
      <c r="Y230" s="202"/>
      <c r="Z230" s="185" t="str">
        <f aca="false">IF($A231="","",VLOOKUP($A230,Table,MATCH(Z$4,Curves,0)))</f>
        <v/>
      </c>
      <c r="AA230" s="185" t="str">
        <f aca="false">IF($A231="","",VLOOKUP($A230,Table,MATCH(AA$4,Curves,0)))</f>
        <v/>
      </c>
      <c r="AB230" s="185" t="e">
        <f aca="false">SQRT((AA230^2*(A230-$D$3)+Z230^2*(DAY(EOMONTH(A230,0))/2))/AK230)</f>
        <v>#VALUE!</v>
      </c>
      <c r="AC230" s="185" t="str">
        <f aca="false">IF($A231="","",VLOOKUP($A230,Table,MATCH(AC$4,Curves,0)))</f>
        <v/>
      </c>
      <c r="AD230" s="185" t="str">
        <f aca="false">IF($A231="","",VLOOKUP($A230,Table,MATCH(AD$4,Curves,0)))</f>
        <v/>
      </c>
      <c r="AE230" s="185" t="e">
        <f aca="false">SQRT((AD230^2*(A230-$D$3)+AC230^2*(DAY(EOMONTH(A230,0))/2))/AK230)</f>
        <v>#VALUE!</v>
      </c>
      <c r="AF230" s="206" t="e">
        <f aca="false">((Summary!$N$11*(AA230*AD230)*(A230-$D$3))+(Summary!$M$11*Z230*AC230*(AJ230-EOMONTH(EDATE(A230,-1),0))))/(AK230*AB230*AE230)</f>
        <v>#VALUE!</v>
      </c>
      <c r="AG230" s="207" t="str">
        <f aca="false">IF($A231="","",Summary!$Q$11)</f>
        <v/>
      </c>
      <c r="AH230" s="207" t="str">
        <f aca="false">IF($A231="","",IF(Summary!$R$11="Y",(VLOOKUP($A230,Summary!$AD$6:$AF$9,3)+'Escalating commodity'!G243),'Escalating commodity'!G243))</f>
        <v/>
      </c>
      <c r="AI230" s="207" t="str">
        <f aca="false">IF($A231="","",AH230)</f>
        <v/>
      </c>
      <c r="AJ230" s="208" t="e">
        <f aca="false">A230+DAY(EOMONTH(A230,0))/2-1</f>
        <v>#VALUE!</v>
      </c>
      <c r="AK230" s="209" t="str">
        <f aca="false">IF($A231="","",$A230-$E$1)</f>
        <v/>
      </c>
      <c r="AL230" s="182" t="str">
        <f aca="false">IF($A231="","",SPRDOPT(P230,X230,AI230,0,AB230,AE230,AF230,AK230,$AJ$2,0))</f>
        <v/>
      </c>
      <c r="AM230" s="210" t="str">
        <f aca="false">IF($A231="","",MAX(0,O230-W230-AI230))</f>
        <v/>
      </c>
      <c r="AN230" s="211" t="str">
        <f aca="false">IF($A231="","",AL230-AM230)</f>
        <v/>
      </c>
      <c r="AO230" s="137" t="str">
        <f aca="false">IF(A231="","",A231-A230)</f>
        <v/>
      </c>
      <c r="AP230" s="212" t="str">
        <f aca="false">IF(A231="","",CHOOSE(F$3,A231+24,A230))</f>
        <v/>
      </c>
      <c r="AQ230" s="209" t="str">
        <f aca="false">IF(A231="","",AP230-$E$1)</f>
        <v/>
      </c>
      <c r="AR230" s="185" t="n">
        <f aca="false">'ANR OK vs ML7'!AR230</f>
        <v>0.1</v>
      </c>
      <c r="AS230" s="213" t="str">
        <f aca="false">IF(A231="","",1/(1+CHOOSE(F$3,(AR231+($I$3/10000))/2,(AR230+($I$3/10000))/2))^(2*AQ230/365.25))</f>
        <v/>
      </c>
      <c r="AT230" s="137" t="str">
        <f aca="false">IF(A231="","",IF(AND(mthbeg&lt;=A230,mthend&gt;=A230),1,0))</f>
        <v/>
      </c>
      <c r="AU230" s="137" t="str">
        <f aca="false">IF(A231="","",AO230*AT230)</f>
        <v/>
      </c>
      <c r="AW230" s="195" t="str">
        <f aca="false">IF($A231="","",AL230*$E230)</f>
        <v/>
      </c>
      <c r="AX230" s="195" t="str">
        <f aca="false">IF($A231="","",AM230*$E230)</f>
        <v/>
      </c>
      <c r="AY230" s="195" t="str">
        <f aca="false">IF($A231="","",AN230*$E230)</f>
        <v/>
      </c>
      <c r="BA230" s="195" t="str">
        <f aca="false">IF($A231="","",F230*Summary!$Q$11)</f>
        <v/>
      </c>
    </row>
    <row r="231" customFormat="false" ht="12" hidden="false" customHeight="true" outlineLevel="0" collapsed="false">
      <c r="A231" s="196" t="str">
        <f aca="false">IF(A230&lt;mthend,EDATE(A230,1),"")</f>
        <v/>
      </c>
      <c r="B231" s="197" t="str">
        <f aca="false">IF(A231&lt;mthend,B230,"")</f>
        <v/>
      </c>
      <c r="C231" s="215"/>
      <c r="D231" s="197" t="str">
        <f aca="false">IF(A232&lt;&gt;"",B231+C231,"")</f>
        <v/>
      </c>
      <c r="E231" s="199" t="str">
        <f aca="false">IF(A232="","",IF(AND(AT231=1,$H$3=1),D231*AO231,IF($H$3=2,D231,"N/A")))</f>
        <v/>
      </c>
      <c r="F231" s="199" t="str">
        <f aca="false">IF(A232="","",E231*AS231)</f>
        <v/>
      </c>
      <c r="G231" s="200" t="str">
        <f aca="false">IF($A232="","",VLOOKUP($A231,Table,MATCH(G$4,Curves,0)))</f>
        <v/>
      </c>
      <c r="H231" s="201" t="str">
        <f aca="false">IF(A232="","",G231)</f>
        <v/>
      </c>
      <c r="I231" s="202"/>
      <c r="J231" s="200" t="str">
        <f aca="false">IF($A232="","",VLOOKUP($A231,Table,MATCH(J$4,Curves,0)))</f>
        <v/>
      </c>
      <c r="K231" s="201" t="str">
        <f aca="false">IF(A232="","",J231)</f>
        <v/>
      </c>
      <c r="L231" s="200" t="str">
        <f aca="false">IF($A232="","",VLOOKUP($A231,Table,MATCH(L$4,Curves,0)))</f>
        <v/>
      </c>
      <c r="M231" s="201" t="str">
        <f aca="false">IF(A232="","",L231)</f>
        <v/>
      </c>
      <c r="N231" s="203"/>
      <c r="O231" s="200" t="str">
        <f aca="false">IF(A232="","",L231+J231+G231)</f>
        <v/>
      </c>
      <c r="P231" s="200" t="str">
        <f aca="false">IF(A232="","",M231+K231+H231)</f>
        <v/>
      </c>
      <c r="Q231" s="204"/>
      <c r="R231" s="200" t="str">
        <f aca="false">IF($A232="","",VLOOKUP($A231,Table,MATCH(R$4,Curves,0)))</f>
        <v/>
      </c>
      <c r="S231" s="201" t="str">
        <f aca="false">IF(A232="","",R231)</f>
        <v/>
      </c>
      <c r="T231" s="185" t="n">
        <v>0</v>
      </c>
      <c r="U231" s="201" t="str">
        <f aca="false">IF(A232="","",T231)</f>
        <v/>
      </c>
      <c r="V231" s="205" t="str">
        <f aca="false">IF($A232="","",IF(AND(MONTH(A231)&gt;3,MONTH(A231)&lt;11),(T231+R231+G231)*Summary!$T$11/(1-Summary!$T$11),(T231+R231+G231)*Summary!$U$11/(1-Summary!$U$11)))</f>
        <v/>
      </c>
      <c r="W231" s="202" t="str">
        <f aca="false">IF($A232="","",(T231+R231+G231+V231))</f>
        <v/>
      </c>
      <c r="X231" s="202" t="str">
        <f aca="false">IF($A232="","",(U231+S231+H231+V231))</f>
        <v/>
      </c>
      <c r="Y231" s="202"/>
      <c r="Z231" s="185" t="str">
        <f aca="false">IF($A232="","",VLOOKUP($A231,Table,MATCH(Z$4,Curves,0)))</f>
        <v/>
      </c>
      <c r="AA231" s="185" t="str">
        <f aca="false">IF($A232="","",VLOOKUP($A231,Table,MATCH(AA$4,Curves,0)))</f>
        <v/>
      </c>
      <c r="AB231" s="185" t="e">
        <f aca="false">SQRT((AA231^2*(A231-$D$3)+Z231^2*(DAY(EOMONTH(A231,0))/2))/AK231)</f>
        <v>#VALUE!</v>
      </c>
      <c r="AC231" s="185" t="str">
        <f aca="false">IF($A232="","",VLOOKUP($A231,Table,MATCH(AC$4,Curves,0)))</f>
        <v/>
      </c>
      <c r="AD231" s="185" t="str">
        <f aca="false">IF($A232="","",VLOOKUP($A231,Table,MATCH(AD$4,Curves,0)))</f>
        <v/>
      </c>
      <c r="AE231" s="185" t="e">
        <f aca="false">SQRT((AD231^2*(A231-$D$3)+AC231^2*(DAY(EOMONTH(A231,0))/2))/AK231)</f>
        <v>#VALUE!</v>
      </c>
      <c r="AF231" s="206" t="e">
        <f aca="false">((Summary!$N$11*(AA231*AD231)*(A231-$D$3))+(Summary!$M$11*Z231*AC231*(AJ231-EOMONTH(EDATE(A231,-1),0))))/(AK231*AB231*AE231)</f>
        <v>#VALUE!</v>
      </c>
      <c r="AG231" s="207" t="str">
        <f aca="false">IF($A232="","",Summary!$Q$11)</f>
        <v/>
      </c>
      <c r="AH231" s="207" t="str">
        <f aca="false">IF($A232="","",IF(Summary!$R$11="Y",(VLOOKUP($A231,Summary!$AD$6:$AF$9,3)+'Escalating commodity'!G244),'Escalating commodity'!G244))</f>
        <v/>
      </c>
      <c r="AI231" s="207" t="str">
        <f aca="false">IF($A232="","",AH231)</f>
        <v/>
      </c>
      <c r="AJ231" s="208" t="e">
        <f aca="false">A231+DAY(EOMONTH(A231,0))/2-1</f>
        <v>#VALUE!</v>
      </c>
      <c r="AK231" s="209" t="str">
        <f aca="false">IF($A232="","",$A231-$E$1)</f>
        <v/>
      </c>
      <c r="AL231" s="182" t="str">
        <f aca="false">IF($A232="","",SPRDOPT(P231,X231,AI231,0,AB231,AE231,AF231,AK231,$AJ$2,0))</f>
        <v/>
      </c>
      <c r="AM231" s="210" t="str">
        <f aca="false">IF($A232="","",MAX(0,O231-W231-AI231))</f>
        <v/>
      </c>
      <c r="AN231" s="211" t="str">
        <f aca="false">IF($A232="","",AL231-AM231)</f>
        <v/>
      </c>
      <c r="AO231" s="137" t="str">
        <f aca="false">IF(A232="","",A232-A231)</f>
        <v/>
      </c>
      <c r="AP231" s="212" t="str">
        <f aca="false">IF(A232="","",CHOOSE(F$3,A232+24,A231))</f>
        <v/>
      </c>
      <c r="AQ231" s="209" t="str">
        <f aca="false">IF(A232="","",AP231-$E$1)</f>
        <v/>
      </c>
      <c r="AR231" s="185" t="n">
        <f aca="false">'ANR OK vs ML7'!AR231</f>
        <v>0.1</v>
      </c>
      <c r="AS231" s="213" t="str">
        <f aca="false">IF(A232="","",1/(1+CHOOSE(F$3,(AR232+($I$3/10000))/2,(AR231+($I$3/10000))/2))^(2*AQ231/365.25))</f>
        <v/>
      </c>
      <c r="AT231" s="137" t="str">
        <f aca="false">IF(A232="","",IF(AND(mthbeg&lt;=A231,mthend&gt;=A231),1,0))</f>
        <v/>
      </c>
      <c r="AU231" s="137" t="str">
        <f aca="false">IF(A232="","",AO231*AT231)</f>
        <v/>
      </c>
      <c r="AW231" s="195" t="str">
        <f aca="false">IF($A232="","",AL231*$E231)</f>
        <v/>
      </c>
      <c r="AX231" s="195" t="str">
        <f aca="false">IF($A232="","",AM231*$E231)</f>
        <v/>
      </c>
      <c r="AY231" s="195" t="str">
        <f aca="false">IF($A232="","",AN231*$E231)</f>
        <v/>
      </c>
      <c r="BA231" s="195" t="str">
        <f aca="false">IF($A232="","",F231*Summary!$Q$11)</f>
        <v/>
      </c>
    </row>
    <row r="232" customFormat="false" ht="12" hidden="false" customHeight="true" outlineLevel="0" collapsed="false">
      <c r="A232" s="196" t="str">
        <f aca="false">IF(A231&lt;mthend,EDATE(A231,1),"")</f>
        <v/>
      </c>
      <c r="B232" s="197" t="str">
        <f aca="false">IF(A232&lt;mthend,B231,"")</f>
        <v/>
      </c>
      <c r="C232" s="215"/>
      <c r="D232" s="197" t="str">
        <f aca="false">IF(A233&lt;&gt;"",B232+C232,"")</f>
        <v/>
      </c>
      <c r="E232" s="199" t="str">
        <f aca="false">IF(A233="","",IF(AND(AT232=1,$H$3=1),D232*AO232,IF($H$3=2,D232,"N/A")))</f>
        <v/>
      </c>
      <c r="F232" s="199" t="str">
        <f aca="false">IF(A233="","",E232*AS232)</f>
        <v/>
      </c>
      <c r="G232" s="200" t="str">
        <f aca="false">IF($A233="","",VLOOKUP($A232,Table,MATCH(G$4,Curves,0)))</f>
        <v/>
      </c>
      <c r="H232" s="201" t="str">
        <f aca="false">IF(A233="","",G232)</f>
        <v/>
      </c>
      <c r="I232" s="202"/>
      <c r="J232" s="200" t="str">
        <f aca="false">IF($A233="","",VLOOKUP($A232,Table,MATCH(J$4,Curves,0)))</f>
        <v/>
      </c>
      <c r="K232" s="201" t="str">
        <f aca="false">IF(A233="","",J232)</f>
        <v/>
      </c>
      <c r="L232" s="200" t="str">
        <f aca="false">IF($A233="","",VLOOKUP($A232,Table,MATCH(L$4,Curves,0)))</f>
        <v/>
      </c>
      <c r="M232" s="201" t="str">
        <f aca="false">IF(A233="","",L232)</f>
        <v/>
      </c>
      <c r="N232" s="203"/>
      <c r="O232" s="200" t="str">
        <f aca="false">IF(A233="","",L232+J232+G232)</f>
        <v/>
      </c>
      <c r="P232" s="200" t="str">
        <f aca="false">IF(A233="","",M232+K232+H232)</f>
        <v/>
      </c>
      <c r="Q232" s="204"/>
      <c r="R232" s="200" t="str">
        <f aca="false">IF($A233="","",VLOOKUP($A232,Table,MATCH(R$4,Curves,0)))</f>
        <v/>
      </c>
      <c r="S232" s="201" t="str">
        <f aca="false">IF(A233="","",R232)</f>
        <v/>
      </c>
      <c r="T232" s="185" t="n">
        <v>0</v>
      </c>
      <c r="U232" s="201" t="str">
        <f aca="false">IF(A233="","",T232)</f>
        <v/>
      </c>
      <c r="V232" s="205" t="str">
        <f aca="false">IF($A233="","",IF(AND(MONTH(A232)&gt;3,MONTH(A232)&lt;11),(T232+R232+G232)*Summary!$T$11/(1-Summary!$T$11),(T232+R232+G232)*Summary!$U$11/(1-Summary!$U$11)))</f>
        <v/>
      </c>
      <c r="W232" s="202" t="str">
        <f aca="false">IF($A233="","",(T232+R232+G232+V232))</f>
        <v/>
      </c>
      <c r="X232" s="202" t="str">
        <f aca="false">IF($A233="","",(U232+S232+H232+V232))</f>
        <v/>
      </c>
      <c r="Y232" s="202"/>
      <c r="Z232" s="185" t="str">
        <f aca="false">IF($A233="","",VLOOKUP($A232,Table,MATCH(Z$4,Curves,0)))</f>
        <v/>
      </c>
      <c r="AA232" s="185" t="str">
        <f aca="false">IF($A233="","",VLOOKUP($A232,Table,MATCH(AA$4,Curves,0)))</f>
        <v/>
      </c>
      <c r="AB232" s="185" t="e">
        <f aca="false">SQRT((AA232^2*(A232-$D$3)+Z232^2*(DAY(EOMONTH(A232,0))/2))/AK232)</f>
        <v>#VALUE!</v>
      </c>
      <c r="AC232" s="185" t="str">
        <f aca="false">IF($A233="","",VLOOKUP($A232,Table,MATCH(AC$4,Curves,0)))</f>
        <v/>
      </c>
      <c r="AD232" s="185" t="str">
        <f aca="false">IF($A233="","",VLOOKUP($A232,Table,MATCH(AD$4,Curves,0)))</f>
        <v/>
      </c>
      <c r="AE232" s="185" t="e">
        <f aca="false">SQRT((AD232^2*(A232-$D$3)+AC232^2*(DAY(EOMONTH(A232,0))/2))/AK232)</f>
        <v>#VALUE!</v>
      </c>
      <c r="AF232" s="206" t="e">
        <f aca="false">((Summary!$N$11*(AA232*AD232)*(A232-$D$3))+(Summary!$M$11*Z232*AC232*(AJ232-EOMONTH(EDATE(A232,-1),0))))/(AK232*AB232*AE232)</f>
        <v>#VALUE!</v>
      </c>
      <c r="AG232" s="207" t="str">
        <f aca="false">IF($A233="","",Summary!$Q$11)</f>
        <v/>
      </c>
      <c r="AH232" s="207" t="str">
        <f aca="false">IF($A233="","",IF(Summary!$R$11="Y",(VLOOKUP($A232,Summary!$AD$6:$AF$9,3)+'Escalating commodity'!G245),'Escalating commodity'!G245))</f>
        <v/>
      </c>
      <c r="AI232" s="207" t="str">
        <f aca="false">IF($A233="","",AH232)</f>
        <v/>
      </c>
      <c r="AJ232" s="208" t="e">
        <f aca="false">A232+DAY(EOMONTH(A232,0))/2-1</f>
        <v>#VALUE!</v>
      </c>
      <c r="AK232" s="209" t="str">
        <f aca="false">IF($A233="","",$A232-$E$1)</f>
        <v/>
      </c>
      <c r="AL232" s="182" t="str">
        <f aca="false">IF($A233="","",SPRDOPT(P232,X232,AI232,0,AB232,AE232,AF232,AK232,$AJ$2,0))</f>
        <v/>
      </c>
      <c r="AM232" s="210" t="str">
        <f aca="false">IF($A233="","",MAX(0,O232-W232-AI232))</f>
        <v/>
      </c>
      <c r="AN232" s="211" t="str">
        <f aca="false">IF($A233="","",AL232-AM232)</f>
        <v/>
      </c>
      <c r="AO232" s="137" t="str">
        <f aca="false">IF(A233="","",A233-A232)</f>
        <v/>
      </c>
      <c r="AP232" s="212" t="str">
        <f aca="false">IF(A233="","",CHOOSE(F$3,A233+24,A232))</f>
        <v/>
      </c>
      <c r="AQ232" s="209" t="str">
        <f aca="false">IF(A233="","",AP232-$E$1)</f>
        <v/>
      </c>
      <c r="AR232" s="185" t="n">
        <f aca="false">'ANR OK vs ML7'!AR232</f>
        <v>0.1</v>
      </c>
      <c r="AS232" s="213" t="str">
        <f aca="false">IF(A233="","",1/(1+CHOOSE(F$3,(AR233+($I$3/10000))/2,(AR232+($I$3/10000))/2))^(2*AQ232/365.25))</f>
        <v/>
      </c>
      <c r="AT232" s="137" t="str">
        <f aca="false">IF(A233="","",IF(AND(mthbeg&lt;=A232,mthend&gt;=A232),1,0))</f>
        <v/>
      </c>
      <c r="AU232" s="137" t="str">
        <f aca="false">IF(A233="","",AO232*AT232)</f>
        <v/>
      </c>
      <c r="AW232" s="195" t="str">
        <f aca="false">IF($A233="","",AL232*$E232)</f>
        <v/>
      </c>
      <c r="AX232" s="195" t="str">
        <f aca="false">IF($A233="","",AM232*$E232)</f>
        <v/>
      </c>
      <c r="AY232" s="195" t="str">
        <f aca="false">IF($A233="","",AN232*$E232)</f>
        <v/>
      </c>
      <c r="BA232" s="195" t="str">
        <f aca="false">IF($A233="","",F232*Summary!$Q$11)</f>
        <v/>
      </c>
    </row>
    <row r="233" customFormat="false" ht="12" hidden="false" customHeight="true" outlineLevel="0" collapsed="false">
      <c r="A233" s="196" t="str">
        <f aca="false">IF(A232&lt;mthend,EDATE(A232,1),"")</f>
        <v/>
      </c>
      <c r="B233" s="197" t="str">
        <f aca="false">IF(A233&lt;mthend,B232,"")</f>
        <v/>
      </c>
      <c r="C233" s="215"/>
      <c r="D233" s="197" t="str">
        <f aca="false">IF(A234&lt;&gt;"",B233+C233,"")</f>
        <v/>
      </c>
      <c r="E233" s="199" t="str">
        <f aca="false">IF(A234="","",IF(AND(AT233=1,$H$3=1),D233*AO233,IF($H$3=2,D233,"N/A")))</f>
        <v/>
      </c>
      <c r="F233" s="199" t="str">
        <f aca="false">IF(A234="","",E233*AS233)</f>
        <v/>
      </c>
      <c r="G233" s="200" t="str">
        <f aca="false">IF($A234="","",VLOOKUP($A233,Table,MATCH(G$4,Curves,0)))</f>
        <v/>
      </c>
      <c r="H233" s="201" t="str">
        <f aca="false">IF(A234="","",G233)</f>
        <v/>
      </c>
      <c r="I233" s="202"/>
      <c r="J233" s="200" t="str">
        <f aca="false">IF($A234="","",VLOOKUP($A233,Table,MATCH(J$4,Curves,0)))</f>
        <v/>
      </c>
      <c r="K233" s="201" t="str">
        <f aca="false">IF(A234="","",J233)</f>
        <v/>
      </c>
      <c r="L233" s="200" t="str">
        <f aca="false">IF($A234="","",VLOOKUP($A233,Table,MATCH(L$4,Curves,0)))</f>
        <v/>
      </c>
      <c r="M233" s="201" t="str">
        <f aca="false">IF(A234="","",L233)</f>
        <v/>
      </c>
      <c r="N233" s="203"/>
      <c r="O233" s="200" t="str">
        <f aca="false">IF(A234="","",L233+J233+G233)</f>
        <v/>
      </c>
      <c r="P233" s="200" t="str">
        <f aca="false">IF(A234="","",M233+K233+H233)</f>
        <v/>
      </c>
      <c r="Q233" s="204"/>
      <c r="R233" s="200" t="str">
        <f aca="false">IF($A234="","",VLOOKUP($A233,Table,MATCH(R$4,Curves,0)))</f>
        <v/>
      </c>
      <c r="S233" s="201" t="str">
        <f aca="false">IF(A234="","",R233)</f>
        <v/>
      </c>
      <c r="T233" s="185" t="n">
        <v>0</v>
      </c>
      <c r="U233" s="201" t="str">
        <f aca="false">IF(A234="","",T233)</f>
        <v/>
      </c>
      <c r="V233" s="205" t="str">
        <f aca="false">IF($A234="","",IF(AND(MONTH(A233)&gt;3,MONTH(A233)&lt;11),(T233+R233+G233)*Summary!$T$11/(1-Summary!$T$11),(T233+R233+G233)*Summary!$U$11/(1-Summary!$U$11)))</f>
        <v/>
      </c>
      <c r="W233" s="202" t="str">
        <f aca="false">IF($A234="","",(T233+R233+G233+V233))</f>
        <v/>
      </c>
      <c r="X233" s="202" t="str">
        <f aca="false">IF($A234="","",(U233+S233+H233+V233))</f>
        <v/>
      </c>
      <c r="Y233" s="202"/>
      <c r="Z233" s="185" t="str">
        <f aca="false">IF($A234="","",VLOOKUP($A233,Table,MATCH(Z$4,Curves,0)))</f>
        <v/>
      </c>
      <c r="AA233" s="185" t="str">
        <f aca="false">IF($A234="","",VLOOKUP($A233,Table,MATCH(AA$4,Curves,0)))</f>
        <v/>
      </c>
      <c r="AB233" s="185" t="e">
        <f aca="false">SQRT((AA233^2*(A233-$D$3)+Z233^2*(DAY(EOMONTH(A233,0))/2))/AK233)</f>
        <v>#VALUE!</v>
      </c>
      <c r="AC233" s="185" t="str">
        <f aca="false">IF($A234="","",VLOOKUP($A233,Table,MATCH(AC$4,Curves,0)))</f>
        <v/>
      </c>
      <c r="AD233" s="185" t="str">
        <f aca="false">IF($A234="","",VLOOKUP($A233,Table,MATCH(AD$4,Curves,0)))</f>
        <v/>
      </c>
      <c r="AE233" s="185" t="e">
        <f aca="false">SQRT((AD233^2*(A233-$D$3)+AC233^2*(DAY(EOMONTH(A233,0))/2))/AK233)</f>
        <v>#VALUE!</v>
      </c>
      <c r="AF233" s="206" t="e">
        <f aca="false">((Summary!$N$11*(AA233*AD233)*(A233-$D$3))+(Summary!$M$11*Z233*AC233*(AJ233-EOMONTH(EDATE(A233,-1),0))))/(AK233*AB233*AE233)</f>
        <v>#VALUE!</v>
      </c>
      <c r="AG233" s="207" t="str">
        <f aca="false">IF($A234="","",Summary!$Q$11)</f>
        <v/>
      </c>
      <c r="AH233" s="207" t="str">
        <f aca="false">IF($A234="","",IF(Summary!$R$11="Y",(VLOOKUP($A233,Summary!$AD$6:$AF$9,3)+'Escalating commodity'!G246),'Escalating commodity'!G246))</f>
        <v/>
      </c>
      <c r="AI233" s="207" t="str">
        <f aca="false">IF($A234="","",AH233)</f>
        <v/>
      </c>
      <c r="AJ233" s="208" t="e">
        <f aca="false">A233+DAY(EOMONTH(A233,0))/2-1</f>
        <v>#VALUE!</v>
      </c>
      <c r="AK233" s="209" t="str">
        <f aca="false">IF($A234="","",$A233-$E$1)</f>
        <v/>
      </c>
      <c r="AL233" s="182" t="str">
        <f aca="false">IF($A234="","",SPRDOPT(P233,X233,AI233,0,AB233,AE233,AF233,AK233,$AJ$2,0))</f>
        <v/>
      </c>
      <c r="AM233" s="210" t="str">
        <f aca="false">IF($A234="","",MAX(0,O233-W233-AI233))</f>
        <v/>
      </c>
      <c r="AN233" s="211" t="str">
        <f aca="false">IF($A234="","",AL233-AM233)</f>
        <v/>
      </c>
      <c r="AO233" s="137" t="str">
        <f aca="false">IF(A234="","",A234-A233)</f>
        <v/>
      </c>
      <c r="AP233" s="212" t="str">
        <f aca="false">IF(A234="","",CHOOSE(F$3,A234+24,A233))</f>
        <v/>
      </c>
      <c r="AQ233" s="209" t="str">
        <f aca="false">IF(A234="","",AP233-$E$1)</f>
        <v/>
      </c>
      <c r="AR233" s="185" t="n">
        <f aca="false">'ANR OK vs ML7'!AR233</f>
        <v>0.1</v>
      </c>
      <c r="AS233" s="213" t="str">
        <f aca="false">IF(A234="","",1/(1+CHOOSE(F$3,(AR234+($I$3/10000))/2,(AR233+($I$3/10000))/2))^(2*AQ233/365.25))</f>
        <v/>
      </c>
      <c r="AT233" s="137" t="str">
        <f aca="false">IF(A234="","",IF(AND(mthbeg&lt;=A233,mthend&gt;=A233),1,0))</f>
        <v/>
      </c>
      <c r="AU233" s="137" t="str">
        <f aca="false">IF(A234="","",AO233*AT233)</f>
        <v/>
      </c>
      <c r="AW233" s="195" t="str">
        <f aca="false">IF($A234="","",AL233*$E233)</f>
        <v/>
      </c>
      <c r="AX233" s="195" t="str">
        <f aca="false">IF($A234="","",AM233*$E233)</f>
        <v/>
      </c>
      <c r="AY233" s="195" t="str">
        <f aca="false">IF($A234="","",AN233*$E233)</f>
        <v/>
      </c>
      <c r="BA233" s="195" t="str">
        <f aca="false">IF($A234="","",F233*Summary!$Q$11)</f>
        <v/>
      </c>
    </row>
    <row r="234" customFormat="false" ht="12" hidden="false" customHeight="true" outlineLevel="0" collapsed="false">
      <c r="A234" s="196" t="str">
        <f aca="false">IF(A233&lt;mthend,EDATE(A233,1),"")</f>
        <v/>
      </c>
      <c r="B234" s="197" t="str">
        <f aca="false">IF(A234&lt;mthend,B233,"")</f>
        <v/>
      </c>
      <c r="C234" s="215"/>
      <c r="D234" s="197" t="str">
        <f aca="false">IF(A235&lt;&gt;"",B234+C234,"")</f>
        <v/>
      </c>
      <c r="E234" s="199" t="str">
        <f aca="false">IF(A235="","",IF(AND(AT234=1,$H$3=1),D234*AO234,IF($H$3=2,D234,"N/A")))</f>
        <v/>
      </c>
      <c r="F234" s="199" t="str">
        <f aca="false">IF(A235="","",E234*AS234)</f>
        <v/>
      </c>
      <c r="G234" s="200" t="str">
        <f aca="false">IF($A235="","",VLOOKUP($A234,Table,MATCH(G$4,Curves,0)))</f>
        <v/>
      </c>
      <c r="H234" s="201" t="str">
        <f aca="false">IF(A235="","",G234)</f>
        <v/>
      </c>
      <c r="I234" s="202"/>
      <c r="J234" s="200" t="str">
        <f aca="false">IF($A235="","",VLOOKUP($A234,Table,MATCH(J$4,Curves,0)))</f>
        <v/>
      </c>
      <c r="K234" s="201" t="str">
        <f aca="false">IF(A235="","",J234)</f>
        <v/>
      </c>
      <c r="L234" s="200" t="str">
        <f aca="false">IF($A235="","",VLOOKUP($A234,Table,MATCH(L$4,Curves,0)))</f>
        <v/>
      </c>
      <c r="M234" s="201" t="str">
        <f aca="false">IF(A235="","",L234)</f>
        <v/>
      </c>
      <c r="N234" s="203"/>
      <c r="O234" s="200" t="str">
        <f aca="false">IF(A235="","",L234+J234+G234)</f>
        <v/>
      </c>
      <c r="P234" s="200" t="str">
        <f aca="false">IF(A235="","",M234+K234+H234)</f>
        <v/>
      </c>
      <c r="Q234" s="204"/>
      <c r="R234" s="200" t="str">
        <f aca="false">IF($A235="","",VLOOKUP($A234,Table,MATCH(R$4,Curves,0)))</f>
        <v/>
      </c>
      <c r="S234" s="201" t="str">
        <f aca="false">IF(A235="","",R234)</f>
        <v/>
      </c>
      <c r="T234" s="185" t="n">
        <v>0</v>
      </c>
      <c r="U234" s="201" t="str">
        <f aca="false">IF(A235="","",T234)</f>
        <v/>
      </c>
      <c r="V234" s="205" t="str">
        <f aca="false">IF($A235="","",IF(AND(MONTH(A234)&gt;3,MONTH(A234)&lt;11),(T234+R234+G234)*Summary!$T$11/(1-Summary!$T$11),(T234+R234+G234)*Summary!$U$11/(1-Summary!$U$11)))</f>
        <v/>
      </c>
      <c r="W234" s="202" t="str">
        <f aca="false">IF($A235="","",(T234+R234+G234+V234))</f>
        <v/>
      </c>
      <c r="X234" s="202" t="str">
        <f aca="false">IF($A235="","",(U234+S234+H234+V234))</f>
        <v/>
      </c>
      <c r="Y234" s="202"/>
      <c r="Z234" s="185" t="str">
        <f aca="false">IF($A235="","",VLOOKUP($A234,Table,MATCH(Z$4,Curves,0)))</f>
        <v/>
      </c>
      <c r="AA234" s="185" t="str">
        <f aca="false">IF($A235="","",VLOOKUP($A234,Table,MATCH(AA$4,Curves,0)))</f>
        <v/>
      </c>
      <c r="AB234" s="185" t="e">
        <f aca="false">SQRT((AA234^2*(A234-$D$3)+Z234^2*(DAY(EOMONTH(A234,0))/2))/AK234)</f>
        <v>#VALUE!</v>
      </c>
      <c r="AC234" s="185" t="str">
        <f aca="false">IF($A235="","",VLOOKUP($A234,Table,MATCH(AC$4,Curves,0)))</f>
        <v/>
      </c>
      <c r="AD234" s="185" t="str">
        <f aca="false">IF($A235="","",VLOOKUP($A234,Table,MATCH(AD$4,Curves,0)))</f>
        <v/>
      </c>
      <c r="AE234" s="185" t="e">
        <f aca="false">SQRT((AD234^2*(A234-$D$3)+AC234^2*(DAY(EOMONTH(A234,0))/2))/AK234)</f>
        <v>#VALUE!</v>
      </c>
      <c r="AF234" s="206" t="e">
        <f aca="false">((Summary!$N$11*(AA234*AD234)*(A234-$D$3))+(Summary!$M$11*Z234*AC234*(AJ234-EOMONTH(EDATE(A234,-1),0))))/(AK234*AB234*AE234)</f>
        <v>#VALUE!</v>
      </c>
      <c r="AG234" s="207" t="str">
        <f aca="false">IF($A235="","",Summary!$Q$11)</f>
        <v/>
      </c>
      <c r="AH234" s="207" t="str">
        <f aca="false">IF($A235="","",IF(Summary!$R$11="Y",(VLOOKUP($A234,Summary!$AD$6:$AF$9,3)+'Escalating commodity'!G247),'Escalating commodity'!G247))</f>
        <v/>
      </c>
      <c r="AI234" s="207" t="str">
        <f aca="false">IF($A235="","",AH234)</f>
        <v/>
      </c>
      <c r="AJ234" s="208" t="e">
        <f aca="false">A234+DAY(EOMONTH(A234,0))/2-1</f>
        <v>#VALUE!</v>
      </c>
      <c r="AK234" s="209" t="str">
        <f aca="false">IF($A235="","",$A234-$E$1)</f>
        <v/>
      </c>
      <c r="AL234" s="182" t="str">
        <f aca="false">IF($A235="","",SPRDOPT(P234,X234,AI234,0,AB234,AE234,AF234,AK234,$AJ$2,0))</f>
        <v/>
      </c>
      <c r="AM234" s="210" t="str">
        <f aca="false">IF($A235="","",MAX(0,O234-W234-AI234))</f>
        <v/>
      </c>
      <c r="AN234" s="211" t="str">
        <f aca="false">IF($A235="","",AL234-AM234)</f>
        <v/>
      </c>
      <c r="AO234" s="137" t="str">
        <f aca="false">IF(A235="","",A235-A234)</f>
        <v/>
      </c>
      <c r="AP234" s="212" t="str">
        <f aca="false">IF(A235="","",CHOOSE(F$3,A235+24,A234))</f>
        <v/>
      </c>
      <c r="AQ234" s="209" t="str">
        <f aca="false">IF(A235="","",AP234-$E$1)</f>
        <v/>
      </c>
      <c r="AR234" s="185" t="n">
        <f aca="false">'ANR OK vs ML7'!AR234</f>
        <v>0.1</v>
      </c>
      <c r="AS234" s="213" t="str">
        <f aca="false">IF(A235="","",1/(1+CHOOSE(F$3,(AR235+($I$3/10000))/2,(AR234+($I$3/10000))/2))^(2*AQ234/365.25))</f>
        <v/>
      </c>
      <c r="AT234" s="137" t="str">
        <f aca="false">IF(A235="","",IF(AND(mthbeg&lt;=A234,mthend&gt;=A234),1,0))</f>
        <v/>
      </c>
      <c r="AU234" s="137" t="str">
        <f aca="false">IF(A235="","",AO234*AT234)</f>
        <v/>
      </c>
      <c r="AW234" s="195" t="str">
        <f aca="false">IF($A235="","",AL234*$E234)</f>
        <v/>
      </c>
      <c r="AX234" s="195" t="str">
        <f aca="false">IF($A235="","",AM234*$E234)</f>
        <v/>
      </c>
      <c r="AY234" s="195" t="str">
        <f aca="false">IF($A235="","",AN234*$E234)</f>
        <v/>
      </c>
      <c r="BA234" s="195" t="str">
        <f aca="false">IF($A235="","",F234*Summary!$Q$11)</f>
        <v/>
      </c>
    </row>
    <row r="235" customFormat="false" ht="12" hidden="false" customHeight="true" outlineLevel="0" collapsed="false">
      <c r="A235" s="196" t="str">
        <f aca="false">IF(A234&lt;mthend,EDATE(A234,1),"")</f>
        <v/>
      </c>
      <c r="B235" s="197" t="str">
        <f aca="false">IF(A235&lt;mthend,B234,"")</f>
        <v/>
      </c>
      <c r="C235" s="215"/>
      <c r="D235" s="197" t="str">
        <f aca="false">IF(A236&lt;&gt;"",B235+C235,"")</f>
        <v/>
      </c>
      <c r="E235" s="199" t="str">
        <f aca="false">IF(A236="","",IF(AND(AT235=1,$H$3=1),D235*AO235,IF($H$3=2,D235,"N/A")))</f>
        <v/>
      </c>
      <c r="F235" s="199" t="str">
        <f aca="false">IF(A236="","",E235*AS235)</f>
        <v/>
      </c>
      <c r="G235" s="200" t="str">
        <f aca="false">IF($A236="","",VLOOKUP($A235,Table,MATCH(G$4,Curves,0)))</f>
        <v/>
      </c>
      <c r="H235" s="201" t="str">
        <f aca="false">IF(A236="","",G235)</f>
        <v/>
      </c>
      <c r="I235" s="202"/>
      <c r="J235" s="200" t="str">
        <f aca="false">IF($A236="","",VLOOKUP($A235,Table,MATCH(J$4,Curves,0)))</f>
        <v/>
      </c>
      <c r="K235" s="201" t="str">
        <f aca="false">IF(A236="","",J235)</f>
        <v/>
      </c>
      <c r="L235" s="200" t="str">
        <f aca="false">IF($A236="","",VLOOKUP($A235,Table,MATCH(L$4,Curves,0)))</f>
        <v/>
      </c>
      <c r="M235" s="201" t="str">
        <f aca="false">IF(A236="","",L235)</f>
        <v/>
      </c>
      <c r="N235" s="203"/>
      <c r="O235" s="200" t="str">
        <f aca="false">IF(A236="","",L235+J235+G235)</f>
        <v/>
      </c>
      <c r="P235" s="200" t="str">
        <f aca="false">IF(A236="","",M235+K235+H235)</f>
        <v/>
      </c>
      <c r="Q235" s="204"/>
      <c r="R235" s="200" t="str">
        <f aca="false">IF($A236="","",VLOOKUP($A235,Table,MATCH(R$4,Curves,0)))</f>
        <v/>
      </c>
      <c r="S235" s="201" t="str">
        <f aca="false">IF(A236="","",R235)</f>
        <v/>
      </c>
      <c r="T235" s="185" t="n">
        <v>0</v>
      </c>
      <c r="U235" s="201" t="str">
        <f aca="false">IF(A236="","",T235)</f>
        <v/>
      </c>
      <c r="V235" s="205" t="str">
        <f aca="false">IF($A236="","",IF(AND(MONTH(A235)&gt;3,MONTH(A235)&lt;11),(T235+R235+G235)*Summary!$T$11/(1-Summary!$T$11),(T235+R235+G235)*Summary!$U$11/(1-Summary!$U$11)))</f>
        <v/>
      </c>
      <c r="W235" s="202" t="str">
        <f aca="false">IF($A236="","",(T235+R235+G235+V235))</f>
        <v/>
      </c>
      <c r="X235" s="202" t="str">
        <f aca="false">IF($A236="","",(U235+S235+H235+V235))</f>
        <v/>
      </c>
      <c r="Y235" s="202"/>
      <c r="Z235" s="185" t="str">
        <f aca="false">IF($A236="","",VLOOKUP($A235,Table,MATCH(Z$4,Curves,0)))</f>
        <v/>
      </c>
      <c r="AA235" s="185" t="str">
        <f aca="false">IF($A236="","",VLOOKUP($A235,Table,MATCH(AA$4,Curves,0)))</f>
        <v/>
      </c>
      <c r="AB235" s="185" t="e">
        <f aca="false">SQRT((AA235^2*(A235-$D$3)+Z235^2*(DAY(EOMONTH(A235,0))/2))/AK235)</f>
        <v>#VALUE!</v>
      </c>
      <c r="AC235" s="185" t="str">
        <f aca="false">IF($A236="","",VLOOKUP($A235,Table,MATCH(AC$4,Curves,0)))</f>
        <v/>
      </c>
      <c r="AD235" s="185" t="str">
        <f aca="false">IF($A236="","",VLOOKUP($A235,Table,MATCH(AD$4,Curves,0)))</f>
        <v/>
      </c>
      <c r="AE235" s="185" t="e">
        <f aca="false">SQRT((AD235^2*(A235-$D$3)+AC235^2*(DAY(EOMONTH(A235,0))/2))/AK235)</f>
        <v>#VALUE!</v>
      </c>
      <c r="AF235" s="206" t="e">
        <f aca="false">((Summary!$N$11*(AA235*AD235)*(A235-$D$3))+(Summary!$M$11*Z235*AC235*(AJ235-EOMONTH(EDATE(A235,-1),0))))/(AK235*AB235*AE235)</f>
        <v>#VALUE!</v>
      </c>
      <c r="AG235" s="207" t="str">
        <f aca="false">IF($A236="","",Summary!$Q$11)</f>
        <v/>
      </c>
      <c r="AH235" s="207" t="str">
        <f aca="false">IF($A236="","",IF(Summary!$R$11="Y",(VLOOKUP($A235,Summary!$AD$6:$AF$9,3)+'Escalating commodity'!G248),'Escalating commodity'!G248))</f>
        <v/>
      </c>
      <c r="AI235" s="207" t="str">
        <f aca="false">IF($A236="","",AH235)</f>
        <v/>
      </c>
      <c r="AJ235" s="208" t="e">
        <f aca="false">A235+DAY(EOMONTH(A235,0))/2-1</f>
        <v>#VALUE!</v>
      </c>
      <c r="AK235" s="209" t="str">
        <f aca="false">IF($A236="","",$A235-$E$1)</f>
        <v/>
      </c>
      <c r="AL235" s="182" t="str">
        <f aca="false">IF($A236="","",SPRDOPT(P235,X235,AI235,0,AB235,AE235,AF235,AK235,$AJ$2,0))</f>
        <v/>
      </c>
      <c r="AM235" s="210" t="str">
        <f aca="false">IF($A236="","",MAX(0,O235-W235-AI235))</f>
        <v/>
      </c>
      <c r="AN235" s="211" t="str">
        <f aca="false">IF($A236="","",AL235-AM235)</f>
        <v/>
      </c>
      <c r="AO235" s="137" t="str">
        <f aca="false">IF(A236="","",A236-A235)</f>
        <v/>
      </c>
      <c r="AP235" s="212" t="str">
        <f aca="false">IF(A236="","",CHOOSE(F$3,A236+24,A235))</f>
        <v/>
      </c>
      <c r="AQ235" s="209" t="str">
        <f aca="false">IF(A236="","",AP235-$E$1)</f>
        <v/>
      </c>
      <c r="AR235" s="185" t="n">
        <f aca="false">'ANR OK vs ML7'!AR235</f>
        <v>0.1</v>
      </c>
      <c r="AS235" s="213" t="str">
        <f aca="false">IF(A236="","",1/(1+CHOOSE(F$3,(AR236+($I$3/10000))/2,(AR235+($I$3/10000))/2))^(2*AQ235/365.25))</f>
        <v/>
      </c>
      <c r="AT235" s="137" t="str">
        <f aca="false">IF(A236="","",IF(AND(mthbeg&lt;=A235,mthend&gt;=A235),1,0))</f>
        <v/>
      </c>
      <c r="AU235" s="137" t="str">
        <f aca="false">IF(A236="","",AO235*AT235)</f>
        <v/>
      </c>
      <c r="AW235" s="195" t="str">
        <f aca="false">IF($A236="","",AL235*$E235)</f>
        <v/>
      </c>
      <c r="AX235" s="195" t="str">
        <f aca="false">IF($A236="","",AM235*$E235)</f>
        <v/>
      </c>
      <c r="AY235" s="195" t="str">
        <f aca="false">IF($A236="","",AN235*$E235)</f>
        <v/>
      </c>
      <c r="BA235" s="195" t="str">
        <f aca="false">IF($A236="","",F235*Summary!$Q$11)</f>
        <v/>
      </c>
    </row>
    <row r="236" customFormat="false" ht="12" hidden="false" customHeight="true" outlineLevel="0" collapsed="false">
      <c r="A236" s="196" t="str">
        <f aca="false">IF(A235&lt;mthend,EDATE(A235,1),"")</f>
        <v/>
      </c>
      <c r="B236" s="197" t="str">
        <f aca="false">IF(A236&lt;mthend,B235,"")</f>
        <v/>
      </c>
      <c r="C236" s="215"/>
      <c r="D236" s="197" t="str">
        <f aca="false">IF(A237&lt;&gt;"",B236+C236,"")</f>
        <v/>
      </c>
      <c r="E236" s="199" t="str">
        <f aca="false">IF(A237="","",IF(AND(AT236=1,$H$3=1),D236*AO236,IF($H$3=2,D236,"N/A")))</f>
        <v/>
      </c>
      <c r="F236" s="199" t="str">
        <f aca="false">IF(A237="","",E236*AS236)</f>
        <v/>
      </c>
      <c r="G236" s="200" t="str">
        <f aca="false">IF($A237="","",VLOOKUP($A236,Table,MATCH(G$4,Curves,0)))</f>
        <v/>
      </c>
      <c r="H236" s="201" t="str">
        <f aca="false">IF(A237="","",G236)</f>
        <v/>
      </c>
      <c r="I236" s="202"/>
      <c r="J236" s="200" t="str">
        <f aca="false">IF($A237="","",VLOOKUP($A236,Table,MATCH(J$4,Curves,0)))</f>
        <v/>
      </c>
      <c r="K236" s="201" t="str">
        <f aca="false">IF(A237="","",J236)</f>
        <v/>
      </c>
      <c r="L236" s="200" t="str">
        <f aca="false">IF($A237="","",VLOOKUP($A236,Table,MATCH(L$4,Curves,0)))</f>
        <v/>
      </c>
      <c r="M236" s="201" t="str">
        <f aca="false">IF(A237="","",L236)</f>
        <v/>
      </c>
      <c r="N236" s="203"/>
      <c r="O236" s="200" t="str">
        <f aca="false">IF(A237="","",L236+J236+G236)</f>
        <v/>
      </c>
      <c r="P236" s="200" t="str">
        <f aca="false">IF(A237="","",M236+K236+H236)</f>
        <v/>
      </c>
      <c r="Q236" s="204"/>
      <c r="R236" s="200" t="str">
        <f aca="false">IF($A237="","",VLOOKUP($A236,Table,MATCH(R$4,Curves,0)))</f>
        <v/>
      </c>
      <c r="S236" s="201" t="str">
        <f aca="false">IF(A237="","",R236)</f>
        <v/>
      </c>
      <c r="T236" s="185" t="n">
        <v>0</v>
      </c>
      <c r="U236" s="201" t="str">
        <f aca="false">IF(A237="","",T236)</f>
        <v/>
      </c>
      <c r="V236" s="205" t="str">
        <f aca="false">IF($A237="","",IF(AND(MONTH(A236)&gt;3,MONTH(A236)&lt;11),(T236+R236+G236)*Summary!$T$11/(1-Summary!$T$11),(T236+R236+G236)*Summary!$U$11/(1-Summary!$U$11)))</f>
        <v/>
      </c>
      <c r="W236" s="202" t="str">
        <f aca="false">IF($A237="","",(T236+R236+G236+V236))</f>
        <v/>
      </c>
      <c r="X236" s="202" t="str">
        <f aca="false">IF($A237="","",(U236+S236+H236+V236))</f>
        <v/>
      </c>
      <c r="Y236" s="202"/>
      <c r="Z236" s="185" t="str">
        <f aca="false">IF($A237="","",VLOOKUP($A236,Table,MATCH(Z$4,Curves,0)))</f>
        <v/>
      </c>
      <c r="AA236" s="185" t="str">
        <f aca="false">IF($A237="","",VLOOKUP($A236,Table,MATCH(AA$4,Curves,0)))</f>
        <v/>
      </c>
      <c r="AB236" s="185" t="e">
        <f aca="false">SQRT((AA236^2*(A236-$D$3)+Z236^2*(DAY(EOMONTH(A236,0))/2))/AK236)</f>
        <v>#VALUE!</v>
      </c>
      <c r="AC236" s="185" t="str">
        <f aca="false">IF($A237="","",VLOOKUP($A236,Table,MATCH(AC$4,Curves,0)))</f>
        <v/>
      </c>
      <c r="AD236" s="185" t="str">
        <f aca="false">IF($A237="","",VLOOKUP($A236,Table,MATCH(AD$4,Curves,0)))</f>
        <v/>
      </c>
      <c r="AE236" s="185" t="e">
        <f aca="false">SQRT((AD236^2*(A236-$D$3)+AC236^2*(DAY(EOMONTH(A236,0))/2))/AK236)</f>
        <v>#VALUE!</v>
      </c>
      <c r="AF236" s="206" t="e">
        <f aca="false">((Summary!$N$11*(AA236*AD236)*(A236-$D$3))+(Summary!$M$11*Z236*AC236*(AJ236-EOMONTH(EDATE(A236,-1),0))))/(AK236*AB236*AE236)</f>
        <v>#VALUE!</v>
      </c>
      <c r="AG236" s="207" t="str">
        <f aca="false">IF($A237="","",Summary!$Q$11)</f>
        <v/>
      </c>
      <c r="AH236" s="207" t="str">
        <f aca="false">IF($A237="","",IF(Summary!$R$11="Y",(VLOOKUP($A236,Summary!$AD$6:$AF$9,3)+'Escalating commodity'!G249),'Escalating commodity'!G249))</f>
        <v/>
      </c>
      <c r="AI236" s="207" t="str">
        <f aca="false">IF($A237="","",AH236)</f>
        <v/>
      </c>
      <c r="AJ236" s="208" t="e">
        <f aca="false">A236+DAY(EOMONTH(A236,0))/2-1</f>
        <v>#VALUE!</v>
      </c>
      <c r="AK236" s="209" t="str">
        <f aca="false">IF($A237="","",$A236-$E$1)</f>
        <v/>
      </c>
      <c r="AL236" s="182" t="str">
        <f aca="false">IF($A237="","",SPRDOPT(P236,X236,AI236,0,AB236,AE236,AF236,AK236,$AJ$2,0))</f>
        <v/>
      </c>
      <c r="AM236" s="210" t="str">
        <f aca="false">IF($A237="","",MAX(0,O236-W236-AI236))</f>
        <v/>
      </c>
      <c r="AN236" s="211" t="str">
        <f aca="false">IF($A237="","",AL236-AM236)</f>
        <v/>
      </c>
      <c r="AO236" s="137" t="str">
        <f aca="false">IF(A237="","",A237-A236)</f>
        <v/>
      </c>
      <c r="AP236" s="212" t="str">
        <f aca="false">IF(A237="","",CHOOSE(F$3,A237+24,A236))</f>
        <v/>
      </c>
      <c r="AQ236" s="209" t="str">
        <f aca="false">IF(A237="","",AP236-$E$1)</f>
        <v/>
      </c>
      <c r="AR236" s="185" t="n">
        <f aca="false">'ANR OK vs ML7'!AR236</f>
        <v>0.1</v>
      </c>
      <c r="AS236" s="213" t="str">
        <f aca="false">IF(A237="","",1/(1+CHOOSE(F$3,(AR237+($I$3/10000))/2,(AR236+($I$3/10000))/2))^(2*AQ236/365.25))</f>
        <v/>
      </c>
      <c r="AT236" s="137" t="str">
        <f aca="false">IF(A237="","",IF(AND(mthbeg&lt;=A236,mthend&gt;=A236),1,0))</f>
        <v/>
      </c>
      <c r="AU236" s="137" t="str">
        <f aca="false">IF(A237="","",AO236*AT236)</f>
        <v/>
      </c>
      <c r="AW236" s="195" t="str">
        <f aca="false">IF($A237="","",AL236*$E236)</f>
        <v/>
      </c>
      <c r="AX236" s="195" t="str">
        <f aca="false">IF($A237="","",AM236*$E236)</f>
        <v/>
      </c>
      <c r="AY236" s="195" t="str">
        <f aca="false">IF($A237="","",AN236*$E236)</f>
        <v/>
      </c>
      <c r="BA236" s="195" t="str">
        <f aca="false">IF($A237="","",F236*Summary!$Q$11)</f>
        <v/>
      </c>
    </row>
    <row r="237" customFormat="false" ht="12" hidden="false" customHeight="true" outlineLevel="0" collapsed="false">
      <c r="A237" s="196" t="str">
        <f aca="false">IF(A236&lt;mthend,EDATE(A236,1),"")</f>
        <v/>
      </c>
      <c r="B237" s="197" t="str">
        <f aca="false">IF(A237&lt;mthend,B236,"")</f>
        <v/>
      </c>
      <c r="C237" s="215"/>
      <c r="D237" s="197" t="str">
        <f aca="false">IF(A238&lt;&gt;"",B237+C237,"")</f>
        <v/>
      </c>
      <c r="E237" s="199" t="str">
        <f aca="false">IF(A238="","",IF(AND(AT237=1,$H$3=1),D237*AO237,IF($H$3=2,D237,"N/A")))</f>
        <v/>
      </c>
      <c r="F237" s="199" t="str">
        <f aca="false">IF(A238="","",E237*AS237)</f>
        <v/>
      </c>
      <c r="G237" s="200" t="str">
        <f aca="false">IF($A238="","",VLOOKUP($A237,Table,MATCH(G$4,Curves,0)))</f>
        <v/>
      </c>
      <c r="H237" s="201" t="str">
        <f aca="false">IF(A238="","",G237)</f>
        <v/>
      </c>
      <c r="I237" s="202"/>
      <c r="J237" s="200" t="str">
        <f aca="false">IF($A238="","",VLOOKUP($A237,Table,MATCH(J$4,Curves,0)))</f>
        <v/>
      </c>
      <c r="K237" s="201" t="str">
        <f aca="false">IF(A238="","",J237)</f>
        <v/>
      </c>
      <c r="L237" s="200" t="str">
        <f aca="false">IF($A238="","",VLOOKUP($A237,Table,MATCH(L$4,Curves,0)))</f>
        <v/>
      </c>
      <c r="M237" s="201" t="str">
        <f aca="false">IF(A238="","",L237)</f>
        <v/>
      </c>
      <c r="N237" s="203"/>
      <c r="O237" s="200" t="str">
        <f aca="false">IF(A238="","",L237+J237+G237)</f>
        <v/>
      </c>
      <c r="P237" s="200" t="str">
        <f aca="false">IF(A238="","",M237+K237+H237)</f>
        <v/>
      </c>
      <c r="Q237" s="204"/>
      <c r="R237" s="200" t="str">
        <f aca="false">IF($A238="","",VLOOKUP($A237,Table,MATCH(R$4,Curves,0)))</f>
        <v/>
      </c>
      <c r="S237" s="201" t="str">
        <f aca="false">IF(A238="","",R237)</f>
        <v/>
      </c>
      <c r="T237" s="185" t="n">
        <v>0</v>
      </c>
      <c r="U237" s="201" t="str">
        <f aca="false">IF(A238="","",T237)</f>
        <v/>
      </c>
      <c r="V237" s="205" t="str">
        <f aca="false">IF($A238="","",IF(AND(MONTH(A237)&gt;3,MONTH(A237)&lt;11),(T237+R237+G237)*Summary!$T$11/(1-Summary!$T$11),(T237+R237+G237)*Summary!$U$11/(1-Summary!$U$11)))</f>
        <v/>
      </c>
      <c r="W237" s="202" t="str">
        <f aca="false">IF($A238="","",(T237+R237+G237+V237))</f>
        <v/>
      </c>
      <c r="X237" s="202" t="str">
        <f aca="false">IF($A238="","",(U237+S237+H237+V237))</f>
        <v/>
      </c>
      <c r="Y237" s="202"/>
      <c r="Z237" s="185" t="str">
        <f aca="false">IF($A238="","",VLOOKUP($A237,Table,MATCH(Z$4,Curves,0)))</f>
        <v/>
      </c>
      <c r="AA237" s="185" t="str">
        <f aca="false">IF($A238="","",VLOOKUP($A237,Table,MATCH(AA$4,Curves,0)))</f>
        <v/>
      </c>
      <c r="AB237" s="185" t="e">
        <f aca="false">SQRT((AA237^2*(A237-$D$3)+Z237^2*(DAY(EOMONTH(A237,0))/2))/AK237)</f>
        <v>#VALUE!</v>
      </c>
      <c r="AC237" s="185" t="str">
        <f aca="false">IF($A238="","",VLOOKUP($A237,Table,MATCH(AC$4,Curves,0)))</f>
        <v/>
      </c>
      <c r="AD237" s="185" t="str">
        <f aca="false">IF($A238="","",VLOOKUP($A237,Table,MATCH(AD$4,Curves,0)))</f>
        <v/>
      </c>
      <c r="AE237" s="185" t="e">
        <f aca="false">SQRT((AD237^2*(A237-$D$3)+AC237^2*(DAY(EOMONTH(A237,0))/2))/AK237)</f>
        <v>#VALUE!</v>
      </c>
      <c r="AF237" s="206" t="e">
        <f aca="false">((Summary!$N$11*(AA237*AD237)*(A237-$D$3))+(Summary!$M$11*Z237*AC237*(AJ237-EOMONTH(EDATE(A237,-1),0))))/(AK237*AB237*AE237)</f>
        <v>#VALUE!</v>
      </c>
      <c r="AG237" s="207" t="str">
        <f aca="false">IF($A238="","",Summary!$Q$11)</f>
        <v/>
      </c>
      <c r="AH237" s="207" t="str">
        <f aca="false">IF($A238="","",IF(Summary!$R$11="Y",(VLOOKUP($A237,Summary!$AD$6:$AF$9,3)+'Escalating commodity'!G250),'Escalating commodity'!G250))</f>
        <v/>
      </c>
      <c r="AI237" s="207" t="str">
        <f aca="false">IF($A238="","",AH237)</f>
        <v/>
      </c>
      <c r="AJ237" s="208" t="e">
        <f aca="false">A237+DAY(EOMONTH(A237,0))/2-1</f>
        <v>#VALUE!</v>
      </c>
      <c r="AK237" s="209" t="str">
        <f aca="false">IF($A238="","",$A237-$E$1)</f>
        <v/>
      </c>
      <c r="AL237" s="182" t="str">
        <f aca="false">IF($A238="","",SPRDOPT(P237,X237,AI237,0,AB237,AE237,AF237,AK237,$AJ$2,0))</f>
        <v/>
      </c>
      <c r="AM237" s="210" t="str">
        <f aca="false">IF($A238="","",MAX(0,O237-W237-AI237))</f>
        <v/>
      </c>
      <c r="AN237" s="211" t="str">
        <f aca="false">IF($A238="","",AL237-AM237)</f>
        <v/>
      </c>
      <c r="AO237" s="137" t="str">
        <f aca="false">IF(A238="","",A238-A237)</f>
        <v/>
      </c>
      <c r="AP237" s="212" t="str">
        <f aca="false">IF(A238="","",CHOOSE(F$3,A238+24,A237))</f>
        <v/>
      </c>
      <c r="AQ237" s="209" t="str">
        <f aca="false">IF(A238="","",AP237-$E$1)</f>
        <v/>
      </c>
      <c r="AR237" s="185" t="n">
        <f aca="false">'ANR OK vs ML7'!AR237</f>
        <v>0.1</v>
      </c>
      <c r="AS237" s="213" t="str">
        <f aca="false">IF(A238="","",1/(1+CHOOSE(F$3,(AR238+($I$3/10000))/2,(AR237+($I$3/10000))/2))^(2*AQ237/365.25))</f>
        <v/>
      </c>
      <c r="AT237" s="137" t="str">
        <f aca="false">IF(A238="","",IF(AND(mthbeg&lt;=A237,mthend&gt;=A237),1,0))</f>
        <v/>
      </c>
      <c r="AU237" s="137" t="str">
        <f aca="false">IF(A238="","",AO237*AT237)</f>
        <v/>
      </c>
      <c r="AW237" s="195" t="str">
        <f aca="false">IF($A238="","",AL237*$E237)</f>
        <v/>
      </c>
      <c r="AX237" s="195" t="str">
        <f aca="false">IF($A238="","",AM237*$E237)</f>
        <v/>
      </c>
      <c r="AY237" s="195" t="str">
        <f aca="false">IF($A238="","",AN237*$E237)</f>
        <v/>
      </c>
      <c r="BA237" s="195" t="str">
        <f aca="false">IF($A238="","",F237*Summary!$Q$11)</f>
        <v/>
      </c>
    </row>
    <row r="238" customFormat="false" ht="12" hidden="false" customHeight="true" outlineLevel="0" collapsed="false">
      <c r="A238" s="196" t="str">
        <f aca="false">IF(A237&lt;mthend,EDATE(A237,1),"")</f>
        <v/>
      </c>
      <c r="B238" s="197" t="str">
        <f aca="false">IF(A238&lt;mthend,B237,"")</f>
        <v/>
      </c>
      <c r="C238" s="215"/>
      <c r="D238" s="197" t="str">
        <f aca="false">IF(A239&lt;&gt;"",B238+C238,"")</f>
        <v/>
      </c>
      <c r="E238" s="199" t="str">
        <f aca="false">IF(A239="","",IF(AND(AT238=1,$H$3=1),D238*AO238,IF($H$3=2,D238,"N/A")))</f>
        <v/>
      </c>
      <c r="F238" s="199" t="str">
        <f aca="false">IF(A239="","",E238*AS238)</f>
        <v/>
      </c>
      <c r="G238" s="200" t="str">
        <f aca="false">IF($A239="","",VLOOKUP($A238,Table,MATCH(G$4,Curves,0)))</f>
        <v/>
      </c>
      <c r="H238" s="201" t="str">
        <f aca="false">IF(A239="","",G238)</f>
        <v/>
      </c>
      <c r="I238" s="202"/>
      <c r="J238" s="200" t="str">
        <f aca="false">IF($A239="","",VLOOKUP($A238,Table,MATCH(J$4,Curves,0)))</f>
        <v/>
      </c>
      <c r="K238" s="201" t="str">
        <f aca="false">IF(A239="","",J238)</f>
        <v/>
      </c>
      <c r="L238" s="200" t="str">
        <f aca="false">IF($A239="","",VLOOKUP($A238,Table,MATCH(L$4,Curves,0)))</f>
        <v/>
      </c>
      <c r="M238" s="201" t="str">
        <f aca="false">IF(A239="","",L238)</f>
        <v/>
      </c>
      <c r="N238" s="203"/>
      <c r="O238" s="200" t="str">
        <f aca="false">IF(A239="","",L238+J238+G238)</f>
        <v/>
      </c>
      <c r="P238" s="200" t="str">
        <f aca="false">IF(A239="","",M238+K238+H238)</f>
        <v/>
      </c>
      <c r="Q238" s="204"/>
      <c r="R238" s="200" t="str">
        <f aca="false">IF($A239="","",VLOOKUP($A238,Table,MATCH(R$4,Curves,0)))</f>
        <v/>
      </c>
      <c r="S238" s="201" t="str">
        <f aca="false">IF(A239="","",R238)</f>
        <v/>
      </c>
      <c r="T238" s="185" t="n">
        <v>0</v>
      </c>
      <c r="U238" s="201" t="str">
        <f aca="false">IF(A239="","",T238)</f>
        <v/>
      </c>
      <c r="V238" s="205" t="str">
        <f aca="false">IF($A239="","",IF(AND(MONTH(A238)&gt;3,MONTH(A238)&lt;11),(T238+R238+G238)*Summary!$T$11/(1-Summary!$T$11),(T238+R238+G238)*Summary!$U$11/(1-Summary!$U$11)))</f>
        <v/>
      </c>
      <c r="W238" s="202" t="str">
        <f aca="false">IF($A239="","",(T238+R238+G238+V238))</f>
        <v/>
      </c>
      <c r="X238" s="202" t="str">
        <f aca="false">IF($A239="","",(U238+S238+H238+V238))</f>
        <v/>
      </c>
      <c r="Y238" s="202"/>
      <c r="Z238" s="185" t="str">
        <f aca="false">IF($A239="","",VLOOKUP($A238,Table,MATCH(Z$4,Curves,0)))</f>
        <v/>
      </c>
      <c r="AA238" s="185" t="str">
        <f aca="false">IF($A239="","",VLOOKUP($A238,Table,MATCH(AA$4,Curves,0)))</f>
        <v/>
      </c>
      <c r="AB238" s="185" t="e">
        <f aca="false">SQRT((AA238^2*(A238-$D$3)+Z238^2*(DAY(EOMONTH(A238,0))/2))/AK238)</f>
        <v>#VALUE!</v>
      </c>
      <c r="AC238" s="185" t="str">
        <f aca="false">IF($A239="","",VLOOKUP($A238,Table,MATCH(AC$4,Curves,0)))</f>
        <v/>
      </c>
      <c r="AD238" s="185" t="str">
        <f aca="false">IF($A239="","",VLOOKUP($A238,Table,MATCH(AD$4,Curves,0)))</f>
        <v/>
      </c>
      <c r="AE238" s="185" t="e">
        <f aca="false">SQRT((AD238^2*(A238-$D$3)+AC238^2*(DAY(EOMONTH(A238,0))/2))/AK238)</f>
        <v>#VALUE!</v>
      </c>
      <c r="AF238" s="206" t="e">
        <f aca="false">((Summary!$N$11*(AA238*AD238)*(A238-$D$3))+(Summary!$M$11*Z238*AC238*(AJ238-EOMONTH(EDATE(A238,-1),0))))/(AK238*AB238*AE238)</f>
        <v>#VALUE!</v>
      </c>
      <c r="AG238" s="207" t="str">
        <f aca="false">IF($A239="","",Summary!$Q$11)</f>
        <v/>
      </c>
      <c r="AH238" s="207" t="str">
        <f aca="false">IF($A239="","",IF(Summary!$R$11="Y",(VLOOKUP($A238,Summary!$AD$6:$AF$9,3)+'Escalating commodity'!G251),'Escalating commodity'!G251))</f>
        <v/>
      </c>
      <c r="AI238" s="207" t="str">
        <f aca="false">IF($A239="","",AH238)</f>
        <v/>
      </c>
      <c r="AJ238" s="208" t="e">
        <f aca="false">A238+DAY(EOMONTH(A238,0))/2-1</f>
        <v>#VALUE!</v>
      </c>
      <c r="AK238" s="209" t="str">
        <f aca="false">IF($A239="","",$A238-$E$1)</f>
        <v/>
      </c>
      <c r="AL238" s="182" t="str">
        <f aca="false">IF($A239="","",SPRDOPT(P238,X238,AI238,0,AB238,AE238,AF238,AK238,$AJ$2,0))</f>
        <v/>
      </c>
      <c r="AM238" s="210" t="str">
        <f aca="false">IF($A239="","",MAX(0,O238-W238-AI238))</f>
        <v/>
      </c>
      <c r="AN238" s="211" t="str">
        <f aca="false">IF($A239="","",AL238-AM238)</f>
        <v/>
      </c>
      <c r="AO238" s="137" t="str">
        <f aca="false">IF(A239="","",A239-A238)</f>
        <v/>
      </c>
      <c r="AP238" s="212" t="str">
        <f aca="false">IF(A239="","",CHOOSE(F$3,A239+24,A238))</f>
        <v/>
      </c>
      <c r="AQ238" s="209" t="str">
        <f aca="false">IF(A239="","",AP238-$E$1)</f>
        <v/>
      </c>
      <c r="AR238" s="185" t="n">
        <f aca="false">'ANR OK vs ML7'!AR238</f>
        <v>0.1</v>
      </c>
      <c r="AS238" s="213" t="str">
        <f aca="false">IF(A239="","",1/(1+CHOOSE(F$3,(AR239+($I$3/10000))/2,(AR238+($I$3/10000))/2))^(2*AQ238/365.25))</f>
        <v/>
      </c>
      <c r="AT238" s="137" t="str">
        <f aca="false">IF(A239="","",IF(AND(mthbeg&lt;=A238,mthend&gt;=A238),1,0))</f>
        <v/>
      </c>
      <c r="AU238" s="137" t="str">
        <f aca="false">IF(A239="","",AO238*AT238)</f>
        <v/>
      </c>
      <c r="AW238" s="195" t="str">
        <f aca="false">IF($A239="","",AL238*$E238)</f>
        <v/>
      </c>
      <c r="AX238" s="195" t="str">
        <f aca="false">IF($A239="","",AM238*$E238)</f>
        <v/>
      </c>
      <c r="AY238" s="195" t="str">
        <f aca="false">IF($A239="","",AN238*$E238)</f>
        <v/>
      </c>
      <c r="BA238" s="195" t="str">
        <f aca="false">IF($A239="","",F238*Summary!$Q$11)</f>
        <v/>
      </c>
    </row>
    <row r="239" customFormat="false" ht="12" hidden="false" customHeight="true" outlineLevel="0" collapsed="false">
      <c r="A239" s="196" t="str">
        <f aca="false">IF(A238&lt;mthend,EDATE(A238,1),"")</f>
        <v/>
      </c>
      <c r="B239" s="197" t="str">
        <f aca="false">IF(A239&lt;mthend,B238,"")</f>
        <v/>
      </c>
      <c r="C239" s="215"/>
      <c r="D239" s="197" t="str">
        <f aca="false">IF(A240&lt;&gt;"",B239+C239,"")</f>
        <v/>
      </c>
      <c r="E239" s="199" t="str">
        <f aca="false">IF(A240="","",IF(AND(AT239=1,$H$3=1),D239*AO239,IF($H$3=2,D239,"N/A")))</f>
        <v/>
      </c>
      <c r="F239" s="199" t="str">
        <f aca="false">IF(A240="","",E239*AS239)</f>
        <v/>
      </c>
      <c r="G239" s="200" t="str">
        <f aca="false">IF($A240="","",VLOOKUP($A239,Table,MATCH(G$4,Curves,0)))</f>
        <v/>
      </c>
      <c r="H239" s="201" t="str">
        <f aca="false">IF(A240="","",G239)</f>
        <v/>
      </c>
      <c r="I239" s="202"/>
      <c r="J239" s="200" t="str">
        <f aca="false">IF($A240="","",VLOOKUP($A239,Table,MATCH(J$4,Curves,0)))</f>
        <v/>
      </c>
      <c r="K239" s="201" t="str">
        <f aca="false">IF(A240="","",J239)</f>
        <v/>
      </c>
      <c r="L239" s="200" t="str">
        <f aca="false">IF($A240="","",VLOOKUP($A239,Table,MATCH(L$4,Curves,0)))</f>
        <v/>
      </c>
      <c r="M239" s="201" t="str">
        <f aca="false">IF(A240="","",L239)</f>
        <v/>
      </c>
      <c r="N239" s="203"/>
      <c r="O239" s="200" t="str">
        <f aca="false">IF(A240="","",L239+J239+G239)</f>
        <v/>
      </c>
      <c r="P239" s="200" t="str">
        <f aca="false">IF(A240="","",M239+K239+H239)</f>
        <v/>
      </c>
      <c r="Q239" s="204"/>
      <c r="R239" s="200" t="str">
        <f aca="false">IF($A240="","",VLOOKUP($A239,Table,MATCH(R$4,Curves,0)))</f>
        <v/>
      </c>
      <c r="S239" s="201" t="str">
        <f aca="false">IF(A240="","",R239)</f>
        <v/>
      </c>
      <c r="T239" s="185" t="n">
        <v>0</v>
      </c>
      <c r="U239" s="201" t="str">
        <f aca="false">IF(A240="","",T239)</f>
        <v/>
      </c>
      <c r="V239" s="205" t="str">
        <f aca="false">IF($A240="","",IF(AND(MONTH(A239)&gt;3,MONTH(A239)&lt;11),(T239+R239+G239)*Summary!$T$11/(1-Summary!$T$11),(T239+R239+G239)*Summary!$U$11/(1-Summary!$U$11)))</f>
        <v/>
      </c>
      <c r="W239" s="202" t="str">
        <f aca="false">IF($A240="","",(T239+R239+G239+V239))</f>
        <v/>
      </c>
      <c r="X239" s="202" t="str">
        <f aca="false">IF($A240="","",(U239+S239+H239+V239))</f>
        <v/>
      </c>
      <c r="Y239" s="202"/>
      <c r="Z239" s="185" t="str">
        <f aca="false">IF($A240="","",VLOOKUP($A239,Table,MATCH(Z$4,Curves,0)))</f>
        <v/>
      </c>
      <c r="AA239" s="185" t="str">
        <f aca="false">IF($A240="","",VLOOKUP($A239,Table,MATCH(AA$4,Curves,0)))</f>
        <v/>
      </c>
      <c r="AB239" s="185" t="e">
        <f aca="false">SQRT((AA239^2*(A239-$D$3)+Z239^2*(DAY(EOMONTH(A239,0))/2))/AK239)</f>
        <v>#VALUE!</v>
      </c>
      <c r="AC239" s="185" t="str">
        <f aca="false">IF($A240="","",VLOOKUP($A239,Table,MATCH(AC$4,Curves,0)))</f>
        <v/>
      </c>
      <c r="AD239" s="185" t="str">
        <f aca="false">IF($A240="","",VLOOKUP($A239,Table,MATCH(AD$4,Curves,0)))</f>
        <v/>
      </c>
      <c r="AE239" s="185" t="e">
        <f aca="false">SQRT((AD239^2*(A239-$D$3)+AC239^2*(DAY(EOMONTH(A239,0))/2))/AK239)</f>
        <v>#VALUE!</v>
      </c>
      <c r="AF239" s="206" t="e">
        <f aca="false">((Summary!$N$11*(AA239*AD239)*(A239-$D$3))+(Summary!$M$11*Z239*AC239*(AJ239-EOMONTH(EDATE(A239,-1),0))))/(AK239*AB239*AE239)</f>
        <v>#VALUE!</v>
      </c>
      <c r="AG239" s="207" t="str">
        <f aca="false">IF($A240="","",Summary!$Q$11)</f>
        <v/>
      </c>
      <c r="AH239" s="207" t="str">
        <f aca="false">IF($A240="","",IF(Summary!$R$11="Y",(VLOOKUP($A239,Summary!$AD$6:$AF$9,3)+'Escalating commodity'!G252),'Escalating commodity'!G252))</f>
        <v/>
      </c>
      <c r="AI239" s="207" t="str">
        <f aca="false">IF($A240="","",AH239)</f>
        <v/>
      </c>
      <c r="AJ239" s="208" t="e">
        <f aca="false">A239+DAY(EOMONTH(A239,0))/2-1</f>
        <v>#VALUE!</v>
      </c>
      <c r="AK239" s="209" t="str">
        <f aca="false">IF($A240="","",$A239-$E$1)</f>
        <v/>
      </c>
      <c r="AL239" s="182" t="str">
        <f aca="false">IF($A240="","",SPRDOPT(P239,X239,AI239,0,AB239,AE239,AF239,AK239,$AJ$2,0))</f>
        <v/>
      </c>
      <c r="AM239" s="210" t="str">
        <f aca="false">IF($A240="","",MAX(0,O239-W239-AI239))</f>
        <v/>
      </c>
      <c r="AN239" s="211" t="str">
        <f aca="false">IF($A240="","",AL239-AM239)</f>
        <v/>
      </c>
      <c r="AO239" s="137" t="str">
        <f aca="false">IF(A240="","",A240-A239)</f>
        <v/>
      </c>
      <c r="AP239" s="212" t="str">
        <f aca="false">IF(A240="","",CHOOSE(F$3,A240+24,A239))</f>
        <v/>
      </c>
      <c r="AQ239" s="209" t="str">
        <f aca="false">IF(A240="","",AP239-$E$1)</f>
        <v/>
      </c>
      <c r="AR239" s="185" t="n">
        <f aca="false">'ANR OK vs ML7'!AR239</f>
        <v>0.1</v>
      </c>
      <c r="AS239" s="213" t="str">
        <f aca="false">IF(A240="","",1/(1+CHOOSE(F$3,(AR240+($I$3/10000))/2,(AR239+($I$3/10000))/2))^(2*AQ239/365.25))</f>
        <v/>
      </c>
      <c r="AT239" s="137" t="str">
        <f aca="false">IF(A240="","",IF(AND(mthbeg&lt;=A239,mthend&gt;=A239),1,0))</f>
        <v/>
      </c>
      <c r="AU239" s="137" t="str">
        <f aca="false">IF(A240="","",AO239*AT239)</f>
        <v/>
      </c>
      <c r="AW239" s="195" t="str">
        <f aca="false">IF($A240="","",AL239*$E239)</f>
        <v/>
      </c>
      <c r="AX239" s="195" t="str">
        <f aca="false">IF($A240="","",AM239*$E239)</f>
        <v/>
      </c>
      <c r="AY239" s="195" t="str">
        <f aca="false">IF($A240="","",AN239*$E239)</f>
        <v/>
      </c>
      <c r="BA239" s="195" t="str">
        <f aca="false">IF($A240="","",F239*Summary!$Q$11)</f>
        <v/>
      </c>
    </row>
    <row r="240" customFormat="false" ht="12" hidden="false" customHeight="true" outlineLevel="0" collapsed="false">
      <c r="A240" s="196" t="str">
        <f aca="false">IF(A239&lt;mthend,EDATE(A239,1),"")</f>
        <v/>
      </c>
      <c r="B240" s="197" t="str">
        <f aca="false">IF(A240&lt;mthend,B239,"")</f>
        <v/>
      </c>
      <c r="C240" s="215"/>
      <c r="D240" s="197" t="str">
        <f aca="false">IF(A241&lt;&gt;"",B240+C240,"")</f>
        <v/>
      </c>
      <c r="E240" s="199" t="str">
        <f aca="false">IF(A241="","",IF(AND(AT240=1,$H$3=1),D240*AO240,IF($H$3=2,D240,"N/A")))</f>
        <v/>
      </c>
      <c r="F240" s="199" t="str">
        <f aca="false">IF(A241="","",E240*AS240)</f>
        <v/>
      </c>
      <c r="G240" s="200" t="str">
        <f aca="false">IF($A241="","",VLOOKUP($A240,Table,MATCH(G$4,Curves,0)))</f>
        <v/>
      </c>
      <c r="H240" s="201" t="str">
        <f aca="false">IF(A241="","",G240)</f>
        <v/>
      </c>
      <c r="I240" s="202"/>
      <c r="J240" s="200" t="str">
        <f aca="false">IF($A241="","",VLOOKUP($A240,Table,MATCH(J$4,Curves,0)))</f>
        <v/>
      </c>
      <c r="K240" s="201" t="str">
        <f aca="false">IF(A241="","",J240)</f>
        <v/>
      </c>
      <c r="L240" s="200" t="str">
        <f aca="false">IF($A241="","",VLOOKUP($A240,Table,MATCH(L$4,Curves,0)))</f>
        <v/>
      </c>
      <c r="M240" s="201" t="str">
        <f aca="false">IF(A241="","",L240)</f>
        <v/>
      </c>
      <c r="N240" s="203"/>
      <c r="O240" s="200" t="str">
        <f aca="false">IF(A241="","",L240+J240+G240)</f>
        <v/>
      </c>
      <c r="P240" s="200" t="str">
        <f aca="false">IF(A241="","",M240+K240+H240)</f>
        <v/>
      </c>
      <c r="Q240" s="204"/>
      <c r="R240" s="200" t="str">
        <f aca="false">IF($A241="","",VLOOKUP($A240,Table,MATCH(R$4,Curves,0)))</f>
        <v/>
      </c>
      <c r="S240" s="201" t="str">
        <f aca="false">IF(A241="","",R240)</f>
        <v/>
      </c>
      <c r="T240" s="185" t="n">
        <v>0</v>
      </c>
      <c r="U240" s="201" t="str">
        <f aca="false">IF(A241="","",T240)</f>
        <v/>
      </c>
      <c r="V240" s="205" t="str">
        <f aca="false">IF($A241="","",IF(AND(MONTH(A240)&gt;3,MONTH(A240)&lt;11),(T240+R240+G240)*Summary!$T$11/(1-Summary!$T$11),(T240+R240+G240)*Summary!$U$11/(1-Summary!$U$11)))</f>
        <v/>
      </c>
      <c r="W240" s="202" t="str">
        <f aca="false">IF($A241="","",(T240+R240+G240+V240))</f>
        <v/>
      </c>
      <c r="X240" s="202" t="str">
        <f aca="false">IF($A241="","",(U240+S240+H240+V240))</f>
        <v/>
      </c>
      <c r="Y240" s="202"/>
      <c r="Z240" s="185" t="str">
        <f aca="false">IF($A241="","",VLOOKUP($A240,Table,MATCH(Z$4,Curves,0)))</f>
        <v/>
      </c>
      <c r="AA240" s="185" t="str">
        <f aca="false">IF($A241="","",VLOOKUP($A240,Table,MATCH(AA$4,Curves,0)))</f>
        <v/>
      </c>
      <c r="AB240" s="185" t="e">
        <f aca="false">SQRT((AA240^2*(A240-$D$3)+Z240^2*(DAY(EOMONTH(A240,0))/2))/AK240)</f>
        <v>#VALUE!</v>
      </c>
      <c r="AC240" s="185" t="str">
        <f aca="false">IF($A241="","",VLOOKUP($A240,Table,MATCH(AC$4,Curves,0)))</f>
        <v/>
      </c>
      <c r="AD240" s="185" t="str">
        <f aca="false">IF($A241="","",VLOOKUP($A240,Table,MATCH(AD$4,Curves,0)))</f>
        <v/>
      </c>
      <c r="AE240" s="185" t="e">
        <f aca="false">SQRT((AD240^2*(A240-$D$3)+AC240^2*(DAY(EOMONTH(A240,0))/2))/AK240)</f>
        <v>#VALUE!</v>
      </c>
      <c r="AF240" s="206" t="e">
        <f aca="false">((Summary!$N$11*(AA240*AD240)*(A240-$D$3))+(Summary!$M$11*Z240*AC240*(AJ240-EOMONTH(EDATE(A240,-1),0))))/(AK240*AB240*AE240)</f>
        <v>#VALUE!</v>
      </c>
      <c r="AG240" s="207" t="str">
        <f aca="false">IF($A241="","",Summary!$Q$11)</f>
        <v/>
      </c>
      <c r="AH240" s="207" t="str">
        <f aca="false">IF($A241="","",IF(Summary!$R$11="Y",(VLOOKUP($A240,Summary!$AD$6:$AF$9,3)+'Escalating commodity'!G253),'Escalating commodity'!G253))</f>
        <v/>
      </c>
      <c r="AI240" s="207" t="str">
        <f aca="false">IF($A241="","",AH240)</f>
        <v/>
      </c>
      <c r="AJ240" s="208" t="e">
        <f aca="false">A240+DAY(EOMONTH(A240,0))/2-1</f>
        <v>#VALUE!</v>
      </c>
      <c r="AK240" s="209" t="str">
        <f aca="false">IF($A241="","",$A240-$E$1)</f>
        <v/>
      </c>
      <c r="AL240" s="182" t="str">
        <f aca="false">IF($A241="","",SPRDOPT(P240,X240,AI240,0,AB240,AE240,AF240,AK240,$AJ$2,0))</f>
        <v/>
      </c>
      <c r="AM240" s="210" t="str">
        <f aca="false">IF($A241="","",MAX(0,O240-W240-AI240))</f>
        <v/>
      </c>
      <c r="AN240" s="211" t="str">
        <f aca="false">IF($A241="","",AL240-AM240)</f>
        <v/>
      </c>
      <c r="AO240" s="137" t="str">
        <f aca="false">IF(A241="","",A241-A240)</f>
        <v/>
      </c>
      <c r="AP240" s="212" t="str">
        <f aca="false">IF(A241="","",CHOOSE(F$3,A241+24,A240))</f>
        <v/>
      </c>
      <c r="AQ240" s="209" t="str">
        <f aca="false">IF(A241="","",AP240-$E$1)</f>
        <v/>
      </c>
      <c r="AR240" s="185" t="n">
        <f aca="false">'ANR OK vs ML7'!AR240</f>
        <v>0.1</v>
      </c>
      <c r="AS240" s="213" t="str">
        <f aca="false">IF(A241="","",1/(1+CHOOSE(F$3,(AR241+($I$3/10000))/2,(AR240+($I$3/10000))/2))^(2*AQ240/365.25))</f>
        <v/>
      </c>
      <c r="AT240" s="137" t="str">
        <f aca="false">IF(A241="","",IF(AND(mthbeg&lt;=A240,mthend&gt;=A240),1,0))</f>
        <v/>
      </c>
      <c r="AU240" s="137" t="str">
        <f aca="false">IF(A241="","",AO240*AT240)</f>
        <v/>
      </c>
      <c r="AW240" s="195" t="str">
        <f aca="false">IF($A241="","",AL240*$E240)</f>
        <v/>
      </c>
      <c r="AX240" s="195" t="str">
        <f aca="false">IF($A241="","",AM240*$E240)</f>
        <v/>
      </c>
      <c r="AY240" s="195" t="str">
        <f aca="false">IF($A241="","",AN240*$E240)</f>
        <v/>
      </c>
      <c r="BA240" s="195" t="str">
        <f aca="false">IF($A241="","",F240*Summary!$Q$11)</f>
        <v/>
      </c>
    </row>
    <row r="241" customFormat="false" ht="12" hidden="false" customHeight="true" outlineLevel="0" collapsed="false">
      <c r="A241" s="196" t="str">
        <f aca="false">IF(A240&lt;mthend,EDATE(A240,1),"")</f>
        <v/>
      </c>
      <c r="B241" s="197" t="str">
        <f aca="false">IF(A241&lt;mthend,B240,"")</f>
        <v/>
      </c>
      <c r="C241" s="215"/>
      <c r="D241" s="197" t="str">
        <f aca="false">IF(A242&lt;&gt;"",B241+C241,"")</f>
        <v/>
      </c>
      <c r="E241" s="199" t="str">
        <f aca="false">IF(A242="","",IF(AND(AT241=1,$H$3=1),D241*AO241,IF($H$3=2,D241,"N/A")))</f>
        <v/>
      </c>
      <c r="F241" s="199" t="str">
        <f aca="false">IF(A242="","",E241*AS241)</f>
        <v/>
      </c>
      <c r="G241" s="200" t="str">
        <f aca="false">IF($A242="","",VLOOKUP($A241,Table,MATCH(G$4,Curves,0)))</f>
        <v/>
      </c>
      <c r="H241" s="201" t="str">
        <f aca="false">IF(A242="","",G241)</f>
        <v/>
      </c>
      <c r="I241" s="202"/>
      <c r="J241" s="200" t="str">
        <f aca="false">IF($A242="","",VLOOKUP($A241,Table,MATCH(J$4,Curves,0)))</f>
        <v/>
      </c>
      <c r="K241" s="201" t="str">
        <f aca="false">IF(A242="","",J241)</f>
        <v/>
      </c>
      <c r="L241" s="200" t="str">
        <f aca="false">IF($A242="","",VLOOKUP($A241,Table,MATCH(L$4,Curves,0)))</f>
        <v/>
      </c>
      <c r="M241" s="201" t="str">
        <f aca="false">IF(A242="","",L241)</f>
        <v/>
      </c>
      <c r="N241" s="203"/>
      <c r="O241" s="200" t="str">
        <f aca="false">IF(A242="","",L241+J241+G241)</f>
        <v/>
      </c>
      <c r="P241" s="200" t="str">
        <f aca="false">IF(A242="","",M241+K241+H241)</f>
        <v/>
      </c>
      <c r="Q241" s="204"/>
      <c r="R241" s="200" t="str">
        <f aca="false">IF($A242="","",VLOOKUP($A241,Table,MATCH(R$4,Curves,0)))</f>
        <v/>
      </c>
      <c r="S241" s="201" t="str">
        <f aca="false">IF(A242="","",R241)</f>
        <v/>
      </c>
      <c r="T241" s="185" t="n">
        <v>0</v>
      </c>
      <c r="U241" s="201" t="str">
        <f aca="false">IF(A242="","",T241)</f>
        <v/>
      </c>
      <c r="V241" s="205" t="str">
        <f aca="false">IF($A242="","",IF(AND(MONTH(A241)&gt;3,MONTH(A241)&lt;11),(T241+R241+G241)*Summary!$T$11/(1-Summary!$T$11),(T241+R241+G241)*Summary!$U$11/(1-Summary!$U$11)))</f>
        <v/>
      </c>
      <c r="W241" s="202" t="str">
        <f aca="false">IF($A242="","",(T241+R241+G241+V241))</f>
        <v/>
      </c>
      <c r="X241" s="202" t="str">
        <f aca="false">IF($A242="","",(U241+S241+H241+V241))</f>
        <v/>
      </c>
      <c r="Y241" s="202"/>
      <c r="Z241" s="185" t="str">
        <f aca="false">IF($A242="","",VLOOKUP($A241,Table,MATCH(Z$4,Curves,0)))</f>
        <v/>
      </c>
      <c r="AA241" s="185" t="str">
        <f aca="false">IF($A242="","",VLOOKUP($A241,Table,MATCH(AA$4,Curves,0)))</f>
        <v/>
      </c>
      <c r="AB241" s="185" t="e">
        <f aca="false">SQRT((AA241^2*(A241-$D$3)+Z241^2*(DAY(EOMONTH(A241,0))/2))/AK241)</f>
        <v>#VALUE!</v>
      </c>
      <c r="AC241" s="185" t="str">
        <f aca="false">IF($A242="","",VLOOKUP($A241,Table,MATCH(AC$4,Curves,0)))</f>
        <v/>
      </c>
      <c r="AD241" s="185" t="str">
        <f aca="false">IF($A242="","",VLOOKUP($A241,Table,MATCH(AD$4,Curves,0)))</f>
        <v/>
      </c>
      <c r="AE241" s="185" t="e">
        <f aca="false">SQRT((AD241^2*(A241-$D$3)+AC241^2*(DAY(EOMONTH(A241,0))/2))/AK241)</f>
        <v>#VALUE!</v>
      </c>
      <c r="AF241" s="206" t="e">
        <f aca="false">((Summary!$N$11*(AA241*AD241)*(A241-$D$3))+(Summary!$M$11*Z241*AC241*(AJ241-EOMONTH(EDATE(A241,-1),0))))/(AK241*AB241*AE241)</f>
        <v>#VALUE!</v>
      </c>
      <c r="AG241" s="207" t="str">
        <f aca="false">IF($A242="","",Summary!$Q$11)</f>
        <v/>
      </c>
      <c r="AH241" s="207" t="str">
        <f aca="false">IF($A242="","",IF(Summary!$R$11="Y",(VLOOKUP($A241,Summary!$AD$6:$AF$9,3)+'Escalating commodity'!G254),'Escalating commodity'!G254))</f>
        <v/>
      </c>
      <c r="AI241" s="207" t="str">
        <f aca="false">IF($A242="","",AH241)</f>
        <v/>
      </c>
      <c r="AJ241" s="208" t="e">
        <f aca="false">A241+DAY(EOMONTH(A241,0))/2-1</f>
        <v>#VALUE!</v>
      </c>
      <c r="AK241" s="209" t="str">
        <f aca="false">IF($A242="","",$A241-$E$1)</f>
        <v/>
      </c>
      <c r="AL241" s="182" t="str">
        <f aca="false">IF($A242="","",SPRDOPT(P241,X241,AI241,0,AB241,AE241,AF241,AK241,$AJ$2,0))</f>
        <v/>
      </c>
      <c r="AM241" s="210" t="str">
        <f aca="false">IF($A242="","",MAX(0,O241-W241-AI241))</f>
        <v/>
      </c>
      <c r="AN241" s="211" t="str">
        <f aca="false">IF($A242="","",AL241-AM241)</f>
        <v/>
      </c>
      <c r="AO241" s="137" t="str">
        <f aca="false">IF(A242="","",A242-A241)</f>
        <v/>
      </c>
      <c r="AP241" s="212" t="str">
        <f aca="false">IF(A242="","",CHOOSE(F$3,A242+24,A241))</f>
        <v/>
      </c>
      <c r="AQ241" s="209" t="str">
        <f aca="false">IF(A242="","",AP241-$E$1)</f>
        <v/>
      </c>
      <c r="AR241" s="185" t="n">
        <f aca="false">'ANR OK vs ML7'!AR241</f>
        <v>0.1</v>
      </c>
      <c r="AS241" s="213" t="str">
        <f aca="false">IF(A242="","",1/(1+CHOOSE(F$3,(AR242+($I$3/10000))/2,(AR241+($I$3/10000))/2))^(2*AQ241/365.25))</f>
        <v/>
      </c>
      <c r="AT241" s="137" t="str">
        <f aca="false">IF(A242="","",IF(AND(mthbeg&lt;=A241,mthend&gt;=A241),1,0))</f>
        <v/>
      </c>
      <c r="AU241" s="137" t="str">
        <f aca="false">IF(A242="","",AO241*AT241)</f>
        <v/>
      </c>
      <c r="AW241" s="195" t="str">
        <f aca="false">IF($A242="","",AL241*$E241)</f>
        <v/>
      </c>
      <c r="AX241" s="195" t="str">
        <f aca="false">IF($A242="","",AM241*$E241)</f>
        <v/>
      </c>
      <c r="AY241" s="195" t="str">
        <f aca="false">IF($A242="","",AN241*$E241)</f>
        <v/>
      </c>
      <c r="BA241" s="195" t="str">
        <f aca="false">IF($A242="","",F241*Summary!$Q$11)</f>
        <v/>
      </c>
    </row>
    <row r="242" customFormat="false" ht="12" hidden="false" customHeight="true" outlineLevel="0" collapsed="false">
      <c r="A242" s="196" t="str">
        <f aca="false">IF(A241&lt;mthend,EDATE(A241,1),"")</f>
        <v/>
      </c>
      <c r="B242" s="197" t="str">
        <f aca="false">IF(A242&lt;mthend,B241,"")</f>
        <v/>
      </c>
      <c r="C242" s="215"/>
      <c r="D242" s="197" t="str">
        <f aca="false">IF(A243&lt;&gt;"",B242+C242,"")</f>
        <v/>
      </c>
      <c r="E242" s="199" t="str">
        <f aca="false">IF(A243="","",IF(AND(AT242=1,$H$3=1),D242*AO242,IF($H$3=2,D242,"N/A")))</f>
        <v/>
      </c>
      <c r="F242" s="199" t="str">
        <f aca="false">IF(A243="","",E242*AS242)</f>
        <v/>
      </c>
      <c r="G242" s="200" t="str">
        <f aca="false">IF($A243="","",VLOOKUP($A242,Table,MATCH(G$4,Curves,0)))</f>
        <v/>
      </c>
      <c r="H242" s="201" t="str">
        <f aca="false">IF(A243="","",G242)</f>
        <v/>
      </c>
      <c r="I242" s="202"/>
      <c r="J242" s="200" t="str">
        <f aca="false">IF($A243="","",VLOOKUP($A242,Table,MATCH(J$4,Curves,0)))</f>
        <v/>
      </c>
      <c r="K242" s="201" t="str">
        <f aca="false">IF(A243="","",J242)</f>
        <v/>
      </c>
      <c r="L242" s="200" t="str">
        <f aca="false">IF($A243="","",VLOOKUP($A242,Table,MATCH(L$4,Curves,0)))</f>
        <v/>
      </c>
      <c r="M242" s="201" t="str">
        <f aca="false">IF(A243="","",L242)</f>
        <v/>
      </c>
      <c r="N242" s="203"/>
      <c r="O242" s="200" t="str">
        <f aca="false">IF(A243="","",L242+J242+G242)</f>
        <v/>
      </c>
      <c r="P242" s="200" t="str">
        <f aca="false">IF(A243="","",M242+K242+H242)</f>
        <v/>
      </c>
      <c r="Q242" s="204"/>
      <c r="R242" s="200" t="str">
        <f aca="false">IF($A243="","",VLOOKUP($A242,Table,MATCH(R$4,Curves,0)))</f>
        <v/>
      </c>
      <c r="S242" s="201" t="str">
        <f aca="false">IF(A243="","",R242)</f>
        <v/>
      </c>
      <c r="T242" s="185" t="n">
        <v>0</v>
      </c>
      <c r="U242" s="201" t="str">
        <f aca="false">IF(A243="","",T242)</f>
        <v/>
      </c>
      <c r="V242" s="205" t="str">
        <f aca="false">IF($A243="","",IF(AND(MONTH(A242)&gt;3,MONTH(A242)&lt;11),(T242+R242+G242)*Summary!$T$11/(1-Summary!$T$11),(T242+R242+G242)*Summary!$U$11/(1-Summary!$U$11)))</f>
        <v/>
      </c>
      <c r="W242" s="202" t="str">
        <f aca="false">IF($A243="","",(T242+R242+G242+V242))</f>
        <v/>
      </c>
      <c r="X242" s="202" t="str">
        <f aca="false">IF($A243="","",(U242+S242+H242+V242))</f>
        <v/>
      </c>
      <c r="Y242" s="202"/>
      <c r="Z242" s="185" t="str">
        <f aca="false">IF($A243="","",VLOOKUP($A242,Table,MATCH(Z$4,Curves,0)))</f>
        <v/>
      </c>
      <c r="AA242" s="185" t="str">
        <f aca="false">IF($A243="","",VLOOKUP($A242,Table,MATCH(AA$4,Curves,0)))</f>
        <v/>
      </c>
      <c r="AB242" s="185" t="e">
        <f aca="false">SQRT((AA242^2*(A242-$D$3)+Z242^2*(DAY(EOMONTH(A242,0))/2))/AK242)</f>
        <v>#VALUE!</v>
      </c>
      <c r="AC242" s="185" t="str">
        <f aca="false">IF($A243="","",VLOOKUP($A242,Table,MATCH(AC$4,Curves,0)))</f>
        <v/>
      </c>
      <c r="AD242" s="185" t="str">
        <f aca="false">IF($A243="","",VLOOKUP($A242,Table,MATCH(AD$4,Curves,0)))</f>
        <v/>
      </c>
      <c r="AE242" s="185" t="e">
        <f aca="false">SQRT((AD242^2*(A242-$D$3)+AC242^2*(DAY(EOMONTH(A242,0))/2))/AK242)</f>
        <v>#VALUE!</v>
      </c>
      <c r="AF242" s="206" t="e">
        <f aca="false">((Summary!$N$11*(AA242*AD242)*(A242-$D$3))+(Summary!$M$11*Z242*AC242*(AJ242-EOMONTH(EDATE(A242,-1),0))))/(AK242*AB242*AE242)</f>
        <v>#VALUE!</v>
      </c>
      <c r="AG242" s="207" t="str">
        <f aca="false">IF($A243="","",Summary!$Q$11)</f>
        <v/>
      </c>
      <c r="AH242" s="207" t="str">
        <f aca="false">IF($A243="","",IF(Summary!$R$11="Y",(VLOOKUP($A242,Summary!$AD$6:$AF$9,3)+'Escalating commodity'!G255),'Escalating commodity'!G255))</f>
        <v/>
      </c>
      <c r="AI242" s="207" t="str">
        <f aca="false">IF($A243="","",AH242)</f>
        <v/>
      </c>
      <c r="AJ242" s="208" t="e">
        <f aca="false">A242+DAY(EOMONTH(A242,0))/2-1</f>
        <v>#VALUE!</v>
      </c>
      <c r="AK242" s="209" t="str">
        <f aca="false">IF($A243="","",$A242-$E$1)</f>
        <v/>
      </c>
      <c r="AL242" s="182" t="str">
        <f aca="false">IF($A243="","",SPRDOPT(P242,X242,AI242,0,AB242,AE242,AF242,AK242,$AJ$2,0))</f>
        <v/>
      </c>
      <c r="AM242" s="210" t="str">
        <f aca="false">IF($A243="","",MAX(0,O242-W242-AI242))</f>
        <v/>
      </c>
      <c r="AN242" s="211" t="str">
        <f aca="false">IF($A243="","",AL242-AM242)</f>
        <v/>
      </c>
      <c r="AO242" s="137" t="str">
        <f aca="false">IF(A243="","",A243-A242)</f>
        <v/>
      </c>
      <c r="AP242" s="212" t="str">
        <f aca="false">IF(A243="","",CHOOSE(F$3,A243+24,A242))</f>
        <v/>
      </c>
      <c r="AQ242" s="209" t="str">
        <f aca="false">IF(A243="","",AP242-$E$1)</f>
        <v/>
      </c>
      <c r="AR242" s="185" t="n">
        <f aca="false">'ANR OK vs ML7'!AR242</f>
        <v>0.1</v>
      </c>
      <c r="AS242" s="213" t="str">
        <f aca="false">IF(A243="","",1/(1+CHOOSE(F$3,(AR243+($I$3/10000))/2,(AR242+($I$3/10000))/2))^(2*AQ242/365.25))</f>
        <v/>
      </c>
      <c r="AT242" s="137" t="str">
        <f aca="false">IF(A243="","",IF(AND(mthbeg&lt;=A242,mthend&gt;=A242),1,0))</f>
        <v/>
      </c>
      <c r="AU242" s="137" t="str">
        <f aca="false">IF(A243="","",AO242*AT242)</f>
        <v/>
      </c>
      <c r="AW242" s="195" t="str">
        <f aca="false">IF($A243="","",AL242*$E242)</f>
        <v/>
      </c>
      <c r="AX242" s="195" t="str">
        <f aca="false">IF($A243="","",AM242*$E242)</f>
        <v/>
      </c>
      <c r="AY242" s="195" t="str">
        <f aca="false">IF($A243="","",AN242*$E242)</f>
        <v/>
      </c>
      <c r="BA242" s="195" t="str">
        <f aca="false">IF($A243="","",F242*Summary!$Q$11)</f>
        <v/>
      </c>
    </row>
    <row r="243" customFormat="false" ht="12" hidden="false" customHeight="true" outlineLevel="0" collapsed="false">
      <c r="A243" s="196" t="str">
        <f aca="false">IF(A242&lt;mthend,EDATE(A242,1),"")</f>
        <v/>
      </c>
      <c r="B243" s="197" t="str">
        <f aca="false">IF(A243&lt;mthend,B242,"")</f>
        <v/>
      </c>
      <c r="C243" s="215"/>
      <c r="D243" s="197" t="str">
        <f aca="false">IF(A244&lt;&gt;"",B243+C243,"")</f>
        <v/>
      </c>
      <c r="E243" s="199" t="str">
        <f aca="false">IF(A244="","",IF(AND(AT243=1,$H$3=1),D243*AO243,IF($H$3=2,D243,"N/A")))</f>
        <v/>
      </c>
      <c r="F243" s="199" t="str">
        <f aca="false">IF(A244="","",E243*AS243)</f>
        <v/>
      </c>
      <c r="G243" s="200" t="str">
        <f aca="false">IF($A244="","",VLOOKUP($A243,Table,MATCH(G$4,Curves,0)))</f>
        <v/>
      </c>
      <c r="H243" s="201" t="str">
        <f aca="false">IF(A244="","",G243)</f>
        <v/>
      </c>
      <c r="I243" s="202"/>
      <c r="J243" s="200" t="str">
        <f aca="false">IF($A244="","",VLOOKUP($A243,Table,MATCH(J$4,Curves,0)))</f>
        <v/>
      </c>
      <c r="K243" s="201" t="str">
        <f aca="false">IF(A244="","",J243)</f>
        <v/>
      </c>
      <c r="L243" s="200" t="str">
        <f aca="false">IF($A244="","",VLOOKUP($A243,Table,MATCH(L$4,Curves,0)))</f>
        <v/>
      </c>
      <c r="M243" s="201" t="str">
        <f aca="false">IF(A244="","",L243)</f>
        <v/>
      </c>
      <c r="N243" s="203"/>
      <c r="O243" s="200" t="str">
        <f aca="false">IF(A244="","",L243+J243+G243)</f>
        <v/>
      </c>
      <c r="P243" s="200" t="str">
        <f aca="false">IF(A244="","",M243+K243+H243)</f>
        <v/>
      </c>
      <c r="Q243" s="204"/>
      <c r="R243" s="200" t="str">
        <f aca="false">IF($A244="","",VLOOKUP($A243,Table,MATCH(R$4,Curves,0)))</f>
        <v/>
      </c>
      <c r="S243" s="201" t="str">
        <f aca="false">IF(A244="","",R243)</f>
        <v/>
      </c>
      <c r="T243" s="185" t="n">
        <v>0</v>
      </c>
      <c r="U243" s="201" t="str">
        <f aca="false">IF(A244="","",T243)</f>
        <v/>
      </c>
      <c r="V243" s="205" t="str">
        <f aca="false">IF($A244="","",IF(AND(MONTH(A243)&gt;3,MONTH(A243)&lt;11),(T243+R243+G243)*Summary!$T$11/(1-Summary!$T$11),(T243+R243+G243)*Summary!$U$11/(1-Summary!$U$11)))</f>
        <v/>
      </c>
      <c r="W243" s="202" t="str">
        <f aca="false">IF($A244="","",(T243+R243+G243+V243))</f>
        <v/>
      </c>
      <c r="X243" s="202" t="str">
        <f aca="false">IF($A244="","",(U243+S243+H243+V243))</f>
        <v/>
      </c>
      <c r="Y243" s="202"/>
      <c r="Z243" s="185" t="str">
        <f aca="false">IF($A244="","",VLOOKUP($A243,Table,MATCH(Z$4,Curves,0)))</f>
        <v/>
      </c>
      <c r="AA243" s="185" t="str">
        <f aca="false">IF($A244="","",VLOOKUP($A243,Table,MATCH(AA$4,Curves,0)))</f>
        <v/>
      </c>
      <c r="AB243" s="185" t="e">
        <f aca="false">SQRT((AA243^2*(A243-$D$3)+Z243^2*(DAY(EOMONTH(A243,0))/2))/AK243)</f>
        <v>#VALUE!</v>
      </c>
      <c r="AC243" s="185" t="str">
        <f aca="false">IF($A244="","",VLOOKUP($A243,Table,MATCH(AC$4,Curves,0)))</f>
        <v/>
      </c>
      <c r="AD243" s="185" t="str">
        <f aca="false">IF($A244="","",VLOOKUP($A243,Table,MATCH(AD$4,Curves,0)))</f>
        <v/>
      </c>
      <c r="AE243" s="185" t="e">
        <f aca="false">SQRT((AD243^2*(A243-$D$3)+AC243^2*(DAY(EOMONTH(A243,0))/2))/AK243)</f>
        <v>#VALUE!</v>
      </c>
      <c r="AF243" s="206" t="e">
        <f aca="false">((Summary!$N$11*(AA243*AD243)*(A243-$D$3))+(Summary!$M$11*Z243*AC243*(AJ243-EOMONTH(EDATE(A243,-1),0))))/(AK243*AB243*AE243)</f>
        <v>#VALUE!</v>
      </c>
      <c r="AG243" s="207" t="str">
        <f aca="false">IF($A244="","",Summary!$Q$11)</f>
        <v/>
      </c>
      <c r="AH243" s="207" t="str">
        <f aca="false">IF($A244="","",IF(Summary!$R$11="Y",(VLOOKUP($A243,Summary!$AD$6:$AF$9,3)+'Escalating commodity'!G256),'Escalating commodity'!G256))</f>
        <v/>
      </c>
      <c r="AI243" s="207" t="str">
        <f aca="false">IF($A244="","",AH243)</f>
        <v/>
      </c>
      <c r="AJ243" s="208" t="e">
        <f aca="false">A243+DAY(EOMONTH(A243,0))/2-1</f>
        <v>#VALUE!</v>
      </c>
      <c r="AK243" s="209" t="str">
        <f aca="false">IF($A244="","",$A243-$E$1)</f>
        <v/>
      </c>
      <c r="AL243" s="182" t="str">
        <f aca="false">IF($A244="","",SPRDOPT(P243,X243,AI243,0,AB243,AE243,AF243,AK243,$AJ$2,0))</f>
        <v/>
      </c>
      <c r="AM243" s="210" t="str">
        <f aca="false">IF($A244="","",MAX(0,O243-W243-AI243))</f>
        <v/>
      </c>
      <c r="AN243" s="211" t="str">
        <f aca="false">IF($A244="","",AL243-AM243)</f>
        <v/>
      </c>
      <c r="AO243" s="137" t="str">
        <f aca="false">IF(A244="","",A244-A243)</f>
        <v/>
      </c>
      <c r="AP243" s="212" t="str">
        <f aca="false">IF(A244="","",CHOOSE(F$3,A244+24,A243))</f>
        <v/>
      </c>
      <c r="AQ243" s="209" t="str">
        <f aca="false">IF(A244="","",AP243-$E$1)</f>
        <v/>
      </c>
      <c r="AR243" s="185" t="n">
        <f aca="false">'ANR OK vs ML7'!AR243</f>
        <v>0.1</v>
      </c>
      <c r="AS243" s="213" t="str">
        <f aca="false">IF(A244="","",1/(1+CHOOSE(F$3,(AR244+($I$3/10000))/2,(AR243+($I$3/10000))/2))^(2*AQ243/365.25))</f>
        <v/>
      </c>
      <c r="AT243" s="137" t="str">
        <f aca="false">IF(A244="","",IF(AND(mthbeg&lt;=A243,mthend&gt;=A243),1,0))</f>
        <v/>
      </c>
      <c r="AU243" s="137" t="str">
        <f aca="false">IF(A244="","",AO243*AT243)</f>
        <v/>
      </c>
      <c r="AW243" s="195" t="str">
        <f aca="false">IF($A244="","",AL243*$E243)</f>
        <v/>
      </c>
      <c r="AX243" s="195" t="str">
        <f aca="false">IF($A244="","",AM243*$E243)</f>
        <v/>
      </c>
      <c r="AY243" s="195" t="str">
        <f aca="false">IF($A244="","",AN243*$E243)</f>
        <v/>
      </c>
      <c r="BA243" s="195" t="str">
        <f aca="false">IF($A244="","",F243*Summary!$Q$11)</f>
        <v/>
      </c>
    </row>
    <row r="244" customFormat="false" ht="12" hidden="false" customHeight="true" outlineLevel="0" collapsed="false">
      <c r="A244" s="196" t="str">
        <f aca="false">IF(A243&lt;mthend,EDATE(A243,1),"")</f>
        <v/>
      </c>
      <c r="B244" s="197" t="str">
        <f aca="false">IF(A244&lt;mthend,B243,"")</f>
        <v/>
      </c>
      <c r="C244" s="215"/>
      <c r="D244" s="197" t="str">
        <f aca="false">IF(A245&lt;&gt;"",B244+C244,"")</f>
        <v/>
      </c>
      <c r="E244" s="199" t="str">
        <f aca="false">IF(A245="","",IF(AND(AT244=1,$H$3=1),D244*AO244,IF($H$3=2,D244,"N/A")))</f>
        <v/>
      </c>
      <c r="F244" s="199" t="str">
        <f aca="false">IF(A245="","",E244*AS244)</f>
        <v/>
      </c>
      <c r="G244" s="200" t="str">
        <f aca="false">IF($A245="","",VLOOKUP($A244,Table,MATCH(G$4,Curves,0)))</f>
        <v/>
      </c>
      <c r="H244" s="201" t="str">
        <f aca="false">IF(A245="","",G244)</f>
        <v/>
      </c>
      <c r="I244" s="202"/>
      <c r="J244" s="200" t="str">
        <f aca="false">IF($A245="","",VLOOKUP($A244,Table,MATCH(J$4,Curves,0)))</f>
        <v/>
      </c>
      <c r="K244" s="201" t="str">
        <f aca="false">IF(A245="","",J244)</f>
        <v/>
      </c>
      <c r="L244" s="200" t="str">
        <f aca="false">IF($A245="","",VLOOKUP($A244,Table,MATCH(L$4,Curves,0)))</f>
        <v/>
      </c>
      <c r="M244" s="201" t="str">
        <f aca="false">IF(A245="","",L244)</f>
        <v/>
      </c>
      <c r="N244" s="203"/>
      <c r="O244" s="200" t="str">
        <f aca="false">IF(A245="","",L244+J244+G244)</f>
        <v/>
      </c>
      <c r="P244" s="200" t="str">
        <f aca="false">IF(A245="","",M244+K244+H244)</f>
        <v/>
      </c>
      <c r="Q244" s="204"/>
      <c r="R244" s="200" t="str">
        <f aca="false">IF($A245="","",VLOOKUP($A244,Table,MATCH(R$4,Curves,0)))</f>
        <v/>
      </c>
      <c r="S244" s="201" t="str">
        <f aca="false">IF(A245="","",R244)</f>
        <v/>
      </c>
      <c r="T244" s="185" t="n">
        <v>0</v>
      </c>
      <c r="U244" s="201" t="str">
        <f aca="false">IF(A245="","",T244)</f>
        <v/>
      </c>
      <c r="V244" s="205" t="str">
        <f aca="false">IF($A245="","",IF(AND(MONTH(A244)&gt;3,MONTH(A244)&lt;11),(T244+R244+G244)*Summary!$T$11/(1-Summary!$T$11),(T244+R244+G244)*Summary!$U$11/(1-Summary!$U$11)))</f>
        <v/>
      </c>
      <c r="W244" s="202" t="str">
        <f aca="false">IF($A245="","",(T244+R244+G244+V244))</f>
        <v/>
      </c>
      <c r="X244" s="202" t="str">
        <f aca="false">IF($A245="","",(U244+S244+H244+V244))</f>
        <v/>
      </c>
      <c r="Y244" s="202"/>
      <c r="Z244" s="185" t="str">
        <f aca="false">IF($A245="","",VLOOKUP($A244,Table,MATCH(Z$4,Curves,0)))</f>
        <v/>
      </c>
      <c r="AA244" s="185" t="str">
        <f aca="false">IF($A245="","",VLOOKUP($A244,Table,MATCH(AA$4,Curves,0)))</f>
        <v/>
      </c>
      <c r="AB244" s="185" t="e">
        <f aca="false">SQRT((AA244^2*(A244-$D$3)+Z244^2*(DAY(EOMONTH(A244,0))/2))/AK244)</f>
        <v>#VALUE!</v>
      </c>
      <c r="AC244" s="185" t="str">
        <f aca="false">IF($A245="","",VLOOKUP($A244,Table,MATCH(AC$4,Curves,0)))</f>
        <v/>
      </c>
      <c r="AD244" s="185" t="str">
        <f aca="false">IF($A245="","",VLOOKUP($A244,Table,MATCH(AD$4,Curves,0)))</f>
        <v/>
      </c>
      <c r="AE244" s="185" t="e">
        <f aca="false">SQRT((AD244^2*(A244-$D$3)+AC244^2*(DAY(EOMONTH(A244,0))/2))/AK244)</f>
        <v>#VALUE!</v>
      </c>
      <c r="AF244" s="206" t="e">
        <f aca="false">((Summary!$N$11*(AA244*AD244)*(A244-$D$3))+(Summary!$M$11*Z244*AC244*(AJ244-EOMONTH(EDATE(A244,-1),0))))/(AK244*AB244*AE244)</f>
        <v>#VALUE!</v>
      </c>
      <c r="AG244" s="207" t="str">
        <f aca="false">IF($A245="","",Summary!$Q$11)</f>
        <v/>
      </c>
      <c r="AH244" s="207" t="str">
        <f aca="false">IF($A245="","",IF(Summary!$R$11="Y",(VLOOKUP($A244,Summary!$AD$6:$AF$9,3)+'Escalating commodity'!G257),'Escalating commodity'!G257))</f>
        <v/>
      </c>
      <c r="AI244" s="207" t="str">
        <f aca="false">IF($A245="","",AH244)</f>
        <v/>
      </c>
      <c r="AJ244" s="208" t="e">
        <f aca="false">A244+DAY(EOMONTH(A244,0))/2-1</f>
        <v>#VALUE!</v>
      </c>
      <c r="AK244" s="209" t="str">
        <f aca="false">IF($A245="","",$A244-$E$1)</f>
        <v/>
      </c>
      <c r="AL244" s="182" t="str">
        <f aca="false">IF($A245="","",SPRDOPT(P244,X244,AI244,0,AB244,AE244,AF244,AK244,$AJ$2,0))</f>
        <v/>
      </c>
      <c r="AM244" s="210" t="str">
        <f aca="false">IF($A245="","",MAX(0,O244-W244-AI244))</f>
        <v/>
      </c>
      <c r="AN244" s="211" t="str">
        <f aca="false">IF($A245="","",AL244-AM244)</f>
        <v/>
      </c>
      <c r="AO244" s="137" t="str">
        <f aca="false">IF(A245="","",A245-A244)</f>
        <v/>
      </c>
      <c r="AP244" s="212" t="str">
        <f aca="false">IF(A245="","",CHOOSE(F$3,A245+24,A244))</f>
        <v/>
      </c>
      <c r="AQ244" s="209" t="str">
        <f aca="false">IF(A245="","",AP244-$E$1)</f>
        <v/>
      </c>
      <c r="AR244" s="185" t="n">
        <f aca="false">'ANR OK vs ML7'!AR244</f>
        <v>0.1</v>
      </c>
      <c r="AS244" s="213" t="str">
        <f aca="false">IF(A245="","",1/(1+CHOOSE(F$3,(AR245+($I$3/10000))/2,(AR244+($I$3/10000))/2))^(2*AQ244/365.25))</f>
        <v/>
      </c>
      <c r="AT244" s="137" t="str">
        <f aca="false">IF(A245="","",IF(AND(mthbeg&lt;=A244,mthend&gt;=A244),1,0))</f>
        <v/>
      </c>
      <c r="AU244" s="137" t="str">
        <f aca="false">IF(A245="","",AO244*AT244)</f>
        <v/>
      </c>
      <c r="AW244" s="195" t="str">
        <f aca="false">IF($A245="","",AL244*$E244)</f>
        <v/>
      </c>
      <c r="AX244" s="195" t="str">
        <f aca="false">IF($A245="","",AM244*$E244)</f>
        <v/>
      </c>
      <c r="AY244" s="195" t="str">
        <f aca="false">IF($A245="","",AN244*$E244)</f>
        <v/>
      </c>
      <c r="BA244" s="195" t="str">
        <f aca="false">IF($A245="","",F244*Summary!$Q$11)</f>
        <v/>
      </c>
    </row>
    <row r="245" customFormat="false" ht="12" hidden="false" customHeight="true" outlineLevel="0" collapsed="false">
      <c r="A245" s="196" t="str">
        <f aca="false">IF(A244&lt;mthend,EDATE(A244,1),"")</f>
        <v/>
      </c>
      <c r="B245" s="197" t="str">
        <f aca="false">IF(A245&lt;mthend,B244,"")</f>
        <v/>
      </c>
      <c r="C245" s="215"/>
      <c r="D245" s="197" t="str">
        <f aca="false">IF(A246&lt;&gt;"",B245+C245,"")</f>
        <v/>
      </c>
      <c r="E245" s="199" t="str">
        <f aca="false">IF(A246="","",IF(AND(AT245=1,$H$3=1),D245*AO245,IF($H$3=2,D245,"N/A")))</f>
        <v/>
      </c>
      <c r="F245" s="199" t="str">
        <f aca="false">IF(A246="","",E245*AS245)</f>
        <v/>
      </c>
      <c r="G245" s="200" t="str">
        <f aca="false">IF($A246="","",VLOOKUP($A245,Table,MATCH(G$4,Curves,0)))</f>
        <v/>
      </c>
      <c r="H245" s="201" t="str">
        <f aca="false">IF(A246="","",G245)</f>
        <v/>
      </c>
      <c r="I245" s="202"/>
      <c r="J245" s="200" t="str">
        <f aca="false">IF($A246="","",VLOOKUP($A245,Table,MATCH(J$4,Curves,0)))</f>
        <v/>
      </c>
      <c r="K245" s="201" t="str">
        <f aca="false">IF(A246="","",J245)</f>
        <v/>
      </c>
      <c r="L245" s="200" t="str">
        <f aca="false">IF($A246="","",VLOOKUP($A245,Table,MATCH(L$4,Curves,0)))</f>
        <v/>
      </c>
      <c r="M245" s="201" t="str">
        <f aca="false">IF(A246="","",L245)</f>
        <v/>
      </c>
      <c r="N245" s="203"/>
      <c r="O245" s="200" t="str">
        <f aca="false">IF(A246="","",L245+J245+G245)</f>
        <v/>
      </c>
      <c r="P245" s="200" t="str">
        <f aca="false">IF(A246="","",M245+K245+H245)</f>
        <v/>
      </c>
      <c r="Q245" s="204"/>
      <c r="R245" s="200" t="str">
        <f aca="false">IF($A246="","",VLOOKUP($A245,Table,MATCH(R$4,Curves,0)))</f>
        <v/>
      </c>
      <c r="S245" s="201" t="str">
        <f aca="false">IF(A246="","",R245)</f>
        <v/>
      </c>
      <c r="T245" s="185" t="n">
        <v>0</v>
      </c>
      <c r="U245" s="201" t="str">
        <f aca="false">IF(A246="","",T245)</f>
        <v/>
      </c>
      <c r="V245" s="205" t="str">
        <f aca="false">IF($A246="","",IF(AND(MONTH(A245)&gt;3,MONTH(A245)&lt;11),(T245+R245+G245)*Summary!$T$11/(1-Summary!$T$11),(T245+R245+G245)*Summary!$U$11/(1-Summary!$U$11)))</f>
        <v/>
      </c>
      <c r="W245" s="202" t="str">
        <f aca="false">IF($A246="","",(T245+R245+G245+V245))</f>
        <v/>
      </c>
      <c r="X245" s="202" t="str">
        <f aca="false">IF($A246="","",(U245+S245+H245+V245))</f>
        <v/>
      </c>
      <c r="Y245" s="202"/>
      <c r="Z245" s="185" t="str">
        <f aca="false">IF($A246="","",VLOOKUP($A245,Table,MATCH(Z$4,Curves,0)))</f>
        <v/>
      </c>
      <c r="AA245" s="185" t="str">
        <f aca="false">IF($A246="","",VLOOKUP($A245,Table,MATCH(AA$4,Curves,0)))</f>
        <v/>
      </c>
      <c r="AB245" s="185" t="e">
        <f aca="false">SQRT((AA245^2*(A245-$D$3)+Z245^2*(DAY(EOMONTH(A245,0))/2))/AK245)</f>
        <v>#VALUE!</v>
      </c>
      <c r="AC245" s="185" t="str">
        <f aca="false">IF($A246="","",VLOOKUP($A245,Table,MATCH(AC$4,Curves,0)))</f>
        <v/>
      </c>
      <c r="AD245" s="185" t="str">
        <f aca="false">IF($A246="","",VLOOKUP($A245,Table,MATCH(AD$4,Curves,0)))</f>
        <v/>
      </c>
      <c r="AE245" s="185" t="e">
        <f aca="false">SQRT((AD245^2*(A245-$D$3)+AC245^2*(DAY(EOMONTH(A245,0))/2))/AK245)</f>
        <v>#VALUE!</v>
      </c>
      <c r="AF245" s="206" t="e">
        <f aca="false">((Summary!$N$11*(AA245*AD245)*(A245-$D$3))+(Summary!$M$11*Z245*AC245*(AJ245-EOMONTH(EDATE(A245,-1),0))))/(AK245*AB245*AE245)</f>
        <v>#VALUE!</v>
      </c>
      <c r="AG245" s="207" t="str">
        <f aca="false">IF($A246="","",Summary!$Q$11)</f>
        <v/>
      </c>
      <c r="AH245" s="207" t="str">
        <f aca="false">IF($A246="","",IF(Summary!$R$11="Y",(VLOOKUP($A245,Summary!$AD$6:$AF$9,3)+'Escalating commodity'!G258),'Escalating commodity'!G258))</f>
        <v/>
      </c>
      <c r="AI245" s="207" t="str">
        <f aca="false">IF($A246="","",AH245)</f>
        <v/>
      </c>
      <c r="AJ245" s="208" t="e">
        <f aca="false">A245+DAY(EOMONTH(A245,0))/2-1</f>
        <v>#VALUE!</v>
      </c>
      <c r="AK245" s="209" t="str">
        <f aca="false">IF($A246="","",$A245-$E$1)</f>
        <v/>
      </c>
      <c r="AL245" s="182" t="str">
        <f aca="false">IF($A246="","",SPRDOPT(P245,X245,AI245,0,AB245,AE245,AF245,AK245,$AJ$2,0))</f>
        <v/>
      </c>
      <c r="AM245" s="210" t="str">
        <f aca="false">IF($A246="","",MAX(0,O245-W245-AI245))</f>
        <v/>
      </c>
      <c r="AN245" s="211" t="str">
        <f aca="false">IF($A246="","",AL245-AM245)</f>
        <v/>
      </c>
      <c r="AO245" s="137" t="str">
        <f aca="false">IF(A246="","",A246-A245)</f>
        <v/>
      </c>
      <c r="AP245" s="212" t="str">
        <f aca="false">IF(A246="","",CHOOSE(F$3,A246+24,A245))</f>
        <v/>
      </c>
      <c r="AQ245" s="209" t="str">
        <f aca="false">IF(A246="","",AP245-$E$1)</f>
        <v/>
      </c>
      <c r="AR245" s="185" t="n">
        <f aca="false">'ANR OK vs ML7'!AR245</f>
        <v>0.1</v>
      </c>
      <c r="AS245" s="213" t="str">
        <f aca="false">IF(A246="","",1/(1+CHOOSE(F$3,(AR246+($I$3/10000))/2,(AR245+($I$3/10000))/2))^(2*AQ245/365.25))</f>
        <v/>
      </c>
      <c r="AT245" s="137" t="str">
        <f aca="false">IF(A246="","",IF(AND(mthbeg&lt;=A245,mthend&gt;=A245),1,0))</f>
        <v/>
      </c>
      <c r="AU245" s="137" t="str">
        <f aca="false">IF(A246="","",AO245*AT245)</f>
        <v/>
      </c>
      <c r="AW245" s="195" t="str">
        <f aca="false">IF($A246="","",AL245*$E245)</f>
        <v/>
      </c>
      <c r="AX245" s="195" t="str">
        <f aca="false">IF($A246="","",AM245*$E245)</f>
        <v/>
      </c>
      <c r="AY245" s="195" t="str">
        <f aca="false">IF($A246="","",AN245*$E245)</f>
        <v/>
      </c>
      <c r="BA245" s="195" t="str">
        <f aca="false">IF($A246="","",F245*Summary!$Q$11)</f>
        <v/>
      </c>
    </row>
    <row r="246" customFormat="false" ht="12" hidden="false" customHeight="true" outlineLevel="0" collapsed="false">
      <c r="A246" s="196" t="str">
        <f aca="false">IF(A245&lt;mthend,EDATE(A245,1),"")</f>
        <v/>
      </c>
      <c r="B246" s="197" t="str">
        <f aca="false">IF(A246&lt;mthend,B245,"")</f>
        <v/>
      </c>
      <c r="C246" s="215"/>
      <c r="D246" s="197" t="str">
        <f aca="false">IF(A247&lt;&gt;"",B246+C246,"")</f>
        <v/>
      </c>
      <c r="E246" s="199" t="str">
        <f aca="false">IF(A247="","",IF(AND(AT246=1,$H$3=1),D246*AO246,IF($H$3=2,D246,"N/A")))</f>
        <v/>
      </c>
      <c r="F246" s="199" t="str">
        <f aca="false">IF(A247="","",E246*AS246)</f>
        <v/>
      </c>
      <c r="G246" s="200" t="str">
        <f aca="false">IF($A247="","",VLOOKUP($A246,Table,MATCH(G$4,Curves,0)))</f>
        <v/>
      </c>
      <c r="H246" s="201" t="str">
        <f aca="false">IF(A247="","",G246)</f>
        <v/>
      </c>
      <c r="I246" s="202"/>
      <c r="J246" s="200" t="str">
        <f aca="false">IF($A247="","",VLOOKUP($A246,Table,MATCH(J$4,Curves,0)))</f>
        <v/>
      </c>
      <c r="K246" s="201" t="str">
        <f aca="false">IF(A247="","",J246)</f>
        <v/>
      </c>
      <c r="L246" s="200" t="str">
        <f aca="false">IF($A247="","",VLOOKUP($A246,Table,MATCH(L$4,Curves,0)))</f>
        <v/>
      </c>
      <c r="M246" s="201" t="str">
        <f aca="false">IF(A247="","",L246)</f>
        <v/>
      </c>
      <c r="N246" s="203"/>
      <c r="O246" s="200" t="str">
        <f aca="false">IF(A247="","",L246+J246+G246)</f>
        <v/>
      </c>
      <c r="P246" s="200" t="str">
        <f aca="false">IF(A247="","",M246+K246+H246)</f>
        <v/>
      </c>
      <c r="Q246" s="204"/>
      <c r="R246" s="200" t="str">
        <f aca="false">IF($A247="","",VLOOKUP($A246,Table,MATCH(R$4,Curves,0)))</f>
        <v/>
      </c>
      <c r="S246" s="201" t="str">
        <f aca="false">IF(A247="","",R246)</f>
        <v/>
      </c>
      <c r="T246" s="185" t="n">
        <v>0</v>
      </c>
      <c r="U246" s="201" t="str">
        <f aca="false">IF(A247="","",T246)</f>
        <v/>
      </c>
      <c r="V246" s="205" t="str">
        <f aca="false">IF($A247="","",IF(AND(MONTH(A246)&gt;3,MONTH(A246)&lt;11),(T246+R246+G246)*Summary!$T$11/(1-Summary!$T$11),(T246+R246+G246)*Summary!$U$11/(1-Summary!$U$11)))</f>
        <v/>
      </c>
      <c r="W246" s="202" t="str">
        <f aca="false">IF($A247="","",(T246+R246+G246+V246))</f>
        <v/>
      </c>
      <c r="X246" s="202" t="str">
        <f aca="false">IF($A247="","",(U246+S246+H246+V246))</f>
        <v/>
      </c>
      <c r="Y246" s="202"/>
      <c r="Z246" s="185" t="str">
        <f aca="false">IF($A247="","",VLOOKUP($A246,Table,MATCH(Z$4,Curves,0)))</f>
        <v/>
      </c>
      <c r="AA246" s="185" t="str">
        <f aca="false">IF($A247="","",VLOOKUP($A246,Table,MATCH(AA$4,Curves,0)))</f>
        <v/>
      </c>
      <c r="AB246" s="185" t="e">
        <f aca="false">SQRT((AA246^2*(A246-$D$3)+Z246^2*(DAY(EOMONTH(A246,0))/2))/AK246)</f>
        <v>#VALUE!</v>
      </c>
      <c r="AC246" s="185" t="str">
        <f aca="false">IF($A247="","",VLOOKUP($A246,Table,MATCH(AC$4,Curves,0)))</f>
        <v/>
      </c>
      <c r="AD246" s="185" t="str">
        <f aca="false">IF($A247="","",VLOOKUP($A246,Table,MATCH(AD$4,Curves,0)))</f>
        <v/>
      </c>
      <c r="AE246" s="185" t="e">
        <f aca="false">SQRT((AD246^2*(A246-$D$3)+AC246^2*(DAY(EOMONTH(A246,0))/2))/AK246)</f>
        <v>#VALUE!</v>
      </c>
      <c r="AF246" s="206" t="e">
        <f aca="false">((Summary!$N$11*(AA246*AD246)*(A246-$D$3))+(Summary!$M$11*Z246*AC246*(AJ246-EOMONTH(EDATE(A246,-1),0))))/(AK246*AB246*AE246)</f>
        <v>#VALUE!</v>
      </c>
      <c r="AG246" s="207" t="str">
        <f aca="false">IF($A247="","",Summary!$Q$11)</f>
        <v/>
      </c>
      <c r="AH246" s="207" t="str">
        <f aca="false">IF($A247="","",IF(Summary!$R$11="Y",(VLOOKUP($A246,Summary!$AD$6:$AF$9,3)+'Escalating commodity'!G259),'Escalating commodity'!G259))</f>
        <v/>
      </c>
      <c r="AI246" s="207" t="str">
        <f aca="false">IF($A247="","",AH246)</f>
        <v/>
      </c>
      <c r="AJ246" s="208" t="e">
        <f aca="false">A246+DAY(EOMONTH(A246,0))/2-1</f>
        <v>#VALUE!</v>
      </c>
      <c r="AK246" s="209" t="str">
        <f aca="false">IF($A247="","",$A246-$E$1)</f>
        <v/>
      </c>
      <c r="AL246" s="182" t="str">
        <f aca="false">IF($A247="","",SPRDOPT(P246,X246,AI246,0,AB246,AE246,AF246,AK246,$AJ$2,0))</f>
        <v/>
      </c>
      <c r="AM246" s="210" t="str">
        <f aca="false">IF($A247="","",MAX(0,O246-W246-AI246))</f>
        <v/>
      </c>
      <c r="AN246" s="211" t="str">
        <f aca="false">IF($A247="","",AL246-AM246)</f>
        <v/>
      </c>
      <c r="AO246" s="137" t="str">
        <f aca="false">IF(A247="","",A247-A246)</f>
        <v/>
      </c>
      <c r="AP246" s="212" t="str">
        <f aca="false">IF(A247="","",CHOOSE(F$3,A247+24,A246))</f>
        <v/>
      </c>
      <c r="AQ246" s="209" t="str">
        <f aca="false">IF(A247="","",AP246-$E$1)</f>
        <v/>
      </c>
      <c r="AR246" s="185" t="n">
        <f aca="false">'ANR OK vs ML7'!AR246</f>
        <v>0.1</v>
      </c>
      <c r="AS246" s="213" t="str">
        <f aca="false">IF(A247="","",1/(1+CHOOSE(F$3,(AR247+($I$3/10000))/2,(AR246+($I$3/10000))/2))^(2*AQ246/365.25))</f>
        <v/>
      </c>
      <c r="AT246" s="137" t="str">
        <f aca="false">IF(A247="","",IF(AND(mthbeg&lt;=A246,mthend&gt;=A246),1,0))</f>
        <v/>
      </c>
      <c r="AU246" s="137" t="str">
        <f aca="false">IF(A247="","",AO246*AT246)</f>
        <v/>
      </c>
      <c r="AW246" s="195" t="str">
        <f aca="false">IF($A247="","",AL246*$E246)</f>
        <v/>
      </c>
      <c r="AX246" s="195" t="str">
        <f aca="false">IF($A247="","",AM246*$E246)</f>
        <v/>
      </c>
      <c r="AY246" s="195" t="str">
        <f aca="false">IF($A247="","",AN246*$E246)</f>
        <v/>
      </c>
      <c r="BA246" s="195" t="str">
        <f aca="false">IF($A247="","",F246*Summary!$Q$11)</f>
        <v/>
      </c>
    </row>
    <row r="247" customFormat="false" ht="12" hidden="false" customHeight="true" outlineLevel="0" collapsed="false">
      <c r="A247" s="196" t="str">
        <f aca="false">IF(A246&lt;mthend,EDATE(A246,1),"")</f>
        <v/>
      </c>
      <c r="B247" s="197" t="str">
        <f aca="false">IF(A247&lt;mthend,B246,"")</f>
        <v/>
      </c>
      <c r="C247" s="215"/>
      <c r="D247" s="197" t="str">
        <f aca="false">IF(A248&lt;&gt;"",B247+C247,"")</f>
        <v/>
      </c>
      <c r="E247" s="199" t="str">
        <f aca="false">IF(A248="","",IF(AND(AT247=1,$H$3=1),D247*AO247,IF($H$3=2,D247,"N/A")))</f>
        <v/>
      </c>
      <c r="F247" s="199" t="str">
        <f aca="false">IF(A248="","",E247*AS247)</f>
        <v/>
      </c>
      <c r="G247" s="200" t="str">
        <f aca="false">IF($A248="","",VLOOKUP($A247,Table,MATCH(G$4,Curves,0)))</f>
        <v/>
      </c>
      <c r="H247" s="201" t="str">
        <f aca="false">IF(A248="","",G247)</f>
        <v/>
      </c>
      <c r="I247" s="202"/>
      <c r="J247" s="200" t="str">
        <f aca="false">IF($A248="","",VLOOKUP($A247,Table,MATCH(J$4,Curves,0)))</f>
        <v/>
      </c>
      <c r="K247" s="201" t="str">
        <f aca="false">IF(A248="","",J247)</f>
        <v/>
      </c>
      <c r="L247" s="200" t="str">
        <f aca="false">IF($A248="","",VLOOKUP($A247,Table,MATCH(L$4,Curves,0)))</f>
        <v/>
      </c>
      <c r="M247" s="201" t="str">
        <f aca="false">IF(A248="","",L247)</f>
        <v/>
      </c>
      <c r="N247" s="203"/>
      <c r="O247" s="200" t="str">
        <f aca="false">IF(A248="","",L247+J247+G247)</f>
        <v/>
      </c>
      <c r="P247" s="200" t="str">
        <f aca="false">IF(A248="","",M247+K247+H247)</f>
        <v/>
      </c>
      <c r="Q247" s="204"/>
      <c r="R247" s="200" t="str">
        <f aca="false">IF($A248="","",VLOOKUP($A247,Table,MATCH(R$4,Curves,0)))</f>
        <v/>
      </c>
      <c r="S247" s="201" t="str">
        <f aca="false">IF(A248="","",R247)</f>
        <v/>
      </c>
      <c r="T247" s="185" t="n">
        <v>0</v>
      </c>
      <c r="U247" s="201" t="str">
        <f aca="false">IF(A248="","",T247)</f>
        <v/>
      </c>
      <c r="V247" s="205" t="str">
        <f aca="false">IF($A248="","",IF(AND(MONTH(A247)&gt;3,MONTH(A247)&lt;11),(T247+R247+G247)*Summary!$T$11/(1-Summary!$T$11),(T247+R247+G247)*Summary!$U$11/(1-Summary!$U$11)))</f>
        <v/>
      </c>
      <c r="W247" s="202" t="str">
        <f aca="false">IF($A248="","",(T247+R247+G247+V247))</f>
        <v/>
      </c>
      <c r="X247" s="202" t="str">
        <f aca="false">IF($A248="","",(U247+S247+H247+V247))</f>
        <v/>
      </c>
      <c r="Y247" s="202"/>
      <c r="Z247" s="185" t="str">
        <f aca="false">IF($A248="","",VLOOKUP($A247,Table,MATCH(Z$4,Curves,0)))</f>
        <v/>
      </c>
      <c r="AA247" s="185" t="str">
        <f aca="false">IF($A248="","",VLOOKUP($A247,Table,MATCH(AA$4,Curves,0)))</f>
        <v/>
      </c>
      <c r="AB247" s="185" t="e">
        <f aca="false">SQRT((AA247^2*(A247-$D$3)+Z247^2*(DAY(EOMONTH(A247,0))/2))/AK247)</f>
        <v>#VALUE!</v>
      </c>
      <c r="AC247" s="185" t="str">
        <f aca="false">IF($A248="","",VLOOKUP($A247,Table,MATCH(AC$4,Curves,0)))</f>
        <v/>
      </c>
      <c r="AD247" s="185" t="str">
        <f aca="false">IF($A248="","",VLOOKUP($A247,Table,MATCH(AD$4,Curves,0)))</f>
        <v/>
      </c>
      <c r="AE247" s="185" t="e">
        <f aca="false">SQRT((AD247^2*(A247-$D$3)+AC247^2*(DAY(EOMONTH(A247,0))/2))/AK247)</f>
        <v>#VALUE!</v>
      </c>
      <c r="AF247" s="206" t="e">
        <f aca="false">((Summary!$N$11*(AA247*AD247)*(A247-$D$3))+(Summary!$M$11*Z247*AC247*(AJ247-EOMONTH(EDATE(A247,-1),0))))/(AK247*AB247*AE247)</f>
        <v>#VALUE!</v>
      </c>
      <c r="AG247" s="207" t="str">
        <f aca="false">IF($A248="","",Summary!$Q$11)</f>
        <v/>
      </c>
      <c r="AH247" s="207" t="str">
        <f aca="false">IF($A248="","",IF(Summary!$R$11="Y",(VLOOKUP($A247,Summary!$AD$6:$AF$9,3)+'Escalating commodity'!G260),'Escalating commodity'!G260))</f>
        <v/>
      </c>
      <c r="AI247" s="207" t="str">
        <f aca="false">IF($A248="","",AH247)</f>
        <v/>
      </c>
      <c r="AJ247" s="208" t="e">
        <f aca="false">A247+DAY(EOMONTH(A247,0))/2-1</f>
        <v>#VALUE!</v>
      </c>
      <c r="AK247" s="209" t="str">
        <f aca="false">IF($A248="","",$A247-$E$1)</f>
        <v/>
      </c>
      <c r="AL247" s="182" t="str">
        <f aca="false">IF($A248="","",SPRDOPT(P247,X247,AI247,0,AB247,AE247,AF247,AK247,$AJ$2,0))</f>
        <v/>
      </c>
      <c r="AM247" s="210" t="str">
        <f aca="false">IF($A248="","",MAX(0,O247-W247-AI247))</f>
        <v/>
      </c>
      <c r="AN247" s="211" t="str">
        <f aca="false">IF($A248="","",AL247-AM247)</f>
        <v/>
      </c>
      <c r="AO247" s="137" t="str">
        <f aca="false">IF(A248="","",A248-A247)</f>
        <v/>
      </c>
      <c r="AP247" s="212" t="str">
        <f aca="false">IF(A248="","",CHOOSE(F$3,A248+24,A247))</f>
        <v/>
      </c>
      <c r="AQ247" s="209" t="str">
        <f aca="false">IF(A248="","",AP247-$E$1)</f>
        <v/>
      </c>
      <c r="AR247" s="185" t="n">
        <f aca="false">'ANR OK vs ML7'!AR247</f>
        <v>0.1</v>
      </c>
      <c r="AS247" s="213" t="str">
        <f aca="false">IF(A248="","",1/(1+CHOOSE(F$3,(AR248+($I$3/10000))/2,(AR247+($I$3/10000))/2))^(2*AQ247/365.25))</f>
        <v/>
      </c>
      <c r="AT247" s="137" t="str">
        <f aca="false">IF(A248="","",IF(AND(mthbeg&lt;=A247,mthend&gt;=A247),1,0))</f>
        <v/>
      </c>
      <c r="AU247" s="137" t="str">
        <f aca="false">IF(A248="","",AO247*AT247)</f>
        <v/>
      </c>
      <c r="AW247" s="195" t="str">
        <f aca="false">IF($A248="","",AL247*$E247)</f>
        <v/>
      </c>
      <c r="AX247" s="195" t="str">
        <f aca="false">IF($A248="","",AM247*$E247)</f>
        <v/>
      </c>
      <c r="AY247" s="195" t="str">
        <f aca="false">IF($A248="","",AN247*$E247)</f>
        <v/>
      </c>
      <c r="BA247" s="195" t="str">
        <f aca="false">IF($A248="","",F247*Summary!$Q$11)</f>
        <v/>
      </c>
    </row>
    <row r="248" customFormat="false" ht="12" hidden="false" customHeight="true" outlineLevel="0" collapsed="false">
      <c r="A248" s="196" t="str">
        <f aca="false">IF(A247&lt;mthend,EDATE(A247,1),"")</f>
        <v/>
      </c>
      <c r="B248" s="197" t="str">
        <f aca="false">IF(A248&lt;mthend,B247,"")</f>
        <v/>
      </c>
      <c r="C248" s="215"/>
      <c r="D248" s="197" t="str">
        <f aca="false">IF(A249&lt;&gt;"",B248+C248,"")</f>
        <v/>
      </c>
      <c r="E248" s="199" t="str">
        <f aca="false">IF(A249="","",IF(AND(AT248=1,$H$3=1),D248*AO248,IF($H$3=2,D248,"N/A")))</f>
        <v/>
      </c>
      <c r="F248" s="199" t="str">
        <f aca="false">IF(A249="","",E248*AS248)</f>
        <v/>
      </c>
      <c r="G248" s="200" t="str">
        <f aca="false">IF($A249="","",VLOOKUP($A248,Table,MATCH(G$4,Curves,0)))</f>
        <v/>
      </c>
      <c r="H248" s="201" t="str">
        <f aca="false">IF(A249="","",G248)</f>
        <v/>
      </c>
      <c r="I248" s="202"/>
      <c r="J248" s="200" t="str">
        <f aca="false">IF($A249="","",VLOOKUP($A248,Table,MATCH(J$4,Curves,0)))</f>
        <v/>
      </c>
      <c r="K248" s="201" t="str">
        <f aca="false">IF(A249="","",J248)</f>
        <v/>
      </c>
      <c r="L248" s="200" t="str">
        <f aca="false">IF($A249="","",VLOOKUP($A248,Table,MATCH(L$4,Curves,0)))</f>
        <v/>
      </c>
      <c r="M248" s="201" t="str">
        <f aca="false">IF(A249="","",L248)</f>
        <v/>
      </c>
      <c r="N248" s="203"/>
      <c r="O248" s="200" t="str">
        <f aca="false">IF(A249="","",L248+J248+G248)</f>
        <v/>
      </c>
      <c r="P248" s="200" t="str">
        <f aca="false">IF(A249="","",M248+K248+H248)</f>
        <v/>
      </c>
      <c r="Q248" s="204"/>
      <c r="R248" s="200" t="str">
        <f aca="false">IF($A249="","",VLOOKUP($A248,Table,MATCH(R$4,Curves,0)))</f>
        <v/>
      </c>
      <c r="S248" s="201" t="str">
        <f aca="false">IF(A249="","",R248)</f>
        <v/>
      </c>
      <c r="T248" s="185" t="n">
        <v>0</v>
      </c>
      <c r="U248" s="201" t="str">
        <f aca="false">IF(A249="","",T248)</f>
        <v/>
      </c>
      <c r="V248" s="205" t="str">
        <f aca="false">IF($A249="","",IF(AND(MONTH(A248)&gt;3,MONTH(A248)&lt;11),(T248+R248+G248)*Summary!$T$11/(1-Summary!$T$11),(T248+R248+G248)*Summary!$U$11/(1-Summary!$U$11)))</f>
        <v/>
      </c>
      <c r="W248" s="202" t="str">
        <f aca="false">IF($A249="","",(T248+R248+G248+V248))</f>
        <v/>
      </c>
      <c r="X248" s="202" t="str">
        <f aca="false">IF($A249="","",(U248+S248+H248+V248))</f>
        <v/>
      </c>
      <c r="Y248" s="202"/>
      <c r="Z248" s="185" t="str">
        <f aca="false">IF($A249="","",VLOOKUP($A248,Table,MATCH(Z$4,Curves,0)))</f>
        <v/>
      </c>
      <c r="AA248" s="185" t="str">
        <f aca="false">IF($A249="","",VLOOKUP($A248,Table,MATCH(AA$4,Curves,0)))</f>
        <v/>
      </c>
      <c r="AB248" s="185" t="e">
        <f aca="false">SQRT((AA248^2*(A248-$D$3)+Z248^2*(DAY(EOMONTH(A248,0))/2))/AK248)</f>
        <v>#VALUE!</v>
      </c>
      <c r="AC248" s="185" t="str">
        <f aca="false">IF($A249="","",VLOOKUP($A248,Table,MATCH(AC$4,Curves,0)))</f>
        <v/>
      </c>
      <c r="AD248" s="185" t="str">
        <f aca="false">IF($A249="","",VLOOKUP($A248,Table,MATCH(AD$4,Curves,0)))</f>
        <v/>
      </c>
      <c r="AE248" s="185" t="e">
        <f aca="false">SQRT((AD248^2*(A248-$D$3)+AC248^2*(DAY(EOMONTH(A248,0))/2))/AK248)</f>
        <v>#VALUE!</v>
      </c>
      <c r="AF248" s="206" t="e">
        <f aca="false">((Summary!$N$11*(AA248*AD248)*(A248-$D$3))+(Summary!$M$11*Z248*AC248*(AJ248-EOMONTH(EDATE(A248,-1),0))))/(AK248*AB248*AE248)</f>
        <v>#VALUE!</v>
      </c>
      <c r="AG248" s="207" t="str">
        <f aca="false">IF($A249="","",Summary!$Q$11)</f>
        <v/>
      </c>
      <c r="AH248" s="207" t="str">
        <f aca="false">IF($A249="","",IF(Summary!$R$11="Y",(VLOOKUP($A248,Summary!$AD$6:$AF$9,3)+'Escalating commodity'!G261),'Escalating commodity'!G261))</f>
        <v/>
      </c>
      <c r="AI248" s="207" t="str">
        <f aca="false">IF($A249="","",AH248)</f>
        <v/>
      </c>
      <c r="AJ248" s="208" t="e">
        <f aca="false">A248+DAY(EOMONTH(A248,0))/2-1</f>
        <v>#VALUE!</v>
      </c>
      <c r="AK248" s="209" t="str">
        <f aca="false">IF($A249="","",$A248-$E$1)</f>
        <v/>
      </c>
      <c r="AL248" s="182" t="str">
        <f aca="false">IF($A249="","",SPRDOPT(P248,X248,AI248,0,AB248,AE248,AF248,AK248,$AJ$2,0))</f>
        <v/>
      </c>
      <c r="AM248" s="210" t="str">
        <f aca="false">IF($A249="","",MAX(0,O248-W248-AI248))</f>
        <v/>
      </c>
      <c r="AN248" s="211" t="str">
        <f aca="false">IF($A249="","",AL248-AM248)</f>
        <v/>
      </c>
      <c r="AO248" s="137" t="str">
        <f aca="false">IF(A249="","",A249-A248)</f>
        <v/>
      </c>
      <c r="AP248" s="212" t="str">
        <f aca="false">IF(A249="","",CHOOSE(F$3,A249+24,A248))</f>
        <v/>
      </c>
      <c r="AQ248" s="209" t="str">
        <f aca="false">IF(A249="","",AP248-$E$1)</f>
        <v/>
      </c>
      <c r="AR248" s="185" t="n">
        <f aca="false">'ANR OK vs ML7'!AR248</f>
        <v>0.1</v>
      </c>
      <c r="AS248" s="213" t="str">
        <f aca="false">IF(A249="","",1/(1+CHOOSE(F$3,(AR249+($I$3/10000))/2,(AR248+($I$3/10000))/2))^(2*AQ248/365.25))</f>
        <v/>
      </c>
      <c r="AT248" s="137" t="str">
        <f aca="false">IF(A249="","",IF(AND(mthbeg&lt;=A248,mthend&gt;=A248),1,0))</f>
        <v/>
      </c>
      <c r="AU248" s="137" t="str">
        <f aca="false">IF(A249="","",AO248*AT248)</f>
        <v/>
      </c>
      <c r="AW248" s="195" t="str">
        <f aca="false">IF($A249="","",AL248*$E248)</f>
        <v/>
      </c>
      <c r="AX248" s="195" t="str">
        <f aca="false">IF($A249="","",AM248*$E248)</f>
        <v/>
      </c>
      <c r="AY248" s="195" t="str">
        <f aca="false">IF($A249="","",AN248*$E248)</f>
        <v/>
      </c>
      <c r="BA248" s="195" t="str">
        <f aca="false">IF($A249="","",F248*Summary!$Q$11)</f>
        <v/>
      </c>
    </row>
    <row r="249" customFormat="false" ht="12" hidden="false" customHeight="true" outlineLevel="0" collapsed="false">
      <c r="A249" s="196" t="str">
        <f aca="false">IF(A248&lt;mthend,EDATE(A248,1),"")</f>
        <v/>
      </c>
      <c r="B249" s="197" t="str">
        <f aca="false">IF(A249&lt;mthend,B248,"")</f>
        <v/>
      </c>
      <c r="C249" s="215"/>
      <c r="D249" s="197" t="str">
        <f aca="false">IF(A250&lt;&gt;"",B249+C249,"")</f>
        <v/>
      </c>
      <c r="E249" s="199" t="str">
        <f aca="false">IF(A250="","",IF(AND(AT249=1,$H$3=1),D249*AO249,IF($H$3=2,D249,"N/A")))</f>
        <v/>
      </c>
      <c r="F249" s="199" t="str">
        <f aca="false">IF(A250="","",E249*AS249)</f>
        <v/>
      </c>
      <c r="G249" s="200" t="str">
        <f aca="false">IF($A250="","",VLOOKUP($A249,Table,MATCH(G$4,Curves,0)))</f>
        <v/>
      </c>
      <c r="H249" s="201" t="str">
        <f aca="false">IF(A250="","",G249)</f>
        <v/>
      </c>
      <c r="I249" s="202"/>
      <c r="J249" s="200" t="str">
        <f aca="false">IF($A250="","",VLOOKUP($A249,Table,MATCH(J$4,Curves,0)))</f>
        <v/>
      </c>
      <c r="K249" s="201" t="str">
        <f aca="false">IF(A250="","",J249)</f>
        <v/>
      </c>
      <c r="L249" s="200" t="str">
        <f aca="false">IF($A250="","",VLOOKUP($A249,Table,MATCH(L$4,Curves,0)))</f>
        <v/>
      </c>
      <c r="M249" s="201" t="str">
        <f aca="false">IF(A250="","",L249)</f>
        <v/>
      </c>
      <c r="N249" s="203"/>
      <c r="O249" s="200" t="str">
        <f aca="false">IF(A250="","",L249+J249+G249)</f>
        <v/>
      </c>
      <c r="P249" s="200" t="str">
        <f aca="false">IF(A250="","",M249+K249+H249)</f>
        <v/>
      </c>
      <c r="Q249" s="204"/>
      <c r="R249" s="200" t="str">
        <f aca="false">IF($A250="","",VLOOKUP($A249,Table,MATCH(R$4,Curves,0)))</f>
        <v/>
      </c>
      <c r="S249" s="201" t="str">
        <f aca="false">IF(A250="","",R249)</f>
        <v/>
      </c>
      <c r="T249" s="185" t="n">
        <v>0</v>
      </c>
      <c r="U249" s="201" t="str">
        <f aca="false">IF(A250="","",T249)</f>
        <v/>
      </c>
      <c r="V249" s="205" t="str">
        <f aca="false">IF($A250="","",IF(AND(MONTH(A249)&gt;3,MONTH(A249)&lt;11),(T249+R249+G249)*Summary!$T$11/(1-Summary!$T$11),(T249+R249+G249)*Summary!$U$11/(1-Summary!$U$11)))</f>
        <v/>
      </c>
      <c r="W249" s="202" t="str">
        <f aca="false">IF($A250="","",(T249+R249+G249+V249))</f>
        <v/>
      </c>
      <c r="X249" s="202" t="str">
        <f aca="false">IF($A250="","",(U249+S249+H249+V249))</f>
        <v/>
      </c>
      <c r="Y249" s="202"/>
      <c r="Z249" s="185" t="str">
        <f aca="false">IF($A250="","",VLOOKUP($A249,Table,MATCH(Z$4,Curves,0)))</f>
        <v/>
      </c>
      <c r="AA249" s="185" t="str">
        <f aca="false">IF($A250="","",VLOOKUP($A249,Table,MATCH(AA$4,Curves,0)))</f>
        <v/>
      </c>
      <c r="AB249" s="185" t="e">
        <f aca="false">SQRT((AA249^2*(A249-$D$3)+Z249^2*(DAY(EOMONTH(A249,0))/2))/AK249)</f>
        <v>#VALUE!</v>
      </c>
      <c r="AC249" s="185" t="str">
        <f aca="false">IF($A250="","",VLOOKUP($A249,Table,MATCH(AC$4,Curves,0)))</f>
        <v/>
      </c>
      <c r="AD249" s="185" t="str">
        <f aca="false">IF($A250="","",VLOOKUP($A249,Table,MATCH(AD$4,Curves,0)))</f>
        <v/>
      </c>
      <c r="AE249" s="185" t="e">
        <f aca="false">SQRT((AD249^2*(A249-$D$3)+AC249^2*(DAY(EOMONTH(A249,0))/2))/AK249)</f>
        <v>#VALUE!</v>
      </c>
      <c r="AF249" s="206" t="e">
        <f aca="false">((Summary!$N$11*(AA249*AD249)*(A249-$D$3))+(Summary!$M$11*Z249*AC249*(AJ249-EOMONTH(EDATE(A249,-1),0))))/(AK249*AB249*AE249)</f>
        <v>#VALUE!</v>
      </c>
      <c r="AG249" s="207" t="str">
        <f aca="false">IF($A250="","",Summary!$Q$11)</f>
        <v/>
      </c>
      <c r="AH249" s="207" t="str">
        <f aca="false">IF($A250="","",IF(Summary!$R$11="Y",(VLOOKUP($A249,Summary!$AD$6:$AF$9,3)+'Escalating commodity'!G262),'Escalating commodity'!G262))</f>
        <v/>
      </c>
      <c r="AI249" s="207" t="str">
        <f aca="false">IF($A250="","",AH249)</f>
        <v/>
      </c>
      <c r="AJ249" s="208" t="e">
        <f aca="false">A249+DAY(EOMONTH(A249,0))/2-1</f>
        <v>#VALUE!</v>
      </c>
      <c r="AK249" s="209" t="str">
        <f aca="false">IF($A250="","",$A249-$E$1)</f>
        <v/>
      </c>
      <c r="AL249" s="182" t="str">
        <f aca="false">IF($A250="","",SPRDOPT(P249,X249,AI249,0,AB249,AE249,AF249,AK249,$AJ$2,0))</f>
        <v/>
      </c>
      <c r="AM249" s="210" t="str">
        <f aca="false">IF($A250="","",MAX(0,O249-W249-AI249))</f>
        <v/>
      </c>
      <c r="AN249" s="211" t="str">
        <f aca="false">IF($A250="","",AL249-AM249)</f>
        <v/>
      </c>
      <c r="AO249" s="137" t="str">
        <f aca="false">IF(A250="","",A250-A249)</f>
        <v/>
      </c>
      <c r="AP249" s="212" t="str">
        <f aca="false">IF(A250="","",CHOOSE(F$3,A250+24,A249))</f>
        <v/>
      </c>
      <c r="AQ249" s="209" t="str">
        <f aca="false">IF(A250="","",AP249-$E$1)</f>
        <v/>
      </c>
      <c r="AR249" s="185" t="n">
        <f aca="false">'ANR OK vs ML7'!AR249</f>
        <v>0.1</v>
      </c>
      <c r="AS249" s="213" t="str">
        <f aca="false">IF(A250="","",1/(1+CHOOSE(F$3,(AR250+($I$3/10000))/2,(AR249+($I$3/10000))/2))^(2*AQ249/365.25))</f>
        <v/>
      </c>
      <c r="AT249" s="137" t="str">
        <f aca="false">IF(A250="","",IF(AND(mthbeg&lt;=A249,mthend&gt;=A249),1,0))</f>
        <v/>
      </c>
      <c r="AU249" s="137" t="str">
        <f aca="false">IF(A250="","",AO249*AT249)</f>
        <v/>
      </c>
      <c r="AW249" s="195" t="str">
        <f aca="false">IF($A250="","",AL249*$E249)</f>
        <v/>
      </c>
      <c r="AX249" s="195" t="str">
        <f aca="false">IF($A250="","",AM249*$E249)</f>
        <v/>
      </c>
      <c r="AY249" s="195" t="str">
        <f aca="false">IF($A250="","",AN249*$E249)</f>
        <v/>
      </c>
      <c r="BA249" s="195" t="str">
        <f aca="false">IF($A250="","",F249*Summary!$Q$11)</f>
        <v/>
      </c>
    </row>
    <row r="250" customFormat="false" ht="12" hidden="false" customHeight="true" outlineLevel="0" collapsed="false">
      <c r="A250" s="196" t="str">
        <f aca="false">IF(A249&lt;mthend,EDATE(A249,1),"")</f>
        <v/>
      </c>
      <c r="B250" s="197" t="str">
        <f aca="false">IF(A250&lt;mthend,B249,"")</f>
        <v/>
      </c>
      <c r="C250" s="215"/>
      <c r="D250" s="197" t="str">
        <f aca="false">IF(A251&lt;&gt;"",B250+C250,"")</f>
        <v/>
      </c>
      <c r="E250" s="199" t="str">
        <f aca="false">IF(A251="","",IF(AND(AT250=1,$H$3=1),D250*AO250,IF($H$3=2,D250,"N/A")))</f>
        <v/>
      </c>
      <c r="F250" s="199" t="str">
        <f aca="false">IF(A251="","",E250*AS250)</f>
        <v/>
      </c>
      <c r="G250" s="200" t="str">
        <f aca="false">IF($A251="","",VLOOKUP($A250,Table,MATCH(G$4,Curves,0)))</f>
        <v/>
      </c>
      <c r="H250" s="201" t="str">
        <f aca="false">IF(A251="","",G250)</f>
        <v/>
      </c>
      <c r="I250" s="202"/>
      <c r="J250" s="200" t="str">
        <f aca="false">IF($A251="","",VLOOKUP($A250,Table,MATCH(J$4,Curves,0)))</f>
        <v/>
      </c>
      <c r="K250" s="201" t="str">
        <f aca="false">IF(A251="","",J250)</f>
        <v/>
      </c>
      <c r="L250" s="200" t="str">
        <f aca="false">IF($A251="","",VLOOKUP($A250,Table,MATCH(L$4,Curves,0)))</f>
        <v/>
      </c>
      <c r="M250" s="201" t="str">
        <f aca="false">IF(A251="","",L250)</f>
        <v/>
      </c>
      <c r="N250" s="203"/>
      <c r="O250" s="200" t="str">
        <f aca="false">IF(A251="","",L250+J250+G250)</f>
        <v/>
      </c>
      <c r="P250" s="200" t="str">
        <f aca="false">IF(A251="","",M250+K250+H250)</f>
        <v/>
      </c>
      <c r="Q250" s="204"/>
      <c r="R250" s="200" t="str">
        <f aca="false">IF($A251="","",VLOOKUP($A250,Table,MATCH(R$4,Curves,0)))</f>
        <v/>
      </c>
      <c r="S250" s="201" t="str">
        <f aca="false">IF(A251="","",R250)</f>
        <v/>
      </c>
      <c r="T250" s="185" t="n">
        <v>0</v>
      </c>
      <c r="U250" s="201" t="str">
        <f aca="false">IF(A251="","",T250)</f>
        <v/>
      </c>
      <c r="V250" s="205" t="str">
        <f aca="false">IF($A251="","",IF(AND(MONTH(A250)&gt;3,MONTH(A250)&lt;11),(T250+R250+G250)*Summary!$T$11/(1-Summary!$T$11),(T250+R250+G250)*Summary!$U$11/(1-Summary!$U$11)))</f>
        <v/>
      </c>
      <c r="W250" s="202" t="str">
        <f aca="false">IF($A251="","",(T250+R250+G250+V250))</f>
        <v/>
      </c>
      <c r="X250" s="202" t="str">
        <f aca="false">IF($A251="","",(U250+S250+H250+V250))</f>
        <v/>
      </c>
      <c r="Y250" s="202"/>
      <c r="Z250" s="185" t="str">
        <f aca="false">IF($A251="","",VLOOKUP($A250,Table,MATCH(Z$4,Curves,0)))</f>
        <v/>
      </c>
      <c r="AA250" s="185" t="str">
        <f aca="false">IF($A251="","",VLOOKUP($A250,Table,MATCH(AA$4,Curves,0)))</f>
        <v/>
      </c>
      <c r="AB250" s="185" t="e">
        <f aca="false">SQRT((AA250^2*(A250-$D$3)+Z250^2*(DAY(EOMONTH(A250,0))/2))/AK250)</f>
        <v>#VALUE!</v>
      </c>
      <c r="AC250" s="185" t="str">
        <f aca="false">IF($A251="","",VLOOKUP($A250,Table,MATCH(AC$4,Curves,0)))</f>
        <v/>
      </c>
      <c r="AD250" s="185" t="str">
        <f aca="false">IF($A251="","",VLOOKUP($A250,Table,MATCH(AD$4,Curves,0)))</f>
        <v/>
      </c>
      <c r="AE250" s="185" t="e">
        <f aca="false">SQRT((AD250^2*(A250-$D$3)+AC250^2*(DAY(EOMONTH(A250,0))/2))/AK250)</f>
        <v>#VALUE!</v>
      </c>
      <c r="AF250" s="206" t="e">
        <f aca="false">((Summary!$N$11*(AA250*AD250)*(A250-$D$3))+(Summary!$M$11*Z250*AC250*(AJ250-EOMONTH(EDATE(A250,-1),0))))/(AK250*AB250*AE250)</f>
        <v>#VALUE!</v>
      </c>
      <c r="AG250" s="207" t="str">
        <f aca="false">IF($A251="","",Summary!$Q$11)</f>
        <v/>
      </c>
      <c r="AH250" s="207" t="str">
        <f aca="false">IF($A251="","",IF(Summary!$R$11="Y",(VLOOKUP($A250,Summary!$AD$6:$AF$9,3)+'Escalating commodity'!G263),'Escalating commodity'!G263))</f>
        <v/>
      </c>
      <c r="AI250" s="207" t="str">
        <f aca="false">IF($A251="","",AH250)</f>
        <v/>
      </c>
      <c r="AJ250" s="208" t="e">
        <f aca="false">A250+DAY(EOMONTH(A250,0))/2-1</f>
        <v>#VALUE!</v>
      </c>
      <c r="AK250" s="209" t="str">
        <f aca="false">IF($A251="","",$A250-$E$1)</f>
        <v/>
      </c>
      <c r="AL250" s="182" t="str">
        <f aca="false">IF($A251="","",SPRDOPT(P250,X250,AI250,0,AB250,AE250,AF250,AK250,$AJ$2,0))</f>
        <v/>
      </c>
      <c r="AM250" s="210" t="str">
        <f aca="false">IF($A251="","",MAX(0,O250-W250-AI250))</f>
        <v/>
      </c>
      <c r="AN250" s="211" t="str">
        <f aca="false">IF($A251="","",AL250-AM250)</f>
        <v/>
      </c>
      <c r="AO250" s="137" t="str">
        <f aca="false">IF(A251="","",A251-A250)</f>
        <v/>
      </c>
      <c r="AP250" s="212" t="str">
        <f aca="false">IF(A251="","",CHOOSE(F$3,A251+24,A250))</f>
        <v/>
      </c>
      <c r="AQ250" s="209" t="str">
        <f aca="false">IF(A251="","",AP250-$E$1)</f>
        <v/>
      </c>
      <c r="AR250" s="185" t="n">
        <f aca="false">'ANR OK vs ML7'!AR250</f>
        <v>0.1</v>
      </c>
      <c r="AS250" s="213" t="str">
        <f aca="false">IF(A251="","",1/(1+CHOOSE(F$3,(AR251+($I$3/10000))/2,(AR250+($I$3/10000))/2))^(2*AQ250/365.25))</f>
        <v/>
      </c>
      <c r="AT250" s="137" t="str">
        <f aca="false">IF(A251="","",IF(AND(mthbeg&lt;=A250,mthend&gt;=A250),1,0))</f>
        <v/>
      </c>
      <c r="AU250" s="137" t="str">
        <f aca="false">IF(A251="","",AO250*AT250)</f>
        <v/>
      </c>
      <c r="AW250" s="195" t="str">
        <f aca="false">IF($A251="","",AL250*$E250)</f>
        <v/>
      </c>
      <c r="AX250" s="195" t="str">
        <f aca="false">IF($A251="","",AM250*$E250)</f>
        <v/>
      </c>
      <c r="AY250" s="195" t="str">
        <f aca="false">IF($A251="","",AN250*$E250)</f>
        <v/>
      </c>
      <c r="BA250" s="195" t="str">
        <f aca="false">IF($A251="","",F250*Summary!$Q$11)</f>
        <v/>
      </c>
    </row>
    <row r="251" customFormat="false" ht="12" hidden="false" customHeight="true" outlineLevel="0" collapsed="false">
      <c r="A251" s="196" t="str">
        <f aca="false">IF(A250&lt;mthend,EDATE(A250,1),"")</f>
        <v/>
      </c>
      <c r="B251" s="197" t="str">
        <f aca="false">IF(A251&lt;mthend,B250,"")</f>
        <v/>
      </c>
      <c r="C251" s="215"/>
      <c r="D251" s="197" t="str">
        <f aca="false">IF(A252&lt;&gt;"",B251+C251,"")</f>
        <v/>
      </c>
      <c r="E251" s="199" t="str">
        <f aca="false">IF(A252="","",IF(AND(AT251=1,$H$3=1),D251*AO251,IF($H$3=2,D251,"N/A")))</f>
        <v/>
      </c>
      <c r="F251" s="199" t="str">
        <f aca="false">IF(A252="","",E251*AS251)</f>
        <v/>
      </c>
      <c r="G251" s="200" t="str">
        <f aca="false">IF($A252="","",VLOOKUP($A251,Table,MATCH(G$4,Curves,0)))</f>
        <v/>
      </c>
      <c r="H251" s="201" t="str">
        <f aca="false">IF(A252="","",G251)</f>
        <v/>
      </c>
      <c r="I251" s="202"/>
      <c r="J251" s="200" t="str">
        <f aca="false">IF($A252="","",VLOOKUP($A251,Table,MATCH(J$4,Curves,0)))</f>
        <v/>
      </c>
      <c r="K251" s="201" t="str">
        <f aca="false">IF(A252="","",J251)</f>
        <v/>
      </c>
      <c r="L251" s="200" t="str">
        <f aca="false">IF($A252="","",VLOOKUP($A251,Table,MATCH(L$4,Curves,0)))</f>
        <v/>
      </c>
      <c r="M251" s="201" t="str">
        <f aca="false">IF(A252="","",L251)</f>
        <v/>
      </c>
      <c r="N251" s="203"/>
      <c r="O251" s="200" t="str">
        <f aca="false">IF(A252="","",L251+J251+G251)</f>
        <v/>
      </c>
      <c r="P251" s="200" t="str">
        <f aca="false">IF(A252="","",M251+K251+H251)</f>
        <v/>
      </c>
      <c r="Q251" s="204"/>
      <c r="R251" s="200" t="str">
        <f aca="false">IF($A252="","",VLOOKUP($A251,Table,MATCH(R$4,Curves,0)))</f>
        <v/>
      </c>
      <c r="S251" s="201" t="str">
        <f aca="false">IF(A252="","",R251)</f>
        <v/>
      </c>
      <c r="T251" s="185" t="n">
        <v>0</v>
      </c>
      <c r="U251" s="201" t="str">
        <f aca="false">IF(A252="","",T251)</f>
        <v/>
      </c>
      <c r="V251" s="205" t="str">
        <f aca="false">IF($A252="","",IF(AND(MONTH(A251)&gt;3,MONTH(A251)&lt;11),(T251+R251+G251)*Summary!$T$11/(1-Summary!$T$11),(T251+R251+G251)*Summary!$U$11/(1-Summary!$U$11)))</f>
        <v/>
      </c>
      <c r="W251" s="202" t="str">
        <f aca="false">IF($A252="","",(T251+R251+G251+V251))</f>
        <v/>
      </c>
      <c r="X251" s="202" t="str">
        <f aca="false">IF($A252="","",(U251+S251+H251+V251))</f>
        <v/>
      </c>
      <c r="Y251" s="202"/>
      <c r="Z251" s="185" t="str">
        <f aca="false">IF($A252="","",VLOOKUP($A251,Table,MATCH(Z$4,Curves,0)))</f>
        <v/>
      </c>
      <c r="AA251" s="185" t="str">
        <f aca="false">IF($A252="","",VLOOKUP($A251,Table,MATCH(AA$4,Curves,0)))</f>
        <v/>
      </c>
      <c r="AB251" s="185" t="e">
        <f aca="false">SQRT((AA251^2*(A251-$D$3)+Z251^2*(DAY(EOMONTH(A251,0))/2))/AK251)</f>
        <v>#VALUE!</v>
      </c>
      <c r="AC251" s="185" t="str">
        <f aca="false">IF($A252="","",VLOOKUP($A251,Table,MATCH(AC$4,Curves,0)))</f>
        <v/>
      </c>
      <c r="AD251" s="185" t="str">
        <f aca="false">IF($A252="","",VLOOKUP($A251,Table,MATCH(AD$4,Curves,0)))</f>
        <v/>
      </c>
      <c r="AE251" s="185" t="e">
        <f aca="false">SQRT((AD251^2*(A251-$D$3)+AC251^2*(DAY(EOMONTH(A251,0))/2))/AK251)</f>
        <v>#VALUE!</v>
      </c>
      <c r="AF251" s="206" t="e">
        <f aca="false">((Summary!$N$11*(AA251*AD251)*(A251-$D$3))+(Summary!$M$11*Z251*AC251*(AJ251-EOMONTH(EDATE(A251,-1),0))))/(AK251*AB251*AE251)</f>
        <v>#VALUE!</v>
      </c>
      <c r="AG251" s="207" t="str">
        <f aca="false">IF($A252="","",Summary!$Q$11)</f>
        <v/>
      </c>
      <c r="AH251" s="207" t="str">
        <f aca="false">IF($A252="","",IF(Summary!$R$11="Y",(VLOOKUP($A251,Summary!$AD$6:$AF$9,3)+'Escalating commodity'!G264),'Escalating commodity'!G264))</f>
        <v/>
      </c>
      <c r="AI251" s="207" t="str">
        <f aca="false">IF($A252="","",AH251)</f>
        <v/>
      </c>
      <c r="AJ251" s="208" t="e">
        <f aca="false">A251+DAY(EOMONTH(A251,0))/2-1</f>
        <v>#VALUE!</v>
      </c>
      <c r="AK251" s="209" t="str">
        <f aca="false">IF($A252="","",$A251-$E$1)</f>
        <v/>
      </c>
      <c r="AL251" s="182" t="str">
        <f aca="false">IF($A252="","",SPRDOPT(P251,X251,AI251,0,AB251,AE251,AF251,AK251,$AJ$2,0))</f>
        <v/>
      </c>
      <c r="AM251" s="210" t="str">
        <f aca="false">IF($A252="","",MAX(0,O251-W251-AI251))</f>
        <v/>
      </c>
      <c r="AN251" s="211" t="str">
        <f aca="false">IF($A252="","",AL251-AM251)</f>
        <v/>
      </c>
      <c r="AO251" s="137" t="str">
        <f aca="false">IF(A252="","",A252-A251)</f>
        <v/>
      </c>
      <c r="AP251" s="212" t="str">
        <f aca="false">IF(A252="","",CHOOSE(F$3,A252+24,A251))</f>
        <v/>
      </c>
      <c r="AQ251" s="209" t="str">
        <f aca="false">IF(A252="","",AP251-$E$1)</f>
        <v/>
      </c>
      <c r="AR251" s="185" t="n">
        <f aca="false">'ANR OK vs ML7'!AR251</f>
        <v>0.1</v>
      </c>
      <c r="AS251" s="213" t="str">
        <f aca="false">IF(A252="","",1/(1+CHOOSE(F$3,(AR252+($I$3/10000))/2,(AR251+($I$3/10000))/2))^(2*AQ251/365.25))</f>
        <v/>
      </c>
      <c r="AT251" s="137" t="str">
        <f aca="false">IF(A252="","",IF(AND(mthbeg&lt;=A251,mthend&gt;=A251),1,0))</f>
        <v/>
      </c>
      <c r="AU251" s="137" t="str">
        <f aca="false">IF(A252="","",AO251*AT251)</f>
        <v/>
      </c>
      <c r="AW251" s="195" t="str">
        <f aca="false">IF($A252="","",AL251*$E251)</f>
        <v/>
      </c>
      <c r="AX251" s="195" t="str">
        <f aca="false">IF($A252="","",AM251*$E251)</f>
        <v/>
      </c>
      <c r="AY251" s="195" t="str">
        <f aca="false">IF($A252="","",AN251*$E251)</f>
        <v/>
      </c>
      <c r="BA251" s="195" t="str">
        <f aca="false">IF($A252="","",F251*Summary!$Q$11)</f>
        <v/>
      </c>
    </row>
    <row r="252" customFormat="false" ht="12" hidden="false" customHeight="true" outlineLevel="0" collapsed="false">
      <c r="A252" s="196" t="str">
        <f aca="false">IF(A251&lt;mthend,EDATE(A251,1),"")</f>
        <v/>
      </c>
      <c r="B252" s="197" t="str">
        <f aca="false">IF(A252&lt;mthend,B251,"")</f>
        <v/>
      </c>
      <c r="C252" s="215"/>
      <c r="D252" s="197" t="str">
        <f aca="false">IF(A253&lt;&gt;"",B252+C252,"")</f>
        <v/>
      </c>
      <c r="E252" s="199" t="str">
        <f aca="false">IF(A253="","",IF(AND(AT252=1,$H$3=1),D252*AO252,IF($H$3=2,D252,"N/A")))</f>
        <v/>
      </c>
      <c r="F252" s="199" t="str">
        <f aca="false">IF(A253="","",E252*AS252)</f>
        <v/>
      </c>
      <c r="G252" s="200" t="str">
        <f aca="false">IF($A253="","",VLOOKUP($A252,Table,MATCH(G$4,Curves,0)))</f>
        <v/>
      </c>
      <c r="H252" s="201" t="str">
        <f aca="false">IF(A253="","",G252)</f>
        <v/>
      </c>
      <c r="I252" s="202"/>
      <c r="J252" s="200" t="str">
        <f aca="false">IF($A253="","",VLOOKUP($A252,Table,MATCH(J$4,Curves,0)))</f>
        <v/>
      </c>
      <c r="K252" s="201" t="str">
        <f aca="false">IF(A253="","",J252)</f>
        <v/>
      </c>
      <c r="L252" s="200" t="str">
        <f aca="false">IF($A253="","",VLOOKUP($A252,Table,MATCH(L$4,Curves,0)))</f>
        <v/>
      </c>
      <c r="M252" s="201" t="str">
        <f aca="false">IF(A253="","",L252)</f>
        <v/>
      </c>
      <c r="N252" s="203"/>
      <c r="O252" s="200" t="str">
        <f aca="false">IF(A253="","",L252+J252+G252)</f>
        <v/>
      </c>
      <c r="P252" s="200" t="str">
        <f aca="false">IF(A253="","",M252+K252+H252)</f>
        <v/>
      </c>
      <c r="Q252" s="204"/>
      <c r="R252" s="200" t="str">
        <f aca="false">IF($A253="","",VLOOKUP($A252,Table,MATCH(R$4,Curves,0)))</f>
        <v/>
      </c>
      <c r="S252" s="201" t="str">
        <f aca="false">IF(A253="","",R252)</f>
        <v/>
      </c>
      <c r="T252" s="185" t="n">
        <v>0</v>
      </c>
      <c r="U252" s="201" t="str">
        <f aca="false">IF(A253="","",T252)</f>
        <v/>
      </c>
      <c r="V252" s="205" t="str">
        <f aca="false">IF($A253="","",IF(AND(MONTH(A252)&gt;3,MONTH(A252)&lt;11),(T252+R252+G252)*Summary!$T$11/(1-Summary!$T$11),(T252+R252+G252)*Summary!$U$11/(1-Summary!$U$11)))</f>
        <v/>
      </c>
      <c r="W252" s="202" t="str">
        <f aca="false">IF($A253="","",(T252+R252+G252+V252))</f>
        <v/>
      </c>
      <c r="X252" s="202" t="str">
        <f aca="false">IF($A253="","",(U252+S252+H252+V252))</f>
        <v/>
      </c>
      <c r="Y252" s="202"/>
      <c r="Z252" s="185" t="str">
        <f aca="false">IF($A253="","",VLOOKUP($A252,Table,MATCH(Z$4,Curves,0)))</f>
        <v/>
      </c>
      <c r="AA252" s="185" t="str">
        <f aca="false">IF($A253="","",VLOOKUP($A252,Table,MATCH(AA$4,Curves,0)))</f>
        <v/>
      </c>
      <c r="AB252" s="185" t="e">
        <f aca="false">SQRT((AA252^2*(A252-$D$3)+Z252^2*(DAY(EOMONTH(A252,0))/2))/AK252)</f>
        <v>#VALUE!</v>
      </c>
      <c r="AC252" s="185" t="str">
        <f aca="false">IF($A253="","",VLOOKUP($A252,Table,MATCH(AC$4,Curves,0)))</f>
        <v/>
      </c>
      <c r="AD252" s="185" t="str">
        <f aca="false">IF($A253="","",VLOOKUP($A252,Table,MATCH(AD$4,Curves,0)))</f>
        <v/>
      </c>
      <c r="AE252" s="185" t="e">
        <f aca="false">SQRT((AD252^2*(A252-$D$3)+AC252^2*(DAY(EOMONTH(A252,0))/2))/AK252)</f>
        <v>#VALUE!</v>
      </c>
      <c r="AF252" s="206" t="e">
        <f aca="false">((Summary!$N$11*(AA252*AD252)*(A252-$D$3))+(Summary!$M$11*Z252*AC252*(AJ252-EOMONTH(EDATE(A252,-1),0))))/(AK252*AB252*AE252)</f>
        <v>#VALUE!</v>
      </c>
      <c r="AG252" s="207" t="str">
        <f aca="false">IF($A253="","",Summary!$Q$11)</f>
        <v/>
      </c>
      <c r="AH252" s="207" t="str">
        <f aca="false">IF($A253="","",IF(Summary!$R$11="Y",(VLOOKUP($A252,Summary!$AD$6:$AF$9,3)+'Escalating commodity'!G265),'Escalating commodity'!G265))</f>
        <v/>
      </c>
      <c r="AI252" s="207" t="str">
        <f aca="false">IF($A253="","",AH252)</f>
        <v/>
      </c>
      <c r="AJ252" s="208" t="e">
        <f aca="false">A252+DAY(EOMONTH(A252,0))/2-1</f>
        <v>#VALUE!</v>
      </c>
      <c r="AK252" s="209" t="str">
        <f aca="false">IF($A253="","",$A252-$E$1)</f>
        <v/>
      </c>
      <c r="AL252" s="182" t="str">
        <f aca="false">IF($A253="","",SPRDOPT(P252,X252,AI252,0,AB252,AE252,AF252,AK252,$AJ$2,0))</f>
        <v/>
      </c>
      <c r="AM252" s="210" t="str">
        <f aca="false">IF($A253="","",MAX(0,O252-W252-AI252))</f>
        <v/>
      </c>
      <c r="AN252" s="211" t="str">
        <f aca="false">IF($A253="","",AL252-AM252)</f>
        <v/>
      </c>
      <c r="AO252" s="137" t="str">
        <f aca="false">IF(A253="","",A253-A252)</f>
        <v/>
      </c>
      <c r="AP252" s="212" t="str">
        <f aca="false">IF(A253="","",CHOOSE(F$3,A253+24,A252))</f>
        <v/>
      </c>
      <c r="AQ252" s="209" t="str">
        <f aca="false">IF(A253="","",AP252-$E$1)</f>
        <v/>
      </c>
      <c r="AR252" s="185" t="n">
        <f aca="false">'ANR OK vs ML7'!AR252</f>
        <v>0.1</v>
      </c>
      <c r="AS252" s="213" t="str">
        <f aca="false">IF(A253="","",1/(1+CHOOSE(F$3,(AR253+($I$3/10000))/2,(AR252+($I$3/10000))/2))^(2*AQ252/365.25))</f>
        <v/>
      </c>
      <c r="AT252" s="137" t="str">
        <f aca="false">IF(A253="","",IF(AND(mthbeg&lt;=A252,mthend&gt;=A252),1,0))</f>
        <v/>
      </c>
      <c r="AU252" s="137" t="str">
        <f aca="false">IF(A253="","",AO252*AT252)</f>
        <v/>
      </c>
      <c r="AW252" s="195" t="str">
        <f aca="false">IF($A253="","",AL252*$E252)</f>
        <v/>
      </c>
      <c r="AX252" s="195" t="str">
        <f aca="false">IF($A253="","",AM252*$E252)</f>
        <v/>
      </c>
      <c r="AY252" s="195" t="str">
        <f aca="false">IF($A253="","",AN252*$E252)</f>
        <v/>
      </c>
      <c r="BA252" s="195" t="str">
        <f aca="false">IF($A253="","",F252*Summary!$Q$11)</f>
        <v/>
      </c>
    </row>
    <row r="253" customFormat="false" ht="12" hidden="false" customHeight="true" outlineLevel="0" collapsed="false">
      <c r="A253" s="196" t="str">
        <f aca="false">IF(A252&lt;mthend,EDATE(A252,1),"")</f>
        <v/>
      </c>
      <c r="B253" s="197" t="str">
        <f aca="false">IF(A253&lt;mthend,B252,"")</f>
        <v/>
      </c>
      <c r="C253" s="215"/>
      <c r="D253" s="197" t="str">
        <f aca="false">IF(A254&lt;&gt;"",B253+C253,"")</f>
        <v/>
      </c>
      <c r="E253" s="199" t="str">
        <f aca="false">IF(A254="","",IF(AND(AT253=1,$H$3=1),D253*AO253,IF($H$3=2,D253,"N/A")))</f>
        <v/>
      </c>
      <c r="F253" s="199" t="str">
        <f aca="false">IF(A254="","",E253*AS253)</f>
        <v/>
      </c>
      <c r="G253" s="200" t="str">
        <f aca="false">IF($A254="","",VLOOKUP($A253,Table,MATCH(G$4,Curves,0)))</f>
        <v/>
      </c>
      <c r="H253" s="201" t="str">
        <f aca="false">IF(A254="","",G253)</f>
        <v/>
      </c>
      <c r="I253" s="202"/>
      <c r="J253" s="200" t="str">
        <f aca="false">IF($A254="","",VLOOKUP($A253,Table,MATCH(J$4,Curves,0)))</f>
        <v/>
      </c>
      <c r="K253" s="201" t="str">
        <f aca="false">IF(A254="","",J253)</f>
        <v/>
      </c>
      <c r="L253" s="200" t="str">
        <f aca="false">IF($A254="","",VLOOKUP($A253,Table,MATCH(L$4,Curves,0)))</f>
        <v/>
      </c>
      <c r="M253" s="201" t="str">
        <f aca="false">IF(A254="","",L253)</f>
        <v/>
      </c>
      <c r="N253" s="203"/>
      <c r="O253" s="200" t="str">
        <f aca="false">IF(A254="","",L253+J253+G253)</f>
        <v/>
      </c>
      <c r="P253" s="200" t="str">
        <f aca="false">IF(A254="","",M253+K253+H253)</f>
        <v/>
      </c>
      <c r="Q253" s="204"/>
      <c r="R253" s="200" t="str">
        <f aca="false">IF($A254="","",VLOOKUP($A253,Table,MATCH(R$4,Curves,0)))</f>
        <v/>
      </c>
      <c r="S253" s="201" t="str">
        <f aca="false">IF(A254="","",R253)</f>
        <v/>
      </c>
      <c r="T253" s="185" t="n">
        <v>0</v>
      </c>
      <c r="U253" s="201" t="str">
        <f aca="false">IF(A254="","",T253)</f>
        <v/>
      </c>
      <c r="V253" s="205" t="str">
        <f aca="false">IF($A254="","",IF(AND(MONTH(A253)&gt;3,MONTH(A253)&lt;11),(T253+R253+G253)*Summary!$T$11/(1-Summary!$T$11),(T253+R253+G253)*Summary!$U$11/(1-Summary!$U$11)))</f>
        <v/>
      </c>
      <c r="W253" s="202" t="str">
        <f aca="false">IF($A254="","",(T253+R253+G253+V253))</f>
        <v/>
      </c>
      <c r="X253" s="202" t="str">
        <f aca="false">IF($A254="","",(U253+S253+H253+V253))</f>
        <v/>
      </c>
      <c r="Y253" s="202"/>
      <c r="Z253" s="185" t="str">
        <f aca="false">IF($A254="","",VLOOKUP($A253,Table,MATCH(Z$4,Curves,0)))</f>
        <v/>
      </c>
      <c r="AA253" s="185" t="str">
        <f aca="false">IF($A254="","",VLOOKUP($A253,Table,MATCH(AA$4,Curves,0)))</f>
        <v/>
      </c>
      <c r="AB253" s="185" t="e">
        <f aca="false">SQRT((AA253^2*(A253-$D$3)+Z253^2*(DAY(EOMONTH(A253,0))/2))/AK253)</f>
        <v>#VALUE!</v>
      </c>
      <c r="AC253" s="185" t="str">
        <f aca="false">IF($A254="","",VLOOKUP($A253,Table,MATCH(AC$4,Curves,0)))</f>
        <v/>
      </c>
      <c r="AD253" s="185" t="str">
        <f aca="false">IF($A254="","",VLOOKUP($A253,Table,MATCH(AD$4,Curves,0)))</f>
        <v/>
      </c>
      <c r="AE253" s="185" t="e">
        <f aca="false">SQRT((AD253^2*(A253-$D$3)+AC253^2*(DAY(EOMONTH(A253,0))/2))/AK253)</f>
        <v>#VALUE!</v>
      </c>
      <c r="AF253" s="206" t="e">
        <f aca="false">((Summary!$N$11*(AA253*AD253)*(A253-$D$3))+(Summary!$M$11*Z253*AC253*(AJ253-EOMONTH(EDATE(A253,-1),0))))/(AK253*AB253*AE253)</f>
        <v>#VALUE!</v>
      </c>
      <c r="AG253" s="207" t="str">
        <f aca="false">IF($A254="","",Summary!$Q$11)</f>
        <v/>
      </c>
      <c r="AH253" s="207" t="str">
        <f aca="false">IF($A254="","",IF(Summary!$R$11="Y",(VLOOKUP($A253,Summary!$AD$6:$AF$9,3)+'Escalating commodity'!G266),'Escalating commodity'!G266))</f>
        <v/>
      </c>
      <c r="AI253" s="207" t="str">
        <f aca="false">IF($A254="","",AH253)</f>
        <v/>
      </c>
      <c r="AJ253" s="208" t="e">
        <f aca="false">A253+DAY(EOMONTH(A253,0))/2-1</f>
        <v>#VALUE!</v>
      </c>
      <c r="AK253" s="209" t="str">
        <f aca="false">IF($A254="","",$A253-$E$1)</f>
        <v/>
      </c>
      <c r="AL253" s="182" t="str">
        <f aca="false">IF($A254="","",SPRDOPT(P253,X253,AI253,0,AB253,AE253,AF253,AK253,$AJ$2,0))</f>
        <v/>
      </c>
      <c r="AM253" s="210" t="str">
        <f aca="false">IF($A254="","",MAX(0,O253-W253-AI253))</f>
        <v/>
      </c>
      <c r="AN253" s="211" t="str">
        <f aca="false">IF($A254="","",AL253-AM253)</f>
        <v/>
      </c>
      <c r="AO253" s="137" t="str">
        <f aca="false">IF(A254="","",A254-A253)</f>
        <v/>
      </c>
      <c r="AP253" s="212" t="str">
        <f aca="false">IF(A254="","",CHOOSE(F$3,A254+24,A253))</f>
        <v/>
      </c>
      <c r="AQ253" s="209" t="str">
        <f aca="false">IF(A254="","",AP253-$E$1)</f>
        <v/>
      </c>
      <c r="AR253" s="185" t="n">
        <f aca="false">'ANR OK vs ML7'!AR253</f>
        <v>0.1</v>
      </c>
      <c r="AS253" s="213" t="str">
        <f aca="false">IF(A254="","",1/(1+CHOOSE(F$3,(AR254+($I$3/10000))/2,(AR253+($I$3/10000))/2))^(2*AQ253/365.25))</f>
        <v/>
      </c>
      <c r="AT253" s="137" t="str">
        <f aca="false">IF(A254="","",IF(AND(mthbeg&lt;=A253,mthend&gt;=A253),1,0))</f>
        <v/>
      </c>
      <c r="AU253" s="137" t="str">
        <f aca="false">IF(A254="","",AO253*AT253)</f>
        <v/>
      </c>
      <c r="AW253" s="195" t="str">
        <f aca="false">IF($A254="","",AL253*$E253)</f>
        <v/>
      </c>
      <c r="AX253" s="195" t="str">
        <f aca="false">IF($A254="","",AM253*$E253)</f>
        <v/>
      </c>
      <c r="AY253" s="195" t="str">
        <f aca="false">IF($A254="","",AN253*$E253)</f>
        <v/>
      </c>
      <c r="BA253" s="195" t="str">
        <f aca="false">IF($A254="","",F253*Summary!$Q$11)</f>
        <v/>
      </c>
    </row>
    <row r="254" customFormat="false" ht="12" hidden="false" customHeight="true" outlineLevel="0" collapsed="false">
      <c r="A254" s="196" t="str">
        <f aca="false">IF(A253&lt;mthend,EDATE(A253,1),"")</f>
        <v/>
      </c>
      <c r="B254" s="197" t="str">
        <f aca="false">IF(A254&lt;mthend,B253,"")</f>
        <v/>
      </c>
      <c r="C254" s="215"/>
      <c r="D254" s="197" t="str">
        <f aca="false">IF(A255&lt;&gt;"",B254+C254,"")</f>
        <v/>
      </c>
      <c r="E254" s="199" t="str">
        <f aca="false">IF(A255="","",IF(AND(AT254=1,$H$3=1),D254*AO254,IF($H$3=2,D254,"N/A")))</f>
        <v/>
      </c>
      <c r="F254" s="199" t="str">
        <f aca="false">IF(A255="","",E254*AS254)</f>
        <v/>
      </c>
      <c r="G254" s="200" t="str">
        <f aca="false">IF($A255="","",VLOOKUP($A254,Table,MATCH(G$4,Curves,0)))</f>
        <v/>
      </c>
      <c r="H254" s="201" t="str">
        <f aca="false">IF(A255="","",G254)</f>
        <v/>
      </c>
      <c r="I254" s="202"/>
      <c r="J254" s="200" t="str">
        <f aca="false">IF($A255="","",VLOOKUP($A254,Table,MATCH(J$4,Curves,0)))</f>
        <v/>
      </c>
      <c r="K254" s="201" t="str">
        <f aca="false">IF(A255="","",J254)</f>
        <v/>
      </c>
      <c r="L254" s="200" t="str">
        <f aca="false">IF($A255="","",VLOOKUP($A254,Table,MATCH(L$4,Curves,0)))</f>
        <v/>
      </c>
      <c r="M254" s="201" t="str">
        <f aca="false">IF(A255="","",L254)</f>
        <v/>
      </c>
      <c r="N254" s="203"/>
      <c r="O254" s="200" t="str">
        <f aca="false">IF(A255="","",L254+J254+G254)</f>
        <v/>
      </c>
      <c r="P254" s="200" t="str">
        <f aca="false">IF(A255="","",M254+K254+H254)</f>
        <v/>
      </c>
      <c r="Q254" s="204"/>
      <c r="R254" s="200" t="str">
        <f aca="false">IF($A255="","",VLOOKUP($A254,Table,MATCH(R$4,Curves,0)))</f>
        <v/>
      </c>
      <c r="S254" s="201" t="str">
        <f aca="false">IF(A255="","",R254)</f>
        <v/>
      </c>
      <c r="T254" s="185" t="n">
        <v>0</v>
      </c>
      <c r="U254" s="201" t="str">
        <f aca="false">IF(A255="","",T254)</f>
        <v/>
      </c>
      <c r="V254" s="205" t="str">
        <f aca="false">IF($A255="","",IF(AND(MONTH(A254)&gt;3,MONTH(A254)&lt;11),(T254+R254+G254)*Summary!$T$11/(1-Summary!$T$11),(T254+R254+G254)*Summary!$U$11/(1-Summary!$U$11)))</f>
        <v/>
      </c>
      <c r="W254" s="202" t="str">
        <f aca="false">IF($A255="","",(T254+R254+G254+V254))</f>
        <v/>
      </c>
      <c r="X254" s="202" t="str">
        <f aca="false">IF($A255="","",(U254+S254+H254+V254))</f>
        <v/>
      </c>
      <c r="Y254" s="202"/>
      <c r="Z254" s="185" t="str">
        <f aca="false">IF($A255="","",VLOOKUP($A254,Table,MATCH(Z$4,Curves,0)))</f>
        <v/>
      </c>
      <c r="AA254" s="185" t="str">
        <f aca="false">IF($A255="","",VLOOKUP($A254,Table,MATCH(AA$4,Curves,0)))</f>
        <v/>
      </c>
      <c r="AB254" s="185" t="e">
        <f aca="false">SQRT((AA254^2*(A254-$D$3)+Z254^2*(DAY(EOMONTH(A254,0))/2))/AK254)</f>
        <v>#VALUE!</v>
      </c>
      <c r="AC254" s="185" t="str">
        <f aca="false">IF($A255="","",VLOOKUP($A254,Table,MATCH(AC$4,Curves,0)))</f>
        <v/>
      </c>
      <c r="AD254" s="185" t="str">
        <f aca="false">IF($A255="","",VLOOKUP($A254,Table,MATCH(AD$4,Curves,0)))</f>
        <v/>
      </c>
      <c r="AE254" s="185" t="e">
        <f aca="false">SQRT((AD254^2*(A254-$D$3)+AC254^2*(DAY(EOMONTH(A254,0))/2))/AK254)</f>
        <v>#VALUE!</v>
      </c>
      <c r="AF254" s="206" t="e">
        <f aca="false">((Summary!$N$11*(AA254*AD254)*(A254-$D$3))+(Summary!$M$11*Z254*AC254*(AJ254-EOMONTH(EDATE(A254,-1),0))))/(AK254*AB254*AE254)</f>
        <v>#VALUE!</v>
      </c>
      <c r="AG254" s="207" t="str">
        <f aca="false">IF($A255="","",Summary!$Q$11)</f>
        <v/>
      </c>
      <c r="AH254" s="207" t="str">
        <f aca="false">IF($A255="","",IF(Summary!$R$11="Y",(VLOOKUP($A254,Summary!$AD$6:$AF$9,3)+'Escalating commodity'!G267),'Escalating commodity'!G267))</f>
        <v/>
      </c>
      <c r="AI254" s="207" t="str">
        <f aca="false">IF($A255="","",AH254)</f>
        <v/>
      </c>
      <c r="AJ254" s="208" t="e">
        <f aca="false">A254+DAY(EOMONTH(A254,0))/2-1</f>
        <v>#VALUE!</v>
      </c>
      <c r="AK254" s="209" t="str">
        <f aca="false">IF($A255="","",$A254-$E$1)</f>
        <v/>
      </c>
      <c r="AL254" s="182" t="str">
        <f aca="false">IF($A255="","",SPRDOPT(P254,X254,AI254,0,AB254,AE254,AF254,AK254,$AJ$2,0))</f>
        <v/>
      </c>
      <c r="AM254" s="210" t="str">
        <f aca="false">IF($A255="","",MAX(0,O254-W254-AI254))</f>
        <v/>
      </c>
      <c r="AN254" s="211" t="str">
        <f aca="false">IF($A255="","",AL254-AM254)</f>
        <v/>
      </c>
      <c r="AO254" s="137" t="str">
        <f aca="false">IF(A255="","",A255-A254)</f>
        <v/>
      </c>
      <c r="AP254" s="212" t="str">
        <f aca="false">IF(A255="","",CHOOSE(F$3,A255+24,A254))</f>
        <v/>
      </c>
      <c r="AQ254" s="209" t="str">
        <f aca="false">IF(A255="","",AP254-$E$1)</f>
        <v/>
      </c>
      <c r="AR254" s="185" t="n">
        <f aca="false">'ANR OK vs ML7'!AR254</f>
        <v>0.1</v>
      </c>
      <c r="AS254" s="213" t="str">
        <f aca="false">IF(A255="","",1/(1+CHOOSE(F$3,(AR255+($I$3/10000))/2,(AR254+($I$3/10000))/2))^(2*AQ254/365.25))</f>
        <v/>
      </c>
      <c r="AT254" s="137" t="str">
        <f aca="false">IF(A255="","",IF(AND(mthbeg&lt;=A254,mthend&gt;=A254),1,0))</f>
        <v/>
      </c>
      <c r="AU254" s="137" t="str">
        <f aca="false">IF(A255="","",AO254*AT254)</f>
        <v/>
      </c>
      <c r="AW254" s="195" t="str">
        <f aca="false">IF($A255="","",AL254*$E254)</f>
        <v/>
      </c>
      <c r="AX254" s="195" t="str">
        <f aca="false">IF($A255="","",AM254*$E254)</f>
        <v/>
      </c>
      <c r="AY254" s="195" t="str">
        <f aca="false">IF($A255="","",AN254*$E254)</f>
        <v/>
      </c>
      <c r="BA254" s="195" t="str">
        <f aca="false">IF($A255="","",F254*Summary!$Q$11)</f>
        <v/>
      </c>
    </row>
    <row r="255" customFormat="false" ht="12" hidden="false" customHeight="true" outlineLevel="0" collapsed="false">
      <c r="A255" s="196" t="str">
        <f aca="false">IF(A254&lt;mthend,EDATE(A254,1),"")</f>
        <v/>
      </c>
      <c r="B255" s="197" t="str">
        <f aca="false">IF(A255&lt;mthend,B254,"")</f>
        <v/>
      </c>
      <c r="C255" s="215"/>
      <c r="D255" s="197" t="str">
        <f aca="false">IF(A256&lt;&gt;"",B255+C255,"")</f>
        <v/>
      </c>
      <c r="E255" s="199" t="str">
        <f aca="false">IF(A256="","",IF(AND(AT255=1,$H$3=1),D255*AO255,IF($H$3=2,D255,"N/A")))</f>
        <v/>
      </c>
      <c r="F255" s="199" t="str">
        <f aca="false">IF(A256="","",E255*AS255)</f>
        <v/>
      </c>
      <c r="G255" s="200" t="str">
        <f aca="false">IF($A256="","",VLOOKUP($A255,Table,MATCH(G$4,Curves,0)))</f>
        <v/>
      </c>
      <c r="H255" s="201" t="str">
        <f aca="false">IF(A256="","",G255)</f>
        <v/>
      </c>
      <c r="I255" s="202"/>
      <c r="J255" s="200" t="str">
        <f aca="false">IF($A256="","",VLOOKUP($A255,Table,MATCH(J$4,Curves,0)))</f>
        <v/>
      </c>
      <c r="K255" s="201" t="str">
        <f aca="false">IF(A256="","",J255)</f>
        <v/>
      </c>
      <c r="L255" s="200" t="str">
        <f aca="false">IF($A256="","",VLOOKUP($A255,Table,MATCH(L$4,Curves,0)))</f>
        <v/>
      </c>
      <c r="M255" s="201" t="str">
        <f aca="false">IF(A256="","",L255)</f>
        <v/>
      </c>
      <c r="N255" s="203"/>
      <c r="O255" s="200" t="str">
        <f aca="false">IF(A256="","",L255+J255+G255)</f>
        <v/>
      </c>
      <c r="P255" s="200" t="str">
        <f aca="false">IF(A256="","",M255+K255+H255)</f>
        <v/>
      </c>
      <c r="Q255" s="204"/>
      <c r="R255" s="200" t="str">
        <f aca="false">IF($A256="","",VLOOKUP($A255,Table,MATCH(R$4,Curves,0)))</f>
        <v/>
      </c>
      <c r="S255" s="201" t="str">
        <f aca="false">IF(A256="","",R255)</f>
        <v/>
      </c>
      <c r="T255" s="185" t="n">
        <v>0</v>
      </c>
      <c r="U255" s="201" t="str">
        <f aca="false">IF(A256="","",T255)</f>
        <v/>
      </c>
      <c r="V255" s="205" t="str">
        <f aca="false">IF($A256="","",IF(AND(MONTH(A255)&gt;3,MONTH(A255)&lt;11),(T255+R255+G255)*Summary!$T$11/(1-Summary!$T$11),(T255+R255+G255)*Summary!$U$11/(1-Summary!$U$11)))</f>
        <v/>
      </c>
      <c r="W255" s="202" t="str">
        <f aca="false">IF($A256="","",(T255+R255+G255+V255))</f>
        <v/>
      </c>
      <c r="X255" s="202" t="str">
        <f aca="false">IF($A256="","",(U255+S255+H255+V255))</f>
        <v/>
      </c>
      <c r="Y255" s="202"/>
      <c r="Z255" s="185" t="str">
        <f aca="false">IF($A256="","",VLOOKUP($A255,Table,MATCH(Z$4,Curves,0)))</f>
        <v/>
      </c>
      <c r="AA255" s="185" t="str">
        <f aca="false">IF($A256="","",VLOOKUP($A255,Table,MATCH(AA$4,Curves,0)))</f>
        <v/>
      </c>
      <c r="AB255" s="185" t="e">
        <f aca="false">SQRT((AA255^2*(A255-$D$3)+Z255^2*(DAY(EOMONTH(A255,0))/2))/AK255)</f>
        <v>#VALUE!</v>
      </c>
      <c r="AC255" s="185" t="str">
        <f aca="false">IF($A256="","",VLOOKUP($A255,Table,MATCH(AC$4,Curves,0)))</f>
        <v/>
      </c>
      <c r="AD255" s="185" t="str">
        <f aca="false">IF($A256="","",VLOOKUP($A255,Table,MATCH(AD$4,Curves,0)))</f>
        <v/>
      </c>
      <c r="AE255" s="185" t="e">
        <f aca="false">SQRT((AD255^2*(A255-$D$3)+AC255^2*(DAY(EOMONTH(A255,0))/2))/AK255)</f>
        <v>#VALUE!</v>
      </c>
      <c r="AF255" s="206" t="e">
        <f aca="false">((Summary!$N$11*(AA255*AD255)*(A255-$D$3))+(Summary!$M$11*Z255*AC255*(AJ255-EOMONTH(EDATE(A255,-1),0))))/(AK255*AB255*AE255)</f>
        <v>#VALUE!</v>
      </c>
      <c r="AG255" s="207" t="str">
        <f aca="false">IF($A256="","",Summary!$Q$11)</f>
        <v/>
      </c>
      <c r="AH255" s="207" t="str">
        <f aca="false">IF($A256="","",IF(Summary!$R$11="Y",(VLOOKUP($A255,Summary!$AD$6:$AF$9,3)+'Escalating commodity'!G268),'Escalating commodity'!G268))</f>
        <v/>
      </c>
      <c r="AI255" s="207" t="str">
        <f aca="false">IF($A256="","",AH255)</f>
        <v/>
      </c>
      <c r="AJ255" s="208" t="e">
        <f aca="false">A255+DAY(EOMONTH(A255,0))/2-1</f>
        <v>#VALUE!</v>
      </c>
      <c r="AK255" s="209" t="str">
        <f aca="false">IF($A256="","",$A255-$E$1)</f>
        <v/>
      </c>
      <c r="AL255" s="182" t="str">
        <f aca="false">IF($A256="","",SPRDOPT(P255,X255,AI255,0,AB255,AE255,AF255,AK255,$AJ$2,0))</f>
        <v/>
      </c>
      <c r="AM255" s="210" t="str">
        <f aca="false">IF($A256="","",MAX(0,O255-W255-AI255))</f>
        <v/>
      </c>
      <c r="AN255" s="211" t="str">
        <f aca="false">IF($A256="","",AL255-AM255)</f>
        <v/>
      </c>
      <c r="AO255" s="137" t="str">
        <f aca="false">IF(A256="","",A256-A255)</f>
        <v/>
      </c>
      <c r="AP255" s="212" t="str">
        <f aca="false">IF(A256="","",CHOOSE(F$3,A256+24,A255))</f>
        <v/>
      </c>
      <c r="AQ255" s="209" t="str">
        <f aca="false">IF(A256="","",AP255-$E$1)</f>
        <v/>
      </c>
      <c r="AR255" s="185" t="n">
        <f aca="false">'ANR OK vs ML7'!AR255</f>
        <v>0.1</v>
      </c>
      <c r="AS255" s="213" t="str">
        <f aca="false">IF(A256="","",1/(1+CHOOSE(F$3,(AR256+($I$3/10000))/2,(AR255+($I$3/10000))/2))^(2*AQ255/365.25))</f>
        <v/>
      </c>
      <c r="AT255" s="137" t="str">
        <f aca="false">IF(A256="","",IF(AND(mthbeg&lt;=A255,mthend&gt;=A255),1,0))</f>
        <v/>
      </c>
      <c r="AU255" s="137" t="str">
        <f aca="false">IF(A256="","",AO255*AT255)</f>
        <v/>
      </c>
      <c r="AW255" s="195" t="str">
        <f aca="false">IF($A256="","",AL255*$E255)</f>
        <v/>
      </c>
      <c r="AX255" s="195" t="str">
        <f aca="false">IF($A256="","",AM255*$E255)</f>
        <v/>
      </c>
      <c r="AY255" s="195" t="str">
        <f aca="false">IF($A256="","",AN255*$E255)</f>
        <v/>
      </c>
      <c r="BA255" s="195" t="str">
        <f aca="false">IF($A256="","",F255*Summary!$Q$11)</f>
        <v/>
      </c>
    </row>
    <row r="256" customFormat="false" ht="12" hidden="false" customHeight="true" outlineLevel="0" collapsed="false">
      <c r="A256" s="196" t="str">
        <f aca="false">IF(A255&lt;mthend,EDATE(A255,1),"")</f>
        <v/>
      </c>
      <c r="B256" s="197" t="str">
        <f aca="false">IF(A256&lt;mthend,B255,"")</f>
        <v/>
      </c>
      <c r="C256" s="215"/>
      <c r="D256" s="197" t="str">
        <f aca="false">IF(A257&lt;&gt;"",B256+C256,"")</f>
        <v/>
      </c>
      <c r="E256" s="199" t="str">
        <f aca="false">IF(A257="","",IF(AND(AT256=1,$H$3=1),D256*AO256,IF($H$3=2,D256,"N/A")))</f>
        <v/>
      </c>
      <c r="F256" s="199" t="str">
        <f aca="false">IF(A257="","",E256*AS256)</f>
        <v/>
      </c>
      <c r="G256" s="200" t="str">
        <f aca="false">IF($A257="","",VLOOKUP($A256,Table,MATCH(G$4,Curves,0)))</f>
        <v/>
      </c>
      <c r="H256" s="201" t="str">
        <f aca="false">IF(A257="","",G256)</f>
        <v/>
      </c>
      <c r="I256" s="202"/>
      <c r="J256" s="200" t="str">
        <f aca="false">IF($A257="","",VLOOKUP($A256,Table,MATCH(J$4,Curves,0)))</f>
        <v/>
      </c>
      <c r="K256" s="201" t="str">
        <f aca="false">IF(A257="","",J256)</f>
        <v/>
      </c>
      <c r="L256" s="200" t="str">
        <f aca="false">IF($A257="","",VLOOKUP($A256,Table,MATCH(L$4,Curves,0)))</f>
        <v/>
      </c>
      <c r="M256" s="201" t="str">
        <f aca="false">IF(A257="","",L256)</f>
        <v/>
      </c>
      <c r="N256" s="203"/>
      <c r="O256" s="200" t="str">
        <f aca="false">IF(A257="","",L256+J256+G256)</f>
        <v/>
      </c>
      <c r="P256" s="200" t="str">
        <f aca="false">IF(A257="","",M256+K256+H256)</f>
        <v/>
      </c>
      <c r="Q256" s="204"/>
      <c r="R256" s="200" t="str">
        <f aca="false">IF($A257="","",VLOOKUP($A256,Table,MATCH(R$4,Curves,0)))</f>
        <v/>
      </c>
      <c r="S256" s="201" t="str">
        <f aca="false">IF(A257="","",R256)</f>
        <v/>
      </c>
      <c r="T256" s="185" t="n">
        <v>0</v>
      </c>
      <c r="U256" s="201" t="str">
        <f aca="false">IF(A257="","",T256)</f>
        <v/>
      </c>
      <c r="V256" s="205" t="str">
        <f aca="false">IF($A257="","",IF(AND(MONTH(A256)&gt;3,MONTH(A256)&lt;11),(T256+R256+G256)*Summary!$T$11/(1-Summary!$T$11),(T256+R256+G256)*Summary!$U$11/(1-Summary!$U$11)))</f>
        <v/>
      </c>
      <c r="W256" s="202" t="str">
        <f aca="false">IF($A257="","",(T256+R256+G256+V256))</f>
        <v/>
      </c>
      <c r="X256" s="202" t="str">
        <f aca="false">IF($A257="","",(U256+S256+H256+V256))</f>
        <v/>
      </c>
      <c r="Y256" s="202"/>
      <c r="Z256" s="185" t="str">
        <f aca="false">IF($A257="","",VLOOKUP($A256,Table,MATCH(Z$4,Curves,0)))</f>
        <v/>
      </c>
      <c r="AA256" s="185" t="str">
        <f aca="false">IF($A257="","",VLOOKUP($A256,Table,MATCH(AA$4,Curves,0)))</f>
        <v/>
      </c>
      <c r="AB256" s="185" t="e">
        <f aca="false">SQRT((AA256^2*(A256-$D$3)+Z256^2*(DAY(EOMONTH(A256,0))/2))/AK256)</f>
        <v>#VALUE!</v>
      </c>
      <c r="AC256" s="185" t="str">
        <f aca="false">IF($A257="","",VLOOKUP($A256,Table,MATCH(AC$4,Curves,0)))</f>
        <v/>
      </c>
      <c r="AD256" s="185" t="str">
        <f aca="false">IF($A257="","",VLOOKUP($A256,Table,MATCH(AD$4,Curves,0)))</f>
        <v/>
      </c>
      <c r="AE256" s="185" t="e">
        <f aca="false">SQRT((AD256^2*(A256-$D$3)+AC256^2*(DAY(EOMONTH(A256,0))/2))/AK256)</f>
        <v>#VALUE!</v>
      </c>
      <c r="AF256" s="206" t="e">
        <f aca="false">((Summary!$N$11*(AA256*AD256)*(A256-$D$3))+(Summary!$M$11*Z256*AC256*(AJ256-EOMONTH(EDATE(A256,-1),0))))/(AK256*AB256*AE256)</f>
        <v>#VALUE!</v>
      </c>
      <c r="AG256" s="207" t="str">
        <f aca="false">IF($A257="","",Summary!$Q$11)</f>
        <v/>
      </c>
      <c r="AH256" s="207" t="str">
        <f aca="false">IF($A257="","",IF(Summary!$R$11="Y",(VLOOKUP($A256,Summary!$AD$6:$AF$9,3)+'Escalating commodity'!G269),'Escalating commodity'!G269))</f>
        <v/>
      </c>
      <c r="AI256" s="207" t="str">
        <f aca="false">IF($A257="","",AH256)</f>
        <v/>
      </c>
      <c r="AJ256" s="208" t="e">
        <f aca="false">A256+DAY(EOMONTH(A256,0))/2-1</f>
        <v>#VALUE!</v>
      </c>
      <c r="AK256" s="209" t="str">
        <f aca="false">IF($A257="","",$A256-$E$1)</f>
        <v/>
      </c>
      <c r="AL256" s="182" t="str">
        <f aca="false">IF($A257="","",SPRDOPT(P256,X256,AI256,0,AB256,AE256,AF256,AK256,$AJ$2,0))</f>
        <v/>
      </c>
      <c r="AM256" s="210" t="str">
        <f aca="false">IF($A257="","",MAX(0,O256-W256-AI256))</f>
        <v/>
      </c>
      <c r="AN256" s="211" t="str">
        <f aca="false">IF($A257="","",AL256-AM256)</f>
        <v/>
      </c>
      <c r="AO256" s="137" t="str">
        <f aca="false">IF(A257="","",A257-A256)</f>
        <v/>
      </c>
      <c r="AP256" s="212" t="str">
        <f aca="false">IF(A257="","",CHOOSE(F$3,A257+24,A256))</f>
        <v/>
      </c>
      <c r="AQ256" s="209" t="str">
        <f aca="false">IF(A257="","",AP256-$E$1)</f>
        <v/>
      </c>
      <c r="AR256" s="185" t="n">
        <f aca="false">'ANR OK vs ML7'!AR256</f>
        <v>0.1</v>
      </c>
      <c r="AS256" s="213" t="str">
        <f aca="false">IF(A257="","",1/(1+CHOOSE(F$3,(AR257+($I$3/10000))/2,(AR256+($I$3/10000))/2))^(2*AQ256/365.25))</f>
        <v/>
      </c>
      <c r="AT256" s="137" t="str">
        <f aca="false">IF(A257="","",IF(AND(mthbeg&lt;=A256,mthend&gt;=A256),1,0))</f>
        <v/>
      </c>
      <c r="AU256" s="137" t="str">
        <f aca="false">IF(A257="","",AO256*AT256)</f>
        <v/>
      </c>
      <c r="AW256" s="195" t="str">
        <f aca="false">IF($A257="","",AL256*$E256)</f>
        <v/>
      </c>
      <c r="AX256" s="195" t="str">
        <f aca="false">IF($A257="","",AM256*$E256)</f>
        <v/>
      </c>
      <c r="AY256" s="195" t="str">
        <f aca="false">IF($A257="","",AN256*$E256)</f>
        <v/>
      </c>
      <c r="BA256" s="195" t="str">
        <f aca="false">IF($A257="","",F256*Summary!$Q$11)</f>
        <v/>
      </c>
    </row>
    <row r="257" customFormat="false" ht="12" hidden="false" customHeight="true" outlineLevel="0" collapsed="false">
      <c r="A257" s="196" t="str">
        <f aca="false">IF(A256&lt;mthend,EDATE(A256,1),"")</f>
        <v/>
      </c>
      <c r="B257" s="197" t="str">
        <f aca="false">IF(A257&lt;mthend,B256,"")</f>
        <v/>
      </c>
      <c r="C257" s="215"/>
      <c r="D257" s="197" t="str">
        <f aca="false">IF(A258&lt;&gt;"",B257+C257,"")</f>
        <v/>
      </c>
      <c r="E257" s="199" t="str">
        <f aca="false">IF(A258="","",IF(AND(AT257=1,$H$3=1),D257*AO257,IF($H$3=2,D257,"N/A")))</f>
        <v/>
      </c>
      <c r="F257" s="199" t="str">
        <f aca="false">IF(A258="","",E257*AS257)</f>
        <v/>
      </c>
      <c r="G257" s="200" t="str">
        <f aca="false">IF($A258="","",VLOOKUP($A257,Table,MATCH(G$4,Curves,0)))</f>
        <v/>
      </c>
      <c r="H257" s="201" t="str">
        <f aca="false">IF(A258="","",G257)</f>
        <v/>
      </c>
      <c r="I257" s="202"/>
      <c r="J257" s="200" t="str">
        <f aca="false">IF($A258="","",VLOOKUP($A257,Table,MATCH(J$4,Curves,0)))</f>
        <v/>
      </c>
      <c r="K257" s="201" t="str">
        <f aca="false">IF(A258="","",J257)</f>
        <v/>
      </c>
      <c r="L257" s="200" t="str">
        <f aca="false">IF($A258="","",VLOOKUP($A257,Table,MATCH(L$4,Curves,0)))</f>
        <v/>
      </c>
      <c r="M257" s="201" t="str">
        <f aca="false">IF(A258="","",L257)</f>
        <v/>
      </c>
      <c r="N257" s="203"/>
      <c r="O257" s="200" t="str">
        <f aca="false">IF(A258="","",L257+J257+G257)</f>
        <v/>
      </c>
      <c r="P257" s="200" t="str">
        <f aca="false">IF(A258="","",M257+K257+H257)</f>
        <v/>
      </c>
      <c r="Q257" s="204"/>
      <c r="R257" s="200" t="str">
        <f aca="false">IF($A258="","",VLOOKUP($A257,Table,MATCH(R$4,Curves,0)))</f>
        <v/>
      </c>
      <c r="S257" s="201" t="str">
        <f aca="false">IF(A258="","",R257)</f>
        <v/>
      </c>
      <c r="T257" s="185" t="n">
        <v>0</v>
      </c>
      <c r="U257" s="201" t="str">
        <f aca="false">IF(A258="","",T257)</f>
        <v/>
      </c>
      <c r="V257" s="205" t="str">
        <f aca="false">IF($A258="","",IF(AND(MONTH(A257)&gt;3,MONTH(A257)&lt;11),(T257+R257+G257)*Summary!$T$11/(1-Summary!$T$11),(T257+R257+G257)*Summary!$U$11/(1-Summary!$U$11)))</f>
        <v/>
      </c>
      <c r="W257" s="202" t="str">
        <f aca="false">IF($A258="","",(T257+R257+G257+V257))</f>
        <v/>
      </c>
      <c r="X257" s="202" t="str">
        <f aca="false">IF($A258="","",(U257+S257+H257+V257))</f>
        <v/>
      </c>
      <c r="Y257" s="202"/>
      <c r="Z257" s="185" t="str">
        <f aca="false">IF($A258="","",VLOOKUP($A257,Table,MATCH(Z$4,Curves,0)))</f>
        <v/>
      </c>
      <c r="AA257" s="185" t="str">
        <f aca="false">IF($A258="","",VLOOKUP($A257,Table,MATCH(AA$4,Curves,0)))</f>
        <v/>
      </c>
      <c r="AB257" s="185" t="e">
        <f aca="false">SQRT((AA257^2*(A257-$D$3)+Z257^2*(DAY(EOMONTH(A257,0))/2))/AK257)</f>
        <v>#VALUE!</v>
      </c>
      <c r="AC257" s="185" t="str">
        <f aca="false">IF($A258="","",VLOOKUP($A257,Table,MATCH(AC$4,Curves,0)))</f>
        <v/>
      </c>
      <c r="AD257" s="185" t="str">
        <f aca="false">IF($A258="","",VLOOKUP($A257,Table,MATCH(AD$4,Curves,0)))</f>
        <v/>
      </c>
      <c r="AE257" s="185" t="e">
        <f aca="false">SQRT((AD257^2*(A257-$D$3)+AC257^2*(DAY(EOMONTH(A257,0))/2))/AK257)</f>
        <v>#VALUE!</v>
      </c>
      <c r="AF257" s="206" t="e">
        <f aca="false">((Summary!$N$11*(AA257*AD257)*(A257-$D$3))+(Summary!$M$11*Z257*AC257*(AJ257-EOMONTH(EDATE(A257,-1),0))))/(AK257*AB257*AE257)</f>
        <v>#VALUE!</v>
      </c>
      <c r="AG257" s="207" t="str">
        <f aca="false">IF($A258="","",Summary!$Q$11)</f>
        <v/>
      </c>
      <c r="AH257" s="207" t="str">
        <f aca="false">IF($A258="","",IF(Summary!$R$11="Y",(VLOOKUP($A257,Summary!$AD$6:$AF$9,3)+'Escalating commodity'!G270),'Escalating commodity'!G270))</f>
        <v/>
      </c>
      <c r="AI257" s="207" t="str">
        <f aca="false">IF($A258="","",AH257)</f>
        <v/>
      </c>
      <c r="AJ257" s="208" t="e">
        <f aca="false">A257+DAY(EOMONTH(A257,0))/2-1</f>
        <v>#VALUE!</v>
      </c>
      <c r="AK257" s="209" t="str">
        <f aca="false">IF($A258="","",$A257-$E$1)</f>
        <v/>
      </c>
      <c r="AL257" s="182" t="str">
        <f aca="false">IF($A258="","",SPRDOPT(P257,X257,AI257,0,AB257,AE257,AF257,AK257,$AJ$2,0))</f>
        <v/>
      </c>
      <c r="AM257" s="210" t="str">
        <f aca="false">IF($A258="","",MAX(0,O257-W257-AI257))</f>
        <v/>
      </c>
      <c r="AN257" s="211" t="str">
        <f aca="false">IF($A258="","",AL257-AM257)</f>
        <v/>
      </c>
      <c r="AO257" s="137" t="str">
        <f aca="false">IF(A258="","",A258-A257)</f>
        <v/>
      </c>
      <c r="AP257" s="212" t="str">
        <f aca="false">IF(A258="","",CHOOSE(F$3,A258+24,A257))</f>
        <v/>
      </c>
      <c r="AQ257" s="209" t="str">
        <f aca="false">IF(A258="","",AP257-$E$1)</f>
        <v/>
      </c>
      <c r="AR257" s="185" t="n">
        <f aca="false">'ANR OK vs ML7'!AR257</f>
        <v>0.1</v>
      </c>
      <c r="AS257" s="213" t="str">
        <f aca="false">IF(A258="","",1/(1+CHOOSE(F$3,(AR258+($I$3/10000))/2,(AR257+($I$3/10000))/2))^(2*AQ257/365.25))</f>
        <v/>
      </c>
      <c r="AT257" s="137" t="str">
        <f aca="false">IF(A258="","",IF(AND(mthbeg&lt;=A257,mthend&gt;=A257),1,0))</f>
        <v/>
      </c>
      <c r="AU257" s="137" t="str">
        <f aca="false">IF(A258="","",AO257*AT257)</f>
        <v/>
      </c>
      <c r="AW257" s="195" t="str">
        <f aca="false">IF($A258="","",AL257*$E257)</f>
        <v/>
      </c>
      <c r="AX257" s="195" t="str">
        <f aca="false">IF($A258="","",AM257*$E257)</f>
        <v/>
      </c>
      <c r="AY257" s="195" t="str">
        <f aca="false">IF($A258="","",AN257*$E257)</f>
        <v/>
      </c>
      <c r="BA257" s="195" t="str">
        <f aca="false">IF($A258="","",F257*Summary!$Q$11)</f>
        <v/>
      </c>
    </row>
    <row r="258" customFormat="false" ht="12" hidden="false" customHeight="true" outlineLevel="0" collapsed="false">
      <c r="A258" s="196" t="str">
        <f aca="false">IF(A257&lt;mthend,EDATE(A257,1),"")</f>
        <v/>
      </c>
      <c r="B258" s="197" t="str">
        <f aca="false">IF(A258&lt;mthend,B257,"")</f>
        <v/>
      </c>
      <c r="C258" s="215"/>
      <c r="D258" s="197" t="str">
        <f aca="false">IF(A259&lt;&gt;"",B258+C258,"")</f>
        <v/>
      </c>
      <c r="E258" s="199" t="str">
        <f aca="false">IF(A259="","",IF(AND(AT258=1,$H$3=1),D258*AO258,IF($H$3=2,D258,"N/A")))</f>
        <v/>
      </c>
      <c r="F258" s="199" t="str">
        <f aca="false">IF(A259="","",E258*AS258)</f>
        <v/>
      </c>
      <c r="G258" s="200" t="str">
        <f aca="false">IF($A259="","",VLOOKUP($A258,Table,MATCH(G$4,Curves,0)))</f>
        <v/>
      </c>
      <c r="H258" s="201" t="str">
        <f aca="false">IF(A259="","",G258)</f>
        <v/>
      </c>
      <c r="I258" s="202"/>
      <c r="J258" s="200" t="str">
        <f aca="false">IF($A259="","",VLOOKUP($A258,Table,MATCH(J$4,Curves,0)))</f>
        <v/>
      </c>
      <c r="K258" s="201" t="str">
        <f aca="false">IF(A259="","",J258)</f>
        <v/>
      </c>
      <c r="L258" s="200" t="str">
        <f aca="false">IF($A259="","",VLOOKUP($A258,Table,MATCH(L$4,Curves,0)))</f>
        <v/>
      </c>
      <c r="M258" s="201" t="str">
        <f aca="false">IF(A259="","",L258)</f>
        <v/>
      </c>
      <c r="N258" s="203"/>
      <c r="O258" s="200" t="str">
        <f aca="false">IF(A259="","",L258+J258+G258)</f>
        <v/>
      </c>
      <c r="P258" s="200" t="str">
        <f aca="false">IF(A259="","",M258+K258+H258)</f>
        <v/>
      </c>
      <c r="Q258" s="204"/>
      <c r="R258" s="200" t="str">
        <f aca="false">IF($A259="","",VLOOKUP($A258,Table,MATCH(R$4,Curves,0)))</f>
        <v/>
      </c>
      <c r="S258" s="201" t="str">
        <f aca="false">IF(A259="","",R258)</f>
        <v/>
      </c>
      <c r="T258" s="185" t="n">
        <v>0</v>
      </c>
      <c r="U258" s="201" t="str">
        <f aca="false">IF(A259="","",T258)</f>
        <v/>
      </c>
      <c r="V258" s="205" t="str">
        <f aca="false">IF($A259="","",IF(AND(MONTH(A258)&gt;3,MONTH(A258)&lt;11),(T258+R258+G258)*Summary!$T$11/(1-Summary!$T$11),(T258+R258+G258)*Summary!$U$11/(1-Summary!$U$11)))</f>
        <v/>
      </c>
      <c r="W258" s="202" t="str">
        <f aca="false">IF($A259="","",(T258+R258+G258+V258))</f>
        <v/>
      </c>
      <c r="X258" s="202" t="str">
        <f aca="false">IF($A259="","",(U258+S258+H258+V258))</f>
        <v/>
      </c>
      <c r="Y258" s="202"/>
      <c r="Z258" s="185" t="str">
        <f aca="false">IF($A259="","",VLOOKUP($A258,Table,MATCH(Z$4,Curves,0)))</f>
        <v/>
      </c>
      <c r="AA258" s="185" t="str">
        <f aca="false">IF($A259="","",VLOOKUP($A258,Table,MATCH(AA$4,Curves,0)))</f>
        <v/>
      </c>
      <c r="AB258" s="185" t="e">
        <f aca="false">SQRT((AA258^2*(A258-$D$3)+Z258^2*(DAY(EOMONTH(A258,0))/2))/AK258)</f>
        <v>#VALUE!</v>
      </c>
      <c r="AC258" s="185" t="str">
        <f aca="false">IF($A259="","",VLOOKUP($A258,Table,MATCH(AC$4,Curves,0)))</f>
        <v/>
      </c>
      <c r="AD258" s="185" t="str">
        <f aca="false">IF($A259="","",VLOOKUP($A258,Table,MATCH(AD$4,Curves,0)))</f>
        <v/>
      </c>
      <c r="AE258" s="185" t="e">
        <f aca="false">SQRT((AD258^2*(A258-$D$3)+AC258^2*(DAY(EOMONTH(A258,0))/2))/AK258)</f>
        <v>#VALUE!</v>
      </c>
      <c r="AF258" s="206" t="e">
        <f aca="false">((Summary!$N$11*(AA258*AD258)*(A258-$D$3))+(Summary!$M$11*Z258*AC258*(AJ258-EOMONTH(EDATE(A258,-1),0))))/(AK258*AB258*AE258)</f>
        <v>#VALUE!</v>
      </c>
      <c r="AG258" s="207" t="str">
        <f aca="false">IF($A259="","",Summary!$Q$11)</f>
        <v/>
      </c>
      <c r="AH258" s="207" t="str">
        <f aca="false">IF($A259="","",IF(Summary!$R$11="Y",(VLOOKUP($A258,Summary!$AD$6:$AF$9,3)+'Escalating commodity'!G271),'Escalating commodity'!G271))</f>
        <v/>
      </c>
      <c r="AI258" s="207" t="str">
        <f aca="false">IF($A259="","",AH258)</f>
        <v/>
      </c>
      <c r="AJ258" s="208" t="e">
        <f aca="false">A258+DAY(EOMONTH(A258,0))/2-1</f>
        <v>#VALUE!</v>
      </c>
      <c r="AK258" s="209" t="str">
        <f aca="false">IF($A259="","",$A258-$E$1)</f>
        <v/>
      </c>
      <c r="AL258" s="182" t="str">
        <f aca="false">IF($A259="","",SPRDOPT(P258,X258,AI258,0,AB258,AE258,AF258,AK258,$AJ$2,0))</f>
        <v/>
      </c>
      <c r="AM258" s="210" t="str">
        <f aca="false">IF($A259="","",MAX(0,O258-W258-AI258))</f>
        <v/>
      </c>
      <c r="AN258" s="211" t="str">
        <f aca="false">IF($A259="","",AL258-AM258)</f>
        <v/>
      </c>
      <c r="AO258" s="137" t="str">
        <f aca="false">IF(A259="","",A259-A258)</f>
        <v/>
      </c>
      <c r="AP258" s="212" t="str">
        <f aca="false">IF(A259="","",CHOOSE(F$3,A259+24,A258))</f>
        <v/>
      </c>
      <c r="AQ258" s="209" t="str">
        <f aca="false">IF(A259="","",AP258-$E$1)</f>
        <v/>
      </c>
      <c r="AR258" s="185" t="n">
        <f aca="false">'ANR OK vs ML7'!AR258</f>
        <v>0.1</v>
      </c>
      <c r="AS258" s="213" t="str">
        <f aca="false">IF(A259="","",1/(1+CHOOSE(F$3,(AR259+($I$3/10000))/2,(AR258+($I$3/10000))/2))^(2*AQ258/365.25))</f>
        <v/>
      </c>
      <c r="AT258" s="137" t="str">
        <f aca="false">IF(A259="","",IF(AND(mthbeg&lt;=A258,mthend&gt;=A258),1,0))</f>
        <v/>
      </c>
      <c r="AU258" s="137" t="str">
        <f aca="false">IF(A259="","",AO258*AT258)</f>
        <v/>
      </c>
      <c r="AW258" s="195" t="str">
        <f aca="false">IF($A259="","",AL258*$E258)</f>
        <v/>
      </c>
      <c r="AX258" s="195" t="str">
        <f aca="false">IF($A259="","",AM258*$E258)</f>
        <v/>
      </c>
      <c r="AY258" s="195" t="str">
        <f aca="false">IF($A259="","",AN258*$E258)</f>
        <v/>
      </c>
      <c r="BA258" s="195" t="str">
        <f aca="false">IF($A259="","",F258*Summary!$Q$11)</f>
        <v/>
      </c>
    </row>
    <row r="259" customFormat="false" ht="12" hidden="false" customHeight="true" outlineLevel="0" collapsed="false">
      <c r="A259" s="196" t="str">
        <f aca="false">IF(A258&lt;mthend,EDATE(A258,1),"")</f>
        <v/>
      </c>
      <c r="B259" s="197" t="str">
        <f aca="false">IF(A259&lt;mthend,B258,"")</f>
        <v/>
      </c>
      <c r="C259" s="215"/>
      <c r="D259" s="197" t="str">
        <f aca="false">IF(A260&lt;&gt;"",B259+C259,"")</f>
        <v/>
      </c>
      <c r="E259" s="199" t="str">
        <f aca="false">IF(A260="","",IF(AND(AT259=1,$H$3=1),D259*AO259,IF($H$3=2,D259,"N/A")))</f>
        <v/>
      </c>
      <c r="F259" s="199" t="str">
        <f aca="false">IF(A260="","",E259*AS259)</f>
        <v/>
      </c>
      <c r="G259" s="200" t="str">
        <f aca="false">IF($A260="","",VLOOKUP($A259,Table,MATCH(G$4,Curves,0)))</f>
        <v/>
      </c>
      <c r="H259" s="201" t="str">
        <f aca="false">IF(A260="","",G259)</f>
        <v/>
      </c>
      <c r="I259" s="202"/>
      <c r="J259" s="200" t="str">
        <f aca="false">IF($A260="","",VLOOKUP($A259,Table,MATCH(J$4,Curves,0)))</f>
        <v/>
      </c>
      <c r="K259" s="201" t="str">
        <f aca="false">IF(A260="","",J259)</f>
        <v/>
      </c>
      <c r="L259" s="200" t="str">
        <f aca="false">IF($A260="","",VLOOKUP($A259,Table,MATCH(L$4,Curves,0)))</f>
        <v/>
      </c>
      <c r="M259" s="201" t="str">
        <f aca="false">IF(A260="","",L259)</f>
        <v/>
      </c>
      <c r="N259" s="203"/>
      <c r="O259" s="200" t="str">
        <f aca="false">IF(A260="","",L259+J259+G259)</f>
        <v/>
      </c>
      <c r="P259" s="200" t="str">
        <f aca="false">IF(A260="","",M259+K259+H259)</f>
        <v/>
      </c>
      <c r="Q259" s="204"/>
      <c r="R259" s="200" t="str">
        <f aca="false">IF($A260="","",VLOOKUP($A259,Table,MATCH(R$4,Curves,0)))</f>
        <v/>
      </c>
      <c r="S259" s="201" t="str">
        <f aca="false">IF(A260="","",R259)</f>
        <v/>
      </c>
      <c r="T259" s="185" t="n">
        <v>0</v>
      </c>
      <c r="U259" s="201" t="str">
        <f aca="false">IF(A260="","",T259)</f>
        <v/>
      </c>
      <c r="V259" s="205" t="str">
        <f aca="false">IF($A260="","",IF(AND(MONTH(A259)&gt;3,MONTH(A259)&lt;11),(T259+R259+G259)*Summary!$T$11/(1-Summary!$T$11),(T259+R259+G259)*Summary!$U$11/(1-Summary!$U$11)))</f>
        <v/>
      </c>
      <c r="W259" s="202" t="str">
        <f aca="false">IF($A260="","",(T259+R259+G259+V259))</f>
        <v/>
      </c>
      <c r="X259" s="202" t="str">
        <f aca="false">IF($A260="","",(U259+S259+H259+V259))</f>
        <v/>
      </c>
      <c r="Y259" s="202"/>
      <c r="Z259" s="185" t="str">
        <f aca="false">IF($A260="","",VLOOKUP($A259,Table,MATCH(Z$4,Curves,0)))</f>
        <v/>
      </c>
      <c r="AA259" s="185" t="str">
        <f aca="false">IF($A260="","",VLOOKUP($A259,Table,MATCH(AA$4,Curves,0)))</f>
        <v/>
      </c>
      <c r="AB259" s="185" t="e">
        <f aca="false">SQRT((AA259^2*(A259-$D$3)+Z259^2*(DAY(EOMONTH(A259,0))/2))/AK259)</f>
        <v>#VALUE!</v>
      </c>
      <c r="AC259" s="185" t="str">
        <f aca="false">IF($A260="","",VLOOKUP($A259,Table,MATCH(AC$4,Curves,0)))</f>
        <v/>
      </c>
      <c r="AD259" s="185" t="str">
        <f aca="false">IF($A260="","",VLOOKUP($A259,Table,MATCH(AD$4,Curves,0)))</f>
        <v/>
      </c>
      <c r="AE259" s="185" t="e">
        <f aca="false">SQRT((AD259^2*(A259-$D$3)+AC259^2*(DAY(EOMONTH(A259,0))/2))/AK259)</f>
        <v>#VALUE!</v>
      </c>
      <c r="AF259" s="206" t="e">
        <f aca="false">((Summary!$N$11*(AA259*AD259)*(A259-$D$3))+(Summary!$M$11*Z259*AC259*(AJ259-EOMONTH(EDATE(A259,-1),0))))/(AK259*AB259*AE259)</f>
        <v>#VALUE!</v>
      </c>
      <c r="AG259" s="207" t="str">
        <f aca="false">IF($A260="","",Summary!$Q$11)</f>
        <v/>
      </c>
      <c r="AH259" s="207" t="str">
        <f aca="false">IF($A260="","",IF(Summary!$R$11="Y",(VLOOKUP($A259,Summary!$AD$6:$AF$9,3)+'Escalating commodity'!G272),'Escalating commodity'!G272))</f>
        <v/>
      </c>
      <c r="AI259" s="207" t="str">
        <f aca="false">IF($A260="","",AH259)</f>
        <v/>
      </c>
      <c r="AJ259" s="208" t="e">
        <f aca="false">A259+DAY(EOMONTH(A259,0))/2-1</f>
        <v>#VALUE!</v>
      </c>
      <c r="AK259" s="209" t="str">
        <f aca="false">IF($A260="","",$A259-$E$1)</f>
        <v/>
      </c>
      <c r="AL259" s="182" t="str">
        <f aca="false">IF($A260="","",SPRDOPT(P259,X259,AI259,0,AB259,AE259,AF259,AK259,$AJ$2,0))</f>
        <v/>
      </c>
      <c r="AM259" s="210" t="str">
        <f aca="false">IF($A260="","",MAX(0,O259-W259-AI259))</f>
        <v/>
      </c>
      <c r="AN259" s="211" t="str">
        <f aca="false">IF($A260="","",AL259-AM259)</f>
        <v/>
      </c>
      <c r="AO259" s="137" t="str">
        <f aca="false">IF(A260="","",A260-A259)</f>
        <v/>
      </c>
      <c r="AP259" s="212" t="str">
        <f aca="false">IF(A260="","",CHOOSE(F$3,A260+24,A259))</f>
        <v/>
      </c>
      <c r="AQ259" s="209" t="str">
        <f aca="false">IF(A260="","",AP259-$E$1)</f>
        <v/>
      </c>
      <c r="AR259" s="185" t="n">
        <f aca="false">'ANR OK vs ML7'!AR259</f>
        <v>0.1</v>
      </c>
      <c r="AS259" s="213" t="str">
        <f aca="false">IF(A260="","",1/(1+CHOOSE(F$3,(AR260+($I$3/10000))/2,(AR259+($I$3/10000))/2))^(2*AQ259/365.25))</f>
        <v/>
      </c>
      <c r="AT259" s="137" t="str">
        <f aca="false">IF(A260="","",IF(AND(mthbeg&lt;=A259,mthend&gt;=A259),1,0))</f>
        <v/>
      </c>
      <c r="AU259" s="137" t="str">
        <f aca="false">IF(A260="","",AO259*AT259)</f>
        <v/>
      </c>
      <c r="AW259" s="195" t="str">
        <f aca="false">IF($A260="","",AL259*$E259)</f>
        <v/>
      </c>
      <c r="AX259" s="195" t="str">
        <f aca="false">IF($A260="","",AM259*$E259)</f>
        <v/>
      </c>
      <c r="AY259" s="195" t="str">
        <f aca="false">IF($A260="","",AN259*$E259)</f>
        <v/>
      </c>
      <c r="BA259" s="195" t="str">
        <f aca="false">IF($A260="","",F259*Summary!$Q$11)</f>
        <v/>
      </c>
    </row>
    <row r="260" customFormat="false" ht="12" hidden="false" customHeight="true" outlineLevel="0" collapsed="false">
      <c r="A260" s="196" t="str">
        <f aca="false">IF(A259&lt;mthend,EDATE(A259,1),"")</f>
        <v/>
      </c>
      <c r="B260" s="197" t="str">
        <f aca="false">IF(A260&lt;mthend,B259,"")</f>
        <v/>
      </c>
      <c r="C260" s="215"/>
      <c r="D260" s="197" t="str">
        <f aca="false">IF(A261&lt;&gt;"",B260+C260,"")</f>
        <v/>
      </c>
      <c r="E260" s="199" t="str">
        <f aca="false">IF(A261="","",IF(AND(AT260=1,$H$3=1),D260*AO260,IF($H$3=2,D260,"N/A")))</f>
        <v/>
      </c>
      <c r="F260" s="199" t="str">
        <f aca="false">IF(A261="","",E260*AS260)</f>
        <v/>
      </c>
      <c r="G260" s="200" t="str">
        <f aca="false">IF($A261="","",VLOOKUP($A260,Table,MATCH(G$4,Curves,0)))</f>
        <v/>
      </c>
      <c r="H260" s="201" t="str">
        <f aca="false">IF(A261="","",G260)</f>
        <v/>
      </c>
      <c r="I260" s="202"/>
      <c r="J260" s="200" t="str">
        <f aca="false">IF($A261="","",VLOOKUP($A260,Table,MATCH(J$4,Curves,0)))</f>
        <v/>
      </c>
      <c r="K260" s="201" t="str">
        <f aca="false">IF(A261="","",J260)</f>
        <v/>
      </c>
      <c r="L260" s="200" t="str">
        <f aca="false">IF($A261="","",VLOOKUP($A260,Table,MATCH(L$4,Curves,0)))</f>
        <v/>
      </c>
      <c r="M260" s="201" t="str">
        <f aca="false">IF(A261="","",L260)</f>
        <v/>
      </c>
      <c r="N260" s="203"/>
      <c r="O260" s="200" t="str">
        <f aca="false">IF(A261="","",L260+J260+G260)</f>
        <v/>
      </c>
      <c r="P260" s="200" t="str">
        <f aca="false">IF(A261="","",M260+K260+H260)</f>
        <v/>
      </c>
      <c r="Q260" s="204"/>
      <c r="R260" s="200" t="str">
        <f aca="false">IF($A261="","",VLOOKUP($A260,Table,MATCH(R$4,Curves,0)))</f>
        <v/>
      </c>
      <c r="S260" s="201" t="str">
        <f aca="false">IF(A261="","",R260)</f>
        <v/>
      </c>
      <c r="T260" s="185" t="n">
        <v>0</v>
      </c>
      <c r="U260" s="201" t="str">
        <f aca="false">IF(A261="","",T260)</f>
        <v/>
      </c>
      <c r="V260" s="205" t="str">
        <f aca="false">IF($A261="","",IF(AND(MONTH(A260)&gt;3,MONTH(A260)&lt;11),(T260+R260+G260)*Summary!$T$11/(1-Summary!$T$11),(T260+R260+G260)*Summary!$U$11/(1-Summary!$U$11)))</f>
        <v/>
      </c>
      <c r="W260" s="202" t="str">
        <f aca="false">IF($A261="","",(T260+R260+G260+V260))</f>
        <v/>
      </c>
      <c r="X260" s="202" t="str">
        <f aca="false">IF($A261="","",(U260+S260+H260+V260))</f>
        <v/>
      </c>
      <c r="Y260" s="202"/>
      <c r="Z260" s="185" t="str">
        <f aca="false">IF($A261="","",VLOOKUP($A260,Table,MATCH(Z$4,Curves,0)))</f>
        <v/>
      </c>
      <c r="AA260" s="185" t="str">
        <f aca="false">IF($A261="","",VLOOKUP($A260,Table,MATCH(AA$4,Curves,0)))</f>
        <v/>
      </c>
      <c r="AB260" s="185" t="e">
        <f aca="false">SQRT((AA260^2*(A260-$D$3)+Z260^2*(DAY(EOMONTH(A260,0))/2))/AK260)</f>
        <v>#VALUE!</v>
      </c>
      <c r="AC260" s="185" t="str">
        <f aca="false">IF($A261="","",VLOOKUP($A260,Table,MATCH(AC$4,Curves,0)))</f>
        <v/>
      </c>
      <c r="AD260" s="185" t="str">
        <f aca="false">IF($A261="","",VLOOKUP($A260,Table,MATCH(AD$4,Curves,0)))</f>
        <v/>
      </c>
      <c r="AE260" s="185" t="e">
        <f aca="false">SQRT((AD260^2*(A260-$D$3)+AC260^2*(DAY(EOMONTH(A260,0))/2))/AK260)</f>
        <v>#VALUE!</v>
      </c>
      <c r="AF260" s="206" t="e">
        <f aca="false">((Summary!$N$11*(AA260*AD260)*(A260-$D$3))+(Summary!$M$11*Z260*AC260*(AJ260-EOMONTH(EDATE(A260,-1),0))))/(AK260*AB260*AE260)</f>
        <v>#VALUE!</v>
      </c>
      <c r="AG260" s="207" t="str">
        <f aca="false">IF($A261="","",Summary!$Q$11)</f>
        <v/>
      </c>
      <c r="AH260" s="207" t="str">
        <f aca="false">IF($A261="","",IF(Summary!$R$11="Y",(VLOOKUP($A260,Summary!$AD$6:$AF$9,3)+'Escalating commodity'!G273),'Escalating commodity'!G273))</f>
        <v/>
      </c>
      <c r="AI260" s="207" t="str">
        <f aca="false">IF($A261="","",AH260)</f>
        <v/>
      </c>
      <c r="AJ260" s="208" t="e">
        <f aca="false">A260+DAY(EOMONTH(A260,0))/2-1</f>
        <v>#VALUE!</v>
      </c>
      <c r="AK260" s="209" t="str">
        <f aca="false">IF($A261="","",$A260-$E$1)</f>
        <v/>
      </c>
      <c r="AL260" s="182" t="str">
        <f aca="false">IF($A261="","",SPRDOPT(P260,X260,AI260,0,AB260,AE260,AF260,AK260,$AJ$2,0))</f>
        <v/>
      </c>
      <c r="AM260" s="210" t="str">
        <f aca="false">IF($A261="","",MAX(0,O260-W260-AI260))</f>
        <v/>
      </c>
      <c r="AN260" s="211" t="str">
        <f aca="false">IF($A261="","",AL260-AM260)</f>
        <v/>
      </c>
      <c r="AO260" s="137" t="str">
        <f aca="false">IF(A261="","",A261-A260)</f>
        <v/>
      </c>
      <c r="AP260" s="212" t="str">
        <f aca="false">IF(A261="","",CHOOSE(F$3,A261+24,A260))</f>
        <v/>
      </c>
      <c r="AQ260" s="209" t="str">
        <f aca="false">IF(A261="","",AP260-$E$1)</f>
        <v/>
      </c>
      <c r="AR260" s="185" t="n">
        <f aca="false">'ANR OK vs ML7'!AR260</f>
        <v>0.1</v>
      </c>
      <c r="AS260" s="213" t="str">
        <f aca="false">IF(A261="","",1/(1+CHOOSE(F$3,(AR261+($I$3/10000))/2,(AR260+($I$3/10000))/2))^(2*AQ260/365.25))</f>
        <v/>
      </c>
      <c r="AT260" s="137" t="str">
        <f aca="false">IF(A261="","",IF(AND(mthbeg&lt;=A260,mthend&gt;=A260),1,0))</f>
        <v/>
      </c>
      <c r="AU260" s="137" t="str">
        <f aca="false">IF(A261="","",AO260*AT260)</f>
        <v/>
      </c>
      <c r="AW260" s="195" t="str">
        <f aca="false">IF($A261="","",AL260*$E260)</f>
        <v/>
      </c>
      <c r="AX260" s="195" t="str">
        <f aca="false">IF($A261="","",AM260*$E260)</f>
        <v/>
      </c>
      <c r="AY260" s="195" t="str">
        <f aca="false">IF($A261="","",AN260*$E260)</f>
        <v/>
      </c>
      <c r="BA260" s="195" t="str">
        <f aca="false">IF($A261="","",F260*Summary!$Q$11)</f>
        <v/>
      </c>
    </row>
    <row r="261" customFormat="false" ht="12" hidden="false" customHeight="true" outlineLevel="0" collapsed="false">
      <c r="A261" s="196" t="str">
        <f aca="false">IF(A260&lt;mthend,EDATE(A260,1),"")</f>
        <v/>
      </c>
      <c r="B261" s="197" t="str">
        <f aca="false">IF(A261&lt;mthend,B260,"")</f>
        <v/>
      </c>
      <c r="C261" s="215"/>
      <c r="D261" s="197" t="str">
        <f aca="false">IF(A262&lt;&gt;"",B261+C261,"")</f>
        <v/>
      </c>
      <c r="E261" s="199" t="str">
        <f aca="false">IF(A262="","",IF(AND(AT261=1,$H$3=1),D261*AO261,IF($H$3=2,D261,"N/A")))</f>
        <v/>
      </c>
      <c r="F261" s="199" t="str">
        <f aca="false">IF(A262="","",E261*AS261)</f>
        <v/>
      </c>
      <c r="G261" s="200" t="str">
        <f aca="false">IF($A262="","",VLOOKUP($A261,Table,MATCH(G$4,Curves,0)))</f>
        <v/>
      </c>
      <c r="H261" s="201" t="str">
        <f aca="false">IF(A262="","",G261)</f>
        <v/>
      </c>
      <c r="I261" s="202"/>
      <c r="J261" s="200" t="str">
        <f aca="false">IF($A262="","",VLOOKUP($A261,Table,MATCH(J$4,Curves,0)))</f>
        <v/>
      </c>
      <c r="K261" s="201" t="str">
        <f aca="false">IF(A262="","",J261)</f>
        <v/>
      </c>
      <c r="L261" s="200" t="str">
        <f aca="false">IF($A262="","",VLOOKUP($A261,Table,MATCH(L$4,Curves,0)))</f>
        <v/>
      </c>
      <c r="M261" s="201" t="str">
        <f aca="false">IF(A262="","",L261)</f>
        <v/>
      </c>
      <c r="N261" s="203"/>
      <c r="O261" s="200" t="str">
        <f aca="false">IF(A262="","",L261+J261+G261)</f>
        <v/>
      </c>
      <c r="P261" s="200" t="str">
        <f aca="false">IF(A262="","",M261+K261+H261)</f>
        <v/>
      </c>
      <c r="Q261" s="204"/>
      <c r="R261" s="200" t="str">
        <f aca="false">IF($A262="","",VLOOKUP($A261,Table,MATCH(R$4,Curves,0)))</f>
        <v/>
      </c>
      <c r="S261" s="201" t="str">
        <f aca="false">IF(A262="","",R261)</f>
        <v/>
      </c>
      <c r="T261" s="185" t="n">
        <v>0</v>
      </c>
      <c r="U261" s="201" t="str">
        <f aca="false">IF(A262="","",T261)</f>
        <v/>
      </c>
      <c r="V261" s="205" t="str">
        <f aca="false">IF($A262="","",IF(AND(MONTH(A261)&gt;3,MONTH(A261)&lt;11),(T261+R261+G261)*Summary!$T$11/(1-Summary!$T$11),(T261+R261+G261)*Summary!$U$11/(1-Summary!$U$11)))</f>
        <v/>
      </c>
      <c r="W261" s="202" t="str">
        <f aca="false">IF($A262="","",(T261+R261+G261+V261))</f>
        <v/>
      </c>
      <c r="X261" s="202" t="str">
        <f aca="false">IF($A262="","",(U261+S261+H261+V261))</f>
        <v/>
      </c>
      <c r="Y261" s="202"/>
      <c r="Z261" s="185" t="str">
        <f aca="false">IF($A262="","",VLOOKUP($A261,Table,MATCH(Z$4,Curves,0)))</f>
        <v/>
      </c>
      <c r="AA261" s="185" t="str">
        <f aca="false">IF($A262="","",VLOOKUP($A261,Table,MATCH(AA$4,Curves,0)))</f>
        <v/>
      </c>
      <c r="AB261" s="185" t="e">
        <f aca="false">SQRT((AA261^2*(A261-$D$3)+Z261^2*(DAY(EOMONTH(A261,0))/2))/AK261)</f>
        <v>#VALUE!</v>
      </c>
      <c r="AC261" s="185" t="str">
        <f aca="false">IF($A262="","",VLOOKUP($A261,Table,MATCH(AC$4,Curves,0)))</f>
        <v/>
      </c>
      <c r="AD261" s="185" t="str">
        <f aca="false">IF($A262="","",VLOOKUP($A261,Table,MATCH(AD$4,Curves,0)))</f>
        <v/>
      </c>
      <c r="AE261" s="185" t="e">
        <f aca="false">SQRT((AD261^2*(A261-$D$3)+AC261^2*(DAY(EOMONTH(A261,0))/2))/AK261)</f>
        <v>#VALUE!</v>
      </c>
      <c r="AF261" s="206" t="e">
        <f aca="false">((Summary!$N$11*(AA261*AD261)*(A261-$D$3))+(Summary!$M$11*Z261*AC261*(AJ261-EOMONTH(EDATE(A261,-1),0))))/(AK261*AB261*AE261)</f>
        <v>#VALUE!</v>
      </c>
      <c r="AG261" s="207" t="str">
        <f aca="false">IF($A262="","",Summary!$Q$11)</f>
        <v/>
      </c>
      <c r="AH261" s="207" t="str">
        <f aca="false">IF($A262="","",IF(Summary!$R$11="Y",(VLOOKUP($A261,Summary!$AD$6:$AF$9,3)+'Escalating commodity'!G274),'Escalating commodity'!G274))</f>
        <v/>
      </c>
      <c r="AI261" s="207" t="str">
        <f aca="false">IF($A262="","",AH261)</f>
        <v/>
      </c>
      <c r="AJ261" s="208" t="e">
        <f aca="false">A261+DAY(EOMONTH(A261,0))/2-1</f>
        <v>#VALUE!</v>
      </c>
      <c r="AK261" s="209" t="str">
        <f aca="false">IF($A262="","",$A261-$E$1)</f>
        <v/>
      </c>
      <c r="AL261" s="182" t="str">
        <f aca="false">IF($A262="","",SPRDOPT(P261,X261,AI261,0,AB261,AE261,AF261,AK261,$AJ$2,0))</f>
        <v/>
      </c>
      <c r="AM261" s="210" t="str">
        <f aca="false">IF($A262="","",MAX(0,O261-W261-AI261))</f>
        <v/>
      </c>
      <c r="AN261" s="211" t="str">
        <f aca="false">IF($A262="","",AL261-AM261)</f>
        <v/>
      </c>
      <c r="AO261" s="137" t="str">
        <f aca="false">IF(A262="","",A262-A261)</f>
        <v/>
      </c>
      <c r="AP261" s="212" t="str">
        <f aca="false">IF(A262="","",CHOOSE(F$3,A262+24,A261))</f>
        <v/>
      </c>
      <c r="AQ261" s="209" t="str">
        <f aca="false">IF(A262="","",AP261-$E$1)</f>
        <v/>
      </c>
      <c r="AR261" s="185" t="n">
        <f aca="false">'ANR OK vs ML7'!AR261</f>
        <v>0.1</v>
      </c>
      <c r="AS261" s="213" t="str">
        <f aca="false">IF(A262="","",1/(1+CHOOSE(F$3,(AR262+($I$3/10000))/2,(AR261+($I$3/10000))/2))^(2*AQ261/365.25))</f>
        <v/>
      </c>
      <c r="AT261" s="137" t="str">
        <f aca="false">IF(A262="","",IF(AND(mthbeg&lt;=A261,mthend&gt;=A261),1,0))</f>
        <v/>
      </c>
      <c r="AU261" s="137" t="str">
        <f aca="false">IF(A262="","",AO261*AT261)</f>
        <v/>
      </c>
      <c r="AW261" s="195" t="str">
        <f aca="false">IF($A262="","",AL261*$E261)</f>
        <v/>
      </c>
      <c r="AX261" s="195" t="str">
        <f aca="false">IF($A262="","",AM261*$E261)</f>
        <v/>
      </c>
      <c r="AY261" s="195" t="str">
        <f aca="false">IF($A262="","",AN261*$E261)</f>
        <v/>
      </c>
      <c r="BA261" s="195" t="str">
        <f aca="false">IF($A262="","",F261*Summary!$Q$11)</f>
        <v/>
      </c>
    </row>
    <row r="262" customFormat="false" ht="12" hidden="false" customHeight="true" outlineLevel="0" collapsed="false">
      <c r="A262" s="196" t="str">
        <f aca="false">IF(A261&lt;mthend,EDATE(A261,1),"")</f>
        <v/>
      </c>
      <c r="B262" s="197" t="str">
        <f aca="false">IF(A262&lt;mthend,B261,"")</f>
        <v/>
      </c>
      <c r="C262" s="215"/>
      <c r="D262" s="197" t="str">
        <f aca="false">IF(A263&lt;&gt;"",B262+C262,"")</f>
        <v/>
      </c>
      <c r="E262" s="199" t="str">
        <f aca="false">IF(A263="","",IF(AND(AT262=1,$H$3=1),D262*AO262,IF($H$3=2,D262,"N/A")))</f>
        <v/>
      </c>
      <c r="F262" s="199" t="str">
        <f aca="false">IF(A263="","",E262*AS262)</f>
        <v/>
      </c>
      <c r="G262" s="200" t="str">
        <f aca="false">IF($A263="","",VLOOKUP($A262,Table,MATCH(G$4,Curves,0)))</f>
        <v/>
      </c>
      <c r="H262" s="201" t="str">
        <f aca="false">IF(A263="","",G262)</f>
        <v/>
      </c>
      <c r="I262" s="202"/>
      <c r="J262" s="200" t="str">
        <f aca="false">IF($A263="","",VLOOKUP($A262,Table,MATCH(J$4,Curves,0)))</f>
        <v/>
      </c>
      <c r="K262" s="201" t="str">
        <f aca="false">IF(A263="","",J262)</f>
        <v/>
      </c>
      <c r="L262" s="200" t="str">
        <f aca="false">IF($A263="","",VLOOKUP($A262,Table,MATCH(L$4,Curves,0)))</f>
        <v/>
      </c>
      <c r="M262" s="201" t="str">
        <f aca="false">IF(A263="","",L262)</f>
        <v/>
      </c>
      <c r="N262" s="203"/>
      <c r="O262" s="200" t="str">
        <f aca="false">IF(A263="","",L262+J262+G262)</f>
        <v/>
      </c>
      <c r="P262" s="200" t="str">
        <f aca="false">IF(A263="","",M262+K262+H262)</f>
        <v/>
      </c>
      <c r="Q262" s="204"/>
      <c r="R262" s="200" t="str">
        <f aca="false">IF($A263="","",VLOOKUP($A262,Table,MATCH(R$4,Curves,0)))</f>
        <v/>
      </c>
      <c r="S262" s="201" t="str">
        <f aca="false">IF(A263="","",R262)</f>
        <v/>
      </c>
      <c r="T262" s="185" t="n">
        <v>0</v>
      </c>
      <c r="U262" s="201" t="str">
        <f aca="false">IF(A263="","",T262)</f>
        <v/>
      </c>
      <c r="V262" s="205" t="str">
        <f aca="false">IF($A263="","",IF(AND(MONTH(A262)&gt;3,MONTH(A262)&lt;11),(T262+R262+G262)*Summary!$T$11/(1-Summary!$T$11),(T262+R262+G262)*Summary!$U$11/(1-Summary!$U$11)))</f>
        <v/>
      </c>
      <c r="W262" s="202" t="str">
        <f aca="false">IF($A263="","",(T262+R262+G262+V262))</f>
        <v/>
      </c>
      <c r="X262" s="202" t="str">
        <f aca="false">IF($A263="","",(U262+S262+H262+V262))</f>
        <v/>
      </c>
      <c r="Y262" s="202"/>
      <c r="Z262" s="185" t="str">
        <f aca="false">IF($A263="","",VLOOKUP($A262,Table,MATCH(Z$4,Curves,0)))</f>
        <v/>
      </c>
      <c r="AA262" s="185" t="str">
        <f aca="false">IF($A263="","",VLOOKUP($A262,Table,MATCH(AA$4,Curves,0)))</f>
        <v/>
      </c>
      <c r="AB262" s="185" t="e">
        <f aca="false">SQRT((AA262^2*(A262-$D$3)+Z262^2*(DAY(EOMONTH(A262,0))/2))/AK262)</f>
        <v>#VALUE!</v>
      </c>
      <c r="AC262" s="185" t="str">
        <f aca="false">IF($A263="","",VLOOKUP($A262,Table,MATCH(AC$4,Curves,0)))</f>
        <v/>
      </c>
      <c r="AD262" s="185" t="str">
        <f aca="false">IF($A263="","",VLOOKUP($A262,Table,MATCH(AD$4,Curves,0)))</f>
        <v/>
      </c>
      <c r="AE262" s="185" t="e">
        <f aca="false">SQRT((AD262^2*(A262-$D$3)+AC262^2*(DAY(EOMONTH(A262,0))/2))/AK262)</f>
        <v>#VALUE!</v>
      </c>
      <c r="AF262" s="206" t="e">
        <f aca="false">((Summary!$N$11*(AA262*AD262)*(A262-$D$3))+(Summary!$M$11*Z262*AC262*(AJ262-EOMONTH(EDATE(A262,-1),0))))/(AK262*AB262*AE262)</f>
        <v>#VALUE!</v>
      </c>
      <c r="AG262" s="207" t="str">
        <f aca="false">IF($A263="","",Summary!$Q$11)</f>
        <v/>
      </c>
      <c r="AH262" s="207" t="str">
        <f aca="false">IF($A263="","",IF(Summary!$R$11="Y",(VLOOKUP($A262,Summary!$AD$6:$AF$9,3)+'Escalating commodity'!G275),'Escalating commodity'!G275))</f>
        <v/>
      </c>
      <c r="AI262" s="207" t="str">
        <f aca="false">IF($A263="","",AH262)</f>
        <v/>
      </c>
      <c r="AJ262" s="208" t="e">
        <f aca="false">A262+DAY(EOMONTH(A262,0))/2-1</f>
        <v>#VALUE!</v>
      </c>
      <c r="AK262" s="209" t="str">
        <f aca="false">IF($A263="","",$A262-$E$1)</f>
        <v/>
      </c>
      <c r="AL262" s="182" t="str">
        <f aca="false">IF($A263="","",SPRDOPT(P262,X262,AI262,0,AB262,AE262,AF262,AK262,$AJ$2,0))</f>
        <v/>
      </c>
      <c r="AM262" s="210" t="str">
        <f aca="false">IF($A263="","",MAX(0,O262-W262-AI262))</f>
        <v/>
      </c>
      <c r="AN262" s="211" t="str">
        <f aca="false">IF($A263="","",AL262-AM262)</f>
        <v/>
      </c>
      <c r="AO262" s="137" t="str">
        <f aca="false">IF(A263="","",A263-A262)</f>
        <v/>
      </c>
      <c r="AP262" s="212" t="str">
        <f aca="false">IF(A263="","",CHOOSE(F$3,A263+24,A262))</f>
        <v/>
      </c>
      <c r="AQ262" s="209" t="str">
        <f aca="false">IF(A263="","",AP262-$E$1)</f>
        <v/>
      </c>
      <c r="AR262" s="185" t="n">
        <f aca="false">'ANR OK vs ML7'!AR262</f>
        <v>0.1</v>
      </c>
      <c r="AS262" s="213" t="str">
        <f aca="false">IF(A263="","",1/(1+CHOOSE(F$3,(AR263+($I$3/10000))/2,(AR262+($I$3/10000))/2))^(2*AQ262/365.25))</f>
        <v/>
      </c>
      <c r="AT262" s="137" t="str">
        <f aca="false">IF(A263="","",IF(AND(mthbeg&lt;=A262,mthend&gt;=A262),1,0))</f>
        <v/>
      </c>
      <c r="AU262" s="137" t="str">
        <f aca="false">IF(A263="","",AO262*AT262)</f>
        <v/>
      </c>
      <c r="AW262" s="195" t="str">
        <f aca="false">IF($A263="","",AL262*$E262)</f>
        <v/>
      </c>
      <c r="AX262" s="195" t="str">
        <f aca="false">IF($A263="","",AM262*$E262)</f>
        <v/>
      </c>
      <c r="AY262" s="195" t="str">
        <f aca="false">IF($A263="","",AN262*$E262)</f>
        <v/>
      </c>
      <c r="BA262" s="195" t="str">
        <f aca="false">IF($A263="","",F262*Summary!$Q$11)</f>
        <v/>
      </c>
    </row>
    <row r="263" customFormat="false" ht="12" hidden="false" customHeight="true" outlineLevel="0" collapsed="false">
      <c r="A263" s="196" t="str">
        <f aca="false">IF(A262&lt;mthend,EDATE(A262,1),"")</f>
        <v/>
      </c>
      <c r="B263" s="197" t="str">
        <f aca="false">IF(A263&lt;mthend,B262,"")</f>
        <v/>
      </c>
      <c r="C263" s="215"/>
      <c r="D263" s="197" t="str">
        <f aca="false">IF(A264&lt;&gt;"",B263+C263,"")</f>
        <v/>
      </c>
      <c r="E263" s="199" t="str">
        <f aca="false">IF(A264="","",IF(AND(AT263=1,$H$3=1),D263*AO263,IF($H$3=2,D263,"N/A")))</f>
        <v/>
      </c>
      <c r="F263" s="199" t="str">
        <f aca="false">IF(A264="","",E263*AS263)</f>
        <v/>
      </c>
      <c r="G263" s="200" t="str">
        <f aca="false">IF($A264="","",VLOOKUP($A263,Table,MATCH(G$4,Curves,0)))</f>
        <v/>
      </c>
      <c r="H263" s="201" t="str">
        <f aca="false">IF(A264="","",G263)</f>
        <v/>
      </c>
      <c r="I263" s="202"/>
      <c r="J263" s="200" t="str">
        <f aca="false">IF($A264="","",VLOOKUP($A263,Table,MATCH(J$4,Curves,0)))</f>
        <v/>
      </c>
      <c r="K263" s="201" t="str">
        <f aca="false">IF(A264="","",J263)</f>
        <v/>
      </c>
      <c r="L263" s="200" t="str">
        <f aca="false">IF($A264="","",VLOOKUP($A263,Table,MATCH(L$4,Curves,0)))</f>
        <v/>
      </c>
      <c r="M263" s="201" t="str">
        <f aca="false">IF(A264="","",L263)</f>
        <v/>
      </c>
      <c r="N263" s="203"/>
      <c r="O263" s="200" t="str">
        <f aca="false">IF(A264="","",L263+J263+G263)</f>
        <v/>
      </c>
      <c r="P263" s="200" t="str">
        <f aca="false">IF(A264="","",M263+K263+H263)</f>
        <v/>
      </c>
      <c r="Q263" s="204"/>
      <c r="R263" s="200" t="str">
        <f aca="false">IF($A264="","",VLOOKUP($A263,Table,MATCH(R$4,Curves,0)))</f>
        <v/>
      </c>
      <c r="S263" s="201" t="str">
        <f aca="false">IF(A264="","",R263)</f>
        <v/>
      </c>
      <c r="T263" s="185" t="n">
        <v>0</v>
      </c>
      <c r="U263" s="201" t="str">
        <f aca="false">IF(A264="","",T263)</f>
        <v/>
      </c>
      <c r="V263" s="205" t="str">
        <f aca="false">IF($A264="","",IF(AND(MONTH(A263)&gt;3,MONTH(A263)&lt;11),(T263+R263+G263)*Summary!$T$11/(1-Summary!$T$11),(T263+R263+G263)*Summary!$U$11/(1-Summary!$U$11)))</f>
        <v/>
      </c>
      <c r="W263" s="202" t="str">
        <f aca="false">IF($A264="","",(T263+R263+G263+V263))</f>
        <v/>
      </c>
      <c r="X263" s="202" t="str">
        <f aca="false">IF($A264="","",(U263+S263+H263+V263))</f>
        <v/>
      </c>
      <c r="Y263" s="202"/>
      <c r="Z263" s="185" t="str">
        <f aca="false">IF($A264="","",VLOOKUP($A263,Table,MATCH(Z$4,Curves,0)))</f>
        <v/>
      </c>
      <c r="AA263" s="185" t="str">
        <f aca="false">IF($A264="","",VLOOKUP($A263,Table,MATCH(AA$4,Curves,0)))</f>
        <v/>
      </c>
      <c r="AB263" s="185" t="e">
        <f aca="false">SQRT((AA263^2*(A263-$D$3)+Z263^2*(DAY(EOMONTH(A263,0))/2))/AK263)</f>
        <v>#VALUE!</v>
      </c>
      <c r="AC263" s="185" t="str">
        <f aca="false">IF($A264="","",VLOOKUP($A263,Table,MATCH(AC$4,Curves,0)))</f>
        <v/>
      </c>
      <c r="AD263" s="185" t="str">
        <f aca="false">IF($A264="","",VLOOKUP($A263,Table,MATCH(AD$4,Curves,0)))</f>
        <v/>
      </c>
      <c r="AE263" s="185" t="e">
        <f aca="false">SQRT((AD263^2*(A263-$D$3)+AC263^2*(DAY(EOMONTH(A263,0))/2))/AK263)</f>
        <v>#VALUE!</v>
      </c>
      <c r="AF263" s="206" t="e">
        <f aca="false">((Summary!$N$11*(AA263*AD263)*(A263-$D$3))+(Summary!$M$11*Z263*AC263*(AJ263-EOMONTH(EDATE(A263,-1),0))))/(AK263*AB263*AE263)</f>
        <v>#VALUE!</v>
      </c>
      <c r="AG263" s="207" t="str">
        <f aca="false">IF($A264="","",Summary!$Q$11)</f>
        <v/>
      </c>
      <c r="AH263" s="207" t="str">
        <f aca="false">IF($A264="","",IF(Summary!$R$11="Y",(VLOOKUP($A263,Summary!$AD$6:$AF$9,3)+'Escalating commodity'!G276),'Escalating commodity'!G276))</f>
        <v/>
      </c>
      <c r="AI263" s="207" t="str">
        <f aca="false">IF($A264="","",AH263)</f>
        <v/>
      </c>
      <c r="AJ263" s="208" t="e">
        <f aca="false">A263+DAY(EOMONTH(A263,0))/2-1</f>
        <v>#VALUE!</v>
      </c>
      <c r="AK263" s="209" t="str">
        <f aca="false">IF($A264="","",$A263-$E$1)</f>
        <v/>
      </c>
      <c r="AL263" s="182" t="str">
        <f aca="false">IF($A264="","",SPRDOPT(P263,X263,AI263,0,AB263,AE263,AF263,AK263,$AJ$2,0))</f>
        <v/>
      </c>
      <c r="AM263" s="210" t="str">
        <f aca="false">IF($A264="","",MAX(0,O263-W263-AI263))</f>
        <v/>
      </c>
      <c r="AN263" s="211" t="str">
        <f aca="false">IF($A264="","",AL263-AM263)</f>
        <v/>
      </c>
      <c r="AO263" s="137" t="str">
        <f aca="false">IF(A264="","",A264-A263)</f>
        <v/>
      </c>
      <c r="AP263" s="212" t="str">
        <f aca="false">IF(A264="","",CHOOSE(F$3,A264+24,A263))</f>
        <v/>
      </c>
      <c r="AQ263" s="209" t="str">
        <f aca="false">IF(A264="","",AP263-$E$1)</f>
        <v/>
      </c>
      <c r="AR263" s="185" t="n">
        <f aca="false">'ANR OK vs ML7'!AR263</f>
        <v>0.1</v>
      </c>
      <c r="AS263" s="213" t="str">
        <f aca="false">IF(A264="","",1/(1+CHOOSE(F$3,(AR264+($I$3/10000))/2,(AR263+($I$3/10000))/2))^(2*AQ263/365.25))</f>
        <v/>
      </c>
      <c r="AT263" s="137" t="str">
        <f aca="false">IF(A264="","",IF(AND(mthbeg&lt;=A263,mthend&gt;=A263),1,0))</f>
        <v/>
      </c>
      <c r="AU263" s="137" t="str">
        <f aca="false">IF(A264="","",AO263*AT263)</f>
        <v/>
      </c>
      <c r="AW263" s="195" t="str">
        <f aca="false">IF($A264="","",AL263*$E263)</f>
        <v/>
      </c>
      <c r="AX263" s="195" t="str">
        <f aca="false">IF($A264="","",AM263*$E263)</f>
        <v/>
      </c>
      <c r="AY263" s="195" t="str">
        <f aca="false">IF($A264="","",AN263*$E263)</f>
        <v/>
      </c>
      <c r="BA263" s="195" t="str">
        <f aca="false">IF($A264="","",F263*Summary!$Q$11)</f>
        <v/>
      </c>
    </row>
    <row r="264" customFormat="false" ht="12" hidden="false" customHeight="true" outlineLevel="0" collapsed="false">
      <c r="A264" s="196" t="str">
        <f aca="false">IF(A263&lt;mthend,EDATE(A263,1),"")</f>
        <v/>
      </c>
      <c r="B264" s="197" t="str">
        <f aca="false">IF(A264&lt;mthend,B263,"")</f>
        <v/>
      </c>
      <c r="C264" s="215"/>
      <c r="D264" s="197" t="str">
        <f aca="false">IF(A265&lt;&gt;"",B264+C264,"")</f>
        <v/>
      </c>
      <c r="E264" s="199" t="str">
        <f aca="false">IF(A265="","",IF(AND(AT264=1,$H$3=1),D264*AO264,IF($H$3=2,D264,"N/A")))</f>
        <v/>
      </c>
      <c r="F264" s="199" t="str">
        <f aca="false">IF(A265="","",E264*AS264)</f>
        <v/>
      </c>
      <c r="G264" s="200" t="str">
        <f aca="false">IF($A265="","",VLOOKUP($A264,Table,MATCH(G$4,Curves,0)))</f>
        <v/>
      </c>
      <c r="H264" s="201" t="str">
        <f aca="false">IF(A265="","",G264)</f>
        <v/>
      </c>
      <c r="I264" s="202"/>
      <c r="J264" s="200" t="str">
        <f aca="false">IF($A265="","",VLOOKUP($A264,Table,MATCH(J$4,Curves,0)))</f>
        <v/>
      </c>
      <c r="K264" s="201" t="str">
        <f aca="false">IF(A265="","",J264)</f>
        <v/>
      </c>
      <c r="L264" s="200" t="str">
        <f aca="false">IF($A265="","",VLOOKUP($A264,Table,MATCH(L$4,Curves,0)))</f>
        <v/>
      </c>
      <c r="M264" s="201" t="str">
        <f aca="false">IF(A265="","",L264)</f>
        <v/>
      </c>
      <c r="N264" s="203"/>
      <c r="O264" s="200" t="str">
        <f aca="false">IF(A265="","",L264+J264+G264)</f>
        <v/>
      </c>
      <c r="P264" s="200" t="str">
        <f aca="false">IF(A265="","",M264+K264+H264)</f>
        <v/>
      </c>
      <c r="Q264" s="204"/>
      <c r="R264" s="200" t="str">
        <f aca="false">IF($A265="","",VLOOKUP($A264,Table,MATCH(R$4,Curves,0)))</f>
        <v/>
      </c>
      <c r="S264" s="201" t="str">
        <f aca="false">IF(A265="","",R264)</f>
        <v/>
      </c>
      <c r="T264" s="185" t="n">
        <v>0</v>
      </c>
      <c r="U264" s="201" t="str">
        <f aca="false">IF(A265="","",T264)</f>
        <v/>
      </c>
      <c r="V264" s="205" t="str">
        <f aca="false">IF($A265="","",IF(AND(MONTH(A264)&gt;3,MONTH(A264)&lt;11),(T264+R264+G264)*Summary!$T$11/(1-Summary!$T$11),(T264+R264+G264)*Summary!$U$11/(1-Summary!$U$11)))</f>
        <v/>
      </c>
      <c r="W264" s="202" t="str">
        <f aca="false">IF($A265="","",(T264+R264+G264+V264))</f>
        <v/>
      </c>
      <c r="X264" s="202" t="str">
        <f aca="false">IF($A265="","",(U264+S264+H264+V264))</f>
        <v/>
      </c>
      <c r="Y264" s="202"/>
      <c r="Z264" s="185" t="str">
        <f aca="false">IF($A265="","",VLOOKUP($A264,Table,MATCH(Z$4,Curves,0)))</f>
        <v/>
      </c>
      <c r="AA264" s="185" t="str">
        <f aca="false">IF($A265="","",VLOOKUP($A264,Table,MATCH(AA$4,Curves,0)))</f>
        <v/>
      </c>
      <c r="AB264" s="185" t="e">
        <f aca="false">SQRT((AA264^2*(A264-$D$3)+Z264^2*(DAY(EOMONTH(A264,0))/2))/AK264)</f>
        <v>#VALUE!</v>
      </c>
      <c r="AC264" s="185" t="str">
        <f aca="false">IF($A265="","",VLOOKUP($A264,Table,MATCH(AC$4,Curves,0)))</f>
        <v/>
      </c>
      <c r="AD264" s="185" t="str">
        <f aca="false">IF($A265="","",VLOOKUP($A264,Table,MATCH(AD$4,Curves,0)))</f>
        <v/>
      </c>
      <c r="AE264" s="185" t="e">
        <f aca="false">SQRT((AD264^2*(A264-$D$3)+AC264^2*(DAY(EOMONTH(A264,0))/2))/AK264)</f>
        <v>#VALUE!</v>
      </c>
      <c r="AF264" s="206" t="e">
        <f aca="false">((Summary!$N$11*(AA264*AD264)*(A264-$D$3))+(Summary!$M$11*Z264*AC264*(AJ264-EOMONTH(EDATE(A264,-1),0))))/(AK264*AB264*AE264)</f>
        <v>#VALUE!</v>
      </c>
      <c r="AG264" s="207" t="str">
        <f aca="false">IF($A265="","",Summary!$Q$11)</f>
        <v/>
      </c>
      <c r="AH264" s="207" t="str">
        <f aca="false">IF($A265="","",IF(Summary!$R$11="Y",(VLOOKUP($A264,Summary!$AD$6:$AF$9,3)+'Escalating commodity'!G277),'Escalating commodity'!G277))</f>
        <v/>
      </c>
      <c r="AI264" s="207" t="str">
        <f aca="false">IF($A265="","",AH264)</f>
        <v/>
      </c>
      <c r="AJ264" s="208" t="e">
        <f aca="false">A264+DAY(EOMONTH(A264,0))/2-1</f>
        <v>#VALUE!</v>
      </c>
      <c r="AK264" s="209" t="str">
        <f aca="false">IF($A265="","",$A264-$E$1)</f>
        <v/>
      </c>
      <c r="AL264" s="182" t="str">
        <f aca="false">IF($A265="","",SPRDOPT(P264,X264,AI264,0,AB264,AE264,AF264,AK264,$AJ$2,0))</f>
        <v/>
      </c>
      <c r="AM264" s="210" t="str">
        <f aca="false">IF($A265="","",MAX(0,O264-W264-AI264))</f>
        <v/>
      </c>
      <c r="AN264" s="211" t="str">
        <f aca="false">IF($A265="","",AL264-AM264)</f>
        <v/>
      </c>
      <c r="AO264" s="137" t="str">
        <f aca="false">IF(A265="","",A265-A264)</f>
        <v/>
      </c>
      <c r="AP264" s="212" t="str">
        <f aca="false">IF(A265="","",CHOOSE(F$3,A265+24,A264))</f>
        <v/>
      </c>
      <c r="AQ264" s="209" t="str">
        <f aca="false">IF(A265="","",AP264-$E$1)</f>
        <v/>
      </c>
      <c r="AR264" s="185" t="n">
        <f aca="false">'ANR OK vs ML7'!AR264</f>
        <v>0.1</v>
      </c>
      <c r="AS264" s="213" t="str">
        <f aca="false">IF(A265="","",1/(1+CHOOSE(F$3,(AR265+($I$3/10000))/2,(AR264+($I$3/10000))/2))^(2*AQ264/365.25))</f>
        <v/>
      </c>
      <c r="AT264" s="137" t="str">
        <f aca="false">IF(A265="","",IF(AND(mthbeg&lt;=A264,mthend&gt;=A264),1,0))</f>
        <v/>
      </c>
      <c r="AU264" s="137" t="str">
        <f aca="false">IF(A265="","",AO264*AT264)</f>
        <v/>
      </c>
      <c r="AW264" s="195" t="str">
        <f aca="false">IF($A265="","",AL264*$E264)</f>
        <v/>
      </c>
      <c r="AX264" s="195" t="str">
        <f aca="false">IF($A265="","",AM264*$E264)</f>
        <v/>
      </c>
      <c r="AY264" s="195" t="str">
        <f aca="false">IF($A265="","",AN264*$E264)</f>
        <v/>
      </c>
      <c r="BA264" s="195" t="str">
        <f aca="false">IF($A265="","",F264*Summary!$Q$11)</f>
        <v/>
      </c>
    </row>
    <row r="265" customFormat="false" ht="12" hidden="false" customHeight="true" outlineLevel="0" collapsed="false">
      <c r="A265" s="196" t="str">
        <f aca="false">IF(A264&lt;mthend,EDATE(A264,1),"")</f>
        <v/>
      </c>
      <c r="B265" s="197" t="str">
        <f aca="false">IF(A265&lt;mthend,B264,"")</f>
        <v/>
      </c>
      <c r="C265" s="215"/>
      <c r="D265" s="197" t="str">
        <f aca="false">IF(A266&lt;&gt;"",B265+C265,"")</f>
        <v/>
      </c>
      <c r="E265" s="199" t="str">
        <f aca="false">IF(A266="","",IF(AND(AT265=1,$H$3=1),D265*AO265,IF($H$3=2,D265,"N/A")))</f>
        <v/>
      </c>
      <c r="F265" s="199" t="str">
        <f aca="false">IF(A266="","",E265*AS265)</f>
        <v/>
      </c>
      <c r="G265" s="200" t="str">
        <f aca="false">IF($A266="","",VLOOKUP($A265,Table,MATCH(G$4,Curves,0)))</f>
        <v/>
      </c>
      <c r="H265" s="201" t="str">
        <f aca="false">IF(A266="","",G265)</f>
        <v/>
      </c>
      <c r="I265" s="202"/>
      <c r="J265" s="200" t="str">
        <f aca="false">IF($A266="","",VLOOKUP($A265,Table,MATCH(J$4,Curves,0)))</f>
        <v/>
      </c>
      <c r="K265" s="201" t="str">
        <f aca="false">IF(A266="","",J265)</f>
        <v/>
      </c>
      <c r="L265" s="200" t="str">
        <f aca="false">IF($A266="","",VLOOKUP($A265,Table,MATCH(L$4,Curves,0)))</f>
        <v/>
      </c>
      <c r="M265" s="201" t="str">
        <f aca="false">IF(A266="","",L265)</f>
        <v/>
      </c>
      <c r="N265" s="203"/>
      <c r="O265" s="200" t="str">
        <f aca="false">IF(A266="","",L265+J265+G265)</f>
        <v/>
      </c>
      <c r="P265" s="200" t="str">
        <f aca="false">IF(A266="","",M265+K265+H265)</f>
        <v/>
      </c>
      <c r="Q265" s="204"/>
      <c r="R265" s="200" t="str">
        <f aca="false">IF($A266="","",VLOOKUP($A265,Table,MATCH(R$4,Curves,0)))</f>
        <v/>
      </c>
      <c r="S265" s="201" t="str">
        <f aca="false">IF(A266="","",R265)</f>
        <v/>
      </c>
      <c r="T265" s="185" t="n">
        <v>0</v>
      </c>
      <c r="U265" s="201" t="str">
        <f aca="false">IF(A266="","",T265)</f>
        <v/>
      </c>
      <c r="V265" s="205" t="str">
        <f aca="false">IF($A266="","",IF(AND(MONTH(A265)&gt;3,MONTH(A265)&lt;11),(T265+R265+G265)*Summary!$T$11/(1-Summary!$T$11),(T265+R265+G265)*Summary!$U$11/(1-Summary!$U$11)))</f>
        <v/>
      </c>
      <c r="W265" s="202" t="str">
        <f aca="false">IF($A266="","",(T265+R265+G265+V265))</f>
        <v/>
      </c>
      <c r="X265" s="202" t="str">
        <f aca="false">IF($A266="","",(U265+S265+H265+V265))</f>
        <v/>
      </c>
      <c r="Y265" s="202"/>
      <c r="Z265" s="185" t="str">
        <f aca="false">IF($A266="","",VLOOKUP($A265,Table,MATCH(Z$4,Curves,0)))</f>
        <v/>
      </c>
      <c r="AA265" s="185" t="str">
        <f aca="false">IF($A266="","",VLOOKUP($A265,Table,MATCH(AA$4,Curves,0)))</f>
        <v/>
      </c>
      <c r="AB265" s="185" t="e">
        <f aca="false">SQRT((AA265^2*(A265-$D$3)+Z265^2*(DAY(EOMONTH(A265,0))/2))/AK265)</f>
        <v>#VALUE!</v>
      </c>
      <c r="AC265" s="185" t="str">
        <f aca="false">IF($A266="","",VLOOKUP($A265,Table,MATCH(AC$4,Curves,0)))</f>
        <v/>
      </c>
      <c r="AD265" s="185" t="str">
        <f aca="false">IF($A266="","",VLOOKUP($A265,Table,MATCH(AD$4,Curves,0)))</f>
        <v/>
      </c>
      <c r="AE265" s="185" t="e">
        <f aca="false">SQRT((AD265^2*(A265-$D$3)+AC265^2*(DAY(EOMONTH(A265,0))/2))/AK265)</f>
        <v>#VALUE!</v>
      </c>
      <c r="AF265" s="206" t="e">
        <f aca="false">((Summary!$N$11*(AA265*AD265)*(A265-$D$3))+(Summary!$M$11*Z265*AC265*(AJ265-EOMONTH(EDATE(A265,-1),0))))/(AK265*AB265*AE265)</f>
        <v>#VALUE!</v>
      </c>
      <c r="AG265" s="207" t="str">
        <f aca="false">IF($A266="","",Summary!$Q$11)</f>
        <v/>
      </c>
      <c r="AH265" s="207" t="str">
        <f aca="false">IF($A266="","",IF(Summary!$R$11="Y",(VLOOKUP($A265,Summary!$AD$6:$AF$9,3)+'Escalating commodity'!G278),'Escalating commodity'!G278))</f>
        <v/>
      </c>
      <c r="AI265" s="207" t="str">
        <f aca="false">IF($A266="","",AH265)</f>
        <v/>
      </c>
      <c r="AJ265" s="208" t="e">
        <f aca="false">A265+DAY(EOMONTH(A265,0))/2-1</f>
        <v>#VALUE!</v>
      </c>
      <c r="AK265" s="209" t="str">
        <f aca="false">IF($A266="","",$A265-$E$1)</f>
        <v/>
      </c>
      <c r="AL265" s="182" t="str">
        <f aca="false">IF($A266="","",SPRDOPT(P265,X265,AI265,0,AB265,AE265,AF265,AK265,$AJ$2,0))</f>
        <v/>
      </c>
      <c r="AM265" s="210" t="str">
        <f aca="false">IF($A266="","",MAX(0,O265-W265-AI265))</f>
        <v/>
      </c>
      <c r="AN265" s="211" t="str">
        <f aca="false">IF($A266="","",AL265-AM265)</f>
        <v/>
      </c>
      <c r="AO265" s="137" t="str">
        <f aca="false">IF(A266="","",A266-A265)</f>
        <v/>
      </c>
      <c r="AP265" s="212" t="str">
        <f aca="false">IF(A266="","",CHOOSE(F$3,A266+24,A265))</f>
        <v/>
      </c>
      <c r="AQ265" s="209" t="str">
        <f aca="false">IF(A266="","",AP265-$E$1)</f>
        <v/>
      </c>
      <c r="AR265" s="185" t="n">
        <f aca="false">'ANR OK vs ML7'!AR265</f>
        <v>0.1</v>
      </c>
      <c r="AS265" s="213" t="str">
        <f aca="false">IF(A266="","",1/(1+CHOOSE(F$3,(AR266+($I$3/10000))/2,(AR265+($I$3/10000))/2))^(2*AQ265/365.25))</f>
        <v/>
      </c>
      <c r="AT265" s="137" t="str">
        <f aca="false">IF(A266="","",IF(AND(mthbeg&lt;=A265,mthend&gt;=A265),1,0))</f>
        <v/>
      </c>
      <c r="AU265" s="137" t="str">
        <f aca="false">IF(A266="","",AO265*AT265)</f>
        <v/>
      </c>
      <c r="AW265" s="195" t="str">
        <f aca="false">IF($A266="","",AL265*$E265)</f>
        <v/>
      </c>
      <c r="AX265" s="195" t="str">
        <f aca="false">IF($A266="","",AM265*$E265)</f>
        <v/>
      </c>
      <c r="AY265" s="195" t="str">
        <f aca="false">IF($A266="","",AN265*$E265)</f>
        <v/>
      </c>
      <c r="BA265" s="195" t="str">
        <f aca="false">IF($A266="","",F265*Summary!$Q$11)</f>
        <v/>
      </c>
    </row>
    <row r="266" customFormat="false" ht="12" hidden="false" customHeight="true" outlineLevel="0" collapsed="false">
      <c r="A266" s="196" t="str">
        <f aca="false">IF(A265&lt;mthend,EDATE(A265,1),"")</f>
        <v/>
      </c>
      <c r="B266" s="197" t="str">
        <f aca="false">IF(A266&lt;mthend,B265,"")</f>
        <v/>
      </c>
      <c r="C266" s="215"/>
      <c r="D266" s="197" t="str">
        <f aca="false">IF(A267&lt;&gt;"",B266+C266,"")</f>
        <v/>
      </c>
      <c r="E266" s="199" t="str">
        <f aca="false">IF(A267="","",IF(AND(AT266=1,$H$3=1),D266*AO266,IF($H$3=2,D266,"N/A")))</f>
        <v/>
      </c>
      <c r="F266" s="199" t="str">
        <f aca="false">IF(A267="","",E266*AS266)</f>
        <v/>
      </c>
      <c r="G266" s="200" t="str">
        <f aca="false">IF($A267="","",VLOOKUP($A266,Table,MATCH(G$4,Curves,0)))</f>
        <v/>
      </c>
      <c r="H266" s="201" t="str">
        <f aca="false">IF(A267="","",G266)</f>
        <v/>
      </c>
      <c r="I266" s="202"/>
      <c r="J266" s="200" t="str">
        <f aca="false">IF($A267="","",VLOOKUP($A266,Table,MATCH(J$4,Curves,0)))</f>
        <v/>
      </c>
      <c r="K266" s="201" t="str">
        <f aca="false">IF(A267="","",J266)</f>
        <v/>
      </c>
      <c r="L266" s="200" t="str">
        <f aca="false">IF($A267="","",VLOOKUP($A266,Table,MATCH(L$4,Curves,0)))</f>
        <v/>
      </c>
      <c r="M266" s="201" t="str">
        <f aca="false">IF(A267="","",L266)</f>
        <v/>
      </c>
      <c r="N266" s="203"/>
      <c r="O266" s="200" t="str">
        <f aca="false">IF(A267="","",L266+J266+G266)</f>
        <v/>
      </c>
      <c r="P266" s="200" t="str">
        <f aca="false">IF(A267="","",M266+K266+H266)</f>
        <v/>
      </c>
      <c r="Q266" s="204"/>
      <c r="R266" s="200" t="str">
        <f aca="false">IF($A267="","",VLOOKUP($A266,Table,MATCH(R$4,Curves,0)))</f>
        <v/>
      </c>
      <c r="S266" s="201" t="str">
        <f aca="false">IF(A267="","",R266)</f>
        <v/>
      </c>
      <c r="T266" s="185" t="n">
        <v>0</v>
      </c>
      <c r="U266" s="201" t="str">
        <f aca="false">IF(A267="","",T266)</f>
        <v/>
      </c>
      <c r="V266" s="205" t="str">
        <f aca="false">IF($A267="","",IF(AND(MONTH(A266)&gt;3,MONTH(A266)&lt;11),(T266+R266+G266)*Summary!$T$11/(1-Summary!$T$11),(T266+R266+G266)*Summary!$U$11/(1-Summary!$U$11)))</f>
        <v/>
      </c>
      <c r="W266" s="202" t="str">
        <f aca="false">IF($A267="","",(T266+R266+G266+V266))</f>
        <v/>
      </c>
      <c r="X266" s="202" t="str">
        <f aca="false">IF($A267="","",(U266+S266+H266+V266))</f>
        <v/>
      </c>
      <c r="Y266" s="202"/>
      <c r="Z266" s="185" t="str">
        <f aca="false">IF($A267="","",VLOOKUP($A266,Table,MATCH(Z$4,Curves,0)))</f>
        <v/>
      </c>
      <c r="AA266" s="185" t="str">
        <f aca="false">IF($A267="","",VLOOKUP($A266,Table,MATCH(AA$4,Curves,0)))</f>
        <v/>
      </c>
      <c r="AB266" s="185" t="e">
        <f aca="false">SQRT((AA266^2*(A266-$D$3)+Z266^2*(DAY(EOMONTH(A266,0))/2))/AK266)</f>
        <v>#VALUE!</v>
      </c>
      <c r="AC266" s="185" t="str">
        <f aca="false">IF($A267="","",VLOOKUP($A266,Table,MATCH(AC$4,Curves,0)))</f>
        <v/>
      </c>
      <c r="AD266" s="185" t="str">
        <f aca="false">IF($A267="","",VLOOKUP($A266,Table,MATCH(AD$4,Curves,0)))</f>
        <v/>
      </c>
      <c r="AE266" s="185" t="e">
        <f aca="false">SQRT((AD266^2*(A266-$D$3)+AC266^2*(DAY(EOMONTH(A266,0))/2))/AK266)</f>
        <v>#VALUE!</v>
      </c>
      <c r="AF266" s="206" t="e">
        <f aca="false">((Summary!$N$11*(AA266*AD266)*(A266-$D$3))+(Summary!$M$11*Z266*AC266*(AJ266-EOMONTH(EDATE(A266,-1),0))))/(AK266*AB266*AE266)</f>
        <v>#VALUE!</v>
      </c>
      <c r="AG266" s="207" t="str">
        <f aca="false">IF($A267="","",Summary!$Q$11)</f>
        <v/>
      </c>
      <c r="AH266" s="207" t="str">
        <f aca="false">IF($A267="","",IF(Summary!$R$11="Y",(VLOOKUP($A266,Summary!$AD$6:$AF$9,3)+'Escalating commodity'!G279),'Escalating commodity'!G279))</f>
        <v/>
      </c>
      <c r="AI266" s="207" t="str">
        <f aca="false">IF($A267="","",AH266)</f>
        <v/>
      </c>
      <c r="AJ266" s="208" t="e">
        <f aca="false">A266+DAY(EOMONTH(A266,0))/2-1</f>
        <v>#VALUE!</v>
      </c>
      <c r="AK266" s="209" t="str">
        <f aca="false">IF($A267="","",$A266-$E$1)</f>
        <v/>
      </c>
      <c r="AL266" s="182" t="str">
        <f aca="false">IF($A267="","",SPRDOPT(P266,X266,AI266,0,AB266,AE266,AF266,AK266,$AJ$2,0))</f>
        <v/>
      </c>
      <c r="AM266" s="210" t="str">
        <f aca="false">IF($A267="","",MAX(0,O266-W266-AI266))</f>
        <v/>
      </c>
      <c r="AN266" s="211" t="str">
        <f aca="false">IF($A267="","",AL266-AM266)</f>
        <v/>
      </c>
      <c r="AO266" s="137" t="str">
        <f aca="false">IF(A267="","",A267-A266)</f>
        <v/>
      </c>
      <c r="AP266" s="212" t="str">
        <f aca="false">IF(A267="","",CHOOSE(F$3,A267+24,A266))</f>
        <v/>
      </c>
      <c r="AQ266" s="209" t="str">
        <f aca="false">IF(A267="","",AP266-$E$1)</f>
        <v/>
      </c>
      <c r="AR266" s="185" t="n">
        <f aca="false">'ANR OK vs ML7'!AR266</f>
        <v>0.1</v>
      </c>
      <c r="AS266" s="213" t="str">
        <f aca="false">IF(A267="","",1/(1+CHOOSE(F$3,(AR267+($I$3/10000))/2,(AR266+($I$3/10000))/2))^(2*AQ266/365.25))</f>
        <v/>
      </c>
      <c r="AT266" s="137" t="str">
        <f aca="false">IF(A267="","",IF(AND(mthbeg&lt;=A266,mthend&gt;=A266),1,0))</f>
        <v/>
      </c>
      <c r="AU266" s="137" t="str">
        <f aca="false">IF(A267="","",AO266*AT266)</f>
        <v/>
      </c>
      <c r="AW266" s="195" t="str">
        <f aca="false">IF($A267="","",AL266*$E266)</f>
        <v/>
      </c>
      <c r="AX266" s="195" t="str">
        <f aca="false">IF($A267="","",AM266*$E266)</f>
        <v/>
      </c>
      <c r="AY266" s="195" t="str">
        <f aca="false">IF($A267="","",AN266*$E266)</f>
        <v/>
      </c>
      <c r="BA266" s="195" t="str">
        <f aca="false">IF($A267="","",F266*Summary!$Q$11)</f>
        <v/>
      </c>
    </row>
    <row r="267" customFormat="false" ht="12" hidden="false" customHeight="true" outlineLevel="0" collapsed="false">
      <c r="A267" s="196" t="str">
        <f aca="false">IF(A266&lt;mthend,EDATE(A266,1),"")</f>
        <v/>
      </c>
      <c r="B267" s="197" t="str">
        <f aca="false">IF(A267&lt;mthend,B266,"")</f>
        <v/>
      </c>
      <c r="C267" s="215"/>
      <c r="D267" s="197" t="str">
        <f aca="false">IF(A268&lt;&gt;"",B267+C267,"")</f>
        <v/>
      </c>
      <c r="E267" s="199" t="str">
        <f aca="false">IF(A268="","",IF(AND(AT267=1,$H$3=1),D267*AO267,IF($H$3=2,D267,"N/A")))</f>
        <v/>
      </c>
      <c r="F267" s="199" t="str">
        <f aca="false">IF(A268="","",E267*AS267)</f>
        <v/>
      </c>
      <c r="G267" s="200" t="str">
        <f aca="false">IF($A268="","",VLOOKUP($A267,Table,MATCH(G$4,Curves,0)))</f>
        <v/>
      </c>
      <c r="H267" s="201" t="str">
        <f aca="false">IF(A268="","",G267)</f>
        <v/>
      </c>
      <c r="I267" s="202"/>
      <c r="J267" s="200" t="str">
        <f aca="false">IF($A268="","",VLOOKUP($A267,Table,MATCH(J$4,Curves,0)))</f>
        <v/>
      </c>
      <c r="K267" s="201" t="str">
        <f aca="false">IF(A268="","",J267)</f>
        <v/>
      </c>
      <c r="L267" s="200" t="str">
        <f aca="false">IF($A268="","",VLOOKUP($A267,Table,MATCH(L$4,Curves,0)))</f>
        <v/>
      </c>
      <c r="M267" s="201" t="str">
        <f aca="false">IF(A268="","",L267)</f>
        <v/>
      </c>
      <c r="N267" s="203"/>
      <c r="O267" s="200" t="str">
        <f aca="false">IF(A268="","",L267+J267+G267)</f>
        <v/>
      </c>
      <c r="P267" s="200" t="str">
        <f aca="false">IF(A268="","",M267+K267+H267)</f>
        <v/>
      </c>
      <c r="Q267" s="204"/>
      <c r="R267" s="200" t="str">
        <f aca="false">IF($A268="","",VLOOKUP($A267,Table,MATCH(R$4,Curves,0)))</f>
        <v/>
      </c>
      <c r="S267" s="201" t="str">
        <f aca="false">IF(A268="","",R267)</f>
        <v/>
      </c>
      <c r="T267" s="185" t="n">
        <v>0</v>
      </c>
      <c r="U267" s="201" t="str">
        <f aca="false">IF(A268="","",T267)</f>
        <v/>
      </c>
      <c r="V267" s="205" t="str">
        <f aca="false">IF($A268="","",IF(AND(MONTH(A267)&gt;3,MONTH(A267)&lt;11),(T267+R267+G267)*Summary!$T$11/(1-Summary!$T$11),(T267+R267+G267)*Summary!$U$11/(1-Summary!$U$11)))</f>
        <v/>
      </c>
      <c r="W267" s="202" t="str">
        <f aca="false">IF($A268="","",(T267+R267+G267+V267))</f>
        <v/>
      </c>
      <c r="X267" s="202" t="str">
        <f aca="false">IF($A268="","",(U267+S267+H267+V267))</f>
        <v/>
      </c>
      <c r="Y267" s="202"/>
      <c r="Z267" s="185" t="str">
        <f aca="false">IF($A268="","",VLOOKUP($A267,Table,MATCH(Z$4,Curves,0)))</f>
        <v/>
      </c>
      <c r="AA267" s="185" t="str">
        <f aca="false">IF($A268="","",VLOOKUP($A267,Table,MATCH(AA$4,Curves,0)))</f>
        <v/>
      </c>
      <c r="AB267" s="185" t="e">
        <f aca="false">SQRT((AA267^2*(A267-$D$3)+Z267^2*(DAY(EOMONTH(A267,0))/2))/AK267)</f>
        <v>#VALUE!</v>
      </c>
      <c r="AC267" s="185" t="str">
        <f aca="false">IF($A268="","",VLOOKUP($A267,Table,MATCH(AC$4,Curves,0)))</f>
        <v/>
      </c>
      <c r="AD267" s="185" t="str">
        <f aca="false">IF($A268="","",VLOOKUP($A267,Table,MATCH(AD$4,Curves,0)))</f>
        <v/>
      </c>
      <c r="AE267" s="185" t="e">
        <f aca="false">SQRT((AD267^2*(A267-$D$3)+AC267^2*(DAY(EOMONTH(A267,0))/2))/AK267)</f>
        <v>#VALUE!</v>
      </c>
      <c r="AF267" s="206" t="e">
        <f aca="false">((Summary!$N$11*(AA267*AD267)*(A267-$D$3))+(Summary!$M$11*Z267*AC267*(AJ267-EOMONTH(EDATE(A267,-1),0))))/(AK267*AB267*AE267)</f>
        <v>#VALUE!</v>
      </c>
      <c r="AG267" s="207" t="str">
        <f aca="false">IF($A268="","",Summary!$Q$11)</f>
        <v/>
      </c>
      <c r="AH267" s="207" t="str">
        <f aca="false">IF($A268="","",IF(Summary!$R$11="Y",(VLOOKUP($A267,Summary!$AD$6:$AF$9,3)+'Escalating commodity'!G280),'Escalating commodity'!G280))</f>
        <v/>
      </c>
      <c r="AI267" s="207" t="str">
        <f aca="false">IF($A268="","",AH267)</f>
        <v/>
      </c>
      <c r="AJ267" s="208" t="e">
        <f aca="false">A267+DAY(EOMONTH(A267,0))/2-1</f>
        <v>#VALUE!</v>
      </c>
      <c r="AK267" s="209" t="str">
        <f aca="false">IF($A268="","",$A267-$E$1)</f>
        <v/>
      </c>
      <c r="AL267" s="182" t="str">
        <f aca="false">IF($A268="","",SPRDOPT(P267,X267,AI267,0,AB267,AE267,AF267,AK267,$AJ$2,0))</f>
        <v/>
      </c>
      <c r="AM267" s="210" t="str">
        <f aca="false">IF($A268="","",MAX(0,O267-W267-AI267))</f>
        <v/>
      </c>
      <c r="AN267" s="211" t="str">
        <f aca="false">IF($A268="","",AL267-AM267)</f>
        <v/>
      </c>
      <c r="AO267" s="137" t="str">
        <f aca="false">IF(A268="","",A268-A267)</f>
        <v/>
      </c>
      <c r="AP267" s="212" t="str">
        <f aca="false">IF(A268="","",CHOOSE(F$3,A268+24,A267))</f>
        <v/>
      </c>
      <c r="AQ267" s="209" t="str">
        <f aca="false">IF(A268="","",AP267-$E$1)</f>
        <v/>
      </c>
      <c r="AR267" s="185" t="n">
        <f aca="false">'ANR OK vs ML7'!AR267</f>
        <v>0.1</v>
      </c>
      <c r="AS267" s="213" t="str">
        <f aca="false">IF(A268="","",1/(1+CHOOSE(F$3,(AR268+($I$3/10000))/2,(AR267+($I$3/10000))/2))^(2*AQ267/365.25))</f>
        <v/>
      </c>
      <c r="AT267" s="137" t="str">
        <f aca="false">IF(A268="","",IF(AND(mthbeg&lt;=A267,mthend&gt;=A267),1,0))</f>
        <v/>
      </c>
      <c r="AU267" s="137" t="str">
        <f aca="false">IF(A268="","",AO267*AT267)</f>
        <v/>
      </c>
      <c r="AW267" s="195" t="str">
        <f aca="false">IF($A268="","",AL267*$E267)</f>
        <v/>
      </c>
      <c r="AX267" s="195" t="str">
        <f aca="false">IF($A268="","",AM267*$E267)</f>
        <v/>
      </c>
      <c r="AY267" s="195" t="str">
        <f aca="false">IF($A268="","",AN267*$E267)</f>
        <v/>
      </c>
      <c r="BA267" s="195" t="str">
        <f aca="false">IF($A268="","",F267*Summary!$Q$11)</f>
        <v/>
      </c>
    </row>
    <row r="268" customFormat="false" ht="12" hidden="false" customHeight="true" outlineLevel="0" collapsed="false">
      <c r="A268" s="196" t="str">
        <f aca="false">IF(A267&lt;mthend,EDATE(A267,1),"")</f>
        <v/>
      </c>
      <c r="B268" s="197" t="str">
        <f aca="false">IF(A268&lt;mthend,B267,"")</f>
        <v/>
      </c>
      <c r="C268" s="215"/>
      <c r="D268" s="197" t="str">
        <f aca="false">IF(A269&lt;&gt;"",B268+C268,"")</f>
        <v/>
      </c>
      <c r="E268" s="199" t="str">
        <f aca="false">IF(A269="","",IF(AND(AT268=1,$H$3=1),D268*AO268,IF($H$3=2,D268,"N/A")))</f>
        <v/>
      </c>
      <c r="F268" s="199" t="str">
        <f aca="false">IF(A269="","",E268*AS268)</f>
        <v/>
      </c>
      <c r="G268" s="200" t="str">
        <f aca="false">IF($A269="","",VLOOKUP($A268,Table,MATCH(G$4,Curves,0)))</f>
        <v/>
      </c>
      <c r="H268" s="201" t="str">
        <f aca="false">IF(A269="","",G268)</f>
        <v/>
      </c>
      <c r="I268" s="202"/>
      <c r="J268" s="200" t="str">
        <f aca="false">IF($A269="","",VLOOKUP($A268,Table,MATCH(J$4,Curves,0)))</f>
        <v/>
      </c>
      <c r="K268" s="201" t="str">
        <f aca="false">IF(A269="","",J268)</f>
        <v/>
      </c>
      <c r="L268" s="200" t="str">
        <f aca="false">IF($A269="","",VLOOKUP($A268,Table,MATCH(L$4,Curves,0)))</f>
        <v/>
      </c>
      <c r="M268" s="201" t="str">
        <f aca="false">IF(A269="","",L268)</f>
        <v/>
      </c>
      <c r="N268" s="203"/>
      <c r="O268" s="200" t="str">
        <f aca="false">IF(A269="","",L268+J268+G268)</f>
        <v/>
      </c>
      <c r="P268" s="200" t="str">
        <f aca="false">IF(A269="","",M268+K268+H268)</f>
        <v/>
      </c>
      <c r="Q268" s="204"/>
      <c r="R268" s="200" t="str">
        <f aca="false">IF($A269="","",VLOOKUP($A268,Table,MATCH(R$4,Curves,0)))</f>
        <v/>
      </c>
      <c r="S268" s="201" t="str">
        <f aca="false">IF(A269="","",R268)</f>
        <v/>
      </c>
      <c r="T268" s="185" t="n">
        <v>0</v>
      </c>
      <c r="U268" s="201" t="str">
        <f aca="false">IF(A269="","",T268)</f>
        <v/>
      </c>
      <c r="V268" s="205" t="str">
        <f aca="false">IF($A269="","",IF(AND(MONTH(A268)&gt;3,MONTH(A268)&lt;11),(T268+R268+G268)*Summary!$T$11/(1-Summary!$T$11),(T268+R268+G268)*Summary!$U$11/(1-Summary!$U$11)))</f>
        <v/>
      </c>
      <c r="W268" s="202" t="str">
        <f aca="false">IF($A269="","",(T268+R268+G268+V268))</f>
        <v/>
      </c>
      <c r="X268" s="202" t="str">
        <f aca="false">IF($A269="","",(U268+S268+H268+V268))</f>
        <v/>
      </c>
      <c r="Y268" s="202"/>
      <c r="Z268" s="185" t="str">
        <f aca="false">IF($A269="","",VLOOKUP($A268,Table,MATCH(Z$4,Curves,0)))</f>
        <v/>
      </c>
      <c r="AA268" s="185" t="str">
        <f aca="false">IF($A269="","",VLOOKUP($A268,Table,MATCH(AA$4,Curves,0)))</f>
        <v/>
      </c>
      <c r="AB268" s="185" t="e">
        <f aca="false">SQRT((AA268^2*(A268-$D$3)+Z268^2*(DAY(EOMONTH(A268,0))/2))/AK268)</f>
        <v>#VALUE!</v>
      </c>
      <c r="AC268" s="185" t="str">
        <f aca="false">IF($A269="","",VLOOKUP($A268,Table,MATCH(AC$4,Curves,0)))</f>
        <v/>
      </c>
      <c r="AD268" s="185" t="str">
        <f aca="false">IF($A269="","",VLOOKUP($A268,Table,MATCH(AD$4,Curves,0)))</f>
        <v/>
      </c>
      <c r="AE268" s="185" t="e">
        <f aca="false">SQRT((AD268^2*(A268-$D$3)+AC268^2*(DAY(EOMONTH(A268,0))/2))/AK268)</f>
        <v>#VALUE!</v>
      </c>
      <c r="AF268" s="206" t="e">
        <f aca="false">((Summary!$N$11*(AA268*AD268)*(A268-$D$3))+(Summary!$M$11*Z268*AC268*(AJ268-EOMONTH(EDATE(A268,-1),0))))/(AK268*AB268*AE268)</f>
        <v>#VALUE!</v>
      </c>
      <c r="AG268" s="207" t="str">
        <f aca="false">IF($A269="","",Summary!$Q$11)</f>
        <v/>
      </c>
      <c r="AH268" s="207" t="str">
        <f aca="false">IF($A269="","",IF(Summary!$R$11="Y",(VLOOKUP($A268,Summary!$AD$6:$AF$9,3)+'Escalating commodity'!G281),'Escalating commodity'!G281))</f>
        <v/>
      </c>
      <c r="AI268" s="207" t="str">
        <f aca="false">IF($A269="","",AH268)</f>
        <v/>
      </c>
      <c r="AJ268" s="208" t="e">
        <f aca="false">A268+DAY(EOMONTH(A268,0))/2-1</f>
        <v>#VALUE!</v>
      </c>
      <c r="AK268" s="209" t="str">
        <f aca="false">IF($A269="","",$A268-$E$1)</f>
        <v/>
      </c>
      <c r="AL268" s="182" t="str">
        <f aca="false">IF($A269="","",SPRDOPT(P268,X268,AI268,0,AB268,AE268,AF268,AK268,$AJ$2,0))</f>
        <v/>
      </c>
      <c r="AM268" s="210" t="str">
        <f aca="false">IF($A269="","",MAX(0,O268-W268-AI268))</f>
        <v/>
      </c>
      <c r="AN268" s="211" t="str">
        <f aca="false">IF($A269="","",AL268-AM268)</f>
        <v/>
      </c>
      <c r="AO268" s="137" t="str">
        <f aca="false">IF(A269="","",A269-A268)</f>
        <v/>
      </c>
      <c r="AP268" s="212" t="str">
        <f aca="false">IF(A269="","",CHOOSE(F$3,A269+24,A268))</f>
        <v/>
      </c>
      <c r="AQ268" s="209" t="str">
        <f aca="false">IF(A269="","",AP268-$E$1)</f>
        <v/>
      </c>
      <c r="AR268" s="185" t="n">
        <f aca="false">'ANR OK vs ML7'!AR268</f>
        <v>0.1</v>
      </c>
      <c r="AS268" s="213" t="str">
        <f aca="false">IF(A269="","",1/(1+CHOOSE(F$3,(AR269+($I$3/10000))/2,(AR268+($I$3/10000))/2))^(2*AQ268/365.25))</f>
        <v/>
      </c>
      <c r="AT268" s="137" t="str">
        <f aca="false">IF(A269="","",IF(AND(mthbeg&lt;=A268,mthend&gt;=A268),1,0))</f>
        <v/>
      </c>
      <c r="AU268" s="137" t="str">
        <f aca="false">IF(A269="","",AO268*AT268)</f>
        <v/>
      </c>
      <c r="AW268" s="195" t="str">
        <f aca="false">IF($A269="","",AL268*$E268)</f>
        <v/>
      </c>
      <c r="AX268" s="195" t="str">
        <f aca="false">IF($A269="","",AM268*$E268)</f>
        <v/>
      </c>
      <c r="AY268" s="195" t="str">
        <f aca="false">IF($A269="","",AN268*$E268)</f>
        <v/>
      </c>
      <c r="BA268" s="195" t="str">
        <f aca="false">IF($A269="","",F268*Summary!$Q$11)</f>
        <v/>
      </c>
    </row>
    <row r="269" customFormat="false" ht="12" hidden="false" customHeight="true" outlineLevel="0" collapsed="false">
      <c r="A269" s="196" t="str">
        <f aca="false">IF(A268&lt;mthend,EDATE(A268,1),"")</f>
        <v/>
      </c>
      <c r="B269" s="197" t="str">
        <f aca="false">IF(A269&lt;mthend,B268,"")</f>
        <v/>
      </c>
      <c r="C269" s="215"/>
      <c r="D269" s="197" t="str">
        <f aca="false">IF(A270&lt;&gt;"",B269+C269,"")</f>
        <v/>
      </c>
      <c r="E269" s="199" t="str">
        <f aca="false">IF(A270="","",IF(AND(AT269=1,$H$3=1),D269*AO269,IF($H$3=2,D269,"N/A")))</f>
        <v/>
      </c>
      <c r="F269" s="199" t="str">
        <f aca="false">IF(A270="","",E269*AS269)</f>
        <v/>
      </c>
      <c r="G269" s="200" t="str">
        <f aca="false">IF($A270="","",VLOOKUP($A269,Table,MATCH(G$4,Curves,0)))</f>
        <v/>
      </c>
      <c r="H269" s="201" t="str">
        <f aca="false">IF(A270="","",G269)</f>
        <v/>
      </c>
      <c r="I269" s="202"/>
      <c r="J269" s="200" t="str">
        <f aca="false">IF($A270="","",VLOOKUP($A269,Table,MATCH(J$4,Curves,0)))</f>
        <v/>
      </c>
      <c r="K269" s="201" t="str">
        <f aca="false">IF(A270="","",J269)</f>
        <v/>
      </c>
      <c r="L269" s="200" t="str">
        <f aca="false">IF($A270="","",VLOOKUP($A269,Table,MATCH(L$4,Curves,0)))</f>
        <v/>
      </c>
      <c r="M269" s="201" t="str">
        <f aca="false">IF(A270="","",L269)</f>
        <v/>
      </c>
      <c r="N269" s="203"/>
      <c r="O269" s="200" t="str">
        <f aca="false">IF(A270="","",L269+J269+G269)</f>
        <v/>
      </c>
      <c r="P269" s="200" t="str">
        <f aca="false">IF(A270="","",M269+K269+H269)</f>
        <v/>
      </c>
      <c r="Q269" s="204"/>
      <c r="R269" s="200" t="str">
        <f aca="false">IF($A270="","",VLOOKUP($A269,Table,MATCH(R$4,Curves,0)))</f>
        <v/>
      </c>
      <c r="S269" s="201" t="str">
        <f aca="false">IF(A270="","",R269)</f>
        <v/>
      </c>
      <c r="T269" s="185" t="n">
        <v>0</v>
      </c>
      <c r="U269" s="201" t="str">
        <f aca="false">IF(A270="","",T269)</f>
        <v/>
      </c>
      <c r="V269" s="205" t="str">
        <f aca="false">IF($A270="","",IF(AND(MONTH(A269)&gt;3,MONTH(A269)&lt;11),(T269+R269+G269)*Summary!$T$11/(1-Summary!$T$11),(T269+R269+G269)*Summary!$U$11/(1-Summary!$U$11)))</f>
        <v/>
      </c>
      <c r="W269" s="202" t="str">
        <f aca="false">IF($A270="","",(T269+R269+G269+V269))</f>
        <v/>
      </c>
      <c r="X269" s="202" t="str">
        <f aca="false">IF($A270="","",(U269+S269+H269+V269))</f>
        <v/>
      </c>
      <c r="Y269" s="202"/>
      <c r="Z269" s="185" t="str">
        <f aca="false">IF($A270="","",VLOOKUP($A269,Table,MATCH(Z$4,Curves,0)))</f>
        <v/>
      </c>
      <c r="AA269" s="185" t="str">
        <f aca="false">IF($A270="","",VLOOKUP($A269,Table,MATCH(AA$4,Curves,0)))</f>
        <v/>
      </c>
      <c r="AB269" s="185" t="e">
        <f aca="false">SQRT((AA269^2*(A269-$D$3)+Z269^2*(DAY(EOMONTH(A269,0))/2))/AK269)</f>
        <v>#VALUE!</v>
      </c>
      <c r="AC269" s="185" t="str">
        <f aca="false">IF($A270="","",VLOOKUP($A269,Table,MATCH(AC$4,Curves,0)))</f>
        <v/>
      </c>
      <c r="AD269" s="185" t="str">
        <f aca="false">IF($A270="","",VLOOKUP($A269,Table,MATCH(AD$4,Curves,0)))</f>
        <v/>
      </c>
      <c r="AE269" s="185" t="e">
        <f aca="false">SQRT((AD269^2*(A269-$D$3)+AC269^2*(DAY(EOMONTH(A269,0))/2))/AK269)</f>
        <v>#VALUE!</v>
      </c>
      <c r="AF269" s="206" t="e">
        <f aca="false">((Summary!$N$11*(AA269*AD269)*(A269-$D$3))+(Summary!$M$11*Z269*AC269*(AJ269-EOMONTH(EDATE(A269,-1),0))))/(AK269*AB269*AE269)</f>
        <v>#VALUE!</v>
      </c>
      <c r="AG269" s="207" t="str">
        <f aca="false">IF($A270="","",Summary!$Q$11)</f>
        <v/>
      </c>
      <c r="AH269" s="207" t="str">
        <f aca="false">IF($A270="","",IF(Summary!$R$11="Y",(VLOOKUP($A269,Summary!$AD$6:$AF$9,3)+'Escalating commodity'!G282),'Escalating commodity'!G282))</f>
        <v/>
      </c>
      <c r="AI269" s="207" t="str">
        <f aca="false">IF($A270="","",AH269)</f>
        <v/>
      </c>
      <c r="AJ269" s="208" t="e">
        <f aca="false">A269+DAY(EOMONTH(A269,0))/2-1</f>
        <v>#VALUE!</v>
      </c>
      <c r="AK269" s="209" t="str">
        <f aca="false">IF($A270="","",$A269-$E$1)</f>
        <v/>
      </c>
      <c r="AL269" s="182" t="str">
        <f aca="false">IF($A270="","",SPRDOPT(P269,X269,AI269,0,AB269,AE269,AF269,AK269,$AJ$2,0))</f>
        <v/>
      </c>
      <c r="AM269" s="210" t="str">
        <f aca="false">IF($A270="","",MAX(0,O269-W269-AI269))</f>
        <v/>
      </c>
      <c r="AN269" s="211" t="str">
        <f aca="false">IF($A270="","",AL269-AM269)</f>
        <v/>
      </c>
      <c r="AO269" s="137" t="str">
        <f aca="false">IF(A270="","",A270-A269)</f>
        <v/>
      </c>
      <c r="AP269" s="212" t="str">
        <f aca="false">IF(A270="","",CHOOSE(F$3,A270+24,A269))</f>
        <v/>
      </c>
      <c r="AQ269" s="209" t="str">
        <f aca="false">IF(A270="","",AP269-$E$1)</f>
        <v/>
      </c>
      <c r="AR269" s="185" t="n">
        <f aca="false">'ANR OK vs ML7'!AR269</f>
        <v>0.1</v>
      </c>
      <c r="AS269" s="213" t="str">
        <f aca="false">IF(A270="","",1/(1+CHOOSE(F$3,(AR270+($I$3/10000))/2,(AR269+($I$3/10000))/2))^(2*AQ269/365.25))</f>
        <v/>
      </c>
      <c r="AT269" s="137" t="str">
        <f aca="false">IF(A270="","",IF(AND(mthbeg&lt;=A269,mthend&gt;=A269),1,0))</f>
        <v/>
      </c>
      <c r="AU269" s="137" t="str">
        <f aca="false">IF(A270="","",AO269*AT269)</f>
        <v/>
      </c>
      <c r="AW269" s="195" t="str">
        <f aca="false">IF($A270="","",AL269*$E269)</f>
        <v/>
      </c>
      <c r="AX269" s="195" t="str">
        <f aca="false">IF($A270="","",AM269*$E269)</f>
        <v/>
      </c>
      <c r="AY269" s="195" t="str">
        <f aca="false">IF($A270="","",AN269*$E269)</f>
        <v/>
      </c>
      <c r="BA269" s="195" t="str">
        <f aca="false">IF($A270="","",F269*Summary!$Q$11)</f>
        <v/>
      </c>
    </row>
    <row r="270" customFormat="false" ht="12" hidden="false" customHeight="true" outlineLevel="0" collapsed="false">
      <c r="A270" s="196" t="str">
        <f aca="false">IF(A269&lt;mthend,EDATE(A269,1),"")</f>
        <v/>
      </c>
      <c r="B270" s="197" t="str">
        <f aca="false">IF(A270&lt;mthend,B269,"")</f>
        <v/>
      </c>
      <c r="C270" s="215"/>
      <c r="D270" s="197" t="str">
        <f aca="false">IF(A271&lt;&gt;"",B270+C270,"")</f>
        <v/>
      </c>
      <c r="E270" s="199" t="str">
        <f aca="false">IF(A271="","",IF(AND(AT270=1,$H$3=1),D270*AO270,IF($H$3=2,D270,"N/A")))</f>
        <v/>
      </c>
      <c r="F270" s="199" t="str">
        <f aca="false">IF(A271="","",E270*AS270)</f>
        <v/>
      </c>
      <c r="G270" s="200" t="str">
        <f aca="false">IF($A271="","",VLOOKUP($A270,Table,MATCH(G$4,Curves,0)))</f>
        <v/>
      </c>
      <c r="H270" s="201" t="str">
        <f aca="false">IF(A271="","",G270)</f>
        <v/>
      </c>
      <c r="I270" s="202"/>
      <c r="J270" s="200" t="str">
        <f aca="false">IF($A271="","",VLOOKUP($A270,Table,MATCH(J$4,Curves,0)))</f>
        <v/>
      </c>
      <c r="K270" s="201" t="str">
        <f aca="false">IF(A271="","",J270)</f>
        <v/>
      </c>
      <c r="L270" s="200" t="str">
        <f aca="false">IF($A271="","",VLOOKUP($A270,Table,MATCH(L$4,Curves,0)))</f>
        <v/>
      </c>
      <c r="M270" s="201" t="str">
        <f aca="false">IF(A271="","",L270)</f>
        <v/>
      </c>
      <c r="N270" s="203"/>
      <c r="O270" s="200" t="str">
        <f aca="false">IF(A271="","",L270+J270+G270)</f>
        <v/>
      </c>
      <c r="P270" s="200" t="str">
        <f aca="false">IF(A271="","",M270+K270+H270)</f>
        <v/>
      </c>
      <c r="Q270" s="204"/>
      <c r="R270" s="200" t="str">
        <f aca="false">IF($A271="","",VLOOKUP($A270,Table,MATCH(R$4,Curves,0)))</f>
        <v/>
      </c>
      <c r="S270" s="201" t="str">
        <f aca="false">IF(A271="","",R270)</f>
        <v/>
      </c>
      <c r="T270" s="185" t="n">
        <v>0</v>
      </c>
      <c r="U270" s="201" t="str">
        <f aca="false">IF(A271="","",T270)</f>
        <v/>
      </c>
      <c r="V270" s="205" t="str">
        <f aca="false">IF($A271="","",IF(AND(MONTH(A270)&gt;3,MONTH(A270)&lt;11),(T270+R270+G270)*Summary!$T$11/(1-Summary!$T$11),(T270+R270+G270)*Summary!$U$11/(1-Summary!$U$11)))</f>
        <v/>
      </c>
      <c r="W270" s="202" t="str">
        <f aca="false">IF($A271="","",(T270+R270+G270+V270))</f>
        <v/>
      </c>
      <c r="X270" s="202" t="str">
        <f aca="false">IF($A271="","",(U270+S270+H270+V270))</f>
        <v/>
      </c>
      <c r="Y270" s="202"/>
      <c r="Z270" s="185" t="str">
        <f aca="false">IF($A271="","",VLOOKUP($A270,Table,MATCH(Z$4,Curves,0)))</f>
        <v/>
      </c>
      <c r="AA270" s="185" t="str">
        <f aca="false">IF($A271="","",VLOOKUP($A270,Table,MATCH(AA$4,Curves,0)))</f>
        <v/>
      </c>
      <c r="AB270" s="185" t="e">
        <f aca="false">SQRT((AA270^2*(A270-$D$3)+Z270^2*(DAY(EOMONTH(A270,0))/2))/AK270)</f>
        <v>#VALUE!</v>
      </c>
      <c r="AC270" s="185" t="str">
        <f aca="false">IF($A271="","",VLOOKUP($A270,Table,MATCH(AC$4,Curves,0)))</f>
        <v/>
      </c>
      <c r="AD270" s="185" t="str">
        <f aca="false">IF($A271="","",VLOOKUP($A270,Table,MATCH(AD$4,Curves,0)))</f>
        <v/>
      </c>
      <c r="AE270" s="185" t="e">
        <f aca="false">SQRT((AD270^2*(A270-$D$3)+AC270^2*(DAY(EOMONTH(A270,0))/2))/AK270)</f>
        <v>#VALUE!</v>
      </c>
      <c r="AF270" s="206" t="e">
        <f aca="false">((Summary!$N$11*(AA270*AD270)*(A270-$D$3))+(Summary!$M$11*Z270*AC270*(AJ270-EOMONTH(EDATE(A270,-1),0))))/(AK270*AB270*AE270)</f>
        <v>#VALUE!</v>
      </c>
      <c r="AG270" s="207" t="str">
        <f aca="false">IF($A271="","",Summary!$Q$11)</f>
        <v/>
      </c>
      <c r="AH270" s="207" t="str">
        <f aca="false">IF($A271="","",IF(Summary!$R$11="Y",(VLOOKUP($A270,Summary!$AD$6:$AF$9,3)+'Escalating commodity'!G283),'Escalating commodity'!G283))</f>
        <v/>
      </c>
      <c r="AI270" s="207" t="str">
        <f aca="false">IF($A271="","",AH270)</f>
        <v/>
      </c>
      <c r="AJ270" s="208" t="e">
        <f aca="false">A270+DAY(EOMONTH(A270,0))/2-1</f>
        <v>#VALUE!</v>
      </c>
      <c r="AK270" s="209" t="str">
        <f aca="false">IF($A271="","",$A270-$E$1)</f>
        <v/>
      </c>
      <c r="AL270" s="182" t="str">
        <f aca="false">IF($A271="","",SPRDOPT(P270,X270,AI270,0,AB270,AE270,AF270,AK270,$AJ$2,0))</f>
        <v/>
      </c>
      <c r="AM270" s="210" t="str">
        <f aca="false">IF($A271="","",MAX(0,O270-W270-AI270))</f>
        <v/>
      </c>
      <c r="AN270" s="211" t="str">
        <f aca="false">IF($A271="","",AL270-AM270)</f>
        <v/>
      </c>
      <c r="AO270" s="137" t="str">
        <f aca="false">IF(A271="","",A271-A270)</f>
        <v/>
      </c>
      <c r="AP270" s="212" t="str">
        <f aca="false">IF(A271="","",CHOOSE(F$3,A271+24,A270))</f>
        <v/>
      </c>
      <c r="AQ270" s="209" t="str">
        <f aca="false">IF(A271="","",AP270-$E$1)</f>
        <v/>
      </c>
      <c r="AR270" s="185" t="n">
        <f aca="false">'ANR OK vs ML7'!AR270</f>
        <v>0.1</v>
      </c>
      <c r="AS270" s="213" t="str">
        <f aca="false">IF(A271="","",1/(1+CHOOSE(F$3,(AR271+($I$3/10000))/2,(AR270+($I$3/10000))/2))^(2*AQ270/365.25))</f>
        <v/>
      </c>
      <c r="AT270" s="137" t="str">
        <f aca="false">IF(A271="","",IF(AND(mthbeg&lt;=A270,mthend&gt;=A270),1,0))</f>
        <v/>
      </c>
      <c r="AU270" s="137" t="str">
        <f aca="false">IF(A271="","",AO270*AT270)</f>
        <v/>
      </c>
      <c r="AW270" s="195" t="str">
        <f aca="false">IF($A271="","",AL270*$E270)</f>
        <v/>
      </c>
      <c r="AX270" s="195" t="str">
        <f aca="false">IF($A271="","",AM270*$E270)</f>
        <v/>
      </c>
      <c r="AY270" s="195" t="str">
        <f aca="false">IF($A271="","",AN270*$E270)</f>
        <v/>
      </c>
      <c r="BA270" s="195" t="str">
        <f aca="false">IF($A271="","",F270*Summary!$Q$11)</f>
        <v/>
      </c>
    </row>
    <row r="271" customFormat="false" ht="12" hidden="false" customHeight="true" outlineLevel="0" collapsed="false">
      <c r="A271" s="196" t="str">
        <f aca="false">IF(A270&lt;mthend,EDATE(A270,1),"")</f>
        <v/>
      </c>
      <c r="B271" s="197" t="str">
        <f aca="false">IF(A271&lt;mthend,B270,"")</f>
        <v/>
      </c>
      <c r="C271" s="215"/>
      <c r="D271" s="197" t="str">
        <f aca="false">IF(A272&lt;&gt;"",B271+C271,"")</f>
        <v/>
      </c>
      <c r="E271" s="199" t="str">
        <f aca="false">IF(A272="","",IF(AND(AT271=1,$H$3=1),D271*AO271,IF($H$3=2,D271,"N/A")))</f>
        <v/>
      </c>
      <c r="F271" s="199" t="str">
        <f aca="false">IF(A272="","",E271*AS271)</f>
        <v/>
      </c>
      <c r="G271" s="200" t="str">
        <f aca="false">IF($A272="","",VLOOKUP($A271,Table,MATCH(G$4,Curves,0)))</f>
        <v/>
      </c>
      <c r="H271" s="201" t="str">
        <f aca="false">IF(A272="","",G271)</f>
        <v/>
      </c>
      <c r="I271" s="202"/>
      <c r="J271" s="200" t="str">
        <f aca="false">IF($A272="","",VLOOKUP($A271,Table,MATCH(J$4,Curves,0)))</f>
        <v/>
      </c>
      <c r="K271" s="201" t="str">
        <f aca="false">IF(A272="","",J271)</f>
        <v/>
      </c>
      <c r="L271" s="200" t="str">
        <f aca="false">IF($A272="","",VLOOKUP($A271,Table,MATCH(L$4,Curves,0)))</f>
        <v/>
      </c>
      <c r="M271" s="201" t="str">
        <f aca="false">IF(A272="","",L271)</f>
        <v/>
      </c>
      <c r="N271" s="203"/>
      <c r="O271" s="200" t="str">
        <f aca="false">IF(A272="","",L271+J271+G271)</f>
        <v/>
      </c>
      <c r="P271" s="200" t="str">
        <f aca="false">IF(A272="","",M271+K271+H271)</f>
        <v/>
      </c>
      <c r="Q271" s="204"/>
      <c r="R271" s="200" t="str">
        <f aca="false">IF($A272="","",VLOOKUP($A271,Table,MATCH(R$4,Curves,0)))</f>
        <v/>
      </c>
      <c r="S271" s="201" t="str">
        <f aca="false">IF(A272="","",R271)</f>
        <v/>
      </c>
      <c r="T271" s="185" t="n">
        <v>0</v>
      </c>
      <c r="U271" s="201" t="str">
        <f aca="false">IF(A272="","",T271)</f>
        <v/>
      </c>
      <c r="V271" s="205" t="str">
        <f aca="false">IF($A272="","",IF(AND(MONTH(A271)&gt;3,MONTH(A271)&lt;11),(T271+R271+G271)*Summary!$T$11/(1-Summary!$T$11),(T271+R271+G271)*Summary!$U$11/(1-Summary!$U$11)))</f>
        <v/>
      </c>
      <c r="W271" s="202" t="str">
        <f aca="false">IF($A272="","",(T271+R271+G271+V271))</f>
        <v/>
      </c>
      <c r="X271" s="202" t="str">
        <f aca="false">IF($A272="","",(U271+S271+H271+V271))</f>
        <v/>
      </c>
      <c r="Y271" s="202"/>
      <c r="Z271" s="185" t="str">
        <f aca="false">IF($A272="","",VLOOKUP($A271,Table,MATCH(Z$4,Curves,0)))</f>
        <v/>
      </c>
      <c r="AA271" s="185" t="str">
        <f aca="false">IF($A272="","",VLOOKUP($A271,Table,MATCH(AA$4,Curves,0)))</f>
        <v/>
      </c>
      <c r="AB271" s="185" t="e">
        <f aca="false">SQRT((AA271^2*(A271-$D$3)+Z271^2*(DAY(EOMONTH(A271,0))/2))/AK271)</f>
        <v>#VALUE!</v>
      </c>
      <c r="AC271" s="185" t="str">
        <f aca="false">IF($A272="","",VLOOKUP($A271,Table,MATCH(AC$4,Curves,0)))</f>
        <v/>
      </c>
      <c r="AD271" s="185" t="str">
        <f aca="false">IF($A272="","",VLOOKUP($A271,Table,MATCH(AD$4,Curves,0)))</f>
        <v/>
      </c>
      <c r="AE271" s="185" t="e">
        <f aca="false">SQRT((AD271^2*(A271-$D$3)+AC271^2*(DAY(EOMONTH(A271,0))/2))/AK271)</f>
        <v>#VALUE!</v>
      </c>
      <c r="AF271" s="206" t="e">
        <f aca="false">((Summary!$N$11*(AA271*AD271)*(A271-$D$3))+(Summary!$M$11*Z271*AC271*(AJ271-EOMONTH(EDATE(A271,-1),0))))/(AK271*AB271*AE271)</f>
        <v>#VALUE!</v>
      </c>
      <c r="AG271" s="207" t="str">
        <f aca="false">IF($A272="","",Summary!$Q$11)</f>
        <v/>
      </c>
      <c r="AH271" s="207" t="str">
        <f aca="false">IF($A272="","",IF(Summary!$R$11="Y",(VLOOKUP($A271,Summary!$AD$6:$AF$9,3)+'Escalating commodity'!G284),'Escalating commodity'!G284))</f>
        <v/>
      </c>
      <c r="AI271" s="207" t="str">
        <f aca="false">IF($A272="","",AH271)</f>
        <v/>
      </c>
      <c r="AJ271" s="208" t="e">
        <f aca="false">A271+DAY(EOMONTH(A271,0))/2-1</f>
        <v>#VALUE!</v>
      </c>
      <c r="AK271" s="209" t="str">
        <f aca="false">IF($A272="","",$A271-$E$1)</f>
        <v/>
      </c>
      <c r="AL271" s="182" t="str">
        <f aca="false">IF($A272="","",SPRDOPT(P271,X271,AI271,0,AB271,AE271,AF271,AK271,$AJ$2,0))</f>
        <v/>
      </c>
      <c r="AM271" s="210" t="str">
        <f aca="false">IF($A272="","",MAX(0,O271-W271-AI271))</f>
        <v/>
      </c>
      <c r="AN271" s="211" t="str">
        <f aca="false">IF($A272="","",AL271-AM271)</f>
        <v/>
      </c>
      <c r="AO271" s="137" t="str">
        <f aca="false">IF(A272="","",A272-A271)</f>
        <v/>
      </c>
      <c r="AP271" s="212" t="str">
        <f aca="false">IF(A272="","",CHOOSE(F$3,A272+24,A271))</f>
        <v/>
      </c>
      <c r="AQ271" s="209" t="str">
        <f aca="false">IF(A272="","",AP271-$E$1)</f>
        <v/>
      </c>
      <c r="AR271" s="185" t="n">
        <f aca="false">'ANR OK vs ML7'!AR271</f>
        <v>0.1</v>
      </c>
      <c r="AS271" s="213" t="str">
        <f aca="false">IF(A272="","",1/(1+CHOOSE(F$3,(AR272+($I$3/10000))/2,(AR271+($I$3/10000))/2))^(2*AQ271/365.25))</f>
        <v/>
      </c>
      <c r="AT271" s="137" t="str">
        <f aca="false">IF(A272="","",IF(AND(mthbeg&lt;=A271,mthend&gt;=A271),1,0))</f>
        <v/>
      </c>
      <c r="AU271" s="137" t="str">
        <f aca="false">IF(A272="","",AO271*AT271)</f>
        <v/>
      </c>
      <c r="AW271" s="195" t="str">
        <f aca="false">IF($A272="","",AL271*$E271)</f>
        <v/>
      </c>
      <c r="AX271" s="195" t="str">
        <f aca="false">IF($A272="","",AM271*$E271)</f>
        <v/>
      </c>
      <c r="AY271" s="195" t="str">
        <f aca="false">IF($A272="","",AN271*$E271)</f>
        <v/>
      </c>
      <c r="BA271" s="195" t="str">
        <f aca="false">IF($A272="","",F271*Summary!$Q$11)</f>
        <v/>
      </c>
    </row>
    <row r="272" customFormat="false" ht="12" hidden="false" customHeight="true" outlineLevel="0" collapsed="false">
      <c r="A272" s="196" t="str">
        <f aca="false">IF(A271&lt;mthend,EDATE(A271,1),"")</f>
        <v/>
      </c>
      <c r="B272" s="197" t="str">
        <f aca="false">IF(A272&lt;mthend,B271,"")</f>
        <v/>
      </c>
      <c r="C272" s="215"/>
      <c r="D272" s="197" t="str">
        <f aca="false">IF(A273&lt;&gt;"",B272+C272,"")</f>
        <v/>
      </c>
      <c r="E272" s="199" t="str">
        <f aca="false">IF(A273="","",IF(AND(AT272=1,$H$3=1),D272*AO272,IF($H$3=2,D272,"N/A")))</f>
        <v/>
      </c>
      <c r="F272" s="199" t="str">
        <f aca="false">IF(A273="","",E272*AS272)</f>
        <v/>
      </c>
      <c r="G272" s="200" t="str">
        <f aca="false">IF($A273="","",VLOOKUP($A272,Table,MATCH(G$4,Curves,0)))</f>
        <v/>
      </c>
      <c r="H272" s="201" t="str">
        <f aca="false">IF(A273="","",G272)</f>
        <v/>
      </c>
      <c r="I272" s="202"/>
      <c r="J272" s="200" t="str">
        <f aca="false">IF($A273="","",VLOOKUP($A272,Table,MATCH(J$4,Curves,0)))</f>
        <v/>
      </c>
      <c r="K272" s="201" t="str">
        <f aca="false">IF(A273="","",J272)</f>
        <v/>
      </c>
      <c r="L272" s="200" t="str">
        <f aca="false">IF($A273="","",VLOOKUP($A272,Table,MATCH(L$4,Curves,0)))</f>
        <v/>
      </c>
      <c r="M272" s="201" t="str">
        <f aca="false">IF(A273="","",L272)</f>
        <v/>
      </c>
      <c r="N272" s="203"/>
      <c r="O272" s="200" t="str">
        <f aca="false">IF(A273="","",L272+J272+G272)</f>
        <v/>
      </c>
      <c r="P272" s="200" t="str">
        <f aca="false">IF(A273="","",M272+K272+H272)</f>
        <v/>
      </c>
      <c r="Q272" s="204"/>
      <c r="R272" s="200" t="str">
        <f aca="false">IF($A273="","",VLOOKUP($A272,Table,MATCH(R$4,Curves,0)))</f>
        <v/>
      </c>
      <c r="S272" s="201" t="str">
        <f aca="false">IF(A273="","",R272)</f>
        <v/>
      </c>
      <c r="T272" s="185" t="n">
        <v>0</v>
      </c>
      <c r="U272" s="201" t="str">
        <f aca="false">IF(A273="","",T272)</f>
        <v/>
      </c>
      <c r="V272" s="205" t="str">
        <f aca="false">IF($A273="","",IF(AND(MONTH(A272)&gt;3,MONTH(A272)&lt;11),(T272+R272+G272)*Summary!$T$11/(1-Summary!$T$11),(T272+R272+G272)*Summary!$U$11/(1-Summary!$U$11)))</f>
        <v/>
      </c>
      <c r="W272" s="202" t="str">
        <f aca="false">IF($A273="","",(T272+R272+G272+V272))</f>
        <v/>
      </c>
      <c r="X272" s="202" t="str">
        <f aca="false">IF($A273="","",(U272+S272+H272+V272))</f>
        <v/>
      </c>
      <c r="Y272" s="202"/>
      <c r="Z272" s="185" t="str">
        <f aca="false">IF($A273="","",VLOOKUP($A272,Table,MATCH(Z$4,Curves,0)))</f>
        <v/>
      </c>
      <c r="AA272" s="185" t="str">
        <f aca="false">IF($A273="","",VLOOKUP($A272,Table,MATCH(AA$4,Curves,0)))</f>
        <v/>
      </c>
      <c r="AB272" s="185" t="e">
        <f aca="false">SQRT((AA272^2*(A272-$D$3)+Z272^2*(DAY(EOMONTH(A272,0))/2))/AK272)</f>
        <v>#VALUE!</v>
      </c>
      <c r="AC272" s="185" t="str">
        <f aca="false">IF($A273="","",VLOOKUP($A272,Table,MATCH(AC$4,Curves,0)))</f>
        <v/>
      </c>
      <c r="AD272" s="185" t="str">
        <f aca="false">IF($A273="","",VLOOKUP($A272,Table,MATCH(AD$4,Curves,0)))</f>
        <v/>
      </c>
      <c r="AE272" s="185" t="e">
        <f aca="false">SQRT((AD272^2*(A272-$D$3)+AC272^2*(DAY(EOMONTH(A272,0))/2))/AK272)</f>
        <v>#VALUE!</v>
      </c>
      <c r="AF272" s="206" t="e">
        <f aca="false">((Summary!$N$11*(AA272*AD272)*(A272-$D$3))+(Summary!$M$11*Z272*AC272*(AJ272-EOMONTH(EDATE(A272,-1),0))))/(AK272*AB272*AE272)</f>
        <v>#VALUE!</v>
      </c>
      <c r="AG272" s="207" t="str">
        <f aca="false">IF($A273="","",Summary!$Q$11)</f>
        <v/>
      </c>
      <c r="AH272" s="207" t="str">
        <f aca="false">IF($A273="","",IF(Summary!$R$11="Y",(VLOOKUP($A272,Summary!$AD$6:$AF$9,3)+'Escalating commodity'!G285),'Escalating commodity'!G285))</f>
        <v/>
      </c>
      <c r="AI272" s="207" t="str">
        <f aca="false">IF($A273="","",AH272)</f>
        <v/>
      </c>
      <c r="AJ272" s="208" t="e">
        <f aca="false">A272+DAY(EOMONTH(A272,0))/2-1</f>
        <v>#VALUE!</v>
      </c>
      <c r="AK272" s="209" t="str">
        <f aca="false">IF($A273="","",$A272-$E$1)</f>
        <v/>
      </c>
      <c r="AL272" s="182" t="str">
        <f aca="false">IF($A273="","",SPRDOPT(P272,X272,AI272,0,AB272,AE272,AF272,AK272,$AJ$2,0))</f>
        <v/>
      </c>
      <c r="AM272" s="210" t="str">
        <f aca="false">IF($A273="","",MAX(0,O272-W272-AI272))</f>
        <v/>
      </c>
      <c r="AN272" s="211" t="str">
        <f aca="false">IF($A273="","",AL272-AM272)</f>
        <v/>
      </c>
      <c r="AO272" s="137" t="str">
        <f aca="false">IF(A273="","",A273-A272)</f>
        <v/>
      </c>
      <c r="AP272" s="212" t="str">
        <f aca="false">IF(A273="","",CHOOSE(F$3,A273+24,A272))</f>
        <v/>
      </c>
      <c r="AQ272" s="209" t="str">
        <f aca="false">IF(A273="","",AP272-$E$1)</f>
        <v/>
      </c>
      <c r="AR272" s="185" t="n">
        <f aca="false">'ANR OK vs ML7'!AR272</f>
        <v>0.1</v>
      </c>
      <c r="AS272" s="213" t="str">
        <f aca="false">IF(A273="","",1/(1+CHOOSE(F$3,(AR273+($I$3/10000))/2,(AR272+($I$3/10000))/2))^(2*AQ272/365.25))</f>
        <v/>
      </c>
      <c r="AT272" s="137" t="str">
        <f aca="false">IF(A273="","",IF(AND(mthbeg&lt;=A272,mthend&gt;=A272),1,0))</f>
        <v/>
      </c>
      <c r="AU272" s="137" t="str">
        <f aca="false">IF(A273="","",AO272*AT272)</f>
        <v/>
      </c>
      <c r="AW272" s="195" t="str">
        <f aca="false">IF($A273="","",AL272*$E272)</f>
        <v/>
      </c>
      <c r="AX272" s="195" t="str">
        <f aca="false">IF($A273="","",AM272*$E272)</f>
        <v/>
      </c>
      <c r="AY272" s="195" t="str">
        <f aca="false">IF($A273="","",AN272*$E272)</f>
        <v/>
      </c>
      <c r="BA272" s="195" t="str">
        <f aca="false">IF($A273="","",F272*Summary!$Q$11)</f>
        <v/>
      </c>
    </row>
    <row r="273" customFormat="false" ht="12" hidden="false" customHeight="true" outlineLevel="0" collapsed="false">
      <c r="A273" s="196" t="str">
        <f aca="false">IF(A272&lt;mthend,EDATE(A272,1),"")</f>
        <v/>
      </c>
      <c r="B273" s="197" t="str">
        <f aca="false">IF(A273&lt;mthend,B272,"")</f>
        <v/>
      </c>
      <c r="C273" s="215"/>
      <c r="D273" s="197" t="str">
        <f aca="false">IF(A274&lt;&gt;"",B273+C273,"")</f>
        <v/>
      </c>
      <c r="E273" s="199" t="str">
        <f aca="false">IF(A274="","",IF(AND(AT273=1,$H$3=1),D273*AO273,IF($H$3=2,D273,"N/A")))</f>
        <v/>
      </c>
      <c r="F273" s="199" t="str">
        <f aca="false">IF(A274="","",E273*AS273)</f>
        <v/>
      </c>
      <c r="G273" s="200" t="str">
        <f aca="false">IF($A274="","",VLOOKUP($A273,Table,MATCH(G$4,Curves,0)))</f>
        <v/>
      </c>
      <c r="H273" s="201" t="str">
        <f aca="false">IF(A274="","",G273)</f>
        <v/>
      </c>
      <c r="I273" s="202"/>
      <c r="J273" s="200" t="str">
        <f aca="false">IF($A274="","",VLOOKUP($A273,Table,MATCH(J$4,Curves,0)))</f>
        <v/>
      </c>
      <c r="K273" s="201" t="str">
        <f aca="false">IF(A274="","",J273)</f>
        <v/>
      </c>
      <c r="L273" s="200" t="str">
        <f aca="false">IF($A274="","",VLOOKUP($A273,Table,MATCH(L$4,Curves,0)))</f>
        <v/>
      </c>
      <c r="M273" s="201" t="str">
        <f aca="false">IF(A274="","",L273)</f>
        <v/>
      </c>
      <c r="N273" s="203"/>
      <c r="O273" s="200" t="str">
        <f aca="false">IF(A274="","",L273+J273+G273)</f>
        <v/>
      </c>
      <c r="P273" s="200" t="str">
        <f aca="false">IF(A274="","",M273+K273+H273)</f>
        <v/>
      </c>
      <c r="Q273" s="204"/>
      <c r="R273" s="200" t="str">
        <f aca="false">IF($A274="","",VLOOKUP($A273,Table,MATCH(R$4,Curves,0)))</f>
        <v/>
      </c>
      <c r="S273" s="201" t="str">
        <f aca="false">IF(A274="","",R273)</f>
        <v/>
      </c>
      <c r="T273" s="185" t="n">
        <v>0</v>
      </c>
      <c r="U273" s="201" t="str">
        <f aca="false">IF(A274="","",T273)</f>
        <v/>
      </c>
      <c r="V273" s="205" t="str">
        <f aca="false">IF($A274="","",IF(AND(MONTH(A273)&gt;3,MONTH(A273)&lt;11),(T273+R273+G273)*Summary!$T$11/(1-Summary!$T$11),(T273+R273+G273)*Summary!$U$11/(1-Summary!$U$11)))</f>
        <v/>
      </c>
      <c r="W273" s="202" t="str">
        <f aca="false">IF($A274="","",(T273+R273+G273+V273))</f>
        <v/>
      </c>
      <c r="X273" s="202" t="str">
        <f aca="false">IF($A274="","",(U273+S273+H273+V273))</f>
        <v/>
      </c>
      <c r="Y273" s="202"/>
      <c r="Z273" s="185" t="str">
        <f aca="false">IF($A274="","",VLOOKUP($A273,Table,MATCH(Z$4,Curves,0)))</f>
        <v/>
      </c>
      <c r="AA273" s="185" t="str">
        <f aca="false">IF($A274="","",VLOOKUP($A273,Table,MATCH(AA$4,Curves,0)))</f>
        <v/>
      </c>
      <c r="AB273" s="185" t="e">
        <f aca="false">SQRT((AA273^2*(A273-$D$3)+Z273^2*(DAY(EOMONTH(A273,0))/2))/AK273)</f>
        <v>#VALUE!</v>
      </c>
      <c r="AC273" s="185" t="str">
        <f aca="false">IF($A274="","",VLOOKUP($A273,Table,MATCH(AC$4,Curves,0)))</f>
        <v/>
      </c>
      <c r="AD273" s="185" t="str">
        <f aca="false">IF($A274="","",VLOOKUP($A273,Table,MATCH(AD$4,Curves,0)))</f>
        <v/>
      </c>
      <c r="AE273" s="185" t="e">
        <f aca="false">SQRT((AD273^2*(A273-$D$3)+AC273^2*(DAY(EOMONTH(A273,0))/2))/AK273)</f>
        <v>#VALUE!</v>
      </c>
      <c r="AF273" s="206" t="e">
        <f aca="false">((Summary!$N$11*(AA273*AD273)*(A273-$D$3))+(Summary!$M$11*Z273*AC273*(AJ273-EOMONTH(EDATE(A273,-1),0))))/(AK273*AB273*AE273)</f>
        <v>#VALUE!</v>
      </c>
      <c r="AG273" s="207" t="str">
        <f aca="false">IF($A274="","",Summary!$Q$11)</f>
        <v/>
      </c>
      <c r="AH273" s="207" t="str">
        <f aca="false">IF($A274="","",IF(Summary!$R$11="Y",(VLOOKUP($A273,Summary!$AD$6:$AF$9,3)+'Escalating commodity'!G286),'Escalating commodity'!G286))</f>
        <v/>
      </c>
      <c r="AI273" s="207" t="str">
        <f aca="false">IF($A274="","",AH273)</f>
        <v/>
      </c>
      <c r="AJ273" s="208" t="e">
        <f aca="false">A273+DAY(EOMONTH(A273,0))/2-1</f>
        <v>#VALUE!</v>
      </c>
      <c r="AK273" s="209" t="str">
        <f aca="false">IF($A274="","",$A273-$E$1)</f>
        <v/>
      </c>
      <c r="AL273" s="182" t="str">
        <f aca="false">IF($A274="","",SPRDOPT(P273,X273,AI273,0,AB273,AE273,AF273,AK273,$AJ$2,0))</f>
        <v/>
      </c>
      <c r="AM273" s="210" t="str">
        <f aca="false">IF($A274="","",MAX(0,O273-W273-AI273))</f>
        <v/>
      </c>
      <c r="AN273" s="211" t="str">
        <f aca="false">IF($A274="","",AL273-AM273)</f>
        <v/>
      </c>
      <c r="AO273" s="137" t="str">
        <f aca="false">IF(A274="","",A274-A273)</f>
        <v/>
      </c>
      <c r="AP273" s="212" t="str">
        <f aca="false">IF(A274="","",CHOOSE(F$3,A274+24,A273))</f>
        <v/>
      </c>
      <c r="AQ273" s="209" t="str">
        <f aca="false">IF(A274="","",AP273-$E$1)</f>
        <v/>
      </c>
      <c r="AR273" s="185" t="n">
        <f aca="false">'ANR OK vs ML7'!AR273</f>
        <v>0.1</v>
      </c>
      <c r="AS273" s="213" t="str">
        <f aca="false">IF(A274="","",1/(1+CHOOSE(F$3,(AR274+($I$3/10000))/2,(AR273+($I$3/10000))/2))^(2*AQ273/365.25))</f>
        <v/>
      </c>
      <c r="AT273" s="137" t="str">
        <f aca="false">IF(A274="","",IF(AND(mthbeg&lt;=A273,mthend&gt;=A273),1,0))</f>
        <v/>
      </c>
      <c r="AU273" s="137" t="str">
        <f aca="false">IF(A274="","",AO273*AT273)</f>
        <v/>
      </c>
      <c r="AW273" s="195" t="str">
        <f aca="false">IF($A274="","",AL273*$E273)</f>
        <v/>
      </c>
      <c r="AX273" s="195" t="str">
        <f aca="false">IF($A274="","",AM273*$E273)</f>
        <v/>
      </c>
      <c r="AY273" s="195" t="str">
        <f aca="false">IF($A274="","",AN273*$E273)</f>
        <v/>
      </c>
      <c r="BA273" s="195" t="str">
        <f aca="false">IF($A274="","",F273*Summary!$Q$11)</f>
        <v/>
      </c>
    </row>
    <row r="274" customFormat="false" ht="12" hidden="false" customHeight="true" outlineLevel="0" collapsed="false">
      <c r="A274" s="196" t="str">
        <f aca="false">IF(A273&lt;mthend,EDATE(A273,1),"")</f>
        <v/>
      </c>
      <c r="B274" s="197" t="str">
        <f aca="false">IF(A274&lt;mthend,B273,"")</f>
        <v/>
      </c>
      <c r="C274" s="215"/>
      <c r="D274" s="197" t="str">
        <f aca="false">IF(A275&lt;&gt;"",B274+C274,"")</f>
        <v/>
      </c>
      <c r="E274" s="199" t="str">
        <f aca="false">IF(A275="","",IF(AND(AT274=1,$H$3=1),D274*AO274,IF($H$3=2,D274,"N/A")))</f>
        <v/>
      </c>
      <c r="F274" s="199" t="str">
        <f aca="false">IF(A275="","",E274*AS274)</f>
        <v/>
      </c>
      <c r="G274" s="200" t="str">
        <f aca="false">IF($A275="","",VLOOKUP($A274,Table,MATCH(G$4,Curves,0)))</f>
        <v/>
      </c>
      <c r="H274" s="201" t="str">
        <f aca="false">IF(A275="","",G274)</f>
        <v/>
      </c>
      <c r="I274" s="202"/>
      <c r="J274" s="200" t="str">
        <f aca="false">IF($A275="","",VLOOKUP($A274,Table,MATCH(J$4,Curves,0)))</f>
        <v/>
      </c>
      <c r="K274" s="201" t="str">
        <f aca="false">IF(A275="","",J274)</f>
        <v/>
      </c>
      <c r="L274" s="200" t="str">
        <f aca="false">IF($A275="","",VLOOKUP($A274,Table,MATCH(L$4,Curves,0)))</f>
        <v/>
      </c>
      <c r="M274" s="201" t="str">
        <f aca="false">IF(A275="","",L274)</f>
        <v/>
      </c>
      <c r="N274" s="203"/>
      <c r="O274" s="200" t="str">
        <f aca="false">IF(A275="","",L274+J274+G274)</f>
        <v/>
      </c>
      <c r="P274" s="200" t="str">
        <f aca="false">IF(A275="","",M274+K274+H274)</f>
        <v/>
      </c>
      <c r="Q274" s="204"/>
      <c r="R274" s="200" t="str">
        <f aca="false">IF($A275="","",VLOOKUP($A274,Table,MATCH(R$4,Curves,0)))</f>
        <v/>
      </c>
      <c r="S274" s="201" t="str">
        <f aca="false">IF(A275="","",R274)</f>
        <v/>
      </c>
      <c r="T274" s="185" t="n">
        <v>0</v>
      </c>
      <c r="U274" s="201" t="str">
        <f aca="false">IF(A275="","",T274)</f>
        <v/>
      </c>
      <c r="V274" s="205" t="str">
        <f aca="false">IF($A275="","",IF(AND(MONTH(A274)&gt;3,MONTH(A274)&lt;11),(T274+R274+G274)*Summary!$T$11/(1-Summary!$T$11),(T274+R274+G274)*Summary!$U$11/(1-Summary!$U$11)))</f>
        <v/>
      </c>
      <c r="W274" s="202" t="str">
        <f aca="false">IF($A275="","",(T274+R274+G274+V274))</f>
        <v/>
      </c>
      <c r="X274" s="202" t="str">
        <f aca="false">IF($A275="","",(U274+S274+H274+V274))</f>
        <v/>
      </c>
      <c r="Y274" s="202"/>
      <c r="Z274" s="185" t="str">
        <f aca="false">IF($A275="","",VLOOKUP($A274,Table,MATCH(Z$4,Curves,0)))</f>
        <v/>
      </c>
      <c r="AA274" s="185" t="str">
        <f aca="false">IF($A275="","",VLOOKUP($A274,Table,MATCH(AA$4,Curves,0)))</f>
        <v/>
      </c>
      <c r="AB274" s="185" t="e">
        <f aca="false">SQRT((AA274^2*(A274-$D$3)+Z274^2*(DAY(EOMONTH(A274,0))/2))/AK274)</f>
        <v>#VALUE!</v>
      </c>
      <c r="AC274" s="185" t="str">
        <f aca="false">IF($A275="","",VLOOKUP($A274,Table,MATCH(AC$4,Curves,0)))</f>
        <v/>
      </c>
      <c r="AD274" s="185" t="str">
        <f aca="false">IF($A275="","",VLOOKUP($A274,Table,MATCH(AD$4,Curves,0)))</f>
        <v/>
      </c>
      <c r="AE274" s="185" t="e">
        <f aca="false">SQRT((AD274^2*(A274-$D$3)+AC274^2*(DAY(EOMONTH(A274,0))/2))/AK274)</f>
        <v>#VALUE!</v>
      </c>
      <c r="AF274" s="206" t="e">
        <f aca="false">((Summary!$N$11*(AA274*AD274)*(A274-$D$3))+(Summary!$M$11*Z274*AC274*(AJ274-EOMONTH(EDATE(A274,-1),0))))/(AK274*AB274*AE274)</f>
        <v>#VALUE!</v>
      </c>
      <c r="AG274" s="207" t="str">
        <f aca="false">IF($A275="","",Summary!$Q$11)</f>
        <v/>
      </c>
      <c r="AH274" s="207" t="str">
        <f aca="false">IF($A275="","",IF(Summary!$R$11="Y",(VLOOKUP($A274,Summary!$AD$6:$AF$9,3)+'Escalating commodity'!G287),'Escalating commodity'!G287))</f>
        <v/>
      </c>
      <c r="AI274" s="207" t="str">
        <f aca="false">IF($A275="","",AH274)</f>
        <v/>
      </c>
      <c r="AJ274" s="208" t="e">
        <f aca="false">A274+DAY(EOMONTH(A274,0))/2-1</f>
        <v>#VALUE!</v>
      </c>
      <c r="AK274" s="209" t="str">
        <f aca="false">IF($A275="","",$A274-$E$1)</f>
        <v/>
      </c>
      <c r="AL274" s="182" t="str">
        <f aca="false">IF($A275="","",SPRDOPT(P274,X274,AI274,0,AB274,AE274,AF274,AK274,$AJ$2,0))</f>
        <v/>
      </c>
      <c r="AM274" s="210" t="str">
        <f aca="false">IF($A275="","",MAX(0,O274-W274-AI274))</f>
        <v/>
      </c>
      <c r="AN274" s="211" t="str">
        <f aca="false">IF($A275="","",AL274-AM274)</f>
        <v/>
      </c>
      <c r="AO274" s="137" t="str">
        <f aca="false">IF(A275="","",A275-A274)</f>
        <v/>
      </c>
      <c r="AP274" s="212" t="str">
        <f aca="false">IF(A275="","",CHOOSE(F$3,A275+24,A274))</f>
        <v/>
      </c>
      <c r="AQ274" s="209" t="str">
        <f aca="false">IF(A275="","",AP274-$E$1)</f>
        <v/>
      </c>
      <c r="AR274" s="185" t="n">
        <f aca="false">'ANR OK vs ML7'!AR274</f>
        <v>0.1</v>
      </c>
      <c r="AS274" s="213" t="str">
        <f aca="false">IF(A275="","",1/(1+CHOOSE(F$3,(AR275+($I$3/10000))/2,(AR274+($I$3/10000))/2))^(2*AQ274/365.25))</f>
        <v/>
      </c>
      <c r="AT274" s="137" t="str">
        <f aca="false">IF(A275="","",IF(AND(mthbeg&lt;=A274,mthend&gt;=A274),1,0))</f>
        <v/>
      </c>
      <c r="AU274" s="137" t="str">
        <f aca="false">IF(A275="","",AO274*AT274)</f>
        <v/>
      </c>
      <c r="AW274" s="195" t="str">
        <f aca="false">IF($A275="","",AL274*$E274)</f>
        <v/>
      </c>
      <c r="AX274" s="195" t="str">
        <f aca="false">IF($A275="","",AM274*$E274)</f>
        <v/>
      </c>
      <c r="AY274" s="195" t="str">
        <f aca="false">IF($A275="","",AN274*$E274)</f>
        <v/>
      </c>
      <c r="BA274" s="195" t="str">
        <f aca="false">IF($A275="","",F274*Summary!$Q$11)</f>
        <v/>
      </c>
    </row>
    <row r="275" customFormat="false" ht="12" hidden="false" customHeight="true" outlineLevel="0" collapsed="false">
      <c r="A275" s="196" t="str">
        <f aca="false">IF(A274&lt;mthend,EDATE(A274,1),"")</f>
        <v/>
      </c>
      <c r="B275" s="197" t="str">
        <f aca="false">IF(A275&lt;mthend,B274,"")</f>
        <v/>
      </c>
      <c r="C275" s="215"/>
      <c r="D275" s="197" t="str">
        <f aca="false">IF(A276&lt;&gt;"",B275+C275,"")</f>
        <v/>
      </c>
      <c r="E275" s="199" t="str">
        <f aca="false">IF(A276="","",IF(AND(AT275=1,$H$3=1),D275*AO275,IF($H$3=2,D275,"N/A")))</f>
        <v/>
      </c>
      <c r="F275" s="199" t="str">
        <f aca="false">IF(A276="","",E275*AS275)</f>
        <v/>
      </c>
      <c r="G275" s="200" t="str">
        <f aca="false">IF($A276="","",VLOOKUP($A275,Table,MATCH(G$4,Curves,0)))</f>
        <v/>
      </c>
      <c r="H275" s="201" t="str">
        <f aca="false">IF(A276="","",G275)</f>
        <v/>
      </c>
      <c r="I275" s="202"/>
      <c r="J275" s="200" t="str">
        <f aca="false">IF($A276="","",VLOOKUP($A275,Table,MATCH(J$4,Curves,0)))</f>
        <v/>
      </c>
      <c r="K275" s="201" t="str">
        <f aca="false">IF(A276="","",J275)</f>
        <v/>
      </c>
      <c r="L275" s="200" t="str">
        <f aca="false">IF($A276="","",VLOOKUP($A275,Table,MATCH(L$4,Curves,0)))</f>
        <v/>
      </c>
      <c r="M275" s="201" t="str">
        <f aca="false">IF(A276="","",L275)</f>
        <v/>
      </c>
      <c r="N275" s="203"/>
      <c r="O275" s="200" t="str">
        <f aca="false">IF(A276="","",L275+J275+G275)</f>
        <v/>
      </c>
      <c r="P275" s="200" t="str">
        <f aca="false">IF(A276="","",M275+K275+H275)</f>
        <v/>
      </c>
      <c r="Q275" s="204"/>
      <c r="R275" s="200" t="str">
        <f aca="false">IF($A276="","",VLOOKUP($A275,Table,MATCH(R$4,Curves,0)))</f>
        <v/>
      </c>
      <c r="S275" s="201" t="str">
        <f aca="false">IF(A276="","",R275)</f>
        <v/>
      </c>
      <c r="T275" s="185" t="n">
        <v>0</v>
      </c>
      <c r="U275" s="201" t="str">
        <f aca="false">IF(A276="","",T275)</f>
        <v/>
      </c>
      <c r="V275" s="205" t="str">
        <f aca="false">IF($A276="","",IF(AND(MONTH(A275)&gt;3,MONTH(A275)&lt;11),(T275+R275+G275)*Summary!$T$11/(1-Summary!$T$11),(T275+R275+G275)*Summary!$U$11/(1-Summary!$U$11)))</f>
        <v/>
      </c>
      <c r="W275" s="202" t="str">
        <f aca="false">IF($A276="","",(T275+R275+G275+V275))</f>
        <v/>
      </c>
      <c r="X275" s="202" t="str">
        <f aca="false">IF($A276="","",(U275+S275+H275+V275))</f>
        <v/>
      </c>
      <c r="Y275" s="202"/>
      <c r="Z275" s="185" t="str">
        <f aca="false">IF($A276="","",VLOOKUP($A275,Table,MATCH(Z$4,Curves,0)))</f>
        <v/>
      </c>
      <c r="AA275" s="185" t="str">
        <f aca="false">IF($A276="","",VLOOKUP($A275,Table,MATCH(AA$4,Curves,0)))</f>
        <v/>
      </c>
      <c r="AB275" s="185" t="e">
        <f aca="false">SQRT((AA275^2*(A275-$D$3)+Z275^2*(DAY(EOMONTH(A275,0))/2))/AK275)</f>
        <v>#VALUE!</v>
      </c>
      <c r="AC275" s="185" t="str">
        <f aca="false">IF($A276="","",VLOOKUP($A275,Table,MATCH(AC$4,Curves,0)))</f>
        <v/>
      </c>
      <c r="AD275" s="185" t="str">
        <f aca="false">IF($A276="","",VLOOKUP($A275,Table,MATCH(AD$4,Curves,0)))</f>
        <v/>
      </c>
      <c r="AE275" s="185" t="e">
        <f aca="false">SQRT((AD275^2*(A275-$D$3)+AC275^2*(DAY(EOMONTH(A275,0))/2))/AK275)</f>
        <v>#VALUE!</v>
      </c>
      <c r="AF275" s="206" t="e">
        <f aca="false">((Summary!$N$11*(AA275*AD275)*(A275-$D$3))+(Summary!$M$11*Z275*AC275*(AJ275-EOMONTH(EDATE(A275,-1),0))))/(AK275*AB275*AE275)</f>
        <v>#VALUE!</v>
      </c>
      <c r="AG275" s="207" t="str">
        <f aca="false">IF($A276="","",Summary!$Q$11)</f>
        <v/>
      </c>
      <c r="AH275" s="207" t="str">
        <f aca="false">IF($A276="","",IF(Summary!$R$11="Y",(VLOOKUP($A275,Summary!$AD$6:$AF$9,3)+'Escalating commodity'!G288),'Escalating commodity'!G288))</f>
        <v/>
      </c>
      <c r="AI275" s="207" t="str">
        <f aca="false">IF($A276="","",AH275)</f>
        <v/>
      </c>
      <c r="AJ275" s="208" t="e">
        <f aca="false">A275+DAY(EOMONTH(A275,0))/2-1</f>
        <v>#VALUE!</v>
      </c>
      <c r="AK275" s="209" t="str">
        <f aca="false">IF($A276="","",$A275-$E$1)</f>
        <v/>
      </c>
      <c r="AL275" s="182" t="str">
        <f aca="false">IF($A276="","",SPRDOPT(P275,X275,AI275,0,AB275,AE275,AF275,AK275,$AJ$2,0))</f>
        <v/>
      </c>
      <c r="AM275" s="210" t="str">
        <f aca="false">IF($A276="","",MAX(0,O275-W275-AI275))</f>
        <v/>
      </c>
      <c r="AN275" s="211" t="str">
        <f aca="false">IF($A276="","",AL275-AM275)</f>
        <v/>
      </c>
      <c r="AO275" s="137" t="str">
        <f aca="false">IF(A276="","",A276-A275)</f>
        <v/>
      </c>
      <c r="AP275" s="212" t="str">
        <f aca="false">IF(A276="","",CHOOSE(F$3,A276+24,A275))</f>
        <v/>
      </c>
      <c r="AQ275" s="209" t="str">
        <f aca="false">IF(A276="","",AP275-$E$1)</f>
        <v/>
      </c>
      <c r="AR275" s="185" t="n">
        <f aca="false">'ANR OK vs ML7'!AR275</f>
        <v>0.1</v>
      </c>
      <c r="AS275" s="213" t="str">
        <f aca="false">IF(A276="","",1/(1+CHOOSE(F$3,(AR276+($I$3/10000))/2,(AR275+($I$3/10000))/2))^(2*AQ275/365.25))</f>
        <v/>
      </c>
      <c r="AT275" s="137" t="str">
        <f aca="false">IF(A276="","",IF(AND(mthbeg&lt;=A275,mthend&gt;=A275),1,0))</f>
        <v/>
      </c>
      <c r="AU275" s="137" t="str">
        <f aca="false">IF(A276="","",AO275*AT275)</f>
        <v/>
      </c>
      <c r="AW275" s="195" t="str">
        <f aca="false">IF($A276="","",AL275*$E275)</f>
        <v/>
      </c>
      <c r="AX275" s="195" t="str">
        <f aca="false">IF($A276="","",AM275*$E275)</f>
        <v/>
      </c>
      <c r="AY275" s="195" t="str">
        <f aca="false">IF($A276="","",AN275*$E275)</f>
        <v/>
      </c>
      <c r="BA275" s="195" t="str">
        <f aca="false">IF($A276="","",F275*Summary!$Q$11)</f>
        <v/>
      </c>
    </row>
    <row r="276" customFormat="false" ht="12" hidden="false" customHeight="true" outlineLevel="0" collapsed="false">
      <c r="A276" s="196" t="str">
        <f aca="false">IF(A275&lt;mthend,EDATE(A275,1),"")</f>
        <v/>
      </c>
      <c r="B276" s="197" t="str">
        <f aca="false">IF(A276&lt;mthend,B275,"")</f>
        <v/>
      </c>
      <c r="C276" s="215"/>
      <c r="D276" s="197" t="str">
        <f aca="false">IF(A277&lt;&gt;"",B276+C276,"")</f>
        <v/>
      </c>
      <c r="E276" s="199" t="str">
        <f aca="false">IF(A277="","",IF(AND(AT276=1,$H$3=1),D276*AO276,IF($H$3=2,D276,"N/A")))</f>
        <v/>
      </c>
      <c r="F276" s="199" t="str">
        <f aca="false">IF(A277="","",E276*AS276)</f>
        <v/>
      </c>
      <c r="G276" s="200" t="str">
        <f aca="false">IF($A277="","",VLOOKUP($A276,Table,MATCH(G$4,Curves,0)))</f>
        <v/>
      </c>
      <c r="H276" s="201" t="str">
        <f aca="false">IF(A277="","",G276)</f>
        <v/>
      </c>
      <c r="I276" s="202"/>
      <c r="J276" s="200" t="str">
        <f aca="false">IF($A277="","",VLOOKUP($A276,Table,MATCH(J$4,Curves,0)))</f>
        <v/>
      </c>
      <c r="K276" s="201" t="str">
        <f aca="false">IF(A277="","",J276)</f>
        <v/>
      </c>
      <c r="L276" s="200" t="str">
        <f aca="false">IF($A277="","",VLOOKUP($A276,Table,MATCH(L$4,Curves,0)))</f>
        <v/>
      </c>
      <c r="M276" s="201" t="str">
        <f aca="false">IF(A277="","",L276)</f>
        <v/>
      </c>
      <c r="N276" s="203"/>
      <c r="O276" s="200" t="str">
        <f aca="false">IF(A277="","",L276+J276+G276)</f>
        <v/>
      </c>
      <c r="P276" s="200" t="str">
        <f aca="false">IF(A277="","",M276+K276+H276)</f>
        <v/>
      </c>
      <c r="Q276" s="204"/>
      <c r="R276" s="200" t="str">
        <f aca="false">IF($A277="","",VLOOKUP($A276,Table,MATCH(R$4,Curves,0)))</f>
        <v/>
      </c>
      <c r="S276" s="201" t="str">
        <f aca="false">IF(A277="","",R276)</f>
        <v/>
      </c>
      <c r="T276" s="185" t="n">
        <v>0</v>
      </c>
      <c r="U276" s="201" t="str">
        <f aca="false">IF(A277="","",T276)</f>
        <v/>
      </c>
      <c r="V276" s="205" t="str">
        <f aca="false">IF($A277="","",IF(AND(MONTH(A276)&gt;3,MONTH(A276)&lt;11),(T276+R276+G276)*Summary!$T$11/(1-Summary!$T$11),(T276+R276+G276)*Summary!$U$11/(1-Summary!$U$11)))</f>
        <v/>
      </c>
      <c r="W276" s="202" t="str">
        <f aca="false">IF($A277="","",(T276+R276+G276+V276))</f>
        <v/>
      </c>
      <c r="X276" s="202" t="str">
        <f aca="false">IF($A277="","",(U276+S276+H276+V276))</f>
        <v/>
      </c>
      <c r="Y276" s="202"/>
      <c r="Z276" s="185" t="str">
        <f aca="false">IF($A277="","",VLOOKUP($A276,Table,MATCH(Z$4,Curves,0)))</f>
        <v/>
      </c>
      <c r="AA276" s="185" t="str">
        <f aca="false">IF($A277="","",VLOOKUP($A276,Table,MATCH(AA$4,Curves,0)))</f>
        <v/>
      </c>
      <c r="AB276" s="185" t="e">
        <f aca="false">SQRT((AA276^2*(A276-$D$3)+Z276^2*(DAY(EOMONTH(A276,0))/2))/AK276)</f>
        <v>#VALUE!</v>
      </c>
      <c r="AC276" s="185" t="str">
        <f aca="false">IF($A277="","",VLOOKUP($A276,Table,MATCH(AC$4,Curves,0)))</f>
        <v/>
      </c>
      <c r="AD276" s="185" t="str">
        <f aca="false">IF($A277="","",VLOOKUP($A276,Table,MATCH(AD$4,Curves,0)))</f>
        <v/>
      </c>
      <c r="AE276" s="185" t="e">
        <f aca="false">SQRT((AD276^2*(A276-$D$3)+AC276^2*(DAY(EOMONTH(A276,0))/2))/AK276)</f>
        <v>#VALUE!</v>
      </c>
      <c r="AF276" s="206" t="e">
        <f aca="false">((Summary!$N$11*(AA276*AD276)*(A276-$D$3))+(Summary!$M$11*Z276*AC276*(AJ276-EOMONTH(EDATE(A276,-1),0))))/(AK276*AB276*AE276)</f>
        <v>#VALUE!</v>
      </c>
      <c r="AG276" s="207" t="str">
        <f aca="false">IF($A277="","",Summary!$Q$11)</f>
        <v/>
      </c>
      <c r="AH276" s="207" t="str">
        <f aca="false">IF($A277="","",IF(Summary!$R$11="Y",(VLOOKUP($A276,Summary!$AD$6:$AF$9,3)+'Escalating commodity'!G289),'Escalating commodity'!G289))</f>
        <v/>
      </c>
      <c r="AI276" s="207" t="str">
        <f aca="false">IF($A277="","",AH276)</f>
        <v/>
      </c>
      <c r="AJ276" s="208" t="e">
        <f aca="false">A276+DAY(EOMONTH(A276,0))/2-1</f>
        <v>#VALUE!</v>
      </c>
      <c r="AK276" s="209" t="str">
        <f aca="false">IF($A277="","",$A276-$E$1)</f>
        <v/>
      </c>
      <c r="AL276" s="182" t="str">
        <f aca="false">IF($A277="","",SPRDOPT(P276,X276,AI276,0,AB276,AE276,AF276,AK276,$AJ$2,0))</f>
        <v/>
      </c>
      <c r="AM276" s="210" t="str">
        <f aca="false">IF($A277="","",MAX(0,O276-W276-AI276))</f>
        <v/>
      </c>
      <c r="AN276" s="211" t="str">
        <f aca="false">IF($A277="","",AL276-AM276)</f>
        <v/>
      </c>
      <c r="AO276" s="137" t="str">
        <f aca="false">IF(A277="","",A277-A276)</f>
        <v/>
      </c>
      <c r="AP276" s="212" t="str">
        <f aca="false">IF(A277="","",CHOOSE(F$3,A277+24,A276))</f>
        <v/>
      </c>
      <c r="AQ276" s="209" t="str">
        <f aca="false">IF(A277="","",AP276-$E$1)</f>
        <v/>
      </c>
      <c r="AR276" s="185" t="n">
        <f aca="false">'ANR OK vs ML7'!AR276</f>
        <v>0.1</v>
      </c>
      <c r="AS276" s="213" t="str">
        <f aca="false">IF(A277="","",1/(1+CHOOSE(F$3,(AR277+($I$3/10000))/2,(AR276+($I$3/10000))/2))^(2*AQ276/365.25))</f>
        <v/>
      </c>
      <c r="AT276" s="137" t="str">
        <f aca="false">IF(A277="","",IF(AND(mthbeg&lt;=A276,mthend&gt;=A276),1,0))</f>
        <v/>
      </c>
      <c r="AU276" s="137" t="str">
        <f aca="false">IF(A277="","",AO276*AT276)</f>
        <v/>
      </c>
      <c r="AW276" s="195" t="str">
        <f aca="false">IF($A277="","",AL276*$E276)</f>
        <v/>
      </c>
      <c r="AX276" s="195" t="str">
        <f aca="false">IF($A277="","",AM276*$E276)</f>
        <v/>
      </c>
      <c r="AY276" s="195" t="str">
        <f aca="false">IF($A277="","",AN276*$E276)</f>
        <v/>
      </c>
      <c r="BA276" s="195" t="str">
        <f aca="false">IF($A277="","",F276*Summary!$Q$11)</f>
        <v/>
      </c>
    </row>
    <row r="277" customFormat="false" ht="12" hidden="false" customHeight="true" outlineLevel="0" collapsed="false">
      <c r="A277" s="196" t="str">
        <f aca="false">IF(A276&lt;mthend,EDATE(A276,1),"")</f>
        <v/>
      </c>
      <c r="B277" s="197" t="str">
        <f aca="false">IF(A277&lt;mthend,B276,"")</f>
        <v/>
      </c>
      <c r="C277" s="215"/>
      <c r="D277" s="197" t="str">
        <f aca="false">IF(A278&lt;&gt;"",B277+C277,"")</f>
        <v/>
      </c>
      <c r="E277" s="199" t="str">
        <f aca="false">IF(A278="","",IF(AND(AT277=1,$H$3=1),D277*AO277,IF($H$3=2,D277,"N/A")))</f>
        <v/>
      </c>
      <c r="F277" s="199" t="str">
        <f aca="false">IF(A278="","",E277*AS277)</f>
        <v/>
      </c>
      <c r="G277" s="200" t="str">
        <f aca="false">IF($A278="","",VLOOKUP($A277,Table,MATCH(G$4,Curves,0)))</f>
        <v/>
      </c>
      <c r="H277" s="201" t="str">
        <f aca="false">IF(A278="","",G277)</f>
        <v/>
      </c>
      <c r="I277" s="202"/>
      <c r="J277" s="200" t="str">
        <f aca="false">IF($A278="","",VLOOKUP($A277,Table,MATCH(J$4,Curves,0)))</f>
        <v/>
      </c>
      <c r="K277" s="201" t="str">
        <f aca="false">IF(A278="","",J277)</f>
        <v/>
      </c>
      <c r="L277" s="200" t="str">
        <f aca="false">IF($A278="","",VLOOKUP($A277,Table,MATCH(L$4,Curves,0)))</f>
        <v/>
      </c>
      <c r="M277" s="201" t="str">
        <f aca="false">IF(A278="","",L277)</f>
        <v/>
      </c>
      <c r="N277" s="203"/>
      <c r="O277" s="200" t="str">
        <f aca="false">IF(A278="","",L277+J277+G277)</f>
        <v/>
      </c>
      <c r="P277" s="200" t="str">
        <f aca="false">IF(A278="","",M277+K277+H277)</f>
        <v/>
      </c>
      <c r="Q277" s="204"/>
      <c r="R277" s="200" t="str">
        <f aca="false">IF($A278="","",VLOOKUP($A277,Table,MATCH(R$4,Curves,0)))</f>
        <v/>
      </c>
      <c r="S277" s="201" t="str">
        <f aca="false">IF(A278="","",R277)</f>
        <v/>
      </c>
      <c r="T277" s="185" t="n">
        <v>0</v>
      </c>
      <c r="U277" s="201" t="str">
        <f aca="false">IF(A278="","",T277)</f>
        <v/>
      </c>
      <c r="V277" s="205" t="str">
        <f aca="false">IF($A278="","",IF(AND(MONTH(A277)&gt;3,MONTH(A277)&lt;11),(T277+R277+G277)*Summary!$T$11/(1-Summary!$T$11),(T277+R277+G277)*Summary!$U$11/(1-Summary!$U$11)))</f>
        <v/>
      </c>
      <c r="W277" s="202" t="str">
        <f aca="false">IF($A278="","",(T277+R277+G277+V277))</f>
        <v/>
      </c>
      <c r="X277" s="202" t="str">
        <f aca="false">IF($A278="","",(U277+S277+H277+V277))</f>
        <v/>
      </c>
      <c r="Y277" s="202"/>
      <c r="Z277" s="185" t="str">
        <f aca="false">IF($A278="","",VLOOKUP($A277,Table,MATCH(Z$4,Curves,0)))</f>
        <v/>
      </c>
      <c r="AA277" s="185" t="str">
        <f aca="false">IF($A278="","",VLOOKUP($A277,Table,MATCH(AA$4,Curves,0)))</f>
        <v/>
      </c>
      <c r="AB277" s="185" t="e">
        <f aca="false">SQRT((AA277^2*(A277-$D$3)+Z277^2*(DAY(EOMONTH(A277,0))/2))/AK277)</f>
        <v>#VALUE!</v>
      </c>
      <c r="AC277" s="185" t="str">
        <f aca="false">IF($A278="","",VLOOKUP($A277,Table,MATCH(AC$4,Curves,0)))</f>
        <v/>
      </c>
      <c r="AD277" s="185" t="str">
        <f aca="false">IF($A278="","",VLOOKUP($A277,Table,MATCH(AD$4,Curves,0)))</f>
        <v/>
      </c>
      <c r="AE277" s="185" t="e">
        <f aca="false">SQRT((AD277^2*(A277-$D$3)+AC277^2*(DAY(EOMONTH(A277,0))/2))/AK277)</f>
        <v>#VALUE!</v>
      </c>
      <c r="AF277" s="206" t="e">
        <f aca="false">((Summary!$N$11*(AA277*AD277)*(A277-$D$3))+(Summary!$M$11*Z277*AC277*(AJ277-EOMONTH(EDATE(A277,-1),0))))/(AK277*AB277*AE277)</f>
        <v>#VALUE!</v>
      </c>
      <c r="AG277" s="207" t="str">
        <f aca="false">IF($A278="","",Summary!$Q$11)</f>
        <v/>
      </c>
      <c r="AH277" s="207" t="str">
        <f aca="false">IF($A278="","",IF(Summary!$R$11="Y",(VLOOKUP($A277,Summary!$AD$6:$AF$9,3)+'Escalating commodity'!G290),'Escalating commodity'!G290))</f>
        <v/>
      </c>
      <c r="AI277" s="207" t="str">
        <f aca="false">IF($A278="","",AH277)</f>
        <v/>
      </c>
      <c r="AJ277" s="208" t="e">
        <f aca="false">A277+DAY(EOMONTH(A277,0))/2-1</f>
        <v>#VALUE!</v>
      </c>
      <c r="AK277" s="209" t="str">
        <f aca="false">IF($A278="","",$A277-$E$1)</f>
        <v/>
      </c>
      <c r="AL277" s="182" t="str">
        <f aca="false">IF($A278="","",SPRDOPT(P277,X277,AI277,0,AB277,AE277,AF277,AK277,$AJ$2,0))</f>
        <v/>
      </c>
      <c r="AM277" s="210" t="str">
        <f aca="false">IF($A278="","",MAX(0,O277-W277-AI277))</f>
        <v/>
      </c>
      <c r="AN277" s="211" t="str">
        <f aca="false">IF($A278="","",AL277-AM277)</f>
        <v/>
      </c>
      <c r="AO277" s="137" t="str">
        <f aca="false">IF(A278="","",A278-A277)</f>
        <v/>
      </c>
      <c r="AP277" s="212" t="str">
        <f aca="false">IF(A278="","",CHOOSE(F$3,A278+24,A277))</f>
        <v/>
      </c>
      <c r="AQ277" s="209" t="str">
        <f aca="false">IF(A278="","",AP277-$E$1)</f>
        <v/>
      </c>
      <c r="AR277" s="185" t="n">
        <f aca="false">'ANR OK vs ML7'!AR277</f>
        <v>0.1</v>
      </c>
      <c r="AS277" s="213" t="str">
        <f aca="false">IF(A278="","",1/(1+CHOOSE(F$3,(AR278+($I$3/10000))/2,(AR277+($I$3/10000))/2))^(2*AQ277/365.25))</f>
        <v/>
      </c>
      <c r="AT277" s="137" t="str">
        <f aca="false">IF(A278="","",IF(AND(mthbeg&lt;=A277,mthend&gt;=A277),1,0))</f>
        <v/>
      </c>
      <c r="AU277" s="137" t="str">
        <f aca="false">IF(A278="","",AO277*AT277)</f>
        <v/>
      </c>
      <c r="AW277" s="195" t="str">
        <f aca="false">IF($A278="","",AL277*$E277)</f>
        <v/>
      </c>
      <c r="AX277" s="195" t="str">
        <f aca="false">IF($A278="","",AM277*$E277)</f>
        <v/>
      </c>
      <c r="AY277" s="195" t="str">
        <f aca="false">IF($A278="","",AN277*$E277)</f>
        <v/>
      </c>
      <c r="BA277" s="195" t="str">
        <f aca="false">IF($A278="","",F277*Summary!$Q$11)</f>
        <v/>
      </c>
    </row>
    <row r="278" customFormat="false" ht="12" hidden="false" customHeight="true" outlineLevel="0" collapsed="false">
      <c r="A278" s="196" t="str">
        <f aca="false">IF(A277&lt;mthend,EDATE(A277,1),"")</f>
        <v/>
      </c>
      <c r="B278" s="197" t="str">
        <f aca="false">IF(A278&lt;mthend,B277,"")</f>
        <v/>
      </c>
      <c r="C278" s="215"/>
      <c r="D278" s="197" t="str">
        <f aca="false">IF(A279&lt;&gt;"",B278+C278,"")</f>
        <v/>
      </c>
      <c r="E278" s="199" t="str">
        <f aca="false">IF(A279="","",IF(AND(AT278=1,$H$3=1),D278*AO278,IF($H$3=2,D278,"N/A")))</f>
        <v/>
      </c>
      <c r="F278" s="199" t="str">
        <f aca="false">IF(A279="","",E278*AS278)</f>
        <v/>
      </c>
      <c r="G278" s="200" t="str">
        <f aca="false">IF($A279="","",VLOOKUP($A278,Table,MATCH(G$4,Curves,0)))</f>
        <v/>
      </c>
      <c r="H278" s="201" t="str">
        <f aca="false">IF(A279="","",G278)</f>
        <v/>
      </c>
      <c r="I278" s="202"/>
      <c r="J278" s="200" t="str">
        <f aca="false">IF($A279="","",VLOOKUP($A278,Table,MATCH(J$4,Curves,0)))</f>
        <v/>
      </c>
      <c r="K278" s="201" t="str">
        <f aca="false">IF(A279="","",J278)</f>
        <v/>
      </c>
      <c r="L278" s="200" t="str">
        <f aca="false">IF($A279="","",VLOOKUP($A278,Table,MATCH(L$4,Curves,0)))</f>
        <v/>
      </c>
      <c r="M278" s="201" t="str">
        <f aca="false">IF(A279="","",L278)</f>
        <v/>
      </c>
      <c r="N278" s="203"/>
      <c r="O278" s="200" t="str">
        <f aca="false">IF(A279="","",L278+J278+G278)</f>
        <v/>
      </c>
      <c r="P278" s="200" t="str">
        <f aca="false">IF(A279="","",M278+K278+H278)</f>
        <v/>
      </c>
      <c r="Q278" s="204"/>
      <c r="R278" s="200" t="str">
        <f aca="false">IF($A279="","",VLOOKUP($A278,Table,MATCH(R$4,Curves,0)))</f>
        <v/>
      </c>
      <c r="S278" s="201" t="str">
        <f aca="false">IF(A279="","",R278)</f>
        <v/>
      </c>
      <c r="T278" s="185" t="n">
        <v>0</v>
      </c>
      <c r="U278" s="201" t="str">
        <f aca="false">IF(A279="","",T278)</f>
        <v/>
      </c>
      <c r="V278" s="205" t="str">
        <f aca="false">IF($A279="","",IF(AND(MONTH(A278)&gt;3,MONTH(A278)&lt;11),(T278+R278+G278)*Summary!$T$11/(1-Summary!$T$11),(T278+R278+G278)*Summary!$U$11/(1-Summary!$U$11)))</f>
        <v/>
      </c>
      <c r="W278" s="202" t="str">
        <f aca="false">IF($A279="","",(T278+R278+G278+V278))</f>
        <v/>
      </c>
      <c r="X278" s="202" t="str">
        <f aca="false">IF($A279="","",(U278+S278+H278+V278))</f>
        <v/>
      </c>
      <c r="Y278" s="202"/>
      <c r="Z278" s="185" t="str">
        <f aca="false">IF($A279="","",VLOOKUP($A278,Table,MATCH(Z$4,Curves,0)))</f>
        <v/>
      </c>
      <c r="AA278" s="185" t="str">
        <f aca="false">IF($A279="","",VLOOKUP($A278,Table,MATCH(AA$4,Curves,0)))</f>
        <v/>
      </c>
      <c r="AB278" s="185" t="e">
        <f aca="false">SQRT((AA278^2*(A278-$D$3)+Z278^2*(DAY(EOMONTH(A278,0))/2))/AK278)</f>
        <v>#VALUE!</v>
      </c>
      <c r="AC278" s="185" t="str">
        <f aca="false">IF($A279="","",VLOOKUP($A278,Table,MATCH(AC$4,Curves,0)))</f>
        <v/>
      </c>
      <c r="AD278" s="185" t="str">
        <f aca="false">IF($A279="","",VLOOKUP($A278,Table,MATCH(AD$4,Curves,0)))</f>
        <v/>
      </c>
      <c r="AE278" s="185" t="e">
        <f aca="false">SQRT((AD278^2*(A278-$D$3)+AC278^2*(DAY(EOMONTH(A278,0))/2))/AK278)</f>
        <v>#VALUE!</v>
      </c>
      <c r="AF278" s="206" t="e">
        <f aca="false">((Summary!$N$11*(AA278*AD278)*(A278-$D$3))+(Summary!$M$11*Z278*AC278*(AJ278-EOMONTH(EDATE(A278,-1),0))))/(AK278*AB278*AE278)</f>
        <v>#VALUE!</v>
      </c>
      <c r="AG278" s="207" t="str">
        <f aca="false">IF($A279="","",Summary!$Q$11)</f>
        <v/>
      </c>
      <c r="AH278" s="207" t="str">
        <f aca="false">IF($A279="","",IF(Summary!$R$11="Y",(VLOOKUP($A278,Summary!$AD$6:$AF$9,3)+'Escalating commodity'!G291),'Escalating commodity'!G291))</f>
        <v/>
      </c>
      <c r="AI278" s="207" t="str">
        <f aca="false">IF($A279="","",AH278)</f>
        <v/>
      </c>
      <c r="AJ278" s="208" t="e">
        <f aca="false">A278+DAY(EOMONTH(A278,0))/2-1</f>
        <v>#VALUE!</v>
      </c>
      <c r="AK278" s="209" t="str">
        <f aca="false">IF($A279="","",$A278-$E$1)</f>
        <v/>
      </c>
      <c r="AL278" s="182" t="str">
        <f aca="false">IF($A279="","",SPRDOPT(P278,X278,AI278,0,AB278,AE278,AF278,AK278,$AJ$2,0))</f>
        <v/>
      </c>
      <c r="AM278" s="210" t="str">
        <f aca="false">IF($A279="","",MAX(0,O278-W278-AI278))</f>
        <v/>
      </c>
      <c r="AN278" s="211" t="str">
        <f aca="false">IF($A279="","",AL278-AM278)</f>
        <v/>
      </c>
      <c r="AO278" s="137" t="str">
        <f aca="false">IF(A279="","",A279-A278)</f>
        <v/>
      </c>
      <c r="AP278" s="212" t="str">
        <f aca="false">IF(A279="","",CHOOSE(F$3,A279+24,A278))</f>
        <v/>
      </c>
      <c r="AQ278" s="209" t="str">
        <f aca="false">IF(A279="","",AP278-$E$1)</f>
        <v/>
      </c>
      <c r="AR278" s="185" t="n">
        <f aca="false">'ANR OK vs ML7'!AR278</f>
        <v>0.1</v>
      </c>
      <c r="AS278" s="213" t="str">
        <f aca="false">IF(A279="","",1/(1+CHOOSE(F$3,(AR279+($I$3/10000))/2,(AR278+($I$3/10000))/2))^(2*AQ278/365.25))</f>
        <v/>
      </c>
      <c r="AT278" s="137" t="str">
        <f aca="false">IF(A279="","",IF(AND(mthbeg&lt;=A278,mthend&gt;=A278),1,0))</f>
        <v/>
      </c>
      <c r="AU278" s="137" t="str">
        <f aca="false">IF(A279="","",AO278*AT278)</f>
        <v/>
      </c>
      <c r="AW278" s="195" t="str">
        <f aca="false">IF($A279="","",AL278*$E278)</f>
        <v/>
      </c>
      <c r="AX278" s="195" t="str">
        <f aca="false">IF($A279="","",AM278*$E278)</f>
        <v/>
      </c>
      <c r="AY278" s="195" t="str">
        <f aca="false">IF($A279="","",AN278*$E278)</f>
        <v/>
      </c>
      <c r="BA278" s="195" t="str">
        <f aca="false">IF($A279="","",F278*Summary!$Q$11)</f>
        <v/>
      </c>
    </row>
    <row r="279" customFormat="false" ht="12" hidden="false" customHeight="true" outlineLevel="0" collapsed="false">
      <c r="A279" s="196" t="str">
        <f aca="false">IF(A278&lt;mthend,EDATE(A278,1),"")</f>
        <v/>
      </c>
      <c r="B279" s="197" t="str">
        <f aca="false">IF(A279&lt;mthend,B278,"")</f>
        <v/>
      </c>
      <c r="C279" s="215"/>
      <c r="D279" s="197" t="str">
        <f aca="false">IF(A280&lt;&gt;"",B279+C279,"")</f>
        <v/>
      </c>
      <c r="E279" s="199" t="str">
        <f aca="false">IF(A280="","",IF(AND(AT279=1,$H$3=1),D279*AO279,IF($H$3=2,D279,"N/A")))</f>
        <v/>
      </c>
      <c r="F279" s="199" t="str">
        <f aca="false">IF(A280="","",E279*AS279)</f>
        <v/>
      </c>
      <c r="G279" s="200" t="str">
        <f aca="false">IF($A280="","",VLOOKUP($A279,Table,MATCH(G$4,Curves,0)))</f>
        <v/>
      </c>
      <c r="H279" s="201" t="str">
        <f aca="false">IF(A280="","",G279)</f>
        <v/>
      </c>
      <c r="I279" s="202"/>
      <c r="J279" s="200" t="str">
        <f aca="false">IF($A280="","",VLOOKUP($A279,Table,MATCH(J$4,Curves,0)))</f>
        <v/>
      </c>
      <c r="K279" s="201" t="str">
        <f aca="false">IF(A280="","",J279)</f>
        <v/>
      </c>
      <c r="L279" s="200" t="str">
        <f aca="false">IF($A280="","",VLOOKUP($A279,Table,MATCH(L$4,Curves,0)))</f>
        <v/>
      </c>
      <c r="M279" s="201" t="str">
        <f aca="false">IF(A280="","",L279)</f>
        <v/>
      </c>
      <c r="N279" s="203"/>
      <c r="O279" s="200" t="str">
        <f aca="false">IF(A280="","",L279+J279+G279)</f>
        <v/>
      </c>
      <c r="P279" s="200" t="str">
        <f aca="false">IF(A280="","",M279+K279+H279)</f>
        <v/>
      </c>
      <c r="Q279" s="204"/>
      <c r="R279" s="200" t="str">
        <f aca="false">IF($A280="","",VLOOKUP($A279,Table,MATCH(R$4,Curves,0)))</f>
        <v/>
      </c>
      <c r="S279" s="201" t="str">
        <f aca="false">IF(A280="","",R279)</f>
        <v/>
      </c>
      <c r="T279" s="185" t="n">
        <v>0</v>
      </c>
      <c r="U279" s="201" t="str">
        <f aca="false">IF(A280="","",T279)</f>
        <v/>
      </c>
      <c r="V279" s="205" t="str">
        <f aca="false">IF($A280="","",IF(AND(MONTH(A279)&gt;3,MONTH(A279)&lt;11),(T279+R279+G279)*Summary!$T$11/(1-Summary!$T$11),(T279+R279+G279)*Summary!$U$11/(1-Summary!$U$11)))</f>
        <v/>
      </c>
      <c r="W279" s="202" t="str">
        <f aca="false">IF($A280="","",(T279+R279+G279+V279))</f>
        <v/>
      </c>
      <c r="X279" s="202" t="str">
        <f aca="false">IF($A280="","",(U279+S279+H279+V279))</f>
        <v/>
      </c>
      <c r="Y279" s="202"/>
      <c r="Z279" s="185" t="str">
        <f aca="false">IF($A280="","",VLOOKUP($A279,Table,MATCH(Z$4,Curves,0)))</f>
        <v/>
      </c>
      <c r="AA279" s="185" t="str">
        <f aca="false">IF($A280="","",VLOOKUP($A279,Table,MATCH(AA$4,Curves,0)))</f>
        <v/>
      </c>
      <c r="AB279" s="185" t="e">
        <f aca="false">SQRT((AA279^2*(A279-$D$3)+Z279^2*(DAY(EOMONTH(A279,0))/2))/AK279)</f>
        <v>#VALUE!</v>
      </c>
      <c r="AC279" s="185" t="str">
        <f aca="false">IF($A280="","",VLOOKUP($A279,Table,MATCH(AC$4,Curves,0)))</f>
        <v/>
      </c>
      <c r="AD279" s="185" t="str">
        <f aca="false">IF($A280="","",VLOOKUP($A279,Table,MATCH(AD$4,Curves,0)))</f>
        <v/>
      </c>
      <c r="AE279" s="185" t="e">
        <f aca="false">SQRT((AD279^2*(A279-$D$3)+AC279^2*(DAY(EOMONTH(A279,0))/2))/AK279)</f>
        <v>#VALUE!</v>
      </c>
      <c r="AF279" s="206" t="e">
        <f aca="false">((Summary!$N$11*(AA279*AD279)*(A279-$D$3))+(Summary!$M$11*Z279*AC279*(AJ279-EOMONTH(EDATE(A279,-1),0))))/(AK279*AB279*AE279)</f>
        <v>#VALUE!</v>
      </c>
      <c r="AG279" s="207" t="str">
        <f aca="false">IF($A280="","",Summary!$Q$11)</f>
        <v/>
      </c>
      <c r="AH279" s="207" t="str">
        <f aca="false">IF($A280="","",IF(Summary!$R$11="Y",(VLOOKUP($A279,Summary!$AD$6:$AF$9,3)+'Escalating commodity'!G292),'Escalating commodity'!G292))</f>
        <v/>
      </c>
      <c r="AI279" s="207" t="str">
        <f aca="false">IF($A280="","",AH279)</f>
        <v/>
      </c>
      <c r="AJ279" s="208" t="e">
        <f aca="false">A279+DAY(EOMONTH(A279,0))/2-1</f>
        <v>#VALUE!</v>
      </c>
      <c r="AK279" s="209" t="str">
        <f aca="false">IF($A280="","",$A279-$E$1)</f>
        <v/>
      </c>
      <c r="AL279" s="182" t="str">
        <f aca="false">IF($A280="","",SPRDOPT(P279,X279,AI279,0,AB279,AE279,AF279,AK279,$AJ$2,0))</f>
        <v/>
      </c>
      <c r="AM279" s="210" t="str">
        <f aca="false">IF($A280="","",MAX(0,O279-W279-AI279))</f>
        <v/>
      </c>
      <c r="AN279" s="211" t="str">
        <f aca="false">IF($A280="","",AL279-AM279)</f>
        <v/>
      </c>
      <c r="AO279" s="137" t="str">
        <f aca="false">IF(A280="","",A280-A279)</f>
        <v/>
      </c>
      <c r="AP279" s="212" t="str">
        <f aca="false">IF(A280="","",CHOOSE(F$3,A280+24,A279))</f>
        <v/>
      </c>
      <c r="AQ279" s="209" t="str">
        <f aca="false">IF(A280="","",AP279-$E$1)</f>
        <v/>
      </c>
      <c r="AR279" s="185" t="n">
        <f aca="false">'ANR OK vs ML7'!AR279</f>
        <v>0.1</v>
      </c>
      <c r="AS279" s="213" t="str">
        <f aca="false">IF(A280="","",1/(1+CHOOSE(F$3,(AR280+($I$3/10000))/2,(AR279+($I$3/10000))/2))^(2*AQ279/365.25))</f>
        <v/>
      </c>
      <c r="AT279" s="137" t="str">
        <f aca="false">IF(A280="","",IF(AND(mthbeg&lt;=A279,mthend&gt;=A279),1,0))</f>
        <v/>
      </c>
      <c r="AU279" s="137" t="str">
        <f aca="false">IF(A280="","",AO279*AT279)</f>
        <v/>
      </c>
      <c r="AW279" s="195" t="str">
        <f aca="false">IF($A280="","",AL279*$E279)</f>
        <v/>
      </c>
      <c r="AX279" s="195" t="str">
        <f aca="false">IF($A280="","",AM279*$E279)</f>
        <v/>
      </c>
      <c r="AY279" s="195" t="str">
        <f aca="false">IF($A280="","",AN279*$E279)</f>
        <v/>
      </c>
      <c r="BA279" s="195" t="str">
        <f aca="false">IF($A280="","",F279*Summary!$Q$11)</f>
        <v/>
      </c>
    </row>
    <row r="280" customFormat="false" ht="12" hidden="false" customHeight="true" outlineLevel="0" collapsed="false">
      <c r="A280" s="196" t="str">
        <f aca="false">IF(A279&lt;mthend,EDATE(A279,1),"")</f>
        <v/>
      </c>
      <c r="B280" s="197" t="str">
        <f aca="false">IF(A280&lt;mthend,B279,"")</f>
        <v/>
      </c>
      <c r="C280" s="215"/>
      <c r="D280" s="197" t="str">
        <f aca="false">IF(A281&lt;&gt;"",B280+C280,"")</f>
        <v/>
      </c>
      <c r="E280" s="199" t="str">
        <f aca="false">IF(A281="","",IF(AND(AT280=1,$H$3=1),D280*AO280,IF($H$3=2,D280,"N/A")))</f>
        <v/>
      </c>
      <c r="F280" s="199" t="str">
        <f aca="false">IF(A281="","",E280*AS280)</f>
        <v/>
      </c>
      <c r="G280" s="200" t="str">
        <f aca="false">IF($A281="","",VLOOKUP($A280,Table,MATCH(G$4,Curves,0)))</f>
        <v/>
      </c>
      <c r="H280" s="201" t="str">
        <f aca="false">IF(A281="","",G280)</f>
        <v/>
      </c>
      <c r="I280" s="202"/>
      <c r="J280" s="200" t="str">
        <f aca="false">IF($A281="","",VLOOKUP($A280,Table,MATCH(J$4,Curves,0)))</f>
        <v/>
      </c>
      <c r="K280" s="201" t="str">
        <f aca="false">IF(A281="","",J280)</f>
        <v/>
      </c>
      <c r="L280" s="200" t="str">
        <f aca="false">IF($A281="","",VLOOKUP($A280,Table,MATCH(L$4,Curves,0)))</f>
        <v/>
      </c>
      <c r="M280" s="201" t="str">
        <f aca="false">IF(A281="","",L280)</f>
        <v/>
      </c>
      <c r="N280" s="203"/>
      <c r="O280" s="200" t="str">
        <f aca="false">IF(A281="","",L280+J280+G280)</f>
        <v/>
      </c>
      <c r="P280" s="200" t="str">
        <f aca="false">IF(A281="","",M280+K280+H280)</f>
        <v/>
      </c>
      <c r="Q280" s="204"/>
      <c r="R280" s="200" t="str">
        <f aca="false">IF($A281="","",VLOOKUP($A280,Table,MATCH(R$4,Curves,0)))</f>
        <v/>
      </c>
      <c r="S280" s="201" t="str">
        <f aca="false">IF(A281="","",R280)</f>
        <v/>
      </c>
      <c r="T280" s="185" t="n">
        <v>0</v>
      </c>
      <c r="U280" s="201" t="str">
        <f aca="false">IF(A281="","",T280)</f>
        <v/>
      </c>
      <c r="V280" s="205" t="str">
        <f aca="false">IF($A281="","",IF(AND(MONTH(A280)&gt;3,MONTH(A280)&lt;11),(T280+R280+G280)*Summary!$T$11/(1-Summary!$T$11),(T280+R280+G280)*Summary!$U$11/(1-Summary!$U$11)))</f>
        <v/>
      </c>
      <c r="W280" s="202" t="str">
        <f aca="false">IF($A281="","",(T280+R280+G280+V280))</f>
        <v/>
      </c>
      <c r="X280" s="202" t="str">
        <f aca="false">IF($A281="","",(U280+S280+H280+V280))</f>
        <v/>
      </c>
      <c r="Y280" s="202"/>
      <c r="Z280" s="185" t="str">
        <f aca="false">IF($A281="","",VLOOKUP($A280,Table,MATCH(Z$4,Curves,0)))</f>
        <v/>
      </c>
      <c r="AA280" s="185" t="str">
        <f aca="false">IF($A281="","",VLOOKUP($A280,Table,MATCH(AA$4,Curves,0)))</f>
        <v/>
      </c>
      <c r="AB280" s="185" t="e">
        <f aca="false">SQRT((AA280^2*(A280-$D$3)+Z280^2*(DAY(EOMONTH(A280,0))/2))/AK280)</f>
        <v>#VALUE!</v>
      </c>
      <c r="AC280" s="185" t="str">
        <f aca="false">IF($A281="","",VLOOKUP($A280,Table,MATCH(AC$4,Curves,0)))</f>
        <v/>
      </c>
      <c r="AD280" s="185" t="str">
        <f aca="false">IF($A281="","",VLOOKUP($A280,Table,MATCH(AD$4,Curves,0)))</f>
        <v/>
      </c>
      <c r="AE280" s="185" t="e">
        <f aca="false">SQRT((AD280^2*(A280-$D$3)+AC280^2*(DAY(EOMONTH(A280,0))/2))/AK280)</f>
        <v>#VALUE!</v>
      </c>
      <c r="AF280" s="206" t="e">
        <f aca="false">((Summary!$N$11*(AA280*AD280)*(A280-$D$3))+(Summary!$M$11*Z280*AC280*(AJ280-EOMONTH(EDATE(A280,-1),0))))/(AK280*AB280*AE280)</f>
        <v>#VALUE!</v>
      </c>
      <c r="AG280" s="207" t="str">
        <f aca="false">IF($A281="","",Summary!$Q$11)</f>
        <v/>
      </c>
      <c r="AH280" s="207" t="str">
        <f aca="false">IF($A281="","",IF(Summary!$R$11="Y",(VLOOKUP($A280,Summary!$AD$6:$AF$9,3)+'Escalating commodity'!G293),'Escalating commodity'!G293))</f>
        <v/>
      </c>
      <c r="AI280" s="207" t="str">
        <f aca="false">IF($A281="","",AH280)</f>
        <v/>
      </c>
      <c r="AJ280" s="208" t="e">
        <f aca="false">A280+DAY(EOMONTH(A280,0))/2-1</f>
        <v>#VALUE!</v>
      </c>
      <c r="AK280" s="209" t="str">
        <f aca="false">IF($A281="","",$A280-$E$1)</f>
        <v/>
      </c>
      <c r="AL280" s="182" t="str">
        <f aca="false">IF($A281="","",SPRDOPT(P280,X280,AI280,0,AB280,AE280,AF280,AK280,$AJ$2,0))</f>
        <v/>
      </c>
      <c r="AM280" s="210" t="str">
        <f aca="false">IF($A281="","",MAX(0,O280-W280-AI280))</f>
        <v/>
      </c>
      <c r="AN280" s="211" t="str">
        <f aca="false">IF($A281="","",AL280-AM280)</f>
        <v/>
      </c>
      <c r="AO280" s="137" t="str">
        <f aca="false">IF(A281="","",A281-A280)</f>
        <v/>
      </c>
      <c r="AP280" s="212" t="str">
        <f aca="false">IF(A281="","",CHOOSE(F$3,A281+24,A280))</f>
        <v/>
      </c>
      <c r="AQ280" s="209" t="str">
        <f aca="false">IF(A281="","",AP280-$E$1)</f>
        <v/>
      </c>
      <c r="AR280" s="185" t="n">
        <f aca="false">'ANR OK vs ML7'!AR280</f>
        <v>0.1</v>
      </c>
      <c r="AS280" s="213" t="str">
        <f aca="false">IF(A281="","",1/(1+CHOOSE(F$3,(AR281+($I$3/10000))/2,(AR280+($I$3/10000))/2))^(2*AQ280/365.25))</f>
        <v/>
      </c>
      <c r="AT280" s="137" t="str">
        <f aca="false">IF(A281="","",IF(AND(mthbeg&lt;=A280,mthend&gt;=A280),1,0))</f>
        <v/>
      </c>
      <c r="AU280" s="137" t="str">
        <f aca="false">IF(A281="","",AO280*AT280)</f>
        <v/>
      </c>
      <c r="AW280" s="195" t="str">
        <f aca="false">IF($A281="","",AL280*$E280)</f>
        <v/>
      </c>
      <c r="AX280" s="195" t="str">
        <f aca="false">IF($A281="","",AM280*$E280)</f>
        <v/>
      </c>
      <c r="AY280" s="195" t="str">
        <f aca="false">IF($A281="","",AN280*$E280)</f>
        <v/>
      </c>
      <c r="BA280" s="195" t="str">
        <f aca="false">IF($A281="","",F280*Summary!$Q$11)</f>
        <v/>
      </c>
    </row>
    <row r="281" customFormat="false" ht="12" hidden="false" customHeight="true" outlineLevel="0" collapsed="false">
      <c r="A281" s="196" t="str">
        <f aca="false">IF(A280&lt;mthend,EDATE(A280,1),"")</f>
        <v/>
      </c>
      <c r="B281" s="197" t="str">
        <f aca="false">IF(A281&lt;mthend,B280,"")</f>
        <v/>
      </c>
      <c r="C281" s="215"/>
      <c r="D281" s="197" t="str">
        <f aca="false">IF(A282&lt;&gt;"",B281+C281,"")</f>
        <v/>
      </c>
      <c r="E281" s="199" t="str">
        <f aca="false">IF(A282="","",IF(AND(AT281=1,$H$3=1),D281*AO281,IF($H$3=2,D281,"N/A")))</f>
        <v/>
      </c>
      <c r="F281" s="199" t="str">
        <f aca="false">IF(A282="","",E281*AS281)</f>
        <v/>
      </c>
      <c r="G281" s="200" t="str">
        <f aca="false">IF($A282="","",VLOOKUP($A281,Table,MATCH(G$4,Curves,0)))</f>
        <v/>
      </c>
      <c r="H281" s="201" t="str">
        <f aca="false">IF(A282="","",G281)</f>
        <v/>
      </c>
      <c r="I281" s="202"/>
      <c r="J281" s="200" t="str">
        <f aca="false">IF($A282="","",VLOOKUP($A281,Table,MATCH(J$4,Curves,0)))</f>
        <v/>
      </c>
      <c r="K281" s="201" t="str">
        <f aca="false">IF(A282="","",J281)</f>
        <v/>
      </c>
      <c r="L281" s="200" t="str">
        <f aca="false">IF($A282="","",VLOOKUP($A281,Table,MATCH(L$4,Curves,0)))</f>
        <v/>
      </c>
      <c r="M281" s="201" t="str">
        <f aca="false">IF(A282="","",L281)</f>
        <v/>
      </c>
      <c r="N281" s="203"/>
      <c r="O281" s="200" t="str">
        <f aca="false">IF(A282="","",L281+J281+G281)</f>
        <v/>
      </c>
      <c r="P281" s="200" t="str">
        <f aca="false">IF(A282="","",M281+K281+H281)</f>
        <v/>
      </c>
      <c r="Q281" s="204"/>
      <c r="R281" s="200" t="str">
        <f aca="false">IF($A282="","",VLOOKUP($A281,Table,MATCH(R$4,Curves,0)))</f>
        <v/>
      </c>
      <c r="S281" s="201" t="str">
        <f aca="false">IF(A282="","",R281)</f>
        <v/>
      </c>
      <c r="T281" s="185" t="n">
        <v>0</v>
      </c>
      <c r="U281" s="201" t="str">
        <f aca="false">IF(A282="","",T281)</f>
        <v/>
      </c>
      <c r="V281" s="205" t="str">
        <f aca="false">IF($A282="","",IF(AND(MONTH(A281)&gt;3,MONTH(A281)&lt;11),(T281+R281+G281)*Summary!$T$11/(1-Summary!$T$11),(T281+R281+G281)*Summary!$U$11/(1-Summary!$U$11)))</f>
        <v/>
      </c>
      <c r="W281" s="202" t="str">
        <f aca="false">IF($A282="","",(T281+R281+G281+V281))</f>
        <v/>
      </c>
      <c r="X281" s="202" t="str">
        <f aca="false">IF($A282="","",(U281+S281+H281+V281))</f>
        <v/>
      </c>
      <c r="Y281" s="202"/>
      <c r="Z281" s="185" t="str">
        <f aca="false">IF($A282="","",VLOOKUP($A281,Table,MATCH(Z$4,Curves,0)))</f>
        <v/>
      </c>
      <c r="AA281" s="185" t="str">
        <f aca="false">IF($A282="","",VLOOKUP($A281,Table,MATCH(AA$4,Curves,0)))</f>
        <v/>
      </c>
      <c r="AB281" s="185" t="e">
        <f aca="false">SQRT((AA281^2*(A281-$D$3)+Z281^2*(DAY(EOMONTH(A281,0))/2))/AK281)</f>
        <v>#VALUE!</v>
      </c>
      <c r="AC281" s="185" t="str">
        <f aca="false">IF($A282="","",VLOOKUP($A281,Table,MATCH(AC$4,Curves,0)))</f>
        <v/>
      </c>
      <c r="AD281" s="185" t="str">
        <f aca="false">IF($A282="","",VLOOKUP($A281,Table,MATCH(AD$4,Curves,0)))</f>
        <v/>
      </c>
      <c r="AE281" s="185" t="e">
        <f aca="false">SQRT((AD281^2*(A281-$D$3)+AC281^2*(DAY(EOMONTH(A281,0))/2))/AK281)</f>
        <v>#VALUE!</v>
      </c>
      <c r="AF281" s="206" t="e">
        <f aca="false">((Summary!$N$11*(AA281*AD281)*(A281-$D$3))+(Summary!$M$11*Z281*AC281*(AJ281-EOMONTH(EDATE(A281,-1),0))))/(AK281*AB281*AE281)</f>
        <v>#VALUE!</v>
      </c>
      <c r="AG281" s="207" t="str">
        <f aca="false">IF($A282="","",Summary!$Q$11)</f>
        <v/>
      </c>
      <c r="AH281" s="207" t="str">
        <f aca="false">IF($A282="","",IF(Summary!$R$11="Y",(VLOOKUP($A281,Summary!$AD$6:$AF$9,3)+'Escalating commodity'!G294),'Escalating commodity'!G294))</f>
        <v/>
      </c>
      <c r="AI281" s="207" t="str">
        <f aca="false">IF($A282="","",AH281)</f>
        <v/>
      </c>
      <c r="AJ281" s="208" t="e">
        <f aca="false">A281+DAY(EOMONTH(A281,0))/2-1</f>
        <v>#VALUE!</v>
      </c>
      <c r="AK281" s="209" t="str">
        <f aca="false">IF($A282="","",$A281-$E$1)</f>
        <v/>
      </c>
      <c r="AL281" s="182" t="str">
        <f aca="false">IF($A282="","",SPRDOPT(P281,X281,AI281,0,AB281,AE281,AF281,AK281,$AJ$2,0))</f>
        <v/>
      </c>
      <c r="AM281" s="210" t="str">
        <f aca="false">IF($A282="","",MAX(0,O281-W281-AI281))</f>
        <v/>
      </c>
      <c r="AN281" s="211" t="str">
        <f aca="false">IF($A282="","",AL281-AM281)</f>
        <v/>
      </c>
      <c r="AO281" s="137" t="str">
        <f aca="false">IF(A282="","",A282-A281)</f>
        <v/>
      </c>
      <c r="AP281" s="212" t="str">
        <f aca="false">IF(A282="","",CHOOSE(F$3,A282+24,A281))</f>
        <v/>
      </c>
      <c r="AQ281" s="209" t="str">
        <f aca="false">IF(A282="","",AP281-$E$1)</f>
        <v/>
      </c>
      <c r="AR281" s="185" t="n">
        <f aca="false">'ANR OK vs ML7'!AR281</f>
        <v>0.1</v>
      </c>
      <c r="AS281" s="213" t="str">
        <f aca="false">IF(A282="","",1/(1+CHOOSE(F$3,(AR282+($I$3/10000))/2,(AR281+($I$3/10000))/2))^(2*AQ281/365.25))</f>
        <v/>
      </c>
      <c r="AT281" s="137" t="str">
        <f aca="false">IF(A282="","",IF(AND(mthbeg&lt;=A281,mthend&gt;=A281),1,0))</f>
        <v/>
      </c>
      <c r="AU281" s="137" t="str">
        <f aca="false">IF(A282="","",AO281*AT281)</f>
        <v/>
      </c>
      <c r="AW281" s="195" t="str">
        <f aca="false">IF($A282="","",AL281*$E281)</f>
        <v/>
      </c>
      <c r="AX281" s="195" t="str">
        <f aca="false">IF($A282="","",AM281*$E281)</f>
        <v/>
      </c>
      <c r="AY281" s="195" t="str">
        <f aca="false">IF($A282="","",AN281*$E281)</f>
        <v/>
      </c>
      <c r="BA281" s="195" t="str">
        <f aca="false">IF($A282="","",F281*Summary!$Q$11)</f>
        <v/>
      </c>
    </row>
    <row r="282" customFormat="false" ht="12" hidden="false" customHeight="true" outlineLevel="0" collapsed="false">
      <c r="A282" s="196" t="str">
        <f aca="false">IF(A281&lt;mthend,EDATE(A281,1),"")</f>
        <v/>
      </c>
      <c r="B282" s="197" t="str">
        <f aca="false">IF(A282&lt;mthend,B281,"")</f>
        <v/>
      </c>
      <c r="C282" s="215"/>
      <c r="D282" s="197" t="str">
        <f aca="false">IF(A283&lt;&gt;"",B282+C282,"")</f>
        <v/>
      </c>
      <c r="E282" s="199" t="str">
        <f aca="false">IF(A283="","",IF(AND(AT282=1,$H$3=1),D282*AO282,IF($H$3=2,D282,"N/A")))</f>
        <v/>
      </c>
      <c r="F282" s="199" t="str">
        <f aca="false">IF(A283="","",E282*AS282)</f>
        <v/>
      </c>
      <c r="G282" s="200" t="str">
        <f aca="false">IF($A283="","",VLOOKUP($A282,Table,MATCH(G$4,Curves,0)))</f>
        <v/>
      </c>
      <c r="H282" s="201" t="str">
        <f aca="false">IF(A283="","",G282)</f>
        <v/>
      </c>
      <c r="I282" s="202"/>
      <c r="J282" s="200" t="str">
        <f aca="false">IF($A283="","",VLOOKUP($A282,Table,MATCH(J$4,Curves,0)))</f>
        <v/>
      </c>
      <c r="K282" s="201" t="str">
        <f aca="false">IF(A283="","",J282)</f>
        <v/>
      </c>
      <c r="L282" s="200" t="str">
        <f aca="false">IF($A283="","",VLOOKUP($A282,Table,MATCH(L$4,Curves,0)))</f>
        <v/>
      </c>
      <c r="M282" s="201" t="str">
        <f aca="false">IF(A283="","",L282)</f>
        <v/>
      </c>
      <c r="N282" s="203"/>
      <c r="O282" s="200" t="str">
        <f aca="false">IF(A283="","",L282+J282+G282)</f>
        <v/>
      </c>
      <c r="P282" s="200" t="str">
        <f aca="false">IF(A283="","",M282+K282+H282)</f>
        <v/>
      </c>
      <c r="Q282" s="204"/>
      <c r="R282" s="200" t="str">
        <f aca="false">IF($A283="","",VLOOKUP($A282,Table,MATCH(R$4,Curves,0)))</f>
        <v/>
      </c>
      <c r="S282" s="201" t="str">
        <f aca="false">IF(A283="","",R282)</f>
        <v/>
      </c>
      <c r="T282" s="185" t="n">
        <v>0</v>
      </c>
      <c r="U282" s="201" t="str">
        <f aca="false">IF(A283="","",T282)</f>
        <v/>
      </c>
      <c r="V282" s="205" t="str">
        <f aca="false">IF($A283="","",IF(AND(MONTH(A282)&gt;3,MONTH(A282)&lt;11),(T282+R282+G282)*Summary!$T$11/(1-Summary!$T$11),(T282+R282+G282)*Summary!$U$11/(1-Summary!$U$11)))</f>
        <v/>
      </c>
      <c r="W282" s="202" t="str">
        <f aca="false">IF($A283="","",(T282+R282+G282+V282))</f>
        <v/>
      </c>
      <c r="X282" s="202" t="str">
        <f aca="false">IF($A283="","",(U282+S282+H282+V282))</f>
        <v/>
      </c>
      <c r="Y282" s="202"/>
      <c r="Z282" s="185" t="str">
        <f aca="false">IF($A283="","",VLOOKUP($A282,Table,MATCH(Z$4,Curves,0)))</f>
        <v/>
      </c>
      <c r="AA282" s="185" t="str">
        <f aca="false">IF($A283="","",VLOOKUP($A282,Table,MATCH(AA$4,Curves,0)))</f>
        <v/>
      </c>
      <c r="AB282" s="185" t="e">
        <f aca="false">SQRT((AA282^2*(A282-$D$3)+Z282^2*(DAY(EOMONTH(A282,0))/2))/AK282)</f>
        <v>#VALUE!</v>
      </c>
      <c r="AC282" s="185" t="str">
        <f aca="false">IF($A283="","",VLOOKUP($A282,Table,MATCH(AC$4,Curves,0)))</f>
        <v/>
      </c>
      <c r="AD282" s="185" t="str">
        <f aca="false">IF($A283="","",VLOOKUP($A282,Table,MATCH(AD$4,Curves,0)))</f>
        <v/>
      </c>
      <c r="AE282" s="185" t="e">
        <f aca="false">SQRT((AD282^2*(A282-$D$3)+AC282^2*(DAY(EOMONTH(A282,0))/2))/AK282)</f>
        <v>#VALUE!</v>
      </c>
      <c r="AF282" s="206" t="e">
        <f aca="false">((Summary!$N$11*(AA282*AD282)*(A282-$D$3))+(Summary!$M$11*Z282*AC282*(AJ282-EOMONTH(EDATE(A282,-1),0))))/(AK282*AB282*AE282)</f>
        <v>#VALUE!</v>
      </c>
      <c r="AG282" s="207" t="str">
        <f aca="false">IF($A283="","",Summary!$Q$11)</f>
        <v/>
      </c>
      <c r="AH282" s="207" t="str">
        <f aca="false">IF($A283="","",IF(Summary!$R$11="Y",(VLOOKUP($A282,Summary!$AD$6:$AF$9,3)+'Escalating commodity'!G295),'Escalating commodity'!G295))</f>
        <v/>
      </c>
      <c r="AI282" s="207" t="str">
        <f aca="false">IF($A283="","",AH282)</f>
        <v/>
      </c>
      <c r="AJ282" s="208" t="e">
        <f aca="false">A282+DAY(EOMONTH(A282,0))/2-1</f>
        <v>#VALUE!</v>
      </c>
      <c r="AK282" s="209" t="str">
        <f aca="false">IF($A283="","",$A282-$E$1)</f>
        <v/>
      </c>
      <c r="AL282" s="182" t="str">
        <f aca="false">IF($A283="","",SPRDOPT(P282,X282,AI282,0,AB282,AE282,AF282,AK282,$AJ$2,0))</f>
        <v/>
      </c>
      <c r="AM282" s="210" t="str">
        <f aca="false">IF($A283="","",MAX(0,O282-W282-AI282))</f>
        <v/>
      </c>
      <c r="AN282" s="211" t="str">
        <f aca="false">IF($A283="","",AL282-AM282)</f>
        <v/>
      </c>
      <c r="AO282" s="137" t="str">
        <f aca="false">IF(A283="","",A283-A282)</f>
        <v/>
      </c>
      <c r="AP282" s="212" t="str">
        <f aca="false">IF(A283="","",CHOOSE(F$3,A283+24,A282))</f>
        <v/>
      </c>
      <c r="AQ282" s="209" t="str">
        <f aca="false">IF(A283="","",AP282-$E$1)</f>
        <v/>
      </c>
      <c r="AR282" s="185" t="n">
        <f aca="false">'ANR OK vs ML7'!AR282</f>
        <v>0.1</v>
      </c>
      <c r="AS282" s="213" t="str">
        <f aca="false">IF(A283="","",1/(1+CHOOSE(F$3,(AR283+($I$3/10000))/2,(AR282+($I$3/10000))/2))^(2*AQ282/365.25))</f>
        <v/>
      </c>
      <c r="AT282" s="137" t="str">
        <f aca="false">IF(A283="","",IF(AND(mthbeg&lt;=A282,mthend&gt;=A282),1,0))</f>
        <v/>
      </c>
      <c r="AU282" s="137" t="str">
        <f aca="false">IF(A283="","",AO282*AT282)</f>
        <v/>
      </c>
      <c r="AW282" s="195" t="str">
        <f aca="false">IF($A283="","",AL282*$E282)</f>
        <v/>
      </c>
      <c r="AX282" s="195" t="str">
        <f aca="false">IF($A283="","",AM282*$E282)</f>
        <v/>
      </c>
      <c r="AY282" s="195" t="str">
        <f aca="false">IF($A283="","",AN282*$E282)</f>
        <v/>
      </c>
      <c r="BA282" s="195" t="str">
        <f aca="false">IF($A283="","",F282*Summary!$Q$11)</f>
        <v/>
      </c>
    </row>
    <row r="283" customFormat="false" ht="12" hidden="false" customHeight="true" outlineLevel="0" collapsed="false">
      <c r="A283" s="196" t="str">
        <f aca="false">IF(A282&lt;mthend,EDATE(A282,1),"")</f>
        <v/>
      </c>
      <c r="B283" s="197" t="str">
        <f aca="false">IF(A283&lt;mthend,B282,"")</f>
        <v/>
      </c>
      <c r="C283" s="215"/>
      <c r="D283" s="197" t="str">
        <f aca="false">IF(A284&lt;&gt;"",B283+C283,"")</f>
        <v/>
      </c>
      <c r="E283" s="199" t="str">
        <f aca="false">IF(A284="","",IF(AND(AT283=1,$H$3=1),D283*AO283,IF($H$3=2,D283,"N/A")))</f>
        <v/>
      </c>
      <c r="F283" s="199" t="str">
        <f aca="false">IF(A284="","",E283*AS283)</f>
        <v/>
      </c>
      <c r="G283" s="200" t="str">
        <f aca="false">IF($A284="","",VLOOKUP($A283,Table,MATCH(G$4,Curves,0)))</f>
        <v/>
      </c>
      <c r="H283" s="201" t="str">
        <f aca="false">IF(A284="","",G283)</f>
        <v/>
      </c>
      <c r="I283" s="202"/>
      <c r="J283" s="200" t="str">
        <f aca="false">IF($A284="","",VLOOKUP($A283,Table,MATCH(J$4,Curves,0)))</f>
        <v/>
      </c>
      <c r="K283" s="201" t="str">
        <f aca="false">IF(A284="","",J283)</f>
        <v/>
      </c>
      <c r="L283" s="200" t="str">
        <f aca="false">IF($A284="","",VLOOKUP($A283,Table,MATCH(L$4,Curves,0)))</f>
        <v/>
      </c>
      <c r="M283" s="201" t="str">
        <f aca="false">IF(A284="","",L283)</f>
        <v/>
      </c>
      <c r="N283" s="203"/>
      <c r="O283" s="200" t="str">
        <f aca="false">IF(A284="","",L283+J283+G283)</f>
        <v/>
      </c>
      <c r="P283" s="200" t="str">
        <f aca="false">IF(A284="","",M283+K283+H283)</f>
        <v/>
      </c>
      <c r="Q283" s="204"/>
      <c r="R283" s="200" t="str">
        <f aca="false">IF($A284="","",VLOOKUP($A283,Table,MATCH(R$4,Curves,0)))</f>
        <v/>
      </c>
      <c r="S283" s="201" t="str">
        <f aca="false">IF(A284="","",R283)</f>
        <v/>
      </c>
      <c r="T283" s="185" t="n">
        <v>0</v>
      </c>
      <c r="U283" s="201" t="str">
        <f aca="false">IF(A284="","",T283)</f>
        <v/>
      </c>
      <c r="V283" s="205" t="str">
        <f aca="false">IF($A284="","",IF(AND(MONTH(A283)&gt;3,MONTH(A283)&lt;11),(T283+R283+G283)*Summary!$T$11/(1-Summary!$T$11),(T283+R283+G283)*Summary!$U$11/(1-Summary!$U$11)))</f>
        <v/>
      </c>
      <c r="W283" s="202" t="str">
        <f aca="false">IF($A284="","",(T283+R283+G283+V283))</f>
        <v/>
      </c>
      <c r="X283" s="202" t="str">
        <f aca="false">IF($A284="","",(U283+S283+H283+V283))</f>
        <v/>
      </c>
      <c r="Y283" s="202"/>
      <c r="Z283" s="185" t="str">
        <f aca="false">IF($A284="","",VLOOKUP($A283,Table,MATCH(Z$4,Curves,0)))</f>
        <v/>
      </c>
      <c r="AA283" s="185" t="str">
        <f aca="false">IF($A284="","",VLOOKUP($A283,Table,MATCH(AA$4,Curves,0)))</f>
        <v/>
      </c>
      <c r="AB283" s="185" t="e">
        <f aca="false">SQRT((AA283^2*(A283-$D$3)+Z283^2*(DAY(EOMONTH(A283,0))/2))/AK283)</f>
        <v>#VALUE!</v>
      </c>
      <c r="AC283" s="185" t="str">
        <f aca="false">IF($A284="","",VLOOKUP($A283,Table,MATCH(AC$4,Curves,0)))</f>
        <v/>
      </c>
      <c r="AD283" s="185" t="str">
        <f aca="false">IF($A284="","",VLOOKUP($A283,Table,MATCH(AD$4,Curves,0)))</f>
        <v/>
      </c>
      <c r="AE283" s="185" t="e">
        <f aca="false">SQRT((AD283^2*(A283-$D$3)+AC283^2*(DAY(EOMONTH(A283,0))/2))/AK283)</f>
        <v>#VALUE!</v>
      </c>
      <c r="AF283" s="206" t="e">
        <f aca="false">((Summary!$N$11*(AA283*AD283)*(A283-$D$3))+(Summary!$M$11*Z283*AC283*(AJ283-EOMONTH(EDATE(A283,-1),0))))/(AK283*AB283*AE283)</f>
        <v>#VALUE!</v>
      </c>
      <c r="AG283" s="207" t="str">
        <f aca="false">IF($A284="","",Summary!$Q$11)</f>
        <v/>
      </c>
      <c r="AH283" s="207" t="str">
        <f aca="false">IF($A284="","",IF(Summary!$R$11="Y",(VLOOKUP($A283,Summary!$AD$6:$AF$9,3)+'Escalating commodity'!G296),'Escalating commodity'!G296))</f>
        <v/>
      </c>
      <c r="AI283" s="207" t="str">
        <f aca="false">IF($A284="","",AH283)</f>
        <v/>
      </c>
      <c r="AJ283" s="208" t="e">
        <f aca="false">A283+DAY(EOMONTH(A283,0))/2-1</f>
        <v>#VALUE!</v>
      </c>
      <c r="AK283" s="209" t="str">
        <f aca="false">IF($A284="","",$A283-$E$1)</f>
        <v/>
      </c>
      <c r="AL283" s="182" t="str">
        <f aca="false">IF($A284="","",SPRDOPT(P283,X283,AI283,0,AB283,AE283,AF283,AK283,$AJ$2,0))</f>
        <v/>
      </c>
      <c r="AM283" s="210" t="str">
        <f aca="false">IF($A284="","",MAX(0,O283-W283-AI283))</f>
        <v/>
      </c>
      <c r="AN283" s="211" t="str">
        <f aca="false">IF($A284="","",AL283-AM283)</f>
        <v/>
      </c>
      <c r="AO283" s="137" t="str">
        <f aca="false">IF(A284="","",A284-A283)</f>
        <v/>
      </c>
      <c r="AP283" s="212" t="str">
        <f aca="false">IF(A284="","",CHOOSE(F$3,A284+24,A283))</f>
        <v/>
      </c>
      <c r="AQ283" s="209" t="str">
        <f aca="false">IF(A284="","",AP283-$E$1)</f>
        <v/>
      </c>
      <c r="AR283" s="185" t="n">
        <f aca="false">'ANR OK vs ML7'!AR283</f>
        <v>0.1</v>
      </c>
      <c r="AS283" s="213" t="str">
        <f aca="false">IF(A284="","",1/(1+CHOOSE(F$3,(AR284+($I$3/10000))/2,(AR283+($I$3/10000))/2))^(2*AQ283/365.25))</f>
        <v/>
      </c>
      <c r="AT283" s="137" t="str">
        <f aca="false">IF(A284="","",IF(AND(mthbeg&lt;=A283,mthend&gt;=A283),1,0))</f>
        <v/>
      </c>
      <c r="AU283" s="137" t="str">
        <f aca="false">IF(A284="","",AO283*AT283)</f>
        <v/>
      </c>
      <c r="AW283" s="195" t="str">
        <f aca="false">IF($A284="","",AL283*$E283)</f>
        <v/>
      </c>
      <c r="AX283" s="195" t="str">
        <f aca="false">IF($A284="","",AM283*$E283)</f>
        <v/>
      </c>
      <c r="AY283" s="195" t="str">
        <f aca="false">IF($A284="","",AN283*$E283)</f>
        <v/>
      </c>
      <c r="BA283" s="195" t="str">
        <f aca="false">IF($A284="","",F283*Summary!$Q$11)</f>
        <v/>
      </c>
    </row>
    <row r="284" customFormat="false" ht="12" hidden="false" customHeight="true" outlineLevel="0" collapsed="false">
      <c r="A284" s="196" t="str">
        <f aca="false">IF(A283&lt;mthend,EDATE(A283,1),"")</f>
        <v/>
      </c>
      <c r="B284" s="197" t="str">
        <f aca="false">IF(A284&lt;mthend,B283,"")</f>
        <v/>
      </c>
      <c r="C284" s="215"/>
      <c r="D284" s="197" t="str">
        <f aca="false">IF(A285&lt;&gt;"",B284+C284,"")</f>
        <v/>
      </c>
      <c r="E284" s="199" t="str">
        <f aca="false">IF(A285="","",IF(AND(AT284=1,$H$3=1),D284*AO284,IF($H$3=2,D284,"N/A")))</f>
        <v/>
      </c>
      <c r="F284" s="199" t="str">
        <f aca="false">IF(A285="","",E284*AS284)</f>
        <v/>
      </c>
      <c r="G284" s="200" t="str">
        <f aca="false">IF($A285="","",VLOOKUP($A284,Table,MATCH(G$4,Curves,0)))</f>
        <v/>
      </c>
      <c r="H284" s="201" t="str">
        <f aca="false">IF(A285="","",G284)</f>
        <v/>
      </c>
      <c r="I284" s="202"/>
      <c r="J284" s="200" t="str">
        <f aca="false">IF($A285="","",VLOOKUP($A284,Table,MATCH(J$4,Curves,0)))</f>
        <v/>
      </c>
      <c r="K284" s="201" t="str">
        <f aca="false">IF(A285="","",J284)</f>
        <v/>
      </c>
      <c r="L284" s="200" t="str">
        <f aca="false">IF($A285="","",VLOOKUP($A284,Table,MATCH(L$4,Curves,0)))</f>
        <v/>
      </c>
      <c r="M284" s="201" t="str">
        <f aca="false">IF(A285="","",L284)</f>
        <v/>
      </c>
      <c r="N284" s="203"/>
      <c r="O284" s="200" t="str">
        <f aca="false">IF(A285="","",L284+J284+G284)</f>
        <v/>
      </c>
      <c r="P284" s="200" t="str">
        <f aca="false">IF(A285="","",M284+K284+H284)</f>
        <v/>
      </c>
      <c r="Q284" s="204"/>
      <c r="R284" s="200" t="str">
        <f aca="false">IF($A285="","",VLOOKUP($A284,Table,MATCH(R$4,Curves,0)))</f>
        <v/>
      </c>
      <c r="S284" s="201" t="str">
        <f aca="false">IF(A285="","",R284)</f>
        <v/>
      </c>
      <c r="T284" s="185" t="n">
        <v>0</v>
      </c>
      <c r="U284" s="201" t="str">
        <f aca="false">IF(A285="","",T284)</f>
        <v/>
      </c>
      <c r="V284" s="205" t="str">
        <f aca="false">IF($A285="","",IF(AND(MONTH(A284)&gt;3,MONTH(A284)&lt;11),(T284+R284+G284)*Summary!$T$11/(1-Summary!$T$11),(T284+R284+G284)*Summary!$U$11/(1-Summary!$U$11)))</f>
        <v/>
      </c>
      <c r="W284" s="202" t="str">
        <f aca="false">IF($A285="","",(T284+R284+G284+V284))</f>
        <v/>
      </c>
      <c r="X284" s="202" t="str">
        <f aca="false">IF($A285="","",(U284+S284+H284+V284))</f>
        <v/>
      </c>
      <c r="Y284" s="202"/>
      <c r="Z284" s="185" t="str">
        <f aca="false">IF($A285="","",VLOOKUP($A284,Table,MATCH(Z$4,Curves,0)))</f>
        <v/>
      </c>
      <c r="AA284" s="185" t="str">
        <f aca="false">IF($A285="","",VLOOKUP($A284,Table,MATCH(AA$4,Curves,0)))</f>
        <v/>
      </c>
      <c r="AB284" s="185" t="e">
        <f aca="false">SQRT((AA284^2*(A284-$D$3)+Z284^2*(DAY(EOMONTH(A284,0))/2))/AK284)</f>
        <v>#VALUE!</v>
      </c>
      <c r="AC284" s="185" t="str">
        <f aca="false">IF($A285="","",VLOOKUP($A284,Table,MATCH(AC$4,Curves,0)))</f>
        <v/>
      </c>
      <c r="AD284" s="185" t="str">
        <f aca="false">IF($A285="","",VLOOKUP($A284,Table,MATCH(AD$4,Curves,0)))</f>
        <v/>
      </c>
      <c r="AE284" s="185" t="e">
        <f aca="false">SQRT((AD284^2*(A284-$D$3)+AC284^2*(DAY(EOMONTH(A284,0))/2))/AK284)</f>
        <v>#VALUE!</v>
      </c>
      <c r="AF284" s="206" t="e">
        <f aca="false">((Summary!$N$11*(AA284*AD284)*(A284-$D$3))+(Summary!$M$11*Z284*AC284*(AJ284-EOMONTH(EDATE(A284,-1),0))))/(AK284*AB284*AE284)</f>
        <v>#VALUE!</v>
      </c>
      <c r="AG284" s="207" t="str">
        <f aca="false">IF($A285="","",Summary!$Q$11)</f>
        <v/>
      </c>
      <c r="AH284" s="207" t="str">
        <f aca="false">IF($A285="","",IF(Summary!$R$11="Y",(VLOOKUP($A284,Summary!$AD$6:$AF$9,3)+'Escalating commodity'!G297),'Escalating commodity'!G297))</f>
        <v/>
      </c>
      <c r="AI284" s="207" t="str">
        <f aca="false">IF($A285="","",AH284)</f>
        <v/>
      </c>
      <c r="AJ284" s="208" t="e">
        <f aca="false">A284+DAY(EOMONTH(A284,0))/2-1</f>
        <v>#VALUE!</v>
      </c>
      <c r="AK284" s="209" t="str">
        <f aca="false">IF($A285="","",$A284-$E$1)</f>
        <v/>
      </c>
      <c r="AL284" s="182" t="str">
        <f aca="false">IF($A285="","",SPRDOPT(P284,X284,AI284,0,AB284,AE284,AF284,AK284,$AJ$2,0))</f>
        <v/>
      </c>
      <c r="AM284" s="210" t="str">
        <f aca="false">IF($A285="","",MAX(0,O284-W284-AI284))</f>
        <v/>
      </c>
      <c r="AN284" s="211" t="str">
        <f aca="false">IF($A285="","",AL284-AM284)</f>
        <v/>
      </c>
      <c r="AO284" s="137" t="str">
        <f aca="false">IF(A285="","",A285-A284)</f>
        <v/>
      </c>
      <c r="AP284" s="212" t="str">
        <f aca="false">IF(A285="","",CHOOSE(F$3,A285+24,A284))</f>
        <v/>
      </c>
      <c r="AQ284" s="209" t="str">
        <f aca="false">IF(A285="","",AP284-$E$1)</f>
        <v/>
      </c>
      <c r="AR284" s="185" t="n">
        <f aca="false">'ANR OK vs ML7'!AR284</f>
        <v>0.1</v>
      </c>
      <c r="AS284" s="213" t="str">
        <f aca="false">IF(A285="","",1/(1+CHOOSE(F$3,(AR285+($I$3/10000))/2,(AR284+($I$3/10000))/2))^(2*AQ284/365.25))</f>
        <v/>
      </c>
      <c r="AT284" s="137" t="str">
        <f aca="false">IF(A285="","",IF(AND(mthbeg&lt;=A284,mthend&gt;=A284),1,0))</f>
        <v/>
      </c>
      <c r="AU284" s="137" t="str">
        <f aca="false">IF(A285="","",AO284*AT284)</f>
        <v/>
      </c>
      <c r="AW284" s="195" t="str">
        <f aca="false">IF($A285="","",AL284*$E284)</f>
        <v/>
      </c>
      <c r="AX284" s="195" t="str">
        <f aca="false">IF($A285="","",AM284*$E284)</f>
        <v/>
      </c>
      <c r="AY284" s="195" t="str">
        <f aca="false">IF($A285="","",AN284*$E284)</f>
        <v/>
      </c>
      <c r="BA284" s="195" t="str">
        <f aca="false">IF($A285="","",F284*Summary!$Q$11)</f>
        <v/>
      </c>
    </row>
    <row r="285" customFormat="false" ht="12" hidden="false" customHeight="true" outlineLevel="0" collapsed="false">
      <c r="A285" s="196" t="str">
        <f aca="false">IF(A284&lt;mthend,EDATE(A284,1),"")</f>
        <v/>
      </c>
      <c r="B285" s="197" t="str">
        <f aca="false">IF(A285&lt;mthend,B284,"")</f>
        <v/>
      </c>
      <c r="C285" s="215"/>
      <c r="D285" s="197" t="str">
        <f aca="false">IF(A286&lt;&gt;"",B285+C285,"")</f>
        <v/>
      </c>
      <c r="E285" s="199" t="str">
        <f aca="false">IF(A286="","",IF(AND(AT285=1,$H$3=1),D285*AO285,IF($H$3=2,D285,"N/A")))</f>
        <v/>
      </c>
      <c r="F285" s="199" t="str">
        <f aca="false">IF(A286="","",E285*AS285)</f>
        <v/>
      </c>
      <c r="G285" s="200" t="str">
        <f aca="false">IF($A286="","",VLOOKUP($A285,Table,MATCH(G$4,Curves,0)))</f>
        <v/>
      </c>
      <c r="H285" s="201" t="str">
        <f aca="false">IF(A286="","",G285)</f>
        <v/>
      </c>
      <c r="I285" s="202"/>
      <c r="J285" s="200" t="str">
        <f aca="false">IF($A286="","",VLOOKUP($A285,Table,MATCH(J$4,Curves,0)))</f>
        <v/>
      </c>
      <c r="K285" s="201" t="str">
        <f aca="false">IF(A286="","",J285)</f>
        <v/>
      </c>
      <c r="L285" s="200" t="str">
        <f aca="false">IF($A286="","",VLOOKUP($A285,Table,MATCH(L$4,Curves,0)))</f>
        <v/>
      </c>
      <c r="M285" s="201" t="str">
        <f aca="false">IF(A286="","",L285)</f>
        <v/>
      </c>
      <c r="N285" s="203"/>
      <c r="O285" s="200" t="str">
        <f aca="false">IF(A286="","",L285+J285+G285)</f>
        <v/>
      </c>
      <c r="P285" s="200" t="str">
        <f aca="false">IF(A286="","",M285+K285+H285)</f>
        <v/>
      </c>
      <c r="Q285" s="204"/>
      <c r="R285" s="200" t="str">
        <f aca="false">IF($A286="","",VLOOKUP($A285,Table,MATCH(R$4,Curves,0)))</f>
        <v/>
      </c>
      <c r="S285" s="201" t="str">
        <f aca="false">IF(A286="","",R285)</f>
        <v/>
      </c>
      <c r="T285" s="185" t="n">
        <v>0</v>
      </c>
      <c r="U285" s="201" t="str">
        <f aca="false">IF(A286="","",T285)</f>
        <v/>
      </c>
      <c r="V285" s="205" t="str">
        <f aca="false">IF($A286="","",IF(AND(MONTH(A285)&gt;3,MONTH(A285)&lt;11),(T285+R285+G285)*Summary!$T$11/(1-Summary!$T$11),(T285+R285+G285)*Summary!$U$11/(1-Summary!$U$11)))</f>
        <v/>
      </c>
      <c r="W285" s="202" t="str">
        <f aca="false">IF($A286="","",(T285+R285+G285+V285))</f>
        <v/>
      </c>
      <c r="X285" s="202" t="str">
        <f aca="false">IF($A286="","",(U285+S285+H285+V285))</f>
        <v/>
      </c>
      <c r="Y285" s="202"/>
      <c r="Z285" s="185" t="str">
        <f aca="false">IF($A286="","",VLOOKUP($A285,Table,MATCH(Z$4,Curves,0)))</f>
        <v/>
      </c>
      <c r="AA285" s="185" t="str">
        <f aca="false">IF($A286="","",VLOOKUP($A285,Table,MATCH(AA$4,Curves,0)))</f>
        <v/>
      </c>
      <c r="AB285" s="185" t="e">
        <f aca="false">SQRT((AA285^2*(A285-$D$3)+Z285^2*(DAY(EOMONTH(A285,0))/2))/AK285)</f>
        <v>#VALUE!</v>
      </c>
      <c r="AC285" s="185" t="str">
        <f aca="false">IF($A286="","",VLOOKUP($A285,Table,MATCH(AC$4,Curves,0)))</f>
        <v/>
      </c>
      <c r="AD285" s="185" t="str">
        <f aca="false">IF($A286="","",VLOOKUP($A285,Table,MATCH(AD$4,Curves,0)))</f>
        <v/>
      </c>
      <c r="AE285" s="185" t="e">
        <f aca="false">SQRT((AD285^2*(A285-$D$3)+AC285^2*(DAY(EOMONTH(A285,0))/2))/AK285)</f>
        <v>#VALUE!</v>
      </c>
      <c r="AF285" s="206" t="e">
        <f aca="false">((Summary!$N$11*(AA285*AD285)*(A285-$D$3))+(Summary!$M$11*Z285*AC285*(AJ285-EOMONTH(EDATE(A285,-1),0))))/(AK285*AB285*AE285)</f>
        <v>#VALUE!</v>
      </c>
      <c r="AG285" s="207" t="str">
        <f aca="false">IF($A286="","",Summary!$Q$11)</f>
        <v/>
      </c>
      <c r="AH285" s="207" t="str">
        <f aca="false">IF($A286="","",IF(Summary!$R$11="Y",(VLOOKUP($A285,Summary!$AD$6:$AF$9,3)+'Escalating commodity'!G298),'Escalating commodity'!G298))</f>
        <v/>
      </c>
      <c r="AI285" s="207" t="str">
        <f aca="false">IF($A286="","",AH285)</f>
        <v/>
      </c>
      <c r="AJ285" s="208" t="e">
        <f aca="false">A285+DAY(EOMONTH(A285,0))/2-1</f>
        <v>#VALUE!</v>
      </c>
      <c r="AK285" s="209" t="str">
        <f aca="false">IF($A286="","",$A285-$E$1)</f>
        <v/>
      </c>
      <c r="AL285" s="182" t="str">
        <f aca="false">IF($A286="","",SPRDOPT(P285,X285,AI285,0,AB285,AE285,AF285,AK285,$AJ$2,0))</f>
        <v/>
      </c>
      <c r="AM285" s="210" t="str">
        <f aca="false">IF($A286="","",MAX(0,O285-W285-AI285))</f>
        <v/>
      </c>
      <c r="AN285" s="211" t="str">
        <f aca="false">IF($A286="","",AL285-AM285)</f>
        <v/>
      </c>
      <c r="AO285" s="137" t="str">
        <f aca="false">IF(A286="","",A286-A285)</f>
        <v/>
      </c>
      <c r="AP285" s="212" t="str">
        <f aca="false">IF(A286="","",CHOOSE(F$3,A286+24,A285))</f>
        <v/>
      </c>
      <c r="AQ285" s="209" t="str">
        <f aca="false">IF(A286="","",AP285-$E$1)</f>
        <v/>
      </c>
      <c r="AR285" s="185" t="n">
        <f aca="false">'ANR OK vs ML7'!AR285</f>
        <v>0.1</v>
      </c>
      <c r="AS285" s="213" t="str">
        <f aca="false">IF(A286="","",1/(1+CHOOSE(F$3,(AR286+($I$3/10000))/2,(AR285+($I$3/10000))/2))^(2*AQ285/365.25))</f>
        <v/>
      </c>
      <c r="AT285" s="137" t="str">
        <f aca="false">IF(A286="","",IF(AND(mthbeg&lt;=A285,mthend&gt;=A285),1,0))</f>
        <v/>
      </c>
      <c r="AU285" s="137" t="str">
        <f aca="false">IF(A286="","",AO285*AT285)</f>
        <v/>
      </c>
      <c r="AW285" s="195" t="str">
        <f aca="false">IF($A286="","",AL285*$E285)</f>
        <v/>
      </c>
      <c r="AX285" s="195" t="str">
        <f aca="false">IF($A286="","",AM285*$E285)</f>
        <v/>
      </c>
      <c r="AY285" s="195" t="str">
        <f aca="false">IF($A286="","",AN285*$E285)</f>
        <v/>
      </c>
      <c r="BA285" s="195" t="str">
        <f aca="false">IF($A286="","",F285*Summary!$Q$11)</f>
        <v/>
      </c>
    </row>
    <row r="286" customFormat="false" ht="12" hidden="false" customHeight="true" outlineLevel="0" collapsed="false">
      <c r="A286" s="196" t="str">
        <f aca="false">IF(A285&lt;mthend,EDATE(A285,1),"")</f>
        <v/>
      </c>
      <c r="B286" s="197" t="str">
        <f aca="false">IF(A286&lt;mthend,B285,"")</f>
        <v/>
      </c>
      <c r="C286" s="215"/>
      <c r="D286" s="197" t="str">
        <f aca="false">IF(A287&lt;&gt;"",B286+C286,"")</f>
        <v/>
      </c>
      <c r="E286" s="199" t="str">
        <f aca="false">IF(A287="","",IF(AND(AT286=1,$H$3=1),D286*AO286,IF($H$3=2,D286,"N/A")))</f>
        <v/>
      </c>
      <c r="F286" s="199" t="str">
        <f aca="false">IF(A287="","",E286*AS286)</f>
        <v/>
      </c>
      <c r="G286" s="200" t="str">
        <f aca="false">IF($A287="","",VLOOKUP($A286,Table,MATCH(G$4,Curves,0)))</f>
        <v/>
      </c>
      <c r="H286" s="201" t="str">
        <f aca="false">IF(A287="","",G286)</f>
        <v/>
      </c>
      <c r="I286" s="202"/>
      <c r="J286" s="200" t="str">
        <f aca="false">IF($A287="","",VLOOKUP($A286,Table,MATCH(J$4,Curves,0)))</f>
        <v/>
      </c>
      <c r="K286" s="201" t="str">
        <f aca="false">IF(A287="","",J286)</f>
        <v/>
      </c>
      <c r="L286" s="200" t="str">
        <f aca="false">IF($A287="","",VLOOKUP($A286,Table,MATCH(L$4,Curves,0)))</f>
        <v/>
      </c>
      <c r="M286" s="201" t="str">
        <f aca="false">IF(A287="","",L286)</f>
        <v/>
      </c>
      <c r="N286" s="203"/>
      <c r="O286" s="200" t="str">
        <f aca="false">IF(A287="","",L286+J286+G286)</f>
        <v/>
      </c>
      <c r="P286" s="200" t="str">
        <f aca="false">IF(A287="","",M286+K286+H286)</f>
        <v/>
      </c>
      <c r="Q286" s="204"/>
      <c r="R286" s="200" t="str">
        <f aca="false">IF($A287="","",VLOOKUP($A286,Table,MATCH(R$4,Curves,0)))</f>
        <v/>
      </c>
      <c r="S286" s="201" t="str">
        <f aca="false">IF(A287="","",R286)</f>
        <v/>
      </c>
      <c r="T286" s="185" t="n">
        <v>0</v>
      </c>
      <c r="U286" s="201" t="str">
        <f aca="false">IF(A287="","",T286)</f>
        <v/>
      </c>
      <c r="V286" s="205" t="str">
        <f aca="false">IF($A287="","",IF(AND(MONTH(A286)&gt;3,MONTH(A286)&lt;11),(T286+R286+G286)*Summary!$T$11/(1-Summary!$T$11),(T286+R286+G286)*Summary!$U$11/(1-Summary!$U$11)))</f>
        <v/>
      </c>
      <c r="W286" s="202" t="str">
        <f aca="false">IF($A287="","",(T286+R286+G286+V286))</f>
        <v/>
      </c>
      <c r="X286" s="202" t="str">
        <f aca="false">IF($A287="","",(U286+S286+H286+V286))</f>
        <v/>
      </c>
      <c r="Y286" s="202"/>
      <c r="Z286" s="185" t="str">
        <f aca="false">IF($A287="","",VLOOKUP($A286,Table,MATCH(Z$4,Curves,0)))</f>
        <v/>
      </c>
      <c r="AA286" s="185" t="str">
        <f aca="false">IF($A287="","",VLOOKUP($A286,Table,MATCH(AA$4,Curves,0)))</f>
        <v/>
      </c>
      <c r="AB286" s="185" t="e">
        <f aca="false">SQRT((AA286^2*(A286-$D$3)+Z286^2*(DAY(EOMONTH(A286,0))/2))/AK286)</f>
        <v>#VALUE!</v>
      </c>
      <c r="AC286" s="185" t="str">
        <f aca="false">IF($A287="","",VLOOKUP($A286,Table,MATCH(AC$4,Curves,0)))</f>
        <v/>
      </c>
      <c r="AD286" s="185" t="str">
        <f aca="false">IF($A287="","",VLOOKUP($A286,Table,MATCH(AD$4,Curves,0)))</f>
        <v/>
      </c>
      <c r="AE286" s="185" t="e">
        <f aca="false">SQRT((AD286^2*(A286-$D$3)+AC286^2*(DAY(EOMONTH(A286,0))/2))/AK286)</f>
        <v>#VALUE!</v>
      </c>
      <c r="AF286" s="206" t="e">
        <f aca="false">((Summary!$N$11*(AA286*AD286)*(A286-$D$3))+(Summary!$M$11*Z286*AC286*(AJ286-EOMONTH(EDATE(A286,-1),0))))/(AK286*AB286*AE286)</f>
        <v>#VALUE!</v>
      </c>
      <c r="AG286" s="207" t="str">
        <f aca="false">IF($A287="","",Summary!$Q$11)</f>
        <v/>
      </c>
      <c r="AH286" s="207" t="str">
        <f aca="false">IF($A287="","",IF(Summary!$R$11="Y",(VLOOKUP($A286,Summary!$AD$6:$AF$9,3)+'Escalating commodity'!G299),'Escalating commodity'!G299))</f>
        <v/>
      </c>
      <c r="AI286" s="207" t="str">
        <f aca="false">IF($A287="","",AH286)</f>
        <v/>
      </c>
      <c r="AJ286" s="208" t="e">
        <f aca="false">A286+DAY(EOMONTH(A286,0))/2-1</f>
        <v>#VALUE!</v>
      </c>
      <c r="AK286" s="209" t="str">
        <f aca="false">IF($A287="","",$A286-$E$1)</f>
        <v/>
      </c>
      <c r="AL286" s="182" t="str">
        <f aca="false">IF($A287="","",SPRDOPT(P286,X286,AI286,0,AB286,AE286,AF286,AK286,$AJ$2,0))</f>
        <v/>
      </c>
      <c r="AM286" s="210" t="str">
        <f aca="false">IF($A287="","",MAX(0,O286-W286-AI286))</f>
        <v/>
      </c>
      <c r="AN286" s="211" t="str">
        <f aca="false">IF($A287="","",AL286-AM286)</f>
        <v/>
      </c>
      <c r="AO286" s="137" t="str">
        <f aca="false">IF(A287="","",A287-A286)</f>
        <v/>
      </c>
      <c r="AP286" s="212" t="str">
        <f aca="false">IF(A287="","",CHOOSE(F$3,A287+24,A286))</f>
        <v/>
      </c>
      <c r="AQ286" s="209" t="str">
        <f aca="false">IF(A287="","",AP286-$E$1)</f>
        <v/>
      </c>
      <c r="AR286" s="185" t="n">
        <f aca="false">'ANR OK vs ML7'!AR286</f>
        <v>0.1</v>
      </c>
      <c r="AS286" s="213" t="str">
        <f aca="false">IF(A287="","",1/(1+CHOOSE(F$3,(AR287+($I$3/10000))/2,(AR286+($I$3/10000))/2))^(2*AQ286/365.25))</f>
        <v/>
      </c>
      <c r="AT286" s="137" t="str">
        <f aca="false">IF(A287="","",IF(AND(mthbeg&lt;=A286,mthend&gt;=A286),1,0))</f>
        <v/>
      </c>
      <c r="AU286" s="137" t="str">
        <f aca="false">IF(A287="","",AO286*AT286)</f>
        <v/>
      </c>
      <c r="AW286" s="195" t="str">
        <f aca="false">IF($A287="","",AL286*$E286)</f>
        <v/>
      </c>
      <c r="AX286" s="195" t="str">
        <f aca="false">IF($A287="","",AM286*$E286)</f>
        <v/>
      </c>
      <c r="AY286" s="195" t="str">
        <f aca="false">IF($A287="","",AN286*$E286)</f>
        <v/>
      </c>
      <c r="BA286" s="195" t="str">
        <f aca="false">IF($A287="","",F286*Summary!$Q$11)</f>
        <v/>
      </c>
    </row>
    <row r="287" customFormat="false" ht="12" hidden="false" customHeight="true" outlineLevel="0" collapsed="false">
      <c r="A287" s="196" t="str">
        <f aca="false">IF(A286&lt;mthend,EDATE(A286,1),"")</f>
        <v/>
      </c>
      <c r="B287" s="197" t="str">
        <f aca="false">IF(A287&lt;mthend,B286,"")</f>
        <v/>
      </c>
      <c r="C287" s="215"/>
      <c r="D287" s="197" t="str">
        <f aca="false">IF(A288&lt;&gt;"",B287+C287,"")</f>
        <v/>
      </c>
      <c r="E287" s="199" t="str">
        <f aca="false">IF(A288="","",IF(AND(AT287=1,$H$3=1),D287*AO287,IF($H$3=2,D287,"N/A")))</f>
        <v/>
      </c>
      <c r="F287" s="199" t="str">
        <f aca="false">IF(A288="","",E287*AS287)</f>
        <v/>
      </c>
      <c r="G287" s="200" t="str">
        <f aca="false">IF($A288="","",VLOOKUP($A287,Table,MATCH(G$4,Curves,0)))</f>
        <v/>
      </c>
      <c r="H287" s="201" t="str">
        <f aca="false">IF(A288="","",G287)</f>
        <v/>
      </c>
      <c r="I287" s="202"/>
      <c r="J287" s="200" t="str">
        <f aca="false">IF($A288="","",VLOOKUP($A287,Table,MATCH(J$4,Curves,0)))</f>
        <v/>
      </c>
      <c r="K287" s="201" t="str">
        <f aca="false">IF(A288="","",J287)</f>
        <v/>
      </c>
      <c r="L287" s="200" t="str">
        <f aca="false">IF($A288="","",VLOOKUP($A287,Table,MATCH(L$4,Curves,0)))</f>
        <v/>
      </c>
      <c r="M287" s="201" t="str">
        <f aca="false">IF(A288="","",L287)</f>
        <v/>
      </c>
      <c r="N287" s="203"/>
      <c r="O287" s="200" t="str">
        <f aca="false">IF(A288="","",L287+J287+G287)</f>
        <v/>
      </c>
      <c r="P287" s="200" t="str">
        <f aca="false">IF(A288="","",M287+K287+H287)</f>
        <v/>
      </c>
      <c r="Q287" s="204"/>
      <c r="R287" s="200" t="str">
        <f aca="false">IF($A288="","",VLOOKUP($A287,Table,MATCH(R$4,Curves,0)))</f>
        <v/>
      </c>
      <c r="S287" s="201" t="str">
        <f aca="false">IF(A288="","",R287)</f>
        <v/>
      </c>
      <c r="T287" s="185" t="n">
        <v>0</v>
      </c>
      <c r="U287" s="201" t="str">
        <f aca="false">IF(A288="","",T287)</f>
        <v/>
      </c>
      <c r="V287" s="205" t="str">
        <f aca="false">IF($A288="","",IF(AND(MONTH(A287)&gt;3,MONTH(A287)&lt;11),(T287+R287+G287)*Summary!$T$11/(1-Summary!$T$11),(T287+R287+G287)*Summary!$U$11/(1-Summary!$U$11)))</f>
        <v/>
      </c>
      <c r="W287" s="202" t="str">
        <f aca="false">IF($A288="","",(T287+R287+G287+V287))</f>
        <v/>
      </c>
      <c r="X287" s="202" t="str">
        <f aca="false">IF($A288="","",(U287+S287+H287+V287))</f>
        <v/>
      </c>
      <c r="Y287" s="202"/>
      <c r="Z287" s="185" t="str">
        <f aca="false">IF($A288="","",VLOOKUP($A287,Table,MATCH(Z$4,Curves,0)))</f>
        <v/>
      </c>
      <c r="AA287" s="185" t="str">
        <f aca="false">IF($A288="","",VLOOKUP($A287,Table,MATCH(AA$4,Curves,0)))</f>
        <v/>
      </c>
      <c r="AB287" s="185" t="e">
        <f aca="false">SQRT((AA287^2*(A287-$D$3)+Z287^2*(DAY(EOMONTH(A287,0))/2))/AK287)</f>
        <v>#VALUE!</v>
      </c>
      <c r="AC287" s="185" t="str">
        <f aca="false">IF($A288="","",VLOOKUP($A287,Table,MATCH(AC$4,Curves,0)))</f>
        <v/>
      </c>
      <c r="AD287" s="185" t="str">
        <f aca="false">IF($A288="","",VLOOKUP($A287,Table,MATCH(AD$4,Curves,0)))</f>
        <v/>
      </c>
      <c r="AE287" s="185" t="e">
        <f aca="false">SQRT((AD287^2*(A287-$D$3)+AC287^2*(DAY(EOMONTH(A287,0))/2))/AK287)</f>
        <v>#VALUE!</v>
      </c>
      <c r="AF287" s="206" t="e">
        <f aca="false">((Summary!$N$11*(AA287*AD287)*(A287-$D$3))+(Summary!$M$11*Z287*AC287*(AJ287-EOMONTH(EDATE(A287,-1),0))))/(AK287*AB287*AE287)</f>
        <v>#VALUE!</v>
      </c>
      <c r="AG287" s="207" t="str">
        <f aca="false">IF($A288="","",Summary!$Q$11)</f>
        <v/>
      </c>
      <c r="AH287" s="207" t="str">
        <f aca="false">IF($A288="","",IF(Summary!$R$11="Y",(VLOOKUP($A287,Summary!$AD$6:$AF$9,3)+'Escalating commodity'!G300),'Escalating commodity'!G300))</f>
        <v/>
      </c>
      <c r="AI287" s="207" t="str">
        <f aca="false">IF($A288="","",AH287)</f>
        <v/>
      </c>
      <c r="AJ287" s="208" t="e">
        <f aca="false">A287+DAY(EOMONTH(A287,0))/2-1</f>
        <v>#VALUE!</v>
      </c>
      <c r="AK287" s="209" t="str">
        <f aca="false">IF($A288="","",$A287-$E$1)</f>
        <v/>
      </c>
      <c r="AL287" s="182" t="str">
        <f aca="false">IF($A288="","",SPRDOPT(P287,X287,AI287,0,AB287,AE287,AF287,AK287,$AJ$2,0))</f>
        <v/>
      </c>
      <c r="AM287" s="210" t="str">
        <f aca="false">IF($A288="","",MAX(0,O287-W287-AI287))</f>
        <v/>
      </c>
      <c r="AN287" s="211" t="str">
        <f aca="false">IF($A288="","",AL287-AM287)</f>
        <v/>
      </c>
      <c r="AO287" s="137" t="str">
        <f aca="false">IF(A288="","",A288-A287)</f>
        <v/>
      </c>
      <c r="AP287" s="212" t="str">
        <f aca="false">IF(A288="","",CHOOSE(F$3,A288+24,A287))</f>
        <v/>
      </c>
      <c r="AQ287" s="209" t="str">
        <f aca="false">IF(A288="","",AP287-$E$1)</f>
        <v/>
      </c>
      <c r="AR287" s="185" t="n">
        <f aca="false">'ANR OK vs ML7'!AR287</f>
        <v>0.1</v>
      </c>
      <c r="AS287" s="213" t="str">
        <f aca="false">IF(A288="","",1/(1+CHOOSE(F$3,(AR288+($I$3/10000))/2,(AR287+($I$3/10000))/2))^(2*AQ287/365.25))</f>
        <v/>
      </c>
      <c r="AT287" s="137" t="str">
        <f aca="false">IF(A288="","",IF(AND(mthbeg&lt;=A287,mthend&gt;=A287),1,0))</f>
        <v/>
      </c>
      <c r="AU287" s="137" t="str">
        <f aca="false">IF(A288="","",AO287*AT287)</f>
        <v/>
      </c>
      <c r="AW287" s="195" t="str">
        <f aca="false">IF($A288="","",AL287*$E287)</f>
        <v/>
      </c>
      <c r="AX287" s="195" t="str">
        <f aca="false">IF($A288="","",AM287*$E287)</f>
        <v/>
      </c>
      <c r="AY287" s="195" t="str">
        <f aca="false">IF($A288="","",AN287*$E287)</f>
        <v/>
      </c>
      <c r="BA287" s="195" t="str">
        <f aca="false">IF($A288="","",F287*Summary!$Q$11)</f>
        <v/>
      </c>
    </row>
    <row r="288" customFormat="false" ht="12" hidden="false" customHeight="true" outlineLevel="0" collapsed="false">
      <c r="A288" s="196" t="str">
        <f aca="false">IF(A287&lt;mthend,EDATE(A287,1),"")</f>
        <v/>
      </c>
      <c r="B288" s="197" t="str">
        <f aca="false">IF(A288&lt;mthend,B287,"")</f>
        <v/>
      </c>
      <c r="C288" s="215"/>
      <c r="D288" s="197" t="str">
        <f aca="false">IF(A289&lt;&gt;"",B288+C288,"")</f>
        <v/>
      </c>
      <c r="E288" s="199" t="str">
        <f aca="false">IF(A289="","",IF(AND(AT288=1,$H$3=1),D288*AO288,IF($H$3=2,D288,"N/A")))</f>
        <v/>
      </c>
      <c r="F288" s="199" t="str">
        <f aca="false">IF(A289="","",E288*AS288)</f>
        <v/>
      </c>
      <c r="G288" s="200" t="str">
        <f aca="false">IF($A289="","",VLOOKUP($A288,Table,MATCH(G$4,Curves,0)))</f>
        <v/>
      </c>
      <c r="H288" s="201" t="str">
        <f aca="false">IF(A289="","",G288)</f>
        <v/>
      </c>
      <c r="I288" s="202"/>
      <c r="J288" s="200" t="str">
        <f aca="false">IF($A289="","",VLOOKUP($A288,Table,MATCH(J$4,Curves,0)))</f>
        <v/>
      </c>
      <c r="K288" s="201" t="str">
        <f aca="false">IF(A289="","",J288)</f>
        <v/>
      </c>
      <c r="L288" s="200" t="str">
        <f aca="false">IF($A289="","",VLOOKUP($A288,Table,MATCH(L$4,Curves,0)))</f>
        <v/>
      </c>
      <c r="M288" s="201" t="str">
        <f aca="false">IF(A289="","",L288)</f>
        <v/>
      </c>
      <c r="N288" s="203"/>
      <c r="O288" s="200" t="str">
        <f aca="false">IF(A289="","",L288+J288+G288)</f>
        <v/>
      </c>
      <c r="P288" s="200" t="str">
        <f aca="false">IF(A289="","",M288+K288+H288)</f>
        <v/>
      </c>
      <c r="Q288" s="204"/>
      <c r="R288" s="200" t="str">
        <f aca="false">IF($A289="","",VLOOKUP($A288,Table,MATCH(R$4,Curves,0)))</f>
        <v/>
      </c>
      <c r="S288" s="201" t="str">
        <f aca="false">IF(A289="","",R288)</f>
        <v/>
      </c>
      <c r="T288" s="185" t="n">
        <v>0</v>
      </c>
      <c r="U288" s="201" t="str">
        <f aca="false">IF(A289="","",T288)</f>
        <v/>
      </c>
      <c r="V288" s="205" t="str">
        <f aca="false">IF($A289="","",IF(AND(MONTH(A288)&gt;3,MONTH(A288)&lt;11),(T288+R288+G288)*Summary!$T$11/(1-Summary!$T$11),(T288+R288+G288)*Summary!$U$11/(1-Summary!$U$11)))</f>
        <v/>
      </c>
      <c r="W288" s="202" t="str">
        <f aca="false">IF($A289="","",(T288+R288+G288+V288))</f>
        <v/>
      </c>
      <c r="X288" s="202" t="str">
        <f aca="false">IF($A289="","",(U288+S288+H288+V288))</f>
        <v/>
      </c>
      <c r="Y288" s="202"/>
      <c r="Z288" s="185" t="str">
        <f aca="false">IF($A289="","",VLOOKUP($A288,Table,MATCH(Z$4,Curves,0)))</f>
        <v/>
      </c>
      <c r="AA288" s="185" t="str">
        <f aca="false">IF($A289="","",VLOOKUP($A288,Table,MATCH(AA$4,Curves,0)))</f>
        <v/>
      </c>
      <c r="AB288" s="185" t="e">
        <f aca="false">SQRT((AA288^2*(A288-$D$3)+Z288^2*(DAY(EOMONTH(A288,0))/2))/AK288)</f>
        <v>#VALUE!</v>
      </c>
      <c r="AC288" s="185" t="str">
        <f aca="false">IF($A289="","",VLOOKUP($A288,Table,MATCH(AC$4,Curves,0)))</f>
        <v/>
      </c>
      <c r="AD288" s="185" t="str">
        <f aca="false">IF($A289="","",VLOOKUP($A288,Table,MATCH(AD$4,Curves,0)))</f>
        <v/>
      </c>
      <c r="AE288" s="185" t="e">
        <f aca="false">SQRT((AD288^2*(A288-$D$3)+AC288^2*(DAY(EOMONTH(A288,0))/2))/AK288)</f>
        <v>#VALUE!</v>
      </c>
      <c r="AF288" s="206" t="e">
        <f aca="false">((Summary!$N$11*(AA288*AD288)*(A288-$D$3))+(Summary!$M$11*Z288*AC288*(AJ288-EOMONTH(EDATE(A288,-1),0))))/(AK288*AB288*AE288)</f>
        <v>#VALUE!</v>
      </c>
      <c r="AG288" s="207" t="str">
        <f aca="false">IF($A289="","",Summary!$Q$11)</f>
        <v/>
      </c>
      <c r="AH288" s="207" t="str">
        <f aca="false">IF($A289="","",IF(Summary!$R$11="Y",(VLOOKUP($A288,Summary!$AD$6:$AF$9,3)+'Escalating commodity'!G301),'Escalating commodity'!G301))</f>
        <v/>
      </c>
      <c r="AI288" s="207" t="str">
        <f aca="false">IF($A289="","",AH288)</f>
        <v/>
      </c>
      <c r="AJ288" s="208" t="e">
        <f aca="false">A288+DAY(EOMONTH(A288,0))/2-1</f>
        <v>#VALUE!</v>
      </c>
      <c r="AK288" s="209" t="str">
        <f aca="false">IF($A289="","",$A288-$E$1)</f>
        <v/>
      </c>
      <c r="AL288" s="182" t="str">
        <f aca="false">IF($A289="","",SPRDOPT(P288,X288,AI288,0,AB288,AE288,AF288,AK288,$AJ$2,0))</f>
        <v/>
      </c>
      <c r="AM288" s="210" t="str">
        <f aca="false">IF($A289="","",MAX(0,O288-W288-AI288))</f>
        <v/>
      </c>
      <c r="AN288" s="211" t="str">
        <f aca="false">IF($A289="","",AL288-AM288)</f>
        <v/>
      </c>
      <c r="AO288" s="137" t="str">
        <f aca="false">IF(A289="","",A289-A288)</f>
        <v/>
      </c>
      <c r="AP288" s="212" t="str">
        <f aca="false">IF(A289="","",CHOOSE(F$3,A289+24,A288))</f>
        <v/>
      </c>
      <c r="AQ288" s="209" t="str">
        <f aca="false">IF(A289="","",AP288-$E$1)</f>
        <v/>
      </c>
      <c r="AR288" s="185" t="n">
        <f aca="false">'ANR OK vs ML7'!AR288</f>
        <v>0.1</v>
      </c>
      <c r="AS288" s="213" t="str">
        <f aca="false">IF(A289="","",1/(1+CHOOSE(F$3,(AR289+($I$3/10000))/2,(AR288+($I$3/10000))/2))^(2*AQ288/365.25))</f>
        <v/>
      </c>
      <c r="AT288" s="137" t="str">
        <f aca="false">IF(A289="","",IF(AND(mthbeg&lt;=A288,mthend&gt;=A288),1,0))</f>
        <v/>
      </c>
      <c r="AU288" s="137" t="str">
        <f aca="false">IF(A289="","",AO288*AT288)</f>
        <v/>
      </c>
      <c r="AW288" s="195" t="str">
        <f aca="false">IF($A289="","",AL288*$E288)</f>
        <v/>
      </c>
      <c r="AX288" s="195" t="str">
        <f aca="false">IF($A289="","",AM288*$E288)</f>
        <v/>
      </c>
      <c r="AY288" s="195" t="str">
        <f aca="false">IF($A289="","",AN288*$E288)</f>
        <v/>
      </c>
      <c r="BA288" s="195" t="str">
        <f aca="false">IF($A289="","",F288*Summary!$Q$11)</f>
        <v/>
      </c>
    </row>
    <row r="289" customFormat="false" ht="12" hidden="false" customHeight="true" outlineLevel="0" collapsed="false">
      <c r="A289" s="196" t="str">
        <f aca="false">IF(A288&lt;mthend,EDATE(A288,1),"")</f>
        <v/>
      </c>
      <c r="B289" s="197" t="str">
        <f aca="false">IF(A289&lt;mthend,B288,"")</f>
        <v/>
      </c>
      <c r="C289" s="215"/>
      <c r="D289" s="197" t="str">
        <f aca="false">IF(A290&lt;&gt;"",B289+C289,"")</f>
        <v/>
      </c>
      <c r="E289" s="199" t="str">
        <f aca="false">IF(A290="","",IF(AND(AT289=1,$H$3=1),D289*AO289,IF($H$3=2,D289,"N/A")))</f>
        <v/>
      </c>
      <c r="F289" s="199" t="str">
        <f aca="false">IF(A290="","",E289*AS289)</f>
        <v/>
      </c>
      <c r="G289" s="200" t="str">
        <f aca="false">IF($A290="","",VLOOKUP($A289,Table,MATCH(G$4,Curves,0)))</f>
        <v/>
      </c>
      <c r="H289" s="201" t="str">
        <f aca="false">IF(A290="","",G289)</f>
        <v/>
      </c>
      <c r="I289" s="202"/>
      <c r="J289" s="200" t="str">
        <f aca="false">IF($A290="","",VLOOKUP($A289,Table,MATCH(J$4,Curves,0)))</f>
        <v/>
      </c>
      <c r="K289" s="201" t="str">
        <f aca="false">IF(A290="","",J289)</f>
        <v/>
      </c>
      <c r="L289" s="200" t="str">
        <f aca="false">IF($A290="","",VLOOKUP($A289,Table,MATCH(L$4,Curves,0)))</f>
        <v/>
      </c>
      <c r="M289" s="201" t="str">
        <f aca="false">IF(A290="","",L289)</f>
        <v/>
      </c>
      <c r="N289" s="203"/>
      <c r="O289" s="200" t="str">
        <f aca="false">IF(A290="","",L289+J289+G289)</f>
        <v/>
      </c>
      <c r="P289" s="200" t="str">
        <f aca="false">IF(A290="","",M289+K289+H289)</f>
        <v/>
      </c>
      <c r="Q289" s="204"/>
      <c r="R289" s="200" t="str">
        <f aca="false">IF($A290="","",VLOOKUP($A289,Table,MATCH(R$4,Curves,0)))</f>
        <v/>
      </c>
      <c r="S289" s="201" t="str">
        <f aca="false">IF(A290="","",R289)</f>
        <v/>
      </c>
      <c r="T289" s="185" t="n">
        <v>0</v>
      </c>
      <c r="U289" s="201" t="str">
        <f aca="false">IF(A290="","",T289)</f>
        <v/>
      </c>
      <c r="V289" s="205" t="str">
        <f aca="false">IF($A290="","",IF(AND(MONTH(A289)&gt;3,MONTH(A289)&lt;11),(T289+R289+G289)*Summary!$T$11/(1-Summary!$T$11),(T289+R289+G289)*Summary!$U$11/(1-Summary!$U$11)))</f>
        <v/>
      </c>
      <c r="W289" s="202" t="str">
        <f aca="false">IF($A290="","",(T289+R289+G289+V289))</f>
        <v/>
      </c>
      <c r="X289" s="202" t="str">
        <f aca="false">IF($A290="","",(U289+S289+H289+V289))</f>
        <v/>
      </c>
      <c r="Y289" s="202"/>
      <c r="Z289" s="185" t="str">
        <f aca="false">IF($A290="","",VLOOKUP($A289,Table,MATCH(Z$4,Curves,0)))</f>
        <v/>
      </c>
      <c r="AA289" s="185" t="str">
        <f aca="false">IF($A290="","",VLOOKUP($A289,Table,MATCH(AA$4,Curves,0)))</f>
        <v/>
      </c>
      <c r="AB289" s="185" t="e">
        <f aca="false">SQRT((AA289^2*(A289-$D$3)+Z289^2*(DAY(EOMONTH(A289,0))/2))/AK289)</f>
        <v>#VALUE!</v>
      </c>
      <c r="AC289" s="185" t="str">
        <f aca="false">IF($A290="","",VLOOKUP($A289,Table,MATCH(AC$4,Curves,0)))</f>
        <v/>
      </c>
      <c r="AD289" s="185" t="str">
        <f aca="false">IF($A290="","",VLOOKUP($A289,Table,MATCH(AD$4,Curves,0)))</f>
        <v/>
      </c>
      <c r="AE289" s="185" t="e">
        <f aca="false">SQRT((AD289^2*(A289-$D$3)+AC289^2*(DAY(EOMONTH(A289,0))/2))/AK289)</f>
        <v>#VALUE!</v>
      </c>
      <c r="AF289" s="206" t="e">
        <f aca="false">((Summary!$N$11*(AA289*AD289)*(A289-$D$3))+(Summary!$M$11*Z289*AC289*(AJ289-EOMONTH(EDATE(A289,-1),0))))/(AK289*AB289*AE289)</f>
        <v>#VALUE!</v>
      </c>
      <c r="AG289" s="207" t="str">
        <f aca="false">IF($A290="","",Summary!$Q$11)</f>
        <v/>
      </c>
      <c r="AH289" s="207" t="str">
        <f aca="false">IF($A290="","",IF(Summary!$R$11="Y",(VLOOKUP($A289,Summary!$AD$6:$AF$9,3)+'Escalating commodity'!G302),'Escalating commodity'!G302))</f>
        <v/>
      </c>
      <c r="AI289" s="207" t="str">
        <f aca="false">IF($A290="","",AH289)</f>
        <v/>
      </c>
      <c r="AJ289" s="208" t="e">
        <f aca="false">A289+DAY(EOMONTH(A289,0))/2-1</f>
        <v>#VALUE!</v>
      </c>
      <c r="AK289" s="209" t="str">
        <f aca="false">IF($A290="","",$A289-$E$1)</f>
        <v/>
      </c>
      <c r="AL289" s="182" t="str">
        <f aca="false">IF($A290="","",SPRDOPT(P289,X289,AI289,0,AB289,AE289,AF289,AK289,$AJ$2,0))</f>
        <v/>
      </c>
      <c r="AM289" s="210" t="str">
        <f aca="false">IF($A290="","",MAX(0,O289-W289-AI289))</f>
        <v/>
      </c>
      <c r="AN289" s="211" t="str">
        <f aca="false">IF($A290="","",AL289-AM289)</f>
        <v/>
      </c>
      <c r="AO289" s="137" t="str">
        <f aca="false">IF(A290="","",A290-A289)</f>
        <v/>
      </c>
      <c r="AP289" s="212" t="str">
        <f aca="false">IF(A290="","",CHOOSE(F$3,A290+24,A289))</f>
        <v/>
      </c>
      <c r="AQ289" s="209" t="str">
        <f aca="false">IF(A290="","",AP289-$E$1)</f>
        <v/>
      </c>
      <c r="AR289" s="185" t="n">
        <f aca="false">'ANR OK vs ML7'!AR289</f>
        <v>0.1</v>
      </c>
      <c r="AS289" s="213" t="str">
        <f aca="false">IF(A290="","",1/(1+CHOOSE(F$3,(AR290+($I$3/10000))/2,(AR289+($I$3/10000))/2))^(2*AQ289/365.25))</f>
        <v/>
      </c>
      <c r="AT289" s="137" t="str">
        <f aca="false">IF(A290="","",IF(AND(mthbeg&lt;=A289,mthend&gt;=A289),1,0))</f>
        <v/>
      </c>
      <c r="AU289" s="137" t="str">
        <f aca="false">IF(A290="","",AO289*AT289)</f>
        <v/>
      </c>
      <c r="AW289" s="195" t="str">
        <f aca="false">IF($A290="","",AL289*$E289)</f>
        <v/>
      </c>
      <c r="AX289" s="195" t="str">
        <f aca="false">IF($A290="","",AM289*$E289)</f>
        <v/>
      </c>
      <c r="AY289" s="195" t="str">
        <f aca="false">IF($A290="","",AN289*$E289)</f>
        <v/>
      </c>
      <c r="BA289" s="195" t="str">
        <f aca="false">IF($A290="","",F289*Summary!$Q$11)</f>
        <v/>
      </c>
    </row>
    <row r="290" customFormat="false" ht="12" hidden="false" customHeight="true" outlineLevel="0" collapsed="false">
      <c r="A290" s="196" t="str">
        <f aca="false">IF(A289&lt;mthend,EDATE(A289,1),"")</f>
        <v/>
      </c>
      <c r="B290" s="197" t="str">
        <f aca="false">IF(A290&lt;mthend,B289,"")</f>
        <v/>
      </c>
      <c r="C290" s="215"/>
      <c r="D290" s="197" t="str">
        <f aca="false">IF(A291&lt;&gt;"",B290+C290,"")</f>
        <v/>
      </c>
      <c r="E290" s="199" t="str">
        <f aca="false">IF(A291="","",IF(AND(AT290=1,$H$3=1),D290*AO290,IF($H$3=2,D290,"N/A")))</f>
        <v/>
      </c>
      <c r="F290" s="199" t="str">
        <f aca="false">IF(A291="","",E290*AS290)</f>
        <v/>
      </c>
      <c r="G290" s="200" t="str">
        <f aca="false">IF($A291="","",VLOOKUP($A290,Table,MATCH(G$4,Curves,0)))</f>
        <v/>
      </c>
      <c r="H290" s="201" t="str">
        <f aca="false">IF(A291="","",G290)</f>
        <v/>
      </c>
      <c r="I290" s="202"/>
      <c r="J290" s="200" t="str">
        <f aca="false">IF($A291="","",VLOOKUP($A290,Table,MATCH(J$4,Curves,0)))</f>
        <v/>
      </c>
      <c r="K290" s="201" t="str">
        <f aca="false">IF(A291="","",J290)</f>
        <v/>
      </c>
      <c r="L290" s="200" t="str">
        <f aca="false">IF($A291="","",VLOOKUP($A290,Table,MATCH(L$4,Curves,0)))</f>
        <v/>
      </c>
      <c r="M290" s="201" t="str">
        <f aca="false">IF(A291="","",L290)</f>
        <v/>
      </c>
      <c r="N290" s="203"/>
      <c r="O290" s="200" t="str">
        <f aca="false">IF(A291="","",L290+J290+G290)</f>
        <v/>
      </c>
      <c r="P290" s="200" t="str">
        <f aca="false">IF(A291="","",M290+K290+H290)</f>
        <v/>
      </c>
      <c r="Q290" s="204"/>
      <c r="R290" s="200" t="str">
        <f aca="false">IF($A291="","",VLOOKUP($A290,Table,MATCH(R$4,Curves,0)))</f>
        <v/>
      </c>
      <c r="S290" s="201" t="str">
        <f aca="false">IF(A291="","",R290)</f>
        <v/>
      </c>
      <c r="T290" s="185" t="n">
        <v>0</v>
      </c>
      <c r="U290" s="201" t="str">
        <f aca="false">IF(A291="","",T290)</f>
        <v/>
      </c>
      <c r="V290" s="205" t="str">
        <f aca="false">IF($A291="","",IF(AND(MONTH(A290)&gt;3,MONTH(A290)&lt;11),(T290+R290+G290)*Summary!$T$11/(1-Summary!$T$11),(T290+R290+G290)*Summary!$U$11/(1-Summary!$U$11)))</f>
        <v/>
      </c>
      <c r="W290" s="202" t="str">
        <f aca="false">IF($A291="","",(T290+R290+G290+V290))</f>
        <v/>
      </c>
      <c r="X290" s="202" t="str">
        <f aca="false">IF($A291="","",(U290+S290+H290+V290))</f>
        <v/>
      </c>
      <c r="Y290" s="202"/>
      <c r="Z290" s="185" t="str">
        <f aca="false">IF($A291="","",VLOOKUP($A290,Table,MATCH(Z$4,Curves,0)))</f>
        <v/>
      </c>
      <c r="AA290" s="185" t="str">
        <f aca="false">IF($A291="","",VLOOKUP($A290,Table,MATCH(AA$4,Curves,0)))</f>
        <v/>
      </c>
      <c r="AB290" s="185" t="e">
        <f aca="false">SQRT((AA290^2*(A290-$D$3)+Z290^2*(DAY(EOMONTH(A290,0))/2))/AK290)</f>
        <v>#VALUE!</v>
      </c>
      <c r="AC290" s="185" t="str">
        <f aca="false">IF($A291="","",VLOOKUP($A290,Table,MATCH(AC$4,Curves,0)))</f>
        <v/>
      </c>
      <c r="AD290" s="185" t="str">
        <f aca="false">IF($A291="","",VLOOKUP($A290,Table,MATCH(AD$4,Curves,0)))</f>
        <v/>
      </c>
      <c r="AE290" s="185" t="e">
        <f aca="false">SQRT((AD290^2*(A290-$D$3)+AC290^2*(DAY(EOMONTH(A290,0))/2))/AK290)</f>
        <v>#VALUE!</v>
      </c>
      <c r="AF290" s="206" t="e">
        <f aca="false">((Summary!$N$11*(AA290*AD290)*(A290-$D$3))+(Summary!$M$11*Z290*AC290*(AJ290-EOMONTH(EDATE(A290,-1),0))))/(AK290*AB290*AE290)</f>
        <v>#VALUE!</v>
      </c>
      <c r="AG290" s="207" t="str">
        <f aca="false">IF($A291="","",Summary!$Q$11)</f>
        <v/>
      </c>
      <c r="AH290" s="207" t="str">
        <f aca="false">IF($A291="","",IF(Summary!$R$11="Y",(VLOOKUP($A290,Summary!$AD$6:$AF$9,3)+'Escalating commodity'!G303),'Escalating commodity'!G303))</f>
        <v/>
      </c>
      <c r="AI290" s="207" t="str">
        <f aca="false">IF($A291="","",AH290)</f>
        <v/>
      </c>
      <c r="AJ290" s="208" t="e">
        <f aca="false">A290+DAY(EOMONTH(A290,0))/2-1</f>
        <v>#VALUE!</v>
      </c>
      <c r="AK290" s="209" t="str">
        <f aca="false">IF($A291="","",$A290-$E$1)</f>
        <v/>
      </c>
      <c r="AL290" s="182" t="str">
        <f aca="false">IF($A291="","",SPRDOPT(P290,X290,AI290,0,AB290,AE290,AF290,AK290,$AJ$2,0))</f>
        <v/>
      </c>
      <c r="AM290" s="210" t="str">
        <f aca="false">IF($A291="","",MAX(0,O290-W290-AI290))</f>
        <v/>
      </c>
      <c r="AN290" s="211" t="str">
        <f aca="false">IF($A291="","",AL290-AM290)</f>
        <v/>
      </c>
      <c r="AO290" s="137" t="str">
        <f aca="false">IF(A291="","",A291-A290)</f>
        <v/>
      </c>
      <c r="AP290" s="212" t="str">
        <f aca="false">IF(A291="","",CHOOSE(F$3,A291+24,A290))</f>
        <v/>
      </c>
      <c r="AQ290" s="209" t="str">
        <f aca="false">IF(A291="","",AP290-$E$1)</f>
        <v/>
      </c>
      <c r="AR290" s="185" t="n">
        <f aca="false">'ANR OK vs ML7'!AR290</f>
        <v>0.1</v>
      </c>
      <c r="AS290" s="213" t="str">
        <f aca="false">IF(A291="","",1/(1+CHOOSE(F$3,(AR291+($I$3/10000))/2,(AR290+($I$3/10000))/2))^(2*AQ290/365.25))</f>
        <v/>
      </c>
      <c r="AT290" s="137" t="str">
        <f aca="false">IF(A291="","",IF(AND(mthbeg&lt;=A290,mthend&gt;=A290),1,0))</f>
        <v/>
      </c>
      <c r="AU290" s="137" t="str">
        <f aca="false">IF(A291="","",AO290*AT290)</f>
        <v/>
      </c>
      <c r="AW290" s="195" t="str">
        <f aca="false">IF($A291="","",AL290*$E290)</f>
        <v/>
      </c>
      <c r="AX290" s="195" t="str">
        <f aca="false">IF($A291="","",AM290*$E290)</f>
        <v/>
      </c>
      <c r="AY290" s="195" t="str">
        <f aca="false">IF($A291="","",AN290*$E290)</f>
        <v/>
      </c>
      <c r="BA290" s="195" t="str">
        <f aca="false">IF($A291="","",F290*Summary!$Q$11)</f>
        <v/>
      </c>
    </row>
    <row r="291" customFormat="false" ht="12" hidden="false" customHeight="true" outlineLevel="0" collapsed="false">
      <c r="A291" s="196" t="str">
        <f aca="false">IF(A290&lt;mthend,EDATE(A290,1),"")</f>
        <v/>
      </c>
      <c r="B291" s="197" t="str">
        <f aca="false">IF(A291&lt;mthend,B290,"")</f>
        <v/>
      </c>
      <c r="C291" s="215"/>
      <c r="D291" s="197" t="str">
        <f aca="false">IF(A292&lt;&gt;"",B291+C291,"")</f>
        <v/>
      </c>
      <c r="E291" s="199" t="str">
        <f aca="false">IF(A292="","",IF(AND(AT291=1,$H$3=1),D291*AO291,IF($H$3=2,D291,"N/A")))</f>
        <v/>
      </c>
      <c r="F291" s="199" t="str">
        <f aca="false">IF(A292="","",E291*AS291)</f>
        <v/>
      </c>
      <c r="G291" s="200" t="str">
        <f aca="false">IF($A292="","",VLOOKUP($A291,Table,MATCH(G$4,Curves,0)))</f>
        <v/>
      </c>
      <c r="H291" s="201" t="str">
        <f aca="false">IF(A292="","",G291)</f>
        <v/>
      </c>
      <c r="I291" s="202"/>
      <c r="J291" s="200" t="str">
        <f aca="false">IF($A292="","",VLOOKUP($A291,Table,MATCH(J$4,Curves,0)))</f>
        <v/>
      </c>
      <c r="K291" s="201" t="str">
        <f aca="false">IF(A292="","",J291)</f>
        <v/>
      </c>
      <c r="L291" s="200" t="str">
        <f aca="false">IF($A292="","",VLOOKUP($A291,Table,MATCH(L$4,Curves,0)))</f>
        <v/>
      </c>
      <c r="M291" s="201" t="str">
        <f aca="false">IF(A292="","",L291)</f>
        <v/>
      </c>
      <c r="N291" s="203"/>
      <c r="O291" s="200" t="str">
        <f aca="false">IF(A292="","",L291+J291+G291)</f>
        <v/>
      </c>
      <c r="P291" s="200" t="str">
        <f aca="false">IF(A292="","",M291+K291+H291)</f>
        <v/>
      </c>
      <c r="Q291" s="204"/>
      <c r="R291" s="200" t="str">
        <f aca="false">IF($A292="","",VLOOKUP($A291,Table,MATCH(R$4,Curves,0)))</f>
        <v/>
      </c>
      <c r="S291" s="201" t="str">
        <f aca="false">IF(A292="","",R291)</f>
        <v/>
      </c>
      <c r="T291" s="185" t="n">
        <v>0</v>
      </c>
      <c r="U291" s="201" t="str">
        <f aca="false">IF(A292="","",T291)</f>
        <v/>
      </c>
      <c r="V291" s="205" t="str">
        <f aca="false">IF($A292="","",IF(AND(MONTH(A291)&gt;3,MONTH(A291)&lt;11),(T291+R291+G291)*Summary!$T$11/(1-Summary!$T$11),(T291+R291+G291)*Summary!$U$11/(1-Summary!$U$11)))</f>
        <v/>
      </c>
      <c r="W291" s="202" t="str">
        <f aca="false">IF($A292="","",(T291+R291+G291+V291))</f>
        <v/>
      </c>
      <c r="X291" s="202" t="str">
        <f aca="false">IF($A292="","",(U291+S291+H291+V291))</f>
        <v/>
      </c>
      <c r="Y291" s="202"/>
      <c r="Z291" s="185" t="str">
        <f aca="false">IF($A292="","",VLOOKUP($A291,Table,MATCH(Z$4,Curves,0)))</f>
        <v/>
      </c>
      <c r="AA291" s="185" t="str">
        <f aca="false">IF($A292="","",VLOOKUP($A291,Table,MATCH(AA$4,Curves,0)))</f>
        <v/>
      </c>
      <c r="AB291" s="185" t="e">
        <f aca="false">SQRT((AA291^2*(A291-$D$3)+Z291^2*(DAY(EOMONTH(A291,0))/2))/AK291)</f>
        <v>#VALUE!</v>
      </c>
      <c r="AC291" s="185" t="str">
        <f aca="false">IF($A292="","",VLOOKUP($A291,Table,MATCH(AC$4,Curves,0)))</f>
        <v/>
      </c>
      <c r="AD291" s="185" t="str">
        <f aca="false">IF($A292="","",VLOOKUP($A291,Table,MATCH(AD$4,Curves,0)))</f>
        <v/>
      </c>
      <c r="AE291" s="185" t="e">
        <f aca="false">SQRT((AD291^2*(A291-$D$3)+AC291^2*(DAY(EOMONTH(A291,0))/2))/AK291)</f>
        <v>#VALUE!</v>
      </c>
      <c r="AF291" s="206" t="e">
        <f aca="false">((Summary!$N$11*(AA291*AD291)*(A291-$D$3))+(Summary!$M$11*Z291*AC291*(AJ291-EOMONTH(EDATE(A291,-1),0))))/(AK291*AB291*AE291)</f>
        <v>#VALUE!</v>
      </c>
      <c r="AG291" s="207" t="str">
        <f aca="false">IF($A292="","",Summary!$Q$11)</f>
        <v/>
      </c>
      <c r="AH291" s="207" t="str">
        <f aca="false">IF($A292="","",IF(Summary!$R$11="Y",(VLOOKUP($A291,Summary!$AD$6:$AF$9,3)+'Escalating commodity'!G304),'Escalating commodity'!G304))</f>
        <v/>
      </c>
      <c r="AI291" s="207" t="str">
        <f aca="false">IF($A292="","",AH291)</f>
        <v/>
      </c>
      <c r="AJ291" s="208" t="e">
        <f aca="false">A291+DAY(EOMONTH(A291,0))/2-1</f>
        <v>#VALUE!</v>
      </c>
      <c r="AK291" s="209" t="str">
        <f aca="false">IF($A292="","",$A291-$E$1)</f>
        <v/>
      </c>
      <c r="AL291" s="182" t="str">
        <f aca="false">IF($A292="","",SPRDOPT(P291,X291,AI291,0,AB291,AE291,AF291,AK291,$AJ$2,0))</f>
        <v/>
      </c>
      <c r="AM291" s="210" t="str">
        <f aca="false">IF($A292="","",MAX(0,O291-W291-AI291))</f>
        <v/>
      </c>
      <c r="AN291" s="211" t="str">
        <f aca="false">IF($A292="","",AL291-AM291)</f>
        <v/>
      </c>
      <c r="AO291" s="137" t="str">
        <f aca="false">IF(A292="","",A292-A291)</f>
        <v/>
      </c>
      <c r="AP291" s="212" t="str">
        <f aca="false">IF(A292="","",CHOOSE(F$3,A292+24,A291))</f>
        <v/>
      </c>
      <c r="AQ291" s="209" t="str">
        <f aca="false">IF(A292="","",AP291-$E$1)</f>
        <v/>
      </c>
      <c r="AR291" s="185" t="n">
        <f aca="false">'ANR OK vs ML7'!AR291</f>
        <v>0.1</v>
      </c>
      <c r="AS291" s="213" t="str">
        <f aca="false">IF(A292="","",1/(1+CHOOSE(F$3,(AR292+($I$3/10000))/2,(AR291+($I$3/10000))/2))^(2*AQ291/365.25))</f>
        <v/>
      </c>
      <c r="AT291" s="137" t="str">
        <f aca="false">IF(A292="","",IF(AND(mthbeg&lt;=A291,mthend&gt;=A291),1,0))</f>
        <v/>
      </c>
      <c r="AU291" s="137" t="str">
        <f aca="false">IF(A292="","",AO291*AT291)</f>
        <v/>
      </c>
      <c r="AW291" s="195" t="str">
        <f aca="false">IF($A292="","",AL291*$E291)</f>
        <v/>
      </c>
      <c r="AX291" s="195" t="str">
        <f aca="false">IF($A292="","",AM291*$E291)</f>
        <v/>
      </c>
      <c r="AY291" s="195" t="str">
        <f aca="false">IF($A292="","",AN291*$E291)</f>
        <v/>
      </c>
      <c r="BA291" s="195" t="str">
        <f aca="false">IF($A292="","",F291*Summary!$Q$11)</f>
        <v/>
      </c>
    </row>
    <row r="292" customFormat="false" ht="12" hidden="false" customHeight="true" outlineLevel="0" collapsed="false">
      <c r="A292" s="196" t="str">
        <f aca="false">IF(A291&lt;mthend,EDATE(A291,1),"")</f>
        <v/>
      </c>
      <c r="B292" s="197" t="str">
        <f aca="false">IF(A292&lt;mthend,B291,"")</f>
        <v/>
      </c>
      <c r="C292" s="215"/>
      <c r="D292" s="197" t="str">
        <f aca="false">IF(A293&lt;&gt;"",B292+C292,"")</f>
        <v/>
      </c>
      <c r="E292" s="199" t="str">
        <f aca="false">IF(A293="","",IF(AND(AT292=1,$H$3=1),D292*AO292,IF($H$3=2,D292,"N/A")))</f>
        <v/>
      </c>
      <c r="F292" s="199" t="str">
        <f aca="false">IF(A293="","",E292*AS292)</f>
        <v/>
      </c>
      <c r="G292" s="200" t="str">
        <f aca="false">IF($A293="","",VLOOKUP($A292,Table,MATCH(G$4,Curves,0)))</f>
        <v/>
      </c>
      <c r="H292" s="201" t="str">
        <f aca="false">IF(A293="","",G292)</f>
        <v/>
      </c>
      <c r="I292" s="202"/>
      <c r="J292" s="200" t="str">
        <f aca="false">IF($A293="","",VLOOKUP($A292,Table,MATCH(J$4,Curves,0)))</f>
        <v/>
      </c>
      <c r="K292" s="201" t="str">
        <f aca="false">IF(A293="","",J292)</f>
        <v/>
      </c>
      <c r="L292" s="200" t="str">
        <f aca="false">IF($A293="","",VLOOKUP($A292,Table,MATCH(L$4,Curves,0)))</f>
        <v/>
      </c>
      <c r="M292" s="201" t="str">
        <f aca="false">IF(A293="","",L292)</f>
        <v/>
      </c>
      <c r="N292" s="203"/>
      <c r="O292" s="200" t="str">
        <f aca="false">IF(A293="","",L292+J292+G292)</f>
        <v/>
      </c>
      <c r="P292" s="200" t="str">
        <f aca="false">IF(A293="","",M292+K292+H292)</f>
        <v/>
      </c>
      <c r="Q292" s="204"/>
      <c r="R292" s="200" t="str">
        <f aca="false">IF($A293="","",VLOOKUP($A292,Table,MATCH(R$4,Curves,0)))</f>
        <v/>
      </c>
      <c r="S292" s="201" t="str">
        <f aca="false">IF(A293="","",R292)</f>
        <v/>
      </c>
      <c r="T292" s="185" t="n">
        <v>0</v>
      </c>
      <c r="U292" s="201" t="str">
        <f aca="false">IF(A293="","",T292)</f>
        <v/>
      </c>
      <c r="V292" s="205" t="str">
        <f aca="false">IF($A293="","",IF(AND(MONTH(A292)&gt;3,MONTH(A292)&lt;11),(T292+R292+G292)*Summary!$T$11/(1-Summary!$T$11),(T292+R292+G292)*Summary!$U$11/(1-Summary!$U$11)))</f>
        <v/>
      </c>
      <c r="W292" s="202" t="str">
        <f aca="false">IF($A293="","",(T292+R292+G292+V292))</f>
        <v/>
      </c>
      <c r="X292" s="202" t="str">
        <f aca="false">IF($A293="","",(U292+S292+H292+V292))</f>
        <v/>
      </c>
      <c r="Y292" s="202"/>
      <c r="Z292" s="185" t="str">
        <f aca="false">IF($A293="","",VLOOKUP($A292,Table,MATCH(Z$4,Curves,0)))</f>
        <v/>
      </c>
      <c r="AA292" s="185" t="str">
        <f aca="false">IF($A293="","",VLOOKUP($A292,Table,MATCH(AA$4,Curves,0)))</f>
        <v/>
      </c>
      <c r="AB292" s="185" t="e">
        <f aca="false">SQRT((AA292^2*(A292-$D$3)+Z292^2*(DAY(EOMONTH(A292,0))/2))/AK292)</f>
        <v>#VALUE!</v>
      </c>
      <c r="AC292" s="185" t="str">
        <f aca="false">IF($A293="","",VLOOKUP($A292,Table,MATCH(AC$4,Curves,0)))</f>
        <v/>
      </c>
      <c r="AD292" s="185" t="str">
        <f aca="false">IF($A293="","",VLOOKUP($A292,Table,MATCH(AD$4,Curves,0)))</f>
        <v/>
      </c>
      <c r="AE292" s="185" t="e">
        <f aca="false">SQRT((AD292^2*(A292-$D$3)+AC292^2*(DAY(EOMONTH(A292,0))/2))/AK292)</f>
        <v>#VALUE!</v>
      </c>
      <c r="AF292" s="206" t="e">
        <f aca="false">((Summary!$N$11*(AA292*AD292)*(A292-$D$3))+(Summary!$M$11*Z292*AC292*(AJ292-EOMONTH(EDATE(A292,-1),0))))/(AK292*AB292*AE292)</f>
        <v>#VALUE!</v>
      </c>
      <c r="AG292" s="207" t="str">
        <f aca="false">IF($A293="","",Summary!$Q$11)</f>
        <v/>
      </c>
      <c r="AH292" s="207" t="str">
        <f aca="false">IF($A293="","",IF(Summary!$R$11="Y",(VLOOKUP($A292,Summary!$AD$6:$AF$9,3)+'Escalating commodity'!G305),'Escalating commodity'!G305))</f>
        <v/>
      </c>
      <c r="AI292" s="207" t="str">
        <f aca="false">IF($A293="","",AH292)</f>
        <v/>
      </c>
      <c r="AJ292" s="208" t="e">
        <f aca="false">A292+DAY(EOMONTH(A292,0))/2-1</f>
        <v>#VALUE!</v>
      </c>
      <c r="AK292" s="209" t="str">
        <f aca="false">IF($A293="","",$A292-$E$1)</f>
        <v/>
      </c>
      <c r="AL292" s="182" t="str">
        <f aca="false">IF($A293="","",SPRDOPT(P292,X292,AI292,0,AB292,AE292,AF292,AK292,$AJ$2,0))</f>
        <v/>
      </c>
      <c r="AM292" s="210" t="str">
        <f aca="false">IF($A293="","",MAX(0,O292-W292-AI292))</f>
        <v/>
      </c>
      <c r="AN292" s="211" t="str">
        <f aca="false">IF($A293="","",AL292-AM292)</f>
        <v/>
      </c>
      <c r="AO292" s="137" t="str">
        <f aca="false">IF(A293="","",A293-A292)</f>
        <v/>
      </c>
      <c r="AP292" s="212" t="str">
        <f aca="false">IF(A293="","",CHOOSE(F$3,A293+24,A292))</f>
        <v/>
      </c>
      <c r="AQ292" s="209" t="str">
        <f aca="false">IF(A293="","",AP292-$E$1)</f>
        <v/>
      </c>
      <c r="AR292" s="185" t="n">
        <f aca="false">'ANR OK vs ML7'!AR292</f>
        <v>0.1</v>
      </c>
      <c r="AS292" s="213" t="str">
        <f aca="false">IF(A293="","",1/(1+CHOOSE(F$3,(AR293+($I$3/10000))/2,(AR292+($I$3/10000))/2))^(2*AQ292/365.25))</f>
        <v/>
      </c>
      <c r="AT292" s="137" t="str">
        <f aca="false">IF(A293="","",IF(AND(mthbeg&lt;=A292,mthend&gt;=A292),1,0))</f>
        <v/>
      </c>
      <c r="AU292" s="137" t="str">
        <f aca="false">IF(A293="","",AO292*AT292)</f>
        <v/>
      </c>
      <c r="AW292" s="195" t="str">
        <f aca="false">IF($A293="","",AL292*$E292)</f>
        <v/>
      </c>
      <c r="AX292" s="195" t="str">
        <f aca="false">IF($A293="","",AM292*$E292)</f>
        <v/>
      </c>
      <c r="AY292" s="195" t="str">
        <f aca="false">IF($A293="","",AN292*$E292)</f>
        <v/>
      </c>
      <c r="BA292" s="195" t="str">
        <f aca="false">IF($A293="","",F292*Summary!$Q$11)</f>
        <v/>
      </c>
    </row>
    <row r="293" customFormat="false" ht="12" hidden="false" customHeight="true" outlineLevel="0" collapsed="false">
      <c r="A293" s="196" t="str">
        <f aca="false">IF(A292&lt;mthend,EDATE(A292,1),"")</f>
        <v/>
      </c>
      <c r="B293" s="197" t="str">
        <f aca="false">IF(A293&lt;mthend,B292,"")</f>
        <v/>
      </c>
      <c r="C293" s="215"/>
      <c r="D293" s="197" t="str">
        <f aca="false">IF(A294&lt;&gt;"",B293+C293,"")</f>
        <v/>
      </c>
      <c r="E293" s="199" t="str">
        <f aca="false">IF(A294="","",IF(AND(AT293=1,$H$3=1),D293*AO293,IF($H$3=2,D293,"N/A")))</f>
        <v/>
      </c>
      <c r="F293" s="199" t="str">
        <f aca="false">IF(A294="","",E293*AS293)</f>
        <v/>
      </c>
      <c r="G293" s="200" t="str">
        <f aca="false">IF($A294="","",VLOOKUP($A293,Table,MATCH(G$4,Curves,0)))</f>
        <v/>
      </c>
      <c r="H293" s="201" t="str">
        <f aca="false">IF(A294="","",G293)</f>
        <v/>
      </c>
      <c r="I293" s="202"/>
      <c r="J293" s="200" t="str">
        <f aca="false">IF($A294="","",VLOOKUP($A293,Table,MATCH(J$4,Curves,0)))</f>
        <v/>
      </c>
      <c r="K293" s="201" t="str">
        <f aca="false">IF(A294="","",J293)</f>
        <v/>
      </c>
      <c r="L293" s="200" t="str">
        <f aca="false">IF($A294="","",VLOOKUP($A293,Table,MATCH(L$4,Curves,0)))</f>
        <v/>
      </c>
      <c r="M293" s="201" t="str">
        <f aca="false">IF(A294="","",L293)</f>
        <v/>
      </c>
      <c r="N293" s="203"/>
      <c r="O293" s="200" t="str">
        <f aca="false">IF(A294="","",L293+J293+G293)</f>
        <v/>
      </c>
      <c r="P293" s="200" t="str">
        <f aca="false">IF(A294="","",M293+K293+H293)</f>
        <v/>
      </c>
      <c r="Q293" s="204"/>
      <c r="R293" s="200" t="str">
        <f aca="false">IF($A294="","",VLOOKUP($A293,Table,MATCH(R$4,Curves,0)))</f>
        <v/>
      </c>
      <c r="S293" s="201" t="str">
        <f aca="false">IF(A294="","",R293)</f>
        <v/>
      </c>
      <c r="T293" s="185" t="n">
        <v>0</v>
      </c>
      <c r="U293" s="201" t="str">
        <f aca="false">IF(A294="","",T293)</f>
        <v/>
      </c>
      <c r="V293" s="205" t="str">
        <f aca="false">IF($A294="","",IF(AND(MONTH(A293)&gt;3,MONTH(A293)&lt;11),(T293+R293+G293)*Summary!$T$11/(1-Summary!$T$11),(T293+R293+G293)*Summary!$U$11/(1-Summary!$U$11)))</f>
        <v/>
      </c>
      <c r="W293" s="202" t="str">
        <f aca="false">IF($A294="","",(T293+R293+G293+V293))</f>
        <v/>
      </c>
      <c r="X293" s="202" t="str">
        <f aca="false">IF($A294="","",(U293+S293+H293+V293))</f>
        <v/>
      </c>
      <c r="Y293" s="202"/>
      <c r="Z293" s="185" t="str">
        <f aca="false">IF($A294="","",VLOOKUP($A293,Table,MATCH(Z$4,Curves,0)))</f>
        <v/>
      </c>
      <c r="AA293" s="185" t="str">
        <f aca="false">IF($A294="","",VLOOKUP($A293,Table,MATCH(AA$4,Curves,0)))</f>
        <v/>
      </c>
      <c r="AB293" s="185" t="e">
        <f aca="false">SQRT((AA293^2*(A293-$D$3)+Z293^2*(DAY(EOMONTH(A293,0))/2))/AK293)</f>
        <v>#VALUE!</v>
      </c>
      <c r="AC293" s="185" t="str">
        <f aca="false">IF($A294="","",VLOOKUP($A293,Table,MATCH(AC$4,Curves,0)))</f>
        <v/>
      </c>
      <c r="AD293" s="185" t="str">
        <f aca="false">IF($A294="","",VLOOKUP($A293,Table,MATCH(AD$4,Curves,0)))</f>
        <v/>
      </c>
      <c r="AE293" s="185" t="e">
        <f aca="false">SQRT((AD293^2*(A293-$D$3)+AC293^2*(DAY(EOMONTH(A293,0))/2))/AK293)</f>
        <v>#VALUE!</v>
      </c>
      <c r="AF293" s="206" t="e">
        <f aca="false">((Summary!$N$11*(AA293*AD293)*(A293-$D$3))+(Summary!$M$11*Z293*AC293*(AJ293-EOMONTH(EDATE(A293,-1),0))))/(AK293*AB293*AE293)</f>
        <v>#VALUE!</v>
      </c>
      <c r="AG293" s="207" t="str">
        <f aca="false">IF($A294="","",Summary!$Q$11)</f>
        <v/>
      </c>
      <c r="AH293" s="207" t="str">
        <f aca="false">IF($A294="","",IF(Summary!$R$11="Y",(VLOOKUP($A293,Summary!$AD$6:$AF$9,3)+'Escalating commodity'!G306),'Escalating commodity'!G306))</f>
        <v/>
      </c>
      <c r="AI293" s="207" t="str">
        <f aca="false">IF($A294="","",AH293)</f>
        <v/>
      </c>
      <c r="AJ293" s="208" t="e">
        <f aca="false">A293+DAY(EOMONTH(A293,0))/2-1</f>
        <v>#VALUE!</v>
      </c>
      <c r="AK293" s="209" t="str">
        <f aca="false">IF($A294="","",$A293-$E$1)</f>
        <v/>
      </c>
      <c r="AL293" s="182" t="str">
        <f aca="false">IF($A294="","",SPRDOPT(P293,X293,AI293,0,AB293,AE293,AF293,AK293,$AJ$2,0))</f>
        <v/>
      </c>
      <c r="AM293" s="210" t="str">
        <f aca="false">IF($A294="","",MAX(0,O293-W293-AI293))</f>
        <v/>
      </c>
      <c r="AN293" s="211" t="str">
        <f aca="false">IF($A294="","",AL293-AM293)</f>
        <v/>
      </c>
      <c r="AO293" s="137" t="str">
        <f aca="false">IF(A294="","",A294-A293)</f>
        <v/>
      </c>
      <c r="AP293" s="212" t="str">
        <f aca="false">IF(A294="","",CHOOSE(F$3,A294+24,A293))</f>
        <v/>
      </c>
      <c r="AQ293" s="209" t="str">
        <f aca="false">IF(A294="","",AP293-$E$1)</f>
        <v/>
      </c>
      <c r="AR293" s="185" t="n">
        <f aca="false">'ANR OK vs ML7'!AR293</f>
        <v>0.1</v>
      </c>
      <c r="AS293" s="213" t="str">
        <f aca="false">IF(A294="","",1/(1+CHOOSE(F$3,(AR294+($I$3/10000))/2,(AR293+($I$3/10000))/2))^(2*AQ293/365.25))</f>
        <v/>
      </c>
      <c r="AT293" s="137" t="str">
        <f aca="false">IF(A294="","",IF(AND(mthbeg&lt;=A293,mthend&gt;=A293),1,0))</f>
        <v/>
      </c>
      <c r="AU293" s="137" t="str">
        <f aca="false">IF(A294="","",AO293*AT293)</f>
        <v/>
      </c>
      <c r="AW293" s="195" t="str">
        <f aca="false">IF($A294="","",AL293*$E293)</f>
        <v/>
      </c>
      <c r="AX293" s="195" t="str">
        <f aca="false">IF($A294="","",AM293*$E293)</f>
        <v/>
      </c>
      <c r="AY293" s="195" t="str">
        <f aca="false">IF($A294="","",AN293*$E293)</f>
        <v/>
      </c>
      <c r="BA293" s="195" t="str">
        <f aca="false">IF($A294="","",F293*Summary!$Q$11)</f>
        <v/>
      </c>
    </row>
    <row r="294" customFormat="false" ht="12" hidden="false" customHeight="true" outlineLevel="0" collapsed="false">
      <c r="A294" s="196" t="str">
        <f aca="false">IF(A293&lt;mthend,EDATE(A293,1),"")</f>
        <v/>
      </c>
      <c r="B294" s="197" t="str">
        <f aca="false">IF(A294&lt;mthend,B293,"")</f>
        <v/>
      </c>
      <c r="C294" s="215"/>
      <c r="D294" s="197" t="str">
        <f aca="false">IF(A295&lt;&gt;"",B294+C294,"")</f>
        <v/>
      </c>
      <c r="E294" s="199" t="str">
        <f aca="false">IF(A295="","",IF(AND(AT294=1,$H$3=1),D294*AO294,IF($H$3=2,D294,"N/A")))</f>
        <v/>
      </c>
      <c r="F294" s="199" t="str">
        <f aca="false">IF(A295="","",E294*AS294)</f>
        <v/>
      </c>
      <c r="G294" s="200" t="str">
        <f aca="false">IF($A295="","",VLOOKUP($A294,Table,MATCH(G$4,Curves,0)))</f>
        <v/>
      </c>
      <c r="H294" s="201" t="str">
        <f aca="false">IF(A295="","",G294)</f>
        <v/>
      </c>
      <c r="I294" s="202"/>
      <c r="J294" s="200" t="str">
        <f aca="false">IF($A295="","",VLOOKUP($A294,Table,MATCH(J$4,Curves,0)))</f>
        <v/>
      </c>
      <c r="K294" s="201" t="str">
        <f aca="false">IF(A295="","",J294)</f>
        <v/>
      </c>
      <c r="L294" s="200" t="str">
        <f aca="false">IF($A295="","",VLOOKUP($A294,Table,MATCH(L$4,Curves,0)))</f>
        <v/>
      </c>
      <c r="M294" s="201" t="str">
        <f aca="false">IF(A295="","",L294)</f>
        <v/>
      </c>
      <c r="N294" s="203"/>
      <c r="O294" s="200" t="str">
        <f aca="false">IF(A295="","",L294+J294+G294)</f>
        <v/>
      </c>
      <c r="P294" s="200" t="str">
        <f aca="false">IF(A295="","",M294+K294+H294)</f>
        <v/>
      </c>
      <c r="Q294" s="204"/>
      <c r="R294" s="200" t="str">
        <f aca="false">IF($A295="","",VLOOKUP($A294,Table,MATCH(R$4,Curves,0)))</f>
        <v/>
      </c>
      <c r="S294" s="201" t="str">
        <f aca="false">IF(A295="","",R294)</f>
        <v/>
      </c>
      <c r="T294" s="185" t="n">
        <v>0</v>
      </c>
      <c r="U294" s="201" t="str">
        <f aca="false">IF(A295="","",T294)</f>
        <v/>
      </c>
      <c r="V294" s="205" t="str">
        <f aca="false">IF($A295="","",IF(AND(MONTH(A294)&gt;3,MONTH(A294)&lt;11),(T294+R294+G294)*Summary!$T$11/(1-Summary!$T$11),(T294+R294+G294)*Summary!$U$11/(1-Summary!$U$11)))</f>
        <v/>
      </c>
      <c r="W294" s="202" t="str">
        <f aca="false">IF($A295="","",(T294+R294+G294+V294))</f>
        <v/>
      </c>
      <c r="X294" s="202" t="str">
        <f aca="false">IF($A295="","",(U294+S294+H294+V294))</f>
        <v/>
      </c>
      <c r="Y294" s="202"/>
      <c r="Z294" s="185" t="str">
        <f aca="false">IF($A295="","",VLOOKUP($A294,Table,MATCH(Z$4,Curves,0)))</f>
        <v/>
      </c>
      <c r="AA294" s="185" t="str">
        <f aca="false">IF($A295="","",VLOOKUP($A294,Table,MATCH(AA$4,Curves,0)))</f>
        <v/>
      </c>
      <c r="AB294" s="185" t="e">
        <f aca="false">SQRT((AA294^2*(A294-$D$3)+Z294^2*(DAY(EOMONTH(A294,0))/2))/AK294)</f>
        <v>#VALUE!</v>
      </c>
      <c r="AC294" s="185" t="str">
        <f aca="false">IF($A295="","",VLOOKUP($A294,Table,MATCH(AC$4,Curves,0)))</f>
        <v/>
      </c>
      <c r="AD294" s="185" t="str">
        <f aca="false">IF($A295="","",VLOOKUP($A294,Table,MATCH(AD$4,Curves,0)))</f>
        <v/>
      </c>
      <c r="AE294" s="185" t="e">
        <f aca="false">SQRT((AD294^2*(A294-$D$3)+AC294^2*(DAY(EOMONTH(A294,0))/2))/AK294)</f>
        <v>#VALUE!</v>
      </c>
      <c r="AF294" s="206" t="e">
        <f aca="false">((Summary!$N$11*(AA294*AD294)*(A294-$D$3))+(Summary!$M$11*Z294*AC294*(AJ294-EOMONTH(EDATE(A294,-1),0))))/(AK294*AB294*AE294)</f>
        <v>#VALUE!</v>
      </c>
      <c r="AG294" s="207" t="str">
        <f aca="false">IF($A295="","",Summary!$Q$11)</f>
        <v/>
      </c>
      <c r="AH294" s="207" t="str">
        <f aca="false">IF($A295="","",IF(Summary!$R$11="Y",(VLOOKUP($A294,Summary!$AD$6:$AF$9,3)+'Escalating commodity'!G307),'Escalating commodity'!G307))</f>
        <v/>
      </c>
      <c r="AI294" s="207" t="str">
        <f aca="false">IF($A295="","",AH294)</f>
        <v/>
      </c>
      <c r="AJ294" s="208" t="e">
        <f aca="false">A294+DAY(EOMONTH(A294,0))/2-1</f>
        <v>#VALUE!</v>
      </c>
      <c r="AK294" s="209" t="str">
        <f aca="false">IF($A295="","",$A294-$E$1)</f>
        <v/>
      </c>
      <c r="AL294" s="182" t="str">
        <f aca="false">IF($A295="","",SPRDOPT(P294,X294,AI294,0,AB294,AE294,AF294,AK294,$AJ$2,0))</f>
        <v/>
      </c>
      <c r="AM294" s="210" t="str">
        <f aca="false">IF($A295="","",MAX(0,O294-W294-AI294))</f>
        <v/>
      </c>
      <c r="AN294" s="211" t="str">
        <f aca="false">IF($A295="","",AL294-AM294)</f>
        <v/>
      </c>
      <c r="AO294" s="137" t="str">
        <f aca="false">IF(A295="","",A295-A294)</f>
        <v/>
      </c>
      <c r="AP294" s="212" t="str">
        <f aca="false">IF(A295="","",CHOOSE(F$3,A295+24,A294))</f>
        <v/>
      </c>
      <c r="AQ294" s="209" t="str">
        <f aca="false">IF(A295="","",AP294-$E$1)</f>
        <v/>
      </c>
      <c r="AR294" s="185" t="n">
        <f aca="false">'ANR OK vs ML7'!AR294</f>
        <v>0.1</v>
      </c>
      <c r="AS294" s="213" t="str">
        <f aca="false">IF(A295="","",1/(1+CHOOSE(F$3,(AR295+($I$3/10000))/2,(AR294+($I$3/10000))/2))^(2*AQ294/365.25))</f>
        <v/>
      </c>
      <c r="AT294" s="137" t="str">
        <f aca="false">IF(A295="","",IF(AND(mthbeg&lt;=A294,mthend&gt;=A294),1,0))</f>
        <v/>
      </c>
      <c r="AU294" s="137" t="str">
        <f aca="false">IF(A295="","",AO294*AT294)</f>
        <v/>
      </c>
      <c r="AW294" s="195" t="str">
        <f aca="false">IF($A295="","",AL294*$E294)</f>
        <v/>
      </c>
      <c r="AX294" s="195" t="str">
        <f aca="false">IF($A295="","",AM294*$E294)</f>
        <v/>
      </c>
      <c r="AY294" s="195" t="str">
        <f aca="false">IF($A295="","",AN294*$E294)</f>
        <v/>
      </c>
      <c r="BA294" s="195" t="str">
        <f aca="false">IF($A295="","",F294*Summary!$Q$11)</f>
        <v/>
      </c>
    </row>
    <row r="295" customFormat="false" ht="12" hidden="false" customHeight="true" outlineLevel="0" collapsed="false">
      <c r="A295" s="196" t="str">
        <f aca="false">IF(A294&lt;mthend,EDATE(A294,1),"")</f>
        <v/>
      </c>
      <c r="B295" s="197" t="str">
        <f aca="false">IF(A295&lt;mthend,B294,"")</f>
        <v/>
      </c>
      <c r="C295" s="215"/>
      <c r="D295" s="197" t="str">
        <f aca="false">IF(A296&lt;&gt;"",B295+C295,"")</f>
        <v/>
      </c>
      <c r="E295" s="199" t="str">
        <f aca="false">IF(A296="","",IF(AND(AT295=1,$H$3=1),D295*AO295,IF($H$3=2,D295,"N/A")))</f>
        <v/>
      </c>
      <c r="F295" s="199" t="str">
        <f aca="false">IF(A296="","",E295*AS295)</f>
        <v/>
      </c>
      <c r="G295" s="200" t="str">
        <f aca="false">IF($A296="","",VLOOKUP($A295,Table,MATCH(G$4,Curves,0)))</f>
        <v/>
      </c>
      <c r="H295" s="201" t="str">
        <f aca="false">IF(A296="","",G295)</f>
        <v/>
      </c>
      <c r="I295" s="202"/>
      <c r="J295" s="200" t="str">
        <f aca="false">IF($A296="","",VLOOKUP($A295,Table,MATCH(J$4,Curves,0)))</f>
        <v/>
      </c>
      <c r="K295" s="201" t="str">
        <f aca="false">IF(A296="","",J295)</f>
        <v/>
      </c>
      <c r="L295" s="200" t="str">
        <f aca="false">IF($A296="","",VLOOKUP($A295,Table,MATCH(L$4,Curves,0)))</f>
        <v/>
      </c>
      <c r="M295" s="201" t="str">
        <f aca="false">IF(A296="","",L295)</f>
        <v/>
      </c>
      <c r="N295" s="203"/>
      <c r="O295" s="200" t="str">
        <f aca="false">IF(A296="","",L295+J295+G295)</f>
        <v/>
      </c>
      <c r="P295" s="200" t="str">
        <f aca="false">IF(A296="","",M295+K295+H295)</f>
        <v/>
      </c>
      <c r="Q295" s="204"/>
      <c r="R295" s="200" t="str">
        <f aca="false">IF($A296="","",VLOOKUP($A295,Table,MATCH(R$4,Curves,0)))</f>
        <v/>
      </c>
      <c r="S295" s="201" t="str">
        <f aca="false">IF(A296="","",R295)</f>
        <v/>
      </c>
      <c r="T295" s="185" t="n">
        <v>0</v>
      </c>
      <c r="U295" s="201" t="str">
        <f aca="false">IF(A296="","",T295)</f>
        <v/>
      </c>
      <c r="V295" s="205" t="str">
        <f aca="false">IF($A296="","",IF(AND(MONTH(A295)&gt;3,MONTH(A295)&lt;11),(T295+R295+G295)*Summary!$T$11/(1-Summary!$T$11),(T295+R295+G295)*Summary!$U$11/(1-Summary!$U$11)))</f>
        <v/>
      </c>
      <c r="W295" s="202" t="str">
        <f aca="false">IF($A296="","",(T295+R295+G295+V295))</f>
        <v/>
      </c>
      <c r="X295" s="202" t="str">
        <f aca="false">IF($A296="","",(U295+S295+H295+V295))</f>
        <v/>
      </c>
      <c r="Y295" s="202"/>
      <c r="Z295" s="185" t="str">
        <f aca="false">IF($A296="","",VLOOKUP($A295,Table,MATCH(Z$4,Curves,0)))</f>
        <v/>
      </c>
      <c r="AA295" s="185" t="str">
        <f aca="false">IF($A296="","",VLOOKUP($A295,Table,MATCH(AA$4,Curves,0)))</f>
        <v/>
      </c>
      <c r="AB295" s="185" t="e">
        <f aca="false">SQRT((AA295^2*(A295-$D$3)+Z295^2*(DAY(EOMONTH(A295,0))/2))/AK295)</f>
        <v>#VALUE!</v>
      </c>
      <c r="AC295" s="185" t="str">
        <f aca="false">IF($A296="","",VLOOKUP($A295,Table,MATCH(AC$4,Curves,0)))</f>
        <v/>
      </c>
      <c r="AD295" s="185" t="str">
        <f aca="false">IF($A296="","",VLOOKUP($A295,Table,MATCH(AD$4,Curves,0)))</f>
        <v/>
      </c>
      <c r="AE295" s="185" t="e">
        <f aca="false">SQRT((AD295^2*(A295-$D$3)+AC295^2*(DAY(EOMONTH(A295,0))/2))/AK295)</f>
        <v>#VALUE!</v>
      </c>
      <c r="AF295" s="206" t="e">
        <f aca="false">((Summary!$N$11*(AA295*AD295)*(A295-$D$3))+(Summary!$M$11*Z295*AC295*(AJ295-EOMONTH(EDATE(A295,-1),0))))/(AK295*AB295*AE295)</f>
        <v>#VALUE!</v>
      </c>
      <c r="AG295" s="207" t="str">
        <f aca="false">IF($A296="","",Summary!$Q$11)</f>
        <v/>
      </c>
      <c r="AH295" s="207" t="str">
        <f aca="false">IF($A296="","",IF(Summary!$R$11="Y",(VLOOKUP($A295,Summary!$AD$6:$AF$9,3)+'Escalating commodity'!G308),'Escalating commodity'!G308))</f>
        <v/>
      </c>
      <c r="AI295" s="207" t="str">
        <f aca="false">IF($A296="","",AH295)</f>
        <v/>
      </c>
      <c r="AJ295" s="208" t="e">
        <f aca="false">A295+DAY(EOMONTH(A295,0))/2-1</f>
        <v>#VALUE!</v>
      </c>
      <c r="AK295" s="209" t="str">
        <f aca="false">IF($A296="","",$A295-$E$1)</f>
        <v/>
      </c>
      <c r="AL295" s="182" t="str">
        <f aca="false">IF($A296="","",SPRDOPT(P295,X295,AI295,0,AB295,AE295,AF295,AK295,$AJ$2,0))</f>
        <v/>
      </c>
      <c r="AM295" s="210" t="str">
        <f aca="false">IF($A296="","",MAX(0,O295-W295-AI295))</f>
        <v/>
      </c>
      <c r="AN295" s="211" t="str">
        <f aca="false">IF($A296="","",AL295-AM295)</f>
        <v/>
      </c>
      <c r="AO295" s="137" t="str">
        <f aca="false">IF(A296="","",A296-A295)</f>
        <v/>
      </c>
      <c r="AP295" s="212" t="str">
        <f aca="false">IF(A296="","",CHOOSE(F$3,A296+24,A295))</f>
        <v/>
      </c>
      <c r="AQ295" s="209" t="str">
        <f aca="false">IF(A296="","",AP295-$E$1)</f>
        <v/>
      </c>
      <c r="AR295" s="185" t="n">
        <f aca="false">'ANR OK vs ML7'!AR295</f>
        <v>0.1</v>
      </c>
      <c r="AS295" s="213" t="str">
        <f aca="false">IF(A296="","",1/(1+CHOOSE(F$3,(AR296+($I$3/10000))/2,(AR295+($I$3/10000))/2))^(2*AQ295/365.25))</f>
        <v/>
      </c>
      <c r="AT295" s="137" t="str">
        <f aca="false">IF(A296="","",IF(AND(mthbeg&lt;=A295,mthend&gt;=A295),1,0))</f>
        <v/>
      </c>
      <c r="AU295" s="137" t="str">
        <f aca="false">IF(A296="","",AO295*AT295)</f>
        <v/>
      </c>
      <c r="AW295" s="195" t="str">
        <f aca="false">IF($A296="","",AL295*$E295)</f>
        <v/>
      </c>
      <c r="AX295" s="195" t="str">
        <f aca="false">IF($A296="","",AM295*$E295)</f>
        <v/>
      </c>
      <c r="AY295" s="195" t="str">
        <f aca="false">IF($A296="","",AN295*$E295)</f>
        <v/>
      </c>
      <c r="BA295" s="195" t="str">
        <f aca="false">IF($A296="","",F295*Summary!$Q$11)</f>
        <v/>
      </c>
    </row>
    <row r="296" customFormat="false" ht="12" hidden="false" customHeight="true" outlineLevel="0" collapsed="false">
      <c r="A296" s="196" t="str">
        <f aca="false">IF(A295&lt;mthend,EDATE(A295,1),"")</f>
        <v/>
      </c>
      <c r="B296" s="197" t="str">
        <f aca="false">IF(A296&lt;mthend,B295,"")</f>
        <v/>
      </c>
      <c r="C296" s="215"/>
      <c r="D296" s="197" t="str">
        <f aca="false">IF(A297&lt;&gt;"",B296+C296,"")</f>
        <v/>
      </c>
      <c r="E296" s="199" t="str">
        <f aca="false">IF(A297="","",IF(AND(AT296=1,$H$3=1),D296*AO296,IF($H$3=2,D296,"N/A")))</f>
        <v/>
      </c>
      <c r="F296" s="199" t="str">
        <f aca="false">IF(A297="","",E296*AS296)</f>
        <v/>
      </c>
      <c r="G296" s="200" t="str">
        <f aca="false">IF($A297="","",VLOOKUP($A296,Table,MATCH(G$4,Curves,0)))</f>
        <v/>
      </c>
      <c r="H296" s="201" t="str">
        <f aca="false">IF(A297="","",G296)</f>
        <v/>
      </c>
      <c r="I296" s="202"/>
      <c r="J296" s="200" t="str">
        <f aca="false">IF($A297="","",VLOOKUP($A296,Table,MATCH(J$4,Curves,0)))</f>
        <v/>
      </c>
      <c r="K296" s="201" t="str">
        <f aca="false">IF(A297="","",J296)</f>
        <v/>
      </c>
      <c r="L296" s="200" t="str">
        <f aca="false">IF($A297="","",VLOOKUP($A296,Table,MATCH(L$4,Curves,0)))</f>
        <v/>
      </c>
      <c r="M296" s="201" t="str">
        <f aca="false">IF(A297="","",L296)</f>
        <v/>
      </c>
      <c r="N296" s="203"/>
      <c r="O296" s="200" t="str">
        <f aca="false">IF(A297="","",L296+J296+G296)</f>
        <v/>
      </c>
      <c r="P296" s="200" t="str">
        <f aca="false">IF(A297="","",M296+K296+H296)</f>
        <v/>
      </c>
      <c r="Q296" s="204"/>
      <c r="R296" s="200" t="str">
        <f aca="false">IF($A297="","",VLOOKUP($A296,Table,MATCH(R$4,Curves,0)))</f>
        <v/>
      </c>
      <c r="S296" s="201" t="str">
        <f aca="false">IF(A297="","",R296)</f>
        <v/>
      </c>
      <c r="T296" s="185" t="n">
        <v>0</v>
      </c>
      <c r="U296" s="201" t="str">
        <f aca="false">IF(A297="","",T296)</f>
        <v/>
      </c>
      <c r="V296" s="205" t="str">
        <f aca="false">IF($A297="","",IF(AND(MONTH(A296)&gt;3,MONTH(A296)&lt;11),(T296+R296+G296)*Summary!$T$11/(1-Summary!$T$11),(T296+R296+G296)*Summary!$U$11/(1-Summary!$U$11)))</f>
        <v/>
      </c>
      <c r="W296" s="202" t="str">
        <f aca="false">IF($A297="","",(T296+R296+G296+V296))</f>
        <v/>
      </c>
      <c r="X296" s="202" t="str">
        <f aca="false">IF($A297="","",(U296+S296+H296+V296))</f>
        <v/>
      </c>
      <c r="Y296" s="202"/>
      <c r="Z296" s="185" t="str">
        <f aca="false">IF($A297="","",VLOOKUP($A296,Table,MATCH(Z$4,Curves,0)))</f>
        <v/>
      </c>
      <c r="AA296" s="185" t="str">
        <f aca="false">IF($A297="","",VLOOKUP($A296,Table,MATCH(AA$4,Curves,0)))</f>
        <v/>
      </c>
      <c r="AB296" s="185" t="e">
        <f aca="false">SQRT((AA296^2*(A296-$D$3)+Z296^2*(DAY(EOMONTH(A296,0))/2))/AK296)</f>
        <v>#VALUE!</v>
      </c>
      <c r="AC296" s="185" t="str">
        <f aca="false">IF($A297="","",VLOOKUP($A296,Table,MATCH(AC$4,Curves,0)))</f>
        <v/>
      </c>
      <c r="AD296" s="185" t="str">
        <f aca="false">IF($A297="","",VLOOKUP($A296,Table,MATCH(AD$4,Curves,0)))</f>
        <v/>
      </c>
      <c r="AE296" s="185" t="e">
        <f aca="false">SQRT((AD296^2*(A296-$D$3)+AC296^2*(DAY(EOMONTH(A296,0))/2))/AK296)</f>
        <v>#VALUE!</v>
      </c>
      <c r="AF296" s="206" t="e">
        <f aca="false">((Summary!$N$11*(AA296*AD296)*(A296-$D$3))+(Summary!$M$11*Z296*AC296*(AJ296-EOMONTH(EDATE(A296,-1),0))))/(AK296*AB296*AE296)</f>
        <v>#VALUE!</v>
      </c>
      <c r="AG296" s="207" t="str">
        <f aca="false">IF($A297="","",Summary!$Q$11)</f>
        <v/>
      </c>
      <c r="AH296" s="207" t="str">
        <f aca="false">IF($A297="","",IF(Summary!$R$11="Y",(VLOOKUP($A296,Summary!$AD$6:$AF$9,3)+'Escalating commodity'!G309),'Escalating commodity'!G309))</f>
        <v/>
      </c>
      <c r="AI296" s="207" t="str">
        <f aca="false">IF($A297="","",AH296)</f>
        <v/>
      </c>
      <c r="AJ296" s="208" t="e">
        <f aca="false">A296+DAY(EOMONTH(A296,0))/2-1</f>
        <v>#VALUE!</v>
      </c>
      <c r="AK296" s="209" t="str">
        <f aca="false">IF($A297="","",$A296-$E$1)</f>
        <v/>
      </c>
      <c r="AL296" s="182" t="str">
        <f aca="false">IF($A297="","",SPRDOPT(P296,X296,AI296,0,AB296,AE296,AF296,AK296,$AJ$2,0))</f>
        <v/>
      </c>
      <c r="AM296" s="210" t="str">
        <f aca="false">IF($A297="","",MAX(0,O296-W296-AI296))</f>
        <v/>
      </c>
      <c r="AN296" s="211" t="str">
        <f aca="false">IF($A297="","",AL296-AM296)</f>
        <v/>
      </c>
      <c r="AO296" s="137" t="str">
        <f aca="false">IF(A297="","",A297-A296)</f>
        <v/>
      </c>
      <c r="AP296" s="212" t="str">
        <f aca="false">IF(A297="","",CHOOSE(F$3,A297+24,A296))</f>
        <v/>
      </c>
      <c r="AQ296" s="209" t="str">
        <f aca="false">IF(A297="","",AP296-$E$1)</f>
        <v/>
      </c>
      <c r="AR296" s="185" t="n">
        <f aca="false">'ANR OK vs ML7'!AR296</f>
        <v>0.1</v>
      </c>
      <c r="AS296" s="213" t="str">
        <f aca="false">IF(A297="","",1/(1+CHOOSE(F$3,(AR297+($I$3/10000))/2,(AR296+($I$3/10000))/2))^(2*AQ296/365.25))</f>
        <v/>
      </c>
      <c r="AT296" s="137" t="str">
        <f aca="false">IF(A297="","",IF(AND(mthbeg&lt;=A296,mthend&gt;=A296),1,0))</f>
        <v/>
      </c>
      <c r="AU296" s="137" t="str">
        <f aca="false">IF(A297="","",AO296*AT296)</f>
        <v/>
      </c>
      <c r="AW296" s="195" t="str">
        <f aca="false">IF($A297="","",AL296*$E296)</f>
        <v/>
      </c>
      <c r="AX296" s="195" t="str">
        <f aca="false">IF($A297="","",AM296*$E296)</f>
        <v/>
      </c>
      <c r="AY296" s="195" t="str">
        <f aca="false">IF($A297="","",AN296*$E296)</f>
        <v/>
      </c>
      <c r="BA296" s="195" t="str">
        <f aca="false">IF($A297="","",F296*Summary!$Q$11)</f>
        <v/>
      </c>
    </row>
    <row r="297" customFormat="false" ht="12" hidden="false" customHeight="true" outlineLevel="0" collapsed="false">
      <c r="A297" s="196" t="str">
        <f aca="false">IF(A296&lt;mthend,EDATE(A296,1),"")</f>
        <v/>
      </c>
      <c r="B297" s="197" t="str">
        <f aca="false">IF(A297&lt;mthend,B296,"")</f>
        <v/>
      </c>
      <c r="C297" s="215"/>
      <c r="D297" s="197" t="str">
        <f aca="false">IF(A298&lt;&gt;"",B297+C297,"")</f>
        <v/>
      </c>
      <c r="E297" s="199" t="str">
        <f aca="false">IF(A298="","",IF(AND(AT297=1,$H$3=1),D297*AO297,IF($H$3=2,D297,"N/A")))</f>
        <v/>
      </c>
      <c r="F297" s="199" t="str">
        <f aca="false">IF(A298="","",E297*AS297)</f>
        <v/>
      </c>
      <c r="G297" s="200" t="str">
        <f aca="false">IF($A298="","",VLOOKUP($A297,Table,MATCH(G$4,Curves,0)))</f>
        <v/>
      </c>
      <c r="H297" s="201" t="str">
        <f aca="false">IF(A298="","",G297)</f>
        <v/>
      </c>
      <c r="I297" s="202"/>
      <c r="J297" s="200" t="str">
        <f aca="false">IF($A298="","",VLOOKUP($A297,Table,MATCH(J$4,Curves,0)))</f>
        <v/>
      </c>
      <c r="K297" s="201" t="str">
        <f aca="false">IF(A298="","",J297)</f>
        <v/>
      </c>
      <c r="L297" s="200" t="str">
        <f aca="false">IF($A298="","",VLOOKUP($A297,Table,MATCH(L$4,Curves,0)))</f>
        <v/>
      </c>
      <c r="M297" s="201" t="str">
        <f aca="false">IF(A298="","",L297)</f>
        <v/>
      </c>
      <c r="N297" s="203"/>
      <c r="O297" s="200" t="str">
        <f aca="false">IF(A298="","",L297+J297+G297)</f>
        <v/>
      </c>
      <c r="P297" s="200" t="str">
        <f aca="false">IF(A298="","",M297+K297+H297)</f>
        <v/>
      </c>
      <c r="Q297" s="204"/>
      <c r="R297" s="200" t="str">
        <f aca="false">IF($A298="","",VLOOKUP($A297,Table,MATCH(R$4,Curves,0)))</f>
        <v/>
      </c>
      <c r="S297" s="201" t="str">
        <f aca="false">IF(A298="","",R297)</f>
        <v/>
      </c>
      <c r="T297" s="185" t="n">
        <v>0</v>
      </c>
      <c r="U297" s="201" t="str">
        <f aca="false">IF(A298="","",T297)</f>
        <v/>
      </c>
      <c r="V297" s="205" t="str">
        <f aca="false">IF($A298="","",IF(AND(MONTH(A297)&gt;3,MONTH(A297)&lt;11),(T297+R297+G297)*Summary!$T$11/(1-Summary!$T$11),(T297+R297+G297)*Summary!$U$11/(1-Summary!$U$11)))</f>
        <v/>
      </c>
      <c r="W297" s="202" t="str">
        <f aca="false">IF($A298="","",(T297+R297+G297+V297))</f>
        <v/>
      </c>
      <c r="X297" s="202" t="str">
        <f aca="false">IF($A298="","",(U297+S297+H297+V297))</f>
        <v/>
      </c>
      <c r="Y297" s="202"/>
      <c r="Z297" s="185" t="str">
        <f aca="false">IF($A298="","",VLOOKUP($A297,Table,MATCH(Z$4,Curves,0)))</f>
        <v/>
      </c>
      <c r="AA297" s="185" t="str">
        <f aca="false">IF($A298="","",VLOOKUP($A297,Table,MATCH(AA$4,Curves,0)))</f>
        <v/>
      </c>
      <c r="AB297" s="185" t="e">
        <f aca="false">SQRT((AA297^2*(A297-$D$3)+Z297^2*(DAY(EOMONTH(A297,0))/2))/AK297)</f>
        <v>#VALUE!</v>
      </c>
      <c r="AC297" s="185" t="str">
        <f aca="false">IF($A298="","",VLOOKUP($A297,Table,MATCH(AC$4,Curves,0)))</f>
        <v/>
      </c>
      <c r="AD297" s="185" t="str">
        <f aca="false">IF($A298="","",VLOOKUP($A297,Table,MATCH(AD$4,Curves,0)))</f>
        <v/>
      </c>
      <c r="AE297" s="185" t="e">
        <f aca="false">SQRT((AD297^2*(A297-$D$3)+AC297^2*(DAY(EOMONTH(A297,0))/2))/AK297)</f>
        <v>#VALUE!</v>
      </c>
      <c r="AF297" s="206" t="e">
        <f aca="false">((Summary!$N$11*(AA297*AD297)*(A297-$D$3))+(Summary!$M$11*Z297*AC297*(AJ297-EOMONTH(EDATE(A297,-1),0))))/(AK297*AB297*AE297)</f>
        <v>#VALUE!</v>
      </c>
      <c r="AG297" s="207" t="str">
        <f aca="false">IF($A298="","",Summary!$Q$11)</f>
        <v/>
      </c>
      <c r="AH297" s="207" t="str">
        <f aca="false">IF($A298="","",IF(Summary!$R$11="Y",(VLOOKUP($A297,Summary!$AD$6:$AF$9,3)+'Escalating commodity'!G310),'Escalating commodity'!G310))</f>
        <v/>
      </c>
      <c r="AI297" s="207" t="str">
        <f aca="false">IF($A298="","",AH297)</f>
        <v/>
      </c>
      <c r="AJ297" s="208" t="e">
        <f aca="false">A297+DAY(EOMONTH(A297,0))/2-1</f>
        <v>#VALUE!</v>
      </c>
      <c r="AK297" s="209" t="str">
        <f aca="false">IF($A298="","",$A297-$E$1)</f>
        <v/>
      </c>
      <c r="AL297" s="182" t="str">
        <f aca="false">IF($A298="","",SPRDOPT(P297,X297,AI297,0,AB297,AE297,AF297,AK297,$AJ$2,0))</f>
        <v/>
      </c>
      <c r="AM297" s="210" t="str">
        <f aca="false">IF($A298="","",MAX(0,O297-W297-AI297))</f>
        <v/>
      </c>
      <c r="AN297" s="211" t="str">
        <f aca="false">IF($A298="","",AL297-AM297)</f>
        <v/>
      </c>
      <c r="AO297" s="137" t="str">
        <f aca="false">IF(A298="","",A298-A297)</f>
        <v/>
      </c>
      <c r="AP297" s="212" t="str">
        <f aca="false">IF(A298="","",CHOOSE(F$3,A298+24,A297))</f>
        <v/>
      </c>
      <c r="AQ297" s="209" t="str">
        <f aca="false">IF(A298="","",AP297-$E$1)</f>
        <v/>
      </c>
      <c r="AR297" s="185" t="n">
        <f aca="false">'ANR OK vs ML7'!AR297</f>
        <v>0.1</v>
      </c>
      <c r="AS297" s="213" t="str">
        <f aca="false">IF(A298="","",1/(1+CHOOSE(F$3,(AR298+($I$3/10000))/2,(AR297+($I$3/10000))/2))^(2*AQ297/365.25))</f>
        <v/>
      </c>
      <c r="AT297" s="137" t="str">
        <f aca="false">IF(A298="","",IF(AND(mthbeg&lt;=A297,mthend&gt;=A297),1,0))</f>
        <v/>
      </c>
      <c r="AU297" s="137" t="str">
        <f aca="false">IF(A298="","",AO297*AT297)</f>
        <v/>
      </c>
      <c r="AW297" s="195" t="str">
        <f aca="false">IF($A298="","",AL297*$E297)</f>
        <v/>
      </c>
      <c r="AX297" s="195" t="str">
        <f aca="false">IF($A298="","",AM297*$E297)</f>
        <v/>
      </c>
      <c r="AY297" s="195" t="str">
        <f aca="false">IF($A298="","",AN297*$E297)</f>
        <v/>
      </c>
      <c r="BA297" s="195" t="str">
        <f aca="false">IF($A298="","",F297*Summary!$Q$11)</f>
        <v/>
      </c>
    </row>
    <row r="298" customFormat="false" ht="12" hidden="false" customHeight="true" outlineLevel="0" collapsed="false">
      <c r="A298" s="196" t="str">
        <f aca="false">IF(A297&lt;mthend,EDATE(A297,1),"")</f>
        <v/>
      </c>
      <c r="B298" s="197" t="str">
        <f aca="false">IF(A298&lt;mthend,B297,"")</f>
        <v/>
      </c>
      <c r="C298" s="215"/>
      <c r="D298" s="197" t="str">
        <f aca="false">IF(A299&lt;&gt;"",B298+C298,"")</f>
        <v/>
      </c>
      <c r="E298" s="199" t="str">
        <f aca="false">IF(A299="","",IF(AND(AT298=1,$H$3=1),D298*AO298,IF($H$3=2,D298,"N/A")))</f>
        <v/>
      </c>
      <c r="F298" s="199" t="str">
        <f aca="false">IF(A299="","",E298*AS298)</f>
        <v/>
      </c>
      <c r="G298" s="200" t="str">
        <f aca="false">IF($A299="","",VLOOKUP($A298,Table,MATCH(G$4,Curves,0)))</f>
        <v/>
      </c>
      <c r="H298" s="201" t="str">
        <f aca="false">IF(A299="","",G298)</f>
        <v/>
      </c>
      <c r="I298" s="202"/>
      <c r="J298" s="200" t="str">
        <f aca="false">IF($A299="","",VLOOKUP($A298,Table,MATCH(J$4,Curves,0)))</f>
        <v/>
      </c>
      <c r="K298" s="201" t="str">
        <f aca="false">IF(A299="","",J298)</f>
        <v/>
      </c>
      <c r="L298" s="200" t="str">
        <f aca="false">IF($A299="","",VLOOKUP($A298,Table,MATCH(L$4,Curves,0)))</f>
        <v/>
      </c>
      <c r="M298" s="201" t="str">
        <f aca="false">IF(A299="","",L298)</f>
        <v/>
      </c>
      <c r="N298" s="203"/>
      <c r="O298" s="200" t="str">
        <f aca="false">IF(A299="","",L298+J298+G298)</f>
        <v/>
      </c>
      <c r="P298" s="200" t="str">
        <f aca="false">IF(A299="","",M298+K298+H298)</f>
        <v/>
      </c>
      <c r="Q298" s="204"/>
      <c r="R298" s="200" t="str">
        <f aca="false">IF($A299="","",VLOOKUP($A298,Table,MATCH(R$4,Curves,0)))</f>
        <v/>
      </c>
      <c r="S298" s="201" t="str">
        <f aca="false">IF(A299="","",R298)</f>
        <v/>
      </c>
      <c r="T298" s="185" t="n">
        <v>0</v>
      </c>
      <c r="U298" s="201" t="str">
        <f aca="false">IF(A299="","",T298)</f>
        <v/>
      </c>
      <c r="V298" s="205" t="str">
        <f aca="false">IF($A299="","",IF(AND(MONTH(A298)&gt;3,MONTH(A298)&lt;11),(T298+R298+G298)*Summary!$T$11/(1-Summary!$T$11),(T298+R298+G298)*Summary!$U$11/(1-Summary!$U$11)))</f>
        <v/>
      </c>
      <c r="W298" s="202" t="str">
        <f aca="false">IF($A299="","",(T298+R298+G298+V298))</f>
        <v/>
      </c>
      <c r="X298" s="202" t="str">
        <f aca="false">IF($A299="","",(U298+S298+H298+V298))</f>
        <v/>
      </c>
      <c r="Y298" s="202"/>
      <c r="Z298" s="185" t="str">
        <f aca="false">IF($A299="","",VLOOKUP($A298,Table,MATCH(Z$4,Curves,0)))</f>
        <v/>
      </c>
      <c r="AA298" s="185" t="str">
        <f aca="false">IF($A299="","",VLOOKUP($A298,Table,MATCH(AA$4,Curves,0)))</f>
        <v/>
      </c>
      <c r="AB298" s="185" t="e">
        <f aca="false">SQRT((AA298^2*(A298-$D$3)+Z298^2*(DAY(EOMONTH(A298,0))/2))/AK298)</f>
        <v>#VALUE!</v>
      </c>
      <c r="AC298" s="185" t="str">
        <f aca="false">IF($A299="","",VLOOKUP($A298,Table,MATCH(AC$4,Curves,0)))</f>
        <v/>
      </c>
      <c r="AD298" s="185" t="str">
        <f aca="false">IF($A299="","",VLOOKUP($A298,Table,MATCH(AD$4,Curves,0)))</f>
        <v/>
      </c>
      <c r="AE298" s="185" t="e">
        <f aca="false">SQRT((AD298^2*(A298-$D$3)+AC298^2*(DAY(EOMONTH(A298,0))/2))/AK298)</f>
        <v>#VALUE!</v>
      </c>
      <c r="AF298" s="206" t="e">
        <f aca="false">((Summary!$N$11*(AA298*AD298)*(A298-$D$3))+(Summary!$M$11*Z298*AC298*(AJ298-EOMONTH(EDATE(A298,-1),0))))/(AK298*AB298*AE298)</f>
        <v>#VALUE!</v>
      </c>
      <c r="AG298" s="207" t="str">
        <f aca="false">IF($A299="","",Summary!$Q$11)</f>
        <v/>
      </c>
      <c r="AH298" s="207" t="str">
        <f aca="false">IF($A299="","",IF(Summary!$R$11="Y",(VLOOKUP($A298,Summary!$AD$6:$AF$9,3)+'Escalating commodity'!G311),'Escalating commodity'!G311))</f>
        <v/>
      </c>
      <c r="AI298" s="207" t="str">
        <f aca="false">IF($A299="","",AH298)</f>
        <v/>
      </c>
      <c r="AJ298" s="208" t="e">
        <f aca="false">A298+DAY(EOMONTH(A298,0))/2-1</f>
        <v>#VALUE!</v>
      </c>
      <c r="AK298" s="209" t="str">
        <f aca="false">IF($A299="","",$A298-$E$1)</f>
        <v/>
      </c>
      <c r="AL298" s="182" t="str">
        <f aca="false">IF($A299="","",SPRDOPT(P298,X298,AI298,0,AB298,AE298,AF298,AK298,$AJ$2,0))</f>
        <v/>
      </c>
      <c r="AM298" s="210" t="str">
        <f aca="false">IF($A299="","",MAX(0,O298-W298-AI298))</f>
        <v/>
      </c>
      <c r="AN298" s="211" t="str">
        <f aca="false">IF($A299="","",AL298-AM298)</f>
        <v/>
      </c>
      <c r="AO298" s="137" t="str">
        <f aca="false">IF(A299="","",A299-A298)</f>
        <v/>
      </c>
      <c r="AP298" s="212" t="str">
        <f aca="false">IF(A299="","",CHOOSE(F$3,A299+24,A298))</f>
        <v/>
      </c>
      <c r="AQ298" s="209" t="str">
        <f aca="false">IF(A299="","",AP298-$E$1)</f>
        <v/>
      </c>
      <c r="AR298" s="185" t="n">
        <f aca="false">'ANR OK vs ML7'!AR298</f>
        <v>0.1</v>
      </c>
      <c r="AS298" s="213" t="str">
        <f aca="false">IF(A299="","",1/(1+CHOOSE(F$3,(AR299+($I$3/10000))/2,(AR298+($I$3/10000))/2))^(2*AQ298/365.25))</f>
        <v/>
      </c>
      <c r="AT298" s="137" t="str">
        <f aca="false">IF(A299="","",IF(AND(mthbeg&lt;=A298,mthend&gt;=A298),1,0))</f>
        <v/>
      </c>
      <c r="AU298" s="137" t="str">
        <f aca="false">IF(A299="","",AO298*AT298)</f>
        <v/>
      </c>
      <c r="AW298" s="195" t="str">
        <f aca="false">IF($A299="","",AL298*$E298)</f>
        <v/>
      </c>
      <c r="AX298" s="195" t="str">
        <f aca="false">IF($A299="","",AM298*$E298)</f>
        <v/>
      </c>
      <c r="AY298" s="195" t="str">
        <f aca="false">IF($A299="","",AN298*$E298)</f>
        <v/>
      </c>
      <c r="BA298" s="195" t="str">
        <f aca="false">IF($A299="","",F298*Summary!$Q$11)</f>
        <v/>
      </c>
    </row>
    <row r="299" customFormat="false" ht="12" hidden="false" customHeight="true" outlineLevel="0" collapsed="false">
      <c r="A299" s="196" t="str">
        <f aca="false">IF(A298&lt;mthend,EDATE(A298,1),"")</f>
        <v/>
      </c>
      <c r="B299" s="197" t="str">
        <f aca="false">IF(A299&lt;mthend,B298,"")</f>
        <v/>
      </c>
      <c r="C299" s="215"/>
      <c r="D299" s="197" t="str">
        <f aca="false">IF(A300&lt;&gt;"",B299+C299,"")</f>
        <v/>
      </c>
      <c r="E299" s="199" t="str">
        <f aca="false">IF(A300="","",IF(AND(AT299=1,$H$3=1),D299*AO299,IF($H$3=2,D299,"N/A")))</f>
        <v/>
      </c>
      <c r="F299" s="199" t="str">
        <f aca="false">IF(A300="","",E299*AS299)</f>
        <v/>
      </c>
      <c r="G299" s="200" t="str">
        <f aca="false">IF($A300="","",VLOOKUP($A299,Table,MATCH(G$4,Curves,0)))</f>
        <v/>
      </c>
      <c r="H299" s="201" t="str">
        <f aca="false">IF(A300="","",G299)</f>
        <v/>
      </c>
      <c r="I299" s="202"/>
      <c r="J299" s="200" t="str">
        <f aca="false">IF($A300="","",VLOOKUP($A299,Table,MATCH(J$4,Curves,0)))</f>
        <v/>
      </c>
      <c r="K299" s="201" t="str">
        <f aca="false">IF(A300="","",J299)</f>
        <v/>
      </c>
      <c r="L299" s="200" t="str">
        <f aca="false">IF($A300="","",VLOOKUP($A299,Table,MATCH(L$4,Curves,0)))</f>
        <v/>
      </c>
      <c r="M299" s="201" t="str">
        <f aca="false">IF(A300="","",L299)</f>
        <v/>
      </c>
      <c r="N299" s="203"/>
      <c r="O299" s="200" t="str">
        <f aca="false">IF(A300="","",L299+J299+G299)</f>
        <v/>
      </c>
      <c r="P299" s="200" t="str">
        <f aca="false">IF(A300="","",M299+K299+H299)</f>
        <v/>
      </c>
      <c r="Q299" s="204"/>
      <c r="R299" s="200" t="str">
        <f aca="false">IF($A300="","",VLOOKUP($A299,Table,MATCH(R$4,Curves,0)))</f>
        <v/>
      </c>
      <c r="S299" s="201" t="str">
        <f aca="false">IF(A300="","",R299)</f>
        <v/>
      </c>
      <c r="T299" s="185" t="n">
        <v>0</v>
      </c>
      <c r="U299" s="201" t="str">
        <f aca="false">IF(A300="","",T299)</f>
        <v/>
      </c>
      <c r="V299" s="205" t="str">
        <f aca="false">IF($A300="","",IF(AND(MONTH(A299)&gt;3,MONTH(A299)&lt;11),(T299+R299+G299)*Summary!$T$11/(1-Summary!$T$11),(T299+R299+G299)*Summary!$U$11/(1-Summary!$U$11)))</f>
        <v/>
      </c>
      <c r="W299" s="202" t="str">
        <f aca="false">IF($A300="","",(T299+R299+G299+V299))</f>
        <v/>
      </c>
      <c r="X299" s="202" t="str">
        <f aca="false">IF($A300="","",(U299+S299+H299+V299))</f>
        <v/>
      </c>
      <c r="Y299" s="202"/>
      <c r="Z299" s="185" t="str">
        <f aca="false">IF($A300="","",VLOOKUP($A299,Table,MATCH(Z$4,Curves,0)))</f>
        <v/>
      </c>
      <c r="AA299" s="185" t="str">
        <f aca="false">IF($A300="","",VLOOKUP($A299,Table,MATCH(AA$4,Curves,0)))</f>
        <v/>
      </c>
      <c r="AB299" s="185" t="e">
        <f aca="false">SQRT((AA299^2*(A299-$D$3)+Z299^2*(DAY(EOMONTH(A299,0))/2))/AK299)</f>
        <v>#VALUE!</v>
      </c>
      <c r="AC299" s="185" t="str">
        <f aca="false">IF($A300="","",VLOOKUP($A299,Table,MATCH(AC$4,Curves,0)))</f>
        <v/>
      </c>
      <c r="AD299" s="185" t="str">
        <f aca="false">IF($A300="","",VLOOKUP($A299,Table,MATCH(AD$4,Curves,0)))</f>
        <v/>
      </c>
      <c r="AE299" s="185" t="e">
        <f aca="false">SQRT((AD299^2*(A299-$D$3)+AC299^2*(DAY(EOMONTH(A299,0))/2))/AK299)</f>
        <v>#VALUE!</v>
      </c>
      <c r="AF299" s="206" t="e">
        <f aca="false">((Summary!$N$11*(AA299*AD299)*(A299-$D$3))+(Summary!$M$11*Z299*AC299*(AJ299-EOMONTH(EDATE(A299,-1),0))))/(AK299*AB299*AE299)</f>
        <v>#VALUE!</v>
      </c>
      <c r="AG299" s="207" t="str">
        <f aca="false">IF($A300="","",Summary!$Q$11)</f>
        <v/>
      </c>
      <c r="AH299" s="207" t="str">
        <f aca="false">IF($A300="","",IF(Summary!$R$11="Y",(VLOOKUP($A299,Summary!$AD$6:$AF$9,3)+'Escalating commodity'!G312),'Escalating commodity'!G312))</f>
        <v/>
      </c>
      <c r="AI299" s="207" t="str">
        <f aca="false">IF($A300="","",AH299)</f>
        <v/>
      </c>
      <c r="AJ299" s="208" t="e">
        <f aca="false">A299+DAY(EOMONTH(A299,0))/2-1</f>
        <v>#VALUE!</v>
      </c>
      <c r="AK299" s="209" t="str">
        <f aca="false">IF($A300="","",$A299-$E$1)</f>
        <v/>
      </c>
      <c r="AL299" s="182" t="str">
        <f aca="false">IF($A300="","",SPRDOPT(P299,X299,AI299,0,AB299,AE299,AF299,AK299,$AJ$2,0))</f>
        <v/>
      </c>
      <c r="AM299" s="210" t="str">
        <f aca="false">IF($A300="","",MAX(0,O299-W299-AI299))</f>
        <v/>
      </c>
      <c r="AN299" s="211" t="str">
        <f aca="false">IF($A300="","",AL299-AM299)</f>
        <v/>
      </c>
      <c r="AO299" s="137" t="str">
        <f aca="false">IF(A300="","",A300-A299)</f>
        <v/>
      </c>
      <c r="AP299" s="212" t="str">
        <f aca="false">IF(A300="","",CHOOSE(F$3,A300+24,A299))</f>
        <v/>
      </c>
      <c r="AQ299" s="209" t="str">
        <f aca="false">IF(A300="","",AP299-$E$1)</f>
        <v/>
      </c>
      <c r="AR299" s="185" t="n">
        <f aca="false">'ANR OK vs ML7'!AR299</f>
        <v>0.1</v>
      </c>
      <c r="AS299" s="213" t="str">
        <f aca="false">IF(A300="","",1/(1+CHOOSE(F$3,(AR300+($I$3/10000))/2,(AR299+($I$3/10000))/2))^(2*AQ299/365.25))</f>
        <v/>
      </c>
      <c r="AT299" s="137" t="str">
        <f aca="false">IF(A300="","",IF(AND(mthbeg&lt;=A299,mthend&gt;=A299),1,0))</f>
        <v/>
      </c>
      <c r="AU299" s="137" t="str">
        <f aca="false">IF(A300="","",AO299*AT299)</f>
        <v/>
      </c>
      <c r="AW299" s="195" t="str">
        <f aca="false">IF($A300="","",AL299*$E299)</f>
        <v/>
      </c>
      <c r="AX299" s="195" t="str">
        <f aca="false">IF($A300="","",AM299*$E299)</f>
        <v/>
      </c>
      <c r="AY299" s="195" t="str">
        <f aca="false">IF($A300="","",AN299*$E299)</f>
        <v/>
      </c>
      <c r="BA299" s="195" t="str">
        <f aca="false">IF($A300="","",F299*Summary!$Q$11)</f>
        <v/>
      </c>
    </row>
    <row r="300" customFormat="false" ht="12" hidden="false" customHeight="true" outlineLevel="0" collapsed="false">
      <c r="A300" s="196" t="str">
        <f aca="false">IF(A299&lt;mthend,EDATE(A299,1),"")</f>
        <v/>
      </c>
      <c r="B300" s="197" t="str">
        <f aca="false">IF(A300&lt;mthend,B299,"")</f>
        <v/>
      </c>
      <c r="C300" s="215"/>
      <c r="D300" s="197" t="str">
        <f aca="false">IF(A301&lt;&gt;"",B300+C300,"")</f>
        <v/>
      </c>
      <c r="E300" s="199" t="str">
        <f aca="false">IF(A301="","",IF(AND(AT300=1,$H$3=1),D300*AO300,IF($H$3=2,D300,"N/A")))</f>
        <v/>
      </c>
      <c r="F300" s="199" t="str">
        <f aca="false">IF(A301="","",E300*AS300)</f>
        <v/>
      </c>
      <c r="G300" s="200" t="str">
        <f aca="false">IF($A301="","",VLOOKUP($A300,Table,MATCH(G$4,Curves,0)))</f>
        <v/>
      </c>
      <c r="H300" s="201" t="str">
        <f aca="false">IF(A301="","",G300)</f>
        <v/>
      </c>
      <c r="I300" s="202"/>
      <c r="J300" s="200" t="str">
        <f aca="false">IF($A301="","",VLOOKUP($A300,Table,MATCH(J$4,Curves,0)))</f>
        <v/>
      </c>
      <c r="K300" s="201" t="str">
        <f aca="false">IF(A301="","",J300)</f>
        <v/>
      </c>
      <c r="L300" s="200" t="str">
        <f aca="false">IF($A301="","",VLOOKUP($A300,Table,MATCH(L$4,Curves,0)))</f>
        <v/>
      </c>
      <c r="M300" s="201" t="str">
        <f aca="false">IF(A301="","",L300)</f>
        <v/>
      </c>
      <c r="N300" s="203"/>
      <c r="O300" s="200" t="str">
        <f aca="false">IF(A301="","",L300+J300+G300)</f>
        <v/>
      </c>
      <c r="P300" s="200" t="str">
        <f aca="false">IF(A301="","",M300+K300+H300)</f>
        <v/>
      </c>
      <c r="Q300" s="204"/>
      <c r="R300" s="200" t="str">
        <f aca="false">IF($A301="","",VLOOKUP($A300,Table,MATCH(R$4,Curves,0)))</f>
        <v/>
      </c>
      <c r="S300" s="201" t="str">
        <f aca="false">IF(A301="","",R300)</f>
        <v/>
      </c>
      <c r="T300" s="185" t="n">
        <v>0</v>
      </c>
      <c r="U300" s="201" t="str">
        <f aca="false">IF(A301="","",T300)</f>
        <v/>
      </c>
      <c r="V300" s="205" t="str">
        <f aca="false">IF($A301="","",IF(AND(MONTH(A300)&gt;3,MONTH(A300)&lt;11),(T300+R300+G300)*Summary!$T$11/(1-Summary!$T$11),(T300+R300+G300)*Summary!$U$11/(1-Summary!$U$11)))</f>
        <v/>
      </c>
      <c r="W300" s="202" t="str">
        <f aca="false">IF($A301="","",(T300+R300+G300+V300))</f>
        <v/>
      </c>
      <c r="X300" s="202" t="str">
        <f aca="false">IF($A301="","",(U300+S300+H300+V300))</f>
        <v/>
      </c>
      <c r="Y300" s="202"/>
      <c r="Z300" s="185" t="str">
        <f aca="false">IF($A301="","",VLOOKUP($A300,Table,MATCH(Z$4,Curves,0)))</f>
        <v/>
      </c>
      <c r="AA300" s="185" t="str">
        <f aca="false">IF($A301="","",VLOOKUP($A300,Table,MATCH(AA$4,Curves,0)))</f>
        <v/>
      </c>
      <c r="AB300" s="185" t="e">
        <f aca="false">SQRT((AA300^2*(A300-$D$3)+Z300^2*(DAY(EOMONTH(A300,0))/2))/AK300)</f>
        <v>#VALUE!</v>
      </c>
      <c r="AC300" s="185" t="str">
        <f aca="false">IF($A301="","",VLOOKUP($A300,Table,MATCH(AC$4,Curves,0)))</f>
        <v/>
      </c>
      <c r="AD300" s="185" t="str">
        <f aca="false">IF($A301="","",VLOOKUP($A300,Table,MATCH(AD$4,Curves,0)))</f>
        <v/>
      </c>
      <c r="AE300" s="185" t="e">
        <f aca="false">SQRT((AD300^2*(A300-$D$3)+AC300^2*(DAY(EOMONTH(A300,0))/2))/AK300)</f>
        <v>#VALUE!</v>
      </c>
      <c r="AF300" s="206" t="e">
        <f aca="false">((Summary!$N$11*(AA300*AD300)*(A300-$D$3))+(Summary!$M$11*Z300*AC300*(AJ300-EOMONTH(EDATE(A300,-1),0))))/(AK300*AB300*AE300)</f>
        <v>#VALUE!</v>
      </c>
      <c r="AG300" s="207" t="str">
        <f aca="false">IF($A301="","",Summary!$Q$11)</f>
        <v/>
      </c>
      <c r="AH300" s="207" t="str">
        <f aca="false">IF($A301="","",IF(Summary!$R$11="Y",(VLOOKUP($A300,Summary!$AD$6:$AF$9,3)+'Escalating commodity'!G313),'Escalating commodity'!G313))</f>
        <v/>
      </c>
      <c r="AI300" s="207" t="str">
        <f aca="false">IF($A301="","",AH300)</f>
        <v/>
      </c>
      <c r="AJ300" s="208" t="e">
        <f aca="false">A300+DAY(EOMONTH(A300,0))/2-1</f>
        <v>#VALUE!</v>
      </c>
      <c r="AK300" s="209" t="str">
        <f aca="false">IF($A301="","",$A300-$E$1)</f>
        <v/>
      </c>
      <c r="AL300" s="182" t="str">
        <f aca="false">IF($A301="","",SPRDOPT(P300,X300,AI300,0,AB300,AE300,AF300,AK300,$AJ$2,0))</f>
        <v/>
      </c>
      <c r="AM300" s="210" t="str">
        <f aca="false">IF($A301="","",MAX(0,O300-W300-AI300))</f>
        <v/>
      </c>
      <c r="AN300" s="211" t="str">
        <f aca="false">IF($A301="","",AL300-AM300)</f>
        <v/>
      </c>
      <c r="AO300" s="137" t="str">
        <f aca="false">IF(A301="","",A301-A300)</f>
        <v/>
      </c>
      <c r="AP300" s="212" t="str">
        <f aca="false">IF(A301="","",CHOOSE(F$3,A301+24,A300))</f>
        <v/>
      </c>
      <c r="AQ300" s="209" t="str">
        <f aca="false">IF(A301="","",AP300-$E$1)</f>
        <v/>
      </c>
      <c r="AR300" s="185" t="n">
        <f aca="false">'ANR OK vs ML7'!AR300</f>
        <v>0.1</v>
      </c>
      <c r="AS300" s="213" t="str">
        <f aca="false">IF(A301="","",1/(1+CHOOSE(F$3,(AR301+($I$3/10000))/2,(AR300+($I$3/10000))/2))^(2*AQ300/365.25))</f>
        <v/>
      </c>
      <c r="AT300" s="137" t="str">
        <f aca="false">IF(A301="","",IF(AND(mthbeg&lt;=A300,mthend&gt;=A300),1,0))</f>
        <v/>
      </c>
      <c r="AU300" s="137" t="str">
        <f aca="false">IF(A301="","",AO300*AT300)</f>
        <v/>
      </c>
      <c r="AW300" s="195" t="str">
        <f aca="false">IF($A301="","",AL300*$E300)</f>
        <v/>
      </c>
      <c r="AX300" s="195" t="str">
        <f aca="false">IF($A301="","",AM300*$E300)</f>
        <v/>
      </c>
      <c r="AY300" s="195" t="str">
        <f aca="false">IF($A301="","",AN300*$E300)</f>
        <v/>
      </c>
      <c r="BA300" s="195" t="str">
        <f aca="false">IF($A301="","",F300*Summary!$Q$11)</f>
        <v/>
      </c>
    </row>
    <row r="301" customFormat="false" ht="12" hidden="false" customHeight="true" outlineLevel="0" collapsed="false">
      <c r="A301" s="196" t="str">
        <f aca="false">IF(A300&lt;mthend,EDATE(A300,1),"")</f>
        <v/>
      </c>
      <c r="B301" s="197" t="str">
        <f aca="false">IF(A301&lt;mthend,B300,"")</f>
        <v/>
      </c>
      <c r="C301" s="215"/>
      <c r="D301" s="197" t="str">
        <f aca="false">IF(A302&lt;&gt;"",B301+C301,"")</f>
        <v/>
      </c>
      <c r="E301" s="199" t="str">
        <f aca="false">IF(A302="","",IF(AND(AT301=1,$H$3=1),D301*AO301,IF($H$3=2,D301,"N/A")))</f>
        <v/>
      </c>
      <c r="F301" s="199" t="str">
        <f aca="false">IF(A302="","",E301*AS301)</f>
        <v/>
      </c>
      <c r="G301" s="200" t="str">
        <f aca="false">IF($A302="","",VLOOKUP($A301,Table,MATCH(G$4,Curves,0)))</f>
        <v/>
      </c>
      <c r="H301" s="201" t="str">
        <f aca="false">IF(A302="","",G301)</f>
        <v/>
      </c>
      <c r="I301" s="202"/>
      <c r="J301" s="200" t="str">
        <f aca="false">IF($A302="","",VLOOKUP($A301,Table,MATCH(J$4,Curves,0)))</f>
        <v/>
      </c>
      <c r="K301" s="201" t="str">
        <f aca="false">IF(A302="","",J301)</f>
        <v/>
      </c>
      <c r="L301" s="200" t="str">
        <f aca="false">IF($A302="","",VLOOKUP($A301,Table,MATCH(L$4,Curves,0)))</f>
        <v/>
      </c>
      <c r="M301" s="201" t="str">
        <f aca="false">IF(A302="","",L301)</f>
        <v/>
      </c>
      <c r="N301" s="203"/>
      <c r="O301" s="200" t="str">
        <f aca="false">IF(A302="","",L301+J301+G301)</f>
        <v/>
      </c>
      <c r="P301" s="200" t="str">
        <f aca="false">IF(A302="","",M301+K301+H301)</f>
        <v/>
      </c>
      <c r="Q301" s="204"/>
      <c r="R301" s="200" t="str">
        <f aca="false">IF($A302="","",VLOOKUP($A301,Table,MATCH(R$4,Curves,0)))</f>
        <v/>
      </c>
      <c r="S301" s="201" t="str">
        <f aca="false">IF(A302="","",R301)</f>
        <v/>
      </c>
      <c r="T301" s="185" t="n">
        <v>0</v>
      </c>
      <c r="U301" s="201" t="str">
        <f aca="false">IF(A302="","",T301)</f>
        <v/>
      </c>
      <c r="V301" s="205" t="str">
        <f aca="false">IF($A302="","",IF(AND(MONTH(A301)&gt;3,MONTH(A301)&lt;11),(T301+R301+G301)*Summary!$T$11/(1-Summary!$T$11),(T301+R301+G301)*Summary!$U$11/(1-Summary!$U$11)))</f>
        <v/>
      </c>
      <c r="W301" s="202" t="str">
        <f aca="false">IF($A302="","",(T301+R301+G301+V301))</f>
        <v/>
      </c>
      <c r="X301" s="202" t="str">
        <f aca="false">IF($A302="","",(U301+S301+H301+V301))</f>
        <v/>
      </c>
      <c r="Y301" s="202"/>
      <c r="Z301" s="185" t="str">
        <f aca="false">IF($A302="","",VLOOKUP($A301,Table,MATCH(Z$4,Curves,0)))</f>
        <v/>
      </c>
      <c r="AA301" s="185" t="str">
        <f aca="false">IF($A302="","",VLOOKUP($A301,Table,MATCH(AA$4,Curves,0)))</f>
        <v/>
      </c>
      <c r="AB301" s="185" t="e">
        <f aca="false">SQRT((AA301^2*(A301-$D$3)+Z301^2*(DAY(EOMONTH(A301,0))/2))/AK301)</f>
        <v>#VALUE!</v>
      </c>
      <c r="AC301" s="185" t="str">
        <f aca="false">IF($A302="","",VLOOKUP($A301,Table,MATCH(AC$4,Curves,0)))</f>
        <v/>
      </c>
      <c r="AD301" s="185" t="str">
        <f aca="false">IF($A302="","",VLOOKUP($A301,Table,MATCH(AD$4,Curves,0)))</f>
        <v/>
      </c>
      <c r="AE301" s="185" t="e">
        <f aca="false">SQRT((AD301^2*(A301-$D$3)+AC301^2*(DAY(EOMONTH(A301,0))/2))/AK301)</f>
        <v>#VALUE!</v>
      </c>
      <c r="AF301" s="206" t="e">
        <f aca="false">((Summary!$N$11*(AA301*AD301)*(A301-$D$3))+(Summary!$M$11*Z301*AC301*(AJ301-EOMONTH(EDATE(A301,-1),0))))/(AK301*AB301*AE301)</f>
        <v>#VALUE!</v>
      </c>
      <c r="AG301" s="207" t="str">
        <f aca="false">IF($A302="","",Summary!$Q$11)</f>
        <v/>
      </c>
      <c r="AH301" s="207" t="str">
        <f aca="false">IF($A302="","",IF(Summary!$R$11="Y",(VLOOKUP($A301,Summary!$AD$6:$AF$9,3)+'Escalating commodity'!G314),'Escalating commodity'!G314))</f>
        <v/>
      </c>
      <c r="AI301" s="207" t="str">
        <f aca="false">IF($A302="","",AH301)</f>
        <v/>
      </c>
      <c r="AJ301" s="208" t="e">
        <f aca="false">A301+DAY(EOMONTH(A301,0))/2-1</f>
        <v>#VALUE!</v>
      </c>
      <c r="AK301" s="209" t="str">
        <f aca="false">IF($A302="","",$A301-$E$1)</f>
        <v/>
      </c>
      <c r="AL301" s="182" t="str">
        <f aca="false">IF($A302="","",SPRDOPT(P301,X301,AI301,0,AB301,AE301,AF301,AK301,$AJ$2,0))</f>
        <v/>
      </c>
      <c r="AM301" s="210" t="str">
        <f aca="false">IF($A302="","",MAX(0,O301-W301-AI301))</f>
        <v/>
      </c>
      <c r="AN301" s="211" t="str">
        <f aca="false">IF($A302="","",AL301-AM301)</f>
        <v/>
      </c>
      <c r="AO301" s="137" t="str">
        <f aca="false">IF(A302="","",A302-A301)</f>
        <v/>
      </c>
      <c r="AP301" s="212" t="str">
        <f aca="false">IF(A302="","",CHOOSE(F$3,A302+24,A301))</f>
        <v/>
      </c>
      <c r="AQ301" s="209" t="str">
        <f aca="false">IF(A302="","",AP301-$E$1)</f>
        <v/>
      </c>
      <c r="AR301" s="185" t="n">
        <f aca="false">'ANR OK vs ML7'!AR301</f>
        <v>0.1</v>
      </c>
      <c r="AS301" s="213" t="str">
        <f aca="false">IF(A302="","",1/(1+CHOOSE(F$3,(AR302+($I$3/10000))/2,(AR301+($I$3/10000))/2))^(2*AQ301/365.25))</f>
        <v/>
      </c>
      <c r="AT301" s="137" t="str">
        <f aca="false">IF(A302="","",IF(AND(mthbeg&lt;=A301,mthend&gt;=A301),1,0))</f>
        <v/>
      </c>
      <c r="AU301" s="137" t="str">
        <f aca="false">IF(A302="","",AO301*AT301)</f>
        <v/>
      </c>
      <c r="AW301" s="195" t="str">
        <f aca="false">IF($A302="","",AL301*$E301)</f>
        <v/>
      </c>
      <c r="AX301" s="195" t="str">
        <f aca="false">IF($A302="","",AM301*$E301)</f>
        <v/>
      </c>
      <c r="AY301" s="195" t="str">
        <f aca="false">IF($A302="","",AN301*$E301)</f>
        <v/>
      </c>
      <c r="BA301" s="195" t="str">
        <f aca="false">IF($A302="","",F301*Summary!$Q$11)</f>
        <v/>
      </c>
    </row>
    <row r="302" customFormat="false" ht="12" hidden="false" customHeight="true" outlineLevel="0" collapsed="false">
      <c r="A302" s="196" t="str">
        <f aca="false">IF(A301&lt;mthend,EDATE(A301,1),"")</f>
        <v/>
      </c>
      <c r="B302" s="197" t="str">
        <f aca="false">IF(A302&lt;mthend,B301,"")</f>
        <v/>
      </c>
      <c r="C302" s="215"/>
      <c r="D302" s="197" t="str">
        <f aca="false">IF(A303&lt;&gt;"",B302+C302,"")</f>
        <v/>
      </c>
      <c r="E302" s="199" t="str">
        <f aca="false">IF(A303="","",IF(AND(AT302=1,$H$3=1),D302*AO302,IF($H$3=2,D302,"N/A")))</f>
        <v/>
      </c>
      <c r="F302" s="199" t="str">
        <f aca="false">IF(A303="","",E302*AS302)</f>
        <v/>
      </c>
      <c r="G302" s="200" t="str">
        <f aca="false">IF($A303="","",VLOOKUP($A302,Table,MATCH(G$4,Curves,0)))</f>
        <v/>
      </c>
      <c r="H302" s="201" t="str">
        <f aca="false">IF(A303="","",G302)</f>
        <v/>
      </c>
      <c r="I302" s="202"/>
      <c r="J302" s="200" t="str">
        <f aca="false">IF($A303="","",VLOOKUP($A302,Table,MATCH(J$4,Curves,0)))</f>
        <v/>
      </c>
      <c r="K302" s="201" t="str">
        <f aca="false">IF(A303="","",J302)</f>
        <v/>
      </c>
      <c r="L302" s="200" t="str">
        <f aca="false">IF($A303="","",VLOOKUP($A302,Table,MATCH(L$4,Curves,0)))</f>
        <v/>
      </c>
      <c r="M302" s="201" t="str">
        <f aca="false">IF(A303="","",L302)</f>
        <v/>
      </c>
      <c r="N302" s="203"/>
      <c r="O302" s="200" t="str">
        <f aca="false">IF(A303="","",L302+J302+G302)</f>
        <v/>
      </c>
      <c r="P302" s="200" t="str">
        <f aca="false">IF(A303="","",M302+K302+H302)</f>
        <v/>
      </c>
      <c r="Q302" s="204"/>
      <c r="R302" s="200" t="str">
        <f aca="false">IF($A303="","",VLOOKUP($A302,Table,MATCH(R$4,Curves,0)))</f>
        <v/>
      </c>
      <c r="S302" s="201" t="str">
        <f aca="false">IF(A303="","",R302)</f>
        <v/>
      </c>
      <c r="T302" s="185" t="n">
        <v>0</v>
      </c>
      <c r="U302" s="201" t="str">
        <f aca="false">IF(A303="","",T302)</f>
        <v/>
      </c>
      <c r="V302" s="205" t="str">
        <f aca="false">IF($A303="","",IF(AND(MONTH(A302)&gt;3,MONTH(A302)&lt;11),(T302+R302+G302)*Summary!$T$11/(1-Summary!$T$11),(T302+R302+G302)*Summary!$U$11/(1-Summary!$U$11)))</f>
        <v/>
      </c>
      <c r="W302" s="202" t="str">
        <f aca="false">IF($A303="","",(T302+R302+G302+V302))</f>
        <v/>
      </c>
      <c r="X302" s="202" t="str">
        <f aca="false">IF($A303="","",(U302+S302+H302+V302))</f>
        <v/>
      </c>
      <c r="Y302" s="202"/>
      <c r="Z302" s="185" t="str">
        <f aca="false">IF($A303="","",VLOOKUP($A302,Table,MATCH(Z$4,Curves,0)))</f>
        <v/>
      </c>
      <c r="AA302" s="185" t="str">
        <f aca="false">IF($A303="","",VLOOKUP($A302,Table,MATCH(AA$4,Curves,0)))</f>
        <v/>
      </c>
      <c r="AB302" s="185" t="e">
        <f aca="false">SQRT((AA302^2*(A302-$D$3)+Z302^2*(DAY(EOMONTH(A302,0))/2))/AK302)</f>
        <v>#VALUE!</v>
      </c>
      <c r="AC302" s="185" t="str">
        <f aca="false">IF($A303="","",VLOOKUP($A302,Table,MATCH(AC$4,Curves,0)))</f>
        <v/>
      </c>
      <c r="AD302" s="185" t="str">
        <f aca="false">IF($A303="","",VLOOKUP($A302,Table,MATCH(AD$4,Curves,0)))</f>
        <v/>
      </c>
      <c r="AE302" s="185" t="e">
        <f aca="false">SQRT((AD302^2*(A302-$D$3)+AC302^2*(DAY(EOMONTH(A302,0))/2))/AK302)</f>
        <v>#VALUE!</v>
      </c>
      <c r="AF302" s="206" t="e">
        <f aca="false">((Summary!$N$11*(AA302*AD302)*(A302-$D$3))+(Summary!$M$11*Z302*AC302*(AJ302-EOMONTH(EDATE(A302,-1),0))))/(AK302*AB302*AE302)</f>
        <v>#VALUE!</v>
      </c>
      <c r="AG302" s="207" t="str">
        <f aca="false">IF($A303="","",Summary!$Q$11)</f>
        <v/>
      </c>
      <c r="AH302" s="207" t="str">
        <f aca="false">IF($A303="","",IF(Summary!$R$11="Y",(VLOOKUP($A302,Summary!$AD$6:$AF$9,3)+'Escalating commodity'!G315),'Escalating commodity'!G315))</f>
        <v/>
      </c>
      <c r="AI302" s="207" t="str">
        <f aca="false">IF($A303="","",AH302)</f>
        <v/>
      </c>
      <c r="AJ302" s="208" t="e">
        <f aca="false">A302+DAY(EOMONTH(A302,0))/2-1</f>
        <v>#VALUE!</v>
      </c>
      <c r="AK302" s="209" t="str">
        <f aca="false">IF($A303="","",$A302-$E$1)</f>
        <v/>
      </c>
      <c r="AL302" s="182" t="str">
        <f aca="false">IF($A303="","",SPRDOPT(P302,X302,AI302,0,AB302,AE302,AF302,AK302,$AJ$2,0))</f>
        <v/>
      </c>
      <c r="AM302" s="210" t="str">
        <f aca="false">IF($A303="","",MAX(0,O302-W302-AI302))</f>
        <v/>
      </c>
      <c r="AN302" s="211" t="str">
        <f aca="false">IF($A303="","",AL302-AM302)</f>
        <v/>
      </c>
      <c r="AO302" s="137" t="str">
        <f aca="false">IF(A303="","",A303-A302)</f>
        <v/>
      </c>
      <c r="AP302" s="212" t="str">
        <f aca="false">IF(A303="","",CHOOSE(F$3,A303+24,A302))</f>
        <v/>
      </c>
      <c r="AQ302" s="209" t="str">
        <f aca="false">IF(A303="","",AP302-$E$1)</f>
        <v/>
      </c>
      <c r="AR302" s="185" t="n">
        <f aca="false">'ANR OK vs ML7'!AR302</f>
        <v>0.1</v>
      </c>
      <c r="AS302" s="213" t="str">
        <f aca="false">IF(A303="","",1/(1+CHOOSE(F$3,(AR303+($I$3/10000))/2,(AR302+($I$3/10000))/2))^(2*AQ302/365.25))</f>
        <v/>
      </c>
      <c r="AT302" s="137" t="str">
        <f aca="false">IF(A303="","",IF(AND(mthbeg&lt;=A302,mthend&gt;=A302),1,0))</f>
        <v/>
      </c>
      <c r="AU302" s="137" t="str">
        <f aca="false">IF(A303="","",AO302*AT302)</f>
        <v/>
      </c>
      <c r="AW302" s="195" t="str">
        <f aca="false">IF($A303="","",AL302*$E302)</f>
        <v/>
      </c>
      <c r="AX302" s="195" t="str">
        <f aca="false">IF($A303="","",AM302*$E302)</f>
        <v/>
      </c>
      <c r="AY302" s="195" t="str">
        <f aca="false">IF($A303="","",AN302*$E302)</f>
        <v/>
      </c>
      <c r="BA302" s="195" t="str">
        <f aca="false">IF($A303="","",F302*Summary!$Q$11)</f>
        <v/>
      </c>
    </row>
    <row r="303" customFormat="false" ht="12" hidden="false" customHeight="true" outlineLevel="0" collapsed="false">
      <c r="A303" s="196" t="str">
        <f aca="false">IF(A302&lt;mthend,EDATE(A302,1),"")</f>
        <v/>
      </c>
      <c r="B303" s="197" t="str">
        <f aca="false">IF(A303&lt;mthend,B302,"")</f>
        <v/>
      </c>
      <c r="C303" s="215"/>
      <c r="D303" s="197" t="str">
        <f aca="false">IF(A304&lt;&gt;"",B303+C303,"")</f>
        <v/>
      </c>
      <c r="E303" s="199" t="str">
        <f aca="false">IF(A304="","",IF(AND(AT303=1,$H$3=1),D303*AO303,IF($H$3=2,D303,"N/A")))</f>
        <v/>
      </c>
      <c r="F303" s="199" t="str">
        <f aca="false">IF(A304="","",E303*AS303)</f>
        <v/>
      </c>
      <c r="G303" s="200" t="str">
        <f aca="false">IF($A304="","",VLOOKUP($A303,Table,MATCH(G$4,Curves,0)))</f>
        <v/>
      </c>
      <c r="H303" s="201" t="str">
        <f aca="false">IF(A304="","",G303)</f>
        <v/>
      </c>
      <c r="I303" s="202"/>
      <c r="J303" s="200" t="str">
        <f aca="false">IF($A304="","",VLOOKUP($A303,Table,MATCH(J$4,Curves,0)))</f>
        <v/>
      </c>
      <c r="K303" s="201" t="str">
        <f aca="false">IF(A304="","",J303)</f>
        <v/>
      </c>
      <c r="L303" s="200" t="str">
        <f aca="false">IF($A304="","",VLOOKUP($A303,Table,MATCH(L$4,Curves,0)))</f>
        <v/>
      </c>
      <c r="M303" s="201" t="str">
        <f aca="false">IF(A304="","",L303)</f>
        <v/>
      </c>
      <c r="N303" s="203"/>
      <c r="O303" s="200" t="str">
        <f aca="false">IF(A304="","",L303+J303+G303)</f>
        <v/>
      </c>
      <c r="P303" s="200" t="str">
        <f aca="false">IF(A304="","",M303+K303+H303)</f>
        <v/>
      </c>
      <c r="Q303" s="204"/>
      <c r="R303" s="200" t="str">
        <f aca="false">IF($A304="","",VLOOKUP($A303,Table,MATCH(R$4,Curves,0)))</f>
        <v/>
      </c>
      <c r="S303" s="201" t="str">
        <f aca="false">IF(A304="","",R303)</f>
        <v/>
      </c>
      <c r="T303" s="185" t="n">
        <v>0</v>
      </c>
      <c r="U303" s="201" t="str">
        <f aca="false">IF(A304="","",T303)</f>
        <v/>
      </c>
      <c r="V303" s="205" t="str">
        <f aca="false">IF($A304="","",IF(AND(MONTH(A303)&gt;3,MONTH(A303)&lt;11),(T303+R303+G303)*Summary!$T$11/(1-Summary!$T$11),(T303+R303+G303)*Summary!$U$11/(1-Summary!$U$11)))</f>
        <v/>
      </c>
      <c r="W303" s="202" t="str">
        <f aca="false">IF($A304="","",(T303+R303+G303+V303))</f>
        <v/>
      </c>
      <c r="X303" s="202" t="str">
        <f aca="false">IF($A304="","",(U303+S303+H303+V303))</f>
        <v/>
      </c>
      <c r="Y303" s="202"/>
      <c r="Z303" s="185" t="str">
        <f aca="false">IF($A304="","",VLOOKUP($A303,Table,MATCH(Z$4,Curves,0)))</f>
        <v/>
      </c>
      <c r="AA303" s="185" t="str">
        <f aca="false">IF($A304="","",VLOOKUP($A303,Table,MATCH(AA$4,Curves,0)))</f>
        <v/>
      </c>
      <c r="AB303" s="185" t="e">
        <f aca="false">SQRT((AA303^2*(A303-$D$3)+Z303^2*(DAY(EOMONTH(A303,0))/2))/AK303)</f>
        <v>#VALUE!</v>
      </c>
      <c r="AC303" s="185" t="str">
        <f aca="false">IF($A304="","",VLOOKUP($A303,Table,MATCH(AC$4,Curves,0)))</f>
        <v/>
      </c>
      <c r="AD303" s="185" t="str">
        <f aca="false">IF($A304="","",VLOOKUP($A303,Table,MATCH(AD$4,Curves,0)))</f>
        <v/>
      </c>
      <c r="AE303" s="185" t="e">
        <f aca="false">SQRT((AD303^2*(A303-$D$3)+AC303^2*(DAY(EOMONTH(A303,0))/2))/AK303)</f>
        <v>#VALUE!</v>
      </c>
      <c r="AF303" s="206" t="e">
        <f aca="false">((Summary!$N$11*(AA303*AD303)*(A303-$D$3))+(Summary!$M$11*Z303*AC303*(AJ303-EOMONTH(EDATE(A303,-1),0))))/(AK303*AB303*AE303)</f>
        <v>#VALUE!</v>
      </c>
      <c r="AG303" s="207" t="str">
        <f aca="false">IF($A304="","",Summary!$Q$11)</f>
        <v/>
      </c>
      <c r="AH303" s="207" t="str">
        <f aca="false">IF($A304="","",IF(Summary!$R$11="Y",(VLOOKUP($A303,Summary!$AD$6:$AF$9,3)+'Escalating commodity'!G316),'Escalating commodity'!G316))</f>
        <v/>
      </c>
      <c r="AI303" s="207" t="str">
        <f aca="false">IF($A304="","",AH303)</f>
        <v/>
      </c>
      <c r="AJ303" s="208" t="e">
        <f aca="false">A303+DAY(EOMONTH(A303,0))/2-1</f>
        <v>#VALUE!</v>
      </c>
      <c r="AK303" s="209" t="str">
        <f aca="false">IF($A304="","",$A303-$E$1)</f>
        <v/>
      </c>
      <c r="AL303" s="182" t="str">
        <f aca="false">IF($A304="","",SPRDOPT(P303,X303,AI303,0,AB303,AE303,AF303,AK303,$AJ$2,0))</f>
        <v/>
      </c>
      <c r="AM303" s="210" t="str">
        <f aca="false">IF($A304="","",MAX(0,O303-W303-AI303))</f>
        <v/>
      </c>
      <c r="AN303" s="211" t="str">
        <f aca="false">IF($A304="","",AL303-AM303)</f>
        <v/>
      </c>
      <c r="AO303" s="137" t="str">
        <f aca="false">IF(A304="","",A304-A303)</f>
        <v/>
      </c>
      <c r="AP303" s="212" t="str">
        <f aca="false">IF(A304="","",CHOOSE(F$3,A304+24,A303))</f>
        <v/>
      </c>
      <c r="AQ303" s="209" t="str">
        <f aca="false">IF(A304="","",AP303-$E$1)</f>
        <v/>
      </c>
      <c r="AR303" s="185" t="n">
        <f aca="false">'ANR OK vs ML7'!AR303</f>
        <v>0.1</v>
      </c>
      <c r="AS303" s="213" t="str">
        <f aca="false">IF(A304="","",1/(1+CHOOSE(F$3,(AR304+($I$3/10000))/2,(AR303+($I$3/10000))/2))^(2*AQ303/365.25))</f>
        <v/>
      </c>
      <c r="AT303" s="137" t="str">
        <f aca="false">IF(A304="","",IF(AND(mthbeg&lt;=A303,mthend&gt;=A303),1,0))</f>
        <v/>
      </c>
      <c r="AU303" s="137" t="str">
        <f aca="false">IF(A304="","",AO303*AT303)</f>
        <v/>
      </c>
      <c r="AW303" s="195" t="str">
        <f aca="false">IF($A304="","",AL303*$E303)</f>
        <v/>
      </c>
      <c r="AX303" s="195" t="str">
        <f aca="false">IF($A304="","",AM303*$E303)</f>
        <v/>
      </c>
      <c r="AY303" s="195" t="str">
        <f aca="false">IF($A304="","",AN303*$E303)</f>
        <v/>
      </c>
      <c r="BA303" s="195" t="str">
        <f aca="false">IF($A304="","",F303*Summary!$Q$11)</f>
        <v/>
      </c>
    </row>
    <row r="304" customFormat="false" ht="12" hidden="false" customHeight="true" outlineLevel="0" collapsed="false">
      <c r="A304" s="196" t="str">
        <f aca="false">IF(A303&lt;mthend,EDATE(A303,1),"")</f>
        <v/>
      </c>
      <c r="B304" s="197" t="str">
        <f aca="false">IF(A304&lt;mthend,B303,"")</f>
        <v/>
      </c>
      <c r="C304" s="215"/>
      <c r="D304" s="197" t="str">
        <f aca="false">IF(A305&lt;&gt;"",B304+C304,"")</f>
        <v/>
      </c>
      <c r="E304" s="199" t="str">
        <f aca="false">IF(A305="","",IF(AND(AT304=1,$H$3=1),D304*AO304,IF($H$3=2,D304,"N/A")))</f>
        <v/>
      </c>
      <c r="F304" s="199" t="str">
        <f aca="false">IF(A305="","",E304*AS304)</f>
        <v/>
      </c>
      <c r="G304" s="200" t="str">
        <f aca="false">IF($A305="","",VLOOKUP($A304,Table,MATCH(G$4,Curves,0)))</f>
        <v/>
      </c>
      <c r="H304" s="201" t="str">
        <f aca="false">IF(A305="","",G304)</f>
        <v/>
      </c>
      <c r="I304" s="202"/>
      <c r="J304" s="200" t="str">
        <f aca="false">IF($A305="","",VLOOKUP($A304,Table,MATCH(J$4,Curves,0)))</f>
        <v/>
      </c>
      <c r="K304" s="201" t="str">
        <f aca="false">IF(A305="","",J304)</f>
        <v/>
      </c>
      <c r="L304" s="200" t="str">
        <f aca="false">IF($A305="","",VLOOKUP($A304,Table,MATCH(L$4,Curves,0)))</f>
        <v/>
      </c>
      <c r="M304" s="201" t="str">
        <f aca="false">IF(A305="","",L304)</f>
        <v/>
      </c>
      <c r="N304" s="203"/>
      <c r="O304" s="200" t="str">
        <f aca="false">IF(A305="","",L304+J304+G304)</f>
        <v/>
      </c>
      <c r="P304" s="200" t="str">
        <f aca="false">IF(A305="","",M304+K304+H304)</f>
        <v/>
      </c>
      <c r="Q304" s="204"/>
      <c r="R304" s="200" t="str">
        <f aca="false">IF($A305="","",VLOOKUP($A304,Table,MATCH(R$4,Curves,0)))</f>
        <v/>
      </c>
      <c r="S304" s="201" t="str">
        <f aca="false">IF(A305="","",R304)</f>
        <v/>
      </c>
      <c r="T304" s="185" t="n">
        <v>0</v>
      </c>
      <c r="U304" s="201" t="str">
        <f aca="false">IF(A305="","",T304)</f>
        <v/>
      </c>
      <c r="V304" s="205" t="str">
        <f aca="false">IF($A305="","",IF(AND(MONTH(A304)&gt;3,MONTH(A304)&lt;11),(T304+R304+G304)*Summary!$T$11/(1-Summary!$T$11),(T304+R304+G304)*Summary!$U$11/(1-Summary!$U$11)))</f>
        <v/>
      </c>
      <c r="W304" s="202" t="str">
        <f aca="false">IF($A305="","",(T304+R304+G304+V304))</f>
        <v/>
      </c>
      <c r="X304" s="202" t="str">
        <f aca="false">IF($A305="","",(U304+S304+H304+V304))</f>
        <v/>
      </c>
      <c r="Y304" s="202"/>
      <c r="Z304" s="185" t="str">
        <f aca="false">IF($A305="","",VLOOKUP($A304,Table,MATCH(Z$4,Curves,0)))</f>
        <v/>
      </c>
      <c r="AA304" s="185" t="str">
        <f aca="false">IF($A305="","",VLOOKUP($A304,Table,MATCH(AA$4,Curves,0)))</f>
        <v/>
      </c>
      <c r="AB304" s="185" t="e">
        <f aca="false">SQRT((AA304^2*(A304-$D$3)+Z304^2*(DAY(EOMONTH(A304,0))/2))/AK304)</f>
        <v>#VALUE!</v>
      </c>
      <c r="AC304" s="185" t="str">
        <f aca="false">IF($A305="","",VLOOKUP($A304,Table,MATCH(AC$4,Curves,0)))</f>
        <v/>
      </c>
      <c r="AD304" s="185" t="str">
        <f aca="false">IF($A305="","",VLOOKUP($A304,Table,MATCH(AD$4,Curves,0)))</f>
        <v/>
      </c>
      <c r="AE304" s="185" t="e">
        <f aca="false">SQRT((AD304^2*(A304-$D$3)+AC304^2*(DAY(EOMONTH(A304,0))/2))/AK304)</f>
        <v>#VALUE!</v>
      </c>
      <c r="AF304" s="206" t="e">
        <f aca="false">((Summary!$N$11*(AA304*AD304)*(A304-$D$3))+(Summary!$M$11*Z304*AC304*(AJ304-EOMONTH(EDATE(A304,-1),0))))/(AK304*AB304*AE304)</f>
        <v>#VALUE!</v>
      </c>
      <c r="AG304" s="207" t="str">
        <f aca="false">IF($A305="","",Summary!$Q$11)</f>
        <v/>
      </c>
      <c r="AH304" s="207" t="str">
        <f aca="false">IF($A305="","",IF(Summary!$R$11="Y",(VLOOKUP($A304,Summary!$AD$6:$AF$9,3)+'Escalating commodity'!G317),'Escalating commodity'!G317))</f>
        <v/>
      </c>
      <c r="AI304" s="207" t="str">
        <f aca="false">IF($A305="","",AH304)</f>
        <v/>
      </c>
      <c r="AJ304" s="208" t="e">
        <f aca="false">A304+DAY(EOMONTH(A304,0))/2-1</f>
        <v>#VALUE!</v>
      </c>
      <c r="AK304" s="209" t="str">
        <f aca="false">IF($A305="","",$A304-$E$1)</f>
        <v/>
      </c>
      <c r="AL304" s="182" t="str">
        <f aca="false">IF($A305="","",SPRDOPT(P304,X304,AI304,0,AB304,AE304,AF304,AK304,$AJ$2,0))</f>
        <v/>
      </c>
      <c r="AM304" s="210" t="str">
        <f aca="false">IF($A305="","",MAX(0,O304-W304-AI304))</f>
        <v/>
      </c>
      <c r="AN304" s="211" t="str">
        <f aca="false">IF($A305="","",AL304-AM304)</f>
        <v/>
      </c>
      <c r="AO304" s="137" t="str">
        <f aca="false">IF(A305="","",A305-A304)</f>
        <v/>
      </c>
      <c r="AP304" s="212" t="str">
        <f aca="false">IF(A305="","",CHOOSE(F$3,A305+24,A304))</f>
        <v/>
      </c>
      <c r="AQ304" s="209" t="str">
        <f aca="false">IF(A305="","",AP304-$E$1)</f>
        <v/>
      </c>
      <c r="AR304" s="185" t="n">
        <f aca="false">'ANR OK vs ML7'!AR304</f>
        <v>0.1</v>
      </c>
      <c r="AS304" s="213" t="str">
        <f aca="false">IF(A305="","",1/(1+CHOOSE(F$3,(AR305+($I$3/10000))/2,(AR304+($I$3/10000))/2))^(2*AQ304/365.25))</f>
        <v/>
      </c>
      <c r="AT304" s="137" t="str">
        <f aca="false">IF(A305="","",IF(AND(mthbeg&lt;=A304,mthend&gt;=A304),1,0))</f>
        <v/>
      </c>
      <c r="AU304" s="137" t="str">
        <f aca="false">IF(A305="","",AO304*AT304)</f>
        <v/>
      </c>
      <c r="AW304" s="195" t="str">
        <f aca="false">IF($A305="","",AL304*$E304)</f>
        <v/>
      </c>
      <c r="AX304" s="195" t="str">
        <f aca="false">IF($A305="","",AM304*$E304)</f>
        <v/>
      </c>
      <c r="AY304" s="195" t="str">
        <f aca="false">IF($A305="","",AN304*$E304)</f>
        <v/>
      </c>
      <c r="BA304" s="195" t="str">
        <f aca="false">IF($A305="","",F304*Summary!$Q$11)</f>
        <v/>
      </c>
    </row>
    <row r="305" customFormat="false" ht="12" hidden="false" customHeight="true" outlineLevel="0" collapsed="false">
      <c r="A305" s="196" t="str">
        <f aca="false">IF(A304&lt;mthend,EDATE(A304,1),"")</f>
        <v/>
      </c>
      <c r="B305" s="197" t="str">
        <f aca="false">IF(A305&lt;mthend,B304,"")</f>
        <v/>
      </c>
      <c r="C305" s="215"/>
      <c r="D305" s="197" t="str">
        <f aca="false">IF(A306&lt;&gt;"",B305+C305,"")</f>
        <v/>
      </c>
      <c r="E305" s="199" t="str">
        <f aca="false">IF(A306="","",IF(AND(AT305=1,$H$3=1),D305*AO305,IF($H$3=2,D305,"N/A")))</f>
        <v/>
      </c>
      <c r="F305" s="199" t="str">
        <f aca="false">IF(A306="","",E305*AS305)</f>
        <v/>
      </c>
      <c r="G305" s="200" t="str">
        <f aca="false">IF($A306="","",VLOOKUP($A305,Table,MATCH(G$4,Curves,0)))</f>
        <v/>
      </c>
      <c r="H305" s="201" t="str">
        <f aca="false">IF(A306="","",G305)</f>
        <v/>
      </c>
      <c r="I305" s="202"/>
      <c r="J305" s="200" t="str">
        <f aca="false">IF($A306="","",VLOOKUP($A305,Table,MATCH(J$4,Curves,0)))</f>
        <v/>
      </c>
      <c r="K305" s="201" t="str">
        <f aca="false">IF(A306="","",J305)</f>
        <v/>
      </c>
      <c r="L305" s="200" t="str">
        <f aca="false">IF($A306="","",VLOOKUP($A305,Table,MATCH(L$4,Curves,0)))</f>
        <v/>
      </c>
      <c r="M305" s="201" t="str">
        <f aca="false">IF(A306="","",L305)</f>
        <v/>
      </c>
      <c r="N305" s="203"/>
      <c r="O305" s="200" t="str">
        <f aca="false">IF(A306="","",L305+J305+G305)</f>
        <v/>
      </c>
      <c r="P305" s="200" t="str">
        <f aca="false">IF(A306="","",M305+K305+H305)</f>
        <v/>
      </c>
      <c r="Q305" s="204"/>
      <c r="R305" s="200" t="str">
        <f aca="false">IF($A306="","",VLOOKUP($A305,Table,MATCH(R$4,Curves,0)))</f>
        <v/>
      </c>
      <c r="S305" s="201" t="str">
        <f aca="false">IF(A306="","",R305)</f>
        <v/>
      </c>
      <c r="T305" s="185" t="n">
        <v>0</v>
      </c>
      <c r="U305" s="201" t="str">
        <f aca="false">IF(A306="","",T305)</f>
        <v/>
      </c>
      <c r="V305" s="205" t="str">
        <f aca="false">IF($A306="","",IF(AND(MONTH(A305)&gt;3,MONTH(A305)&lt;11),(T305+R305+G305)*Summary!$T$11/(1-Summary!$T$11),(T305+R305+G305)*Summary!$U$11/(1-Summary!$U$11)))</f>
        <v/>
      </c>
      <c r="W305" s="202" t="str">
        <f aca="false">IF($A306="","",(T305+R305+G305+V305))</f>
        <v/>
      </c>
      <c r="X305" s="202" t="str">
        <f aca="false">IF($A306="","",(U305+S305+H305+V305))</f>
        <v/>
      </c>
      <c r="Y305" s="202"/>
      <c r="Z305" s="185" t="str">
        <f aca="false">IF($A306="","",VLOOKUP($A305,Table,MATCH(Z$4,Curves,0)))</f>
        <v/>
      </c>
      <c r="AA305" s="185" t="str">
        <f aca="false">IF($A306="","",VLOOKUP($A305,Table,MATCH(AA$4,Curves,0)))</f>
        <v/>
      </c>
      <c r="AB305" s="185" t="e">
        <f aca="false">SQRT((AA305^2*(A305-$D$3)+Z305^2*(DAY(EOMONTH(A305,0))/2))/AK305)</f>
        <v>#VALUE!</v>
      </c>
      <c r="AC305" s="185" t="str">
        <f aca="false">IF($A306="","",VLOOKUP($A305,Table,MATCH(AC$4,Curves,0)))</f>
        <v/>
      </c>
      <c r="AD305" s="185" t="str">
        <f aca="false">IF($A306="","",VLOOKUP($A305,Table,MATCH(AD$4,Curves,0)))</f>
        <v/>
      </c>
      <c r="AE305" s="185" t="e">
        <f aca="false">SQRT((AD305^2*(A305-$D$3)+AC305^2*(DAY(EOMONTH(A305,0))/2))/AK305)</f>
        <v>#VALUE!</v>
      </c>
      <c r="AF305" s="206" t="e">
        <f aca="false">((Summary!$N$11*(AA305*AD305)*(A305-$D$3))+(Summary!$M$11*Z305*AC305*(AJ305-EOMONTH(EDATE(A305,-1),0))))/(AK305*AB305*AE305)</f>
        <v>#VALUE!</v>
      </c>
      <c r="AG305" s="207" t="str">
        <f aca="false">IF($A306="","",Summary!$Q$11)</f>
        <v/>
      </c>
      <c r="AH305" s="207" t="str">
        <f aca="false">IF($A306="","",IF(Summary!$R$11="Y",(VLOOKUP($A305,Summary!$AD$6:$AF$9,3)+'Escalating commodity'!G318),'Escalating commodity'!G318))</f>
        <v/>
      </c>
      <c r="AI305" s="207" t="str">
        <f aca="false">IF($A306="","",AH305)</f>
        <v/>
      </c>
      <c r="AJ305" s="208" t="e">
        <f aca="false">A305+DAY(EOMONTH(A305,0))/2-1</f>
        <v>#VALUE!</v>
      </c>
      <c r="AK305" s="209" t="str">
        <f aca="false">IF($A306="","",$A305-$E$1)</f>
        <v/>
      </c>
      <c r="AL305" s="182" t="str">
        <f aca="false">IF($A306="","",SPRDOPT(P305,X305,AI305,0,AB305,AE305,AF305,AK305,$AJ$2,0))</f>
        <v/>
      </c>
      <c r="AM305" s="210" t="str">
        <f aca="false">IF($A306="","",MAX(0,O305-W305-AI305))</f>
        <v/>
      </c>
      <c r="AN305" s="211" t="str">
        <f aca="false">IF($A306="","",AL305-AM305)</f>
        <v/>
      </c>
      <c r="AO305" s="137" t="str">
        <f aca="false">IF(A306="","",A306-A305)</f>
        <v/>
      </c>
      <c r="AP305" s="212" t="str">
        <f aca="false">IF(A306="","",CHOOSE(F$3,A306+24,A305))</f>
        <v/>
      </c>
      <c r="AQ305" s="209" t="str">
        <f aca="false">IF(A306="","",AP305-$E$1)</f>
        <v/>
      </c>
      <c r="AR305" s="185" t="n">
        <f aca="false">'ANR OK vs ML7'!AR305</f>
        <v>0.1</v>
      </c>
      <c r="AS305" s="213" t="str">
        <f aca="false">IF(A306="","",1/(1+CHOOSE(F$3,(AR306+($I$3/10000))/2,(AR305+($I$3/10000))/2))^(2*AQ305/365.25))</f>
        <v/>
      </c>
      <c r="AT305" s="137" t="str">
        <f aca="false">IF(A306="","",IF(AND(mthbeg&lt;=A305,mthend&gt;=A305),1,0))</f>
        <v/>
      </c>
      <c r="AU305" s="137" t="str">
        <f aca="false">IF(A306="","",AO305*AT305)</f>
        <v/>
      </c>
      <c r="AW305" s="195" t="str">
        <f aca="false">IF($A306="","",AL305*$E305)</f>
        <v/>
      </c>
      <c r="AX305" s="195" t="str">
        <f aca="false">IF($A306="","",AM305*$E305)</f>
        <v/>
      </c>
      <c r="AY305" s="195" t="str">
        <f aca="false">IF($A306="","",AN305*$E305)</f>
        <v/>
      </c>
      <c r="BA305" s="195" t="str">
        <f aca="false">IF($A306="","",F305*Summary!$Q$11)</f>
        <v/>
      </c>
    </row>
    <row r="306" customFormat="false" ht="12" hidden="false" customHeight="true" outlineLevel="0" collapsed="false">
      <c r="A306" s="196" t="str">
        <f aca="false">IF(A305&lt;mthend,EDATE(A305,1),"")</f>
        <v/>
      </c>
      <c r="B306" s="197" t="str">
        <f aca="false">IF(A306&lt;mthend,B305,"")</f>
        <v/>
      </c>
      <c r="C306" s="215"/>
      <c r="D306" s="197" t="str">
        <f aca="false">IF(A307&lt;&gt;"",B306+C306,"")</f>
        <v/>
      </c>
      <c r="E306" s="199" t="str">
        <f aca="false">IF(A307="","",IF(AND(AT306=1,$H$3=1),D306*AO306,IF($H$3=2,D306,"N/A")))</f>
        <v/>
      </c>
      <c r="F306" s="199" t="str">
        <f aca="false">IF(A307="","",E306*AS306)</f>
        <v/>
      </c>
      <c r="G306" s="200" t="str">
        <f aca="false">IF($A307="","",VLOOKUP($A306,Table,MATCH(G$4,Curves,0)))</f>
        <v/>
      </c>
      <c r="H306" s="201" t="str">
        <f aca="false">IF(A307="","",G306)</f>
        <v/>
      </c>
      <c r="I306" s="202"/>
      <c r="J306" s="200" t="str">
        <f aca="false">IF($A307="","",VLOOKUP($A306,Table,MATCH(J$4,Curves,0)))</f>
        <v/>
      </c>
      <c r="K306" s="201" t="str">
        <f aca="false">IF(A307="","",J306)</f>
        <v/>
      </c>
      <c r="L306" s="200" t="str">
        <f aca="false">IF($A307="","",VLOOKUP($A306,Table,MATCH(L$4,Curves,0)))</f>
        <v/>
      </c>
      <c r="M306" s="201" t="str">
        <f aca="false">IF(A307="","",L306)</f>
        <v/>
      </c>
      <c r="N306" s="203"/>
      <c r="O306" s="200" t="str">
        <f aca="false">IF(A307="","",L306+J306+G306)</f>
        <v/>
      </c>
      <c r="P306" s="200" t="str">
        <f aca="false">IF(A307="","",M306+K306+H306)</f>
        <v/>
      </c>
      <c r="Q306" s="204"/>
      <c r="R306" s="200" t="str">
        <f aca="false">IF($A307="","",VLOOKUP($A306,Table,MATCH(R$4,Curves,0)))</f>
        <v/>
      </c>
      <c r="S306" s="201" t="str">
        <f aca="false">IF(A307="","",R306)</f>
        <v/>
      </c>
      <c r="T306" s="185" t="n">
        <v>0</v>
      </c>
      <c r="U306" s="201" t="str">
        <f aca="false">IF(A307="","",T306)</f>
        <v/>
      </c>
      <c r="V306" s="205" t="str">
        <f aca="false">IF($A307="","",IF(AND(MONTH(A306)&gt;3,MONTH(A306)&lt;11),(T306+R306+G306)*Summary!$T$11/(1-Summary!$T$11),(T306+R306+G306)*Summary!$U$11/(1-Summary!$U$11)))</f>
        <v/>
      </c>
      <c r="W306" s="202" t="str">
        <f aca="false">IF($A307="","",(T306+R306+G306+V306))</f>
        <v/>
      </c>
      <c r="X306" s="202" t="str">
        <f aca="false">IF($A307="","",(U306+S306+H306+V306))</f>
        <v/>
      </c>
      <c r="Y306" s="202"/>
      <c r="Z306" s="185" t="str">
        <f aca="false">IF($A307="","",VLOOKUP($A306,Table,MATCH(Z$4,Curves,0)))</f>
        <v/>
      </c>
      <c r="AA306" s="185" t="str">
        <f aca="false">IF($A307="","",VLOOKUP($A306,Table,MATCH(AA$4,Curves,0)))</f>
        <v/>
      </c>
      <c r="AB306" s="185" t="e">
        <f aca="false">SQRT((AA306^2*(A306-$D$3)+Z306^2*(DAY(EOMONTH(A306,0))/2))/AK306)</f>
        <v>#VALUE!</v>
      </c>
      <c r="AC306" s="185" t="str">
        <f aca="false">IF($A307="","",VLOOKUP($A306,Table,MATCH(AC$4,Curves,0)))</f>
        <v/>
      </c>
      <c r="AD306" s="185" t="str">
        <f aca="false">IF($A307="","",VLOOKUP($A306,Table,MATCH(AD$4,Curves,0)))</f>
        <v/>
      </c>
      <c r="AE306" s="185" t="e">
        <f aca="false">SQRT((AD306^2*(A306-$D$3)+AC306^2*(DAY(EOMONTH(A306,0))/2))/AK306)</f>
        <v>#VALUE!</v>
      </c>
      <c r="AF306" s="206" t="e">
        <f aca="false">((Summary!$N$11*(AA306*AD306)*(A306-$D$3))+(Summary!$M$11*Z306*AC306*(AJ306-EOMONTH(EDATE(A306,-1),0))))/(AK306*AB306*AE306)</f>
        <v>#VALUE!</v>
      </c>
      <c r="AG306" s="207" t="str">
        <f aca="false">IF($A307="","",Summary!$Q$11)</f>
        <v/>
      </c>
      <c r="AH306" s="207" t="str">
        <f aca="false">IF($A307="","",IF(Summary!$R$11="Y",(VLOOKUP($A306,Summary!$AD$6:$AF$9,3)+'Escalating commodity'!G319),'Escalating commodity'!G319))</f>
        <v/>
      </c>
      <c r="AI306" s="207" t="str">
        <f aca="false">IF($A307="","",AH306)</f>
        <v/>
      </c>
      <c r="AJ306" s="208" t="e">
        <f aca="false">A306+DAY(EOMONTH(A306,0))/2-1</f>
        <v>#VALUE!</v>
      </c>
      <c r="AK306" s="209" t="str">
        <f aca="false">IF($A307="","",$A306-$E$1)</f>
        <v/>
      </c>
      <c r="AL306" s="182" t="str">
        <f aca="false">IF($A307="","",SPRDOPT(P306,X306,AI306,0,AB306,AE306,AF306,AK306,$AJ$2,0))</f>
        <v/>
      </c>
      <c r="AM306" s="210" t="str">
        <f aca="false">IF($A307="","",MAX(0,O306-W306-AI306))</f>
        <v/>
      </c>
      <c r="AN306" s="211" t="str">
        <f aca="false">IF($A307="","",AL306-AM306)</f>
        <v/>
      </c>
      <c r="AO306" s="137" t="str">
        <f aca="false">IF(A307="","",A307-A306)</f>
        <v/>
      </c>
      <c r="AP306" s="212" t="str">
        <f aca="false">IF(A307="","",CHOOSE(F$3,A307+24,A306))</f>
        <v/>
      </c>
      <c r="AQ306" s="209" t="str">
        <f aca="false">IF(A307="","",AP306-$E$1)</f>
        <v/>
      </c>
      <c r="AR306" s="185" t="n">
        <f aca="false">'ANR OK vs ML7'!AR306</f>
        <v>0.1</v>
      </c>
      <c r="AS306" s="213" t="str">
        <f aca="false">IF(A307="","",1/(1+CHOOSE(F$3,(AR307+($I$3/10000))/2,(AR306+($I$3/10000))/2))^(2*AQ306/365.25))</f>
        <v/>
      </c>
      <c r="AT306" s="137" t="str">
        <f aca="false">IF(A307="","",IF(AND(mthbeg&lt;=A306,mthend&gt;=A306),1,0))</f>
        <v/>
      </c>
      <c r="AU306" s="137" t="str">
        <f aca="false">IF(A307="","",AO306*AT306)</f>
        <v/>
      </c>
      <c r="AW306" s="195" t="str">
        <f aca="false">IF($A307="","",AL306*$E306)</f>
        <v/>
      </c>
      <c r="AX306" s="195" t="str">
        <f aca="false">IF($A307="","",AM306*$E306)</f>
        <v/>
      </c>
      <c r="AY306" s="195" t="str">
        <f aca="false">IF($A307="","",AN306*$E306)</f>
        <v/>
      </c>
      <c r="BA306" s="195" t="str">
        <f aca="false">IF($A307="","",F306*Summary!$Q$11)</f>
        <v/>
      </c>
    </row>
    <row r="307" customFormat="false" ht="12" hidden="false" customHeight="true" outlineLevel="0" collapsed="false">
      <c r="A307" s="196" t="str">
        <f aca="false">IF(A306&lt;mthend,EDATE(A306,1),"")</f>
        <v/>
      </c>
      <c r="B307" s="197" t="str">
        <f aca="false">IF(A307&lt;mthend,B306,"")</f>
        <v/>
      </c>
      <c r="C307" s="215"/>
      <c r="D307" s="197" t="str">
        <f aca="false">IF(A308&lt;&gt;"",B307+C307,"")</f>
        <v/>
      </c>
      <c r="E307" s="199" t="str">
        <f aca="false">IF(A308="","",IF(AND(AT307=1,$H$3=1),D307*AO307,IF($H$3=2,D307,"N/A")))</f>
        <v/>
      </c>
      <c r="F307" s="199" t="str">
        <f aca="false">IF(A308="","",E307*AS307)</f>
        <v/>
      </c>
      <c r="G307" s="200" t="str">
        <f aca="false">IF($A308="","",VLOOKUP($A307,Table,MATCH(G$4,Curves,0)))</f>
        <v/>
      </c>
      <c r="H307" s="201" t="str">
        <f aca="false">IF(A308="","",G307)</f>
        <v/>
      </c>
      <c r="I307" s="202"/>
      <c r="J307" s="200" t="str">
        <f aca="false">IF($A308="","",VLOOKUP($A307,Table,MATCH(J$4,Curves,0)))</f>
        <v/>
      </c>
      <c r="K307" s="201" t="str">
        <f aca="false">IF(A308="","",J307)</f>
        <v/>
      </c>
      <c r="L307" s="200" t="str">
        <f aca="false">IF($A308="","",VLOOKUP($A307,Table,MATCH(L$4,Curves,0)))</f>
        <v/>
      </c>
      <c r="M307" s="201" t="str">
        <f aca="false">IF(A308="","",L307)</f>
        <v/>
      </c>
      <c r="N307" s="203"/>
      <c r="O307" s="200" t="str">
        <f aca="false">IF(A308="","",L307+J307+G307)</f>
        <v/>
      </c>
      <c r="P307" s="200" t="str">
        <f aca="false">IF(A308="","",M307+K307+H307)</f>
        <v/>
      </c>
      <c r="Q307" s="204"/>
      <c r="R307" s="200" t="str">
        <f aca="false">IF($A308="","",VLOOKUP($A307,Table,MATCH(R$4,Curves,0)))</f>
        <v/>
      </c>
      <c r="S307" s="201" t="str">
        <f aca="false">IF(A308="","",R307)</f>
        <v/>
      </c>
      <c r="T307" s="185" t="n">
        <v>0</v>
      </c>
      <c r="U307" s="201" t="str">
        <f aca="false">IF(A308="","",T307)</f>
        <v/>
      </c>
      <c r="V307" s="205" t="str">
        <f aca="false">IF($A308="","",IF(AND(MONTH(A307)&gt;3,MONTH(A307)&lt;11),(T307+R307+G307)*Summary!$T$11/(1-Summary!$T$11),(T307+R307+G307)*Summary!$U$11/(1-Summary!$U$11)))</f>
        <v/>
      </c>
      <c r="W307" s="202" t="str">
        <f aca="false">IF($A308="","",(T307+R307+G307+V307))</f>
        <v/>
      </c>
      <c r="X307" s="202" t="str">
        <f aca="false">IF($A308="","",(U307+S307+H307+V307))</f>
        <v/>
      </c>
      <c r="Y307" s="202"/>
      <c r="Z307" s="185" t="str">
        <f aca="false">IF($A308="","",VLOOKUP($A307,Table,MATCH(Z$4,Curves,0)))</f>
        <v/>
      </c>
      <c r="AA307" s="185" t="str">
        <f aca="false">IF($A308="","",VLOOKUP($A307,Table,MATCH(AA$4,Curves,0)))</f>
        <v/>
      </c>
      <c r="AB307" s="185" t="e">
        <f aca="false">SQRT((AA307^2*(A307-$D$3)+Z307^2*(DAY(EOMONTH(A307,0))/2))/AK307)</f>
        <v>#VALUE!</v>
      </c>
      <c r="AC307" s="185" t="str">
        <f aca="false">IF($A308="","",VLOOKUP($A307,Table,MATCH(AC$4,Curves,0)))</f>
        <v/>
      </c>
      <c r="AD307" s="185" t="str">
        <f aca="false">IF($A308="","",VLOOKUP($A307,Table,MATCH(AD$4,Curves,0)))</f>
        <v/>
      </c>
      <c r="AE307" s="185" t="e">
        <f aca="false">SQRT((AD307^2*(A307-$D$3)+AC307^2*(DAY(EOMONTH(A307,0))/2))/AK307)</f>
        <v>#VALUE!</v>
      </c>
      <c r="AF307" s="206" t="e">
        <f aca="false">((Summary!$N$11*(AA307*AD307)*(A307-$D$3))+(Summary!$M$11*Z307*AC307*(AJ307-EOMONTH(EDATE(A307,-1),0))))/(AK307*AB307*AE307)</f>
        <v>#VALUE!</v>
      </c>
      <c r="AG307" s="207" t="str">
        <f aca="false">IF($A308="","",Summary!$Q$11)</f>
        <v/>
      </c>
      <c r="AH307" s="207" t="str">
        <f aca="false">IF($A308="","",IF(Summary!$R$11="Y",(VLOOKUP($A307,Summary!$AD$6:$AF$9,3)+'Escalating commodity'!G320),'Escalating commodity'!G320))</f>
        <v/>
      </c>
      <c r="AI307" s="207" t="str">
        <f aca="false">IF($A308="","",AH307)</f>
        <v/>
      </c>
      <c r="AJ307" s="208" t="e">
        <f aca="false">A307+DAY(EOMONTH(A307,0))/2-1</f>
        <v>#VALUE!</v>
      </c>
      <c r="AK307" s="209" t="str">
        <f aca="false">IF($A308="","",$A307-$E$1)</f>
        <v/>
      </c>
      <c r="AL307" s="182" t="str">
        <f aca="false">IF($A308="","",SPRDOPT(P307,X307,AI307,0,AB307,AE307,AF307,AK307,$AJ$2,0))</f>
        <v/>
      </c>
      <c r="AM307" s="210" t="str">
        <f aca="false">IF($A308="","",MAX(0,O307-W307-AI307))</f>
        <v/>
      </c>
      <c r="AN307" s="211" t="str">
        <f aca="false">IF($A308="","",AL307-AM307)</f>
        <v/>
      </c>
      <c r="AO307" s="137" t="str">
        <f aca="false">IF(A308="","",A308-A307)</f>
        <v/>
      </c>
      <c r="AP307" s="212" t="str">
        <f aca="false">IF(A308="","",CHOOSE(F$3,A308+24,A307))</f>
        <v/>
      </c>
      <c r="AQ307" s="209" t="str">
        <f aca="false">IF(A308="","",AP307-$E$1)</f>
        <v/>
      </c>
      <c r="AR307" s="185" t="n">
        <f aca="false">'ANR OK vs ML7'!AR307</f>
        <v>0.1</v>
      </c>
      <c r="AS307" s="213" t="str">
        <f aca="false">IF(A308="","",1/(1+CHOOSE(F$3,(AR308+($I$3/10000))/2,(AR307+($I$3/10000))/2))^(2*AQ307/365.25))</f>
        <v/>
      </c>
      <c r="AT307" s="137" t="str">
        <f aca="false">IF(A308="","",IF(AND(mthbeg&lt;=A307,mthend&gt;=A307),1,0))</f>
        <v/>
      </c>
      <c r="AU307" s="137" t="str">
        <f aca="false">IF(A308="","",AO307*AT307)</f>
        <v/>
      </c>
      <c r="AW307" s="195" t="str">
        <f aca="false">IF($A308="","",AL307*$E307)</f>
        <v/>
      </c>
      <c r="AX307" s="195" t="str">
        <f aca="false">IF($A308="","",AM307*$E307)</f>
        <v/>
      </c>
      <c r="AY307" s="195" t="str">
        <f aca="false">IF($A308="","",AN307*$E307)</f>
        <v/>
      </c>
      <c r="BA307" s="195" t="str">
        <f aca="false">IF($A308="","",F307*Summary!$Q$11)</f>
        <v/>
      </c>
    </row>
    <row r="308" customFormat="false" ht="12" hidden="false" customHeight="true" outlineLevel="0" collapsed="false">
      <c r="A308" s="196" t="str">
        <f aca="false">IF(A307&lt;mthend,EDATE(A307,1),"")</f>
        <v/>
      </c>
      <c r="B308" s="197" t="str">
        <f aca="false">IF(A308&lt;mthend,B307,"")</f>
        <v/>
      </c>
      <c r="C308" s="215"/>
      <c r="D308" s="197" t="str">
        <f aca="false">IF(A309&lt;&gt;"",B308+C308,"")</f>
        <v/>
      </c>
      <c r="E308" s="199" t="str">
        <f aca="false">IF(A309="","",IF(AND(AT308=1,$H$3=1),D308*AO308,IF($H$3=2,D308,"N/A")))</f>
        <v/>
      </c>
      <c r="F308" s="199" t="str">
        <f aca="false">IF(A309="","",E308*AS308)</f>
        <v/>
      </c>
      <c r="G308" s="200" t="str">
        <f aca="false">IF($A309="","",VLOOKUP($A308,Table,MATCH(G$4,Curves,0)))</f>
        <v/>
      </c>
      <c r="H308" s="201" t="str">
        <f aca="false">IF(A309="","",G308)</f>
        <v/>
      </c>
      <c r="I308" s="202"/>
      <c r="J308" s="200" t="str">
        <f aca="false">IF($A309="","",VLOOKUP($A308,Table,MATCH(J$4,Curves,0)))</f>
        <v/>
      </c>
      <c r="K308" s="201" t="str">
        <f aca="false">IF(A309="","",J308)</f>
        <v/>
      </c>
      <c r="L308" s="200" t="str">
        <f aca="false">IF($A309="","",VLOOKUP($A308,Table,MATCH(L$4,Curves,0)))</f>
        <v/>
      </c>
      <c r="M308" s="201" t="str">
        <f aca="false">IF(A309="","",L308)</f>
        <v/>
      </c>
      <c r="N308" s="203"/>
      <c r="O308" s="200" t="str">
        <f aca="false">IF(A309="","",L308+J308+G308)</f>
        <v/>
      </c>
      <c r="P308" s="200" t="str">
        <f aca="false">IF(A309="","",M308+K308+H308)</f>
        <v/>
      </c>
      <c r="Q308" s="204"/>
      <c r="R308" s="200" t="str">
        <f aca="false">IF($A309="","",VLOOKUP($A308,Table,MATCH(R$4,Curves,0)))</f>
        <v/>
      </c>
      <c r="S308" s="201" t="str">
        <f aca="false">IF(A309="","",R308)</f>
        <v/>
      </c>
      <c r="T308" s="185" t="n">
        <v>0</v>
      </c>
      <c r="U308" s="201" t="str">
        <f aca="false">IF(A309="","",T308)</f>
        <v/>
      </c>
      <c r="V308" s="205" t="str">
        <f aca="false">IF($A309="","",IF(AND(MONTH(A308)&gt;3,MONTH(A308)&lt;11),(T308+R308+G308)*Summary!$T$11/(1-Summary!$T$11),(T308+R308+G308)*Summary!$U$11/(1-Summary!$U$11)))</f>
        <v/>
      </c>
      <c r="W308" s="202" t="str">
        <f aca="false">IF($A309="","",(T308+R308+G308+V308))</f>
        <v/>
      </c>
      <c r="X308" s="202" t="str">
        <f aca="false">IF($A309="","",(U308+S308+H308+V308))</f>
        <v/>
      </c>
      <c r="Y308" s="202"/>
      <c r="Z308" s="185" t="str">
        <f aca="false">IF($A309="","",VLOOKUP($A308,Table,MATCH(Z$4,Curves,0)))</f>
        <v/>
      </c>
      <c r="AA308" s="185" t="str">
        <f aca="false">IF($A309="","",VLOOKUP($A308,Table,MATCH(AA$4,Curves,0)))</f>
        <v/>
      </c>
      <c r="AB308" s="185" t="e">
        <f aca="false">SQRT((AA308^2*(A308-$D$3)+Z308^2*(DAY(EOMONTH(A308,0))/2))/AK308)</f>
        <v>#VALUE!</v>
      </c>
      <c r="AC308" s="185" t="str">
        <f aca="false">IF($A309="","",VLOOKUP($A308,Table,MATCH(AC$4,Curves,0)))</f>
        <v/>
      </c>
      <c r="AD308" s="185" t="str">
        <f aca="false">IF($A309="","",VLOOKUP($A308,Table,MATCH(AD$4,Curves,0)))</f>
        <v/>
      </c>
      <c r="AE308" s="185" t="e">
        <f aca="false">SQRT((AD308^2*(A308-$D$3)+AC308^2*(DAY(EOMONTH(A308,0))/2))/AK308)</f>
        <v>#VALUE!</v>
      </c>
      <c r="AF308" s="206" t="e">
        <f aca="false">((Summary!$N$11*(AA308*AD308)*(A308-$D$3))+(Summary!$M$11*Z308*AC308*(AJ308-EOMONTH(EDATE(A308,-1),0))))/(AK308*AB308*AE308)</f>
        <v>#VALUE!</v>
      </c>
      <c r="AG308" s="207" t="str">
        <f aca="false">IF($A309="","",Summary!$Q$11)</f>
        <v/>
      </c>
      <c r="AH308" s="207" t="str">
        <f aca="false">IF($A309="","",IF(Summary!$R$11="Y",(VLOOKUP($A308,Summary!$AD$6:$AF$9,3)+'Escalating commodity'!G321),'Escalating commodity'!G321))</f>
        <v/>
      </c>
      <c r="AI308" s="207" t="str">
        <f aca="false">IF($A309="","",AH308)</f>
        <v/>
      </c>
      <c r="AJ308" s="208" t="e">
        <f aca="false">A308+DAY(EOMONTH(A308,0))/2-1</f>
        <v>#VALUE!</v>
      </c>
      <c r="AK308" s="209" t="str">
        <f aca="false">IF($A309="","",$A308-$E$1)</f>
        <v/>
      </c>
      <c r="AL308" s="182" t="str">
        <f aca="false">IF($A309="","",SPRDOPT(P308,X308,AI308,0,AB308,AE308,AF308,AK308,$AJ$2,0))</f>
        <v/>
      </c>
      <c r="AM308" s="210" t="str">
        <f aca="false">IF($A309="","",MAX(0,O308-W308-AI308))</f>
        <v/>
      </c>
      <c r="AN308" s="211" t="str">
        <f aca="false">IF($A309="","",AL308-AM308)</f>
        <v/>
      </c>
      <c r="AO308" s="137" t="str">
        <f aca="false">IF(A309="","",A309-A308)</f>
        <v/>
      </c>
      <c r="AP308" s="212" t="str">
        <f aca="false">IF(A309="","",CHOOSE(F$3,A309+24,A308))</f>
        <v/>
      </c>
      <c r="AQ308" s="209" t="str">
        <f aca="false">IF(A309="","",AP308-$E$1)</f>
        <v/>
      </c>
      <c r="AR308" s="185" t="n">
        <f aca="false">'ANR OK vs ML7'!AR308</f>
        <v>0.1</v>
      </c>
      <c r="AS308" s="213" t="str">
        <f aca="false">IF(A309="","",1/(1+CHOOSE(F$3,(AR309+($I$3/10000))/2,(AR308+($I$3/10000))/2))^(2*AQ308/365.25))</f>
        <v/>
      </c>
      <c r="AT308" s="137" t="str">
        <f aca="false">IF(A309="","",IF(AND(mthbeg&lt;=A308,mthend&gt;=A308),1,0))</f>
        <v/>
      </c>
      <c r="AU308" s="137" t="str">
        <f aca="false">IF(A309="","",AO308*AT308)</f>
        <v/>
      </c>
      <c r="AW308" s="195" t="str">
        <f aca="false">IF($A309="","",AL308*$E308)</f>
        <v/>
      </c>
      <c r="AX308" s="195" t="str">
        <f aca="false">IF($A309="","",AM308*$E308)</f>
        <v/>
      </c>
      <c r="AY308" s="195" t="str">
        <f aca="false">IF($A309="","",AN308*$E308)</f>
        <v/>
      </c>
      <c r="BA308" s="195" t="str">
        <f aca="false">IF($A309="","",F308*Summary!$Q$11)</f>
        <v/>
      </c>
    </row>
    <row r="309" customFormat="false" ht="12" hidden="false" customHeight="true" outlineLevel="0" collapsed="false">
      <c r="A309" s="196" t="str">
        <f aca="false">IF(A308&lt;mthend,EDATE(A308,1),"")</f>
        <v/>
      </c>
      <c r="B309" s="197" t="str">
        <f aca="false">IF(A309&lt;mthend,B308,"")</f>
        <v/>
      </c>
      <c r="C309" s="215"/>
      <c r="D309" s="197" t="str">
        <f aca="false">IF(A310&lt;&gt;"",B309+C309,"")</f>
        <v/>
      </c>
      <c r="E309" s="199" t="str">
        <f aca="false">IF(A310="","",IF(AND(AT309=1,$H$3=1),D309*AO309,IF($H$3=2,D309,"N/A")))</f>
        <v/>
      </c>
      <c r="F309" s="199" t="str">
        <f aca="false">IF(A310="","",E309*AS309)</f>
        <v/>
      </c>
      <c r="G309" s="200" t="str">
        <f aca="false">IF($A310="","",VLOOKUP($A309,Table,MATCH(G$4,Curves,0)))</f>
        <v/>
      </c>
      <c r="H309" s="201" t="str">
        <f aca="false">IF(A310="","",G309)</f>
        <v/>
      </c>
      <c r="I309" s="202"/>
      <c r="J309" s="200" t="str">
        <f aca="false">IF($A310="","",VLOOKUP($A309,Table,MATCH(J$4,Curves,0)))</f>
        <v/>
      </c>
      <c r="K309" s="201" t="str">
        <f aca="false">IF(A310="","",J309)</f>
        <v/>
      </c>
      <c r="L309" s="200" t="str">
        <f aca="false">IF($A310="","",VLOOKUP($A309,Table,MATCH(L$4,Curves,0)))</f>
        <v/>
      </c>
      <c r="M309" s="201" t="str">
        <f aca="false">IF(A310="","",L309)</f>
        <v/>
      </c>
      <c r="N309" s="203"/>
      <c r="O309" s="200" t="str">
        <f aca="false">IF(A310="","",L309+J309+G309)</f>
        <v/>
      </c>
      <c r="P309" s="200" t="str">
        <f aca="false">IF(A310="","",M309+K309+H309)</f>
        <v/>
      </c>
      <c r="Q309" s="204"/>
      <c r="R309" s="200" t="str">
        <f aca="false">IF($A310="","",VLOOKUP($A309,Table,MATCH(R$4,Curves,0)))</f>
        <v/>
      </c>
      <c r="S309" s="201" t="str">
        <f aca="false">IF(A310="","",R309)</f>
        <v/>
      </c>
      <c r="T309" s="185" t="n">
        <v>0</v>
      </c>
      <c r="U309" s="201" t="str">
        <f aca="false">IF(A310="","",T309)</f>
        <v/>
      </c>
      <c r="V309" s="205" t="str">
        <f aca="false">IF($A310="","",IF(AND(MONTH(A309)&gt;3,MONTH(A309)&lt;11),(T309+R309+G309)*Summary!$T$11/(1-Summary!$T$11),(T309+R309+G309)*Summary!$U$11/(1-Summary!$U$11)))</f>
        <v/>
      </c>
      <c r="W309" s="202" t="str">
        <f aca="false">IF($A310="","",(T309+R309+G309+V309))</f>
        <v/>
      </c>
      <c r="X309" s="202" t="str">
        <f aca="false">IF($A310="","",(U309+S309+H309+V309))</f>
        <v/>
      </c>
      <c r="Y309" s="202"/>
      <c r="Z309" s="185" t="str">
        <f aca="false">IF($A310="","",VLOOKUP($A309,Table,MATCH(Z$4,Curves,0)))</f>
        <v/>
      </c>
      <c r="AA309" s="185" t="str">
        <f aca="false">IF($A310="","",VLOOKUP($A309,Table,MATCH(AA$4,Curves,0)))</f>
        <v/>
      </c>
      <c r="AB309" s="185" t="e">
        <f aca="false">SQRT((AA309^2*(A309-$D$3)+Z309^2*(DAY(EOMONTH(A309,0))/2))/AK309)</f>
        <v>#VALUE!</v>
      </c>
      <c r="AC309" s="185" t="str">
        <f aca="false">IF($A310="","",VLOOKUP($A309,Table,MATCH(AC$4,Curves,0)))</f>
        <v/>
      </c>
      <c r="AD309" s="185" t="str">
        <f aca="false">IF($A310="","",VLOOKUP($A309,Table,MATCH(AD$4,Curves,0)))</f>
        <v/>
      </c>
      <c r="AE309" s="185" t="e">
        <f aca="false">SQRT((AD309^2*(A309-$D$3)+AC309^2*(DAY(EOMONTH(A309,0))/2))/AK309)</f>
        <v>#VALUE!</v>
      </c>
      <c r="AF309" s="206" t="e">
        <f aca="false">((Summary!$N$11*(AA309*AD309)*(A309-$D$3))+(Summary!$M$11*Z309*AC309*(AJ309-EOMONTH(EDATE(A309,-1),0))))/(AK309*AB309*AE309)</f>
        <v>#VALUE!</v>
      </c>
      <c r="AG309" s="207" t="str">
        <f aca="false">IF($A310="","",Summary!$Q$11)</f>
        <v/>
      </c>
      <c r="AH309" s="207" t="str">
        <f aca="false">IF($A310="","",IF(Summary!$R$11="Y",(VLOOKUP($A309,Summary!$AD$6:$AF$9,3)+'Escalating commodity'!G322),'Escalating commodity'!G322))</f>
        <v/>
      </c>
      <c r="AI309" s="207" t="str">
        <f aca="false">IF($A310="","",AH309)</f>
        <v/>
      </c>
      <c r="AJ309" s="208" t="e">
        <f aca="false">A309+DAY(EOMONTH(A309,0))/2-1</f>
        <v>#VALUE!</v>
      </c>
      <c r="AK309" s="209" t="str">
        <f aca="false">IF($A310="","",$A309-$E$1)</f>
        <v/>
      </c>
      <c r="AL309" s="182" t="str">
        <f aca="false">IF($A310="","",SPRDOPT(P309,X309,AI309,0,AB309,AE309,AF309,AK309,$AJ$2,0))</f>
        <v/>
      </c>
      <c r="AM309" s="210" t="str">
        <f aca="false">IF($A310="","",MAX(0,O309-W309-AI309))</f>
        <v/>
      </c>
      <c r="AN309" s="211" t="str">
        <f aca="false">IF($A310="","",AL309-AM309)</f>
        <v/>
      </c>
      <c r="AO309" s="137" t="str">
        <f aca="false">IF(A310="","",A310-A309)</f>
        <v/>
      </c>
      <c r="AP309" s="212" t="str">
        <f aca="false">IF(A310="","",CHOOSE(F$3,A310+24,A309))</f>
        <v/>
      </c>
      <c r="AQ309" s="209" t="str">
        <f aca="false">IF(A310="","",AP309-$E$1)</f>
        <v/>
      </c>
      <c r="AR309" s="185" t="n">
        <f aca="false">'ANR OK vs ML7'!AR309</f>
        <v>0.1</v>
      </c>
      <c r="AS309" s="213" t="str">
        <f aca="false">IF(A310="","",1/(1+CHOOSE(F$3,(AR310+($I$3/10000))/2,(AR309+($I$3/10000))/2))^(2*AQ309/365.25))</f>
        <v/>
      </c>
      <c r="AT309" s="137" t="str">
        <f aca="false">IF(A310="","",IF(AND(mthbeg&lt;=A309,mthend&gt;=A309),1,0))</f>
        <v/>
      </c>
      <c r="AU309" s="137" t="str">
        <f aca="false">IF(A310="","",AO309*AT309)</f>
        <v/>
      </c>
      <c r="AW309" s="195" t="str">
        <f aca="false">IF($A310="","",AL309*$E309)</f>
        <v/>
      </c>
      <c r="AX309" s="195" t="str">
        <f aca="false">IF($A310="","",AM309*$E309)</f>
        <v/>
      </c>
      <c r="AY309" s="195" t="str">
        <f aca="false">IF($A310="","",AN309*$E309)</f>
        <v/>
      </c>
      <c r="BA309" s="195" t="str">
        <f aca="false">IF($A310="","",F309*Summary!$Q$11)</f>
        <v/>
      </c>
    </row>
    <row r="310" customFormat="false" ht="12" hidden="false" customHeight="true" outlineLevel="0" collapsed="false">
      <c r="A310" s="196" t="str">
        <f aca="false">IF(A309&lt;mthend,EDATE(A309,1),"")</f>
        <v/>
      </c>
      <c r="B310" s="197" t="str">
        <f aca="false">IF(A310&lt;mthend,B309,"")</f>
        <v/>
      </c>
      <c r="C310" s="215"/>
      <c r="D310" s="197" t="str">
        <f aca="false">IF(A311&lt;&gt;"",B310+C310,"")</f>
        <v/>
      </c>
      <c r="E310" s="199" t="str">
        <f aca="false">IF(A311="","",IF(AND(AT310=1,$H$3=1),D310*AO310,IF($H$3=2,D310,"N/A")))</f>
        <v/>
      </c>
      <c r="F310" s="199" t="str">
        <f aca="false">IF(A311="","",E310*AS310)</f>
        <v/>
      </c>
      <c r="G310" s="200" t="str">
        <f aca="false">IF($A311="","",VLOOKUP($A310,Table,MATCH(G$4,Curves,0)))</f>
        <v/>
      </c>
      <c r="H310" s="201" t="str">
        <f aca="false">IF(A311="","",G310)</f>
        <v/>
      </c>
      <c r="I310" s="202"/>
      <c r="J310" s="200" t="str">
        <f aca="false">IF($A311="","",VLOOKUP($A310,Table,MATCH(J$4,Curves,0)))</f>
        <v/>
      </c>
      <c r="K310" s="201" t="str">
        <f aca="false">IF(A311="","",J310)</f>
        <v/>
      </c>
      <c r="L310" s="200" t="str">
        <f aca="false">IF($A311="","",VLOOKUP($A310,Table,MATCH(L$4,Curves,0)))</f>
        <v/>
      </c>
      <c r="M310" s="201" t="str">
        <f aca="false">IF(A311="","",L310)</f>
        <v/>
      </c>
      <c r="N310" s="203"/>
      <c r="O310" s="200" t="str">
        <f aca="false">IF(A311="","",L310+J310+G310)</f>
        <v/>
      </c>
      <c r="P310" s="200" t="str">
        <f aca="false">IF(A311="","",M310+K310+H310)</f>
        <v/>
      </c>
      <c r="Q310" s="204"/>
      <c r="R310" s="200" t="str">
        <f aca="false">IF($A311="","",VLOOKUP($A310,Table,MATCH(R$4,Curves,0)))</f>
        <v/>
      </c>
      <c r="S310" s="201" t="str">
        <f aca="false">IF(A311="","",R310)</f>
        <v/>
      </c>
      <c r="T310" s="185" t="n">
        <v>0</v>
      </c>
      <c r="U310" s="201" t="str">
        <f aca="false">IF(A311="","",T310)</f>
        <v/>
      </c>
      <c r="V310" s="205" t="str">
        <f aca="false">IF($A311="","",IF(AND(MONTH(A310)&gt;3,MONTH(A310)&lt;11),(T310+R310+G310)*Summary!$T$11/(1-Summary!$T$11),(T310+R310+G310)*Summary!$U$11/(1-Summary!$U$11)))</f>
        <v/>
      </c>
      <c r="W310" s="202" t="str">
        <f aca="false">IF($A311="","",(T310+R310+G310+V310))</f>
        <v/>
      </c>
      <c r="X310" s="202" t="str">
        <f aca="false">IF($A311="","",(U310+S310+H310+V310))</f>
        <v/>
      </c>
      <c r="Y310" s="202"/>
      <c r="Z310" s="185" t="str">
        <f aca="false">IF($A311="","",VLOOKUP($A310,Table,MATCH(Z$4,Curves,0)))</f>
        <v/>
      </c>
      <c r="AA310" s="185" t="str">
        <f aca="false">IF($A311="","",VLOOKUP($A310,Table,MATCH(AA$4,Curves,0)))</f>
        <v/>
      </c>
      <c r="AB310" s="185" t="e">
        <f aca="false">SQRT((AA310^2*(A310-$D$3)+Z310^2*(DAY(EOMONTH(A310,0))/2))/AK310)</f>
        <v>#VALUE!</v>
      </c>
      <c r="AC310" s="185" t="str">
        <f aca="false">IF($A311="","",VLOOKUP($A310,Table,MATCH(AC$4,Curves,0)))</f>
        <v/>
      </c>
      <c r="AD310" s="185" t="str">
        <f aca="false">IF($A311="","",VLOOKUP($A310,Table,MATCH(AD$4,Curves,0)))</f>
        <v/>
      </c>
      <c r="AE310" s="185" t="e">
        <f aca="false">SQRT((AD310^2*(A310-$D$3)+AC310^2*(DAY(EOMONTH(A310,0))/2))/AK310)</f>
        <v>#VALUE!</v>
      </c>
      <c r="AF310" s="206" t="e">
        <f aca="false">((Summary!$N$11*(AA310*AD310)*(A310-$D$3))+(Summary!$M$11*Z310*AC310*(AJ310-EOMONTH(EDATE(A310,-1),0))))/(AK310*AB310*AE310)</f>
        <v>#VALUE!</v>
      </c>
      <c r="AG310" s="207" t="str">
        <f aca="false">IF($A311="","",Summary!$Q$11)</f>
        <v/>
      </c>
      <c r="AH310" s="207" t="str">
        <f aca="false">IF($A311="","",IF(Summary!$R$11="Y",(VLOOKUP($A310,Summary!$AD$6:$AF$9,3)+'Escalating commodity'!G323),'Escalating commodity'!G323))</f>
        <v/>
      </c>
      <c r="AI310" s="207" t="str">
        <f aca="false">IF($A311="","",AH310)</f>
        <v/>
      </c>
      <c r="AJ310" s="208" t="e">
        <f aca="false">A310+DAY(EOMONTH(A310,0))/2-1</f>
        <v>#VALUE!</v>
      </c>
      <c r="AK310" s="209" t="str">
        <f aca="false">IF($A311="","",$A310-$E$1)</f>
        <v/>
      </c>
      <c r="AL310" s="182" t="str">
        <f aca="false">IF($A311="","",SPRDOPT(P310,X310,AI310,0,AB310,AE310,AF310,AK310,$AJ$2,0))</f>
        <v/>
      </c>
      <c r="AM310" s="210" t="str">
        <f aca="false">IF($A311="","",MAX(0,O310-W310-AI310))</f>
        <v/>
      </c>
      <c r="AN310" s="211" t="str">
        <f aca="false">IF($A311="","",AL310-AM310)</f>
        <v/>
      </c>
      <c r="AO310" s="137" t="str">
        <f aca="false">IF(A311="","",A311-A310)</f>
        <v/>
      </c>
      <c r="AP310" s="212" t="str">
        <f aca="false">IF(A311="","",CHOOSE(F$3,A311+24,A310))</f>
        <v/>
      </c>
      <c r="AQ310" s="209" t="str">
        <f aca="false">IF(A311="","",AP310-$E$1)</f>
        <v/>
      </c>
      <c r="AR310" s="185" t="n">
        <f aca="false">'ANR OK vs ML7'!AR310</f>
        <v>0.1</v>
      </c>
      <c r="AS310" s="213" t="str">
        <f aca="false">IF(A311="","",1/(1+CHOOSE(F$3,(AR311+($I$3/10000))/2,(AR310+($I$3/10000))/2))^(2*AQ310/365.25))</f>
        <v/>
      </c>
      <c r="AT310" s="137" t="str">
        <f aca="false">IF(A311="","",IF(AND(mthbeg&lt;=A310,mthend&gt;=A310),1,0))</f>
        <v/>
      </c>
      <c r="AU310" s="137" t="str">
        <f aca="false">IF(A311="","",AO310*AT310)</f>
        <v/>
      </c>
      <c r="AW310" s="195" t="str">
        <f aca="false">IF($A311="","",AL310*$E310)</f>
        <v/>
      </c>
      <c r="AX310" s="195" t="str">
        <f aca="false">IF($A311="","",AM310*$E310)</f>
        <v/>
      </c>
      <c r="AY310" s="195" t="str">
        <f aca="false">IF($A311="","",AN310*$E310)</f>
        <v/>
      </c>
      <c r="BA310" s="195" t="str">
        <f aca="false">IF($A311="","",F310*Summary!$Q$11)</f>
        <v/>
      </c>
    </row>
    <row r="311" customFormat="false" ht="12" hidden="false" customHeight="true" outlineLevel="0" collapsed="false">
      <c r="A311" s="196" t="str">
        <f aca="false">IF(A310&lt;mthend,EDATE(A310,1),"")</f>
        <v/>
      </c>
      <c r="B311" s="197" t="str">
        <f aca="false">IF(A311&lt;mthend,B310,"")</f>
        <v/>
      </c>
      <c r="C311" s="215"/>
      <c r="D311" s="197" t="str">
        <f aca="false">IF(A312&lt;&gt;"",B311+C311,"")</f>
        <v/>
      </c>
      <c r="E311" s="199" t="str">
        <f aca="false">IF(A312="","",IF(AND(AT311=1,$H$3=1),D311*AO311,IF($H$3=2,D311,"N/A")))</f>
        <v/>
      </c>
      <c r="F311" s="199" t="str">
        <f aca="false">IF(A312="","",E311*AS311)</f>
        <v/>
      </c>
      <c r="G311" s="200" t="str">
        <f aca="false">IF($A312="","",VLOOKUP($A311,Table,MATCH(G$4,Curves,0)))</f>
        <v/>
      </c>
      <c r="H311" s="201" t="str">
        <f aca="false">IF(A312="","",G311)</f>
        <v/>
      </c>
      <c r="I311" s="202"/>
      <c r="J311" s="200" t="str">
        <f aca="false">IF($A312="","",VLOOKUP($A311,Table,MATCH(J$4,Curves,0)))</f>
        <v/>
      </c>
      <c r="K311" s="201" t="str">
        <f aca="false">IF(A312="","",J311)</f>
        <v/>
      </c>
      <c r="L311" s="200" t="str">
        <f aca="false">IF($A312="","",VLOOKUP($A311,Table,MATCH(L$4,Curves,0)))</f>
        <v/>
      </c>
      <c r="M311" s="201" t="str">
        <f aca="false">IF(A312="","",L311)</f>
        <v/>
      </c>
      <c r="N311" s="203"/>
      <c r="O311" s="200" t="str">
        <f aca="false">IF(A312="","",L311+J311+G311)</f>
        <v/>
      </c>
      <c r="P311" s="200" t="str">
        <f aca="false">IF(A312="","",M311+K311+H311)</f>
        <v/>
      </c>
      <c r="Q311" s="204"/>
      <c r="R311" s="200" t="str">
        <f aca="false">IF($A312="","",VLOOKUP($A311,Table,MATCH(R$4,Curves,0)))</f>
        <v/>
      </c>
      <c r="S311" s="201" t="str">
        <f aca="false">IF(A312="","",R311)</f>
        <v/>
      </c>
      <c r="T311" s="185" t="n">
        <v>0</v>
      </c>
      <c r="U311" s="201" t="str">
        <f aca="false">IF(A312="","",T311)</f>
        <v/>
      </c>
      <c r="V311" s="205" t="str">
        <f aca="false">IF($A312="","",IF(AND(MONTH(A311)&gt;3,MONTH(A311)&lt;11),(T311+R311+G311)*Summary!$T$11/(1-Summary!$T$11),(T311+R311+G311)*Summary!$U$11/(1-Summary!$U$11)))</f>
        <v/>
      </c>
      <c r="W311" s="202" t="str">
        <f aca="false">IF($A312="","",(T311+R311+G311+V311))</f>
        <v/>
      </c>
      <c r="X311" s="202" t="str">
        <f aca="false">IF($A312="","",(U311+S311+H311+V311))</f>
        <v/>
      </c>
      <c r="Y311" s="202"/>
      <c r="Z311" s="185" t="str">
        <f aca="false">IF($A312="","",VLOOKUP($A311,Table,MATCH(Z$4,Curves,0)))</f>
        <v/>
      </c>
      <c r="AA311" s="185" t="str">
        <f aca="false">IF($A312="","",VLOOKUP($A311,Table,MATCH(AA$4,Curves,0)))</f>
        <v/>
      </c>
      <c r="AB311" s="185" t="e">
        <f aca="false">SQRT((AA311^2*(A311-$D$3)+Z311^2*(DAY(EOMONTH(A311,0))/2))/AK311)</f>
        <v>#VALUE!</v>
      </c>
      <c r="AC311" s="185" t="str">
        <f aca="false">IF($A312="","",VLOOKUP($A311,Table,MATCH(AC$4,Curves,0)))</f>
        <v/>
      </c>
      <c r="AD311" s="185" t="str">
        <f aca="false">IF($A312="","",VLOOKUP($A311,Table,MATCH(AD$4,Curves,0)))</f>
        <v/>
      </c>
      <c r="AE311" s="185" t="e">
        <f aca="false">SQRT((AD311^2*(A311-$D$3)+AC311^2*(DAY(EOMONTH(A311,0))/2))/AK311)</f>
        <v>#VALUE!</v>
      </c>
      <c r="AF311" s="206" t="e">
        <f aca="false">((Summary!$N$11*(AA311*AD311)*(A311-$D$3))+(Summary!$M$11*Z311*AC311*(AJ311-EOMONTH(EDATE(A311,-1),0))))/(AK311*AB311*AE311)</f>
        <v>#VALUE!</v>
      </c>
      <c r="AG311" s="207" t="str">
        <f aca="false">IF($A312="","",Summary!$Q$11)</f>
        <v/>
      </c>
      <c r="AH311" s="207" t="str">
        <f aca="false">IF($A312="","",IF(Summary!$R$11="Y",(VLOOKUP($A311,Summary!$AD$6:$AF$9,3)+'Escalating commodity'!G324),'Escalating commodity'!G324))</f>
        <v/>
      </c>
      <c r="AI311" s="207" t="str">
        <f aca="false">IF($A312="","",AH311)</f>
        <v/>
      </c>
      <c r="AJ311" s="208" t="e">
        <f aca="false">A311+DAY(EOMONTH(A311,0))/2-1</f>
        <v>#VALUE!</v>
      </c>
      <c r="AK311" s="209" t="str">
        <f aca="false">IF($A312="","",$A311-$E$1)</f>
        <v/>
      </c>
      <c r="AL311" s="182" t="str">
        <f aca="false">IF($A312="","",SPRDOPT(P311,X311,AI311,0,AB311,AE311,AF311,AK311,$AJ$2,0))</f>
        <v/>
      </c>
      <c r="AM311" s="210" t="str">
        <f aca="false">IF($A312="","",MAX(0,O311-W311-AI311))</f>
        <v/>
      </c>
      <c r="AN311" s="211" t="str">
        <f aca="false">IF($A312="","",AL311-AM311)</f>
        <v/>
      </c>
      <c r="AO311" s="137" t="str">
        <f aca="false">IF(A312="","",A312-A311)</f>
        <v/>
      </c>
      <c r="AP311" s="212" t="str">
        <f aca="false">IF(A312="","",CHOOSE(F$3,A312+24,A311))</f>
        <v/>
      </c>
      <c r="AQ311" s="209" t="str">
        <f aca="false">IF(A312="","",AP311-$E$1)</f>
        <v/>
      </c>
      <c r="AR311" s="185" t="n">
        <f aca="false">'ANR OK vs ML7'!AR311</f>
        <v>0.1</v>
      </c>
      <c r="AS311" s="213" t="str">
        <f aca="false">IF(A312="","",1/(1+CHOOSE(F$3,(AR312+($I$3/10000))/2,(AR311+($I$3/10000))/2))^(2*AQ311/365.25))</f>
        <v/>
      </c>
      <c r="AT311" s="137" t="str">
        <f aca="false">IF(A312="","",IF(AND(mthbeg&lt;=A311,mthend&gt;=A311),1,0))</f>
        <v/>
      </c>
      <c r="AU311" s="137" t="str">
        <f aca="false">IF(A312="","",AO311*AT311)</f>
        <v/>
      </c>
      <c r="AW311" s="195" t="str">
        <f aca="false">IF($A312="","",AL311*$E311)</f>
        <v/>
      </c>
      <c r="AX311" s="195" t="str">
        <f aca="false">IF($A312="","",AM311*$E311)</f>
        <v/>
      </c>
      <c r="AY311" s="195" t="str">
        <f aca="false">IF($A312="","",AN311*$E311)</f>
        <v/>
      </c>
      <c r="BA311" s="195" t="str">
        <f aca="false">IF($A312="","",F311*Summary!$Q$11)</f>
        <v/>
      </c>
    </row>
    <row r="312" customFormat="false" ht="12" hidden="false" customHeight="true" outlineLevel="0" collapsed="false">
      <c r="A312" s="196" t="str">
        <f aca="false">IF(A311&lt;mthend,EDATE(A311,1),"")</f>
        <v/>
      </c>
      <c r="B312" s="197" t="str">
        <f aca="false">IF(A312&lt;mthend,B311,"")</f>
        <v/>
      </c>
      <c r="C312" s="215"/>
      <c r="D312" s="197" t="str">
        <f aca="false">IF(A313&lt;&gt;"",B312+C312,"")</f>
        <v/>
      </c>
      <c r="E312" s="199" t="str">
        <f aca="false">IF(A313="","",IF(AND(AT312=1,$H$3=1),D312*AO312,IF($H$3=2,D312,"N/A")))</f>
        <v/>
      </c>
      <c r="F312" s="199" t="str">
        <f aca="false">IF(A313="","",E312*AS312)</f>
        <v/>
      </c>
      <c r="G312" s="200" t="str">
        <f aca="false">IF($A313="","",VLOOKUP($A312,Table,MATCH(G$4,Curves,0)))</f>
        <v/>
      </c>
      <c r="H312" s="201" t="str">
        <f aca="false">IF(A313="","",G312)</f>
        <v/>
      </c>
      <c r="I312" s="202"/>
      <c r="J312" s="200" t="str">
        <f aca="false">IF($A313="","",VLOOKUP($A312,Table,MATCH(J$4,Curves,0)))</f>
        <v/>
      </c>
      <c r="K312" s="201" t="str">
        <f aca="false">IF(A313="","",J312)</f>
        <v/>
      </c>
      <c r="L312" s="200" t="str">
        <f aca="false">IF($A313="","",VLOOKUP($A312,Table,MATCH(L$4,Curves,0)))</f>
        <v/>
      </c>
      <c r="M312" s="201" t="str">
        <f aca="false">IF(A313="","",L312)</f>
        <v/>
      </c>
      <c r="N312" s="203"/>
      <c r="O312" s="200" t="str">
        <f aca="false">IF(A313="","",L312+J312+G312)</f>
        <v/>
      </c>
      <c r="P312" s="200" t="str">
        <f aca="false">IF(A313="","",M312+K312+H312)</f>
        <v/>
      </c>
      <c r="Q312" s="204"/>
      <c r="R312" s="200" t="str">
        <f aca="false">IF($A313="","",VLOOKUP($A312,Table,MATCH(R$4,Curves,0)))</f>
        <v/>
      </c>
      <c r="S312" s="201" t="str">
        <f aca="false">IF(A313="","",R312)</f>
        <v/>
      </c>
      <c r="T312" s="185" t="n">
        <v>0</v>
      </c>
      <c r="U312" s="201" t="str">
        <f aca="false">IF(A313="","",T312)</f>
        <v/>
      </c>
      <c r="V312" s="205" t="str">
        <f aca="false">IF($A313="","",IF(AND(MONTH(A312)&gt;3,MONTH(A312)&lt;11),(T312+R312+G312)*Summary!$T$11/(1-Summary!$T$11),(T312+R312+G312)*Summary!$U$11/(1-Summary!$U$11)))</f>
        <v/>
      </c>
      <c r="W312" s="202" t="str">
        <f aca="false">IF($A313="","",(T312+R312+G312+V312))</f>
        <v/>
      </c>
      <c r="X312" s="202" t="str">
        <f aca="false">IF($A313="","",(U312+S312+H312+V312))</f>
        <v/>
      </c>
      <c r="Y312" s="202"/>
      <c r="Z312" s="185" t="str">
        <f aca="false">IF($A313="","",VLOOKUP($A312,Table,MATCH(Z$4,Curves,0)))</f>
        <v/>
      </c>
      <c r="AA312" s="185" t="str">
        <f aca="false">IF($A313="","",VLOOKUP($A312,Table,MATCH(AA$4,Curves,0)))</f>
        <v/>
      </c>
      <c r="AB312" s="185" t="e">
        <f aca="false">SQRT((AA312^2*(A312-$D$3)+Z312^2*(DAY(EOMONTH(A312,0))/2))/AK312)</f>
        <v>#VALUE!</v>
      </c>
      <c r="AC312" s="185" t="str">
        <f aca="false">IF($A313="","",VLOOKUP($A312,Table,MATCH(AC$4,Curves,0)))</f>
        <v/>
      </c>
      <c r="AD312" s="185" t="str">
        <f aca="false">IF($A313="","",VLOOKUP($A312,Table,MATCH(AD$4,Curves,0)))</f>
        <v/>
      </c>
      <c r="AE312" s="185" t="e">
        <f aca="false">SQRT((AD312^2*(A312-$D$3)+AC312^2*(DAY(EOMONTH(A312,0))/2))/AK312)</f>
        <v>#VALUE!</v>
      </c>
      <c r="AF312" s="206" t="e">
        <f aca="false">((Summary!$N$11*(AA312*AD312)*(A312-$D$3))+(Summary!$M$11*Z312*AC312*(AJ312-EOMONTH(EDATE(A312,-1),0))))/(AK312*AB312*AE312)</f>
        <v>#VALUE!</v>
      </c>
      <c r="AG312" s="207" t="str">
        <f aca="false">IF($A313="","",Summary!$Q$11)</f>
        <v/>
      </c>
      <c r="AH312" s="207" t="str">
        <f aca="false">IF($A313="","",IF(Summary!$R$11="Y",(VLOOKUP($A312,Summary!$AD$6:$AF$9,3)+'Escalating commodity'!G325),'Escalating commodity'!G325))</f>
        <v/>
      </c>
      <c r="AI312" s="207" t="str">
        <f aca="false">IF($A313="","",AH312)</f>
        <v/>
      </c>
      <c r="AJ312" s="208" t="e">
        <f aca="false">A312+DAY(EOMONTH(A312,0))/2-1</f>
        <v>#VALUE!</v>
      </c>
      <c r="AK312" s="209" t="str">
        <f aca="false">IF($A313="","",$A312-$E$1)</f>
        <v/>
      </c>
      <c r="AL312" s="182" t="str">
        <f aca="false">IF($A313="","",SPRDOPT(P312,X312,AI312,0,AB312,AE312,AF312,AK312,$AJ$2,0))</f>
        <v/>
      </c>
      <c r="AM312" s="210" t="str">
        <f aca="false">IF($A313="","",MAX(0,O312-W312-AI312))</f>
        <v/>
      </c>
      <c r="AN312" s="211" t="str">
        <f aca="false">IF($A313="","",AL312-AM312)</f>
        <v/>
      </c>
      <c r="AO312" s="137" t="str">
        <f aca="false">IF(A313="","",A313-A312)</f>
        <v/>
      </c>
      <c r="AP312" s="212" t="str">
        <f aca="false">IF(A313="","",CHOOSE(F$3,A313+24,A312))</f>
        <v/>
      </c>
      <c r="AQ312" s="209" t="str">
        <f aca="false">IF(A313="","",AP312-$E$1)</f>
        <v/>
      </c>
      <c r="AR312" s="185" t="n">
        <f aca="false">'ANR OK vs ML7'!AR312</f>
        <v>0.1</v>
      </c>
      <c r="AS312" s="213" t="str">
        <f aca="false">IF(A313="","",1/(1+CHOOSE(F$3,(AR313+($I$3/10000))/2,(AR312+($I$3/10000))/2))^(2*AQ312/365.25))</f>
        <v/>
      </c>
      <c r="AT312" s="137" t="str">
        <f aca="false">IF(A313="","",IF(AND(mthbeg&lt;=A312,mthend&gt;=A312),1,0))</f>
        <v/>
      </c>
      <c r="AU312" s="137" t="str">
        <f aca="false">IF(A313="","",AO312*AT312)</f>
        <v/>
      </c>
      <c r="AW312" s="195" t="str">
        <f aca="false">IF($A313="","",AL312*$E312)</f>
        <v/>
      </c>
      <c r="AX312" s="195" t="str">
        <f aca="false">IF($A313="","",AM312*$E312)</f>
        <v/>
      </c>
      <c r="AY312" s="195" t="str">
        <f aca="false">IF($A313="","",AN312*$E312)</f>
        <v/>
      </c>
      <c r="BA312" s="195" t="str">
        <f aca="false">IF($A313="","",F312*Summary!$Q$11)</f>
        <v/>
      </c>
    </row>
    <row r="313" customFormat="false" ht="12" hidden="false" customHeight="true" outlineLevel="0" collapsed="false">
      <c r="A313" s="196" t="str">
        <f aca="false">IF(A312&lt;mthend,EDATE(A312,1),"")</f>
        <v/>
      </c>
      <c r="B313" s="197" t="str">
        <f aca="false">IF(A313&lt;mthend,B312,"")</f>
        <v/>
      </c>
      <c r="C313" s="215"/>
      <c r="D313" s="197" t="str">
        <f aca="false">IF(A314&lt;&gt;"",B313+C313,"")</f>
        <v/>
      </c>
      <c r="E313" s="199" t="str">
        <f aca="false">IF(A314="","",IF(AND(AT313=1,$H$3=1),D313*AO313,IF($H$3=2,D313,"N/A")))</f>
        <v/>
      </c>
      <c r="F313" s="199" t="str">
        <f aca="false">IF(A314="","",E313*AS313)</f>
        <v/>
      </c>
      <c r="G313" s="200" t="str">
        <f aca="false">IF($A314="","",VLOOKUP($A313,Table,MATCH(G$4,Curves,0)))</f>
        <v/>
      </c>
      <c r="H313" s="201" t="str">
        <f aca="false">IF(A314="","",G313)</f>
        <v/>
      </c>
      <c r="I313" s="202"/>
      <c r="J313" s="200" t="str">
        <f aca="false">IF($A314="","",VLOOKUP($A313,Table,MATCH(J$4,Curves,0)))</f>
        <v/>
      </c>
      <c r="K313" s="201" t="str">
        <f aca="false">IF(A314="","",J313)</f>
        <v/>
      </c>
      <c r="L313" s="200" t="str">
        <f aca="false">IF($A314="","",VLOOKUP($A313,Table,MATCH(L$4,Curves,0)))</f>
        <v/>
      </c>
      <c r="M313" s="201" t="str">
        <f aca="false">IF(A314="","",L313)</f>
        <v/>
      </c>
      <c r="N313" s="203"/>
      <c r="O313" s="200" t="str">
        <f aca="false">IF(A314="","",L313+J313+G313)</f>
        <v/>
      </c>
      <c r="P313" s="200" t="str">
        <f aca="false">IF(A314="","",M313+K313+H313)</f>
        <v/>
      </c>
      <c r="Q313" s="204"/>
      <c r="R313" s="200" t="str">
        <f aca="false">IF($A314="","",VLOOKUP($A313,Table,MATCH(R$4,Curves,0)))</f>
        <v/>
      </c>
      <c r="S313" s="201" t="str">
        <f aca="false">IF(A314="","",R313)</f>
        <v/>
      </c>
      <c r="T313" s="185" t="n">
        <v>0</v>
      </c>
      <c r="U313" s="201" t="str">
        <f aca="false">IF(A314="","",T313)</f>
        <v/>
      </c>
      <c r="V313" s="205" t="str">
        <f aca="false">IF($A314="","",IF(AND(MONTH(A313)&gt;3,MONTH(A313)&lt;11),(T313+R313+G313)*Summary!$T$11/(1-Summary!$T$11),(T313+R313+G313)*Summary!$U$11/(1-Summary!$U$11)))</f>
        <v/>
      </c>
      <c r="W313" s="202" t="str">
        <f aca="false">IF($A314="","",(T313+R313+G313+V313))</f>
        <v/>
      </c>
      <c r="X313" s="202" t="str">
        <f aca="false">IF($A314="","",(U313+S313+H313+V313))</f>
        <v/>
      </c>
      <c r="Y313" s="202"/>
      <c r="Z313" s="185" t="str">
        <f aca="false">IF($A314="","",VLOOKUP($A313,Table,MATCH(Z$4,Curves,0)))</f>
        <v/>
      </c>
      <c r="AA313" s="185" t="str">
        <f aca="false">IF($A314="","",VLOOKUP($A313,Table,MATCH(AA$4,Curves,0)))</f>
        <v/>
      </c>
      <c r="AB313" s="185" t="e">
        <f aca="false">SQRT((AA313^2*(A313-$D$3)+Z313^2*(DAY(EOMONTH(A313,0))/2))/AK313)</f>
        <v>#VALUE!</v>
      </c>
      <c r="AC313" s="185" t="str">
        <f aca="false">IF($A314="","",VLOOKUP($A313,Table,MATCH(AC$4,Curves,0)))</f>
        <v/>
      </c>
      <c r="AD313" s="185" t="str">
        <f aca="false">IF($A314="","",VLOOKUP($A313,Table,MATCH(AD$4,Curves,0)))</f>
        <v/>
      </c>
      <c r="AE313" s="185" t="e">
        <f aca="false">SQRT((AD313^2*(A313-$D$3)+AC313^2*(DAY(EOMONTH(A313,0))/2))/AK313)</f>
        <v>#VALUE!</v>
      </c>
      <c r="AF313" s="206" t="e">
        <f aca="false">((Summary!$N$11*(AA313*AD313)*(A313-$D$3))+(Summary!$M$11*Z313*AC313*(AJ313-EOMONTH(EDATE(A313,-1),0))))/(AK313*AB313*AE313)</f>
        <v>#VALUE!</v>
      </c>
      <c r="AG313" s="207" t="str">
        <f aca="false">IF($A314="","",Summary!$Q$11)</f>
        <v/>
      </c>
      <c r="AH313" s="207" t="str">
        <f aca="false">IF($A314="","",IF(Summary!$R$11="Y",(VLOOKUP($A313,Summary!$AD$6:$AF$9,3)+'Escalating commodity'!G326),'Escalating commodity'!G326))</f>
        <v/>
      </c>
      <c r="AI313" s="207" t="str">
        <f aca="false">IF($A314="","",AH313)</f>
        <v/>
      </c>
      <c r="AJ313" s="208" t="e">
        <f aca="false">A313+DAY(EOMONTH(A313,0))/2-1</f>
        <v>#VALUE!</v>
      </c>
      <c r="AK313" s="209" t="str">
        <f aca="false">IF($A314="","",$A313-$E$1)</f>
        <v/>
      </c>
      <c r="AL313" s="182" t="str">
        <f aca="false">IF($A314="","",SPRDOPT(P313,X313,AI313,0,AB313,AE313,AF313,AK313,$AJ$2,0))</f>
        <v/>
      </c>
      <c r="AM313" s="210" t="str">
        <f aca="false">IF($A314="","",MAX(0,O313-W313-AI313))</f>
        <v/>
      </c>
      <c r="AN313" s="211" t="str">
        <f aca="false">IF($A314="","",AL313-AM313)</f>
        <v/>
      </c>
      <c r="AO313" s="137" t="str">
        <f aca="false">IF(A314="","",A314-A313)</f>
        <v/>
      </c>
      <c r="AP313" s="212" t="str">
        <f aca="false">IF(A314="","",CHOOSE(F$3,A314+24,A313))</f>
        <v/>
      </c>
      <c r="AQ313" s="209" t="str">
        <f aca="false">IF(A314="","",AP313-$E$1)</f>
        <v/>
      </c>
      <c r="AR313" s="185" t="n">
        <f aca="false">'ANR OK vs ML7'!AR313</f>
        <v>0.1</v>
      </c>
      <c r="AS313" s="213" t="str">
        <f aca="false">IF(A314="","",1/(1+CHOOSE(F$3,(AR314+($I$3/10000))/2,(AR313+($I$3/10000))/2))^(2*AQ313/365.25))</f>
        <v/>
      </c>
      <c r="AT313" s="137" t="str">
        <f aca="false">IF(A314="","",IF(AND(mthbeg&lt;=A313,mthend&gt;=A313),1,0))</f>
        <v/>
      </c>
      <c r="AU313" s="137" t="str">
        <f aca="false">IF(A314="","",AO313*AT313)</f>
        <v/>
      </c>
      <c r="AW313" s="195" t="str">
        <f aca="false">IF($A314="","",AL313*$E313)</f>
        <v/>
      </c>
      <c r="AX313" s="195" t="str">
        <f aca="false">IF($A314="","",AM313*$E313)</f>
        <v/>
      </c>
      <c r="AY313" s="195" t="str">
        <f aca="false">IF($A314="","",AN313*$E313)</f>
        <v/>
      </c>
      <c r="BA313" s="195" t="str">
        <f aca="false">IF($A314="","",F313*Summary!$Q$11)</f>
        <v/>
      </c>
    </row>
    <row r="314" customFormat="false" ht="12" hidden="false" customHeight="true" outlineLevel="0" collapsed="false">
      <c r="A314" s="196" t="str">
        <f aca="false">IF(A313&lt;mthend,EDATE(A313,1),"")</f>
        <v/>
      </c>
      <c r="B314" s="197" t="str">
        <f aca="false">IF(A314&lt;mthend,B313,"")</f>
        <v/>
      </c>
      <c r="C314" s="215"/>
      <c r="D314" s="197" t="str">
        <f aca="false">IF(A315&lt;&gt;"",B314+C314,"")</f>
        <v/>
      </c>
      <c r="E314" s="199" t="str">
        <f aca="false">IF(A315="","",IF(AND(AT314=1,$H$3=1),D314*AO314,IF($H$3=2,D314,"N/A")))</f>
        <v/>
      </c>
      <c r="F314" s="199" t="str">
        <f aca="false">IF(A315="","",E314*AS314)</f>
        <v/>
      </c>
      <c r="G314" s="200" t="str">
        <f aca="false">IF($A315="","",VLOOKUP($A314,Table,MATCH(G$4,Curves,0)))</f>
        <v/>
      </c>
      <c r="H314" s="201" t="str">
        <f aca="false">IF(A315="","",G314)</f>
        <v/>
      </c>
      <c r="I314" s="202"/>
      <c r="J314" s="200" t="str">
        <f aca="false">IF($A315="","",VLOOKUP($A314,Table,MATCH(J$4,Curves,0)))</f>
        <v/>
      </c>
      <c r="K314" s="201" t="str">
        <f aca="false">IF(A315="","",J314)</f>
        <v/>
      </c>
      <c r="L314" s="200" t="str">
        <f aca="false">IF($A315="","",VLOOKUP($A314,Table,MATCH(L$4,Curves,0)))</f>
        <v/>
      </c>
      <c r="M314" s="201" t="str">
        <f aca="false">IF(A315="","",L314)</f>
        <v/>
      </c>
      <c r="N314" s="203"/>
      <c r="O314" s="200" t="str">
        <f aca="false">IF(A315="","",L314+J314+G314)</f>
        <v/>
      </c>
      <c r="P314" s="200" t="str">
        <f aca="false">IF(A315="","",M314+K314+H314)</f>
        <v/>
      </c>
      <c r="Q314" s="204"/>
      <c r="R314" s="200" t="str">
        <f aca="false">IF($A315="","",VLOOKUP($A314,Table,MATCH(R$4,Curves,0)))</f>
        <v/>
      </c>
      <c r="S314" s="201" t="str">
        <f aca="false">IF(A315="","",R314)</f>
        <v/>
      </c>
      <c r="T314" s="185" t="n">
        <v>0</v>
      </c>
      <c r="U314" s="201" t="str">
        <f aca="false">IF(A315="","",T314)</f>
        <v/>
      </c>
      <c r="V314" s="205" t="str">
        <f aca="false">IF($A315="","",IF(AND(MONTH(A314)&gt;3,MONTH(A314)&lt;11),(T314+R314+G314)*Summary!$T$11/(1-Summary!$T$11),(T314+R314+G314)*Summary!$U$11/(1-Summary!$U$11)))</f>
        <v/>
      </c>
      <c r="W314" s="202" t="str">
        <f aca="false">IF($A315="","",(T314+R314+G314+V314))</f>
        <v/>
      </c>
      <c r="X314" s="202" t="str">
        <f aca="false">IF($A315="","",(U314+S314+H314+V314))</f>
        <v/>
      </c>
      <c r="Y314" s="202"/>
      <c r="Z314" s="185" t="str">
        <f aca="false">IF($A315="","",VLOOKUP($A314,Table,MATCH(Z$4,Curves,0)))</f>
        <v/>
      </c>
      <c r="AA314" s="185" t="str">
        <f aca="false">IF($A315="","",VLOOKUP($A314,Table,MATCH(AA$4,Curves,0)))</f>
        <v/>
      </c>
      <c r="AB314" s="185" t="e">
        <f aca="false">SQRT((AA314^2*(A314-$D$3)+Z314^2*(DAY(EOMONTH(A314,0))/2))/AK314)</f>
        <v>#VALUE!</v>
      </c>
      <c r="AC314" s="185" t="str">
        <f aca="false">IF($A315="","",VLOOKUP($A314,Table,MATCH(AC$4,Curves,0)))</f>
        <v/>
      </c>
      <c r="AD314" s="185" t="str">
        <f aca="false">IF($A315="","",VLOOKUP($A314,Table,MATCH(AD$4,Curves,0)))</f>
        <v/>
      </c>
      <c r="AE314" s="185" t="e">
        <f aca="false">SQRT((AD314^2*(A314-$D$3)+AC314^2*(DAY(EOMONTH(A314,0))/2))/AK314)</f>
        <v>#VALUE!</v>
      </c>
      <c r="AF314" s="206" t="e">
        <f aca="false">((Summary!$N$11*(AA314*AD314)*(A314-$D$3))+(Summary!$M$11*Z314*AC314*(AJ314-EOMONTH(EDATE(A314,-1),0))))/(AK314*AB314*AE314)</f>
        <v>#VALUE!</v>
      </c>
      <c r="AG314" s="207" t="str">
        <f aca="false">IF($A315="","",Summary!$Q$11)</f>
        <v/>
      </c>
      <c r="AH314" s="207" t="str">
        <f aca="false">IF($A315="","",IF(Summary!$R$11="Y",(VLOOKUP($A314,Summary!$AD$6:$AF$9,3)+'Escalating commodity'!G327),'Escalating commodity'!G327))</f>
        <v/>
      </c>
      <c r="AI314" s="207" t="str">
        <f aca="false">IF($A315="","",AH314)</f>
        <v/>
      </c>
      <c r="AJ314" s="208" t="e">
        <f aca="false">A314+DAY(EOMONTH(A314,0))/2-1</f>
        <v>#VALUE!</v>
      </c>
      <c r="AK314" s="209" t="str">
        <f aca="false">IF($A315="","",$A314-$E$1)</f>
        <v/>
      </c>
      <c r="AL314" s="182" t="str">
        <f aca="false">IF($A315="","",SPRDOPT(P314,X314,AI314,0,AB314,AE314,AF314,AK314,$AJ$2,0))</f>
        <v/>
      </c>
      <c r="AM314" s="210" t="str">
        <f aca="false">IF($A315="","",MAX(0,O314-W314-AI314))</f>
        <v/>
      </c>
      <c r="AN314" s="211" t="str">
        <f aca="false">IF($A315="","",AL314-AM314)</f>
        <v/>
      </c>
      <c r="AO314" s="137" t="str">
        <f aca="false">IF(A315="","",A315-A314)</f>
        <v/>
      </c>
      <c r="AP314" s="212" t="str">
        <f aca="false">IF(A315="","",CHOOSE(F$3,A315+24,A314))</f>
        <v/>
      </c>
      <c r="AQ314" s="209" t="str">
        <f aca="false">IF(A315="","",AP314-$E$1)</f>
        <v/>
      </c>
      <c r="AR314" s="185" t="n">
        <f aca="false">'ANR OK vs ML7'!AR314</f>
        <v>0.1</v>
      </c>
      <c r="AS314" s="213" t="str">
        <f aca="false">IF(A315="","",1/(1+CHOOSE(F$3,(AR315+($I$3/10000))/2,(AR314+($I$3/10000))/2))^(2*AQ314/365.25))</f>
        <v/>
      </c>
      <c r="AT314" s="137" t="str">
        <f aca="false">IF(A315="","",IF(AND(mthbeg&lt;=A314,mthend&gt;=A314),1,0))</f>
        <v/>
      </c>
      <c r="AU314" s="137" t="str">
        <f aca="false">IF(A315="","",AO314*AT314)</f>
        <v/>
      </c>
      <c r="AW314" s="195" t="str">
        <f aca="false">IF($A315="","",AL314*$E314)</f>
        <v/>
      </c>
      <c r="AX314" s="195" t="str">
        <f aca="false">IF($A315="","",AM314*$E314)</f>
        <v/>
      </c>
      <c r="AY314" s="195" t="str">
        <f aca="false">IF($A315="","",AN314*$E314)</f>
        <v/>
      </c>
      <c r="BA314" s="195" t="str">
        <f aca="false">IF($A315="","",F314*Summary!$Q$11)</f>
        <v/>
      </c>
    </row>
    <row r="315" customFormat="false" ht="12" hidden="false" customHeight="true" outlineLevel="0" collapsed="false">
      <c r="A315" s="196" t="str">
        <f aca="false">IF(A314&lt;mthend,EDATE(A314,1),"")</f>
        <v/>
      </c>
      <c r="B315" s="197" t="str">
        <f aca="false">IF(A315&lt;mthend,B314,"")</f>
        <v/>
      </c>
      <c r="C315" s="215"/>
      <c r="D315" s="197" t="str">
        <f aca="false">IF(A316&lt;&gt;"",B315+C315,"")</f>
        <v/>
      </c>
      <c r="E315" s="199" t="str">
        <f aca="false">IF(A316="","",IF(AND(AT315=1,$H$3=1),D315*AO315,IF($H$3=2,D315,"N/A")))</f>
        <v/>
      </c>
      <c r="F315" s="199" t="str">
        <f aca="false">IF(A316="","",E315*AS315)</f>
        <v/>
      </c>
      <c r="G315" s="200" t="str">
        <f aca="false">IF($A316="","",VLOOKUP($A315,Table,MATCH(G$4,Curves,0)))</f>
        <v/>
      </c>
      <c r="H315" s="201" t="str">
        <f aca="false">IF(A316="","",G315)</f>
        <v/>
      </c>
      <c r="I315" s="202"/>
      <c r="J315" s="200" t="str">
        <f aca="false">IF($A316="","",VLOOKUP($A315,Table,MATCH(J$4,Curves,0)))</f>
        <v/>
      </c>
      <c r="K315" s="201" t="str">
        <f aca="false">IF(A316="","",J315)</f>
        <v/>
      </c>
      <c r="L315" s="200" t="str">
        <f aca="false">IF($A316="","",VLOOKUP($A315,Table,MATCH(L$4,Curves,0)))</f>
        <v/>
      </c>
      <c r="M315" s="201" t="str">
        <f aca="false">IF(A316="","",L315)</f>
        <v/>
      </c>
      <c r="N315" s="203"/>
      <c r="O315" s="200" t="str">
        <f aca="false">IF(A316="","",L315+J315+G315)</f>
        <v/>
      </c>
      <c r="P315" s="200" t="str">
        <f aca="false">IF(A316="","",M315+K315+H315)</f>
        <v/>
      </c>
      <c r="Q315" s="204"/>
      <c r="R315" s="200" t="str">
        <f aca="false">IF($A316="","",VLOOKUP($A315,Table,MATCH(R$4,Curves,0)))</f>
        <v/>
      </c>
      <c r="S315" s="201" t="str">
        <f aca="false">IF(A316="","",R315)</f>
        <v/>
      </c>
      <c r="T315" s="185" t="n">
        <v>0</v>
      </c>
      <c r="U315" s="201" t="str">
        <f aca="false">IF(A316="","",T315)</f>
        <v/>
      </c>
      <c r="V315" s="205" t="str">
        <f aca="false">IF($A316="","",IF(AND(MONTH(A315)&gt;3,MONTH(A315)&lt;11),(T315+R315+G315)*Summary!$T$11/(1-Summary!$T$11),(T315+R315+G315)*Summary!$U$11/(1-Summary!$U$11)))</f>
        <v/>
      </c>
      <c r="W315" s="202" t="str">
        <f aca="false">IF($A316="","",(T315+R315+G315+V315))</f>
        <v/>
      </c>
      <c r="X315" s="202" t="str">
        <f aca="false">IF($A316="","",(U315+S315+H315+V315))</f>
        <v/>
      </c>
      <c r="Y315" s="202"/>
      <c r="Z315" s="185" t="str">
        <f aca="false">IF($A316="","",VLOOKUP($A315,Table,MATCH(Z$4,Curves,0)))</f>
        <v/>
      </c>
      <c r="AA315" s="185" t="str">
        <f aca="false">IF($A316="","",VLOOKUP($A315,Table,MATCH(AA$4,Curves,0)))</f>
        <v/>
      </c>
      <c r="AB315" s="185" t="e">
        <f aca="false">SQRT((AA315^2*(A315-$D$3)+Z315^2*(DAY(EOMONTH(A315,0))/2))/AK315)</f>
        <v>#VALUE!</v>
      </c>
      <c r="AC315" s="185" t="str">
        <f aca="false">IF($A316="","",VLOOKUP($A315,Table,MATCH(AC$4,Curves,0)))</f>
        <v/>
      </c>
      <c r="AD315" s="185" t="str">
        <f aca="false">IF($A316="","",VLOOKUP($A315,Table,MATCH(AD$4,Curves,0)))</f>
        <v/>
      </c>
      <c r="AE315" s="185" t="e">
        <f aca="false">SQRT((AD315^2*(A315-$D$3)+AC315^2*(DAY(EOMONTH(A315,0))/2))/AK315)</f>
        <v>#VALUE!</v>
      </c>
      <c r="AF315" s="206" t="e">
        <f aca="false">((Summary!$N$11*(AA315*AD315)*(A315-$D$3))+(Summary!$M$11*Z315*AC315*(AJ315-EOMONTH(EDATE(A315,-1),0))))/(AK315*AB315*AE315)</f>
        <v>#VALUE!</v>
      </c>
      <c r="AG315" s="207" t="str">
        <f aca="false">IF($A316="","",Summary!$Q$11)</f>
        <v/>
      </c>
      <c r="AH315" s="207" t="str">
        <f aca="false">IF($A316="","",IF(Summary!$R$11="Y",(VLOOKUP($A315,Summary!$AD$6:$AF$9,3)+'Escalating commodity'!G328),'Escalating commodity'!G328))</f>
        <v/>
      </c>
      <c r="AI315" s="207" t="str">
        <f aca="false">IF($A316="","",AH315)</f>
        <v/>
      </c>
      <c r="AJ315" s="208" t="e">
        <f aca="false">A315+DAY(EOMONTH(A315,0))/2-1</f>
        <v>#VALUE!</v>
      </c>
      <c r="AK315" s="209" t="str">
        <f aca="false">IF($A316="","",$A315-$E$1)</f>
        <v/>
      </c>
      <c r="AL315" s="182" t="str">
        <f aca="false">IF($A316="","",SPRDOPT(P315,X315,AI315,0,AB315,AE315,AF315,AK315,$AJ$2,0))</f>
        <v/>
      </c>
      <c r="AM315" s="210" t="str">
        <f aca="false">IF($A316="","",MAX(0,O315-W315-AI315))</f>
        <v/>
      </c>
      <c r="AN315" s="211" t="str">
        <f aca="false">IF($A316="","",AL315-AM315)</f>
        <v/>
      </c>
      <c r="AO315" s="137" t="str">
        <f aca="false">IF(A316="","",A316-A315)</f>
        <v/>
      </c>
      <c r="AP315" s="212" t="str">
        <f aca="false">IF(A316="","",CHOOSE(F$3,A316+24,A315))</f>
        <v/>
      </c>
      <c r="AQ315" s="209" t="str">
        <f aca="false">IF(A316="","",AP315-$E$1)</f>
        <v/>
      </c>
      <c r="AR315" s="185" t="n">
        <f aca="false">'ANR OK vs ML7'!AR315</f>
        <v>0.1</v>
      </c>
      <c r="AS315" s="213" t="str">
        <f aca="false">IF(A316="","",1/(1+CHOOSE(F$3,(AR316+($I$3/10000))/2,(AR315+($I$3/10000))/2))^(2*AQ315/365.25))</f>
        <v/>
      </c>
      <c r="AT315" s="137" t="str">
        <f aca="false">IF(A316="","",IF(AND(mthbeg&lt;=A315,mthend&gt;=A315),1,0))</f>
        <v/>
      </c>
      <c r="AU315" s="137" t="str">
        <f aca="false">IF(A316="","",AO315*AT315)</f>
        <v/>
      </c>
      <c r="AW315" s="195" t="str">
        <f aca="false">IF($A316="","",AL315*$E315)</f>
        <v/>
      </c>
      <c r="AX315" s="195" t="str">
        <f aca="false">IF($A316="","",AM315*$E315)</f>
        <v/>
      </c>
      <c r="AY315" s="195" t="str">
        <f aca="false">IF($A316="","",AN315*$E315)</f>
        <v/>
      </c>
      <c r="BA315" s="195" t="str">
        <f aca="false">IF($A316="","",F315*Summary!$Q$11)</f>
        <v/>
      </c>
    </row>
    <row r="316" customFormat="false" ht="12" hidden="false" customHeight="true" outlineLevel="0" collapsed="false">
      <c r="A316" s="196" t="str">
        <f aca="false">IF(A315&lt;mthend,EDATE(A315,1),"")</f>
        <v/>
      </c>
      <c r="B316" s="197" t="str">
        <f aca="false">IF(A316&lt;mthend,B315,"")</f>
        <v/>
      </c>
      <c r="C316" s="215"/>
      <c r="D316" s="197" t="str">
        <f aca="false">IF(A317&lt;&gt;"",B316+C316,"")</f>
        <v/>
      </c>
      <c r="E316" s="199" t="str">
        <f aca="false">IF(A317="","",IF(AND(AT316=1,$H$3=1),D316*AO316,IF($H$3=2,D316,"N/A")))</f>
        <v/>
      </c>
      <c r="F316" s="199" t="str">
        <f aca="false">IF(A317="","",E316*AS316)</f>
        <v/>
      </c>
      <c r="G316" s="200" t="str">
        <f aca="false">IF($A317="","",VLOOKUP($A316,Table,MATCH(G$4,Curves,0)))</f>
        <v/>
      </c>
      <c r="H316" s="201" t="str">
        <f aca="false">IF(A317="","",G316)</f>
        <v/>
      </c>
      <c r="I316" s="202"/>
      <c r="J316" s="200" t="str">
        <f aca="false">IF($A317="","",VLOOKUP($A316,Table,MATCH(J$4,Curves,0)))</f>
        <v/>
      </c>
      <c r="K316" s="201" t="str">
        <f aca="false">IF(A317="","",J316)</f>
        <v/>
      </c>
      <c r="L316" s="200" t="str">
        <f aca="false">IF($A317="","",VLOOKUP($A316,Table,MATCH(L$4,Curves,0)))</f>
        <v/>
      </c>
      <c r="M316" s="201" t="str">
        <f aca="false">IF(A317="","",L316)</f>
        <v/>
      </c>
      <c r="N316" s="203"/>
      <c r="O316" s="200" t="str">
        <f aca="false">IF(A317="","",L316+J316+G316)</f>
        <v/>
      </c>
      <c r="P316" s="200" t="str">
        <f aca="false">IF(A317="","",M316+K316+H316)</f>
        <v/>
      </c>
      <c r="Q316" s="204"/>
      <c r="R316" s="200" t="str">
        <f aca="false">IF($A317="","",VLOOKUP($A316,Table,MATCH(R$4,Curves,0)))</f>
        <v/>
      </c>
      <c r="S316" s="201" t="str">
        <f aca="false">IF(A317="","",R316)</f>
        <v/>
      </c>
      <c r="T316" s="185" t="n">
        <v>0</v>
      </c>
      <c r="U316" s="201" t="str">
        <f aca="false">IF(A317="","",T316)</f>
        <v/>
      </c>
      <c r="V316" s="205" t="str">
        <f aca="false">IF($A317="","",IF(AND(MONTH(A316)&gt;3,MONTH(A316)&lt;11),(T316+R316+G316)*Summary!$T$11/(1-Summary!$T$11),(T316+R316+G316)*Summary!$U$11/(1-Summary!$U$11)))</f>
        <v/>
      </c>
      <c r="W316" s="202" t="str">
        <f aca="false">IF($A317="","",(T316+R316+G316+V316))</f>
        <v/>
      </c>
      <c r="X316" s="202" t="str">
        <f aca="false">IF($A317="","",(U316+S316+H316+V316))</f>
        <v/>
      </c>
      <c r="Y316" s="202"/>
      <c r="Z316" s="185" t="str">
        <f aca="false">IF($A317="","",VLOOKUP($A316,Table,MATCH(Z$4,Curves,0)))</f>
        <v/>
      </c>
      <c r="AA316" s="185" t="str">
        <f aca="false">IF($A317="","",VLOOKUP($A316,Table,MATCH(AA$4,Curves,0)))</f>
        <v/>
      </c>
      <c r="AB316" s="185" t="e">
        <f aca="false">SQRT((AA316^2*(A316-$D$3)+Z316^2*(DAY(EOMONTH(A316,0))/2))/AK316)</f>
        <v>#VALUE!</v>
      </c>
      <c r="AC316" s="185" t="str">
        <f aca="false">IF($A317="","",VLOOKUP($A316,Table,MATCH(AC$4,Curves,0)))</f>
        <v/>
      </c>
      <c r="AD316" s="185" t="str">
        <f aca="false">IF($A317="","",VLOOKUP($A316,Table,MATCH(AD$4,Curves,0)))</f>
        <v/>
      </c>
      <c r="AE316" s="185" t="e">
        <f aca="false">SQRT((AD316^2*(A316-$D$3)+AC316^2*(DAY(EOMONTH(A316,0))/2))/AK316)</f>
        <v>#VALUE!</v>
      </c>
      <c r="AF316" s="206" t="e">
        <f aca="false">((Summary!$N$11*(AA316*AD316)*(A316-$D$3))+(Summary!$M$11*Z316*AC316*(AJ316-EOMONTH(EDATE(A316,-1),0))))/(AK316*AB316*AE316)</f>
        <v>#VALUE!</v>
      </c>
      <c r="AG316" s="207" t="str">
        <f aca="false">IF($A317="","",Summary!$Q$11)</f>
        <v/>
      </c>
      <c r="AH316" s="207" t="str">
        <f aca="false">IF($A317="","",IF(Summary!$R$11="Y",(VLOOKUP($A316,Summary!$AD$6:$AF$9,3)+'Escalating commodity'!G329),'Escalating commodity'!G329))</f>
        <v/>
      </c>
      <c r="AI316" s="207" t="str">
        <f aca="false">IF($A317="","",AH316)</f>
        <v/>
      </c>
      <c r="AJ316" s="208" t="e">
        <f aca="false">A316+DAY(EOMONTH(A316,0))/2-1</f>
        <v>#VALUE!</v>
      </c>
      <c r="AK316" s="209" t="str">
        <f aca="false">IF($A317="","",$A316-$E$1)</f>
        <v/>
      </c>
      <c r="AL316" s="182" t="str">
        <f aca="false">IF($A317="","",SPRDOPT(P316,X316,AI316,0,AB316,AE316,AF316,AK316,$AJ$2,0))</f>
        <v/>
      </c>
      <c r="AM316" s="210" t="str">
        <f aca="false">IF($A317="","",MAX(0,O316-W316-AI316))</f>
        <v/>
      </c>
      <c r="AN316" s="211" t="str">
        <f aca="false">IF($A317="","",AL316-AM316)</f>
        <v/>
      </c>
      <c r="AO316" s="137" t="str">
        <f aca="false">IF(A317="","",A317-A316)</f>
        <v/>
      </c>
      <c r="AP316" s="212" t="str">
        <f aca="false">IF(A317="","",CHOOSE(F$3,A317+24,A316))</f>
        <v/>
      </c>
      <c r="AQ316" s="209" t="str">
        <f aca="false">IF(A317="","",AP316-$E$1)</f>
        <v/>
      </c>
      <c r="AR316" s="185" t="n">
        <f aca="false">'ANR OK vs ML7'!AR316</f>
        <v>0.1</v>
      </c>
      <c r="AS316" s="213" t="str">
        <f aca="false">IF(A317="","",1/(1+CHOOSE(F$3,(AR317+($I$3/10000))/2,(AR316+($I$3/10000))/2))^(2*AQ316/365.25))</f>
        <v/>
      </c>
      <c r="AT316" s="137" t="str">
        <f aca="false">IF(A317="","",IF(AND(mthbeg&lt;=A316,mthend&gt;=A316),1,0))</f>
        <v/>
      </c>
      <c r="AU316" s="137" t="str">
        <f aca="false">IF(A317="","",AO316*AT316)</f>
        <v/>
      </c>
      <c r="AW316" s="195" t="str">
        <f aca="false">IF($A317="","",AL316*$E316)</f>
        <v/>
      </c>
      <c r="AX316" s="195" t="str">
        <f aca="false">IF($A317="","",AM316*$E316)</f>
        <v/>
      </c>
      <c r="AY316" s="195" t="str">
        <f aca="false">IF($A317="","",AN316*$E316)</f>
        <v/>
      </c>
      <c r="BA316" s="195" t="str">
        <f aca="false">IF($A317="","",F316*Summary!$Q$11)</f>
        <v/>
      </c>
    </row>
    <row r="317" customFormat="false" ht="12" hidden="false" customHeight="true" outlineLevel="0" collapsed="false">
      <c r="A317" s="196" t="str">
        <f aca="false">IF(A316&lt;mthend,EDATE(A316,1),"")</f>
        <v/>
      </c>
      <c r="B317" s="197" t="str">
        <f aca="false">IF(A317&lt;mthend,B316,"")</f>
        <v/>
      </c>
      <c r="C317" s="215"/>
      <c r="D317" s="197" t="str">
        <f aca="false">IF(A318&lt;&gt;"",B317+C317,"")</f>
        <v/>
      </c>
      <c r="E317" s="199" t="str">
        <f aca="false">IF(A318="","",IF(AND(AT317=1,$H$3=1),D317*AO317,IF($H$3=2,D317,"N/A")))</f>
        <v/>
      </c>
      <c r="F317" s="199" t="str">
        <f aca="false">IF(A318="","",E317*AS317)</f>
        <v/>
      </c>
      <c r="G317" s="200" t="str">
        <f aca="false">IF($A318="","",VLOOKUP($A317,Table,MATCH(G$4,Curves,0)))</f>
        <v/>
      </c>
      <c r="H317" s="201" t="str">
        <f aca="false">IF(A318="","",G317)</f>
        <v/>
      </c>
      <c r="I317" s="202"/>
      <c r="J317" s="200" t="str">
        <f aca="false">IF($A318="","",VLOOKUP($A317,Table,MATCH(J$4,Curves,0)))</f>
        <v/>
      </c>
      <c r="K317" s="201" t="str">
        <f aca="false">IF(A318="","",J317)</f>
        <v/>
      </c>
      <c r="L317" s="200" t="str">
        <f aca="false">IF($A318="","",VLOOKUP($A317,Table,MATCH(L$4,Curves,0)))</f>
        <v/>
      </c>
      <c r="M317" s="201" t="str">
        <f aca="false">IF(A318="","",L317)</f>
        <v/>
      </c>
      <c r="N317" s="203"/>
      <c r="O317" s="200" t="str">
        <f aca="false">IF(A318="","",L317+J317+G317)</f>
        <v/>
      </c>
      <c r="P317" s="200" t="str">
        <f aca="false">IF(A318="","",M317+K317+H317)</f>
        <v/>
      </c>
      <c r="Q317" s="204"/>
      <c r="R317" s="200" t="str">
        <f aca="false">IF($A318="","",VLOOKUP($A317,Table,MATCH(R$4,Curves,0)))</f>
        <v/>
      </c>
      <c r="S317" s="201" t="str">
        <f aca="false">IF(A318="","",R317)</f>
        <v/>
      </c>
      <c r="T317" s="185" t="n">
        <v>0</v>
      </c>
      <c r="U317" s="201" t="str">
        <f aca="false">IF(A318="","",T317)</f>
        <v/>
      </c>
      <c r="V317" s="205" t="str">
        <f aca="false">IF($A318="","",IF(AND(MONTH(A317)&gt;3,MONTH(A317)&lt;11),(T317+R317+G317)*Summary!$T$11/(1-Summary!$T$11),(T317+R317+G317)*Summary!$U$11/(1-Summary!$U$11)))</f>
        <v/>
      </c>
      <c r="W317" s="202" t="str">
        <f aca="false">IF($A318="","",(T317+R317+G317+V317))</f>
        <v/>
      </c>
      <c r="X317" s="202" t="str">
        <f aca="false">IF($A318="","",(U317+S317+H317+V317))</f>
        <v/>
      </c>
      <c r="Y317" s="202"/>
      <c r="Z317" s="185" t="str">
        <f aca="false">IF($A318="","",VLOOKUP($A317,Table,MATCH(Z$4,Curves,0)))</f>
        <v/>
      </c>
      <c r="AA317" s="185" t="str">
        <f aca="false">IF($A318="","",VLOOKUP($A317,Table,MATCH(AA$4,Curves,0)))</f>
        <v/>
      </c>
      <c r="AB317" s="185" t="e">
        <f aca="false">SQRT((AA317^2*(A317-$D$3)+Z317^2*(DAY(EOMONTH(A317,0))/2))/AK317)</f>
        <v>#VALUE!</v>
      </c>
      <c r="AC317" s="185" t="str">
        <f aca="false">IF($A318="","",VLOOKUP($A317,Table,MATCH(AC$4,Curves,0)))</f>
        <v/>
      </c>
      <c r="AD317" s="185" t="str">
        <f aca="false">IF($A318="","",VLOOKUP($A317,Table,MATCH(AD$4,Curves,0)))</f>
        <v/>
      </c>
      <c r="AE317" s="185" t="e">
        <f aca="false">SQRT((AD317^2*(A317-$D$3)+AC317^2*(DAY(EOMONTH(A317,0))/2))/AK317)</f>
        <v>#VALUE!</v>
      </c>
      <c r="AF317" s="206" t="e">
        <f aca="false">((Summary!$N$11*(AA317*AD317)*(A317-$D$3))+(Summary!$M$11*Z317*AC317*(AJ317-EOMONTH(EDATE(A317,-1),0))))/(AK317*AB317*AE317)</f>
        <v>#VALUE!</v>
      </c>
      <c r="AG317" s="207" t="str">
        <f aca="false">IF($A318="","",Summary!$Q$11)</f>
        <v/>
      </c>
      <c r="AH317" s="207" t="str">
        <f aca="false">IF($A318="","",IF(Summary!$R$11="Y",(VLOOKUP($A317,Summary!$AD$6:$AF$9,3)+'Escalating commodity'!G330),'Escalating commodity'!G330))</f>
        <v/>
      </c>
      <c r="AI317" s="207" t="str">
        <f aca="false">IF($A318="","",AH317)</f>
        <v/>
      </c>
      <c r="AJ317" s="208" t="e">
        <f aca="false">A317+DAY(EOMONTH(A317,0))/2-1</f>
        <v>#VALUE!</v>
      </c>
      <c r="AK317" s="209" t="str">
        <f aca="false">IF($A318="","",$A317-$E$1)</f>
        <v/>
      </c>
      <c r="AL317" s="182" t="str">
        <f aca="false">IF($A318="","",SPRDOPT(P317,X317,AI317,0,AB317,AE317,AF317,AK317,$AJ$2,0))</f>
        <v/>
      </c>
      <c r="AM317" s="210" t="str">
        <f aca="false">IF($A318="","",MAX(0,O317-W317-AI317))</f>
        <v/>
      </c>
      <c r="AN317" s="211" t="str">
        <f aca="false">IF($A318="","",AL317-AM317)</f>
        <v/>
      </c>
      <c r="AO317" s="137" t="str">
        <f aca="false">IF(A318="","",A318-A317)</f>
        <v/>
      </c>
      <c r="AP317" s="212" t="str">
        <f aca="false">IF(A318="","",CHOOSE(F$3,A318+24,A317))</f>
        <v/>
      </c>
      <c r="AQ317" s="209" t="str">
        <f aca="false">IF(A318="","",AP317-$E$1)</f>
        <v/>
      </c>
      <c r="AR317" s="185" t="n">
        <f aca="false">'ANR OK vs ML7'!AR317</f>
        <v>0.1</v>
      </c>
      <c r="AS317" s="213" t="str">
        <f aca="false">IF(A318="","",1/(1+CHOOSE(F$3,(AR318+($I$3/10000))/2,(AR317+($I$3/10000))/2))^(2*AQ317/365.25))</f>
        <v/>
      </c>
      <c r="AT317" s="137" t="str">
        <f aca="false">IF(A318="","",IF(AND(mthbeg&lt;=A317,mthend&gt;=A317),1,0))</f>
        <v/>
      </c>
      <c r="AU317" s="137" t="str">
        <f aca="false">IF(A318="","",AO317*AT317)</f>
        <v/>
      </c>
      <c r="AW317" s="195" t="str">
        <f aca="false">IF($A318="","",AL317*$E317)</f>
        <v/>
      </c>
      <c r="AX317" s="195" t="str">
        <f aca="false">IF($A318="","",AM317*$E317)</f>
        <v/>
      </c>
      <c r="AY317" s="195" t="str">
        <f aca="false">IF($A318="","",AN317*$E317)</f>
        <v/>
      </c>
      <c r="BA317" s="195" t="str">
        <f aca="false">IF($A318="","",F317*Summary!$Q$11)</f>
        <v/>
      </c>
    </row>
    <row r="318" customFormat="false" ht="12" hidden="false" customHeight="true" outlineLevel="0" collapsed="false">
      <c r="A318" s="196" t="str">
        <f aca="false">IF(A317&lt;mthend,EDATE(A317,1),"")</f>
        <v/>
      </c>
      <c r="B318" s="197" t="str">
        <f aca="false">IF(A318&lt;mthend,B317,"")</f>
        <v/>
      </c>
      <c r="C318" s="215"/>
      <c r="D318" s="197" t="str">
        <f aca="false">IF(A319&lt;&gt;"",B318+C318,"")</f>
        <v/>
      </c>
      <c r="E318" s="199" t="str">
        <f aca="false">IF(A319="","",IF(AND(AT318=1,$H$3=1),D318*AO318,IF($H$3=2,D318,"N/A")))</f>
        <v/>
      </c>
      <c r="F318" s="199" t="str">
        <f aca="false">IF(A319="","",E318*AS318)</f>
        <v/>
      </c>
      <c r="G318" s="200" t="str">
        <f aca="false">IF($A319="","",VLOOKUP($A318,Table,MATCH(G$4,Curves,0)))</f>
        <v/>
      </c>
      <c r="H318" s="201" t="str">
        <f aca="false">IF(A319="","",G318)</f>
        <v/>
      </c>
      <c r="I318" s="202"/>
      <c r="J318" s="200" t="str">
        <f aca="false">IF($A319="","",VLOOKUP($A318,Table,MATCH(J$4,Curves,0)))</f>
        <v/>
      </c>
      <c r="K318" s="201" t="str">
        <f aca="false">IF(A319="","",J318)</f>
        <v/>
      </c>
      <c r="L318" s="200" t="str">
        <f aca="false">IF($A319="","",VLOOKUP($A318,Table,MATCH(L$4,Curves,0)))</f>
        <v/>
      </c>
      <c r="M318" s="201" t="str">
        <f aca="false">IF(A319="","",L318)</f>
        <v/>
      </c>
      <c r="N318" s="203"/>
      <c r="O318" s="200" t="str">
        <f aca="false">IF(A319="","",L318+J318+G318)</f>
        <v/>
      </c>
      <c r="P318" s="200" t="str">
        <f aca="false">IF(A319="","",M318+K318+H318)</f>
        <v/>
      </c>
      <c r="Q318" s="204"/>
      <c r="R318" s="200" t="str">
        <f aca="false">IF($A319="","",VLOOKUP($A318,Table,MATCH(R$4,Curves,0)))</f>
        <v/>
      </c>
      <c r="S318" s="201" t="str">
        <f aca="false">IF(A319="","",R318)</f>
        <v/>
      </c>
      <c r="T318" s="185" t="n">
        <v>0</v>
      </c>
      <c r="U318" s="201" t="str">
        <f aca="false">IF(A319="","",T318)</f>
        <v/>
      </c>
      <c r="V318" s="205" t="str">
        <f aca="false">IF($A319="","",IF(AND(MONTH(A318)&gt;3,MONTH(A318)&lt;11),(T318+R318+G318)*Summary!$T$11/(1-Summary!$T$11),(T318+R318+G318)*Summary!$U$11/(1-Summary!$U$11)))</f>
        <v/>
      </c>
      <c r="W318" s="202" t="str">
        <f aca="false">IF($A319="","",(T318+R318+G318+V318))</f>
        <v/>
      </c>
      <c r="X318" s="202" t="str">
        <f aca="false">IF($A319="","",(U318+S318+H318+V318))</f>
        <v/>
      </c>
      <c r="Y318" s="202"/>
      <c r="Z318" s="185" t="str">
        <f aca="false">IF($A319="","",VLOOKUP($A318,Table,MATCH(Z$4,Curves,0)))</f>
        <v/>
      </c>
      <c r="AA318" s="185" t="str">
        <f aca="false">IF($A319="","",VLOOKUP($A318,Table,MATCH(AA$4,Curves,0)))</f>
        <v/>
      </c>
      <c r="AB318" s="185" t="e">
        <f aca="false">SQRT((AA318^2*(A318-$D$3)+Z318^2*(DAY(EOMONTH(A318,0))/2))/AK318)</f>
        <v>#VALUE!</v>
      </c>
      <c r="AC318" s="185" t="str">
        <f aca="false">IF($A319="","",VLOOKUP($A318,Table,MATCH(AC$4,Curves,0)))</f>
        <v/>
      </c>
      <c r="AD318" s="185" t="str">
        <f aca="false">IF($A319="","",VLOOKUP($A318,Table,MATCH(AD$4,Curves,0)))</f>
        <v/>
      </c>
      <c r="AE318" s="185" t="e">
        <f aca="false">SQRT((AD318^2*(A318-$D$3)+AC318^2*(DAY(EOMONTH(A318,0))/2))/AK318)</f>
        <v>#VALUE!</v>
      </c>
      <c r="AF318" s="206" t="e">
        <f aca="false">((Summary!$N$11*(AA318*AD318)*(A318-$D$3))+(Summary!$M$11*Z318*AC318*(AJ318-EOMONTH(EDATE(A318,-1),0))))/(AK318*AB318*AE318)</f>
        <v>#VALUE!</v>
      </c>
      <c r="AG318" s="207" t="str">
        <f aca="false">IF($A319="","",Summary!$Q$11)</f>
        <v/>
      </c>
      <c r="AH318" s="207" t="str">
        <f aca="false">IF($A319="","",IF(Summary!$R$11="Y",(VLOOKUP($A318,Summary!$AD$6:$AF$9,3)+'Escalating commodity'!G331),'Escalating commodity'!G331))</f>
        <v/>
      </c>
      <c r="AI318" s="207" t="str">
        <f aca="false">IF($A319="","",AH318)</f>
        <v/>
      </c>
      <c r="AJ318" s="208" t="e">
        <f aca="false">A318+DAY(EOMONTH(A318,0))/2-1</f>
        <v>#VALUE!</v>
      </c>
      <c r="AK318" s="209" t="str">
        <f aca="false">IF($A319="","",$A318-$E$1)</f>
        <v/>
      </c>
      <c r="AL318" s="182" t="str">
        <f aca="false">IF($A319="","",SPRDOPT(P318,X318,AI318,0,AB318,AE318,AF318,AK318,$AJ$2,0))</f>
        <v/>
      </c>
      <c r="AM318" s="210" t="str">
        <f aca="false">IF($A319="","",MAX(0,O318-W318-AI318))</f>
        <v/>
      </c>
      <c r="AN318" s="211" t="str">
        <f aca="false">IF($A319="","",AL318-AM318)</f>
        <v/>
      </c>
      <c r="AO318" s="137" t="str">
        <f aca="false">IF(A319="","",A319-A318)</f>
        <v/>
      </c>
      <c r="AP318" s="212" t="str">
        <f aca="false">IF(A319="","",CHOOSE(F$3,A319+24,A318))</f>
        <v/>
      </c>
      <c r="AQ318" s="209" t="str">
        <f aca="false">IF(A319="","",AP318-$E$1)</f>
        <v/>
      </c>
      <c r="AR318" s="185" t="n">
        <f aca="false">'ANR OK vs ML7'!AR318</f>
        <v>0.1</v>
      </c>
      <c r="AS318" s="213" t="str">
        <f aca="false">IF(A319="","",1/(1+CHOOSE(F$3,(AR319+($I$3/10000))/2,(AR318+($I$3/10000))/2))^(2*AQ318/365.25))</f>
        <v/>
      </c>
      <c r="AT318" s="137" t="str">
        <f aca="false">IF(A319="","",IF(AND(mthbeg&lt;=A318,mthend&gt;=A318),1,0))</f>
        <v/>
      </c>
      <c r="AU318" s="137" t="str">
        <f aca="false">IF(A319="","",AO318*AT318)</f>
        <v/>
      </c>
      <c r="AW318" s="195" t="str">
        <f aca="false">IF($A319="","",AL318*$E318)</f>
        <v/>
      </c>
      <c r="AX318" s="195" t="str">
        <f aca="false">IF($A319="","",AM318*$E318)</f>
        <v/>
      </c>
      <c r="AY318" s="195" t="str">
        <f aca="false">IF($A319="","",AN318*$E318)</f>
        <v/>
      </c>
      <c r="BA318" s="195" t="str">
        <f aca="false">IF($A319="","",F318*Summary!$Q$11)</f>
        <v/>
      </c>
    </row>
    <row r="319" customFormat="false" ht="12" hidden="false" customHeight="true" outlineLevel="0" collapsed="false">
      <c r="A319" s="196" t="str">
        <f aca="false">IF(A318&lt;mthend,EDATE(A318,1),"")</f>
        <v/>
      </c>
      <c r="B319" s="197" t="str">
        <f aca="false">IF(A319&lt;mthend,B318,"")</f>
        <v/>
      </c>
      <c r="C319" s="215"/>
      <c r="D319" s="197" t="str">
        <f aca="false">IF(A320&lt;&gt;"",B319+C319,"")</f>
        <v/>
      </c>
      <c r="E319" s="199" t="str">
        <f aca="false">IF(A320="","",IF(AND(AT319=1,$H$3=1),D319*AO319,IF($H$3=2,D319,"N/A")))</f>
        <v/>
      </c>
      <c r="F319" s="199" t="str">
        <f aca="false">IF(A320="","",E319*AS319)</f>
        <v/>
      </c>
      <c r="G319" s="200" t="str">
        <f aca="false">IF($A320="","",VLOOKUP($A319,Table,MATCH(G$4,Curves,0)))</f>
        <v/>
      </c>
      <c r="H319" s="201" t="str">
        <f aca="false">IF(A320="","",G319)</f>
        <v/>
      </c>
      <c r="I319" s="202"/>
      <c r="J319" s="200" t="str">
        <f aca="false">IF($A320="","",VLOOKUP($A319,Table,MATCH(J$4,Curves,0)))</f>
        <v/>
      </c>
      <c r="K319" s="201" t="str">
        <f aca="false">IF(A320="","",J319)</f>
        <v/>
      </c>
      <c r="L319" s="200" t="str">
        <f aca="false">IF($A320="","",VLOOKUP($A319,Table,MATCH(L$4,Curves,0)))</f>
        <v/>
      </c>
      <c r="M319" s="201" t="str">
        <f aca="false">IF(A320="","",L319)</f>
        <v/>
      </c>
      <c r="N319" s="203"/>
      <c r="O319" s="200" t="str">
        <f aca="false">IF(A320="","",L319+J319+G319)</f>
        <v/>
      </c>
      <c r="P319" s="200" t="str">
        <f aca="false">IF(A320="","",M319+K319+H319)</f>
        <v/>
      </c>
      <c r="Q319" s="204"/>
      <c r="R319" s="200" t="str">
        <f aca="false">IF($A320="","",VLOOKUP($A319,Table,MATCH(R$4,Curves,0)))</f>
        <v/>
      </c>
      <c r="S319" s="201" t="str">
        <f aca="false">IF(A320="","",R319)</f>
        <v/>
      </c>
      <c r="T319" s="185" t="n">
        <v>0</v>
      </c>
      <c r="U319" s="201" t="str">
        <f aca="false">IF(A320="","",T319)</f>
        <v/>
      </c>
      <c r="V319" s="205" t="str">
        <f aca="false">IF($A320="","",IF(AND(MONTH(A319)&gt;3,MONTH(A319)&lt;11),(T319+R319+G319)*Summary!$T$11/(1-Summary!$T$11),(T319+R319+G319)*Summary!$U$11/(1-Summary!$U$11)))</f>
        <v/>
      </c>
      <c r="W319" s="202" t="str">
        <f aca="false">IF($A320="","",(T319+R319+G319+V319))</f>
        <v/>
      </c>
      <c r="X319" s="202" t="str">
        <f aca="false">IF($A320="","",(U319+S319+H319+V319))</f>
        <v/>
      </c>
      <c r="Y319" s="202"/>
      <c r="Z319" s="185" t="str">
        <f aca="false">IF($A320="","",VLOOKUP($A319,Table,MATCH(Z$4,Curves,0)))</f>
        <v/>
      </c>
      <c r="AA319" s="185" t="str">
        <f aca="false">IF($A320="","",VLOOKUP($A319,Table,MATCH(AA$4,Curves,0)))</f>
        <v/>
      </c>
      <c r="AB319" s="185" t="e">
        <f aca="false">SQRT((AA319^2*(A319-$D$3)+Z319^2*(DAY(EOMONTH(A319,0))/2))/AK319)</f>
        <v>#VALUE!</v>
      </c>
      <c r="AC319" s="185" t="str">
        <f aca="false">IF($A320="","",VLOOKUP($A319,Table,MATCH(AC$4,Curves,0)))</f>
        <v/>
      </c>
      <c r="AD319" s="185" t="str">
        <f aca="false">IF($A320="","",VLOOKUP($A319,Table,MATCH(AD$4,Curves,0)))</f>
        <v/>
      </c>
      <c r="AE319" s="185" t="e">
        <f aca="false">SQRT((AD319^2*(A319-$D$3)+AC319^2*(DAY(EOMONTH(A319,0))/2))/AK319)</f>
        <v>#VALUE!</v>
      </c>
      <c r="AF319" s="206" t="e">
        <f aca="false">((Summary!$N$11*(AA319*AD319)*(A319-$D$3))+(Summary!$M$11*Z319*AC319*(AJ319-EOMONTH(EDATE(A319,-1),0))))/(AK319*AB319*AE319)</f>
        <v>#VALUE!</v>
      </c>
      <c r="AG319" s="207" t="str">
        <f aca="false">IF($A320="","",Summary!$Q$11)</f>
        <v/>
      </c>
      <c r="AH319" s="207" t="str">
        <f aca="false">IF($A320="","",IF(Summary!$R$11="Y",(VLOOKUP($A319,Summary!$AD$6:$AF$9,3)+'Escalating commodity'!G332),'Escalating commodity'!G332))</f>
        <v/>
      </c>
      <c r="AI319" s="207" t="str">
        <f aca="false">IF($A320="","",AH319)</f>
        <v/>
      </c>
      <c r="AJ319" s="208" t="e">
        <f aca="false">A319+DAY(EOMONTH(A319,0))/2-1</f>
        <v>#VALUE!</v>
      </c>
      <c r="AK319" s="209" t="str">
        <f aca="false">IF($A320="","",$A319-$E$1)</f>
        <v/>
      </c>
      <c r="AL319" s="182" t="str">
        <f aca="false">IF($A320="","",SPRDOPT(P319,X319,AI319,0,AB319,AE319,AF319,AK319,$AJ$2,0))</f>
        <v/>
      </c>
      <c r="AM319" s="210" t="str">
        <f aca="false">IF($A320="","",MAX(0,O319-W319-AI319))</f>
        <v/>
      </c>
      <c r="AN319" s="211" t="str">
        <f aca="false">IF($A320="","",AL319-AM319)</f>
        <v/>
      </c>
      <c r="AO319" s="137" t="str">
        <f aca="false">IF(A320="","",A320-A319)</f>
        <v/>
      </c>
      <c r="AP319" s="212" t="str">
        <f aca="false">IF(A320="","",CHOOSE(F$3,A320+24,A319))</f>
        <v/>
      </c>
      <c r="AQ319" s="209" t="str">
        <f aca="false">IF(A320="","",AP319-$E$1)</f>
        <v/>
      </c>
      <c r="AR319" s="185" t="n">
        <f aca="false">'ANR OK vs ML7'!AR319</f>
        <v>0.1</v>
      </c>
      <c r="AS319" s="213" t="str">
        <f aca="false">IF(A320="","",1/(1+CHOOSE(F$3,(AR320+($I$3/10000))/2,(AR319+($I$3/10000))/2))^(2*AQ319/365.25))</f>
        <v/>
      </c>
      <c r="AT319" s="137" t="str">
        <f aca="false">IF(A320="","",IF(AND(mthbeg&lt;=A319,mthend&gt;=A319),1,0))</f>
        <v/>
      </c>
      <c r="AU319" s="137" t="str">
        <f aca="false">IF(A320="","",AO319*AT319)</f>
        <v/>
      </c>
      <c r="AW319" s="195" t="str">
        <f aca="false">IF($A320="","",AL319*$E319)</f>
        <v/>
      </c>
      <c r="AX319" s="195" t="str">
        <f aca="false">IF($A320="","",AM319*$E319)</f>
        <v/>
      </c>
      <c r="AY319" s="195" t="str">
        <f aca="false">IF($A320="","",AN319*$E319)</f>
        <v/>
      </c>
      <c r="BA319" s="195" t="str">
        <f aca="false">IF($A320="","",F319*Summary!$Q$11)</f>
        <v/>
      </c>
    </row>
    <row r="320" customFormat="false" ht="12" hidden="false" customHeight="true" outlineLevel="0" collapsed="false">
      <c r="A320" s="196" t="str">
        <f aca="false">IF(A319&lt;mthend,EDATE(A319,1),"")</f>
        <v/>
      </c>
      <c r="B320" s="197" t="str">
        <f aca="false">IF(A320&lt;mthend,B319,"")</f>
        <v/>
      </c>
      <c r="C320" s="215"/>
      <c r="D320" s="197" t="str">
        <f aca="false">IF(A321&lt;&gt;"",B320+C320,"")</f>
        <v/>
      </c>
      <c r="E320" s="199" t="str">
        <f aca="false">IF(A321="","",IF(AND(AT320=1,$H$3=1),D320*AO320,IF($H$3=2,D320,"N/A")))</f>
        <v/>
      </c>
      <c r="F320" s="199" t="str">
        <f aca="false">IF(A321="","",E320*AS320)</f>
        <v/>
      </c>
      <c r="G320" s="200" t="str">
        <f aca="false">IF($A321="","",VLOOKUP($A320,Table,MATCH(G$4,Curves,0)))</f>
        <v/>
      </c>
      <c r="H320" s="201" t="str">
        <f aca="false">IF(A321="","",G320)</f>
        <v/>
      </c>
      <c r="I320" s="202"/>
      <c r="J320" s="200" t="str">
        <f aca="false">IF($A321="","",VLOOKUP($A320,Table,MATCH(J$4,Curves,0)))</f>
        <v/>
      </c>
      <c r="K320" s="201" t="str">
        <f aca="false">IF(A321="","",J320)</f>
        <v/>
      </c>
      <c r="L320" s="200" t="str">
        <f aca="false">IF($A321="","",VLOOKUP($A320,Table,MATCH(L$4,Curves,0)))</f>
        <v/>
      </c>
      <c r="M320" s="201" t="str">
        <f aca="false">IF(A321="","",L320)</f>
        <v/>
      </c>
      <c r="N320" s="203"/>
      <c r="O320" s="200" t="str">
        <f aca="false">IF(A321="","",L320+J320+G320)</f>
        <v/>
      </c>
      <c r="P320" s="200" t="str">
        <f aca="false">IF(A321="","",M320+K320+H320)</f>
        <v/>
      </c>
      <c r="Q320" s="204"/>
      <c r="R320" s="200" t="str">
        <f aca="false">IF($A321="","",VLOOKUP($A320,Table,MATCH(R$4,Curves,0)))</f>
        <v/>
      </c>
      <c r="S320" s="201" t="str">
        <f aca="false">IF(A321="","",R320)</f>
        <v/>
      </c>
      <c r="T320" s="185" t="n">
        <v>0</v>
      </c>
      <c r="U320" s="201" t="str">
        <f aca="false">IF(A321="","",T320)</f>
        <v/>
      </c>
      <c r="V320" s="205" t="str">
        <f aca="false">IF($A321="","",IF(AND(MONTH(A320)&gt;3,MONTH(A320)&lt;11),(T320+R320+G320)*Summary!$T$11/(1-Summary!$T$11),(T320+R320+G320)*Summary!$U$11/(1-Summary!$U$11)))</f>
        <v/>
      </c>
      <c r="W320" s="202" t="str">
        <f aca="false">IF($A321="","",(T320+R320+G320+V320))</f>
        <v/>
      </c>
      <c r="X320" s="202" t="str">
        <f aca="false">IF($A321="","",(U320+S320+H320+V320))</f>
        <v/>
      </c>
      <c r="Y320" s="202"/>
      <c r="Z320" s="185" t="str">
        <f aca="false">IF($A321="","",VLOOKUP($A320,Table,MATCH(Z$4,Curves,0)))</f>
        <v/>
      </c>
      <c r="AA320" s="185" t="str">
        <f aca="false">IF($A321="","",VLOOKUP($A320,Table,MATCH(AA$4,Curves,0)))</f>
        <v/>
      </c>
      <c r="AB320" s="185" t="e">
        <f aca="false">SQRT((AA320^2*(A320-$D$3)+Z320^2*(DAY(EOMONTH(A320,0))/2))/AK320)</f>
        <v>#VALUE!</v>
      </c>
      <c r="AC320" s="185" t="str">
        <f aca="false">IF($A321="","",VLOOKUP($A320,Table,MATCH(AC$4,Curves,0)))</f>
        <v/>
      </c>
      <c r="AD320" s="185" t="str">
        <f aca="false">IF($A321="","",VLOOKUP($A320,Table,MATCH(AD$4,Curves,0)))</f>
        <v/>
      </c>
      <c r="AE320" s="185" t="e">
        <f aca="false">SQRT((AD320^2*(A320-$D$3)+AC320^2*(DAY(EOMONTH(A320,0))/2))/AK320)</f>
        <v>#VALUE!</v>
      </c>
      <c r="AF320" s="206" t="e">
        <f aca="false">((Summary!$N$11*(AA320*AD320)*(A320-$D$3))+(Summary!$M$11*Z320*AC320*(AJ320-EOMONTH(EDATE(A320,-1),0))))/(AK320*AB320*AE320)</f>
        <v>#VALUE!</v>
      </c>
      <c r="AG320" s="207" t="str">
        <f aca="false">IF($A321="","",Summary!$Q$11)</f>
        <v/>
      </c>
      <c r="AH320" s="207" t="str">
        <f aca="false">IF($A321="","",IF(Summary!$R$11="Y",(VLOOKUP($A320,Summary!$AD$6:$AF$9,3)+'Escalating commodity'!G333),'Escalating commodity'!G333))</f>
        <v/>
      </c>
      <c r="AI320" s="207" t="str">
        <f aca="false">IF($A321="","",AH320)</f>
        <v/>
      </c>
      <c r="AJ320" s="208" t="e">
        <f aca="false">A320+DAY(EOMONTH(A320,0))/2-1</f>
        <v>#VALUE!</v>
      </c>
      <c r="AK320" s="209" t="str">
        <f aca="false">IF($A321="","",$A320-$E$1)</f>
        <v/>
      </c>
      <c r="AL320" s="182" t="str">
        <f aca="false">IF($A321="","",SPRDOPT(P320,X320,AI320,0,AB320,AE320,AF320,AK320,$AJ$2,0))</f>
        <v/>
      </c>
      <c r="AM320" s="210" t="str">
        <f aca="false">IF($A321="","",MAX(0,O320-W320-AI320))</f>
        <v/>
      </c>
      <c r="AN320" s="211" t="str">
        <f aca="false">IF($A321="","",AL320-AM320)</f>
        <v/>
      </c>
      <c r="AO320" s="137" t="str">
        <f aca="false">IF(A321="","",A321-A320)</f>
        <v/>
      </c>
      <c r="AP320" s="212" t="str">
        <f aca="false">IF(A321="","",CHOOSE(F$3,A321+24,A320))</f>
        <v/>
      </c>
      <c r="AQ320" s="209" t="str">
        <f aca="false">IF(A321="","",AP320-$E$1)</f>
        <v/>
      </c>
      <c r="AR320" s="185" t="n">
        <f aca="false">'ANR OK vs ML7'!AR320</f>
        <v>0.1</v>
      </c>
      <c r="AS320" s="213" t="str">
        <f aca="false">IF(A321="","",1/(1+CHOOSE(F$3,(AR321+($I$3/10000))/2,(AR320+($I$3/10000))/2))^(2*AQ320/365.25))</f>
        <v/>
      </c>
      <c r="AT320" s="137" t="str">
        <f aca="false">IF(A321="","",IF(AND(mthbeg&lt;=A320,mthend&gt;=A320),1,0))</f>
        <v/>
      </c>
      <c r="AU320" s="137" t="str">
        <f aca="false">IF(A321="","",AO320*AT320)</f>
        <v/>
      </c>
      <c r="AW320" s="195" t="str">
        <f aca="false">IF($A321="","",AL320*$E320)</f>
        <v/>
      </c>
      <c r="AX320" s="195" t="str">
        <f aca="false">IF($A321="","",AM320*$E320)</f>
        <v/>
      </c>
      <c r="AY320" s="195" t="str">
        <f aca="false">IF($A321="","",AN320*$E320)</f>
        <v/>
      </c>
      <c r="BA320" s="195" t="str">
        <f aca="false">IF($A321="","",F320*Summary!$Q$11)</f>
        <v/>
      </c>
    </row>
    <row r="321" customFormat="false" ht="12" hidden="false" customHeight="true" outlineLevel="0" collapsed="false">
      <c r="A321" s="196" t="str">
        <f aca="false">IF(A320&lt;mthend,EDATE(A320,1),"")</f>
        <v/>
      </c>
      <c r="B321" s="197" t="str">
        <f aca="false">IF(A321&lt;mthend,B320,"")</f>
        <v/>
      </c>
      <c r="C321" s="215"/>
      <c r="D321" s="197" t="str">
        <f aca="false">IF(A322&lt;&gt;"",B321+C321,"")</f>
        <v/>
      </c>
      <c r="E321" s="199" t="str">
        <f aca="false">IF(A322="","",IF(AND(AT321=1,$H$3=1),D321*AO321,IF($H$3=2,D321,"N/A")))</f>
        <v/>
      </c>
      <c r="F321" s="199" t="str">
        <f aca="false">IF(A322="","",E321*AS321)</f>
        <v/>
      </c>
      <c r="G321" s="200" t="str">
        <f aca="false">IF($A322="","",VLOOKUP($A321,Table,MATCH(G$4,Curves,0)))</f>
        <v/>
      </c>
      <c r="H321" s="201" t="str">
        <f aca="false">IF(A322="","",G321)</f>
        <v/>
      </c>
      <c r="I321" s="202"/>
      <c r="J321" s="200" t="str">
        <f aca="false">IF($A322="","",VLOOKUP($A321,Table,MATCH(J$4,Curves,0)))</f>
        <v/>
      </c>
      <c r="K321" s="201" t="str">
        <f aca="false">IF(A322="","",J321)</f>
        <v/>
      </c>
      <c r="L321" s="200" t="str">
        <f aca="false">IF($A322="","",VLOOKUP($A321,Table,MATCH(L$4,Curves,0)))</f>
        <v/>
      </c>
      <c r="M321" s="201" t="str">
        <f aca="false">IF(A322="","",L321)</f>
        <v/>
      </c>
      <c r="N321" s="203"/>
      <c r="O321" s="200" t="str">
        <f aca="false">IF(A322="","",L321+J321+G321)</f>
        <v/>
      </c>
      <c r="P321" s="200" t="str">
        <f aca="false">IF(A322="","",M321+K321+H321)</f>
        <v/>
      </c>
      <c r="Q321" s="204"/>
      <c r="R321" s="200" t="str">
        <f aca="false">IF($A322="","",VLOOKUP($A321,Table,MATCH(R$4,Curves,0)))</f>
        <v/>
      </c>
      <c r="S321" s="201" t="str">
        <f aca="false">IF(A322="","",R321)</f>
        <v/>
      </c>
      <c r="T321" s="185" t="n">
        <v>0</v>
      </c>
      <c r="U321" s="201" t="str">
        <f aca="false">IF(A322="","",T321)</f>
        <v/>
      </c>
      <c r="V321" s="205" t="str">
        <f aca="false">IF($A322="","",IF(AND(MONTH(A321)&gt;3,MONTH(A321)&lt;11),(T321+R321+G321)*Summary!$T$11/(1-Summary!$T$11),(T321+R321+G321)*Summary!$U$11/(1-Summary!$U$11)))</f>
        <v/>
      </c>
      <c r="W321" s="202" t="str">
        <f aca="false">IF($A322="","",(T321+R321+G321+V321))</f>
        <v/>
      </c>
      <c r="X321" s="202" t="str">
        <f aca="false">IF($A322="","",(U321+S321+H321+V321))</f>
        <v/>
      </c>
      <c r="Y321" s="202"/>
      <c r="Z321" s="185" t="str">
        <f aca="false">IF($A322="","",VLOOKUP($A321,Table,MATCH(Z$4,Curves,0)))</f>
        <v/>
      </c>
      <c r="AA321" s="185" t="str">
        <f aca="false">IF($A322="","",VLOOKUP($A321,Table,MATCH(AA$4,Curves,0)))</f>
        <v/>
      </c>
      <c r="AB321" s="185" t="e">
        <f aca="false">SQRT((AA321^2*(A321-$D$3)+Z321^2*(DAY(EOMONTH(A321,0))/2))/AK321)</f>
        <v>#VALUE!</v>
      </c>
      <c r="AC321" s="185" t="str">
        <f aca="false">IF($A322="","",VLOOKUP($A321,Table,MATCH(AC$4,Curves,0)))</f>
        <v/>
      </c>
      <c r="AD321" s="185" t="str">
        <f aca="false">IF($A322="","",VLOOKUP($A321,Table,MATCH(AD$4,Curves,0)))</f>
        <v/>
      </c>
      <c r="AE321" s="185" t="e">
        <f aca="false">SQRT((AD321^2*(A321-$D$3)+AC321^2*(DAY(EOMONTH(A321,0))/2))/AK321)</f>
        <v>#VALUE!</v>
      </c>
      <c r="AF321" s="206" t="e">
        <f aca="false">((Summary!$N$11*(AA321*AD321)*(A321-$D$3))+(Summary!$M$11*Z321*AC321*(AJ321-EOMONTH(EDATE(A321,-1),0))))/(AK321*AB321*AE321)</f>
        <v>#VALUE!</v>
      </c>
      <c r="AG321" s="207" t="str">
        <f aca="false">IF($A322="","",Summary!$Q$11)</f>
        <v/>
      </c>
      <c r="AH321" s="207" t="str">
        <f aca="false">IF($A322="","",IF(Summary!$R$11="Y",(VLOOKUP($A321,Summary!$AD$6:$AF$9,3)+'Escalating commodity'!G334),'Escalating commodity'!G334))</f>
        <v/>
      </c>
      <c r="AI321" s="207" t="str">
        <f aca="false">IF($A322="","",AH321)</f>
        <v/>
      </c>
      <c r="AJ321" s="208" t="e">
        <f aca="false">A321+DAY(EOMONTH(A321,0))/2-1</f>
        <v>#VALUE!</v>
      </c>
      <c r="AK321" s="209" t="str">
        <f aca="false">IF($A322="","",$A321-$E$1)</f>
        <v/>
      </c>
      <c r="AL321" s="182" t="str">
        <f aca="false">IF($A322="","",SPRDOPT(P321,X321,AI321,0,AB321,AE321,AF321,AK321,$AJ$2,0))</f>
        <v/>
      </c>
      <c r="AM321" s="210" t="str">
        <f aca="false">IF($A322="","",MAX(0,O321-W321-AI321))</f>
        <v/>
      </c>
      <c r="AN321" s="211" t="str">
        <f aca="false">IF($A322="","",AL321-AM321)</f>
        <v/>
      </c>
      <c r="AO321" s="137" t="str">
        <f aca="false">IF(A322="","",A322-A321)</f>
        <v/>
      </c>
      <c r="AP321" s="212" t="str">
        <f aca="false">IF(A322="","",CHOOSE(F$3,A322+24,A321))</f>
        <v/>
      </c>
      <c r="AQ321" s="209" t="str">
        <f aca="false">IF(A322="","",AP321-$E$1)</f>
        <v/>
      </c>
      <c r="AR321" s="185" t="n">
        <f aca="false">'ANR OK vs ML7'!AR321</f>
        <v>0.1</v>
      </c>
      <c r="AS321" s="213" t="str">
        <f aca="false">IF(A322="","",1/(1+CHOOSE(F$3,(AR322+($I$3/10000))/2,(AR321+($I$3/10000))/2))^(2*AQ321/365.25))</f>
        <v/>
      </c>
      <c r="AT321" s="137" t="str">
        <f aca="false">IF(A322="","",IF(AND(mthbeg&lt;=A321,mthend&gt;=A321),1,0))</f>
        <v/>
      </c>
      <c r="AU321" s="137" t="str">
        <f aca="false">IF(A322="","",AO321*AT321)</f>
        <v/>
      </c>
      <c r="AW321" s="195" t="str">
        <f aca="false">IF($A322="","",AL321*$E321)</f>
        <v/>
      </c>
      <c r="AX321" s="195" t="str">
        <f aca="false">IF($A322="","",AM321*$E321)</f>
        <v/>
      </c>
      <c r="AY321" s="195" t="str">
        <f aca="false">IF($A322="","",AN321*$E321)</f>
        <v/>
      </c>
      <c r="BA321" s="195" t="str">
        <f aca="false">IF($A322="","",F321*Summary!$Q$11)</f>
        <v/>
      </c>
    </row>
    <row r="322" customFormat="false" ht="12" hidden="false" customHeight="true" outlineLevel="0" collapsed="false">
      <c r="A322" s="196" t="str">
        <f aca="false">IF(A321&lt;mthend,EDATE(A321,1),"")</f>
        <v/>
      </c>
      <c r="B322" s="197" t="str">
        <f aca="false">IF(A322&lt;mthend,B321,"")</f>
        <v/>
      </c>
      <c r="C322" s="215"/>
      <c r="D322" s="197" t="str">
        <f aca="false">IF(A323&lt;&gt;"",B322+C322,"")</f>
        <v/>
      </c>
      <c r="E322" s="199" t="str">
        <f aca="false">IF(A323="","",IF(AND(AT322=1,$H$3=1),D322*AO322,IF($H$3=2,D322,"N/A")))</f>
        <v/>
      </c>
      <c r="F322" s="199" t="str">
        <f aca="false">IF(A323="","",E322*AS322)</f>
        <v/>
      </c>
      <c r="G322" s="200" t="str">
        <f aca="false">IF($A323="","",VLOOKUP($A322,Table,MATCH(G$4,Curves,0)))</f>
        <v/>
      </c>
      <c r="H322" s="201" t="str">
        <f aca="false">IF(A323="","",G322)</f>
        <v/>
      </c>
      <c r="I322" s="202"/>
      <c r="J322" s="200" t="str">
        <f aca="false">IF($A323="","",VLOOKUP($A322,Table,MATCH(J$4,Curves,0)))</f>
        <v/>
      </c>
      <c r="K322" s="201" t="str">
        <f aca="false">IF(A323="","",J322)</f>
        <v/>
      </c>
      <c r="L322" s="200" t="str">
        <f aca="false">IF($A323="","",VLOOKUP($A322,Table,MATCH(L$4,Curves,0)))</f>
        <v/>
      </c>
      <c r="M322" s="201" t="str">
        <f aca="false">IF(A323="","",L322)</f>
        <v/>
      </c>
      <c r="N322" s="203"/>
      <c r="O322" s="200" t="str">
        <f aca="false">IF(A323="","",L322+J322+G322)</f>
        <v/>
      </c>
      <c r="P322" s="200" t="str">
        <f aca="false">IF(A323="","",M322+K322+H322)</f>
        <v/>
      </c>
      <c r="Q322" s="204"/>
      <c r="R322" s="200" t="str">
        <f aca="false">IF($A323="","",VLOOKUP($A322,Table,MATCH(R$4,Curves,0)))</f>
        <v/>
      </c>
      <c r="S322" s="201" t="str">
        <f aca="false">IF(A323="","",R322)</f>
        <v/>
      </c>
      <c r="T322" s="185" t="n">
        <v>0</v>
      </c>
      <c r="U322" s="201" t="str">
        <f aca="false">IF(A323="","",T322)</f>
        <v/>
      </c>
      <c r="V322" s="205" t="str">
        <f aca="false">IF($A323="","",IF(AND(MONTH(A322)&gt;3,MONTH(A322)&lt;11),(T322+R322+G322)*Summary!$T$11/(1-Summary!$T$11),(T322+R322+G322)*Summary!$U$11/(1-Summary!$U$11)))</f>
        <v/>
      </c>
      <c r="W322" s="202" t="str">
        <f aca="false">IF($A323="","",(T322+R322+G322+V322))</f>
        <v/>
      </c>
      <c r="X322" s="202" t="str">
        <f aca="false">IF($A323="","",(U322+S322+H322+V322))</f>
        <v/>
      </c>
      <c r="Y322" s="202"/>
      <c r="Z322" s="185" t="str">
        <f aca="false">IF($A323="","",VLOOKUP($A322,Table,MATCH(Z$4,Curves,0)))</f>
        <v/>
      </c>
      <c r="AA322" s="185" t="str">
        <f aca="false">IF($A323="","",VLOOKUP($A322,Table,MATCH(AA$4,Curves,0)))</f>
        <v/>
      </c>
      <c r="AB322" s="185" t="e">
        <f aca="false">SQRT((AA322^2*(A322-$D$3)+Z322^2*(DAY(EOMONTH(A322,0))/2))/AK322)</f>
        <v>#VALUE!</v>
      </c>
      <c r="AC322" s="185" t="str">
        <f aca="false">IF($A323="","",VLOOKUP($A322,Table,MATCH(AC$4,Curves,0)))</f>
        <v/>
      </c>
      <c r="AD322" s="185" t="str">
        <f aca="false">IF($A323="","",VLOOKUP($A322,Table,MATCH(AD$4,Curves,0)))</f>
        <v/>
      </c>
      <c r="AE322" s="185" t="e">
        <f aca="false">SQRT((AD322^2*(A322-$D$3)+AC322^2*(DAY(EOMONTH(A322,0))/2))/AK322)</f>
        <v>#VALUE!</v>
      </c>
      <c r="AF322" s="206" t="e">
        <f aca="false">((Summary!$N$11*(AA322*AD322)*(A322-$D$3))+(Summary!$M$11*Z322*AC322*(AJ322-EOMONTH(EDATE(A322,-1),0))))/(AK322*AB322*AE322)</f>
        <v>#VALUE!</v>
      </c>
      <c r="AG322" s="207" t="str">
        <f aca="false">IF($A323="","",Summary!$Q$11)</f>
        <v/>
      </c>
      <c r="AH322" s="207" t="str">
        <f aca="false">IF($A323="","",IF(Summary!$R$11="Y",(VLOOKUP($A322,Summary!$AD$6:$AF$9,3)+'Escalating commodity'!G335),'Escalating commodity'!G335))</f>
        <v/>
      </c>
      <c r="AI322" s="207" t="str">
        <f aca="false">IF($A323="","",AH322)</f>
        <v/>
      </c>
      <c r="AJ322" s="208" t="e">
        <f aca="false">A322+DAY(EOMONTH(A322,0))/2-1</f>
        <v>#VALUE!</v>
      </c>
      <c r="AK322" s="209" t="str">
        <f aca="false">IF($A323="","",$A322-$E$1)</f>
        <v/>
      </c>
      <c r="AL322" s="182" t="str">
        <f aca="false">IF($A323="","",SPRDOPT(P322,X322,AI322,0,AB322,AE322,AF322,AK322,$AJ$2,0))</f>
        <v/>
      </c>
      <c r="AM322" s="210" t="str">
        <f aca="false">IF($A323="","",MAX(0,O322-W322-AI322))</f>
        <v/>
      </c>
      <c r="AN322" s="211" t="str">
        <f aca="false">IF($A323="","",AL322-AM322)</f>
        <v/>
      </c>
      <c r="AO322" s="137" t="str">
        <f aca="false">IF(A323="","",A323-A322)</f>
        <v/>
      </c>
      <c r="AP322" s="212" t="str">
        <f aca="false">IF(A323="","",CHOOSE(F$3,A323+24,A322))</f>
        <v/>
      </c>
      <c r="AQ322" s="209" t="str">
        <f aca="false">IF(A323="","",AP322-$E$1)</f>
        <v/>
      </c>
      <c r="AR322" s="185" t="n">
        <f aca="false">'ANR OK vs ML7'!AR322</f>
        <v>0.1</v>
      </c>
      <c r="AS322" s="213" t="str">
        <f aca="false">IF(A323="","",1/(1+CHOOSE(F$3,(AR323+($I$3/10000))/2,(AR322+($I$3/10000))/2))^(2*AQ322/365.25))</f>
        <v/>
      </c>
      <c r="AT322" s="137" t="str">
        <f aca="false">IF(A323="","",IF(AND(mthbeg&lt;=A322,mthend&gt;=A322),1,0))</f>
        <v/>
      </c>
      <c r="AU322" s="137" t="str">
        <f aca="false">IF(A323="","",AO322*AT322)</f>
        <v/>
      </c>
      <c r="AW322" s="195" t="str">
        <f aca="false">IF($A323="","",AL322*$E322)</f>
        <v/>
      </c>
      <c r="AX322" s="195" t="str">
        <f aca="false">IF($A323="","",AM322*$E322)</f>
        <v/>
      </c>
      <c r="AY322" s="195" t="str">
        <f aca="false">IF($A323="","",AN322*$E322)</f>
        <v/>
      </c>
      <c r="BA322" s="195" t="str">
        <f aca="false">IF($A323="","",F322*Summary!$Q$11)</f>
        <v/>
      </c>
    </row>
    <row r="323" customFormat="false" ht="12" hidden="false" customHeight="true" outlineLevel="0" collapsed="false">
      <c r="A323" s="196" t="str">
        <f aca="false">IF(A322&lt;mthend,EDATE(A322,1),"")</f>
        <v/>
      </c>
      <c r="B323" s="197" t="str">
        <f aca="false">IF(A323&lt;mthend,B322,"")</f>
        <v/>
      </c>
      <c r="C323" s="215"/>
      <c r="D323" s="197" t="str">
        <f aca="false">IF(A324&lt;&gt;"",B323+C323,"")</f>
        <v/>
      </c>
      <c r="E323" s="199" t="str">
        <f aca="false">IF(A324="","",IF(AND(AT323=1,$H$3=1),D323*AO323,IF($H$3=2,D323,"N/A")))</f>
        <v/>
      </c>
      <c r="F323" s="199" t="str">
        <f aca="false">IF(A324="","",E323*AS323)</f>
        <v/>
      </c>
      <c r="G323" s="200" t="str">
        <f aca="false">IF($A324="","",VLOOKUP($A323,Table,MATCH(G$4,Curves,0)))</f>
        <v/>
      </c>
      <c r="H323" s="201" t="str">
        <f aca="false">IF(A324="","",G323)</f>
        <v/>
      </c>
      <c r="I323" s="202"/>
      <c r="J323" s="200" t="str">
        <f aca="false">IF($A324="","",VLOOKUP($A323,Table,MATCH(J$4,Curves,0)))</f>
        <v/>
      </c>
      <c r="K323" s="201" t="str">
        <f aca="false">IF(A324="","",J323)</f>
        <v/>
      </c>
      <c r="L323" s="200" t="str">
        <f aca="false">IF($A324="","",VLOOKUP($A323,Table,MATCH(L$4,Curves,0)))</f>
        <v/>
      </c>
      <c r="M323" s="201" t="str">
        <f aca="false">IF(A324="","",L323)</f>
        <v/>
      </c>
      <c r="N323" s="203"/>
      <c r="O323" s="200" t="str">
        <f aca="false">IF(A324="","",L323+J323+G323)</f>
        <v/>
      </c>
      <c r="P323" s="200" t="str">
        <f aca="false">IF(A324="","",M323+K323+H323)</f>
        <v/>
      </c>
      <c r="Q323" s="204"/>
      <c r="R323" s="200" t="str">
        <f aca="false">IF($A324="","",VLOOKUP($A323,Table,MATCH(R$4,Curves,0)))</f>
        <v/>
      </c>
      <c r="S323" s="201" t="str">
        <f aca="false">IF(A324="","",R323)</f>
        <v/>
      </c>
      <c r="T323" s="185" t="n">
        <v>0</v>
      </c>
      <c r="U323" s="201" t="str">
        <f aca="false">IF(A324="","",T323)</f>
        <v/>
      </c>
      <c r="V323" s="205" t="str">
        <f aca="false">IF($A324="","",IF(AND(MONTH(A323)&gt;3,MONTH(A323)&lt;11),(T323+R323+G323)*Summary!$T$11/(1-Summary!$T$11),(T323+R323+G323)*Summary!$U$11/(1-Summary!$U$11)))</f>
        <v/>
      </c>
      <c r="W323" s="202" t="str">
        <f aca="false">IF($A324="","",(T323+R323+G323+V323))</f>
        <v/>
      </c>
      <c r="X323" s="202" t="str">
        <f aca="false">IF($A324="","",(U323+S323+H323+V323))</f>
        <v/>
      </c>
      <c r="Y323" s="202"/>
      <c r="Z323" s="185" t="str">
        <f aca="false">IF($A324="","",VLOOKUP($A323,Table,MATCH(Z$4,Curves,0)))</f>
        <v/>
      </c>
      <c r="AA323" s="185" t="str">
        <f aca="false">IF($A324="","",VLOOKUP($A323,Table,MATCH(AA$4,Curves,0)))</f>
        <v/>
      </c>
      <c r="AB323" s="185" t="e">
        <f aca="false">SQRT((AA323^2*(A323-$D$3)+Z323^2*(DAY(EOMONTH(A323,0))/2))/AK323)</f>
        <v>#VALUE!</v>
      </c>
      <c r="AC323" s="185" t="str">
        <f aca="false">IF($A324="","",VLOOKUP($A323,Table,MATCH(AC$4,Curves,0)))</f>
        <v/>
      </c>
      <c r="AD323" s="185" t="str">
        <f aca="false">IF($A324="","",VLOOKUP($A323,Table,MATCH(AD$4,Curves,0)))</f>
        <v/>
      </c>
      <c r="AE323" s="185" t="e">
        <f aca="false">SQRT((AD323^2*(A323-$D$3)+AC323^2*(DAY(EOMONTH(A323,0))/2))/AK323)</f>
        <v>#VALUE!</v>
      </c>
      <c r="AF323" s="206" t="e">
        <f aca="false">((Summary!$N$11*(AA323*AD323)*(A323-$D$3))+(Summary!$M$11*Z323*AC323*(AJ323-EOMONTH(EDATE(A323,-1),0))))/(AK323*AB323*AE323)</f>
        <v>#VALUE!</v>
      </c>
      <c r="AG323" s="207" t="str">
        <f aca="false">IF($A324="","",Summary!$Q$11)</f>
        <v/>
      </c>
      <c r="AH323" s="207" t="str">
        <f aca="false">IF($A324="","",IF(Summary!$R$11="Y",(VLOOKUP($A323,Summary!$AD$6:$AF$9,3)+'Escalating commodity'!G336),'Escalating commodity'!G336))</f>
        <v/>
      </c>
      <c r="AI323" s="207" t="str">
        <f aca="false">IF($A324="","",AH323)</f>
        <v/>
      </c>
      <c r="AJ323" s="208" t="e">
        <f aca="false">A323+DAY(EOMONTH(A323,0))/2-1</f>
        <v>#VALUE!</v>
      </c>
      <c r="AK323" s="209" t="str">
        <f aca="false">IF($A324="","",$A323-$E$1)</f>
        <v/>
      </c>
      <c r="AL323" s="182" t="str">
        <f aca="false">IF($A324="","",SPRDOPT(P323,X323,AI323,0,AB323,AE323,AF323,AK323,$AJ$2,0))</f>
        <v/>
      </c>
      <c r="AM323" s="210" t="str">
        <f aca="false">IF($A324="","",MAX(0,O323-W323-AI323))</f>
        <v/>
      </c>
      <c r="AN323" s="211" t="str">
        <f aca="false">IF($A324="","",AL323-AM323)</f>
        <v/>
      </c>
      <c r="AO323" s="137" t="str">
        <f aca="false">IF(A324="","",A324-A323)</f>
        <v/>
      </c>
      <c r="AP323" s="212" t="str">
        <f aca="false">IF(A324="","",CHOOSE(F$3,A324+24,A323))</f>
        <v/>
      </c>
      <c r="AQ323" s="209" t="str">
        <f aca="false">IF(A324="","",AP323-$E$1)</f>
        <v/>
      </c>
      <c r="AR323" s="185" t="n">
        <f aca="false">'ANR OK vs ML7'!AR323</f>
        <v>0.1</v>
      </c>
      <c r="AS323" s="213" t="str">
        <f aca="false">IF(A324="","",1/(1+CHOOSE(F$3,(AR324+($I$3/10000))/2,(AR323+($I$3/10000))/2))^(2*AQ323/365.25))</f>
        <v/>
      </c>
      <c r="AT323" s="137" t="str">
        <f aca="false">IF(A324="","",IF(AND(mthbeg&lt;=A323,mthend&gt;=A323),1,0))</f>
        <v/>
      </c>
      <c r="AU323" s="137" t="str">
        <f aca="false">IF(A324="","",AO323*AT323)</f>
        <v/>
      </c>
      <c r="AW323" s="195" t="str">
        <f aca="false">IF($A324="","",AL323*$E323)</f>
        <v/>
      </c>
      <c r="AX323" s="195" t="str">
        <f aca="false">IF($A324="","",AM323*$E323)</f>
        <v/>
      </c>
      <c r="AY323" s="195" t="str">
        <f aca="false">IF($A324="","",AN323*$E323)</f>
        <v/>
      </c>
      <c r="BA323" s="195" t="str">
        <f aca="false">IF($A324="","",F323*Summary!$Q$11)</f>
        <v/>
      </c>
    </row>
    <row r="324" customFormat="false" ht="12" hidden="false" customHeight="true" outlineLevel="0" collapsed="false">
      <c r="A324" s="196" t="str">
        <f aca="false">IF(A323&lt;mthend,EDATE(A323,1),"")</f>
        <v/>
      </c>
      <c r="B324" s="197" t="str">
        <f aca="false">IF(A324&lt;mthend,B323,"")</f>
        <v/>
      </c>
      <c r="C324" s="215"/>
      <c r="D324" s="197" t="str">
        <f aca="false">IF(A325&lt;&gt;"",B324+C324,"")</f>
        <v/>
      </c>
      <c r="E324" s="199" t="str">
        <f aca="false">IF(A325="","",IF(AND(AT324=1,$H$3=1),D324*AO324,IF($H$3=2,D324,"N/A")))</f>
        <v/>
      </c>
      <c r="F324" s="199" t="str">
        <f aca="false">IF(A325="","",E324*AS324)</f>
        <v/>
      </c>
      <c r="G324" s="200" t="str">
        <f aca="false">IF($A325="","",VLOOKUP($A324,Table,MATCH(G$4,Curves,0)))</f>
        <v/>
      </c>
      <c r="H324" s="201" t="str">
        <f aca="false">IF(A325="","",G324)</f>
        <v/>
      </c>
      <c r="I324" s="202"/>
      <c r="J324" s="200" t="str">
        <f aca="false">IF($A325="","",VLOOKUP($A324,Table,MATCH(J$4,Curves,0)))</f>
        <v/>
      </c>
      <c r="K324" s="201" t="str">
        <f aca="false">IF(A325="","",J324)</f>
        <v/>
      </c>
      <c r="L324" s="200" t="str">
        <f aca="false">IF($A325="","",VLOOKUP($A324,Table,MATCH(L$4,Curves,0)))</f>
        <v/>
      </c>
      <c r="M324" s="201" t="str">
        <f aca="false">IF(A325="","",L324)</f>
        <v/>
      </c>
      <c r="N324" s="203"/>
      <c r="O324" s="200" t="str">
        <f aca="false">IF(A325="","",L324+J324+G324)</f>
        <v/>
      </c>
      <c r="P324" s="200" t="str">
        <f aca="false">IF(A325="","",M324+K324+H324)</f>
        <v/>
      </c>
      <c r="Q324" s="204"/>
      <c r="R324" s="200" t="str">
        <f aca="false">IF($A325="","",VLOOKUP($A324,Table,MATCH(R$4,Curves,0)))</f>
        <v/>
      </c>
      <c r="S324" s="201" t="str">
        <f aca="false">IF(A325="","",R324)</f>
        <v/>
      </c>
      <c r="T324" s="185" t="n">
        <v>0</v>
      </c>
      <c r="U324" s="201" t="str">
        <f aca="false">IF(A325="","",T324)</f>
        <v/>
      </c>
      <c r="V324" s="205" t="str">
        <f aca="false">IF($A325="","",IF(AND(MONTH(A324)&gt;3,MONTH(A324)&lt;11),(T324+R324+G324)*Summary!$T$11/(1-Summary!$T$11),(T324+R324+G324)*Summary!$U$11/(1-Summary!$U$11)))</f>
        <v/>
      </c>
      <c r="W324" s="202" t="str">
        <f aca="false">IF($A325="","",(T324+R324+G324+V324))</f>
        <v/>
      </c>
      <c r="X324" s="202" t="str">
        <f aca="false">IF($A325="","",(U324+S324+H324+V324))</f>
        <v/>
      </c>
      <c r="Y324" s="202"/>
      <c r="Z324" s="185" t="str">
        <f aca="false">IF($A325="","",VLOOKUP($A324,Table,MATCH(Z$4,Curves,0)))</f>
        <v/>
      </c>
      <c r="AA324" s="185" t="str">
        <f aca="false">IF($A325="","",VLOOKUP($A324,Table,MATCH(AA$4,Curves,0)))</f>
        <v/>
      </c>
      <c r="AB324" s="185" t="e">
        <f aca="false">SQRT((AA324^2*(A324-$D$3)+Z324^2*(DAY(EOMONTH(A324,0))/2))/AK324)</f>
        <v>#VALUE!</v>
      </c>
      <c r="AC324" s="185" t="str">
        <f aca="false">IF($A325="","",VLOOKUP($A324,Table,MATCH(AC$4,Curves,0)))</f>
        <v/>
      </c>
      <c r="AD324" s="185" t="str">
        <f aca="false">IF($A325="","",VLOOKUP($A324,Table,MATCH(AD$4,Curves,0)))</f>
        <v/>
      </c>
      <c r="AE324" s="185" t="e">
        <f aca="false">SQRT((AD324^2*(A324-$D$3)+AC324^2*(DAY(EOMONTH(A324,0))/2))/AK324)</f>
        <v>#VALUE!</v>
      </c>
      <c r="AF324" s="206" t="e">
        <f aca="false">((Summary!$N$11*(AA324*AD324)*(A324-$D$3))+(Summary!$M$11*Z324*AC324*(AJ324-EOMONTH(EDATE(A324,-1),0))))/(AK324*AB324*AE324)</f>
        <v>#VALUE!</v>
      </c>
      <c r="AG324" s="207" t="str">
        <f aca="false">IF($A325="","",Summary!$Q$11)</f>
        <v/>
      </c>
      <c r="AH324" s="207" t="str">
        <f aca="false">IF($A325="","",IF(Summary!$R$11="Y",(VLOOKUP($A324,Summary!$AD$6:$AF$9,3)+'Escalating commodity'!G337),'Escalating commodity'!G337))</f>
        <v/>
      </c>
      <c r="AI324" s="207" t="str">
        <f aca="false">IF($A325="","",AH324)</f>
        <v/>
      </c>
      <c r="AJ324" s="208" t="e">
        <f aca="false">A324+DAY(EOMONTH(A324,0))/2-1</f>
        <v>#VALUE!</v>
      </c>
      <c r="AK324" s="209" t="str">
        <f aca="false">IF($A325="","",$A324-$E$1)</f>
        <v/>
      </c>
      <c r="AL324" s="182" t="str">
        <f aca="false">IF($A325="","",SPRDOPT(P324,X324,AI324,0,AB324,AE324,AF324,AK324,$AJ$2,0))</f>
        <v/>
      </c>
      <c r="AM324" s="210" t="str">
        <f aca="false">IF($A325="","",MAX(0,O324-W324-AI324))</f>
        <v/>
      </c>
      <c r="AN324" s="211" t="str">
        <f aca="false">IF($A325="","",AL324-AM324)</f>
        <v/>
      </c>
      <c r="AO324" s="137" t="str">
        <f aca="false">IF(A325="","",A325-A324)</f>
        <v/>
      </c>
      <c r="AP324" s="212" t="str">
        <f aca="false">IF(A325="","",CHOOSE(F$3,A325+24,A324))</f>
        <v/>
      </c>
      <c r="AQ324" s="209" t="str">
        <f aca="false">IF(A325="","",AP324-$E$1)</f>
        <v/>
      </c>
      <c r="AR324" s="185" t="n">
        <f aca="false">'ANR OK vs ML7'!AR324</f>
        <v>0.1</v>
      </c>
      <c r="AS324" s="213" t="str">
        <f aca="false">IF(A325="","",1/(1+CHOOSE(F$3,(AR325+($I$3/10000))/2,(AR324+($I$3/10000))/2))^(2*AQ324/365.25))</f>
        <v/>
      </c>
      <c r="AT324" s="137" t="str">
        <f aca="false">IF(A325="","",IF(AND(mthbeg&lt;=A324,mthend&gt;=A324),1,0))</f>
        <v/>
      </c>
      <c r="AU324" s="137" t="str">
        <f aca="false">IF(A325="","",AO324*AT324)</f>
        <v/>
      </c>
      <c r="AW324" s="195" t="str">
        <f aca="false">IF($A325="","",AL324*$E324)</f>
        <v/>
      </c>
      <c r="AX324" s="195" t="str">
        <f aca="false">IF($A325="","",AM324*$E324)</f>
        <v/>
      </c>
      <c r="AY324" s="195" t="str">
        <f aca="false">IF($A325="","",AN324*$E324)</f>
        <v/>
      </c>
      <c r="BA324" s="195" t="str">
        <f aca="false">IF($A325="","",F324*Summary!$Q$11)</f>
        <v/>
      </c>
    </row>
    <row r="325" customFormat="false" ht="12" hidden="false" customHeight="true" outlineLevel="0" collapsed="false">
      <c r="A325" s="196" t="str">
        <f aca="false">IF(A324&lt;mthend,EDATE(A324,1),"")</f>
        <v/>
      </c>
      <c r="B325" s="197" t="str">
        <f aca="false">IF(A325&lt;mthend,B324,"")</f>
        <v/>
      </c>
      <c r="C325" s="215"/>
      <c r="D325" s="197" t="str">
        <f aca="false">IF(A326&lt;&gt;"",B325+C325,"")</f>
        <v/>
      </c>
      <c r="E325" s="199" t="str">
        <f aca="false">IF(A326="","",IF(AND(AT325=1,$H$3=1),D325*AO325,IF($H$3=2,D325,"N/A")))</f>
        <v/>
      </c>
      <c r="F325" s="199" t="str">
        <f aca="false">IF(A326="","",E325*AS325)</f>
        <v/>
      </c>
      <c r="G325" s="200" t="str">
        <f aca="false">IF($A326="","",VLOOKUP($A325,Table,MATCH(G$4,Curves,0)))</f>
        <v/>
      </c>
      <c r="H325" s="201" t="str">
        <f aca="false">IF(A326="","",G325)</f>
        <v/>
      </c>
      <c r="I325" s="202"/>
      <c r="J325" s="200" t="str">
        <f aca="false">IF($A326="","",VLOOKUP($A325,Table,MATCH(J$4,Curves,0)))</f>
        <v/>
      </c>
      <c r="K325" s="201" t="str">
        <f aca="false">IF(A326="","",J325)</f>
        <v/>
      </c>
      <c r="L325" s="200" t="str">
        <f aca="false">IF($A326="","",VLOOKUP($A325,Table,MATCH(L$4,Curves,0)))</f>
        <v/>
      </c>
      <c r="M325" s="201" t="str">
        <f aca="false">IF(A326="","",L325)</f>
        <v/>
      </c>
      <c r="N325" s="203"/>
      <c r="O325" s="200" t="str">
        <f aca="false">IF(A326="","",L325+J325+G325)</f>
        <v/>
      </c>
      <c r="P325" s="200" t="str">
        <f aca="false">IF(A326="","",M325+K325+H325)</f>
        <v/>
      </c>
      <c r="Q325" s="204"/>
      <c r="R325" s="200" t="str">
        <f aca="false">IF($A326="","",VLOOKUP($A325,Table,MATCH(R$4,Curves,0)))</f>
        <v/>
      </c>
      <c r="S325" s="201" t="str">
        <f aca="false">IF(A326="","",R325)</f>
        <v/>
      </c>
      <c r="T325" s="185" t="n">
        <v>0</v>
      </c>
      <c r="U325" s="201" t="str">
        <f aca="false">IF(A326="","",T325)</f>
        <v/>
      </c>
      <c r="V325" s="205" t="str">
        <f aca="false">IF($A326="","",IF(AND(MONTH(A325)&gt;3,MONTH(A325)&lt;11),(T325+R325+G325)*Summary!$T$11/(1-Summary!$T$11),(T325+R325+G325)*Summary!$U$11/(1-Summary!$U$11)))</f>
        <v/>
      </c>
      <c r="W325" s="202" t="str">
        <f aca="false">IF($A326="","",(T325+R325+G325+V325))</f>
        <v/>
      </c>
      <c r="X325" s="202" t="str">
        <f aca="false">IF($A326="","",(U325+S325+H325+V325))</f>
        <v/>
      </c>
      <c r="Y325" s="202"/>
      <c r="Z325" s="185" t="str">
        <f aca="false">IF($A326="","",VLOOKUP($A325,Table,MATCH(Z$4,Curves,0)))</f>
        <v/>
      </c>
      <c r="AA325" s="185" t="str">
        <f aca="false">IF($A326="","",VLOOKUP($A325,Table,MATCH(AA$4,Curves,0)))</f>
        <v/>
      </c>
      <c r="AB325" s="185" t="e">
        <f aca="false">SQRT((AA325^2*(A325-$D$3)+Z325^2*(DAY(EOMONTH(A325,0))/2))/AK325)</f>
        <v>#VALUE!</v>
      </c>
      <c r="AC325" s="185" t="str">
        <f aca="false">IF($A326="","",VLOOKUP($A325,Table,MATCH(AC$4,Curves,0)))</f>
        <v/>
      </c>
      <c r="AD325" s="185" t="str">
        <f aca="false">IF($A326="","",VLOOKUP($A325,Table,MATCH(AD$4,Curves,0)))</f>
        <v/>
      </c>
      <c r="AE325" s="185" t="e">
        <f aca="false">SQRT((AD325^2*(A325-$D$3)+AC325^2*(DAY(EOMONTH(A325,0))/2))/AK325)</f>
        <v>#VALUE!</v>
      </c>
      <c r="AF325" s="206" t="e">
        <f aca="false">((Summary!$N$11*(AA325*AD325)*(A325-$D$3))+(Summary!$M$11*Z325*AC325*(AJ325-EOMONTH(EDATE(A325,-1),0))))/(AK325*AB325*AE325)</f>
        <v>#VALUE!</v>
      </c>
      <c r="AG325" s="207" t="str">
        <f aca="false">IF($A326="","",Summary!$Q$11)</f>
        <v/>
      </c>
      <c r="AH325" s="207" t="str">
        <f aca="false">IF($A326="","",IF(Summary!$R$11="Y",(VLOOKUP($A325,Summary!$AD$6:$AF$9,3)+'Escalating commodity'!G338),'Escalating commodity'!G338))</f>
        <v/>
      </c>
      <c r="AI325" s="207" t="str">
        <f aca="false">IF($A326="","",AH325)</f>
        <v/>
      </c>
      <c r="AJ325" s="208" t="e">
        <f aca="false">A325+DAY(EOMONTH(A325,0))/2-1</f>
        <v>#VALUE!</v>
      </c>
      <c r="AK325" s="209" t="str">
        <f aca="false">IF($A326="","",$A325-$E$1)</f>
        <v/>
      </c>
      <c r="AL325" s="182" t="str">
        <f aca="false">IF($A326="","",SPRDOPT(P325,X325,AI325,0,AB325,AE325,AF325,AK325,$AJ$2,0))</f>
        <v/>
      </c>
      <c r="AM325" s="210" t="str">
        <f aca="false">IF($A326="","",MAX(0,O325-W325-AI325))</f>
        <v/>
      </c>
      <c r="AN325" s="211" t="str">
        <f aca="false">IF($A326="","",AL325-AM325)</f>
        <v/>
      </c>
      <c r="AO325" s="137" t="str">
        <f aca="false">IF(A326="","",A326-A325)</f>
        <v/>
      </c>
      <c r="AP325" s="212" t="str">
        <f aca="false">IF(A326="","",CHOOSE(F$3,A326+24,A325))</f>
        <v/>
      </c>
      <c r="AQ325" s="209" t="str">
        <f aca="false">IF(A326="","",AP325-$E$1)</f>
        <v/>
      </c>
      <c r="AR325" s="185" t="n">
        <f aca="false">'ANR OK vs ML7'!AR325</f>
        <v>0.1</v>
      </c>
      <c r="AS325" s="213" t="str">
        <f aca="false">IF(A326="","",1/(1+CHOOSE(F$3,(AR326+($I$3/10000))/2,(AR325+($I$3/10000))/2))^(2*AQ325/365.25))</f>
        <v/>
      </c>
      <c r="AT325" s="137" t="str">
        <f aca="false">IF(A326="","",IF(AND(mthbeg&lt;=A325,mthend&gt;=A325),1,0))</f>
        <v/>
      </c>
      <c r="AU325" s="137" t="str">
        <f aca="false">IF(A326="","",AO325*AT325)</f>
        <v/>
      </c>
      <c r="AW325" s="195" t="str">
        <f aca="false">IF($A326="","",AL325*$E325)</f>
        <v/>
      </c>
      <c r="AX325" s="195" t="str">
        <f aca="false">IF($A326="","",AM325*$E325)</f>
        <v/>
      </c>
      <c r="AY325" s="195" t="str">
        <f aca="false">IF($A326="","",AN325*$E325)</f>
        <v/>
      </c>
      <c r="BA325" s="195" t="str">
        <f aca="false">IF($A326="","",F325*Summary!$Q$11)</f>
        <v/>
      </c>
    </row>
    <row r="326" customFormat="false" ht="12" hidden="false" customHeight="true" outlineLevel="0" collapsed="false">
      <c r="A326" s="196" t="str">
        <f aca="false">IF(A325&lt;mthend,EDATE(A325,1),"")</f>
        <v/>
      </c>
      <c r="B326" s="197" t="str">
        <f aca="false">IF(A326&lt;mthend,B325,"")</f>
        <v/>
      </c>
      <c r="C326" s="215"/>
      <c r="D326" s="197" t="str">
        <f aca="false">IF(A327&lt;&gt;"",B326+C326,"")</f>
        <v/>
      </c>
      <c r="E326" s="199" t="str">
        <f aca="false">IF(A327="","",IF(AND(AT326=1,$H$3=1),D326*AO326,IF($H$3=2,D326,"N/A")))</f>
        <v/>
      </c>
      <c r="F326" s="199" t="str">
        <f aca="false">IF(A327="","",E326*AS326)</f>
        <v/>
      </c>
      <c r="G326" s="200" t="str">
        <f aca="false">IF($A327="","",VLOOKUP($A326,Table,MATCH(G$4,Curves,0)))</f>
        <v/>
      </c>
      <c r="H326" s="201" t="str">
        <f aca="false">IF(A327="","",G326)</f>
        <v/>
      </c>
      <c r="I326" s="202"/>
      <c r="J326" s="200" t="str">
        <f aca="false">IF($A327="","",VLOOKUP($A326,Table,MATCH(J$4,Curves,0)))</f>
        <v/>
      </c>
      <c r="K326" s="201" t="str">
        <f aca="false">IF(A327="","",J326)</f>
        <v/>
      </c>
      <c r="L326" s="200" t="str">
        <f aca="false">IF($A327="","",VLOOKUP($A326,Table,MATCH(L$4,Curves,0)))</f>
        <v/>
      </c>
      <c r="M326" s="201" t="str">
        <f aca="false">IF(A327="","",L326)</f>
        <v/>
      </c>
      <c r="N326" s="203"/>
      <c r="O326" s="200" t="str">
        <f aca="false">IF(A327="","",L326+J326+G326)</f>
        <v/>
      </c>
      <c r="P326" s="200" t="str">
        <f aca="false">IF(A327="","",M326+K326+H326)</f>
        <v/>
      </c>
      <c r="Q326" s="204"/>
      <c r="R326" s="200" t="str">
        <f aca="false">IF($A327="","",VLOOKUP($A326,Table,MATCH(R$4,Curves,0)))</f>
        <v/>
      </c>
      <c r="S326" s="201" t="str">
        <f aca="false">IF(A327="","",R326)</f>
        <v/>
      </c>
      <c r="T326" s="185" t="n">
        <v>0</v>
      </c>
      <c r="U326" s="201" t="str">
        <f aca="false">IF(A327="","",T326)</f>
        <v/>
      </c>
      <c r="V326" s="205" t="str">
        <f aca="false">IF($A327="","",IF(AND(MONTH(A326)&gt;3,MONTH(A326)&lt;11),(T326+R326+G326)*Summary!$T$11/(1-Summary!$T$11),(T326+R326+G326)*Summary!$U$11/(1-Summary!$U$11)))</f>
        <v/>
      </c>
      <c r="W326" s="202" t="str">
        <f aca="false">IF($A327="","",(T326+R326+G326+V326))</f>
        <v/>
      </c>
      <c r="X326" s="202" t="str">
        <f aca="false">IF($A327="","",(U326+S326+H326+V326))</f>
        <v/>
      </c>
      <c r="Y326" s="202"/>
      <c r="Z326" s="185" t="str">
        <f aca="false">IF($A327="","",VLOOKUP($A326,Table,MATCH(Z$4,Curves,0)))</f>
        <v/>
      </c>
      <c r="AA326" s="185" t="str">
        <f aca="false">IF($A327="","",VLOOKUP($A326,Table,MATCH(AA$4,Curves,0)))</f>
        <v/>
      </c>
      <c r="AB326" s="185" t="e">
        <f aca="false">SQRT((AA326^2*(A326-$D$3)+Z326^2*(DAY(EOMONTH(A326,0))/2))/AK326)</f>
        <v>#VALUE!</v>
      </c>
      <c r="AC326" s="185" t="str">
        <f aca="false">IF($A327="","",VLOOKUP($A326,Table,MATCH(AC$4,Curves,0)))</f>
        <v/>
      </c>
      <c r="AD326" s="185" t="str">
        <f aca="false">IF($A327="","",VLOOKUP($A326,Table,MATCH(AD$4,Curves,0)))</f>
        <v/>
      </c>
      <c r="AE326" s="185" t="e">
        <f aca="false">SQRT((AD326^2*(A326-$D$3)+AC326^2*(DAY(EOMONTH(A326,0))/2))/AK326)</f>
        <v>#VALUE!</v>
      </c>
      <c r="AF326" s="206" t="e">
        <f aca="false">((Summary!$N$11*(AA326*AD326)*(A326-$D$3))+(Summary!$M$11*Z326*AC326*(AJ326-EOMONTH(EDATE(A326,-1),0))))/(AK326*AB326*AE326)</f>
        <v>#VALUE!</v>
      </c>
      <c r="AG326" s="207" t="str">
        <f aca="false">IF($A327="","",Summary!$Q$11)</f>
        <v/>
      </c>
      <c r="AH326" s="207" t="str">
        <f aca="false">IF($A327="","",IF(Summary!$R$11="Y",(VLOOKUP($A326,Summary!$AD$6:$AF$9,3)+'Escalating commodity'!G339),'Escalating commodity'!G339))</f>
        <v/>
      </c>
      <c r="AI326" s="207" t="str">
        <f aca="false">IF($A327="","",AH326)</f>
        <v/>
      </c>
      <c r="AJ326" s="208" t="e">
        <f aca="false">A326+DAY(EOMONTH(A326,0))/2-1</f>
        <v>#VALUE!</v>
      </c>
      <c r="AK326" s="209" t="str">
        <f aca="false">IF($A327="","",$A326-$E$1)</f>
        <v/>
      </c>
      <c r="AL326" s="182" t="str">
        <f aca="false">IF($A327="","",SPRDOPT(P326,X326,AI326,0,AB326,AE326,AF326,AK326,$AJ$2,0))</f>
        <v/>
      </c>
      <c r="AM326" s="210" t="str">
        <f aca="false">IF($A327="","",MAX(0,O326-W326-AI326))</f>
        <v/>
      </c>
      <c r="AN326" s="211" t="str">
        <f aca="false">IF($A327="","",AL326-AM326)</f>
        <v/>
      </c>
      <c r="AO326" s="137" t="str">
        <f aca="false">IF(A327="","",A327-A326)</f>
        <v/>
      </c>
      <c r="AP326" s="212" t="str">
        <f aca="false">IF(A327="","",CHOOSE(F$3,A327+24,A326))</f>
        <v/>
      </c>
      <c r="AQ326" s="209" t="str">
        <f aca="false">IF(A327="","",AP326-$E$1)</f>
        <v/>
      </c>
      <c r="AR326" s="185" t="n">
        <f aca="false">'ANR OK vs ML7'!AR326</f>
        <v>0.1</v>
      </c>
      <c r="AS326" s="213" t="str">
        <f aca="false">IF(A327="","",1/(1+CHOOSE(F$3,(AR327+($I$3/10000))/2,(AR326+($I$3/10000))/2))^(2*AQ326/365.25))</f>
        <v/>
      </c>
      <c r="AT326" s="137" t="str">
        <f aca="false">IF(A327="","",IF(AND(mthbeg&lt;=A326,mthend&gt;=A326),1,0))</f>
        <v/>
      </c>
      <c r="AU326" s="137" t="str">
        <f aca="false">IF(A327="","",AO326*AT326)</f>
        <v/>
      </c>
      <c r="AW326" s="195" t="str">
        <f aca="false">IF($A327="","",AL326*$E326)</f>
        <v/>
      </c>
      <c r="AX326" s="195" t="str">
        <f aca="false">IF($A327="","",AM326*$E326)</f>
        <v/>
      </c>
      <c r="AY326" s="195" t="str">
        <f aca="false">IF($A327="","",AN326*$E326)</f>
        <v/>
      </c>
      <c r="BA326" s="195" t="str">
        <f aca="false">IF($A327="","",F326*Summary!$Q$11)</f>
        <v/>
      </c>
    </row>
    <row r="327" customFormat="false" ht="12" hidden="false" customHeight="true" outlineLevel="0" collapsed="false">
      <c r="A327" s="196" t="str">
        <f aca="false">IF(A326&lt;mthend,EDATE(A326,1),"")</f>
        <v/>
      </c>
      <c r="B327" s="197" t="str">
        <f aca="false">IF(A327&lt;mthend,B326,"")</f>
        <v/>
      </c>
      <c r="C327" s="215"/>
      <c r="D327" s="197" t="str">
        <f aca="false">IF(A328&lt;&gt;"",B327+C327,"")</f>
        <v/>
      </c>
      <c r="E327" s="199" t="str">
        <f aca="false">IF(A328="","",IF(AND(AT327=1,$H$3=1),D327*AO327,IF($H$3=2,D327,"N/A")))</f>
        <v/>
      </c>
      <c r="F327" s="199" t="str">
        <f aca="false">IF(A328="","",E327*AS327)</f>
        <v/>
      </c>
      <c r="G327" s="200" t="str">
        <f aca="false">IF($A328="","",VLOOKUP($A327,Table,MATCH(G$4,Curves,0)))</f>
        <v/>
      </c>
      <c r="H327" s="201" t="str">
        <f aca="false">IF(A328="","",G327)</f>
        <v/>
      </c>
      <c r="I327" s="202"/>
      <c r="J327" s="200" t="str">
        <f aca="false">IF($A328="","",VLOOKUP($A327,Table,MATCH(J$4,Curves,0)))</f>
        <v/>
      </c>
      <c r="K327" s="201" t="str">
        <f aca="false">IF(A328="","",J327)</f>
        <v/>
      </c>
      <c r="L327" s="200" t="str">
        <f aca="false">IF($A328="","",VLOOKUP($A327,Table,MATCH(L$4,Curves,0)))</f>
        <v/>
      </c>
      <c r="M327" s="201" t="str">
        <f aca="false">IF(A328="","",L327)</f>
        <v/>
      </c>
      <c r="N327" s="203"/>
      <c r="O327" s="200" t="str">
        <f aca="false">IF(A328="","",L327+J327+G327)</f>
        <v/>
      </c>
      <c r="P327" s="200" t="str">
        <f aca="false">IF(A328="","",M327+K327+H327)</f>
        <v/>
      </c>
      <c r="Q327" s="204"/>
      <c r="R327" s="200" t="str">
        <f aca="false">IF($A328="","",VLOOKUP($A327,Table,MATCH(R$4,Curves,0)))</f>
        <v/>
      </c>
      <c r="S327" s="201" t="str">
        <f aca="false">IF(A328="","",R327)</f>
        <v/>
      </c>
      <c r="T327" s="185" t="n">
        <v>0</v>
      </c>
      <c r="U327" s="201" t="str">
        <f aca="false">IF(A328="","",T327)</f>
        <v/>
      </c>
      <c r="V327" s="205" t="str">
        <f aca="false">IF($A328="","",IF(AND(MONTH(A327)&gt;3,MONTH(A327)&lt;11),(T327+R327+G327)*Summary!$T$11/(1-Summary!$T$11),(T327+R327+G327)*Summary!$U$11/(1-Summary!$U$11)))</f>
        <v/>
      </c>
      <c r="W327" s="202" t="str">
        <f aca="false">IF($A328="","",(T327+R327+G327+V327))</f>
        <v/>
      </c>
      <c r="X327" s="202" t="str">
        <f aca="false">IF($A328="","",(U327+S327+H327+V327))</f>
        <v/>
      </c>
      <c r="Y327" s="202"/>
      <c r="Z327" s="185" t="str">
        <f aca="false">IF($A328="","",VLOOKUP($A327,Table,MATCH(Z$4,Curves,0)))</f>
        <v/>
      </c>
      <c r="AA327" s="185" t="str">
        <f aca="false">IF($A328="","",VLOOKUP($A327,Table,MATCH(AA$4,Curves,0)))</f>
        <v/>
      </c>
      <c r="AB327" s="185" t="e">
        <f aca="false">SQRT((AA327^2*(A327-$D$3)+Z327^2*(DAY(EOMONTH(A327,0))/2))/AK327)</f>
        <v>#VALUE!</v>
      </c>
      <c r="AC327" s="185" t="str">
        <f aca="false">IF($A328="","",VLOOKUP($A327,Table,MATCH(AC$4,Curves,0)))</f>
        <v/>
      </c>
      <c r="AD327" s="185" t="str">
        <f aca="false">IF($A328="","",VLOOKUP($A327,Table,MATCH(AD$4,Curves,0)))</f>
        <v/>
      </c>
      <c r="AE327" s="185" t="e">
        <f aca="false">SQRT((AD327^2*(A327-$D$3)+AC327^2*(DAY(EOMONTH(A327,0))/2))/AK327)</f>
        <v>#VALUE!</v>
      </c>
      <c r="AF327" s="206" t="e">
        <f aca="false">((Summary!$N$11*(AA327*AD327)*(A327-$D$3))+(Summary!$M$11*Z327*AC327*(AJ327-EOMONTH(EDATE(A327,-1),0))))/(AK327*AB327*AE327)</f>
        <v>#VALUE!</v>
      </c>
      <c r="AG327" s="207" t="str">
        <f aca="false">IF($A328="","",Summary!$Q$11)</f>
        <v/>
      </c>
      <c r="AH327" s="207" t="str">
        <f aca="false">IF($A328="","",IF(Summary!$R$11="Y",(VLOOKUP($A327,Summary!$AD$6:$AF$9,3)+'Escalating commodity'!G340),'Escalating commodity'!G340))</f>
        <v/>
      </c>
      <c r="AI327" s="207" t="str">
        <f aca="false">IF($A328="","",AH327)</f>
        <v/>
      </c>
      <c r="AJ327" s="208" t="e">
        <f aca="false">A327+DAY(EOMONTH(A327,0))/2-1</f>
        <v>#VALUE!</v>
      </c>
      <c r="AK327" s="209" t="str">
        <f aca="false">IF($A328="","",$A327-$E$1)</f>
        <v/>
      </c>
      <c r="AL327" s="182" t="str">
        <f aca="false">IF($A328="","",SPRDOPT(P327,X327,AI327,0,AB327,AE327,AF327,AK327,$AJ$2,0))</f>
        <v/>
      </c>
      <c r="AM327" s="210" t="str">
        <f aca="false">IF($A328="","",MAX(0,O327-W327-AI327))</f>
        <v/>
      </c>
      <c r="AN327" s="211" t="str">
        <f aca="false">IF($A328="","",AL327-AM327)</f>
        <v/>
      </c>
      <c r="AO327" s="137" t="str">
        <f aca="false">IF(A328="","",A328-A327)</f>
        <v/>
      </c>
      <c r="AP327" s="212" t="str">
        <f aca="false">IF(A328="","",CHOOSE(F$3,A328+24,A327))</f>
        <v/>
      </c>
      <c r="AQ327" s="209" t="str">
        <f aca="false">IF(A328="","",AP327-$E$1)</f>
        <v/>
      </c>
      <c r="AR327" s="185" t="n">
        <f aca="false">'ANR OK vs ML7'!AR327</f>
        <v>0.1</v>
      </c>
      <c r="AS327" s="213" t="str">
        <f aca="false">IF(A328="","",1/(1+CHOOSE(F$3,(AR328+($I$3/10000))/2,(AR327+($I$3/10000))/2))^(2*AQ327/365.25))</f>
        <v/>
      </c>
      <c r="AT327" s="137" t="str">
        <f aca="false">IF(A328="","",IF(AND(mthbeg&lt;=A327,mthend&gt;=A327),1,0))</f>
        <v/>
      </c>
      <c r="AU327" s="137" t="str">
        <f aca="false">IF(A328="","",AO327*AT327)</f>
        <v/>
      </c>
      <c r="AW327" s="195" t="str">
        <f aca="false">IF($A328="","",AL327*$E327)</f>
        <v/>
      </c>
      <c r="AX327" s="195" t="str">
        <f aca="false">IF($A328="","",AM327*$E327)</f>
        <v/>
      </c>
      <c r="AY327" s="195" t="str">
        <f aca="false">IF($A328="","",AN327*$E327)</f>
        <v/>
      </c>
      <c r="BA327" s="195" t="str">
        <f aca="false">IF($A328="","",F327*Summary!$Q$11)</f>
        <v/>
      </c>
    </row>
    <row r="328" customFormat="false" ht="12" hidden="false" customHeight="true" outlineLevel="0" collapsed="false">
      <c r="A328" s="196" t="str">
        <f aca="false">IF(A327&lt;mthend,EDATE(A327,1),"")</f>
        <v/>
      </c>
      <c r="B328" s="197" t="str">
        <f aca="false">IF(A328&lt;mthend,B327,"")</f>
        <v/>
      </c>
      <c r="C328" s="215"/>
      <c r="D328" s="197" t="str">
        <f aca="false">IF(A329&lt;&gt;"",B328+C328,"")</f>
        <v/>
      </c>
      <c r="E328" s="199" t="str">
        <f aca="false">IF(A329="","",IF(AND(AT328=1,$H$3=1),D328*AO328,IF($H$3=2,D328,"N/A")))</f>
        <v/>
      </c>
      <c r="F328" s="199" t="str">
        <f aca="false">IF(A329="","",E328*AS328)</f>
        <v/>
      </c>
      <c r="G328" s="200" t="str">
        <f aca="false">IF($A329="","",VLOOKUP($A328,Table,MATCH(G$4,Curves,0)))</f>
        <v/>
      </c>
      <c r="H328" s="201" t="str">
        <f aca="false">IF(A329="","",G328)</f>
        <v/>
      </c>
      <c r="I328" s="202"/>
      <c r="J328" s="200" t="str">
        <f aca="false">IF($A329="","",VLOOKUP($A328,Table,MATCH(J$4,Curves,0)))</f>
        <v/>
      </c>
      <c r="K328" s="201" t="str">
        <f aca="false">IF(A329="","",J328)</f>
        <v/>
      </c>
      <c r="L328" s="200" t="str">
        <f aca="false">IF($A329="","",VLOOKUP($A328,Table,MATCH(L$4,Curves,0)))</f>
        <v/>
      </c>
      <c r="M328" s="201" t="str">
        <f aca="false">IF(A329="","",L328)</f>
        <v/>
      </c>
      <c r="N328" s="203"/>
      <c r="O328" s="200" t="str">
        <f aca="false">IF(A329="","",L328+J328+G328)</f>
        <v/>
      </c>
      <c r="P328" s="200" t="str">
        <f aca="false">IF(A329="","",M328+K328+H328)</f>
        <v/>
      </c>
      <c r="Q328" s="204"/>
      <c r="R328" s="200" t="str">
        <f aca="false">IF($A329="","",VLOOKUP($A328,Table,MATCH(R$4,Curves,0)))</f>
        <v/>
      </c>
      <c r="S328" s="201" t="str">
        <f aca="false">IF(A329="","",R328)</f>
        <v/>
      </c>
      <c r="T328" s="185" t="n">
        <v>0</v>
      </c>
      <c r="U328" s="201" t="str">
        <f aca="false">IF(A329="","",T328)</f>
        <v/>
      </c>
      <c r="V328" s="205" t="str">
        <f aca="false">IF($A329="","",IF(AND(MONTH(A328)&gt;3,MONTH(A328)&lt;11),(T328+R328+G328)*Summary!$T$11/(1-Summary!$T$11),(T328+R328+G328)*Summary!$U$11/(1-Summary!$U$11)))</f>
        <v/>
      </c>
      <c r="W328" s="202" t="str">
        <f aca="false">IF($A329="","",(T328+R328+G328+V328))</f>
        <v/>
      </c>
      <c r="X328" s="202" t="str">
        <f aca="false">IF($A329="","",(U328+S328+H328+V328))</f>
        <v/>
      </c>
      <c r="Y328" s="202"/>
      <c r="Z328" s="185" t="str">
        <f aca="false">IF($A329="","",VLOOKUP($A328,Table,MATCH(Z$4,Curves,0)))</f>
        <v/>
      </c>
      <c r="AA328" s="185" t="str">
        <f aca="false">IF($A329="","",VLOOKUP($A328,Table,MATCH(AA$4,Curves,0)))</f>
        <v/>
      </c>
      <c r="AB328" s="185" t="e">
        <f aca="false">SQRT((AA328^2*(A328-$D$3)+Z328^2*(DAY(EOMONTH(A328,0))/2))/AK328)</f>
        <v>#VALUE!</v>
      </c>
      <c r="AC328" s="185" t="str">
        <f aca="false">IF($A329="","",VLOOKUP($A328,Table,MATCH(AC$4,Curves,0)))</f>
        <v/>
      </c>
      <c r="AD328" s="185" t="str">
        <f aca="false">IF($A329="","",VLOOKUP($A328,Table,MATCH(AD$4,Curves,0)))</f>
        <v/>
      </c>
      <c r="AE328" s="185" t="e">
        <f aca="false">SQRT((AD328^2*(A328-$D$3)+AC328^2*(DAY(EOMONTH(A328,0))/2))/AK328)</f>
        <v>#VALUE!</v>
      </c>
      <c r="AF328" s="206" t="e">
        <f aca="false">((Summary!$N$11*(AA328*AD328)*(A328-$D$3))+(Summary!$M$11*Z328*AC328*(AJ328-EOMONTH(EDATE(A328,-1),0))))/(AK328*AB328*AE328)</f>
        <v>#VALUE!</v>
      </c>
      <c r="AG328" s="207" t="str">
        <f aca="false">IF($A329="","",Summary!$Q$11)</f>
        <v/>
      </c>
      <c r="AH328" s="207" t="str">
        <f aca="false">IF($A329="","",IF(Summary!$R$11="Y",(VLOOKUP($A328,Summary!$AD$6:$AF$9,3)+'Escalating commodity'!G341),'Escalating commodity'!G341))</f>
        <v/>
      </c>
      <c r="AI328" s="207" t="str">
        <f aca="false">IF($A329="","",AH328)</f>
        <v/>
      </c>
      <c r="AJ328" s="208" t="e">
        <f aca="false">A328+DAY(EOMONTH(A328,0))/2-1</f>
        <v>#VALUE!</v>
      </c>
      <c r="AK328" s="209" t="str">
        <f aca="false">IF($A329="","",$A328-$E$1)</f>
        <v/>
      </c>
      <c r="AL328" s="182" t="str">
        <f aca="false">IF($A329="","",SPRDOPT(P328,X328,AI328,0,AB328,AE328,AF328,AK328,$AJ$2,0))</f>
        <v/>
      </c>
      <c r="AM328" s="210" t="str">
        <f aca="false">IF($A329="","",MAX(0,O328-W328-AI328))</f>
        <v/>
      </c>
      <c r="AN328" s="211" t="str">
        <f aca="false">IF($A329="","",AL328-AM328)</f>
        <v/>
      </c>
      <c r="AO328" s="137" t="str">
        <f aca="false">IF(A329="","",A329-A328)</f>
        <v/>
      </c>
      <c r="AP328" s="212" t="str">
        <f aca="false">IF(A329="","",CHOOSE(F$3,A329+24,A328))</f>
        <v/>
      </c>
      <c r="AQ328" s="209" t="str">
        <f aca="false">IF(A329="","",AP328-$E$1)</f>
        <v/>
      </c>
      <c r="AR328" s="185" t="n">
        <f aca="false">'ANR OK vs ML7'!AR328</f>
        <v>0.1</v>
      </c>
      <c r="AS328" s="213" t="str">
        <f aca="false">IF(A329="","",1/(1+CHOOSE(F$3,(AR329+($I$3/10000))/2,(AR328+($I$3/10000))/2))^(2*AQ328/365.25))</f>
        <v/>
      </c>
      <c r="AT328" s="137" t="str">
        <f aca="false">IF(A329="","",IF(AND(mthbeg&lt;=A328,mthend&gt;=A328),1,0))</f>
        <v/>
      </c>
      <c r="AU328" s="137" t="str">
        <f aca="false">IF(A329="","",AO328*AT328)</f>
        <v/>
      </c>
      <c r="AW328" s="195" t="str">
        <f aca="false">IF($A329="","",AL328*$E328)</f>
        <v/>
      </c>
      <c r="AX328" s="195" t="str">
        <f aca="false">IF($A329="","",AM328*$E328)</f>
        <v/>
      </c>
      <c r="AY328" s="195" t="str">
        <f aca="false">IF($A329="","",AN328*$E328)</f>
        <v/>
      </c>
      <c r="BA328" s="195" t="str">
        <f aca="false">IF($A329="","",F328*Summary!$Q$11)</f>
        <v/>
      </c>
    </row>
    <row r="329" customFormat="false" ht="12" hidden="false" customHeight="true" outlineLevel="0" collapsed="false">
      <c r="A329" s="196" t="str">
        <f aca="false">IF(A328&lt;mthend,EDATE(A328,1),"")</f>
        <v/>
      </c>
      <c r="B329" s="197" t="str">
        <f aca="false">IF(A329&lt;mthend,B328,"")</f>
        <v/>
      </c>
      <c r="C329" s="215"/>
      <c r="D329" s="197" t="str">
        <f aca="false">IF(A330&lt;&gt;"",B329+C329,"")</f>
        <v/>
      </c>
      <c r="E329" s="199" t="str">
        <f aca="false">IF(A330="","",IF(AND(AT329=1,$H$3=1),D329*AO329,IF($H$3=2,D329,"N/A")))</f>
        <v/>
      </c>
      <c r="F329" s="199" t="str">
        <f aca="false">IF(A330="","",E329*AS329)</f>
        <v/>
      </c>
      <c r="G329" s="200" t="str">
        <f aca="false">IF($A330="","",VLOOKUP($A329,Table,MATCH(G$4,Curves,0)))</f>
        <v/>
      </c>
      <c r="H329" s="201" t="str">
        <f aca="false">IF(A330="","",G329)</f>
        <v/>
      </c>
      <c r="I329" s="202"/>
      <c r="J329" s="200" t="str">
        <f aca="false">IF($A330="","",VLOOKUP($A329,Table,MATCH(J$4,Curves,0)))</f>
        <v/>
      </c>
      <c r="K329" s="201" t="str">
        <f aca="false">IF(A330="","",J329)</f>
        <v/>
      </c>
      <c r="L329" s="200" t="str">
        <f aca="false">IF($A330="","",VLOOKUP($A329,Table,MATCH(L$4,Curves,0)))</f>
        <v/>
      </c>
      <c r="M329" s="201" t="str">
        <f aca="false">IF(A330="","",L329)</f>
        <v/>
      </c>
      <c r="N329" s="203"/>
      <c r="O329" s="200" t="str">
        <f aca="false">IF(A330="","",L329+J329+G329)</f>
        <v/>
      </c>
      <c r="P329" s="200" t="str">
        <f aca="false">IF(A330="","",M329+K329+H329)</f>
        <v/>
      </c>
      <c r="Q329" s="204"/>
      <c r="R329" s="200" t="str">
        <f aca="false">IF($A330="","",VLOOKUP($A329,Table,MATCH(R$4,Curves,0)))</f>
        <v/>
      </c>
      <c r="S329" s="201" t="str">
        <f aca="false">IF(A330="","",R329)</f>
        <v/>
      </c>
      <c r="T329" s="185" t="n">
        <v>0</v>
      </c>
      <c r="U329" s="201" t="str">
        <f aca="false">IF(A330="","",T329)</f>
        <v/>
      </c>
      <c r="V329" s="205" t="str">
        <f aca="false">IF($A330="","",IF(AND(MONTH(A329)&gt;3,MONTH(A329)&lt;11),(T329+R329+G329)*Summary!$T$11/(1-Summary!$T$11),(T329+R329+G329)*Summary!$U$11/(1-Summary!$U$11)))</f>
        <v/>
      </c>
      <c r="W329" s="202" t="str">
        <f aca="false">IF($A330="","",(T329+R329+G329+V329))</f>
        <v/>
      </c>
      <c r="X329" s="202" t="str">
        <f aca="false">IF($A330="","",(U329+S329+H329+V329))</f>
        <v/>
      </c>
      <c r="Y329" s="202"/>
      <c r="Z329" s="185" t="str">
        <f aca="false">IF($A330="","",VLOOKUP($A329,Table,MATCH(Z$4,Curves,0)))</f>
        <v/>
      </c>
      <c r="AA329" s="185" t="str">
        <f aca="false">IF($A330="","",VLOOKUP($A329,Table,MATCH(AA$4,Curves,0)))</f>
        <v/>
      </c>
      <c r="AB329" s="185" t="e">
        <f aca="false">SQRT((AA329^2*(A329-$D$3)+Z329^2*(DAY(EOMONTH(A329,0))/2))/AK329)</f>
        <v>#VALUE!</v>
      </c>
      <c r="AC329" s="185" t="str">
        <f aca="false">IF($A330="","",VLOOKUP($A329,Table,MATCH(AC$4,Curves,0)))</f>
        <v/>
      </c>
      <c r="AD329" s="185" t="str">
        <f aca="false">IF($A330="","",VLOOKUP($A329,Table,MATCH(AD$4,Curves,0)))</f>
        <v/>
      </c>
      <c r="AE329" s="185" t="e">
        <f aca="false">SQRT((AD329^2*(A329-$D$3)+AC329^2*(DAY(EOMONTH(A329,0))/2))/AK329)</f>
        <v>#VALUE!</v>
      </c>
      <c r="AF329" s="206" t="e">
        <f aca="false">((Summary!$N$11*(AA329*AD329)*(A329-$D$3))+(Summary!$M$11*Z329*AC329*(AJ329-EOMONTH(EDATE(A329,-1),0))))/(AK329*AB329*AE329)</f>
        <v>#VALUE!</v>
      </c>
      <c r="AG329" s="207" t="str">
        <f aca="false">IF($A330="","",Summary!$Q$11)</f>
        <v/>
      </c>
      <c r="AH329" s="207" t="str">
        <f aca="false">IF($A330="","",IF(Summary!$R$11="Y",(VLOOKUP($A329,Summary!$AD$6:$AF$9,3)+'Escalating commodity'!G342),'Escalating commodity'!G342))</f>
        <v/>
      </c>
      <c r="AI329" s="207" t="str">
        <f aca="false">IF($A330="","",AH329)</f>
        <v/>
      </c>
      <c r="AJ329" s="208" t="e">
        <f aca="false">A329+DAY(EOMONTH(A329,0))/2-1</f>
        <v>#VALUE!</v>
      </c>
      <c r="AK329" s="209" t="str">
        <f aca="false">IF($A330="","",$A329-$E$1)</f>
        <v/>
      </c>
      <c r="AL329" s="182" t="str">
        <f aca="false">IF($A330="","",SPRDOPT(P329,X329,AI329,0,AB329,AE329,AF329,AK329,$AJ$2,0))</f>
        <v/>
      </c>
      <c r="AM329" s="210" t="str">
        <f aca="false">IF($A330="","",MAX(0,O329-W329-AI329))</f>
        <v/>
      </c>
      <c r="AN329" s="211" t="str">
        <f aca="false">IF($A330="","",AL329-AM329)</f>
        <v/>
      </c>
      <c r="AO329" s="137" t="str">
        <f aca="false">IF(A330="","",A330-A329)</f>
        <v/>
      </c>
      <c r="AP329" s="212" t="str">
        <f aca="false">IF(A330="","",CHOOSE(F$3,A330+24,A329))</f>
        <v/>
      </c>
      <c r="AQ329" s="209" t="str">
        <f aca="false">IF(A330="","",AP329-$E$1)</f>
        <v/>
      </c>
      <c r="AR329" s="185" t="n">
        <f aca="false">'ANR OK vs ML7'!AR329</f>
        <v>0.1</v>
      </c>
      <c r="AS329" s="213" t="str">
        <f aca="false">IF(A330="","",1/(1+CHOOSE(F$3,(AR330+($I$3/10000))/2,(AR329+($I$3/10000))/2))^(2*AQ329/365.25))</f>
        <v/>
      </c>
      <c r="AT329" s="137" t="str">
        <f aca="false">IF(A330="","",IF(AND(mthbeg&lt;=A329,mthend&gt;=A329),1,0))</f>
        <v/>
      </c>
      <c r="AU329" s="137" t="str">
        <f aca="false">IF(A330="","",AO329*AT329)</f>
        <v/>
      </c>
      <c r="AW329" s="195" t="str">
        <f aca="false">IF($A330="","",AL329*$E329)</f>
        <v/>
      </c>
      <c r="AX329" s="195" t="str">
        <f aca="false">IF($A330="","",AM329*$E329)</f>
        <v/>
      </c>
      <c r="AY329" s="195" t="str">
        <f aca="false">IF($A330="","",AN329*$E329)</f>
        <v/>
      </c>
      <c r="BA329" s="195" t="str">
        <f aca="false">IF($A330="","",F329*Summary!$Q$11)</f>
        <v/>
      </c>
    </row>
    <row r="330" customFormat="false" ht="12" hidden="false" customHeight="true" outlineLevel="0" collapsed="false">
      <c r="A330" s="196" t="str">
        <f aca="false">IF(A329&lt;mthend,EDATE(A329,1),"")</f>
        <v/>
      </c>
      <c r="B330" s="197" t="str">
        <f aca="false">IF(A330&lt;mthend,B329,"")</f>
        <v/>
      </c>
      <c r="C330" s="215"/>
      <c r="D330" s="197" t="str">
        <f aca="false">IF(A331&lt;&gt;"",B330+C330,"")</f>
        <v/>
      </c>
      <c r="E330" s="199" t="str">
        <f aca="false">IF(A331="","",IF(AND(AT330=1,$H$3=1),D330*AO330,IF($H$3=2,D330,"N/A")))</f>
        <v/>
      </c>
      <c r="F330" s="199" t="str">
        <f aca="false">IF(A331="","",E330*AS330)</f>
        <v/>
      </c>
      <c r="G330" s="200" t="str">
        <f aca="false">IF($A331="","",VLOOKUP($A330,Table,MATCH(G$4,Curves,0)))</f>
        <v/>
      </c>
      <c r="H330" s="201" t="str">
        <f aca="false">IF(A331="","",G330)</f>
        <v/>
      </c>
      <c r="I330" s="202"/>
      <c r="J330" s="200" t="str">
        <f aca="false">IF($A331="","",VLOOKUP($A330,Table,MATCH(J$4,Curves,0)))</f>
        <v/>
      </c>
      <c r="K330" s="201" t="str">
        <f aca="false">IF(A331="","",J330)</f>
        <v/>
      </c>
      <c r="L330" s="200" t="str">
        <f aca="false">IF($A331="","",VLOOKUP($A330,Table,MATCH(L$4,Curves,0)))</f>
        <v/>
      </c>
      <c r="M330" s="201" t="str">
        <f aca="false">IF(A331="","",L330)</f>
        <v/>
      </c>
      <c r="N330" s="203"/>
      <c r="O330" s="200" t="str">
        <f aca="false">IF(A331="","",L330+J330+G330)</f>
        <v/>
      </c>
      <c r="P330" s="200" t="str">
        <f aca="false">IF(A331="","",M330+K330+H330)</f>
        <v/>
      </c>
      <c r="Q330" s="204"/>
      <c r="R330" s="200" t="str">
        <f aca="false">IF($A331="","",VLOOKUP($A330,Table,MATCH(R$4,Curves,0)))</f>
        <v/>
      </c>
      <c r="S330" s="201" t="str">
        <f aca="false">IF(A331="","",R330)</f>
        <v/>
      </c>
      <c r="T330" s="185" t="n">
        <v>0</v>
      </c>
      <c r="U330" s="201" t="str">
        <f aca="false">IF(A331="","",T330)</f>
        <v/>
      </c>
      <c r="V330" s="205" t="str">
        <f aca="false">IF($A331="","",IF(AND(MONTH(A330)&gt;3,MONTH(A330)&lt;11),(T330+R330+G330)*Summary!$T$11/(1-Summary!$T$11),(T330+R330+G330)*Summary!$U$11/(1-Summary!$U$11)))</f>
        <v/>
      </c>
      <c r="W330" s="202" t="str">
        <f aca="false">IF($A331="","",(T330+R330+G330+V330))</f>
        <v/>
      </c>
      <c r="X330" s="202" t="str">
        <f aca="false">IF($A331="","",(U330+S330+H330+V330))</f>
        <v/>
      </c>
      <c r="Y330" s="202"/>
      <c r="Z330" s="185" t="str">
        <f aca="false">IF($A331="","",VLOOKUP($A330,Table,MATCH(Z$4,Curves,0)))</f>
        <v/>
      </c>
      <c r="AA330" s="185" t="str">
        <f aca="false">IF($A331="","",VLOOKUP($A330,Table,MATCH(AA$4,Curves,0)))</f>
        <v/>
      </c>
      <c r="AB330" s="185" t="e">
        <f aca="false">SQRT((AA330^2*(A330-$D$3)+Z330^2*(DAY(EOMONTH(A330,0))/2))/AK330)</f>
        <v>#VALUE!</v>
      </c>
      <c r="AC330" s="185" t="str">
        <f aca="false">IF($A331="","",VLOOKUP($A330,Table,MATCH(AC$4,Curves,0)))</f>
        <v/>
      </c>
      <c r="AD330" s="185" t="str">
        <f aca="false">IF($A331="","",VLOOKUP($A330,Table,MATCH(AD$4,Curves,0)))</f>
        <v/>
      </c>
      <c r="AE330" s="185" t="e">
        <f aca="false">SQRT((AD330^2*(A330-$D$3)+AC330^2*(DAY(EOMONTH(A330,0))/2))/AK330)</f>
        <v>#VALUE!</v>
      </c>
      <c r="AF330" s="206" t="e">
        <f aca="false">((Summary!$N$11*(AA330*AD330)*(A330-$D$3))+(Summary!$M$11*Z330*AC330*(AJ330-EOMONTH(EDATE(A330,-1),0))))/(AK330*AB330*AE330)</f>
        <v>#VALUE!</v>
      </c>
      <c r="AG330" s="207" t="str">
        <f aca="false">IF($A331="","",Summary!$Q$11)</f>
        <v/>
      </c>
      <c r="AH330" s="207" t="str">
        <f aca="false">IF($A331="","",IF(Summary!$R$11="Y",(VLOOKUP($A330,Summary!$AD$6:$AF$9,3)+'Escalating commodity'!G343),'Escalating commodity'!G343))</f>
        <v/>
      </c>
      <c r="AI330" s="207" t="str">
        <f aca="false">IF($A331="","",AH330)</f>
        <v/>
      </c>
      <c r="AJ330" s="208" t="e">
        <f aca="false">A330+DAY(EOMONTH(A330,0))/2-1</f>
        <v>#VALUE!</v>
      </c>
      <c r="AK330" s="209" t="str">
        <f aca="false">IF($A331="","",$A330-$E$1)</f>
        <v/>
      </c>
      <c r="AL330" s="182" t="str">
        <f aca="false">IF($A331="","",SPRDOPT(P330,X330,AI330,0,AB330,AE330,AF330,AK330,$AJ$2,0))</f>
        <v/>
      </c>
      <c r="AM330" s="210" t="str">
        <f aca="false">IF($A331="","",MAX(0,O330-W330-AI330))</f>
        <v/>
      </c>
      <c r="AN330" s="211" t="str">
        <f aca="false">IF($A331="","",AL330-AM330)</f>
        <v/>
      </c>
      <c r="AO330" s="137" t="str">
        <f aca="false">IF(A331="","",A331-A330)</f>
        <v/>
      </c>
      <c r="AP330" s="212" t="str">
        <f aca="false">IF(A331="","",CHOOSE(F$3,A331+24,A330))</f>
        <v/>
      </c>
      <c r="AQ330" s="209" t="str">
        <f aca="false">IF(A331="","",AP330-$E$1)</f>
        <v/>
      </c>
      <c r="AR330" s="185" t="n">
        <f aca="false">'ANR OK vs ML7'!AR330</f>
        <v>0.1</v>
      </c>
      <c r="AS330" s="213" t="str">
        <f aca="false">IF(A331="","",1/(1+CHOOSE(F$3,(AR331+($I$3/10000))/2,(AR330+($I$3/10000))/2))^(2*AQ330/365.25))</f>
        <v/>
      </c>
      <c r="AT330" s="137" t="str">
        <f aca="false">IF(A331="","",IF(AND(mthbeg&lt;=A330,mthend&gt;=A330),1,0))</f>
        <v/>
      </c>
      <c r="AU330" s="137" t="str">
        <f aca="false">IF(A331="","",AO330*AT330)</f>
        <v/>
      </c>
      <c r="AW330" s="195" t="str">
        <f aca="false">IF($A331="","",AL330*$E330)</f>
        <v/>
      </c>
      <c r="AX330" s="195" t="str">
        <f aca="false">IF($A331="","",AM330*$E330)</f>
        <v/>
      </c>
      <c r="AY330" s="195" t="str">
        <f aca="false">IF($A331="","",AN330*$E330)</f>
        <v/>
      </c>
      <c r="BA330" s="195" t="str">
        <f aca="false">IF($A331="","",F330*Summary!$Q$11)</f>
        <v/>
      </c>
    </row>
    <row r="331" customFormat="false" ht="12" hidden="false" customHeight="true" outlineLevel="0" collapsed="false">
      <c r="A331" s="196" t="str">
        <f aca="false">IF(A330&lt;mthend,EDATE(A330,1),"")</f>
        <v/>
      </c>
      <c r="B331" s="197" t="str">
        <f aca="false">IF(A331&lt;mthend,B330,"")</f>
        <v/>
      </c>
      <c r="C331" s="215"/>
      <c r="D331" s="197" t="str">
        <f aca="false">IF(A332&lt;&gt;"",B331+C331,"")</f>
        <v/>
      </c>
      <c r="E331" s="199" t="str">
        <f aca="false">IF(A332="","",IF(AND(AT331=1,$H$3=1),D331*AO331,IF($H$3=2,D331,"N/A")))</f>
        <v/>
      </c>
      <c r="F331" s="199" t="str">
        <f aca="false">IF(A332="","",E331*AS331)</f>
        <v/>
      </c>
      <c r="G331" s="200" t="str">
        <f aca="false">IF($A332="","",VLOOKUP($A331,Table,MATCH(G$4,Curves,0)))</f>
        <v/>
      </c>
      <c r="H331" s="201" t="str">
        <f aca="false">IF(A332="","",G331)</f>
        <v/>
      </c>
      <c r="I331" s="202"/>
      <c r="J331" s="200" t="str">
        <f aca="false">IF($A332="","",VLOOKUP($A331,Table,MATCH(J$4,Curves,0)))</f>
        <v/>
      </c>
      <c r="K331" s="201" t="str">
        <f aca="false">IF(A332="","",J331)</f>
        <v/>
      </c>
      <c r="L331" s="200" t="str">
        <f aca="false">IF($A332="","",VLOOKUP($A331,Table,MATCH(L$4,Curves,0)))</f>
        <v/>
      </c>
      <c r="M331" s="201" t="str">
        <f aca="false">IF(A332="","",L331)</f>
        <v/>
      </c>
      <c r="N331" s="203"/>
      <c r="O331" s="200" t="str">
        <f aca="false">IF(A332="","",L331+J331+G331)</f>
        <v/>
      </c>
      <c r="P331" s="200" t="str">
        <f aca="false">IF(A332="","",M331+K331+H331)</f>
        <v/>
      </c>
      <c r="Q331" s="204"/>
      <c r="R331" s="200" t="str">
        <f aca="false">IF($A332="","",VLOOKUP($A331,Table,MATCH(R$4,Curves,0)))</f>
        <v/>
      </c>
      <c r="S331" s="201" t="str">
        <f aca="false">IF(A332="","",R331)</f>
        <v/>
      </c>
      <c r="T331" s="185" t="n">
        <v>0</v>
      </c>
      <c r="U331" s="201" t="str">
        <f aca="false">IF(A332="","",T331)</f>
        <v/>
      </c>
      <c r="V331" s="205" t="str">
        <f aca="false">IF($A332="","",IF(AND(MONTH(A331)&gt;3,MONTH(A331)&lt;11),(T331+R331+G331)*Summary!$T$11/(1-Summary!$T$11),(T331+R331+G331)*Summary!$U$11/(1-Summary!$U$11)))</f>
        <v/>
      </c>
      <c r="W331" s="202" t="str">
        <f aca="false">IF($A332="","",(T331+R331+G331+V331))</f>
        <v/>
      </c>
      <c r="X331" s="202" t="str">
        <f aca="false">IF($A332="","",(U331+S331+H331+V331))</f>
        <v/>
      </c>
      <c r="Y331" s="202"/>
      <c r="Z331" s="185" t="str">
        <f aca="false">IF($A332="","",VLOOKUP($A331,Table,MATCH(Z$4,Curves,0)))</f>
        <v/>
      </c>
      <c r="AA331" s="185" t="str">
        <f aca="false">IF($A332="","",VLOOKUP($A331,Table,MATCH(AA$4,Curves,0)))</f>
        <v/>
      </c>
      <c r="AB331" s="185" t="e">
        <f aca="false">SQRT((AA331^2*(A331-$D$3)+Z331^2*(DAY(EOMONTH(A331,0))/2))/AK331)</f>
        <v>#VALUE!</v>
      </c>
      <c r="AC331" s="185" t="str">
        <f aca="false">IF($A332="","",VLOOKUP($A331,Table,MATCH(AC$4,Curves,0)))</f>
        <v/>
      </c>
      <c r="AD331" s="185" t="str">
        <f aca="false">IF($A332="","",VLOOKUP($A331,Table,MATCH(AD$4,Curves,0)))</f>
        <v/>
      </c>
      <c r="AE331" s="185" t="e">
        <f aca="false">SQRT((AD331^2*(A331-$D$3)+AC331^2*(DAY(EOMONTH(A331,0))/2))/AK331)</f>
        <v>#VALUE!</v>
      </c>
      <c r="AF331" s="206" t="e">
        <f aca="false">((Summary!$N$11*(AA331*AD331)*(A331-$D$3))+(Summary!$M$11*Z331*AC331*(AJ331-EOMONTH(EDATE(A331,-1),0))))/(AK331*AB331*AE331)</f>
        <v>#VALUE!</v>
      </c>
      <c r="AG331" s="207" t="str">
        <f aca="false">IF($A332="","",Summary!$Q$11)</f>
        <v/>
      </c>
      <c r="AH331" s="207" t="str">
        <f aca="false">IF($A332="","",IF(Summary!$R$11="Y",(VLOOKUP($A331,Summary!$AD$6:$AF$9,3)+'Escalating commodity'!G344),'Escalating commodity'!G344))</f>
        <v/>
      </c>
      <c r="AI331" s="207" t="str">
        <f aca="false">IF($A332="","",AH331)</f>
        <v/>
      </c>
      <c r="AJ331" s="208" t="e">
        <f aca="false">A331+DAY(EOMONTH(A331,0))/2-1</f>
        <v>#VALUE!</v>
      </c>
      <c r="AK331" s="209" t="str">
        <f aca="false">IF($A332="","",$A331-$E$1)</f>
        <v/>
      </c>
      <c r="AL331" s="182" t="str">
        <f aca="false">IF($A332="","",SPRDOPT(P331,X331,AI331,0,AB331,AE331,AF331,AK331,$AJ$2,0))</f>
        <v/>
      </c>
      <c r="AM331" s="210" t="str">
        <f aca="false">IF($A332="","",MAX(0,O331-W331-AI331))</f>
        <v/>
      </c>
      <c r="AN331" s="211" t="str">
        <f aca="false">IF($A332="","",AL331-AM331)</f>
        <v/>
      </c>
      <c r="AO331" s="137" t="str">
        <f aca="false">IF(A332="","",A332-A331)</f>
        <v/>
      </c>
      <c r="AP331" s="212" t="str">
        <f aca="false">IF(A332="","",CHOOSE(F$3,A332+24,A331))</f>
        <v/>
      </c>
      <c r="AQ331" s="209" t="str">
        <f aca="false">IF(A332="","",AP331-$E$1)</f>
        <v/>
      </c>
      <c r="AR331" s="185" t="n">
        <f aca="false">'ANR OK vs ML7'!AR331</f>
        <v>0.1</v>
      </c>
      <c r="AS331" s="213" t="str">
        <f aca="false">IF(A332="","",1/(1+CHOOSE(F$3,(AR332+($I$3/10000))/2,(AR331+($I$3/10000))/2))^(2*AQ331/365.25))</f>
        <v/>
      </c>
      <c r="AT331" s="137" t="str">
        <f aca="false">IF(A332="","",IF(AND(mthbeg&lt;=A331,mthend&gt;=A331),1,0))</f>
        <v/>
      </c>
      <c r="AU331" s="137" t="str">
        <f aca="false">IF(A332="","",AO331*AT331)</f>
        <v/>
      </c>
      <c r="AW331" s="195" t="str">
        <f aca="false">IF($A332="","",AL331*$E331)</f>
        <v/>
      </c>
      <c r="AX331" s="195" t="str">
        <f aca="false">IF($A332="","",AM331*$E331)</f>
        <v/>
      </c>
      <c r="AY331" s="195" t="str">
        <f aca="false">IF($A332="","",AN331*$E331)</f>
        <v/>
      </c>
      <c r="BA331" s="195" t="str">
        <f aca="false">IF($A332="","",F331*Summary!$Q$11)</f>
        <v/>
      </c>
    </row>
    <row r="332" customFormat="false" ht="12" hidden="false" customHeight="true" outlineLevel="0" collapsed="false">
      <c r="A332" s="196" t="str">
        <f aca="false">IF(A331&lt;mthend,EDATE(A331,1),"")</f>
        <v/>
      </c>
      <c r="B332" s="197" t="str">
        <f aca="false">IF(A332&lt;mthend,B331,"")</f>
        <v/>
      </c>
      <c r="C332" s="215"/>
      <c r="D332" s="197" t="str">
        <f aca="false">IF(A333&lt;&gt;"",B332+C332,"")</f>
        <v/>
      </c>
      <c r="E332" s="199" t="str">
        <f aca="false">IF(A333="","",IF(AND(AT332=1,$H$3=1),D332*AO332,IF($H$3=2,D332,"N/A")))</f>
        <v/>
      </c>
      <c r="F332" s="199" t="str">
        <f aca="false">IF(A333="","",E332*AS332)</f>
        <v/>
      </c>
      <c r="G332" s="200" t="str">
        <f aca="false">IF($A333="","",VLOOKUP($A332,Table,MATCH(G$4,Curves,0)))</f>
        <v/>
      </c>
      <c r="H332" s="201" t="str">
        <f aca="false">IF(A333="","",G332)</f>
        <v/>
      </c>
      <c r="I332" s="202"/>
      <c r="J332" s="200" t="str">
        <f aca="false">IF($A333="","",VLOOKUP($A332,Table,MATCH(J$4,Curves,0)))</f>
        <v/>
      </c>
      <c r="K332" s="201" t="str">
        <f aca="false">IF(A333="","",J332)</f>
        <v/>
      </c>
      <c r="L332" s="200" t="str">
        <f aca="false">IF($A333="","",VLOOKUP($A332,Table,MATCH(L$4,Curves,0)))</f>
        <v/>
      </c>
      <c r="M332" s="201" t="str">
        <f aca="false">IF(A333="","",L332)</f>
        <v/>
      </c>
      <c r="N332" s="203"/>
      <c r="O332" s="200" t="str">
        <f aca="false">IF(A333="","",L332+J332+G332)</f>
        <v/>
      </c>
      <c r="P332" s="200" t="str">
        <f aca="false">IF(A333="","",M332+K332+H332)</f>
        <v/>
      </c>
      <c r="Q332" s="204"/>
      <c r="R332" s="200" t="str">
        <f aca="false">IF($A333="","",VLOOKUP($A332,Table,MATCH(R$4,Curves,0)))</f>
        <v/>
      </c>
      <c r="S332" s="201" t="str">
        <f aca="false">IF(A333="","",R332)</f>
        <v/>
      </c>
      <c r="T332" s="185" t="n">
        <v>0</v>
      </c>
      <c r="U332" s="201" t="str">
        <f aca="false">IF(A333="","",T332)</f>
        <v/>
      </c>
      <c r="V332" s="205" t="str">
        <f aca="false">IF($A333="","",IF(AND(MONTH(A332)&gt;3,MONTH(A332)&lt;11),(T332+R332+G332)*Summary!$T$11/(1-Summary!$T$11),(T332+R332+G332)*Summary!$U$11/(1-Summary!$U$11)))</f>
        <v/>
      </c>
      <c r="W332" s="202" t="str">
        <f aca="false">IF($A333="","",(T332+R332+G332+V332))</f>
        <v/>
      </c>
      <c r="X332" s="202" t="str">
        <f aca="false">IF($A333="","",(U332+S332+H332+V332))</f>
        <v/>
      </c>
      <c r="Y332" s="202"/>
      <c r="Z332" s="185" t="str">
        <f aca="false">IF($A333="","",VLOOKUP($A332,Table,MATCH(Z$4,Curves,0)))</f>
        <v/>
      </c>
      <c r="AA332" s="185" t="str">
        <f aca="false">IF($A333="","",VLOOKUP($A332,Table,MATCH(AA$4,Curves,0)))</f>
        <v/>
      </c>
      <c r="AB332" s="185" t="e">
        <f aca="false">SQRT((AA332^2*(A332-$D$3)+Z332^2*(DAY(EOMONTH(A332,0))/2))/AK332)</f>
        <v>#VALUE!</v>
      </c>
      <c r="AC332" s="185" t="str">
        <f aca="false">IF($A333="","",VLOOKUP($A332,Table,MATCH(AC$4,Curves,0)))</f>
        <v/>
      </c>
      <c r="AD332" s="185" t="str">
        <f aca="false">IF($A333="","",VLOOKUP($A332,Table,MATCH(AD$4,Curves,0)))</f>
        <v/>
      </c>
      <c r="AE332" s="185" t="e">
        <f aca="false">SQRT((AD332^2*(A332-$D$3)+AC332^2*(DAY(EOMONTH(A332,0))/2))/AK332)</f>
        <v>#VALUE!</v>
      </c>
      <c r="AF332" s="206" t="e">
        <f aca="false">((Summary!$N$11*(AA332*AD332)*(A332-$D$3))+(Summary!$M$11*Z332*AC332*(AJ332-EOMONTH(EDATE(A332,-1),0))))/(AK332*AB332*AE332)</f>
        <v>#VALUE!</v>
      </c>
      <c r="AG332" s="207" t="str">
        <f aca="false">IF($A333="","",Summary!$Q$11)</f>
        <v/>
      </c>
      <c r="AH332" s="207" t="str">
        <f aca="false">IF($A333="","",IF(Summary!$R$11="Y",(VLOOKUP($A332,Summary!$AD$6:$AF$9,3)+'Escalating commodity'!G345),'Escalating commodity'!G345))</f>
        <v/>
      </c>
      <c r="AI332" s="207" t="str">
        <f aca="false">IF($A333="","",AH332)</f>
        <v/>
      </c>
      <c r="AJ332" s="208" t="e">
        <f aca="false">A332+DAY(EOMONTH(A332,0))/2-1</f>
        <v>#VALUE!</v>
      </c>
      <c r="AK332" s="209" t="str">
        <f aca="false">IF($A333="","",$A332-$E$1)</f>
        <v/>
      </c>
      <c r="AL332" s="182" t="str">
        <f aca="false">IF($A333="","",SPRDOPT(P332,X332,AI332,0,AB332,AE332,AF332,AK332,$AJ$2,0))</f>
        <v/>
      </c>
      <c r="AM332" s="210" t="str">
        <f aca="false">IF($A333="","",MAX(0,O332-W332-AI332))</f>
        <v/>
      </c>
      <c r="AN332" s="211" t="str">
        <f aca="false">IF($A333="","",AL332-AM332)</f>
        <v/>
      </c>
      <c r="AO332" s="137" t="str">
        <f aca="false">IF(A333="","",A333-A332)</f>
        <v/>
      </c>
      <c r="AP332" s="212" t="str">
        <f aca="false">IF(A333="","",CHOOSE(F$3,A333+24,A332))</f>
        <v/>
      </c>
      <c r="AQ332" s="209" t="str">
        <f aca="false">IF(A333="","",AP332-$E$1)</f>
        <v/>
      </c>
      <c r="AR332" s="185" t="n">
        <f aca="false">'ANR OK vs ML7'!AR332</f>
        <v>0.1</v>
      </c>
      <c r="AS332" s="213" t="str">
        <f aca="false">IF(A333="","",1/(1+CHOOSE(F$3,(AR333+($I$3/10000))/2,(AR332+($I$3/10000))/2))^(2*AQ332/365.25))</f>
        <v/>
      </c>
      <c r="AT332" s="137" t="str">
        <f aca="false">IF(A333="","",IF(AND(mthbeg&lt;=A332,mthend&gt;=A332),1,0))</f>
        <v/>
      </c>
      <c r="AU332" s="137" t="str">
        <f aca="false">IF(A333="","",AO332*AT332)</f>
        <v/>
      </c>
      <c r="AW332" s="195" t="str">
        <f aca="false">IF($A333="","",AL332*$E332)</f>
        <v/>
      </c>
      <c r="AX332" s="195" t="str">
        <f aca="false">IF($A333="","",AM332*$E332)</f>
        <v/>
      </c>
      <c r="AY332" s="195" t="str">
        <f aca="false">IF($A333="","",AN332*$E332)</f>
        <v/>
      </c>
      <c r="BA332" s="195" t="str">
        <f aca="false">IF($A333="","",F332*Summary!$Q$11)</f>
        <v/>
      </c>
    </row>
    <row r="333" customFormat="false" ht="12" hidden="false" customHeight="true" outlineLevel="0" collapsed="false">
      <c r="A333" s="196" t="str">
        <f aca="false">IF(A332&lt;mthend,EDATE(A332,1),"")</f>
        <v/>
      </c>
      <c r="B333" s="197" t="str">
        <f aca="false">IF(A333&lt;mthend,B332,"")</f>
        <v/>
      </c>
      <c r="C333" s="215"/>
      <c r="D333" s="197" t="str">
        <f aca="false">IF(A334&lt;&gt;"",B333+C333,"")</f>
        <v/>
      </c>
      <c r="E333" s="199" t="str">
        <f aca="false">IF(A334="","",IF(AND(AT333=1,$H$3=1),D333*AO333,IF($H$3=2,D333,"N/A")))</f>
        <v/>
      </c>
      <c r="F333" s="199" t="str">
        <f aca="false">IF(A334="","",E333*AS333)</f>
        <v/>
      </c>
      <c r="G333" s="200" t="str">
        <f aca="false">IF($A334="","",VLOOKUP($A333,Table,MATCH(G$4,Curves,0)))</f>
        <v/>
      </c>
      <c r="H333" s="201" t="str">
        <f aca="false">IF(A334="","",G333)</f>
        <v/>
      </c>
      <c r="I333" s="202"/>
      <c r="J333" s="200" t="str">
        <f aca="false">IF($A334="","",VLOOKUP($A333,Table,MATCH(J$4,Curves,0)))</f>
        <v/>
      </c>
      <c r="K333" s="201" t="str">
        <f aca="false">IF(A334="","",J333)</f>
        <v/>
      </c>
      <c r="L333" s="200" t="str">
        <f aca="false">IF($A334="","",VLOOKUP($A333,Table,MATCH(L$4,Curves,0)))</f>
        <v/>
      </c>
      <c r="M333" s="201" t="str">
        <f aca="false">IF(A334="","",L333)</f>
        <v/>
      </c>
      <c r="N333" s="203"/>
      <c r="O333" s="200" t="str">
        <f aca="false">IF(A334="","",L333+J333+G333)</f>
        <v/>
      </c>
      <c r="P333" s="200" t="str">
        <f aca="false">IF(A334="","",M333+K333+H333)</f>
        <v/>
      </c>
      <c r="Q333" s="204"/>
      <c r="R333" s="200" t="str">
        <f aca="false">IF($A334="","",VLOOKUP($A333,Table,MATCH(R$4,Curves,0)))</f>
        <v/>
      </c>
      <c r="S333" s="201" t="str">
        <f aca="false">IF(A334="","",R333)</f>
        <v/>
      </c>
      <c r="T333" s="185" t="n">
        <v>0</v>
      </c>
      <c r="U333" s="201" t="str">
        <f aca="false">IF(A334="","",T333)</f>
        <v/>
      </c>
      <c r="V333" s="205" t="str">
        <f aca="false">IF($A334="","",IF(AND(MONTH(A333)&gt;3,MONTH(A333)&lt;11),(T333+R333+G333)*Summary!$T$11/(1-Summary!$T$11),(T333+R333+G333)*Summary!$U$11/(1-Summary!$U$11)))</f>
        <v/>
      </c>
      <c r="W333" s="202" t="str">
        <f aca="false">IF($A334="","",(T333+R333+G333+V333))</f>
        <v/>
      </c>
      <c r="X333" s="202" t="str">
        <f aca="false">IF($A334="","",(U333+S333+H333+V333))</f>
        <v/>
      </c>
      <c r="Y333" s="202"/>
      <c r="Z333" s="185" t="str">
        <f aca="false">IF($A334="","",VLOOKUP($A333,Table,MATCH(Z$4,Curves,0)))</f>
        <v/>
      </c>
      <c r="AA333" s="185" t="str">
        <f aca="false">IF($A334="","",VLOOKUP($A333,Table,MATCH(AA$4,Curves,0)))</f>
        <v/>
      </c>
      <c r="AB333" s="185" t="e">
        <f aca="false">SQRT((AA333^2*(A333-$D$3)+Z333^2*(DAY(EOMONTH(A333,0))/2))/AK333)</f>
        <v>#VALUE!</v>
      </c>
      <c r="AC333" s="185" t="str">
        <f aca="false">IF($A334="","",VLOOKUP($A333,Table,MATCH(AC$4,Curves,0)))</f>
        <v/>
      </c>
      <c r="AD333" s="185" t="str">
        <f aca="false">IF($A334="","",VLOOKUP($A333,Table,MATCH(AD$4,Curves,0)))</f>
        <v/>
      </c>
      <c r="AE333" s="185" t="e">
        <f aca="false">SQRT((AD333^2*(A333-$D$3)+AC333^2*(DAY(EOMONTH(A333,0))/2))/AK333)</f>
        <v>#VALUE!</v>
      </c>
      <c r="AF333" s="206" t="e">
        <f aca="false">((Summary!$N$11*(AA333*AD333)*(A333-$D$3))+(Summary!$M$11*Z333*AC333*(AJ333-EOMONTH(EDATE(A333,-1),0))))/(AK333*AB333*AE333)</f>
        <v>#VALUE!</v>
      </c>
      <c r="AG333" s="207" t="str">
        <f aca="false">IF($A334="","",Summary!$Q$11)</f>
        <v/>
      </c>
      <c r="AH333" s="207" t="str">
        <f aca="false">IF($A334="","",IF(Summary!$R$11="Y",(VLOOKUP($A333,Summary!$AD$6:$AF$9,3)+'Escalating commodity'!G346),'Escalating commodity'!G346))</f>
        <v/>
      </c>
      <c r="AI333" s="207" t="str">
        <f aca="false">IF($A334="","",AH333)</f>
        <v/>
      </c>
      <c r="AJ333" s="208" t="e">
        <f aca="false">A333+DAY(EOMONTH(A333,0))/2-1</f>
        <v>#VALUE!</v>
      </c>
      <c r="AK333" s="209" t="str">
        <f aca="false">IF($A334="","",$A333-$E$1)</f>
        <v/>
      </c>
      <c r="AL333" s="182" t="str">
        <f aca="false">IF($A334="","",SPRDOPT(P333,X333,AI333,0,AB333,AE333,AF333,AK333,$AJ$2,0))</f>
        <v/>
      </c>
      <c r="AM333" s="210" t="str">
        <f aca="false">IF($A334="","",MAX(0,O333-W333-AI333))</f>
        <v/>
      </c>
      <c r="AN333" s="211" t="str">
        <f aca="false">IF($A334="","",AL333-AM333)</f>
        <v/>
      </c>
      <c r="AO333" s="137" t="str">
        <f aca="false">IF(A334="","",A334-A333)</f>
        <v/>
      </c>
      <c r="AP333" s="212" t="str">
        <f aca="false">IF(A334="","",CHOOSE(F$3,A334+24,A333))</f>
        <v/>
      </c>
      <c r="AQ333" s="209" t="str">
        <f aca="false">IF(A334="","",AP333-$E$1)</f>
        <v/>
      </c>
      <c r="AR333" s="185" t="n">
        <f aca="false">'ANR OK vs ML7'!AR333</f>
        <v>0.1</v>
      </c>
      <c r="AS333" s="213" t="str">
        <f aca="false">IF(A334="","",1/(1+CHOOSE(F$3,(AR334+($I$3/10000))/2,(AR333+($I$3/10000))/2))^(2*AQ333/365.25))</f>
        <v/>
      </c>
      <c r="AT333" s="137" t="str">
        <f aca="false">IF(A334="","",IF(AND(mthbeg&lt;=A333,mthend&gt;=A333),1,0))</f>
        <v/>
      </c>
      <c r="AU333" s="137" t="str">
        <f aca="false">IF(A334="","",AO333*AT333)</f>
        <v/>
      </c>
      <c r="AW333" s="195" t="str">
        <f aca="false">IF($A334="","",AL333*$E333)</f>
        <v/>
      </c>
      <c r="AX333" s="195" t="str">
        <f aca="false">IF($A334="","",AM333*$E333)</f>
        <v/>
      </c>
      <c r="AY333" s="195" t="str">
        <f aca="false">IF($A334="","",AN333*$E333)</f>
        <v/>
      </c>
      <c r="BA333" s="195" t="str">
        <f aca="false">IF($A334="","",F333*Summary!$Q$11)</f>
        <v/>
      </c>
    </row>
    <row r="334" customFormat="false" ht="12" hidden="false" customHeight="true" outlineLevel="0" collapsed="false">
      <c r="A334" s="196" t="str">
        <f aca="false">IF(A333&lt;mthend,EDATE(A333,1),"")</f>
        <v/>
      </c>
      <c r="B334" s="197" t="str">
        <f aca="false">IF(A334&lt;mthend,B333,"")</f>
        <v/>
      </c>
      <c r="C334" s="215"/>
      <c r="D334" s="197" t="str">
        <f aca="false">IF(A335&lt;&gt;"",B334+C334,"")</f>
        <v/>
      </c>
      <c r="E334" s="199" t="str">
        <f aca="false">IF(A335="","",IF(AND(AT334=1,$H$3=1),D334*AO334,IF($H$3=2,D334,"N/A")))</f>
        <v/>
      </c>
      <c r="F334" s="199" t="str">
        <f aca="false">IF(A335="","",E334*AS334)</f>
        <v/>
      </c>
      <c r="G334" s="200" t="str">
        <f aca="false">IF($A335="","",VLOOKUP($A334,Table,MATCH(G$4,Curves,0)))</f>
        <v/>
      </c>
      <c r="H334" s="201" t="str">
        <f aca="false">IF(A335="","",G334)</f>
        <v/>
      </c>
      <c r="I334" s="202"/>
      <c r="J334" s="200" t="str">
        <f aca="false">IF($A335="","",VLOOKUP($A334,Table,MATCH(J$4,Curves,0)))</f>
        <v/>
      </c>
      <c r="K334" s="201" t="str">
        <f aca="false">IF(A335="","",J334)</f>
        <v/>
      </c>
      <c r="L334" s="200" t="str">
        <f aca="false">IF($A335="","",VLOOKUP($A334,Table,MATCH(L$4,Curves,0)))</f>
        <v/>
      </c>
      <c r="M334" s="201" t="str">
        <f aca="false">IF(A335="","",L334)</f>
        <v/>
      </c>
      <c r="N334" s="203"/>
      <c r="O334" s="200" t="str">
        <f aca="false">IF(A335="","",L334+J334+G334)</f>
        <v/>
      </c>
      <c r="P334" s="200" t="str">
        <f aca="false">IF(A335="","",M334+K334+H334)</f>
        <v/>
      </c>
      <c r="Q334" s="204"/>
      <c r="R334" s="200" t="str">
        <f aca="false">IF($A335="","",VLOOKUP($A334,Table,MATCH(R$4,Curves,0)))</f>
        <v/>
      </c>
      <c r="S334" s="201" t="str">
        <f aca="false">IF(A335="","",R334)</f>
        <v/>
      </c>
      <c r="T334" s="185" t="n">
        <v>0</v>
      </c>
      <c r="U334" s="201" t="str">
        <f aca="false">IF(A335="","",T334)</f>
        <v/>
      </c>
      <c r="V334" s="205" t="str">
        <f aca="false">IF($A335="","",IF(AND(MONTH(A334)&gt;3,MONTH(A334)&lt;11),(T334+R334+G334)*Summary!$T$11/(1-Summary!$T$11),(T334+R334+G334)*Summary!$U$11/(1-Summary!$U$11)))</f>
        <v/>
      </c>
      <c r="W334" s="202" t="str">
        <f aca="false">IF($A335="","",(T334+R334+G334+V334))</f>
        <v/>
      </c>
      <c r="X334" s="202" t="str">
        <f aca="false">IF($A335="","",(U334+S334+H334+V334))</f>
        <v/>
      </c>
      <c r="Y334" s="202"/>
      <c r="Z334" s="185" t="str">
        <f aca="false">IF($A335="","",VLOOKUP($A334,Table,MATCH(Z$4,Curves,0)))</f>
        <v/>
      </c>
      <c r="AA334" s="185" t="str">
        <f aca="false">IF($A335="","",VLOOKUP($A334,Table,MATCH(AA$4,Curves,0)))</f>
        <v/>
      </c>
      <c r="AB334" s="185" t="e">
        <f aca="false">SQRT((AA334^2*(A334-$D$3)+Z334^2*(DAY(EOMONTH(A334,0))/2))/AK334)</f>
        <v>#VALUE!</v>
      </c>
      <c r="AC334" s="185" t="str">
        <f aca="false">IF($A335="","",VLOOKUP($A334,Table,MATCH(AC$4,Curves,0)))</f>
        <v/>
      </c>
      <c r="AD334" s="185" t="str">
        <f aca="false">IF($A335="","",VLOOKUP($A334,Table,MATCH(AD$4,Curves,0)))</f>
        <v/>
      </c>
      <c r="AE334" s="185" t="e">
        <f aca="false">SQRT((AD334^2*(A334-$D$3)+AC334^2*(DAY(EOMONTH(A334,0))/2))/AK334)</f>
        <v>#VALUE!</v>
      </c>
      <c r="AF334" s="206" t="e">
        <f aca="false">((Summary!$N$11*(AA334*AD334)*(A334-$D$3))+(Summary!$M$11*Z334*AC334*(AJ334-EOMONTH(EDATE(A334,-1),0))))/(AK334*AB334*AE334)</f>
        <v>#VALUE!</v>
      </c>
      <c r="AG334" s="207" t="str">
        <f aca="false">IF($A335="","",Summary!$Q$11)</f>
        <v/>
      </c>
      <c r="AH334" s="207" t="str">
        <f aca="false">IF($A335="","",IF(Summary!$R$11="Y",(VLOOKUP($A334,Summary!$AD$6:$AF$9,3)+'Escalating commodity'!G347),'Escalating commodity'!G347))</f>
        <v/>
      </c>
      <c r="AI334" s="207" t="str">
        <f aca="false">IF($A335="","",AH334)</f>
        <v/>
      </c>
      <c r="AJ334" s="208" t="e">
        <f aca="false">A334+DAY(EOMONTH(A334,0))/2-1</f>
        <v>#VALUE!</v>
      </c>
      <c r="AK334" s="209" t="str">
        <f aca="false">IF($A335="","",$A334-$E$1)</f>
        <v/>
      </c>
      <c r="AL334" s="182" t="str">
        <f aca="false">IF($A335="","",SPRDOPT(P334,X334,AI334,0,AB334,AE334,AF334,AK334,$AJ$2,0))</f>
        <v/>
      </c>
      <c r="AM334" s="210" t="str">
        <f aca="false">IF($A335="","",MAX(0,O334-W334-AI334))</f>
        <v/>
      </c>
      <c r="AN334" s="211" t="str">
        <f aca="false">IF($A335="","",AL334-AM334)</f>
        <v/>
      </c>
      <c r="AO334" s="137" t="str">
        <f aca="false">IF(A335="","",A335-A334)</f>
        <v/>
      </c>
      <c r="AP334" s="212" t="str">
        <f aca="false">IF(A335="","",CHOOSE(F$3,A335+24,A334))</f>
        <v/>
      </c>
      <c r="AQ334" s="209" t="str">
        <f aca="false">IF(A335="","",AP334-$E$1)</f>
        <v/>
      </c>
      <c r="AR334" s="185" t="n">
        <f aca="false">'ANR OK vs ML7'!AR334</f>
        <v>0.1</v>
      </c>
      <c r="AS334" s="213" t="str">
        <f aca="false">IF(A335="","",1/(1+CHOOSE(F$3,(AR335+($I$3/10000))/2,(AR334+($I$3/10000))/2))^(2*AQ334/365.25))</f>
        <v/>
      </c>
      <c r="AT334" s="137" t="str">
        <f aca="false">IF(A335="","",IF(AND(mthbeg&lt;=A334,mthend&gt;=A334),1,0))</f>
        <v/>
      </c>
      <c r="AU334" s="137" t="str">
        <f aca="false">IF(A335="","",AO334*AT334)</f>
        <v/>
      </c>
      <c r="AW334" s="195" t="str">
        <f aca="false">IF($A335="","",AL334*$E334)</f>
        <v/>
      </c>
      <c r="AX334" s="195" t="str">
        <f aca="false">IF($A335="","",AM334*$E334)</f>
        <v/>
      </c>
      <c r="AY334" s="195" t="str">
        <f aca="false">IF($A335="","",AN334*$E334)</f>
        <v/>
      </c>
      <c r="BA334" s="195" t="str">
        <f aca="false">IF($A335="","",F334*Summary!$Q$11)</f>
        <v/>
      </c>
    </row>
    <row r="335" customFormat="false" ht="12" hidden="false" customHeight="true" outlineLevel="0" collapsed="false">
      <c r="A335" s="196" t="str">
        <f aca="false">IF(A334&lt;mthend,EDATE(A334,1),"")</f>
        <v/>
      </c>
      <c r="B335" s="197" t="str">
        <f aca="false">IF(A335&lt;mthend,B334,"")</f>
        <v/>
      </c>
      <c r="C335" s="215"/>
      <c r="D335" s="197" t="str">
        <f aca="false">IF(A336&lt;&gt;"",B335+C335,"")</f>
        <v/>
      </c>
      <c r="E335" s="199" t="str">
        <f aca="false">IF(A336="","",IF(AND(AT335=1,$H$3=1),D335*AO335,IF($H$3=2,D335,"N/A")))</f>
        <v/>
      </c>
      <c r="F335" s="199" t="str">
        <f aca="false">IF(A336="","",E335*AS335)</f>
        <v/>
      </c>
      <c r="G335" s="200" t="str">
        <f aca="false">IF($A336="","",VLOOKUP($A335,Table,MATCH(G$4,Curves,0)))</f>
        <v/>
      </c>
      <c r="H335" s="201" t="str">
        <f aca="false">IF(A336="","",G335)</f>
        <v/>
      </c>
      <c r="I335" s="202"/>
      <c r="J335" s="200" t="str">
        <f aca="false">IF($A336="","",VLOOKUP($A335,Table,MATCH(J$4,Curves,0)))</f>
        <v/>
      </c>
      <c r="K335" s="201" t="str">
        <f aca="false">IF(A336="","",J335)</f>
        <v/>
      </c>
      <c r="L335" s="200" t="str">
        <f aca="false">IF($A336="","",VLOOKUP($A335,Table,MATCH(L$4,Curves,0)))</f>
        <v/>
      </c>
      <c r="M335" s="201" t="str">
        <f aca="false">IF(A336="","",L335)</f>
        <v/>
      </c>
      <c r="N335" s="203"/>
      <c r="O335" s="200" t="str">
        <f aca="false">IF(A336="","",L335+J335+G335)</f>
        <v/>
      </c>
      <c r="P335" s="200" t="str">
        <f aca="false">IF(A336="","",M335+K335+H335)</f>
        <v/>
      </c>
      <c r="Q335" s="204"/>
      <c r="R335" s="200" t="str">
        <f aca="false">IF($A336="","",VLOOKUP($A335,Table,MATCH(R$4,Curves,0)))</f>
        <v/>
      </c>
      <c r="S335" s="201" t="str">
        <f aca="false">IF(A336="","",R335)</f>
        <v/>
      </c>
      <c r="T335" s="185" t="n">
        <v>0</v>
      </c>
      <c r="U335" s="201" t="str">
        <f aca="false">IF(A336="","",T335)</f>
        <v/>
      </c>
      <c r="V335" s="205" t="str">
        <f aca="false">IF($A336="","",IF(AND(MONTH(A335)&gt;3,MONTH(A335)&lt;11),(T335+R335+G335)*Summary!$T$11/(1-Summary!$T$11),(T335+R335+G335)*Summary!$U$11/(1-Summary!$U$11)))</f>
        <v/>
      </c>
      <c r="W335" s="202" t="str">
        <f aca="false">IF($A336="","",(T335+R335+G335+V335))</f>
        <v/>
      </c>
      <c r="X335" s="202" t="str">
        <f aca="false">IF($A336="","",(U335+S335+H335+V335))</f>
        <v/>
      </c>
      <c r="Y335" s="202"/>
      <c r="Z335" s="185" t="str">
        <f aca="false">IF($A336="","",VLOOKUP($A335,Table,MATCH(Z$4,Curves,0)))</f>
        <v/>
      </c>
      <c r="AA335" s="185" t="str">
        <f aca="false">IF($A336="","",VLOOKUP($A335,Table,MATCH(AA$4,Curves,0)))</f>
        <v/>
      </c>
      <c r="AB335" s="185" t="e">
        <f aca="false">SQRT((AA335^2*(A335-$D$3)+Z335^2*(DAY(EOMONTH(A335,0))/2))/AK335)</f>
        <v>#VALUE!</v>
      </c>
      <c r="AC335" s="185" t="str">
        <f aca="false">IF($A336="","",VLOOKUP($A335,Table,MATCH(AC$4,Curves,0)))</f>
        <v/>
      </c>
      <c r="AD335" s="185" t="str">
        <f aca="false">IF($A336="","",VLOOKUP($A335,Table,MATCH(AD$4,Curves,0)))</f>
        <v/>
      </c>
      <c r="AE335" s="185" t="e">
        <f aca="false">SQRT((AD335^2*(A335-$D$3)+AC335^2*(DAY(EOMONTH(A335,0))/2))/AK335)</f>
        <v>#VALUE!</v>
      </c>
      <c r="AF335" s="206" t="e">
        <f aca="false">((Summary!$N$11*(AA335*AD335)*(A335-$D$3))+(Summary!$M$11*Z335*AC335*(AJ335-EOMONTH(EDATE(A335,-1),0))))/(AK335*AB335*AE335)</f>
        <v>#VALUE!</v>
      </c>
      <c r="AG335" s="207" t="str">
        <f aca="false">IF($A336="","",Summary!$Q$11)</f>
        <v/>
      </c>
      <c r="AH335" s="207" t="str">
        <f aca="false">IF($A336="","",IF(Summary!$R$11="Y",(VLOOKUP($A335,Summary!$AD$6:$AF$9,3)+'Escalating commodity'!G348),'Escalating commodity'!G348))</f>
        <v/>
      </c>
      <c r="AI335" s="207" t="str">
        <f aca="false">IF($A336="","",AH335)</f>
        <v/>
      </c>
      <c r="AJ335" s="208" t="e">
        <f aca="false">A335+DAY(EOMONTH(A335,0))/2-1</f>
        <v>#VALUE!</v>
      </c>
      <c r="AK335" s="209" t="str">
        <f aca="false">IF($A336="","",$A335-$E$1)</f>
        <v/>
      </c>
      <c r="AL335" s="182" t="str">
        <f aca="false">IF($A336="","",SPRDOPT(P335,X335,AI335,0,AB335,AE335,AF335,AK335,$AJ$2,0))</f>
        <v/>
      </c>
      <c r="AM335" s="210" t="str">
        <f aca="false">IF($A336="","",MAX(0,O335-W335-AI335))</f>
        <v/>
      </c>
      <c r="AN335" s="211" t="str">
        <f aca="false">IF($A336="","",AL335-AM335)</f>
        <v/>
      </c>
      <c r="AO335" s="137" t="str">
        <f aca="false">IF(A336="","",A336-A335)</f>
        <v/>
      </c>
      <c r="AP335" s="212" t="str">
        <f aca="false">IF(A336="","",CHOOSE(F$3,A336+24,A335))</f>
        <v/>
      </c>
      <c r="AQ335" s="209" t="str">
        <f aca="false">IF(A336="","",AP335-$E$1)</f>
        <v/>
      </c>
      <c r="AR335" s="185" t="n">
        <f aca="false">'ANR OK vs ML7'!AR335</f>
        <v>0.1</v>
      </c>
      <c r="AS335" s="213" t="str">
        <f aca="false">IF(A336="","",1/(1+CHOOSE(F$3,(AR336+($I$3/10000))/2,(AR335+($I$3/10000))/2))^(2*AQ335/365.25))</f>
        <v/>
      </c>
      <c r="AT335" s="137" t="str">
        <f aca="false">IF(A336="","",IF(AND(mthbeg&lt;=A335,mthend&gt;=A335),1,0))</f>
        <v/>
      </c>
      <c r="AU335" s="137" t="str">
        <f aca="false">IF(A336="","",AO335*AT335)</f>
        <v/>
      </c>
      <c r="AW335" s="195" t="str">
        <f aca="false">IF($A336="","",AL335*$E335)</f>
        <v/>
      </c>
      <c r="AX335" s="195" t="str">
        <f aca="false">IF($A336="","",AM335*$E335)</f>
        <v/>
      </c>
      <c r="AY335" s="195" t="str">
        <f aca="false">IF($A336="","",AN335*$E335)</f>
        <v/>
      </c>
      <c r="BA335" s="195" t="str">
        <f aca="false">IF($A336="","",F335*Summary!$Q$11)</f>
        <v/>
      </c>
    </row>
    <row r="336" customFormat="false" ht="12" hidden="false" customHeight="true" outlineLevel="0" collapsed="false">
      <c r="A336" s="196" t="str">
        <f aca="false">IF(A335&lt;mthend,EDATE(A335,1),"")</f>
        <v/>
      </c>
      <c r="B336" s="197" t="str">
        <f aca="false">IF(A336&lt;mthend,B335,"")</f>
        <v/>
      </c>
      <c r="C336" s="215"/>
      <c r="D336" s="197" t="str">
        <f aca="false">IF(A337&lt;&gt;"",B336+C336,"")</f>
        <v/>
      </c>
      <c r="E336" s="199" t="str">
        <f aca="false">IF(A337="","",IF(AND(AT336=1,$H$3=1),D336*AO336,IF($H$3=2,D336,"N/A")))</f>
        <v/>
      </c>
      <c r="F336" s="199" t="str">
        <f aca="false">IF(A337="","",E336*AS336)</f>
        <v/>
      </c>
      <c r="G336" s="200" t="str">
        <f aca="false">IF($A337="","",VLOOKUP($A336,Table,MATCH(G$4,Curves,0)))</f>
        <v/>
      </c>
      <c r="H336" s="201" t="str">
        <f aca="false">IF(A337="","",G336)</f>
        <v/>
      </c>
      <c r="I336" s="202"/>
      <c r="J336" s="200" t="str">
        <f aca="false">IF($A337="","",VLOOKUP($A336,Table,MATCH(J$4,Curves,0)))</f>
        <v/>
      </c>
      <c r="K336" s="201" t="str">
        <f aca="false">IF(A337="","",J336)</f>
        <v/>
      </c>
      <c r="L336" s="200" t="str">
        <f aca="false">IF($A337="","",VLOOKUP($A336,Table,MATCH(L$4,Curves,0)))</f>
        <v/>
      </c>
      <c r="M336" s="201" t="str">
        <f aca="false">IF(A337="","",L336)</f>
        <v/>
      </c>
      <c r="N336" s="203"/>
      <c r="O336" s="200" t="str">
        <f aca="false">IF(A337="","",L336+J336+G336)</f>
        <v/>
      </c>
      <c r="P336" s="200" t="str">
        <f aca="false">IF(A337="","",M336+K336+H336)</f>
        <v/>
      </c>
      <c r="Q336" s="204"/>
      <c r="R336" s="200" t="str">
        <f aca="false">IF($A337="","",VLOOKUP($A336,Table,MATCH(R$4,Curves,0)))</f>
        <v/>
      </c>
      <c r="S336" s="201" t="str">
        <f aca="false">IF(A337="","",R336)</f>
        <v/>
      </c>
      <c r="T336" s="185" t="n">
        <v>0</v>
      </c>
      <c r="U336" s="201" t="str">
        <f aca="false">IF(A337="","",T336)</f>
        <v/>
      </c>
      <c r="V336" s="205" t="str">
        <f aca="false">IF($A337="","",IF(AND(MONTH(A336)&gt;3,MONTH(A336)&lt;11),(T336+R336+G336)*Summary!$T$11/(1-Summary!$T$11),(T336+R336+G336)*Summary!$U$11/(1-Summary!$U$11)))</f>
        <v/>
      </c>
      <c r="W336" s="202" t="str">
        <f aca="false">IF($A337="","",(T336+R336+G336+V336))</f>
        <v/>
      </c>
      <c r="X336" s="202" t="str">
        <f aca="false">IF($A337="","",(U336+S336+H336+V336))</f>
        <v/>
      </c>
      <c r="Y336" s="202"/>
      <c r="Z336" s="185" t="str">
        <f aca="false">IF($A337="","",VLOOKUP($A336,Table,MATCH(Z$4,Curves,0)))</f>
        <v/>
      </c>
      <c r="AA336" s="185" t="str">
        <f aca="false">IF($A337="","",VLOOKUP($A336,Table,MATCH(AA$4,Curves,0)))</f>
        <v/>
      </c>
      <c r="AB336" s="185" t="e">
        <f aca="false">SQRT((AA336^2*(A336-$D$3)+Z336^2*(DAY(EOMONTH(A336,0))/2))/AK336)</f>
        <v>#VALUE!</v>
      </c>
      <c r="AC336" s="185" t="str">
        <f aca="false">IF($A337="","",VLOOKUP($A336,Table,MATCH(AC$4,Curves,0)))</f>
        <v/>
      </c>
      <c r="AD336" s="185" t="str">
        <f aca="false">IF($A337="","",VLOOKUP($A336,Table,MATCH(AD$4,Curves,0)))</f>
        <v/>
      </c>
      <c r="AE336" s="185" t="e">
        <f aca="false">SQRT((AD336^2*(A336-$D$3)+AC336^2*(DAY(EOMONTH(A336,0))/2))/AK336)</f>
        <v>#VALUE!</v>
      </c>
      <c r="AF336" s="206" t="e">
        <f aca="false">((Summary!$N$11*(AA336*AD336)*(A336-$D$3))+(Summary!$M$11*Z336*AC336*(AJ336-EOMONTH(EDATE(A336,-1),0))))/(AK336*AB336*AE336)</f>
        <v>#VALUE!</v>
      </c>
      <c r="AG336" s="207" t="str">
        <f aca="false">IF($A337="","",Summary!$Q$11)</f>
        <v/>
      </c>
      <c r="AH336" s="207" t="str">
        <f aca="false">IF($A337="","",IF(Summary!$R$11="Y",(VLOOKUP($A336,Summary!$AD$6:$AF$9,3)+'Escalating commodity'!G349),'Escalating commodity'!G349))</f>
        <v/>
      </c>
      <c r="AI336" s="207" t="str">
        <f aca="false">IF($A337="","",AH336)</f>
        <v/>
      </c>
      <c r="AJ336" s="208" t="e">
        <f aca="false">A336+DAY(EOMONTH(A336,0))/2-1</f>
        <v>#VALUE!</v>
      </c>
      <c r="AK336" s="209" t="str">
        <f aca="false">IF($A337="","",$A336-$E$1)</f>
        <v/>
      </c>
      <c r="AL336" s="182" t="str">
        <f aca="false">IF($A337="","",SPRDOPT(P336,X336,AI336,0,AB336,AE336,AF336,AK336,$AJ$2,0))</f>
        <v/>
      </c>
      <c r="AM336" s="210" t="str">
        <f aca="false">IF($A337="","",MAX(0,O336-W336-AI336))</f>
        <v/>
      </c>
      <c r="AN336" s="211" t="str">
        <f aca="false">IF($A337="","",AL336-AM336)</f>
        <v/>
      </c>
      <c r="AO336" s="137" t="str">
        <f aca="false">IF(A337="","",A337-A336)</f>
        <v/>
      </c>
      <c r="AP336" s="212" t="str">
        <f aca="false">IF(A337="","",CHOOSE(F$3,A337+24,A336))</f>
        <v/>
      </c>
      <c r="AQ336" s="209" t="str">
        <f aca="false">IF(A337="","",AP336-$E$1)</f>
        <v/>
      </c>
      <c r="AR336" s="185" t="n">
        <f aca="false">'ANR OK vs ML7'!AR336</f>
        <v>0.1</v>
      </c>
      <c r="AS336" s="213" t="str">
        <f aca="false">IF(A337="","",1/(1+CHOOSE(F$3,(AR337+($I$3/10000))/2,(AR336+($I$3/10000))/2))^(2*AQ336/365.25))</f>
        <v/>
      </c>
      <c r="AT336" s="137" t="str">
        <f aca="false">IF(A337="","",IF(AND(mthbeg&lt;=A336,mthend&gt;=A336),1,0))</f>
        <v/>
      </c>
      <c r="AU336" s="137" t="str">
        <f aca="false">IF(A337="","",AO336*AT336)</f>
        <v/>
      </c>
      <c r="AW336" s="195" t="str">
        <f aca="false">IF($A337="","",AL336*$E336)</f>
        <v/>
      </c>
      <c r="AX336" s="195" t="str">
        <f aca="false">IF($A337="","",AM336*$E336)</f>
        <v/>
      </c>
      <c r="AY336" s="195" t="str">
        <f aca="false">IF($A337="","",AN336*$E336)</f>
        <v/>
      </c>
      <c r="BA336" s="195" t="str">
        <f aca="false">IF($A337="","",F336*Summary!$Q$11)</f>
        <v/>
      </c>
    </row>
    <row r="337" customFormat="false" ht="12" hidden="false" customHeight="true" outlineLevel="0" collapsed="false">
      <c r="A337" s="196" t="str">
        <f aca="false">IF(A336&lt;mthend,EDATE(A336,1),"")</f>
        <v/>
      </c>
      <c r="B337" s="197" t="str">
        <f aca="false">IF(A337&lt;mthend,B336,"")</f>
        <v/>
      </c>
      <c r="C337" s="215"/>
      <c r="D337" s="197" t="str">
        <f aca="false">IF(A338&lt;&gt;"",B337+C337,"")</f>
        <v/>
      </c>
      <c r="E337" s="199" t="str">
        <f aca="false">IF(A338="","",IF(AND(AT337=1,$H$3=1),D337*AO337,IF($H$3=2,D337,"N/A")))</f>
        <v/>
      </c>
      <c r="F337" s="199" t="str">
        <f aca="false">IF(A338="","",E337*AS337)</f>
        <v/>
      </c>
      <c r="G337" s="200" t="str">
        <f aca="false">IF($A338="","",VLOOKUP($A337,Table,MATCH(G$4,Curves,0)))</f>
        <v/>
      </c>
      <c r="H337" s="201" t="str">
        <f aca="false">IF(A338="","",G337)</f>
        <v/>
      </c>
      <c r="I337" s="202"/>
      <c r="J337" s="200" t="str">
        <f aca="false">IF($A338="","",VLOOKUP($A337,Table,MATCH(J$4,Curves,0)))</f>
        <v/>
      </c>
      <c r="K337" s="201" t="str">
        <f aca="false">IF(A338="","",J337)</f>
        <v/>
      </c>
      <c r="L337" s="200" t="str">
        <f aca="false">IF($A338="","",VLOOKUP($A337,Table,MATCH(L$4,Curves,0)))</f>
        <v/>
      </c>
      <c r="M337" s="201" t="str">
        <f aca="false">IF(A338="","",L337)</f>
        <v/>
      </c>
      <c r="N337" s="203"/>
      <c r="O337" s="200" t="str">
        <f aca="false">IF(A338="","",L337+J337+G337)</f>
        <v/>
      </c>
      <c r="P337" s="200" t="str">
        <f aca="false">IF(A338="","",M337+K337+H337)</f>
        <v/>
      </c>
      <c r="Q337" s="204"/>
      <c r="R337" s="200" t="str">
        <f aca="false">IF($A338="","",VLOOKUP($A337,Table,MATCH(R$4,Curves,0)))</f>
        <v/>
      </c>
      <c r="S337" s="201" t="str">
        <f aca="false">IF(A338="","",R337)</f>
        <v/>
      </c>
      <c r="T337" s="185" t="n">
        <v>0</v>
      </c>
      <c r="U337" s="201" t="str">
        <f aca="false">IF(A338="","",T337)</f>
        <v/>
      </c>
      <c r="V337" s="205" t="str">
        <f aca="false">IF($A338="","",IF(AND(MONTH(A337)&gt;3,MONTH(A337)&lt;11),(T337+R337+G337)*Summary!$T$11/(1-Summary!$T$11),(T337+R337+G337)*Summary!$U$11/(1-Summary!$U$11)))</f>
        <v/>
      </c>
      <c r="W337" s="202" t="str">
        <f aca="false">IF($A338="","",(T337+R337+G337+V337))</f>
        <v/>
      </c>
      <c r="X337" s="202" t="str">
        <f aca="false">IF($A338="","",(U337+S337+H337+V337))</f>
        <v/>
      </c>
      <c r="Y337" s="202"/>
      <c r="Z337" s="185" t="str">
        <f aca="false">IF($A338="","",VLOOKUP($A337,Table,MATCH(Z$4,Curves,0)))</f>
        <v/>
      </c>
      <c r="AA337" s="185" t="str">
        <f aca="false">IF($A338="","",VLOOKUP($A337,Table,MATCH(AA$4,Curves,0)))</f>
        <v/>
      </c>
      <c r="AB337" s="185" t="e">
        <f aca="false">SQRT((AA337^2*(A337-$D$3)+Z337^2*(DAY(EOMONTH(A337,0))/2))/AK337)</f>
        <v>#VALUE!</v>
      </c>
      <c r="AC337" s="185" t="str">
        <f aca="false">IF($A338="","",VLOOKUP($A337,Table,MATCH(AC$4,Curves,0)))</f>
        <v/>
      </c>
      <c r="AD337" s="185" t="str">
        <f aca="false">IF($A338="","",VLOOKUP($A337,Table,MATCH(AD$4,Curves,0)))</f>
        <v/>
      </c>
      <c r="AE337" s="185" t="e">
        <f aca="false">SQRT((AD337^2*(A337-$D$3)+AC337^2*(DAY(EOMONTH(A337,0))/2))/AK337)</f>
        <v>#VALUE!</v>
      </c>
      <c r="AF337" s="206" t="e">
        <f aca="false">((Summary!$N$11*(AA337*AD337)*(A337-$D$3))+(Summary!$M$11*Z337*AC337*(AJ337-EOMONTH(EDATE(A337,-1),0))))/(AK337*AB337*AE337)</f>
        <v>#VALUE!</v>
      </c>
      <c r="AG337" s="207" t="str">
        <f aca="false">IF($A338="","",Summary!$Q$11)</f>
        <v/>
      </c>
      <c r="AH337" s="207" t="str">
        <f aca="false">IF($A338="","",IF(Summary!$R$11="Y",(VLOOKUP($A337,Summary!$AD$6:$AF$9,3)+'Escalating commodity'!G350),'Escalating commodity'!G350))</f>
        <v/>
      </c>
      <c r="AI337" s="207" t="str">
        <f aca="false">IF($A338="","",AH337)</f>
        <v/>
      </c>
      <c r="AJ337" s="208" t="e">
        <f aca="false">A337+DAY(EOMONTH(A337,0))/2-1</f>
        <v>#VALUE!</v>
      </c>
      <c r="AK337" s="209" t="str">
        <f aca="false">IF($A338="","",$A337-$E$1)</f>
        <v/>
      </c>
      <c r="AL337" s="182" t="str">
        <f aca="false">IF($A338="","",SPRDOPT(P337,X337,AI337,0,AB337,AE337,AF337,AK337,$AJ$2,0))</f>
        <v/>
      </c>
      <c r="AM337" s="210" t="str">
        <f aca="false">IF($A338="","",MAX(0,O337-W337-AI337))</f>
        <v/>
      </c>
      <c r="AN337" s="211" t="str">
        <f aca="false">IF($A338="","",AL337-AM337)</f>
        <v/>
      </c>
      <c r="AO337" s="137" t="str">
        <f aca="false">IF(A338="","",A338-A337)</f>
        <v/>
      </c>
      <c r="AP337" s="212" t="str">
        <f aca="false">IF(A338="","",CHOOSE(F$3,A338+24,A337))</f>
        <v/>
      </c>
      <c r="AQ337" s="209" t="str">
        <f aca="false">IF(A338="","",AP337-$E$1)</f>
        <v/>
      </c>
      <c r="AR337" s="185" t="n">
        <f aca="false">'ANR OK vs ML7'!AR337</f>
        <v>0.1</v>
      </c>
      <c r="AS337" s="213" t="str">
        <f aca="false">IF(A338="","",1/(1+CHOOSE(F$3,(AR338+($I$3/10000))/2,(AR337+($I$3/10000))/2))^(2*AQ337/365.25))</f>
        <v/>
      </c>
      <c r="AT337" s="137" t="str">
        <f aca="false">IF(A338="","",IF(AND(mthbeg&lt;=A337,mthend&gt;=A337),1,0))</f>
        <v/>
      </c>
      <c r="AU337" s="137" t="str">
        <f aca="false">IF(A338="","",AO337*AT337)</f>
        <v/>
      </c>
      <c r="AW337" s="195" t="str">
        <f aca="false">IF($A338="","",AL337*$E337)</f>
        <v/>
      </c>
      <c r="AX337" s="195" t="str">
        <f aca="false">IF($A338="","",AM337*$E337)</f>
        <v/>
      </c>
      <c r="AY337" s="195" t="str">
        <f aca="false">IF($A338="","",AN337*$E337)</f>
        <v/>
      </c>
      <c r="BA337" s="195" t="str">
        <f aca="false">IF($A338="","",F337*Summary!$Q$11)</f>
        <v/>
      </c>
    </row>
    <row r="338" customFormat="false" ht="12" hidden="false" customHeight="true" outlineLevel="0" collapsed="false">
      <c r="A338" s="196" t="str">
        <f aca="false">IF(A337&lt;mthend,EDATE(A337,1),"")</f>
        <v/>
      </c>
      <c r="B338" s="197" t="str">
        <f aca="false">IF(A338&lt;mthend,B337,"")</f>
        <v/>
      </c>
      <c r="C338" s="215"/>
      <c r="D338" s="197" t="str">
        <f aca="false">IF(A339&lt;&gt;"",B338+C338,"")</f>
        <v/>
      </c>
      <c r="E338" s="199" t="str">
        <f aca="false">IF(A339="","",IF(AND(AT338=1,$H$3=1),D338*AO338,IF($H$3=2,D338,"N/A")))</f>
        <v/>
      </c>
      <c r="F338" s="199" t="str">
        <f aca="false">IF(A339="","",E338*AS338)</f>
        <v/>
      </c>
      <c r="G338" s="200" t="str">
        <f aca="false">IF($A339="","",VLOOKUP($A338,Table,MATCH(G$4,Curves,0)))</f>
        <v/>
      </c>
      <c r="H338" s="201" t="str">
        <f aca="false">IF(A339="","",G338)</f>
        <v/>
      </c>
      <c r="I338" s="202"/>
      <c r="J338" s="200" t="str">
        <f aca="false">IF($A339="","",VLOOKUP($A338,Table,MATCH(J$4,Curves,0)))</f>
        <v/>
      </c>
      <c r="K338" s="201" t="str">
        <f aca="false">IF(A339="","",J338)</f>
        <v/>
      </c>
      <c r="L338" s="200" t="str">
        <f aca="false">IF($A339="","",VLOOKUP($A338,Table,MATCH(L$4,Curves,0)))</f>
        <v/>
      </c>
      <c r="M338" s="201" t="str">
        <f aca="false">IF(A339="","",L338)</f>
        <v/>
      </c>
      <c r="N338" s="203"/>
      <c r="O338" s="200" t="str">
        <f aca="false">IF(A339="","",L338+J338+G338)</f>
        <v/>
      </c>
      <c r="P338" s="200" t="str">
        <f aca="false">IF(A339="","",M338+K338+H338)</f>
        <v/>
      </c>
      <c r="Q338" s="204"/>
      <c r="R338" s="200" t="str">
        <f aca="false">IF($A339="","",VLOOKUP($A338,Table,MATCH(R$4,Curves,0)))</f>
        <v/>
      </c>
      <c r="S338" s="201" t="str">
        <f aca="false">IF(A339="","",R338)</f>
        <v/>
      </c>
      <c r="T338" s="185" t="n">
        <v>0</v>
      </c>
      <c r="U338" s="201" t="str">
        <f aca="false">IF(A339="","",T338)</f>
        <v/>
      </c>
      <c r="V338" s="205" t="str">
        <f aca="false">IF($A339="","",IF(AND(MONTH(A338)&gt;3,MONTH(A338)&lt;11),(T338+R338+G338)*Summary!$T$11/(1-Summary!$T$11),(T338+R338+G338)*Summary!$U$11/(1-Summary!$U$11)))</f>
        <v/>
      </c>
      <c r="W338" s="202" t="str">
        <f aca="false">IF($A339="","",(T338+R338+G338+V338))</f>
        <v/>
      </c>
      <c r="X338" s="202" t="str">
        <f aca="false">IF($A339="","",(U338+S338+H338+V338))</f>
        <v/>
      </c>
      <c r="Y338" s="202"/>
      <c r="Z338" s="185" t="str">
        <f aca="false">IF($A339="","",VLOOKUP($A338,Table,MATCH(Z$4,Curves,0)))</f>
        <v/>
      </c>
      <c r="AA338" s="185" t="str">
        <f aca="false">IF($A339="","",VLOOKUP($A338,Table,MATCH(AA$4,Curves,0)))</f>
        <v/>
      </c>
      <c r="AB338" s="185" t="e">
        <f aca="false">SQRT((AA338^2*(A338-$D$3)+Z338^2*(DAY(EOMONTH(A338,0))/2))/AK338)</f>
        <v>#VALUE!</v>
      </c>
      <c r="AC338" s="185" t="str">
        <f aca="false">IF($A339="","",VLOOKUP($A338,Table,MATCH(AC$4,Curves,0)))</f>
        <v/>
      </c>
      <c r="AD338" s="185" t="str">
        <f aca="false">IF($A339="","",VLOOKUP($A338,Table,MATCH(AD$4,Curves,0)))</f>
        <v/>
      </c>
      <c r="AE338" s="185" t="e">
        <f aca="false">SQRT((AD338^2*(A338-$D$3)+AC338^2*(DAY(EOMONTH(A338,0))/2))/AK338)</f>
        <v>#VALUE!</v>
      </c>
      <c r="AF338" s="206" t="e">
        <f aca="false">((Summary!$N$11*(AA338*AD338)*(A338-$D$3))+(Summary!$M$11*Z338*AC338*(AJ338-EOMONTH(EDATE(A338,-1),0))))/(AK338*AB338*AE338)</f>
        <v>#VALUE!</v>
      </c>
      <c r="AG338" s="207" t="str">
        <f aca="false">IF($A339="","",Summary!$Q$11)</f>
        <v/>
      </c>
      <c r="AH338" s="207" t="str">
        <f aca="false">IF($A339="","",IF(Summary!$R$11="Y",(VLOOKUP($A338,Summary!$AD$6:$AF$9,3)+'Escalating commodity'!G351),'Escalating commodity'!G351))</f>
        <v/>
      </c>
      <c r="AI338" s="207" t="str">
        <f aca="false">IF($A339="","",AH338)</f>
        <v/>
      </c>
      <c r="AJ338" s="208" t="e">
        <f aca="false">A338+DAY(EOMONTH(A338,0))/2-1</f>
        <v>#VALUE!</v>
      </c>
      <c r="AK338" s="209" t="str">
        <f aca="false">IF($A339="","",$A338-$E$1)</f>
        <v/>
      </c>
      <c r="AL338" s="182" t="str">
        <f aca="false">IF($A339="","",SPRDOPT(P338,X338,AI338,0,AB338,AE338,AF338,AK338,$AJ$2,0))</f>
        <v/>
      </c>
      <c r="AM338" s="210" t="str">
        <f aca="false">IF($A339="","",MAX(0,O338-W338-AI338))</f>
        <v/>
      </c>
      <c r="AN338" s="211" t="str">
        <f aca="false">IF($A339="","",AL338-AM338)</f>
        <v/>
      </c>
      <c r="AO338" s="137" t="str">
        <f aca="false">IF(A339="","",A339-A338)</f>
        <v/>
      </c>
      <c r="AP338" s="212" t="str">
        <f aca="false">IF(A339="","",CHOOSE(F$3,A339+24,A338))</f>
        <v/>
      </c>
      <c r="AQ338" s="209" t="str">
        <f aca="false">IF(A339="","",AP338-$E$1)</f>
        <v/>
      </c>
      <c r="AR338" s="185" t="n">
        <f aca="false">'ANR OK vs ML7'!AR338</f>
        <v>0.1</v>
      </c>
      <c r="AS338" s="213" t="str">
        <f aca="false">IF(A339="","",1/(1+CHOOSE(F$3,(AR339+($I$3/10000))/2,(AR338+($I$3/10000))/2))^(2*AQ338/365.25))</f>
        <v/>
      </c>
      <c r="AT338" s="137" t="str">
        <f aca="false">IF(A339="","",IF(AND(mthbeg&lt;=A338,mthend&gt;=A338),1,0))</f>
        <v/>
      </c>
      <c r="AU338" s="137" t="str">
        <f aca="false">IF(A339="","",AO338*AT338)</f>
        <v/>
      </c>
      <c r="AW338" s="195" t="str">
        <f aca="false">IF($A339="","",AL338*$E338)</f>
        <v/>
      </c>
      <c r="AX338" s="195" t="str">
        <f aca="false">IF($A339="","",AM338*$E338)</f>
        <v/>
      </c>
      <c r="AY338" s="195" t="str">
        <f aca="false">IF($A339="","",AN338*$E338)</f>
        <v/>
      </c>
      <c r="BA338" s="195" t="str">
        <f aca="false">IF($A339="","",F338*Summary!$Q$11)</f>
        <v/>
      </c>
    </row>
    <row r="339" customFormat="false" ht="12" hidden="false" customHeight="true" outlineLevel="0" collapsed="false">
      <c r="A339" s="196" t="str">
        <f aca="false">IF(A338&lt;mthend,EDATE(A338,1),"")</f>
        <v/>
      </c>
      <c r="B339" s="197" t="str">
        <f aca="false">IF(A339&lt;mthend,B338,"")</f>
        <v/>
      </c>
      <c r="C339" s="215"/>
      <c r="D339" s="197" t="str">
        <f aca="false">IF(A340&lt;&gt;"",B339+C339,"")</f>
        <v/>
      </c>
      <c r="E339" s="199" t="str">
        <f aca="false">IF(A340="","",IF(AND(AT339=1,$H$3=1),D339*AO339,IF($H$3=2,D339,"N/A")))</f>
        <v/>
      </c>
      <c r="F339" s="199" t="str">
        <f aca="false">IF(A340="","",E339*AS339)</f>
        <v/>
      </c>
      <c r="G339" s="200" t="str">
        <f aca="false">IF($A340="","",VLOOKUP($A339,Table,MATCH(G$4,Curves,0)))</f>
        <v/>
      </c>
      <c r="H339" s="201" t="str">
        <f aca="false">IF(A340="","",G339)</f>
        <v/>
      </c>
      <c r="I339" s="202"/>
      <c r="J339" s="200" t="str">
        <f aca="false">IF($A340="","",VLOOKUP($A339,Table,MATCH(J$4,Curves,0)))</f>
        <v/>
      </c>
      <c r="K339" s="201" t="str">
        <f aca="false">IF(A340="","",J339)</f>
        <v/>
      </c>
      <c r="L339" s="200" t="str">
        <f aca="false">IF($A340="","",VLOOKUP($A339,Table,MATCH(L$4,Curves,0)))</f>
        <v/>
      </c>
      <c r="M339" s="201" t="str">
        <f aca="false">IF(A340="","",L339)</f>
        <v/>
      </c>
      <c r="N339" s="203"/>
      <c r="O339" s="200" t="str">
        <f aca="false">IF(A340="","",L339+J339+G339)</f>
        <v/>
      </c>
      <c r="P339" s="200" t="str">
        <f aca="false">IF(A340="","",M339+K339+H339)</f>
        <v/>
      </c>
      <c r="Q339" s="204"/>
      <c r="R339" s="200" t="str">
        <f aca="false">IF($A340="","",VLOOKUP($A339,Table,MATCH(R$4,Curves,0)))</f>
        <v/>
      </c>
      <c r="S339" s="201" t="str">
        <f aca="false">IF(A340="","",R339)</f>
        <v/>
      </c>
      <c r="T339" s="185" t="n">
        <v>0</v>
      </c>
      <c r="U339" s="201" t="str">
        <f aca="false">IF(A340="","",T339)</f>
        <v/>
      </c>
      <c r="V339" s="205" t="str">
        <f aca="false">IF($A340="","",IF(AND(MONTH(A339)&gt;3,MONTH(A339)&lt;11),(T339+R339+G339)*Summary!$T$11/(1-Summary!$T$11),(T339+R339+G339)*Summary!$U$11/(1-Summary!$U$11)))</f>
        <v/>
      </c>
      <c r="W339" s="202" t="str">
        <f aca="false">IF($A340="","",(T339+R339+G339+V339))</f>
        <v/>
      </c>
      <c r="X339" s="202" t="str">
        <f aca="false">IF($A340="","",(U339+S339+H339+V339))</f>
        <v/>
      </c>
      <c r="Y339" s="202"/>
      <c r="Z339" s="185" t="str">
        <f aca="false">IF($A340="","",VLOOKUP($A339,Table,MATCH(Z$4,Curves,0)))</f>
        <v/>
      </c>
      <c r="AA339" s="185" t="str">
        <f aca="false">IF($A340="","",VLOOKUP($A339,Table,MATCH(AA$4,Curves,0)))</f>
        <v/>
      </c>
      <c r="AB339" s="185" t="e">
        <f aca="false">SQRT((AA339^2*(A339-$D$3)+Z339^2*(DAY(EOMONTH(A339,0))/2))/AK339)</f>
        <v>#VALUE!</v>
      </c>
      <c r="AC339" s="185" t="str">
        <f aca="false">IF($A340="","",VLOOKUP($A339,Table,MATCH(AC$4,Curves,0)))</f>
        <v/>
      </c>
      <c r="AD339" s="185" t="str">
        <f aca="false">IF($A340="","",VLOOKUP($A339,Table,MATCH(AD$4,Curves,0)))</f>
        <v/>
      </c>
      <c r="AE339" s="185" t="e">
        <f aca="false">SQRT((AD339^2*(A339-$D$3)+AC339^2*(DAY(EOMONTH(A339,0))/2))/AK339)</f>
        <v>#VALUE!</v>
      </c>
      <c r="AF339" s="206" t="e">
        <f aca="false">((Summary!$N$11*(AA339*AD339)*(A339-$D$3))+(Summary!$M$11*Z339*AC339*(AJ339-EOMONTH(EDATE(A339,-1),0))))/(AK339*AB339*AE339)</f>
        <v>#VALUE!</v>
      </c>
      <c r="AG339" s="207" t="str">
        <f aca="false">IF($A340="","",Summary!$Q$11)</f>
        <v/>
      </c>
      <c r="AH339" s="207" t="str">
        <f aca="false">IF($A340="","",IF(Summary!$R$11="Y",(VLOOKUP($A339,Summary!$AD$6:$AF$9,3)+'Escalating commodity'!G352),'Escalating commodity'!G352))</f>
        <v/>
      </c>
      <c r="AI339" s="207" t="str">
        <f aca="false">IF($A340="","",AH339)</f>
        <v/>
      </c>
      <c r="AJ339" s="208" t="e">
        <f aca="false">A339+DAY(EOMONTH(A339,0))/2-1</f>
        <v>#VALUE!</v>
      </c>
      <c r="AK339" s="209" t="str">
        <f aca="false">IF($A340="","",$A339-$E$1)</f>
        <v/>
      </c>
      <c r="AL339" s="182" t="str">
        <f aca="false">IF($A340="","",SPRDOPT(P339,X339,AI339,0,AB339,AE339,AF339,AK339,$AJ$2,0))</f>
        <v/>
      </c>
      <c r="AM339" s="210" t="str">
        <f aca="false">IF($A340="","",MAX(0,O339-W339-AI339))</f>
        <v/>
      </c>
      <c r="AN339" s="211" t="str">
        <f aca="false">IF($A340="","",AL339-AM339)</f>
        <v/>
      </c>
      <c r="AO339" s="137" t="str">
        <f aca="false">IF(A340="","",A340-A339)</f>
        <v/>
      </c>
      <c r="AP339" s="212" t="str">
        <f aca="false">IF(A340="","",CHOOSE(F$3,A340+24,A339))</f>
        <v/>
      </c>
      <c r="AQ339" s="209" t="str">
        <f aca="false">IF(A340="","",AP339-$E$1)</f>
        <v/>
      </c>
      <c r="AR339" s="185" t="n">
        <f aca="false">'ANR OK vs ML7'!AR339</f>
        <v>0.1</v>
      </c>
      <c r="AS339" s="213" t="str">
        <f aca="false">IF(A340="","",1/(1+CHOOSE(F$3,(AR340+($I$3/10000))/2,(AR339+($I$3/10000))/2))^(2*AQ339/365.25))</f>
        <v/>
      </c>
      <c r="AT339" s="137" t="str">
        <f aca="false">IF(A340="","",IF(AND(mthbeg&lt;=A339,mthend&gt;=A339),1,0))</f>
        <v/>
      </c>
      <c r="AU339" s="137" t="str">
        <f aca="false">IF(A340="","",AO339*AT339)</f>
        <v/>
      </c>
      <c r="AW339" s="195" t="str">
        <f aca="false">IF($A340="","",AL339*$E339)</f>
        <v/>
      </c>
      <c r="AX339" s="195" t="str">
        <f aca="false">IF($A340="","",AM339*$E339)</f>
        <v/>
      </c>
      <c r="AY339" s="195" t="str">
        <f aca="false">IF($A340="","",AN339*$E339)</f>
        <v/>
      </c>
      <c r="BA339" s="195" t="str">
        <f aca="false">IF($A340="","",F339*Summary!$Q$11)</f>
        <v/>
      </c>
    </row>
    <row r="340" customFormat="false" ht="12" hidden="false" customHeight="true" outlineLevel="0" collapsed="false">
      <c r="A340" s="196" t="str">
        <f aca="false">IF(A339&lt;mthend,EDATE(A339,1),"")</f>
        <v/>
      </c>
      <c r="B340" s="197" t="str">
        <f aca="false">IF(A340&lt;mthend,B339,"")</f>
        <v/>
      </c>
      <c r="C340" s="215"/>
      <c r="D340" s="197" t="str">
        <f aca="false">IF(A341&lt;&gt;"",B340+C340,"")</f>
        <v/>
      </c>
      <c r="E340" s="199" t="str">
        <f aca="false">IF(A341="","",IF(AND(AT340=1,$H$3=1),D340*AO340,IF($H$3=2,D340,"N/A")))</f>
        <v/>
      </c>
      <c r="F340" s="199" t="str">
        <f aca="false">IF(A341="","",E340*AS340)</f>
        <v/>
      </c>
      <c r="G340" s="200" t="str">
        <f aca="false">IF($A341="","",VLOOKUP($A340,Table,MATCH(G$4,Curves,0)))</f>
        <v/>
      </c>
      <c r="H340" s="201" t="str">
        <f aca="false">IF(A341="","",G340)</f>
        <v/>
      </c>
      <c r="I340" s="202"/>
      <c r="J340" s="200" t="str">
        <f aca="false">IF($A341="","",VLOOKUP($A340,Table,MATCH(J$4,Curves,0)))</f>
        <v/>
      </c>
      <c r="K340" s="201" t="str">
        <f aca="false">IF(A341="","",J340)</f>
        <v/>
      </c>
      <c r="L340" s="200" t="str">
        <f aca="false">IF($A341="","",VLOOKUP($A340,Table,MATCH(L$4,Curves,0)))</f>
        <v/>
      </c>
      <c r="M340" s="201" t="str">
        <f aca="false">IF(A341="","",L340)</f>
        <v/>
      </c>
      <c r="N340" s="203"/>
      <c r="O340" s="200" t="str">
        <f aca="false">IF(A341="","",L340+J340+G340)</f>
        <v/>
      </c>
      <c r="P340" s="200" t="str">
        <f aca="false">IF(A341="","",M340+K340+H340)</f>
        <v/>
      </c>
      <c r="Q340" s="204"/>
      <c r="R340" s="200" t="str">
        <f aca="false">IF($A341="","",VLOOKUP($A340,Table,MATCH(R$4,Curves,0)))</f>
        <v/>
      </c>
      <c r="S340" s="201" t="str">
        <f aca="false">IF(A341="","",R340)</f>
        <v/>
      </c>
      <c r="T340" s="185" t="n">
        <v>0</v>
      </c>
      <c r="U340" s="201" t="str">
        <f aca="false">IF(A341="","",T340)</f>
        <v/>
      </c>
      <c r="V340" s="205" t="str">
        <f aca="false">IF($A341="","",IF(AND(MONTH(A340)&gt;3,MONTH(A340)&lt;11),(T340+R340+G340)*Summary!$T$11/(1-Summary!$T$11),(T340+R340+G340)*Summary!$U$11/(1-Summary!$U$11)))</f>
        <v/>
      </c>
      <c r="W340" s="202" t="str">
        <f aca="false">IF($A341="","",(T340+R340+G340+V340))</f>
        <v/>
      </c>
      <c r="X340" s="202" t="str">
        <f aca="false">IF($A341="","",(U340+S340+H340+V340))</f>
        <v/>
      </c>
      <c r="Y340" s="202"/>
      <c r="Z340" s="185" t="str">
        <f aca="false">IF($A341="","",VLOOKUP($A340,Table,MATCH(Z$4,Curves,0)))</f>
        <v/>
      </c>
      <c r="AA340" s="185" t="str">
        <f aca="false">IF($A341="","",VLOOKUP($A340,Table,MATCH(AA$4,Curves,0)))</f>
        <v/>
      </c>
      <c r="AB340" s="185" t="e">
        <f aca="false">SQRT((AA340^2*(A340-$D$3)+Z340^2*(DAY(EOMONTH(A340,0))/2))/AK340)</f>
        <v>#VALUE!</v>
      </c>
      <c r="AC340" s="185" t="str">
        <f aca="false">IF($A341="","",VLOOKUP($A340,Table,MATCH(AC$4,Curves,0)))</f>
        <v/>
      </c>
      <c r="AD340" s="185" t="str">
        <f aca="false">IF($A341="","",VLOOKUP($A340,Table,MATCH(AD$4,Curves,0)))</f>
        <v/>
      </c>
      <c r="AE340" s="185" t="e">
        <f aca="false">SQRT((AD340^2*(A340-$D$3)+AC340^2*(DAY(EOMONTH(A340,0))/2))/AK340)</f>
        <v>#VALUE!</v>
      </c>
      <c r="AF340" s="206" t="e">
        <f aca="false">((Summary!$N$11*(AA340*AD340)*(A340-$D$3))+(Summary!$M$11*Z340*AC340*(AJ340-EOMONTH(EDATE(A340,-1),0))))/(AK340*AB340*AE340)</f>
        <v>#VALUE!</v>
      </c>
      <c r="AG340" s="207" t="str">
        <f aca="false">IF($A341="","",Summary!$Q$11)</f>
        <v/>
      </c>
      <c r="AH340" s="207" t="str">
        <f aca="false">IF($A341="","",IF(Summary!$R$11="Y",(VLOOKUP($A340,Summary!$AD$6:$AF$9,3)+'Escalating commodity'!G353),'Escalating commodity'!G353))</f>
        <v/>
      </c>
      <c r="AI340" s="207" t="str">
        <f aca="false">IF($A341="","",AH340)</f>
        <v/>
      </c>
      <c r="AJ340" s="208" t="e">
        <f aca="false">A340+DAY(EOMONTH(A340,0))/2-1</f>
        <v>#VALUE!</v>
      </c>
      <c r="AK340" s="209" t="str">
        <f aca="false">IF($A341="","",$A340-$E$1)</f>
        <v/>
      </c>
      <c r="AL340" s="182" t="str">
        <f aca="false">IF($A341="","",SPRDOPT(P340,X340,AI340,0,AB340,AE340,AF340,AK340,$AJ$2,0))</f>
        <v/>
      </c>
      <c r="AM340" s="210" t="str">
        <f aca="false">IF($A341="","",MAX(0,O340-W340-AI340))</f>
        <v/>
      </c>
      <c r="AN340" s="211" t="str">
        <f aca="false">IF($A341="","",AL340-AM340)</f>
        <v/>
      </c>
      <c r="AO340" s="137" t="str">
        <f aca="false">IF(A341="","",A341-A340)</f>
        <v/>
      </c>
      <c r="AP340" s="212" t="str">
        <f aca="false">IF(A341="","",CHOOSE(F$3,A341+24,A340))</f>
        <v/>
      </c>
      <c r="AQ340" s="209" t="str">
        <f aca="false">IF(A341="","",AP340-$E$1)</f>
        <v/>
      </c>
      <c r="AR340" s="185" t="n">
        <f aca="false">'ANR OK vs ML7'!AR340</f>
        <v>0.1</v>
      </c>
      <c r="AS340" s="213" t="str">
        <f aca="false">IF(A341="","",1/(1+CHOOSE(F$3,(AR341+($I$3/10000))/2,(AR340+($I$3/10000))/2))^(2*AQ340/365.25))</f>
        <v/>
      </c>
      <c r="AT340" s="137" t="str">
        <f aca="false">IF(A341="","",IF(AND(mthbeg&lt;=A340,mthend&gt;=A340),1,0))</f>
        <v/>
      </c>
      <c r="AU340" s="137" t="str">
        <f aca="false">IF(A341="","",AO340*AT340)</f>
        <v/>
      </c>
      <c r="AW340" s="195" t="str">
        <f aca="false">IF($A341="","",AL340*$E340)</f>
        <v/>
      </c>
      <c r="AX340" s="195" t="str">
        <f aca="false">IF($A341="","",AM340*$E340)</f>
        <v/>
      </c>
      <c r="AY340" s="195" t="str">
        <f aca="false">IF($A341="","",AN340*$E340)</f>
        <v/>
      </c>
      <c r="BA340" s="195" t="str">
        <f aca="false">IF($A341="","",F340*Summary!$Q$11)</f>
        <v/>
      </c>
    </row>
    <row r="341" customFormat="false" ht="12" hidden="false" customHeight="true" outlineLevel="0" collapsed="false">
      <c r="A341" s="196" t="str">
        <f aca="false">IF(A340&lt;mthend,EDATE(A340,1),"")</f>
        <v/>
      </c>
      <c r="B341" s="197" t="str">
        <f aca="false">IF(A341&lt;mthend,B340,"")</f>
        <v/>
      </c>
      <c r="C341" s="215"/>
      <c r="D341" s="197" t="str">
        <f aca="false">IF(A342&lt;&gt;"",B341+C341,"")</f>
        <v/>
      </c>
      <c r="E341" s="199" t="str">
        <f aca="false">IF(A342="","",IF(AND(AT341=1,$H$3=1),D341*AO341,IF($H$3=2,D341,"N/A")))</f>
        <v/>
      </c>
      <c r="F341" s="199" t="str">
        <f aca="false">IF(A342="","",E341*AS341)</f>
        <v/>
      </c>
      <c r="G341" s="200" t="str">
        <f aca="false">IF($A342="","",VLOOKUP($A341,Table,MATCH(G$4,Curves,0)))</f>
        <v/>
      </c>
      <c r="H341" s="201" t="str">
        <f aca="false">IF(A342="","",G341)</f>
        <v/>
      </c>
      <c r="I341" s="202"/>
      <c r="J341" s="200" t="str">
        <f aca="false">IF($A342="","",VLOOKUP($A341,Table,MATCH(J$4,Curves,0)))</f>
        <v/>
      </c>
      <c r="K341" s="201" t="str">
        <f aca="false">IF(A342="","",J341)</f>
        <v/>
      </c>
      <c r="L341" s="200" t="str">
        <f aca="false">IF($A342="","",VLOOKUP($A341,Table,MATCH(L$4,Curves,0)))</f>
        <v/>
      </c>
      <c r="M341" s="201" t="str">
        <f aca="false">IF(A342="","",L341)</f>
        <v/>
      </c>
      <c r="N341" s="203"/>
      <c r="O341" s="200" t="str">
        <f aca="false">IF(A342="","",L341+J341+G341)</f>
        <v/>
      </c>
      <c r="P341" s="200" t="str">
        <f aca="false">IF(A342="","",M341+K341+H341)</f>
        <v/>
      </c>
      <c r="Q341" s="204"/>
      <c r="R341" s="200" t="str">
        <f aca="false">IF($A342="","",VLOOKUP($A341,Table,MATCH(R$4,Curves,0)))</f>
        <v/>
      </c>
      <c r="S341" s="201" t="str">
        <f aca="false">IF(A342="","",R341)</f>
        <v/>
      </c>
      <c r="T341" s="185" t="n">
        <v>0</v>
      </c>
      <c r="U341" s="201" t="str">
        <f aca="false">IF(A342="","",T341)</f>
        <v/>
      </c>
      <c r="V341" s="205" t="str">
        <f aca="false">IF($A342="","",IF(AND(MONTH(A341)&gt;3,MONTH(A341)&lt;11),(T341+R341+G341)*Summary!$T$11/(1-Summary!$T$11),(T341+R341+G341)*Summary!$U$11/(1-Summary!$U$11)))</f>
        <v/>
      </c>
      <c r="W341" s="202" t="str">
        <f aca="false">IF($A342="","",(T341+R341+G341+V341))</f>
        <v/>
      </c>
      <c r="X341" s="202" t="str">
        <f aca="false">IF($A342="","",(U341+S341+H341+V341))</f>
        <v/>
      </c>
      <c r="Y341" s="202"/>
      <c r="Z341" s="185" t="str">
        <f aca="false">IF($A342="","",VLOOKUP($A341,Table,MATCH(Z$4,Curves,0)))</f>
        <v/>
      </c>
      <c r="AA341" s="185" t="str">
        <f aca="false">IF($A342="","",VLOOKUP($A341,Table,MATCH(AA$4,Curves,0)))</f>
        <v/>
      </c>
      <c r="AB341" s="185" t="e">
        <f aca="false">SQRT((AA341^2*(A341-$D$3)+Z341^2*(DAY(EOMONTH(A341,0))/2))/AK341)</f>
        <v>#VALUE!</v>
      </c>
      <c r="AC341" s="185" t="str">
        <f aca="false">IF($A342="","",VLOOKUP($A341,Table,MATCH(AC$4,Curves,0)))</f>
        <v/>
      </c>
      <c r="AD341" s="185" t="str">
        <f aca="false">IF($A342="","",VLOOKUP($A341,Table,MATCH(AD$4,Curves,0)))</f>
        <v/>
      </c>
      <c r="AE341" s="185" t="e">
        <f aca="false">SQRT((AD341^2*(A341-$D$3)+AC341^2*(DAY(EOMONTH(A341,0))/2))/AK341)</f>
        <v>#VALUE!</v>
      </c>
      <c r="AF341" s="206" t="e">
        <f aca="false">((Summary!$N$11*(AA341*AD341)*(A341-$D$3))+(Summary!$M$11*Z341*AC341*(AJ341-EOMONTH(EDATE(A341,-1),0))))/(AK341*AB341*AE341)</f>
        <v>#VALUE!</v>
      </c>
      <c r="AG341" s="207" t="str">
        <f aca="false">IF($A342="","",Summary!$Q$11)</f>
        <v/>
      </c>
      <c r="AH341" s="207" t="str">
        <f aca="false">IF($A342="","",IF(Summary!$R$11="Y",(VLOOKUP($A341,Summary!$AD$6:$AF$9,3)+'Escalating commodity'!G354),'Escalating commodity'!G354))</f>
        <v/>
      </c>
      <c r="AI341" s="207" t="str">
        <f aca="false">IF($A342="","",AH341)</f>
        <v/>
      </c>
      <c r="AJ341" s="208" t="e">
        <f aca="false">A341+DAY(EOMONTH(A341,0))/2-1</f>
        <v>#VALUE!</v>
      </c>
      <c r="AK341" s="209" t="str">
        <f aca="false">IF($A342="","",$A341-$E$1)</f>
        <v/>
      </c>
      <c r="AL341" s="182" t="str">
        <f aca="false">IF($A342="","",SPRDOPT(P341,X341,AI341,0,AB341,AE341,AF341,AK341,$AJ$2,0))</f>
        <v/>
      </c>
      <c r="AM341" s="210" t="str">
        <f aca="false">IF($A342="","",MAX(0,O341-W341-AI341))</f>
        <v/>
      </c>
      <c r="AN341" s="211" t="str">
        <f aca="false">IF($A342="","",AL341-AM341)</f>
        <v/>
      </c>
      <c r="AO341" s="137" t="str">
        <f aca="false">IF(A342="","",A342-A341)</f>
        <v/>
      </c>
      <c r="AP341" s="212" t="str">
        <f aca="false">IF(A342="","",CHOOSE(F$3,A342+24,A341))</f>
        <v/>
      </c>
      <c r="AQ341" s="209" t="str">
        <f aca="false">IF(A342="","",AP341-$E$1)</f>
        <v/>
      </c>
      <c r="AR341" s="185" t="n">
        <f aca="false">'ANR OK vs ML7'!AR341</f>
        <v>0.1</v>
      </c>
      <c r="AS341" s="213" t="str">
        <f aca="false">IF(A342="","",1/(1+CHOOSE(F$3,(AR342+($I$3/10000))/2,(AR341+($I$3/10000))/2))^(2*AQ341/365.25))</f>
        <v/>
      </c>
      <c r="AT341" s="137" t="str">
        <f aca="false">IF(A342="","",IF(AND(mthbeg&lt;=A341,mthend&gt;=A341),1,0))</f>
        <v/>
      </c>
      <c r="AU341" s="137" t="str">
        <f aca="false">IF(A342="","",AO341*AT341)</f>
        <v/>
      </c>
      <c r="AW341" s="195" t="str">
        <f aca="false">IF($A342="","",AL341*$E341)</f>
        <v/>
      </c>
      <c r="AX341" s="195" t="str">
        <f aca="false">IF($A342="","",AM341*$E341)</f>
        <v/>
      </c>
      <c r="AY341" s="195" t="str">
        <f aca="false">IF($A342="","",AN341*$E341)</f>
        <v/>
      </c>
      <c r="BA341" s="195" t="str">
        <f aca="false">IF($A342="","",F341*Summary!$Q$11)</f>
        <v/>
      </c>
    </row>
    <row r="342" customFormat="false" ht="12" hidden="false" customHeight="true" outlineLevel="0" collapsed="false">
      <c r="A342" s="196" t="str">
        <f aca="false">IF(A341&lt;mthend,EDATE(A341,1),"")</f>
        <v/>
      </c>
      <c r="B342" s="197" t="str">
        <f aca="false">IF(A342&lt;mthend,B341,"")</f>
        <v/>
      </c>
      <c r="C342" s="215"/>
      <c r="D342" s="197" t="str">
        <f aca="false">IF(A343&lt;&gt;"",B342+C342,"")</f>
        <v/>
      </c>
      <c r="E342" s="199" t="str">
        <f aca="false">IF(A343="","",IF(AND(AT342=1,$H$3=1),D342*AO342,IF($H$3=2,D342,"N/A")))</f>
        <v/>
      </c>
      <c r="F342" s="199" t="str">
        <f aca="false">IF(A343="","",E342*AS342)</f>
        <v/>
      </c>
      <c r="G342" s="200" t="str">
        <f aca="false">IF($A343="","",VLOOKUP($A342,Table,MATCH(G$4,Curves,0)))</f>
        <v/>
      </c>
      <c r="H342" s="201" t="str">
        <f aca="false">IF(A343="","",G342)</f>
        <v/>
      </c>
      <c r="I342" s="202"/>
      <c r="J342" s="200" t="str">
        <f aca="false">IF($A343="","",VLOOKUP($A342,Table,MATCH(J$4,Curves,0)))</f>
        <v/>
      </c>
      <c r="K342" s="201" t="str">
        <f aca="false">IF(A343="","",J342)</f>
        <v/>
      </c>
      <c r="L342" s="200" t="str">
        <f aca="false">IF($A343="","",VLOOKUP($A342,Table,MATCH(L$4,Curves,0)))</f>
        <v/>
      </c>
      <c r="M342" s="201" t="str">
        <f aca="false">IF(A343="","",L342)</f>
        <v/>
      </c>
      <c r="N342" s="203"/>
      <c r="O342" s="200" t="str">
        <f aca="false">IF(A343="","",L342+J342+G342)</f>
        <v/>
      </c>
      <c r="P342" s="200" t="str">
        <f aca="false">IF(A343="","",M342+K342+H342)</f>
        <v/>
      </c>
      <c r="Q342" s="204"/>
      <c r="R342" s="200" t="str">
        <f aca="false">IF($A343="","",VLOOKUP($A342,Table,MATCH(R$4,Curves,0)))</f>
        <v/>
      </c>
      <c r="S342" s="201" t="str">
        <f aca="false">IF(A343="","",R342)</f>
        <v/>
      </c>
      <c r="T342" s="185" t="n">
        <v>0</v>
      </c>
      <c r="U342" s="201" t="str">
        <f aca="false">IF(A343="","",T342)</f>
        <v/>
      </c>
      <c r="V342" s="205" t="str">
        <f aca="false">IF($A343="","",IF(AND(MONTH(A342)&gt;3,MONTH(A342)&lt;11),(T342+R342+G342)*Summary!$T$11/(1-Summary!$T$11),(T342+R342+G342)*Summary!$U$11/(1-Summary!$U$11)))</f>
        <v/>
      </c>
      <c r="W342" s="202" t="str">
        <f aca="false">IF($A343="","",(T342+R342+G342+V342))</f>
        <v/>
      </c>
      <c r="X342" s="202" t="str">
        <f aca="false">IF($A343="","",(U342+S342+H342+V342))</f>
        <v/>
      </c>
      <c r="Y342" s="202"/>
      <c r="Z342" s="185" t="str">
        <f aca="false">IF($A343="","",VLOOKUP($A342,Table,MATCH(Z$4,Curves,0)))</f>
        <v/>
      </c>
      <c r="AA342" s="185" t="str">
        <f aca="false">IF($A343="","",VLOOKUP($A342,Table,MATCH(AA$4,Curves,0)))</f>
        <v/>
      </c>
      <c r="AB342" s="185" t="e">
        <f aca="false">SQRT((AA342^2*(A342-$D$3)+Z342^2*(DAY(EOMONTH(A342,0))/2))/AK342)</f>
        <v>#VALUE!</v>
      </c>
      <c r="AC342" s="185" t="str">
        <f aca="false">IF($A343="","",VLOOKUP($A342,Table,MATCH(AC$4,Curves,0)))</f>
        <v/>
      </c>
      <c r="AD342" s="185" t="str">
        <f aca="false">IF($A343="","",VLOOKUP($A342,Table,MATCH(AD$4,Curves,0)))</f>
        <v/>
      </c>
      <c r="AE342" s="185" t="e">
        <f aca="false">SQRT((AD342^2*(A342-$D$3)+AC342^2*(DAY(EOMONTH(A342,0))/2))/AK342)</f>
        <v>#VALUE!</v>
      </c>
      <c r="AF342" s="206" t="e">
        <f aca="false">((Summary!$N$11*(AA342*AD342)*(A342-$D$3))+(Summary!$M$11*Z342*AC342*(AJ342-EOMONTH(EDATE(A342,-1),0))))/(AK342*AB342*AE342)</f>
        <v>#VALUE!</v>
      </c>
      <c r="AG342" s="207" t="str">
        <f aca="false">IF($A343="","",Summary!$Q$11)</f>
        <v/>
      </c>
      <c r="AH342" s="207" t="str">
        <f aca="false">IF($A343="","",IF(Summary!$R$11="Y",(VLOOKUP($A342,Summary!$AD$6:$AF$9,3)+'Escalating commodity'!G355),'Escalating commodity'!G355))</f>
        <v/>
      </c>
      <c r="AI342" s="207" t="str">
        <f aca="false">IF($A343="","",AH342)</f>
        <v/>
      </c>
      <c r="AJ342" s="208" t="e">
        <f aca="false">A342+DAY(EOMONTH(A342,0))/2-1</f>
        <v>#VALUE!</v>
      </c>
      <c r="AK342" s="209" t="str">
        <f aca="false">IF($A343="","",$A342-$E$1)</f>
        <v/>
      </c>
      <c r="AL342" s="182" t="str">
        <f aca="false">IF($A343="","",SPRDOPT(P342,X342,AI342,0,AB342,AE342,AF342,AK342,$AJ$2,0))</f>
        <v/>
      </c>
      <c r="AM342" s="210" t="str">
        <f aca="false">IF($A343="","",MAX(0,O342-W342-AI342))</f>
        <v/>
      </c>
      <c r="AN342" s="211" t="str">
        <f aca="false">IF($A343="","",AL342-AM342)</f>
        <v/>
      </c>
      <c r="AO342" s="137" t="str">
        <f aca="false">IF(A343="","",A343-A342)</f>
        <v/>
      </c>
      <c r="AP342" s="212" t="str">
        <f aca="false">IF(A343="","",CHOOSE(F$3,A343+24,A342))</f>
        <v/>
      </c>
      <c r="AQ342" s="209" t="str">
        <f aca="false">IF(A343="","",AP342-$E$1)</f>
        <v/>
      </c>
      <c r="AR342" s="185" t="n">
        <f aca="false">'ANR OK vs ML7'!AR342</f>
        <v>0.1</v>
      </c>
      <c r="AS342" s="213" t="str">
        <f aca="false">IF(A343="","",1/(1+CHOOSE(F$3,(AR343+($I$3/10000))/2,(AR342+($I$3/10000))/2))^(2*AQ342/365.25))</f>
        <v/>
      </c>
      <c r="AT342" s="137" t="str">
        <f aca="false">IF(A343="","",IF(AND(mthbeg&lt;=A342,mthend&gt;=A342),1,0))</f>
        <v/>
      </c>
      <c r="AU342" s="137" t="str">
        <f aca="false">IF(A343="","",AO342*AT342)</f>
        <v/>
      </c>
      <c r="AW342" s="195" t="str">
        <f aca="false">IF($A343="","",AL342*$E342)</f>
        <v/>
      </c>
      <c r="AX342" s="195" t="str">
        <f aca="false">IF($A343="","",AM342*$E342)</f>
        <v/>
      </c>
      <c r="AY342" s="195" t="str">
        <f aca="false">IF($A343="","",AN342*$E342)</f>
        <v/>
      </c>
      <c r="BA342" s="195" t="str">
        <f aca="false">IF($A343="","",F342*Summary!$Q$11)</f>
        <v/>
      </c>
    </row>
    <row r="343" customFormat="false" ht="12" hidden="false" customHeight="true" outlineLevel="0" collapsed="false">
      <c r="A343" s="196" t="str">
        <f aca="false">IF(A342&lt;mthend,EDATE(A342,1),"")</f>
        <v/>
      </c>
      <c r="B343" s="197" t="str">
        <f aca="false">IF(A343&lt;mthend,B342,"")</f>
        <v/>
      </c>
      <c r="C343" s="215"/>
      <c r="D343" s="197" t="str">
        <f aca="false">IF(A344&lt;&gt;"",B343+C343,"")</f>
        <v/>
      </c>
      <c r="E343" s="199" t="str">
        <f aca="false">IF(A344="","",IF(AND(AT343=1,$H$3=1),D343*AO343,IF($H$3=2,D343,"N/A")))</f>
        <v/>
      </c>
      <c r="F343" s="199" t="str">
        <f aca="false">IF(A344="","",E343*AS343)</f>
        <v/>
      </c>
      <c r="G343" s="200" t="str">
        <f aca="false">IF($A344="","",VLOOKUP($A343,Table,MATCH(G$4,Curves,0)))</f>
        <v/>
      </c>
      <c r="H343" s="201" t="str">
        <f aca="false">IF(A344="","",G343)</f>
        <v/>
      </c>
      <c r="I343" s="202"/>
      <c r="J343" s="200" t="str">
        <f aca="false">IF($A344="","",VLOOKUP($A343,Table,MATCH(J$4,Curves,0)))</f>
        <v/>
      </c>
      <c r="K343" s="201" t="str">
        <f aca="false">IF(A344="","",J343)</f>
        <v/>
      </c>
      <c r="L343" s="200" t="str">
        <f aca="false">IF($A344="","",VLOOKUP($A343,Table,MATCH(L$4,Curves,0)))</f>
        <v/>
      </c>
      <c r="M343" s="201" t="str">
        <f aca="false">IF(A344="","",L343)</f>
        <v/>
      </c>
      <c r="N343" s="203"/>
      <c r="O343" s="200" t="str">
        <f aca="false">IF(A344="","",L343+J343+G343)</f>
        <v/>
      </c>
      <c r="P343" s="200" t="str">
        <f aca="false">IF(A344="","",M343+K343+H343)</f>
        <v/>
      </c>
      <c r="Q343" s="204"/>
      <c r="R343" s="200" t="str">
        <f aca="false">IF($A344="","",VLOOKUP($A343,Table,MATCH(R$4,Curves,0)))</f>
        <v/>
      </c>
      <c r="S343" s="201" t="str">
        <f aca="false">IF(A344="","",R343)</f>
        <v/>
      </c>
      <c r="T343" s="185" t="n">
        <v>0</v>
      </c>
      <c r="U343" s="201" t="str">
        <f aca="false">IF(A344="","",T343)</f>
        <v/>
      </c>
      <c r="V343" s="205" t="str">
        <f aca="false">IF($A344="","",IF(AND(MONTH(A343)&gt;3,MONTH(A343)&lt;11),(T343+R343+G343)*Summary!$T$11/(1-Summary!$T$11),(T343+R343+G343)*Summary!$U$11/(1-Summary!$U$11)))</f>
        <v/>
      </c>
      <c r="W343" s="202" t="str">
        <f aca="false">IF($A344="","",(T343+R343+G343+V343))</f>
        <v/>
      </c>
      <c r="X343" s="202" t="str">
        <f aca="false">IF($A344="","",(U343+S343+H343+V343))</f>
        <v/>
      </c>
      <c r="Y343" s="202"/>
      <c r="Z343" s="185" t="str">
        <f aca="false">IF($A344="","",VLOOKUP($A343,Table,MATCH(Z$4,Curves,0)))</f>
        <v/>
      </c>
      <c r="AA343" s="185" t="str">
        <f aca="false">IF($A344="","",VLOOKUP($A343,Table,MATCH(AA$4,Curves,0)))</f>
        <v/>
      </c>
      <c r="AB343" s="185" t="e">
        <f aca="false">SQRT((AA343^2*(A343-$D$3)+Z343^2*(DAY(EOMONTH(A343,0))/2))/AK343)</f>
        <v>#VALUE!</v>
      </c>
      <c r="AC343" s="185" t="str">
        <f aca="false">IF($A344="","",VLOOKUP($A343,Table,MATCH(AC$4,Curves,0)))</f>
        <v/>
      </c>
      <c r="AD343" s="185" t="str">
        <f aca="false">IF($A344="","",VLOOKUP($A343,Table,MATCH(AD$4,Curves,0)))</f>
        <v/>
      </c>
      <c r="AE343" s="185" t="e">
        <f aca="false">SQRT((AD343^2*(A343-$D$3)+AC343^2*(DAY(EOMONTH(A343,0))/2))/AK343)</f>
        <v>#VALUE!</v>
      </c>
      <c r="AF343" s="206" t="e">
        <f aca="false">((Summary!$N$11*(AA343*AD343)*(A343-$D$3))+(Summary!$M$11*Z343*AC343*(AJ343-EOMONTH(EDATE(A343,-1),0))))/(AK343*AB343*AE343)</f>
        <v>#VALUE!</v>
      </c>
      <c r="AG343" s="207" t="str">
        <f aca="false">IF($A344="","",Summary!$Q$11)</f>
        <v/>
      </c>
      <c r="AH343" s="207" t="str">
        <f aca="false">IF($A344="","",IF(Summary!$R$11="Y",(VLOOKUP($A343,Summary!$AD$6:$AF$9,3)+'Escalating commodity'!G356),'Escalating commodity'!G356))</f>
        <v/>
      </c>
      <c r="AI343" s="207" t="str">
        <f aca="false">IF($A344="","",AH343)</f>
        <v/>
      </c>
      <c r="AJ343" s="208" t="e">
        <f aca="false">A343+DAY(EOMONTH(A343,0))/2-1</f>
        <v>#VALUE!</v>
      </c>
      <c r="AK343" s="209" t="str">
        <f aca="false">IF($A344="","",$A343-$E$1)</f>
        <v/>
      </c>
      <c r="AL343" s="182" t="str">
        <f aca="false">IF($A344="","",SPRDOPT(P343,X343,AI343,0,AB343,AE343,AF343,AK343,$AJ$2,0))</f>
        <v/>
      </c>
      <c r="AM343" s="210" t="str">
        <f aca="false">IF($A344="","",MAX(0,O343-W343-AI343))</f>
        <v/>
      </c>
      <c r="AN343" s="211" t="str">
        <f aca="false">IF($A344="","",AL343-AM343)</f>
        <v/>
      </c>
      <c r="AO343" s="137" t="str">
        <f aca="false">IF(A344="","",A344-A343)</f>
        <v/>
      </c>
      <c r="AP343" s="212" t="str">
        <f aca="false">IF(A344="","",CHOOSE(F$3,A344+24,A343))</f>
        <v/>
      </c>
      <c r="AQ343" s="209" t="str">
        <f aca="false">IF(A344="","",AP343-$E$1)</f>
        <v/>
      </c>
      <c r="AR343" s="185" t="n">
        <f aca="false">'ANR OK vs ML7'!AR343</f>
        <v>0.1</v>
      </c>
      <c r="AS343" s="213" t="str">
        <f aca="false">IF(A344="","",1/(1+CHOOSE(F$3,(AR344+($I$3/10000))/2,(AR343+($I$3/10000))/2))^(2*AQ343/365.25))</f>
        <v/>
      </c>
      <c r="AT343" s="137" t="str">
        <f aca="false">IF(A344="","",IF(AND(mthbeg&lt;=A343,mthend&gt;=A343),1,0))</f>
        <v/>
      </c>
      <c r="AU343" s="137" t="str">
        <f aca="false">IF(A344="","",AO343*AT343)</f>
        <v/>
      </c>
      <c r="AW343" s="195" t="str">
        <f aca="false">IF($A344="","",AL343*$E343)</f>
        <v/>
      </c>
      <c r="AX343" s="195" t="str">
        <f aca="false">IF($A344="","",AM343*$E343)</f>
        <v/>
      </c>
      <c r="AY343" s="195" t="str">
        <f aca="false">IF($A344="","",AN343*$E343)</f>
        <v/>
      </c>
      <c r="BA343" s="195" t="str">
        <f aca="false">IF($A344="","",F343*Summary!$Q$11)</f>
        <v/>
      </c>
    </row>
    <row r="344" customFormat="false" ht="12" hidden="false" customHeight="true" outlineLevel="0" collapsed="false">
      <c r="A344" s="196" t="str">
        <f aca="false">IF(A343&lt;mthend,EDATE(A343,1),"")</f>
        <v/>
      </c>
      <c r="B344" s="197" t="str">
        <f aca="false">IF(A344&lt;mthend,B343,"")</f>
        <v/>
      </c>
      <c r="C344" s="215"/>
      <c r="D344" s="197" t="str">
        <f aca="false">IF(A345&lt;&gt;"",B344+C344,"")</f>
        <v/>
      </c>
      <c r="E344" s="199" t="str">
        <f aca="false">IF(A345="","",IF(AND(AT344=1,$H$3=1),D344*AO344,IF($H$3=2,D344,"N/A")))</f>
        <v/>
      </c>
      <c r="F344" s="199" t="str">
        <f aca="false">IF(A345="","",E344*AS344)</f>
        <v/>
      </c>
      <c r="G344" s="200" t="str">
        <f aca="false">IF($A345="","",VLOOKUP($A344,Table,MATCH(G$4,Curves,0)))</f>
        <v/>
      </c>
      <c r="H344" s="201" t="str">
        <f aca="false">IF(A345="","",G344)</f>
        <v/>
      </c>
      <c r="I344" s="202"/>
      <c r="J344" s="200" t="str">
        <f aca="false">IF($A345="","",VLOOKUP($A344,Table,MATCH(J$4,Curves,0)))</f>
        <v/>
      </c>
      <c r="K344" s="201" t="str">
        <f aca="false">IF(A345="","",J344)</f>
        <v/>
      </c>
      <c r="L344" s="200" t="str">
        <f aca="false">IF($A345="","",VLOOKUP($A344,Table,MATCH(L$4,Curves,0)))</f>
        <v/>
      </c>
      <c r="M344" s="201" t="str">
        <f aca="false">IF(A345="","",L344)</f>
        <v/>
      </c>
      <c r="N344" s="203"/>
      <c r="O344" s="200" t="str">
        <f aca="false">IF(A345="","",L344+J344+G344)</f>
        <v/>
      </c>
      <c r="P344" s="200" t="str">
        <f aca="false">IF(A345="","",M344+K344+H344)</f>
        <v/>
      </c>
      <c r="Q344" s="204"/>
      <c r="R344" s="200" t="str">
        <f aca="false">IF($A345="","",VLOOKUP($A344,Table,MATCH(R$4,Curves,0)))</f>
        <v/>
      </c>
      <c r="S344" s="201" t="str">
        <f aca="false">IF(A345="","",R344)</f>
        <v/>
      </c>
      <c r="T344" s="185" t="n">
        <v>0</v>
      </c>
      <c r="U344" s="201" t="str">
        <f aca="false">IF(A345="","",T344)</f>
        <v/>
      </c>
      <c r="V344" s="205" t="str">
        <f aca="false">IF($A345="","",IF(AND(MONTH(A344)&gt;3,MONTH(A344)&lt;11),(T344+R344+G344)*Summary!$T$11/(1-Summary!$T$11),(T344+R344+G344)*Summary!$U$11/(1-Summary!$U$11)))</f>
        <v/>
      </c>
      <c r="W344" s="202" t="str">
        <f aca="false">IF($A345="","",(T344+R344+G344+V344))</f>
        <v/>
      </c>
      <c r="X344" s="202" t="str">
        <f aca="false">IF($A345="","",(U344+S344+H344+V344))</f>
        <v/>
      </c>
      <c r="Y344" s="202"/>
      <c r="Z344" s="185" t="str">
        <f aca="false">IF($A345="","",VLOOKUP($A344,Table,MATCH(Z$4,Curves,0)))</f>
        <v/>
      </c>
      <c r="AA344" s="185" t="str">
        <f aca="false">IF($A345="","",VLOOKUP($A344,Table,MATCH(AA$4,Curves,0)))</f>
        <v/>
      </c>
      <c r="AB344" s="185" t="e">
        <f aca="false">SQRT((AA344^2*(A344-$D$3)+Z344^2*(DAY(EOMONTH(A344,0))/2))/AK344)</f>
        <v>#VALUE!</v>
      </c>
      <c r="AC344" s="185" t="str">
        <f aca="false">IF($A345="","",VLOOKUP($A344,Table,MATCH(AC$4,Curves,0)))</f>
        <v/>
      </c>
      <c r="AD344" s="185" t="str">
        <f aca="false">IF($A345="","",VLOOKUP($A344,Table,MATCH(AD$4,Curves,0)))</f>
        <v/>
      </c>
      <c r="AE344" s="185" t="e">
        <f aca="false">SQRT((AD344^2*(A344-$D$3)+AC344^2*(DAY(EOMONTH(A344,0))/2))/AK344)</f>
        <v>#VALUE!</v>
      </c>
      <c r="AF344" s="206" t="e">
        <f aca="false">((Summary!$N$11*(AA344*AD344)*(A344-$D$3))+(Summary!$M$11*Z344*AC344*(AJ344-EOMONTH(EDATE(A344,-1),0))))/(AK344*AB344*AE344)</f>
        <v>#VALUE!</v>
      </c>
      <c r="AG344" s="207" t="str">
        <f aca="false">IF($A345="","",Summary!$Q$11)</f>
        <v/>
      </c>
      <c r="AH344" s="207" t="str">
        <f aca="false">IF($A345="","",IF(Summary!$R$11="Y",(VLOOKUP($A344,Summary!$AD$6:$AF$9,3)+'Escalating commodity'!G357),'Escalating commodity'!G357))</f>
        <v/>
      </c>
      <c r="AI344" s="207" t="str">
        <f aca="false">IF($A345="","",AH344)</f>
        <v/>
      </c>
      <c r="AJ344" s="208" t="e">
        <f aca="false">A344+DAY(EOMONTH(A344,0))/2-1</f>
        <v>#VALUE!</v>
      </c>
      <c r="AK344" s="209" t="str">
        <f aca="false">IF($A345="","",$A344-$E$1)</f>
        <v/>
      </c>
      <c r="AL344" s="182" t="str">
        <f aca="false">IF($A345="","",SPRDOPT(P344,X344,AI344,0,AB344,AE344,AF344,AK344,$AJ$2,0))</f>
        <v/>
      </c>
      <c r="AM344" s="210" t="str">
        <f aca="false">IF($A345="","",MAX(0,O344-W344-AI344))</f>
        <v/>
      </c>
      <c r="AN344" s="211" t="str">
        <f aca="false">IF($A345="","",AL344-AM344)</f>
        <v/>
      </c>
      <c r="AO344" s="137" t="str">
        <f aca="false">IF(A345="","",A345-A344)</f>
        <v/>
      </c>
      <c r="AP344" s="212" t="str">
        <f aca="false">IF(A345="","",CHOOSE(F$3,A345+24,A344))</f>
        <v/>
      </c>
      <c r="AQ344" s="209" t="str">
        <f aca="false">IF(A345="","",AP344-$E$1)</f>
        <v/>
      </c>
      <c r="AR344" s="185" t="n">
        <f aca="false">'ANR OK vs ML7'!AR344</f>
        <v>0.1</v>
      </c>
      <c r="AS344" s="213" t="str">
        <f aca="false">IF(A345="","",1/(1+CHOOSE(F$3,(AR345+($I$3/10000))/2,(AR344+($I$3/10000))/2))^(2*AQ344/365.25))</f>
        <v/>
      </c>
      <c r="AT344" s="137" t="str">
        <f aca="false">IF(A345="","",IF(AND(mthbeg&lt;=A344,mthend&gt;=A344),1,0))</f>
        <v/>
      </c>
      <c r="AU344" s="137" t="str">
        <f aca="false">IF(A345="","",AO344*AT344)</f>
        <v/>
      </c>
      <c r="AW344" s="195" t="str">
        <f aca="false">IF($A345="","",AL344*$E344)</f>
        <v/>
      </c>
      <c r="AX344" s="195" t="str">
        <f aca="false">IF($A345="","",AM344*$E344)</f>
        <v/>
      </c>
      <c r="AY344" s="195" t="str">
        <f aca="false">IF($A345="","",AN344*$E344)</f>
        <v/>
      </c>
      <c r="BA344" s="195" t="str">
        <f aca="false">IF($A345="","",F344*Summary!$Q$11)</f>
        <v/>
      </c>
    </row>
    <row r="345" customFormat="false" ht="12" hidden="false" customHeight="true" outlineLevel="0" collapsed="false">
      <c r="A345" s="196" t="str">
        <f aca="false">IF(A344&lt;mthend,EDATE(A344,1),"")</f>
        <v/>
      </c>
      <c r="B345" s="197" t="str">
        <f aca="false">IF(A345&lt;mthend,B344,"")</f>
        <v/>
      </c>
      <c r="C345" s="215"/>
      <c r="D345" s="197" t="str">
        <f aca="false">IF(A346&lt;&gt;"",B345+C345,"")</f>
        <v/>
      </c>
      <c r="E345" s="199" t="str">
        <f aca="false">IF(A346="","",IF(AND(AT345=1,$H$3=1),D345*AO345,IF($H$3=2,D345,"N/A")))</f>
        <v/>
      </c>
      <c r="F345" s="199" t="str">
        <f aca="false">IF(A346="","",E345*AS345)</f>
        <v/>
      </c>
      <c r="G345" s="200" t="str">
        <f aca="false">IF($A346="","",VLOOKUP($A345,Table,MATCH(G$4,Curves,0)))</f>
        <v/>
      </c>
      <c r="H345" s="201" t="str">
        <f aca="false">IF(A346="","",G345)</f>
        <v/>
      </c>
      <c r="I345" s="202"/>
      <c r="J345" s="200" t="str">
        <f aca="false">IF($A346="","",VLOOKUP($A345,Table,MATCH(J$4,Curves,0)))</f>
        <v/>
      </c>
      <c r="K345" s="201" t="str">
        <f aca="false">IF(A346="","",J345)</f>
        <v/>
      </c>
      <c r="L345" s="200" t="str">
        <f aca="false">IF($A346="","",VLOOKUP($A345,Table,MATCH(L$4,Curves,0)))</f>
        <v/>
      </c>
      <c r="M345" s="201" t="str">
        <f aca="false">IF(A346="","",L345)</f>
        <v/>
      </c>
      <c r="N345" s="203"/>
      <c r="O345" s="200" t="str">
        <f aca="false">IF(A346="","",L345+J345+G345)</f>
        <v/>
      </c>
      <c r="P345" s="200" t="str">
        <f aca="false">IF(A346="","",M345+K345+H345)</f>
        <v/>
      </c>
      <c r="Q345" s="204"/>
      <c r="R345" s="200" t="str">
        <f aca="false">IF($A346="","",VLOOKUP($A345,Table,MATCH(R$4,Curves,0)))</f>
        <v/>
      </c>
      <c r="S345" s="201" t="str">
        <f aca="false">IF(A346="","",R345)</f>
        <v/>
      </c>
      <c r="T345" s="185" t="n">
        <v>0</v>
      </c>
      <c r="U345" s="201" t="str">
        <f aca="false">IF(A346="","",T345)</f>
        <v/>
      </c>
      <c r="V345" s="205" t="str">
        <f aca="false">IF($A346="","",IF(AND(MONTH(A345)&gt;3,MONTH(A345)&lt;11),(T345+R345+G345)*Summary!$T$11/(1-Summary!$T$11),(T345+R345+G345)*Summary!$U$11/(1-Summary!$U$11)))</f>
        <v/>
      </c>
      <c r="W345" s="202" t="str">
        <f aca="false">IF($A346="","",(T345+R345+G345+V345))</f>
        <v/>
      </c>
      <c r="X345" s="202" t="str">
        <f aca="false">IF($A346="","",(U345+S345+H345+V345))</f>
        <v/>
      </c>
      <c r="Y345" s="202"/>
      <c r="Z345" s="185" t="str">
        <f aca="false">IF($A346="","",VLOOKUP($A345,Table,MATCH(Z$4,Curves,0)))</f>
        <v/>
      </c>
      <c r="AA345" s="185" t="str">
        <f aca="false">IF($A346="","",VLOOKUP($A345,Table,MATCH(AA$4,Curves,0)))</f>
        <v/>
      </c>
      <c r="AB345" s="185" t="e">
        <f aca="false">SQRT((AA345^2*(A345-$D$3)+Z345^2*(DAY(EOMONTH(A345,0))/2))/AK345)</f>
        <v>#VALUE!</v>
      </c>
      <c r="AC345" s="185" t="str">
        <f aca="false">IF($A346="","",VLOOKUP($A345,Table,MATCH(AC$4,Curves,0)))</f>
        <v/>
      </c>
      <c r="AD345" s="185" t="str">
        <f aca="false">IF($A346="","",VLOOKUP($A345,Table,MATCH(AD$4,Curves,0)))</f>
        <v/>
      </c>
      <c r="AE345" s="185" t="e">
        <f aca="false">SQRT((AD345^2*(A345-$D$3)+AC345^2*(DAY(EOMONTH(A345,0))/2))/AK345)</f>
        <v>#VALUE!</v>
      </c>
      <c r="AF345" s="206" t="e">
        <f aca="false">((Summary!$N$11*(AA345*AD345)*(A345-$D$3))+(Summary!$M$11*Z345*AC345*(AJ345-EOMONTH(EDATE(A345,-1),0))))/(AK345*AB345*AE345)</f>
        <v>#VALUE!</v>
      </c>
      <c r="AG345" s="207" t="str">
        <f aca="false">IF($A346="","",Summary!$Q$11)</f>
        <v/>
      </c>
      <c r="AH345" s="207" t="str">
        <f aca="false">IF($A346="","",IF(Summary!$R$11="Y",(VLOOKUP($A345,Summary!$AD$6:$AF$9,3)+'Escalating commodity'!G358),'Escalating commodity'!G358))</f>
        <v/>
      </c>
      <c r="AI345" s="207" t="str">
        <f aca="false">IF($A346="","",AH345)</f>
        <v/>
      </c>
      <c r="AJ345" s="208" t="e">
        <f aca="false">A345+DAY(EOMONTH(A345,0))/2-1</f>
        <v>#VALUE!</v>
      </c>
      <c r="AK345" s="209" t="str">
        <f aca="false">IF($A346="","",$A345-$E$1)</f>
        <v/>
      </c>
      <c r="AL345" s="182" t="str">
        <f aca="false">IF($A346="","",SPRDOPT(P345,X345,AI345,0,AB345,AE345,AF345,AK345,$AJ$2,0))</f>
        <v/>
      </c>
      <c r="AM345" s="210" t="str">
        <f aca="false">IF($A346="","",MAX(0,O345-W345-AI345))</f>
        <v/>
      </c>
      <c r="AN345" s="211" t="str">
        <f aca="false">IF($A346="","",AL345-AM345)</f>
        <v/>
      </c>
      <c r="AO345" s="137" t="str">
        <f aca="false">IF(A346="","",A346-A345)</f>
        <v/>
      </c>
      <c r="AP345" s="212" t="str">
        <f aca="false">IF(A346="","",CHOOSE(F$3,A346+24,A345))</f>
        <v/>
      </c>
      <c r="AQ345" s="209" t="str">
        <f aca="false">IF(A346="","",AP345-$E$1)</f>
        <v/>
      </c>
      <c r="AR345" s="185" t="n">
        <f aca="false">'ANR OK vs ML7'!AR345</f>
        <v>0.1</v>
      </c>
      <c r="AS345" s="213" t="str">
        <f aca="false">IF(A346="","",1/(1+CHOOSE(F$3,(AR346+($I$3/10000))/2,(AR345+($I$3/10000))/2))^(2*AQ345/365.25))</f>
        <v/>
      </c>
      <c r="AT345" s="137" t="str">
        <f aca="false">IF(A346="","",IF(AND(mthbeg&lt;=A345,mthend&gt;=A345),1,0))</f>
        <v/>
      </c>
      <c r="AU345" s="137" t="str">
        <f aca="false">IF(A346="","",AO345*AT345)</f>
        <v/>
      </c>
      <c r="AW345" s="195" t="str">
        <f aca="false">IF($A346="","",AL345*$E345)</f>
        <v/>
      </c>
      <c r="AX345" s="195" t="str">
        <f aca="false">IF($A346="","",AM345*$E345)</f>
        <v/>
      </c>
      <c r="AY345" s="195" t="str">
        <f aca="false">IF($A346="","",AN345*$E345)</f>
        <v/>
      </c>
      <c r="BA345" s="195" t="str">
        <f aca="false">IF($A346="","",F345*Summary!$Q$11)</f>
        <v/>
      </c>
    </row>
    <row r="346" customFormat="false" ht="12" hidden="false" customHeight="true" outlineLevel="0" collapsed="false">
      <c r="A346" s="196" t="str">
        <f aca="false">IF(A345&lt;mthend,EDATE(A345,1),"")</f>
        <v/>
      </c>
      <c r="B346" s="197" t="str">
        <f aca="false">IF(A346&lt;mthend,B345,"")</f>
        <v/>
      </c>
      <c r="C346" s="215"/>
      <c r="D346" s="197" t="str">
        <f aca="false">IF(A347&lt;&gt;"",B346+C346,"")</f>
        <v/>
      </c>
      <c r="E346" s="199" t="str">
        <f aca="false">IF(A347="","",IF(AND(AT346=1,$H$3=1),D346*AO346,IF($H$3=2,D346,"N/A")))</f>
        <v/>
      </c>
      <c r="F346" s="199" t="str">
        <f aca="false">IF(A347="","",E346*AS346)</f>
        <v/>
      </c>
      <c r="G346" s="200" t="str">
        <f aca="false">IF($A347="","",VLOOKUP($A346,Table,MATCH(G$4,Curves,0)))</f>
        <v/>
      </c>
      <c r="H346" s="201" t="str">
        <f aca="false">IF(A347="","",G346)</f>
        <v/>
      </c>
      <c r="I346" s="202"/>
      <c r="J346" s="200" t="str">
        <f aca="false">IF($A347="","",VLOOKUP($A346,Table,MATCH(J$4,Curves,0)))</f>
        <v/>
      </c>
      <c r="K346" s="201" t="str">
        <f aca="false">IF(A347="","",J346)</f>
        <v/>
      </c>
      <c r="L346" s="200" t="str">
        <f aca="false">IF($A347="","",VLOOKUP($A346,Table,MATCH(L$4,Curves,0)))</f>
        <v/>
      </c>
      <c r="M346" s="201" t="str">
        <f aca="false">IF(A347="","",L346)</f>
        <v/>
      </c>
      <c r="N346" s="203"/>
      <c r="O346" s="200" t="str">
        <f aca="false">IF(A347="","",L346+J346+G346)</f>
        <v/>
      </c>
      <c r="P346" s="200" t="str">
        <f aca="false">IF(A347="","",M346+K346+H346)</f>
        <v/>
      </c>
      <c r="Q346" s="204"/>
      <c r="R346" s="200" t="str">
        <f aca="false">IF($A347="","",VLOOKUP($A346,Table,MATCH(R$4,Curves,0)))</f>
        <v/>
      </c>
      <c r="S346" s="201" t="str">
        <f aca="false">IF(A347="","",R346)</f>
        <v/>
      </c>
      <c r="T346" s="185" t="n">
        <v>0</v>
      </c>
      <c r="U346" s="201" t="str">
        <f aca="false">IF(A347="","",T346)</f>
        <v/>
      </c>
      <c r="V346" s="205" t="str">
        <f aca="false">IF($A347="","",IF(AND(MONTH(A346)&gt;3,MONTH(A346)&lt;11),(T346+R346+G346)*Summary!$T$11/(1-Summary!$T$11),(T346+R346+G346)*Summary!$U$11/(1-Summary!$U$11)))</f>
        <v/>
      </c>
      <c r="W346" s="202" t="str">
        <f aca="false">IF($A347="","",(T346+R346+G346+V346))</f>
        <v/>
      </c>
      <c r="X346" s="202" t="str">
        <f aca="false">IF($A347="","",(U346+S346+H346+V346))</f>
        <v/>
      </c>
      <c r="Y346" s="202"/>
      <c r="Z346" s="185" t="str">
        <f aca="false">IF($A347="","",VLOOKUP($A346,Table,MATCH(Z$4,Curves,0)))</f>
        <v/>
      </c>
      <c r="AA346" s="185" t="str">
        <f aca="false">IF($A347="","",VLOOKUP($A346,Table,MATCH(AA$4,Curves,0)))</f>
        <v/>
      </c>
      <c r="AB346" s="185" t="e">
        <f aca="false">SQRT((AA346^2*(A346-$D$3)+Z346^2*(DAY(EOMONTH(A346,0))/2))/AK346)</f>
        <v>#VALUE!</v>
      </c>
      <c r="AC346" s="185" t="str">
        <f aca="false">IF($A347="","",VLOOKUP($A346,Table,MATCH(AC$4,Curves,0)))</f>
        <v/>
      </c>
      <c r="AD346" s="185" t="str">
        <f aca="false">IF($A347="","",VLOOKUP($A346,Table,MATCH(AD$4,Curves,0)))</f>
        <v/>
      </c>
      <c r="AE346" s="185" t="e">
        <f aca="false">SQRT((AD346^2*(A346-$D$3)+AC346^2*(DAY(EOMONTH(A346,0))/2))/AK346)</f>
        <v>#VALUE!</v>
      </c>
      <c r="AF346" s="206" t="e">
        <f aca="false">((Summary!$N$11*(AA346*AD346)*(A346-$D$3))+(Summary!$M$11*Z346*AC346*(AJ346-EOMONTH(EDATE(A346,-1),0))))/(AK346*AB346*AE346)</f>
        <v>#VALUE!</v>
      </c>
      <c r="AG346" s="207" t="str">
        <f aca="false">IF($A347="","",Summary!$Q$11)</f>
        <v/>
      </c>
      <c r="AH346" s="207" t="str">
        <f aca="false">IF($A347="","",IF(Summary!$R$11="Y",(VLOOKUP($A346,Summary!$AD$6:$AF$9,3)+'Escalating commodity'!G359),'Escalating commodity'!G359))</f>
        <v/>
      </c>
      <c r="AI346" s="207" t="str">
        <f aca="false">IF($A347="","",AH346)</f>
        <v/>
      </c>
      <c r="AJ346" s="208" t="e">
        <f aca="false">A346+DAY(EOMONTH(A346,0))/2-1</f>
        <v>#VALUE!</v>
      </c>
      <c r="AK346" s="209" t="str">
        <f aca="false">IF($A347="","",$A346-$E$1)</f>
        <v/>
      </c>
      <c r="AL346" s="182" t="str">
        <f aca="false">IF($A347="","",SPRDOPT(P346,X346,AI346,0,AB346,AE346,AF346,AK346,$AJ$2,0))</f>
        <v/>
      </c>
      <c r="AM346" s="210" t="str">
        <f aca="false">IF($A347="","",MAX(0,O346-W346-AI346))</f>
        <v/>
      </c>
      <c r="AN346" s="211" t="str">
        <f aca="false">IF($A347="","",AL346-AM346)</f>
        <v/>
      </c>
      <c r="AO346" s="137" t="str">
        <f aca="false">IF(A347="","",A347-A346)</f>
        <v/>
      </c>
      <c r="AP346" s="212" t="str">
        <f aca="false">IF(A347="","",CHOOSE(F$3,A347+24,A346))</f>
        <v/>
      </c>
      <c r="AQ346" s="209" t="str">
        <f aca="false">IF(A347="","",AP346-$E$1)</f>
        <v/>
      </c>
      <c r="AR346" s="185" t="n">
        <f aca="false">'ANR OK vs ML7'!AR346</f>
        <v>0.1</v>
      </c>
      <c r="AS346" s="213" t="str">
        <f aca="false">IF(A347="","",1/(1+CHOOSE(F$3,(AR347+($I$3/10000))/2,(AR346+($I$3/10000))/2))^(2*AQ346/365.25))</f>
        <v/>
      </c>
      <c r="AT346" s="137" t="str">
        <f aca="false">IF(A347="","",IF(AND(mthbeg&lt;=A346,mthend&gt;=A346),1,0))</f>
        <v/>
      </c>
      <c r="AU346" s="137" t="str">
        <f aca="false">IF(A347="","",AO346*AT346)</f>
        <v/>
      </c>
      <c r="AW346" s="195" t="str">
        <f aca="false">IF($A347="","",AL346*$E346)</f>
        <v/>
      </c>
      <c r="AX346" s="195" t="str">
        <f aca="false">IF($A347="","",AM346*$E346)</f>
        <v/>
      </c>
      <c r="AY346" s="195" t="str">
        <f aca="false">IF($A347="","",AN346*$E346)</f>
        <v/>
      </c>
      <c r="BA346" s="195" t="str">
        <f aca="false">IF($A347="","",F346*Summary!$Q$11)</f>
        <v/>
      </c>
    </row>
    <row r="347" customFormat="false" ht="12" hidden="false" customHeight="true" outlineLevel="0" collapsed="false">
      <c r="A347" s="196" t="str">
        <f aca="false">IF(A346&lt;mthend,EDATE(A346,1),"")</f>
        <v/>
      </c>
      <c r="B347" s="197" t="str">
        <f aca="false">IF(A347&lt;mthend,B346,"")</f>
        <v/>
      </c>
      <c r="C347" s="215"/>
      <c r="D347" s="197" t="str">
        <f aca="false">IF(A348&lt;&gt;"",B347+C347,"")</f>
        <v/>
      </c>
      <c r="E347" s="199" t="str">
        <f aca="false">IF(A348="","",IF(AND(AT347=1,$H$3=1),D347*AO347,IF($H$3=2,D347,"N/A")))</f>
        <v/>
      </c>
      <c r="F347" s="199" t="str">
        <f aca="false">IF(A348="","",E347*AS347)</f>
        <v/>
      </c>
      <c r="G347" s="200" t="str">
        <f aca="false">IF($A348="","",VLOOKUP($A347,Table,MATCH(G$4,Curves,0)))</f>
        <v/>
      </c>
      <c r="H347" s="201" t="str">
        <f aca="false">IF(A348="","",G347)</f>
        <v/>
      </c>
      <c r="I347" s="202"/>
      <c r="J347" s="200" t="str">
        <f aca="false">IF($A348="","",VLOOKUP($A347,Table,MATCH(J$4,Curves,0)))</f>
        <v/>
      </c>
      <c r="K347" s="201" t="str">
        <f aca="false">IF(A348="","",J347)</f>
        <v/>
      </c>
      <c r="L347" s="200" t="str">
        <f aca="false">IF($A348="","",VLOOKUP($A347,Table,MATCH(L$4,Curves,0)))</f>
        <v/>
      </c>
      <c r="M347" s="201" t="str">
        <f aca="false">IF(A348="","",L347)</f>
        <v/>
      </c>
      <c r="N347" s="203"/>
      <c r="O347" s="200" t="str">
        <f aca="false">IF(A348="","",L347+J347+G347)</f>
        <v/>
      </c>
      <c r="P347" s="200" t="str">
        <f aca="false">IF(A348="","",M347+K347+H347)</f>
        <v/>
      </c>
      <c r="Q347" s="204"/>
      <c r="R347" s="200" t="str">
        <f aca="false">IF($A348="","",VLOOKUP($A347,Table,MATCH(R$4,Curves,0)))</f>
        <v/>
      </c>
      <c r="S347" s="201" t="str">
        <f aca="false">IF(A348="","",R347)</f>
        <v/>
      </c>
      <c r="T347" s="185" t="n">
        <v>0</v>
      </c>
      <c r="U347" s="201" t="str">
        <f aca="false">IF(A348="","",T347)</f>
        <v/>
      </c>
      <c r="V347" s="205" t="str">
        <f aca="false">IF($A348="","",IF(AND(MONTH(A347)&gt;3,MONTH(A347)&lt;11),(T347+R347+G347)*Summary!$T$11/(1-Summary!$T$11),(T347+R347+G347)*Summary!$U$11/(1-Summary!$U$11)))</f>
        <v/>
      </c>
      <c r="W347" s="202" t="str">
        <f aca="false">IF($A348="","",(T347+R347+G347+V347))</f>
        <v/>
      </c>
      <c r="X347" s="202" t="str">
        <f aca="false">IF($A348="","",(U347+S347+H347+V347))</f>
        <v/>
      </c>
      <c r="Y347" s="202"/>
      <c r="Z347" s="185" t="str">
        <f aca="false">IF($A348="","",VLOOKUP($A347,Table,MATCH(Z$4,Curves,0)))</f>
        <v/>
      </c>
      <c r="AA347" s="185" t="str">
        <f aca="false">IF($A348="","",VLOOKUP($A347,Table,MATCH(AA$4,Curves,0)))</f>
        <v/>
      </c>
      <c r="AB347" s="185" t="e">
        <f aca="false">SQRT((AA347^2*(A347-$D$3)+Z347^2*(DAY(EOMONTH(A347,0))/2))/AK347)</f>
        <v>#VALUE!</v>
      </c>
      <c r="AC347" s="185" t="str">
        <f aca="false">IF($A348="","",VLOOKUP($A347,Table,MATCH(AC$4,Curves,0)))</f>
        <v/>
      </c>
      <c r="AD347" s="185" t="str">
        <f aca="false">IF($A348="","",VLOOKUP($A347,Table,MATCH(AD$4,Curves,0)))</f>
        <v/>
      </c>
      <c r="AE347" s="185" t="e">
        <f aca="false">SQRT((AD347^2*(A347-$D$3)+AC347^2*(DAY(EOMONTH(A347,0))/2))/AK347)</f>
        <v>#VALUE!</v>
      </c>
      <c r="AF347" s="206" t="e">
        <f aca="false">((Summary!$N$11*(AA347*AD347)*(A347-$D$3))+(Summary!$M$11*Z347*AC347*(AJ347-EOMONTH(EDATE(A347,-1),0))))/(AK347*AB347*AE347)</f>
        <v>#VALUE!</v>
      </c>
      <c r="AG347" s="207" t="str">
        <f aca="false">IF($A348="","",Summary!$Q$11)</f>
        <v/>
      </c>
      <c r="AH347" s="207" t="str">
        <f aca="false">IF($A348="","",IF(Summary!$R$11="Y",(VLOOKUP($A347,Summary!$AD$6:$AF$9,3)+'Escalating commodity'!G360),'Escalating commodity'!G360))</f>
        <v/>
      </c>
      <c r="AI347" s="207" t="str">
        <f aca="false">IF($A348="","",AH347)</f>
        <v/>
      </c>
      <c r="AJ347" s="208" t="e">
        <f aca="false">A347+DAY(EOMONTH(A347,0))/2-1</f>
        <v>#VALUE!</v>
      </c>
      <c r="AK347" s="209" t="str">
        <f aca="false">IF($A348="","",$A347-$E$1)</f>
        <v/>
      </c>
      <c r="AL347" s="182" t="str">
        <f aca="false">IF($A348="","",SPRDOPT(P347,X347,AI347,0,AB347,AE347,AF347,AK347,$AJ$2,0))</f>
        <v/>
      </c>
      <c r="AM347" s="210" t="str">
        <f aca="false">IF($A348="","",MAX(0,O347-W347-AI347))</f>
        <v/>
      </c>
      <c r="AN347" s="211" t="str">
        <f aca="false">IF($A348="","",AL347-AM347)</f>
        <v/>
      </c>
      <c r="AO347" s="137" t="str">
        <f aca="false">IF(A348="","",A348-A347)</f>
        <v/>
      </c>
      <c r="AP347" s="212" t="str">
        <f aca="false">IF(A348="","",CHOOSE(F$3,A348+24,A347))</f>
        <v/>
      </c>
      <c r="AQ347" s="209" t="str">
        <f aca="false">IF(A348="","",AP347-$E$1)</f>
        <v/>
      </c>
      <c r="AR347" s="185" t="n">
        <f aca="false">'ANR OK vs ML7'!AR347</f>
        <v>0.1</v>
      </c>
      <c r="AS347" s="213" t="str">
        <f aca="false">IF(A348="","",1/(1+CHOOSE(F$3,(AR348+($I$3/10000))/2,(AR347+($I$3/10000))/2))^(2*AQ347/365.25))</f>
        <v/>
      </c>
      <c r="AT347" s="137" t="str">
        <f aca="false">IF(A348="","",IF(AND(mthbeg&lt;=A347,mthend&gt;=A347),1,0))</f>
        <v/>
      </c>
      <c r="AU347" s="137" t="str">
        <f aca="false">IF(A348="","",AO347*AT347)</f>
        <v/>
      </c>
      <c r="AW347" s="195" t="str">
        <f aca="false">IF($A348="","",AL347*$E347)</f>
        <v/>
      </c>
      <c r="AX347" s="195" t="str">
        <f aca="false">IF($A348="","",AM347*$E347)</f>
        <v/>
      </c>
      <c r="AY347" s="195" t="str">
        <f aca="false">IF($A348="","",AN347*$E347)</f>
        <v/>
      </c>
      <c r="BA347" s="195" t="str">
        <f aca="false">IF($A348="","",F347*Summary!$Q$11)</f>
        <v/>
      </c>
    </row>
    <row r="348" customFormat="false" ht="12" hidden="false" customHeight="true" outlineLevel="0" collapsed="false">
      <c r="A348" s="196" t="str">
        <f aca="false">IF(A347&lt;mthend,EDATE(A347,1),"")</f>
        <v/>
      </c>
      <c r="B348" s="197" t="str">
        <f aca="false">IF(A348&lt;mthend,B347,"")</f>
        <v/>
      </c>
      <c r="C348" s="215"/>
      <c r="D348" s="197" t="str">
        <f aca="false">IF(A349&lt;&gt;"",B348+C348,"")</f>
        <v/>
      </c>
      <c r="E348" s="199" t="str">
        <f aca="false">IF(A349="","",IF(AND(AT348=1,$H$3=1),D348*AO348,IF($H$3=2,D348,"N/A")))</f>
        <v/>
      </c>
      <c r="F348" s="199" t="str">
        <f aca="false">IF(A349="","",E348*AS348)</f>
        <v/>
      </c>
      <c r="G348" s="200" t="str">
        <f aca="false">IF($A349="","",VLOOKUP($A348,Table,MATCH(G$4,Curves,0)))</f>
        <v/>
      </c>
      <c r="H348" s="201" t="str">
        <f aca="false">IF(A349="","",G348)</f>
        <v/>
      </c>
      <c r="I348" s="202"/>
      <c r="J348" s="200" t="str">
        <f aca="false">IF($A349="","",VLOOKUP($A348,Table,MATCH(J$4,Curves,0)))</f>
        <v/>
      </c>
      <c r="K348" s="201" t="str">
        <f aca="false">IF(A349="","",J348)</f>
        <v/>
      </c>
      <c r="L348" s="200" t="str">
        <f aca="false">IF($A349="","",VLOOKUP($A348,Table,MATCH(L$4,Curves,0)))</f>
        <v/>
      </c>
      <c r="M348" s="201" t="str">
        <f aca="false">IF(A349="","",L348)</f>
        <v/>
      </c>
      <c r="N348" s="203"/>
      <c r="O348" s="200" t="str">
        <f aca="false">IF(A349="","",L348+J348+G348)</f>
        <v/>
      </c>
      <c r="P348" s="200" t="str">
        <f aca="false">IF(A349="","",M348+K348+H348)</f>
        <v/>
      </c>
      <c r="Q348" s="204"/>
      <c r="R348" s="200" t="str">
        <f aca="false">IF($A349="","",VLOOKUP($A348,Table,MATCH(R$4,Curves,0)))</f>
        <v/>
      </c>
      <c r="S348" s="201" t="str">
        <f aca="false">IF(A349="","",R348)</f>
        <v/>
      </c>
      <c r="T348" s="185" t="n">
        <v>0</v>
      </c>
      <c r="U348" s="201" t="str">
        <f aca="false">IF(A349="","",T348)</f>
        <v/>
      </c>
      <c r="V348" s="205" t="str">
        <f aca="false">IF($A349="","",IF(AND(MONTH(A348)&gt;3,MONTH(A348)&lt;11),(T348+R348+G348)*Summary!$T$11/(1-Summary!$T$11),(T348+R348+G348)*Summary!$U$11/(1-Summary!$U$11)))</f>
        <v/>
      </c>
      <c r="W348" s="202" t="str">
        <f aca="false">IF($A349="","",(T348+R348+G348+V348))</f>
        <v/>
      </c>
      <c r="X348" s="202" t="str">
        <f aca="false">IF($A349="","",(U348+S348+H348+V348))</f>
        <v/>
      </c>
      <c r="Y348" s="202"/>
      <c r="Z348" s="185" t="str">
        <f aca="false">IF($A349="","",VLOOKUP($A348,Table,MATCH(Z$4,Curves,0)))</f>
        <v/>
      </c>
      <c r="AA348" s="185" t="str">
        <f aca="false">IF($A349="","",VLOOKUP($A348,Table,MATCH(AA$4,Curves,0)))</f>
        <v/>
      </c>
      <c r="AB348" s="185" t="e">
        <f aca="false">SQRT((AA348^2*(A348-$D$3)+Z348^2*(DAY(EOMONTH(A348,0))/2))/AK348)</f>
        <v>#VALUE!</v>
      </c>
      <c r="AC348" s="185" t="str">
        <f aca="false">IF($A349="","",VLOOKUP($A348,Table,MATCH(AC$4,Curves,0)))</f>
        <v/>
      </c>
      <c r="AD348" s="185" t="str">
        <f aca="false">IF($A349="","",VLOOKUP($A348,Table,MATCH(AD$4,Curves,0)))</f>
        <v/>
      </c>
      <c r="AE348" s="185" t="e">
        <f aca="false">SQRT((AD348^2*(A348-$D$3)+AC348^2*(DAY(EOMONTH(A348,0))/2))/AK348)</f>
        <v>#VALUE!</v>
      </c>
      <c r="AF348" s="206" t="e">
        <f aca="false">((Summary!$N$11*(AA348*AD348)*(A348-$D$3))+(Summary!$M$11*Z348*AC348*(AJ348-EOMONTH(EDATE(A348,-1),0))))/(AK348*AB348*AE348)</f>
        <v>#VALUE!</v>
      </c>
      <c r="AG348" s="207" t="str">
        <f aca="false">IF($A349="","",Summary!$Q$11)</f>
        <v/>
      </c>
      <c r="AH348" s="207" t="str">
        <f aca="false">IF($A349="","",IF(Summary!$R$11="Y",(VLOOKUP($A348,Summary!$AD$6:$AF$9,3)+'Escalating commodity'!G361),'Escalating commodity'!G361))</f>
        <v/>
      </c>
      <c r="AI348" s="207" t="str">
        <f aca="false">IF($A349="","",AH348)</f>
        <v/>
      </c>
      <c r="AJ348" s="208" t="e">
        <f aca="false">A348+DAY(EOMONTH(A348,0))/2-1</f>
        <v>#VALUE!</v>
      </c>
      <c r="AK348" s="209" t="str">
        <f aca="false">IF($A349="","",$A348-$E$1)</f>
        <v/>
      </c>
      <c r="AL348" s="182" t="str">
        <f aca="false">IF($A349="","",SPRDOPT(P348,X348,AI348,0,AB348,AE348,AF348,AK348,$AJ$2,0))</f>
        <v/>
      </c>
      <c r="AM348" s="210" t="str">
        <f aca="false">IF($A349="","",MAX(0,O348-W348-AI348))</f>
        <v/>
      </c>
      <c r="AN348" s="211" t="str">
        <f aca="false">IF($A349="","",AL348-AM348)</f>
        <v/>
      </c>
      <c r="AO348" s="137" t="str">
        <f aca="false">IF(A349="","",A349-A348)</f>
        <v/>
      </c>
      <c r="AP348" s="212" t="str">
        <f aca="false">IF(A349="","",CHOOSE(F$3,A349+24,A348))</f>
        <v/>
      </c>
      <c r="AQ348" s="209" t="str">
        <f aca="false">IF(A349="","",AP348-$E$1)</f>
        <v/>
      </c>
      <c r="AR348" s="185" t="n">
        <f aca="false">'ANR OK vs ML7'!AR348</f>
        <v>0.1</v>
      </c>
      <c r="AS348" s="213" t="str">
        <f aca="false">IF(A349="","",1/(1+CHOOSE(F$3,(AR349+($I$3/10000))/2,(AR348+($I$3/10000))/2))^(2*AQ348/365.25))</f>
        <v/>
      </c>
      <c r="AT348" s="137" t="str">
        <f aca="false">IF(A349="","",IF(AND(mthbeg&lt;=A348,mthend&gt;=A348),1,0))</f>
        <v/>
      </c>
      <c r="AU348" s="137" t="str">
        <f aca="false">IF(A349="","",AO348*AT348)</f>
        <v/>
      </c>
      <c r="AW348" s="195" t="str">
        <f aca="false">IF($A349="","",AL348*$E348)</f>
        <v/>
      </c>
      <c r="AX348" s="195" t="str">
        <f aca="false">IF($A349="","",AM348*$E348)</f>
        <v/>
      </c>
      <c r="AY348" s="195" t="str">
        <f aca="false">IF($A349="","",AN348*$E348)</f>
        <v/>
      </c>
      <c r="BA348" s="195" t="str">
        <f aca="false">IF($A349="","",F348*Summary!$Q$11)</f>
        <v/>
      </c>
    </row>
    <row r="349" customFormat="false" ht="12" hidden="false" customHeight="true" outlineLevel="0" collapsed="false">
      <c r="A349" s="196" t="str">
        <f aca="false">IF(A348&lt;mthend,EDATE(A348,1),"")</f>
        <v/>
      </c>
      <c r="B349" s="197" t="str">
        <f aca="false">IF(A349&lt;mthend,B348,"")</f>
        <v/>
      </c>
      <c r="C349" s="215"/>
      <c r="D349" s="197" t="str">
        <f aca="false">IF(A350&lt;&gt;"",B349+C349,"")</f>
        <v/>
      </c>
      <c r="E349" s="199" t="str">
        <f aca="false">IF(A350="","",IF(AND(AT349=1,$H$3=1),D349*AO349,IF($H$3=2,D349,"N/A")))</f>
        <v/>
      </c>
      <c r="F349" s="199" t="str">
        <f aca="false">IF(A350="","",E349*AS349)</f>
        <v/>
      </c>
      <c r="G349" s="200" t="str">
        <f aca="false">IF($A350="","",VLOOKUP($A349,Table,MATCH(G$4,Curves,0)))</f>
        <v/>
      </c>
      <c r="H349" s="201" t="str">
        <f aca="false">IF(A350="","",G349)</f>
        <v/>
      </c>
      <c r="I349" s="202"/>
      <c r="J349" s="200" t="str">
        <f aca="false">IF($A350="","",VLOOKUP($A349,Table,MATCH(J$4,Curves,0)))</f>
        <v/>
      </c>
      <c r="K349" s="201" t="str">
        <f aca="false">IF(A350="","",J349)</f>
        <v/>
      </c>
      <c r="L349" s="200" t="str">
        <f aca="false">IF($A350="","",VLOOKUP($A349,Table,MATCH(L$4,Curves,0)))</f>
        <v/>
      </c>
      <c r="M349" s="201" t="str">
        <f aca="false">IF(A350="","",L349)</f>
        <v/>
      </c>
      <c r="N349" s="203"/>
      <c r="O349" s="200" t="str">
        <f aca="false">IF(A350="","",L349+J349+G349)</f>
        <v/>
      </c>
      <c r="P349" s="200" t="str">
        <f aca="false">IF(A350="","",M349+K349+H349)</f>
        <v/>
      </c>
      <c r="Q349" s="204"/>
      <c r="R349" s="200" t="str">
        <f aca="false">IF($A350="","",VLOOKUP($A349,Table,MATCH(R$4,Curves,0)))</f>
        <v/>
      </c>
      <c r="S349" s="201" t="str">
        <f aca="false">IF(A350="","",R349)</f>
        <v/>
      </c>
      <c r="T349" s="185" t="n">
        <v>0</v>
      </c>
      <c r="U349" s="201" t="str">
        <f aca="false">IF(A350="","",T349)</f>
        <v/>
      </c>
      <c r="V349" s="205" t="str">
        <f aca="false">IF($A350="","",IF(AND(MONTH(A349)&gt;3,MONTH(A349)&lt;11),(T349+R349+G349)*Summary!$T$11/(1-Summary!$T$11),(T349+R349+G349)*Summary!$U$11/(1-Summary!$U$11)))</f>
        <v/>
      </c>
      <c r="W349" s="202" t="str">
        <f aca="false">IF($A350="","",(T349+R349+G349+V349))</f>
        <v/>
      </c>
      <c r="X349" s="202" t="str">
        <f aca="false">IF($A350="","",(U349+S349+H349+V349))</f>
        <v/>
      </c>
      <c r="Y349" s="202"/>
      <c r="Z349" s="185" t="str">
        <f aca="false">IF($A350="","",VLOOKUP($A349,Table,MATCH(Z$4,Curves,0)))</f>
        <v/>
      </c>
      <c r="AA349" s="185" t="str">
        <f aca="false">IF($A350="","",VLOOKUP($A349,Table,MATCH(AA$4,Curves,0)))</f>
        <v/>
      </c>
      <c r="AB349" s="185" t="e">
        <f aca="false">SQRT((AA349^2*(A349-$D$3)+Z349^2*(DAY(EOMONTH(A349,0))/2))/AK349)</f>
        <v>#VALUE!</v>
      </c>
      <c r="AC349" s="185" t="str">
        <f aca="false">IF($A350="","",VLOOKUP($A349,Table,MATCH(AC$4,Curves,0)))</f>
        <v/>
      </c>
      <c r="AD349" s="185" t="str">
        <f aca="false">IF($A350="","",VLOOKUP($A349,Table,MATCH(AD$4,Curves,0)))</f>
        <v/>
      </c>
      <c r="AE349" s="185" t="e">
        <f aca="false">SQRT((AD349^2*(A349-$D$3)+AC349^2*(DAY(EOMONTH(A349,0))/2))/AK349)</f>
        <v>#VALUE!</v>
      </c>
      <c r="AF349" s="206" t="e">
        <f aca="false">((Summary!$N$11*(AA349*AD349)*(A349-$D$3))+(Summary!$M$11*Z349*AC349*(AJ349-EOMONTH(EDATE(A349,-1),0))))/(AK349*AB349*AE349)</f>
        <v>#VALUE!</v>
      </c>
      <c r="AG349" s="207" t="str">
        <f aca="false">IF($A350="","",Summary!$Q$11)</f>
        <v/>
      </c>
      <c r="AH349" s="207" t="str">
        <f aca="false">IF($A350="","",IF(Summary!$R$11="Y",(VLOOKUP($A349,Summary!$AD$6:$AF$9,3)+'Escalating commodity'!G362),'Escalating commodity'!G362))</f>
        <v/>
      </c>
      <c r="AI349" s="207" t="str">
        <f aca="false">IF($A350="","",AH349)</f>
        <v/>
      </c>
      <c r="AJ349" s="208" t="e">
        <f aca="false">A349+DAY(EOMONTH(A349,0))/2-1</f>
        <v>#VALUE!</v>
      </c>
      <c r="AK349" s="209" t="str">
        <f aca="false">IF($A350="","",$A349-$E$1)</f>
        <v/>
      </c>
      <c r="AL349" s="182" t="str">
        <f aca="false">IF($A350="","",SPRDOPT(P349,X349,AI349,0,AB349,AE349,AF349,AK349,$AJ$2,0))</f>
        <v/>
      </c>
      <c r="AM349" s="210" t="str">
        <f aca="false">IF($A350="","",MAX(0,O349-W349-AI349))</f>
        <v/>
      </c>
      <c r="AN349" s="211" t="str">
        <f aca="false">IF($A350="","",AL349-AM349)</f>
        <v/>
      </c>
      <c r="AO349" s="137" t="str">
        <f aca="false">IF(A350="","",A350-A349)</f>
        <v/>
      </c>
      <c r="AP349" s="212" t="str">
        <f aca="false">IF(A350="","",CHOOSE(F$3,A350+24,A349))</f>
        <v/>
      </c>
      <c r="AQ349" s="209" t="str">
        <f aca="false">IF(A350="","",AP349-$E$1)</f>
        <v/>
      </c>
      <c r="AR349" s="185" t="n">
        <f aca="false">'ANR OK vs ML7'!AR349</f>
        <v>0.1</v>
      </c>
      <c r="AS349" s="213" t="str">
        <f aca="false">IF(A350="","",1/(1+CHOOSE(F$3,(AR350+($I$3/10000))/2,(AR349+($I$3/10000))/2))^(2*AQ349/365.25))</f>
        <v/>
      </c>
      <c r="AT349" s="137" t="str">
        <f aca="false">IF(A350="","",IF(AND(mthbeg&lt;=A349,mthend&gt;=A349),1,0))</f>
        <v/>
      </c>
      <c r="AU349" s="137" t="str">
        <f aca="false">IF(A350="","",AO349*AT349)</f>
        <v/>
      </c>
      <c r="AW349" s="195" t="str">
        <f aca="false">IF($A350="","",AL349*$E349)</f>
        <v/>
      </c>
      <c r="AX349" s="195" t="str">
        <f aca="false">IF($A350="","",AM349*$E349)</f>
        <v/>
      </c>
      <c r="AY349" s="195" t="str">
        <f aca="false">IF($A350="","",AN349*$E349)</f>
        <v/>
      </c>
      <c r="BA349" s="195" t="str">
        <f aca="false">IF($A350="","",F349*Summary!$Q$11)</f>
        <v/>
      </c>
    </row>
    <row r="350" customFormat="false" ht="12" hidden="false" customHeight="true" outlineLevel="0" collapsed="false">
      <c r="A350" s="196" t="str">
        <f aca="false">IF(A349&lt;mthend,EDATE(A349,1),"")</f>
        <v/>
      </c>
      <c r="B350" s="197" t="str">
        <f aca="false">IF(A350&lt;mthend,B349,"")</f>
        <v/>
      </c>
      <c r="C350" s="215"/>
      <c r="D350" s="197" t="str">
        <f aca="false">IF(A351&lt;&gt;"",B350+C350,"")</f>
        <v/>
      </c>
      <c r="E350" s="199" t="str">
        <f aca="false">IF(A351="","",IF(AND(AT350=1,$H$3=1),D350*AO350,IF($H$3=2,D350,"N/A")))</f>
        <v/>
      </c>
      <c r="F350" s="199" t="str">
        <f aca="false">IF(A351="","",E350*AS350)</f>
        <v/>
      </c>
      <c r="G350" s="200" t="str">
        <f aca="false">IF($A351="","",VLOOKUP($A350,Table,MATCH(G$4,Curves,0)))</f>
        <v/>
      </c>
      <c r="H350" s="201" t="str">
        <f aca="false">IF(A351="","",G350)</f>
        <v/>
      </c>
      <c r="I350" s="202"/>
      <c r="J350" s="200" t="str">
        <f aca="false">IF($A351="","",VLOOKUP($A350,Table,MATCH(J$4,Curves,0)))</f>
        <v/>
      </c>
      <c r="K350" s="201" t="str">
        <f aca="false">IF(A351="","",J350)</f>
        <v/>
      </c>
      <c r="L350" s="200" t="str">
        <f aca="false">IF($A351="","",VLOOKUP($A350,Table,MATCH(L$4,Curves,0)))</f>
        <v/>
      </c>
      <c r="M350" s="201" t="str">
        <f aca="false">IF(A351="","",L350)</f>
        <v/>
      </c>
      <c r="N350" s="203"/>
      <c r="O350" s="200" t="str">
        <f aca="false">IF(A351="","",L350+J350+G350)</f>
        <v/>
      </c>
      <c r="P350" s="200" t="str">
        <f aca="false">IF(A351="","",M350+K350+H350)</f>
        <v/>
      </c>
      <c r="Q350" s="204"/>
      <c r="R350" s="200" t="str">
        <f aca="false">IF($A351="","",VLOOKUP($A350,Table,MATCH(R$4,Curves,0)))</f>
        <v/>
      </c>
      <c r="S350" s="201" t="str">
        <f aca="false">IF(A351="","",R350)</f>
        <v/>
      </c>
      <c r="T350" s="185" t="n">
        <v>0</v>
      </c>
      <c r="U350" s="201" t="str">
        <f aca="false">IF(A351="","",T350)</f>
        <v/>
      </c>
      <c r="V350" s="205" t="str">
        <f aca="false">IF($A351="","",IF(AND(MONTH(A350)&gt;3,MONTH(A350)&lt;11),(T350+R350+G350)*Summary!$T$11/(1-Summary!$T$11),(T350+R350+G350)*Summary!$U$11/(1-Summary!$U$11)))</f>
        <v/>
      </c>
      <c r="W350" s="202" t="str">
        <f aca="false">IF($A351="","",(T350+R350+G350+V350))</f>
        <v/>
      </c>
      <c r="X350" s="202" t="str">
        <f aca="false">IF($A351="","",(U350+S350+H350+V350))</f>
        <v/>
      </c>
      <c r="Y350" s="202"/>
      <c r="Z350" s="185" t="str">
        <f aca="false">IF($A351="","",VLOOKUP($A350,Table,MATCH(Z$4,Curves,0)))</f>
        <v/>
      </c>
      <c r="AA350" s="185" t="str">
        <f aca="false">IF($A351="","",VLOOKUP($A350,Table,MATCH(AA$4,Curves,0)))</f>
        <v/>
      </c>
      <c r="AB350" s="185" t="e">
        <f aca="false">SQRT((AA350^2*(A350-$D$3)+Z350^2*(DAY(EOMONTH(A350,0))/2))/AK350)</f>
        <v>#VALUE!</v>
      </c>
      <c r="AC350" s="185" t="str">
        <f aca="false">IF($A351="","",VLOOKUP($A350,Table,MATCH(AC$4,Curves,0)))</f>
        <v/>
      </c>
      <c r="AD350" s="185" t="str">
        <f aca="false">IF($A351="","",VLOOKUP($A350,Table,MATCH(AD$4,Curves,0)))</f>
        <v/>
      </c>
      <c r="AE350" s="185" t="e">
        <f aca="false">SQRT((AD350^2*(A350-$D$3)+AC350^2*(DAY(EOMONTH(A350,0))/2))/AK350)</f>
        <v>#VALUE!</v>
      </c>
      <c r="AF350" s="206" t="e">
        <f aca="false">((Summary!$N$11*(AA350*AD350)*(A350-$D$3))+(Summary!$M$11*Z350*AC350*(AJ350-EOMONTH(EDATE(A350,-1),0))))/(AK350*AB350*AE350)</f>
        <v>#VALUE!</v>
      </c>
      <c r="AG350" s="207" t="str">
        <f aca="false">IF($A351="","",Summary!$Q$11)</f>
        <v/>
      </c>
      <c r="AH350" s="207" t="str">
        <f aca="false">IF($A351="","",IF(Summary!$R$11="Y",(VLOOKUP($A350,Summary!$AD$6:$AF$9,3)+'Escalating commodity'!G363),'Escalating commodity'!G363))</f>
        <v/>
      </c>
      <c r="AI350" s="207" t="str">
        <f aca="false">IF($A351="","",AH350)</f>
        <v/>
      </c>
      <c r="AJ350" s="208" t="e">
        <f aca="false">A350+DAY(EOMONTH(A350,0))/2-1</f>
        <v>#VALUE!</v>
      </c>
      <c r="AK350" s="209" t="str">
        <f aca="false">IF($A351="","",$A350-$E$1)</f>
        <v/>
      </c>
      <c r="AL350" s="182" t="str">
        <f aca="false">IF($A351="","",SPRDOPT(P350,X350,AI350,0,AB350,AE350,AF350,AK350,$AJ$2,0))</f>
        <v/>
      </c>
      <c r="AM350" s="210" t="str">
        <f aca="false">IF($A351="","",MAX(0,O350-W350-AI350))</f>
        <v/>
      </c>
      <c r="AN350" s="211" t="str">
        <f aca="false">IF($A351="","",AL350-AM350)</f>
        <v/>
      </c>
      <c r="AO350" s="137" t="str">
        <f aca="false">IF(A351="","",A351-A350)</f>
        <v/>
      </c>
      <c r="AP350" s="212" t="str">
        <f aca="false">IF(A351="","",CHOOSE(F$3,A351+24,A350))</f>
        <v/>
      </c>
      <c r="AQ350" s="209" t="str">
        <f aca="false">IF(A351="","",AP350-$E$1)</f>
        <v/>
      </c>
      <c r="AR350" s="185" t="n">
        <f aca="false">'ANR OK vs ML7'!AR350</f>
        <v>0.1</v>
      </c>
      <c r="AS350" s="213" t="str">
        <f aca="false">IF(A351="","",1/(1+CHOOSE(F$3,(AR351+($I$3/10000))/2,(AR350+($I$3/10000))/2))^(2*AQ350/365.25))</f>
        <v/>
      </c>
      <c r="AT350" s="137" t="str">
        <f aca="false">IF(A351="","",IF(AND(mthbeg&lt;=A350,mthend&gt;=A350),1,0))</f>
        <v/>
      </c>
      <c r="AU350" s="137" t="str">
        <f aca="false">IF(A351="","",AO350*AT350)</f>
        <v/>
      </c>
      <c r="AW350" s="195" t="str">
        <f aca="false">IF($A351="","",AL350*$E350)</f>
        <v/>
      </c>
      <c r="AX350" s="195" t="str">
        <f aca="false">IF($A351="","",AM350*$E350)</f>
        <v/>
      </c>
      <c r="AY350" s="195" t="str">
        <f aca="false">IF($A351="","",AN350*$E350)</f>
        <v/>
      </c>
      <c r="BA350" s="195" t="str">
        <f aca="false">IF($A351="","",F350*Summary!$Q$11)</f>
        <v/>
      </c>
    </row>
    <row r="351" customFormat="false" ht="12" hidden="false" customHeight="true" outlineLevel="0" collapsed="false">
      <c r="A351" s="196" t="str">
        <f aca="false">IF(A350&lt;mthend,EDATE(A350,1),"")</f>
        <v/>
      </c>
      <c r="B351" s="197" t="str">
        <f aca="false">IF(A351&lt;mthend,B350,"")</f>
        <v/>
      </c>
      <c r="C351" s="215"/>
      <c r="D351" s="197" t="str">
        <f aca="false">IF(A352&lt;&gt;"",B351+C351,"")</f>
        <v/>
      </c>
      <c r="E351" s="199" t="str">
        <f aca="false">IF(A352="","",IF(AND(AT351=1,$H$3=1),D351*AO351,IF($H$3=2,D351,"N/A")))</f>
        <v/>
      </c>
      <c r="F351" s="199" t="str">
        <f aca="false">IF(A352="","",E351*AS351)</f>
        <v/>
      </c>
      <c r="G351" s="200" t="str">
        <f aca="false">IF($A352="","",VLOOKUP($A351,Table,MATCH(G$4,Curves,0)))</f>
        <v/>
      </c>
      <c r="H351" s="201" t="str">
        <f aca="false">IF(A352="","",G351)</f>
        <v/>
      </c>
      <c r="I351" s="202"/>
      <c r="J351" s="200" t="str">
        <f aca="false">IF($A352="","",VLOOKUP($A351,Table,MATCH(J$4,Curves,0)))</f>
        <v/>
      </c>
      <c r="K351" s="201" t="str">
        <f aca="false">IF(A352="","",J351)</f>
        <v/>
      </c>
      <c r="L351" s="200" t="str">
        <f aca="false">IF($A352="","",VLOOKUP($A351,Table,MATCH(L$4,Curves,0)))</f>
        <v/>
      </c>
      <c r="M351" s="201" t="str">
        <f aca="false">IF(A352="","",L351)</f>
        <v/>
      </c>
      <c r="N351" s="203"/>
      <c r="O351" s="200" t="str">
        <f aca="false">IF(A352="","",L351+J351+G351)</f>
        <v/>
      </c>
      <c r="P351" s="200" t="str">
        <f aca="false">IF(A352="","",M351+K351+H351)</f>
        <v/>
      </c>
      <c r="Q351" s="204"/>
      <c r="R351" s="200" t="str">
        <f aca="false">IF($A352="","",VLOOKUP($A351,Table,MATCH(R$4,Curves,0)))</f>
        <v/>
      </c>
      <c r="S351" s="201" t="str">
        <f aca="false">IF(A352="","",R351)</f>
        <v/>
      </c>
      <c r="T351" s="185" t="n">
        <v>0</v>
      </c>
      <c r="U351" s="201" t="str">
        <f aca="false">IF(A352="","",T351)</f>
        <v/>
      </c>
      <c r="V351" s="205" t="str">
        <f aca="false">IF($A352="","",IF(AND(MONTH(A351)&gt;3,MONTH(A351)&lt;11),(T351+R351+G351)*Summary!$T$11/(1-Summary!$T$11),(T351+R351+G351)*Summary!$U$11/(1-Summary!$U$11)))</f>
        <v/>
      </c>
      <c r="W351" s="202" t="str">
        <f aca="false">IF($A352="","",(T351+R351+G351+V351))</f>
        <v/>
      </c>
      <c r="X351" s="202" t="str">
        <f aca="false">IF($A352="","",(U351+S351+H351+V351))</f>
        <v/>
      </c>
      <c r="Y351" s="202"/>
      <c r="Z351" s="185" t="str">
        <f aca="false">IF($A352="","",VLOOKUP($A351,Table,MATCH(Z$4,Curves,0)))</f>
        <v/>
      </c>
      <c r="AA351" s="185" t="str">
        <f aca="false">IF($A352="","",VLOOKUP($A351,Table,MATCH(AA$4,Curves,0)))</f>
        <v/>
      </c>
      <c r="AB351" s="185" t="e">
        <f aca="false">SQRT((AA351^2*(A351-$D$3)+Z351^2*(DAY(EOMONTH(A351,0))/2))/AK351)</f>
        <v>#VALUE!</v>
      </c>
      <c r="AC351" s="185" t="str">
        <f aca="false">IF($A352="","",VLOOKUP($A351,Table,MATCH(AC$4,Curves,0)))</f>
        <v/>
      </c>
      <c r="AD351" s="185" t="str">
        <f aca="false">IF($A352="","",VLOOKUP($A351,Table,MATCH(AD$4,Curves,0)))</f>
        <v/>
      </c>
      <c r="AE351" s="185" t="e">
        <f aca="false">SQRT((AD351^2*(A351-$D$3)+AC351^2*(DAY(EOMONTH(A351,0))/2))/AK351)</f>
        <v>#VALUE!</v>
      </c>
      <c r="AF351" s="206" t="e">
        <f aca="false">((Summary!$N$11*(AA351*AD351)*(A351-$D$3))+(Summary!$M$11*Z351*AC351*(AJ351-EOMONTH(EDATE(A351,-1),0))))/(AK351*AB351*AE351)</f>
        <v>#VALUE!</v>
      </c>
      <c r="AG351" s="207" t="str">
        <f aca="false">IF($A352="","",Summary!$Q$11)</f>
        <v/>
      </c>
      <c r="AH351" s="207" t="str">
        <f aca="false">IF($A352="","",IF(Summary!$R$11="Y",(VLOOKUP($A351,Summary!$AD$6:$AF$9,3)+'Escalating commodity'!G364),'Escalating commodity'!G364))</f>
        <v/>
      </c>
      <c r="AI351" s="207" t="str">
        <f aca="false">IF($A352="","",AH351)</f>
        <v/>
      </c>
      <c r="AJ351" s="208" t="e">
        <f aca="false">A351+DAY(EOMONTH(A351,0))/2-1</f>
        <v>#VALUE!</v>
      </c>
      <c r="AK351" s="209" t="str">
        <f aca="false">IF($A352="","",$A351-$E$1)</f>
        <v/>
      </c>
      <c r="AL351" s="182" t="str">
        <f aca="false">IF($A352="","",SPRDOPT(P351,X351,AI351,0,AB351,AE351,AF351,AK351,$AJ$2,0))</f>
        <v/>
      </c>
      <c r="AM351" s="210" t="str">
        <f aca="false">IF($A352="","",MAX(0,O351-W351-AI351))</f>
        <v/>
      </c>
      <c r="AN351" s="211" t="str">
        <f aca="false">IF($A352="","",AL351-AM351)</f>
        <v/>
      </c>
      <c r="AO351" s="137" t="str">
        <f aca="false">IF(A352="","",A352-A351)</f>
        <v/>
      </c>
      <c r="AP351" s="212" t="str">
        <f aca="false">IF(A352="","",CHOOSE(F$3,A352+24,A351))</f>
        <v/>
      </c>
      <c r="AQ351" s="209" t="str">
        <f aca="false">IF(A352="","",AP351-$E$1)</f>
        <v/>
      </c>
      <c r="AR351" s="185" t="n">
        <f aca="false">'ANR OK vs ML7'!AR351</f>
        <v>0.1</v>
      </c>
      <c r="AS351" s="213" t="str">
        <f aca="false">IF(A352="","",1/(1+CHOOSE(F$3,(AR352+($I$3/10000))/2,(AR351+($I$3/10000))/2))^(2*AQ351/365.25))</f>
        <v/>
      </c>
      <c r="AT351" s="137" t="str">
        <f aca="false">IF(A352="","",IF(AND(mthbeg&lt;=A351,mthend&gt;=A351),1,0))</f>
        <v/>
      </c>
      <c r="AU351" s="137" t="str">
        <f aca="false">IF(A352="","",AO351*AT351)</f>
        <v/>
      </c>
      <c r="AW351" s="195" t="str">
        <f aca="false">IF($A352="","",AL351*$E351)</f>
        <v/>
      </c>
      <c r="AX351" s="195" t="str">
        <f aca="false">IF($A352="","",AM351*$E351)</f>
        <v/>
      </c>
      <c r="AY351" s="195" t="str">
        <f aca="false">IF($A352="","",AN351*$E351)</f>
        <v/>
      </c>
      <c r="BA351" s="195" t="str">
        <f aca="false">IF($A352="","",F351*Summary!$Q$11)</f>
        <v/>
      </c>
    </row>
    <row r="352" customFormat="false" ht="12" hidden="false" customHeight="true" outlineLevel="0" collapsed="false">
      <c r="A352" s="196" t="str">
        <f aca="false">IF(A351&lt;mthend,EDATE(A351,1),"")</f>
        <v/>
      </c>
      <c r="B352" s="197" t="str">
        <f aca="false">IF(A352&lt;mthend,B351,"")</f>
        <v/>
      </c>
      <c r="C352" s="215"/>
      <c r="D352" s="197" t="str">
        <f aca="false">IF(A353&lt;&gt;"",B352+C352,"")</f>
        <v/>
      </c>
      <c r="E352" s="199" t="str">
        <f aca="false">IF(A353="","",IF(AND(AT352=1,$H$3=1),D352*AO352,IF($H$3=2,D352,"N/A")))</f>
        <v/>
      </c>
      <c r="F352" s="199" t="str">
        <f aca="false">IF(A353="","",E352*AS352)</f>
        <v/>
      </c>
      <c r="G352" s="200" t="str">
        <f aca="false">IF($A353="","",VLOOKUP($A352,Table,MATCH(G$4,Curves,0)))</f>
        <v/>
      </c>
      <c r="H352" s="201" t="str">
        <f aca="false">IF(A353="","",G352)</f>
        <v/>
      </c>
      <c r="I352" s="202"/>
      <c r="J352" s="200" t="str">
        <f aca="false">IF($A353="","",VLOOKUP($A352,Table,MATCH(J$4,Curves,0)))</f>
        <v/>
      </c>
      <c r="K352" s="201" t="str">
        <f aca="false">IF(A353="","",J352)</f>
        <v/>
      </c>
      <c r="L352" s="200" t="str">
        <f aca="false">IF($A353="","",VLOOKUP($A352,Table,MATCH(L$4,Curves,0)))</f>
        <v/>
      </c>
      <c r="M352" s="201" t="str">
        <f aca="false">IF(A353="","",L352)</f>
        <v/>
      </c>
      <c r="N352" s="203"/>
      <c r="O352" s="200" t="str">
        <f aca="false">IF(A353="","",L352+J352+G352)</f>
        <v/>
      </c>
      <c r="P352" s="200" t="str">
        <f aca="false">IF(A353="","",M352+K352+H352)</f>
        <v/>
      </c>
      <c r="Q352" s="204"/>
      <c r="R352" s="200" t="str">
        <f aca="false">IF($A353="","",VLOOKUP($A352,Table,MATCH(R$4,Curves,0)))</f>
        <v/>
      </c>
      <c r="S352" s="201" t="str">
        <f aca="false">IF(A353="","",R352)</f>
        <v/>
      </c>
      <c r="T352" s="185" t="n">
        <v>0</v>
      </c>
      <c r="U352" s="201" t="str">
        <f aca="false">IF(A353="","",T352)</f>
        <v/>
      </c>
      <c r="V352" s="205" t="str">
        <f aca="false">IF($A353="","",IF(AND(MONTH(A352)&gt;3,MONTH(A352)&lt;11),(T352+R352+G352)*Summary!$T$11/(1-Summary!$T$11),(T352+R352+G352)*Summary!$U$11/(1-Summary!$U$11)))</f>
        <v/>
      </c>
      <c r="W352" s="202" t="str">
        <f aca="false">IF($A353="","",(T352+R352+G352+V352))</f>
        <v/>
      </c>
      <c r="X352" s="202" t="str">
        <f aca="false">IF($A353="","",(U352+S352+H352+V352))</f>
        <v/>
      </c>
      <c r="Y352" s="202"/>
      <c r="Z352" s="185" t="str">
        <f aca="false">IF($A353="","",VLOOKUP($A352,Table,MATCH(Z$4,Curves,0)))</f>
        <v/>
      </c>
      <c r="AA352" s="185" t="str">
        <f aca="false">IF($A353="","",VLOOKUP($A352,Table,MATCH(AA$4,Curves,0)))</f>
        <v/>
      </c>
      <c r="AB352" s="185" t="e">
        <f aca="false">SQRT((AA352^2*(A352-$D$3)+Z352^2*(DAY(EOMONTH(A352,0))/2))/AK352)</f>
        <v>#VALUE!</v>
      </c>
      <c r="AC352" s="185" t="str">
        <f aca="false">IF($A353="","",VLOOKUP($A352,Table,MATCH(AC$4,Curves,0)))</f>
        <v/>
      </c>
      <c r="AD352" s="185" t="str">
        <f aca="false">IF($A353="","",VLOOKUP($A352,Table,MATCH(AD$4,Curves,0)))</f>
        <v/>
      </c>
      <c r="AE352" s="185" t="e">
        <f aca="false">SQRT((AD352^2*(A352-$D$3)+AC352^2*(DAY(EOMONTH(A352,0))/2))/AK352)</f>
        <v>#VALUE!</v>
      </c>
      <c r="AF352" s="206" t="e">
        <f aca="false">((Summary!$N$11*(AA352*AD352)*(A352-$D$3))+(Summary!$M$11*Z352*AC352*(AJ352-EOMONTH(EDATE(A352,-1),0))))/(AK352*AB352*AE352)</f>
        <v>#VALUE!</v>
      </c>
      <c r="AG352" s="207" t="str">
        <f aca="false">IF($A353="","",Summary!$Q$11)</f>
        <v/>
      </c>
      <c r="AH352" s="207" t="str">
        <f aca="false">IF($A353="","",IF(Summary!$R$11="Y",(VLOOKUP($A352,Summary!$AD$6:$AF$9,3)+'Escalating commodity'!G365),'Escalating commodity'!G365))</f>
        <v/>
      </c>
      <c r="AI352" s="207" t="str">
        <f aca="false">IF($A353="","",AH352)</f>
        <v/>
      </c>
      <c r="AJ352" s="208" t="e">
        <f aca="false">A352+DAY(EOMONTH(A352,0))/2-1</f>
        <v>#VALUE!</v>
      </c>
      <c r="AK352" s="209" t="str">
        <f aca="false">IF($A353="","",$A352-$E$1)</f>
        <v/>
      </c>
      <c r="AL352" s="182" t="str">
        <f aca="false">IF($A353="","",SPRDOPT(P352,X352,AI352,0,AB352,AE352,AF352,AK352,$AJ$2,0))</f>
        <v/>
      </c>
      <c r="AM352" s="210" t="str">
        <f aca="false">IF($A353="","",MAX(0,O352-W352-AI352))</f>
        <v/>
      </c>
      <c r="AN352" s="211" t="str">
        <f aca="false">IF($A353="","",AL352-AM352)</f>
        <v/>
      </c>
      <c r="AO352" s="137" t="str">
        <f aca="false">IF(A353="","",A353-A352)</f>
        <v/>
      </c>
      <c r="AP352" s="212" t="str">
        <f aca="false">IF(A353="","",CHOOSE(F$3,A353+24,A352))</f>
        <v/>
      </c>
      <c r="AQ352" s="209" t="str">
        <f aca="false">IF(A353="","",AP352-$E$1)</f>
        <v/>
      </c>
      <c r="AR352" s="185" t="n">
        <f aca="false">'ANR OK vs ML7'!AR352</f>
        <v>0.1</v>
      </c>
      <c r="AS352" s="213" t="str">
        <f aca="false">IF(A353="","",1/(1+CHOOSE(F$3,(AR353+($I$3/10000))/2,(AR352+($I$3/10000))/2))^(2*AQ352/365.25))</f>
        <v/>
      </c>
      <c r="AT352" s="137" t="str">
        <f aca="false">IF(A353="","",IF(AND(mthbeg&lt;=A352,mthend&gt;=A352),1,0))</f>
        <v/>
      </c>
      <c r="AU352" s="137" t="str">
        <f aca="false">IF(A353="","",AO352*AT352)</f>
        <v/>
      </c>
      <c r="AW352" s="195" t="str">
        <f aca="false">IF($A353="","",AL352*$E352)</f>
        <v/>
      </c>
      <c r="AX352" s="195" t="str">
        <f aca="false">IF($A353="","",AM352*$E352)</f>
        <v/>
      </c>
      <c r="AY352" s="195" t="str">
        <f aca="false">IF($A353="","",AN352*$E352)</f>
        <v/>
      </c>
      <c r="BA352" s="195" t="str">
        <f aca="false">IF($A353="","",F352*Summary!$Q$11)</f>
        <v/>
      </c>
    </row>
    <row r="353" customFormat="false" ht="12" hidden="false" customHeight="true" outlineLevel="0" collapsed="false">
      <c r="A353" s="196" t="str">
        <f aca="false">IF(A352&lt;mthend,EDATE(A352,1),"")</f>
        <v/>
      </c>
      <c r="B353" s="197" t="str">
        <f aca="false">IF(A353&lt;mthend,B352,"")</f>
        <v/>
      </c>
      <c r="C353" s="215"/>
      <c r="D353" s="197" t="str">
        <f aca="false">IF(A354&lt;&gt;"",B353+C353,"")</f>
        <v/>
      </c>
      <c r="E353" s="199" t="str">
        <f aca="false">IF(A354="","",IF(AND(AT353=1,$H$3=1),D353*AO353,IF($H$3=2,D353,"N/A")))</f>
        <v/>
      </c>
      <c r="F353" s="199" t="str">
        <f aca="false">IF(A354="","",E353*AS353)</f>
        <v/>
      </c>
      <c r="G353" s="200" t="str">
        <f aca="false">IF($A354="","",VLOOKUP($A353,Table,MATCH(G$4,Curves,0)))</f>
        <v/>
      </c>
      <c r="H353" s="201" t="str">
        <f aca="false">IF(A354="","",G353)</f>
        <v/>
      </c>
      <c r="I353" s="202"/>
      <c r="J353" s="200" t="str">
        <f aca="false">IF($A354="","",VLOOKUP($A353,Table,MATCH(J$4,Curves,0)))</f>
        <v/>
      </c>
      <c r="K353" s="201" t="str">
        <f aca="false">IF(A354="","",J353)</f>
        <v/>
      </c>
      <c r="L353" s="200" t="str">
        <f aca="false">IF($A354="","",VLOOKUP($A353,Table,MATCH(L$4,Curves,0)))</f>
        <v/>
      </c>
      <c r="M353" s="201" t="str">
        <f aca="false">IF(A354="","",L353)</f>
        <v/>
      </c>
      <c r="N353" s="203"/>
      <c r="O353" s="200" t="str">
        <f aca="false">IF(A354="","",L353+J353+G353)</f>
        <v/>
      </c>
      <c r="P353" s="200" t="str">
        <f aca="false">IF(A354="","",M353+K353+H353)</f>
        <v/>
      </c>
      <c r="Q353" s="204"/>
      <c r="R353" s="200" t="str">
        <f aca="false">IF($A354="","",VLOOKUP($A353,Table,MATCH(R$4,Curves,0)))</f>
        <v/>
      </c>
      <c r="S353" s="201" t="str">
        <f aca="false">IF(A354="","",R353)</f>
        <v/>
      </c>
      <c r="T353" s="185" t="n">
        <v>0</v>
      </c>
      <c r="U353" s="201" t="str">
        <f aca="false">IF(A354="","",T353)</f>
        <v/>
      </c>
      <c r="V353" s="205" t="str">
        <f aca="false">IF($A354="","",IF(AND(MONTH(A353)&gt;3,MONTH(A353)&lt;11),(T353+R353+G353)*Summary!$T$11/(1-Summary!$T$11),(T353+R353+G353)*Summary!$U$11/(1-Summary!$U$11)))</f>
        <v/>
      </c>
      <c r="W353" s="202" t="str">
        <f aca="false">IF($A354="","",(T353+R353+G353+V353))</f>
        <v/>
      </c>
      <c r="X353" s="202" t="str">
        <f aca="false">IF($A354="","",(U353+S353+H353+V353))</f>
        <v/>
      </c>
      <c r="Y353" s="202"/>
      <c r="Z353" s="185" t="str">
        <f aca="false">IF($A354="","",VLOOKUP($A353,Table,MATCH(Z$4,Curves,0)))</f>
        <v/>
      </c>
      <c r="AA353" s="185" t="str">
        <f aca="false">IF($A354="","",VLOOKUP($A353,Table,MATCH(AA$4,Curves,0)))</f>
        <v/>
      </c>
      <c r="AB353" s="185" t="e">
        <f aca="false">SQRT((AA353^2*(A353-$D$3)+Z353^2*(DAY(EOMONTH(A353,0))/2))/AK353)</f>
        <v>#VALUE!</v>
      </c>
      <c r="AC353" s="185" t="str">
        <f aca="false">IF($A354="","",VLOOKUP($A353,Table,MATCH(AC$4,Curves,0)))</f>
        <v/>
      </c>
      <c r="AD353" s="185" t="str">
        <f aca="false">IF($A354="","",VLOOKUP($A353,Table,MATCH(AD$4,Curves,0)))</f>
        <v/>
      </c>
      <c r="AE353" s="185" t="e">
        <f aca="false">SQRT((AD353^2*(A353-$D$3)+AC353^2*(DAY(EOMONTH(A353,0))/2))/AK353)</f>
        <v>#VALUE!</v>
      </c>
      <c r="AF353" s="206" t="e">
        <f aca="false">((Summary!$N$11*(AA353*AD353)*(A353-$D$3))+(Summary!$M$11*Z353*AC353*(AJ353-EOMONTH(EDATE(A353,-1),0))))/(AK353*AB353*AE353)</f>
        <v>#VALUE!</v>
      </c>
      <c r="AG353" s="207" t="str">
        <f aca="false">IF($A354="","",Summary!$Q$11)</f>
        <v/>
      </c>
      <c r="AH353" s="207" t="str">
        <f aca="false">IF($A354="","",IF(Summary!$R$11="Y",(VLOOKUP($A353,Summary!$AD$6:$AF$9,3)+'Escalating commodity'!G366),'Escalating commodity'!G366))</f>
        <v/>
      </c>
      <c r="AI353" s="207" t="str">
        <f aca="false">IF($A354="","",AH353)</f>
        <v/>
      </c>
      <c r="AJ353" s="208" t="e">
        <f aca="false">A353+DAY(EOMONTH(A353,0))/2-1</f>
        <v>#VALUE!</v>
      </c>
      <c r="AK353" s="209" t="str">
        <f aca="false">IF($A354="","",$A353-$E$1)</f>
        <v/>
      </c>
      <c r="AL353" s="182" t="str">
        <f aca="false">IF($A354="","",SPRDOPT(P353,X353,AI353,0,AB353,AE353,AF353,AK353,$AJ$2,0))</f>
        <v/>
      </c>
      <c r="AM353" s="210" t="str">
        <f aca="false">IF($A354="","",MAX(0,O353-W353-AI353))</f>
        <v/>
      </c>
      <c r="AN353" s="211" t="str">
        <f aca="false">IF($A354="","",AL353-AM353)</f>
        <v/>
      </c>
      <c r="AO353" s="137" t="str">
        <f aca="false">IF(A354="","",A354-A353)</f>
        <v/>
      </c>
      <c r="AP353" s="212" t="str">
        <f aca="false">IF(A354="","",CHOOSE(F$3,A354+24,A353))</f>
        <v/>
      </c>
      <c r="AQ353" s="209" t="str">
        <f aca="false">IF(A354="","",AP353-$E$1)</f>
        <v/>
      </c>
      <c r="AR353" s="185" t="n">
        <f aca="false">'ANR OK vs ML7'!AR353</f>
        <v>0.1</v>
      </c>
      <c r="AS353" s="213" t="str">
        <f aca="false">IF(A354="","",1/(1+CHOOSE(F$3,(AR354+($I$3/10000))/2,(AR353+($I$3/10000))/2))^(2*AQ353/365.25))</f>
        <v/>
      </c>
      <c r="AT353" s="137" t="str">
        <f aca="false">IF(A354="","",IF(AND(mthbeg&lt;=A353,mthend&gt;=A353),1,0))</f>
        <v/>
      </c>
      <c r="AU353" s="137" t="str">
        <f aca="false">IF(A354="","",AO353*AT353)</f>
        <v/>
      </c>
      <c r="AW353" s="195" t="str">
        <f aca="false">IF($A354="","",AL353*$E353)</f>
        <v/>
      </c>
      <c r="AX353" s="195" t="str">
        <f aca="false">IF($A354="","",AM353*$E353)</f>
        <v/>
      </c>
      <c r="AY353" s="195" t="str">
        <f aca="false">IF($A354="","",AN353*$E353)</f>
        <v/>
      </c>
      <c r="BA353" s="195" t="str">
        <f aca="false">IF($A354="","",F353*Summary!$Q$11)</f>
        <v/>
      </c>
    </row>
    <row r="354" customFormat="false" ht="12" hidden="false" customHeight="true" outlineLevel="0" collapsed="false">
      <c r="A354" s="196" t="str">
        <f aca="false">IF(A353&lt;mthend,EDATE(A353,1),"")</f>
        <v/>
      </c>
      <c r="B354" s="197" t="str">
        <f aca="false">IF(A354&lt;mthend,B353,"")</f>
        <v/>
      </c>
      <c r="C354" s="215"/>
      <c r="D354" s="197" t="str">
        <f aca="false">IF(A355&lt;&gt;"",B354+C354,"")</f>
        <v/>
      </c>
      <c r="E354" s="199" t="str">
        <f aca="false">IF(A355="","",IF(AND(AT354=1,$H$3=1),D354*AO354,IF($H$3=2,D354,"N/A")))</f>
        <v/>
      </c>
      <c r="F354" s="199" t="str">
        <f aca="false">IF(A355="","",E354*AS354)</f>
        <v/>
      </c>
      <c r="G354" s="200" t="str">
        <f aca="false">IF($A355="","",VLOOKUP($A354,Table,MATCH(G$4,Curves,0)))</f>
        <v/>
      </c>
      <c r="H354" s="201" t="str">
        <f aca="false">IF(A355="","",G354)</f>
        <v/>
      </c>
      <c r="I354" s="202"/>
      <c r="J354" s="200" t="str">
        <f aca="false">IF($A355="","",VLOOKUP($A354,Table,MATCH(J$4,Curves,0)))</f>
        <v/>
      </c>
      <c r="K354" s="201" t="str">
        <f aca="false">IF(A355="","",J354)</f>
        <v/>
      </c>
      <c r="L354" s="200" t="str">
        <f aca="false">IF($A355="","",VLOOKUP($A354,Table,MATCH(L$4,Curves,0)))</f>
        <v/>
      </c>
      <c r="M354" s="201" t="str">
        <f aca="false">IF(A355="","",L354)</f>
        <v/>
      </c>
      <c r="N354" s="203"/>
      <c r="O354" s="200" t="str">
        <f aca="false">IF(A355="","",L354+J354+G354)</f>
        <v/>
      </c>
      <c r="P354" s="200" t="str">
        <f aca="false">IF(A355="","",M354+K354+H354)</f>
        <v/>
      </c>
      <c r="Q354" s="204"/>
      <c r="R354" s="200" t="str">
        <f aca="false">IF($A355="","",VLOOKUP($A354,Table,MATCH(R$4,Curves,0)))</f>
        <v/>
      </c>
      <c r="S354" s="201" t="str">
        <f aca="false">IF(A355="","",R354)</f>
        <v/>
      </c>
      <c r="T354" s="185" t="n">
        <v>0</v>
      </c>
      <c r="U354" s="201" t="str">
        <f aca="false">IF(A355="","",T354)</f>
        <v/>
      </c>
      <c r="V354" s="205" t="str">
        <f aca="false">IF($A355="","",IF(AND(MONTH(A354)&gt;3,MONTH(A354)&lt;11),(T354+R354+G354)*Summary!$T$11/(1-Summary!$T$11),(T354+R354+G354)*Summary!$U$11/(1-Summary!$U$11)))</f>
        <v/>
      </c>
      <c r="W354" s="202" t="str">
        <f aca="false">IF($A355="","",(T354+R354+G354+V354))</f>
        <v/>
      </c>
      <c r="X354" s="202" t="str">
        <f aca="false">IF($A355="","",(U354+S354+H354+V354))</f>
        <v/>
      </c>
      <c r="Y354" s="202"/>
      <c r="Z354" s="185" t="str">
        <f aca="false">IF($A355="","",VLOOKUP($A354,Table,MATCH(Z$4,Curves,0)))</f>
        <v/>
      </c>
      <c r="AA354" s="185" t="str">
        <f aca="false">IF($A355="","",VLOOKUP($A354,Table,MATCH(AA$4,Curves,0)))</f>
        <v/>
      </c>
      <c r="AB354" s="185" t="e">
        <f aca="false">SQRT((AA354^2*(A354-$D$3)+Z354^2*(DAY(EOMONTH(A354,0))/2))/AK354)</f>
        <v>#VALUE!</v>
      </c>
      <c r="AC354" s="185" t="str">
        <f aca="false">IF($A355="","",VLOOKUP($A354,Table,MATCH(AC$4,Curves,0)))</f>
        <v/>
      </c>
      <c r="AD354" s="185" t="str">
        <f aca="false">IF($A355="","",VLOOKUP($A354,Table,MATCH(AD$4,Curves,0)))</f>
        <v/>
      </c>
      <c r="AE354" s="185" t="e">
        <f aca="false">SQRT((AD354^2*(A354-$D$3)+AC354^2*(DAY(EOMONTH(A354,0))/2))/AK354)</f>
        <v>#VALUE!</v>
      </c>
      <c r="AF354" s="206" t="e">
        <f aca="false">((Summary!$N$11*(AA354*AD354)*(A354-$D$3))+(Summary!$M$11*Z354*AC354*(AJ354-EOMONTH(EDATE(A354,-1),0))))/(AK354*AB354*AE354)</f>
        <v>#VALUE!</v>
      </c>
      <c r="AG354" s="207" t="str">
        <f aca="false">IF($A355="","",Summary!$Q$11)</f>
        <v/>
      </c>
      <c r="AH354" s="207" t="str">
        <f aca="false">IF($A355="","",IF(Summary!$R$11="Y",(VLOOKUP($A354,Summary!$AD$6:$AF$9,3)+'Escalating commodity'!G367),'Escalating commodity'!G367))</f>
        <v/>
      </c>
      <c r="AI354" s="207" t="str">
        <f aca="false">IF($A355="","",AH354)</f>
        <v/>
      </c>
      <c r="AJ354" s="208" t="e">
        <f aca="false">A354+DAY(EOMONTH(A354,0))/2-1</f>
        <v>#VALUE!</v>
      </c>
      <c r="AK354" s="209" t="str">
        <f aca="false">IF($A355="","",$A354-$E$1)</f>
        <v/>
      </c>
      <c r="AL354" s="182" t="str">
        <f aca="false">IF($A355="","",SPRDOPT(P354,X354,AI354,0,AB354,AE354,AF354,AK354,$AJ$2,0))</f>
        <v/>
      </c>
      <c r="AM354" s="210" t="str">
        <f aca="false">IF($A355="","",MAX(0,O354-W354-AI354))</f>
        <v/>
      </c>
      <c r="AN354" s="211" t="str">
        <f aca="false">IF($A355="","",AL354-AM354)</f>
        <v/>
      </c>
      <c r="AO354" s="137" t="str">
        <f aca="false">IF(A355="","",A355-A354)</f>
        <v/>
      </c>
      <c r="AP354" s="212" t="str">
        <f aca="false">IF(A355="","",CHOOSE(F$3,A355+24,A354))</f>
        <v/>
      </c>
      <c r="AQ354" s="209" t="str">
        <f aca="false">IF(A355="","",AP354-$E$1)</f>
        <v/>
      </c>
      <c r="AR354" s="185" t="n">
        <f aca="false">'ANR OK vs ML7'!AR354</f>
        <v>0.1</v>
      </c>
      <c r="AS354" s="213" t="str">
        <f aca="false">IF(A355="","",1/(1+CHOOSE(F$3,(AR355+($I$3/10000))/2,(AR354+($I$3/10000))/2))^(2*AQ354/365.25))</f>
        <v/>
      </c>
      <c r="AT354" s="137" t="str">
        <f aca="false">IF(A355="","",IF(AND(mthbeg&lt;=A354,mthend&gt;=A354),1,0))</f>
        <v/>
      </c>
      <c r="AU354" s="137" t="str">
        <f aca="false">IF(A355="","",AO354*AT354)</f>
        <v/>
      </c>
      <c r="AW354" s="195" t="str">
        <f aca="false">IF($A355="","",AL354*$E354)</f>
        <v/>
      </c>
      <c r="AX354" s="195" t="str">
        <f aca="false">IF($A355="","",AM354*$E354)</f>
        <v/>
      </c>
      <c r="AY354" s="195" t="str">
        <f aca="false">IF($A355="","",AN354*$E354)</f>
        <v/>
      </c>
      <c r="BA354" s="195" t="str">
        <f aca="false">IF($A355="","",F354*Summary!$Q$11)</f>
        <v/>
      </c>
    </row>
    <row r="355" customFormat="false" ht="12" hidden="false" customHeight="true" outlineLevel="0" collapsed="false">
      <c r="A355" s="196" t="str">
        <f aca="false">IF(A354&lt;mthend,EDATE(A354,1),"")</f>
        <v/>
      </c>
      <c r="B355" s="197" t="str">
        <f aca="false">IF(A355&lt;mthend,B354,"")</f>
        <v/>
      </c>
      <c r="C355" s="215"/>
      <c r="D355" s="197" t="str">
        <f aca="false">IF(A356&lt;&gt;"",B355+C355,"")</f>
        <v/>
      </c>
      <c r="E355" s="199" t="str">
        <f aca="false">IF(A356="","",IF(AND(AT355=1,$H$3=1),D355*AO355,IF($H$3=2,D355,"N/A")))</f>
        <v/>
      </c>
      <c r="F355" s="199" t="str">
        <f aca="false">IF(A356="","",E355*AS355)</f>
        <v/>
      </c>
      <c r="G355" s="200" t="str">
        <f aca="false">IF($A356="","",VLOOKUP($A355,Table,MATCH(G$4,Curves,0)))</f>
        <v/>
      </c>
      <c r="H355" s="201" t="str">
        <f aca="false">IF(A356="","",G355)</f>
        <v/>
      </c>
      <c r="I355" s="202"/>
      <c r="J355" s="200" t="str">
        <f aca="false">IF($A356="","",VLOOKUP($A355,Table,MATCH(J$4,Curves,0)))</f>
        <v/>
      </c>
      <c r="K355" s="201" t="str">
        <f aca="false">IF(A356="","",J355)</f>
        <v/>
      </c>
      <c r="L355" s="200" t="str">
        <f aca="false">IF($A356="","",VLOOKUP($A355,Table,MATCH(L$4,Curves,0)))</f>
        <v/>
      </c>
      <c r="M355" s="201" t="str">
        <f aca="false">IF(A356="","",L355)</f>
        <v/>
      </c>
      <c r="N355" s="203"/>
      <c r="O355" s="200" t="str">
        <f aca="false">IF(A356="","",L355+J355+G355)</f>
        <v/>
      </c>
      <c r="P355" s="200" t="str">
        <f aca="false">IF(A356="","",M355+K355+H355)</f>
        <v/>
      </c>
      <c r="Q355" s="204"/>
      <c r="R355" s="200" t="str">
        <f aca="false">IF($A356="","",VLOOKUP($A355,Table,MATCH(R$4,Curves,0)))</f>
        <v/>
      </c>
      <c r="S355" s="201" t="str">
        <f aca="false">IF(A356="","",R355)</f>
        <v/>
      </c>
      <c r="T355" s="185" t="n">
        <v>0</v>
      </c>
      <c r="U355" s="201" t="str">
        <f aca="false">IF(A356="","",T355)</f>
        <v/>
      </c>
      <c r="V355" s="205" t="str">
        <f aca="false">IF($A356="","",IF(AND(MONTH(A355)&gt;3,MONTH(A355)&lt;11),(T355+R355+G355)*Summary!$T$11/(1-Summary!$T$11),(T355+R355+G355)*Summary!$U$11/(1-Summary!$U$11)))</f>
        <v/>
      </c>
      <c r="W355" s="202" t="str">
        <f aca="false">IF($A356="","",(T355+R355+G355+V355))</f>
        <v/>
      </c>
      <c r="X355" s="202" t="str">
        <f aca="false">IF($A356="","",(U355+S355+H355+V355))</f>
        <v/>
      </c>
      <c r="Y355" s="202"/>
      <c r="Z355" s="185" t="str">
        <f aca="false">IF($A356="","",VLOOKUP($A355,Table,MATCH(Z$4,Curves,0)))</f>
        <v/>
      </c>
      <c r="AA355" s="185" t="str">
        <f aca="false">IF($A356="","",VLOOKUP($A355,Table,MATCH(AA$4,Curves,0)))</f>
        <v/>
      </c>
      <c r="AB355" s="185" t="e">
        <f aca="false">SQRT((AA355^2*(A355-$D$3)+Z355^2*(DAY(EOMONTH(A355,0))/2))/AK355)</f>
        <v>#VALUE!</v>
      </c>
      <c r="AC355" s="185" t="str">
        <f aca="false">IF($A356="","",VLOOKUP($A355,Table,MATCH(AC$4,Curves,0)))</f>
        <v/>
      </c>
      <c r="AD355" s="185" t="str">
        <f aca="false">IF($A356="","",VLOOKUP($A355,Table,MATCH(AD$4,Curves,0)))</f>
        <v/>
      </c>
      <c r="AE355" s="185" t="e">
        <f aca="false">SQRT((AD355^2*(A355-$D$3)+AC355^2*(DAY(EOMONTH(A355,0))/2))/AK355)</f>
        <v>#VALUE!</v>
      </c>
      <c r="AF355" s="206" t="e">
        <f aca="false">((Summary!$N$11*(AA355*AD355)*(A355-$D$3))+(Summary!$M$11*Z355*AC355*(AJ355-EOMONTH(EDATE(A355,-1),0))))/(AK355*AB355*AE355)</f>
        <v>#VALUE!</v>
      </c>
      <c r="AG355" s="207" t="str">
        <f aca="false">IF($A356="","",Summary!$Q$11)</f>
        <v/>
      </c>
      <c r="AH355" s="207" t="str">
        <f aca="false">IF($A356="","",IF(Summary!$R$11="Y",(VLOOKUP($A355,Summary!$AD$6:$AF$9,3)+'Escalating commodity'!G368),'Escalating commodity'!G368))</f>
        <v/>
      </c>
      <c r="AI355" s="207" t="str">
        <f aca="false">IF($A356="","",AH355)</f>
        <v/>
      </c>
      <c r="AJ355" s="208" t="e">
        <f aca="false">A355+DAY(EOMONTH(A355,0))/2-1</f>
        <v>#VALUE!</v>
      </c>
      <c r="AK355" s="209" t="str">
        <f aca="false">IF($A356="","",$A355-$E$1)</f>
        <v/>
      </c>
      <c r="AL355" s="182" t="str">
        <f aca="false">IF($A356="","",SPRDOPT(P355,X355,AI355,0,AB355,AE355,AF355,AK355,$AJ$2,0))</f>
        <v/>
      </c>
      <c r="AM355" s="210" t="str">
        <f aca="false">IF($A356="","",MAX(0,O355-W355-AI355))</f>
        <v/>
      </c>
      <c r="AN355" s="211" t="str">
        <f aca="false">IF($A356="","",AL355-AM355)</f>
        <v/>
      </c>
      <c r="AO355" s="137" t="str">
        <f aca="false">IF(A356="","",A356-A355)</f>
        <v/>
      </c>
      <c r="AP355" s="212" t="str">
        <f aca="false">IF(A356="","",CHOOSE(F$3,A356+24,A355))</f>
        <v/>
      </c>
      <c r="AQ355" s="209" t="str">
        <f aca="false">IF(A356="","",AP355-$E$1)</f>
        <v/>
      </c>
      <c r="AR355" s="185" t="n">
        <f aca="false">'ANR OK vs ML7'!AR355</f>
        <v>0.1</v>
      </c>
      <c r="AS355" s="213" t="str">
        <f aca="false">IF(A356="","",1/(1+CHOOSE(F$3,(AR356+($I$3/10000))/2,(AR355+($I$3/10000))/2))^(2*AQ355/365.25))</f>
        <v/>
      </c>
      <c r="AT355" s="137" t="str">
        <f aca="false">IF(A356="","",IF(AND(mthbeg&lt;=A355,mthend&gt;=A355),1,0))</f>
        <v/>
      </c>
      <c r="AU355" s="137" t="str">
        <f aca="false">IF(A356="","",AO355*AT355)</f>
        <v/>
      </c>
      <c r="AW355" s="195" t="str">
        <f aca="false">IF($A356="","",AL355*$E355)</f>
        <v/>
      </c>
      <c r="AX355" s="195" t="str">
        <f aca="false">IF($A356="","",AM355*$E355)</f>
        <v/>
      </c>
      <c r="AY355" s="195" t="str">
        <f aca="false">IF($A356="","",AN355*$E355)</f>
        <v/>
      </c>
      <c r="BA355" s="195" t="str">
        <f aca="false">IF($A356="","",F355*Summary!$Q$11)</f>
        <v/>
      </c>
    </row>
    <row r="356" customFormat="false" ht="12" hidden="false" customHeight="true" outlineLevel="0" collapsed="false">
      <c r="A356" s="196" t="str">
        <f aca="false">IF(A355&lt;mthend,EDATE(A355,1),"")</f>
        <v/>
      </c>
      <c r="B356" s="197" t="str">
        <f aca="false">IF(A356&lt;mthend,B355,"")</f>
        <v/>
      </c>
      <c r="C356" s="215"/>
      <c r="D356" s="197" t="str">
        <f aca="false">IF(A357&lt;&gt;"",B356+C356,"")</f>
        <v/>
      </c>
      <c r="E356" s="199" t="str">
        <f aca="false">IF(A357="","",IF(AND(AT356=1,$H$3=1),D356*AO356,IF($H$3=2,D356,"N/A")))</f>
        <v/>
      </c>
      <c r="F356" s="199" t="str">
        <f aca="false">IF(A357="","",E356*AS356)</f>
        <v/>
      </c>
      <c r="G356" s="200" t="str">
        <f aca="false">IF($A357="","",VLOOKUP($A356,Table,MATCH(G$4,Curves,0)))</f>
        <v/>
      </c>
      <c r="H356" s="201" t="str">
        <f aca="false">IF(A357="","",G356)</f>
        <v/>
      </c>
      <c r="I356" s="202"/>
      <c r="J356" s="200" t="str">
        <f aca="false">IF($A357="","",VLOOKUP($A356,Table,MATCH(J$4,Curves,0)))</f>
        <v/>
      </c>
      <c r="K356" s="201" t="str">
        <f aca="false">IF(A357="","",J356)</f>
        <v/>
      </c>
      <c r="L356" s="200" t="str">
        <f aca="false">IF($A357="","",VLOOKUP($A356,Table,MATCH(L$4,Curves,0)))</f>
        <v/>
      </c>
      <c r="M356" s="201" t="str">
        <f aca="false">IF(A357="","",L356)</f>
        <v/>
      </c>
      <c r="N356" s="203"/>
      <c r="O356" s="200" t="str">
        <f aca="false">IF(A357="","",L356+J356+G356)</f>
        <v/>
      </c>
      <c r="P356" s="200" t="str">
        <f aca="false">IF(A357="","",M356+K356+H356)</f>
        <v/>
      </c>
      <c r="Q356" s="204"/>
      <c r="R356" s="200" t="str">
        <f aca="false">IF($A357="","",VLOOKUP($A356,Table,MATCH(R$4,Curves,0)))</f>
        <v/>
      </c>
      <c r="S356" s="201" t="str">
        <f aca="false">IF(A357="","",R356)</f>
        <v/>
      </c>
      <c r="T356" s="185" t="n">
        <v>0</v>
      </c>
      <c r="U356" s="201" t="str">
        <f aca="false">IF(A357="","",T356)</f>
        <v/>
      </c>
      <c r="V356" s="205" t="str">
        <f aca="false">IF($A357="","",IF(AND(MONTH(A356)&gt;3,MONTH(A356)&lt;11),(T356+R356+G356)*Summary!$T$11/(1-Summary!$T$11),(T356+R356+G356)*Summary!$U$11/(1-Summary!$U$11)))</f>
        <v/>
      </c>
      <c r="W356" s="202" t="str">
        <f aca="false">IF($A357="","",(T356+R356+G356+V356))</f>
        <v/>
      </c>
      <c r="X356" s="202" t="str">
        <f aca="false">IF($A357="","",(U356+S356+H356+V356))</f>
        <v/>
      </c>
      <c r="Y356" s="202"/>
      <c r="Z356" s="185" t="str">
        <f aca="false">IF($A357="","",VLOOKUP($A356,Table,MATCH(Z$4,Curves,0)))</f>
        <v/>
      </c>
      <c r="AA356" s="185" t="str">
        <f aca="false">IF($A357="","",VLOOKUP($A356,Table,MATCH(AA$4,Curves,0)))</f>
        <v/>
      </c>
      <c r="AB356" s="185" t="e">
        <f aca="false">SQRT((AA356^2*(A356-$D$3)+Z356^2*(DAY(EOMONTH(A356,0))/2))/AK356)</f>
        <v>#VALUE!</v>
      </c>
      <c r="AC356" s="185" t="str">
        <f aca="false">IF($A357="","",VLOOKUP($A356,Table,MATCH(AC$4,Curves,0)))</f>
        <v/>
      </c>
      <c r="AD356" s="185" t="str">
        <f aca="false">IF($A357="","",VLOOKUP($A356,Table,MATCH(AD$4,Curves,0)))</f>
        <v/>
      </c>
      <c r="AE356" s="185" t="e">
        <f aca="false">SQRT((AD356^2*(A356-$D$3)+AC356^2*(DAY(EOMONTH(A356,0))/2))/AK356)</f>
        <v>#VALUE!</v>
      </c>
      <c r="AF356" s="206" t="e">
        <f aca="false">((Summary!$N$11*(AA356*AD356)*(A356-$D$3))+(Summary!$M$11*Z356*AC356*(AJ356-EOMONTH(EDATE(A356,-1),0))))/(AK356*AB356*AE356)</f>
        <v>#VALUE!</v>
      </c>
      <c r="AG356" s="207" t="str">
        <f aca="false">IF($A357="","",Summary!$Q$11)</f>
        <v/>
      </c>
      <c r="AH356" s="207" t="str">
        <f aca="false">IF($A357="","",IF(Summary!$R$11="Y",(VLOOKUP($A356,Summary!$AD$6:$AF$9,3)+'Escalating commodity'!G369),'Escalating commodity'!G369))</f>
        <v/>
      </c>
      <c r="AI356" s="207" t="str">
        <f aca="false">IF($A357="","",AH356)</f>
        <v/>
      </c>
      <c r="AJ356" s="208" t="e">
        <f aca="false">A356+DAY(EOMONTH(A356,0))/2-1</f>
        <v>#VALUE!</v>
      </c>
      <c r="AK356" s="209" t="str">
        <f aca="false">IF($A357="","",$A356-$E$1)</f>
        <v/>
      </c>
      <c r="AL356" s="182" t="str">
        <f aca="false">IF($A357="","",SPRDOPT(P356,X356,AI356,0,AB356,AE356,AF356,AK356,$AJ$2,0))</f>
        <v/>
      </c>
      <c r="AM356" s="210" t="str">
        <f aca="false">IF($A357="","",MAX(0,O356-W356-AI356))</f>
        <v/>
      </c>
      <c r="AN356" s="211" t="str">
        <f aca="false">IF($A357="","",AL356-AM356)</f>
        <v/>
      </c>
      <c r="AO356" s="137" t="str">
        <f aca="false">IF(A357="","",A357-A356)</f>
        <v/>
      </c>
      <c r="AP356" s="212" t="str">
        <f aca="false">IF(A357="","",CHOOSE(F$3,A357+24,A356))</f>
        <v/>
      </c>
      <c r="AQ356" s="209" t="str">
        <f aca="false">IF(A357="","",AP356-$E$1)</f>
        <v/>
      </c>
      <c r="AR356" s="185" t="n">
        <f aca="false">'ANR OK vs ML7'!AR356</f>
        <v>0.1</v>
      </c>
      <c r="AS356" s="213" t="str">
        <f aca="false">IF(A357="","",1/(1+CHOOSE(F$3,(AR357+($I$3/10000))/2,(AR356+($I$3/10000))/2))^(2*AQ356/365.25))</f>
        <v/>
      </c>
      <c r="AT356" s="137" t="str">
        <f aca="false">IF(A357="","",IF(AND(mthbeg&lt;=A356,mthend&gt;=A356),1,0))</f>
        <v/>
      </c>
      <c r="AU356" s="137" t="str">
        <f aca="false">IF(A357="","",AO356*AT356)</f>
        <v/>
      </c>
      <c r="AW356" s="195" t="str">
        <f aca="false">IF($A357="","",AL356*$E356)</f>
        <v/>
      </c>
      <c r="AX356" s="195" t="str">
        <f aca="false">IF($A357="","",AM356*$E356)</f>
        <v/>
      </c>
      <c r="AY356" s="195" t="str">
        <f aca="false">IF($A357="","",AN356*$E356)</f>
        <v/>
      </c>
      <c r="BA356" s="195" t="str">
        <f aca="false">IF($A357="","",F356*Summary!$Q$11)</f>
        <v/>
      </c>
    </row>
    <row r="357" customFormat="false" ht="12" hidden="false" customHeight="true" outlineLevel="0" collapsed="false">
      <c r="A357" s="196" t="str">
        <f aca="false">IF(A356&lt;mthend,EDATE(A356,1),"")</f>
        <v/>
      </c>
      <c r="B357" s="197" t="str">
        <f aca="false">IF(A357&lt;mthend,B356,"")</f>
        <v/>
      </c>
      <c r="C357" s="215"/>
      <c r="D357" s="197" t="str">
        <f aca="false">IF(A358&lt;&gt;"",B357+C357,"")</f>
        <v/>
      </c>
      <c r="E357" s="199" t="str">
        <f aca="false">IF(A358="","",IF(AND(AT357=1,$H$3=1),D357*AO357,IF($H$3=2,D357,"N/A")))</f>
        <v/>
      </c>
      <c r="F357" s="199" t="str">
        <f aca="false">IF(A358="","",E357*AS357)</f>
        <v/>
      </c>
      <c r="G357" s="200" t="str">
        <f aca="false">IF($A358="","",VLOOKUP($A357,Table,MATCH(G$4,Curves,0)))</f>
        <v/>
      </c>
      <c r="H357" s="201" t="str">
        <f aca="false">IF(A358="","",G357)</f>
        <v/>
      </c>
      <c r="I357" s="202"/>
      <c r="J357" s="200" t="str">
        <f aca="false">IF($A358="","",VLOOKUP($A357,Table,MATCH(J$4,Curves,0)))</f>
        <v/>
      </c>
      <c r="K357" s="201" t="str">
        <f aca="false">IF(A358="","",J357)</f>
        <v/>
      </c>
      <c r="L357" s="200" t="str">
        <f aca="false">IF($A358="","",VLOOKUP($A357,Table,MATCH(L$4,Curves,0)))</f>
        <v/>
      </c>
      <c r="M357" s="201" t="str">
        <f aca="false">IF(A358="","",L357)</f>
        <v/>
      </c>
      <c r="N357" s="203"/>
      <c r="O357" s="200" t="str">
        <f aca="false">IF(A358="","",L357+J357+G357)</f>
        <v/>
      </c>
      <c r="P357" s="200" t="str">
        <f aca="false">IF(A358="","",M357+K357+H357)</f>
        <v/>
      </c>
      <c r="Q357" s="204"/>
      <c r="R357" s="200" t="str">
        <f aca="false">IF($A358="","",VLOOKUP($A357,Table,MATCH(R$4,Curves,0)))</f>
        <v/>
      </c>
      <c r="S357" s="201" t="str">
        <f aca="false">IF(A358="","",R357)</f>
        <v/>
      </c>
      <c r="T357" s="185" t="n">
        <v>0</v>
      </c>
      <c r="U357" s="201" t="str">
        <f aca="false">IF(A358="","",T357)</f>
        <v/>
      </c>
      <c r="V357" s="205" t="str">
        <f aca="false">IF($A358="","",IF(AND(MONTH(A357)&gt;3,MONTH(A357)&lt;11),(T357+R357+G357)*Summary!$T$11/(1-Summary!$T$11),(T357+R357+G357)*Summary!$U$11/(1-Summary!$U$11)))</f>
        <v/>
      </c>
      <c r="W357" s="202" t="str">
        <f aca="false">IF($A358="","",(T357+R357+G357+V357))</f>
        <v/>
      </c>
      <c r="X357" s="202" t="str">
        <f aca="false">IF($A358="","",(U357+S357+H357+V357))</f>
        <v/>
      </c>
      <c r="Y357" s="202"/>
      <c r="Z357" s="185" t="str">
        <f aca="false">IF($A358="","",VLOOKUP($A357,Table,MATCH(Z$4,Curves,0)))</f>
        <v/>
      </c>
      <c r="AA357" s="185" t="str">
        <f aca="false">IF($A358="","",VLOOKUP($A357,Table,MATCH(AA$4,Curves,0)))</f>
        <v/>
      </c>
      <c r="AB357" s="185" t="e">
        <f aca="false">SQRT((AA357^2*(A357-$D$3)+Z357^2*(DAY(EOMONTH(A357,0))/2))/AK357)</f>
        <v>#VALUE!</v>
      </c>
      <c r="AC357" s="185" t="str">
        <f aca="false">IF($A358="","",VLOOKUP($A357,Table,MATCH(AC$4,Curves,0)))</f>
        <v/>
      </c>
      <c r="AD357" s="185" t="str">
        <f aca="false">IF($A358="","",VLOOKUP($A357,Table,MATCH(AD$4,Curves,0)))</f>
        <v/>
      </c>
      <c r="AE357" s="185" t="e">
        <f aca="false">SQRT((AD357^2*(A357-$D$3)+AC357^2*(DAY(EOMONTH(A357,0))/2))/AK357)</f>
        <v>#VALUE!</v>
      </c>
      <c r="AF357" s="206" t="e">
        <f aca="false">((Summary!$N$11*(AA357*AD357)*(A357-$D$3))+(Summary!$M$11*Z357*AC357*(AJ357-EOMONTH(EDATE(A357,-1),0))))/(AK357*AB357*AE357)</f>
        <v>#VALUE!</v>
      </c>
      <c r="AG357" s="207" t="str">
        <f aca="false">IF($A358="","",Summary!$Q$11)</f>
        <v/>
      </c>
      <c r="AH357" s="207" t="str">
        <f aca="false">IF($A358="","",IF(Summary!$R$11="Y",(VLOOKUP($A357,Summary!$AD$6:$AF$9,3)+'Escalating commodity'!G370),'Escalating commodity'!G370))</f>
        <v/>
      </c>
      <c r="AI357" s="207" t="str">
        <f aca="false">IF($A358="","",AH357)</f>
        <v/>
      </c>
      <c r="AJ357" s="208" t="e">
        <f aca="false">A357+DAY(EOMONTH(A357,0))/2-1</f>
        <v>#VALUE!</v>
      </c>
      <c r="AK357" s="209" t="str">
        <f aca="false">IF($A358="","",$A357-$E$1)</f>
        <v/>
      </c>
      <c r="AL357" s="182" t="str">
        <f aca="false">IF($A358="","",SPRDOPT(P357,X357,AI357,0,AB357,AE357,AF357,AK357,$AJ$2,0))</f>
        <v/>
      </c>
      <c r="AM357" s="210" t="str">
        <f aca="false">IF($A358="","",MAX(0,O357-W357-AI357))</f>
        <v/>
      </c>
      <c r="AN357" s="211" t="str">
        <f aca="false">IF($A358="","",AL357-AM357)</f>
        <v/>
      </c>
      <c r="AO357" s="137" t="str">
        <f aca="false">IF(A358="","",A358-A357)</f>
        <v/>
      </c>
      <c r="AP357" s="212" t="str">
        <f aca="false">IF(A358="","",CHOOSE(F$3,A358+24,A357))</f>
        <v/>
      </c>
      <c r="AQ357" s="209" t="str">
        <f aca="false">IF(A358="","",AP357-$E$1)</f>
        <v/>
      </c>
      <c r="AR357" s="185" t="n">
        <f aca="false">'ANR OK vs ML7'!AR357</f>
        <v>0.1</v>
      </c>
      <c r="AS357" s="213" t="str">
        <f aca="false">IF(A358="","",1/(1+CHOOSE(F$3,(AR358+($I$3/10000))/2,(AR357+($I$3/10000))/2))^(2*AQ357/365.25))</f>
        <v/>
      </c>
      <c r="AT357" s="137" t="str">
        <f aca="false">IF(A358="","",IF(AND(mthbeg&lt;=A357,mthend&gt;=A357),1,0))</f>
        <v/>
      </c>
      <c r="AU357" s="137" t="str">
        <f aca="false">IF(A358="","",AO357*AT357)</f>
        <v/>
      </c>
      <c r="AW357" s="195" t="str">
        <f aca="false">IF($A358="","",AL357*$E357)</f>
        <v/>
      </c>
      <c r="AX357" s="195" t="str">
        <f aca="false">IF($A358="","",AM357*$E357)</f>
        <v/>
      </c>
      <c r="AY357" s="195" t="str">
        <f aca="false">IF($A358="","",AN357*$E357)</f>
        <v/>
      </c>
      <c r="BA357" s="195" t="str">
        <f aca="false">IF($A358="","",F357*Summary!$Q$11)</f>
        <v/>
      </c>
    </row>
    <row r="358" customFormat="false" ht="12" hidden="false" customHeight="true" outlineLevel="0" collapsed="false">
      <c r="A358" s="196" t="str">
        <f aca="false">IF(A357&lt;mthend,EDATE(A357,1),"")</f>
        <v/>
      </c>
      <c r="B358" s="197" t="str">
        <f aca="false">IF(A358&lt;mthend,B357,"")</f>
        <v/>
      </c>
      <c r="C358" s="215"/>
      <c r="D358" s="197" t="str">
        <f aca="false">IF(A359&lt;&gt;"",B358+C358,"")</f>
        <v/>
      </c>
      <c r="E358" s="199" t="str">
        <f aca="false">IF(A359="","",IF(AND(AT358=1,$H$3=1),D358*AO358,IF($H$3=2,D358,"N/A")))</f>
        <v/>
      </c>
      <c r="F358" s="199" t="str">
        <f aca="false">IF(A359="","",E358*AS358)</f>
        <v/>
      </c>
      <c r="G358" s="200" t="str">
        <f aca="false">IF($A359="","",VLOOKUP($A358,Table,MATCH(G$4,Curves,0)))</f>
        <v/>
      </c>
      <c r="H358" s="201" t="str">
        <f aca="false">IF(A359="","",G358)</f>
        <v/>
      </c>
      <c r="I358" s="202"/>
      <c r="J358" s="200" t="str">
        <f aca="false">IF($A359="","",VLOOKUP($A358,Table,MATCH(J$4,Curves,0)))</f>
        <v/>
      </c>
      <c r="K358" s="201" t="str">
        <f aca="false">IF(A359="","",J358)</f>
        <v/>
      </c>
      <c r="L358" s="200" t="str">
        <f aca="false">IF($A359="","",VLOOKUP($A358,Table,MATCH(L$4,Curves,0)))</f>
        <v/>
      </c>
      <c r="M358" s="201" t="str">
        <f aca="false">IF(A359="","",L358)</f>
        <v/>
      </c>
      <c r="N358" s="203"/>
      <c r="O358" s="200" t="str">
        <f aca="false">IF(A359="","",L358+J358+G358)</f>
        <v/>
      </c>
      <c r="P358" s="200" t="str">
        <f aca="false">IF(A359="","",M358+K358+H358)</f>
        <v/>
      </c>
      <c r="Q358" s="204"/>
      <c r="R358" s="200" t="str">
        <f aca="false">IF($A359="","",VLOOKUP($A358,Table,MATCH(R$4,Curves,0)))</f>
        <v/>
      </c>
      <c r="S358" s="201" t="str">
        <f aca="false">IF(A359="","",R358)</f>
        <v/>
      </c>
      <c r="T358" s="185" t="n">
        <v>0</v>
      </c>
      <c r="U358" s="201" t="str">
        <f aca="false">IF(A359="","",T358)</f>
        <v/>
      </c>
      <c r="V358" s="205" t="str">
        <f aca="false">IF($A359="","",IF(AND(MONTH(A358)&gt;3,MONTH(A358)&lt;11),(T358+R358+G358)*Summary!$T$11/(1-Summary!$T$11),(T358+R358+G358)*Summary!$U$11/(1-Summary!$U$11)))</f>
        <v/>
      </c>
      <c r="W358" s="202" t="str">
        <f aca="false">IF($A359="","",(T358+R358+G358+V358))</f>
        <v/>
      </c>
      <c r="X358" s="202" t="str">
        <f aca="false">IF($A359="","",(U358+S358+H358+V358))</f>
        <v/>
      </c>
      <c r="Y358" s="202"/>
      <c r="Z358" s="185" t="str">
        <f aca="false">IF($A359="","",VLOOKUP($A358,Table,MATCH(Z$4,Curves,0)))</f>
        <v/>
      </c>
      <c r="AA358" s="185" t="str">
        <f aca="false">IF($A359="","",VLOOKUP($A358,Table,MATCH(AA$4,Curves,0)))</f>
        <v/>
      </c>
      <c r="AB358" s="185" t="e">
        <f aca="false">SQRT((AA358^2*(A358-$D$3)+Z358^2*(DAY(EOMONTH(A358,0))/2))/AK358)</f>
        <v>#VALUE!</v>
      </c>
      <c r="AC358" s="185" t="str">
        <f aca="false">IF($A359="","",VLOOKUP($A358,Table,MATCH(AC$4,Curves,0)))</f>
        <v/>
      </c>
      <c r="AD358" s="185" t="str">
        <f aca="false">IF($A359="","",VLOOKUP($A358,Table,MATCH(AD$4,Curves,0)))</f>
        <v/>
      </c>
      <c r="AE358" s="185" t="e">
        <f aca="false">SQRT((AD358^2*(A358-$D$3)+AC358^2*(DAY(EOMONTH(A358,0))/2))/AK358)</f>
        <v>#VALUE!</v>
      </c>
      <c r="AF358" s="206" t="e">
        <f aca="false">((Summary!$N$11*(AA358*AD358)*(A358-$D$3))+(Summary!$M$11*Z358*AC358*(AJ358-EOMONTH(EDATE(A358,-1),0))))/(AK358*AB358*AE358)</f>
        <v>#VALUE!</v>
      </c>
      <c r="AG358" s="207" t="str">
        <f aca="false">IF($A359="","",Summary!$Q$11)</f>
        <v/>
      </c>
      <c r="AH358" s="207" t="str">
        <f aca="false">IF($A359="","",IF(Summary!$R$11="Y",(VLOOKUP($A358,Summary!$AD$6:$AF$9,3)+'Escalating commodity'!G371),'Escalating commodity'!G371))</f>
        <v/>
      </c>
      <c r="AI358" s="207" t="str">
        <f aca="false">IF($A359="","",AH358)</f>
        <v/>
      </c>
      <c r="AJ358" s="208" t="e">
        <f aca="false">A358+DAY(EOMONTH(A358,0))/2-1</f>
        <v>#VALUE!</v>
      </c>
      <c r="AK358" s="209" t="str">
        <f aca="false">IF($A359="","",$A358-$E$1)</f>
        <v/>
      </c>
      <c r="AL358" s="182" t="str">
        <f aca="false">IF($A359="","",SPRDOPT(P358,X358,AI358,0,AB358,AE358,AF358,AK358,$AJ$2,0))</f>
        <v/>
      </c>
      <c r="AM358" s="210" t="str">
        <f aca="false">IF($A359="","",MAX(0,O358-W358-AI358))</f>
        <v/>
      </c>
      <c r="AN358" s="211" t="str">
        <f aca="false">IF($A359="","",AL358-AM358)</f>
        <v/>
      </c>
      <c r="AO358" s="137" t="str">
        <f aca="false">IF(A359="","",A359-A358)</f>
        <v/>
      </c>
      <c r="AP358" s="212" t="str">
        <f aca="false">IF(A359="","",CHOOSE(F$3,A359+24,A358))</f>
        <v/>
      </c>
      <c r="AQ358" s="209" t="str">
        <f aca="false">IF(A359="","",AP358-$E$1)</f>
        <v/>
      </c>
      <c r="AR358" s="185" t="n">
        <f aca="false">'ANR OK vs ML7'!AR358</f>
        <v>0.1</v>
      </c>
      <c r="AS358" s="213" t="str">
        <f aca="false">IF(A359="","",1/(1+CHOOSE(F$3,(AR359+($I$3/10000))/2,(AR358+($I$3/10000))/2))^(2*AQ358/365.25))</f>
        <v/>
      </c>
      <c r="AT358" s="137" t="str">
        <f aca="false">IF(A359="","",IF(AND(mthbeg&lt;=A358,mthend&gt;=A358),1,0))</f>
        <v/>
      </c>
      <c r="AU358" s="137" t="str">
        <f aca="false">IF(A359="","",AO358*AT358)</f>
        <v/>
      </c>
      <c r="AW358" s="195" t="str">
        <f aca="false">IF($A359="","",AL358*$E358)</f>
        <v/>
      </c>
      <c r="AX358" s="195" t="str">
        <f aca="false">IF($A359="","",AM358*$E358)</f>
        <v/>
      </c>
      <c r="AY358" s="195" t="str">
        <f aca="false">IF($A359="","",AN358*$E358)</f>
        <v/>
      </c>
      <c r="BA358" s="195" t="str">
        <f aca="false">IF($A359="","",F358*Summary!$Q$11)</f>
        <v/>
      </c>
    </row>
    <row r="359" customFormat="false" ht="12" hidden="false" customHeight="true" outlineLevel="0" collapsed="false">
      <c r="A359" s="196" t="str">
        <f aca="false">IF(A358&lt;mthend,EDATE(A358,1),"")</f>
        <v/>
      </c>
      <c r="B359" s="197" t="str">
        <f aca="false">IF(A359&lt;mthend,B358,"")</f>
        <v/>
      </c>
      <c r="C359" s="215"/>
      <c r="D359" s="197" t="str">
        <f aca="false">IF(A360&lt;&gt;"",B359+C359,"")</f>
        <v/>
      </c>
      <c r="E359" s="199" t="str">
        <f aca="false">IF(A360="","",IF(AND(AT359=1,$H$3=1),D359*AO359,IF($H$3=2,D359,"N/A")))</f>
        <v/>
      </c>
      <c r="F359" s="199" t="str">
        <f aca="false">IF(A360="","",E359*AS359)</f>
        <v/>
      </c>
      <c r="G359" s="200" t="str">
        <f aca="false">IF($A360="","",VLOOKUP($A359,Table,MATCH(G$4,Curves,0)))</f>
        <v/>
      </c>
      <c r="H359" s="201" t="str">
        <f aca="false">IF(A360="","",G359)</f>
        <v/>
      </c>
      <c r="I359" s="202"/>
      <c r="J359" s="200" t="str">
        <f aca="false">IF($A360="","",VLOOKUP($A359,Table,MATCH(J$4,Curves,0)))</f>
        <v/>
      </c>
      <c r="K359" s="201" t="str">
        <f aca="false">IF(A360="","",J359)</f>
        <v/>
      </c>
      <c r="L359" s="200" t="str">
        <f aca="false">IF($A360="","",VLOOKUP($A359,Table,MATCH(L$4,Curves,0)))</f>
        <v/>
      </c>
      <c r="M359" s="201" t="str">
        <f aca="false">IF(A360="","",L359)</f>
        <v/>
      </c>
      <c r="N359" s="203"/>
      <c r="O359" s="200" t="str">
        <f aca="false">IF(A360="","",L359+J359+G359)</f>
        <v/>
      </c>
      <c r="P359" s="200" t="str">
        <f aca="false">IF(A360="","",M359+K359+H359)</f>
        <v/>
      </c>
      <c r="Q359" s="204"/>
      <c r="R359" s="200" t="str">
        <f aca="false">IF($A360="","",VLOOKUP($A359,Table,MATCH(R$4,Curves,0)))</f>
        <v/>
      </c>
      <c r="S359" s="201" t="str">
        <f aca="false">IF(A360="","",R359)</f>
        <v/>
      </c>
      <c r="T359" s="185" t="n">
        <v>0</v>
      </c>
      <c r="U359" s="201" t="str">
        <f aca="false">IF(A360="","",T359)</f>
        <v/>
      </c>
      <c r="V359" s="205" t="str">
        <f aca="false">IF($A360="","",IF(AND(MONTH(A359)&gt;3,MONTH(A359)&lt;11),(T359+R359+G359)*Summary!$T$11/(1-Summary!$T$11),(T359+R359+G359)*Summary!$U$11/(1-Summary!$U$11)))</f>
        <v/>
      </c>
      <c r="W359" s="202" t="str">
        <f aca="false">IF($A360="","",(T359+R359+G359+V359))</f>
        <v/>
      </c>
      <c r="X359" s="202" t="str">
        <f aca="false">IF($A360="","",(U359+S359+H359+V359))</f>
        <v/>
      </c>
      <c r="Y359" s="202"/>
      <c r="Z359" s="185" t="str">
        <f aca="false">IF($A360="","",VLOOKUP($A359,Table,MATCH(Z$4,Curves,0)))</f>
        <v/>
      </c>
      <c r="AA359" s="185" t="str">
        <f aca="false">IF($A360="","",VLOOKUP($A359,Table,MATCH(AA$4,Curves,0)))</f>
        <v/>
      </c>
      <c r="AB359" s="185" t="e">
        <f aca="false">SQRT((AA359^2*(A359-$D$3)+Z359^2*(DAY(EOMONTH(A359,0))/2))/AK359)</f>
        <v>#VALUE!</v>
      </c>
      <c r="AC359" s="185" t="str">
        <f aca="false">IF($A360="","",VLOOKUP($A359,Table,MATCH(AC$4,Curves,0)))</f>
        <v/>
      </c>
      <c r="AD359" s="185" t="str">
        <f aca="false">IF($A360="","",VLOOKUP($A359,Table,MATCH(AD$4,Curves,0)))</f>
        <v/>
      </c>
      <c r="AE359" s="185" t="e">
        <f aca="false">SQRT((AD359^2*(A359-$D$3)+AC359^2*(DAY(EOMONTH(A359,0))/2))/AK359)</f>
        <v>#VALUE!</v>
      </c>
      <c r="AF359" s="206" t="e">
        <f aca="false">((Summary!$N$11*(AA359*AD359)*(A359-$D$3))+(Summary!$M$11*Z359*AC359*(AJ359-EOMONTH(EDATE(A359,-1),0))))/(AK359*AB359*AE359)</f>
        <v>#VALUE!</v>
      </c>
      <c r="AG359" s="207" t="str">
        <f aca="false">IF($A360="","",Summary!$Q$11)</f>
        <v/>
      </c>
      <c r="AH359" s="207" t="str">
        <f aca="false">IF($A360="","",IF(Summary!$R$11="Y",(VLOOKUP($A359,Summary!$AD$6:$AF$9,3)+'Escalating commodity'!G372),'Escalating commodity'!G372))</f>
        <v/>
      </c>
      <c r="AI359" s="207" t="str">
        <f aca="false">IF($A360="","",AH359)</f>
        <v/>
      </c>
      <c r="AJ359" s="208" t="e">
        <f aca="false">A359+DAY(EOMONTH(A359,0))/2-1</f>
        <v>#VALUE!</v>
      </c>
      <c r="AK359" s="209" t="str">
        <f aca="false">IF($A360="","",$A359-$E$1)</f>
        <v/>
      </c>
      <c r="AL359" s="182" t="str">
        <f aca="false">IF($A360="","",SPRDOPT(P359,X359,AI359,0,AB359,AE359,AF359,AK359,$AJ$2,0))</f>
        <v/>
      </c>
      <c r="AM359" s="210" t="str">
        <f aca="false">IF($A360="","",MAX(0,O359-W359-AI359))</f>
        <v/>
      </c>
      <c r="AN359" s="211" t="str">
        <f aca="false">IF($A360="","",AL359-AM359)</f>
        <v/>
      </c>
      <c r="AO359" s="137" t="str">
        <f aca="false">IF(A360="","",A360-A359)</f>
        <v/>
      </c>
      <c r="AP359" s="212" t="str">
        <f aca="false">IF(A360="","",CHOOSE(F$3,A360+24,A359))</f>
        <v/>
      </c>
      <c r="AQ359" s="209" t="str">
        <f aca="false">IF(A360="","",AP359-$E$1)</f>
        <v/>
      </c>
      <c r="AR359" s="185" t="n">
        <f aca="false">'ANR OK vs ML7'!AR359</f>
        <v>0.1</v>
      </c>
      <c r="AS359" s="213" t="str">
        <f aca="false">IF(A360="","",1/(1+CHOOSE(F$3,(AR360+($I$3/10000))/2,(AR359+($I$3/10000))/2))^(2*AQ359/365.25))</f>
        <v/>
      </c>
      <c r="AT359" s="137" t="str">
        <f aca="false">IF(A360="","",IF(AND(mthbeg&lt;=A359,mthend&gt;=A359),1,0))</f>
        <v/>
      </c>
      <c r="AU359" s="137" t="str">
        <f aca="false">IF(A360="","",AO359*AT359)</f>
        <v/>
      </c>
      <c r="AW359" s="195" t="str">
        <f aca="false">IF($A360="","",AL359*$E359)</f>
        <v/>
      </c>
      <c r="AX359" s="195" t="str">
        <f aca="false">IF($A360="","",AM359*$E359)</f>
        <v/>
      </c>
      <c r="AY359" s="195" t="str">
        <f aca="false">IF($A360="","",AN359*$E359)</f>
        <v/>
      </c>
      <c r="BA359" s="195" t="str">
        <f aca="false">IF($A360="","",F359*Summary!$Q$11)</f>
        <v/>
      </c>
    </row>
    <row r="360" customFormat="false" ht="12" hidden="false" customHeight="true" outlineLevel="0" collapsed="false">
      <c r="A360" s="196" t="str">
        <f aca="false">IF(A359&lt;mthend,EDATE(A359,1),"")</f>
        <v/>
      </c>
      <c r="B360" s="197" t="str">
        <f aca="false">IF(A360&lt;mthend,B359,"")</f>
        <v/>
      </c>
      <c r="C360" s="215"/>
      <c r="D360" s="197" t="str">
        <f aca="false">IF(A361&lt;&gt;"",B360+C360,"")</f>
        <v/>
      </c>
      <c r="E360" s="199" t="str">
        <f aca="false">IF(A361="","",IF(AND(AT360=1,$H$3=1),D360*AO360,IF($H$3=2,D360,"N/A")))</f>
        <v/>
      </c>
      <c r="F360" s="199" t="str">
        <f aca="false">IF(A361="","",E360*AS360)</f>
        <v/>
      </c>
      <c r="G360" s="200" t="str">
        <f aca="false">IF($A361="","",VLOOKUP($A360,Table,MATCH(G$4,Curves,0)))</f>
        <v/>
      </c>
      <c r="H360" s="201" t="str">
        <f aca="false">IF(A361="","",G360)</f>
        <v/>
      </c>
      <c r="I360" s="202"/>
      <c r="J360" s="200" t="str">
        <f aca="false">IF($A361="","",VLOOKUP($A360,Table,MATCH(J$4,Curves,0)))</f>
        <v/>
      </c>
      <c r="K360" s="201" t="str">
        <f aca="false">IF(A361="","",J360)</f>
        <v/>
      </c>
      <c r="L360" s="200" t="str">
        <f aca="false">IF($A361="","",VLOOKUP($A360,Table,MATCH(L$4,Curves,0)))</f>
        <v/>
      </c>
      <c r="M360" s="201" t="str">
        <f aca="false">IF(A361="","",L360)</f>
        <v/>
      </c>
      <c r="N360" s="203"/>
      <c r="O360" s="200" t="str">
        <f aca="false">IF(A361="","",L360+J360+G360)</f>
        <v/>
      </c>
      <c r="P360" s="200" t="str">
        <f aca="false">IF(A361="","",M360+K360+H360)</f>
        <v/>
      </c>
      <c r="Q360" s="204"/>
      <c r="R360" s="200" t="str">
        <f aca="false">IF($A361="","",VLOOKUP($A360,Table,MATCH(R$4,Curves,0)))</f>
        <v/>
      </c>
      <c r="S360" s="201" t="str">
        <f aca="false">IF(A361="","",R360)</f>
        <v/>
      </c>
      <c r="T360" s="185" t="n">
        <v>0</v>
      </c>
      <c r="U360" s="201" t="str">
        <f aca="false">IF(A361="","",T360)</f>
        <v/>
      </c>
      <c r="V360" s="205" t="str">
        <f aca="false">IF($A361="","",IF(AND(MONTH(A360)&gt;3,MONTH(A360)&lt;11),(T360+R360+G360)*Summary!$T$11/(1-Summary!$T$11),(T360+R360+G360)*Summary!$U$11/(1-Summary!$U$11)))</f>
        <v/>
      </c>
      <c r="W360" s="202" t="str">
        <f aca="false">IF($A361="","",(T360+R360+G360+V360))</f>
        <v/>
      </c>
      <c r="X360" s="202" t="str">
        <f aca="false">IF($A361="","",(U360+S360+H360+V360))</f>
        <v/>
      </c>
      <c r="Y360" s="202"/>
      <c r="Z360" s="185" t="str">
        <f aca="false">IF($A361="","",VLOOKUP($A360,Table,MATCH(Z$4,Curves,0)))</f>
        <v/>
      </c>
      <c r="AA360" s="185" t="str">
        <f aca="false">IF($A361="","",VLOOKUP($A360,Table,MATCH(AA$4,Curves,0)))</f>
        <v/>
      </c>
      <c r="AB360" s="185" t="e">
        <f aca="false">SQRT((AA360^2*(A360-$D$3)+Z360^2*(DAY(EOMONTH(A360,0))/2))/AK360)</f>
        <v>#VALUE!</v>
      </c>
      <c r="AC360" s="185" t="str">
        <f aca="false">IF($A361="","",VLOOKUP($A360,Table,MATCH(AC$4,Curves,0)))</f>
        <v/>
      </c>
      <c r="AD360" s="185" t="str">
        <f aca="false">IF($A361="","",VLOOKUP($A360,Table,MATCH(AD$4,Curves,0)))</f>
        <v/>
      </c>
      <c r="AE360" s="185" t="e">
        <f aca="false">SQRT((AD360^2*(A360-$D$3)+AC360^2*(DAY(EOMONTH(A360,0))/2))/AK360)</f>
        <v>#VALUE!</v>
      </c>
      <c r="AF360" s="206" t="e">
        <f aca="false">((Summary!$N$11*(AA360*AD360)*(A360-$D$3))+(Summary!$M$11*Z360*AC360*(AJ360-EOMONTH(EDATE(A360,-1),0))))/(AK360*AB360*AE360)</f>
        <v>#VALUE!</v>
      </c>
      <c r="AG360" s="207" t="str">
        <f aca="false">IF($A361="","",Summary!$Q$11)</f>
        <v/>
      </c>
      <c r="AH360" s="207" t="str">
        <f aca="false">IF($A361="","",IF(Summary!$R$11="Y",(VLOOKUP($A360,Summary!$AD$6:$AF$9,3)+'Escalating commodity'!G373),'Escalating commodity'!G373))</f>
        <v/>
      </c>
      <c r="AI360" s="207" t="str">
        <f aca="false">IF($A361="","",AH360)</f>
        <v/>
      </c>
      <c r="AJ360" s="208" t="e">
        <f aca="false">A360+DAY(EOMONTH(A360,0))/2-1</f>
        <v>#VALUE!</v>
      </c>
      <c r="AK360" s="209" t="str">
        <f aca="false">IF($A361="","",$A360-$E$1)</f>
        <v/>
      </c>
      <c r="AL360" s="182" t="str">
        <f aca="false">IF($A361="","",SPRDOPT(P360,X360,AI360,0,AB360,AE360,AF360,AK360,$AJ$2,0))</f>
        <v/>
      </c>
      <c r="AM360" s="210" t="str">
        <f aca="false">IF($A361="","",MAX(0,O360-W360-AI360))</f>
        <v/>
      </c>
      <c r="AN360" s="211" t="str">
        <f aca="false">IF($A361="","",AL360-AM360)</f>
        <v/>
      </c>
      <c r="AO360" s="137" t="str">
        <f aca="false">IF(A361="","",A361-A360)</f>
        <v/>
      </c>
      <c r="AP360" s="212" t="str">
        <f aca="false">IF(A361="","",CHOOSE(F$3,A361+24,A360))</f>
        <v/>
      </c>
      <c r="AQ360" s="209" t="str">
        <f aca="false">IF(A361="","",AP360-$E$1)</f>
        <v/>
      </c>
      <c r="AR360" s="185" t="n">
        <f aca="false">'ANR OK vs ML7'!AR360</f>
        <v>0.1</v>
      </c>
      <c r="AS360" s="213" t="str">
        <f aca="false">IF(A361="","",1/(1+CHOOSE(F$3,(AR361+($I$3/10000))/2,(AR360+($I$3/10000))/2))^(2*AQ360/365.25))</f>
        <v/>
      </c>
      <c r="AT360" s="137" t="str">
        <f aca="false">IF(A361="","",IF(AND(mthbeg&lt;=A360,mthend&gt;=A360),1,0))</f>
        <v/>
      </c>
      <c r="AU360" s="137" t="str">
        <f aca="false">IF(A361="","",AO360*AT360)</f>
        <v/>
      </c>
      <c r="AW360" s="195" t="str">
        <f aca="false">IF($A361="","",AL360*$E360)</f>
        <v/>
      </c>
      <c r="AX360" s="195" t="str">
        <f aca="false">IF($A361="","",AM360*$E360)</f>
        <v/>
      </c>
      <c r="AY360" s="195" t="str">
        <f aca="false">IF($A361="","",AN360*$E360)</f>
        <v/>
      </c>
      <c r="BA360" s="195" t="str">
        <f aca="false">IF($A361="","",F360*Summary!$Q$11)</f>
        <v/>
      </c>
    </row>
    <row r="361" customFormat="false" ht="12" hidden="false" customHeight="true" outlineLevel="0" collapsed="false">
      <c r="A361" s="196" t="str">
        <f aca="false">IF(A360&lt;mthend,EDATE(A360,1),"")</f>
        <v/>
      </c>
      <c r="B361" s="197" t="str">
        <f aca="false">IF(A361&lt;mthend,B360,"")</f>
        <v/>
      </c>
      <c r="C361" s="215"/>
      <c r="D361" s="197" t="str">
        <f aca="false">IF(A362&lt;&gt;"",B361+C361,"")</f>
        <v/>
      </c>
      <c r="E361" s="199" t="str">
        <f aca="false">IF(A362="","",IF(AND(AT361=1,$H$3=1),D361*AO361,IF($H$3=2,D361,"N/A")))</f>
        <v/>
      </c>
      <c r="F361" s="199" t="str">
        <f aca="false">IF(A362="","",E361*AS361)</f>
        <v/>
      </c>
      <c r="G361" s="200" t="str">
        <f aca="false">IF($A362="","",VLOOKUP($A361,Table,MATCH(G$4,Curves,0)))</f>
        <v/>
      </c>
      <c r="H361" s="201" t="str">
        <f aca="false">IF(A362="","",G361)</f>
        <v/>
      </c>
      <c r="I361" s="202"/>
      <c r="J361" s="200" t="str">
        <f aca="false">IF($A362="","",VLOOKUP($A361,Table,MATCH(J$4,Curves,0)))</f>
        <v/>
      </c>
      <c r="K361" s="201" t="str">
        <f aca="false">IF(A362="","",J361)</f>
        <v/>
      </c>
      <c r="L361" s="200" t="str">
        <f aca="false">IF($A362="","",VLOOKUP($A361,Table,MATCH(L$4,Curves,0)))</f>
        <v/>
      </c>
      <c r="M361" s="201" t="str">
        <f aca="false">IF(A362="","",L361)</f>
        <v/>
      </c>
      <c r="N361" s="203"/>
      <c r="O361" s="200" t="str">
        <f aca="false">IF(A362="","",L361+J361+G361)</f>
        <v/>
      </c>
      <c r="P361" s="200" t="str">
        <f aca="false">IF(A362="","",M361+K361+H361)</f>
        <v/>
      </c>
      <c r="Q361" s="204"/>
      <c r="R361" s="200" t="str">
        <f aca="false">IF($A362="","",VLOOKUP($A361,Table,MATCH(R$4,Curves,0)))</f>
        <v/>
      </c>
      <c r="S361" s="201" t="str">
        <f aca="false">IF(A362="","",R361)</f>
        <v/>
      </c>
      <c r="T361" s="185" t="n">
        <v>0</v>
      </c>
      <c r="U361" s="201" t="str">
        <f aca="false">IF(A362="","",T361)</f>
        <v/>
      </c>
      <c r="V361" s="205" t="str">
        <f aca="false">IF($A362="","",IF(AND(MONTH(A361)&gt;3,MONTH(A361)&lt;11),(T361+R361+G361)*Summary!$T$11/(1-Summary!$T$11),(T361+R361+G361)*Summary!$U$11/(1-Summary!$U$11)))</f>
        <v/>
      </c>
      <c r="W361" s="202" t="str">
        <f aca="false">IF($A362="","",(T361+R361+G361+V361))</f>
        <v/>
      </c>
      <c r="X361" s="202" t="str">
        <f aca="false">IF($A362="","",(U361+S361+H361+V361))</f>
        <v/>
      </c>
      <c r="Y361" s="202"/>
      <c r="Z361" s="185" t="str">
        <f aca="false">IF($A362="","",VLOOKUP($A361,Table,MATCH(Z$4,Curves,0)))</f>
        <v/>
      </c>
      <c r="AA361" s="185" t="str">
        <f aca="false">IF($A362="","",VLOOKUP($A361,Table,MATCH(AA$4,Curves,0)))</f>
        <v/>
      </c>
      <c r="AB361" s="185" t="e">
        <f aca="false">SQRT((AA361^2*(A361-$D$3)+Z361^2*(DAY(EOMONTH(A361,0))/2))/AK361)</f>
        <v>#VALUE!</v>
      </c>
      <c r="AC361" s="185" t="str">
        <f aca="false">IF($A362="","",VLOOKUP($A361,Table,MATCH(AC$4,Curves,0)))</f>
        <v/>
      </c>
      <c r="AD361" s="185" t="str">
        <f aca="false">IF($A362="","",VLOOKUP($A361,Table,MATCH(AD$4,Curves,0)))</f>
        <v/>
      </c>
      <c r="AE361" s="185" t="e">
        <f aca="false">SQRT((AD361^2*(A361-$D$3)+AC361^2*(DAY(EOMONTH(A361,0))/2))/AK361)</f>
        <v>#VALUE!</v>
      </c>
      <c r="AF361" s="206" t="e">
        <f aca="false">((Summary!$N$11*(AA361*AD361)*(A361-$D$3))+(Summary!$M$11*Z361*AC361*(AJ361-EOMONTH(EDATE(A361,-1),0))))/(AK361*AB361*AE361)</f>
        <v>#VALUE!</v>
      </c>
      <c r="AG361" s="207" t="str">
        <f aca="false">IF($A362="","",Summary!$Q$11)</f>
        <v/>
      </c>
      <c r="AH361" s="207" t="str">
        <f aca="false">IF($A362="","",IF(Summary!$R$11="Y",(VLOOKUP($A361,Summary!$AD$6:$AF$9,3)+'Escalating commodity'!G374),'Escalating commodity'!G374))</f>
        <v/>
      </c>
      <c r="AI361" s="207" t="str">
        <f aca="false">IF($A362="","",AH361)</f>
        <v/>
      </c>
      <c r="AJ361" s="208" t="e">
        <f aca="false">A361+DAY(EOMONTH(A361,0))/2-1</f>
        <v>#VALUE!</v>
      </c>
      <c r="AK361" s="209" t="str">
        <f aca="false">IF($A362="","",$A361-$E$1)</f>
        <v/>
      </c>
      <c r="AL361" s="182" t="str">
        <f aca="false">IF($A362="","",SPRDOPT(P361,X361,AI361,0,AB361,AE361,AF361,AK361,$AJ$2,0))</f>
        <v/>
      </c>
      <c r="AM361" s="210" t="str">
        <f aca="false">IF($A362="","",MAX(0,O361-W361-AI361))</f>
        <v/>
      </c>
      <c r="AN361" s="211" t="str">
        <f aca="false">IF($A362="","",AL361-AM361)</f>
        <v/>
      </c>
      <c r="AO361" s="137" t="str">
        <f aca="false">IF(A362="","",A362-A361)</f>
        <v/>
      </c>
      <c r="AP361" s="212" t="str">
        <f aca="false">IF(A362="","",CHOOSE(F$3,A362+24,A361))</f>
        <v/>
      </c>
      <c r="AQ361" s="209" t="str">
        <f aca="false">IF(A362="","",AP361-$E$1)</f>
        <v/>
      </c>
      <c r="AR361" s="185" t="n">
        <f aca="false">'ANR OK vs ML7'!AR361</f>
        <v>0.1</v>
      </c>
      <c r="AS361" s="213" t="str">
        <f aca="false">IF(A362="","",1/(1+CHOOSE(F$3,(AR362+($I$3/10000))/2,(AR361+($I$3/10000))/2))^(2*AQ361/365.25))</f>
        <v/>
      </c>
      <c r="AT361" s="137" t="str">
        <f aca="false">IF(A362="","",IF(AND(mthbeg&lt;=A361,mthend&gt;=A361),1,0))</f>
        <v/>
      </c>
      <c r="AU361" s="137" t="str">
        <f aca="false">IF(A362="","",AO361*AT361)</f>
        <v/>
      </c>
      <c r="AW361" s="195" t="str">
        <f aca="false">IF($A362="","",AL361*$E361)</f>
        <v/>
      </c>
      <c r="AX361" s="195" t="str">
        <f aca="false">IF($A362="","",AM361*$E361)</f>
        <v/>
      </c>
      <c r="AY361" s="195" t="str">
        <f aca="false">IF($A362="","",AN361*$E361)</f>
        <v/>
      </c>
      <c r="BA361" s="195" t="str">
        <f aca="false">IF($A362="","",F361*Summary!$Q$11)</f>
        <v/>
      </c>
    </row>
    <row r="362" customFormat="false" ht="12" hidden="false" customHeight="true" outlineLevel="0" collapsed="false">
      <c r="A362" s="196" t="str">
        <f aca="false">IF(A361&lt;mthend,EDATE(A361,1),"")</f>
        <v/>
      </c>
      <c r="B362" s="197" t="str">
        <f aca="false">IF(A362&lt;mthend,B361,"")</f>
        <v/>
      </c>
      <c r="C362" s="215"/>
      <c r="D362" s="197" t="str">
        <f aca="false">IF(A363&lt;&gt;"",B362+C362,"")</f>
        <v/>
      </c>
      <c r="E362" s="199" t="str">
        <f aca="false">IF(A363="","",IF(AND(AT362=1,$H$3=1),D362*AO362,IF($H$3=2,D362,"N/A")))</f>
        <v/>
      </c>
      <c r="F362" s="199" t="str">
        <f aca="false">IF(A363="","",E362*AS362)</f>
        <v/>
      </c>
      <c r="G362" s="200" t="str">
        <f aca="false">IF($A363="","",VLOOKUP($A362,Table,MATCH(G$4,Curves,0)))</f>
        <v/>
      </c>
      <c r="H362" s="201" t="str">
        <f aca="false">IF(A363="","",G362)</f>
        <v/>
      </c>
      <c r="I362" s="202"/>
      <c r="J362" s="200" t="str">
        <f aca="false">IF($A363="","",VLOOKUP($A362,Table,MATCH(J$4,Curves,0)))</f>
        <v/>
      </c>
      <c r="K362" s="201" t="str">
        <f aca="false">IF(A363="","",J362)</f>
        <v/>
      </c>
      <c r="L362" s="200" t="str">
        <f aca="false">IF($A363="","",VLOOKUP($A362,Table,MATCH(L$4,Curves,0)))</f>
        <v/>
      </c>
      <c r="M362" s="201" t="str">
        <f aca="false">IF(A363="","",L362)</f>
        <v/>
      </c>
      <c r="N362" s="203"/>
      <c r="O362" s="200" t="str">
        <f aca="false">IF(A363="","",L362+J362+G362)</f>
        <v/>
      </c>
      <c r="P362" s="200" t="str">
        <f aca="false">IF(A363="","",M362+K362+H362)</f>
        <v/>
      </c>
      <c r="Q362" s="204"/>
      <c r="R362" s="200" t="str">
        <f aca="false">IF($A363="","",VLOOKUP($A362,Table,MATCH(R$4,Curves,0)))</f>
        <v/>
      </c>
      <c r="S362" s="201" t="str">
        <f aca="false">IF(A363="","",R362)</f>
        <v/>
      </c>
      <c r="T362" s="185" t="n">
        <v>0</v>
      </c>
      <c r="U362" s="201" t="str">
        <f aca="false">IF(A363="","",T362)</f>
        <v/>
      </c>
      <c r="V362" s="205" t="str">
        <f aca="false">IF($A363="","",IF(AND(MONTH(A362)&gt;3,MONTH(A362)&lt;11),(T362+R362+G362)*Summary!$T$11/(1-Summary!$T$11),(T362+R362+G362)*Summary!$U$11/(1-Summary!$U$11)))</f>
        <v/>
      </c>
      <c r="W362" s="202" t="str">
        <f aca="false">IF($A363="","",(T362+R362+G362+V362))</f>
        <v/>
      </c>
      <c r="X362" s="202" t="str">
        <f aca="false">IF($A363="","",(U362+S362+H362+V362))</f>
        <v/>
      </c>
      <c r="Y362" s="202"/>
      <c r="Z362" s="185" t="str">
        <f aca="false">IF($A363="","",VLOOKUP($A362,Table,MATCH(Z$4,Curves,0)))</f>
        <v/>
      </c>
      <c r="AA362" s="185" t="str">
        <f aca="false">IF($A363="","",VLOOKUP($A362,Table,MATCH(AA$4,Curves,0)))</f>
        <v/>
      </c>
      <c r="AB362" s="185" t="e">
        <f aca="false">SQRT((AA362^2*(A362-$D$3)+Z362^2*(DAY(EOMONTH(A362,0))/2))/AK362)</f>
        <v>#VALUE!</v>
      </c>
      <c r="AC362" s="185" t="str">
        <f aca="false">IF($A363="","",VLOOKUP($A362,Table,MATCH(AC$4,Curves,0)))</f>
        <v/>
      </c>
      <c r="AD362" s="185" t="str">
        <f aca="false">IF($A363="","",VLOOKUP($A362,Table,MATCH(AD$4,Curves,0)))</f>
        <v/>
      </c>
      <c r="AE362" s="185" t="e">
        <f aca="false">SQRT((AD362^2*(A362-$D$3)+AC362^2*(DAY(EOMONTH(A362,0))/2))/AK362)</f>
        <v>#VALUE!</v>
      </c>
      <c r="AF362" s="206" t="e">
        <f aca="false">((Summary!$N$11*(AA362*AD362)*(A362-$D$3))+(Summary!$M$11*Z362*AC362*(AJ362-EOMONTH(EDATE(A362,-1),0))))/(AK362*AB362*AE362)</f>
        <v>#VALUE!</v>
      </c>
      <c r="AG362" s="207" t="str">
        <f aca="false">IF($A363="","",Summary!$Q$11)</f>
        <v/>
      </c>
      <c r="AH362" s="207" t="str">
        <f aca="false">IF($A363="","",IF(Summary!$R$11="Y",(VLOOKUP($A362,Summary!$AD$6:$AF$9,3)+'Escalating commodity'!G375),'Escalating commodity'!G375))</f>
        <v/>
      </c>
      <c r="AI362" s="207" t="str">
        <f aca="false">IF($A363="","",AH362)</f>
        <v/>
      </c>
      <c r="AJ362" s="208" t="e">
        <f aca="false">A362+DAY(EOMONTH(A362,0))/2-1</f>
        <v>#VALUE!</v>
      </c>
      <c r="AK362" s="209" t="str">
        <f aca="false">IF($A363="","",$A362-$E$1)</f>
        <v/>
      </c>
      <c r="AL362" s="182" t="str">
        <f aca="false">IF($A363="","",SPRDOPT(P362,X362,AI362,0,AB362,AE362,AF362,AK362,$AJ$2,0))</f>
        <v/>
      </c>
      <c r="AM362" s="210" t="str">
        <f aca="false">IF($A363="","",MAX(0,O362-W362-AI362))</f>
        <v/>
      </c>
      <c r="AN362" s="211" t="str">
        <f aca="false">IF($A363="","",AL362-AM362)</f>
        <v/>
      </c>
      <c r="AO362" s="137" t="str">
        <f aca="false">IF(A363="","",A363-A362)</f>
        <v/>
      </c>
      <c r="AP362" s="212" t="str">
        <f aca="false">IF(A363="","",CHOOSE(F$3,A363+24,A362))</f>
        <v/>
      </c>
      <c r="AQ362" s="209" t="str">
        <f aca="false">IF(A363="","",AP362-$E$1)</f>
        <v/>
      </c>
      <c r="AR362" s="185" t="n">
        <f aca="false">'ANR OK vs ML7'!AR362</f>
        <v>0.1</v>
      </c>
      <c r="AS362" s="213" t="str">
        <f aca="false">IF(A363="","",1/(1+CHOOSE(F$3,(AR363+($I$3/10000))/2,(AR362+($I$3/10000))/2))^(2*AQ362/365.25))</f>
        <v/>
      </c>
      <c r="AT362" s="137" t="str">
        <f aca="false">IF(A363="","",IF(AND(mthbeg&lt;=A362,mthend&gt;=A362),1,0))</f>
        <v/>
      </c>
      <c r="AU362" s="137" t="str">
        <f aca="false">IF(A363="","",AO362*AT362)</f>
        <v/>
      </c>
      <c r="AW362" s="195" t="str">
        <f aca="false">IF($A363="","",AL362*$E362)</f>
        <v/>
      </c>
      <c r="AX362" s="195" t="str">
        <f aca="false">IF($A363="","",AM362*$E362)</f>
        <v/>
      </c>
      <c r="AY362" s="195" t="str">
        <f aca="false">IF($A363="","",AN362*$E362)</f>
        <v/>
      </c>
      <c r="BA362" s="195" t="str">
        <f aca="false">IF($A363="","",F362*Summary!$Q$11)</f>
        <v/>
      </c>
    </row>
    <row r="363" customFormat="false" ht="12" hidden="false" customHeight="true" outlineLevel="0" collapsed="false">
      <c r="A363" s="196" t="str">
        <f aca="false">IF(A362&lt;mthend,EDATE(A362,1),"")</f>
        <v/>
      </c>
      <c r="B363" s="197" t="str">
        <f aca="false">IF(A363&lt;mthend,B362,"")</f>
        <v/>
      </c>
      <c r="C363" s="215"/>
      <c r="D363" s="197" t="str">
        <f aca="false">IF(A364&lt;&gt;"",B363+C363,"")</f>
        <v/>
      </c>
      <c r="E363" s="199" t="str">
        <f aca="false">IF(A364="","",IF(AND(AT363=1,$H$3=1),D363*AO363,IF($H$3=2,D363,"N/A")))</f>
        <v/>
      </c>
      <c r="F363" s="199" t="str">
        <f aca="false">IF(A364="","",E363*AS363)</f>
        <v/>
      </c>
      <c r="G363" s="200" t="str">
        <f aca="false">IF($A364="","",VLOOKUP($A363,Table,MATCH(G$4,Curves,0)))</f>
        <v/>
      </c>
      <c r="H363" s="201" t="str">
        <f aca="false">IF(A364="","",G363)</f>
        <v/>
      </c>
      <c r="I363" s="202"/>
      <c r="J363" s="200" t="str">
        <f aca="false">IF($A364="","",VLOOKUP($A363,Table,MATCH(J$4,Curves,0)))</f>
        <v/>
      </c>
      <c r="K363" s="201" t="str">
        <f aca="false">IF(A364="","",J363)</f>
        <v/>
      </c>
      <c r="L363" s="200" t="str">
        <f aca="false">IF($A364="","",VLOOKUP($A363,Table,MATCH(L$4,Curves,0)))</f>
        <v/>
      </c>
      <c r="M363" s="201" t="str">
        <f aca="false">IF(A364="","",L363)</f>
        <v/>
      </c>
      <c r="N363" s="203"/>
      <c r="O363" s="200" t="str">
        <f aca="false">IF(A364="","",L363+J363+G363)</f>
        <v/>
      </c>
      <c r="P363" s="200" t="str">
        <f aca="false">IF(A364="","",M363+K363+H363)</f>
        <v/>
      </c>
      <c r="Q363" s="204"/>
      <c r="R363" s="200" t="str">
        <f aca="false">IF($A364="","",VLOOKUP($A363,Table,MATCH(R$4,Curves,0)))</f>
        <v/>
      </c>
      <c r="S363" s="201" t="str">
        <f aca="false">IF(A364="","",R363)</f>
        <v/>
      </c>
      <c r="T363" s="185" t="n">
        <v>0</v>
      </c>
      <c r="U363" s="201" t="str">
        <f aca="false">IF(A364="","",T363)</f>
        <v/>
      </c>
      <c r="V363" s="205" t="str">
        <f aca="false">IF($A364="","",IF(AND(MONTH(A363)&gt;3,MONTH(A363)&lt;11),(T363+R363+G363)*Summary!$T$11/(1-Summary!$T$11),(T363+R363+G363)*Summary!$U$11/(1-Summary!$U$11)))</f>
        <v/>
      </c>
      <c r="W363" s="202" t="str">
        <f aca="false">IF($A364="","",(T363+R363+G363+V363))</f>
        <v/>
      </c>
      <c r="X363" s="202" t="str">
        <f aca="false">IF($A364="","",(U363+S363+H363+V363))</f>
        <v/>
      </c>
      <c r="Y363" s="202"/>
      <c r="Z363" s="185" t="str">
        <f aca="false">IF($A364="","",VLOOKUP($A363,Table,MATCH(Z$4,Curves,0)))</f>
        <v/>
      </c>
      <c r="AA363" s="185" t="str">
        <f aca="false">IF($A364="","",VLOOKUP($A363,Table,MATCH(AA$4,Curves,0)))</f>
        <v/>
      </c>
      <c r="AB363" s="185" t="e">
        <f aca="false">SQRT((AA363^2*(A363-$D$3)+Z363^2*(DAY(EOMONTH(A363,0))/2))/AK363)</f>
        <v>#VALUE!</v>
      </c>
      <c r="AC363" s="185" t="str">
        <f aca="false">IF($A364="","",VLOOKUP($A363,Table,MATCH(AC$4,Curves,0)))</f>
        <v/>
      </c>
      <c r="AD363" s="185" t="str">
        <f aca="false">IF($A364="","",VLOOKUP($A363,Table,MATCH(AD$4,Curves,0)))</f>
        <v/>
      </c>
      <c r="AE363" s="185" t="e">
        <f aca="false">SQRT((AD363^2*(A363-$D$3)+AC363^2*(DAY(EOMONTH(A363,0))/2))/AK363)</f>
        <v>#VALUE!</v>
      </c>
      <c r="AF363" s="206" t="e">
        <f aca="false">((Summary!$N$11*(AA363*AD363)*(A363-$D$3))+(Summary!$M$11*Z363*AC363*(AJ363-EOMONTH(EDATE(A363,-1),0))))/(AK363*AB363*AE363)</f>
        <v>#VALUE!</v>
      </c>
      <c r="AG363" s="207" t="str">
        <f aca="false">IF($A364="","",Summary!$Q$11)</f>
        <v/>
      </c>
      <c r="AH363" s="207" t="str">
        <f aca="false">IF($A364="","",IF(Summary!$R$11="Y",(VLOOKUP($A363,Summary!$AD$6:$AF$9,3)+'Escalating commodity'!G376),'Escalating commodity'!G376))</f>
        <v/>
      </c>
      <c r="AI363" s="207" t="str">
        <f aca="false">IF($A364="","",AH363)</f>
        <v/>
      </c>
      <c r="AJ363" s="208" t="e">
        <f aca="false">A363+DAY(EOMONTH(A363,0))/2-1</f>
        <v>#VALUE!</v>
      </c>
      <c r="AK363" s="209" t="str">
        <f aca="false">IF($A364="","",$A363-$E$1)</f>
        <v/>
      </c>
      <c r="AL363" s="182" t="str">
        <f aca="false">IF($A364="","",SPRDOPT(P363,X363,AI363,0,AB363,AE363,AF363,AK363,$AJ$2,0))</f>
        <v/>
      </c>
      <c r="AM363" s="210" t="str">
        <f aca="false">IF($A364="","",MAX(0,O363-W363-AI363))</f>
        <v/>
      </c>
      <c r="AN363" s="211" t="str">
        <f aca="false">IF($A364="","",AL363-AM363)</f>
        <v/>
      </c>
      <c r="AO363" s="137" t="str">
        <f aca="false">IF(A364="","",A364-A363)</f>
        <v/>
      </c>
      <c r="AP363" s="212" t="str">
        <f aca="false">IF(A364="","",CHOOSE(F$3,A364+24,A363))</f>
        <v/>
      </c>
      <c r="AQ363" s="209" t="str">
        <f aca="false">IF(A364="","",AP363-$E$1)</f>
        <v/>
      </c>
      <c r="AR363" s="185" t="n">
        <f aca="false">'ANR OK vs ML7'!AR363</f>
        <v>0.1</v>
      </c>
      <c r="AS363" s="213" t="str">
        <f aca="false">IF(A364="","",1/(1+CHOOSE(F$3,(AR364+($I$3/10000))/2,(AR363+($I$3/10000))/2))^(2*AQ363/365.25))</f>
        <v/>
      </c>
      <c r="AT363" s="137" t="str">
        <f aca="false">IF(A364="","",IF(AND(mthbeg&lt;=A363,mthend&gt;=A363),1,0))</f>
        <v/>
      </c>
      <c r="AU363" s="137" t="str">
        <f aca="false">IF(A364="","",AO363*AT363)</f>
        <v/>
      </c>
      <c r="AW363" s="195" t="str">
        <f aca="false">IF($A364="","",AL363*$E363)</f>
        <v/>
      </c>
      <c r="AX363" s="195" t="str">
        <f aca="false">IF($A364="","",AM363*$E363)</f>
        <v/>
      </c>
      <c r="AY363" s="195" t="str">
        <f aca="false">IF($A364="","",AN363*$E363)</f>
        <v/>
      </c>
      <c r="BA363" s="195" t="str">
        <f aca="false">IF($A364="","",F363*Summary!$Q$11)</f>
        <v/>
      </c>
    </row>
    <row r="364" customFormat="false" ht="12" hidden="false" customHeight="true" outlineLevel="0" collapsed="false">
      <c r="A364" s="196" t="str">
        <f aca="false">IF(A363&lt;mthend,EDATE(A363,1),"")</f>
        <v/>
      </c>
      <c r="B364" s="197" t="str">
        <f aca="false">IF(A364&lt;mthend,B363,"")</f>
        <v/>
      </c>
      <c r="C364" s="215"/>
      <c r="D364" s="197" t="str">
        <f aca="false">IF(A365&lt;&gt;"",B364+C364,"")</f>
        <v/>
      </c>
      <c r="E364" s="199" t="str">
        <f aca="false">IF(A365="","",IF(AND(AT364=1,$H$3=1),D364*AO364,IF($H$3=2,D364,"N/A")))</f>
        <v/>
      </c>
      <c r="F364" s="199" t="str">
        <f aca="false">IF(A365="","",E364*AS364)</f>
        <v/>
      </c>
      <c r="G364" s="200" t="str">
        <f aca="false">IF($A365="","",VLOOKUP($A364,Table,MATCH(G$4,Curves,0)))</f>
        <v/>
      </c>
      <c r="H364" s="201" t="str">
        <f aca="false">IF(A365="","",G364)</f>
        <v/>
      </c>
      <c r="I364" s="202"/>
      <c r="J364" s="200" t="str">
        <f aca="false">IF($A365="","",VLOOKUP($A364,Table,MATCH(J$4,Curves,0)))</f>
        <v/>
      </c>
      <c r="K364" s="201" t="str">
        <f aca="false">IF(A365="","",J364)</f>
        <v/>
      </c>
      <c r="L364" s="200" t="str">
        <f aca="false">IF($A365="","",VLOOKUP($A364,Table,MATCH(L$4,Curves,0)))</f>
        <v/>
      </c>
      <c r="M364" s="201" t="str">
        <f aca="false">IF(A365="","",L364)</f>
        <v/>
      </c>
      <c r="N364" s="203"/>
      <c r="O364" s="200" t="str">
        <f aca="false">IF(A365="","",L364+J364+G364)</f>
        <v/>
      </c>
      <c r="P364" s="200" t="str">
        <f aca="false">IF(A365="","",M364+K364+H364)</f>
        <v/>
      </c>
      <c r="Q364" s="204"/>
      <c r="R364" s="200" t="str">
        <f aca="false">IF($A365="","",VLOOKUP($A364,Table,MATCH(R$4,Curves,0)))</f>
        <v/>
      </c>
      <c r="S364" s="201" t="str">
        <f aca="false">IF(A365="","",R364)</f>
        <v/>
      </c>
      <c r="T364" s="185" t="n">
        <v>0</v>
      </c>
      <c r="U364" s="201" t="str">
        <f aca="false">IF(A365="","",T364)</f>
        <v/>
      </c>
      <c r="V364" s="205" t="str">
        <f aca="false">IF($A365="","",IF(AND(MONTH(A364)&gt;3,MONTH(A364)&lt;11),(T364+R364+G364)*Summary!$T$11/(1-Summary!$T$11),(T364+R364+G364)*Summary!$U$11/(1-Summary!$U$11)))</f>
        <v/>
      </c>
      <c r="W364" s="202" t="str">
        <f aca="false">IF($A365="","",(T364+R364+G364+V364))</f>
        <v/>
      </c>
      <c r="X364" s="202" t="str">
        <f aca="false">IF($A365="","",(U364+S364+H364+V364))</f>
        <v/>
      </c>
      <c r="Y364" s="202"/>
      <c r="Z364" s="185" t="str">
        <f aca="false">IF($A365="","",VLOOKUP($A364,Table,MATCH(Z$4,Curves,0)))</f>
        <v/>
      </c>
      <c r="AA364" s="185" t="str">
        <f aca="false">IF($A365="","",VLOOKUP($A364,Table,MATCH(AA$4,Curves,0)))</f>
        <v/>
      </c>
      <c r="AB364" s="185" t="e">
        <f aca="false">SQRT((AA364^2*(A364-$D$3)+Z364^2*(DAY(EOMONTH(A364,0))/2))/AK364)</f>
        <v>#VALUE!</v>
      </c>
      <c r="AC364" s="185" t="str">
        <f aca="false">IF($A365="","",VLOOKUP($A364,Table,MATCH(AC$4,Curves,0)))</f>
        <v/>
      </c>
      <c r="AD364" s="185" t="str">
        <f aca="false">IF($A365="","",VLOOKUP($A364,Table,MATCH(AD$4,Curves,0)))</f>
        <v/>
      </c>
      <c r="AE364" s="185" t="e">
        <f aca="false">SQRT((AD364^2*(A364-$D$3)+AC364^2*(DAY(EOMONTH(A364,0))/2))/AK364)</f>
        <v>#VALUE!</v>
      </c>
      <c r="AF364" s="206" t="e">
        <f aca="false">((Summary!$N$11*(AA364*AD364)*(A364-$D$3))+(Summary!$M$11*Z364*AC364*(AJ364-EOMONTH(EDATE(A364,-1),0))))/(AK364*AB364*AE364)</f>
        <v>#VALUE!</v>
      </c>
      <c r="AG364" s="207" t="str">
        <f aca="false">IF($A365="","",Summary!$Q$11)</f>
        <v/>
      </c>
      <c r="AH364" s="207" t="str">
        <f aca="false">IF($A365="","",IF(Summary!$R$11="Y",(VLOOKUP($A364,Summary!$AD$6:$AF$9,3)+'Escalating commodity'!G377),'Escalating commodity'!G377))</f>
        <v/>
      </c>
      <c r="AI364" s="207" t="str">
        <f aca="false">IF($A365="","",AH364)</f>
        <v/>
      </c>
      <c r="AJ364" s="208" t="e">
        <f aca="false">A364+DAY(EOMONTH(A364,0))/2-1</f>
        <v>#VALUE!</v>
      </c>
      <c r="AK364" s="209" t="str">
        <f aca="false">IF($A365="","",$A364-$E$1)</f>
        <v/>
      </c>
      <c r="AL364" s="182" t="str">
        <f aca="false">IF($A365="","",SPRDOPT(P364,X364,AI364,0,AB364,AE364,AF364,AK364,$AJ$2,0))</f>
        <v/>
      </c>
      <c r="AM364" s="210" t="str">
        <f aca="false">IF($A365="","",MAX(0,O364-W364-AI364))</f>
        <v/>
      </c>
      <c r="AN364" s="211" t="str">
        <f aca="false">IF($A365="","",AL364-AM364)</f>
        <v/>
      </c>
      <c r="AO364" s="137" t="str">
        <f aca="false">IF(A365="","",A365-A364)</f>
        <v/>
      </c>
      <c r="AP364" s="212" t="str">
        <f aca="false">IF(A365="","",CHOOSE(F$3,A365+24,A364))</f>
        <v/>
      </c>
      <c r="AQ364" s="209" t="str">
        <f aca="false">IF(A365="","",AP364-$E$1)</f>
        <v/>
      </c>
      <c r="AR364" s="185" t="n">
        <f aca="false">'ANR OK vs ML7'!AR364</f>
        <v>0.1</v>
      </c>
      <c r="AS364" s="213" t="str">
        <f aca="false">IF(A365="","",1/(1+CHOOSE(F$3,(AR365+($I$3/10000))/2,(AR364+($I$3/10000))/2))^(2*AQ364/365.25))</f>
        <v/>
      </c>
      <c r="AT364" s="137" t="str">
        <f aca="false">IF(A365="","",IF(AND(mthbeg&lt;=A364,mthend&gt;=A364),1,0))</f>
        <v/>
      </c>
      <c r="AU364" s="137" t="str">
        <f aca="false">IF(A365="","",AO364*AT364)</f>
        <v/>
      </c>
      <c r="AW364" s="195" t="str">
        <f aca="false">IF($A365="","",AL364*$E364)</f>
        <v/>
      </c>
      <c r="AX364" s="195" t="str">
        <f aca="false">IF($A365="","",AM364*$E364)</f>
        <v/>
      </c>
      <c r="AY364" s="195" t="str">
        <f aca="false">IF($A365="","",AN364*$E364)</f>
        <v/>
      </c>
      <c r="BA364" s="195" t="str">
        <f aca="false">IF($A365="","",F364*Summary!$Q$11)</f>
        <v/>
      </c>
    </row>
    <row r="365" customFormat="false" ht="12" hidden="false" customHeight="true" outlineLevel="0" collapsed="false">
      <c r="A365" s="196" t="str">
        <f aca="false">IF(A364&lt;mthend,EDATE(A364,1),"")</f>
        <v/>
      </c>
      <c r="B365" s="197" t="str">
        <f aca="false">IF(A365&lt;mthend,B364,"")</f>
        <v/>
      </c>
      <c r="C365" s="215"/>
      <c r="D365" s="197" t="str">
        <f aca="false">IF(A366&lt;&gt;"",B365+C365,"")</f>
        <v/>
      </c>
      <c r="E365" s="199" t="str">
        <f aca="false">IF(A366="","",IF(AND(AT365=1,$H$3=1),D365*AO365,IF($H$3=2,D365,"N/A")))</f>
        <v/>
      </c>
      <c r="F365" s="199" t="str">
        <f aca="false">IF(A366="","",E365*AS365)</f>
        <v/>
      </c>
      <c r="G365" s="200" t="str">
        <f aca="false">IF($A366="","",VLOOKUP($A365,Table,MATCH(G$4,Curves,0)))</f>
        <v/>
      </c>
      <c r="H365" s="201" t="str">
        <f aca="false">IF(A366="","",G365)</f>
        <v/>
      </c>
      <c r="I365" s="202"/>
      <c r="J365" s="200" t="str">
        <f aca="false">IF($A366="","",VLOOKUP($A365,Table,MATCH(J$4,Curves,0)))</f>
        <v/>
      </c>
      <c r="K365" s="201" t="str">
        <f aca="false">IF(A366="","",J365)</f>
        <v/>
      </c>
      <c r="L365" s="200" t="str">
        <f aca="false">IF($A366="","",VLOOKUP($A365,Table,MATCH(L$4,Curves,0)))</f>
        <v/>
      </c>
      <c r="M365" s="201" t="str">
        <f aca="false">IF(A366="","",L365)</f>
        <v/>
      </c>
      <c r="N365" s="203"/>
      <c r="O365" s="200" t="str">
        <f aca="false">IF(A366="","",L365+J365+G365)</f>
        <v/>
      </c>
      <c r="P365" s="200" t="str">
        <f aca="false">IF(A366="","",M365+K365+H365)</f>
        <v/>
      </c>
      <c r="Q365" s="204"/>
      <c r="R365" s="200" t="str">
        <f aca="false">IF($A366="","",VLOOKUP($A365,Table,MATCH(R$4,Curves,0)))</f>
        <v/>
      </c>
      <c r="S365" s="201" t="str">
        <f aca="false">IF(A366="","",R365)</f>
        <v/>
      </c>
      <c r="T365" s="185" t="n">
        <v>0</v>
      </c>
      <c r="U365" s="201" t="str">
        <f aca="false">IF(A366="","",T365)</f>
        <v/>
      </c>
      <c r="V365" s="205" t="str">
        <f aca="false">IF($A366="","",IF(AND(MONTH(A365)&gt;3,MONTH(A365)&lt;11),(T365+R365+G365)*Summary!$T$11/(1-Summary!$T$11),(T365+R365+G365)*Summary!$U$11/(1-Summary!$U$11)))</f>
        <v/>
      </c>
      <c r="W365" s="202" t="str">
        <f aca="false">IF($A366="","",(T365+R365+G365+V365))</f>
        <v/>
      </c>
      <c r="X365" s="202" t="str">
        <f aca="false">IF($A366="","",(U365+S365+H365+V365))</f>
        <v/>
      </c>
      <c r="Y365" s="202"/>
      <c r="Z365" s="185" t="str">
        <f aca="false">IF($A366="","",VLOOKUP($A365,Table,MATCH(Z$4,Curves,0)))</f>
        <v/>
      </c>
      <c r="AA365" s="185" t="str">
        <f aca="false">IF($A366="","",VLOOKUP($A365,Table,MATCH(AA$4,Curves,0)))</f>
        <v/>
      </c>
      <c r="AB365" s="185" t="e">
        <f aca="false">SQRT((AA365^2*(A365-$D$3)+Z365^2*(DAY(EOMONTH(A365,0))/2))/AK365)</f>
        <v>#VALUE!</v>
      </c>
      <c r="AC365" s="185" t="str">
        <f aca="false">IF($A366="","",VLOOKUP($A365,Table,MATCH(AC$4,Curves,0)))</f>
        <v/>
      </c>
      <c r="AD365" s="185" t="str">
        <f aca="false">IF($A366="","",VLOOKUP($A365,Table,MATCH(AD$4,Curves,0)))</f>
        <v/>
      </c>
      <c r="AE365" s="185" t="e">
        <f aca="false">SQRT((AD365^2*(A365-$D$3)+AC365^2*(DAY(EOMONTH(A365,0))/2))/AK365)</f>
        <v>#VALUE!</v>
      </c>
      <c r="AF365" s="206" t="e">
        <f aca="false">((Summary!$N$11*(AA365*AD365)*(A365-$D$3))+(Summary!$M$11*Z365*AC365*(AJ365-EOMONTH(EDATE(A365,-1),0))))/(AK365*AB365*AE365)</f>
        <v>#VALUE!</v>
      </c>
      <c r="AG365" s="207" t="str">
        <f aca="false">IF($A366="","",Summary!$Q$11)</f>
        <v/>
      </c>
      <c r="AH365" s="207" t="str">
        <f aca="false">IF($A366="","",IF(Summary!$R$11="Y",(VLOOKUP($A365,Summary!$AD$6:$AF$9,3)+'Escalating commodity'!G378),'Escalating commodity'!G378))</f>
        <v/>
      </c>
      <c r="AI365" s="207" t="str">
        <f aca="false">IF($A366="","",AH365)</f>
        <v/>
      </c>
      <c r="AJ365" s="208" t="e">
        <f aca="false">A365+DAY(EOMONTH(A365,0))/2-1</f>
        <v>#VALUE!</v>
      </c>
      <c r="AK365" s="209" t="str">
        <f aca="false">IF($A366="","",$A365-$E$1)</f>
        <v/>
      </c>
      <c r="AL365" s="182" t="str">
        <f aca="false">IF($A366="","",SPRDOPT(P365,X365,AI365,0,AB365,AE365,AF365,AK365,$AJ$2,0))</f>
        <v/>
      </c>
      <c r="AM365" s="210" t="str">
        <f aca="false">IF($A366="","",MAX(0,O365-W365-AI365))</f>
        <v/>
      </c>
      <c r="AN365" s="211" t="str">
        <f aca="false">IF($A366="","",AL365-AM365)</f>
        <v/>
      </c>
      <c r="AO365" s="137" t="str">
        <f aca="false">IF(A366="","",A366-A365)</f>
        <v/>
      </c>
      <c r="AP365" s="212" t="str">
        <f aca="false">IF(A366="","",CHOOSE(F$3,A366+24,A365))</f>
        <v/>
      </c>
      <c r="AQ365" s="209" t="str">
        <f aca="false">IF(A366="","",AP365-$E$1)</f>
        <v/>
      </c>
      <c r="AR365" s="185" t="n">
        <f aca="false">'ANR OK vs ML7'!AR365</f>
        <v>0.1</v>
      </c>
      <c r="AS365" s="213" t="str">
        <f aca="false">IF(A366="","",1/(1+CHOOSE(F$3,(AR366+($I$3/10000))/2,(AR365+($I$3/10000))/2))^(2*AQ365/365.25))</f>
        <v/>
      </c>
      <c r="AT365" s="137" t="str">
        <f aca="false">IF(A366="","",IF(AND(mthbeg&lt;=A365,mthend&gt;=A365),1,0))</f>
        <v/>
      </c>
      <c r="AU365" s="137" t="str">
        <f aca="false">IF(A366="","",AO365*AT365)</f>
        <v/>
      </c>
      <c r="AW365" s="195" t="str">
        <f aca="false">IF($A366="","",AL365*$E365)</f>
        <v/>
      </c>
      <c r="AX365" s="195" t="str">
        <f aca="false">IF($A366="","",AM365*$E365)</f>
        <v/>
      </c>
      <c r="AY365" s="195" t="str">
        <f aca="false">IF($A366="","",AN365*$E365)</f>
        <v/>
      </c>
      <c r="BA365" s="195" t="str">
        <f aca="false">IF($A366="","",F365*Summary!$Q$11)</f>
        <v/>
      </c>
    </row>
    <row r="366" customFormat="false" ht="12" hidden="false" customHeight="true" outlineLevel="0" collapsed="false">
      <c r="A366" s="196" t="str">
        <f aca="false">IF(A365&lt;mthend,EDATE(A365,1),"")</f>
        <v/>
      </c>
      <c r="B366" s="197" t="str">
        <f aca="false">IF(A366&lt;mthend,B365,"")</f>
        <v/>
      </c>
      <c r="C366" s="215"/>
      <c r="D366" s="197" t="str">
        <f aca="false">IF(A367&lt;&gt;"",B366+C366,"")</f>
        <v/>
      </c>
      <c r="E366" s="199" t="str">
        <f aca="false">IF(A367="","",IF(AND(AT366=1,$H$3=1),D366*AO366,IF($H$3=2,D366,"N/A")))</f>
        <v/>
      </c>
      <c r="F366" s="199" t="str">
        <f aca="false">IF(A367="","",E366*AS366)</f>
        <v/>
      </c>
      <c r="G366" s="200" t="str">
        <f aca="false">IF($A367="","",VLOOKUP($A366,Table,MATCH(G$4,Curves,0)))</f>
        <v/>
      </c>
      <c r="H366" s="201" t="str">
        <f aca="false">IF(A367="","",G366)</f>
        <v/>
      </c>
      <c r="I366" s="202"/>
      <c r="J366" s="200" t="str">
        <f aca="false">IF($A367="","",VLOOKUP($A366,Table,MATCH(J$4,Curves,0)))</f>
        <v/>
      </c>
      <c r="K366" s="201" t="str">
        <f aca="false">IF(A367="","",J366)</f>
        <v/>
      </c>
      <c r="L366" s="200" t="str">
        <f aca="false">IF($A367="","",VLOOKUP($A366,Table,MATCH(L$4,Curves,0)))</f>
        <v/>
      </c>
      <c r="M366" s="201" t="str">
        <f aca="false">IF(A367="","",L366)</f>
        <v/>
      </c>
      <c r="N366" s="203"/>
      <c r="O366" s="200" t="str">
        <f aca="false">IF(A367="","",L366+J366+G366)</f>
        <v/>
      </c>
      <c r="P366" s="200" t="str">
        <f aca="false">IF(A367="","",M366+K366+H366)</f>
        <v/>
      </c>
      <c r="Q366" s="204"/>
      <c r="R366" s="200" t="str">
        <f aca="false">IF($A367="","",VLOOKUP($A366,Table,MATCH(R$4,Curves,0)))</f>
        <v/>
      </c>
      <c r="S366" s="201" t="str">
        <f aca="false">IF(A367="","",R366)</f>
        <v/>
      </c>
      <c r="T366" s="185" t="n">
        <v>0</v>
      </c>
      <c r="U366" s="201" t="str">
        <f aca="false">IF(A367="","",T366)</f>
        <v/>
      </c>
      <c r="V366" s="205" t="str">
        <f aca="false">IF($A367="","",IF(AND(MONTH(A366)&gt;3,MONTH(A366)&lt;11),(T366+R366+G366)*Summary!$T$11/(1-Summary!$T$11),(T366+R366+G366)*Summary!$U$11/(1-Summary!$U$11)))</f>
        <v/>
      </c>
      <c r="W366" s="202" t="str">
        <f aca="false">IF($A367="","",(T366+R366+G366+V366))</f>
        <v/>
      </c>
      <c r="X366" s="202" t="str">
        <f aca="false">IF($A367="","",(U366+S366+H366+V366))</f>
        <v/>
      </c>
      <c r="Y366" s="202"/>
      <c r="Z366" s="185" t="str">
        <f aca="false">IF($A367="","",VLOOKUP($A366,Table,MATCH(Z$4,Curves,0)))</f>
        <v/>
      </c>
      <c r="AA366" s="185" t="str">
        <f aca="false">IF($A367="","",VLOOKUP($A366,Table,MATCH(AA$4,Curves,0)))</f>
        <v/>
      </c>
      <c r="AB366" s="185" t="e">
        <f aca="false">SQRT((AA366^2*(A366-$D$3)+Z366^2*(DAY(EOMONTH(A366,0))/2))/AK366)</f>
        <v>#VALUE!</v>
      </c>
      <c r="AC366" s="185" t="str">
        <f aca="false">IF($A367="","",VLOOKUP($A366,Table,MATCH(AC$4,Curves,0)))</f>
        <v/>
      </c>
      <c r="AD366" s="185" t="str">
        <f aca="false">IF($A367="","",VLOOKUP($A366,Table,MATCH(AD$4,Curves,0)))</f>
        <v/>
      </c>
      <c r="AE366" s="185" t="e">
        <f aca="false">SQRT((AD366^2*(A366-$D$3)+AC366^2*(DAY(EOMONTH(A366,0))/2))/AK366)</f>
        <v>#VALUE!</v>
      </c>
      <c r="AF366" s="206" t="e">
        <f aca="false">((Summary!$N$11*(AA366*AD366)*(A366-$D$3))+(Summary!$M$11*Z366*AC366*(AJ366-EOMONTH(EDATE(A366,-1),0))))/(AK366*AB366*AE366)</f>
        <v>#VALUE!</v>
      </c>
      <c r="AG366" s="207" t="str">
        <f aca="false">IF($A367="","",Summary!$Q$11)</f>
        <v/>
      </c>
      <c r="AH366" s="207" t="str">
        <f aca="false">IF($A367="","",IF(Summary!$R$11="Y",(VLOOKUP($A366,Summary!$AD$6:$AF$9,3)+'Escalating commodity'!G379),'Escalating commodity'!G379))</f>
        <v/>
      </c>
      <c r="AI366" s="207" t="str">
        <f aca="false">IF($A367="","",AH366)</f>
        <v/>
      </c>
      <c r="AJ366" s="208" t="e">
        <f aca="false">A366+DAY(EOMONTH(A366,0))/2-1</f>
        <v>#VALUE!</v>
      </c>
      <c r="AK366" s="209" t="str">
        <f aca="false">IF($A367="","",$A366-$E$1)</f>
        <v/>
      </c>
      <c r="AL366" s="182" t="str">
        <f aca="false">IF($A367="","",SPRDOPT(P366,X366,AI366,0,AB366,AE366,AF366,AK366,$AJ$2,0))</f>
        <v/>
      </c>
      <c r="AM366" s="210" t="str">
        <f aca="false">IF($A367="","",MAX(0,O366-W366-AI366))</f>
        <v/>
      </c>
      <c r="AN366" s="211" t="str">
        <f aca="false">IF($A367="","",AL366-AM366)</f>
        <v/>
      </c>
      <c r="AO366" s="137" t="str">
        <f aca="false">IF(A367="","",A367-A366)</f>
        <v/>
      </c>
      <c r="AP366" s="212" t="str">
        <f aca="false">IF(A367="","",CHOOSE(F$3,A367+24,A366))</f>
        <v/>
      </c>
      <c r="AQ366" s="209" t="str">
        <f aca="false">IF(A367="","",AP366-$E$1)</f>
        <v/>
      </c>
      <c r="AR366" s="185" t="n">
        <f aca="false">'ANR OK vs ML7'!AR366</f>
        <v>0.1</v>
      </c>
      <c r="AS366" s="213" t="str">
        <f aca="false">IF(A367="","",1/(1+CHOOSE(F$3,(AR367+($I$3/10000))/2,(AR366+($I$3/10000))/2))^(2*AQ366/365.25))</f>
        <v/>
      </c>
      <c r="AT366" s="137" t="str">
        <f aca="false">IF(A367="","",IF(AND(mthbeg&lt;=A366,mthend&gt;=A366),1,0))</f>
        <v/>
      </c>
      <c r="AU366" s="137" t="str">
        <f aca="false">IF(A367="","",AO366*AT366)</f>
        <v/>
      </c>
      <c r="AW366" s="195" t="str">
        <f aca="false">IF($A367="","",AL366*$E366)</f>
        <v/>
      </c>
      <c r="AX366" s="195" t="str">
        <f aca="false">IF($A367="","",AM366*$E366)</f>
        <v/>
      </c>
      <c r="AY366" s="195" t="str">
        <f aca="false">IF($A367="","",AN366*$E366)</f>
        <v/>
      </c>
      <c r="BA366" s="195" t="str">
        <f aca="false">IF($A367="","",F366*Summary!$Q$11)</f>
        <v/>
      </c>
    </row>
    <row r="367" customFormat="false" ht="12" hidden="false" customHeight="true" outlineLevel="0" collapsed="false">
      <c r="A367" s="196" t="str">
        <f aca="false">IF(A366&lt;mthend,EDATE(A366,1),"")</f>
        <v/>
      </c>
      <c r="B367" s="197" t="str">
        <f aca="false">IF(A367&lt;mthend,B366,"")</f>
        <v/>
      </c>
      <c r="C367" s="215"/>
      <c r="D367" s="197" t="str">
        <f aca="false">IF(A368&lt;&gt;"",B367+C367,"")</f>
        <v/>
      </c>
      <c r="E367" s="199" t="str">
        <f aca="false">IF(A368="","",IF(AND(AT367=1,$H$3=1),D367*AO367,IF($H$3=2,D367,"N/A")))</f>
        <v/>
      </c>
      <c r="F367" s="199" t="str">
        <f aca="false">IF(A368="","",E367*AS367)</f>
        <v/>
      </c>
      <c r="G367" s="200" t="str">
        <f aca="false">IF($A368="","",VLOOKUP($A367,Table,MATCH(G$4,Curves,0)))</f>
        <v/>
      </c>
      <c r="H367" s="201" t="str">
        <f aca="false">IF(A368="","",G367)</f>
        <v/>
      </c>
      <c r="I367" s="202"/>
      <c r="J367" s="200" t="str">
        <f aca="false">IF($A368="","",VLOOKUP($A367,Table,MATCH(J$4,Curves,0)))</f>
        <v/>
      </c>
      <c r="K367" s="201" t="str">
        <f aca="false">IF(A368="","",J367)</f>
        <v/>
      </c>
      <c r="L367" s="200" t="str">
        <f aca="false">IF($A368="","",VLOOKUP($A367,Table,MATCH(L$4,Curves,0)))</f>
        <v/>
      </c>
      <c r="M367" s="201" t="str">
        <f aca="false">IF(A368="","",L367)</f>
        <v/>
      </c>
      <c r="N367" s="203"/>
      <c r="O367" s="200" t="str">
        <f aca="false">IF(A368="","",L367+J367+G367)</f>
        <v/>
      </c>
      <c r="P367" s="200" t="str">
        <f aca="false">IF(A368="","",M367+K367+H367)</f>
        <v/>
      </c>
      <c r="Q367" s="204"/>
      <c r="R367" s="200" t="str">
        <f aca="false">IF($A368="","",VLOOKUP($A367,Table,MATCH(R$4,Curves,0)))</f>
        <v/>
      </c>
      <c r="S367" s="201" t="str">
        <f aca="false">IF(A368="","",R367)</f>
        <v/>
      </c>
      <c r="T367" s="185" t="n">
        <v>0</v>
      </c>
      <c r="U367" s="201" t="str">
        <f aca="false">IF(A368="","",T367)</f>
        <v/>
      </c>
      <c r="V367" s="205" t="str">
        <f aca="false">IF($A368="","",IF(AND(MONTH(A367)&gt;3,MONTH(A367)&lt;11),(T367+R367+G367)*Summary!$T$11/(1-Summary!$T$11),(T367+R367+G367)*Summary!$U$11/(1-Summary!$U$11)))</f>
        <v/>
      </c>
      <c r="W367" s="202" t="str">
        <f aca="false">IF($A368="","",(T367+R367+G367+V367))</f>
        <v/>
      </c>
      <c r="X367" s="202" t="str">
        <f aca="false">IF($A368="","",(U367+S367+H367+V367))</f>
        <v/>
      </c>
      <c r="Y367" s="202"/>
      <c r="Z367" s="185" t="str">
        <f aca="false">IF($A368="","",VLOOKUP($A367,Table,MATCH(Z$4,Curves,0)))</f>
        <v/>
      </c>
      <c r="AA367" s="185" t="str">
        <f aca="false">IF($A368="","",VLOOKUP($A367,Table,MATCH(AA$4,Curves,0)))</f>
        <v/>
      </c>
      <c r="AB367" s="185" t="e">
        <f aca="false">SQRT((AA367^2*(A367-$D$3)+Z367^2*(DAY(EOMONTH(A367,0))/2))/AK367)</f>
        <v>#VALUE!</v>
      </c>
      <c r="AC367" s="185" t="str">
        <f aca="false">IF($A368="","",VLOOKUP($A367,Table,MATCH(AC$4,Curves,0)))</f>
        <v/>
      </c>
      <c r="AD367" s="185" t="str">
        <f aca="false">IF($A368="","",VLOOKUP($A367,Table,MATCH(AD$4,Curves,0)))</f>
        <v/>
      </c>
      <c r="AE367" s="185" t="e">
        <f aca="false">SQRT((AD367^2*(A367-$D$3)+AC367^2*(DAY(EOMONTH(A367,0))/2))/AK367)</f>
        <v>#VALUE!</v>
      </c>
      <c r="AF367" s="206" t="e">
        <f aca="false">((Summary!$N$11*(AA367*AD367)*(A367-$D$3))+(Summary!$M$11*Z367*AC367*(AJ367-EOMONTH(EDATE(A367,-1),0))))/(AK367*AB367*AE367)</f>
        <v>#VALUE!</v>
      </c>
      <c r="AG367" s="207" t="str">
        <f aca="false">IF($A368="","",Summary!$Q$11)</f>
        <v/>
      </c>
      <c r="AH367" s="207" t="str">
        <f aca="false">IF($A368="","",IF(Summary!$R$11="Y",(VLOOKUP($A367,Summary!$AD$6:$AF$9,3)+'Escalating commodity'!G380),'Escalating commodity'!G380))</f>
        <v/>
      </c>
      <c r="AI367" s="207" t="str">
        <f aca="false">IF($A368="","",AH367)</f>
        <v/>
      </c>
      <c r="AJ367" s="208" t="e">
        <f aca="false">A367+DAY(EOMONTH(A367,0))/2-1</f>
        <v>#VALUE!</v>
      </c>
      <c r="AK367" s="209" t="str">
        <f aca="false">IF($A368="","",$A367-$E$1)</f>
        <v/>
      </c>
      <c r="AL367" s="182" t="str">
        <f aca="false">IF($A368="","",SPRDOPT(P367,X367,AI367,0,AB367,AE367,AF367,AK367,$AJ$2,0))</f>
        <v/>
      </c>
      <c r="AM367" s="210" t="str">
        <f aca="false">IF($A368="","",MAX(0,O367-W367-AI367))</f>
        <v/>
      </c>
      <c r="AN367" s="211" t="str">
        <f aca="false">IF($A368="","",AL367-AM367)</f>
        <v/>
      </c>
      <c r="AO367" s="137" t="str">
        <f aca="false">IF(A368="","",A368-A367)</f>
        <v/>
      </c>
      <c r="AP367" s="212" t="str">
        <f aca="false">IF(A368="","",CHOOSE(F$3,A368+24,A367))</f>
        <v/>
      </c>
      <c r="AQ367" s="209" t="str">
        <f aca="false">IF(A368="","",AP367-$E$1)</f>
        <v/>
      </c>
      <c r="AR367" s="185" t="n">
        <f aca="false">'ANR OK vs ML7'!AR367</f>
        <v>0.1</v>
      </c>
      <c r="AS367" s="213" t="str">
        <f aca="false">IF(A368="","",1/(1+CHOOSE(F$3,(AR368+($I$3/10000))/2,(AR367+($I$3/10000))/2))^(2*AQ367/365.25))</f>
        <v/>
      </c>
      <c r="AT367" s="137" t="str">
        <f aca="false">IF(A368="","",IF(AND(mthbeg&lt;=A367,mthend&gt;=A367),1,0))</f>
        <v/>
      </c>
      <c r="AU367" s="137" t="str">
        <f aca="false">IF(A368="","",AO367*AT367)</f>
        <v/>
      </c>
      <c r="AW367" s="195" t="str">
        <f aca="false">IF($A368="","",AL367*$E367)</f>
        <v/>
      </c>
      <c r="AX367" s="195" t="str">
        <f aca="false">IF($A368="","",AM367*$E367)</f>
        <v/>
      </c>
      <c r="AY367" s="195" t="str">
        <f aca="false">IF($A368="","",AN367*$E367)</f>
        <v/>
      </c>
      <c r="BA367" s="195" t="str">
        <f aca="false">IF($A368="","",F367*Summary!$Q$11)</f>
        <v/>
      </c>
    </row>
    <row r="368" customFormat="false" ht="12" hidden="false" customHeight="true" outlineLevel="0" collapsed="false">
      <c r="A368" s="196" t="str">
        <f aca="false">IF(A367&lt;mthend,EDATE(A367,1),"")</f>
        <v/>
      </c>
      <c r="B368" s="197" t="str">
        <f aca="false">IF(A368&lt;mthend,B367,"")</f>
        <v/>
      </c>
      <c r="C368" s="215"/>
      <c r="D368" s="197" t="str">
        <f aca="false">IF(A369&lt;&gt;"",B368+C368,"")</f>
        <v/>
      </c>
      <c r="E368" s="199" t="str">
        <f aca="false">IF(A369="","",IF(AND(AT368=1,$H$3=1),D368*AO368,IF($H$3=2,D368,"N/A")))</f>
        <v/>
      </c>
      <c r="F368" s="199" t="str">
        <f aca="false">IF(A369="","",E368*AS368)</f>
        <v/>
      </c>
      <c r="G368" s="200" t="str">
        <f aca="false">IF($A369="","",VLOOKUP($A368,Table,MATCH(G$4,Curves,0)))</f>
        <v/>
      </c>
      <c r="H368" s="201" t="str">
        <f aca="false">IF(A369="","",G368)</f>
        <v/>
      </c>
      <c r="I368" s="202"/>
      <c r="J368" s="200" t="str">
        <f aca="false">IF($A369="","",VLOOKUP($A368,Table,MATCH(J$4,Curves,0)))</f>
        <v/>
      </c>
      <c r="K368" s="201" t="str">
        <f aca="false">IF(A369="","",J368)</f>
        <v/>
      </c>
      <c r="L368" s="200" t="str">
        <f aca="false">IF($A369="","",VLOOKUP($A368,Table,MATCH(L$4,Curves,0)))</f>
        <v/>
      </c>
      <c r="M368" s="201" t="str">
        <f aca="false">IF(A369="","",L368)</f>
        <v/>
      </c>
      <c r="N368" s="203"/>
      <c r="O368" s="200" t="str">
        <f aca="false">IF(A369="","",L368+J368+G368)</f>
        <v/>
      </c>
      <c r="P368" s="200" t="str">
        <f aca="false">IF(A369="","",M368+K368+H368)</f>
        <v/>
      </c>
      <c r="Q368" s="204"/>
      <c r="R368" s="200" t="str">
        <f aca="false">IF($A369="","",VLOOKUP($A368,Table,MATCH(R$4,Curves,0)))</f>
        <v/>
      </c>
      <c r="S368" s="201" t="str">
        <f aca="false">IF(A369="","",R368)</f>
        <v/>
      </c>
      <c r="T368" s="185" t="n">
        <v>0</v>
      </c>
      <c r="U368" s="201" t="str">
        <f aca="false">IF(A369="","",T368)</f>
        <v/>
      </c>
      <c r="V368" s="205" t="str">
        <f aca="false">IF($A369="","",IF(AND(MONTH(A368)&gt;3,MONTH(A368)&lt;11),(T368+R368+G368)*Summary!$T$11/(1-Summary!$T$11),(T368+R368+G368)*Summary!$U$11/(1-Summary!$U$11)))</f>
        <v/>
      </c>
      <c r="W368" s="202" t="str">
        <f aca="false">IF($A369="","",(T368+R368+G368+V368))</f>
        <v/>
      </c>
      <c r="X368" s="202" t="str">
        <f aca="false">IF($A369="","",(U368+S368+H368+V368))</f>
        <v/>
      </c>
      <c r="Y368" s="202"/>
      <c r="Z368" s="185" t="str">
        <f aca="false">IF($A369="","",VLOOKUP($A368,Table,MATCH(Z$4,Curves,0)))</f>
        <v/>
      </c>
      <c r="AA368" s="185" t="str">
        <f aca="false">IF($A369="","",VLOOKUP($A368,Table,MATCH(AA$4,Curves,0)))</f>
        <v/>
      </c>
      <c r="AB368" s="185" t="e">
        <f aca="false">SQRT((AA368^2*(A368-$D$3)+Z368^2*(DAY(EOMONTH(A368,0))/2))/AK368)</f>
        <v>#VALUE!</v>
      </c>
      <c r="AC368" s="185" t="str">
        <f aca="false">IF($A369="","",VLOOKUP($A368,Table,MATCH(AC$4,Curves,0)))</f>
        <v/>
      </c>
      <c r="AD368" s="185" t="str">
        <f aca="false">IF($A369="","",VLOOKUP($A368,Table,MATCH(AD$4,Curves,0)))</f>
        <v/>
      </c>
      <c r="AE368" s="185" t="e">
        <f aca="false">SQRT((AD368^2*(A368-$D$3)+AC368^2*(DAY(EOMONTH(A368,0))/2))/AK368)</f>
        <v>#VALUE!</v>
      </c>
      <c r="AF368" s="206" t="e">
        <f aca="false">((Summary!$N$11*(AA368*AD368)*(A368-$D$3))+(Summary!$M$11*Z368*AC368*(AJ368-EOMONTH(EDATE(A368,-1),0))))/(AK368*AB368*AE368)</f>
        <v>#VALUE!</v>
      </c>
      <c r="AG368" s="207" t="str">
        <f aca="false">IF($A369="","",Summary!$Q$11)</f>
        <v/>
      </c>
      <c r="AH368" s="207" t="str">
        <f aca="false">IF($A369="","",IF(Summary!$R$11="Y",(VLOOKUP($A368,Summary!$AD$6:$AF$9,3)+'Escalating commodity'!G381),'Escalating commodity'!G381))</f>
        <v/>
      </c>
      <c r="AI368" s="207" t="str">
        <f aca="false">IF($A369="","",AH368)</f>
        <v/>
      </c>
      <c r="AJ368" s="208" t="e">
        <f aca="false">A368+DAY(EOMONTH(A368,0))/2-1</f>
        <v>#VALUE!</v>
      </c>
      <c r="AK368" s="209" t="str">
        <f aca="false">IF($A369="","",$A368-$E$1)</f>
        <v/>
      </c>
      <c r="AL368" s="182" t="str">
        <f aca="false">IF($A369="","",SPRDOPT(P368,X368,AI368,0,AB368,AE368,AF368,AK368,$AJ$2,0))</f>
        <v/>
      </c>
      <c r="AM368" s="210" t="str">
        <f aca="false">IF($A369="","",MAX(0,O368-W368-AI368))</f>
        <v/>
      </c>
      <c r="AN368" s="211" t="str">
        <f aca="false">IF($A369="","",AL368-AM368)</f>
        <v/>
      </c>
      <c r="AO368" s="137" t="str">
        <f aca="false">IF(A369="","",A369-A368)</f>
        <v/>
      </c>
      <c r="AP368" s="212" t="str">
        <f aca="false">IF(A369="","",CHOOSE(F$3,A369+24,A368))</f>
        <v/>
      </c>
      <c r="AQ368" s="209" t="str">
        <f aca="false">IF(A369="","",AP368-$E$1)</f>
        <v/>
      </c>
      <c r="AR368" s="185" t="n">
        <f aca="false">'ANR OK vs ML7'!AR368</f>
        <v>0.1</v>
      </c>
      <c r="AS368" s="213" t="str">
        <f aca="false">IF(A369="","",1/(1+CHOOSE(F$3,(AR369+($I$3/10000))/2,(AR368+($I$3/10000))/2))^(2*AQ368/365.25))</f>
        <v/>
      </c>
      <c r="AT368" s="137" t="str">
        <f aca="false">IF(A369="","",IF(AND(mthbeg&lt;=A368,mthend&gt;=A368),1,0))</f>
        <v/>
      </c>
      <c r="AU368" s="137" t="str">
        <f aca="false">IF(A369="","",AO368*AT368)</f>
        <v/>
      </c>
      <c r="AW368" s="195" t="str">
        <f aca="false">IF($A369="","",AL368*$E368)</f>
        <v/>
      </c>
      <c r="AX368" s="195" t="str">
        <f aca="false">IF($A369="","",AM368*$E368)</f>
        <v/>
      </c>
      <c r="AY368" s="195" t="str">
        <f aca="false">IF($A369="","",AN368*$E368)</f>
        <v/>
      </c>
      <c r="BA368" s="195" t="str">
        <f aca="false">IF($A369="","",F368*Summary!$Q$11)</f>
        <v/>
      </c>
    </row>
    <row r="369" customFormat="false" ht="12" hidden="false" customHeight="true" outlineLevel="0" collapsed="false">
      <c r="A369" s="196" t="str">
        <f aca="false">IF(A368&lt;mthend,EDATE(A368,1),"")</f>
        <v/>
      </c>
      <c r="B369" s="197" t="str">
        <f aca="false">IF(A369&lt;mthend,B368,"")</f>
        <v/>
      </c>
      <c r="C369" s="215"/>
      <c r="D369" s="197" t="str">
        <f aca="false">IF(A370&lt;&gt;"",B369+C369,"")</f>
        <v/>
      </c>
      <c r="E369" s="199" t="str">
        <f aca="false">IF(A370="","",IF(AND(AT369=1,$H$3=1),D369*AO369,IF($H$3=2,D369,"N/A")))</f>
        <v/>
      </c>
      <c r="F369" s="199" t="str">
        <f aca="false">IF(A370="","",E369*AS369)</f>
        <v/>
      </c>
      <c r="G369" s="200" t="str">
        <f aca="false">IF($A370="","",VLOOKUP($A369,Table,MATCH(G$4,Curves,0)))</f>
        <v/>
      </c>
      <c r="H369" s="201" t="str">
        <f aca="false">IF(A370="","",G369)</f>
        <v/>
      </c>
      <c r="I369" s="202"/>
      <c r="J369" s="200" t="str">
        <f aca="false">IF($A370="","",VLOOKUP($A369,Table,MATCH(J$4,Curves,0)))</f>
        <v/>
      </c>
      <c r="K369" s="201" t="str">
        <f aca="false">IF(A370="","",J369)</f>
        <v/>
      </c>
      <c r="L369" s="200" t="str">
        <f aca="false">IF($A370="","",VLOOKUP($A369,Table,MATCH(L$4,Curves,0)))</f>
        <v/>
      </c>
      <c r="M369" s="201" t="str">
        <f aca="false">IF(A370="","",L369)</f>
        <v/>
      </c>
      <c r="N369" s="203"/>
      <c r="O369" s="200" t="str">
        <f aca="false">IF(A370="","",L369+J369+G369)</f>
        <v/>
      </c>
      <c r="P369" s="200" t="str">
        <f aca="false">IF(A370="","",M369+K369+H369)</f>
        <v/>
      </c>
      <c r="Q369" s="204"/>
      <c r="R369" s="200" t="str">
        <f aca="false">IF($A370="","",VLOOKUP($A369,Table,MATCH(R$4,Curves,0)))</f>
        <v/>
      </c>
      <c r="S369" s="201" t="str">
        <f aca="false">IF(A370="","",R369)</f>
        <v/>
      </c>
      <c r="T369" s="185" t="n">
        <v>0</v>
      </c>
      <c r="U369" s="201" t="str">
        <f aca="false">IF(A370="","",T369)</f>
        <v/>
      </c>
      <c r="V369" s="205" t="str">
        <f aca="false">IF($A370="","",IF(AND(MONTH(A369)&gt;3,MONTH(A369)&lt;11),(T369+R369+G369)*Summary!$T$11/(1-Summary!$T$11),(T369+R369+G369)*Summary!$U$11/(1-Summary!$U$11)))</f>
        <v/>
      </c>
      <c r="W369" s="202" t="str">
        <f aca="false">IF($A370="","",(T369+R369+G369+V369))</f>
        <v/>
      </c>
      <c r="X369" s="202" t="str">
        <f aca="false">IF($A370="","",(U369+S369+H369+V369))</f>
        <v/>
      </c>
      <c r="Y369" s="202"/>
      <c r="Z369" s="185" t="str">
        <f aca="false">IF($A370="","",VLOOKUP($A369,Table,MATCH(Z$4,Curves,0)))</f>
        <v/>
      </c>
      <c r="AA369" s="185" t="str">
        <f aca="false">IF($A370="","",VLOOKUP($A369,Table,MATCH(AA$4,Curves,0)))</f>
        <v/>
      </c>
      <c r="AB369" s="185" t="e">
        <f aca="false">SQRT((AA369^2*(A369-$D$3)+Z369^2*(DAY(EOMONTH(A369,0))/2))/AK369)</f>
        <v>#VALUE!</v>
      </c>
      <c r="AC369" s="185" t="str">
        <f aca="false">IF($A370="","",VLOOKUP($A369,Table,MATCH(AC$4,Curves,0)))</f>
        <v/>
      </c>
      <c r="AD369" s="185" t="str">
        <f aca="false">IF($A370="","",VLOOKUP($A369,Table,MATCH(AD$4,Curves,0)))</f>
        <v/>
      </c>
      <c r="AE369" s="185" t="e">
        <f aca="false">SQRT((AD369^2*(A369-$D$3)+AC369^2*(DAY(EOMONTH(A369,0))/2))/AK369)</f>
        <v>#VALUE!</v>
      </c>
      <c r="AF369" s="206" t="e">
        <f aca="false">((Summary!$N$11*(AA369*AD369)*(A369-$D$3))+(Summary!$M$11*Z369*AC369*(AJ369-EOMONTH(EDATE(A369,-1),0))))/(AK369*AB369*AE369)</f>
        <v>#VALUE!</v>
      </c>
      <c r="AG369" s="207" t="str">
        <f aca="false">IF($A370="","",Summary!$Q$11)</f>
        <v/>
      </c>
      <c r="AH369" s="207" t="str">
        <f aca="false">IF($A370="","",IF(Summary!$R$11="Y",(VLOOKUP($A369,Summary!$AD$6:$AF$9,3)+'Escalating commodity'!G382),'Escalating commodity'!G382))</f>
        <v/>
      </c>
      <c r="AI369" s="207" t="str">
        <f aca="false">IF($A370="","",AH369)</f>
        <v/>
      </c>
      <c r="AJ369" s="208" t="e">
        <f aca="false">A369+DAY(EOMONTH(A369,0))/2-1</f>
        <v>#VALUE!</v>
      </c>
      <c r="AK369" s="209" t="str">
        <f aca="false">IF($A370="","",$A369-$E$1)</f>
        <v/>
      </c>
      <c r="AL369" s="182" t="str">
        <f aca="false">IF($A370="","",SPRDOPT(P369,X369,AI369,0,AB369,AE369,AF369,AK369,$AJ$2,0))</f>
        <v/>
      </c>
      <c r="AM369" s="210" t="str">
        <f aca="false">IF($A370="","",MAX(0,O369-W369-AI369))</f>
        <v/>
      </c>
      <c r="AN369" s="211" t="str">
        <f aca="false">IF($A370="","",AL369-AM369)</f>
        <v/>
      </c>
      <c r="AO369" s="137" t="str">
        <f aca="false">IF(A370="","",A370-A369)</f>
        <v/>
      </c>
      <c r="AP369" s="212" t="str">
        <f aca="false">IF(A370="","",CHOOSE(F$3,A370+24,A369))</f>
        <v/>
      </c>
      <c r="AQ369" s="209" t="str">
        <f aca="false">IF(A370="","",AP369-$E$1)</f>
        <v/>
      </c>
      <c r="AR369" s="185" t="n">
        <f aca="false">'ANR OK vs ML7'!AR369</f>
        <v>0.1</v>
      </c>
      <c r="AS369" s="213" t="str">
        <f aca="false">IF(A370="","",1/(1+CHOOSE(F$3,(AR370+($I$3/10000))/2,(AR369+($I$3/10000))/2))^(2*AQ369/365.25))</f>
        <v/>
      </c>
      <c r="AT369" s="137" t="str">
        <f aca="false">IF(A370="","",IF(AND(mthbeg&lt;=A369,mthend&gt;=A369),1,0))</f>
        <v/>
      </c>
      <c r="AU369" s="137" t="str">
        <f aca="false">IF(A370="","",AO369*AT369)</f>
        <v/>
      </c>
      <c r="AW369" s="195" t="str">
        <f aca="false">IF($A370="","",AL369*$E369)</f>
        <v/>
      </c>
      <c r="AX369" s="195" t="str">
        <f aca="false">IF($A370="","",AM369*$E369)</f>
        <v/>
      </c>
      <c r="AY369" s="195" t="str">
        <f aca="false">IF($A370="","",AN369*$E369)</f>
        <v/>
      </c>
      <c r="BA369" s="195" t="str">
        <f aca="false">IF($A370="","",F369*Summary!$Q$11)</f>
        <v/>
      </c>
    </row>
    <row r="370" customFormat="false" ht="12.75" hidden="false" customHeight="false" outlineLevel="0" collapsed="false">
      <c r="A370" s="196" t="str">
        <f aca="false">IF(A369&lt;mthend,EDATE(A369,1),"")</f>
        <v/>
      </c>
      <c r="B370" s="197" t="str">
        <f aca="false">IF(A370&lt;mthend,B369,"")</f>
        <v/>
      </c>
      <c r="C370" s="216"/>
      <c r="D370" s="197" t="str">
        <f aca="false">IF(A371&lt;&gt;"",B370+C370,"")</f>
        <v/>
      </c>
      <c r="E370" s="199" t="str">
        <f aca="false">IF(A371="","",IF(AND(AT370=1,$H$3=1),D370*AO370,IF($H$3=2,D370,"N/A")))</f>
        <v/>
      </c>
      <c r="F370" s="199" t="str">
        <f aca="false">IF(A371="","",E370*AS370)</f>
        <v/>
      </c>
      <c r="G370" s="200" t="str">
        <f aca="false">IF($A371="","",VLOOKUP($A370,Table,MATCH(G$4,Curves,0)))</f>
        <v/>
      </c>
      <c r="H370" s="201" t="str">
        <f aca="false">IF(A371="","",G370)</f>
        <v/>
      </c>
      <c r="J370" s="200" t="str">
        <f aca="false">IF($A371="","",VLOOKUP($A370,Table,MATCH(J$4,Curves,0)))</f>
        <v/>
      </c>
      <c r="K370" s="201" t="str">
        <f aca="false">IF(A371="","",J370)</f>
        <v/>
      </c>
      <c r="L370" s="200" t="str">
        <f aca="false">IF($A371="","",VLOOKUP($A370,Table,MATCH(L$4,Curves,0)))</f>
        <v/>
      </c>
      <c r="M370" s="201" t="str">
        <f aca="false">IF(A371="","",L370)</f>
        <v/>
      </c>
      <c r="O370" s="200" t="str">
        <f aca="false">IF(A371="","",L370+J370+G370)</f>
        <v/>
      </c>
      <c r="P370" s="200" t="str">
        <f aca="false">IF(A371="","",M370+K370+H370)</f>
        <v/>
      </c>
      <c r="R370" s="200" t="str">
        <f aca="false">IF($A371="","",VLOOKUP($A370,Table,MATCH(R$4,Curves,0)))</f>
        <v/>
      </c>
      <c r="S370" s="201" t="str">
        <f aca="false">IF(A371="","",R370)</f>
        <v/>
      </c>
      <c r="T370" s="185" t="n">
        <v>0</v>
      </c>
      <c r="U370" s="201" t="str">
        <f aca="false">IF(A371="","",T370)</f>
        <v/>
      </c>
      <c r="V370" s="205" t="str">
        <f aca="false">IF($A371="","",IF(AND(MONTH(A370)&gt;3,MONTH(A370)&lt;11),(T370+R370+G370)*Summary!$T$11/(1-Summary!$T$11),(T370+R370+G370)*Summary!$U$11/(1-Summary!$U$11)))</f>
        <v/>
      </c>
      <c r="W370" s="202" t="str">
        <f aca="false">IF($A371="","",(T370+R370+G370+V370))</f>
        <v/>
      </c>
      <c r="X370" s="202" t="str">
        <f aca="false">IF($A371="","",(U370+S370+H370+V370))</f>
        <v/>
      </c>
      <c r="Y370" s="202"/>
      <c r="Z370" s="185"/>
      <c r="AA370" s="21"/>
      <c r="AB370" s="21"/>
      <c r="AC370" s="21"/>
      <c r="AD370" s="21"/>
      <c r="AE370" s="21"/>
      <c r="AF370" s="21"/>
      <c r="AG370" s="182"/>
      <c r="AH370" s="182"/>
      <c r="AI370" s="182"/>
      <c r="AO370" s="137" t="str">
        <f aca="false">IF(A371="","",A371-A370)</f>
        <v/>
      </c>
      <c r="AP370" s="212" t="str">
        <f aca="false">IF(A371="","",CHOOSE(F$3,A371+24,A370))</f>
        <v/>
      </c>
      <c r="AQ370" s="209" t="str">
        <f aca="false">IF(A371="","",AP370-$E$1)</f>
        <v/>
      </c>
      <c r="AR370" s="185" t="n">
        <f aca="false">'ANR OK vs ML7'!AR370</f>
        <v>0.1</v>
      </c>
      <c r="AS370" s="213" t="str">
        <f aca="false">IF(A371="","",1/(1+CHOOSE(F$3,(AR371+($I$3/10000))/2,(AR370+($I$3/10000))/2))^(2*AQ370/365.25))</f>
        <v/>
      </c>
      <c r="AT370" s="137" t="str">
        <f aca="false">IF(A371="","",IF(AND(mthbeg&lt;=A370,mthend&gt;=A370),1,0))</f>
        <v/>
      </c>
      <c r="AU370" s="137" t="str">
        <f aca="false">IF(A371="","",AO370*AT370)</f>
        <v/>
      </c>
      <c r="AW370" s="195" t="str">
        <f aca="false">IF($A371="","",AL370*$E370)</f>
        <v/>
      </c>
      <c r="AX370" s="195" t="str">
        <f aca="false">IF($A371="","",AM370*$E370)</f>
        <v/>
      </c>
      <c r="AY370" s="195" t="str">
        <f aca="false">IF($A371="","",AN370*$E370)</f>
        <v/>
      </c>
      <c r="BA370" s="195" t="str">
        <f aca="false">IF($A371="","",F370*Summary!$Q$11)</f>
        <v/>
      </c>
    </row>
    <row r="371" customFormat="false" ht="12.75" hidden="false" customHeight="false" outlineLevel="0" collapsed="false">
      <c r="A371" s="196" t="str">
        <f aca="false">IF(A370&lt;mthend,EDATE(A370,1),"")</f>
        <v/>
      </c>
      <c r="B371" s="197" t="str">
        <f aca="false">IF(A371&lt;mthend,B370,"")</f>
        <v/>
      </c>
      <c r="D371" s="197" t="str">
        <f aca="false">IF(A372&lt;&gt;"",B371+C371,"")</f>
        <v/>
      </c>
      <c r="E371" s="199" t="str">
        <f aca="false">IF(A372="","",IF(AND(AT371=1,$H$3=1),D371*AO371,IF($H$3=2,D371,"N/A")))</f>
        <v/>
      </c>
      <c r="F371" s="199" t="str">
        <f aca="false">IF(A372="","",E371*AS371)</f>
        <v/>
      </c>
      <c r="G371" s="200" t="str">
        <f aca="false">IF($A372="","",VLOOKUP($A371,Table,MATCH(G$4,Curves,0)))</f>
        <v/>
      </c>
      <c r="H371" s="201" t="str">
        <f aca="false">IF(A372="","",G371)</f>
        <v/>
      </c>
      <c r="J371" s="200" t="str">
        <f aca="false">IF($A372="","",VLOOKUP($A371,Table,MATCH(J$4,Curves,0)))</f>
        <v/>
      </c>
      <c r="K371" s="201" t="str">
        <f aca="false">IF(A372="","",J371)</f>
        <v/>
      </c>
      <c r="L371" s="200" t="str">
        <f aca="false">IF($A372="","",VLOOKUP($A371,Table,MATCH(L$4,Curves,0)))</f>
        <v/>
      </c>
      <c r="M371" s="201" t="str">
        <f aca="false">IF(A372="","",L371)</f>
        <v/>
      </c>
      <c r="O371" s="200" t="str">
        <f aca="false">IF(A372="","",L371+J371+G371)</f>
        <v/>
      </c>
      <c r="P371" s="200" t="str">
        <f aca="false">IF(A372="","",M371+K371+H371)</f>
        <v/>
      </c>
      <c r="R371" s="200" t="str">
        <f aca="false">IF($A372="","",VLOOKUP($A371,Table,MATCH(R$4,Curves,0)))</f>
        <v/>
      </c>
      <c r="S371" s="201" t="str">
        <f aca="false">IF(A372="","",R371)</f>
        <v/>
      </c>
      <c r="T371" s="185" t="n">
        <v>0</v>
      </c>
      <c r="U371" s="201" t="str">
        <f aca="false">IF(A372="","",T371)</f>
        <v/>
      </c>
      <c r="V371" s="205" t="str">
        <f aca="false">IF($A372="","",IF(AND(MONTH(A371)&gt;3,MONTH(A371)&lt;11),(T371+R371+G371)*Summary!$T$11/(1-Summary!$T$11),(T371+R371+G371)*Summary!$U$11/(1-Summary!$U$11)))</f>
        <v/>
      </c>
      <c r="W371" s="202" t="str">
        <f aca="false">IF($A372="","",(T371+R371+G371+V371))</f>
        <v/>
      </c>
      <c r="X371" s="202" t="str">
        <f aca="false">IF($A372="","",(U371+S371+H371+V371))</f>
        <v/>
      </c>
      <c r="Y371" s="202"/>
      <c r="Z371" s="185"/>
      <c r="AG371" s="182"/>
      <c r="AH371" s="182"/>
      <c r="AI371" s="182"/>
      <c r="AJ371" s="217"/>
      <c r="AK371" s="217"/>
      <c r="AL371" s="217"/>
      <c r="AM371" s="217"/>
      <c r="AN371" s="217"/>
      <c r="AO371" s="137" t="str">
        <f aca="false">IF(A372="","",A372-A371)</f>
        <v/>
      </c>
      <c r="AP371" s="212" t="str">
        <f aca="false">IF(A372="","",CHOOSE(F$3,A372+24,A371))</f>
        <v/>
      </c>
      <c r="AQ371" s="209" t="str">
        <f aca="false">IF(A372="","",AP371-$E$1)</f>
        <v/>
      </c>
      <c r="AR371" s="185" t="n">
        <f aca="false">'ANR OK vs ML7'!AR371</f>
        <v>0.1</v>
      </c>
      <c r="AS371" s="213" t="str">
        <f aca="false">IF(A372="","",1/(1+CHOOSE(F$3,(AR372+($I$3/10000))/2,(AR371+($I$3/10000))/2))^(2*AQ371/365.25))</f>
        <v/>
      </c>
      <c r="AT371" s="137" t="str">
        <f aca="false">IF(A372="","",IF(AND(mthbeg&lt;=A371,mthend&gt;=A371),1,0))</f>
        <v/>
      </c>
      <c r="AU371" s="137" t="str">
        <f aca="false">IF(A372="","",AO371*AT371)</f>
        <v/>
      </c>
      <c r="AW371" s="195" t="str">
        <f aca="false">IF($A372="","",AL371*$E371)</f>
        <v/>
      </c>
      <c r="AX371" s="195" t="str">
        <f aca="false">IF($A372="","",AM371*$E371)</f>
        <v/>
      </c>
      <c r="AY371" s="195" t="str">
        <f aca="false">IF($A372="","",AN371*$E371)</f>
        <v/>
      </c>
      <c r="BA371" s="195" t="str">
        <f aca="false">IF($A372="","",F371*Summary!$Q$11)</f>
        <v/>
      </c>
    </row>
    <row r="372" customFormat="false" ht="12.75" hidden="false" customHeight="false" outlineLevel="0" collapsed="false">
      <c r="A372" s="196" t="str">
        <f aca="false">IF(A371&lt;mthend,EDATE(A371,1),"")</f>
        <v/>
      </c>
      <c r="B372" s="197" t="str">
        <f aca="false">IF(A372&lt;mthend,B371,"")</f>
        <v/>
      </c>
      <c r="D372" s="197" t="str">
        <f aca="false">IF(A373&lt;&gt;"",B372+C372,"")</f>
        <v/>
      </c>
      <c r="E372" s="199" t="str">
        <f aca="false">IF(A373="","",IF(AND(AT372=1,$H$3=1),D372*AO372,IF($H$3=2,D372,"N/A")))</f>
        <v/>
      </c>
      <c r="F372" s="199" t="str">
        <f aca="false">IF(A373="","",E372*AS372)</f>
        <v/>
      </c>
      <c r="G372" s="200" t="str">
        <f aca="false">IF($A373="","",VLOOKUP($A372,Table,MATCH(G$4,Curves,0)))</f>
        <v/>
      </c>
      <c r="H372" s="201" t="str">
        <f aca="false">IF(A373="","",G372)</f>
        <v/>
      </c>
      <c r="J372" s="200" t="str">
        <f aca="false">IF($A373="","",VLOOKUP($A372,Table,MATCH(J$4,Curves,0)))</f>
        <v/>
      </c>
      <c r="K372" s="201" t="str">
        <f aca="false">IF(A373="","",J372)</f>
        <v/>
      </c>
      <c r="L372" s="200" t="str">
        <f aca="false">IF($A373="","",VLOOKUP($A372,Table,MATCH(L$4,Curves,0)))</f>
        <v/>
      </c>
      <c r="M372" s="201" t="str">
        <f aca="false">IF(A373="","",L372)</f>
        <v/>
      </c>
      <c r="O372" s="200" t="str">
        <f aca="false">IF(A373="","",L372+J372+G372)</f>
        <v/>
      </c>
      <c r="P372" s="200" t="str">
        <f aca="false">IF(A373="","",M372+K372+H372)</f>
        <v/>
      </c>
      <c r="R372" s="200" t="str">
        <f aca="false">IF($A373="","",VLOOKUP($A372,Table,MATCH(R$4,Curves,0)))</f>
        <v/>
      </c>
      <c r="S372" s="201" t="str">
        <f aca="false">IF(A373="","",R372)</f>
        <v/>
      </c>
      <c r="T372" s="185" t="n">
        <v>0</v>
      </c>
      <c r="U372" s="201" t="str">
        <f aca="false">IF(A373="","",T372)</f>
        <v/>
      </c>
      <c r="V372" s="205" t="str">
        <f aca="false">IF($A373="","",IF(AND(MONTH(A372)&gt;3,MONTH(A372)&lt;11),(T372+R372+G372)*Summary!$T$11/(1-Summary!$T$11),(T372+R372+G372)*Summary!$U$11/(1-Summary!$U$11)))</f>
        <v/>
      </c>
      <c r="W372" s="202" t="str">
        <f aca="false">IF($A373="","",(T372+R372+G372+V372))</f>
        <v/>
      </c>
      <c r="X372" s="202" t="str">
        <f aca="false">IF($A373="","",(U372+S372+H372+V372))</f>
        <v/>
      </c>
      <c r="Y372" s="202"/>
      <c r="Z372" s="185"/>
      <c r="AG372" s="182"/>
      <c r="AH372" s="182"/>
      <c r="AI372" s="182"/>
      <c r="AJ372" s="218"/>
      <c r="AK372" s="218"/>
      <c r="AL372" s="218"/>
      <c r="AM372" s="218"/>
      <c r="AN372" s="218"/>
      <c r="AO372" s="137" t="str">
        <f aca="false">IF(A373="","",A373-A372)</f>
        <v/>
      </c>
      <c r="AP372" s="212" t="str">
        <f aca="false">IF(A373="","",CHOOSE(F$3,A373+24,A372))</f>
        <v/>
      </c>
      <c r="AQ372" s="209" t="str">
        <f aca="false">IF(A373="","",AP372-$E$1)</f>
        <v/>
      </c>
      <c r="AR372" s="185" t="n">
        <f aca="false">'ANR OK vs ML7'!AR372</f>
        <v>0.1</v>
      </c>
      <c r="AS372" s="213" t="str">
        <f aca="false">IF(A373="","",1/(1+CHOOSE(F$3,(AR373+($I$3/10000))/2,(AR372+($I$3/10000))/2))^(2*AQ372/365.25))</f>
        <v/>
      </c>
      <c r="AT372" s="137" t="str">
        <f aca="false">IF(A373="","",IF(AND(mthbeg&lt;=A372,mthend&gt;=A372),1,0))</f>
        <v/>
      </c>
      <c r="AU372" s="137" t="str">
        <f aca="false">IF(A373="","",AO372*AT372)</f>
        <v/>
      </c>
      <c r="AW372" s="195" t="str">
        <f aca="false">IF($A373="","",AL372*$E372)</f>
        <v/>
      </c>
      <c r="AX372" s="195" t="str">
        <f aca="false">IF($A373="","",AM372*$E372)</f>
        <v/>
      </c>
      <c r="AY372" s="195" t="str">
        <f aca="false">IF($A373="","",AN372*$E372)</f>
        <v/>
      </c>
      <c r="BA372" s="195" t="str">
        <f aca="false">IF($A373="","",F372*Summary!$Q$11)</f>
        <v/>
      </c>
    </row>
    <row r="373" customFormat="false" ht="12.75" hidden="false" customHeight="false" outlineLevel="0" collapsed="false">
      <c r="A373" s="196" t="str">
        <f aca="false">IF(A372&lt;mthend,EDATE(A372,1),"")</f>
        <v/>
      </c>
      <c r="B373" s="197" t="str">
        <f aca="false">IF(A373&lt;mthend,B372,"")</f>
        <v/>
      </c>
      <c r="D373" s="197" t="str">
        <f aca="false">IF(A374&lt;&gt;"",B373+C373,"")</f>
        <v/>
      </c>
      <c r="E373" s="199" t="str">
        <f aca="false">IF(A374="","",IF(AND(AT373=1,$H$3=1),D373*AO373,IF($H$3=2,D373,"N/A")))</f>
        <v/>
      </c>
      <c r="F373" s="199" t="str">
        <f aca="false">IF(A374="","",E373*AS373)</f>
        <v/>
      </c>
      <c r="G373" s="200" t="str">
        <f aca="false">IF($A374="","",VLOOKUP($A373,Table,MATCH(G$4,Curves,0)))</f>
        <v/>
      </c>
      <c r="H373" s="201" t="str">
        <f aca="false">IF(A374="","",G373)</f>
        <v/>
      </c>
      <c r="J373" s="200" t="str">
        <f aca="false">IF($A374="","",VLOOKUP($A373,Table,MATCH(J$4,Curves,0)))</f>
        <v/>
      </c>
      <c r="K373" s="201" t="str">
        <f aca="false">IF(A374="","",J373)</f>
        <v/>
      </c>
      <c r="L373" s="200" t="str">
        <f aca="false">IF($A374="","",VLOOKUP($A373,Table,MATCH(L$4,Curves,0)))</f>
        <v/>
      </c>
      <c r="M373" s="201" t="str">
        <f aca="false">IF(A374="","",L373)</f>
        <v/>
      </c>
      <c r="O373" s="200" t="str">
        <f aca="false">IF(A374="","",L373+J373+G373)</f>
        <v/>
      </c>
      <c r="P373" s="200" t="str">
        <f aca="false">IF(A374="","",M373+K373+H373)</f>
        <v/>
      </c>
      <c r="R373" s="200" t="str">
        <f aca="false">IF($A374="","",VLOOKUP($A373,Table,MATCH(R$4,Curves,0)))</f>
        <v/>
      </c>
      <c r="S373" s="201" t="str">
        <f aca="false">IF(A374="","",R373)</f>
        <v/>
      </c>
      <c r="T373" s="185" t="n">
        <v>0</v>
      </c>
      <c r="U373" s="201" t="str">
        <f aca="false">IF(A374="","",T373)</f>
        <v/>
      </c>
      <c r="V373" s="205" t="str">
        <f aca="false">IF($A374="","",IF(AND(MONTH(A373)&gt;3,MONTH(A373)&lt;11),(T373+R373+G373)*Summary!$T$11/(1-Summary!$T$11),(T373+R373+G373)*Summary!$U$11/(1-Summary!$U$11)))</f>
        <v/>
      </c>
      <c r="W373" s="202" t="str">
        <f aca="false">IF($A374="","",(T373+R373+G373+V373))</f>
        <v/>
      </c>
      <c r="X373" s="202" t="str">
        <f aca="false">IF($A374="","",(U373+S373+H373+V373))</f>
        <v/>
      </c>
      <c r="Y373" s="202"/>
      <c r="Z373" s="185"/>
      <c r="AG373" s="182"/>
      <c r="AH373" s="182"/>
      <c r="AI373" s="182"/>
      <c r="AJ373" s="218"/>
      <c r="AK373" s="218"/>
      <c r="AL373" s="218"/>
      <c r="AM373" s="218"/>
      <c r="AN373" s="218"/>
      <c r="AO373" s="137" t="str">
        <f aca="false">IF(A374="","",A374-A373)</f>
        <v/>
      </c>
      <c r="AP373" s="212" t="str">
        <f aca="false">IF(A374="","",CHOOSE(F$3,A374+24,A373))</f>
        <v/>
      </c>
      <c r="AQ373" s="209" t="str">
        <f aca="false">IF(A374="","",AP373-$E$1)</f>
        <v/>
      </c>
      <c r="AR373" s="185" t="n">
        <f aca="false">'ANR OK vs ML7'!AR373</f>
        <v>0.1</v>
      </c>
      <c r="AS373" s="213" t="str">
        <f aca="false">IF(A374="","",1/(1+CHOOSE(F$3,(AR374+($I$3/10000))/2,(AR373+($I$3/10000))/2))^(2*AQ373/365.25))</f>
        <v/>
      </c>
      <c r="AT373" s="137" t="str">
        <f aca="false">IF(A374="","",IF(AND(mthbeg&lt;=A373,mthend&gt;=A373),1,0))</f>
        <v/>
      </c>
      <c r="AU373" s="137" t="str">
        <f aca="false">IF(A374="","",AO373*AT373)</f>
        <v/>
      </c>
      <c r="AW373" s="195" t="str">
        <f aca="false">IF($A374="","",AL373*$E373)</f>
        <v/>
      </c>
      <c r="AX373" s="195" t="str">
        <f aca="false">IF($A374="","",AM373*$E373)</f>
        <v/>
      </c>
      <c r="AY373" s="195" t="str">
        <f aca="false">IF($A374="","",AN373*$E373)</f>
        <v/>
      </c>
      <c r="BA373" s="195" t="str">
        <f aca="false">IF($A374="","",F373*Summary!$Q$11)</f>
        <v/>
      </c>
    </row>
    <row r="374" customFormat="false" ht="12.75" hidden="false" customHeight="false" outlineLevel="0" collapsed="false">
      <c r="A374" s="196" t="str">
        <f aca="false">IF(A373&lt;mthend,EDATE(A373,1),"")</f>
        <v/>
      </c>
      <c r="B374" s="197" t="str">
        <f aca="false">IF(A374&lt;mthend,B373,"")</f>
        <v/>
      </c>
      <c r="D374" s="197" t="str">
        <f aca="false">IF(A375&lt;&gt;"",B374+C374,"")</f>
        <v/>
      </c>
      <c r="E374" s="199" t="str">
        <f aca="false">IF(A375="","",IF(AND(AT374=1,$H$3=1),D374*AO374,IF($H$3=2,D374,"N/A")))</f>
        <v/>
      </c>
      <c r="F374" s="199" t="str">
        <f aca="false">IF(A375="","",E374*AS374)</f>
        <v/>
      </c>
      <c r="G374" s="200" t="str">
        <f aca="false">IF($A375="","",VLOOKUP($A374,Table,MATCH(G$4,Curves,0)))</f>
        <v/>
      </c>
      <c r="H374" s="201" t="str">
        <f aca="false">IF(A375="","",G374)</f>
        <v/>
      </c>
      <c r="J374" s="200" t="str">
        <f aca="false">IF($A375="","",VLOOKUP($A374,Table,MATCH(J$4,Curves,0)))</f>
        <v/>
      </c>
      <c r="K374" s="201" t="str">
        <f aca="false">IF(A375="","",J374)</f>
        <v/>
      </c>
      <c r="L374" s="200" t="str">
        <f aca="false">IF($A375="","",VLOOKUP($A374,Table,MATCH(L$4,Curves,0)))</f>
        <v/>
      </c>
      <c r="M374" s="201" t="str">
        <f aca="false">IF(A375="","",L374)</f>
        <v/>
      </c>
      <c r="O374" s="200" t="str">
        <f aca="false">IF(A375="","",L374+J374+G374)</f>
        <v/>
      </c>
      <c r="P374" s="200" t="str">
        <f aca="false">IF(A375="","",M374+K374+H374)</f>
        <v/>
      </c>
      <c r="R374" s="200" t="str">
        <f aca="false">IF($A375="","",VLOOKUP($A374,Table,MATCH(R$4,Curves,0)))</f>
        <v/>
      </c>
      <c r="S374" s="201" t="str">
        <f aca="false">IF(A375="","",R374)</f>
        <v/>
      </c>
      <c r="T374" s="185" t="n">
        <v>0</v>
      </c>
      <c r="U374" s="201" t="str">
        <f aca="false">IF(A375="","",T374)</f>
        <v/>
      </c>
      <c r="V374" s="205" t="str">
        <f aca="false">IF($A375="","",IF(AND(MONTH(A374)&gt;3,MONTH(A374)&lt;11),(T374+R374+G374)*Summary!$T$11/(1-Summary!$T$11),(T374+R374+G374)*Summary!$U$11/(1-Summary!$U$11)))</f>
        <v/>
      </c>
      <c r="W374" s="202" t="str">
        <f aca="false">IF($A375="","",(T374+R374+G374+V374))</f>
        <v/>
      </c>
      <c r="X374" s="202" t="str">
        <f aca="false">IF($A375="","",(U374+S374+H374+V374))</f>
        <v/>
      </c>
      <c r="Y374" s="202"/>
      <c r="Z374" s="185"/>
      <c r="AG374" s="182"/>
      <c r="AH374" s="182"/>
      <c r="AI374" s="182"/>
      <c r="AJ374" s="218"/>
      <c r="AK374" s="218"/>
      <c r="AL374" s="218"/>
      <c r="AM374" s="218"/>
      <c r="AN374" s="218"/>
      <c r="AO374" s="137" t="str">
        <f aca="false">IF(A375="","",A375-A374)</f>
        <v/>
      </c>
      <c r="AP374" s="212" t="str">
        <f aca="false">IF(A375="","",CHOOSE(F$3,A375+24,A374))</f>
        <v/>
      </c>
      <c r="AQ374" s="209" t="str">
        <f aca="false">IF(A375="","",AP374-$E$1)</f>
        <v/>
      </c>
      <c r="AR374" s="185" t="n">
        <f aca="false">'ANR OK vs ML7'!AR374</f>
        <v>0.1</v>
      </c>
      <c r="AS374" s="213" t="str">
        <f aca="false">IF(A375="","",1/(1+CHOOSE(F$3,(AR375+($I$3/10000))/2,(AR374+($I$3/10000))/2))^(2*AQ374/365.25))</f>
        <v/>
      </c>
      <c r="AT374" s="137" t="str">
        <f aca="false">IF(A375="","",IF(AND(mthbeg&lt;=A374,mthend&gt;=A374),1,0))</f>
        <v/>
      </c>
      <c r="AU374" s="137" t="str">
        <f aca="false">IF(A375="","",AO374*AT374)</f>
        <v/>
      </c>
      <c r="AW374" s="195" t="str">
        <f aca="false">IF($A375="","",AL374*$E374)</f>
        <v/>
      </c>
      <c r="AX374" s="195" t="str">
        <f aca="false">IF($A375="","",AM374*$E374)</f>
        <v/>
      </c>
      <c r="AY374" s="195" t="str">
        <f aca="false">IF($A375="","",AN374*$E374)</f>
        <v/>
      </c>
      <c r="BA374" s="195" t="str">
        <f aca="false">IF($A375="","",F374*Summary!$Q$11)</f>
        <v/>
      </c>
    </row>
    <row r="375" customFormat="false" ht="12.75" hidden="false" customHeight="false" outlineLevel="0" collapsed="false">
      <c r="A375" s="196" t="str">
        <f aca="false">IF(A374&lt;mthend,EDATE(A374,1),"")</f>
        <v/>
      </c>
      <c r="B375" s="197" t="str">
        <f aca="false">IF(A375&lt;mthend,B374,"")</f>
        <v/>
      </c>
      <c r="D375" s="197" t="str">
        <f aca="false">IF(A376&lt;&gt;"",B375+C375,"")</f>
        <v/>
      </c>
      <c r="E375" s="199" t="str">
        <f aca="false">IF(A376="","",IF(AND(AT375=1,$H$3=1),D375*AO375,IF($H$3=2,D375,"N/A")))</f>
        <v/>
      </c>
      <c r="F375" s="199" t="str">
        <f aca="false">IF(A376="","",E375*AS375)</f>
        <v/>
      </c>
      <c r="G375" s="200" t="str">
        <f aca="false">IF($A376="","",VLOOKUP($A375,Table,MATCH(G$4,Curves,0)))</f>
        <v/>
      </c>
      <c r="H375" s="201" t="str">
        <f aca="false">IF(A376="","",G375)</f>
        <v/>
      </c>
      <c r="J375" s="200" t="str">
        <f aca="false">IF($A376="","",VLOOKUP($A375,Table,MATCH(J$4,Curves,0)))</f>
        <v/>
      </c>
      <c r="K375" s="201" t="str">
        <f aca="false">IF(A376="","",J375)</f>
        <v/>
      </c>
      <c r="L375" s="200" t="str">
        <f aca="false">IF($A376="","",VLOOKUP($A375,Table,MATCH(L$4,Curves,0)))</f>
        <v/>
      </c>
      <c r="M375" s="201" t="str">
        <f aca="false">IF(A376="","",L375)</f>
        <v/>
      </c>
      <c r="O375" s="200" t="str">
        <f aca="false">IF(A376="","",L375+J375+G375)</f>
        <v/>
      </c>
      <c r="P375" s="200" t="str">
        <f aca="false">IF(A376="","",M375+K375+H375)</f>
        <v/>
      </c>
      <c r="R375" s="200" t="str">
        <f aca="false">IF($A376="","",VLOOKUP($A375,Table,MATCH(R$4,Curves,0)))</f>
        <v/>
      </c>
      <c r="S375" s="201" t="str">
        <f aca="false">IF(A376="","",R375)</f>
        <v/>
      </c>
      <c r="T375" s="185" t="n">
        <v>0</v>
      </c>
      <c r="U375" s="201" t="str">
        <f aca="false">IF(A376="","",T375)</f>
        <v/>
      </c>
      <c r="V375" s="205" t="str">
        <f aca="false">IF($A376="","",IF(AND(MONTH(A375)&gt;3,MONTH(A375)&lt;11),(T375+R375+G375)*Summary!$T$11/(1-Summary!$T$11),(T375+R375+G375)*Summary!$U$11/(1-Summary!$U$11)))</f>
        <v/>
      </c>
      <c r="W375" s="202" t="str">
        <f aca="false">IF($A376="","",(T375+R375+G375+V375))</f>
        <v/>
      </c>
      <c r="X375" s="202" t="str">
        <f aca="false">IF($A376="","",(U375+S375+H375+V375))</f>
        <v/>
      </c>
      <c r="Y375" s="202"/>
      <c r="Z375" s="185"/>
      <c r="AG375" s="182"/>
      <c r="AH375" s="182"/>
      <c r="AI375" s="182"/>
      <c r="AJ375" s="218"/>
      <c r="AK375" s="218"/>
      <c r="AL375" s="218"/>
      <c r="AM375" s="218"/>
      <c r="AN375" s="218"/>
      <c r="AO375" s="137" t="str">
        <f aca="false">IF(A376="","",A376-A375)</f>
        <v/>
      </c>
      <c r="AP375" s="212" t="str">
        <f aca="false">IF(A376="","",CHOOSE(F$3,A376+24,A375))</f>
        <v/>
      </c>
      <c r="AQ375" s="209" t="str">
        <f aca="false">IF(A376="","",AP375-$E$1)</f>
        <v/>
      </c>
      <c r="AR375" s="185" t="n">
        <f aca="false">'ANR OK vs ML7'!AR375</f>
        <v>0.1</v>
      </c>
      <c r="AS375" s="213" t="str">
        <f aca="false">IF(A376="","",1/(1+CHOOSE(F$3,(AR376+($I$3/10000))/2,(AR375+($I$3/10000))/2))^(2*AQ375/365.25))</f>
        <v/>
      </c>
      <c r="AT375" s="137" t="str">
        <f aca="false">IF(A376="","",IF(AND(mthbeg&lt;=A375,mthend&gt;=A375),1,0))</f>
        <v/>
      </c>
      <c r="AU375" s="137" t="str">
        <f aca="false">IF(A376="","",AO375*AT375)</f>
        <v/>
      </c>
      <c r="AW375" s="195" t="str">
        <f aca="false">IF($A376="","",AL375*$E375)</f>
        <v/>
      </c>
      <c r="AX375" s="195" t="str">
        <f aca="false">IF($A376="","",AM375*$E375)</f>
        <v/>
      </c>
      <c r="AY375" s="195" t="str">
        <f aca="false">IF($A376="","",AN375*$E375)</f>
        <v/>
      </c>
      <c r="BA375" s="195" t="str">
        <f aca="false">IF($A376="","",F375*Summary!$Q$11)</f>
        <v/>
      </c>
    </row>
    <row r="376" customFormat="false" ht="12.75" hidden="false" customHeight="false" outlineLevel="0" collapsed="false">
      <c r="A376" s="196" t="str">
        <f aca="false">IF(A375&lt;mthend,EDATE(A375,1),"")</f>
        <v/>
      </c>
      <c r="B376" s="197" t="str">
        <f aca="false">IF(A376&lt;mthend,B375,"")</f>
        <v/>
      </c>
      <c r="D376" s="197" t="str">
        <f aca="false">IF(A377&lt;&gt;"",B376+C376,"")</f>
        <v/>
      </c>
      <c r="E376" s="199" t="str">
        <f aca="false">IF(A377="","",IF(AND(AT376=1,$H$3=1),D376*AO376,IF($H$3=2,D376,"N/A")))</f>
        <v/>
      </c>
      <c r="F376" s="199" t="str">
        <f aca="false">IF(A377="","",E376*AS376)</f>
        <v/>
      </c>
      <c r="G376" s="200" t="str">
        <f aca="false">IF($A377="","",VLOOKUP($A376,Table,MATCH(G$4,Curves,0)))</f>
        <v/>
      </c>
      <c r="H376" s="201" t="str">
        <f aca="false">IF(A377="","",G376)</f>
        <v/>
      </c>
      <c r="J376" s="200" t="str">
        <f aca="false">IF($A377="","",VLOOKUP($A376,Table,MATCH(J$4,Curves,0)))</f>
        <v/>
      </c>
      <c r="K376" s="201" t="str">
        <f aca="false">IF(A377="","",J376)</f>
        <v/>
      </c>
      <c r="L376" s="200" t="str">
        <f aca="false">IF($A377="","",VLOOKUP($A376,Table,MATCH(L$4,Curves,0)))</f>
        <v/>
      </c>
      <c r="M376" s="201" t="str">
        <f aca="false">IF(A377="","",L376)</f>
        <v/>
      </c>
      <c r="O376" s="200" t="str">
        <f aca="false">IF(A377="","",L376+J376+G376)</f>
        <v/>
      </c>
      <c r="P376" s="200" t="str">
        <f aca="false">IF(A377="","",M376+K376+H376)</f>
        <v/>
      </c>
      <c r="R376" s="200" t="str">
        <f aca="false">IF($A377="","",VLOOKUP($A376,Table,MATCH(R$4,Curves,0)))</f>
        <v/>
      </c>
      <c r="S376" s="201" t="str">
        <f aca="false">IF(A377="","",R376)</f>
        <v/>
      </c>
      <c r="T376" s="185" t="n">
        <v>0</v>
      </c>
      <c r="U376" s="201" t="str">
        <f aca="false">IF(A377="","",T376)</f>
        <v/>
      </c>
      <c r="V376" s="205" t="str">
        <f aca="false">IF($A377="","",IF(AND(MONTH(A376)&gt;3,MONTH(A376)&lt;11),(T376+R376+G376)*Summary!$T$11/(1-Summary!$T$11),(T376+R376+G376)*Summary!$U$11/(1-Summary!$U$11)))</f>
        <v/>
      </c>
      <c r="W376" s="202" t="str">
        <f aca="false">IF($A377="","",(T376+R376+G376+V376))</f>
        <v/>
      </c>
      <c r="X376" s="202" t="str">
        <f aca="false">IF($A377="","",(U376+S376+H376+V376))</f>
        <v/>
      </c>
      <c r="Y376" s="202"/>
      <c r="Z376" s="185"/>
      <c r="AG376" s="182"/>
      <c r="AH376" s="182"/>
      <c r="AI376" s="182"/>
      <c r="AJ376" s="218"/>
      <c r="AK376" s="218"/>
      <c r="AL376" s="218"/>
      <c r="AM376" s="218"/>
      <c r="AN376" s="218"/>
      <c r="AO376" s="137" t="str">
        <f aca="false">IF(A377="","",A377-A376)</f>
        <v/>
      </c>
      <c r="AP376" s="212" t="str">
        <f aca="false">IF(A377="","",CHOOSE(F$3,A377+24,A376))</f>
        <v/>
      </c>
      <c r="AQ376" s="209" t="str">
        <f aca="false">IF(A377="","",AP376-$E$1)</f>
        <v/>
      </c>
      <c r="AR376" s="185" t="n">
        <f aca="false">'ANR OK vs ML7'!AR376</f>
        <v>0.1</v>
      </c>
      <c r="AS376" s="213" t="str">
        <f aca="false">IF(A377="","",1/(1+CHOOSE(F$3,(AR377+($I$3/10000))/2,(AR376+($I$3/10000))/2))^(2*AQ376/365.25))</f>
        <v/>
      </c>
      <c r="AT376" s="137" t="str">
        <f aca="false">IF(A377="","",IF(AND(mthbeg&lt;=A376,mthend&gt;=A376),1,0))</f>
        <v/>
      </c>
      <c r="AU376" s="137" t="str">
        <f aca="false">IF(A377="","",AO376*AT376)</f>
        <v/>
      </c>
      <c r="AW376" s="195" t="str">
        <f aca="false">IF($A377="","",AL376*$E376)</f>
        <v/>
      </c>
      <c r="AX376" s="195" t="str">
        <f aca="false">IF($A377="","",AM376*$E376)</f>
        <v/>
      </c>
      <c r="AY376" s="195" t="str">
        <f aca="false">IF($A377="","",AN376*$E376)</f>
        <v/>
      </c>
      <c r="BA376" s="195" t="str">
        <f aca="false">IF($A377="","",F376*Summary!$Q$11)</f>
        <v/>
      </c>
    </row>
    <row r="377" customFormat="false" ht="12.75" hidden="false" customHeight="false" outlineLevel="0" collapsed="false">
      <c r="A377" s="196" t="str">
        <f aca="false">IF(A376&lt;mthend,EDATE(A376,1),"")</f>
        <v/>
      </c>
      <c r="B377" s="197" t="str">
        <f aca="false">IF(A377&lt;mthend,B376,"")</f>
        <v/>
      </c>
      <c r="D377" s="197" t="str">
        <f aca="false">IF(A378&lt;&gt;"",B377+C377,"")</f>
        <v/>
      </c>
      <c r="E377" s="199" t="str">
        <f aca="false">IF(A378="","",IF(AND(AT377=1,$H$3=1),D377*AO377,IF($H$3=2,D377,"N/A")))</f>
        <v/>
      </c>
      <c r="F377" s="199" t="str">
        <f aca="false">IF(A378="","",E377*AS377)</f>
        <v/>
      </c>
      <c r="G377" s="200" t="str">
        <f aca="false">IF($A378="","",VLOOKUP($A377,Table,MATCH(G$4,Curves,0)))</f>
        <v/>
      </c>
      <c r="H377" s="201" t="str">
        <f aca="false">IF(A378="","",G377)</f>
        <v/>
      </c>
      <c r="J377" s="200" t="str">
        <f aca="false">IF($A378="","",VLOOKUP($A377,Table,MATCH(J$4,Curves,0)))</f>
        <v/>
      </c>
      <c r="K377" s="201" t="str">
        <f aca="false">IF(A378="","",J377)</f>
        <v/>
      </c>
      <c r="L377" s="200" t="str">
        <f aca="false">IF($A378="","",VLOOKUP($A377,Table,MATCH(L$4,Curves,0)))</f>
        <v/>
      </c>
      <c r="M377" s="201" t="str">
        <f aca="false">IF(A378="","",L377)</f>
        <v/>
      </c>
      <c r="O377" s="200" t="str">
        <f aca="false">IF(A378="","",L377+J377+G377)</f>
        <v/>
      </c>
      <c r="P377" s="200" t="str">
        <f aca="false">IF(A378="","",M377+K377+H377)</f>
        <v/>
      </c>
      <c r="R377" s="200" t="str">
        <f aca="false">IF($A378="","",VLOOKUP($A377,Table,MATCH(R$4,Curves,0)))</f>
        <v/>
      </c>
      <c r="S377" s="201" t="str">
        <f aca="false">IF(A378="","",R377)</f>
        <v/>
      </c>
      <c r="T377" s="185" t="n">
        <v>0</v>
      </c>
      <c r="U377" s="201" t="str">
        <f aca="false">IF(A378="","",T377)</f>
        <v/>
      </c>
      <c r="V377" s="205" t="str">
        <f aca="false">IF($A378="","",IF(AND(MONTH(A377)&gt;3,MONTH(A377)&lt;11),(T377+R377+G377)*Summary!$T$11/(1-Summary!$T$11),(T377+R377+G377)*Summary!$U$11/(1-Summary!$U$11)))</f>
        <v/>
      </c>
      <c r="W377" s="202" t="str">
        <f aca="false">IF($A378="","",(T377+R377+G377+V377))</f>
        <v/>
      </c>
      <c r="X377" s="202" t="str">
        <f aca="false">IF($A378="","",(U377+S377+H377+V377))</f>
        <v/>
      </c>
      <c r="Y377" s="202"/>
      <c r="Z377" s="185"/>
      <c r="AG377" s="182"/>
      <c r="AH377" s="182"/>
      <c r="AI377" s="182"/>
      <c r="AJ377" s="218"/>
      <c r="AK377" s="218"/>
      <c r="AL377" s="218"/>
      <c r="AM377" s="218"/>
      <c r="AN377" s="218"/>
      <c r="AO377" s="137" t="str">
        <f aca="false">IF(A378="","",A378-A377)</f>
        <v/>
      </c>
      <c r="AP377" s="212" t="str">
        <f aca="false">IF(A378="","",CHOOSE(F$3,A378+24,A377))</f>
        <v/>
      </c>
      <c r="AQ377" s="209" t="str">
        <f aca="false">IF(A378="","",AP377-$E$1)</f>
        <v/>
      </c>
      <c r="AR377" s="185" t="n">
        <f aca="false">'ANR OK vs ML7'!AR377</f>
        <v>0.1</v>
      </c>
      <c r="AS377" s="213" t="str">
        <f aca="false">IF(A378="","",1/(1+CHOOSE(F$3,(AR378+($I$3/10000))/2,(AR377+($I$3/10000))/2))^(2*AQ377/365.25))</f>
        <v/>
      </c>
      <c r="AT377" s="137" t="str">
        <f aca="false">IF(A378="","",IF(AND(mthbeg&lt;=A377,mthend&gt;=A377),1,0))</f>
        <v/>
      </c>
      <c r="AU377" s="137" t="str">
        <f aca="false">IF(A378="","",AO377*AT377)</f>
        <v/>
      </c>
      <c r="AW377" s="195" t="str">
        <f aca="false">IF($A378="","",AL377*$E377)</f>
        <v/>
      </c>
      <c r="AX377" s="195" t="str">
        <f aca="false">IF($A378="","",AM377*$E377)</f>
        <v/>
      </c>
      <c r="AY377" s="195" t="str">
        <f aca="false">IF($A378="","",AN377*$E377)</f>
        <v/>
      </c>
      <c r="BA377" s="195" t="str">
        <f aca="false">IF($A378="","",F377*Summary!$Q$11)</f>
        <v/>
      </c>
    </row>
    <row r="378" customFormat="false" ht="12.75" hidden="false" customHeight="false" outlineLevel="0" collapsed="false">
      <c r="A378" s="196" t="str">
        <f aca="false">IF(A377&lt;mthend,EDATE(A377,1),"")</f>
        <v/>
      </c>
      <c r="B378" s="197" t="str">
        <f aca="false">IF(A378&lt;mthend,B377,"")</f>
        <v/>
      </c>
      <c r="D378" s="197" t="str">
        <f aca="false">IF(A379&lt;&gt;"",B378+C378,"")</f>
        <v/>
      </c>
      <c r="E378" s="199" t="str">
        <f aca="false">IF(A379="","",IF(AND(AT378=1,$H$3=1),D378*AO378,IF($H$3=2,D378,"N/A")))</f>
        <v/>
      </c>
      <c r="F378" s="199" t="str">
        <f aca="false">IF(A379="","",E378*AS378)</f>
        <v/>
      </c>
      <c r="G378" s="200" t="str">
        <f aca="false">IF($A379="","",VLOOKUP($A378,Table,MATCH(G$4,Curves,0)))</f>
        <v/>
      </c>
      <c r="H378" s="201" t="str">
        <f aca="false">IF(A379="","",G378)</f>
        <v/>
      </c>
      <c r="J378" s="200" t="str">
        <f aca="false">IF($A379="","",VLOOKUP($A378,Table,MATCH(J$4,Curves,0)))</f>
        <v/>
      </c>
      <c r="K378" s="201" t="str">
        <f aca="false">IF(A379="","",J378)</f>
        <v/>
      </c>
      <c r="L378" s="200" t="str">
        <f aca="false">IF($A379="","",VLOOKUP($A378,Table,MATCH(L$4,Curves,0)))</f>
        <v/>
      </c>
      <c r="M378" s="201" t="str">
        <f aca="false">IF(A379="","",L378)</f>
        <v/>
      </c>
      <c r="O378" s="200" t="str">
        <f aca="false">IF(A379="","",L378+J378+G378)</f>
        <v/>
      </c>
      <c r="P378" s="200" t="str">
        <f aca="false">IF(A379="","",M378+K378+H378)</f>
        <v/>
      </c>
      <c r="R378" s="200" t="str">
        <f aca="false">IF($A379="","",VLOOKUP($A378,Table,MATCH(R$4,Curves,0)))</f>
        <v/>
      </c>
      <c r="S378" s="201" t="str">
        <f aca="false">IF(A379="","",R378)</f>
        <v/>
      </c>
      <c r="T378" s="185" t="n">
        <v>0</v>
      </c>
      <c r="U378" s="201" t="str">
        <f aca="false">IF(A379="","",T378)</f>
        <v/>
      </c>
      <c r="V378" s="205" t="str">
        <f aca="false">IF($A379="","",IF(AND(MONTH(A378)&gt;3,MONTH(A378)&lt;11),(T378+R378+G378)*Summary!$T$11/(1-Summary!$T$11),(T378+R378+G378)*Summary!$U$11/(1-Summary!$U$11)))</f>
        <v/>
      </c>
      <c r="W378" s="202" t="str">
        <f aca="false">IF($A379="","",(T378+R378+G378+V378))</f>
        <v/>
      </c>
      <c r="X378" s="202" t="str">
        <f aca="false">IF($A379="","",(U378+S378+H378+V378))</f>
        <v/>
      </c>
      <c r="Y378" s="202"/>
      <c r="Z378" s="185"/>
      <c r="AG378" s="182"/>
      <c r="AH378" s="182"/>
      <c r="AI378" s="182"/>
      <c r="AJ378" s="218"/>
      <c r="AK378" s="218"/>
      <c r="AL378" s="218"/>
      <c r="AM378" s="218"/>
      <c r="AN378" s="218"/>
      <c r="AO378" s="137" t="str">
        <f aca="false">IF(A379="","",A379-A378)</f>
        <v/>
      </c>
      <c r="AP378" s="212" t="str">
        <f aca="false">IF(A379="","",CHOOSE(F$3,A379+24,A378))</f>
        <v/>
      </c>
      <c r="AQ378" s="209" t="str">
        <f aca="false">IF(A379="","",AP378-$E$1)</f>
        <v/>
      </c>
      <c r="AR378" s="185" t="n">
        <f aca="false">'ANR OK vs ML7'!AR378</f>
        <v>0.1</v>
      </c>
      <c r="AS378" s="213" t="str">
        <f aca="false">IF(A379="","",1/(1+CHOOSE(F$3,(AR379+($I$3/10000))/2,(AR378+($I$3/10000))/2))^(2*AQ378/365.25))</f>
        <v/>
      </c>
      <c r="AT378" s="137" t="str">
        <f aca="false">IF(A379="","",IF(AND(mthbeg&lt;=A378,mthend&gt;=A378),1,0))</f>
        <v/>
      </c>
      <c r="AU378" s="137" t="str">
        <f aca="false">IF(A379="","",AO378*AT378)</f>
        <v/>
      </c>
      <c r="AW378" s="195" t="str">
        <f aca="false">IF($A379="","",AL378*$E378)</f>
        <v/>
      </c>
      <c r="AX378" s="195" t="str">
        <f aca="false">IF($A379="","",AM378*$E378)</f>
        <v/>
      </c>
      <c r="AY378" s="195" t="str">
        <f aca="false">IF($A379="","",AN378*$E378)</f>
        <v/>
      </c>
      <c r="BA378" s="195" t="str">
        <f aca="false">IF($A379="","",F378*Summary!$Q$11)</f>
        <v/>
      </c>
    </row>
    <row r="379" customFormat="false" ht="12.75" hidden="false" customHeight="false" outlineLevel="0" collapsed="false">
      <c r="A379" s="196" t="str">
        <f aca="false">IF(A378&lt;mthend,EDATE(A378,1),"")</f>
        <v/>
      </c>
      <c r="B379" s="197" t="str">
        <f aca="false">IF(A379&lt;mthend,B378,"")</f>
        <v/>
      </c>
      <c r="D379" s="197" t="str">
        <f aca="false">IF(A380&lt;&gt;"",B379+C379,"")</f>
        <v/>
      </c>
      <c r="E379" s="199" t="str">
        <f aca="false">IF(A380="","",IF(AND(AT379=1,$H$3=1),D379*AO379,IF($H$3=2,D379,"N/A")))</f>
        <v/>
      </c>
      <c r="F379" s="199" t="str">
        <f aca="false">IF(A380="","",E379*AS379)</f>
        <v/>
      </c>
      <c r="G379" s="200" t="str">
        <f aca="false">IF($A380="","",VLOOKUP($A379,Table,MATCH(G$4,Curves,0)))</f>
        <v/>
      </c>
      <c r="H379" s="201" t="str">
        <f aca="false">IF(A380="","",G379)</f>
        <v/>
      </c>
      <c r="J379" s="200" t="str">
        <f aca="false">IF($A380="","",VLOOKUP($A379,Table,MATCH(J$4,Curves,0)))</f>
        <v/>
      </c>
      <c r="K379" s="201" t="str">
        <f aca="false">IF(A380="","",J379)</f>
        <v/>
      </c>
      <c r="L379" s="200" t="str">
        <f aca="false">IF($A380="","",VLOOKUP($A379,Table,MATCH(L$4,Curves,0)))</f>
        <v/>
      </c>
      <c r="M379" s="201" t="str">
        <f aca="false">IF(A380="","",L379)</f>
        <v/>
      </c>
      <c r="O379" s="200" t="str">
        <f aca="false">IF(A380="","",L379+J379+G379)</f>
        <v/>
      </c>
      <c r="P379" s="200" t="str">
        <f aca="false">IF(A380="","",M379+K379+H379)</f>
        <v/>
      </c>
      <c r="R379" s="200" t="str">
        <f aca="false">IF($A380="","",VLOOKUP($A379,Table,MATCH(R$4,Curves,0)))</f>
        <v/>
      </c>
      <c r="S379" s="201" t="str">
        <f aca="false">IF(A380="","",R379)</f>
        <v/>
      </c>
      <c r="T379" s="185" t="n">
        <v>0</v>
      </c>
      <c r="U379" s="201" t="str">
        <f aca="false">IF(A380="","",T379)</f>
        <v/>
      </c>
      <c r="V379" s="205" t="str">
        <f aca="false">IF($A380="","",IF(AND(MONTH(A379)&gt;3,MONTH(A379)&lt;11),(T379+R379+G379)*Summary!$T$11/(1-Summary!$T$11),(T379+R379+G379)*Summary!$U$11/(1-Summary!$U$11)))</f>
        <v/>
      </c>
      <c r="W379" s="202" t="str">
        <f aca="false">IF($A380="","",(T379+R379+G379+V379))</f>
        <v/>
      </c>
      <c r="X379" s="202" t="str">
        <f aca="false">IF($A380="","",(U379+S379+H379+V379))</f>
        <v/>
      </c>
      <c r="Y379" s="202"/>
      <c r="Z379" s="185"/>
      <c r="AG379" s="182"/>
      <c r="AH379" s="182"/>
      <c r="AI379" s="182"/>
      <c r="AJ379" s="218"/>
      <c r="AK379" s="218"/>
      <c r="AL379" s="218"/>
      <c r="AM379" s="218"/>
      <c r="AN379" s="218"/>
      <c r="AO379" s="137" t="str">
        <f aca="false">IF(A380="","",A380-A379)</f>
        <v/>
      </c>
      <c r="AP379" s="212" t="str">
        <f aca="false">IF(A380="","",CHOOSE(F$3,A380+24,A379))</f>
        <v/>
      </c>
      <c r="AQ379" s="209" t="str">
        <f aca="false">IF(A380="","",AP379-$E$1)</f>
        <v/>
      </c>
      <c r="AR379" s="185" t="n">
        <f aca="false">'ANR OK vs ML7'!AR379</f>
        <v>0.1</v>
      </c>
      <c r="AS379" s="213" t="str">
        <f aca="false">IF(A380="","",1/(1+CHOOSE(F$3,(AR380+($I$3/10000))/2,(AR379+($I$3/10000))/2))^(2*AQ379/365.25))</f>
        <v/>
      </c>
      <c r="AT379" s="137" t="str">
        <f aca="false">IF(A380="","",IF(AND(mthbeg&lt;=A379,mthend&gt;=A379),1,0))</f>
        <v/>
      </c>
      <c r="AU379" s="137" t="str">
        <f aca="false">IF(A380="","",AO379*AT379)</f>
        <v/>
      </c>
      <c r="AW379" s="195" t="str">
        <f aca="false">IF($A380="","",AL379*$E379)</f>
        <v/>
      </c>
      <c r="AX379" s="195" t="str">
        <f aca="false">IF($A380="","",AM379*$E379)</f>
        <v/>
      </c>
      <c r="AY379" s="195" t="str">
        <f aca="false">IF($A380="","",AN379*$E379)</f>
        <v/>
      </c>
      <c r="BA379" s="195" t="str">
        <f aca="false">IF($A380="","",F379*Summary!$Q$11)</f>
        <v/>
      </c>
    </row>
    <row r="380" customFormat="false" ht="12.75" hidden="false" customHeight="false" outlineLevel="0" collapsed="false">
      <c r="A380" s="196" t="str">
        <f aca="false">IF(A379&lt;mthend,EDATE(A379,1),"")</f>
        <v/>
      </c>
      <c r="B380" s="197" t="str">
        <f aca="false">IF(A380&lt;mthend,B379,"")</f>
        <v/>
      </c>
      <c r="D380" s="197" t="str">
        <f aca="false">IF(A381&lt;&gt;"",B380+C380,"")</f>
        <v/>
      </c>
      <c r="E380" s="199" t="str">
        <f aca="false">IF(A381="","",IF(AND(AT380=1,$H$3=1),D380*AO380,IF($H$3=2,D380,"N/A")))</f>
        <v/>
      </c>
      <c r="F380" s="199" t="str">
        <f aca="false">IF(A381="","",E380*AS380)</f>
        <v/>
      </c>
      <c r="G380" s="200" t="str">
        <f aca="false">IF($A381="","",VLOOKUP($A380,Table,MATCH(G$4,Curves,0)))</f>
        <v/>
      </c>
      <c r="H380" s="201" t="str">
        <f aca="false">IF(A381="","",G380)</f>
        <v/>
      </c>
      <c r="J380" s="200" t="str">
        <f aca="false">IF($A381="","",VLOOKUP($A380,Table,MATCH(J$4,Curves,0)))</f>
        <v/>
      </c>
      <c r="K380" s="201" t="str">
        <f aca="false">IF(A381="","",J380)</f>
        <v/>
      </c>
      <c r="L380" s="200" t="str">
        <f aca="false">IF($A381="","",VLOOKUP($A380,Table,MATCH(L$4,Curves,0)))</f>
        <v/>
      </c>
      <c r="M380" s="201" t="str">
        <f aca="false">IF(A381="","",L380)</f>
        <v/>
      </c>
      <c r="O380" s="200" t="str">
        <f aca="false">IF(A381="","",L380+J380+G380)</f>
        <v/>
      </c>
      <c r="P380" s="200" t="str">
        <f aca="false">IF(A381="","",M380+K380+H380)</f>
        <v/>
      </c>
      <c r="R380" s="200" t="str">
        <f aca="false">IF($A381="","",VLOOKUP($A380,Table,MATCH(R$4,Curves,0)))</f>
        <v/>
      </c>
      <c r="S380" s="201" t="str">
        <f aca="false">IF(A381="","",R380)</f>
        <v/>
      </c>
      <c r="T380" s="185" t="n">
        <v>0</v>
      </c>
      <c r="U380" s="201" t="str">
        <f aca="false">IF(A381="","",T380)</f>
        <v/>
      </c>
      <c r="V380" s="205" t="str">
        <f aca="false">IF($A381="","",IF(AND(MONTH(A380)&gt;3,MONTH(A380)&lt;11),(T380+R380+G380)*Summary!$T$11/(1-Summary!$T$11),(T380+R380+G380)*Summary!$U$11/(1-Summary!$U$11)))</f>
        <v/>
      </c>
      <c r="W380" s="202" t="str">
        <f aca="false">IF($A381="","",(T380+R380+G380+V380))</f>
        <v/>
      </c>
      <c r="X380" s="202" t="str">
        <f aca="false">IF($A381="","",(U380+S380+H380+V380))</f>
        <v/>
      </c>
      <c r="Y380" s="202"/>
      <c r="Z380" s="185"/>
      <c r="AG380" s="182"/>
      <c r="AH380" s="182"/>
      <c r="AI380" s="182"/>
      <c r="AJ380" s="218"/>
      <c r="AK380" s="218"/>
      <c r="AL380" s="218"/>
      <c r="AM380" s="218"/>
      <c r="AN380" s="218"/>
      <c r="AO380" s="137" t="str">
        <f aca="false">IF(A381="","",A381-A380)</f>
        <v/>
      </c>
      <c r="AP380" s="212" t="str">
        <f aca="false">IF(A381="","",CHOOSE(F$3,A381+24,A380))</f>
        <v/>
      </c>
      <c r="AQ380" s="209" t="str">
        <f aca="false">IF(A381="","",AP380-$E$1)</f>
        <v/>
      </c>
      <c r="AR380" s="185" t="n">
        <f aca="false">'ANR OK vs ML7'!AR380</f>
        <v>0.1</v>
      </c>
      <c r="AS380" s="213" t="str">
        <f aca="false">IF(A381="","",1/(1+CHOOSE(F$3,(AR381+($I$3/10000))/2,(AR380+($I$3/10000))/2))^(2*AQ380/365.25))</f>
        <v/>
      </c>
      <c r="AT380" s="137" t="str">
        <f aca="false">IF(A381="","",IF(AND(mthbeg&lt;=A380,mthend&gt;=A380),1,0))</f>
        <v/>
      </c>
      <c r="AU380" s="137" t="str">
        <f aca="false">IF(A381="","",AO380*AT380)</f>
        <v/>
      </c>
      <c r="AW380" s="195" t="str">
        <f aca="false">IF($A381="","",AL380*$E380)</f>
        <v/>
      </c>
      <c r="AX380" s="195" t="str">
        <f aca="false">IF($A381="","",AM380*$E380)</f>
        <v/>
      </c>
      <c r="AY380" s="195" t="str">
        <f aca="false">IF($A381="","",AN380*$E380)</f>
        <v/>
      </c>
      <c r="BA380" s="195" t="str">
        <f aca="false">IF($A381="","",F380*Summary!$Q$11)</f>
        <v/>
      </c>
    </row>
    <row r="381" customFormat="false" ht="12.75" hidden="false" customHeight="false" outlineLevel="0" collapsed="false">
      <c r="A381" s="196" t="str">
        <f aca="false">IF(A380&lt;mthend,EDATE(A380,1),"")</f>
        <v/>
      </c>
      <c r="B381" s="197" t="str">
        <f aca="false">IF(A381&lt;mthend,B380,"")</f>
        <v/>
      </c>
      <c r="D381" s="197" t="str">
        <f aca="false">IF(A382&lt;&gt;"",B381+C381,"")</f>
        <v/>
      </c>
      <c r="E381" s="199" t="str">
        <f aca="false">IF(A382="","",IF(AND(AT381=1,$H$3=1),D381*AO381,IF($H$3=2,D381,"N/A")))</f>
        <v/>
      </c>
      <c r="F381" s="199" t="str">
        <f aca="false">IF(A382="","",E381*AS381)</f>
        <v/>
      </c>
      <c r="G381" s="200" t="str">
        <f aca="false">IF($A382="","",VLOOKUP($A381,Table,MATCH(G$4,Curves,0)))</f>
        <v/>
      </c>
      <c r="H381" s="201" t="str">
        <f aca="false">IF(A382="","",G381)</f>
        <v/>
      </c>
      <c r="J381" s="200" t="str">
        <f aca="false">IF($A382="","",VLOOKUP($A381,Table,MATCH(J$4,Curves,0)))</f>
        <v/>
      </c>
      <c r="K381" s="201" t="str">
        <f aca="false">IF(A382="","",J381)</f>
        <v/>
      </c>
      <c r="L381" s="200" t="str">
        <f aca="false">IF($A382="","",VLOOKUP($A381,Table,MATCH(L$4,Curves,0)))</f>
        <v/>
      </c>
      <c r="M381" s="201" t="str">
        <f aca="false">IF(A382="","",L381)</f>
        <v/>
      </c>
      <c r="O381" s="200" t="str">
        <f aca="false">IF(A382="","",L381+J381+G381)</f>
        <v/>
      </c>
      <c r="P381" s="200" t="str">
        <f aca="false">IF(A382="","",M381+K381+H381)</f>
        <v/>
      </c>
      <c r="R381" s="200" t="str">
        <f aca="false">IF($A382="","",VLOOKUP($A381,Table,MATCH(R$4,Curves,0)))</f>
        <v/>
      </c>
      <c r="S381" s="201" t="str">
        <f aca="false">IF(A382="","",R381)</f>
        <v/>
      </c>
      <c r="T381" s="185" t="n">
        <v>0</v>
      </c>
      <c r="U381" s="201" t="str">
        <f aca="false">IF(A382="","",T381)</f>
        <v/>
      </c>
      <c r="V381" s="205" t="str">
        <f aca="false">IF($A382="","",IF(AND(MONTH(A381)&gt;3,MONTH(A381)&lt;11),(T381+R381+G381)*Summary!$T$11/(1-Summary!$T$11),(T381+R381+G381)*Summary!$U$11/(1-Summary!$U$11)))</f>
        <v/>
      </c>
      <c r="W381" s="202" t="str">
        <f aca="false">IF($A382="","",(T381+R381+G381+V381))</f>
        <v/>
      </c>
      <c r="X381" s="202" t="str">
        <f aca="false">IF($A382="","",(U381+S381+H381+V381))</f>
        <v/>
      </c>
      <c r="Y381" s="202"/>
      <c r="Z381" s="185"/>
      <c r="AG381" s="182"/>
      <c r="AH381" s="182"/>
      <c r="AI381" s="182"/>
      <c r="AJ381" s="218"/>
      <c r="AK381" s="218"/>
      <c r="AL381" s="218"/>
      <c r="AM381" s="218"/>
      <c r="AN381" s="218"/>
      <c r="AO381" s="137" t="str">
        <f aca="false">IF(A382="","",A382-A381)</f>
        <v/>
      </c>
      <c r="AP381" s="212" t="str">
        <f aca="false">IF(A382="","",CHOOSE(F$3,A382+24,A381))</f>
        <v/>
      </c>
      <c r="AQ381" s="209" t="str">
        <f aca="false">IF(A382="","",AP381-$E$1)</f>
        <v/>
      </c>
      <c r="AR381" s="185" t="n">
        <f aca="false">'ANR OK vs ML7'!AR381</f>
        <v>0.1</v>
      </c>
      <c r="AS381" s="213" t="str">
        <f aca="false">IF(A382="","",1/(1+CHOOSE(F$3,(AR382+($I$3/10000))/2,(AR381+($I$3/10000))/2))^(2*AQ381/365.25))</f>
        <v/>
      </c>
      <c r="AT381" s="137" t="str">
        <f aca="false">IF(A382="","",IF(AND(mthbeg&lt;=A381,mthend&gt;=A381),1,0))</f>
        <v/>
      </c>
      <c r="AU381" s="137" t="str">
        <f aca="false">IF(A382="","",AO381*AT381)</f>
        <v/>
      </c>
      <c r="AW381" s="195" t="str">
        <f aca="false">IF($A382="","",AL381*$E381)</f>
        <v/>
      </c>
      <c r="AX381" s="195" t="str">
        <f aca="false">IF($A382="","",AM381*$E381)</f>
        <v/>
      </c>
      <c r="AY381" s="195" t="str">
        <f aca="false">IF($A382="","",AN381*$E381)</f>
        <v/>
      </c>
      <c r="BA381" s="195" t="str">
        <f aca="false">IF($A382="","",F381*Summary!$Q$11)</f>
        <v/>
      </c>
    </row>
    <row r="382" customFormat="false" ht="12.75" hidden="false" customHeight="false" outlineLevel="0" collapsed="false">
      <c r="A382" s="196" t="str">
        <f aca="false">IF(A381&lt;mthend,EDATE(A381,1),"")</f>
        <v/>
      </c>
      <c r="B382" s="197" t="str">
        <f aca="false">IF(A382&lt;mthend,B381,"")</f>
        <v/>
      </c>
      <c r="D382" s="197" t="str">
        <f aca="false">IF(A383&lt;&gt;"",B382+C382,"")</f>
        <v/>
      </c>
      <c r="E382" s="199" t="str">
        <f aca="false">IF(A383="","",IF(AND(AT382=1,$H$3=1),D382*AO382,IF($H$3=2,D382,"N/A")))</f>
        <v/>
      </c>
      <c r="F382" s="199" t="str">
        <f aca="false">IF(A383="","",E382*AS382)</f>
        <v/>
      </c>
      <c r="G382" s="200" t="str">
        <f aca="false">IF($A383="","",VLOOKUP($A382,Table,MATCH(G$4,Curves,0)))</f>
        <v/>
      </c>
      <c r="H382" s="201" t="str">
        <f aca="false">IF(A383="","",G382)</f>
        <v/>
      </c>
      <c r="J382" s="200" t="str">
        <f aca="false">IF($A383="","",VLOOKUP($A382,Table,MATCH(J$4,Curves,0)))</f>
        <v/>
      </c>
      <c r="K382" s="201" t="str">
        <f aca="false">IF(A383="","",J382)</f>
        <v/>
      </c>
      <c r="L382" s="200" t="str">
        <f aca="false">IF($A383="","",VLOOKUP($A382,Table,MATCH(L$4,Curves,0)))</f>
        <v/>
      </c>
      <c r="M382" s="201" t="str">
        <f aca="false">IF(A383="","",L382)</f>
        <v/>
      </c>
      <c r="O382" s="200" t="str">
        <f aca="false">IF(A383="","",L382+J382+G382)</f>
        <v/>
      </c>
      <c r="P382" s="200" t="str">
        <f aca="false">IF(A383="","",M382+K382+H382)</f>
        <v/>
      </c>
      <c r="R382" s="200" t="str">
        <f aca="false">IF($A383="","",VLOOKUP($A382,Table,MATCH(R$4,Curves,0)))</f>
        <v/>
      </c>
      <c r="S382" s="201" t="str">
        <f aca="false">IF(A383="","",R382)</f>
        <v/>
      </c>
      <c r="T382" s="185" t="n">
        <v>0</v>
      </c>
      <c r="U382" s="201" t="str">
        <f aca="false">IF(A383="","",T382)</f>
        <v/>
      </c>
      <c r="V382" s="205" t="str">
        <f aca="false">IF($A383="","",IF(AND(MONTH(A382)&gt;3,MONTH(A382)&lt;11),(T382+R382+G382)*Summary!$T$11/(1-Summary!$T$11),(T382+R382+G382)*Summary!$U$11/(1-Summary!$U$11)))</f>
        <v/>
      </c>
      <c r="W382" s="202" t="str">
        <f aca="false">IF($A383="","",(T382+R382+G382+V382))</f>
        <v/>
      </c>
      <c r="X382" s="202" t="str">
        <f aca="false">IF($A383="","",(U382+S382+H382+V382))</f>
        <v/>
      </c>
      <c r="Y382" s="202"/>
      <c r="Z382" s="185"/>
      <c r="AG382" s="182"/>
      <c r="AH382" s="182"/>
      <c r="AI382" s="182"/>
      <c r="AJ382" s="218"/>
      <c r="AK382" s="218"/>
      <c r="AL382" s="218"/>
      <c r="AM382" s="218"/>
      <c r="AN382" s="218"/>
      <c r="AO382" s="137" t="str">
        <f aca="false">IF(A383="","",A383-A382)</f>
        <v/>
      </c>
      <c r="AP382" s="212" t="str">
        <f aca="false">IF(A383="","",CHOOSE(F$3,A383+24,A382))</f>
        <v/>
      </c>
      <c r="AQ382" s="209" t="str">
        <f aca="false">IF(A383="","",AP382-$E$1)</f>
        <v/>
      </c>
      <c r="AR382" s="185" t="n">
        <f aca="false">'ANR OK vs ML7'!AR382</f>
        <v>0.1</v>
      </c>
      <c r="AS382" s="213" t="str">
        <f aca="false">IF(A383="","",1/(1+CHOOSE(F$3,(AR383+($I$3/10000))/2,(AR382+($I$3/10000))/2))^(2*AQ382/365.25))</f>
        <v/>
      </c>
      <c r="AT382" s="137" t="str">
        <f aca="false">IF(A383="","",IF(AND(mthbeg&lt;=A382,mthend&gt;=A382),1,0))</f>
        <v/>
      </c>
      <c r="AU382" s="137" t="str">
        <f aca="false">IF(A383="","",AO382*AT382)</f>
        <v/>
      </c>
      <c r="AW382" s="195" t="str">
        <f aca="false">IF($A383="","",AL382*$E382)</f>
        <v/>
      </c>
      <c r="AX382" s="195" t="str">
        <f aca="false">IF($A383="","",AM382*$E382)</f>
        <v/>
      </c>
      <c r="AY382" s="195" t="str">
        <f aca="false">IF($A383="","",AN382*$E382)</f>
        <v/>
      </c>
      <c r="BA382" s="195" t="str">
        <f aca="false">IF($A383="","",F382*Summary!$Q$11)</f>
        <v/>
      </c>
    </row>
    <row r="383" customFormat="false" ht="12.75" hidden="false" customHeight="false" outlineLevel="0" collapsed="false">
      <c r="A383" s="196" t="str">
        <f aca="false">IF(A382&lt;mthend,EDATE(A382,1),"")</f>
        <v/>
      </c>
      <c r="B383" s="197" t="str">
        <f aca="false">IF(A383&lt;mthend,B382,"")</f>
        <v/>
      </c>
      <c r="D383" s="197" t="str">
        <f aca="false">IF(A384&lt;&gt;"",B383+C383,"")</f>
        <v/>
      </c>
      <c r="E383" s="199" t="str">
        <f aca="false">IF(A384="","",IF(AND(AT383=1,$H$3=1),D383*AO383,IF($H$3=2,D383,"N/A")))</f>
        <v/>
      </c>
      <c r="F383" s="199" t="str">
        <f aca="false">IF(A384="","",E383*AS383)</f>
        <v/>
      </c>
      <c r="G383" s="200" t="str">
        <f aca="false">IF($A384="","",VLOOKUP($A383,Table,MATCH(G$4,Curves,0)))</f>
        <v/>
      </c>
      <c r="H383" s="201" t="str">
        <f aca="false">IF(A384="","",G383)</f>
        <v/>
      </c>
      <c r="J383" s="200" t="str">
        <f aca="false">IF($A384="","",VLOOKUP($A383,Table,MATCH(J$4,Curves,0)))</f>
        <v/>
      </c>
      <c r="K383" s="201" t="str">
        <f aca="false">IF(A384="","",J383)</f>
        <v/>
      </c>
      <c r="L383" s="200" t="str">
        <f aca="false">IF($A384="","",VLOOKUP($A383,Table,MATCH(L$4,Curves,0)))</f>
        <v/>
      </c>
      <c r="M383" s="201" t="str">
        <f aca="false">IF(A384="","",L383)</f>
        <v/>
      </c>
      <c r="O383" s="200" t="str">
        <f aca="false">IF(A384="","",L383+J383+G383)</f>
        <v/>
      </c>
      <c r="P383" s="200" t="str">
        <f aca="false">IF(A384="","",M383+K383+H383)</f>
        <v/>
      </c>
      <c r="R383" s="200" t="str">
        <f aca="false">IF($A384="","",VLOOKUP($A383,Table,MATCH(R$4,Curves,0)))</f>
        <v/>
      </c>
      <c r="S383" s="201" t="str">
        <f aca="false">IF(A384="","",R383)</f>
        <v/>
      </c>
      <c r="T383" s="185" t="n">
        <v>0</v>
      </c>
      <c r="U383" s="201" t="str">
        <f aca="false">IF(A384="","",T383)</f>
        <v/>
      </c>
      <c r="V383" s="205" t="str">
        <f aca="false">IF($A384="","",IF(AND(MONTH(A383)&gt;3,MONTH(A383)&lt;11),(T383+R383+G383)*Summary!$T$11/(1-Summary!$T$11),(T383+R383+G383)*Summary!$U$11/(1-Summary!$U$11)))</f>
        <v/>
      </c>
      <c r="W383" s="202" t="str">
        <f aca="false">IF($A384="","",(T383+R383+G383+V383))</f>
        <v/>
      </c>
      <c r="X383" s="202" t="str">
        <f aca="false">IF($A384="","",(U383+S383+H383+V383))</f>
        <v/>
      </c>
      <c r="Y383" s="202"/>
      <c r="Z383" s="185"/>
      <c r="AG383" s="182"/>
      <c r="AH383" s="182"/>
      <c r="AI383" s="182"/>
      <c r="AJ383" s="218"/>
      <c r="AK383" s="218"/>
      <c r="AL383" s="218"/>
      <c r="AM383" s="218"/>
      <c r="AN383" s="218"/>
      <c r="AO383" s="137" t="str">
        <f aca="false">IF(A384="","",A384-A383)</f>
        <v/>
      </c>
      <c r="AP383" s="212" t="str">
        <f aca="false">IF(A384="","",CHOOSE(F$3,A384+24,A383))</f>
        <v/>
      </c>
      <c r="AQ383" s="209" t="str">
        <f aca="false">IF(A384="","",AP383-$E$1)</f>
        <v/>
      </c>
      <c r="AR383" s="185" t="n">
        <f aca="false">'ANR OK vs ML7'!AR383</f>
        <v>0.1</v>
      </c>
      <c r="AS383" s="213" t="str">
        <f aca="false">IF(A384="","",1/(1+CHOOSE(F$3,(AR384+($I$3/10000))/2,(AR383+($I$3/10000))/2))^(2*AQ383/365.25))</f>
        <v/>
      </c>
      <c r="AT383" s="137" t="str">
        <f aca="false">IF(A384="","",IF(AND(mthbeg&lt;=A383,mthend&gt;=A383),1,0))</f>
        <v/>
      </c>
      <c r="AU383" s="137" t="str">
        <f aca="false">IF(A384="","",AO383*AT383)</f>
        <v/>
      </c>
      <c r="AW383" s="195" t="str">
        <f aca="false">IF($A384="","",AL383*$E383)</f>
        <v/>
      </c>
      <c r="AX383" s="195" t="str">
        <f aca="false">IF($A384="","",AM383*$E383)</f>
        <v/>
      </c>
      <c r="AY383" s="195" t="str">
        <f aca="false">IF($A384="","",AN383*$E383)</f>
        <v/>
      </c>
      <c r="BA383" s="195" t="str">
        <f aca="false">IF($A384="","",F383*Summary!$Q$11)</f>
        <v/>
      </c>
    </row>
    <row r="384" customFormat="false" ht="12.75" hidden="false" customHeight="false" outlineLevel="0" collapsed="false">
      <c r="A384" s="196" t="str">
        <f aca="false">IF(A383&lt;mthend,EDATE(A383,1),"")</f>
        <v/>
      </c>
      <c r="B384" s="197" t="str">
        <f aca="false">IF(A384&lt;mthend,B383,"")</f>
        <v/>
      </c>
      <c r="D384" s="197" t="str">
        <f aca="false">IF(A385&lt;&gt;"",B384+C384,"")</f>
        <v/>
      </c>
      <c r="E384" s="199" t="str">
        <f aca="false">IF(A385="","",IF(AND(AT384=1,$H$3=1),D384*AO384,IF($H$3=2,D384,"N/A")))</f>
        <v/>
      </c>
      <c r="F384" s="199" t="str">
        <f aca="false">IF(A385="","",E384*AS384)</f>
        <v/>
      </c>
      <c r="G384" s="200" t="str">
        <f aca="false">IF($A385="","",VLOOKUP($A384,Table,MATCH(G$4,Curves,0)))</f>
        <v/>
      </c>
      <c r="H384" s="201" t="str">
        <f aca="false">IF(A385="","",G384)</f>
        <v/>
      </c>
      <c r="J384" s="200" t="str">
        <f aca="false">IF($A385="","",VLOOKUP($A384,Table,MATCH(J$4,Curves,0)))</f>
        <v/>
      </c>
      <c r="K384" s="201" t="str">
        <f aca="false">IF(A385="","",J384)</f>
        <v/>
      </c>
      <c r="L384" s="200" t="str">
        <f aca="false">IF($A385="","",VLOOKUP($A384,Table,MATCH(L$4,Curves,0)))</f>
        <v/>
      </c>
      <c r="M384" s="201" t="str">
        <f aca="false">IF(A385="","",L384)</f>
        <v/>
      </c>
      <c r="O384" s="200" t="str">
        <f aca="false">IF(A385="","",L384+J384+G384)</f>
        <v/>
      </c>
      <c r="P384" s="200" t="str">
        <f aca="false">IF(A385="","",M384+K384+H384)</f>
        <v/>
      </c>
      <c r="R384" s="200" t="str">
        <f aca="false">IF($A385="","",VLOOKUP($A384,Table,MATCH(R$4,Curves,0)))</f>
        <v/>
      </c>
      <c r="S384" s="201" t="str">
        <f aca="false">IF(A385="","",R384)</f>
        <v/>
      </c>
      <c r="T384" s="185" t="n">
        <v>0</v>
      </c>
      <c r="U384" s="201" t="str">
        <f aca="false">IF(A385="","",T384)</f>
        <v/>
      </c>
      <c r="V384" s="205" t="str">
        <f aca="false">IF($A385="","",IF(AND(MONTH(A384)&gt;3,MONTH(A384)&lt;11),(T384+R384+G384)*Summary!$T$11/(1-Summary!$T$11),(T384+R384+G384)*Summary!$U$11/(1-Summary!$U$11)))</f>
        <v/>
      </c>
      <c r="W384" s="202" t="str">
        <f aca="false">IF($A385="","",(T384+R384+G384+V384))</f>
        <v/>
      </c>
      <c r="X384" s="202" t="str">
        <f aca="false">IF($A385="","",(U384+S384+H384+V384))</f>
        <v/>
      </c>
      <c r="Y384" s="202"/>
      <c r="Z384" s="185"/>
      <c r="AG384" s="182"/>
      <c r="AH384" s="182"/>
      <c r="AI384" s="182"/>
      <c r="AJ384" s="218"/>
      <c r="AK384" s="218"/>
      <c r="AL384" s="218"/>
      <c r="AM384" s="218"/>
      <c r="AN384" s="218"/>
      <c r="AO384" s="137" t="str">
        <f aca="false">IF(A385="","",A385-A384)</f>
        <v/>
      </c>
      <c r="AP384" s="212" t="str">
        <f aca="false">IF(A385="","",CHOOSE(F$3,A385+24,A384))</f>
        <v/>
      </c>
      <c r="AQ384" s="209" t="str">
        <f aca="false">IF(A385="","",AP384-$E$1)</f>
        <v/>
      </c>
      <c r="AR384" s="185" t="n">
        <f aca="false">'ANR OK vs ML7'!AR384</f>
        <v>0.1</v>
      </c>
      <c r="AS384" s="213" t="str">
        <f aca="false">IF(A385="","",1/(1+CHOOSE(F$3,(AR385+($I$3/10000))/2,(AR384+($I$3/10000))/2))^(2*AQ384/365.25))</f>
        <v/>
      </c>
      <c r="AT384" s="137" t="str">
        <f aca="false">IF(A385="","",IF(AND(mthbeg&lt;=A384,mthend&gt;=A384),1,0))</f>
        <v/>
      </c>
      <c r="AU384" s="137" t="str">
        <f aca="false">IF(A385="","",AO384*AT384)</f>
        <v/>
      </c>
      <c r="AW384" s="195" t="str">
        <f aca="false">IF($A385="","",AL384*$E384)</f>
        <v/>
      </c>
      <c r="AX384" s="195" t="str">
        <f aca="false">IF($A385="","",AM384*$E384)</f>
        <v/>
      </c>
      <c r="AY384" s="195" t="str">
        <f aca="false">IF($A385="","",AN384*$E384)</f>
        <v/>
      </c>
      <c r="BA384" s="195" t="str">
        <f aca="false">IF($A385="","",F384*Summary!$Q$11)</f>
        <v/>
      </c>
    </row>
    <row r="385" customFormat="false" ht="12.75" hidden="false" customHeight="false" outlineLevel="0" collapsed="false">
      <c r="A385" s="196" t="str">
        <f aca="false">IF(A384&lt;mthend,EDATE(A384,1),"")</f>
        <v/>
      </c>
      <c r="B385" s="197" t="str">
        <f aca="false">IF(A385&lt;mthend,B384,"")</f>
        <v/>
      </c>
      <c r="D385" s="197" t="str">
        <f aca="false">IF(A386&lt;&gt;"",B385+C385,"")</f>
        <v/>
      </c>
      <c r="E385" s="199" t="str">
        <f aca="false">IF(A386="","",IF(AND(AT385=1,$H$3=1),D385*AO385,IF($H$3=2,D385,"N/A")))</f>
        <v/>
      </c>
      <c r="F385" s="199" t="str">
        <f aca="false">IF(A386="","",E385*AS385)</f>
        <v/>
      </c>
      <c r="G385" s="200" t="str">
        <f aca="false">IF($A386="","",VLOOKUP($A385,Table,MATCH(G$4,Curves,0)))</f>
        <v/>
      </c>
      <c r="H385" s="201" t="str">
        <f aca="false">IF(A386="","",G385)</f>
        <v/>
      </c>
      <c r="J385" s="200" t="str">
        <f aca="false">IF($A386="","",VLOOKUP($A385,Table,MATCH(J$4,Curves,0)))</f>
        <v/>
      </c>
      <c r="K385" s="201" t="str">
        <f aca="false">IF(A386="","",J385)</f>
        <v/>
      </c>
      <c r="L385" s="200" t="str">
        <f aca="false">IF($A386="","",VLOOKUP($A385,Table,MATCH(L$4,Curves,0)))</f>
        <v/>
      </c>
      <c r="M385" s="201" t="str">
        <f aca="false">IF(A386="","",L385)</f>
        <v/>
      </c>
      <c r="O385" s="200" t="str">
        <f aca="false">IF(A386="","",L385+J385+G385)</f>
        <v/>
      </c>
      <c r="P385" s="200" t="str">
        <f aca="false">IF(A386="","",M385+K385+H385)</f>
        <v/>
      </c>
      <c r="R385" s="200" t="str">
        <f aca="false">IF($A386="","",VLOOKUP($A385,Table,MATCH(R$4,Curves,0)))</f>
        <v/>
      </c>
      <c r="S385" s="201" t="str">
        <f aca="false">IF(A386="","",R385)</f>
        <v/>
      </c>
      <c r="T385" s="185" t="n">
        <v>0</v>
      </c>
      <c r="U385" s="201" t="str">
        <f aca="false">IF(A386="","",T385)</f>
        <v/>
      </c>
      <c r="V385" s="205" t="str">
        <f aca="false">IF($A386="","",IF(AND(MONTH(A385)&gt;3,MONTH(A385)&lt;11),(T385+R385+G385)*Summary!$T$11/(1-Summary!$T$11),(T385+R385+G385)*Summary!$U$11/(1-Summary!$U$11)))</f>
        <v/>
      </c>
      <c r="W385" s="202" t="str">
        <f aca="false">IF($A386="","",(T385+R385+G385+V385))</f>
        <v/>
      </c>
      <c r="X385" s="202" t="str">
        <f aca="false">IF($A386="","",(U385+S385+H385+V385))</f>
        <v/>
      </c>
      <c r="Y385" s="202"/>
      <c r="Z385" s="185"/>
      <c r="AG385" s="182"/>
      <c r="AH385" s="182"/>
      <c r="AI385" s="182"/>
      <c r="AJ385" s="218"/>
      <c r="AK385" s="218"/>
      <c r="AL385" s="218"/>
      <c r="AM385" s="218"/>
      <c r="AN385" s="218"/>
      <c r="AO385" s="137" t="str">
        <f aca="false">IF(A386="","",A386-A385)</f>
        <v/>
      </c>
      <c r="AP385" s="212" t="str">
        <f aca="false">IF(A386="","",CHOOSE(F$3,A386+24,A385))</f>
        <v/>
      </c>
      <c r="AQ385" s="209" t="str">
        <f aca="false">IF(A386="","",AP385-$E$1)</f>
        <v/>
      </c>
      <c r="AR385" s="185" t="n">
        <f aca="false">'ANR OK vs ML7'!AR385</f>
        <v>0.1</v>
      </c>
      <c r="AS385" s="213" t="str">
        <f aca="false">IF(A386="","",1/(1+CHOOSE(F$3,(AR386+($I$3/10000))/2,(AR385+($I$3/10000))/2))^(2*AQ385/365.25))</f>
        <v/>
      </c>
      <c r="AT385" s="137" t="str">
        <f aca="false">IF(A386="","",IF(AND(mthbeg&lt;=A385,mthend&gt;=A385),1,0))</f>
        <v/>
      </c>
      <c r="AU385" s="137" t="str">
        <f aca="false">IF(A386="","",AO385*AT385)</f>
        <v/>
      </c>
      <c r="AW385" s="195" t="str">
        <f aca="false">IF($A386="","",AL385*$E385)</f>
        <v/>
      </c>
      <c r="AX385" s="195" t="str">
        <f aca="false">IF($A386="","",AM385*$E385)</f>
        <v/>
      </c>
      <c r="AY385" s="195" t="str">
        <f aca="false">IF($A386="","",AN385*$E385)</f>
        <v/>
      </c>
      <c r="BA385" s="195" t="str">
        <f aca="false">IF($A386="","",F385*Summary!$Q$11)</f>
        <v/>
      </c>
    </row>
    <row r="386" customFormat="false" ht="12.75" hidden="false" customHeight="false" outlineLevel="0" collapsed="false">
      <c r="A386" s="196" t="str">
        <f aca="false">IF(A385&lt;mthend,EDATE(A385,1),"")</f>
        <v/>
      </c>
      <c r="B386" s="197" t="str">
        <f aca="false">IF(A386&lt;mthend,B385,"")</f>
        <v/>
      </c>
      <c r="D386" s="197" t="str">
        <f aca="false">IF(A387&lt;&gt;"",B386+C386,"")</f>
        <v/>
      </c>
      <c r="E386" s="199" t="str">
        <f aca="false">IF(A387="","",IF(AND(AT386=1,$H$3=1),D386*AO386,IF($H$3=2,D386,"N/A")))</f>
        <v/>
      </c>
      <c r="F386" s="199" t="str">
        <f aca="false">IF(A387="","",E386*AS386)</f>
        <v/>
      </c>
      <c r="G386" s="200" t="str">
        <f aca="false">IF($A387="","",VLOOKUP($A386,Table,MATCH(G$4,Curves,0)))</f>
        <v/>
      </c>
      <c r="H386" s="201" t="str">
        <f aca="false">IF(A387="","",G386)</f>
        <v/>
      </c>
      <c r="J386" s="200" t="str">
        <f aca="false">IF($A387="","",VLOOKUP($A386,Table,MATCH(J$4,Curves,0)))</f>
        <v/>
      </c>
      <c r="K386" s="201" t="str">
        <f aca="false">IF(A387="","",J386)</f>
        <v/>
      </c>
      <c r="L386" s="200" t="str">
        <f aca="false">IF($A387="","",VLOOKUP($A386,Table,MATCH(L$4,Curves,0)))</f>
        <v/>
      </c>
      <c r="M386" s="201" t="str">
        <f aca="false">IF(A387="","",L386)</f>
        <v/>
      </c>
      <c r="O386" s="200" t="str">
        <f aca="false">IF(A387="","",L386+J386+G386)</f>
        <v/>
      </c>
      <c r="P386" s="200" t="str">
        <f aca="false">IF(A387="","",M386+K386+H386)</f>
        <v/>
      </c>
      <c r="R386" s="200" t="str">
        <f aca="false">IF($A387="","",VLOOKUP($A386,Table,MATCH(R$4,Curves,0)))</f>
        <v/>
      </c>
      <c r="S386" s="201" t="str">
        <f aca="false">IF(A387="","",R386)</f>
        <v/>
      </c>
      <c r="T386" s="185" t="n">
        <v>0</v>
      </c>
      <c r="U386" s="201" t="str">
        <f aca="false">IF(A387="","",T386)</f>
        <v/>
      </c>
      <c r="V386" s="205" t="str">
        <f aca="false">IF($A387="","",IF(AND(MONTH(A386)&gt;3,MONTH(A386)&lt;11),(T386+R386+G386)*Summary!$T$11/(1-Summary!$T$11),(T386+R386+G386)*Summary!$U$11/(1-Summary!$U$11)))</f>
        <v/>
      </c>
      <c r="W386" s="202" t="str">
        <f aca="false">IF($A387="","",(T386+R386+G386+V386))</f>
        <v/>
      </c>
      <c r="X386" s="202" t="str">
        <f aca="false">IF($A387="","",(U386+S386+H386+V386))</f>
        <v/>
      </c>
      <c r="Y386" s="202"/>
      <c r="Z386" s="185"/>
      <c r="AG386" s="182"/>
      <c r="AH386" s="182"/>
      <c r="AI386" s="182"/>
      <c r="AJ386" s="218"/>
      <c r="AK386" s="218"/>
      <c r="AL386" s="218"/>
      <c r="AM386" s="218"/>
      <c r="AN386" s="218"/>
      <c r="AO386" s="137" t="str">
        <f aca="false">IF(A387="","",A387-A386)</f>
        <v/>
      </c>
      <c r="AP386" s="212" t="str">
        <f aca="false">IF(A387="","",CHOOSE(F$3,A387+24,A386))</f>
        <v/>
      </c>
      <c r="AQ386" s="209" t="str">
        <f aca="false">IF(A387="","",AP386-$E$1)</f>
        <v/>
      </c>
      <c r="AR386" s="185" t="n">
        <f aca="false">'ANR OK vs ML7'!AR386</f>
        <v>0.1</v>
      </c>
      <c r="AS386" s="213" t="str">
        <f aca="false">IF(A387="","",1/(1+CHOOSE(F$3,(AR387+($I$3/10000))/2,(AR386+($I$3/10000))/2))^(2*AQ386/365.25))</f>
        <v/>
      </c>
      <c r="AT386" s="137" t="str">
        <f aca="false">IF(A387="","",IF(AND(mthbeg&lt;=A386,mthend&gt;=A386),1,0))</f>
        <v/>
      </c>
      <c r="AU386" s="137" t="str">
        <f aca="false">IF(A387="","",AO386*AT386)</f>
        <v/>
      </c>
      <c r="AW386" s="195" t="str">
        <f aca="false">IF($A387="","",AL386*$E386)</f>
        <v/>
      </c>
      <c r="AX386" s="195" t="str">
        <f aca="false">IF($A387="","",AM386*$E386)</f>
        <v/>
      </c>
      <c r="AY386" s="195" t="str">
        <f aca="false">IF($A387="","",AN386*$E386)</f>
        <v/>
      </c>
      <c r="BA386" s="195" t="str">
        <f aca="false">IF($A387="","",F386*Summary!$Q$11)</f>
        <v/>
      </c>
    </row>
    <row r="387" customFormat="false" ht="12.75" hidden="false" customHeight="false" outlineLevel="0" collapsed="false">
      <c r="A387" s="196" t="str">
        <f aca="false">IF(A386&lt;mthend,EDATE(A386,1),"")</f>
        <v/>
      </c>
      <c r="B387" s="197" t="str">
        <f aca="false">IF(A387&lt;mthend,B386,"")</f>
        <v/>
      </c>
      <c r="D387" s="197" t="str">
        <f aca="false">IF(A388&lt;&gt;"",B387+C387,"")</f>
        <v/>
      </c>
      <c r="E387" s="199" t="str">
        <f aca="false">IF(A388="","",IF(AND(AT387=1,$H$3=1),D387*AO387,IF($H$3=2,D387,"N/A")))</f>
        <v/>
      </c>
      <c r="F387" s="199" t="str">
        <f aca="false">IF(A388="","",E387*AS387)</f>
        <v/>
      </c>
      <c r="G387" s="200" t="str">
        <f aca="false">IF($A388="","",VLOOKUP($A387,Table,MATCH(G$4,Curves,0)))</f>
        <v/>
      </c>
      <c r="H387" s="201" t="str">
        <f aca="false">IF(A388="","",G387)</f>
        <v/>
      </c>
      <c r="J387" s="200" t="str">
        <f aca="false">IF($A388="","",VLOOKUP($A387,Table,MATCH(J$4,Curves,0)))</f>
        <v/>
      </c>
      <c r="K387" s="201" t="str">
        <f aca="false">IF(A388="","",J387)</f>
        <v/>
      </c>
      <c r="L387" s="200" t="str">
        <f aca="false">IF($A388="","",VLOOKUP($A387,Table,MATCH(L$4,Curves,0)))</f>
        <v/>
      </c>
      <c r="M387" s="201" t="str">
        <f aca="false">IF(A388="","",L387)</f>
        <v/>
      </c>
      <c r="O387" s="200" t="str">
        <f aca="false">IF(A388="","",L387+J387+G387)</f>
        <v/>
      </c>
      <c r="P387" s="200" t="str">
        <f aca="false">IF(A388="","",M387+K387+H387)</f>
        <v/>
      </c>
      <c r="R387" s="200" t="str">
        <f aca="false">IF($A388="","",VLOOKUP($A387,Table,MATCH(R$4,Curves,0)))</f>
        <v/>
      </c>
      <c r="S387" s="201" t="str">
        <f aca="false">IF(A388="","",R387)</f>
        <v/>
      </c>
      <c r="T387" s="185" t="n">
        <v>0</v>
      </c>
      <c r="U387" s="201" t="str">
        <f aca="false">IF(A388="","",T387)</f>
        <v/>
      </c>
      <c r="V387" s="205" t="str">
        <f aca="false">IF($A388="","",IF(AND(MONTH(A387)&gt;3,MONTH(A387)&lt;11),(T387+R387+G387)*Summary!$T$11/(1-Summary!$T$11),(T387+R387+G387)*Summary!$U$11/(1-Summary!$U$11)))</f>
        <v/>
      </c>
      <c r="W387" s="202" t="str">
        <f aca="false">IF($A388="","",(T387+R387+G387+V387))</f>
        <v/>
      </c>
      <c r="X387" s="202" t="str">
        <f aca="false">IF($A388="","",(U387+S387+H387+V387))</f>
        <v/>
      </c>
      <c r="Y387" s="202"/>
      <c r="Z387" s="185"/>
      <c r="AG387" s="182"/>
      <c r="AH387" s="182"/>
      <c r="AI387" s="182"/>
      <c r="AJ387" s="218"/>
      <c r="AK387" s="218"/>
      <c r="AL387" s="218"/>
      <c r="AM387" s="218"/>
      <c r="AN387" s="218"/>
      <c r="AO387" s="137" t="str">
        <f aca="false">IF(A388="","",A388-A387)</f>
        <v/>
      </c>
      <c r="AP387" s="212" t="str">
        <f aca="false">IF(A388="","",CHOOSE(F$3,A388+24,A387))</f>
        <v/>
      </c>
      <c r="AQ387" s="209" t="str">
        <f aca="false">IF(A388="","",AP387-$E$1)</f>
        <v/>
      </c>
      <c r="AR387" s="185" t="n">
        <f aca="false">'ANR OK vs ML7'!AR387</f>
        <v>0.1</v>
      </c>
      <c r="AS387" s="213" t="str">
        <f aca="false">IF(A388="","",1/(1+CHOOSE(F$3,(AR388+($I$3/10000))/2,(AR387+($I$3/10000))/2))^(2*AQ387/365.25))</f>
        <v/>
      </c>
      <c r="AT387" s="137" t="str">
        <f aca="false">IF(A388="","",IF(AND(mthbeg&lt;=A387,mthend&gt;=A387),1,0))</f>
        <v/>
      </c>
      <c r="AU387" s="137" t="str">
        <f aca="false">IF(A388="","",AO387*AT387)</f>
        <v/>
      </c>
      <c r="AW387" s="195" t="str">
        <f aca="false">IF($A388="","",AL387*$E387)</f>
        <v/>
      </c>
      <c r="AX387" s="195" t="str">
        <f aca="false">IF($A388="","",AM387*$E387)</f>
        <v/>
      </c>
      <c r="AY387" s="195" t="str">
        <f aca="false">IF($A388="","",AN387*$E387)</f>
        <v/>
      </c>
      <c r="BA387" s="195" t="str">
        <f aca="false">IF($A388="","",F387*Summary!$Q$11)</f>
        <v/>
      </c>
    </row>
    <row r="388" customFormat="false" ht="12.75" hidden="false" customHeight="false" outlineLevel="0" collapsed="false">
      <c r="A388" s="196" t="str">
        <f aca="false">IF(A387&lt;mthend,EDATE(A387,1),"")</f>
        <v/>
      </c>
      <c r="B388" s="197" t="str">
        <f aca="false">IF(A388&lt;mthend,B387,"")</f>
        <v/>
      </c>
      <c r="D388" s="197" t="str">
        <f aca="false">IF(A389&lt;&gt;"",B388+C388,"")</f>
        <v/>
      </c>
      <c r="E388" s="199" t="str">
        <f aca="false">IF(A389="","",IF(AND(AT388=1,$H$3=1),D388*AO388,IF($H$3=2,D388,"N/A")))</f>
        <v/>
      </c>
      <c r="F388" s="199" t="str">
        <f aca="false">IF(A389="","",E388*AS388)</f>
        <v/>
      </c>
      <c r="G388" s="200" t="str">
        <f aca="false">IF($A389="","",VLOOKUP($A388,Table,MATCH(G$4,Curves,0)))</f>
        <v/>
      </c>
      <c r="H388" s="201" t="str">
        <f aca="false">IF(A389="","",G388)</f>
        <v/>
      </c>
      <c r="J388" s="200" t="str">
        <f aca="false">IF($A389="","",VLOOKUP($A388,Table,MATCH(J$4,Curves,0)))</f>
        <v/>
      </c>
      <c r="K388" s="201" t="str">
        <f aca="false">IF(A389="","",J388)</f>
        <v/>
      </c>
      <c r="L388" s="200" t="str">
        <f aca="false">IF($A389="","",VLOOKUP($A388,Table,MATCH(L$4,Curves,0)))</f>
        <v/>
      </c>
      <c r="M388" s="201" t="str">
        <f aca="false">IF(A389="","",L388)</f>
        <v/>
      </c>
      <c r="O388" s="200" t="str">
        <f aca="false">IF(A389="","",L388+J388+G388)</f>
        <v/>
      </c>
      <c r="P388" s="200" t="str">
        <f aca="false">IF(A389="","",M388+K388+H388)</f>
        <v/>
      </c>
      <c r="R388" s="200" t="str">
        <f aca="false">IF($A389="","",VLOOKUP($A388,Table,MATCH(R$4,Curves,0)))</f>
        <v/>
      </c>
      <c r="S388" s="201" t="str">
        <f aca="false">IF(A389="","",R388)</f>
        <v/>
      </c>
      <c r="T388" s="185" t="n">
        <v>0</v>
      </c>
      <c r="U388" s="201" t="str">
        <f aca="false">IF(A389="","",T388)</f>
        <v/>
      </c>
      <c r="V388" s="205" t="str">
        <f aca="false">IF($A389="","",IF(AND(MONTH(A388)&gt;3,MONTH(A388)&lt;11),(T388+R388+G388)*Summary!$T$11/(1-Summary!$T$11),(T388+R388+G388)*Summary!$U$11/(1-Summary!$U$11)))</f>
        <v/>
      </c>
      <c r="W388" s="202" t="str">
        <f aca="false">IF($A389="","",(T388+R388+G388+V388))</f>
        <v/>
      </c>
      <c r="X388" s="202" t="str">
        <f aca="false">IF($A389="","",(U388+S388+H388+V388))</f>
        <v/>
      </c>
      <c r="Y388" s="202"/>
      <c r="Z388" s="185"/>
      <c r="AG388" s="182"/>
      <c r="AH388" s="182"/>
      <c r="AI388" s="182"/>
      <c r="AJ388" s="218"/>
      <c r="AK388" s="218"/>
      <c r="AL388" s="218"/>
      <c r="AM388" s="218"/>
      <c r="AN388" s="218"/>
      <c r="AO388" s="137" t="str">
        <f aca="false">IF(A389="","",A389-A388)</f>
        <v/>
      </c>
      <c r="AP388" s="212" t="str">
        <f aca="false">IF(A389="","",CHOOSE(F$3,A389+24,A388))</f>
        <v/>
      </c>
      <c r="AQ388" s="209" t="str">
        <f aca="false">IF(A389="","",AP388-$E$1)</f>
        <v/>
      </c>
      <c r="AR388" s="185" t="n">
        <f aca="false">'ANR OK vs ML7'!AR388</f>
        <v>0.1</v>
      </c>
      <c r="AS388" s="213" t="str">
        <f aca="false">IF(A389="","",1/(1+CHOOSE(F$3,(AR389+($I$3/10000))/2,(AR388+($I$3/10000))/2))^(2*AQ388/365.25))</f>
        <v/>
      </c>
      <c r="AT388" s="137" t="str">
        <f aca="false">IF(A389="","",IF(AND(mthbeg&lt;=A388,mthend&gt;=A388),1,0))</f>
        <v/>
      </c>
      <c r="AU388" s="137" t="str">
        <f aca="false">IF(A389="","",AO388*AT388)</f>
        <v/>
      </c>
      <c r="AW388" s="195" t="str">
        <f aca="false">IF($A389="","",AL388*$E388)</f>
        <v/>
      </c>
      <c r="AX388" s="195" t="str">
        <f aca="false">IF($A389="","",AM388*$E388)</f>
        <v/>
      </c>
      <c r="AY388" s="195" t="str">
        <f aca="false">IF($A389="","",AN388*$E388)</f>
        <v/>
      </c>
      <c r="BA388" s="195" t="str">
        <f aca="false">IF($A389="","",F388*Summary!$Q$11)</f>
        <v/>
      </c>
    </row>
    <row r="389" customFormat="false" ht="12.75" hidden="false" customHeight="false" outlineLevel="0" collapsed="false">
      <c r="A389" s="196" t="str">
        <f aca="false">IF(A388&lt;mthend,EDATE(A388,1),"")</f>
        <v/>
      </c>
      <c r="B389" s="197" t="str">
        <f aca="false">IF(A389&lt;mthend,B388,"")</f>
        <v/>
      </c>
      <c r="D389" s="197" t="str">
        <f aca="false">IF(A390&lt;&gt;"",B389+C389,"")</f>
        <v/>
      </c>
      <c r="E389" s="199" t="str">
        <f aca="false">IF(A390="","",IF(AND(AT389=1,$H$3=1),D389*AO389,IF($H$3=2,D389,"N/A")))</f>
        <v/>
      </c>
      <c r="F389" s="199" t="str">
        <f aca="false">IF(A390="","",E389*AS389)</f>
        <v/>
      </c>
      <c r="G389" s="200" t="str">
        <f aca="false">IF($A390="","",VLOOKUP($A389,Table,MATCH(G$4,Curves,0)))</f>
        <v/>
      </c>
      <c r="H389" s="201" t="str">
        <f aca="false">IF(A390="","",G389)</f>
        <v/>
      </c>
      <c r="J389" s="200" t="str">
        <f aca="false">IF($A390="","",VLOOKUP($A389,Table,MATCH(J$4,Curves,0)))</f>
        <v/>
      </c>
      <c r="K389" s="201" t="str">
        <f aca="false">IF(A390="","",J389)</f>
        <v/>
      </c>
      <c r="L389" s="200" t="str">
        <f aca="false">IF($A390="","",VLOOKUP($A389,Table,MATCH(L$4,Curves,0)))</f>
        <v/>
      </c>
      <c r="M389" s="201" t="str">
        <f aca="false">IF(A390="","",L389)</f>
        <v/>
      </c>
      <c r="O389" s="200" t="str">
        <f aca="false">IF(A390="","",L389+J389+G389)</f>
        <v/>
      </c>
      <c r="P389" s="200" t="str">
        <f aca="false">IF(A390="","",M389+K389+H389)</f>
        <v/>
      </c>
      <c r="R389" s="200" t="str">
        <f aca="false">IF($A390="","",VLOOKUP($A389,Table,MATCH(R$4,Curves,0)))</f>
        <v/>
      </c>
      <c r="S389" s="201" t="str">
        <f aca="false">IF(A390="","",R389)</f>
        <v/>
      </c>
      <c r="T389" s="185" t="n">
        <v>0</v>
      </c>
      <c r="U389" s="201" t="str">
        <f aca="false">IF(A390="","",T389)</f>
        <v/>
      </c>
      <c r="V389" s="205" t="str">
        <f aca="false">IF($A390="","",IF(AND(MONTH(A389)&gt;3,MONTH(A389)&lt;11),(T389+R389+G389)*Summary!$T$11/(1-Summary!$T$11),(T389+R389+G389)*Summary!$U$11/(1-Summary!$U$11)))</f>
        <v/>
      </c>
      <c r="W389" s="202" t="str">
        <f aca="false">IF($A390="","",(T389+R389+G389+V389))</f>
        <v/>
      </c>
      <c r="X389" s="202" t="str">
        <f aca="false">IF($A390="","",(U389+S389+H389+V389))</f>
        <v/>
      </c>
      <c r="Y389" s="202"/>
      <c r="Z389" s="185"/>
      <c r="AG389" s="182"/>
      <c r="AH389" s="182"/>
      <c r="AI389" s="182"/>
      <c r="AJ389" s="218"/>
      <c r="AK389" s="218"/>
      <c r="AL389" s="218"/>
      <c r="AM389" s="218"/>
      <c r="AN389" s="218"/>
      <c r="AO389" s="137" t="str">
        <f aca="false">IF(A390="","",A390-A389)</f>
        <v/>
      </c>
      <c r="AP389" s="212" t="str">
        <f aca="false">IF(A390="","",CHOOSE(F$3,A390+24,A389))</f>
        <v/>
      </c>
      <c r="AQ389" s="209" t="str">
        <f aca="false">IF(A390="","",AP389-$E$1)</f>
        <v/>
      </c>
      <c r="AR389" s="185" t="n">
        <f aca="false">'ANR OK vs ML7'!AR389</f>
        <v>0.1</v>
      </c>
      <c r="AS389" s="213" t="str">
        <f aca="false">IF(A390="","",1/(1+CHOOSE(F$3,(AR390+($I$3/10000))/2,(AR389+($I$3/10000))/2))^(2*AQ389/365.25))</f>
        <v/>
      </c>
      <c r="AT389" s="137" t="str">
        <f aca="false">IF(A390="","",IF(AND(mthbeg&lt;=A389,mthend&gt;=A389),1,0))</f>
        <v/>
      </c>
      <c r="AU389" s="137" t="str">
        <f aca="false">IF(A390="","",AO389*AT389)</f>
        <v/>
      </c>
      <c r="AW389" s="195" t="str">
        <f aca="false">IF($A390="","",AL389*$E389)</f>
        <v/>
      </c>
      <c r="AX389" s="195" t="str">
        <f aca="false">IF($A390="","",AM389*$E389)</f>
        <v/>
      </c>
      <c r="AY389" s="195" t="str">
        <f aca="false">IF($A390="","",AN389*$E389)</f>
        <v/>
      </c>
      <c r="BA389" s="195" t="str">
        <f aca="false">IF($A390="","",F389*Summary!$Q$11)</f>
        <v/>
      </c>
    </row>
    <row r="390" customFormat="false" ht="12.75" hidden="false" customHeight="false" outlineLevel="0" collapsed="false">
      <c r="A390" s="196" t="str">
        <f aca="false">IF(A389&lt;mthend,EDATE(A389,1),"")</f>
        <v/>
      </c>
      <c r="B390" s="197" t="str">
        <f aca="false">IF(A390&lt;mthend,B389,"")</f>
        <v/>
      </c>
      <c r="D390" s="197" t="str">
        <f aca="false">IF(A391&lt;&gt;"",B390+C390,"")</f>
        <v/>
      </c>
      <c r="E390" s="199" t="str">
        <f aca="false">IF(A391="","",IF(AND(AT390=1,$H$3=1),D390*AO390,IF($H$3=2,D390,"N/A")))</f>
        <v/>
      </c>
      <c r="F390" s="199" t="str">
        <f aca="false">IF(A391="","",E390*AS390)</f>
        <v/>
      </c>
      <c r="G390" s="200" t="str">
        <f aca="false">IF($A391="","",VLOOKUP($A390,Table,MATCH(G$4,Curves,0)))</f>
        <v/>
      </c>
      <c r="H390" s="201" t="str">
        <f aca="false">IF(A391="","",G390)</f>
        <v/>
      </c>
      <c r="J390" s="200" t="str">
        <f aca="false">IF($A391="","",VLOOKUP($A390,Table,MATCH(J$4,Curves,0)))</f>
        <v/>
      </c>
      <c r="K390" s="201" t="str">
        <f aca="false">IF(A391="","",J390)</f>
        <v/>
      </c>
      <c r="L390" s="200" t="str">
        <f aca="false">IF($A391="","",VLOOKUP($A390,Table,MATCH(L$4,Curves,0)))</f>
        <v/>
      </c>
      <c r="M390" s="201" t="str">
        <f aca="false">IF(A391="","",L390)</f>
        <v/>
      </c>
      <c r="O390" s="200" t="str">
        <f aca="false">IF(A391="","",L390+J390+G390)</f>
        <v/>
      </c>
      <c r="P390" s="200" t="str">
        <f aca="false">IF(A391="","",M390+K390+H390)</f>
        <v/>
      </c>
      <c r="R390" s="200" t="str">
        <f aca="false">IF($A391="","",VLOOKUP($A390,Table,MATCH(R$4,Curves,0)))</f>
        <v/>
      </c>
      <c r="S390" s="201" t="str">
        <f aca="false">IF(A391="","",R390)</f>
        <v/>
      </c>
      <c r="T390" s="185" t="n">
        <v>0</v>
      </c>
      <c r="U390" s="201" t="str">
        <f aca="false">IF(A391="","",T390)</f>
        <v/>
      </c>
      <c r="V390" s="205" t="str">
        <f aca="false">IF($A391="","",IF(AND(MONTH(A390)&gt;3,MONTH(A390)&lt;11),(T390+R390+G390)*Summary!$T$11/(1-Summary!$T$11),(T390+R390+G390)*Summary!$U$11/(1-Summary!$U$11)))</f>
        <v/>
      </c>
      <c r="W390" s="202" t="str">
        <f aca="false">IF($A391="","",(T390+R390+G390+V390))</f>
        <v/>
      </c>
      <c r="X390" s="202" t="str">
        <f aca="false">IF($A391="","",(U390+S390+H390+V390))</f>
        <v/>
      </c>
      <c r="Y390" s="202"/>
      <c r="Z390" s="185"/>
      <c r="AG390" s="182"/>
      <c r="AH390" s="182"/>
      <c r="AI390" s="182"/>
      <c r="AJ390" s="218"/>
      <c r="AK390" s="218"/>
      <c r="AL390" s="218"/>
      <c r="AM390" s="218"/>
      <c r="AN390" s="218"/>
      <c r="AO390" s="137" t="str">
        <f aca="false">IF(A391="","",A391-A390)</f>
        <v/>
      </c>
      <c r="AP390" s="212" t="str">
        <f aca="false">IF(A391="","",CHOOSE(F$3,A391+24,A390))</f>
        <v/>
      </c>
      <c r="AQ390" s="209" t="str">
        <f aca="false">IF(A391="","",AP390-$E$1)</f>
        <v/>
      </c>
      <c r="AR390" s="185" t="n">
        <f aca="false">'ANR OK vs ML7'!AR390</f>
        <v>0.1</v>
      </c>
      <c r="AS390" s="213" t="str">
        <f aca="false">IF(A391="","",1/(1+CHOOSE(F$3,(AR391+($I$3/10000))/2,(AR390+($I$3/10000))/2))^(2*AQ390/365.25))</f>
        <v/>
      </c>
      <c r="AT390" s="137" t="str">
        <f aca="false">IF(A391="","",IF(AND(mthbeg&lt;=A390,mthend&gt;=A390),1,0))</f>
        <v/>
      </c>
      <c r="AU390" s="137" t="str">
        <f aca="false">IF(A391="","",AO390*AT390)</f>
        <v/>
      </c>
      <c r="AW390" s="195" t="str">
        <f aca="false">IF($A391="","",AL390*$E390)</f>
        <v/>
      </c>
      <c r="AX390" s="195" t="str">
        <f aca="false">IF($A391="","",AM390*$E390)</f>
        <v/>
      </c>
      <c r="AY390" s="195" t="str">
        <f aca="false">IF($A391="","",AN390*$E390)</f>
        <v/>
      </c>
      <c r="BA390" s="195" t="str">
        <f aca="false">IF($A391="","",F390*Summary!$Q$11)</f>
        <v/>
      </c>
    </row>
    <row r="391" customFormat="false" ht="12.75" hidden="false" customHeight="false" outlineLevel="0" collapsed="false">
      <c r="A391" s="196" t="str">
        <f aca="false">IF(A390&lt;mthend,EDATE(A390,1),"")</f>
        <v/>
      </c>
      <c r="B391" s="197" t="str">
        <f aca="false">IF(A391&lt;mthend,B390,"")</f>
        <v/>
      </c>
      <c r="D391" s="197" t="str">
        <f aca="false">IF(A392&lt;&gt;"",B391+C391,"")</f>
        <v/>
      </c>
      <c r="E391" s="199" t="str">
        <f aca="false">IF(A392="","",IF(AND(AT391=1,$H$3=1),D391*AO391,IF($H$3=2,D391,"N/A")))</f>
        <v/>
      </c>
      <c r="F391" s="199" t="str">
        <f aca="false">IF(A392="","",E391*AS391)</f>
        <v/>
      </c>
      <c r="G391" s="200" t="str">
        <f aca="false">IF($A392="","",VLOOKUP($A391,Table,MATCH(G$4,Curves,0)))</f>
        <v/>
      </c>
      <c r="H391" s="201" t="str">
        <f aca="false">IF(A392="","",G391)</f>
        <v/>
      </c>
      <c r="J391" s="200" t="str">
        <f aca="false">IF($A392="","",VLOOKUP($A391,Table,MATCH(J$4,Curves,0)))</f>
        <v/>
      </c>
      <c r="K391" s="201" t="str">
        <f aca="false">IF(A392="","",J391)</f>
        <v/>
      </c>
      <c r="L391" s="200" t="str">
        <f aca="false">IF($A392="","",VLOOKUP($A391,Table,MATCH(L$4,Curves,0)))</f>
        <v/>
      </c>
      <c r="M391" s="201" t="str">
        <f aca="false">IF(A392="","",L391)</f>
        <v/>
      </c>
      <c r="O391" s="200" t="str">
        <f aca="false">IF(A392="","",L391+J391+G391)</f>
        <v/>
      </c>
      <c r="P391" s="200" t="str">
        <f aca="false">IF(A392="","",M391+K391+H391)</f>
        <v/>
      </c>
      <c r="R391" s="200" t="str">
        <f aca="false">IF($A392="","",VLOOKUP($A391,Table,MATCH(R$4,Curves,0)))</f>
        <v/>
      </c>
      <c r="S391" s="201" t="str">
        <f aca="false">IF(A392="","",R391)</f>
        <v/>
      </c>
      <c r="T391" s="185" t="n">
        <v>0</v>
      </c>
      <c r="U391" s="201" t="str">
        <f aca="false">IF(A392="","",T391)</f>
        <v/>
      </c>
      <c r="V391" s="205" t="str">
        <f aca="false">IF($A392="","",IF(AND(MONTH(A391)&gt;3,MONTH(A391)&lt;11),(T391+R391+G391)*Summary!$T$11/(1-Summary!$T$11),(T391+R391+G391)*Summary!$U$11/(1-Summary!$U$11)))</f>
        <v/>
      </c>
      <c r="W391" s="202" t="str">
        <f aca="false">IF($A392="","",(T391+R391+G391+V391))</f>
        <v/>
      </c>
      <c r="X391" s="202" t="str">
        <f aca="false">IF($A392="","",(U391+S391+H391+V391))</f>
        <v/>
      </c>
      <c r="Y391" s="202"/>
      <c r="Z391" s="185"/>
      <c r="AG391" s="182"/>
      <c r="AH391" s="182"/>
      <c r="AI391" s="182"/>
      <c r="AJ391" s="218"/>
      <c r="AK391" s="218"/>
      <c r="AL391" s="218"/>
      <c r="AM391" s="218"/>
      <c r="AN391" s="218"/>
      <c r="AO391" s="137" t="str">
        <f aca="false">IF(A392="","",A392-A391)</f>
        <v/>
      </c>
      <c r="AP391" s="212" t="str">
        <f aca="false">IF(A392="","",CHOOSE(F$3,A392+24,A391))</f>
        <v/>
      </c>
      <c r="AQ391" s="209" t="str">
        <f aca="false">IF(A392="","",AP391-$E$1)</f>
        <v/>
      </c>
      <c r="AR391" s="185" t="n">
        <f aca="false">'ANR OK vs ML7'!AR391</f>
        <v>0.1</v>
      </c>
      <c r="AS391" s="213" t="str">
        <f aca="false">IF(A392="","",1/(1+CHOOSE(F$3,(AR392+($I$3/10000))/2,(AR391+($I$3/10000))/2))^(2*AQ391/365.25))</f>
        <v/>
      </c>
      <c r="AT391" s="137" t="str">
        <f aca="false">IF(A392="","",IF(AND(mthbeg&lt;=A391,mthend&gt;=A391),1,0))</f>
        <v/>
      </c>
      <c r="AU391" s="137" t="str">
        <f aca="false">IF(A392="","",AO391*AT391)</f>
        <v/>
      </c>
      <c r="AW391" s="195" t="str">
        <f aca="false">IF($A392="","",AL391*$E391)</f>
        <v/>
      </c>
      <c r="AX391" s="195" t="str">
        <f aca="false">IF($A392="","",AM391*$E391)</f>
        <v/>
      </c>
      <c r="AY391" s="195" t="str">
        <f aca="false">IF($A392="","",AN391*$E391)</f>
        <v/>
      </c>
      <c r="BA391" s="195" t="str">
        <f aca="false">IF($A392="","",F391*Summary!$Q$11)</f>
        <v/>
      </c>
    </row>
    <row r="392" customFormat="false" ht="12.75" hidden="false" customHeight="false" outlineLevel="0" collapsed="false">
      <c r="A392" s="196" t="str">
        <f aca="false">IF(A391&lt;mthend,EDATE(A391,1),"")</f>
        <v/>
      </c>
      <c r="B392" s="197" t="str">
        <f aca="false">IF(A392&lt;mthend,B391,"")</f>
        <v/>
      </c>
      <c r="D392" s="197" t="str">
        <f aca="false">IF(A393&lt;&gt;"",B392+C392,"")</f>
        <v/>
      </c>
      <c r="E392" s="199" t="str">
        <f aca="false">IF(A393="","",IF(AND(AT392=1,$H$3=1),D392*AO392,IF($H$3=2,D392,"N/A")))</f>
        <v/>
      </c>
      <c r="F392" s="199" t="str">
        <f aca="false">IF(A393="","",E392*AS392)</f>
        <v/>
      </c>
      <c r="G392" s="200" t="str">
        <f aca="false">IF($A393="","",VLOOKUP($A392,Table,MATCH(G$4,Curves,0)))</f>
        <v/>
      </c>
      <c r="H392" s="201" t="str">
        <f aca="false">IF(A393="","",G392)</f>
        <v/>
      </c>
      <c r="J392" s="200" t="str">
        <f aca="false">IF($A393="","",VLOOKUP($A392,Table,MATCH(J$4,Curves,0)))</f>
        <v/>
      </c>
      <c r="K392" s="201" t="str">
        <f aca="false">IF(A393="","",J392)</f>
        <v/>
      </c>
      <c r="L392" s="200" t="str">
        <f aca="false">IF($A393="","",VLOOKUP($A392,Table,MATCH(L$4,Curves,0)))</f>
        <v/>
      </c>
      <c r="M392" s="201" t="str">
        <f aca="false">IF(A393="","",L392)</f>
        <v/>
      </c>
      <c r="O392" s="200" t="str">
        <f aca="false">IF(A393="","",L392+J392+G392)</f>
        <v/>
      </c>
      <c r="P392" s="200" t="str">
        <f aca="false">IF(A393="","",M392+K392+H392)</f>
        <v/>
      </c>
      <c r="R392" s="200" t="str">
        <f aca="false">IF($A393="","",VLOOKUP($A392,Table,MATCH(R$4,Curves,0)))</f>
        <v/>
      </c>
      <c r="S392" s="201" t="str">
        <f aca="false">IF(A393="","",R392)</f>
        <v/>
      </c>
      <c r="T392" s="185" t="n">
        <v>0</v>
      </c>
      <c r="U392" s="201" t="str">
        <f aca="false">IF(A393="","",T392)</f>
        <v/>
      </c>
      <c r="V392" s="205" t="str">
        <f aca="false">IF($A393="","",IF(AND(MONTH(A392)&gt;3,MONTH(A392)&lt;11),(T392+R392+G392)*Summary!$T$11/(1-Summary!$T$11),(T392+R392+G392)*Summary!$U$11/(1-Summary!$U$11)))</f>
        <v/>
      </c>
      <c r="W392" s="202" t="str">
        <f aca="false">IF($A393="","",(T392+R392+G392+V392))</f>
        <v/>
      </c>
      <c r="X392" s="202" t="str">
        <f aca="false">IF($A393="","",(U392+S392+H392+V392))</f>
        <v/>
      </c>
      <c r="Y392" s="202"/>
      <c r="Z392" s="185"/>
      <c r="AG392" s="182"/>
      <c r="AH392" s="182"/>
      <c r="AI392" s="182"/>
      <c r="AJ392" s="218"/>
      <c r="AK392" s="218"/>
      <c r="AL392" s="218"/>
      <c r="AM392" s="218"/>
      <c r="AN392" s="218"/>
      <c r="AO392" s="137" t="str">
        <f aca="false">IF(A393="","",A393-A392)</f>
        <v/>
      </c>
      <c r="AP392" s="212" t="str">
        <f aca="false">IF(A393="","",CHOOSE(F$3,A393+24,A392))</f>
        <v/>
      </c>
      <c r="AQ392" s="209" t="str">
        <f aca="false">IF(A393="","",AP392-$E$1)</f>
        <v/>
      </c>
      <c r="AR392" s="185" t="n">
        <f aca="false">'ANR OK vs ML7'!AR392</f>
        <v>0.1</v>
      </c>
      <c r="AS392" s="213" t="str">
        <f aca="false">IF(A393="","",1/(1+CHOOSE(F$3,(AR393+($I$3/10000))/2,(AR392+($I$3/10000))/2))^(2*AQ392/365.25))</f>
        <v/>
      </c>
      <c r="AT392" s="137" t="str">
        <f aca="false">IF(A393="","",IF(AND(mthbeg&lt;=A392,mthend&gt;=A392),1,0))</f>
        <v/>
      </c>
      <c r="AU392" s="137" t="str">
        <f aca="false">IF(A393="","",AO392*AT392)</f>
        <v/>
      </c>
      <c r="AW392" s="195" t="str">
        <f aca="false">IF($A393="","",AL392*$E392)</f>
        <v/>
      </c>
      <c r="AX392" s="195" t="str">
        <f aca="false">IF($A393="","",AM392*$E392)</f>
        <v/>
      </c>
      <c r="AY392" s="195" t="str">
        <f aca="false">IF($A393="","",AN392*$E392)</f>
        <v/>
      </c>
      <c r="BA392" s="195" t="str">
        <f aca="false">IF($A393="","",F392*Summary!$Q$11)</f>
        <v/>
      </c>
    </row>
    <row r="393" customFormat="false" ht="12.75" hidden="false" customHeight="false" outlineLevel="0" collapsed="false">
      <c r="A393" s="196" t="str">
        <f aca="false">IF(A392&lt;mthend,EDATE(A392,1),"")</f>
        <v/>
      </c>
      <c r="B393" s="197" t="str">
        <f aca="false">IF(A393&lt;mthend,B392,"")</f>
        <v/>
      </c>
      <c r="D393" s="197" t="str">
        <f aca="false">IF(A394&lt;&gt;"",B393+C393,"")</f>
        <v/>
      </c>
      <c r="E393" s="199" t="str">
        <f aca="false">IF(A394="","",IF(AND(AT393=1,$H$3=1),D393*AO393,IF($H$3=2,D393,"N/A")))</f>
        <v/>
      </c>
      <c r="F393" s="199" t="str">
        <f aca="false">IF(A394="","",E393*AS393)</f>
        <v/>
      </c>
      <c r="G393" s="200" t="str">
        <f aca="false">IF($A394="","",VLOOKUP($A393,Table,MATCH(G$4,Curves,0)))</f>
        <v/>
      </c>
      <c r="H393" s="201" t="str">
        <f aca="false">IF(A394="","",G393)</f>
        <v/>
      </c>
      <c r="J393" s="200" t="str">
        <f aca="false">IF($A394="","",VLOOKUP($A393,Table,MATCH(J$4,Curves,0)))</f>
        <v/>
      </c>
      <c r="K393" s="201" t="str">
        <f aca="false">IF(A394="","",J393)</f>
        <v/>
      </c>
      <c r="L393" s="200" t="str">
        <f aca="false">IF($A394="","",VLOOKUP($A393,Table,MATCH(L$4,Curves,0)))</f>
        <v/>
      </c>
      <c r="M393" s="201" t="str">
        <f aca="false">IF(A394="","",L393)</f>
        <v/>
      </c>
      <c r="O393" s="200" t="str">
        <f aca="false">IF(A394="","",L393+J393+G393)</f>
        <v/>
      </c>
      <c r="P393" s="200" t="str">
        <f aca="false">IF(A394="","",M393+K393+H393)</f>
        <v/>
      </c>
      <c r="R393" s="200" t="str">
        <f aca="false">IF($A394="","",VLOOKUP($A393,Table,MATCH(R$4,Curves,0)))</f>
        <v/>
      </c>
      <c r="S393" s="201" t="str">
        <f aca="false">IF(A394="","",R393)</f>
        <v/>
      </c>
      <c r="T393" s="185" t="n">
        <v>0</v>
      </c>
      <c r="U393" s="201" t="str">
        <f aca="false">IF(A394="","",T393)</f>
        <v/>
      </c>
      <c r="V393" s="205" t="str">
        <f aca="false">IF($A394="","",IF(AND(MONTH(A393)&gt;3,MONTH(A393)&lt;11),(T393+R393+G393)*Summary!$T$11/(1-Summary!$T$11),(T393+R393+G393)*Summary!$U$11/(1-Summary!$U$11)))</f>
        <v/>
      </c>
      <c r="W393" s="202" t="str">
        <f aca="false">IF($A394="","",(T393+R393+G393+V393))</f>
        <v/>
      </c>
      <c r="X393" s="202" t="str">
        <f aca="false">IF($A394="","",(U393+S393+H393+V393))</f>
        <v/>
      </c>
      <c r="Y393" s="202"/>
      <c r="Z393" s="185"/>
      <c r="AG393" s="182"/>
      <c r="AH393" s="182"/>
      <c r="AI393" s="182"/>
      <c r="AJ393" s="218"/>
      <c r="AK393" s="218"/>
      <c r="AL393" s="218"/>
      <c r="AM393" s="218"/>
      <c r="AN393" s="218"/>
      <c r="AO393" s="137" t="str">
        <f aca="false">IF(A394="","",A394-A393)</f>
        <v/>
      </c>
      <c r="AP393" s="212" t="str">
        <f aca="false">IF(A394="","",CHOOSE(F$3,A394+24,A393))</f>
        <v/>
      </c>
      <c r="AQ393" s="209" t="str">
        <f aca="false">IF(A394="","",AP393-$E$1)</f>
        <v/>
      </c>
      <c r="AR393" s="185" t="n">
        <f aca="false">'ANR OK vs ML7'!AR393</f>
        <v>0.1</v>
      </c>
      <c r="AS393" s="213" t="str">
        <f aca="false">IF(A394="","",1/(1+CHOOSE(F$3,(AR394+($I$3/10000))/2,(AR393+($I$3/10000))/2))^(2*AQ393/365.25))</f>
        <v/>
      </c>
      <c r="AT393" s="137" t="str">
        <f aca="false">IF(A394="","",IF(AND(mthbeg&lt;=A393,mthend&gt;=A393),1,0))</f>
        <v/>
      </c>
      <c r="AU393" s="137" t="str">
        <f aca="false">IF(A394="","",AO393*AT393)</f>
        <v/>
      </c>
      <c r="AW393" s="195" t="str">
        <f aca="false">IF($A394="","",AL393*$E393)</f>
        <v/>
      </c>
      <c r="AX393" s="195" t="str">
        <f aca="false">IF($A394="","",AM393*$E393)</f>
        <v/>
      </c>
      <c r="AY393" s="195" t="str">
        <f aca="false">IF($A394="","",AN393*$E393)</f>
        <v/>
      </c>
      <c r="BA393" s="195" t="str">
        <f aca="false">IF($A394="","",F393*Summary!$Q$11)</f>
        <v/>
      </c>
    </row>
    <row r="394" customFormat="false" ht="12.75" hidden="false" customHeight="false" outlineLevel="0" collapsed="false">
      <c r="A394" s="196" t="str">
        <f aca="false">IF(A393&lt;mthend,EDATE(A393,1),"")</f>
        <v/>
      </c>
      <c r="B394" s="197" t="str">
        <f aca="false">IF(A394&lt;mthend,B393,"")</f>
        <v/>
      </c>
      <c r="D394" s="197" t="str">
        <f aca="false">IF(A395&lt;&gt;"",B394+C394,"")</f>
        <v/>
      </c>
      <c r="E394" s="199" t="str">
        <f aca="false">IF(A395="","",IF(AND(AT394=1,$H$3=1),D394*AO394,IF($H$3=2,D394,"N/A")))</f>
        <v/>
      </c>
      <c r="F394" s="199" t="str">
        <f aca="false">IF(A395="","",E394*AS394)</f>
        <v/>
      </c>
      <c r="G394" s="200" t="str">
        <f aca="false">IF($A395="","",VLOOKUP($A394,Table,MATCH(G$4,Curves,0)))</f>
        <v/>
      </c>
      <c r="H394" s="201" t="str">
        <f aca="false">IF(A395="","",G394)</f>
        <v/>
      </c>
      <c r="J394" s="200" t="str">
        <f aca="false">IF($A395="","",VLOOKUP($A394,Table,MATCH(J$4,Curves,0)))</f>
        <v/>
      </c>
      <c r="K394" s="201" t="str">
        <f aca="false">IF(A395="","",J394)</f>
        <v/>
      </c>
      <c r="L394" s="200" t="str">
        <f aca="false">IF($A395="","",VLOOKUP($A394,Table,MATCH(L$4,Curves,0)))</f>
        <v/>
      </c>
      <c r="M394" s="201" t="str">
        <f aca="false">IF(A395="","",L394)</f>
        <v/>
      </c>
      <c r="O394" s="200" t="str">
        <f aca="false">IF(A395="","",L394+J394+G394)</f>
        <v/>
      </c>
      <c r="P394" s="200" t="str">
        <f aca="false">IF(A395="","",M394+K394+H394)</f>
        <v/>
      </c>
      <c r="R394" s="200" t="str">
        <f aca="false">IF($A395="","",VLOOKUP($A394,Table,MATCH(R$4,Curves,0)))</f>
        <v/>
      </c>
      <c r="S394" s="201" t="str">
        <f aca="false">IF(A395="","",R394)</f>
        <v/>
      </c>
      <c r="T394" s="185" t="n">
        <v>0</v>
      </c>
      <c r="U394" s="201" t="str">
        <f aca="false">IF(A395="","",T394)</f>
        <v/>
      </c>
      <c r="V394" s="205" t="str">
        <f aca="false">IF($A395="","",IF(AND(MONTH(A394)&gt;3,MONTH(A394)&lt;11),(T394+R394+G394)*Summary!$T$11/(1-Summary!$T$11),(T394+R394+G394)*Summary!$U$11/(1-Summary!$U$11)))</f>
        <v/>
      </c>
      <c r="W394" s="202" t="str">
        <f aca="false">IF($A395="","",(T394+R394+G394+V394))</f>
        <v/>
      </c>
      <c r="X394" s="202" t="str">
        <f aca="false">IF($A395="","",(U394+S394+H394+V394))</f>
        <v/>
      </c>
      <c r="Y394" s="202"/>
      <c r="Z394" s="185"/>
      <c r="AG394" s="182"/>
      <c r="AH394" s="182"/>
      <c r="AI394" s="182"/>
      <c r="AJ394" s="218"/>
      <c r="AK394" s="218"/>
      <c r="AL394" s="218"/>
      <c r="AM394" s="218"/>
      <c r="AN394" s="218"/>
      <c r="AO394" s="137" t="str">
        <f aca="false">IF(A395="","",A395-A394)</f>
        <v/>
      </c>
      <c r="AP394" s="212" t="str">
        <f aca="false">IF(A395="","",CHOOSE(F$3,A395+24,A394))</f>
        <v/>
      </c>
      <c r="AQ394" s="209" t="str">
        <f aca="false">IF(A395="","",AP394-$E$1)</f>
        <v/>
      </c>
      <c r="AR394" s="185" t="n">
        <f aca="false">'ANR OK vs ML7'!AR394</f>
        <v>0.1</v>
      </c>
      <c r="AS394" s="213" t="str">
        <f aca="false">IF(A395="","",1/(1+CHOOSE(F$3,(AR395+($I$3/10000))/2,(AR394+($I$3/10000))/2))^(2*AQ394/365.25))</f>
        <v/>
      </c>
      <c r="AT394" s="137" t="str">
        <f aca="false">IF(A395="","",IF(AND(mthbeg&lt;=A394,mthend&gt;=A394),1,0))</f>
        <v/>
      </c>
      <c r="AU394" s="137" t="str">
        <f aca="false">IF(A395="","",AO394*AT394)</f>
        <v/>
      </c>
      <c r="AW394" s="195" t="str">
        <f aca="false">IF($A395="","",AL394*$E394)</f>
        <v/>
      </c>
      <c r="AX394" s="195" t="str">
        <f aca="false">IF($A395="","",AM394*$E394)</f>
        <v/>
      </c>
      <c r="AY394" s="195" t="str">
        <f aca="false">IF($A395="","",AN394*$E394)</f>
        <v/>
      </c>
      <c r="BA394" s="195" t="str">
        <f aca="false">IF($A395="","",F394*Summary!$Q$11)</f>
        <v/>
      </c>
    </row>
    <row r="395" customFormat="false" ht="12.75" hidden="false" customHeight="false" outlineLevel="0" collapsed="false">
      <c r="A395" s="196" t="str">
        <f aca="false">IF(A394&lt;mthend,EDATE(A394,1),"")</f>
        <v/>
      </c>
      <c r="B395" s="197" t="str">
        <f aca="false">IF(A395&lt;mthend,B394,"")</f>
        <v/>
      </c>
      <c r="D395" s="197" t="str">
        <f aca="false">IF(A396&lt;&gt;"",B395+C395,"")</f>
        <v/>
      </c>
      <c r="E395" s="199" t="str">
        <f aca="false">IF(A396="","",IF(AND(AT395=1,$H$3=1),D395*AO395,IF($H$3=2,D395,"N/A")))</f>
        <v/>
      </c>
      <c r="F395" s="199" t="str">
        <f aca="false">IF(A396="","",E395*AS395)</f>
        <v/>
      </c>
      <c r="G395" s="200" t="str">
        <f aca="false">IF($A396="","",VLOOKUP($A395,Table,MATCH(G$4,Curves,0)))</f>
        <v/>
      </c>
      <c r="H395" s="201" t="str">
        <f aca="false">IF(A396="","",G395)</f>
        <v/>
      </c>
      <c r="J395" s="200" t="str">
        <f aca="false">IF($A396="","",VLOOKUP($A395,Table,MATCH(J$4,Curves,0)))</f>
        <v/>
      </c>
      <c r="K395" s="201" t="str">
        <f aca="false">IF(A396="","",J395)</f>
        <v/>
      </c>
      <c r="L395" s="200" t="str">
        <f aca="false">IF($A396="","",VLOOKUP($A395,Table,MATCH(L$4,Curves,0)))</f>
        <v/>
      </c>
      <c r="M395" s="201" t="str">
        <f aca="false">IF(A396="","",L395)</f>
        <v/>
      </c>
      <c r="O395" s="200" t="str">
        <f aca="false">IF(A396="","",L395+J395+G395)</f>
        <v/>
      </c>
      <c r="P395" s="200" t="str">
        <f aca="false">IF(A396="","",M395+K395+H395)</f>
        <v/>
      </c>
      <c r="R395" s="200" t="str">
        <f aca="false">IF($A396="","",VLOOKUP($A395,Table,MATCH(R$4,Curves,0)))</f>
        <v/>
      </c>
      <c r="S395" s="201" t="str">
        <f aca="false">IF(A396="","",R395)</f>
        <v/>
      </c>
      <c r="T395" s="185" t="n">
        <v>0</v>
      </c>
      <c r="U395" s="201" t="str">
        <f aca="false">IF(A396="","",T395)</f>
        <v/>
      </c>
      <c r="V395" s="205" t="str">
        <f aca="false">IF($A396="","",IF(AND(MONTH(A395)&gt;3,MONTH(A395)&lt;11),(T395+R395+G395)*Summary!$T$11/(1-Summary!$T$11),(T395+R395+G395)*Summary!$U$11/(1-Summary!$U$11)))</f>
        <v/>
      </c>
      <c r="W395" s="202" t="str">
        <f aca="false">IF($A396="","",(T395+R395+G395+V395))</f>
        <v/>
      </c>
      <c r="X395" s="202" t="str">
        <f aca="false">IF($A396="","",(U395+S395+H395+V395))</f>
        <v/>
      </c>
      <c r="Y395" s="202"/>
      <c r="Z395" s="185"/>
      <c r="AG395" s="182"/>
      <c r="AH395" s="182"/>
      <c r="AI395" s="182"/>
      <c r="AJ395" s="218"/>
      <c r="AK395" s="218"/>
      <c r="AL395" s="218"/>
      <c r="AM395" s="218"/>
      <c r="AN395" s="218"/>
      <c r="AO395" s="137" t="str">
        <f aca="false">IF(A396="","",A396-A395)</f>
        <v/>
      </c>
      <c r="AP395" s="212" t="str">
        <f aca="false">IF(A396="","",CHOOSE(F$3,A396+24,A395))</f>
        <v/>
      </c>
      <c r="AQ395" s="209" t="str">
        <f aca="false">IF(A396="","",AP395-$E$1)</f>
        <v/>
      </c>
      <c r="AR395" s="185" t="n">
        <f aca="false">'ANR OK vs ML7'!AR395</f>
        <v>0.1</v>
      </c>
      <c r="AS395" s="213" t="str">
        <f aca="false">IF(A396="","",1/(1+CHOOSE(F$3,(AR396+($I$3/10000))/2,(AR395+($I$3/10000))/2))^(2*AQ395/365.25))</f>
        <v/>
      </c>
      <c r="AT395" s="137" t="str">
        <f aca="false">IF(A396="","",IF(AND(mthbeg&lt;=A395,mthend&gt;=A395),1,0))</f>
        <v/>
      </c>
      <c r="AU395" s="137" t="str">
        <f aca="false">IF(A396="","",AO395*AT395)</f>
        <v/>
      </c>
      <c r="AW395" s="195" t="str">
        <f aca="false">IF($A396="","",AL395*$E395)</f>
        <v/>
      </c>
      <c r="AX395" s="195" t="str">
        <f aca="false">IF($A396="","",AM395*$E395)</f>
        <v/>
      </c>
      <c r="AY395" s="195" t="str">
        <f aca="false">IF($A396="","",AN395*$E395)</f>
        <v/>
      </c>
      <c r="BA395" s="195" t="str">
        <f aca="false">IF($A396="","",F395*Summary!$Q$11)</f>
        <v/>
      </c>
    </row>
    <row r="396" customFormat="false" ht="12.75" hidden="false" customHeight="false" outlineLevel="0" collapsed="false">
      <c r="A396" s="196" t="str">
        <f aca="false">IF(A395&lt;mthend,EDATE(A395,1),"")</f>
        <v/>
      </c>
      <c r="B396" s="197" t="str">
        <f aca="false">IF(A396&lt;mthend,B395,"")</f>
        <v/>
      </c>
      <c r="D396" s="197" t="str">
        <f aca="false">IF(A397&lt;&gt;"",B396+C396,"")</f>
        <v/>
      </c>
      <c r="E396" s="199" t="str">
        <f aca="false">IF(A397="","",IF(AND(AT396=1,$H$3=1),D396*AO396,IF($H$3=2,D396,"N/A")))</f>
        <v/>
      </c>
      <c r="F396" s="199" t="str">
        <f aca="false">IF(A397="","",E396*AS396)</f>
        <v/>
      </c>
      <c r="G396" s="200" t="str">
        <f aca="false">IF($A397="","",VLOOKUP($A396,Table,MATCH(G$4,Curves,0)))</f>
        <v/>
      </c>
      <c r="H396" s="201" t="str">
        <f aca="false">IF(A397="","",G396)</f>
        <v/>
      </c>
      <c r="J396" s="200" t="str">
        <f aca="false">IF($A397="","",VLOOKUP($A396,Table,MATCH(J$4,Curves,0)))</f>
        <v/>
      </c>
      <c r="K396" s="201" t="str">
        <f aca="false">IF(A397="","",J396)</f>
        <v/>
      </c>
      <c r="L396" s="200" t="str">
        <f aca="false">IF($A397="","",VLOOKUP($A396,Table,MATCH(L$4,Curves,0)))</f>
        <v/>
      </c>
      <c r="M396" s="201" t="str">
        <f aca="false">IF(A397="","",L396)</f>
        <v/>
      </c>
      <c r="O396" s="200" t="str">
        <f aca="false">IF(A397="","",L396+J396+G396)</f>
        <v/>
      </c>
      <c r="P396" s="200" t="str">
        <f aca="false">IF(A397="","",M396+K396+H396)</f>
        <v/>
      </c>
      <c r="R396" s="200" t="str">
        <f aca="false">IF($A397="","",VLOOKUP($A396,Table,MATCH(R$4,Curves,0)))</f>
        <v/>
      </c>
      <c r="S396" s="201" t="str">
        <f aca="false">IF(A397="","",R396)</f>
        <v/>
      </c>
      <c r="T396" s="185" t="n">
        <v>0</v>
      </c>
      <c r="U396" s="201" t="str">
        <f aca="false">IF(A397="","",T396)</f>
        <v/>
      </c>
      <c r="V396" s="205" t="str">
        <f aca="false">IF($A397="","",IF(AND(MONTH(A396)&gt;3,MONTH(A396)&lt;11),(T396+R396+G396)*Summary!$T$11/(1-Summary!$T$11),(T396+R396+G396)*Summary!$U$11/(1-Summary!$U$11)))</f>
        <v/>
      </c>
      <c r="W396" s="202" t="str">
        <f aca="false">IF($A397="","",(T396+R396+G396+V396))</f>
        <v/>
      </c>
      <c r="X396" s="202" t="str">
        <f aca="false">IF($A397="","",(U396+S396+H396+V396))</f>
        <v/>
      </c>
      <c r="Y396" s="202"/>
      <c r="Z396" s="185"/>
      <c r="AG396" s="182"/>
      <c r="AH396" s="182"/>
      <c r="AI396" s="182"/>
      <c r="AJ396" s="218"/>
      <c r="AK396" s="218"/>
      <c r="AL396" s="218"/>
      <c r="AM396" s="218"/>
      <c r="AN396" s="218"/>
      <c r="AO396" s="137" t="str">
        <f aca="false">IF(A397="","",A397-A396)</f>
        <v/>
      </c>
      <c r="AP396" s="212" t="str">
        <f aca="false">IF(A397="","",CHOOSE(F$3,A397+24,A396))</f>
        <v/>
      </c>
      <c r="AQ396" s="209" t="str">
        <f aca="false">IF(A397="","",AP396-$E$1)</f>
        <v/>
      </c>
      <c r="AR396" s="185" t="n">
        <f aca="false">'ANR OK vs ML7'!AR396</f>
        <v>0.1</v>
      </c>
      <c r="AS396" s="213" t="str">
        <f aca="false">IF(A397="","",1/(1+CHOOSE(F$3,(AR397+($I$3/10000))/2,(AR396+($I$3/10000))/2))^(2*AQ396/365.25))</f>
        <v/>
      </c>
      <c r="AT396" s="137" t="str">
        <f aca="false">IF(A397="","",IF(AND(mthbeg&lt;=A396,mthend&gt;=A396),1,0))</f>
        <v/>
      </c>
      <c r="AU396" s="137" t="str">
        <f aca="false">IF(A397="","",AO396*AT396)</f>
        <v/>
      </c>
      <c r="AW396" s="195" t="str">
        <f aca="false">IF($A397="","",AL396*$E396)</f>
        <v/>
      </c>
      <c r="AX396" s="195" t="str">
        <f aca="false">IF($A397="","",AM396*$E396)</f>
        <v/>
      </c>
      <c r="AY396" s="195" t="str">
        <f aca="false">IF($A397="","",AN396*$E396)</f>
        <v/>
      </c>
      <c r="BA396" s="195" t="str">
        <f aca="false">IF($A397="","",F396*Summary!$Q$11)</f>
        <v/>
      </c>
    </row>
    <row r="397" customFormat="false" ht="12.75" hidden="false" customHeight="false" outlineLevel="0" collapsed="false">
      <c r="A397" s="196" t="str">
        <f aca="false">IF(A396&lt;mthend,EDATE(A396,1),"")</f>
        <v/>
      </c>
      <c r="B397" s="197" t="str">
        <f aca="false">IF(A397&lt;mthend,B396,"")</f>
        <v/>
      </c>
      <c r="D397" s="197" t="str">
        <f aca="false">IF(A398&lt;&gt;"",B397+C397,"")</f>
        <v/>
      </c>
      <c r="E397" s="199" t="str">
        <f aca="false">IF(A398="","",IF(AND(AT397=1,$H$3=1),D397*AO397,IF($H$3=2,D397,"N/A")))</f>
        <v/>
      </c>
      <c r="F397" s="199" t="str">
        <f aca="false">IF(A398="","",E397*AS397)</f>
        <v/>
      </c>
      <c r="G397" s="200" t="str">
        <f aca="false">IF($A398="","",VLOOKUP($A397,Table,MATCH(G$4,Curves,0)))</f>
        <v/>
      </c>
      <c r="H397" s="201" t="str">
        <f aca="false">IF(A398="","",G397)</f>
        <v/>
      </c>
      <c r="J397" s="200" t="str">
        <f aca="false">IF($A398="","",VLOOKUP($A397,Table,MATCH(J$4,Curves,0)))</f>
        <v/>
      </c>
      <c r="K397" s="201" t="str">
        <f aca="false">IF(A398="","",J397)</f>
        <v/>
      </c>
      <c r="L397" s="200" t="str">
        <f aca="false">IF($A398="","",VLOOKUP($A397,Table,MATCH(L$4,Curves,0)))</f>
        <v/>
      </c>
      <c r="M397" s="201" t="str">
        <f aca="false">IF(A398="","",L397)</f>
        <v/>
      </c>
      <c r="O397" s="200" t="str">
        <f aca="false">IF(A398="","",L397+J397+G397)</f>
        <v/>
      </c>
      <c r="P397" s="200" t="str">
        <f aca="false">IF(A398="","",M397+K397+H397)</f>
        <v/>
      </c>
      <c r="R397" s="200" t="str">
        <f aca="false">IF($A398="","",VLOOKUP($A397,Table,MATCH(R$4,Curves,0)))</f>
        <v/>
      </c>
      <c r="S397" s="201" t="str">
        <f aca="false">IF(A398="","",R397)</f>
        <v/>
      </c>
      <c r="T397" s="185" t="n">
        <v>0</v>
      </c>
      <c r="U397" s="201" t="str">
        <f aca="false">IF(A398="","",T397)</f>
        <v/>
      </c>
      <c r="V397" s="205" t="str">
        <f aca="false">IF($A398="","",IF(AND(MONTH(A397)&gt;3,MONTH(A397)&lt;11),(T397+R397+G397)*Summary!$T$11/(1-Summary!$T$11),(T397+R397+G397)*Summary!$U$11/(1-Summary!$U$11)))</f>
        <v/>
      </c>
      <c r="W397" s="202" t="str">
        <f aca="false">IF($A398="","",(T397+R397+G397+V397))</f>
        <v/>
      </c>
      <c r="X397" s="202" t="str">
        <f aca="false">IF($A398="","",(U397+S397+H397+V397))</f>
        <v/>
      </c>
      <c r="Y397" s="202"/>
      <c r="Z397" s="185"/>
      <c r="AJ397" s="218"/>
      <c r="AK397" s="218"/>
      <c r="AL397" s="218"/>
      <c r="AM397" s="218"/>
      <c r="AN397" s="218"/>
      <c r="AO397" s="137" t="str">
        <f aca="false">IF(A398="","",A398-A397)</f>
        <v/>
      </c>
      <c r="AP397" s="212" t="str">
        <f aca="false">IF(A398="","",CHOOSE(F$3,A398+24,A397))</f>
        <v/>
      </c>
      <c r="AQ397" s="209" t="str">
        <f aca="false">IF(A398="","",AP397-$E$1)</f>
        <v/>
      </c>
      <c r="AR397" s="185" t="n">
        <f aca="false">'ANR OK vs ML7'!AR397</f>
        <v>0.1</v>
      </c>
      <c r="AS397" s="213" t="str">
        <f aca="false">IF(A398="","",1/(1+CHOOSE(F$3,(AR398+($I$3/10000))/2,(AR397+($I$3/10000))/2))^(2*AQ397/365.25))</f>
        <v/>
      </c>
      <c r="AT397" s="137" t="str">
        <f aca="false">IF(A398="","",IF(AND(mthbeg&lt;=A397,mthend&gt;=A397),1,0))</f>
        <v/>
      </c>
      <c r="AU397" s="137" t="str">
        <f aca="false">IF(A398="","",AO397*AT397)</f>
        <v/>
      </c>
      <c r="AW397" s="195" t="str">
        <f aca="false">IF($A398="","",AL397*$E397)</f>
        <v/>
      </c>
      <c r="AX397" s="195" t="str">
        <f aca="false">IF($A398="","",AM397*$E397)</f>
        <v/>
      </c>
      <c r="AY397" s="195" t="str">
        <f aca="false">IF($A398="","",AN397*$E397)</f>
        <v/>
      </c>
      <c r="BA397" s="195" t="str">
        <f aca="false">IF($A398="","",F397*Summary!$Q$11)</f>
        <v/>
      </c>
    </row>
    <row r="398" customFormat="false" ht="12.75" hidden="false" customHeight="false" outlineLevel="0" collapsed="false">
      <c r="A398" s="196" t="str">
        <f aca="false">IF(A397&lt;mthend,EDATE(A397,1),"")</f>
        <v/>
      </c>
      <c r="B398" s="197" t="str">
        <f aca="false">IF(A398&lt;mthend,B397,"")</f>
        <v/>
      </c>
      <c r="D398" s="197" t="str">
        <f aca="false">IF(A399&lt;&gt;"",B398+C398,"")</f>
        <v/>
      </c>
      <c r="E398" s="199" t="str">
        <f aca="false">IF(A399="","",IF(AND(AT398=1,$H$3=1),D398*AO398,IF($H$3=2,D398,"N/A")))</f>
        <v/>
      </c>
      <c r="F398" s="199" t="str">
        <f aca="false">IF(A399="","",E398*AS398)</f>
        <v/>
      </c>
      <c r="G398" s="200" t="str">
        <f aca="false">IF($A399="","",VLOOKUP($A398,Table,MATCH(G$4,Curves,0)))</f>
        <v/>
      </c>
      <c r="H398" s="201" t="str">
        <f aca="false">IF(A399="","",G398)</f>
        <v/>
      </c>
      <c r="J398" s="200" t="str">
        <f aca="false">IF($A399="","",VLOOKUP($A398,Table,MATCH(J$4,Curves,0)))</f>
        <v/>
      </c>
      <c r="K398" s="201" t="str">
        <f aca="false">IF(A399="","",J398)</f>
        <v/>
      </c>
      <c r="L398" s="200" t="str">
        <f aca="false">IF($A399="","",VLOOKUP($A398,Table,MATCH(L$4,Curves,0)))</f>
        <v/>
      </c>
      <c r="M398" s="201" t="str">
        <f aca="false">IF(A399="","",L398)</f>
        <v/>
      </c>
      <c r="O398" s="200" t="str">
        <f aca="false">IF(A399="","",L398+J398+G398)</f>
        <v/>
      </c>
      <c r="P398" s="200" t="str">
        <f aca="false">IF(A399="","",M398+K398+H398)</f>
        <v/>
      </c>
      <c r="R398" s="200" t="str">
        <f aca="false">IF($A399="","",VLOOKUP($A398,Table,MATCH(R$4,Curves,0)))</f>
        <v/>
      </c>
      <c r="S398" s="201" t="str">
        <f aca="false">IF(A399="","",R398)</f>
        <v/>
      </c>
      <c r="T398" s="185" t="n">
        <v>0</v>
      </c>
      <c r="U398" s="201" t="str">
        <f aca="false">IF(A399="","",T398)</f>
        <v/>
      </c>
      <c r="V398" s="205" t="str">
        <f aca="false">IF($A399="","",IF(AND(MONTH(A398)&gt;3,MONTH(A398)&lt;11),(T398+R398+G398)*Summary!$T$11/(1-Summary!$T$11),(T398+R398+G398)*Summary!$U$11/(1-Summary!$U$11)))</f>
        <v/>
      </c>
      <c r="W398" s="202" t="str">
        <f aca="false">IF($A399="","",(T398+R398+G398+V398))</f>
        <v/>
      </c>
      <c r="X398" s="202" t="str">
        <f aca="false">IF($A399="","",(U398+S398+H398+V398))</f>
        <v/>
      </c>
      <c r="Y398" s="202"/>
      <c r="Z398" s="185"/>
      <c r="AJ398" s="218"/>
      <c r="AK398" s="218"/>
      <c r="AL398" s="218"/>
      <c r="AM398" s="218"/>
      <c r="AN398" s="218"/>
      <c r="AO398" s="137" t="str">
        <f aca="false">IF(A399="","",A399-A398)</f>
        <v/>
      </c>
      <c r="AP398" s="212" t="str">
        <f aca="false">IF(A399="","",CHOOSE(F$3,A399+24,A398))</f>
        <v/>
      </c>
      <c r="AQ398" s="209" t="str">
        <f aca="false">IF(A399="","",AP398-$E$1)</f>
        <v/>
      </c>
      <c r="AR398" s="185" t="n">
        <f aca="false">'ANR OK vs ML7'!AR398</f>
        <v>0.1</v>
      </c>
      <c r="AS398" s="213" t="str">
        <f aca="false">IF(A399="","",1/(1+CHOOSE(F$3,(AR399+($I$3/10000))/2,(AR398+($I$3/10000))/2))^(2*AQ398/365.25))</f>
        <v/>
      </c>
      <c r="AT398" s="137" t="str">
        <f aca="false">IF(A399="","",IF(AND(mthbeg&lt;=A398,mthend&gt;=A398),1,0))</f>
        <v/>
      </c>
      <c r="AU398" s="137" t="str">
        <f aca="false">IF(A399="","",AO398*AT398)</f>
        <v/>
      </c>
      <c r="AW398" s="195" t="str">
        <f aca="false">IF($A399="","",AL398*$E398)</f>
        <v/>
      </c>
      <c r="AX398" s="195" t="str">
        <f aca="false">IF($A399="","",AM398*$E398)</f>
        <v/>
      </c>
      <c r="AY398" s="195" t="str">
        <f aca="false">IF($A399="","",AN398*$E398)</f>
        <v/>
      </c>
      <c r="BA398" s="195" t="str">
        <f aca="false">IF($A399="","",F398*Summary!$Q$11)</f>
        <v/>
      </c>
    </row>
    <row r="399" customFormat="false" ht="12.75" hidden="false" customHeight="false" outlineLevel="0" collapsed="false">
      <c r="A399" s="196" t="str">
        <f aca="false">IF(A398&lt;mthend,EDATE(A398,1),"")</f>
        <v/>
      </c>
      <c r="B399" s="197" t="str">
        <f aca="false">IF(A399&lt;mthend,B398,"")</f>
        <v/>
      </c>
      <c r="D399" s="197" t="str">
        <f aca="false">IF(A400&lt;&gt;"",B399+C399,"")</f>
        <v/>
      </c>
      <c r="E399" s="199" t="str">
        <f aca="false">IF(A400="","",IF(AND(AT399=1,$H$3=1),D399*AO399,IF($H$3=2,D399,"N/A")))</f>
        <v/>
      </c>
      <c r="F399" s="199" t="str">
        <f aca="false">IF(A400="","",E399*AS399)</f>
        <v/>
      </c>
      <c r="G399" s="200" t="str">
        <f aca="false">IF($A400="","",VLOOKUP($A399,Table,MATCH(G$4,Curves,0)))</f>
        <v/>
      </c>
      <c r="H399" s="201" t="str">
        <f aca="false">IF(A400="","",G399)</f>
        <v/>
      </c>
      <c r="J399" s="200" t="str">
        <f aca="false">IF($A400="","",VLOOKUP($A399,Table,MATCH(J$4,Curves,0)))</f>
        <v/>
      </c>
      <c r="K399" s="201" t="str">
        <f aca="false">IF(A400="","",J399)</f>
        <v/>
      </c>
      <c r="L399" s="200" t="str">
        <f aca="false">IF($A400="","",VLOOKUP($A399,Table,MATCH(L$4,Curves,0)))</f>
        <v/>
      </c>
      <c r="M399" s="201" t="str">
        <f aca="false">IF(A400="","",L399)</f>
        <v/>
      </c>
      <c r="O399" s="200" t="str">
        <f aca="false">IF(A400="","",L399+J399+G399)</f>
        <v/>
      </c>
      <c r="P399" s="200" t="str">
        <f aca="false">IF(A400="","",M399+K399+H399)</f>
        <v/>
      </c>
      <c r="R399" s="200" t="str">
        <f aca="false">IF($A400="","",VLOOKUP($A399,Table,MATCH(R$4,Curves,0)))</f>
        <v/>
      </c>
      <c r="S399" s="201" t="str">
        <f aca="false">IF(A400="","",R399)</f>
        <v/>
      </c>
      <c r="T399" s="185" t="n">
        <v>0</v>
      </c>
      <c r="U399" s="201" t="str">
        <f aca="false">IF(A400="","",T399)</f>
        <v/>
      </c>
      <c r="V399" s="205" t="str">
        <f aca="false">IF($A400="","",IF(AND(MONTH(A399)&gt;3,MONTH(A399)&lt;11),(T399+R399+G399)*Summary!$T$11/(1-Summary!$T$11),(T399+R399+G399)*Summary!$U$11/(1-Summary!$U$11)))</f>
        <v/>
      </c>
      <c r="W399" s="202" t="str">
        <f aca="false">IF($A400="","",(T399+R399+G399+V399))</f>
        <v/>
      </c>
      <c r="X399" s="202" t="str">
        <f aca="false">IF($A400="","",(U399+S399+H399+V399))</f>
        <v/>
      </c>
      <c r="Y399" s="202"/>
      <c r="Z399" s="185"/>
      <c r="AJ399" s="218"/>
      <c r="AK399" s="218"/>
      <c r="AL399" s="218"/>
      <c r="AM399" s="218"/>
      <c r="AN399" s="218"/>
      <c r="AO399" s="137" t="str">
        <f aca="false">IF(A400="","",A400-A399)</f>
        <v/>
      </c>
      <c r="AP399" s="212" t="str">
        <f aca="false">IF(A400="","",CHOOSE(F$3,A400+24,A399))</f>
        <v/>
      </c>
      <c r="AQ399" s="209" t="str">
        <f aca="false">IF(A400="","",AP399-$E$1)</f>
        <v/>
      </c>
      <c r="AR399" s="185" t="n">
        <f aca="false">'ANR OK vs ML7'!AR399</f>
        <v>0.1</v>
      </c>
      <c r="AS399" s="213" t="str">
        <f aca="false">IF(A400="","",1/(1+CHOOSE(F$3,(AR400+($I$3/10000))/2,(AR399+($I$3/10000))/2))^(2*AQ399/365.25))</f>
        <v/>
      </c>
      <c r="AT399" s="137" t="str">
        <f aca="false">IF(A400="","",IF(AND(mthbeg&lt;=A399,mthend&gt;=A399),1,0))</f>
        <v/>
      </c>
      <c r="AU399" s="137" t="str">
        <f aca="false">IF(A400="","",AO399*AT399)</f>
        <v/>
      </c>
      <c r="AW399" s="195" t="str">
        <f aca="false">IF($A400="","",AL399*$E399)</f>
        <v/>
      </c>
      <c r="AX399" s="195" t="str">
        <f aca="false">IF($A400="","",AM399*$E399)</f>
        <v/>
      </c>
      <c r="AY399" s="195" t="str">
        <f aca="false">IF($A400="","",AN399*$E399)</f>
        <v/>
      </c>
      <c r="BA399" s="195" t="str">
        <f aca="false">IF($A400="","",F399*Summary!$Q$11)</f>
        <v/>
      </c>
    </row>
    <row r="400" customFormat="false" ht="12.75" hidden="false" customHeight="false" outlineLevel="0" collapsed="false">
      <c r="A400" s="196" t="str">
        <f aca="false">IF(A399&lt;mthend,EDATE(A399,1),"")</f>
        <v/>
      </c>
      <c r="B400" s="197" t="str">
        <f aca="false">IF(A400&lt;mthend,B399,"")</f>
        <v/>
      </c>
      <c r="D400" s="197" t="str">
        <f aca="false">IF(A401&lt;&gt;"",B400+C400,"")</f>
        <v/>
      </c>
      <c r="E400" s="199" t="str">
        <f aca="false">IF(A401="","",IF(AND(AT400=1,$H$3=1),D400*AO400,IF($H$3=2,D400,"N/A")))</f>
        <v/>
      </c>
      <c r="F400" s="199" t="str">
        <f aca="false">IF(A401="","",E400*AS400)</f>
        <v/>
      </c>
      <c r="G400" s="200" t="str">
        <f aca="false">IF($A401="","",VLOOKUP($A400,Table,MATCH(G$4,Curves,0)))</f>
        <v/>
      </c>
      <c r="H400" s="201" t="str">
        <f aca="false">IF(A401="","",G400)</f>
        <v/>
      </c>
      <c r="J400" s="200" t="str">
        <f aca="false">IF($A401="","",VLOOKUP($A400,Table,MATCH(J$4,Curves,0)))</f>
        <v/>
      </c>
      <c r="K400" s="201" t="str">
        <f aca="false">IF(A401="","",J400)</f>
        <v/>
      </c>
      <c r="L400" s="200" t="str">
        <f aca="false">IF($A401="","",VLOOKUP($A400,Table,MATCH(L$4,Curves,0)))</f>
        <v/>
      </c>
      <c r="M400" s="201" t="str">
        <f aca="false">IF(A401="","",L400)</f>
        <v/>
      </c>
      <c r="O400" s="200" t="str">
        <f aca="false">IF(A401="","",L400+J400+G400)</f>
        <v/>
      </c>
      <c r="P400" s="200" t="str">
        <f aca="false">IF(A401="","",M400+K400+H400)</f>
        <v/>
      </c>
      <c r="R400" s="200" t="str">
        <f aca="false">IF($A401="","",VLOOKUP($A400,Table,MATCH(R$4,Curves,0)))</f>
        <v/>
      </c>
      <c r="S400" s="201" t="str">
        <f aca="false">IF(A401="","",R400)</f>
        <v/>
      </c>
      <c r="T400" s="185" t="n">
        <v>0</v>
      </c>
      <c r="U400" s="201" t="str">
        <f aca="false">IF(A401="","",T400)</f>
        <v/>
      </c>
      <c r="V400" s="205" t="str">
        <f aca="false">IF($A401="","",IF(AND(MONTH(A400)&gt;3,MONTH(A400)&lt;11),(T400+R400+G400)*Summary!$T$11/(1-Summary!$T$11),(T400+R400+G400)*Summary!$U$11/(1-Summary!$U$11)))</f>
        <v/>
      </c>
      <c r="W400" s="202" t="str">
        <f aca="false">IF($A401="","",(T400+R400+G400+V400))</f>
        <v/>
      </c>
      <c r="X400" s="202" t="str">
        <f aca="false">IF($A401="","",(U400+S400+H400+V400))</f>
        <v/>
      </c>
      <c r="Y400" s="202"/>
      <c r="Z400" s="185"/>
      <c r="AJ400" s="218"/>
      <c r="AK400" s="218"/>
      <c r="AL400" s="218"/>
      <c r="AM400" s="218"/>
      <c r="AN400" s="218"/>
      <c r="AO400" s="137" t="str">
        <f aca="false">IF(A401="","",A401-A400)</f>
        <v/>
      </c>
      <c r="AP400" s="212" t="str">
        <f aca="false">IF(A401="","",CHOOSE(F$3,A401+24,A400))</f>
        <v/>
      </c>
      <c r="AQ400" s="209" t="str">
        <f aca="false">IF(A401="","",AP400-$E$1)</f>
        <v/>
      </c>
      <c r="AR400" s="185" t="n">
        <f aca="false">'ANR OK vs ML7'!AR400</f>
        <v>0.1</v>
      </c>
      <c r="AS400" s="213" t="str">
        <f aca="false">IF(A401="","",1/(1+CHOOSE(F$3,(AR401+($I$3/10000))/2,(AR400+($I$3/10000))/2))^(2*AQ400/365.25))</f>
        <v/>
      </c>
      <c r="AT400" s="137" t="str">
        <f aca="false">IF(A401="","",IF(AND(mthbeg&lt;=A400,mthend&gt;=A400),1,0))</f>
        <v/>
      </c>
      <c r="AU400" s="137" t="str">
        <f aca="false">IF(A401="","",AO400*AT400)</f>
        <v/>
      </c>
      <c r="AW400" s="195" t="str">
        <f aca="false">IF($A401="","",AL400*$E400)</f>
        <v/>
      </c>
      <c r="AX400" s="195" t="str">
        <f aca="false">IF($A401="","",AM400*$E400)</f>
        <v/>
      </c>
      <c r="AY400" s="195" t="str">
        <f aca="false">IF($A401="","",AN400*$E400)</f>
        <v/>
      </c>
      <c r="BA400" s="195" t="str">
        <f aca="false">IF($A401="","",F400*Summary!$Q$11)</f>
        <v/>
      </c>
    </row>
    <row r="401" customFormat="false" ht="12.75" hidden="false" customHeight="false" outlineLevel="0" collapsed="false">
      <c r="A401" s="196" t="str">
        <f aca="false">IF(A400&lt;mthend,EDATE(A400,1),"")</f>
        <v/>
      </c>
      <c r="B401" s="197" t="str">
        <f aca="false">IF(A401&lt;mthend,B400,"")</f>
        <v/>
      </c>
      <c r="D401" s="197" t="str">
        <f aca="false">IF(A402&lt;&gt;"",B401+C401,"")</f>
        <v/>
      </c>
      <c r="E401" s="199" t="str">
        <f aca="false">IF(A402="","",IF(AND(AT401=1,$H$3=1),D401*AO401,IF($H$3=2,D401,"N/A")))</f>
        <v/>
      </c>
      <c r="F401" s="199" t="str">
        <f aca="false">IF(A402="","",E401*AS401)</f>
        <v/>
      </c>
      <c r="G401" s="200" t="str">
        <f aca="false">IF($A402="","",VLOOKUP($A401,Table,MATCH(G$4,Curves,0)))</f>
        <v/>
      </c>
      <c r="H401" s="201" t="str">
        <f aca="false">IF(A402="","",G401)</f>
        <v/>
      </c>
      <c r="J401" s="200" t="str">
        <f aca="false">IF($A402="","",VLOOKUP($A401,Table,MATCH(J$4,Curves,0)))</f>
        <v/>
      </c>
      <c r="K401" s="201" t="str">
        <f aca="false">IF(A402="","",J401)</f>
        <v/>
      </c>
      <c r="L401" s="200" t="str">
        <f aca="false">IF($A402="","",VLOOKUP($A401,Table,MATCH(L$4,Curves,0)))</f>
        <v/>
      </c>
      <c r="M401" s="201" t="str">
        <f aca="false">IF(A402="","",L401)</f>
        <v/>
      </c>
      <c r="O401" s="200" t="str">
        <f aca="false">IF(A402="","",L401+J401+G401)</f>
        <v/>
      </c>
      <c r="P401" s="200" t="str">
        <f aca="false">IF(A402="","",M401+K401+H401)</f>
        <v/>
      </c>
      <c r="R401" s="200" t="str">
        <f aca="false">IF($A402="","",VLOOKUP($A401,Table,MATCH(R$4,Curves,0)))</f>
        <v/>
      </c>
      <c r="S401" s="201" t="str">
        <f aca="false">IF(A402="","",R401)</f>
        <v/>
      </c>
      <c r="T401" s="185" t="n">
        <v>0</v>
      </c>
      <c r="U401" s="201" t="str">
        <f aca="false">IF(A402="","",T401)</f>
        <v/>
      </c>
      <c r="V401" s="205" t="str">
        <f aca="false">IF($A402="","",IF(AND(MONTH(A401)&gt;3,MONTH(A401)&lt;11),(T401+R401+G401)*Summary!$T$11/(1-Summary!$T$11),(T401+R401+G401)*Summary!$U$11/(1-Summary!$U$11)))</f>
        <v/>
      </c>
      <c r="W401" s="202" t="str">
        <f aca="false">IF($A402="","",(T401+R401+G401+V401))</f>
        <v/>
      </c>
      <c r="X401" s="202" t="str">
        <f aca="false">IF($A402="","",(U401+S401+H401+V401))</f>
        <v/>
      </c>
      <c r="Y401" s="202"/>
      <c r="Z401" s="185"/>
      <c r="AJ401" s="218"/>
      <c r="AK401" s="218"/>
      <c r="AL401" s="218"/>
      <c r="AM401" s="218"/>
      <c r="AN401" s="218"/>
      <c r="AO401" s="137" t="str">
        <f aca="false">IF(A402="","",A402-A401)</f>
        <v/>
      </c>
      <c r="AP401" s="212" t="str">
        <f aca="false">IF(A402="","",CHOOSE(F$3,A402+24,A401))</f>
        <v/>
      </c>
      <c r="AQ401" s="209" t="str">
        <f aca="false">IF(A402="","",AP401-$E$1)</f>
        <v/>
      </c>
      <c r="AR401" s="185" t="n">
        <f aca="false">'ANR OK vs ML7'!AR401</f>
        <v>0.1</v>
      </c>
      <c r="AS401" s="213" t="str">
        <f aca="false">IF(A402="","",1/(1+CHOOSE(F$3,(AR402+($I$3/10000))/2,(AR401+($I$3/10000))/2))^(2*AQ401/365.25))</f>
        <v/>
      </c>
      <c r="AT401" s="137" t="str">
        <f aca="false">IF(A402="","",IF(AND(mthbeg&lt;=A401,mthend&gt;=A401),1,0))</f>
        <v/>
      </c>
      <c r="AU401" s="137" t="str">
        <f aca="false">IF(A402="","",AO401*AT401)</f>
        <v/>
      </c>
      <c r="AW401" s="195" t="str">
        <f aca="false">IF($A402="","",AL401*$E401)</f>
        <v/>
      </c>
      <c r="AX401" s="195" t="str">
        <f aca="false">IF($A402="","",AM401*$E401)</f>
        <v/>
      </c>
      <c r="AY401" s="195" t="str">
        <f aca="false">IF($A402="","",AN401*$E401)</f>
        <v/>
      </c>
      <c r="BA401" s="195" t="str">
        <f aca="false">IF($A402="","",F401*Summary!$Q$11)</f>
        <v/>
      </c>
    </row>
    <row r="402" customFormat="false" ht="12.75" hidden="false" customHeight="false" outlineLevel="0" collapsed="false">
      <c r="A402" s="196" t="str">
        <f aca="false">IF(A401&lt;mthend,EDATE(A401,1),"")</f>
        <v/>
      </c>
      <c r="B402" s="197" t="str">
        <f aca="false">IF(A402&lt;mthend,B401,"")</f>
        <v/>
      </c>
      <c r="D402" s="197" t="str">
        <f aca="false">IF(A403&lt;&gt;"",B402+C402,"")</f>
        <v/>
      </c>
      <c r="E402" s="199" t="str">
        <f aca="false">IF(A403="","",IF(AND(AT402=1,$H$3=1),D402*AO402,IF($H$3=2,D402,"N/A")))</f>
        <v/>
      </c>
      <c r="F402" s="199" t="str">
        <f aca="false">IF(A403="","",E402*AS402)</f>
        <v/>
      </c>
      <c r="G402" s="200" t="str">
        <f aca="false">IF($A403="","",VLOOKUP($A402,Table,MATCH(G$4,Curves,0)))</f>
        <v/>
      </c>
      <c r="H402" s="201" t="str">
        <f aca="false">IF(A403="","",G402)</f>
        <v/>
      </c>
      <c r="J402" s="200" t="str">
        <f aca="false">IF($A403="","",VLOOKUP($A402,Table,MATCH(J$4,Curves,0)))</f>
        <v/>
      </c>
      <c r="K402" s="201" t="str">
        <f aca="false">IF(A403="","",J402)</f>
        <v/>
      </c>
      <c r="L402" s="200" t="str">
        <f aca="false">IF($A403="","",VLOOKUP($A402,Table,MATCH(L$4,Curves,0)))</f>
        <v/>
      </c>
      <c r="M402" s="201" t="str">
        <f aca="false">IF(A403="","",L402)</f>
        <v/>
      </c>
      <c r="O402" s="200" t="str">
        <f aca="false">IF(A403="","",L402+J402+G402)</f>
        <v/>
      </c>
      <c r="P402" s="200" t="str">
        <f aca="false">IF(A403="","",M402+K402+H402)</f>
        <v/>
      </c>
      <c r="R402" s="200" t="str">
        <f aca="false">IF($A403="","",VLOOKUP($A402,Table,MATCH(R$4,Curves,0)))</f>
        <v/>
      </c>
      <c r="S402" s="201" t="str">
        <f aca="false">IF(A403="","",R402)</f>
        <v/>
      </c>
      <c r="T402" s="185" t="n">
        <v>0</v>
      </c>
      <c r="U402" s="201" t="str">
        <f aca="false">IF(A403="","",T402)</f>
        <v/>
      </c>
      <c r="V402" s="205" t="str">
        <f aca="false">IF($A403="","",IF(AND(MONTH(A402)&gt;3,MONTH(A402)&lt;11),(T402+R402+G402)*Summary!$T$11/(1-Summary!$T$11),(T402+R402+G402)*Summary!$U$11/(1-Summary!$U$11)))</f>
        <v/>
      </c>
      <c r="W402" s="202" t="str">
        <f aca="false">IF($A403="","",(T402+R402+G402+V402))</f>
        <v/>
      </c>
      <c r="X402" s="202" t="str">
        <f aca="false">IF($A403="","",(U402+S402+H402+V402))</f>
        <v/>
      </c>
      <c r="Y402" s="202"/>
      <c r="Z402" s="185"/>
      <c r="AJ402" s="218"/>
      <c r="AK402" s="218"/>
      <c r="AL402" s="218"/>
      <c r="AM402" s="218"/>
      <c r="AN402" s="218"/>
      <c r="AO402" s="137" t="str">
        <f aca="false">IF(A403="","",A403-A402)</f>
        <v/>
      </c>
      <c r="AP402" s="212" t="str">
        <f aca="false">IF(A403="","",CHOOSE(F$3,A403+24,A402))</f>
        <v/>
      </c>
      <c r="AQ402" s="209" t="str">
        <f aca="false">IF(A403="","",AP402-$E$1)</f>
        <v/>
      </c>
      <c r="AR402" s="185" t="n">
        <f aca="false">'ANR OK vs ML7'!AR402</f>
        <v>0.1</v>
      </c>
      <c r="AS402" s="213" t="str">
        <f aca="false">IF(A403="","",1/(1+CHOOSE(F$3,(AR403+($I$3/10000))/2,(AR402+($I$3/10000))/2))^(2*AQ402/365.25))</f>
        <v/>
      </c>
      <c r="AT402" s="137" t="str">
        <f aca="false">IF(A403="","",IF(AND(mthbeg&lt;=A402,mthend&gt;=A402),1,0))</f>
        <v/>
      </c>
      <c r="AU402" s="137" t="str">
        <f aca="false">IF(A403="","",AO402*AT402)</f>
        <v/>
      </c>
      <c r="AW402" s="195" t="str">
        <f aca="false">IF($A403="","",AL402*$E402)</f>
        <v/>
      </c>
      <c r="AX402" s="195" t="str">
        <f aca="false">IF($A403="","",AM402*$E402)</f>
        <v/>
      </c>
      <c r="AY402" s="195" t="str">
        <f aca="false">IF($A403="","",AN402*$E402)</f>
        <v/>
      </c>
      <c r="BA402" s="195" t="str">
        <f aca="false">IF($A403="","",F402*Summary!$Q$11)</f>
        <v/>
      </c>
    </row>
    <row r="403" customFormat="false" ht="12.75" hidden="false" customHeight="false" outlineLevel="0" collapsed="false">
      <c r="A403" s="196" t="str">
        <f aca="false">IF(A402&lt;mthend,EDATE(A402,1),"")</f>
        <v/>
      </c>
      <c r="B403" s="197" t="str">
        <f aca="false">IF(A403&lt;mthend,B402,"")</f>
        <v/>
      </c>
      <c r="D403" s="197" t="str">
        <f aca="false">IF(A404&lt;&gt;"",B403+C403,"")</f>
        <v/>
      </c>
      <c r="E403" s="199" t="str">
        <f aca="false">IF(A404="","",IF(AND(AT403=1,$H$3=1),D403*AO403,IF($H$3=2,D403,"N/A")))</f>
        <v/>
      </c>
      <c r="F403" s="199" t="str">
        <f aca="false">IF(A404="","",E403*AS403)</f>
        <v/>
      </c>
      <c r="G403" s="200" t="str">
        <f aca="false">IF($A404="","",VLOOKUP($A403,Table,MATCH(G$4,Curves,0)))</f>
        <v/>
      </c>
      <c r="H403" s="201" t="str">
        <f aca="false">IF(A404="","",G403)</f>
        <v/>
      </c>
      <c r="J403" s="200" t="str">
        <f aca="false">IF($A404="","",VLOOKUP($A403,Table,MATCH(J$4,Curves,0)))</f>
        <v/>
      </c>
      <c r="K403" s="201" t="str">
        <f aca="false">IF(A404="","",J403)</f>
        <v/>
      </c>
      <c r="L403" s="200" t="str">
        <f aca="false">IF($A404="","",VLOOKUP($A403,Table,MATCH(L$4,Curves,0)))</f>
        <v/>
      </c>
      <c r="M403" s="201" t="str">
        <f aca="false">IF(A404="","",L403)</f>
        <v/>
      </c>
      <c r="O403" s="200" t="str">
        <f aca="false">IF(A404="","",L403+J403+G403)</f>
        <v/>
      </c>
      <c r="P403" s="200" t="str">
        <f aca="false">IF(A404="","",M403+K403+H403)</f>
        <v/>
      </c>
      <c r="R403" s="200" t="str">
        <f aca="false">IF($A404="","",VLOOKUP($A403,Table,MATCH(R$4,Curves,0)))</f>
        <v/>
      </c>
      <c r="S403" s="201" t="str">
        <f aca="false">IF(A404="","",R403)</f>
        <v/>
      </c>
      <c r="T403" s="185" t="n">
        <v>0</v>
      </c>
      <c r="U403" s="201" t="str">
        <f aca="false">IF(A404="","",T403)</f>
        <v/>
      </c>
      <c r="V403" s="205" t="str">
        <f aca="false">IF($A404="","",IF(AND(MONTH(A403)&gt;3,MONTH(A403)&lt;11),(T403+R403+G403)*Summary!$T$11/(1-Summary!$T$11),(T403+R403+G403)*Summary!$U$11/(1-Summary!$U$11)))</f>
        <v/>
      </c>
      <c r="W403" s="202" t="str">
        <f aca="false">IF($A404="","",(T403+R403+G403+V403))</f>
        <v/>
      </c>
      <c r="X403" s="202" t="str">
        <f aca="false">IF($A404="","",(U403+S403+H403+V403))</f>
        <v/>
      </c>
      <c r="Y403" s="202"/>
      <c r="Z403" s="185"/>
      <c r="AJ403" s="77"/>
      <c r="AK403" s="77"/>
      <c r="AL403" s="77"/>
      <c r="AM403" s="77"/>
      <c r="AN403" s="77"/>
      <c r="AO403" s="137" t="str">
        <f aca="false">IF(A404="","",A404-A403)</f>
        <v/>
      </c>
      <c r="AP403" s="212" t="str">
        <f aca="false">IF(A404="","",CHOOSE(F$3,A404+24,A403))</f>
        <v/>
      </c>
      <c r="AQ403" s="209" t="str">
        <f aca="false">IF(A404="","",AP403-$E$1)</f>
        <v/>
      </c>
      <c r="AR403" s="185" t="n">
        <f aca="false">'ANR OK vs ML7'!AR403</f>
        <v>0.1</v>
      </c>
      <c r="AS403" s="213" t="str">
        <f aca="false">IF(A404="","",1/(1+CHOOSE(F$3,(AR404+($I$3/10000))/2,(AR403+($I$3/10000))/2))^(2*AQ403/365.25))</f>
        <v/>
      </c>
      <c r="AT403" s="137" t="str">
        <f aca="false">IF(A404="","",IF(AND(mthbeg&lt;=A403,mthend&gt;=A403),1,0))</f>
        <v/>
      </c>
      <c r="AU403" s="137" t="str">
        <f aca="false">IF(A404="","",AO403*AT403)</f>
        <v/>
      </c>
      <c r="AW403" s="195" t="str">
        <f aca="false">IF($A404="","",AL403*$E403)</f>
        <v/>
      </c>
      <c r="AX403" s="195" t="str">
        <f aca="false">IF($A404="","",AM403*$E403)</f>
        <v/>
      </c>
      <c r="AY403" s="195" t="str">
        <f aca="false">IF($A404="","",AN403*$E403)</f>
        <v/>
      </c>
      <c r="BA403" s="195" t="str">
        <f aca="false">IF($A404="","",F403*Summary!$Q$11)</f>
        <v/>
      </c>
    </row>
    <row r="404" customFormat="false" ht="12.75" hidden="false" customHeight="false" outlineLevel="0" collapsed="false">
      <c r="A404" s="196" t="str">
        <f aca="false">IF(A403&lt;mthend,EDATE(A403,1),"")</f>
        <v/>
      </c>
      <c r="B404" s="197" t="str">
        <f aca="false">IF(A404&lt;mthend,B403,"")</f>
        <v/>
      </c>
      <c r="D404" s="197" t="str">
        <f aca="false">IF(A405&lt;&gt;"",B404+C404,"")</f>
        <v/>
      </c>
      <c r="E404" s="199" t="str">
        <f aca="false">IF(A405="","",IF(AND(AT404=1,$H$3=1),D404*AO404,IF($H$3=2,D404,"N/A")))</f>
        <v/>
      </c>
      <c r="F404" s="199" t="str">
        <f aca="false">IF(A405="","",E404*AS404)</f>
        <v/>
      </c>
      <c r="G404" s="200" t="str">
        <f aca="false">IF($A405="","",VLOOKUP($A404,Table,MATCH(G$4,Curves,0)))</f>
        <v/>
      </c>
      <c r="H404" s="201" t="str">
        <f aca="false">IF(A405="","",G404)</f>
        <v/>
      </c>
      <c r="J404" s="200" t="str">
        <f aca="false">IF($A405="","",VLOOKUP($A404,Table,MATCH(J$4,Curves,0)))</f>
        <v/>
      </c>
      <c r="K404" s="201" t="str">
        <f aca="false">IF(A405="","",J404)</f>
        <v/>
      </c>
      <c r="L404" s="200" t="str">
        <f aca="false">IF($A405="","",VLOOKUP($A404,Table,MATCH(L$4,Curves,0)))</f>
        <v/>
      </c>
      <c r="M404" s="201" t="str">
        <f aca="false">IF(A405="","",L404)</f>
        <v/>
      </c>
      <c r="O404" s="200" t="str">
        <f aca="false">IF(A405="","",L404+J404+G404)</f>
        <v/>
      </c>
      <c r="P404" s="200" t="str">
        <f aca="false">IF(A405="","",M404+K404+H404)</f>
        <v/>
      </c>
      <c r="R404" s="200" t="str">
        <f aca="false">IF($A405="","",VLOOKUP($A404,Table,MATCH(R$4,Curves,0)))</f>
        <v/>
      </c>
      <c r="S404" s="201" t="str">
        <f aca="false">IF(A405="","",R404)</f>
        <v/>
      </c>
      <c r="T404" s="185" t="n">
        <v>0</v>
      </c>
      <c r="U404" s="201" t="str">
        <f aca="false">IF(A405="","",T404)</f>
        <v/>
      </c>
      <c r="V404" s="205" t="str">
        <f aca="false">IF($A405="","",IF(AND(MONTH(A404)&gt;3,MONTH(A404)&lt;11),(T404+R404+G404)*Summary!$T$11/(1-Summary!$T$11),(T404+R404+G404)*Summary!$U$11/(1-Summary!$U$11)))</f>
        <v/>
      </c>
      <c r="W404" s="202" t="str">
        <f aca="false">IF($A405="","",(T404+R404+G404+V404))</f>
        <v/>
      </c>
      <c r="X404" s="202" t="str">
        <f aca="false">IF($A405="","",(U404+S404+H404+V404))</f>
        <v/>
      </c>
      <c r="Y404" s="202"/>
      <c r="Z404" s="185"/>
      <c r="AJ404" s="77"/>
      <c r="AK404" s="77"/>
      <c r="AL404" s="77"/>
      <c r="AM404" s="77"/>
      <c r="AN404" s="77"/>
      <c r="AO404" s="137" t="str">
        <f aca="false">IF(A405="","",A405-A404)</f>
        <v/>
      </c>
      <c r="AP404" s="212" t="str">
        <f aca="false">IF(A405="","",CHOOSE(F$3,A405+24,A404))</f>
        <v/>
      </c>
      <c r="AQ404" s="209" t="str">
        <f aca="false">IF(A405="","",AP404-$E$1)</f>
        <v/>
      </c>
      <c r="AR404" s="185" t="n">
        <f aca="false">'ANR OK vs ML7'!AR404</f>
        <v>0.1</v>
      </c>
      <c r="AS404" s="213" t="str">
        <f aca="false">IF(A405="","",1/(1+CHOOSE(F$3,(AR405+($I$3/10000))/2,(AR404+($I$3/10000))/2))^(2*AQ404/365.25))</f>
        <v/>
      </c>
      <c r="AT404" s="137" t="str">
        <f aca="false">IF(A405="","",IF(AND(mthbeg&lt;=A404,mthend&gt;=A404),1,0))</f>
        <v/>
      </c>
      <c r="AU404" s="137" t="str">
        <f aca="false">IF(A405="","",AO404*AT404)</f>
        <v/>
      </c>
      <c r="AW404" s="195" t="str">
        <f aca="false">IF($A405="","",AL404*$E404)</f>
        <v/>
      </c>
      <c r="AX404" s="195" t="str">
        <f aca="false">IF($A405="","",AM404*$E404)</f>
        <v/>
      </c>
      <c r="AY404" s="195" t="str">
        <f aca="false">IF($A405="","",AN404*$E404)</f>
        <v/>
      </c>
      <c r="BA404" s="195" t="str">
        <f aca="false">IF($A405="","",F404*Summary!$Q$11)</f>
        <v/>
      </c>
    </row>
    <row r="405" customFormat="false" ht="12.75" hidden="false" customHeight="false" outlineLevel="0" collapsed="false">
      <c r="A405" s="196" t="str">
        <f aca="false">IF(A404&lt;mthend,EDATE(A404,1),"")</f>
        <v/>
      </c>
      <c r="B405" s="197" t="str">
        <f aca="false">IF(A405&lt;mthend,B404,"")</f>
        <v/>
      </c>
      <c r="D405" s="197" t="str">
        <f aca="false">IF(A406&lt;&gt;"",B405+C405,"")</f>
        <v/>
      </c>
      <c r="E405" s="199" t="str">
        <f aca="false">IF(A406="","",IF(AND(AT405=1,$H$3=1),D405*AO405,IF($H$3=2,D405,"N/A")))</f>
        <v/>
      </c>
      <c r="F405" s="199" t="str">
        <f aca="false">IF(A406="","",E405*AS405)</f>
        <v/>
      </c>
      <c r="G405" s="200" t="str">
        <f aca="false">IF($A406="","",VLOOKUP($A405,Table,MATCH(G$4,Curves,0)))</f>
        <v/>
      </c>
      <c r="H405" s="201" t="str">
        <f aca="false">IF(A406="","",G405)</f>
        <v/>
      </c>
      <c r="J405" s="200" t="str">
        <f aca="false">IF($A406="","",VLOOKUP($A405,Table,MATCH(J$4,Curves,0)))</f>
        <v/>
      </c>
      <c r="K405" s="201" t="str">
        <f aca="false">IF(A406="","",J405)</f>
        <v/>
      </c>
      <c r="L405" s="200" t="str">
        <f aca="false">IF($A406="","",VLOOKUP($A405,Table,MATCH(L$4,Curves,0)))</f>
        <v/>
      </c>
      <c r="M405" s="201" t="str">
        <f aca="false">IF(A406="","",L405)</f>
        <v/>
      </c>
      <c r="O405" s="200" t="str">
        <f aca="false">IF(A406="","",L405+J405+G405)</f>
        <v/>
      </c>
      <c r="P405" s="200" t="str">
        <f aca="false">IF(A406="","",M405+K405+H405)</f>
        <v/>
      </c>
      <c r="R405" s="200" t="str">
        <f aca="false">IF($A406="","",VLOOKUP($A405,Table,MATCH(R$4,Curves,0)))</f>
        <v/>
      </c>
      <c r="S405" s="201" t="str">
        <f aca="false">IF(A406="","",R405)</f>
        <v/>
      </c>
      <c r="T405" s="185" t="n">
        <v>0</v>
      </c>
      <c r="U405" s="201" t="str">
        <f aca="false">IF(A406="","",T405)</f>
        <v/>
      </c>
      <c r="V405" s="205" t="str">
        <f aca="false">IF($A406="","",IF(AND(MONTH(A405)&gt;3,MONTH(A405)&lt;11),(T405+R405+G405)*Summary!$T$11/(1-Summary!$T$11),(T405+R405+G405)*Summary!$U$11/(1-Summary!$U$11)))</f>
        <v/>
      </c>
      <c r="W405" s="202" t="str">
        <f aca="false">IF($A406="","",(T405+R405+G405+V405))</f>
        <v/>
      </c>
      <c r="X405" s="202" t="str">
        <f aca="false">IF($A406="","",(U405+S405+H405+V405))</f>
        <v/>
      </c>
      <c r="Y405" s="202"/>
      <c r="Z405" s="185"/>
      <c r="AJ405" s="77"/>
      <c r="AK405" s="77"/>
      <c r="AL405" s="77"/>
      <c r="AM405" s="77"/>
      <c r="AN405" s="77"/>
      <c r="AO405" s="137" t="str">
        <f aca="false">IF(A406="","",A406-A405)</f>
        <v/>
      </c>
      <c r="AP405" s="212" t="str">
        <f aca="false">IF(A406="","",CHOOSE(F$3,A406+24,A405))</f>
        <v/>
      </c>
      <c r="AQ405" s="209" t="str">
        <f aca="false">IF(A406="","",AP405-$E$1)</f>
        <v/>
      </c>
      <c r="AR405" s="185" t="n">
        <f aca="false">'ANR OK vs ML7'!AR405</f>
        <v>0.1</v>
      </c>
      <c r="AS405" s="213" t="str">
        <f aca="false">IF(A406="","",1/(1+CHOOSE(F$3,(AR406+($I$3/10000))/2,(AR405+($I$3/10000))/2))^(2*AQ405/365.25))</f>
        <v/>
      </c>
      <c r="AT405" s="137" t="str">
        <f aca="false">IF(A406="","",IF(AND(mthbeg&lt;=A405,mthend&gt;=A405),1,0))</f>
        <v/>
      </c>
      <c r="AU405" s="137" t="str">
        <f aca="false">IF(A406="","",AO405*AT405)</f>
        <v/>
      </c>
      <c r="AW405" s="195" t="str">
        <f aca="false">IF($A406="","",AL405*$E405)</f>
        <v/>
      </c>
      <c r="AX405" s="195" t="str">
        <f aca="false">IF($A406="","",AM405*$E405)</f>
        <v/>
      </c>
      <c r="AY405" s="195" t="str">
        <f aca="false">IF($A406="","",AN405*$E405)</f>
        <v/>
      </c>
      <c r="BA405" s="195" t="str">
        <f aca="false">IF($A406="","",F405*Summary!$Q$11)</f>
        <v/>
      </c>
    </row>
    <row r="406" customFormat="false" ht="12.75" hidden="false" customHeight="false" outlineLevel="0" collapsed="false">
      <c r="A406" s="196" t="str">
        <f aca="false">IF(A405&lt;mthend,EDATE(A405,1),"")</f>
        <v/>
      </c>
      <c r="B406" s="197" t="str">
        <f aca="false">IF(A406&lt;mthend,B405,"")</f>
        <v/>
      </c>
      <c r="D406" s="197" t="str">
        <f aca="false">IF(A407&lt;&gt;"",B406+C406,"")</f>
        <v/>
      </c>
      <c r="E406" s="199" t="str">
        <f aca="false">IF(A407="","",IF(AND(AT406=1,$H$3=1),D406*AO406,IF($H$3=2,D406,"N/A")))</f>
        <v/>
      </c>
      <c r="F406" s="199" t="str">
        <f aca="false">IF(A407="","",E406*AS406)</f>
        <v/>
      </c>
      <c r="G406" s="200" t="str">
        <f aca="false">IF($A407="","",VLOOKUP($A406,Table,MATCH(G$4,Curves,0)))</f>
        <v/>
      </c>
      <c r="H406" s="201" t="str">
        <f aca="false">IF(A407="","",G406)</f>
        <v/>
      </c>
      <c r="J406" s="200" t="str">
        <f aca="false">IF($A407="","",VLOOKUP($A406,Table,MATCH(J$4,Curves,0)))</f>
        <v/>
      </c>
      <c r="K406" s="201" t="str">
        <f aca="false">IF(A407="","",J406)</f>
        <v/>
      </c>
      <c r="L406" s="200" t="str">
        <f aca="false">IF($A407="","",VLOOKUP($A406,Table,MATCH(L$4,Curves,0)))</f>
        <v/>
      </c>
      <c r="M406" s="201" t="str">
        <f aca="false">IF(A407="","",L406)</f>
        <v/>
      </c>
      <c r="O406" s="200" t="str">
        <f aca="false">IF(A407="","",L406+J406+G406)</f>
        <v/>
      </c>
      <c r="P406" s="200" t="str">
        <f aca="false">IF(A407="","",M406+K406+H406)</f>
        <v/>
      </c>
      <c r="R406" s="200" t="str">
        <f aca="false">IF($A407="","",VLOOKUP($A406,Table,MATCH(R$4,Curves,0)))</f>
        <v/>
      </c>
      <c r="S406" s="201" t="str">
        <f aca="false">IF(A407="","",R406)</f>
        <v/>
      </c>
      <c r="T406" s="185" t="n">
        <v>0</v>
      </c>
      <c r="U406" s="201" t="str">
        <f aca="false">IF(A407="","",T406)</f>
        <v/>
      </c>
      <c r="V406" s="205" t="str">
        <f aca="false">IF($A407="","",IF(AND(MONTH(A406)&gt;3,MONTH(A406)&lt;11),(T406+R406+G406)*Summary!$T$11/(1-Summary!$T$11),(T406+R406+G406)*Summary!$U$11/(1-Summary!$U$11)))</f>
        <v/>
      </c>
      <c r="W406" s="202" t="str">
        <f aca="false">IF($A407="","",(T406+R406+G406+V406))</f>
        <v/>
      </c>
      <c r="X406" s="202" t="str">
        <f aca="false">IF($A407="","",(U406+S406+H406+V406))</f>
        <v/>
      </c>
      <c r="Y406" s="202"/>
      <c r="Z406" s="185"/>
      <c r="AJ406" s="77"/>
      <c r="AK406" s="77"/>
      <c r="AL406" s="77"/>
      <c r="AM406" s="77"/>
      <c r="AN406" s="77"/>
      <c r="AO406" s="137" t="str">
        <f aca="false">IF(A407="","",A407-A406)</f>
        <v/>
      </c>
      <c r="AP406" s="212" t="str">
        <f aca="false">IF(A407="","",CHOOSE(F$3,A407+24,A406))</f>
        <v/>
      </c>
      <c r="AQ406" s="209" t="str">
        <f aca="false">IF(A407="","",AP406-$E$1)</f>
        <v/>
      </c>
      <c r="AR406" s="185" t="n">
        <f aca="false">'ANR OK vs ML7'!AR406</f>
        <v>0.1</v>
      </c>
      <c r="AS406" s="213" t="str">
        <f aca="false">IF(A407="","",1/(1+CHOOSE(F$3,(AR407+($I$3/10000))/2,(AR406+($I$3/10000))/2))^(2*AQ406/365.25))</f>
        <v/>
      </c>
      <c r="AT406" s="137" t="str">
        <f aca="false">IF(A407="","",IF(AND(mthbeg&lt;=A406,mthend&gt;=A406),1,0))</f>
        <v/>
      </c>
      <c r="AU406" s="137" t="str">
        <f aca="false">IF(A407="","",AO406*AT406)</f>
        <v/>
      </c>
      <c r="AW406" s="195" t="str">
        <f aca="false">IF($A407="","",AL406*$E406)</f>
        <v/>
      </c>
      <c r="AX406" s="195" t="str">
        <f aca="false">IF($A407="","",AM406*$E406)</f>
        <v/>
      </c>
      <c r="AY406" s="195" t="str">
        <f aca="false">IF($A407="","",AN406*$E406)</f>
        <v/>
      </c>
      <c r="BA406" s="195" t="str">
        <f aca="false">IF($A407="","",F406*Summary!$Q$11)</f>
        <v/>
      </c>
    </row>
    <row r="407" customFormat="false" ht="12.75" hidden="false" customHeight="false" outlineLevel="0" collapsed="false">
      <c r="A407" s="196" t="str">
        <f aca="false">IF(A406&lt;mthend,EDATE(A406,1),"")</f>
        <v/>
      </c>
      <c r="B407" s="197" t="str">
        <f aca="false">IF(A407&lt;mthend,B406,"")</f>
        <v/>
      </c>
      <c r="D407" s="197" t="str">
        <f aca="false">IF(A408&lt;&gt;"",B407+C407,"")</f>
        <v/>
      </c>
      <c r="E407" s="199" t="str">
        <f aca="false">IF(A408="","",IF(AND(AT407=1,$H$3=1),D407*AO407,IF($H$3=2,D407,"N/A")))</f>
        <v/>
      </c>
      <c r="F407" s="199" t="str">
        <f aca="false">IF(A408="","",E407*AS407)</f>
        <v/>
      </c>
      <c r="G407" s="200" t="str">
        <f aca="false">IF($A408="","",VLOOKUP($A407,Table,MATCH(G$4,Curves,0)))</f>
        <v/>
      </c>
      <c r="H407" s="201" t="str">
        <f aca="false">IF(A408="","",G407)</f>
        <v/>
      </c>
      <c r="J407" s="200" t="str">
        <f aca="false">IF($A408="","",VLOOKUP($A407,Table,MATCH(J$4,Curves,0)))</f>
        <v/>
      </c>
      <c r="K407" s="201" t="str">
        <f aca="false">IF(A408="","",J407)</f>
        <v/>
      </c>
      <c r="L407" s="200" t="str">
        <f aca="false">IF($A408="","",VLOOKUP($A407,Table,MATCH(L$4,Curves,0)))</f>
        <v/>
      </c>
      <c r="M407" s="201" t="str">
        <f aca="false">IF(A408="","",L407)</f>
        <v/>
      </c>
      <c r="O407" s="200" t="str">
        <f aca="false">IF(A408="","",L407+J407+G407)</f>
        <v/>
      </c>
      <c r="P407" s="200" t="str">
        <f aca="false">IF(A408="","",M407+K407+H407)</f>
        <v/>
      </c>
      <c r="R407" s="200" t="str">
        <f aca="false">IF($A408="","",VLOOKUP($A407,Table,MATCH(R$4,Curves,0)))</f>
        <v/>
      </c>
      <c r="S407" s="201" t="str">
        <f aca="false">IF(A408="","",R407)</f>
        <v/>
      </c>
      <c r="T407" s="185" t="n">
        <v>0</v>
      </c>
      <c r="U407" s="201" t="str">
        <f aca="false">IF(A408="","",T407)</f>
        <v/>
      </c>
      <c r="V407" s="205" t="str">
        <f aca="false">IF($A408="","",IF(AND(MONTH(A407)&gt;3,MONTH(A407)&lt;11),(T407+R407+G407)*Summary!$T$11/(1-Summary!$T$11),(T407+R407+G407)*Summary!$U$11/(1-Summary!$U$11)))</f>
        <v/>
      </c>
      <c r="W407" s="202" t="str">
        <f aca="false">IF($A408="","",(T407+R407+G407+V407))</f>
        <v/>
      </c>
      <c r="X407" s="202" t="str">
        <f aca="false">IF($A408="","",(U407+S407+H407+V407))</f>
        <v/>
      </c>
      <c r="Y407" s="202"/>
      <c r="Z407" s="185"/>
      <c r="AJ407" s="77"/>
      <c r="AK407" s="77"/>
      <c r="AL407" s="77"/>
      <c r="AM407" s="77"/>
      <c r="AN407" s="77"/>
      <c r="AO407" s="137" t="str">
        <f aca="false">IF(A408="","",A408-A407)</f>
        <v/>
      </c>
      <c r="AP407" s="212" t="str">
        <f aca="false">IF(A408="","",CHOOSE(F$3,A408+24,A407))</f>
        <v/>
      </c>
      <c r="AQ407" s="209" t="str">
        <f aca="false">IF(A408="","",AP407-$E$1)</f>
        <v/>
      </c>
      <c r="AR407" s="185" t="n">
        <f aca="false">'ANR OK vs ML7'!AR407</f>
        <v>0.1</v>
      </c>
      <c r="AS407" s="213" t="str">
        <f aca="false">IF(A408="","",1/(1+CHOOSE(F$3,(AR408+($I$3/10000))/2,(AR407+($I$3/10000))/2))^(2*AQ407/365.25))</f>
        <v/>
      </c>
      <c r="AT407" s="137" t="str">
        <f aca="false">IF(A408="","",IF(AND(mthbeg&lt;=A407,mthend&gt;=A407),1,0))</f>
        <v/>
      </c>
      <c r="AU407" s="137" t="str">
        <f aca="false">IF(A408="","",AO407*AT407)</f>
        <v/>
      </c>
      <c r="AW407" s="195" t="str">
        <f aca="false">IF($A408="","",AL407*$E407)</f>
        <v/>
      </c>
      <c r="AX407" s="195" t="str">
        <f aca="false">IF($A408="","",AM407*$E407)</f>
        <v/>
      </c>
      <c r="AY407" s="195" t="str">
        <f aca="false">IF($A408="","",AN407*$E407)</f>
        <v/>
      </c>
      <c r="BA407" s="195" t="str">
        <f aca="false">IF($A408="","",F407*Summary!$Q$11)</f>
        <v/>
      </c>
    </row>
    <row r="408" customFormat="false" ht="12.75" hidden="false" customHeight="false" outlineLevel="0" collapsed="false">
      <c r="A408" s="196" t="str">
        <f aca="false">IF(A407&lt;mthend,EDATE(A407,1),"")</f>
        <v/>
      </c>
      <c r="B408" s="197" t="str">
        <f aca="false">IF(A408&lt;mthend,B407,"")</f>
        <v/>
      </c>
      <c r="D408" s="197" t="str">
        <f aca="false">IF(A409&lt;&gt;"",B408+C408,"")</f>
        <v/>
      </c>
      <c r="E408" s="199" t="str">
        <f aca="false">IF(A409="","",IF(AND(AT408=1,$H$3=1),D408*AO408,IF($H$3=2,D408,"N/A")))</f>
        <v/>
      </c>
      <c r="F408" s="199" t="str">
        <f aca="false">IF(A409="","",E408*AS408)</f>
        <v/>
      </c>
      <c r="G408" s="200" t="str">
        <f aca="false">IF($A409="","",VLOOKUP($A408,Table,MATCH(G$4,Curves,0)))</f>
        <v/>
      </c>
      <c r="H408" s="201" t="str">
        <f aca="false">IF(A409="","",G408)</f>
        <v/>
      </c>
      <c r="J408" s="200" t="str">
        <f aca="false">IF($A409="","",VLOOKUP($A408,Table,MATCH(J$4,Curves,0)))</f>
        <v/>
      </c>
      <c r="K408" s="201" t="str">
        <f aca="false">IF(A409="","",J408)</f>
        <v/>
      </c>
      <c r="L408" s="200" t="str">
        <f aca="false">IF($A409="","",VLOOKUP($A408,Table,MATCH(L$4,Curves,0)))</f>
        <v/>
      </c>
      <c r="M408" s="201" t="str">
        <f aca="false">IF(A409="","",L408)</f>
        <v/>
      </c>
      <c r="O408" s="200" t="str">
        <f aca="false">IF(A409="","",L408+J408+G408)</f>
        <v/>
      </c>
      <c r="P408" s="200" t="str">
        <f aca="false">IF(A409="","",M408+K408+H408)</f>
        <v/>
      </c>
      <c r="R408" s="200" t="str">
        <f aca="false">IF($A409="","",VLOOKUP($A408,Table,MATCH(R$4,Curves,0)))</f>
        <v/>
      </c>
      <c r="S408" s="201" t="str">
        <f aca="false">IF(A409="","",R408)</f>
        <v/>
      </c>
      <c r="T408" s="185" t="n">
        <v>0</v>
      </c>
      <c r="U408" s="201" t="str">
        <f aca="false">IF(A409="","",T408)</f>
        <v/>
      </c>
      <c r="V408" s="205" t="str">
        <f aca="false">IF($A409="","",IF(AND(MONTH(A408)&gt;3,MONTH(A408)&lt;11),(T408+R408+G408)*Summary!$T$11/(1-Summary!$T$11),(T408+R408+G408)*Summary!$U$11/(1-Summary!$U$11)))</f>
        <v/>
      </c>
      <c r="W408" s="202" t="str">
        <f aca="false">IF($A409="","",(T408+R408+G408+V408))</f>
        <v/>
      </c>
      <c r="X408" s="202" t="str">
        <f aca="false">IF($A409="","",(U408+S408+H408+V408))</f>
        <v/>
      </c>
      <c r="Y408" s="202"/>
      <c r="Z408" s="185"/>
      <c r="AJ408" s="77"/>
      <c r="AK408" s="77"/>
      <c r="AL408" s="77"/>
      <c r="AM408" s="77"/>
      <c r="AN408" s="77"/>
      <c r="AO408" s="137" t="str">
        <f aca="false">IF(A409="","",A409-A408)</f>
        <v/>
      </c>
      <c r="AP408" s="212" t="str">
        <f aca="false">IF(A409="","",CHOOSE(F$3,A409+24,A408))</f>
        <v/>
      </c>
      <c r="AQ408" s="209" t="str">
        <f aca="false">IF(A409="","",AP408-$E$1)</f>
        <v/>
      </c>
      <c r="AR408" s="185" t="n">
        <f aca="false">'ANR OK vs ML7'!AR408</f>
        <v>0.1</v>
      </c>
      <c r="AS408" s="213" t="str">
        <f aca="false">IF(A409="","",1/(1+CHOOSE(F$3,(AR409+($I$3/10000))/2,(AR408+($I$3/10000))/2))^(2*AQ408/365.25))</f>
        <v/>
      </c>
      <c r="AT408" s="137" t="str">
        <f aca="false">IF(A409="","",IF(AND(mthbeg&lt;=A408,mthend&gt;=A408),1,0))</f>
        <v/>
      </c>
      <c r="AU408" s="137" t="str">
        <f aca="false">IF(A409="","",AO408*AT408)</f>
        <v/>
      </c>
      <c r="AW408" s="195" t="str">
        <f aca="false">IF($A409="","",AL408*$E408)</f>
        <v/>
      </c>
      <c r="AX408" s="195" t="str">
        <f aca="false">IF($A409="","",AM408*$E408)</f>
        <v/>
      </c>
      <c r="AY408" s="195" t="str">
        <f aca="false">IF($A409="","",AN408*$E408)</f>
        <v/>
      </c>
      <c r="BA408" s="195" t="str">
        <f aca="false">IF($A409="","",F408*Summary!$Q$11)</f>
        <v/>
      </c>
    </row>
    <row r="409" customFormat="false" ht="12.75" hidden="false" customHeight="false" outlineLevel="0" collapsed="false">
      <c r="A409" s="196" t="str">
        <f aca="false">IF(A408&lt;mthend,EDATE(A408,1),"")</f>
        <v/>
      </c>
      <c r="B409" s="197" t="str">
        <f aca="false">IF(A409&lt;mthend,B408,"")</f>
        <v/>
      </c>
      <c r="D409" s="197" t="str">
        <f aca="false">IF(A410&lt;&gt;"",B409+C409,"")</f>
        <v/>
      </c>
      <c r="E409" s="199" t="str">
        <f aca="false">IF(A410="","",IF(AND(AT409=1,$H$3=1),D409*AO409,IF($H$3=2,D409,"N/A")))</f>
        <v/>
      </c>
      <c r="F409" s="199" t="str">
        <f aca="false">IF(A410="","",E409*AS409)</f>
        <v/>
      </c>
      <c r="G409" s="200" t="str">
        <f aca="false">IF($A410="","",VLOOKUP($A409,Table,MATCH(G$4,Curves,0)))</f>
        <v/>
      </c>
      <c r="H409" s="201" t="str">
        <f aca="false">IF(A410="","",G409)</f>
        <v/>
      </c>
      <c r="J409" s="200" t="str">
        <f aca="false">IF($A410="","",VLOOKUP($A409,Table,MATCH(J$4,Curves,0)))</f>
        <v/>
      </c>
      <c r="K409" s="201" t="str">
        <f aca="false">IF(A410="","",J409)</f>
        <v/>
      </c>
      <c r="L409" s="200" t="str">
        <f aca="false">IF($A410="","",VLOOKUP($A409,Table,MATCH(L$4,Curves,0)))</f>
        <v/>
      </c>
      <c r="M409" s="201" t="str">
        <f aca="false">IF(A410="","",L409)</f>
        <v/>
      </c>
      <c r="O409" s="200" t="str">
        <f aca="false">IF(A410="","",L409+J409+G409)</f>
        <v/>
      </c>
      <c r="P409" s="200" t="str">
        <f aca="false">IF(A410="","",M409+K409+H409)</f>
        <v/>
      </c>
      <c r="R409" s="200" t="str">
        <f aca="false">IF($A410="","",VLOOKUP($A409,Table,MATCH(R$4,Curves,0)))</f>
        <v/>
      </c>
      <c r="S409" s="201" t="str">
        <f aca="false">IF(A410="","",R409)</f>
        <v/>
      </c>
      <c r="T409" s="185" t="n">
        <v>0</v>
      </c>
      <c r="U409" s="201" t="str">
        <f aca="false">IF(A410="","",T409)</f>
        <v/>
      </c>
      <c r="V409" s="205" t="str">
        <f aca="false">IF($A410="","",IF(AND(MONTH(A409)&gt;3,MONTH(A409)&lt;11),(T409+R409+G409)*Summary!$T$11/(1-Summary!$T$11),(T409+R409+G409)*Summary!$U$11/(1-Summary!$U$11)))</f>
        <v/>
      </c>
      <c r="W409" s="202" t="str">
        <f aca="false">IF($A410="","",(T409+R409+G409+V409))</f>
        <v/>
      </c>
      <c r="X409" s="202" t="str">
        <f aca="false">IF($A410="","",(U409+S409+H409+V409))</f>
        <v/>
      </c>
      <c r="Y409" s="202"/>
      <c r="Z409" s="185"/>
      <c r="AJ409" s="77"/>
      <c r="AK409" s="77"/>
      <c r="AL409" s="77"/>
      <c r="AM409" s="77"/>
      <c r="AN409" s="77"/>
      <c r="AO409" s="137" t="str">
        <f aca="false">IF(A410="","",A410-A409)</f>
        <v/>
      </c>
      <c r="AP409" s="212" t="str">
        <f aca="false">IF(A410="","",CHOOSE(F$3,A410+24,A409))</f>
        <v/>
      </c>
      <c r="AQ409" s="209" t="str">
        <f aca="false">IF(A410="","",AP409-$E$1)</f>
        <v/>
      </c>
      <c r="AR409" s="185" t="n">
        <f aca="false">'ANR OK vs ML7'!AR409</f>
        <v>0.1</v>
      </c>
      <c r="AS409" s="213" t="str">
        <f aca="false">IF(A410="","",1/(1+CHOOSE(F$3,(AR410+($I$3/10000))/2,(AR409+($I$3/10000))/2))^(2*AQ409/365.25))</f>
        <v/>
      </c>
      <c r="AT409" s="137" t="str">
        <f aca="false">IF(A410="","",IF(AND(mthbeg&lt;=A409,mthend&gt;=A409),1,0))</f>
        <v/>
      </c>
      <c r="AU409" s="137" t="str">
        <f aca="false">IF(A410="","",AO409*AT409)</f>
        <v/>
      </c>
      <c r="AW409" s="195" t="str">
        <f aca="false">IF($A410="","",AL409*$E409)</f>
        <v/>
      </c>
      <c r="AX409" s="195" t="str">
        <f aca="false">IF($A410="","",AM409*$E409)</f>
        <v/>
      </c>
      <c r="AY409" s="195" t="str">
        <f aca="false">IF($A410="","",AN409*$E409)</f>
        <v/>
      </c>
      <c r="BA409" s="195" t="str">
        <f aca="false">IF($A410="","",F409*Summary!$Q$11)</f>
        <v/>
      </c>
    </row>
    <row r="410" customFormat="false" ht="12.75" hidden="false" customHeight="false" outlineLevel="0" collapsed="false">
      <c r="A410" s="196" t="str">
        <f aca="false">IF(A409&lt;mthend,EDATE(A409,1),"")</f>
        <v/>
      </c>
      <c r="B410" s="197" t="str">
        <f aca="false">IF(A410&lt;mthend,B409,"")</f>
        <v/>
      </c>
      <c r="D410" s="197" t="str">
        <f aca="false">IF(A411&lt;&gt;"",B410+C410,"")</f>
        <v/>
      </c>
      <c r="E410" s="199" t="str">
        <f aca="false">IF(A411="","",IF(AND(AT410=1,$H$3=1),D410*AO410,IF($H$3=2,D410,"N/A")))</f>
        <v/>
      </c>
      <c r="F410" s="199" t="str">
        <f aca="false">IF(A411="","",E410*AS410)</f>
        <v/>
      </c>
      <c r="G410" s="200" t="str">
        <f aca="false">IF($A411="","",VLOOKUP($A410,Table,MATCH(G$4,Curves,0)))</f>
        <v/>
      </c>
      <c r="H410" s="201" t="str">
        <f aca="false">IF(A411="","",G410)</f>
        <v/>
      </c>
      <c r="J410" s="200" t="str">
        <f aca="false">IF($A411="","",VLOOKUP($A410,Table,MATCH(J$4,Curves,0)))</f>
        <v/>
      </c>
      <c r="K410" s="201" t="str">
        <f aca="false">IF(A411="","",J410)</f>
        <v/>
      </c>
      <c r="L410" s="200" t="str">
        <f aca="false">IF($A411="","",VLOOKUP($A410,Table,MATCH(L$4,Curves,0)))</f>
        <v/>
      </c>
      <c r="M410" s="201" t="str">
        <f aca="false">IF(A411="","",L410)</f>
        <v/>
      </c>
      <c r="O410" s="200" t="str">
        <f aca="false">IF(A411="","",L410+J410+G410)</f>
        <v/>
      </c>
      <c r="P410" s="200" t="str">
        <f aca="false">IF(A411="","",M410+K410+H410)</f>
        <v/>
      </c>
      <c r="R410" s="200" t="str">
        <f aca="false">IF($A411="","",VLOOKUP($A410,Table,MATCH(R$4,Curves,0)))</f>
        <v/>
      </c>
      <c r="S410" s="201" t="str">
        <f aca="false">IF(A411="","",R410)</f>
        <v/>
      </c>
      <c r="T410" s="185" t="n">
        <v>0</v>
      </c>
      <c r="U410" s="201" t="str">
        <f aca="false">IF(A411="","",T410)</f>
        <v/>
      </c>
      <c r="V410" s="205" t="str">
        <f aca="false">IF($A411="","",IF(AND(MONTH(A410)&gt;3,MONTH(A410)&lt;11),(T410+R410+G410)*Summary!$T$11/(1-Summary!$T$11),(T410+R410+G410)*Summary!$U$11/(1-Summary!$U$11)))</f>
        <v/>
      </c>
      <c r="W410" s="202" t="str">
        <f aca="false">IF($A411="","",(T410+R410+G410+V410))</f>
        <v/>
      </c>
      <c r="X410" s="202" t="str">
        <f aca="false">IF($A411="","",(U410+S410+H410+V410))</f>
        <v/>
      </c>
      <c r="Y410" s="202"/>
      <c r="Z410" s="185"/>
      <c r="AJ410" s="77"/>
      <c r="AK410" s="77"/>
      <c r="AL410" s="77"/>
      <c r="AM410" s="77"/>
      <c r="AN410" s="77"/>
      <c r="AO410" s="137" t="str">
        <f aca="false">IF(A411="","",A411-A410)</f>
        <v/>
      </c>
      <c r="AP410" s="212" t="str">
        <f aca="false">IF(A411="","",CHOOSE(F$3,A411+24,A410))</f>
        <v/>
      </c>
      <c r="AQ410" s="209" t="str">
        <f aca="false">IF(A411="","",AP410-$E$1)</f>
        <v/>
      </c>
      <c r="AR410" s="185" t="n">
        <f aca="false">'ANR OK vs ML7'!AR410</f>
        <v>0.1</v>
      </c>
      <c r="AS410" s="213" t="str">
        <f aca="false">IF(A411="","",1/(1+CHOOSE(F$3,(AR411+($I$3/10000))/2,(AR410+($I$3/10000))/2))^(2*AQ410/365.25))</f>
        <v/>
      </c>
      <c r="AT410" s="137" t="str">
        <f aca="false">IF(A411="","",IF(AND(mthbeg&lt;=A410,mthend&gt;=A410),1,0))</f>
        <v/>
      </c>
      <c r="AU410" s="137" t="str">
        <f aca="false">IF(A411="","",AO410*AT410)</f>
        <v/>
      </c>
      <c r="AW410" s="195" t="str">
        <f aca="false">IF($A411="","",AL410*$E410)</f>
        <v/>
      </c>
      <c r="AX410" s="195" t="str">
        <f aca="false">IF($A411="","",AM410*$E410)</f>
        <v/>
      </c>
      <c r="AY410" s="195" t="str">
        <f aca="false">IF($A411="","",AN410*$E410)</f>
        <v/>
      </c>
      <c r="BA410" s="195" t="str">
        <f aca="false">IF($A411="","",F410*Summary!$Q$11)</f>
        <v/>
      </c>
    </row>
    <row r="411" customFormat="false" ht="12.75" hidden="false" customHeight="false" outlineLevel="0" collapsed="false">
      <c r="A411" s="196" t="str">
        <f aca="false">IF(A410&lt;mthend,EDATE(A410,1),"")</f>
        <v/>
      </c>
      <c r="B411" s="197" t="str">
        <f aca="false">IF(A411&lt;mthend,B410,"")</f>
        <v/>
      </c>
      <c r="D411" s="197" t="str">
        <f aca="false">IF(A412&lt;&gt;"",B411+C411,"")</f>
        <v/>
      </c>
      <c r="E411" s="199" t="str">
        <f aca="false">IF(A412="","",IF(AND(AT411=1,$H$3=1),D411*AO411,IF($H$3=2,D411,"N/A")))</f>
        <v/>
      </c>
      <c r="F411" s="199" t="str">
        <f aca="false">IF(A412="","",E411*AS411)</f>
        <v/>
      </c>
      <c r="G411" s="200" t="str">
        <f aca="false">IF($A412="","",VLOOKUP($A411,Table,MATCH(G$4,Curves,0)))</f>
        <v/>
      </c>
      <c r="H411" s="201" t="str">
        <f aca="false">IF(A412="","",G411)</f>
        <v/>
      </c>
      <c r="J411" s="200" t="str">
        <f aca="false">IF($A412="","",VLOOKUP($A411,Table,MATCH(J$4,Curves,0)))</f>
        <v/>
      </c>
      <c r="K411" s="201" t="str">
        <f aca="false">IF(A412="","",J411)</f>
        <v/>
      </c>
      <c r="L411" s="200" t="str">
        <f aca="false">IF($A412="","",VLOOKUP($A411,Table,MATCH(L$4,Curves,0)))</f>
        <v/>
      </c>
      <c r="M411" s="201" t="str">
        <f aca="false">IF(A412="","",L411)</f>
        <v/>
      </c>
      <c r="O411" s="200" t="str">
        <f aca="false">IF(A412="","",L411+J411+G411)</f>
        <v/>
      </c>
      <c r="P411" s="200" t="str">
        <f aca="false">IF(A412="","",M411+K411+H411)</f>
        <v/>
      </c>
      <c r="R411" s="200" t="str">
        <f aca="false">IF($A412="","",VLOOKUP($A411,Table,MATCH(R$4,Curves,0)))</f>
        <v/>
      </c>
      <c r="S411" s="201" t="str">
        <f aca="false">IF(A412="","",R411)</f>
        <v/>
      </c>
      <c r="T411" s="185" t="n">
        <v>0</v>
      </c>
      <c r="U411" s="201" t="str">
        <f aca="false">IF(A412="","",T411)</f>
        <v/>
      </c>
      <c r="V411" s="205" t="str">
        <f aca="false">IF($A412="","",IF(AND(MONTH(A411)&gt;3,MONTH(A411)&lt;11),(T411+R411+G411)*Summary!$T$11/(1-Summary!$T$11),(T411+R411+G411)*Summary!$U$11/(1-Summary!$U$11)))</f>
        <v/>
      </c>
      <c r="W411" s="202" t="str">
        <f aca="false">IF($A412="","",(T411+R411+G411+V411))</f>
        <v/>
      </c>
      <c r="X411" s="202" t="str">
        <f aca="false">IF($A412="","",(U411+S411+H411+V411))</f>
        <v/>
      </c>
      <c r="Y411" s="202"/>
      <c r="Z411" s="185"/>
      <c r="AJ411" s="77"/>
      <c r="AK411" s="77"/>
      <c r="AL411" s="77"/>
      <c r="AM411" s="77"/>
      <c r="AN411" s="77"/>
      <c r="AO411" s="137" t="str">
        <f aca="false">IF(A412="","",A412-A411)</f>
        <v/>
      </c>
      <c r="AP411" s="212" t="str">
        <f aca="false">IF(A412="","",CHOOSE(F$3,A412+24,A411))</f>
        <v/>
      </c>
      <c r="AQ411" s="209" t="str">
        <f aca="false">IF(A412="","",AP411-$E$1)</f>
        <v/>
      </c>
      <c r="AR411" s="185" t="n">
        <f aca="false">'ANR OK vs ML7'!AR411</f>
        <v>0.1</v>
      </c>
      <c r="AS411" s="213" t="str">
        <f aca="false">IF(A412="","",1/(1+CHOOSE(F$3,(AR412+($I$3/10000))/2,(AR411+($I$3/10000))/2))^(2*AQ411/365.25))</f>
        <v/>
      </c>
      <c r="AT411" s="137" t="str">
        <f aca="false">IF(A412="","",IF(AND(mthbeg&lt;=A411,mthend&gt;=A411),1,0))</f>
        <v/>
      </c>
      <c r="AU411" s="137" t="str">
        <f aca="false">IF(A412="","",AO411*AT411)</f>
        <v/>
      </c>
      <c r="AW411" s="195" t="str">
        <f aca="false">IF($A412="","",AL411*$E411)</f>
        <v/>
      </c>
      <c r="AX411" s="195" t="str">
        <f aca="false">IF($A412="","",AM411*$E411)</f>
        <v/>
      </c>
      <c r="AY411" s="195" t="str">
        <f aca="false">IF($A412="","",AN411*$E411)</f>
        <v/>
      </c>
      <c r="BA411" s="195" t="str">
        <f aca="false">IF($A412="","",F411*Summary!$Q$11)</f>
        <v/>
      </c>
    </row>
    <row r="412" customFormat="false" ht="12.75" hidden="false" customHeight="false" outlineLevel="0" collapsed="false">
      <c r="A412" s="196" t="str">
        <f aca="false">IF(A411&lt;mthend,EDATE(A411,1),"")</f>
        <v/>
      </c>
      <c r="B412" s="197" t="str">
        <f aca="false">IF(A412&lt;mthend,B411,"")</f>
        <v/>
      </c>
      <c r="D412" s="197" t="str">
        <f aca="false">IF(A413&lt;&gt;"",B412+C412,"")</f>
        <v/>
      </c>
      <c r="E412" s="199" t="str">
        <f aca="false">IF(A413="","",IF(AND(AT412=1,$H$3=1),D412*AO412,IF($H$3=2,D412,"N/A")))</f>
        <v/>
      </c>
      <c r="F412" s="199" t="str">
        <f aca="false">IF(A413="","",E412*AS412)</f>
        <v/>
      </c>
      <c r="G412" s="200" t="str">
        <f aca="false">IF($A413="","",VLOOKUP($A412,Table,MATCH(G$4,Curves,0)))</f>
        <v/>
      </c>
      <c r="H412" s="201" t="str">
        <f aca="false">IF(A413="","",G412)</f>
        <v/>
      </c>
      <c r="J412" s="200" t="str">
        <f aca="false">IF($A413="","",VLOOKUP($A412,Table,MATCH(J$4,Curves,0)))</f>
        <v/>
      </c>
      <c r="K412" s="201" t="str">
        <f aca="false">IF(A413="","",J412)</f>
        <v/>
      </c>
      <c r="L412" s="200" t="str">
        <f aca="false">IF($A413="","",VLOOKUP($A412,Table,MATCH(L$4,Curves,0)))</f>
        <v/>
      </c>
      <c r="M412" s="201" t="str">
        <f aca="false">IF(A413="","",L412)</f>
        <v/>
      </c>
      <c r="O412" s="200" t="str">
        <f aca="false">IF(A413="","",L412+J412+G412)</f>
        <v/>
      </c>
      <c r="P412" s="200" t="str">
        <f aca="false">IF(A413="","",M412+K412+H412)</f>
        <v/>
      </c>
      <c r="R412" s="200" t="str">
        <f aca="false">IF($A413="","",VLOOKUP($A412,Table,MATCH(R$4,Curves,0)))</f>
        <v/>
      </c>
      <c r="S412" s="201" t="str">
        <f aca="false">IF(A413="","",R412)</f>
        <v/>
      </c>
      <c r="T412" s="185" t="n">
        <v>0</v>
      </c>
      <c r="U412" s="201" t="str">
        <f aca="false">IF(A413="","",T412)</f>
        <v/>
      </c>
      <c r="V412" s="205" t="str">
        <f aca="false">IF($A413="","",IF(AND(MONTH(A412)&gt;3,MONTH(A412)&lt;11),(T412+R412+G412)*Summary!$T$11/(1-Summary!$T$11),(T412+R412+G412)*Summary!$U$11/(1-Summary!$U$11)))</f>
        <v/>
      </c>
      <c r="W412" s="202" t="str">
        <f aca="false">IF($A413="","",(T412+R412+G412+V412))</f>
        <v/>
      </c>
      <c r="X412" s="202" t="str">
        <f aca="false">IF($A413="","",(U412+S412+H412+V412))</f>
        <v/>
      </c>
      <c r="Y412" s="202"/>
      <c r="Z412" s="185"/>
      <c r="AJ412" s="77"/>
      <c r="AK412" s="77"/>
      <c r="AL412" s="77"/>
      <c r="AM412" s="77"/>
      <c r="AN412" s="77"/>
      <c r="AO412" s="137" t="str">
        <f aca="false">IF(A413="","",A413-A412)</f>
        <v/>
      </c>
      <c r="AP412" s="212" t="str">
        <f aca="false">IF(A413="","",CHOOSE(F$3,A413+24,A412))</f>
        <v/>
      </c>
      <c r="AQ412" s="209" t="str">
        <f aca="false">IF(A413="","",AP412-$E$1)</f>
        <v/>
      </c>
      <c r="AR412" s="185" t="n">
        <f aca="false">'ANR OK vs ML7'!AR412</f>
        <v>0.1</v>
      </c>
      <c r="AS412" s="213" t="str">
        <f aca="false">IF(A413="","",1/(1+CHOOSE(F$3,(AR413+($I$3/10000))/2,(AR412+($I$3/10000))/2))^(2*AQ412/365.25))</f>
        <v/>
      </c>
      <c r="AT412" s="137" t="str">
        <f aca="false">IF(A413="","",IF(AND(mthbeg&lt;=A412,mthend&gt;=A412),1,0))</f>
        <v/>
      </c>
      <c r="AU412" s="137" t="str">
        <f aca="false">IF(A413="","",AO412*AT412)</f>
        <v/>
      </c>
      <c r="AW412" s="195" t="str">
        <f aca="false">IF($A413="","",AL412*$E412)</f>
        <v/>
      </c>
      <c r="AX412" s="195" t="str">
        <f aca="false">IF($A413="","",AM412*$E412)</f>
        <v/>
      </c>
      <c r="AY412" s="195" t="str">
        <f aca="false">IF($A413="","",AN412*$E412)</f>
        <v/>
      </c>
      <c r="BA412" s="195" t="str">
        <f aca="false">IF($A413="","",F412*Summary!$Q$11)</f>
        <v/>
      </c>
    </row>
    <row r="413" customFormat="false" ht="12.75" hidden="false" customHeight="false" outlineLevel="0" collapsed="false">
      <c r="A413" s="196" t="str">
        <f aca="false">IF(A412&lt;mthend,EDATE(A412,1),"")</f>
        <v/>
      </c>
      <c r="B413" s="197" t="str">
        <f aca="false">IF(A413&lt;mthend,B412,"")</f>
        <v/>
      </c>
      <c r="D413" s="197" t="str">
        <f aca="false">IF(A414&lt;&gt;"",B413+C413,"")</f>
        <v/>
      </c>
      <c r="E413" s="199" t="str">
        <f aca="false">IF(A414="","",IF(AND(AT413=1,$H$3=1),D413*AO413,IF($H$3=2,D413,"N/A")))</f>
        <v/>
      </c>
      <c r="F413" s="199" t="str">
        <f aca="false">IF(A414="","",E413*AS413)</f>
        <v/>
      </c>
      <c r="G413" s="200" t="str">
        <f aca="false">IF($A414="","",VLOOKUP($A413,Table,MATCH(G$4,Curves,0)))</f>
        <v/>
      </c>
      <c r="H413" s="201" t="str">
        <f aca="false">IF(A414="","",G413)</f>
        <v/>
      </c>
      <c r="J413" s="200" t="str">
        <f aca="false">IF($A414="","",VLOOKUP($A413,Table,MATCH(J$4,Curves,0)))</f>
        <v/>
      </c>
      <c r="K413" s="201" t="str">
        <f aca="false">IF(A414="","",J413)</f>
        <v/>
      </c>
      <c r="L413" s="200" t="str">
        <f aca="false">IF($A414="","",VLOOKUP($A413,Table,MATCH(L$4,Curves,0)))</f>
        <v/>
      </c>
      <c r="M413" s="201" t="str">
        <f aca="false">IF(A414="","",L413)</f>
        <v/>
      </c>
      <c r="O413" s="200" t="str">
        <f aca="false">IF(A414="","",L413+J413+G413)</f>
        <v/>
      </c>
      <c r="P413" s="200" t="str">
        <f aca="false">IF(A414="","",M413+K413+H413)</f>
        <v/>
      </c>
      <c r="R413" s="200" t="str">
        <f aca="false">IF($A414="","",VLOOKUP($A413,Table,MATCH(R$4,Curves,0)))</f>
        <v/>
      </c>
      <c r="S413" s="201" t="str">
        <f aca="false">IF(A414="","",R413)</f>
        <v/>
      </c>
      <c r="T413" s="185" t="n">
        <v>0</v>
      </c>
      <c r="U413" s="201" t="str">
        <f aca="false">IF(A414="","",T413)</f>
        <v/>
      </c>
      <c r="V413" s="205" t="str">
        <f aca="false">IF($A414="","",IF(AND(MONTH(A413)&gt;3,MONTH(A413)&lt;11),(T413+R413+G413)*Summary!$T$11/(1-Summary!$T$11),(T413+R413+G413)*Summary!$U$11/(1-Summary!$U$11)))</f>
        <v/>
      </c>
      <c r="W413" s="202" t="str">
        <f aca="false">IF($A414="","",(T413+R413+G413+V413))</f>
        <v/>
      </c>
      <c r="X413" s="202" t="str">
        <f aca="false">IF($A414="","",(U413+S413+H413+V413))</f>
        <v/>
      </c>
      <c r="Y413" s="202"/>
      <c r="Z413" s="185"/>
      <c r="AJ413" s="77"/>
      <c r="AK413" s="77"/>
      <c r="AL413" s="77"/>
      <c r="AM413" s="77"/>
      <c r="AN413" s="77"/>
      <c r="AO413" s="137" t="str">
        <f aca="false">IF(A414="","",A414-A413)</f>
        <v/>
      </c>
      <c r="AP413" s="212" t="str">
        <f aca="false">IF(A414="","",CHOOSE(F$3,A414+24,A413))</f>
        <v/>
      </c>
      <c r="AQ413" s="209" t="str">
        <f aca="false">IF(A414="","",AP413-$E$1)</f>
        <v/>
      </c>
      <c r="AR413" s="185" t="n">
        <f aca="false">'ANR OK vs ML7'!AR413</f>
        <v>0.1</v>
      </c>
      <c r="AS413" s="213" t="str">
        <f aca="false">IF(A414="","",1/(1+CHOOSE(F$3,(AR414+($I$3/10000))/2,(AR413+($I$3/10000))/2))^(2*AQ413/365.25))</f>
        <v/>
      </c>
      <c r="AT413" s="137" t="str">
        <f aca="false">IF(A414="","",IF(AND(mthbeg&lt;=A413,mthend&gt;=A413),1,0))</f>
        <v/>
      </c>
      <c r="AU413" s="137" t="str">
        <f aca="false">IF(A414="","",AO413*AT413)</f>
        <v/>
      </c>
      <c r="AW413" s="195" t="str">
        <f aca="false">IF($A414="","",AL413*$E413)</f>
        <v/>
      </c>
      <c r="AX413" s="195" t="str">
        <f aca="false">IF($A414="","",AM413*$E413)</f>
        <v/>
      </c>
      <c r="AY413" s="195" t="str">
        <f aca="false">IF($A414="","",AN413*$E413)</f>
        <v/>
      </c>
      <c r="BA413" s="195" t="str">
        <f aca="false">IF($A414="","",F413*Summary!$Q$11)</f>
        <v/>
      </c>
    </row>
    <row r="414" customFormat="false" ht="12.75" hidden="false" customHeight="false" outlineLevel="0" collapsed="false">
      <c r="A414" s="196" t="str">
        <f aca="false">IF(A413&lt;mthend,EDATE(A413,1),"")</f>
        <v/>
      </c>
      <c r="B414" s="197" t="str">
        <f aca="false">IF(A414&lt;mthend,B413,"")</f>
        <v/>
      </c>
      <c r="D414" s="197" t="str">
        <f aca="false">IF(A415&lt;&gt;"",B414+C414,"")</f>
        <v/>
      </c>
      <c r="E414" s="199" t="str">
        <f aca="false">IF(A415="","",IF(AND(AT414=1,$H$3=1),D414*AO414,IF($H$3=2,D414,"N/A")))</f>
        <v/>
      </c>
      <c r="F414" s="199" t="str">
        <f aca="false">IF(A415="","",E414*AS414)</f>
        <v/>
      </c>
      <c r="G414" s="200" t="str">
        <f aca="false">IF($A415="","",VLOOKUP($A414,Table,MATCH(G$4,Curves,0)))</f>
        <v/>
      </c>
      <c r="H414" s="201" t="str">
        <f aca="false">IF(A415="","",G414)</f>
        <v/>
      </c>
      <c r="J414" s="200" t="str">
        <f aca="false">IF($A415="","",VLOOKUP($A414,Table,MATCH(J$4,Curves,0)))</f>
        <v/>
      </c>
      <c r="K414" s="201" t="str">
        <f aca="false">IF(A415="","",J414)</f>
        <v/>
      </c>
      <c r="L414" s="200" t="str">
        <f aca="false">IF($A415="","",VLOOKUP($A414,Table,MATCH(L$4,Curves,0)))</f>
        <v/>
      </c>
      <c r="M414" s="201" t="str">
        <f aca="false">IF(A415="","",L414)</f>
        <v/>
      </c>
      <c r="O414" s="200" t="str">
        <f aca="false">IF(A415="","",L414+J414+G414)</f>
        <v/>
      </c>
      <c r="P414" s="200" t="str">
        <f aca="false">IF(A415="","",M414+K414+H414)</f>
        <v/>
      </c>
      <c r="R414" s="200" t="str">
        <f aca="false">IF($A415="","",VLOOKUP($A414,Table,MATCH(R$4,Curves,0)))</f>
        <v/>
      </c>
      <c r="S414" s="201" t="str">
        <f aca="false">IF(A415="","",R414)</f>
        <v/>
      </c>
      <c r="T414" s="185" t="n">
        <v>0</v>
      </c>
      <c r="U414" s="201" t="str">
        <f aca="false">IF(A415="","",T414)</f>
        <v/>
      </c>
      <c r="V414" s="205" t="str">
        <f aca="false">IF($A415="","",IF(AND(MONTH(A414)&gt;3,MONTH(A414)&lt;11),(T414+R414+G414)*Summary!$T$11/(1-Summary!$T$11),(T414+R414+G414)*Summary!$U$11/(1-Summary!$U$11)))</f>
        <v/>
      </c>
      <c r="W414" s="202" t="str">
        <f aca="false">IF($A415="","",(T414+R414+G414+V414))</f>
        <v/>
      </c>
      <c r="X414" s="202" t="str">
        <f aca="false">IF($A415="","",(U414+S414+H414+V414))</f>
        <v/>
      </c>
      <c r="Y414" s="202"/>
      <c r="Z414" s="185"/>
      <c r="AJ414" s="77"/>
      <c r="AK414" s="77"/>
      <c r="AL414" s="77"/>
      <c r="AM414" s="77"/>
      <c r="AN414" s="77"/>
      <c r="AO414" s="137" t="str">
        <f aca="false">IF(A415="","",A415-A414)</f>
        <v/>
      </c>
      <c r="AP414" s="212" t="str">
        <f aca="false">IF(A415="","",CHOOSE(F$3,A415+24,A414))</f>
        <v/>
      </c>
      <c r="AQ414" s="209" t="str">
        <f aca="false">IF(A415="","",AP414-$E$1)</f>
        <v/>
      </c>
      <c r="AR414" s="185" t="n">
        <f aca="false">'ANR OK vs ML7'!AR414</f>
        <v>0.1</v>
      </c>
      <c r="AS414" s="213" t="str">
        <f aca="false">IF(A415="","",1/(1+CHOOSE(F$3,(AR415+($I$3/10000))/2,(AR414+($I$3/10000))/2))^(2*AQ414/365.25))</f>
        <v/>
      </c>
      <c r="AT414" s="137" t="str">
        <f aca="false">IF(A415="","",IF(AND(mthbeg&lt;=A414,mthend&gt;=A414),1,0))</f>
        <v/>
      </c>
      <c r="AU414" s="137" t="str">
        <f aca="false">IF(A415="","",AO414*AT414)</f>
        <v/>
      </c>
      <c r="AW414" s="195" t="str">
        <f aca="false">IF($A415="","",AL414*$E414)</f>
        <v/>
      </c>
      <c r="AX414" s="195" t="str">
        <f aca="false">IF($A415="","",AM414*$E414)</f>
        <v/>
      </c>
      <c r="AY414" s="195" t="str">
        <f aca="false">IF($A415="","",AN414*$E414)</f>
        <v/>
      </c>
      <c r="BA414" s="195" t="str">
        <f aca="false">IF($A415="","",F414*Summary!$Q$11)</f>
        <v/>
      </c>
    </row>
    <row r="415" customFormat="false" ht="12.75" hidden="false" customHeight="false" outlineLevel="0" collapsed="false">
      <c r="A415" s="196" t="str">
        <f aca="false">IF(A414&lt;mthend,EDATE(A414,1),"")</f>
        <v/>
      </c>
      <c r="B415" s="197" t="str">
        <f aca="false">IF(A415&lt;mthend,B414,"")</f>
        <v/>
      </c>
      <c r="D415" s="197" t="str">
        <f aca="false">IF(A416&lt;&gt;"",B415+C415,"")</f>
        <v/>
      </c>
      <c r="E415" s="199" t="str">
        <f aca="false">IF(A416="","",IF(AND(AT415=1,$H$3=1),D415*AO415,IF($H$3=2,D415,"N/A")))</f>
        <v/>
      </c>
      <c r="F415" s="199" t="str">
        <f aca="false">IF(A416="","",E415*AS415)</f>
        <v/>
      </c>
      <c r="G415" s="200" t="str">
        <f aca="false">IF($A416="","",VLOOKUP($A415,Table,MATCH(G$4,Curves,0)))</f>
        <v/>
      </c>
      <c r="H415" s="201" t="str">
        <f aca="false">IF(A416="","",G415)</f>
        <v/>
      </c>
      <c r="J415" s="200" t="str">
        <f aca="false">IF($A416="","",VLOOKUP($A415,Table,MATCH(J$4,Curves,0)))</f>
        <v/>
      </c>
      <c r="K415" s="201" t="str">
        <f aca="false">IF(A416="","",J415)</f>
        <v/>
      </c>
      <c r="L415" s="200" t="str">
        <f aca="false">IF($A416="","",VLOOKUP($A415,Table,MATCH(L$4,Curves,0)))</f>
        <v/>
      </c>
      <c r="M415" s="201" t="str">
        <f aca="false">IF(A416="","",L415)</f>
        <v/>
      </c>
      <c r="O415" s="200" t="str">
        <f aca="false">IF(A416="","",L415+J415+G415)</f>
        <v/>
      </c>
      <c r="P415" s="200" t="str">
        <f aca="false">IF(A416="","",M415+K415+H415)</f>
        <v/>
      </c>
      <c r="R415" s="200" t="str">
        <f aca="false">IF($A416="","",VLOOKUP($A415,Table,MATCH(R$4,Curves,0)))</f>
        <v/>
      </c>
      <c r="S415" s="201" t="str">
        <f aca="false">IF(A416="","",R415)</f>
        <v/>
      </c>
      <c r="T415" s="185" t="n">
        <v>0</v>
      </c>
      <c r="U415" s="201" t="str">
        <f aca="false">IF(A416="","",T415)</f>
        <v/>
      </c>
      <c r="V415" s="205" t="str">
        <f aca="false">IF($A416="","",IF(AND(MONTH(A415)&gt;3,MONTH(A415)&lt;11),(T415+R415+G415)*Summary!$T$11/(1-Summary!$T$11),(T415+R415+G415)*Summary!$U$11/(1-Summary!$U$11)))</f>
        <v/>
      </c>
      <c r="W415" s="202" t="str">
        <f aca="false">IF($A416="","",(T415+R415+G415+V415))</f>
        <v/>
      </c>
      <c r="X415" s="202" t="str">
        <f aca="false">IF($A416="","",(U415+S415+H415+V415))</f>
        <v/>
      </c>
      <c r="Y415" s="202"/>
      <c r="Z415" s="185"/>
      <c r="AJ415" s="77"/>
      <c r="AK415" s="77"/>
      <c r="AL415" s="77"/>
      <c r="AM415" s="77"/>
      <c r="AN415" s="77"/>
      <c r="AO415" s="137" t="str">
        <f aca="false">IF(A416="","",A416-A415)</f>
        <v/>
      </c>
      <c r="AP415" s="212" t="str">
        <f aca="false">IF(A416="","",CHOOSE(F$3,A416+24,A415))</f>
        <v/>
      </c>
      <c r="AQ415" s="209" t="str">
        <f aca="false">IF(A416="","",AP415-$E$1)</f>
        <v/>
      </c>
      <c r="AR415" s="185" t="n">
        <f aca="false">'ANR OK vs ML7'!AR415</f>
        <v>0.1</v>
      </c>
      <c r="AS415" s="213" t="str">
        <f aca="false">IF(A416="","",1/(1+CHOOSE(F$3,(AR416+($I$3/10000))/2,(AR415+($I$3/10000))/2))^(2*AQ415/365.25))</f>
        <v/>
      </c>
      <c r="AT415" s="137" t="str">
        <f aca="false">IF(A416="","",IF(AND(mthbeg&lt;=A415,mthend&gt;=A415),1,0))</f>
        <v/>
      </c>
      <c r="AU415" s="137" t="str">
        <f aca="false">IF(A416="","",AO415*AT415)</f>
        <v/>
      </c>
      <c r="AW415" s="195" t="str">
        <f aca="false">IF($A416="","",AL415*$E415)</f>
        <v/>
      </c>
      <c r="AX415" s="195" t="str">
        <f aca="false">IF($A416="","",AM415*$E415)</f>
        <v/>
      </c>
      <c r="AY415" s="195" t="str">
        <f aca="false">IF($A416="","",AN415*$E415)</f>
        <v/>
      </c>
      <c r="BA415" s="195" t="str">
        <f aca="false">IF($A416="","",F415*Summary!$Q$11)</f>
        <v/>
      </c>
    </row>
    <row r="416" customFormat="false" ht="12.75" hidden="false" customHeight="false" outlineLevel="0" collapsed="false">
      <c r="A416" s="196" t="str">
        <f aca="false">IF(A415&lt;mthend,EDATE(A415,1),"")</f>
        <v/>
      </c>
      <c r="B416" s="197" t="str">
        <f aca="false">IF(A416&lt;mthend,B415,"")</f>
        <v/>
      </c>
      <c r="D416" s="197" t="str">
        <f aca="false">IF(A417&lt;&gt;"",B416+C416,"")</f>
        <v/>
      </c>
      <c r="E416" s="199" t="str">
        <f aca="false">IF(A417="","",IF(AND(AT416=1,$H$3=1),D416*AO416,IF($H$3=2,D416,"N/A")))</f>
        <v/>
      </c>
      <c r="F416" s="199" t="str">
        <f aca="false">IF(A417="","",E416*AS416)</f>
        <v/>
      </c>
      <c r="G416" s="200" t="str">
        <f aca="false">IF($A417="","",VLOOKUP($A416,Table,MATCH(G$4,Curves,0)))</f>
        <v/>
      </c>
      <c r="H416" s="201" t="str">
        <f aca="false">IF(A417="","",G416)</f>
        <v/>
      </c>
      <c r="J416" s="200" t="str">
        <f aca="false">IF($A417="","",VLOOKUP($A416,Table,MATCH(J$4,Curves,0)))</f>
        <v/>
      </c>
      <c r="K416" s="201" t="str">
        <f aca="false">IF(A417="","",J416)</f>
        <v/>
      </c>
      <c r="L416" s="200" t="str">
        <f aca="false">IF($A417="","",VLOOKUP($A416,Table,MATCH(L$4,Curves,0)))</f>
        <v/>
      </c>
      <c r="M416" s="201" t="str">
        <f aca="false">IF(A417="","",L416)</f>
        <v/>
      </c>
      <c r="O416" s="200" t="str">
        <f aca="false">IF(A417="","",L416+J416+G416)</f>
        <v/>
      </c>
      <c r="P416" s="200" t="str">
        <f aca="false">IF(A417="","",M416+K416+H416)</f>
        <v/>
      </c>
      <c r="R416" s="200" t="str">
        <f aca="false">IF($A417="","",VLOOKUP($A416,Table,MATCH(R$4,Curves,0)))</f>
        <v/>
      </c>
      <c r="S416" s="201" t="str">
        <f aca="false">IF(A417="","",R416)</f>
        <v/>
      </c>
      <c r="T416" s="185" t="n">
        <v>0</v>
      </c>
      <c r="U416" s="201" t="str">
        <f aca="false">IF(A417="","",T416)</f>
        <v/>
      </c>
      <c r="V416" s="205" t="str">
        <f aca="false">IF($A417="","",IF(AND(MONTH(A416)&gt;3,MONTH(A416)&lt;11),(T416+R416+G416)*Summary!$T$11/(1-Summary!$T$11),(T416+R416+G416)*Summary!$U$11/(1-Summary!$U$11)))</f>
        <v/>
      </c>
      <c r="W416" s="202" t="str">
        <f aca="false">IF($A417="","",(T416+R416+G416+V416))</f>
        <v/>
      </c>
      <c r="X416" s="202" t="str">
        <f aca="false">IF($A417="","",(U416+S416+H416+V416))</f>
        <v/>
      </c>
      <c r="Y416" s="202"/>
      <c r="Z416" s="185"/>
      <c r="AJ416" s="77"/>
      <c r="AK416" s="77"/>
      <c r="AL416" s="77"/>
      <c r="AM416" s="77"/>
      <c r="AN416" s="77"/>
      <c r="AO416" s="137" t="str">
        <f aca="false">IF(A417="","",A417-A416)</f>
        <v/>
      </c>
      <c r="AP416" s="212" t="str">
        <f aca="false">IF(A417="","",CHOOSE(F$3,A417+24,A416))</f>
        <v/>
      </c>
      <c r="AQ416" s="209" t="str">
        <f aca="false">IF(A417="","",AP416-$E$1)</f>
        <v/>
      </c>
      <c r="AR416" s="185" t="n">
        <f aca="false">'ANR OK vs ML7'!AR416</f>
        <v>0.1</v>
      </c>
      <c r="AS416" s="213" t="str">
        <f aca="false">IF(A417="","",1/(1+CHOOSE(F$3,(AR417+($I$3/10000))/2,(AR416+($I$3/10000))/2))^(2*AQ416/365.25))</f>
        <v/>
      </c>
      <c r="AT416" s="137" t="str">
        <f aca="false">IF(A417="","",IF(AND(mthbeg&lt;=A416,mthend&gt;=A416),1,0))</f>
        <v/>
      </c>
      <c r="AU416" s="137" t="str">
        <f aca="false">IF(A417="","",AO416*AT416)</f>
        <v/>
      </c>
      <c r="AW416" s="195" t="str">
        <f aca="false">IF($A417="","",AL416*$E416)</f>
        <v/>
      </c>
      <c r="AX416" s="195" t="str">
        <f aca="false">IF($A417="","",AM416*$E416)</f>
        <v/>
      </c>
      <c r="AY416" s="195" t="str">
        <f aca="false">IF($A417="","",AN416*$E416)</f>
        <v/>
      </c>
      <c r="BA416" s="195" t="str">
        <f aca="false">IF($A417="","",F416*Summary!$Q$11)</f>
        <v/>
      </c>
    </row>
    <row r="417" customFormat="false" ht="12.75" hidden="false" customHeight="false" outlineLevel="0" collapsed="false">
      <c r="A417" s="196" t="str">
        <f aca="false">IF(A416&lt;mthend,EDATE(A416,1),"")</f>
        <v/>
      </c>
      <c r="B417" s="197" t="str">
        <f aca="false">IF(A417&lt;mthend,B416,"")</f>
        <v/>
      </c>
      <c r="D417" s="197" t="str">
        <f aca="false">IF(A418&lt;&gt;"",B417+C417,"")</f>
        <v/>
      </c>
      <c r="E417" s="199" t="str">
        <f aca="false">IF(A418="","",IF(AND(AT417=1,$H$3=1),D417*AO417,IF($H$3=2,D417,"N/A")))</f>
        <v/>
      </c>
      <c r="F417" s="199" t="str">
        <f aca="false">IF(A418="","",E417*AS417)</f>
        <v/>
      </c>
      <c r="G417" s="200" t="str">
        <f aca="false">IF($A418="","",VLOOKUP($A417,Table,MATCH(G$4,Curves,0)))</f>
        <v/>
      </c>
      <c r="H417" s="201" t="str">
        <f aca="false">IF(A418="","",G417)</f>
        <v/>
      </c>
      <c r="J417" s="200" t="str">
        <f aca="false">IF($A418="","",VLOOKUP($A417,Table,MATCH(J$4,Curves,0)))</f>
        <v/>
      </c>
      <c r="K417" s="201" t="str">
        <f aca="false">IF(A418="","",J417)</f>
        <v/>
      </c>
      <c r="L417" s="200" t="str">
        <f aca="false">IF($A418="","",VLOOKUP($A417,Table,MATCH(L$4,Curves,0)))</f>
        <v/>
      </c>
      <c r="M417" s="201" t="str">
        <f aca="false">IF(A418="","",L417)</f>
        <v/>
      </c>
      <c r="O417" s="200" t="str">
        <f aca="false">IF(A418="","",L417+J417+G417)</f>
        <v/>
      </c>
      <c r="P417" s="200" t="str">
        <f aca="false">IF(A418="","",M417+K417+H417)</f>
        <v/>
      </c>
      <c r="R417" s="200" t="str">
        <f aca="false">IF($A418="","",VLOOKUP($A417,Table,MATCH(R$4,Curves,0)))</f>
        <v/>
      </c>
      <c r="S417" s="201" t="str">
        <f aca="false">IF(A418="","",R417)</f>
        <v/>
      </c>
      <c r="T417" s="185" t="n">
        <v>0</v>
      </c>
      <c r="U417" s="201" t="str">
        <f aca="false">IF(A418="","",T417)</f>
        <v/>
      </c>
      <c r="V417" s="205" t="str">
        <f aca="false">IF($A418="","",IF(AND(MONTH(A417)&gt;3,MONTH(A417)&lt;11),(T417+R417+G417)*Summary!$T$11/(1-Summary!$T$11),(T417+R417+G417)*Summary!$U$11/(1-Summary!$U$11)))</f>
        <v/>
      </c>
      <c r="W417" s="202" t="str">
        <f aca="false">IF($A418="","",(T417+R417+G417+V417))</f>
        <v/>
      </c>
      <c r="X417" s="202" t="str">
        <f aca="false">IF($A418="","",(U417+S417+H417+V417))</f>
        <v/>
      </c>
      <c r="Y417" s="202"/>
      <c r="Z417" s="185"/>
      <c r="AJ417" s="77"/>
      <c r="AK417" s="77"/>
      <c r="AL417" s="77"/>
      <c r="AM417" s="77"/>
      <c r="AN417" s="77"/>
      <c r="AO417" s="137" t="str">
        <f aca="false">IF(A418="","",A418-A417)</f>
        <v/>
      </c>
      <c r="AP417" s="212" t="str">
        <f aca="false">IF(A418="","",CHOOSE(F$3,A418+24,A417))</f>
        <v/>
      </c>
      <c r="AQ417" s="209" t="str">
        <f aca="false">IF(A418="","",AP417-$E$1)</f>
        <v/>
      </c>
      <c r="AR417" s="185" t="n">
        <f aca="false">'ANR OK vs ML7'!AR417</f>
        <v>0.1</v>
      </c>
      <c r="AS417" s="213" t="str">
        <f aca="false">IF(A418="","",1/(1+CHOOSE(F$3,(AR418+($I$3/10000))/2,(AR417+($I$3/10000))/2))^(2*AQ417/365.25))</f>
        <v/>
      </c>
      <c r="AT417" s="137" t="str">
        <f aca="false">IF(A418="","",IF(AND(mthbeg&lt;=A417,mthend&gt;=A417),1,0))</f>
        <v/>
      </c>
      <c r="AU417" s="137" t="str">
        <f aca="false">IF(A418="","",AO417*AT417)</f>
        <v/>
      </c>
      <c r="AW417" s="195" t="str">
        <f aca="false">IF($A418="","",AL417*$E417)</f>
        <v/>
      </c>
      <c r="AX417" s="195" t="str">
        <f aca="false">IF($A418="","",AM417*$E417)</f>
        <v/>
      </c>
      <c r="AY417" s="195" t="str">
        <f aca="false">IF($A418="","",AN417*$E417)</f>
        <v/>
      </c>
      <c r="BA417" s="195" t="str">
        <f aca="false">IF($A418="","",F417*Summary!$Q$11)</f>
        <v/>
      </c>
    </row>
    <row r="418" customFormat="false" ht="12.75" hidden="false" customHeight="false" outlineLevel="0" collapsed="false">
      <c r="A418" s="196" t="str">
        <f aca="false">IF(A417&lt;mthend,EDATE(A417,1),"")</f>
        <v/>
      </c>
      <c r="B418" s="197" t="str">
        <f aca="false">IF(A418&lt;mthend,B417,"")</f>
        <v/>
      </c>
      <c r="D418" s="197" t="str">
        <f aca="false">IF(A419&lt;&gt;"",B418+C418,"")</f>
        <v/>
      </c>
      <c r="E418" s="199" t="str">
        <f aca="false">IF(A419="","",IF(AND(AT418=1,$H$3=1),D418*AO418,IF($H$3=2,D418,"N/A")))</f>
        <v/>
      </c>
      <c r="F418" s="199" t="str">
        <f aca="false">IF(A419="","",E418*AS418)</f>
        <v/>
      </c>
      <c r="G418" s="200" t="str">
        <f aca="false">IF($A419="","",VLOOKUP($A418,Table,MATCH(G$4,Curves,0)))</f>
        <v/>
      </c>
      <c r="H418" s="201" t="str">
        <f aca="false">IF(A419="","",G418)</f>
        <v/>
      </c>
      <c r="J418" s="200" t="str">
        <f aca="false">IF($A419="","",VLOOKUP($A418,Table,MATCH(J$4,Curves,0)))</f>
        <v/>
      </c>
      <c r="K418" s="201" t="str">
        <f aca="false">IF(A419="","",J418)</f>
        <v/>
      </c>
      <c r="L418" s="200" t="str">
        <f aca="false">IF($A419="","",VLOOKUP($A418,Table,MATCH(L$4,Curves,0)))</f>
        <v/>
      </c>
      <c r="M418" s="201" t="str">
        <f aca="false">IF(A419="","",L418)</f>
        <v/>
      </c>
      <c r="O418" s="200" t="str">
        <f aca="false">IF(A419="","",L418+J418+G418)</f>
        <v/>
      </c>
      <c r="P418" s="200" t="str">
        <f aca="false">IF(A419="","",M418+K418+H418)</f>
        <v/>
      </c>
      <c r="R418" s="200" t="str">
        <f aca="false">IF($A419="","",VLOOKUP($A418,Table,MATCH(R$4,Curves,0)))</f>
        <v/>
      </c>
      <c r="S418" s="201" t="str">
        <f aca="false">IF(A419="","",R418)</f>
        <v/>
      </c>
      <c r="T418" s="185" t="n">
        <v>0</v>
      </c>
      <c r="U418" s="201" t="str">
        <f aca="false">IF(A419="","",T418)</f>
        <v/>
      </c>
      <c r="V418" s="205" t="str">
        <f aca="false">IF($A419="","",IF(AND(MONTH(A418)&gt;3,MONTH(A418)&lt;11),(T418+R418+G418)*Summary!$T$11/(1-Summary!$T$11),(T418+R418+G418)*Summary!$U$11/(1-Summary!$U$11)))</f>
        <v/>
      </c>
      <c r="W418" s="202" t="str">
        <f aca="false">IF($A419="","",(T418+R418+G418+V418))</f>
        <v/>
      </c>
      <c r="X418" s="202" t="str">
        <f aca="false">IF($A419="","",(U418+S418+H418+V418))</f>
        <v/>
      </c>
      <c r="Y418" s="202"/>
      <c r="Z418" s="185"/>
      <c r="AJ418" s="77"/>
      <c r="AK418" s="77"/>
      <c r="AL418" s="77"/>
      <c r="AM418" s="77"/>
      <c r="AN418" s="77"/>
      <c r="AO418" s="137" t="str">
        <f aca="false">IF(A419="","",A419-A418)</f>
        <v/>
      </c>
      <c r="AP418" s="212" t="str">
        <f aca="false">IF(A419="","",CHOOSE(F$3,A419+24,A418))</f>
        <v/>
      </c>
      <c r="AQ418" s="209" t="str">
        <f aca="false">IF(A419="","",AP418-$E$1)</f>
        <v/>
      </c>
      <c r="AR418" s="185" t="n">
        <f aca="false">'ANR OK vs ML7'!AR418</f>
        <v>0.1</v>
      </c>
      <c r="AS418" s="213" t="str">
        <f aca="false">IF(A419="","",1/(1+CHOOSE(F$3,(AR419+($I$3/10000))/2,(AR418+($I$3/10000))/2))^(2*AQ418/365.25))</f>
        <v/>
      </c>
      <c r="AT418" s="137" t="str">
        <f aca="false">IF(A419="","",IF(AND(mthbeg&lt;=A418,mthend&gt;=A418),1,0))</f>
        <v/>
      </c>
      <c r="AU418" s="137" t="str">
        <f aca="false">IF(A419="","",AO418*AT418)</f>
        <v/>
      </c>
      <c r="AW418" s="195" t="str">
        <f aca="false">IF($A419="","",AL418*$E418)</f>
        <v/>
      </c>
      <c r="AX418" s="195" t="str">
        <f aca="false">IF($A419="","",AM418*$E418)</f>
        <v/>
      </c>
      <c r="AY418" s="195" t="str">
        <f aca="false">IF($A419="","",AN418*$E418)</f>
        <v/>
      </c>
      <c r="BA418" s="195" t="str">
        <f aca="false">IF($A419="","",F418*Summary!$Q$11)</f>
        <v/>
      </c>
    </row>
    <row r="419" customFormat="false" ht="12.75" hidden="false" customHeight="false" outlineLevel="0" collapsed="false">
      <c r="A419" s="196" t="str">
        <f aca="false">IF(A418&lt;mthend,EDATE(A418,1),"")</f>
        <v/>
      </c>
      <c r="B419" s="197" t="str">
        <f aca="false">IF(A419&lt;mthend,B418,"")</f>
        <v/>
      </c>
      <c r="D419" s="197" t="str">
        <f aca="false">IF(A420&lt;&gt;"",B419+C419,"")</f>
        <v/>
      </c>
      <c r="E419" s="199" t="str">
        <f aca="false">IF(A420="","",IF(AND(AT419=1,$H$3=1),D419*AO419,IF($H$3=2,D419,"N/A")))</f>
        <v/>
      </c>
      <c r="F419" s="199" t="str">
        <f aca="false">IF(A420="","",E419*AS419)</f>
        <v/>
      </c>
      <c r="G419" s="200" t="str">
        <f aca="false">IF($A420="","",VLOOKUP($A419,Table,MATCH(G$4,Curves,0)))</f>
        <v/>
      </c>
      <c r="H419" s="201" t="str">
        <f aca="false">IF(A420="","",G419)</f>
        <v/>
      </c>
      <c r="J419" s="200" t="str">
        <f aca="false">IF($A420="","",VLOOKUP($A419,Table,MATCH(J$4,Curves,0)))</f>
        <v/>
      </c>
      <c r="K419" s="201" t="str">
        <f aca="false">IF(A420="","",J419)</f>
        <v/>
      </c>
      <c r="L419" s="200" t="str">
        <f aca="false">IF($A420="","",VLOOKUP($A419,Table,MATCH(L$4,Curves,0)))</f>
        <v/>
      </c>
      <c r="M419" s="201" t="str">
        <f aca="false">IF(A420="","",L419)</f>
        <v/>
      </c>
      <c r="O419" s="200" t="str">
        <f aca="false">IF(A420="","",L419+J419+G419)</f>
        <v/>
      </c>
      <c r="P419" s="200" t="str">
        <f aca="false">IF(A420="","",M419+K419+H419)</f>
        <v/>
      </c>
      <c r="R419" s="200" t="str">
        <f aca="false">IF($A420="","",VLOOKUP($A419,Table,MATCH(R$4,Curves,0)))</f>
        <v/>
      </c>
      <c r="S419" s="201" t="str">
        <f aca="false">IF(A420="","",R419)</f>
        <v/>
      </c>
      <c r="T419" s="185" t="n">
        <v>0</v>
      </c>
      <c r="U419" s="201" t="str">
        <f aca="false">IF(A420="","",T419)</f>
        <v/>
      </c>
      <c r="V419" s="205" t="str">
        <f aca="false">IF($A420="","",IF(AND(MONTH(A419)&gt;3,MONTH(A419)&lt;11),(T419+R419+G419)*Summary!$T$11/(1-Summary!$T$11),(T419+R419+G419)*Summary!$U$11/(1-Summary!$U$11)))</f>
        <v/>
      </c>
      <c r="W419" s="202" t="str">
        <f aca="false">IF($A420="","",(T419+R419+G419+V419))</f>
        <v/>
      </c>
      <c r="X419" s="202" t="str">
        <f aca="false">IF($A420="","",(U419+S419+H419+V419))</f>
        <v/>
      </c>
      <c r="Y419" s="202"/>
      <c r="Z419" s="185"/>
      <c r="AJ419" s="77"/>
      <c r="AK419" s="77"/>
      <c r="AL419" s="77"/>
      <c r="AM419" s="77"/>
      <c r="AN419" s="77"/>
      <c r="AO419" s="137" t="str">
        <f aca="false">IF(A420="","",A420-A419)</f>
        <v/>
      </c>
      <c r="AP419" s="212" t="str">
        <f aca="false">IF(A420="","",CHOOSE(F$3,A420+24,A419))</f>
        <v/>
      </c>
      <c r="AQ419" s="209" t="str">
        <f aca="false">IF(A420="","",AP419-$E$1)</f>
        <v/>
      </c>
      <c r="AR419" s="185" t="n">
        <f aca="false">'ANR OK vs ML7'!AR419</f>
        <v>0.1</v>
      </c>
      <c r="AS419" s="213" t="str">
        <f aca="false">IF(A420="","",1/(1+CHOOSE(F$3,(AR420+($I$3/10000))/2,(AR419+($I$3/10000))/2))^(2*AQ419/365.25))</f>
        <v/>
      </c>
      <c r="AT419" s="137" t="str">
        <f aca="false">IF(A420="","",IF(AND(mthbeg&lt;=A419,mthend&gt;=A419),1,0))</f>
        <v/>
      </c>
      <c r="AU419" s="137" t="str">
        <f aca="false">IF(A420="","",AO419*AT419)</f>
        <v/>
      </c>
      <c r="AW419" s="195" t="str">
        <f aca="false">IF($A420="","",AL419*$E419)</f>
        <v/>
      </c>
      <c r="AX419" s="195" t="str">
        <f aca="false">IF($A420="","",AM419*$E419)</f>
        <v/>
      </c>
      <c r="AY419" s="195" t="str">
        <f aca="false">IF($A420="","",AN419*$E419)</f>
        <v/>
      </c>
      <c r="BA419" s="195" t="str">
        <f aca="false">IF($A420="","",F419*Summary!$Q$11)</f>
        <v/>
      </c>
    </row>
    <row r="420" customFormat="false" ht="12.75" hidden="false" customHeight="false" outlineLevel="0" collapsed="false">
      <c r="A420" s="196" t="str">
        <f aca="false">IF(A419&lt;mthend,EDATE(A419,1),"")</f>
        <v/>
      </c>
      <c r="B420" s="197" t="str">
        <f aca="false">IF(A420&lt;mthend,B419,"")</f>
        <v/>
      </c>
      <c r="D420" s="197" t="str">
        <f aca="false">IF(A421&lt;&gt;"",B420+C420,"")</f>
        <v/>
      </c>
      <c r="E420" s="199" t="str">
        <f aca="false">IF(A421="","",IF(AND(AT420=1,$H$3=1),D420*AO420,IF($H$3=2,D420,"N/A")))</f>
        <v/>
      </c>
      <c r="F420" s="199" t="str">
        <f aca="false">IF(A421="","",E420*AS420)</f>
        <v/>
      </c>
      <c r="G420" s="200" t="str">
        <f aca="false">IF($A421="","",VLOOKUP($A420,Table,MATCH(G$4,Curves,0)))</f>
        <v/>
      </c>
      <c r="H420" s="201" t="str">
        <f aca="false">IF(A421="","",G420)</f>
        <v/>
      </c>
      <c r="J420" s="200" t="str">
        <f aca="false">IF($A421="","",VLOOKUP($A420,Table,MATCH(J$4,Curves,0)))</f>
        <v/>
      </c>
      <c r="K420" s="201" t="str">
        <f aca="false">IF(A421="","",J420)</f>
        <v/>
      </c>
      <c r="L420" s="200" t="str">
        <f aca="false">IF($A421="","",VLOOKUP($A420,Table,MATCH(L$4,Curves,0)))</f>
        <v/>
      </c>
      <c r="M420" s="201" t="str">
        <f aca="false">IF(A421="","",L420)</f>
        <v/>
      </c>
      <c r="O420" s="200" t="str">
        <f aca="false">IF(A421="","",L420+J420+G420)</f>
        <v/>
      </c>
      <c r="P420" s="200" t="str">
        <f aca="false">IF(A421="","",M420+K420+H420)</f>
        <v/>
      </c>
      <c r="R420" s="200" t="str">
        <f aca="false">IF($A421="","",VLOOKUP($A420,Table,MATCH(R$4,Curves,0)))</f>
        <v/>
      </c>
      <c r="S420" s="201" t="str">
        <f aca="false">IF(A421="","",R420)</f>
        <v/>
      </c>
      <c r="T420" s="185" t="n">
        <v>0</v>
      </c>
      <c r="U420" s="201" t="str">
        <f aca="false">IF(A421="","",T420)</f>
        <v/>
      </c>
      <c r="V420" s="205" t="str">
        <f aca="false">IF($A421="","",IF(AND(MONTH(A420)&gt;3,MONTH(A420)&lt;11),(T420+R420+G420)*Summary!$T$11/(1-Summary!$T$11),(T420+R420+G420)*Summary!$U$11/(1-Summary!$U$11)))</f>
        <v/>
      </c>
      <c r="W420" s="202" t="str">
        <f aca="false">IF($A421="","",(T420+R420+G420+V420))</f>
        <v/>
      </c>
      <c r="X420" s="202" t="str">
        <f aca="false">IF($A421="","",(U420+S420+H420+V420))</f>
        <v/>
      </c>
      <c r="Y420" s="202"/>
      <c r="Z420" s="185"/>
      <c r="AJ420" s="77"/>
      <c r="AK420" s="77"/>
      <c r="AL420" s="77"/>
      <c r="AM420" s="77"/>
      <c r="AN420" s="77"/>
      <c r="AO420" s="137" t="str">
        <f aca="false">IF(A421="","",A421-A420)</f>
        <v/>
      </c>
      <c r="AP420" s="212" t="str">
        <f aca="false">IF(A421="","",CHOOSE(F$3,A421+24,A420))</f>
        <v/>
      </c>
      <c r="AQ420" s="209" t="str">
        <f aca="false">IF(A421="","",AP420-$E$1)</f>
        <v/>
      </c>
      <c r="AR420" s="185" t="n">
        <f aca="false">'ANR OK vs ML7'!AR420</f>
        <v>0.1</v>
      </c>
      <c r="AS420" s="213" t="str">
        <f aca="false">IF(A421="","",1/(1+CHOOSE(F$3,(AR421+($I$3/10000))/2,(AR420+($I$3/10000))/2))^(2*AQ420/365.25))</f>
        <v/>
      </c>
      <c r="AT420" s="137" t="str">
        <f aca="false">IF(A421="","",IF(AND(mthbeg&lt;=A420,mthend&gt;=A420),1,0))</f>
        <v/>
      </c>
      <c r="AU420" s="137" t="str">
        <f aca="false">IF(A421="","",AO420*AT420)</f>
        <v/>
      </c>
      <c r="AW420" s="195" t="str">
        <f aca="false">IF($A421="","",AL420*$E420)</f>
        <v/>
      </c>
      <c r="AX420" s="195" t="str">
        <f aca="false">IF($A421="","",AM420*$E420)</f>
        <v/>
      </c>
      <c r="AY420" s="195" t="str">
        <f aca="false">IF($A421="","",AN420*$E420)</f>
        <v/>
      </c>
      <c r="BA420" s="195" t="str">
        <f aca="false">IF($A421="","",F420*Summary!$Q$11)</f>
        <v/>
      </c>
    </row>
    <row r="421" customFormat="false" ht="12.75" hidden="false" customHeight="false" outlineLevel="0" collapsed="false">
      <c r="A421" s="196" t="str">
        <f aca="false">IF(A420&lt;mthend,EDATE(A420,1),"")</f>
        <v/>
      </c>
      <c r="B421" s="197" t="str">
        <f aca="false">IF(A421&lt;mthend,B420,"")</f>
        <v/>
      </c>
      <c r="D421" s="197" t="str">
        <f aca="false">IF(A422&lt;&gt;"",B421+C421,"")</f>
        <v/>
      </c>
      <c r="E421" s="199" t="str">
        <f aca="false">IF(A422="","",IF(AND(AT421=1,$H$3=1),D421*AO421,IF($H$3=2,D421,"N/A")))</f>
        <v/>
      </c>
      <c r="F421" s="199" t="str">
        <f aca="false">IF(A422="","",E421*AS421)</f>
        <v/>
      </c>
      <c r="G421" s="200" t="str">
        <f aca="false">IF($A422="","",VLOOKUP($A421,Table,MATCH(G$4,Curves,0)))</f>
        <v/>
      </c>
      <c r="H421" s="201" t="str">
        <f aca="false">IF(A422="","",G421)</f>
        <v/>
      </c>
      <c r="J421" s="200" t="str">
        <f aca="false">IF($A422="","",VLOOKUP($A421,Table,MATCH(J$4,Curves,0)))</f>
        <v/>
      </c>
      <c r="K421" s="201" t="str">
        <f aca="false">IF(A422="","",J421)</f>
        <v/>
      </c>
      <c r="L421" s="200" t="str">
        <f aca="false">IF($A422="","",VLOOKUP($A421,Table,MATCH(L$4,Curves,0)))</f>
        <v/>
      </c>
      <c r="M421" s="201" t="str">
        <f aca="false">IF(A422="","",L421)</f>
        <v/>
      </c>
      <c r="O421" s="200" t="str">
        <f aca="false">IF(A422="","",L421+J421+G421)</f>
        <v/>
      </c>
      <c r="P421" s="200" t="str">
        <f aca="false">IF(A422="","",M421+K421+H421)</f>
        <v/>
      </c>
      <c r="R421" s="200" t="str">
        <f aca="false">IF($A422="","",VLOOKUP($A421,Table,MATCH(R$4,Curves,0)))</f>
        <v/>
      </c>
      <c r="S421" s="201" t="str">
        <f aca="false">IF(A422="","",R421)</f>
        <v/>
      </c>
      <c r="T421" s="185" t="n">
        <v>0</v>
      </c>
      <c r="U421" s="201" t="str">
        <f aca="false">IF(A422="","",T421)</f>
        <v/>
      </c>
      <c r="V421" s="205" t="str">
        <f aca="false">IF($A422="","",IF(AND(MONTH(A421)&gt;3,MONTH(A421)&lt;11),(T421+R421+G421)*Summary!$T$11/(1-Summary!$T$11),(T421+R421+G421)*Summary!$U$11/(1-Summary!$U$11)))</f>
        <v/>
      </c>
      <c r="W421" s="202" t="str">
        <f aca="false">IF($A422="","",(T421+R421+G421+V421))</f>
        <v/>
      </c>
      <c r="X421" s="202" t="str">
        <f aca="false">IF($A422="","",(U421+S421+H421+V421))</f>
        <v/>
      </c>
      <c r="Y421" s="202"/>
      <c r="Z421" s="185"/>
      <c r="AJ421" s="77"/>
      <c r="AK421" s="77"/>
      <c r="AL421" s="77"/>
      <c r="AM421" s="77"/>
      <c r="AN421" s="77"/>
      <c r="AO421" s="137" t="str">
        <f aca="false">IF(A422="","",A422-A421)</f>
        <v/>
      </c>
      <c r="AP421" s="212" t="str">
        <f aca="false">IF(A422="","",CHOOSE(F$3,A422+24,A421))</f>
        <v/>
      </c>
      <c r="AQ421" s="209" t="str">
        <f aca="false">IF(A422="","",AP421-$E$1)</f>
        <v/>
      </c>
      <c r="AR421" s="185" t="n">
        <f aca="false">'ANR OK vs ML7'!AR421</f>
        <v>0.1</v>
      </c>
      <c r="AS421" s="213" t="str">
        <f aca="false">IF(A422="","",1/(1+CHOOSE(F$3,(AR422+($I$3/10000))/2,(AR421+($I$3/10000))/2))^(2*AQ421/365.25))</f>
        <v/>
      </c>
      <c r="AT421" s="137" t="str">
        <f aca="false">IF(A422="","",IF(AND(mthbeg&lt;=A421,mthend&gt;=A421),1,0))</f>
        <v/>
      </c>
      <c r="AU421" s="137" t="str">
        <f aca="false">IF(A422="","",AO421*AT421)</f>
        <v/>
      </c>
      <c r="AW421" s="195" t="str">
        <f aca="false">IF($A422="","",AL421*$E421)</f>
        <v/>
      </c>
      <c r="AX421" s="195" t="str">
        <f aca="false">IF($A422="","",AM421*$E421)</f>
        <v/>
      </c>
      <c r="AY421" s="195" t="str">
        <f aca="false">IF($A422="","",AN421*$E421)</f>
        <v/>
      </c>
      <c r="BA421" s="195" t="str">
        <f aca="false">IF($A422="","",F421*Summary!$Q$11)</f>
        <v/>
      </c>
    </row>
    <row r="422" customFormat="false" ht="12.75" hidden="false" customHeight="false" outlineLevel="0" collapsed="false">
      <c r="A422" s="196" t="str">
        <f aca="false">IF(A421&lt;mthend,EDATE(A421,1),"")</f>
        <v/>
      </c>
      <c r="B422" s="197" t="str">
        <f aca="false">IF(A422&lt;mthend,B421,"")</f>
        <v/>
      </c>
      <c r="D422" s="197" t="str">
        <f aca="false">IF(A423&lt;&gt;"",B422+C422,"")</f>
        <v/>
      </c>
      <c r="E422" s="199" t="str">
        <f aca="false">IF(A423="","",IF(AND(AT422=1,$H$3=1),D422*AO422,IF($H$3=2,D422,"N/A")))</f>
        <v/>
      </c>
      <c r="F422" s="199" t="str">
        <f aca="false">IF(A423="","",E422*AS422)</f>
        <v/>
      </c>
      <c r="G422" s="200" t="str">
        <f aca="false">IF($A423="","",VLOOKUP($A422,Table,MATCH(G$4,Curves,0)))</f>
        <v/>
      </c>
      <c r="H422" s="201" t="str">
        <f aca="false">IF(A423="","",G422)</f>
        <v/>
      </c>
      <c r="J422" s="200" t="str">
        <f aca="false">IF($A423="","",VLOOKUP($A422,Table,MATCH(J$4,Curves,0)))</f>
        <v/>
      </c>
      <c r="K422" s="201" t="str">
        <f aca="false">IF(A423="","",J422)</f>
        <v/>
      </c>
      <c r="L422" s="200" t="str">
        <f aca="false">IF($A423="","",VLOOKUP($A422,Table,MATCH(L$4,Curves,0)))</f>
        <v/>
      </c>
      <c r="M422" s="201" t="str">
        <f aca="false">IF(A423="","",L422)</f>
        <v/>
      </c>
      <c r="O422" s="200" t="str">
        <f aca="false">IF(A423="","",L422+J422+G422)</f>
        <v/>
      </c>
      <c r="P422" s="200" t="str">
        <f aca="false">IF(A423="","",M422+K422+H422)</f>
        <v/>
      </c>
      <c r="R422" s="200" t="str">
        <f aca="false">IF($A423="","",VLOOKUP($A422,Table,MATCH(R$4,Curves,0)))</f>
        <v/>
      </c>
      <c r="S422" s="201" t="str">
        <f aca="false">IF(A423="","",R422)</f>
        <v/>
      </c>
      <c r="T422" s="185" t="n">
        <v>0</v>
      </c>
      <c r="U422" s="201" t="str">
        <f aca="false">IF(A423="","",T422)</f>
        <v/>
      </c>
      <c r="V422" s="205" t="str">
        <f aca="false">IF($A423="","",IF(AND(MONTH(A422)&gt;3,MONTH(A422)&lt;11),(T422+R422+G422)*Summary!$T$11/(1-Summary!$T$11),(T422+R422+G422)*Summary!$U$11/(1-Summary!$U$11)))</f>
        <v/>
      </c>
      <c r="W422" s="202" t="str">
        <f aca="false">IF($A423="","",(T422+R422+G422+V422))</f>
        <v/>
      </c>
      <c r="X422" s="202" t="str">
        <f aca="false">IF($A423="","",(U422+S422+H422+V422))</f>
        <v/>
      </c>
      <c r="Y422" s="202"/>
      <c r="Z422" s="185"/>
      <c r="AJ422" s="77"/>
      <c r="AK422" s="77"/>
      <c r="AL422" s="77"/>
      <c r="AM422" s="77"/>
      <c r="AN422" s="77"/>
      <c r="AO422" s="137" t="str">
        <f aca="false">IF(A423="","",A423-A422)</f>
        <v/>
      </c>
      <c r="AP422" s="212" t="str">
        <f aca="false">IF(A423="","",CHOOSE(F$3,A423+24,A422))</f>
        <v/>
      </c>
      <c r="AQ422" s="209" t="str">
        <f aca="false">IF(A423="","",AP422-$E$1)</f>
        <v/>
      </c>
      <c r="AR422" s="185" t="n">
        <f aca="false">'ANR OK vs ML7'!AR422</f>
        <v>0.1</v>
      </c>
      <c r="AS422" s="213" t="str">
        <f aca="false">IF(A423="","",1/(1+CHOOSE(F$3,(AR423+($I$3/10000))/2,(AR422+($I$3/10000))/2))^(2*AQ422/365.25))</f>
        <v/>
      </c>
      <c r="AT422" s="137" t="str">
        <f aca="false">IF(A423="","",IF(AND(mthbeg&lt;=A422,mthend&gt;=A422),1,0))</f>
        <v/>
      </c>
      <c r="AU422" s="137" t="str">
        <f aca="false">IF(A423="","",AO422*AT422)</f>
        <v/>
      </c>
      <c r="AW422" s="195" t="str">
        <f aca="false">IF($A423="","",AL422*$E422)</f>
        <v/>
      </c>
      <c r="AX422" s="195" t="str">
        <f aca="false">IF($A423="","",AM422*$E422)</f>
        <v/>
      </c>
      <c r="AY422" s="195" t="str">
        <f aca="false">IF($A423="","",AN422*$E422)</f>
        <v/>
      </c>
      <c r="BA422" s="195" t="str">
        <f aca="false">IF($A423="","",F422*Summary!$Q$11)</f>
        <v/>
      </c>
    </row>
    <row r="423" customFormat="false" ht="12.75" hidden="false" customHeight="false" outlineLevel="0" collapsed="false">
      <c r="A423" s="196" t="str">
        <f aca="false">IF(A422&lt;mthend,EDATE(A422,1),"")</f>
        <v/>
      </c>
      <c r="B423" s="197" t="str">
        <f aca="false">IF(A423&lt;mthend,B422,"")</f>
        <v/>
      </c>
      <c r="D423" s="197" t="str">
        <f aca="false">IF(A424&lt;&gt;"",B423+C423,"")</f>
        <v/>
      </c>
      <c r="E423" s="199" t="str">
        <f aca="false">IF(A424="","",IF(AND(AT423=1,$H$3=1),D423*AO423,IF($H$3=2,D423,"N/A")))</f>
        <v/>
      </c>
      <c r="F423" s="199" t="str">
        <f aca="false">IF(A424="","",E423*AS423)</f>
        <v/>
      </c>
      <c r="G423" s="200" t="str">
        <f aca="false">IF($A424="","",VLOOKUP($A423,Table,MATCH(G$4,Curves,0)))</f>
        <v/>
      </c>
      <c r="H423" s="201" t="str">
        <f aca="false">IF(A424="","",G423)</f>
        <v/>
      </c>
      <c r="J423" s="200" t="str">
        <f aca="false">IF($A424="","",VLOOKUP($A423,Table,MATCH(J$4,Curves,0)))</f>
        <v/>
      </c>
      <c r="K423" s="201" t="str">
        <f aca="false">IF(A424="","",J423)</f>
        <v/>
      </c>
      <c r="L423" s="200" t="str">
        <f aca="false">IF($A424="","",VLOOKUP($A423,Table,MATCH(L$4,Curves,0)))</f>
        <v/>
      </c>
      <c r="M423" s="201" t="str">
        <f aca="false">IF(A424="","",L423)</f>
        <v/>
      </c>
      <c r="O423" s="200" t="str">
        <f aca="false">IF(A424="","",L423+J423+G423)</f>
        <v/>
      </c>
      <c r="P423" s="200" t="str">
        <f aca="false">IF(A424="","",M423+K423+H423)</f>
        <v/>
      </c>
      <c r="R423" s="200" t="str">
        <f aca="false">IF($A424="","",VLOOKUP($A423,Table,MATCH(R$4,Curves,0)))</f>
        <v/>
      </c>
      <c r="S423" s="201" t="str">
        <f aca="false">IF(A424="","",R423)</f>
        <v/>
      </c>
      <c r="T423" s="185" t="n">
        <v>0</v>
      </c>
      <c r="U423" s="201" t="str">
        <f aca="false">IF(A424="","",T423)</f>
        <v/>
      </c>
      <c r="V423" s="205" t="str">
        <f aca="false">IF($A424="","",IF(AND(MONTH(A423)&gt;3,MONTH(A423)&lt;11),(T423+R423+G423)*Summary!$T$11/(1-Summary!$T$11),(T423+R423+G423)*Summary!$U$11/(1-Summary!$U$11)))</f>
        <v/>
      </c>
      <c r="W423" s="202" t="str">
        <f aca="false">IF($A424="","",(T423+R423+G423+V423))</f>
        <v/>
      </c>
      <c r="X423" s="202" t="str">
        <f aca="false">IF($A424="","",(U423+S423+H423+V423))</f>
        <v/>
      </c>
      <c r="Y423" s="202"/>
      <c r="Z423" s="185"/>
      <c r="AJ423" s="77"/>
      <c r="AK423" s="77"/>
      <c r="AL423" s="77"/>
      <c r="AM423" s="77"/>
      <c r="AN423" s="77"/>
      <c r="AO423" s="137" t="str">
        <f aca="false">IF(A424="","",A424-A423)</f>
        <v/>
      </c>
      <c r="AP423" s="212" t="str">
        <f aca="false">IF(A424="","",CHOOSE(F$3,A424+24,A423))</f>
        <v/>
      </c>
      <c r="AQ423" s="209" t="str">
        <f aca="false">IF(A424="","",AP423-$E$1)</f>
        <v/>
      </c>
      <c r="AR423" s="185" t="n">
        <f aca="false">'ANR OK vs ML7'!AR423</f>
        <v>0.1</v>
      </c>
      <c r="AS423" s="213" t="str">
        <f aca="false">IF(A424="","",1/(1+CHOOSE(F$3,(AR424+($I$3/10000))/2,(AR423+($I$3/10000))/2))^(2*AQ423/365.25))</f>
        <v/>
      </c>
      <c r="AT423" s="137" t="str">
        <f aca="false">IF(A424="","",IF(AND(mthbeg&lt;=A423,mthend&gt;=A423),1,0))</f>
        <v/>
      </c>
      <c r="AU423" s="137" t="str">
        <f aca="false">IF(A424="","",AO423*AT423)</f>
        <v/>
      </c>
      <c r="AW423" s="195" t="str">
        <f aca="false">IF($A424="","",AL423*$E423)</f>
        <v/>
      </c>
      <c r="AX423" s="195" t="str">
        <f aca="false">IF($A424="","",AM423*$E423)</f>
        <v/>
      </c>
      <c r="AY423" s="195" t="str">
        <f aca="false">IF($A424="","",AN423*$E423)</f>
        <v/>
      </c>
      <c r="BA423" s="195" t="str">
        <f aca="false">IF($A424="","",F423*Summary!$Q$11)</f>
        <v/>
      </c>
    </row>
    <row r="424" customFormat="false" ht="12.75" hidden="false" customHeight="false" outlineLevel="0" collapsed="false">
      <c r="A424" s="196" t="str">
        <f aca="false">IF(A423&lt;mthend,EDATE(A423,1),"")</f>
        <v/>
      </c>
      <c r="B424" s="197" t="str">
        <f aca="false">IF(A424&lt;mthend,B423,"")</f>
        <v/>
      </c>
      <c r="D424" s="197" t="str">
        <f aca="false">IF(A425&lt;&gt;"",B424+C424,"")</f>
        <v/>
      </c>
      <c r="E424" s="199" t="str">
        <f aca="false">IF(A425="","",IF(AND(AT424=1,$H$3=1),D424*AO424,IF($H$3=2,D424,"N/A")))</f>
        <v/>
      </c>
      <c r="F424" s="199" t="str">
        <f aca="false">IF(A425="","",E424*AS424)</f>
        <v/>
      </c>
      <c r="G424" s="200" t="str">
        <f aca="false">IF($A425="","",VLOOKUP($A424,Table,MATCH(G$4,Curves,0)))</f>
        <v/>
      </c>
      <c r="H424" s="201" t="str">
        <f aca="false">IF(A425="","",G424)</f>
        <v/>
      </c>
      <c r="J424" s="200" t="str">
        <f aca="false">IF($A425="","",VLOOKUP($A424,Table,MATCH(J$4,Curves,0)))</f>
        <v/>
      </c>
      <c r="K424" s="201" t="str">
        <f aca="false">IF(A425="","",J424)</f>
        <v/>
      </c>
      <c r="L424" s="200" t="str">
        <f aca="false">IF($A425="","",VLOOKUP($A424,Table,MATCH(L$4,Curves,0)))</f>
        <v/>
      </c>
      <c r="M424" s="201" t="str">
        <f aca="false">IF(A425="","",L424)</f>
        <v/>
      </c>
      <c r="O424" s="200" t="str">
        <f aca="false">IF(A425="","",L424+J424+G424)</f>
        <v/>
      </c>
      <c r="P424" s="200" t="str">
        <f aca="false">IF(A425="","",M424+K424+H424)</f>
        <v/>
      </c>
      <c r="R424" s="200" t="str">
        <f aca="false">IF($A425="","",VLOOKUP($A424,Table,MATCH(R$4,Curves,0)))</f>
        <v/>
      </c>
      <c r="S424" s="201" t="str">
        <f aca="false">IF(A425="","",R424)</f>
        <v/>
      </c>
      <c r="T424" s="185" t="n">
        <v>0</v>
      </c>
      <c r="U424" s="201" t="str">
        <f aca="false">IF(A425="","",T424)</f>
        <v/>
      </c>
      <c r="V424" s="205" t="str">
        <f aca="false">IF($A425="","",IF(AND(MONTH(A424)&gt;3,MONTH(A424)&lt;11),(T424+R424+G424)*Summary!$T$11/(1-Summary!$T$11),(T424+R424+G424)*Summary!$U$11/(1-Summary!$U$11)))</f>
        <v/>
      </c>
      <c r="W424" s="202" t="str">
        <f aca="false">IF($A425="","",(T424+R424+G424+V424))</f>
        <v/>
      </c>
      <c r="X424" s="202" t="str">
        <f aca="false">IF($A425="","",(U424+S424+H424+V424))</f>
        <v/>
      </c>
      <c r="Y424" s="202"/>
      <c r="Z424" s="185"/>
      <c r="AJ424" s="77"/>
      <c r="AK424" s="77"/>
      <c r="AL424" s="77"/>
      <c r="AM424" s="77"/>
      <c r="AN424" s="77"/>
      <c r="AO424" s="137" t="str">
        <f aca="false">IF(A425="","",A425-A424)</f>
        <v/>
      </c>
      <c r="AP424" s="212" t="str">
        <f aca="false">IF(A425="","",CHOOSE(F$3,A425+24,A424))</f>
        <v/>
      </c>
      <c r="AQ424" s="209" t="str">
        <f aca="false">IF(A425="","",AP424-$E$1)</f>
        <v/>
      </c>
      <c r="AR424" s="185" t="n">
        <f aca="false">'ANR OK vs ML7'!AR424</f>
        <v>0.1</v>
      </c>
      <c r="AS424" s="213" t="str">
        <f aca="false">IF(A425="","",1/(1+CHOOSE(F$3,(AR425+($I$3/10000))/2,(AR424+($I$3/10000))/2))^(2*AQ424/365.25))</f>
        <v/>
      </c>
      <c r="AT424" s="137" t="str">
        <f aca="false">IF(A425="","",IF(AND(mthbeg&lt;=A424,mthend&gt;=A424),1,0))</f>
        <v/>
      </c>
      <c r="AU424" s="137" t="str">
        <f aca="false">IF(A425="","",AO424*AT424)</f>
        <v/>
      </c>
      <c r="AW424" s="195" t="str">
        <f aca="false">IF($A425="","",AL424*$E424)</f>
        <v/>
      </c>
      <c r="AX424" s="195" t="str">
        <f aca="false">IF($A425="","",AM424*$E424)</f>
        <v/>
      </c>
      <c r="AY424" s="195" t="str">
        <f aca="false">IF($A425="","",AN424*$E424)</f>
        <v/>
      </c>
      <c r="BA424" s="195" t="str">
        <f aca="false">IF($A425="","",F424*Summary!$Q$11)</f>
        <v/>
      </c>
    </row>
    <row r="425" customFormat="false" ht="12.75" hidden="false" customHeight="false" outlineLevel="0" collapsed="false">
      <c r="A425" s="196" t="str">
        <f aca="false">IF(A424&lt;mthend,EDATE(A424,1),"")</f>
        <v/>
      </c>
      <c r="B425" s="197" t="str">
        <f aca="false">IF(A425&lt;mthend,B424,"")</f>
        <v/>
      </c>
      <c r="D425" s="197" t="str">
        <f aca="false">IF(A426&lt;&gt;"",B425+C425,"")</f>
        <v/>
      </c>
      <c r="E425" s="199" t="str">
        <f aca="false">IF(A426="","",IF(AND(AT425=1,$H$3=1),D425*AO425,IF($H$3=2,D425,"N/A")))</f>
        <v/>
      </c>
      <c r="F425" s="199" t="str">
        <f aca="false">IF(A426="","",E425*AS425)</f>
        <v/>
      </c>
      <c r="G425" s="200" t="str">
        <f aca="false">IF($A426="","",VLOOKUP($A425,Table,MATCH(G$4,Curves,0)))</f>
        <v/>
      </c>
      <c r="H425" s="201" t="str">
        <f aca="false">IF(A426="","",G425)</f>
        <v/>
      </c>
      <c r="J425" s="200" t="str">
        <f aca="false">IF($A426="","",VLOOKUP($A425,Table,MATCH(J$4,Curves,0)))</f>
        <v/>
      </c>
      <c r="K425" s="201" t="str">
        <f aca="false">IF(A426="","",J425)</f>
        <v/>
      </c>
      <c r="L425" s="200" t="str">
        <f aca="false">IF($A426="","",VLOOKUP($A425,Table,MATCH(L$4,Curves,0)))</f>
        <v/>
      </c>
      <c r="M425" s="201" t="str">
        <f aca="false">IF(A426="","",L425)</f>
        <v/>
      </c>
      <c r="O425" s="200" t="str">
        <f aca="false">IF(A426="","",L425+J425+G425)</f>
        <v/>
      </c>
      <c r="P425" s="200" t="str">
        <f aca="false">IF(A426="","",M425+K425+H425)</f>
        <v/>
      </c>
      <c r="R425" s="200" t="str">
        <f aca="false">IF($A426="","",VLOOKUP($A425,Table,MATCH(R$4,Curves,0)))</f>
        <v/>
      </c>
      <c r="S425" s="201" t="str">
        <f aca="false">IF(A426="","",R425)</f>
        <v/>
      </c>
      <c r="T425" s="185" t="n">
        <v>0</v>
      </c>
      <c r="U425" s="201" t="str">
        <f aca="false">IF(A426="","",T425)</f>
        <v/>
      </c>
      <c r="V425" s="205" t="str">
        <f aca="false">IF($A426="","",IF(AND(MONTH(A425)&gt;3,MONTH(A425)&lt;11),(T425+R425+G425)*Summary!$T$11/(1-Summary!$T$11),(T425+R425+G425)*Summary!$U$11/(1-Summary!$U$11)))</f>
        <v/>
      </c>
      <c r="W425" s="202" t="str">
        <f aca="false">IF($A426="","",(T425+R425+G425+V425))</f>
        <v/>
      </c>
      <c r="X425" s="202" t="str">
        <f aca="false">IF($A426="","",(U425+S425+H425+V425))</f>
        <v/>
      </c>
      <c r="Y425" s="202"/>
      <c r="Z425" s="185"/>
      <c r="AJ425" s="77"/>
      <c r="AK425" s="77"/>
      <c r="AL425" s="77"/>
      <c r="AM425" s="77"/>
      <c r="AN425" s="77"/>
      <c r="AO425" s="137" t="str">
        <f aca="false">IF(A426="","",A426-A425)</f>
        <v/>
      </c>
      <c r="AP425" s="212" t="str">
        <f aca="false">IF(A426="","",CHOOSE(F$3,A426+24,A425))</f>
        <v/>
      </c>
      <c r="AQ425" s="209" t="str">
        <f aca="false">IF(A426="","",AP425-$E$1)</f>
        <v/>
      </c>
      <c r="AR425" s="185" t="n">
        <f aca="false">'ANR OK vs ML7'!AR425</f>
        <v>0.1</v>
      </c>
      <c r="AS425" s="213" t="str">
        <f aca="false">IF(A426="","",1/(1+CHOOSE(F$3,(AR426+($I$3/10000))/2,(AR425+($I$3/10000))/2))^(2*AQ425/365.25))</f>
        <v/>
      </c>
      <c r="AT425" s="137" t="str">
        <f aca="false">IF(A426="","",IF(AND(mthbeg&lt;=A425,mthend&gt;=A425),1,0))</f>
        <v/>
      </c>
      <c r="AU425" s="137" t="str">
        <f aca="false">IF(A426="","",AO425*AT425)</f>
        <v/>
      </c>
      <c r="AW425" s="195" t="str">
        <f aca="false">IF($A426="","",AL425*$E425)</f>
        <v/>
      </c>
      <c r="AX425" s="195" t="str">
        <f aca="false">IF($A426="","",AM425*$E425)</f>
        <v/>
      </c>
      <c r="AY425" s="195" t="str">
        <f aca="false">IF($A426="","",AN425*$E425)</f>
        <v/>
      </c>
      <c r="BA425" s="195" t="str">
        <f aca="false">IF($A426="","",F425*Summary!$Q$11)</f>
        <v/>
      </c>
    </row>
    <row r="426" customFormat="false" ht="12.75" hidden="false" customHeight="false" outlineLevel="0" collapsed="false">
      <c r="A426" s="196" t="str">
        <f aca="false">IF(A425&lt;mthend,EDATE(A425,1),"")</f>
        <v/>
      </c>
      <c r="B426" s="197" t="str">
        <f aca="false">IF(A426&lt;mthend,B425,"")</f>
        <v/>
      </c>
      <c r="D426" s="197" t="str">
        <f aca="false">IF(A427&lt;&gt;"",B426+C426,"")</f>
        <v/>
      </c>
      <c r="E426" s="199" t="str">
        <f aca="false">IF(A427="","",IF(AND(AT426=1,$H$3=1),D426*AO426,IF($H$3=2,D426,"N/A")))</f>
        <v/>
      </c>
      <c r="F426" s="199" t="str">
        <f aca="false">IF(A427="","",E426*AS426)</f>
        <v/>
      </c>
      <c r="G426" s="200" t="str">
        <f aca="false">IF($A427="","",VLOOKUP($A426,Table,MATCH(G$4,Curves,0)))</f>
        <v/>
      </c>
      <c r="H426" s="201" t="str">
        <f aca="false">IF(A427="","",G426)</f>
        <v/>
      </c>
      <c r="J426" s="200" t="str">
        <f aca="false">IF($A427="","",VLOOKUP($A426,Table,MATCH(J$4,Curves,0)))</f>
        <v/>
      </c>
      <c r="K426" s="201" t="str">
        <f aca="false">IF(A427="","",J426)</f>
        <v/>
      </c>
      <c r="L426" s="200" t="str">
        <f aca="false">IF($A427="","",VLOOKUP($A426,Table,MATCH(L$4,Curves,0)))</f>
        <v/>
      </c>
      <c r="M426" s="201" t="str">
        <f aca="false">IF(A427="","",L426)</f>
        <v/>
      </c>
      <c r="O426" s="200" t="str">
        <f aca="false">IF(A427="","",L426+J426+G426)</f>
        <v/>
      </c>
      <c r="P426" s="200" t="str">
        <f aca="false">IF(A427="","",M426+K426+H426)</f>
        <v/>
      </c>
      <c r="R426" s="200" t="str">
        <f aca="false">IF($A427="","",VLOOKUP($A426,Table,MATCH(R$4,Curves,0)))</f>
        <v/>
      </c>
      <c r="S426" s="201" t="str">
        <f aca="false">IF(A427="","",R426)</f>
        <v/>
      </c>
      <c r="T426" s="185" t="n">
        <v>0</v>
      </c>
      <c r="U426" s="201" t="str">
        <f aca="false">IF(A427="","",T426)</f>
        <v/>
      </c>
      <c r="V426" s="205" t="str">
        <f aca="false">IF($A427="","",IF(AND(MONTH(A426)&gt;3,MONTH(A426)&lt;11),(T426+R426+G426)*Summary!$T$11/(1-Summary!$T$11),(T426+R426+G426)*Summary!$U$11/(1-Summary!$U$11)))</f>
        <v/>
      </c>
      <c r="W426" s="202" t="str">
        <f aca="false">IF($A427="","",(T426+R426+G426+V426))</f>
        <v/>
      </c>
      <c r="X426" s="202" t="str">
        <f aca="false">IF($A427="","",(U426+S426+H426+V426))</f>
        <v/>
      </c>
      <c r="Y426" s="202"/>
      <c r="Z426" s="185"/>
      <c r="AJ426" s="77"/>
      <c r="AK426" s="77"/>
      <c r="AL426" s="77"/>
      <c r="AM426" s="77"/>
      <c r="AN426" s="77"/>
      <c r="AO426" s="137" t="str">
        <f aca="false">IF(A427="","",A427-A426)</f>
        <v/>
      </c>
      <c r="AP426" s="212" t="str">
        <f aca="false">IF(A427="","",CHOOSE(F$3,A427+24,A426))</f>
        <v/>
      </c>
      <c r="AQ426" s="209" t="str">
        <f aca="false">IF(A427="","",AP426-$E$1)</f>
        <v/>
      </c>
      <c r="AR426" s="185" t="n">
        <f aca="false">'ANR OK vs ML7'!AR426</f>
        <v>0.1</v>
      </c>
      <c r="AS426" s="213" t="str">
        <f aca="false">IF(A427="","",1/(1+CHOOSE(F$3,(AR427+($I$3/10000))/2,(AR426+($I$3/10000))/2))^(2*AQ426/365.25))</f>
        <v/>
      </c>
      <c r="AT426" s="137" t="str">
        <f aca="false">IF(A427="","",IF(AND(mthbeg&lt;=A426,mthend&gt;=A426),1,0))</f>
        <v/>
      </c>
      <c r="AU426" s="137" t="str">
        <f aca="false">IF(A427="","",AO426*AT426)</f>
        <v/>
      </c>
      <c r="AW426" s="195" t="str">
        <f aca="false">IF($A427="","",AL426*$E426)</f>
        <v/>
      </c>
      <c r="AX426" s="195" t="str">
        <f aca="false">IF($A427="","",AM426*$E426)</f>
        <v/>
      </c>
      <c r="AY426" s="195" t="str">
        <f aca="false">IF($A427="","",AN426*$E426)</f>
        <v/>
      </c>
      <c r="BA426" s="195" t="str">
        <f aca="false">IF($A427="","",F426*Summary!$Q$11)</f>
        <v/>
      </c>
    </row>
    <row r="427" customFormat="false" ht="12.75" hidden="false" customHeight="false" outlineLevel="0" collapsed="false">
      <c r="A427" s="196" t="str">
        <f aca="false">IF(A426&lt;mthend,EDATE(A426,1),"")</f>
        <v/>
      </c>
      <c r="B427" s="197" t="str">
        <f aca="false">IF(A427&lt;mthend,B426,"")</f>
        <v/>
      </c>
      <c r="D427" s="197" t="str">
        <f aca="false">IF(A428&lt;&gt;"",B427+C427,"")</f>
        <v/>
      </c>
      <c r="E427" s="199" t="str">
        <f aca="false">IF(A428="","",IF(AND(AT427=1,$H$3=1),D427*AO427,IF($H$3=2,D427,"N/A")))</f>
        <v/>
      </c>
      <c r="F427" s="199" t="str">
        <f aca="false">IF(A428="","",E427*AS427)</f>
        <v/>
      </c>
      <c r="G427" s="200" t="str">
        <f aca="false">IF($A428="","",VLOOKUP($A427,Table,MATCH(G$4,Curves,0)))</f>
        <v/>
      </c>
      <c r="H427" s="201" t="str">
        <f aca="false">IF(A428="","",G427)</f>
        <v/>
      </c>
      <c r="J427" s="200" t="str">
        <f aca="false">IF($A428="","",VLOOKUP($A427,Table,MATCH(J$4,Curves,0)))</f>
        <v/>
      </c>
      <c r="K427" s="201" t="str">
        <f aca="false">IF(A428="","",J427)</f>
        <v/>
      </c>
      <c r="L427" s="200" t="str">
        <f aca="false">IF($A428="","",VLOOKUP($A427,Table,MATCH(L$4,Curves,0)))</f>
        <v/>
      </c>
      <c r="M427" s="201" t="str">
        <f aca="false">IF(A428="","",L427)</f>
        <v/>
      </c>
      <c r="O427" s="200" t="str">
        <f aca="false">IF(A428="","",L427+J427+G427)</f>
        <v/>
      </c>
      <c r="P427" s="200" t="str">
        <f aca="false">IF(A428="","",M427+K427+H427)</f>
        <v/>
      </c>
      <c r="R427" s="200" t="str">
        <f aca="false">IF($A428="","",VLOOKUP($A427,Table,MATCH(R$4,Curves,0)))</f>
        <v/>
      </c>
      <c r="S427" s="201" t="str">
        <f aca="false">IF(A428="","",R427)</f>
        <v/>
      </c>
      <c r="T427" s="185" t="n">
        <v>0</v>
      </c>
      <c r="U427" s="201" t="str">
        <f aca="false">IF(A428="","",T427)</f>
        <v/>
      </c>
      <c r="V427" s="205" t="str">
        <f aca="false">IF($A428="","",IF(AND(MONTH(A427)&gt;3,MONTH(A427)&lt;11),(T427+R427+G427)*Summary!$T$11/(1-Summary!$T$11),(T427+R427+G427)*Summary!$U$11/(1-Summary!$U$11)))</f>
        <v/>
      </c>
      <c r="W427" s="202" t="str">
        <f aca="false">IF($A428="","",(T427+R427+G427+V427))</f>
        <v/>
      </c>
      <c r="X427" s="202" t="str">
        <f aca="false">IF($A428="","",(U427+S427+H427+V427))</f>
        <v/>
      </c>
      <c r="Y427" s="202"/>
      <c r="Z427" s="185"/>
      <c r="AJ427" s="77"/>
      <c r="AK427" s="77"/>
      <c r="AL427" s="77"/>
      <c r="AM427" s="77"/>
      <c r="AN427" s="77"/>
      <c r="AO427" s="137" t="str">
        <f aca="false">IF(A428="","",A428-A427)</f>
        <v/>
      </c>
      <c r="AP427" s="212" t="str">
        <f aca="false">IF(A428="","",CHOOSE(F$3,A428+24,A427))</f>
        <v/>
      </c>
      <c r="AQ427" s="209" t="str">
        <f aca="false">IF(A428="","",AP427-$E$1)</f>
        <v/>
      </c>
      <c r="AR427" s="185" t="n">
        <f aca="false">'ANR OK vs ML7'!AR427</f>
        <v>0.1</v>
      </c>
      <c r="AS427" s="213" t="str">
        <f aca="false">IF(A428="","",1/(1+CHOOSE(F$3,(AR428+($I$3/10000))/2,(AR427+($I$3/10000))/2))^(2*AQ427/365.25))</f>
        <v/>
      </c>
      <c r="AT427" s="137" t="str">
        <f aca="false">IF(A428="","",IF(AND(mthbeg&lt;=A427,mthend&gt;=A427),1,0))</f>
        <v/>
      </c>
      <c r="AU427" s="137" t="str">
        <f aca="false">IF(A428="","",AO427*AT427)</f>
        <v/>
      </c>
      <c r="AW427" s="195" t="str">
        <f aca="false">IF($A428="","",AL427*$E427)</f>
        <v/>
      </c>
      <c r="AX427" s="195" t="str">
        <f aca="false">IF($A428="","",AM427*$E427)</f>
        <v/>
      </c>
      <c r="AY427" s="195" t="str">
        <f aca="false">IF($A428="","",AN427*$E427)</f>
        <v/>
      </c>
      <c r="BA427" s="195" t="str">
        <f aca="false">IF($A428="","",F427*Summary!$Q$11)</f>
        <v/>
      </c>
    </row>
    <row r="428" customFormat="false" ht="12.75" hidden="false" customHeight="false" outlineLevel="0" collapsed="false">
      <c r="A428" s="196" t="str">
        <f aca="false">IF(A427&lt;mthend,EDATE(A427,1),"")</f>
        <v/>
      </c>
      <c r="B428" s="197" t="str">
        <f aca="false">IF(A428&lt;mthend,B427,"")</f>
        <v/>
      </c>
      <c r="D428" s="197" t="str">
        <f aca="false">IF(A429&lt;&gt;"",B428+C428,"")</f>
        <v/>
      </c>
      <c r="E428" s="199" t="str">
        <f aca="false">IF(A429="","",IF(AND(AT428=1,$H$3=1),D428*AO428,IF($H$3=2,D428,"N/A")))</f>
        <v/>
      </c>
      <c r="F428" s="199" t="str">
        <f aca="false">IF(A429="","",E428*AS428)</f>
        <v/>
      </c>
      <c r="G428" s="200" t="str">
        <f aca="false">IF($A429="","",VLOOKUP($A428,Table,MATCH(G$4,Curves,0)))</f>
        <v/>
      </c>
      <c r="H428" s="201" t="str">
        <f aca="false">IF(A429="","",G428)</f>
        <v/>
      </c>
      <c r="J428" s="200" t="str">
        <f aca="false">IF($A429="","",VLOOKUP($A428,Table,MATCH(J$4,Curves,0)))</f>
        <v/>
      </c>
      <c r="K428" s="201" t="str">
        <f aca="false">IF(A429="","",J428)</f>
        <v/>
      </c>
      <c r="L428" s="200" t="str">
        <f aca="false">IF($A429="","",VLOOKUP($A428,Table,MATCH(L$4,Curves,0)))</f>
        <v/>
      </c>
      <c r="M428" s="201" t="str">
        <f aca="false">IF(A429="","",L428)</f>
        <v/>
      </c>
      <c r="O428" s="200" t="str">
        <f aca="false">IF(A429="","",L428+J428+G428)</f>
        <v/>
      </c>
      <c r="P428" s="200" t="str">
        <f aca="false">IF(A429="","",M428+K428+H428)</f>
        <v/>
      </c>
      <c r="R428" s="200" t="str">
        <f aca="false">IF($A429="","",VLOOKUP($A428,Table,MATCH(R$4,Curves,0)))</f>
        <v/>
      </c>
      <c r="S428" s="201" t="str">
        <f aca="false">IF(A429="","",R428)</f>
        <v/>
      </c>
      <c r="T428" s="185" t="n">
        <v>0</v>
      </c>
      <c r="U428" s="201" t="str">
        <f aca="false">IF(A429="","",T428)</f>
        <v/>
      </c>
      <c r="V428" s="205" t="str">
        <f aca="false">IF($A429="","",IF(AND(MONTH(A428)&gt;3,MONTH(A428)&lt;11),(T428+R428+G428)*Summary!$T$11/(1-Summary!$T$11),(T428+R428+G428)*Summary!$U$11/(1-Summary!$U$11)))</f>
        <v/>
      </c>
      <c r="W428" s="202" t="str">
        <f aca="false">IF($A429="","",(T428+R428+G428+V428))</f>
        <v/>
      </c>
      <c r="X428" s="202" t="str">
        <f aca="false">IF($A429="","",(U428+S428+H428+V428))</f>
        <v/>
      </c>
      <c r="Y428" s="202"/>
      <c r="Z428" s="185"/>
      <c r="AJ428" s="77"/>
      <c r="AK428" s="77"/>
      <c r="AL428" s="77"/>
      <c r="AM428" s="77"/>
      <c r="AN428" s="77"/>
      <c r="AO428" s="137" t="str">
        <f aca="false">IF(A429="","",A429-A428)</f>
        <v/>
      </c>
      <c r="AP428" s="212" t="str">
        <f aca="false">IF(A429="","",CHOOSE(F$3,A429+24,A428))</f>
        <v/>
      </c>
      <c r="AQ428" s="209" t="str">
        <f aca="false">IF(A429="","",AP428-$E$1)</f>
        <v/>
      </c>
      <c r="AR428" s="185" t="n">
        <f aca="false">'ANR OK vs ML7'!AR428</f>
        <v>0.1</v>
      </c>
      <c r="AS428" s="213" t="str">
        <f aca="false">IF(A429="","",1/(1+CHOOSE(F$3,(AR429+($I$3/10000))/2,(AR428+($I$3/10000))/2))^(2*AQ428/365.25))</f>
        <v/>
      </c>
      <c r="AT428" s="137" t="str">
        <f aca="false">IF(A429="","",IF(AND(mthbeg&lt;=A428,mthend&gt;=A428),1,0))</f>
        <v/>
      </c>
      <c r="AU428" s="137" t="str">
        <f aca="false">IF(A429="","",AO428*AT428)</f>
        <v/>
      </c>
      <c r="AW428" s="195" t="str">
        <f aca="false">IF($A429="","",AL428*$E428)</f>
        <v/>
      </c>
      <c r="AX428" s="195" t="str">
        <f aca="false">IF($A429="","",AM428*$E428)</f>
        <v/>
      </c>
      <c r="AY428" s="195" t="str">
        <f aca="false">IF($A429="","",AN428*$E428)</f>
        <v/>
      </c>
      <c r="BA428" s="195" t="str">
        <f aca="false">IF($A429="","",F428*Summary!$Q$11)</f>
        <v/>
      </c>
    </row>
    <row r="429" customFormat="false" ht="12.75" hidden="false" customHeight="false" outlineLevel="0" collapsed="false">
      <c r="A429" s="196" t="str">
        <f aca="false">IF(A428&lt;mthend,EDATE(A428,1),"")</f>
        <v/>
      </c>
      <c r="B429" s="197" t="str">
        <f aca="false">IF(A429&lt;mthend,B428,"")</f>
        <v/>
      </c>
      <c r="D429" s="197" t="str">
        <f aca="false">IF(A430&lt;&gt;"",B429+C429,"")</f>
        <v/>
      </c>
      <c r="E429" s="199" t="str">
        <f aca="false">IF(A430="","",IF(AND(AT429=1,$H$3=1),D429*AO429,IF($H$3=2,D429,"N/A")))</f>
        <v/>
      </c>
      <c r="F429" s="199" t="str">
        <f aca="false">IF(A430="","",E429*AS429)</f>
        <v/>
      </c>
      <c r="G429" s="200" t="str">
        <f aca="false">IF($A430="","",VLOOKUP($A429,Table,MATCH(G$4,Curves,0)))</f>
        <v/>
      </c>
      <c r="H429" s="201" t="str">
        <f aca="false">IF(A430="","",G429)</f>
        <v/>
      </c>
      <c r="J429" s="200" t="str">
        <f aca="false">IF($A430="","",VLOOKUP($A429,Table,MATCH(J$4,Curves,0)))</f>
        <v/>
      </c>
      <c r="K429" s="201" t="str">
        <f aca="false">IF(A430="","",J429)</f>
        <v/>
      </c>
      <c r="L429" s="200" t="str">
        <f aca="false">IF($A430="","",VLOOKUP($A429,Table,MATCH(L$4,Curves,0)))</f>
        <v/>
      </c>
      <c r="M429" s="201" t="str">
        <f aca="false">IF(A430="","",L429)</f>
        <v/>
      </c>
      <c r="O429" s="200" t="str">
        <f aca="false">IF(A430="","",L429+J429+G429)</f>
        <v/>
      </c>
      <c r="P429" s="200" t="str">
        <f aca="false">IF(A430="","",M429+K429+H429)</f>
        <v/>
      </c>
      <c r="R429" s="200" t="str">
        <f aca="false">IF($A430="","",VLOOKUP($A429,Table,MATCH(R$4,Curves,0)))</f>
        <v/>
      </c>
      <c r="S429" s="201" t="str">
        <f aca="false">IF(A430="","",R429)</f>
        <v/>
      </c>
      <c r="T429" s="185" t="n">
        <v>0</v>
      </c>
      <c r="U429" s="201" t="str">
        <f aca="false">IF(A430="","",T429)</f>
        <v/>
      </c>
      <c r="V429" s="205" t="str">
        <f aca="false">IF($A430="","",IF(AND(MONTH(A429)&gt;3,MONTH(A429)&lt;11),(T429+R429+G429)*Summary!$T$11/(1-Summary!$T$11),(T429+R429+G429)*Summary!$U$11/(1-Summary!$U$11)))</f>
        <v/>
      </c>
      <c r="W429" s="202" t="str">
        <f aca="false">IF($A430="","",(T429+R429+G429+V429))</f>
        <v/>
      </c>
      <c r="X429" s="202" t="str">
        <f aca="false">IF($A430="","",(U429+S429+H429+V429))</f>
        <v/>
      </c>
      <c r="Y429" s="202"/>
      <c r="Z429" s="185"/>
      <c r="AJ429" s="77"/>
      <c r="AK429" s="77"/>
      <c r="AL429" s="77"/>
      <c r="AM429" s="77"/>
      <c r="AN429" s="77"/>
      <c r="AO429" s="137" t="str">
        <f aca="false">IF(A430="","",A430-A429)</f>
        <v/>
      </c>
      <c r="AP429" s="212" t="str">
        <f aca="false">IF(A430="","",CHOOSE(F$3,A430+24,A429))</f>
        <v/>
      </c>
      <c r="AQ429" s="209" t="str">
        <f aca="false">IF(A430="","",AP429-$E$1)</f>
        <v/>
      </c>
      <c r="AR429" s="185" t="n">
        <f aca="false">'ANR OK vs ML7'!AR429</f>
        <v>0.1</v>
      </c>
      <c r="AS429" s="213" t="str">
        <f aca="false">IF(A430="","",1/(1+CHOOSE(F$3,(AR430+($I$3/10000))/2,(AR429+($I$3/10000))/2))^(2*AQ429/365.25))</f>
        <v/>
      </c>
      <c r="AT429" s="137" t="str">
        <f aca="false">IF(A430="","",IF(AND(mthbeg&lt;=A429,mthend&gt;=A429),1,0))</f>
        <v/>
      </c>
      <c r="AU429" s="137" t="str">
        <f aca="false">IF(A430="","",AO429*AT429)</f>
        <v/>
      </c>
      <c r="AW429" s="195" t="str">
        <f aca="false">IF($A430="","",AL429*$E429)</f>
        <v/>
      </c>
      <c r="AX429" s="195" t="str">
        <f aca="false">IF($A430="","",AM429*$E429)</f>
        <v/>
      </c>
      <c r="AY429" s="195" t="str">
        <f aca="false">IF($A430="","",AN429*$E429)</f>
        <v/>
      </c>
      <c r="BA429" s="195" t="str">
        <f aca="false">IF($A430="","",F429*Summary!$Q$11)</f>
        <v/>
      </c>
    </row>
    <row r="430" customFormat="false" ht="12.75" hidden="false" customHeight="false" outlineLevel="0" collapsed="false">
      <c r="A430" s="196" t="str">
        <f aca="false">IF(A429&lt;mthend,EDATE(A429,1),"")</f>
        <v/>
      </c>
      <c r="B430" s="197" t="str">
        <f aca="false">IF(A430&lt;mthend,B429,"")</f>
        <v/>
      </c>
      <c r="D430" s="197" t="str">
        <f aca="false">IF(A431&lt;&gt;"",B430+C430,"")</f>
        <v/>
      </c>
      <c r="E430" s="199" t="str">
        <f aca="false">IF(A431="","",IF(AND(AT430=1,$H$3=1),D430*AO430,IF($H$3=2,D430,"N/A")))</f>
        <v/>
      </c>
      <c r="F430" s="199" t="str">
        <f aca="false">IF(A431="","",E430*AS430)</f>
        <v/>
      </c>
      <c r="G430" s="200" t="str">
        <f aca="false">IF($A431="","",VLOOKUP($A430,Table,MATCH(G$4,Curves,0)))</f>
        <v/>
      </c>
      <c r="H430" s="201" t="str">
        <f aca="false">IF(A431="","",G430)</f>
        <v/>
      </c>
      <c r="J430" s="200" t="str">
        <f aca="false">IF($A431="","",VLOOKUP($A430,Table,MATCH(J$4,Curves,0)))</f>
        <v/>
      </c>
      <c r="K430" s="201" t="str">
        <f aca="false">IF(A431="","",J430)</f>
        <v/>
      </c>
      <c r="L430" s="200" t="str">
        <f aca="false">IF($A431="","",VLOOKUP($A430,Table,MATCH(L$4,Curves,0)))</f>
        <v/>
      </c>
      <c r="M430" s="201" t="str">
        <f aca="false">IF(A431="","",L430)</f>
        <v/>
      </c>
      <c r="O430" s="200" t="str">
        <f aca="false">IF(A431="","",L430+J430+G430)</f>
        <v/>
      </c>
      <c r="P430" s="200" t="str">
        <f aca="false">IF(A431="","",M430+K430+H430)</f>
        <v/>
      </c>
      <c r="R430" s="200" t="str">
        <f aca="false">IF($A431="","",VLOOKUP($A430,Table,MATCH(R$4,Curves,0)))</f>
        <v/>
      </c>
      <c r="S430" s="201" t="str">
        <f aca="false">IF(A431="","",R430)</f>
        <v/>
      </c>
      <c r="T430" s="185" t="n">
        <v>0</v>
      </c>
      <c r="U430" s="201" t="str">
        <f aca="false">IF(A431="","",T430)</f>
        <v/>
      </c>
      <c r="V430" s="205" t="str">
        <f aca="false">IF($A431="","",IF(AND(MONTH(A430)&gt;3,MONTH(A430)&lt;11),(T430+R430+G430)*Summary!$T$11/(1-Summary!$T$11),(T430+R430+G430)*Summary!$U$11/(1-Summary!$U$11)))</f>
        <v/>
      </c>
      <c r="W430" s="202" t="str">
        <f aca="false">IF($A431="","",(T430+R430+G430+V430))</f>
        <v/>
      </c>
      <c r="X430" s="202" t="str">
        <f aca="false">IF($A431="","",(U430+S430+H430+V430))</f>
        <v/>
      </c>
      <c r="Y430" s="202"/>
      <c r="Z430" s="185"/>
      <c r="AJ430" s="77"/>
      <c r="AK430" s="77"/>
      <c r="AL430" s="77"/>
      <c r="AM430" s="77"/>
      <c r="AN430" s="77"/>
      <c r="AO430" s="137" t="str">
        <f aca="false">IF(A431="","",A431-A430)</f>
        <v/>
      </c>
      <c r="AP430" s="212" t="str">
        <f aca="false">IF(A431="","",CHOOSE(F$3,A431+24,A430))</f>
        <v/>
      </c>
      <c r="AQ430" s="209" t="str">
        <f aca="false">IF(A431="","",AP430-$E$1)</f>
        <v/>
      </c>
      <c r="AR430" s="185" t="n">
        <f aca="false">'ANR OK vs ML7'!AR430</f>
        <v>0.1</v>
      </c>
      <c r="AS430" s="213" t="str">
        <f aca="false">IF(A431="","",1/(1+CHOOSE(F$3,(AR431+($I$3/10000))/2,(AR430+($I$3/10000))/2))^(2*AQ430/365.25))</f>
        <v/>
      </c>
      <c r="AT430" s="137" t="str">
        <f aca="false">IF(A431="","",IF(AND(mthbeg&lt;=A430,mthend&gt;=A430),1,0))</f>
        <v/>
      </c>
      <c r="AU430" s="137" t="str">
        <f aca="false">IF(A431="","",AO430*AT430)</f>
        <v/>
      </c>
      <c r="AW430" s="195" t="str">
        <f aca="false">IF($A431="","",AL430*$E430)</f>
        <v/>
      </c>
      <c r="AX430" s="195" t="str">
        <f aca="false">IF($A431="","",AM430*$E430)</f>
        <v/>
      </c>
      <c r="AY430" s="195" t="str">
        <f aca="false">IF($A431="","",AN430*$E430)</f>
        <v/>
      </c>
      <c r="BA430" s="195" t="str">
        <f aca="false">IF($A431="","",F430*Summary!$Q$11)</f>
        <v/>
      </c>
    </row>
    <row r="431" customFormat="false" ht="12.75" hidden="false" customHeight="false" outlineLevel="0" collapsed="false">
      <c r="A431" s="196" t="str">
        <f aca="false">IF(A430&lt;mthend,EDATE(A430,1),"")</f>
        <v/>
      </c>
      <c r="B431" s="197" t="str">
        <f aca="false">IF(A431&lt;mthend,B430,"")</f>
        <v/>
      </c>
      <c r="D431" s="197" t="str">
        <f aca="false">IF(A432&lt;&gt;"",B431+C431,"")</f>
        <v/>
      </c>
      <c r="E431" s="199" t="str">
        <f aca="false">IF(A432="","",IF(AND(AT431=1,$H$3=1),D431*AO431,IF($H$3=2,D431,"N/A")))</f>
        <v/>
      </c>
      <c r="F431" s="199" t="str">
        <f aca="false">IF(A432="","",E431*AS431)</f>
        <v/>
      </c>
      <c r="G431" s="200" t="str">
        <f aca="false">IF($A432="","",VLOOKUP($A431,Table,MATCH(G$4,Curves,0)))</f>
        <v/>
      </c>
      <c r="H431" s="201" t="str">
        <f aca="false">IF(A432="","",G431)</f>
        <v/>
      </c>
      <c r="J431" s="200" t="str">
        <f aca="false">IF($A432="","",VLOOKUP($A431,Table,MATCH(J$4,Curves,0)))</f>
        <v/>
      </c>
      <c r="K431" s="201" t="str">
        <f aca="false">IF(A432="","",J431)</f>
        <v/>
      </c>
      <c r="L431" s="200" t="str">
        <f aca="false">IF($A432="","",VLOOKUP($A431,Table,MATCH(L$4,Curves,0)))</f>
        <v/>
      </c>
      <c r="M431" s="201" t="str">
        <f aca="false">IF(A432="","",L431)</f>
        <v/>
      </c>
      <c r="O431" s="200" t="str">
        <f aca="false">IF(A432="","",L431+J431+G431)</f>
        <v/>
      </c>
      <c r="P431" s="200" t="str">
        <f aca="false">IF(A432="","",M431+K431+H431)</f>
        <v/>
      </c>
      <c r="R431" s="200" t="str">
        <f aca="false">IF($A432="","",VLOOKUP($A431,Table,MATCH(R$4,Curves,0)))</f>
        <v/>
      </c>
      <c r="S431" s="201" t="str">
        <f aca="false">IF(A432="","",R431)</f>
        <v/>
      </c>
      <c r="T431" s="185" t="n">
        <v>0</v>
      </c>
      <c r="U431" s="201" t="str">
        <f aca="false">IF(A432="","",T431)</f>
        <v/>
      </c>
      <c r="V431" s="205" t="str">
        <f aca="false">IF($A432="","",IF(AND(MONTH(A431)&gt;3,MONTH(A431)&lt;11),(T431+R431+G431)*Summary!$T$11/(1-Summary!$T$11),(T431+R431+G431)*Summary!$U$11/(1-Summary!$U$11)))</f>
        <v/>
      </c>
      <c r="W431" s="202" t="str">
        <f aca="false">IF($A432="","",(T431+R431+G431+V431))</f>
        <v/>
      </c>
      <c r="X431" s="202" t="str">
        <f aca="false">IF($A432="","",(U431+S431+H431+V431))</f>
        <v/>
      </c>
      <c r="Y431" s="202"/>
      <c r="Z431" s="185"/>
      <c r="AJ431" s="77"/>
      <c r="AK431" s="77"/>
      <c r="AL431" s="77"/>
      <c r="AM431" s="77"/>
      <c r="AN431" s="77"/>
      <c r="AO431" s="137" t="str">
        <f aca="false">IF(A432="","",A432-A431)</f>
        <v/>
      </c>
      <c r="AP431" s="212" t="str">
        <f aca="false">IF(A432="","",CHOOSE(F$3,A432+24,A431))</f>
        <v/>
      </c>
      <c r="AQ431" s="209" t="str">
        <f aca="false">IF(A432="","",AP431-$E$1)</f>
        <v/>
      </c>
      <c r="AR431" s="185" t="n">
        <f aca="false">'ANR OK vs ML7'!AR431</f>
        <v>0.1</v>
      </c>
      <c r="AS431" s="213" t="str">
        <f aca="false">IF(A432="","",1/(1+CHOOSE(F$3,(AR432+($I$3/10000))/2,(AR431+($I$3/10000))/2))^(2*AQ431/365.25))</f>
        <v/>
      </c>
      <c r="AT431" s="137" t="str">
        <f aca="false">IF(A432="","",IF(AND(mthbeg&lt;=A431,mthend&gt;=A431),1,0))</f>
        <v/>
      </c>
      <c r="AU431" s="137" t="str">
        <f aca="false">IF(A432="","",AO431*AT431)</f>
        <v/>
      </c>
      <c r="AW431" s="195" t="str">
        <f aca="false">IF($A432="","",AL431*$E431)</f>
        <v/>
      </c>
      <c r="AX431" s="195" t="str">
        <f aca="false">IF($A432="","",AM431*$E431)</f>
        <v/>
      </c>
      <c r="AY431" s="195" t="str">
        <f aca="false">IF($A432="","",AN431*$E431)</f>
        <v/>
      </c>
      <c r="BA431" s="195" t="str">
        <f aca="false">IF($A432="","",F431*Summary!$Q$11)</f>
        <v/>
      </c>
    </row>
    <row r="432" customFormat="false" ht="12.75" hidden="false" customHeight="false" outlineLevel="0" collapsed="false">
      <c r="A432" s="196" t="str">
        <f aca="false">IF(A431&lt;mthend,EDATE(A431,1),"")</f>
        <v/>
      </c>
      <c r="B432" s="197" t="str">
        <f aca="false">IF(A432&lt;mthend,B431,"")</f>
        <v/>
      </c>
      <c r="D432" s="197" t="str">
        <f aca="false">IF(A433&lt;&gt;"",B432+C432,"")</f>
        <v/>
      </c>
      <c r="E432" s="199" t="str">
        <f aca="false">IF(A433="","",IF(AND(AT432=1,$H$3=1),D432*AO432,IF($H$3=2,D432,"N/A")))</f>
        <v/>
      </c>
      <c r="F432" s="199" t="str">
        <f aca="false">IF(A433="","",E432*AS432)</f>
        <v/>
      </c>
      <c r="G432" s="200" t="str">
        <f aca="false">IF($A433="","",VLOOKUP($A432,Table,MATCH(G$4,Curves,0)))</f>
        <v/>
      </c>
      <c r="H432" s="201" t="str">
        <f aca="false">IF(A433="","",G432)</f>
        <v/>
      </c>
      <c r="J432" s="200" t="str">
        <f aca="false">IF($A433="","",VLOOKUP($A432,Table,MATCH(J$4,Curves,0)))</f>
        <v/>
      </c>
      <c r="K432" s="201" t="str">
        <f aca="false">IF(A433="","",J432)</f>
        <v/>
      </c>
      <c r="L432" s="200" t="str">
        <f aca="false">IF($A433="","",VLOOKUP($A432,Table,MATCH(L$4,Curves,0)))</f>
        <v/>
      </c>
      <c r="M432" s="201" t="str">
        <f aca="false">IF(A433="","",L432)</f>
        <v/>
      </c>
      <c r="O432" s="200" t="str">
        <f aca="false">IF(A433="","",L432+J432+G432)</f>
        <v/>
      </c>
      <c r="P432" s="200" t="str">
        <f aca="false">IF(A433="","",M432+K432+H432)</f>
        <v/>
      </c>
      <c r="R432" s="200" t="str">
        <f aca="false">IF($A433="","",VLOOKUP($A432,Table,MATCH(R$4,Curves,0)))</f>
        <v/>
      </c>
      <c r="S432" s="201" t="str">
        <f aca="false">IF(A433="","",R432)</f>
        <v/>
      </c>
      <c r="T432" s="185" t="n">
        <v>0</v>
      </c>
      <c r="U432" s="201" t="str">
        <f aca="false">IF(A433="","",T432)</f>
        <v/>
      </c>
      <c r="V432" s="205" t="str">
        <f aca="false">IF($A433="","",IF(AND(MONTH(A432)&gt;3,MONTH(A432)&lt;11),(T432+R432+G432)*Summary!$T$11/(1-Summary!$T$11),(T432+R432+G432)*Summary!$U$11/(1-Summary!$U$11)))</f>
        <v/>
      </c>
      <c r="W432" s="202" t="str">
        <f aca="false">IF($A433="","",(T432+R432+G432+V432))</f>
        <v/>
      </c>
      <c r="X432" s="202" t="str">
        <f aca="false">IF($A433="","",(U432+S432+H432+V432))</f>
        <v/>
      </c>
      <c r="Y432" s="202"/>
      <c r="Z432" s="185"/>
      <c r="AJ432" s="77"/>
      <c r="AK432" s="77"/>
      <c r="AL432" s="77"/>
      <c r="AM432" s="77"/>
      <c r="AN432" s="77"/>
      <c r="AO432" s="137" t="str">
        <f aca="false">IF(A433="","",A433-A432)</f>
        <v/>
      </c>
      <c r="AP432" s="212" t="str">
        <f aca="false">IF(A433="","",CHOOSE(F$3,A433+24,A432))</f>
        <v/>
      </c>
      <c r="AQ432" s="209" t="str">
        <f aca="false">IF(A433="","",AP432-$E$1)</f>
        <v/>
      </c>
      <c r="AR432" s="185" t="n">
        <f aca="false">'ANR OK vs ML7'!AR432</f>
        <v>0.1</v>
      </c>
      <c r="AS432" s="213" t="str">
        <f aca="false">IF(A433="","",1/(1+CHOOSE(F$3,(AR433+($I$3/10000))/2,(AR432+($I$3/10000))/2))^(2*AQ432/365.25))</f>
        <v/>
      </c>
      <c r="AT432" s="137" t="str">
        <f aca="false">IF(A433="","",IF(AND(mthbeg&lt;=A432,mthend&gt;=A432),1,0))</f>
        <v/>
      </c>
      <c r="AU432" s="137" t="str">
        <f aca="false">IF(A433="","",AO432*AT432)</f>
        <v/>
      </c>
      <c r="AW432" s="195" t="str">
        <f aca="false">IF($A433="","",AL432*$E432)</f>
        <v/>
      </c>
      <c r="AX432" s="195" t="str">
        <f aca="false">IF($A433="","",AM432*$E432)</f>
        <v/>
      </c>
      <c r="AY432" s="195" t="str">
        <f aca="false">IF($A433="","",AN432*$E432)</f>
        <v/>
      </c>
      <c r="BA432" s="195" t="str">
        <f aca="false">IF($A433="","",F432*Summary!$Q$11)</f>
        <v/>
      </c>
    </row>
    <row r="433" customFormat="false" ht="12.75" hidden="false" customHeight="false" outlineLevel="0" collapsed="false">
      <c r="A433" s="196" t="str">
        <f aca="false">IF(A432&lt;mthend,EDATE(A432,1),"")</f>
        <v/>
      </c>
      <c r="B433" s="197" t="str">
        <f aca="false">IF(A433&lt;mthend,B432,"")</f>
        <v/>
      </c>
      <c r="D433" s="197" t="str">
        <f aca="false">IF(A434&lt;&gt;"",B433+C433,"")</f>
        <v/>
      </c>
      <c r="E433" s="199" t="str">
        <f aca="false">IF(A434="","",IF(AND(AT433=1,$H$3=1),D433*AO433,IF($H$3=2,D433,"N/A")))</f>
        <v/>
      </c>
      <c r="F433" s="199" t="str">
        <f aca="false">IF(A434="","",E433*AS433)</f>
        <v/>
      </c>
      <c r="G433" s="200" t="str">
        <f aca="false">IF($A434="","",VLOOKUP($A433,Table,MATCH(G$4,Curves,0)))</f>
        <v/>
      </c>
      <c r="H433" s="201" t="str">
        <f aca="false">IF(A434="","",G433)</f>
        <v/>
      </c>
      <c r="J433" s="200" t="str">
        <f aca="false">IF($A434="","",VLOOKUP($A433,Table,MATCH(J$4,Curves,0)))</f>
        <v/>
      </c>
      <c r="K433" s="201" t="str">
        <f aca="false">IF(A434="","",J433)</f>
        <v/>
      </c>
      <c r="L433" s="200" t="str">
        <f aca="false">IF($A434="","",VLOOKUP($A433,Table,MATCH(L$4,Curves,0)))</f>
        <v/>
      </c>
      <c r="M433" s="201" t="str">
        <f aca="false">IF(A434="","",L433)</f>
        <v/>
      </c>
      <c r="O433" s="200" t="str">
        <f aca="false">IF(A434="","",L433+J433+G433)</f>
        <v/>
      </c>
      <c r="P433" s="200" t="str">
        <f aca="false">IF(A434="","",M433+K433+H433)</f>
        <v/>
      </c>
      <c r="R433" s="200" t="str">
        <f aca="false">IF($A434="","",VLOOKUP($A433,Table,MATCH(R$4,Curves,0)))</f>
        <v/>
      </c>
      <c r="S433" s="201" t="str">
        <f aca="false">IF(A434="","",R433)</f>
        <v/>
      </c>
      <c r="T433" s="185" t="n">
        <v>0</v>
      </c>
      <c r="U433" s="201" t="str">
        <f aca="false">IF(A434="","",T433)</f>
        <v/>
      </c>
      <c r="V433" s="205" t="str">
        <f aca="false">IF($A434="","",IF(AND(MONTH(A433)&gt;3,MONTH(A433)&lt;11),(T433+R433+G433)*Summary!$T$11/(1-Summary!$T$11),(T433+R433+G433)*Summary!$U$11/(1-Summary!$U$11)))</f>
        <v/>
      </c>
      <c r="W433" s="202" t="str">
        <f aca="false">IF($A434="","",(T433+R433+G433+V433))</f>
        <v/>
      </c>
      <c r="X433" s="202" t="str">
        <f aca="false">IF($A434="","",(U433+S433+H433+V433))</f>
        <v/>
      </c>
      <c r="Y433" s="202"/>
      <c r="Z433" s="185"/>
      <c r="AJ433" s="77"/>
      <c r="AK433" s="77"/>
      <c r="AL433" s="77"/>
      <c r="AM433" s="77"/>
      <c r="AN433" s="77"/>
      <c r="AO433" s="137" t="str">
        <f aca="false">IF(A434="","",A434-A433)</f>
        <v/>
      </c>
      <c r="AP433" s="212" t="str">
        <f aca="false">IF(A434="","",CHOOSE(F$3,A434+24,A433))</f>
        <v/>
      </c>
      <c r="AQ433" s="209" t="str">
        <f aca="false">IF(A434="","",AP433-$E$1)</f>
        <v/>
      </c>
      <c r="AR433" s="185" t="n">
        <f aca="false">'ANR OK vs ML7'!AR433</f>
        <v>0.1</v>
      </c>
      <c r="AS433" s="213" t="str">
        <f aca="false">IF(A434="","",1/(1+CHOOSE(F$3,(AR434+($I$3/10000))/2,(AR433+($I$3/10000))/2))^(2*AQ433/365.25))</f>
        <v/>
      </c>
      <c r="AT433" s="137" t="str">
        <f aca="false">IF(A434="","",IF(AND(mthbeg&lt;=A433,mthend&gt;=A433),1,0))</f>
        <v/>
      </c>
      <c r="AU433" s="137" t="str">
        <f aca="false">IF(A434="","",AO433*AT433)</f>
        <v/>
      </c>
      <c r="AW433" s="195" t="str">
        <f aca="false">IF($A434="","",AL433*$E433)</f>
        <v/>
      </c>
      <c r="AX433" s="195" t="str">
        <f aca="false">IF($A434="","",AM433*$E433)</f>
        <v/>
      </c>
      <c r="AY433" s="195" t="str">
        <f aca="false">IF($A434="","",AN433*$E433)</f>
        <v/>
      </c>
      <c r="BA433" s="195" t="str">
        <f aca="false">IF($A434="","",F433*Summary!$Q$11)</f>
        <v/>
      </c>
    </row>
    <row r="434" customFormat="false" ht="12.75" hidden="false" customHeight="false" outlineLevel="0" collapsed="false">
      <c r="A434" s="196" t="str">
        <f aca="false">IF(A433&lt;mthend,EDATE(A433,1),"")</f>
        <v/>
      </c>
      <c r="B434" s="197" t="str">
        <f aca="false">IF(A434&lt;mthend,B433,"")</f>
        <v/>
      </c>
      <c r="D434" s="197" t="str">
        <f aca="false">IF(A435&lt;&gt;"",B434+C434,"")</f>
        <v/>
      </c>
      <c r="E434" s="199" t="str">
        <f aca="false">IF(A435="","",IF(AND(AT434=1,$H$3=1),D434*AO434,IF($H$3=2,D434,"N/A")))</f>
        <v/>
      </c>
      <c r="F434" s="199" t="str">
        <f aca="false">IF(A435="","",E434*AS434)</f>
        <v/>
      </c>
      <c r="G434" s="200" t="str">
        <f aca="false">IF($A435="","",VLOOKUP($A434,Table,MATCH(G$4,Curves,0)))</f>
        <v/>
      </c>
      <c r="H434" s="201" t="str">
        <f aca="false">IF(A435="","",G434)</f>
        <v/>
      </c>
      <c r="J434" s="200" t="str">
        <f aca="false">IF($A435="","",VLOOKUP($A434,Table,MATCH(J$4,Curves,0)))</f>
        <v/>
      </c>
      <c r="K434" s="201" t="str">
        <f aca="false">IF(A435="","",J434)</f>
        <v/>
      </c>
      <c r="L434" s="200" t="str">
        <f aca="false">IF($A435="","",VLOOKUP($A434,Table,MATCH(L$4,Curves,0)))</f>
        <v/>
      </c>
      <c r="M434" s="201" t="str">
        <f aca="false">IF(A435="","",L434)</f>
        <v/>
      </c>
      <c r="O434" s="200" t="str">
        <f aca="false">IF(A435="","",L434+J434+G434)</f>
        <v/>
      </c>
      <c r="P434" s="200" t="str">
        <f aca="false">IF(A435="","",M434+K434+H434)</f>
        <v/>
      </c>
      <c r="R434" s="200" t="str">
        <f aca="false">IF($A435="","",VLOOKUP($A434,Table,MATCH(R$4,Curves,0)))</f>
        <v/>
      </c>
      <c r="S434" s="201" t="str">
        <f aca="false">IF(A435="","",R434)</f>
        <v/>
      </c>
      <c r="T434" s="185" t="n">
        <v>0</v>
      </c>
      <c r="U434" s="201" t="str">
        <f aca="false">IF(A435="","",T434)</f>
        <v/>
      </c>
      <c r="V434" s="205" t="str">
        <f aca="false">IF($A435="","",IF(AND(MONTH(A434)&gt;3,MONTH(A434)&lt;11),(T434+R434+G434)*Summary!$T$11/(1-Summary!$T$11),(T434+R434+G434)*Summary!$U$11/(1-Summary!$U$11)))</f>
        <v/>
      </c>
      <c r="W434" s="202" t="str">
        <f aca="false">IF($A435="","",(T434+R434+G434+V434))</f>
        <v/>
      </c>
      <c r="X434" s="202" t="str">
        <f aca="false">IF($A435="","",(U434+S434+H434+V434))</f>
        <v/>
      </c>
      <c r="Y434" s="202"/>
      <c r="Z434" s="185"/>
      <c r="AJ434" s="77"/>
      <c r="AK434" s="77"/>
      <c r="AL434" s="77"/>
      <c r="AM434" s="77"/>
      <c r="AN434" s="77"/>
      <c r="AO434" s="137" t="str">
        <f aca="false">IF(A435="","",A435-A434)</f>
        <v/>
      </c>
      <c r="AP434" s="212" t="str">
        <f aca="false">IF(A435="","",CHOOSE(F$3,A435+24,A434))</f>
        <v/>
      </c>
      <c r="AQ434" s="209" t="str">
        <f aca="false">IF(A435="","",AP434-$E$1)</f>
        <v/>
      </c>
      <c r="AR434" s="185" t="n">
        <f aca="false">'ANR OK vs ML7'!AR434</f>
        <v>0.1</v>
      </c>
      <c r="AS434" s="213" t="str">
        <f aca="false">IF(A435="","",1/(1+CHOOSE(F$3,(AR435+($I$3/10000))/2,(AR434+($I$3/10000))/2))^(2*AQ434/365.25))</f>
        <v/>
      </c>
      <c r="AT434" s="137" t="str">
        <f aca="false">IF(A435="","",IF(AND(mthbeg&lt;=A434,mthend&gt;=A434),1,0))</f>
        <v/>
      </c>
      <c r="AU434" s="137" t="str">
        <f aca="false">IF(A435="","",AO434*AT434)</f>
        <v/>
      </c>
      <c r="AW434" s="195" t="str">
        <f aca="false">IF($A435="","",AL434*$E434)</f>
        <v/>
      </c>
      <c r="AX434" s="195" t="str">
        <f aca="false">IF($A435="","",AM434*$E434)</f>
        <v/>
      </c>
      <c r="AY434" s="195" t="str">
        <f aca="false">IF($A435="","",AN434*$E434)</f>
        <v/>
      </c>
      <c r="BA434" s="195" t="str">
        <f aca="false">IF($A435="","",F434*Summary!$Q$11)</f>
        <v/>
      </c>
    </row>
    <row r="435" customFormat="false" ht="12.75" hidden="false" customHeight="false" outlineLevel="0" collapsed="false">
      <c r="A435" s="196" t="str">
        <f aca="false">IF(A434&lt;mthend,EDATE(A434,1),"")</f>
        <v/>
      </c>
      <c r="B435" s="197" t="str">
        <f aca="false">IF(A435&lt;mthend,B434,"")</f>
        <v/>
      </c>
      <c r="D435" s="197" t="str">
        <f aca="false">IF(A436&lt;&gt;"",B435+C435,"")</f>
        <v/>
      </c>
      <c r="E435" s="199" t="str">
        <f aca="false">IF(A436="","",IF(AND(AT435=1,$H$3=1),D435*AO435,IF($H$3=2,D435,"N/A")))</f>
        <v/>
      </c>
      <c r="F435" s="199" t="str">
        <f aca="false">IF(A436="","",E435*AS435)</f>
        <v/>
      </c>
      <c r="G435" s="200" t="str">
        <f aca="false">IF($A436="","",VLOOKUP($A435,Table,MATCH(G$4,Curves,0)))</f>
        <v/>
      </c>
      <c r="H435" s="201" t="str">
        <f aca="false">IF(A436="","",G435)</f>
        <v/>
      </c>
      <c r="J435" s="200" t="str">
        <f aca="false">IF($A436="","",VLOOKUP($A435,Table,MATCH(J$4,Curves,0)))</f>
        <v/>
      </c>
      <c r="K435" s="201" t="str">
        <f aca="false">IF(A436="","",J435)</f>
        <v/>
      </c>
      <c r="L435" s="200" t="str">
        <f aca="false">IF($A436="","",VLOOKUP($A435,Table,MATCH(L$4,Curves,0)))</f>
        <v/>
      </c>
      <c r="M435" s="201" t="str">
        <f aca="false">IF(A436="","",L435)</f>
        <v/>
      </c>
      <c r="O435" s="200" t="str">
        <f aca="false">IF(A436="","",L435+J435+G435)</f>
        <v/>
      </c>
      <c r="P435" s="200" t="str">
        <f aca="false">IF(A436="","",M435+K435+H435)</f>
        <v/>
      </c>
      <c r="R435" s="200" t="str">
        <f aca="false">IF($A436="","",VLOOKUP($A435,Table,MATCH(R$4,Curves,0)))</f>
        <v/>
      </c>
      <c r="S435" s="201" t="str">
        <f aca="false">IF(A436="","",R435)</f>
        <v/>
      </c>
      <c r="T435" s="185" t="n">
        <v>0</v>
      </c>
      <c r="U435" s="201" t="str">
        <f aca="false">IF(A436="","",T435)</f>
        <v/>
      </c>
      <c r="V435" s="205" t="str">
        <f aca="false">IF($A436="","",IF(AND(MONTH(A435)&gt;3,MONTH(A435)&lt;11),(T435+R435+G435)*Summary!$T$11/(1-Summary!$T$11),(T435+R435+G435)*Summary!$U$11/(1-Summary!$U$11)))</f>
        <v/>
      </c>
      <c r="W435" s="202" t="str">
        <f aca="false">IF($A436="","",(T435+R435+G435+V435))</f>
        <v/>
      </c>
      <c r="X435" s="202" t="str">
        <f aca="false">IF($A436="","",(U435+S435+H435+V435))</f>
        <v/>
      </c>
      <c r="Y435" s="202"/>
      <c r="Z435" s="185"/>
      <c r="AJ435" s="77"/>
      <c r="AK435" s="77"/>
      <c r="AL435" s="77"/>
      <c r="AM435" s="77"/>
      <c r="AN435" s="77"/>
      <c r="AO435" s="137" t="str">
        <f aca="false">IF(A436="","",A436-A435)</f>
        <v/>
      </c>
      <c r="AP435" s="212" t="str">
        <f aca="false">IF(A436="","",CHOOSE(F$3,A436+24,A435))</f>
        <v/>
      </c>
      <c r="AQ435" s="209" t="str">
        <f aca="false">IF(A436="","",AP435-$E$1)</f>
        <v/>
      </c>
      <c r="AR435" s="185" t="n">
        <f aca="false">'ANR OK vs ML7'!AR435</f>
        <v>0.1</v>
      </c>
      <c r="AS435" s="213" t="str">
        <f aca="false">IF(A436="","",1/(1+CHOOSE(F$3,(AR436+($I$3/10000))/2,(AR435+($I$3/10000))/2))^(2*AQ435/365.25))</f>
        <v/>
      </c>
      <c r="AT435" s="137" t="str">
        <f aca="false">IF(A436="","",IF(AND(mthbeg&lt;=A435,mthend&gt;=A435),1,0))</f>
        <v/>
      </c>
      <c r="AU435" s="137" t="str">
        <f aca="false">IF(A436="","",AO435*AT435)</f>
        <v/>
      </c>
      <c r="AW435" s="195" t="str">
        <f aca="false">IF($A436="","",AL435*$E435)</f>
        <v/>
      </c>
      <c r="AX435" s="195" t="str">
        <f aca="false">IF($A436="","",AM435*$E435)</f>
        <v/>
      </c>
      <c r="AY435" s="195" t="str">
        <f aca="false">IF($A436="","",AN435*$E435)</f>
        <v/>
      </c>
      <c r="BA435" s="195" t="str">
        <f aca="false">IF($A436="","",F435*Summary!$Q$11)</f>
        <v/>
      </c>
    </row>
    <row r="436" customFormat="false" ht="12.75" hidden="false" customHeight="false" outlineLevel="0" collapsed="false">
      <c r="A436" s="196" t="str">
        <f aca="false">IF(A435&lt;mthend,EDATE(A435,1),"")</f>
        <v/>
      </c>
      <c r="B436" s="197" t="str">
        <f aca="false">IF(A436&lt;mthend,B435,"")</f>
        <v/>
      </c>
      <c r="D436" s="197" t="str">
        <f aca="false">IF(A437&lt;&gt;"",B436+C436,"")</f>
        <v/>
      </c>
      <c r="E436" s="199" t="str">
        <f aca="false">IF(A437="","",IF(AND(AT436=1,$H$3=1),D436*AO436,IF($H$3=2,D436,"N/A")))</f>
        <v/>
      </c>
      <c r="F436" s="199" t="str">
        <f aca="false">IF(A437="","",E436*AS436)</f>
        <v/>
      </c>
      <c r="G436" s="200" t="str">
        <f aca="false">IF($A437="","",VLOOKUP($A436,Table,MATCH(G$4,Curves,0)))</f>
        <v/>
      </c>
      <c r="H436" s="201" t="str">
        <f aca="false">IF(A437="","",G436)</f>
        <v/>
      </c>
      <c r="J436" s="200" t="str">
        <f aca="false">IF($A437="","",VLOOKUP($A436,Table,MATCH(J$4,Curves,0)))</f>
        <v/>
      </c>
      <c r="K436" s="201" t="str">
        <f aca="false">IF(A437="","",J436)</f>
        <v/>
      </c>
      <c r="L436" s="200" t="str">
        <f aca="false">IF($A437="","",VLOOKUP($A436,Table,MATCH(L$4,Curves,0)))</f>
        <v/>
      </c>
      <c r="M436" s="201" t="str">
        <f aca="false">IF(A437="","",L436)</f>
        <v/>
      </c>
      <c r="O436" s="200" t="str">
        <f aca="false">IF(A437="","",L436+J436+G436)</f>
        <v/>
      </c>
      <c r="P436" s="200" t="str">
        <f aca="false">IF(A437="","",M436+K436+H436)</f>
        <v/>
      </c>
      <c r="R436" s="200" t="str">
        <f aca="false">IF($A437="","",VLOOKUP($A436,Table,MATCH(R$4,Curves,0)))</f>
        <v/>
      </c>
      <c r="S436" s="201" t="str">
        <f aca="false">IF(A437="","",R436)</f>
        <v/>
      </c>
      <c r="T436" s="185" t="n">
        <v>0</v>
      </c>
      <c r="U436" s="201" t="str">
        <f aca="false">IF(A437="","",T436)</f>
        <v/>
      </c>
      <c r="V436" s="205" t="str">
        <f aca="false">IF($A437="","",IF(AND(MONTH(A436)&gt;3,MONTH(A436)&lt;11),(T436+R436+G436)*Summary!$T$11/(1-Summary!$T$11),(T436+R436+G436)*Summary!$U$11/(1-Summary!$U$11)))</f>
        <v/>
      </c>
      <c r="W436" s="202" t="str">
        <f aca="false">IF($A437="","",(T436+R436+G436+V436))</f>
        <v/>
      </c>
      <c r="X436" s="202" t="str">
        <f aca="false">IF($A437="","",(U436+S436+H436+V436))</f>
        <v/>
      </c>
      <c r="Y436" s="202"/>
      <c r="Z436" s="185"/>
      <c r="AJ436" s="77"/>
      <c r="AK436" s="77"/>
      <c r="AL436" s="77"/>
      <c r="AM436" s="77"/>
      <c r="AN436" s="77"/>
      <c r="AO436" s="137" t="str">
        <f aca="false">IF(A437="","",A437-A436)</f>
        <v/>
      </c>
      <c r="AP436" s="212" t="str">
        <f aca="false">IF(A437="","",CHOOSE(F$3,A437+24,A436))</f>
        <v/>
      </c>
      <c r="AQ436" s="209" t="str">
        <f aca="false">IF(A437="","",AP436-$E$1)</f>
        <v/>
      </c>
      <c r="AR436" s="185" t="n">
        <f aca="false">'ANR OK vs ML7'!AR436</f>
        <v>0.1</v>
      </c>
      <c r="AS436" s="213" t="str">
        <f aca="false">IF(A437="","",1/(1+CHOOSE(F$3,(AR437+($I$3/10000))/2,(AR436+($I$3/10000))/2))^(2*AQ436/365.25))</f>
        <v/>
      </c>
      <c r="AT436" s="137" t="str">
        <f aca="false">IF(A437="","",IF(AND(mthbeg&lt;=A436,mthend&gt;=A436),1,0))</f>
        <v/>
      </c>
      <c r="AU436" s="137" t="str">
        <f aca="false">IF(A437="","",AO436*AT436)</f>
        <v/>
      </c>
      <c r="AW436" s="195" t="str">
        <f aca="false">IF($A437="","",AL436*$E436)</f>
        <v/>
      </c>
      <c r="AX436" s="195" t="str">
        <f aca="false">IF($A437="","",AM436*$E436)</f>
        <v/>
      </c>
      <c r="AY436" s="195" t="str">
        <f aca="false">IF($A437="","",AN436*$E436)</f>
        <v/>
      </c>
      <c r="BA436" s="195" t="str">
        <f aca="false">IF($A437="","",F436*Summary!$Q$11)</f>
        <v/>
      </c>
    </row>
    <row r="437" customFormat="false" ht="12.75" hidden="false" customHeight="false" outlineLevel="0" collapsed="false">
      <c r="A437" s="196" t="str">
        <f aca="false">IF(A436&lt;mthend,EDATE(A436,1),"")</f>
        <v/>
      </c>
      <c r="B437" s="197" t="str">
        <f aca="false">IF(A437&lt;mthend,B436,"")</f>
        <v/>
      </c>
      <c r="D437" s="197" t="str">
        <f aca="false">IF(A438&lt;&gt;"",B437+C437,"")</f>
        <v/>
      </c>
      <c r="E437" s="199" t="str">
        <f aca="false">IF(A438="","",IF(AND(AT437=1,$H$3=1),D437*AO437,IF($H$3=2,D437,"N/A")))</f>
        <v/>
      </c>
      <c r="F437" s="199" t="str">
        <f aca="false">IF(A438="","",E437*AS437)</f>
        <v/>
      </c>
      <c r="G437" s="200" t="str">
        <f aca="false">IF($A438="","",VLOOKUP($A437,Table,MATCH(G$4,Curves,0)))</f>
        <v/>
      </c>
      <c r="H437" s="201" t="str">
        <f aca="false">IF(A438="","",G437)</f>
        <v/>
      </c>
      <c r="J437" s="200" t="str">
        <f aca="false">IF($A438="","",VLOOKUP($A437,Table,MATCH(J$4,Curves,0)))</f>
        <v/>
      </c>
      <c r="K437" s="201" t="str">
        <f aca="false">IF(A438="","",J437)</f>
        <v/>
      </c>
      <c r="L437" s="200" t="str">
        <f aca="false">IF($A438="","",VLOOKUP($A437,Table,MATCH(L$4,Curves,0)))</f>
        <v/>
      </c>
      <c r="M437" s="201" t="str">
        <f aca="false">IF(A438="","",L437)</f>
        <v/>
      </c>
      <c r="O437" s="200" t="str">
        <f aca="false">IF(A438="","",L437+J437+G437)</f>
        <v/>
      </c>
      <c r="P437" s="200" t="str">
        <f aca="false">IF(A438="","",M437+K437+H437)</f>
        <v/>
      </c>
      <c r="R437" s="200" t="str">
        <f aca="false">IF($A438="","",VLOOKUP($A437,Table,MATCH(R$4,Curves,0)))</f>
        <v/>
      </c>
      <c r="S437" s="201" t="str">
        <f aca="false">IF(A438="","",R437)</f>
        <v/>
      </c>
      <c r="T437" s="185" t="n">
        <v>0</v>
      </c>
      <c r="U437" s="201" t="str">
        <f aca="false">IF(A438="","",T437)</f>
        <v/>
      </c>
      <c r="V437" s="205" t="str">
        <f aca="false">IF($A438="","",IF(AND(MONTH(A437)&gt;3,MONTH(A437)&lt;11),(T437+R437+G437)*Summary!$T$11/(1-Summary!$T$11),(T437+R437+G437)*Summary!$U$11/(1-Summary!$U$11)))</f>
        <v/>
      </c>
      <c r="W437" s="202" t="str">
        <f aca="false">IF($A438="","",(T437+R437+G437+V437))</f>
        <v/>
      </c>
      <c r="X437" s="202" t="str">
        <f aca="false">IF($A438="","",(U437+S437+H437+V437))</f>
        <v/>
      </c>
      <c r="Y437" s="202"/>
      <c r="Z437" s="185"/>
      <c r="AJ437" s="77"/>
      <c r="AK437" s="77"/>
      <c r="AL437" s="77"/>
      <c r="AM437" s="77"/>
      <c r="AN437" s="77"/>
      <c r="AO437" s="137" t="str">
        <f aca="false">IF(A438="","",A438-A437)</f>
        <v/>
      </c>
      <c r="AP437" s="212" t="str">
        <f aca="false">IF(A438="","",CHOOSE(F$3,A438+24,A437))</f>
        <v/>
      </c>
      <c r="AQ437" s="209" t="str">
        <f aca="false">IF(A438="","",AP437-$E$1)</f>
        <v/>
      </c>
      <c r="AR437" s="185" t="n">
        <f aca="false">'ANR OK vs ML7'!AR437</f>
        <v>0.1</v>
      </c>
      <c r="AS437" s="213" t="str">
        <f aca="false">IF(A438="","",1/(1+CHOOSE(F$3,(AR438+($I$3/10000))/2,(AR437+($I$3/10000))/2))^(2*AQ437/365.25))</f>
        <v/>
      </c>
      <c r="AT437" s="137" t="str">
        <f aca="false">IF(A438="","",IF(AND(mthbeg&lt;=A437,mthend&gt;=A437),1,0))</f>
        <v/>
      </c>
      <c r="AU437" s="137" t="str">
        <f aca="false">IF(A438="","",AO437*AT437)</f>
        <v/>
      </c>
      <c r="AW437" s="195" t="str">
        <f aca="false">IF($A438="","",AL437*$E437)</f>
        <v/>
      </c>
      <c r="AX437" s="195" t="str">
        <f aca="false">IF($A438="","",AM437*$E437)</f>
        <v/>
      </c>
      <c r="AY437" s="195" t="str">
        <f aca="false">IF($A438="","",AN437*$E437)</f>
        <v/>
      </c>
      <c r="BA437" s="195" t="str">
        <f aca="false">IF($A438="","",F437*Summary!$Q$11)</f>
        <v/>
      </c>
    </row>
    <row r="438" customFormat="false" ht="12.75" hidden="false" customHeight="false" outlineLevel="0" collapsed="false">
      <c r="A438" s="196" t="str">
        <f aca="false">IF(A437&lt;mthend,EDATE(A437,1),"")</f>
        <v/>
      </c>
      <c r="B438" s="197" t="str">
        <f aca="false">IF(A438&lt;mthend,B437,"")</f>
        <v/>
      </c>
      <c r="D438" s="197" t="str">
        <f aca="false">IF(A439&lt;&gt;"",B438+C438,"")</f>
        <v/>
      </c>
      <c r="E438" s="199" t="str">
        <f aca="false">IF(A439="","",IF(AND(AT438=1,$H$3=1),D438*AO438,IF($H$3=2,D438,"N/A")))</f>
        <v/>
      </c>
      <c r="F438" s="199" t="str">
        <f aca="false">IF(A439="","",E438*AS438)</f>
        <v/>
      </c>
      <c r="G438" s="200" t="str">
        <f aca="false">IF($A439="","",VLOOKUP($A438,Table,MATCH(G$4,Curves,0)))</f>
        <v/>
      </c>
      <c r="H438" s="201" t="str">
        <f aca="false">IF(A439="","",G438)</f>
        <v/>
      </c>
      <c r="J438" s="200" t="str">
        <f aca="false">IF($A439="","",VLOOKUP($A438,Table,MATCH(J$4,Curves,0)))</f>
        <v/>
      </c>
      <c r="K438" s="201" t="str">
        <f aca="false">IF(A439="","",J438)</f>
        <v/>
      </c>
      <c r="L438" s="200" t="str">
        <f aca="false">IF($A439="","",VLOOKUP($A438,Table,MATCH(L$4,Curves,0)))</f>
        <v/>
      </c>
      <c r="M438" s="201" t="str">
        <f aca="false">IF(A439="","",L438)</f>
        <v/>
      </c>
      <c r="O438" s="200" t="str">
        <f aca="false">IF(A439="","",L438+J438+G438)</f>
        <v/>
      </c>
      <c r="P438" s="200" t="str">
        <f aca="false">IF(A439="","",M438+K438+H438)</f>
        <v/>
      </c>
      <c r="R438" s="200" t="str">
        <f aca="false">IF($A439="","",VLOOKUP($A438,Table,MATCH(R$4,Curves,0)))</f>
        <v/>
      </c>
      <c r="S438" s="201" t="str">
        <f aca="false">IF(A439="","",R438)</f>
        <v/>
      </c>
      <c r="T438" s="185" t="n">
        <v>0</v>
      </c>
      <c r="U438" s="201" t="str">
        <f aca="false">IF(A439="","",T438)</f>
        <v/>
      </c>
      <c r="V438" s="205" t="str">
        <f aca="false">IF($A439="","",IF(AND(MONTH(A438)&gt;3,MONTH(A438)&lt;11),(T438+R438+G438)*Summary!$T$11/(1-Summary!$T$11),(T438+R438+G438)*Summary!$U$11/(1-Summary!$U$11)))</f>
        <v/>
      </c>
      <c r="W438" s="202" t="str">
        <f aca="false">IF($A439="","",(T438+R438+G438+V438))</f>
        <v/>
      </c>
      <c r="X438" s="202" t="str">
        <f aca="false">IF($A439="","",(U438+S438+H438+V438))</f>
        <v/>
      </c>
      <c r="Y438" s="202"/>
      <c r="Z438" s="185"/>
      <c r="AJ438" s="77"/>
      <c r="AK438" s="77"/>
      <c r="AL438" s="77"/>
      <c r="AM438" s="77"/>
      <c r="AN438" s="77"/>
      <c r="AO438" s="137" t="str">
        <f aca="false">IF(A439="","",A439-A438)</f>
        <v/>
      </c>
      <c r="AP438" s="212" t="str">
        <f aca="false">IF(A439="","",CHOOSE(F$3,A439+24,A438))</f>
        <v/>
      </c>
      <c r="AQ438" s="209" t="str">
        <f aca="false">IF(A439="","",AP438-$E$1)</f>
        <v/>
      </c>
      <c r="AR438" s="185" t="n">
        <f aca="false">'ANR OK vs ML7'!AR438</f>
        <v>0.1</v>
      </c>
      <c r="AS438" s="213" t="str">
        <f aca="false">IF(A439="","",1/(1+CHOOSE(F$3,(AR439+($I$3/10000))/2,(AR438+($I$3/10000))/2))^(2*AQ438/365.25))</f>
        <v/>
      </c>
      <c r="AT438" s="137" t="str">
        <f aca="false">IF(A439="","",IF(AND(mthbeg&lt;=A438,mthend&gt;=A438),1,0))</f>
        <v/>
      </c>
      <c r="AU438" s="137" t="str">
        <f aca="false">IF(A439="","",AO438*AT438)</f>
        <v/>
      </c>
      <c r="AW438" s="195" t="str">
        <f aca="false">IF($A439="","",AL438*$E438)</f>
        <v/>
      </c>
      <c r="AX438" s="195" t="str">
        <f aca="false">IF($A439="","",AM438*$E438)</f>
        <v/>
      </c>
      <c r="AY438" s="195" t="str">
        <f aca="false">IF($A439="","",AN438*$E438)</f>
        <v/>
      </c>
      <c r="BA438" s="195" t="str">
        <f aca="false">IF($A439="","",F438*Summary!$Q$11)</f>
        <v/>
      </c>
    </row>
    <row r="439" customFormat="false" ht="12.75" hidden="false" customHeight="false" outlineLevel="0" collapsed="false">
      <c r="A439" s="196" t="str">
        <f aca="false">IF(A438&lt;mthend,EDATE(A438,1),"")</f>
        <v/>
      </c>
      <c r="B439" s="197" t="str">
        <f aca="false">IF(A439&lt;mthend,B438,"")</f>
        <v/>
      </c>
      <c r="D439" s="197" t="str">
        <f aca="false">IF(A440&lt;&gt;"",B439+C439,"")</f>
        <v/>
      </c>
      <c r="E439" s="199" t="str">
        <f aca="false">IF(A440="","",IF(AND(AT439=1,$H$3=1),D439*AO439,IF($H$3=2,D439,"N/A")))</f>
        <v/>
      </c>
      <c r="F439" s="199" t="str">
        <f aca="false">IF(A440="","",E439*AS439)</f>
        <v/>
      </c>
      <c r="G439" s="200" t="str">
        <f aca="false">IF($A440="","",VLOOKUP($A439,Table,MATCH(G$4,Curves,0)))</f>
        <v/>
      </c>
      <c r="H439" s="201" t="str">
        <f aca="false">IF(A440="","",G439)</f>
        <v/>
      </c>
      <c r="J439" s="200" t="str">
        <f aca="false">IF($A440="","",VLOOKUP($A439,Table,MATCH(J$4,Curves,0)))</f>
        <v/>
      </c>
      <c r="K439" s="201" t="str">
        <f aca="false">IF(A440="","",J439)</f>
        <v/>
      </c>
      <c r="L439" s="200" t="str">
        <f aca="false">IF($A440="","",VLOOKUP($A439,Table,MATCH(L$4,Curves,0)))</f>
        <v/>
      </c>
      <c r="M439" s="201" t="str">
        <f aca="false">IF(A440="","",L439)</f>
        <v/>
      </c>
      <c r="O439" s="200" t="str">
        <f aca="false">IF(A440="","",L439+J439+G439)</f>
        <v/>
      </c>
      <c r="P439" s="200" t="str">
        <f aca="false">IF(A440="","",M439+K439+H439)</f>
        <v/>
      </c>
      <c r="R439" s="200" t="str">
        <f aca="false">IF($A440="","",VLOOKUP($A439,Table,MATCH(R$4,Curves,0)))</f>
        <v/>
      </c>
      <c r="S439" s="201" t="str">
        <f aca="false">IF(A440="","",R439)</f>
        <v/>
      </c>
      <c r="T439" s="185" t="n">
        <v>0</v>
      </c>
      <c r="U439" s="201" t="str">
        <f aca="false">IF(A440="","",T439)</f>
        <v/>
      </c>
      <c r="V439" s="205" t="str">
        <f aca="false">IF($A440="","",IF(AND(MONTH(A439)&gt;3,MONTH(A439)&lt;11),(T439+R439+G439)*Summary!$T$11/(1-Summary!$T$11),(T439+R439+G439)*Summary!$U$11/(1-Summary!$U$11)))</f>
        <v/>
      </c>
      <c r="W439" s="202" t="str">
        <f aca="false">IF($A440="","",(T439+R439+G439+V439))</f>
        <v/>
      </c>
      <c r="X439" s="202" t="str">
        <f aca="false">IF($A440="","",(U439+S439+H439+V439))</f>
        <v/>
      </c>
      <c r="Y439" s="202"/>
      <c r="Z439" s="185"/>
      <c r="AJ439" s="77"/>
      <c r="AK439" s="77"/>
      <c r="AL439" s="77"/>
      <c r="AM439" s="77"/>
      <c r="AN439" s="77"/>
      <c r="AO439" s="137" t="str">
        <f aca="false">IF(A440="","",A440-A439)</f>
        <v/>
      </c>
      <c r="AP439" s="212" t="str">
        <f aca="false">IF(A440="","",CHOOSE(F$3,A440+24,A439))</f>
        <v/>
      </c>
      <c r="AQ439" s="209" t="str">
        <f aca="false">IF(A440="","",AP439-$E$1)</f>
        <v/>
      </c>
      <c r="AR439" s="185" t="n">
        <f aca="false">'ANR OK vs ML7'!AR439</f>
        <v>0.1</v>
      </c>
      <c r="AS439" s="213" t="str">
        <f aca="false">IF(A440="","",1/(1+CHOOSE(F$3,(AR440+($I$3/10000))/2,(AR439+($I$3/10000))/2))^(2*AQ439/365.25))</f>
        <v/>
      </c>
      <c r="AT439" s="137" t="str">
        <f aca="false">IF(A440="","",IF(AND(mthbeg&lt;=A439,mthend&gt;=A439),1,0))</f>
        <v/>
      </c>
      <c r="AU439" s="137" t="str">
        <f aca="false">IF(A440="","",AO439*AT439)</f>
        <v/>
      </c>
      <c r="AW439" s="195" t="str">
        <f aca="false">IF($A440="","",AL439*$E439)</f>
        <v/>
      </c>
      <c r="AX439" s="195" t="str">
        <f aca="false">IF($A440="","",AM439*$E439)</f>
        <v/>
      </c>
      <c r="AY439" s="195" t="str">
        <f aca="false">IF($A440="","",AN439*$E439)</f>
        <v/>
      </c>
      <c r="BA439" s="195" t="str">
        <f aca="false">IF($A440="","",F439*Summary!$Q$11)</f>
        <v/>
      </c>
    </row>
    <row r="440" customFormat="false" ht="12.75" hidden="false" customHeight="false" outlineLevel="0" collapsed="false">
      <c r="A440" s="196" t="str">
        <f aca="false">IF(A439&lt;mthend,EDATE(A439,1),"")</f>
        <v/>
      </c>
      <c r="B440" s="197" t="str">
        <f aca="false">IF(A440&lt;mthend,B439,"")</f>
        <v/>
      </c>
      <c r="D440" s="197" t="str">
        <f aca="false">IF(A441&lt;&gt;"",B440+C440,"")</f>
        <v/>
      </c>
      <c r="E440" s="199" t="str">
        <f aca="false">IF(A441="","",IF(AND(AT440=1,$H$3=1),D440*AO440,IF($H$3=2,D440,"N/A")))</f>
        <v/>
      </c>
      <c r="F440" s="199" t="str">
        <f aca="false">IF(A441="","",E440*AS440)</f>
        <v/>
      </c>
      <c r="G440" s="200" t="str">
        <f aca="false">IF($A441="","",VLOOKUP($A440,Table,MATCH(G$4,Curves,0)))</f>
        <v/>
      </c>
      <c r="H440" s="201" t="str">
        <f aca="false">IF(A441="","",G440)</f>
        <v/>
      </c>
      <c r="J440" s="200" t="str">
        <f aca="false">IF($A441="","",VLOOKUP($A440,Table,MATCH(J$4,Curves,0)))</f>
        <v/>
      </c>
      <c r="K440" s="201" t="str">
        <f aca="false">IF(A441="","",J440)</f>
        <v/>
      </c>
      <c r="L440" s="200" t="str">
        <f aca="false">IF($A441="","",VLOOKUP($A440,Table,MATCH(L$4,Curves,0)))</f>
        <v/>
      </c>
      <c r="M440" s="201" t="str">
        <f aca="false">IF(A441="","",L440)</f>
        <v/>
      </c>
      <c r="O440" s="200" t="str">
        <f aca="false">IF(A441="","",L440+J440+G440)</f>
        <v/>
      </c>
      <c r="P440" s="200" t="str">
        <f aca="false">IF(A441="","",M440+K440+H440)</f>
        <v/>
      </c>
      <c r="R440" s="200" t="str">
        <f aca="false">IF($A441="","",VLOOKUP($A440,Table,MATCH(R$4,Curves,0)))</f>
        <v/>
      </c>
      <c r="S440" s="201" t="str">
        <f aca="false">IF(A441="","",R440)</f>
        <v/>
      </c>
      <c r="T440" s="185" t="n">
        <v>0</v>
      </c>
      <c r="U440" s="201" t="str">
        <f aca="false">IF(A441="","",T440)</f>
        <v/>
      </c>
      <c r="V440" s="205" t="str">
        <f aca="false">IF($A441="","",IF(AND(MONTH(A440)&gt;3,MONTH(A440)&lt;11),(T440+R440+G440)*Summary!$T$11/(1-Summary!$T$11),(T440+R440+G440)*Summary!$U$11/(1-Summary!$U$11)))</f>
        <v/>
      </c>
      <c r="W440" s="202" t="str">
        <f aca="false">IF($A441="","",(T440+R440+G440+V440))</f>
        <v/>
      </c>
      <c r="X440" s="202" t="str">
        <f aca="false">IF($A441="","",(U440+S440+H440+V440))</f>
        <v/>
      </c>
      <c r="Y440" s="202"/>
      <c r="Z440" s="185"/>
      <c r="AJ440" s="77"/>
      <c r="AK440" s="77"/>
      <c r="AL440" s="77"/>
      <c r="AM440" s="77"/>
      <c r="AN440" s="77"/>
      <c r="AO440" s="137" t="str">
        <f aca="false">IF(A441="","",A441-A440)</f>
        <v/>
      </c>
      <c r="AP440" s="212" t="str">
        <f aca="false">IF(A441="","",CHOOSE(F$3,A441+24,A440))</f>
        <v/>
      </c>
      <c r="AQ440" s="209" t="str">
        <f aca="false">IF(A441="","",AP440-$E$1)</f>
        <v/>
      </c>
      <c r="AR440" s="185" t="n">
        <f aca="false">'ANR OK vs ML7'!AR440</f>
        <v>0.1</v>
      </c>
      <c r="AS440" s="213" t="str">
        <f aca="false">IF(A441="","",1/(1+CHOOSE(F$3,(AR441+($I$3/10000))/2,(AR440+($I$3/10000))/2))^(2*AQ440/365.25))</f>
        <v/>
      </c>
      <c r="AT440" s="137" t="str">
        <f aca="false">IF(A441="","",IF(AND(mthbeg&lt;=A440,mthend&gt;=A440),1,0))</f>
        <v/>
      </c>
      <c r="AU440" s="137" t="str">
        <f aca="false">IF(A441="","",AO440*AT440)</f>
        <v/>
      </c>
      <c r="AW440" s="195" t="str">
        <f aca="false">IF($A441="","",AL440*$E440)</f>
        <v/>
      </c>
      <c r="AX440" s="195" t="str">
        <f aca="false">IF($A441="","",AM440*$E440)</f>
        <v/>
      </c>
      <c r="AY440" s="195" t="str">
        <f aca="false">IF($A441="","",AN440*$E440)</f>
        <v/>
      </c>
      <c r="BA440" s="195" t="str">
        <f aca="false">IF($A441="","",F440*Summary!$Q$11)</f>
        <v/>
      </c>
    </row>
    <row r="441" customFormat="false" ht="12.75" hidden="false" customHeight="false" outlineLevel="0" collapsed="false">
      <c r="A441" s="196" t="str">
        <f aca="false">IF(A440&lt;mthend,EDATE(A440,1),"")</f>
        <v/>
      </c>
      <c r="B441" s="197" t="str">
        <f aca="false">IF(A441&lt;mthend,B440,"")</f>
        <v/>
      </c>
      <c r="D441" s="197" t="str">
        <f aca="false">IF(A442&lt;&gt;"",B441+C441,"")</f>
        <v/>
      </c>
      <c r="E441" s="199" t="str">
        <f aca="false">IF(A442="","",IF(AND(AT441=1,$H$3=1),D441*AO441,IF($H$3=2,D441,"N/A")))</f>
        <v/>
      </c>
      <c r="F441" s="199" t="str">
        <f aca="false">IF(A442="","",E441*AS441)</f>
        <v/>
      </c>
      <c r="G441" s="200" t="str">
        <f aca="false">IF($A442="","",VLOOKUP($A441,Table,MATCH(G$4,Curves,0)))</f>
        <v/>
      </c>
      <c r="H441" s="201" t="str">
        <f aca="false">IF(A442="","",G441)</f>
        <v/>
      </c>
      <c r="J441" s="200" t="str">
        <f aca="false">IF($A442="","",VLOOKUP($A441,Table,MATCH(J$4,Curves,0)))</f>
        <v/>
      </c>
      <c r="K441" s="201" t="str">
        <f aca="false">IF(A442="","",J441)</f>
        <v/>
      </c>
      <c r="L441" s="200" t="str">
        <f aca="false">IF($A442="","",VLOOKUP($A441,Table,MATCH(L$4,Curves,0)))</f>
        <v/>
      </c>
      <c r="M441" s="201" t="str">
        <f aca="false">IF(A442="","",L441)</f>
        <v/>
      </c>
      <c r="O441" s="200" t="str">
        <f aca="false">IF(A442="","",L441+J441+G441)</f>
        <v/>
      </c>
      <c r="P441" s="200" t="str">
        <f aca="false">IF(A442="","",M441+K441+H441)</f>
        <v/>
      </c>
      <c r="R441" s="200" t="str">
        <f aca="false">IF($A442="","",VLOOKUP($A441,Table,MATCH(R$4,Curves,0)))</f>
        <v/>
      </c>
      <c r="S441" s="201" t="str">
        <f aca="false">IF(A442="","",R441)</f>
        <v/>
      </c>
      <c r="T441" s="185" t="n">
        <v>0</v>
      </c>
      <c r="U441" s="201" t="str">
        <f aca="false">IF(A442="","",T441)</f>
        <v/>
      </c>
      <c r="V441" s="205" t="str">
        <f aca="false">IF($A442="","",IF(AND(MONTH(A441)&gt;3,MONTH(A441)&lt;11),(T441+R441+G441)*Summary!$T$11/(1-Summary!$T$11),(T441+R441+G441)*Summary!$U$11/(1-Summary!$U$11)))</f>
        <v/>
      </c>
      <c r="W441" s="202" t="str">
        <f aca="false">IF($A442="","",(T441+R441+G441+V441))</f>
        <v/>
      </c>
      <c r="X441" s="202" t="str">
        <f aca="false">IF($A442="","",(U441+S441+H441+V441))</f>
        <v/>
      </c>
      <c r="Y441" s="202"/>
      <c r="Z441" s="185"/>
      <c r="AJ441" s="77"/>
      <c r="AK441" s="77"/>
      <c r="AL441" s="77"/>
      <c r="AM441" s="77"/>
      <c r="AN441" s="77"/>
      <c r="AO441" s="137" t="str">
        <f aca="false">IF(A442="","",A442-A441)</f>
        <v/>
      </c>
      <c r="AP441" s="212" t="str">
        <f aca="false">IF(A442="","",CHOOSE(F$3,A442+24,A441))</f>
        <v/>
      </c>
      <c r="AQ441" s="209" t="str">
        <f aca="false">IF(A442="","",AP441-$E$1)</f>
        <v/>
      </c>
      <c r="AR441" s="185" t="n">
        <f aca="false">'ANR OK vs ML7'!AR441</f>
        <v>0.1</v>
      </c>
      <c r="AS441" s="213" t="str">
        <f aca="false">IF(A442="","",1/(1+CHOOSE(F$3,(AR442+($I$3/10000))/2,(AR441+($I$3/10000))/2))^(2*AQ441/365.25))</f>
        <v/>
      </c>
      <c r="AT441" s="137" t="str">
        <f aca="false">IF(A442="","",IF(AND(mthbeg&lt;=A441,mthend&gt;=A441),1,0))</f>
        <v/>
      </c>
      <c r="AU441" s="137" t="str">
        <f aca="false">IF(A442="","",AO441*AT441)</f>
        <v/>
      </c>
      <c r="AW441" s="195" t="str">
        <f aca="false">IF($A442="","",AL441*$E441)</f>
        <v/>
      </c>
      <c r="AX441" s="195" t="str">
        <f aca="false">IF($A442="","",AM441*$E441)</f>
        <v/>
      </c>
      <c r="AY441" s="195" t="str">
        <f aca="false">IF($A442="","",AN441*$E441)</f>
        <v/>
      </c>
      <c r="BA441" s="195" t="str">
        <f aca="false">IF($A442="","",F441*Summary!$Q$11)</f>
        <v/>
      </c>
    </row>
    <row r="442" customFormat="false" ht="12.75" hidden="false" customHeight="false" outlineLevel="0" collapsed="false">
      <c r="A442" s="196" t="str">
        <f aca="false">IF(A441&lt;mthend,EDATE(A441,1),"")</f>
        <v/>
      </c>
      <c r="B442" s="197" t="str">
        <f aca="false">IF(A442&lt;mthend,B441,"")</f>
        <v/>
      </c>
      <c r="D442" s="197" t="str">
        <f aca="false">IF(A443&lt;&gt;"",B442+C442,"")</f>
        <v/>
      </c>
      <c r="E442" s="199" t="str">
        <f aca="false">IF(A443="","",IF(AND(AT442=1,$H$3=1),D442*AO442,IF($H$3=2,D442,"N/A")))</f>
        <v/>
      </c>
      <c r="F442" s="199" t="str">
        <f aca="false">IF(A443="","",E442*AS442)</f>
        <v/>
      </c>
      <c r="G442" s="200" t="str">
        <f aca="false">IF($A443="","",VLOOKUP($A442,Table,MATCH(G$4,Curves,0)))</f>
        <v/>
      </c>
      <c r="H442" s="201" t="str">
        <f aca="false">IF(A443="","",G442)</f>
        <v/>
      </c>
      <c r="J442" s="200" t="str">
        <f aca="false">IF($A443="","",VLOOKUP($A442,Table,MATCH(J$4,Curves,0)))</f>
        <v/>
      </c>
      <c r="K442" s="201" t="str">
        <f aca="false">IF(A443="","",J442)</f>
        <v/>
      </c>
      <c r="L442" s="200" t="str">
        <f aca="false">IF($A443="","",VLOOKUP($A442,Table,MATCH(L$4,Curves,0)))</f>
        <v/>
      </c>
      <c r="M442" s="201" t="str">
        <f aca="false">IF(A443="","",L442)</f>
        <v/>
      </c>
      <c r="O442" s="200" t="str">
        <f aca="false">IF(A443="","",L442+J442+G442)</f>
        <v/>
      </c>
      <c r="P442" s="200" t="str">
        <f aca="false">IF(A443="","",M442+K442+H442)</f>
        <v/>
      </c>
      <c r="R442" s="200" t="str">
        <f aca="false">IF($A443="","",VLOOKUP($A442,Table,MATCH(R$4,Curves,0)))</f>
        <v/>
      </c>
      <c r="S442" s="201" t="str">
        <f aca="false">IF(A443="","",R442)</f>
        <v/>
      </c>
      <c r="T442" s="185" t="n">
        <v>0</v>
      </c>
      <c r="U442" s="201" t="str">
        <f aca="false">IF(A443="","",T442)</f>
        <v/>
      </c>
      <c r="V442" s="205" t="str">
        <f aca="false">IF($A443="","",IF(AND(MONTH(A442)&gt;3,MONTH(A442)&lt;11),(T442+R442+G442)*Summary!$T$11/(1-Summary!$T$11),(T442+R442+G442)*Summary!$U$11/(1-Summary!$U$11)))</f>
        <v/>
      </c>
      <c r="W442" s="202" t="str">
        <f aca="false">IF($A443="","",(T442+R442+G442+V442))</f>
        <v/>
      </c>
      <c r="X442" s="202" t="str">
        <f aca="false">IF($A443="","",(U442+S442+H442+V442))</f>
        <v/>
      </c>
      <c r="Y442" s="202"/>
      <c r="Z442" s="185"/>
      <c r="AJ442" s="77"/>
      <c r="AK442" s="77"/>
      <c r="AL442" s="77"/>
      <c r="AM442" s="77"/>
      <c r="AN442" s="77"/>
      <c r="AO442" s="137" t="str">
        <f aca="false">IF(A443="","",A443-A442)</f>
        <v/>
      </c>
      <c r="AP442" s="212" t="str">
        <f aca="false">IF(A443="","",CHOOSE(F$3,A443+24,A442))</f>
        <v/>
      </c>
      <c r="AQ442" s="209" t="str">
        <f aca="false">IF(A443="","",AP442-$E$1)</f>
        <v/>
      </c>
      <c r="AR442" s="185" t="n">
        <f aca="false">'ANR OK vs ML7'!AR442</f>
        <v>0.1</v>
      </c>
      <c r="AS442" s="213" t="str">
        <f aca="false">IF(A443="","",1/(1+CHOOSE(F$3,(AR443+($I$3/10000))/2,(AR442+($I$3/10000))/2))^(2*AQ442/365.25))</f>
        <v/>
      </c>
      <c r="AT442" s="137" t="str">
        <f aca="false">IF(A443="","",IF(AND(mthbeg&lt;=A442,mthend&gt;=A442),1,0))</f>
        <v/>
      </c>
      <c r="AU442" s="137" t="str">
        <f aca="false">IF(A443="","",AO442*AT442)</f>
        <v/>
      </c>
      <c r="AW442" s="195" t="str">
        <f aca="false">IF($A443="","",AL442*$E442)</f>
        <v/>
      </c>
      <c r="AX442" s="195" t="str">
        <f aca="false">IF($A443="","",AM442*$E442)</f>
        <v/>
      </c>
      <c r="AY442" s="195" t="str">
        <f aca="false">IF($A443="","",AN442*$E442)</f>
        <v/>
      </c>
      <c r="BA442" s="195" t="str">
        <f aca="false">IF($A443="","",F442*Summary!$Q$11)</f>
        <v/>
      </c>
    </row>
    <row r="443" customFormat="false" ht="12.75" hidden="false" customHeight="false" outlineLevel="0" collapsed="false">
      <c r="A443" s="196" t="str">
        <f aca="false">IF(A442&lt;mthend,EDATE(A442,1),"")</f>
        <v/>
      </c>
      <c r="B443" s="197" t="str">
        <f aca="false">IF(A443&lt;mthend,B442,"")</f>
        <v/>
      </c>
      <c r="D443" s="197" t="str">
        <f aca="false">IF(A444&lt;&gt;"",B443+C443,"")</f>
        <v/>
      </c>
      <c r="E443" s="199" t="str">
        <f aca="false">IF(A444="","",IF(AND(AT443=1,$H$3=1),D443*AO443,IF($H$3=2,D443,"N/A")))</f>
        <v/>
      </c>
      <c r="F443" s="199" t="str">
        <f aca="false">IF(A444="","",E443*AS443)</f>
        <v/>
      </c>
      <c r="G443" s="200" t="str">
        <f aca="false">IF($A444="","",VLOOKUP($A443,Table,MATCH(G$4,Curves,0)))</f>
        <v/>
      </c>
      <c r="H443" s="201" t="str">
        <f aca="false">IF(A444="","",G443)</f>
        <v/>
      </c>
      <c r="J443" s="200" t="str">
        <f aca="false">IF($A444="","",VLOOKUP($A443,Table,MATCH(J$4,Curves,0)))</f>
        <v/>
      </c>
      <c r="K443" s="201" t="str">
        <f aca="false">IF(A444="","",J443)</f>
        <v/>
      </c>
      <c r="L443" s="200" t="str">
        <f aca="false">IF($A444="","",VLOOKUP($A443,Table,MATCH(L$4,Curves,0)))</f>
        <v/>
      </c>
      <c r="M443" s="201" t="str">
        <f aca="false">IF(A444="","",L443)</f>
        <v/>
      </c>
      <c r="O443" s="200" t="str">
        <f aca="false">IF(A444="","",L443+J443+G443)</f>
        <v/>
      </c>
      <c r="P443" s="200" t="str">
        <f aca="false">IF(A444="","",M443+K443+H443)</f>
        <v/>
      </c>
      <c r="R443" s="200" t="str">
        <f aca="false">IF($A444="","",VLOOKUP($A443,Table,MATCH(R$4,Curves,0)))</f>
        <v/>
      </c>
      <c r="S443" s="201" t="str">
        <f aca="false">IF(A444="","",R443)</f>
        <v/>
      </c>
      <c r="T443" s="185" t="n">
        <v>0</v>
      </c>
      <c r="U443" s="201" t="str">
        <f aca="false">IF(A444="","",T443)</f>
        <v/>
      </c>
      <c r="V443" s="205" t="str">
        <f aca="false">IF($A444="","",IF(AND(MONTH(A443)&gt;3,MONTH(A443)&lt;11),(T443+R443+G443)*Summary!$T$11/(1-Summary!$T$11),(T443+R443+G443)*Summary!$U$11/(1-Summary!$U$11)))</f>
        <v/>
      </c>
      <c r="W443" s="202" t="str">
        <f aca="false">IF($A444="","",(T443+R443+G443+V443))</f>
        <v/>
      </c>
      <c r="X443" s="202" t="str">
        <f aca="false">IF($A444="","",(U443+S443+H443+V443))</f>
        <v/>
      </c>
      <c r="Y443" s="202"/>
      <c r="Z443" s="185"/>
      <c r="AJ443" s="77"/>
      <c r="AK443" s="77"/>
      <c r="AL443" s="77"/>
      <c r="AM443" s="77"/>
      <c r="AN443" s="77"/>
      <c r="AO443" s="137" t="str">
        <f aca="false">IF(A444="","",A444-A443)</f>
        <v/>
      </c>
      <c r="AP443" s="212" t="str">
        <f aca="false">IF(A444="","",CHOOSE(F$3,A444+24,A443))</f>
        <v/>
      </c>
      <c r="AQ443" s="209" t="str">
        <f aca="false">IF(A444="","",AP443-$E$1)</f>
        <v/>
      </c>
      <c r="AR443" s="185" t="n">
        <f aca="false">'ANR OK vs ML7'!AR443</f>
        <v>0.1</v>
      </c>
      <c r="AS443" s="213" t="str">
        <f aca="false">IF(A444="","",1/(1+CHOOSE(F$3,(AR444+($I$3/10000))/2,(AR443+($I$3/10000))/2))^(2*AQ443/365.25))</f>
        <v/>
      </c>
      <c r="AT443" s="137" t="str">
        <f aca="false">IF(A444="","",IF(AND(mthbeg&lt;=A443,mthend&gt;=A443),1,0))</f>
        <v/>
      </c>
      <c r="AU443" s="137" t="str">
        <f aca="false">IF(A444="","",AO443*AT443)</f>
        <v/>
      </c>
      <c r="AW443" s="195" t="str">
        <f aca="false">IF($A444="","",AL443*$E443)</f>
        <v/>
      </c>
      <c r="AX443" s="195" t="str">
        <f aca="false">IF($A444="","",AM443*$E443)</f>
        <v/>
      </c>
      <c r="AY443" s="195" t="str">
        <f aca="false">IF($A444="","",AN443*$E443)</f>
        <v/>
      </c>
      <c r="BA443" s="195" t="str">
        <f aca="false">IF($A444="","",F443*Summary!$Q$11)</f>
        <v/>
      </c>
    </row>
    <row r="444" customFormat="false" ht="12.75" hidden="false" customHeight="false" outlineLevel="0" collapsed="false">
      <c r="A444" s="196" t="str">
        <f aca="false">IF(A443&lt;mthend,EDATE(A443,1),"")</f>
        <v/>
      </c>
      <c r="B444" s="197" t="str">
        <f aca="false">IF(A444&lt;mthend,B443,"")</f>
        <v/>
      </c>
      <c r="D444" s="197" t="str">
        <f aca="false">IF(A445&lt;&gt;"",B444+C444,"")</f>
        <v/>
      </c>
      <c r="E444" s="199" t="str">
        <f aca="false">IF(A445="","",IF(AND(AT444=1,$H$3=1),D444*AO444,IF($H$3=2,D444,"N/A")))</f>
        <v/>
      </c>
      <c r="F444" s="199" t="str">
        <f aca="false">IF(A445="","",E444*AS444)</f>
        <v/>
      </c>
      <c r="G444" s="200" t="str">
        <f aca="false">IF($A445="","",VLOOKUP($A444,Table,MATCH(G$4,Curves,0)))</f>
        <v/>
      </c>
      <c r="H444" s="201" t="str">
        <f aca="false">IF(A445="","",G444)</f>
        <v/>
      </c>
      <c r="J444" s="200" t="str">
        <f aca="false">IF($A445="","",VLOOKUP($A444,Table,MATCH(J$4,Curves,0)))</f>
        <v/>
      </c>
      <c r="K444" s="201" t="str">
        <f aca="false">IF(A445="","",J444)</f>
        <v/>
      </c>
      <c r="L444" s="200" t="str">
        <f aca="false">IF($A445="","",VLOOKUP($A444,Table,MATCH(L$4,Curves,0)))</f>
        <v/>
      </c>
      <c r="M444" s="201" t="str">
        <f aca="false">IF(A445="","",L444)</f>
        <v/>
      </c>
      <c r="O444" s="200" t="str">
        <f aca="false">IF(A445="","",L444+J444+G444)</f>
        <v/>
      </c>
      <c r="P444" s="200" t="str">
        <f aca="false">IF(A445="","",M444+K444+H444)</f>
        <v/>
      </c>
      <c r="R444" s="200" t="str">
        <f aca="false">IF($A445="","",VLOOKUP($A444,Table,MATCH(R$4,Curves,0)))</f>
        <v/>
      </c>
      <c r="S444" s="201" t="str">
        <f aca="false">IF(A445="","",R444)</f>
        <v/>
      </c>
      <c r="T444" s="185" t="n">
        <v>0</v>
      </c>
      <c r="U444" s="201" t="str">
        <f aca="false">IF(A445="","",T444)</f>
        <v/>
      </c>
      <c r="V444" s="205" t="str">
        <f aca="false">IF($A445="","",IF(AND(MONTH(A444)&gt;3,MONTH(A444)&lt;11),(T444+R444+G444)*Summary!$T$11/(1-Summary!$T$11),(T444+R444+G444)*Summary!$U$11/(1-Summary!$U$11)))</f>
        <v/>
      </c>
      <c r="W444" s="202" t="str">
        <f aca="false">IF($A445="","",(T444+R444+G444+V444))</f>
        <v/>
      </c>
      <c r="X444" s="202" t="str">
        <f aca="false">IF($A445="","",(U444+S444+H444+V444))</f>
        <v/>
      </c>
      <c r="Y444" s="202"/>
      <c r="Z444" s="185"/>
      <c r="AJ444" s="77"/>
      <c r="AK444" s="77"/>
      <c r="AL444" s="77"/>
      <c r="AM444" s="77"/>
      <c r="AN444" s="77"/>
      <c r="AO444" s="137" t="str">
        <f aca="false">IF(A445="","",A445-A444)</f>
        <v/>
      </c>
      <c r="AP444" s="212" t="str">
        <f aca="false">IF(A445="","",CHOOSE(F$3,A445+24,A444))</f>
        <v/>
      </c>
      <c r="AQ444" s="209" t="str">
        <f aca="false">IF(A445="","",AP444-$E$1)</f>
        <v/>
      </c>
      <c r="AR444" s="185" t="n">
        <f aca="false">'ANR OK vs ML7'!AR444</f>
        <v>0.1</v>
      </c>
      <c r="AS444" s="213" t="str">
        <f aca="false">IF(A445="","",1/(1+CHOOSE(F$3,(AR445+($I$3/10000))/2,(AR444+($I$3/10000))/2))^(2*AQ444/365.25))</f>
        <v/>
      </c>
      <c r="AT444" s="137" t="str">
        <f aca="false">IF(A445="","",IF(AND(mthbeg&lt;=A444,mthend&gt;=A444),1,0))</f>
        <v/>
      </c>
      <c r="AU444" s="137" t="str">
        <f aca="false">IF(A445="","",AO444*AT444)</f>
        <v/>
      </c>
      <c r="AW444" s="195" t="str">
        <f aca="false">IF($A445="","",AL444*$E444)</f>
        <v/>
      </c>
      <c r="AX444" s="195" t="str">
        <f aca="false">IF($A445="","",AM444*$E444)</f>
        <v/>
      </c>
      <c r="AY444" s="195" t="str">
        <f aca="false">IF($A445="","",AN444*$E444)</f>
        <v/>
      </c>
      <c r="BA444" s="195" t="str">
        <f aca="false">IF($A445="","",F444*Summary!$Q$11)</f>
        <v/>
      </c>
    </row>
    <row r="445" customFormat="false" ht="12.75" hidden="false" customHeight="false" outlineLevel="0" collapsed="false">
      <c r="A445" s="196" t="str">
        <f aca="false">IF(A444&lt;mthend,EDATE(A444,1),"")</f>
        <v/>
      </c>
      <c r="B445" s="197" t="str">
        <f aca="false">IF(A445&lt;mthend,B444,"")</f>
        <v/>
      </c>
      <c r="D445" s="197" t="str">
        <f aca="false">IF(A446&lt;&gt;"",B445+C445,"")</f>
        <v/>
      </c>
      <c r="E445" s="199" t="str">
        <f aca="false">IF(A446="","",IF(AND(AT445=1,$H$3=1),D445*AO445,IF($H$3=2,D445,"N/A")))</f>
        <v/>
      </c>
      <c r="F445" s="199" t="str">
        <f aca="false">IF(A446="","",E445*AS445)</f>
        <v/>
      </c>
      <c r="G445" s="200" t="str">
        <f aca="false">IF($A446="","",VLOOKUP($A445,Table,MATCH(G$4,Curves,0)))</f>
        <v/>
      </c>
      <c r="H445" s="201" t="str">
        <f aca="false">IF(A446="","",G445)</f>
        <v/>
      </c>
      <c r="J445" s="200" t="str">
        <f aca="false">IF($A446="","",VLOOKUP($A445,Table,MATCH(J$4,Curves,0)))</f>
        <v/>
      </c>
      <c r="K445" s="201" t="str">
        <f aca="false">IF(A446="","",J445)</f>
        <v/>
      </c>
      <c r="L445" s="200" t="str">
        <f aca="false">IF($A446="","",VLOOKUP($A445,Table,MATCH(L$4,Curves,0)))</f>
        <v/>
      </c>
      <c r="M445" s="201" t="str">
        <f aca="false">IF(A446="","",L445)</f>
        <v/>
      </c>
      <c r="O445" s="200" t="str">
        <f aca="false">IF(A446="","",L445+J445+G445)</f>
        <v/>
      </c>
      <c r="P445" s="200" t="str">
        <f aca="false">IF(A446="","",M445+K445+H445)</f>
        <v/>
      </c>
      <c r="R445" s="200" t="str">
        <f aca="false">IF($A446="","",VLOOKUP($A445,Table,MATCH(R$4,Curves,0)))</f>
        <v/>
      </c>
      <c r="S445" s="201" t="str">
        <f aca="false">IF(A446="","",R445)</f>
        <v/>
      </c>
      <c r="T445" s="185" t="n">
        <v>0</v>
      </c>
      <c r="U445" s="201" t="str">
        <f aca="false">IF(A446="","",T445)</f>
        <v/>
      </c>
      <c r="V445" s="205" t="str">
        <f aca="false">IF($A446="","",IF(AND(MONTH(A445)&gt;3,MONTH(A445)&lt;11),(T445+R445+G445)*Summary!$T$11/(1-Summary!$T$11),(T445+R445+G445)*Summary!$U$11/(1-Summary!$U$11)))</f>
        <v/>
      </c>
      <c r="W445" s="202" t="str">
        <f aca="false">IF($A446="","",(T445+R445+G445+V445))</f>
        <v/>
      </c>
      <c r="X445" s="202" t="str">
        <f aca="false">IF($A446="","",(U445+S445+H445+V445))</f>
        <v/>
      </c>
      <c r="Y445" s="202"/>
      <c r="Z445" s="185"/>
      <c r="AJ445" s="77"/>
      <c r="AK445" s="77"/>
      <c r="AL445" s="77"/>
      <c r="AM445" s="77"/>
      <c r="AN445" s="77"/>
      <c r="AO445" s="137" t="str">
        <f aca="false">IF(A446="","",A446-A445)</f>
        <v/>
      </c>
      <c r="AP445" s="212" t="str">
        <f aca="false">IF(A446="","",CHOOSE(F$3,A446+24,A445))</f>
        <v/>
      </c>
      <c r="AQ445" s="209" t="str">
        <f aca="false">IF(A446="","",AP445-$E$1)</f>
        <v/>
      </c>
      <c r="AR445" s="185" t="n">
        <f aca="false">'ANR OK vs ML7'!AR445</f>
        <v>0.1</v>
      </c>
      <c r="AS445" s="213" t="str">
        <f aca="false">IF(A446="","",1/(1+CHOOSE(F$3,(AR446+($I$3/10000))/2,(AR445+($I$3/10000))/2))^(2*AQ445/365.25))</f>
        <v/>
      </c>
      <c r="AT445" s="137" t="str">
        <f aca="false">IF(A446="","",IF(AND(mthbeg&lt;=A445,mthend&gt;=A445),1,0))</f>
        <v/>
      </c>
      <c r="AU445" s="137" t="str">
        <f aca="false">IF(A446="","",AO445*AT445)</f>
        <v/>
      </c>
      <c r="AW445" s="195" t="str">
        <f aca="false">IF($A446="","",AL445*$E445)</f>
        <v/>
      </c>
      <c r="AX445" s="195" t="str">
        <f aca="false">IF($A446="","",AM445*$E445)</f>
        <v/>
      </c>
      <c r="AY445" s="195" t="str">
        <f aca="false">IF($A446="","",AN445*$E445)</f>
        <v/>
      </c>
      <c r="BA445" s="195" t="str">
        <f aca="false">IF($A446="","",F445*Summary!$Q$11)</f>
        <v/>
      </c>
    </row>
    <row r="446" customFormat="false" ht="12.75" hidden="false" customHeight="false" outlineLevel="0" collapsed="false">
      <c r="A446" s="196" t="str">
        <f aca="false">IF(A445&lt;mthend,EDATE(A445,1),"")</f>
        <v/>
      </c>
      <c r="B446" s="197" t="str">
        <f aca="false">IF(A446&lt;mthend,B445,"")</f>
        <v/>
      </c>
      <c r="D446" s="197" t="str">
        <f aca="false">IF(A447&lt;&gt;"",B446+C446,"")</f>
        <v/>
      </c>
      <c r="E446" s="199" t="str">
        <f aca="false">IF(A447="","",IF(AND(AT446=1,$H$3=1),D446*AO446,IF($H$3=2,D446,"N/A")))</f>
        <v/>
      </c>
      <c r="F446" s="199" t="str">
        <f aca="false">IF(A447="","",E446*AS446)</f>
        <v/>
      </c>
      <c r="G446" s="200" t="str">
        <f aca="false">IF($A447="","",VLOOKUP($A446,Table,MATCH(G$4,Curves,0)))</f>
        <v/>
      </c>
      <c r="H446" s="201" t="str">
        <f aca="false">IF(A447="","",G446)</f>
        <v/>
      </c>
      <c r="J446" s="200" t="str">
        <f aca="false">IF($A447="","",VLOOKUP($A446,Table,MATCH(J$4,Curves,0)))</f>
        <v/>
      </c>
      <c r="K446" s="201" t="str">
        <f aca="false">IF(A447="","",J446)</f>
        <v/>
      </c>
      <c r="L446" s="200" t="str">
        <f aca="false">IF($A447="","",VLOOKUP($A446,Table,MATCH(L$4,Curves,0)))</f>
        <v/>
      </c>
      <c r="M446" s="201" t="str">
        <f aca="false">IF(A447="","",L446)</f>
        <v/>
      </c>
      <c r="O446" s="200" t="str">
        <f aca="false">IF(A447="","",L446+J446+G446)</f>
        <v/>
      </c>
      <c r="P446" s="200" t="str">
        <f aca="false">IF(A447="","",M446+K446+H446)</f>
        <v/>
      </c>
      <c r="R446" s="200" t="str">
        <f aca="false">IF($A447="","",VLOOKUP($A446,Table,MATCH(R$4,Curves,0)))</f>
        <v/>
      </c>
      <c r="S446" s="201" t="str">
        <f aca="false">IF(A447="","",R446)</f>
        <v/>
      </c>
      <c r="T446" s="185" t="n">
        <v>0</v>
      </c>
      <c r="U446" s="201" t="str">
        <f aca="false">IF(A447="","",T446)</f>
        <v/>
      </c>
      <c r="V446" s="205" t="str">
        <f aca="false">IF($A447="","",IF(AND(MONTH(A446)&gt;3,MONTH(A446)&lt;11),(T446+R446+G446)*Summary!$T$11/(1-Summary!$T$11),(T446+R446+G446)*Summary!$U$11/(1-Summary!$U$11)))</f>
        <v/>
      </c>
      <c r="W446" s="202" t="str">
        <f aca="false">IF($A447="","",(T446+R446+G446+V446))</f>
        <v/>
      </c>
      <c r="X446" s="202" t="str">
        <f aca="false">IF($A447="","",(U446+S446+H446+V446))</f>
        <v/>
      </c>
      <c r="Y446" s="202"/>
      <c r="Z446" s="185"/>
      <c r="AJ446" s="77"/>
      <c r="AK446" s="77"/>
      <c r="AL446" s="77"/>
      <c r="AM446" s="77"/>
      <c r="AN446" s="77"/>
      <c r="AO446" s="137" t="str">
        <f aca="false">IF(A447="","",A447-A446)</f>
        <v/>
      </c>
      <c r="AP446" s="212" t="str">
        <f aca="false">IF(A447="","",CHOOSE(F$3,A447+24,A446))</f>
        <v/>
      </c>
      <c r="AQ446" s="209" t="str">
        <f aca="false">IF(A447="","",AP446-$E$1)</f>
        <v/>
      </c>
      <c r="AR446" s="185" t="n">
        <f aca="false">'ANR OK vs ML7'!AR446</f>
        <v>0.1</v>
      </c>
      <c r="AS446" s="213" t="str">
        <f aca="false">IF(A447="","",1/(1+CHOOSE(F$3,(AR447+($I$3/10000))/2,(AR446+($I$3/10000))/2))^(2*AQ446/365.25))</f>
        <v/>
      </c>
      <c r="AT446" s="137" t="str">
        <f aca="false">IF(A447="","",IF(AND(mthbeg&lt;=A446,mthend&gt;=A446),1,0))</f>
        <v/>
      </c>
      <c r="AU446" s="137" t="str">
        <f aca="false">IF(A447="","",AO446*AT446)</f>
        <v/>
      </c>
      <c r="AW446" s="195" t="str">
        <f aca="false">IF($A447="","",AL446*$E446)</f>
        <v/>
      </c>
      <c r="AX446" s="195" t="str">
        <f aca="false">IF($A447="","",AM446*$E446)</f>
        <v/>
      </c>
      <c r="AY446" s="195" t="str">
        <f aca="false">IF($A447="","",AN446*$E446)</f>
        <v/>
      </c>
      <c r="BA446" s="195" t="str">
        <f aca="false">IF($A447="","",F446*Summary!$Q$11)</f>
        <v/>
      </c>
    </row>
    <row r="447" customFormat="false" ht="12.75" hidden="false" customHeight="false" outlineLevel="0" collapsed="false">
      <c r="A447" s="196" t="str">
        <f aca="false">IF(A446&lt;mthend,EDATE(A446,1),"")</f>
        <v/>
      </c>
      <c r="B447" s="197" t="str">
        <f aca="false">IF(A447&lt;mthend,B446,"")</f>
        <v/>
      </c>
      <c r="D447" s="197" t="str">
        <f aca="false">IF(A448&lt;&gt;"",B447+C447,"")</f>
        <v/>
      </c>
      <c r="E447" s="199" t="str">
        <f aca="false">IF(A448="","",IF(AND(AT447=1,$H$3=1),D447*AO447,IF($H$3=2,D447,"N/A")))</f>
        <v/>
      </c>
      <c r="F447" s="199" t="str">
        <f aca="false">IF(A448="","",E447*AS447)</f>
        <v/>
      </c>
      <c r="G447" s="200" t="str">
        <f aca="false">IF($A448="","",VLOOKUP($A447,Table,MATCH(G$4,Curves,0)))</f>
        <v/>
      </c>
      <c r="H447" s="201" t="str">
        <f aca="false">IF(A448="","",G447)</f>
        <v/>
      </c>
      <c r="J447" s="200" t="str">
        <f aca="false">IF($A448="","",VLOOKUP($A447,Table,MATCH(J$4,Curves,0)))</f>
        <v/>
      </c>
      <c r="K447" s="201" t="str">
        <f aca="false">IF(A448="","",J447)</f>
        <v/>
      </c>
      <c r="L447" s="200" t="str">
        <f aca="false">IF($A448="","",VLOOKUP($A447,Table,MATCH(L$4,Curves,0)))</f>
        <v/>
      </c>
      <c r="M447" s="201" t="str">
        <f aca="false">IF(A448="","",L447)</f>
        <v/>
      </c>
      <c r="O447" s="200" t="str">
        <f aca="false">IF(A448="","",L447+J447+G447)</f>
        <v/>
      </c>
      <c r="P447" s="200" t="str">
        <f aca="false">IF(A448="","",M447+K447+H447)</f>
        <v/>
      </c>
      <c r="R447" s="200" t="str">
        <f aca="false">IF($A448="","",VLOOKUP($A447,Table,MATCH(R$4,Curves,0)))</f>
        <v/>
      </c>
      <c r="S447" s="201" t="str">
        <f aca="false">IF(A448="","",R447)</f>
        <v/>
      </c>
      <c r="T447" s="185" t="n">
        <v>0</v>
      </c>
      <c r="U447" s="201" t="str">
        <f aca="false">IF(A448="","",T447)</f>
        <v/>
      </c>
      <c r="V447" s="205" t="str">
        <f aca="false">IF($A448="","",IF(AND(MONTH(A447)&gt;3,MONTH(A447)&lt;11),(T447+R447+G447)*Summary!$T$11/(1-Summary!$T$11),(T447+R447+G447)*Summary!$U$11/(1-Summary!$U$11)))</f>
        <v/>
      </c>
      <c r="W447" s="202" t="str">
        <f aca="false">IF($A448="","",(T447+R447+G447+V447))</f>
        <v/>
      </c>
      <c r="X447" s="202" t="str">
        <f aca="false">IF($A448="","",(U447+S447+H447+V447))</f>
        <v/>
      </c>
      <c r="Y447" s="202"/>
      <c r="Z447" s="185"/>
      <c r="AJ447" s="77"/>
      <c r="AK447" s="77"/>
      <c r="AL447" s="77"/>
      <c r="AM447" s="77"/>
      <c r="AN447" s="77"/>
      <c r="AO447" s="137" t="str">
        <f aca="false">IF(A448="","",A448-A447)</f>
        <v/>
      </c>
      <c r="AP447" s="212" t="str">
        <f aca="false">IF(A448="","",CHOOSE(F$3,A448+24,A447))</f>
        <v/>
      </c>
      <c r="AQ447" s="209" t="str">
        <f aca="false">IF(A448="","",AP447-$E$1)</f>
        <v/>
      </c>
      <c r="AR447" s="185" t="n">
        <f aca="false">'ANR OK vs ML7'!AR447</f>
        <v>0.1</v>
      </c>
      <c r="AS447" s="213" t="str">
        <f aca="false">IF(A448="","",1/(1+CHOOSE(F$3,(AR448+($I$3/10000))/2,(AR447+($I$3/10000))/2))^(2*AQ447/365.25))</f>
        <v/>
      </c>
      <c r="AT447" s="137" t="str">
        <f aca="false">IF(A448="","",IF(AND(mthbeg&lt;=A447,mthend&gt;=A447),1,0))</f>
        <v/>
      </c>
      <c r="AU447" s="137" t="str">
        <f aca="false">IF(A448="","",AO447*AT447)</f>
        <v/>
      </c>
      <c r="AW447" s="195" t="str">
        <f aca="false">IF($A448="","",AL447*$E447)</f>
        <v/>
      </c>
      <c r="AX447" s="195" t="str">
        <f aca="false">IF($A448="","",AM447*$E447)</f>
        <v/>
      </c>
      <c r="AY447" s="195" t="str">
        <f aca="false">IF($A448="","",AN447*$E447)</f>
        <v/>
      </c>
      <c r="BA447" s="195" t="str">
        <f aca="false">IF($A448="","",F447*Summary!$Q$11)</f>
        <v/>
      </c>
    </row>
    <row r="448" customFormat="false" ht="12.75" hidden="false" customHeight="false" outlineLevel="0" collapsed="false">
      <c r="A448" s="196" t="str">
        <f aca="false">IF(A447&lt;mthend,EDATE(A447,1),"")</f>
        <v/>
      </c>
      <c r="B448" s="197" t="str">
        <f aca="false">IF(A448&lt;mthend,B447,"")</f>
        <v/>
      </c>
      <c r="D448" s="197" t="str">
        <f aca="false">IF(A449&lt;&gt;"",B448+C448,"")</f>
        <v/>
      </c>
      <c r="E448" s="199" t="str">
        <f aca="false">IF(A449="","",IF(AND(AT448=1,$H$3=1),D448*AO448,IF($H$3=2,D448,"N/A")))</f>
        <v/>
      </c>
      <c r="F448" s="199" t="str">
        <f aca="false">IF(A449="","",E448*AS448)</f>
        <v/>
      </c>
      <c r="G448" s="200" t="str">
        <f aca="false">IF($A449="","",VLOOKUP($A448,Table,MATCH(G$4,Curves,0)))</f>
        <v/>
      </c>
      <c r="H448" s="201" t="str">
        <f aca="false">IF(A449="","",G448)</f>
        <v/>
      </c>
      <c r="J448" s="200" t="str">
        <f aca="false">IF($A449="","",VLOOKUP($A448,Table,MATCH(J$4,Curves,0)))</f>
        <v/>
      </c>
      <c r="K448" s="201" t="str">
        <f aca="false">IF(A449="","",J448)</f>
        <v/>
      </c>
      <c r="L448" s="200" t="str">
        <f aca="false">IF($A449="","",VLOOKUP($A448,Table,MATCH(L$4,Curves,0)))</f>
        <v/>
      </c>
      <c r="M448" s="201" t="str">
        <f aca="false">IF(A449="","",L448)</f>
        <v/>
      </c>
      <c r="O448" s="200" t="str">
        <f aca="false">IF(A449="","",L448+J448+G448)</f>
        <v/>
      </c>
      <c r="P448" s="200" t="str">
        <f aca="false">IF(A449="","",M448+K448+H448)</f>
        <v/>
      </c>
      <c r="R448" s="200" t="str">
        <f aca="false">IF($A449="","",VLOOKUP($A448,Table,MATCH(R$4,Curves,0)))</f>
        <v/>
      </c>
      <c r="S448" s="201" t="str">
        <f aca="false">IF(A449="","",R448)</f>
        <v/>
      </c>
      <c r="T448" s="185" t="n">
        <v>0</v>
      </c>
      <c r="U448" s="201" t="str">
        <f aca="false">IF(A449="","",T448)</f>
        <v/>
      </c>
      <c r="V448" s="205" t="str">
        <f aca="false">IF($A449="","",IF(AND(MONTH(A448)&gt;3,MONTH(A448)&lt;11),(T448+R448+G448)*Summary!$T$11/(1-Summary!$T$11),(T448+R448+G448)*Summary!$U$11/(1-Summary!$U$11)))</f>
        <v/>
      </c>
      <c r="W448" s="202" t="str">
        <f aca="false">IF($A449="","",(T448+R448+G448+V448))</f>
        <v/>
      </c>
      <c r="X448" s="202" t="str">
        <f aca="false">IF($A449="","",(U448+S448+H448+V448))</f>
        <v/>
      </c>
      <c r="Y448" s="202"/>
      <c r="Z448" s="185"/>
      <c r="AJ448" s="77"/>
      <c r="AK448" s="77"/>
      <c r="AL448" s="77"/>
      <c r="AM448" s="77"/>
      <c r="AN448" s="77"/>
      <c r="AO448" s="137" t="str">
        <f aca="false">IF(A449="","",A449-A448)</f>
        <v/>
      </c>
      <c r="AP448" s="212" t="str">
        <f aca="false">IF(A449="","",CHOOSE(F$3,A449+24,A448))</f>
        <v/>
      </c>
      <c r="AQ448" s="209" t="str">
        <f aca="false">IF(A449="","",AP448-$E$1)</f>
        <v/>
      </c>
      <c r="AR448" s="185" t="n">
        <f aca="false">'ANR OK vs ML7'!AR448</f>
        <v>0.1</v>
      </c>
      <c r="AS448" s="213" t="str">
        <f aca="false">IF(A449="","",1/(1+CHOOSE(F$3,(AR449+($I$3/10000))/2,(AR448+($I$3/10000))/2))^(2*AQ448/365.25))</f>
        <v/>
      </c>
      <c r="AT448" s="137" t="str">
        <f aca="false">IF(A449="","",IF(AND(mthbeg&lt;=A448,mthend&gt;=A448),1,0))</f>
        <v/>
      </c>
      <c r="AU448" s="137" t="str">
        <f aca="false">IF(A449="","",AO448*AT448)</f>
        <v/>
      </c>
      <c r="AW448" s="195" t="str">
        <f aca="false">IF($A449="","",AL448*$E448)</f>
        <v/>
      </c>
      <c r="AX448" s="195" t="str">
        <f aca="false">IF($A449="","",AM448*$E448)</f>
        <v/>
      </c>
      <c r="AY448" s="195" t="str">
        <f aca="false">IF($A449="","",AN448*$E448)</f>
        <v/>
      </c>
      <c r="BA448" s="195" t="str">
        <f aca="false">IF($A449="","",F448*Summary!$Q$11)</f>
        <v/>
      </c>
    </row>
    <row r="449" customFormat="false" ht="12.75" hidden="false" customHeight="false" outlineLevel="0" collapsed="false">
      <c r="A449" s="196" t="str">
        <f aca="false">IF(A448&lt;mthend,EDATE(A448,1),"")</f>
        <v/>
      </c>
      <c r="B449" s="197" t="str">
        <f aca="false">IF(A449&lt;mthend,B448,"")</f>
        <v/>
      </c>
      <c r="D449" s="197" t="str">
        <f aca="false">IF(A450&lt;&gt;"",B449+C449,"")</f>
        <v/>
      </c>
      <c r="E449" s="199" t="str">
        <f aca="false">IF(A450="","",IF(AND(AT449=1,$H$3=1),D449*AO449,IF($H$3=2,D449,"N/A")))</f>
        <v/>
      </c>
      <c r="F449" s="199" t="str">
        <f aca="false">IF(A450="","",E449*AS449)</f>
        <v/>
      </c>
      <c r="G449" s="200" t="str">
        <f aca="false">IF($A450="","",VLOOKUP($A449,Table,MATCH(G$4,Curves,0)))</f>
        <v/>
      </c>
      <c r="H449" s="201" t="str">
        <f aca="false">IF(A450="","",G449)</f>
        <v/>
      </c>
      <c r="J449" s="200" t="str">
        <f aca="false">IF($A450="","",VLOOKUP($A449,Table,MATCH(J$4,Curves,0)))</f>
        <v/>
      </c>
      <c r="K449" s="201" t="str">
        <f aca="false">IF(A450="","",J449)</f>
        <v/>
      </c>
      <c r="L449" s="200" t="str">
        <f aca="false">IF($A450="","",VLOOKUP($A449,Table,MATCH(L$4,Curves,0)))</f>
        <v/>
      </c>
      <c r="M449" s="201" t="str">
        <f aca="false">IF(A450="","",L449)</f>
        <v/>
      </c>
      <c r="O449" s="200" t="str">
        <f aca="false">IF(A450="","",L449+J449+G449)</f>
        <v/>
      </c>
      <c r="P449" s="200" t="str">
        <f aca="false">IF(A450="","",M449+K449+H449)</f>
        <v/>
      </c>
      <c r="R449" s="200" t="str">
        <f aca="false">IF($A450="","",VLOOKUP($A449,Table,MATCH(R$4,Curves,0)))</f>
        <v/>
      </c>
      <c r="S449" s="201" t="str">
        <f aca="false">IF(A450="","",R449)</f>
        <v/>
      </c>
      <c r="T449" s="185" t="n">
        <v>0</v>
      </c>
      <c r="U449" s="201" t="str">
        <f aca="false">IF(A450="","",T449)</f>
        <v/>
      </c>
      <c r="V449" s="205" t="str">
        <f aca="false">IF($A450="","",IF(AND(MONTH(A449)&gt;3,MONTH(A449)&lt;11),(T449+R449+G449)*Summary!$T$11/(1-Summary!$T$11),(T449+R449+G449)*Summary!$U$11/(1-Summary!$U$11)))</f>
        <v/>
      </c>
      <c r="W449" s="202" t="str">
        <f aca="false">IF($A450="","",(T449+R449+G449+V449))</f>
        <v/>
      </c>
      <c r="X449" s="202" t="str">
        <f aca="false">IF($A450="","",(U449+S449+H449+V449))</f>
        <v/>
      </c>
      <c r="Y449" s="202"/>
      <c r="Z449" s="185"/>
      <c r="AJ449" s="77"/>
      <c r="AK449" s="77"/>
      <c r="AL449" s="77"/>
      <c r="AM449" s="77"/>
      <c r="AN449" s="77"/>
      <c r="AO449" s="137" t="str">
        <f aca="false">IF(A450="","",A450-A449)</f>
        <v/>
      </c>
      <c r="AP449" s="212" t="str">
        <f aca="false">IF(A450="","",CHOOSE(F$3,A450+24,A449))</f>
        <v/>
      </c>
      <c r="AQ449" s="209" t="str">
        <f aca="false">IF(A450="","",AP449-$E$1)</f>
        <v/>
      </c>
      <c r="AR449" s="185" t="n">
        <f aca="false">'ANR OK vs ML7'!AR449</f>
        <v>0.1</v>
      </c>
      <c r="AS449" s="213" t="str">
        <f aca="false">IF(A450="","",1/(1+CHOOSE(F$3,(AR450+($I$3/10000))/2,(AR449+($I$3/10000))/2))^(2*AQ449/365.25))</f>
        <v/>
      </c>
      <c r="AT449" s="137" t="str">
        <f aca="false">IF(A450="","",IF(AND(mthbeg&lt;=A449,mthend&gt;=A449),1,0))</f>
        <v/>
      </c>
      <c r="AU449" s="137" t="str">
        <f aca="false">IF(A450="","",AO449*AT449)</f>
        <v/>
      </c>
      <c r="AW449" s="195" t="str">
        <f aca="false">IF($A450="","",AL449*$E449)</f>
        <v/>
      </c>
      <c r="AX449" s="195" t="str">
        <f aca="false">IF($A450="","",AM449*$E449)</f>
        <v/>
      </c>
      <c r="AY449" s="195" t="str">
        <f aca="false">IF($A450="","",AN449*$E449)</f>
        <v/>
      </c>
      <c r="BA449" s="195" t="str">
        <f aca="false">IF($A450="","",F449*Summary!$Q$11)</f>
        <v/>
      </c>
    </row>
    <row r="450" customFormat="false" ht="12.75" hidden="false" customHeight="false" outlineLevel="0" collapsed="false">
      <c r="A450" s="196" t="str">
        <f aca="false">IF(A449&lt;mthend,EDATE(A449,1),"")</f>
        <v/>
      </c>
      <c r="B450" s="197" t="str">
        <f aca="false">IF(A450&lt;mthend,B449,"")</f>
        <v/>
      </c>
      <c r="D450" s="197" t="str">
        <f aca="false">IF(A451&lt;&gt;"",B450+C450,"")</f>
        <v/>
      </c>
      <c r="E450" s="199" t="str">
        <f aca="false">IF(A451="","",IF(AND(AT450=1,$H$3=1),D450*AO450,IF($H$3=2,D450,"N/A")))</f>
        <v/>
      </c>
      <c r="F450" s="199" t="str">
        <f aca="false">IF(A451="","",E450*AS450)</f>
        <v/>
      </c>
      <c r="G450" s="200" t="str">
        <f aca="false">IF($A451="","",VLOOKUP($A450,Table,MATCH(G$4,Curves,0)))</f>
        <v/>
      </c>
      <c r="H450" s="201" t="str">
        <f aca="false">IF(A451="","",G450)</f>
        <v/>
      </c>
      <c r="J450" s="200" t="str">
        <f aca="false">IF($A451="","",VLOOKUP($A450,Table,MATCH(J$4,Curves,0)))</f>
        <v/>
      </c>
      <c r="K450" s="201" t="str">
        <f aca="false">IF(A451="","",J450)</f>
        <v/>
      </c>
      <c r="L450" s="200" t="str">
        <f aca="false">IF($A451="","",VLOOKUP($A450,Table,MATCH(L$4,Curves,0)))</f>
        <v/>
      </c>
      <c r="M450" s="201" t="str">
        <f aca="false">IF(A451="","",L450)</f>
        <v/>
      </c>
      <c r="O450" s="200" t="str">
        <f aca="false">IF(A451="","",L450+J450+G450)</f>
        <v/>
      </c>
      <c r="P450" s="200" t="str">
        <f aca="false">IF(A451="","",M450+K450+H450)</f>
        <v/>
      </c>
      <c r="R450" s="200" t="str">
        <f aca="false">IF($A451="","",VLOOKUP($A450,Table,MATCH(R$4,Curves,0)))</f>
        <v/>
      </c>
      <c r="S450" s="201" t="str">
        <f aca="false">IF(A451="","",R450)</f>
        <v/>
      </c>
      <c r="T450" s="185" t="n">
        <v>0</v>
      </c>
      <c r="U450" s="201" t="str">
        <f aca="false">IF(A451="","",T450)</f>
        <v/>
      </c>
      <c r="V450" s="205" t="str">
        <f aca="false">IF($A451="","",IF(AND(MONTH(A450)&gt;3,MONTH(A450)&lt;11),(T450+R450+G450)*Summary!$T$11/(1-Summary!$T$11),(T450+R450+G450)*Summary!$U$11/(1-Summary!$U$11)))</f>
        <v/>
      </c>
      <c r="W450" s="202" t="str">
        <f aca="false">IF($A451="","",(T450+R450+G450+V450))</f>
        <v/>
      </c>
      <c r="X450" s="202" t="str">
        <f aca="false">IF($A451="","",(U450+S450+H450+V450))</f>
        <v/>
      </c>
      <c r="Y450" s="202"/>
      <c r="Z450" s="185"/>
      <c r="AJ450" s="77"/>
      <c r="AK450" s="77"/>
      <c r="AL450" s="77"/>
      <c r="AM450" s="77"/>
      <c r="AN450" s="77"/>
      <c r="AO450" s="137" t="str">
        <f aca="false">IF(A451="","",A451-A450)</f>
        <v/>
      </c>
      <c r="AP450" s="212" t="str">
        <f aca="false">IF(A451="","",CHOOSE(F$3,A451+24,A450))</f>
        <v/>
      </c>
      <c r="AQ450" s="209" t="str">
        <f aca="false">IF(A451="","",AP450-$E$1)</f>
        <v/>
      </c>
      <c r="AR450" s="185" t="n">
        <f aca="false">'ANR OK vs ML7'!AR450</f>
        <v>0.1</v>
      </c>
      <c r="AS450" s="213" t="str">
        <f aca="false">IF(A451="","",1/(1+CHOOSE(F$3,(AR451+($I$3/10000))/2,(AR450+($I$3/10000))/2))^(2*AQ450/365.25))</f>
        <v/>
      </c>
      <c r="AT450" s="137" t="str">
        <f aca="false">IF(A451="","",IF(AND(mthbeg&lt;=A450,mthend&gt;=A450),1,0))</f>
        <v/>
      </c>
      <c r="AU450" s="137" t="str">
        <f aca="false">IF(A451="","",AO450*AT450)</f>
        <v/>
      </c>
      <c r="AW450" s="195" t="str">
        <f aca="false">IF($A451="","",AL450*$E450)</f>
        <v/>
      </c>
      <c r="AX450" s="195" t="str">
        <f aca="false">IF($A451="","",AM450*$E450)</f>
        <v/>
      </c>
      <c r="AY450" s="195" t="str">
        <f aca="false">IF($A451="","",AN450*$E450)</f>
        <v/>
      </c>
      <c r="BA450" s="195" t="str">
        <f aca="false">IF($A451="","",F450*Summary!$Q$11)</f>
        <v/>
      </c>
    </row>
    <row r="451" customFormat="false" ht="12.75" hidden="false" customHeight="false" outlineLevel="0" collapsed="false">
      <c r="A451" s="196" t="str">
        <f aca="false">IF(A450&lt;mthend,EDATE(A450,1),"")</f>
        <v/>
      </c>
      <c r="B451" s="197" t="str">
        <f aca="false">IF(A451&lt;mthend,B450,"")</f>
        <v/>
      </c>
      <c r="D451" s="197" t="str">
        <f aca="false">IF(A452&lt;&gt;"",B451+C451,"")</f>
        <v/>
      </c>
      <c r="E451" s="199" t="str">
        <f aca="false">IF(A452="","",IF(AND(AT451=1,$H$3=1),D451*AO451,IF($H$3=2,D451,"N/A")))</f>
        <v/>
      </c>
      <c r="F451" s="199" t="str">
        <f aca="false">IF(A452="","",E451*AS451)</f>
        <v/>
      </c>
      <c r="G451" s="200" t="str">
        <f aca="false">IF($A452="","",VLOOKUP($A451,Table,MATCH(G$4,Curves,0)))</f>
        <v/>
      </c>
      <c r="H451" s="201" t="str">
        <f aca="false">IF(A452="","",G451)</f>
        <v/>
      </c>
      <c r="J451" s="200" t="str">
        <f aca="false">IF($A452="","",VLOOKUP($A451,Table,MATCH(J$4,Curves,0)))</f>
        <v/>
      </c>
      <c r="K451" s="201" t="str">
        <f aca="false">IF(A452="","",J451)</f>
        <v/>
      </c>
      <c r="L451" s="200" t="str">
        <f aca="false">IF($A452="","",VLOOKUP($A451,Table,MATCH(L$4,Curves,0)))</f>
        <v/>
      </c>
      <c r="M451" s="201" t="str">
        <f aca="false">IF(A452="","",L451)</f>
        <v/>
      </c>
      <c r="O451" s="200" t="str">
        <f aca="false">IF(A452="","",L451+J451+G451)</f>
        <v/>
      </c>
      <c r="P451" s="200" t="str">
        <f aca="false">IF(A452="","",M451+K451+H451)</f>
        <v/>
      </c>
      <c r="R451" s="200" t="str">
        <f aca="false">IF($A452="","",VLOOKUP($A451,Table,MATCH(R$4,Curves,0)))</f>
        <v/>
      </c>
      <c r="S451" s="201" t="str">
        <f aca="false">IF(A452="","",R451)</f>
        <v/>
      </c>
      <c r="T451" s="185" t="n">
        <v>0</v>
      </c>
      <c r="U451" s="201" t="str">
        <f aca="false">IF(A452="","",T451)</f>
        <v/>
      </c>
      <c r="V451" s="205" t="str">
        <f aca="false">IF($A452="","",IF(AND(MONTH(A451)&gt;3,MONTH(A451)&lt;11),(T451+R451+G451)*Summary!$T$11/(1-Summary!$T$11),(T451+R451+G451)*Summary!$U$11/(1-Summary!$U$11)))</f>
        <v/>
      </c>
      <c r="W451" s="202" t="str">
        <f aca="false">IF($A452="","",(T451+R451+G451+V451))</f>
        <v/>
      </c>
      <c r="X451" s="202" t="str">
        <f aca="false">IF($A452="","",(U451+S451+H451+V451))</f>
        <v/>
      </c>
      <c r="Y451" s="202"/>
      <c r="Z451" s="185"/>
      <c r="AJ451" s="77"/>
      <c r="AK451" s="77"/>
      <c r="AL451" s="77"/>
      <c r="AM451" s="77"/>
      <c r="AN451" s="77"/>
      <c r="AO451" s="137" t="str">
        <f aca="false">IF(A452="","",A452-A451)</f>
        <v/>
      </c>
      <c r="AP451" s="212" t="str">
        <f aca="false">IF(A452="","",CHOOSE(F$3,A452+24,A451))</f>
        <v/>
      </c>
      <c r="AQ451" s="209" t="str">
        <f aca="false">IF(A452="","",AP451-$E$1)</f>
        <v/>
      </c>
      <c r="AR451" s="185" t="n">
        <f aca="false">'ANR OK vs ML7'!AR451</f>
        <v>0.1</v>
      </c>
      <c r="AS451" s="213" t="str">
        <f aca="false">IF(A452="","",1/(1+CHOOSE(F$3,(AR452+($I$3/10000))/2,(AR451+($I$3/10000))/2))^(2*AQ451/365.25))</f>
        <v/>
      </c>
      <c r="AT451" s="137" t="str">
        <f aca="false">IF(A452="","",IF(AND(mthbeg&lt;=A451,mthend&gt;=A451),1,0))</f>
        <v/>
      </c>
      <c r="AU451" s="137" t="str">
        <f aca="false">IF(A452="","",AO451*AT451)</f>
        <v/>
      </c>
      <c r="AW451" s="195" t="str">
        <f aca="false">IF($A452="","",AL451*$E451)</f>
        <v/>
      </c>
      <c r="AX451" s="195" t="str">
        <f aca="false">IF($A452="","",AM451*$E451)</f>
        <v/>
      </c>
      <c r="AY451" s="195" t="str">
        <f aca="false">IF($A452="","",AN451*$E451)</f>
        <v/>
      </c>
      <c r="BA451" s="195" t="str">
        <f aca="false">IF($A452="","",F451*Summary!$Q$11)</f>
        <v/>
      </c>
    </row>
    <row r="452" customFormat="false" ht="12.75" hidden="false" customHeight="false" outlineLevel="0" collapsed="false">
      <c r="A452" s="196" t="str">
        <f aca="false">IF(A451&lt;mthend,EDATE(A451,1),"")</f>
        <v/>
      </c>
      <c r="B452" s="197" t="str">
        <f aca="false">IF(A452&lt;mthend,B451,"")</f>
        <v/>
      </c>
      <c r="D452" s="197" t="str">
        <f aca="false">IF(A453&lt;&gt;"",B452+C452,"")</f>
        <v/>
      </c>
      <c r="E452" s="199" t="str">
        <f aca="false">IF(A453="","",IF(AND(AT452=1,$H$3=1),D452*AO452,IF($H$3=2,D452,"N/A")))</f>
        <v/>
      </c>
      <c r="F452" s="199" t="str">
        <f aca="false">IF(A453="","",E452*AS452)</f>
        <v/>
      </c>
      <c r="G452" s="200" t="str">
        <f aca="false">IF($A453="","",VLOOKUP($A452,Table,MATCH(G$4,Curves,0)))</f>
        <v/>
      </c>
      <c r="H452" s="201" t="str">
        <f aca="false">IF(A453="","",G452)</f>
        <v/>
      </c>
      <c r="J452" s="200" t="str">
        <f aca="false">IF($A453="","",VLOOKUP($A452,Table,MATCH(J$4,Curves,0)))</f>
        <v/>
      </c>
      <c r="K452" s="201" t="str">
        <f aca="false">IF(A453="","",J452)</f>
        <v/>
      </c>
      <c r="L452" s="200" t="str">
        <f aca="false">IF($A453="","",VLOOKUP($A452,Table,MATCH(L$4,Curves,0)))</f>
        <v/>
      </c>
      <c r="M452" s="201" t="str">
        <f aca="false">IF(A453="","",L452)</f>
        <v/>
      </c>
      <c r="O452" s="200" t="str">
        <f aca="false">IF(A453="","",L452+J452+G452)</f>
        <v/>
      </c>
      <c r="P452" s="200" t="str">
        <f aca="false">IF(A453="","",M452+K452+H452)</f>
        <v/>
      </c>
      <c r="R452" s="200" t="str">
        <f aca="false">IF($A453="","",VLOOKUP($A452,Table,MATCH(R$4,Curves,0)))</f>
        <v/>
      </c>
      <c r="S452" s="201" t="str">
        <f aca="false">IF(A453="","",R452)</f>
        <v/>
      </c>
      <c r="T452" s="185" t="n">
        <v>0</v>
      </c>
      <c r="U452" s="201" t="str">
        <f aca="false">IF(A453="","",T452)</f>
        <v/>
      </c>
      <c r="V452" s="205" t="str">
        <f aca="false">IF($A453="","",IF(AND(MONTH(A452)&gt;3,MONTH(A452)&lt;11),(T452+R452+G452)*Summary!$T$11/(1-Summary!$T$11),(T452+R452+G452)*Summary!$U$11/(1-Summary!$U$11)))</f>
        <v/>
      </c>
      <c r="W452" s="202" t="str">
        <f aca="false">IF($A453="","",(T452+R452+G452+V452))</f>
        <v/>
      </c>
      <c r="X452" s="202" t="str">
        <f aca="false">IF($A453="","",(U452+S452+H452+V452))</f>
        <v/>
      </c>
      <c r="Y452" s="202"/>
      <c r="Z452" s="185"/>
      <c r="AJ452" s="77"/>
      <c r="AK452" s="77"/>
      <c r="AL452" s="77"/>
      <c r="AM452" s="77"/>
      <c r="AN452" s="77"/>
      <c r="AO452" s="137" t="str">
        <f aca="false">IF(A453="","",A453-A452)</f>
        <v/>
      </c>
      <c r="AP452" s="212" t="str">
        <f aca="false">IF(A453="","",CHOOSE(F$3,A453+24,A452))</f>
        <v/>
      </c>
      <c r="AQ452" s="209" t="str">
        <f aca="false">IF(A453="","",AP452-$E$1)</f>
        <v/>
      </c>
      <c r="AR452" s="185" t="n">
        <f aca="false">'ANR OK vs ML7'!AR452</f>
        <v>0.1</v>
      </c>
      <c r="AS452" s="213" t="str">
        <f aca="false">IF(A453="","",1/(1+CHOOSE(F$3,(AR453+($I$3/10000))/2,(AR452+($I$3/10000))/2))^(2*AQ452/365.25))</f>
        <v/>
      </c>
      <c r="AT452" s="137" t="str">
        <f aca="false">IF(A453="","",IF(AND(mthbeg&lt;=A452,mthend&gt;=A452),1,0))</f>
        <v/>
      </c>
      <c r="AU452" s="137" t="str">
        <f aca="false">IF(A453="","",AO452*AT452)</f>
        <v/>
      </c>
      <c r="AW452" s="195" t="str">
        <f aca="false">IF($A453="","",AL452*$E452)</f>
        <v/>
      </c>
      <c r="AX452" s="195" t="str">
        <f aca="false">IF($A453="","",AM452*$E452)</f>
        <v/>
      </c>
      <c r="AY452" s="195" t="str">
        <f aca="false">IF($A453="","",AN452*$E452)</f>
        <v/>
      </c>
      <c r="BA452" s="195" t="str">
        <f aca="false">IF($A453="","",F452*Summary!$Q$11)</f>
        <v/>
      </c>
    </row>
    <row r="453" customFormat="false" ht="12.75" hidden="false" customHeight="false" outlineLevel="0" collapsed="false">
      <c r="A453" s="196" t="str">
        <f aca="false">IF(A452&lt;mthend,EDATE(A452,1),"")</f>
        <v/>
      </c>
      <c r="B453" s="197" t="str">
        <f aca="false">IF(A453&lt;mthend,B452,"")</f>
        <v/>
      </c>
      <c r="D453" s="197" t="str">
        <f aca="false">IF(A454&lt;&gt;"",B453+C453,"")</f>
        <v/>
      </c>
      <c r="E453" s="199" t="str">
        <f aca="false">IF(A454="","",IF(AND(AT453=1,$H$3=1),D453*AO453,IF($H$3=2,D453,"N/A")))</f>
        <v/>
      </c>
      <c r="F453" s="199" t="str">
        <f aca="false">IF(A454="","",E453*AS453)</f>
        <v/>
      </c>
      <c r="G453" s="200" t="str">
        <f aca="false">IF($A454="","",VLOOKUP($A453,Table,MATCH(G$4,Curves,0)))</f>
        <v/>
      </c>
      <c r="H453" s="201" t="str">
        <f aca="false">IF(A454="","",G453)</f>
        <v/>
      </c>
      <c r="J453" s="200" t="str">
        <f aca="false">IF($A454="","",VLOOKUP($A453,Table,MATCH(J$4,Curves,0)))</f>
        <v/>
      </c>
      <c r="K453" s="201" t="str">
        <f aca="false">IF(A454="","",J453)</f>
        <v/>
      </c>
      <c r="L453" s="200" t="str">
        <f aca="false">IF($A454="","",VLOOKUP($A453,Table,MATCH(L$4,Curves,0)))</f>
        <v/>
      </c>
      <c r="M453" s="201" t="str">
        <f aca="false">IF(A454="","",L453)</f>
        <v/>
      </c>
      <c r="O453" s="200" t="str">
        <f aca="false">IF(A454="","",L453+J453+G453)</f>
        <v/>
      </c>
      <c r="P453" s="200" t="str">
        <f aca="false">IF(A454="","",M453+K453+H453)</f>
        <v/>
      </c>
      <c r="R453" s="200" t="str">
        <f aca="false">IF($A454="","",VLOOKUP($A453,Table,MATCH(R$4,Curves,0)))</f>
        <v/>
      </c>
      <c r="S453" s="201" t="str">
        <f aca="false">IF(A454="","",R453)</f>
        <v/>
      </c>
      <c r="T453" s="185" t="n">
        <v>0</v>
      </c>
      <c r="U453" s="201" t="str">
        <f aca="false">IF(A454="","",T453)</f>
        <v/>
      </c>
      <c r="V453" s="205" t="str">
        <f aca="false">IF($A454="","",IF(AND(MONTH(A453)&gt;3,MONTH(A453)&lt;11),(T453+R453+G453)*Summary!$T$11/(1-Summary!$T$11),(T453+R453+G453)*Summary!$U$11/(1-Summary!$U$11)))</f>
        <v/>
      </c>
      <c r="W453" s="202" t="str">
        <f aca="false">IF($A454="","",(T453+R453+G453+V453))</f>
        <v/>
      </c>
      <c r="X453" s="202" t="str">
        <f aca="false">IF($A454="","",(U453+S453+H453+V453))</f>
        <v/>
      </c>
      <c r="Y453" s="202"/>
      <c r="Z453" s="185"/>
      <c r="AJ453" s="77"/>
      <c r="AK453" s="77"/>
      <c r="AL453" s="77"/>
      <c r="AM453" s="77"/>
      <c r="AN453" s="77"/>
      <c r="AO453" s="137" t="str">
        <f aca="false">IF(A454="","",A454-A453)</f>
        <v/>
      </c>
      <c r="AP453" s="212" t="str">
        <f aca="false">IF(A454="","",CHOOSE(F$3,A454+24,A453))</f>
        <v/>
      </c>
      <c r="AQ453" s="209" t="str">
        <f aca="false">IF(A454="","",AP453-$E$1)</f>
        <v/>
      </c>
      <c r="AR453" s="185" t="n">
        <f aca="false">'ANR OK vs ML7'!AR453</f>
        <v>0.1</v>
      </c>
      <c r="AS453" s="213" t="str">
        <f aca="false">IF(A454="","",1/(1+CHOOSE(F$3,(AR454+($I$3/10000))/2,(AR453+($I$3/10000))/2))^(2*AQ453/365.25))</f>
        <v/>
      </c>
      <c r="AT453" s="137" t="str">
        <f aca="false">IF(A454="","",IF(AND(mthbeg&lt;=A453,mthend&gt;=A453),1,0))</f>
        <v/>
      </c>
      <c r="AU453" s="137" t="str">
        <f aca="false">IF(A454="","",AO453*AT453)</f>
        <v/>
      </c>
      <c r="AW453" s="195" t="str">
        <f aca="false">IF($A454="","",AL453*$E453)</f>
        <v/>
      </c>
      <c r="AX453" s="195" t="str">
        <f aca="false">IF($A454="","",AM453*$E453)</f>
        <v/>
      </c>
      <c r="AY453" s="195" t="str">
        <f aca="false">IF($A454="","",AN453*$E453)</f>
        <v/>
      </c>
      <c r="BA453" s="195" t="str">
        <f aca="false">IF($A454="","",F453*Summary!$Q$11)</f>
        <v/>
      </c>
    </row>
    <row r="454" customFormat="false" ht="12.75" hidden="false" customHeight="false" outlineLevel="0" collapsed="false">
      <c r="A454" s="196" t="str">
        <f aca="false">IF(A453&lt;mthend,EDATE(A453,1),"")</f>
        <v/>
      </c>
      <c r="B454" s="197" t="str">
        <f aca="false">IF(A454&lt;mthend,B453,"")</f>
        <v/>
      </c>
      <c r="D454" s="197" t="str">
        <f aca="false">IF(A455&lt;&gt;"",B454+C454,"")</f>
        <v/>
      </c>
      <c r="E454" s="199" t="str">
        <f aca="false">IF(A455="","",IF(AND(AT454=1,$H$3=1),D454*AO454,IF($H$3=2,D454,"N/A")))</f>
        <v/>
      </c>
      <c r="F454" s="199" t="str">
        <f aca="false">IF(A455="","",E454*AS454)</f>
        <v/>
      </c>
      <c r="G454" s="200" t="str">
        <f aca="false">IF($A455="","",VLOOKUP($A454,Table,MATCH(G$4,Curves,0)))</f>
        <v/>
      </c>
      <c r="H454" s="201" t="str">
        <f aca="false">IF(A455="","",G454)</f>
        <v/>
      </c>
      <c r="J454" s="200" t="str">
        <f aca="false">IF($A455="","",VLOOKUP($A454,Table,MATCH(J$4,Curves,0)))</f>
        <v/>
      </c>
      <c r="K454" s="201" t="str">
        <f aca="false">IF(A455="","",J454)</f>
        <v/>
      </c>
      <c r="L454" s="200" t="str">
        <f aca="false">IF($A455="","",VLOOKUP($A454,Table,MATCH(L$4,Curves,0)))</f>
        <v/>
      </c>
      <c r="M454" s="201" t="str">
        <f aca="false">IF(A455="","",L454)</f>
        <v/>
      </c>
      <c r="O454" s="200" t="str">
        <f aca="false">IF(A455="","",L454+J454+G454)</f>
        <v/>
      </c>
      <c r="P454" s="200" t="str">
        <f aca="false">IF(A455="","",M454+K454+H454)</f>
        <v/>
      </c>
      <c r="R454" s="200" t="str">
        <f aca="false">IF($A455="","",VLOOKUP($A454,Table,MATCH(R$4,Curves,0)))</f>
        <v/>
      </c>
      <c r="S454" s="201" t="str">
        <f aca="false">IF(A455="","",R454)</f>
        <v/>
      </c>
      <c r="T454" s="185" t="n">
        <v>0</v>
      </c>
      <c r="U454" s="201" t="str">
        <f aca="false">IF(A455="","",T454)</f>
        <v/>
      </c>
      <c r="V454" s="205" t="str">
        <f aca="false">IF($A455="","",IF(AND(MONTH(A454)&gt;3,MONTH(A454)&lt;11),(T454+R454+G454)*Summary!$T$11/(1-Summary!$T$11),(T454+R454+G454)*Summary!$U$11/(1-Summary!$U$11)))</f>
        <v/>
      </c>
      <c r="W454" s="202" t="str">
        <f aca="false">IF($A455="","",(T454+R454+G454+V454))</f>
        <v/>
      </c>
      <c r="X454" s="202" t="str">
        <f aca="false">IF($A455="","",(U454+S454+H454+V454))</f>
        <v/>
      </c>
      <c r="Y454" s="202"/>
      <c r="Z454" s="185"/>
      <c r="AJ454" s="77"/>
      <c r="AK454" s="77"/>
      <c r="AL454" s="77"/>
      <c r="AM454" s="77"/>
      <c r="AN454" s="77"/>
      <c r="AO454" s="137" t="str">
        <f aca="false">IF(A455="","",A455-A454)</f>
        <v/>
      </c>
      <c r="AP454" s="212" t="str">
        <f aca="false">IF(A455="","",CHOOSE(F$3,A455+24,A454))</f>
        <v/>
      </c>
      <c r="AQ454" s="209" t="str">
        <f aca="false">IF(A455="","",AP454-$E$1)</f>
        <v/>
      </c>
      <c r="AR454" s="185" t="n">
        <f aca="false">'ANR OK vs ML7'!AR454</f>
        <v>0.1</v>
      </c>
      <c r="AS454" s="213" t="str">
        <f aca="false">IF(A455="","",1/(1+CHOOSE(F$3,(AR455+($I$3/10000))/2,(AR454+($I$3/10000))/2))^(2*AQ454/365.25))</f>
        <v/>
      </c>
      <c r="AT454" s="137" t="str">
        <f aca="false">IF(A455="","",IF(AND(mthbeg&lt;=A454,mthend&gt;=A454),1,0))</f>
        <v/>
      </c>
      <c r="AU454" s="137" t="str">
        <f aca="false">IF(A455="","",AO454*AT454)</f>
        <v/>
      </c>
      <c r="AW454" s="195" t="str">
        <f aca="false">IF($A455="","",AL454*$E454)</f>
        <v/>
      </c>
      <c r="AX454" s="195" t="str">
        <f aca="false">IF($A455="","",AM454*$E454)</f>
        <v/>
      </c>
      <c r="AY454" s="195" t="str">
        <f aca="false">IF($A455="","",AN454*$E454)</f>
        <v/>
      </c>
      <c r="BA454" s="195" t="str">
        <f aca="false">IF($A455="","",F454*Summary!$Q$11)</f>
        <v/>
      </c>
    </row>
    <row r="455" customFormat="false" ht="12.75" hidden="false" customHeight="false" outlineLevel="0" collapsed="false">
      <c r="A455" s="196" t="str">
        <f aca="false">IF(A454&lt;mthend,EDATE(A454,1),"")</f>
        <v/>
      </c>
      <c r="B455" s="197" t="str">
        <f aca="false">IF(A455&lt;mthend,B454,"")</f>
        <v/>
      </c>
      <c r="D455" s="197" t="str">
        <f aca="false">IF(A456&lt;&gt;"",B455+C455,"")</f>
        <v/>
      </c>
      <c r="E455" s="199" t="str">
        <f aca="false">IF(A456="","",IF(AND(AT455=1,$H$3=1),D455*AO455,IF($H$3=2,D455,"N/A")))</f>
        <v/>
      </c>
      <c r="F455" s="199" t="str">
        <f aca="false">IF(A456="","",E455*AS455)</f>
        <v/>
      </c>
      <c r="G455" s="200" t="str">
        <f aca="false">IF($A456="","",VLOOKUP($A455,Table,MATCH(G$4,Curves,0)))</f>
        <v/>
      </c>
      <c r="H455" s="201" t="str">
        <f aca="false">IF(A456="","",G455)</f>
        <v/>
      </c>
      <c r="J455" s="200" t="str">
        <f aca="false">IF($A456="","",VLOOKUP($A455,Table,MATCH(J$4,Curves,0)))</f>
        <v/>
      </c>
      <c r="K455" s="201" t="str">
        <f aca="false">IF(A456="","",J455)</f>
        <v/>
      </c>
      <c r="L455" s="200" t="str">
        <f aca="false">IF($A456="","",VLOOKUP($A455,Table,MATCH(L$4,Curves,0)))</f>
        <v/>
      </c>
      <c r="M455" s="201" t="str">
        <f aca="false">IF(A456="","",L455)</f>
        <v/>
      </c>
      <c r="O455" s="200" t="str">
        <f aca="false">IF(A456="","",L455+J455+G455)</f>
        <v/>
      </c>
      <c r="P455" s="200" t="str">
        <f aca="false">IF(A456="","",M455+K455+H455)</f>
        <v/>
      </c>
      <c r="R455" s="200" t="str">
        <f aca="false">IF($A456="","",VLOOKUP($A455,Table,MATCH(R$4,Curves,0)))</f>
        <v/>
      </c>
      <c r="S455" s="201" t="str">
        <f aca="false">IF(A456="","",R455)</f>
        <v/>
      </c>
      <c r="T455" s="185" t="n">
        <v>0</v>
      </c>
      <c r="U455" s="201" t="str">
        <f aca="false">IF(A456="","",T455)</f>
        <v/>
      </c>
      <c r="V455" s="205" t="str">
        <f aca="false">IF($A456="","",IF(AND(MONTH(A455)&gt;3,MONTH(A455)&lt;11),(T455+R455+G455)*Summary!$T$11/(1-Summary!$T$11),(T455+R455+G455)*Summary!$U$11/(1-Summary!$U$11)))</f>
        <v/>
      </c>
      <c r="W455" s="202" t="str">
        <f aca="false">IF($A456="","",(T455+R455+G455+V455))</f>
        <v/>
      </c>
      <c r="X455" s="202" t="str">
        <f aca="false">IF($A456="","",(U455+S455+H455+V455))</f>
        <v/>
      </c>
      <c r="Y455" s="202"/>
      <c r="Z455" s="185"/>
      <c r="AJ455" s="77"/>
      <c r="AK455" s="77"/>
      <c r="AL455" s="77"/>
      <c r="AM455" s="77"/>
      <c r="AN455" s="77"/>
      <c r="AO455" s="137" t="str">
        <f aca="false">IF(A456="","",A456-A455)</f>
        <v/>
      </c>
      <c r="AP455" s="212" t="str">
        <f aca="false">IF(A456="","",CHOOSE(F$3,A456+24,A455))</f>
        <v/>
      </c>
      <c r="AQ455" s="209" t="str">
        <f aca="false">IF(A456="","",AP455-$E$1)</f>
        <v/>
      </c>
      <c r="AR455" s="185" t="n">
        <f aca="false">'ANR OK vs ML7'!AR455</f>
        <v>0.1</v>
      </c>
      <c r="AS455" s="213" t="str">
        <f aca="false">IF(A456="","",1/(1+CHOOSE(F$3,(AR456+($I$3/10000))/2,(AR455+($I$3/10000))/2))^(2*AQ455/365.25))</f>
        <v/>
      </c>
      <c r="AT455" s="137" t="str">
        <f aca="false">IF(A456="","",IF(AND(mthbeg&lt;=A455,mthend&gt;=A455),1,0))</f>
        <v/>
      </c>
      <c r="AU455" s="137" t="str">
        <f aca="false">IF(A456="","",AO455*AT455)</f>
        <v/>
      </c>
      <c r="AW455" s="195" t="str">
        <f aca="false">IF($A456="","",AL455*$E455)</f>
        <v/>
      </c>
      <c r="AX455" s="195" t="str">
        <f aca="false">IF($A456="","",AM455*$E455)</f>
        <v/>
      </c>
      <c r="AY455" s="195" t="str">
        <f aca="false">IF($A456="","",AN455*$E455)</f>
        <v/>
      </c>
      <c r="BA455" s="195" t="str">
        <f aca="false">IF($A456="","",F455*Summary!$Q$11)</f>
        <v/>
      </c>
    </row>
    <row r="456" customFormat="false" ht="12.75" hidden="false" customHeight="false" outlineLevel="0" collapsed="false">
      <c r="A456" s="196" t="str">
        <f aca="false">IF(A455&lt;mthend,EDATE(A455,1),"")</f>
        <v/>
      </c>
      <c r="B456" s="197" t="str">
        <f aca="false">IF(A456&lt;mthend,B455,"")</f>
        <v/>
      </c>
      <c r="D456" s="197" t="str">
        <f aca="false">IF(A457&lt;&gt;"",B456+C456,"")</f>
        <v/>
      </c>
      <c r="E456" s="199" t="str">
        <f aca="false">IF(A457="","",IF(AND(AT456=1,$H$3=1),D456*AO456,IF($H$3=2,D456,"N/A")))</f>
        <v/>
      </c>
      <c r="F456" s="199" t="str">
        <f aca="false">IF(A457="","",E456*AS456)</f>
        <v/>
      </c>
      <c r="G456" s="200" t="str">
        <f aca="false">IF($A457="","",VLOOKUP($A456,Table,MATCH(G$4,Curves,0)))</f>
        <v/>
      </c>
      <c r="H456" s="201" t="str">
        <f aca="false">IF(A457="","",G456)</f>
        <v/>
      </c>
      <c r="J456" s="200" t="str">
        <f aca="false">IF($A457="","",VLOOKUP($A456,Table,MATCH(J$4,Curves,0)))</f>
        <v/>
      </c>
      <c r="K456" s="201" t="str">
        <f aca="false">IF(A457="","",J456)</f>
        <v/>
      </c>
      <c r="L456" s="200" t="str">
        <f aca="false">IF($A457="","",VLOOKUP($A456,Table,MATCH(L$4,Curves,0)))</f>
        <v/>
      </c>
      <c r="M456" s="201" t="str">
        <f aca="false">IF(A457="","",L456)</f>
        <v/>
      </c>
      <c r="O456" s="200" t="str">
        <f aca="false">IF(A457="","",L456+J456+G456)</f>
        <v/>
      </c>
      <c r="P456" s="200" t="str">
        <f aca="false">IF(A457="","",M456+K456+H456)</f>
        <v/>
      </c>
      <c r="R456" s="200" t="str">
        <f aca="false">IF($A457="","",VLOOKUP($A456,Table,MATCH(R$4,Curves,0)))</f>
        <v/>
      </c>
      <c r="S456" s="201" t="str">
        <f aca="false">IF(A457="","",R456)</f>
        <v/>
      </c>
      <c r="T456" s="185" t="n">
        <v>0</v>
      </c>
      <c r="U456" s="201" t="str">
        <f aca="false">IF(A457="","",T456)</f>
        <v/>
      </c>
      <c r="V456" s="205" t="str">
        <f aca="false">IF($A457="","",IF(AND(MONTH(A456)&gt;3,MONTH(A456)&lt;11),(T456+R456+G456)*Summary!$T$11/(1-Summary!$T$11),(T456+R456+G456)*Summary!$U$11/(1-Summary!$U$11)))</f>
        <v/>
      </c>
      <c r="W456" s="202" t="str">
        <f aca="false">IF($A457="","",(T456+R456+G456+V456))</f>
        <v/>
      </c>
      <c r="X456" s="202" t="str">
        <f aca="false">IF($A457="","",(U456+S456+H456+V456))</f>
        <v/>
      </c>
      <c r="Y456" s="202"/>
      <c r="Z456" s="185"/>
      <c r="AJ456" s="77"/>
      <c r="AK456" s="77"/>
      <c r="AL456" s="77"/>
      <c r="AM456" s="77"/>
      <c r="AN456" s="77"/>
      <c r="AO456" s="137" t="str">
        <f aca="false">IF(A457="","",A457-A456)</f>
        <v/>
      </c>
      <c r="AP456" s="212" t="str">
        <f aca="false">IF(A457="","",CHOOSE(F$3,A457+24,A456))</f>
        <v/>
      </c>
      <c r="AQ456" s="209" t="str">
        <f aca="false">IF(A457="","",AP456-$E$1)</f>
        <v/>
      </c>
      <c r="AR456" s="185" t="n">
        <f aca="false">'ANR OK vs ML7'!AR456</f>
        <v>0.1</v>
      </c>
      <c r="AS456" s="213" t="str">
        <f aca="false">IF(A457="","",1/(1+CHOOSE(F$3,(AR457+($I$3/10000))/2,(AR456+($I$3/10000))/2))^(2*AQ456/365.25))</f>
        <v/>
      </c>
      <c r="AT456" s="137" t="str">
        <f aca="false">IF(A457="","",IF(AND(mthbeg&lt;=A456,mthend&gt;=A456),1,0))</f>
        <v/>
      </c>
      <c r="AU456" s="137" t="str">
        <f aca="false">IF(A457="","",AO456*AT456)</f>
        <v/>
      </c>
      <c r="AW456" s="195" t="str">
        <f aca="false">IF($A457="","",AL456*$E456)</f>
        <v/>
      </c>
      <c r="AX456" s="195" t="str">
        <f aca="false">IF($A457="","",AM456*$E456)</f>
        <v/>
      </c>
      <c r="AY456" s="195" t="str">
        <f aca="false">IF($A457="","",AN456*$E456)</f>
        <v/>
      </c>
      <c r="BA456" s="195" t="str">
        <f aca="false">IF($A457="","",F456*Summary!$Q$11)</f>
        <v/>
      </c>
    </row>
    <row r="457" customFormat="false" ht="12.75" hidden="false" customHeight="false" outlineLevel="0" collapsed="false">
      <c r="A457" s="196" t="str">
        <f aca="false">IF(A456&lt;mthend,EDATE(A456,1),"")</f>
        <v/>
      </c>
      <c r="B457" s="197" t="str">
        <f aca="false">IF(A457&lt;mthend,B456,"")</f>
        <v/>
      </c>
      <c r="D457" s="197" t="str">
        <f aca="false">IF(A458&lt;&gt;"",B457+C457,"")</f>
        <v/>
      </c>
      <c r="E457" s="199" t="str">
        <f aca="false">IF(A458="","",IF(AND(AT457=1,$H$3=1),D457*AO457,IF($H$3=2,D457,"N/A")))</f>
        <v/>
      </c>
      <c r="F457" s="199" t="str">
        <f aca="false">IF(A458="","",E457*AS457)</f>
        <v/>
      </c>
      <c r="G457" s="200" t="str">
        <f aca="false">IF($A458="","",VLOOKUP($A457,Table,MATCH(G$4,Curves,0)))</f>
        <v/>
      </c>
      <c r="H457" s="201" t="str">
        <f aca="false">IF(A458="","",G457)</f>
        <v/>
      </c>
      <c r="J457" s="200" t="str">
        <f aca="false">IF($A458="","",VLOOKUP($A457,Table,MATCH(J$4,Curves,0)))</f>
        <v/>
      </c>
      <c r="K457" s="201" t="str">
        <f aca="false">IF(A458="","",J457)</f>
        <v/>
      </c>
      <c r="L457" s="200" t="str">
        <f aca="false">IF($A458="","",VLOOKUP($A457,Table,MATCH(L$4,Curves,0)))</f>
        <v/>
      </c>
      <c r="M457" s="201" t="str">
        <f aca="false">IF(A458="","",L457)</f>
        <v/>
      </c>
      <c r="O457" s="200" t="str">
        <f aca="false">IF(A458="","",L457+J457+G457)</f>
        <v/>
      </c>
      <c r="P457" s="200" t="str">
        <f aca="false">IF(A458="","",M457+K457+H457)</f>
        <v/>
      </c>
      <c r="R457" s="200" t="str">
        <f aca="false">IF($A458="","",VLOOKUP($A457,Table,MATCH(R$4,Curves,0)))</f>
        <v/>
      </c>
      <c r="S457" s="201" t="str">
        <f aca="false">IF(A458="","",R457)</f>
        <v/>
      </c>
      <c r="T457" s="185" t="n">
        <v>0</v>
      </c>
      <c r="U457" s="201" t="str">
        <f aca="false">IF(A458="","",T457)</f>
        <v/>
      </c>
      <c r="V457" s="205" t="str">
        <f aca="false">IF($A458="","",IF(AND(MONTH(A457)&gt;3,MONTH(A457)&lt;11),(T457+R457+G457)*Summary!$T$11/(1-Summary!$T$11),(T457+R457+G457)*Summary!$U$11/(1-Summary!$U$11)))</f>
        <v/>
      </c>
      <c r="W457" s="202" t="str">
        <f aca="false">IF($A458="","",(T457+R457+G457+V457))</f>
        <v/>
      </c>
      <c r="X457" s="202" t="str">
        <f aca="false">IF($A458="","",(U457+S457+H457+V457))</f>
        <v/>
      </c>
      <c r="Y457" s="202"/>
      <c r="Z457" s="185"/>
      <c r="AJ457" s="77"/>
      <c r="AK457" s="77"/>
      <c r="AL457" s="77"/>
      <c r="AM457" s="77"/>
      <c r="AN457" s="77"/>
      <c r="AO457" s="137" t="str">
        <f aca="false">IF(A458="","",A458-A457)</f>
        <v/>
      </c>
      <c r="AP457" s="212" t="str">
        <f aca="false">IF(A458="","",CHOOSE(F$3,A458+24,A457))</f>
        <v/>
      </c>
      <c r="AQ457" s="209" t="str">
        <f aca="false">IF(A458="","",AP457-$E$1)</f>
        <v/>
      </c>
      <c r="AR457" s="185" t="n">
        <f aca="false">'ANR OK vs ML7'!AR457</f>
        <v>0.1</v>
      </c>
      <c r="AS457" s="213" t="str">
        <f aca="false">IF(A458="","",1/(1+CHOOSE(F$3,(AR458+($I$3/10000))/2,(AR457+($I$3/10000))/2))^(2*AQ457/365.25))</f>
        <v/>
      </c>
      <c r="AT457" s="137" t="str">
        <f aca="false">IF(A458="","",IF(AND(mthbeg&lt;=A457,mthend&gt;=A457),1,0))</f>
        <v/>
      </c>
      <c r="AU457" s="137" t="str">
        <f aca="false">IF(A458="","",AO457*AT457)</f>
        <v/>
      </c>
      <c r="AW457" s="195" t="str">
        <f aca="false">IF($A458="","",AL457*$E457)</f>
        <v/>
      </c>
      <c r="AX457" s="195" t="str">
        <f aca="false">IF($A458="","",AM457*$E457)</f>
        <v/>
      </c>
      <c r="AY457" s="195" t="str">
        <f aca="false">IF($A458="","",AN457*$E457)</f>
        <v/>
      </c>
      <c r="BA457" s="195" t="str">
        <f aca="false">IF($A458="","",F457*Summary!$Q$11)</f>
        <v/>
      </c>
    </row>
    <row r="458" customFormat="false" ht="12.75" hidden="false" customHeight="false" outlineLevel="0" collapsed="false">
      <c r="A458" s="196" t="str">
        <f aca="false">IF(A457&lt;mthend,EDATE(A457,1),"")</f>
        <v/>
      </c>
      <c r="B458" s="197" t="str">
        <f aca="false">IF(A458&lt;mthend,B457,"")</f>
        <v/>
      </c>
      <c r="D458" s="197" t="str">
        <f aca="false">IF(A459&lt;&gt;"",B458+C458,"")</f>
        <v/>
      </c>
      <c r="E458" s="199" t="str">
        <f aca="false">IF(A459="","",IF(AND(AT458=1,$H$3=1),D458*AO458,IF($H$3=2,D458,"N/A")))</f>
        <v/>
      </c>
      <c r="F458" s="199" t="str">
        <f aca="false">IF(A459="","",E458*AS458)</f>
        <v/>
      </c>
      <c r="G458" s="200" t="str">
        <f aca="false">IF($A459="","",VLOOKUP($A458,Table,MATCH(G$4,Curves,0)))</f>
        <v/>
      </c>
      <c r="H458" s="201" t="str">
        <f aca="false">IF(A459="","",G458)</f>
        <v/>
      </c>
      <c r="J458" s="200" t="str">
        <f aca="false">IF($A459="","",VLOOKUP($A458,Table,MATCH(J$4,Curves,0)))</f>
        <v/>
      </c>
      <c r="K458" s="201" t="str">
        <f aca="false">IF(A459="","",J458)</f>
        <v/>
      </c>
      <c r="L458" s="200" t="str">
        <f aca="false">IF($A459="","",VLOOKUP($A458,Table,MATCH(L$4,Curves,0)))</f>
        <v/>
      </c>
      <c r="M458" s="201" t="str">
        <f aca="false">IF(A459="","",L458)</f>
        <v/>
      </c>
      <c r="O458" s="200" t="str">
        <f aca="false">IF(A459="","",L458+J458+G458)</f>
        <v/>
      </c>
      <c r="P458" s="200" t="str">
        <f aca="false">IF(A459="","",M458+K458+H458)</f>
        <v/>
      </c>
      <c r="R458" s="200" t="str">
        <f aca="false">IF($A459="","",VLOOKUP($A458,Table,MATCH(R$4,Curves,0)))</f>
        <v/>
      </c>
      <c r="S458" s="201" t="str">
        <f aca="false">IF(A459="","",R458)</f>
        <v/>
      </c>
      <c r="T458" s="185" t="n">
        <v>0</v>
      </c>
      <c r="U458" s="201" t="str">
        <f aca="false">IF(A459="","",T458)</f>
        <v/>
      </c>
      <c r="V458" s="205" t="str">
        <f aca="false">IF($A459="","",IF(AND(MONTH(A458)&gt;3,MONTH(A458)&lt;11),(T458+R458+G458)*Summary!$T$11/(1-Summary!$T$11),(T458+R458+G458)*Summary!$U$11/(1-Summary!$U$11)))</f>
        <v/>
      </c>
      <c r="W458" s="202" t="str">
        <f aca="false">IF($A459="","",(T458+R458+G458+V458))</f>
        <v/>
      </c>
      <c r="X458" s="202" t="str">
        <f aca="false">IF($A459="","",(U458+S458+H458+V458))</f>
        <v/>
      </c>
      <c r="Y458" s="202"/>
      <c r="Z458" s="185"/>
      <c r="AJ458" s="77"/>
      <c r="AK458" s="77"/>
      <c r="AL458" s="77"/>
      <c r="AM458" s="77"/>
      <c r="AN458" s="77"/>
      <c r="AO458" s="137" t="str">
        <f aca="false">IF(A459="","",A459-A458)</f>
        <v/>
      </c>
      <c r="AP458" s="212" t="str">
        <f aca="false">IF(A459="","",CHOOSE(F$3,A459+24,A458))</f>
        <v/>
      </c>
      <c r="AQ458" s="209" t="str">
        <f aca="false">IF(A459="","",AP458-$E$1)</f>
        <v/>
      </c>
      <c r="AR458" s="185" t="n">
        <f aca="false">'ANR OK vs ML7'!AR458</f>
        <v>0.1</v>
      </c>
      <c r="AS458" s="213" t="str">
        <f aca="false">IF(A459="","",1/(1+CHOOSE(F$3,(AR459+($I$3/10000))/2,(AR458+($I$3/10000))/2))^(2*AQ458/365.25))</f>
        <v/>
      </c>
      <c r="AT458" s="137" t="str">
        <f aca="false">IF(A459="","",IF(AND(mthbeg&lt;=A458,mthend&gt;=A458),1,0))</f>
        <v/>
      </c>
      <c r="AU458" s="137" t="str">
        <f aca="false">IF(A459="","",AO458*AT458)</f>
        <v/>
      </c>
      <c r="AW458" s="195" t="str">
        <f aca="false">IF($A459="","",AL458*$E458)</f>
        <v/>
      </c>
      <c r="AX458" s="195" t="str">
        <f aca="false">IF($A459="","",AM458*$E458)</f>
        <v/>
      </c>
      <c r="AY458" s="195" t="str">
        <f aca="false">IF($A459="","",AN458*$E458)</f>
        <v/>
      </c>
      <c r="BA458" s="195" t="str">
        <f aca="false">IF($A459="","",F458*Summary!$Q$11)</f>
        <v/>
      </c>
    </row>
    <row r="459" customFormat="false" ht="12.75" hidden="false" customHeight="false" outlineLevel="0" collapsed="false">
      <c r="A459" s="196" t="str">
        <f aca="false">IF(A458&lt;mthend,EDATE(A458,1),"")</f>
        <v/>
      </c>
      <c r="B459" s="197" t="str">
        <f aca="false">IF(A459&lt;mthend,B458,"")</f>
        <v/>
      </c>
      <c r="D459" s="197" t="str">
        <f aca="false">IF(A460&lt;&gt;"",B459+C459,"")</f>
        <v/>
      </c>
      <c r="E459" s="199" t="str">
        <f aca="false">IF(A460="","",IF(AND(AT459=1,$H$3=1),D459*AO459,IF($H$3=2,D459,"N/A")))</f>
        <v/>
      </c>
      <c r="F459" s="199" t="str">
        <f aca="false">IF(A460="","",E459*AS459)</f>
        <v/>
      </c>
      <c r="G459" s="200" t="str">
        <f aca="false">IF($A460="","",VLOOKUP($A459,Table,MATCH(G$4,Curves,0)))</f>
        <v/>
      </c>
      <c r="H459" s="201" t="str">
        <f aca="false">IF(A460="","",G459)</f>
        <v/>
      </c>
      <c r="J459" s="200" t="str">
        <f aca="false">IF($A460="","",VLOOKUP($A459,Table,MATCH(J$4,Curves,0)))</f>
        <v/>
      </c>
      <c r="K459" s="201" t="str">
        <f aca="false">IF(A460="","",J459)</f>
        <v/>
      </c>
      <c r="L459" s="200" t="str">
        <f aca="false">IF($A460="","",VLOOKUP($A459,Table,MATCH(L$4,Curves,0)))</f>
        <v/>
      </c>
      <c r="M459" s="201" t="str">
        <f aca="false">IF(A460="","",L459)</f>
        <v/>
      </c>
      <c r="O459" s="200" t="str">
        <f aca="false">IF(A460="","",L459+J459+G459)</f>
        <v/>
      </c>
      <c r="P459" s="200" t="str">
        <f aca="false">IF(A460="","",M459+K459+H459)</f>
        <v/>
      </c>
      <c r="R459" s="200" t="str">
        <f aca="false">IF($A460="","",VLOOKUP($A459,Table,MATCH(R$4,Curves,0)))</f>
        <v/>
      </c>
      <c r="S459" s="201" t="str">
        <f aca="false">IF(A460="","",R459)</f>
        <v/>
      </c>
      <c r="T459" s="185" t="n">
        <v>0</v>
      </c>
      <c r="U459" s="201" t="str">
        <f aca="false">IF(A460="","",T459)</f>
        <v/>
      </c>
      <c r="V459" s="205" t="str">
        <f aca="false">IF($A460="","",IF(AND(MONTH(A459)&gt;3,MONTH(A459)&lt;11),(T459+R459+G459)*Summary!$T$11/(1-Summary!$T$11),(T459+R459+G459)*Summary!$U$11/(1-Summary!$U$11)))</f>
        <v/>
      </c>
      <c r="W459" s="202" t="str">
        <f aca="false">IF($A460="","",(T459+R459+G459+V459))</f>
        <v/>
      </c>
      <c r="X459" s="202" t="str">
        <f aca="false">IF($A460="","",(U459+S459+H459+V459))</f>
        <v/>
      </c>
      <c r="Y459" s="202"/>
      <c r="Z459" s="185"/>
      <c r="AJ459" s="77"/>
      <c r="AK459" s="77"/>
      <c r="AL459" s="77"/>
      <c r="AM459" s="77"/>
      <c r="AN459" s="77"/>
      <c r="AO459" s="137" t="str">
        <f aca="false">IF(A460="","",A460-A459)</f>
        <v/>
      </c>
      <c r="AP459" s="212" t="str">
        <f aca="false">IF(A460="","",CHOOSE(F$3,A460+24,A459))</f>
        <v/>
      </c>
      <c r="AQ459" s="209" t="str">
        <f aca="false">IF(A460="","",AP459-$E$1)</f>
        <v/>
      </c>
      <c r="AR459" s="185" t="n">
        <f aca="false">'ANR OK vs ML7'!AR459</f>
        <v>0.1</v>
      </c>
      <c r="AS459" s="213" t="str">
        <f aca="false">IF(A460="","",1/(1+CHOOSE(F$3,(AR460+($I$3/10000))/2,(AR459+($I$3/10000))/2))^(2*AQ459/365.25))</f>
        <v/>
      </c>
      <c r="AT459" s="137" t="str">
        <f aca="false">IF(A460="","",IF(AND(mthbeg&lt;=A459,mthend&gt;=A459),1,0))</f>
        <v/>
      </c>
      <c r="AU459" s="137" t="str">
        <f aca="false">IF(A460="","",AO459*AT459)</f>
        <v/>
      </c>
      <c r="AW459" s="195" t="str">
        <f aca="false">IF($A460="","",AL459*$E459)</f>
        <v/>
      </c>
      <c r="AX459" s="195" t="str">
        <f aca="false">IF($A460="","",AM459*$E459)</f>
        <v/>
      </c>
      <c r="AY459" s="195" t="str">
        <f aca="false">IF($A460="","",AN459*$E459)</f>
        <v/>
      </c>
      <c r="BA459" s="195" t="str">
        <f aca="false">IF($A460="","",F459*Summary!$Q$11)</f>
        <v/>
      </c>
    </row>
    <row r="460" customFormat="false" ht="12.75" hidden="false" customHeight="false" outlineLevel="0" collapsed="false">
      <c r="A460" s="196" t="str">
        <f aca="false">IF(A459&lt;mthend,EDATE(A459,1),"")</f>
        <v/>
      </c>
      <c r="B460" s="197" t="str">
        <f aca="false">IF(A460&lt;mthend,B459,"")</f>
        <v/>
      </c>
      <c r="D460" s="197" t="str">
        <f aca="false">IF(A461&lt;&gt;"",B460+C460,"")</f>
        <v/>
      </c>
      <c r="E460" s="199" t="str">
        <f aca="false">IF(A461="","",IF(AND(AT460=1,$H$3=1),D460*AO460,IF($H$3=2,D460,"N/A")))</f>
        <v/>
      </c>
      <c r="F460" s="199" t="str">
        <f aca="false">IF(A461="","",E460*AS460)</f>
        <v/>
      </c>
      <c r="G460" s="200" t="str">
        <f aca="false">IF($A461="","",VLOOKUP($A460,Table,MATCH(G$4,Curves,0)))</f>
        <v/>
      </c>
      <c r="H460" s="201" t="str">
        <f aca="false">IF(A461="","",G460)</f>
        <v/>
      </c>
      <c r="J460" s="200" t="str">
        <f aca="false">IF($A461="","",VLOOKUP($A460,Table,MATCH(J$4,Curves,0)))</f>
        <v/>
      </c>
      <c r="K460" s="201" t="str">
        <f aca="false">IF(A461="","",J460)</f>
        <v/>
      </c>
      <c r="L460" s="200" t="str">
        <f aca="false">IF($A461="","",VLOOKUP($A460,Table,MATCH(L$4,Curves,0)))</f>
        <v/>
      </c>
      <c r="M460" s="201" t="str">
        <f aca="false">IF(A461="","",L460)</f>
        <v/>
      </c>
      <c r="O460" s="200" t="str">
        <f aca="false">IF(A461="","",L460+J460+G460)</f>
        <v/>
      </c>
      <c r="P460" s="200" t="str">
        <f aca="false">IF(A461="","",M460+K460+H460)</f>
        <v/>
      </c>
      <c r="R460" s="200" t="str">
        <f aca="false">IF($A461="","",VLOOKUP($A460,Table,MATCH(R$4,Curves,0)))</f>
        <v/>
      </c>
      <c r="S460" s="201" t="str">
        <f aca="false">IF(A461="","",R460)</f>
        <v/>
      </c>
      <c r="T460" s="185" t="n">
        <v>0</v>
      </c>
      <c r="U460" s="201" t="str">
        <f aca="false">IF(A461="","",T460)</f>
        <v/>
      </c>
      <c r="V460" s="205" t="str">
        <f aca="false">IF($A461="","",IF(AND(MONTH(A460)&gt;3,MONTH(A460)&lt;11),(T460+R460+G460)*Summary!$T$11/(1-Summary!$T$11),(T460+R460+G460)*Summary!$U$11/(1-Summary!$U$11)))</f>
        <v/>
      </c>
      <c r="W460" s="202" t="str">
        <f aca="false">IF($A461="","",(T460+R460+G460+V460))</f>
        <v/>
      </c>
      <c r="X460" s="202" t="str">
        <f aca="false">IF($A461="","",(U460+S460+H460+V460))</f>
        <v/>
      </c>
      <c r="Y460" s="202"/>
      <c r="Z460" s="185"/>
      <c r="AJ460" s="77"/>
      <c r="AK460" s="77"/>
      <c r="AL460" s="77"/>
      <c r="AM460" s="77"/>
      <c r="AN460" s="77"/>
      <c r="AO460" s="137" t="str">
        <f aca="false">IF(A461="","",A461-A460)</f>
        <v/>
      </c>
      <c r="AP460" s="212" t="str">
        <f aca="false">IF(A461="","",CHOOSE(F$3,A461+24,A460))</f>
        <v/>
      </c>
      <c r="AQ460" s="209" t="str">
        <f aca="false">IF(A461="","",AP460-$E$1)</f>
        <v/>
      </c>
      <c r="AR460" s="185" t="n">
        <f aca="false">'ANR OK vs ML7'!AR460</f>
        <v>0.1</v>
      </c>
      <c r="AS460" s="213" t="str">
        <f aca="false">IF(A461="","",1/(1+CHOOSE(F$3,(AR461+($I$3/10000))/2,(AR460+($I$3/10000))/2))^(2*AQ460/365.25))</f>
        <v/>
      </c>
      <c r="AT460" s="137" t="str">
        <f aca="false">IF(A461="","",IF(AND(mthbeg&lt;=A460,mthend&gt;=A460),1,0))</f>
        <v/>
      </c>
      <c r="AU460" s="137" t="str">
        <f aca="false">IF(A461="","",AO460*AT460)</f>
        <v/>
      </c>
      <c r="AW460" s="195" t="str">
        <f aca="false">IF($A461="","",AL460*$E460)</f>
        <v/>
      </c>
      <c r="AX460" s="195" t="str">
        <f aca="false">IF($A461="","",AM460*$E460)</f>
        <v/>
      </c>
      <c r="AY460" s="195" t="str">
        <f aca="false">IF($A461="","",AN460*$E460)</f>
        <v/>
      </c>
      <c r="BA460" s="195" t="str">
        <f aca="false">IF($A461="","",F460*Summary!$Q$11)</f>
        <v/>
      </c>
    </row>
    <row r="461" customFormat="false" ht="12.75" hidden="false" customHeight="false" outlineLevel="0" collapsed="false">
      <c r="A461" s="196" t="str">
        <f aca="false">IF(A460&lt;mthend,EDATE(A460,1),"")</f>
        <v/>
      </c>
      <c r="B461" s="197" t="str">
        <f aca="false">IF(A461&lt;mthend,B460,"")</f>
        <v/>
      </c>
      <c r="D461" s="197" t="str">
        <f aca="false">IF(A462&lt;&gt;"",B461+C461,"")</f>
        <v/>
      </c>
      <c r="E461" s="199" t="str">
        <f aca="false">IF(A462="","",IF(AND(AT461=1,$H$3=1),D461*AO461,IF($H$3=2,D461,"N/A")))</f>
        <v/>
      </c>
      <c r="F461" s="199" t="str">
        <f aca="false">IF(A462="","",E461*AS461)</f>
        <v/>
      </c>
      <c r="G461" s="200" t="str">
        <f aca="false">IF($A462="","",VLOOKUP($A461,Table,MATCH(G$4,Curves,0)))</f>
        <v/>
      </c>
      <c r="H461" s="201" t="str">
        <f aca="false">IF(A462="","",G461)</f>
        <v/>
      </c>
      <c r="J461" s="200" t="str">
        <f aca="false">IF($A462="","",VLOOKUP($A461,Table,MATCH(J$4,Curves,0)))</f>
        <v/>
      </c>
      <c r="K461" s="201" t="str">
        <f aca="false">IF(A462="","",J461)</f>
        <v/>
      </c>
      <c r="L461" s="200" t="str">
        <f aca="false">IF($A462="","",VLOOKUP($A461,Table,MATCH(L$4,Curves,0)))</f>
        <v/>
      </c>
      <c r="M461" s="201" t="str">
        <f aca="false">IF(A462="","",L461)</f>
        <v/>
      </c>
      <c r="O461" s="200" t="str">
        <f aca="false">IF(A462="","",L461+J461+G461)</f>
        <v/>
      </c>
      <c r="P461" s="200" t="str">
        <f aca="false">IF(A462="","",M461+K461+H461)</f>
        <v/>
      </c>
      <c r="R461" s="200" t="str">
        <f aca="false">IF($A462="","",VLOOKUP($A461,Table,MATCH(R$4,Curves,0)))</f>
        <v/>
      </c>
      <c r="S461" s="201" t="str">
        <f aca="false">IF(A462="","",R461)</f>
        <v/>
      </c>
      <c r="T461" s="185" t="n">
        <v>0</v>
      </c>
      <c r="U461" s="201" t="str">
        <f aca="false">IF(A462="","",T461)</f>
        <v/>
      </c>
      <c r="V461" s="205" t="str">
        <f aca="false">IF($A462="","",IF(AND(MONTH(A461)&gt;3,MONTH(A461)&lt;11),(T461+R461+G461)*Summary!$T$11/(1-Summary!$T$11),(T461+R461+G461)*Summary!$U$11/(1-Summary!$U$11)))</f>
        <v/>
      </c>
      <c r="W461" s="202" t="str">
        <f aca="false">IF($A462="","",(T461+R461+G461+V461))</f>
        <v/>
      </c>
      <c r="X461" s="202" t="str">
        <f aca="false">IF($A462="","",(U461+S461+H461+V461))</f>
        <v/>
      </c>
      <c r="Y461" s="202"/>
      <c r="Z461" s="185"/>
      <c r="AJ461" s="77"/>
      <c r="AK461" s="77"/>
      <c r="AL461" s="77"/>
      <c r="AM461" s="77"/>
      <c r="AN461" s="77"/>
      <c r="AO461" s="137" t="str">
        <f aca="false">IF(A462="","",A462-A461)</f>
        <v/>
      </c>
      <c r="AP461" s="212" t="str">
        <f aca="false">IF(A462="","",CHOOSE(F$3,A462+24,A461))</f>
        <v/>
      </c>
      <c r="AQ461" s="209" t="str">
        <f aca="false">IF(A462="","",AP461-$E$1)</f>
        <v/>
      </c>
      <c r="AR461" s="185" t="n">
        <f aca="false">'ANR OK vs ML7'!AR461</f>
        <v>0.1</v>
      </c>
      <c r="AS461" s="213" t="str">
        <f aca="false">IF(A462="","",1/(1+CHOOSE(F$3,(AR462+($I$3/10000))/2,(AR461+($I$3/10000))/2))^(2*AQ461/365.25))</f>
        <v/>
      </c>
      <c r="AT461" s="137" t="str">
        <f aca="false">IF(A462="","",IF(AND(mthbeg&lt;=A461,mthend&gt;=A461),1,0))</f>
        <v/>
      </c>
      <c r="AU461" s="137" t="str">
        <f aca="false">IF(A462="","",AO461*AT461)</f>
        <v/>
      </c>
      <c r="AW461" s="195" t="str">
        <f aca="false">IF($A462="","",AL461*$E461)</f>
        <v/>
      </c>
      <c r="AX461" s="195" t="str">
        <f aca="false">IF($A462="","",AM461*$E461)</f>
        <v/>
      </c>
      <c r="AY461" s="195" t="str">
        <f aca="false">IF($A462="","",AN461*$E461)</f>
        <v/>
      </c>
      <c r="BA461" s="195" t="str">
        <f aca="false">IF($A462="","",F461*Summary!$Q$11)</f>
        <v/>
      </c>
    </row>
    <row r="462" customFormat="false" ht="12.75" hidden="false" customHeight="false" outlineLevel="0" collapsed="false">
      <c r="A462" s="196" t="str">
        <f aca="false">IF(A461&lt;mthend,EDATE(A461,1),"")</f>
        <v/>
      </c>
      <c r="B462" s="197" t="str">
        <f aca="false">IF(A462&lt;mthend,B461,"")</f>
        <v/>
      </c>
      <c r="D462" s="197" t="str">
        <f aca="false">IF(A463&lt;&gt;"",B462+C462,"")</f>
        <v/>
      </c>
      <c r="E462" s="199" t="str">
        <f aca="false">IF(A463="","",IF(AND(AT462=1,$H$3=1),D462*AO462,IF($H$3=2,D462,"N/A")))</f>
        <v/>
      </c>
      <c r="F462" s="199" t="str">
        <f aca="false">IF(A463="","",E462*AS462)</f>
        <v/>
      </c>
      <c r="G462" s="200" t="str">
        <f aca="false">IF($A463="","",VLOOKUP($A462,Table,MATCH(G$4,Curves,0)))</f>
        <v/>
      </c>
      <c r="H462" s="201" t="str">
        <f aca="false">IF(A463="","",G462)</f>
        <v/>
      </c>
      <c r="J462" s="200" t="str">
        <f aca="false">IF($A463="","",VLOOKUP($A462,Table,MATCH(J$4,Curves,0)))</f>
        <v/>
      </c>
      <c r="K462" s="201" t="str">
        <f aca="false">IF(A463="","",J462)</f>
        <v/>
      </c>
      <c r="L462" s="200" t="str">
        <f aca="false">IF($A463="","",VLOOKUP($A462,Table,MATCH(L$4,Curves,0)))</f>
        <v/>
      </c>
      <c r="M462" s="201" t="str">
        <f aca="false">IF(A463="","",L462)</f>
        <v/>
      </c>
      <c r="O462" s="200" t="str">
        <f aca="false">IF(A463="","",L462+J462+G462)</f>
        <v/>
      </c>
      <c r="P462" s="200" t="str">
        <f aca="false">IF(A463="","",M462+K462+H462)</f>
        <v/>
      </c>
      <c r="R462" s="200" t="str">
        <f aca="false">IF($A463="","",VLOOKUP($A462,Table,MATCH(R$4,Curves,0)))</f>
        <v/>
      </c>
      <c r="S462" s="201" t="str">
        <f aca="false">IF(A463="","",R462)</f>
        <v/>
      </c>
      <c r="T462" s="185" t="n">
        <v>0</v>
      </c>
      <c r="U462" s="201" t="str">
        <f aca="false">IF(A463="","",T462)</f>
        <v/>
      </c>
      <c r="V462" s="205" t="str">
        <f aca="false">IF($A463="","",IF(AND(MONTH(A462)&gt;3,MONTH(A462)&lt;11),(T462+R462+G462)*Summary!$T$11/(1-Summary!$T$11),(T462+R462+G462)*Summary!$U$11/(1-Summary!$U$11)))</f>
        <v/>
      </c>
      <c r="W462" s="202" t="str">
        <f aca="false">IF($A463="","",(T462+R462+G462+V462))</f>
        <v/>
      </c>
      <c r="X462" s="202" t="str">
        <f aca="false">IF($A463="","",(U462+S462+H462+V462))</f>
        <v/>
      </c>
      <c r="Y462" s="202"/>
      <c r="Z462" s="185"/>
      <c r="AJ462" s="77"/>
      <c r="AK462" s="77"/>
      <c r="AL462" s="77"/>
      <c r="AM462" s="77"/>
      <c r="AN462" s="77"/>
      <c r="AO462" s="137" t="str">
        <f aca="false">IF(A463="","",A463-A462)</f>
        <v/>
      </c>
      <c r="AP462" s="212" t="str">
        <f aca="false">IF(A463="","",CHOOSE(F$3,A463+24,A462))</f>
        <v/>
      </c>
      <c r="AQ462" s="209" t="str">
        <f aca="false">IF(A463="","",AP462-$E$1)</f>
        <v/>
      </c>
      <c r="AR462" s="185" t="n">
        <f aca="false">'ANR OK vs ML7'!AR462</f>
        <v>0.1</v>
      </c>
      <c r="AS462" s="213" t="str">
        <f aca="false">IF(A463="","",1/(1+CHOOSE(F$3,(AR463+($I$3/10000))/2,(AR462+($I$3/10000))/2))^(2*AQ462/365.25))</f>
        <v/>
      </c>
      <c r="AT462" s="137" t="str">
        <f aca="false">IF(A463="","",IF(AND(mthbeg&lt;=A462,mthend&gt;=A462),1,0))</f>
        <v/>
      </c>
      <c r="AU462" s="137" t="str">
        <f aca="false">IF(A463="","",AO462*AT462)</f>
        <v/>
      </c>
      <c r="AW462" s="195" t="str">
        <f aca="false">IF($A463="","",AL462*$E462)</f>
        <v/>
      </c>
      <c r="AX462" s="195" t="str">
        <f aca="false">IF($A463="","",AM462*$E462)</f>
        <v/>
      </c>
      <c r="AY462" s="195" t="str">
        <f aca="false">IF($A463="","",AN462*$E462)</f>
        <v/>
      </c>
      <c r="BA462" s="195" t="str">
        <f aca="false">IF($A463="","",F462*Summary!$Q$11)</f>
        <v/>
      </c>
    </row>
    <row r="463" customFormat="false" ht="12.75" hidden="false" customHeight="false" outlineLevel="0" collapsed="false">
      <c r="A463" s="196" t="str">
        <f aca="false">IF(A462&lt;mthend,EDATE(A462,1),"")</f>
        <v/>
      </c>
      <c r="B463" s="197" t="str">
        <f aca="false">IF(A463&lt;mthend,B462,"")</f>
        <v/>
      </c>
      <c r="D463" s="197" t="str">
        <f aca="false">IF(A464&lt;&gt;"",B463+C463,"")</f>
        <v/>
      </c>
      <c r="E463" s="199" t="str">
        <f aca="false">IF(A464="","",IF(AND(AT463=1,$H$3=1),D463*AO463,IF($H$3=2,D463,"N/A")))</f>
        <v/>
      </c>
      <c r="F463" s="199" t="str">
        <f aca="false">IF(A464="","",E463*AS463)</f>
        <v/>
      </c>
      <c r="G463" s="200" t="str">
        <f aca="false">IF($A464="","",VLOOKUP($A463,Table,MATCH(G$4,Curves,0)))</f>
        <v/>
      </c>
      <c r="H463" s="201" t="str">
        <f aca="false">IF(A464="","",G463)</f>
        <v/>
      </c>
      <c r="J463" s="200" t="str">
        <f aca="false">IF($A464="","",VLOOKUP($A463,Table,MATCH(J$4,Curves,0)))</f>
        <v/>
      </c>
      <c r="K463" s="201" t="str">
        <f aca="false">IF(A464="","",J463)</f>
        <v/>
      </c>
      <c r="L463" s="200" t="str">
        <f aca="false">IF($A464="","",VLOOKUP($A463,Table,MATCH(L$4,Curves,0)))</f>
        <v/>
      </c>
      <c r="M463" s="201" t="str">
        <f aca="false">IF(A464="","",L463)</f>
        <v/>
      </c>
      <c r="O463" s="200" t="str">
        <f aca="false">IF(A464="","",L463+J463+G463)</f>
        <v/>
      </c>
      <c r="P463" s="200" t="str">
        <f aca="false">IF(A464="","",M463+K463+H463)</f>
        <v/>
      </c>
      <c r="R463" s="200" t="str">
        <f aca="false">IF($A464="","",VLOOKUP($A463,Table,MATCH(R$4,Curves,0)))</f>
        <v/>
      </c>
      <c r="S463" s="201" t="str">
        <f aca="false">IF(A464="","",R463)</f>
        <v/>
      </c>
      <c r="T463" s="185" t="n">
        <v>0</v>
      </c>
      <c r="U463" s="201" t="str">
        <f aca="false">IF(A464="","",T463)</f>
        <v/>
      </c>
      <c r="V463" s="205" t="str">
        <f aca="false">IF($A464="","",IF(AND(MONTH(A463)&gt;3,MONTH(A463)&lt;11),(T463+R463+G463)*Summary!$T$11/(1-Summary!$T$11),(T463+R463+G463)*Summary!$U$11/(1-Summary!$U$11)))</f>
        <v/>
      </c>
      <c r="W463" s="202" t="str">
        <f aca="false">IF($A464="","",(T463+R463+G463+V463))</f>
        <v/>
      </c>
      <c r="X463" s="202" t="str">
        <f aca="false">IF($A464="","",(U463+S463+H463+V463))</f>
        <v/>
      </c>
      <c r="Y463" s="202"/>
      <c r="Z463" s="185"/>
      <c r="AJ463" s="77"/>
      <c r="AK463" s="77"/>
      <c r="AL463" s="77"/>
      <c r="AM463" s="77"/>
      <c r="AN463" s="77"/>
      <c r="AO463" s="137" t="str">
        <f aca="false">IF(A464="","",A464-A463)</f>
        <v/>
      </c>
      <c r="AP463" s="212" t="str">
        <f aca="false">IF(A464="","",CHOOSE(F$3,A464+24,A463))</f>
        <v/>
      </c>
      <c r="AQ463" s="209" t="str">
        <f aca="false">IF(A464="","",AP463-$E$1)</f>
        <v/>
      </c>
      <c r="AR463" s="185" t="n">
        <f aca="false">'ANR OK vs ML7'!AR463</f>
        <v>0.1</v>
      </c>
      <c r="AS463" s="213" t="str">
        <f aca="false">IF(A464="","",1/(1+CHOOSE(F$3,(AR464+($I$3/10000))/2,(AR463+($I$3/10000))/2))^(2*AQ463/365.25))</f>
        <v/>
      </c>
      <c r="AT463" s="137" t="str">
        <f aca="false">IF(A464="","",IF(AND(mthbeg&lt;=A463,mthend&gt;=A463),1,0))</f>
        <v/>
      </c>
      <c r="AU463" s="137" t="str">
        <f aca="false">IF(A464="","",AO463*AT463)</f>
        <v/>
      </c>
      <c r="AW463" s="195" t="str">
        <f aca="false">IF($A464="","",AL463*$E463)</f>
        <v/>
      </c>
      <c r="AX463" s="195" t="str">
        <f aca="false">IF($A464="","",AM463*$E463)</f>
        <v/>
      </c>
      <c r="AY463" s="195" t="str">
        <f aca="false">IF($A464="","",AN463*$E463)</f>
        <v/>
      </c>
      <c r="BA463" s="195" t="str">
        <f aca="false">IF($A464="","",F463*Summary!$Q$11)</f>
        <v/>
      </c>
    </row>
    <row r="464" customFormat="false" ht="12.75" hidden="false" customHeight="false" outlineLevel="0" collapsed="false">
      <c r="A464" s="196" t="str">
        <f aca="false">IF(A463&lt;mthend,EDATE(A463,1),"")</f>
        <v/>
      </c>
      <c r="B464" s="197" t="str">
        <f aca="false">IF(A464&lt;mthend,B463,"")</f>
        <v/>
      </c>
      <c r="D464" s="197" t="str">
        <f aca="false">IF(A465&lt;&gt;"",B464+C464,"")</f>
        <v/>
      </c>
      <c r="E464" s="199" t="str">
        <f aca="false">IF(A465="","",IF(AND(AT464=1,$H$3=1),D464*AO464,IF($H$3=2,D464,"N/A")))</f>
        <v/>
      </c>
      <c r="F464" s="199" t="str">
        <f aca="false">IF(A465="","",E464*AS464)</f>
        <v/>
      </c>
      <c r="G464" s="200" t="str">
        <f aca="false">IF($A465="","",VLOOKUP($A464,Table,MATCH(G$4,Curves,0)))</f>
        <v/>
      </c>
      <c r="H464" s="201" t="str">
        <f aca="false">IF(A465="","",G464)</f>
        <v/>
      </c>
      <c r="J464" s="200" t="str">
        <f aca="false">IF($A465="","",VLOOKUP($A464,Table,MATCH(J$4,Curves,0)))</f>
        <v/>
      </c>
      <c r="K464" s="201" t="str">
        <f aca="false">IF(A465="","",J464)</f>
        <v/>
      </c>
      <c r="L464" s="200" t="str">
        <f aca="false">IF($A465="","",VLOOKUP($A464,Table,MATCH(L$4,Curves,0)))</f>
        <v/>
      </c>
      <c r="M464" s="201" t="str">
        <f aca="false">IF(A465="","",L464)</f>
        <v/>
      </c>
      <c r="O464" s="200" t="str">
        <f aca="false">IF(A465="","",L464+J464+G464)</f>
        <v/>
      </c>
      <c r="P464" s="200" t="str">
        <f aca="false">IF(A465="","",M464+K464+H464)</f>
        <v/>
      </c>
      <c r="R464" s="200" t="str">
        <f aca="false">IF($A465="","",VLOOKUP($A464,Table,MATCH(R$4,Curves,0)))</f>
        <v/>
      </c>
      <c r="S464" s="201" t="str">
        <f aca="false">IF(A465="","",R464)</f>
        <v/>
      </c>
      <c r="T464" s="185" t="n">
        <v>0</v>
      </c>
      <c r="U464" s="201" t="str">
        <f aca="false">IF(A465="","",T464)</f>
        <v/>
      </c>
      <c r="V464" s="205" t="str">
        <f aca="false">IF($A465="","",IF(AND(MONTH(A464)&gt;3,MONTH(A464)&lt;11),(T464+R464+G464)*Summary!$T$11/(1-Summary!$T$11),(T464+R464+G464)*Summary!$U$11/(1-Summary!$U$11)))</f>
        <v/>
      </c>
      <c r="W464" s="202" t="str">
        <f aca="false">IF($A465="","",(T464+R464+G464+V464))</f>
        <v/>
      </c>
      <c r="X464" s="202" t="str">
        <f aca="false">IF($A465="","",(U464+S464+H464+V464))</f>
        <v/>
      </c>
      <c r="Y464" s="202"/>
      <c r="Z464" s="185"/>
      <c r="AJ464" s="77"/>
      <c r="AK464" s="77"/>
      <c r="AL464" s="77"/>
      <c r="AM464" s="77"/>
      <c r="AN464" s="77"/>
      <c r="AO464" s="137" t="str">
        <f aca="false">IF(A465="","",A465-A464)</f>
        <v/>
      </c>
      <c r="AP464" s="212" t="str">
        <f aca="false">IF(A465="","",CHOOSE(F$3,A465+24,A464))</f>
        <v/>
      </c>
      <c r="AQ464" s="209" t="str">
        <f aca="false">IF(A465="","",AP464-$E$1)</f>
        <v/>
      </c>
      <c r="AR464" s="185" t="n">
        <f aca="false">'ANR OK vs ML7'!AR464</f>
        <v>0.1</v>
      </c>
      <c r="AS464" s="213" t="str">
        <f aca="false">IF(A465="","",1/(1+CHOOSE(F$3,(AR465+($I$3/10000))/2,(AR464+($I$3/10000))/2))^(2*AQ464/365.25))</f>
        <v/>
      </c>
      <c r="AT464" s="137" t="str">
        <f aca="false">IF(A465="","",IF(AND(mthbeg&lt;=A464,mthend&gt;=A464),1,0))</f>
        <v/>
      </c>
      <c r="AU464" s="137" t="str">
        <f aca="false">IF(A465="","",AO464*AT464)</f>
        <v/>
      </c>
      <c r="AW464" s="195" t="str">
        <f aca="false">IF($A465="","",AL464*$E464)</f>
        <v/>
      </c>
      <c r="AX464" s="195" t="str">
        <f aca="false">IF($A465="","",AM464*$E464)</f>
        <v/>
      </c>
      <c r="AY464" s="195" t="str">
        <f aca="false">IF($A465="","",AN464*$E464)</f>
        <v/>
      </c>
      <c r="BA464" s="195" t="str">
        <f aca="false">IF($A465="","",F464*Summary!$Q$11)</f>
        <v/>
      </c>
    </row>
    <row r="465" customFormat="false" ht="12.75" hidden="false" customHeight="false" outlineLevel="0" collapsed="false">
      <c r="A465" s="196" t="str">
        <f aca="false">IF(A464&lt;mthend,EDATE(A464,1),"")</f>
        <v/>
      </c>
      <c r="B465" s="197" t="str">
        <f aca="false">IF(A465&lt;mthend,B464,"")</f>
        <v/>
      </c>
      <c r="D465" s="197" t="str">
        <f aca="false">IF(A466&lt;&gt;"",B465+C465,"")</f>
        <v/>
      </c>
      <c r="E465" s="199" t="str">
        <f aca="false">IF(A466="","",IF(AND(AT465=1,$H$3=1),D465*AO465,IF($H$3=2,D465,"N/A")))</f>
        <v/>
      </c>
      <c r="F465" s="199" t="str">
        <f aca="false">IF(A466="","",E465*AS465)</f>
        <v/>
      </c>
      <c r="G465" s="200" t="str">
        <f aca="false">IF($A466="","",VLOOKUP($A465,Table,MATCH(G$4,Curves,0)))</f>
        <v/>
      </c>
      <c r="H465" s="201" t="str">
        <f aca="false">IF(A466="","",G465)</f>
        <v/>
      </c>
      <c r="J465" s="200" t="str">
        <f aca="false">IF($A466="","",VLOOKUP($A465,Table,MATCH(J$4,Curves,0)))</f>
        <v/>
      </c>
      <c r="K465" s="201" t="str">
        <f aca="false">IF(A466="","",J465)</f>
        <v/>
      </c>
      <c r="L465" s="200" t="str">
        <f aca="false">IF($A466="","",VLOOKUP($A465,Table,MATCH(L$4,Curves,0)))</f>
        <v/>
      </c>
      <c r="M465" s="201" t="str">
        <f aca="false">IF(A466="","",L465)</f>
        <v/>
      </c>
      <c r="O465" s="200" t="str">
        <f aca="false">IF(A466="","",L465+J465+G465)</f>
        <v/>
      </c>
      <c r="P465" s="200" t="str">
        <f aca="false">IF(A466="","",M465+K465+H465)</f>
        <v/>
      </c>
      <c r="R465" s="200" t="str">
        <f aca="false">IF($A466="","",VLOOKUP($A465,Table,MATCH(R$4,Curves,0)))</f>
        <v/>
      </c>
      <c r="S465" s="201" t="str">
        <f aca="false">IF(A466="","",R465)</f>
        <v/>
      </c>
      <c r="T465" s="185" t="n">
        <v>0</v>
      </c>
      <c r="U465" s="201" t="str">
        <f aca="false">IF(A466="","",T465)</f>
        <v/>
      </c>
      <c r="V465" s="205" t="str">
        <f aca="false">IF($A466="","",IF(AND(MONTH(A465)&gt;3,MONTH(A465)&lt;11),(T465+R465+G465)*Summary!$T$11/(1-Summary!$T$11),(T465+R465+G465)*Summary!$U$11/(1-Summary!$U$11)))</f>
        <v/>
      </c>
      <c r="W465" s="202" t="str">
        <f aca="false">IF($A466="","",(T465+R465+G465+V465))</f>
        <v/>
      </c>
      <c r="X465" s="202" t="str">
        <f aca="false">IF($A466="","",(U465+S465+H465+V465))</f>
        <v/>
      </c>
      <c r="Y465" s="202"/>
      <c r="Z465" s="185"/>
      <c r="AJ465" s="77"/>
      <c r="AK465" s="77"/>
      <c r="AL465" s="77"/>
      <c r="AM465" s="77"/>
      <c r="AN465" s="77"/>
      <c r="AO465" s="137" t="str">
        <f aca="false">IF(A466="","",A466-A465)</f>
        <v/>
      </c>
      <c r="AP465" s="212" t="str">
        <f aca="false">IF(A466="","",CHOOSE(F$3,A466+24,A465))</f>
        <v/>
      </c>
      <c r="AQ465" s="209" t="str">
        <f aca="false">IF(A466="","",AP465-$E$1)</f>
        <v/>
      </c>
      <c r="AR465" s="185" t="n">
        <f aca="false">'ANR OK vs ML7'!AR465</f>
        <v>0.1</v>
      </c>
      <c r="AS465" s="213" t="str">
        <f aca="false">IF(A466="","",1/(1+CHOOSE(F$3,(AR466+($I$3/10000))/2,(AR465+($I$3/10000))/2))^(2*AQ465/365.25))</f>
        <v/>
      </c>
      <c r="AT465" s="137" t="str">
        <f aca="false">IF(A466="","",IF(AND(mthbeg&lt;=A465,mthend&gt;=A465),1,0))</f>
        <v/>
      </c>
      <c r="AU465" s="137" t="str">
        <f aca="false">IF(A466="","",AO465*AT465)</f>
        <v/>
      </c>
      <c r="AW465" s="195" t="str">
        <f aca="false">IF($A466="","",AL465*$E465)</f>
        <v/>
      </c>
      <c r="AX465" s="195" t="str">
        <f aca="false">IF($A466="","",AM465*$E465)</f>
        <v/>
      </c>
      <c r="AY465" s="195" t="str">
        <f aca="false">IF($A466="","",AN465*$E465)</f>
        <v/>
      </c>
      <c r="BA465" s="195" t="str">
        <f aca="false">IF($A466="","",F465*Summary!$Q$11)</f>
        <v/>
      </c>
    </row>
    <row r="466" customFormat="false" ht="12.75" hidden="false" customHeight="false" outlineLevel="0" collapsed="false">
      <c r="A466" s="196" t="str">
        <f aca="false">IF(A465&lt;mthend,EDATE(A465,1),"")</f>
        <v/>
      </c>
      <c r="B466" s="197" t="str">
        <f aca="false">IF(A466&lt;mthend,B465,"")</f>
        <v/>
      </c>
      <c r="D466" s="197" t="str">
        <f aca="false">IF(A467&lt;&gt;"",B466+C466,"")</f>
        <v/>
      </c>
      <c r="E466" s="199" t="str">
        <f aca="false">IF(A467="","",IF(AND(AT466=1,$H$3=1),D466*AO466,IF($H$3=2,D466,"N/A")))</f>
        <v/>
      </c>
      <c r="F466" s="199" t="str">
        <f aca="false">IF(A467="","",E466*AS466)</f>
        <v/>
      </c>
      <c r="G466" s="200" t="str">
        <f aca="false">IF($A467="","",VLOOKUP($A466,Table,MATCH(G$4,Curves,0)))</f>
        <v/>
      </c>
      <c r="H466" s="201" t="str">
        <f aca="false">IF(A467="","",G466)</f>
        <v/>
      </c>
      <c r="J466" s="200" t="str">
        <f aca="false">IF($A467="","",VLOOKUP($A466,Table,MATCH(J$4,Curves,0)))</f>
        <v/>
      </c>
      <c r="K466" s="201" t="str">
        <f aca="false">IF(A467="","",J466)</f>
        <v/>
      </c>
      <c r="L466" s="200" t="str">
        <f aca="false">IF($A467="","",VLOOKUP($A466,Table,MATCH(L$4,Curves,0)))</f>
        <v/>
      </c>
      <c r="M466" s="201" t="str">
        <f aca="false">IF(A467="","",L466)</f>
        <v/>
      </c>
      <c r="O466" s="200" t="str">
        <f aca="false">IF(A467="","",L466+J466+G466)</f>
        <v/>
      </c>
      <c r="P466" s="200" t="str">
        <f aca="false">IF(A467="","",M466+K466+H466)</f>
        <v/>
      </c>
      <c r="R466" s="200" t="str">
        <f aca="false">IF($A467="","",VLOOKUP($A466,Table,MATCH(R$4,Curves,0)))</f>
        <v/>
      </c>
      <c r="S466" s="201" t="str">
        <f aca="false">IF(A467="","",R466)</f>
        <v/>
      </c>
      <c r="T466" s="185" t="n">
        <v>0</v>
      </c>
      <c r="U466" s="201" t="str">
        <f aca="false">IF(A467="","",T466)</f>
        <v/>
      </c>
      <c r="V466" s="205" t="str">
        <f aca="false">IF($A467="","",IF(AND(MONTH(A466)&gt;3,MONTH(A466)&lt;11),(T466+R466+G466)*Summary!$T$11/(1-Summary!$T$11),(T466+R466+G466)*Summary!$U$11/(1-Summary!$U$11)))</f>
        <v/>
      </c>
      <c r="W466" s="202" t="str">
        <f aca="false">IF($A467="","",(T466+R466+G466+V466))</f>
        <v/>
      </c>
      <c r="X466" s="202" t="str">
        <f aca="false">IF($A467="","",(U466+S466+H466+V466))</f>
        <v/>
      </c>
      <c r="Y466" s="202"/>
      <c r="Z466" s="185"/>
      <c r="AJ466" s="77"/>
      <c r="AK466" s="77"/>
      <c r="AL466" s="77"/>
      <c r="AM466" s="77"/>
      <c r="AN466" s="77"/>
      <c r="AO466" s="137" t="str">
        <f aca="false">IF(A467="","",A467-A466)</f>
        <v/>
      </c>
      <c r="AP466" s="212" t="str">
        <f aca="false">IF(A467="","",CHOOSE(F$3,A467+24,A466))</f>
        <v/>
      </c>
      <c r="AQ466" s="209" t="str">
        <f aca="false">IF(A467="","",AP466-$E$1)</f>
        <v/>
      </c>
      <c r="AR466" s="185" t="n">
        <f aca="false">'ANR OK vs ML7'!AR466</f>
        <v>0.1</v>
      </c>
      <c r="AS466" s="213" t="str">
        <f aca="false">IF(A467="","",1/(1+CHOOSE(F$3,(AR467+($I$3/10000))/2,(AR466+($I$3/10000))/2))^(2*AQ466/365.25))</f>
        <v/>
      </c>
      <c r="AT466" s="137" t="str">
        <f aca="false">IF(A467="","",IF(AND(mthbeg&lt;=A466,mthend&gt;=A466),1,0))</f>
        <v/>
      </c>
      <c r="AU466" s="137" t="str">
        <f aca="false">IF(A467="","",AO466*AT466)</f>
        <v/>
      </c>
      <c r="AW466" s="195" t="str">
        <f aca="false">IF($A467="","",AL466*$E466)</f>
        <v/>
      </c>
      <c r="AX466" s="195" t="str">
        <f aca="false">IF($A467="","",AM466*$E466)</f>
        <v/>
      </c>
      <c r="AY466" s="195" t="str">
        <f aca="false">IF($A467="","",AN466*$E466)</f>
        <v/>
      </c>
      <c r="BA466" s="195" t="str">
        <f aca="false">IF($A467="","",F466*Summary!$Q$11)</f>
        <v/>
      </c>
    </row>
    <row r="467" customFormat="false" ht="12.75" hidden="false" customHeight="false" outlineLevel="0" collapsed="false">
      <c r="A467" s="196" t="str">
        <f aca="false">IF(A466&lt;mthend,EDATE(A466,1),"")</f>
        <v/>
      </c>
      <c r="B467" s="197" t="str">
        <f aca="false">IF(A467&lt;mthend,B466,"")</f>
        <v/>
      </c>
      <c r="D467" s="197" t="str">
        <f aca="false">IF(A468&lt;&gt;"",B467+C467,"")</f>
        <v/>
      </c>
      <c r="E467" s="199" t="str">
        <f aca="false">IF(A468="","",IF(AND(AT467=1,$H$3=1),D467*AO467,IF($H$3=2,D467,"N/A")))</f>
        <v/>
      </c>
      <c r="F467" s="199" t="str">
        <f aca="false">IF(A468="","",E467*AS467)</f>
        <v/>
      </c>
      <c r="G467" s="200" t="str">
        <f aca="false">IF($A468="","",VLOOKUP($A467,Table,MATCH(G$4,Curves,0)))</f>
        <v/>
      </c>
      <c r="H467" s="201" t="str">
        <f aca="false">IF(A468="","",G467)</f>
        <v/>
      </c>
      <c r="J467" s="200" t="str">
        <f aca="false">IF($A468="","",VLOOKUP($A467,Table,MATCH(J$4,Curves,0)))</f>
        <v/>
      </c>
      <c r="K467" s="201" t="str">
        <f aca="false">IF(A468="","",J467)</f>
        <v/>
      </c>
      <c r="L467" s="200" t="str">
        <f aca="false">IF($A468="","",VLOOKUP($A467,Table,MATCH(L$4,Curves,0)))</f>
        <v/>
      </c>
      <c r="M467" s="201" t="str">
        <f aca="false">IF(A468="","",L467)</f>
        <v/>
      </c>
      <c r="O467" s="200" t="str">
        <f aca="false">IF(A468="","",L467+J467+G467)</f>
        <v/>
      </c>
      <c r="P467" s="200" t="str">
        <f aca="false">IF(A468="","",M467+K467+H467)</f>
        <v/>
      </c>
      <c r="R467" s="200" t="str">
        <f aca="false">IF($A468="","",VLOOKUP($A467,Table,MATCH(R$4,Curves,0)))</f>
        <v/>
      </c>
      <c r="S467" s="201" t="str">
        <f aca="false">IF(A468="","",R467)</f>
        <v/>
      </c>
      <c r="T467" s="185" t="n">
        <v>0</v>
      </c>
      <c r="U467" s="201" t="str">
        <f aca="false">IF(A468="","",T467)</f>
        <v/>
      </c>
      <c r="V467" s="205" t="str">
        <f aca="false">IF($A468="","",IF(AND(MONTH(A467)&gt;3,MONTH(A467)&lt;11),(T467+R467+G467)*Summary!$T$11/(1-Summary!$T$11),(T467+R467+G467)*Summary!$U$11/(1-Summary!$U$11)))</f>
        <v/>
      </c>
      <c r="W467" s="202" t="str">
        <f aca="false">IF($A468="","",(T467+R467+G467+V467))</f>
        <v/>
      </c>
      <c r="X467" s="202" t="str">
        <f aca="false">IF($A468="","",(U467+S467+H467+V467))</f>
        <v/>
      </c>
      <c r="Y467" s="202"/>
      <c r="Z467" s="185"/>
      <c r="AJ467" s="77"/>
      <c r="AK467" s="77"/>
      <c r="AL467" s="77"/>
      <c r="AM467" s="77"/>
      <c r="AN467" s="77"/>
      <c r="AO467" s="137" t="str">
        <f aca="false">IF(A468="","",A468-A467)</f>
        <v/>
      </c>
      <c r="AP467" s="212" t="str">
        <f aca="false">IF(A468="","",CHOOSE(F$3,A468+24,A467))</f>
        <v/>
      </c>
      <c r="AQ467" s="209" t="str">
        <f aca="false">IF(A468="","",AP467-$E$1)</f>
        <v/>
      </c>
      <c r="AR467" s="185" t="n">
        <f aca="false">'ANR OK vs ML7'!AR467</f>
        <v>0.1</v>
      </c>
      <c r="AS467" s="213" t="str">
        <f aca="false">IF(A468="","",1/(1+CHOOSE(F$3,(AR468+($I$3/10000))/2,(AR467+($I$3/10000))/2))^(2*AQ467/365.25))</f>
        <v/>
      </c>
      <c r="AT467" s="137" t="str">
        <f aca="false">IF(A468="","",IF(AND(mthbeg&lt;=A467,mthend&gt;=A467),1,0))</f>
        <v/>
      </c>
      <c r="AU467" s="137" t="str">
        <f aca="false">IF(A468="","",AO467*AT467)</f>
        <v/>
      </c>
      <c r="AW467" s="195" t="str">
        <f aca="false">IF($A468="","",AL467*$E467)</f>
        <v/>
      </c>
      <c r="AX467" s="195" t="str">
        <f aca="false">IF($A468="","",AM467*$E467)</f>
        <v/>
      </c>
      <c r="AY467" s="195" t="str">
        <f aca="false">IF($A468="","",AN467*$E467)</f>
        <v/>
      </c>
      <c r="BA467" s="195" t="str">
        <f aca="false">IF($A468="","",F467*Summary!$Q$11)</f>
        <v/>
      </c>
    </row>
    <row r="468" customFormat="false" ht="12.75" hidden="false" customHeight="false" outlineLevel="0" collapsed="false">
      <c r="A468" s="196" t="str">
        <f aca="false">IF(A467&lt;mthend,EDATE(A467,1),"")</f>
        <v/>
      </c>
      <c r="B468" s="197" t="str">
        <f aca="false">IF(A468&lt;mthend,B467,"")</f>
        <v/>
      </c>
      <c r="D468" s="197" t="str">
        <f aca="false">IF(A469&lt;&gt;"",B468+C468,"")</f>
        <v/>
      </c>
      <c r="E468" s="199" t="str">
        <f aca="false">IF(A469="","",IF(AND(AT468=1,$H$3=1),D468*AO468,IF($H$3=2,D468,"N/A")))</f>
        <v/>
      </c>
      <c r="F468" s="199" t="str">
        <f aca="false">IF(A469="","",E468*AS468)</f>
        <v/>
      </c>
      <c r="G468" s="200" t="str">
        <f aca="false">IF($A469="","",VLOOKUP($A468,Table,MATCH(G$4,Curves,0)))</f>
        <v/>
      </c>
      <c r="H468" s="201" t="str">
        <f aca="false">IF(A469="","",G468)</f>
        <v/>
      </c>
      <c r="J468" s="200" t="str">
        <f aca="false">IF($A469="","",VLOOKUP($A468,Table,MATCH(J$4,Curves,0)))</f>
        <v/>
      </c>
      <c r="K468" s="201" t="str">
        <f aca="false">IF(A469="","",J468)</f>
        <v/>
      </c>
      <c r="L468" s="200" t="str">
        <f aca="false">IF($A469="","",VLOOKUP($A468,Table,MATCH(L$4,Curves,0)))</f>
        <v/>
      </c>
      <c r="M468" s="201" t="str">
        <f aca="false">IF(A469="","",L468)</f>
        <v/>
      </c>
      <c r="O468" s="200" t="str">
        <f aca="false">IF(A469="","",L468+J468+G468)</f>
        <v/>
      </c>
      <c r="P468" s="200" t="str">
        <f aca="false">IF(A469="","",M468+K468+H468)</f>
        <v/>
      </c>
      <c r="R468" s="200" t="str">
        <f aca="false">IF($A469="","",VLOOKUP($A468,Table,MATCH(R$4,Curves,0)))</f>
        <v/>
      </c>
      <c r="S468" s="201" t="str">
        <f aca="false">IF(A469="","",R468)</f>
        <v/>
      </c>
      <c r="T468" s="185" t="n">
        <v>0</v>
      </c>
      <c r="U468" s="201" t="str">
        <f aca="false">IF(A469="","",T468)</f>
        <v/>
      </c>
      <c r="V468" s="205" t="str">
        <f aca="false">IF($A469="","",IF(AND(MONTH(A468)&gt;3,MONTH(A468)&lt;11),(T468+R468+G468)*Summary!$T$11/(1-Summary!$T$11),(T468+R468+G468)*Summary!$U$11/(1-Summary!$U$11)))</f>
        <v/>
      </c>
      <c r="W468" s="202" t="str">
        <f aca="false">IF($A469="","",(T468+R468+G468+V468))</f>
        <v/>
      </c>
      <c r="X468" s="202" t="str">
        <f aca="false">IF($A469="","",(U468+S468+H468+V468))</f>
        <v/>
      </c>
      <c r="Y468" s="202"/>
      <c r="Z468" s="185"/>
      <c r="AJ468" s="77"/>
      <c r="AK468" s="77"/>
      <c r="AL468" s="77"/>
      <c r="AM468" s="77"/>
      <c r="AN468" s="77"/>
      <c r="AO468" s="137" t="str">
        <f aca="false">IF(A469="","",A469-A468)</f>
        <v/>
      </c>
      <c r="AP468" s="212" t="str">
        <f aca="false">IF(A469="","",CHOOSE(F$3,A469+24,A468))</f>
        <v/>
      </c>
      <c r="AQ468" s="209" t="str">
        <f aca="false">IF(A469="","",AP468-$E$1)</f>
        <v/>
      </c>
      <c r="AR468" s="185" t="n">
        <f aca="false">'ANR OK vs ML7'!AR468</f>
        <v>0.1</v>
      </c>
      <c r="AS468" s="213" t="str">
        <f aca="false">IF(A469="","",1/(1+CHOOSE(F$3,(AR469+($I$3/10000))/2,(AR468+($I$3/10000))/2))^(2*AQ468/365.25))</f>
        <v/>
      </c>
      <c r="AT468" s="137" t="str">
        <f aca="false">IF(A469="","",IF(AND(mthbeg&lt;=A468,mthend&gt;=A468),1,0))</f>
        <v/>
      </c>
      <c r="AU468" s="137" t="str">
        <f aca="false">IF(A469="","",AO468*AT468)</f>
        <v/>
      </c>
      <c r="AW468" s="195" t="str">
        <f aca="false">IF($A469="","",AL468*$E468)</f>
        <v/>
      </c>
      <c r="AX468" s="195" t="str">
        <f aca="false">IF($A469="","",AM468*$E468)</f>
        <v/>
      </c>
      <c r="AY468" s="195" t="str">
        <f aca="false">IF($A469="","",AN468*$E468)</f>
        <v/>
      </c>
      <c r="BA468" s="195" t="str">
        <f aca="false">IF($A469="","",F468*Summary!$Q$11)</f>
        <v/>
      </c>
    </row>
    <row r="469" customFormat="false" ht="12.75" hidden="false" customHeight="false" outlineLevel="0" collapsed="false">
      <c r="A469" s="196" t="str">
        <f aca="false">IF(A468&lt;mthend,EDATE(A468,1),"")</f>
        <v/>
      </c>
      <c r="B469" s="197" t="str">
        <f aca="false">IF(A469&lt;mthend,B468,"")</f>
        <v/>
      </c>
      <c r="D469" s="197" t="str">
        <f aca="false">IF(A470&lt;&gt;"",B469+C469,"")</f>
        <v/>
      </c>
      <c r="E469" s="199" t="str">
        <f aca="false">IF(A470="","",IF(AND(AT469=1,$H$3=1),D469*AO469,IF($H$3=2,D469,"N/A")))</f>
        <v/>
      </c>
      <c r="F469" s="199" t="str">
        <f aca="false">IF(A470="","",E469*AS469)</f>
        <v/>
      </c>
      <c r="G469" s="200" t="str">
        <f aca="false">IF($A470="","",VLOOKUP($A469,Table,MATCH(G$4,Curves,0)))</f>
        <v/>
      </c>
      <c r="H469" s="201" t="str">
        <f aca="false">IF(A470="","",G469)</f>
        <v/>
      </c>
      <c r="J469" s="200" t="str">
        <f aca="false">IF($A470="","",VLOOKUP($A469,Table,MATCH(J$4,Curves,0)))</f>
        <v/>
      </c>
      <c r="K469" s="201" t="str">
        <f aca="false">IF(A470="","",J469)</f>
        <v/>
      </c>
      <c r="L469" s="200" t="str">
        <f aca="false">IF($A470="","",VLOOKUP($A469,Table,MATCH(L$4,Curves,0)))</f>
        <v/>
      </c>
      <c r="M469" s="201" t="str">
        <f aca="false">IF(A470="","",L469)</f>
        <v/>
      </c>
      <c r="O469" s="200" t="str">
        <f aca="false">IF(A470="","",L469+J469+G469)</f>
        <v/>
      </c>
      <c r="P469" s="200" t="str">
        <f aca="false">IF(A470="","",M469+K469+H469)</f>
        <v/>
      </c>
      <c r="R469" s="200" t="str">
        <f aca="false">IF($A470="","",VLOOKUP($A469,Table,MATCH(R$4,Curves,0)))</f>
        <v/>
      </c>
      <c r="S469" s="201" t="str">
        <f aca="false">IF(A470="","",R469)</f>
        <v/>
      </c>
      <c r="T469" s="185" t="n">
        <v>0</v>
      </c>
      <c r="U469" s="201" t="str">
        <f aca="false">IF(A470="","",T469)</f>
        <v/>
      </c>
      <c r="V469" s="205" t="str">
        <f aca="false">IF($A470="","",IF(AND(MONTH(A469)&gt;3,MONTH(A469)&lt;11),(T469+R469+G469)*Summary!$T$11/(1-Summary!$T$11),(T469+R469+G469)*Summary!$U$11/(1-Summary!$U$11)))</f>
        <v/>
      </c>
      <c r="W469" s="202" t="str">
        <f aca="false">IF($A470="","",(T469+R469+G469+V469))</f>
        <v/>
      </c>
      <c r="X469" s="202" t="str">
        <f aca="false">IF($A470="","",(U469+S469+H469+V469))</f>
        <v/>
      </c>
      <c r="Y469" s="202"/>
      <c r="Z469" s="185"/>
      <c r="AJ469" s="77"/>
      <c r="AK469" s="77"/>
      <c r="AL469" s="77"/>
      <c r="AM469" s="77"/>
      <c r="AN469" s="77"/>
      <c r="AO469" s="137" t="str">
        <f aca="false">IF(A470="","",A470-A469)</f>
        <v/>
      </c>
      <c r="AP469" s="212" t="str">
        <f aca="false">IF(A470="","",CHOOSE(F$3,A470+24,A469))</f>
        <v/>
      </c>
      <c r="AQ469" s="209" t="str">
        <f aca="false">IF(A470="","",AP469-$E$1)</f>
        <v/>
      </c>
      <c r="AR469" s="185" t="n">
        <f aca="false">'ANR OK vs ML7'!AR469</f>
        <v>0.1</v>
      </c>
      <c r="AS469" s="213" t="str">
        <f aca="false">IF(A470="","",1/(1+CHOOSE(F$3,(AR470+($I$3/10000))/2,(AR469+($I$3/10000))/2))^(2*AQ469/365.25))</f>
        <v/>
      </c>
      <c r="AT469" s="137" t="str">
        <f aca="false">IF(A470="","",IF(AND(mthbeg&lt;=A469,mthend&gt;=A469),1,0))</f>
        <v/>
      </c>
      <c r="AU469" s="137" t="str">
        <f aca="false">IF(A470="","",AO469*AT469)</f>
        <v/>
      </c>
      <c r="AW469" s="195" t="str">
        <f aca="false">IF($A470="","",AL469*$E469)</f>
        <v/>
      </c>
      <c r="AX469" s="195" t="str">
        <f aca="false">IF($A470="","",AM469*$E469)</f>
        <v/>
      </c>
      <c r="AY469" s="195" t="str">
        <f aca="false">IF($A470="","",AN469*$E469)</f>
        <v/>
      </c>
      <c r="BA469" s="195" t="str">
        <f aca="false">IF($A470="","",F469*Summary!$Q$11)</f>
        <v/>
      </c>
    </row>
    <row r="470" customFormat="false" ht="12.75" hidden="false" customHeight="false" outlineLevel="0" collapsed="false">
      <c r="A470" s="196" t="str">
        <f aca="false">IF(A469&lt;mthend,EDATE(A469,1),"")</f>
        <v/>
      </c>
      <c r="B470" s="197" t="str">
        <f aca="false">IF(A470&lt;mthend,B469,"")</f>
        <v/>
      </c>
      <c r="D470" s="197" t="str">
        <f aca="false">IF(A471&lt;&gt;"",B470+C470,"")</f>
        <v/>
      </c>
      <c r="E470" s="199" t="str">
        <f aca="false">IF(A471="","",IF(AND(AT470=1,$H$3=1),D470*AO470,IF($H$3=2,D470,"N/A")))</f>
        <v/>
      </c>
      <c r="F470" s="199" t="str">
        <f aca="false">IF(A471="","",E470*AS470)</f>
        <v/>
      </c>
      <c r="G470" s="200" t="str">
        <f aca="false">IF($A471="","",VLOOKUP($A470,Table,MATCH(G$4,Curves,0)))</f>
        <v/>
      </c>
      <c r="H470" s="201" t="str">
        <f aca="false">IF(A471="","",G470)</f>
        <v/>
      </c>
      <c r="J470" s="200" t="str">
        <f aca="false">IF($A471="","",VLOOKUP($A470,Table,MATCH(J$4,Curves,0)))</f>
        <v/>
      </c>
      <c r="K470" s="201" t="str">
        <f aca="false">IF(A471="","",J470)</f>
        <v/>
      </c>
      <c r="L470" s="200" t="str">
        <f aca="false">IF($A471="","",VLOOKUP($A470,Table,MATCH(L$4,Curves,0)))</f>
        <v/>
      </c>
      <c r="M470" s="201" t="str">
        <f aca="false">IF(A471="","",L470)</f>
        <v/>
      </c>
      <c r="O470" s="200" t="str">
        <f aca="false">IF(A471="","",L470+J470+G470)</f>
        <v/>
      </c>
      <c r="P470" s="200" t="str">
        <f aca="false">IF(A471="","",M470+K470+H470)</f>
        <v/>
      </c>
      <c r="R470" s="200" t="str">
        <f aca="false">IF($A471="","",VLOOKUP($A470,Table,MATCH(R$4,Curves,0)))</f>
        <v/>
      </c>
      <c r="S470" s="201" t="str">
        <f aca="false">IF(A471="","",R470)</f>
        <v/>
      </c>
      <c r="T470" s="185" t="n">
        <v>0</v>
      </c>
      <c r="U470" s="201" t="str">
        <f aca="false">IF(A471="","",T470)</f>
        <v/>
      </c>
      <c r="V470" s="205" t="str">
        <f aca="false">IF($A471="","",IF(AND(MONTH(A470)&gt;3,MONTH(A470)&lt;11),(T470+R470+G470)*Summary!$T$11/(1-Summary!$T$11),(T470+R470+G470)*Summary!$U$11/(1-Summary!$U$11)))</f>
        <v/>
      </c>
      <c r="W470" s="202" t="str">
        <f aca="false">IF($A471="","",(T470+R470+G470+V470))</f>
        <v/>
      </c>
      <c r="X470" s="202" t="str">
        <f aca="false">IF($A471="","",(U470+S470+H470+V470))</f>
        <v/>
      </c>
      <c r="Y470" s="202"/>
      <c r="Z470" s="185"/>
      <c r="AJ470" s="77"/>
      <c r="AK470" s="77"/>
      <c r="AL470" s="77"/>
      <c r="AM470" s="77"/>
      <c r="AN470" s="77"/>
      <c r="AO470" s="137" t="str">
        <f aca="false">IF(A471="","",A471-A470)</f>
        <v/>
      </c>
      <c r="AP470" s="212" t="str">
        <f aca="false">IF(A471="","",CHOOSE(F$3,A471+24,A470))</f>
        <v/>
      </c>
      <c r="AQ470" s="209" t="str">
        <f aca="false">IF(A471="","",AP470-$E$1)</f>
        <v/>
      </c>
      <c r="AR470" s="185" t="n">
        <f aca="false">'ANR OK vs ML7'!AR470</f>
        <v>0.1</v>
      </c>
      <c r="AS470" s="213" t="str">
        <f aca="false">IF(A471="","",1/(1+CHOOSE(F$3,(AR471+($I$3/10000))/2,(AR470+($I$3/10000))/2))^(2*AQ470/365.25))</f>
        <v/>
      </c>
      <c r="AT470" s="137" t="str">
        <f aca="false">IF(A471="","",IF(AND(mthbeg&lt;=A470,mthend&gt;=A470),1,0))</f>
        <v/>
      </c>
      <c r="AU470" s="137" t="str">
        <f aca="false">IF(A471="","",AO470*AT470)</f>
        <v/>
      </c>
      <c r="AW470" s="195" t="str">
        <f aca="false">IF($A471="","",AL470*$E470)</f>
        <v/>
      </c>
      <c r="AX470" s="195" t="str">
        <f aca="false">IF($A471="","",AM470*$E470)</f>
        <v/>
      </c>
      <c r="AY470" s="195" t="str">
        <f aca="false">IF($A471="","",AN470*$E470)</f>
        <v/>
      </c>
      <c r="BA470" s="195" t="str">
        <f aca="false">IF($A471="","",F470*Summary!$Q$11)</f>
        <v/>
      </c>
    </row>
    <row r="471" customFormat="false" ht="12.75" hidden="false" customHeight="false" outlineLevel="0" collapsed="false">
      <c r="A471" s="196" t="str">
        <f aca="false">IF(A470&lt;mthend,EDATE(A470,1),"")</f>
        <v/>
      </c>
      <c r="B471" s="197" t="str">
        <f aca="false">IF(A471&lt;mthend,B470,"")</f>
        <v/>
      </c>
      <c r="D471" s="197" t="str">
        <f aca="false">IF(A472&lt;&gt;"",B471+C471,"")</f>
        <v/>
      </c>
      <c r="E471" s="199" t="str">
        <f aca="false">IF(A472="","",IF(AND(AT471=1,$H$3=1),D471*AO471,IF($H$3=2,D471,"N/A")))</f>
        <v/>
      </c>
      <c r="F471" s="199" t="str">
        <f aca="false">IF(A472="","",E471*AS471)</f>
        <v/>
      </c>
      <c r="G471" s="200" t="str">
        <f aca="false">IF($A472="","",VLOOKUP($A471,Table,MATCH(G$4,Curves,0)))</f>
        <v/>
      </c>
      <c r="H471" s="201" t="str">
        <f aca="false">IF(A472="","",G471)</f>
        <v/>
      </c>
      <c r="J471" s="200" t="str">
        <f aca="false">IF($A472="","",VLOOKUP($A471,Table,MATCH(J$4,Curves,0)))</f>
        <v/>
      </c>
      <c r="K471" s="201" t="str">
        <f aca="false">IF(A472="","",J471)</f>
        <v/>
      </c>
      <c r="L471" s="200" t="str">
        <f aca="false">IF($A472="","",VLOOKUP($A471,Table,MATCH(L$4,Curves,0)))</f>
        <v/>
      </c>
      <c r="M471" s="201" t="str">
        <f aca="false">IF(A472="","",L471)</f>
        <v/>
      </c>
      <c r="O471" s="200" t="str">
        <f aca="false">IF(A472="","",L471+J471+G471)</f>
        <v/>
      </c>
      <c r="P471" s="200" t="str">
        <f aca="false">IF(A472="","",M471+K471+H471)</f>
        <v/>
      </c>
      <c r="R471" s="200" t="str">
        <f aca="false">IF($A472="","",VLOOKUP($A471,Table,MATCH(R$4,Curves,0)))</f>
        <v/>
      </c>
      <c r="S471" s="201" t="str">
        <f aca="false">IF(A472="","",R471)</f>
        <v/>
      </c>
      <c r="T471" s="185" t="n">
        <v>0</v>
      </c>
      <c r="U471" s="201" t="str">
        <f aca="false">IF(A472="","",T471)</f>
        <v/>
      </c>
      <c r="V471" s="205" t="str">
        <f aca="false">IF($A472="","",IF(AND(MONTH(A471)&gt;3,MONTH(A471)&lt;11),(T471+R471+G471)*Summary!$T$11/(1-Summary!$T$11),(T471+R471+G471)*Summary!$U$11/(1-Summary!$U$11)))</f>
        <v/>
      </c>
      <c r="W471" s="202" t="str">
        <f aca="false">IF($A472="","",(T471+R471+G471+V471))</f>
        <v/>
      </c>
      <c r="X471" s="202" t="str">
        <f aca="false">IF($A472="","",(U471+S471+H471+V471))</f>
        <v/>
      </c>
      <c r="Y471" s="202"/>
      <c r="Z471" s="21"/>
      <c r="AJ471" s="77"/>
      <c r="AK471" s="77"/>
      <c r="AL471" s="77"/>
      <c r="AM471" s="77"/>
      <c r="AN471" s="77"/>
      <c r="AO471" s="137" t="str">
        <f aca="false">IF(A472="","",A472-A471)</f>
        <v/>
      </c>
      <c r="AP471" s="212" t="str">
        <f aca="false">IF(A472="","",CHOOSE(F$3,A472+24,A471))</f>
        <v/>
      </c>
      <c r="AQ471" s="209" t="str">
        <f aca="false">IF(A472="","",AP471-$E$1)</f>
        <v/>
      </c>
      <c r="AR471" s="185" t="n">
        <f aca="false">'ANR OK vs ML7'!AR471</f>
        <v>0.1</v>
      </c>
      <c r="AS471" s="213" t="str">
        <f aca="false">IF(A472="","",1/(1+CHOOSE(F$3,(AR472+($I$3/10000))/2,(AR471+($I$3/10000))/2))^(2*AQ471/365.25))</f>
        <v/>
      </c>
      <c r="AT471" s="137" t="str">
        <f aca="false">IF(A472="","",IF(AND(mthbeg&lt;=A471,mthend&gt;=A471),1,0))</f>
        <v/>
      </c>
      <c r="AU471" s="137" t="str">
        <f aca="false">IF(A472="","",AO471*AT471)</f>
        <v/>
      </c>
      <c r="AW471" s="195" t="str">
        <f aca="false">IF($A472="","",AL471*$E471)</f>
        <v/>
      </c>
      <c r="AX471" s="195" t="str">
        <f aca="false">IF($A472="","",AM471*$E471)</f>
        <v/>
      </c>
      <c r="AY471" s="195" t="str">
        <f aca="false">IF($A472="","",AN471*$E471)</f>
        <v/>
      </c>
      <c r="BA471" s="195" t="str">
        <f aca="false">IF($A472="","",F471*Summary!$Q$11)</f>
        <v/>
      </c>
    </row>
    <row r="472" customFormat="false" ht="12.75" hidden="false" customHeight="false" outlineLevel="0" collapsed="false">
      <c r="A472" s="196" t="str">
        <f aca="false">IF(A471&lt;mthend,EDATE(A471,1),"")</f>
        <v/>
      </c>
      <c r="B472" s="197" t="str">
        <f aca="false">IF(A472&lt;mthend,B471,"")</f>
        <v/>
      </c>
      <c r="D472" s="197" t="str">
        <f aca="false">IF(A473&lt;&gt;"",B472+C472,"")</f>
        <v/>
      </c>
      <c r="E472" s="199" t="str">
        <f aca="false">IF(A473="","",IF(AND(AT472=1,$H$3=1),D472*AO472,IF($H$3=2,D472,"N/A")))</f>
        <v/>
      </c>
      <c r="F472" s="199" t="str">
        <f aca="false">IF(A473="","",E472*AS472)</f>
        <v/>
      </c>
      <c r="G472" s="200" t="str">
        <f aca="false">IF($A473="","",VLOOKUP($A472,Table,MATCH(G$4,Curves,0)))</f>
        <v/>
      </c>
      <c r="H472" s="201" t="str">
        <f aca="false">IF(A473="","",G472)</f>
        <v/>
      </c>
      <c r="J472" s="200" t="str">
        <f aca="false">IF($A473="","",VLOOKUP($A472,Table,MATCH(J$4,Curves,0)))</f>
        <v/>
      </c>
      <c r="K472" s="201" t="str">
        <f aca="false">IF(A473="","",J472)</f>
        <v/>
      </c>
      <c r="L472" s="200" t="str">
        <f aca="false">IF($A473="","",VLOOKUP($A472,Table,MATCH(L$4,Curves,0)))</f>
        <v/>
      </c>
      <c r="M472" s="201" t="str">
        <f aca="false">IF(A473="","",L472)</f>
        <v/>
      </c>
      <c r="O472" s="200" t="str">
        <f aca="false">IF(A473="","",L472+J472+G472)</f>
        <v/>
      </c>
      <c r="P472" s="200" t="str">
        <f aca="false">IF(A473="","",M472+K472+H472)</f>
        <v/>
      </c>
      <c r="R472" s="200" t="str">
        <f aca="false">IF($A473="","",VLOOKUP($A472,Table,MATCH(R$4,Curves,0)))</f>
        <v/>
      </c>
      <c r="S472" s="201" t="str">
        <f aca="false">IF(A473="","",R472)</f>
        <v/>
      </c>
      <c r="T472" s="185" t="n">
        <v>0</v>
      </c>
      <c r="U472" s="201" t="str">
        <f aca="false">IF(A473="","",T472)</f>
        <v/>
      </c>
      <c r="V472" s="205" t="str">
        <f aca="false">IF($A473="","",IF(AND(MONTH(A472)&gt;3,MONTH(A472)&lt;11),(T472+R472+G472)*Summary!$T$11/(1-Summary!$T$11),(T472+R472+G472)*Summary!$U$11/(1-Summary!$U$11)))</f>
        <v/>
      </c>
      <c r="W472" s="202" t="str">
        <f aca="false">IF($A473="","",(T472+R472+G472+V472))</f>
        <v/>
      </c>
      <c r="X472" s="202" t="str">
        <f aca="false">IF($A473="","",(U472+S472+H472+V472))</f>
        <v/>
      </c>
      <c r="Y472" s="202"/>
      <c r="AJ472" s="77"/>
      <c r="AK472" s="77"/>
      <c r="AL472" s="77"/>
      <c r="AM472" s="77"/>
      <c r="AN472" s="77"/>
      <c r="AO472" s="137" t="str">
        <f aca="false">IF(A473="","",A473-A472)</f>
        <v/>
      </c>
      <c r="AP472" s="212" t="str">
        <f aca="false">IF(A473="","",CHOOSE(F$3,A473+24,A472))</f>
        <v/>
      </c>
      <c r="AQ472" s="209" t="str">
        <f aca="false">IF(A473="","",AP472-$E$1)</f>
        <v/>
      </c>
      <c r="AR472" s="185" t="n">
        <f aca="false">'ANR OK vs ML7'!AR472</f>
        <v>0.1</v>
      </c>
      <c r="AS472" s="213" t="str">
        <f aca="false">IF(A473="","",1/(1+CHOOSE(F$3,(AR473+($I$3/10000))/2,(AR472+($I$3/10000))/2))^(2*AQ472/365.25))</f>
        <v/>
      </c>
      <c r="AT472" s="137" t="str">
        <f aca="false">IF(A473="","",IF(AND(mthbeg&lt;=A472,mthend&gt;=A472),1,0))</f>
        <v/>
      </c>
      <c r="AU472" s="137" t="str">
        <f aca="false">IF(A473="","",AO472*AT472)</f>
        <v/>
      </c>
      <c r="AW472" s="195" t="str">
        <f aca="false">IF($A473="","",AL472*$E472)</f>
        <v/>
      </c>
      <c r="AX472" s="195" t="str">
        <f aca="false">IF($A473="","",AM472*$E472)</f>
        <v/>
      </c>
      <c r="AY472" s="195" t="str">
        <f aca="false">IF($A473="","",AN472*$E472)</f>
        <v/>
      </c>
      <c r="BA472" s="195" t="str">
        <f aca="false">IF($A473="","",F472*Summary!$Q$11)</f>
        <v/>
      </c>
    </row>
    <row r="473" customFormat="false" ht="12.75" hidden="false" customHeight="false" outlineLevel="0" collapsed="false">
      <c r="A473" s="196" t="str">
        <f aca="false">IF(A472&lt;mthend,EDATE(A472,1),"")</f>
        <v/>
      </c>
      <c r="B473" s="197" t="str">
        <f aca="false">IF(A473&lt;mthend,B472,"")</f>
        <v/>
      </c>
      <c r="D473" s="197" t="str">
        <f aca="false">IF(A474&lt;&gt;"",B473+C473,"")</f>
        <v/>
      </c>
      <c r="E473" s="199" t="str">
        <f aca="false">IF(A474="","",IF(AND(AT473=1,$H$3=1),D473*AO473,IF($H$3=2,D473,"N/A")))</f>
        <v/>
      </c>
      <c r="F473" s="199" t="str">
        <f aca="false">IF(A474="","",E473*AS473)</f>
        <v/>
      </c>
      <c r="G473" s="200" t="str">
        <f aca="false">IF($A474="","",VLOOKUP($A473,Table,MATCH(G$4,Curves,0)))</f>
        <v/>
      </c>
      <c r="H473" s="201" t="str">
        <f aca="false">IF(A474="","",G473)</f>
        <v/>
      </c>
      <c r="J473" s="200" t="str">
        <f aca="false">IF($A474="","",VLOOKUP($A473,Table,MATCH(J$4,Curves,0)))</f>
        <v/>
      </c>
      <c r="K473" s="201" t="str">
        <f aca="false">IF(A474="","",J473)</f>
        <v/>
      </c>
      <c r="L473" s="200" t="str">
        <f aca="false">IF($A474="","",VLOOKUP($A473,Table,MATCH(L$4,Curves,0)))</f>
        <v/>
      </c>
      <c r="M473" s="201" t="str">
        <f aca="false">IF(A474="","",L473)</f>
        <v/>
      </c>
      <c r="O473" s="200" t="str">
        <f aca="false">IF(A474="","",L473+J473+G473)</f>
        <v/>
      </c>
      <c r="P473" s="200" t="str">
        <f aca="false">IF(A474="","",M473+K473+H473)</f>
        <v/>
      </c>
      <c r="R473" s="200" t="str">
        <f aca="false">IF($A474="","",VLOOKUP($A473,Table,MATCH(R$4,Curves,0)))</f>
        <v/>
      </c>
      <c r="S473" s="201" t="str">
        <f aca="false">IF(A474="","",R473)</f>
        <v/>
      </c>
      <c r="T473" s="185" t="n">
        <v>0</v>
      </c>
      <c r="U473" s="201" t="str">
        <f aca="false">IF(A474="","",T473)</f>
        <v/>
      </c>
      <c r="V473" s="205" t="str">
        <f aca="false">IF($A474="","",IF(AND(MONTH(A473)&gt;3,MONTH(A473)&lt;11),(T473+R473+G473)*Summary!$T$11/(1-Summary!$T$11),(T473+R473+G473)*Summary!$U$11/(1-Summary!$U$11)))</f>
        <v/>
      </c>
      <c r="W473" s="202" t="str">
        <f aca="false">IF($A474="","",(T473+R473+G473+V473))</f>
        <v/>
      </c>
      <c r="X473" s="202" t="str">
        <f aca="false">IF($A474="","",(U473+S473+H473+V473))</f>
        <v/>
      </c>
      <c r="Y473" s="202"/>
      <c r="AJ473" s="77"/>
      <c r="AK473" s="77"/>
      <c r="AL473" s="77"/>
      <c r="AM473" s="77"/>
      <c r="AN473" s="77"/>
      <c r="AO473" s="137" t="str">
        <f aca="false">IF(A474="","",A474-A473)</f>
        <v/>
      </c>
      <c r="AP473" s="212" t="str">
        <f aca="false">IF(A474="","",CHOOSE(F$3,A474+24,A473))</f>
        <v/>
      </c>
      <c r="AQ473" s="209" t="str">
        <f aca="false">IF(A474="","",AP473-$E$1)</f>
        <v/>
      </c>
      <c r="AR473" s="185" t="n">
        <f aca="false">'ANR OK vs ML7'!AR473</f>
        <v>0.1</v>
      </c>
      <c r="AS473" s="213" t="str">
        <f aca="false">IF(A474="","",1/(1+CHOOSE(F$3,(AR474+($I$3/10000))/2,(AR473+($I$3/10000))/2))^(2*AQ473/365.25))</f>
        <v/>
      </c>
      <c r="AT473" s="137" t="str">
        <f aca="false">IF(A474="","",IF(AND(mthbeg&lt;=A473,mthend&gt;=A473),1,0))</f>
        <v/>
      </c>
      <c r="AU473" s="137" t="str">
        <f aca="false">IF(A474="","",AO473*AT473)</f>
        <v/>
      </c>
      <c r="AW473" s="195" t="str">
        <f aca="false">IF($A474="","",AL473*$E473)</f>
        <v/>
      </c>
      <c r="AX473" s="195" t="str">
        <f aca="false">IF($A474="","",AM473*$E473)</f>
        <v/>
      </c>
      <c r="AY473" s="195" t="str">
        <f aca="false">IF($A474="","",AN473*$E473)</f>
        <v/>
      </c>
      <c r="BA473" s="195" t="str">
        <f aca="false">IF($A474="","",F473*Summary!$Q$11)</f>
        <v/>
      </c>
    </row>
    <row r="474" customFormat="false" ht="12.75" hidden="false" customHeight="false" outlineLevel="0" collapsed="false">
      <c r="A474" s="196" t="str">
        <f aca="false">IF(A473&lt;mthend,EDATE(A473,1),"")</f>
        <v/>
      </c>
      <c r="B474" s="197" t="str">
        <f aca="false">IF(A474&lt;mthend,B473,"")</f>
        <v/>
      </c>
      <c r="D474" s="197" t="str">
        <f aca="false">IF(A475&lt;&gt;"",B474+C474,"")</f>
        <v/>
      </c>
      <c r="E474" s="199" t="str">
        <f aca="false">IF(A475="","",IF(AND(AT474=1,$H$3=1),D474*AO474,IF($H$3=2,D474,"N/A")))</f>
        <v/>
      </c>
      <c r="F474" s="199" t="str">
        <f aca="false">IF(A475="","",E474*AS474)</f>
        <v/>
      </c>
      <c r="G474" s="200" t="str">
        <f aca="false">IF($A475="","",VLOOKUP($A474,Table,MATCH(G$4,Curves,0)))</f>
        <v/>
      </c>
      <c r="H474" s="201" t="str">
        <f aca="false">IF(A475="","",G474)</f>
        <v/>
      </c>
      <c r="J474" s="200" t="str">
        <f aca="false">IF($A475="","",VLOOKUP($A474,Table,MATCH(J$4,Curves,0)))</f>
        <v/>
      </c>
      <c r="K474" s="201" t="str">
        <f aca="false">IF(A475="","",J474)</f>
        <v/>
      </c>
      <c r="L474" s="200" t="str">
        <f aca="false">IF($A475="","",VLOOKUP($A474,Table,MATCH(L$4,Curves,0)))</f>
        <v/>
      </c>
      <c r="M474" s="201" t="str">
        <f aca="false">IF(A475="","",L474)</f>
        <v/>
      </c>
      <c r="O474" s="200" t="str">
        <f aca="false">IF(A475="","",L474+J474+G474)</f>
        <v/>
      </c>
      <c r="P474" s="200" t="str">
        <f aca="false">IF(A475="","",M474+K474+H474)</f>
        <v/>
      </c>
      <c r="R474" s="200" t="str">
        <f aca="false">IF($A475="","",VLOOKUP($A474,Table,MATCH(R$4,Curves,0)))</f>
        <v/>
      </c>
      <c r="S474" s="201" t="str">
        <f aca="false">IF(A475="","",R474)</f>
        <v/>
      </c>
      <c r="T474" s="185" t="n">
        <v>0</v>
      </c>
      <c r="U474" s="201" t="str">
        <f aca="false">IF(A475="","",T474)</f>
        <v/>
      </c>
      <c r="V474" s="205" t="str">
        <f aca="false">IF($A475="","",IF(AND(MONTH(A474)&gt;3,MONTH(A474)&lt;11),(T474+R474+G474)*Summary!$T$11/(1-Summary!$T$11),(T474+R474+G474)*Summary!$U$11/(1-Summary!$U$11)))</f>
        <v/>
      </c>
      <c r="W474" s="202" t="str">
        <f aca="false">IF($A475="","",(T474+R474+G474+V474))</f>
        <v/>
      </c>
      <c r="X474" s="202" t="str">
        <f aca="false">IF($A475="","",(U474+S474+H474+V474))</f>
        <v/>
      </c>
      <c r="Y474" s="202"/>
      <c r="AJ474" s="77"/>
      <c r="AK474" s="77"/>
      <c r="AL474" s="77"/>
      <c r="AM474" s="77"/>
      <c r="AN474" s="77"/>
      <c r="AO474" s="137" t="str">
        <f aca="false">IF(A475="","",A475-A474)</f>
        <v/>
      </c>
      <c r="AP474" s="212" t="str">
        <f aca="false">IF(A475="","",CHOOSE(F$3,A475+24,A474))</f>
        <v/>
      </c>
      <c r="AQ474" s="209" t="str">
        <f aca="false">IF(A475="","",AP474-$E$1)</f>
        <v/>
      </c>
      <c r="AR474" s="185" t="n">
        <f aca="false">'ANR OK vs ML7'!AR474</f>
        <v>0.1</v>
      </c>
      <c r="AS474" s="213" t="str">
        <f aca="false">IF(A475="","",1/(1+CHOOSE(F$3,(AR475+($I$3/10000))/2,(AR474+($I$3/10000))/2))^(2*AQ474/365.25))</f>
        <v/>
      </c>
      <c r="AT474" s="137" t="str">
        <f aca="false">IF(A475="","",IF(AND(mthbeg&lt;=A474,mthend&gt;=A474),1,0))</f>
        <v/>
      </c>
      <c r="AU474" s="137" t="str">
        <f aca="false">IF(A475="","",AO474*AT474)</f>
        <v/>
      </c>
      <c r="AW474" s="195" t="str">
        <f aca="false">IF($A475="","",AL474*$E474)</f>
        <v/>
      </c>
      <c r="AX474" s="195" t="str">
        <f aca="false">IF($A475="","",AM474*$E474)</f>
        <v/>
      </c>
      <c r="AY474" s="195" t="str">
        <f aca="false">IF($A475="","",AN474*$E474)</f>
        <v/>
      </c>
      <c r="BA474" s="195" t="str">
        <f aca="false">IF($A475="","",F474*Summary!$Q$11)</f>
        <v/>
      </c>
    </row>
    <row r="475" customFormat="false" ht="12.75" hidden="false" customHeight="false" outlineLevel="0" collapsed="false">
      <c r="A475" s="196" t="str">
        <f aca="false">IF(A474&lt;mthend,EDATE(A474,1),"")</f>
        <v/>
      </c>
      <c r="B475" s="197" t="str">
        <f aca="false">IF(A475&lt;mthend,B474,"")</f>
        <v/>
      </c>
      <c r="D475" s="197" t="str">
        <f aca="false">IF(A476&lt;&gt;"",B475+C475,"")</f>
        <v/>
      </c>
      <c r="E475" s="199" t="str">
        <f aca="false">IF(A476="","",IF(AND(AT475=1,$H$3=1),D475*AO475,IF($H$3=2,D475,"N/A")))</f>
        <v/>
      </c>
      <c r="F475" s="199" t="str">
        <f aca="false">IF(A476="","",E475*AS475)</f>
        <v/>
      </c>
      <c r="G475" s="200" t="str">
        <f aca="false">IF($A476="","",VLOOKUP($A475,Table,MATCH(G$4,Curves,0)))</f>
        <v/>
      </c>
      <c r="H475" s="201" t="str">
        <f aca="false">IF(A476="","",G475)</f>
        <v/>
      </c>
      <c r="J475" s="200" t="str">
        <f aca="false">IF($A476="","",VLOOKUP($A475,Table,MATCH(J$4,Curves,0)))</f>
        <v/>
      </c>
      <c r="K475" s="201" t="str">
        <f aca="false">IF(A476="","",J475)</f>
        <v/>
      </c>
      <c r="L475" s="200" t="str">
        <f aca="false">IF($A476="","",VLOOKUP($A475,Table,MATCH(L$4,Curves,0)))</f>
        <v/>
      </c>
      <c r="M475" s="201" t="str">
        <f aca="false">IF(A476="","",L475)</f>
        <v/>
      </c>
      <c r="O475" s="200" t="str">
        <f aca="false">IF(A476="","",L475+J475+G475)</f>
        <v/>
      </c>
      <c r="P475" s="200" t="str">
        <f aca="false">IF(A476="","",M475+K475+H475)</f>
        <v/>
      </c>
      <c r="R475" s="200" t="str">
        <f aca="false">IF($A476="","",VLOOKUP($A475,Table,MATCH(R$4,Curves,0)))</f>
        <v/>
      </c>
      <c r="S475" s="201" t="str">
        <f aca="false">IF(A476="","",R475)</f>
        <v/>
      </c>
      <c r="T475" s="185" t="n">
        <v>0</v>
      </c>
      <c r="U475" s="201" t="str">
        <f aca="false">IF(A476="","",T475)</f>
        <v/>
      </c>
      <c r="V475" s="205" t="str">
        <f aca="false">IF($A476="","",IF(AND(MONTH(A475)&gt;3,MONTH(A475)&lt;11),(T475+R475+G475)*Summary!$T$11/(1-Summary!$T$11),(T475+R475+G475)*Summary!$U$11/(1-Summary!$U$11)))</f>
        <v/>
      </c>
      <c r="W475" s="202" t="str">
        <f aca="false">IF($A476="","",(T475+R475+G475+V475))</f>
        <v/>
      </c>
      <c r="X475" s="202" t="str">
        <f aca="false">IF($A476="","",(U475+S475+H475+V475))</f>
        <v/>
      </c>
      <c r="Y475" s="202"/>
      <c r="AJ475" s="77"/>
      <c r="AK475" s="77"/>
      <c r="AL475" s="77"/>
      <c r="AM475" s="77"/>
      <c r="AN475" s="77"/>
      <c r="AO475" s="137" t="str">
        <f aca="false">IF(A476="","",A476-A475)</f>
        <v/>
      </c>
      <c r="AP475" s="212" t="str">
        <f aca="false">IF(A476="","",CHOOSE(F$3,A476+24,A475))</f>
        <v/>
      </c>
      <c r="AQ475" s="209" t="str">
        <f aca="false">IF(A476="","",AP475-$E$1)</f>
        <v/>
      </c>
      <c r="AR475" s="185" t="n">
        <f aca="false">'ANR OK vs ML7'!AR475</f>
        <v>0.1</v>
      </c>
      <c r="AS475" s="213" t="str">
        <f aca="false">IF(A476="","",1/(1+CHOOSE(F$3,(AR476+($I$3/10000))/2,(AR475+($I$3/10000))/2))^(2*AQ475/365.25))</f>
        <v/>
      </c>
      <c r="AT475" s="137" t="str">
        <f aca="false">IF(A476="","",IF(AND(mthbeg&lt;=A475,mthend&gt;=A475),1,0))</f>
        <v/>
      </c>
      <c r="AU475" s="137" t="str">
        <f aca="false">IF(A476="","",AO475*AT475)</f>
        <v/>
      </c>
      <c r="AW475" s="195" t="str">
        <f aca="false">IF($A476="","",AL475*$E475)</f>
        <v/>
      </c>
      <c r="AX475" s="195" t="str">
        <f aca="false">IF($A476="","",AM475*$E475)</f>
        <v/>
      </c>
      <c r="AY475" s="195" t="str">
        <f aca="false">IF($A476="","",AN475*$E475)</f>
        <v/>
      </c>
      <c r="BA475" s="195" t="str">
        <f aca="false">IF($A476="","",F475*Summary!$Q$11)</f>
        <v/>
      </c>
    </row>
    <row r="476" customFormat="false" ht="12.75" hidden="false" customHeight="false" outlineLevel="0" collapsed="false">
      <c r="A476" s="196" t="str">
        <f aca="false">IF(A475&lt;mthend,EDATE(A475,1),"")</f>
        <v/>
      </c>
      <c r="B476" s="197" t="str">
        <f aca="false">IF(A476&lt;mthend,B475,"")</f>
        <v/>
      </c>
      <c r="D476" s="197" t="str">
        <f aca="false">IF(A477&lt;&gt;"",B476+C476,"")</f>
        <v/>
      </c>
      <c r="E476" s="199" t="str">
        <f aca="false">IF(A477="","",IF(AND(AT476=1,$H$3=1),D476*AO476,IF($H$3=2,D476,"N/A")))</f>
        <v/>
      </c>
      <c r="F476" s="199" t="str">
        <f aca="false">IF(A477="","",E476*AS476)</f>
        <v/>
      </c>
      <c r="G476" s="200" t="str">
        <f aca="false">IF($A477="","",VLOOKUP($A476,Table,MATCH(G$4,Curves,0)))</f>
        <v/>
      </c>
      <c r="H476" s="201" t="str">
        <f aca="false">IF(A477="","",G476)</f>
        <v/>
      </c>
      <c r="J476" s="200" t="str">
        <f aca="false">IF($A477="","",VLOOKUP($A476,Table,MATCH(J$4,Curves,0)))</f>
        <v/>
      </c>
      <c r="K476" s="201" t="str">
        <f aca="false">IF(A477="","",J476)</f>
        <v/>
      </c>
      <c r="L476" s="200" t="str">
        <f aca="false">IF($A477="","",VLOOKUP($A476,Table,MATCH(L$4,Curves,0)))</f>
        <v/>
      </c>
      <c r="M476" s="201" t="str">
        <f aca="false">IF(A477="","",L476)</f>
        <v/>
      </c>
      <c r="O476" s="200" t="str">
        <f aca="false">IF(A477="","",L476+J476+G476)</f>
        <v/>
      </c>
      <c r="P476" s="200" t="str">
        <f aca="false">IF(A477="","",M476+K476+H476)</f>
        <v/>
      </c>
      <c r="R476" s="200" t="str">
        <f aca="false">IF($A477="","",VLOOKUP($A476,Table,MATCH(R$4,Curves,0)))</f>
        <v/>
      </c>
      <c r="S476" s="201" t="str">
        <f aca="false">IF(A477="","",R476)</f>
        <v/>
      </c>
      <c r="T476" s="185" t="n">
        <v>0</v>
      </c>
      <c r="U476" s="201" t="str">
        <f aca="false">IF(A477="","",T476)</f>
        <v/>
      </c>
      <c r="V476" s="205" t="str">
        <f aca="false">IF($A477="","",IF(AND(MONTH(A476)&gt;3,MONTH(A476)&lt;11),(T476+R476+G476)*Summary!$T$11/(1-Summary!$T$11),(T476+R476+G476)*Summary!$U$11/(1-Summary!$U$11)))</f>
        <v/>
      </c>
      <c r="W476" s="202" t="str">
        <f aca="false">IF($A477="","",(T476+R476+G476+V476))</f>
        <v/>
      </c>
      <c r="X476" s="202" t="str">
        <f aca="false">IF($A477="","",(U476+S476+H476+V476))</f>
        <v/>
      </c>
      <c r="Y476" s="202"/>
      <c r="AJ476" s="77"/>
      <c r="AK476" s="77"/>
      <c r="AL476" s="77"/>
      <c r="AM476" s="77"/>
      <c r="AN476" s="77"/>
      <c r="AO476" s="137" t="str">
        <f aca="false">IF(A477="","",A477-A476)</f>
        <v/>
      </c>
      <c r="AP476" s="212" t="str">
        <f aca="false">IF(A477="","",CHOOSE(F$3,A477+24,A476))</f>
        <v/>
      </c>
      <c r="AQ476" s="209" t="str">
        <f aca="false">IF(A477="","",AP476-$E$1)</f>
        <v/>
      </c>
      <c r="AR476" s="185" t="n">
        <f aca="false">'ANR OK vs ML7'!AR476</f>
        <v>0.1</v>
      </c>
      <c r="AS476" s="213" t="str">
        <f aca="false">IF(A477="","",1/(1+CHOOSE(F$3,(AR477+($I$3/10000))/2,(AR476+($I$3/10000))/2))^(2*AQ476/365.25))</f>
        <v/>
      </c>
      <c r="AT476" s="137" t="str">
        <f aca="false">IF(A477="","",IF(AND(mthbeg&lt;=A476,mthend&gt;=A476),1,0))</f>
        <v/>
      </c>
      <c r="AU476" s="137" t="str">
        <f aca="false">IF(A477="","",AO476*AT476)</f>
        <v/>
      </c>
      <c r="AW476" s="195" t="str">
        <f aca="false">IF($A477="","",AL476*$E476)</f>
        <v/>
      </c>
      <c r="AX476" s="195" t="str">
        <f aca="false">IF($A477="","",AM476*$E476)</f>
        <v/>
      </c>
      <c r="AY476" s="195" t="str">
        <f aca="false">IF($A477="","",AN476*$E476)</f>
        <v/>
      </c>
      <c r="BA476" s="195" t="str">
        <f aca="false">IF($A477="","",F476*Summary!$Q$11)</f>
        <v/>
      </c>
    </row>
    <row r="477" customFormat="false" ht="12.75" hidden="false" customHeight="false" outlineLevel="0" collapsed="false">
      <c r="A477" s="196" t="str">
        <f aca="false">IF(A476&lt;mthend,EDATE(A476,1),"")</f>
        <v/>
      </c>
      <c r="B477" s="197" t="str">
        <f aca="false">IF(A477&lt;mthend,B476,"")</f>
        <v/>
      </c>
      <c r="D477" s="197" t="str">
        <f aca="false">IF(A478&lt;&gt;"",B477+C477,"")</f>
        <v/>
      </c>
      <c r="E477" s="199" t="str">
        <f aca="false">IF(A478="","",IF(AND(AT477=1,$H$3=1),D477*AO477,IF($H$3=2,D477,"N/A")))</f>
        <v/>
      </c>
      <c r="F477" s="199" t="str">
        <f aca="false">IF(A478="","",E477*AS477)</f>
        <v/>
      </c>
      <c r="G477" s="200" t="str">
        <f aca="false">IF($A478="","",VLOOKUP($A477,Table,MATCH(G$4,Curves,0)))</f>
        <v/>
      </c>
      <c r="H477" s="201" t="str">
        <f aca="false">IF(A478="","",G477)</f>
        <v/>
      </c>
      <c r="J477" s="200" t="str">
        <f aca="false">IF($A478="","",VLOOKUP($A477,Table,MATCH(J$4,Curves,0)))</f>
        <v/>
      </c>
      <c r="K477" s="201" t="str">
        <f aca="false">IF(A478="","",J477)</f>
        <v/>
      </c>
      <c r="L477" s="200" t="str">
        <f aca="false">IF($A478="","",VLOOKUP($A477,Table,MATCH(L$4,Curves,0)))</f>
        <v/>
      </c>
      <c r="M477" s="201" t="str">
        <f aca="false">IF(A478="","",L477)</f>
        <v/>
      </c>
      <c r="O477" s="200" t="str">
        <f aca="false">IF(A478="","",L477+J477+G477)</f>
        <v/>
      </c>
      <c r="P477" s="200" t="str">
        <f aca="false">IF(A478="","",M477+K477+H477)</f>
        <v/>
      </c>
      <c r="R477" s="200" t="str">
        <f aca="false">IF($A478="","",VLOOKUP($A477,Table,MATCH(R$4,Curves,0)))</f>
        <v/>
      </c>
      <c r="S477" s="201" t="str">
        <f aca="false">IF(A478="","",R477)</f>
        <v/>
      </c>
      <c r="T477" s="185" t="n">
        <v>0</v>
      </c>
      <c r="U477" s="201" t="str">
        <f aca="false">IF(A478="","",T477)</f>
        <v/>
      </c>
      <c r="V477" s="205" t="str">
        <f aca="false">IF($A478="","",IF(AND(MONTH(A477)&gt;3,MONTH(A477)&lt;11),(T477+R477+G477)*Summary!$T$11/(1-Summary!$T$11),(T477+R477+G477)*Summary!$U$11/(1-Summary!$U$11)))</f>
        <v/>
      </c>
      <c r="W477" s="202" t="str">
        <f aca="false">IF($A478="","",(T477+R477+G477+V477))</f>
        <v/>
      </c>
      <c r="X477" s="202" t="str">
        <f aca="false">IF($A478="","",(U477+S477+H477+V477))</f>
        <v/>
      </c>
      <c r="Y477" s="202"/>
      <c r="AJ477" s="77"/>
      <c r="AK477" s="77"/>
      <c r="AL477" s="77"/>
      <c r="AM477" s="77"/>
      <c r="AN477" s="77"/>
      <c r="AO477" s="137" t="str">
        <f aca="false">IF(A478="","",A478-A477)</f>
        <v/>
      </c>
      <c r="AP477" s="212" t="str">
        <f aca="false">IF(A478="","",CHOOSE(F$3,A478+24,A477))</f>
        <v/>
      </c>
      <c r="AQ477" s="209" t="str">
        <f aca="false">IF(A478="","",AP477-$E$1)</f>
        <v/>
      </c>
      <c r="AR477" s="185" t="n">
        <f aca="false">'ANR OK vs ML7'!AR477</f>
        <v>0.1</v>
      </c>
      <c r="AS477" s="213" t="str">
        <f aca="false">IF(A478="","",1/(1+CHOOSE(F$3,(AR478+($I$3/10000))/2,(AR477+($I$3/10000))/2))^(2*AQ477/365.25))</f>
        <v/>
      </c>
      <c r="AT477" s="137" t="str">
        <f aca="false">IF(A478="","",IF(AND(mthbeg&lt;=A477,mthend&gt;=A477),1,0))</f>
        <v/>
      </c>
      <c r="AU477" s="137" t="str">
        <f aca="false">IF(A478="","",AO477*AT477)</f>
        <v/>
      </c>
      <c r="AW477" s="195" t="str">
        <f aca="false">IF($A478="","",AL477*$E477)</f>
        <v/>
      </c>
      <c r="AX477" s="195" t="str">
        <f aca="false">IF($A478="","",AM477*$E477)</f>
        <v/>
      </c>
      <c r="AY477" s="195" t="str">
        <f aca="false">IF($A478="","",AN477*$E477)</f>
        <v/>
      </c>
      <c r="BA477" s="195" t="str">
        <f aca="false">IF($A478="","",F477*Summary!$Q$11)</f>
        <v/>
      </c>
    </row>
    <row r="478" customFormat="false" ht="12.75" hidden="false" customHeight="false" outlineLevel="0" collapsed="false">
      <c r="A478" s="196" t="str">
        <f aca="false">IF(A477&lt;mthend,EDATE(A477,1),"")</f>
        <v/>
      </c>
      <c r="B478" s="197" t="str">
        <f aca="false">IF(A478&lt;mthend,B477,"")</f>
        <v/>
      </c>
      <c r="D478" s="197" t="str">
        <f aca="false">IF(A479&lt;&gt;"",B478+C478,"")</f>
        <v/>
      </c>
      <c r="E478" s="199" t="str">
        <f aca="false">IF(A479="","",IF(AND(AT478=1,$H$3=1),D478*AO478,IF($H$3=2,D478,"N/A")))</f>
        <v/>
      </c>
      <c r="F478" s="199" t="str">
        <f aca="false">IF(A479="","",E478*AS478)</f>
        <v/>
      </c>
      <c r="G478" s="200" t="str">
        <f aca="false">IF($A479="","",VLOOKUP($A478,Table,MATCH(G$4,Curves,0)))</f>
        <v/>
      </c>
      <c r="H478" s="201" t="str">
        <f aca="false">IF(A479="","",G478)</f>
        <v/>
      </c>
      <c r="J478" s="200" t="str">
        <f aca="false">IF($A479="","",VLOOKUP($A478,Table,MATCH(J$4,Curves,0)))</f>
        <v/>
      </c>
      <c r="K478" s="201" t="str">
        <f aca="false">IF(A479="","",J478)</f>
        <v/>
      </c>
      <c r="L478" s="200" t="str">
        <f aca="false">IF($A479="","",VLOOKUP($A478,Table,MATCH(L$4,Curves,0)))</f>
        <v/>
      </c>
      <c r="M478" s="201" t="str">
        <f aca="false">IF(A479="","",L478)</f>
        <v/>
      </c>
      <c r="O478" s="200" t="str">
        <f aca="false">IF(A479="","",L478+J478+G478)</f>
        <v/>
      </c>
      <c r="P478" s="200" t="str">
        <f aca="false">IF(A479="","",M478+K478+H478)</f>
        <v/>
      </c>
      <c r="R478" s="200" t="str">
        <f aca="false">IF($A479="","",VLOOKUP($A478,Table,MATCH(R$4,Curves,0)))</f>
        <v/>
      </c>
      <c r="S478" s="201" t="str">
        <f aca="false">IF(A479="","",R478)</f>
        <v/>
      </c>
      <c r="T478" s="185" t="n">
        <v>0</v>
      </c>
      <c r="U478" s="201" t="str">
        <f aca="false">IF(A479="","",T478)</f>
        <v/>
      </c>
      <c r="V478" s="205" t="str">
        <f aca="false">IF($A479="","",IF(AND(MONTH(A478)&gt;3,MONTH(A478)&lt;11),(T478+R478+G478)*Summary!$T$11/(1-Summary!$T$11),(T478+R478+G478)*Summary!$U$11/(1-Summary!$U$11)))</f>
        <v/>
      </c>
      <c r="W478" s="202" t="str">
        <f aca="false">IF($A479="","",(T478+R478+G478+V478))</f>
        <v/>
      </c>
      <c r="X478" s="202" t="str">
        <f aca="false">IF($A479="","",(U478+S478+H478+V478))</f>
        <v/>
      </c>
      <c r="Y478" s="202"/>
      <c r="AJ478" s="77"/>
      <c r="AK478" s="77"/>
      <c r="AL478" s="77"/>
      <c r="AM478" s="77"/>
      <c r="AN478" s="77"/>
      <c r="AO478" s="137" t="str">
        <f aca="false">IF(A479="","",A479-A478)</f>
        <v/>
      </c>
      <c r="AP478" s="212" t="str">
        <f aca="false">IF(A479="","",CHOOSE(F$3,A479+24,A478))</f>
        <v/>
      </c>
      <c r="AQ478" s="209" t="str">
        <f aca="false">IF(A479="","",AP478-$E$1)</f>
        <v/>
      </c>
      <c r="AR478" s="185" t="n">
        <f aca="false">'ANR OK vs ML7'!AR478</f>
        <v>0.1</v>
      </c>
      <c r="AS478" s="213" t="str">
        <f aca="false">IF(A479="","",1/(1+CHOOSE(F$3,(AR479+($I$3/10000))/2,(AR478+($I$3/10000))/2))^(2*AQ478/365.25))</f>
        <v/>
      </c>
      <c r="AT478" s="137" t="str">
        <f aca="false">IF(A479="","",IF(AND(mthbeg&lt;=A478,mthend&gt;=A478),1,0))</f>
        <v/>
      </c>
      <c r="AU478" s="137" t="str">
        <f aca="false">IF(A479="","",AO478*AT478)</f>
        <v/>
      </c>
      <c r="AW478" s="195" t="str">
        <f aca="false">IF($A479="","",AL478*$E478)</f>
        <v/>
      </c>
      <c r="AX478" s="195" t="str">
        <f aca="false">IF($A479="","",AM478*$E478)</f>
        <v/>
      </c>
      <c r="AY478" s="195" t="str">
        <f aca="false">IF($A479="","",AN478*$E478)</f>
        <v/>
      </c>
      <c r="BA478" s="195" t="str">
        <f aca="false">IF($A479="","",F478*Summary!$Q$11)</f>
        <v/>
      </c>
    </row>
    <row r="479" customFormat="false" ht="12.75" hidden="false" customHeight="false" outlineLevel="0" collapsed="false">
      <c r="A479" s="196" t="str">
        <f aca="false">IF(A478&lt;mthend,EDATE(A478,1),"")</f>
        <v/>
      </c>
      <c r="B479" s="197" t="str">
        <f aca="false">IF(A479&lt;mthend,B478,"")</f>
        <v/>
      </c>
      <c r="D479" s="197" t="str">
        <f aca="false">IF(A480&lt;&gt;"",B479+C479,"")</f>
        <v/>
      </c>
      <c r="E479" s="199" t="str">
        <f aca="false">IF(A480="","",IF(AND(AT479=1,$H$3=1),D479*AO479,IF($H$3=2,D479,"N/A")))</f>
        <v/>
      </c>
      <c r="F479" s="199" t="str">
        <f aca="false">IF(A480="","",E479*AS479)</f>
        <v/>
      </c>
      <c r="G479" s="200" t="str">
        <f aca="false">IF($A480="","",VLOOKUP($A479,Table,MATCH(G$4,Curves,0)))</f>
        <v/>
      </c>
      <c r="H479" s="201" t="str">
        <f aca="false">IF(A480="","",G479)</f>
        <v/>
      </c>
      <c r="J479" s="200" t="str">
        <f aca="false">IF($A480="","",VLOOKUP($A479,Table,MATCH(J$4,Curves,0)))</f>
        <v/>
      </c>
      <c r="K479" s="201" t="str">
        <f aca="false">IF(A480="","",J479)</f>
        <v/>
      </c>
      <c r="L479" s="200" t="str">
        <f aca="false">IF($A480="","",VLOOKUP($A479,Table,MATCH(L$4,Curves,0)))</f>
        <v/>
      </c>
      <c r="M479" s="201" t="str">
        <f aca="false">IF(A480="","",L479)</f>
        <v/>
      </c>
      <c r="O479" s="200" t="str">
        <f aca="false">IF(A480="","",L479+J479+G479)</f>
        <v/>
      </c>
      <c r="P479" s="200" t="str">
        <f aca="false">IF(A480="","",M479+K479+H479)</f>
        <v/>
      </c>
      <c r="R479" s="200" t="str">
        <f aca="false">IF($A480="","",VLOOKUP($A479,Table,MATCH(R$4,Curves,0)))</f>
        <v/>
      </c>
      <c r="S479" s="201" t="str">
        <f aca="false">IF(A480="","",R479)</f>
        <v/>
      </c>
      <c r="T479" s="185" t="n">
        <v>0</v>
      </c>
      <c r="U479" s="201" t="str">
        <f aca="false">IF(A480="","",T479)</f>
        <v/>
      </c>
      <c r="V479" s="205" t="str">
        <f aca="false">IF($A480="","",IF(AND(MONTH(A479)&gt;3,MONTH(A479)&lt;11),(T479+R479+G479)*Summary!$T$11/(1-Summary!$T$11),(T479+R479+G479)*Summary!$U$11/(1-Summary!$U$11)))</f>
        <v/>
      </c>
      <c r="W479" s="202" t="str">
        <f aca="false">IF($A480="","",(T479+R479+G479+V479))</f>
        <v/>
      </c>
      <c r="X479" s="202" t="str">
        <f aca="false">IF($A480="","",(U479+S479+H479+V479))</f>
        <v/>
      </c>
      <c r="Y479" s="202"/>
      <c r="AJ479" s="77"/>
      <c r="AK479" s="77"/>
      <c r="AL479" s="77"/>
      <c r="AM479" s="77"/>
      <c r="AN479" s="77"/>
      <c r="AO479" s="137" t="str">
        <f aca="false">IF(A480="","",A480-A479)</f>
        <v/>
      </c>
      <c r="AP479" s="212" t="str">
        <f aca="false">IF(A480="","",CHOOSE(F$3,A480+24,A479))</f>
        <v/>
      </c>
      <c r="AQ479" s="209" t="str">
        <f aca="false">IF(A480="","",AP479-$E$1)</f>
        <v/>
      </c>
      <c r="AR479" s="185" t="n">
        <f aca="false">'ANR OK vs ML7'!AR479</f>
        <v>0.1</v>
      </c>
      <c r="AS479" s="213" t="str">
        <f aca="false">IF(A480="","",1/(1+CHOOSE(F$3,(AR480+($I$3/10000))/2,(AR479+($I$3/10000))/2))^(2*AQ479/365.25))</f>
        <v/>
      </c>
      <c r="AT479" s="137" t="str">
        <f aca="false">IF(A480="","",IF(AND(mthbeg&lt;=A479,mthend&gt;=A479),1,0))</f>
        <v/>
      </c>
      <c r="AU479" s="137" t="str">
        <f aca="false">IF(A480="","",AO479*AT479)</f>
        <v/>
      </c>
      <c r="AW479" s="195" t="str">
        <f aca="false">IF($A480="","",AL479*$E479)</f>
        <v/>
      </c>
      <c r="AX479" s="195" t="str">
        <f aca="false">IF($A480="","",AM479*$E479)</f>
        <v/>
      </c>
      <c r="AY479" s="195" t="str">
        <f aca="false">IF($A480="","",AN479*$E479)</f>
        <v/>
      </c>
      <c r="BA479" s="195" t="str">
        <f aca="false">IF($A480="","",F479*Summary!$Q$11)</f>
        <v/>
      </c>
    </row>
    <row r="480" customFormat="false" ht="12.75" hidden="false" customHeight="false" outlineLevel="0" collapsed="false">
      <c r="A480" s="196" t="str">
        <f aca="false">IF(A479&lt;mthend,EDATE(A479,1),"")</f>
        <v/>
      </c>
      <c r="B480" s="197" t="str">
        <f aca="false">IF(A480&lt;mthend,B479,"")</f>
        <v/>
      </c>
      <c r="D480" s="197" t="str">
        <f aca="false">IF(A481&lt;&gt;"",B480+C480,"")</f>
        <v/>
      </c>
      <c r="E480" s="199" t="str">
        <f aca="false">IF(A481="","",IF(AND(AT480=1,$H$3=1),D480*AO480,IF($H$3=2,D480,"N/A")))</f>
        <v/>
      </c>
      <c r="F480" s="199" t="str">
        <f aca="false">IF(A481="","",E480*AS480)</f>
        <v/>
      </c>
      <c r="G480" s="200" t="str">
        <f aca="false">IF($A481="","",VLOOKUP($A480,Table,MATCH(G$4,Curves,0)))</f>
        <v/>
      </c>
      <c r="H480" s="201" t="str">
        <f aca="false">IF(A481="","",G480)</f>
        <v/>
      </c>
      <c r="J480" s="200" t="str">
        <f aca="false">IF($A481="","",VLOOKUP($A480,Table,MATCH(J$4,Curves,0)))</f>
        <v/>
      </c>
      <c r="K480" s="201" t="str">
        <f aca="false">IF(A481="","",J480)</f>
        <v/>
      </c>
      <c r="L480" s="200" t="str">
        <f aca="false">IF($A481="","",VLOOKUP($A480,Table,MATCH(L$4,Curves,0)))</f>
        <v/>
      </c>
      <c r="M480" s="201" t="str">
        <f aca="false">IF(A481="","",L480)</f>
        <v/>
      </c>
      <c r="O480" s="200" t="str">
        <f aca="false">IF(A481="","",L480+J480+G480)</f>
        <v/>
      </c>
      <c r="P480" s="200" t="str">
        <f aca="false">IF(A481="","",M480+K480+H480)</f>
        <v/>
      </c>
      <c r="R480" s="200" t="str">
        <f aca="false">IF($A481="","",VLOOKUP($A480,Table,MATCH(R$4,Curves,0)))</f>
        <v/>
      </c>
      <c r="S480" s="201" t="str">
        <f aca="false">IF(A481="","",R480)</f>
        <v/>
      </c>
      <c r="T480" s="185" t="n">
        <v>0</v>
      </c>
      <c r="U480" s="201" t="str">
        <f aca="false">IF(A481="","",T480)</f>
        <v/>
      </c>
      <c r="V480" s="205" t="str">
        <f aca="false">IF($A481="","",IF(AND(MONTH(A480)&gt;3,MONTH(A480)&lt;11),(T480+R480+G480)*Summary!$T$11/(1-Summary!$T$11),(T480+R480+G480)*Summary!$U$11/(1-Summary!$U$11)))</f>
        <v/>
      </c>
      <c r="W480" s="202" t="str">
        <f aca="false">IF($A481="","",(T480+R480+G480+V480))</f>
        <v/>
      </c>
      <c r="X480" s="202" t="str">
        <f aca="false">IF($A481="","",(U480+S480+H480+V480))</f>
        <v/>
      </c>
      <c r="Y480" s="202"/>
      <c r="AJ480" s="77"/>
      <c r="AK480" s="77"/>
      <c r="AL480" s="77"/>
      <c r="AM480" s="77"/>
      <c r="AN480" s="77"/>
      <c r="AO480" s="137" t="str">
        <f aca="false">IF(A481="","",A481-A480)</f>
        <v/>
      </c>
      <c r="AP480" s="212" t="str">
        <f aca="false">IF(A481="","",CHOOSE(F$3,A481+24,A480))</f>
        <v/>
      </c>
      <c r="AQ480" s="209" t="str">
        <f aca="false">IF(A481="","",AP480-$E$1)</f>
        <v/>
      </c>
      <c r="AR480" s="185" t="n">
        <f aca="false">'ANR OK vs ML7'!AR480</f>
        <v>0.1</v>
      </c>
      <c r="AS480" s="213" t="str">
        <f aca="false">IF(A481="","",1/(1+CHOOSE(F$3,(AR481+($I$3/10000))/2,(AR480+($I$3/10000))/2))^(2*AQ480/365.25))</f>
        <v/>
      </c>
      <c r="AT480" s="137" t="str">
        <f aca="false">IF(A481="","",IF(AND(mthbeg&lt;=A480,mthend&gt;=A480),1,0))</f>
        <v/>
      </c>
      <c r="AU480" s="137" t="str">
        <f aca="false">IF(A481="","",AO480*AT480)</f>
        <v/>
      </c>
      <c r="AW480" s="195" t="str">
        <f aca="false">IF($A481="","",AL480*$E480)</f>
        <v/>
      </c>
      <c r="AX480" s="195" t="str">
        <f aca="false">IF($A481="","",AM480*$E480)</f>
        <v/>
      </c>
      <c r="AY480" s="195" t="str">
        <f aca="false">IF($A481="","",AN480*$E480)</f>
        <v/>
      </c>
      <c r="BA480" s="195" t="str">
        <f aca="false">IF($A481="","",F480*Summary!$Q$11)</f>
        <v/>
      </c>
    </row>
    <row r="481" customFormat="false" ht="12.75" hidden="false" customHeight="false" outlineLevel="0" collapsed="false">
      <c r="A481" s="196" t="str">
        <f aca="false">IF(A480&lt;mthend,EDATE(A480,1),"")</f>
        <v/>
      </c>
      <c r="B481" s="197" t="str">
        <f aca="false">IF(A481&lt;mthend,B480,"")</f>
        <v/>
      </c>
      <c r="D481" s="197" t="str">
        <f aca="false">IF(A482&lt;&gt;"",B481+C481,"")</f>
        <v/>
      </c>
      <c r="E481" s="199" t="str">
        <f aca="false">IF(A482="","",IF(AND(AT481=1,$H$3=1),D481*AO481,IF($H$3=2,D481,"N/A")))</f>
        <v/>
      </c>
      <c r="F481" s="199" t="str">
        <f aca="false">IF(A482="","",E481*AS481)</f>
        <v/>
      </c>
      <c r="G481" s="200" t="str">
        <f aca="false">IF($A482="","",VLOOKUP($A481,Table,MATCH(G$4,Curves,0)))</f>
        <v/>
      </c>
      <c r="H481" s="201" t="str">
        <f aca="false">IF(A482="","",G481)</f>
        <v/>
      </c>
      <c r="J481" s="200" t="str">
        <f aca="false">IF($A482="","",VLOOKUP($A481,Table,MATCH(J$4,Curves,0)))</f>
        <v/>
      </c>
      <c r="K481" s="201" t="str">
        <f aca="false">IF(A482="","",J481)</f>
        <v/>
      </c>
      <c r="L481" s="200" t="str">
        <f aca="false">IF($A482="","",VLOOKUP($A481,Table,MATCH(L$4,Curves,0)))</f>
        <v/>
      </c>
      <c r="M481" s="201" t="str">
        <f aca="false">IF(A482="","",L481)</f>
        <v/>
      </c>
      <c r="O481" s="200" t="str">
        <f aca="false">IF(A482="","",L481+J481+G481)</f>
        <v/>
      </c>
      <c r="P481" s="200" t="str">
        <f aca="false">IF(A482="","",M481+K481+H481)</f>
        <v/>
      </c>
      <c r="R481" s="200" t="str">
        <f aca="false">IF($A482="","",VLOOKUP($A481,Table,MATCH(R$4,Curves,0)))</f>
        <v/>
      </c>
      <c r="S481" s="201" t="str">
        <f aca="false">IF(A482="","",R481)</f>
        <v/>
      </c>
      <c r="T481" s="185" t="n">
        <v>0</v>
      </c>
      <c r="U481" s="201" t="str">
        <f aca="false">IF(A482="","",T481)</f>
        <v/>
      </c>
      <c r="V481" s="205" t="str">
        <f aca="false">IF($A482="","",IF(AND(MONTH(A481)&gt;3,MONTH(A481)&lt;11),(T481+R481+G481)*Summary!$T$11/(1-Summary!$T$11),(T481+R481+G481)*Summary!$U$11/(1-Summary!$U$11)))</f>
        <v/>
      </c>
      <c r="W481" s="202" t="str">
        <f aca="false">IF($A482="","",(T481+R481+G481+V481))</f>
        <v/>
      </c>
      <c r="X481" s="202" t="str">
        <f aca="false">IF($A482="","",(U481+S481+H481+V481))</f>
        <v/>
      </c>
      <c r="Y481" s="202"/>
      <c r="AJ481" s="77"/>
      <c r="AK481" s="77"/>
      <c r="AL481" s="77"/>
      <c r="AM481" s="77"/>
      <c r="AN481" s="77"/>
      <c r="AO481" s="137" t="str">
        <f aca="false">IF(A482="","",A482-A481)</f>
        <v/>
      </c>
      <c r="AP481" s="212" t="str">
        <f aca="false">IF(A482="","",CHOOSE(F$3,A482+24,A481))</f>
        <v/>
      </c>
      <c r="AQ481" s="209" t="str">
        <f aca="false">IF(A482="","",AP481-$E$1)</f>
        <v/>
      </c>
      <c r="AR481" s="185" t="n">
        <f aca="false">'ANR OK vs ML7'!AR481</f>
        <v>0.1</v>
      </c>
      <c r="AS481" s="213" t="str">
        <f aca="false">IF(A482="","",1/(1+CHOOSE(F$3,(AR482+($I$3/10000))/2,(AR481+($I$3/10000))/2))^(2*AQ481/365.25))</f>
        <v/>
      </c>
      <c r="AT481" s="137" t="str">
        <f aca="false">IF(A482="","",IF(AND(mthbeg&lt;=A481,mthend&gt;=A481),1,0))</f>
        <v/>
      </c>
      <c r="AU481" s="137" t="str">
        <f aca="false">IF(A482="","",AO481*AT481)</f>
        <v/>
      </c>
      <c r="AW481" s="195" t="str">
        <f aca="false">IF($A482="","",AL481*$E481)</f>
        <v/>
      </c>
      <c r="AX481" s="195" t="str">
        <f aca="false">IF($A482="","",AM481*$E481)</f>
        <v/>
      </c>
      <c r="AY481" s="195" t="str">
        <f aca="false">IF($A482="","",AN481*$E481)</f>
        <v/>
      </c>
      <c r="BA481" s="195" t="str">
        <f aca="false">IF($A482="","",F481*Summary!$Q$11)</f>
        <v/>
      </c>
    </row>
    <row r="482" customFormat="false" ht="12.75" hidden="false" customHeight="false" outlineLevel="0" collapsed="false">
      <c r="A482" s="196" t="str">
        <f aca="false">IF(A481&lt;mthend,EDATE(A481,1),"")</f>
        <v/>
      </c>
      <c r="B482" s="197" t="str">
        <f aca="false">IF(A482&lt;mthend,B481,"")</f>
        <v/>
      </c>
      <c r="D482" s="197" t="str">
        <f aca="false">IF(A483&lt;&gt;"",B482+C482,"")</f>
        <v/>
      </c>
      <c r="E482" s="199" t="str">
        <f aca="false">IF(A483="","",IF(AND(AT482=1,$H$3=1),D482*AO482,IF($H$3=2,D482,"N/A")))</f>
        <v/>
      </c>
      <c r="F482" s="199" t="str">
        <f aca="false">IF(A483="","",E482*AS482)</f>
        <v/>
      </c>
      <c r="G482" s="200" t="str">
        <f aca="false">IF($A483="","",VLOOKUP($A482,Table,MATCH(G$4,Curves,0)))</f>
        <v/>
      </c>
      <c r="H482" s="201" t="str">
        <f aca="false">IF(A483="","",G482)</f>
        <v/>
      </c>
      <c r="J482" s="200" t="str">
        <f aca="false">IF($A483="","",VLOOKUP($A482,Table,MATCH(J$4,Curves,0)))</f>
        <v/>
      </c>
      <c r="K482" s="201" t="str">
        <f aca="false">IF(A483="","",J482)</f>
        <v/>
      </c>
      <c r="L482" s="200" t="str">
        <f aca="false">IF($A483="","",VLOOKUP($A482,Table,MATCH(L$4,Curves,0)))</f>
        <v/>
      </c>
      <c r="M482" s="201" t="str">
        <f aca="false">IF(A483="","",L482)</f>
        <v/>
      </c>
      <c r="O482" s="200" t="str">
        <f aca="false">IF(A483="","",L482+J482+G482)</f>
        <v/>
      </c>
      <c r="P482" s="200" t="str">
        <f aca="false">IF(A483="","",M482+K482+H482)</f>
        <v/>
      </c>
      <c r="R482" s="200" t="str">
        <f aca="false">IF($A483="","",VLOOKUP($A482,Table,MATCH(R$4,Curves,0)))</f>
        <v/>
      </c>
      <c r="S482" s="201" t="str">
        <f aca="false">IF(A483="","",R482)</f>
        <v/>
      </c>
      <c r="T482" s="185" t="n">
        <v>0</v>
      </c>
      <c r="U482" s="201" t="str">
        <f aca="false">IF(A483="","",T482)</f>
        <v/>
      </c>
      <c r="V482" s="205" t="str">
        <f aca="false">IF($A483="","",IF(AND(MONTH(A482)&gt;3,MONTH(A482)&lt;11),(T482+R482+G482)*Summary!$T$11/(1-Summary!$T$11),(T482+R482+G482)*Summary!$U$11/(1-Summary!$U$11)))</f>
        <v/>
      </c>
      <c r="W482" s="202" t="str">
        <f aca="false">IF($A483="","",(T482+R482+G482+V482))</f>
        <v/>
      </c>
      <c r="X482" s="202" t="str">
        <f aca="false">IF($A483="","",(U482+S482+H482+V482))</f>
        <v/>
      </c>
      <c r="Y482" s="202"/>
      <c r="AJ482" s="77"/>
      <c r="AK482" s="77"/>
      <c r="AL482" s="77"/>
      <c r="AM482" s="77"/>
      <c r="AN482" s="77"/>
      <c r="AO482" s="137" t="str">
        <f aca="false">IF(A483="","",A483-A482)</f>
        <v/>
      </c>
      <c r="AP482" s="212" t="str">
        <f aca="false">IF(A483="","",CHOOSE(F$3,A483+24,A482))</f>
        <v/>
      </c>
      <c r="AQ482" s="209" t="str">
        <f aca="false">IF(A483="","",AP482-$E$1)</f>
        <v/>
      </c>
      <c r="AR482" s="185" t="n">
        <f aca="false">'ANR OK vs ML7'!AR482</f>
        <v>0.1</v>
      </c>
      <c r="AS482" s="213" t="str">
        <f aca="false">IF(A483="","",1/(1+CHOOSE(F$3,(AR483+($I$3/10000))/2,(AR482+($I$3/10000))/2))^(2*AQ482/365.25))</f>
        <v/>
      </c>
      <c r="AT482" s="137" t="str">
        <f aca="false">IF(A483="","",IF(AND(mthbeg&lt;=A482,mthend&gt;=A482),1,0))</f>
        <v/>
      </c>
      <c r="AU482" s="137" t="str">
        <f aca="false">IF(A483="","",AO482*AT482)</f>
        <v/>
      </c>
      <c r="AW482" s="195" t="str">
        <f aca="false">IF($A483="","",AL482*$E482)</f>
        <v/>
      </c>
      <c r="AX482" s="195" t="str">
        <f aca="false">IF($A483="","",AM482*$E482)</f>
        <v/>
      </c>
      <c r="AY482" s="195" t="str">
        <f aca="false">IF($A483="","",AN482*$E482)</f>
        <v/>
      </c>
      <c r="BA482" s="195" t="str">
        <f aca="false">IF($A483="","",F482*Summary!$Q$11)</f>
        <v/>
      </c>
    </row>
    <row r="483" customFormat="false" ht="12.75" hidden="false" customHeight="false" outlineLevel="0" collapsed="false">
      <c r="A483" s="196" t="str">
        <f aca="false">IF(A482&lt;mthend,EDATE(A482,1),"")</f>
        <v/>
      </c>
      <c r="B483" s="197" t="str">
        <f aca="false">IF(A483&lt;mthend,B482,"")</f>
        <v/>
      </c>
      <c r="D483" s="197" t="str">
        <f aca="false">IF(A484&lt;&gt;"",B483+C483,"")</f>
        <v/>
      </c>
      <c r="E483" s="199" t="str">
        <f aca="false">IF(A484="","",IF(AND(AT483=1,$H$3=1),D483*AO483,IF($H$3=2,D483,"N/A")))</f>
        <v/>
      </c>
      <c r="F483" s="199" t="str">
        <f aca="false">IF(A484="","",E483*AS483)</f>
        <v/>
      </c>
      <c r="G483" s="200" t="str">
        <f aca="false">IF($A484="","",VLOOKUP($A483,Table,MATCH(G$4,Curves,0)))</f>
        <v/>
      </c>
      <c r="H483" s="201" t="str">
        <f aca="false">IF(A484="","",G483)</f>
        <v/>
      </c>
      <c r="J483" s="200" t="str">
        <f aca="false">IF($A484="","",VLOOKUP($A483,Table,MATCH(J$4,Curves,0)))</f>
        <v/>
      </c>
      <c r="K483" s="201" t="str">
        <f aca="false">IF(A484="","",J483)</f>
        <v/>
      </c>
      <c r="L483" s="200" t="str">
        <f aca="false">IF($A484="","",VLOOKUP($A483,Table,MATCH(L$4,Curves,0)))</f>
        <v/>
      </c>
      <c r="M483" s="201" t="str">
        <f aca="false">IF(A484="","",L483)</f>
        <v/>
      </c>
      <c r="O483" s="200" t="str">
        <f aca="false">IF(A484="","",L483+J483+G483)</f>
        <v/>
      </c>
      <c r="P483" s="200" t="str">
        <f aca="false">IF(A484="","",M483+K483+H483)</f>
        <v/>
      </c>
      <c r="R483" s="200" t="str">
        <f aca="false">IF($A484="","",VLOOKUP($A483,Table,MATCH(R$4,Curves,0)))</f>
        <v/>
      </c>
      <c r="S483" s="201" t="str">
        <f aca="false">IF(A484="","",R483)</f>
        <v/>
      </c>
      <c r="T483" s="185" t="n">
        <v>0</v>
      </c>
      <c r="U483" s="201" t="str">
        <f aca="false">IF(A484="","",T483)</f>
        <v/>
      </c>
      <c r="V483" s="205" t="str">
        <f aca="false">IF($A484="","",IF(AND(MONTH(A483)&gt;3,MONTH(A483)&lt;11),(T483+R483+G483)*Summary!$T$11/(1-Summary!$T$11),(T483+R483+G483)*Summary!$U$11/(1-Summary!$U$11)))</f>
        <v/>
      </c>
      <c r="W483" s="202" t="str">
        <f aca="false">IF($A484="","",(T483+R483+G483+V483))</f>
        <v/>
      </c>
      <c r="X483" s="202" t="str">
        <f aca="false">IF($A484="","",(U483+S483+H483+V483))</f>
        <v/>
      </c>
      <c r="Y483" s="202"/>
      <c r="AJ483" s="77"/>
      <c r="AK483" s="77"/>
      <c r="AL483" s="77"/>
      <c r="AM483" s="77"/>
      <c r="AN483" s="77"/>
      <c r="AO483" s="137" t="str">
        <f aca="false">IF(A484="","",A484-A483)</f>
        <v/>
      </c>
      <c r="AP483" s="212" t="str">
        <f aca="false">IF(A484="","",CHOOSE(F$3,A484+24,A483))</f>
        <v/>
      </c>
      <c r="AQ483" s="209" t="str">
        <f aca="false">IF(A484="","",AP483-$E$1)</f>
        <v/>
      </c>
      <c r="AR483" s="185" t="n">
        <f aca="false">'ANR OK vs ML7'!AR483</f>
        <v>0.1</v>
      </c>
      <c r="AS483" s="213" t="str">
        <f aca="false">IF(A484="","",1/(1+CHOOSE(F$3,(AR484+($I$3/10000))/2,(AR483+($I$3/10000))/2))^(2*AQ483/365.25))</f>
        <v/>
      </c>
      <c r="AT483" s="137" t="str">
        <f aca="false">IF(A484="","",IF(AND(mthbeg&lt;=A483,mthend&gt;=A483),1,0))</f>
        <v/>
      </c>
      <c r="AU483" s="137" t="str">
        <f aca="false">IF(A484="","",AO483*AT483)</f>
        <v/>
      </c>
      <c r="AW483" s="195" t="str">
        <f aca="false">IF($A484="","",AL483*$E483)</f>
        <v/>
      </c>
      <c r="AX483" s="195" t="str">
        <f aca="false">IF($A484="","",AM483*$E483)</f>
        <v/>
      </c>
      <c r="AY483" s="195" t="str">
        <f aca="false">IF($A484="","",AN483*$E483)</f>
        <v/>
      </c>
      <c r="BA483" s="195" t="str">
        <f aca="false">IF($A484="","",F483*Summary!$Q$11)</f>
        <v/>
      </c>
    </row>
    <row r="484" customFormat="false" ht="12.75" hidden="false" customHeight="false" outlineLevel="0" collapsed="false">
      <c r="A484" s="196" t="str">
        <f aca="false">IF(A483&lt;mthend,EDATE(A483,1),"")</f>
        <v/>
      </c>
      <c r="B484" s="197" t="str">
        <f aca="false">IF(A484&lt;mthend,B483,"")</f>
        <v/>
      </c>
      <c r="D484" s="197" t="str">
        <f aca="false">IF(A485&lt;&gt;"",B484+C484,"")</f>
        <v/>
      </c>
      <c r="E484" s="199" t="str">
        <f aca="false">IF(A485="","",IF(AND(AT484=1,$H$3=1),D484*AO484,IF($H$3=2,D484,"N/A")))</f>
        <v/>
      </c>
      <c r="F484" s="199" t="str">
        <f aca="false">IF(A485="","",E484*AS484)</f>
        <v/>
      </c>
      <c r="G484" s="200" t="str">
        <f aca="false">IF($A485="","",VLOOKUP($A484,Table,MATCH(G$4,Curves,0)))</f>
        <v/>
      </c>
      <c r="H484" s="201" t="str">
        <f aca="false">IF(A485="","",G484)</f>
        <v/>
      </c>
      <c r="J484" s="200" t="str">
        <f aca="false">IF($A485="","",VLOOKUP($A484,Table,MATCH(J$4,Curves,0)))</f>
        <v/>
      </c>
      <c r="K484" s="201" t="str">
        <f aca="false">IF(A485="","",J484)</f>
        <v/>
      </c>
      <c r="L484" s="200" t="str">
        <f aca="false">IF($A485="","",VLOOKUP($A484,Table,MATCH(L$4,Curves,0)))</f>
        <v/>
      </c>
      <c r="M484" s="201" t="str">
        <f aca="false">IF(A485="","",L484)</f>
        <v/>
      </c>
      <c r="O484" s="200" t="str">
        <f aca="false">IF(A485="","",L484+J484+G484)</f>
        <v/>
      </c>
      <c r="P484" s="200" t="str">
        <f aca="false">IF(A485="","",M484+K484+H484)</f>
        <v/>
      </c>
      <c r="R484" s="200" t="str">
        <f aca="false">IF($A485="","",VLOOKUP($A484,Table,MATCH(R$4,Curves,0)))</f>
        <v/>
      </c>
      <c r="S484" s="201" t="str">
        <f aca="false">IF(A485="","",R484)</f>
        <v/>
      </c>
      <c r="T484" s="185" t="n">
        <v>0</v>
      </c>
      <c r="U484" s="201" t="str">
        <f aca="false">IF(A485="","",T484)</f>
        <v/>
      </c>
      <c r="V484" s="205" t="str">
        <f aca="false">IF($A485="","",IF(AND(MONTH(A484)&gt;3,MONTH(A484)&lt;11),(T484+R484+G484)*Summary!$T$11/(1-Summary!$T$11),(T484+R484+G484)*Summary!$U$11/(1-Summary!$U$11)))</f>
        <v/>
      </c>
      <c r="W484" s="202" t="str">
        <f aca="false">IF($A485="","",(T484+R484+G484+V484))</f>
        <v/>
      </c>
      <c r="X484" s="202" t="str">
        <f aca="false">IF($A485="","",(U484+S484+H484+V484))</f>
        <v/>
      </c>
      <c r="Y484" s="202"/>
      <c r="AJ484" s="77"/>
      <c r="AK484" s="77"/>
      <c r="AL484" s="77"/>
      <c r="AM484" s="77"/>
      <c r="AN484" s="77"/>
      <c r="AO484" s="137" t="str">
        <f aca="false">IF(A485="","",A485-A484)</f>
        <v/>
      </c>
      <c r="AP484" s="212" t="str">
        <f aca="false">IF(A485="","",CHOOSE(F$3,A485+24,A484))</f>
        <v/>
      </c>
      <c r="AQ484" s="209" t="str">
        <f aca="false">IF(A485="","",AP484-$E$1)</f>
        <v/>
      </c>
      <c r="AR484" s="185" t="n">
        <f aca="false">'ANR OK vs ML7'!AR484</f>
        <v>0.1</v>
      </c>
      <c r="AS484" s="213" t="str">
        <f aca="false">IF(A485="","",1/(1+CHOOSE(F$3,(AR485+($I$3/10000))/2,(AR484+($I$3/10000))/2))^(2*AQ484/365.25))</f>
        <v/>
      </c>
      <c r="AT484" s="137" t="str">
        <f aca="false">IF(A485="","",IF(AND(mthbeg&lt;=A484,mthend&gt;=A484),1,0))</f>
        <v/>
      </c>
      <c r="AU484" s="137" t="str">
        <f aca="false">IF(A485="","",AO484*AT484)</f>
        <v/>
      </c>
      <c r="AW484" s="195" t="str">
        <f aca="false">IF($A485="","",AL484*$E484)</f>
        <v/>
      </c>
      <c r="AX484" s="195" t="str">
        <f aca="false">IF($A485="","",AM484*$E484)</f>
        <v/>
      </c>
      <c r="AY484" s="195" t="str">
        <f aca="false">IF($A485="","",AN484*$E484)</f>
        <v/>
      </c>
      <c r="BA484" s="195" t="str">
        <f aca="false">IF($A485="","",F484*Summary!$Q$11)</f>
        <v/>
      </c>
    </row>
    <row r="485" customFormat="false" ht="12.75" hidden="false" customHeight="false" outlineLevel="0" collapsed="false">
      <c r="A485" s="196" t="str">
        <f aca="false">IF(A484&lt;mthend,EDATE(A484,1),"")</f>
        <v/>
      </c>
      <c r="B485" s="197" t="str">
        <f aca="false">IF(A485&lt;mthend,B484,"")</f>
        <v/>
      </c>
      <c r="D485" s="197" t="str">
        <f aca="false">IF(A486&lt;&gt;"",B485+C485,"")</f>
        <v/>
      </c>
      <c r="E485" s="199" t="str">
        <f aca="false">IF(A486="","",IF(AND(AT485=1,$H$3=1),D485*AO485,IF($H$3=2,D485,"N/A")))</f>
        <v/>
      </c>
      <c r="F485" s="199" t="str">
        <f aca="false">IF(A486="","",E485*AS485)</f>
        <v/>
      </c>
      <c r="G485" s="200" t="str">
        <f aca="false">IF($A486="","",VLOOKUP($A485,Table,MATCH(G$4,Curves,0)))</f>
        <v/>
      </c>
      <c r="H485" s="201" t="str">
        <f aca="false">IF(A486="","",G485)</f>
        <v/>
      </c>
      <c r="J485" s="200" t="str">
        <f aca="false">IF($A486="","",VLOOKUP($A485,Table,MATCH(J$4,Curves,0)))</f>
        <v/>
      </c>
      <c r="K485" s="201" t="str">
        <f aca="false">IF(A486="","",J485)</f>
        <v/>
      </c>
      <c r="L485" s="200" t="str">
        <f aca="false">IF($A486="","",VLOOKUP($A485,Table,MATCH(L$4,Curves,0)))</f>
        <v/>
      </c>
      <c r="M485" s="201" t="str">
        <f aca="false">IF(A486="","",L485)</f>
        <v/>
      </c>
      <c r="O485" s="200" t="str">
        <f aca="false">IF(A486="","",L485+J485+G485)</f>
        <v/>
      </c>
      <c r="P485" s="200" t="str">
        <f aca="false">IF(A486="","",M485+K485+H485)</f>
        <v/>
      </c>
      <c r="R485" s="200" t="str">
        <f aca="false">IF($A486="","",VLOOKUP($A485,Table,MATCH(R$4,Curves,0)))</f>
        <v/>
      </c>
      <c r="S485" s="201" t="str">
        <f aca="false">IF(A486="","",R485)</f>
        <v/>
      </c>
      <c r="T485" s="185" t="n">
        <v>0</v>
      </c>
      <c r="U485" s="201" t="str">
        <f aca="false">IF(A486="","",T485)</f>
        <v/>
      </c>
      <c r="V485" s="205" t="str">
        <f aca="false">IF($A486="","",IF(AND(MONTH(A485)&gt;3,MONTH(A485)&lt;11),(T485+R485+G485)*Summary!$T$11/(1-Summary!$T$11),(T485+R485+G485)*Summary!$U$11/(1-Summary!$U$11)))</f>
        <v/>
      </c>
      <c r="W485" s="202" t="str">
        <f aca="false">IF($A486="","",(T485+R485+G485+V485))</f>
        <v/>
      </c>
      <c r="X485" s="202" t="str">
        <f aca="false">IF($A486="","",(U485+S485+H485+V485))</f>
        <v/>
      </c>
      <c r="Y485" s="202"/>
      <c r="AJ485" s="77"/>
      <c r="AK485" s="77"/>
      <c r="AL485" s="77"/>
      <c r="AM485" s="77"/>
      <c r="AN485" s="77"/>
      <c r="AO485" s="137" t="str">
        <f aca="false">IF(A486="","",A486-A485)</f>
        <v/>
      </c>
      <c r="AP485" s="212" t="str">
        <f aca="false">IF(A486="","",CHOOSE(F$3,A486+24,A485))</f>
        <v/>
      </c>
      <c r="AQ485" s="209" t="str">
        <f aca="false">IF(A486="","",AP485-$E$1)</f>
        <v/>
      </c>
      <c r="AR485" s="185" t="n">
        <f aca="false">'ANR OK vs ML7'!AR485</f>
        <v>0.1</v>
      </c>
      <c r="AS485" s="213" t="str">
        <f aca="false">IF(A486="","",1/(1+CHOOSE(F$3,(AR486+($I$3/10000))/2,(AR485+($I$3/10000))/2))^(2*AQ485/365.25))</f>
        <v/>
      </c>
      <c r="AT485" s="137" t="str">
        <f aca="false">IF(A486="","",IF(AND(mthbeg&lt;=A485,mthend&gt;=A485),1,0))</f>
        <v/>
      </c>
      <c r="AU485" s="137" t="str">
        <f aca="false">IF(A486="","",AO485*AT485)</f>
        <v/>
      </c>
      <c r="AW485" s="195" t="str">
        <f aca="false">IF($A486="","",AL485*$E485)</f>
        <v/>
      </c>
      <c r="AX485" s="195" t="str">
        <f aca="false">IF($A486="","",AM485*$E485)</f>
        <v/>
      </c>
      <c r="AY485" s="195" t="str">
        <f aca="false">IF($A486="","",AN485*$E485)</f>
        <v/>
      </c>
      <c r="BA485" s="195" t="str">
        <f aca="false">IF($A486="","",F485*Summary!$Q$11)</f>
        <v/>
      </c>
    </row>
    <row r="486" customFormat="false" ht="12.75" hidden="false" customHeight="false" outlineLevel="0" collapsed="false">
      <c r="A486" s="196" t="str">
        <f aca="false">IF(A485&lt;mthend,EDATE(A485,1),"")</f>
        <v/>
      </c>
      <c r="B486" s="197" t="str">
        <f aca="false">IF(A486&lt;mthend,B485,"")</f>
        <v/>
      </c>
      <c r="D486" s="197" t="str">
        <f aca="false">IF(A487&lt;&gt;"",B486+C486,"")</f>
        <v/>
      </c>
      <c r="E486" s="199" t="str">
        <f aca="false">IF(A487="","",IF(AND(AT486=1,$H$3=1),D486*AO486,IF($H$3=2,D486,"N/A")))</f>
        <v/>
      </c>
      <c r="F486" s="199" t="str">
        <f aca="false">IF(A487="","",E486*AS486)</f>
        <v/>
      </c>
      <c r="G486" s="200" t="str">
        <f aca="false">IF($A487="","",VLOOKUP($A486,Table,MATCH(G$4,Curves,0)))</f>
        <v/>
      </c>
      <c r="H486" s="201" t="str">
        <f aca="false">IF(A487="","",G486)</f>
        <v/>
      </c>
      <c r="J486" s="200" t="str">
        <f aca="false">IF($A487="","",VLOOKUP($A486,Table,MATCH(J$4,Curves,0)))</f>
        <v/>
      </c>
      <c r="K486" s="201" t="str">
        <f aca="false">IF(A487="","",J486)</f>
        <v/>
      </c>
      <c r="L486" s="200" t="str">
        <f aca="false">IF($A487="","",VLOOKUP($A486,Table,MATCH(L$4,Curves,0)))</f>
        <v/>
      </c>
      <c r="M486" s="201" t="str">
        <f aca="false">IF(A487="","",L486)</f>
        <v/>
      </c>
      <c r="O486" s="200" t="str">
        <f aca="false">IF(A487="","",L486+J486+G486)</f>
        <v/>
      </c>
      <c r="P486" s="200" t="str">
        <f aca="false">IF(A487="","",M486+K486+H486)</f>
        <v/>
      </c>
      <c r="R486" s="200" t="str">
        <f aca="false">IF($A487="","",VLOOKUP($A486,Table,MATCH(R$4,Curves,0)))</f>
        <v/>
      </c>
      <c r="S486" s="201" t="str">
        <f aca="false">IF(A487="","",R486)</f>
        <v/>
      </c>
      <c r="T486" s="185" t="n">
        <v>0</v>
      </c>
      <c r="U486" s="201" t="str">
        <f aca="false">IF(A487="","",T486)</f>
        <v/>
      </c>
      <c r="V486" s="205" t="str">
        <f aca="false">IF($A487="","",IF(AND(MONTH(A486)&gt;3,MONTH(A486)&lt;11),(T486+R486+G486)*Summary!$T$11/(1-Summary!$T$11),(T486+R486+G486)*Summary!$U$11/(1-Summary!$U$11)))</f>
        <v/>
      </c>
      <c r="W486" s="202" t="str">
        <f aca="false">IF($A487="","",(T486+R486+G486+V486))</f>
        <v/>
      </c>
      <c r="X486" s="202" t="str">
        <f aca="false">IF($A487="","",(U486+S486+H486+V486))</f>
        <v/>
      </c>
      <c r="Y486" s="202"/>
      <c r="AJ486" s="77"/>
      <c r="AK486" s="77"/>
      <c r="AL486" s="77"/>
      <c r="AM486" s="77"/>
      <c r="AN486" s="77"/>
      <c r="AO486" s="137" t="str">
        <f aca="false">IF(A487="","",A487-A486)</f>
        <v/>
      </c>
      <c r="AP486" s="212" t="str">
        <f aca="false">IF(A487="","",CHOOSE(F$3,A487+24,A486))</f>
        <v/>
      </c>
      <c r="AQ486" s="209" t="str">
        <f aca="false">IF(A487="","",AP486-$E$1)</f>
        <v/>
      </c>
      <c r="AR486" s="185" t="n">
        <f aca="false">'ANR OK vs ML7'!AR486</f>
        <v>0.1</v>
      </c>
      <c r="AS486" s="213" t="str">
        <f aca="false">IF(A487="","",1/(1+CHOOSE(F$3,(AR487+($I$3/10000))/2,(AR486+($I$3/10000))/2))^(2*AQ486/365.25))</f>
        <v/>
      </c>
      <c r="AT486" s="137" t="str">
        <f aca="false">IF(A487="","",IF(AND(mthbeg&lt;=A486,mthend&gt;=A486),1,0))</f>
        <v/>
      </c>
      <c r="AU486" s="137" t="str">
        <f aca="false">IF(A487="","",AO486*AT486)</f>
        <v/>
      </c>
      <c r="AW486" s="195" t="str">
        <f aca="false">IF($A487="","",AL486*$E486)</f>
        <v/>
      </c>
      <c r="AX486" s="195" t="str">
        <f aca="false">IF($A487="","",AM486*$E486)</f>
        <v/>
      </c>
      <c r="AY486" s="195" t="str">
        <f aca="false">IF($A487="","",AN486*$E486)</f>
        <v/>
      </c>
      <c r="BA486" s="195" t="str">
        <f aca="false">IF($A487="","",F486*Summary!$Q$11)</f>
        <v/>
      </c>
    </row>
    <row r="487" customFormat="false" ht="12.75" hidden="false" customHeight="false" outlineLevel="0" collapsed="false">
      <c r="A487" s="196" t="str">
        <f aca="false">IF(A486&lt;mthend,EDATE(A486,1),"")</f>
        <v/>
      </c>
      <c r="B487" s="197" t="str">
        <f aca="false">IF(A487&lt;mthend,B486,"")</f>
        <v/>
      </c>
      <c r="D487" s="197" t="str">
        <f aca="false">IF(A488&lt;&gt;"",B487+C487,"")</f>
        <v/>
      </c>
      <c r="E487" s="199" t="str">
        <f aca="false">IF(A488="","",IF(AND(AT487=1,$H$3=1),D487*AO487,IF($H$3=2,D487,"N/A")))</f>
        <v/>
      </c>
      <c r="F487" s="199" t="str">
        <f aca="false">IF(A488="","",E487*AS487)</f>
        <v/>
      </c>
      <c r="G487" s="200" t="str">
        <f aca="false">IF($A488="","",VLOOKUP($A487,Table,MATCH(G$4,Curves,0)))</f>
        <v/>
      </c>
      <c r="H487" s="201" t="str">
        <f aca="false">IF(A488="","",G487)</f>
        <v/>
      </c>
      <c r="J487" s="200" t="str">
        <f aca="false">IF($A488="","",VLOOKUP($A487,Table,MATCH(J$4,Curves,0)))</f>
        <v/>
      </c>
      <c r="K487" s="201" t="str">
        <f aca="false">IF(A488="","",J487)</f>
        <v/>
      </c>
      <c r="L487" s="200" t="str">
        <f aca="false">IF($A488="","",VLOOKUP($A487,Table,MATCH(L$4,Curves,0)))</f>
        <v/>
      </c>
      <c r="M487" s="201" t="str">
        <f aca="false">IF(A488="","",L487)</f>
        <v/>
      </c>
      <c r="O487" s="200" t="str">
        <f aca="false">IF(A488="","",L487+J487+G487)</f>
        <v/>
      </c>
      <c r="P487" s="200" t="str">
        <f aca="false">IF(A488="","",M487+K487+H487)</f>
        <v/>
      </c>
      <c r="R487" s="200" t="str">
        <f aca="false">IF($A488="","",VLOOKUP($A487,Table,MATCH(R$4,Curves,0)))</f>
        <v/>
      </c>
      <c r="S487" s="201" t="str">
        <f aca="false">IF(A488="","",R487)</f>
        <v/>
      </c>
      <c r="T487" s="185" t="n">
        <v>0</v>
      </c>
      <c r="U487" s="201" t="str">
        <f aca="false">IF(A488="","",T487)</f>
        <v/>
      </c>
      <c r="V487" s="205" t="str">
        <f aca="false">IF($A488="","",IF(AND(MONTH(A487)&gt;3,MONTH(A487)&lt;11),(T487+R487+G487)*Summary!$T$11/(1-Summary!$T$11),(T487+R487+G487)*Summary!$U$11/(1-Summary!$U$11)))</f>
        <v/>
      </c>
      <c r="W487" s="202" t="str">
        <f aca="false">IF($A488="","",(T487+R487+G487+V487))</f>
        <v/>
      </c>
      <c r="X487" s="202" t="str">
        <f aca="false">IF($A488="","",(U487+S487+H487+V487))</f>
        <v/>
      </c>
      <c r="Y487" s="202"/>
      <c r="AJ487" s="77"/>
      <c r="AK487" s="77"/>
      <c r="AL487" s="77"/>
      <c r="AM487" s="77"/>
      <c r="AN487" s="77"/>
      <c r="AO487" s="137" t="str">
        <f aca="false">IF(A488="","",A488-A487)</f>
        <v/>
      </c>
      <c r="AP487" s="212" t="str">
        <f aca="false">IF(A488="","",CHOOSE(F$3,A488+24,A487))</f>
        <v/>
      </c>
      <c r="AQ487" s="209" t="str">
        <f aca="false">IF(A488="","",AP487-$E$1)</f>
        <v/>
      </c>
      <c r="AR487" s="185" t="n">
        <f aca="false">'ANR OK vs ML7'!AR487</f>
        <v>0.1</v>
      </c>
      <c r="AS487" s="213" t="str">
        <f aca="false">IF(A488="","",1/(1+CHOOSE(F$3,(AR488+($I$3/10000))/2,(AR487+($I$3/10000))/2))^(2*AQ487/365.25))</f>
        <v/>
      </c>
      <c r="AT487" s="137" t="str">
        <f aca="false">IF(A488="","",IF(AND(mthbeg&lt;=A487,mthend&gt;=A487),1,0))</f>
        <v/>
      </c>
      <c r="AU487" s="137" t="str">
        <f aca="false">IF(A488="","",AO487*AT487)</f>
        <v/>
      </c>
      <c r="AW487" s="195" t="str">
        <f aca="false">IF($A488="","",AL487*$E487)</f>
        <v/>
      </c>
      <c r="AX487" s="195" t="str">
        <f aca="false">IF($A488="","",AM487*$E487)</f>
        <v/>
      </c>
      <c r="AY487" s="195" t="str">
        <f aca="false">IF($A488="","",AN487*$E487)</f>
        <v/>
      </c>
      <c r="BA487" s="195" t="str">
        <f aca="false">IF($A488="","",F487*Summary!$Q$11)</f>
        <v/>
      </c>
    </row>
    <row r="488" customFormat="false" ht="12.75" hidden="false" customHeight="false" outlineLevel="0" collapsed="false">
      <c r="A488" s="196" t="str">
        <f aca="false">IF(A487&lt;mthend,EDATE(A487,1),"")</f>
        <v/>
      </c>
      <c r="B488" s="197" t="str">
        <f aca="false">IF(A488&lt;mthend,B487,"")</f>
        <v/>
      </c>
      <c r="D488" s="197" t="str">
        <f aca="false">IF(A489&lt;&gt;"",B488+C488,"")</f>
        <v/>
      </c>
      <c r="E488" s="199" t="str">
        <f aca="false">IF(A489="","",IF(AND(AT488=1,$H$3=1),D488*AO488,IF($H$3=2,D488,"N/A")))</f>
        <v/>
      </c>
      <c r="F488" s="199" t="str">
        <f aca="false">IF(A489="","",E488*AS488)</f>
        <v/>
      </c>
      <c r="G488" s="200" t="str">
        <f aca="false">IF($A489="","",VLOOKUP($A488,Table,MATCH(G$4,Curves,0)))</f>
        <v/>
      </c>
      <c r="H488" s="201" t="str">
        <f aca="false">IF(A489="","",G488)</f>
        <v/>
      </c>
      <c r="J488" s="200" t="str">
        <f aca="false">IF($A489="","",VLOOKUP($A488,Table,MATCH(J$4,Curves,0)))</f>
        <v/>
      </c>
      <c r="K488" s="201" t="str">
        <f aca="false">IF(A489="","",J488)</f>
        <v/>
      </c>
      <c r="L488" s="200" t="str">
        <f aca="false">IF($A489="","",VLOOKUP($A488,Table,MATCH(L$4,Curves,0)))</f>
        <v/>
      </c>
      <c r="M488" s="201" t="str">
        <f aca="false">IF(A489="","",L488)</f>
        <v/>
      </c>
      <c r="O488" s="200" t="str">
        <f aca="false">IF(A489="","",L488+J488+G488)</f>
        <v/>
      </c>
      <c r="P488" s="200" t="str">
        <f aca="false">IF(A489="","",M488+K488+H488)</f>
        <v/>
      </c>
      <c r="R488" s="200" t="str">
        <f aca="false">IF($A489="","",VLOOKUP($A488,Table,MATCH(R$4,Curves,0)))</f>
        <v/>
      </c>
      <c r="S488" s="201" t="str">
        <f aca="false">IF(A489="","",R488)</f>
        <v/>
      </c>
      <c r="T488" s="185" t="n">
        <v>0</v>
      </c>
      <c r="U488" s="201" t="str">
        <f aca="false">IF(A489="","",T488)</f>
        <v/>
      </c>
      <c r="V488" s="205" t="str">
        <f aca="false">IF($A489="","",IF(AND(MONTH(A488)&gt;3,MONTH(A488)&lt;11),(T488+R488+G488)*Summary!$T$11/(1-Summary!$T$11),(T488+R488+G488)*Summary!$U$11/(1-Summary!$U$11)))</f>
        <v/>
      </c>
      <c r="W488" s="202" t="str">
        <f aca="false">IF($A489="","",(T488+R488+G488+V488))</f>
        <v/>
      </c>
      <c r="X488" s="202" t="str">
        <f aca="false">IF($A489="","",(U488+S488+H488+V488))</f>
        <v/>
      </c>
      <c r="Y488" s="202"/>
      <c r="AJ488" s="77"/>
      <c r="AK488" s="77"/>
      <c r="AL488" s="77"/>
      <c r="AM488" s="77"/>
      <c r="AN488" s="77"/>
      <c r="AO488" s="137" t="str">
        <f aca="false">IF(A489="","",A489-A488)</f>
        <v/>
      </c>
      <c r="AP488" s="212" t="str">
        <f aca="false">IF(A489="","",CHOOSE(F$3,A489+24,A488))</f>
        <v/>
      </c>
      <c r="AQ488" s="209" t="str">
        <f aca="false">IF(A489="","",AP488-$E$1)</f>
        <v/>
      </c>
      <c r="AR488" s="185" t="n">
        <f aca="false">'ANR OK vs ML7'!AR488</f>
        <v>0.1</v>
      </c>
      <c r="AS488" s="213" t="str">
        <f aca="false">IF(A489="","",1/(1+CHOOSE(F$3,(AR489+($I$3/10000))/2,(AR488+($I$3/10000))/2))^(2*AQ488/365.25))</f>
        <v/>
      </c>
      <c r="AT488" s="137" t="str">
        <f aca="false">IF(A489="","",IF(AND(mthbeg&lt;=A488,mthend&gt;=A488),1,0))</f>
        <v/>
      </c>
      <c r="AU488" s="137" t="str">
        <f aca="false">IF(A489="","",AO488*AT488)</f>
        <v/>
      </c>
      <c r="AW488" s="195" t="str">
        <f aca="false">IF($A489="","",AL488*$E488)</f>
        <v/>
      </c>
      <c r="AX488" s="195" t="str">
        <f aca="false">IF($A489="","",AM488*$E488)</f>
        <v/>
      </c>
      <c r="AY488" s="195" t="str">
        <f aca="false">IF($A489="","",AN488*$E488)</f>
        <v/>
      </c>
      <c r="BA488" s="195" t="str">
        <f aca="false">IF($A489="","",F488*Summary!$Q$11)</f>
        <v/>
      </c>
    </row>
    <row r="489" customFormat="false" ht="12.75" hidden="false" customHeight="false" outlineLevel="0" collapsed="false">
      <c r="A489" s="196" t="str">
        <f aca="false">IF(A488&lt;mthend,EDATE(A488,1),"")</f>
        <v/>
      </c>
      <c r="B489" s="197" t="str">
        <f aca="false">IF(A489&lt;mthend,B488,"")</f>
        <v/>
      </c>
      <c r="D489" s="197" t="str">
        <f aca="false">IF(A490&lt;&gt;"",B489+C489,"")</f>
        <v/>
      </c>
      <c r="E489" s="199" t="str">
        <f aca="false">IF(A490="","",IF(AND(AT489=1,$H$3=1),D489*AO489,IF($H$3=2,D489,"N/A")))</f>
        <v/>
      </c>
      <c r="F489" s="199" t="str">
        <f aca="false">IF(A490="","",E489*AS489)</f>
        <v/>
      </c>
      <c r="G489" s="200" t="str">
        <f aca="false">IF($A490="","",VLOOKUP($A489,Table,MATCH(G$4,Curves,0)))</f>
        <v/>
      </c>
      <c r="H489" s="201" t="str">
        <f aca="false">IF(A490="","",G489)</f>
        <v/>
      </c>
      <c r="J489" s="200" t="str">
        <f aca="false">IF($A490="","",VLOOKUP($A489,Table,MATCH(J$4,Curves,0)))</f>
        <v/>
      </c>
      <c r="K489" s="201" t="str">
        <f aca="false">IF(A490="","",J489)</f>
        <v/>
      </c>
      <c r="L489" s="200" t="str">
        <f aca="false">IF($A490="","",VLOOKUP($A489,Table,MATCH(L$4,Curves,0)))</f>
        <v/>
      </c>
      <c r="M489" s="201" t="str">
        <f aca="false">IF(A490="","",L489)</f>
        <v/>
      </c>
      <c r="O489" s="200" t="str">
        <f aca="false">IF(A490="","",L489+J489+G489)</f>
        <v/>
      </c>
      <c r="P489" s="200" t="str">
        <f aca="false">IF(A490="","",M489+K489+H489)</f>
        <v/>
      </c>
      <c r="R489" s="200" t="str">
        <f aca="false">IF($A490="","",VLOOKUP($A489,Table,MATCH(R$4,Curves,0)))</f>
        <v/>
      </c>
      <c r="S489" s="201" t="str">
        <f aca="false">IF(A490="","",R489)</f>
        <v/>
      </c>
      <c r="T489" s="185" t="n">
        <v>0</v>
      </c>
      <c r="U489" s="201" t="str">
        <f aca="false">IF(A490="","",T489)</f>
        <v/>
      </c>
      <c r="V489" s="205" t="str">
        <f aca="false">IF($A490="","",IF(AND(MONTH(A489)&gt;3,MONTH(A489)&lt;11),(T489+R489+G489)*Summary!$T$11/(1-Summary!$T$11),(T489+R489+G489)*Summary!$U$11/(1-Summary!$U$11)))</f>
        <v/>
      </c>
      <c r="W489" s="202" t="str">
        <f aca="false">IF($A490="","",(T489+R489+G489+V489))</f>
        <v/>
      </c>
      <c r="X489" s="202" t="str">
        <f aca="false">IF($A490="","",(U489+S489+H489+V489))</f>
        <v/>
      </c>
      <c r="Y489" s="202"/>
      <c r="AJ489" s="77"/>
      <c r="AK489" s="77"/>
      <c r="AL489" s="77"/>
      <c r="AM489" s="77"/>
      <c r="AN489" s="77"/>
      <c r="AO489" s="137" t="str">
        <f aca="false">IF(A490="","",A490-A489)</f>
        <v/>
      </c>
      <c r="AP489" s="212" t="str">
        <f aca="false">IF(A490="","",CHOOSE(F$3,A490+24,A489))</f>
        <v/>
      </c>
      <c r="AQ489" s="209" t="str">
        <f aca="false">IF(A490="","",AP489-$E$1)</f>
        <v/>
      </c>
      <c r="AR489" s="185" t="n">
        <f aca="false">'ANR OK vs ML7'!AR489</f>
        <v>0.1</v>
      </c>
      <c r="AS489" s="213" t="str">
        <f aca="false">IF(A490="","",1/(1+CHOOSE(F$3,(AR490+($I$3/10000))/2,(AR489+($I$3/10000))/2))^(2*AQ489/365.25))</f>
        <v/>
      </c>
      <c r="AT489" s="137" t="str">
        <f aca="false">IF(A490="","",IF(AND(mthbeg&lt;=A489,mthend&gt;=A489),1,0))</f>
        <v/>
      </c>
      <c r="AU489" s="137" t="str">
        <f aca="false">IF(A490="","",AO489*AT489)</f>
        <v/>
      </c>
      <c r="AW489" s="195" t="str">
        <f aca="false">IF($A490="","",AL489*$E489)</f>
        <v/>
      </c>
      <c r="AX489" s="195" t="str">
        <f aca="false">IF($A490="","",AM489*$E489)</f>
        <v/>
      </c>
      <c r="AY489" s="195" t="str">
        <f aca="false">IF($A490="","",AN489*$E489)</f>
        <v/>
      </c>
      <c r="BA489" s="195" t="str">
        <f aca="false">IF($A490="","",F489*Summary!$Q$11)</f>
        <v/>
      </c>
    </row>
    <row r="490" customFormat="false" ht="12.75" hidden="false" customHeight="false" outlineLevel="0" collapsed="false">
      <c r="A490" s="196" t="str">
        <f aca="false">IF(A489&lt;mthend,EDATE(A489,1),"")</f>
        <v/>
      </c>
      <c r="B490" s="197" t="str">
        <f aca="false">IF(A490&lt;mthend,B489,"")</f>
        <v/>
      </c>
      <c r="D490" s="197" t="str">
        <f aca="false">IF(A491&lt;&gt;"",B490+C490,"")</f>
        <v/>
      </c>
      <c r="E490" s="199" t="str">
        <f aca="false">IF(A491="","",IF(AND(AT490=1,$H$3=1),D490*AO490,IF($H$3=2,D490,"N/A")))</f>
        <v/>
      </c>
      <c r="F490" s="199" t="str">
        <f aca="false">IF(A491="","",E490*AS490)</f>
        <v/>
      </c>
      <c r="G490" s="200" t="str">
        <f aca="false">IF($A491="","",VLOOKUP($A490,Table,MATCH(G$4,Curves,0)))</f>
        <v/>
      </c>
      <c r="H490" s="201" t="str">
        <f aca="false">IF(A491="","",G490)</f>
        <v/>
      </c>
      <c r="J490" s="200" t="str">
        <f aca="false">IF($A491="","",VLOOKUP($A490,Table,MATCH(J$4,Curves,0)))</f>
        <v/>
      </c>
      <c r="K490" s="201" t="str">
        <f aca="false">IF(A491="","",J490)</f>
        <v/>
      </c>
      <c r="L490" s="200" t="str">
        <f aca="false">IF($A491="","",VLOOKUP($A490,Table,MATCH(L$4,Curves,0)))</f>
        <v/>
      </c>
      <c r="M490" s="201" t="str">
        <f aca="false">IF(A491="","",L490)</f>
        <v/>
      </c>
      <c r="O490" s="200" t="str">
        <f aca="false">IF(A491="","",L490+J490+G490)</f>
        <v/>
      </c>
      <c r="P490" s="200" t="str">
        <f aca="false">IF(A491="","",M490+K490+H490)</f>
        <v/>
      </c>
      <c r="R490" s="200" t="str">
        <f aca="false">IF($A491="","",VLOOKUP($A490,Table,MATCH(R$4,Curves,0)))</f>
        <v/>
      </c>
      <c r="S490" s="201" t="str">
        <f aca="false">IF(A491="","",R490)</f>
        <v/>
      </c>
      <c r="T490" s="185" t="n">
        <v>0</v>
      </c>
      <c r="U490" s="201" t="str">
        <f aca="false">IF(A491="","",T490)</f>
        <v/>
      </c>
      <c r="V490" s="205" t="str">
        <f aca="false">IF($A491="","",IF(AND(MONTH(A490)&gt;3,MONTH(A490)&lt;11),(T490+R490+G490)*Summary!$T$11/(1-Summary!$T$11),(T490+R490+G490)*Summary!$U$11/(1-Summary!$U$11)))</f>
        <v/>
      </c>
      <c r="W490" s="202" t="str">
        <f aca="false">IF($A491="","",(T490+R490+G490+V490))</f>
        <v/>
      </c>
      <c r="X490" s="202" t="str">
        <f aca="false">IF($A491="","",(U490+S490+H490+V490))</f>
        <v/>
      </c>
      <c r="Y490" s="202"/>
      <c r="AJ490" s="77"/>
      <c r="AK490" s="77"/>
      <c r="AL490" s="77"/>
      <c r="AM490" s="77"/>
      <c r="AN490" s="77"/>
      <c r="AO490" s="137" t="str">
        <f aca="false">IF(A491="","",A491-A490)</f>
        <v/>
      </c>
      <c r="AP490" s="212" t="str">
        <f aca="false">IF(A491="","",CHOOSE(F$3,A491+24,A490))</f>
        <v/>
      </c>
      <c r="AQ490" s="209" t="str">
        <f aca="false">IF(A491="","",AP490-$E$1)</f>
        <v/>
      </c>
      <c r="AR490" s="185" t="n">
        <f aca="false">'ANR OK vs ML7'!AR490</f>
        <v>0.1</v>
      </c>
      <c r="AS490" s="213" t="str">
        <f aca="false">IF(A491="","",1/(1+CHOOSE(F$3,(AR491+($I$3/10000))/2,(AR490+($I$3/10000))/2))^(2*AQ490/365.25))</f>
        <v/>
      </c>
      <c r="AT490" s="137" t="str">
        <f aca="false">IF(A491="","",IF(AND(mthbeg&lt;=A490,mthend&gt;=A490),1,0))</f>
        <v/>
      </c>
      <c r="AU490" s="137" t="str">
        <f aca="false">IF(A491="","",AO490*AT490)</f>
        <v/>
      </c>
      <c r="AW490" s="195" t="str">
        <f aca="false">IF($A491="","",AL490*$E490)</f>
        <v/>
      </c>
      <c r="AX490" s="195" t="str">
        <f aca="false">IF($A491="","",AM490*$E490)</f>
        <v/>
      </c>
      <c r="AY490" s="195" t="str">
        <f aca="false">IF($A491="","",AN490*$E490)</f>
        <v/>
      </c>
      <c r="BA490" s="195" t="str">
        <f aca="false">IF($A491="","",F490*Summary!$Q$11)</f>
        <v/>
      </c>
    </row>
    <row r="491" customFormat="false" ht="12.75" hidden="false" customHeight="false" outlineLevel="0" collapsed="false">
      <c r="A491" s="196" t="str">
        <f aca="false">IF(A490&lt;mthend,EDATE(A490,1),"")</f>
        <v/>
      </c>
      <c r="B491" s="197" t="str">
        <f aca="false">IF(A491&lt;mthend,B490,"")</f>
        <v/>
      </c>
      <c r="D491" s="197" t="str">
        <f aca="false">IF(A492&lt;&gt;"",B491+C491,"")</f>
        <v/>
      </c>
      <c r="E491" s="199" t="str">
        <f aca="false">IF(A492="","",IF(AND(AT491=1,$H$3=1),D491*AO491,IF($H$3=2,D491,"N/A")))</f>
        <v/>
      </c>
      <c r="F491" s="199" t="str">
        <f aca="false">IF(A492="","",E491*AS491)</f>
        <v/>
      </c>
      <c r="G491" s="200" t="str">
        <f aca="false">IF($A492="","",VLOOKUP($A491,Table,MATCH(G$4,Curves,0)))</f>
        <v/>
      </c>
      <c r="H491" s="201" t="str">
        <f aca="false">IF(A492="","",G491)</f>
        <v/>
      </c>
      <c r="J491" s="200" t="str">
        <f aca="false">IF($A492="","",VLOOKUP($A491,Table,MATCH(J$4,Curves,0)))</f>
        <v/>
      </c>
      <c r="K491" s="201" t="str">
        <f aca="false">IF(A492="","",J491)</f>
        <v/>
      </c>
      <c r="L491" s="200" t="str">
        <f aca="false">IF($A492="","",VLOOKUP($A491,Table,MATCH(L$4,Curves,0)))</f>
        <v/>
      </c>
      <c r="M491" s="201" t="str">
        <f aca="false">IF(A492="","",L491)</f>
        <v/>
      </c>
      <c r="O491" s="200" t="str">
        <f aca="false">IF(A492="","",L491+J491+G491)</f>
        <v/>
      </c>
      <c r="P491" s="200" t="str">
        <f aca="false">IF(A492="","",M491+K491+H491)</f>
        <v/>
      </c>
      <c r="R491" s="200" t="str">
        <f aca="false">IF($A492="","",VLOOKUP($A491,Table,MATCH(R$4,Curves,0)))</f>
        <v/>
      </c>
      <c r="S491" s="201" t="str">
        <f aca="false">IF(A492="","",R491)</f>
        <v/>
      </c>
      <c r="T491" s="185" t="n">
        <v>0</v>
      </c>
      <c r="U491" s="201" t="str">
        <f aca="false">IF(A492="","",T491)</f>
        <v/>
      </c>
      <c r="V491" s="205" t="str">
        <f aca="false">IF($A492="","",IF(AND(MONTH(A491)&gt;3,MONTH(A491)&lt;11),(T491+R491+G491)*Summary!$T$11/(1-Summary!$T$11),(T491+R491+G491)*Summary!$U$11/(1-Summary!$U$11)))</f>
        <v/>
      </c>
      <c r="W491" s="202" t="str">
        <f aca="false">IF($A492="","",(T491+R491+G491+V491))</f>
        <v/>
      </c>
      <c r="X491" s="202" t="str">
        <f aca="false">IF($A492="","",(U491+S491+H491+V491))</f>
        <v/>
      </c>
      <c r="Y491" s="202"/>
      <c r="AJ491" s="77"/>
      <c r="AK491" s="77"/>
      <c r="AL491" s="77"/>
      <c r="AM491" s="77"/>
      <c r="AN491" s="77"/>
      <c r="AO491" s="137" t="str">
        <f aca="false">IF(A492="","",A492-A491)</f>
        <v/>
      </c>
      <c r="AP491" s="212" t="str">
        <f aca="false">IF(A492="","",CHOOSE(F$3,A492+24,A491))</f>
        <v/>
      </c>
      <c r="AQ491" s="209" t="str">
        <f aca="false">IF(A492="","",AP491-$E$1)</f>
        <v/>
      </c>
      <c r="AR491" s="185" t="n">
        <f aca="false">'ANR OK vs ML7'!AR491</f>
        <v>0.1</v>
      </c>
      <c r="AS491" s="213" t="str">
        <f aca="false">IF(A492="","",1/(1+CHOOSE(F$3,(AR492+($I$3/10000))/2,(AR491+($I$3/10000))/2))^(2*AQ491/365.25))</f>
        <v/>
      </c>
      <c r="AT491" s="137" t="str">
        <f aca="false">IF(A492="","",IF(AND(mthbeg&lt;=A491,mthend&gt;=A491),1,0))</f>
        <v/>
      </c>
      <c r="AU491" s="137" t="str">
        <f aca="false">IF(A492="","",AO491*AT491)</f>
        <v/>
      </c>
      <c r="AW491" s="195" t="str">
        <f aca="false">IF($A492="","",AL491*$E491)</f>
        <v/>
      </c>
      <c r="AX491" s="195" t="str">
        <f aca="false">IF($A492="","",AM491*$E491)</f>
        <v/>
      </c>
      <c r="AY491" s="195" t="str">
        <f aca="false">IF($A492="","",AN491*$E491)</f>
        <v/>
      </c>
      <c r="BA491" s="195" t="str">
        <f aca="false">IF($A492="","",F491*Summary!$Q$11)</f>
        <v/>
      </c>
    </row>
    <row r="492" customFormat="false" ht="12.75" hidden="false" customHeight="false" outlineLevel="0" collapsed="false">
      <c r="A492" s="196" t="str">
        <f aca="false">IF(A491&lt;mthend,EDATE(A491,1),"")</f>
        <v/>
      </c>
      <c r="B492" s="197" t="str">
        <f aca="false">IF(A492&lt;mthend,B491,"")</f>
        <v/>
      </c>
      <c r="D492" s="197" t="str">
        <f aca="false">IF(A493&lt;&gt;"",B492+C492,"")</f>
        <v/>
      </c>
      <c r="E492" s="199" t="str">
        <f aca="false">IF(A493="","",IF(AND(AT492=1,$H$3=1),D492*AO492,IF($H$3=2,D492,"N/A")))</f>
        <v/>
      </c>
      <c r="F492" s="199" t="str">
        <f aca="false">IF(A493="","",E492*AS492)</f>
        <v/>
      </c>
      <c r="G492" s="200" t="str">
        <f aca="false">IF($A493="","",VLOOKUP($A492,Table,MATCH(G$4,Curves,0)))</f>
        <v/>
      </c>
      <c r="H492" s="201" t="str">
        <f aca="false">IF(A493="","",G492)</f>
        <v/>
      </c>
      <c r="J492" s="200" t="str">
        <f aca="false">IF($A493="","",VLOOKUP($A492,Table,MATCH(J$4,Curves,0)))</f>
        <v/>
      </c>
      <c r="K492" s="201" t="str">
        <f aca="false">IF(A493="","",J492)</f>
        <v/>
      </c>
      <c r="L492" s="200" t="str">
        <f aca="false">IF($A493="","",VLOOKUP($A492,Table,MATCH(L$4,Curves,0)))</f>
        <v/>
      </c>
      <c r="M492" s="201" t="str">
        <f aca="false">IF(A493="","",L492)</f>
        <v/>
      </c>
      <c r="O492" s="200" t="str">
        <f aca="false">IF(A493="","",L492+J492+G492)</f>
        <v/>
      </c>
      <c r="P492" s="200" t="str">
        <f aca="false">IF(A493="","",M492+K492+H492)</f>
        <v/>
      </c>
      <c r="R492" s="200" t="str">
        <f aca="false">IF($A493="","",VLOOKUP($A492,Table,MATCH(R$4,Curves,0)))</f>
        <v/>
      </c>
      <c r="S492" s="201" t="str">
        <f aca="false">IF(A493="","",R492)</f>
        <v/>
      </c>
      <c r="T492" s="185" t="n">
        <v>0</v>
      </c>
      <c r="U492" s="201" t="str">
        <f aca="false">IF(A493="","",T492)</f>
        <v/>
      </c>
      <c r="V492" s="205" t="str">
        <f aca="false">IF($A493="","",IF(AND(MONTH(A492)&gt;3,MONTH(A492)&lt;11),(T492+R492+G492)*Summary!$T$11/(1-Summary!$T$11),(T492+R492+G492)*Summary!$U$11/(1-Summary!$U$11)))</f>
        <v/>
      </c>
      <c r="W492" s="202" t="str">
        <f aca="false">IF($A493="","",(T492+R492+G492+V492))</f>
        <v/>
      </c>
      <c r="X492" s="202" t="str">
        <f aca="false">IF($A493="","",(U492+S492+H492+V492))</f>
        <v/>
      </c>
      <c r="Y492" s="202"/>
      <c r="AJ492" s="77"/>
      <c r="AK492" s="77"/>
      <c r="AL492" s="77"/>
      <c r="AM492" s="77"/>
      <c r="AN492" s="77"/>
      <c r="AO492" s="137" t="str">
        <f aca="false">IF(A493="","",A493-A492)</f>
        <v/>
      </c>
      <c r="AP492" s="212" t="str">
        <f aca="false">IF(A493="","",CHOOSE(F$3,A493+24,A492))</f>
        <v/>
      </c>
      <c r="AQ492" s="209" t="str">
        <f aca="false">IF(A493="","",AP492-$E$1)</f>
        <v/>
      </c>
      <c r="AR492" s="185" t="n">
        <f aca="false">'ANR OK vs ML7'!AR492</f>
        <v>0.1</v>
      </c>
      <c r="AS492" s="213" t="str">
        <f aca="false">IF(A493="","",1/(1+CHOOSE(F$3,(AR493+($I$3/10000))/2,(AR492+($I$3/10000))/2))^(2*AQ492/365.25))</f>
        <v/>
      </c>
      <c r="AT492" s="137" t="str">
        <f aca="false">IF(A493="","",IF(AND(mthbeg&lt;=A492,mthend&gt;=A492),1,0))</f>
        <v/>
      </c>
      <c r="AU492" s="137" t="str">
        <f aca="false">IF(A493="","",AO492*AT492)</f>
        <v/>
      </c>
      <c r="AW492" s="195" t="str">
        <f aca="false">IF($A493="","",AL492*$E492)</f>
        <v/>
      </c>
      <c r="AX492" s="195" t="str">
        <f aca="false">IF($A493="","",AM492*$E492)</f>
        <v/>
      </c>
      <c r="AY492" s="195" t="str">
        <f aca="false">IF($A493="","",AN492*$E492)</f>
        <v/>
      </c>
      <c r="BA492" s="195" t="str">
        <f aca="false">IF($A493="","",F492*Summary!$Q$11)</f>
        <v/>
      </c>
    </row>
    <row r="493" customFormat="false" ht="12.75" hidden="false" customHeight="false" outlineLevel="0" collapsed="false">
      <c r="A493" s="196" t="str">
        <f aca="false">IF(A492&lt;mthend,EDATE(A492,1),"")</f>
        <v/>
      </c>
      <c r="B493" s="197" t="str">
        <f aca="false">IF(A493&lt;mthend,B492,"")</f>
        <v/>
      </c>
      <c r="D493" s="197" t="str">
        <f aca="false">IF(A494&lt;&gt;"",B493+C493,"")</f>
        <v/>
      </c>
      <c r="E493" s="199" t="str">
        <f aca="false">IF(A494="","",IF(AND(AT493=1,$H$3=1),D493*AO493,IF($H$3=2,D493,"N/A")))</f>
        <v/>
      </c>
      <c r="F493" s="199" t="str">
        <f aca="false">IF(A494="","",E493*AS493)</f>
        <v/>
      </c>
      <c r="G493" s="200" t="str">
        <f aca="false">IF($A494="","",VLOOKUP($A493,Table,MATCH(G$4,Curves,0)))</f>
        <v/>
      </c>
      <c r="H493" s="201" t="str">
        <f aca="false">IF(A494="","",G493)</f>
        <v/>
      </c>
      <c r="J493" s="200" t="str">
        <f aca="false">IF($A494="","",VLOOKUP($A493,Table,MATCH(J$4,Curves,0)))</f>
        <v/>
      </c>
      <c r="K493" s="201" t="str">
        <f aca="false">IF(A494="","",J493)</f>
        <v/>
      </c>
      <c r="L493" s="200" t="str">
        <f aca="false">IF($A494="","",VLOOKUP($A493,Table,MATCH(L$4,Curves,0)))</f>
        <v/>
      </c>
      <c r="M493" s="201" t="str">
        <f aca="false">IF(A494="","",L493)</f>
        <v/>
      </c>
      <c r="O493" s="200" t="str">
        <f aca="false">IF(A494="","",L493+J493+G493)</f>
        <v/>
      </c>
      <c r="P493" s="200" t="str">
        <f aca="false">IF(A494="","",M493+K493+H493)</f>
        <v/>
      </c>
      <c r="R493" s="200" t="str">
        <f aca="false">IF($A494="","",VLOOKUP($A493,Table,MATCH(R$4,Curves,0)))</f>
        <v/>
      </c>
      <c r="S493" s="201" t="str">
        <f aca="false">IF(A494="","",R493)</f>
        <v/>
      </c>
      <c r="T493" s="185" t="n">
        <v>0</v>
      </c>
      <c r="U493" s="201" t="str">
        <f aca="false">IF(A494="","",T493)</f>
        <v/>
      </c>
      <c r="V493" s="205" t="str">
        <f aca="false">IF($A494="","",IF(AND(MONTH(A493)&gt;3,MONTH(A493)&lt;11),(T493+R493+G493)*Summary!$T$11/(1-Summary!$T$11),(T493+R493+G493)*Summary!$U$11/(1-Summary!$U$11)))</f>
        <v/>
      </c>
      <c r="W493" s="202" t="str">
        <f aca="false">IF($A494="","",(T493+R493+G493+V493))</f>
        <v/>
      </c>
      <c r="X493" s="202" t="str">
        <f aca="false">IF($A494="","",(U493+S493+H493+V493))</f>
        <v/>
      </c>
      <c r="Y493" s="202"/>
      <c r="AJ493" s="77"/>
      <c r="AK493" s="77"/>
      <c r="AL493" s="77"/>
      <c r="AM493" s="77"/>
      <c r="AN493" s="77"/>
      <c r="AO493" s="137" t="str">
        <f aca="false">IF(A494="","",A494-A493)</f>
        <v/>
      </c>
      <c r="AP493" s="212" t="str">
        <f aca="false">IF(A494="","",CHOOSE(F$3,A494+24,A493))</f>
        <v/>
      </c>
      <c r="AQ493" s="209" t="str">
        <f aca="false">IF(A494="","",AP493-$E$1)</f>
        <v/>
      </c>
      <c r="AR493" s="185" t="n">
        <f aca="false">'ANR OK vs ML7'!AR493</f>
        <v>0.1</v>
      </c>
      <c r="AS493" s="213" t="str">
        <f aca="false">IF(A494="","",1/(1+CHOOSE(F$3,(AR494+($I$3/10000))/2,(AR493+($I$3/10000))/2))^(2*AQ493/365.25))</f>
        <v/>
      </c>
      <c r="AT493" s="137" t="str">
        <f aca="false">IF(A494="","",IF(AND(mthbeg&lt;=A493,mthend&gt;=A493),1,0))</f>
        <v/>
      </c>
      <c r="AU493" s="137" t="str">
        <f aca="false">IF(A494="","",AO493*AT493)</f>
        <v/>
      </c>
      <c r="AW493" s="195" t="str">
        <f aca="false">IF($A494="","",AL493*$E493)</f>
        <v/>
      </c>
      <c r="AX493" s="195" t="str">
        <f aca="false">IF($A494="","",AM493*$E493)</f>
        <v/>
      </c>
      <c r="AY493" s="195" t="str">
        <f aca="false">IF($A494="","",AN493*$E493)</f>
        <v/>
      </c>
      <c r="BA493" s="195" t="str">
        <f aca="false">IF($A494="","",F493*Summary!$Q$11)</f>
        <v/>
      </c>
    </row>
    <row r="494" customFormat="false" ht="12.75" hidden="false" customHeight="false" outlineLevel="0" collapsed="false">
      <c r="A494" s="196" t="str">
        <f aca="false">IF(A493&lt;mthend,EDATE(A493,1),"")</f>
        <v/>
      </c>
      <c r="B494" s="197" t="str">
        <f aca="false">IF(A494&lt;mthend,B493,"")</f>
        <v/>
      </c>
      <c r="D494" s="197" t="str">
        <f aca="false">IF(A495&lt;&gt;"",B494+C494,"")</f>
        <v/>
      </c>
      <c r="E494" s="199" t="str">
        <f aca="false">IF(A495="","",IF(AND(AT494=1,$H$3=1),D494*AO494,IF($H$3=2,D494,"N/A")))</f>
        <v/>
      </c>
      <c r="F494" s="199" t="str">
        <f aca="false">IF(A495="","",E494*AS494)</f>
        <v/>
      </c>
      <c r="G494" s="200" t="str">
        <f aca="false">IF($A495="","",VLOOKUP($A494,Table,MATCH(G$4,Curves,0)))</f>
        <v/>
      </c>
      <c r="H494" s="201" t="str">
        <f aca="false">IF(A495="","",G494)</f>
        <v/>
      </c>
      <c r="J494" s="200" t="str">
        <f aca="false">IF($A495="","",VLOOKUP($A494,Table,MATCH(J$4,Curves,0)))</f>
        <v/>
      </c>
      <c r="K494" s="201" t="str">
        <f aca="false">IF(A495="","",J494)</f>
        <v/>
      </c>
      <c r="L494" s="200" t="str">
        <f aca="false">IF($A495="","",VLOOKUP($A494,Table,MATCH(L$4,Curves,0)))</f>
        <v/>
      </c>
      <c r="M494" s="201" t="str">
        <f aca="false">IF(A495="","",L494)</f>
        <v/>
      </c>
      <c r="O494" s="200" t="str">
        <f aca="false">IF(A495="","",L494+J494+G494)</f>
        <v/>
      </c>
      <c r="P494" s="200" t="str">
        <f aca="false">IF(A495="","",M494+K494+H494)</f>
        <v/>
      </c>
      <c r="R494" s="200" t="str">
        <f aca="false">IF($A495="","",VLOOKUP($A494,Table,MATCH(R$4,Curves,0)))</f>
        <v/>
      </c>
      <c r="S494" s="201" t="str">
        <f aca="false">IF(A495="","",R494)</f>
        <v/>
      </c>
      <c r="T494" s="185" t="n">
        <v>0</v>
      </c>
      <c r="U494" s="201" t="str">
        <f aca="false">IF(A495="","",T494)</f>
        <v/>
      </c>
      <c r="V494" s="205" t="str">
        <f aca="false">IF($A495="","",IF(AND(MONTH(A494)&gt;3,MONTH(A494)&lt;11),(T494+R494+G494)*Summary!$T$11/(1-Summary!$T$11),(T494+R494+G494)*Summary!$U$11/(1-Summary!$U$11)))</f>
        <v/>
      </c>
      <c r="W494" s="202" t="str">
        <f aca="false">IF($A495="","",(T494+R494+G494+V494))</f>
        <v/>
      </c>
      <c r="X494" s="202" t="str">
        <f aca="false">IF($A495="","",(U494+S494+H494+V494))</f>
        <v/>
      </c>
      <c r="Y494" s="202"/>
      <c r="AJ494" s="77"/>
      <c r="AK494" s="77"/>
      <c r="AL494" s="77"/>
      <c r="AM494" s="77"/>
      <c r="AN494" s="77"/>
      <c r="AO494" s="137" t="str">
        <f aca="false">IF(A495="","",A495-A494)</f>
        <v/>
      </c>
      <c r="AP494" s="212" t="str">
        <f aca="false">IF(A495="","",CHOOSE(F$3,A495+24,A494))</f>
        <v/>
      </c>
      <c r="AQ494" s="209" t="str">
        <f aca="false">IF(A495="","",AP494-$E$1)</f>
        <v/>
      </c>
      <c r="AR494" s="185" t="n">
        <f aca="false">'ANR OK vs ML7'!AR494</f>
        <v>0.1</v>
      </c>
      <c r="AS494" s="213" t="str">
        <f aca="false">IF(A495="","",1/(1+CHOOSE(F$3,(AR495+($I$3/10000))/2,(AR494+($I$3/10000))/2))^(2*AQ494/365.25))</f>
        <v/>
      </c>
      <c r="AT494" s="137" t="str">
        <f aca="false">IF(A495="","",IF(AND(mthbeg&lt;=A494,mthend&gt;=A494),1,0))</f>
        <v/>
      </c>
      <c r="AU494" s="137" t="str">
        <f aca="false">IF(A495="","",AO494*AT494)</f>
        <v/>
      </c>
      <c r="AW494" s="195" t="str">
        <f aca="false">IF($A495="","",AL494*$E494)</f>
        <v/>
      </c>
      <c r="AX494" s="195" t="str">
        <f aca="false">IF($A495="","",AM494*$E494)</f>
        <v/>
      </c>
      <c r="AY494" s="195" t="str">
        <f aca="false">IF($A495="","",AN494*$E494)</f>
        <v/>
      </c>
      <c r="BA494" s="195" t="str">
        <f aca="false">IF($A495="","",F494*Summary!$Q$11)</f>
        <v/>
      </c>
    </row>
    <row r="495" customFormat="false" ht="12.75" hidden="false" customHeight="false" outlineLevel="0" collapsed="false">
      <c r="A495" s="196" t="str">
        <f aca="false">IF(A494&lt;mthend,EDATE(A494,1),"")</f>
        <v/>
      </c>
      <c r="B495" s="197" t="str">
        <f aca="false">IF(A495&lt;mthend,B494,"")</f>
        <v/>
      </c>
      <c r="D495" s="197" t="str">
        <f aca="false">IF(A496&lt;&gt;"",B495+C495,"")</f>
        <v/>
      </c>
      <c r="E495" s="199" t="str">
        <f aca="false">IF(A496="","",IF(AND(AT495=1,$H$3=1),D495*AO495,IF($H$3=2,D495,"N/A")))</f>
        <v/>
      </c>
      <c r="F495" s="199" t="str">
        <f aca="false">IF(A496="","",E495*AS495)</f>
        <v/>
      </c>
      <c r="G495" s="200" t="str">
        <f aca="false">IF($A496="","",VLOOKUP($A495,Table,MATCH(G$4,Curves,0)))</f>
        <v/>
      </c>
      <c r="H495" s="201" t="str">
        <f aca="false">IF(A496="","",G495)</f>
        <v/>
      </c>
      <c r="J495" s="200" t="str">
        <f aca="false">IF($A496="","",VLOOKUP($A495,Table,MATCH(J$4,Curves,0)))</f>
        <v/>
      </c>
      <c r="K495" s="201" t="str">
        <f aca="false">IF(A496="","",J495)</f>
        <v/>
      </c>
      <c r="L495" s="200" t="str">
        <f aca="false">IF($A496="","",VLOOKUP($A495,Table,MATCH(L$4,Curves,0)))</f>
        <v/>
      </c>
      <c r="M495" s="201" t="str">
        <f aca="false">IF(A496="","",L495)</f>
        <v/>
      </c>
      <c r="O495" s="200" t="str">
        <f aca="false">IF(A496="","",L495+J495+G495)</f>
        <v/>
      </c>
      <c r="P495" s="200" t="str">
        <f aca="false">IF(A496="","",M495+K495+H495)</f>
        <v/>
      </c>
      <c r="R495" s="200" t="str">
        <f aca="false">IF($A496="","",VLOOKUP($A495,Table,MATCH(R$4,Curves,0)))</f>
        <v/>
      </c>
      <c r="S495" s="201" t="str">
        <f aca="false">IF(A496="","",R495)</f>
        <v/>
      </c>
      <c r="T495" s="185" t="n">
        <v>0</v>
      </c>
      <c r="U495" s="201" t="str">
        <f aca="false">IF(A496="","",T495)</f>
        <v/>
      </c>
      <c r="V495" s="205" t="str">
        <f aca="false">IF($A496="","",IF(AND(MONTH(A495)&gt;3,MONTH(A495)&lt;11),(T495+R495+G495)*Summary!$T$11/(1-Summary!$T$11),(T495+R495+G495)*Summary!$U$11/(1-Summary!$U$11)))</f>
        <v/>
      </c>
      <c r="W495" s="202" t="str">
        <f aca="false">IF($A496="","",(T495+R495+G495+V495))</f>
        <v/>
      </c>
      <c r="X495" s="202" t="str">
        <f aca="false">IF($A496="","",(U495+S495+H495+V495))</f>
        <v/>
      </c>
      <c r="Y495" s="202"/>
      <c r="AJ495" s="77"/>
      <c r="AK495" s="77"/>
      <c r="AL495" s="77"/>
      <c r="AM495" s="77"/>
      <c r="AN495" s="77"/>
      <c r="AO495" s="137" t="str">
        <f aca="false">IF(A496="","",A496-A495)</f>
        <v/>
      </c>
      <c r="AP495" s="212" t="str">
        <f aca="false">IF(A496="","",CHOOSE(F$3,A496+24,A495))</f>
        <v/>
      </c>
      <c r="AQ495" s="209" t="str">
        <f aca="false">IF(A496="","",AP495-$E$1)</f>
        <v/>
      </c>
      <c r="AR495" s="185" t="n">
        <f aca="false">'ANR OK vs ML7'!AR495</f>
        <v>0.1</v>
      </c>
      <c r="AS495" s="213" t="str">
        <f aca="false">IF(A496="","",1/(1+CHOOSE(F$3,(AR496+($I$3/10000))/2,(AR495+($I$3/10000))/2))^(2*AQ495/365.25))</f>
        <v/>
      </c>
      <c r="AT495" s="137" t="str">
        <f aca="false">IF(A496="","",IF(AND(mthbeg&lt;=A495,mthend&gt;=A495),1,0))</f>
        <v/>
      </c>
      <c r="AU495" s="137" t="str">
        <f aca="false">IF(A496="","",AO495*AT495)</f>
        <v/>
      </c>
      <c r="AW495" s="195" t="str">
        <f aca="false">IF($A496="","",AL495*$E495)</f>
        <v/>
      </c>
      <c r="AX495" s="195" t="str">
        <f aca="false">IF($A496="","",AM495*$E495)</f>
        <v/>
      </c>
      <c r="AY495" s="195" t="str">
        <f aca="false">IF($A496="","",AN495*$E495)</f>
        <v/>
      </c>
      <c r="BA495" s="195" t="str">
        <f aca="false">IF($A496="","",F495*Summary!$Q$11)</f>
        <v/>
      </c>
    </row>
    <row r="496" customFormat="false" ht="12.75" hidden="false" customHeight="false" outlineLevel="0" collapsed="false">
      <c r="A496" s="196" t="str">
        <f aca="false">IF(A495&lt;mthend,EDATE(A495,1),"")</f>
        <v/>
      </c>
      <c r="B496" s="197" t="str">
        <f aca="false">IF(A496&lt;mthend,B495,"")</f>
        <v/>
      </c>
      <c r="D496" s="197" t="str">
        <f aca="false">IF(A497&lt;&gt;"",B496+C496,"")</f>
        <v/>
      </c>
      <c r="E496" s="199" t="str">
        <f aca="false">IF(A497="","",IF(AND(AT496=1,$H$3=1),D496*AO496,IF($H$3=2,D496,"N/A")))</f>
        <v/>
      </c>
      <c r="F496" s="199" t="str">
        <f aca="false">IF(A497="","",E496*AS496)</f>
        <v/>
      </c>
      <c r="G496" s="200" t="str">
        <f aca="false">IF($A497="","",VLOOKUP($A496,Table,MATCH(G$4,Curves,0)))</f>
        <v/>
      </c>
      <c r="H496" s="201" t="str">
        <f aca="false">IF(A497="","",G496)</f>
        <v/>
      </c>
      <c r="J496" s="200" t="str">
        <f aca="false">IF($A497="","",VLOOKUP($A496,Table,MATCH(J$4,Curves,0)))</f>
        <v/>
      </c>
      <c r="K496" s="201" t="str">
        <f aca="false">IF(A497="","",J496)</f>
        <v/>
      </c>
      <c r="L496" s="200" t="str">
        <f aca="false">IF($A497="","",VLOOKUP($A496,Table,MATCH(L$4,Curves,0)))</f>
        <v/>
      </c>
      <c r="M496" s="201" t="str">
        <f aca="false">IF(A497="","",L496)</f>
        <v/>
      </c>
      <c r="O496" s="200" t="str">
        <f aca="false">IF(A497="","",L496+J496+G496)</f>
        <v/>
      </c>
      <c r="P496" s="200" t="str">
        <f aca="false">IF(A497="","",M496+K496+H496)</f>
        <v/>
      </c>
      <c r="R496" s="200" t="str">
        <f aca="false">IF($A497="","",VLOOKUP($A496,Table,MATCH(R$4,Curves,0)))</f>
        <v/>
      </c>
      <c r="S496" s="201" t="str">
        <f aca="false">IF(A497="","",R496)</f>
        <v/>
      </c>
      <c r="T496" s="185" t="n">
        <v>0</v>
      </c>
      <c r="U496" s="201" t="str">
        <f aca="false">IF(A497="","",T496)</f>
        <v/>
      </c>
      <c r="V496" s="205" t="str">
        <f aca="false">IF($A497="","",IF(AND(MONTH(A496)&gt;3,MONTH(A496)&lt;11),(T496+R496+G496)*Summary!$T$11/(1-Summary!$T$11),(T496+R496+G496)*Summary!$U$11/(1-Summary!$U$11)))</f>
        <v/>
      </c>
      <c r="W496" s="202" t="str">
        <f aca="false">IF($A497="","",(T496+R496+G496+V496))</f>
        <v/>
      </c>
      <c r="X496" s="202" t="str">
        <f aca="false">IF($A497="","",(U496+S496+H496+V496))</f>
        <v/>
      </c>
      <c r="Y496" s="202"/>
      <c r="AJ496" s="77"/>
      <c r="AK496" s="77"/>
      <c r="AL496" s="77"/>
      <c r="AM496" s="77"/>
      <c r="AN496" s="77"/>
      <c r="AO496" s="137" t="str">
        <f aca="false">IF(A497="","",A497-A496)</f>
        <v/>
      </c>
      <c r="AP496" s="212" t="str">
        <f aca="false">IF(A497="","",CHOOSE(F$3,A497+24,A496))</f>
        <v/>
      </c>
      <c r="AQ496" s="209" t="str">
        <f aca="false">IF(A497="","",AP496-$E$1)</f>
        <v/>
      </c>
      <c r="AR496" s="185" t="n">
        <f aca="false">'ANR OK vs ML7'!AR496</f>
        <v>0.1</v>
      </c>
      <c r="AS496" s="213" t="str">
        <f aca="false">IF(A497="","",1/(1+CHOOSE(F$3,(AR497+($I$3/10000))/2,(AR496+($I$3/10000))/2))^(2*AQ496/365.25))</f>
        <v/>
      </c>
      <c r="AT496" s="137" t="str">
        <f aca="false">IF(A497="","",IF(AND(mthbeg&lt;=A496,mthend&gt;=A496),1,0))</f>
        <v/>
      </c>
      <c r="AU496" s="137" t="str">
        <f aca="false">IF(A497="","",AO496*AT496)</f>
        <v/>
      </c>
      <c r="AW496" s="195" t="str">
        <f aca="false">IF($A497="","",AL496*$E496)</f>
        <v/>
      </c>
      <c r="AX496" s="195" t="str">
        <f aca="false">IF($A497="","",AM496*$E496)</f>
        <v/>
      </c>
      <c r="AY496" s="195" t="str">
        <f aca="false">IF($A497="","",AN496*$E496)</f>
        <v/>
      </c>
      <c r="BA496" s="195" t="str">
        <f aca="false">IF($A497="","",F496*Summary!$Q$11)</f>
        <v/>
      </c>
    </row>
    <row r="497" customFormat="false" ht="12.75" hidden="false" customHeight="false" outlineLevel="0" collapsed="false">
      <c r="A497" s="196" t="str">
        <f aca="false">IF(A496&lt;mthend,EDATE(A496,1),"")</f>
        <v/>
      </c>
      <c r="B497" s="197" t="str">
        <f aca="false">IF(A497&lt;mthend,B496,"")</f>
        <v/>
      </c>
      <c r="D497" s="197" t="str">
        <f aca="false">IF(A498&lt;&gt;"",B497+C497,"")</f>
        <v/>
      </c>
      <c r="E497" s="199" t="str">
        <f aca="false">IF(A498="","",IF(AND(AT497=1,$H$3=1),D497*AO497,IF($H$3=2,D497,"N/A")))</f>
        <v/>
      </c>
      <c r="F497" s="199" t="str">
        <f aca="false">IF(A498="","",E497*AS497)</f>
        <v/>
      </c>
      <c r="G497" s="200" t="str">
        <f aca="false">IF($A498="","",VLOOKUP($A497,Table,MATCH(G$4,Curves,0)))</f>
        <v/>
      </c>
      <c r="H497" s="201" t="str">
        <f aca="false">IF(A498="","",G497)</f>
        <v/>
      </c>
      <c r="J497" s="200" t="str">
        <f aca="false">IF($A498="","",VLOOKUP($A497,Table,MATCH(J$4,Curves,0)))</f>
        <v/>
      </c>
      <c r="K497" s="201" t="str">
        <f aca="false">IF(A498="","",J497)</f>
        <v/>
      </c>
      <c r="L497" s="200" t="str">
        <f aca="false">IF($A498="","",VLOOKUP($A497,Table,MATCH(L$4,Curves,0)))</f>
        <v/>
      </c>
      <c r="M497" s="201" t="str">
        <f aca="false">IF(A498="","",L497)</f>
        <v/>
      </c>
      <c r="O497" s="200" t="str">
        <f aca="false">IF(A498="","",L497+J497+G497)</f>
        <v/>
      </c>
      <c r="P497" s="200" t="str">
        <f aca="false">IF(A498="","",M497+K497+H497)</f>
        <v/>
      </c>
      <c r="R497" s="200" t="str">
        <f aca="false">IF($A498="","",VLOOKUP($A497,Table,MATCH(R$4,Curves,0)))</f>
        <v/>
      </c>
      <c r="S497" s="201" t="str">
        <f aca="false">IF(A498="","",R497)</f>
        <v/>
      </c>
      <c r="T497" s="185" t="n">
        <v>0</v>
      </c>
      <c r="U497" s="201" t="str">
        <f aca="false">IF(A498="","",T497)</f>
        <v/>
      </c>
      <c r="V497" s="205" t="str">
        <f aca="false">IF($A498="","",IF(AND(MONTH(A497)&gt;3,MONTH(A497)&lt;11),(T497+R497+G497)*Summary!$T$11/(1-Summary!$T$11),(T497+R497+G497)*Summary!$U$11/(1-Summary!$U$11)))</f>
        <v/>
      </c>
      <c r="W497" s="202" t="str">
        <f aca="false">IF($A498="","",(T497+R497+G497+V497))</f>
        <v/>
      </c>
      <c r="X497" s="202" t="str">
        <f aca="false">IF($A498="","",(U497+S497+H497+V497))</f>
        <v/>
      </c>
      <c r="Y497" s="202"/>
      <c r="AJ497" s="77"/>
      <c r="AK497" s="77"/>
      <c r="AL497" s="77"/>
      <c r="AM497" s="77"/>
      <c r="AN497" s="77"/>
      <c r="AO497" s="137" t="str">
        <f aca="false">IF(A498="","",A498-A497)</f>
        <v/>
      </c>
      <c r="AP497" s="212" t="str">
        <f aca="false">IF(A498="","",CHOOSE(F$3,A498+24,A497))</f>
        <v/>
      </c>
      <c r="AQ497" s="209" t="str">
        <f aca="false">IF(A498="","",AP497-$E$1)</f>
        <v/>
      </c>
      <c r="AR497" s="185" t="n">
        <f aca="false">'ANR OK vs ML7'!AR497</f>
        <v>0.1</v>
      </c>
      <c r="AS497" s="213" t="str">
        <f aca="false">IF(A498="","",1/(1+CHOOSE(F$3,(AR498+($I$3/10000))/2,(AR497+($I$3/10000))/2))^(2*AQ497/365.25))</f>
        <v/>
      </c>
      <c r="AT497" s="137" t="str">
        <f aca="false">IF(A498="","",IF(AND(mthbeg&lt;=A497,mthend&gt;=A497),1,0))</f>
        <v/>
      </c>
      <c r="AU497" s="137" t="str">
        <f aca="false">IF(A498="","",AO497*AT497)</f>
        <v/>
      </c>
      <c r="AW497" s="195" t="str">
        <f aca="false">IF($A498="","",AL497*$E497)</f>
        <v/>
      </c>
      <c r="AX497" s="195" t="str">
        <f aca="false">IF($A498="","",AM497*$E497)</f>
        <v/>
      </c>
      <c r="AY497" s="195" t="str">
        <f aca="false">IF($A498="","",AN497*$E497)</f>
        <v/>
      </c>
      <c r="BA497" s="195" t="str">
        <f aca="false">IF($A498="","",F497*Summary!$Q$11)</f>
        <v/>
      </c>
    </row>
    <row r="498" customFormat="false" ht="12.75" hidden="false" customHeight="false" outlineLevel="0" collapsed="false">
      <c r="A498" s="196" t="str">
        <f aca="false">IF(A497&lt;mthend,EDATE(A497,1),"")</f>
        <v/>
      </c>
      <c r="B498" s="197" t="str">
        <f aca="false">IF(A498&lt;mthend,B497,"")</f>
        <v/>
      </c>
      <c r="D498" s="197" t="str">
        <f aca="false">IF(A499&lt;&gt;"",B498+C498,"")</f>
        <v/>
      </c>
      <c r="E498" s="199" t="str">
        <f aca="false">IF(A499="","",IF(AND(AT498=1,$H$3=1),D498*AO498,IF($H$3=2,D498,"N/A")))</f>
        <v/>
      </c>
      <c r="F498" s="199" t="str">
        <f aca="false">IF(A499="","",E498*AS498)</f>
        <v/>
      </c>
      <c r="G498" s="200" t="str">
        <f aca="false">IF($A499="","",VLOOKUP($A498,Table,MATCH(G$4,Curves,0)))</f>
        <v/>
      </c>
      <c r="H498" s="201" t="str">
        <f aca="false">IF(A499="","",G498)</f>
        <v/>
      </c>
      <c r="J498" s="200" t="str">
        <f aca="false">IF($A499="","",VLOOKUP($A498,Table,MATCH(J$4,Curves,0)))</f>
        <v/>
      </c>
      <c r="K498" s="201" t="str">
        <f aca="false">IF(A499="","",J498)</f>
        <v/>
      </c>
      <c r="L498" s="200" t="str">
        <f aca="false">IF($A499="","",VLOOKUP($A498,Table,MATCH(L$4,Curves,0)))</f>
        <v/>
      </c>
      <c r="M498" s="201" t="str">
        <f aca="false">IF(A499="","",L498)</f>
        <v/>
      </c>
      <c r="O498" s="200" t="str">
        <f aca="false">IF(A499="","",L498+J498+G498)</f>
        <v/>
      </c>
      <c r="P498" s="200" t="str">
        <f aca="false">IF(A499="","",M498+K498+H498)</f>
        <v/>
      </c>
      <c r="R498" s="200" t="str">
        <f aca="false">IF($A499="","",VLOOKUP($A498,Table,MATCH(R$4,Curves,0)))</f>
        <v/>
      </c>
      <c r="S498" s="201" t="str">
        <f aca="false">IF(A499="","",R498)</f>
        <v/>
      </c>
      <c r="T498" s="185" t="n">
        <v>0</v>
      </c>
      <c r="U498" s="201" t="str">
        <f aca="false">IF(A499="","",T498)</f>
        <v/>
      </c>
      <c r="V498" s="205" t="str">
        <f aca="false">IF($A499="","",IF(AND(MONTH(A498)&gt;3,MONTH(A498)&lt;11),(T498+R498+G498)*Summary!$T$11/(1-Summary!$T$11),(T498+R498+G498)*Summary!$U$11/(1-Summary!$U$11)))</f>
        <v/>
      </c>
      <c r="W498" s="202" t="str">
        <f aca="false">IF($A499="","",(T498+R498+G498+V498))</f>
        <v/>
      </c>
      <c r="X498" s="202" t="str">
        <f aca="false">IF($A499="","",(U498+S498+H498+V498))</f>
        <v/>
      </c>
      <c r="Y498" s="202"/>
      <c r="AJ498" s="77"/>
      <c r="AK498" s="77"/>
      <c r="AL498" s="77"/>
      <c r="AM498" s="77"/>
      <c r="AN498" s="77"/>
      <c r="AO498" s="137" t="str">
        <f aca="false">IF(A499="","",A499-A498)</f>
        <v/>
      </c>
      <c r="AP498" s="212" t="str">
        <f aca="false">IF(A499="","",CHOOSE(F$3,A499+24,A498))</f>
        <v/>
      </c>
      <c r="AQ498" s="209" t="str">
        <f aca="false">IF(A499="","",AP498-$E$1)</f>
        <v/>
      </c>
      <c r="AR498" s="185" t="n">
        <f aca="false">'ANR OK vs ML7'!AR498</f>
        <v>0.1</v>
      </c>
      <c r="AS498" s="213" t="str">
        <f aca="false">IF(A499="","",1/(1+CHOOSE(F$3,(AR499+($I$3/10000))/2,(AR498+($I$3/10000))/2))^(2*AQ498/365.25))</f>
        <v/>
      </c>
      <c r="AT498" s="137" t="str">
        <f aca="false">IF(A499="","",IF(AND(mthbeg&lt;=A498,mthend&gt;=A498),1,0))</f>
        <v/>
      </c>
      <c r="AU498" s="137" t="str">
        <f aca="false">IF(A499="","",AO498*AT498)</f>
        <v/>
      </c>
      <c r="AW498" s="195" t="str">
        <f aca="false">IF($A499="","",AL498*$E498)</f>
        <v/>
      </c>
      <c r="AX498" s="195" t="str">
        <f aca="false">IF($A499="","",AM498*$E498)</f>
        <v/>
      </c>
      <c r="AY498" s="195" t="str">
        <f aca="false">IF($A499="","",AN498*$E498)</f>
        <v/>
      </c>
      <c r="BA498" s="195" t="str">
        <f aca="false">IF($A499="","",F498*Summary!$Q$11)</f>
        <v/>
      </c>
    </row>
    <row r="499" customFormat="false" ht="12.75" hidden="false" customHeight="false" outlineLevel="0" collapsed="false">
      <c r="A499" s="196" t="str">
        <f aca="false">IF(A498&lt;mthend,EDATE(A498,1),"")</f>
        <v/>
      </c>
      <c r="B499" s="197" t="str">
        <f aca="false">IF(A499&lt;mthend,B498,"")</f>
        <v/>
      </c>
      <c r="D499" s="197" t="str">
        <f aca="false">IF(A500&lt;&gt;"",B499+C499,"")</f>
        <v/>
      </c>
      <c r="E499" s="199" t="str">
        <f aca="false">IF(A500="","",IF(AND(AT499=1,$H$3=1),D499*AO499,IF($H$3=2,D499,"N/A")))</f>
        <v/>
      </c>
      <c r="F499" s="199" t="str">
        <f aca="false">IF(A500="","",E499*AS499)</f>
        <v/>
      </c>
      <c r="G499" s="200" t="str">
        <f aca="false">IF($A500="","",VLOOKUP($A499,Table,MATCH(G$4,Curves,0)))</f>
        <v/>
      </c>
      <c r="H499" s="201" t="str">
        <f aca="false">IF(A500="","",G499)</f>
        <v/>
      </c>
      <c r="J499" s="200" t="str">
        <f aca="false">IF($A500="","",VLOOKUP($A499,Table,MATCH(J$4,Curves,0)))</f>
        <v/>
      </c>
      <c r="K499" s="201" t="str">
        <f aca="false">IF(A500="","",J499)</f>
        <v/>
      </c>
      <c r="L499" s="200" t="str">
        <f aca="false">IF($A500="","",VLOOKUP($A499,Table,MATCH(L$4,Curves,0)))</f>
        <v/>
      </c>
      <c r="M499" s="201" t="str">
        <f aca="false">IF(A500="","",L499)</f>
        <v/>
      </c>
      <c r="O499" s="200" t="str">
        <f aca="false">IF(A500="","",L499+J499+G499)</f>
        <v/>
      </c>
      <c r="P499" s="200" t="str">
        <f aca="false">IF(A500="","",M499+K499+H499)</f>
        <v/>
      </c>
      <c r="R499" s="200" t="str">
        <f aca="false">IF($A500="","",VLOOKUP($A499,Table,MATCH(R$4,Curves,0)))</f>
        <v/>
      </c>
      <c r="S499" s="201" t="str">
        <f aca="false">IF(A500="","",R499)</f>
        <v/>
      </c>
      <c r="T499" s="185" t="n">
        <v>0</v>
      </c>
      <c r="U499" s="201" t="str">
        <f aca="false">IF(A500="","",T499)</f>
        <v/>
      </c>
      <c r="V499" s="205" t="str">
        <f aca="false">IF($A500="","",IF(AND(MONTH(A499)&gt;3,MONTH(A499)&lt;11),(T499+R499+G499)*Summary!$T$11/(1-Summary!$T$11),(T499+R499+G499)*Summary!$U$11/(1-Summary!$U$11)))</f>
        <v/>
      </c>
      <c r="W499" s="202" t="str">
        <f aca="false">IF($A500="","",(T499+R499+G499+V499))</f>
        <v/>
      </c>
      <c r="X499" s="202" t="str">
        <f aca="false">IF($A500="","",(U499+S499+H499+V499))</f>
        <v/>
      </c>
      <c r="Y499" s="202"/>
      <c r="AJ499" s="77"/>
      <c r="AK499" s="77"/>
      <c r="AL499" s="77"/>
      <c r="AM499" s="77"/>
      <c r="AN499" s="77"/>
      <c r="AO499" s="137" t="str">
        <f aca="false">IF(A500="","",A500-A499)</f>
        <v/>
      </c>
      <c r="AP499" s="212" t="str">
        <f aca="false">IF(A500="","",CHOOSE(F$3,A500+24,A499))</f>
        <v/>
      </c>
      <c r="AQ499" s="209" t="str">
        <f aca="false">IF(A500="","",AP499-$E$1)</f>
        <v/>
      </c>
      <c r="AR499" s="185" t="n">
        <f aca="false">'ANR OK vs ML7'!AR499</f>
        <v>0.1</v>
      </c>
      <c r="AS499" s="213" t="str">
        <f aca="false">IF(A500="","",1/(1+CHOOSE(F$3,(AR500+($I$3/10000))/2,(AR499+($I$3/10000))/2))^(2*AQ499/365.25))</f>
        <v/>
      </c>
      <c r="AT499" s="137" t="str">
        <f aca="false">IF(A500="","",IF(AND(mthbeg&lt;=A499,mthend&gt;=A499),1,0))</f>
        <v/>
      </c>
      <c r="AU499" s="137" t="str">
        <f aca="false">IF(A500="","",AO499*AT499)</f>
        <v/>
      </c>
      <c r="AW499" s="195" t="str">
        <f aca="false">IF($A500="","",AL499*$E499)</f>
        <v/>
      </c>
      <c r="AX499" s="195" t="str">
        <f aca="false">IF($A500="","",AM499*$E499)</f>
        <v/>
      </c>
      <c r="AY499" s="195" t="str">
        <f aca="false">IF($A500="","",AN499*$E499)</f>
        <v/>
      </c>
      <c r="BA499" s="195" t="str">
        <f aca="false">IF($A500="","",F499*Summary!$Q$11)</f>
        <v/>
      </c>
    </row>
    <row r="500" customFormat="false" ht="12.75" hidden="false" customHeight="false" outlineLevel="0" collapsed="false">
      <c r="A500" s="196" t="str">
        <f aca="false">IF(A499&lt;mthend,EDATE(A499,1),"")</f>
        <v/>
      </c>
      <c r="B500" s="197" t="str">
        <f aca="false">IF(A500&lt;mthend,B499,"")</f>
        <v/>
      </c>
      <c r="D500" s="197"/>
      <c r="E500" s="199"/>
      <c r="F500" s="199"/>
      <c r="G500" s="200"/>
      <c r="H500" s="201"/>
      <c r="J500" s="200"/>
      <c r="K500" s="201"/>
      <c r="L500" s="200"/>
      <c r="M500" s="201"/>
      <c r="O500" s="204"/>
      <c r="P500" s="204"/>
      <c r="R500" s="200"/>
      <c r="S500" s="201"/>
      <c r="T500" s="200"/>
      <c r="U500" s="201"/>
      <c r="W500" s="202"/>
      <c r="X500" s="202"/>
      <c r="Y500" s="202"/>
      <c r="AJ500" s="77"/>
      <c r="AK500" s="77"/>
      <c r="AL500" s="77"/>
      <c r="AM500" s="77"/>
      <c r="AN500" s="77"/>
      <c r="AP500" s="212"/>
      <c r="AQ500" s="209"/>
      <c r="AR500" s="185"/>
      <c r="AS500" s="213"/>
      <c r="AW500" s="195" t="str">
        <f aca="false">IF($A501="","",AL500*$E500)</f>
        <v/>
      </c>
      <c r="AX500" s="195" t="str">
        <f aca="false">IF($A501="","",AM500*$E500)</f>
        <v/>
      </c>
      <c r="AY500" s="195" t="str">
        <f aca="false">IF($A501="","",AN500*$E500)</f>
        <v/>
      </c>
      <c r="BA500" s="195" t="str">
        <f aca="false">IF($A501="","",F500*Summary!$Q$11)</f>
        <v/>
      </c>
    </row>
    <row r="501" customFormat="false" ht="12.75" hidden="false" customHeight="false" outlineLevel="0" collapsed="false">
      <c r="A501" s="196" t="str">
        <f aca="false">IF(A500&lt;mthend,EDATE(A500,1),"")</f>
        <v/>
      </c>
      <c r="B501" s="197" t="str">
        <f aca="false">IF(A501&lt;mthend,B500,"")</f>
        <v/>
      </c>
      <c r="C501" s="21" t="n">
        <v>0</v>
      </c>
      <c r="D501" s="21" t="n">
        <v>0</v>
      </c>
      <c r="E501" s="21" t="n">
        <v>0</v>
      </c>
      <c r="F501" s="21" t="n">
        <v>0</v>
      </c>
      <c r="G501" s="21" t="n">
        <v>0</v>
      </c>
      <c r="H501" s="21" t="n">
        <v>0</v>
      </c>
      <c r="I501" s="21" t="n">
        <v>0</v>
      </c>
      <c r="J501" s="21" t="n">
        <v>0</v>
      </c>
      <c r="K501" s="21" t="n">
        <v>0</v>
      </c>
      <c r="L501" s="21" t="n">
        <v>0</v>
      </c>
      <c r="M501" s="21" t="n">
        <v>0</v>
      </c>
      <c r="N501" s="21" t="n">
        <v>0</v>
      </c>
      <c r="O501" s="21" t="n">
        <v>0</v>
      </c>
      <c r="P501" s="21" t="n">
        <v>0</v>
      </c>
      <c r="Q501" s="21" t="n">
        <v>0</v>
      </c>
      <c r="R501" s="21" t="n">
        <v>0</v>
      </c>
      <c r="S501" s="21" t="n">
        <v>0</v>
      </c>
      <c r="T501" s="21" t="n">
        <v>0</v>
      </c>
      <c r="U501" s="21" t="n">
        <v>0</v>
      </c>
      <c r="V501" s="21" t="n">
        <v>0</v>
      </c>
      <c r="W501" s="21" t="n">
        <v>0</v>
      </c>
      <c r="X501" s="21" t="n">
        <v>0</v>
      </c>
      <c r="Y501" s="21" t="n">
        <v>0</v>
      </c>
      <c r="Z501" s="21" t="n">
        <v>0</v>
      </c>
      <c r="AA501" s="21" t="n">
        <v>0</v>
      </c>
      <c r="AB501" s="21"/>
      <c r="AC501" s="21" t="n">
        <v>0</v>
      </c>
      <c r="AD501" s="21"/>
      <c r="AE501" s="21"/>
      <c r="AF501" s="21" t="n">
        <v>0</v>
      </c>
      <c r="AG501" s="21" t="n">
        <v>0</v>
      </c>
      <c r="AH501" s="21" t="n">
        <v>0</v>
      </c>
      <c r="AI501" s="21" t="n">
        <v>0</v>
      </c>
      <c r="AJ501" s="77"/>
      <c r="AK501" s="77"/>
      <c r="AL501" s="77"/>
      <c r="AM501" s="77"/>
      <c r="AN501" s="77"/>
      <c r="AO501" s="21" t="n">
        <v>0</v>
      </c>
      <c r="AP501" s="21" t="n">
        <v>0</v>
      </c>
      <c r="AQ501" s="21" t="n">
        <v>0</v>
      </c>
      <c r="AR501" s="21" t="n">
        <v>0</v>
      </c>
      <c r="AS501" s="21" t="n">
        <v>0</v>
      </c>
      <c r="AT501" s="21" t="n">
        <v>0</v>
      </c>
      <c r="AU501" s="21" t="n">
        <v>0</v>
      </c>
      <c r="AV501" s="21" t="n">
        <v>0</v>
      </c>
      <c r="AW501" s="195" t="str">
        <f aca="false">IF($A502="","",AL501*$E501)</f>
        <v/>
      </c>
      <c r="AX501" s="195" t="str">
        <f aca="false">IF($A502="","",AM501*$E501)</f>
        <v/>
      </c>
      <c r="AY501" s="195" t="str">
        <f aca="false">IF($A502="","",AN501*$E501)</f>
        <v/>
      </c>
      <c r="AZ501" s="21" t="n">
        <v>0</v>
      </c>
      <c r="BA501" s="195" t="str">
        <f aca="false">IF($A502="","",F501*Summary!$Q$11)</f>
        <v/>
      </c>
      <c r="BB501" s="21" t="n">
        <v>0</v>
      </c>
      <c r="BC501" s="21" t="n">
        <v>0</v>
      </c>
      <c r="BD501" s="21" t="n">
        <v>0</v>
      </c>
      <c r="BE501" s="21" t="n">
        <v>0</v>
      </c>
      <c r="BF501" s="21" t="n">
        <v>0</v>
      </c>
      <c r="BG501" s="21" t="n">
        <v>0</v>
      </c>
      <c r="BH501" s="21" t="n">
        <v>0</v>
      </c>
      <c r="BI501" s="21" t="n">
        <v>0</v>
      </c>
      <c r="BJ501" s="21" t="n">
        <v>0</v>
      </c>
      <c r="BK501" s="21" t="n">
        <v>0</v>
      </c>
      <c r="BL501" s="21" t="n">
        <v>0</v>
      </c>
      <c r="BM501" s="21" t="n">
        <v>0</v>
      </c>
      <c r="BN501" s="21" t="n">
        <v>0</v>
      </c>
      <c r="BO501" s="21" t="n">
        <v>0</v>
      </c>
      <c r="BP501" s="21" t="n">
        <v>0</v>
      </c>
      <c r="BQ501" s="21" t="n">
        <v>0</v>
      </c>
      <c r="BR501" s="21" t="n">
        <v>0</v>
      </c>
      <c r="BS501" s="21" t="n">
        <v>0</v>
      </c>
      <c r="BT501" s="21" t="n">
        <v>0</v>
      </c>
      <c r="BU501" s="21" t="n">
        <v>0</v>
      </c>
      <c r="BV501" s="21" t="n">
        <v>0</v>
      </c>
      <c r="BW501" s="21" t="n">
        <v>0</v>
      </c>
      <c r="BX501" s="21" t="n">
        <v>0</v>
      </c>
      <c r="BY501" s="21" t="n">
        <v>0</v>
      </c>
      <c r="BZ501" s="21" t="n">
        <v>0</v>
      </c>
      <c r="CA501" s="21" t="n">
        <v>0</v>
      </c>
      <c r="CB501" s="21" t="n">
        <v>0</v>
      </c>
      <c r="CC501" s="21" t="n">
        <v>0</v>
      </c>
      <c r="CD501" s="21" t="n">
        <v>0</v>
      </c>
      <c r="CE501" s="21" t="n">
        <v>0</v>
      </c>
      <c r="CF501" s="21" t="n">
        <v>0</v>
      </c>
      <c r="CG501" s="21" t="n">
        <v>0</v>
      </c>
      <c r="CH501" s="21" t="n">
        <v>0</v>
      </c>
      <c r="CI501" s="21" t="n">
        <v>0</v>
      </c>
      <c r="CJ501" s="21" t="n">
        <v>0</v>
      </c>
      <c r="CK501" s="21" t="n">
        <v>0</v>
      </c>
      <c r="CL501" s="21" t="n">
        <v>0</v>
      </c>
      <c r="CM501" s="21" t="n">
        <v>0</v>
      </c>
      <c r="CN501" s="21" t="n">
        <v>0</v>
      </c>
      <c r="CO501" s="21" t="n">
        <v>0</v>
      </c>
      <c r="CP501" s="21" t="n">
        <v>0</v>
      </c>
      <c r="CQ501" s="21" t="n">
        <v>0</v>
      </c>
      <c r="CR501" s="21" t="n">
        <v>0</v>
      </c>
      <c r="CS501" s="21" t="n">
        <v>0</v>
      </c>
      <c r="CT501" s="21" t="n">
        <v>0</v>
      </c>
      <c r="CU501" s="21" t="n">
        <v>0</v>
      </c>
      <c r="CV501" s="21" t="n">
        <v>0</v>
      </c>
      <c r="CW501" s="21" t="n">
        <v>0</v>
      </c>
      <c r="CX501" s="21" t="n">
        <v>0</v>
      </c>
      <c r="CY501" s="21" t="n">
        <v>0</v>
      </c>
      <c r="CZ501" s="21" t="n">
        <v>0</v>
      </c>
      <c r="DA501" s="21" t="n">
        <v>0</v>
      </c>
      <c r="DB501" s="21" t="n">
        <v>0</v>
      </c>
      <c r="DC501" s="21" t="n">
        <v>0</v>
      </c>
      <c r="DD501" s="21" t="n">
        <v>0</v>
      </c>
      <c r="DE501" s="21" t="n">
        <v>0</v>
      </c>
      <c r="DF501" s="21" t="n">
        <v>0</v>
      </c>
      <c r="DG501" s="21" t="n">
        <v>0</v>
      </c>
      <c r="DH501" s="21" t="n">
        <v>0</v>
      </c>
      <c r="DI501" s="21" t="n">
        <v>0</v>
      </c>
      <c r="DJ501" s="21" t="n">
        <v>0</v>
      </c>
      <c r="DK501" s="21" t="n">
        <v>0</v>
      </c>
      <c r="DL501" s="21" t="n">
        <v>0</v>
      </c>
      <c r="DM501" s="21" t="n">
        <v>0</v>
      </c>
      <c r="DN501" s="21" t="n">
        <v>0</v>
      </c>
      <c r="DO501" s="21" t="n">
        <v>0</v>
      </c>
      <c r="DP501" s="21" t="n">
        <v>0</v>
      </c>
      <c r="DQ501" s="21" t="n">
        <v>0</v>
      </c>
      <c r="DR501" s="21" t="n">
        <v>0</v>
      </c>
      <c r="DS501" s="21" t="n">
        <v>0</v>
      </c>
      <c r="DT501" s="21" t="n">
        <v>0</v>
      </c>
      <c r="DU501" s="21" t="n">
        <v>0</v>
      </c>
      <c r="DV501" s="21" t="n">
        <v>0</v>
      </c>
      <c r="DW501" s="21" t="n">
        <v>0</v>
      </c>
      <c r="DX501" s="21" t="n">
        <v>0</v>
      </c>
      <c r="DY501" s="21" t="n">
        <v>0</v>
      </c>
      <c r="DZ501" s="21" t="n">
        <v>0</v>
      </c>
      <c r="EA501" s="21" t="n">
        <v>0</v>
      </c>
      <c r="EB501" s="21" t="n">
        <v>0</v>
      </c>
      <c r="EC501" s="21" t="n">
        <v>0</v>
      </c>
      <c r="ED501" s="21" t="n">
        <v>0</v>
      </c>
      <c r="EE501" s="21" t="n">
        <v>0</v>
      </c>
      <c r="EF501" s="21" t="n">
        <v>0</v>
      </c>
      <c r="EG501" s="21" t="n">
        <v>0</v>
      </c>
      <c r="EH501" s="21" t="n">
        <v>0</v>
      </c>
      <c r="EI501" s="21" t="n">
        <v>0</v>
      </c>
      <c r="EJ501" s="21" t="n">
        <v>0</v>
      </c>
      <c r="EK501" s="21" t="n">
        <v>0</v>
      </c>
      <c r="EL501" s="21" t="n">
        <v>0</v>
      </c>
      <c r="EM501" s="21" t="n">
        <v>0</v>
      </c>
      <c r="EN501" s="21" t="n">
        <v>0</v>
      </c>
      <c r="EO501" s="21" t="n">
        <v>0</v>
      </c>
      <c r="EP501" s="21" t="n">
        <v>0</v>
      </c>
      <c r="EQ501" s="21" t="n">
        <v>0</v>
      </c>
      <c r="ER501" s="21" t="n">
        <v>0</v>
      </c>
      <c r="ES501" s="21" t="n">
        <v>0</v>
      </c>
      <c r="ET501" s="21" t="n">
        <v>0</v>
      </c>
      <c r="EU501" s="21" t="n">
        <v>0</v>
      </c>
      <c r="EV501" s="21" t="n">
        <v>0</v>
      </c>
      <c r="EW501" s="21" t="n">
        <v>0</v>
      </c>
      <c r="EX501" s="21" t="n">
        <v>0</v>
      </c>
      <c r="EY501" s="21" t="n">
        <v>0</v>
      </c>
      <c r="EZ501" s="21" t="n">
        <v>0</v>
      </c>
      <c r="FA501" s="21" t="n">
        <v>0</v>
      </c>
      <c r="FB501" s="21" t="n">
        <v>0</v>
      </c>
      <c r="FC501" s="21" t="n">
        <v>0</v>
      </c>
      <c r="FD501" s="21" t="n">
        <v>0</v>
      </c>
      <c r="FE501" s="21" t="n">
        <v>0</v>
      </c>
      <c r="FF501" s="21" t="n">
        <v>0</v>
      </c>
      <c r="FG501" s="21" t="n">
        <v>0</v>
      </c>
      <c r="FH501" s="21" t="n">
        <v>0</v>
      </c>
      <c r="FI501" s="21" t="n">
        <v>0</v>
      </c>
      <c r="FJ501" s="21" t="n">
        <v>0</v>
      </c>
      <c r="FK501" s="21" t="n">
        <v>0</v>
      </c>
      <c r="FL501" s="21" t="n">
        <v>0</v>
      </c>
      <c r="FM501" s="21" t="n">
        <v>0</v>
      </c>
      <c r="FN501" s="21" t="n">
        <v>0</v>
      </c>
      <c r="FO501" s="21" t="n">
        <v>0</v>
      </c>
      <c r="FP501" s="21" t="n">
        <v>0</v>
      </c>
      <c r="FQ501" s="21" t="n">
        <v>0</v>
      </c>
      <c r="FR501" s="21" t="n">
        <v>0</v>
      </c>
      <c r="FS501" s="21" t="n">
        <v>0</v>
      </c>
      <c r="FT501" s="21" t="n">
        <v>0</v>
      </c>
      <c r="FU501" s="21" t="n">
        <v>0</v>
      </c>
      <c r="FV501" s="21" t="n">
        <v>0</v>
      </c>
      <c r="FW501" s="21" t="n">
        <v>0</v>
      </c>
      <c r="FX501" s="21" t="n">
        <v>0</v>
      </c>
      <c r="FY501" s="21" t="n">
        <v>0</v>
      </c>
      <c r="FZ501" s="21" t="n">
        <v>0</v>
      </c>
      <c r="GA501" s="21" t="n">
        <v>0</v>
      </c>
      <c r="GB501" s="21" t="n">
        <v>0</v>
      </c>
      <c r="GC501" s="21" t="n">
        <v>0</v>
      </c>
      <c r="GD501" s="21" t="n">
        <v>0</v>
      </c>
      <c r="GE501" s="21" t="n">
        <v>0</v>
      </c>
      <c r="GF501" s="21" t="n">
        <v>0</v>
      </c>
      <c r="GG501" s="21" t="n">
        <v>0</v>
      </c>
      <c r="GH501" s="21" t="n">
        <v>0</v>
      </c>
      <c r="GI501" s="21" t="n">
        <v>0</v>
      </c>
      <c r="GJ501" s="21" t="n">
        <v>0</v>
      </c>
      <c r="GK501" s="21" t="n">
        <v>0</v>
      </c>
      <c r="GL501" s="21" t="n">
        <v>0</v>
      </c>
      <c r="GM501" s="21" t="n">
        <v>0</v>
      </c>
      <c r="GN501" s="21" t="n">
        <v>0</v>
      </c>
      <c r="GO501" s="21" t="n">
        <v>0</v>
      </c>
      <c r="GP501" s="21" t="n">
        <v>0</v>
      </c>
      <c r="GQ501" s="21" t="n">
        <v>0</v>
      </c>
      <c r="GR501" s="21" t="n">
        <v>0</v>
      </c>
      <c r="GS501" s="21" t="n">
        <v>0</v>
      </c>
      <c r="GT501" s="21" t="n">
        <v>0</v>
      </c>
      <c r="GU501" s="21" t="n">
        <v>0</v>
      </c>
      <c r="GV501" s="21" t="n">
        <v>0</v>
      </c>
      <c r="GW501" s="21" t="n">
        <v>0</v>
      </c>
      <c r="GX501" s="21" t="n">
        <v>0</v>
      </c>
      <c r="GY501" s="21" t="n">
        <v>0</v>
      </c>
      <c r="GZ501" s="21" t="n">
        <v>0</v>
      </c>
      <c r="HA501" s="21" t="n">
        <v>0</v>
      </c>
      <c r="HB501" s="21" t="n">
        <v>0</v>
      </c>
      <c r="HC501" s="21" t="n">
        <v>0</v>
      </c>
      <c r="HD501" s="21" t="n">
        <v>0</v>
      </c>
      <c r="HE501" s="21" t="n">
        <v>0</v>
      </c>
      <c r="HF501" s="21" t="n">
        <v>0</v>
      </c>
      <c r="HG501" s="21" t="n">
        <v>0</v>
      </c>
      <c r="HH501" s="21" t="n">
        <v>0</v>
      </c>
      <c r="HI501" s="21" t="n">
        <v>0</v>
      </c>
      <c r="HJ501" s="21" t="n">
        <v>0</v>
      </c>
      <c r="HK501" s="21" t="n">
        <v>0</v>
      </c>
      <c r="HL501" s="21" t="n">
        <v>0</v>
      </c>
      <c r="HM501" s="21" t="n">
        <v>0</v>
      </c>
      <c r="HN501" s="21" t="n">
        <v>0</v>
      </c>
      <c r="HO501" s="21" t="n">
        <v>0</v>
      </c>
      <c r="HP501" s="21" t="n">
        <v>0</v>
      </c>
      <c r="HQ501" s="21" t="n">
        <v>0</v>
      </c>
      <c r="HR501" s="21" t="n">
        <v>0</v>
      </c>
      <c r="HS501" s="21" t="n">
        <v>0</v>
      </c>
      <c r="HT501" s="21" t="n">
        <v>0</v>
      </c>
      <c r="HU501" s="21" t="n">
        <v>0</v>
      </c>
      <c r="HV501" s="21" t="n">
        <v>0</v>
      </c>
      <c r="HW501" s="21" t="n">
        <v>0</v>
      </c>
      <c r="HX501" s="21" t="n">
        <v>0</v>
      </c>
      <c r="HY501" s="21" t="n">
        <v>0</v>
      </c>
      <c r="HZ501" s="21" t="n">
        <v>0</v>
      </c>
      <c r="IA501" s="21" t="n">
        <v>0</v>
      </c>
      <c r="IB501" s="21" t="n">
        <v>0</v>
      </c>
      <c r="IC501" s="21" t="n">
        <v>0</v>
      </c>
      <c r="ID501" s="21" t="n">
        <v>0</v>
      </c>
      <c r="IE501" s="21" t="n">
        <v>0</v>
      </c>
      <c r="IF501" s="21" t="n">
        <v>0</v>
      </c>
      <c r="IG501" s="21" t="n">
        <v>0</v>
      </c>
      <c r="IH501" s="21" t="n">
        <v>0</v>
      </c>
    </row>
    <row r="502" customFormat="false" ht="12.75" hidden="false" customHeight="false" outlineLevel="0" collapsed="false">
      <c r="AJ502" s="77"/>
      <c r="AK502" s="77"/>
      <c r="AL502" s="77"/>
      <c r="AM502" s="77"/>
      <c r="AN502" s="77"/>
    </row>
    <row r="503" customFormat="false" ht="12.75" hidden="false" customHeight="false" outlineLevel="0" collapsed="false">
      <c r="AJ503" s="77"/>
      <c r="AK503" s="77"/>
      <c r="AL503" s="77"/>
      <c r="AM503" s="77"/>
      <c r="AN503" s="77"/>
    </row>
    <row r="504" customFormat="false" ht="12.75" hidden="false" customHeight="false" outlineLevel="0" collapsed="false">
      <c r="AJ504" s="77"/>
      <c r="AK504" s="77"/>
      <c r="AL504" s="77"/>
      <c r="AM504" s="77"/>
      <c r="AN504" s="77"/>
    </row>
    <row r="505" customFormat="false" ht="12.75" hidden="false" customHeight="false" outlineLevel="0" collapsed="false">
      <c r="AJ505" s="77"/>
      <c r="AK505" s="77"/>
      <c r="AL505" s="77"/>
      <c r="AM505" s="77"/>
      <c r="AN505" s="77"/>
    </row>
    <row r="506" customFormat="false" ht="12.75" hidden="false" customHeight="false" outlineLevel="0" collapsed="false">
      <c r="AJ506" s="77"/>
      <c r="AK506" s="77"/>
      <c r="AL506" s="77"/>
      <c r="AM506" s="77"/>
      <c r="AN506" s="77"/>
    </row>
    <row r="507" customFormat="false" ht="12.75" hidden="false" customHeight="false" outlineLevel="0" collapsed="false">
      <c r="AJ507" s="77"/>
      <c r="AK507" s="77"/>
      <c r="AL507" s="77"/>
      <c r="AM507" s="77"/>
      <c r="AN507" s="77"/>
    </row>
    <row r="508" customFormat="false" ht="12.75" hidden="false" customHeight="false" outlineLevel="0" collapsed="false">
      <c r="AJ508" s="77"/>
      <c r="AK508" s="77"/>
      <c r="AL508" s="77"/>
      <c r="AM508" s="77"/>
      <c r="AN508" s="77"/>
    </row>
    <row r="509" customFormat="false" ht="12.75" hidden="false" customHeight="false" outlineLevel="0" collapsed="false">
      <c r="AJ509" s="77"/>
      <c r="AK509" s="77"/>
      <c r="AL509" s="77"/>
      <c r="AM509" s="77"/>
      <c r="AN509" s="77"/>
    </row>
    <row r="510" customFormat="false" ht="12.75" hidden="false" customHeight="false" outlineLevel="0" collapsed="false">
      <c r="AJ510" s="77"/>
      <c r="AK510" s="77"/>
      <c r="AL510" s="77"/>
      <c r="AM510" s="77"/>
      <c r="AN510" s="77"/>
    </row>
    <row r="511" customFormat="false" ht="12.75" hidden="false" customHeight="false" outlineLevel="0" collapsed="false">
      <c r="AJ511" s="77"/>
      <c r="AK511" s="77"/>
      <c r="AL511" s="77"/>
      <c r="AM511" s="77"/>
      <c r="AN511" s="77"/>
    </row>
    <row r="512" customFormat="false" ht="12.75" hidden="false" customHeight="false" outlineLevel="0" collapsed="false">
      <c r="AJ512" s="77"/>
      <c r="AK512" s="77"/>
      <c r="AL512" s="77"/>
      <c r="AM512" s="77"/>
      <c r="AN512" s="77"/>
    </row>
    <row r="513" customFormat="false" ht="12.75" hidden="false" customHeight="false" outlineLevel="0" collapsed="false">
      <c r="AJ513" s="77"/>
      <c r="AK513" s="77"/>
      <c r="AL513" s="77"/>
      <c r="AM513" s="77"/>
      <c r="AN513" s="77"/>
    </row>
    <row r="514" customFormat="false" ht="12.75" hidden="false" customHeight="false" outlineLevel="0" collapsed="false">
      <c r="AJ514" s="77"/>
      <c r="AK514" s="77"/>
      <c r="AL514" s="77"/>
      <c r="AM514" s="77"/>
      <c r="AN514" s="77"/>
    </row>
    <row r="515" customFormat="false" ht="12.75" hidden="false" customHeight="false" outlineLevel="0" collapsed="false">
      <c r="AJ515" s="77"/>
      <c r="AK515" s="77"/>
      <c r="AL515" s="77"/>
      <c r="AM515" s="77"/>
      <c r="AN515" s="77"/>
    </row>
    <row r="516" customFormat="false" ht="12.75" hidden="false" customHeight="false" outlineLevel="0" collapsed="false">
      <c r="AJ516" s="77"/>
      <c r="AK516" s="77"/>
      <c r="AL516" s="77"/>
      <c r="AM516" s="77"/>
      <c r="AN516" s="77"/>
    </row>
    <row r="517" customFormat="false" ht="12.75" hidden="false" customHeight="false" outlineLevel="0" collapsed="false">
      <c r="AJ517" s="77"/>
      <c r="AK517" s="77"/>
      <c r="AL517" s="77"/>
      <c r="AM517" s="77"/>
      <c r="AN517" s="77"/>
    </row>
    <row r="518" customFormat="false" ht="12.75" hidden="false" customHeight="false" outlineLevel="0" collapsed="false">
      <c r="AJ518" s="77"/>
      <c r="AK518" s="77"/>
      <c r="AL518" s="77"/>
      <c r="AM518" s="77"/>
      <c r="AN518" s="77"/>
    </row>
    <row r="519" customFormat="false" ht="12.75" hidden="false" customHeight="false" outlineLevel="0" collapsed="false">
      <c r="AJ519" s="77"/>
      <c r="AK519" s="77"/>
      <c r="AL519" s="77"/>
      <c r="AM519" s="77"/>
      <c r="AN519" s="77"/>
    </row>
    <row r="520" customFormat="false" ht="12.75" hidden="false" customHeight="false" outlineLevel="0" collapsed="false">
      <c r="AJ520" s="77"/>
      <c r="AK520" s="77"/>
      <c r="AL520" s="77"/>
      <c r="AM520" s="77"/>
      <c r="AN520" s="77"/>
    </row>
    <row r="521" customFormat="false" ht="12.75" hidden="false" customHeight="false" outlineLevel="0" collapsed="false">
      <c r="AJ521" s="77"/>
      <c r="AK521" s="77"/>
      <c r="AL521" s="77"/>
      <c r="AM521" s="77"/>
      <c r="AN521" s="77"/>
    </row>
    <row r="522" customFormat="false" ht="12.75" hidden="false" customHeight="false" outlineLevel="0" collapsed="false">
      <c r="AJ522" s="77"/>
      <c r="AK522" s="77"/>
      <c r="AL522" s="77"/>
      <c r="AM522" s="77"/>
      <c r="AN522" s="77"/>
    </row>
    <row r="523" customFormat="false" ht="12.75" hidden="false" customHeight="false" outlineLevel="0" collapsed="false">
      <c r="AJ523" s="77"/>
      <c r="AK523" s="77"/>
      <c r="AL523" s="77"/>
      <c r="AM523" s="77"/>
      <c r="AN523" s="77"/>
    </row>
    <row r="524" customFormat="false" ht="12.75" hidden="false" customHeight="false" outlineLevel="0" collapsed="false">
      <c r="AJ524" s="77"/>
      <c r="AK524" s="77"/>
      <c r="AL524" s="77"/>
      <c r="AM524" s="77"/>
      <c r="AN524" s="77"/>
    </row>
    <row r="525" customFormat="false" ht="12.75" hidden="false" customHeight="false" outlineLevel="0" collapsed="false">
      <c r="AJ525" s="77"/>
      <c r="AK525" s="77"/>
      <c r="AL525" s="77"/>
      <c r="AM525" s="77"/>
      <c r="AN525" s="77"/>
    </row>
    <row r="526" customFormat="false" ht="12.75" hidden="false" customHeight="false" outlineLevel="0" collapsed="false">
      <c r="AJ526" s="77"/>
      <c r="AK526" s="77"/>
      <c r="AL526" s="77"/>
      <c r="AM526" s="77"/>
      <c r="AN526" s="77"/>
    </row>
    <row r="527" customFormat="false" ht="12.75" hidden="false" customHeight="false" outlineLevel="0" collapsed="false">
      <c r="AJ527" s="77"/>
      <c r="AK527" s="77"/>
      <c r="AL527" s="77"/>
      <c r="AM527" s="77"/>
      <c r="AN527" s="77"/>
    </row>
    <row r="528" customFormat="false" ht="12.75" hidden="false" customHeight="false" outlineLevel="0" collapsed="false">
      <c r="AJ528" s="77"/>
      <c r="AK528" s="77"/>
      <c r="AL528" s="77"/>
      <c r="AM528" s="77"/>
      <c r="AN528" s="77"/>
    </row>
    <row r="529" customFormat="false" ht="12.75" hidden="false" customHeight="false" outlineLevel="0" collapsed="false">
      <c r="AJ529" s="77"/>
      <c r="AK529" s="77"/>
      <c r="AL529" s="77"/>
      <c r="AM529" s="77"/>
      <c r="AN529" s="77"/>
    </row>
    <row r="530" customFormat="false" ht="12.75" hidden="false" customHeight="false" outlineLevel="0" collapsed="false">
      <c r="AJ530" s="77"/>
      <c r="AK530" s="77"/>
      <c r="AL530" s="77"/>
      <c r="AM530" s="77"/>
      <c r="AN530" s="77"/>
    </row>
    <row r="531" customFormat="false" ht="12.75" hidden="false" customHeight="false" outlineLevel="0" collapsed="false">
      <c r="AJ531" s="77"/>
      <c r="AK531" s="77"/>
      <c r="AL531" s="77"/>
      <c r="AM531" s="77"/>
      <c r="AN531" s="77"/>
    </row>
    <row r="532" customFormat="false" ht="12.75" hidden="false" customHeight="false" outlineLevel="0" collapsed="false">
      <c r="AJ532" s="77"/>
      <c r="AK532" s="77"/>
      <c r="AL532" s="77"/>
      <c r="AM532" s="77"/>
      <c r="AN532" s="77"/>
    </row>
    <row r="533" customFormat="false" ht="12.75" hidden="false" customHeight="false" outlineLevel="0" collapsed="false">
      <c r="AJ533" s="77"/>
      <c r="AK533" s="77"/>
      <c r="AL533" s="77"/>
      <c r="AM533" s="77"/>
      <c r="AN533" s="77"/>
    </row>
    <row r="534" customFormat="false" ht="12.75" hidden="false" customHeight="false" outlineLevel="0" collapsed="false">
      <c r="AJ534" s="77"/>
      <c r="AK534" s="77"/>
      <c r="AL534" s="77"/>
      <c r="AM534" s="77"/>
      <c r="AN534" s="77"/>
    </row>
    <row r="535" customFormat="false" ht="12.75" hidden="false" customHeight="false" outlineLevel="0" collapsed="false">
      <c r="AJ535" s="77"/>
      <c r="AK535" s="77"/>
      <c r="AL535" s="77"/>
      <c r="AM535" s="77"/>
      <c r="AN535" s="77"/>
    </row>
    <row r="536" customFormat="false" ht="12.75" hidden="false" customHeight="false" outlineLevel="0" collapsed="false">
      <c r="AJ536" s="77"/>
      <c r="AK536" s="77"/>
      <c r="AL536" s="77"/>
      <c r="AM536" s="77"/>
      <c r="AN536" s="77"/>
    </row>
    <row r="537" customFormat="false" ht="12.75" hidden="false" customHeight="false" outlineLevel="0" collapsed="false">
      <c r="AJ537" s="77"/>
      <c r="AK537" s="77"/>
      <c r="AL537" s="77"/>
      <c r="AM537" s="77"/>
      <c r="AN537" s="77"/>
    </row>
    <row r="538" customFormat="false" ht="12.75" hidden="false" customHeight="false" outlineLevel="0" collapsed="false">
      <c r="AJ538" s="77"/>
      <c r="AK538" s="77"/>
      <c r="AL538" s="77"/>
      <c r="AM538" s="77"/>
      <c r="AN538" s="77"/>
    </row>
    <row r="539" customFormat="false" ht="12.75" hidden="false" customHeight="false" outlineLevel="0" collapsed="false">
      <c r="AJ539" s="77"/>
      <c r="AK539" s="77"/>
      <c r="AL539" s="77"/>
      <c r="AM539" s="77"/>
      <c r="AN539" s="77"/>
    </row>
    <row r="540" customFormat="false" ht="12.75" hidden="false" customHeight="false" outlineLevel="0" collapsed="false">
      <c r="AJ540" s="77"/>
      <c r="AK540" s="77"/>
      <c r="AL540" s="77"/>
      <c r="AM540" s="77"/>
      <c r="AN540" s="77"/>
    </row>
    <row r="541" customFormat="false" ht="12.75" hidden="false" customHeight="false" outlineLevel="0" collapsed="false">
      <c r="AJ541" s="77"/>
      <c r="AK541" s="77"/>
      <c r="AL541" s="77"/>
      <c r="AM541" s="77"/>
      <c r="AN541" s="77"/>
    </row>
    <row r="542" customFormat="false" ht="12.75" hidden="false" customHeight="false" outlineLevel="0" collapsed="false">
      <c r="AJ542" s="77"/>
      <c r="AK542" s="77"/>
      <c r="AL542" s="77"/>
      <c r="AM542" s="77"/>
      <c r="AN542" s="77"/>
    </row>
    <row r="543" customFormat="false" ht="12.75" hidden="false" customHeight="false" outlineLevel="0" collapsed="false">
      <c r="AJ543" s="77"/>
      <c r="AK543" s="77"/>
      <c r="AL543" s="77"/>
      <c r="AM543" s="77"/>
      <c r="AN543" s="77"/>
    </row>
    <row r="544" customFormat="false" ht="12.75" hidden="false" customHeight="false" outlineLevel="0" collapsed="false">
      <c r="AJ544" s="77"/>
      <c r="AK544" s="77"/>
      <c r="AL544" s="77"/>
      <c r="AM544" s="77"/>
      <c r="AN544" s="77"/>
    </row>
    <row r="545" customFormat="false" ht="12.75" hidden="false" customHeight="false" outlineLevel="0" collapsed="false">
      <c r="AJ545" s="77"/>
      <c r="AK545" s="77"/>
      <c r="AL545" s="77"/>
      <c r="AM545" s="77"/>
      <c r="AN545" s="77"/>
    </row>
    <row r="546" customFormat="false" ht="12.75" hidden="false" customHeight="false" outlineLevel="0" collapsed="false">
      <c r="AJ546" s="77"/>
      <c r="AK546" s="77"/>
      <c r="AL546" s="77"/>
      <c r="AM546" s="77"/>
      <c r="AN546" s="77"/>
    </row>
    <row r="547" customFormat="false" ht="12.75" hidden="false" customHeight="false" outlineLevel="0" collapsed="false">
      <c r="AJ547" s="77"/>
      <c r="AK547" s="77"/>
      <c r="AL547" s="77"/>
      <c r="AM547" s="77"/>
      <c r="AN547" s="77"/>
    </row>
    <row r="548" customFormat="false" ht="12.75" hidden="false" customHeight="false" outlineLevel="0" collapsed="false">
      <c r="AJ548" s="77"/>
      <c r="AK548" s="77"/>
      <c r="AL548" s="77"/>
      <c r="AM548" s="77"/>
      <c r="AN548" s="77"/>
    </row>
    <row r="549" customFormat="false" ht="12.75" hidden="false" customHeight="false" outlineLevel="0" collapsed="false">
      <c r="AJ549" s="77"/>
      <c r="AK549" s="77"/>
      <c r="AL549" s="77"/>
      <c r="AM549" s="77"/>
      <c r="AN549" s="77"/>
    </row>
    <row r="550" customFormat="false" ht="12.75" hidden="false" customHeight="false" outlineLevel="0" collapsed="false">
      <c r="AJ550" s="77"/>
      <c r="AK550" s="77"/>
      <c r="AL550" s="77"/>
      <c r="AM550" s="77"/>
      <c r="AN550" s="77"/>
    </row>
    <row r="551" customFormat="false" ht="12.75" hidden="false" customHeight="false" outlineLevel="0" collapsed="false">
      <c r="AJ551" s="77"/>
      <c r="AK551" s="77"/>
      <c r="AL551" s="77"/>
      <c r="AM551" s="77"/>
      <c r="AN551" s="77"/>
    </row>
    <row r="552" customFormat="false" ht="12.75" hidden="false" customHeight="false" outlineLevel="0" collapsed="false">
      <c r="AJ552" s="77"/>
      <c r="AK552" s="77"/>
      <c r="AL552" s="77"/>
      <c r="AM552" s="77"/>
      <c r="AN552" s="77"/>
    </row>
    <row r="553" customFormat="false" ht="12.75" hidden="false" customHeight="false" outlineLevel="0" collapsed="false">
      <c r="AJ553" s="77"/>
      <c r="AK553" s="77"/>
      <c r="AL553" s="77"/>
      <c r="AM553" s="77"/>
      <c r="AN553" s="77"/>
    </row>
    <row r="554" customFormat="false" ht="12.75" hidden="false" customHeight="false" outlineLevel="0" collapsed="false">
      <c r="AJ554" s="77"/>
      <c r="AK554" s="77"/>
      <c r="AL554" s="77"/>
      <c r="AM554" s="77"/>
      <c r="AN554" s="77"/>
    </row>
    <row r="555" customFormat="false" ht="12.75" hidden="false" customHeight="false" outlineLevel="0" collapsed="false">
      <c r="AJ555" s="77"/>
      <c r="AK555" s="77"/>
      <c r="AL555" s="77"/>
      <c r="AM555" s="77"/>
      <c r="AN555" s="77"/>
    </row>
    <row r="556" customFormat="false" ht="12.75" hidden="false" customHeight="false" outlineLevel="0" collapsed="false">
      <c r="AJ556" s="77"/>
      <c r="AK556" s="77"/>
      <c r="AL556" s="77"/>
      <c r="AM556" s="77"/>
      <c r="AN556" s="77"/>
    </row>
    <row r="557" customFormat="false" ht="12.75" hidden="false" customHeight="false" outlineLevel="0" collapsed="false">
      <c r="AJ557" s="77"/>
      <c r="AK557" s="77"/>
      <c r="AL557" s="77"/>
      <c r="AM557" s="77"/>
      <c r="AN557" s="77"/>
    </row>
    <row r="558" customFormat="false" ht="12.75" hidden="false" customHeight="false" outlineLevel="0" collapsed="false">
      <c r="AJ558" s="77"/>
      <c r="AK558" s="77"/>
      <c r="AL558" s="77"/>
      <c r="AM558" s="77"/>
      <c r="AN558" s="77"/>
    </row>
    <row r="559" customFormat="false" ht="12.75" hidden="false" customHeight="false" outlineLevel="0" collapsed="false">
      <c r="AJ559" s="77"/>
      <c r="AK559" s="77"/>
      <c r="AL559" s="77"/>
      <c r="AM559" s="77"/>
      <c r="AN559" s="77"/>
    </row>
    <row r="560" customFormat="false" ht="12.75" hidden="false" customHeight="false" outlineLevel="0" collapsed="false">
      <c r="AJ560" s="77"/>
      <c r="AK560" s="77"/>
      <c r="AL560" s="77"/>
      <c r="AM560" s="77"/>
      <c r="AN560" s="77"/>
    </row>
    <row r="561" customFormat="false" ht="12.75" hidden="false" customHeight="false" outlineLevel="0" collapsed="false">
      <c r="AJ561" s="77"/>
      <c r="AK561" s="77"/>
      <c r="AL561" s="77"/>
      <c r="AM561" s="77"/>
      <c r="AN561" s="77"/>
    </row>
    <row r="562" customFormat="false" ht="12.75" hidden="false" customHeight="false" outlineLevel="0" collapsed="false">
      <c r="AJ562" s="77"/>
      <c r="AK562" s="77"/>
      <c r="AL562" s="77"/>
      <c r="AM562" s="77"/>
      <c r="AN562" s="77"/>
    </row>
    <row r="563" customFormat="false" ht="12.75" hidden="false" customHeight="false" outlineLevel="0" collapsed="false">
      <c r="AJ563" s="77"/>
      <c r="AK563" s="77"/>
      <c r="AL563" s="77"/>
      <c r="AM563" s="77"/>
      <c r="AN563" s="77"/>
    </row>
    <row r="564" customFormat="false" ht="12.75" hidden="false" customHeight="false" outlineLevel="0" collapsed="false">
      <c r="AJ564" s="77"/>
      <c r="AK564" s="77"/>
      <c r="AL564" s="77"/>
      <c r="AM564" s="77"/>
      <c r="AN564" s="77"/>
    </row>
    <row r="565" customFormat="false" ht="12.75" hidden="false" customHeight="false" outlineLevel="0" collapsed="false">
      <c r="AJ565" s="77"/>
      <c r="AK565" s="77"/>
      <c r="AL565" s="77"/>
      <c r="AM565" s="77"/>
      <c r="AN565" s="77"/>
    </row>
    <row r="566" customFormat="false" ht="12.75" hidden="false" customHeight="false" outlineLevel="0" collapsed="false">
      <c r="AJ566" s="77"/>
      <c r="AK566" s="77"/>
      <c r="AL566" s="77"/>
      <c r="AM566" s="77"/>
      <c r="AN566" s="77"/>
    </row>
    <row r="567" customFormat="false" ht="12.75" hidden="false" customHeight="false" outlineLevel="0" collapsed="false">
      <c r="AJ567" s="77"/>
      <c r="AK567" s="77"/>
      <c r="AL567" s="77"/>
      <c r="AM567" s="77"/>
      <c r="AN567" s="77"/>
    </row>
    <row r="568" customFormat="false" ht="12.75" hidden="false" customHeight="false" outlineLevel="0" collapsed="false">
      <c r="AJ568" s="77"/>
      <c r="AK568" s="77"/>
      <c r="AL568" s="77"/>
      <c r="AM568" s="77"/>
      <c r="AN568" s="77"/>
    </row>
    <row r="569" customFormat="false" ht="12.75" hidden="false" customHeight="false" outlineLevel="0" collapsed="false">
      <c r="AJ569" s="77"/>
      <c r="AK569" s="77"/>
      <c r="AL569" s="77"/>
      <c r="AM569" s="77"/>
      <c r="AN569" s="77"/>
    </row>
    <row r="570" customFormat="false" ht="12.75" hidden="false" customHeight="false" outlineLevel="0" collapsed="false">
      <c r="AJ570" s="77"/>
      <c r="AK570" s="77"/>
      <c r="AL570" s="77"/>
      <c r="AM570" s="77"/>
      <c r="AN570" s="77"/>
    </row>
    <row r="571" customFormat="false" ht="12.75" hidden="false" customHeight="false" outlineLevel="0" collapsed="false">
      <c r="AJ571" s="77"/>
      <c r="AK571" s="77"/>
      <c r="AL571" s="77"/>
      <c r="AM571" s="77"/>
      <c r="AN571" s="77"/>
    </row>
    <row r="572" customFormat="false" ht="12.75" hidden="false" customHeight="false" outlineLevel="0" collapsed="false">
      <c r="AJ572" s="77"/>
      <c r="AK572" s="77"/>
      <c r="AL572" s="77"/>
      <c r="AM572" s="77"/>
      <c r="AN572" s="77"/>
    </row>
    <row r="573" customFormat="false" ht="12.75" hidden="false" customHeight="false" outlineLevel="0" collapsed="false">
      <c r="AJ573" s="77"/>
      <c r="AK573" s="77"/>
      <c r="AL573" s="77"/>
      <c r="AM573" s="77"/>
      <c r="AN573" s="77"/>
    </row>
    <row r="574" customFormat="false" ht="12.75" hidden="false" customHeight="false" outlineLevel="0" collapsed="false">
      <c r="AJ574" s="77"/>
      <c r="AK574" s="77"/>
      <c r="AL574" s="77"/>
      <c r="AM574" s="77"/>
      <c r="AN574" s="77"/>
    </row>
    <row r="575" customFormat="false" ht="12.75" hidden="false" customHeight="false" outlineLevel="0" collapsed="false">
      <c r="AJ575" s="77"/>
      <c r="AK575" s="77"/>
      <c r="AL575" s="77"/>
      <c r="AM575" s="77"/>
      <c r="AN575" s="77"/>
    </row>
    <row r="576" customFormat="false" ht="12.75" hidden="false" customHeight="false" outlineLevel="0" collapsed="false">
      <c r="AJ576" s="77"/>
      <c r="AK576" s="77"/>
      <c r="AL576" s="77"/>
      <c r="AM576" s="77"/>
      <c r="AN576" s="77"/>
    </row>
    <row r="577" customFormat="false" ht="12.75" hidden="false" customHeight="false" outlineLevel="0" collapsed="false">
      <c r="AJ577" s="77"/>
      <c r="AK577" s="77"/>
      <c r="AL577" s="77"/>
      <c r="AM577" s="77"/>
      <c r="AN577" s="77"/>
    </row>
    <row r="578" customFormat="false" ht="12.75" hidden="false" customHeight="false" outlineLevel="0" collapsed="false">
      <c r="AJ578" s="77"/>
      <c r="AK578" s="77"/>
      <c r="AL578" s="77"/>
      <c r="AM578" s="77"/>
      <c r="AN578" s="77"/>
    </row>
    <row r="579" customFormat="false" ht="12.75" hidden="false" customHeight="false" outlineLevel="0" collapsed="false">
      <c r="AJ579" s="77"/>
      <c r="AK579" s="77"/>
      <c r="AL579" s="77"/>
      <c r="AM579" s="77"/>
      <c r="AN579" s="77"/>
    </row>
    <row r="580" customFormat="false" ht="12.75" hidden="false" customHeight="false" outlineLevel="0" collapsed="false">
      <c r="AJ580" s="77"/>
      <c r="AK580" s="77"/>
      <c r="AL580" s="77"/>
      <c r="AM580" s="77"/>
      <c r="AN580" s="77"/>
    </row>
    <row r="581" customFormat="false" ht="12.75" hidden="false" customHeight="false" outlineLevel="0" collapsed="false">
      <c r="AJ581" s="77"/>
      <c r="AK581" s="77"/>
      <c r="AL581" s="77"/>
      <c r="AM581" s="77"/>
      <c r="AN581" s="77"/>
    </row>
    <row r="582" customFormat="false" ht="12.75" hidden="false" customHeight="false" outlineLevel="0" collapsed="false">
      <c r="AJ582" s="77"/>
      <c r="AK582" s="77"/>
      <c r="AL582" s="77"/>
      <c r="AM582" s="77"/>
      <c r="AN582" s="77"/>
    </row>
    <row r="583" customFormat="false" ht="12.75" hidden="false" customHeight="false" outlineLevel="0" collapsed="false">
      <c r="AJ583" s="77"/>
      <c r="AK583" s="77"/>
      <c r="AL583" s="77"/>
      <c r="AM583" s="77"/>
      <c r="AN583" s="77"/>
    </row>
    <row r="584" customFormat="false" ht="12.75" hidden="false" customHeight="false" outlineLevel="0" collapsed="false">
      <c r="AJ584" s="77"/>
      <c r="AK584" s="77"/>
      <c r="AL584" s="77"/>
      <c r="AM584" s="77"/>
      <c r="AN584" s="77"/>
    </row>
    <row r="585" customFormat="false" ht="12.75" hidden="false" customHeight="false" outlineLevel="0" collapsed="false">
      <c r="AJ585" s="77"/>
      <c r="AK585" s="77"/>
      <c r="AL585" s="77"/>
      <c r="AM585" s="77"/>
      <c r="AN585" s="77"/>
    </row>
    <row r="586" customFormat="false" ht="12.75" hidden="false" customHeight="false" outlineLevel="0" collapsed="false">
      <c r="AJ586" s="77"/>
      <c r="AK586" s="77"/>
      <c r="AL586" s="77"/>
      <c r="AM586" s="77"/>
      <c r="AN586" s="77"/>
    </row>
    <row r="587" customFormat="false" ht="12.75" hidden="false" customHeight="false" outlineLevel="0" collapsed="false">
      <c r="AJ587" s="77"/>
      <c r="AK587" s="77"/>
      <c r="AL587" s="77"/>
      <c r="AM587" s="77"/>
      <c r="AN587" s="77"/>
    </row>
    <row r="588" customFormat="false" ht="12.75" hidden="false" customHeight="false" outlineLevel="0" collapsed="false">
      <c r="AJ588" s="77"/>
      <c r="AK588" s="77"/>
      <c r="AL588" s="77"/>
      <c r="AM588" s="77"/>
      <c r="AN588" s="77"/>
    </row>
    <row r="589" customFormat="false" ht="12.75" hidden="false" customHeight="false" outlineLevel="0" collapsed="false">
      <c r="AJ589" s="77"/>
      <c r="AK589" s="77"/>
      <c r="AL589" s="77"/>
      <c r="AM589" s="77"/>
      <c r="AN589" s="77"/>
    </row>
    <row r="590" customFormat="false" ht="12.75" hidden="false" customHeight="false" outlineLevel="0" collapsed="false">
      <c r="AJ590" s="77"/>
      <c r="AK590" s="77"/>
      <c r="AL590" s="77"/>
      <c r="AM590" s="77"/>
      <c r="AN590" s="77"/>
    </row>
    <row r="591" customFormat="false" ht="12.75" hidden="false" customHeight="false" outlineLevel="0" collapsed="false">
      <c r="AJ591" s="77"/>
      <c r="AK591" s="77"/>
      <c r="AL591" s="77"/>
      <c r="AM591" s="77"/>
      <c r="AN591" s="77"/>
    </row>
    <row r="592" customFormat="false" ht="12.75" hidden="false" customHeight="false" outlineLevel="0" collapsed="false">
      <c r="AJ592" s="77"/>
      <c r="AK592" s="77"/>
      <c r="AL592" s="77"/>
      <c r="AM592" s="77"/>
      <c r="AN592" s="77"/>
    </row>
    <row r="593" customFormat="false" ht="12.75" hidden="false" customHeight="false" outlineLevel="0" collapsed="false">
      <c r="AJ593" s="77"/>
      <c r="AK593" s="77"/>
      <c r="AL593" s="77"/>
      <c r="AM593" s="77"/>
      <c r="AN593" s="77"/>
    </row>
    <row r="594" customFormat="false" ht="12.75" hidden="false" customHeight="false" outlineLevel="0" collapsed="false">
      <c r="AJ594" s="77"/>
      <c r="AK594" s="77"/>
      <c r="AL594" s="77"/>
      <c r="AM594" s="77"/>
      <c r="AN594" s="77"/>
    </row>
    <row r="595" customFormat="false" ht="12.75" hidden="false" customHeight="false" outlineLevel="0" collapsed="false">
      <c r="AJ595" s="77"/>
      <c r="AK595" s="77"/>
      <c r="AL595" s="77"/>
      <c r="AM595" s="77"/>
      <c r="AN595" s="77"/>
    </row>
    <row r="596" customFormat="false" ht="12.75" hidden="false" customHeight="false" outlineLevel="0" collapsed="false">
      <c r="AJ596" s="77"/>
      <c r="AK596" s="77"/>
      <c r="AL596" s="77"/>
      <c r="AM596" s="77"/>
      <c r="AN596" s="77"/>
    </row>
    <row r="597" customFormat="false" ht="12.75" hidden="false" customHeight="false" outlineLevel="0" collapsed="false">
      <c r="AJ597" s="77"/>
      <c r="AK597" s="77"/>
      <c r="AL597" s="77"/>
      <c r="AM597" s="77"/>
      <c r="AN597" s="77"/>
    </row>
    <row r="598" customFormat="false" ht="12.75" hidden="false" customHeight="false" outlineLevel="0" collapsed="false">
      <c r="AJ598" s="77"/>
      <c r="AK598" s="77"/>
      <c r="AL598" s="77"/>
      <c r="AM598" s="77"/>
      <c r="AN598" s="77"/>
    </row>
    <row r="599" customFormat="false" ht="12.75" hidden="false" customHeight="false" outlineLevel="0" collapsed="false">
      <c r="AJ599" s="77"/>
      <c r="AK599" s="77"/>
      <c r="AL599" s="77"/>
      <c r="AM599" s="77"/>
      <c r="AN599" s="77"/>
    </row>
    <row r="600" customFormat="false" ht="12.75" hidden="false" customHeight="false" outlineLevel="0" collapsed="false">
      <c r="AJ600" s="77"/>
      <c r="AK600" s="77"/>
      <c r="AL600" s="77"/>
      <c r="AM600" s="77"/>
      <c r="AN600" s="77"/>
    </row>
    <row r="601" customFormat="false" ht="12.75" hidden="false" customHeight="false" outlineLevel="0" collapsed="false">
      <c r="AJ601" s="77"/>
      <c r="AK601" s="77"/>
      <c r="AL601" s="77"/>
      <c r="AM601" s="77"/>
      <c r="AN601" s="77"/>
    </row>
    <row r="602" customFormat="false" ht="12.75" hidden="false" customHeight="false" outlineLevel="0" collapsed="false">
      <c r="AJ602" s="77"/>
      <c r="AK602" s="77"/>
      <c r="AL602" s="77"/>
      <c r="AM602" s="77"/>
      <c r="AN602" s="77"/>
    </row>
    <row r="603" customFormat="false" ht="12.75" hidden="false" customHeight="false" outlineLevel="0" collapsed="false">
      <c r="AJ603" s="77"/>
      <c r="AK603" s="77"/>
      <c r="AL603" s="77"/>
      <c r="AM603" s="77"/>
      <c r="AN603" s="77"/>
    </row>
    <row r="604" customFormat="false" ht="12.75" hidden="false" customHeight="false" outlineLevel="0" collapsed="false">
      <c r="AJ604" s="77"/>
      <c r="AK604" s="77"/>
      <c r="AL604" s="77"/>
      <c r="AM604" s="77"/>
      <c r="AN604" s="77"/>
    </row>
    <row r="605" customFormat="false" ht="12.75" hidden="false" customHeight="false" outlineLevel="0" collapsed="false">
      <c r="AJ605" s="77"/>
      <c r="AK605" s="77"/>
      <c r="AL605" s="77"/>
      <c r="AM605" s="77"/>
      <c r="AN605" s="77"/>
    </row>
    <row r="606" customFormat="false" ht="12.75" hidden="false" customHeight="false" outlineLevel="0" collapsed="false">
      <c r="AJ606" s="77"/>
      <c r="AK606" s="77"/>
      <c r="AL606" s="77"/>
      <c r="AM606" s="77"/>
      <c r="AN606" s="77"/>
    </row>
    <row r="607" customFormat="false" ht="12.75" hidden="false" customHeight="false" outlineLevel="0" collapsed="false">
      <c r="AJ607" s="77"/>
      <c r="AK607" s="77"/>
      <c r="AL607" s="77"/>
      <c r="AM607" s="77"/>
      <c r="AN607" s="77"/>
    </row>
    <row r="608" customFormat="false" ht="12.75" hidden="false" customHeight="false" outlineLevel="0" collapsed="false">
      <c r="AJ608" s="77"/>
      <c r="AK608" s="77"/>
      <c r="AL608" s="77"/>
      <c r="AM608" s="77"/>
      <c r="AN608" s="77"/>
    </row>
    <row r="609" customFormat="false" ht="12.75" hidden="false" customHeight="false" outlineLevel="0" collapsed="false">
      <c r="AJ609" s="77"/>
      <c r="AK609" s="77"/>
      <c r="AL609" s="77"/>
      <c r="AM609" s="77"/>
      <c r="AN609" s="77"/>
    </row>
    <row r="610" customFormat="false" ht="12.75" hidden="false" customHeight="false" outlineLevel="0" collapsed="false">
      <c r="AJ610" s="77"/>
      <c r="AK610" s="77"/>
      <c r="AL610" s="77"/>
      <c r="AM610" s="77"/>
      <c r="AN610" s="77"/>
    </row>
    <row r="611" customFormat="false" ht="12.75" hidden="false" customHeight="false" outlineLevel="0" collapsed="false">
      <c r="AJ611" s="77"/>
      <c r="AK611" s="77"/>
      <c r="AL611" s="77"/>
      <c r="AM611" s="77"/>
      <c r="AN611" s="77"/>
    </row>
    <row r="612" customFormat="false" ht="12.75" hidden="false" customHeight="false" outlineLevel="0" collapsed="false">
      <c r="AJ612" s="77"/>
      <c r="AK612" s="77"/>
      <c r="AL612" s="77"/>
      <c r="AM612" s="77"/>
      <c r="AN612" s="77"/>
    </row>
    <row r="613" customFormat="false" ht="12.75" hidden="false" customHeight="false" outlineLevel="0" collapsed="false">
      <c r="AJ613" s="77"/>
      <c r="AK613" s="77"/>
      <c r="AL613" s="77"/>
      <c r="AM613" s="77"/>
      <c r="AN613" s="77"/>
    </row>
    <row r="614" customFormat="false" ht="12.75" hidden="false" customHeight="false" outlineLevel="0" collapsed="false">
      <c r="AJ614" s="77"/>
      <c r="AK614" s="77"/>
      <c r="AL614" s="77"/>
      <c r="AM614" s="77"/>
      <c r="AN614" s="77"/>
    </row>
    <row r="615" customFormat="false" ht="12.75" hidden="false" customHeight="false" outlineLevel="0" collapsed="false">
      <c r="AJ615" s="77"/>
      <c r="AK615" s="77"/>
      <c r="AL615" s="77"/>
      <c r="AM615" s="77"/>
      <c r="AN615" s="77"/>
    </row>
    <row r="616" customFormat="false" ht="12.75" hidden="false" customHeight="false" outlineLevel="0" collapsed="false">
      <c r="AJ616" s="77"/>
      <c r="AK616" s="77"/>
      <c r="AL616" s="77"/>
      <c r="AM616" s="77"/>
      <c r="AN616" s="77"/>
    </row>
    <row r="617" customFormat="false" ht="12.75" hidden="false" customHeight="false" outlineLevel="0" collapsed="false">
      <c r="AJ617" s="77"/>
      <c r="AK617" s="77"/>
      <c r="AL617" s="77"/>
      <c r="AM617" s="77"/>
      <c r="AN617" s="77"/>
    </row>
    <row r="618" customFormat="false" ht="12.75" hidden="false" customHeight="false" outlineLevel="0" collapsed="false">
      <c r="AJ618" s="77"/>
      <c r="AK618" s="77"/>
      <c r="AL618" s="77"/>
      <c r="AM618" s="77"/>
      <c r="AN618" s="77"/>
    </row>
    <row r="619" customFormat="false" ht="12.75" hidden="false" customHeight="false" outlineLevel="0" collapsed="false">
      <c r="AJ619" s="77"/>
      <c r="AK619" s="77"/>
      <c r="AL619" s="77"/>
      <c r="AM619" s="77"/>
      <c r="AN619" s="77"/>
    </row>
    <row r="620" customFormat="false" ht="12.75" hidden="false" customHeight="false" outlineLevel="0" collapsed="false">
      <c r="AJ620" s="77"/>
      <c r="AK620" s="77"/>
      <c r="AL620" s="77"/>
      <c r="AM620" s="77"/>
      <c r="AN620" s="77"/>
    </row>
    <row r="621" customFormat="false" ht="12.75" hidden="false" customHeight="false" outlineLevel="0" collapsed="false">
      <c r="AJ621" s="77"/>
      <c r="AK621" s="77"/>
      <c r="AL621" s="77"/>
      <c r="AM621" s="77"/>
      <c r="AN621" s="77"/>
    </row>
    <row r="622" customFormat="false" ht="12.75" hidden="false" customHeight="false" outlineLevel="0" collapsed="false">
      <c r="AJ622" s="77"/>
      <c r="AK622" s="77"/>
      <c r="AL622" s="77"/>
      <c r="AM622" s="77"/>
      <c r="AN622" s="77"/>
    </row>
    <row r="623" customFormat="false" ht="12.75" hidden="false" customHeight="false" outlineLevel="0" collapsed="false">
      <c r="AJ623" s="77"/>
      <c r="AK623" s="77"/>
      <c r="AL623" s="77"/>
      <c r="AM623" s="77"/>
      <c r="AN623" s="77"/>
    </row>
    <row r="624" customFormat="false" ht="12.75" hidden="false" customHeight="false" outlineLevel="0" collapsed="false">
      <c r="AJ624" s="77"/>
      <c r="AK624" s="77"/>
      <c r="AL624" s="77"/>
      <c r="AM624" s="77"/>
      <c r="AN624" s="77"/>
    </row>
    <row r="625" customFormat="false" ht="12.75" hidden="false" customHeight="false" outlineLevel="0" collapsed="false">
      <c r="AJ625" s="77"/>
      <c r="AK625" s="77"/>
      <c r="AL625" s="77"/>
      <c r="AM625" s="77"/>
      <c r="AN625" s="77"/>
    </row>
    <row r="626" customFormat="false" ht="12.75" hidden="false" customHeight="false" outlineLevel="0" collapsed="false">
      <c r="AJ626" s="77"/>
      <c r="AK626" s="77"/>
      <c r="AL626" s="77"/>
      <c r="AM626" s="77"/>
      <c r="AN626" s="77"/>
    </row>
    <row r="627" customFormat="false" ht="12.75" hidden="false" customHeight="false" outlineLevel="0" collapsed="false">
      <c r="AJ627" s="77"/>
      <c r="AK627" s="77"/>
      <c r="AL627" s="77"/>
      <c r="AM627" s="77"/>
      <c r="AN627" s="77"/>
    </row>
    <row r="628" customFormat="false" ht="12.75" hidden="false" customHeight="false" outlineLevel="0" collapsed="false">
      <c r="AJ628" s="77"/>
      <c r="AK628" s="77"/>
      <c r="AL628" s="77"/>
      <c r="AM628" s="77"/>
      <c r="AN628" s="77"/>
    </row>
    <row r="629" customFormat="false" ht="12.75" hidden="false" customHeight="false" outlineLevel="0" collapsed="false">
      <c r="AJ629" s="77"/>
      <c r="AK629" s="77"/>
      <c r="AL629" s="77"/>
      <c r="AM629" s="77"/>
      <c r="AN629" s="77"/>
    </row>
    <row r="630" customFormat="false" ht="12.75" hidden="false" customHeight="false" outlineLevel="0" collapsed="false">
      <c r="AJ630" s="77"/>
      <c r="AK630" s="77"/>
      <c r="AL630" s="77"/>
      <c r="AM630" s="77"/>
      <c r="AN630" s="77"/>
    </row>
    <row r="631" customFormat="false" ht="12.75" hidden="false" customHeight="false" outlineLevel="0" collapsed="false">
      <c r="AJ631" s="77"/>
      <c r="AK631" s="77"/>
      <c r="AL631" s="77"/>
      <c r="AM631" s="77"/>
      <c r="AN631" s="77"/>
    </row>
    <row r="632" customFormat="false" ht="12.75" hidden="false" customHeight="false" outlineLevel="0" collapsed="false">
      <c r="AJ632" s="77"/>
      <c r="AK632" s="77"/>
      <c r="AL632" s="77"/>
      <c r="AM632" s="77"/>
      <c r="AN632" s="77"/>
    </row>
    <row r="633" customFormat="false" ht="12.75" hidden="false" customHeight="false" outlineLevel="0" collapsed="false">
      <c r="AJ633" s="77"/>
      <c r="AK633" s="77"/>
      <c r="AL633" s="77"/>
      <c r="AM633" s="77"/>
      <c r="AN633" s="77"/>
    </row>
    <row r="634" customFormat="false" ht="12.75" hidden="false" customHeight="false" outlineLevel="0" collapsed="false">
      <c r="AJ634" s="77"/>
      <c r="AK634" s="77"/>
      <c r="AL634" s="77"/>
      <c r="AM634" s="77"/>
      <c r="AN634" s="77"/>
    </row>
    <row r="635" customFormat="false" ht="12.75" hidden="false" customHeight="false" outlineLevel="0" collapsed="false">
      <c r="AJ635" s="77"/>
      <c r="AK635" s="77"/>
      <c r="AL635" s="77"/>
      <c r="AM635" s="77"/>
      <c r="AN635" s="77"/>
    </row>
    <row r="636" customFormat="false" ht="12.75" hidden="false" customHeight="false" outlineLevel="0" collapsed="false">
      <c r="AJ636" s="77"/>
      <c r="AK636" s="77"/>
      <c r="AL636" s="77"/>
      <c r="AM636" s="77"/>
      <c r="AN636" s="77"/>
    </row>
    <row r="637" customFormat="false" ht="12.75" hidden="false" customHeight="false" outlineLevel="0" collapsed="false">
      <c r="AJ637" s="77"/>
      <c r="AK637" s="77"/>
      <c r="AL637" s="77"/>
      <c r="AM637" s="77"/>
      <c r="AN637" s="77"/>
    </row>
    <row r="638" customFormat="false" ht="12.75" hidden="false" customHeight="false" outlineLevel="0" collapsed="false">
      <c r="AJ638" s="77"/>
      <c r="AK638" s="77"/>
      <c r="AL638" s="77"/>
      <c r="AM638" s="77"/>
      <c r="AN638" s="77"/>
    </row>
    <row r="639" customFormat="false" ht="12.75" hidden="false" customHeight="false" outlineLevel="0" collapsed="false">
      <c r="AJ639" s="77"/>
      <c r="AK639" s="77"/>
      <c r="AL639" s="77"/>
      <c r="AM639" s="77"/>
      <c r="AN639" s="77"/>
    </row>
    <row r="640" customFormat="false" ht="12.75" hidden="false" customHeight="false" outlineLevel="0" collapsed="false">
      <c r="AJ640" s="77"/>
      <c r="AK640" s="77"/>
      <c r="AL640" s="77"/>
      <c r="AM640" s="77"/>
      <c r="AN640" s="77"/>
    </row>
    <row r="641" customFormat="false" ht="12.75" hidden="false" customHeight="false" outlineLevel="0" collapsed="false">
      <c r="AJ641" s="77"/>
      <c r="AK641" s="77"/>
      <c r="AL641" s="77"/>
      <c r="AM641" s="77"/>
      <c r="AN641" s="77"/>
    </row>
    <row r="642" customFormat="false" ht="12.75" hidden="false" customHeight="false" outlineLevel="0" collapsed="false">
      <c r="AJ642" s="77"/>
      <c r="AK642" s="77"/>
      <c r="AL642" s="77"/>
      <c r="AM642" s="77"/>
      <c r="AN642" s="77"/>
    </row>
    <row r="643" customFormat="false" ht="12.75" hidden="false" customHeight="false" outlineLevel="0" collapsed="false">
      <c r="AJ643" s="77"/>
      <c r="AK643" s="77"/>
      <c r="AL643" s="77"/>
      <c r="AM643" s="77"/>
      <c r="AN643" s="77"/>
    </row>
    <row r="644" customFormat="false" ht="12.75" hidden="false" customHeight="false" outlineLevel="0" collapsed="false">
      <c r="AJ644" s="77"/>
      <c r="AK644" s="77"/>
      <c r="AL644" s="77"/>
      <c r="AM644" s="77"/>
      <c r="AN644" s="77"/>
    </row>
    <row r="645" customFormat="false" ht="12.75" hidden="false" customHeight="false" outlineLevel="0" collapsed="false">
      <c r="AJ645" s="77"/>
      <c r="AK645" s="77"/>
      <c r="AL645" s="77"/>
      <c r="AM645" s="77"/>
      <c r="AN645" s="77"/>
    </row>
    <row r="646" customFormat="false" ht="12.75" hidden="false" customHeight="false" outlineLevel="0" collapsed="false">
      <c r="AJ646" s="77"/>
      <c r="AK646" s="77"/>
      <c r="AL646" s="77"/>
      <c r="AM646" s="77"/>
      <c r="AN646" s="77"/>
    </row>
    <row r="647" customFormat="false" ht="12.75" hidden="false" customHeight="false" outlineLevel="0" collapsed="false">
      <c r="AJ647" s="77"/>
      <c r="AK647" s="77"/>
      <c r="AL647" s="77"/>
      <c r="AM647" s="77"/>
      <c r="AN647" s="77"/>
    </row>
    <row r="648" customFormat="false" ht="12.75" hidden="false" customHeight="false" outlineLevel="0" collapsed="false">
      <c r="AJ648" s="77"/>
      <c r="AK648" s="77"/>
      <c r="AL648" s="77"/>
      <c r="AM648" s="77"/>
      <c r="AN648" s="77"/>
    </row>
    <row r="649" customFormat="false" ht="12.75" hidden="false" customHeight="false" outlineLevel="0" collapsed="false">
      <c r="AJ649" s="77"/>
      <c r="AK649" s="77"/>
      <c r="AL649" s="77"/>
      <c r="AM649" s="77"/>
      <c r="AN649" s="77"/>
    </row>
    <row r="650" customFormat="false" ht="12.75" hidden="false" customHeight="false" outlineLevel="0" collapsed="false">
      <c r="AJ650" s="77"/>
      <c r="AK650" s="77"/>
      <c r="AL650" s="77"/>
      <c r="AM650" s="77"/>
      <c r="AN650" s="77"/>
    </row>
    <row r="651" customFormat="false" ht="12.75" hidden="false" customHeight="false" outlineLevel="0" collapsed="false">
      <c r="AJ651" s="77"/>
      <c r="AK651" s="77"/>
      <c r="AL651" s="77"/>
      <c r="AM651" s="77"/>
      <c r="AN651" s="77"/>
    </row>
    <row r="652" customFormat="false" ht="12.75" hidden="false" customHeight="false" outlineLevel="0" collapsed="false">
      <c r="AJ652" s="77"/>
      <c r="AK652" s="77"/>
      <c r="AL652" s="77"/>
      <c r="AM652" s="77"/>
      <c r="AN652" s="77"/>
    </row>
    <row r="653" customFormat="false" ht="12.75" hidden="false" customHeight="false" outlineLevel="0" collapsed="false">
      <c r="AJ653" s="77"/>
      <c r="AK653" s="77"/>
      <c r="AL653" s="77"/>
      <c r="AM653" s="77"/>
      <c r="AN653" s="77"/>
    </row>
    <row r="654" customFormat="false" ht="12.75" hidden="false" customHeight="false" outlineLevel="0" collapsed="false">
      <c r="AJ654" s="77"/>
      <c r="AK654" s="77"/>
      <c r="AL654" s="77"/>
      <c r="AM654" s="77"/>
      <c r="AN654" s="77"/>
    </row>
    <row r="655" customFormat="false" ht="12.75" hidden="false" customHeight="false" outlineLevel="0" collapsed="false">
      <c r="AJ655" s="77"/>
      <c r="AK655" s="77"/>
      <c r="AL655" s="77"/>
      <c r="AM655" s="77"/>
      <c r="AN655" s="77"/>
    </row>
    <row r="656" customFormat="false" ht="12.75" hidden="false" customHeight="false" outlineLevel="0" collapsed="false">
      <c r="AJ656" s="77"/>
      <c r="AK656" s="77"/>
      <c r="AL656" s="77"/>
      <c r="AM656" s="77"/>
      <c r="AN656" s="77"/>
    </row>
    <row r="657" customFormat="false" ht="12.75" hidden="false" customHeight="false" outlineLevel="0" collapsed="false">
      <c r="AJ657" s="77"/>
      <c r="AK657" s="77"/>
      <c r="AL657" s="77"/>
      <c r="AM657" s="77"/>
      <c r="AN657" s="77"/>
    </row>
    <row r="658" customFormat="false" ht="12.75" hidden="false" customHeight="false" outlineLevel="0" collapsed="false">
      <c r="AJ658" s="77"/>
      <c r="AK658" s="77"/>
      <c r="AL658" s="77"/>
      <c r="AM658" s="77"/>
      <c r="AN658" s="77"/>
    </row>
    <row r="659" customFormat="false" ht="12.75" hidden="false" customHeight="false" outlineLevel="0" collapsed="false">
      <c r="AJ659" s="77"/>
      <c r="AK659" s="77"/>
      <c r="AL659" s="77"/>
      <c r="AM659" s="77"/>
      <c r="AN659" s="77"/>
    </row>
    <row r="660" customFormat="false" ht="12.75" hidden="false" customHeight="false" outlineLevel="0" collapsed="false">
      <c r="AJ660" s="77"/>
      <c r="AK660" s="77"/>
      <c r="AL660" s="77"/>
      <c r="AM660" s="77"/>
      <c r="AN660" s="77"/>
    </row>
    <row r="661" customFormat="false" ht="12.75" hidden="false" customHeight="false" outlineLevel="0" collapsed="false">
      <c r="AJ661" s="77"/>
      <c r="AK661" s="77"/>
      <c r="AL661" s="77"/>
      <c r="AM661" s="77"/>
      <c r="AN661" s="77"/>
    </row>
    <row r="662" customFormat="false" ht="12.75" hidden="false" customHeight="false" outlineLevel="0" collapsed="false">
      <c r="AJ662" s="77"/>
      <c r="AK662" s="77"/>
      <c r="AL662" s="77"/>
      <c r="AM662" s="77"/>
      <c r="AN662" s="77"/>
    </row>
    <row r="663" customFormat="false" ht="12.75" hidden="false" customHeight="false" outlineLevel="0" collapsed="false">
      <c r="AJ663" s="77"/>
      <c r="AK663" s="77"/>
      <c r="AL663" s="77"/>
      <c r="AM663" s="77"/>
      <c r="AN663" s="77"/>
    </row>
    <row r="664" customFormat="false" ht="12.75" hidden="false" customHeight="false" outlineLevel="0" collapsed="false">
      <c r="AJ664" s="77"/>
      <c r="AK664" s="77"/>
      <c r="AL664" s="77"/>
      <c r="AM664" s="77"/>
      <c r="AN664" s="77"/>
    </row>
    <row r="665" customFormat="false" ht="12.75" hidden="false" customHeight="false" outlineLevel="0" collapsed="false">
      <c r="AJ665" s="77"/>
      <c r="AK665" s="77"/>
      <c r="AL665" s="77"/>
      <c r="AM665" s="77"/>
      <c r="AN665" s="77"/>
    </row>
    <row r="666" customFormat="false" ht="12.75" hidden="false" customHeight="false" outlineLevel="0" collapsed="false">
      <c r="AJ666" s="77"/>
      <c r="AK666" s="77"/>
      <c r="AL666" s="77"/>
      <c r="AM666" s="77"/>
      <c r="AN666" s="77"/>
    </row>
    <row r="667" customFormat="false" ht="12.75" hidden="false" customHeight="false" outlineLevel="0" collapsed="false">
      <c r="AJ667" s="77"/>
      <c r="AK667" s="77"/>
      <c r="AL667" s="77"/>
      <c r="AM667" s="77"/>
      <c r="AN667" s="77"/>
    </row>
    <row r="668" customFormat="false" ht="12.75" hidden="false" customHeight="false" outlineLevel="0" collapsed="false">
      <c r="AJ668" s="77"/>
      <c r="AK668" s="77"/>
      <c r="AL668" s="77"/>
      <c r="AM668" s="77"/>
      <c r="AN668" s="77"/>
    </row>
    <row r="669" customFormat="false" ht="12.75" hidden="false" customHeight="false" outlineLevel="0" collapsed="false">
      <c r="AJ669" s="77"/>
      <c r="AK669" s="77"/>
      <c r="AL669" s="77"/>
      <c r="AM669" s="77"/>
      <c r="AN669" s="77"/>
    </row>
    <row r="670" customFormat="false" ht="12.75" hidden="false" customHeight="false" outlineLevel="0" collapsed="false">
      <c r="AJ670" s="77"/>
      <c r="AK670" s="77"/>
      <c r="AL670" s="77"/>
      <c r="AM670" s="77"/>
      <c r="AN670" s="77"/>
    </row>
    <row r="671" customFormat="false" ht="12.75" hidden="false" customHeight="false" outlineLevel="0" collapsed="false">
      <c r="AJ671" s="77"/>
      <c r="AK671" s="77"/>
      <c r="AL671" s="77"/>
      <c r="AM671" s="77"/>
      <c r="AN671" s="77"/>
    </row>
    <row r="672" customFormat="false" ht="12.75" hidden="false" customHeight="false" outlineLevel="0" collapsed="false">
      <c r="AJ672" s="77"/>
      <c r="AK672" s="77"/>
      <c r="AL672" s="77"/>
      <c r="AM672" s="77"/>
      <c r="AN672" s="77"/>
    </row>
    <row r="673" customFormat="false" ht="12.75" hidden="false" customHeight="false" outlineLevel="0" collapsed="false">
      <c r="AJ673" s="77"/>
      <c r="AK673" s="77"/>
      <c r="AL673" s="77"/>
      <c r="AM673" s="77"/>
      <c r="AN673" s="77"/>
    </row>
    <row r="674" customFormat="false" ht="12.75" hidden="false" customHeight="false" outlineLevel="0" collapsed="false">
      <c r="AJ674" s="77"/>
      <c r="AK674" s="77"/>
      <c r="AL674" s="77"/>
      <c r="AM674" s="77"/>
      <c r="AN674" s="77"/>
    </row>
    <row r="675" customFormat="false" ht="12.75" hidden="false" customHeight="false" outlineLevel="0" collapsed="false">
      <c r="AJ675" s="77"/>
      <c r="AK675" s="77"/>
      <c r="AL675" s="77"/>
      <c r="AM675" s="77"/>
      <c r="AN675" s="77"/>
    </row>
    <row r="676" customFormat="false" ht="12.75" hidden="false" customHeight="false" outlineLevel="0" collapsed="false">
      <c r="AJ676" s="77"/>
      <c r="AK676" s="77"/>
      <c r="AL676" s="77"/>
      <c r="AM676" s="77"/>
      <c r="AN676" s="77"/>
    </row>
    <row r="677" customFormat="false" ht="12.75" hidden="false" customHeight="false" outlineLevel="0" collapsed="false">
      <c r="AJ677" s="77"/>
      <c r="AK677" s="77"/>
      <c r="AL677" s="77"/>
      <c r="AM677" s="77"/>
      <c r="AN677" s="77"/>
    </row>
    <row r="678" customFormat="false" ht="12.75" hidden="false" customHeight="false" outlineLevel="0" collapsed="false">
      <c r="AJ678" s="77"/>
      <c r="AK678" s="77"/>
      <c r="AL678" s="77"/>
      <c r="AM678" s="77"/>
      <c r="AN678" s="77"/>
    </row>
    <row r="679" customFormat="false" ht="12.75" hidden="false" customHeight="false" outlineLevel="0" collapsed="false">
      <c r="AJ679" s="77"/>
      <c r="AK679" s="77"/>
      <c r="AL679" s="77"/>
      <c r="AM679" s="77"/>
      <c r="AN679" s="77"/>
    </row>
    <row r="680" customFormat="false" ht="12.75" hidden="false" customHeight="false" outlineLevel="0" collapsed="false">
      <c r="AJ680" s="77"/>
      <c r="AK680" s="77"/>
      <c r="AL680" s="77"/>
      <c r="AM680" s="77"/>
      <c r="AN680" s="77"/>
    </row>
    <row r="681" customFormat="false" ht="12.75" hidden="false" customHeight="false" outlineLevel="0" collapsed="false">
      <c r="AJ681" s="77"/>
      <c r="AK681" s="77"/>
      <c r="AL681" s="77"/>
      <c r="AM681" s="77"/>
      <c r="AN681" s="77"/>
    </row>
    <row r="682" customFormat="false" ht="12.75" hidden="false" customHeight="false" outlineLevel="0" collapsed="false">
      <c r="AJ682" s="77"/>
      <c r="AK682" s="77"/>
      <c r="AL682" s="77"/>
      <c r="AM682" s="77"/>
      <c r="AN682" s="77"/>
    </row>
    <row r="683" customFormat="false" ht="12.75" hidden="false" customHeight="false" outlineLevel="0" collapsed="false">
      <c r="AJ683" s="77"/>
      <c r="AK683" s="77"/>
      <c r="AL683" s="77"/>
      <c r="AM683" s="77"/>
      <c r="AN683" s="77"/>
    </row>
    <row r="684" customFormat="false" ht="12.75" hidden="false" customHeight="false" outlineLevel="0" collapsed="false">
      <c r="AJ684" s="77"/>
      <c r="AK684" s="77"/>
      <c r="AL684" s="77"/>
      <c r="AM684" s="77"/>
      <c r="AN684" s="77"/>
    </row>
    <row r="685" customFormat="false" ht="12.75" hidden="false" customHeight="false" outlineLevel="0" collapsed="false">
      <c r="AJ685" s="77"/>
      <c r="AK685" s="77"/>
      <c r="AL685" s="77"/>
      <c r="AM685" s="77"/>
      <c r="AN685" s="77"/>
    </row>
    <row r="686" customFormat="false" ht="12.75" hidden="false" customHeight="false" outlineLevel="0" collapsed="false">
      <c r="AJ686" s="77"/>
      <c r="AK686" s="77"/>
      <c r="AL686" s="77"/>
      <c r="AM686" s="77"/>
      <c r="AN686" s="77"/>
    </row>
    <row r="687" customFormat="false" ht="12.75" hidden="false" customHeight="false" outlineLevel="0" collapsed="false">
      <c r="AJ687" s="77"/>
      <c r="AK687" s="77"/>
      <c r="AL687" s="77"/>
      <c r="AM687" s="77"/>
      <c r="AN687" s="77"/>
    </row>
    <row r="688" customFormat="false" ht="12.75" hidden="false" customHeight="false" outlineLevel="0" collapsed="false">
      <c r="AJ688" s="77"/>
      <c r="AK688" s="77"/>
      <c r="AL688" s="77"/>
      <c r="AM688" s="77"/>
      <c r="AN688" s="77"/>
    </row>
    <row r="689" customFormat="false" ht="12.75" hidden="false" customHeight="false" outlineLevel="0" collapsed="false">
      <c r="AJ689" s="77"/>
      <c r="AK689" s="77"/>
      <c r="AL689" s="77"/>
      <c r="AM689" s="77"/>
      <c r="AN689" s="77"/>
    </row>
    <row r="690" customFormat="false" ht="12.75" hidden="false" customHeight="false" outlineLevel="0" collapsed="false">
      <c r="AJ690" s="77"/>
      <c r="AK690" s="77"/>
      <c r="AL690" s="77"/>
      <c r="AM690" s="77"/>
      <c r="AN690" s="77"/>
    </row>
    <row r="691" customFormat="false" ht="12.75" hidden="false" customHeight="false" outlineLevel="0" collapsed="false">
      <c r="AJ691" s="77"/>
      <c r="AK691" s="77"/>
      <c r="AL691" s="77"/>
      <c r="AM691" s="77"/>
      <c r="AN691" s="77"/>
    </row>
    <row r="692" customFormat="false" ht="12.75" hidden="false" customHeight="false" outlineLevel="0" collapsed="false">
      <c r="AJ692" s="77"/>
      <c r="AK692" s="77"/>
      <c r="AL692" s="77"/>
      <c r="AM692" s="77"/>
      <c r="AN692" s="77"/>
    </row>
    <row r="693" customFormat="false" ht="12.75" hidden="false" customHeight="false" outlineLevel="0" collapsed="false">
      <c r="AJ693" s="77"/>
      <c r="AK693" s="77"/>
      <c r="AL693" s="77"/>
      <c r="AM693" s="77"/>
      <c r="AN693" s="77"/>
    </row>
    <row r="694" customFormat="false" ht="12.75" hidden="false" customHeight="false" outlineLevel="0" collapsed="false">
      <c r="AJ694" s="77"/>
      <c r="AK694" s="77"/>
      <c r="AL694" s="77"/>
      <c r="AM694" s="77"/>
      <c r="AN694" s="77"/>
    </row>
    <row r="695" customFormat="false" ht="12.75" hidden="false" customHeight="false" outlineLevel="0" collapsed="false">
      <c r="AJ695" s="77"/>
      <c r="AK695" s="77"/>
      <c r="AL695" s="77"/>
      <c r="AM695" s="77"/>
      <c r="AN695" s="77"/>
    </row>
    <row r="696" customFormat="false" ht="12.75" hidden="false" customHeight="false" outlineLevel="0" collapsed="false">
      <c r="AJ696" s="77"/>
      <c r="AK696" s="77"/>
      <c r="AL696" s="77"/>
      <c r="AM696" s="77"/>
      <c r="AN696" s="77"/>
    </row>
    <row r="697" customFormat="false" ht="12.75" hidden="false" customHeight="false" outlineLevel="0" collapsed="false">
      <c r="AJ697" s="77"/>
      <c r="AK697" s="77"/>
      <c r="AL697" s="77"/>
      <c r="AM697" s="77"/>
      <c r="AN697" s="77"/>
    </row>
    <row r="698" customFormat="false" ht="12.75" hidden="false" customHeight="false" outlineLevel="0" collapsed="false">
      <c r="AJ698" s="77"/>
      <c r="AK698" s="77"/>
      <c r="AL698" s="77"/>
      <c r="AM698" s="77"/>
      <c r="AN698" s="77"/>
    </row>
    <row r="699" customFormat="false" ht="12.75" hidden="false" customHeight="false" outlineLevel="0" collapsed="false">
      <c r="AJ699" s="77"/>
      <c r="AK699" s="77"/>
      <c r="AL699" s="77"/>
      <c r="AM699" s="77"/>
      <c r="AN699" s="77"/>
    </row>
    <row r="700" customFormat="false" ht="12.75" hidden="false" customHeight="false" outlineLevel="0" collapsed="false">
      <c r="AJ700" s="77"/>
      <c r="AK700" s="77"/>
      <c r="AL700" s="77"/>
      <c r="AM700" s="77"/>
      <c r="AN700" s="77"/>
    </row>
    <row r="701" customFormat="false" ht="12.75" hidden="false" customHeight="false" outlineLevel="0" collapsed="false">
      <c r="AJ701" s="77"/>
      <c r="AK701" s="77"/>
      <c r="AL701" s="77"/>
      <c r="AM701" s="77"/>
      <c r="AN701" s="77"/>
    </row>
    <row r="702" customFormat="false" ht="12.75" hidden="false" customHeight="false" outlineLevel="0" collapsed="false">
      <c r="AJ702" s="77"/>
      <c r="AK702" s="77"/>
      <c r="AL702" s="77"/>
      <c r="AM702" s="77"/>
      <c r="AN702" s="77"/>
    </row>
    <row r="703" customFormat="false" ht="12.75" hidden="false" customHeight="false" outlineLevel="0" collapsed="false">
      <c r="AJ703" s="77"/>
      <c r="AK703" s="77"/>
      <c r="AL703" s="77"/>
      <c r="AM703" s="77"/>
      <c r="AN703" s="77"/>
    </row>
    <row r="704" customFormat="false" ht="12.75" hidden="false" customHeight="false" outlineLevel="0" collapsed="false">
      <c r="AJ704" s="77"/>
      <c r="AK704" s="77"/>
      <c r="AL704" s="77"/>
      <c r="AM704" s="77"/>
      <c r="AN704" s="77"/>
    </row>
    <row r="705" customFormat="false" ht="12.75" hidden="false" customHeight="false" outlineLevel="0" collapsed="false">
      <c r="AJ705" s="77"/>
      <c r="AK705" s="77"/>
      <c r="AL705" s="77"/>
      <c r="AM705" s="77"/>
      <c r="AN705" s="77"/>
    </row>
    <row r="706" customFormat="false" ht="12.75" hidden="false" customHeight="false" outlineLevel="0" collapsed="false">
      <c r="AJ706" s="77"/>
      <c r="AK706" s="77"/>
      <c r="AL706" s="77"/>
      <c r="AM706" s="77"/>
      <c r="AN706" s="77"/>
    </row>
    <row r="707" customFormat="false" ht="12.75" hidden="false" customHeight="false" outlineLevel="0" collapsed="false">
      <c r="AJ707" s="77"/>
      <c r="AK707" s="77"/>
      <c r="AL707" s="77"/>
      <c r="AM707" s="77"/>
      <c r="AN707" s="77"/>
    </row>
    <row r="708" customFormat="false" ht="12.75" hidden="false" customHeight="false" outlineLevel="0" collapsed="false">
      <c r="AJ708" s="77"/>
      <c r="AK708" s="77"/>
      <c r="AL708" s="77"/>
      <c r="AM708" s="77"/>
      <c r="AN708" s="77"/>
    </row>
    <row r="709" customFormat="false" ht="12.75" hidden="false" customHeight="false" outlineLevel="0" collapsed="false">
      <c r="AJ709" s="77"/>
      <c r="AK709" s="77"/>
      <c r="AL709" s="77"/>
      <c r="AM709" s="77"/>
      <c r="AN709" s="77"/>
    </row>
    <row r="710" customFormat="false" ht="12.75" hidden="false" customHeight="false" outlineLevel="0" collapsed="false">
      <c r="AJ710" s="77"/>
      <c r="AK710" s="77"/>
      <c r="AL710" s="77"/>
      <c r="AM710" s="77"/>
      <c r="AN710" s="77"/>
    </row>
    <row r="711" customFormat="false" ht="12.75" hidden="false" customHeight="false" outlineLevel="0" collapsed="false">
      <c r="AJ711" s="77"/>
      <c r="AK711" s="77"/>
      <c r="AL711" s="77"/>
      <c r="AM711" s="77"/>
      <c r="AN711" s="77"/>
    </row>
    <row r="712" customFormat="false" ht="12.75" hidden="false" customHeight="false" outlineLevel="0" collapsed="false">
      <c r="AJ712" s="77"/>
      <c r="AK712" s="77"/>
      <c r="AL712" s="77"/>
      <c r="AM712" s="77"/>
      <c r="AN712" s="77"/>
    </row>
    <row r="713" customFormat="false" ht="12.75" hidden="false" customHeight="false" outlineLevel="0" collapsed="false">
      <c r="AJ713" s="77"/>
      <c r="AK713" s="77"/>
      <c r="AL713" s="77"/>
      <c r="AM713" s="77"/>
      <c r="AN713" s="77"/>
    </row>
    <row r="714" customFormat="false" ht="12.75" hidden="false" customHeight="false" outlineLevel="0" collapsed="false">
      <c r="AJ714" s="77"/>
      <c r="AK714" s="77"/>
      <c r="AL714" s="77"/>
      <c r="AM714" s="77"/>
      <c r="AN714" s="77"/>
    </row>
    <row r="715" customFormat="false" ht="12.75" hidden="false" customHeight="false" outlineLevel="0" collapsed="false">
      <c r="AJ715" s="77"/>
      <c r="AK715" s="77"/>
      <c r="AL715" s="77"/>
      <c r="AM715" s="77"/>
      <c r="AN715" s="77"/>
    </row>
    <row r="716" customFormat="false" ht="12.75" hidden="false" customHeight="false" outlineLevel="0" collapsed="false">
      <c r="AJ716" s="77"/>
      <c r="AK716" s="77"/>
      <c r="AL716" s="77"/>
      <c r="AM716" s="77"/>
      <c r="AN716" s="77"/>
    </row>
    <row r="717" customFormat="false" ht="12.75" hidden="false" customHeight="false" outlineLevel="0" collapsed="false">
      <c r="AJ717" s="77"/>
      <c r="AK717" s="77"/>
      <c r="AL717" s="77"/>
      <c r="AM717" s="77"/>
      <c r="AN717" s="77"/>
    </row>
    <row r="718" customFormat="false" ht="12.75" hidden="false" customHeight="false" outlineLevel="0" collapsed="false">
      <c r="AJ718" s="77"/>
      <c r="AK718" s="77"/>
      <c r="AL718" s="77"/>
      <c r="AM718" s="77"/>
      <c r="AN718" s="77"/>
    </row>
    <row r="719" customFormat="false" ht="12.75" hidden="false" customHeight="false" outlineLevel="0" collapsed="false">
      <c r="AJ719" s="77"/>
      <c r="AK719" s="77"/>
      <c r="AL719" s="77"/>
      <c r="AM719" s="77"/>
      <c r="AN719" s="77"/>
    </row>
    <row r="720" customFormat="false" ht="12.75" hidden="false" customHeight="false" outlineLevel="0" collapsed="false">
      <c r="AJ720" s="77"/>
      <c r="AK720" s="77"/>
      <c r="AL720" s="77"/>
      <c r="AM720" s="77"/>
      <c r="AN720" s="77"/>
    </row>
    <row r="721" customFormat="false" ht="12.75" hidden="false" customHeight="false" outlineLevel="0" collapsed="false">
      <c r="AJ721" s="77"/>
      <c r="AK721" s="77"/>
      <c r="AL721" s="77"/>
      <c r="AM721" s="77"/>
      <c r="AN721" s="77"/>
    </row>
    <row r="722" customFormat="false" ht="12.75" hidden="false" customHeight="false" outlineLevel="0" collapsed="false">
      <c r="AJ722" s="77"/>
      <c r="AK722" s="77"/>
      <c r="AL722" s="77"/>
      <c r="AM722" s="77"/>
      <c r="AN722" s="77"/>
    </row>
  </sheetData>
  <printOptions headings="false" gridLines="false" gridLinesSet="true" horizontalCentered="false" verticalCentered="false"/>
  <pageMargins left="0.270138888888889" right="0.329861111111111" top="0.984027777777778" bottom="0.984027777777778" header="0.511811023622047" footer="0.511811023622047"/>
  <pageSetup paperSize="5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H722"/>
  <sheetViews>
    <sheetView showFormulas="false" showGridLines="false" showRowColHeaders="true" showZeros="true" rightToLeft="false" tabSelected="false" showOutlineSymbols="true" defaultGridColor="true" view="normal" topLeftCell="M1" colorId="64" zoomScale="80" zoomScaleNormal="80" zoomScalePageLayoutView="100" workbookViewId="0">
      <selection pane="topLeft" activeCell="AK8" activeCellId="0" sqref="AK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1" width="14.14"/>
    <col collapsed="false" customWidth="true" hidden="false" outlineLevel="0" max="2" min="2" style="21" width="14.56"/>
    <col collapsed="false" customWidth="true" hidden="false" outlineLevel="0" max="3" min="3" style="21" width="5.13"/>
    <col collapsed="false" customWidth="true" hidden="false" outlineLevel="0" max="4" min="4" style="21" width="16.42"/>
    <col collapsed="false" customWidth="true" hidden="false" outlineLevel="0" max="5" min="5" style="21" width="14.85"/>
    <col collapsed="false" customWidth="true" hidden="false" outlineLevel="0" max="6" min="6" style="21" width="13.85"/>
    <col collapsed="false" customWidth="true" hidden="false" outlineLevel="0" max="7" min="7" style="21" width="10.71"/>
    <col collapsed="false" customWidth="true" hidden="false" outlineLevel="0" max="8" min="8" style="21" width="14.56"/>
    <col collapsed="false" customWidth="true" hidden="false" outlineLevel="0" max="9" min="9" style="21" width="9.99"/>
    <col collapsed="false" customWidth="true" hidden="false" outlineLevel="0" max="10" min="10" style="21" width="23.7"/>
    <col collapsed="false" customWidth="true" hidden="false" outlineLevel="0" max="11" min="11" style="21" width="18.28"/>
    <col collapsed="false" customWidth="true" hidden="false" outlineLevel="0" max="12" min="12" style="21" width="19.14"/>
    <col collapsed="false" customWidth="true" hidden="false" outlineLevel="0" max="13" min="13" style="21" width="14.99"/>
    <col collapsed="false" customWidth="true" hidden="false" outlineLevel="0" max="14" min="14" style="21" width="1.41"/>
    <col collapsed="false" customWidth="true" hidden="false" outlineLevel="0" max="15" min="15" style="21" width="14.99"/>
    <col collapsed="false" customWidth="true" hidden="false" outlineLevel="0" max="16" min="16" style="21" width="16.84"/>
    <col collapsed="false" customWidth="true" hidden="false" outlineLevel="0" max="17" min="17" style="21" width="2.99"/>
    <col collapsed="false" customWidth="true" hidden="false" outlineLevel="0" max="18" min="18" style="21" width="20.13"/>
    <col collapsed="false" customWidth="true" hidden="false" outlineLevel="0" max="19" min="19" style="21" width="17.85"/>
    <col collapsed="false" customWidth="true" hidden="false" outlineLevel="0" max="20" min="20" style="21" width="21.56"/>
    <col collapsed="false" customWidth="true" hidden="false" outlineLevel="0" max="21" min="21" style="21" width="14.99"/>
    <col collapsed="false" customWidth="true" hidden="false" outlineLevel="0" max="22" min="22" style="21" width="9.56"/>
    <col collapsed="false" customWidth="true" hidden="false" outlineLevel="0" max="23" min="23" style="21" width="14.99"/>
    <col collapsed="false" customWidth="true" hidden="false" outlineLevel="0" max="24" min="24" style="21" width="16.84"/>
    <col collapsed="false" customWidth="true" hidden="false" outlineLevel="0" max="25" min="25" style="21" width="1.99"/>
    <col collapsed="false" customWidth="true" hidden="false" outlineLevel="0" max="26" min="26" style="137" width="16.28"/>
    <col collapsed="false" customWidth="true" hidden="false" outlineLevel="0" max="27" min="27" style="137" width="20.28"/>
    <col collapsed="false" customWidth="true" hidden="false" outlineLevel="0" max="28" min="28" style="137" width="15.28"/>
    <col collapsed="false" customWidth="true" hidden="false" outlineLevel="0" max="29" min="29" style="137" width="20.28"/>
    <col collapsed="false" customWidth="true" hidden="false" outlineLevel="0" max="31" min="30" style="137" width="15.7"/>
    <col collapsed="false" customWidth="true" hidden="false" outlineLevel="0" max="32" min="32" style="137" width="17.56"/>
    <col collapsed="false" customWidth="true" hidden="false" outlineLevel="0" max="33" min="33" style="137" width="13.7"/>
    <col collapsed="false" customWidth="true" hidden="false" outlineLevel="0" max="34" min="34" style="137" width="15.13"/>
    <col collapsed="false" customWidth="true" hidden="false" outlineLevel="0" max="35" min="35" style="137" width="13.99"/>
    <col collapsed="false" customWidth="true" hidden="false" outlineLevel="0" max="36" min="36" style="21" width="12.56"/>
    <col collapsed="false" customWidth="true" hidden="false" outlineLevel="0" max="37" min="37" style="21" width="10.71"/>
    <col collapsed="false" customWidth="false" hidden="false" outlineLevel="0" max="40" min="38" style="21" width="9.14"/>
    <col collapsed="false" customWidth="true" hidden="false" outlineLevel="0" max="41" min="41" style="137" width="8.28"/>
    <col collapsed="false" customWidth="true" hidden="false" outlineLevel="0" max="43" min="42" style="137" width="8.56"/>
    <col collapsed="false" customWidth="true" hidden="false" outlineLevel="0" max="44" min="44" style="137" width="11.7"/>
    <col collapsed="false" customWidth="true" hidden="false" outlineLevel="0" max="45" min="45" style="137" width="9.99"/>
    <col collapsed="false" customWidth="true" hidden="false" outlineLevel="0" max="46" min="46" style="137" width="7.56"/>
    <col collapsed="false" customWidth="true" hidden="false" outlineLevel="0" max="47" min="47" style="137" width="6.41"/>
    <col collapsed="false" customWidth="true" hidden="false" outlineLevel="0" max="48" min="48" style="21" width="1.41"/>
    <col collapsed="false" customWidth="true" hidden="false" outlineLevel="0" max="49" min="49" style="138" width="14.28"/>
    <col collapsed="false" customWidth="true" hidden="false" outlineLevel="0" max="51" min="50" style="21" width="14.28"/>
    <col collapsed="false" customWidth="false" hidden="false" outlineLevel="0" max="52" min="52" style="21" width="9.14"/>
    <col collapsed="false" customWidth="true" hidden="false" outlineLevel="0" max="53" min="53" style="21" width="15.56"/>
    <col collapsed="false" customWidth="false" hidden="false" outlineLevel="0" max="54" min="54" style="21" width="9.14"/>
    <col collapsed="false" customWidth="true" hidden="false" outlineLevel="0" max="55" min="55" style="21" width="14.99"/>
    <col collapsed="false" customWidth="false" hidden="false" outlineLevel="0" max="257" min="56" style="21" width="9.14"/>
  </cols>
  <sheetData>
    <row r="1" customFormat="false" ht="13.5" hidden="false" customHeight="false" outlineLevel="0" collapsed="false">
      <c r="A1" s="139" t="s">
        <v>114</v>
      </c>
      <c r="C1" s="140"/>
      <c r="D1" s="140" t="s">
        <v>115</v>
      </c>
      <c r="E1" s="141" t="n">
        <f aca="false">Summary!D12</f>
        <v>45926</v>
      </c>
      <c r="H1" s="142" t="s">
        <v>116</v>
      </c>
      <c r="I1" s="143" t="s">
        <v>117</v>
      </c>
      <c r="J1" s="142" t="s">
        <v>118</v>
      </c>
      <c r="K1" s="143" t="s">
        <v>119</v>
      </c>
      <c r="R1" s="142" t="s">
        <v>118</v>
      </c>
      <c r="S1" s="143" t="s">
        <v>119</v>
      </c>
      <c r="Z1" s="144" t="str">
        <f aca="false">Summary!J12</f>
        <v>NG_OMICRON_11</v>
      </c>
      <c r="AA1" s="144" t="str">
        <f aca="false">Summary!L12</f>
        <v>CGPR-DAWN</v>
      </c>
      <c r="AC1" s="144" t="str">
        <f aca="false">Summary!I12</f>
        <v>NG_OMICRON_11</v>
      </c>
      <c r="AD1" s="144" t="str">
        <f aca="false">Summary!K12</f>
        <v>CGPR-DAWN</v>
      </c>
      <c r="AJ1" s="83"/>
    </row>
    <row r="2" customFormat="false" ht="12.75" hidden="false" customHeight="false" outlineLevel="0" collapsed="false">
      <c r="A2" s="142" t="s">
        <v>120</v>
      </c>
      <c r="B2" s="145" t="s">
        <v>121</v>
      </c>
      <c r="C2" s="145"/>
      <c r="D2" s="146" t="s">
        <v>122</v>
      </c>
      <c r="E2" s="145" t="s">
        <v>98</v>
      </c>
      <c r="F2" s="145" t="s">
        <v>123</v>
      </c>
      <c r="G2" s="145" t="s">
        <v>124</v>
      </c>
      <c r="H2" s="147" t="s">
        <v>125</v>
      </c>
      <c r="I2" s="148" t="s">
        <v>126</v>
      </c>
      <c r="J2" s="149" t="s">
        <v>127</v>
      </c>
      <c r="K2" s="148" t="s">
        <v>127</v>
      </c>
      <c r="R2" s="149" t="s">
        <v>128</v>
      </c>
      <c r="S2" s="148" t="str">
        <f aca="false">R2</f>
        <v>Receipt Pt</v>
      </c>
      <c r="AI2" s="137" t="s">
        <v>129</v>
      </c>
      <c r="AJ2" s="21" t="n">
        <v>1</v>
      </c>
    </row>
    <row r="3" customFormat="false" ht="13.5" hidden="false" customHeight="false" outlineLevel="0" collapsed="false">
      <c r="A3" s="150" t="n">
        <f aca="false">Summary!E12</f>
        <v>37043</v>
      </c>
      <c r="B3" s="151" t="n">
        <f aca="false">Summary!F12</f>
        <v>42094</v>
      </c>
      <c r="C3" s="152"/>
      <c r="D3" s="152" t="n">
        <f aca="false">Summary!C12</f>
        <v>37025</v>
      </c>
      <c r="E3" s="153" t="str">
        <f aca="false">CONCATENATE(INT(AT8/12)," Y - ",AT8-INT(AT8/12)*12," M")</f>
        <v>13 Y - 10 M</v>
      </c>
      <c r="F3" s="154" t="n">
        <v>2</v>
      </c>
      <c r="G3" s="154" t="n">
        <v>1</v>
      </c>
      <c r="H3" s="155" t="n">
        <v>1</v>
      </c>
      <c r="I3" s="156" t="n">
        <f aca="false">Summary!P12</f>
        <v>0</v>
      </c>
      <c r="J3" s="157" t="str">
        <f aca="false">Summary!H12</f>
        <v>CGPR-DAWN</v>
      </c>
      <c r="K3" s="156" t="str">
        <f aca="false">J3</f>
        <v>CGPR-DAWN</v>
      </c>
      <c r="R3" s="157" t="str">
        <f aca="false">Summary!G12</f>
        <v>CGPR-Ojibway</v>
      </c>
      <c r="S3" s="156" t="str">
        <f aca="false">R3</f>
        <v>CGPR-Ojibway</v>
      </c>
      <c r="Z3" s="219" t="s">
        <v>130</v>
      </c>
      <c r="AA3" s="220" t="s">
        <v>130</v>
      </c>
      <c r="AB3" s="221" t="s">
        <v>130</v>
      </c>
      <c r="AC3" s="219" t="s">
        <v>131</v>
      </c>
      <c r="AD3" s="220" t="s">
        <v>131</v>
      </c>
      <c r="AE3" s="221" t="s">
        <v>131</v>
      </c>
    </row>
    <row r="4" customFormat="false" ht="12.75" hidden="false" customHeight="false" outlineLevel="0" collapsed="false">
      <c r="A4" s="158"/>
      <c r="B4" s="158"/>
      <c r="C4" s="158"/>
      <c r="D4" s="158" t="s">
        <v>132</v>
      </c>
      <c r="E4" s="158" t="s">
        <v>93</v>
      </c>
      <c r="F4" s="158" t="s">
        <v>94</v>
      </c>
      <c r="G4" s="159" t="s">
        <v>133</v>
      </c>
      <c r="H4" s="160"/>
      <c r="I4" s="158"/>
      <c r="J4" s="159" t="str">
        <f aca="false">CONCATENATE(J3,"-","D")</f>
        <v>CGPR-DAWN-D</v>
      </c>
      <c r="K4" s="160" t="str">
        <f aca="false">J3</f>
        <v>CGPR-DAWN</v>
      </c>
      <c r="L4" s="159" t="str">
        <f aca="false">CONCATENATE(K3,"-","I")</f>
        <v>CGPR-DAWN-I</v>
      </c>
      <c r="M4" s="160" t="str">
        <f aca="false">K3</f>
        <v>CGPR-DAWN</v>
      </c>
      <c r="O4" s="160" t="str">
        <f aca="false">K4</f>
        <v>CGPR-DAWN</v>
      </c>
      <c r="P4" s="160" t="str">
        <f aca="false">J4</f>
        <v>CGPR-DAWN-D</v>
      </c>
      <c r="Q4" s="158"/>
      <c r="R4" s="159" t="str">
        <f aca="false">CONCATENATE(R3,"-","D")</f>
        <v>CGPR-Ojibway-D</v>
      </c>
      <c r="S4" s="160" t="str">
        <f aca="false">R3</f>
        <v>CGPR-Ojibway</v>
      </c>
      <c r="T4" s="159" t="str">
        <f aca="false">CONCATENATE(S3,"-","I")</f>
        <v>CGPR-Ojibway-I</v>
      </c>
      <c r="U4" s="160" t="str">
        <f aca="false">S3</f>
        <v>CGPR-Ojibway</v>
      </c>
      <c r="V4" s="160" t="s">
        <v>134</v>
      </c>
      <c r="W4" s="160" t="str">
        <f aca="false">S4</f>
        <v>CGPR-Ojibway</v>
      </c>
      <c r="X4" s="160" t="str">
        <f aca="false">R4</f>
        <v>CGPR-Ojibway-D</v>
      </c>
      <c r="Z4" s="161" t="str">
        <f aca="false">IF(Z1="NG",CONCATENATE(Z1,"-","VO"),CONCATENATE(Z1,"-","P"))</f>
        <v>NG_OMICRON_11-P</v>
      </c>
      <c r="AA4" s="162" t="str">
        <f aca="false">IF(AA1="NG",CONCATENATE(AA1,"-","VO"),CONCATENATE(AA1,"-","P"))</f>
        <v>CGPR-DAWN-P</v>
      </c>
      <c r="AB4" s="162" t="s">
        <v>135</v>
      </c>
      <c r="AC4" s="161" t="str">
        <f aca="false">IF(AC1="NG",CONCATENATE(AC1,"-","VO"),CONCATENATE(AC1,"-","P"))</f>
        <v>NG_OMICRON_11-P</v>
      </c>
      <c r="AD4" s="162" t="str">
        <f aca="false">IF(AD1="NG",CONCATENATE(AD1,"-","VO"),CONCATENATE(AD1,"-","P"))</f>
        <v>CGPR-DAWN-P</v>
      </c>
      <c r="AE4" s="163" t="s">
        <v>136</v>
      </c>
      <c r="AF4" s="160" t="str">
        <f aca="false">J3</f>
        <v>CGPR-DAWN</v>
      </c>
      <c r="AG4" s="160" t="s">
        <v>81</v>
      </c>
      <c r="AH4" s="160" t="s">
        <v>167</v>
      </c>
      <c r="AI4" s="160" t="s">
        <v>81</v>
      </c>
      <c r="AJ4" s="160"/>
      <c r="AK4" s="160"/>
      <c r="AL4" s="160"/>
      <c r="AM4" s="160"/>
      <c r="AN4" s="160"/>
      <c r="AO4" s="164"/>
      <c r="AP4" s="164"/>
      <c r="AQ4" s="164" t="s">
        <v>137</v>
      </c>
      <c r="AR4" s="159" t="s">
        <v>138</v>
      </c>
      <c r="AS4" s="164"/>
      <c r="AT4" s="164"/>
      <c r="AU4" s="164"/>
      <c r="AW4" s="164"/>
      <c r="AX4" s="164" t="s">
        <v>139</v>
      </c>
      <c r="AY4" s="164"/>
      <c r="BA4" s="164"/>
      <c r="BC4" s="165" t="s">
        <v>140</v>
      </c>
    </row>
    <row r="5" customFormat="false" ht="12.75" hidden="false" customHeight="false" outlineLevel="0" collapsed="false">
      <c r="A5" s="158" t="s">
        <v>141</v>
      </c>
      <c r="B5" s="158" t="s">
        <v>32</v>
      </c>
      <c r="C5" s="158"/>
      <c r="D5" s="158" t="s">
        <v>32</v>
      </c>
      <c r="E5" s="158" t="s">
        <v>32</v>
      </c>
      <c r="F5" s="158" t="s">
        <v>32</v>
      </c>
      <c r="G5" s="158" t="s">
        <v>142</v>
      </c>
      <c r="H5" s="158" t="s">
        <v>142</v>
      </c>
      <c r="I5" s="158"/>
      <c r="J5" s="158" t="s">
        <v>118</v>
      </c>
      <c r="K5" s="158" t="s">
        <v>118</v>
      </c>
      <c r="L5" s="158" t="s">
        <v>119</v>
      </c>
      <c r="M5" s="158" t="s">
        <v>119</v>
      </c>
      <c r="O5" s="158" t="s">
        <v>97</v>
      </c>
      <c r="P5" s="158" t="s">
        <v>97</v>
      </c>
      <c r="Q5" s="158"/>
      <c r="R5" s="158" t="s">
        <v>118</v>
      </c>
      <c r="S5" s="158" t="s">
        <v>118</v>
      </c>
      <c r="T5" s="158" t="s">
        <v>119</v>
      </c>
      <c r="U5" s="158" t="s">
        <v>119</v>
      </c>
      <c r="V5" s="158" t="s">
        <v>101</v>
      </c>
      <c r="W5" s="158" t="s">
        <v>97</v>
      </c>
      <c r="X5" s="158" t="s">
        <v>97</v>
      </c>
      <c r="Z5" s="166" t="s">
        <v>143</v>
      </c>
      <c r="AA5" s="158" t="s">
        <v>143</v>
      </c>
      <c r="AB5" s="167" t="s">
        <v>143</v>
      </c>
      <c r="AC5" s="166" t="s">
        <v>143</v>
      </c>
      <c r="AD5" s="158" t="s">
        <v>143</v>
      </c>
      <c r="AE5" s="167" t="s">
        <v>144</v>
      </c>
      <c r="AF5" s="158" t="str">
        <f aca="false">S3</f>
        <v>CGPR-Ojibway</v>
      </c>
      <c r="AG5" s="158" t="s">
        <v>151</v>
      </c>
      <c r="AH5" s="158" t="s">
        <v>168</v>
      </c>
      <c r="AI5" s="158"/>
      <c r="AJ5" s="158" t="s">
        <v>146</v>
      </c>
      <c r="AK5" s="158" t="s">
        <v>146</v>
      </c>
      <c r="AL5" s="158" t="s">
        <v>146</v>
      </c>
      <c r="AM5" s="158" t="s">
        <v>86</v>
      </c>
      <c r="AN5" s="158" t="s">
        <v>96</v>
      </c>
      <c r="AO5" s="168" t="s">
        <v>147</v>
      </c>
      <c r="AP5" s="168" t="s">
        <v>148</v>
      </c>
      <c r="AQ5" s="168" t="s">
        <v>148</v>
      </c>
      <c r="AR5" s="169" t="s">
        <v>149</v>
      </c>
      <c r="AS5" s="168" t="s">
        <v>148</v>
      </c>
      <c r="AT5" s="168" t="s">
        <v>150</v>
      </c>
      <c r="AU5" s="168" t="s">
        <v>150</v>
      </c>
      <c r="AW5" s="168" t="s">
        <v>97</v>
      </c>
      <c r="AX5" s="168" t="s">
        <v>86</v>
      </c>
      <c r="AY5" s="168" t="s">
        <v>96</v>
      </c>
      <c r="BA5" s="168" t="s">
        <v>151</v>
      </c>
      <c r="BC5" s="170" t="s">
        <v>86</v>
      </c>
    </row>
    <row r="6" customFormat="false" ht="12.75" hidden="false" customHeight="false" outlineLevel="0" collapsed="false">
      <c r="A6" s="171" t="s">
        <v>152</v>
      </c>
      <c r="B6" s="171" t="s">
        <v>153</v>
      </c>
      <c r="C6" s="171"/>
      <c r="D6" s="171" t="s">
        <v>153</v>
      </c>
      <c r="E6" s="171" t="s">
        <v>154</v>
      </c>
      <c r="F6" s="171" t="s">
        <v>154</v>
      </c>
      <c r="G6" s="171" t="s">
        <v>155</v>
      </c>
      <c r="H6" s="171" t="str">
        <f aca="false">CHOOSE(G3,"Bid","Offer")</f>
        <v>Bid</v>
      </c>
      <c r="I6" s="171"/>
      <c r="J6" s="171" t="s">
        <v>155</v>
      </c>
      <c r="K6" s="171" t="str">
        <f aca="false">H6</f>
        <v>Bid</v>
      </c>
      <c r="L6" s="171" t="s">
        <v>155</v>
      </c>
      <c r="M6" s="171" t="str">
        <f aca="false">K6</f>
        <v>Bid</v>
      </c>
      <c r="O6" s="171" t="s">
        <v>155</v>
      </c>
      <c r="P6" s="171" t="str">
        <f aca="false">K6</f>
        <v>Bid</v>
      </c>
      <c r="Q6" s="158"/>
      <c r="R6" s="171" t="s">
        <v>155</v>
      </c>
      <c r="S6" s="171" t="str">
        <f aca="false">IF(K6="Offer","Bid","Offer")</f>
        <v>Offer</v>
      </c>
      <c r="T6" s="171" t="s">
        <v>155</v>
      </c>
      <c r="U6" s="171" t="str">
        <f aca="false">S6</f>
        <v>Offer</v>
      </c>
      <c r="V6" s="171"/>
      <c r="W6" s="171" t="s">
        <v>155</v>
      </c>
      <c r="X6" s="171" t="str">
        <f aca="false">S6</f>
        <v>Offer</v>
      </c>
      <c r="Z6" s="172" t="s">
        <v>155</v>
      </c>
      <c r="AA6" s="171" t="str">
        <f aca="false">P6</f>
        <v>Bid</v>
      </c>
      <c r="AB6" s="173" t="s">
        <v>156</v>
      </c>
      <c r="AC6" s="172" t="str">
        <f aca="false">U6</f>
        <v>Offer</v>
      </c>
      <c r="AD6" s="171" t="s">
        <v>157</v>
      </c>
      <c r="AE6" s="173" t="s">
        <v>157</v>
      </c>
      <c r="AF6" s="174" t="s">
        <v>48</v>
      </c>
      <c r="AG6" s="171" t="s">
        <v>101</v>
      </c>
      <c r="AH6" s="171" t="s">
        <v>101</v>
      </c>
      <c r="AI6" s="171" t="s">
        <v>158</v>
      </c>
      <c r="AJ6" s="171" t="s">
        <v>159</v>
      </c>
      <c r="AK6" s="171" t="s">
        <v>160</v>
      </c>
      <c r="AL6" s="171" t="s">
        <v>102</v>
      </c>
      <c r="AM6" s="171" t="s">
        <v>102</v>
      </c>
      <c r="AN6" s="171" t="s">
        <v>102</v>
      </c>
      <c r="AO6" s="175" t="s">
        <v>161</v>
      </c>
      <c r="AP6" s="175" t="s">
        <v>44</v>
      </c>
      <c r="AQ6" s="175" t="s">
        <v>161</v>
      </c>
      <c r="AR6" s="176" t="s">
        <v>162</v>
      </c>
      <c r="AS6" s="175" t="s">
        <v>163</v>
      </c>
      <c r="AT6" s="175" t="s">
        <v>164</v>
      </c>
      <c r="AU6" s="175" t="s">
        <v>161</v>
      </c>
      <c r="AW6" s="175" t="s">
        <v>102</v>
      </c>
      <c r="AX6" s="175" t="s">
        <v>165</v>
      </c>
      <c r="AY6" s="175" t="s">
        <v>165</v>
      </c>
      <c r="BA6" s="175" t="s">
        <v>101</v>
      </c>
      <c r="BC6" s="177" t="s">
        <v>165</v>
      </c>
    </row>
    <row r="7" customFormat="false" ht="13.5" hidden="false" customHeight="false" outlineLevel="0" collapsed="false">
      <c r="A7" s="178"/>
      <c r="B7" s="178"/>
      <c r="C7" s="178"/>
      <c r="D7" s="178"/>
      <c r="Z7" s="21"/>
      <c r="AA7" s="21"/>
      <c r="AB7" s="21"/>
      <c r="AC7" s="21"/>
      <c r="AD7" s="21"/>
      <c r="AE7" s="21"/>
      <c r="AF7" s="21"/>
      <c r="AG7" s="21"/>
      <c r="AH7" s="21"/>
      <c r="AI7" s="21"/>
      <c r="AQ7" s="144"/>
      <c r="BC7" s="179"/>
    </row>
    <row r="8" customFormat="false" ht="13.5" hidden="false" customHeight="false" outlineLevel="0" collapsed="false">
      <c r="A8" s="180" t="s">
        <v>166</v>
      </c>
      <c r="B8" s="181"/>
      <c r="C8" s="181"/>
      <c r="D8" s="181" t="n">
        <f aca="false">SUM(D10:D500)</f>
        <v>6062652</v>
      </c>
      <c r="E8" s="181" t="n">
        <f aca="false">SUM(E10:E500)</f>
        <v>184509144</v>
      </c>
      <c r="F8" s="181" t="n">
        <f aca="false">SUM(F10:F370)</f>
        <v>1091039857.04362</v>
      </c>
      <c r="G8" s="182" t="e">
        <f aca="false">SUMPRODUCT(G10:G499,$F$10:$F$499)/SUM($F$10:$F$499)</f>
        <v>#N/A</v>
      </c>
      <c r="H8" s="182" t="e">
        <f aca="false">SUMPRODUCT(H10:H499,$F$10:$F$499)/SUM($F$10:$F$499)</f>
        <v>#N/A</v>
      </c>
      <c r="I8" s="182"/>
      <c r="J8" s="182" t="e">
        <f aca="false">SUMPRODUCT(J10:J499,$F$10:$F$499)/SUM($F$10:$F$499)</f>
        <v>#N/A</v>
      </c>
      <c r="K8" s="182" t="e">
        <f aca="false">SUMPRODUCT(K10:K499,$F$10:$F$499)/SUM($F$10:$F$499)</f>
        <v>#N/A</v>
      </c>
      <c r="L8" s="182" t="e">
        <f aca="false">SUMPRODUCT(L10:L499,$F$10:$F$499)/SUM($F$10:$F$499)</f>
        <v>#N/A</v>
      </c>
      <c r="M8" s="182" t="e">
        <f aca="false">SUMPRODUCT(M10:M499,$F$10:$F$499)/SUM($F$10:$F$499)</f>
        <v>#N/A</v>
      </c>
      <c r="O8" s="182" t="e">
        <f aca="false">SUMPRODUCT(O10:O499,$F$10:$F$499)/SUM($F$10:$F$499)</f>
        <v>#N/A</v>
      </c>
      <c r="P8" s="182" t="e">
        <f aca="false">SUMPRODUCT(P10:P499,$F$10:$F$499)/SUM($F$10:$F$499)</f>
        <v>#N/A</v>
      </c>
      <c r="Q8" s="182"/>
      <c r="R8" s="182" t="e">
        <f aca="false">SUMPRODUCT(R10:R499,$F$10:$F$499)/SUM($F$10:$F$499)</f>
        <v>#N/A</v>
      </c>
      <c r="S8" s="182" t="e">
        <f aca="false">SUMPRODUCT(S10:S499,$F$10:$F$499)/SUM($F$10:$F$499)</f>
        <v>#N/A</v>
      </c>
      <c r="T8" s="182" t="e">
        <f aca="false">SUMPRODUCT(T10:T499,$F$10:$F$499)/SUM($F$10:$F$499)</f>
        <v>#N/A</v>
      </c>
      <c r="U8" s="182" t="e">
        <f aca="false">SUMPRODUCT(U10:U499,$F$10:$F$499)/SUM($F$10:$F$499)</f>
        <v>#N/A</v>
      </c>
      <c r="V8" s="225" t="e">
        <f aca="false">SUMPRODUCT(V10:V499,F10:F499)/F8</f>
        <v>#N/A</v>
      </c>
      <c r="W8" s="182" t="e">
        <f aca="false">SUMPRODUCT(W10:W499,$F$10:$F$499)/SUM($F$10:$F$499)</f>
        <v>#N/A</v>
      </c>
      <c r="X8" s="182" t="e">
        <f aca="false">SUMPRODUCT(X10:X499,$F$10:$F$499)/SUM($F$10:$F$499)</f>
        <v>#N/A</v>
      </c>
      <c r="Y8" s="182"/>
      <c r="Z8" s="184"/>
      <c r="AA8" s="185"/>
      <c r="AB8" s="185"/>
      <c r="AC8" s="185"/>
      <c r="AD8" s="185"/>
      <c r="AE8" s="185"/>
      <c r="AF8" s="182"/>
      <c r="AG8" s="182"/>
      <c r="AH8" s="182" t="n">
        <f aca="false">SUMPRODUCT(AH10:AH499,F10:F499)/F8</f>
        <v>0.0287529266750075</v>
      </c>
      <c r="AI8" s="182"/>
      <c r="AJ8" s="182"/>
      <c r="AK8" s="182"/>
      <c r="AL8" s="182" t="e">
        <f aca="false">AW8/$E8</f>
        <v>#NAME?</v>
      </c>
      <c r="AM8" s="182" t="e">
        <f aca="false">BC8/$F8</f>
        <v>#N/A</v>
      </c>
      <c r="AN8" s="182" t="e">
        <f aca="false">AY8/$E8</f>
        <v>#N/A</v>
      </c>
      <c r="AR8" s="186"/>
      <c r="AT8" s="187" t="n">
        <f aca="false">SUM(AT10:AT500)</f>
        <v>166</v>
      </c>
      <c r="AU8" s="187" t="n">
        <f aca="false">SUM(AU10:AU500)</f>
        <v>5052</v>
      </c>
      <c r="AW8" s="188" t="e">
        <f aca="false">SUM(AW10:AW501)</f>
        <v>#NAME?</v>
      </c>
      <c r="AX8" s="188" t="e">
        <f aca="false">SUM(AX10:AX501)</f>
        <v>#N/A</v>
      </c>
      <c r="AY8" s="188" t="e">
        <f aca="false">SUM(AY10:AY501)</f>
        <v>#N/A</v>
      </c>
      <c r="BA8" s="188" t="n">
        <f aca="false">SUM(BA10:BA501)</f>
        <v>0</v>
      </c>
      <c r="BC8" s="189" t="e">
        <f aca="false">SUM(BC10:BC501)</f>
        <v>#N/A</v>
      </c>
    </row>
    <row r="9" customFormat="false" ht="12.75" hidden="false" customHeight="false" outlineLevel="0" collapsed="false">
      <c r="B9" s="190"/>
      <c r="C9" s="190"/>
      <c r="D9" s="190"/>
      <c r="E9" s="190"/>
      <c r="F9" s="190"/>
      <c r="G9" s="191"/>
      <c r="H9" s="191" t="e">
        <f aca="false">+H10+R10+U10</f>
        <v>#N/A</v>
      </c>
      <c r="I9" s="191"/>
      <c r="J9" s="191"/>
      <c r="K9" s="191"/>
      <c r="L9" s="191"/>
      <c r="M9" s="191"/>
      <c r="O9" s="191"/>
      <c r="P9" s="191"/>
      <c r="Q9" s="191"/>
      <c r="R9" s="191"/>
      <c r="S9" s="191"/>
      <c r="T9" s="191"/>
      <c r="U9" s="191"/>
      <c r="V9" s="228"/>
      <c r="W9" s="191"/>
      <c r="X9" s="191"/>
      <c r="Y9" s="191"/>
      <c r="Z9" s="193"/>
      <c r="AA9" s="185"/>
      <c r="AB9" s="185"/>
      <c r="AC9" s="185"/>
      <c r="AD9" s="185"/>
      <c r="AE9" s="185"/>
      <c r="AF9" s="194"/>
      <c r="AG9" s="182"/>
      <c r="AH9" s="182"/>
      <c r="AI9" s="182"/>
      <c r="AJ9" s="191"/>
      <c r="AK9" s="191"/>
      <c r="AL9" s="191"/>
      <c r="AM9" s="191"/>
      <c r="AN9" s="191"/>
      <c r="AW9" s="195"/>
      <c r="BC9" s="179"/>
    </row>
    <row r="10" customFormat="false" ht="12.75" hidden="false" customHeight="false" outlineLevel="0" collapsed="false">
      <c r="A10" s="196" t="n">
        <f aca="false">A3</f>
        <v>37043</v>
      </c>
      <c r="B10" s="197" t="n">
        <f aca="false">Summary!O12</f>
        <v>36522</v>
      </c>
      <c r="C10" s="198"/>
      <c r="D10" s="197" t="n">
        <f aca="false">IF(A11&lt;&gt;"",B10+C10,"")</f>
        <v>36522</v>
      </c>
      <c r="E10" s="199" t="n">
        <f aca="false">IF(A11="","",IF(AND(AT10=1,$H$3=1),D10*AO10,IF($H$3=2,D10,"N/A")))</f>
        <v>1095660</v>
      </c>
      <c r="F10" s="199" t="n">
        <f aca="false">IF(A11="","",E10*AS10)</f>
        <v>11758102.3642581</v>
      </c>
      <c r="G10" s="200" t="e">
        <f aca="false">IF($A11="","",VLOOKUP($A10,Table,MATCH(G$4,Curves,0)))</f>
        <v>#N/A</v>
      </c>
      <c r="H10" s="201" t="e">
        <f aca="false">IF(A11="","",G10)</f>
        <v>#N/A</v>
      </c>
      <c r="I10" s="202"/>
      <c r="J10" s="200" t="e">
        <f aca="false">IF($A11="","",VLOOKUP($A10,Table,MATCH(J$4,Curves,0)))</f>
        <v>#N/A</v>
      </c>
      <c r="K10" s="201" t="e">
        <f aca="false">IF(A11="","",J10)</f>
        <v>#N/A</v>
      </c>
      <c r="L10" s="200" t="e">
        <f aca="false">IF($A11="","",VLOOKUP($A10,Table,MATCH(L$4,Curves,0)))</f>
        <v>#N/A</v>
      </c>
      <c r="M10" s="201" t="e">
        <f aca="false">IF(A11="","",L10)</f>
        <v>#N/A</v>
      </c>
      <c r="N10" s="203"/>
      <c r="O10" s="200" t="e">
        <f aca="false">IF(A11="","",L10+J10+G10)</f>
        <v>#N/A</v>
      </c>
      <c r="P10" s="200" t="e">
        <f aca="false">IF(A11="","",M10+K10+H10)</f>
        <v>#N/A</v>
      </c>
      <c r="Q10" s="204"/>
      <c r="R10" s="200" t="e">
        <f aca="false">IF($A11="","",VLOOKUP($A10,Table,MATCH(R$4,Curves,0)))</f>
        <v>#N/A</v>
      </c>
      <c r="S10" s="201" t="e">
        <f aca="false">IF(A11="","",R10)</f>
        <v>#N/A</v>
      </c>
      <c r="T10" s="200" t="e">
        <f aca="false">IF($A11="","",VLOOKUP($A10,Table,MATCH(T$4,Curves,0)))</f>
        <v>#N/A</v>
      </c>
      <c r="U10" s="201" t="e">
        <f aca="false">IF(A11="","",T10)</f>
        <v>#N/A</v>
      </c>
      <c r="V10" s="225" t="e">
        <f aca="false">IF($A11="","",IF(AND(MONTH(A10)&gt;3,MONTH(A10)&lt;11),(T10+R10+G10)*(((1/(1-Summary!$T$12))/(1-Summary!$W$12))-1),(T10+R10+G10)*((1/(1-Summary!$U$12))/(1-Summary!$X$12)-1)))</f>
        <v>#N/A</v>
      </c>
      <c r="W10" s="200" t="e">
        <f aca="false">IF($A11="","",(T10+R10+G10+V10))</f>
        <v>#N/A</v>
      </c>
      <c r="X10" s="200" t="e">
        <f aca="false">IF($A11="","",(U10+S10+H10+V10))</f>
        <v>#N/A</v>
      </c>
      <c r="Y10" s="202"/>
      <c r="Z10" s="185" t="e">
        <f aca="false">IF($A11="","",VLOOKUP($A10,Table,MATCH(Z$4,Curves,0)))</f>
        <v>#N/A</v>
      </c>
      <c r="AA10" s="185" t="e">
        <f aca="false">IF($A11="","",VLOOKUP($A10,Table,MATCH(AA$4,Curves,0)))</f>
        <v>#N/A</v>
      </c>
      <c r="AB10" s="185" t="e">
        <f aca="false">SQRT((AA10^2*(A10-$D$3)+Z10^2*(DAY(EOMONTH(A10,0))/2))/AK10)</f>
        <v>#N/A</v>
      </c>
      <c r="AC10" s="185" t="e">
        <f aca="false">IF($A11="","",VLOOKUP($A10,Table,MATCH(AC$4,Curves,0)))</f>
        <v>#N/A</v>
      </c>
      <c r="AD10" s="185" t="e">
        <f aca="false">IF($A11="","",VLOOKUP($A10,Table,MATCH(AD$4,Curves,0)))</f>
        <v>#N/A</v>
      </c>
      <c r="AE10" s="185" t="e">
        <f aca="false">SQRT((AD10^2*(A10-$D$3)+AC10^2*(DAY(EOMONTH(A10,0))/2))/AK10)</f>
        <v>#N/A</v>
      </c>
      <c r="AF10" s="206" t="e">
        <f aca="false">((Summary!$N$12*(AA10*AD10)*(A10-$D$3))+(Summary!$M$12*Z10*AC10*(AJ10-EOMONTH(EDATE(A10,-1),0))))/(AK10*AB10*AE10)</f>
        <v>#N/A</v>
      </c>
      <c r="AG10" s="207" t="n">
        <f aca="false">IF($A11="","",Summary!$Q$12)</f>
        <v>0</v>
      </c>
      <c r="AH10" s="207" t="n">
        <f aca="false">IF($A11="","",IF(Summary!$R$12="Y",(VLOOKUP($A10,Summary!$AD$6:$AF$9,3)+'Escalating commodity'!H23),'Escalating commodity'!H23))</f>
        <v>0.029</v>
      </c>
      <c r="AI10" s="207" t="n">
        <f aca="false">IF($A11="","",AH10)</f>
        <v>0.029</v>
      </c>
      <c r="AJ10" s="208" t="n">
        <f aca="false">A10+DAY(EOMONTH(A10,0))/2-1</f>
        <v>37057</v>
      </c>
      <c r="AK10" s="209" t="n">
        <f aca="false">IF($A11="","",$A10-$E$1)</f>
        <v>-8883</v>
      </c>
      <c r="AL10" s="182" t="e">
        <f aca="false">IF($A11="","",SPRDOPT(P10,X10,AI10,0,AB10,AE10,AF10,AK10,$AJ$2,0))</f>
        <v>#NAME?</v>
      </c>
      <c r="AM10" s="211" t="e">
        <f aca="false">IF($A11="","",MAX(0,O10-W10-AI10))</f>
        <v>#N/A</v>
      </c>
      <c r="AN10" s="211" t="e">
        <f aca="false">IF($A11="","",AL10-AM10)</f>
        <v>#N/A</v>
      </c>
      <c r="AO10" s="137" t="n">
        <f aca="false">IF(A11="","",A11-A10)</f>
        <v>30</v>
      </c>
      <c r="AP10" s="212" t="n">
        <f aca="false">IF(A11="","",CHOOSE(F$3,A11+24,A10))</f>
        <v>37043</v>
      </c>
      <c r="AQ10" s="209" t="n">
        <f aca="false">IF(A11="","",AP10-$E$1)</f>
        <v>-8883</v>
      </c>
      <c r="AR10" s="185" t="n">
        <f aca="false">'ANR OK vs ML7'!AR10</f>
        <v>0.1</v>
      </c>
      <c r="AS10" s="213" t="n">
        <f aca="false">IF(A11="","",1/(1+CHOOSE(F$3,(AR11+($I$3/10000))/2,(AR10+($I$3/10000))/2))^(2*AQ10/365.25))</f>
        <v>10.7315247104559</v>
      </c>
      <c r="AT10" s="137" t="n">
        <f aca="false">IF(A11="","",IF(AND(mthbeg&lt;=A10,mthend&gt;=A10),1,0))</f>
        <v>1</v>
      </c>
      <c r="AU10" s="137" t="n">
        <f aca="false">IF(A11="","",AO10*AT10)</f>
        <v>30</v>
      </c>
      <c r="AW10" s="195" t="e">
        <f aca="false">IF($A11="","",AL10*$E10)</f>
        <v>#NAME?</v>
      </c>
      <c r="AX10" s="195" t="e">
        <f aca="false">IF($A11="","",AM10*$E10)</f>
        <v>#N/A</v>
      </c>
      <c r="AY10" s="195" t="e">
        <f aca="false">IF($A11="","",AN10*$E10)</f>
        <v>#N/A</v>
      </c>
      <c r="AZ10" s="214"/>
      <c r="BA10" s="195" t="n">
        <f aca="false">IF($A11="","",F10*Summary!$Q$12)</f>
        <v>0</v>
      </c>
      <c r="BC10" s="179" t="e">
        <f aca="false">IF(A11="","",AM10*F10)</f>
        <v>#N/A</v>
      </c>
    </row>
    <row r="11" customFormat="false" ht="12.75" hidden="false" customHeight="false" outlineLevel="0" collapsed="false">
      <c r="A11" s="196" t="n">
        <f aca="false">IF(A10&lt;mthend,EDATE(A10,1),"")</f>
        <v>37073</v>
      </c>
      <c r="B11" s="197" t="n">
        <f aca="false">IF(A11&lt;mthend,B10,"")</f>
        <v>36522</v>
      </c>
      <c r="C11" s="215"/>
      <c r="D11" s="197" t="n">
        <f aca="false">IF(A12&lt;&gt;"",B11+C11,"")</f>
        <v>36522</v>
      </c>
      <c r="E11" s="199" t="n">
        <f aca="false">IF(A12="","",IF(AND(AT11=1,$H$3=1),D11*AO11,IF($H$3=2,D11,"N/A")))</f>
        <v>1132182</v>
      </c>
      <c r="F11" s="199" t="n">
        <f aca="false">IF(A12="","",E11*AS11)</f>
        <v>12053048.0399878</v>
      </c>
      <c r="G11" s="200" t="e">
        <f aca="false">IF($A12="","",VLOOKUP($A11,Table,MATCH(G$4,Curves,0)))</f>
        <v>#N/A</v>
      </c>
      <c r="H11" s="201" t="e">
        <f aca="false">IF(A12="","",G11)</f>
        <v>#N/A</v>
      </c>
      <c r="I11" s="202"/>
      <c r="J11" s="200" t="e">
        <f aca="false">IF($A12="","",VLOOKUP($A11,Table,MATCH(J$4,Curves,0)))</f>
        <v>#N/A</v>
      </c>
      <c r="K11" s="201" t="e">
        <f aca="false">IF(A12="","",J11)</f>
        <v>#N/A</v>
      </c>
      <c r="L11" s="200" t="e">
        <f aca="false">IF($A12="","",VLOOKUP($A11,Table,MATCH(L$4,Curves,0)))</f>
        <v>#N/A</v>
      </c>
      <c r="M11" s="201" t="e">
        <f aca="false">IF(A12="","",L11)</f>
        <v>#N/A</v>
      </c>
      <c r="N11" s="203"/>
      <c r="O11" s="200" t="e">
        <f aca="false">IF(A12="","",L11+J11+G11)</f>
        <v>#N/A</v>
      </c>
      <c r="P11" s="200" t="e">
        <f aca="false">IF(A12="","",M11+K11+H11)</f>
        <v>#N/A</v>
      </c>
      <c r="Q11" s="204"/>
      <c r="R11" s="200" t="e">
        <f aca="false">IF($A12="","",VLOOKUP($A11,Table,MATCH(R$4,Curves,0)))</f>
        <v>#N/A</v>
      </c>
      <c r="S11" s="201" t="e">
        <f aca="false">IF(A12="","",R11)</f>
        <v>#N/A</v>
      </c>
      <c r="T11" s="200" t="e">
        <f aca="false">IF($A12="","",VLOOKUP($A11,Table,MATCH(T$4,Curves,0)))</f>
        <v>#N/A</v>
      </c>
      <c r="U11" s="201" t="e">
        <f aca="false">IF(A12="","",T11)</f>
        <v>#N/A</v>
      </c>
      <c r="V11" s="225" t="e">
        <f aca="false">IF($A12="","",IF(AND(MONTH(A11)&gt;3,MONTH(A11)&lt;11),(T11+R11+G11)*(((1/(1-Summary!$T$12))/(1-Summary!$W$12))-1),(T11+R11+G11)*((1/(1-Summary!$U$12))/(1-Summary!$X$12)-1)))</f>
        <v>#N/A</v>
      </c>
      <c r="W11" s="200" t="e">
        <f aca="false">IF($A12="","",(T11+R11+G11+V11))</f>
        <v>#N/A</v>
      </c>
      <c r="X11" s="200" t="e">
        <f aca="false">IF($A12="","",(U11+S11+H11+V11))</f>
        <v>#N/A</v>
      </c>
      <c r="Y11" s="202"/>
      <c r="Z11" s="185" t="e">
        <f aca="false">IF($A12="","",VLOOKUP($A11,Table,MATCH(Z$4,Curves,0)))</f>
        <v>#N/A</v>
      </c>
      <c r="AA11" s="185" t="e">
        <f aca="false">IF($A12="","",VLOOKUP($A11,Table,MATCH(AA$4,Curves,0)))</f>
        <v>#N/A</v>
      </c>
      <c r="AB11" s="185" t="e">
        <f aca="false">SQRT((AA11^2*(A11-$D$3)+Z11^2*(DAY(EOMONTH(A11,0))/2))/AK11)</f>
        <v>#N/A</v>
      </c>
      <c r="AC11" s="185" t="e">
        <f aca="false">IF($A12="","",VLOOKUP($A11,Table,MATCH(AC$4,Curves,0)))</f>
        <v>#N/A</v>
      </c>
      <c r="AD11" s="185" t="e">
        <f aca="false">IF($A12="","",VLOOKUP($A11,Table,MATCH(AD$4,Curves,0)))</f>
        <v>#N/A</v>
      </c>
      <c r="AE11" s="185" t="e">
        <f aca="false">SQRT((AD11^2*(A11-$D$3)+AC11^2*(DAY(EOMONTH(A11,0))/2))/AK11)</f>
        <v>#N/A</v>
      </c>
      <c r="AF11" s="206" t="e">
        <f aca="false">((Summary!$N$12*(AA11*AD11)*(A11-$D$3))+(Summary!$M$12*Z11*AC11*(AJ11-EOMONTH(EDATE(A11,-1),0))))/(AK11*AB11*AE11)</f>
        <v>#N/A</v>
      </c>
      <c r="AG11" s="207" t="n">
        <f aca="false">IF($A12="","",Summary!$Q$12)</f>
        <v>0</v>
      </c>
      <c r="AH11" s="207" t="n">
        <f aca="false">IF($A12="","",IF(Summary!$R$12="Y",(VLOOKUP($A11,Summary!$AD$6:$AF$9,3)+'Escalating commodity'!H24),'Escalating commodity'!H24))</f>
        <v>0.029</v>
      </c>
      <c r="AI11" s="207" t="n">
        <f aca="false">IF($A12="","",AH11)</f>
        <v>0.029</v>
      </c>
      <c r="AJ11" s="208" t="n">
        <f aca="false">A11+DAY(EOMONTH(A11,0))/2-1</f>
        <v>37087.5</v>
      </c>
      <c r="AK11" s="209" t="n">
        <f aca="false">IF($A12="","",$A11-$E$1)</f>
        <v>-8853</v>
      </c>
      <c r="AL11" s="182" t="e">
        <f aca="false">IF($A12="","",SPRDOPT(P11,X11,AI11,0,AB11,AE11,AF11,AK11,$AJ$2,0))</f>
        <v>#NAME?</v>
      </c>
      <c r="AM11" s="211" t="e">
        <f aca="false">IF($A12="","",MAX(0,O11-W11-AI11))</f>
        <v>#N/A</v>
      </c>
      <c r="AN11" s="211" t="e">
        <f aca="false">IF($A12="","",AL11-AM11)</f>
        <v>#N/A</v>
      </c>
      <c r="AO11" s="137" t="n">
        <f aca="false">IF(A12="","",A12-A11)</f>
        <v>31</v>
      </c>
      <c r="AP11" s="212" t="n">
        <f aca="false">IF(A12="","",CHOOSE(F$3,A12+24,A11))</f>
        <v>37073</v>
      </c>
      <c r="AQ11" s="209" t="n">
        <f aca="false">IF(A12="","",AP11-$E$1)</f>
        <v>-8853</v>
      </c>
      <c r="AR11" s="185" t="n">
        <f aca="false">'ANR OK vs ML7'!AR11</f>
        <v>0.1</v>
      </c>
      <c r="AS11" s="213" t="n">
        <f aca="false">IF(A12="","",1/(1+CHOOSE(F$3,(AR12+($I$3/10000))/2,(AR11+($I$3/10000))/2))^(2*AQ11/365.25))</f>
        <v>10.6458573268147</v>
      </c>
      <c r="AT11" s="137" t="n">
        <f aca="false">IF(A12="","",IF(AND(mthbeg&lt;=A11,mthend&gt;=A11),1,0))</f>
        <v>1</v>
      </c>
      <c r="AU11" s="137" t="n">
        <f aca="false">IF(A12="","",AO11*AT11)</f>
        <v>31</v>
      </c>
      <c r="AW11" s="195" t="e">
        <f aca="false">IF($A12="","",AL11*$E11)</f>
        <v>#NAME?</v>
      </c>
      <c r="AX11" s="195" t="e">
        <f aca="false">IF($A12="","",AM11*$E11)</f>
        <v>#N/A</v>
      </c>
      <c r="AY11" s="195" t="e">
        <f aca="false">IF($A12="","",AN11*$E11)</f>
        <v>#N/A</v>
      </c>
      <c r="BA11" s="195" t="n">
        <f aca="false">IF($A12="","",F11*Summary!$Q$12)</f>
        <v>0</v>
      </c>
      <c r="BC11" s="179" t="e">
        <f aca="false">IF(A12="","",AM11*F11)</f>
        <v>#N/A</v>
      </c>
    </row>
    <row r="12" customFormat="false" ht="12.75" hidden="false" customHeight="false" outlineLevel="0" collapsed="false">
      <c r="A12" s="196" t="n">
        <f aca="false">IF(A11&lt;mthend,EDATE(A11,1),"")</f>
        <v>37104</v>
      </c>
      <c r="B12" s="197" t="n">
        <f aca="false">IF(A12&lt;mthend,B11,"")</f>
        <v>36522</v>
      </c>
      <c r="C12" s="215"/>
      <c r="D12" s="197" t="n">
        <f aca="false">IF(A13&lt;&gt;"",B12+C12,"")</f>
        <v>36522</v>
      </c>
      <c r="E12" s="199" t="n">
        <f aca="false">IF(A13="","",IF(AND(AT12=1,$H$3=1),D12*AO12,IF($H$3=2,D12,"N/A")))</f>
        <v>1132182</v>
      </c>
      <c r="F12" s="199" t="n">
        <f aca="false">IF(A13="","",E12*AS12)</f>
        <v>11953637.2635683</v>
      </c>
      <c r="G12" s="200" t="e">
        <f aca="false">IF($A13="","",VLOOKUP($A12,Table,MATCH(G$4,Curves,0)))</f>
        <v>#N/A</v>
      </c>
      <c r="H12" s="201" t="e">
        <f aca="false">IF(A13="","",G12)</f>
        <v>#N/A</v>
      </c>
      <c r="I12" s="202"/>
      <c r="J12" s="200" t="e">
        <f aca="false">IF($A13="","",VLOOKUP($A12,Table,MATCH(J$4,Curves,0)))</f>
        <v>#N/A</v>
      </c>
      <c r="K12" s="201" t="e">
        <f aca="false">IF(A13="","",J12)</f>
        <v>#N/A</v>
      </c>
      <c r="L12" s="200" t="e">
        <f aca="false">IF($A13="","",VLOOKUP($A12,Table,MATCH(L$4,Curves,0)))</f>
        <v>#N/A</v>
      </c>
      <c r="M12" s="201" t="e">
        <f aca="false">IF(A13="","",L12)</f>
        <v>#N/A</v>
      </c>
      <c r="N12" s="203"/>
      <c r="O12" s="200" t="e">
        <f aca="false">IF(A13="","",L12+J12+G12)</f>
        <v>#N/A</v>
      </c>
      <c r="P12" s="200" t="e">
        <f aca="false">IF(A13="","",M12+K12+H12)</f>
        <v>#N/A</v>
      </c>
      <c r="Q12" s="204"/>
      <c r="R12" s="200" t="e">
        <f aca="false">IF($A13="","",VLOOKUP($A12,Table,MATCH(R$4,Curves,0)))</f>
        <v>#N/A</v>
      </c>
      <c r="S12" s="201" t="e">
        <f aca="false">IF(A13="","",R12)</f>
        <v>#N/A</v>
      </c>
      <c r="T12" s="200" t="e">
        <f aca="false">IF($A13="","",VLOOKUP($A12,Table,MATCH(T$4,Curves,0)))</f>
        <v>#N/A</v>
      </c>
      <c r="U12" s="201" t="e">
        <f aca="false">IF(A13="","",T12)</f>
        <v>#N/A</v>
      </c>
      <c r="V12" s="225" t="e">
        <f aca="false">IF($A13="","",IF(AND(MONTH(A12)&gt;3,MONTH(A12)&lt;11),(T12+R12+G12)*(((1/(1-Summary!$T$12))/(1-Summary!$W$12))-1),(T12+R12+G12)*((1/(1-Summary!$U$12))/(1-Summary!$X$12)-1)))</f>
        <v>#N/A</v>
      </c>
      <c r="W12" s="200" t="e">
        <f aca="false">IF($A13="","",(T12+R12+G12+V12))</f>
        <v>#N/A</v>
      </c>
      <c r="X12" s="200" t="e">
        <f aca="false">IF($A13="","",(U12+S12+H12+V12))</f>
        <v>#N/A</v>
      </c>
      <c r="Y12" s="202"/>
      <c r="Z12" s="185" t="e">
        <f aca="false">IF($A13="","",VLOOKUP($A12,Table,MATCH(Z$4,Curves,0)))</f>
        <v>#N/A</v>
      </c>
      <c r="AA12" s="185" t="e">
        <f aca="false">IF($A13="","",VLOOKUP($A12,Table,MATCH(AA$4,Curves,0)))</f>
        <v>#N/A</v>
      </c>
      <c r="AB12" s="185" t="e">
        <f aca="false">SQRT((AA12^2*(A12-$D$3)+Z12^2*(DAY(EOMONTH(A12,0))/2))/AK12)</f>
        <v>#N/A</v>
      </c>
      <c r="AC12" s="185" t="e">
        <f aca="false">IF($A13="","",VLOOKUP($A12,Table,MATCH(AC$4,Curves,0)))</f>
        <v>#N/A</v>
      </c>
      <c r="AD12" s="185" t="e">
        <f aca="false">IF($A13="","",VLOOKUP($A12,Table,MATCH(AD$4,Curves,0)))</f>
        <v>#N/A</v>
      </c>
      <c r="AE12" s="185" t="e">
        <f aca="false">SQRT((AD12^2*(A12-$D$3)+AC12^2*(DAY(EOMONTH(A12,0))/2))/AK12)</f>
        <v>#N/A</v>
      </c>
      <c r="AF12" s="206" t="e">
        <f aca="false">((Summary!$N$12*(AA12*AD12)*(A12-$D$3))+(Summary!$M$12*Z12*AC12*(AJ12-EOMONTH(EDATE(A12,-1),0))))/(AK12*AB12*AE12)</f>
        <v>#N/A</v>
      </c>
      <c r="AG12" s="207" t="n">
        <f aca="false">IF($A13="","",Summary!$Q$12)</f>
        <v>0</v>
      </c>
      <c r="AH12" s="207" t="n">
        <f aca="false">IF($A13="","",IF(Summary!$R$12="Y",(VLOOKUP($A12,Summary!$AD$6:$AF$9,3)+'Escalating commodity'!H25),'Escalating commodity'!H25))</f>
        <v>0.029</v>
      </c>
      <c r="AI12" s="207" t="n">
        <f aca="false">IF($A13="","",AH12)</f>
        <v>0.029</v>
      </c>
      <c r="AJ12" s="208" t="n">
        <f aca="false">A12+DAY(EOMONTH(A12,0))/2-1</f>
        <v>37118.5</v>
      </c>
      <c r="AK12" s="209" t="n">
        <f aca="false">IF($A13="","",$A12-$E$1)</f>
        <v>-8822</v>
      </c>
      <c r="AL12" s="182" t="e">
        <f aca="false">IF($A13="","",SPRDOPT(P12,X12,AI12,0,AB12,AE12,AF12,AK12,$AJ$2,0))</f>
        <v>#NAME?</v>
      </c>
      <c r="AM12" s="211" t="e">
        <f aca="false">IF($A13="","",MAX(0,O12-W12-AI12))</f>
        <v>#N/A</v>
      </c>
      <c r="AN12" s="211" t="e">
        <f aca="false">IF($A13="","",AL12-AM12)</f>
        <v>#N/A</v>
      </c>
      <c r="AO12" s="137" t="n">
        <f aca="false">IF(A13="","",A13-A12)</f>
        <v>31</v>
      </c>
      <c r="AP12" s="212" t="n">
        <f aca="false">IF(A13="","",CHOOSE(F$3,A13+24,A12))</f>
        <v>37104</v>
      </c>
      <c r="AQ12" s="209" t="n">
        <f aca="false">IF(A13="","",AP12-$E$1)</f>
        <v>-8822</v>
      </c>
      <c r="AR12" s="185" t="n">
        <f aca="false">'ANR OK vs ML7'!AR12</f>
        <v>0.1</v>
      </c>
      <c r="AS12" s="213" t="n">
        <f aca="false">IF(A13="","",1/(1+CHOOSE(F$3,(AR13+($I$3/10000))/2,(AR12+($I$3/10000))/2))^(2*AQ12/365.25))</f>
        <v>10.5580527367228</v>
      </c>
      <c r="AT12" s="137" t="n">
        <f aca="false">IF(A13="","",IF(AND(mthbeg&lt;=A12,mthend&gt;=A12),1,0))</f>
        <v>1</v>
      </c>
      <c r="AU12" s="137" t="n">
        <f aca="false">IF(A13="","",AO12*AT12)</f>
        <v>31</v>
      </c>
      <c r="AW12" s="195" t="e">
        <f aca="false">IF($A13="","",AL12*$E12)</f>
        <v>#NAME?</v>
      </c>
      <c r="AX12" s="195" t="e">
        <f aca="false">IF($A13="","",AM12*$E12)</f>
        <v>#N/A</v>
      </c>
      <c r="AY12" s="195" t="e">
        <f aca="false">IF($A13="","",AN12*$E12)</f>
        <v>#N/A</v>
      </c>
      <c r="BA12" s="195" t="n">
        <f aca="false">IF($A13="","",F12*Summary!$Q$12)</f>
        <v>0</v>
      </c>
      <c r="BC12" s="179" t="e">
        <f aca="false">IF(A13="","",AM12*F12)</f>
        <v>#N/A</v>
      </c>
    </row>
    <row r="13" customFormat="false" ht="12.75" hidden="false" customHeight="false" outlineLevel="0" collapsed="false">
      <c r="A13" s="196" t="n">
        <f aca="false">IF(A12&lt;mthend,EDATE(A12,1),"")</f>
        <v>37135</v>
      </c>
      <c r="B13" s="197" t="n">
        <f aca="false">IF(A13&lt;mthend,B12,"")</f>
        <v>36522</v>
      </c>
      <c r="C13" s="215"/>
      <c r="D13" s="197" t="n">
        <f aca="false">IF(A14&lt;&gt;"",B13+C13,"")</f>
        <v>36522</v>
      </c>
      <c r="E13" s="199" t="n">
        <f aca="false">IF(A14="","",IF(AND(AT13=1,$H$3=1),D13*AO13,IF($H$3=2,D13,"N/A")))</f>
        <v>1095660</v>
      </c>
      <c r="F13" s="199" t="n">
        <f aca="false">IF(A14="","",E13*AS13)</f>
        <v>11472625.5526814</v>
      </c>
      <c r="G13" s="200" t="e">
        <f aca="false">IF($A14="","",VLOOKUP($A13,Table,MATCH(G$4,Curves,0)))</f>
        <v>#N/A</v>
      </c>
      <c r="H13" s="201" t="e">
        <f aca="false">IF(A14="","",G13)</f>
        <v>#N/A</v>
      </c>
      <c r="I13" s="202"/>
      <c r="J13" s="200" t="e">
        <f aca="false">IF($A14="","",VLOOKUP($A13,Table,MATCH(J$4,Curves,0)))</f>
        <v>#N/A</v>
      </c>
      <c r="K13" s="201" t="e">
        <f aca="false">IF(A14="","",J13)</f>
        <v>#N/A</v>
      </c>
      <c r="L13" s="200" t="e">
        <f aca="false">IF($A14="","",VLOOKUP($A13,Table,MATCH(L$4,Curves,0)))</f>
        <v>#N/A</v>
      </c>
      <c r="M13" s="201" t="e">
        <f aca="false">IF(A14="","",L13)</f>
        <v>#N/A</v>
      </c>
      <c r="N13" s="203"/>
      <c r="O13" s="200" t="e">
        <f aca="false">IF(A14="","",L13+J13+G13)</f>
        <v>#N/A</v>
      </c>
      <c r="P13" s="200" t="e">
        <f aca="false">IF(A14="","",M13+K13+H13)</f>
        <v>#N/A</v>
      </c>
      <c r="Q13" s="204"/>
      <c r="R13" s="200" t="e">
        <f aca="false">IF($A14="","",VLOOKUP($A13,Table,MATCH(R$4,Curves,0)))</f>
        <v>#N/A</v>
      </c>
      <c r="S13" s="201" t="e">
        <f aca="false">IF(A14="","",R13)</f>
        <v>#N/A</v>
      </c>
      <c r="T13" s="200" t="e">
        <f aca="false">IF($A14="","",VLOOKUP($A13,Table,MATCH(T$4,Curves,0)))</f>
        <v>#N/A</v>
      </c>
      <c r="U13" s="201" t="e">
        <f aca="false">IF(A14="","",T13)</f>
        <v>#N/A</v>
      </c>
      <c r="V13" s="225" t="e">
        <f aca="false">IF($A14="","",IF(AND(MONTH(A13)&gt;3,MONTH(A13)&lt;11),(T13+R13+G13)*(((1/(1-Summary!$T$12))/(1-Summary!$W$12))-1),(T13+R13+G13)*((1/(1-Summary!$U$12))/(1-Summary!$X$12)-1)))</f>
        <v>#N/A</v>
      </c>
      <c r="W13" s="200" t="e">
        <f aca="false">IF($A14="","",(T13+R13+G13+V13))</f>
        <v>#N/A</v>
      </c>
      <c r="X13" s="200" t="e">
        <f aca="false">IF($A14="","",(U13+S13+H13+V13))</f>
        <v>#N/A</v>
      </c>
      <c r="Y13" s="202"/>
      <c r="Z13" s="185" t="e">
        <f aca="false">IF($A14="","",VLOOKUP($A13,Table,MATCH(Z$4,Curves,0)))</f>
        <v>#N/A</v>
      </c>
      <c r="AA13" s="185" t="e">
        <f aca="false">IF($A14="","",VLOOKUP($A13,Table,MATCH(AA$4,Curves,0)))</f>
        <v>#N/A</v>
      </c>
      <c r="AB13" s="185" t="e">
        <f aca="false">SQRT((AA13^2*(A13-$D$3)+Z13^2*(DAY(EOMONTH(A13,0))/2))/AK13)</f>
        <v>#N/A</v>
      </c>
      <c r="AC13" s="185" t="e">
        <f aca="false">IF($A14="","",VLOOKUP($A13,Table,MATCH(AC$4,Curves,0)))</f>
        <v>#N/A</v>
      </c>
      <c r="AD13" s="185" t="e">
        <f aca="false">IF($A14="","",VLOOKUP($A13,Table,MATCH(AD$4,Curves,0)))</f>
        <v>#N/A</v>
      </c>
      <c r="AE13" s="185" t="e">
        <f aca="false">SQRT((AD13^2*(A13-$D$3)+AC13^2*(DAY(EOMONTH(A13,0))/2))/AK13)</f>
        <v>#N/A</v>
      </c>
      <c r="AF13" s="206" t="e">
        <f aca="false">((Summary!$N$12*(AA13*AD13)*(A13-$D$3))+(Summary!$M$12*Z13*AC13*(AJ13-EOMONTH(EDATE(A13,-1),0))))/(AK13*AB13*AE13)</f>
        <v>#N/A</v>
      </c>
      <c r="AG13" s="207" t="n">
        <f aca="false">IF($A14="","",Summary!$Q$12)</f>
        <v>0</v>
      </c>
      <c r="AH13" s="207" t="n">
        <f aca="false">IF($A14="","",IF(Summary!$R$12="Y",(VLOOKUP($A13,Summary!$AD$6:$AF$9,3)+'Escalating commodity'!H26),'Escalating commodity'!H26))</f>
        <v>0.029</v>
      </c>
      <c r="AI13" s="207" t="n">
        <f aca="false">IF($A14="","",AH13)</f>
        <v>0.029</v>
      </c>
      <c r="AJ13" s="208" t="n">
        <f aca="false">A13+DAY(EOMONTH(A13,0))/2-1</f>
        <v>37149</v>
      </c>
      <c r="AK13" s="209" t="n">
        <f aca="false">IF($A14="","",$A13-$E$1)</f>
        <v>-8791</v>
      </c>
      <c r="AL13" s="182" t="e">
        <f aca="false">IF($A14="","",SPRDOPT(P13,X13,AI13,0,AB13,AE13,AF13,AK13,$AJ$2,0))</f>
        <v>#NAME?</v>
      </c>
      <c r="AM13" s="211" t="e">
        <f aca="false">IF($A14="","",MAX(0,O13-W13-AI13))</f>
        <v>#N/A</v>
      </c>
      <c r="AN13" s="211" t="e">
        <f aca="false">IF($A14="","",AL13-AM13)</f>
        <v>#N/A</v>
      </c>
      <c r="AO13" s="137" t="n">
        <f aca="false">IF(A14="","",A14-A13)</f>
        <v>30</v>
      </c>
      <c r="AP13" s="212" t="n">
        <f aca="false">IF(A14="","",CHOOSE(F$3,A14+24,A13))</f>
        <v>37135</v>
      </c>
      <c r="AQ13" s="209" t="n">
        <f aca="false">IF(A14="","",AP13-$E$1)</f>
        <v>-8791</v>
      </c>
      <c r="AR13" s="185" t="n">
        <f aca="false">'ANR OK vs ML7'!AR13</f>
        <v>0.1</v>
      </c>
      <c r="AS13" s="213" t="n">
        <f aca="false">IF(A14="","",1/(1+CHOOSE(F$3,(AR14+($I$3/10000))/2,(AR13+($I$3/10000))/2))^(2*AQ13/365.25))</f>
        <v>10.470972338756</v>
      </c>
      <c r="AT13" s="137" t="n">
        <f aca="false">IF(A14="","",IF(AND(mthbeg&lt;=A13,mthend&gt;=A13),1,0))</f>
        <v>1</v>
      </c>
      <c r="AU13" s="137" t="n">
        <f aca="false">IF(A14="","",AO13*AT13)</f>
        <v>30</v>
      </c>
      <c r="AW13" s="195" t="e">
        <f aca="false">IF($A14="","",AL13*$E13)</f>
        <v>#NAME?</v>
      </c>
      <c r="AX13" s="195" t="e">
        <f aca="false">IF($A14="","",AM13*$E13)</f>
        <v>#N/A</v>
      </c>
      <c r="AY13" s="195" t="e">
        <f aca="false">IF($A14="","",AN13*$E13)</f>
        <v>#N/A</v>
      </c>
      <c r="BA13" s="195" t="n">
        <f aca="false">IF($A14="","",F13*Summary!$Q$12)</f>
        <v>0</v>
      </c>
      <c r="BC13" s="179" t="e">
        <f aca="false">IF(A14="","",AM13*F13)</f>
        <v>#N/A</v>
      </c>
    </row>
    <row r="14" customFormat="false" ht="12.75" hidden="false" customHeight="false" outlineLevel="0" collapsed="false">
      <c r="A14" s="196" t="n">
        <f aca="false">IF(A13&lt;mthend,EDATE(A13,1),"")</f>
        <v>37165</v>
      </c>
      <c r="B14" s="197" t="n">
        <f aca="false">IF(A14&lt;mthend,B13,"")</f>
        <v>36522</v>
      </c>
      <c r="C14" s="215"/>
      <c r="D14" s="197" t="n">
        <f aca="false">IF(A15&lt;&gt;"",B14+C14,"")</f>
        <v>36522</v>
      </c>
      <c r="E14" s="199" t="n">
        <f aca="false">IF(A15="","",IF(AND(AT14=1,$H$3=1),D14*AO14,IF($H$3=2,D14,"N/A")))</f>
        <v>1132182</v>
      </c>
      <c r="F14" s="199" t="n">
        <f aca="false">IF(A15="","",E14*AS14)</f>
        <v>11760410.1960873</v>
      </c>
      <c r="G14" s="200" t="e">
        <f aca="false">IF($A15="","",VLOOKUP($A14,Table,MATCH(G$4,Curves,0)))</f>
        <v>#N/A</v>
      </c>
      <c r="H14" s="201" t="e">
        <f aca="false">IF(A15="","",G14)</f>
        <v>#N/A</v>
      </c>
      <c r="I14" s="202"/>
      <c r="J14" s="200" t="e">
        <f aca="false">IF($A15="","",VLOOKUP($A14,Table,MATCH(J$4,Curves,0)))</f>
        <v>#N/A</v>
      </c>
      <c r="K14" s="201" t="e">
        <f aca="false">IF(A15="","",J14)</f>
        <v>#N/A</v>
      </c>
      <c r="L14" s="200" t="e">
        <f aca="false">IF($A15="","",VLOOKUP($A14,Table,MATCH(L$4,Curves,0)))</f>
        <v>#N/A</v>
      </c>
      <c r="M14" s="201" t="e">
        <f aca="false">IF(A15="","",L14)</f>
        <v>#N/A</v>
      </c>
      <c r="N14" s="203"/>
      <c r="O14" s="200" t="e">
        <f aca="false">IF(A15="","",L14+J14+G14)</f>
        <v>#N/A</v>
      </c>
      <c r="P14" s="200" t="e">
        <f aca="false">IF(A15="","",M14+K14+H14)</f>
        <v>#N/A</v>
      </c>
      <c r="Q14" s="204"/>
      <c r="R14" s="200" t="e">
        <f aca="false">IF($A15="","",VLOOKUP($A14,Table,MATCH(R$4,Curves,0)))</f>
        <v>#N/A</v>
      </c>
      <c r="S14" s="201" t="e">
        <f aca="false">IF(A15="","",R14)</f>
        <v>#N/A</v>
      </c>
      <c r="T14" s="200" t="e">
        <f aca="false">IF($A15="","",VLOOKUP($A14,Table,MATCH(T$4,Curves,0)))</f>
        <v>#N/A</v>
      </c>
      <c r="U14" s="201" t="e">
        <f aca="false">IF(A15="","",T14)</f>
        <v>#N/A</v>
      </c>
      <c r="V14" s="225" t="e">
        <f aca="false">IF($A15="","",IF(AND(MONTH(A14)&gt;3,MONTH(A14)&lt;11),(T14+R14+G14)*(((1/(1-Summary!$T$12))/(1-Summary!$W$12))-1),(T14+R14+G14)*((1/(1-Summary!$U$12))/(1-Summary!$X$12)-1)))</f>
        <v>#N/A</v>
      </c>
      <c r="W14" s="200" t="e">
        <f aca="false">IF($A15="","",(T14+R14+G14+V14))</f>
        <v>#N/A</v>
      </c>
      <c r="X14" s="200" t="e">
        <f aca="false">IF($A15="","",(U14+S14+H14+V14))</f>
        <v>#N/A</v>
      </c>
      <c r="Y14" s="202"/>
      <c r="Z14" s="185" t="e">
        <f aca="false">IF($A15="","",VLOOKUP($A14,Table,MATCH(Z$4,Curves,0)))</f>
        <v>#N/A</v>
      </c>
      <c r="AA14" s="185" t="e">
        <f aca="false">IF($A15="","",VLOOKUP($A14,Table,MATCH(AA$4,Curves,0)))</f>
        <v>#N/A</v>
      </c>
      <c r="AB14" s="185" t="e">
        <f aca="false">SQRT((AA14^2*(A14-$D$3)+Z14^2*(DAY(EOMONTH(A14,0))/2))/AK14)</f>
        <v>#N/A</v>
      </c>
      <c r="AC14" s="185" t="e">
        <f aca="false">IF($A15="","",VLOOKUP($A14,Table,MATCH(AC$4,Curves,0)))</f>
        <v>#N/A</v>
      </c>
      <c r="AD14" s="185" t="e">
        <f aca="false">IF($A15="","",VLOOKUP($A14,Table,MATCH(AD$4,Curves,0)))</f>
        <v>#N/A</v>
      </c>
      <c r="AE14" s="185" t="e">
        <f aca="false">SQRT((AD14^2*(A14-$D$3)+AC14^2*(DAY(EOMONTH(A14,0))/2))/AK14)</f>
        <v>#N/A</v>
      </c>
      <c r="AF14" s="206" t="e">
        <f aca="false">((Summary!$N$12*(AA14*AD14)*(A14-$D$3))+(Summary!$M$12*Z14*AC14*(AJ14-EOMONTH(EDATE(A14,-1),0))))/(AK14*AB14*AE14)</f>
        <v>#N/A</v>
      </c>
      <c r="AG14" s="207" t="n">
        <f aca="false">IF($A15="","",Summary!$Q$12)</f>
        <v>0</v>
      </c>
      <c r="AH14" s="207" t="n">
        <f aca="false">IF($A15="","",IF(Summary!$R$12="Y",(VLOOKUP($A14,Summary!$AD$6:$AF$9,3)+'Escalating commodity'!H27),'Escalating commodity'!H27))</f>
        <v>0.029</v>
      </c>
      <c r="AI14" s="207" t="n">
        <f aca="false">IF($A15="","",AH14)</f>
        <v>0.029</v>
      </c>
      <c r="AJ14" s="208" t="n">
        <f aca="false">A14+DAY(EOMONTH(A14,0))/2-1</f>
        <v>37179.5</v>
      </c>
      <c r="AK14" s="209" t="n">
        <f aca="false">IF($A15="","",$A14-$E$1)</f>
        <v>-8761</v>
      </c>
      <c r="AL14" s="182" t="e">
        <f aca="false">IF($A15="","",SPRDOPT(P14,X14,AI14,0,AB14,AE14,AF14,AK14,$AJ$2,0))</f>
        <v>#NAME?</v>
      </c>
      <c r="AM14" s="211" t="e">
        <f aca="false">IF($A15="","",MAX(0,O14-W14-AI14))</f>
        <v>#N/A</v>
      </c>
      <c r="AN14" s="211" t="e">
        <f aca="false">IF($A15="","",AL14-AM14)</f>
        <v>#N/A</v>
      </c>
      <c r="AO14" s="137" t="n">
        <f aca="false">IF(A15="","",A15-A14)</f>
        <v>31</v>
      </c>
      <c r="AP14" s="212" t="n">
        <f aca="false">IF(A15="","",CHOOSE(F$3,A15+24,A14))</f>
        <v>37165</v>
      </c>
      <c r="AQ14" s="209" t="n">
        <f aca="false">IF(A15="","",AP14-$E$1)</f>
        <v>-8761</v>
      </c>
      <c r="AR14" s="185" t="n">
        <f aca="false">'ANR OK vs ML7'!AR14</f>
        <v>0.1</v>
      </c>
      <c r="AS14" s="213" t="n">
        <f aca="false">IF(A15="","",1/(1+CHOOSE(F$3,(AR15+($I$3/10000))/2,(AR14+($I$3/10000))/2))^(2*AQ14/365.25))</f>
        <v>10.3873848869592</v>
      </c>
      <c r="AT14" s="137" t="n">
        <f aca="false">IF(A15="","",IF(AND(mthbeg&lt;=A14,mthend&gt;=A14),1,0))</f>
        <v>1</v>
      </c>
      <c r="AU14" s="137" t="n">
        <f aca="false">IF(A15="","",AO14*AT14)</f>
        <v>31</v>
      </c>
      <c r="AW14" s="195" t="e">
        <f aca="false">IF($A15="","",AL14*$E14)</f>
        <v>#NAME?</v>
      </c>
      <c r="AX14" s="195" t="e">
        <f aca="false">IF($A15="","",AM14*$E14)</f>
        <v>#N/A</v>
      </c>
      <c r="AY14" s="195" t="e">
        <f aca="false">IF($A15="","",AN14*$E14)</f>
        <v>#N/A</v>
      </c>
      <c r="BA14" s="195" t="n">
        <f aca="false">IF($A15="","",F14*Summary!$Q$12)</f>
        <v>0</v>
      </c>
      <c r="BC14" s="179" t="e">
        <f aca="false">IF(A15="","",AM14*F14)</f>
        <v>#N/A</v>
      </c>
    </row>
    <row r="15" customFormat="false" ht="12.75" hidden="false" customHeight="false" outlineLevel="0" collapsed="false">
      <c r="A15" s="196" t="n">
        <f aca="false">IF(A14&lt;mthend,EDATE(A14,1),"")</f>
        <v>37196</v>
      </c>
      <c r="B15" s="197" t="n">
        <f aca="false">IF(A15&lt;mthend,B14,"")</f>
        <v>36522</v>
      </c>
      <c r="C15" s="215"/>
      <c r="D15" s="197" t="n">
        <f aca="false">IF(A16&lt;&gt;"",B15+C15,"")</f>
        <v>36522</v>
      </c>
      <c r="E15" s="199" t="n">
        <f aca="false">IF(A16="","",IF(AND(AT15=1,$H$3=1),D15*AO15,IF($H$3=2,D15,"N/A")))</f>
        <v>1095660</v>
      </c>
      <c r="F15" s="199" t="n">
        <f aca="false">IF(A16="","",E15*AS15)</f>
        <v>11287173.8995173</v>
      </c>
      <c r="G15" s="200" t="e">
        <f aca="false">IF($A16="","",VLOOKUP($A15,Table,MATCH(G$4,Curves,0)))</f>
        <v>#N/A</v>
      </c>
      <c r="H15" s="201" t="e">
        <f aca="false">IF(A16="","",G15)</f>
        <v>#N/A</v>
      </c>
      <c r="I15" s="202"/>
      <c r="J15" s="200" t="e">
        <f aca="false">IF($A16="","",VLOOKUP($A15,Table,MATCH(J$4,Curves,0)))</f>
        <v>#N/A</v>
      </c>
      <c r="K15" s="201" t="e">
        <f aca="false">IF(A16="","",J15)</f>
        <v>#N/A</v>
      </c>
      <c r="L15" s="200" t="e">
        <f aca="false">IF($A16="","",VLOOKUP($A15,Table,MATCH(L$4,Curves,0)))</f>
        <v>#N/A</v>
      </c>
      <c r="M15" s="201" t="e">
        <f aca="false">IF(A16="","",L15)</f>
        <v>#N/A</v>
      </c>
      <c r="N15" s="203"/>
      <c r="O15" s="200" t="e">
        <f aca="false">IF(A16="","",L15+J15+G15)</f>
        <v>#N/A</v>
      </c>
      <c r="P15" s="200" t="e">
        <f aca="false">IF(A16="","",M15+K15+H15)</f>
        <v>#N/A</v>
      </c>
      <c r="Q15" s="204"/>
      <c r="R15" s="200" t="e">
        <f aca="false">IF($A16="","",VLOOKUP($A15,Table,MATCH(R$4,Curves,0)))</f>
        <v>#N/A</v>
      </c>
      <c r="S15" s="201" t="e">
        <f aca="false">IF(A16="","",R15)</f>
        <v>#N/A</v>
      </c>
      <c r="T15" s="200" t="e">
        <f aca="false">IF($A16="","",VLOOKUP($A15,Table,MATCH(T$4,Curves,0)))</f>
        <v>#N/A</v>
      </c>
      <c r="U15" s="201" t="e">
        <f aca="false">IF(A16="","",T15)</f>
        <v>#N/A</v>
      </c>
      <c r="V15" s="225" t="e">
        <f aca="false">IF($A16="","",IF(AND(MONTH(A15)&gt;3,MONTH(A15)&lt;11),(T15+R15+G15)*(((1/(1-Summary!$T$12))/(1-Summary!$W$12))-1),(T15+R15+G15)*((1/(1-Summary!$U$12))/(1-Summary!$X$12)-1)))</f>
        <v>#N/A</v>
      </c>
      <c r="W15" s="200" t="e">
        <f aca="false">IF($A16="","",(T15+R15+G15+V15))</f>
        <v>#N/A</v>
      </c>
      <c r="X15" s="200" t="e">
        <f aca="false">IF($A16="","",(U15+S15+H15+V15))</f>
        <v>#N/A</v>
      </c>
      <c r="Y15" s="202"/>
      <c r="Z15" s="185" t="e">
        <f aca="false">IF($A16="","",VLOOKUP($A15,Table,MATCH(Z$4,Curves,0)))</f>
        <v>#N/A</v>
      </c>
      <c r="AA15" s="185" t="e">
        <f aca="false">IF($A16="","",VLOOKUP($A15,Table,MATCH(AA$4,Curves,0)))</f>
        <v>#N/A</v>
      </c>
      <c r="AB15" s="185" t="e">
        <f aca="false">SQRT((AA15^2*(A15-$D$3)+Z15^2*(DAY(EOMONTH(A15,0))/2))/AK15)</f>
        <v>#N/A</v>
      </c>
      <c r="AC15" s="185" t="e">
        <f aca="false">IF($A16="","",VLOOKUP($A15,Table,MATCH(AC$4,Curves,0)))</f>
        <v>#N/A</v>
      </c>
      <c r="AD15" s="185" t="e">
        <f aca="false">IF($A16="","",VLOOKUP($A15,Table,MATCH(AD$4,Curves,0)))</f>
        <v>#N/A</v>
      </c>
      <c r="AE15" s="185" t="e">
        <f aca="false">SQRT((AD15^2*(A15-$D$3)+AC15^2*(DAY(EOMONTH(A15,0))/2))/AK15)</f>
        <v>#N/A</v>
      </c>
      <c r="AF15" s="206" t="e">
        <f aca="false">((Summary!$N$12*(AA15*AD15)*(A15-$D$3))+(Summary!$M$12*Z15*AC15*(AJ15-EOMONTH(EDATE(A15,-1),0))))/(AK15*AB15*AE15)</f>
        <v>#N/A</v>
      </c>
      <c r="AG15" s="207" t="n">
        <f aca="false">IF($A16="","",Summary!$Q$12)</f>
        <v>0</v>
      </c>
      <c r="AH15" s="207" t="n">
        <f aca="false">IF($A16="","",IF(Summary!$R$12="Y",(VLOOKUP($A15,Summary!$AD$6:$AF$9,3)+'Escalating commodity'!H28),'Escalating commodity'!H28))</f>
        <v>0.029</v>
      </c>
      <c r="AI15" s="207" t="n">
        <f aca="false">IF($A16="","",AH15)</f>
        <v>0.029</v>
      </c>
      <c r="AJ15" s="208" t="n">
        <f aca="false">A15+DAY(EOMONTH(A15,0))/2-1</f>
        <v>37210</v>
      </c>
      <c r="AK15" s="209" t="n">
        <f aca="false">IF($A16="","",$A15-$E$1)</f>
        <v>-8730</v>
      </c>
      <c r="AL15" s="182" t="e">
        <f aca="false">IF($A16="","",SPRDOPT(P15,X15,AI15,0,AB15,AE15,AF15,AK15,$AJ$2,0))</f>
        <v>#NAME?</v>
      </c>
      <c r="AM15" s="211" t="e">
        <f aca="false">IF($A16="","",MAX(0,O15-W15-AI15))</f>
        <v>#N/A</v>
      </c>
      <c r="AN15" s="211" t="e">
        <f aca="false">IF($A16="","",AL15-AM15)</f>
        <v>#N/A</v>
      </c>
      <c r="AO15" s="137" t="n">
        <f aca="false">IF(A16="","",A16-A15)</f>
        <v>30</v>
      </c>
      <c r="AP15" s="212" t="n">
        <f aca="false">IF(A16="","",CHOOSE(F$3,A16+24,A15))</f>
        <v>37196</v>
      </c>
      <c r="AQ15" s="209" t="n">
        <f aca="false">IF(A16="","",AP15-$E$1)</f>
        <v>-8730</v>
      </c>
      <c r="AR15" s="185" t="n">
        <f aca="false">'ANR OK vs ML7'!AR15</f>
        <v>0.1</v>
      </c>
      <c r="AS15" s="213" t="n">
        <f aca="false">IF(A16="","",1/(1+CHOOSE(F$3,(AR16+($I$3/10000))/2,(AR15+($I$3/10000))/2))^(2*AQ15/365.25))</f>
        <v>10.3017121182824</v>
      </c>
      <c r="AT15" s="137" t="n">
        <f aca="false">IF(A16="","",IF(AND(mthbeg&lt;=A15,mthend&gt;=A15),1,0))</f>
        <v>1</v>
      </c>
      <c r="AU15" s="137" t="n">
        <f aca="false">IF(A16="","",AO15*AT15)</f>
        <v>30</v>
      </c>
      <c r="AW15" s="195" t="e">
        <f aca="false">IF($A16="","",AL15*$E15)</f>
        <v>#NAME?</v>
      </c>
      <c r="AX15" s="195" t="e">
        <f aca="false">IF($A16="","",AM15*$E15)</f>
        <v>#N/A</v>
      </c>
      <c r="AY15" s="195" t="e">
        <f aca="false">IF($A16="","",AN15*$E15)</f>
        <v>#N/A</v>
      </c>
      <c r="BA15" s="195" t="n">
        <f aca="false">IF($A16="","",F15*Summary!$Q$12)</f>
        <v>0</v>
      </c>
      <c r="BC15" s="179" t="e">
        <f aca="false">IF(A16="","",AM15*F15)</f>
        <v>#N/A</v>
      </c>
    </row>
    <row r="16" customFormat="false" ht="12.75" hidden="false" customHeight="false" outlineLevel="0" collapsed="false">
      <c r="A16" s="196" t="n">
        <f aca="false">IF(A15&lt;mthend,EDATE(A15,1),"")</f>
        <v>37226</v>
      </c>
      <c r="B16" s="197" t="n">
        <f aca="false">IF(A16&lt;mthend,B15,"")</f>
        <v>36522</v>
      </c>
      <c r="C16" s="215"/>
      <c r="D16" s="197" t="n">
        <f aca="false">IF(A17&lt;&gt;"",B16+C16,"")</f>
        <v>36522</v>
      </c>
      <c r="E16" s="199" t="n">
        <f aca="false">IF(A17="","",IF(AND(AT16=1,$H$3=1),D16*AO16,IF($H$3=2,D16,"N/A")))</f>
        <v>1132182</v>
      </c>
      <c r="F16" s="199" t="n">
        <f aca="false">IF(A17="","",E16*AS16)</f>
        <v>11570306.587917</v>
      </c>
      <c r="G16" s="200" t="e">
        <f aca="false">IF($A17="","",VLOOKUP($A16,Table,MATCH(G$4,Curves,0)))</f>
        <v>#N/A</v>
      </c>
      <c r="H16" s="201" t="e">
        <f aca="false">IF(A17="","",G16)</f>
        <v>#N/A</v>
      </c>
      <c r="I16" s="202"/>
      <c r="J16" s="200" t="e">
        <f aca="false">IF($A17="","",VLOOKUP($A16,Table,MATCH(J$4,Curves,0)))</f>
        <v>#N/A</v>
      </c>
      <c r="K16" s="201" t="e">
        <f aca="false">IF(A17="","",J16)</f>
        <v>#N/A</v>
      </c>
      <c r="L16" s="200" t="e">
        <f aca="false">IF($A17="","",VLOOKUP($A16,Table,MATCH(L$4,Curves,0)))</f>
        <v>#N/A</v>
      </c>
      <c r="M16" s="201" t="e">
        <f aca="false">IF(A17="","",L16)</f>
        <v>#N/A</v>
      </c>
      <c r="N16" s="203"/>
      <c r="O16" s="200" t="e">
        <f aca="false">IF(A17="","",L16+J16+G16)</f>
        <v>#N/A</v>
      </c>
      <c r="P16" s="200" t="e">
        <f aca="false">IF(A17="","",M16+K16+H16)</f>
        <v>#N/A</v>
      </c>
      <c r="Q16" s="204"/>
      <c r="R16" s="200" t="e">
        <f aca="false">IF($A17="","",VLOOKUP($A16,Table,MATCH(R$4,Curves,0)))</f>
        <v>#N/A</v>
      </c>
      <c r="S16" s="201" t="e">
        <f aca="false">IF(A17="","",R16)</f>
        <v>#N/A</v>
      </c>
      <c r="T16" s="200" t="e">
        <f aca="false">IF($A17="","",VLOOKUP($A16,Table,MATCH(T$4,Curves,0)))</f>
        <v>#N/A</v>
      </c>
      <c r="U16" s="201" t="e">
        <f aca="false">IF(A17="","",T16)</f>
        <v>#N/A</v>
      </c>
      <c r="V16" s="225" t="e">
        <f aca="false">IF($A17="","",IF(AND(MONTH(A16)&gt;3,MONTH(A16)&lt;11),(T16+R16+G16)*(((1/(1-Summary!$T$12))/(1-Summary!$W$12))-1),(T16+R16+G16)*((1/(1-Summary!$U$12))/(1-Summary!$X$12)-1)))</f>
        <v>#N/A</v>
      </c>
      <c r="W16" s="200" t="e">
        <f aca="false">IF($A17="","",(T16+R16+G16+V16))</f>
        <v>#N/A</v>
      </c>
      <c r="X16" s="200" t="e">
        <f aca="false">IF($A17="","",(U16+S16+H16+V16))</f>
        <v>#N/A</v>
      </c>
      <c r="Y16" s="202"/>
      <c r="Z16" s="185" t="e">
        <f aca="false">IF($A17="","",VLOOKUP($A16,Table,MATCH(Z$4,Curves,0)))</f>
        <v>#N/A</v>
      </c>
      <c r="AA16" s="185" t="e">
        <f aca="false">IF($A17="","",VLOOKUP($A16,Table,MATCH(AA$4,Curves,0)))</f>
        <v>#N/A</v>
      </c>
      <c r="AB16" s="185" t="e">
        <f aca="false">SQRT((AA16^2*(A16-$D$3)+Z16^2*(DAY(EOMONTH(A16,0))/2))/AK16)</f>
        <v>#N/A</v>
      </c>
      <c r="AC16" s="185" t="e">
        <f aca="false">IF($A17="","",VLOOKUP($A16,Table,MATCH(AC$4,Curves,0)))</f>
        <v>#N/A</v>
      </c>
      <c r="AD16" s="185" t="e">
        <f aca="false">IF($A17="","",VLOOKUP($A16,Table,MATCH(AD$4,Curves,0)))</f>
        <v>#N/A</v>
      </c>
      <c r="AE16" s="185" t="e">
        <f aca="false">SQRT((AD16^2*(A16-$D$3)+AC16^2*(DAY(EOMONTH(A16,0))/2))/AK16)</f>
        <v>#N/A</v>
      </c>
      <c r="AF16" s="206" t="e">
        <f aca="false">((Summary!$N$12*(AA16*AD16)*(A16-$D$3))+(Summary!$M$12*Z16*AC16*(AJ16-EOMONTH(EDATE(A16,-1),0))))/(AK16*AB16*AE16)</f>
        <v>#N/A</v>
      </c>
      <c r="AG16" s="207" t="n">
        <f aca="false">IF($A17="","",Summary!$Q$12)</f>
        <v>0</v>
      </c>
      <c r="AH16" s="207" t="n">
        <f aca="false">IF($A17="","",IF(Summary!$R$12="Y",(VLOOKUP($A16,Summary!$AD$6:$AF$9,3)+'Escalating commodity'!H29),'Escalating commodity'!H29))</f>
        <v>0.029</v>
      </c>
      <c r="AI16" s="207" t="n">
        <f aca="false">IF($A17="","",AH16)</f>
        <v>0.029</v>
      </c>
      <c r="AJ16" s="208" t="n">
        <f aca="false">A16+DAY(EOMONTH(A16,0))/2-1</f>
        <v>37240.5</v>
      </c>
      <c r="AK16" s="209" t="n">
        <f aca="false">IF($A17="","",$A16-$E$1)</f>
        <v>-8700</v>
      </c>
      <c r="AL16" s="182" t="e">
        <f aca="false">IF($A17="","",SPRDOPT(P16,X16,AI16,0,AB16,AE16,AF16,AK16,$AJ$2,0))</f>
        <v>#NAME?</v>
      </c>
      <c r="AM16" s="211" t="e">
        <f aca="false">IF($A17="","",MAX(0,O16-W16-AI16))</f>
        <v>#N/A</v>
      </c>
      <c r="AN16" s="211" t="e">
        <f aca="false">IF($A17="","",AL16-AM16)</f>
        <v>#N/A</v>
      </c>
      <c r="AO16" s="137" t="n">
        <f aca="false">IF(A17="","",A17-A16)</f>
        <v>31</v>
      </c>
      <c r="AP16" s="212" t="n">
        <f aca="false">IF(A17="","",CHOOSE(F$3,A17+24,A16))</f>
        <v>37226</v>
      </c>
      <c r="AQ16" s="209" t="n">
        <f aca="false">IF(A17="","",AP16-$E$1)</f>
        <v>-8700</v>
      </c>
      <c r="AR16" s="185" t="n">
        <f aca="false">'ANR OK vs ML7'!AR16</f>
        <v>0.1</v>
      </c>
      <c r="AS16" s="213" t="n">
        <f aca="false">IF(A17="","",1/(1+CHOOSE(F$3,(AR17+($I$3/10000))/2,(AR16+($I$3/10000))/2))^(2*AQ16/365.25))</f>
        <v>10.2194758333174</v>
      </c>
      <c r="AT16" s="137" t="n">
        <f aca="false">IF(A17="","",IF(AND(mthbeg&lt;=A16,mthend&gt;=A16),1,0))</f>
        <v>1</v>
      </c>
      <c r="AU16" s="137" t="n">
        <f aca="false">IF(A17="","",AO16*AT16)</f>
        <v>31</v>
      </c>
      <c r="AW16" s="195" t="e">
        <f aca="false">IF($A17="","",AL16*$E16)</f>
        <v>#NAME?</v>
      </c>
      <c r="AX16" s="195" t="e">
        <f aca="false">IF($A17="","",AM16*$E16)</f>
        <v>#N/A</v>
      </c>
      <c r="AY16" s="195" t="e">
        <f aca="false">IF($A17="","",AN16*$E16)</f>
        <v>#N/A</v>
      </c>
      <c r="BA16" s="195" t="n">
        <f aca="false">IF($A17="","",F16*Summary!$Q$12)</f>
        <v>0</v>
      </c>
      <c r="BC16" s="179" t="e">
        <f aca="false">IF(A17="","",AM16*F16)</f>
        <v>#N/A</v>
      </c>
    </row>
    <row r="17" customFormat="false" ht="12.75" hidden="false" customHeight="false" outlineLevel="0" collapsed="false">
      <c r="A17" s="196" t="n">
        <f aca="false">IF(A16&lt;mthend,EDATE(A16,1),"")</f>
        <v>37257</v>
      </c>
      <c r="B17" s="197" t="n">
        <f aca="false">IF(A17&lt;mthend,B16,"")</f>
        <v>36522</v>
      </c>
      <c r="C17" s="215"/>
      <c r="D17" s="197" t="n">
        <f aca="false">IF(A18&lt;&gt;"",B17+C17,"")</f>
        <v>36522</v>
      </c>
      <c r="E17" s="199" t="n">
        <f aca="false">IF(A18="","",IF(AND(AT17=1,$H$3=1),D17*AO17,IF($H$3=2,D17,"N/A")))</f>
        <v>1132182</v>
      </c>
      <c r="F17" s="199" t="n">
        <f aca="false">IF(A18="","",E17*AS17)</f>
        <v>11474877.3522996</v>
      </c>
      <c r="G17" s="200" t="e">
        <f aca="false">IF($A18="","",VLOOKUP($A17,Table,MATCH(G$4,Curves,0)))</f>
        <v>#N/A</v>
      </c>
      <c r="H17" s="201" t="e">
        <f aca="false">IF(A18="","",G17)</f>
        <v>#N/A</v>
      </c>
      <c r="I17" s="202"/>
      <c r="J17" s="200" t="e">
        <f aca="false">IF($A18="","",VLOOKUP($A17,Table,MATCH(J$4,Curves,0)))</f>
        <v>#N/A</v>
      </c>
      <c r="K17" s="201" t="e">
        <f aca="false">IF(A18="","",J17)</f>
        <v>#N/A</v>
      </c>
      <c r="L17" s="200" t="e">
        <f aca="false">IF($A18="","",VLOOKUP($A17,Table,MATCH(L$4,Curves,0)))</f>
        <v>#N/A</v>
      </c>
      <c r="M17" s="201" t="e">
        <f aca="false">IF(A18="","",L17)</f>
        <v>#N/A</v>
      </c>
      <c r="N17" s="203"/>
      <c r="O17" s="200" t="e">
        <f aca="false">IF(A18="","",L17+J17+G17)</f>
        <v>#N/A</v>
      </c>
      <c r="P17" s="200" t="e">
        <f aca="false">IF(A18="","",M17+K17+H17)</f>
        <v>#N/A</v>
      </c>
      <c r="Q17" s="204"/>
      <c r="R17" s="200" t="e">
        <f aca="false">IF($A18="","",VLOOKUP($A17,Table,MATCH(R$4,Curves,0)))</f>
        <v>#N/A</v>
      </c>
      <c r="S17" s="201" t="e">
        <f aca="false">IF(A18="","",R17)</f>
        <v>#N/A</v>
      </c>
      <c r="T17" s="200" t="e">
        <f aca="false">IF($A18="","",VLOOKUP($A17,Table,MATCH(T$4,Curves,0)))</f>
        <v>#N/A</v>
      </c>
      <c r="U17" s="201" t="e">
        <f aca="false">IF(A18="","",T17)</f>
        <v>#N/A</v>
      </c>
      <c r="V17" s="225" t="e">
        <f aca="false">IF($A18="","",IF(AND(MONTH(A17)&gt;3,MONTH(A17)&lt;11),(T17+R17+G17)*(((1/(1-Summary!$T$12))/(1-Summary!$W$12))-1),(T17+R17+G17)*((1/(1-Summary!$U$12))/(1-Summary!$X$12)-1)))</f>
        <v>#N/A</v>
      </c>
      <c r="W17" s="200" t="e">
        <f aca="false">IF($A18="","",(T17+R17+G17+V17))</f>
        <v>#N/A</v>
      </c>
      <c r="X17" s="200" t="e">
        <f aca="false">IF($A18="","",(U17+S17+H17+V17))</f>
        <v>#N/A</v>
      </c>
      <c r="Y17" s="202"/>
      <c r="Z17" s="185" t="e">
        <f aca="false">IF($A18="","",VLOOKUP($A17,Table,MATCH(Z$4,Curves,0)))</f>
        <v>#N/A</v>
      </c>
      <c r="AA17" s="185" t="e">
        <f aca="false">IF($A18="","",VLOOKUP($A17,Table,MATCH(AA$4,Curves,0)))</f>
        <v>#N/A</v>
      </c>
      <c r="AB17" s="185" t="e">
        <f aca="false">SQRT((AA17^2*(A17-$D$3)+Z17^2*(DAY(EOMONTH(A17,0))/2))/AK17)</f>
        <v>#N/A</v>
      </c>
      <c r="AC17" s="185" t="e">
        <f aca="false">IF($A18="","",VLOOKUP($A17,Table,MATCH(AC$4,Curves,0)))</f>
        <v>#N/A</v>
      </c>
      <c r="AD17" s="185" t="e">
        <f aca="false">IF($A18="","",VLOOKUP($A17,Table,MATCH(AD$4,Curves,0)))</f>
        <v>#N/A</v>
      </c>
      <c r="AE17" s="185" t="e">
        <f aca="false">SQRT((AD17^2*(A17-$D$3)+AC17^2*(DAY(EOMONTH(A17,0))/2))/AK17)</f>
        <v>#N/A</v>
      </c>
      <c r="AF17" s="206" t="e">
        <f aca="false">((Summary!$N$12*(AA17*AD17)*(A17-$D$3))+(Summary!$M$12*Z17*AC17*(AJ17-EOMONTH(EDATE(A17,-1),0))))/(AK17*AB17*AE17)</f>
        <v>#N/A</v>
      </c>
      <c r="AG17" s="207" t="n">
        <f aca="false">IF($A18="","",Summary!$Q$12)</f>
        <v>0</v>
      </c>
      <c r="AH17" s="207" t="n">
        <f aca="false">IF($A18="","",IF(Summary!$R$12="Y",(VLOOKUP($A17,Summary!$AD$6:$AF$9,3)+'Escalating commodity'!H30),'Escalating commodity'!H30))</f>
        <v>0.029</v>
      </c>
      <c r="AI17" s="207" t="n">
        <f aca="false">IF($A18="","",AH17)</f>
        <v>0.029</v>
      </c>
      <c r="AJ17" s="208" t="n">
        <f aca="false">A17+DAY(EOMONTH(A17,0))/2-1</f>
        <v>37271.5</v>
      </c>
      <c r="AK17" s="209" t="n">
        <f aca="false">IF($A18="","",$A17-$E$1)</f>
        <v>-8669</v>
      </c>
      <c r="AL17" s="182" t="e">
        <f aca="false">IF($A18="","",SPRDOPT(P17,X17,AI17,0,AB17,AE17,AF17,AK17,$AJ$2,0))</f>
        <v>#NAME?</v>
      </c>
      <c r="AM17" s="211" t="e">
        <f aca="false">IF($A18="","",MAX(0,O17-W17-AI17))</f>
        <v>#N/A</v>
      </c>
      <c r="AN17" s="211" t="e">
        <f aca="false">IF($A18="","",AL17-AM17)</f>
        <v>#N/A</v>
      </c>
      <c r="AO17" s="137" t="n">
        <f aca="false">IF(A18="","",A18-A17)</f>
        <v>31</v>
      </c>
      <c r="AP17" s="212" t="n">
        <f aca="false">IF(A18="","",CHOOSE(F$3,A18+24,A17))</f>
        <v>37257</v>
      </c>
      <c r="AQ17" s="209" t="n">
        <f aca="false">IF(A18="","",AP17-$E$1)</f>
        <v>-8669</v>
      </c>
      <c r="AR17" s="185" t="n">
        <f aca="false">'ANR OK vs ML7'!AR17</f>
        <v>0.1</v>
      </c>
      <c r="AS17" s="213" t="n">
        <f aca="false">IF(A18="","",1/(1+CHOOSE(F$3,(AR18+($I$3/10000))/2,(AR17+($I$3/10000))/2))^(2*AQ17/365.25))</f>
        <v>10.1351879400128</v>
      </c>
      <c r="AT17" s="137" t="n">
        <f aca="false">IF(A18="","",IF(AND(mthbeg&lt;=A17,mthend&gt;=A17),1,0))</f>
        <v>1</v>
      </c>
      <c r="AU17" s="137" t="n">
        <f aca="false">IF(A18="","",AO17*AT17)</f>
        <v>31</v>
      </c>
      <c r="AW17" s="195" t="e">
        <f aca="false">IF($A18="","",AL17*$E17)</f>
        <v>#NAME?</v>
      </c>
      <c r="AX17" s="195" t="e">
        <f aca="false">IF($A18="","",AM17*$E17)</f>
        <v>#N/A</v>
      </c>
      <c r="AY17" s="195" t="e">
        <f aca="false">IF($A18="","",AN17*$E17)</f>
        <v>#N/A</v>
      </c>
      <c r="BA17" s="195" t="n">
        <f aca="false">IF($A18="","",F17*Summary!$Q$12)</f>
        <v>0</v>
      </c>
      <c r="BC17" s="179" t="e">
        <f aca="false">IF(A18="","",AM17*F17)</f>
        <v>#N/A</v>
      </c>
    </row>
    <row r="18" customFormat="false" ht="12.75" hidden="false" customHeight="false" outlineLevel="0" collapsed="false">
      <c r="A18" s="196" t="n">
        <f aca="false">IF(A17&lt;mthend,EDATE(A17,1),"")</f>
        <v>37288</v>
      </c>
      <c r="B18" s="197" t="n">
        <f aca="false">IF(A18&lt;mthend,B17,"")</f>
        <v>36522</v>
      </c>
      <c r="C18" s="215"/>
      <c r="D18" s="197" t="n">
        <f aca="false">IF(A19&lt;&gt;"",B18+C18,"")</f>
        <v>36522</v>
      </c>
      <c r="E18" s="199" t="n">
        <f aca="false">IF(A19="","",IF(AND(AT18=1,$H$3=1),D18*AO18,IF($H$3=2,D18,"N/A")))</f>
        <v>1022616</v>
      </c>
      <c r="F18" s="199" t="n">
        <f aca="false">IF(A19="","",E18*AS18)</f>
        <v>10278922.111735</v>
      </c>
      <c r="G18" s="200" t="e">
        <f aca="false">IF($A19="","",VLOOKUP($A18,Table,MATCH(G$4,Curves,0)))</f>
        <v>#N/A</v>
      </c>
      <c r="H18" s="201" t="e">
        <f aca="false">IF(A19="","",G18)</f>
        <v>#N/A</v>
      </c>
      <c r="I18" s="202"/>
      <c r="J18" s="200" t="e">
        <f aca="false">IF($A19="","",VLOOKUP($A18,Table,MATCH(J$4,Curves,0)))</f>
        <v>#N/A</v>
      </c>
      <c r="K18" s="201" t="e">
        <f aca="false">IF(A19="","",J18)</f>
        <v>#N/A</v>
      </c>
      <c r="L18" s="200" t="e">
        <f aca="false">IF($A19="","",VLOOKUP($A18,Table,MATCH(L$4,Curves,0)))</f>
        <v>#N/A</v>
      </c>
      <c r="M18" s="201" t="e">
        <f aca="false">IF(A19="","",L18)</f>
        <v>#N/A</v>
      </c>
      <c r="N18" s="203"/>
      <c r="O18" s="200" t="e">
        <f aca="false">IF(A19="","",L18+J18+G18)</f>
        <v>#N/A</v>
      </c>
      <c r="P18" s="200" t="e">
        <f aca="false">IF(A19="","",M18+K18+H18)</f>
        <v>#N/A</v>
      </c>
      <c r="Q18" s="204"/>
      <c r="R18" s="200" t="e">
        <f aca="false">IF($A19="","",VLOOKUP($A18,Table,MATCH(R$4,Curves,0)))</f>
        <v>#N/A</v>
      </c>
      <c r="S18" s="201" t="e">
        <f aca="false">IF(A19="","",R18)</f>
        <v>#N/A</v>
      </c>
      <c r="T18" s="200" t="e">
        <f aca="false">IF($A19="","",VLOOKUP($A18,Table,MATCH(T$4,Curves,0)))</f>
        <v>#N/A</v>
      </c>
      <c r="U18" s="201" t="e">
        <f aca="false">IF(A19="","",T18)</f>
        <v>#N/A</v>
      </c>
      <c r="V18" s="225" t="e">
        <f aca="false">IF($A19="","",IF(AND(MONTH(A18)&gt;3,MONTH(A18)&lt;11),(T18+R18+G18)*(((1/(1-Summary!$T$12))/(1-Summary!$W$12))-1),(T18+R18+G18)*((1/(1-Summary!$U$12))/(1-Summary!$X$12)-1)))</f>
        <v>#N/A</v>
      </c>
      <c r="W18" s="200" t="e">
        <f aca="false">IF($A19="","",(T18+R18+G18+V18))</f>
        <v>#N/A</v>
      </c>
      <c r="X18" s="200" t="e">
        <f aca="false">IF($A19="","",(U18+S18+H18+V18))</f>
        <v>#N/A</v>
      </c>
      <c r="Y18" s="202"/>
      <c r="Z18" s="185" t="e">
        <f aca="false">IF($A19="","",VLOOKUP($A18,Table,MATCH(Z$4,Curves,0)))</f>
        <v>#N/A</v>
      </c>
      <c r="AA18" s="185" t="e">
        <f aca="false">IF($A19="","",VLOOKUP($A18,Table,MATCH(AA$4,Curves,0)))</f>
        <v>#N/A</v>
      </c>
      <c r="AB18" s="185" t="e">
        <f aca="false">SQRT((AA18^2*(A18-$D$3)+Z18^2*(DAY(EOMONTH(A18,0))/2))/AK18)</f>
        <v>#N/A</v>
      </c>
      <c r="AC18" s="185" t="e">
        <f aca="false">IF($A19="","",VLOOKUP($A18,Table,MATCH(AC$4,Curves,0)))</f>
        <v>#N/A</v>
      </c>
      <c r="AD18" s="185" t="e">
        <f aca="false">IF($A19="","",VLOOKUP($A18,Table,MATCH(AD$4,Curves,0)))</f>
        <v>#N/A</v>
      </c>
      <c r="AE18" s="185" t="e">
        <f aca="false">SQRT((AD18^2*(A18-$D$3)+AC18^2*(DAY(EOMONTH(A18,0))/2))/AK18)</f>
        <v>#N/A</v>
      </c>
      <c r="AF18" s="206" t="e">
        <f aca="false">((Summary!$N$12*(AA18*AD18)*(A18-$D$3))+(Summary!$M$12*Z18*AC18*(AJ18-EOMONTH(EDATE(A18,-1),0))))/(AK18*AB18*AE18)</f>
        <v>#N/A</v>
      </c>
      <c r="AG18" s="207" t="n">
        <f aca="false">IF($A19="","",Summary!$Q$12)</f>
        <v>0</v>
      </c>
      <c r="AH18" s="207" t="n">
        <f aca="false">IF($A19="","",IF(Summary!$R$12="Y",(VLOOKUP($A18,Summary!$AD$6:$AF$9,3)+'Escalating commodity'!H31),'Escalating commodity'!H31))</f>
        <v>0.029</v>
      </c>
      <c r="AI18" s="207" t="n">
        <f aca="false">IF($A19="","",AH18)</f>
        <v>0.029</v>
      </c>
      <c r="AJ18" s="208" t="n">
        <f aca="false">A18+DAY(EOMONTH(A18,0))/2-1</f>
        <v>37301</v>
      </c>
      <c r="AK18" s="209" t="n">
        <f aca="false">IF($A19="","",$A18-$E$1)</f>
        <v>-8638</v>
      </c>
      <c r="AL18" s="182" t="e">
        <f aca="false">IF($A19="","",SPRDOPT(P18,X18,AI18,0,AB18,AE18,AF18,AK18,$AJ$2,0))</f>
        <v>#NAME?</v>
      </c>
      <c r="AM18" s="211" t="e">
        <f aca="false">IF($A19="","",MAX(0,O18-W18-AI18))</f>
        <v>#N/A</v>
      </c>
      <c r="AN18" s="211" t="e">
        <f aca="false">IF($A19="","",AL18-AM18)</f>
        <v>#N/A</v>
      </c>
      <c r="AO18" s="137" t="n">
        <f aca="false">IF(A19="","",A19-A18)</f>
        <v>28</v>
      </c>
      <c r="AP18" s="212" t="n">
        <f aca="false">IF(A19="","",CHOOSE(F$3,A19+24,A18))</f>
        <v>37288</v>
      </c>
      <c r="AQ18" s="209" t="n">
        <f aca="false">IF(A19="","",AP18-$E$1)</f>
        <v>-8638</v>
      </c>
      <c r="AR18" s="185" t="n">
        <f aca="false">'ANR OK vs ML7'!AR18</f>
        <v>0.1</v>
      </c>
      <c r="AS18" s="213" t="n">
        <f aca="false">IF(A19="","",1/(1+CHOOSE(F$3,(AR19+($I$3/10000))/2,(AR18+($I$3/10000))/2))^(2*AQ18/365.25))</f>
        <v>10.0515952339246</v>
      </c>
      <c r="AT18" s="137" t="n">
        <f aca="false">IF(A19="","",IF(AND(mthbeg&lt;=A18,mthend&gt;=A18),1,0))</f>
        <v>1</v>
      </c>
      <c r="AU18" s="137" t="n">
        <f aca="false">IF(A19="","",AO18*AT18)</f>
        <v>28</v>
      </c>
      <c r="AW18" s="195" t="e">
        <f aca="false">IF($A19="","",AL18*$E18)</f>
        <v>#NAME?</v>
      </c>
      <c r="AX18" s="195" t="e">
        <f aca="false">IF($A19="","",AM18*$E18)</f>
        <v>#N/A</v>
      </c>
      <c r="AY18" s="195" t="e">
        <f aca="false">IF($A19="","",AN18*$E18)</f>
        <v>#N/A</v>
      </c>
      <c r="BA18" s="195" t="n">
        <f aca="false">IF($A19="","",F18*Summary!$Q$12)</f>
        <v>0</v>
      </c>
      <c r="BC18" s="179" t="e">
        <f aca="false">IF(A19="","",AM18*F18)</f>
        <v>#N/A</v>
      </c>
    </row>
    <row r="19" customFormat="false" ht="12.75" hidden="false" customHeight="false" outlineLevel="0" collapsed="false">
      <c r="A19" s="196" t="n">
        <f aca="false">IF(A18&lt;mthend,EDATE(A18,1),"")</f>
        <v>37316</v>
      </c>
      <c r="B19" s="197" t="n">
        <f aca="false">IF(A19&lt;mthend,B18,"")</f>
        <v>36522</v>
      </c>
      <c r="C19" s="215"/>
      <c r="D19" s="197" t="n">
        <f aca="false">IF(A20&lt;&gt;"",B19+C19,"")</f>
        <v>36522</v>
      </c>
      <c r="E19" s="199" t="n">
        <f aca="false">IF(A20="","",IF(AND(AT19=1,$H$3=1),D19*AO19,IF($H$3=2,D19,"N/A")))</f>
        <v>1132182</v>
      </c>
      <c r="F19" s="199" t="n">
        <f aca="false">IF(A20="","",E19*AS19)</f>
        <v>11295423.0663321</v>
      </c>
      <c r="G19" s="200" t="e">
        <f aca="false">IF($A20="","",VLOOKUP($A19,Table,MATCH(G$4,Curves,0)))</f>
        <v>#N/A</v>
      </c>
      <c r="H19" s="201" t="e">
        <f aca="false">IF(A20="","",G19)</f>
        <v>#N/A</v>
      </c>
      <c r="I19" s="202"/>
      <c r="J19" s="200" t="e">
        <f aca="false">IF($A20="","",VLOOKUP($A19,Table,MATCH(J$4,Curves,0)))</f>
        <v>#N/A</v>
      </c>
      <c r="K19" s="201" t="e">
        <f aca="false">IF(A20="","",J19)</f>
        <v>#N/A</v>
      </c>
      <c r="L19" s="200" t="e">
        <f aca="false">IF($A20="","",VLOOKUP($A19,Table,MATCH(L$4,Curves,0)))</f>
        <v>#N/A</v>
      </c>
      <c r="M19" s="201" t="e">
        <f aca="false">IF(A20="","",L19)</f>
        <v>#N/A</v>
      </c>
      <c r="N19" s="203"/>
      <c r="O19" s="200" t="e">
        <f aca="false">IF(A20="","",L19+J19+G19)</f>
        <v>#N/A</v>
      </c>
      <c r="P19" s="200" t="e">
        <f aca="false">IF(A20="","",M19+K19+H19)</f>
        <v>#N/A</v>
      </c>
      <c r="Q19" s="204"/>
      <c r="R19" s="200" t="e">
        <f aca="false">IF($A20="","",VLOOKUP($A19,Table,MATCH(R$4,Curves,0)))</f>
        <v>#N/A</v>
      </c>
      <c r="S19" s="201" t="e">
        <f aca="false">IF(A20="","",R19)</f>
        <v>#N/A</v>
      </c>
      <c r="T19" s="200" t="e">
        <f aca="false">IF($A20="","",VLOOKUP($A19,Table,MATCH(T$4,Curves,0)))</f>
        <v>#N/A</v>
      </c>
      <c r="U19" s="201" t="e">
        <f aca="false">IF(A20="","",T19)</f>
        <v>#N/A</v>
      </c>
      <c r="V19" s="225" t="e">
        <f aca="false">IF($A20="","",IF(AND(MONTH(A19)&gt;3,MONTH(A19)&lt;11),(T19+R19+G19)*(((1/(1-Summary!$T$12))/(1-Summary!$W$12))-1),(T19+R19+G19)*((1/(1-Summary!$U$12))/(1-Summary!$X$12)-1)))</f>
        <v>#N/A</v>
      </c>
      <c r="W19" s="200" t="e">
        <f aca="false">IF($A20="","",(T19+R19+G19+V19))</f>
        <v>#N/A</v>
      </c>
      <c r="X19" s="200" t="e">
        <f aca="false">IF($A20="","",(U19+S19+H19+V19))</f>
        <v>#N/A</v>
      </c>
      <c r="Y19" s="202"/>
      <c r="Z19" s="185" t="e">
        <f aca="false">IF($A20="","",VLOOKUP($A19,Table,MATCH(Z$4,Curves,0)))</f>
        <v>#N/A</v>
      </c>
      <c r="AA19" s="185" t="e">
        <f aca="false">IF($A20="","",VLOOKUP($A19,Table,MATCH(AA$4,Curves,0)))</f>
        <v>#N/A</v>
      </c>
      <c r="AB19" s="185" t="e">
        <f aca="false">SQRT((AA19^2*(A19-$D$3)+Z19^2*(DAY(EOMONTH(A19,0))/2))/AK19)</f>
        <v>#N/A</v>
      </c>
      <c r="AC19" s="185" t="e">
        <f aca="false">IF($A20="","",VLOOKUP($A19,Table,MATCH(AC$4,Curves,0)))</f>
        <v>#N/A</v>
      </c>
      <c r="AD19" s="185" t="e">
        <f aca="false">IF($A20="","",VLOOKUP($A19,Table,MATCH(AD$4,Curves,0)))</f>
        <v>#N/A</v>
      </c>
      <c r="AE19" s="185" t="e">
        <f aca="false">SQRT((AD19^2*(A19-$D$3)+AC19^2*(DAY(EOMONTH(A19,0))/2))/AK19)</f>
        <v>#N/A</v>
      </c>
      <c r="AF19" s="206" t="e">
        <f aca="false">((Summary!$N$12*(AA19*AD19)*(A19-$D$3))+(Summary!$M$12*Z19*AC19*(AJ19-EOMONTH(EDATE(A19,-1),0))))/(AK19*AB19*AE19)</f>
        <v>#N/A</v>
      </c>
      <c r="AG19" s="207" t="n">
        <f aca="false">IF($A20="","",Summary!$Q$12)</f>
        <v>0</v>
      </c>
      <c r="AH19" s="207" t="n">
        <f aca="false">IF($A20="","",IF(Summary!$R$12="Y",(VLOOKUP($A19,Summary!$AD$6:$AF$9,3)+'Escalating commodity'!H32),'Escalating commodity'!H32))</f>
        <v>0.029</v>
      </c>
      <c r="AI19" s="207" t="n">
        <f aca="false">IF($A20="","",AH19)</f>
        <v>0.029</v>
      </c>
      <c r="AJ19" s="208" t="n">
        <f aca="false">A19+DAY(EOMONTH(A19,0))/2-1</f>
        <v>37330.5</v>
      </c>
      <c r="AK19" s="209" t="n">
        <f aca="false">IF($A20="","",$A19-$E$1)</f>
        <v>-8610</v>
      </c>
      <c r="AL19" s="182" t="e">
        <f aca="false">IF($A20="","",SPRDOPT(P19,X19,AI19,0,AB19,AE19,AF19,AK19,$AJ$2,0))</f>
        <v>#NAME?</v>
      </c>
      <c r="AM19" s="211" t="e">
        <f aca="false">IF($A20="","",MAX(0,O19-W19-AI19))</f>
        <v>#N/A</v>
      </c>
      <c r="AN19" s="211" t="e">
        <f aca="false">IF($A20="","",AL19-AM19)</f>
        <v>#N/A</v>
      </c>
      <c r="AO19" s="137" t="n">
        <f aca="false">IF(A20="","",A20-A19)</f>
        <v>31</v>
      </c>
      <c r="AP19" s="212" t="n">
        <f aca="false">IF(A20="","",CHOOSE(F$3,A20+24,A19))</f>
        <v>37316</v>
      </c>
      <c r="AQ19" s="209" t="n">
        <f aca="false">IF(A20="","",AP19-$E$1)</f>
        <v>-8610</v>
      </c>
      <c r="AR19" s="185" t="n">
        <f aca="false">'ANR OK vs ML7'!AR19</f>
        <v>0.1</v>
      </c>
      <c r="AS19" s="213" t="n">
        <f aca="false">IF(A20="","",1/(1+CHOOSE(F$3,(AR20+($I$3/10000))/2,(AR19+($I$3/10000))/2))^(2*AQ19/365.25))</f>
        <v>9.97668490254406</v>
      </c>
      <c r="AT19" s="137" t="n">
        <f aca="false">IF(A20="","",IF(AND(mthbeg&lt;=A19,mthend&gt;=A19),1,0))</f>
        <v>1</v>
      </c>
      <c r="AU19" s="137" t="n">
        <f aca="false">IF(A20="","",AO19*AT19)</f>
        <v>31</v>
      </c>
      <c r="AW19" s="195" t="e">
        <f aca="false">IF($A20="","",AL19*$E19)</f>
        <v>#NAME?</v>
      </c>
      <c r="AX19" s="195" t="e">
        <f aca="false">IF($A20="","",AM19*$E19)</f>
        <v>#N/A</v>
      </c>
      <c r="AY19" s="195" t="e">
        <f aca="false">IF($A20="","",AN19*$E19)</f>
        <v>#N/A</v>
      </c>
      <c r="BA19" s="195" t="n">
        <f aca="false">IF($A20="","",F19*Summary!$Q$12)</f>
        <v>0</v>
      </c>
      <c r="BC19" s="179" t="e">
        <f aca="false">IF(A20="","",AM19*F19)</f>
        <v>#N/A</v>
      </c>
    </row>
    <row r="20" customFormat="false" ht="12.75" hidden="false" customHeight="false" outlineLevel="0" collapsed="false">
      <c r="A20" s="196" t="n">
        <f aca="false">IF(A19&lt;mthend,EDATE(A19,1),"")</f>
        <v>37347</v>
      </c>
      <c r="B20" s="197" t="n">
        <f aca="false">IF(A20&lt;mthend,B19,"")</f>
        <v>36522</v>
      </c>
      <c r="C20" s="215"/>
      <c r="D20" s="197" t="n">
        <f aca="false">IF(A21&lt;&gt;"",B20+C20,"")</f>
        <v>36522</v>
      </c>
      <c r="E20" s="199" t="n">
        <f aca="false">IF(A21="","",IF(AND(AT20=1,$H$3=1),D20*AO20,IF($H$3=2,D20,"N/A")))</f>
        <v>1095660</v>
      </c>
      <c r="F20" s="199" t="n">
        <f aca="false">IF(A21="","",E20*AS20)</f>
        <v>10840897.7486795</v>
      </c>
      <c r="G20" s="200" t="e">
        <f aca="false">IF($A21="","",VLOOKUP($A20,Table,MATCH(G$4,Curves,0)))</f>
        <v>#N/A</v>
      </c>
      <c r="H20" s="201" t="e">
        <f aca="false">IF(A21="","",G20)</f>
        <v>#N/A</v>
      </c>
      <c r="I20" s="202"/>
      <c r="J20" s="200" t="e">
        <f aca="false">IF($A21="","",VLOOKUP($A20,Table,MATCH(J$4,Curves,0)))</f>
        <v>#N/A</v>
      </c>
      <c r="K20" s="201" t="e">
        <f aca="false">IF(A21="","",J20)</f>
        <v>#N/A</v>
      </c>
      <c r="L20" s="200" t="e">
        <f aca="false">IF($A21="","",VLOOKUP($A20,Table,MATCH(L$4,Curves,0)))</f>
        <v>#N/A</v>
      </c>
      <c r="M20" s="201" t="e">
        <f aca="false">IF(A21="","",L20)</f>
        <v>#N/A</v>
      </c>
      <c r="N20" s="203"/>
      <c r="O20" s="200" t="e">
        <f aca="false">IF(A21="","",L20+J20+G20)</f>
        <v>#N/A</v>
      </c>
      <c r="P20" s="200" t="e">
        <f aca="false">IF(A21="","",M20+K20+H20)</f>
        <v>#N/A</v>
      </c>
      <c r="Q20" s="204"/>
      <c r="R20" s="200" t="e">
        <f aca="false">IF($A21="","",VLOOKUP($A20,Table,MATCH(R$4,Curves,0)))</f>
        <v>#N/A</v>
      </c>
      <c r="S20" s="201" t="e">
        <f aca="false">IF(A21="","",R20)</f>
        <v>#N/A</v>
      </c>
      <c r="T20" s="200" t="e">
        <f aca="false">IF($A21="","",VLOOKUP($A20,Table,MATCH(T$4,Curves,0)))</f>
        <v>#N/A</v>
      </c>
      <c r="U20" s="201" t="e">
        <f aca="false">IF(A21="","",T20)</f>
        <v>#N/A</v>
      </c>
      <c r="V20" s="225" t="e">
        <f aca="false">IF($A21="","",IF(AND(MONTH(A20)&gt;3,MONTH(A20)&lt;11),(T20+R20+G20)*(((1/(1-Summary!$T$12))/(1-Summary!$W$12))-1),(T20+R20+G20)*((1/(1-Summary!$U$12))/(1-Summary!$X$12)-1)))</f>
        <v>#N/A</v>
      </c>
      <c r="W20" s="200" t="e">
        <f aca="false">IF($A21="","",(T20+R20+G20+V20))</f>
        <v>#N/A</v>
      </c>
      <c r="X20" s="200" t="e">
        <f aca="false">IF($A21="","",(U20+S20+H20+V20))</f>
        <v>#N/A</v>
      </c>
      <c r="Y20" s="202"/>
      <c r="Z20" s="185" t="e">
        <f aca="false">IF($A21="","",VLOOKUP($A20,Table,MATCH(Z$4,Curves,0)))</f>
        <v>#N/A</v>
      </c>
      <c r="AA20" s="185" t="e">
        <f aca="false">IF($A21="","",VLOOKUP($A20,Table,MATCH(AA$4,Curves,0)))</f>
        <v>#N/A</v>
      </c>
      <c r="AB20" s="185" t="e">
        <f aca="false">SQRT((AA20^2*(A20-$D$3)+Z20^2*(DAY(EOMONTH(A20,0))/2))/AK20)</f>
        <v>#N/A</v>
      </c>
      <c r="AC20" s="185" t="e">
        <f aca="false">IF($A21="","",VLOOKUP($A20,Table,MATCH(AC$4,Curves,0)))</f>
        <v>#N/A</v>
      </c>
      <c r="AD20" s="185" t="e">
        <f aca="false">IF($A21="","",VLOOKUP($A20,Table,MATCH(AD$4,Curves,0)))</f>
        <v>#N/A</v>
      </c>
      <c r="AE20" s="185" t="e">
        <f aca="false">SQRT((AD20^2*(A20-$D$3)+AC20^2*(DAY(EOMONTH(A20,0))/2))/AK20)</f>
        <v>#N/A</v>
      </c>
      <c r="AF20" s="206" t="e">
        <f aca="false">((Summary!$N$12*(AA20*AD20)*(A20-$D$3))+(Summary!$M$12*Z20*AC20*(AJ20-EOMONTH(EDATE(A20,-1),0))))/(AK20*AB20*AE20)</f>
        <v>#N/A</v>
      </c>
      <c r="AG20" s="207" t="n">
        <f aca="false">IF($A21="","",Summary!$Q$12)</f>
        <v>0</v>
      </c>
      <c r="AH20" s="207" t="n">
        <f aca="false">IF($A21="","",IF(Summary!$R$12="Y",(VLOOKUP($A20,Summary!$AD$6:$AF$9,3)+'Escalating commodity'!H33),'Escalating commodity'!H33))</f>
        <v>0.029</v>
      </c>
      <c r="AI20" s="207" t="n">
        <f aca="false">IF($A21="","",AH20)</f>
        <v>0.029</v>
      </c>
      <c r="AJ20" s="208" t="n">
        <f aca="false">A20+DAY(EOMONTH(A20,0))/2-1</f>
        <v>37361</v>
      </c>
      <c r="AK20" s="209" t="n">
        <f aca="false">IF($A21="","",$A20-$E$1)</f>
        <v>-8579</v>
      </c>
      <c r="AL20" s="182" t="e">
        <f aca="false">IF($A21="","",SPRDOPT(P20,X20,AI20,0,AB20,AE20,AF20,AK20,$AJ$2,0))</f>
        <v>#NAME?</v>
      </c>
      <c r="AM20" s="211" t="e">
        <f aca="false">IF($A21="","",MAX(0,O20-W20-AI20))</f>
        <v>#N/A</v>
      </c>
      <c r="AN20" s="211" t="e">
        <f aca="false">IF($A21="","",AL20-AM20)</f>
        <v>#N/A</v>
      </c>
      <c r="AO20" s="137" t="n">
        <f aca="false">IF(A21="","",A21-A20)</f>
        <v>30</v>
      </c>
      <c r="AP20" s="212" t="n">
        <f aca="false">IF(A21="","",CHOOSE(F$3,A21+24,A20))</f>
        <v>37347</v>
      </c>
      <c r="AQ20" s="209" t="n">
        <f aca="false">IF(A21="","",AP20-$E$1)</f>
        <v>-8579</v>
      </c>
      <c r="AR20" s="185" t="n">
        <f aca="false">'ANR OK vs ML7'!AR20</f>
        <v>0.1</v>
      </c>
      <c r="AS20" s="213" t="n">
        <f aca="false">IF(A21="","",1/(1+CHOOSE(F$3,(AR21+($I$3/10000))/2,(AR20+($I$3/10000))/2))^(2*AQ20/365.25))</f>
        <v>9.89439949316346</v>
      </c>
      <c r="AT20" s="137" t="n">
        <f aca="false">IF(A21="","",IF(AND(mthbeg&lt;=A20,mthend&gt;=A20),1,0))</f>
        <v>1</v>
      </c>
      <c r="AU20" s="137" t="n">
        <f aca="false">IF(A21="","",AO20*AT20)</f>
        <v>30</v>
      </c>
      <c r="AW20" s="195" t="e">
        <f aca="false">IF($A21="","",AL20*$E20)</f>
        <v>#NAME?</v>
      </c>
      <c r="AX20" s="195" t="e">
        <f aca="false">IF($A21="","",AM20*$E20)</f>
        <v>#N/A</v>
      </c>
      <c r="AY20" s="195" t="e">
        <f aca="false">IF($A21="","",AN20*$E20)</f>
        <v>#N/A</v>
      </c>
      <c r="BA20" s="195" t="n">
        <f aca="false">IF($A21="","",F20*Summary!$Q$12)</f>
        <v>0</v>
      </c>
      <c r="BC20" s="179" t="e">
        <f aca="false">IF(A21="","",AM20*F20)</f>
        <v>#N/A</v>
      </c>
    </row>
    <row r="21" customFormat="false" ht="12.75" hidden="false" customHeight="false" outlineLevel="0" collapsed="false">
      <c r="A21" s="196" t="n">
        <f aca="false">IF(A20&lt;mthend,EDATE(A20,1),"")</f>
        <v>37377</v>
      </c>
      <c r="B21" s="197" t="n">
        <f aca="false">IF(A21&lt;mthend,B20,"")</f>
        <v>36522</v>
      </c>
      <c r="C21" s="215"/>
      <c r="D21" s="197" t="n">
        <f aca="false">IF(A22&lt;&gt;"",B21+C21,"")</f>
        <v>36522</v>
      </c>
      <c r="E21" s="199" t="n">
        <f aca="false">IF(A22="","",IF(AND(AT21=1,$H$3=1),D21*AO21,IF($H$3=2,D21,"N/A")))</f>
        <v>1132182</v>
      </c>
      <c r="F21" s="199" t="n">
        <f aca="false">IF(A22="","",E21*AS21)</f>
        <v>11112835.8397884</v>
      </c>
      <c r="G21" s="200" t="e">
        <f aca="false">IF($A22="","",VLOOKUP($A21,Table,MATCH(G$4,Curves,0)))</f>
        <v>#N/A</v>
      </c>
      <c r="H21" s="201" t="e">
        <f aca="false">IF(A22="","",G21)</f>
        <v>#N/A</v>
      </c>
      <c r="I21" s="202"/>
      <c r="J21" s="200" t="e">
        <f aca="false">IF($A22="","",VLOOKUP($A21,Table,MATCH(J$4,Curves,0)))</f>
        <v>#N/A</v>
      </c>
      <c r="K21" s="201" t="e">
        <f aca="false">IF(A22="","",J21)</f>
        <v>#N/A</v>
      </c>
      <c r="L21" s="200" t="e">
        <f aca="false">IF($A22="","",VLOOKUP($A21,Table,MATCH(L$4,Curves,0)))</f>
        <v>#N/A</v>
      </c>
      <c r="M21" s="201" t="e">
        <f aca="false">IF(A22="","",L21)</f>
        <v>#N/A</v>
      </c>
      <c r="N21" s="203"/>
      <c r="O21" s="200" t="e">
        <f aca="false">IF(A22="","",L21+J21+G21)</f>
        <v>#N/A</v>
      </c>
      <c r="P21" s="200" t="e">
        <f aca="false">IF(A22="","",M21+K21+H21)</f>
        <v>#N/A</v>
      </c>
      <c r="Q21" s="204"/>
      <c r="R21" s="200" t="e">
        <f aca="false">IF($A22="","",VLOOKUP($A21,Table,MATCH(R$4,Curves,0)))</f>
        <v>#N/A</v>
      </c>
      <c r="S21" s="201" t="e">
        <f aca="false">IF(A22="","",R21)</f>
        <v>#N/A</v>
      </c>
      <c r="T21" s="200" t="e">
        <f aca="false">IF($A22="","",VLOOKUP($A21,Table,MATCH(T$4,Curves,0)))</f>
        <v>#N/A</v>
      </c>
      <c r="U21" s="201" t="e">
        <f aca="false">IF(A22="","",T21)</f>
        <v>#N/A</v>
      </c>
      <c r="V21" s="225" t="e">
        <f aca="false">IF($A22="","",IF(AND(MONTH(A21)&gt;3,MONTH(A21)&lt;11),(T21+R21+G21)*(((1/(1-Summary!$T$12))/(1-Summary!$W$12))-1),(T21+R21+G21)*((1/(1-Summary!$U$12))/(1-Summary!$X$12)-1)))</f>
        <v>#N/A</v>
      </c>
      <c r="W21" s="200" t="e">
        <f aca="false">IF($A22="","",(T21+R21+G21+V21))</f>
        <v>#N/A</v>
      </c>
      <c r="X21" s="200" t="e">
        <f aca="false">IF($A22="","",(U21+S21+H21+V21))</f>
        <v>#N/A</v>
      </c>
      <c r="Y21" s="202"/>
      <c r="Z21" s="185" t="e">
        <f aca="false">IF($A22="","",VLOOKUP($A21,Table,MATCH(Z$4,Curves,0)))</f>
        <v>#N/A</v>
      </c>
      <c r="AA21" s="185" t="e">
        <f aca="false">IF($A22="","",VLOOKUP($A21,Table,MATCH(AA$4,Curves,0)))</f>
        <v>#N/A</v>
      </c>
      <c r="AB21" s="185" t="e">
        <f aca="false">SQRT((AA21^2*(A21-$D$3)+Z21^2*(DAY(EOMONTH(A21,0))/2))/AK21)</f>
        <v>#N/A</v>
      </c>
      <c r="AC21" s="185" t="e">
        <f aca="false">IF($A22="","",VLOOKUP($A21,Table,MATCH(AC$4,Curves,0)))</f>
        <v>#N/A</v>
      </c>
      <c r="AD21" s="185" t="e">
        <f aca="false">IF($A22="","",VLOOKUP($A21,Table,MATCH(AD$4,Curves,0)))</f>
        <v>#N/A</v>
      </c>
      <c r="AE21" s="185" t="e">
        <f aca="false">SQRT((AD21^2*(A21-$D$3)+AC21^2*(DAY(EOMONTH(A21,0))/2))/AK21)</f>
        <v>#N/A</v>
      </c>
      <c r="AF21" s="206" t="e">
        <f aca="false">((Summary!$N$12*(AA21*AD21)*(A21-$D$3))+(Summary!$M$12*Z21*AC21*(AJ21-EOMONTH(EDATE(A21,-1),0))))/(AK21*AB21*AE21)</f>
        <v>#N/A</v>
      </c>
      <c r="AG21" s="207" t="n">
        <f aca="false">IF($A22="","",Summary!$Q$12)</f>
        <v>0</v>
      </c>
      <c r="AH21" s="207" t="n">
        <f aca="false">IF($A22="","",IF(Summary!$R$12="Y",(VLOOKUP($A21,Summary!$AD$6:$AF$9,3)+'Escalating commodity'!H34),'Escalating commodity'!H34))</f>
        <v>0.029</v>
      </c>
      <c r="AI21" s="207" t="n">
        <f aca="false">IF($A22="","",AH21)</f>
        <v>0.029</v>
      </c>
      <c r="AJ21" s="208" t="n">
        <f aca="false">A21+DAY(EOMONTH(A21,0))/2-1</f>
        <v>37391.5</v>
      </c>
      <c r="AK21" s="209" t="n">
        <f aca="false">IF($A22="","",$A21-$E$1)</f>
        <v>-8549</v>
      </c>
      <c r="AL21" s="182" t="e">
        <f aca="false">IF($A22="","",SPRDOPT(P21,X21,AI21,0,AB21,AE21,AF21,AK21,$AJ$2,0))</f>
        <v>#NAME?</v>
      </c>
      <c r="AM21" s="211" t="e">
        <f aca="false">IF($A22="","",MAX(0,O21-W21-AI21))</f>
        <v>#N/A</v>
      </c>
      <c r="AN21" s="211" t="e">
        <f aca="false">IF($A22="","",AL21-AM21)</f>
        <v>#N/A</v>
      </c>
      <c r="AO21" s="137" t="n">
        <f aca="false">IF(A22="","",A22-A21)</f>
        <v>31</v>
      </c>
      <c r="AP21" s="212" t="n">
        <f aca="false">IF(A22="","",CHOOSE(F$3,A22+24,A21))</f>
        <v>37377</v>
      </c>
      <c r="AQ21" s="209" t="n">
        <f aca="false">IF(A22="","",AP21-$E$1)</f>
        <v>-8549</v>
      </c>
      <c r="AR21" s="185" t="n">
        <f aca="false">'ANR OK vs ML7'!AR21</f>
        <v>0.1</v>
      </c>
      <c r="AS21" s="213" t="n">
        <f aca="false">IF(A22="","",1/(1+CHOOSE(F$3,(AR22+($I$3/10000))/2,(AR21+($I$3/10000))/2))^(2*AQ21/365.25))</f>
        <v>9.81541469462368</v>
      </c>
      <c r="AT21" s="137" t="n">
        <f aca="false">IF(A22="","",IF(AND(mthbeg&lt;=A21,mthend&gt;=A21),1,0))</f>
        <v>1</v>
      </c>
      <c r="AU21" s="137" t="n">
        <f aca="false">IF(A22="","",AO21*AT21)</f>
        <v>31</v>
      </c>
      <c r="AW21" s="195" t="e">
        <f aca="false">IF($A22="","",AL21*$E21)</f>
        <v>#NAME?</v>
      </c>
      <c r="AX21" s="195" t="e">
        <f aca="false">IF($A22="","",AM21*$E21)</f>
        <v>#N/A</v>
      </c>
      <c r="AY21" s="195" t="e">
        <f aca="false">IF($A22="","",AN21*$E21)</f>
        <v>#N/A</v>
      </c>
      <c r="BA21" s="195" t="n">
        <f aca="false">IF($A22="","",F21*Summary!$Q$12)</f>
        <v>0</v>
      </c>
      <c r="BC21" s="179" t="e">
        <f aca="false">IF(A22="","",AM21*F21)</f>
        <v>#N/A</v>
      </c>
    </row>
    <row r="22" customFormat="false" ht="12.75" hidden="false" customHeight="false" outlineLevel="0" collapsed="false">
      <c r="A22" s="196" t="n">
        <f aca="false">IF(A21&lt;mthend,EDATE(A21,1),"")</f>
        <v>37408</v>
      </c>
      <c r="B22" s="197" t="n">
        <f aca="false">IF(A22&lt;mthend,B21,"")</f>
        <v>36522</v>
      </c>
      <c r="C22" s="215"/>
      <c r="D22" s="197" t="n">
        <f aca="false">IF(A23&lt;&gt;"",B22+C22,"")</f>
        <v>36522</v>
      </c>
      <c r="E22" s="199" t="n">
        <f aca="false">IF(A23="","",IF(AND(AT22=1,$H$3=1),D22*AO22,IF($H$3=2,D22,"N/A")))</f>
        <v>1095660</v>
      </c>
      <c r="F22" s="199" t="n">
        <f aca="false">IF(A23="","",E22*AS22)</f>
        <v>10665657.7916145</v>
      </c>
      <c r="G22" s="200" t="e">
        <f aca="false">IF($A23="","",VLOOKUP($A22,Table,MATCH(G$4,Curves,0)))</f>
        <v>#N/A</v>
      </c>
      <c r="H22" s="201" t="e">
        <f aca="false">IF(A23="","",G22)</f>
        <v>#N/A</v>
      </c>
      <c r="I22" s="202"/>
      <c r="J22" s="200" t="e">
        <f aca="false">IF($A23="","",VLOOKUP($A22,Table,MATCH(J$4,Curves,0)))</f>
        <v>#N/A</v>
      </c>
      <c r="K22" s="201" t="e">
        <f aca="false">IF(A23="","",J22)</f>
        <v>#N/A</v>
      </c>
      <c r="L22" s="200" t="e">
        <f aca="false">IF($A23="","",VLOOKUP($A22,Table,MATCH(L$4,Curves,0)))</f>
        <v>#N/A</v>
      </c>
      <c r="M22" s="201" t="e">
        <f aca="false">IF(A23="","",L22)</f>
        <v>#N/A</v>
      </c>
      <c r="N22" s="203"/>
      <c r="O22" s="200" t="e">
        <f aca="false">IF(A23="","",L22+J22+G22)</f>
        <v>#N/A</v>
      </c>
      <c r="P22" s="200" t="e">
        <f aca="false">IF(A23="","",M22+K22+H22)</f>
        <v>#N/A</v>
      </c>
      <c r="Q22" s="204"/>
      <c r="R22" s="200" t="e">
        <f aca="false">IF($A23="","",VLOOKUP($A22,Table,MATCH(R$4,Curves,0)))</f>
        <v>#N/A</v>
      </c>
      <c r="S22" s="201" t="e">
        <f aca="false">IF(A23="","",R22)</f>
        <v>#N/A</v>
      </c>
      <c r="T22" s="200" t="e">
        <f aca="false">IF($A23="","",VLOOKUP($A22,Table,MATCH(T$4,Curves,0)))</f>
        <v>#N/A</v>
      </c>
      <c r="U22" s="201" t="e">
        <f aca="false">IF(A23="","",T22)</f>
        <v>#N/A</v>
      </c>
      <c r="V22" s="225" t="e">
        <f aca="false">IF($A23="","",IF(AND(MONTH(A22)&gt;3,MONTH(A22)&lt;11),(T22+R22+G22)*(((1/(1-Summary!$T$12))/(1-Summary!$W$12))-1),(T22+R22+G22)*((1/(1-Summary!$U$12))/(1-Summary!$X$12)-1)))</f>
        <v>#N/A</v>
      </c>
      <c r="W22" s="200" t="e">
        <f aca="false">IF($A23="","",(T22+R22+G22+V22))</f>
        <v>#N/A</v>
      </c>
      <c r="X22" s="200" t="e">
        <f aca="false">IF($A23="","",(U22+S22+H22+V22))</f>
        <v>#N/A</v>
      </c>
      <c r="Y22" s="202"/>
      <c r="Z22" s="185" t="e">
        <f aca="false">IF($A23="","",VLOOKUP($A22,Table,MATCH(Z$4,Curves,0)))</f>
        <v>#N/A</v>
      </c>
      <c r="AA22" s="185" t="e">
        <f aca="false">IF($A23="","",VLOOKUP($A22,Table,MATCH(AA$4,Curves,0)))</f>
        <v>#N/A</v>
      </c>
      <c r="AB22" s="185" t="e">
        <f aca="false">SQRT((AA22^2*(A22-$D$3)+Z22^2*(DAY(EOMONTH(A22,0))/2))/AK22)</f>
        <v>#N/A</v>
      </c>
      <c r="AC22" s="185" t="e">
        <f aca="false">IF($A23="","",VLOOKUP($A22,Table,MATCH(AC$4,Curves,0)))</f>
        <v>#N/A</v>
      </c>
      <c r="AD22" s="185" t="e">
        <f aca="false">IF($A23="","",VLOOKUP($A22,Table,MATCH(AD$4,Curves,0)))</f>
        <v>#N/A</v>
      </c>
      <c r="AE22" s="185" t="e">
        <f aca="false">SQRT((AD22^2*(A22-$D$3)+AC22^2*(DAY(EOMONTH(A22,0))/2))/AK22)</f>
        <v>#N/A</v>
      </c>
      <c r="AF22" s="206" t="e">
        <f aca="false">((Summary!$N$12*(AA22*AD22)*(A22-$D$3))+(Summary!$M$12*Z22*AC22*(AJ22-EOMONTH(EDATE(A22,-1),0))))/(AK22*AB22*AE22)</f>
        <v>#N/A</v>
      </c>
      <c r="AG22" s="207" t="n">
        <f aca="false">IF($A23="","",Summary!$Q$12)</f>
        <v>0</v>
      </c>
      <c r="AH22" s="207" t="n">
        <f aca="false">IF($A23="","",IF(Summary!$R$12="Y",(VLOOKUP($A22,Summary!$AD$6:$AF$9,3)+'Escalating commodity'!H35),'Escalating commodity'!H35))</f>
        <v>0.029</v>
      </c>
      <c r="AI22" s="207" t="n">
        <f aca="false">IF($A23="","",AH22)</f>
        <v>0.029</v>
      </c>
      <c r="AJ22" s="208" t="n">
        <f aca="false">A22+DAY(EOMONTH(A22,0))/2-1</f>
        <v>37422</v>
      </c>
      <c r="AK22" s="209" t="n">
        <f aca="false">IF($A23="","",$A22-$E$1)</f>
        <v>-8518</v>
      </c>
      <c r="AL22" s="182" t="e">
        <f aca="false">IF($A23="","",SPRDOPT(P22,X22,AI22,0,AB22,AE22,AF22,AK22,$AJ$2,0))</f>
        <v>#NAME?</v>
      </c>
      <c r="AM22" s="211" t="e">
        <f aca="false">IF($A23="","",MAX(0,O22-W22-AI22))</f>
        <v>#N/A</v>
      </c>
      <c r="AN22" s="211" t="e">
        <f aca="false">IF($A23="","",AL22-AM22)</f>
        <v>#N/A</v>
      </c>
      <c r="AO22" s="137" t="n">
        <f aca="false">IF(A23="","",A23-A22)</f>
        <v>30</v>
      </c>
      <c r="AP22" s="212" t="n">
        <f aca="false">IF(A23="","",CHOOSE(F$3,A23+24,A22))</f>
        <v>37408</v>
      </c>
      <c r="AQ22" s="209" t="n">
        <f aca="false">IF(A23="","",AP22-$E$1)</f>
        <v>-8518</v>
      </c>
      <c r="AR22" s="185" t="n">
        <f aca="false">'ANR OK vs ML7'!AR22</f>
        <v>0.1</v>
      </c>
      <c r="AS22" s="213" t="n">
        <f aca="false">IF(A23="","",1/(1+CHOOSE(F$3,(AR23+($I$3/10000))/2,(AR22+($I$3/10000))/2))^(2*AQ22/365.25))</f>
        <v>9.73445940493808</v>
      </c>
      <c r="AT22" s="137" t="n">
        <f aca="false">IF(A23="","",IF(AND(mthbeg&lt;=A22,mthend&gt;=A22),1,0))</f>
        <v>1</v>
      </c>
      <c r="AU22" s="137" t="n">
        <f aca="false">IF(A23="","",AO22*AT22)</f>
        <v>30</v>
      </c>
      <c r="AW22" s="195" t="e">
        <f aca="false">IF($A23="","",AL22*$E22)</f>
        <v>#NAME?</v>
      </c>
      <c r="AX22" s="195" t="e">
        <f aca="false">IF($A23="","",AM22*$E22)</f>
        <v>#N/A</v>
      </c>
      <c r="AY22" s="195" t="e">
        <f aca="false">IF($A23="","",AN22*$E22)</f>
        <v>#N/A</v>
      </c>
      <c r="BA22" s="195" t="n">
        <f aca="false">IF($A23="","",F22*Summary!$Q$12)</f>
        <v>0</v>
      </c>
      <c r="BC22" s="179" t="e">
        <f aca="false">IF(A23="","",AM22*F22)</f>
        <v>#N/A</v>
      </c>
    </row>
    <row r="23" customFormat="false" ht="12.75" hidden="false" customHeight="false" outlineLevel="0" collapsed="false">
      <c r="A23" s="196" t="n">
        <f aca="false">IF(A22&lt;mthend,EDATE(A22,1),"")</f>
        <v>37438</v>
      </c>
      <c r="B23" s="197" t="n">
        <f aca="false">IF(A23&lt;mthend,B22,"")</f>
        <v>36522</v>
      </c>
      <c r="C23" s="215"/>
      <c r="D23" s="197" t="n">
        <f aca="false">IF(A24&lt;&gt;"",B23+C23,"")</f>
        <v>36522</v>
      </c>
      <c r="E23" s="199" t="n">
        <f aca="false">IF(A24="","",IF(AND(AT23=1,$H$3=1),D23*AO23,IF($H$3=2,D23,"N/A")))</f>
        <v>1132182</v>
      </c>
      <c r="F23" s="199" t="n">
        <f aca="false">IF(A24="","",E23*AS23)</f>
        <v>10933200.0826232</v>
      </c>
      <c r="G23" s="200" t="e">
        <f aca="false">IF($A24="","",VLOOKUP($A23,Table,MATCH(G$4,Curves,0)))</f>
        <v>#N/A</v>
      </c>
      <c r="H23" s="201" t="e">
        <f aca="false">IF(A24="","",G23)</f>
        <v>#N/A</v>
      </c>
      <c r="I23" s="202"/>
      <c r="J23" s="200" t="e">
        <f aca="false">IF($A24="","",VLOOKUP($A23,Table,MATCH(J$4,Curves,0)))</f>
        <v>#N/A</v>
      </c>
      <c r="K23" s="201" t="e">
        <f aca="false">IF(A24="","",J23)</f>
        <v>#N/A</v>
      </c>
      <c r="L23" s="200" t="e">
        <f aca="false">IF($A24="","",VLOOKUP($A23,Table,MATCH(L$4,Curves,0)))</f>
        <v>#N/A</v>
      </c>
      <c r="M23" s="201" t="e">
        <f aca="false">IF(A24="","",L23)</f>
        <v>#N/A</v>
      </c>
      <c r="N23" s="203"/>
      <c r="O23" s="200" t="e">
        <f aca="false">IF(A24="","",L23+J23+G23)</f>
        <v>#N/A</v>
      </c>
      <c r="P23" s="200" t="e">
        <f aca="false">IF(A24="","",M23+K23+H23)</f>
        <v>#N/A</v>
      </c>
      <c r="Q23" s="204"/>
      <c r="R23" s="200" t="e">
        <f aca="false">IF($A24="","",VLOOKUP($A23,Table,MATCH(R$4,Curves,0)))</f>
        <v>#N/A</v>
      </c>
      <c r="S23" s="201" t="e">
        <f aca="false">IF(A24="","",R23)</f>
        <v>#N/A</v>
      </c>
      <c r="T23" s="200" t="e">
        <f aca="false">IF($A24="","",VLOOKUP($A23,Table,MATCH(T$4,Curves,0)))</f>
        <v>#N/A</v>
      </c>
      <c r="U23" s="201" t="e">
        <f aca="false">IF(A24="","",T23)</f>
        <v>#N/A</v>
      </c>
      <c r="V23" s="225" t="e">
        <f aca="false">IF($A24="","",IF(AND(MONTH(A23)&gt;3,MONTH(A23)&lt;11),(T23+R23+G23)*(((1/(1-Summary!$T$12))/(1-Summary!$W$12))-1),(T23+R23+G23)*((1/(1-Summary!$U$12))/(1-Summary!$X$12)-1)))</f>
        <v>#N/A</v>
      </c>
      <c r="W23" s="200" t="e">
        <f aca="false">IF($A24="","",(T23+R23+G23+V23))</f>
        <v>#N/A</v>
      </c>
      <c r="X23" s="200" t="e">
        <f aca="false">IF($A24="","",(U23+S23+H23+V23))</f>
        <v>#N/A</v>
      </c>
      <c r="Y23" s="202"/>
      <c r="Z23" s="185" t="e">
        <f aca="false">IF($A24="","",VLOOKUP($A23,Table,MATCH(Z$4,Curves,0)))</f>
        <v>#N/A</v>
      </c>
      <c r="AA23" s="185" t="e">
        <f aca="false">IF($A24="","",VLOOKUP($A23,Table,MATCH(AA$4,Curves,0)))</f>
        <v>#N/A</v>
      </c>
      <c r="AB23" s="185" t="e">
        <f aca="false">SQRT((AA23^2*(A23-$D$3)+Z23^2*(DAY(EOMONTH(A23,0))/2))/AK23)</f>
        <v>#N/A</v>
      </c>
      <c r="AC23" s="185" t="e">
        <f aca="false">IF($A24="","",VLOOKUP($A23,Table,MATCH(AC$4,Curves,0)))</f>
        <v>#N/A</v>
      </c>
      <c r="AD23" s="185" t="e">
        <f aca="false">IF($A24="","",VLOOKUP($A23,Table,MATCH(AD$4,Curves,0)))</f>
        <v>#N/A</v>
      </c>
      <c r="AE23" s="185" t="e">
        <f aca="false">SQRT((AD23^2*(A23-$D$3)+AC23^2*(DAY(EOMONTH(A23,0))/2))/AK23)</f>
        <v>#N/A</v>
      </c>
      <c r="AF23" s="206" t="e">
        <f aca="false">((Summary!$N$12*(AA23*AD23)*(A23-$D$3))+(Summary!$M$12*Z23*AC23*(AJ23-EOMONTH(EDATE(A23,-1),0))))/(AK23*AB23*AE23)</f>
        <v>#N/A</v>
      </c>
      <c r="AG23" s="207" t="n">
        <f aca="false">IF($A24="","",Summary!$Q$12)</f>
        <v>0</v>
      </c>
      <c r="AH23" s="207" t="n">
        <f aca="false">IF($A24="","",IF(Summary!$R$12="Y",(VLOOKUP($A23,Summary!$AD$6:$AF$9,3)+'Escalating commodity'!H36),'Escalating commodity'!H36))</f>
        <v>0.029</v>
      </c>
      <c r="AI23" s="207" t="n">
        <f aca="false">IF($A24="","",AH23)</f>
        <v>0.029</v>
      </c>
      <c r="AJ23" s="208" t="n">
        <f aca="false">A23+DAY(EOMONTH(A23,0))/2-1</f>
        <v>37452.5</v>
      </c>
      <c r="AK23" s="209" t="n">
        <f aca="false">IF($A24="","",$A23-$E$1)</f>
        <v>-8488</v>
      </c>
      <c r="AL23" s="182" t="e">
        <f aca="false">IF($A24="","",SPRDOPT(P23,X23,AI23,0,AB23,AE23,AF23,AK23,$AJ$2,0))</f>
        <v>#NAME?</v>
      </c>
      <c r="AM23" s="211" t="e">
        <f aca="false">IF($A24="","",MAX(0,O23-W23-AI23))</f>
        <v>#N/A</v>
      </c>
      <c r="AN23" s="211" t="e">
        <f aca="false">IF($A24="","",AL23-AM23)</f>
        <v>#N/A</v>
      </c>
      <c r="AO23" s="137" t="n">
        <f aca="false">IF(A24="","",A24-A23)</f>
        <v>31</v>
      </c>
      <c r="AP23" s="212" t="n">
        <f aca="false">IF(A24="","",CHOOSE(F$3,A24+24,A23))</f>
        <v>37438</v>
      </c>
      <c r="AQ23" s="209" t="n">
        <f aca="false">IF(A24="","",AP23-$E$1)</f>
        <v>-8488</v>
      </c>
      <c r="AR23" s="185" t="n">
        <f aca="false">'ANR OK vs ML7'!AR23</f>
        <v>0.1</v>
      </c>
      <c r="AS23" s="213" t="n">
        <f aca="false">IF(A24="","",1/(1+CHOOSE(F$3,(AR24+($I$3/10000))/2,(AR23+($I$3/10000))/2))^(2*AQ23/365.25))</f>
        <v>9.65675137267963</v>
      </c>
      <c r="AT23" s="137" t="n">
        <f aca="false">IF(A24="","",IF(AND(mthbeg&lt;=A23,mthend&gt;=A23),1,0))</f>
        <v>1</v>
      </c>
      <c r="AU23" s="137" t="n">
        <f aca="false">IF(A24="","",AO23*AT23)</f>
        <v>31</v>
      </c>
      <c r="AW23" s="195" t="e">
        <f aca="false">IF($A24="","",AL23*$E23)</f>
        <v>#NAME?</v>
      </c>
      <c r="AX23" s="195" t="e">
        <f aca="false">IF($A24="","",AM23*$E23)</f>
        <v>#N/A</v>
      </c>
      <c r="AY23" s="195" t="e">
        <f aca="false">IF($A24="","",AN23*$E23)</f>
        <v>#N/A</v>
      </c>
      <c r="BA23" s="195" t="n">
        <f aca="false">IF($A24="","",F23*Summary!$Q$12)</f>
        <v>0</v>
      </c>
      <c r="BC23" s="179" t="e">
        <f aca="false">IF(A24="","",AM23*F23)</f>
        <v>#N/A</v>
      </c>
    </row>
    <row r="24" customFormat="false" ht="12.75" hidden="false" customHeight="false" outlineLevel="0" collapsed="false">
      <c r="A24" s="196" t="n">
        <f aca="false">IF(A23&lt;mthend,EDATE(A23,1),"")</f>
        <v>37469</v>
      </c>
      <c r="B24" s="197" t="n">
        <f aca="false">IF(A24&lt;mthend,B23,"")</f>
        <v>36522</v>
      </c>
      <c r="C24" s="215"/>
      <c r="D24" s="197" t="n">
        <f aca="false">IF(A25&lt;&gt;"",B24+C24,"")</f>
        <v>36522</v>
      </c>
      <c r="E24" s="199" t="n">
        <f aca="false">IF(A25="","",IF(AND(AT24=1,$H$3=1),D24*AO24,IF($H$3=2,D24,"N/A")))</f>
        <v>1132182</v>
      </c>
      <c r="F24" s="199" t="n">
        <f aca="false">IF(A25="","",E24*AS24)</f>
        <v>10843025.5553702</v>
      </c>
      <c r="G24" s="200" t="e">
        <f aca="false">IF($A25="","",VLOOKUP($A24,Table,MATCH(G$4,Curves,0)))</f>
        <v>#N/A</v>
      </c>
      <c r="H24" s="201" t="e">
        <f aca="false">IF(A25="","",G24)</f>
        <v>#N/A</v>
      </c>
      <c r="I24" s="202"/>
      <c r="J24" s="200" t="e">
        <f aca="false">IF($A25="","",VLOOKUP($A24,Table,MATCH(J$4,Curves,0)))</f>
        <v>#N/A</v>
      </c>
      <c r="K24" s="201" t="e">
        <f aca="false">IF(A25="","",J24)</f>
        <v>#N/A</v>
      </c>
      <c r="L24" s="200" t="e">
        <f aca="false">IF($A25="","",VLOOKUP($A24,Table,MATCH(L$4,Curves,0)))</f>
        <v>#N/A</v>
      </c>
      <c r="M24" s="201" t="e">
        <f aca="false">IF(A25="","",L24)</f>
        <v>#N/A</v>
      </c>
      <c r="N24" s="203"/>
      <c r="O24" s="200" t="e">
        <f aca="false">IF(A25="","",L24+J24+G24)</f>
        <v>#N/A</v>
      </c>
      <c r="P24" s="200" t="e">
        <f aca="false">IF(A25="","",M24+K24+H24)</f>
        <v>#N/A</v>
      </c>
      <c r="Q24" s="204"/>
      <c r="R24" s="200" t="e">
        <f aca="false">IF($A25="","",VLOOKUP($A24,Table,MATCH(R$4,Curves,0)))</f>
        <v>#N/A</v>
      </c>
      <c r="S24" s="201" t="e">
        <f aca="false">IF(A25="","",R24)</f>
        <v>#N/A</v>
      </c>
      <c r="T24" s="200" t="e">
        <f aca="false">IF($A25="","",VLOOKUP($A24,Table,MATCH(T$4,Curves,0)))</f>
        <v>#N/A</v>
      </c>
      <c r="U24" s="201" t="e">
        <f aca="false">IF(A25="","",T24)</f>
        <v>#N/A</v>
      </c>
      <c r="V24" s="225" t="e">
        <f aca="false">IF($A25="","",IF(AND(MONTH(A24)&gt;3,MONTH(A24)&lt;11),(T24+R24+G24)*(((1/(1-Summary!$T$12))/(1-Summary!$W$12))-1),(T24+R24+G24)*((1/(1-Summary!$U$12))/(1-Summary!$X$12)-1)))</f>
        <v>#N/A</v>
      </c>
      <c r="W24" s="200" t="e">
        <f aca="false">IF($A25="","",(T24+R24+G24+V24))</f>
        <v>#N/A</v>
      </c>
      <c r="X24" s="200" t="e">
        <f aca="false">IF($A25="","",(U24+S24+H24+V24))</f>
        <v>#N/A</v>
      </c>
      <c r="Y24" s="202"/>
      <c r="Z24" s="185" t="e">
        <f aca="false">IF($A25="","",VLOOKUP($A24,Table,MATCH(Z$4,Curves,0)))</f>
        <v>#N/A</v>
      </c>
      <c r="AA24" s="185" t="e">
        <f aca="false">IF($A25="","",VLOOKUP($A24,Table,MATCH(AA$4,Curves,0)))</f>
        <v>#N/A</v>
      </c>
      <c r="AB24" s="185" t="e">
        <f aca="false">SQRT((AA24^2*(A24-$D$3)+Z24^2*(DAY(EOMONTH(A24,0))/2))/AK24)</f>
        <v>#N/A</v>
      </c>
      <c r="AC24" s="185" t="e">
        <f aca="false">IF($A25="","",VLOOKUP($A24,Table,MATCH(AC$4,Curves,0)))</f>
        <v>#N/A</v>
      </c>
      <c r="AD24" s="185" t="e">
        <f aca="false">IF($A25="","",VLOOKUP($A24,Table,MATCH(AD$4,Curves,0)))</f>
        <v>#N/A</v>
      </c>
      <c r="AE24" s="185" t="e">
        <f aca="false">SQRT((AD24^2*(A24-$D$3)+AC24^2*(DAY(EOMONTH(A24,0))/2))/AK24)</f>
        <v>#N/A</v>
      </c>
      <c r="AF24" s="206" t="e">
        <f aca="false">((Summary!$N$12*(AA24*AD24)*(A24-$D$3))+(Summary!$M$12*Z24*AC24*(AJ24-EOMONTH(EDATE(A24,-1),0))))/(AK24*AB24*AE24)</f>
        <v>#N/A</v>
      </c>
      <c r="AG24" s="207" t="n">
        <f aca="false">IF($A25="","",Summary!$Q$12)</f>
        <v>0</v>
      </c>
      <c r="AH24" s="207" t="n">
        <f aca="false">IF($A25="","",IF(Summary!$R$12="Y",(VLOOKUP($A24,Summary!$AD$6:$AF$9,3)+'Escalating commodity'!H37),'Escalating commodity'!H37))</f>
        <v>0.029</v>
      </c>
      <c r="AI24" s="207" t="n">
        <f aca="false">IF($A25="","",AH24)</f>
        <v>0.029</v>
      </c>
      <c r="AJ24" s="208" t="n">
        <f aca="false">A24+DAY(EOMONTH(A24,0))/2-1</f>
        <v>37483.5</v>
      </c>
      <c r="AK24" s="209" t="n">
        <f aca="false">IF($A25="","",$A24-$E$1)</f>
        <v>-8457</v>
      </c>
      <c r="AL24" s="182" t="e">
        <f aca="false">IF($A25="","",SPRDOPT(P24,X24,AI24,0,AB24,AE24,AF24,AK24,$AJ$2,0))</f>
        <v>#NAME?</v>
      </c>
      <c r="AM24" s="211" t="e">
        <f aca="false">IF($A25="","",MAX(0,O24-W24-AI24))</f>
        <v>#N/A</v>
      </c>
      <c r="AN24" s="211" t="e">
        <f aca="false">IF($A25="","",AL24-AM24)</f>
        <v>#N/A</v>
      </c>
      <c r="AO24" s="137" t="n">
        <f aca="false">IF(A25="","",A25-A24)</f>
        <v>31</v>
      </c>
      <c r="AP24" s="212" t="n">
        <f aca="false">IF(A25="","",CHOOSE(F$3,A25+24,A24))</f>
        <v>37469</v>
      </c>
      <c r="AQ24" s="209" t="n">
        <f aca="false">IF(A25="","",AP24-$E$1)</f>
        <v>-8457</v>
      </c>
      <c r="AR24" s="185" t="n">
        <f aca="false">'ANR OK vs ML7'!AR24</f>
        <v>0.1</v>
      </c>
      <c r="AS24" s="213" t="n">
        <f aca="false">IF(A25="","",1/(1+CHOOSE(F$3,(AR25+($I$3/10000))/2,(AR24+($I$3/10000))/2))^(2*AQ24/365.25))</f>
        <v>9.57710470169126</v>
      </c>
      <c r="AT24" s="137" t="n">
        <f aca="false">IF(A25="","",IF(AND(mthbeg&lt;=A24,mthend&gt;=A24),1,0))</f>
        <v>1</v>
      </c>
      <c r="AU24" s="137" t="n">
        <f aca="false">IF(A25="","",AO24*AT24)</f>
        <v>31</v>
      </c>
      <c r="AW24" s="195" t="e">
        <f aca="false">IF($A25="","",AL24*$E24)</f>
        <v>#NAME?</v>
      </c>
      <c r="AX24" s="195" t="e">
        <f aca="false">IF($A25="","",AM24*$E24)</f>
        <v>#N/A</v>
      </c>
      <c r="AY24" s="195" t="e">
        <f aca="false">IF($A25="","",AN24*$E24)</f>
        <v>#N/A</v>
      </c>
      <c r="BA24" s="195" t="n">
        <f aca="false">IF($A25="","",F24*Summary!$Q$12)</f>
        <v>0</v>
      </c>
      <c r="BC24" s="179" t="e">
        <f aca="false">IF(A25="","",AM24*F24)</f>
        <v>#N/A</v>
      </c>
    </row>
    <row r="25" customFormat="false" ht="12.75" hidden="false" customHeight="false" outlineLevel="0" collapsed="false">
      <c r="A25" s="196" t="n">
        <f aca="false">IF(A24&lt;mthend,EDATE(A24,1),"")</f>
        <v>37500</v>
      </c>
      <c r="B25" s="197" t="n">
        <f aca="false">IF(A25&lt;mthend,B24,"")</f>
        <v>36522</v>
      </c>
      <c r="C25" s="215"/>
      <c r="D25" s="197" t="n">
        <f aca="false">IF(A26&lt;&gt;"",B25+C25,"")</f>
        <v>36522</v>
      </c>
      <c r="E25" s="199" t="n">
        <f aca="false">IF(A26="","",IF(AND(AT25=1,$H$3=1),D25*AO25,IF($H$3=2,D25,"N/A")))</f>
        <v>1095660</v>
      </c>
      <c r="F25" s="199" t="n">
        <f aca="false">IF(A26="","",E25*AS25)</f>
        <v>10406704.6131684</v>
      </c>
      <c r="G25" s="200" t="e">
        <f aca="false">IF($A26="","",VLOOKUP($A25,Table,MATCH(G$4,Curves,0)))</f>
        <v>#N/A</v>
      </c>
      <c r="H25" s="201" t="e">
        <f aca="false">IF(A26="","",G25)</f>
        <v>#N/A</v>
      </c>
      <c r="I25" s="202"/>
      <c r="J25" s="200" t="e">
        <f aca="false">IF($A26="","",VLOOKUP($A25,Table,MATCH(J$4,Curves,0)))</f>
        <v>#N/A</v>
      </c>
      <c r="K25" s="201" t="e">
        <f aca="false">IF(A26="","",J25)</f>
        <v>#N/A</v>
      </c>
      <c r="L25" s="200" t="e">
        <f aca="false">IF($A26="","",VLOOKUP($A25,Table,MATCH(L$4,Curves,0)))</f>
        <v>#N/A</v>
      </c>
      <c r="M25" s="201" t="e">
        <f aca="false">IF(A26="","",L25)</f>
        <v>#N/A</v>
      </c>
      <c r="N25" s="203"/>
      <c r="O25" s="200" t="e">
        <f aca="false">IF(A26="","",L25+J25+G25)</f>
        <v>#N/A</v>
      </c>
      <c r="P25" s="200" t="e">
        <f aca="false">IF(A26="","",M25+K25+H25)</f>
        <v>#N/A</v>
      </c>
      <c r="Q25" s="204"/>
      <c r="R25" s="200" t="e">
        <f aca="false">IF($A26="","",VLOOKUP($A25,Table,MATCH(R$4,Curves,0)))</f>
        <v>#N/A</v>
      </c>
      <c r="S25" s="201" t="e">
        <f aca="false">IF(A26="","",R25)</f>
        <v>#N/A</v>
      </c>
      <c r="T25" s="200" t="e">
        <f aca="false">IF($A26="","",VLOOKUP($A25,Table,MATCH(T$4,Curves,0)))</f>
        <v>#N/A</v>
      </c>
      <c r="U25" s="201" t="e">
        <f aca="false">IF(A26="","",T25)</f>
        <v>#N/A</v>
      </c>
      <c r="V25" s="225" t="e">
        <f aca="false">IF($A26="","",IF(AND(MONTH(A25)&gt;3,MONTH(A25)&lt;11),(T25+R25+G25)*(((1/(1-Summary!$T$12))/(1-Summary!$W$12))-1),(T25+R25+G25)*((1/(1-Summary!$U$12))/(1-Summary!$X$12)-1)))</f>
        <v>#N/A</v>
      </c>
      <c r="W25" s="200" t="e">
        <f aca="false">IF($A26="","",(T25+R25+G25+V25))</f>
        <v>#N/A</v>
      </c>
      <c r="X25" s="200" t="e">
        <f aca="false">IF($A26="","",(U25+S25+H25+V25))</f>
        <v>#N/A</v>
      </c>
      <c r="Y25" s="202"/>
      <c r="Z25" s="185" t="e">
        <f aca="false">IF($A26="","",VLOOKUP($A25,Table,MATCH(Z$4,Curves,0)))</f>
        <v>#N/A</v>
      </c>
      <c r="AA25" s="185" t="e">
        <f aca="false">IF($A26="","",VLOOKUP($A25,Table,MATCH(AA$4,Curves,0)))</f>
        <v>#N/A</v>
      </c>
      <c r="AB25" s="185" t="e">
        <f aca="false">SQRT((AA25^2*(A25-$D$3)+Z25^2*(DAY(EOMONTH(A25,0))/2))/AK25)</f>
        <v>#N/A</v>
      </c>
      <c r="AC25" s="185" t="e">
        <f aca="false">IF($A26="","",VLOOKUP($A25,Table,MATCH(AC$4,Curves,0)))</f>
        <v>#N/A</v>
      </c>
      <c r="AD25" s="185" t="e">
        <f aca="false">IF($A26="","",VLOOKUP($A25,Table,MATCH(AD$4,Curves,0)))</f>
        <v>#N/A</v>
      </c>
      <c r="AE25" s="185" t="e">
        <f aca="false">SQRT((AD25^2*(A25-$D$3)+AC25^2*(DAY(EOMONTH(A25,0))/2))/AK25)</f>
        <v>#N/A</v>
      </c>
      <c r="AF25" s="206" t="e">
        <f aca="false">((Summary!$N$12*(AA25*AD25)*(A25-$D$3))+(Summary!$M$12*Z25*AC25*(AJ25-EOMONTH(EDATE(A25,-1),0))))/(AK25*AB25*AE25)</f>
        <v>#N/A</v>
      </c>
      <c r="AG25" s="207" t="n">
        <f aca="false">IF($A26="","",Summary!$Q$12)</f>
        <v>0</v>
      </c>
      <c r="AH25" s="207" t="n">
        <f aca="false">IF($A26="","",IF(Summary!$R$12="Y",(VLOOKUP($A25,Summary!$AD$6:$AF$9,3)+'Escalating commodity'!H38),'Escalating commodity'!H38))</f>
        <v>0.029</v>
      </c>
      <c r="AI25" s="207" t="n">
        <f aca="false">IF($A26="","",AH25)</f>
        <v>0.029</v>
      </c>
      <c r="AJ25" s="208" t="n">
        <f aca="false">A25+DAY(EOMONTH(A25,0))/2-1</f>
        <v>37514</v>
      </c>
      <c r="AK25" s="209" t="n">
        <f aca="false">IF($A26="","",$A25-$E$1)</f>
        <v>-8426</v>
      </c>
      <c r="AL25" s="182" t="e">
        <f aca="false">IF($A26="","",SPRDOPT(P25,X25,AI25,0,AB25,AE25,AF25,AK25,$AJ$2,0))</f>
        <v>#NAME?</v>
      </c>
      <c r="AM25" s="211" t="e">
        <f aca="false">IF($A26="","",MAX(0,O25-W25-AI25))</f>
        <v>#N/A</v>
      </c>
      <c r="AN25" s="211" t="e">
        <f aca="false">IF($A26="","",AL25-AM25)</f>
        <v>#N/A</v>
      </c>
      <c r="AO25" s="137" t="n">
        <f aca="false">IF(A26="","",A26-A25)</f>
        <v>30</v>
      </c>
      <c r="AP25" s="212" t="n">
        <f aca="false">IF(A26="","",CHOOSE(F$3,A26+24,A25))</f>
        <v>37500</v>
      </c>
      <c r="AQ25" s="209" t="n">
        <f aca="false">IF(A26="","",AP25-$E$1)</f>
        <v>-8426</v>
      </c>
      <c r="AR25" s="185" t="n">
        <f aca="false">'ANR OK vs ML7'!AR25</f>
        <v>0.1</v>
      </c>
      <c r="AS25" s="213" t="n">
        <f aca="false">IF(A26="","",1/(1+CHOOSE(F$3,(AR26+($I$3/10000))/2,(AR25+($I$3/10000))/2))^(2*AQ25/365.25))</f>
        <v>9.49811493818189</v>
      </c>
      <c r="AT25" s="137" t="n">
        <f aca="false">IF(A26="","",IF(AND(mthbeg&lt;=A25,mthend&gt;=A25),1,0))</f>
        <v>1</v>
      </c>
      <c r="AU25" s="137" t="n">
        <f aca="false">IF(A26="","",AO25*AT25)</f>
        <v>30</v>
      </c>
      <c r="AW25" s="195" t="e">
        <f aca="false">IF($A26="","",AL25*$E25)</f>
        <v>#NAME?</v>
      </c>
      <c r="AX25" s="195" t="e">
        <f aca="false">IF($A26="","",AM25*$E25)</f>
        <v>#N/A</v>
      </c>
      <c r="AY25" s="195" t="e">
        <f aca="false">IF($A26="","",AN25*$E25)</f>
        <v>#N/A</v>
      </c>
      <c r="BA25" s="195" t="n">
        <f aca="false">IF($A26="","",F25*Summary!$Q$12)</f>
        <v>0</v>
      </c>
      <c r="BC25" s="179" t="e">
        <f aca="false">IF(A26="","",AM25*F25)</f>
        <v>#N/A</v>
      </c>
    </row>
    <row r="26" customFormat="false" ht="12.75" hidden="false" customHeight="false" outlineLevel="0" collapsed="false">
      <c r="A26" s="196" t="n">
        <f aca="false">IF(A25&lt;mthend,EDATE(A25,1),"")</f>
        <v>37530</v>
      </c>
      <c r="B26" s="197" t="n">
        <f aca="false">IF(A26&lt;mthend,B25,"")</f>
        <v>36522</v>
      </c>
      <c r="C26" s="215"/>
      <c r="D26" s="197" t="n">
        <f aca="false">IF(A27&lt;&gt;"",B26+C26,"")</f>
        <v>36522</v>
      </c>
      <c r="E26" s="199" t="n">
        <f aca="false">IF(A27="","",IF(AND(AT26=1,$H$3=1),D26*AO26,IF($H$3=2,D26,"N/A")))</f>
        <v>1132182</v>
      </c>
      <c r="F26" s="199" t="n">
        <f aca="false">IF(A27="","",E26*AS26)</f>
        <v>10667751.2029293</v>
      </c>
      <c r="G26" s="200" t="e">
        <f aca="false">IF($A27="","",VLOOKUP($A26,Table,MATCH(G$4,Curves,0)))</f>
        <v>#N/A</v>
      </c>
      <c r="H26" s="201" t="e">
        <f aca="false">IF(A27="","",G26)</f>
        <v>#N/A</v>
      </c>
      <c r="I26" s="202"/>
      <c r="J26" s="200" t="e">
        <f aca="false">IF($A27="","",VLOOKUP($A26,Table,MATCH(J$4,Curves,0)))</f>
        <v>#N/A</v>
      </c>
      <c r="K26" s="201" t="e">
        <f aca="false">IF(A27="","",J26)</f>
        <v>#N/A</v>
      </c>
      <c r="L26" s="200" t="e">
        <f aca="false">IF($A27="","",VLOOKUP($A26,Table,MATCH(L$4,Curves,0)))</f>
        <v>#N/A</v>
      </c>
      <c r="M26" s="201" t="e">
        <f aca="false">IF(A27="","",L26)</f>
        <v>#N/A</v>
      </c>
      <c r="N26" s="203"/>
      <c r="O26" s="200" t="e">
        <f aca="false">IF(A27="","",L26+J26+G26)</f>
        <v>#N/A</v>
      </c>
      <c r="P26" s="200" t="e">
        <f aca="false">IF(A27="","",M26+K26+H26)</f>
        <v>#N/A</v>
      </c>
      <c r="Q26" s="204"/>
      <c r="R26" s="200" t="e">
        <f aca="false">IF($A27="","",VLOOKUP($A26,Table,MATCH(R$4,Curves,0)))</f>
        <v>#N/A</v>
      </c>
      <c r="S26" s="201" t="e">
        <f aca="false">IF(A27="","",R26)</f>
        <v>#N/A</v>
      </c>
      <c r="T26" s="200" t="e">
        <f aca="false">IF($A27="","",VLOOKUP($A26,Table,MATCH(T$4,Curves,0)))</f>
        <v>#N/A</v>
      </c>
      <c r="U26" s="201" t="e">
        <f aca="false">IF(A27="","",T26)</f>
        <v>#N/A</v>
      </c>
      <c r="V26" s="225" t="e">
        <f aca="false">IF($A27="","",IF(AND(MONTH(A26)&gt;3,MONTH(A26)&lt;11),(T26+R26+G26)*(((1/(1-Summary!$T$12))/(1-Summary!$W$12))-1),(T26+R26+G26)*((1/(1-Summary!$U$12))/(1-Summary!$X$12)-1)))</f>
        <v>#N/A</v>
      </c>
      <c r="W26" s="200" t="e">
        <f aca="false">IF($A27="","",(T26+R26+G26+V26))</f>
        <v>#N/A</v>
      </c>
      <c r="X26" s="200" t="e">
        <f aca="false">IF($A27="","",(U26+S26+H26+V26))</f>
        <v>#N/A</v>
      </c>
      <c r="Y26" s="202"/>
      <c r="Z26" s="185" t="e">
        <f aca="false">IF($A27="","",VLOOKUP($A26,Table,MATCH(Z$4,Curves,0)))</f>
        <v>#N/A</v>
      </c>
      <c r="AA26" s="185" t="e">
        <f aca="false">IF($A27="","",VLOOKUP($A26,Table,MATCH(AA$4,Curves,0)))</f>
        <v>#N/A</v>
      </c>
      <c r="AB26" s="185" t="e">
        <f aca="false">SQRT((AA26^2*(A26-$D$3)+Z26^2*(DAY(EOMONTH(A26,0))/2))/AK26)</f>
        <v>#N/A</v>
      </c>
      <c r="AC26" s="185" t="e">
        <f aca="false">IF($A27="","",VLOOKUP($A26,Table,MATCH(AC$4,Curves,0)))</f>
        <v>#N/A</v>
      </c>
      <c r="AD26" s="185" t="e">
        <f aca="false">IF($A27="","",VLOOKUP($A26,Table,MATCH(AD$4,Curves,0)))</f>
        <v>#N/A</v>
      </c>
      <c r="AE26" s="185" t="e">
        <f aca="false">SQRT((AD26^2*(A26-$D$3)+AC26^2*(DAY(EOMONTH(A26,0))/2))/AK26)</f>
        <v>#N/A</v>
      </c>
      <c r="AF26" s="206" t="e">
        <f aca="false">((Summary!$N$12*(AA26*AD26)*(A26-$D$3))+(Summary!$M$12*Z26*AC26*(AJ26-EOMONTH(EDATE(A26,-1),0))))/(AK26*AB26*AE26)</f>
        <v>#N/A</v>
      </c>
      <c r="AG26" s="207" t="n">
        <f aca="false">IF($A27="","",Summary!$Q$12)</f>
        <v>0</v>
      </c>
      <c r="AH26" s="207" t="n">
        <f aca="false">IF($A27="","",IF(Summary!$R$12="Y",(VLOOKUP($A26,Summary!$AD$6:$AF$9,3)+'Escalating commodity'!H39),'Escalating commodity'!H39))</f>
        <v>0.029</v>
      </c>
      <c r="AI26" s="207" t="n">
        <f aca="false">IF($A27="","",AH26)</f>
        <v>0.029</v>
      </c>
      <c r="AJ26" s="208" t="n">
        <f aca="false">A26+DAY(EOMONTH(A26,0))/2-1</f>
        <v>37544.5</v>
      </c>
      <c r="AK26" s="209" t="n">
        <f aca="false">IF($A27="","",$A26-$E$1)</f>
        <v>-8396</v>
      </c>
      <c r="AL26" s="182" t="e">
        <f aca="false">IF($A27="","",SPRDOPT(P26,X26,AI26,0,AB26,AE26,AF26,AK26,$AJ$2,0))</f>
        <v>#NAME?</v>
      </c>
      <c r="AM26" s="211" t="e">
        <f aca="false">IF($A27="","",MAX(0,O26-W26-AI26))</f>
        <v>#N/A</v>
      </c>
      <c r="AN26" s="211" t="e">
        <f aca="false">IF($A27="","",AL26-AM26)</f>
        <v>#N/A</v>
      </c>
      <c r="AO26" s="137" t="n">
        <f aca="false">IF(A27="","",A27-A26)</f>
        <v>31</v>
      </c>
      <c r="AP26" s="212" t="n">
        <f aca="false">IF(A27="","",CHOOSE(F$3,A27+24,A26))</f>
        <v>37530</v>
      </c>
      <c r="AQ26" s="209" t="n">
        <f aca="false">IF(A27="","",AP26-$E$1)</f>
        <v>-8396</v>
      </c>
      <c r="AR26" s="185" t="n">
        <f aca="false">'ANR OK vs ML7'!AR26</f>
        <v>0.1</v>
      </c>
      <c r="AS26" s="213" t="n">
        <f aca="false">IF(A27="","",1/(1+CHOOSE(F$3,(AR27+($I$3/10000))/2,(AR26+($I$3/10000))/2))^(2*AQ26/365.25))</f>
        <v>9.42229359142726</v>
      </c>
      <c r="AT26" s="137" t="n">
        <f aca="false">IF(A27="","",IF(AND(mthbeg&lt;=A26,mthend&gt;=A26),1,0))</f>
        <v>1</v>
      </c>
      <c r="AU26" s="137" t="n">
        <f aca="false">IF(A27="","",AO26*AT26)</f>
        <v>31</v>
      </c>
      <c r="AW26" s="195" t="e">
        <f aca="false">IF($A27="","",AL26*$E26)</f>
        <v>#NAME?</v>
      </c>
      <c r="AX26" s="195" t="e">
        <f aca="false">IF($A27="","",AM26*$E26)</f>
        <v>#N/A</v>
      </c>
      <c r="AY26" s="195" t="e">
        <f aca="false">IF($A27="","",AN26*$E26)</f>
        <v>#N/A</v>
      </c>
      <c r="BA26" s="195" t="n">
        <f aca="false">IF($A27="","",F26*Summary!$Q$12)</f>
        <v>0</v>
      </c>
      <c r="BC26" s="179" t="e">
        <f aca="false">IF(A27="","",AM26*F26)</f>
        <v>#N/A</v>
      </c>
    </row>
    <row r="27" customFormat="false" ht="12.75" hidden="false" customHeight="false" outlineLevel="0" collapsed="false">
      <c r="A27" s="196" t="n">
        <f aca="false">IF(A26&lt;mthend,EDATE(A26,1),"")</f>
        <v>37561</v>
      </c>
      <c r="B27" s="197" t="n">
        <f aca="false">IF(A27&lt;mthend,B26,"")</f>
        <v>36522</v>
      </c>
      <c r="C27" s="215"/>
      <c r="D27" s="197" t="n">
        <f aca="false">IF(A28&lt;&gt;"",B27+C27,"")</f>
        <v>36522</v>
      </c>
      <c r="E27" s="199" t="n">
        <f aca="false">IF(A28="","",IF(AND(AT27=1,$H$3=1),D27*AO27,IF($H$3=2,D27,"N/A")))</f>
        <v>1095660</v>
      </c>
      <c r="F27" s="199" t="n">
        <f aca="false">IF(A28="","",E27*AS27)</f>
        <v>10238483.261775</v>
      </c>
      <c r="G27" s="200" t="e">
        <f aca="false">IF($A28="","",VLOOKUP($A27,Table,MATCH(G$4,Curves,0)))</f>
        <v>#N/A</v>
      </c>
      <c r="H27" s="201" t="e">
        <f aca="false">IF(A28="","",G27)</f>
        <v>#N/A</v>
      </c>
      <c r="I27" s="202"/>
      <c r="J27" s="200" t="e">
        <f aca="false">IF($A28="","",VLOOKUP($A27,Table,MATCH(J$4,Curves,0)))</f>
        <v>#N/A</v>
      </c>
      <c r="K27" s="201" t="e">
        <f aca="false">IF(A28="","",J27)</f>
        <v>#N/A</v>
      </c>
      <c r="L27" s="200" t="e">
        <f aca="false">IF($A28="","",VLOOKUP($A27,Table,MATCH(L$4,Curves,0)))</f>
        <v>#N/A</v>
      </c>
      <c r="M27" s="201" t="e">
        <f aca="false">IF(A28="","",L27)</f>
        <v>#N/A</v>
      </c>
      <c r="N27" s="203"/>
      <c r="O27" s="200" t="e">
        <f aca="false">IF(A28="","",L27+J27+G27)</f>
        <v>#N/A</v>
      </c>
      <c r="P27" s="200" t="e">
        <f aca="false">IF(A28="","",M27+K27+H27)</f>
        <v>#N/A</v>
      </c>
      <c r="Q27" s="204"/>
      <c r="R27" s="200" t="e">
        <f aca="false">IF($A28="","",VLOOKUP($A27,Table,MATCH(R$4,Curves,0)))</f>
        <v>#N/A</v>
      </c>
      <c r="S27" s="201" t="e">
        <f aca="false">IF(A28="","",R27)</f>
        <v>#N/A</v>
      </c>
      <c r="T27" s="200" t="e">
        <f aca="false">IF($A28="","",VLOOKUP($A27,Table,MATCH(T$4,Curves,0)))</f>
        <v>#N/A</v>
      </c>
      <c r="U27" s="201" t="e">
        <f aca="false">IF(A28="","",T27)</f>
        <v>#N/A</v>
      </c>
      <c r="V27" s="225" t="e">
        <f aca="false">IF($A28="","",IF(AND(MONTH(A27)&gt;3,MONTH(A27)&lt;11),(T27+R27+G27)*(((1/(1-Summary!$T$12))/(1-Summary!$W$12))-1),(T27+R27+G27)*((1/(1-Summary!$U$12))/(1-Summary!$X$12)-1)))</f>
        <v>#N/A</v>
      </c>
      <c r="W27" s="200" t="e">
        <f aca="false">IF($A28="","",(T27+R27+G27+V27))</f>
        <v>#N/A</v>
      </c>
      <c r="X27" s="200" t="e">
        <f aca="false">IF($A28="","",(U27+S27+H27+V27))</f>
        <v>#N/A</v>
      </c>
      <c r="Y27" s="202"/>
      <c r="Z27" s="185" t="e">
        <f aca="false">IF($A28="","",VLOOKUP($A27,Table,MATCH(Z$4,Curves,0)))</f>
        <v>#N/A</v>
      </c>
      <c r="AA27" s="185" t="e">
        <f aca="false">IF($A28="","",VLOOKUP($A27,Table,MATCH(AA$4,Curves,0)))</f>
        <v>#N/A</v>
      </c>
      <c r="AB27" s="185" t="e">
        <f aca="false">SQRT((AA27^2*(A27-$D$3)+Z27^2*(DAY(EOMONTH(A27,0))/2))/AK27)</f>
        <v>#N/A</v>
      </c>
      <c r="AC27" s="185" t="e">
        <f aca="false">IF($A28="","",VLOOKUP($A27,Table,MATCH(AC$4,Curves,0)))</f>
        <v>#N/A</v>
      </c>
      <c r="AD27" s="185" t="e">
        <f aca="false">IF($A28="","",VLOOKUP($A27,Table,MATCH(AD$4,Curves,0)))</f>
        <v>#N/A</v>
      </c>
      <c r="AE27" s="185" t="e">
        <f aca="false">SQRT((AD27^2*(A27-$D$3)+AC27^2*(DAY(EOMONTH(A27,0))/2))/AK27)</f>
        <v>#N/A</v>
      </c>
      <c r="AF27" s="206" t="e">
        <f aca="false">((Summary!$N$12*(AA27*AD27)*(A27-$D$3))+(Summary!$M$12*Z27*AC27*(AJ27-EOMONTH(EDATE(A27,-1),0))))/(AK27*AB27*AE27)</f>
        <v>#N/A</v>
      </c>
      <c r="AG27" s="207" t="n">
        <f aca="false">IF($A28="","",Summary!$Q$12)</f>
        <v>0</v>
      </c>
      <c r="AH27" s="207" t="n">
        <f aca="false">IF($A28="","",IF(Summary!$R$12="Y",(VLOOKUP($A27,Summary!$AD$6:$AF$9,3)+'Escalating commodity'!H40),'Escalating commodity'!H40))</f>
        <v>0.029</v>
      </c>
      <c r="AI27" s="207" t="n">
        <f aca="false">IF($A28="","",AH27)</f>
        <v>0.029</v>
      </c>
      <c r="AJ27" s="208" t="n">
        <f aca="false">A27+DAY(EOMONTH(A27,0))/2-1</f>
        <v>37575</v>
      </c>
      <c r="AK27" s="209" t="n">
        <f aca="false">IF($A28="","",$A27-$E$1)</f>
        <v>-8365</v>
      </c>
      <c r="AL27" s="182" t="e">
        <f aca="false">IF($A28="","",SPRDOPT(P27,X27,AI27,0,AB27,AE27,AF27,AK27,$AJ$2,0))</f>
        <v>#NAME?</v>
      </c>
      <c r="AM27" s="211" t="e">
        <f aca="false">IF($A28="","",MAX(0,O27-W27-AI27))</f>
        <v>#N/A</v>
      </c>
      <c r="AN27" s="211" t="e">
        <f aca="false">IF($A28="","",AL27-AM27)</f>
        <v>#N/A</v>
      </c>
      <c r="AO27" s="137" t="n">
        <f aca="false">IF(A28="","",A28-A27)</f>
        <v>30</v>
      </c>
      <c r="AP27" s="212" t="n">
        <f aca="false">IF(A28="","",CHOOSE(F$3,A28+24,A27))</f>
        <v>37561</v>
      </c>
      <c r="AQ27" s="209" t="n">
        <f aca="false">IF(A28="","",AP27-$E$1)</f>
        <v>-8365</v>
      </c>
      <c r="AR27" s="185" t="n">
        <f aca="false">'ANR OK vs ML7'!AR27</f>
        <v>0.1</v>
      </c>
      <c r="AS27" s="213" t="n">
        <f aca="false">IF(A28="","",1/(1+CHOOSE(F$3,(AR28+($I$3/10000))/2,(AR27+($I$3/10000))/2))^(2*AQ27/365.25))</f>
        <v>9.34458067445651</v>
      </c>
      <c r="AT27" s="137" t="n">
        <f aca="false">IF(A28="","",IF(AND(mthbeg&lt;=A27,mthend&gt;=A27),1,0))</f>
        <v>1</v>
      </c>
      <c r="AU27" s="137" t="n">
        <f aca="false">IF(A28="","",AO27*AT27)</f>
        <v>30</v>
      </c>
      <c r="AW27" s="195" t="e">
        <f aca="false">IF($A28="","",AL27*$E27)</f>
        <v>#NAME?</v>
      </c>
      <c r="AX27" s="195" t="e">
        <f aca="false">IF($A28="","",AM27*$E27)</f>
        <v>#N/A</v>
      </c>
      <c r="AY27" s="195" t="e">
        <f aca="false">IF($A28="","",AN27*$E27)</f>
        <v>#N/A</v>
      </c>
      <c r="BA27" s="195" t="n">
        <f aca="false">IF($A28="","",F27*Summary!$Q$12)</f>
        <v>0</v>
      </c>
      <c r="BC27" s="179" t="e">
        <f aca="false">IF(A28="","",AM27*F27)</f>
        <v>#N/A</v>
      </c>
    </row>
    <row r="28" customFormat="false" ht="12.75" hidden="false" customHeight="false" outlineLevel="0" collapsed="false">
      <c r="A28" s="196" t="n">
        <f aca="false">IF(A27&lt;mthend,EDATE(A27,1),"")</f>
        <v>37591</v>
      </c>
      <c r="B28" s="197" t="n">
        <f aca="false">IF(A28&lt;mthend,B27,"")</f>
        <v>36522</v>
      </c>
      <c r="C28" s="215"/>
      <c r="D28" s="197" t="n">
        <f aca="false">IF(A29&lt;&gt;"",B28+C28,"")</f>
        <v>36522</v>
      </c>
      <c r="E28" s="199" t="n">
        <f aca="false">IF(A29="","",IF(AND(AT28=1,$H$3=1),D28*AO28,IF($H$3=2,D28,"N/A")))</f>
        <v>1132182</v>
      </c>
      <c r="F28" s="199" t="n">
        <f aca="false">IF(A29="","",E28*AS28)</f>
        <v>10495310.1093852</v>
      </c>
      <c r="G28" s="200" t="e">
        <f aca="false">IF($A29="","",VLOOKUP($A28,Table,MATCH(G$4,Curves,0)))</f>
        <v>#N/A</v>
      </c>
      <c r="H28" s="201" t="e">
        <f aca="false">IF(A29="","",G28)</f>
        <v>#N/A</v>
      </c>
      <c r="I28" s="202"/>
      <c r="J28" s="200" t="e">
        <f aca="false">IF($A29="","",VLOOKUP($A28,Table,MATCH(J$4,Curves,0)))</f>
        <v>#N/A</v>
      </c>
      <c r="K28" s="201" t="e">
        <f aca="false">IF(A29="","",J28)</f>
        <v>#N/A</v>
      </c>
      <c r="L28" s="200" t="e">
        <f aca="false">IF($A29="","",VLOOKUP($A28,Table,MATCH(L$4,Curves,0)))</f>
        <v>#N/A</v>
      </c>
      <c r="M28" s="201" t="e">
        <f aca="false">IF(A29="","",L28)</f>
        <v>#N/A</v>
      </c>
      <c r="N28" s="203"/>
      <c r="O28" s="200" t="e">
        <f aca="false">IF(A29="","",L28+J28+G28)</f>
        <v>#N/A</v>
      </c>
      <c r="P28" s="200" t="e">
        <f aca="false">IF(A29="","",M28+K28+H28)</f>
        <v>#N/A</v>
      </c>
      <c r="Q28" s="204"/>
      <c r="R28" s="200" t="e">
        <f aca="false">IF($A29="","",VLOOKUP($A28,Table,MATCH(R$4,Curves,0)))</f>
        <v>#N/A</v>
      </c>
      <c r="S28" s="201" t="e">
        <f aca="false">IF(A29="","",R28)</f>
        <v>#N/A</v>
      </c>
      <c r="T28" s="200" t="e">
        <f aca="false">IF($A29="","",VLOOKUP($A28,Table,MATCH(T$4,Curves,0)))</f>
        <v>#N/A</v>
      </c>
      <c r="U28" s="201" t="e">
        <f aca="false">IF(A29="","",T28)</f>
        <v>#N/A</v>
      </c>
      <c r="V28" s="225" t="e">
        <f aca="false">IF($A29="","",IF(AND(MONTH(A28)&gt;3,MONTH(A28)&lt;11),(T28+R28+G28)*(((1/(1-Summary!$T$12))/(1-Summary!$W$12))-1),(T28+R28+G28)*((1/(1-Summary!$U$12))/(1-Summary!$X$12)-1)))</f>
        <v>#N/A</v>
      </c>
      <c r="W28" s="200" t="e">
        <f aca="false">IF($A29="","",(T28+R28+G28+V28))</f>
        <v>#N/A</v>
      </c>
      <c r="X28" s="200" t="e">
        <f aca="false">IF($A29="","",(U28+S28+H28+V28))</f>
        <v>#N/A</v>
      </c>
      <c r="Y28" s="202"/>
      <c r="Z28" s="185" t="e">
        <f aca="false">IF($A29="","",VLOOKUP($A28,Table,MATCH(Z$4,Curves,0)))</f>
        <v>#N/A</v>
      </c>
      <c r="AA28" s="185" t="e">
        <f aca="false">IF($A29="","",VLOOKUP($A28,Table,MATCH(AA$4,Curves,0)))</f>
        <v>#N/A</v>
      </c>
      <c r="AB28" s="185" t="e">
        <f aca="false">SQRT((AA28^2*(A28-$D$3)+Z28^2*(DAY(EOMONTH(A28,0))/2))/AK28)</f>
        <v>#N/A</v>
      </c>
      <c r="AC28" s="185" t="e">
        <f aca="false">IF($A29="","",VLOOKUP($A28,Table,MATCH(AC$4,Curves,0)))</f>
        <v>#N/A</v>
      </c>
      <c r="AD28" s="185" t="e">
        <f aca="false">IF($A29="","",VLOOKUP($A28,Table,MATCH(AD$4,Curves,0)))</f>
        <v>#N/A</v>
      </c>
      <c r="AE28" s="185" t="e">
        <f aca="false">SQRT((AD28^2*(A28-$D$3)+AC28^2*(DAY(EOMONTH(A28,0))/2))/AK28)</f>
        <v>#N/A</v>
      </c>
      <c r="AF28" s="206" t="e">
        <f aca="false">((Summary!$N$12*(AA28*AD28)*(A28-$D$3))+(Summary!$M$12*Z28*AC28*(AJ28-EOMONTH(EDATE(A28,-1),0))))/(AK28*AB28*AE28)</f>
        <v>#N/A</v>
      </c>
      <c r="AG28" s="207" t="n">
        <f aca="false">IF($A29="","",Summary!$Q$12)</f>
        <v>0</v>
      </c>
      <c r="AH28" s="207" t="n">
        <f aca="false">IF($A29="","",IF(Summary!$R$12="Y",(VLOOKUP($A28,Summary!$AD$6:$AF$9,3)+'Escalating commodity'!H41),'Escalating commodity'!H41))</f>
        <v>0.029</v>
      </c>
      <c r="AI28" s="207" t="n">
        <f aca="false">IF($A29="","",AH28)</f>
        <v>0.029</v>
      </c>
      <c r="AJ28" s="208" t="n">
        <f aca="false">A28+DAY(EOMONTH(A28,0))/2-1</f>
        <v>37605.5</v>
      </c>
      <c r="AK28" s="209" t="n">
        <f aca="false">IF($A29="","",$A28-$E$1)</f>
        <v>-8335</v>
      </c>
      <c r="AL28" s="182" t="e">
        <f aca="false">IF($A29="","",SPRDOPT(P28,X28,AI28,0,AB28,AE28,AF28,AK28,$AJ$2,0))</f>
        <v>#NAME?</v>
      </c>
      <c r="AM28" s="211" t="e">
        <f aca="false">IF($A29="","",MAX(0,O28-W28-AI28))</f>
        <v>#N/A</v>
      </c>
      <c r="AN28" s="211" t="e">
        <f aca="false">IF($A29="","",AL28-AM28)</f>
        <v>#N/A</v>
      </c>
      <c r="AO28" s="137" t="n">
        <f aca="false">IF(A29="","",A29-A28)</f>
        <v>31</v>
      </c>
      <c r="AP28" s="212" t="n">
        <f aca="false">IF(A29="","",CHOOSE(F$3,A29+24,A28))</f>
        <v>37591</v>
      </c>
      <c r="AQ28" s="209" t="n">
        <f aca="false">IF(A29="","",AP28-$E$1)</f>
        <v>-8335</v>
      </c>
      <c r="AR28" s="185" t="n">
        <f aca="false">'ANR OK vs ML7'!AR28</f>
        <v>0.1</v>
      </c>
      <c r="AS28" s="213" t="n">
        <f aca="false">IF(A29="","",1/(1+CHOOSE(F$3,(AR29+($I$3/10000))/2,(AR28+($I$3/10000))/2))^(2*AQ28/365.25))</f>
        <v>9.26998495770576</v>
      </c>
      <c r="AT28" s="137" t="n">
        <f aca="false">IF(A29="","",IF(AND(mthbeg&lt;=A28,mthend&gt;=A28),1,0))</f>
        <v>1</v>
      </c>
      <c r="AU28" s="137" t="n">
        <f aca="false">IF(A29="","",AO28*AT28)</f>
        <v>31</v>
      </c>
      <c r="AW28" s="195" t="e">
        <f aca="false">IF($A29="","",AL28*$E28)</f>
        <v>#NAME?</v>
      </c>
      <c r="AX28" s="195" t="e">
        <f aca="false">IF($A29="","",AM28*$E28)</f>
        <v>#N/A</v>
      </c>
      <c r="AY28" s="195" t="e">
        <f aca="false">IF($A29="","",AN28*$E28)</f>
        <v>#N/A</v>
      </c>
      <c r="BA28" s="195" t="n">
        <f aca="false">IF($A29="","",F28*Summary!$Q$12)</f>
        <v>0</v>
      </c>
      <c r="BC28" s="179" t="e">
        <f aca="false">IF(A29="","",AM28*F28)</f>
        <v>#N/A</v>
      </c>
    </row>
    <row r="29" customFormat="false" ht="12.75" hidden="false" customHeight="false" outlineLevel="0" collapsed="false">
      <c r="A29" s="196" t="n">
        <f aca="false">IF(A28&lt;mthend,EDATE(A28,1),"")</f>
        <v>37622</v>
      </c>
      <c r="B29" s="197" t="n">
        <f aca="false">IF(A29&lt;mthend,B28,"")</f>
        <v>36522</v>
      </c>
      <c r="C29" s="215"/>
      <c r="D29" s="197" t="n">
        <f aca="false">IF(A30&lt;&gt;"",B29+C29,"")</f>
        <v>36522</v>
      </c>
      <c r="E29" s="199" t="n">
        <f aca="false">IF(A30="","",IF(AND(AT29=1,$H$3=1),D29*AO29,IF($H$3=2,D29,"N/A")))</f>
        <v>1132182</v>
      </c>
      <c r="F29" s="199" t="n">
        <f aca="false">IF(A30="","",E29*AS29)</f>
        <v>10408747.1982215</v>
      </c>
      <c r="G29" s="200" t="e">
        <f aca="false">IF($A30="","",VLOOKUP($A29,Table,MATCH(G$4,Curves,0)))</f>
        <v>#N/A</v>
      </c>
      <c r="H29" s="201" t="e">
        <f aca="false">IF(A30="","",G29)</f>
        <v>#N/A</v>
      </c>
      <c r="I29" s="202"/>
      <c r="J29" s="200" t="e">
        <f aca="false">IF($A30="","",VLOOKUP($A29,Table,MATCH(J$4,Curves,0)))</f>
        <v>#N/A</v>
      </c>
      <c r="K29" s="201" t="e">
        <f aca="false">IF(A30="","",J29)</f>
        <v>#N/A</v>
      </c>
      <c r="L29" s="200" t="e">
        <f aca="false">IF($A30="","",VLOOKUP($A29,Table,MATCH(L$4,Curves,0)))</f>
        <v>#N/A</v>
      </c>
      <c r="M29" s="201" t="e">
        <f aca="false">IF(A30="","",L29)</f>
        <v>#N/A</v>
      </c>
      <c r="N29" s="203"/>
      <c r="O29" s="200" t="e">
        <f aca="false">IF(A30="","",L29+J29+G29)</f>
        <v>#N/A</v>
      </c>
      <c r="P29" s="200" t="e">
        <f aca="false">IF(A30="","",M29+K29+H29)</f>
        <v>#N/A</v>
      </c>
      <c r="Q29" s="204"/>
      <c r="R29" s="200" t="e">
        <f aca="false">IF($A30="","",VLOOKUP($A29,Table,MATCH(R$4,Curves,0)))</f>
        <v>#N/A</v>
      </c>
      <c r="S29" s="201" t="e">
        <f aca="false">IF(A30="","",R29)</f>
        <v>#N/A</v>
      </c>
      <c r="T29" s="200" t="e">
        <f aca="false">IF($A30="","",VLOOKUP($A29,Table,MATCH(T$4,Curves,0)))</f>
        <v>#N/A</v>
      </c>
      <c r="U29" s="201" t="e">
        <f aca="false">IF(A30="","",T29)</f>
        <v>#N/A</v>
      </c>
      <c r="V29" s="225" t="e">
        <f aca="false">IF($A30="","",IF(AND(MONTH(A29)&gt;3,MONTH(A29)&lt;11),(T29+R29+G29)*(((1/(1-Summary!$T$12))/(1-Summary!$W$12))-1),(T29+R29+G29)*((1/(1-Summary!$U$12))/(1-Summary!$X$12)-1)))</f>
        <v>#N/A</v>
      </c>
      <c r="W29" s="200" t="e">
        <f aca="false">IF($A30="","",(T29+R29+G29+V29))</f>
        <v>#N/A</v>
      </c>
      <c r="X29" s="200" t="e">
        <f aca="false">IF($A30="","",(U29+S29+H29+V29))</f>
        <v>#N/A</v>
      </c>
      <c r="Y29" s="202"/>
      <c r="Z29" s="185" t="e">
        <f aca="false">IF($A30="","",VLOOKUP($A29,Table,MATCH(Z$4,Curves,0)))</f>
        <v>#N/A</v>
      </c>
      <c r="AA29" s="185" t="e">
        <f aca="false">IF($A30="","",VLOOKUP($A29,Table,MATCH(AA$4,Curves,0)))</f>
        <v>#N/A</v>
      </c>
      <c r="AB29" s="185" t="e">
        <f aca="false">SQRT((AA29^2*(A29-$D$3)+Z29^2*(DAY(EOMONTH(A29,0))/2))/AK29)</f>
        <v>#N/A</v>
      </c>
      <c r="AC29" s="185" t="e">
        <f aca="false">IF($A30="","",VLOOKUP($A29,Table,MATCH(AC$4,Curves,0)))</f>
        <v>#N/A</v>
      </c>
      <c r="AD29" s="185" t="e">
        <f aca="false">IF($A30="","",VLOOKUP($A29,Table,MATCH(AD$4,Curves,0)))</f>
        <v>#N/A</v>
      </c>
      <c r="AE29" s="185" t="e">
        <f aca="false">SQRT((AD29^2*(A29-$D$3)+AC29^2*(DAY(EOMONTH(A29,0))/2))/AK29)</f>
        <v>#N/A</v>
      </c>
      <c r="AF29" s="206" t="e">
        <f aca="false">((Summary!$N$12*(AA29*AD29)*(A29-$D$3))+(Summary!$M$12*Z29*AC29*(AJ29-EOMONTH(EDATE(A29,-1),0))))/(AK29*AB29*AE29)</f>
        <v>#N/A</v>
      </c>
      <c r="AG29" s="207" t="n">
        <f aca="false">IF($A30="","",Summary!$Q$12)</f>
        <v>0</v>
      </c>
      <c r="AH29" s="207" t="n">
        <f aca="false">IF($A30="","",IF(Summary!$R$12="Y",(VLOOKUP($A29,Summary!$AD$6:$AF$9,3)+'Escalating commodity'!H42),'Escalating commodity'!H42))</f>
        <v>0.029</v>
      </c>
      <c r="AI29" s="207" t="n">
        <f aca="false">IF($A30="","",AH29)</f>
        <v>0.029</v>
      </c>
      <c r="AJ29" s="208" t="n">
        <f aca="false">A29+DAY(EOMONTH(A29,0))/2-1</f>
        <v>37636.5</v>
      </c>
      <c r="AK29" s="209" t="n">
        <f aca="false">IF($A30="","",$A29-$E$1)</f>
        <v>-8304</v>
      </c>
      <c r="AL29" s="182" t="e">
        <f aca="false">IF($A30="","",SPRDOPT(P29,X29,AI29,0,AB29,AE29,AF29,AK29,$AJ$2,0))</f>
        <v>#NAME?</v>
      </c>
      <c r="AM29" s="211" t="e">
        <f aca="false">IF($A30="","",MAX(0,O29-W29-AI29))</f>
        <v>#N/A</v>
      </c>
      <c r="AN29" s="211" t="e">
        <f aca="false">IF($A30="","",AL29-AM29)</f>
        <v>#N/A</v>
      </c>
      <c r="AO29" s="137" t="n">
        <f aca="false">IF(A30="","",A30-A29)</f>
        <v>31</v>
      </c>
      <c r="AP29" s="212" t="n">
        <f aca="false">IF(A30="","",CHOOSE(F$3,A30+24,A29))</f>
        <v>37622</v>
      </c>
      <c r="AQ29" s="209" t="n">
        <f aca="false">IF(A30="","",AP29-$E$1)</f>
        <v>-8304</v>
      </c>
      <c r="AR29" s="185" t="n">
        <f aca="false">'ANR OK vs ML7'!AR29</f>
        <v>0.1</v>
      </c>
      <c r="AS29" s="213" t="n">
        <f aca="false">IF(A30="","",1/(1+CHOOSE(F$3,(AR30+($I$3/10000))/2,(AR29+($I$3/10000))/2))^(2*AQ29/365.25))</f>
        <v>9.19352824742094</v>
      </c>
      <c r="AT29" s="137" t="n">
        <f aca="false">IF(A30="","",IF(AND(mthbeg&lt;=A29,mthend&gt;=A29),1,0))</f>
        <v>1</v>
      </c>
      <c r="AU29" s="137" t="n">
        <f aca="false">IF(A30="","",AO29*AT29)</f>
        <v>31</v>
      </c>
      <c r="AW29" s="195" t="e">
        <f aca="false">IF($A30="","",AL29*$E29)</f>
        <v>#NAME?</v>
      </c>
      <c r="AX29" s="195" t="e">
        <f aca="false">IF($A30="","",AM29*$E29)</f>
        <v>#N/A</v>
      </c>
      <c r="AY29" s="195" t="e">
        <f aca="false">IF($A30="","",AN29*$E29)</f>
        <v>#N/A</v>
      </c>
      <c r="BA29" s="195" t="n">
        <f aca="false">IF($A30="","",F29*Summary!$Q$12)</f>
        <v>0</v>
      </c>
      <c r="BC29" s="179" t="e">
        <f aca="false">IF(A30="","",AM29*F29)</f>
        <v>#N/A</v>
      </c>
    </row>
    <row r="30" customFormat="false" ht="12.75" hidden="false" customHeight="false" outlineLevel="0" collapsed="false">
      <c r="A30" s="196" t="n">
        <f aca="false">IF(A29&lt;mthend,EDATE(A29,1),"")</f>
        <v>37653</v>
      </c>
      <c r="B30" s="197" t="n">
        <f aca="false">IF(A30&lt;mthend,B29,"")</f>
        <v>36522</v>
      </c>
      <c r="C30" s="215"/>
      <c r="D30" s="197" t="n">
        <f aca="false">IF(A31&lt;&gt;"",B30+C30,"")</f>
        <v>36522</v>
      </c>
      <c r="E30" s="199" t="n">
        <f aca="false">IF(A31="","",IF(AND(AT30=1,$H$3=1),D30*AO30,IF($H$3=2,D30,"N/A")))</f>
        <v>1022616</v>
      </c>
      <c r="F30" s="199" t="n">
        <f aca="false">IF(A31="","",E30*AS30)</f>
        <v>9323908.08602571</v>
      </c>
      <c r="G30" s="200" t="e">
        <f aca="false">IF($A31="","",VLOOKUP($A30,Table,MATCH(G$4,Curves,0)))</f>
        <v>#N/A</v>
      </c>
      <c r="H30" s="201" t="e">
        <f aca="false">IF(A31="","",G30)</f>
        <v>#N/A</v>
      </c>
      <c r="I30" s="202"/>
      <c r="J30" s="200" t="e">
        <f aca="false">IF($A31="","",VLOOKUP($A30,Table,MATCH(J$4,Curves,0)))</f>
        <v>#N/A</v>
      </c>
      <c r="K30" s="201" t="e">
        <f aca="false">IF(A31="","",J30)</f>
        <v>#N/A</v>
      </c>
      <c r="L30" s="200" t="e">
        <f aca="false">IF($A31="","",VLOOKUP($A30,Table,MATCH(L$4,Curves,0)))</f>
        <v>#N/A</v>
      </c>
      <c r="M30" s="201" t="e">
        <f aca="false">IF(A31="","",L30)</f>
        <v>#N/A</v>
      </c>
      <c r="N30" s="203"/>
      <c r="O30" s="200" t="e">
        <f aca="false">IF(A31="","",L30+J30+G30)</f>
        <v>#N/A</v>
      </c>
      <c r="P30" s="200" t="e">
        <f aca="false">IF(A31="","",M30+K30+H30)</f>
        <v>#N/A</v>
      </c>
      <c r="Q30" s="204"/>
      <c r="R30" s="200" t="e">
        <f aca="false">IF($A31="","",VLOOKUP($A30,Table,MATCH(R$4,Curves,0)))</f>
        <v>#N/A</v>
      </c>
      <c r="S30" s="201" t="e">
        <f aca="false">IF(A31="","",R30)</f>
        <v>#N/A</v>
      </c>
      <c r="T30" s="200" t="e">
        <f aca="false">IF($A31="","",VLOOKUP($A30,Table,MATCH(T$4,Curves,0)))</f>
        <v>#N/A</v>
      </c>
      <c r="U30" s="201" t="e">
        <f aca="false">IF(A31="","",T30)</f>
        <v>#N/A</v>
      </c>
      <c r="V30" s="225" t="e">
        <f aca="false">IF($A31="","",IF(AND(MONTH(A30)&gt;3,MONTH(A30)&lt;11),(T30+R30+G30)*(((1/(1-Summary!$T$12))/(1-Summary!$W$12))-1),(T30+R30+G30)*((1/(1-Summary!$U$12))/(1-Summary!$X$12)-1)))</f>
        <v>#N/A</v>
      </c>
      <c r="W30" s="200" t="e">
        <f aca="false">IF($A31="","",(T30+R30+G30+V30))</f>
        <v>#N/A</v>
      </c>
      <c r="X30" s="200" t="e">
        <f aca="false">IF($A31="","",(U30+S30+H30+V30))</f>
        <v>#N/A</v>
      </c>
      <c r="Y30" s="202"/>
      <c r="Z30" s="185" t="e">
        <f aca="false">IF($A31="","",VLOOKUP($A30,Table,MATCH(Z$4,Curves,0)))</f>
        <v>#N/A</v>
      </c>
      <c r="AA30" s="185" t="e">
        <f aca="false">IF($A31="","",VLOOKUP($A30,Table,MATCH(AA$4,Curves,0)))</f>
        <v>#N/A</v>
      </c>
      <c r="AB30" s="185" t="e">
        <f aca="false">SQRT((AA30^2*(A30-$D$3)+Z30^2*(DAY(EOMONTH(A30,0))/2))/AK30)</f>
        <v>#N/A</v>
      </c>
      <c r="AC30" s="185" t="e">
        <f aca="false">IF($A31="","",VLOOKUP($A30,Table,MATCH(AC$4,Curves,0)))</f>
        <v>#N/A</v>
      </c>
      <c r="AD30" s="185" t="e">
        <f aca="false">IF($A31="","",VLOOKUP($A30,Table,MATCH(AD$4,Curves,0)))</f>
        <v>#N/A</v>
      </c>
      <c r="AE30" s="185" t="e">
        <f aca="false">SQRT((AD30^2*(A30-$D$3)+AC30^2*(DAY(EOMONTH(A30,0))/2))/AK30)</f>
        <v>#N/A</v>
      </c>
      <c r="AF30" s="206" t="e">
        <f aca="false">((Summary!$N$12*(AA30*AD30)*(A30-$D$3))+(Summary!$M$12*Z30*AC30*(AJ30-EOMONTH(EDATE(A30,-1),0))))/(AK30*AB30*AE30)</f>
        <v>#N/A</v>
      </c>
      <c r="AG30" s="207" t="n">
        <f aca="false">IF($A31="","",Summary!$Q$12)</f>
        <v>0</v>
      </c>
      <c r="AH30" s="207" t="n">
        <f aca="false">IF($A31="","",IF(Summary!$R$12="Y",(VLOOKUP($A30,Summary!$AD$6:$AF$9,3)+'Escalating commodity'!H43),'Escalating commodity'!H43))</f>
        <v>0.029</v>
      </c>
      <c r="AI30" s="207" t="n">
        <f aca="false">IF($A31="","",AH30)</f>
        <v>0.029</v>
      </c>
      <c r="AJ30" s="208" t="n">
        <f aca="false">A30+DAY(EOMONTH(A30,0))/2-1</f>
        <v>37666</v>
      </c>
      <c r="AK30" s="209" t="n">
        <f aca="false">IF($A31="","",$A30-$E$1)</f>
        <v>-8273</v>
      </c>
      <c r="AL30" s="182" t="e">
        <f aca="false">IF($A31="","",SPRDOPT(P30,X30,AI30,0,AB30,AE30,AF30,AK30,$AJ$2,0))</f>
        <v>#NAME?</v>
      </c>
      <c r="AM30" s="211" t="e">
        <f aca="false">IF($A31="","",MAX(0,O30-W30-AI30))</f>
        <v>#N/A</v>
      </c>
      <c r="AN30" s="211" t="e">
        <f aca="false">IF($A31="","",AL30-AM30)</f>
        <v>#N/A</v>
      </c>
      <c r="AO30" s="137" t="n">
        <f aca="false">IF(A31="","",A31-A30)</f>
        <v>28</v>
      </c>
      <c r="AP30" s="212" t="n">
        <f aca="false">IF(A31="","",CHOOSE(F$3,A31+24,A30))</f>
        <v>37653</v>
      </c>
      <c r="AQ30" s="209" t="n">
        <f aca="false">IF(A31="","",AP30-$E$1)</f>
        <v>-8273</v>
      </c>
      <c r="AR30" s="185" t="n">
        <f aca="false">'ANR OK vs ML7'!AR30</f>
        <v>0.1</v>
      </c>
      <c r="AS30" s="213" t="n">
        <f aca="false">IF(A31="","",1/(1+CHOOSE(F$3,(AR31+($I$3/10000))/2,(AR30+($I$3/10000))/2))^(2*AQ30/365.25))</f>
        <v>9.11770213455071</v>
      </c>
      <c r="AT30" s="137" t="n">
        <f aca="false">IF(A31="","",IF(AND(mthbeg&lt;=A30,mthend&gt;=A30),1,0))</f>
        <v>1</v>
      </c>
      <c r="AU30" s="137" t="n">
        <f aca="false">IF(A31="","",AO30*AT30)</f>
        <v>28</v>
      </c>
      <c r="AW30" s="195" t="e">
        <f aca="false">IF($A31="","",AL30*$E30)</f>
        <v>#NAME?</v>
      </c>
      <c r="AX30" s="195" t="e">
        <f aca="false">IF($A31="","",AM30*$E30)</f>
        <v>#N/A</v>
      </c>
      <c r="AY30" s="195" t="e">
        <f aca="false">IF($A31="","",AN30*$E30)</f>
        <v>#N/A</v>
      </c>
      <c r="BA30" s="195" t="n">
        <f aca="false">IF($A31="","",F30*Summary!$Q$12)</f>
        <v>0</v>
      </c>
      <c r="BC30" s="179" t="e">
        <f aca="false">IF(A31="","",AM30*F30)</f>
        <v>#N/A</v>
      </c>
    </row>
    <row r="31" customFormat="false" ht="12.75" hidden="false" customHeight="false" outlineLevel="0" collapsed="false">
      <c r="A31" s="196" t="n">
        <f aca="false">IF(A30&lt;mthend,EDATE(A30,1),"")</f>
        <v>37681</v>
      </c>
      <c r="B31" s="197" t="n">
        <f aca="false">IF(A31&lt;mthend,B30,"")</f>
        <v>36522</v>
      </c>
      <c r="C31" s="215"/>
      <c r="D31" s="197" t="n">
        <f aca="false">IF(A32&lt;&gt;"",B31+C31,"")</f>
        <v>36522</v>
      </c>
      <c r="E31" s="199" t="n">
        <f aca="false">IF(A32="","",IF(AND(AT31=1,$H$3=1),D31*AO31,IF($H$3=2,D31,"N/A")))</f>
        <v>1132182</v>
      </c>
      <c r="F31" s="199" t="n">
        <f aca="false">IF(A32="","",E31*AS31)</f>
        <v>10245965.9990048</v>
      </c>
      <c r="G31" s="200" t="e">
        <f aca="false">IF($A32="","",VLOOKUP($A31,Table,MATCH(G$4,Curves,0)))</f>
        <v>#N/A</v>
      </c>
      <c r="H31" s="201" t="e">
        <f aca="false">IF(A32="","",G31)</f>
        <v>#N/A</v>
      </c>
      <c r="I31" s="202"/>
      <c r="J31" s="200" t="e">
        <f aca="false">IF($A32="","",VLOOKUP($A31,Table,MATCH(J$4,Curves,0)))</f>
        <v>#N/A</v>
      </c>
      <c r="K31" s="201" t="e">
        <f aca="false">IF(A32="","",J31)</f>
        <v>#N/A</v>
      </c>
      <c r="L31" s="200" t="e">
        <f aca="false">IF($A32="","",VLOOKUP($A31,Table,MATCH(L$4,Curves,0)))</f>
        <v>#N/A</v>
      </c>
      <c r="M31" s="201" t="e">
        <f aca="false">IF(A32="","",L31)</f>
        <v>#N/A</v>
      </c>
      <c r="N31" s="203"/>
      <c r="O31" s="200" t="e">
        <f aca="false">IF(A32="","",L31+J31+G31)</f>
        <v>#N/A</v>
      </c>
      <c r="P31" s="200" t="e">
        <f aca="false">IF(A32="","",M31+K31+H31)</f>
        <v>#N/A</v>
      </c>
      <c r="Q31" s="204"/>
      <c r="R31" s="200" t="e">
        <f aca="false">IF($A32="","",VLOOKUP($A31,Table,MATCH(R$4,Curves,0)))</f>
        <v>#N/A</v>
      </c>
      <c r="S31" s="201" t="e">
        <f aca="false">IF(A32="","",R31)</f>
        <v>#N/A</v>
      </c>
      <c r="T31" s="200" t="e">
        <f aca="false">IF($A32="","",VLOOKUP($A31,Table,MATCH(T$4,Curves,0)))</f>
        <v>#N/A</v>
      </c>
      <c r="U31" s="201" t="e">
        <f aca="false">IF(A32="","",T31)</f>
        <v>#N/A</v>
      </c>
      <c r="V31" s="225" t="e">
        <f aca="false">IF($A32="","",IF(AND(MONTH(A31)&gt;3,MONTH(A31)&lt;11),(T31+R31+G31)*(((1/(1-Summary!$T$12))/(1-Summary!$W$12))-1),(T31+R31+G31)*((1/(1-Summary!$U$12))/(1-Summary!$X$12)-1)))</f>
        <v>#N/A</v>
      </c>
      <c r="W31" s="200" t="e">
        <f aca="false">IF($A32="","",(T31+R31+G31+V31))</f>
        <v>#N/A</v>
      </c>
      <c r="X31" s="200" t="e">
        <f aca="false">IF($A32="","",(U31+S31+H31+V31))</f>
        <v>#N/A</v>
      </c>
      <c r="Y31" s="202"/>
      <c r="Z31" s="185" t="e">
        <f aca="false">IF($A32="","",VLOOKUP($A31,Table,MATCH(Z$4,Curves,0)))</f>
        <v>#N/A</v>
      </c>
      <c r="AA31" s="185" t="e">
        <f aca="false">IF($A32="","",VLOOKUP($A31,Table,MATCH(AA$4,Curves,0)))</f>
        <v>#N/A</v>
      </c>
      <c r="AB31" s="185" t="e">
        <f aca="false">SQRT((AA31^2*(A31-$D$3)+Z31^2*(DAY(EOMONTH(A31,0))/2))/AK31)</f>
        <v>#N/A</v>
      </c>
      <c r="AC31" s="185" t="e">
        <f aca="false">IF($A32="","",VLOOKUP($A31,Table,MATCH(AC$4,Curves,0)))</f>
        <v>#N/A</v>
      </c>
      <c r="AD31" s="185" t="e">
        <f aca="false">IF($A32="","",VLOOKUP($A31,Table,MATCH(AD$4,Curves,0)))</f>
        <v>#N/A</v>
      </c>
      <c r="AE31" s="185" t="e">
        <f aca="false">SQRT((AD31^2*(A31-$D$3)+AC31^2*(DAY(EOMONTH(A31,0))/2))/AK31)</f>
        <v>#N/A</v>
      </c>
      <c r="AF31" s="206" t="e">
        <f aca="false">((Summary!$N$12*(AA31*AD31)*(A31-$D$3))+(Summary!$M$12*Z31*AC31*(AJ31-EOMONTH(EDATE(A31,-1),0))))/(AK31*AB31*AE31)</f>
        <v>#N/A</v>
      </c>
      <c r="AG31" s="207" t="n">
        <f aca="false">IF($A32="","",Summary!$Q$12)</f>
        <v>0</v>
      </c>
      <c r="AH31" s="207" t="n">
        <f aca="false">IF($A32="","",IF(Summary!$R$12="Y",(VLOOKUP($A31,Summary!$AD$6:$AF$9,3)+'Escalating commodity'!H44),'Escalating commodity'!H44))</f>
        <v>0.029</v>
      </c>
      <c r="AI31" s="207" t="n">
        <f aca="false">IF($A32="","",AH31)</f>
        <v>0.029</v>
      </c>
      <c r="AJ31" s="208" t="n">
        <f aca="false">A31+DAY(EOMONTH(A31,0))/2-1</f>
        <v>37695.5</v>
      </c>
      <c r="AK31" s="209" t="n">
        <f aca="false">IF($A32="","",$A31-$E$1)</f>
        <v>-8245</v>
      </c>
      <c r="AL31" s="182" t="e">
        <f aca="false">IF($A32="","",SPRDOPT(P31,X31,AI31,0,AB31,AE31,AF31,AK31,$AJ$2,0))</f>
        <v>#NAME?</v>
      </c>
      <c r="AM31" s="211" t="e">
        <f aca="false">IF($A32="","",MAX(0,O31-W31-AI31))</f>
        <v>#N/A</v>
      </c>
      <c r="AN31" s="211" t="e">
        <f aca="false">IF($A32="","",AL31-AM31)</f>
        <v>#N/A</v>
      </c>
      <c r="AO31" s="137" t="n">
        <f aca="false">IF(A32="","",A32-A31)</f>
        <v>31</v>
      </c>
      <c r="AP31" s="212" t="n">
        <f aca="false">IF(A32="","",CHOOSE(F$3,A32+24,A31))</f>
        <v>37681</v>
      </c>
      <c r="AQ31" s="209" t="n">
        <f aca="false">IF(A32="","",AP31-$E$1)</f>
        <v>-8245</v>
      </c>
      <c r="AR31" s="185" t="n">
        <f aca="false">'ANR OK vs ML7'!AR31</f>
        <v>0.1</v>
      </c>
      <c r="AS31" s="213" t="n">
        <f aca="false">IF(A32="","",1/(1+CHOOSE(F$3,(AR32+($I$3/10000))/2,(AR31+($I$3/10000))/2))^(2*AQ31/365.25))</f>
        <v>9.0497517174843</v>
      </c>
      <c r="AT31" s="137" t="n">
        <f aca="false">IF(A32="","",IF(AND(mthbeg&lt;=A31,mthend&gt;=A31),1,0))</f>
        <v>1</v>
      </c>
      <c r="AU31" s="137" t="n">
        <f aca="false">IF(A32="","",AO31*AT31)</f>
        <v>31</v>
      </c>
      <c r="AW31" s="195" t="e">
        <f aca="false">IF($A32="","",AL31*$E31)</f>
        <v>#NAME?</v>
      </c>
      <c r="AX31" s="195" t="e">
        <f aca="false">IF($A32="","",AM31*$E31)</f>
        <v>#N/A</v>
      </c>
      <c r="AY31" s="195" t="e">
        <f aca="false">IF($A32="","",AN31*$E31)</f>
        <v>#N/A</v>
      </c>
      <c r="BA31" s="195" t="n">
        <f aca="false">IF($A32="","",F31*Summary!$Q$12)</f>
        <v>0</v>
      </c>
      <c r="BC31" s="179" t="e">
        <f aca="false">IF(A32="","",AM31*F31)</f>
        <v>#N/A</v>
      </c>
    </row>
    <row r="32" customFormat="false" ht="12.75" hidden="false" customHeight="false" outlineLevel="0" collapsed="false">
      <c r="A32" s="196" t="n">
        <f aca="false">IF(A31&lt;mthend,EDATE(A31,1),"")</f>
        <v>37712</v>
      </c>
      <c r="B32" s="197" t="n">
        <f aca="false">IF(A32&lt;mthend,B31,"")</f>
        <v>36522</v>
      </c>
      <c r="C32" s="215"/>
      <c r="D32" s="197" t="n">
        <f aca="false">IF(A33&lt;&gt;"",B32+C32,"")</f>
        <v>36522</v>
      </c>
      <c r="E32" s="199" t="n">
        <f aca="false">IF(A33="","",IF(AND(AT32=1,$H$3=1),D32*AO32,IF($H$3=2,D32,"N/A")))</f>
        <v>1095660</v>
      </c>
      <c r="F32" s="199" t="n">
        <f aca="false">IF(A33="","",E32*AS32)</f>
        <v>9833670.60085925</v>
      </c>
      <c r="G32" s="200" t="e">
        <f aca="false">IF($A33="","",VLOOKUP($A32,Table,MATCH(G$4,Curves,0)))</f>
        <v>#N/A</v>
      </c>
      <c r="H32" s="201" t="e">
        <f aca="false">IF(A33="","",G32)</f>
        <v>#N/A</v>
      </c>
      <c r="I32" s="202"/>
      <c r="J32" s="200" t="e">
        <f aca="false">IF($A33="","",VLOOKUP($A32,Table,MATCH(J$4,Curves,0)))</f>
        <v>#N/A</v>
      </c>
      <c r="K32" s="201" t="e">
        <f aca="false">IF(A33="","",J32)</f>
        <v>#N/A</v>
      </c>
      <c r="L32" s="200" t="e">
        <f aca="false">IF($A33="","",VLOOKUP($A32,Table,MATCH(L$4,Curves,0)))</f>
        <v>#N/A</v>
      </c>
      <c r="M32" s="201" t="e">
        <f aca="false">IF(A33="","",L32)</f>
        <v>#N/A</v>
      </c>
      <c r="N32" s="203"/>
      <c r="O32" s="200" t="e">
        <f aca="false">IF(A33="","",L32+J32+G32)</f>
        <v>#N/A</v>
      </c>
      <c r="P32" s="200" t="e">
        <f aca="false">IF(A33="","",M32+K32+H32)</f>
        <v>#N/A</v>
      </c>
      <c r="Q32" s="204"/>
      <c r="R32" s="200" t="e">
        <f aca="false">IF($A33="","",VLOOKUP($A32,Table,MATCH(R$4,Curves,0)))</f>
        <v>#N/A</v>
      </c>
      <c r="S32" s="201" t="e">
        <f aca="false">IF(A33="","",R32)</f>
        <v>#N/A</v>
      </c>
      <c r="T32" s="200" t="e">
        <f aca="false">IF($A33="","",VLOOKUP($A32,Table,MATCH(T$4,Curves,0)))</f>
        <v>#N/A</v>
      </c>
      <c r="U32" s="201" t="e">
        <f aca="false">IF(A33="","",T32)</f>
        <v>#N/A</v>
      </c>
      <c r="V32" s="225" t="e">
        <f aca="false">IF($A33="","",IF(AND(MONTH(A32)&gt;3,MONTH(A32)&lt;11),(T32+R32+G32)*(((1/(1-Summary!$T$12))/(1-Summary!$W$12))-1),(T32+R32+G32)*((1/(1-Summary!$U$12))/(1-Summary!$X$12)-1)))</f>
        <v>#N/A</v>
      </c>
      <c r="W32" s="200" t="e">
        <f aca="false">IF($A33="","",(T32+R32+G32+V32))</f>
        <v>#N/A</v>
      </c>
      <c r="X32" s="200" t="e">
        <f aca="false">IF($A33="","",(U32+S32+H32+V32))</f>
        <v>#N/A</v>
      </c>
      <c r="Y32" s="202"/>
      <c r="Z32" s="185" t="e">
        <f aca="false">IF($A33="","",VLOOKUP($A32,Table,MATCH(Z$4,Curves,0)))</f>
        <v>#N/A</v>
      </c>
      <c r="AA32" s="185" t="e">
        <f aca="false">IF($A33="","",VLOOKUP($A32,Table,MATCH(AA$4,Curves,0)))</f>
        <v>#N/A</v>
      </c>
      <c r="AB32" s="185" t="e">
        <f aca="false">SQRT((AA32^2*(A32-$D$3)+Z32^2*(DAY(EOMONTH(A32,0))/2))/AK32)</f>
        <v>#N/A</v>
      </c>
      <c r="AC32" s="185" t="e">
        <f aca="false">IF($A33="","",VLOOKUP($A32,Table,MATCH(AC$4,Curves,0)))</f>
        <v>#N/A</v>
      </c>
      <c r="AD32" s="185" t="e">
        <f aca="false">IF($A33="","",VLOOKUP($A32,Table,MATCH(AD$4,Curves,0)))</f>
        <v>#N/A</v>
      </c>
      <c r="AE32" s="185" t="e">
        <f aca="false">SQRT((AD32^2*(A32-$D$3)+AC32^2*(DAY(EOMONTH(A32,0))/2))/AK32)</f>
        <v>#N/A</v>
      </c>
      <c r="AF32" s="206" t="e">
        <f aca="false">((Summary!$N$12*(AA32*AD32)*(A32-$D$3))+(Summary!$M$12*Z32*AC32*(AJ32-EOMONTH(EDATE(A32,-1),0))))/(AK32*AB32*AE32)</f>
        <v>#N/A</v>
      </c>
      <c r="AG32" s="207" t="n">
        <f aca="false">IF($A33="","",Summary!$Q$12)</f>
        <v>0</v>
      </c>
      <c r="AH32" s="207" t="n">
        <f aca="false">IF($A33="","",IF(Summary!$R$12="Y",(VLOOKUP($A32,Summary!$AD$6:$AF$9,3)+'Escalating commodity'!H45),'Escalating commodity'!H45))</f>
        <v>0.029</v>
      </c>
      <c r="AI32" s="207" t="n">
        <f aca="false">IF($A33="","",AH32)</f>
        <v>0.029</v>
      </c>
      <c r="AJ32" s="208" t="n">
        <f aca="false">A32+DAY(EOMONTH(A32,0))/2-1</f>
        <v>37726</v>
      </c>
      <c r="AK32" s="209" t="n">
        <f aca="false">IF($A33="","",$A32-$E$1)</f>
        <v>-8214</v>
      </c>
      <c r="AL32" s="182" t="e">
        <f aca="false">IF($A33="","",SPRDOPT(P32,X32,AI32,0,AB32,AE32,AF32,AK32,$AJ$2,0))</f>
        <v>#NAME?</v>
      </c>
      <c r="AM32" s="211" t="e">
        <f aca="false">IF($A33="","",MAX(0,O32-W32-AI32))</f>
        <v>#N/A</v>
      </c>
      <c r="AN32" s="211" t="e">
        <f aca="false">IF($A33="","",AL32-AM32)</f>
        <v>#N/A</v>
      </c>
      <c r="AO32" s="137" t="n">
        <f aca="false">IF(A33="","",A33-A32)</f>
        <v>30</v>
      </c>
      <c r="AP32" s="212" t="n">
        <f aca="false">IF(A33="","",CHOOSE(F$3,A33+24,A32))</f>
        <v>37712</v>
      </c>
      <c r="AQ32" s="209" t="n">
        <f aca="false">IF(A33="","",AP32-$E$1)</f>
        <v>-8214</v>
      </c>
      <c r="AR32" s="185" t="n">
        <f aca="false">'ANR OK vs ML7'!AR32</f>
        <v>0.1</v>
      </c>
      <c r="AS32" s="213" t="n">
        <f aca="false">IF(A33="","",1/(1+CHOOSE(F$3,(AR33+($I$3/10000))/2,(AR32+($I$3/10000))/2))^(2*AQ32/365.25))</f>
        <v>8.97511144046442</v>
      </c>
      <c r="AT32" s="137" t="n">
        <f aca="false">IF(A33="","",IF(AND(mthbeg&lt;=A32,mthend&gt;=A32),1,0))</f>
        <v>1</v>
      </c>
      <c r="AU32" s="137" t="n">
        <f aca="false">IF(A33="","",AO32*AT32)</f>
        <v>30</v>
      </c>
      <c r="AW32" s="195" t="e">
        <f aca="false">IF($A33="","",AL32*$E32)</f>
        <v>#NAME?</v>
      </c>
      <c r="AX32" s="195" t="e">
        <f aca="false">IF($A33="","",AM32*$E32)</f>
        <v>#N/A</v>
      </c>
      <c r="AY32" s="195" t="e">
        <f aca="false">IF($A33="","",AN32*$E32)</f>
        <v>#N/A</v>
      </c>
      <c r="BA32" s="195" t="n">
        <f aca="false">IF($A33="","",F32*Summary!$Q$12)</f>
        <v>0</v>
      </c>
      <c r="BC32" s="179" t="e">
        <f aca="false">IF(A33="","",AM32*F32)</f>
        <v>#N/A</v>
      </c>
    </row>
    <row r="33" customFormat="false" ht="12.75" hidden="false" customHeight="false" outlineLevel="0" collapsed="false">
      <c r="A33" s="196" t="n">
        <f aca="false">IF(A32&lt;mthend,EDATE(A32,1),"")</f>
        <v>37742</v>
      </c>
      <c r="B33" s="197" t="n">
        <f aca="false">IF(A33&lt;mthend,B32,"")</f>
        <v>36522</v>
      </c>
      <c r="C33" s="215"/>
      <c r="D33" s="197" t="n">
        <f aca="false">IF(A34&lt;&gt;"",B33+C33,"")</f>
        <v>36522</v>
      </c>
      <c r="E33" s="199" t="n">
        <f aca="false">IF(A34="","",IF(AND(AT33=1,$H$3=1),D33*AO33,IF($H$3=2,D33,"N/A")))</f>
        <v>1132182</v>
      </c>
      <c r="F33" s="199" t="n">
        <f aca="false">IF(A34="","",E33*AS33)</f>
        <v>10080342.9405294</v>
      </c>
      <c r="G33" s="200" t="e">
        <f aca="false">IF($A34="","",VLOOKUP($A33,Table,MATCH(G$4,Curves,0)))</f>
        <v>#N/A</v>
      </c>
      <c r="H33" s="201" t="e">
        <f aca="false">IF(A34="","",G33)</f>
        <v>#N/A</v>
      </c>
      <c r="I33" s="202"/>
      <c r="J33" s="200" t="e">
        <f aca="false">IF($A34="","",VLOOKUP($A33,Table,MATCH(J$4,Curves,0)))</f>
        <v>#N/A</v>
      </c>
      <c r="K33" s="201" t="e">
        <f aca="false">IF(A34="","",J33)</f>
        <v>#N/A</v>
      </c>
      <c r="L33" s="200" t="e">
        <f aca="false">IF($A34="","",VLOOKUP($A33,Table,MATCH(L$4,Curves,0)))</f>
        <v>#N/A</v>
      </c>
      <c r="M33" s="201" t="e">
        <f aca="false">IF(A34="","",L33)</f>
        <v>#N/A</v>
      </c>
      <c r="N33" s="203"/>
      <c r="O33" s="200" t="e">
        <f aca="false">IF(A34="","",L33+J33+G33)</f>
        <v>#N/A</v>
      </c>
      <c r="P33" s="200" t="e">
        <f aca="false">IF(A34="","",M33+K33+H33)</f>
        <v>#N/A</v>
      </c>
      <c r="Q33" s="204"/>
      <c r="R33" s="200" t="e">
        <f aca="false">IF($A34="","",VLOOKUP($A33,Table,MATCH(R$4,Curves,0)))</f>
        <v>#N/A</v>
      </c>
      <c r="S33" s="201" t="e">
        <f aca="false">IF(A34="","",R33)</f>
        <v>#N/A</v>
      </c>
      <c r="T33" s="200" t="e">
        <f aca="false">IF($A34="","",VLOOKUP($A33,Table,MATCH(T$4,Curves,0)))</f>
        <v>#N/A</v>
      </c>
      <c r="U33" s="201" t="e">
        <f aca="false">IF(A34="","",T33)</f>
        <v>#N/A</v>
      </c>
      <c r="V33" s="225" t="e">
        <f aca="false">IF($A34="","",IF(AND(MONTH(A33)&gt;3,MONTH(A33)&lt;11),(T33+R33+G33)*(((1/(1-Summary!$T$12))/(1-Summary!$W$12))-1),(T33+R33+G33)*((1/(1-Summary!$U$12))/(1-Summary!$X$12)-1)))</f>
        <v>#N/A</v>
      </c>
      <c r="W33" s="200" t="e">
        <f aca="false">IF($A34="","",(T33+R33+G33+V33))</f>
        <v>#N/A</v>
      </c>
      <c r="X33" s="200" t="e">
        <f aca="false">IF($A34="","",(U33+S33+H33+V33))</f>
        <v>#N/A</v>
      </c>
      <c r="Y33" s="202"/>
      <c r="Z33" s="185" t="e">
        <f aca="false">IF($A34="","",VLOOKUP($A33,Table,MATCH(Z$4,Curves,0)))</f>
        <v>#N/A</v>
      </c>
      <c r="AA33" s="185" t="e">
        <f aca="false">IF($A34="","",VLOOKUP($A33,Table,MATCH(AA$4,Curves,0)))</f>
        <v>#N/A</v>
      </c>
      <c r="AB33" s="185" t="e">
        <f aca="false">SQRT((AA33^2*(A33-$D$3)+Z33^2*(DAY(EOMONTH(A33,0))/2))/AK33)</f>
        <v>#N/A</v>
      </c>
      <c r="AC33" s="185" t="e">
        <f aca="false">IF($A34="","",VLOOKUP($A33,Table,MATCH(AC$4,Curves,0)))</f>
        <v>#N/A</v>
      </c>
      <c r="AD33" s="185" t="e">
        <f aca="false">IF($A34="","",VLOOKUP($A33,Table,MATCH(AD$4,Curves,0)))</f>
        <v>#N/A</v>
      </c>
      <c r="AE33" s="185" t="e">
        <f aca="false">SQRT((AD33^2*(A33-$D$3)+AC33^2*(DAY(EOMONTH(A33,0))/2))/AK33)</f>
        <v>#N/A</v>
      </c>
      <c r="AF33" s="206" t="e">
        <f aca="false">((Summary!$N$12*(AA33*AD33)*(A33-$D$3))+(Summary!$M$12*Z33*AC33*(AJ33-EOMONTH(EDATE(A33,-1),0))))/(AK33*AB33*AE33)</f>
        <v>#N/A</v>
      </c>
      <c r="AG33" s="207" t="n">
        <f aca="false">IF($A34="","",Summary!$Q$12)</f>
        <v>0</v>
      </c>
      <c r="AH33" s="207" t="n">
        <f aca="false">IF($A34="","",IF(Summary!$R$12="Y",(VLOOKUP($A33,Summary!$AD$6:$AF$9,3)+'Escalating commodity'!H46),'Escalating commodity'!H46))</f>
        <v>0.029</v>
      </c>
      <c r="AI33" s="207" t="n">
        <f aca="false">IF($A34="","",AH33)</f>
        <v>0.029</v>
      </c>
      <c r="AJ33" s="208" t="n">
        <f aca="false">A33+DAY(EOMONTH(A33,0))/2-1</f>
        <v>37756.5</v>
      </c>
      <c r="AK33" s="209" t="n">
        <f aca="false">IF($A34="","",$A33-$E$1)</f>
        <v>-8184</v>
      </c>
      <c r="AL33" s="182" t="e">
        <f aca="false">IF($A34="","",SPRDOPT(P33,X33,AI33,0,AB33,AE33,AF33,AK33,$AJ$2,0))</f>
        <v>#NAME?</v>
      </c>
      <c r="AM33" s="211" t="e">
        <f aca="false">IF($A34="","",MAX(0,O33-W33-AI33))</f>
        <v>#N/A</v>
      </c>
      <c r="AN33" s="211" t="e">
        <f aca="false">IF($A34="","",AL33-AM33)</f>
        <v>#N/A</v>
      </c>
      <c r="AO33" s="137" t="n">
        <f aca="false">IF(A34="","",A34-A33)</f>
        <v>31</v>
      </c>
      <c r="AP33" s="212" t="n">
        <f aca="false">IF(A34="","",CHOOSE(F$3,A34+24,A33))</f>
        <v>37742</v>
      </c>
      <c r="AQ33" s="209" t="n">
        <f aca="false">IF(A34="","",AP33-$E$1)</f>
        <v>-8184</v>
      </c>
      <c r="AR33" s="185" t="n">
        <f aca="false">'ANR OK vs ML7'!AR33</f>
        <v>0.1</v>
      </c>
      <c r="AS33" s="213" t="n">
        <f aca="false">IF(A34="","",1/(1+CHOOSE(F$3,(AR34+($I$3/10000))/2,(AR33+($I$3/10000))/2))^(2*AQ33/365.25))</f>
        <v>8.90346511473369</v>
      </c>
      <c r="AT33" s="137" t="n">
        <f aca="false">IF(A34="","",IF(AND(mthbeg&lt;=A33,mthend&gt;=A33),1,0))</f>
        <v>1</v>
      </c>
      <c r="AU33" s="137" t="n">
        <f aca="false">IF(A34="","",AO33*AT33)</f>
        <v>31</v>
      </c>
      <c r="AW33" s="195" t="e">
        <f aca="false">IF($A34="","",AL33*$E33)</f>
        <v>#NAME?</v>
      </c>
      <c r="AX33" s="195" t="e">
        <f aca="false">IF($A34="","",AM33*$E33)</f>
        <v>#N/A</v>
      </c>
      <c r="AY33" s="195" t="e">
        <f aca="false">IF($A34="","",AN33*$E33)</f>
        <v>#N/A</v>
      </c>
      <c r="BA33" s="195" t="n">
        <f aca="false">IF($A34="","",F33*Summary!$Q$12)</f>
        <v>0</v>
      </c>
      <c r="BC33" s="179" t="e">
        <f aca="false">IF(A34="","",AM33*F33)</f>
        <v>#N/A</v>
      </c>
    </row>
    <row r="34" customFormat="false" ht="12.75" hidden="false" customHeight="false" outlineLevel="0" collapsed="false">
      <c r="A34" s="196" t="n">
        <f aca="false">IF(A33&lt;mthend,EDATE(A33,1),"")</f>
        <v>37773</v>
      </c>
      <c r="B34" s="197" t="n">
        <f aca="false">IF(A34&lt;mthend,B33,"")</f>
        <v>36522</v>
      </c>
      <c r="C34" s="215"/>
      <c r="D34" s="197" t="n">
        <f aca="false">IF(A35&lt;&gt;"",B34+C34,"")</f>
        <v>36522</v>
      </c>
      <c r="E34" s="199" t="n">
        <f aca="false">IF(A35="","",IF(AND(AT34=1,$H$3=1),D34*AO34,IF($H$3=2,D34,"N/A")))</f>
        <v>1095660</v>
      </c>
      <c r="F34" s="199" t="n">
        <f aca="false">IF(A35="","",E34*AS34)</f>
        <v>9674712.17750395</v>
      </c>
      <c r="G34" s="200" t="e">
        <f aca="false">IF($A35="","",VLOOKUP($A34,Table,MATCH(G$4,Curves,0)))</f>
        <v>#N/A</v>
      </c>
      <c r="H34" s="201" t="e">
        <f aca="false">IF(A35="","",G34)</f>
        <v>#N/A</v>
      </c>
      <c r="I34" s="202"/>
      <c r="J34" s="200" t="e">
        <f aca="false">IF($A35="","",VLOOKUP($A34,Table,MATCH(J$4,Curves,0)))</f>
        <v>#N/A</v>
      </c>
      <c r="K34" s="201" t="e">
        <f aca="false">IF(A35="","",J34)</f>
        <v>#N/A</v>
      </c>
      <c r="L34" s="200" t="e">
        <f aca="false">IF($A35="","",VLOOKUP($A34,Table,MATCH(L$4,Curves,0)))</f>
        <v>#N/A</v>
      </c>
      <c r="M34" s="201" t="e">
        <f aca="false">IF(A35="","",L34)</f>
        <v>#N/A</v>
      </c>
      <c r="N34" s="203"/>
      <c r="O34" s="200" t="e">
        <f aca="false">IF(A35="","",L34+J34+G34)</f>
        <v>#N/A</v>
      </c>
      <c r="P34" s="200" t="e">
        <f aca="false">IF(A35="","",M34+K34+H34)</f>
        <v>#N/A</v>
      </c>
      <c r="Q34" s="204"/>
      <c r="R34" s="200" t="e">
        <f aca="false">IF($A35="","",VLOOKUP($A34,Table,MATCH(R$4,Curves,0)))</f>
        <v>#N/A</v>
      </c>
      <c r="S34" s="201" t="e">
        <f aca="false">IF(A35="","",R34)</f>
        <v>#N/A</v>
      </c>
      <c r="T34" s="200" t="e">
        <f aca="false">IF($A35="","",VLOOKUP($A34,Table,MATCH(T$4,Curves,0)))</f>
        <v>#N/A</v>
      </c>
      <c r="U34" s="201" t="e">
        <f aca="false">IF(A35="","",T34)</f>
        <v>#N/A</v>
      </c>
      <c r="V34" s="225" t="e">
        <f aca="false">IF($A35="","",IF(AND(MONTH(A34)&gt;3,MONTH(A34)&lt;11),(T34+R34+G34)*(((1/(1-Summary!$T$12))/(1-Summary!$W$12))-1),(T34+R34+G34)*((1/(1-Summary!$U$12))/(1-Summary!$X$12)-1)))</f>
        <v>#N/A</v>
      </c>
      <c r="W34" s="200" t="e">
        <f aca="false">IF($A35="","",(T34+R34+G34+V34))</f>
        <v>#N/A</v>
      </c>
      <c r="X34" s="200" t="e">
        <f aca="false">IF($A35="","",(U34+S34+H34+V34))</f>
        <v>#N/A</v>
      </c>
      <c r="Y34" s="202"/>
      <c r="Z34" s="185" t="e">
        <f aca="false">IF($A35="","",VLOOKUP($A34,Table,MATCH(Z$4,Curves,0)))</f>
        <v>#N/A</v>
      </c>
      <c r="AA34" s="185" t="e">
        <f aca="false">IF($A35="","",VLOOKUP($A34,Table,MATCH(AA$4,Curves,0)))</f>
        <v>#N/A</v>
      </c>
      <c r="AB34" s="185" t="e">
        <f aca="false">SQRT((AA34^2*(A34-$D$3)+Z34^2*(DAY(EOMONTH(A34,0))/2))/AK34)</f>
        <v>#N/A</v>
      </c>
      <c r="AC34" s="185" t="e">
        <f aca="false">IF($A35="","",VLOOKUP($A34,Table,MATCH(AC$4,Curves,0)))</f>
        <v>#N/A</v>
      </c>
      <c r="AD34" s="185" t="e">
        <f aca="false">IF($A35="","",VLOOKUP($A34,Table,MATCH(AD$4,Curves,0)))</f>
        <v>#N/A</v>
      </c>
      <c r="AE34" s="185" t="e">
        <f aca="false">SQRT((AD34^2*(A34-$D$3)+AC34^2*(DAY(EOMONTH(A34,0))/2))/AK34)</f>
        <v>#N/A</v>
      </c>
      <c r="AF34" s="206" t="e">
        <f aca="false">((Summary!$N$12*(AA34*AD34)*(A34-$D$3))+(Summary!$M$12*Z34*AC34*(AJ34-EOMONTH(EDATE(A34,-1),0))))/(AK34*AB34*AE34)</f>
        <v>#N/A</v>
      </c>
      <c r="AG34" s="207" t="n">
        <f aca="false">IF($A35="","",Summary!$Q$12)</f>
        <v>0</v>
      </c>
      <c r="AH34" s="207" t="n">
        <f aca="false">IF($A35="","",IF(Summary!$R$12="Y",(VLOOKUP($A34,Summary!$AD$6:$AF$9,3)+'Escalating commodity'!H47),'Escalating commodity'!H47))</f>
        <v>0.029</v>
      </c>
      <c r="AI34" s="207" t="n">
        <f aca="false">IF($A35="","",AH34)</f>
        <v>0.029</v>
      </c>
      <c r="AJ34" s="208" t="n">
        <f aca="false">A34+DAY(EOMONTH(A34,0))/2-1</f>
        <v>37787</v>
      </c>
      <c r="AK34" s="209" t="n">
        <f aca="false">IF($A35="","",$A34-$E$1)</f>
        <v>-8153</v>
      </c>
      <c r="AL34" s="182" t="e">
        <f aca="false">IF($A35="","",SPRDOPT(P34,X34,AI34,0,AB34,AE34,AF34,AK34,$AJ$2,0))</f>
        <v>#NAME?</v>
      </c>
      <c r="AM34" s="211" t="e">
        <f aca="false">IF($A35="","",MAX(0,O34-W34-AI34))</f>
        <v>#N/A</v>
      </c>
      <c r="AN34" s="211" t="e">
        <f aca="false">IF($A35="","",AL34-AM34)</f>
        <v>#N/A</v>
      </c>
      <c r="AO34" s="137" t="n">
        <f aca="false">IF(A35="","",A35-A34)</f>
        <v>30</v>
      </c>
      <c r="AP34" s="212" t="n">
        <f aca="false">IF(A35="","",CHOOSE(F$3,A35+24,A34))</f>
        <v>37773</v>
      </c>
      <c r="AQ34" s="209" t="n">
        <f aca="false">IF(A35="","",AP34-$E$1)</f>
        <v>-8153</v>
      </c>
      <c r="AR34" s="185" t="n">
        <f aca="false">'ANR OK vs ML7'!AR34</f>
        <v>0.1</v>
      </c>
      <c r="AS34" s="213" t="n">
        <f aca="false">IF(A35="","",1/(1+CHOOSE(F$3,(AR35+($I$3/10000))/2,(AR34+($I$3/10000))/2))^(2*AQ34/365.25))</f>
        <v>8.83003137606917</v>
      </c>
      <c r="AT34" s="137" t="n">
        <f aca="false">IF(A35="","",IF(AND(mthbeg&lt;=A34,mthend&gt;=A34),1,0))</f>
        <v>1</v>
      </c>
      <c r="AU34" s="137" t="n">
        <f aca="false">IF(A35="","",AO34*AT34)</f>
        <v>30</v>
      </c>
      <c r="AW34" s="195" t="e">
        <f aca="false">IF($A35="","",AL34*$E34)</f>
        <v>#NAME?</v>
      </c>
      <c r="AX34" s="195" t="e">
        <f aca="false">IF($A35="","",AM34*$E34)</f>
        <v>#N/A</v>
      </c>
      <c r="AY34" s="195" t="e">
        <f aca="false">IF($A35="","",AN34*$E34)</f>
        <v>#N/A</v>
      </c>
      <c r="BA34" s="195" t="n">
        <f aca="false">IF($A35="","",F34*Summary!$Q$12)</f>
        <v>0</v>
      </c>
      <c r="BC34" s="179" t="e">
        <f aca="false">IF(A35="","",AM34*F34)</f>
        <v>#N/A</v>
      </c>
    </row>
    <row r="35" customFormat="false" ht="12.75" hidden="false" customHeight="false" outlineLevel="0" collapsed="false">
      <c r="A35" s="196" t="n">
        <f aca="false">IF(A34&lt;mthend,EDATE(A34,1),"")</f>
        <v>37803</v>
      </c>
      <c r="B35" s="197" t="n">
        <f aca="false">IF(A35&lt;mthend,B34,"")</f>
        <v>36522</v>
      </c>
      <c r="C35" s="215"/>
      <c r="D35" s="197" t="n">
        <f aca="false">IF(A36&lt;&gt;"",B35+C35,"")</f>
        <v>36522</v>
      </c>
      <c r="E35" s="199" t="n">
        <f aca="false">IF(A36="","",IF(AND(AT35=1,$H$3=1),D35*AO35,IF($H$3=2,D35,"N/A")))</f>
        <v>1132182</v>
      </c>
      <c r="F35" s="199" t="n">
        <f aca="false">IF(A36="","",E35*AS35)</f>
        <v>9917397.13059276</v>
      </c>
      <c r="G35" s="200" t="e">
        <f aca="false">IF($A36="","",VLOOKUP($A35,Table,MATCH(G$4,Curves,0)))</f>
        <v>#N/A</v>
      </c>
      <c r="H35" s="201" t="e">
        <f aca="false">IF(A36="","",G35)</f>
        <v>#N/A</v>
      </c>
      <c r="I35" s="202"/>
      <c r="J35" s="200" t="e">
        <f aca="false">IF($A36="","",VLOOKUP($A35,Table,MATCH(J$4,Curves,0)))</f>
        <v>#N/A</v>
      </c>
      <c r="K35" s="201" t="e">
        <f aca="false">IF(A36="","",J35)</f>
        <v>#N/A</v>
      </c>
      <c r="L35" s="200" t="e">
        <f aca="false">IF($A36="","",VLOOKUP($A35,Table,MATCH(L$4,Curves,0)))</f>
        <v>#N/A</v>
      </c>
      <c r="M35" s="201" t="e">
        <f aca="false">IF(A36="","",L35)</f>
        <v>#N/A</v>
      </c>
      <c r="N35" s="203"/>
      <c r="O35" s="200" t="e">
        <f aca="false">IF(A36="","",L35+J35+G35)</f>
        <v>#N/A</v>
      </c>
      <c r="P35" s="200" t="e">
        <f aca="false">IF(A36="","",M35+K35+H35)</f>
        <v>#N/A</v>
      </c>
      <c r="Q35" s="204"/>
      <c r="R35" s="200" t="e">
        <f aca="false">IF($A36="","",VLOOKUP($A35,Table,MATCH(R$4,Curves,0)))</f>
        <v>#N/A</v>
      </c>
      <c r="S35" s="201" t="e">
        <f aca="false">IF(A36="","",R35)</f>
        <v>#N/A</v>
      </c>
      <c r="T35" s="200" t="e">
        <f aca="false">IF($A36="","",VLOOKUP($A35,Table,MATCH(T$4,Curves,0)))</f>
        <v>#N/A</v>
      </c>
      <c r="U35" s="201" t="e">
        <f aca="false">IF(A36="","",T35)</f>
        <v>#N/A</v>
      </c>
      <c r="V35" s="225" t="e">
        <f aca="false">IF($A36="","",IF(AND(MONTH(A35)&gt;3,MONTH(A35)&lt;11),(T35+R35+G35)*(((1/(1-Summary!$T$12))/(1-Summary!$W$12))-1),(T35+R35+G35)*((1/(1-Summary!$U$12))/(1-Summary!$X$12)-1)))</f>
        <v>#N/A</v>
      </c>
      <c r="W35" s="200" t="e">
        <f aca="false">IF($A36="","",(T35+R35+G35+V35))</f>
        <v>#N/A</v>
      </c>
      <c r="X35" s="200" t="e">
        <f aca="false">IF($A36="","",(U35+S35+H35+V35))</f>
        <v>#N/A</v>
      </c>
      <c r="Y35" s="202"/>
      <c r="Z35" s="185" t="e">
        <f aca="false">IF($A36="","",VLOOKUP($A35,Table,MATCH(Z$4,Curves,0)))</f>
        <v>#N/A</v>
      </c>
      <c r="AA35" s="185" t="e">
        <f aca="false">IF($A36="","",VLOOKUP($A35,Table,MATCH(AA$4,Curves,0)))</f>
        <v>#N/A</v>
      </c>
      <c r="AB35" s="185" t="e">
        <f aca="false">SQRT((AA35^2*(A35-$D$3)+Z35^2*(DAY(EOMONTH(A35,0))/2))/AK35)</f>
        <v>#N/A</v>
      </c>
      <c r="AC35" s="185" t="e">
        <f aca="false">IF($A36="","",VLOOKUP($A35,Table,MATCH(AC$4,Curves,0)))</f>
        <v>#N/A</v>
      </c>
      <c r="AD35" s="185" t="e">
        <f aca="false">IF($A36="","",VLOOKUP($A35,Table,MATCH(AD$4,Curves,0)))</f>
        <v>#N/A</v>
      </c>
      <c r="AE35" s="185" t="e">
        <f aca="false">SQRT((AD35^2*(A35-$D$3)+AC35^2*(DAY(EOMONTH(A35,0))/2))/AK35)</f>
        <v>#N/A</v>
      </c>
      <c r="AF35" s="206" t="e">
        <f aca="false">((Summary!$N$12*(AA35*AD35)*(A35-$D$3))+(Summary!$M$12*Z35*AC35*(AJ35-EOMONTH(EDATE(A35,-1),0))))/(AK35*AB35*AE35)</f>
        <v>#N/A</v>
      </c>
      <c r="AG35" s="207" t="n">
        <f aca="false">IF($A36="","",Summary!$Q$12)</f>
        <v>0</v>
      </c>
      <c r="AH35" s="207" t="n">
        <f aca="false">IF($A36="","",IF(Summary!$R$12="Y",(VLOOKUP($A35,Summary!$AD$6:$AF$9,3)+'Escalating commodity'!H48),'Escalating commodity'!H48))</f>
        <v>0.029</v>
      </c>
      <c r="AI35" s="207" t="n">
        <f aca="false">IF($A36="","",AH35)</f>
        <v>0.029</v>
      </c>
      <c r="AJ35" s="208" t="n">
        <f aca="false">A35+DAY(EOMONTH(A35,0))/2-1</f>
        <v>37817.5</v>
      </c>
      <c r="AK35" s="209" t="n">
        <f aca="false">IF($A36="","",$A35-$E$1)</f>
        <v>-8123</v>
      </c>
      <c r="AL35" s="182" t="e">
        <f aca="false">IF($A36="","",SPRDOPT(P35,X35,AI35,0,AB35,AE35,AF35,AK35,$AJ$2,0))</f>
        <v>#NAME?</v>
      </c>
      <c r="AM35" s="211" t="e">
        <f aca="false">IF($A36="","",MAX(0,O35-W35-AI35))</f>
        <v>#N/A</v>
      </c>
      <c r="AN35" s="211" t="e">
        <f aca="false">IF($A36="","",AL35-AM35)</f>
        <v>#N/A</v>
      </c>
      <c r="AO35" s="137" t="n">
        <f aca="false">IF(A36="","",A36-A35)</f>
        <v>31</v>
      </c>
      <c r="AP35" s="212" t="n">
        <f aca="false">IF(A36="","",CHOOSE(F$3,A36+24,A35))</f>
        <v>37803</v>
      </c>
      <c r="AQ35" s="209" t="n">
        <f aca="false">IF(A36="","",AP35-$E$1)</f>
        <v>-8123</v>
      </c>
      <c r="AR35" s="185" t="n">
        <f aca="false">'ANR OK vs ML7'!AR35</f>
        <v>0.1</v>
      </c>
      <c r="AS35" s="213" t="n">
        <f aca="false">IF(A36="","",1/(1+CHOOSE(F$3,(AR36+($I$3/10000))/2,(AR35+($I$3/10000))/2))^(2*AQ35/365.25))</f>
        <v>8.75954319234254</v>
      </c>
      <c r="AT35" s="137" t="n">
        <f aca="false">IF(A36="","",IF(AND(mthbeg&lt;=A35,mthend&gt;=A35),1,0))</f>
        <v>1</v>
      </c>
      <c r="AU35" s="137" t="n">
        <f aca="false">IF(A36="","",AO35*AT35)</f>
        <v>31</v>
      </c>
      <c r="AW35" s="195" t="e">
        <f aca="false">IF($A36="","",AL35*$E35)</f>
        <v>#NAME?</v>
      </c>
      <c r="AX35" s="195" t="e">
        <f aca="false">IF($A36="","",AM35*$E35)</f>
        <v>#N/A</v>
      </c>
      <c r="AY35" s="195" t="e">
        <f aca="false">IF($A36="","",AN35*$E35)</f>
        <v>#N/A</v>
      </c>
      <c r="BA35" s="195" t="n">
        <f aca="false">IF($A36="","",F35*Summary!$Q$12)</f>
        <v>0</v>
      </c>
      <c r="BC35" s="179" t="e">
        <f aca="false">IF(A36="","",AM35*F35)</f>
        <v>#N/A</v>
      </c>
    </row>
    <row r="36" customFormat="false" ht="12.75" hidden="false" customHeight="false" outlineLevel="0" collapsed="false">
      <c r="A36" s="196" t="n">
        <f aca="false">IF(A35&lt;mthend,EDATE(A35,1),"")</f>
        <v>37834</v>
      </c>
      <c r="B36" s="197" t="n">
        <f aca="false">IF(A36&lt;mthend,B35,"")</f>
        <v>36522</v>
      </c>
      <c r="C36" s="215"/>
      <c r="D36" s="197" t="n">
        <f aca="false">IF(A37&lt;&gt;"",B36+C36,"")</f>
        <v>36522</v>
      </c>
      <c r="E36" s="199" t="n">
        <f aca="false">IF(A37="","",IF(AND(AT36=1,$H$3=1),D36*AO36,IF($H$3=2,D36,"N/A")))</f>
        <v>1132182</v>
      </c>
      <c r="F36" s="199" t="n">
        <f aca="false">IF(A37="","",E36*AS36)</f>
        <v>9835600.71316028</v>
      </c>
      <c r="G36" s="200" t="e">
        <f aca="false">IF($A37="","",VLOOKUP($A36,Table,MATCH(G$4,Curves,0)))</f>
        <v>#N/A</v>
      </c>
      <c r="H36" s="201" t="e">
        <f aca="false">IF(A37="","",G36)</f>
        <v>#N/A</v>
      </c>
      <c r="I36" s="202"/>
      <c r="J36" s="200" t="e">
        <f aca="false">IF($A37="","",VLOOKUP($A36,Table,MATCH(J$4,Curves,0)))</f>
        <v>#N/A</v>
      </c>
      <c r="K36" s="201" t="e">
        <f aca="false">IF(A37="","",J36)</f>
        <v>#N/A</v>
      </c>
      <c r="L36" s="200" t="e">
        <f aca="false">IF($A37="","",VLOOKUP($A36,Table,MATCH(L$4,Curves,0)))</f>
        <v>#N/A</v>
      </c>
      <c r="M36" s="201" t="e">
        <f aca="false">IF(A37="","",L36)</f>
        <v>#N/A</v>
      </c>
      <c r="N36" s="203"/>
      <c r="O36" s="200" t="e">
        <f aca="false">IF(A37="","",L36+J36+G36)</f>
        <v>#N/A</v>
      </c>
      <c r="P36" s="200" t="e">
        <f aca="false">IF(A37="","",M36+K36+H36)</f>
        <v>#N/A</v>
      </c>
      <c r="Q36" s="204"/>
      <c r="R36" s="200" t="e">
        <f aca="false">IF($A37="","",VLOOKUP($A36,Table,MATCH(R$4,Curves,0)))</f>
        <v>#N/A</v>
      </c>
      <c r="S36" s="201" t="e">
        <f aca="false">IF(A37="","",R36)</f>
        <v>#N/A</v>
      </c>
      <c r="T36" s="200" t="e">
        <f aca="false">IF($A37="","",VLOOKUP($A36,Table,MATCH(T$4,Curves,0)))</f>
        <v>#N/A</v>
      </c>
      <c r="U36" s="201" t="e">
        <f aca="false">IF(A37="","",T36)</f>
        <v>#N/A</v>
      </c>
      <c r="V36" s="225" t="e">
        <f aca="false">IF($A37="","",IF(AND(MONTH(A36)&gt;3,MONTH(A36)&lt;11),(T36+R36+G36)*(((1/(1-Summary!$T$12))/(1-Summary!$W$12))-1),(T36+R36+G36)*((1/(1-Summary!$U$12))/(1-Summary!$X$12)-1)))</f>
        <v>#N/A</v>
      </c>
      <c r="W36" s="200" t="e">
        <f aca="false">IF($A37="","",(T36+R36+G36+V36))</f>
        <v>#N/A</v>
      </c>
      <c r="X36" s="200" t="e">
        <f aca="false">IF($A37="","",(U36+S36+H36+V36))</f>
        <v>#N/A</v>
      </c>
      <c r="Y36" s="202"/>
      <c r="Z36" s="185" t="e">
        <f aca="false">IF($A37="","",VLOOKUP($A36,Table,MATCH(Z$4,Curves,0)))</f>
        <v>#N/A</v>
      </c>
      <c r="AA36" s="185" t="e">
        <f aca="false">IF($A37="","",VLOOKUP($A36,Table,MATCH(AA$4,Curves,0)))</f>
        <v>#N/A</v>
      </c>
      <c r="AB36" s="185" t="e">
        <f aca="false">SQRT((AA36^2*(A36-$D$3)+Z36^2*(DAY(EOMONTH(A36,0))/2))/AK36)</f>
        <v>#N/A</v>
      </c>
      <c r="AC36" s="185" t="e">
        <f aca="false">IF($A37="","",VLOOKUP($A36,Table,MATCH(AC$4,Curves,0)))</f>
        <v>#N/A</v>
      </c>
      <c r="AD36" s="185" t="e">
        <f aca="false">IF($A37="","",VLOOKUP($A36,Table,MATCH(AD$4,Curves,0)))</f>
        <v>#N/A</v>
      </c>
      <c r="AE36" s="185" t="e">
        <f aca="false">SQRT((AD36^2*(A36-$D$3)+AC36^2*(DAY(EOMONTH(A36,0))/2))/AK36)</f>
        <v>#N/A</v>
      </c>
      <c r="AF36" s="206" t="e">
        <f aca="false">((Summary!$N$12*(AA36*AD36)*(A36-$D$3))+(Summary!$M$12*Z36*AC36*(AJ36-EOMONTH(EDATE(A36,-1),0))))/(AK36*AB36*AE36)</f>
        <v>#N/A</v>
      </c>
      <c r="AG36" s="207" t="n">
        <f aca="false">IF($A37="","",Summary!$Q$12)</f>
        <v>0</v>
      </c>
      <c r="AH36" s="207" t="n">
        <f aca="false">IF($A37="","",IF(Summary!$R$12="Y",(VLOOKUP($A36,Summary!$AD$6:$AF$9,3)+'Escalating commodity'!H49),'Escalating commodity'!H49))</f>
        <v>0.029</v>
      </c>
      <c r="AI36" s="207" t="n">
        <f aca="false">IF($A37="","",AH36)</f>
        <v>0.029</v>
      </c>
      <c r="AJ36" s="208" t="n">
        <f aca="false">A36+DAY(EOMONTH(A36,0))/2-1</f>
        <v>37848.5</v>
      </c>
      <c r="AK36" s="209" t="n">
        <f aca="false">IF($A37="","",$A36-$E$1)</f>
        <v>-8092</v>
      </c>
      <c r="AL36" s="182" t="e">
        <f aca="false">IF($A37="","",SPRDOPT(P36,X36,AI36,0,AB36,AE36,AF36,AK36,$AJ$2,0))</f>
        <v>#NAME?</v>
      </c>
      <c r="AM36" s="211" t="e">
        <f aca="false">IF($A37="","",MAX(0,O36-W36-AI36))</f>
        <v>#N/A</v>
      </c>
      <c r="AN36" s="211" t="e">
        <f aca="false">IF($A37="","",AL36-AM36)</f>
        <v>#N/A</v>
      </c>
      <c r="AO36" s="137" t="n">
        <f aca="false">IF(A37="","",A37-A36)</f>
        <v>31</v>
      </c>
      <c r="AP36" s="212" t="n">
        <f aca="false">IF(A37="","",CHOOSE(F$3,A37+24,A36))</f>
        <v>37834</v>
      </c>
      <c r="AQ36" s="209" t="n">
        <f aca="false">IF(A37="","",AP36-$E$1)</f>
        <v>-8092</v>
      </c>
      <c r="AR36" s="185" t="n">
        <f aca="false">'ANR OK vs ML7'!AR36</f>
        <v>0.1</v>
      </c>
      <c r="AS36" s="213" t="n">
        <f aca="false">IF(A37="","",1/(1+CHOOSE(F$3,(AR37+($I$3/10000))/2,(AR36+($I$3/10000))/2))^(2*AQ36/365.25))</f>
        <v>8.687296488692</v>
      </c>
      <c r="AT36" s="137" t="n">
        <f aca="false">IF(A37="","",IF(AND(mthbeg&lt;=A36,mthend&gt;=A36),1,0))</f>
        <v>1</v>
      </c>
      <c r="AU36" s="137" t="n">
        <f aca="false">IF(A37="","",AO36*AT36)</f>
        <v>31</v>
      </c>
      <c r="AW36" s="195" t="e">
        <f aca="false">IF($A37="","",AL36*$E36)</f>
        <v>#NAME?</v>
      </c>
      <c r="AX36" s="195" t="e">
        <f aca="false">IF($A37="","",AM36*$E36)</f>
        <v>#N/A</v>
      </c>
      <c r="AY36" s="195" t="e">
        <f aca="false">IF($A37="","",AN36*$E36)</f>
        <v>#N/A</v>
      </c>
      <c r="BA36" s="195" t="n">
        <f aca="false">IF($A37="","",F36*Summary!$Q$12)</f>
        <v>0</v>
      </c>
      <c r="BC36" s="179" t="e">
        <f aca="false">IF(A37="","",AM36*F36)</f>
        <v>#N/A</v>
      </c>
    </row>
    <row r="37" customFormat="false" ht="12.75" hidden="false" customHeight="false" outlineLevel="0" collapsed="false">
      <c r="A37" s="196" t="n">
        <f aca="false">IF(A36&lt;mthend,EDATE(A36,1),"")</f>
        <v>37865</v>
      </c>
      <c r="B37" s="197" t="n">
        <f aca="false">IF(A37&lt;mthend,B36,"")</f>
        <v>36522</v>
      </c>
      <c r="C37" s="215"/>
      <c r="D37" s="197" t="n">
        <f aca="false">IF(A38&lt;&gt;"",B37+C37,"")</f>
        <v>36522</v>
      </c>
      <c r="E37" s="199" t="n">
        <f aca="false">IF(A38="","",IF(AND(AT37=1,$H$3=1),D37*AO37,IF($H$3=2,D37,"N/A")))</f>
        <v>1095660</v>
      </c>
      <c r="F37" s="199" t="n">
        <f aca="false">IF(A38="","",E37*AS37)</f>
        <v>9439818.32305407</v>
      </c>
      <c r="G37" s="200" t="e">
        <f aca="false">IF($A38="","",VLOOKUP($A37,Table,MATCH(G$4,Curves,0)))</f>
        <v>#N/A</v>
      </c>
      <c r="H37" s="201" t="e">
        <f aca="false">IF(A38="","",G37)</f>
        <v>#N/A</v>
      </c>
      <c r="I37" s="202"/>
      <c r="J37" s="200" t="e">
        <f aca="false">IF($A38="","",VLOOKUP($A37,Table,MATCH(J$4,Curves,0)))</f>
        <v>#N/A</v>
      </c>
      <c r="K37" s="201" t="e">
        <f aca="false">IF(A38="","",J37)</f>
        <v>#N/A</v>
      </c>
      <c r="L37" s="200" t="e">
        <f aca="false">IF($A38="","",VLOOKUP($A37,Table,MATCH(L$4,Curves,0)))</f>
        <v>#N/A</v>
      </c>
      <c r="M37" s="201" t="e">
        <f aca="false">IF(A38="","",L37)</f>
        <v>#N/A</v>
      </c>
      <c r="N37" s="203"/>
      <c r="O37" s="200" t="e">
        <f aca="false">IF(A38="","",L37+J37+G37)</f>
        <v>#N/A</v>
      </c>
      <c r="P37" s="200" t="e">
        <f aca="false">IF(A38="","",M37+K37+H37)</f>
        <v>#N/A</v>
      </c>
      <c r="Q37" s="204"/>
      <c r="R37" s="200" t="e">
        <f aca="false">IF($A38="","",VLOOKUP($A37,Table,MATCH(R$4,Curves,0)))</f>
        <v>#N/A</v>
      </c>
      <c r="S37" s="201" t="e">
        <f aca="false">IF(A38="","",R37)</f>
        <v>#N/A</v>
      </c>
      <c r="T37" s="200" t="e">
        <f aca="false">IF($A38="","",VLOOKUP($A37,Table,MATCH(T$4,Curves,0)))</f>
        <v>#N/A</v>
      </c>
      <c r="U37" s="201" t="e">
        <f aca="false">IF(A38="","",T37)</f>
        <v>#N/A</v>
      </c>
      <c r="V37" s="225" t="e">
        <f aca="false">IF($A38="","",IF(AND(MONTH(A37)&gt;3,MONTH(A37)&lt;11),(T37+R37+G37)*(((1/(1-Summary!$T$12))/(1-Summary!$W$12))-1),(T37+R37+G37)*((1/(1-Summary!$U$12))/(1-Summary!$X$12)-1)))</f>
        <v>#N/A</v>
      </c>
      <c r="W37" s="200" t="e">
        <f aca="false">IF($A38="","",(T37+R37+G37+V37))</f>
        <v>#N/A</v>
      </c>
      <c r="X37" s="200" t="e">
        <f aca="false">IF($A38="","",(U37+S37+H37+V37))</f>
        <v>#N/A</v>
      </c>
      <c r="Y37" s="202"/>
      <c r="Z37" s="185" t="e">
        <f aca="false">IF($A38="","",VLOOKUP($A37,Table,MATCH(Z$4,Curves,0)))</f>
        <v>#N/A</v>
      </c>
      <c r="AA37" s="185" t="e">
        <f aca="false">IF($A38="","",VLOOKUP($A37,Table,MATCH(AA$4,Curves,0)))</f>
        <v>#N/A</v>
      </c>
      <c r="AB37" s="185" t="e">
        <f aca="false">SQRT((AA37^2*(A37-$D$3)+Z37^2*(DAY(EOMONTH(A37,0))/2))/AK37)</f>
        <v>#N/A</v>
      </c>
      <c r="AC37" s="185" t="e">
        <f aca="false">IF($A38="","",VLOOKUP($A37,Table,MATCH(AC$4,Curves,0)))</f>
        <v>#N/A</v>
      </c>
      <c r="AD37" s="185" t="e">
        <f aca="false">IF($A38="","",VLOOKUP($A37,Table,MATCH(AD$4,Curves,0)))</f>
        <v>#N/A</v>
      </c>
      <c r="AE37" s="185" t="e">
        <f aca="false">SQRT((AD37^2*(A37-$D$3)+AC37^2*(DAY(EOMONTH(A37,0))/2))/AK37)</f>
        <v>#N/A</v>
      </c>
      <c r="AF37" s="206" t="e">
        <f aca="false">((Summary!$N$12*(AA37*AD37)*(A37-$D$3))+(Summary!$M$12*Z37*AC37*(AJ37-EOMONTH(EDATE(A37,-1),0))))/(AK37*AB37*AE37)</f>
        <v>#N/A</v>
      </c>
      <c r="AG37" s="207" t="n">
        <f aca="false">IF($A38="","",Summary!$Q$12)</f>
        <v>0</v>
      </c>
      <c r="AH37" s="207" t="n">
        <f aca="false">IF($A38="","",IF(Summary!$R$12="Y",(VLOOKUP($A37,Summary!$AD$6:$AF$9,3)+'Escalating commodity'!H50),'Escalating commodity'!H50))</f>
        <v>0.029</v>
      </c>
      <c r="AI37" s="207" t="n">
        <f aca="false">IF($A38="","",AH37)</f>
        <v>0.029</v>
      </c>
      <c r="AJ37" s="208" t="n">
        <f aca="false">A37+DAY(EOMONTH(A37,0))/2-1</f>
        <v>37879</v>
      </c>
      <c r="AK37" s="209" t="n">
        <f aca="false">IF($A38="","",$A37-$E$1)</f>
        <v>-8061</v>
      </c>
      <c r="AL37" s="182" t="e">
        <f aca="false">IF($A38="","",SPRDOPT(P37,X37,AI37,0,AB37,AE37,AF37,AK37,$AJ$2,0))</f>
        <v>#NAME?</v>
      </c>
      <c r="AM37" s="211" t="e">
        <f aca="false">IF($A38="","",MAX(0,O37-W37-AI37))</f>
        <v>#N/A</v>
      </c>
      <c r="AN37" s="211" t="e">
        <f aca="false">IF($A38="","",AL37-AM37)</f>
        <v>#N/A</v>
      </c>
      <c r="AO37" s="137" t="n">
        <f aca="false">IF(A38="","",A38-A37)</f>
        <v>30</v>
      </c>
      <c r="AP37" s="212" t="n">
        <f aca="false">IF(A38="","",CHOOSE(F$3,A38+24,A37))</f>
        <v>37865</v>
      </c>
      <c r="AQ37" s="209" t="n">
        <f aca="false">IF(A38="","",AP37-$E$1)</f>
        <v>-8061</v>
      </c>
      <c r="AR37" s="185" t="n">
        <f aca="false">'ANR OK vs ML7'!AR37</f>
        <v>0.1</v>
      </c>
      <c r="AS37" s="213" t="n">
        <f aca="false">IF(A38="","",1/(1+CHOOSE(F$3,(AR38+($I$3/10000))/2,(AR37+($I$3/10000))/2))^(2*AQ37/365.25))</f>
        <v>8.6156456592867</v>
      </c>
      <c r="AT37" s="137" t="n">
        <f aca="false">IF(A38="","",IF(AND(mthbeg&lt;=A37,mthend&gt;=A37),1,0))</f>
        <v>1</v>
      </c>
      <c r="AU37" s="137" t="n">
        <f aca="false">IF(A38="","",AO37*AT37)</f>
        <v>30</v>
      </c>
      <c r="AW37" s="195" t="e">
        <f aca="false">IF($A38="","",AL37*$E37)</f>
        <v>#NAME?</v>
      </c>
      <c r="AX37" s="195" t="e">
        <f aca="false">IF($A38="","",AM37*$E37)</f>
        <v>#N/A</v>
      </c>
      <c r="AY37" s="195" t="e">
        <f aca="false">IF($A38="","",AN37*$E37)</f>
        <v>#N/A</v>
      </c>
      <c r="BA37" s="195" t="n">
        <f aca="false">IF($A38="","",F37*Summary!$Q$12)</f>
        <v>0</v>
      </c>
      <c r="BC37" s="179" t="e">
        <f aca="false">IF(A38="","",AM37*F37)</f>
        <v>#N/A</v>
      </c>
    </row>
    <row r="38" customFormat="false" ht="12.75" hidden="false" customHeight="false" outlineLevel="0" collapsed="false">
      <c r="A38" s="196" t="n">
        <f aca="false">IF(A37&lt;mthend,EDATE(A37,1),"")</f>
        <v>37895</v>
      </c>
      <c r="B38" s="197" t="n">
        <f aca="false">IF(A38&lt;mthend,B37,"")</f>
        <v>36522</v>
      </c>
      <c r="C38" s="215"/>
      <c r="D38" s="197" t="n">
        <f aca="false">IF(A39&lt;&gt;"",B38+C38,"")</f>
        <v>36522</v>
      </c>
      <c r="E38" s="199" t="n">
        <f aca="false">IF(A39="","",IF(AND(AT38=1,$H$3=1),D38*AO38,IF($H$3=2,D38,"N/A")))</f>
        <v>1132182</v>
      </c>
      <c r="F38" s="199" t="n">
        <f aca="false">IF(A39="","",E38*AS38)</f>
        <v>9676611.09010136</v>
      </c>
      <c r="G38" s="200" t="e">
        <f aca="false">IF($A39="","",VLOOKUP($A38,Table,MATCH(G$4,Curves,0)))</f>
        <v>#N/A</v>
      </c>
      <c r="H38" s="201" t="e">
        <f aca="false">IF(A39="","",G38)</f>
        <v>#N/A</v>
      </c>
      <c r="I38" s="202"/>
      <c r="J38" s="200" t="e">
        <f aca="false">IF($A39="","",VLOOKUP($A38,Table,MATCH(J$4,Curves,0)))</f>
        <v>#N/A</v>
      </c>
      <c r="K38" s="201" t="e">
        <f aca="false">IF(A39="","",J38)</f>
        <v>#N/A</v>
      </c>
      <c r="L38" s="200" t="e">
        <f aca="false">IF($A39="","",VLOOKUP($A38,Table,MATCH(L$4,Curves,0)))</f>
        <v>#N/A</v>
      </c>
      <c r="M38" s="201" t="e">
        <f aca="false">IF(A39="","",L38)</f>
        <v>#N/A</v>
      </c>
      <c r="N38" s="203"/>
      <c r="O38" s="200" t="e">
        <f aca="false">IF(A39="","",L38+J38+G38)</f>
        <v>#N/A</v>
      </c>
      <c r="P38" s="200" t="e">
        <f aca="false">IF(A39="","",M38+K38+H38)</f>
        <v>#N/A</v>
      </c>
      <c r="Q38" s="204"/>
      <c r="R38" s="200" t="e">
        <f aca="false">IF($A39="","",VLOOKUP($A38,Table,MATCH(R$4,Curves,0)))</f>
        <v>#N/A</v>
      </c>
      <c r="S38" s="201" t="e">
        <f aca="false">IF(A39="","",R38)</f>
        <v>#N/A</v>
      </c>
      <c r="T38" s="200" t="e">
        <f aca="false">IF($A39="","",VLOOKUP($A38,Table,MATCH(T$4,Curves,0)))</f>
        <v>#N/A</v>
      </c>
      <c r="U38" s="201" t="e">
        <f aca="false">IF(A39="","",T38)</f>
        <v>#N/A</v>
      </c>
      <c r="V38" s="225" t="e">
        <f aca="false">IF($A39="","",IF(AND(MONTH(A38)&gt;3,MONTH(A38)&lt;11),(T38+R38+G38)*(((1/(1-Summary!$T$12))/(1-Summary!$W$12))-1),(T38+R38+G38)*((1/(1-Summary!$U$12))/(1-Summary!$X$12)-1)))</f>
        <v>#N/A</v>
      </c>
      <c r="W38" s="200" t="e">
        <f aca="false">IF($A39="","",(T38+R38+G38+V38))</f>
        <v>#N/A</v>
      </c>
      <c r="X38" s="200" t="e">
        <f aca="false">IF($A39="","",(U38+S38+H38+V38))</f>
        <v>#N/A</v>
      </c>
      <c r="Y38" s="202"/>
      <c r="Z38" s="185" t="e">
        <f aca="false">IF($A39="","",VLOOKUP($A38,Table,MATCH(Z$4,Curves,0)))</f>
        <v>#N/A</v>
      </c>
      <c r="AA38" s="185" t="e">
        <f aca="false">IF($A39="","",VLOOKUP($A38,Table,MATCH(AA$4,Curves,0)))</f>
        <v>#N/A</v>
      </c>
      <c r="AB38" s="185" t="e">
        <f aca="false">SQRT((AA38^2*(A38-$D$3)+Z38^2*(DAY(EOMONTH(A38,0))/2))/AK38)</f>
        <v>#N/A</v>
      </c>
      <c r="AC38" s="185" t="e">
        <f aca="false">IF($A39="","",VLOOKUP($A38,Table,MATCH(AC$4,Curves,0)))</f>
        <v>#N/A</v>
      </c>
      <c r="AD38" s="185" t="e">
        <f aca="false">IF($A39="","",VLOOKUP($A38,Table,MATCH(AD$4,Curves,0)))</f>
        <v>#N/A</v>
      </c>
      <c r="AE38" s="185" t="e">
        <f aca="false">SQRT((AD38^2*(A38-$D$3)+AC38^2*(DAY(EOMONTH(A38,0))/2))/AK38)</f>
        <v>#N/A</v>
      </c>
      <c r="AF38" s="206" t="e">
        <f aca="false">((Summary!$N$12*(AA38*AD38)*(A38-$D$3))+(Summary!$M$12*Z38*AC38*(AJ38-EOMONTH(EDATE(A38,-1),0))))/(AK38*AB38*AE38)</f>
        <v>#N/A</v>
      </c>
      <c r="AG38" s="207" t="n">
        <f aca="false">IF($A39="","",Summary!$Q$12)</f>
        <v>0</v>
      </c>
      <c r="AH38" s="207" t="n">
        <f aca="false">IF($A39="","",IF(Summary!$R$12="Y",(VLOOKUP($A38,Summary!$AD$6:$AF$9,3)+'Escalating commodity'!H51),'Escalating commodity'!H51))</f>
        <v>0.029</v>
      </c>
      <c r="AI38" s="207" t="n">
        <f aca="false">IF($A39="","",AH38)</f>
        <v>0.029</v>
      </c>
      <c r="AJ38" s="208" t="n">
        <f aca="false">A38+DAY(EOMONTH(A38,0))/2-1</f>
        <v>37909.5</v>
      </c>
      <c r="AK38" s="209" t="n">
        <f aca="false">IF($A39="","",$A38-$E$1)</f>
        <v>-8031</v>
      </c>
      <c r="AL38" s="182" t="e">
        <f aca="false">IF($A39="","",SPRDOPT(P38,X38,AI38,0,AB38,AE38,AF38,AK38,$AJ$2,0))</f>
        <v>#NAME?</v>
      </c>
      <c r="AM38" s="211" t="e">
        <f aca="false">IF($A39="","",MAX(0,O38-W38-AI38))</f>
        <v>#N/A</v>
      </c>
      <c r="AN38" s="211" t="e">
        <f aca="false">IF($A39="","",AL38-AM38)</f>
        <v>#N/A</v>
      </c>
      <c r="AO38" s="137" t="n">
        <f aca="false">IF(A39="","",A39-A38)</f>
        <v>31</v>
      </c>
      <c r="AP38" s="212" t="n">
        <f aca="false">IF(A39="","",CHOOSE(F$3,A39+24,A38))</f>
        <v>37895</v>
      </c>
      <c r="AQ38" s="209" t="n">
        <f aca="false">IF(A39="","",AP38-$E$1)</f>
        <v>-8031</v>
      </c>
      <c r="AR38" s="185" t="n">
        <f aca="false">'ANR OK vs ML7'!AR38</f>
        <v>0.1</v>
      </c>
      <c r="AS38" s="213" t="n">
        <f aca="false">IF(A39="","",1/(1+CHOOSE(F$3,(AR39+($I$3/10000))/2,(AR38+($I$3/10000))/2))^(2*AQ38/365.25))</f>
        <v>8.54686886922894</v>
      </c>
      <c r="AT38" s="137" t="n">
        <f aca="false">IF(A39="","",IF(AND(mthbeg&lt;=A38,mthend&gt;=A38),1,0))</f>
        <v>1</v>
      </c>
      <c r="AU38" s="137" t="n">
        <f aca="false">IF(A39="","",AO38*AT38)</f>
        <v>31</v>
      </c>
      <c r="AW38" s="195" t="e">
        <f aca="false">IF($A39="","",AL38*$E38)</f>
        <v>#NAME?</v>
      </c>
      <c r="AX38" s="195" t="e">
        <f aca="false">IF($A39="","",AM38*$E38)</f>
        <v>#N/A</v>
      </c>
      <c r="AY38" s="195" t="e">
        <f aca="false">IF($A39="","",AN38*$E38)</f>
        <v>#N/A</v>
      </c>
      <c r="BA38" s="195" t="n">
        <f aca="false">IF($A39="","",F38*Summary!$Q$12)</f>
        <v>0</v>
      </c>
      <c r="BC38" s="179" t="e">
        <f aca="false">IF(A39="","",AM38*F38)</f>
        <v>#N/A</v>
      </c>
    </row>
    <row r="39" customFormat="false" ht="12.75" hidden="false" customHeight="false" outlineLevel="0" collapsed="false">
      <c r="A39" s="196" t="n">
        <f aca="false">IF(A38&lt;mthend,EDATE(A38,1),"")</f>
        <v>37926</v>
      </c>
      <c r="B39" s="197" t="n">
        <f aca="false">IF(A39&lt;mthend,B38,"")</f>
        <v>36522</v>
      </c>
      <c r="C39" s="215"/>
      <c r="D39" s="197" t="n">
        <f aca="false">IF(A40&lt;&gt;"",B39+C39,"")</f>
        <v>36522</v>
      </c>
      <c r="E39" s="199" t="n">
        <f aca="false">IF(A40="","",IF(AND(AT39=1,$H$3=1),D39*AO39,IF($H$3=2,D39,"N/A")))</f>
        <v>1095660</v>
      </c>
      <c r="F39" s="199" t="n">
        <f aca="false">IF(A40="","",E39*AS39)</f>
        <v>9287226.40714607</v>
      </c>
      <c r="G39" s="200" t="e">
        <f aca="false">IF($A40="","",VLOOKUP($A39,Table,MATCH(G$4,Curves,0)))</f>
        <v>#N/A</v>
      </c>
      <c r="H39" s="201" t="e">
        <f aca="false">IF(A40="","",G39)</f>
        <v>#N/A</v>
      </c>
      <c r="I39" s="202"/>
      <c r="J39" s="200" t="e">
        <f aca="false">IF($A40="","",VLOOKUP($A39,Table,MATCH(J$4,Curves,0)))</f>
        <v>#N/A</v>
      </c>
      <c r="K39" s="201" t="e">
        <f aca="false">IF(A40="","",J39)</f>
        <v>#N/A</v>
      </c>
      <c r="L39" s="200" t="e">
        <f aca="false">IF($A40="","",VLOOKUP($A39,Table,MATCH(L$4,Curves,0)))</f>
        <v>#N/A</v>
      </c>
      <c r="M39" s="201" t="e">
        <f aca="false">IF(A40="","",L39)</f>
        <v>#N/A</v>
      </c>
      <c r="N39" s="203"/>
      <c r="O39" s="200" t="e">
        <f aca="false">IF(A40="","",L39+J39+G39)</f>
        <v>#N/A</v>
      </c>
      <c r="P39" s="200" t="e">
        <f aca="false">IF(A40="","",M39+K39+H39)</f>
        <v>#N/A</v>
      </c>
      <c r="Q39" s="204"/>
      <c r="R39" s="200" t="e">
        <f aca="false">IF($A40="","",VLOOKUP($A39,Table,MATCH(R$4,Curves,0)))</f>
        <v>#N/A</v>
      </c>
      <c r="S39" s="201" t="e">
        <f aca="false">IF(A40="","",R39)</f>
        <v>#N/A</v>
      </c>
      <c r="T39" s="200" t="e">
        <f aca="false">IF($A40="","",VLOOKUP($A39,Table,MATCH(T$4,Curves,0)))</f>
        <v>#N/A</v>
      </c>
      <c r="U39" s="201" t="e">
        <f aca="false">IF(A40="","",T39)</f>
        <v>#N/A</v>
      </c>
      <c r="V39" s="225" t="e">
        <f aca="false">IF($A40="","",IF(AND(MONTH(A39)&gt;3,MONTH(A39)&lt;11),(T39+R39+G39)*(((1/(1-Summary!$T$12))/(1-Summary!$W$12))-1),(T39+R39+G39)*((1/(1-Summary!$U$12))/(1-Summary!$X$12)-1)))</f>
        <v>#N/A</v>
      </c>
      <c r="W39" s="200" t="e">
        <f aca="false">IF($A40="","",(T39+R39+G39+V39))</f>
        <v>#N/A</v>
      </c>
      <c r="X39" s="200" t="e">
        <f aca="false">IF($A40="","",(U39+S39+H39+V39))</f>
        <v>#N/A</v>
      </c>
      <c r="Y39" s="202"/>
      <c r="Z39" s="185" t="e">
        <f aca="false">IF($A40="","",VLOOKUP($A39,Table,MATCH(Z$4,Curves,0)))</f>
        <v>#N/A</v>
      </c>
      <c r="AA39" s="185" t="e">
        <f aca="false">IF($A40="","",VLOOKUP($A39,Table,MATCH(AA$4,Curves,0)))</f>
        <v>#N/A</v>
      </c>
      <c r="AB39" s="185" t="e">
        <f aca="false">SQRT((AA39^2*(A39-$D$3)+Z39^2*(DAY(EOMONTH(A39,0))/2))/AK39)</f>
        <v>#N/A</v>
      </c>
      <c r="AC39" s="185" t="e">
        <f aca="false">IF($A40="","",VLOOKUP($A39,Table,MATCH(AC$4,Curves,0)))</f>
        <v>#N/A</v>
      </c>
      <c r="AD39" s="185" t="e">
        <f aca="false">IF($A40="","",VLOOKUP($A39,Table,MATCH(AD$4,Curves,0)))</f>
        <v>#N/A</v>
      </c>
      <c r="AE39" s="185" t="e">
        <f aca="false">SQRT((AD39^2*(A39-$D$3)+AC39^2*(DAY(EOMONTH(A39,0))/2))/AK39)</f>
        <v>#N/A</v>
      </c>
      <c r="AF39" s="206" t="e">
        <f aca="false">((Summary!$N$12*(AA39*AD39)*(A39-$D$3))+(Summary!$M$12*Z39*AC39*(AJ39-EOMONTH(EDATE(A39,-1),0))))/(AK39*AB39*AE39)</f>
        <v>#N/A</v>
      </c>
      <c r="AG39" s="207" t="n">
        <f aca="false">IF($A40="","",Summary!$Q$12)</f>
        <v>0</v>
      </c>
      <c r="AH39" s="207" t="n">
        <f aca="false">IF($A40="","",IF(Summary!$R$12="Y",(VLOOKUP($A39,Summary!$AD$6:$AF$9,3)+'Escalating commodity'!H52),'Escalating commodity'!H52))</f>
        <v>0.029</v>
      </c>
      <c r="AI39" s="207" t="n">
        <f aca="false">IF($A40="","",AH39)</f>
        <v>0.029</v>
      </c>
      <c r="AJ39" s="208" t="n">
        <f aca="false">A39+DAY(EOMONTH(A39,0))/2-1</f>
        <v>37940</v>
      </c>
      <c r="AK39" s="209" t="n">
        <f aca="false">IF($A40="","",$A39-$E$1)</f>
        <v>-8000</v>
      </c>
      <c r="AL39" s="182" t="e">
        <f aca="false">IF($A40="","",SPRDOPT(P39,X39,AI39,0,AB39,AE39,AF39,AK39,$AJ$2,0))</f>
        <v>#NAME?</v>
      </c>
      <c r="AM39" s="211" t="e">
        <f aca="false">IF($A40="","",MAX(0,O39-W39-AI39))</f>
        <v>#N/A</v>
      </c>
      <c r="AN39" s="211" t="e">
        <f aca="false">IF($A40="","",AL39-AM39)</f>
        <v>#N/A</v>
      </c>
      <c r="AO39" s="137" t="n">
        <f aca="false">IF(A40="","",A40-A39)</f>
        <v>30</v>
      </c>
      <c r="AP39" s="212" t="n">
        <f aca="false">IF(A40="","",CHOOSE(F$3,A40+24,A39))</f>
        <v>37926</v>
      </c>
      <c r="AQ39" s="209" t="n">
        <f aca="false">IF(A40="","",AP39-$E$1)</f>
        <v>-8000</v>
      </c>
      <c r="AR39" s="185" t="n">
        <f aca="false">'ANR OK vs ML7'!AR39</f>
        <v>0.1</v>
      </c>
      <c r="AS39" s="213" t="n">
        <f aca="false">IF(A40="","",1/(1+CHOOSE(F$3,(AR40+($I$3/10000))/2,(AR39+($I$3/10000))/2))^(2*AQ39/365.25))</f>
        <v>8.47637625462833</v>
      </c>
      <c r="AT39" s="137" t="n">
        <f aca="false">IF(A40="","",IF(AND(mthbeg&lt;=A39,mthend&gt;=A39),1,0))</f>
        <v>1</v>
      </c>
      <c r="AU39" s="137" t="n">
        <f aca="false">IF(A40="","",AO39*AT39)</f>
        <v>30</v>
      </c>
      <c r="AW39" s="195" t="e">
        <f aca="false">IF($A40="","",AL39*$E39)</f>
        <v>#NAME?</v>
      </c>
      <c r="AX39" s="195" t="e">
        <f aca="false">IF($A40="","",AM39*$E39)</f>
        <v>#N/A</v>
      </c>
      <c r="AY39" s="195" t="e">
        <f aca="false">IF($A40="","",AN39*$E39)</f>
        <v>#N/A</v>
      </c>
      <c r="BA39" s="195" t="n">
        <f aca="false">IF($A40="","",F39*Summary!$Q$12)</f>
        <v>0</v>
      </c>
      <c r="BC39" s="179" t="e">
        <f aca="false">IF(A40="","",AM39*F39)</f>
        <v>#N/A</v>
      </c>
    </row>
    <row r="40" customFormat="false" ht="12.75" hidden="false" customHeight="false" outlineLevel="0" collapsed="false">
      <c r="A40" s="196" t="n">
        <f aca="false">IF(A39&lt;mthend,EDATE(A39,1),"")</f>
        <v>37956</v>
      </c>
      <c r="B40" s="197" t="n">
        <f aca="false">IF(A40&lt;mthend,B39,"")</f>
        <v>36522</v>
      </c>
      <c r="C40" s="215"/>
      <c r="D40" s="197" t="n">
        <f aca="false">IF(A41&lt;&gt;"",B40+C40,"")</f>
        <v>36522</v>
      </c>
      <c r="E40" s="199" t="n">
        <f aca="false">IF(A41="","",IF(AND(AT40=1,$H$3=1),D40*AO40,IF($H$3=2,D40,"N/A")))</f>
        <v>1132182</v>
      </c>
      <c r="F40" s="199" t="n">
        <f aca="false">IF(A41="","",E40*AS40)</f>
        <v>9520191.4880282</v>
      </c>
      <c r="G40" s="200" t="e">
        <f aca="false">IF($A41="","",VLOOKUP($A40,Table,MATCH(G$4,Curves,0)))</f>
        <v>#N/A</v>
      </c>
      <c r="H40" s="201" t="e">
        <f aca="false">IF(A41="","",G40)</f>
        <v>#N/A</v>
      </c>
      <c r="I40" s="202"/>
      <c r="J40" s="200" t="e">
        <f aca="false">IF($A41="","",VLOOKUP($A40,Table,MATCH(J$4,Curves,0)))</f>
        <v>#N/A</v>
      </c>
      <c r="K40" s="201" t="e">
        <f aca="false">IF(A41="","",J40)</f>
        <v>#N/A</v>
      </c>
      <c r="L40" s="200" t="e">
        <f aca="false">IF($A41="","",VLOOKUP($A40,Table,MATCH(L$4,Curves,0)))</f>
        <v>#N/A</v>
      </c>
      <c r="M40" s="201" t="e">
        <f aca="false">IF(A41="","",L40)</f>
        <v>#N/A</v>
      </c>
      <c r="N40" s="203"/>
      <c r="O40" s="200" t="e">
        <f aca="false">IF(A41="","",L40+J40+G40)</f>
        <v>#N/A</v>
      </c>
      <c r="P40" s="200" t="e">
        <f aca="false">IF(A41="","",M40+K40+H40)</f>
        <v>#N/A</v>
      </c>
      <c r="Q40" s="204"/>
      <c r="R40" s="200" t="e">
        <f aca="false">IF($A41="","",VLOOKUP($A40,Table,MATCH(R$4,Curves,0)))</f>
        <v>#N/A</v>
      </c>
      <c r="S40" s="201" t="e">
        <f aca="false">IF(A41="","",R40)</f>
        <v>#N/A</v>
      </c>
      <c r="T40" s="200" t="e">
        <f aca="false">IF($A41="","",VLOOKUP($A40,Table,MATCH(T$4,Curves,0)))</f>
        <v>#N/A</v>
      </c>
      <c r="U40" s="201" t="e">
        <f aca="false">IF(A41="","",T40)</f>
        <v>#N/A</v>
      </c>
      <c r="V40" s="225" t="e">
        <f aca="false">IF($A41="","",IF(AND(MONTH(A40)&gt;3,MONTH(A40)&lt;11),(T40+R40+G40)*(((1/(1-Summary!$T$12))/(1-Summary!$W$12))-1),(T40+R40+G40)*((1/(1-Summary!$U$12))/(1-Summary!$X$12)-1)))</f>
        <v>#N/A</v>
      </c>
      <c r="W40" s="200" t="e">
        <f aca="false">IF($A41="","",(T40+R40+G40+V40))</f>
        <v>#N/A</v>
      </c>
      <c r="X40" s="200" t="e">
        <f aca="false">IF($A41="","",(U40+S40+H40+V40))</f>
        <v>#N/A</v>
      </c>
      <c r="Y40" s="202"/>
      <c r="Z40" s="185" t="e">
        <f aca="false">IF($A41="","",VLOOKUP($A40,Table,MATCH(Z$4,Curves,0)))</f>
        <v>#N/A</v>
      </c>
      <c r="AA40" s="185" t="e">
        <f aca="false">IF($A41="","",VLOOKUP($A40,Table,MATCH(AA$4,Curves,0)))</f>
        <v>#N/A</v>
      </c>
      <c r="AB40" s="185" t="e">
        <f aca="false">SQRT((AA40^2*(A40-$D$3)+Z40^2*(DAY(EOMONTH(A40,0))/2))/AK40)</f>
        <v>#N/A</v>
      </c>
      <c r="AC40" s="185" t="e">
        <f aca="false">IF($A41="","",VLOOKUP($A40,Table,MATCH(AC$4,Curves,0)))</f>
        <v>#N/A</v>
      </c>
      <c r="AD40" s="185" t="e">
        <f aca="false">IF($A41="","",VLOOKUP($A40,Table,MATCH(AD$4,Curves,0)))</f>
        <v>#N/A</v>
      </c>
      <c r="AE40" s="185" t="e">
        <f aca="false">SQRT((AD40^2*(A40-$D$3)+AC40^2*(DAY(EOMONTH(A40,0))/2))/AK40)</f>
        <v>#N/A</v>
      </c>
      <c r="AF40" s="206" t="e">
        <f aca="false">((Summary!$N$12*(AA40*AD40)*(A40-$D$3))+(Summary!$M$12*Z40*AC40*(AJ40-EOMONTH(EDATE(A40,-1),0))))/(AK40*AB40*AE40)</f>
        <v>#N/A</v>
      </c>
      <c r="AG40" s="207" t="n">
        <f aca="false">IF($A41="","",Summary!$Q$12)</f>
        <v>0</v>
      </c>
      <c r="AH40" s="207" t="n">
        <f aca="false">IF($A41="","",IF(Summary!$R$12="Y",(VLOOKUP($A40,Summary!$AD$6:$AF$9,3)+'Escalating commodity'!H53),'Escalating commodity'!H53))</f>
        <v>0.029</v>
      </c>
      <c r="AI40" s="207" t="n">
        <f aca="false">IF($A41="","",AH40)</f>
        <v>0.029</v>
      </c>
      <c r="AJ40" s="208" t="n">
        <f aca="false">A40+DAY(EOMONTH(A40,0))/2-1</f>
        <v>37970.5</v>
      </c>
      <c r="AK40" s="209" t="n">
        <f aca="false">IF($A41="","",$A40-$E$1)</f>
        <v>-7970</v>
      </c>
      <c r="AL40" s="182" t="e">
        <f aca="false">IF($A41="","",SPRDOPT(P40,X40,AI40,0,AB40,AE40,AF40,AK40,$AJ$2,0))</f>
        <v>#NAME?</v>
      </c>
      <c r="AM40" s="211" t="e">
        <f aca="false">IF($A41="","",MAX(0,O40-W40-AI40))</f>
        <v>#N/A</v>
      </c>
      <c r="AN40" s="211" t="e">
        <f aca="false">IF($A41="","",AL40-AM40)</f>
        <v>#N/A</v>
      </c>
      <c r="AO40" s="137" t="n">
        <f aca="false">IF(A41="","",A41-A40)</f>
        <v>31</v>
      </c>
      <c r="AP40" s="212" t="n">
        <f aca="false">IF(A41="","",CHOOSE(F$3,A41+24,A40))</f>
        <v>37956</v>
      </c>
      <c r="AQ40" s="209" t="n">
        <f aca="false">IF(A41="","",AP40-$E$1)</f>
        <v>-7970</v>
      </c>
      <c r="AR40" s="185" t="n">
        <f aca="false">'ANR OK vs ML7'!AR40</f>
        <v>0.1</v>
      </c>
      <c r="AS40" s="213" t="n">
        <f aca="false">IF(A41="","",1/(1+CHOOSE(F$3,(AR41+($I$3/10000))/2,(AR40+($I$3/10000))/2))^(2*AQ40/365.25))</f>
        <v>8.40871122136564</v>
      </c>
      <c r="AT40" s="137" t="n">
        <f aca="false">IF(A41="","",IF(AND(mthbeg&lt;=A40,mthend&gt;=A40),1,0))</f>
        <v>1</v>
      </c>
      <c r="AU40" s="137" t="n">
        <f aca="false">IF(A41="","",AO40*AT40)</f>
        <v>31</v>
      </c>
      <c r="AW40" s="195" t="e">
        <f aca="false">IF($A41="","",AL40*$E40)</f>
        <v>#NAME?</v>
      </c>
      <c r="AX40" s="195" t="e">
        <f aca="false">IF($A41="","",AM40*$E40)</f>
        <v>#N/A</v>
      </c>
      <c r="AY40" s="195" t="e">
        <f aca="false">IF($A41="","",AN40*$E40)</f>
        <v>#N/A</v>
      </c>
      <c r="BA40" s="195" t="n">
        <f aca="false">IF($A41="","",F40*Summary!$Q$12)</f>
        <v>0</v>
      </c>
      <c r="BC40" s="179" t="e">
        <f aca="false">IF(A41="","",AM40*F40)</f>
        <v>#N/A</v>
      </c>
    </row>
    <row r="41" customFormat="false" ht="12.75" hidden="false" customHeight="false" outlineLevel="0" collapsed="false">
      <c r="A41" s="196" t="n">
        <f aca="false">IF(A40&lt;mthend,EDATE(A40,1),"")</f>
        <v>37987</v>
      </c>
      <c r="B41" s="197" t="n">
        <f aca="false">IF(A41&lt;mthend,B40,"")</f>
        <v>36522</v>
      </c>
      <c r="C41" s="215"/>
      <c r="D41" s="197" t="n">
        <f aca="false">IF(A42&lt;&gt;"",B41+C41,"")</f>
        <v>36522</v>
      </c>
      <c r="E41" s="199" t="n">
        <f aca="false">IF(A42="","",IF(AND(AT41=1,$H$3=1),D41*AO41,IF($H$3=2,D41,"N/A")))</f>
        <v>1132182</v>
      </c>
      <c r="F41" s="199" t="n">
        <f aca="false">IF(A42="","",E41*AS41)</f>
        <v>9441671.13165468</v>
      </c>
      <c r="G41" s="200" t="e">
        <f aca="false">IF($A42="","",VLOOKUP($A41,Table,MATCH(G$4,Curves,0)))</f>
        <v>#N/A</v>
      </c>
      <c r="H41" s="201" t="e">
        <f aca="false">IF(A42="","",G41)</f>
        <v>#N/A</v>
      </c>
      <c r="I41" s="202"/>
      <c r="J41" s="200" t="e">
        <f aca="false">IF($A42="","",VLOOKUP($A41,Table,MATCH(J$4,Curves,0)))</f>
        <v>#N/A</v>
      </c>
      <c r="K41" s="201" t="e">
        <f aca="false">IF(A42="","",J41)</f>
        <v>#N/A</v>
      </c>
      <c r="L41" s="200" t="e">
        <f aca="false">IF($A42="","",VLOOKUP($A41,Table,MATCH(L$4,Curves,0)))</f>
        <v>#N/A</v>
      </c>
      <c r="M41" s="201" t="e">
        <f aca="false">IF(A42="","",L41)</f>
        <v>#N/A</v>
      </c>
      <c r="N41" s="203"/>
      <c r="O41" s="200" t="e">
        <f aca="false">IF(A42="","",L41+J41+G41)</f>
        <v>#N/A</v>
      </c>
      <c r="P41" s="200" t="e">
        <f aca="false">IF(A42="","",M41+K41+H41)</f>
        <v>#N/A</v>
      </c>
      <c r="Q41" s="204"/>
      <c r="R41" s="200" t="e">
        <f aca="false">IF($A42="","",VLOOKUP($A41,Table,MATCH(R$4,Curves,0)))</f>
        <v>#N/A</v>
      </c>
      <c r="S41" s="201" t="e">
        <f aca="false">IF(A42="","",R41)</f>
        <v>#N/A</v>
      </c>
      <c r="T41" s="200" t="e">
        <f aca="false">IF($A42="","",VLOOKUP($A41,Table,MATCH(T$4,Curves,0)))</f>
        <v>#N/A</v>
      </c>
      <c r="U41" s="201" t="e">
        <f aca="false">IF(A42="","",T41)</f>
        <v>#N/A</v>
      </c>
      <c r="V41" s="225" t="e">
        <f aca="false">IF($A42="","",IF(AND(MONTH(A41)&gt;3,MONTH(A41)&lt;11),(T41+R41+G41)*(((1/(1-Summary!$T$12))/(1-Summary!$W$12))-1),(T41+R41+G41)*((1/(1-Summary!$U$12))/(1-Summary!$X$12)-1)))</f>
        <v>#N/A</v>
      </c>
      <c r="W41" s="200" t="e">
        <f aca="false">IF($A42="","",(T41+R41+G41+V41))</f>
        <v>#N/A</v>
      </c>
      <c r="X41" s="200" t="e">
        <f aca="false">IF($A42="","",(U41+S41+H41+V41))</f>
        <v>#N/A</v>
      </c>
      <c r="Y41" s="202"/>
      <c r="Z41" s="185" t="e">
        <f aca="false">IF($A42="","",VLOOKUP($A41,Table,MATCH(Z$4,Curves,0)))</f>
        <v>#N/A</v>
      </c>
      <c r="AA41" s="185" t="e">
        <f aca="false">IF($A42="","",VLOOKUP($A41,Table,MATCH(AA$4,Curves,0)))</f>
        <v>#N/A</v>
      </c>
      <c r="AB41" s="185" t="e">
        <f aca="false">SQRT((AA41^2*(A41-$D$3)+Z41^2*(DAY(EOMONTH(A41,0))/2))/AK41)</f>
        <v>#N/A</v>
      </c>
      <c r="AC41" s="185" t="e">
        <f aca="false">IF($A42="","",VLOOKUP($A41,Table,MATCH(AC$4,Curves,0)))</f>
        <v>#N/A</v>
      </c>
      <c r="AD41" s="185" t="e">
        <f aca="false">IF($A42="","",VLOOKUP($A41,Table,MATCH(AD$4,Curves,0)))</f>
        <v>#N/A</v>
      </c>
      <c r="AE41" s="185" t="e">
        <f aca="false">SQRT((AD41^2*(A41-$D$3)+AC41^2*(DAY(EOMONTH(A41,0))/2))/AK41)</f>
        <v>#N/A</v>
      </c>
      <c r="AF41" s="206" t="e">
        <f aca="false">((Summary!$N$12*(AA41*AD41)*(A41-$D$3))+(Summary!$M$12*Z41*AC41*(AJ41-EOMONTH(EDATE(A41,-1),0))))/(AK41*AB41*AE41)</f>
        <v>#N/A</v>
      </c>
      <c r="AG41" s="207" t="n">
        <f aca="false">IF($A42="","",Summary!$Q$12)</f>
        <v>0</v>
      </c>
      <c r="AH41" s="207" t="n">
        <f aca="false">IF($A42="","",IF(Summary!$R$12="Y",(VLOOKUP($A41,Summary!$AD$6:$AF$9,3)+'Escalating commodity'!H54),'Escalating commodity'!H54))</f>
        <v>0.029</v>
      </c>
      <c r="AI41" s="207" t="n">
        <f aca="false">IF($A42="","",AH41)</f>
        <v>0.029</v>
      </c>
      <c r="AJ41" s="208" t="n">
        <f aca="false">A41+DAY(EOMONTH(A41,0))/2-1</f>
        <v>38001.5</v>
      </c>
      <c r="AK41" s="209" t="n">
        <f aca="false">IF($A42="","",$A41-$E$1)</f>
        <v>-7939</v>
      </c>
      <c r="AL41" s="182" t="e">
        <f aca="false">IF($A42="","",SPRDOPT(P41,X41,AI41,0,AB41,AE41,AF41,AK41,$AJ$2,0))</f>
        <v>#NAME?</v>
      </c>
      <c r="AM41" s="211" t="e">
        <f aca="false">IF($A42="","",MAX(0,O41-W41-AI41))</f>
        <v>#N/A</v>
      </c>
      <c r="AN41" s="211" t="e">
        <f aca="false">IF($A42="","",AL41-AM41)</f>
        <v>#N/A</v>
      </c>
      <c r="AO41" s="137" t="n">
        <f aca="false">IF(A42="","",A42-A41)</f>
        <v>31</v>
      </c>
      <c r="AP41" s="212" t="n">
        <f aca="false">IF(A42="","",CHOOSE(F$3,A42+24,A41))</f>
        <v>37987</v>
      </c>
      <c r="AQ41" s="209" t="n">
        <f aca="false">IF(A42="","",AP41-$E$1)</f>
        <v>-7939</v>
      </c>
      <c r="AR41" s="185" t="n">
        <f aca="false">'ANR OK vs ML7'!AR41</f>
        <v>0.1</v>
      </c>
      <c r="AS41" s="213" t="n">
        <f aca="false">IF(A42="","",1/(1+CHOOSE(F$3,(AR42+($I$3/10000))/2,(AR41+($I$3/10000))/2))^(2*AQ41/365.25))</f>
        <v>8.33935809936448</v>
      </c>
      <c r="AT41" s="137" t="n">
        <f aca="false">IF(A42="","",IF(AND(mthbeg&lt;=A41,mthend&gt;=A41),1,0))</f>
        <v>1</v>
      </c>
      <c r="AU41" s="137" t="n">
        <f aca="false">IF(A42="","",AO41*AT41)</f>
        <v>31</v>
      </c>
      <c r="AW41" s="195" t="e">
        <f aca="false">IF($A42="","",AL41*$E41)</f>
        <v>#NAME?</v>
      </c>
      <c r="AX41" s="195" t="e">
        <f aca="false">IF($A42="","",AM41*$E41)</f>
        <v>#N/A</v>
      </c>
      <c r="AY41" s="195" t="e">
        <f aca="false">IF($A42="","",AN41*$E41)</f>
        <v>#N/A</v>
      </c>
      <c r="BA41" s="195" t="n">
        <f aca="false">IF($A42="","",F41*Summary!$Q$12)</f>
        <v>0</v>
      </c>
      <c r="BC41" s="179" t="e">
        <f aca="false">IF(A42="","",AM41*F41)</f>
        <v>#N/A</v>
      </c>
    </row>
    <row r="42" customFormat="false" ht="12.75" hidden="false" customHeight="false" outlineLevel="0" collapsed="false">
      <c r="A42" s="196" t="n">
        <f aca="false">IF(A41&lt;mthend,EDATE(A41,1),"")</f>
        <v>38018</v>
      </c>
      <c r="B42" s="197" t="n">
        <f aca="false">IF(A42&lt;mthend,B41,"")</f>
        <v>36522</v>
      </c>
      <c r="C42" s="215"/>
      <c r="D42" s="197" t="n">
        <f aca="false">IF(A43&lt;&gt;"",B42+C42,"")</f>
        <v>36522</v>
      </c>
      <c r="E42" s="199" t="n">
        <f aca="false">IF(A43="","",IF(AND(AT42=1,$H$3=1),D42*AO42,IF($H$3=2,D42,"N/A")))</f>
        <v>1059138</v>
      </c>
      <c r="F42" s="199" t="n">
        <f aca="false">IF(A43="","",E42*AS42)</f>
        <v>8759682.36780932</v>
      </c>
      <c r="G42" s="200" t="e">
        <f aca="false">IF($A43="","",VLOOKUP($A42,Table,MATCH(G$4,Curves,0)))</f>
        <v>#N/A</v>
      </c>
      <c r="H42" s="201" t="e">
        <f aca="false">IF(A43="","",G42)</f>
        <v>#N/A</v>
      </c>
      <c r="I42" s="202"/>
      <c r="J42" s="200" t="e">
        <f aca="false">IF($A43="","",VLOOKUP($A42,Table,MATCH(J$4,Curves,0)))</f>
        <v>#N/A</v>
      </c>
      <c r="K42" s="201" t="e">
        <f aca="false">IF(A43="","",J42)</f>
        <v>#N/A</v>
      </c>
      <c r="L42" s="200" t="e">
        <f aca="false">IF($A43="","",VLOOKUP($A42,Table,MATCH(L$4,Curves,0)))</f>
        <v>#N/A</v>
      </c>
      <c r="M42" s="201" t="e">
        <f aca="false">IF(A43="","",L42)</f>
        <v>#N/A</v>
      </c>
      <c r="N42" s="203"/>
      <c r="O42" s="200" t="e">
        <f aca="false">IF(A43="","",L42+J42+G42)</f>
        <v>#N/A</v>
      </c>
      <c r="P42" s="200" t="e">
        <f aca="false">IF(A43="","",M42+K42+H42)</f>
        <v>#N/A</v>
      </c>
      <c r="Q42" s="204"/>
      <c r="R42" s="200" t="e">
        <f aca="false">IF($A43="","",VLOOKUP($A42,Table,MATCH(R$4,Curves,0)))</f>
        <v>#N/A</v>
      </c>
      <c r="S42" s="201" t="e">
        <f aca="false">IF(A43="","",R42)</f>
        <v>#N/A</v>
      </c>
      <c r="T42" s="200" t="e">
        <f aca="false">IF($A43="","",VLOOKUP($A42,Table,MATCH(T$4,Curves,0)))</f>
        <v>#N/A</v>
      </c>
      <c r="U42" s="201" t="e">
        <f aca="false">IF(A43="","",T42)</f>
        <v>#N/A</v>
      </c>
      <c r="V42" s="225" t="e">
        <f aca="false">IF($A43="","",IF(AND(MONTH(A42)&gt;3,MONTH(A42)&lt;11),(T42+R42+G42)*(((1/(1-Summary!$T$12))/(1-Summary!$W$12))-1),(T42+R42+G42)*((1/(1-Summary!$U$12))/(1-Summary!$X$12)-1)))</f>
        <v>#N/A</v>
      </c>
      <c r="W42" s="200" t="e">
        <f aca="false">IF($A43="","",(T42+R42+G42+V42))</f>
        <v>#N/A</v>
      </c>
      <c r="X42" s="200" t="e">
        <f aca="false">IF($A43="","",(U42+S42+H42+V42))</f>
        <v>#N/A</v>
      </c>
      <c r="Y42" s="202"/>
      <c r="Z42" s="185" t="e">
        <f aca="false">IF($A43="","",VLOOKUP($A42,Table,MATCH(Z$4,Curves,0)))</f>
        <v>#N/A</v>
      </c>
      <c r="AA42" s="185" t="e">
        <f aca="false">IF($A43="","",VLOOKUP($A42,Table,MATCH(AA$4,Curves,0)))</f>
        <v>#N/A</v>
      </c>
      <c r="AB42" s="185" t="e">
        <f aca="false">SQRT((AA42^2*(A42-$D$3)+Z42^2*(DAY(EOMONTH(A42,0))/2))/AK42)</f>
        <v>#N/A</v>
      </c>
      <c r="AC42" s="185" t="e">
        <f aca="false">IF($A43="","",VLOOKUP($A42,Table,MATCH(AC$4,Curves,0)))</f>
        <v>#N/A</v>
      </c>
      <c r="AD42" s="185" t="e">
        <f aca="false">IF($A43="","",VLOOKUP($A42,Table,MATCH(AD$4,Curves,0)))</f>
        <v>#N/A</v>
      </c>
      <c r="AE42" s="185" t="e">
        <f aca="false">SQRT((AD42^2*(A42-$D$3)+AC42^2*(DAY(EOMONTH(A42,0))/2))/AK42)</f>
        <v>#N/A</v>
      </c>
      <c r="AF42" s="206" t="e">
        <f aca="false">((Summary!$N$12*(AA42*AD42)*(A42-$D$3))+(Summary!$M$12*Z42*AC42*(AJ42-EOMONTH(EDATE(A42,-1),0))))/(AK42*AB42*AE42)</f>
        <v>#N/A</v>
      </c>
      <c r="AG42" s="207" t="n">
        <f aca="false">IF($A43="","",Summary!$Q$12)</f>
        <v>0</v>
      </c>
      <c r="AH42" s="207" t="n">
        <f aca="false">IF($A43="","",IF(Summary!$R$12="Y",(VLOOKUP($A42,Summary!$AD$6:$AF$9,3)+'Escalating commodity'!H55),'Escalating commodity'!H55))</f>
        <v>0.029</v>
      </c>
      <c r="AI42" s="207" t="n">
        <f aca="false">IF($A43="","",AH42)</f>
        <v>0.029</v>
      </c>
      <c r="AJ42" s="208" t="n">
        <f aca="false">A42+DAY(EOMONTH(A42,0))/2-1</f>
        <v>38031.5</v>
      </c>
      <c r="AK42" s="209" t="n">
        <f aca="false">IF($A43="","",$A42-$E$1)</f>
        <v>-7908</v>
      </c>
      <c r="AL42" s="182" t="e">
        <f aca="false">IF($A43="","",SPRDOPT(P42,X42,AI42,0,AB42,AE42,AF42,AK42,$AJ$2,0))</f>
        <v>#NAME?</v>
      </c>
      <c r="AM42" s="211" t="e">
        <f aca="false">IF($A43="","",MAX(0,O42-W42-AI42))</f>
        <v>#N/A</v>
      </c>
      <c r="AN42" s="211" t="e">
        <f aca="false">IF($A43="","",AL42-AM42)</f>
        <v>#N/A</v>
      </c>
      <c r="AO42" s="137" t="n">
        <f aca="false">IF(A43="","",A43-A42)</f>
        <v>29</v>
      </c>
      <c r="AP42" s="212" t="n">
        <f aca="false">IF(A43="","",CHOOSE(F$3,A43+24,A42))</f>
        <v>38018</v>
      </c>
      <c r="AQ42" s="209" t="n">
        <f aca="false">IF(A43="","",AP42-$E$1)</f>
        <v>-7908</v>
      </c>
      <c r="AR42" s="185" t="n">
        <f aca="false">'ANR OK vs ML7'!AR42</f>
        <v>0.1</v>
      </c>
      <c r="AS42" s="213" t="n">
        <f aca="false">IF(A43="","",1/(1+CHOOSE(F$3,(AR43+($I$3/10000))/2,(AR42+($I$3/10000))/2))^(2*AQ42/365.25))</f>
        <v>8.27057698601063</v>
      </c>
      <c r="AT42" s="137" t="n">
        <f aca="false">IF(A43="","",IF(AND(mthbeg&lt;=A42,mthend&gt;=A42),1,0))</f>
        <v>1</v>
      </c>
      <c r="AU42" s="137" t="n">
        <f aca="false">IF(A43="","",AO42*AT42)</f>
        <v>29</v>
      </c>
      <c r="AW42" s="195" t="e">
        <f aca="false">IF($A43="","",AL42*$E42)</f>
        <v>#NAME?</v>
      </c>
      <c r="AX42" s="195" t="e">
        <f aca="false">IF($A43="","",AM42*$E42)</f>
        <v>#N/A</v>
      </c>
      <c r="AY42" s="195" t="e">
        <f aca="false">IF($A43="","",AN42*$E42)</f>
        <v>#N/A</v>
      </c>
      <c r="BA42" s="195" t="n">
        <f aca="false">IF($A43="","",F42*Summary!$Q$12)</f>
        <v>0</v>
      </c>
      <c r="BC42" s="179" t="e">
        <f aca="false">IF(A43="","",AM42*F42)</f>
        <v>#N/A</v>
      </c>
    </row>
    <row r="43" customFormat="false" ht="12.75" hidden="false" customHeight="false" outlineLevel="0" collapsed="false">
      <c r="A43" s="196" t="n">
        <f aca="false">IF(A42&lt;mthend,EDATE(A42,1),"")</f>
        <v>38047</v>
      </c>
      <c r="B43" s="197" t="n">
        <f aca="false">IF(A43&lt;mthend,B42,"")</f>
        <v>36522</v>
      </c>
      <c r="C43" s="215"/>
      <c r="D43" s="197" t="n">
        <f aca="false">IF(A44&lt;&gt;"",B43+C43,"")</f>
        <v>36522</v>
      </c>
      <c r="E43" s="199" t="n">
        <f aca="false">IF(A44="","",IF(AND(AT43=1,$H$3=1),D43*AO43,IF($H$3=2,D43,"N/A")))</f>
        <v>1132182</v>
      </c>
      <c r="F43" s="199" t="n">
        <f aca="false">IF(A44="","",E43*AS43)</f>
        <v>9291531.26308585</v>
      </c>
      <c r="G43" s="200" t="e">
        <f aca="false">IF($A44="","",VLOOKUP($A43,Table,MATCH(G$4,Curves,0)))</f>
        <v>#N/A</v>
      </c>
      <c r="H43" s="201" t="e">
        <f aca="false">IF(A44="","",G43)</f>
        <v>#N/A</v>
      </c>
      <c r="I43" s="202"/>
      <c r="J43" s="200" t="e">
        <f aca="false">IF($A44="","",VLOOKUP($A43,Table,MATCH(J$4,Curves,0)))</f>
        <v>#N/A</v>
      </c>
      <c r="K43" s="201" t="e">
        <f aca="false">IF(A44="","",J43)</f>
        <v>#N/A</v>
      </c>
      <c r="L43" s="200" t="e">
        <f aca="false">IF($A44="","",VLOOKUP($A43,Table,MATCH(L$4,Curves,0)))</f>
        <v>#N/A</v>
      </c>
      <c r="M43" s="201" t="e">
        <f aca="false">IF(A44="","",L43)</f>
        <v>#N/A</v>
      </c>
      <c r="N43" s="203"/>
      <c r="O43" s="200" t="e">
        <f aca="false">IF(A44="","",L43+J43+G43)</f>
        <v>#N/A</v>
      </c>
      <c r="P43" s="200" t="e">
        <f aca="false">IF(A44="","",M43+K43+H43)</f>
        <v>#N/A</v>
      </c>
      <c r="Q43" s="204"/>
      <c r="R43" s="200" t="e">
        <f aca="false">IF($A44="","",VLOOKUP($A43,Table,MATCH(R$4,Curves,0)))</f>
        <v>#N/A</v>
      </c>
      <c r="S43" s="201" t="e">
        <f aca="false">IF(A44="","",R43)</f>
        <v>#N/A</v>
      </c>
      <c r="T43" s="200" t="e">
        <f aca="false">IF($A44="","",VLOOKUP($A43,Table,MATCH(T$4,Curves,0)))</f>
        <v>#N/A</v>
      </c>
      <c r="U43" s="201" t="e">
        <f aca="false">IF(A44="","",T43)</f>
        <v>#N/A</v>
      </c>
      <c r="V43" s="225" t="e">
        <f aca="false">IF($A44="","",IF(AND(MONTH(A43)&gt;3,MONTH(A43)&lt;11),(T43+R43+G43)*(((1/(1-Summary!$T$12))/(1-Summary!$W$12))-1),(T43+R43+G43)*((1/(1-Summary!$U$12))/(1-Summary!$X$12)-1)))</f>
        <v>#N/A</v>
      </c>
      <c r="W43" s="200" t="e">
        <f aca="false">IF($A44="","",(T43+R43+G43+V43))</f>
        <v>#N/A</v>
      </c>
      <c r="X43" s="200" t="e">
        <f aca="false">IF($A44="","",(U43+S43+H43+V43))</f>
        <v>#N/A</v>
      </c>
      <c r="Y43" s="202"/>
      <c r="Z43" s="185" t="e">
        <f aca="false">IF($A44="","",VLOOKUP($A43,Table,MATCH(Z$4,Curves,0)))</f>
        <v>#N/A</v>
      </c>
      <c r="AA43" s="185" t="e">
        <f aca="false">IF($A44="","",VLOOKUP($A43,Table,MATCH(AA$4,Curves,0)))</f>
        <v>#N/A</v>
      </c>
      <c r="AB43" s="185" t="e">
        <f aca="false">SQRT((AA43^2*(A43-$D$3)+Z43^2*(DAY(EOMONTH(A43,0))/2))/AK43)</f>
        <v>#N/A</v>
      </c>
      <c r="AC43" s="185" t="e">
        <f aca="false">IF($A44="","",VLOOKUP($A43,Table,MATCH(AC$4,Curves,0)))</f>
        <v>#N/A</v>
      </c>
      <c r="AD43" s="185" t="e">
        <f aca="false">IF($A44="","",VLOOKUP($A43,Table,MATCH(AD$4,Curves,0)))</f>
        <v>#N/A</v>
      </c>
      <c r="AE43" s="185" t="e">
        <f aca="false">SQRT((AD43^2*(A43-$D$3)+AC43^2*(DAY(EOMONTH(A43,0))/2))/AK43)</f>
        <v>#N/A</v>
      </c>
      <c r="AF43" s="206" t="e">
        <f aca="false">((Summary!$N$12*(AA43*AD43)*(A43-$D$3))+(Summary!$M$12*Z43*AC43*(AJ43-EOMONTH(EDATE(A43,-1),0))))/(AK43*AB43*AE43)</f>
        <v>#N/A</v>
      </c>
      <c r="AG43" s="207" t="n">
        <f aca="false">IF($A44="","",Summary!$Q$12)</f>
        <v>0</v>
      </c>
      <c r="AH43" s="207" t="n">
        <f aca="false">IF($A44="","",IF(Summary!$R$12="Y",(VLOOKUP($A43,Summary!$AD$6:$AF$9,3)+'Escalating commodity'!H56),'Escalating commodity'!H56))</f>
        <v>0.029</v>
      </c>
      <c r="AI43" s="207" t="n">
        <f aca="false">IF($A44="","",AH43)</f>
        <v>0.029</v>
      </c>
      <c r="AJ43" s="208" t="n">
        <f aca="false">A43+DAY(EOMONTH(A43,0))/2-1</f>
        <v>38061.5</v>
      </c>
      <c r="AK43" s="209" t="n">
        <f aca="false">IF($A44="","",$A43-$E$1)</f>
        <v>-7879</v>
      </c>
      <c r="AL43" s="182" t="e">
        <f aca="false">IF($A44="","",SPRDOPT(P43,X43,AI43,0,AB43,AE43,AF43,AK43,$AJ$2,0))</f>
        <v>#NAME?</v>
      </c>
      <c r="AM43" s="211" t="e">
        <f aca="false">IF($A44="","",MAX(0,O43-W43-AI43))</f>
        <v>#N/A</v>
      </c>
      <c r="AN43" s="211" t="e">
        <f aca="false">IF($A44="","",AL43-AM43)</f>
        <v>#N/A</v>
      </c>
      <c r="AO43" s="137" t="n">
        <f aca="false">IF(A44="","",A44-A43)</f>
        <v>31</v>
      </c>
      <c r="AP43" s="212" t="n">
        <f aca="false">IF(A44="","",CHOOSE(F$3,A44+24,A43))</f>
        <v>38047</v>
      </c>
      <c r="AQ43" s="209" t="n">
        <f aca="false">IF(A44="","",AP43-$E$1)</f>
        <v>-7879</v>
      </c>
      <c r="AR43" s="185" t="n">
        <f aca="false">'ANR OK vs ML7'!AR43</f>
        <v>0.1</v>
      </c>
      <c r="AS43" s="213" t="n">
        <f aca="false">IF(A44="","",1/(1+CHOOSE(F$3,(AR44+($I$3/10000))/2,(AR43+($I$3/10000))/2))^(2*AQ43/365.25))</f>
        <v>8.20674702749722</v>
      </c>
      <c r="AT43" s="137" t="n">
        <f aca="false">IF(A44="","",IF(AND(mthbeg&lt;=A43,mthend&gt;=A43),1,0))</f>
        <v>1</v>
      </c>
      <c r="AU43" s="137" t="n">
        <f aca="false">IF(A44="","",AO43*AT43)</f>
        <v>31</v>
      </c>
      <c r="AW43" s="195" t="e">
        <f aca="false">IF($A44="","",AL43*$E43)</f>
        <v>#NAME?</v>
      </c>
      <c r="AX43" s="195" t="e">
        <f aca="false">IF($A44="","",AM43*$E43)</f>
        <v>#N/A</v>
      </c>
      <c r="AY43" s="195" t="e">
        <f aca="false">IF($A44="","",AN43*$E43)</f>
        <v>#N/A</v>
      </c>
      <c r="BA43" s="195" t="n">
        <f aca="false">IF($A44="","",F43*Summary!$Q$12)</f>
        <v>0</v>
      </c>
      <c r="BC43" s="179" t="e">
        <f aca="false">IF(A44="","",AM43*F43)</f>
        <v>#N/A</v>
      </c>
    </row>
    <row r="44" customFormat="false" ht="12.75" hidden="false" customHeight="false" outlineLevel="0" collapsed="false">
      <c r="A44" s="196" t="n">
        <f aca="false">IF(A43&lt;mthend,EDATE(A43,1),"")</f>
        <v>38078</v>
      </c>
      <c r="B44" s="197" t="n">
        <f aca="false">IF(A44&lt;mthend,B43,"")</f>
        <v>36522</v>
      </c>
      <c r="C44" s="215"/>
      <c r="D44" s="197" t="n">
        <f aca="false">IF(A45&lt;&gt;"",B44+C44,"")</f>
        <v>36522</v>
      </c>
      <c r="E44" s="199" t="n">
        <f aca="false">IF(A45="","",IF(AND(AT44=1,$H$3=1),D44*AO44,IF($H$3=2,D44,"N/A")))</f>
        <v>1095660</v>
      </c>
      <c r="F44" s="199" t="n">
        <f aca="false">IF(A45="","",E44*AS44)</f>
        <v>8917642.10691766</v>
      </c>
      <c r="G44" s="200" t="e">
        <f aca="false">IF($A45="","",VLOOKUP($A44,Table,MATCH(G$4,Curves,0)))</f>
        <v>#N/A</v>
      </c>
      <c r="H44" s="201" t="e">
        <f aca="false">IF(A45="","",G44)</f>
        <v>#N/A</v>
      </c>
      <c r="I44" s="202"/>
      <c r="J44" s="200" t="e">
        <f aca="false">IF($A45="","",VLOOKUP($A44,Table,MATCH(J$4,Curves,0)))</f>
        <v>#N/A</v>
      </c>
      <c r="K44" s="201" t="e">
        <f aca="false">IF(A45="","",J44)</f>
        <v>#N/A</v>
      </c>
      <c r="L44" s="200" t="e">
        <f aca="false">IF($A45="","",VLOOKUP($A44,Table,MATCH(L$4,Curves,0)))</f>
        <v>#N/A</v>
      </c>
      <c r="M44" s="201" t="e">
        <f aca="false">IF(A45="","",L44)</f>
        <v>#N/A</v>
      </c>
      <c r="N44" s="203"/>
      <c r="O44" s="200" t="e">
        <f aca="false">IF(A45="","",L44+J44+G44)</f>
        <v>#N/A</v>
      </c>
      <c r="P44" s="200" t="e">
        <f aca="false">IF(A45="","",M44+K44+H44)</f>
        <v>#N/A</v>
      </c>
      <c r="Q44" s="204"/>
      <c r="R44" s="200" t="e">
        <f aca="false">IF($A45="","",VLOOKUP($A44,Table,MATCH(R$4,Curves,0)))</f>
        <v>#N/A</v>
      </c>
      <c r="S44" s="201" t="e">
        <f aca="false">IF(A45="","",R44)</f>
        <v>#N/A</v>
      </c>
      <c r="T44" s="200" t="e">
        <f aca="false">IF($A45="","",VLOOKUP($A44,Table,MATCH(T$4,Curves,0)))</f>
        <v>#N/A</v>
      </c>
      <c r="U44" s="201" t="e">
        <f aca="false">IF(A45="","",T44)</f>
        <v>#N/A</v>
      </c>
      <c r="V44" s="225" t="e">
        <f aca="false">IF($A45="","",IF(AND(MONTH(A44)&gt;3,MONTH(A44)&lt;11),(T44+R44+G44)*(((1/(1-Summary!$T$12))/(1-Summary!$W$12))-1),(T44+R44+G44)*((1/(1-Summary!$U$12))/(1-Summary!$X$12)-1)))</f>
        <v>#N/A</v>
      </c>
      <c r="W44" s="200" t="e">
        <f aca="false">IF($A45="","",(T44+R44+G44+V44))</f>
        <v>#N/A</v>
      </c>
      <c r="X44" s="200" t="e">
        <f aca="false">IF($A45="","",(U44+S44+H44+V44))</f>
        <v>#N/A</v>
      </c>
      <c r="Y44" s="202"/>
      <c r="Z44" s="185" t="e">
        <f aca="false">IF($A45="","",VLOOKUP($A44,Table,MATCH(Z$4,Curves,0)))</f>
        <v>#N/A</v>
      </c>
      <c r="AA44" s="185" t="e">
        <f aca="false">IF($A45="","",VLOOKUP($A44,Table,MATCH(AA$4,Curves,0)))</f>
        <v>#N/A</v>
      </c>
      <c r="AB44" s="185" t="e">
        <f aca="false">SQRT((AA44^2*(A44-$D$3)+Z44^2*(DAY(EOMONTH(A44,0))/2))/AK44)</f>
        <v>#N/A</v>
      </c>
      <c r="AC44" s="185" t="e">
        <f aca="false">IF($A45="","",VLOOKUP($A44,Table,MATCH(AC$4,Curves,0)))</f>
        <v>#N/A</v>
      </c>
      <c r="AD44" s="185" t="e">
        <f aca="false">IF($A45="","",VLOOKUP($A44,Table,MATCH(AD$4,Curves,0)))</f>
        <v>#N/A</v>
      </c>
      <c r="AE44" s="185" t="e">
        <f aca="false">SQRT((AD44^2*(A44-$D$3)+AC44^2*(DAY(EOMONTH(A44,0))/2))/AK44)</f>
        <v>#N/A</v>
      </c>
      <c r="AF44" s="206" t="e">
        <f aca="false">((Summary!$N$12*(AA44*AD44)*(A44-$D$3))+(Summary!$M$12*Z44*AC44*(AJ44-EOMONTH(EDATE(A44,-1),0))))/(AK44*AB44*AE44)</f>
        <v>#N/A</v>
      </c>
      <c r="AG44" s="207" t="n">
        <f aca="false">IF($A45="","",Summary!$Q$12)</f>
        <v>0</v>
      </c>
      <c r="AH44" s="207" t="n">
        <f aca="false">IF($A45="","",IF(Summary!$R$12="Y",(VLOOKUP($A44,Summary!$AD$6:$AF$9,3)+'Escalating commodity'!H57),'Escalating commodity'!H57))</f>
        <v>0.029</v>
      </c>
      <c r="AI44" s="207" t="n">
        <f aca="false">IF($A45="","",AH44)</f>
        <v>0.029</v>
      </c>
      <c r="AJ44" s="208" t="n">
        <f aca="false">A44+DAY(EOMONTH(A44,0))/2-1</f>
        <v>38092</v>
      </c>
      <c r="AK44" s="209" t="n">
        <f aca="false">IF($A45="","",$A44-$E$1)</f>
        <v>-7848</v>
      </c>
      <c r="AL44" s="182" t="e">
        <f aca="false">IF($A45="","",SPRDOPT(P44,X44,AI44,0,AB44,AE44,AF44,AK44,$AJ$2,0))</f>
        <v>#NAME?</v>
      </c>
      <c r="AM44" s="211" t="e">
        <f aca="false">IF($A45="","",MAX(0,O44-W44-AI44))</f>
        <v>#N/A</v>
      </c>
      <c r="AN44" s="211" t="e">
        <f aca="false">IF($A45="","",AL44-AM44)</f>
        <v>#N/A</v>
      </c>
      <c r="AO44" s="137" t="n">
        <f aca="false">IF(A45="","",A45-A44)</f>
        <v>30</v>
      </c>
      <c r="AP44" s="212" t="n">
        <f aca="false">IF(A45="","",CHOOSE(F$3,A45+24,A44))</f>
        <v>38078</v>
      </c>
      <c r="AQ44" s="209" t="n">
        <f aca="false">IF(A45="","",AP44-$E$1)</f>
        <v>-7848</v>
      </c>
      <c r="AR44" s="185" t="n">
        <f aca="false">'ANR OK vs ML7'!AR44</f>
        <v>0.1</v>
      </c>
      <c r="AS44" s="213" t="n">
        <f aca="false">IF(A45="","",1/(1+CHOOSE(F$3,(AR45+($I$3/10000))/2,(AR44+($I$3/10000))/2))^(2*AQ44/365.25))</f>
        <v>8.13905965985585</v>
      </c>
      <c r="AT44" s="137" t="n">
        <f aca="false">IF(A45="","",IF(AND(mthbeg&lt;=A44,mthend&gt;=A44),1,0))</f>
        <v>1</v>
      </c>
      <c r="AU44" s="137" t="n">
        <f aca="false">IF(A45="","",AO44*AT44)</f>
        <v>30</v>
      </c>
      <c r="AW44" s="195" t="e">
        <f aca="false">IF($A45="","",AL44*$E44)</f>
        <v>#NAME?</v>
      </c>
      <c r="AX44" s="195" t="e">
        <f aca="false">IF($A45="","",AM44*$E44)</f>
        <v>#N/A</v>
      </c>
      <c r="AY44" s="195" t="e">
        <f aca="false">IF($A45="","",AN44*$E44)</f>
        <v>#N/A</v>
      </c>
      <c r="BA44" s="195" t="n">
        <f aca="false">IF($A45="","",F44*Summary!$Q$12)</f>
        <v>0</v>
      </c>
      <c r="BC44" s="179" t="e">
        <f aca="false">IF(A45="","",AM44*F44)</f>
        <v>#N/A</v>
      </c>
    </row>
    <row r="45" customFormat="false" ht="12.75" hidden="false" customHeight="false" outlineLevel="0" collapsed="false">
      <c r="A45" s="196" t="n">
        <f aca="false">IF(A44&lt;mthend,EDATE(A44,1),"")</f>
        <v>38108</v>
      </c>
      <c r="B45" s="197" t="n">
        <f aca="false">IF(A45&lt;mthend,B44,"")</f>
        <v>36522</v>
      </c>
      <c r="C45" s="215"/>
      <c r="D45" s="197" t="n">
        <f aca="false">IF(A46&lt;&gt;"",B45+C45,"")</f>
        <v>36522</v>
      </c>
      <c r="E45" s="199" t="n">
        <f aca="false">IF(A46="","",IF(AND(AT45=1,$H$3=1),D45*AO45,IF($H$3=2,D45,"N/A")))</f>
        <v>1132182</v>
      </c>
      <c r="F45" s="199" t="n">
        <f aca="false">IF(A46="","",E45*AS45)</f>
        <v>9141336.36434605</v>
      </c>
      <c r="G45" s="200" t="e">
        <f aca="false">IF($A46="","",VLOOKUP($A45,Table,MATCH(G$4,Curves,0)))</f>
        <v>#N/A</v>
      </c>
      <c r="H45" s="201" t="e">
        <f aca="false">IF(A46="","",G45)</f>
        <v>#N/A</v>
      </c>
      <c r="I45" s="202"/>
      <c r="J45" s="200" t="e">
        <f aca="false">IF($A46="","",VLOOKUP($A45,Table,MATCH(J$4,Curves,0)))</f>
        <v>#N/A</v>
      </c>
      <c r="K45" s="201" t="e">
        <f aca="false">IF(A46="","",J45)</f>
        <v>#N/A</v>
      </c>
      <c r="L45" s="200" t="e">
        <f aca="false">IF($A46="","",VLOOKUP($A45,Table,MATCH(L$4,Curves,0)))</f>
        <v>#N/A</v>
      </c>
      <c r="M45" s="201" t="e">
        <f aca="false">IF(A46="","",L45)</f>
        <v>#N/A</v>
      </c>
      <c r="N45" s="203"/>
      <c r="O45" s="200" t="e">
        <f aca="false">IF(A46="","",L45+J45+G45)</f>
        <v>#N/A</v>
      </c>
      <c r="P45" s="200" t="e">
        <f aca="false">IF(A46="","",M45+K45+H45)</f>
        <v>#N/A</v>
      </c>
      <c r="Q45" s="204"/>
      <c r="R45" s="200" t="e">
        <f aca="false">IF($A46="","",VLOOKUP($A45,Table,MATCH(R$4,Curves,0)))</f>
        <v>#N/A</v>
      </c>
      <c r="S45" s="201" t="e">
        <f aca="false">IF(A46="","",R45)</f>
        <v>#N/A</v>
      </c>
      <c r="T45" s="200" t="e">
        <f aca="false">IF($A46="","",VLOOKUP($A45,Table,MATCH(T$4,Curves,0)))</f>
        <v>#N/A</v>
      </c>
      <c r="U45" s="201" t="e">
        <f aca="false">IF(A46="","",T45)</f>
        <v>#N/A</v>
      </c>
      <c r="V45" s="225" t="e">
        <f aca="false">IF($A46="","",IF(AND(MONTH(A45)&gt;3,MONTH(A45)&lt;11),(T45+R45+G45)*(((1/(1-Summary!$T$12))/(1-Summary!$W$12))-1),(T45+R45+G45)*((1/(1-Summary!$U$12))/(1-Summary!$X$12)-1)))</f>
        <v>#N/A</v>
      </c>
      <c r="W45" s="200" t="e">
        <f aca="false">IF($A46="","",(T45+R45+G45+V45))</f>
        <v>#N/A</v>
      </c>
      <c r="X45" s="200" t="e">
        <f aca="false">IF($A46="","",(U45+S45+H45+V45))</f>
        <v>#N/A</v>
      </c>
      <c r="Y45" s="202"/>
      <c r="Z45" s="185" t="e">
        <f aca="false">IF($A46="","",VLOOKUP($A45,Table,MATCH(Z$4,Curves,0)))</f>
        <v>#N/A</v>
      </c>
      <c r="AA45" s="185" t="e">
        <f aca="false">IF($A46="","",VLOOKUP($A45,Table,MATCH(AA$4,Curves,0)))</f>
        <v>#N/A</v>
      </c>
      <c r="AB45" s="185" t="e">
        <f aca="false">SQRT((AA45^2*(A45-$D$3)+Z45^2*(DAY(EOMONTH(A45,0))/2))/AK45)</f>
        <v>#N/A</v>
      </c>
      <c r="AC45" s="185" t="e">
        <f aca="false">IF($A46="","",VLOOKUP($A45,Table,MATCH(AC$4,Curves,0)))</f>
        <v>#N/A</v>
      </c>
      <c r="AD45" s="185" t="e">
        <f aca="false">IF($A46="","",VLOOKUP($A45,Table,MATCH(AD$4,Curves,0)))</f>
        <v>#N/A</v>
      </c>
      <c r="AE45" s="185" t="e">
        <f aca="false">SQRT((AD45^2*(A45-$D$3)+AC45^2*(DAY(EOMONTH(A45,0))/2))/AK45)</f>
        <v>#N/A</v>
      </c>
      <c r="AF45" s="206" t="e">
        <f aca="false">((Summary!$N$12*(AA45*AD45)*(A45-$D$3))+(Summary!$M$12*Z45*AC45*(AJ45-EOMONTH(EDATE(A45,-1),0))))/(AK45*AB45*AE45)</f>
        <v>#N/A</v>
      </c>
      <c r="AG45" s="207" t="n">
        <f aca="false">IF($A46="","",Summary!$Q$12)</f>
        <v>0</v>
      </c>
      <c r="AH45" s="207" t="n">
        <f aca="false">IF($A46="","",IF(Summary!$R$12="Y",(VLOOKUP($A45,Summary!$AD$6:$AF$9,3)+'Escalating commodity'!H58),'Escalating commodity'!H58))</f>
        <v>0.029</v>
      </c>
      <c r="AI45" s="207" t="n">
        <f aca="false">IF($A46="","",AH45)</f>
        <v>0.029</v>
      </c>
      <c r="AJ45" s="208" t="n">
        <f aca="false">A45+DAY(EOMONTH(A45,0))/2-1</f>
        <v>38122.5</v>
      </c>
      <c r="AK45" s="209" t="n">
        <f aca="false">IF($A46="","",$A45-$E$1)</f>
        <v>-7818</v>
      </c>
      <c r="AL45" s="182" t="e">
        <f aca="false">IF($A46="","",SPRDOPT(P45,X45,AI45,0,AB45,AE45,AF45,AK45,$AJ$2,0))</f>
        <v>#NAME?</v>
      </c>
      <c r="AM45" s="211" t="e">
        <f aca="false">IF($A46="","",MAX(0,O45-W45-AI45))</f>
        <v>#N/A</v>
      </c>
      <c r="AN45" s="211" t="e">
        <f aca="false">IF($A46="","",AL45-AM45)</f>
        <v>#N/A</v>
      </c>
      <c r="AO45" s="137" t="n">
        <f aca="false">IF(A46="","",A46-A45)</f>
        <v>31</v>
      </c>
      <c r="AP45" s="212" t="n">
        <f aca="false">IF(A46="","",CHOOSE(F$3,A46+24,A45))</f>
        <v>38108</v>
      </c>
      <c r="AQ45" s="209" t="n">
        <f aca="false">IF(A46="","",AP45-$E$1)</f>
        <v>-7818</v>
      </c>
      <c r="AR45" s="185" t="n">
        <f aca="false">'ANR OK vs ML7'!AR45</f>
        <v>0.1</v>
      </c>
      <c r="AS45" s="213" t="n">
        <f aca="false">IF(A46="","",1/(1+CHOOSE(F$3,(AR46+($I$3/10000))/2,(AR45+($I$3/10000))/2))^(2*AQ45/365.25))</f>
        <v>8.07408735021935</v>
      </c>
      <c r="AT45" s="137" t="n">
        <f aca="false">IF(A46="","",IF(AND(mthbeg&lt;=A45,mthend&gt;=A45),1,0))</f>
        <v>1</v>
      </c>
      <c r="AU45" s="137" t="n">
        <f aca="false">IF(A46="","",AO45*AT45)</f>
        <v>31</v>
      </c>
      <c r="AW45" s="195" t="e">
        <f aca="false">IF($A46="","",AL45*$E45)</f>
        <v>#NAME?</v>
      </c>
      <c r="AX45" s="195" t="e">
        <f aca="false">IF($A46="","",AM45*$E45)</f>
        <v>#N/A</v>
      </c>
      <c r="AY45" s="195" t="e">
        <f aca="false">IF($A46="","",AN45*$E45)</f>
        <v>#N/A</v>
      </c>
      <c r="BA45" s="195" t="n">
        <f aca="false">IF($A46="","",F45*Summary!$Q$12)</f>
        <v>0</v>
      </c>
      <c r="BC45" s="179" t="e">
        <f aca="false">IF(A46="","",AM45*F45)</f>
        <v>#N/A</v>
      </c>
    </row>
    <row r="46" customFormat="false" ht="12.75" hidden="false" customHeight="false" outlineLevel="0" collapsed="false">
      <c r="A46" s="196" t="n">
        <f aca="false">IF(A45&lt;mthend,EDATE(A45,1),"")</f>
        <v>38139</v>
      </c>
      <c r="B46" s="197" t="n">
        <f aca="false">IF(A46&lt;mthend,B45,"")</f>
        <v>36522</v>
      </c>
      <c r="C46" s="215"/>
      <c r="D46" s="197" t="n">
        <f aca="false">IF(A47&lt;&gt;"",B46+C46,"")</f>
        <v>36522</v>
      </c>
      <c r="E46" s="199" t="n">
        <f aca="false">IF(A47="","",IF(AND(AT46=1,$H$3=1),D46*AO46,IF($H$3=2,D46,"N/A")))</f>
        <v>1095660</v>
      </c>
      <c r="F46" s="199" t="n">
        <f aca="false">IF(A47="","",E46*AS46)</f>
        <v>8773491.01757381</v>
      </c>
      <c r="G46" s="200" t="e">
        <f aca="false">IF($A47="","",VLOOKUP($A46,Table,MATCH(G$4,Curves,0)))</f>
        <v>#N/A</v>
      </c>
      <c r="H46" s="201" t="e">
        <f aca="false">IF(A47="","",G46)</f>
        <v>#N/A</v>
      </c>
      <c r="I46" s="202"/>
      <c r="J46" s="200" t="e">
        <f aca="false">IF($A47="","",VLOOKUP($A46,Table,MATCH(J$4,Curves,0)))</f>
        <v>#N/A</v>
      </c>
      <c r="K46" s="201" t="e">
        <f aca="false">IF(A47="","",J46)</f>
        <v>#N/A</v>
      </c>
      <c r="L46" s="200" t="e">
        <f aca="false">IF($A47="","",VLOOKUP($A46,Table,MATCH(L$4,Curves,0)))</f>
        <v>#N/A</v>
      </c>
      <c r="M46" s="201" t="e">
        <f aca="false">IF(A47="","",L46)</f>
        <v>#N/A</v>
      </c>
      <c r="N46" s="203"/>
      <c r="O46" s="200" t="e">
        <f aca="false">IF(A47="","",L46+J46+G46)</f>
        <v>#N/A</v>
      </c>
      <c r="P46" s="200" t="e">
        <f aca="false">IF(A47="","",M46+K46+H46)</f>
        <v>#N/A</v>
      </c>
      <c r="Q46" s="204"/>
      <c r="R46" s="200" t="e">
        <f aca="false">IF($A47="","",VLOOKUP($A46,Table,MATCH(R$4,Curves,0)))</f>
        <v>#N/A</v>
      </c>
      <c r="S46" s="201" t="e">
        <f aca="false">IF(A47="","",R46)</f>
        <v>#N/A</v>
      </c>
      <c r="T46" s="200" t="e">
        <f aca="false">IF($A47="","",VLOOKUP($A46,Table,MATCH(T$4,Curves,0)))</f>
        <v>#N/A</v>
      </c>
      <c r="U46" s="201" t="e">
        <f aca="false">IF(A47="","",T46)</f>
        <v>#N/A</v>
      </c>
      <c r="V46" s="225" t="e">
        <f aca="false">IF($A47="","",IF(AND(MONTH(A46)&gt;3,MONTH(A46)&lt;11),(T46+R46+G46)*(((1/(1-Summary!$T$12))/(1-Summary!$W$12))-1),(T46+R46+G46)*((1/(1-Summary!$U$12))/(1-Summary!$X$12)-1)))</f>
        <v>#N/A</v>
      </c>
      <c r="W46" s="200" t="e">
        <f aca="false">IF($A47="","",(T46+R46+G46+V46))</f>
        <v>#N/A</v>
      </c>
      <c r="X46" s="200" t="e">
        <f aca="false">IF($A47="","",(U46+S46+H46+V46))</f>
        <v>#N/A</v>
      </c>
      <c r="Y46" s="202"/>
      <c r="Z46" s="185" t="e">
        <f aca="false">IF($A47="","",VLOOKUP($A46,Table,MATCH(Z$4,Curves,0)))</f>
        <v>#N/A</v>
      </c>
      <c r="AA46" s="185" t="e">
        <f aca="false">IF($A47="","",VLOOKUP($A46,Table,MATCH(AA$4,Curves,0)))</f>
        <v>#N/A</v>
      </c>
      <c r="AB46" s="185" t="e">
        <f aca="false">SQRT((AA46^2*(A46-$D$3)+Z46^2*(DAY(EOMONTH(A46,0))/2))/AK46)</f>
        <v>#N/A</v>
      </c>
      <c r="AC46" s="185" t="e">
        <f aca="false">IF($A47="","",VLOOKUP($A46,Table,MATCH(AC$4,Curves,0)))</f>
        <v>#N/A</v>
      </c>
      <c r="AD46" s="185" t="e">
        <f aca="false">IF($A47="","",VLOOKUP($A46,Table,MATCH(AD$4,Curves,0)))</f>
        <v>#N/A</v>
      </c>
      <c r="AE46" s="185" t="e">
        <f aca="false">SQRT((AD46^2*(A46-$D$3)+AC46^2*(DAY(EOMONTH(A46,0))/2))/AK46)</f>
        <v>#N/A</v>
      </c>
      <c r="AF46" s="206" t="e">
        <f aca="false">((Summary!$N$12*(AA46*AD46)*(A46-$D$3))+(Summary!$M$12*Z46*AC46*(AJ46-EOMONTH(EDATE(A46,-1),0))))/(AK46*AB46*AE46)</f>
        <v>#N/A</v>
      </c>
      <c r="AG46" s="207" t="n">
        <f aca="false">IF($A47="","",Summary!$Q$12)</f>
        <v>0</v>
      </c>
      <c r="AH46" s="207" t="n">
        <f aca="false">IF($A47="","",IF(Summary!$R$12="Y",(VLOOKUP($A46,Summary!$AD$6:$AF$9,3)+'Escalating commodity'!H59),'Escalating commodity'!H59))</f>
        <v>0.029</v>
      </c>
      <c r="AI46" s="207" t="n">
        <f aca="false">IF($A47="","",AH46)</f>
        <v>0.029</v>
      </c>
      <c r="AJ46" s="208" t="n">
        <f aca="false">A46+DAY(EOMONTH(A46,0))/2-1</f>
        <v>38153</v>
      </c>
      <c r="AK46" s="209" t="n">
        <f aca="false">IF($A47="","",$A46-$E$1)</f>
        <v>-7787</v>
      </c>
      <c r="AL46" s="182" t="e">
        <f aca="false">IF($A47="","",SPRDOPT(P46,X46,AI46,0,AB46,AE46,AF46,AK46,$AJ$2,0))</f>
        <v>#NAME?</v>
      </c>
      <c r="AM46" s="211" t="e">
        <f aca="false">IF($A47="","",MAX(0,O46-W46-AI46))</f>
        <v>#N/A</v>
      </c>
      <c r="AN46" s="211" t="e">
        <f aca="false">IF($A47="","",AL46-AM46)</f>
        <v>#N/A</v>
      </c>
      <c r="AO46" s="137" t="n">
        <f aca="false">IF(A47="","",A47-A46)</f>
        <v>30</v>
      </c>
      <c r="AP46" s="212" t="n">
        <f aca="false">IF(A47="","",CHOOSE(F$3,A47+24,A46))</f>
        <v>38139</v>
      </c>
      <c r="AQ46" s="209" t="n">
        <f aca="false">IF(A47="","",AP46-$E$1)</f>
        <v>-7787</v>
      </c>
      <c r="AR46" s="185" t="n">
        <f aca="false">'ANR OK vs ML7'!AR46</f>
        <v>0.1</v>
      </c>
      <c r="AS46" s="213" t="n">
        <f aca="false">IF(A47="","",1/(1+CHOOSE(F$3,(AR47+($I$3/10000))/2,(AR46+($I$3/10000))/2))^(2*AQ46/365.25))</f>
        <v>8.00749412917676</v>
      </c>
      <c r="AT46" s="137" t="n">
        <f aca="false">IF(A47="","",IF(AND(mthbeg&lt;=A46,mthend&gt;=A46),1,0))</f>
        <v>1</v>
      </c>
      <c r="AU46" s="137" t="n">
        <f aca="false">IF(A47="","",AO46*AT46)</f>
        <v>30</v>
      </c>
      <c r="AW46" s="195" t="e">
        <f aca="false">IF($A47="","",AL46*$E46)</f>
        <v>#NAME?</v>
      </c>
      <c r="AX46" s="195" t="e">
        <f aca="false">IF($A47="","",AM46*$E46)</f>
        <v>#N/A</v>
      </c>
      <c r="AY46" s="195" t="e">
        <f aca="false">IF($A47="","",AN46*$E46)</f>
        <v>#N/A</v>
      </c>
      <c r="BA46" s="195" t="n">
        <f aca="false">IF($A47="","",F46*Summary!$Q$12)</f>
        <v>0</v>
      </c>
      <c r="BC46" s="179" t="e">
        <f aca="false">IF(A47="","",AM46*F46)</f>
        <v>#N/A</v>
      </c>
    </row>
    <row r="47" customFormat="false" ht="12.75" hidden="false" customHeight="false" outlineLevel="0" collapsed="false">
      <c r="A47" s="196" t="n">
        <f aca="false">IF(A46&lt;mthend,EDATE(A46,1),"")</f>
        <v>38169</v>
      </c>
      <c r="B47" s="197" t="n">
        <f aca="false">IF(A47&lt;mthend,B46,"")</f>
        <v>36522</v>
      </c>
      <c r="C47" s="215"/>
      <c r="D47" s="197" t="n">
        <f aca="false">IF(A48&lt;&gt;"",B47+C47,"")</f>
        <v>36522</v>
      </c>
      <c r="E47" s="199" t="n">
        <f aca="false">IF(A48="","",IF(AND(AT47=1,$H$3=1),D47*AO47,IF($H$3=2,D47,"N/A")))</f>
        <v>1132182</v>
      </c>
      <c r="F47" s="199" t="n">
        <f aca="false">IF(A48="","",E47*AS47)</f>
        <v>8993569.32243293</v>
      </c>
      <c r="G47" s="200" t="e">
        <f aca="false">IF($A48="","",VLOOKUP($A47,Table,MATCH(G$4,Curves,0)))</f>
        <v>#N/A</v>
      </c>
      <c r="H47" s="201" t="e">
        <f aca="false">IF(A48="","",G47)</f>
        <v>#N/A</v>
      </c>
      <c r="I47" s="202"/>
      <c r="J47" s="200" t="e">
        <f aca="false">IF($A48="","",VLOOKUP($A47,Table,MATCH(J$4,Curves,0)))</f>
        <v>#N/A</v>
      </c>
      <c r="K47" s="201" t="e">
        <f aca="false">IF(A48="","",J47)</f>
        <v>#N/A</v>
      </c>
      <c r="L47" s="200" t="e">
        <f aca="false">IF($A48="","",VLOOKUP($A47,Table,MATCH(L$4,Curves,0)))</f>
        <v>#N/A</v>
      </c>
      <c r="M47" s="201" t="e">
        <f aca="false">IF(A48="","",L47)</f>
        <v>#N/A</v>
      </c>
      <c r="N47" s="203"/>
      <c r="O47" s="200" t="e">
        <f aca="false">IF(A48="","",L47+J47+G47)</f>
        <v>#N/A</v>
      </c>
      <c r="P47" s="200" t="e">
        <f aca="false">IF(A48="","",M47+K47+H47)</f>
        <v>#N/A</v>
      </c>
      <c r="Q47" s="204"/>
      <c r="R47" s="200" t="e">
        <f aca="false">IF($A48="","",VLOOKUP($A47,Table,MATCH(R$4,Curves,0)))</f>
        <v>#N/A</v>
      </c>
      <c r="S47" s="201" t="e">
        <f aca="false">IF(A48="","",R47)</f>
        <v>#N/A</v>
      </c>
      <c r="T47" s="200" t="e">
        <f aca="false">IF($A48="","",VLOOKUP($A47,Table,MATCH(T$4,Curves,0)))</f>
        <v>#N/A</v>
      </c>
      <c r="U47" s="201" t="e">
        <f aca="false">IF(A48="","",T47)</f>
        <v>#N/A</v>
      </c>
      <c r="V47" s="225" t="e">
        <f aca="false">IF($A48="","",IF(AND(MONTH(A47)&gt;3,MONTH(A47)&lt;11),(T47+R47+G47)*(((1/(1-Summary!$T$12))/(1-Summary!$W$12))-1),(T47+R47+G47)*((1/(1-Summary!$U$12))/(1-Summary!$X$12)-1)))</f>
        <v>#N/A</v>
      </c>
      <c r="W47" s="200" t="e">
        <f aca="false">IF($A48="","",(T47+R47+G47+V47))</f>
        <v>#N/A</v>
      </c>
      <c r="X47" s="200" t="e">
        <f aca="false">IF($A48="","",(U47+S47+H47+V47))</f>
        <v>#N/A</v>
      </c>
      <c r="Y47" s="202"/>
      <c r="Z47" s="185" t="e">
        <f aca="false">IF($A48="","",VLOOKUP($A47,Table,MATCH(Z$4,Curves,0)))</f>
        <v>#N/A</v>
      </c>
      <c r="AA47" s="185" t="e">
        <f aca="false">IF($A48="","",VLOOKUP($A47,Table,MATCH(AA$4,Curves,0)))</f>
        <v>#N/A</v>
      </c>
      <c r="AB47" s="185" t="e">
        <f aca="false">SQRT((AA47^2*(A47-$D$3)+Z47^2*(DAY(EOMONTH(A47,0))/2))/AK47)</f>
        <v>#N/A</v>
      </c>
      <c r="AC47" s="185" t="e">
        <f aca="false">IF($A48="","",VLOOKUP($A47,Table,MATCH(AC$4,Curves,0)))</f>
        <v>#N/A</v>
      </c>
      <c r="AD47" s="185" t="e">
        <f aca="false">IF($A48="","",VLOOKUP($A47,Table,MATCH(AD$4,Curves,0)))</f>
        <v>#N/A</v>
      </c>
      <c r="AE47" s="185" t="e">
        <f aca="false">SQRT((AD47^2*(A47-$D$3)+AC47^2*(DAY(EOMONTH(A47,0))/2))/AK47)</f>
        <v>#N/A</v>
      </c>
      <c r="AF47" s="206" t="e">
        <f aca="false">((Summary!$N$12*(AA47*AD47)*(A47-$D$3))+(Summary!$M$12*Z47*AC47*(AJ47-EOMONTH(EDATE(A47,-1),0))))/(AK47*AB47*AE47)</f>
        <v>#N/A</v>
      </c>
      <c r="AG47" s="207" t="n">
        <f aca="false">IF($A48="","",Summary!$Q$12)</f>
        <v>0</v>
      </c>
      <c r="AH47" s="207" t="n">
        <f aca="false">IF($A48="","",IF(Summary!$R$12="Y",(VLOOKUP($A47,Summary!$AD$6:$AF$9,3)+'Escalating commodity'!H60),'Escalating commodity'!H60))</f>
        <v>0.029</v>
      </c>
      <c r="AI47" s="207" t="n">
        <f aca="false">IF($A48="","",AH47)</f>
        <v>0.029</v>
      </c>
      <c r="AJ47" s="208" t="n">
        <f aca="false">A47+DAY(EOMONTH(A47,0))/2-1</f>
        <v>38183.5</v>
      </c>
      <c r="AK47" s="209" t="n">
        <f aca="false">IF($A48="","",$A47-$E$1)</f>
        <v>-7757</v>
      </c>
      <c r="AL47" s="182" t="e">
        <f aca="false">IF($A48="","",SPRDOPT(P47,X47,AI47,0,AB47,AE47,AF47,AK47,$AJ$2,0))</f>
        <v>#NAME?</v>
      </c>
      <c r="AM47" s="211" t="e">
        <f aca="false">IF($A48="","",MAX(0,O47-W47-AI47))</f>
        <v>#N/A</v>
      </c>
      <c r="AN47" s="211" t="e">
        <f aca="false">IF($A48="","",AL47-AM47)</f>
        <v>#N/A</v>
      </c>
      <c r="AO47" s="137" t="n">
        <f aca="false">IF(A48="","",A48-A47)</f>
        <v>31</v>
      </c>
      <c r="AP47" s="212" t="n">
        <f aca="false">IF(A48="","",CHOOSE(F$3,A48+24,A47))</f>
        <v>38169</v>
      </c>
      <c r="AQ47" s="209" t="n">
        <f aca="false">IF(A48="","",AP47-$E$1)</f>
        <v>-7757</v>
      </c>
      <c r="AR47" s="185" t="n">
        <f aca="false">'ANR OK vs ML7'!AR47</f>
        <v>0.1</v>
      </c>
      <c r="AS47" s="213" t="n">
        <f aca="false">IF(A48="","",1/(1+CHOOSE(F$3,(AR48+($I$3/10000))/2,(AR47+($I$3/10000))/2))^(2*AQ47/365.25))</f>
        <v>7.94357207801655</v>
      </c>
      <c r="AT47" s="137" t="n">
        <f aca="false">IF(A48="","",IF(AND(mthbeg&lt;=A47,mthend&gt;=A47),1,0))</f>
        <v>1</v>
      </c>
      <c r="AU47" s="137" t="n">
        <f aca="false">IF(A48="","",AO47*AT47)</f>
        <v>31</v>
      </c>
      <c r="AW47" s="195" t="e">
        <f aca="false">IF($A48="","",AL47*$E47)</f>
        <v>#NAME?</v>
      </c>
      <c r="AX47" s="195" t="e">
        <f aca="false">IF($A48="","",AM47*$E47)</f>
        <v>#N/A</v>
      </c>
      <c r="AY47" s="195" t="e">
        <f aca="false">IF($A48="","",AN47*$E47)</f>
        <v>#N/A</v>
      </c>
      <c r="BA47" s="195" t="n">
        <f aca="false">IF($A48="","",F47*Summary!$Q$12)</f>
        <v>0</v>
      </c>
      <c r="BC47" s="179" t="e">
        <f aca="false">IF(A48="","",AM47*F47)</f>
        <v>#N/A</v>
      </c>
    </row>
    <row r="48" customFormat="false" ht="12.75" hidden="false" customHeight="false" outlineLevel="0" collapsed="false">
      <c r="A48" s="196" t="n">
        <f aca="false">IF(A47&lt;mthend,EDATE(A47,1),"")</f>
        <v>38200</v>
      </c>
      <c r="B48" s="197" t="n">
        <f aca="false">IF(A48&lt;mthend,B47,"")</f>
        <v>36522</v>
      </c>
      <c r="C48" s="215"/>
      <c r="D48" s="197" t="n">
        <f aca="false">IF(A49&lt;&gt;"",B48+C48,"")</f>
        <v>36522</v>
      </c>
      <c r="E48" s="199" t="n">
        <f aca="false">IF(A49="","",IF(AND(AT48=1,$H$3=1),D48*AO48,IF($H$3=2,D48,"N/A")))</f>
        <v>1132182</v>
      </c>
      <c r="F48" s="199" t="n">
        <f aca="false">IF(A49="","",E48*AS48)</f>
        <v>8919392.42492458</v>
      </c>
      <c r="G48" s="200" t="e">
        <f aca="false">IF($A49="","",VLOOKUP($A48,Table,MATCH(G$4,Curves,0)))</f>
        <v>#N/A</v>
      </c>
      <c r="H48" s="201" t="e">
        <f aca="false">IF(A49="","",G48)</f>
        <v>#N/A</v>
      </c>
      <c r="I48" s="202"/>
      <c r="J48" s="200" t="e">
        <f aca="false">IF($A49="","",VLOOKUP($A48,Table,MATCH(J$4,Curves,0)))</f>
        <v>#N/A</v>
      </c>
      <c r="K48" s="201" t="e">
        <f aca="false">IF(A49="","",J48)</f>
        <v>#N/A</v>
      </c>
      <c r="L48" s="200" t="e">
        <f aca="false">IF($A49="","",VLOOKUP($A48,Table,MATCH(L$4,Curves,0)))</f>
        <v>#N/A</v>
      </c>
      <c r="M48" s="201" t="e">
        <f aca="false">IF(A49="","",L48)</f>
        <v>#N/A</v>
      </c>
      <c r="N48" s="203"/>
      <c r="O48" s="200" t="e">
        <f aca="false">IF(A49="","",L48+J48+G48)</f>
        <v>#N/A</v>
      </c>
      <c r="P48" s="200" t="e">
        <f aca="false">IF(A49="","",M48+K48+H48)</f>
        <v>#N/A</v>
      </c>
      <c r="Q48" s="204"/>
      <c r="R48" s="200" t="e">
        <f aca="false">IF($A49="","",VLOOKUP($A48,Table,MATCH(R$4,Curves,0)))</f>
        <v>#N/A</v>
      </c>
      <c r="S48" s="201" t="e">
        <f aca="false">IF(A49="","",R48)</f>
        <v>#N/A</v>
      </c>
      <c r="T48" s="200" t="e">
        <f aca="false">IF($A49="","",VLOOKUP($A48,Table,MATCH(T$4,Curves,0)))</f>
        <v>#N/A</v>
      </c>
      <c r="U48" s="201" t="e">
        <f aca="false">IF(A49="","",T48)</f>
        <v>#N/A</v>
      </c>
      <c r="V48" s="225" t="e">
        <f aca="false">IF($A49="","",IF(AND(MONTH(A48)&gt;3,MONTH(A48)&lt;11),(T48+R48+G48)*(((1/(1-Summary!$T$12))/(1-Summary!$W$12))-1),(T48+R48+G48)*((1/(1-Summary!$U$12))/(1-Summary!$X$12)-1)))</f>
        <v>#N/A</v>
      </c>
      <c r="W48" s="200" t="e">
        <f aca="false">IF($A49="","",(T48+R48+G48+V48))</f>
        <v>#N/A</v>
      </c>
      <c r="X48" s="200" t="e">
        <f aca="false">IF($A49="","",(U48+S48+H48+V48))</f>
        <v>#N/A</v>
      </c>
      <c r="Y48" s="202"/>
      <c r="Z48" s="185" t="e">
        <f aca="false">IF($A49="","",VLOOKUP($A48,Table,MATCH(Z$4,Curves,0)))</f>
        <v>#N/A</v>
      </c>
      <c r="AA48" s="185" t="e">
        <f aca="false">IF($A49="","",VLOOKUP($A48,Table,MATCH(AA$4,Curves,0)))</f>
        <v>#N/A</v>
      </c>
      <c r="AB48" s="185" t="e">
        <f aca="false">SQRT((AA48^2*(A48-$D$3)+Z48^2*(DAY(EOMONTH(A48,0))/2))/AK48)</f>
        <v>#N/A</v>
      </c>
      <c r="AC48" s="185" t="e">
        <f aca="false">IF($A49="","",VLOOKUP($A48,Table,MATCH(AC$4,Curves,0)))</f>
        <v>#N/A</v>
      </c>
      <c r="AD48" s="185" t="e">
        <f aca="false">IF($A49="","",VLOOKUP($A48,Table,MATCH(AD$4,Curves,0)))</f>
        <v>#N/A</v>
      </c>
      <c r="AE48" s="185" t="e">
        <f aca="false">SQRT((AD48^2*(A48-$D$3)+AC48^2*(DAY(EOMONTH(A48,0))/2))/AK48)</f>
        <v>#N/A</v>
      </c>
      <c r="AF48" s="206" t="e">
        <f aca="false">((Summary!$N$12*(AA48*AD48)*(A48-$D$3))+(Summary!$M$12*Z48*AC48*(AJ48-EOMONTH(EDATE(A48,-1),0))))/(AK48*AB48*AE48)</f>
        <v>#N/A</v>
      </c>
      <c r="AG48" s="207" t="n">
        <f aca="false">IF($A49="","",Summary!$Q$12)</f>
        <v>0</v>
      </c>
      <c r="AH48" s="207" t="n">
        <f aca="false">IF($A49="","",IF(Summary!$R$12="Y",(VLOOKUP($A48,Summary!$AD$6:$AF$9,3)+'Escalating commodity'!H61),'Escalating commodity'!H61))</f>
        <v>0.029</v>
      </c>
      <c r="AI48" s="207" t="n">
        <f aca="false">IF($A49="","",AH48)</f>
        <v>0.029</v>
      </c>
      <c r="AJ48" s="208" t="n">
        <f aca="false">A48+DAY(EOMONTH(A48,0))/2-1</f>
        <v>38214.5</v>
      </c>
      <c r="AK48" s="209" t="n">
        <f aca="false">IF($A49="","",$A48-$E$1)</f>
        <v>-7726</v>
      </c>
      <c r="AL48" s="182" t="e">
        <f aca="false">IF($A49="","",SPRDOPT(P48,X48,AI48,0,AB48,AE48,AF48,AK48,$AJ$2,0))</f>
        <v>#NAME?</v>
      </c>
      <c r="AM48" s="211" t="e">
        <f aca="false">IF($A49="","",MAX(0,O48-W48-AI48))</f>
        <v>#N/A</v>
      </c>
      <c r="AN48" s="211" t="e">
        <f aca="false">IF($A49="","",AL48-AM48)</f>
        <v>#N/A</v>
      </c>
      <c r="AO48" s="137" t="n">
        <f aca="false">IF(A49="","",A49-A48)</f>
        <v>31</v>
      </c>
      <c r="AP48" s="212" t="n">
        <f aca="false">IF(A49="","",CHOOSE(F$3,A49+24,A48))</f>
        <v>38200</v>
      </c>
      <c r="AQ48" s="209" t="n">
        <f aca="false">IF(A49="","",AP48-$E$1)</f>
        <v>-7726</v>
      </c>
      <c r="AR48" s="185" t="n">
        <f aca="false">'ANR OK vs ML7'!AR48</f>
        <v>0.1</v>
      </c>
      <c r="AS48" s="213" t="n">
        <f aca="false">IF(A49="","",1/(1+CHOOSE(F$3,(AR49+($I$3/10000))/2,(AR48+($I$3/10000))/2))^(2*AQ48/365.25))</f>
        <v>7.87805531701138</v>
      </c>
      <c r="AT48" s="137" t="n">
        <f aca="false">IF(A49="","",IF(AND(mthbeg&lt;=A48,mthend&gt;=A48),1,0))</f>
        <v>1</v>
      </c>
      <c r="AU48" s="137" t="n">
        <f aca="false">IF(A49="","",AO48*AT48)</f>
        <v>31</v>
      </c>
      <c r="AW48" s="195" t="e">
        <f aca="false">IF($A49="","",AL48*$E48)</f>
        <v>#NAME?</v>
      </c>
      <c r="AX48" s="195" t="e">
        <f aca="false">IF($A49="","",AM48*$E48)</f>
        <v>#N/A</v>
      </c>
      <c r="AY48" s="195" t="e">
        <f aca="false">IF($A49="","",AN48*$E48)</f>
        <v>#N/A</v>
      </c>
      <c r="BA48" s="195" t="n">
        <f aca="false">IF($A49="","",F48*Summary!$Q$12)</f>
        <v>0</v>
      </c>
      <c r="BC48" s="179" t="e">
        <f aca="false">IF(A49="","",AM48*F48)</f>
        <v>#N/A</v>
      </c>
    </row>
    <row r="49" customFormat="false" ht="12.75" hidden="false" customHeight="false" outlineLevel="0" collapsed="false">
      <c r="A49" s="196" t="n">
        <f aca="false">IF(A48&lt;mthend,EDATE(A48,1),"")</f>
        <v>38231</v>
      </c>
      <c r="B49" s="197" t="n">
        <f aca="false">IF(A49&lt;mthend,B48,"")</f>
        <v>36522</v>
      </c>
      <c r="C49" s="215"/>
      <c r="D49" s="197" t="n">
        <f aca="false">IF(A50&lt;&gt;"",B49+C49,"")</f>
        <v>36522</v>
      </c>
      <c r="E49" s="199" t="n">
        <f aca="false">IF(A50="","",IF(AND(AT49=1,$H$3=1),D49*AO49,IF($H$3=2,D49,"N/A")))</f>
        <v>1095660</v>
      </c>
      <c r="F49" s="199" t="n">
        <f aca="false">IF(A50="","",E49*AS49)</f>
        <v>8560478.05302368</v>
      </c>
      <c r="G49" s="200" t="e">
        <f aca="false">IF($A50="","",VLOOKUP($A49,Table,MATCH(G$4,Curves,0)))</f>
        <v>#N/A</v>
      </c>
      <c r="H49" s="201" t="e">
        <f aca="false">IF(A50="","",G49)</f>
        <v>#N/A</v>
      </c>
      <c r="I49" s="202"/>
      <c r="J49" s="200" t="e">
        <f aca="false">IF($A50="","",VLOOKUP($A49,Table,MATCH(J$4,Curves,0)))</f>
        <v>#N/A</v>
      </c>
      <c r="K49" s="201" t="e">
        <f aca="false">IF(A50="","",J49)</f>
        <v>#N/A</v>
      </c>
      <c r="L49" s="200" t="e">
        <f aca="false">IF($A50="","",VLOOKUP($A49,Table,MATCH(L$4,Curves,0)))</f>
        <v>#N/A</v>
      </c>
      <c r="M49" s="201" t="e">
        <f aca="false">IF(A50="","",L49)</f>
        <v>#N/A</v>
      </c>
      <c r="N49" s="203"/>
      <c r="O49" s="200" t="e">
        <f aca="false">IF(A50="","",L49+J49+G49)</f>
        <v>#N/A</v>
      </c>
      <c r="P49" s="200" t="e">
        <f aca="false">IF(A50="","",M49+K49+H49)</f>
        <v>#N/A</v>
      </c>
      <c r="Q49" s="204"/>
      <c r="R49" s="200" t="e">
        <f aca="false">IF($A50="","",VLOOKUP($A49,Table,MATCH(R$4,Curves,0)))</f>
        <v>#N/A</v>
      </c>
      <c r="S49" s="201" t="e">
        <f aca="false">IF(A50="","",R49)</f>
        <v>#N/A</v>
      </c>
      <c r="T49" s="200" t="e">
        <f aca="false">IF($A50="","",VLOOKUP($A49,Table,MATCH(T$4,Curves,0)))</f>
        <v>#N/A</v>
      </c>
      <c r="U49" s="201" t="e">
        <f aca="false">IF(A50="","",T49)</f>
        <v>#N/A</v>
      </c>
      <c r="V49" s="225" t="e">
        <f aca="false">IF($A50="","",IF(AND(MONTH(A49)&gt;3,MONTH(A49)&lt;11),(T49+R49+G49)*(((1/(1-Summary!$T$12))/(1-Summary!$W$12))-1),(T49+R49+G49)*((1/(1-Summary!$U$12))/(1-Summary!$X$12)-1)))</f>
        <v>#N/A</v>
      </c>
      <c r="W49" s="200" t="e">
        <f aca="false">IF($A50="","",(T49+R49+G49+V49))</f>
        <v>#N/A</v>
      </c>
      <c r="X49" s="200" t="e">
        <f aca="false">IF($A50="","",(U49+S49+H49+V49))</f>
        <v>#N/A</v>
      </c>
      <c r="Y49" s="202"/>
      <c r="Z49" s="185" t="e">
        <f aca="false">IF($A50="","",VLOOKUP($A49,Table,MATCH(Z$4,Curves,0)))</f>
        <v>#N/A</v>
      </c>
      <c r="AA49" s="185" t="e">
        <f aca="false">IF($A50="","",VLOOKUP($A49,Table,MATCH(AA$4,Curves,0)))</f>
        <v>#N/A</v>
      </c>
      <c r="AB49" s="185" t="e">
        <f aca="false">SQRT((AA49^2*(A49-$D$3)+Z49^2*(DAY(EOMONTH(A49,0))/2))/AK49)</f>
        <v>#N/A</v>
      </c>
      <c r="AC49" s="185" t="e">
        <f aca="false">IF($A50="","",VLOOKUP($A49,Table,MATCH(AC$4,Curves,0)))</f>
        <v>#N/A</v>
      </c>
      <c r="AD49" s="185" t="e">
        <f aca="false">IF($A50="","",VLOOKUP($A49,Table,MATCH(AD$4,Curves,0)))</f>
        <v>#N/A</v>
      </c>
      <c r="AE49" s="185" t="e">
        <f aca="false">SQRT((AD49^2*(A49-$D$3)+AC49^2*(DAY(EOMONTH(A49,0))/2))/AK49)</f>
        <v>#N/A</v>
      </c>
      <c r="AF49" s="206" t="e">
        <f aca="false">((Summary!$N$12*(AA49*AD49)*(A49-$D$3))+(Summary!$M$12*Z49*AC49*(AJ49-EOMONTH(EDATE(A49,-1),0))))/(AK49*AB49*AE49)</f>
        <v>#N/A</v>
      </c>
      <c r="AG49" s="207" t="n">
        <f aca="false">IF($A50="","",Summary!$Q$12)</f>
        <v>0</v>
      </c>
      <c r="AH49" s="207" t="n">
        <f aca="false">IF($A50="","",IF(Summary!$R$12="Y",(VLOOKUP($A49,Summary!$AD$6:$AF$9,3)+'Escalating commodity'!H62),'Escalating commodity'!H62))</f>
        <v>0.029</v>
      </c>
      <c r="AI49" s="207" t="n">
        <f aca="false">IF($A50="","",AH49)</f>
        <v>0.029</v>
      </c>
      <c r="AJ49" s="208" t="n">
        <f aca="false">A49+DAY(EOMONTH(A49,0))/2-1</f>
        <v>38245</v>
      </c>
      <c r="AK49" s="209" t="n">
        <f aca="false">IF($A50="","",$A49-$E$1)</f>
        <v>-7695</v>
      </c>
      <c r="AL49" s="182" t="e">
        <f aca="false">IF($A50="","",SPRDOPT(P49,X49,AI49,0,AB49,AE49,AF49,AK49,$AJ$2,0))</f>
        <v>#NAME?</v>
      </c>
      <c r="AM49" s="211" t="e">
        <f aca="false">IF($A50="","",MAX(0,O49-W49-AI49))</f>
        <v>#N/A</v>
      </c>
      <c r="AN49" s="211" t="e">
        <f aca="false">IF($A50="","",AL49-AM49)</f>
        <v>#N/A</v>
      </c>
      <c r="AO49" s="137" t="n">
        <f aca="false">IF(A50="","",A50-A49)</f>
        <v>30</v>
      </c>
      <c r="AP49" s="212" t="n">
        <f aca="false">IF(A50="","",CHOOSE(F$3,A50+24,A49))</f>
        <v>38231</v>
      </c>
      <c r="AQ49" s="209" t="n">
        <f aca="false">IF(A50="","",AP49-$E$1)</f>
        <v>-7695</v>
      </c>
      <c r="AR49" s="185" t="n">
        <f aca="false">'ANR OK vs ML7'!AR49</f>
        <v>0.1</v>
      </c>
      <c r="AS49" s="213" t="n">
        <f aca="false">IF(A50="","",1/(1+CHOOSE(F$3,(AR50+($I$3/10000))/2,(AR49+($I$3/10000))/2))^(2*AQ49/365.25))</f>
        <v>7.81307892322772</v>
      </c>
      <c r="AT49" s="137" t="n">
        <f aca="false">IF(A50="","",IF(AND(mthbeg&lt;=A49,mthend&gt;=A49),1,0))</f>
        <v>1</v>
      </c>
      <c r="AU49" s="137" t="n">
        <f aca="false">IF(A50="","",AO49*AT49)</f>
        <v>30</v>
      </c>
      <c r="AW49" s="195" t="e">
        <f aca="false">IF($A50="","",AL49*$E49)</f>
        <v>#NAME?</v>
      </c>
      <c r="AX49" s="195" t="e">
        <f aca="false">IF($A50="","",AM49*$E49)</f>
        <v>#N/A</v>
      </c>
      <c r="AY49" s="195" t="e">
        <f aca="false">IF($A50="","",AN49*$E49)</f>
        <v>#N/A</v>
      </c>
      <c r="BA49" s="195" t="n">
        <f aca="false">IF($A50="","",F49*Summary!$Q$12)</f>
        <v>0</v>
      </c>
      <c r="BC49" s="179" t="e">
        <f aca="false">IF(A50="","",AM49*F49)</f>
        <v>#N/A</v>
      </c>
    </row>
    <row r="50" customFormat="false" ht="12.75" hidden="false" customHeight="false" outlineLevel="0" collapsed="false">
      <c r="A50" s="196" t="n">
        <f aca="false">IF(A49&lt;mthend,EDATE(A49,1),"")</f>
        <v>38261</v>
      </c>
      <c r="B50" s="197" t="n">
        <f aca="false">IF(A50&lt;mthend,B49,"")</f>
        <v>36522</v>
      </c>
      <c r="C50" s="215"/>
      <c r="D50" s="197" t="n">
        <f aca="false">IF(A51&lt;&gt;"",B50+C50,"")</f>
        <v>36522</v>
      </c>
      <c r="E50" s="199" t="n">
        <f aca="false">IF(A51="","",IF(AND(AT50=1,$H$3=1),D50*AO50,IF($H$3=2,D50,"N/A")))</f>
        <v>1132182</v>
      </c>
      <c r="F50" s="199" t="n">
        <f aca="false">IF(A51="","",E50*AS50)</f>
        <v>8775213.04219954</v>
      </c>
      <c r="G50" s="200" t="e">
        <f aca="false">IF($A51="","",VLOOKUP($A50,Table,MATCH(G$4,Curves,0)))</f>
        <v>#N/A</v>
      </c>
      <c r="H50" s="201" t="e">
        <f aca="false">IF(A51="","",G50)</f>
        <v>#N/A</v>
      </c>
      <c r="I50" s="202"/>
      <c r="J50" s="200" t="e">
        <f aca="false">IF($A51="","",VLOOKUP($A50,Table,MATCH(J$4,Curves,0)))</f>
        <v>#N/A</v>
      </c>
      <c r="K50" s="201" t="e">
        <f aca="false">IF(A51="","",J50)</f>
        <v>#N/A</v>
      </c>
      <c r="L50" s="200" t="e">
        <f aca="false">IF($A51="","",VLOOKUP($A50,Table,MATCH(L$4,Curves,0)))</f>
        <v>#N/A</v>
      </c>
      <c r="M50" s="201" t="e">
        <f aca="false">IF(A51="","",L50)</f>
        <v>#N/A</v>
      </c>
      <c r="N50" s="203"/>
      <c r="O50" s="200" t="e">
        <f aca="false">IF(A51="","",L50+J50+G50)</f>
        <v>#N/A</v>
      </c>
      <c r="P50" s="200" t="e">
        <f aca="false">IF(A51="","",M50+K50+H50)</f>
        <v>#N/A</v>
      </c>
      <c r="Q50" s="204"/>
      <c r="R50" s="200" t="e">
        <f aca="false">IF($A51="","",VLOOKUP($A50,Table,MATCH(R$4,Curves,0)))</f>
        <v>#N/A</v>
      </c>
      <c r="S50" s="201" t="e">
        <f aca="false">IF(A51="","",R50)</f>
        <v>#N/A</v>
      </c>
      <c r="T50" s="200" t="e">
        <f aca="false">IF($A51="","",VLOOKUP($A50,Table,MATCH(T$4,Curves,0)))</f>
        <v>#N/A</v>
      </c>
      <c r="U50" s="201" t="e">
        <f aca="false">IF(A51="","",T50)</f>
        <v>#N/A</v>
      </c>
      <c r="V50" s="225" t="e">
        <f aca="false">IF($A51="","",IF(AND(MONTH(A50)&gt;3,MONTH(A50)&lt;11),(T50+R50+G50)*(((1/(1-Summary!$T$12))/(1-Summary!$W$12))-1),(T50+R50+G50)*((1/(1-Summary!$U$12))/(1-Summary!$X$12)-1)))</f>
        <v>#N/A</v>
      </c>
      <c r="W50" s="200" t="e">
        <f aca="false">IF($A51="","",(T50+R50+G50+V50))</f>
        <v>#N/A</v>
      </c>
      <c r="X50" s="200" t="e">
        <f aca="false">IF($A51="","",(U50+S50+H50+V50))</f>
        <v>#N/A</v>
      </c>
      <c r="Y50" s="202"/>
      <c r="Z50" s="185" t="e">
        <f aca="false">IF($A51="","",VLOOKUP($A50,Table,MATCH(Z$4,Curves,0)))</f>
        <v>#N/A</v>
      </c>
      <c r="AA50" s="185" t="e">
        <f aca="false">IF($A51="","",VLOOKUP($A50,Table,MATCH(AA$4,Curves,0)))</f>
        <v>#N/A</v>
      </c>
      <c r="AB50" s="185" t="e">
        <f aca="false">SQRT((AA50^2*(A50-$D$3)+Z50^2*(DAY(EOMONTH(A50,0))/2))/AK50)</f>
        <v>#N/A</v>
      </c>
      <c r="AC50" s="185" t="e">
        <f aca="false">IF($A51="","",VLOOKUP($A50,Table,MATCH(AC$4,Curves,0)))</f>
        <v>#N/A</v>
      </c>
      <c r="AD50" s="185" t="e">
        <f aca="false">IF($A51="","",VLOOKUP($A50,Table,MATCH(AD$4,Curves,0)))</f>
        <v>#N/A</v>
      </c>
      <c r="AE50" s="185" t="e">
        <f aca="false">SQRT((AD50^2*(A50-$D$3)+AC50^2*(DAY(EOMONTH(A50,0))/2))/AK50)</f>
        <v>#N/A</v>
      </c>
      <c r="AF50" s="206" t="e">
        <f aca="false">((Summary!$N$12*(AA50*AD50)*(A50-$D$3))+(Summary!$M$12*Z50*AC50*(AJ50-EOMONTH(EDATE(A50,-1),0))))/(AK50*AB50*AE50)</f>
        <v>#N/A</v>
      </c>
      <c r="AG50" s="207" t="n">
        <f aca="false">IF($A51="","",Summary!$Q$12)</f>
        <v>0</v>
      </c>
      <c r="AH50" s="207" t="n">
        <f aca="false">IF($A51="","",IF(Summary!$R$12="Y",(VLOOKUP($A50,Summary!$AD$6:$AF$9,3)+'Escalating commodity'!H63),'Escalating commodity'!H63))</f>
        <v>0.029</v>
      </c>
      <c r="AI50" s="207" t="n">
        <f aca="false">IF($A51="","",AH50)</f>
        <v>0.029</v>
      </c>
      <c r="AJ50" s="208" t="n">
        <f aca="false">A50+DAY(EOMONTH(A50,0))/2-1</f>
        <v>38275.5</v>
      </c>
      <c r="AK50" s="209" t="n">
        <f aca="false">IF($A51="","",$A50-$E$1)</f>
        <v>-7665</v>
      </c>
      <c r="AL50" s="182" t="e">
        <f aca="false">IF($A51="","",SPRDOPT(P50,X50,AI50,0,AB50,AE50,AF50,AK50,$AJ$2,0))</f>
        <v>#NAME?</v>
      </c>
      <c r="AM50" s="211" t="e">
        <f aca="false">IF($A51="","",MAX(0,O50-W50-AI50))</f>
        <v>#N/A</v>
      </c>
      <c r="AN50" s="211" t="e">
        <f aca="false">IF($A51="","",AL50-AM50)</f>
        <v>#N/A</v>
      </c>
      <c r="AO50" s="137" t="n">
        <f aca="false">IF(A51="","",A51-A50)</f>
        <v>31</v>
      </c>
      <c r="AP50" s="212" t="n">
        <f aca="false">IF(A51="","",CHOOSE(F$3,A51+24,A50))</f>
        <v>38261</v>
      </c>
      <c r="AQ50" s="209" t="n">
        <f aca="false">IF(A51="","",AP50-$E$1)</f>
        <v>-7665</v>
      </c>
      <c r="AR50" s="185" t="n">
        <f aca="false">'ANR OK vs ML7'!AR50</f>
        <v>0.1</v>
      </c>
      <c r="AS50" s="213" t="n">
        <f aca="false">IF(A51="","",1/(1+CHOOSE(F$3,(AR51+($I$3/10000))/2,(AR50+($I$3/10000))/2))^(2*AQ50/365.25))</f>
        <v>7.75070884557389</v>
      </c>
      <c r="AT50" s="137" t="n">
        <f aca="false">IF(A51="","",IF(AND(mthbeg&lt;=A50,mthend&gt;=A50),1,0))</f>
        <v>1</v>
      </c>
      <c r="AU50" s="137" t="n">
        <f aca="false">IF(A51="","",AO50*AT50)</f>
        <v>31</v>
      </c>
      <c r="AW50" s="195" t="e">
        <f aca="false">IF($A51="","",AL50*$E50)</f>
        <v>#NAME?</v>
      </c>
      <c r="AX50" s="195" t="e">
        <f aca="false">IF($A51="","",AM50*$E50)</f>
        <v>#N/A</v>
      </c>
      <c r="AY50" s="195" t="e">
        <f aca="false">IF($A51="","",AN50*$E50)</f>
        <v>#N/A</v>
      </c>
      <c r="BA50" s="195" t="n">
        <f aca="false">IF($A51="","",F50*Summary!$Q$12)</f>
        <v>0</v>
      </c>
      <c r="BC50" s="179" t="e">
        <f aca="false">IF(A51="","",AM50*F50)</f>
        <v>#N/A</v>
      </c>
    </row>
    <row r="51" customFormat="false" ht="12.75" hidden="false" customHeight="false" outlineLevel="0" collapsed="false">
      <c r="A51" s="196" t="n">
        <f aca="false">IF(A50&lt;mthend,EDATE(A50,1),"")</f>
        <v>38292</v>
      </c>
      <c r="B51" s="197" t="n">
        <f aca="false">IF(A51&lt;mthend,B50,"")</f>
        <v>36522</v>
      </c>
      <c r="C51" s="215"/>
      <c r="D51" s="197" t="n">
        <f aca="false">IF(A52&lt;&gt;"",B51+C51,"")</f>
        <v>36522</v>
      </c>
      <c r="E51" s="199" t="n">
        <f aca="false">IF(A52="","",IF(AND(AT51=1,$H$3=1),D51*AO51,IF($H$3=2,D51,"N/A")))</f>
        <v>1095660</v>
      </c>
      <c r="F51" s="199" t="n">
        <f aca="false">IF(A52="","",E51*AS51)</f>
        <v>8422100.41666504</v>
      </c>
      <c r="G51" s="200" t="e">
        <f aca="false">IF($A52="","",VLOOKUP($A51,Table,MATCH(G$4,Curves,0)))</f>
        <v>#N/A</v>
      </c>
      <c r="H51" s="201" t="e">
        <f aca="false">IF(A52="","",G51)</f>
        <v>#N/A</v>
      </c>
      <c r="I51" s="202"/>
      <c r="J51" s="200" t="e">
        <f aca="false">IF($A52="","",VLOOKUP($A51,Table,MATCH(J$4,Curves,0)))</f>
        <v>#N/A</v>
      </c>
      <c r="K51" s="201" t="e">
        <f aca="false">IF(A52="","",J51)</f>
        <v>#N/A</v>
      </c>
      <c r="L51" s="200" t="e">
        <f aca="false">IF($A52="","",VLOOKUP($A51,Table,MATCH(L$4,Curves,0)))</f>
        <v>#N/A</v>
      </c>
      <c r="M51" s="201" t="e">
        <f aca="false">IF(A52="","",L51)</f>
        <v>#N/A</v>
      </c>
      <c r="N51" s="203"/>
      <c r="O51" s="200" t="e">
        <f aca="false">IF(A52="","",L51+J51+G51)</f>
        <v>#N/A</v>
      </c>
      <c r="P51" s="200" t="e">
        <f aca="false">IF(A52="","",M51+K51+H51)</f>
        <v>#N/A</v>
      </c>
      <c r="Q51" s="204"/>
      <c r="R51" s="200" t="e">
        <f aca="false">IF($A52="","",VLOOKUP($A51,Table,MATCH(R$4,Curves,0)))</f>
        <v>#N/A</v>
      </c>
      <c r="S51" s="201" t="e">
        <f aca="false">IF(A52="","",R51)</f>
        <v>#N/A</v>
      </c>
      <c r="T51" s="200" t="e">
        <f aca="false">IF($A52="","",VLOOKUP($A51,Table,MATCH(T$4,Curves,0)))</f>
        <v>#N/A</v>
      </c>
      <c r="U51" s="201" t="e">
        <f aca="false">IF(A52="","",T51)</f>
        <v>#N/A</v>
      </c>
      <c r="V51" s="225" t="e">
        <f aca="false">IF($A52="","",IF(AND(MONTH(A51)&gt;3,MONTH(A51)&lt;11),(T51+R51+G51)*(((1/(1-Summary!$T$12))/(1-Summary!$W$12))-1),(T51+R51+G51)*((1/(1-Summary!$U$12))/(1-Summary!$X$12)-1)))</f>
        <v>#N/A</v>
      </c>
      <c r="W51" s="200" t="e">
        <f aca="false">IF($A52="","",(T51+R51+G51+V51))</f>
        <v>#N/A</v>
      </c>
      <c r="X51" s="200" t="e">
        <f aca="false">IF($A52="","",(U51+S51+H51+V51))</f>
        <v>#N/A</v>
      </c>
      <c r="Y51" s="202"/>
      <c r="Z51" s="185" t="e">
        <f aca="false">IF($A52="","",VLOOKUP($A51,Table,MATCH(Z$4,Curves,0)))</f>
        <v>#N/A</v>
      </c>
      <c r="AA51" s="185" t="e">
        <f aca="false">IF($A52="","",VLOOKUP($A51,Table,MATCH(AA$4,Curves,0)))</f>
        <v>#N/A</v>
      </c>
      <c r="AB51" s="185" t="e">
        <f aca="false">SQRT((AA51^2*(A51-$D$3)+Z51^2*(DAY(EOMONTH(A51,0))/2))/AK51)</f>
        <v>#N/A</v>
      </c>
      <c r="AC51" s="185" t="e">
        <f aca="false">IF($A52="","",VLOOKUP($A51,Table,MATCH(AC$4,Curves,0)))</f>
        <v>#N/A</v>
      </c>
      <c r="AD51" s="185" t="e">
        <f aca="false">IF($A52="","",VLOOKUP($A51,Table,MATCH(AD$4,Curves,0)))</f>
        <v>#N/A</v>
      </c>
      <c r="AE51" s="185" t="e">
        <f aca="false">SQRT((AD51^2*(A51-$D$3)+AC51^2*(DAY(EOMONTH(A51,0))/2))/AK51)</f>
        <v>#N/A</v>
      </c>
      <c r="AF51" s="206" t="e">
        <f aca="false">((Summary!$N$12*(AA51*AD51)*(A51-$D$3))+(Summary!$M$12*Z51*AC51*(AJ51-EOMONTH(EDATE(A51,-1),0))))/(AK51*AB51*AE51)</f>
        <v>#N/A</v>
      </c>
      <c r="AG51" s="207" t="n">
        <f aca="false">IF($A52="","",Summary!$Q$12)</f>
        <v>0</v>
      </c>
      <c r="AH51" s="207" t="n">
        <f aca="false">IF($A52="","",IF(Summary!$R$12="Y",(VLOOKUP($A51,Summary!$AD$6:$AF$9,3)+'Escalating commodity'!H64),'Escalating commodity'!H64))</f>
        <v>0.029</v>
      </c>
      <c r="AI51" s="207" t="n">
        <f aca="false">IF($A52="","",AH51)</f>
        <v>0.029</v>
      </c>
      <c r="AJ51" s="208" t="n">
        <f aca="false">A51+DAY(EOMONTH(A51,0))/2-1</f>
        <v>38306</v>
      </c>
      <c r="AK51" s="209" t="n">
        <f aca="false">IF($A52="","",$A51-$E$1)</f>
        <v>-7634</v>
      </c>
      <c r="AL51" s="182" t="e">
        <f aca="false">IF($A52="","",SPRDOPT(P51,X51,AI51,0,AB51,AE51,AF51,AK51,$AJ$2,0))</f>
        <v>#NAME?</v>
      </c>
      <c r="AM51" s="211" t="e">
        <f aca="false">IF($A52="","",MAX(0,O51-W51-AI51))</f>
        <v>#N/A</v>
      </c>
      <c r="AN51" s="211" t="e">
        <f aca="false">IF($A52="","",AL51-AM51)</f>
        <v>#N/A</v>
      </c>
      <c r="AO51" s="137" t="n">
        <f aca="false">IF(A52="","",A52-A51)</f>
        <v>30</v>
      </c>
      <c r="AP51" s="212" t="n">
        <f aca="false">IF(A52="","",CHOOSE(F$3,A52+24,A51))</f>
        <v>38292</v>
      </c>
      <c r="AQ51" s="209" t="n">
        <f aca="false">IF(A52="","",AP51-$E$1)</f>
        <v>-7634</v>
      </c>
      <c r="AR51" s="185" t="n">
        <f aca="false">'ANR OK vs ML7'!AR51</f>
        <v>0.1</v>
      </c>
      <c r="AS51" s="213" t="n">
        <f aca="false">IF(A52="","",1/(1+CHOOSE(F$3,(AR52+($I$3/10000))/2,(AR51+($I$3/10000))/2))^(2*AQ51/365.25))</f>
        <v>7.68678277628556</v>
      </c>
      <c r="AT51" s="137" t="n">
        <f aca="false">IF(A52="","",IF(AND(mthbeg&lt;=A51,mthend&gt;=A51),1,0))</f>
        <v>1</v>
      </c>
      <c r="AU51" s="137" t="n">
        <f aca="false">IF(A52="","",AO51*AT51)</f>
        <v>30</v>
      </c>
      <c r="AW51" s="195" t="e">
        <f aca="false">IF($A52="","",AL51*$E51)</f>
        <v>#NAME?</v>
      </c>
      <c r="AX51" s="195" t="e">
        <f aca="false">IF($A52="","",AM51*$E51)</f>
        <v>#N/A</v>
      </c>
      <c r="AY51" s="195" t="e">
        <f aca="false">IF($A52="","",AN51*$E51)</f>
        <v>#N/A</v>
      </c>
      <c r="BA51" s="195" t="n">
        <f aca="false">IF($A52="","",F51*Summary!$Q$12)</f>
        <v>0</v>
      </c>
      <c r="BC51" s="179" t="e">
        <f aca="false">IF(A52="","",AM51*F51)</f>
        <v>#N/A</v>
      </c>
    </row>
    <row r="52" customFormat="false" ht="12.75" hidden="false" customHeight="false" outlineLevel="0" collapsed="false">
      <c r="A52" s="196" t="n">
        <f aca="false">IF(A51&lt;mthend,EDATE(A51,1),"")</f>
        <v>38322</v>
      </c>
      <c r="B52" s="197" t="n">
        <f aca="false">IF(A52&lt;mthend,B51,"")</f>
        <v>36522</v>
      </c>
      <c r="C52" s="215"/>
      <c r="D52" s="197" t="n">
        <f aca="false">IF(A53&lt;&gt;"",B52+C52,"")</f>
        <v>36522</v>
      </c>
      <c r="E52" s="199" t="n">
        <f aca="false">IF(A53="","",IF(AND(AT52=1,$H$3=1),D52*AO52,IF($H$3=2,D52,"N/A")))</f>
        <v>1132182</v>
      </c>
      <c r="F52" s="199" t="n">
        <f aca="false">IF(A53="","",E52*AS52)</f>
        <v>8633364.27723551</v>
      </c>
      <c r="G52" s="200" t="e">
        <f aca="false">IF($A53="","",VLOOKUP($A52,Table,MATCH(G$4,Curves,0)))</f>
        <v>#N/A</v>
      </c>
      <c r="H52" s="201" t="e">
        <f aca="false">IF(A53="","",G52)</f>
        <v>#N/A</v>
      </c>
      <c r="I52" s="202"/>
      <c r="J52" s="200" t="e">
        <f aca="false">IF($A53="","",VLOOKUP($A52,Table,MATCH(J$4,Curves,0)))</f>
        <v>#N/A</v>
      </c>
      <c r="K52" s="201" t="e">
        <f aca="false">IF(A53="","",J52)</f>
        <v>#N/A</v>
      </c>
      <c r="L52" s="200" t="e">
        <f aca="false">IF($A53="","",VLOOKUP($A52,Table,MATCH(L$4,Curves,0)))</f>
        <v>#N/A</v>
      </c>
      <c r="M52" s="201" t="e">
        <f aca="false">IF(A53="","",L52)</f>
        <v>#N/A</v>
      </c>
      <c r="N52" s="203"/>
      <c r="O52" s="200" t="e">
        <f aca="false">IF(A53="","",L52+J52+G52)</f>
        <v>#N/A</v>
      </c>
      <c r="P52" s="200" t="e">
        <f aca="false">IF(A53="","",M52+K52+H52)</f>
        <v>#N/A</v>
      </c>
      <c r="Q52" s="204"/>
      <c r="R52" s="200" t="e">
        <f aca="false">IF($A53="","",VLOOKUP($A52,Table,MATCH(R$4,Curves,0)))</f>
        <v>#N/A</v>
      </c>
      <c r="S52" s="201" t="e">
        <f aca="false">IF(A53="","",R52)</f>
        <v>#N/A</v>
      </c>
      <c r="T52" s="200" t="e">
        <f aca="false">IF($A53="","",VLOOKUP($A52,Table,MATCH(T$4,Curves,0)))</f>
        <v>#N/A</v>
      </c>
      <c r="U52" s="201" t="e">
        <f aca="false">IF(A53="","",T52)</f>
        <v>#N/A</v>
      </c>
      <c r="V52" s="225" t="e">
        <f aca="false">IF($A53="","",IF(AND(MONTH(A52)&gt;3,MONTH(A52)&lt;11),(T52+R52+G52)*(((1/(1-Summary!$T$12))/(1-Summary!$W$12))-1),(T52+R52+G52)*((1/(1-Summary!$U$12))/(1-Summary!$X$12)-1)))</f>
        <v>#N/A</v>
      </c>
      <c r="W52" s="200" t="e">
        <f aca="false">IF($A53="","",(T52+R52+G52+V52))</f>
        <v>#N/A</v>
      </c>
      <c r="X52" s="200" t="e">
        <f aca="false">IF($A53="","",(U52+S52+H52+V52))</f>
        <v>#N/A</v>
      </c>
      <c r="Y52" s="202"/>
      <c r="Z52" s="185" t="e">
        <f aca="false">IF($A53="","",VLOOKUP($A52,Table,MATCH(Z$4,Curves,0)))</f>
        <v>#N/A</v>
      </c>
      <c r="AA52" s="185" t="e">
        <f aca="false">IF($A53="","",VLOOKUP($A52,Table,MATCH(AA$4,Curves,0)))</f>
        <v>#N/A</v>
      </c>
      <c r="AB52" s="185" t="e">
        <f aca="false">SQRT((AA52^2*(A52-$D$3)+Z52^2*(DAY(EOMONTH(A52,0))/2))/AK52)</f>
        <v>#N/A</v>
      </c>
      <c r="AC52" s="185" t="e">
        <f aca="false">IF($A53="","",VLOOKUP($A52,Table,MATCH(AC$4,Curves,0)))</f>
        <v>#N/A</v>
      </c>
      <c r="AD52" s="185" t="e">
        <f aca="false">IF($A53="","",VLOOKUP($A52,Table,MATCH(AD$4,Curves,0)))</f>
        <v>#N/A</v>
      </c>
      <c r="AE52" s="185" t="e">
        <f aca="false">SQRT((AD52^2*(A52-$D$3)+AC52^2*(DAY(EOMONTH(A52,0))/2))/AK52)</f>
        <v>#N/A</v>
      </c>
      <c r="AF52" s="206" t="e">
        <f aca="false">((Summary!$N$12*(AA52*AD52)*(A52-$D$3))+(Summary!$M$12*Z52*AC52*(AJ52-EOMONTH(EDATE(A52,-1),0))))/(AK52*AB52*AE52)</f>
        <v>#N/A</v>
      </c>
      <c r="AG52" s="207" t="n">
        <f aca="false">IF($A53="","",Summary!$Q$12)</f>
        <v>0</v>
      </c>
      <c r="AH52" s="207" t="n">
        <f aca="false">IF($A53="","",IF(Summary!$R$12="Y",(VLOOKUP($A52,Summary!$AD$6:$AF$9,3)+'Escalating commodity'!H65),'Escalating commodity'!H65))</f>
        <v>0.029</v>
      </c>
      <c r="AI52" s="207" t="n">
        <f aca="false">IF($A53="","",AH52)</f>
        <v>0.029</v>
      </c>
      <c r="AJ52" s="208" t="n">
        <f aca="false">A52+DAY(EOMONTH(A52,0))/2-1</f>
        <v>38336.5</v>
      </c>
      <c r="AK52" s="209" t="n">
        <f aca="false">IF($A53="","",$A52-$E$1)</f>
        <v>-7604</v>
      </c>
      <c r="AL52" s="182" t="e">
        <f aca="false">IF($A53="","",SPRDOPT(P52,X52,AI52,0,AB52,AE52,AF52,AK52,$AJ$2,0))</f>
        <v>#NAME?</v>
      </c>
      <c r="AM52" s="211" t="e">
        <f aca="false">IF($A53="","",MAX(0,O52-W52-AI52))</f>
        <v>#N/A</v>
      </c>
      <c r="AN52" s="211" t="e">
        <f aca="false">IF($A53="","",AL52-AM52)</f>
        <v>#N/A</v>
      </c>
      <c r="AO52" s="137" t="n">
        <f aca="false">IF(A53="","",A53-A52)</f>
        <v>31</v>
      </c>
      <c r="AP52" s="212" t="n">
        <f aca="false">IF(A53="","",CHOOSE(F$3,A53+24,A52))</f>
        <v>38322</v>
      </c>
      <c r="AQ52" s="209" t="n">
        <f aca="false">IF(A53="","",AP52-$E$1)</f>
        <v>-7604</v>
      </c>
      <c r="AR52" s="185" t="n">
        <f aca="false">'ANR OK vs ML7'!AR52</f>
        <v>0.1</v>
      </c>
      <c r="AS52" s="213" t="n">
        <f aca="false">IF(A53="","",1/(1+CHOOSE(F$3,(AR53+($I$3/10000))/2,(AR52+($I$3/10000))/2))^(2*AQ52/365.25))</f>
        <v>7.62542089278536</v>
      </c>
      <c r="AT52" s="137" t="n">
        <f aca="false">IF(A53="","",IF(AND(mthbeg&lt;=A52,mthend&gt;=A52),1,0))</f>
        <v>1</v>
      </c>
      <c r="AU52" s="137" t="n">
        <f aca="false">IF(A53="","",AO52*AT52)</f>
        <v>31</v>
      </c>
      <c r="AW52" s="195" t="e">
        <f aca="false">IF($A53="","",AL52*$E52)</f>
        <v>#NAME?</v>
      </c>
      <c r="AX52" s="195" t="e">
        <f aca="false">IF($A53="","",AM52*$E52)</f>
        <v>#N/A</v>
      </c>
      <c r="AY52" s="195" t="e">
        <f aca="false">IF($A53="","",AN52*$E52)</f>
        <v>#N/A</v>
      </c>
      <c r="BA52" s="195" t="n">
        <f aca="false">IF($A53="","",F52*Summary!$Q$12)</f>
        <v>0</v>
      </c>
      <c r="BC52" s="179" t="e">
        <f aca="false">IF(A53="","",AM52*F52)</f>
        <v>#N/A</v>
      </c>
    </row>
    <row r="53" customFormat="false" ht="12.75" hidden="false" customHeight="false" outlineLevel="0" collapsed="false">
      <c r="A53" s="196" t="n">
        <f aca="false">IF(A52&lt;mthend,EDATE(A52,1),"")</f>
        <v>38353</v>
      </c>
      <c r="B53" s="197" t="n">
        <f aca="false">IF(A53&lt;mthend,B52,"")</f>
        <v>36522</v>
      </c>
      <c r="C53" s="215"/>
      <c r="D53" s="197" t="n">
        <f aca="false">IF(A54&lt;&gt;"",B53+C53,"")</f>
        <v>36522</v>
      </c>
      <c r="E53" s="199" t="n">
        <f aca="false">IF(A54="","",IF(AND(AT53=1,$H$3=1),D53*AO53,IF($H$3=2,D53,"N/A")))</f>
        <v>1132182</v>
      </c>
      <c r="F53" s="199" t="n">
        <f aca="false">IF(A54="","",E53*AS53)</f>
        <v>8562158.26834343</v>
      </c>
      <c r="G53" s="200" t="e">
        <f aca="false">IF($A54="","",VLOOKUP($A53,Table,MATCH(G$4,Curves,0)))</f>
        <v>#N/A</v>
      </c>
      <c r="H53" s="201" t="e">
        <f aca="false">IF(A54="","",G53)</f>
        <v>#N/A</v>
      </c>
      <c r="I53" s="202"/>
      <c r="J53" s="200" t="e">
        <f aca="false">IF($A54="","",VLOOKUP($A53,Table,MATCH(J$4,Curves,0)))</f>
        <v>#N/A</v>
      </c>
      <c r="K53" s="201" t="e">
        <f aca="false">IF(A54="","",J53)</f>
        <v>#N/A</v>
      </c>
      <c r="L53" s="200" t="e">
        <f aca="false">IF($A54="","",VLOOKUP($A53,Table,MATCH(L$4,Curves,0)))</f>
        <v>#N/A</v>
      </c>
      <c r="M53" s="201" t="e">
        <f aca="false">IF(A54="","",L53)</f>
        <v>#N/A</v>
      </c>
      <c r="N53" s="203"/>
      <c r="O53" s="200" t="e">
        <f aca="false">IF(A54="","",L53+J53+G53)</f>
        <v>#N/A</v>
      </c>
      <c r="P53" s="200" t="e">
        <f aca="false">IF(A54="","",M53+K53+H53)</f>
        <v>#N/A</v>
      </c>
      <c r="Q53" s="204"/>
      <c r="R53" s="200" t="e">
        <f aca="false">IF($A54="","",VLOOKUP($A53,Table,MATCH(R$4,Curves,0)))</f>
        <v>#N/A</v>
      </c>
      <c r="S53" s="201" t="e">
        <f aca="false">IF(A54="","",R53)</f>
        <v>#N/A</v>
      </c>
      <c r="T53" s="200" t="e">
        <f aca="false">IF($A54="","",VLOOKUP($A53,Table,MATCH(T$4,Curves,0)))</f>
        <v>#N/A</v>
      </c>
      <c r="U53" s="201" t="e">
        <f aca="false">IF(A54="","",T53)</f>
        <v>#N/A</v>
      </c>
      <c r="V53" s="225" t="e">
        <f aca="false">IF($A54="","",IF(AND(MONTH(A53)&gt;3,MONTH(A53)&lt;11),(T53+R53+G53)*(((1/(1-Summary!$T$12))/(1-Summary!$W$12))-1),(T53+R53+G53)*((1/(1-Summary!$U$12))/(1-Summary!$X$12)-1)))</f>
        <v>#N/A</v>
      </c>
      <c r="W53" s="200" t="e">
        <f aca="false">IF($A54="","",(T53+R53+G53+V53))</f>
        <v>#N/A</v>
      </c>
      <c r="X53" s="200" t="e">
        <f aca="false">IF($A54="","",(U53+S53+H53+V53))</f>
        <v>#N/A</v>
      </c>
      <c r="Y53" s="202"/>
      <c r="Z53" s="185" t="e">
        <f aca="false">IF($A54="","",VLOOKUP($A53,Table,MATCH(Z$4,Curves,0)))</f>
        <v>#N/A</v>
      </c>
      <c r="AA53" s="185" t="e">
        <f aca="false">IF($A54="","",VLOOKUP($A53,Table,MATCH(AA$4,Curves,0)))</f>
        <v>#N/A</v>
      </c>
      <c r="AB53" s="185" t="e">
        <f aca="false">SQRT((AA53^2*(A53-$D$3)+Z53^2*(DAY(EOMONTH(A53,0))/2))/AK53)</f>
        <v>#N/A</v>
      </c>
      <c r="AC53" s="185" t="e">
        <f aca="false">IF($A54="","",VLOOKUP($A53,Table,MATCH(AC$4,Curves,0)))</f>
        <v>#N/A</v>
      </c>
      <c r="AD53" s="185" t="e">
        <f aca="false">IF($A54="","",VLOOKUP($A53,Table,MATCH(AD$4,Curves,0)))</f>
        <v>#N/A</v>
      </c>
      <c r="AE53" s="185" t="e">
        <f aca="false">SQRT((AD53^2*(A53-$D$3)+AC53^2*(DAY(EOMONTH(A53,0))/2))/AK53)</f>
        <v>#N/A</v>
      </c>
      <c r="AF53" s="206" t="e">
        <f aca="false">((Summary!$N$12*(AA53*AD53)*(A53-$D$3))+(Summary!$M$12*Z53*AC53*(AJ53-EOMONTH(EDATE(A53,-1),0))))/(AK53*AB53*AE53)</f>
        <v>#N/A</v>
      </c>
      <c r="AG53" s="207" t="n">
        <f aca="false">IF($A54="","",Summary!$Q$12)</f>
        <v>0</v>
      </c>
      <c r="AH53" s="207" t="n">
        <f aca="false">IF($A54="","",IF(Summary!$R$12="Y",(VLOOKUP($A53,Summary!$AD$6:$AF$9,3)+'Escalating commodity'!H66),'Escalating commodity'!H66))</f>
        <v>0.029</v>
      </c>
      <c r="AI53" s="207" t="n">
        <f aca="false">IF($A54="","",AH53)</f>
        <v>0.029</v>
      </c>
      <c r="AJ53" s="208" t="n">
        <f aca="false">A53+DAY(EOMONTH(A53,0))/2-1</f>
        <v>38367.5</v>
      </c>
      <c r="AK53" s="209" t="n">
        <f aca="false">IF($A54="","",$A53-$E$1)</f>
        <v>-7573</v>
      </c>
      <c r="AL53" s="182" t="e">
        <f aca="false">IF($A54="","",SPRDOPT(P53,X53,AI53,0,AB53,AE53,AF53,AK53,$AJ$2,0))</f>
        <v>#NAME?</v>
      </c>
      <c r="AM53" s="211" t="e">
        <f aca="false">IF($A54="","",MAX(0,O53-W53-AI53))</f>
        <v>#N/A</v>
      </c>
      <c r="AN53" s="211" t="e">
        <f aca="false">IF($A54="","",AL53-AM53)</f>
        <v>#N/A</v>
      </c>
      <c r="AO53" s="137" t="n">
        <f aca="false">IF(A54="","",A54-A53)</f>
        <v>31</v>
      </c>
      <c r="AP53" s="212" t="n">
        <f aca="false">IF(A54="","",CHOOSE(F$3,A54+24,A53))</f>
        <v>38353</v>
      </c>
      <c r="AQ53" s="209" t="n">
        <f aca="false">IF(A54="","",AP53-$E$1)</f>
        <v>-7573</v>
      </c>
      <c r="AR53" s="185" t="n">
        <f aca="false">'ANR OK vs ML7'!AR53</f>
        <v>0.1</v>
      </c>
      <c r="AS53" s="213" t="n">
        <f aca="false">IF(A54="","",1/(1+CHOOSE(F$3,(AR54+($I$3/10000))/2,(AR53+($I$3/10000))/2))^(2*AQ53/365.25))</f>
        <v>7.56252816980258</v>
      </c>
      <c r="AT53" s="137" t="n">
        <f aca="false">IF(A54="","",IF(AND(mthbeg&lt;=A53,mthend&gt;=A53),1,0))</f>
        <v>1</v>
      </c>
      <c r="AU53" s="137" t="n">
        <f aca="false">IF(A54="","",AO53*AT53)</f>
        <v>31</v>
      </c>
      <c r="AW53" s="195" t="e">
        <f aca="false">IF($A54="","",AL53*$E53)</f>
        <v>#NAME?</v>
      </c>
      <c r="AX53" s="195" t="e">
        <f aca="false">IF($A54="","",AM53*$E53)</f>
        <v>#N/A</v>
      </c>
      <c r="AY53" s="195" t="e">
        <f aca="false">IF($A54="","",AN53*$E53)</f>
        <v>#N/A</v>
      </c>
      <c r="BA53" s="195" t="n">
        <f aca="false">IF($A54="","",F53*Summary!$Q$12)</f>
        <v>0</v>
      </c>
      <c r="BC53" s="179" t="e">
        <f aca="false">IF(A54="","",AM53*F53)</f>
        <v>#N/A</v>
      </c>
    </row>
    <row r="54" customFormat="false" ht="12.75" hidden="false" customHeight="false" outlineLevel="0" collapsed="false">
      <c r="A54" s="196" t="n">
        <f aca="false">IF(A53&lt;mthend,EDATE(A53,1),"")</f>
        <v>38384</v>
      </c>
      <c r="B54" s="197" t="n">
        <f aca="false">IF(A54&lt;mthend,B53,"")</f>
        <v>36522</v>
      </c>
      <c r="C54" s="215"/>
      <c r="D54" s="197" t="n">
        <f aca="false">IF(A55&lt;&gt;"",B54+C54,"")</f>
        <v>36522</v>
      </c>
      <c r="E54" s="199" t="n">
        <f aca="false">IF(A55="","",IF(AND(AT54=1,$H$3=1),D54*AO54,IF($H$3=2,D54,"N/A")))</f>
        <v>1022616</v>
      </c>
      <c r="F54" s="199" t="n">
        <f aca="false">IF(A55="","",E54*AS54)</f>
        <v>7669777.65832179</v>
      </c>
      <c r="G54" s="200" t="e">
        <f aca="false">IF($A55="","",VLOOKUP($A54,Table,MATCH(G$4,Curves,0)))</f>
        <v>#N/A</v>
      </c>
      <c r="H54" s="201" t="e">
        <f aca="false">IF(A55="","",G54)</f>
        <v>#N/A</v>
      </c>
      <c r="I54" s="202"/>
      <c r="J54" s="200" t="e">
        <f aca="false">IF($A55="","",VLOOKUP($A54,Table,MATCH(J$4,Curves,0)))</f>
        <v>#N/A</v>
      </c>
      <c r="K54" s="201" t="e">
        <f aca="false">IF(A55="","",J54)</f>
        <v>#N/A</v>
      </c>
      <c r="L54" s="200" t="e">
        <f aca="false">IF($A55="","",VLOOKUP($A54,Table,MATCH(L$4,Curves,0)))</f>
        <v>#N/A</v>
      </c>
      <c r="M54" s="201" t="e">
        <f aca="false">IF(A55="","",L54)</f>
        <v>#N/A</v>
      </c>
      <c r="N54" s="203"/>
      <c r="O54" s="200" t="e">
        <f aca="false">IF(A55="","",L54+J54+G54)</f>
        <v>#N/A</v>
      </c>
      <c r="P54" s="200" t="e">
        <f aca="false">IF(A55="","",M54+K54+H54)</f>
        <v>#N/A</v>
      </c>
      <c r="Q54" s="204"/>
      <c r="R54" s="200" t="e">
        <f aca="false">IF($A55="","",VLOOKUP($A54,Table,MATCH(R$4,Curves,0)))</f>
        <v>#N/A</v>
      </c>
      <c r="S54" s="201" t="e">
        <f aca="false">IF(A55="","",R54)</f>
        <v>#N/A</v>
      </c>
      <c r="T54" s="200" t="e">
        <f aca="false">IF($A55="","",VLOOKUP($A54,Table,MATCH(T$4,Curves,0)))</f>
        <v>#N/A</v>
      </c>
      <c r="U54" s="201" t="e">
        <f aca="false">IF(A55="","",T54)</f>
        <v>#N/A</v>
      </c>
      <c r="V54" s="225" t="e">
        <f aca="false">IF($A55="","",IF(AND(MONTH(A54)&gt;3,MONTH(A54)&lt;11),(T54+R54+G54)*(((1/(1-Summary!$T$12))/(1-Summary!$W$12))-1),(T54+R54+G54)*((1/(1-Summary!$U$12))/(1-Summary!$X$12)-1)))</f>
        <v>#N/A</v>
      </c>
      <c r="W54" s="200" t="e">
        <f aca="false">IF($A55="","",(T54+R54+G54+V54))</f>
        <v>#N/A</v>
      </c>
      <c r="X54" s="200" t="e">
        <f aca="false">IF($A55="","",(U54+S54+H54+V54))</f>
        <v>#N/A</v>
      </c>
      <c r="Y54" s="202"/>
      <c r="Z54" s="185" t="e">
        <f aca="false">IF($A55="","",VLOOKUP($A54,Table,MATCH(Z$4,Curves,0)))</f>
        <v>#N/A</v>
      </c>
      <c r="AA54" s="185" t="e">
        <f aca="false">IF($A55="","",VLOOKUP($A54,Table,MATCH(AA$4,Curves,0)))</f>
        <v>#N/A</v>
      </c>
      <c r="AB54" s="185" t="e">
        <f aca="false">SQRT((AA54^2*(A54-$D$3)+Z54^2*(DAY(EOMONTH(A54,0))/2))/AK54)</f>
        <v>#N/A</v>
      </c>
      <c r="AC54" s="185" t="e">
        <f aca="false">IF($A55="","",VLOOKUP($A54,Table,MATCH(AC$4,Curves,0)))</f>
        <v>#N/A</v>
      </c>
      <c r="AD54" s="185" t="e">
        <f aca="false">IF($A55="","",VLOOKUP($A54,Table,MATCH(AD$4,Curves,0)))</f>
        <v>#N/A</v>
      </c>
      <c r="AE54" s="185" t="e">
        <f aca="false">SQRT((AD54^2*(A54-$D$3)+AC54^2*(DAY(EOMONTH(A54,0))/2))/AK54)</f>
        <v>#N/A</v>
      </c>
      <c r="AF54" s="206" t="e">
        <f aca="false">((Summary!$N$12*(AA54*AD54)*(A54-$D$3))+(Summary!$M$12*Z54*AC54*(AJ54-EOMONTH(EDATE(A54,-1),0))))/(AK54*AB54*AE54)</f>
        <v>#N/A</v>
      </c>
      <c r="AG54" s="207" t="n">
        <f aca="false">IF($A55="","",Summary!$Q$12)</f>
        <v>0</v>
      </c>
      <c r="AH54" s="207" t="n">
        <f aca="false">IF($A55="","",IF(Summary!$R$12="Y",(VLOOKUP($A54,Summary!$AD$6:$AF$9,3)+'Escalating commodity'!H67),'Escalating commodity'!H67))</f>
        <v>0.029</v>
      </c>
      <c r="AI54" s="207" t="n">
        <f aca="false">IF($A55="","",AH54)</f>
        <v>0.029</v>
      </c>
      <c r="AJ54" s="208" t="n">
        <f aca="false">A54+DAY(EOMONTH(A54,0))/2-1</f>
        <v>38397</v>
      </c>
      <c r="AK54" s="209" t="n">
        <f aca="false">IF($A55="","",$A54-$E$1)</f>
        <v>-7542</v>
      </c>
      <c r="AL54" s="182" t="e">
        <f aca="false">IF($A55="","",SPRDOPT(P54,X54,AI54,0,AB54,AE54,AF54,AK54,$AJ$2,0))</f>
        <v>#NAME?</v>
      </c>
      <c r="AM54" s="211" t="e">
        <f aca="false">IF($A55="","",MAX(0,O54-W54-AI54))</f>
        <v>#N/A</v>
      </c>
      <c r="AN54" s="211" t="e">
        <f aca="false">IF($A55="","",AL54-AM54)</f>
        <v>#N/A</v>
      </c>
      <c r="AO54" s="137" t="n">
        <f aca="false">IF(A55="","",A55-A54)</f>
        <v>28</v>
      </c>
      <c r="AP54" s="212" t="n">
        <f aca="false">IF(A55="","",CHOOSE(F$3,A55+24,A54))</f>
        <v>38384</v>
      </c>
      <c r="AQ54" s="209" t="n">
        <f aca="false">IF(A55="","",AP54-$E$1)</f>
        <v>-7542</v>
      </c>
      <c r="AR54" s="185" t="n">
        <f aca="false">'ANR OK vs ML7'!AR54</f>
        <v>0.1</v>
      </c>
      <c r="AS54" s="213" t="n">
        <f aca="false">IF(A55="","",1/(1+CHOOSE(F$3,(AR55+($I$3/10000))/2,(AR54+($I$3/10000))/2))^(2*AQ54/365.25))</f>
        <v>7.5001541715774</v>
      </c>
      <c r="AT54" s="137" t="n">
        <f aca="false">IF(A55="","",IF(AND(mthbeg&lt;=A54,mthend&gt;=A54),1,0))</f>
        <v>1</v>
      </c>
      <c r="AU54" s="137" t="n">
        <f aca="false">IF(A55="","",AO54*AT54)</f>
        <v>28</v>
      </c>
      <c r="AW54" s="195" t="e">
        <f aca="false">IF($A55="","",AL54*$E54)</f>
        <v>#NAME?</v>
      </c>
      <c r="AX54" s="195" t="e">
        <f aca="false">IF($A55="","",AM54*$E54)</f>
        <v>#N/A</v>
      </c>
      <c r="AY54" s="195" t="e">
        <f aca="false">IF($A55="","",AN54*$E54)</f>
        <v>#N/A</v>
      </c>
      <c r="BA54" s="195" t="n">
        <f aca="false">IF($A55="","",F54*Summary!$Q$12)</f>
        <v>0</v>
      </c>
      <c r="BC54" s="179" t="e">
        <f aca="false">IF(A55="","",AM54*F54)</f>
        <v>#N/A</v>
      </c>
    </row>
    <row r="55" customFormat="false" ht="12.75" hidden="false" customHeight="false" outlineLevel="0" collapsed="false">
      <c r="A55" s="196" t="n">
        <f aca="false">IF(A54&lt;mthend,EDATE(A54,1),"")</f>
        <v>38412</v>
      </c>
      <c r="B55" s="197" t="n">
        <f aca="false">IF(A55&lt;mthend,B54,"")</f>
        <v>36522</v>
      </c>
      <c r="C55" s="215"/>
      <c r="D55" s="197" t="n">
        <f aca="false">IF(A56&lt;&gt;"",B55+C55,"")</f>
        <v>36522</v>
      </c>
      <c r="E55" s="199" t="n">
        <f aca="false">IF(A56="","",IF(AND(AT55=1,$H$3=1),D55*AO55,IF($H$3=2,D55,"N/A")))</f>
        <v>1132182</v>
      </c>
      <c r="F55" s="199" t="n">
        <f aca="false">IF(A56="","",E55*AS55)</f>
        <v>8428255.66082861</v>
      </c>
      <c r="G55" s="200" t="e">
        <f aca="false">IF($A56="","",VLOOKUP($A55,Table,MATCH(G$4,Curves,0)))</f>
        <v>#N/A</v>
      </c>
      <c r="H55" s="201" t="e">
        <f aca="false">IF(A56="","",G55)</f>
        <v>#N/A</v>
      </c>
      <c r="I55" s="202"/>
      <c r="J55" s="200" t="e">
        <f aca="false">IF($A56="","",VLOOKUP($A55,Table,MATCH(J$4,Curves,0)))</f>
        <v>#N/A</v>
      </c>
      <c r="K55" s="201" t="e">
        <f aca="false">IF(A56="","",J55)</f>
        <v>#N/A</v>
      </c>
      <c r="L55" s="200" t="e">
        <f aca="false">IF($A56="","",VLOOKUP($A55,Table,MATCH(L$4,Curves,0)))</f>
        <v>#N/A</v>
      </c>
      <c r="M55" s="201" t="e">
        <f aca="false">IF(A56="","",L55)</f>
        <v>#N/A</v>
      </c>
      <c r="N55" s="203"/>
      <c r="O55" s="200" t="e">
        <f aca="false">IF(A56="","",L55+J55+G55)</f>
        <v>#N/A</v>
      </c>
      <c r="P55" s="200" t="e">
        <f aca="false">IF(A56="","",M55+K55+H55)</f>
        <v>#N/A</v>
      </c>
      <c r="Q55" s="204"/>
      <c r="R55" s="200" t="e">
        <f aca="false">IF($A56="","",VLOOKUP($A55,Table,MATCH(R$4,Curves,0)))</f>
        <v>#N/A</v>
      </c>
      <c r="S55" s="201" t="e">
        <f aca="false">IF(A56="","",R55)</f>
        <v>#N/A</v>
      </c>
      <c r="T55" s="200" t="e">
        <f aca="false">IF($A56="","",VLOOKUP($A55,Table,MATCH(T$4,Curves,0)))</f>
        <v>#N/A</v>
      </c>
      <c r="U55" s="201" t="e">
        <f aca="false">IF(A56="","",T55)</f>
        <v>#N/A</v>
      </c>
      <c r="V55" s="225" t="e">
        <f aca="false">IF($A56="","",IF(AND(MONTH(A55)&gt;3,MONTH(A55)&lt;11),(T55+R55+G55)*(((1/(1-Summary!$T$12))/(1-Summary!$W$12))-1),(T55+R55+G55)*((1/(1-Summary!$U$12))/(1-Summary!$X$12)-1)))</f>
        <v>#N/A</v>
      </c>
      <c r="W55" s="200" t="e">
        <f aca="false">IF($A56="","",(T55+R55+G55+V55))</f>
        <v>#N/A</v>
      </c>
      <c r="X55" s="200" t="e">
        <f aca="false">IF($A56="","",(U55+S55+H55+V55))</f>
        <v>#N/A</v>
      </c>
      <c r="Y55" s="202"/>
      <c r="Z55" s="185" t="e">
        <f aca="false">IF($A56="","",VLOOKUP($A55,Table,MATCH(Z$4,Curves,0)))</f>
        <v>#N/A</v>
      </c>
      <c r="AA55" s="185" t="e">
        <f aca="false">IF($A56="","",VLOOKUP($A55,Table,MATCH(AA$4,Curves,0)))</f>
        <v>#N/A</v>
      </c>
      <c r="AB55" s="185" t="e">
        <f aca="false">SQRT((AA55^2*(A55-$D$3)+Z55^2*(DAY(EOMONTH(A55,0))/2))/AK55)</f>
        <v>#N/A</v>
      </c>
      <c r="AC55" s="185" t="e">
        <f aca="false">IF($A56="","",VLOOKUP($A55,Table,MATCH(AC$4,Curves,0)))</f>
        <v>#N/A</v>
      </c>
      <c r="AD55" s="185" t="e">
        <f aca="false">IF($A56="","",VLOOKUP($A55,Table,MATCH(AD$4,Curves,0)))</f>
        <v>#N/A</v>
      </c>
      <c r="AE55" s="185" t="e">
        <f aca="false">SQRT((AD55^2*(A55-$D$3)+AC55^2*(DAY(EOMONTH(A55,0))/2))/AK55)</f>
        <v>#N/A</v>
      </c>
      <c r="AF55" s="206" t="e">
        <f aca="false">((Summary!$N$12*(AA55*AD55)*(A55-$D$3))+(Summary!$M$12*Z55*AC55*(AJ55-EOMONTH(EDATE(A55,-1),0))))/(AK55*AB55*AE55)</f>
        <v>#N/A</v>
      </c>
      <c r="AG55" s="207" t="n">
        <f aca="false">IF($A56="","",Summary!$Q$12)</f>
        <v>0</v>
      </c>
      <c r="AH55" s="207" t="n">
        <f aca="false">IF($A56="","",IF(Summary!$R$12="Y",(VLOOKUP($A55,Summary!$AD$6:$AF$9,3)+'Escalating commodity'!H68),'Escalating commodity'!H68))</f>
        <v>0.029</v>
      </c>
      <c r="AI55" s="207" t="n">
        <f aca="false">IF($A56="","",AH55)</f>
        <v>0.029</v>
      </c>
      <c r="AJ55" s="208" t="n">
        <f aca="false">A55+DAY(EOMONTH(A55,0))/2-1</f>
        <v>38426.5</v>
      </c>
      <c r="AK55" s="209" t="n">
        <f aca="false">IF($A56="","",$A55-$E$1)</f>
        <v>-7514</v>
      </c>
      <c r="AL55" s="182" t="e">
        <f aca="false">IF($A56="","",SPRDOPT(P55,X55,AI55,0,AB55,AE55,AF55,AK55,$AJ$2,0))</f>
        <v>#NAME?</v>
      </c>
      <c r="AM55" s="211" t="e">
        <f aca="false">IF($A56="","",MAX(0,O55-W55-AI55))</f>
        <v>#N/A</v>
      </c>
      <c r="AN55" s="211" t="e">
        <f aca="false">IF($A56="","",AL55-AM55)</f>
        <v>#N/A</v>
      </c>
      <c r="AO55" s="137" t="n">
        <f aca="false">IF(A56="","",A56-A55)</f>
        <v>31</v>
      </c>
      <c r="AP55" s="212" t="n">
        <f aca="false">IF(A56="","",CHOOSE(F$3,A56+24,A55))</f>
        <v>38412</v>
      </c>
      <c r="AQ55" s="209" t="n">
        <f aca="false">IF(A56="","",AP55-$E$1)</f>
        <v>-7514</v>
      </c>
      <c r="AR55" s="185" t="n">
        <f aca="false">'ANR OK vs ML7'!AR55</f>
        <v>0.1</v>
      </c>
      <c r="AS55" s="213" t="n">
        <f aca="false">IF(A56="","",1/(1+CHOOSE(F$3,(AR56+($I$3/10000))/2,(AR55+($I$3/10000))/2))^(2*AQ55/365.25))</f>
        <v>7.44425866232515</v>
      </c>
      <c r="AT55" s="137" t="n">
        <f aca="false">IF(A56="","",IF(AND(mthbeg&lt;=A55,mthend&gt;=A55),1,0))</f>
        <v>1</v>
      </c>
      <c r="AU55" s="137" t="n">
        <f aca="false">IF(A56="","",AO55*AT55)</f>
        <v>31</v>
      </c>
      <c r="AW55" s="195" t="e">
        <f aca="false">IF($A56="","",AL55*$E55)</f>
        <v>#NAME?</v>
      </c>
      <c r="AX55" s="195" t="e">
        <f aca="false">IF($A56="","",AM55*$E55)</f>
        <v>#N/A</v>
      </c>
      <c r="AY55" s="195" t="e">
        <f aca="false">IF($A56="","",AN55*$E55)</f>
        <v>#N/A</v>
      </c>
      <c r="BA55" s="195" t="n">
        <f aca="false">IF($A56="","",F55*Summary!$Q$12)</f>
        <v>0</v>
      </c>
      <c r="BC55" s="179" t="e">
        <f aca="false">IF(A56="","",AM55*F55)</f>
        <v>#N/A</v>
      </c>
    </row>
    <row r="56" customFormat="false" ht="12.75" hidden="false" customHeight="false" outlineLevel="0" collapsed="false">
      <c r="A56" s="196" t="n">
        <f aca="false">IF(A55&lt;mthend,EDATE(A55,1),"")</f>
        <v>38443</v>
      </c>
      <c r="B56" s="197" t="n">
        <f aca="false">IF(A56&lt;mthend,B55,"")</f>
        <v>36522</v>
      </c>
      <c r="C56" s="215"/>
      <c r="D56" s="197" t="n">
        <f aca="false">IF(A57&lt;&gt;"",B56+C56,"")</f>
        <v>36522</v>
      </c>
      <c r="E56" s="199" t="n">
        <f aca="false">IF(A57="","",IF(AND(AT56=1,$H$3=1),D56*AO56,IF($H$3=2,D56,"N/A")))</f>
        <v>1095660</v>
      </c>
      <c r="F56" s="199" t="n">
        <f aca="false">IF(A57="","",E56*AS56)</f>
        <v>8089104.52332811</v>
      </c>
      <c r="G56" s="200" t="e">
        <f aca="false">IF($A57="","",VLOOKUP($A56,Table,MATCH(G$4,Curves,0)))</f>
        <v>#N/A</v>
      </c>
      <c r="H56" s="201" t="e">
        <f aca="false">IF(A57="","",G56)</f>
        <v>#N/A</v>
      </c>
      <c r="I56" s="202"/>
      <c r="J56" s="200" t="e">
        <f aca="false">IF($A57="","",VLOOKUP($A56,Table,MATCH(J$4,Curves,0)))</f>
        <v>#N/A</v>
      </c>
      <c r="K56" s="201" t="e">
        <f aca="false">IF(A57="","",J56)</f>
        <v>#N/A</v>
      </c>
      <c r="L56" s="200" t="e">
        <f aca="false">IF($A57="","",VLOOKUP($A56,Table,MATCH(L$4,Curves,0)))</f>
        <v>#N/A</v>
      </c>
      <c r="M56" s="201" t="e">
        <f aca="false">IF(A57="","",L56)</f>
        <v>#N/A</v>
      </c>
      <c r="N56" s="203"/>
      <c r="O56" s="200" t="e">
        <f aca="false">IF(A57="","",L56+J56+G56)</f>
        <v>#N/A</v>
      </c>
      <c r="P56" s="200" t="e">
        <f aca="false">IF(A57="","",M56+K56+H56)</f>
        <v>#N/A</v>
      </c>
      <c r="Q56" s="204"/>
      <c r="R56" s="200" t="e">
        <f aca="false">IF($A57="","",VLOOKUP($A56,Table,MATCH(R$4,Curves,0)))</f>
        <v>#N/A</v>
      </c>
      <c r="S56" s="201" t="e">
        <f aca="false">IF(A57="","",R56)</f>
        <v>#N/A</v>
      </c>
      <c r="T56" s="200" t="e">
        <f aca="false">IF($A57="","",VLOOKUP($A56,Table,MATCH(T$4,Curves,0)))</f>
        <v>#N/A</v>
      </c>
      <c r="U56" s="201" t="e">
        <f aca="false">IF(A57="","",T56)</f>
        <v>#N/A</v>
      </c>
      <c r="V56" s="225" t="e">
        <f aca="false">IF($A57="","",IF(AND(MONTH(A56)&gt;3,MONTH(A56)&lt;11),(T56+R56+G56)*(((1/(1-Summary!$T$12))/(1-Summary!$W$12))-1),(T56+R56+G56)*((1/(1-Summary!$U$12))/(1-Summary!$X$12)-1)))</f>
        <v>#N/A</v>
      </c>
      <c r="W56" s="200" t="e">
        <f aca="false">IF($A57="","",(T56+R56+G56+V56))</f>
        <v>#N/A</v>
      </c>
      <c r="X56" s="200" t="e">
        <f aca="false">IF($A57="","",(U56+S56+H56+V56))</f>
        <v>#N/A</v>
      </c>
      <c r="Y56" s="202"/>
      <c r="Z56" s="185" t="e">
        <f aca="false">IF($A57="","",VLOOKUP($A56,Table,MATCH(Z$4,Curves,0)))</f>
        <v>#N/A</v>
      </c>
      <c r="AA56" s="185" t="e">
        <f aca="false">IF($A57="","",VLOOKUP($A56,Table,MATCH(AA$4,Curves,0)))</f>
        <v>#N/A</v>
      </c>
      <c r="AB56" s="185" t="e">
        <f aca="false">SQRT((AA56^2*(A56-$D$3)+Z56^2*(DAY(EOMONTH(A56,0))/2))/AK56)</f>
        <v>#N/A</v>
      </c>
      <c r="AC56" s="185" t="e">
        <f aca="false">IF($A57="","",VLOOKUP($A56,Table,MATCH(AC$4,Curves,0)))</f>
        <v>#N/A</v>
      </c>
      <c r="AD56" s="185" t="e">
        <f aca="false">IF($A57="","",VLOOKUP($A56,Table,MATCH(AD$4,Curves,0)))</f>
        <v>#N/A</v>
      </c>
      <c r="AE56" s="185" t="e">
        <f aca="false">SQRT((AD56^2*(A56-$D$3)+AC56^2*(DAY(EOMONTH(A56,0))/2))/AK56)</f>
        <v>#N/A</v>
      </c>
      <c r="AF56" s="206" t="e">
        <f aca="false">((Summary!$N$12*(AA56*AD56)*(A56-$D$3))+(Summary!$M$12*Z56*AC56*(AJ56-EOMONTH(EDATE(A56,-1),0))))/(AK56*AB56*AE56)</f>
        <v>#N/A</v>
      </c>
      <c r="AG56" s="207" t="n">
        <f aca="false">IF($A57="","",Summary!$Q$12)</f>
        <v>0</v>
      </c>
      <c r="AH56" s="207" t="n">
        <f aca="false">IF($A57="","",IF(Summary!$R$12="Y",(VLOOKUP($A56,Summary!$AD$6:$AF$9,3)+'Escalating commodity'!H69),'Escalating commodity'!H69))</f>
        <v>0.029</v>
      </c>
      <c r="AI56" s="207" t="n">
        <f aca="false">IF($A57="","",AH56)</f>
        <v>0.029</v>
      </c>
      <c r="AJ56" s="208" t="n">
        <f aca="false">A56+DAY(EOMONTH(A56,0))/2-1</f>
        <v>38457</v>
      </c>
      <c r="AK56" s="209" t="n">
        <f aca="false">IF($A57="","",$A56-$E$1)</f>
        <v>-7483</v>
      </c>
      <c r="AL56" s="182" t="e">
        <f aca="false">IF($A57="","",SPRDOPT(P56,X56,AI56,0,AB56,AE56,AF56,AK56,$AJ$2,0))</f>
        <v>#NAME?</v>
      </c>
      <c r="AM56" s="211" t="e">
        <f aca="false">IF($A57="","",MAX(0,O56-W56-AI56))</f>
        <v>#N/A</v>
      </c>
      <c r="AN56" s="211" t="e">
        <f aca="false">IF($A57="","",AL56-AM56)</f>
        <v>#N/A</v>
      </c>
      <c r="AO56" s="137" t="n">
        <f aca="false">IF(A57="","",A57-A56)</f>
        <v>30</v>
      </c>
      <c r="AP56" s="212" t="n">
        <f aca="false">IF(A57="","",CHOOSE(F$3,A57+24,A56))</f>
        <v>38443</v>
      </c>
      <c r="AQ56" s="209" t="n">
        <f aca="false">IF(A57="","",AP56-$E$1)</f>
        <v>-7483</v>
      </c>
      <c r="AR56" s="185" t="n">
        <f aca="false">'ANR OK vs ML7'!AR56</f>
        <v>0.1</v>
      </c>
      <c r="AS56" s="213" t="n">
        <f aca="false">IF(A57="","",1/(1+CHOOSE(F$3,(AR57+($I$3/10000))/2,(AR56+($I$3/10000))/2))^(2*AQ56/365.25))</f>
        <v>7.38286012387795</v>
      </c>
      <c r="AT56" s="137" t="n">
        <f aca="false">IF(A57="","",IF(AND(mthbeg&lt;=A56,mthend&gt;=A56),1,0))</f>
        <v>1</v>
      </c>
      <c r="AU56" s="137" t="n">
        <f aca="false">IF(A57="","",AO56*AT56)</f>
        <v>30</v>
      </c>
      <c r="AW56" s="195" t="e">
        <f aca="false">IF($A57="","",AL56*$E56)</f>
        <v>#NAME?</v>
      </c>
      <c r="AX56" s="195" t="e">
        <f aca="false">IF($A57="","",AM56*$E56)</f>
        <v>#N/A</v>
      </c>
      <c r="AY56" s="195" t="e">
        <f aca="false">IF($A57="","",AN56*$E56)</f>
        <v>#N/A</v>
      </c>
      <c r="BA56" s="195" t="n">
        <f aca="false">IF($A57="","",F56*Summary!$Q$12)</f>
        <v>0</v>
      </c>
      <c r="BC56" s="179" t="e">
        <f aca="false">IF(A57="","",AM56*F56)</f>
        <v>#N/A</v>
      </c>
    </row>
    <row r="57" customFormat="false" ht="12.75" hidden="false" customHeight="false" outlineLevel="0" collapsed="false">
      <c r="A57" s="196" t="n">
        <f aca="false">IF(A56&lt;mthend,EDATE(A56,1),"")</f>
        <v>38473</v>
      </c>
      <c r="B57" s="197" t="n">
        <f aca="false">IF(A57&lt;mthend,B56,"")</f>
        <v>36522</v>
      </c>
      <c r="C57" s="215"/>
      <c r="D57" s="197" t="n">
        <f aca="false">IF(A58&lt;&gt;"",B57+C57,"")</f>
        <v>36522</v>
      </c>
      <c r="E57" s="199" t="n">
        <f aca="false">IF(A58="","",IF(AND(AT57=1,$H$3=1),D57*AO57,IF($H$3=2,D57,"N/A")))</f>
        <v>1132182</v>
      </c>
      <c r="F57" s="199" t="n">
        <f aca="false">IF(A58="","",E57*AS57)</f>
        <v>8292015.36095893</v>
      </c>
      <c r="G57" s="200" t="e">
        <f aca="false">IF($A58="","",VLOOKUP($A57,Table,MATCH(G$4,Curves,0)))</f>
        <v>#N/A</v>
      </c>
      <c r="H57" s="201" t="e">
        <f aca="false">IF(A58="","",G57)</f>
        <v>#N/A</v>
      </c>
      <c r="I57" s="202"/>
      <c r="J57" s="200" t="e">
        <f aca="false">IF($A58="","",VLOOKUP($A57,Table,MATCH(J$4,Curves,0)))</f>
        <v>#N/A</v>
      </c>
      <c r="K57" s="201" t="e">
        <f aca="false">IF(A58="","",J57)</f>
        <v>#N/A</v>
      </c>
      <c r="L57" s="200" t="e">
        <f aca="false">IF($A58="","",VLOOKUP($A57,Table,MATCH(L$4,Curves,0)))</f>
        <v>#N/A</v>
      </c>
      <c r="M57" s="201" t="e">
        <f aca="false">IF(A58="","",L57)</f>
        <v>#N/A</v>
      </c>
      <c r="N57" s="203"/>
      <c r="O57" s="200" t="e">
        <f aca="false">IF(A58="","",L57+J57+G57)</f>
        <v>#N/A</v>
      </c>
      <c r="P57" s="200" t="e">
        <f aca="false">IF(A58="","",M57+K57+H57)</f>
        <v>#N/A</v>
      </c>
      <c r="Q57" s="204"/>
      <c r="R57" s="200" t="e">
        <f aca="false">IF($A58="","",VLOOKUP($A57,Table,MATCH(R$4,Curves,0)))</f>
        <v>#N/A</v>
      </c>
      <c r="S57" s="201" t="e">
        <f aca="false">IF(A58="","",R57)</f>
        <v>#N/A</v>
      </c>
      <c r="T57" s="200" t="e">
        <f aca="false">IF($A58="","",VLOOKUP($A57,Table,MATCH(T$4,Curves,0)))</f>
        <v>#N/A</v>
      </c>
      <c r="U57" s="201" t="e">
        <f aca="false">IF(A58="","",T57)</f>
        <v>#N/A</v>
      </c>
      <c r="V57" s="225" t="e">
        <f aca="false">IF($A58="","",IF(AND(MONTH(A57)&gt;3,MONTH(A57)&lt;11),(T57+R57+G57)*(((1/(1-Summary!$T$12))/(1-Summary!$W$12))-1),(T57+R57+G57)*((1/(1-Summary!$U$12))/(1-Summary!$X$12)-1)))</f>
        <v>#N/A</v>
      </c>
      <c r="W57" s="200" t="e">
        <f aca="false">IF($A58="","",(T57+R57+G57+V57))</f>
        <v>#N/A</v>
      </c>
      <c r="X57" s="200" t="e">
        <f aca="false">IF($A58="","",(U57+S57+H57+V57))</f>
        <v>#N/A</v>
      </c>
      <c r="Y57" s="202"/>
      <c r="Z57" s="185" t="e">
        <f aca="false">IF($A58="","",VLOOKUP($A57,Table,MATCH(Z$4,Curves,0)))</f>
        <v>#N/A</v>
      </c>
      <c r="AA57" s="185" t="e">
        <f aca="false">IF($A58="","",VLOOKUP($A57,Table,MATCH(AA$4,Curves,0)))</f>
        <v>#N/A</v>
      </c>
      <c r="AB57" s="185" t="e">
        <f aca="false">SQRT((AA57^2*(A57-$D$3)+Z57^2*(DAY(EOMONTH(A57,0))/2))/AK57)</f>
        <v>#N/A</v>
      </c>
      <c r="AC57" s="185" t="e">
        <f aca="false">IF($A58="","",VLOOKUP($A57,Table,MATCH(AC$4,Curves,0)))</f>
        <v>#N/A</v>
      </c>
      <c r="AD57" s="185" t="e">
        <f aca="false">IF($A58="","",VLOOKUP($A57,Table,MATCH(AD$4,Curves,0)))</f>
        <v>#N/A</v>
      </c>
      <c r="AE57" s="185" t="e">
        <f aca="false">SQRT((AD57^2*(A57-$D$3)+AC57^2*(DAY(EOMONTH(A57,0))/2))/AK57)</f>
        <v>#N/A</v>
      </c>
      <c r="AF57" s="206" t="e">
        <f aca="false">((Summary!$N$12*(AA57*AD57)*(A57-$D$3))+(Summary!$M$12*Z57*AC57*(AJ57-EOMONTH(EDATE(A57,-1),0))))/(AK57*AB57*AE57)</f>
        <v>#N/A</v>
      </c>
      <c r="AG57" s="207" t="n">
        <f aca="false">IF($A58="","",Summary!$Q$12)</f>
        <v>0</v>
      </c>
      <c r="AH57" s="207" t="n">
        <f aca="false">IF($A58="","",IF(Summary!$R$12="Y",(VLOOKUP($A57,Summary!$AD$6:$AF$9,3)+'Escalating commodity'!H70),'Escalating commodity'!H70))</f>
        <v>0.029</v>
      </c>
      <c r="AI57" s="207" t="n">
        <f aca="false">IF($A58="","",AH57)</f>
        <v>0.029</v>
      </c>
      <c r="AJ57" s="208" t="n">
        <f aca="false">A57+DAY(EOMONTH(A57,0))/2-1</f>
        <v>38487.5</v>
      </c>
      <c r="AK57" s="209" t="n">
        <f aca="false">IF($A58="","",$A57-$E$1)</f>
        <v>-7453</v>
      </c>
      <c r="AL57" s="182" t="e">
        <f aca="false">IF($A58="","",SPRDOPT(P57,X57,AI57,0,AB57,AE57,AF57,AK57,$AJ$2,0))</f>
        <v>#NAME?</v>
      </c>
      <c r="AM57" s="211" t="e">
        <f aca="false">IF($A58="","",MAX(0,O57-W57-AI57))</f>
        <v>#N/A</v>
      </c>
      <c r="AN57" s="211" t="e">
        <f aca="false">IF($A58="","",AL57-AM57)</f>
        <v>#N/A</v>
      </c>
      <c r="AO57" s="137" t="n">
        <f aca="false">IF(A58="","",A58-A57)</f>
        <v>31</v>
      </c>
      <c r="AP57" s="212" t="n">
        <f aca="false">IF(A58="","",CHOOSE(F$3,A58+24,A57))</f>
        <v>38473</v>
      </c>
      <c r="AQ57" s="209" t="n">
        <f aca="false">IF(A58="","",AP57-$E$1)</f>
        <v>-7453</v>
      </c>
      <c r="AR57" s="185" t="n">
        <f aca="false">'ANR OK vs ML7'!AR57</f>
        <v>0.1</v>
      </c>
      <c r="AS57" s="213" t="n">
        <f aca="false">IF(A58="","",1/(1+CHOOSE(F$3,(AR58+($I$3/10000))/2,(AR57+($I$3/10000))/2))^(2*AQ57/365.25))</f>
        <v>7.32392438756219</v>
      </c>
      <c r="AT57" s="137" t="n">
        <f aca="false">IF(A58="","",IF(AND(mthbeg&lt;=A57,mthend&gt;=A57),1,0))</f>
        <v>1</v>
      </c>
      <c r="AU57" s="137" t="n">
        <f aca="false">IF(A58="","",AO57*AT57)</f>
        <v>31</v>
      </c>
      <c r="AW57" s="195" t="e">
        <f aca="false">IF($A58="","",AL57*$E57)</f>
        <v>#NAME?</v>
      </c>
      <c r="AX57" s="195" t="e">
        <f aca="false">IF($A58="","",AM57*$E57)</f>
        <v>#N/A</v>
      </c>
      <c r="AY57" s="195" t="e">
        <f aca="false">IF($A58="","",AN57*$E57)</f>
        <v>#N/A</v>
      </c>
      <c r="BA57" s="195" t="n">
        <f aca="false">IF($A58="","",F57*Summary!$Q$12)</f>
        <v>0</v>
      </c>
      <c r="BC57" s="179" t="e">
        <f aca="false">IF(A58="","",AM57*F57)</f>
        <v>#N/A</v>
      </c>
    </row>
    <row r="58" customFormat="false" ht="12.75" hidden="false" customHeight="false" outlineLevel="0" collapsed="false">
      <c r="A58" s="196" t="n">
        <f aca="false">IF(A57&lt;mthend,EDATE(A57,1),"")</f>
        <v>38504</v>
      </c>
      <c r="B58" s="197" t="n">
        <f aca="false">IF(A58&lt;mthend,B57,"")</f>
        <v>36522</v>
      </c>
      <c r="C58" s="215"/>
      <c r="D58" s="197" t="n">
        <f aca="false">IF(A59&lt;&gt;"",B58+C58,"")</f>
        <v>36522</v>
      </c>
      <c r="E58" s="199" t="n">
        <f aca="false">IF(A59="","",IF(AND(AT58=1,$H$3=1),D58*AO58,IF($H$3=2,D58,"N/A")))</f>
        <v>1095660</v>
      </c>
      <c r="F58" s="199" t="n">
        <f aca="false">IF(A59="","",E58*AS58)</f>
        <v>7958346.50289247</v>
      </c>
      <c r="G58" s="200" t="e">
        <f aca="false">IF($A59="","",VLOOKUP($A58,Table,MATCH(G$4,Curves,0)))</f>
        <v>#N/A</v>
      </c>
      <c r="H58" s="201" t="e">
        <f aca="false">IF(A59="","",G58)</f>
        <v>#N/A</v>
      </c>
      <c r="I58" s="202"/>
      <c r="J58" s="200" t="e">
        <f aca="false">IF($A59="","",VLOOKUP($A58,Table,MATCH(J$4,Curves,0)))</f>
        <v>#N/A</v>
      </c>
      <c r="K58" s="201" t="e">
        <f aca="false">IF(A59="","",J58)</f>
        <v>#N/A</v>
      </c>
      <c r="L58" s="200" t="e">
        <f aca="false">IF($A59="","",VLOOKUP($A58,Table,MATCH(L$4,Curves,0)))</f>
        <v>#N/A</v>
      </c>
      <c r="M58" s="201" t="e">
        <f aca="false">IF(A59="","",L58)</f>
        <v>#N/A</v>
      </c>
      <c r="N58" s="203"/>
      <c r="O58" s="200" t="e">
        <f aca="false">IF(A59="","",L58+J58+G58)</f>
        <v>#N/A</v>
      </c>
      <c r="P58" s="200" t="e">
        <f aca="false">IF(A59="","",M58+K58+H58)</f>
        <v>#N/A</v>
      </c>
      <c r="Q58" s="204"/>
      <c r="R58" s="200" t="e">
        <f aca="false">IF($A59="","",VLOOKUP($A58,Table,MATCH(R$4,Curves,0)))</f>
        <v>#N/A</v>
      </c>
      <c r="S58" s="201" t="e">
        <f aca="false">IF(A59="","",R58)</f>
        <v>#N/A</v>
      </c>
      <c r="T58" s="200" t="e">
        <f aca="false">IF($A59="","",VLOOKUP($A58,Table,MATCH(T$4,Curves,0)))</f>
        <v>#N/A</v>
      </c>
      <c r="U58" s="201" t="e">
        <f aca="false">IF(A59="","",T58)</f>
        <v>#N/A</v>
      </c>
      <c r="V58" s="225" t="e">
        <f aca="false">IF($A59="","",IF(AND(MONTH(A58)&gt;3,MONTH(A58)&lt;11),(T58+R58+G58)*(((1/(1-Summary!$T$12))/(1-Summary!$W$12))-1),(T58+R58+G58)*((1/(1-Summary!$U$12))/(1-Summary!$X$12)-1)))</f>
        <v>#N/A</v>
      </c>
      <c r="W58" s="200" t="e">
        <f aca="false">IF($A59="","",(T58+R58+G58+V58))</f>
        <v>#N/A</v>
      </c>
      <c r="X58" s="200" t="e">
        <f aca="false">IF($A59="","",(U58+S58+H58+V58))</f>
        <v>#N/A</v>
      </c>
      <c r="Y58" s="202"/>
      <c r="Z58" s="185" t="e">
        <f aca="false">IF($A59="","",VLOOKUP($A58,Table,MATCH(Z$4,Curves,0)))</f>
        <v>#N/A</v>
      </c>
      <c r="AA58" s="185" t="e">
        <f aca="false">IF($A59="","",VLOOKUP($A58,Table,MATCH(AA$4,Curves,0)))</f>
        <v>#N/A</v>
      </c>
      <c r="AB58" s="185" t="e">
        <f aca="false">SQRT((AA58^2*(A58-$D$3)+Z58^2*(DAY(EOMONTH(A58,0))/2))/AK58)</f>
        <v>#N/A</v>
      </c>
      <c r="AC58" s="185" t="e">
        <f aca="false">IF($A59="","",VLOOKUP($A58,Table,MATCH(AC$4,Curves,0)))</f>
        <v>#N/A</v>
      </c>
      <c r="AD58" s="185" t="e">
        <f aca="false">IF($A59="","",VLOOKUP($A58,Table,MATCH(AD$4,Curves,0)))</f>
        <v>#N/A</v>
      </c>
      <c r="AE58" s="185" t="e">
        <f aca="false">SQRT((AD58^2*(A58-$D$3)+AC58^2*(DAY(EOMONTH(A58,0))/2))/AK58)</f>
        <v>#N/A</v>
      </c>
      <c r="AF58" s="206" t="e">
        <f aca="false">((Summary!$N$12*(AA58*AD58)*(A58-$D$3))+(Summary!$M$12*Z58*AC58*(AJ58-EOMONTH(EDATE(A58,-1),0))))/(AK58*AB58*AE58)</f>
        <v>#N/A</v>
      </c>
      <c r="AG58" s="207" t="n">
        <f aca="false">IF($A59="","",Summary!$Q$12)</f>
        <v>0</v>
      </c>
      <c r="AH58" s="207" t="n">
        <f aca="false">IF($A59="","",IF(Summary!$R$12="Y",(VLOOKUP($A58,Summary!$AD$6:$AF$9,3)+'Escalating commodity'!H71),'Escalating commodity'!H71))</f>
        <v>0.029</v>
      </c>
      <c r="AI58" s="207" t="n">
        <f aca="false">IF($A59="","",AH58)</f>
        <v>0.029</v>
      </c>
      <c r="AJ58" s="208" t="n">
        <f aca="false">A58+DAY(EOMONTH(A58,0))/2-1</f>
        <v>38518</v>
      </c>
      <c r="AK58" s="209" t="n">
        <f aca="false">IF($A59="","",$A58-$E$1)</f>
        <v>-7422</v>
      </c>
      <c r="AL58" s="182" t="e">
        <f aca="false">IF($A59="","",SPRDOPT(P58,X58,AI58,0,AB58,AE58,AF58,AK58,$AJ$2,0))</f>
        <v>#NAME?</v>
      </c>
      <c r="AM58" s="211" t="e">
        <f aca="false">IF($A59="","",MAX(0,O58-W58-AI58))</f>
        <v>#N/A</v>
      </c>
      <c r="AN58" s="211" t="e">
        <f aca="false">IF($A59="","",AL58-AM58)</f>
        <v>#N/A</v>
      </c>
      <c r="AO58" s="137" t="n">
        <f aca="false">IF(A59="","",A59-A58)</f>
        <v>30</v>
      </c>
      <c r="AP58" s="212" t="n">
        <f aca="false">IF(A59="","",CHOOSE(F$3,A59+24,A58))</f>
        <v>38504</v>
      </c>
      <c r="AQ58" s="209" t="n">
        <f aca="false">IF(A59="","",AP58-$E$1)</f>
        <v>-7422</v>
      </c>
      <c r="AR58" s="185" t="n">
        <f aca="false">'ANR OK vs ML7'!AR58</f>
        <v>0.1</v>
      </c>
      <c r="AS58" s="213" t="n">
        <f aca="false">IF(A59="","",1/(1+CHOOSE(F$3,(AR59+($I$3/10000))/2,(AR58+($I$3/10000))/2))^(2*AQ58/365.25))</f>
        <v>7.26351833862008</v>
      </c>
      <c r="AT58" s="137" t="n">
        <f aca="false">IF(A59="","",IF(AND(mthbeg&lt;=A58,mthend&gt;=A58),1,0))</f>
        <v>1</v>
      </c>
      <c r="AU58" s="137" t="n">
        <f aca="false">IF(A59="","",AO58*AT58)</f>
        <v>30</v>
      </c>
      <c r="AW58" s="195" t="e">
        <f aca="false">IF($A59="","",AL58*$E58)</f>
        <v>#NAME?</v>
      </c>
      <c r="AX58" s="195" t="e">
        <f aca="false">IF($A59="","",AM58*$E58)</f>
        <v>#N/A</v>
      </c>
      <c r="AY58" s="195" t="e">
        <f aca="false">IF($A59="","",AN58*$E58)</f>
        <v>#N/A</v>
      </c>
      <c r="BA58" s="195" t="n">
        <f aca="false">IF($A59="","",F58*Summary!$Q$12)</f>
        <v>0</v>
      </c>
      <c r="BC58" s="179" t="e">
        <f aca="false">IF(A59="","",AM58*F58)</f>
        <v>#N/A</v>
      </c>
    </row>
    <row r="59" customFormat="false" ht="12.75" hidden="false" customHeight="false" outlineLevel="0" collapsed="false">
      <c r="A59" s="196" t="n">
        <f aca="false">IF(A58&lt;mthend,EDATE(A58,1),"")</f>
        <v>38534</v>
      </c>
      <c r="B59" s="197" t="n">
        <f aca="false">IF(A59&lt;mthend,B58,"")</f>
        <v>36522</v>
      </c>
      <c r="C59" s="215"/>
      <c r="D59" s="197" t="n">
        <f aca="false">IF(A60&lt;&gt;"",B59+C59,"")</f>
        <v>36522</v>
      </c>
      <c r="E59" s="199" t="n">
        <f aca="false">IF(A60="","",IF(AND(AT59=1,$H$3=1),D59*AO59,IF($H$3=2,D59,"N/A")))</f>
        <v>1132182</v>
      </c>
      <c r="F59" s="199" t="n">
        <f aca="false">IF(A60="","",E59*AS59)</f>
        <v>8157977.34588643</v>
      </c>
      <c r="G59" s="200" t="e">
        <f aca="false">IF($A60="","",VLOOKUP($A59,Table,MATCH(G$4,Curves,0)))</f>
        <v>#N/A</v>
      </c>
      <c r="H59" s="201" t="e">
        <f aca="false">IF(A60="","",G59)</f>
        <v>#N/A</v>
      </c>
      <c r="I59" s="202"/>
      <c r="J59" s="200" t="e">
        <f aca="false">IF($A60="","",VLOOKUP($A59,Table,MATCH(J$4,Curves,0)))</f>
        <v>#N/A</v>
      </c>
      <c r="K59" s="201" t="e">
        <f aca="false">IF(A60="","",J59)</f>
        <v>#N/A</v>
      </c>
      <c r="L59" s="200" t="e">
        <f aca="false">IF($A60="","",VLOOKUP($A59,Table,MATCH(L$4,Curves,0)))</f>
        <v>#N/A</v>
      </c>
      <c r="M59" s="201" t="e">
        <f aca="false">IF(A60="","",L59)</f>
        <v>#N/A</v>
      </c>
      <c r="N59" s="203"/>
      <c r="O59" s="200" t="e">
        <f aca="false">IF(A60="","",L59+J59+G59)</f>
        <v>#N/A</v>
      </c>
      <c r="P59" s="200" t="e">
        <f aca="false">IF(A60="","",M59+K59+H59)</f>
        <v>#N/A</v>
      </c>
      <c r="Q59" s="204"/>
      <c r="R59" s="200" t="e">
        <f aca="false">IF($A60="","",VLOOKUP($A59,Table,MATCH(R$4,Curves,0)))</f>
        <v>#N/A</v>
      </c>
      <c r="S59" s="201" t="e">
        <f aca="false">IF(A60="","",R59)</f>
        <v>#N/A</v>
      </c>
      <c r="T59" s="200" t="e">
        <f aca="false">IF($A60="","",VLOOKUP($A59,Table,MATCH(T$4,Curves,0)))</f>
        <v>#N/A</v>
      </c>
      <c r="U59" s="201" t="e">
        <f aca="false">IF(A60="","",T59)</f>
        <v>#N/A</v>
      </c>
      <c r="V59" s="225" t="e">
        <f aca="false">IF($A60="","",IF(AND(MONTH(A59)&gt;3,MONTH(A59)&lt;11),(T59+R59+G59)*(((1/(1-Summary!$T$12))/(1-Summary!$W$12))-1),(T59+R59+G59)*((1/(1-Summary!$U$12))/(1-Summary!$X$12)-1)))</f>
        <v>#N/A</v>
      </c>
      <c r="W59" s="200" t="e">
        <f aca="false">IF($A60="","",(T59+R59+G59+V59))</f>
        <v>#N/A</v>
      </c>
      <c r="X59" s="200" t="e">
        <f aca="false">IF($A60="","",(U59+S59+H59+V59))</f>
        <v>#N/A</v>
      </c>
      <c r="Y59" s="202"/>
      <c r="Z59" s="185" t="e">
        <f aca="false">IF($A60="","",VLOOKUP($A59,Table,MATCH(Z$4,Curves,0)))</f>
        <v>#N/A</v>
      </c>
      <c r="AA59" s="185" t="e">
        <f aca="false">IF($A60="","",VLOOKUP($A59,Table,MATCH(AA$4,Curves,0)))</f>
        <v>#N/A</v>
      </c>
      <c r="AB59" s="185" t="e">
        <f aca="false">SQRT((AA59^2*(A59-$D$3)+Z59^2*(DAY(EOMONTH(A59,0))/2))/AK59)</f>
        <v>#N/A</v>
      </c>
      <c r="AC59" s="185" t="e">
        <f aca="false">IF($A60="","",VLOOKUP($A59,Table,MATCH(AC$4,Curves,0)))</f>
        <v>#N/A</v>
      </c>
      <c r="AD59" s="185" t="e">
        <f aca="false">IF($A60="","",VLOOKUP($A59,Table,MATCH(AD$4,Curves,0)))</f>
        <v>#N/A</v>
      </c>
      <c r="AE59" s="185" t="e">
        <f aca="false">SQRT((AD59^2*(A59-$D$3)+AC59^2*(DAY(EOMONTH(A59,0))/2))/AK59)</f>
        <v>#N/A</v>
      </c>
      <c r="AF59" s="206" t="e">
        <f aca="false">((Summary!$N$12*(AA59*AD59)*(A59-$D$3))+(Summary!$M$12*Z59*AC59*(AJ59-EOMONTH(EDATE(A59,-1),0))))/(AK59*AB59*AE59)</f>
        <v>#N/A</v>
      </c>
      <c r="AG59" s="207" t="n">
        <f aca="false">IF($A60="","",Summary!$Q$12)</f>
        <v>0</v>
      </c>
      <c r="AH59" s="207" t="n">
        <f aca="false">IF($A60="","",IF(Summary!$R$12="Y",(VLOOKUP($A59,Summary!$AD$6:$AF$9,3)+'Escalating commodity'!H72),'Escalating commodity'!H72))</f>
        <v>0.029</v>
      </c>
      <c r="AI59" s="207" t="n">
        <f aca="false">IF($A60="","",AH59)</f>
        <v>0.029</v>
      </c>
      <c r="AJ59" s="208" t="n">
        <f aca="false">A59+DAY(EOMONTH(A59,0))/2-1</f>
        <v>38548.5</v>
      </c>
      <c r="AK59" s="209" t="n">
        <f aca="false">IF($A60="","",$A59-$E$1)</f>
        <v>-7392</v>
      </c>
      <c r="AL59" s="182" t="e">
        <f aca="false">IF($A60="","",SPRDOPT(P59,X59,AI59,0,AB59,AE59,AF59,AK59,$AJ$2,0))</f>
        <v>#NAME?</v>
      </c>
      <c r="AM59" s="211" t="e">
        <f aca="false">IF($A60="","",MAX(0,O59-W59-AI59))</f>
        <v>#N/A</v>
      </c>
      <c r="AN59" s="211" t="e">
        <f aca="false">IF($A60="","",AL59-AM59)</f>
        <v>#N/A</v>
      </c>
      <c r="AO59" s="137" t="n">
        <f aca="false">IF(A60="","",A60-A59)</f>
        <v>31</v>
      </c>
      <c r="AP59" s="212" t="n">
        <f aca="false">IF(A60="","",CHOOSE(F$3,A60+24,A59))</f>
        <v>38534</v>
      </c>
      <c r="AQ59" s="209" t="n">
        <f aca="false">IF(A60="","",AP59-$E$1)</f>
        <v>-7392</v>
      </c>
      <c r="AR59" s="185" t="n">
        <f aca="false">'ANR OK vs ML7'!AR59</f>
        <v>0.1</v>
      </c>
      <c r="AS59" s="213" t="n">
        <f aca="false">IF(A60="","",1/(1+CHOOSE(F$3,(AR60+($I$3/10000))/2,(AR59+($I$3/10000))/2))^(2*AQ59/365.25))</f>
        <v>7.20553528132971</v>
      </c>
      <c r="AT59" s="137" t="n">
        <f aca="false">IF(A60="","",IF(AND(mthbeg&lt;=A59,mthend&gt;=A59),1,0))</f>
        <v>1</v>
      </c>
      <c r="AU59" s="137" t="n">
        <f aca="false">IF(A60="","",AO59*AT59)</f>
        <v>31</v>
      </c>
      <c r="AW59" s="195" t="e">
        <f aca="false">IF($A60="","",AL59*$E59)</f>
        <v>#NAME?</v>
      </c>
      <c r="AX59" s="195" t="e">
        <f aca="false">IF($A60="","",AM59*$E59)</f>
        <v>#N/A</v>
      </c>
      <c r="AY59" s="195" t="e">
        <f aca="false">IF($A60="","",AN59*$E59)</f>
        <v>#N/A</v>
      </c>
      <c r="BA59" s="195" t="n">
        <f aca="false">IF($A60="","",F59*Summary!$Q$12)</f>
        <v>0</v>
      </c>
      <c r="BC59" s="179" t="e">
        <f aca="false">IF(A60="","",AM59*F59)</f>
        <v>#N/A</v>
      </c>
    </row>
    <row r="60" customFormat="false" ht="12.75" hidden="false" customHeight="false" outlineLevel="0" collapsed="false">
      <c r="A60" s="196" t="n">
        <f aca="false">IF(A59&lt;mthend,EDATE(A59,1),"")</f>
        <v>38565</v>
      </c>
      <c r="B60" s="197" t="n">
        <f aca="false">IF(A60&lt;mthend,B59,"")</f>
        <v>36522</v>
      </c>
      <c r="C60" s="215"/>
      <c r="D60" s="197" t="n">
        <f aca="false">IF(A61&lt;&gt;"",B60+C60,"")</f>
        <v>36522</v>
      </c>
      <c r="E60" s="199" t="n">
        <f aca="false">IF(A61="","",IF(AND(AT60=1,$H$3=1),D60*AO60,IF($H$3=2,D60,"N/A")))</f>
        <v>1132182</v>
      </c>
      <c r="F60" s="199" t="n">
        <f aca="false">IF(A61="","",E60*AS60)</f>
        <v>8090692.2193959</v>
      </c>
      <c r="G60" s="200" t="e">
        <f aca="false">IF($A61="","",VLOOKUP($A60,Table,MATCH(G$4,Curves,0)))</f>
        <v>#N/A</v>
      </c>
      <c r="H60" s="201" t="e">
        <f aca="false">IF(A61="","",G60)</f>
        <v>#N/A</v>
      </c>
      <c r="I60" s="202"/>
      <c r="J60" s="200" t="e">
        <f aca="false">IF($A61="","",VLOOKUP($A60,Table,MATCH(J$4,Curves,0)))</f>
        <v>#N/A</v>
      </c>
      <c r="K60" s="201" t="e">
        <f aca="false">IF(A61="","",J60)</f>
        <v>#N/A</v>
      </c>
      <c r="L60" s="200" t="e">
        <f aca="false">IF($A61="","",VLOOKUP($A60,Table,MATCH(L$4,Curves,0)))</f>
        <v>#N/A</v>
      </c>
      <c r="M60" s="201" t="e">
        <f aca="false">IF(A61="","",L60)</f>
        <v>#N/A</v>
      </c>
      <c r="N60" s="203"/>
      <c r="O60" s="200" t="e">
        <f aca="false">IF(A61="","",L60+J60+G60)</f>
        <v>#N/A</v>
      </c>
      <c r="P60" s="200" t="e">
        <f aca="false">IF(A61="","",M60+K60+H60)</f>
        <v>#N/A</v>
      </c>
      <c r="Q60" s="204"/>
      <c r="R60" s="200" t="e">
        <f aca="false">IF($A61="","",VLOOKUP($A60,Table,MATCH(R$4,Curves,0)))</f>
        <v>#N/A</v>
      </c>
      <c r="S60" s="201" t="e">
        <f aca="false">IF(A61="","",R60)</f>
        <v>#N/A</v>
      </c>
      <c r="T60" s="200" t="e">
        <f aca="false">IF($A61="","",VLOOKUP($A60,Table,MATCH(T$4,Curves,0)))</f>
        <v>#N/A</v>
      </c>
      <c r="U60" s="201" t="e">
        <f aca="false">IF(A61="","",T60)</f>
        <v>#N/A</v>
      </c>
      <c r="V60" s="225" t="e">
        <f aca="false">IF($A61="","",IF(AND(MONTH(A60)&gt;3,MONTH(A60)&lt;11),(T60+R60+G60)*(((1/(1-Summary!$T$12))/(1-Summary!$W$12))-1),(T60+R60+G60)*((1/(1-Summary!$U$12))/(1-Summary!$X$12)-1)))</f>
        <v>#N/A</v>
      </c>
      <c r="W60" s="200" t="e">
        <f aca="false">IF($A61="","",(T60+R60+G60+V60))</f>
        <v>#N/A</v>
      </c>
      <c r="X60" s="200" t="e">
        <f aca="false">IF($A61="","",(U60+S60+H60+V60))</f>
        <v>#N/A</v>
      </c>
      <c r="Y60" s="202"/>
      <c r="Z60" s="185" t="e">
        <f aca="false">IF($A61="","",VLOOKUP($A60,Table,MATCH(Z$4,Curves,0)))</f>
        <v>#N/A</v>
      </c>
      <c r="AA60" s="185" t="e">
        <f aca="false">IF($A61="","",VLOOKUP($A60,Table,MATCH(AA$4,Curves,0)))</f>
        <v>#N/A</v>
      </c>
      <c r="AB60" s="185" t="e">
        <f aca="false">SQRT((AA60^2*(A60-$D$3)+Z60^2*(DAY(EOMONTH(A60,0))/2))/AK60)</f>
        <v>#N/A</v>
      </c>
      <c r="AC60" s="185" t="e">
        <f aca="false">IF($A61="","",VLOOKUP($A60,Table,MATCH(AC$4,Curves,0)))</f>
        <v>#N/A</v>
      </c>
      <c r="AD60" s="185" t="e">
        <f aca="false">IF($A61="","",VLOOKUP($A60,Table,MATCH(AD$4,Curves,0)))</f>
        <v>#N/A</v>
      </c>
      <c r="AE60" s="185" t="e">
        <f aca="false">SQRT((AD60^2*(A60-$D$3)+AC60^2*(DAY(EOMONTH(A60,0))/2))/AK60)</f>
        <v>#N/A</v>
      </c>
      <c r="AF60" s="206" t="e">
        <f aca="false">((Summary!$N$12*(AA60*AD60)*(A60-$D$3))+(Summary!$M$12*Z60*AC60*(AJ60-EOMONTH(EDATE(A60,-1),0))))/(AK60*AB60*AE60)</f>
        <v>#N/A</v>
      </c>
      <c r="AG60" s="207" t="n">
        <f aca="false">IF($A61="","",Summary!$Q$12)</f>
        <v>0</v>
      </c>
      <c r="AH60" s="207" t="n">
        <f aca="false">IF($A61="","",IF(Summary!$R$12="Y",(VLOOKUP($A60,Summary!$AD$6:$AF$9,3)+'Escalating commodity'!H73),'Escalating commodity'!H73))</f>
        <v>0.029</v>
      </c>
      <c r="AI60" s="207" t="n">
        <f aca="false">IF($A61="","",AH60)</f>
        <v>0.029</v>
      </c>
      <c r="AJ60" s="208" t="n">
        <f aca="false">A60+DAY(EOMONTH(A60,0))/2-1</f>
        <v>38579.5</v>
      </c>
      <c r="AK60" s="209" t="n">
        <f aca="false">IF($A61="","",$A60-$E$1)</f>
        <v>-7361</v>
      </c>
      <c r="AL60" s="182" t="e">
        <f aca="false">IF($A61="","",SPRDOPT(P60,X60,AI60,0,AB60,AE60,AF60,AK60,$AJ$2,0))</f>
        <v>#NAME?</v>
      </c>
      <c r="AM60" s="211" t="e">
        <f aca="false">IF($A61="","",MAX(0,O60-W60-AI60))</f>
        <v>#N/A</v>
      </c>
      <c r="AN60" s="211" t="e">
        <f aca="false">IF($A61="","",AL60-AM60)</f>
        <v>#N/A</v>
      </c>
      <c r="AO60" s="137" t="n">
        <f aca="false">IF(A61="","",A61-A60)</f>
        <v>31</v>
      </c>
      <c r="AP60" s="212" t="n">
        <f aca="false">IF(A61="","",CHOOSE(F$3,A61+24,A60))</f>
        <v>38565</v>
      </c>
      <c r="AQ60" s="209" t="n">
        <f aca="false">IF(A61="","",AP60-$E$1)</f>
        <v>-7361</v>
      </c>
      <c r="AR60" s="185" t="n">
        <f aca="false">'ANR OK vs ML7'!AR60</f>
        <v>0.1</v>
      </c>
      <c r="AS60" s="213" t="n">
        <f aca="false">IF(A61="","",1/(1+CHOOSE(F$3,(AR61+($I$3/10000))/2,(AR60+($I$3/10000))/2))^(2*AQ60/365.25))</f>
        <v>7.14610567858869</v>
      </c>
      <c r="AT60" s="137" t="n">
        <f aca="false">IF(A61="","",IF(AND(mthbeg&lt;=A60,mthend&gt;=A60),1,0))</f>
        <v>1</v>
      </c>
      <c r="AU60" s="137" t="n">
        <f aca="false">IF(A61="","",AO60*AT60)</f>
        <v>31</v>
      </c>
      <c r="AW60" s="195" t="e">
        <f aca="false">IF($A61="","",AL60*$E60)</f>
        <v>#NAME?</v>
      </c>
      <c r="AX60" s="195" t="e">
        <f aca="false">IF($A61="","",AM60*$E60)</f>
        <v>#N/A</v>
      </c>
      <c r="AY60" s="195" t="e">
        <f aca="false">IF($A61="","",AN60*$E60)</f>
        <v>#N/A</v>
      </c>
      <c r="BA60" s="195" t="n">
        <f aca="false">IF($A61="","",F60*Summary!$Q$12)</f>
        <v>0</v>
      </c>
      <c r="BC60" s="179" t="e">
        <f aca="false">IF(A61="","",AM60*F60)</f>
        <v>#N/A</v>
      </c>
    </row>
    <row r="61" customFormat="false" ht="12.75" hidden="false" customHeight="false" outlineLevel="0" collapsed="false">
      <c r="A61" s="196" t="n">
        <f aca="false">IF(A60&lt;mthend,EDATE(A60,1),"")</f>
        <v>38596</v>
      </c>
      <c r="B61" s="197" t="n">
        <f aca="false">IF(A61&lt;mthend,B60,"")</f>
        <v>36522</v>
      </c>
      <c r="C61" s="215"/>
      <c r="D61" s="197" t="n">
        <f aca="false">IF(A62&lt;&gt;"",B61+C61,"")</f>
        <v>36522</v>
      </c>
      <c r="E61" s="199" t="n">
        <f aca="false">IF(A62="","",IF(AND(AT61=1,$H$3=1),D61*AO61,IF($H$3=2,D61,"N/A")))</f>
        <v>1095660</v>
      </c>
      <c r="F61" s="199" t="n">
        <f aca="false">IF(A62="","",E61*AS61)</f>
        <v>7765124.55987086</v>
      </c>
      <c r="G61" s="200" t="e">
        <f aca="false">IF($A62="","",VLOOKUP($A61,Table,MATCH(G$4,Curves,0)))</f>
        <v>#N/A</v>
      </c>
      <c r="H61" s="201" t="e">
        <f aca="false">IF(A62="","",G61)</f>
        <v>#N/A</v>
      </c>
      <c r="I61" s="202"/>
      <c r="J61" s="200" t="e">
        <f aca="false">IF($A62="","",VLOOKUP($A61,Table,MATCH(J$4,Curves,0)))</f>
        <v>#N/A</v>
      </c>
      <c r="K61" s="201" t="e">
        <f aca="false">IF(A62="","",J61)</f>
        <v>#N/A</v>
      </c>
      <c r="L61" s="200" t="e">
        <f aca="false">IF($A62="","",VLOOKUP($A61,Table,MATCH(L$4,Curves,0)))</f>
        <v>#N/A</v>
      </c>
      <c r="M61" s="201" t="e">
        <f aca="false">IF(A62="","",L61)</f>
        <v>#N/A</v>
      </c>
      <c r="N61" s="203"/>
      <c r="O61" s="200" t="e">
        <f aca="false">IF(A62="","",L61+J61+G61)</f>
        <v>#N/A</v>
      </c>
      <c r="P61" s="200" t="e">
        <f aca="false">IF(A62="","",M61+K61+H61)</f>
        <v>#N/A</v>
      </c>
      <c r="Q61" s="204"/>
      <c r="R61" s="200" t="e">
        <f aca="false">IF($A62="","",VLOOKUP($A61,Table,MATCH(R$4,Curves,0)))</f>
        <v>#N/A</v>
      </c>
      <c r="S61" s="201" t="e">
        <f aca="false">IF(A62="","",R61)</f>
        <v>#N/A</v>
      </c>
      <c r="T61" s="200" t="e">
        <f aca="false">IF($A62="","",VLOOKUP($A61,Table,MATCH(T$4,Curves,0)))</f>
        <v>#N/A</v>
      </c>
      <c r="U61" s="201" t="e">
        <f aca="false">IF(A62="","",T61)</f>
        <v>#N/A</v>
      </c>
      <c r="V61" s="225" t="e">
        <f aca="false">IF($A62="","",IF(AND(MONTH(A61)&gt;3,MONTH(A61)&lt;11),(T61+R61+G61)*(((1/(1-Summary!$T$12))/(1-Summary!$W$12))-1),(T61+R61+G61)*((1/(1-Summary!$U$12))/(1-Summary!$X$12)-1)))</f>
        <v>#N/A</v>
      </c>
      <c r="W61" s="200" t="e">
        <f aca="false">IF($A62="","",(T61+R61+G61+V61))</f>
        <v>#N/A</v>
      </c>
      <c r="X61" s="200" t="e">
        <f aca="false">IF($A62="","",(U61+S61+H61+V61))</f>
        <v>#N/A</v>
      </c>
      <c r="Y61" s="202"/>
      <c r="Z61" s="185" t="e">
        <f aca="false">IF($A62="","",VLOOKUP($A61,Table,MATCH(Z$4,Curves,0)))</f>
        <v>#N/A</v>
      </c>
      <c r="AA61" s="185" t="e">
        <f aca="false">IF($A62="","",VLOOKUP($A61,Table,MATCH(AA$4,Curves,0)))</f>
        <v>#N/A</v>
      </c>
      <c r="AB61" s="185" t="e">
        <f aca="false">SQRT((AA61^2*(A61-$D$3)+Z61^2*(DAY(EOMONTH(A61,0))/2))/AK61)</f>
        <v>#N/A</v>
      </c>
      <c r="AC61" s="185" t="e">
        <f aca="false">IF($A62="","",VLOOKUP($A61,Table,MATCH(AC$4,Curves,0)))</f>
        <v>#N/A</v>
      </c>
      <c r="AD61" s="185" t="e">
        <f aca="false">IF($A62="","",VLOOKUP($A61,Table,MATCH(AD$4,Curves,0)))</f>
        <v>#N/A</v>
      </c>
      <c r="AE61" s="185" t="e">
        <f aca="false">SQRT((AD61^2*(A61-$D$3)+AC61^2*(DAY(EOMONTH(A61,0))/2))/AK61)</f>
        <v>#N/A</v>
      </c>
      <c r="AF61" s="206" t="e">
        <f aca="false">((Summary!$N$12*(AA61*AD61)*(A61-$D$3))+(Summary!$M$12*Z61*AC61*(AJ61-EOMONTH(EDATE(A61,-1),0))))/(AK61*AB61*AE61)</f>
        <v>#N/A</v>
      </c>
      <c r="AG61" s="207" t="n">
        <f aca="false">IF($A62="","",Summary!$Q$12)</f>
        <v>0</v>
      </c>
      <c r="AH61" s="207" t="n">
        <f aca="false">IF($A62="","",IF(Summary!$R$12="Y",(VLOOKUP($A61,Summary!$AD$6:$AF$9,3)+'Escalating commodity'!H74),'Escalating commodity'!H74))</f>
        <v>0.029</v>
      </c>
      <c r="AI61" s="207" t="n">
        <f aca="false">IF($A62="","",AH61)</f>
        <v>0.029</v>
      </c>
      <c r="AJ61" s="208" t="n">
        <f aca="false">A61+DAY(EOMONTH(A61,0))/2-1</f>
        <v>38610</v>
      </c>
      <c r="AK61" s="209" t="n">
        <f aca="false">IF($A62="","",$A61-$E$1)</f>
        <v>-7330</v>
      </c>
      <c r="AL61" s="182" t="e">
        <f aca="false">IF($A62="","",SPRDOPT(P61,X61,AI61,0,AB61,AE61,AF61,AK61,$AJ$2,0))</f>
        <v>#NAME?</v>
      </c>
      <c r="AM61" s="211" t="e">
        <f aca="false">IF($A62="","",MAX(0,O61-W61-AI61))</f>
        <v>#N/A</v>
      </c>
      <c r="AN61" s="211" t="e">
        <f aca="false">IF($A62="","",AL61-AM61)</f>
        <v>#N/A</v>
      </c>
      <c r="AO61" s="137" t="n">
        <f aca="false">IF(A62="","",A62-A61)</f>
        <v>30</v>
      </c>
      <c r="AP61" s="212" t="n">
        <f aca="false">IF(A62="","",CHOOSE(F$3,A62+24,A61))</f>
        <v>38596</v>
      </c>
      <c r="AQ61" s="209" t="n">
        <f aca="false">IF(A62="","",AP61-$E$1)</f>
        <v>-7330</v>
      </c>
      <c r="AR61" s="185" t="n">
        <f aca="false">'ANR OK vs ML7'!AR61</f>
        <v>0.1</v>
      </c>
      <c r="AS61" s="213" t="n">
        <f aca="false">IF(A62="","",1/(1+CHOOSE(F$3,(AR62+($I$3/10000))/2,(AR61+($I$3/10000))/2))^(2*AQ61/365.25))</f>
        <v>7.08716623758362</v>
      </c>
      <c r="AT61" s="137" t="n">
        <f aca="false">IF(A62="","",IF(AND(mthbeg&lt;=A61,mthend&gt;=A61),1,0))</f>
        <v>1</v>
      </c>
      <c r="AU61" s="137" t="n">
        <f aca="false">IF(A62="","",AO61*AT61)</f>
        <v>30</v>
      </c>
      <c r="AW61" s="195" t="e">
        <f aca="false">IF($A62="","",AL61*$E61)</f>
        <v>#NAME?</v>
      </c>
      <c r="AX61" s="195" t="e">
        <f aca="false">IF($A62="","",AM61*$E61)</f>
        <v>#N/A</v>
      </c>
      <c r="AY61" s="195" t="e">
        <f aca="false">IF($A62="","",AN61*$E61)</f>
        <v>#N/A</v>
      </c>
      <c r="BA61" s="195" t="n">
        <f aca="false">IF($A62="","",F61*Summary!$Q$12)</f>
        <v>0</v>
      </c>
      <c r="BC61" s="179" t="e">
        <f aca="false">IF(A62="","",AM61*F61)</f>
        <v>#N/A</v>
      </c>
    </row>
    <row r="62" customFormat="false" ht="12.75" hidden="false" customHeight="false" outlineLevel="0" collapsed="false">
      <c r="A62" s="196" t="n">
        <f aca="false">IF(A61&lt;mthend,EDATE(A61,1),"")</f>
        <v>38626</v>
      </c>
      <c r="B62" s="197" t="n">
        <f aca="false">IF(A62&lt;mthend,B61,"")</f>
        <v>36522</v>
      </c>
      <c r="C62" s="215"/>
      <c r="D62" s="197" t="n">
        <f aca="false">IF(A63&lt;&gt;"",B62+C62,"")</f>
        <v>36522</v>
      </c>
      <c r="E62" s="199" t="n">
        <f aca="false">IF(A63="","",IF(AND(AT62=1,$H$3=1),D62*AO62,IF($H$3=2,D62,"N/A")))</f>
        <v>1132182</v>
      </c>
      <c r="F62" s="199" t="n">
        <f aca="false">IF(A63="","",E62*AS62)</f>
        <v>7959908.53431539</v>
      </c>
      <c r="G62" s="200" t="e">
        <f aca="false">IF($A63="","",VLOOKUP($A62,Table,MATCH(G$4,Curves,0)))</f>
        <v>#N/A</v>
      </c>
      <c r="H62" s="201" t="e">
        <f aca="false">IF(A63="","",G62)</f>
        <v>#N/A</v>
      </c>
      <c r="I62" s="202"/>
      <c r="J62" s="200" t="e">
        <f aca="false">IF($A63="","",VLOOKUP($A62,Table,MATCH(J$4,Curves,0)))</f>
        <v>#N/A</v>
      </c>
      <c r="K62" s="201" t="e">
        <f aca="false">IF(A63="","",J62)</f>
        <v>#N/A</v>
      </c>
      <c r="L62" s="200" t="e">
        <f aca="false">IF($A63="","",VLOOKUP($A62,Table,MATCH(L$4,Curves,0)))</f>
        <v>#N/A</v>
      </c>
      <c r="M62" s="201" t="e">
        <f aca="false">IF(A63="","",L62)</f>
        <v>#N/A</v>
      </c>
      <c r="N62" s="203"/>
      <c r="O62" s="200" t="e">
        <f aca="false">IF(A63="","",L62+J62+G62)</f>
        <v>#N/A</v>
      </c>
      <c r="P62" s="200" t="e">
        <f aca="false">IF(A63="","",M62+K62+H62)</f>
        <v>#N/A</v>
      </c>
      <c r="Q62" s="204"/>
      <c r="R62" s="200" t="e">
        <f aca="false">IF($A63="","",VLOOKUP($A62,Table,MATCH(R$4,Curves,0)))</f>
        <v>#N/A</v>
      </c>
      <c r="S62" s="201" t="e">
        <f aca="false">IF(A63="","",R62)</f>
        <v>#N/A</v>
      </c>
      <c r="T62" s="200" t="e">
        <f aca="false">IF($A63="","",VLOOKUP($A62,Table,MATCH(T$4,Curves,0)))</f>
        <v>#N/A</v>
      </c>
      <c r="U62" s="201" t="e">
        <f aca="false">IF(A63="","",T62)</f>
        <v>#N/A</v>
      </c>
      <c r="V62" s="225" t="e">
        <f aca="false">IF($A63="","",IF(AND(MONTH(A62)&gt;3,MONTH(A62)&lt;11),(T62+R62+G62)*(((1/(1-Summary!$T$12))/(1-Summary!$W$12))-1),(T62+R62+G62)*((1/(1-Summary!$U$12))/(1-Summary!$X$12)-1)))</f>
        <v>#N/A</v>
      </c>
      <c r="W62" s="200" t="e">
        <f aca="false">IF($A63="","",(T62+R62+G62+V62))</f>
        <v>#N/A</v>
      </c>
      <c r="X62" s="200" t="e">
        <f aca="false">IF($A63="","",(U62+S62+H62+V62))</f>
        <v>#N/A</v>
      </c>
      <c r="Y62" s="202"/>
      <c r="Z62" s="185" t="e">
        <f aca="false">IF($A63="","",VLOOKUP($A62,Table,MATCH(Z$4,Curves,0)))</f>
        <v>#N/A</v>
      </c>
      <c r="AA62" s="185" t="e">
        <f aca="false">IF($A63="","",VLOOKUP($A62,Table,MATCH(AA$4,Curves,0)))</f>
        <v>#N/A</v>
      </c>
      <c r="AB62" s="185" t="e">
        <f aca="false">SQRT((AA62^2*(A62-$D$3)+Z62^2*(DAY(EOMONTH(A62,0))/2))/AK62)</f>
        <v>#N/A</v>
      </c>
      <c r="AC62" s="185" t="e">
        <f aca="false">IF($A63="","",VLOOKUP($A62,Table,MATCH(AC$4,Curves,0)))</f>
        <v>#N/A</v>
      </c>
      <c r="AD62" s="185" t="e">
        <f aca="false">IF($A63="","",VLOOKUP($A62,Table,MATCH(AD$4,Curves,0)))</f>
        <v>#N/A</v>
      </c>
      <c r="AE62" s="185" t="e">
        <f aca="false">SQRT((AD62^2*(A62-$D$3)+AC62^2*(DAY(EOMONTH(A62,0))/2))/AK62)</f>
        <v>#N/A</v>
      </c>
      <c r="AF62" s="206" t="e">
        <f aca="false">((Summary!$N$12*(AA62*AD62)*(A62-$D$3))+(Summary!$M$12*Z62*AC62*(AJ62-EOMONTH(EDATE(A62,-1),0))))/(AK62*AB62*AE62)</f>
        <v>#N/A</v>
      </c>
      <c r="AG62" s="207" t="n">
        <f aca="false">IF($A63="","",Summary!$Q$12)</f>
        <v>0</v>
      </c>
      <c r="AH62" s="207" t="n">
        <f aca="false">IF($A63="","",IF(Summary!$R$12="Y",(VLOOKUP($A62,Summary!$AD$6:$AF$9,3)+'Escalating commodity'!H75),'Escalating commodity'!H75))</f>
        <v>0.029</v>
      </c>
      <c r="AI62" s="207" t="n">
        <f aca="false">IF($A63="","",AH62)</f>
        <v>0.029</v>
      </c>
      <c r="AJ62" s="208" t="n">
        <f aca="false">A62+DAY(EOMONTH(A62,0))/2-1</f>
        <v>38640.5</v>
      </c>
      <c r="AK62" s="209" t="n">
        <f aca="false">IF($A63="","",$A62-$E$1)</f>
        <v>-7300</v>
      </c>
      <c r="AL62" s="182" t="e">
        <f aca="false">IF($A63="","",SPRDOPT(P62,X62,AI62,0,AB62,AE62,AF62,AK62,$AJ$2,0))</f>
        <v>#NAME?</v>
      </c>
      <c r="AM62" s="211" t="e">
        <f aca="false">IF($A63="","",MAX(0,O62-W62-AI62))</f>
        <v>#N/A</v>
      </c>
      <c r="AN62" s="211" t="e">
        <f aca="false">IF($A63="","",AL62-AM62)</f>
        <v>#N/A</v>
      </c>
      <c r="AO62" s="137" t="n">
        <f aca="false">IF(A63="","",A63-A62)</f>
        <v>31</v>
      </c>
      <c r="AP62" s="212" t="n">
        <f aca="false">IF(A63="","",CHOOSE(F$3,A63+24,A62))</f>
        <v>38626</v>
      </c>
      <c r="AQ62" s="209" t="n">
        <f aca="false">IF(A63="","",AP62-$E$1)</f>
        <v>-7300</v>
      </c>
      <c r="AR62" s="185" t="n">
        <f aca="false">'ANR OK vs ML7'!AR62</f>
        <v>0.1</v>
      </c>
      <c r="AS62" s="213" t="n">
        <f aca="false">IF(A63="","",1/(1+CHOOSE(F$3,(AR63+($I$3/10000))/2,(AR62+($I$3/10000))/2))^(2*AQ62/365.25))</f>
        <v>7.03059096003592</v>
      </c>
      <c r="AT62" s="137" t="n">
        <f aca="false">IF(A63="","",IF(AND(mthbeg&lt;=A62,mthend&gt;=A62),1,0))</f>
        <v>1</v>
      </c>
      <c r="AU62" s="137" t="n">
        <f aca="false">IF(A63="","",AO62*AT62)</f>
        <v>31</v>
      </c>
      <c r="AW62" s="195" t="e">
        <f aca="false">IF($A63="","",AL62*$E62)</f>
        <v>#NAME?</v>
      </c>
      <c r="AX62" s="195" t="e">
        <f aca="false">IF($A63="","",AM62*$E62)</f>
        <v>#N/A</v>
      </c>
      <c r="AY62" s="195" t="e">
        <f aca="false">IF($A63="","",AN62*$E62)</f>
        <v>#N/A</v>
      </c>
      <c r="BA62" s="195" t="n">
        <f aca="false">IF($A63="","",F62*Summary!$Q$12)</f>
        <v>0</v>
      </c>
      <c r="BC62" s="179" t="e">
        <f aca="false">IF(A63="","",AM62*F62)</f>
        <v>#N/A</v>
      </c>
    </row>
    <row r="63" customFormat="false" ht="12.75" hidden="false" customHeight="false" outlineLevel="0" collapsed="false">
      <c r="A63" s="196" t="n">
        <f aca="false">IF(A62&lt;mthend,EDATE(A62,1),"")</f>
        <v>38657</v>
      </c>
      <c r="B63" s="197" t="n">
        <f aca="false">IF(A63&lt;mthend,B62,"")</f>
        <v>36522</v>
      </c>
      <c r="C63" s="215"/>
      <c r="D63" s="197" t="n">
        <f aca="false">IF(A64&lt;&gt;"",B63+C63,"")</f>
        <v>36522</v>
      </c>
      <c r="E63" s="199" t="n">
        <f aca="false">IF(A64="","",IF(AND(AT63=1,$H$3=1),D63*AO63,IF($H$3=2,D63,"N/A")))</f>
        <v>1095660</v>
      </c>
      <c r="F63" s="199" t="n">
        <f aca="false">IF(A64="","",E63*AS63)</f>
        <v>7639603.58125615</v>
      </c>
      <c r="G63" s="200" t="e">
        <f aca="false">IF($A64="","",VLOOKUP($A63,Table,MATCH(G$4,Curves,0)))</f>
        <v>#N/A</v>
      </c>
      <c r="H63" s="201" t="e">
        <f aca="false">IF(A64="","",G63)</f>
        <v>#N/A</v>
      </c>
      <c r="I63" s="202"/>
      <c r="J63" s="200" t="e">
        <f aca="false">IF($A64="","",VLOOKUP($A63,Table,MATCH(J$4,Curves,0)))</f>
        <v>#N/A</v>
      </c>
      <c r="K63" s="201" t="e">
        <f aca="false">IF(A64="","",J63)</f>
        <v>#N/A</v>
      </c>
      <c r="L63" s="200" t="e">
        <f aca="false">IF($A64="","",VLOOKUP($A63,Table,MATCH(L$4,Curves,0)))</f>
        <v>#N/A</v>
      </c>
      <c r="M63" s="201" t="e">
        <f aca="false">IF(A64="","",L63)</f>
        <v>#N/A</v>
      </c>
      <c r="N63" s="203"/>
      <c r="O63" s="200" t="e">
        <f aca="false">IF(A64="","",L63+J63+G63)</f>
        <v>#N/A</v>
      </c>
      <c r="P63" s="200" t="e">
        <f aca="false">IF(A64="","",M63+K63+H63)</f>
        <v>#N/A</v>
      </c>
      <c r="Q63" s="204"/>
      <c r="R63" s="200" t="e">
        <f aca="false">IF($A64="","",VLOOKUP($A63,Table,MATCH(R$4,Curves,0)))</f>
        <v>#N/A</v>
      </c>
      <c r="S63" s="201" t="e">
        <f aca="false">IF(A64="","",R63)</f>
        <v>#N/A</v>
      </c>
      <c r="T63" s="200" t="e">
        <f aca="false">IF($A64="","",VLOOKUP($A63,Table,MATCH(T$4,Curves,0)))</f>
        <v>#N/A</v>
      </c>
      <c r="U63" s="201" t="e">
        <f aca="false">IF(A64="","",T63)</f>
        <v>#N/A</v>
      </c>
      <c r="V63" s="225" t="e">
        <f aca="false">IF($A64="","",IF(AND(MONTH(A63)&gt;3,MONTH(A63)&lt;11),(T63+R63+G63)*(((1/(1-Summary!$T$12))/(1-Summary!$W$12))-1),(T63+R63+G63)*((1/(1-Summary!$U$12))/(1-Summary!$X$12)-1)))</f>
        <v>#N/A</v>
      </c>
      <c r="W63" s="200" t="e">
        <f aca="false">IF($A64="","",(T63+R63+G63+V63))</f>
        <v>#N/A</v>
      </c>
      <c r="X63" s="200" t="e">
        <f aca="false">IF($A64="","",(U63+S63+H63+V63))</f>
        <v>#N/A</v>
      </c>
      <c r="Y63" s="202"/>
      <c r="Z63" s="185" t="e">
        <f aca="false">IF($A64="","",VLOOKUP($A63,Table,MATCH(Z$4,Curves,0)))</f>
        <v>#N/A</v>
      </c>
      <c r="AA63" s="185" t="e">
        <f aca="false">IF($A64="","",VLOOKUP($A63,Table,MATCH(AA$4,Curves,0)))</f>
        <v>#N/A</v>
      </c>
      <c r="AB63" s="185" t="e">
        <f aca="false">SQRT((AA63^2*(A63-$D$3)+Z63^2*(DAY(EOMONTH(A63,0))/2))/AK63)</f>
        <v>#N/A</v>
      </c>
      <c r="AC63" s="185" t="e">
        <f aca="false">IF($A64="","",VLOOKUP($A63,Table,MATCH(AC$4,Curves,0)))</f>
        <v>#N/A</v>
      </c>
      <c r="AD63" s="185" t="e">
        <f aca="false">IF($A64="","",VLOOKUP($A63,Table,MATCH(AD$4,Curves,0)))</f>
        <v>#N/A</v>
      </c>
      <c r="AE63" s="185" t="e">
        <f aca="false">SQRT((AD63^2*(A63-$D$3)+AC63^2*(DAY(EOMONTH(A63,0))/2))/AK63)</f>
        <v>#N/A</v>
      </c>
      <c r="AF63" s="206" t="e">
        <f aca="false">((Summary!$N$12*(AA63*AD63)*(A63-$D$3))+(Summary!$M$12*Z63*AC63*(AJ63-EOMONTH(EDATE(A63,-1),0))))/(AK63*AB63*AE63)</f>
        <v>#N/A</v>
      </c>
      <c r="AG63" s="207" t="n">
        <f aca="false">IF($A64="","",Summary!$Q$12)</f>
        <v>0</v>
      </c>
      <c r="AH63" s="207" t="n">
        <f aca="false">IF($A64="","",IF(Summary!$R$12="Y",(VLOOKUP($A63,Summary!$AD$6:$AF$9,3)+'Escalating commodity'!H76),'Escalating commodity'!H76))</f>
        <v>0.029</v>
      </c>
      <c r="AI63" s="207" t="n">
        <f aca="false">IF($A64="","",AH63)</f>
        <v>0.029</v>
      </c>
      <c r="AJ63" s="208" t="n">
        <f aca="false">A63+DAY(EOMONTH(A63,0))/2-1</f>
        <v>38671</v>
      </c>
      <c r="AK63" s="209" t="n">
        <f aca="false">IF($A64="","",$A63-$E$1)</f>
        <v>-7269</v>
      </c>
      <c r="AL63" s="182" t="e">
        <f aca="false">IF($A64="","",SPRDOPT(P63,X63,AI63,0,AB63,AE63,AF63,AK63,$AJ$2,0))</f>
        <v>#NAME?</v>
      </c>
      <c r="AM63" s="211" t="e">
        <f aca="false">IF($A64="","",MAX(0,O63-W63-AI63))</f>
        <v>#N/A</v>
      </c>
      <c r="AN63" s="211" t="e">
        <f aca="false">IF($A64="","",AL63-AM63)</f>
        <v>#N/A</v>
      </c>
      <c r="AO63" s="137" t="n">
        <f aca="false">IF(A64="","",A64-A63)</f>
        <v>30</v>
      </c>
      <c r="AP63" s="212" t="n">
        <f aca="false">IF(A64="","",CHOOSE(F$3,A64+24,A63))</f>
        <v>38657</v>
      </c>
      <c r="AQ63" s="209" t="n">
        <f aca="false">IF(A64="","",AP63-$E$1)</f>
        <v>-7269</v>
      </c>
      <c r="AR63" s="185" t="n">
        <f aca="false">'ANR OK vs ML7'!AR63</f>
        <v>0.1</v>
      </c>
      <c r="AS63" s="213" t="n">
        <f aca="false">IF(A64="","",1/(1+CHOOSE(F$3,(AR64+($I$3/10000))/2,(AR63+($I$3/10000))/2))^(2*AQ63/365.25))</f>
        <v>6.97260425794147</v>
      </c>
      <c r="AT63" s="137" t="n">
        <f aca="false">IF(A64="","",IF(AND(mthbeg&lt;=A63,mthend&gt;=A63),1,0))</f>
        <v>1</v>
      </c>
      <c r="AU63" s="137" t="n">
        <f aca="false">IF(A64="","",AO63*AT63)</f>
        <v>30</v>
      </c>
      <c r="AW63" s="195" t="e">
        <f aca="false">IF($A64="","",AL63*$E63)</f>
        <v>#NAME?</v>
      </c>
      <c r="AX63" s="195" t="e">
        <f aca="false">IF($A64="","",AM63*$E63)</f>
        <v>#N/A</v>
      </c>
      <c r="AY63" s="195" t="e">
        <f aca="false">IF($A64="","",AN63*$E63)</f>
        <v>#N/A</v>
      </c>
      <c r="BA63" s="195" t="n">
        <f aca="false">IF($A64="","",F63*Summary!$Q$12)</f>
        <v>0</v>
      </c>
      <c r="BC63" s="179" t="e">
        <f aca="false">IF(A64="","",AM63*F63)</f>
        <v>#N/A</v>
      </c>
    </row>
    <row r="64" customFormat="false" ht="12.75" hidden="false" customHeight="false" outlineLevel="0" collapsed="false">
      <c r="A64" s="196" t="n">
        <f aca="false">IF(A63&lt;mthend,EDATE(A63,1),"")</f>
        <v>38687</v>
      </c>
      <c r="B64" s="197" t="n">
        <f aca="false">IF(A64&lt;mthend,B63,"")</f>
        <v>36522</v>
      </c>
      <c r="C64" s="215"/>
      <c r="D64" s="197" t="n">
        <f aca="false">IF(A65&lt;&gt;"",B64+C64,"")</f>
        <v>36522</v>
      </c>
      <c r="E64" s="199" t="n">
        <f aca="false">IF(A65="","",IF(AND(AT64=1,$H$3=1),D64*AO64,IF($H$3=2,D64,"N/A")))</f>
        <v>1132182</v>
      </c>
      <c r="F64" s="199" t="n">
        <f aca="false">IF(A65="","",E64*AS64)</f>
        <v>7831238.92944204</v>
      </c>
      <c r="G64" s="200" t="e">
        <f aca="false">IF($A65="","",VLOOKUP($A64,Table,MATCH(G$4,Curves,0)))</f>
        <v>#N/A</v>
      </c>
      <c r="H64" s="201" t="e">
        <f aca="false">IF(A65="","",G64)</f>
        <v>#N/A</v>
      </c>
      <c r="I64" s="202"/>
      <c r="J64" s="200" t="e">
        <f aca="false">IF($A65="","",VLOOKUP($A64,Table,MATCH(J$4,Curves,0)))</f>
        <v>#N/A</v>
      </c>
      <c r="K64" s="201" t="e">
        <f aca="false">IF(A65="","",J64)</f>
        <v>#N/A</v>
      </c>
      <c r="L64" s="200" t="e">
        <f aca="false">IF($A65="","",VLOOKUP($A64,Table,MATCH(L$4,Curves,0)))</f>
        <v>#N/A</v>
      </c>
      <c r="M64" s="201" t="e">
        <f aca="false">IF(A65="","",L64)</f>
        <v>#N/A</v>
      </c>
      <c r="N64" s="203"/>
      <c r="O64" s="200" t="e">
        <f aca="false">IF(A65="","",L64+J64+G64)</f>
        <v>#N/A</v>
      </c>
      <c r="P64" s="200" t="e">
        <f aca="false">IF(A65="","",M64+K64+H64)</f>
        <v>#N/A</v>
      </c>
      <c r="Q64" s="204"/>
      <c r="R64" s="200" t="e">
        <f aca="false">IF($A65="","",VLOOKUP($A64,Table,MATCH(R$4,Curves,0)))</f>
        <v>#N/A</v>
      </c>
      <c r="S64" s="201" t="e">
        <f aca="false">IF(A65="","",R64)</f>
        <v>#N/A</v>
      </c>
      <c r="T64" s="200" t="e">
        <f aca="false">IF($A65="","",VLOOKUP($A64,Table,MATCH(T$4,Curves,0)))</f>
        <v>#N/A</v>
      </c>
      <c r="U64" s="201" t="e">
        <f aca="false">IF(A65="","",T64)</f>
        <v>#N/A</v>
      </c>
      <c r="V64" s="225" t="e">
        <f aca="false">IF($A65="","",IF(AND(MONTH(A64)&gt;3,MONTH(A64)&lt;11),(T64+R64+G64)*(((1/(1-Summary!$T$12))/(1-Summary!$W$12))-1),(T64+R64+G64)*((1/(1-Summary!$U$12))/(1-Summary!$X$12)-1)))</f>
        <v>#N/A</v>
      </c>
      <c r="W64" s="200" t="e">
        <f aca="false">IF($A65="","",(T64+R64+G64+V64))</f>
        <v>#N/A</v>
      </c>
      <c r="X64" s="200" t="e">
        <f aca="false">IF($A65="","",(U64+S64+H64+V64))</f>
        <v>#N/A</v>
      </c>
      <c r="Y64" s="202"/>
      <c r="Z64" s="185" t="e">
        <f aca="false">IF($A65="","",VLOOKUP($A64,Table,MATCH(Z$4,Curves,0)))</f>
        <v>#N/A</v>
      </c>
      <c r="AA64" s="185" t="e">
        <f aca="false">IF($A65="","",VLOOKUP($A64,Table,MATCH(AA$4,Curves,0)))</f>
        <v>#N/A</v>
      </c>
      <c r="AB64" s="185" t="e">
        <f aca="false">SQRT((AA64^2*(A64-$D$3)+Z64^2*(DAY(EOMONTH(A64,0))/2))/AK64)</f>
        <v>#N/A</v>
      </c>
      <c r="AC64" s="185" t="e">
        <f aca="false">IF($A65="","",VLOOKUP($A64,Table,MATCH(AC$4,Curves,0)))</f>
        <v>#N/A</v>
      </c>
      <c r="AD64" s="185" t="e">
        <f aca="false">IF($A65="","",VLOOKUP($A64,Table,MATCH(AD$4,Curves,0)))</f>
        <v>#N/A</v>
      </c>
      <c r="AE64" s="185" t="e">
        <f aca="false">SQRT((AD64^2*(A64-$D$3)+AC64^2*(DAY(EOMONTH(A64,0))/2))/AK64)</f>
        <v>#N/A</v>
      </c>
      <c r="AF64" s="206" t="e">
        <f aca="false">((Summary!$N$12*(AA64*AD64)*(A64-$D$3))+(Summary!$M$12*Z64*AC64*(AJ64-EOMONTH(EDATE(A64,-1),0))))/(AK64*AB64*AE64)</f>
        <v>#N/A</v>
      </c>
      <c r="AG64" s="207" t="n">
        <f aca="false">IF($A65="","",Summary!$Q$12)</f>
        <v>0</v>
      </c>
      <c r="AH64" s="207" t="n">
        <f aca="false">IF($A65="","",IF(Summary!$R$12="Y",(VLOOKUP($A64,Summary!$AD$6:$AF$9,3)+'Escalating commodity'!H77),'Escalating commodity'!H77))</f>
        <v>0.029</v>
      </c>
      <c r="AI64" s="207" t="n">
        <f aca="false">IF($A65="","",AH64)</f>
        <v>0.029</v>
      </c>
      <c r="AJ64" s="208" t="n">
        <f aca="false">A64+DAY(EOMONTH(A64,0))/2-1</f>
        <v>38701.5</v>
      </c>
      <c r="AK64" s="209" t="n">
        <f aca="false">IF($A65="","",$A64-$E$1)</f>
        <v>-7239</v>
      </c>
      <c r="AL64" s="182" t="e">
        <f aca="false">IF($A65="","",SPRDOPT(P64,X64,AI64,0,AB64,AE64,AF64,AK64,$AJ$2,0))</f>
        <v>#NAME?</v>
      </c>
      <c r="AM64" s="211" t="e">
        <f aca="false">IF($A65="","",MAX(0,O64-W64-AI64))</f>
        <v>#N/A</v>
      </c>
      <c r="AN64" s="211" t="e">
        <f aca="false">IF($A65="","",AL64-AM64)</f>
        <v>#N/A</v>
      </c>
      <c r="AO64" s="137" t="n">
        <f aca="false">IF(A65="","",A65-A64)</f>
        <v>31</v>
      </c>
      <c r="AP64" s="212" t="n">
        <f aca="false">IF(A65="","",CHOOSE(F$3,A65+24,A64))</f>
        <v>38687</v>
      </c>
      <c r="AQ64" s="209" t="n">
        <f aca="false">IF(A65="","",AP64-$E$1)</f>
        <v>-7239</v>
      </c>
      <c r="AR64" s="185" t="n">
        <f aca="false">'ANR OK vs ML7'!AR64</f>
        <v>0.1</v>
      </c>
      <c r="AS64" s="213" t="n">
        <f aca="false">IF(A65="","",1/(1+CHOOSE(F$3,(AR65+($I$3/10000))/2,(AR64+($I$3/10000))/2))^(2*AQ64/365.25))</f>
        <v>6.91694350329014</v>
      </c>
      <c r="AT64" s="137" t="n">
        <f aca="false">IF(A65="","",IF(AND(mthbeg&lt;=A64,mthend&gt;=A64),1,0))</f>
        <v>1</v>
      </c>
      <c r="AU64" s="137" t="n">
        <f aca="false">IF(A65="","",AO64*AT64)</f>
        <v>31</v>
      </c>
      <c r="AW64" s="195" t="e">
        <f aca="false">IF($A65="","",AL64*$E64)</f>
        <v>#NAME?</v>
      </c>
      <c r="AX64" s="195" t="e">
        <f aca="false">IF($A65="","",AM64*$E64)</f>
        <v>#N/A</v>
      </c>
      <c r="AY64" s="195" t="e">
        <f aca="false">IF($A65="","",AN64*$E64)</f>
        <v>#N/A</v>
      </c>
      <c r="BA64" s="195" t="n">
        <f aca="false">IF($A65="","",F64*Summary!$Q$12)</f>
        <v>0</v>
      </c>
      <c r="BC64" s="179" t="e">
        <f aca="false">IF(A65="","",AM64*F64)</f>
        <v>#N/A</v>
      </c>
    </row>
    <row r="65" customFormat="false" ht="12.75" hidden="false" customHeight="false" outlineLevel="0" collapsed="false">
      <c r="A65" s="196" t="n">
        <f aca="false">IF(A64&lt;mthend,EDATE(A64,1),"")</f>
        <v>38718</v>
      </c>
      <c r="B65" s="197" t="n">
        <f aca="false">IF(A65&lt;mthend,B64,"")</f>
        <v>36522</v>
      </c>
      <c r="C65" s="215"/>
      <c r="D65" s="197" t="n">
        <f aca="false">IF(A66&lt;&gt;"",B65+C65,"")</f>
        <v>36522</v>
      </c>
      <c r="E65" s="199" t="n">
        <f aca="false">IF(A66="","",IF(AND(AT65=1,$H$3=1),D65*AO65,IF($H$3=2,D65,"N/A")))</f>
        <v>1132182</v>
      </c>
      <c r="F65" s="199" t="n">
        <f aca="false">IF(A66="","",E65*AS65)</f>
        <v>7766648.66648786</v>
      </c>
      <c r="G65" s="200" t="e">
        <f aca="false">IF($A66="","",VLOOKUP($A65,Table,MATCH(G$4,Curves,0)))</f>
        <v>#N/A</v>
      </c>
      <c r="H65" s="201" t="e">
        <f aca="false">IF(A66="","",G65)</f>
        <v>#N/A</v>
      </c>
      <c r="I65" s="202"/>
      <c r="J65" s="200" t="e">
        <f aca="false">IF($A66="","",VLOOKUP($A65,Table,MATCH(J$4,Curves,0)))</f>
        <v>#N/A</v>
      </c>
      <c r="K65" s="201" t="e">
        <f aca="false">IF(A66="","",J65)</f>
        <v>#N/A</v>
      </c>
      <c r="L65" s="200" t="e">
        <f aca="false">IF($A66="","",VLOOKUP($A65,Table,MATCH(L$4,Curves,0)))</f>
        <v>#N/A</v>
      </c>
      <c r="M65" s="201" t="e">
        <f aca="false">IF(A66="","",L65)</f>
        <v>#N/A</v>
      </c>
      <c r="N65" s="203"/>
      <c r="O65" s="200" t="e">
        <f aca="false">IF(A66="","",L65+J65+G65)</f>
        <v>#N/A</v>
      </c>
      <c r="P65" s="200" t="e">
        <f aca="false">IF(A66="","",M65+K65+H65)</f>
        <v>#N/A</v>
      </c>
      <c r="Q65" s="204"/>
      <c r="R65" s="200" t="e">
        <f aca="false">IF($A66="","",VLOOKUP($A65,Table,MATCH(R$4,Curves,0)))</f>
        <v>#N/A</v>
      </c>
      <c r="S65" s="201" t="e">
        <f aca="false">IF(A66="","",R65)</f>
        <v>#N/A</v>
      </c>
      <c r="T65" s="200" t="e">
        <f aca="false">IF($A66="","",VLOOKUP($A65,Table,MATCH(T$4,Curves,0)))</f>
        <v>#N/A</v>
      </c>
      <c r="U65" s="201" t="e">
        <f aca="false">IF(A66="","",T65)</f>
        <v>#N/A</v>
      </c>
      <c r="V65" s="225" t="e">
        <f aca="false">IF($A66="","",IF(AND(MONTH(A65)&gt;3,MONTH(A65)&lt;11),(T65+R65+G65)*(((1/(1-Summary!$T$12))/(1-Summary!$W$12))-1),(T65+R65+G65)*((1/(1-Summary!$U$12))/(1-Summary!$X$12)-1)))</f>
        <v>#N/A</v>
      </c>
      <c r="W65" s="200" t="e">
        <f aca="false">IF($A66="","",(T65+R65+G65+V65))</f>
        <v>#N/A</v>
      </c>
      <c r="X65" s="200" t="e">
        <f aca="false">IF($A66="","",(U65+S65+H65+V65))</f>
        <v>#N/A</v>
      </c>
      <c r="Y65" s="202"/>
      <c r="Z65" s="185" t="e">
        <f aca="false">IF($A66="","",VLOOKUP($A65,Table,MATCH(Z$4,Curves,0)))</f>
        <v>#N/A</v>
      </c>
      <c r="AA65" s="185" t="e">
        <f aca="false">IF($A66="","",VLOOKUP($A65,Table,MATCH(AA$4,Curves,0)))</f>
        <v>#N/A</v>
      </c>
      <c r="AB65" s="185" t="e">
        <f aca="false">SQRT((AA65^2*(A65-$D$3)+Z65^2*(DAY(EOMONTH(A65,0))/2))/AK65)</f>
        <v>#N/A</v>
      </c>
      <c r="AC65" s="185" t="e">
        <f aca="false">IF($A66="","",VLOOKUP($A65,Table,MATCH(AC$4,Curves,0)))</f>
        <v>#N/A</v>
      </c>
      <c r="AD65" s="185" t="e">
        <f aca="false">IF($A66="","",VLOOKUP($A65,Table,MATCH(AD$4,Curves,0)))</f>
        <v>#N/A</v>
      </c>
      <c r="AE65" s="185" t="e">
        <f aca="false">SQRT((AD65^2*(A65-$D$3)+AC65^2*(DAY(EOMONTH(A65,0))/2))/AK65)</f>
        <v>#N/A</v>
      </c>
      <c r="AF65" s="206" t="e">
        <f aca="false">((Summary!$N$12*(AA65*AD65)*(A65-$D$3))+(Summary!$M$12*Z65*AC65*(AJ65-EOMONTH(EDATE(A65,-1),0))))/(AK65*AB65*AE65)</f>
        <v>#N/A</v>
      </c>
      <c r="AG65" s="207" t="n">
        <f aca="false">IF($A66="","",Summary!$Q$12)</f>
        <v>0</v>
      </c>
      <c r="AH65" s="207" t="n">
        <f aca="false">IF($A66="","",IF(Summary!$R$12="Y",(VLOOKUP($A65,Summary!$AD$6:$AF$9,3)+'Escalating commodity'!H78),'Escalating commodity'!H78))</f>
        <v>0.029</v>
      </c>
      <c r="AI65" s="207" t="n">
        <f aca="false">IF($A66="","",AH65)</f>
        <v>0.029</v>
      </c>
      <c r="AJ65" s="208" t="n">
        <f aca="false">A65+DAY(EOMONTH(A65,0))/2-1</f>
        <v>38732.5</v>
      </c>
      <c r="AK65" s="209" t="n">
        <f aca="false">IF($A66="","",$A65-$E$1)</f>
        <v>-7208</v>
      </c>
      <c r="AL65" s="182" t="e">
        <f aca="false">IF($A66="","",SPRDOPT(P65,X65,AI65,0,AB65,AE65,AF65,AK65,$AJ$2,0))</f>
        <v>#NAME?</v>
      </c>
      <c r="AM65" s="211" t="e">
        <f aca="false">IF($A66="","",MAX(0,O65-W65-AI65))</f>
        <v>#N/A</v>
      </c>
      <c r="AN65" s="211" t="e">
        <f aca="false">IF($A66="","",AL65-AM65)</f>
        <v>#N/A</v>
      </c>
      <c r="AO65" s="137" t="n">
        <f aca="false">IF(A66="","",A66-A65)</f>
        <v>31</v>
      </c>
      <c r="AP65" s="212" t="n">
        <f aca="false">IF(A66="","",CHOOSE(F$3,A66+24,A65))</f>
        <v>38718</v>
      </c>
      <c r="AQ65" s="209" t="n">
        <f aca="false">IF(A66="","",AP65-$E$1)</f>
        <v>-7208</v>
      </c>
      <c r="AR65" s="185" t="n">
        <f aca="false">'ANR OK vs ML7'!AR65</f>
        <v>0.1</v>
      </c>
      <c r="AS65" s="213" t="n">
        <f aca="false">IF(A66="","",1/(1+CHOOSE(F$3,(AR66+($I$3/10000))/2,(AR65+($I$3/10000))/2))^(2*AQ65/365.25))</f>
        <v>6.85989413935909</v>
      </c>
      <c r="AT65" s="137" t="n">
        <f aca="false">IF(A66="","",IF(AND(mthbeg&lt;=A65,mthend&gt;=A65),1,0))</f>
        <v>1</v>
      </c>
      <c r="AU65" s="137" t="n">
        <f aca="false">IF(A66="","",AO65*AT65)</f>
        <v>31</v>
      </c>
      <c r="AW65" s="195" t="e">
        <f aca="false">IF($A66="","",AL65*$E65)</f>
        <v>#NAME?</v>
      </c>
      <c r="AX65" s="195" t="e">
        <f aca="false">IF($A66="","",AM65*$E65)</f>
        <v>#N/A</v>
      </c>
      <c r="AY65" s="195" t="e">
        <f aca="false">IF($A66="","",AN65*$E65)</f>
        <v>#N/A</v>
      </c>
      <c r="BA65" s="195" t="n">
        <f aca="false">IF($A66="","",F65*Summary!$Q$12)</f>
        <v>0</v>
      </c>
      <c r="BC65" s="179" t="e">
        <f aca="false">IF(A66="","",AM65*F65)</f>
        <v>#N/A</v>
      </c>
    </row>
    <row r="66" customFormat="false" ht="12.75" hidden="false" customHeight="false" outlineLevel="0" collapsed="false">
      <c r="A66" s="196" t="n">
        <f aca="false">IF(A65&lt;mthend,EDATE(A65,1),"")</f>
        <v>38749</v>
      </c>
      <c r="B66" s="197" t="n">
        <f aca="false">IF(A66&lt;mthend,B65,"")</f>
        <v>36522</v>
      </c>
      <c r="C66" s="215"/>
      <c r="D66" s="197" t="n">
        <f aca="false">IF(A67&lt;&gt;"",B66+C66,"")</f>
        <v>36522</v>
      </c>
      <c r="E66" s="199" t="n">
        <f aca="false">IF(A67="","",IF(AND(AT66=1,$H$3=1),D66*AO66,IF($H$3=2,D66,"N/A")))</f>
        <v>1022616</v>
      </c>
      <c r="F66" s="199" t="n">
        <f aca="false">IF(A67="","",E66*AS66)</f>
        <v>6957179.08444928</v>
      </c>
      <c r="G66" s="200" t="e">
        <f aca="false">IF($A67="","",VLOOKUP($A66,Table,MATCH(G$4,Curves,0)))</f>
        <v>#N/A</v>
      </c>
      <c r="H66" s="201" t="e">
        <f aca="false">IF(A67="","",G66)</f>
        <v>#N/A</v>
      </c>
      <c r="I66" s="202"/>
      <c r="J66" s="200" t="e">
        <f aca="false">IF($A67="","",VLOOKUP($A66,Table,MATCH(J$4,Curves,0)))</f>
        <v>#N/A</v>
      </c>
      <c r="K66" s="201" t="e">
        <f aca="false">IF(A67="","",J66)</f>
        <v>#N/A</v>
      </c>
      <c r="L66" s="200" t="e">
        <f aca="false">IF($A67="","",VLOOKUP($A66,Table,MATCH(L$4,Curves,0)))</f>
        <v>#N/A</v>
      </c>
      <c r="M66" s="201" t="e">
        <f aca="false">IF(A67="","",L66)</f>
        <v>#N/A</v>
      </c>
      <c r="N66" s="203"/>
      <c r="O66" s="200" t="e">
        <f aca="false">IF(A67="","",L66+J66+G66)</f>
        <v>#N/A</v>
      </c>
      <c r="P66" s="200" t="e">
        <f aca="false">IF(A67="","",M66+K66+H66)</f>
        <v>#N/A</v>
      </c>
      <c r="Q66" s="204"/>
      <c r="R66" s="200" t="e">
        <f aca="false">IF($A67="","",VLOOKUP($A66,Table,MATCH(R$4,Curves,0)))</f>
        <v>#N/A</v>
      </c>
      <c r="S66" s="201" t="e">
        <f aca="false">IF(A67="","",R66)</f>
        <v>#N/A</v>
      </c>
      <c r="T66" s="200" t="e">
        <f aca="false">IF($A67="","",VLOOKUP($A66,Table,MATCH(T$4,Curves,0)))</f>
        <v>#N/A</v>
      </c>
      <c r="U66" s="201" t="e">
        <f aca="false">IF(A67="","",T66)</f>
        <v>#N/A</v>
      </c>
      <c r="V66" s="225" t="e">
        <f aca="false">IF($A67="","",IF(AND(MONTH(A66)&gt;3,MONTH(A66)&lt;11),(T66+R66+G66)*(((1/(1-Summary!$T$12))/(1-Summary!$W$12))-1),(T66+R66+G66)*((1/(1-Summary!$U$12))/(1-Summary!$X$12)-1)))</f>
        <v>#N/A</v>
      </c>
      <c r="W66" s="200" t="e">
        <f aca="false">IF($A67="","",(T66+R66+G66+V66))</f>
        <v>#N/A</v>
      </c>
      <c r="X66" s="200" t="e">
        <f aca="false">IF($A67="","",(U66+S66+H66+V66))</f>
        <v>#N/A</v>
      </c>
      <c r="Y66" s="202"/>
      <c r="Z66" s="185" t="e">
        <f aca="false">IF($A67="","",VLOOKUP($A66,Table,MATCH(Z$4,Curves,0)))</f>
        <v>#N/A</v>
      </c>
      <c r="AA66" s="185" t="e">
        <f aca="false">IF($A67="","",VLOOKUP($A66,Table,MATCH(AA$4,Curves,0)))</f>
        <v>#N/A</v>
      </c>
      <c r="AB66" s="185" t="e">
        <f aca="false">SQRT((AA66^2*(A66-$D$3)+Z66^2*(DAY(EOMONTH(A66,0))/2))/AK66)</f>
        <v>#N/A</v>
      </c>
      <c r="AC66" s="185" t="e">
        <f aca="false">IF($A67="","",VLOOKUP($A66,Table,MATCH(AC$4,Curves,0)))</f>
        <v>#N/A</v>
      </c>
      <c r="AD66" s="185" t="e">
        <f aca="false">IF($A67="","",VLOOKUP($A66,Table,MATCH(AD$4,Curves,0)))</f>
        <v>#N/A</v>
      </c>
      <c r="AE66" s="185" t="e">
        <f aca="false">SQRT((AD66^2*(A66-$D$3)+AC66^2*(DAY(EOMONTH(A66,0))/2))/AK66)</f>
        <v>#N/A</v>
      </c>
      <c r="AF66" s="206" t="e">
        <f aca="false">((Summary!$N$12*(AA66*AD66)*(A66-$D$3))+(Summary!$M$12*Z66*AC66*(AJ66-EOMONTH(EDATE(A66,-1),0))))/(AK66*AB66*AE66)</f>
        <v>#N/A</v>
      </c>
      <c r="AG66" s="207" t="n">
        <f aca="false">IF($A67="","",Summary!$Q$12)</f>
        <v>0</v>
      </c>
      <c r="AH66" s="207" t="n">
        <f aca="false">IF($A67="","",IF(Summary!$R$12="Y",(VLOOKUP($A66,Summary!$AD$6:$AF$9,3)+'Escalating commodity'!H79),'Escalating commodity'!H79))</f>
        <v>0.029</v>
      </c>
      <c r="AI66" s="207" t="n">
        <f aca="false">IF($A67="","",AH66)</f>
        <v>0.029</v>
      </c>
      <c r="AJ66" s="208" t="n">
        <f aca="false">A66+DAY(EOMONTH(A66,0))/2-1</f>
        <v>38762</v>
      </c>
      <c r="AK66" s="209" t="n">
        <f aca="false">IF($A67="","",$A66-$E$1)</f>
        <v>-7177</v>
      </c>
      <c r="AL66" s="182" t="e">
        <f aca="false">IF($A67="","",SPRDOPT(P66,X66,AI66,0,AB66,AE66,AF66,AK66,$AJ$2,0))</f>
        <v>#NAME?</v>
      </c>
      <c r="AM66" s="211" t="e">
        <f aca="false">IF($A67="","",MAX(0,O66-W66-AI66))</f>
        <v>#N/A</v>
      </c>
      <c r="AN66" s="211" t="e">
        <f aca="false">IF($A67="","",AL66-AM66)</f>
        <v>#N/A</v>
      </c>
      <c r="AO66" s="137" t="n">
        <f aca="false">IF(A67="","",A67-A66)</f>
        <v>28</v>
      </c>
      <c r="AP66" s="212" t="n">
        <f aca="false">IF(A67="","",CHOOSE(F$3,A67+24,A66))</f>
        <v>38749</v>
      </c>
      <c r="AQ66" s="209" t="n">
        <f aca="false">IF(A67="","",AP66-$E$1)</f>
        <v>-7177</v>
      </c>
      <c r="AR66" s="185" t="n">
        <f aca="false">'ANR OK vs ML7'!AR66</f>
        <v>0.1</v>
      </c>
      <c r="AS66" s="213" t="n">
        <f aca="false">IF(A67="","",1/(1+CHOOSE(F$3,(AR67+($I$3/10000))/2,(AR66+($I$3/10000))/2))^(2*AQ66/365.25))</f>
        <v>6.80331530550009</v>
      </c>
      <c r="AT66" s="137" t="n">
        <f aca="false">IF(A67="","",IF(AND(mthbeg&lt;=A66,mthend&gt;=A66),1,0))</f>
        <v>1</v>
      </c>
      <c r="AU66" s="137" t="n">
        <f aca="false">IF(A67="","",AO66*AT66)</f>
        <v>28</v>
      </c>
      <c r="AW66" s="195" t="e">
        <f aca="false">IF($A67="","",AL66*$E66)</f>
        <v>#NAME?</v>
      </c>
      <c r="AX66" s="195" t="e">
        <f aca="false">IF($A67="","",AM66*$E66)</f>
        <v>#N/A</v>
      </c>
      <c r="AY66" s="195" t="e">
        <f aca="false">IF($A67="","",AN66*$E66)</f>
        <v>#N/A</v>
      </c>
      <c r="BA66" s="195" t="n">
        <f aca="false">IF($A67="","",F66*Summary!$Q$12)</f>
        <v>0</v>
      </c>
      <c r="BC66" s="179" t="e">
        <f aca="false">IF(A67="","",AM66*F66)</f>
        <v>#N/A</v>
      </c>
    </row>
    <row r="67" customFormat="false" ht="12.75" hidden="false" customHeight="false" outlineLevel="0" collapsed="false">
      <c r="A67" s="196" t="n">
        <f aca="false">IF(A66&lt;mthend,EDATE(A66,1),"")</f>
        <v>38777</v>
      </c>
      <c r="B67" s="197" t="n">
        <f aca="false">IF(A67&lt;mthend,B66,"")</f>
        <v>36522</v>
      </c>
      <c r="C67" s="215"/>
      <c r="D67" s="197" t="n">
        <f aca="false">IF(A68&lt;&gt;"",B67+C67,"")</f>
        <v>36522</v>
      </c>
      <c r="E67" s="199" t="n">
        <f aca="false">IF(A68="","",IF(AND(AT67=1,$H$3=1),D67*AO67,IF($H$3=2,D67,"N/A")))</f>
        <v>1132182</v>
      </c>
      <c r="F67" s="199" t="n">
        <f aca="false">IF(A68="","",E67*AS67)</f>
        <v>7645186.94206036</v>
      </c>
      <c r="G67" s="200" t="e">
        <f aca="false">IF($A68="","",VLOOKUP($A67,Table,MATCH(G$4,Curves,0)))</f>
        <v>#N/A</v>
      </c>
      <c r="H67" s="201" t="e">
        <f aca="false">IF(A68="","",G67)</f>
        <v>#N/A</v>
      </c>
      <c r="I67" s="202"/>
      <c r="J67" s="200" t="e">
        <f aca="false">IF($A68="","",VLOOKUP($A67,Table,MATCH(J$4,Curves,0)))</f>
        <v>#N/A</v>
      </c>
      <c r="K67" s="201" t="e">
        <f aca="false">IF(A68="","",J67)</f>
        <v>#N/A</v>
      </c>
      <c r="L67" s="200" t="e">
        <f aca="false">IF($A68="","",VLOOKUP($A67,Table,MATCH(L$4,Curves,0)))</f>
        <v>#N/A</v>
      </c>
      <c r="M67" s="201" t="e">
        <f aca="false">IF(A68="","",L67)</f>
        <v>#N/A</v>
      </c>
      <c r="N67" s="203"/>
      <c r="O67" s="200" t="e">
        <f aca="false">IF(A68="","",L67+J67+G67)</f>
        <v>#N/A</v>
      </c>
      <c r="P67" s="200" t="e">
        <f aca="false">IF(A68="","",M67+K67+H67)</f>
        <v>#N/A</v>
      </c>
      <c r="Q67" s="204"/>
      <c r="R67" s="200" t="e">
        <f aca="false">IF($A68="","",VLOOKUP($A67,Table,MATCH(R$4,Curves,0)))</f>
        <v>#N/A</v>
      </c>
      <c r="S67" s="201" t="e">
        <f aca="false">IF(A68="","",R67)</f>
        <v>#N/A</v>
      </c>
      <c r="T67" s="200" t="e">
        <f aca="false">IF($A68="","",VLOOKUP($A67,Table,MATCH(T$4,Curves,0)))</f>
        <v>#N/A</v>
      </c>
      <c r="U67" s="201" t="e">
        <f aca="false">IF(A68="","",T67)</f>
        <v>#N/A</v>
      </c>
      <c r="V67" s="225" t="e">
        <f aca="false">IF($A68="","",IF(AND(MONTH(A67)&gt;3,MONTH(A67)&lt;11),(T67+R67+G67)*(((1/(1-Summary!$T$12))/(1-Summary!$W$12))-1),(T67+R67+G67)*((1/(1-Summary!$U$12))/(1-Summary!$X$12)-1)))</f>
        <v>#N/A</v>
      </c>
      <c r="W67" s="200" t="e">
        <f aca="false">IF($A68="","",(T67+R67+G67+V67))</f>
        <v>#N/A</v>
      </c>
      <c r="X67" s="200" t="e">
        <f aca="false">IF($A68="","",(U67+S67+H67+V67))</f>
        <v>#N/A</v>
      </c>
      <c r="Y67" s="202"/>
      <c r="Z67" s="185" t="e">
        <f aca="false">IF($A68="","",VLOOKUP($A67,Table,MATCH(Z$4,Curves,0)))</f>
        <v>#N/A</v>
      </c>
      <c r="AA67" s="185" t="e">
        <f aca="false">IF($A68="","",VLOOKUP($A67,Table,MATCH(AA$4,Curves,0)))</f>
        <v>#N/A</v>
      </c>
      <c r="AB67" s="185" t="e">
        <f aca="false">SQRT((AA67^2*(A67-$D$3)+Z67^2*(DAY(EOMONTH(A67,0))/2))/AK67)</f>
        <v>#N/A</v>
      </c>
      <c r="AC67" s="185" t="e">
        <f aca="false">IF($A68="","",VLOOKUP($A67,Table,MATCH(AC$4,Curves,0)))</f>
        <v>#N/A</v>
      </c>
      <c r="AD67" s="185" t="e">
        <f aca="false">IF($A68="","",VLOOKUP($A67,Table,MATCH(AD$4,Curves,0)))</f>
        <v>#N/A</v>
      </c>
      <c r="AE67" s="185" t="e">
        <f aca="false">SQRT((AD67^2*(A67-$D$3)+AC67^2*(DAY(EOMONTH(A67,0))/2))/AK67)</f>
        <v>#N/A</v>
      </c>
      <c r="AF67" s="206" t="e">
        <f aca="false">((Summary!$N$12*(AA67*AD67)*(A67-$D$3))+(Summary!$M$12*Z67*AC67*(AJ67-EOMONTH(EDATE(A67,-1),0))))/(AK67*AB67*AE67)</f>
        <v>#N/A</v>
      </c>
      <c r="AG67" s="207" t="n">
        <f aca="false">IF($A68="","",Summary!$Q$12)</f>
        <v>0</v>
      </c>
      <c r="AH67" s="207" t="n">
        <f aca="false">IF($A68="","",IF(Summary!$R$12="Y",(VLOOKUP($A67,Summary!$AD$6:$AF$9,3)+'Escalating commodity'!H80),'Escalating commodity'!H80))</f>
        <v>0.029</v>
      </c>
      <c r="AI67" s="207" t="n">
        <f aca="false">IF($A68="","",AH67)</f>
        <v>0.029</v>
      </c>
      <c r="AJ67" s="208" t="n">
        <f aca="false">A67+DAY(EOMONTH(A67,0))/2-1</f>
        <v>38791.5</v>
      </c>
      <c r="AK67" s="209" t="n">
        <f aca="false">IF($A68="","",$A67-$E$1)</f>
        <v>-7149</v>
      </c>
      <c r="AL67" s="182" t="e">
        <f aca="false">IF($A68="","",SPRDOPT(P67,X67,AI67,0,AB67,AE67,AF67,AK67,$AJ$2,0))</f>
        <v>#NAME?</v>
      </c>
      <c r="AM67" s="211" t="e">
        <f aca="false">IF($A68="","",MAX(0,O67-W67-AI67))</f>
        <v>#N/A</v>
      </c>
      <c r="AN67" s="211" t="e">
        <f aca="false">IF($A68="","",AL67-AM67)</f>
        <v>#N/A</v>
      </c>
      <c r="AO67" s="137" t="n">
        <f aca="false">IF(A68="","",A68-A67)</f>
        <v>31</v>
      </c>
      <c r="AP67" s="212" t="n">
        <f aca="false">IF(A68="","",CHOOSE(F$3,A68+24,A67))</f>
        <v>38777</v>
      </c>
      <c r="AQ67" s="209" t="n">
        <f aca="false">IF(A68="","",AP67-$E$1)</f>
        <v>-7149</v>
      </c>
      <c r="AR67" s="185" t="n">
        <f aca="false">'ANR OK vs ML7'!AR67</f>
        <v>0.1</v>
      </c>
      <c r="AS67" s="213" t="n">
        <f aca="false">IF(A68="","",1/(1+CHOOSE(F$3,(AR68+($I$3/10000))/2,(AR67+($I$3/10000))/2))^(2*AQ67/365.25))</f>
        <v>6.75261304459915</v>
      </c>
      <c r="AT67" s="137" t="n">
        <f aca="false">IF(A68="","",IF(AND(mthbeg&lt;=A67,mthend&gt;=A67),1,0))</f>
        <v>1</v>
      </c>
      <c r="AU67" s="137" t="n">
        <f aca="false">IF(A68="","",AO67*AT67)</f>
        <v>31</v>
      </c>
      <c r="AW67" s="195" t="e">
        <f aca="false">IF($A68="","",AL67*$E67)</f>
        <v>#NAME?</v>
      </c>
      <c r="AX67" s="195" t="e">
        <f aca="false">IF($A68="","",AM67*$E67)</f>
        <v>#N/A</v>
      </c>
      <c r="AY67" s="195" t="e">
        <f aca="false">IF($A68="","",AN67*$E67)</f>
        <v>#N/A</v>
      </c>
      <c r="BA67" s="195" t="n">
        <f aca="false">IF($A68="","",F67*Summary!$Q$12)</f>
        <v>0</v>
      </c>
      <c r="BC67" s="179" t="e">
        <f aca="false">IF(A68="","",AM67*F67)</f>
        <v>#N/A</v>
      </c>
    </row>
    <row r="68" customFormat="false" ht="12.75" hidden="false" customHeight="false" outlineLevel="0" collapsed="false">
      <c r="A68" s="196" t="n">
        <f aca="false">IF(A67&lt;mthend,EDATE(A67,1),"")</f>
        <v>38808</v>
      </c>
      <c r="B68" s="197" t="n">
        <f aca="false">IF(A68&lt;mthend,B67,"")</f>
        <v>36522</v>
      </c>
      <c r="C68" s="215"/>
      <c r="D68" s="197" t="n">
        <f aca="false">IF(A69&lt;&gt;"",B68+C68,"")</f>
        <v>36522</v>
      </c>
      <c r="E68" s="199" t="n">
        <f aca="false">IF(A69="","",IF(AND(AT68=1,$H$3=1),D68*AO68,IF($H$3=2,D68,"N/A")))</f>
        <v>1095660</v>
      </c>
      <c r="F68" s="199" t="n">
        <f aca="false">IF(A69="","",E68*AS68)</f>
        <v>7337546.31603445</v>
      </c>
      <c r="G68" s="200" t="e">
        <f aca="false">IF($A69="","",VLOOKUP($A68,Table,MATCH(G$4,Curves,0)))</f>
        <v>#N/A</v>
      </c>
      <c r="H68" s="201" t="e">
        <f aca="false">IF(A69="","",G68)</f>
        <v>#N/A</v>
      </c>
      <c r="I68" s="202"/>
      <c r="J68" s="200" t="e">
        <f aca="false">IF($A69="","",VLOOKUP($A68,Table,MATCH(J$4,Curves,0)))</f>
        <v>#N/A</v>
      </c>
      <c r="K68" s="201" t="e">
        <f aca="false">IF(A69="","",J68)</f>
        <v>#N/A</v>
      </c>
      <c r="L68" s="200" t="e">
        <f aca="false">IF($A69="","",VLOOKUP($A68,Table,MATCH(L$4,Curves,0)))</f>
        <v>#N/A</v>
      </c>
      <c r="M68" s="201" t="e">
        <f aca="false">IF(A69="","",L68)</f>
        <v>#N/A</v>
      </c>
      <c r="N68" s="203"/>
      <c r="O68" s="200" t="e">
        <f aca="false">IF(A69="","",L68+J68+G68)</f>
        <v>#N/A</v>
      </c>
      <c r="P68" s="200" t="e">
        <f aca="false">IF(A69="","",M68+K68+H68)</f>
        <v>#N/A</v>
      </c>
      <c r="Q68" s="204"/>
      <c r="R68" s="200" t="e">
        <f aca="false">IF($A69="","",VLOOKUP($A68,Table,MATCH(R$4,Curves,0)))</f>
        <v>#N/A</v>
      </c>
      <c r="S68" s="201" t="e">
        <f aca="false">IF(A69="","",R68)</f>
        <v>#N/A</v>
      </c>
      <c r="T68" s="200" t="e">
        <f aca="false">IF($A69="","",VLOOKUP($A68,Table,MATCH(T$4,Curves,0)))</f>
        <v>#N/A</v>
      </c>
      <c r="U68" s="201" t="e">
        <f aca="false">IF(A69="","",T68)</f>
        <v>#N/A</v>
      </c>
      <c r="V68" s="225" t="e">
        <f aca="false">IF($A69="","",IF(AND(MONTH(A68)&gt;3,MONTH(A68)&lt;11),(T68+R68+G68)*(((1/(1-Summary!$T$12))/(1-Summary!$W$12))-1),(T68+R68+G68)*((1/(1-Summary!$U$12))/(1-Summary!$X$12)-1)))</f>
        <v>#N/A</v>
      </c>
      <c r="W68" s="200" t="e">
        <f aca="false">IF($A69="","",(T68+R68+G68+V68))</f>
        <v>#N/A</v>
      </c>
      <c r="X68" s="200" t="e">
        <f aca="false">IF($A69="","",(U68+S68+H68+V68))</f>
        <v>#N/A</v>
      </c>
      <c r="Y68" s="202"/>
      <c r="Z68" s="185" t="e">
        <f aca="false">IF($A69="","",VLOOKUP($A68,Table,MATCH(Z$4,Curves,0)))</f>
        <v>#N/A</v>
      </c>
      <c r="AA68" s="185" t="e">
        <f aca="false">IF($A69="","",VLOOKUP($A68,Table,MATCH(AA$4,Curves,0)))</f>
        <v>#N/A</v>
      </c>
      <c r="AB68" s="185" t="e">
        <f aca="false">SQRT((AA68^2*(A68-$D$3)+Z68^2*(DAY(EOMONTH(A68,0))/2))/AK68)</f>
        <v>#N/A</v>
      </c>
      <c r="AC68" s="185" t="e">
        <f aca="false">IF($A69="","",VLOOKUP($A68,Table,MATCH(AC$4,Curves,0)))</f>
        <v>#N/A</v>
      </c>
      <c r="AD68" s="185" t="e">
        <f aca="false">IF($A69="","",VLOOKUP($A68,Table,MATCH(AD$4,Curves,0)))</f>
        <v>#N/A</v>
      </c>
      <c r="AE68" s="185" t="e">
        <f aca="false">SQRT((AD68^2*(A68-$D$3)+AC68^2*(DAY(EOMONTH(A68,0))/2))/AK68)</f>
        <v>#N/A</v>
      </c>
      <c r="AF68" s="206" t="e">
        <f aca="false">((Summary!$N$12*(AA68*AD68)*(A68-$D$3))+(Summary!$M$12*Z68*AC68*(AJ68-EOMONTH(EDATE(A68,-1),0))))/(AK68*AB68*AE68)</f>
        <v>#N/A</v>
      </c>
      <c r="AG68" s="207" t="n">
        <f aca="false">IF($A69="","",Summary!$Q$12)</f>
        <v>0</v>
      </c>
      <c r="AH68" s="207" t="n">
        <f aca="false">IF($A69="","",IF(Summary!$R$12="Y",(VLOOKUP($A68,Summary!$AD$6:$AF$9,3)+'Escalating commodity'!H81),'Escalating commodity'!H81))</f>
        <v>0.029</v>
      </c>
      <c r="AI68" s="207" t="n">
        <f aca="false">IF($A69="","",AH68)</f>
        <v>0.029</v>
      </c>
      <c r="AJ68" s="208" t="n">
        <f aca="false">A68+DAY(EOMONTH(A68,0))/2-1</f>
        <v>38822</v>
      </c>
      <c r="AK68" s="209" t="n">
        <f aca="false">IF($A69="","",$A68-$E$1)</f>
        <v>-7118</v>
      </c>
      <c r="AL68" s="182" t="e">
        <f aca="false">IF($A69="","",SPRDOPT(P68,X68,AI68,0,AB68,AE68,AF68,AK68,$AJ$2,0))</f>
        <v>#NAME?</v>
      </c>
      <c r="AM68" s="211" t="e">
        <f aca="false">IF($A69="","",MAX(0,O68-W68-AI68))</f>
        <v>#N/A</v>
      </c>
      <c r="AN68" s="211" t="e">
        <f aca="false">IF($A69="","",AL68-AM68)</f>
        <v>#N/A</v>
      </c>
      <c r="AO68" s="137" t="n">
        <f aca="false">IF(A69="","",A69-A68)</f>
        <v>30</v>
      </c>
      <c r="AP68" s="212" t="n">
        <f aca="false">IF(A69="","",CHOOSE(F$3,A69+24,A68))</f>
        <v>38808</v>
      </c>
      <c r="AQ68" s="209" t="n">
        <f aca="false">IF(A69="","",AP68-$E$1)</f>
        <v>-7118</v>
      </c>
      <c r="AR68" s="185" t="n">
        <f aca="false">'ANR OK vs ML7'!AR68</f>
        <v>0.1</v>
      </c>
      <c r="AS68" s="213" t="n">
        <f aca="false">IF(A69="","",1/(1+CHOOSE(F$3,(AR69+($I$3/10000))/2,(AR68+($I$3/10000))/2))^(2*AQ68/365.25))</f>
        <v>6.69691904060972</v>
      </c>
      <c r="AT68" s="137" t="n">
        <f aca="false">IF(A69="","",IF(AND(mthbeg&lt;=A68,mthend&gt;=A68),1,0))</f>
        <v>1</v>
      </c>
      <c r="AU68" s="137" t="n">
        <f aca="false">IF(A69="","",AO68*AT68)</f>
        <v>30</v>
      </c>
      <c r="AW68" s="195" t="e">
        <f aca="false">IF($A69="","",AL68*$E68)</f>
        <v>#NAME?</v>
      </c>
      <c r="AX68" s="195" t="e">
        <f aca="false">IF($A69="","",AM68*$E68)</f>
        <v>#N/A</v>
      </c>
      <c r="AY68" s="195" t="e">
        <f aca="false">IF($A69="","",AN68*$E68)</f>
        <v>#N/A</v>
      </c>
      <c r="BA68" s="195" t="n">
        <f aca="false">IF($A69="","",F68*Summary!$Q$12)</f>
        <v>0</v>
      </c>
      <c r="BC68" s="179" t="e">
        <f aca="false">IF(A69="","",AM68*F68)</f>
        <v>#N/A</v>
      </c>
    </row>
    <row r="69" customFormat="false" ht="12.75" hidden="false" customHeight="false" outlineLevel="0" collapsed="false">
      <c r="A69" s="196" t="n">
        <f aca="false">IF(A68&lt;mthend,EDATE(A68,1),"")</f>
        <v>38838</v>
      </c>
      <c r="B69" s="197" t="n">
        <f aca="false">IF(A69&lt;mthend,B68,"")</f>
        <v>36522</v>
      </c>
      <c r="C69" s="215"/>
      <c r="D69" s="197" t="n">
        <f aca="false">IF(A70&lt;&gt;"",B69+C69,"")</f>
        <v>36522</v>
      </c>
      <c r="E69" s="199" t="n">
        <f aca="false">IF(A70="","",IF(AND(AT69=1,$H$3=1),D69*AO69,IF($H$3=2,D69,"N/A")))</f>
        <v>1132182</v>
      </c>
      <c r="F69" s="199" t="n">
        <f aca="false">IF(A70="","",E69*AS69)</f>
        <v>7521604.72013193</v>
      </c>
      <c r="G69" s="200" t="e">
        <f aca="false">IF($A70="","",VLOOKUP($A69,Table,MATCH(G$4,Curves,0)))</f>
        <v>#N/A</v>
      </c>
      <c r="H69" s="201" t="e">
        <f aca="false">IF(A70="","",G69)</f>
        <v>#N/A</v>
      </c>
      <c r="I69" s="202"/>
      <c r="J69" s="200" t="e">
        <f aca="false">IF($A70="","",VLOOKUP($A69,Table,MATCH(J$4,Curves,0)))</f>
        <v>#N/A</v>
      </c>
      <c r="K69" s="201" t="e">
        <f aca="false">IF(A70="","",J69)</f>
        <v>#N/A</v>
      </c>
      <c r="L69" s="200" t="e">
        <f aca="false">IF($A70="","",VLOOKUP($A69,Table,MATCH(L$4,Curves,0)))</f>
        <v>#N/A</v>
      </c>
      <c r="M69" s="201" t="e">
        <f aca="false">IF(A70="","",L69)</f>
        <v>#N/A</v>
      </c>
      <c r="N69" s="203"/>
      <c r="O69" s="200" t="e">
        <f aca="false">IF(A70="","",L69+J69+G69)</f>
        <v>#N/A</v>
      </c>
      <c r="P69" s="200" t="e">
        <f aca="false">IF(A70="","",M69+K69+H69)</f>
        <v>#N/A</v>
      </c>
      <c r="Q69" s="204"/>
      <c r="R69" s="200" t="e">
        <f aca="false">IF($A70="","",VLOOKUP($A69,Table,MATCH(R$4,Curves,0)))</f>
        <v>#N/A</v>
      </c>
      <c r="S69" s="201" t="e">
        <f aca="false">IF(A70="","",R69)</f>
        <v>#N/A</v>
      </c>
      <c r="T69" s="200" t="e">
        <f aca="false">IF($A70="","",VLOOKUP($A69,Table,MATCH(T$4,Curves,0)))</f>
        <v>#N/A</v>
      </c>
      <c r="U69" s="201" t="e">
        <f aca="false">IF(A70="","",T69)</f>
        <v>#N/A</v>
      </c>
      <c r="V69" s="225" t="e">
        <f aca="false">IF($A70="","",IF(AND(MONTH(A69)&gt;3,MONTH(A69)&lt;11),(T69+R69+G69)*(((1/(1-Summary!$T$12))/(1-Summary!$W$12))-1),(T69+R69+G69)*((1/(1-Summary!$U$12))/(1-Summary!$X$12)-1)))</f>
        <v>#N/A</v>
      </c>
      <c r="W69" s="200" t="e">
        <f aca="false">IF($A70="","",(T69+R69+G69+V69))</f>
        <v>#N/A</v>
      </c>
      <c r="X69" s="200" t="e">
        <f aca="false">IF($A70="","",(U69+S69+H69+V69))</f>
        <v>#N/A</v>
      </c>
      <c r="Y69" s="202"/>
      <c r="Z69" s="185" t="e">
        <f aca="false">IF($A70="","",VLOOKUP($A69,Table,MATCH(Z$4,Curves,0)))</f>
        <v>#N/A</v>
      </c>
      <c r="AA69" s="185" t="e">
        <f aca="false">IF($A70="","",VLOOKUP($A69,Table,MATCH(AA$4,Curves,0)))</f>
        <v>#N/A</v>
      </c>
      <c r="AB69" s="185" t="e">
        <f aca="false">SQRT((AA69^2*(A69-$D$3)+Z69^2*(DAY(EOMONTH(A69,0))/2))/AK69)</f>
        <v>#N/A</v>
      </c>
      <c r="AC69" s="185" t="e">
        <f aca="false">IF($A70="","",VLOOKUP($A69,Table,MATCH(AC$4,Curves,0)))</f>
        <v>#N/A</v>
      </c>
      <c r="AD69" s="185" t="e">
        <f aca="false">IF($A70="","",VLOOKUP($A69,Table,MATCH(AD$4,Curves,0)))</f>
        <v>#N/A</v>
      </c>
      <c r="AE69" s="185" t="e">
        <f aca="false">SQRT((AD69^2*(A69-$D$3)+AC69^2*(DAY(EOMONTH(A69,0))/2))/AK69)</f>
        <v>#N/A</v>
      </c>
      <c r="AF69" s="206" t="e">
        <f aca="false">((Summary!$N$12*(AA69*AD69)*(A69-$D$3))+(Summary!$M$12*Z69*AC69*(AJ69-EOMONTH(EDATE(A69,-1),0))))/(AK69*AB69*AE69)</f>
        <v>#N/A</v>
      </c>
      <c r="AG69" s="207" t="n">
        <f aca="false">IF($A70="","",Summary!$Q$12)</f>
        <v>0</v>
      </c>
      <c r="AH69" s="207" t="n">
        <f aca="false">IF($A70="","",IF(Summary!$R$12="Y",(VLOOKUP($A69,Summary!$AD$6:$AF$9,3)+'Escalating commodity'!H82),'Escalating commodity'!H82))</f>
        <v>0.029</v>
      </c>
      <c r="AI69" s="207" t="n">
        <f aca="false">IF($A70="","",AH69)</f>
        <v>0.029</v>
      </c>
      <c r="AJ69" s="208" t="n">
        <f aca="false">A69+DAY(EOMONTH(A69,0))/2-1</f>
        <v>38852.5</v>
      </c>
      <c r="AK69" s="209" t="n">
        <f aca="false">IF($A70="","",$A69-$E$1)</f>
        <v>-7088</v>
      </c>
      <c r="AL69" s="182" t="e">
        <f aca="false">IF($A70="","",SPRDOPT(P69,X69,AI69,0,AB69,AE69,AF69,AK69,$AJ$2,0))</f>
        <v>#NAME?</v>
      </c>
      <c r="AM69" s="211" t="e">
        <f aca="false">IF($A70="","",MAX(0,O69-W69-AI69))</f>
        <v>#N/A</v>
      </c>
      <c r="AN69" s="211" t="e">
        <f aca="false">IF($A70="","",AL69-AM69)</f>
        <v>#N/A</v>
      </c>
      <c r="AO69" s="137" t="n">
        <f aca="false">IF(A70="","",A70-A69)</f>
        <v>31</v>
      </c>
      <c r="AP69" s="212" t="n">
        <f aca="false">IF(A70="","",CHOOSE(F$3,A70+24,A69))</f>
        <v>38838</v>
      </c>
      <c r="AQ69" s="209" t="n">
        <f aca="false">IF(A70="","",AP69-$E$1)</f>
        <v>-7088</v>
      </c>
      <c r="AR69" s="185" t="n">
        <f aca="false">'ANR OK vs ML7'!AR69</f>
        <v>0.1</v>
      </c>
      <c r="AS69" s="213" t="n">
        <f aca="false">IF(A70="","",1/(1+CHOOSE(F$3,(AR70+($I$3/10000))/2,(AR69+($I$3/10000))/2))^(2*AQ69/365.25))</f>
        <v>6.64345901995609</v>
      </c>
      <c r="AT69" s="137" t="n">
        <f aca="false">IF(A70="","",IF(AND(mthbeg&lt;=A69,mthend&gt;=A69),1,0))</f>
        <v>1</v>
      </c>
      <c r="AU69" s="137" t="n">
        <f aca="false">IF(A70="","",AO69*AT69)</f>
        <v>31</v>
      </c>
      <c r="AW69" s="195" t="e">
        <f aca="false">IF($A70="","",AL69*$E69)</f>
        <v>#NAME?</v>
      </c>
      <c r="AX69" s="195" t="e">
        <f aca="false">IF($A70="","",AM69*$E69)</f>
        <v>#N/A</v>
      </c>
      <c r="AY69" s="195" t="e">
        <f aca="false">IF($A70="","",AN69*$E69)</f>
        <v>#N/A</v>
      </c>
      <c r="BA69" s="195" t="n">
        <f aca="false">IF($A70="","",F69*Summary!$Q$12)</f>
        <v>0</v>
      </c>
      <c r="BC69" s="179" t="e">
        <f aca="false">IF(A70="","",AM69*F69)</f>
        <v>#N/A</v>
      </c>
    </row>
    <row r="70" customFormat="false" ht="12.75" hidden="false" customHeight="false" outlineLevel="0" collapsed="false">
      <c r="A70" s="196" t="n">
        <f aca="false">IF(A69&lt;mthend,EDATE(A69,1),"")</f>
        <v>38869</v>
      </c>
      <c r="B70" s="197" t="n">
        <f aca="false">IF(A70&lt;mthend,B69,"")</f>
        <v>36522</v>
      </c>
      <c r="C70" s="215"/>
      <c r="D70" s="197" t="n">
        <f aca="false">IF(A71&lt;&gt;"",B70+C70,"")</f>
        <v>36522</v>
      </c>
      <c r="E70" s="199" t="n">
        <f aca="false">IF(A71="","",IF(AND(AT70=1,$H$3=1),D70*AO70,IF($H$3=2,D70,"N/A")))</f>
        <v>1095660</v>
      </c>
      <c r="F70" s="199" t="n">
        <f aca="false">IF(A71="","",E70*AS70)</f>
        <v>7218937.01529262</v>
      </c>
      <c r="G70" s="200" t="e">
        <f aca="false">IF($A71="","",VLOOKUP($A70,Table,MATCH(G$4,Curves,0)))</f>
        <v>#N/A</v>
      </c>
      <c r="H70" s="201" t="e">
        <f aca="false">IF(A71="","",G70)</f>
        <v>#N/A</v>
      </c>
      <c r="I70" s="202"/>
      <c r="J70" s="200" t="e">
        <f aca="false">IF($A71="","",VLOOKUP($A70,Table,MATCH(J$4,Curves,0)))</f>
        <v>#N/A</v>
      </c>
      <c r="K70" s="201" t="e">
        <f aca="false">IF(A71="","",J70)</f>
        <v>#N/A</v>
      </c>
      <c r="L70" s="200" t="e">
        <f aca="false">IF($A71="","",VLOOKUP($A70,Table,MATCH(L$4,Curves,0)))</f>
        <v>#N/A</v>
      </c>
      <c r="M70" s="201" t="e">
        <f aca="false">IF(A71="","",L70)</f>
        <v>#N/A</v>
      </c>
      <c r="N70" s="203"/>
      <c r="O70" s="200" t="e">
        <f aca="false">IF(A71="","",L70+J70+G70)</f>
        <v>#N/A</v>
      </c>
      <c r="P70" s="200" t="e">
        <f aca="false">IF(A71="","",M70+K70+H70)</f>
        <v>#N/A</v>
      </c>
      <c r="Q70" s="204"/>
      <c r="R70" s="200" t="e">
        <f aca="false">IF($A71="","",VLOOKUP($A70,Table,MATCH(R$4,Curves,0)))</f>
        <v>#N/A</v>
      </c>
      <c r="S70" s="201" t="e">
        <f aca="false">IF(A71="","",R70)</f>
        <v>#N/A</v>
      </c>
      <c r="T70" s="200" t="e">
        <f aca="false">IF($A71="","",VLOOKUP($A70,Table,MATCH(T$4,Curves,0)))</f>
        <v>#N/A</v>
      </c>
      <c r="U70" s="201" t="e">
        <f aca="false">IF(A71="","",T70)</f>
        <v>#N/A</v>
      </c>
      <c r="V70" s="225" t="e">
        <f aca="false">IF($A71="","",IF(AND(MONTH(A70)&gt;3,MONTH(A70)&lt;11),(T70+R70+G70)*(((1/(1-Summary!$T$12))/(1-Summary!$W$12))-1),(T70+R70+G70)*((1/(1-Summary!$U$12))/(1-Summary!$X$12)-1)))</f>
        <v>#N/A</v>
      </c>
      <c r="W70" s="200" t="e">
        <f aca="false">IF($A71="","",(T70+R70+G70+V70))</f>
        <v>#N/A</v>
      </c>
      <c r="X70" s="200" t="e">
        <f aca="false">IF($A71="","",(U70+S70+H70+V70))</f>
        <v>#N/A</v>
      </c>
      <c r="Y70" s="202"/>
      <c r="Z70" s="185" t="e">
        <f aca="false">IF($A71="","",VLOOKUP($A70,Table,MATCH(Z$4,Curves,0)))</f>
        <v>#N/A</v>
      </c>
      <c r="AA70" s="185" t="e">
        <f aca="false">IF($A71="","",VLOOKUP($A70,Table,MATCH(AA$4,Curves,0)))</f>
        <v>#N/A</v>
      </c>
      <c r="AB70" s="185" t="e">
        <f aca="false">SQRT((AA70^2*(A70-$D$3)+Z70^2*(DAY(EOMONTH(A70,0))/2))/AK70)</f>
        <v>#N/A</v>
      </c>
      <c r="AC70" s="185" t="e">
        <f aca="false">IF($A71="","",VLOOKUP($A70,Table,MATCH(AC$4,Curves,0)))</f>
        <v>#N/A</v>
      </c>
      <c r="AD70" s="185" t="e">
        <f aca="false">IF($A71="","",VLOOKUP($A70,Table,MATCH(AD$4,Curves,0)))</f>
        <v>#N/A</v>
      </c>
      <c r="AE70" s="185" t="e">
        <f aca="false">SQRT((AD70^2*(A70-$D$3)+AC70^2*(DAY(EOMONTH(A70,0))/2))/AK70)</f>
        <v>#N/A</v>
      </c>
      <c r="AF70" s="206" t="e">
        <f aca="false">((Summary!$N$12*(AA70*AD70)*(A70-$D$3))+(Summary!$M$12*Z70*AC70*(AJ70-EOMONTH(EDATE(A70,-1),0))))/(AK70*AB70*AE70)</f>
        <v>#N/A</v>
      </c>
      <c r="AG70" s="207" t="n">
        <f aca="false">IF($A71="","",Summary!$Q$12)</f>
        <v>0</v>
      </c>
      <c r="AH70" s="207" t="n">
        <f aca="false">IF($A71="","",IF(Summary!$R$12="Y",(VLOOKUP($A70,Summary!$AD$6:$AF$9,3)+'Escalating commodity'!H83),'Escalating commodity'!H83))</f>
        <v>0.029</v>
      </c>
      <c r="AI70" s="207" t="n">
        <f aca="false">IF($A71="","",AH70)</f>
        <v>0.029</v>
      </c>
      <c r="AJ70" s="208" t="n">
        <f aca="false">A70+DAY(EOMONTH(A70,0))/2-1</f>
        <v>38883</v>
      </c>
      <c r="AK70" s="209" t="n">
        <f aca="false">IF($A71="","",$A70-$E$1)</f>
        <v>-7057</v>
      </c>
      <c r="AL70" s="182" t="e">
        <f aca="false">IF($A71="","",SPRDOPT(P70,X70,AI70,0,AB70,AE70,AF70,AK70,$AJ$2,0))</f>
        <v>#NAME?</v>
      </c>
      <c r="AM70" s="211" t="e">
        <f aca="false">IF($A71="","",MAX(0,O70-W70-AI70))</f>
        <v>#N/A</v>
      </c>
      <c r="AN70" s="211" t="e">
        <f aca="false">IF($A71="","",AL70-AM70)</f>
        <v>#N/A</v>
      </c>
      <c r="AO70" s="137" t="n">
        <f aca="false">IF(A71="","",A71-A70)</f>
        <v>30</v>
      </c>
      <c r="AP70" s="212" t="n">
        <f aca="false">IF(A71="","",CHOOSE(F$3,A71+24,A70))</f>
        <v>38869</v>
      </c>
      <c r="AQ70" s="209" t="n">
        <f aca="false">IF(A71="","",AP70-$E$1)</f>
        <v>-7057</v>
      </c>
      <c r="AR70" s="185" t="n">
        <f aca="false">'ANR OK vs ML7'!AR70</f>
        <v>0.1</v>
      </c>
      <c r="AS70" s="213" t="n">
        <f aca="false">IF(A71="","",1/(1+CHOOSE(F$3,(AR71+($I$3/10000))/2,(AR70+($I$3/10000))/2))^(2*AQ70/365.25))</f>
        <v>6.58866529333244</v>
      </c>
      <c r="AT70" s="137" t="n">
        <f aca="false">IF(A71="","",IF(AND(mthbeg&lt;=A70,mthend&gt;=A70),1,0))</f>
        <v>1</v>
      </c>
      <c r="AU70" s="137" t="n">
        <f aca="false">IF(A71="","",AO70*AT70)</f>
        <v>30</v>
      </c>
      <c r="AW70" s="195" t="e">
        <f aca="false">IF($A71="","",AL70*$E70)</f>
        <v>#NAME?</v>
      </c>
      <c r="AX70" s="195" t="e">
        <f aca="false">IF($A71="","",AM70*$E70)</f>
        <v>#N/A</v>
      </c>
      <c r="AY70" s="195" t="e">
        <f aca="false">IF($A71="","",AN70*$E70)</f>
        <v>#N/A</v>
      </c>
      <c r="BA70" s="195" t="n">
        <f aca="false">IF($A71="","",F70*Summary!$Q$12)</f>
        <v>0</v>
      </c>
      <c r="BC70" s="179" t="e">
        <f aca="false">IF(A71="","",AM70*F70)</f>
        <v>#N/A</v>
      </c>
    </row>
    <row r="71" customFormat="false" ht="12.75" hidden="false" customHeight="false" outlineLevel="0" collapsed="false">
      <c r="A71" s="196" t="n">
        <f aca="false">IF(A70&lt;mthend,EDATE(A70,1),"")</f>
        <v>38899</v>
      </c>
      <c r="B71" s="197" t="n">
        <f aca="false">IF(A71&lt;mthend,B70,"")</f>
        <v>36522</v>
      </c>
      <c r="C71" s="215"/>
      <c r="D71" s="197" t="n">
        <f aca="false">IF(A72&lt;&gt;"",B71+C71,"")</f>
        <v>36522</v>
      </c>
      <c r="E71" s="199" t="n">
        <f aca="false">IF(A72="","",IF(AND(AT71=1,$H$3=1),D71*AO71,IF($H$3=2,D71,"N/A")))</f>
        <v>1132182</v>
      </c>
      <c r="F71" s="199" t="n">
        <f aca="false">IF(A72="","",E71*AS71)</f>
        <v>7400020.16885465</v>
      </c>
      <c r="G71" s="200" t="e">
        <f aca="false">IF($A72="","",VLOOKUP($A71,Table,MATCH(G$4,Curves,0)))</f>
        <v>#N/A</v>
      </c>
      <c r="H71" s="201" t="e">
        <f aca="false">IF(A72="","",G71)</f>
        <v>#N/A</v>
      </c>
      <c r="I71" s="202"/>
      <c r="J71" s="200" t="e">
        <f aca="false">IF($A72="","",VLOOKUP($A71,Table,MATCH(J$4,Curves,0)))</f>
        <v>#N/A</v>
      </c>
      <c r="K71" s="201" t="e">
        <f aca="false">IF(A72="","",J71)</f>
        <v>#N/A</v>
      </c>
      <c r="L71" s="200" t="e">
        <f aca="false">IF($A72="","",VLOOKUP($A71,Table,MATCH(L$4,Curves,0)))</f>
        <v>#N/A</v>
      </c>
      <c r="M71" s="201" t="e">
        <f aca="false">IF(A72="","",L71)</f>
        <v>#N/A</v>
      </c>
      <c r="N71" s="203"/>
      <c r="O71" s="200" t="e">
        <f aca="false">IF(A72="","",L71+J71+G71)</f>
        <v>#N/A</v>
      </c>
      <c r="P71" s="200" t="e">
        <f aca="false">IF(A72="","",M71+K71+H71)</f>
        <v>#N/A</v>
      </c>
      <c r="Q71" s="204"/>
      <c r="R71" s="200" t="e">
        <f aca="false">IF($A72="","",VLOOKUP($A71,Table,MATCH(R$4,Curves,0)))</f>
        <v>#N/A</v>
      </c>
      <c r="S71" s="201" t="e">
        <f aca="false">IF(A72="","",R71)</f>
        <v>#N/A</v>
      </c>
      <c r="T71" s="200" t="e">
        <f aca="false">IF($A72="","",VLOOKUP($A71,Table,MATCH(T$4,Curves,0)))</f>
        <v>#N/A</v>
      </c>
      <c r="U71" s="201" t="e">
        <f aca="false">IF(A72="","",T71)</f>
        <v>#N/A</v>
      </c>
      <c r="V71" s="225" t="e">
        <f aca="false">IF($A72="","",IF(AND(MONTH(A71)&gt;3,MONTH(A71)&lt;11),(T71+R71+G71)*(((1/(1-Summary!$T$12))/(1-Summary!$W$12))-1),(T71+R71+G71)*((1/(1-Summary!$U$12))/(1-Summary!$X$12)-1)))</f>
        <v>#N/A</v>
      </c>
      <c r="W71" s="200" t="e">
        <f aca="false">IF($A72="","",(T71+R71+G71+V71))</f>
        <v>#N/A</v>
      </c>
      <c r="X71" s="200" t="e">
        <f aca="false">IF($A72="","",(U71+S71+H71+V71))</f>
        <v>#N/A</v>
      </c>
      <c r="Y71" s="202"/>
      <c r="Z71" s="185" t="e">
        <f aca="false">IF($A72="","",VLOOKUP($A71,Table,MATCH(Z$4,Curves,0)))</f>
        <v>#N/A</v>
      </c>
      <c r="AA71" s="185" t="e">
        <f aca="false">IF($A72="","",VLOOKUP($A71,Table,MATCH(AA$4,Curves,0)))</f>
        <v>#N/A</v>
      </c>
      <c r="AB71" s="185" t="e">
        <f aca="false">SQRT((AA71^2*(A71-$D$3)+Z71^2*(DAY(EOMONTH(A71,0))/2))/AK71)</f>
        <v>#N/A</v>
      </c>
      <c r="AC71" s="185" t="e">
        <f aca="false">IF($A72="","",VLOOKUP($A71,Table,MATCH(AC$4,Curves,0)))</f>
        <v>#N/A</v>
      </c>
      <c r="AD71" s="185" t="e">
        <f aca="false">IF($A72="","",VLOOKUP($A71,Table,MATCH(AD$4,Curves,0)))</f>
        <v>#N/A</v>
      </c>
      <c r="AE71" s="185" t="e">
        <f aca="false">SQRT((AD71^2*(A71-$D$3)+AC71^2*(DAY(EOMONTH(A71,0))/2))/AK71)</f>
        <v>#N/A</v>
      </c>
      <c r="AF71" s="206" t="e">
        <f aca="false">((Summary!$N$12*(AA71*AD71)*(A71-$D$3))+(Summary!$M$12*Z71*AC71*(AJ71-EOMONTH(EDATE(A71,-1),0))))/(AK71*AB71*AE71)</f>
        <v>#N/A</v>
      </c>
      <c r="AG71" s="207" t="n">
        <f aca="false">IF($A72="","",Summary!$Q$12)</f>
        <v>0</v>
      </c>
      <c r="AH71" s="207" t="n">
        <f aca="false">IF($A72="","",IF(Summary!$R$12="Y",(VLOOKUP($A71,Summary!$AD$6:$AF$9,3)+'Escalating commodity'!H84),'Escalating commodity'!H84))</f>
        <v>0.029</v>
      </c>
      <c r="AI71" s="207" t="n">
        <f aca="false">IF($A72="","",AH71)</f>
        <v>0.029</v>
      </c>
      <c r="AJ71" s="208" t="n">
        <f aca="false">A71+DAY(EOMONTH(A71,0))/2-1</f>
        <v>38913.5</v>
      </c>
      <c r="AK71" s="209" t="n">
        <f aca="false">IF($A72="","",$A71-$E$1)</f>
        <v>-7027</v>
      </c>
      <c r="AL71" s="182" t="e">
        <f aca="false">IF($A72="","",SPRDOPT(P71,X71,AI71,0,AB71,AE71,AF71,AK71,$AJ$2,0))</f>
        <v>#NAME?</v>
      </c>
      <c r="AM71" s="211" t="e">
        <f aca="false">IF($A72="","",MAX(0,O71-W71-AI71))</f>
        <v>#N/A</v>
      </c>
      <c r="AN71" s="211" t="e">
        <f aca="false">IF($A72="","",AL71-AM71)</f>
        <v>#N/A</v>
      </c>
      <c r="AO71" s="137" t="n">
        <f aca="false">IF(A72="","",A72-A71)</f>
        <v>31</v>
      </c>
      <c r="AP71" s="212" t="n">
        <f aca="false">IF(A72="","",CHOOSE(F$3,A72+24,A71))</f>
        <v>38899</v>
      </c>
      <c r="AQ71" s="209" t="n">
        <f aca="false">IF(A72="","",AP71-$E$1)</f>
        <v>-7027</v>
      </c>
      <c r="AR71" s="185" t="n">
        <f aca="false">'ANR OK vs ML7'!AR71</f>
        <v>0.1</v>
      </c>
      <c r="AS71" s="213" t="n">
        <f aca="false">IF(A72="","",1/(1+CHOOSE(F$3,(AR72+($I$3/10000))/2,(AR71+($I$3/10000))/2))^(2*AQ71/365.25))</f>
        <v>6.53606943835413</v>
      </c>
      <c r="AT71" s="137" t="n">
        <f aca="false">IF(A72="","",IF(AND(mthbeg&lt;=A71,mthend&gt;=A71),1,0))</f>
        <v>1</v>
      </c>
      <c r="AU71" s="137" t="n">
        <f aca="false">IF(A72="","",AO71*AT71)</f>
        <v>31</v>
      </c>
      <c r="AW71" s="195" t="e">
        <f aca="false">IF($A72="","",AL71*$E71)</f>
        <v>#NAME?</v>
      </c>
      <c r="AX71" s="195" t="e">
        <f aca="false">IF($A72="","",AM71*$E71)</f>
        <v>#N/A</v>
      </c>
      <c r="AY71" s="195" t="e">
        <f aca="false">IF($A72="","",AN71*$E71)</f>
        <v>#N/A</v>
      </c>
      <c r="BA71" s="195" t="n">
        <f aca="false">IF($A72="","",F71*Summary!$Q$12)</f>
        <v>0</v>
      </c>
      <c r="BC71" s="179" t="e">
        <f aca="false">IF(A72="","",AM71*F71)</f>
        <v>#N/A</v>
      </c>
    </row>
    <row r="72" customFormat="false" ht="12.75" hidden="false" customHeight="false" outlineLevel="0" collapsed="false">
      <c r="A72" s="196" t="n">
        <f aca="false">IF(A71&lt;mthend,EDATE(A71,1),"")</f>
        <v>38930</v>
      </c>
      <c r="B72" s="197" t="n">
        <f aca="false">IF(A72&lt;mthend,B71,"")</f>
        <v>36522</v>
      </c>
      <c r="C72" s="215"/>
      <c r="D72" s="197" t="n">
        <f aca="false">IF(A73&lt;&gt;"",B72+C72,"")</f>
        <v>36522</v>
      </c>
      <c r="E72" s="199" t="n">
        <f aca="false">IF(A73="","",IF(AND(AT72=1,$H$3=1),D72*AO72,IF($H$3=2,D72,"N/A")))</f>
        <v>1132182</v>
      </c>
      <c r="F72" s="199" t="n">
        <f aca="false">IF(A73="","",E72*AS72)</f>
        <v>7338986.49935753</v>
      </c>
      <c r="G72" s="200" t="e">
        <f aca="false">IF($A73="","",VLOOKUP($A72,Table,MATCH(G$4,Curves,0)))</f>
        <v>#N/A</v>
      </c>
      <c r="H72" s="201" t="e">
        <f aca="false">IF(A73="","",G72)</f>
        <v>#N/A</v>
      </c>
      <c r="I72" s="202"/>
      <c r="J72" s="200" t="e">
        <f aca="false">IF($A73="","",VLOOKUP($A72,Table,MATCH(J$4,Curves,0)))</f>
        <v>#N/A</v>
      </c>
      <c r="K72" s="201" t="e">
        <f aca="false">IF(A73="","",J72)</f>
        <v>#N/A</v>
      </c>
      <c r="L72" s="200" t="e">
        <f aca="false">IF($A73="","",VLOOKUP($A72,Table,MATCH(L$4,Curves,0)))</f>
        <v>#N/A</v>
      </c>
      <c r="M72" s="201" t="e">
        <f aca="false">IF(A73="","",L72)</f>
        <v>#N/A</v>
      </c>
      <c r="N72" s="203"/>
      <c r="O72" s="200" t="e">
        <f aca="false">IF(A73="","",L72+J72+G72)</f>
        <v>#N/A</v>
      </c>
      <c r="P72" s="200" t="e">
        <f aca="false">IF(A73="","",M72+K72+H72)</f>
        <v>#N/A</v>
      </c>
      <c r="Q72" s="204"/>
      <c r="R72" s="200" t="e">
        <f aca="false">IF($A73="","",VLOOKUP($A72,Table,MATCH(R$4,Curves,0)))</f>
        <v>#N/A</v>
      </c>
      <c r="S72" s="201" t="e">
        <f aca="false">IF(A73="","",R72)</f>
        <v>#N/A</v>
      </c>
      <c r="T72" s="200" t="e">
        <f aca="false">IF($A73="","",VLOOKUP($A72,Table,MATCH(T$4,Curves,0)))</f>
        <v>#N/A</v>
      </c>
      <c r="U72" s="201" t="e">
        <f aca="false">IF(A73="","",T72)</f>
        <v>#N/A</v>
      </c>
      <c r="V72" s="225" t="e">
        <f aca="false">IF($A73="","",IF(AND(MONTH(A72)&gt;3,MONTH(A72)&lt;11),(T72+R72+G72)*(((1/(1-Summary!$T$12))/(1-Summary!$W$12))-1),(T72+R72+G72)*((1/(1-Summary!$U$12))/(1-Summary!$X$12)-1)))</f>
        <v>#N/A</v>
      </c>
      <c r="W72" s="200" t="e">
        <f aca="false">IF($A73="","",(T72+R72+G72+V72))</f>
        <v>#N/A</v>
      </c>
      <c r="X72" s="200" t="e">
        <f aca="false">IF($A73="","",(U72+S72+H72+V72))</f>
        <v>#N/A</v>
      </c>
      <c r="Y72" s="202"/>
      <c r="Z72" s="185" t="e">
        <f aca="false">IF($A73="","",VLOOKUP($A72,Table,MATCH(Z$4,Curves,0)))</f>
        <v>#N/A</v>
      </c>
      <c r="AA72" s="185" t="e">
        <f aca="false">IF($A73="","",VLOOKUP($A72,Table,MATCH(AA$4,Curves,0)))</f>
        <v>#N/A</v>
      </c>
      <c r="AB72" s="185" t="e">
        <f aca="false">SQRT((AA72^2*(A72-$D$3)+Z72^2*(DAY(EOMONTH(A72,0))/2))/AK72)</f>
        <v>#N/A</v>
      </c>
      <c r="AC72" s="185" t="e">
        <f aca="false">IF($A73="","",VLOOKUP($A72,Table,MATCH(AC$4,Curves,0)))</f>
        <v>#N/A</v>
      </c>
      <c r="AD72" s="185" t="e">
        <f aca="false">IF($A73="","",VLOOKUP($A72,Table,MATCH(AD$4,Curves,0)))</f>
        <v>#N/A</v>
      </c>
      <c r="AE72" s="185" t="e">
        <f aca="false">SQRT((AD72^2*(A72-$D$3)+AC72^2*(DAY(EOMONTH(A72,0))/2))/AK72)</f>
        <v>#N/A</v>
      </c>
      <c r="AF72" s="206" t="e">
        <f aca="false">((Summary!$N$12*(AA72*AD72)*(A72-$D$3))+(Summary!$M$12*Z72*AC72*(AJ72-EOMONTH(EDATE(A72,-1),0))))/(AK72*AB72*AE72)</f>
        <v>#N/A</v>
      </c>
      <c r="AG72" s="207" t="n">
        <f aca="false">IF($A73="","",Summary!$Q$12)</f>
        <v>0</v>
      </c>
      <c r="AH72" s="207" t="n">
        <f aca="false">IF($A73="","",IF(Summary!$R$12="Y",(VLOOKUP($A72,Summary!$AD$6:$AF$9,3)+'Escalating commodity'!H85),'Escalating commodity'!H85))</f>
        <v>0.029</v>
      </c>
      <c r="AI72" s="207" t="n">
        <f aca="false">IF($A73="","",AH72)</f>
        <v>0.029</v>
      </c>
      <c r="AJ72" s="208" t="n">
        <f aca="false">A72+DAY(EOMONTH(A72,0))/2-1</f>
        <v>38944.5</v>
      </c>
      <c r="AK72" s="209" t="n">
        <f aca="false">IF($A73="","",$A72-$E$1)</f>
        <v>-6996</v>
      </c>
      <c r="AL72" s="182" t="e">
        <f aca="false">IF($A73="","",SPRDOPT(P72,X72,AI72,0,AB72,AE72,AF72,AK72,$AJ$2,0))</f>
        <v>#NAME?</v>
      </c>
      <c r="AM72" s="211" t="e">
        <f aca="false">IF($A73="","",MAX(0,O72-W72-AI72))</f>
        <v>#N/A</v>
      </c>
      <c r="AN72" s="211" t="e">
        <f aca="false">IF($A73="","",AL72-AM72)</f>
        <v>#N/A</v>
      </c>
      <c r="AO72" s="137" t="n">
        <f aca="false">IF(A73="","",A73-A72)</f>
        <v>31</v>
      </c>
      <c r="AP72" s="212" t="n">
        <f aca="false">IF(A73="","",CHOOSE(F$3,A73+24,A72))</f>
        <v>38930</v>
      </c>
      <c r="AQ72" s="209" t="n">
        <f aca="false">IF(A73="","",AP72-$E$1)</f>
        <v>-6996</v>
      </c>
      <c r="AR72" s="185" t="n">
        <f aca="false">'ANR OK vs ML7'!AR72</f>
        <v>0.1</v>
      </c>
      <c r="AS72" s="213" t="n">
        <f aca="false">IF(A73="","",1/(1+CHOOSE(F$3,(AR73+($I$3/10000))/2,(AR72+($I$3/10000))/2))^(2*AQ72/365.25))</f>
        <v>6.48216143637465</v>
      </c>
      <c r="AT72" s="137" t="n">
        <f aca="false">IF(A73="","",IF(AND(mthbeg&lt;=A72,mthend&gt;=A72),1,0))</f>
        <v>1</v>
      </c>
      <c r="AU72" s="137" t="n">
        <f aca="false">IF(A73="","",AO72*AT72)</f>
        <v>31</v>
      </c>
      <c r="AW72" s="195" t="e">
        <f aca="false">IF($A73="","",AL72*$E72)</f>
        <v>#NAME?</v>
      </c>
      <c r="AX72" s="195" t="e">
        <f aca="false">IF($A73="","",AM72*$E72)</f>
        <v>#N/A</v>
      </c>
      <c r="AY72" s="195" t="e">
        <f aca="false">IF($A73="","",AN72*$E72)</f>
        <v>#N/A</v>
      </c>
      <c r="BA72" s="195" t="n">
        <f aca="false">IF($A73="","",F72*Summary!$Q$12)</f>
        <v>0</v>
      </c>
      <c r="BC72" s="179" t="e">
        <f aca="false">IF(A73="","",AM72*F72)</f>
        <v>#N/A</v>
      </c>
    </row>
    <row r="73" customFormat="false" ht="12.75" hidden="false" customHeight="false" outlineLevel="0" collapsed="false">
      <c r="A73" s="196" t="n">
        <f aca="false">IF(A72&lt;mthend,EDATE(A72,1),"")</f>
        <v>38961</v>
      </c>
      <c r="B73" s="197" t="n">
        <f aca="false">IF(A73&lt;mthend,B72,"")</f>
        <v>36522</v>
      </c>
      <c r="C73" s="215"/>
      <c r="D73" s="197" t="n">
        <f aca="false">IF(A74&lt;&gt;"",B73+C73,"")</f>
        <v>36522</v>
      </c>
      <c r="E73" s="199" t="n">
        <f aca="false">IF(A74="","",IF(AND(AT73=1,$H$3=1),D73*AO73,IF($H$3=2,D73,"N/A")))</f>
        <v>1095660</v>
      </c>
      <c r="F73" s="199" t="n">
        <f aca="false">IF(A74="","",E73*AS73)</f>
        <v>7043667.31119787</v>
      </c>
      <c r="G73" s="200" t="e">
        <f aca="false">IF($A74="","",VLOOKUP($A73,Table,MATCH(G$4,Curves,0)))</f>
        <v>#N/A</v>
      </c>
      <c r="H73" s="201" t="e">
        <f aca="false">IF(A74="","",G73)</f>
        <v>#N/A</v>
      </c>
      <c r="I73" s="202"/>
      <c r="J73" s="200" t="e">
        <f aca="false">IF($A74="","",VLOOKUP($A73,Table,MATCH(J$4,Curves,0)))</f>
        <v>#N/A</v>
      </c>
      <c r="K73" s="201" t="e">
        <f aca="false">IF(A74="","",J73)</f>
        <v>#N/A</v>
      </c>
      <c r="L73" s="200" t="e">
        <f aca="false">IF($A74="","",VLOOKUP($A73,Table,MATCH(L$4,Curves,0)))</f>
        <v>#N/A</v>
      </c>
      <c r="M73" s="201" t="e">
        <f aca="false">IF(A74="","",L73)</f>
        <v>#N/A</v>
      </c>
      <c r="N73" s="203"/>
      <c r="O73" s="200" t="e">
        <f aca="false">IF(A74="","",L73+J73+G73)</f>
        <v>#N/A</v>
      </c>
      <c r="P73" s="200" t="e">
        <f aca="false">IF(A74="","",M73+K73+H73)</f>
        <v>#N/A</v>
      </c>
      <c r="Q73" s="204"/>
      <c r="R73" s="200" t="e">
        <f aca="false">IF($A74="","",VLOOKUP($A73,Table,MATCH(R$4,Curves,0)))</f>
        <v>#N/A</v>
      </c>
      <c r="S73" s="201" t="e">
        <f aca="false">IF(A74="","",R73)</f>
        <v>#N/A</v>
      </c>
      <c r="T73" s="200" t="e">
        <f aca="false">IF($A74="","",VLOOKUP($A73,Table,MATCH(T$4,Curves,0)))</f>
        <v>#N/A</v>
      </c>
      <c r="U73" s="201" t="e">
        <f aca="false">IF(A74="","",T73)</f>
        <v>#N/A</v>
      </c>
      <c r="V73" s="225" t="e">
        <f aca="false">IF($A74="","",IF(AND(MONTH(A73)&gt;3,MONTH(A73)&lt;11),(T73+R73+G73)*(((1/(1-Summary!$T$12))/(1-Summary!$W$12))-1),(T73+R73+G73)*((1/(1-Summary!$U$12))/(1-Summary!$X$12)-1)))</f>
        <v>#N/A</v>
      </c>
      <c r="W73" s="200" t="e">
        <f aca="false">IF($A74="","",(T73+R73+G73+V73))</f>
        <v>#N/A</v>
      </c>
      <c r="X73" s="200" t="e">
        <f aca="false">IF($A74="","",(U73+S73+H73+V73))</f>
        <v>#N/A</v>
      </c>
      <c r="Y73" s="202"/>
      <c r="Z73" s="185" t="e">
        <f aca="false">IF($A74="","",VLOOKUP($A73,Table,MATCH(Z$4,Curves,0)))</f>
        <v>#N/A</v>
      </c>
      <c r="AA73" s="185" t="e">
        <f aca="false">IF($A74="","",VLOOKUP($A73,Table,MATCH(AA$4,Curves,0)))</f>
        <v>#N/A</v>
      </c>
      <c r="AB73" s="185" t="e">
        <f aca="false">SQRT((AA73^2*(A73-$D$3)+Z73^2*(DAY(EOMONTH(A73,0))/2))/AK73)</f>
        <v>#N/A</v>
      </c>
      <c r="AC73" s="185" t="e">
        <f aca="false">IF($A74="","",VLOOKUP($A73,Table,MATCH(AC$4,Curves,0)))</f>
        <v>#N/A</v>
      </c>
      <c r="AD73" s="185" t="e">
        <f aca="false">IF($A74="","",VLOOKUP($A73,Table,MATCH(AD$4,Curves,0)))</f>
        <v>#N/A</v>
      </c>
      <c r="AE73" s="185" t="e">
        <f aca="false">SQRT((AD73^2*(A73-$D$3)+AC73^2*(DAY(EOMONTH(A73,0))/2))/AK73)</f>
        <v>#N/A</v>
      </c>
      <c r="AF73" s="206" t="e">
        <f aca="false">((Summary!$N$12*(AA73*AD73)*(A73-$D$3))+(Summary!$M$12*Z73*AC73*(AJ73-EOMONTH(EDATE(A73,-1),0))))/(AK73*AB73*AE73)</f>
        <v>#N/A</v>
      </c>
      <c r="AG73" s="207" t="n">
        <f aca="false">IF($A74="","",Summary!$Q$12)</f>
        <v>0</v>
      </c>
      <c r="AH73" s="207" t="n">
        <f aca="false">IF($A74="","",IF(Summary!$R$12="Y",(VLOOKUP($A73,Summary!$AD$6:$AF$9,3)+'Escalating commodity'!H86),'Escalating commodity'!H86))</f>
        <v>0.029</v>
      </c>
      <c r="AI73" s="207" t="n">
        <f aca="false">IF($A74="","",AH73)</f>
        <v>0.029</v>
      </c>
      <c r="AJ73" s="208" t="n">
        <f aca="false">A73+DAY(EOMONTH(A73,0))/2-1</f>
        <v>38975</v>
      </c>
      <c r="AK73" s="209" t="n">
        <f aca="false">IF($A74="","",$A73-$E$1)</f>
        <v>-6965</v>
      </c>
      <c r="AL73" s="182" t="e">
        <f aca="false">IF($A74="","",SPRDOPT(P73,X73,AI73,0,AB73,AE73,AF73,AK73,$AJ$2,0))</f>
        <v>#NAME?</v>
      </c>
      <c r="AM73" s="211" t="e">
        <f aca="false">IF($A74="","",MAX(0,O73-W73-AI73))</f>
        <v>#N/A</v>
      </c>
      <c r="AN73" s="211" t="e">
        <f aca="false">IF($A74="","",AL73-AM73)</f>
        <v>#N/A</v>
      </c>
      <c r="AO73" s="137" t="n">
        <f aca="false">IF(A74="","",A74-A73)</f>
        <v>30</v>
      </c>
      <c r="AP73" s="212" t="n">
        <f aca="false">IF(A74="","",CHOOSE(F$3,A74+24,A73))</f>
        <v>38961</v>
      </c>
      <c r="AQ73" s="209" t="n">
        <f aca="false">IF(A74="","",AP73-$E$1)</f>
        <v>-6965</v>
      </c>
      <c r="AR73" s="185" t="n">
        <f aca="false">'ANR OK vs ML7'!AR73</f>
        <v>0.1</v>
      </c>
      <c r="AS73" s="213" t="n">
        <f aca="false">IF(A74="","",1/(1+CHOOSE(F$3,(AR74+($I$3/10000))/2,(AR73+($I$3/10000))/2))^(2*AQ73/365.25))</f>
        <v>6.42869805523417</v>
      </c>
      <c r="AT73" s="137" t="n">
        <f aca="false">IF(A74="","",IF(AND(mthbeg&lt;=A73,mthend&gt;=A73),1,0))</f>
        <v>1</v>
      </c>
      <c r="AU73" s="137" t="n">
        <f aca="false">IF(A74="","",AO73*AT73)</f>
        <v>30</v>
      </c>
      <c r="AW73" s="195" t="e">
        <f aca="false">IF($A74="","",AL73*$E73)</f>
        <v>#NAME?</v>
      </c>
      <c r="AX73" s="195" t="e">
        <f aca="false">IF($A74="","",AM73*$E73)</f>
        <v>#N/A</v>
      </c>
      <c r="AY73" s="195" t="e">
        <f aca="false">IF($A74="","",AN73*$E73)</f>
        <v>#N/A</v>
      </c>
      <c r="BA73" s="195" t="n">
        <f aca="false">IF($A74="","",F73*Summary!$Q$12)</f>
        <v>0</v>
      </c>
      <c r="BC73" s="179" t="e">
        <f aca="false">IF(A74="","",AM73*F73)</f>
        <v>#N/A</v>
      </c>
    </row>
    <row r="74" customFormat="false" ht="12.75" hidden="false" customHeight="false" outlineLevel="0" collapsed="false">
      <c r="A74" s="196" t="n">
        <f aca="false">IF(A73&lt;mthend,EDATE(A73,1),"")</f>
        <v>38991</v>
      </c>
      <c r="B74" s="197" t="n">
        <f aca="false">IF(A74&lt;mthend,B73,"")</f>
        <v>36522</v>
      </c>
      <c r="C74" s="215"/>
      <c r="D74" s="197" t="n">
        <f aca="false">IF(A75&lt;&gt;"",B74+C74,"")</f>
        <v>36522</v>
      </c>
      <c r="E74" s="199" t="n">
        <f aca="false">IF(A75="","",IF(AND(AT74=1,$H$3=1),D74*AO74,IF($H$3=2,D74,"N/A")))</f>
        <v>1132182</v>
      </c>
      <c r="F74" s="199" t="n">
        <f aca="false">IF(A75="","",E74*AS74)</f>
        <v>7220353.91847142</v>
      </c>
      <c r="G74" s="200" t="e">
        <f aca="false">IF($A75="","",VLOOKUP($A74,Table,MATCH(G$4,Curves,0)))</f>
        <v>#N/A</v>
      </c>
      <c r="H74" s="201" t="e">
        <f aca="false">IF(A75="","",G74)</f>
        <v>#N/A</v>
      </c>
      <c r="I74" s="202"/>
      <c r="J74" s="200" t="e">
        <f aca="false">IF($A75="","",VLOOKUP($A74,Table,MATCH(J$4,Curves,0)))</f>
        <v>#N/A</v>
      </c>
      <c r="K74" s="201" t="e">
        <f aca="false">IF(A75="","",J74)</f>
        <v>#N/A</v>
      </c>
      <c r="L74" s="200" t="e">
        <f aca="false">IF($A75="","",VLOOKUP($A74,Table,MATCH(L$4,Curves,0)))</f>
        <v>#N/A</v>
      </c>
      <c r="M74" s="201" t="e">
        <f aca="false">IF(A75="","",L74)</f>
        <v>#N/A</v>
      </c>
      <c r="N74" s="203"/>
      <c r="O74" s="200" t="e">
        <f aca="false">IF(A75="","",L74+J74+G74)</f>
        <v>#N/A</v>
      </c>
      <c r="P74" s="200" t="e">
        <f aca="false">IF(A75="","",M74+K74+H74)</f>
        <v>#N/A</v>
      </c>
      <c r="Q74" s="204"/>
      <c r="R74" s="200" t="e">
        <f aca="false">IF($A75="","",VLOOKUP($A74,Table,MATCH(R$4,Curves,0)))</f>
        <v>#N/A</v>
      </c>
      <c r="S74" s="201" t="e">
        <f aca="false">IF(A75="","",R74)</f>
        <v>#N/A</v>
      </c>
      <c r="T74" s="200" t="e">
        <f aca="false">IF($A75="","",VLOOKUP($A74,Table,MATCH(T$4,Curves,0)))</f>
        <v>#N/A</v>
      </c>
      <c r="U74" s="201" t="e">
        <f aca="false">IF(A75="","",T74)</f>
        <v>#N/A</v>
      </c>
      <c r="V74" s="225" t="e">
        <f aca="false">IF($A75="","",IF(AND(MONTH(A74)&gt;3,MONTH(A74)&lt;11),(T74+R74+G74)*(((1/(1-Summary!$T$12))/(1-Summary!$W$12))-1),(T74+R74+G74)*((1/(1-Summary!$U$12))/(1-Summary!$X$12)-1)))</f>
        <v>#N/A</v>
      </c>
      <c r="W74" s="200" t="e">
        <f aca="false">IF($A75="","",(T74+R74+G74+V74))</f>
        <v>#N/A</v>
      </c>
      <c r="X74" s="200" t="e">
        <f aca="false">IF($A75="","",(U74+S74+H74+V74))</f>
        <v>#N/A</v>
      </c>
      <c r="Y74" s="202"/>
      <c r="Z74" s="185" t="e">
        <f aca="false">IF($A75="","",VLOOKUP($A74,Table,MATCH(Z$4,Curves,0)))</f>
        <v>#N/A</v>
      </c>
      <c r="AA74" s="185" t="e">
        <f aca="false">IF($A75="","",VLOOKUP($A74,Table,MATCH(AA$4,Curves,0)))</f>
        <v>#N/A</v>
      </c>
      <c r="AB74" s="185" t="e">
        <f aca="false">SQRT((AA74^2*(A74-$D$3)+Z74^2*(DAY(EOMONTH(A74,0))/2))/AK74)</f>
        <v>#N/A</v>
      </c>
      <c r="AC74" s="185" t="e">
        <f aca="false">IF($A75="","",VLOOKUP($A74,Table,MATCH(AC$4,Curves,0)))</f>
        <v>#N/A</v>
      </c>
      <c r="AD74" s="185" t="e">
        <f aca="false">IF($A75="","",VLOOKUP($A74,Table,MATCH(AD$4,Curves,0)))</f>
        <v>#N/A</v>
      </c>
      <c r="AE74" s="185" t="e">
        <f aca="false">SQRT((AD74^2*(A74-$D$3)+AC74^2*(DAY(EOMONTH(A74,0))/2))/AK74)</f>
        <v>#N/A</v>
      </c>
      <c r="AF74" s="206" t="e">
        <f aca="false">((Summary!$N$12*(AA74*AD74)*(A74-$D$3))+(Summary!$M$12*Z74*AC74*(AJ74-EOMONTH(EDATE(A74,-1),0))))/(AK74*AB74*AE74)</f>
        <v>#N/A</v>
      </c>
      <c r="AG74" s="207" t="n">
        <f aca="false">IF($A75="","",Summary!$Q$12)</f>
        <v>0</v>
      </c>
      <c r="AH74" s="207" t="n">
        <f aca="false">IF($A75="","",IF(Summary!$R$12="Y",(VLOOKUP($A74,Summary!$AD$6:$AF$9,3)+'Escalating commodity'!H87),'Escalating commodity'!H87))</f>
        <v>0.029</v>
      </c>
      <c r="AI74" s="207" t="n">
        <f aca="false">IF($A75="","",AH74)</f>
        <v>0.029</v>
      </c>
      <c r="AJ74" s="208" t="n">
        <f aca="false">A74+DAY(EOMONTH(A74,0))/2-1</f>
        <v>39005.5</v>
      </c>
      <c r="AK74" s="209" t="n">
        <f aca="false">IF($A75="","",$A74-$E$1)</f>
        <v>-6935</v>
      </c>
      <c r="AL74" s="182" t="e">
        <f aca="false">IF($A75="","",SPRDOPT(P74,X74,AI74,0,AB74,AE74,AF74,AK74,$AJ$2,0))</f>
        <v>#NAME?</v>
      </c>
      <c r="AM74" s="211" t="e">
        <f aca="false">IF($A75="","",MAX(0,O74-W74-AI74))</f>
        <v>#N/A</v>
      </c>
      <c r="AN74" s="211" t="e">
        <f aca="false">IF($A75="","",AL74-AM74)</f>
        <v>#N/A</v>
      </c>
      <c r="AO74" s="137" t="n">
        <f aca="false">IF(A75="","",A75-A74)</f>
        <v>31</v>
      </c>
      <c r="AP74" s="212" t="n">
        <f aca="false">IF(A75="","",CHOOSE(F$3,A75+24,A74))</f>
        <v>38991</v>
      </c>
      <c r="AQ74" s="209" t="n">
        <f aca="false">IF(A75="","",AP74-$E$1)</f>
        <v>-6935</v>
      </c>
      <c r="AR74" s="185" t="n">
        <f aca="false">'ANR OK vs ML7'!AR74</f>
        <v>0.1</v>
      </c>
      <c r="AS74" s="213" t="n">
        <f aca="false">IF(A75="","",1/(1+CHOOSE(F$3,(AR75+($I$3/10000))/2,(AR74+($I$3/10000))/2))^(2*AQ74/365.25))</f>
        <v>6.37737918326861</v>
      </c>
      <c r="AT74" s="137" t="n">
        <f aca="false">IF(A75="","",IF(AND(mthbeg&lt;=A74,mthend&gt;=A74),1,0))</f>
        <v>1</v>
      </c>
      <c r="AU74" s="137" t="n">
        <f aca="false">IF(A75="","",AO74*AT74)</f>
        <v>31</v>
      </c>
      <c r="AW74" s="195" t="e">
        <f aca="false">IF($A75="","",AL74*$E74)</f>
        <v>#NAME?</v>
      </c>
      <c r="AX74" s="195" t="e">
        <f aca="false">IF($A75="","",AM74*$E74)</f>
        <v>#N/A</v>
      </c>
      <c r="AY74" s="195" t="e">
        <f aca="false">IF($A75="","",AN74*$E74)</f>
        <v>#N/A</v>
      </c>
      <c r="BA74" s="195" t="n">
        <f aca="false">IF($A75="","",F74*Summary!$Q$12)</f>
        <v>0</v>
      </c>
      <c r="BC74" s="179" t="e">
        <f aca="false">IF(A75="","",AM74*F74)</f>
        <v>#N/A</v>
      </c>
    </row>
    <row r="75" customFormat="false" ht="12.75" hidden="false" customHeight="false" outlineLevel="0" collapsed="false">
      <c r="A75" s="196" t="n">
        <f aca="false">IF(A74&lt;mthend,EDATE(A74,1),"")</f>
        <v>39022</v>
      </c>
      <c r="B75" s="197" t="n">
        <f aca="false">IF(A75&lt;mthend,B74,"")</f>
        <v>36522</v>
      </c>
      <c r="C75" s="215"/>
      <c r="D75" s="197" t="n">
        <f aca="false">IF(A76&lt;&gt;"",B75+C75,"")</f>
        <v>36522</v>
      </c>
      <c r="E75" s="199" t="n">
        <f aca="false">IF(A76="","",IF(AND(AT75=1,$H$3=1),D75*AO75,IF($H$3=2,D75,"N/A")))</f>
        <v>1095660</v>
      </c>
      <c r="F75" s="199" t="n">
        <f aca="false">IF(A76="","",E75*AS75)</f>
        <v>6929808.47904119</v>
      </c>
      <c r="G75" s="200" t="e">
        <f aca="false">IF($A76="","",VLOOKUP($A75,Table,MATCH(G$4,Curves,0)))</f>
        <v>#N/A</v>
      </c>
      <c r="H75" s="201" t="e">
        <f aca="false">IF(A76="","",G75)</f>
        <v>#N/A</v>
      </c>
      <c r="I75" s="202"/>
      <c r="J75" s="200" t="e">
        <f aca="false">IF($A76="","",VLOOKUP($A75,Table,MATCH(J$4,Curves,0)))</f>
        <v>#N/A</v>
      </c>
      <c r="K75" s="201" t="e">
        <f aca="false">IF(A76="","",J75)</f>
        <v>#N/A</v>
      </c>
      <c r="L75" s="200" t="e">
        <f aca="false">IF($A76="","",VLOOKUP($A75,Table,MATCH(L$4,Curves,0)))</f>
        <v>#N/A</v>
      </c>
      <c r="M75" s="201" t="e">
        <f aca="false">IF(A76="","",L75)</f>
        <v>#N/A</v>
      </c>
      <c r="N75" s="203"/>
      <c r="O75" s="200" t="e">
        <f aca="false">IF(A76="","",L75+J75+G75)</f>
        <v>#N/A</v>
      </c>
      <c r="P75" s="200" t="e">
        <f aca="false">IF(A76="","",M75+K75+H75)</f>
        <v>#N/A</v>
      </c>
      <c r="Q75" s="204"/>
      <c r="R75" s="200" t="e">
        <f aca="false">IF($A76="","",VLOOKUP($A75,Table,MATCH(R$4,Curves,0)))</f>
        <v>#N/A</v>
      </c>
      <c r="S75" s="201" t="e">
        <f aca="false">IF(A76="","",R75)</f>
        <v>#N/A</v>
      </c>
      <c r="T75" s="200" t="e">
        <f aca="false">IF($A76="","",VLOOKUP($A75,Table,MATCH(T$4,Curves,0)))</f>
        <v>#N/A</v>
      </c>
      <c r="U75" s="201" t="e">
        <f aca="false">IF(A76="","",T75)</f>
        <v>#N/A</v>
      </c>
      <c r="V75" s="225" t="e">
        <f aca="false">IF($A76="","",IF(AND(MONTH(A75)&gt;3,MONTH(A75)&lt;11),(T75+R75+G75)*(((1/(1-Summary!$T$12))/(1-Summary!$W$12))-1),(T75+R75+G75)*((1/(1-Summary!$U$12))/(1-Summary!$X$12)-1)))</f>
        <v>#N/A</v>
      </c>
      <c r="W75" s="200" t="e">
        <f aca="false">IF($A76="","",(T75+R75+G75+V75))</f>
        <v>#N/A</v>
      </c>
      <c r="X75" s="200" t="e">
        <f aca="false">IF($A76="","",(U75+S75+H75+V75))</f>
        <v>#N/A</v>
      </c>
      <c r="Y75" s="202"/>
      <c r="Z75" s="185" t="e">
        <f aca="false">IF($A76="","",VLOOKUP($A75,Table,MATCH(Z$4,Curves,0)))</f>
        <v>#N/A</v>
      </c>
      <c r="AA75" s="185" t="e">
        <f aca="false">IF($A76="","",VLOOKUP($A75,Table,MATCH(AA$4,Curves,0)))</f>
        <v>#N/A</v>
      </c>
      <c r="AB75" s="185" t="e">
        <f aca="false">SQRT((AA75^2*(A75-$D$3)+Z75^2*(DAY(EOMONTH(A75,0))/2))/AK75)</f>
        <v>#N/A</v>
      </c>
      <c r="AC75" s="185" t="e">
        <f aca="false">IF($A76="","",VLOOKUP($A75,Table,MATCH(AC$4,Curves,0)))</f>
        <v>#N/A</v>
      </c>
      <c r="AD75" s="185" t="e">
        <f aca="false">IF($A76="","",VLOOKUP($A75,Table,MATCH(AD$4,Curves,0)))</f>
        <v>#N/A</v>
      </c>
      <c r="AE75" s="185" t="e">
        <f aca="false">SQRT((AD75^2*(A75-$D$3)+AC75^2*(DAY(EOMONTH(A75,0))/2))/AK75)</f>
        <v>#N/A</v>
      </c>
      <c r="AF75" s="206" t="e">
        <f aca="false">((Summary!$N$12*(AA75*AD75)*(A75-$D$3))+(Summary!$M$12*Z75*AC75*(AJ75-EOMONTH(EDATE(A75,-1),0))))/(AK75*AB75*AE75)</f>
        <v>#N/A</v>
      </c>
      <c r="AG75" s="207" t="n">
        <f aca="false">IF($A76="","",Summary!$Q$12)</f>
        <v>0</v>
      </c>
      <c r="AH75" s="207" t="n">
        <f aca="false">IF($A76="","",IF(Summary!$R$12="Y",(VLOOKUP($A75,Summary!$AD$6:$AF$9,3)+'Escalating commodity'!H88),'Escalating commodity'!H88))</f>
        <v>0.029</v>
      </c>
      <c r="AI75" s="207" t="n">
        <f aca="false">IF($A76="","",AH75)</f>
        <v>0.029</v>
      </c>
      <c r="AJ75" s="208" t="n">
        <f aca="false">A75+DAY(EOMONTH(A75,0))/2-1</f>
        <v>39036</v>
      </c>
      <c r="AK75" s="209" t="n">
        <f aca="false">IF($A76="","",$A75-$E$1)</f>
        <v>-6904</v>
      </c>
      <c r="AL75" s="182" t="e">
        <f aca="false">IF($A76="","",SPRDOPT(P75,X75,AI75,0,AB75,AE75,AF75,AK75,$AJ$2,0))</f>
        <v>#NAME?</v>
      </c>
      <c r="AM75" s="211" t="e">
        <f aca="false">IF($A76="","",MAX(0,O75-W75-AI75))</f>
        <v>#N/A</v>
      </c>
      <c r="AN75" s="211" t="e">
        <f aca="false">IF($A76="","",AL75-AM75)</f>
        <v>#N/A</v>
      </c>
      <c r="AO75" s="137" t="n">
        <f aca="false">IF(A76="","",A76-A75)</f>
        <v>30</v>
      </c>
      <c r="AP75" s="212" t="n">
        <f aca="false">IF(A76="","",CHOOSE(F$3,A76+24,A75))</f>
        <v>39022</v>
      </c>
      <c r="AQ75" s="209" t="n">
        <f aca="false">IF(A76="","",AP75-$E$1)</f>
        <v>-6904</v>
      </c>
      <c r="AR75" s="185" t="n">
        <f aca="false">'ANR OK vs ML7'!AR75</f>
        <v>0.1</v>
      </c>
      <c r="AS75" s="213" t="n">
        <f aca="false">IF(A76="","",1/(1+CHOOSE(F$3,(AR76+($I$3/10000))/2,(AR75+($I$3/10000))/2))^(2*AQ75/365.25))</f>
        <v>6.32478002212474</v>
      </c>
      <c r="AT75" s="137" t="n">
        <f aca="false">IF(A76="","",IF(AND(mthbeg&lt;=A75,mthend&gt;=A75),1,0))</f>
        <v>1</v>
      </c>
      <c r="AU75" s="137" t="n">
        <f aca="false">IF(A76="","",AO75*AT75)</f>
        <v>30</v>
      </c>
      <c r="AW75" s="195" t="e">
        <f aca="false">IF($A76="","",AL75*$E75)</f>
        <v>#NAME?</v>
      </c>
      <c r="AX75" s="195" t="e">
        <f aca="false">IF($A76="","",AM75*$E75)</f>
        <v>#N/A</v>
      </c>
      <c r="AY75" s="195" t="e">
        <f aca="false">IF($A76="","",AN75*$E75)</f>
        <v>#N/A</v>
      </c>
      <c r="BA75" s="195" t="n">
        <f aca="false">IF($A76="","",F75*Summary!$Q$12)</f>
        <v>0</v>
      </c>
      <c r="BC75" s="179" t="e">
        <f aca="false">IF(A76="","",AM75*F75)</f>
        <v>#N/A</v>
      </c>
    </row>
    <row r="76" customFormat="false" ht="12.75" hidden="false" customHeight="false" outlineLevel="0" collapsed="false">
      <c r="A76" s="196" t="n">
        <f aca="false">IF(A75&lt;mthend,EDATE(A75,1),"")</f>
        <v>39052</v>
      </c>
      <c r="B76" s="197" t="n">
        <f aca="false">IF(A76&lt;mthend,B75,"")</f>
        <v>36522</v>
      </c>
      <c r="C76" s="215"/>
      <c r="D76" s="197" t="n">
        <f aca="false">IF(A77&lt;&gt;"",B76+C76,"")</f>
        <v>36522</v>
      </c>
      <c r="E76" s="199" t="n">
        <f aca="false">IF(A77="","",IF(AND(AT76=1,$H$3=1),D76*AO76,IF($H$3=2,D76,"N/A")))</f>
        <v>1132182</v>
      </c>
      <c r="F76" s="199" t="n">
        <f aca="false">IF(A77="","",E76*AS76)</f>
        <v>7103638.99872953</v>
      </c>
      <c r="G76" s="200" t="e">
        <f aca="false">IF($A77="","",VLOOKUP($A76,Table,MATCH(G$4,Curves,0)))</f>
        <v>#N/A</v>
      </c>
      <c r="H76" s="201" t="e">
        <f aca="false">IF(A77="","",G76)</f>
        <v>#N/A</v>
      </c>
      <c r="I76" s="202"/>
      <c r="J76" s="200" t="e">
        <f aca="false">IF($A77="","",VLOOKUP($A76,Table,MATCH(J$4,Curves,0)))</f>
        <v>#N/A</v>
      </c>
      <c r="K76" s="201" t="e">
        <f aca="false">IF(A77="","",J76)</f>
        <v>#N/A</v>
      </c>
      <c r="L76" s="200" t="e">
        <f aca="false">IF($A77="","",VLOOKUP($A76,Table,MATCH(L$4,Curves,0)))</f>
        <v>#N/A</v>
      </c>
      <c r="M76" s="201" t="e">
        <f aca="false">IF(A77="","",L76)</f>
        <v>#N/A</v>
      </c>
      <c r="N76" s="203"/>
      <c r="O76" s="200" t="e">
        <f aca="false">IF(A77="","",L76+J76+G76)</f>
        <v>#N/A</v>
      </c>
      <c r="P76" s="200" t="e">
        <f aca="false">IF(A77="","",M76+K76+H76)</f>
        <v>#N/A</v>
      </c>
      <c r="Q76" s="204"/>
      <c r="R76" s="200" t="e">
        <f aca="false">IF($A77="","",VLOOKUP($A76,Table,MATCH(R$4,Curves,0)))</f>
        <v>#N/A</v>
      </c>
      <c r="S76" s="201" t="e">
        <f aca="false">IF(A77="","",R76)</f>
        <v>#N/A</v>
      </c>
      <c r="T76" s="200" t="e">
        <f aca="false">IF($A77="","",VLOOKUP($A76,Table,MATCH(T$4,Curves,0)))</f>
        <v>#N/A</v>
      </c>
      <c r="U76" s="201" t="e">
        <f aca="false">IF(A77="","",T76)</f>
        <v>#N/A</v>
      </c>
      <c r="V76" s="225" t="e">
        <f aca="false">IF($A77="","",IF(AND(MONTH(A76)&gt;3,MONTH(A76)&lt;11),(T76+R76+G76)*(((1/(1-Summary!$T$12))/(1-Summary!$W$12))-1),(T76+R76+G76)*((1/(1-Summary!$U$12))/(1-Summary!$X$12)-1)))</f>
        <v>#N/A</v>
      </c>
      <c r="W76" s="200" t="e">
        <f aca="false">IF($A77="","",(T76+R76+G76+V76))</f>
        <v>#N/A</v>
      </c>
      <c r="X76" s="200" t="e">
        <f aca="false">IF($A77="","",(U76+S76+H76+V76))</f>
        <v>#N/A</v>
      </c>
      <c r="Y76" s="202"/>
      <c r="Z76" s="185" t="e">
        <f aca="false">IF($A77="","",VLOOKUP($A76,Table,MATCH(Z$4,Curves,0)))</f>
        <v>#N/A</v>
      </c>
      <c r="AA76" s="185" t="e">
        <f aca="false">IF($A77="","",VLOOKUP($A76,Table,MATCH(AA$4,Curves,0)))</f>
        <v>#N/A</v>
      </c>
      <c r="AB76" s="185" t="e">
        <f aca="false">SQRT((AA76^2*(A76-$D$3)+Z76^2*(DAY(EOMONTH(A76,0))/2))/AK76)</f>
        <v>#N/A</v>
      </c>
      <c r="AC76" s="185" t="e">
        <f aca="false">IF($A77="","",VLOOKUP($A76,Table,MATCH(AC$4,Curves,0)))</f>
        <v>#N/A</v>
      </c>
      <c r="AD76" s="185" t="e">
        <f aca="false">IF($A77="","",VLOOKUP($A76,Table,MATCH(AD$4,Curves,0)))</f>
        <v>#N/A</v>
      </c>
      <c r="AE76" s="185" t="e">
        <f aca="false">SQRT((AD76^2*(A76-$D$3)+AC76^2*(DAY(EOMONTH(A76,0))/2))/AK76)</f>
        <v>#N/A</v>
      </c>
      <c r="AF76" s="206" t="e">
        <f aca="false">((Summary!$N$12*(AA76*AD76)*(A76-$D$3))+(Summary!$M$12*Z76*AC76*(AJ76-EOMONTH(EDATE(A76,-1),0))))/(AK76*AB76*AE76)</f>
        <v>#N/A</v>
      </c>
      <c r="AG76" s="207" t="n">
        <f aca="false">IF($A77="","",Summary!$Q$12)</f>
        <v>0</v>
      </c>
      <c r="AH76" s="207" t="n">
        <f aca="false">IF($A77="","",IF(Summary!$R$12="Y",(VLOOKUP($A76,Summary!$AD$6:$AF$9,3)+'Escalating commodity'!H89),'Escalating commodity'!H89))</f>
        <v>0.029</v>
      </c>
      <c r="AI76" s="207" t="n">
        <f aca="false">IF($A77="","",AH76)</f>
        <v>0.029</v>
      </c>
      <c r="AJ76" s="208" t="n">
        <f aca="false">A76+DAY(EOMONTH(A76,0))/2-1</f>
        <v>39066.5</v>
      </c>
      <c r="AK76" s="209" t="n">
        <f aca="false">IF($A77="","",$A76-$E$1)</f>
        <v>-6874</v>
      </c>
      <c r="AL76" s="182" t="e">
        <f aca="false">IF($A77="","",SPRDOPT(P76,X76,AI76,0,AB76,AE76,AF76,AK76,$AJ$2,0))</f>
        <v>#NAME?</v>
      </c>
      <c r="AM76" s="211" t="e">
        <f aca="false">IF($A77="","",MAX(0,O76-W76-AI76))</f>
        <v>#N/A</v>
      </c>
      <c r="AN76" s="211" t="e">
        <f aca="false">IF($A77="","",AL76-AM76)</f>
        <v>#N/A</v>
      </c>
      <c r="AO76" s="137" t="n">
        <f aca="false">IF(A77="","",A77-A76)</f>
        <v>31</v>
      </c>
      <c r="AP76" s="212" t="n">
        <f aca="false">IF(A77="","",CHOOSE(F$3,A77+24,A76))</f>
        <v>39052</v>
      </c>
      <c r="AQ76" s="209" t="n">
        <f aca="false">IF(A77="","",AP76-$E$1)</f>
        <v>-6874</v>
      </c>
      <c r="AR76" s="185" t="n">
        <f aca="false">'ANR OK vs ML7'!AR76</f>
        <v>0.1</v>
      </c>
      <c r="AS76" s="213" t="n">
        <f aca="false">IF(A77="","",1/(1+CHOOSE(F$3,(AR77+($I$3/10000))/2,(AR76+($I$3/10000))/2))^(2*AQ76/365.25))</f>
        <v>6.27429070478909</v>
      </c>
      <c r="AT76" s="137" t="n">
        <f aca="false">IF(A77="","",IF(AND(mthbeg&lt;=A76,mthend&gt;=A76),1,0))</f>
        <v>1</v>
      </c>
      <c r="AU76" s="137" t="n">
        <f aca="false">IF(A77="","",AO76*AT76)</f>
        <v>31</v>
      </c>
      <c r="AW76" s="195" t="e">
        <f aca="false">IF($A77="","",AL76*$E76)</f>
        <v>#NAME?</v>
      </c>
      <c r="AX76" s="195" t="e">
        <f aca="false">IF($A77="","",AM76*$E76)</f>
        <v>#N/A</v>
      </c>
      <c r="AY76" s="195" t="e">
        <f aca="false">IF($A77="","",AN76*$E76)</f>
        <v>#N/A</v>
      </c>
      <c r="BA76" s="195" t="n">
        <f aca="false">IF($A77="","",F76*Summary!$Q$12)</f>
        <v>0</v>
      </c>
      <c r="BC76" s="179" t="e">
        <f aca="false">IF(A77="","",AM76*F76)</f>
        <v>#N/A</v>
      </c>
    </row>
    <row r="77" customFormat="false" ht="12.75" hidden="false" customHeight="false" outlineLevel="0" collapsed="false">
      <c r="A77" s="196" t="n">
        <f aca="false">IF(A76&lt;mthend,EDATE(A76,1),"")</f>
        <v>39083</v>
      </c>
      <c r="B77" s="197" t="n">
        <f aca="false">IF(A77&lt;mthend,B76,"")</f>
        <v>36522</v>
      </c>
      <c r="C77" s="215"/>
      <c r="D77" s="197" t="n">
        <f aca="false">IF(A78&lt;&gt;"",B77+C77,"")</f>
        <v>36522</v>
      </c>
      <c r="E77" s="199" t="n">
        <f aca="false">IF(A78="","",IF(AND(AT77=1,$H$3=1),D77*AO77,IF($H$3=2,D77,"N/A")))</f>
        <v>1132182</v>
      </c>
      <c r="F77" s="199" t="n">
        <f aca="false">IF(A78="","",E77*AS77)</f>
        <v>7045049.81316215</v>
      </c>
      <c r="G77" s="200" t="e">
        <f aca="false">IF($A78="","",VLOOKUP($A77,Table,MATCH(G$4,Curves,0)))</f>
        <v>#N/A</v>
      </c>
      <c r="H77" s="201" t="e">
        <f aca="false">IF(A78="","",G77)</f>
        <v>#N/A</v>
      </c>
      <c r="I77" s="202"/>
      <c r="J77" s="200" t="e">
        <f aca="false">IF($A78="","",VLOOKUP($A77,Table,MATCH(J$4,Curves,0)))</f>
        <v>#N/A</v>
      </c>
      <c r="K77" s="201" t="e">
        <f aca="false">IF(A78="","",J77)</f>
        <v>#N/A</v>
      </c>
      <c r="L77" s="200" t="e">
        <f aca="false">IF($A78="","",VLOOKUP($A77,Table,MATCH(L$4,Curves,0)))</f>
        <v>#N/A</v>
      </c>
      <c r="M77" s="201" t="e">
        <f aca="false">IF(A78="","",L77)</f>
        <v>#N/A</v>
      </c>
      <c r="N77" s="203"/>
      <c r="O77" s="200" t="e">
        <f aca="false">IF(A78="","",L77+J77+G77)</f>
        <v>#N/A</v>
      </c>
      <c r="P77" s="200" t="e">
        <f aca="false">IF(A78="","",M77+K77+H77)</f>
        <v>#N/A</v>
      </c>
      <c r="Q77" s="204"/>
      <c r="R77" s="200" t="e">
        <f aca="false">IF($A78="","",VLOOKUP($A77,Table,MATCH(R$4,Curves,0)))</f>
        <v>#N/A</v>
      </c>
      <c r="S77" s="201" t="e">
        <f aca="false">IF(A78="","",R77)</f>
        <v>#N/A</v>
      </c>
      <c r="T77" s="200" t="e">
        <f aca="false">IF($A78="","",VLOOKUP($A77,Table,MATCH(T$4,Curves,0)))</f>
        <v>#N/A</v>
      </c>
      <c r="U77" s="201" t="e">
        <f aca="false">IF(A78="","",T77)</f>
        <v>#N/A</v>
      </c>
      <c r="V77" s="225" t="e">
        <f aca="false">IF($A78="","",IF(AND(MONTH(A77)&gt;3,MONTH(A77)&lt;11),(T77+R77+G77)*(((1/(1-Summary!$T$12))/(1-Summary!$W$12))-1),(T77+R77+G77)*((1/(1-Summary!$U$12))/(1-Summary!$X$12)-1)))</f>
        <v>#N/A</v>
      </c>
      <c r="W77" s="200" t="e">
        <f aca="false">IF($A78="","",(T77+R77+G77+V77))</f>
        <v>#N/A</v>
      </c>
      <c r="X77" s="200" t="e">
        <f aca="false">IF($A78="","",(U77+S77+H77+V77))</f>
        <v>#N/A</v>
      </c>
      <c r="Y77" s="202"/>
      <c r="Z77" s="185" t="e">
        <f aca="false">IF($A78="","",VLOOKUP($A77,Table,MATCH(Z$4,Curves,0)))</f>
        <v>#N/A</v>
      </c>
      <c r="AA77" s="185" t="e">
        <f aca="false">IF($A78="","",VLOOKUP($A77,Table,MATCH(AA$4,Curves,0)))</f>
        <v>#N/A</v>
      </c>
      <c r="AB77" s="185" t="e">
        <f aca="false">SQRT((AA77^2*(A77-$D$3)+Z77^2*(DAY(EOMONTH(A77,0))/2))/AK77)</f>
        <v>#N/A</v>
      </c>
      <c r="AC77" s="185" t="e">
        <f aca="false">IF($A78="","",VLOOKUP($A77,Table,MATCH(AC$4,Curves,0)))</f>
        <v>#N/A</v>
      </c>
      <c r="AD77" s="185" t="e">
        <f aca="false">IF($A78="","",VLOOKUP($A77,Table,MATCH(AD$4,Curves,0)))</f>
        <v>#N/A</v>
      </c>
      <c r="AE77" s="185" t="e">
        <f aca="false">SQRT((AD77^2*(A77-$D$3)+AC77^2*(DAY(EOMONTH(A77,0))/2))/AK77)</f>
        <v>#N/A</v>
      </c>
      <c r="AF77" s="206" t="e">
        <f aca="false">((Summary!$N$12*(AA77*AD77)*(A77-$D$3))+(Summary!$M$12*Z77*AC77*(AJ77-EOMONTH(EDATE(A77,-1),0))))/(AK77*AB77*AE77)</f>
        <v>#N/A</v>
      </c>
      <c r="AG77" s="207" t="n">
        <f aca="false">IF($A78="","",Summary!$Q$12)</f>
        <v>0</v>
      </c>
      <c r="AH77" s="207" t="n">
        <f aca="false">IF($A78="","",IF(Summary!$R$12="Y",(VLOOKUP($A77,Summary!$AD$6:$AF$9,3)+'Escalating commodity'!H90),'Escalating commodity'!H90))</f>
        <v>0.029</v>
      </c>
      <c r="AI77" s="207" t="n">
        <f aca="false">IF($A78="","",AH77)</f>
        <v>0.029</v>
      </c>
      <c r="AJ77" s="208" t="n">
        <f aca="false">A77+DAY(EOMONTH(A77,0))/2-1</f>
        <v>39097.5</v>
      </c>
      <c r="AK77" s="209" t="n">
        <f aca="false">IF($A78="","",$A77-$E$1)</f>
        <v>-6843</v>
      </c>
      <c r="AL77" s="182" t="e">
        <f aca="false">IF($A78="","",SPRDOPT(P77,X77,AI77,0,AB77,AE77,AF77,AK77,$AJ$2,0))</f>
        <v>#NAME?</v>
      </c>
      <c r="AM77" s="211" t="e">
        <f aca="false">IF($A78="","",MAX(0,O77-W77-AI77))</f>
        <v>#N/A</v>
      </c>
      <c r="AN77" s="211" t="e">
        <f aca="false">IF($A78="","",AL77-AM77)</f>
        <v>#N/A</v>
      </c>
      <c r="AO77" s="137" t="n">
        <f aca="false">IF(A78="","",A78-A77)</f>
        <v>31</v>
      </c>
      <c r="AP77" s="212" t="n">
        <f aca="false">IF(A78="","",CHOOSE(F$3,A78+24,A77))</f>
        <v>39083</v>
      </c>
      <c r="AQ77" s="209" t="n">
        <f aca="false">IF(A78="","",AP77-$E$1)</f>
        <v>-6843</v>
      </c>
      <c r="AR77" s="185" t="n">
        <f aca="false">'ANR OK vs ML7'!AR77</f>
        <v>0.1</v>
      </c>
      <c r="AS77" s="213" t="n">
        <f aca="false">IF(A78="","",1/(1+CHOOSE(F$3,(AR78+($I$3/10000))/2,(AR77+($I$3/10000))/2))^(2*AQ77/365.25))</f>
        <v>6.2225417937771</v>
      </c>
      <c r="AT77" s="137" t="n">
        <f aca="false">IF(A78="","",IF(AND(mthbeg&lt;=A77,mthend&gt;=A77),1,0))</f>
        <v>1</v>
      </c>
      <c r="AU77" s="137" t="n">
        <f aca="false">IF(A78="","",AO77*AT77)</f>
        <v>31</v>
      </c>
      <c r="AW77" s="195" t="e">
        <f aca="false">IF($A78="","",AL77*$E77)</f>
        <v>#NAME?</v>
      </c>
      <c r="AX77" s="195" t="e">
        <f aca="false">IF($A78="","",AM77*$E77)</f>
        <v>#N/A</v>
      </c>
      <c r="AY77" s="195" t="e">
        <f aca="false">IF($A78="","",AN77*$E77)</f>
        <v>#N/A</v>
      </c>
      <c r="BA77" s="195" t="n">
        <f aca="false">IF($A78="","",F77*Summary!$Q$12)</f>
        <v>0</v>
      </c>
      <c r="BC77" s="179" t="e">
        <f aca="false">IF(A78="","",AM77*F77)</f>
        <v>#N/A</v>
      </c>
    </row>
    <row r="78" customFormat="false" ht="12.75" hidden="false" customHeight="false" outlineLevel="0" collapsed="false">
      <c r="A78" s="196" t="n">
        <f aca="false">IF(A77&lt;mthend,EDATE(A77,1),"")</f>
        <v>39114</v>
      </c>
      <c r="B78" s="197" t="n">
        <f aca="false">IF(A78&lt;mthend,B77,"")</f>
        <v>36522</v>
      </c>
      <c r="C78" s="215"/>
      <c r="D78" s="197" t="n">
        <f aca="false">IF(A79&lt;&gt;"",B78+C78,"")</f>
        <v>36522</v>
      </c>
      <c r="E78" s="199" t="n">
        <f aca="false">IF(A79="","",IF(AND(AT78=1,$H$3=1),D78*AO78,IF($H$3=2,D78,"N/A")))</f>
        <v>1022616</v>
      </c>
      <c r="F78" s="199" t="n">
        <f aca="false">IF(A79="","",E78*AS78)</f>
        <v>6310788.00055976</v>
      </c>
      <c r="G78" s="200" t="e">
        <f aca="false">IF($A79="","",VLOOKUP($A78,Table,MATCH(G$4,Curves,0)))</f>
        <v>#N/A</v>
      </c>
      <c r="H78" s="201" t="e">
        <f aca="false">IF(A79="","",G78)</f>
        <v>#N/A</v>
      </c>
      <c r="I78" s="202"/>
      <c r="J78" s="200" t="e">
        <f aca="false">IF($A79="","",VLOOKUP($A78,Table,MATCH(J$4,Curves,0)))</f>
        <v>#N/A</v>
      </c>
      <c r="K78" s="201" t="e">
        <f aca="false">IF(A79="","",J78)</f>
        <v>#N/A</v>
      </c>
      <c r="L78" s="200" t="e">
        <f aca="false">IF($A79="","",VLOOKUP($A78,Table,MATCH(L$4,Curves,0)))</f>
        <v>#N/A</v>
      </c>
      <c r="M78" s="201" t="e">
        <f aca="false">IF(A79="","",L78)</f>
        <v>#N/A</v>
      </c>
      <c r="N78" s="203"/>
      <c r="O78" s="200" t="e">
        <f aca="false">IF(A79="","",L78+J78+G78)</f>
        <v>#N/A</v>
      </c>
      <c r="P78" s="200" t="e">
        <f aca="false">IF(A79="","",M78+K78+H78)</f>
        <v>#N/A</v>
      </c>
      <c r="Q78" s="204"/>
      <c r="R78" s="200" t="e">
        <f aca="false">IF($A79="","",VLOOKUP($A78,Table,MATCH(R$4,Curves,0)))</f>
        <v>#N/A</v>
      </c>
      <c r="S78" s="201" t="e">
        <f aca="false">IF(A79="","",R78)</f>
        <v>#N/A</v>
      </c>
      <c r="T78" s="200" t="e">
        <f aca="false">IF($A79="","",VLOOKUP($A78,Table,MATCH(T$4,Curves,0)))</f>
        <v>#N/A</v>
      </c>
      <c r="U78" s="201" t="e">
        <f aca="false">IF(A79="","",T78)</f>
        <v>#N/A</v>
      </c>
      <c r="V78" s="225" t="e">
        <f aca="false">IF($A79="","",IF(AND(MONTH(A78)&gt;3,MONTH(A78)&lt;11),(T78+R78+G78)*(((1/(1-Summary!$T$12))/(1-Summary!$W$12))-1),(T78+R78+G78)*((1/(1-Summary!$U$12))/(1-Summary!$X$12)-1)))</f>
        <v>#N/A</v>
      </c>
      <c r="W78" s="200" t="e">
        <f aca="false">IF($A79="","",(T78+R78+G78+V78))</f>
        <v>#N/A</v>
      </c>
      <c r="X78" s="200" t="e">
        <f aca="false">IF($A79="","",(U78+S78+H78+V78))</f>
        <v>#N/A</v>
      </c>
      <c r="Y78" s="202"/>
      <c r="Z78" s="185" t="e">
        <f aca="false">IF($A79="","",VLOOKUP($A78,Table,MATCH(Z$4,Curves,0)))</f>
        <v>#N/A</v>
      </c>
      <c r="AA78" s="185" t="e">
        <f aca="false">IF($A79="","",VLOOKUP($A78,Table,MATCH(AA$4,Curves,0)))</f>
        <v>#N/A</v>
      </c>
      <c r="AB78" s="185" t="e">
        <f aca="false">SQRT((AA78^2*(A78-$D$3)+Z78^2*(DAY(EOMONTH(A78,0))/2))/AK78)</f>
        <v>#N/A</v>
      </c>
      <c r="AC78" s="185" t="e">
        <f aca="false">IF($A79="","",VLOOKUP($A78,Table,MATCH(AC$4,Curves,0)))</f>
        <v>#N/A</v>
      </c>
      <c r="AD78" s="185" t="e">
        <f aca="false">IF($A79="","",VLOOKUP($A78,Table,MATCH(AD$4,Curves,0)))</f>
        <v>#N/A</v>
      </c>
      <c r="AE78" s="185" t="e">
        <f aca="false">SQRT((AD78^2*(A78-$D$3)+AC78^2*(DAY(EOMONTH(A78,0))/2))/AK78)</f>
        <v>#N/A</v>
      </c>
      <c r="AF78" s="206" t="e">
        <f aca="false">((Summary!$N$12*(AA78*AD78)*(A78-$D$3))+(Summary!$M$12*Z78*AC78*(AJ78-EOMONTH(EDATE(A78,-1),0))))/(AK78*AB78*AE78)</f>
        <v>#N/A</v>
      </c>
      <c r="AG78" s="207" t="n">
        <f aca="false">IF($A79="","",Summary!$Q$12)</f>
        <v>0</v>
      </c>
      <c r="AH78" s="207" t="n">
        <f aca="false">IF($A79="","",IF(Summary!$R$12="Y",(VLOOKUP($A78,Summary!$AD$6:$AF$9,3)+'Escalating commodity'!H91),'Escalating commodity'!H91))</f>
        <v>0.029</v>
      </c>
      <c r="AI78" s="207" t="n">
        <f aca="false">IF($A79="","",AH78)</f>
        <v>0.029</v>
      </c>
      <c r="AJ78" s="208" t="n">
        <f aca="false">A78+DAY(EOMONTH(A78,0))/2-1</f>
        <v>39127</v>
      </c>
      <c r="AK78" s="209" t="n">
        <f aca="false">IF($A79="","",$A78-$E$1)</f>
        <v>-6812</v>
      </c>
      <c r="AL78" s="182" t="e">
        <f aca="false">IF($A79="","",SPRDOPT(P78,X78,AI78,0,AB78,AE78,AF78,AK78,$AJ$2,0))</f>
        <v>#NAME?</v>
      </c>
      <c r="AM78" s="211" t="e">
        <f aca="false">IF($A79="","",MAX(0,O78-W78-AI78))</f>
        <v>#N/A</v>
      </c>
      <c r="AN78" s="211" t="e">
        <f aca="false">IF($A79="","",AL78-AM78)</f>
        <v>#N/A</v>
      </c>
      <c r="AO78" s="137" t="n">
        <f aca="false">IF(A79="","",A79-A78)</f>
        <v>28</v>
      </c>
      <c r="AP78" s="212" t="n">
        <f aca="false">IF(A79="","",CHOOSE(F$3,A79+24,A78))</f>
        <v>39114</v>
      </c>
      <c r="AQ78" s="209" t="n">
        <f aca="false">IF(A79="","",AP78-$E$1)</f>
        <v>-6812</v>
      </c>
      <c r="AR78" s="185" t="n">
        <f aca="false">'ANR OK vs ML7'!AR78</f>
        <v>0.1</v>
      </c>
      <c r="AS78" s="213" t="n">
        <f aca="false">IF(A79="","",1/(1+CHOOSE(F$3,(AR79+($I$3/10000))/2,(AR78+($I$3/10000))/2))^(2*AQ78/365.25))</f>
        <v>6.1712196959169</v>
      </c>
      <c r="AT78" s="137" t="n">
        <f aca="false">IF(A79="","",IF(AND(mthbeg&lt;=A78,mthend&gt;=A78),1,0))</f>
        <v>1</v>
      </c>
      <c r="AU78" s="137" t="n">
        <f aca="false">IF(A79="","",AO78*AT78)</f>
        <v>28</v>
      </c>
      <c r="AW78" s="195" t="e">
        <f aca="false">IF($A79="","",AL78*$E78)</f>
        <v>#NAME?</v>
      </c>
      <c r="AX78" s="195" t="e">
        <f aca="false">IF($A79="","",AM78*$E78)</f>
        <v>#N/A</v>
      </c>
      <c r="AY78" s="195" t="e">
        <f aca="false">IF($A79="","",AN78*$E78)</f>
        <v>#N/A</v>
      </c>
      <c r="BA78" s="195" t="n">
        <f aca="false">IF($A79="","",F78*Summary!$Q$12)</f>
        <v>0</v>
      </c>
      <c r="BC78" s="179" t="e">
        <f aca="false">IF(A79="","",AM78*F78)</f>
        <v>#N/A</v>
      </c>
    </row>
    <row r="79" customFormat="false" ht="12.75" hidden="false" customHeight="false" outlineLevel="0" collapsed="false">
      <c r="A79" s="196" t="n">
        <f aca="false">IF(A78&lt;mthend,EDATE(A78,1),"")</f>
        <v>39142</v>
      </c>
      <c r="B79" s="197" t="n">
        <f aca="false">IF(A79&lt;mthend,B78,"")</f>
        <v>36522</v>
      </c>
      <c r="C79" s="215"/>
      <c r="D79" s="197" t="n">
        <f aca="false">IF(A80&lt;&gt;"",B79+C79,"")</f>
        <v>36522</v>
      </c>
      <c r="E79" s="199" t="n">
        <f aca="false">IF(A80="","",IF(AND(AT79=1,$H$3=1),D79*AO79,IF($H$3=2,D79,"N/A")))</f>
        <v>1132182</v>
      </c>
      <c r="F79" s="199" t="n">
        <f aca="false">IF(A80="","",E79*AS79)</f>
        <v>6934873.09013404</v>
      </c>
      <c r="G79" s="200" t="e">
        <f aca="false">IF($A80="","",VLOOKUP($A79,Table,MATCH(G$4,Curves,0)))</f>
        <v>#N/A</v>
      </c>
      <c r="H79" s="201" t="e">
        <f aca="false">IF(A80="","",G79)</f>
        <v>#N/A</v>
      </c>
      <c r="I79" s="202"/>
      <c r="J79" s="200" t="e">
        <f aca="false">IF($A80="","",VLOOKUP($A79,Table,MATCH(J$4,Curves,0)))</f>
        <v>#N/A</v>
      </c>
      <c r="K79" s="201" t="e">
        <f aca="false">IF(A80="","",J79)</f>
        <v>#N/A</v>
      </c>
      <c r="L79" s="200" t="e">
        <f aca="false">IF($A80="","",VLOOKUP($A79,Table,MATCH(L$4,Curves,0)))</f>
        <v>#N/A</v>
      </c>
      <c r="M79" s="201" t="e">
        <f aca="false">IF(A80="","",L79)</f>
        <v>#N/A</v>
      </c>
      <c r="N79" s="203"/>
      <c r="O79" s="200" t="e">
        <f aca="false">IF(A80="","",L79+J79+G79)</f>
        <v>#N/A</v>
      </c>
      <c r="P79" s="200" t="e">
        <f aca="false">IF(A80="","",M79+K79+H79)</f>
        <v>#N/A</v>
      </c>
      <c r="Q79" s="204"/>
      <c r="R79" s="200" t="e">
        <f aca="false">IF($A80="","",VLOOKUP($A79,Table,MATCH(R$4,Curves,0)))</f>
        <v>#N/A</v>
      </c>
      <c r="S79" s="201" t="e">
        <f aca="false">IF(A80="","",R79)</f>
        <v>#N/A</v>
      </c>
      <c r="T79" s="200" t="e">
        <f aca="false">IF($A80="","",VLOOKUP($A79,Table,MATCH(T$4,Curves,0)))</f>
        <v>#N/A</v>
      </c>
      <c r="U79" s="201" t="e">
        <f aca="false">IF(A80="","",T79)</f>
        <v>#N/A</v>
      </c>
      <c r="V79" s="225" t="e">
        <f aca="false">IF($A80="","",IF(AND(MONTH(A79)&gt;3,MONTH(A79)&lt;11),(T79+R79+G79)*(((1/(1-Summary!$T$12))/(1-Summary!$W$12))-1),(T79+R79+G79)*((1/(1-Summary!$U$12))/(1-Summary!$X$12)-1)))</f>
        <v>#N/A</v>
      </c>
      <c r="W79" s="200" t="e">
        <f aca="false">IF($A80="","",(T79+R79+G79+V79))</f>
        <v>#N/A</v>
      </c>
      <c r="X79" s="200" t="e">
        <f aca="false">IF($A80="","",(U79+S79+H79+V79))</f>
        <v>#N/A</v>
      </c>
      <c r="Y79" s="202"/>
      <c r="Z79" s="185" t="e">
        <f aca="false">IF($A80="","",VLOOKUP($A79,Table,MATCH(Z$4,Curves,0)))</f>
        <v>#N/A</v>
      </c>
      <c r="AA79" s="185" t="e">
        <f aca="false">IF($A80="","",VLOOKUP($A79,Table,MATCH(AA$4,Curves,0)))</f>
        <v>#N/A</v>
      </c>
      <c r="AB79" s="185" t="e">
        <f aca="false">SQRT((AA79^2*(A79-$D$3)+Z79^2*(DAY(EOMONTH(A79,0))/2))/AK79)</f>
        <v>#N/A</v>
      </c>
      <c r="AC79" s="185" t="e">
        <f aca="false">IF($A80="","",VLOOKUP($A79,Table,MATCH(AC$4,Curves,0)))</f>
        <v>#N/A</v>
      </c>
      <c r="AD79" s="185" t="e">
        <f aca="false">IF($A80="","",VLOOKUP($A79,Table,MATCH(AD$4,Curves,0)))</f>
        <v>#N/A</v>
      </c>
      <c r="AE79" s="185" t="e">
        <f aca="false">SQRT((AD79^2*(A79-$D$3)+AC79^2*(DAY(EOMONTH(A79,0))/2))/AK79)</f>
        <v>#N/A</v>
      </c>
      <c r="AF79" s="206" t="e">
        <f aca="false">((Summary!$N$12*(AA79*AD79)*(A79-$D$3))+(Summary!$M$12*Z79*AC79*(AJ79-EOMONTH(EDATE(A79,-1),0))))/(AK79*AB79*AE79)</f>
        <v>#N/A</v>
      </c>
      <c r="AG79" s="207" t="n">
        <f aca="false">IF($A80="","",Summary!$Q$12)</f>
        <v>0</v>
      </c>
      <c r="AH79" s="207" t="n">
        <f aca="false">IF($A80="","",IF(Summary!$R$12="Y",(VLOOKUP($A79,Summary!$AD$6:$AF$9,3)+'Escalating commodity'!H92),'Escalating commodity'!H92))</f>
        <v>0.029</v>
      </c>
      <c r="AI79" s="207" t="n">
        <f aca="false">IF($A80="","",AH79)</f>
        <v>0.029</v>
      </c>
      <c r="AJ79" s="208" t="n">
        <f aca="false">A79+DAY(EOMONTH(A79,0))/2-1</f>
        <v>39156.5</v>
      </c>
      <c r="AK79" s="209" t="n">
        <f aca="false">IF($A80="","",$A79-$E$1)</f>
        <v>-6784</v>
      </c>
      <c r="AL79" s="182" t="e">
        <f aca="false">IF($A80="","",SPRDOPT(P79,X79,AI79,0,AB79,AE79,AF79,AK79,$AJ$2,0))</f>
        <v>#NAME?</v>
      </c>
      <c r="AM79" s="211" t="e">
        <f aca="false">IF($A80="","",MAX(0,O79-W79-AI79))</f>
        <v>#N/A</v>
      </c>
      <c r="AN79" s="211" t="e">
        <f aca="false">IF($A80="","",AL79-AM79)</f>
        <v>#N/A</v>
      </c>
      <c r="AO79" s="137" t="n">
        <f aca="false">IF(A80="","",A80-A79)</f>
        <v>31</v>
      </c>
      <c r="AP79" s="212" t="n">
        <f aca="false">IF(A80="","",CHOOSE(F$3,A80+24,A79))</f>
        <v>39142</v>
      </c>
      <c r="AQ79" s="209" t="n">
        <f aca="false">IF(A80="","",AP79-$E$1)</f>
        <v>-6784</v>
      </c>
      <c r="AR79" s="185" t="n">
        <f aca="false">'ANR OK vs ML7'!AR79</f>
        <v>0.1</v>
      </c>
      <c r="AS79" s="213" t="n">
        <f aca="false">IF(A80="","",1/(1+CHOOSE(F$3,(AR80+($I$3/10000))/2,(AR79+($I$3/10000))/2))^(2*AQ79/365.25))</f>
        <v>6.12522817898009</v>
      </c>
      <c r="AT79" s="137" t="n">
        <f aca="false">IF(A80="","",IF(AND(mthbeg&lt;=A79,mthend&gt;=A79),1,0))</f>
        <v>1</v>
      </c>
      <c r="AU79" s="137" t="n">
        <f aca="false">IF(A80="","",AO79*AT79)</f>
        <v>31</v>
      </c>
      <c r="AW79" s="195" t="e">
        <f aca="false">IF($A80="","",AL79*$E79)</f>
        <v>#NAME?</v>
      </c>
      <c r="AX79" s="195" t="e">
        <f aca="false">IF($A80="","",AM79*$E79)</f>
        <v>#N/A</v>
      </c>
      <c r="AY79" s="195" t="e">
        <f aca="false">IF($A80="","",AN79*$E79)</f>
        <v>#N/A</v>
      </c>
      <c r="BA79" s="195" t="n">
        <f aca="false">IF($A80="","",F79*Summary!$Q$12)</f>
        <v>0</v>
      </c>
      <c r="BC79" s="179" t="e">
        <f aca="false">IF(A80="","",AM79*F79)</f>
        <v>#N/A</v>
      </c>
    </row>
    <row r="80" customFormat="false" ht="12.75" hidden="false" customHeight="false" outlineLevel="0" collapsed="false">
      <c r="A80" s="196" t="n">
        <f aca="false">IF(A79&lt;mthend,EDATE(A79,1),"")</f>
        <v>39173</v>
      </c>
      <c r="B80" s="197" t="n">
        <f aca="false">IF(A80&lt;mthend,B79,"")</f>
        <v>36522</v>
      </c>
      <c r="C80" s="215"/>
      <c r="D80" s="197" t="n">
        <f aca="false">IF(A81&lt;&gt;"",B80+C80,"")</f>
        <v>36522</v>
      </c>
      <c r="E80" s="199" t="n">
        <f aca="false">IF(A81="","",IF(AND(AT80=1,$H$3=1),D80*AO80,IF($H$3=2,D80,"N/A")))</f>
        <v>1095660</v>
      </c>
      <c r="F80" s="199" t="n">
        <f aca="false">IF(A81="","",E80*AS80)</f>
        <v>6655815.33588583</v>
      </c>
      <c r="G80" s="200" t="e">
        <f aca="false">IF($A81="","",VLOOKUP($A80,Table,MATCH(G$4,Curves,0)))</f>
        <v>#N/A</v>
      </c>
      <c r="H80" s="201" t="e">
        <f aca="false">IF(A81="","",G80)</f>
        <v>#N/A</v>
      </c>
      <c r="I80" s="202"/>
      <c r="J80" s="200" t="e">
        <f aca="false">IF($A81="","",VLOOKUP($A80,Table,MATCH(J$4,Curves,0)))</f>
        <v>#N/A</v>
      </c>
      <c r="K80" s="201" t="e">
        <f aca="false">IF(A81="","",J80)</f>
        <v>#N/A</v>
      </c>
      <c r="L80" s="200" t="e">
        <f aca="false">IF($A81="","",VLOOKUP($A80,Table,MATCH(L$4,Curves,0)))</f>
        <v>#N/A</v>
      </c>
      <c r="M80" s="201" t="e">
        <f aca="false">IF(A81="","",L80)</f>
        <v>#N/A</v>
      </c>
      <c r="N80" s="203"/>
      <c r="O80" s="200" t="e">
        <f aca="false">IF(A81="","",L80+J80+G80)</f>
        <v>#N/A</v>
      </c>
      <c r="P80" s="200" t="e">
        <f aca="false">IF(A81="","",M80+K80+H80)</f>
        <v>#N/A</v>
      </c>
      <c r="Q80" s="204"/>
      <c r="R80" s="200" t="e">
        <f aca="false">IF($A81="","",VLOOKUP($A80,Table,MATCH(R$4,Curves,0)))</f>
        <v>#N/A</v>
      </c>
      <c r="S80" s="201" t="e">
        <f aca="false">IF(A81="","",R80)</f>
        <v>#N/A</v>
      </c>
      <c r="T80" s="200" t="e">
        <f aca="false">IF($A81="","",VLOOKUP($A80,Table,MATCH(T$4,Curves,0)))</f>
        <v>#N/A</v>
      </c>
      <c r="U80" s="201" t="e">
        <f aca="false">IF(A81="","",T80)</f>
        <v>#N/A</v>
      </c>
      <c r="V80" s="225" t="e">
        <f aca="false">IF($A81="","",IF(AND(MONTH(A80)&gt;3,MONTH(A80)&lt;11),(T80+R80+G80)*(((1/(1-Summary!$T$12))/(1-Summary!$W$12))-1),(T80+R80+G80)*((1/(1-Summary!$U$12))/(1-Summary!$X$12)-1)))</f>
        <v>#N/A</v>
      </c>
      <c r="W80" s="200" t="e">
        <f aca="false">IF($A81="","",(T80+R80+G80+V80))</f>
        <v>#N/A</v>
      </c>
      <c r="X80" s="200" t="e">
        <f aca="false">IF($A81="","",(U80+S80+H80+V80))</f>
        <v>#N/A</v>
      </c>
      <c r="Y80" s="202"/>
      <c r="Z80" s="185" t="e">
        <f aca="false">IF($A81="","",VLOOKUP($A80,Table,MATCH(Z$4,Curves,0)))</f>
        <v>#N/A</v>
      </c>
      <c r="AA80" s="185" t="e">
        <f aca="false">IF($A81="","",VLOOKUP($A80,Table,MATCH(AA$4,Curves,0)))</f>
        <v>#N/A</v>
      </c>
      <c r="AB80" s="185" t="e">
        <f aca="false">SQRT((AA80^2*(A80-$D$3)+Z80^2*(DAY(EOMONTH(A80,0))/2))/AK80)</f>
        <v>#N/A</v>
      </c>
      <c r="AC80" s="185" t="e">
        <f aca="false">IF($A81="","",VLOOKUP($A80,Table,MATCH(AC$4,Curves,0)))</f>
        <v>#N/A</v>
      </c>
      <c r="AD80" s="185" t="e">
        <f aca="false">IF($A81="","",VLOOKUP($A80,Table,MATCH(AD$4,Curves,0)))</f>
        <v>#N/A</v>
      </c>
      <c r="AE80" s="185" t="e">
        <f aca="false">SQRT((AD80^2*(A80-$D$3)+AC80^2*(DAY(EOMONTH(A80,0))/2))/AK80)</f>
        <v>#N/A</v>
      </c>
      <c r="AF80" s="206" t="e">
        <f aca="false">((Summary!$N$12*(AA80*AD80)*(A80-$D$3))+(Summary!$M$12*Z80*AC80*(AJ80-EOMONTH(EDATE(A80,-1),0))))/(AK80*AB80*AE80)</f>
        <v>#N/A</v>
      </c>
      <c r="AG80" s="207" t="n">
        <f aca="false">IF($A81="","",Summary!$Q$12)</f>
        <v>0</v>
      </c>
      <c r="AH80" s="207" t="n">
        <f aca="false">IF($A81="","",IF(Summary!$R$12="Y",(VLOOKUP($A80,Summary!$AD$6:$AF$9,3)+'Escalating commodity'!H93),'Escalating commodity'!H93))</f>
        <v>0.029</v>
      </c>
      <c r="AI80" s="207" t="n">
        <f aca="false">IF($A81="","",AH80)</f>
        <v>0.029</v>
      </c>
      <c r="AJ80" s="208" t="n">
        <f aca="false">A80+DAY(EOMONTH(A80,0))/2-1</f>
        <v>39187</v>
      </c>
      <c r="AK80" s="209" t="n">
        <f aca="false">IF($A81="","",$A80-$E$1)</f>
        <v>-6753</v>
      </c>
      <c r="AL80" s="182" t="e">
        <f aca="false">IF($A81="","",SPRDOPT(P80,X80,AI80,0,AB80,AE80,AF80,AK80,$AJ$2,0))</f>
        <v>#NAME?</v>
      </c>
      <c r="AM80" s="211" t="e">
        <f aca="false">IF($A81="","",MAX(0,O80-W80-AI80))</f>
        <v>#N/A</v>
      </c>
      <c r="AN80" s="211" t="e">
        <f aca="false">IF($A81="","",AL80-AM80)</f>
        <v>#N/A</v>
      </c>
      <c r="AO80" s="137" t="n">
        <f aca="false">IF(A81="","",A81-A80)</f>
        <v>30</v>
      </c>
      <c r="AP80" s="212" t="n">
        <f aca="false">IF(A81="","",CHOOSE(F$3,A81+24,A80))</f>
        <v>39173</v>
      </c>
      <c r="AQ80" s="209" t="n">
        <f aca="false">IF(A81="","",AP80-$E$1)</f>
        <v>-6753</v>
      </c>
      <c r="AR80" s="185" t="n">
        <f aca="false">'ANR OK vs ML7'!AR80</f>
        <v>0.1</v>
      </c>
      <c r="AS80" s="213" t="n">
        <f aca="false">IF(A81="","",1/(1+CHOOSE(F$3,(AR81+($I$3/10000))/2,(AR80+($I$3/10000))/2))^(2*AQ80/365.25))</f>
        <v>6.07470870150031</v>
      </c>
      <c r="AT80" s="137" t="n">
        <f aca="false">IF(A81="","",IF(AND(mthbeg&lt;=A80,mthend&gt;=A80),1,0))</f>
        <v>1</v>
      </c>
      <c r="AU80" s="137" t="n">
        <f aca="false">IF(A81="","",AO80*AT80)</f>
        <v>30</v>
      </c>
      <c r="AW80" s="195" t="e">
        <f aca="false">IF($A81="","",AL80*$E80)</f>
        <v>#NAME?</v>
      </c>
      <c r="AX80" s="195" t="e">
        <f aca="false">IF($A81="","",AM80*$E80)</f>
        <v>#N/A</v>
      </c>
      <c r="AY80" s="195" t="e">
        <f aca="false">IF($A81="","",AN80*$E80)</f>
        <v>#N/A</v>
      </c>
      <c r="BA80" s="195" t="n">
        <f aca="false">IF($A81="","",F80*Summary!$Q$12)</f>
        <v>0</v>
      </c>
      <c r="BC80" s="179" t="e">
        <f aca="false">IF(A81="","",AM80*F80)</f>
        <v>#N/A</v>
      </c>
    </row>
    <row r="81" customFormat="false" ht="12.75" hidden="false" customHeight="false" outlineLevel="0" collapsed="false">
      <c r="A81" s="196" t="n">
        <f aca="false">IF(A80&lt;mthend,EDATE(A80,1),"")</f>
        <v>39203</v>
      </c>
      <c r="B81" s="197" t="n">
        <f aca="false">IF(A81&lt;mthend,B80,"")</f>
        <v>36522</v>
      </c>
      <c r="C81" s="215"/>
      <c r="D81" s="197" t="n">
        <f aca="false">IF(A82&lt;&gt;"",B81+C81,"")</f>
        <v>36522</v>
      </c>
      <c r="E81" s="199" t="n">
        <f aca="false">IF(A82="","",IF(AND(AT81=1,$H$3=1),D81*AO81,IF($H$3=2,D81,"N/A")))</f>
        <v>1132182</v>
      </c>
      <c r="F81" s="199" t="n">
        <f aca="false">IF(A82="","",E81*AS81)</f>
        <v>6822772.88489831</v>
      </c>
      <c r="G81" s="200" t="e">
        <f aca="false">IF($A82="","",VLOOKUP($A81,Table,MATCH(G$4,Curves,0)))</f>
        <v>#N/A</v>
      </c>
      <c r="H81" s="201" t="e">
        <f aca="false">IF(A82="","",G81)</f>
        <v>#N/A</v>
      </c>
      <c r="I81" s="202"/>
      <c r="J81" s="200" t="e">
        <f aca="false">IF($A82="","",VLOOKUP($A81,Table,MATCH(J$4,Curves,0)))</f>
        <v>#N/A</v>
      </c>
      <c r="K81" s="201" t="e">
        <f aca="false">IF(A82="","",J81)</f>
        <v>#N/A</v>
      </c>
      <c r="L81" s="200" t="e">
        <f aca="false">IF($A82="","",VLOOKUP($A81,Table,MATCH(L$4,Curves,0)))</f>
        <v>#N/A</v>
      </c>
      <c r="M81" s="201" t="e">
        <f aca="false">IF(A82="","",L81)</f>
        <v>#N/A</v>
      </c>
      <c r="N81" s="203"/>
      <c r="O81" s="200" t="e">
        <f aca="false">IF(A82="","",L81+J81+G81)</f>
        <v>#N/A</v>
      </c>
      <c r="P81" s="200" t="e">
        <f aca="false">IF(A82="","",M81+K81+H81)</f>
        <v>#N/A</v>
      </c>
      <c r="Q81" s="204"/>
      <c r="R81" s="200" t="e">
        <f aca="false">IF($A82="","",VLOOKUP($A81,Table,MATCH(R$4,Curves,0)))</f>
        <v>#N/A</v>
      </c>
      <c r="S81" s="201" t="e">
        <f aca="false">IF(A82="","",R81)</f>
        <v>#N/A</v>
      </c>
      <c r="T81" s="200" t="e">
        <f aca="false">IF($A82="","",VLOOKUP($A81,Table,MATCH(T$4,Curves,0)))</f>
        <v>#N/A</v>
      </c>
      <c r="U81" s="201" t="e">
        <f aca="false">IF(A82="","",T81)</f>
        <v>#N/A</v>
      </c>
      <c r="V81" s="225" t="e">
        <f aca="false">IF($A82="","",IF(AND(MONTH(A81)&gt;3,MONTH(A81)&lt;11),(T81+R81+G81)*(((1/(1-Summary!$T$12))/(1-Summary!$W$12))-1),(T81+R81+G81)*((1/(1-Summary!$U$12))/(1-Summary!$X$12)-1)))</f>
        <v>#N/A</v>
      </c>
      <c r="W81" s="200" t="e">
        <f aca="false">IF($A82="","",(T81+R81+G81+V81))</f>
        <v>#N/A</v>
      </c>
      <c r="X81" s="200" t="e">
        <f aca="false">IF($A82="","",(U81+S81+H81+V81))</f>
        <v>#N/A</v>
      </c>
      <c r="Y81" s="202"/>
      <c r="Z81" s="185" t="e">
        <f aca="false">IF($A82="","",VLOOKUP($A81,Table,MATCH(Z$4,Curves,0)))</f>
        <v>#N/A</v>
      </c>
      <c r="AA81" s="185" t="e">
        <f aca="false">IF($A82="","",VLOOKUP($A81,Table,MATCH(AA$4,Curves,0)))</f>
        <v>#N/A</v>
      </c>
      <c r="AB81" s="185" t="e">
        <f aca="false">SQRT((AA81^2*(A81-$D$3)+Z81^2*(DAY(EOMONTH(A81,0))/2))/AK81)</f>
        <v>#N/A</v>
      </c>
      <c r="AC81" s="185" t="e">
        <f aca="false">IF($A82="","",VLOOKUP($A81,Table,MATCH(AC$4,Curves,0)))</f>
        <v>#N/A</v>
      </c>
      <c r="AD81" s="185" t="e">
        <f aca="false">IF($A82="","",VLOOKUP($A81,Table,MATCH(AD$4,Curves,0)))</f>
        <v>#N/A</v>
      </c>
      <c r="AE81" s="185" t="e">
        <f aca="false">SQRT((AD81^2*(A81-$D$3)+AC81^2*(DAY(EOMONTH(A81,0))/2))/AK81)</f>
        <v>#N/A</v>
      </c>
      <c r="AF81" s="206" t="e">
        <f aca="false">((Summary!$N$12*(AA81*AD81)*(A81-$D$3))+(Summary!$M$12*Z81*AC81*(AJ81-EOMONTH(EDATE(A81,-1),0))))/(AK81*AB81*AE81)</f>
        <v>#N/A</v>
      </c>
      <c r="AG81" s="207" t="n">
        <f aca="false">IF($A82="","",Summary!$Q$12)</f>
        <v>0</v>
      </c>
      <c r="AH81" s="207" t="n">
        <f aca="false">IF($A82="","",IF(Summary!$R$12="Y",(VLOOKUP($A81,Summary!$AD$6:$AF$9,3)+'Escalating commodity'!H94),'Escalating commodity'!H94))</f>
        <v>0.029</v>
      </c>
      <c r="AI81" s="207" t="n">
        <f aca="false">IF($A82="","",AH81)</f>
        <v>0.029</v>
      </c>
      <c r="AJ81" s="208" t="n">
        <f aca="false">A81+DAY(EOMONTH(A81,0))/2-1</f>
        <v>39217.5</v>
      </c>
      <c r="AK81" s="209" t="n">
        <f aca="false">IF($A82="","",$A81-$E$1)</f>
        <v>-6723</v>
      </c>
      <c r="AL81" s="182" t="e">
        <f aca="false">IF($A82="","",SPRDOPT(P81,X81,AI81,0,AB81,AE81,AF81,AK81,$AJ$2,0))</f>
        <v>#NAME?</v>
      </c>
      <c r="AM81" s="211" t="e">
        <f aca="false">IF($A82="","",MAX(0,O81-W81-AI81))</f>
        <v>#N/A</v>
      </c>
      <c r="AN81" s="211" t="e">
        <f aca="false">IF($A82="","",AL81-AM81)</f>
        <v>#N/A</v>
      </c>
      <c r="AO81" s="137" t="n">
        <f aca="false">IF(A82="","",A82-A81)</f>
        <v>31</v>
      </c>
      <c r="AP81" s="212" t="n">
        <f aca="false">IF(A82="","",CHOOSE(F$3,A82+24,A81))</f>
        <v>39203</v>
      </c>
      <c r="AQ81" s="209" t="n">
        <f aca="false">IF(A82="","",AP81-$E$1)</f>
        <v>-6723</v>
      </c>
      <c r="AR81" s="185" t="n">
        <f aca="false">'ANR OK vs ML7'!AR81</f>
        <v>0.1</v>
      </c>
      <c r="AS81" s="213" t="n">
        <f aca="false">IF(A82="","",1/(1+CHOOSE(F$3,(AR82+($I$3/10000))/2,(AR81+($I$3/10000))/2))^(2*AQ81/365.25))</f>
        <v>6.02621564810102</v>
      </c>
      <c r="AT81" s="137" t="n">
        <f aca="false">IF(A82="","",IF(AND(mthbeg&lt;=A81,mthend&gt;=A81),1,0))</f>
        <v>1</v>
      </c>
      <c r="AU81" s="137" t="n">
        <f aca="false">IF(A82="","",AO81*AT81)</f>
        <v>31</v>
      </c>
      <c r="AW81" s="195" t="e">
        <f aca="false">IF($A82="","",AL81*$E81)</f>
        <v>#NAME?</v>
      </c>
      <c r="AX81" s="195" t="e">
        <f aca="false">IF($A82="","",AM81*$E81)</f>
        <v>#N/A</v>
      </c>
      <c r="AY81" s="195" t="e">
        <f aca="false">IF($A82="","",AN81*$E81)</f>
        <v>#N/A</v>
      </c>
      <c r="BA81" s="195" t="n">
        <f aca="false">IF($A82="","",F81*Summary!$Q$12)</f>
        <v>0</v>
      </c>
      <c r="BC81" s="179" t="e">
        <f aca="false">IF(A82="","",AM81*F81)</f>
        <v>#N/A</v>
      </c>
    </row>
    <row r="82" customFormat="false" ht="12.75" hidden="false" customHeight="false" outlineLevel="0" collapsed="false">
      <c r="A82" s="196" t="n">
        <f aca="false">IF(A81&lt;mthend,EDATE(A81,1),"")</f>
        <v>39234</v>
      </c>
      <c r="B82" s="197" t="n">
        <f aca="false">IF(A82&lt;mthend,B81,"")</f>
        <v>36522</v>
      </c>
      <c r="C82" s="215"/>
      <c r="D82" s="197" t="n">
        <f aca="false">IF(A83&lt;&gt;"",B82+C82,"")</f>
        <v>36522</v>
      </c>
      <c r="E82" s="199" t="n">
        <f aca="false">IF(A83="","",IF(AND(AT82=1,$H$3=1),D82*AO82,IF($H$3=2,D82,"N/A")))</f>
        <v>1095660</v>
      </c>
      <c r="F82" s="199" t="n">
        <f aca="false">IF(A83="","",E82*AS82)</f>
        <v>6548226.01803294</v>
      </c>
      <c r="G82" s="200" t="e">
        <f aca="false">IF($A83="","",VLOOKUP($A82,Table,MATCH(G$4,Curves,0)))</f>
        <v>#N/A</v>
      </c>
      <c r="H82" s="201" t="e">
        <f aca="false">IF(A83="","",G82)</f>
        <v>#N/A</v>
      </c>
      <c r="I82" s="202"/>
      <c r="J82" s="200" t="e">
        <f aca="false">IF($A83="","",VLOOKUP($A82,Table,MATCH(J$4,Curves,0)))</f>
        <v>#N/A</v>
      </c>
      <c r="K82" s="201" t="e">
        <f aca="false">IF(A83="","",J82)</f>
        <v>#N/A</v>
      </c>
      <c r="L82" s="200" t="e">
        <f aca="false">IF($A83="","",VLOOKUP($A82,Table,MATCH(L$4,Curves,0)))</f>
        <v>#N/A</v>
      </c>
      <c r="M82" s="201" t="e">
        <f aca="false">IF(A83="","",L82)</f>
        <v>#N/A</v>
      </c>
      <c r="N82" s="203"/>
      <c r="O82" s="200" t="e">
        <f aca="false">IF(A83="","",L82+J82+G82)</f>
        <v>#N/A</v>
      </c>
      <c r="P82" s="200" t="e">
        <f aca="false">IF(A83="","",M82+K82+H82)</f>
        <v>#N/A</v>
      </c>
      <c r="Q82" s="204"/>
      <c r="R82" s="200" t="e">
        <f aca="false">IF($A83="","",VLOOKUP($A82,Table,MATCH(R$4,Curves,0)))</f>
        <v>#N/A</v>
      </c>
      <c r="S82" s="201" t="e">
        <f aca="false">IF(A83="","",R82)</f>
        <v>#N/A</v>
      </c>
      <c r="T82" s="200" t="e">
        <f aca="false">IF($A83="","",VLOOKUP($A82,Table,MATCH(T$4,Curves,0)))</f>
        <v>#N/A</v>
      </c>
      <c r="U82" s="201" t="e">
        <f aca="false">IF(A83="","",T82)</f>
        <v>#N/A</v>
      </c>
      <c r="V82" s="225" t="e">
        <f aca="false">IF($A83="","",IF(AND(MONTH(A82)&gt;3,MONTH(A82)&lt;11),(T82+R82+G82)*(((1/(1-Summary!$T$12))/(1-Summary!$W$12))-1),(T82+R82+G82)*((1/(1-Summary!$U$12))/(1-Summary!$X$12)-1)))</f>
        <v>#N/A</v>
      </c>
      <c r="W82" s="200" t="e">
        <f aca="false">IF($A83="","",(T82+R82+G82+V82))</f>
        <v>#N/A</v>
      </c>
      <c r="X82" s="200" t="e">
        <f aca="false">IF($A83="","",(U82+S82+H82+V82))</f>
        <v>#N/A</v>
      </c>
      <c r="Y82" s="202"/>
      <c r="Z82" s="185" t="e">
        <f aca="false">IF($A83="","",VLOOKUP($A82,Table,MATCH(Z$4,Curves,0)))</f>
        <v>#N/A</v>
      </c>
      <c r="AA82" s="185" t="e">
        <f aca="false">IF($A83="","",VLOOKUP($A82,Table,MATCH(AA$4,Curves,0)))</f>
        <v>#N/A</v>
      </c>
      <c r="AB82" s="185" t="e">
        <f aca="false">SQRT((AA82^2*(A82-$D$3)+Z82^2*(DAY(EOMONTH(A82,0))/2))/AK82)</f>
        <v>#N/A</v>
      </c>
      <c r="AC82" s="185" t="e">
        <f aca="false">IF($A83="","",VLOOKUP($A82,Table,MATCH(AC$4,Curves,0)))</f>
        <v>#N/A</v>
      </c>
      <c r="AD82" s="185" t="e">
        <f aca="false">IF($A83="","",VLOOKUP($A82,Table,MATCH(AD$4,Curves,0)))</f>
        <v>#N/A</v>
      </c>
      <c r="AE82" s="185" t="e">
        <f aca="false">SQRT((AD82^2*(A82-$D$3)+AC82^2*(DAY(EOMONTH(A82,0))/2))/AK82)</f>
        <v>#N/A</v>
      </c>
      <c r="AF82" s="206" t="e">
        <f aca="false">((Summary!$N$12*(AA82*AD82)*(A82-$D$3))+(Summary!$M$12*Z82*AC82*(AJ82-EOMONTH(EDATE(A82,-1),0))))/(AK82*AB82*AE82)</f>
        <v>#N/A</v>
      </c>
      <c r="AG82" s="207" t="n">
        <f aca="false">IF($A83="","",Summary!$Q$12)</f>
        <v>0</v>
      </c>
      <c r="AH82" s="207" t="n">
        <f aca="false">IF($A83="","",IF(Summary!$R$12="Y",(VLOOKUP($A82,Summary!$AD$6:$AF$9,3)+'Escalating commodity'!H95),'Escalating commodity'!H95))</f>
        <v>0.029</v>
      </c>
      <c r="AI82" s="207" t="n">
        <f aca="false">IF($A83="","",AH82)</f>
        <v>0.029</v>
      </c>
      <c r="AJ82" s="208" t="n">
        <f aca="false">A82+DAY(EOMONTH(A82,0))/2-1</f>
        <v>39248</v>
      </c>
      <c r="AK82" s="209" t="n">
        <f aca="false">IF($A83="","",$A82-$E$1)</f>
        <v>-6692</v>
      </c>
      <c r="AL82" s="182" t="e">
        <f aca="false">IF($A83="","",SPRDOPT(P82,X82,AI82,0,AB82,AE82,AF82,AK82,$AJ$2,0))</f>
        <v>#NAME?</v>
      </c>
      <c r="AM82" s="211" t="e">
        <f aca="false">IF($A83="","",MAX(0,O82-W82-AI82))</f>
        <v>#N/A</v>
      </c>
      <c r="AN82" s="211" t="e">
        <f aca="false">IF($A83="","",AL82-AM82)</f>
        <v>#N/A</v>
      </c>
      <c r="AO82" s="137" t="n">
        <f aca="false">IF(A83="","",A83-A82)</f>
        <v>30</v>
      </c>
      <c r="AP82" s="212" t="n">
        <f aca="false">IF(A83="","",CHOOSE(F$3,A83+24,A82))</f>
        <v>39234</v>
      </c>
      <c r="AQ82" s="209" t="n">
        <f aca="false">IF(A83="","",AP82-$E$1)</f>
        <v>-6692</v>
      </c>
      <c r="AR82" s="185" t="n">
        <f aca="false">'ANR OK vs ML7'!AR82</f>
        <v>0.1</v>
      </c>
      <c r="AS82" s="213" t="n">
        <f aca="false">IF(A83="","",1/(1+CHOOSE(F$3,(AR83+($I$3/10000))/2,(AR82+($I$3/10000))/2))^(2*AQ82/365.25))</f>
        <v>5.97651280327195</v>
      </c>
      <c r="AT82" s="137" t="n">
        <f aca="false">IF(A83="","",IF(AND(mthbeg&lt;=A82,mthend&gt;=A82),1,0))</f>
        <v>1</v>
      </c>
      <c r="AU82" s="137" t="n">
        <f aca="false">IF(A83="","",AO82*AT82)</f>
        <v>30</v>
      </c>
      <c r="AW82" s="195" t="e">
        <f aca="false">IF($A83="","",AL82*$E82)</f>
        <v>#NAME?</v>
      </c>
      <c r="AX82" s="195" t="e">
        <f aca="false">IF($A83="","",AM82*$E82)</f>
        <v>#N/A</v>
      </c>
      <c r="AY82" s="195" t="e">
        <f aca="false">IF($A83="","",AN82*$E82)</f>
        <v>#N/A</v>
      </c>
      <c r="BA82" s="195" t="n">
        <f aca="false">IF($A83="","",F82*Summary!$Q$12)</f>
        <v>0</v>
      </c>
      <c r="BC82" s="179" t="e">
        <f aca="false">IF(A83="","",AM82*F82)</f>
        <v>#N/A</v>
      </c>
    </row>
    <row r="83" customFormat="false" ht="12.75" hidden="false" customHeight="false" outlineLevel="0" collapsed="false">
      <c r="A83" s="196" t="n">
        <f aca="false">IF(A82&lt;mthend,EDATE(A82,1),"")</f>
        <v>39264</v>
      </c>
      <c r="B83" s="197" t="n">
        <f aca="false">IF(A83&lt;mthend,B82,"")</f>
        <v>36522</v>
      </c>
      <c r="C83" s="215"/>
      <c r="D83" s="197" t="n">
        <f aca="false">IF(A84&lt;&gt;"",B83+C83,"")</f>
        <v>36522</v>
      </c>
      <c r="E83" s="199" t="n">
        <f aca="false">IF(A84="","",IF(AND(AT83=1,$H$3=1),D83*AO83,IF($H$3=2,D83,"N/A")))</f>
        <v>1132182</v>
      </c>
      <c r="F83" s="199" t="n">
        <f aca="false">IF(A84="","",E83*AS83)</f>
        <v>6712484.74685553</v>
      </c>
      <c r="G83" s="200" t="e">
        <f aca="false">IF($A84="","",VLOOKUP($A83,Table,MATCH(G$4,Curves,0)))</f>
        <v>#N/A</v>
      </c>
      <c r="H83" s="201" t="e">
        <f aca="false">IF(A84="","",G83)</f>
        <v>#N/A</v>
      </c>
      <c r="I83" s="202"/>
      <c r="J83" s="200" t="e">
        <f aca="false">IF($A84="","",VLOOKUP($A83,Table,MATCH(J$4,Curves,0)))</f>
        <v>#N/A</v>
      </c>
      <c r="K83" s="201" t="e">
        <f aca="false">IF(A84="","",J83)</f>
        <v>#N/A</v>
      </c>
      <c r="L83" s="200" t="e">
        <f aca="false">IF($A84="","",VLOOKUP($A83,Table,MATCH(L$4,Curves,0)))</f>
        <v>#N/A</v>
      </c>
      <c r="M83" s="201" t="e">
        <f aca="false">IF(A84="","",L83)</f>
        <v>#N/A</v>
      </c>
      <c r="N83" s="203"/>
      <c r="O83" s="200" t="e">
        <f aca="false">IF(A84="","",L83+J83+G83)</f>
        <v>#N/A</v>
      </c>
      <c r="P83" s="200" t="e">
        <f aca="false">IF(A84="","",M83+K83+H83)</f>
        <v>#N/A</v>
      </c>
      <c r="Q83" s="204"/>
      <c r="R83" s="200" t="e">
        <f aca="false">IF($A84="","",VLOOKUP($A83,Table,MATCH(R$4,Curves,0)))</f>
        <v>#N/A</v>
      </c>
      <c r="S83" s="201" t="e">
        <f aca="false">IF(A84="","",R83)</f>
        <v>#N/A</v>
      </c>
      <c r="T83" s="200" t="e">
        <f aca="false">IF($A84="","",VLOOKUP($A83,Table,MATCH(T$4,Curves,0)))</f>
        <v>#N/A</v>
      </c>
      <c r="U83" s="201" t="e">
        <f aca="false">IF(A84="","",T83)</f>
        <v>#N/A</v>
      </c>
      <c r="V83" s="225" t="e">
        <f aca="false">IF($A84="","",IF(AND(MONTH(A83)&gt;3,MONTH(A83)&lt;11),(T83+R83+G83)*(((1/(1-Summary!$T$12))/(1-Summary!$W$12))-1),(T83+R83+G83)*((1/(1-Summary!$U$12))/(1-Summary!$X$12)-1)))</f>
        <v>#N/A</v>
      </c>
      <c r="W83" s="200" t="e">
        <f aca="false">IF($A84="","",(T83+R83+G83+V83))</f>
        <v>#N/A</v>
      </c>
      <c r="X83" s="200" t="e">
        <f aca="false">IF($A84="","",(U83+S83+H83+V83))</f>
        <v>#N/A</v>
      </c>
      <c r="Y83" s="202"/>
      <c r="Z83" s="185" t="e">
        <f aca="false">IF($A84="","",VLOOKUP($A83,Table,MATCH(Z$4,Curves,0)))</f>
        <v>#N/A</v>
      </c>
      <c r="AA83" s="185" t="e">
        <f aca="false">IF($A84="","",VLOOKUP($A83,Table,MATCH(AA$4,Curves,0)))</f>
        <v>#N/A</v>
      </c>
      <c r="AB83" s="185" t="e">
        <f aca="false">SQRT((AA83^2*(A83-$D$3)+Z83^2*(DAY(EOMONTH(A83,0))/2))/AK83)</f>
        <v>#N/A</v>
      </c>
      <c r="AC83" s="185" t="e">
        <f aca="false">IF($A84="","",VLOOKUP($A83,Table,MATCH(AC$4,Curves,0)))</f>
        <v>#N/A</v>
      </c>
      <c r="AD83" s="185" t="e">
        <f aca="false">IF($A84="","",VLOOKUP($A83,Table,MATCH(AD$4,Curves,0)))</f>
        <v>#N/A</v>
      </c>
      <c r="AE83" s="185" t="e">
        <f aca="false">SQRT((AD83^2*(A83-$D$3)+AC83^2*(DAY(EOMONTH(A83,0))/2))/AK83)</f>
        <v>#N/A</v>
      </c>
      <c r="AF83" s="206" t="e">
        <f aca="false">((Summary!$N$12*(AA83*AD83)*(A83-$D$3))+(Summary!$M$12*Z83*AC83*(AJ83-EOMONTH(EDATE(A83,-1),0))))/(AK83*AB83*AE83)</f>
        <v>#N/A</v>
      </c>
      <c r="AG83" s="207" t="n">
        <f aca="false">IF($A84="","",Summary!$Q$12)</f>
        <v>0</v>
      </c>
      <c r="AH83" s="207" t="n">
        <f aca="false">IF($A84="","",IF(Summary!$R$12="Y",(VLOOKUP($A83,Summary!$AD$6:$AF$9,3)+'Escalating commodity'!H96),'Escalating commodity'!H96))</f>
        <v>0.029</v>
      </c>
      <c r="AI83" s="207" t="n">
        <f aca="false">IF($A84="","",AH83)</f>
        <v>0.029</v>
      </c>
      <c r="AJ83" s="208" t="n">
        <f aca="false">A83+DAY(EOMONTH(A83,0))/2-1</f>
        <v>39278.5</v>
      </c>
      <c r="AK83" s="209" t="n">
        <f aca="false">IF($A84="","",$A83-$E$1)</f>
        <v>-6662</v>
      </c>
      <c r="AL83" s="182" t="e">
        <f aca="false">IF($A84="","",SPRDOPT(P83,X83,AI83,0,AB83,AE83,AF83,AK83,$AJ$2,0))</f>
        <v>#NAME?</v>
      </c>
      <c r="AM83" s="211" t="e">
        <f aca="false">IF($A84="","",MAX(0,O83-W83-AI83))</f>
        <v>#N/A</v>
      </c>
      <c r="AN83" s="211" t="e">
        <f aca="false">IF($A84="","",AL83-AM83)</f>
        <v>#N/A</v>
      </c>
      <c r="AO83" s="137" t="n">
        <f aca="false">IF(A84="","",A84-A83)</f>
        <v>31</v>
      </c>
      <c r="AP83" s="212" t="n">
        <f aca="false">IF(A84="","",CHOOSE(F$3,A84+24,A83))</f>
        <v>39264</v>
      </c>
      <c r="AQ83" s="209" t="n">
        <f aca="false">IF(A84="","",AP83-$E$1)</f>
        <v>-6662</v>
      </c>
      <c r="AR83" s="185" t="n">
        <f aca="false">'ANR OK vs ML7'!AR83</f>
        <v>0.1</v>
      </c>
      <c r="AS83" s="213" t="n">
        <f aca="false">IF(A84="","",1/(1+CHOOSE(F$3,(AR84+($I$3/10000))/2,(AR83+($I$3/10000))/2))^(2*AQ83/365.25))</f>
        <v>5.92880362596785</v>
      </c>
      <c r="AT83" s="137" t="n">
        <f aca="false">IF(A84="","",IF(AND(mthbeg&lt;=A83,mthend&gt;=A83),1,0))</f>
        <v>1</v>
      </c>
      <c r="AU83" s="137" t="n">
        <f aca="false">IF(A84="","",AO83*AT83)</f>
        <v>31</v>
      </c>
      <c r="AW83" s="195" t="e">
        <f aca="false">IF($A84="","",AL83*$E83)</f>
        <v>#NAME?</v>
      </c>
      <c r="AX83" s="195" t="e">
        <f aca="false">IF($A84="","",AM83*$E83)</f>
        <v>#N/A</v>
      </c>
      <c r="AY83" s="195" t="e">
        <f aca="false">IF($A84="","",AN83*$E83)</f>
        <v>#N/A</v>
      </c>
      <c r="BA83" s="195" t="n">
        <f aca="false">IF($A84="","",F83*Summary!$Q$12)</f>
        <v>0</v>
      </c>
      <c r="BC83" s="179" t="e">
        <f aca="false">IF(A84="","",AM83*F83)</f>
        <v>#N/A</v>
      </c>
    </row>
    <row r="84" customFormat="false" ht="12.75" hidden="false" customHeight="false" outlineLevel="0" collapsed="false">
      <c r="A84" s="196" t="n">
        <f aca="false">IF(A83&lt;mthend,EDATE(A83,1),"")</f>
        <v>39295</v>
      </c>
      <c r="B84" s="197" t="n">
        <f aca="false">IF(A84&lt;mthend,B83,"")</f>
        <v>36522</v>
      </c>
      <c r="C84" s="215"/>
      <c r="D84" s="197" t="n">
        <f aca="false">IF(A85&lt;&gt;"",B84+C84,"")</f>
        <v>36522</v>
      </c>
      <c r="E84" s="199" t="n">
        <f aca="false">IF(A85="","",IF(AND(AT84=1,$H$3=1),D84*AO84,IF($H$3=2,D84,"N/A")))</f>
        <v>1132182</v>
      </c>
      <c r="F84" s="199" t="n">
        <f aca="false">IF(A85="","",E84*AS84)</f>
        <v>6657121.71186431</v>
      </c>
      <c r="G84" s="200" t="e">
        <f aca="false">IF($A85="","",VLOOKUP($A84,Table,MATCH(G$4,Curves,0)))</f>
        <v>#N/A</v>
      </c>
      <c r="H84" s="201" t="e">
        <f aca="false">IF(A85="","",G84)</f>
        <v>#N/A</v>
      </c>
      <c r="I84" s="202"/>
      <c r="J84" s="200" t="e">
        <f aca="false">IF($A85="","",VLOOKUP($A84,Table,MATCH(J$4,Curves,0)))</f>
        <v>#N/A</v>
      </c>
      <c r="K84" s="201" t="e">
        <f aca="false">IF(A85="","",J84)</f>
        <v>#N/A</v>
      </c>
      <c r="L84" s="200" t="e">
        <f aca="false">IF($A85="","",VLOOKUP($A84,Table,MATCH(L$4,Curves,0)))</f>
        <v>#N/A</v>
      </c>
      <c r="M84" s="201" t="e">
        <f aca="false">IF(A85="","",L84)</f>
        <v>#N/A</v>
      </c>
      <c r="N84" s="203"/>
      <c r="O84" s="200" t="e">
        <f aca="false">IF(A85="","",L84+J84+G84)</f>
        <v>#N/A</v>
      </c>
      <c r="P84" s="200" t="e">
        <f aca="false">IF(A85="","",M84+K84+H84)</f>
        <v>#N/A</v>
      </c>
      <c r="Q84" s="204"/>
      <c r="R84" s="200" t="e">
        <f aca="false">IF($A85="","",VLOOKUP($A84,Table,MATCH(R$4,Curves,0)))</f>
        <v>#N/A</v>
      </c>
      <c r="S84" s="201" t="e">
        <f aca="false">IF(A85="","",R84)</f>
        <v>#N/A</v>
      </c>
      <c r="T84" s="200" t="e">
        <f aca="false">IF($A85="","",VLOOKUP($A84,Table,MATCH(T$4,Curves,0)))</f>
        <v>#N/A</v>
      </c>
      <c r="U84" s="201" t="e">
        <f aca="false">IF(A85="","",T84)</f>
        <v>#N/A</v>
      </c>
      <c r="V84" s="225" t="e">
        <f aca="false">IF($A85="","",IF(AND(MONTH(A84)&gt;3,MONTH(A84)&lt;11),(T84+R84+G84)*(((1/(1-Summary!$T$12))/(1-Summary!$W$12))-1),(T84+R84+G84)*((1/(1-Summary!$U$12))/(1-Summary!$X$12)-1)))</f>
        <v>#N/A</v>
      </c>
      <c r="W84" s="200" t="e">
        <f aca="false">IF($A85="","",(T84+R84+G84+V84))</f>
        <v>#N/A</v>
      </c>
      <c r="X84" s="200" t="e">
        <f aca="false">IF($A85="","",(U84+S84+H84+V84))</f>
        <v>#N/A</v>
      </c>
      <c r="Y84" s="202"/>
      <c r="Z84" s="185" t="e">
        <f aca="false">IF($A85="","",VLOOKUP($A84,Table,MATCH(Z$4,Curves,0)))</f>
        <v>#N/A</v>
      </c>
      <c r="AA84" s="185" t="e">
        <f aca="false">IF($A85="","",VLOOKUP($A84,Table,MATCH(AA$4,Curves,0)))</f>
        <v>#N/A</v>
      </c>
      <c r="AB84" s="185" t="e">
        <f aca="false">SQRT((AA84^2*(A84-$D$3)+Z84^2*(DAY(EOMONTH(A84,0))/2))/AK84)</f>
        <v>#N/A</v>
      </c>
      <c r="AC84" s="185" t="e">
        <f aca="false">IF($A85="","",VLOOKUP($A84,Table,MATCH(AC$4,Curves,0)))</f>
        <v>#N/A</v>
      </c>
      <c r="AD84" s="185" t="e">
        <f aca="false">IF($A85="","",VLOOKUP($A84,Table,MATCH(AD$4,Curves,0)))</f>
        <v>#N/A</v>
      </c>
      <c r="AE84" s="185" t="e">
        <f aca="false">SQRT((AD84^2*(A84-$D$3)+AC84^2*(DAY(EOMONTH(A84,0))/2))/AK84)</f>
        <v>#N/A</v>
      </c>
      <c r="AF84" s="206" t="e">
        <f aca="false">((Summary!$N$12*(AA84*AD84)*(A84-$D$3))+(Summary!$M$12*Z84*AC84*(AJ84-EOMONTH(EDATE(A84,-1),0))))/(AK84*AB84*AE84)</f>
        <v>#N/A</v>
      </c>
      <c r="AG84" s="207" t="n">
        <f aca="false">IF($A85="","",Summary!$Q$12)</f>
        <v>0</v>
      </c>
      <c r="AH84" s="207" t="n">
        <f aca="false">IF($A85="","",IF(Summary!$R$12="Y",(VLOOKUP($A84,Summary!$AD$6:$AF$9,3)+'Escalating commodity'!H97),'Escalating commodity'!H97))</f>
        <v>0.029</v>
      </c>
      <c r="AI84" s="207" t="n">
        <f aca="false">IF($A85="","",AH84)</f>
        <v>0.029</v>
      </c>
      <c r="AJ84" s="208" t="n">
        <f aca="false">A84+DAY(EOMONTH(A84,0))/2-1</f>
        <v>39309.5</v>
      </c>
      <c r="AK84" s="209" t="n">
        <f aca="false">IF($A85="","",$A84-$E$1)</f>
        <v>-6631</v>
      </c>
      <c r="AL84" s="182" t="e">
        <f aca="false">IF($A85="","",SPRDOPT(P84,X84,AI84,0,AB84,AE84,AF84,AK84,$AJ$2,0))</f>
        <v>#NAME?</v>
      </c>
      <c r="AM84" s="211" t="e">
        <f aca="false">IF($A85="","",MAX(0,O84-W84-AI84))</f>
        <v>#N/A</v>
      </c>
      <c r="AN84" s="211" t="e">
        <f aca="false">IF($A85="","",AL84-AM84)</f>
        <v>#N/A</v>
      </c>
      <c r="AO84" s="137" t="n">
        <f aca="false">IF(A85="","",A85-A84)</f>
        <v>31</v>
      </c>
      <c r="AP84" s="212" t="n">
        <f aca="false">IF(A85="","",CHOOSE(F$3,A85+24,A84))</f>
        <v>39295</v>
      </c>
      <c r="AQ84" s="209" t="n">
        <f aca="false">IF(A85="","",AP84-$E$1)</f>
        <v>-6631</v>
      </c>
      <c r="AR84" s="185" t="n">
        <f aca="false">'ANR OK vs ML7'!AR84</f>
        <v>0.1</v>
      </c>
      <c r="AS84" s="213" t="n">
        <f aca="false">IF(A85="","",1/(1+CHOOSE(F$3,(AR85+($I$3/10000))/2,(AR84+($I$3/10000))/2))^(2*AQ84/365.25))</f>
        <v>5.87990421316034</v>
      </c>
      <c r="AT84" s="137" t="n">
        <f aca="false">IF(A85="","",IF(AND(mthbeg&lt;=A84,mthend&gt;=A84),1,0))</f>
        <v>1</v>
      </c>
      <c r="AU84" s="137" t="n">
        <f aca="false">IF(A85="","",AO84*AT84)</f>
        <v>31</v>
      </c>
      <c r="AW84" s="195" t="e">
        <f aca="false">IF($A85="","",AL84*$E84)</f>
        <v>#NAME?</v>
      </c>
      <c r="AX84" s="195" t="e">
        <f aca="false">IF($A85="","",AM84*$E84)</f>
        <v>#N/A</v>
      </c>
      <c r="AY84" s="195" t="e">
        <f aca="false">IF($A85="","",AN84*$E84)</f>
        <v>#N/A</v>
      </c>
      <c r="BA84" s="195" t="n">
        <f aca="false">IF($A85="","",F84*Summary!$Q$12)</f>
        <v>0</v>
      </c>
      <c r="BC84" s="179" t="e">
        <f aca="false">IF(A85="","",AM84*F84)</f>
        <v>#N/A</v>
      </c>
    </row>
    <row r="85" customFormat="false" ht="12.75" hidden="false" customHeight="false" outlineLevel="0" collapsed="false">
      <c r="A85" s="196" t="n">
        <f aca="false">IF(A84&lt;mthend,EDATE(A84,1),"")</f>
        <v>39326</v>
      </c>
      <c r="B85" s="197" t="n">
        <f aca="false">IF(A85&lt;mthend,B84,"")</f>
        <v>36522</v>
      </c>
      <c r="C85" s="215"/>
      <c r="D85" s="197" t="n">
        <f aca="false">IF(A86&lt;&gt;"",B85+C85,"")</f>
        <v>36522</v>
      </c>
      <c r="E85" s="199" t="n">
        <f aca="false">IF(A86="","",IF(AND(AT85=1,$H$3=1),D85*AO85,IF($H$3=2,D85,"N/A")))</f>
        <v>1095660</v>
      </c>
      <c r="F85" s="199" t="n">
        <f aca="false">IF(A86="","",E85*AS85)</f>
        <v>6389240.61144262</v>
      </c>
      <c r="G85" s="200" t="e">
        <f aca="false">IF($A86="","",VLOOKUP($A85,Table,MATCH(G$4,Curves,0)))</f>
        <v>#N/A</v>
      </c>
      <c r="H85" s="201" t="e">
        <f aca="false">IF(A86="","",G85)</f>
        <v>#N/A</v>
      </c>
      <c r="I85" s="202"/>
      <c r="J85" s="200" t="e">
        <f aca="false">IF($A86="","",VLOOKUP($A85,Table,MATCH(J$4,Curves,0)))</f>
        <v>#N/A</v>
      </c>
      <c r="K85" s="201" t="e">
        <f aca="false">IF(A86="","",J85)</f>
        <v>#N/A</v>
      </c>
      <c r="L85" s="200" t="e">
        <f aca="false">IF($A86="","",VLOOKUP($A85,Table,MATCH(L$4,Curves,0)))</f>
        <v>#N/A</v>
      </c>
      <c r="M85" s="201" t="e">
        <f aca="false">IF(A86="","",L85)</f>
        <v>#N/A</v>
      </c>
      <c r="N85" s="203"/>
      <c r="O85" s="200" t="e">
        <f aca="false">IF(A86="","",L85+J85+G85)</f>
        <v>#N/A</v>
      </c>
      <c r="P85" s="200" t="e">
        <f aca="false">IF(A86="","",M85+K85+H85)</f>
        <v>#N/A</v>
      </c>
      <c r="Q85" s="204"/>
      <c r="R85" s="200" t="e">
        <f aca="false">IF($A86="","",VLOOKUP($A85,Table,MATCH(R$4,Curves,0)))</f>
        <v>#N/A</v>
      </c>
      <c r="S85" s="201" t="e">
        <f aca="false">IF(A86="","",R85)</f>
        <v>#N/A</v>
      </c>
      <c r="T85" s="200" t="e">
        <f aca="false">IF($A86="","",VLOOKUP($A85,Table,MATCH(T$4,Curves,0)))</f>
        <v>#N/A</v>
      </c>
      <c r="U85" s="201" t="e">
        <f aca="false">IF(A86="","",T85)</f>
        <v>#N/A</v>
      </c>
      <c r="V85" s="225" t="e">
        <f aca="false">IF($A86="","",IF(AND(MONTH(A85)&gt;3,MONTH(A85)&lt;11),(T85+R85+G85)*(((1/(1-Summary!$T$12))/(1-Summary!$W$12))-1),(T85+R85+G85)*((1/(1-Summary!$U$12))/(1-Summary!$X$12)-1)))</f>
        <v>#N/A</v>
      </c>
      <c r="W85" s="200" t="e">
        <f aca="false">IF($A86="","",(T85+R85+G85+V85))</f>
        <v>#N/A</v>
      </c>
      <c r="X85" s="200" t="e">
        <f aca="false">IF($A86="","",(U85+S85+H85+V85))</f>
        <v>#N/A</v>
      </c>
      <c r="Y85" s="202"/>
      <c r="Z85" s="185" t="e">
        <f aca="false">IF($A86="","",VLOOKUP($A85,Table,MATCH(Z$4,Curves,0)))</f>
        <v>#N/A</v>
      </c>
      <c r="AA85" s="185" t="e">
        <f aca="false">IF($A86="","",VLOOKUP($A85,Table,MATCH(AA$4,Curves,0)))</f>
        <v>#N/A</v>
      </c>
      <c r="AB85" s="185" t="e">
        <f aca="false">SQRT((AA85^2*(A85-$D$3)+Z85^2*(DAY(EOMONTH(A85,0))/2))/AK85)</f>
        <v>#N/A</v>
      </c>
      <c r="AC85" s="185" t="e">
        <f aca="false">IF($A86="","",VLOOKUP($A85,Table,MATCH(AC$4,Curves,0)))</f>
        <v>#N/A</v>
      </c>
      <c r="AD85" s="185" t="e">
        <f aca="false">IF($A86="","",VLOOKUP($A85,Table,MATCH(AD$4,Curves,0)))</f>
        <v>#N/A</v>
      </c>
      <c r="AE85" s="185" t="e">
        <f aca="false">SQRT((AD85^2*(A85-$D$3)+AC85^2*(DAY(EOMONTH(A85,0))/2))/AK85)</f>
        <v>#N/A</v>
      </c>
      <c r="AF85" s="206" t="e">
        <f aca="false">((Summary!$N$12*(AA85*AD85)*(A85-$D$3))+(Summary!$M$12*Z85*AC85*(AJ85-EOMONTH(EDATE(A85,-1),0))))/(AK85*AB85*AE85)</f>
        <v>#N/A</v>
      </c>
      <c r="AG85" s="207" t="n">
        <f aca="false">IF($A86="","",Summary!$Q$12)</f>
        <v>0</v>
      </c>
      <c r="AH85" s="207" t="n">
        <f aca="false">IF($A86="","",IF(Summary!$R$12="Y",(VLOOKUP($A85,Summary!$AD$6:$AF$9,3)+'Escalating commodity'!H98),'Escalating commodity'!H98))</f>
        <v>0.029</v>
      </c>
      <c r="AI85" s="207" t="n">
        <f aca="false">IF($A86="","",AH85)</f>
        <v>0.029</v>
      </c>
      <c r="AJ85" s="208" t="n">
        <f aca="false">A85+DAY(EOMONTH(A85,0))/2-1</f>
        <v>39340</v>
      </c>
      <c r="AK85" s="209" t="n">
        <f aca="false">IF($A86="","",$A85-$E$1)</f>
        <v>-6600</v>
      </c>
      <c r="AL85" s="182" t="e">
        <f aca="false">IF($A86="","",SPRDOPT(P85,X85,AI85,0,AB85,AE85,AF85,AK85,$AJ$2,0))</f>
        <v>#NAME?</v>
      </c>
      <c r="AM85" s="211" t="e">
        <f aca="false">IF($A86="","",MAX(0,O85-W85-AI85))</f>
        <v>#N/A</v>
      </c>
      <c r="AN85" s="211" t="e">
        <f aca="false">IF($A86="","",AL85-AM85)</f>
        <v>#N/A</v>
      </c>
      <c r="AO85" s="137" t="n">
        <f aca="false">IF(A86="","",A86-A85)</f>
        <v>30</v>
      </c>
      <c r="AP85" s="212" t="n">
        <f aca="false">IF(A86="","",CHOOSE(F$3,A86+24,A85))</f>
        <v>39326</v>
      </c>
      <c r="AQ85" s="209" t="n">
        <f aca="false">IF(A86="","",AP85-$E$1)</f>
        <v>-6600</v>
      </c>
      <c r="AR85" s="185" t="n">
        <f aca="false">'ANR OK vs ML7'!AR85</f>
        <v>0.1</v>
      </c>
      <c r="AS85" s="213" t="n">
        <f aca="false">IF(A86="","",1/(1+CHOOSE(F$3,(AR86+($I$3/10000))/2,(AR85+($I$3/10000))/2))^(2*AQ85/365.25))</f>
        <v>5.83140811149684</v>
      </c>
      <c r="AT85" s="137" t="n">
        <f aca="false">IF(A86="","",IF(AND(mthbeg&lt;=A85,mthend&gt;=A85),1,0))</f>
        <v>1</v>
      </c>
      <c r="AU85" s="137" t="n">
        <f aca="false">IF(A86="","",AO85*AT85)</f>
        <v>30</v>
      </c>
      <c r="AW85" s="195" t="e">
        <f aca="false">IF($A86="","",AL85*$E85)</f>
        <v>#NAME?</v>
      </c>
      <c r="AX85" s="195" t="e">
        <f aca="false">IF($A86="","",AM85*$E85)</f>
        <v>#N/A</v>
      </c>
      <c r="AY85" s="195" t="e">
        <f aca="false">IF($A86="","",AN85*$E85)</f>
        <v>#N/A</v>
      </c>
      <c r="BA85" s="195" t="n">
        <f aca="false">IF($A86="","",F85*Summary!$Q$12)</f>
        <v>0</v>
      </c>
      <c r="BC85" s="179" t="e">
        <f aca="false">IF(A86="","",AM85*F85)</f>
        <v>#N/A</v>
      </c>
    </row>
    <row r="86" customFormat="false" ht="12.75" hidden="false" customHeight="false" outlineLevel="0" collapsed="false">
      <c r="A86" s="196" t="n">
        <f aca="false">IF(A85&lt;mthend,EDATE(A85,1),"")</f>
        <v>39356</v>
      </c>
      <c r="B86" s="197" t="n">
        <f aca="false">IF(A86&lt;mthend,B85,"")</f>
        <v>36522</v>
      </c>
      <c r="C86" s="215"/>
      <c r="D86" s="197" t="n">
        <f aca="false">IF(A87&lt;&gt;"",B86+C86,"")</f>
        <v>36522</v>
      </c>
      <c r="E86" s="199" t="n">
        <f aca="false">IF(A87="","",IF(AND(AT86=1,$H$3=1),D86*AO86,IF($H$3=2,D86,"N/A")))</f>
        <v>1132182</v>
      </c>
      <c r="F86" s="199" t="n">
        <f aca="false">IF(A87="","",E86*AS86)</f>
        <v>6549511.27682392</v>
      </c>
      <c r="G86" s="200" t="e">
        <f aca="false">IF($A87="","",VLOOKUP($A86,Table,MATCH(G$4,Curves,0)))</f>
        <v>#N/A</v>
      </c>
      <c r="H86" s="201" t="e">
        <f aca="false">IF(A87="","",G86)</f>
        <v>#N/A</v>
      </c>
      <c r="I86" s="202"/>
      <c r="J86" s="200" t="e">
        <f aca="false">IF($A87="","",VLOOKUP($A86,Table,MATCH(J$4,Curves,0)))</f>
        <v>#N/A</v>
      </c>
      <c r="K86" s="201" t="e">
        <f aca="false">IF(A87="","",J86)</f>
        <v>#N/A</v>
      </c>
      <c r="L86" s="200" t="e">
        <f aca="false">IF($A87="","",VLOOKUP($A86,Table,MATCH(L$4,Curves,0)))</f>
        <v>#N/A</v>
      </c>
      <c r="M86" s="201" t="e">
        <f aca="false">IF(A87="","",L86)</f>
        <v>#N/A</v>
      </c>
      <c r="N86" s="203"/>
      <c r="O86" s="200" t="e">
        <f aca="false">IF(A87="","",L86+J86+G86)</f>
        <v>#N/A</v>
      </c>
      <c r="P86" s="200" t="e">
        <f aca="false">IF(A87="","",M86+K86+H86)</f>
        <v>#N/A</v>
      </c>
      <c r="Q86" s="204"/>
      <c r="R86" s="200" t="e">
        <f aca="false">IF($A87="","",VLOOKUP($A86,Table,MATCH(R$4,Curves,0)))</f>
        <v>#N/A</v>
      </c>
      <c r="S86" s="201" t="e">
        <f aca="false">IF(A87="","",R86)</f>
        <v>#N/A</v>
      </c>
      <c r="T86" s="200" t="e">
        <f aca="false">IF($A87="","",VLOOKUP($A86,Table,MATCH(T$4,Curves,0)))</f>
        <v>#N/A</v>
      </c>
      <c r="U86" s="201" t="e">
        <f aca="false">IF(A87="","",T86)</f>
        <v>#N/A</v>
      </c>
      <c r="V86" s="225" t="e">
        <f aca="false">IF($A87="","",IF(AND(MONTH(A86)&gt;3,MONTH(A86)&lt;11),(T86+R86+G86)*(((1/(1-Summary!$T$12))/(1-Summary!$W$12))-1),(T86+R86+G86)*((1/(1-Summary!$U$12))/(1-Summary!$X$12)-1)))</f>
        <v>#N/A</v>
      </c>
      <c r="W86" s="200" t="e">
        <f aca="false">IF($A87="","",(T86+R86+G86+V86))</f>
        <v>#N/A</v>
      </c>
      <c r="X86" s="200" t="e">
        <f aca="false">IF($A87="","",(U86+S86+H86+V86))</f>
        <v>#N/A</v>
      </c>
      <c r="Y86" s="202"/>
      <c r="Z86" s="185" t="e">
        <f aca="false">IF($A87="","",VLOOKUP($A86,Table,MATCH(Z$4,Curves,0)))</f>
        <v>#N/A</v>
      </c>
      <c r="AA86" s="185" t="e">
        <f aca="false">IF($A87="","",VLOOKUP($A86,Table,MATCH(AA$4,Curves,0)))</f>
        <v>#N/A</v>
      </c>
      <c r="AB86" s="185" t="e">
        <f aca="false">SQRT((AA86^2*(A86-$D$3)+Z86^2*(DAY(EOMONTH(A86,0))/2))/AK86)</f>
        <v>#N/A</v>
      </c>
      <c r="AC86" s="185" t="e">
        <f aca="false">IF($A87="","",VLOOKUP($A86,Table,MATCH(AC$4,Curves,0)))</f>
        <v>#N/A</v>
      </c>
      <c r="AD86" s="185" t="e">
        <f aca="false">IF($A87="","",VLOOKUP($A86,Table,MATCH(AD$4,Curves,0)))</f>
        <v>#N/A</v>
      </c>
      <c r="AE86" s="185" t="e">
        <f aca="false">SQRT((AD86^2*(A86-$D$3)+AC86^2*(DAY(EOMONTH(A86,0))/2))/AK86)</f>
        <v>#N/A</v>
      </c>
      <c r="AF86" s="206" t="e">
        <f aca="false">((Summary!$N$12*(AA86*AD86)*(A86-$D$3))+(Summary!$M$12*Z86*AC86*(AJ86-EOMONTH(EDATE(A86,-1),0))))/(AK86*AB86*AE86)</f>
        <v>#N/A</v>
      </c>
      <c r="AG86" s="207" t="n">
        <f aca="false">IF($A87="","",Summary!$Q$12)</f>
        <v>0</v>
      </c>
      <c r="AH86" s="207" t="n">
        <f aca="false">IF($A87="","",IF(Summary!$R$12="Y",(VLOOKUP($A86,Summary!$AD$6:$AF$9,3)+'Escalating commodity'!H99),'Escalating commodity'!H99))</f>
        <v>0.029</v>
      </c>
      <c r="AI86" s="207" t="n">
        <f aca="false">IF($A87="","",AH86)</f>
        <v>0.029</v>
      </c>
      <c r="AJ86" s="208" t="n">
        <f aca="false">A86+DAY(EOMONTH(A86,0))/2-1</f>
        <v>39370.5</v>
      </c>
      <c r="AK86" s="209" t="n">
        <f aca="false">IF($A87="","",$A86-$E$1)</f>
        <v>-6570</v>
      </c>
      <c r="AL86" s="182" t="e">
        <f aca="false">IF($A87="","",SPRDOPT(P86,X86,AI86,0,AB86,AE86,AF86,AK86,$AJ$2,0))</f>
        <v>#NAME?</v>
      </c>
      <c r="AM86" s="211" t="e">
        <f aca="false">IF($A87="","",MAX(0,O86-W86-AI86))</f>
        <v>#N/A</v>
      </c>
      <c r="AN86" s="211" t="e">
        <f aca="false">IF($A87="","",AL86-AM86)</f>
        <v>#N/A</v>
      </c>
      <c r="AO86" s="137" t="n">
        <f aca="false">IF(A87="","",A87-A86)</f>
        <v>31</v>
      </c>
      <c r="AP86" s="212" t="n">
        <f aca="false">IF(A87="","",CHOOSE(F$3,A87+24,A86))</f>
        <v>39356</v>
      </c>
      <c r="AQ86" s="209" t="n">
        <f aca="false">IF(A87="","",AP86-$E$1)</f>
        <v>-6570</v>
      </c>
      <c r="AR86" s="185" t="n">
        <f aca="false">'ANR OK vs ML7'!AR86</f>
        <v>0.1</v>
      </c>
      <c r="AS86" s="213" t="n">
        <f aca="false">IF(A87="","",1/(1+CHOOSE(F$3,(AR87+($I$3/10000))/2,(AR86+($I$3/10000))/2))^(2*AQ86/365.25))</f>
        <v>5.78485727279176</v>
      </c>
      <c r="AT86" s="137" t="n">
        <f aca="false">IF(A87="","",IF(AND(mthbeg&lt;=A86,mthend&gt;=A86),1,0))</f>
        <v>1</v>
      </c>
      <c r="AU86" s="137" t="n">
        <f aca="false">IF(A87="","",AO86*AT86)</f>
        <v>31</v>
      </c>
      <c r="AW86" s="195" t="e">
        <f aca="false">IF($A87="","",AL86*$E86)</f>
        <v>#NAME?</v>
      </c>
      <c r="AX86" s="195" t="e">
        <f aca="false">IF($A87="","",AM86*$E86)</f>
        <v>#N/A</v>
      </c>
      <c r="AY86" s="195" t="e">
        <f aca="false">IF($A87="","",AN86*$E86)</f>
        <v>#N/A</v>
      </c>
      <c r="BA86" s="195" t="n">
        <f aca="false">IF($A87="","",F86*Summary!$Q$12)</f>
        <v>0</v>
      </c>
      <c r="BC86" s="179" t="e">
        <f aca="false">IF(A87="","",AM86*F86)</f>
        <v>#N/A</v>
      </c>
    </row>
    <row r="87" customFormat="false" ht="12.75" hidden="false" customHeight="false" outlineLevel="0" collapsed="false">
      <c r="A87" s="196" t="n">
        <f aca="false">IF(A86&lt;mthend,EDATE(A86,1),"")</f>
        <v>39387</v>
      </c>
      <c r="B87" s="197" t="n">
        <f aca="false">IF(A87&lt;mthend,B86,"")</f>
        <v>36522</v>
      </c>
      <c r="C87" s="215"/>
      <c r="D87" s="197" t="n">
        <f aca="false">IF(A88&lt;&gt;"",B87+C87,"")</f>
        <v>36522</v>
      </c>
      <c r="E87" s="199" t="n">
        <f aca="false">IF(A88="","",IF(AND(AT87=1,$H$3=1),D87*AO87,IF($H$3=2,D87,"N/A")))</f>
        <v>1095660</v>
      </c>
      <c r="F87" s="199" t="n">
        <f aca="false">IF(A88="","",E87*AS87)</f>
        <v>6285960.39642872</v>
      </c>
      <c r="G87" s="200" t="e">
        <f aca="false">IF($A88="","",VLOOKUP($A87,Table,MATCH(G$4,Curves,0)))</f>
        <v>#N/A</v>
      </c>
      <c r="H87" s="201" t="e">
        <f aca="false">IF(A88="","",G87)</f>
        <v>#N/A</v>
      </c>
      <c r="I87" s="202"/>
      <c r="J87" s="200" t="e">
        <f aca="false">IF($A88="","",VLOOKUP($A87,Table,MATCH(J$4,Curves,0)))</f>
        <v>#N/A</v>
      </c>
      <c r="K87" s="201" t="e">
        <f aca="false">IF(A88="","",J87)</f>
        <v>#N/A</v>
      </c>
      <c r="L87" s="200" t="e">
        <f aca="false">IF($A88="","",VLOOKUP($A87,Table,MATCH(L$4,Curves,0)))</f>
        <v>#N/A</v>
      </c>
      <c r="M87" s="201" t="e">
        <f aca="false">IF(A88="","",L87)</f>
        <v>#N/A</v>
      </c>
      <c r="N87" s="203"/>
      <c r="O87" s="200" t="e">
        <f aca="false">IF(A88="","",L87+J87+G87)</f>
        <v>#N/A</v>
      </c>
      <c r="P87" s="200" t="e">
        <f aca="false">IF(A88="","",M87+K87+H87)</f>
        <v>#N/A</v>
      </c>
      <c r="Q87" s="204"/>
      <c r="R87" s="200" t="e">
        <f aca="false">IF($A88="","",VLOOKUP($A87,Table,MATCH(R$4,Curves,0)))</f>
        <v>#N/A</v>
      </c>
      <c r="S87" s="201" t="e">
        <f aca="false">IF(A88="","",R87)</f>
        <v>#N/A</v>
      </c>
      <c r="T87" s="200" t="e">
        <f aca="false">IF($A88="","",VLOOKUP($A87,Table,MATCH(T$4,Curves,0)))</f>
        <v>#N/A</v>
      </c>
      <c r="U87" s="201" t="e">
        <f aca="false">IF(A88="","",T87)</f>
        <v>#N/A</v>
      </c>
      <c r="V87" s="225" t="e">
        <f aca="false">IF($A88="","",IF(AND(MONTH(A87)&gt;3,MONTH(A87)&lt;11),(T87+R87+G87)*(((1/(1-Summary!$T$12))/(1-Summary!$W$12))-1),(T87+R87+G87)*((1/(1-Summary!$U$12))/(1-Summary!$X$12)-1)))</f>
        <v>#N/A</v>
      </c>
      <c r="W87" s="200" t="e">
        <f aca="false">IF($A88="","",(T87+R87+G87+V87))</f>
        <v>#N/A</v>
      </c>
      <c r="X87" s="200" t="e">
        <f aca="false">IF($A88="","",(U87+S87+H87+V87))</f>
        <v>#N/A</v>
      </c>
      <c r="Y87" s="202"/>
      <c r="Z87" s="185" t="e">
        <f aca="false">IF($A88="","",VLOOKUP($A87,Table,MATCH(Z$4,Curves,0)))</f>
        <v>#N/A</v>
      </c>
      <c r="AA87" s="185" t="e">
        <f aca="false">IF($A88="","",VLOOKUP($A87,Table,MATCH(AA$4,Curves,0)))</f>
        <v>#N/A</v>
      </c>
      <c r="AB87" s="185" t="e">
        <f aca="false">SQRT((AA87^2*(A87-$D$3)+Z87^2*(DAY(EOMONTH(A87,0))/2))/AK87)</f>
        <v>#N/A</v>
      </c>
      <c r="AC87" s="185" t="e">
        <f aca="false">IF($A88="","",VLOOKUP($A87,Table,MATCH(AC$4,Curves,0)))</f>
        <v>#N/A</v>
      </c>
      <c r="AD87" s="185" t="e">
        <f aca="false">IF($A88="","",VLOOKUP($A87,Table,MATCH(AD$4,Curves,0)))</f>
        <v>#N/A</v>
      </c>
      <c r="AE87" s="185" t="e">
        <f aca="false">SQRT((AD87^2*(A87-$D$3)+AC87^2*(DAY(EOMONTH(A87,0))/2))/AK87)</f>
        <v>#N/A</v>
      </c>
      <c r="AF87" s="206" t="e">
        <f aca="false">((Summary!$N$12*(AA87*AD87)*(A87-$D$3))+(Summary!$M$12*Z87*AC87*(AJ87-EOMONTH(EDATE(A87,-1),0))))/(AK87*AB87*AE87)</f>
        <v>#N/A</v>
      </c>
      <c r="AG87" s="207" t="n">
        <f aca="false">IF($A88="","",Summary!$Q$12)</f>
        <v>0</v>
      </c>
      <c r="AH87" s="207" t="n">
        <f aca="false">IF($A88="","",IF(Summary!$R$12="Y",(VLOOKUP($A87,Summary!$AD$6:$AF$9,3)+'Escalating commodity'!H100),'Escalating commodity'!H100))</f>
        <v>0.029</v>
      </c>
      <c r="AI87" s="207" t="n">
        <f aca="false">IF($A88="","",AH87)</f>
        <v>0.029</v>
      </c>
      <c r="AJ87" s="208" t="n">
        <f aca="false">A87+DAY(EOMONTH(A87,0))/2-1</f>
        <v>39401</v>
      </c>
      <c r="AK87" s="209" t="n">
        <f aca="false">IF($A88="","",$A87-$E$1)</f>
        <v>-6539</v>
      </c>
      <c r="AL87" s="182" t="e">
        <f aca="false">IF($A88="","",SPRDOPT(P87,X87,AI87,0,AB87,AE87,AF87,AK87,$AJ$2,0))</f>
        <v>#NAME?</v>
      </c>
      <c r="AM87" s="211" t="e">
        <f aca="false">IF($A88="","",MAX(0,O87-W87-AI87))</f>
        <v>#N/A</v>
      </c>
      <c r="AN87" s="211" t="e">
        <f aca="false">IF($A88="","",AL87-AM87)</f>
        <v>#N/A</v>
      </c>
      <c r="AO87" s="137" t="n">
        <f aca="false">IF(A88="","",A88-A87)</f>
        <v>30</v>
      </c>
      <c r="AP87" s="212" t="n">
        <f aca="false">IF(A88="","",CHOOSE(F$3,A88+24,A87))</f>
        <v>39387</v>
      </c>
      <c r="AQ87" s="209" t="n">
        <f aca="false">IF(A88="","",AP87-$E$1)</f>
        <v>-6539</v>
      </c>
      <c r="AR87" s="185" t="n">
        <f aca="false">'ANR OK vs ML7'!AR87</f>
        <v>0.1</v>
      </c>
      <c r="AS87" s="213" t="n">
        <f aca="false">IF(A88="","",1/(1+CHOOSE(F$3,(AR88+($I$3/10000))/2,(AR87+($I$3/10000))/2))^(2*AQ87/365.25))</f>
        <v>5.73714509649775</v>
      </c>
      <c r="AT87" s="137" t="n">
        <f aca="false">IF(A88="","",IF(AND(mthbeg&lt;=A87,mthend&gt;=A87),1,0))</f>
        <v>1</v>
      </c>
      <c r="AU87" s="137" t="n">
        <f aca="false">IF(A88="","",AO87*AT87)</f>
        <v>30</v>
      </c>
      <c r="AW87" s="195" t="e">
        <f aca="false">IF($A88="","",AL87*$E87)</f>
        <v>#NAME?</v>
      </c>
      <c r="AX87" s="195" t="e">
        <f aca="false">IF($A88="","",AM87*$E87)</f>
        <v>#N/A</v>
      </c>
      <c r="AY87" s="195" t="e">
        <f aca="false">IF($A88="","",AN87*$E87)</f>
        <v>#N/A</v>
      </c>
      <c r="BA87" s="195" t="n">
        <f aca="false">IF($A88="","",F87*Summary!$Q$12)</f>
        <v>0</v>
      </c>
      <c r="BC87" s="179" t="e">
        <f aca="false">IF(A88="","",AM87*F87)</f>
        <v>#N/A</v>
      </c>
    </row>
    <row r="88" customFormat="false" ht="12.75" hidden="false" customHeight="false" outlineLevel="0" collapsed="false">
      <c r="A88" s="196" t="n">
        <f aca="false">IF(A87&lt;mthend,EDATE(A87,1),"")</f>
        <v>39417</v>
      </c>
      <c r="B88" s="197" t="n">
        <f aca="false">IF(A88&lt;mthend,B87,"")</f>
        <v>36522</v>
      </c>
      <c r="C88" s="215"/>
      <c r="D88" s="197" t="n">
        <f aca="false">IF(A89&lt;&gt;"",B88+C88,"")</f>
        <v>36522</v>
      </c>
      <c r="E88" s="199" t="n">
        <f aca="false">IF(A89="","",IF(AND(AT88=1,$H$3=1),D88*AO88,IF($H$3=2,D88,"N/A")))</f>
        <v>1132182</v>
      </c>
      <c r="F88" s="199" t="n">
        <f aca="false">IF(A89="","",E88*AS88)</f>
        <v>6443640.33314794</v>
      </c>
      <c r="G88" s="200" t="e">
        <f aca="false">IF($A89="","",VLOOKUP($A88,Table,MATCH(G$4,Curves,0)))</f>
        <v>#N/A</v>
      </c>
      <c r="H88" s="201" t="e">
        <f aca="false">IF(A89="","",G88)</f>
        <v>#N/A</v>
      </c>
      <c r="I88" s="202"/>
      <c r="J88" s="200" t="e">
        <f aca="false">IF($A89="","",VLOOKUP($A88,Table,MATCH(J$4,Curves,0)))</f>
        <v>#N/A</v>
      </c>
      <c r="K88" s="201" t="e">
        <f aca="false">IF(A89="","",J88)</f>
        <v>#N/A</v>
      </c>
      <c r="L88" s="200" t="e">
        <f aca="false">IF($A89="","",VLOOKUP($A88,Table,MATCH(L$4,Curves,0)))</f>
        <v>#N/A</v>
      </c>
      <c r="M88" s="201" t="e">
        <f aca="false">IF(A89="","",L88)</f>
        <v>#N/A</v>
      </c>
      <c r="N88" s="203"/>
      <c r="O88" s="200" t="e">
        <f aca="false">IF(A89="","",L88+J88+G88)</f>
        <v>#N/A</v>
      </c>
      <c r="P88" s="200" t="e">
        <f aca="false">IF(A89="","",M88+K88+H88)</f>
        <v>#N/A</v>
      </c>
      <c r="Q88" s="204"/>
      <c r="R88" s="200" t="e">
        <f aca="false">IF($A89="","",VLOOKUP($A88,Table,MATCH(R$4,Curves,0)))</f>
        <v>#N/A</v>
      </c>
      <c r="S88" s="201" t="e">
        <f aca="false">IF(A89="","",R88)</f>
        <v>#N/A</v>
      </c>
      <c r="T88" s="200" t="e">
        <f aca="false">IF($A89="","",VLOOKUP($A88,Table,MATCH(T$4,Curves,0)))</f>
        <v>#N/A</v>
      </c>
      <c r="U88" s="201" t="e">
        <f aca="false">IF(A89="","",T88)</f>
        <v>#N/A</v>
      </c>
      <c r="V88" s="225" t="e">
        <f aca="false">IF($A89="","",IF(AND(MONTH(A88)&gt;3,MONTH(A88)&lt;11),(T88+R88+G88)*(((1/(1-Summary!$T$12))/(1-Summary!$W$12))-1),(T88+R88+G88)*((1/(1-Summary!$U$12))/(1-Summary!$X$12)-1)))</f>
        <v>#N/A</v>
      </c>
      <c r="W88" s="200" t="e">
        <f aca="false">IF($A89="","",(T88+R88+G88+V88))</f>
        <v>#N/A</v>
      </c>
      <c r="X88" s="200" t="e">
        <f aca="false">IF($A89="","",(U88+S88+H88+V88))</f>
        <v>#N/A</v>
      </c>
      <c r="Y88" s="202"/>
      <c r="Z88" s="185" t="e">
        <f aca="false">IF($A89="","",VLOOKUP($A88,Table,MATCH(Z$4,Curves,0)))</f>
        <v>#N/A</v>
      </c>
      <c r="AA88" s="185" t="e">
        <f aca="false">IF($A89="","",VLOOKUP($A88,Table,MATCH(AA$4,Curves,0)))</f>
        <v>#N/A</v>
      </c>
      <c r="AB88" s="185" t="e">
        <f aca="false">SQRT((AA88^2*(A88-$D$3)+Z88^2*(DAY(EOMONTH(A88,0))/2))/AK88)</f>
        <v>#N/A</v>
      </c>
      <c r="AC88" s="185" t="e">
        <f aca="false">IF($A89="","",VLOOKUP($A88,Table,MATCH(AC$4,Curves,0)))</f>
        <v>#N/A</v>
      </c>
      <c r="AD88" s="185" t="e">
        <f aca="false">IF($A89="","",VLOOKUP($A88,Table,MATCH(AD$4,Curves,0)))</f>
        <v>#N/A</v>
      </c>
      <c r="AE88" s="185" t="e">
        <f aca="false">SQRT((AD88^2*(A88-$D$3)+AC88^2*(DAY(EOMONTH(A88,0))/2))/AK88)</f>
        <v>#N/A</v>
      </c>
      <c r="AF88" s="206" t="e">
        <f aca="false">((Summary!$N$12*(AA88*AD88)*(A88-$D$3))+(Summary!$M$12*Z88*AC88*(AJ88-EOMONTH(EDATE(A88,-1),0))))/(AK88*AB88*AE88)</f>
        <v>#N/A</v>
      </c>
      <c r="AG88" s="207" t="n">
        <f aca="false">IF($A89="","",Summary!$Q$12)</f>
        <v>0</v>
      </c>
      <c r="AH88" s="207" t="n">
        <f aca="false">IF($A89="","",IF(Summary!$R$12="Y",(VLOOKUP($A88,Summary!$AD$6:$AF$9,3)+'Escalating commodity'!H101),'Escalating commodity'!H101))</f>
        <v>0.029</v>
      </c>
      <c r="AI88" s="207" t="n">
        <f aca="false">IF($A89="","",AH88)</f>
        <v>0.029</v>
      </c>
      <c r="AJ88" s="208" t="n">
        <f aca="false">A88+DAY(EOMONTH(A88,0))/2-1</f>
        <v>39431.5</v>
      </c>
      <c r="AK88" s="209" t="n">
        <f aca="false">IF($A89="","",$A88-$E$1)</f>
        <v>-6509</v>
      </c>
      <c r="AL88" s="182" t="e">
        <f aca="false">IF($A89="","",SPRDOPT(P88,X88,AI88,0,AB88,AE88,AF88,AK88,$AJ$2,0))</f>
        <v>#NAME?</v>
      </c>
      <c r="AM88" s="211" t="e">
        <f aca="false">IF($A89="","",MAX(0,O88-W88-AI88))</f>
        <v>#N/A</v>
      </c>
      <c r="AN88" s="211" t="e">
        <f aca="false">IF($A89="","",AL88-AM88)</f>
        <v>#N/A</v>
      </c>
      <c r="AO88" s="137" t="n">
        <f aca="false">IF(A89="","",A89-A88)</f>
        <v>31</v>
      </c>
      <c r="AP88" s="212" t="n">
        <f aca="false">IF(A89="","",CHOOSE(F$3,A89+24,A88))</f>
        <v>39417</v>
      </c>
      <c r="AQ88" s="209" t="n">
        <f aca="false">IF(A89="","",AP88-$E$1)</f>
        <v>-6509</v>
      </c>
      <c r="AR88" s="185" t="n">
        <f aca="false">'ANR OK vs ML7'!AR88</f>
        <v>0.1</v>
      </c>
      <c r="AS88" s="213" t="n">
        <f aca="false">IF(A89="","",1/(1+CHOOSE(F$3,(AR89+($I$3/10000))/2,(AR88+($I$3/10000))/2))^(2*AQ88/365.25))</f>
        <v>5.69134673855258</v>
      </c>
      <c r="AT88" s="137" t="n">
        <f aca="false">IF(A89="","",IF(AND(mthbeg&lt;=A88,mthend&gt;=A88),1,0))</f>
        <v>1</v>
      </c>
      <c r="AU88" s="137" t="n">
        <f aca="false">IF(A89="","",AO88*AT88)</f>
        <v>31</v>
      </c>
      <c r="AW88" s="195" t="e">
        <f aca="false">IF($A89="","",AL88*$E88)</f>
        <v>#NAME?</v>
      </c>
      <c r="AX88" s="195" t="e">
        <f aca="false">IF($A89="","",AM88*$E88)</f>
        <v>#N/A</v>
      </c>
      <c r="AY88" s="195" t="e">
        <f aca="false">IF($A89="","",AN88*$E88)</f>
        <v>#N/A</v>
      </c>
      <c r="BA88" s="195" t="n">
        <f aca="false">IF($A89="","",F88*Summary!$Q$12)</f>
        <v>0</v>
      </c>
      <c r="BC88" s="179" t="e">
        <f aca="false">IF(A89="","",AM88*F88)</f>
        <v>#N/A</v>
      </c>
    </row>
    <row r="89" customFormat="false" ht="12.75" hidden="false" customHeight="false" outlineLevel="0" collapsed="false">
      <c r="A89" s="196" t="n">
        <f aca="false">IF(A88&lt;mthend,EDATE(A88,1),"")</f>
        <v>39448</v>
      </c>
      <c r="B89" s="197" t="n">
        <f aca="false">IF(A89&lt;mthend,B88,"")</f>
        <v>36522</v>
      </c>
      <c r="C89" s="215"/>
      <c r="D89" s="197" t="n">
        <f aca="false">IF(A90&lt;&gt;"",B89+C89,"")</f>
        <v>36522</v>
      </c>
      <c r="E89" s="199" t="n">
        <f aca="false">IF(A90="","",IF(AND(AT89=1,$H$3=1),D89*AO89,IF($H$3=2,D89,"N/A")))</f>
        <v>1132182</v>
      </c>
      <c r="F89" s="199" t="n">
        <f aca="false">IF(A90="","",E89*AS89)</f>
        <v>6390494.66523382</v>
      </c>
      <c r="G89" s="200" t="e">
        <f aca="false">IF($A90="","",VLOOKUP($A89,Table,MATCH(G$4,Curves,0)))</f>
        <v>#N/A</v>
      </c>
      <c r="H89" s="201" t="e">
        <f aca="false">IF(A90="","",G89)</f>
        <v>#N/A</v>
      </c>
      <c r="I89" s="202"/>
      <c r="J89" s="200" t="e">
        <f aca="false">IF($A90="","",VLOOKUP($A89,Table,MATCH(J$4,Curves,0)))</f>
        <v>#N/A</v>
      </c>
      <c r="K89" s="201" t="e">
        <f aca="false">IF(A90="","",J89)</f>
        <v>#N/A</v>
      </c>
      <c r="L89" s="200" t="e">
        <f aca="false">IF($A90="","",VLOOKUP($A89,Table,MATCH(L$4,Curves,0)))</f>
        <v>#N/A</v>
      </c>
      <c r="M89" s="201" t="e">
        <f aca="false">IF(A90="","",L89)</f>
        <v>#N/A</v>
      </c>
      <c r="N89" s="203"/>
      <c r="O89" s="200" t="e">
        <f aca="false">IF(A90="","",L89+J89+G89)</f>
        <v>#N/A</v>
      </c>
      <c r="P89" s="200" t="e">
        <f aca="false">IF(A90="","",M89+K89+H89)</f>
        <v>#N/A</v>
      </c>
      <c r="Q89" s="204"/>
      <c r="R89" s="200" t="e">
        <f aca="false">IF($A90="","",VLOOKUP($A89,Table,MATCH(R$4,Curves,0)))</f>
        <v>#N/A</v>
      </c>
      <c r="S89" s="201" t="e">
        <f aca="false">IF(A90="","",R89)</f>
        <v>#N/A</v>
      </c>
      <c r="T89" s="200" t="e">
        <f aca="false">IF($A90="","",VLOOKUP($A89,Table,MATCH(T$4,Curves,0)))</f>
        <v>#N/A</v>
      </c>
      <c r="U89" s="201" t="e">
        <f aca="false">IF(A90="","",T89)</f>
        <v>#N/A</v>
      </c>
      <c r="V89" s="225" t="e">
        <f aca="false">IF($A90="","",IF(AND(MONTH(A89)&gt;3,MONTH(A89)&lt;11),(T89+R89+G89)*(((1/(1-Summary!$T$12))/(1-Summary!$W$12))-1),(T89+R89+G89)*((1/(1-Summary!$U$12))/(1-Summary!$X$12)-1)))</f>
        <v>#N/A</v>
      </c>
      <c r="W89" s="200" t="e">
        <f aca="false">IF($A90="","",(T89+R89+G89+V89))</f>
        <v>#N/A</v>
      </c>
      <c r="X89" s="200" t="e">
        <f aca="false">IF($A90="","",(U89+S89+H89+V89))</f>
        <v>#N/A</v>
      </c>
      <c r="Y89" s="202"/>
      <c r="Z89" s="185" t="e">
        <f aca="false">IF($A90="","",VLOOKUP($A89,Table,MATCH(Z$4,Curves,0)))</f>
        <v>#N/A</v>
      </c>
      <c r="AA89" s="185" t="e">
        <f aca="false">IF($A90="","",VLOOKUP($A89,Table,MATCH(AA$4,Curves,0)))</f>
        <v>#N/A</v>
      </c>
      <c r="AB89" s="185" t="e">
        <f aca="false">SQRT((AA89^2*(A89-$D$3)+Z89^2*(DAY(EOMONTH(A89,0))/2))/AK89)</f>
        <v>#N/A</v>
      </c>
      <c r="AC89" s="185" t="e">
        <f aca="false">IF($A90="","",VLOOKUP($A89,Table,MATCH(AC$4,Curves,0)))</f>
        <v>#N/A</v>
      </c>
      <c r="AD89" s="185" t="e">
        <f aca="false">IF($A90="","",VLOOKUP($A89,Table,MATCH(AD$4,Curves,0)))</f>
        <v>#N/A</v>
      </c>
      <c r="AE89" s="185" t="e">
        <f aca="false">SQRT((AD89^2*(A89-$D$3)+AC89^2*(DAY(EOMONTH(A89,0))/2))/AK89)</f>
        <v>#N/A</v>
      </c>
      <c r="AF89" s="206" t="e">
        <f aca="false">((Summary!$N$12*(AA89*AD89)*(A89-$D$3))+(Summary!$M$12*Z89*AC89*(AJ89-EOMONTH(EDATE(A89,-1),0))))/(AK89*AB89*AE89)</f>
        <v>#N/A</v>
      </c>
      <c r="AG89" s="207" t="n">
        <f aca="false">IF($A90="","",Summary!$Q$12)</f>
        <v>0</v>
      </c>
      <c r="AH89" s="207" t="n">
        <f aca="false">IF($A90="","",IF(Summary!$R$12="Y",(VLOOKUP($A89,Summary!$AD$6:$AF$9,3)+'Escalating commodity'!H102),'Escalating commodity'!H102))</f>
        <v>0.029</v>
      </c>
      <c r="AI89" s="207" t="n">
        <f aca="false">IF($A90="","",AH89)</f>
        <v>0.029</v>
      </c>
      <c r="AJ89" s="208" t="n">
        <f aca="false">A89+DAY(EOMONTH(A89,0))/2-1</f>
        <v>39462.5</v>
      </c>
      <c r="AK89" s="209" t="n">
        <f aca="false">IF($A90="","",$A89-$E$1)</f>
        <v>-6478</v>
      </c>
      <c r="AL89" s="182" t="e">
        <f aca="false">IF($A90="","",SPRDOPT(P89,X89,AI89,0,AB89,AE89,AF89,AK89,$AJ$2,0))</f>
        <v>#NAME?</v>
      </c>
      <c r="AM89" s="211" t="e">
        <f aca="false">IF($A90="","",MAX(0,O89-W89-AI89))</f>
        <v>#N/A</v>
      </c>
      <c r="AN89" s="211" t="e">
        <f aca="false">IF($A90="","",AL89-AM89)</f>
        <v>#N/A</v>
      </c>
      <c r="AO89" s="137" t="n">
        <f aca="false">IF(A90="","",A90-A89)</f>
        <v>31</v>
      </c>
      <c r="AP89" s="212" t="n">
        <f aca="false">IF(A90="","",CHOOSE(F$3,A90+24,A89))</f>
        <v>39448</v>
      </c>
      <c r="AQ89" s="209" t="n">
        <f aca="false">IF(A90="","",AP89-$E$1)</f>
        <v>-6478</v>
      </c>
      <c r="AR89" s="185" t="n">
        <f aca="false">'ANR OK vs ML7'!AR89</f>
        <v>0.1</v>
      </c>
      <c r="AS89" s="213" t="n">
        <f aca="false">IF(A90="","",1/(1+CHOOSE(F$3,(AR90+($I$3/10000))/2,(AR89+($I$3/10000))/2))^(2*AQ89/365.25))</f>
        <v>5.64440581570262</v>
      </c>
      <c r="AT89" s="137" t="n">
        <f aca="false">IF(A90="","",IF(AND(mthbeg&lt;=A89,mthend&gt;=A89),1,0))</f>
        <v>1</v>
      </c>
      <c r="AU89" s="137" t="n">
        <f aca="false">IF(A90="","",AO89*AT89)</f>
        <v>31</v>
      </c>
      <c r="AW89" s="195" t="e">
        <f aca="false">IF($A90="","",AL89*$E89)</f>
        <v>#NAME?</v>
      </c>
      <c r="AX89" s="195" t="e">
        <f aca="false">IF($A90="","",AM89*$E89)</f>
        <v>#N/A</v>
      </c>
      <c r="AY89" s="195" t="e">
        <f aca="false">IF($A90="","",AN89*$E89)</f>
        <v>#N/A</v>
      </c>
      <c r="BA89" s="195" t="n">
        <f aca="false">IF($A90="","",F89*Summary!$Q$12)</f>
        <v>0</v>
      </c>
      <c r="BC89" s="179" t="e">
        <f aca="false">IF(A90="","",AM89*F89)</f>
        <v>#N/A</v>
      </c>
    </row>
    <row r="90" customFormat="false" ht="12.75" hidden="false" customHeight="false" outlineLevel="0" collapsed="false">
      <c r="A90" s="196" t="n">
        <f aca="false">IF(A89&lt;mthend,EDATE(A89,1),"")</f>
        <v>39479</v>
      </c>
      <c r="B90" s="197" t="n">
        <f aca="false">IF(A90&lt;mthend,B89,"")</f>
        <v>36522</v>
      </c>
      <c r="C90" s="215"/>
      <c r="D90" s="197" t="n">
        <f aca="false">IF(A91&lt;&gt;"",B90+C90,"")</f>
        <v>36522</v>
      </c>
      <c r="E90" s="199" t="n">
        <f aca="false">IF(A91="","",IF(AND(AT90=1,$H$3=1),D90*AO90,IF($H$3=2,D90,"N/A")))</f>
        <v>1059138</v>
      </c>
      <c r="F90" s="199" t="n">
        <f aca="false">IF(A91="","",E90*AS90)</f>
        <v>5928897.825402</v>
      </c>
      <c r="G90" s="200" t="e">
        <f aca="false">IF($A91="","",VLOOKUP($A90,Table,MATCH(G$4,Curves,0)))</f>
        <v>#N/A</v>
      </c>
      <c r="H90" s="201" t="e">
        <f aca="false">IF(A91="","",G90)</f>
        <v>#N/A</v>
      </c>
      <c r="I90" s="202"/>
      <c r="J90" s="200" t="e">
        <f aca="false">IF($A91="","",VLOOKUP($A90,Table,MATCH(J$4,Curves,0)))</f>
        <v>#N/A</v>
      </c>
      <c r="K90" s="201" t="e">
        <f aca="false">IF(A91="","",J90)</f>
        <v>#N/A</v>
      </c>
      <c r="L90" s="200" t="e">
        <f aca="false">IF($A91="","",VLOOKUP($A90,Table,MATCH(L$4,Curves,0)))</f>
        <v>#N/A</v>
      </c>
      <c r="M90" s="201" t="e">
        <f aca="false">IF(A91="","",L90)</f>
        <v>#N/A</v>
      </c>
      <c r="N90" s="203"/>
      <c r="O90" s="200" t="e">
        <f aca="false">IF(A91="","",L90+J90+G90)</f>
        <v>#N/A</v>
      </c>
      <c r="P90" s="200" t="e">
        <f aca="false">IF(A91="","",M90+K90+H90)</f>
        <v>#N/A</v>
      </c>
      <c r="Q90" s="204"/>
      <c r="R90" s="200" t="e">
        <f aca="false">IF($A91="","",VLOOKUP($A90,Table,MATCH(R$4,Curves,0)))</f>
        <v>#N/A</v>
      </c>
      <c r="S90" s="201" t="e">
        <f aca="false">IF(A91="","",R90)</f>
        <v>#N/A</v>
      </c>
      <c r="T90" s="200" t="e">
        <f aca="false">IF($A91="","",VLOOKUP($A90,Table,MATCH(T$4,Curves,0)))</f>
        <v>#N/A</v>
      </c>
      <c r="U90" s="201" t="e">
        <f aca="false">IF(A91="","",T90)</f>
        <v>#N/A</v>
      </c>
      <c r="V90" s="225" t="e">
        <f aca="false">IF($A91="","",IF(AND(MONTH(A90)&gt;3,MONTH(A90)&lt;11),(T90+R90+G90)*(((1/(1-Summary!$T$12))/(1-Summary!$W$12))-1),(T90+R90+G90)*((1/(1-Summary!$U$12))/(1-Summary!$X$12)-1)))</f>
        <v>#N/A</v>
      </c>
      <c r="W90" s="200" t="e">
        <f aca="false">IF($A91="","",(T90+R90+G90+V90))</f>
        <v>#N/A</v>
      </c>
      <c r="X90" s="200" t="e">
        <f aca="false">IF($A91="","",(U90+S90+H90+V90))</f>
        <v>#N/A</v>
      </c>
      <c r="Y90" s="202"/>
      <c r="Z90" s="185" t="e">
        <f aca="false">IF($A91="","",VLOOKUP($A90,Table,MATCH(Z$4,Curves,0)))</f>
        <v>#N/A</v>
      </c>
      <c r="AA90" s="185" t="e">
        <f aca="false">IF($A91="","",VLOOKUP($A90,Table,MATCH(AA$4,Curves,0)))</f>
        <v>#N/A</v>
      </c>
      <c r="AB90" s="185" t="e">
        <f aca="false">SQRT((AA90^2*(A90-$D$3)+Z90^2*(DAY(EOMONTH(A90,0))/2))/AK90)</f>
        <v>#N/A</v>
      </c>
      <c r="AC90" s="185" t="e">
        <f aca="false">IF($A91="","",VLOOKUP($A90,Table,MATCH(AC$4,Curves,0)))</f>
        <v>#N/A</v>
      </c>
      <c r="AD90" s="185" t="e">
        <f aca="false">IF($A91="","",VLOOKUP($A90,Table,MATCH(AD$4,Curves,0)))</f>
        <v>#N/A</v>
      </c>
      <c r="AE90" s="185" t="e">
        <f aca="false">SQRT((AD90^2*(A90-$D$3)+AC90^2*(DAY(EOMONTH(A90,0))/2))/AK90)</f>
        <v>#N/A</v>
      </c>
      <c r="AF90" s="206" t="e">
        <f aca="false">((Summary!$N$12*(AA90*AD90)*(A90-$D$3))+(Summary!$M$12*Z90*AC90*(AJ90-EOMONTH(EDATE(A90,-1),0))))/(AK90*AB90*AE90)</f>
        <v>#N/A</v>
      </c>
      <c r="AG90" s="207" t="n">
        <f aca="false">IF($A91="","",Summary!$Q$12)</f>
        <v>0</v>
      </c>
      <c r="AH90" s="207" t="n">
        <f aca="false">IF($A91="","",IF(Summary!$R$12="Y",(VLOOKUP($A90,Summary!$AD$6:$AF$9,3)+'Escalating commodity'!H103),'Escalating commodity'!H103))</f>
        <v>0.029</v>
      </c>
      <c r="AI90" s="207" t="n">
        <f aca="false">IF($A91="","",AH90)</f>
        <v>0.029</v>
      </c>
      <c r="AJ90" s="208" t="n">
        <f aca="false">A90+DAY(EOMONTH(A90,0))/2-1</f>
        <v>39492.5</v>
      </c>
      <c r="AK90" s="209" t="n">
        <f aca="false">IF($A91="","",$A90-$E$1)</f>
        <v>-6447</v>
      </c>
      <c r="AL90" s="182" t="e">
        <f aca="false">IF($A91="","",SPRDOPT(P90,X90,AI90,0,AB90,AE90,AF90,AK90,$AJ$2,0))</f>
        <v>#NAME?</v>
      </c>
      <c r="AM90" s="211" t="e">
        <f aca="false">IF($A91="","",MAX(0,O90-W90-AI90))</f>
        <v>#N/A</v>
      </c>
      <c r="AN90" s="211" t="e">
        <f aca="false">IF($A91="","",AL90-AM90)</f>
        <v>#N/A</v>
      </c>
      <c r="AO90" s="137" t="n">
        <f aca="false">IF(A91="","",A91-A90)</f>
        <v>29</v>
      </c>
      <c r="AP90" s="212" t="n">
        <f aca="false">IF(A91="","",CHOOSE(F$3,A91+24,A90))</f>
        <v>39479</v>
      </c>
      <c r="AQ90" s="209" t="n">
        <f aca="false">IF(A91="","",AP90-$E$1)</f>
        <v>-6447</v>
      </c>
      <c r="AR90" s="185" t="n">
        <f aca="false">'ANR OK vs ML7'!AR90</f>
        <v>0.1</v>
      </c>
      <c r="AS90" s="213" t="n">
        <f aca="false">IF(A91="","",1/(1+CHOOSE(F$3,(AR91+($I$3/10000))/2,(AR90+($I$3/10000))/2))^(2*AQ90/365.25))</f>
        <v>5.59785205082057</v>
      </c>
      <c r="AT90" s="137" t="n">
        <f aca="false">IF(A91="","",IF(AND(mthbeg&lt;=A90,mthend&gt;=A90),1,0))</f>
        <v>1</v>
      </c>
      <c r="AU90" s="137" t="n">
        <f aca="false">IF(A91="","",AO90*AT90)</f>
        <v>29</v>
      </c>
      <c r="AW90" s="195" t="e">
        <f aca="false">IF($A91="","",AL90*$E90)</f>
        <v>#NAME?</v>
      </c>
      <c r="AX90" s="195" t="e">
        <f aca="false">IF($A91="","",AM90*$E90)</f>
        <v>#N/A</v>
      </c>
      <c r="AY90" s="195" t="e">
        <f aca="false">IF($A91="","",AN90*$E90)</f>
        <v>#N/A</v>
      </c>
      <c r="BA90" s="195" t="n">
        <f aca="false">IF($A91="","",F90*Summary!$Q$12)</f>
        <v>0</v>
      </c>
      <c r="BC90" s="179" t="e">
        <f aca="false">IF(A91="","",AM90*F90)</f>
        <v>#N/A</v>
      </c>
    </row>
    <row r="91" customFormat="false" ht="12.75" hidden="false" customHeight="false" outlineLevel="0" collapsed="false">
      <c r="A91" s="196" t="n">
        <f aca="false">IF(A90&lt;mthend,EDATE(A90,1),"")</f>
        <v>39508</v>
      </c>
      <c r="B91" s="197" t="n">
        <f aca="false">IF(A91&lt;mthend,B90,"")</f>
        <v>36522</v>
      </c>
      <c r="C91" s="215"/>
      <c r="D91" s="197" t="n">
        <f aca="false">IF(A92&lt;&gt;"",B91+C91,"")</f>
        <v>36522</v>
      </c>
      <c r="E91" s="199" t="n">
        <f aca="false">IF(A92="","",IF(AND(AT91=1,$H$3=1),D91*AO91,IF($H$3=2,D91,"N/A")))</f>
        <v>1132182</v>
      </c>
      <c r="F91" s="199" t="n">
        <f aca="false">IF(A92="","",E91*AS91)</f>
        <v>6288874.09237663</v>
      </c>
      <c r="G91" s="200" t="e">
        <f aca="false">IF($A92="","",VLOOKUP($A91,Table,MATCH(G$4,Curves,0)))</f>
        <v>#N/A</v>
      </c>
      <c r="H91" s="201" t="e">
        <f aca="false">IF(A92="","",G91)</f>
        <v>#N/A</v>
      </c>
      <c r="I91" s="202"/>
      <c r="J91" s="200" t="e">
        <f aca="false">IF($A92="","",VLOOKUP($A91,Table,MATCH(J$4,Curves,0)))</f>
        <v>#N/A</v>
      </c>
      <c r="K91" s="201" t="e">
        <f aca="false">IF(A92="","",J91)</f>
        <v>#N/A</v>
      </c>
      <c r="L91" s="200" t="e">
        <f aca="false">IF($A92="","",VLOOKUP($A91,Table,MATCH(L$4,Curves,0)))</f>
        <v>#N/A</v>
      </c>
      <c r="M91" s="201" t="e">
        <f aca="false">IF(A92="","",L91)</f>
        <v>#N/A</v>
      </c>
      <c r="N91" s="203"/>
      <c r="O91" s="200" t="e">
        <f aca="false">IF(A92="","",L91+J91+G91)</f>
        <v>#N/A</v>
      </c>
      <c r="P91" s="200" t="e">
        <f aca="false">IF(A92="","",M91+K91+H91)</f>
        <v>#N/A</v>
      </c>
      <c r="Q91" s="204"/>
      <c r="R91" s="200" t="e">
        <f aca="false">IF($A92="","",VLOOKUP($A91,Table,MATCH(R$4,Curves,0)))</f>
        <v>#N/A</v>
      </c>
      <c r="S91" s="201" t="e">
        <f aca="false">IF(A92="","",R91)</f>
        <v>#N/A</v>
      </c>
      <c r="T91" s="200" t="e">
        <f aca="false">IF($A92="","",VLOOKUP($A91,Table,MATCH(T$4,Curves,0)))</f>
        <v>#N/A</v>
      </c>
      <c r="U91" s="201" t="e">
        <f aca="false">IF(A92="","",T91)</f>
        <v>#N/A</v>
      </c>
      <c r="V91" s="225" t="e">
        <f aca="false">IF($A92="","",IF(AND(MONTH(A91)&gt;3,MONTH(A91)&lt;11),(T91+R91+G91)*(((1/(1-Summary!$T$12))/(1-Summary!$W$12))-1),(T91+R91+G91)*((1/(1-Summary!$U$12))/(1-Summary!$X$12)-1)))</f>
        <v>#N/A</v>
      </c>
      <c r="W91" s="200" t="e">
        <f aca="false">IF($A92="","",(T91+R91+G91+V91))</f>
        <v>#N/A</v>
      </c>
      <c r="X91" s="200" t="e">
        <f aca="false">IF($A92="","",(U91+S91+H91+V91))</f>
        <v>#N/A</v>
      </c>
      <c r="Y91" s="202"/>
      <c r="Z91" s="185" t="e">
        <f aca="false">IF($A92="","",VLOOKUP($A91,Table,MATCH(Z$4,Curves,0)))</f>
        <v>#N/A</v>
      </c>
      <c r="AA91" s="185" t="e">
        <f aca="false">IF($A92="","",VLOOKUP($A91,Table,MATCH(AA$4,Curves,0)))</f>
        <v>#N/A</v>
      </c>
      <c r="AB91" s="185" t="e">
        <f aca="false">SQRT((AA91^2*(A91-$D$3)+Z91^2*(DAY(EOMONTH(A91,0))/2))/AK91)</f>
        <v>#N/A</v>
      </c>
      <c r="AC91" s="185" t="e">
        <f aca="false">IF($A92="","",VLOOKUP($A91,Table,MATCH(AC$4,Curves,0)))</f>
        <v>#N/A</v>
      </c>
      <c r="AD91" s="185" t="e">
        <f aca="false">IF($A92="","",VLOOKUP($A91,Table,MATCH(AD$4,Curves,0)))</f>
        <v>#N/A</v>
      </c>
      <c r="AE91" s="185" t="e">
        <f aca="false">SQRT((AD91^2*(A91-$D$3)+AC91^2*(DAY(EOMONTH(A91,0))/2))/AK91)</f>
        <v>#N/A</v>
      </c>
      <c r="AF91" s="206" t="e">
        <f aca="false">((Summary!$N$12*(AA91*AD91)*(A91-$D$3))+(Summary!$M$12*Z91*AC91*(AJ91-EOMONTH(EDATE(A91,-1),0))))/(AK91*AB91*AE91)</f>
        <v>#N/A</v>
      </c>
      <c r="AG91" s="207" t="n">
        <f aca="false">IF($A92="","",Summary!$Q$12)</f>
        <v>0</v>
      </c>
      <c r="AH91" s="207" t="n">
        <f aca="false">IF($A92="","",IF(Summary!$R$12="Y",(VLOOKUP($A91,Summary!$AD$6:$AF$9,3)+'Escalating commodity'!H104),'Escalating commodity'!H104))</f>
        <v>0.029</v>
      </c>
      <c r="AI91" s="207" t="n">
        <f aca="false">IF($A92="","",AH91)</f>
        <v>0.029</v>
      </c>
      <c r="AJ91" s="208" t="n">
        <f aca="false">A91+DAY(EOMONTH(A91,0))/2-1</f>
        <v>39522.5</v>
      </c>
      <c r="AK91" s="209" t="n">
        <f aca="false">IF($A92="","",$A91-$E$1)</f>
        <v>-6418</v>
      </c>
      <c r="AL91" s="182" t="e">
        <f aca="false">IF($A92="","",SPRDOPT(P91,X91,AI91,0,AB91,AE91,AF91,AK91,$AJ$2,0))</f>
        <v>#NAME?</v>
      </c>
      <c r="AM91" s="211" t="e">
        <f aca="false">IF($A92="","",MAX(0,O91-W91-AI91))</f>
        <v>#N/A</v>
      </c>
      <c r="AN91" s="211" t="e">
        <f aca="false">IF($A92="","",AL91-AM91)</f>
        <v>#N/A</v>
      </c>
      <c r="AO91" s="137" t="n">
        <f aca="false">IF(A92="","",A92-A91)</f>
        <v>31</v>
      </c>
      <c r="AP91" s="212" t="n">
        <f aca="false">IF(A92="","",CHOOSE(F$3,A92+24,A91))</f>
        <v>39508</v>
      </c>
      <c r="AQ91" s="209" t="n">
        <f aca="false">IF(A92="","",AP91-$E$1)</f>
        <v>-6418</v>
      </c>
      <c r="AR91" s="185" t="n">
        <f aca="false">'ANR OK vs ML7'!AR91</f>
        <v>0.1</v>
      </c>
      <c r="AS91" s="213" t="n">
        <f aca="false">IF(A92="","",1/(1+CHOOSE(F$3,(AR92+($I$3/10000))/2,(AR91+($I$3/10000))/2))^(2*AQ91/365.25))</f>
        <v>5.55464942242204</v>
      </c>
      <c r="AT91" s="137" t="n">
        <f aca="false">IF(A92="","",IF(AND(mthbeg&lt;=A91,mthend&gt;=A91),1,0))</f>
        <v>1</v>
      </c>
      <c r="AU91" s="137" t="n">
        <f aca="false">IF(A92="","",AO91*AT91)</f>
        <v>31</v>
      </c>
      <c r="AW91" s="195" t="e">
        <f aca="false">IF($A92="","",AL91*$E91)</f>
        <v>#NAME?</v>
      </c>
      <c r="AX91" s="195" t="e">
        <f aca="false">IF($A92="","",AM91*$E91)</f>
        <v>#N/A</v>
      </c>
      <c r="AY91" s="195" t="e">
        <f aca="false">IF($A92="","",AN91*$E91)</f>
        <v>#N/A</v>
      </c>
      <c r="BA91" s="195" t="n">
        <f aca="false">IF($A92="","",F91*Summary!$Q$12)</f>
        <v>0</v>
      </c>
      <c r="BC91" s="179" t="e">
        <f aca="false">IF(A92="","",AM91*F91)</f>
        <v>#N/A</v>
      </c>
    </row>
    <row r="92" customFormat="false" ht="12.75" hidden="false" customHeight="false" outlineLevel="0" collapsed="false">
      <c r="A92" s="196" t="n">
        <f aca="false">IF(A91&lt;mthend,EDATE(A91,1),"")</f>
        <v>39539</v>
      </c>
      <c r="B92" s="197" t="n">
        <f aca="false">IF(A92&lt;mthend,B91,"")</f>
        <v>36522</v>
      </c>
      <c r="C92" s="215"/>
      <c r="D92" s="197" t="n">
        <f aca="false">IF(A93&lt;&gt;"",B92+C92,"")</f>
        <v>36522</v>
      </c>
      <c r="E92" s="199" t="n">
        <f aca="false">IF(A93="","",IF(AND(AT92=1,$H$3=1),D92*AO92,IF($H$3=2,D92,"N/A")))</f>
        <v>1095660</v>
      </c>
      <c r="F92" s="199" t="n">
        <f aca="false">IF(A93="","",E92*AS92)</f>
        <v>6035811.19444631</v>
      </c>
      <c r="G92" s="200" t="e">
        <f aca="false">IF($A93="","",VLOOKUP($A92,Table,MATCH(G$4,Curves,0)))</f>
        <v>#N/A</v>
      </c>
      <c r="H92" s="201" t="e">
        <f aca="false">IF(A93="","",G92)</f>
        <v>#N/A</v>
      </c>
      <c r="I92" s="202"/>
      <c r="J92" s="200" t="e">
        <f aca="false">IF($A93="","",VLOOKUP($A92,Table,MATCH(J$4,Curves,0)))</f>
        <v>#N/A</v>
      </c>
      <c r="K92" s="201" t="e">
        <f aca="false">IF(A93="","",J92)</f>
        <v>#N/A</v>
      </c>
      <c r="L92" s="200" t="e">
        <f aca="false">IF($A93="","",VLOOKUP($A92,Table,MATCH(L$4,Curves,0)))</f>
        <v>#N/A</v>
      </c>
      <c r="M92" s="201" t="e">
        <f aca="false">IF(A93="","",L92)</f>
        <v>#N/A</v>
      </c>
      <c r="N92" s="203"/>
      <c r="O92" s="200" t="e">
        <f aca="false">IF(A93="","",L92+J92+G92)</f>
        <v>#N/A</v>
      </c>
      <c r="P92" s="200" t="e">
        <f aca="false">IF(A93="","",M92+K92+H92)</f>
        <v>#N/A</v>
      </c>
      <c r="Q92" s="204"/>
      <c r="R92" s="200" t="e">
        <f aca="false">IF($A93="","",VLOOKUP($A92,Table,MATCH(R$4,Curves,0)))</f>
        <v>#N/A</v>
      </c>
      <c r="S92" s="201" t="e">
        <f aca="false">IF(A93="","",R92)</f>
        <v>#N/A</v>
      </c>
      <c r="T92" s="200" t="e">
        <f aca="false">IF($A93="","",VLOOKUP($A92,Table,MATCH(T$4,Curves,0)))</f>
        <v>#N/A</v>
      </c>
      <c r="U92" s="201" t="e">
        <f aca="false">IF(A93="","",T92)</f>
        <v>#N/A</v>
      </c>
      <c r="V92" s="225" t="e">
        <f aca="false">IF($A93="","",IF(AND(MONTH(A92)&gt;3,MONTH(A92)&lt;11),(T92+R92+G92)*(((1/(1-Summary!$T$12))/(1-Summary!$W$12))-1),(T92+R92+G92)*((1/(1-Summary!$U$12))/(1-Summary!$X$12)-1)))</f>
        <v>#N/A</v>
      </c>
      <c r="W92" s="200" t="e">
        <f aca="false">IF($A93="","",(T92+R92+G92+V92))</f>
        <v>#N/A</v>
      </c>
      <c r="X92" s="200" t="e">
        <f aca="false">IF($A93="","",(U92+S92+H92+V92))</f>
        <v>#N/A</v>
      </c>
      <c r="Y92" s="202"/>
      <c r="Z92" s="185" t="e">
        <f aca="false">IF($A93="","",VLOOKUP($A92,Table,MATCH(Z$4,Curves,0)))</f>
        <v>#N/A</v>
      </c>
      <c r="AA92" s="185" t="e">
        <f aca="false">IF($A93="","",VLOOKUP($A92,Table,MATCH(AA$4,Curves,0)))</f>
        <v>#N/A</v>
      </c>
      <c r="AB92" s="185" t="e">
        <f aca="false">SQRT((AA92^2*(A92-$D$3)+Z92^2*(DAY(EOMONTH(A92,0))/2))/AK92)</f>
        <v>#N/A</v>
      </c>
      <c r="AC92" s="185" t="e">
        <f aca="false">IF($A93="","",VLOOKUP($A92,Table,MATCH(AC$4,Curves,0)))</f>
        <v>#N/A</v>
      </c>
      <c r="AD92" s="185" t="e">
        <f aca="false">IF($A93="","",VLOOKUP($A92,Table,MATCH(AD$4,Curves,0)))</f>
        <v>#N/A</v>
      </c>
      <c r="AE92" s="185" t="e">
        <f aca="false">SQRT((AD92^2*(A92-$D$3)+AC92^2*(DAY(EOMONTH(A92,0))/2))/AK92)</f>
        <v>#N/A</v>
      </c>
      <c r="AF92" s="206" t="e">
        <f aca="false">((Summary!$N$12*(AA92*AD92)*(A92-$D$3))+(Summary!$M$12*Z92*AC92*(AJ92-EOMONTH(EDATE(A92,-1),0))))/(AK92*AB92*AE92)</f>
        <v>#N/A</v>
      </c>
      <c r="AG92" s="207" t="n">
        <f aca="false">IF($A93="","",Summary!$Q$12)</f>
        <v>0</v>
      </c>
      <c r="AH92" s="207" t="n">
        <f aca="false">IF($A93="","",IF(Summary!$R$12="Y",(VLOOKUP($A92,Summary!$AD$6:$AF$9,3)+'Escalating commodity'!H105),'Escalating commodity'!H105))</f>
        <v>0.029</v>
      </c>
      <c r="AI92" s="207" t="n">
        <f aca="false">IF($A93="","",AH92)</f>
        <v>0.029</v>
      </c>
      <c r="AJ92" s="208" t="n">
        <f aca="false">A92+DAY(EOMONTH(A92,0))/2-1</f>
        <v>39553</v>
      </c>
      <c r="AK92" s="209" t="n">
        <f aca="false">IF($A93="","",$A92-$E$1)</f>
        <v>-6387</v>
      </c>
      <c r="AL92" s="182" t="e">
        <f aca="false">IF($A93="","",SPRDOPT(P92,X92,AI92,0,AB92,AE92,AF92,AK92,$AJ$2,0))</f>
        <v>#NAME?</v>
      </c>
      <c r="AM92" s="211" t="e">
        <f aca="false">IF($A93="","",MAX(0,O92-W92-AI92))</f>
        <v>#N/A</v>
      </c>
      <c r="AN92" s="211" t="e">
        <f aca="false">IF($A93="","",AL92-AM92)</f>
        <v>#N/A</v>
      </c>
      <c r="AO92" s="137" t="n">
        <f aca="false">IF(A93="","",A93-A92)</f>
        <v>30</v>
      </c>
      <c r="AP92" s="212" t="n">
        <f aca="false">IF(A93="","",CHOOSE(F$3,A93+24,A92))</f>
        <v>39539</v>
      </c>
      <c r="AQ92" s="209" t="n">
        <f aca="false">IF(A93="","",AP92-$E$1)</f>
        <v>-6387</v>
      </c>
      <c r="AR92" s="185" t="n">
        <f aca="false">'ANR OK vs ML7'!AR92</f>
        <v>0.1</v>
      </c>
      <c r="AS92" s="213" t="n">
        <f aca="false">IF(A93="","",1/(1+CHOOSE(F$3,(AR93+($I$3/10000))/2,(AR92+($I$3/10000))/2))^(2*AQ92/365.25))</f>
        <v>5.50883594769026</v>
      </c>
      <c r="AT92" s="137" t="n">
        <f aca="false">IF(A93="","",IF(AND(mthbeg&lt;=A92,mthend&gt;=A92),1,0))</f>
        <v>1</v>
      </c>
      <c r="AU92" s="137" t="n">
        <f aca="false">IF(A93="","",AO92*AT92)</f>
        <v>30</v>
      </c>
      <c r="AW92" s="195" t="e">
        <f aca="false">IF($A93="","",AL92*$E92)</f>
        <v>#NAME?</v>
      </c>
      <c r="AX92" s="195" t="e">
        <f aca="false">IF($A93="","",AM92*$E92)</f>
        <v>#N/A</v>
      </c>
      <c r="AY92" s="195" t="e">
        <f aca="false">IF($A93="","",AN92*$E92)</f>
        <v>#N/A</v>
      </c>
      <c r="BA92" s="195" t="n">
        <f aca="false">IF($A93="","",F92*Summary!$Q$12)</f>
        <v>0</v>
      </c>
      <c r="BC92" s="179" t="e">
        <f aca="false">IF(A93="","",AM92*F92)</f>
        <v>#N/A</v>
      </c>
    </row>
    <row r="93" customFormat="false" ht="12.75" hidden="false" customHeight="false" outlineLevel="0" collapsed="false">
      <c r="A93" s="196" t="n">
        <f aca="false">IF(A92&lt;mthend,EDATE(A92,1),"")</f>
        <v>39569</v>
      </c>
      <c r="B93" s="197" t="n">
        <f aca="false">IF(A93&lt;mthend,B92,"")</f>
        <v>36522</v>
      </c>
      <c r="C93" s="215"/>
      <c r="D93" s="197" t="n">
        <f aca="false">IF(A94&lt;&gt;"",B93+C93,"")</f>
        <v>36522</v>
      </c>
      <c r="E93" s="199" t="n">
        <f aca="false">IF(A94="","",IF(AND(AT93=1,$H$3=1),D93*AO93,IF($H$3=2,D93,"N/A")))</f>
        <v>1132182</v>
      </c>
      <c r="F93" s="199" t="n">
        <f aca="false">IF(A94="","",E93*AS93)</f>
        <v>6187216.27293362</v>
      </c>
      <c r="G93" s="200" t="e">
        <f aca="false">IF($A94="","",VLOOKUP($A93,Table,MATCH(G$4,Curves,0)))</f>
        <v>#N/A</v>
      </c>
      <c r="H93" s="201" t="e">
        <f aca="false">IF(A94="","",G93)</f>
        <v>#N/A</v>
      </c>
      <c r="I93" s="202"/>
      <c r="J93" s="200" t="e">
        <f aca="false">IF($A94="","",VLOOKUP($A93,Table,MATCH(J$4,Curves,0)))</f>
        <v>#N/A</v>
      </c>
      <c r="K93" s="201" t="e">
        <f aca="false">IF(A94="","",J93)</f>
        <v>#N/A</v>
      </c>
      <c r="L93" s="200" t="e">
        <f aca="false">IF($A94="","",VLOOKUP($A93,Table,MATCH(L$4,Curves,0)))</f>
        <v>#N/A</v>
      </c>
      <c r="M93" s="201" t="e">
        <f aca="false">IF(A94="","",L93)</f>
        <v>#N/A</v>
      </c>
      <c r="N93" s="203"/>
      <c r="O93" s="200" t="e">
        <f aca="false">IF(A94="","",L93+J93+G93)</f>
        <v>#N/A</v>
      </c>
      <c r="P93" s="200" t="e">
        <f aca="false">IF(A94="","",M93+K93+H93)</f>
        <v>#N/A</v>
      </c>
      <c r="Q93" s="204"/>
      <c r="R93" s="200" t="e">
        <f aca="false">IF($A94="","",VLOOKUP($A93,Table,MATCH(R$4,Curves,0)))</f>
        <v>#N/A</v>
      </c>
      <c r="S93" s="201" t="e">
        <f aca="false">IF(A94="","",R93)</f>
        <v>#N/A</v>
      </c>
      <c r="T93" s="200" t="e">
        <f aca="false">IF($A94="","",VLOOKUP($A93,Table,MATCH(T$4,Curves,0)))</f>
        <v>#N/A</v>
      </c>
      <c r="U93" s="201" t="e">
        <f aca="false">IF(A94="","",T93)</f>
        <v>#N/A</v>
      </c>
      <c r="V93" s="225" t="e">
        <f aca="false">IF($A94="","",IF(AND(MONTH(A93)&gt;3,MONTH(A93)&lt;11),(T93+R93+G93)*(((1/(1-Summary!$T$12))/(1-Summary!$W$12))-1),(T93+R93+G93)*((1/(1-Summary!$U$12))/(1-Summary!$X$12)-1)))</f>
        <v>#N/A</v>
      </c>
      <c r="W93" s="200" t="e">
        <f aca="false">IF($A94="","",(T93+R93+G93+V93))</f>
        <v>#N/A</v>
      </c>
      <c r="X93" s="200" t="e">
        <f aca="false">IF($A94="","",(U93+S93+H93+V93))</f>
        <v>#N/A</v>
      </c>
      <c r="Y93" s="202"/>
      <c r="Z93" s="185" t="e">
        <f aca="false">IF($A94="","",VLOOKUP($A93,Table,MATCH(Z$4,Curves,0)))</f>
        <v>#N/A</v>
      </c>
      <c r="AA93" s="185" t="e">
        <f aca="false">IF($A94="","",VLOOKUP($A93,Table,MATCH(AA$4,Curves,0)))</f>
        <v>#N/A</v>
      </c>
      <c r="AB93" s="185" t="e">
        <f aca="false">SQRT((AA93^2*(A93-$D$3)+Z93^2*(DAY(EOMONTH(A93,0))/2))/AK93)</f>
        <v>#N/A</v>
      </c>
      <c r="AC93" s="185" t="e">
        <f aca="false">IF($A94="","",VLOOKUP($A93,Table,MATCH(AC$4,Curves,0)))</f>
        <v>#N/A</v>
      </c>
      <c r="AD93" s="185" t="e">
        <f aca="false">IF($A94="","",VLOOKUP($A93,Table,MATCH(AD$4,Curves,0)))</f>
        <v>#N/A</v>
      </c>
      <c r="AE93" s="185" t="e">
        <f aca="false">SQRT((AD93^2*(A93-$D$3)+AC93^2*(DAY(EOMONTH(A93,0))/2))/AK93)</f>
        <v>#N/A</v>
      </c>
      <c r="AF93" s="206" t="e">
        <f aca="false">((Summary!$N$12*(AA93*AD93)*(A93-$D$3))+(Summary!$M$12*Z93*AC93*(AJ93-EOMONTH(EDATE(A93,-1),0))))/(AK93*AB93*AE93)</f>
        <v>#N/A</v>
      </c>
      <c r="AG93" s="207" t="n">
        <f aca="false">IF($A94="","",Summary!$Q$12)</f>
        <v>0</v>
      </c>
      <c r="AH93" s="207" t="n">
        <f aca="false">IF($A94="","",IF(Summary!$R$12="Y",(VLOOKUP($A93,Summary!$AD$6:$AF$9,3)+'Escalating commodity'!H106),'Escalating commodity'!H106))</f>
        <v>0.029</v>
      </c>
      <c r="AI93" s="207" t="n">
        <f aca="false">IF($A94="","",AH93)</f>
        <v>0.029</v>
      </c>
      <c r="AJ93" s="208" t="n">
        <f aca="false">A93+DAY(EOMONTH(A93,0))/2-1</f>
        <v>39583.5</v>
      </c>
      <c r="AK93" s="209" t="n">
        <f aca="false">IF($A94="","",$A93-$E$1)</f>
        <v>-6357</v>
      </c>
      <c r="AL93" s="182" t="e">
        <f aca="false">IF($A94="","",SPRDOPT(P93,X93,AI93,0,AB93,AE93,AF93,AK93,$AJ$2,0))</f>
        <v>#NAME?</v>
      </c>
      <c r="AM93" s="211" t="e">
        <f aca="false">IF($A94="","",MAX(0,O93-W93-AI93))</f>
        <v>#N/A</v>
      </c>
      <c r="AN93" s="211" t="e">
        <f aca="false">IF($A94="","",AL93-AM93)</f>
        <v>#N/A</v>
      </c>
      <c r="AO93" s="137" t="n">
        <f aca="false">IF(A94="","",A94-A93)</f>
        <v>31</v>
      </c>
      <c r="AP93" s="212" t="n">
        <f aca="false">IF(A94="","",CHOOSE(F$3,A94+24,A93))</f>
        <v>39569</v>
      </c>
      <c r="AQ93" s="209" t="n">
        <f aca="false">IF(A94="","",AP93-$E$1)</f>
        <v>-6357</v>
      </c>
      <c r="AR93" s="185" t="n">
        <f aca="false">'ANR OK vs ML7'!AR93</f>
        <v>0.1</v>
      </c>
      <c r="AS93" s="213" t="n">
        <f aca="false">IF(A94="","",1/(1+CHOOSE(F$3,(AR94+($I$3/10000))/2,(AR93+($I$3/10000))/2))^(2*AQ93/365.25))</f>
        <v>5.46486013108636</v>
      </c>
      <c r="AT93" s="137" t="n">
        <f aca="false">IF(A94="","",IF(AND(mthbeg&lt;=A93,mthend&gt;=A93),1,0))</f>
        <v>1</v>
      </c>
      <c r="AU93" s="137" t="n">
        <f aca="false">IF(A94="","",AO93*AT93)</f>
        <v>31</v>
      </c>
      <c r="AW93" s="195" t="e">
        <f aca="false">IF($A94="","",AL93*$E93)</f>
        <v>#NAME?</v>
      </c>
      <c r="AX93" s="195" t="e">
        <f aca="false">IF($A94="","",AM93*$E93)</f>
        <v>#N/A</v>
      </c>
      <c r="AY93" s="195" t="e">
        <f aca="false">IF($A94="","",AN93*$E93)</f>
        <v>#N/A</v>
      </c>
      <c r="BA93" s="195" t="n">
        <f aca="false">IF($A94="","",F93*Summary!$Q$12)</f>
        <v>0</v>
      </c>
      <c r="BC93" s="179" t="e">
        <f aca="false">IF(A94="","",AM93*F93)</f>
        <v>#N/A</v>
      </c>
    </row>
    <row r="94" customFormat="false" ht="12.75" hidden="false" customHeight="false" outlineLevel="0" collapsed="false">
      <c r="A94" s="196" t="n">
        <f aca="false">IF(A93&lt;mthend,EDATE(A93,1),"")</f>
        <v>39600</v>
      </c>
      <c r="B94" s="197" t="n">
        <f aca="false">IF(A94&lt;mthend,B93,"")</f>
        <v>36522</v>
      </c>
      <c r="C94" s="215"/>
      <c r="D94" s="197" t="n">
        <f aca="false">IF(A95&lt;&gt;"",B94+C94,"")</f>
        <v>36522</v>
      </c>
      <c r="E94" s="199" t="n">
        <f aca="false">IF(A95="","",IF(AND(AT94=1,$H$3=1),D94*AO94,IF($H$3=2,D94,"N/A")))</f>
        <v>1095660</v>
      </c>
      <c r="F94" s="199" t="n">
        <f aca="false">IF(A95="","",E94*AS94)</f>
        <v>5938244.06309907</v>
      </c>
      <c r="G94" s="200" t="e">
        <f aca="false">IF($A95="","",VLOOKUP($A94,Table,MATCH(G$4,Curves,0)))</f>
        <v>#N/A</v>
      </c>
      <c r="H94" s="201" t="e">
        <f aca="false">IF(A95="","",G94)</f>
        <v>#N/A</v>
      </c>
      <c r="I94" s="202"/>
      <c r="J94" s="200" t="e">
        <f aca="false">IF($A95="","",VLOOKUP($A94,Table,MATCH(J$4,Curves,0)))</f>
        <v>#N/A</v>
      </c>
      <c r="K94" s="201" t="e">
        <f aca="false">IF(A95="","",J94)</f>
        <v>#N/A</v>
      </c>
      <c r="L94" s="200" t="e">
        <f aca="false">IF($A95="","",VLOOKUP($A94,Table,MATCH(L$4,Curves,0)))</f>
        <v>#N/A</v>
      </c>
      <c r="M94" s="201" t="e">
        <f aca="false">IF(A95="","",L94)</f>
        <v>#N/A</v>
      </c>
      <c r="N94" s="203"/>
      <c r="O94" s="200" t="e">
        <f aca="false">IF(A95="","",L94+J94+G94)</f>
        <v>#N/A</v>
      </c>
      <c r="P94" s="200" t="e">
        <f aca="false">IF(A95="","",M94+K94+H94)</f>
        <v>#N/A</v>
      </c>
      <c r="Q94" s="204"/>
      <c r="R94" s="200" t="e">
        <f aca="false">IF($A95="","",VLOOKUP($A94,Table,MATCH(R$4,Curves,0)))</f>
        <v>#N/A</v>
      </c>
      <c r="S94" s="201" t="e">
        <f aca="false">IF(A95="","",R94)</f>
        <v>#N/A</v>
      </c>
      <c r="T94" s="200" t="e">
        <f aca="false">IF($A95="","",VLOOKUP($A94,Table,MATCH(T$4,Curves,0)))</f>
        <v>#N/A</v>
      </c>
      <c r="U94" s="201" t="e">
        <f aca="false">IF(A95="","",T94)</f>
        <v>#N/A</v>
      </c>
      <c r="V94" s="225" t="e">
        <f aca="false">IF($A95="","",IF(AND(MONTH(A94)&gt;3,MONTH(A94)&lt;11),(T94+R94+G94)*(((1/(1-Summary!$T$12))/(1-Summary!$W$12))-1),(T94+R94+G94)*((1/(1-Summary!$U$12))/(1-Summary!$X$12)-1)))</f>
        <v>#N/A</v>
      </c>
      <c r="W94" s="200" t="e">
        <f aca="false">IF($A95="","",(T94+R94+G94+V94))</f>
        <v>#N/A</v>
      </c>
      <c r="X94" s="200" t="e">
        <f aca="false">IF($A95="","",(U94+S94+H94+V94))</f>
        <v>#N/A</v>
      </c>
      <c r="Y94" s="202"/>
      <c r="Z94" s="185" t="e">
        <f aca="false">IF($A95="","",VLOOKUP($A94,Table,MATCH(Z$4,Curves,0)))</f>
        <v>#N/A</v>
      </c>
      <c r="AA94" s="185" t="e">
        <f aca="false">IF($A95="","",VLOOKUP($A94,Table,MATCH(AA$4,Curves,0)))</f>
        <v>#N/A</v>
      </c>
      <c r="AB94" s="185" t="e">
        <f aca="false">SQRT((AA94^2*(A94-$D$3)+Z94^2*(DAY(EOMONTH(A94,0))/2))/AK94)</f>
        <v>#N/A</v>
      </c>
      <c r="AC94" s="185" t="e">
        <f aca="false">IF($A95="","",VLOOKUP($A94,Table,MATCH(AC$4,Curves,0)))</f>
        <v>#N/A</v>
      </c>
      <c r="AD94" s="185" t="e">
        <f aca="false">IF($A95="","",VLOOKUP($A94,Table,MATCH(AD$4,Curves,0)))</f>
        <v>#N/A</v>
      </c>
      <c r="AE94" s="185" t="e">
        <f aca="false">SQRT((AD94^2*(A94-$D$3)+AC94^2*(DAY(EOMONTH(A94,0))/2))/AK94)</f>
        <v>#N/A</v>
      </c>
      <c r="AF94" s="206" t="e">
        <f aca="false">((Summary!$N$12*(AA94*AD94)*(A94-$D$3))+(Summary!$M$12*Z94*AC94*(AJ94-EOMONTH(EDATE(A94,-1),0))))/(AK94*AB94*AE94)</f>
        <v>#N/A</v>
      </c>
      <c r="AG94" s="207" t="n">
        <f aca="false">IF($A95="","",Summary!$Q$12)</f>
        <v>0</v>
      </c>
      <c r="AH94" s="207" t="n">
        <f aca="false">IF($A95="","",IF(Summary!$R$12="Y",(VLOOKUP($A94,Summary!$AD$6:$AF$9,3)+'Escalating commodity'!H107),'Escalating commodity'!H107))</f>
        <v>0.029</v>
      </c>
      <c r="AI94" s="207" t="n">
        <f aca="false">IF($A95="","",AH94)</f>
        <v>0.029</v>
      </c>
      <c r="AJ94" s="208" t="n">
        <f aca="false">A94+DAY(EOMONTH(A94,0))/2-1</f>
        <v>39614</v>
      </c>
      <c r="AK94" s="209" t="n">
        <f aca="false">IF($A95="","",$A94-$E$1)</f>
        <v>-6326</v>
      </c>
      <c r="AL94" s="182" t="e">
        <f aca="false">IF($A95="","",SPRDOPT(P94,X94,AI94,0,AB94,AE94,AF94,AK94,$AJ$2,0))</f>
        <v>#NAME?</v>
      </c>
      <c r="AM94" s="211" t="e">
        <f aca="false">IF($A95="","",MAX(0,O94-W94-AI94))</f>
        <v>#N/A</v>
      </c>
      <c r="AN94" s="211" t="e">
        <f aca="false">IF($A95="","",AL94-AM94)</f>
        <v>#N/A</v>
      </c>
      <c r="AO94" s="137" t="n">
        <f aca="false">IF(A95="","",A95-A94)</f>
        <v>30</v>
      </c>
      <c r="AP94" s="212" t="n">
        <f aca="false">IF(A95="","",CHOOSE(F$3,A95+24,A94))</f>
        <v>39600</v>
      </c>
      <c r="AQ94" s="209" t="n">
        <f aca="false">IF(A95="","",AP94-$E$1)</f>
        <v>-6326</v>
      </c>
      <c r="AR94" s="185" t="n">
        <f aca="false">'ANR OK vs ML7'!AR94</f>
        <v>0.1</v>
      </c>
      <c r="AS94" s="213" t="n">
        <f aca="false">IF(A95="","",1/(1+CHOOSE(F$3,(AR95+($I$3/10000))/2,(AR94+($I$3/10000))/2))^(2*AQ94/365.25))</f>
        <v>5.41978721784045</v>
      </c>
      <c r="AT94" s="137" t="n">
        <f aca="false">IF(A95="","",IF(AND(mthbeg&lt;=A94,mthend&gt;=A94),1,0))</f>
        <v>1</v>
      </c>
      <c r="AU94" s="137" t="n">
        <f aca="false">IF(A95="","",AO94*AT94)</f>
        <v>30</v>
      </c>
      <c r="AW94" s="195" t="e">
        <f aca="false">IF($A95="","",AL94*$E94)</f>
        <v>#NAME?</v>
      </c>
      <c r="AX94" s="195" t="e">
        <f aca="false">IF($A95="","",AM94*$E94)</f>
        <v>#N/A</v>
      </c>
      <c r="AY94" s="195" t="e">
        <f aca="false">IF($A95="","",AN94*$E94)</f>
        <v>#N/A</v>
      </c>
      <c r="BA94" s="195" t="n">
        <f aca="false">IF($A95="","",F94*Summary!$Q$12)</f>
        <v>0</v>
      </c>
      <c r="BC94" s="179" t="e">
        <f aca="false">IF(A95="","",AM94*F94)</f>
        <v>#N/A</v>
      </c>
    </row>
    <row r="95" customFormat="false" ht="12.75" hidden="false" customHeight="false" outlineLevel="0" collapsed="false">
      <c r="A95" s="196" t="n">
        <f aca="false">IF(A94&lt;mthend,EDATE(A94,1),"")</f>
        <v>39630</v>
      </c>
      <c r="B95" s="197" t="n">
        <f aca="false">IF(A95&lt;mthend,B94,"")</f>
        <v>36522</v>
      </c>
      <c r="C95" s="215"/>
      <c r="D95" s="197" t="n">
        <f aca="false">IF(A96&lt;&gt;"",B95+C95,"")</f>
        <v>36522</v>
      </c>
      <c r="E95" s="199" t="n">
        <f aca="false">IF(A96="","",IF(AND(AT95=1,$H$3=1),D95*AO95,IF($H$3=2,D95,"N/A")))</f>
        <v>1132182</v>
      </c>
      <c r="F95" s="199" t="n">
        <f aca="false">IF(A96="","",E95*AS95)</f>
        <v>6087201.72255628</v>
      </c>
      <c r="G95" s="200" t="e">
        <f aca="false">IF($A96="","",VLOOKUP($A95,Table,MATCH(G$4,Curves,0)))</f>
        <v>#N/A</v>
      </c>
      <c r="H95" s="201" t="e">
        <f aca="false">IF(A96="","",G95)</f>
        <v>#N/A</v>
      </c>
      <c r="I95" s="202"/>
      <c r="J95" s="200" t="e">
        <f aca="false">IF($A96="","",VLOOKUP($A95,Table,MATCH(J$4,Curves,0)))</f>
        <v>#N/A</v>
      </c>
      <c r="K95" s="201" t="e">
        <f aca="false">IF(A96="","",J95)</f>
        <v>#N/A</v>
      </c>
      <c r="L95" s="200" t="e">
        <f aca="false">IF($A96="","",VLOOKUP($A95,Table,MATCH(L$4,Curves,0)))</f>
        <v>#N/A</v>
      </c>
      <c r="M95" s="201" t="e">
        <f aca="false">IF(A96="","",L95)</f>
        <v>#N/A</v>
      </c>
      <c r="N95" s="203"/>
      <c r="O95" s="200" t="e">
        <f aca="false">IF(A96="","",L95+J95+G95)</f>
        <v>#N/A</v>
      </c>
      <c r="P95" s="200" t="e">
        <f aca="false">IF(A96="","",M95+K95+H95)</f>
        <v>#N/A</v>
      </c>
      <c r="Q95" s="204"/>
      <c r="R95" s="200" t="e">
        <f aca="false">IF($A96="","",VLOOKUP($A95,Table,MATCH(R$4,Curves,0)))</f>
        <v>#N/A</v>
      </c>
      <c r="S95" s="201" t="e">
        <f aca="false">IF(A96="","",R95)</f>
        <v>#N/A</v>
      </c>
      <c r="T95" s="200" t="e">
        <f aca="false">IF($A96="","",VLOOKUP($A95,Table,MATCH(T$4,Curves,0)))</f>
        <v>#N/A</v>
      </c>
      <c r="U95" s="201" t="e">
        <f aca="false">IF(A96="","",T95)</f>
        <v>#N/A</v>
      </c>
      <c r="V95" s="225" t="e">
        <f aca="false">IF($A96="","",IF(AND(MONTH(A95)&gt;3,MONTH(A95)&lt;11),(T95+R95+G95)*(((1/(1-Summary!$T$12))/(1-Summary!$W$12))-1),(T95+R95+G95)*((1/(1-Summary!$U$12))/(1-Summary!$X$12)-1)))</f>
        <v>#N/A</v>
      </c>
      <c r="W95" s="200" t="e">
        <f aca="false">IF($A96="","",(T95+R95+G95+V95))</f>
        <v>#N/A</v>
      </c>
      <c r="X95" s="200" t="e">
        <f aca="false">IF($A96="","",(U95+S95+H95+V95))</f>
        <v>#N/A</v>
      </c>
      <c r="Y95" s="202"/>
      <c r="Z95" s="185" t="e">
        <f aca="false">IF($A96="","",VLOOKUP($A95,Table,MATCH(Z$4,Curves,0)))</f>
        <v>#N/A</v>
      </c>
      <c r="AA95" s="185" t="e">
        <f aca="false">IF($A96="","",VLOOKUP($A95,Table,MATCH(AA$4,Curves,0)))</f>
        <v>#N/A</v>
      </c>
      <c r="AB95" s="185" t="e">
        <f aca="false">SQRT((AA95^2*(A95-$D$3)+Z95^2*(DAY(EOMONTH(A95,0))/2))/AK95)</f>
        <v>#N/A</v>
      </c>
      <c r="AC95" s="185" t="e">
        <f aca="false">IF($A96="","",VLOOKUP($A95,Table,MATCH(AC$4,Curves,0)))</f>
        <v>#N/A</v>
      </c>
      <c r="AD95" s="185" t="e">
        <f aca="false">IF($A96="","",VLOOKUP($A95,Table,MATCH(AD$4,Curves,0)))</f>
        <v>#N/A</v>
      </c>
      <c r="AE95" s="185" t="e">
        <f aca="false">SQRT((AD95^2*(A95-$D$3)+AC95^2*(DAY(EOMONTH(A95,0))/2))/AK95)</f>
        <v>#N/A</v>
      </c>
      <c r="AF95" s="206" t="e">
        <f aca="false">((Summary!$N$12*(AA95*AD95)*(A95-$D$3))+(Summary!$M$12*Z95*AC95*(AJ95-EOMONTH(EDATE(A95,-1),0))))/(AK95*AB95*AE95)</f>
        <v>#N/A</v>
      </c>
      <c r="AG95" s="207" t="n">
        <f aca="false">IF($A96="","",Summary!$Q$12)</f>
        <v>0</v>
      </c>
      <c r="AH95" s="207" t="n">
        <f aca="false">IF($A96="","",IF(Summary!$R$12="Y",(VLOOKUP($A95,Summary!$AD$6:$AF$9,3)+'Escalating commodity'!H108),'Escalating commodity'!H108))</f>
        <v>0.029</v>
      </c>
      <c r="AI95" s="207" t="n">
        <f aca="false">IF($A96="","",AH95)</f>
        <v>0.029</v>
      </c>
      <c r="AJ95" s="208" t="n">
        <f aca="false">A95+DAY(EOMONTH(A95,0))/2-1</f>
        <v>39644.5</v>
      </c>
      <c r="AK95" s="209" t="n">
        <f aca="false">IF($A96="","",$A95-$E$1)</f>
        <v>-6296</v>
      </c>
      <c r="AL95" s="182" t="e">
        <f aca="false">IF($A96="","",SPRDOPT(P95,X95,AI95,0,AB95,AE95,AF95,AK95,$AJ$2,0))</f>
        <v>#NAME?</v>
      </c>
      <c r="AM95" s="211" t="e">
        <f aca="false">IF($A96="","",MAX(0,O95-W95-AI95))</f>
        <v>#N/A</v>
      </c>
      <c r="AN95" s="211" t="e">
        <f aca="false">IF($A96="","",AL95-AM95)</f>
        <v>#N/A</v>
      </c>
      <c r="AO95" s="137" t="n">
        <f aca="false">IF(A96="","",A96-A95)</f>
        <v>31</v>
      </c>
      <c r="AP95" s="212" t="n">
        <f aca="false">IF(A96="","",CHOOSE(F$3,A96+24,A95))</f>
        <v>39630</v>
      </c>
      <c r="AQ95" s="209" t="n">
        <f aca="false">IF(A96="","",AP95-$E$1)</f>
        <v>-6296</v>
      </c>
      <c r="AR95" s="185" t="n">
        <f aca="false">'ANR OK vs ML7'!AR95</f>
        <v>0.1</v>
      </c>
      <c r="AS95" s="213" t="n">
        <f aca="false">IF(A96="","",1/(1+CHOOSE(F$3,(AR96+($I$3/10000))/2,(AR95+($I$3/10000))/2))^(2*AQ95/365.25))</f>
        <v>5.37652225751361</v>
      </c>
      <c r="AT95" s="137" t="n">
        <f aca="false">IF(A96="","",IF(AND(mthbeg&lt;=A95,mthend&gt;=A95),1,0))</f>
        <v>1</v>
      </c>
      <c r="AU95" s="137" t="n">
        <f aca="false">IF(A96="","",AO95*AT95)</f>
        <v>31</v>
      </c>
      <c r="AW95" s="195" t="e">
        <f aca="false">IF($A96="","",AL95*$E95)</f>
        <v>#NAME?</v>
      </c>
      <c r="AX95" s="195" t="e">
        <f aca="false">IF($A96="","",AM95*$E95)</f>
        <v>#N/A</v>
      </c>
      <c r="AY95" s="195" t="e">
        <f aca="false">IF($A96="","",AN95*$E95)</f>
        <v>#N/A</v>
      </c>
      <c r="BA95" s="195" t="n">
        <f aca="false">IF($A96="","",F95*Summary!$Q$12)</f>
        <v>0</v>
      </c>
      <c r="BC95" s="179" t="e">
        <f aca="false">IF(A96="","",AM95*F95)</f>
        <v>#N/A</v>
      </c>
    </row>
    <row r="96" customFormat="false" ht="12.75" hidden="false" customHeight="false" outlineLevel="0" collapsed="false">
      <c r="A96" s="196" t="n">
        <f aca="false">IF(A95&lt;mthend,EDATE(A95,1),"")</f>
        <v>39661</v>
      </c>
      <c r="B96" s="197" t="n">
        <f aca="false">IF(A96&lt;mthend,B95,"")</f>
        <v>36522</v>
      </c>
      <c r="C96" s="215"/>
      <c r="D96" s="197" t="n">
        <f aca="false">IF(A97&lt;&gt;"",B96+C96,"")</f>
        <v>36522</v>
      </c>
      <c r="E96" s="199" t="n">
        <f aca="false">IF(A97="","",IF(AND(AT96=1,$H$3=1),D96*AO96,IF($H$3=2,D96,"N/A")))</f>
        <v>1132182</v>
      </c>
      <c r="F96" s="199" t="n">
        <f aca="false">IF(A97="","",E96*AS96)</f>
        <v>6036995.87856946</v>
      </c>
      <c r="G96" s="200" t="e">
        <f aca="false">IF($A97="","",VLOOKUP($A96,Table,MATCH(G$4,Curves,0)))</f>
        <v>#N/A</v>
      </c>
      <c r="H96" s="201" t="e">
        <f aca="false">IF(A97="","",G96)</f>
        <v>#N/A</v>
      </c>
      <c r="I96" s="202"/>
      <c r="J96" s="200" t="e">
        <f aca="false">IF($A97="","",VLOOKUP($A96,Table,MATCH(J$4,Curves,0)))</f>
        <v>#N/A</v>
      </c>
      <c r="K96" s="201" t="e">
        <f aca="false">IF(A97="","",J96)</f>
        <v>#N/A</v>
      </c>
      <c r="L96" s="200" t="e">
        <f aca="false">IF($A97="","",VLOOKUP($A96,Table,MATCH(L$4,Curves,0)))</f>
        <v>#N/A</v>
      </c>
      <c r="M96" s="201" t="e">
        <f aca="false">IF(A97="","",L96)</f>
        <v>#N/A</v>
      </c>
      <c r="N96" s="203"/>
      <c r="O96" s="200" t="e">
        <f aca="false">IF(A97="","",L96+J96+G96)</f>
        <v>#N/A</v>
      </c>
      <c r="P96" s="200" t="e">
        <f aca="false">IF(A97="","",M96+K96+H96)</f>
        <v>#N/A</v>
      </c>
      <c r="Q96" s="204"/>
      <c r="R96" s="200" t="e">
        <f aca="false">IF($A97="","",VLOOKUP($A96,Table,MATCH(R$4,Curves,0)))</f>
        <v>#N/A</v>
      </c>
      <c r="S96" s="201" t="e">
        <f aca="false">IF(A97="","",R96)</f>
        <v>#N/A</v>
      </c>
      <c r="T96" s="200" t="e">
        <f aca="false">IF($A97="","",VLOOKUP($A96,Table,MATCH(T$4,Curves,0)))</f>
        <v>#N/A</v>
      </c>
      <c r="U96" s="201" t="e">
        <f aca="false">IF(A97="","",T96)</f>
        <v>#N/A</v>
      </c>
      <c r="V96" s="225" t="e">
        <f aca="false">IF($A97="","",IF(AND(MONTH(A96)&gt;3,MONTH(A96)&lt;11),(T96+R96+G96)*(((1/(1-Summary!$T$12))/(1-Summary!$W$12))-1),(T96+R96+G96)*((1/(1-Summary!$U$12))/(1-Summary!$X$12)-1)))</f>
        <v>#N/A</v>
      </c>
      <c r="W96" s="200" t="e">
        <f aca="false">IF($A97="","",(T96+R96+G96+V96))</f>
        <v>#N/A</v>
      </c>
      <c r="X96" s="200" t="e">
        <f aca="false">IF($A97="","",(U96+S96+H96+V96))</f>
        <v>#N/A</v>
      </c>
      <c r="Y96" s="202"/>
      <c r="Z96" s="185" t="e">
        <f aca="false">IF($A97="","",VLOOKUP($A96,Table,MATCH(Z$4,Curves,0)))</f>
        <v>#N/A</v>
      </c>
      <c r="AA96" s="185" t="e">
        <f aca="false">IF($A97="","",VLOOKUP($A96,Table,MATCH(AA$4,Curves,0)))</f>
        <v>#N/A</v>
      </c>
      <c r="AB96" s="185" t="e">
        <f aca="false">SQRT((AA96^2*(A96-$D$3)+Z96^2*(DAY(EOMONTH(A96,0))/2))/AK96)</f>
        <v>#N/A</v>
      </c>
      <c r="AC96" s="185" t="e">
        <f aca="false">IF($A97="","",VLOOKUP($A96,Table,MATCH(AC$4,Curves,0)))</f>
        <v>#N/A</v>
      </c>
      <c r="AD96" s="185" t="e">
        <f aca="false">IF($A97="","",VLOOKUP($A96,Table,MATCH(AD$4,Curves,0)))</f>
        <v>#N/A</v>
      </c>
      <c r="AE96" s="185" t="e">
        <f aca="false">SQRT((AD96^2*(A96-$D$3)+AC96^2*(DAY(EOMONTH(A96,0))/2))/AK96)</f>
        <v>#N/A</v>
      </c>
      <c r="AF96" s="206" t="e">
        <f aca="false">((Summary!$N$12*(AA96*AD96)*(A96-$D$3))+(Summary!$M$12*Z96*AC96*(AJ96-EOMONTH(EDATE(A96,-1),0))))/(AK96*AB96*AE96)</f>
        <v>#N/A</v>
      </c>
      <c r="AG96" s="207" t="n">
        <f aca="false">IF($A97="","",Summary!$Q$12)</f>
        <v>0</v>
      </c>
      <c r="AH96" s="207" t="n">
        <f aca="false">IF($A97="","",IF(Summary!$R$12="Y",(VLOOKUP($A96,Summary!$AD$6:$AF$9,3)+'Escalating commodity'!H109),'Escalating commodity'!H109))</f>
        <v>0.029</v>
      </c>
      <c r="AI96" s="207" t="n">
        <f aca="false">IF($A97="","",AH96)</f>
        <v>0.029</v>
      </c>
      <c r="AJ96" s="208" t="n">
        <f aca="false">A96+DAY(EOMONTH(A96,0))/2-1</f>
        <v>39675.5</v>
      </c>
      <c r="AK96" s="209" t="n">
        <f aca="false">IF($A97="","",$A96-$E$1)</f>
        <v>-6265</v>
      </c>
      <c r="AL96" s="182" t="e">
        <f aca="false">IF($A97="","",SPRDOPT(P96,X96,AI96,0,AB96,AE96,AF96,AK96,$AJ$2,0))</f>
        <v>#NAME?</v>
      </c>
      <c r="AM96" s="211" t="e">
        <f aca="false">IF($A97="","",MAX(0,O96-W96-AI96))</f>
        <v>#N/A</v>
      </c>
      <c r="AN96" s="211" t="e">
        <f aca="false">IF($A97="","",AL96-AM96)</f>
        <v>#N/A</v>
      </c>
      <c r="AO96" s="137" t="n">
        <f aca="false">IF(A97="","",A97-A96)</f>
        <v>31</v>
      </c>
      <c r="AP96" s="212" t="n">
        <f aca="false">IF(A97="","",CHOOSE(F$3,A97+24,A96))</f>
        <v>39661</v>
      </c>
      <c r="AQ96" s="209" t="n">
        <f aca="false">IF(A97="","",AP96-$E$1)</f>
        <v>-6265</v>
      </c>
      <c r="AR96" s="185" t="n">
        <f aca="false">'ANR OK vs ML7'!AR96</f>
        <v>0.1</v>
      </c>
      <c r="AS96" s="213" t="n">
        <f aca="false">IF(A97="","",1/(1+CHOOSE(F$3,(AR97+($I$3/10000))/2,(AR96+($I$3/10000))/2))^(2*AQ96/365.25))</f>
        <v>5.33217793479269</v>
      </c>
      <c r="AT96" s="137" t="n">
        <f aca="false">IF(A97="","",IF(AND(mthbeg&lt;=A96,mthend&gt;=A96),1,0))</f>
        <v>1</v>
      </c>
      <c r="AU96" s="137" t="n">
        <f aca="false">IF(A97="","",AO96*AT96)</f>
        <v>31</v>
      </c>
      <c r="AW96" s="195" t="e">
        <f aca="false">IF($A97="","",AL96*$E96)</f>
        <v>#NAME?</v>
      </c>
      <c r="AX96" s="195" t="e">
        <f aca="false">IF($A97="","",AM96*$E96)</f>
        <v>#N/A</v>
      </c>
      <c r="AY96" s="195" t="e">
        <f aca="false">IF($A97="","",AN96*$E96)</f>
        <v>#N/A</v>
      </c>
      <c r="BA96" s="195" t="n">
        <f aca="false">IF($A97="","",F96*Summary!$Q$12)</f>
        <v>0</v>
      </c>
      <c r="BC96" s="179" t="e">
        <f aca="false">IF(A97="","",AM96*F96)</f>
        <v>#N/A</v>
      </c>
    </row>
    <row r="97" customFormat="false" ht="12.75" hidden="false" customHeight="false" outlineLevel="0" collapsed="false">
      <c r="A97" s="196" t="n">
        <f aca="false">IF(A96&lt;mthend,EDATE(A96,1),"")</f>
        <v>39692</v>
      </c>
      <c r="B97" s="197" t="n">
        <f aca="false">IF(A97&lt;mthend,B96,"")</f>
        <v>36522</v>
      </c>
      <c r="C97" s="215"/>
      <c r="D97" s="197" t="n">
        <f aca="false">IF(A98&lt;&gt;"",B97+C97,"")</f>
        <v>36522</v>
      </c>
      <c r="E97" s="199" t="n">
        <f aca="false">IF(A98="","",IF(AND(AT97=1,$H$3=1),D97*AO97,IF($H$3=2,D97,"N/A")))</f>
        <v>1095660</v>
      </c>
      <c r="F97" s="199" t="n">
        <f aca="false">IF(A98="","",E97*AS97)</f>
        <v>5794068.50406912</v>
      </c>
      <c r="G97" s="200" t="e">
        <f aca="false">IF($A98="","",VLOOKUP($A97,Table,MATCH(G$4,Curves,0)))</f>
        <v>#N/A</v>
      </c>
      <c r="H97" s="201" t="e">
        <f aca="false">IF(A98="","",G97)</f>
        <v>#N/A</v>
      </c>
      <c r="I97" s="202"/>
      <c r="J97" s="200" t="e">
        <f aca="false">IF($A98="","",VLOOKUP($A97,Table,MATCH(J$4,Curves,0)))</f>
        <v>#N/A</v>
      </c>
      <c r="K97" s="201" t="e">
        <f aca="false">IF(A98="","",J97)</f>
        <v>#N/A</v>
      </c>
      <c r="L97" s="200" t="e">
        <f aca="false">IF($A98="","",VLOOKUP($A97,Table,MATCH(L$4,Curves,0)))</f>
        <v>#N/A</v>
      </c>
      <c r="M97" s="201" t="e">
        <f aca="false">IF(A98="","",L97)</f>
        <v>#N/A</v>
      </c>
      <c r="N97" s="203"/>
      <c r="O97" s="200" t="e">
        <f aca="false">IF(A98="","",L97+J97+G97)</f>
        <v>#N/A</v>
      </c>
      <c r="P97" s="200" t="e">
        <f aca="false">IF(A98="","",M97+K97+H97)</f>
        <v>#N/A</v>
      </c>
      <c r="Q97" s="204"/>
      <c r="R97" s="200" t="e">
        <f aca="false">IF($A98="","",VLOOKUP($A97,Table,MATCH(R$4,Curves,0)))</f>
        <v>#N/A</v>
      </c>
      <c r="S97" s="201" t="e">
        <f aca="false">IF(A98="","",R97)</f>
        <v>#N/A</v>
      </c>
      <c r="T97" s="200" t="e">
        <f aca="false">IF($A98="","",VLOOKUP($A97,Table,MATCH(T$4,Curves,0)))</f>
        <v>#N/A</v>
      </c>
      <c r="U97" s="201" t="e">
        <f aca="false">IF(A98="","",T97)</f>
        <v>#N/A</v>
      </c>
      <c r="V97" s="225" t="e">
        <f aca="false">IF($A98="","",IF(AND(MONTH(A97)&gt;3,MONTH(A97)&lt;11),(T97+R97+G97)*(((1/(1-Summary!$T$12))/(1-Summary!$W$12))-1),(T97+R97+G97)*((1/(1-Summary!$U$12))/(1-Summary!$X$12)-1)))</f>
        <v>#N/A</v>
      </c>
      <c r="W97" s="200" t="e">
        <f aca="false">IF($A98="","",(T97+R97+G97+V97))</f>
        <v>#N/A</v>
      </c>
      <c r="X97" s="200" t="e">
        <f aca="false">IF($A98="","",(U97+S97+H97+V97))</f>
        <v>#N/A</v>
      </c>
      <c r="Y97" s="202"/>
      <c r="Z97" s="185" t="e">
        <f aca="false">IF($A98="","",VLOOKUP($A97,Table,MATCH(Z$4,Curves,0)))</f>
        <v>#N/A</v>
      </c>
      <c r="AA97" s="185" t="e">
        <f aca="false">IF($A98="","",VLOOKUP($A97,Table,MATCH(AA$4,Curves,0)))</f>
        <v>#N/A</v>
      </c>
      <c r="AB97" s="185" t="e">
        <f aca="false">SQRT((AA97^2*(A97-$D$3)+Z97^2*(DAY(EOMONTH(A97,0))/2))/AK97)</f>
        <v>#N/A</v>
      </c>
      <c r="AC97" s="185" t="e">
        <f aca="false">IF($A98="","",VLOOKUP($A97,Table,MATCH(AC$4,Curves,0)))</f>
        <v>#N/A</v>
      </c>
      <c r="AD97" s="185" t="e">
        <f aca="false">IF($A98="","",VLOOKUP($A97,Table,MATCH(AD$4,Curves,0)))</f>
        <v>#N/A</v>
      </c>
      <c r="AE97" s="185" t="e">
        <f aca="false">SQRT((AD97^2*(A97-$D$3)+AC97^2*(DAY(EOMONTH(A97,0))/2))/AK97)</f>
        <v>#N/A</v>
      </c>
      <c r="AF97" s="206" t="e">
        <f aca="false">((Summary!$N$12*(AA97*AD97)*(A97-$D$3))+(Summary!$M$12*Z97*AC97*(AJ97-EOMONTH(EDATE(A97,-1),0))))/(AK97*AB97*AE97)</f>
        <v>#N/A</v>
      </c>
      <c r="AG97" s="207" t="n">
        <f aca="false">IF($A98="","",Summary!$Q$12)</f>
        <v>0</v>
      </c>
      <c r="AH97" s="207" t="n">
        <f aca="false">IF($A98="","",IF(Summary!$R$12="Y",(VLOOKUP($A97,Summary!$AD$6:$AF$9,3)+'Escalating commodity'!H110),'Escalating commodity'!H110))</f>
        <v>0.029</v>
      </c>
      <c r="AI97" s="207" t="n">
        <f aca="false">IF($A98="","",AH97)</f>
        <v>0.029</v>
      </c>
      <c r="AJ97" s="208" t="n">
        <f aca="false">A97+DAY(EOMONTH(A97,0))/2-1</f>
        <v>39706</v>
      </c>
      <c r="AK97" s="209" t="n">
        <f aca="false">IF($A98="","",$A97-$E$1)</f>
        <v>-6234</v>
      </c>
      <c r="AL97" s="182" t="e">
        <f aca="false">IF($A98="","",SPRDOPT(P97,X97,AI97,0,AB97,AE97,AF97,AK97,$AJ$2,0))</f>
        <v>#NAME?</v>
      </c>
      <c r="AM97" s="211" t="e">
        <f aca="false">IF($A98="","",MAX(0,O97-W97-AI97))</f>
        <v>#N/A</v>
      </c>
      <c r="AN97" s="211" t="e">
        <f aca="false">IF($A98="","",AL97-AM97)</f>
        <v>#N/A</v>
      </c>
      <c r="AO97" s="137" t="n">
        <f aca="false">IF(A98="","",A98-A97)</f>
        <v>30</v>
      </c>
      <c r="AP97" s="212" t="n">
        <f aca="false">IF(A98="","",CHOOSE(F$3,A98+24,A97))</f>
        <v>39692</v>
      </c>
      <c r="AQ97" s="209" t="n">
        <f aca="false">IF(A98="","",AP97-$E$1)</f>
        <v>-6234</v>
      </c>
      <c r="AR97" s="185" t="n">
        <f aca="false">'ANR OK vs ML7'!AR97</f>
        <v>0.1</v>
      </c>
      <c r="AS97" s="213" t="n">
        <f aca="false">IF(A98="","",1/(1+CHOOSE(F$3,(AR98+($I$3/10000))/2,(AR97+($I$3/10000))/2))^(2*AQ97/365.25))</f>
        <v>5.28819935387723</v>
      </c>
      <c r="AT97" s="137" t="n">
        <f aca="false">IF(A98="","",IF(AND(mthbeg&lt;=A97,mthend&gt;=A97),1,0))</f>
        <v>1</v>
      </c>
      <c r="AU97" s="137" t="n">
        <f aca="false">IF(A98="","",AO97*AT97)</f>
        <v>30</v>
      </c>
      <c r="AW97" s="195" t="e">
        <f aca="false">IF($A98="","",AL97*$E97)</f>
        <v>#NAME?</v>
      </c>
      <c r="AX97" s="195" t="e">
        <f aca="false">IF($A98="","",AM97*$E97)</f>
        <v>#N/A</v>
      </c>
      <c r="AY97" s="195" t="e">
        <f aca="false">IF($A98="","",AN97*$E97)</f>
        <v>#N/A</v>
      </c>
      <c r="BA97" s="195" t="n">
        <f aca="false">IF($A98="","",F97*Summary!$Q$12)</f>
        <v>0</v>
      </c>
      <c r="BC97" s="179" t="e">
        <f aca="false">IF(A98="","",AM97*F97)</f>
        <v>#N/A</v>
      </c>
    </row>
    <row r="98" customFormat="false" ht="12.75" hidden="false" customHeight="false" outlineLevel="0" collapsed="false">
      <c r="A98" s="196" t="n">
        <f aca="false">IF(A97&lt;mthend,EDATE(A97,1),"")</f>
        <v>39722</v>
      </c>
      <c r="B98" s="197" t="n">
        <f aca="false">IF(A98&lt;mthend,B97,"")</f>
        <v>36522</v>
      </c>
      <c r="C98" s="215"/>
      <c r="D98" s="197" t="n">
        <f aca="false">IF(A99&lt;&gt;"",B98+C98,"")</f>
        <v>36522</v>
      </c>
      <c r="E98" s="199" t="n">
        <f aca="false">IF(A99="","",IF(AND(AT98=1,$H$3=1),D98*AO98,IF($H$3=2,D98,"N/A")))</f>
        <v>1132182</v>
      </c>
      <c r="F98" s="199" t="n">
        <f aca="false">IF(A99="","",E98*AS98)</f>
        <v>5939409.59714815</v>
      </c>
      <c r="G98" s="200" t="e">
        <f aca="false">IF($A99="","",VLOOKUP($A98,Table,MATCH(G$4,Curves,0)))</f>
        <v>#N/A</v>
      </c>
      <c r="H98" s="201" t="e">
        <f aca="false">IF(A99="","",G98)</f>
        <v>#N/A</v>
      </c>
      <c r="I98" s="202"/>
      <c r="J98" s="200" t="e">
        <f aca="false">IF($A99="","",VLOOKUP($A98,Table,MATCH(J$4,Curves,0)))</f>
        <v>#N/A</v>
      </c>
      <c r="K98" s="201" t="e">
        <f aca="false">IF(A99="","",J98)</f>
        <v>#N/A</v>
      </c>
      <c r="L98" s="200" t="e">
        <f aca="false">IF($A99="","",VLOOKUP($A98,Table,MATCH(L$4,Curves,0)))</f>
        <v>#N/A</v>
      </c>
      <c r="M98" s="201" t="e">
        <f aca="false">IF(A99="","",L98)</f>
        <v>#N/A</v>
      </c>
      <c r="N98" s="203"/>
      <c r="O98" s="200" t="e">
        <f aca="false">IF(A99="","",L98+J98+G98)</f>
        <v>#N/A</v>
      </c>
      <c r="P98" s="200" t="e">
        <f aca="false">IF(A99="","",M98+K98+H98)</f>
        <v>#N/A</v>
      </c>
      <c r="Q98" s="204"/>
      <c r="R98" s="200" t="e">
        <f aca="false">IF($A99="","",VLOOKUP($A98,Table,MATCH(R$4,Curves,0)))</f>
        <v>#N/A</v>
      </c>
      <c r="S98" s="201" t="e">
        <f aca="false">IF(A99="","",R98)</f>
        <v>#N/A</v>
      </c>
      <c r="T98" s="200" t="e">
        <f aca="false">IF($A99="","",VLOOKUP($A98,Table,MATCH(T$4,Curves,0)))</f>
        <v>#N/A</v>
      </c>
      <c r="U98" s="201" t="e">
        <f aca="false">IF(A99="","",T98)</f>
        <v>#N/A</v>
      </c>
      <c r="V98" s="225" t="e">
        <f aca="false">IF($A99="","",IF(AND(MONTH(A98)&gt;3,MONTH(A98)&lt;11),(T98+R98+G98)*(((1/(1-Summary!$T$12))/(1-Summary!$W$12))-1),(T98+R98+G98)*((1/(1-Summary!$U$12))/(1-Summary!$X$12)-1)))</f>
        <v>#N/A</v>
      </c>
      <c r="W98" s="200" t="e">
        <f aca="false">IF($A99="","",(T98+R98+G98+V98))</f>
        <v>#N/A</v>
      </c>
      <c r="X98" s="200" t="e">
        <f aca="false">IF($A99="","",(U98+S98+H98+V98))</f>
        <v>#N/A</v>
      </c>
      <c r="Y98" s="202"/>
      <c r="Z98" s="185" t="e">
        <f aca="false">IF($A99="","",VLOOKUP($A98,Table,MATCH(Z$4,Curves,0)))</f>
        <v>#N/A</v>
      </c>
      <c r="AA98" s="185" t="e">
        <f aca="false">IF($A99="","",VLOOKUP($A98,Table,MATCH(AA$4,Curves,0)))</f>
        <v>#N/A</v>
      </c>
      <c r="AB98" s="185" t="e">
        <f aca="false">SQRT((AA98^2*(A98-$D$3)+Z98^2*(DAY(EOMONTH(A98,0))/2))/AK98)</f>
        <v>#N/A</v>
      </c>
      <c r="AC98" s="185" t="e">
        <f aca="false">IF($A99="","",VLOOKUP($A98,Table,MATCH(AC$4,Curves,0)))</f>
        <v>#N/A</v>
      </c>
      <c r="AD98" s="185" t="e">
        <f aca="false">IF($A99="","",VLOOKUP($A98,Table,MATCH(AD$4,Curves,0)))</f>
        <v>#N/A</v>
      </c>
      <c r="AE98" s="185" t="e">
        <f aca="false">SQRT((AD98^2*(A98-$D$3)+AC98^2*(DAY(EOMONTH(A98,0))/2))/AK98)</f>
        <v>#N/A</v>
      </c>
      <c r="AF98" s="206" t="e">
        <f aca="false">((Summary!$N$12*(AA98*AD98)*(A98-$D$3))+(Summary!$M$12*Z98*AC98*(AJ98-EOMONTH(EDATE(A98,-1),0))))/(AK98*AB98*AE98)</f>
        <v>#N/A</v>
      </c>
      <c r="AG98" s="207" t="n">
        <f aca="false">IF($A99="","",Summary!$Q$12)</f>
        <v>0</v>
      </c>
      <c r="AH98" s="207" t="n">
        <f aca="false">IF($A99="","",IF(Summary!$R$12="Y",(VLOOKUP($A98,Summary!$AD$6:$AF$9,3)+'Escalating commodity'!H111),'Escalating commodity'!H111))</f>
        <v>0.029</v>
      </c>
      <c r="AI98" s="207" t="n">
        <f aca="false">IF($A99="","",AH98)</f>
        <v>0.029</v>
      </c>
      <c r="AJ98" s="208" t="n">
        <f aca="false">A98+DAY(EOMONTH(A98,0))/2-1</f>
        <v>39736.5</v>
      </c>
      <c r="AK98" s="209" t="n">
        <f aca="false">IF($A99="","",$A98-$E$1)</f>
        <v>-6204</v>
      </c>
      <c r="AL98" s="182" t="e">
        <f aca="false">IF($A99="","",SPRDOPT(P98,X98,AI98,0,AB98,AE98,AF98,AK98,$AJ$2,0))</f>
        <v>#NAME?</v>
      </c>
      <c r="AM98" s="211" t="e">
        <f aca="false">IF($A99="","",MAX(0,O98-W98-AI98))</f>
        <v>#N/A</v>
      </c>
      <c r="AN98" s="211" t="e">
        <f aca="false">IF($A99="","",AL98-AM98)</f>
        <v>#N/A</v>
      </c>
      <c r="AO98" s="137" t="n">
        <f aca="false">IF(A99="","",A99-A98)</f>
        <v>31</v>
      </c>
      <c r="AP98" s="212" t="n">
        <f aca="false">IF(A99="","",CHOOSE(F$3,A99+24,A98))</f>
        <v>39722</v>
      </c>
      <c r="AQ98" s="209" t="n">
        <f aca="false">IF(A99="","",AP98-$E$1)</f>
        <v>-6204</v>
      </c>
      <c r="AR98" s="185" t="n">
        <f aca="false">'ANR OK vs ML7'!AR98</f>
        <v>0.1</v>
      </c>
      <c r="AS98" s="213" t="n">
        <f aca="false">IF(A99="","",1/(1+CHOOSE(F$3,(AR99+($I$3/10000))/2,(AR98+($I$3/10000))/2))^(2*AQ98/365.25))</f>
        <v>5.24598483030833</v>
      </c>
      <c r="AT98" s="137" t="n">
        <f aca="false">IF(A99="","",IF(AND(mthbeg&lt;=A98,mthend&gt;=A98),1,0))</f>
        <v>1</v>
      </c>
      <c r="AU98" s="137" t="n">
        <f aca="false">IF(A99="","",AO98*AT98)</f>
        <v>31</v>
      </c>
      <c r="AW98" s="195" t="e">
        <f aca="false">IF($A99="","",AL98*$E98)</f>
        <v>#NAME?</v>
      </c>
      <c r="AX98" s="195" t="e">
        <f aca="false">IF($A99="","",AM98*$E98)</f>
        <v>#N/A</v>
      </c>
      <c r="AY98" s="195" t="e">
        <f aca="false">IF($A99="","",AN98*$E98)</f>
        <v>#N/A</v>
      </c>
      <c r="BA98" s="195" t="n">
        <f aca="false">IF($A99="","",F98*Summary!$Q$12)</f>
        <v>0</v>
      </c>
      <c r="BC98" s="179" t="e">
        <f aca="false">IF(A99="","",AM98*F98)</f>
        <v>#N/A</v>
      </c>
    </row>
    <row r="99" customFormat="false" ht="12.75" hidden="false" customHeight="false" outlineLevel="0" collapsed="false">
      <c r="A99" s="196" t="n">
        <f aca="false">IF(A98&lt;mthend,EDATE(A98,1),"")</f>
        <v>39753</v>
      </c>
      <c r="B99" s="197" t="n">
        <f aca="false">IF(A99&lt;mthend,B98,"")</f>
        <v>36522</v>
      </c>
      <c r="C99" s="215"/>
      <c r="D99" s="197" t="n">
        <f aca="false">IF(A100&lt;&gt;"",B99+C99,"")</f>
        <v>36522</v>
      </c>
      <c r="E99" s="199" t="n">
        <f aca="false">IF(A100="","",IF(AND(AT99=1,$H$3=1),D99*AO99,IF($H$3=2,D99,"N/A")))</f>
        <v>1095660</v>
      </c>
      <c r="F99" s="199" t="n">
        <f aca="false">IF(A100="","",E99*AS99)</f>
        <v>5700409.07295711</v>
      </c>
      <c r="G99" s="200" t="e">
        <f aca="false">IF($A100="","",VLOOKUP($A99,Table,MATCH(G$4,Curves,0)))</f>
        <v>#N/A</v>
      </c>
      <c r="H99" s="201" t="e">
        <f aca="false">IF(A100="","",G99)</f>
        <v>#N/A</v>
      </c>
      <c r="I99" s="202"/>
      <c r="J99" s="200" t="e">
        <f aca="false">IF($A100="","",VLOOKUP($A99,Table,MATCH(J$4,Curves,0)))</f>
        <v>#N/A</v>
      </c>
      <c r="K99" s="201" t="e">
        <f aca="false">IF(A100="","",J99)</f>
        <v>#N/A</v>
      </c>
      <c r="L99" s="200" t="e">
        <f aca="false">IF($A100="","",VLOOKUP($A99,Table,MATCH(L$4,Curves,0)))</f>
        <v>#N/A</v>
      </c>
      <c r="M99" s="201" t="e">
        <f aca="false">IF(A100="","",L99)</f>
        <v>#N/A</v>
      </c>
      <c r="N99" s="203"/>
      <c r="O99" s="200" t="e">
        <f aca="false">IF(A100="","",L99+J99+G99)</f>
        <v>#N/A</v>
      </c>
      <c r="P99" s="200" t="e">
        <f aca="false">IF(A100="","",M99+K99+H99)</f>
        <v>#N/A</v>
      </c>
      <c r="Q99" s="204"/>
      <c r="R99" s="200" t="e">
        <f aca="false">IF($A100="","",VLOOKUP($A99,Table,MATCH(R$4,Curves,0)))</f>
        <v>#N/A</v>
      </c>
      <c r="S99" s="201" t="e">
        <f aca="false">IF(A100="","",R99)</f>
        <v>#N/A</v>
      </c>
      <c r="T99" s="200" t="e">
        <f aca="false">IF($A100="","",VLOOKUP($A99,Table,MATCH(T$4,Curves,0)))</f>
        <v>#N/A</v>
      </c>
      <c r="U99" s="201" t="e">
        <f aca="false">IF(A100="","",T99)</f>
        <v>#N/A</v>
      </c>
      <c r="V99" s="225" t="e">
        <f aca="false">IF($A100="","",IF(AND(MONTH(A99)&gt;3,MONTH(A99)&lt;11),(T99+R99+G99)*(((1/(1-Summary!$T$12))/(1-Summary!$W$12))-1),(T99+R99+G99)*((1/(1-Summary!$U$12))/(1-Summary!$X$12)-1)))</f>
        <v>#N/A</v>
      </c>
      <c r="W99" s="200" t="e">
        <f aca="false">IF($A100="","",(T99+R99+G99+V99))</f>
        <v>#N/A</v>
      </c>
      <c r="X99" s="200" t="e">
        <f aca="false">IF($A100="","",(U99+S99+H99+V99))</f>
        <v>#N/A</v>
      </c>
      <c r="Y99" s="202"/>
      <c r="Z99" s="185" t="e">
        <f aca="false">IF($A100="","",VLOOKUP($A99,Table,MATCH(Z$4,Curves,0)))</f>
        <v>#N/A</v>
      </c>
      <c r="AA99" s="185" t="e">
        <f aca="false">IF($A100="","",VLOOKUP($A99,Table,MATCH(AA$4,Curves,0)))</f>
        <v>#N/A</v>
      </c>
      <c r="AB99" s="185" t="e">
        <f aca="false">SQRT((AA99^2*(A99-$D$3)+Z99^2*(DAY(EOMONTH(A99,0))/2))/AK99)</f>
        <v>#N/A</v>
      </c>
      <c r="AC99" s="185" t="e">
        <f aca="false">IF($A100="","",VLOOKUP($A99,Table,MATCH(AC$4,Curves,0)))</f>
        <v>#N/A</v>
      </c>
      <c r="AD99" s="185" t="e">
        <f aca="false">IF($A100="","",VLOOKUP($A99,Table,MATCH(AD$4,Curves,0)))</f>
        <v>#N/A</v>
      </c>
      <c r="AE99" s="185" t="e">
        <f aca="false">SQRT((AD99^2*(A99-$D$3)+AC99^2*(DAY(EOMONTH(A99,0))/2))/AK99)</f>
        <v>#N/A</v>
      </c>
      <c r="AF99" s="206" t="e">
        <f aca="false">((Summary!$N$12*(AA99*AD99)*(A99-$D$3))+(Summary!$M$12*Z99*AC99*(AJ99-EOMONTH(EDATE(A99,-1),0))))/(AK99*AB99*AE99)</f>
        <v>#N/A</v>
      </c>
      <c r="AG99" s="207" t="n">
        <f aca="false">IF($A100="","",Summary!$Q$12)</f>
        <v>0</v>
      </c>
      <c r="AH99" s="207" t="n">
        <f aca="false">IF($A100="","",IF(Summary!$R$12="Y",(VLOOKUP($A99,Summary!$AD$6:$AF$9,3)+'Escalating commodity'!H112),'Escalating commodity'!H112))</f>
        <v>0.029</v>
      </c>
      <c r="AI99" s="207" t="n">
        <f aca="false">IF($A100="","",AH99)</f>
        <v>0.029</v>
      </c>
      <c r="AJ99" s="208" t="n">
        <f aca="false">A99+DAY(EOMONTH(A99,0))/2-1</f>
        <v>39767</v>
      </c>
      <c r="AK99" s="209" t="n">
        <f aca="false">IF($A100="","",$A99-$E$1)</f>
        <v>-6173</v>
      </c>
      <c r="AL99" s="182" t="e">
        <f aca="false">IF($A100="","",SPRDOPT(P99,X99,AI99,0,AB99,AE99,AF99,AK99,$AJ$2,0))</f>
        <v>#NAME?</v>
      </c>
      <c r="AM99" s="211" t="e">
        <f aca="false">IF($A100="","",MAX(0,O99-W99-AI99))</f>
        <v>#N/A</v>
      </c>
      <c r="AN99" s="211" t="e">
        <f aca="false">IF($A100="","",AL99-AM99)</f>
        <v>#N/A</v>
      </c>
      <c r="AO99" s="137" t="n">
        <f aca="false">IF(A100="","",A100-A99)</f>
        <v>30</v>
      </c>
      <c r="AP99" s="212" t="n">
        <f aca="false">IF(A100="","",CHOOSE(F$3,A100+24,A99))</f>
        <v>39753</v>
      </c>
      <c r="AQ99" s="209" t="n">
        <f aca="false">IF(A100="","",AP99-$E$1)</f>
        <v>-6173</v>
      </c>
      <c r="AR99" s="185" t="n">
        <f aca="false">'ANR OK vs ML7'!AR99</f>
        <v>0.1</v>
      </c>
      <c r="AS99" s="213" t="n">
        <f aca="false">IF(A100="","",1/(1+CHOOSE(F$3,(AR100+($I$3/10000))/2,(AR99+($I$3/10000))/2))^(2*AQ99/365.25))</f>
        <v>5.20271715035422</v>
      </c>
      <c r="AT99" s="137" t="n">
        <f aca="false">IF(A100="","",IF(AND(mthbeg&lt;=A99,mthend&gt;=A99),1,0))</f>
        <v>1</v>
      </c>
      <c r="AU99" s="137" t="n">
        <f aca="false">IF(A100="","",AO99*AT99)</f>
        <v>30</v>
      </c>
      <c r="AW99" s="195" t="e">
        <f aca="false">IF($A100="","",AL99*$E99)</f>
        <v>#NAME?</v>
      </c>
      <c r="AX99" s="195" t="e">
        <f aca="false">IF($A100="","",AM99*$E99)</f>
        <v>#N/A</v>
      </c>
      <c r="AY99" s="195" t="e">
        <f aca="false">IF($A100="","",AN99*$E99)</f>
        <v>#N/A</v>
      </c>
      <c r="BA99" s="195" t="n">
        <f aca="false">IF($A100="","",F99*Summary!$Q$12)</f>
        <v>0</v>
      </c>
      <c r="BC99" s="179" t="e">
        <f aca="false">IF(A100="","",AM99*F99)</f>
        <v>#N/A</v>
      </c>
    </row>
    <row r="100" customFormat="false" ht="12.75" hidden="false" customHeight="false" outlineLevel="0" collapsed="false">
      <c r="A100" s="196" t="n">
        <f aca="false">IF(A99&lt;mthend,EDATE(A99,1),"")</f>
        <v>39783</v>
      </c>
      <c r="B100" s="197" t="n">
        <f aca="false">IF(A100&lt;mthend,B99,"")</f>
        <v>36522</v>
      </c>
      <c r="C100" s="215"/>
      <c r="D100" s="197" t="n">
        <f aca="false">IF(A101&lt;&gt;"",B100+C100,"")</f>
        <v>36522</v>
      </c>
      <c r="E100" s="199" t="n">
        <f aca="false">IF(A101="","",IF(AND(AT100=1,$H$3=1),D100*AO100,IF($H$3=2,D100,"N/A")))</f>
        <v>1132182</v>
      </c>
      <c r="F100" s="199" t="n">
        <f aca="false">IF(A101="","",E100*AS100)</f>
        <v>5843400.76956534</v>
      </c>
      <c r="G100" s="200" t="e">
        <f aca="false">IF($A101="","",VLOOKUP($A100,Table,MATCH(G$4,Curves,0)))</f>
        <v>#N/A</v>
      </c>
      <c r="H100" s="201" t="e">
        <f aca="false">IF(A101="","",G100)</f>
        <v>#N/A</v>
      </c>
      <c r="I100" s="202"/>
      <c r="J100" s="200" t="e">
        <f aca="false">IF($A101="","",VLOOKUP($A100,Table,MATCH(J$4,Curves,0)))</f>
        <v>#N/A</v>
      </c>
      <c r="K100" s="201" t="e">
        <f aca="false">IF(A101="","",J100)</f>
        <v>#N/A</v>
      </c>
      <c r="L100" s="200" t="e">
        <f aca="false">IF($A101="","",VLOOKUP($A100,Table,MATCH(L$4,Curves,0)))</f>
        <v>#N/A</v>
      </c>
      <c r="M100" s="201" t="e">
        <f aca="false">IF(A101="","",L100)</f>
        <v>#N/A</v>
      </c>
      <c r="N100" s="203"/>
      <c r="O100" s="200" t="e">
        <f aca="false">IF(A101="","",L100+J100+G100)</f>
        <v>#N/A</v>
      </c>
      <c r="P100" s="200" t="e">
        <f aca="false">IF(A101="","",M100+K100+H100)</f>
        <v>#N/A</v>
      </c>
      <c r="Q100" s="204"/>
      <c r="R100" s="200" t="e">
        <f aca="false">IF($A101="","",VLOOKUP($A100,Table,MATCH(R$4,Curves,0)))</f>
        <v>#N/A</v>
      </c>
      <c r="S100" s="201" t="e">
        <f aca="false">IF(A101="","",R100)</f>
        <v>#N/A</v>
      </c>
      <c r="T100" s="200" t="e">
        <f aca="false">IF($A101="","",VLOOKUP($A100,Table,MATCH(T$4,Curves,0)))</f>
        <v>#N/A</v>
      </c>
      <c r="U100" s="201" t="e">
        <f aca="false">IF(A101="","",T100)</f>
        <v>#N/A</v>
      </c>
      <c r="V100" s="225" t="e">
        <f aca="false">IF($A101="","",IF(AND(MONTH(A100)&gt;3,MONTH(A100)&lt;11),(T100+R100+G100)*(((1/(1-Summary!$T$12))/(1-Summary!$W$12))-1),(T100+R100+G100)*((1/(1-Summary!$U$12))/(1-Summary!$X$12)-1)))</f>
        <v>#N/A</v>
      </c>
      <c r="W100" s="200" t="e">
        <f aca="false">IF($A101="","",(T100+R100+G100+V100))</f>
        <v>#N/A</v>
      </c>
      <c r="X100" s="200" t="e">
        <f aca="false">IF($A101="","",(U100+S100+H100+V100))</f>
        <v>#N/A</v>
      </c>
      <c r="Y100" s="202"/>
      <c r="Z100" s="185" t="e">
        <f aca="false">IF($A101="","",VLOOKUP($A100,Table,MATCH(Z$4,Curves,0)))</f>
        <v>#N/A</v>
      </c>
      <c r="AA100" s="185" t="e">
        <f aca="false">IF($A101="","",VLOOKUP($A100,Table,MATCH(AA$4,Curves,0)))</f>
        <v>#N/A</v>
      </c>
      <c r="AB100" s="185" t="e">
        <f aca="false">SQRT((AA100^2*(A100-$D$3)+Z100^2*(DAY(EOMONTH(A100,0))/2))/AK100)</f>
        <v>#N/A</v>
      </c>
      <c r="AC100" s="185" t="e">
        <f aca="false">IF($A101="","",VLOOKUP($A100,Table,MATCH(AC$4,Curves,0)))</f>
        <v>#N/A</v>
      </c>
      <c r="AD100" s="185" t="e">
        <f aca="false">IF($A101="","",VLOOKUP($A100,Table,MATCH(AD$4,Curves,0)))</f>
        <v>#N/A</v>
      </c>
      <c r="AE100" s="185" t="e">
        <f aca="false">SQRT((AD100^2*(A100-$D$3)+AC100^2*(DAY(EOMONTH(A100,0))/2))/AK100)</f>
        <v>#N/A</v>
      </c>
      <c r="AF100" s="206" t="e">
        <f aca="false">((Summary!$N$12*(AA100*AD100)*(A100-$D$3))+(Summary!$M$12*Z100*AC100*(AJ100-EOMONTH(EDATE(A100,-1),0))))/(AK100*AB100*AE100)</f>
        <v>#N/A</v>
      </c>
      <c r="AG100" s="207" t="n">
        <f aca="false">IF($A101="","",Summary!$Q$12)</f>
        <v>0</v>
      </c>
      <c r="AH100" s="207" t="n">
        <f aca="false">IF($A101="","",IF(Summary!$R$12="Y",(VLOOKUP($A100,Summary!$AD$6:$AF$9,3)+'Escalating commodity'!H113),'Escalating commodity'!H113))</f>
        <v>0.029</v>
      </c>
      <c r="AI100" s="207" t="n">
        <f aca="false">IF($A101="","",AH100)</f>
        <v>0.029</v>
      </c>
      <c r="AJ100" s="208" t="n">
        <f aca="false">A100+DAY(EOMONTH(A100,0))/2-1</f>
        <v>39797.5</v>
      </c>
      <c r="AK100" s="209" t="n">
        <f aca="false">IF($A101="","",$A100-$E$1)</f>
        <v>-6143</v>
      </c>
      <c r="AL100" s="182" t="e">
        <f aca="false">IF($A101="","",SPRDOPT(P100,X100,AI100,0,AB100,AE100,AF100,AK100,$AJ$2,0))</f>
        <v>#NAME?</v>
      </c>
      <c r="AM100" s="211" t="e">
        <f aca="false">IF($A101="","",MAX(0,O100-W100-AI100))</f>
        <v>#N/A</v>
      </c>
      <c r="AN100" s="211" t="e">
        <f aca="false">IF($A101="","",AL100-AM100)</f>
        <v>#N/A</v>
      </c>
      <c r="AO100" s="137" t="n">
        <f aca="false">IF(A101="","",A101-A100)</f>
        <v>31</v>
      </c>
      <c r="AP100" s="212" t="n">
        <f aca="false">IF(A101="","",CHOOSE(F$3,A101+24,A100))</f>
        <v>39783</v>
      </c>
      <c r="AQ100" s="209" t="n">
        <f aca="false">IF(A101="","",AP100-$E$1)</f>
        <v>-6143</v>
      </c>
      <c r="AR100" s="185" t="n">
        <f aca="false">'ANR OK vs ML7'!AR100</f>
        <v>0.1</v>
      </c>
      <c r="AS100" s="213" t="n">
        <f aca="false">IF(A101="","",1/(1+CHOOSE(F$3,(AR101+($I$3/10000))/2,(AR100+($I$3/10000))/2))^(2*AQ100/365.25))</f>
        <v>5.16118501227306</v>
      </c>
      <c r="AT100" s="137" t="n">
        <f aca="false">IF(A101="","",IF(AND(mthbeg&lt;=A100,mthend&gt;=A100),1,0))</f>
        <v>1</v>
      </c>
      <c r="AU100" s="137" t="n">
        <f aca="false">IF(A101="","",AO100*AT100)</f>
        <v>31</v>
      </c>
      <c r="AW100" s="195" t="e">
        <f aca="false">IF($A101="","",AL100*$E100)</f>
        <v>#NAME?</v>
      </c>
      <c r="AX100" s="195" t="e">
        <f aca="false">IF($A101="","",AM100*$E100)</f>
        <v>#N/A</v>
      </c>
      <c r="AY100" s="195" t="e">
        <f aca="false">IF($A101="","",AN100*$E100)</f>
        <v>#N/A</v>
      </c>
      <c r="BA100" s="195" t="n">
        <f aca="false">IF($A101="","",F100*Summary!$Q$12)</f>
        <v>0</v>
      </c>
      <c r="BC100" s="179" t="e">
        <f aca="false">IF(A101="","",AM100*F100)</f>
        <v>#N/A</v>
      </c>
    </row>
    <row r="101" customFormat="false" ht="12.75" hidden="false" customHeight="false" outlineLevel="0" collapsed="false">
      <c r="A101" s="196" t="n">
        <f aca="false">IF(A100&lt;mthend,EDATE(A100,1),"")</f>
        <v>39814</v>
      </c>
      <c r="B101" s="197" t="n">
        <f aca="false">IF(A101&lt;mthend,B100,"")</f>
        <v>36522</v>
      </c>
      <c r="C101" s="215"/>
      <c r="D101" s="197" t="n">
        <f aca="false">IF(A102&lt;&gt;"",B101+C101,"")</f>
        <v>36522</v>
      </c>
      <c r="E101" s="199" t="n">
        <f aca="false">IF(A102="","",IF(AND(AT101=1,$H$3=1),D101*AO101,IF($H$3=2,D101,"N/A")))</f>
        <v>1132182</v>
      </c>
      <c r="F101" s="199" t="n">
        <f aca="false">IF(A102="","",E101*AS101)</f>
        <v>5795205.73993421</v>
      </c>
      <c r="G101" s="200" t="e">
        <f aca="false">IF($A102="","",VLOOKUP($A101,Table,MATCH(G$4,Curves,0)))</f>
        <v>#N/A</v>
      </c>
      <c r="H101" s="201" t="e">
        <f aca="false">IF(A102="","",G101)</f>
        <v>#N/A</v>
      </c>
      <c r="I101" s="202"/>
      <c r="J101" s="200" t="e">
        <f aca="false">IF($A102="","",VLOOKUP($A101,Table,MATCH(J$4,Curves,0)))</f>
        <v>#N/A</v>
      </c>
      <c r="K101" s="201" t="e">
        <f aca="false">IF(A102="","",J101)</f>
        <v>#N/A</v>
      </c>
      <c r="L101" s="200" t="e">
        <f aca="false">IF($A102="","",VLOOKUP($A101,Table,MATCH(L$4,Curves,0)))</f>
        <v>#N/A</v>
      </c>
      <c r="M101" s="201" t="e">
        <f aca="false">IF(A102="","",L101)</f>
        <v>#N/A</v>
      </c>
      <c r="N101" s="203"/>
      <c r="O101" s="200" t="e">
        <f aca="false">IF(A102="","",L101+J101+G101)</f>
        <v>#N/A</v>
      </c>
      <c r="P101" s="200" t="e">
        <f aca="false">IF(A102="","",M101+K101+H101)</f>
        <v>#N/A</v>
      </c>
      <c r="Q101" s="204"/>
      <c r="R101" s="200" t="e">
        <f aca="false">IF($A102="","",VLOOKUP($A101,Table,MATCH(R$4,Curves,0)))</f>
        <v>#N/A</v>
      </c>
      <c r="S101" s="201" t="e">
        <f aca="false">IF(A102="","",R101)</f>
        <v>#N/A</v>
      </c>
      <c r="T101" s="200" t="e">
        <f aca="false">IF($A102="","",VLOOKUP($A101,Table,MATCH(T$4,Curves,0)))</f>
        <v>#N/A</v>
      </c>
      <c r="U101" s="201" t="e">
        <f aca="false">IF(A102="","",T101)</f>
        <v>#N/A</v>
      </c>
      <c r="V101" s="225" t="e">
        <f aca="false">IF($A102="","",IF(AND(MONTH(A101)&gt;3,MONTH(A101)&lt;11),(T101+R101+G101)*(((1/(1-Summary!$T$12))/(1-Summary!$W$12))-1),(T101+R101+G101)*((1/(1-Summary!$U$12))/(1-Summary!$X$12)-1)))</f>
        <v>#N/A</v>
      </c>
      <c r="W101" s="200" t="e">
        <f aca="false">IF($A102="","",(T101+R101+G101+V101))</f>
        <v>#N/A</v>
      </c>
      <c r="X101" s="200" t="e">
        <f aca="false">IF($A102="","",(U101+S101+H101+V101))</f>
        <v>#N/A</v>
      </c>
      <c r="Y101" s="202"/>
      <c r="Z101" s="185" t="e">
        <f aca="false">IF($A102="","",VLOOKUP($A101,Table,MATCH(Z$4,Curves,0)))</f>
        <v>#N/A</v>
      </c>
      <c r="AA101" s="185" t="e">
        <f aca="false">IF($A102="","",VLOOKUP($A101,Table,MATCH(AA$4,Curves,0)))</f>
        <v>#N/A</v>
      </c>
      <c r="AB101" s="185" t="e">
        <f aca="false">SQRT((AA101^2*(A101-$D$3)+Z101^2*(DAY(EOMONTH(A101,0))/2))/AK101)</f>
        <v>#N/A</v>
      </c>
      <c r="AC101" s="185" t="e">
        <f aca="false">IF($A102="","",VLOOKUP($A101,Table,MATCH(AC$4,Curves,0)))</f>
        <v>#N/A</v>
      </c>
      <c r="AD101" s="185" t="e">
        <f aca="false">IF($A102="","",VLOOKUP($A101,Table,MATCH(AD$4,Curves,0)))</f>
        <v>#N/A</v>
      </c>
      <c r="AE101" s="185" t="e">
        <f aca="false">SQRT((AD101^2*(A101-$D$3)+AC101^2*(DAY(EOMONTH(A101,0))/2))/AK101)</f>
        <v>#N/A</v>
      </c>
      <c r="AF101" s="206" t="e">
        <f aca="false">((Summary!$N$12*(AA101*AD101)*(A101-$D$3))+(Summary!$M$12*Z101*AC101*(AJ101-EOMONTH(EDATE(A101,-1),0))))/(AK101*AB101*AE101)</f>
        <v>#N/A</v>
      </c>
      <c r="AG101" s="207" t="n">
        <f aca="false">IF($A102="","",Summary!$Q$12)</f>
        <v>0</v>
      </c>
      <c r="AH101" s="207" t="n">
        <f aca="false">IF($A102="","",IF(Summary!$R$12="Y",(VLOOKUP($A101,Summary!$AD$6:$AF$9,3)+'Escalating commodity'!H114),'Escalating commodity'!H114))</f>
        <v>0.029</v>
      </c>
      <c r="AI101" s="207" t="n">
        <f aca="false">IF($A102="","",AH101)</f>
        <v>0.029</v>
      </c>
      <c r="AJ101" s="208" t="n">
        <f aca="false">A101+DAY(EOMONTH(A101,0))/2-1</f>
        <v>39828.5</v>
      </c>
      <c r="AK101" s="209" t="n">
        <f aca="false">IF($A102="","",$A101-$E$1)</f>
        <v>-6112</v>
      </c>
      <c r="AL101" s="182" t="e">
        <f aca="false">IF($A102="","",SPRDOPT(P101,X101,AI101,0,AB101,AE101,AF101,AK101,$AJ$2,0))</f>
        <v>#NAME?</v>
      </c>
      <c r="AM101" s="211" t="e">
        <f aca="false">IF($A102="","",MAX(0,O101-W101-AI101))</f>
        <v>#N/A</v>
      </c>
      <c r="AN101" s="211" t="e">
        <f aca="false">IF($A102="","",AL101-AM101)</f>
        <v>#N/A</v>
      </c>
      <c r="AO101" s="137" t="n">
        <f aca="false">IF(A102="","",A102-A101)</f>
        <v>31</v>
      </c>
      <c r="AP101" s="212" t="n">
        <f aca="false">IF(A102="","",CHOOSE(F$3,A102+24,A101))</f>
        <v>39814</v>
      </c>
      <c r="AQ101" s="209" t="n">
        <f aca="false">IF(A102="","",AP101-$E$1)</f>
        <v>-6112</v>
      </c>
      <c r="AR101" s="185" t="n">
        <f aca="false">'ANR OK vs ML7'!AR101</f>
        <v>0.1</v>
      </c>
      <c r="AS101" s="213" t="n">
        <f aca="false">IF(A102="","",1/(1+CHOOSE(F$3,(AR102+($I$3/10000))/2,(AR101+($I$3/10000))/2))^(2*AQ101/365.25))</f>
        <v>5.11861674177315</v>
      </c>
      <c r="AT101" s="137" t="n">
        <f aca="false">IF(A102="","",IF(AND(mthbeg&lt;=A101,mthend&gt;=A101),1,0))</f>
        <v>1</v>
      </c>
      <c r="AU101" s="137" t="n">
        <f aca="false">IF(A102="","",AO101*AT101)</f>
        <v>31</v>
      </c>
      <c r="AW101" s="195" t="e">
        <f aca="false">IF($A102="","",AL101*$E101)</f>
        <v>#NAME?</v>
      </c>
      <c r="AX101" s="195" t="e">
        <f aca="false">IF($A102="","",AM101*$E101)</f>
        <v>#N/A</v>
      </c>
      <c r="AY101" s="195" t="e">
        <f aca="false">IF($A102="","",AN101*$E101)</f>
        <v>#N/A</v>
      </c>
      <c r="BA101" s="195" t="n">
        <f aca="false">IF($A102="","",F101*Summary!$Q$12)</f>
        <v>0</v>
      </c>
      <c r="BC101" s="179" t="e">
        <f aca="false">IF(A102="","",AM101*F101)</f>
        <v>#N/A</v>
      </c>
    </row>
    <row r="102" customFormat="false" ht="12.75" hidden="false" customHeight="false" outlineLevel="0" collapsed="false">
      <c r="A102" s="196" t="n">
        <f aca="false">IF(A101&lt;mthend,EDATE(A101,1),"")</f>
        <v>39845</v>
      </c>
      <c r="B102" s="197" t="n">
        <f aca="false">IF(A102&lt;mthend,B101,"")</f>
        <v>36522</v>
      </c>
      <c r="C102" s="215"/>
      <c r="D102" s="197" t="n">
        <f aca="false">IF(A103&lt;&gt;"",B102+C102,"")</f>
        <v>36522</v>
      </c>
      <c r="E102" s="199" t="n">
        <f aca="false">IF(A103="","",IF(AND(AT102=1,$H$3=1),D102*AO102,IF($H$3=2,D102,"N/A")))</f>
        <v>1022616</v>
      </c>
      <c r="F102" s="199" t="n">
        <f aca="false">IF(A103="","",E102*AS102)</f>
        <v>5191207.4171604</v>
      </c>
      <c r="G102" s="200" t="e">
        <f aca="false">IF($A103="","",VLOOKUP($A102,Table,MATCH(G$4,Curves,0)))</f>
        <v>#N/A</v>
      </c>
      <c r="H102" s="201" t="e">
        <f aca="false">IF(A103="","",G102)</f>
        <v>#N/A</v>
      </c>
      <c r="I102" s="202"/>
      <c r="J102" s="200" t="e">
        <f aca="false">IF($A103="","",VLOOKUP($A102,Table,MATCH(J$4,Curves,0)))</f>
        <v>#N/A</v>
      </c>
      <c r="K102" s="201" t="e">
        <f aca="false">IF(A103="","",J102)</f>
        <v>#N/A</v>
      </c>
      <c r="L102" s="200" t="e">
        <f aca="false">IF($A103="","",VLOOKUP($A102,Table,MATCH(L$4,Curves,0)))</f>
        <v>#N/A</v>
      </c>
      <c r="M102" s="201" t="e">
        <f aca="false">IF(A103="","",L102)</f>
        <v>#N/A</v>
      </c>
      <c r="N102" s="203"/>
      <c r="O102" s="200" t="e">
        <f aca="false">IF(A103="","",L102+J102+G102)</f>
        <v>#N/A</v>
      </c>
      <c r="P102" s="200" t="e">
        <f aca="false">IF(A103="","",M102+K102+H102)</f>
        <v>#N/A</v>
      </c>
      <c r="Q102" s="204"/>
      <c r="R102" s="200" t="e">
        <f aca="false">IF($A103="","",VLOOKUP($A102,Table,MATCH(R$4,Curves,0)))</f>
        <v>#N/A</v>
      </c>
      <c r="S102" s="201" t="e">
        <f aca="false">IF(A103="","",R102)</f>
        <v>#N/A</v>
      </c>
      <c r="T102" s="200" t="e">
        <f aca="false">IF($A103="","",VLOOKUP($A102,Table,MATCH(T$4,Curves,0)))</f>
        <v>#N/A</v>
      </c>
      <c r="U102" s="201" t="e">
        <f aca="false">IF(A103="","",T102)</f>
        <v>#N/A</v>
      </c>
      <c r="V102" s="225" t="e">
        <f aca="false">IF($A103="","",IF(AND(MONTH(A102)&gt;3,MONTH(A102)&lt;11),(T102+R102+G102)*(((1/(1-Summary!$T$12))/(1-Summary!$W$12))-1),(T102+R102+G102)*((1/(1-Summary!$U$12))/(1-Summary!$X$12)-1)))</f>
        <v>#N/A</v>
      </c>
      <c r="W102" s="200" t="e">
        <f aca="false">IF($A103="","",(T102+R102+G102+V102))</f>
        <v>#N/A</v>
      </c>
      <c r="X102" s="200" t="e">
        <f aca="false">IF($A103="","",(U102+S102+H102+V102))</f>
        <v>#N/A</v>
      </c>
      <c r="Y102" s="202"/>
      <c r="Z102" s="185" t="e">
        <f aca="false">IF($A103="","",VLOOKUP($A102,Table,MATCH(Z$4,Curves,0)))</f>
        <v>#N/A</v>
      </c>
      <c r="AA102" s="185" t="e">
        <f aca="false">IF($A103="","",VLOOKUP($A102,Table,MATCH(AA$4,Curves,0)))</f>
        <v>#N/A</v>
      </c>
      <c r="AB102" s="185" t="e">
        <f aca="false">SQRT((AA102^2*(A102-$D$3)+Z102^2*(DAY(EOMONTH(A102,0))/2))/AK102)</f>
        <v>#N/A</v>
      </c>
      <c r="AC102" s="185" t="e">
        <f aca="false">IF($A103="","",VLOOKUP($A102,Table,MATCH(AC$4,Curves,0)))</f>
        <v>#N/A</v>
      </c>
      <c r="AD102" s="185" t="e">
        <f aca="false">IF($A103="","",VLOOKUP($A102,Table,MATCH(AD$4,Curves,0)))</f>
        <v>#N/A</v>
      </c>
      <c r="AE102" s="185" t="e">
        <f aca="false">SQRT((AD102^2*(A102-$D$3)+AC102^2*(DAY(EOMONTH(A102,0))/2))/AK102)</f>
        <v>#N/A</v>
      </c>
      <c r="AF102" s="206" t="e">
        <f aca="false">((Summary!$N$12*(AA102*AD102)*(A102-$D$3))+(Summary!$M$12*Z102*AC102*(AJ102-EOMONTH(EDATE(A102,-1),0))))/(AK102*AB102*AE102)</f>
        <v>#N/A</v>
      </c>
      <c r="AG102" s="207" t="n">
        <f aca="false">IF($A103="","",Summary!$Q$12)</f>
        <v>0</v>
      </c>
      <c r="AH102" s="207" t="n">
        <f aca="false">IF($A103="","",IF(Summary!$R$12="Y",(VLOOKUP($A102,Summary!$AD$6:$AF$9,3)+'Escalating commodity'!H115),'Escalating commodity'!H115))</f>
        <v>0.029</v>
      </c>
      <c r="AI102" s="207" t="n">
        <f aca="false">IF($A103="","",AH102)</f>
        <v>0.029</v>
      </c>
      <c r="AJ102" s="208" t="n">
        <f aca="false">A102+DAY(EOMONTH(A102,0))/2-1</f>
        <v>39858</v>
      </c>
      <c r="AK102" s="209" t="n">
        <f aca="false">IF($A103="","",$A102-$E$1)</f>
        <v>-6081</v>
      </c>
      <c r="AL102" s="182" t="e">
        <f aca="false">IF($A103="","",SPRDOPT(P102,X102,AI102,0,AB102,AE102,AF102,AK102,$AJ$2,0))</f>
        <v>#NAME?</v>
      </c>
      <c r="AM102" s="211" t="e">
        <f aca="false">IF($A103="","",MAX(0,O102-W102-AI102))</f>
        <v>#N/A</v>
      </c>
      <c r="AN102" s="211" t="e">
        <f aca="false">IF($A103="","",AL102-AM102)</f>
        <v>#N/A</v>
      </c>
      <c r="AO102" s="137" t="n">
        <f aca="false">IF(A103="","",A103-A102)</f>
        <v>28</v>
      </c>
      <c r="AP102" s="212" t="n">
        <f aca="false">IF(A103="","",CHOOSE(F$3,A103+24,A102))</f>
        <v>39845</v>
      </c>
      <c r="AQ102" s="209" t="n">
        <f aca="false">IF(A103="","",AP102-$E$1)</f>
        <v>-6081</v>
      </c>
      <c r="AR102" s="185" t="n">
        <f aca="false">'ANR OK vs ML7'!AR102</f>
        <v>0.1</v>
      </c>
      <c r="AS102" s="213" t="n">
        <f aca="false">IF(A103="","",1/(1+CHOOSE(F$3,(AR103+($I$3/10000))/2,(AR102+($I$3/10000))/2))^(2*AQ102/365.25))</f>
        <v>5.07639956460724</v>
      </c>
      <c r="AT102" s="137" t="n">
        <f aca="false">IF(A103="","",IF(AND(mthbeg&lt;=A102,mthend&gt;=A102),1,0))</f>
        <v>1</v>
      </c>
      <c r="AU102" s="137" t="n">
        <f aca="false">IF(A103="","",AO102*AT102)</f>
        <v>28</v>
      </c>
      <c r="AW102" s="195" t="e">
        <f aca="false">IF($A103="","",AL102*$E102)</f>
        <v>#NAME?</v>
      </c>
      <c r="AX102" s="195" t="e">
        <f aca="false">IF($A103="","",AM102*$E102)</f>
        <v>#N/A</v>
      </c>
      <c r="AY102" s="195" t="e">
        <f aca="false">IF($A103="","",AN102*$E102)</f>
        <v>#N/A</v>
      </c>
      <c r="BA102" s="195" t="n">
        <f aca="false">IF($A103="","",F102*Summary!$Q$12)</f>
        <v>0</v>
      </c>
      <c r="BC102" s="179" t="e">
        <f aca="false">IF(A103="","",AM102*F102)</f>
        <v>#N/A</v>
      </c>
    </row>
    <row r="103" customFormat="false" ht="12.75" hidden="false" customHeight="false" outlineLevel="0" collapsed="false">
      <c r="A103" s="196" t="n">
        <f aca="false">IF(A102&lt;mthend,EDATE(A102,1),"")</f>
        <v>39873</v>
      </c>
      <c r="B103" s="197" t="n">
        <f aca="false">IF(A103&lt;mthend,B102,"")</f>
        <v>36522</v>
      </c>
      <c r="C103" s="215"/>
      <c r="D103" s="197" t="n">
        <f aca="false">IF(A104&lt;&gt;"",B103+C103,"")</f>
        <v>36522</v>
      </c>
      <c r="E103" s="199" t="n">
        <f aca="false">IF(A104="","",IF(AND(AT103=1,$H$3=1),D103*AO103,IF($H$3=2,D103,"N/A")))</f>
        <v>1132182</v>
      </c>
      <c r="F103" s="199" t="n">
        <f aca="false">IF(A104="","",E103*AS103)</f>
        <v>5704575.18448991</v>
      </c>
      <c r="G103" s="200" t="e">
        <f aca="false">IF($A104="","",VLOOKUP($A103,Table,MATCH(G$4,Curves,0)))</f>
        <v>#N/A</v>
      </c>
      <c r="H103" s="201" t="e">
        <f aca="false">IF(A104="","",G103)</f>
        <v>#N/A</v>
      </c>
      <c r="I103" s="202"/>
      <c r="J103" s="200" t="e">
        <f aca="false">IF($A104="","",VLOOKUP($A103,Table,MATCH(J$4,Curves,0)))</f>
        <v>#N/A</v>
      </c>
      <c r="K103" s="201" t="e">
        <f aca="false">IF(A104="","",J103)</f>
        <v>#N/A</v>
      </c>
      <c r="L103" s="200" t="e">
        <f aca="false">IF($A104="","",VLOOKUP($A103,Table,MATCH(L$4,Curves,0)))</f>
        <v>#N/A</v>
      </c>
      <c r="M103" s="201" t="e">
        <f aca="false">IF(A104="","",L103)</f>
        <v>#N/A</v>
      </c>
      <c r="N103" s="203"/>
      <c r="O103" s="200" t="e">
        <f aca="false">IF(A104="","",L103+J103+G103)</f>
        <v>#N/A</v>
      </c>
      <c r="P103" s="200" t="e">
        <f aca="false">IF(A104="","",M103+K103+H103)</f>
        <v>#N/A</v>
      </c>
      <c r="Q103" s="204"/>
      <c r="R103" s="200" t="e">
        <f aca="false">IF($A104="","",VLOOKUP($A103,Table,MATCH(R$4,Curves,0)))</f>
        <v>#N/A</v>
      </c>
      <c r="S103" s="201" t="e">
        <f aca="false">IF(A104="","",R103)</f>
        <v>#N/A</v>
      </c>
      <c r="T103" s="200" t="e">
        <f aca="false">IF($A104="","",VLOOKUP($A103,Table,MATCH(T$4,Curves,0)))</f>
        <v>#N/A</v>
      </c>
      <c r="U103" s="201" t="e">
        <f aca="false">IF(A104="","",T103)</f>
        <v>#N/A</v>
      </c>
      <c r="V103" s="225" t="e">
        <f aca="false">IF($A104="","",IF(AND(MONTH(A103)&gt;3,MONTH(A103)&lt;11),(T103+R103+G103)*(((1/(1-Summary!$T$12))/(1-Summary!$W$12))-1),(T103+R103+G103)*((1/(1-Summary!$U$12))/(1-Summary!$X$12)-1)))</f>
        <v>#N/A</v>
      </c>
      <c r="W103" s="200" t="e">
        <f aca="false">IF($A104="","",(T103+R103+G103+V103))</f>
        <v>#N/A</v>
      </c>
      <c r="X103" s="200" t="e">
        <f aca="false">IF($A104="","",(U103+S103+H103+V103))</f>
        <v>#N/A</v>
      </c>
      <c r="Y103" s="202"/>
      <c r="Z103" s="185" t="e">
        <f aca="false">IF($A104="","",VLOOKUP($A103,Table,MATCH(Z$4,Curves,0)))</f>
        <v>#N/A</v>
      </c>
      <c r="AA103" s="185" t="e">
        <f aca="false">IF($A104="","",VLOOKUP($A103,Table,MATCH(AA$4,Curves,0)))</f>
        <v>#N/A</v>
      </c>
      <c r="AB103" s="185" t="e">
        <f aca="false">SQRT((AA103^2*(A103-$D$3)+Z103^2*(DAY(EOMONTH(A103,0))/2))/AK103)</f>
        <v>#N/A</v>
      </c>
      <c r="AC103" s="185" t="e">
        <f aca="false">IF($A104="","",VLOOKUP($A103,Table,MATCH(AC$4,Curves,0)))</f>
        <v>#N/A</v>
      </c>
      <c r="AD103" s="185" t="e">
        <f aca="false">IF($A104="","",VLOOKUP($A103,Table,MATCH(AD$4,Curves,0)))</f>
        <v>#N/A</v>
      </c>
      <c r="AE103" s="185" t="e">
        <f aca="false">SQRT((AD103^2*(A103-$D$3)+AC103^2*(DAY(EOMONTH(A103,0))/2))/AK103)</f>
        <v>#N/A</v>
      </c>
      <c r="AF103" s="206" t="e">
        <f aca="false">((Summary!$N$12*(AA103*AD103)*(A103-$D$3))+(Summary!$M$12*Z103*AC103*(AJ103-EOMONTH(EDATE(A103,-1),0))))/(AK103*AB103*AE103)</f>
        <v>#N/A</v>
      </c>
      <c r="AG103" s="207" t="n">
        <f aca="false">IF($A104="","",Summary!$Q$12)</f>
        <v>0</v>
      </c>
      <c r="AH103" s="207" t="n">
        <f aca="false">IF($A104="","",IF(Summary!$R$12="Y",(VLOOKUP($A103,Summary!$AD$6:$AF$9,3)+'Escalating commodity'!H116),'Escalating commodity'!H116))</f>
        <v>0.029</v>
      </c>
      <c r="AI103" s="207" t="n">
        <f aca="false">IF($A104="","",AH103)</f>
        <v>0.029</v>
      </c>
      <c r="AJ103" s="208" t="n">
        <f aca="false">A103+DAY(EOMONTH(A103,0))/2-1</f>
        <v>39887.5</v>
      </c>
      <c r="AK103" s="209" t="n">
        <f aca="false">IF($A104="","",$A103-$E$1)</f>
        <v>-6053</v>
      </c>
      <c r="AL103" s="182" t="e">
        <f aca="false">IF($A104="","",SPRDOPT(P103,X103,AI103,0,AB103,AE103,AF103,AK103,$AJ$2,0))</f>
        <v>#NAME?</v>
      </c>
      <c r="AM103" s="211" t="e">
        <f aca="false">IF($A104="","",MAX(0,O103-W103-AI103))</f>
        <v>#N/A</v>
      </c>
      <c r="AN103" s="211" t="e">
        <f aca="false">IF($A104="","",AL103-AM103)</f>
        <v>#N/A</v>
      </c>
      <c r="AO103" s="137" t="n">
        <f aca="false">IF(A104="","",A104-A103)</f>
        <v>31</v>
      </c>
      <c r="AP103" s="212" t="n">
        <f aca="false">IF(A104="","",CHOOSE(F$3,A104+24,A103))</f>
        <v>39873</v>
      </c>
      <c r="AQ103" s="209" t="n">
        <f aca="false">IF(A104="","",AP103-$E$1)</f>
        <v>-6053</v>
      </c>
      <c r="AR103" s="185" t="n">
        <f aca="false">'ANR OK vs ML7'!AR103</f>
        <v>0.1</v>
      </c>
      <c r="AS103" s="213" t="n">
        <f aca="false">IF(A104="","",1/(1+CHOOSE(F$3,(AR104+($I$3/10000))/2,(AR103+($I$3/10000))/2))^(2*AQ103/365.25))</f>
        <v>5.03856728378468</v>
      </c>
      <c r="AT103" s="137" t="n">
        <f aca="false">IF(A104="","",IF(AND(mthbeg&lt;=A103,mthend&gt;=A103),1,0))</f>
        <v>1</v>
      </c>
      <c r="AU103" s="137" t="n">
        <f aca="false">IF(A104="","",AO103*AT103)</f>
        <v>31</v>
      </c>
      <c r="AW103" s="195" t="e">
        <f aca="false">IF($A104="","",AL103*$E103)</f>
        <v>#NAME?</v>
      </c>
      <c r="AX103" s="195" t="e">
        <f aca="false">IF($A104="","",AM103*$E103)</f>
        <v>#N/A</v>
      </c>
      <c r="AY103" s="195" t="e">
        <f aca="false">IF($A104="","",AN103*$E103)</f>
        <v>#N/A</v>
      </c>
      <c r="BA103" s="195" t="n">
        <f aca="false">IF($A104="","",F103*Summary!$Q$12)</f>
        <v>0</v>
      </c>
      <c r="BC103" s="179" t="e">
        <f aca="false">IF(A104="","",AM103*F103)</f>
        <v>#N/A</v>
      </c>
    </row>
    <row r="104" customFormat="false" ht="12.75" hidden="false" customHeight="false" outlineLevel="0" collapsed="false">
      <c r="A104" s="196" t="n">
        <f aca="false">IF(A103&lt;mthend,EDATE(A103,1),"")</f>
        <v>39904</v>
      </c>
      <c r="B104" s="197" t="n">
        <f aca="false">IF(A104&lt;mthend,B103,"")</f>
        <v>36522</v>
      </c>
      <c r="C104" s="215"/>
      <c r="D104" s="197" t="n">
        <f aca="false">IF(A105&lt;&gt;"",B104+C104,"")</f>
        <v>36522</v>
      </c>
      <c r="E104" s="199" t="n">
        <f aca="false">IF(A105="","",IF(AND(AT104=1,$H$3=1),D104*AO104,IF($H$3=2,D104,"N/A")))</f>
        <v>1095660</v>
      </c>
      <c r="F104" s="199" t="n">
        <f aca="false">IF(A105="","",E104*AS104)</f>
        <v>5475024.34495277</v>
      </c>
      <c r="G104" s="200" t="e">
        <f aca="false">IF($A105="","",VLOOKUP($A104,Table,MATCH(G$4,Curves,0)))</f>
        <v>#N/A</v>
      </c>
      <c r="H104" s="201" t="e">
        <f aca="false">IF(A105="","",G104)</f>
        <v>#N/A</v>
      </c>
      <c r="I104" s="202"/>
      <c r="J104" s="200" t="e">
        <f aca="false">IF($A105="","",VLOOKUP($A104,Table,MATCH(J$4,Curves,0)))</f>
        <v>#N/A</v>
      </c>
      <c r="K104" s="201" t="e">
        <f aca="false">IF(A105="","",J104)</f>
        <v>#N/A</v>
      </c>
      <c r="L104" s="200" t="e">
        <f aca="false">IF($A105="","",VLOOKUP($A104,Table,MATCH(L$4,Curves,0)))</f>
        <v>#N/A</v>
      </c>
      <c r="M104" s="201" t="e">
        <f aca="false">IF(A105="","",L104)</f>
        <v>#N/A</v>
      </c>
      <c r="N104" s="203"/>
      <c r="O104" s="200" t="e">
        <f aca="false">IF(A105="","",L104+J104+G104)</f>
        <v>#N/A</v>
      </c>
      <c r="P104" s="200" t="e">
        <f aca="false">IF(A105="","",M104+K104+H104)</f>
        <v>#N/A</v>
      </c>
      <c r="Q104" s="204"/>
      <c r="R104" s="200" t="e">
        <f aca="false">IF($A105="","",VLOOKUP($A104,Table,MATCH(R$4,Curves,0)))</f>
        <v>#N/A</v>
      </c>
      <c r="S104" s="201" t="e">
        <f aca="false">IF(A105="","",R104)</f>
        <v>#N/A</v>
      </c>
      <c r="T104" s="200" t="e">
        <f aca="false">IF($A105="","",VLOOKUP($A104,Table,MATCH(T$4,Curves,0)))</f>
        <v>#N/A</v>
      </c>
      <c r="U104" s="201" t="e">
        <f aca="false">IF(A105="","",T104)</f>
        <v>#N/A</v>
      </c>
      <c r="V104" s="225" t="e">
        <f aca="false">IF($A105="","",IF(AND(MONTH(A104)&gt;3,MONTH(A104)&lt;11),(T104+R104+G104)*(((1/(1-Summary!$T$12))/(1-Summary!$W$12))-1),(T104+R104+G104)*((1/(1-Summary!$U$12))/(1-Summary!$X$12)-1)))</f>
        <v>#N/A</v>
      </c>
      <c r="W104" s="200" t="e">
        <f aca="false">IF($A105="","",(T104+R104+G104+V104))</f>
        <v>#N/A</v>
      </c>
      <c r="X104" s="200" t="e">
        <f aca="false">IF($A105="","",(U104+S104+H104+V104))</f>
        <v>#N/A</v>
      </c>
      <c r="Y104" s="202"/>
      <c r="Z104" s="185" t="e">
        <f aca="false">IF($A105="","",VLOOKUP($A104,Table,MATCH(Z$4,Curves,0)))</f>
        <v>#N/A</v>
      </c>
      <c r="AA104" s="185" t="e">
        <f aca="false">IF($A105="","",VLOOKUP($A104,Table,MATCH(AA$4,Curves,0)))</f>
        <v>#N/A</v>
      </c>
      <c r="AB104" s="185" t="e">
        <f aca="false">SQRT((AA104^2*(A104-$D$3)+Z104^2*(DAY(EOMONTH(A104,0))/2))/AK104)</f>
        <v>#N/A</v>
      </c>
      <c r="AC104" s="185" t="e">
        <f aca="false">IF($A105="","",VLOOKUP($A104,Table,MATCH(AC$4,Curves,0)))</f>
        <v>#N/A</v>
      </c>
      <c r="AD104" s="185" t="e">
        <f aca="false">IF($A105="","",VLOOKUP($A104,Table,MATCH(AD$4,Curves,0)))</f>
        <v>#N/A</v>
      </c>
      <c r="AE104" s="185" t="e">
        <f aca="false">SQRT((AD104^2*(A104-$D$3)+AC104^2*(DAY(EOMONTH(A104,0))/2))/AK104)</f>
        <v>#N/A</v>
      </c>
      <c r="AF104" s="206" t="e">
        <f aca="false">((Summary!$N$12*(AA104*AD104)*(A104-$D$3))+(Summary!$M$12*Z104*AC104*(AJ104-EOMONTH(EDATE(A104,-1),0))))/(AK104*AB104*AE104)</f>
        <v>#N/A</v>
      </c>
      <c r="AG104" s="207" t="n">
        <f aca="false">IF($A105="","",Summary!$Q$12)</f>
        <v>0</v>
      </c>
      <c r="AH104" s="207" t="n">
        <f aca="false">IF($A105="","",IF(Summary!$R$12="Y",(VLOOKUP($A104,Summary!$AD$6:$AF$9,3)+'Escalating commodity'!H117),'Escalating commodity'!H117))</f>
        <v>0.029</v>
      </c>
      <c r="AI104" s="207" t="n">
        <f aca="false">IF($A105="","",AH104)</f>
        <v>0.029</v>
      </c>
      <c r="AJ104" s="208" t="n">
        <f aca="false">A104+DAY(EOMONTH(A104,0))/2-1</f>
        <v>39918</v>
      </c>
      <c r="AK104" s="209" t="n">
        <f aca="false">IF($A105="","",$A104-$E$1)</f>
        <v>-6022</v>
      </c>
      <c r="AL104" s="182" t="e">
        <f aca="false">IF($A105="","",SPRDOPT(P104,X104,AI104,0,AB104,AE104,AF104,AK104,$AJ$2,0))</f>
        <v>#NAME?</v>
      </c>
      <c r="AM104" s="211" t="e">
        <f aca="false">IF($A105="","",MAX(0,O104-W104-AI104))</f>
        <v>#N/A</v>
      </c>
      <c r="AN104" s="211" t="e">
        <f aca="false">IF($A105="","",AL104-AM104)</f>
        <v>#N/A</v>
      </c>
      <c r="AO104" s="137" t="n">
        <f aca="false">IF(A105="","",A105-A104)</f>
        <v>30</v>
      </c>
      <c r="AP104" s="212" t="n">
        <f aca="false">IF(A105="","",CHOOSE(F$3,A105+24,A104))</f>
        <v>39904</v>
      </c>
      <c r="AQ104" s="209" t="n">
        <f aca="false">IF(A105="","",AP104-$E$1)</f>
        <v>-6022</v>
      </c>
      <c r="AR104" s="185" t="n">
        <f aca="false">'ANR OK vs ML7'!AR104</f>
        <v>0.1</v>
      </c>
      <c r="AS104" s="213" t="n">
        <f aca="false">IF(A105="","",1/(1+CHOOSE(F$3,(AR105+($I$3/10000))/2,(AR104+($I$3/10000))/2))^(2*AQ104/365.25))</f>
        <v>4.99701033619258</v>
      </c>
      <c r="AT104" s="137" t="n">
        <f aca="false">IF(A105="","",IF(AND(mthbeg&lt;=A104,mthend&gt;=A104),1,0))</f>
        <v>1</v>
      </c>
      <c r="AU104" s="137" t="n">
        <f aca="false">IF(A105="","",AO104*AT104)</f>
        <v>30</v>
      </c>
      <c r="AW104" s="195" t="e">
        <f aca="false">IF($A105="","",AL104*$E104)</f>
        <v>#NAME?</v>
      </c>
      <c r="AX104" s="195" t="e">
        <f aca="false">IF($A105="","",AM104*$E104)</f>
        <v>#N/A</v>
      </c>
      <c r="AY104" s="195" t="e">
        <f aca="false">IF($A105="","",AN104*$E104)</f>
        <v>#N/A</v>
      </c>
      <c r="BA104" s="195" t="n">
        <f aca="false">IF($A105="","",F104*Summary!$Q$12)</f>
        <v>0</v>
      </c>
      <c r="BC104" s="179" t="e">
        <f aca="false">IF(A105="","",AM104*F104)</f>
        <v>#N/A</v>
      </c>
    </row>
    <row r="105" customFormat="false" ht="12.75" hidden="false" customHeight="false" outlineLevel="0" collapsed="false">
      <c r="A105" s="196" t="n">
        <f aca="false">IF(A104&lt;mthend,EDATE(A104,1),"")</f>
        <v>39934</v>
      </c>
      <c r="B105" s="197" t="n">
        <f aca="false">IF(A105&lt;mthend,B104,"")</f>
        <v>36522</v>
      </c>
      <c r="C105" s="215"/>
      <c r="D105" s="197" t="n">
        <f aca="false">IF(A106&lt;&gt;"",B105+C105,"")</f>
        <v>36522</v>
      </c>
      <c r="E105" s="199" t="n">
        <f aca="false">IF(A106="","",IF(AND(AT105=1,$H$3=1),D105*AO105,IF($H$3=2,D105,"N/A")))</f>
        <v>1132182</v>
      </c>
      <c r="F105" s="199" t="n">
        <f aca="false">IF(A106="","",E105*AS105)</f>
        <v>5612362.38684352</v>
      </c>
      <c r="G105" s="200" t="e">
        <f aca="false">IF($A106="","",VLOOKUP($A105,Table,MATCH(G$4,Curves,0)))</f>
        <v>#N/A</v>
      </c>
      <c r="H105" s="201" t="e">
        <f aca="false">IF(A106="","",G105)</f>
        <v>#N/A</v>
      </c>
      <c r="I105" s="202"/>
      <c r="J105" s="200" t="e">
        <f aca="false">IF($A106="","",VLOOKUP($A105,Table,MATCH(J$4,Curves,0)))</f>
        <v>#N/A</v>
      </c>
      <c r="K105" s="201" t="e">
        <f aca="false">IF(A106="","",J105)</f>
        <v>#N/A</v>
      </c>
      <c r="L105" s="200" t="e">
        <f aca="false">IF($A106="","",VLOOKUP($A105,Table,MATCH(L$4,Curves,0)))</f>
        <v>#N/A</v>
      </c>
      <c r="M105" s="201" t="e">
        <f aca="false">IF(A106="","",L105)</f>
        <v>#N/A</v>
      </c>
      <c r="N105" s="203"/>
      <c r="O105" s="200" t="e">
        <f aca="false">IF(A106="","",L105+J105+G105)</f>
        <v>#N/A</v>
      </c>
      <c r="P105" s="200" t="e">
        <f aca="false">IF(A106="","",M105+K105+H105)</f>
        <v>#N/A</v>
      </c>
      <c r="Q105" s="204"/>
      <c r="R105" s="200" t="e">
        <f aca="false">IF($A106="","",VLOOKUP($A105,Table,MATCH(R$4,Curves,0)))</f>
        <v>#N/A</v>
      </c>
      <c r="S105" s="201" t="e">
        <f aca="false">IF(A106="","",R105)</f>
        <v>#N/A</v>
      </c>
      <c r="T105" s="200" t="e">
        <f aca="false">IF($A106="","",VLOOKUP($A105,Table,MATCH(T$4,Curves,0)))</f>
        <v>#N/A</v>
      </c>
      <c r="U105" s="201" t="e">
        <f aca="false">IF(A106="","",T105)</f>
        <v>#N/A</v>
      </c>
      <c r="V105" s="225" t="e">
        <f aca="false">IF($A106="","",IF(AND(MONTH(A105)&gt;3,MONTH(A105)&lt;11),(T105+R105+G105)*(((1/(1-Summary!$T$12))/(1-Summary!$W$12))-1),(T105+R105+G105)*((1/(1-Summary!$U$12))/(1-Summary!$X$12)-1)))</f>
        <v>#N/A</v>
      </c>
      <c r="W105" s="200" t="e">
        <f aca="false">IF($A106="","",(T105+R105+G105+V105))</f>
        <v>#N/A</v>
      </c>
      <c r="X105" s="200" t="e">
        <f aca="false">IF($A106="","",(U105+S105+H105+V105))</f>
        <v>#N/A</v>
      </c>
      <c r="Y105" s="202"/>
      <c r="Z105" s="185" t="e">
        <f aca="false">IF($A106="","",VLOOKUP($A105,Table,MATCH(Z$4,Curves,0)))</f>
        <v>#N/A</v>
      </c>
      <c r="AA105" s="185" t="e">
        <f aca="false">IF($A106="","",VLOOKUP($A105,Table,MATCH(AA$4,Curves,0)))</f>
        <v>#N/A</v>
      </c>
      <c r="AB105" s="185" t="e">
        <f aca="false">SQRT((AA105^2*(A105-$D$3)+Z105^2*(DAY(EOMONTH(A105,0))/2))/AK105)</f>
        <v>#N/A</v>
      </c>
      <c r="AC105" s="185" t="e">
        <f aca="false">IF($A106="","",VLOOKUP($A105,Table,MATCH(AC$4,Curves,0)))</f>
        <v>#N/A</v>
      </c>
      <c r="AD105" s="185" t="e">
        <f aca="false">IF($A106="","",VLOOKUP($A105,Table,MATCH(AD$4,Curves,0)))</f>
        <v>#N/A</v>
      </c>
      <c r="AE105" s="185" t="e">
        <f aca="false">SQRT((AD105^2*(A105-$D$3)+AC105^2*(DAY(EOMONTH(A105,0))/2))/AK105)</f>
        <v>#N/A</v>
      </c>
      <c r="AF105" s="206" t="e">
        <f aca="false">((Summary!$N$12*(AA105*AD105)*(A105-$D$3))+(Summary!$M$12*Z105*AC105*(AJ105-EOMONTH(EDATE(A105,-1),0))))/(AK105*AB105*AE105)</f>
        <v>#N/A</v>
      </c>
      <c r="AG105" s="207" t="n">
        <f aca="false">IF($A106="","",Summary!$Q$12)</f>
        <v>0</v>
      </c>
      <c r="AH105" s="207" t="n">
        <f aca="false">IF($A106="","",IF(Summary!$R$12="Y",(VLOOKUP($A105,Summary!$AD$6:$AF$9,3)+'Escalating commodity'!H118),'Escalating commodity'!H118))</f>
        <v>0.029</v>
      </c>
      <c r="AI105" s="207" t="n">
        <f aca="false">IF($A106="","",AH105)</f>
        <v>0.029</v>
      </c>
      <c r="AJ105" s="208" t="n">
        <f aca="false">A105+DAY(EOMONTH(A105,0))/2-1</f>
        <v>39948.5</v>
      </c>
      <c r="AK105" s="209" t="n">
        <f aca="false">IF($A106="","",$A105-$E$1)</f>
        <v>-5992</v>
      </c>
      <c r="AL105" s="182" t="e">
        <f aca="false">IF($A106="","",SPRDOPT(P105,X105,AI105,0,AB105,AE105,AF105,AK105,$AJ$2,0))</f>
        <v>#NAME?</v>
      </c>
      <c r="AM105" s="211" t="e">
        <f aca="false">IF($A106="","",MAX(0,O105-W105-AI105))</f>
        <v>#N/A</v>
      </c>
      <c r="AN105" s="211" t="e">
        <f aca="false">IF($A106="","",AL105-AM105)</f>
        <v>#N/A</v>
      </c>
      <c r="AO105" s="137" t="n">
        <f aca="false">IF(A106="","",A106-A105)</f>
        <v>31</v>
      </c>
      <c r="AP105" s="212" t="n">
        <f aca="false">IF(A106="","",CHOOSE(F$3,A106+24,A105))</f>
        <v>39934</v>
      </c>
      <c r="AQ105" s="209" t="n">
        <f aca="false">IF(A106="","",AP105-$E$1)</f>
        <v>-5992</v>
      </c>
      <c r="AR105" s="185" t="n">
        <f aca="false">'ANR OK vs ML7'!AR105</f>
        <v>0.1</v>
      </c>
      <c r="AS105" s="213" t="n">
        <f aca="false">IF(A106="","",1/(1+CHOOSE(F$3,(AR106+($I$3/10000))/2,(AR105+($I$3/10000))/2))^(2*AQ105/365.25))</f>
        <v>4.95712031002393</v>
      </c>
      <c r="AT105" s="137" t="n">
        <f aca="false">IF(A106="","",IF(AND(mthbeg&lt;=A105,mthend&gt;=A105),1,0))</f>
        <v>1</v>
      </c>
      <c r="AU105" s="137" t="n">
        <f aca="false">IF(A106="","",AO105*AT105)</f>
        <v>31</v>
      </c>
      <c r="AW105" s="195" t="e">
        <f aca="false">IF($A106="","",AL105*$E105)</f>
        <v>#NAME?</v>
      </c>
      <c r="AX105" s="195" t="e">
        <f aca="false">IF($A106="","",AM105*$E105)</f>
        <v>#N/A</v>
      </c>
      <c r="AY105" s="195" t="e">
        <f aca="false">IF($A106="","",AN105*$E105)</f>
        <v>#N/A</v>
      </c>
      <c r="BA105" s="195" t="n">
        <f aca="false">IF($A106="","",F105*Summary!$Q$12)</f>
        <v>0</v>
      </c>
      <c r="BC105" s="179" t="e">
        <f aca="false">IF(A106="","",AM105*F105)</f>
        <v>#N/A</v>
      </c>
    </row>
    <row r="106" customFormat="false" ht="12.75" hidden="false" customHeight="false" outlineLevel="0" collapsed="false">
      <c r="A106" s="196" t="n">
        <f aca="false">IF(A105&lt;mthend,EDATE(A105,1),"")</f>
        <v>39965</v>
      </c>
      <c r="B106" s="197" t="n">
        <f aca="false">IF(A106&lt;mthend,B105,"")</f>
        <v>36522</v>
      </c>
      <c r="C106" s="215"/>
      <c r="D106" s="197" t="n">
        <f aca="false">IF(A107&lt;&gt;"",B106+C106,"")</f>
        <v>36522</v>
      </c>
      <c r="E106" s="199" t="n">
        <f aca="false">IF(A107="","",IF(AND(AT106=1,$H$3=1),D106*AO106,IF($H$3=2,D106,"N/A")))</f>
        <v>1095660</v>
      </c>
      <c r="F106" s="199" t="n">
        <f aca="false">IF(A107="","",E106*AS106)</f>
        <v>5386522.16982098</v>
      </c>
      <c r="G106" s="200" t="e">
        <f aca="false">IF($A107="","",VLOOKUP($A106,Table,MATCH(G$4,Curves,0)))</f>
        <v>#N/A</v>
      </c>
      <c r="H106" s="201" t="e">
        <f aca="false">IF(A107="","",G106)</f>
        <v>#N/A</v>
      </c>
      <c r="I106" s="202"/>
      <c r="J106" s="200" t="e">
        <f aca="false">IF($A107="","",VLOOKUP($A106,Table,MATCH(J$4,Curves,0)))</f>
        <v>#N/A</v>
      </c>
      <c r="K106" s="201" t="e">
        <f aca="false">IF(A107="","",J106)</f>
        <v>#N/A</v>
      </c>
      <c r="L106" s="200" t="e">
        <f aca="false">IF($A107="","",VLOOKUP($A106,Table,MATCH(L$4,Curves,0)))</f>
        <v>#N/A</v>
      </c>
      <c r="M106" s="201" t="e">
        <f aca="false">IF(A107="","",L106)</f>
        <v>#N/A</v>
      </c>
      <c r="N106" s="203"/>
      <c r="O106" s="200" t="e">
        <f aca="false">IF(A107="","",L106+J106+G106)</f>
        <v>#N/A</v>
      </c>
      <c r="P106" s="200" t="e">
        <f aca="false">IF(A107="","",M106+K106+H106)</f>
        <v>#N/A</v>
      </c>
      <c r="Q106" s="204"/>
      <c r="R106" s="200" t="e">
        <f aca="false">IF($A107="","",VLOOKUP($A106,Table,MATCH(R$4,Curves,0)))</f>
        <v>#N/A</v>
      </c>
      <c r="S106" s="201" t="e">
        <f aca="false">IF(A107="","",R106)</f>
        <v>#N/A</v>
      </c>
      <c r="T106" s="200" t="e">
        <f aca="false">IF($A107="","",VLOOKUP($A106,Table,MATCH(T$4,Curves,0)))</f>
        <v>#N/A</v>
      </c>
      <c r="U106" s="201" t="e">
        <f aca="false">IF(A107="","",T106)</f>
        <v>#N/A</v>
      </c>
      <c r="V106" s="225" t="e">
        <f aca="false">IF($A107="","",IF(AND(MONTH(A106)&gt;3,MONTH(A106)&lt;11),(T106+R106+G106)*(((1/(1-Summary!$T$12))/(1-Summary!$W$12))-1),(T106+R106+G106)*((1/(1-Summary!$U$12))/(1-Summary!$X$12)-1)))</f>
        <v>#N/A</v>
      </c>
      <c r="W106" s="200" t="e">
        <f aca="false">IF($A107="","",(T106+R106+G106+V106))</f>
        <v>#N/A</v>
      </c>
      <c r="X106" s="200" t="e">
        <f aca="false">IF($A107="","",(U106+S106+H106+V106))</f>
        <v>#N/A</v>
      </c>
      <c r="Y106" s="202"/>
      <c r="Z106" s="185" t="e">
        <f aca="false">IF($A107="","",VLOOKUP($A106,Table,MATCH(Z$4,Curves,0)))</f>
        <v>#N/A</v>
      </c>
      <c r="AA106" s="185" t="e">
        <f aca="false">IF($A107="","",VLOOKUP($A106,Table,MATCH(AA$4,Curves,0)))</f>
        <v>#N/A</v>
      </c>
      <c r="AB106" s="185" t="e">
        <f aca="false">SQRT((AA106^2*(A106-$D$3)+Z106^2*(DAY(EOMONTH(A106,0))/2))/AK106)</f>
        <v>#N/A</v>
      </c>
      <c r="AC106" s="185" t="e">
        <f aca="false">IF($A107="","",VLOOKUP($A106,Table,MATCH(AC$4,Curves,0)))</f>
        <v>#N/A</v>
      </c>
      <c r="AD106" s="185" t="e">
        <f aca="false">IF($A107="","",VLOOKUP($A106,Table,MATCH(AD$4,Curves,0)))</f>
        <v>#N/A</v>
      </c>
      <c r="AE106" s="185" t="e">
        <f aca="false">SQRT((AD106^2*(A106-$D$3)+AC106^2*(DAY(EOMONTH(A106,0))/2))/AK106)</f>
        <v>#N/A</v>
      </c>
      <c r="AF106" s="206" t="e">
        <f aca="false">((Summary!$N$12*(AA106*AD106)*(A106-$D$3))+(Summary!$M$12*Z106*AC106*(AJ106-EOMONTH(EDATE(A106,-1),0))))/(AK106*AB106*AE106)</f>
        <v>#N/A</v>
      </c>
      <c r="AG106" s="207" t="n">
        <f aca="false">IF($A107="","",Summary!$Q$12)</f>
        <v>0</v>
      </c>
      <c r="AH106" s="207" t="n">
        <f aca="false">IF($A107="","",IF(Summary!$R$12="Y",(VLOOKUP($A106,Summary!$AD$6:$AF$9,3)+'Escalating commodity'!H119),'Escalating commodity'!H119))</f>
        <v>0.029</v>
      </c>
      <c r="AI106" s="207" t="n">
        <f aca="false">IF($A107="","",AH106)</f>
        <v>0.029</v>
      </c>
      <c r="AJ106" s="208" t="n">
        <f aca="false">A106+DAY(EOMONTH(A106,0))/2-1</f>
        <v>39979</v>
      </c>
      <c r="AK106" s="209" t="n">
        <f aca="false">IF($A107="","",$A106-$E$1)</f>
        <v>-5961</v>
      </c>
      <c r="AL106" s="182" t="e">
        <f aca="false">IF($A107="","",SPRDOPT(P106,X106,AI106,0,AB106,AE106,AF106,AK106,$AJ$2,0))</f>
        <v>#NAME?</v>
      </c>
      <c r="AM106" s="211" t="e">
        <f aca="false">IF($A107="","",MAX(0,O106-W106-AI106))</f>
        <v>#N/A</v>
      </c>
      <c r="AN106" s="211" t="e">
        <f aca="false">IF($A107="","",AL106-AM106)</f>
        <v>#N/A</v>
      </c>
      <c r="AO106" s="137" t="n">
        <f aca="false">IF(A107="","",A107-A106)</f>
        <v>30</v>
      </c>
      <c r="AP106" s="212" t="n">
        <f aca="false">IF(A107="","",CHOOSE(F$3,A107+24,A106))</f>
        <v>39965</v>
      </c>
      <c r="AQ106" s="209" t="n">
        <f aca="false">IF(A107="","",AP106-$E$1)</f>
        <v>-5961</v>
      </c>
      <c r="AR106" s="185" t="n">
        <f aca="false">'ANR OK vs ML7'!AR106</f>
        <v>0.1</v>
      </c>
      <c r="AS106" s="213" t="n">
        <f aca="false">IF(A107="","",1/(1+CHOOSE(F$3,(AR107+($I$3/10000))/2,(AR106+($I$3/10000))/2))^(2*AQ106/365.25))</f>
        <v>4.91623511839528</v>
      </c>
      <c r="AT106" s="137" t="n">
        <f aca="false">IF(A107="","",IF(AND(mthbeg&lt;=A106,mthend&gt;=A106),1,0))</f>
        <v>1</v>
      </c>
      <c r="AU106" s="137" t="n">
        <f aca="false">IF(A107="","",AO106*AT106)</f>
        <v>30</v>
      </c>
      <c r="AW106" s="195" t="e">
        <f aca="false">IF($A107="","",AL106*$E106)</f>
        <v>#NAME?</v>
      </c>
      <c r="AX106" s="195" t="e">
        <f aca="false">IF($A107="","",AM106*$E106)</f>
        <v>#N/A</v>
      </c>
      <c r="AY106" s="195" t="e">
        <f aca="false">IF($A107="","",AN106*$E106)</f>
        <v>#N/A</v>
      </c>
      <c r="BA106" s="195" t="n">
        <f aca="false">IF($A107="","",F106*Summary!$Q$12)</f>
        <v>0</v>
      </c>
      <c r="BC106" s="179" t="e">
        <f aca="false">IF(A107="","",AM106*F106)</f>
        <v>#N/A</v>
      </c>
    </row>
    <row r="107" customFormat="false" ht="12.75" hidden="false" customHeight="false" outlineLevel="0" collapsed="false">
      <c r="A107" s="196" t="n">
        <f aca="false">IF(A106&lt;mthend,EDATE(A106,1),"")</f>
        <v>39995</v>
      </c>
      <c r="B107" s="197" t="n">
        <f aca="false">IF(A107&lt;mthend,B106,"")</f>
        <v>36522</v>
      </c>
      <c r="C107" s="215"/>
      <c r="D107" s="197" t="n">
        <f aca="false">IF(A108&lt;&gt;"",B107+C107,"")</f>
        <v>36522</v>
      </c>
      <c r="E107" s="199" t="n">
        <f aca="false">IF(A108="","",IF(AND(AT107=1,$H$3=1),D107*AO107,IF($H$3=2,D107,"N/A")))</f>
        <v>1132182</v>
      </c>
      <c r="F107" s="199" t="n">
        <f aca="false">IF(A108="","",E107*AS107)</f>
        <v>5521640.18223425</v>
      </c>
      <c r="G107" s="200" t="e">
        <f aca="false">IF($A108="","",VLOOKUP($A107,Table,MATCH(G$4,Curves,0)))</f>
        <v>#N/A</v>
      </c>
      <c r="H107" s="201" t="e">
        <f aca="false">IF(A108="","",G107)</f>
        <v>#N/A</v>
      </c>
      <c r="I107" s="202"/>
      <c r="J107" s="200" t="e">
        <f aca="false">IF($A108="","",VLOOKUP($A107,Table,MATCH(J$4,Curves,0)))</f>
        <v>#N/A</v>
      </c>
      <c r="K107" s="201" t="e">
        <f aca="false">IF(A108="","",J107)</f>
        <v>#N/A</v>
      </c>
      <c r="L107" s="200" t="e">
        <f aca="false">IF($A108="","",VLOOKUP($A107,Table,MATCH(L$4,Curves,0)))</f>
        <v>#N/A</v>
      </c>
      <c r="M107" s="201" t="e">
        <f aca="false">IF(A108="","",L107)</f>
        <v>#N/A</v>
      </c>
      <c r="N107" s="203"/>
      <c r="O107" s="200" t="e">
        <f aca="false">IF(A108="","",L107+J107+G107)</f>
        <v>#N/A</v>
      </c>
      <c r="P107" s="200" t="e">
        <f aca="false">IF(A108="","",M107+K107+H107)</f>
        <v>#N/A</v>
      </c>
      <c r="Q107" s="204"/>
      <c r="R107" s="200" t="e">
        <f aca="false">IF($A108="","",VLOOKUP($A107,Table,MATCH(R$4,Curves,0)))</f>
        <v>#N/A</v>
      </c>
      <c r="S107" s="201" t="e">
        <f aca="false">IF(A108="","",R107)</f>
        <v>#N/A</v>
      </c>
      <c r="T107" s="200" t="e">
        <f aca="false">IF($A108="","",VLOOKUP($A107,Table,MATCH(T$4,Curves,0)))</f>
        <v>#N/A</v>
      </c>
      <c r="U107" s="201" t="e">
        <f aca="false">IF(A108="","",T107)</f>
        <v>#N/A</v>
      </c>
      <c r="V107" s="225" t="e">
        <f aca="false">IF($A108="","",IF(AND(MONTH(A107)&gt;3,MONTH(A107)&lt;11),(T107+R107+G107)*(((1/(1-Summary!$T$12))/(1-Summary!$W$12))-1),(T107+R107+G107)*((1/(1-Summary!$U$12))/(1-Summary!$X$12)-1)))</f>
        <v>#N/A</v>
      </c>
      <c r="W107" s="200" t="e">
        <f aca="false">IF($A108="","",(T107+R107+G107+V107))</f>
        <v>#N/A</v>
      </c>
      <c r="X107" s="200" t="e">
        <f aca="false">IF($A108="","",(U107+S107+H107+V107))</f>
        <v>#N/A</v>
      </c>
      <c r="Y107" s="202"/>
      <c r="Z107" s="185" t="e">
        <f aca="false">IF($A108="","",VLOOKUP($A107,Table,MATCH(Z$4,Curves,0)))</f>
        <v>#N/A</v>
      </c>
      <c r="AA107" s="185" t="e">
        <f aca="false">IF($A108="","",VLOOKUP($A107,Table,MATCH(AA$4,Curves,0)))</f>
        <v>#N/A</v>
      </c>
      <c r="AB107" s="185" t="e">
        <f aca="false">SQRT((AA107^2*(A107-$D$3)+Z107^2*(DAY(EOMONTH(A107,0))/2))/AK107)</f>
        <v>#N/A</v>
      </c>
      <c r="AC107" s="185" t="e">
        <f aca="false">IF($A108="","",VLOOKUP($A107,Table,MATCH(AC$4,Curves,0)))</f>
        <v>#N/A</v>
      </c>
      <c r="AD107" s="185" t="e">
        <f aca="false">IF($A108="","",VLOOKUP($A107,Table,MATCH(AD$4,Curves,0)))</f>
        <v>#N/A</v>
      </c>
      <c r="AE107" s="185" t="e">
        <f aca="false">SQRT((AD107^2*(A107-$D$3)+AC107^2*(DAY(EOMONTH(A107,0))/2))/AK107)</f>
        <v>#N/A</v>
      </c>
      <c r="AF107" s="206" t="e">
        <f aca="false">((Summary!$N$12*(AA107*AD107)*(A107-$D$3))+(Summary!$M$12*Z107*AC107*(AJ107-EOMONTH(EDATE(A107,-1),0))))/(AK107*AB107*AE107)</f>
        <v>#N/A</v>
      </c>
      <c r="AG107" s="207" t="n">
        <f aca="false">IF($A108="","",Summary!$Q$12)</f>
        <v>0</v>
      </c>
      <c r="AH107" s="207" t="n">
        <f aca="false">IF($A108="","",IF(Summary!$R$12="Y",(VLOOKUP($A107,Summary!$AD$6:$AF$9,3)+'Escalating commodity'!H120),'Escalating commodity'!H120))</f>
        <v>0.029</v>
      </c>
      <c r="AI107" s="207" t="n">
        <f aca="false">IF($A108="","",AH107)</f>
        <v>0.029</v>
      </c>
      <c r="AJ107" s="208" t="n">
        <f aca="false">A107+DAY(EOMONTH(A107,0))/2-1</f>
        <v>40009.5</v>
      </c>
      <c r="AK107" s="209" t="n">
        <f aca="false">IF($A108="","",$A107-$E$1)</f>
        <v>-5931</v>
      </c>
      <c r="AL107" s="182" t="e">
        <f aca="false">IF($A108="","",SPRDOPT(P107,X107,AI107,0,AB107,AE107,AF107,AK107,$AJ$2,0))</f>
        <v>#NAME?</v>
      </c>
      <c r="AM107" s="211" t="e">
        <f aca="false">IF($A108="","",MAX(0,O107-W107-AI107))</f>
        <v>#N/A</v>
      </c>
      <c r="AN107" s="211" t="e">
        <f aca="false">IF($A108="","",AL107-AM107)</f>
        <v>#N/A</v>
      </c>
      <c r="AO107" s="137" t="n">
        <f aca="false">IF(A108="","",A108-A107)</f>
        <v>31</v>
      </c>
      <c r="AP107" s="212" t="n">
        <f aca="false">IF(A108="","",CHOOSE(F$3,A108+24,A107))</f>
        <v>39995</v>
      </c>
      <c r="AQ107" s="209" t="n">
        <f aca="false">IF(A108="","",AP107-$E$1)</f>
        <v>-5931</v>
      </c>
      <c r="AR107" s="185" t="n">
        <f aca="false">'ANR OK vs ML7'!AR107</f>
        <v>0.1</v>
      </c>
      <c r="AS107" s="213" t="n">
        <f aca="false">IF(A108="","",1/(1+CHOOSE(F$3,(AR108+($I$3/10000))/2,(AR107+($I$3/10000))/2))^(2*AQ107/365.25))</f>
        <v>4.87698990289039</v>
      </c>
      <c r="AT107" s="137" t="n">
        <f aca="false">IF(A108="","",IF(AND(mthbeg&lt;=A107,mthend&gt;=A107),1,0))</f>
        <v>1</v>
      </c>
      <c r="AU107" s="137" t="n">
        <f aca="false">IF(A108="","",AO107*AT107)</f>
        <v>31</v>
      </c>
      <c r="AW107" s="195" t="e">
        <f aca="false">IF($A108="","",AL107*$E107)</f>
        <v>#NAME?</v>
      </c>
      <c r="AX107" s="195" t="e">
        <f aca="false">IF($A108="","",AM107*$E107)</f>
        <v>#N/A</v>
      </c>
      <c r="AY107" s="195" t="e">
        <f aca="false">IF($A108="","",AN107*$E107)</f>
        <v>#N/A</v>
      </c>
      <c r="BA107" s="195" t="n">
        <f aca="false">IF($A108="","",F107*Summary!$Q$12)</f>
        <v>0</v>
      </c>
      <c r="BC107" s="179" t="e">
        <f aca="false">IF(A108="","",AM107*F107)</f>
        <v>#N/A</v>
      </c>
    </row>
    <row r="108" customFormat="false" ht="12.75" hidden="false" customHeight="false" outlineLevel="0" collapsed="false">
      <c r="A108" s="196" t="n">
        <f aca="false">IF(A107&lt;mthend,EDATE(A107,1),"")</f>
        <v>40026</v>
      </c>
      <c r="B108" s="197" t="n">
        <f aca="false">IF(A108&lt;mthend,B107,"")</f>
        <v>36522</v>
      </c>
      <c r="C108" s="215"/>
      <c r="D108" s="197" t="n">
        <f aca="false">IF(A109&lt;&gt;"",B108+C108,"")</f>
        <v>36522</v>
      </c>
      <c r="E108" s="199" t="n">
        <f aca="false">IF(A109="","",IF(AND(AT108=1,$H$3=1),D108*AO108,IF($H$3=2,D108,"N/A")))</f>
        <v>1132182</v>
      </c>
      <c r="F108" s="199" t="n">
        <f aca="false">IF(A109="","",E108*AS108)</f>
        <v>5476098.96014638</v>
      </c>
      <c r="G108" s="200" t="e">
        <f aca="false">IF($A109="","",VLOOKUP($A108,Table,MATCH(G$4,Curves,0)))</f>
        <v>#N/A</v>
      </c>
      <c r="H108" s="201" t="e">
        <f aca="false">IF(A109="","",G108)</f>
        <v>#N/A</v>
      </c>
      <c r="I108" s="202"/>
      <c r="J108" s="200" t="e">
        <f aca="false">IF($A109="","",VLOOKUP($A108,Table,MATCH(J$4,Curves,0)))</f>
        <v>#N/A</v>
      </c>
      <c r="K108" s="201" t="e">
        <f aca="false">IF(A109="","",J108)</f>
        <v>#N/A</v>
      </c>
      <c r="L108" s="200" t="e">
        <f aca="false">IF($A109="","",VLOOKUP($A108,Table,MATCH(L$4,Curves,0)))</f>
        <v>#N/A</v>
      </c>
      <c r="M108" s="201" t="e">
        <f aca="false">IF(A109="","",L108)</f>
        <v>#N/A</v>
      </c>
      <c r="N108" s="203"/>
      <c r="O108" s="200" t="e">
        <f aca="false">IF(A109="","",L108+J108+G108)</f>
        <v>#N/A</v>
      </c>
      <c r="P108" s="200" t="e">
        <f aca="false">IF(A109="","",M108+K108+H108)</f>
        <v>#N/A</v>
      </c>
      <c r="Q108" s="204"/>
      <c r="R108" s="200" t="e">
        <f aca="false">IF($A109="","",VLOOKUP($A108,Table,MATCH(R$4,Curves,0)))</f>
        <v>#N/A</v>
      </c>
      <c r="S108" s="201" t="e">
        <f aca="false">IF(A109="","",R108)</f>
        <v>#N/A</v>
      </c>
      <c r="T108" s="200" t="e">
        <f aca="false">IF($A109="","",VLOOKUP($A108,Table,MATCH(T$4,Curves,0)))</f>
        <v>#N/A</v>
      </c>
      <c r="U108" s="201" t="e">
        <f aca="false">IF(A109="","",T108)</f>
        <v>#N/A</v>
      </c>
      <c r="V108" s="225" t="e">
        <f aca="false">IF($A109="","",IF(AND(MONTH(A108)&gt;3,MONTH(A108)&lt;11),(T108+R108+G108)*(((1/(1-Summary!$T$12))/(1-Summary!$W$12))-1),(T108+R108+G108)*((1/(1-Summary!$U$12))/(1-Summary!$X$12)-1)))</f>
        <v>#N/A</v>
      </c>
      <c r="W108" s="200" t="e">
        <f aca="false">IF($A109="","",(T108+R108+G108+V108))</f>
        <v>#N/A</v>
      </c>
      <c r="X108" s="200" t="e">
        <f aca="false">IF($A109="","",(U108+S108+H108+V108))</f>
        <v>#N/A</v>
      </c>
      <c r="Y108" s="202"/>
      <c r="Z108" s="185" t="e">
        <f aca="false">IF($A109="","",VLOOKUP($A108,Table,MATCH(Z$4,Curves,0)))</f>
        <v>#N/A</v>
      </c>
      <c r="AA108" s="185" t="e">
        <f aca="false">IF($A109="","",VLOOKUP($A108,Table,MATCH(AA$4,Curves,0)))</f>
        <v>#N/A</v>
      </c>
      <c r="AB108" s="185" t="e">
        <f aca="false">SQRT((AA108^2*(A108-$D$3)+Z108^2*(DAY(EOMONTH(A108,0))/2))/AK108)</f>
        <v>#N/A</v>
      </c>
      <c r="AC108" s="185" t="e">
        <f aca="false">IF($A109="","",VLOOKUP($A108,Table,MATCH(AC$4,Curves,0)))</f>
        <v>#N/A</v>
      </c>
      <c r="AD108" s="185" t="e">
        <f aca="false">IF($A109="","",VLOOKUP($A108,Table,MATCH(AD$4,Curves,0)))</f>
        <v>#N/A</v>
      </c>
      <c r="AE108" s="185" t="e">
        <f aca="false">SQRT((AD108^2*(A108-$D$3)+AC108^2*(DAY(EOMONTH(A108,0))/2))/AK108)</f>
        <v>#N/A</v>
      </c>
      <c r="AF108" s="206" t="e">
        <f aca="false">((Summary!$N$12*(AA108*AD108)*(A108-$D$3))+(Summary!$M$12*Z108*AC108*(AJ108-EOMONTH(EDATE(A108,-1),0))))/(AK108*AB108*AE108)</f>
        <v>#N/A</v>
      </c>
      <c r="AG108" s="207" t="n">
        <f aca="false">IF($A109="","",Summary!$Q$12)</f>
        <v>0</v>
      </c>
      <c r="AH108" s="207" t="n">
        <f aca="false">IF($A109="","",IF(Summary!$R$12="Y",(VLOOKUP($A108,Summary!$AD$6:$AF$9,3)+'Escalating commodity'!H121),'Escalating commodity'!H121))</f>
        <v>0.029</v>
      </c>
      <c r="AI108" s="207" t="n">
        <f aca="false">IF($A109="","",AH108)</f>
        <v>0.029</v>
      </c>
      <c r="AJ108" s="208" t="n">
        <f aca="false">A108+DAY(EOMONTH(A108,0))/2-1</f>
        <v>40040.5</v>
      </c>
      <c r="AK108" s="209" t="n">
        <f aca="false">IF($A109="","",$A108-$E$1)</f>
        <v>-5900</v>
      </c>
      <c r="AL108" s="182" t="e">
        <f aca="false">IF($A109="","",SPRDOPT(P108,X108,AI108,0,AB108,AE108,AF108,AK108,$AJ$2,0))</f>
        <v>#NAME?</v>
      </c>
      <c r="AM108" s="211" t="e">
        <f aca="false">IF($A109="","",MAX(0,O108-W108-AI108))</f>
        <v>#N/A</v>
      </c>
      <c r="AN108" s="211" t="e">
        <f aca="false">IF($A109="","",AL108-AM108)</f>
        <v>#N/A</v>
      </c>
      <c r="AO108" s="137" t="n">
        <f aca="false">IF(A109="","",A109-A108)</f>
        <v>31</v>
      </c>
      <c r="AP108" s="212" t="n">
        <f aca="false">IF(A109="","",CHOOSE(F$3,A109+24,A108))</f>
        <v>40026</v>
      </c>
      <c r="AQ108" s="209" t="n">
        <f aca="false">IF(A109="","",AP108-$E$1)</f>
        <v>-5900</v>
      </c>
      <c r="AR108" s="185" t="n">
        <f aca="false">'ANR OK vs ML7'!AR108</f>
        <v>0.1</v>
      </c>
      <c r="AS108" s="213" t="n">
        <f aca="false">IF(A109="","",1/(1+CHOOSE(F$3,(AR109+($I$3/10000))/2,(AR108+($I$3/10000))/2))^(2*AQ108/365.25))</f>
        <v>4.83676560848554</v>
      </c>
      <c r="AT108" s="137" t="n">
        <f aca="false">IF(A109="","",IF(AND(mthbeg&lt;=A108,mthend&gt;=A108),1,0))</f>
        <v>1</v>
      </c>
      <c r="AU108" s="137" t="n">
        <f aca="false">IF(A109="","",AO108*AT108)</f>
        <v>31</v>
      </c>
      <c r="AW108" s="195" t="e">
        <f aca="false">IF($A109="","",AL108*$E108)</f>
        <v>#NAME?</v>
      </c>
      <c r="AX108" s="195" t="e">
        <f aca="false">IF($A109="","",AM108*$E108)</f>
        <v>#N/A</v>
      </c>
      <c r="AY108" s="195" t="e">
        <f aca="false">IF($A109="","",AN108*$E108)</f>
        <v>#N/A</v>
      </c>
      <c r="BA108" s="195" t="n">
        <f aca="false">IF($A109="","",F108*Summary!$Q$12)</f>
        <v>0</v>
      </c>
      <c r="BC108" s="179" t="e">
        <f aca="false">IF(A109="","",AM108*F108)</f>
        <v>#N/A</v>
      </c>
    </row>
    <row r="109" customFormat="false" ht="12.75" hidden="false" customHeight="false" outlineLevel="0" collapsed="false">
      <c r="A109" s="196" t="n">
        <f aca="false">IF(A108&lt;mthend,EDATE(A108,1),"")</f>
        <v>40057</v>
      </c>
      <c r="B109" s="197" t="n">
        <f aca="false">IF(A109&lt;mthend,B108,"")</f>
        <v>36522</v>
      </c>
      <c r="C109" s="215"/>
      <c r="D109" s="197" t="n">
        <f aca="false">IF(A110&lt;&gt;"",B109+C109,"")</f>
        <v>36522</v>
      </c>
      <c r="E109" s="199" t="n">
        <f aca="false">IF(A110="","",IF(AND(AT109=1,$H$3=1),D109*AO109,IF($H$3=2,D109,"N/A")))</f>
        <v>1095660</v>
      </c>
      <c r="F109" s="199" t="n">
        <f aca="false">IF(A110="","",E109*AS109)</f>
        <v>5255741.95317628</v>
      </c>
      <c r="G109" s="200" t="e">
        <f aca="false">IF($A110="","",VLOOKUP($A109,Table,MATCH(G$4,Curves,0)))</f>
        <v>#N/A</v>
      </c>
      <c r="H109" s="201" t="e">
        <f aca="false">IF(A110="","",G109)</f>
        <v>#N/A</v>
      </c>
      <c r="I109" s="202"/>
      <c r="J109" s="200" t="e">
        <f aca="false">IF($A110="","",VLOOKUP($A109,Table,MATCH(J$4,Curves,0)))</f>
        <v>#N/A</v>
      </c>
      <c r="K109" s="201" t="e">
        <f aca="false">IF(A110="","",J109)</f>
        <v>#N/A</v>
      </c>
      <c r="L109" s="200" t="e">
        <f aca="false">IF($A110="","",VLOOKUP($A109,Table,MATCH(L$4,Curves,0)))</f>
        <v>#N/A</v>
      </c>
      <c r="M109" s="201" t="e">
        <f aca="false">IF(A110="","",L109)</f>
        <v>#N/A</v>
      </c>
      <c r="N109" s="203"/>
      <c r="O109" s="200" t="e">
        <f aca="false">IF(A110="","",L109+J109+G109)</f>
        <v>#N/A</v>
      </c>
      <c r="P109" s="200" t="e">
        <f aca="false">IF(A110="","",M109+K109+H109)</f>
        <v>#N/A</v>
      </c>
      <c r="Q109" s="204"/>
      <c r="R109" s="200" t="e">
        <f aca="false">IF($A110="","",VLOOKUP($A109,Table,MATCH(R$4,Curves,0)))</f>
        <v>#N/A</v>
      </c>
      <c r="S109" s="201" t="e">
        <f aca="false">IF(A110="","",R109)</f>
        <v>#N/A</v>
      </c>
      <c r="T109" s="200" t="e">
        <f aca="false">IF($A110="","",VLOOKUP($A109,Table,MATCH(T$4,Curves,0)))</f>
        <v>#N/A</v>
      </c>
      <c r="U109" s="201" t="e">
        <f aca="false">IF(A110="","",T109)</f>
        <v>#N/A</v>
      </c>
      <c r="V109" s="225" t="e">
        <f aca="false">IF($A110="","",IF(AND(MONTH(A109)&gt;3,MONTH(A109)&lt;11),(T109+R109+G109)*(((1/(1-Summary!$T$12))/(1-Summary!$W$12))-1),(T109+R109+G109)*((1/(1-Summary!$U$12))/(1-Summary!$X$12)-1)))</f>
        <v>#N/A</v>
      </c>
      <c r="W109" s="200" t="e">
        <f aca="false">IF($A110="","",(T109+R109+G109+V109))</f>
        <v>#N/A</v>
      </c>
      <c r="X109" s="200" t="e">
        <f aca="false">IF($A110="","",(U109+S109+H109+V109))</f>
        <v>#N/A</v>
      </c>
      <c r="Y109" s="202"/>
      <c r="Z109" s="185" t="e">
        <f aca="false">IF($A110="","",VLOOKUP($A109,Table,MATCH(Z$4,Curves,0)))</f>
        <v>#N/A</v>
      </c>
      <c r="AA109" s="185" t="e">
        <f aca="false">IF($A110="","",VLOOKUP($A109,Table,MATCH(AA$4,Curves,0)))</f>
        <v>#N/A</v>
      </c>
      <c r="AB109" s="185" t="e">
        <f aca="false">SQRT((AA109^2*(A109-$D$3)+Z109^2*(DAY(EOMONTH(A109,0))/2))/AK109)</f>
        <v>#N/A</v>
      </c>
      <c r="AC109" s="185" t="e">
        <f aca="false">IF($A110="","",VLOOKUP($A109,Table,MATCH(AC$4,Curves,0)))</f>
        <v>#N/A</v>
      </c>
      <c r="AD109" s="185" t="e">
        <f aca="false">IF($A110="","",VLOOKUP($A109,Table,MATCH(AD$4,Curves,0)))</f>
        <v>#N/A</v>
      </c>
      <c r="AE109" s="185" t="e">
        <f aca="false">SQRT((AD109^2*(A109-$D$3)+AC109^2*(DAY(EOMONTH(A109,0))/2))/AK109)</f>
        <v>#N/A</v>
      </c>
      <c r="AF109" s="206" t="e">
        <f aca="false">((Summary!$N$12*(AA109*AD109)*(A109-$D$3))+(Summary!$M$12*Z109*AC109*(AJ109-EOMONTH(EDATE(A109,-1),0))))/(AK109*AB109*AE109)</f>
        <v>#N/A</v>
      </c>
      <c r="AG109" s="207" t="n">
        <f aca="false">IF($A110="","",Summary!$Q$12)</f>
        <v>0</v>
      </c>
      <c r="AH109" s="207" t="n">
        <f aca="false">IF($A110="","",IF(Summary!$R$12="Y",(VLOOKUP($A109,Summary!$AD$6:$AF$9,3)+'Escalating commodity'!H122),'Escalating commodity'!H122))</f>
        <v>0.029</v>
      </c>
      <c r="AI109" s="207" t="n">
        <f aca="false">IF($A110="","",AH109)</f>
        <v>0.029</v>
      </c>
      <c r="AJ109" s="208" t="n">
        <f aca="false">A109+DAY(EOMONTH(A109,0))/2-1</f>
        <v>40071</v>
      </c>
      <c r="AK109" s="209" t="n">
        <f aca="false">IF($A110="","",$A109-$E$1)</f>
        <v>-5869</v>
      </c>
      <c r="AL109" s="182" t="e">
        <f aca="false">IF($A110="","",SPRDOPT(P109,X109,AI109,0,AB109,AE109,AF109,AK109,$AJ$2,0))</f>
        <v>#NAME?</v>
      </c>
      <c r="AM109" s="211" t="e">
        <f aca="false">IF($A110="","",MAX(0,O109-W109-AI109))</f>
        <v>#N/A</v>
      </c>
      <c r="AN109" s="211" t="e">
        <f aca="false">IF($A110="","",AL109-AM109)</f>
        <v>#N/A</v>
      </c>
      <c r="AO109" s="137" t="n">
        <f aca="false">IF(A110="","",A110-A109)</f>
        <v>30</v>
      </c>
      <c r="AP109" s="212" t="n">
        <f aca="false">IF(A110="","",CHOOSE(F$3,A110+24,A109))</f>
        <v>40057</v>
      </c>
      <c r="AQ109" s="209" t="n">
        <f aca="false">IF(A110="","",AP109-$E$1)</f>
        <v>-5869</v>
      </c>
      <c r="AR109" s="185" t="n">
        <f aca="false">'ANR OK vs ML7'!AR109</f>
        <v>0.1</v>
      </c>
      <c r="AS109" s="213" t="n">
        <f aca="false">IF(A110="","",1/(1+CHOOSE(F$3,(AR110+($I$3/10000))/2,(AR109+($I$3/10000))/2))^(2*AQ109/365.25))</f>
        <v>4.79687307483734</v>
      </c>
      <c r="AT109" s="137" t="n">
        <f aca="false">IF(A110="","",IF(AND(mthbeg&lt;=A109,mthend&gt;=A109),1,0))</f>
        <v>1</v>
      </c>
      <c r="AU109" s="137" t="n">
        <f aca="false">IF(A110="","",AO109*AT109)</f>
        <v>30</v>
      </c>
      <c r="AW109" s="195" t="e">
        <f aca="false">IF($A110="","",AL109*$E109)</f>
        <v>#NAME?</v>
      </c>
      <c r="AX109" s="195" t="e">
        <f aca="false">IF($A110="","",AM109*$E109)</f>
        <v>#N/A</v>
      </c>
      <c r="AY109" s="195" t="e">
        <f aca="false">IF($A110="","",AN109*$E109)</f>
        <v>#N/A</v>
      </c>
      <c r="BA109" s="195" t="n">
        <f aca="false">IF($A110="","",F109*Summary!$Q$12)</f>
        <v>0</v>
      </c>
      <c r="BC109" s="179" t="e">
        <f aca="false">IF(A110="","",AM109*F109)</f>
        <v>#N/A</v>
      </c>
    </row>
    <row r="110" customFormat="false" ht="12.75" hidden="false" customHeight="false" outlineLevel="0" collapsed="false">
      <c r="A110" s="196" t="n">
        <f aca="false">IF(A109&lt;mthend,EDATE(A109,1),"")</f>
        <v>40087</v>
      </c>
      <c r="B110" s="197" t="n">
        <f aca="false">IF(A110&lt;mthend,B109,"")</f>
        <v>36522</v>
      </c>
      <c r="C110" s="215"/>
      <c r="D110" s="197" t="n">
        <f aca="false">IF(A111&lt;&gt;"",B110+C110,"")</f>
        <v>36522</v>
      </c>
      <c r="E110" s="199" t="n">
        <f aca="false">IF(A111="","",IF(AND(AT110=1,$H$3=1),D110*AO110,IF($H$3=2,D110,"N/A")))</f>
        <v>1132182</v>
      </c>
      <c r="F110" s="199" t="n">
        <f aca="false">IF(A111="","",E110*AS110)</f>
        <v>5387579.41417273</v>
      </c>
      <c r="G110" s="200" t="e">
        <f aca="false">IF($A111="","",VLOOKUP($A110,Table,MATCH(G$4,Curves,0)))</f>
        <v>#N/A</v>
      </c>
      <c r="H110" s="201" t="e">
        <f aca="false">IF(A111="","",G110)</f>
        <v>#N/A</v>
      </c>
      <c r="I110" s="202"/>
      <c r="J110" s="200" t="e">
        <f aca="false">IF($A111="","",VLOOKUP($A110,Table,MATCH(J$4,Curves,0)))</f>
        <v>#N/A</v>
      </c>
      <c r="K110" s="201" t="e">
        <f aca="false">IF(A111="","",J110)</f>
        <v>#N/A</v>
      </c>
      <c r="L110" s="200" t="e">
        <f aca="false">IF($A111="","",VLOOKUP($A110,Table,MATCH(L$4,Curves,0)))</f>
        <v>#N/A</v>
      </c>
      <c r="M110" s="201" t="e">
        <f aca="false">IF(A111="","",L110)</f>
        <v>#N/A</v>
      </c>
      <c r="N110" s="203"/>
      <c r="O110" s="200" t="e">
        <f aca="false">IF(A111="","",L110+J110+G110)</f>
        <v>#N/A</v>
      </c>
      <c r="P110" s="200" t="e">
        <f aca="false">IF(A111="","",M110+K110+H110)</f>
        <v>#N/A</v>
      </c>
      <c r="Q110" s="204"/>
      <c r="R110" s="200" t="e">
        <f aca="false">IF($A111="","",VLOOKUP($A110,Table,MATCH(R$4,Curves,0)))</f>
        <v>#N/A</v>
      </c>
      <c r="S110" s="201" t="e">
        <f aca="false">IF(A111="","",R110)</f>
        <v>#N/A</v>
      </c>
      <c r="T110" s="200" t="e">
        <f aca="false">IF($A111="","",VLOOKUP($A110,Table,MATCH(T$4,Curves,0)))</f>
        <v>#N/A</v>
      </c>
      <c r="U110" s="201" t="e">
        <f aca="false">IF(A111="","",T110)</f>
        <v>#N/A</v>
      </c>
      <c r="V110" s="225" t="e">
        <f aca="false">IF($A111="","",IF(AND(MONTH(A110)&gt;3,MONTH(A110)&lt;11),(T110+R110+G110)*(((1/(1-Summary!$T$12))/(1-Summary!$W$12))-1),(T110+R110+G110)*((1/(1-Summary!$U$12))/(1-Summary!$X$12)-1)))</f>
        <v>#N/A</v>
      </c>
      <c r="W110" s="200" t="e">
        <f aca="false">IF($A111="","",(T110+R110+G110+V110))</f>
        <v>#N/A</v>
      </c>
      <c r="X110" s="200" t="e">
        <f aca="false">IF($A111="","",(U110+S110+H110+V110))</f>
        <v>#N/A</v>
      </c>
      <c r="Y110" s="202"/>
      <c r="Z110" s="185" t="e">
        <f aca="false">IF($A111="","",VLOOKUP($A110,Table,MATCH(Z$4,Curves,0)))</f>
        <v>#N/A</v>
      </c>
      <c r="AA110" s="185" t="e">
        <f aca="false">IF($A111="","",VLOOKUP($A110,Table,MATCH(AA$4,Curves,0)))</f>
        <v>#N/A</v>
      </c>
      <c r="AB110" s="185" t="e">
        <f aca="false">SQRT((AA110^2*(A110-$D$3)+Z110^2*(DAY(EOMONTH(A110,0))/2))/AK110)</f>
        <v>#N/A</v>
      </c>
      <c r="AC110" s="185" t="e">
        <f aca="false">IF($A111="","",VLOOKUP($A110,Table,MATCH(AC$4,Curves,0)))</f>
        <v>#N/A</v>
      </c>
      <c r="AD110" s="185" t="e">
        <f aca="false">IF($A111="","",VLOOKUP($A110,Table,MATCH(AD$4,Curves,0)))</f>
        <v>#N/A</v>
      </c>
      <c r="AE110" s="185" t="e">
        <f aca="false">SQRT((AD110^2*(A110-$D$3)+AC110^2*(DAY(EOMONTH(A110,0))/2))/AK110)</f>
        <v>#N/A</v>
      </c>
      <c r="AF110" s="206" t="e">
        <f aca="false">((Summary!$N$12*(AA110*AD110)*(A110-$D$3))+(Summary!$M$12*Z110*AC110*(AJ110-EOMONTH(EDATE(A110,-1),0))))/(AK110*AB110*AE110)</f>
        <v>#N/A</v>
      </c>
      <c r="AG110" s="207" t="n">
        <f aca="false">IF($A111="","",Summary!$Q$12)</f>
        <v>0</v>
      </c>
      <c r="AH110" s="207" t="n">
        <f aca="false">IF($A111="","",IF(Summary!$R$12="Y",(VLOOKUP($A110,Summary!$AD$6:$AF$9,3)+'Escalating commodity'!H123),'Escalating commodity'!H123))</f>
        <v>0.029</v>
      </c>
      <c r="AI110" s="207" t="n">
        <f aca="false">IF($A111="","",AH110)</f>
        <v>0.029</v>
      </c>
      <c r="AJ110" s="208" t="n">
        <f aca="false">A110+DAY(EOMONTH(A110,0))/2-1</f>
        <v>40101.5</v>
      </c>
      <c r="AK110" s="209" t="n">
        <f aca="false">IF($A111="","",$A110-$E$1)</f>
        <v>-5839</v>
      </c>
      <c r="AL110" s="182" t="e">
        <f aca="false">IF($A111="","",SPRDOPT(P110,X110,AI110,0,AB110,AE110,AF110,AK110,$AJ$2,0))</f>
        <v>#NAME?</v>
      </c>
      <c r="AM110" s="211" t="e">
        <f aca="false">IF($A111="","",MAX(0,O110-W110-AI110))</f>
        <v>#N/A</v>
      </c>
      <c r="AN110" s="211" t="e">
        <f aca="false">IF($A111="","",AL110-AM110)</f>
        <v>#N/A</v>
      </c>
      <c r="AO110" s="137" t="n">
        <f aca="false">IF(A111="","",A111-A110)</f>
        <v>31</v>
      </c>
      <c r="AP110" s="212" t="n">
        <f aca="false">IF(A111="","",CHOOSE(F$3,A111+24,A110))</f>
        <v>40087</v>
      </c>
      <c r="AQ110" s="209" t="n">
        <f aca="false">IF(A111="","",AP110-$E$1)</f>
        <v>-5839</v>
      </c>
      <c r="AR110" s="185" t="n">
        <f aca="false">'ANR OK vs ML7'!AR110</f>
        <v>0.1</v>
      </c>
      <c r="AS110" s="213" t="n">
        <f aca="false">IF(A111="","",1/(1+CHOOSE(F$3,(AR111+($I$3/10000))/2,(AR110+($I$3/10000))/2))^(2*AQ110/365.25))</f>
        <v>4.75858070007537</v>
      </c>
      <c r="AT110" s="137" t="n">
        <f aca="false">IF(A111="","",IF(AND(mthbeg&lt;=A110,mthend&gt;=A110),1,0))</f>
        <v>1</v>
      </c>
      <c r="AU110" s="137" t="n">
        <f aca="false">IF(A111="","",AO110*AT110)</f>
        <v>31</v>
      </c>
      <c r="AW110" s="195" t="e">
        <f aca="false">IF($A111="","",AL110*$E110)</f>
        <v>#NAME?</v>
      </c>
      <c r="AX110" s="195" t="e">
        <f aca="false">IF($A111="","",AM110*$E110)</f>
        <v>#N/A</v>
      </c>
      <c r="AY110" s="195" t="e">
        <f aca="false">IF($A111="","",AN110*$E110)</f>
        <v>#N/A</v>
      </c>
      <c r="BA110" s="195" t="n">
        <f aca="false">IF($A111="","",F110*Summary!$Q$12)</f>
        <v>0</v>
      </c>
      <c r="BC110" s="179" t="e">
        <f aca="false">IF(A111="","",AM110*F110)</f>
        <v>#N/A</v>
      </c>
    </row>
    <row r="111" customFormat="false" ht="12.75" hidden="false" customHeight="false" outlineLevel="0" collapsed="false">
      <c r="A111" s="196" t="n">
        <f aca="false">IF(A110&lt;mthend,EDATE(A110,1),"")</f>
        <v>40118</v>
      </c>
      <c r="B111" s="197" t="n">
        <f aca="false">IF(A111&lt;mthend,B110,"")</f>
        <v>36522</v>
      </c>
      <c r="C111" s="215"/>
      <c r="D111" s="197" t="n">
        <f aca="false">IF(A112&lt;&gt;"",B111+C111,"")</f>
        <v>36522</v>
      </c>
      <c r="E111" s="199" t="n">
        <f aca="false">IF(A112="","",IF(AND(AT111=1,$H$3=1),D111*AO111,IF($H$3=2,D111,"N/A")))</f>
        <v>1095660</v>
      </c>
      <c r="F111" s="199" t="n">
        <f aca="false">IF(A112="","",E111*AS111)</f>
        <v>5170784.41408948</v>
      </c>
      <c r="G111" s="200" t="e">
        <f aca="false">IF($A112="","",VLOOKUP($A111,Table,MATCH(G$4,Curves,0)))</f>
        <v>#N/A</v>
      </c>
      <c r="H111" s="201" t="e">
        <f aca="false">IF(A112="","",G111)</f>
        <v>#N/A</v>
      </c>
      <c r="I111" s="202"/>
      <c r="J111" s="200" t="e">
        <f aca="false">IF($A112="","",VLOOKUP($A111,Table,MATCH(J$4,Curves,0)))</f>
        <v>#N/A</v>
      </c>
      <c r="K111" s="201" t="e">
        <f aca="false">IF(A112="","",J111)</f>
        <v>#N/A</v>
      </c>
      <c r="L111" s="200" t="e">
        <f aca="false">IF($A112="","",VLOOKUP($A111,Table,MATCH(L$4,Curves,0)))</f>
        <v>#N/A</v>
      </c>
      <c r="M111" s="201" t="e">
        <f aca="false">IF(A112="","",L111)</f>
        <v>#N/A</v>
      </c>
      <c r="N111" s="203"/>
      <c r="O111" s="200" t="e">
        <f aca="false">IF(A112="","",L111+J111+G111)</f>
        <v>#N/A</v>
      </c>
      <c r="P111" s="200" t="e">
        <f aca="false">IF(A112="","",M111+K111+H111)</f>
        <v>#N/A</v>
      </c>
      <c r="Q111" s="204"/>
      <c r="R111" s="200" t="e">
        <f aca="false">IF($A112="","",VLOOKUP($A111,Table,MATCH(R$4,Curves,0)))</f>
        <v>#N/A</v>
      </c>
      <c r="S111" s="201" t="e">
        <f aca="false">IF(A112="","",R111)</f>
        <v>#N/A</v>
      </c>
      <c r="T111" s="200" t="e">
        <f aca="false">IF($A112="","",VLOOKUP($A111,Table,MATCH(T$4,Curves,0)))</f>
        <v>#N/A</v>
      </c>
      <c r="U111" s="201" t="e">
        <f aca="false">IF(A112="","",T111)</f>
        <v>#N/A</v>
      </c>
      <c r="V111" s="225" t="e">
        <f aca="false">IF($A112="","",IF(AND(MONTH(A111)&gt;3,MONTH(A111)&lt;11),(T111+R111+G111)*(((1/(1-Summary!$T$12))/(1-Summary!$W$12))-1),(T111+R111+G111)*((1/(1-Summary!$U$12))/(1-Summary!$X$12)-1)))</f>
        <v>#N/A</v>
      </c>
      <c r="W111" s="200" t="e">
        <f aca="false">IF($A112="","",(T111+R111+G111+V111))</f>
        <v>#N/A</v>
      </c>
      <c r="X111" s="200" t="e">
        <f aca="false">IF($A112="","",(U111+S111+H111+V111))</f>
        <v>#N/A</v>
      </c>
      <c r="Y111" s="202"/>
      <c r="Z111" s="185" t="e">
        <f aca="false">IF($A112="","",VLOOKUP($A111,Table,MATCH(Z$4,Curves,0)))</f>
        <v>#N/A</v>
      </c>
      <c r="AA111" s="185" t="e">
        <f aca="false">IF($A112="","",VLOOKUP($A111,Table,MATCH(AA$4,Curves,0)))</f>
        <v>#N/A</v>
      </c>
      <c r="AB111" s="185" t="e">
        <f aca="false">SQRT((AA111^2*(A111-$D$3)+Z111^2*(DAY(EOMONTH(A111,0))/2))/AK111)</f>
        <v>#N/A</v>
      </c>
      <c r="AC111" s="185" t="e">
        <f aca="false">IF($A112="","",VLOOKUP($A111,Table,MATCH(AC$4,Curves,0)))</f>
        <v>#N/A</v>
      </c>
      <c r="AD111" s="185" t="e">
        <f aca="false">IF($A112="","",VLOOKUP($A111,Table,MATCH(AD$4,Curves,0)))</f>
        <v>#N/A</v>
      </c>
      <c r="AE111" s="185" t="e">
        <f aca="false">SQRT((AD111^2*(A111-$D$3)+AC111^2*(DAY(EOMONTH(A111,0))/2))/AK111)</f>
        <v>#N/A</v>
      </c>
      <c r="AF111" s="206" t="e">
        <f aca="false">((Summary!$N$12*(AA111*AD111)*(A111-$D$3))+(Summary!$M$12*Z111*AC111*(AJ111-EOMONTH(EDATE(A111,-1),0))))/(AK111*AB111*AE111)</f>
        <v>#N/A</v>
      </c>
      <c r="AG111" s="207" t="n">
        <f aca="false">IF($A112="","",Summary!$Q$12)</f>
        <v>0</v>
      </c>
      <c r="AH111" s="207" t="n">
        <f aca="false">IF($A112="","",IF(Summary!$R$12="Y",(VLOOKUP($A111,Summary!$AD$6:$AF$9,3)+'Escalating commodity'!H124),'Escalating commodity'!H124))</f>
        <v>0.029</v>
      </c>
      <c r="AI111" s="207" t="n">
        <f aca="false">IF($A112="","",AH111)</f>
        <v>0.029</v>
      </c>
      <c r="AJ111" s="208" t="n">
        <f aca="false">A111+DAY(EOMONTH(A111,0))/2-1</f>
        <v>40132</v>
      </c>
      <c r="AK111" s="209" t="n">
        <f aca="false">IF($A112="","",$A111-$E$1)</f>
        <v>-5808</v>
      </c>
      <c r="AL111" s="182" t="e">
        <f aca="false">IF($A112="","",SPRDOPT(P111,X111,AI111,0,AB111,AE111,AF111,AK111,$AJ$2,0))</f>
        <v>#NAME?</v>
      </c>
      <c r="AM111" s="211" t="e">
        <f aca="false">IF($A112="","",MAX(0,O111-W111-AI111))</f>
        <v>#N/A</v>
      </c>
      <c r="AN111" s="211" t="e">
        <f aca="false">IF($A112="","",AL111-AM111)</f>
        <v>#N/A</v>
      </c>
      <c r="AO111" s="137" t="n">
        <f aca="false">IF(A112="","",A112-A111)</f>
        <v>30</v>
      </c>
      <c r="AP111" s="212" t="n">
        <f aca="false">IF(A112="","",CHOOSE(F$3,A112+24,A111))</f>
        <v>40118</v>
      </c>
      <c r="AQ111" s="209" t="n">
        <f aca="false">IF(A112="","",AP111-$E$1)</f>
        <v>-5808</v>
      </c>
      <c r="AR111" s="185" t="n">
        <f aca="false">'ANR OK vs ML7'!AR111</f>
        <v>0.1</v>
      </c>
      <c r="AS111" s="213" t="n">
        <f aca="false">IF(A112="","",1/(1+CHOOSE(F$3,(AR112+($I$3/10000))/2,(AR111+($I$3/10000))/2))^(2*AQ111/365.25))</f>
        <v>4.71933301762361</v>
      </c>
      <c r="AT111" s="137" t="n">
        <f aca="false">IF(A112="","",IF(AND(mthbeg&lt;=A111,mthend&gt;=A111),1,0))</f>
        <v>1</v>
      </c>
      <c r="AU111" s="137" t="n">
        <f aca="false">IF(A112="","",AO111*AT111)</f>
        <v>30</v>
      </c>
      <c r="AW111" s="195" t="e">
        <f aca="false">IF($A112="","",AL111*$E111)</f>
        <v>#NAME?</v>
      </c>
      <c r="AX111" s="195" t="e">
        <f aca="false">IF($A112="","",AM111*$E111)</f>
        <v>#N/A</v>
      </c>
      <c r="AY111" s="195" t="e">
        <f aca="false">IF($A112="","",AN111*$E111)</f>
        <v>#N/A</v>
      </c>
      <c r="BA111" s="195" t="n">
        <f aca="false">IF($A112="","",F111*Summary!$Q$12)</f>
        <v>0</v>
      </c>
      <c r="BC111" s="179" t="e">
        <f aca="false">IF(A112="","",AM111*F111)</f>
        <v>#N/A</v>
      </c>
    </row>
    <row r="112" customFormat="false" ht="12.75" hidden="false" customHeight="false" outlineLevel="0" collapsed="false">
      <c r="A112" s="196" t="n">
        <f aca="false">IF(A111&lt;mthend,EDATE(A111,1),"")</f>
        <v>40148</v>
      </c>
      <c r="B112" s="197" t="n">
        <f aca="false">IF(A112&lt;mthend,B111,"")</f>
        <v>36522</v>
      </c>
      <c r="C112" s="215"/>
      <c r="D112" s="197" t="n">
        <f aca="false">IF(A113&lt;&gt;"",B112+C112,"")</f>
        <v>36522</v>
      </c>
      <c r="E112" s="199" t="n">
        <f aca="false">IF(A113="","",IF(AND(AT112=1,$H$3=1),D112*AO112,IF($H$3=2,D112,"N/A")))</f>
        <v>1132182</v>
      </c>
      <c r="F112" s="199" t="n">
        <f aca="false">IF(A113="","",E112*AS112)</f>
        <v>5300490.76089777</v>
      </c>
      <c r="G112" s="200" t="e">
        <f aca="false">IF($A113="","",VLOOKUP($A112,Table,MATCH(G$4,Curves,0)))</f>
        <v>#N/A</v>
      </c>
      <c r="H112" s="201" t="e">
        <f aca="false">IF(A113="","",G112)</f>
        <v>#N/A</v>
      </c>
      <c r="I112" s="202"/>
      <c r="J112" s="200" t="e">
        <f aca="false">IF($A113="","",VLOOKUP($A112,Table,MATCH(J$4,Curves,0)))</f>
        <v>#N/A</v>
      </c>
      <c r="K112" s="201" t="e">
        <f aca="false">IF(A113="","",J112)</f>
        <v>#N/A</v>
      </c>
      <c r="L112" s="200" t="e">
        <f aca="false">IF($A113="","",VLOOKUP($A112,Table,MATCH(L$4,Curves,0)))</f>
        <v>#N/A</v>
      </c>
      <c r="M112" s="201" t="e">
        <f aca="false">IF(A113="","",L112)</f>
        <v>#N/A</v>
      </c>
      <c r="N112" s="203"/>
      <c r="O112" s="200" t="e">
        <f aca="false">IF(A113="","",L112+J112+G112)</f>
        <v>#N/A</v>
      </c>
      <c r="P112" s="200" t="e">
        <f aca="false">IF(A113="","",M112+K112+H112)</f>
        <v>#N/A</v>
      </c>
      <c r="Q112" s="204"/>
      <c r="R112" s="200" t="e">
        <f aca="false">IF($A113="","",VLOOKUP($A112,Table,MATCH(R$4,Curves,0)))</f>
        <v>#N/A</v>
      </c>
      <c r="S112" s="201" t="e">
        <f aca="false">IF(A113="","",R112)</f>
        <v>#N/A</v>
      </c>
      <c r="T112" s="200" t="e">
        <f aca="false">IF($A113="","",VLOOKUP($A112,Table,MATCH(T$4,Curves,0)))</f>
        <v>#N/A</v>
      </c>
      <c r="U112" s="201" t="e">
        <f aca="false">IF(A113="","",T112)</f>
        <v>#N/A</v>
      </c>
      <c r="V112" s="225" t="e">
        <f aca="false">IF($A113="","",IF(AND(MONTH(A112)&gt;3,MONTH(A112)&lt;11),(T112+R112+G112)*(((1/(1-Summary!$T$12))/(1-Summary!$W$12))-1),(T112+R112+G112)*((1/(1-Summary!$U$12))/(1-Summary!$X$12)-1)))</f>
        <v>#N/A</v>
      </c>
      <c r="W112" s="200" t="e">
        <f aca="false">IF($A113="","",(T112+R112+G112+V112))</f>
        <v>#N/A</v>
      </c>
      <c r="X112" s="200" t="e">
        <f aca="false">IF($A113="","",(U112+S112+H112+V112))</f>
        <v>#N/A</v>
      </c>
      <c r="Y112" s="202"/>
      <c r="Z112" s="185" t="e">
        <f aca="false">IF($A113="","",VLOOKUP($A112,Table,MATCH(Z$4,Curves,0)))</f>
        <v>#N/A</v>
      </c>
      <c r="AA112" s="185" t="e">
        <f aca="false">IF($A113="","",VLOOKUP($A112,Table,MATCH(AA$4,Curves,0)))</f>
        <v>#N/A</v>
      </c>
      <c r="AB112" s="185" t="e">
        <f aca="false">SQRT((AA112^2*(A112-$D$3)+Z112^2*(DAY(EOMONTH(A112,0))/2))/AK112)</f>
        <v>#N/A</v>
      </c>
      <c r="AC112" s="185" t="e">
        <f aca="false">IF($A113="","",VLOOKUP($A112,Table,MATCH(AC$4,Curves,0)))</f>
        <v>#N/A</v>
      </c>
      <c r="AD112" s="185" t="e">
        <f aca="false">IF($A113="","",VLOOKUP($A112,Table,MATCH(AD$4,Curves,0)))</f>
        <v>#N/A</v>
      </c>
      <c r="AE112" s="185" t="e">
        <f aca="false">SQRT((AD112^2*(A112-$D$3)+AC112^2*(DAY(EOMONTH(A112,0))/2))/AK112)</f>
        <v>#N/A</v>
      </c>
      <c r="AF112" s="206" t="e">
        <f aca="false">((Summary!$N$12*(AA112*AD112)*(A112-$D$3))+(Summary!$M$12*Z112*AC112*(AJ112-EOMONTH(EDATE(A112,-1),0))))/(AK112*AB112*AE112)</f>
        <v>#N/A</v>
      </c>
      <c r="AG112" s="207" t="n">
        <f aca="false">IF($A113="","",Summary!$Q$12)</f>
        <v>0</v>
      </c>
      <c r="AH112" s="207" t="n">
        <f aca="false">IF($A113="","",IF(Summary!$R$12="Y",(VLOOKUP($A112,Summary!$AD$6:$AF$9,3)+'Escalating commodity'!H125),'Escalating commodity'!H125))</f>
        <v>0.029</v>
      </c>
      <c r="AI112" s="207" t="n">
        <f aca="false">IF($A113="","",AH112)</f>
        <v>0.029</v>
      </c>
      <c r="AJ112" s="208" t="n">
        <f aca="false">A112+DAY(EOMONTH(A112,0))/2-1</f>
        <v>40162.5</v>
      </c>
      <c r="AK112" s="209" t="n">
        <f aca="false">IF($A113="","",$A112-$E$1)</f>
        <v>-5778</v>
      </c>
      <c r="AL112" s="182" t="e">
        <f aca="false">IF($A113="","",SPRDOPT(P112,X112,AI112,0,AB112,AE112,AF112,AK112,$AJ$2,0))</f>
        <v>#NAME?</v>
      </c>
      <c r="AM112" s="211" t="e">
        <f aca="false">IF($A113="","",MAX(0,O112-W112-AI112))</f>
        <v>#N/A</v>
      </c>
      <c r="AN112" s="211" t="e">
        <f aca="false">IF($A113="","",AL112-AM112)</f>
        <v>#N/A</v>
      </c>
      <c r="AO112" s="137" t="n">
        <f aca="false">IF(A113="","",A113-A112)</f>
        <v>31</v>
      </c>
      <c r="AP112" s="212" t="n">
        <f aca="false">IF(A113="","",CHOOSE(F$3,A113+24,A112))</f>
        <v>40148</v>
      </c>
      <c r="AQ112" s="209" t="n">
        <f aca="false">IF(A113="","",AP112-$E$1)</f>
        <v>-5778</v>
      </c>
      <c r="AR112" s="185" t="n">
        <f aca="false">'ANR OK vs ML7'!AR112</f>
        <v>0.1</v>
      </c>
      <c r="AS112" s="213" t="n">
        <f aca="false">IF(A113="","",1/(1+CHOOSE(F$3,(AR113+($I$3/10000))/2,(AR112+($I$3/10000))/2))^(2*AQ112/365.25))</f>
        <v>4.68165962795537</v>
      </c>
      <c r="AT112" s="137" t="n">
        <f aca="false">IF(A113="","",IF(AND(mthbeg&lt;=A112,mthend&gt;=A112),1,0))</f>
        <v>1</v>
      </c>
      <c r="AU112" s="137" t="n">
        <f aca="false">IF(A113="","",AO112*AT112)</f>
        <v>31</v>
      </c>
      <c r="AW112" s="195" t="e">
        <f aca="false">IF($A113="","",AL112*$E112)</f>
        <v>#NAME?</v>
      </c>
      <c r="AX112" s="195" t="e">
        <f aca="false">IF($A113="","",AM112*$E112)</f>
        <v>#N/A</v>
      </c>
      <c r="AY112" s="195" t="e">
        <f aca="false">IF($A113="","",AN112*$E112)</f>
        <v>#N/A</v>
      </c>
      <c r="BA112" s="195" t="n">
        <f aca="false">IF($A113="","",F112*Summary!$Q$12)</f>
        <v>0</v>
      </c>
      <c r="BC112" s="179" t="e">
        <f aca="false">IF(A113="","",AM112*F112)</f>
        <v>#N/A</v>
      </c>
    </row>
    <row r="113" customFormat="false" ht="12.75" hidden="false" customHeight="false" outlineLevel="0" collapsed="false">
      <c r="A113" s="196" t="n">
        <f aca="false">IF(A112&lt;mthend,EDATE(A112,1),"")</f>
        <v>40179</v>
      </c>
      <c r="B113" s="197" t="n">
        <f aca="false">IF(A113&lt;mthend,B112,"")</f>
        <v>36522</v>
      </c>
      <c r="C113" s="215"/>
      <c r="D113" s="197" t="n">
        <f aca="false">IF(A114&lt;&gt;"",B113+C113,"")</f>
        <v>36522</v>
      </c>
      <c r="E113" s="199" t="n">
        <f aca="false">IF(A114="","",IF(AND(AT113=1,$H$3=1),D113*AO113,IF($H$3=2,D113,"N/A")))</f>
        <v>1132182</v>
      </c>
      <c r="F113" s="199" t="n">
        <f aca="false">IF(A114="","",E113*AS113)</f>
        <v>5256773.52852659</v>
      </c>
      <c r="G113" s="200" t="e">
        <f aca="false">IF($A114="","",VLOOKUP($A113,Table,MATCH(G$4,Curves,0)))</f>
        <v>#N/A</v>
      </c>
      <c r="H113" s="201" t="e">
        <f aca="false">IF(A114="","",G113)</f>
        <v>#N/A</v>
      </c>
      <c r="I113" s="202"/>
      <c r="J113" s="200" t="e">
        <f aca="false">IF($A114="","",VLOOKUP($A113,Table,MATCH(J$4,Curves,0)))</f>
        <v>#N/A</v>
      </c>
      <c r="K113" s="201" t="e">
        <f aca="false">IF(A114="","",J113)</f>
        <v>#N/A</v>
      </c>
      <c r="L113" s="200" t="e">
        <f aca="false">IF($A114="","",VLOOKUP($A113,Table,MATCH(L$4,Curves,0)))</f>
        <v>#N/A</v>
      </c>
      <c r="M113" s="201" t="e">
        <f aca="false">IF(A114="","",L113)</f>
        <v>#N/A</v>
      </c>
      <c r="N113" s="203"/>
      <c r="O113" s="200" t="e">
        <f aca="false">IF(A114="","",L113+J113+G113)</f>
        <v>#N/A</v>
      </c>
      <c r="P113" s="200" t="e">
        <f aca="false">IF(A114="","",M113+K113+H113)</f>
        <v>#N/A</v>
      </c>
      <c r="Q113" s="204"/>
      <c r="R113" s="200" t="e">
        <f aca="false">IF($A114="","",VLOOKUP($A113,Table,MATCH(R$4,Curves,0)))</f>
        <v>#N/A</v>
      </c>
      <c r="S113" s="201" t="e">
        <f aca="false">IF(A114="","",R113)</f>
        <v>#N/A</v>
      </c>
      <c r="T113" s="200" t="e">
        <f aca="false">IF($A114="","",VLOOKUP($A113,Table,MATCH(T$4,Curves,0)))</f>
        <v>#N/A</v>
      </c>
      <c r="U113" s="201" t="e">
        <f aca="false">IF(A114="","",T113)</f>
        <v>#N/A</v>
      </c>
      <c r="V113" s="225" t="e">
        <f aca="false">IF($A114="","",IF(AND(MONTH(A113)&gt;3,MONTH(A113)&lt;11),(T113+R113+G113)*(((1/(1-Summary!$T$12))/(1-Summary!$W$12))-1),(T113+R113+G113)*((1/(1-Summary!$U$12))/(1-Summary!$X$12)-1)))</f>
        <v>#N/A</v>
      </c>
      <c r="W113" s="200" t="e">
        <f aca="false">IF($A114="","",(T113+R113+G113+V113))</f>
        <v>#N/A</v>
      </c>
      <c r="X113" s="200" t="e">
        <f aca="false">IF($A114="","",(U113+S113+H113+V113))</f>
        <v>#N/A</v>
      </c>
      <c r="Y113" s="202"/>
      <c r="Z113" s="185" t="e">
        <f aca="false">IF($A114="","",VLOOKUP($A113,Table,MATCH(Z$4,Curves,0)))</f>
        <v>#N/A</v>
      </c>
      <c r="AA113" s="185" t="e">
        <f aca="false">IF($A114="","",VLOOKUP($A113,Table,MATCH(AA$4,Curves,0)))</f>
        <v>#N/A</v>
      </c>
      <c r="AB113" s="185" t="e">
        <f aca="false">SQRT((AA113^2*(A113-$D$3)+Z113^2*(DAY(EOMONTH(A113,0))/2))/AK113)</f>
        <v>#N/A</v>
      </c>
      <c r="AC113" s="185" t="e">
        <f aca="false">IF($A114="","",VLOOKUP($A113,Table,MATCH(AC$4,Curves,0)))</f>
        <v>#N/A</v>
      </c>
      <c r="AD113" s="185" t="e">
        <f aca="false">IF($A114="","",VLOOKUP($A113,Table,MATCH(AD$4,Curves,0)))</f>
        <v>#N/A</v>
      </c>
      <c r="AE113" s="185" t="e">
        <f aca="false">SQRT((AD113^2*(A113-$D$3)+AC113^2*(DAY(EOMONTH(A113,0))/2))/AK113)</f>
        <v>#N/A</v>
      </c>
      <c r="AF113" s="206" t="e">
        <f aca="false">((Summary!$N$12*(AA113*AD113)*(A113-$D$3))+(Summary!$M$12*Z113*AC113*(AJ113-EOMONTH(EDATE(A113,-1),0))))/(AK113*AB113*AE113)</f>
        <v>#N/A</v>
      </c>
      <c r="AG113" s="207" t="n">
        <f aca="false">IF($A114="","",Summary!$Q$12)</f>
        <v>0</v>
      </c>
      <c r="AH113" s="207" t="n">
        <f aca="false">IF($A114="","",IF(Summary!$R$12="Y",(VLOOKUP($A113,Summary!$AD$6:$AF$9,3)+'Escalating commodity'!H126),'Escalating commodity'!H126))</f>
        <v>0.029</v>
      </c>
      <c r="AI113" s="207" t="n">
        <f aca="false">IF($A114="","",AH113)</f>
        <v>0.029</v>
      </c>
      <c r="AJ113" s="208" t="n">
        <f aca="false">A113+DAY(EOMONTH(A113,0))/2-1</f>
        <v>40193.5</v>
      </c>
      <c r="AK113" s="209" t="n">
        <f aca="false">IF($A114="","",$A113-$E$1)</f>
        <v>-5747</v>
      </c>
      <c r="AL113" s="182" t="e">
        <f aca="false">IF($A114="","",SPRDOPT(P113,X113,AI113,0,AB113,AE113,AF113,AK113,$AJ$2,0))</f>
        <v>#NAME?</v>
      </c>
      <c r="AM113" s="211" t="e">
        <f aca="false">IF($A114="","",MAX(0,O113-W113-AI113))</f>
        <v>#N/A</v>
      </c>
      <c r="AN113" s="211" t="e">
        <f aca="false">IF($A114="","",AL113-AM113)</f>
        <v>#N/A</v>
      </c>
      <c r="AO113" s="137" t="n">
        <f aca="false">IF(A114="","",A114-A113)</f>
        <v>31</v>
      </c>
      <c r="AP113" s="212" t="n">
        <f aca="false">IF(A114="","",CHOOSE(F$3,A114+24,A113))</f>
        <v>40179</v>
      </c>
      <c r="AQ113" s="209" t="n">
        <f aca="false">IF(A114="","",AP113-$E$1)</f>
        <v>-5747</v>
      </c>
      <c r="AR113" s="185" t="n">
        <f aca="false">'ANR OK vs ML7'!AR113</f>
        <v>0.1</v>
      </c>
      <c r="AS113" s="213" t="n">
        <f aca="false">IF(A114="","",1/(1+CHOOSE(F$3,(AR114+($I$3/10000))/2,(AR113+($I$3/10000))/2))^(2*AQ113/365.25))</f>
        <v>4.64304637286814</v>
      </c>
      <c r="AT113" s="137" t="n">
        <f aca="false">IF(A114="","",IF(AND(mthbeg&lt;=A113,mthend&gt;=A113),1,0))</f>
        <v>1</v>
      </c>
      <c r="AU113" s="137" t="n">
        <f aca="false">IF(A114="","",AO113*AT113)</f>
        <v>31</v>
      </c>
      <c r="AW113" s="195" t="e">
        <f aca="false">IF($A114="","",AL113*$E113)</f>
        <v>#NAME?</v>
      </c>
      <c r="AX113" s="195" t="e">
        <f aca="false">IF($A114="","",AM113*$E113)</f>
        <v>#N/A</v>
      </c>
      <c r="AY113" s="195" t="e">
        <f aca="false">IF($A114="","",AN113*$E113)</f>
        <v>#N/A</v>
      </c>
      <c r="BA113" s="195" t="n">
        <f aca="false">IF($A114="","",F113*Summary!$Q$12)</f>
        <v>0</v>
      </c>
      <c r="BC113" s="179" t="e">
        <f aca="false">IF(A114="","",AM113*F113)</f>
        <v>#N/A</v>
      </c>
    </row>
    <row r="114" customFormat="false" ht="12.75" hidden="false" customHeight="false" outlineLevel="0" collapsed="false">
      <c r="A114" s="196" t="n">
        <f aca="false">IF(A113&lt;mthend,EDATE(A113,1),"")</f>
        <v>40210</v>
      </c>
      <c r="B114" s="197" t="n">
        <f aca="false">IF(A114&lt;mthend,B113,"")</f>
        <v>36522</v>
      </c>
      <c r="C114" s="215"/>
      <c r="D114" s="197" t="n">
        <f aca="false">IF(A115&lt;&gt;"",B114+C114,"")</f>
        <v>36522</v>
      </c>
      <c r="E114" s="199" t="n">
        <f aca="false">IF(A115="","",IF(AND(AT114=1,$H$3=1),D114*AO114,IF($H$3=2,D114,"N/A")))</f>
        <v>1022616</v>
      </c>
      <c r="F114" s="199" t="n">
        <f aca="false">IF(A115="","",E114*AS114)</f>
        <v>4708892.65303797</v>
      </c>
      <c r="G114" s="200" t="e">
        <f aca="false">IF($A115="","",VLOOKUP($A114,Table,MATCH(G$4,Curves,0)))</f>
        <v>#N/A</v>
      </c>
      <c r="H114" s="201" t="e">
        <f aca="false">IF(A115="","",G114)</f>
        <v>#N/A</v>
      </c>
      <c r="I114" s="202"/>
      <c r="J114" s="200" t="e">
        <f aca="false">IF($A115="","",VLOOKUP($A114,Table,MATCH(J$4,Curves,0)))</f>
        <v>#N/A</v>
      </c>
      <c r="K114" s="201" t="e">
        <f aca="false">IF(A115="","",J114)</f>
        <v>#N/A</v>
      </c>
      <c r="L114" s="200" t="e">
        <f aca="false">IF($A115="","",VLOOKUP($A114,Table,MATCH(L$4,Curves,0)))</f>
        <v>#N/A</v>
      </c>
      <c r="M114" s="201" t="e">
        <f aca="false">IF(A115="","",L114)</f>
        <v>#N/A</v>
      </c>
      <c r="N114" s="203"/>
      <c r="O114" s="200" t="e">
        <f aca="false">IF(A115="","",L114+J114+G114)</f>
        <v>#N/A</v>
      </c>
      <c r="P114" s="200" t="e">
        <f aca="false">IF(A115="","",M114+K114+H114)</f>
        <v>#N/A</v>
      </c>
      <c r="Q114" s="204"/>
      <c r="R114" s="200" t="e">
        <f aca="false">IF($A115="","",VLOOKUP($A114,Table,MATCH(R$4,Curves,0)))</f>
        <v>#N/A</v>
      </c>
      <c r="S114" s="201" t="e">
        <f aca="false">IF(A115="","",R114)</f>
        <v>#N/A</v>
      </c>
      <c r="T114" s="200" t="e">
        <f aca="false">IF($A115="","",VLOOKUP($A114,Table,MATCH(T$4,Curves,0)))</f>
        <v>#N/A</v>
      </c>
      <c r="U114" s="201" t="e">
        <f aca="false">IF(A115="","",T114)</f>
        <v>#N/A</v>
      </c>
      <c r="V114" s="225" t="e">
        <f aca="false">IF($A115="","",IF(AND(MONTH(A114)&gt;3,MONTH(A114)&lt;11),(T114+R114+G114)*(((1/(1-Summary!$T$12))/(1-Summary!$W$12))-1),(T114+R114+G114)*((1/(1-Summary!$U$12))/(1-Summary!$X$12)-1)))</f>
        <v>#N/A</v>
      </c>
      <c r="W114" s="200" t="e">
        <f aca="false">IF($A115="","",(T114+R114+G114+V114))</f>
        <v>#N/A</v>
      </c>
      <c r="X114" s="200" t="e">
        <f aca="false">IF($A115="","",(U114+S114+H114+V114))</f>
        <v>#N/A</v>
      </c>
      <c r="Y114" s="202"/>
      <c r="Z114" s="185" t="e">
        <f aca="false">IF($A115="","",VLOOKUP($A114,Table,MATCH(Z$4,Curves,0)))</f>
        <v>#N/A</v>
      </c>
      <c r="AA114" s="185" t="e">
        <f aca="false">IF($A115="","",VLOOKUP($A114,Table,MATCH(AA$4,Curves,0)))</f>
        <v>#N/A</v>
      </c>
      <c r="AB114" s="185" t="e">
        <f aca="false">SQRT((AA114^2*(A114-$D$3)+Z114^2*(DAY(EOMONTH(A114,0))/2))/AK114)</f>
        <v>#N/A</v>
      </c>
      <c r="AC114" s="185" t="e">
        <f aca="false">IF($A115="","",VLOOKUP($A114,Table,MATCH(AC$4,Curves,0)))</f>
        <v>#N/A</v>
      </c>
      <c r="AD114" s="185" t="e">
        <f aca="false">IF($A115="","",VLOOKUP($A114,Table,MATCH(AD$4,Curves,0)))</f>
        <v>#N/A</v>
      </c>
      <c r="AE114" s="185" t="e">
        <f aca="false">SQRT((AD114^2*(A114-$D$3)+AC114^2*(DAY(EOMONTH(A114,0))/2))/AK114)</f>
        <v>#N/A</v>
      </c>
      <c r="AF114" s="206" t="e">
        <f aca="false">((Summary!$N$12*(AA114*AD114)*(A114-$D$3))+(Summary!$M$12*Z114*AC114*(AJ114-EOMONTH(EDATE(A114,-1),0))))/(AK114*AB114*AE114)</f>
        <v>#N/A</v>
      </c>
      <c r="AG114" s="207" t="n">
        <f aca="false">IF($A115="","",Summary!$Q$12)</f>
        <v>0</v>
      </c>
      <c r="AH114" s="207" t="n">
        <f aca="false">IF($A115="","",IF(Summary!$R$12="Y",(VLOOKUP($A114,Summary!$AD$6:$AF$9,3)+'Escalating commodity'!H127),'Escalating commodity'!H127))</f>
        <v>0.029</v>
      </c>
      <c r="AI114" s="207" t="n">
        <f aca="false">IF($A115="","",AH114)</f>
        <v>0.029</v>
      </c>
      <c r="AJ114" s="208" t="n">
        <f aca="false">A114+DAY(EOMONTH(A114,0))/2-1</f>
        <v>40223</v>
      </c>
      <c r="AK114" s="209" t="n">
        <f aca="false">IF($A115="","",$A114-$E$1)</f>
        <v>-5716</v>
      </c>
      <c r="AL114" s="182" t="e">
        <f aca="false">IF($A115="","",SPRDOPT(P114,X114,AI114,0,AB114,AE114,AF114,AK114,$AJ$2,0))</f>
        <v>#NAME?</v>
      </c>
      <c r="AM114" s="211" t="e">
        <f aca="false">IF($A115="","",MAX(0,O114-W114-AI114))</f>
        <v>#N/A</v>
      </c>
      <c r="AN114" s="211" t="e">
        <f aca="false">IF($A115="","",AL114-AM114)</f>
        <v>#N/A</v>
      </c>
      <c r="AO114" s="137" t="n">
        <f aca="false">IF(A115="","",A115-A114)</f>
        <v>28</v>
      </c>
      <c r="AP114" s="212" t="n">
        <f aca="false">IF(A115="","",CHOOSE(F$3,A115+24,A114))</f>
        <v>40210</v>
      </c>
      <c r="AQ114" s="209" t="n">
        <f aca="false">IF(A115="","",AP114-$E$1)</f>
        <v>-5716</v>
      </c>
      <c r="AR114" s="185" t="n">
        <f aca="false">'ANR OK vs ML7'!AR114</f>
        <v>0.1</v>
      </c>
      <c r="AS114" s="213" t="n">
        <f aca="false">IF(A115="","",1/(1+CHOOSE(F$3,(AR115+($I$3/10000))/2,(AR114+($I$3/10000))/2))^(2*AQ114/365.25))</f>
        <v>4.60475159105468</v>
      </c>
      <c r="AT114" s="137" t="n">
        <f aca="false">IF(A115="","",IF(AND(mthbeg&lt;=A114,mthend&gt;=A114),1,0))</f>
        <v>1</v>
      </c>
      <c r="AU114" s="137" t="n">
        <f aca="false">IF(A115="","",AO114*AT114)</f>
        <v>28</v>
      </c>
      <c r="AW114" s="195" t="e">
        <f aca="false">IF($A115="","",AL114*$E114)</f>
        <v>#NAME?</v>
      </c>
      <c r="AX114" s="195" t="e">
        <f aca="false">IF($A115="","",AM114*$E114)</f>
        <v>#N/A</v>
      </c>
      <c r="AY114" s="195" t="e">
        <f aca="false">IF($A115="","",AN114*$E114)</f>
        <v>#N/A</v>
      </c>
      <c r="BA114" s="195" t="n">
        <f aca="false">IF($A115="","",F114*Summary!$Q$12)</f>
        <v>0</v>
      </c>
      <c r="BC114" s="179" t="e">
        <f aca="false">IF(A115="","",AM114*F114)</f>
        <v>#N/A</v>
      </c>
    </row>
    <row r="115" customFormat="false" ht="12.75" hidden="false" customHeight="false" outlineLevel="0" collapsed="false">
      <c r="A115" s="196" t="n">
        <f aca="false">IF(A114&lt;mthend,EDATE(A114,1),"")</f>
        <v>40238</v>
      </c>
      <c r="B115" s="197" t="n">
        <f aca="false">IF(A115&lt;mthend,B114,"")</f>
        <v>36522</v>
      </c>
      <c r="C115" s="215"/>
      <c r="D115" s="197" t="n">
        <f aca="false">IF(A116&lt;&gt;"",B115+C115,"")</f>
        <v>36522</v>
      </c>
      <c r="E115" s="199" t="n">
        <f aca="false">IF(A116="","",IF(AND(AT115=1,$H$3=1),D115*AO115,IF($H$3=2,D115,"N/A")))</f>
        <v>1132182</v>
      </c>
      <c r="F115" s="199" t="n">
        <f aca="false">IF(A116="","",E115*AS115)</f>
        <v>5174563.45245418</v>
      </c>
      <c r="G115" s="200" t="e">
        <f aca="false">IF($A116="","",VLOOKUP($A115,Table,MATCH(G$4,Curves,0)))</f>
        <v>#N/A</v>
      </c>
      <c r="H115" s="201" t="e">
        <f aca="false">IF(A116="","",G115)</f>
        <v>#N/A</v>
      </c>
      <c r="I115" s="202"/>
      <c r="J115" s="200" t="e">
        <f aca="false">IF($A116="","",VLOOKUP($A115,Table,MATCH(J$4,Curves,0)))</f>
        <v>#N/A</v>
      </c>
      <c r="K115" s="201" t="e">
        <f aca="false">IF(A116="","",J115)</f>
        <v>#N/A</v>
      </c>
      <c r="L115" s="200" t="e">
        <f aca="false">IF($A116="","",VLOOKUP($A115,Table,MATCH(L$4,Curves,0)))</f>
        <v>#N/A</v>
      </c>
      <c r="M115" s="201" t="e">
        <f aca="false">IF(A116="","",L115)</f>
        <v>#N/A</v>
      </c>
      <c r="N115" s="203"/>
      <c r="O115" s="200" t="e">
        <f aca="false">IF(A116="","",L115+J115+G115)</f>
        <v>#N/A</v>
      </c>
      <c r="P115" s="200" t="e">
        <f aca="false">IF(A116="","",M115+K115+H115)</f>
        <v>#N/A</v>
      </c>
      <c r="Q115" s="204"/>
      <c r="R115" s="200" t="e">
        <f aca="false">IF($A116="","",VLOOKUP($A115,Table,MATCH(R$4,Curves,0)))</f>
        <v>#N/A</v>
      </c>
      <c r="S115" s="201" t="e">
        <f aca="false">IF(A116="","",R115)</f>
        <v>#N/A</v>
      </c>
      <c r="T115" s="200" t="e">
        <f aca="false">IF($A116="","",VLOOKUP($A115,Table,MATCH(T$4,Curves,0)))</f>
        <v>#N/A</v>
      </c>
      <c r="U115" s="201" t="e">
        <f aca="false">IF(A116="","",T115)</f>
        <v>#N/A</v>
      </c>
      <c r="V115" s="225" t="e">
        <f aca="false">IF($A116="","",IF(AND(MONTH(A115)&gt;3,MONTH(A115)&lt;11),(T115+R115+G115)*(((1/(1-Summary!$T$12))/(1-Summary!$W$12))-1),(T115+R115+G115)*((1/(1-Summary!$U$12))/(1-Summary!$X$12)-1)))</f>
        <v>#N/A</v>
      </c>
      <c r="W115" s="200" t="e">
        <f aca="false">IF($A116="","",(T115+R115+G115+V115))</f>
        <v>#N/A</v>
      </c>
      <c r="X115" s="200" t="e">
        <f aca="false">IF($A116="","",(U115+S115+H115+V115))</f>
        <v>#N/A</v>
      </c>
      <c r="Y115" s="202"/>
      <c r="Z115" s="185" t="e">
        <f aca="false">IF($A116="","",VLOOKUP($A115,Table,MATCH(Z$4,Curves,0)))</f>
        <v>#N/A</v>
      </c>
      <c r="AA115" s="185" t="e">
        <f aca="false">IF($A116="","",VLOOKUP($A115,Table,MATCH(AA$4,Curves,0)))</f>
        <v>#N/A</v>
      </c>
      <c r="AB115" s="185" t="e">
        <f aca="false">SQRT((AA115^2*(A115-$D$3)+Z115^2*(DAY(EOMONTH(A115,0))/2))/AK115)</f>
        <v>#N/A</v>
      </c>
      <c r="AC115" s="185" t="e">
        <f aca="false">IF($A116="","",VLOOKUP($A115,Table,MATCH(AC$4,Curves,0)))</f>
        <v>#N/A</v>
      </c>
      <c r="AD115" s="185" t="e">
        <f aca="false">IF($A116="","",VLOOKUP($A115,Table,MATCH(AD$4,Curves,0)))</f>
        <v>#N/A</v>
      </c>
      <c r="AE115" s="185" t="e">
        <f aca="false">SQRT((AD115^2*(A115-$D$3)+AC115^2*(DAY(EOMONTH(A115,0))/2))/AK115)</f>
        <v>#N/A</v>
      </c>
      <c r="AF115" s="206" t="e">
        <f aca="false">((Summary!$N$12*(AA115*AD115)*(A115-$D$3))+(Summary!$M$12*Z115*AC115*(AJ115-EOMONTH(EDATE(A115,-1),0))))/(AK115*AB115*AE115)</f>
        <v>#N/A</v>
      </c>
      <c r="AG115" s="207" t="n">
        <f aca="false">IF($A116="","",Summary!$Q$12)</f>
        <v>0</v>
      </c>
      <c r="AH115" s="207" t="n">
        <f aca="false">IF($A116="","",IF(Summary!$R$12="Y",(VLOOKUP($A115,Summary!$AD$6:$AF$9,3)+'Escalating commodity'!H128),'Escalating commodity'!H128))</f>
        <v>0.029</v>
      </c>
      <c r="AI115" s="207" t="n">
        <f aca="false">IF($A116="","",AH115)</f>
        <v>0.029</v>
      </c>
      <c r="AJ115" s="208" t="n">
        <f aca="false">A115+DAY(EOMONTH(A115,0))/2-1</f>
        <v>40252.5</v>
      </c>
      <c r="AK115" s="209" t="n">
        <f aca="false">IF($A116="","",$A115-$E$1)</f>
        <v>-5688</v>
      </c>
      <c r="AL115" s="182" t="e">
        <f aca="false">IF($A116="","",SPRDOPT(P115,X115,AI115,0,AB115,AE115,AF115,AK115,$AJ$2,0))</f>
        <v>#NAME?</v>
      </c>
      <c r="AM115" s="211" t="e">
        <f aca="false">IF($A116="","",MAX(0,O115-W115-AI115))</f>
        <v>#N/A</v>
      </c>
      <c r="AN115" s="211" t="e">
        <f aca="false">IF($A116="","",AL115-AM115)</f>
        <v>#N/A</v>
      </c>
      <c r="AO115" s="137" t="n">
        <f aca="false">IF(A116="","",A116-A115)</f>
        <v>31</v>
      </c>
      <c r="AP115" s="212" t="n">
        <f aca="false">IF(A116="","",CHOOSE(F$3,A116+24,A115))</f>
        <v>40238</v>
      </c>
      <c r="AQ115" s="209" t="n">
        <f aca="false">IF(A116="","",AP115-$E$1)</f>
        <v>-5688</v>
      </c>
      <c r="AR115" s="185" t="n">
        <f aca="false">'ANR OK vs ML7'!AR115</f>
        <v>0.1</v>
      </c>
      <c r="AS115" s="213" t="n">
        <f aca="false">IF(A116="","",1/(1+CHOOSE(F$3,(AR116+($I$3/10000))/2,(AR115+($I$3/10000))/2))^(2*AQ115/365.25))</f>
        <v>4.57043430513308</v>
      </c>
      <c r="AT115" s="137" t="n">
        <f aca="false">IF(A116="","",IF(AND(mthbeg&lt;=A115,mthend&gt;=A115),1,0))</f>
        <v>1</v>
      </c>
      <c r="AU115" s="137" t="n">
        <f aca="false">IF(A116="","",AO115*AT115)</f>
        <v>31</v>
      </c>
      <c r="AW115" s="195" t="e">
        <f aca="false">IF($A116="","",AL115*$E115)</f>
        <v>#NAME?</v>
      </c>
      <c r="AX115" s="195" t="e">
        <f aca="false">IF($A116="","",AM115*$E115)</f>
        <v>#N/A</v>
      </c>
      <c r="AY115" s="195" t="e">
        <f aca="false">IF($A116="","",AN115*$E115)</f>
        <v>#N/A</v>
      </c>
      <c r="BA115" s="195" t="n">
        <f aca="false">IF($A116="","",F115*Summary!$Q$12)</f>
        <v>0</v>
      </c>
      <c r="BC115" s="179" t="e">
        <f aca="false">IF(A116="","",AM115*F115)</f>
        <v>#N/A</v>
      </c>
    </row>
    <row r="116" customFormat="false" ht="12.75" hidden="false" customHeight="false" outlineLevel="0" collapsed="false">
      <c r="A116" s="196" t="n">
        <f aca="false">IF(A115&lt;mthend,EDATE(A115,1),"")</f>
        <v>40269</v>
      </c>
      <c r="B116" s="197" t="n">
        <f aca="false">IF(A116&lt;mthend,B115,"")</f>
        <v>36522</v>
      </c>
      <c r="C116" s="215"/>
      <c r="D116" s="197" t="n">
        <f aca="false">IF(A117&lt;&gt;"",B116+C116,"")</f>
        <v>36522</v>
      </c>
      <c r="E116" s="199" t="n">
        <f aca="false">IF(A117="","",IF(AND(AT116=1,$H$3=1),D116*AO116,IF($H$3=2,D116,"N/A")))</f>
        <v>1095660</v>
      </c>
      <c r="F116" s="199" t="n">
        <f aca="false">IF(A117="","",E116*AS116)</f>
        <v>4966340.1674007</v>
      </c>
      <c r="G116" s="200" t="e">
        <f aca="false">IF($A117="","",VLOOKUP($A116,Table,MATCH(G$4,Curves,0)))</f>
        <v>#N/A</v>
      </c>
      <c r="H116" s="201" t="e">
        <f aca="false">IF(A117="","",G116)</f>
        <v>#N/A</v>
      </c>
      <c r="I116" s="202"/>
      <c r="J116" s="200" t="e">
        <f aca="false">IF($A117="","",VLOOKUP($A116,Table,MATCH(J$4,Curves,0)))</f>
        <v>#N/A</v>
      </c>
      <c r="K116" s="201" t="e">
        <f aca="false">IF(A117="","",J116)</f>
        <v>#N/A</v>
      </c>
      <c r="L116" s="200" t="e">
        <f aca="false">IF($A117="","",VLOOKUP($A116,Table,MATCH(L$4,Curves,0)))</f>
        <v>#N/A</v>
      </c>
      <c r="M116" s="201" t="e">
        <f aca="false">IF(A117="","",L116)</f>
        <v>#N/A</v>
      </c>
      <c r="N116" s="203"/>
      <c r="O116" s="200" t="e">
        <f aca="false">IF(A117="","",L116+J116+G116)</f>
        <v>#N/A</v>
      </c>
      <c r="P116" s="200" t="e">
        <f aca="false">IF(A117="","",M116+K116+H116)</f>
        <v>#N/A</v>
      </c>
      <c r="Q116" s="204"/>
      <c r="R116" s="200" t="e">
        <f aca="false">IF($A117="","",VLOOKUP($A116,Table,MATCH(R$4,Curves,0)))</f>
        <v>#N/A</v>
      </c>
      <c r="S116" s="201" t="e">
        <f aca="false">IF(A117="","",R116)</f>
        <v>#N/A</v>
      </c>
      <c r="T116" s="200" t="e">
        <f aca="false">IF($A117="","",VLOOKUP($A116,Table,MATCH(T$4,Curves,0)))</f>
        <v>#N/A</v>
      </c>
      <c r="U116" s="201" t="e">
        <f aca="false">IF(A117="","",T116)</f>
        <v>#N/A</v>
      </c>
      <c r="V116" s="225" t="e">
        <f aca="false">IF($A117="","",IF(AND(MONTH(A116)&gt;3,MONTH(A116)&lt;11),(T116+R116+G116)*(((1/(1-Summary!$T$12))/(1-Summary!$W$12))-1),(T116+R116+G116)*((1/(1-Summary!$U$12))/(1-Summary!$X$12)-1)))</f>
        <v>#N/A</v>
      </c>
      <c r="W116" s="200" t="e">
        <f aca="false">IF($A117="","",(T116+R116+G116+V116))</f>
        <v>#N/A</v>
      </c>
      <c r="X116" s="200" t="e">
        <f aca="false">IF($A117="","",(U116+S116+H116+V116))</f>
        <v>#N/A</v>
      </c>
      <c r="Y116" s="202"/>
      <c r="Z116" s="185" t="e">
        <f aca="false">IF($A117="","",VLOOKUP($A116,Table,MATCH(Z$4,Curves,0)))</f>
        <v>#N/A</v>
      </c>
      <c r="AA116" s="185" t="e">
        <f aca="false">IF($A117="","",VLOOKUP($A116,Table,MATCH(AA$4,Curves,0)))</f>
        <v>#N/A</v>
      </c>
      <c r="AB116" s="185" t="e">
        <f aca="false">SQRT((AA116^2*(A116-$D$3)+Z116^2*(DAY(EOMONTH(A116,0))/2))/AK116)</f>
        <v>#N/A</v>
      </c>
      <c r="AC116" s="185" t="e">
        <f aca="false">IF($A117="","",VLOOKUP($A116,Table,MATCH(AC$4,Curves,0)))</f>
        <v>#N/A</v>
      </c>
      <c r="AD116" s="185" t="e">
        <f aca="false">IF($A117="","",VLOOKUP($A116,Table,MATCH(AD$4,Curves,0)))</f>
        <v>#N/A</v>
      </c>
      <c r="AE116" s="185" t="e">
        <f aca="false">SQRT((AD116^2*(A116-$D$3)+AC116^2*(DAY(EOMONTH(A116,0))/2))/AK116)</f>
        <v>#N/A</v>
      </c>
      <c r="AF116" s="206" t="e">
        <f aca="false">((Summary!$N$12*(AA116*AD116)*(A116-$D$3))+(Summary!$M$12*Z116*AC116*(AJ116-EOMONTH(EDATE(A116,-1),0))))/(AK116*AB116*AE116)</f>
        <v>#N/A</v>
      </c>
      <c r="AG116" s="207" t="n">
        <f aca="false">IF($A117="","",Summary!$Q$12)</f>
        <v>0</v>
      </c>
      <c r="AH116" s="207" t="n">
        <f aca="false">IF($A117="","",IF(Summary!$R$12="Y",(VLOOKUP($A116,Summary!$AD$6:$AF$9,3)+'Escalating commodity'!H129),'Escalating commodity'!H129))</f>
        <v>0.029</v>
      </c>
      <c r="AI116" s="207" t="n">
        <f aca="false">IF($A117="","",AH116)</f>
        <v>0.029</v>
      </c>
      <c r="AJ116" s="208" t="n">
        <f aca="false">A116+DAY(EOMONTH(A116,0))/2-1</f>
        <v>40283</v>
      </c>
      <c r="AK116" s="209" t="n">
        <f aca="false">IF($A117="","",$A116-$E$1)</f>
        <v>-5657</v>
      </c>
      <c r="AL116" s="182" t="e">
        <f aca="false">IF($A117="","",SPRDOPT(P116,X116,AI116,0,AB116,AE116,AF116,AK116,$AJ$2,0))</f>
        <v>#NAME?</v>
      </c>
      <c r="AM116" s="211" t="e">
        <f aca="false">IF($A117="","",MAX(0,O116-W116-AI116))</f>
        <v>#N/A</v>
      </c>
      <c r="AN116" s="211" t="e">
        <f aca="false">IF($A117="","",AL116-AM116)</f>
        <v>#N/A</v>
      </c>
      <c r="AO116" s="137" t="n">
        <f aca="false">IF(A117="","",A117-A116)</f>
        <v>30</v>
      </c>
      <c r="AP116" s="212" t="n">
        <f aca="false">IF(A117="","",CHOOSE(F$3,A117+24,A116))</f>
        <v>40269</v>
      </c>
      <c r="AQ116" s="209" t="n">
        <f aca="false">IF(A117="","",AP116-$E$1)</f>
        <v>-5657</v>
      </c>
      <c r="AR116" s="185" t="n">
        <f aca="false">'ANR OK vs ML7'!AR116</f>
        <v>0.1</v>
      </c>
      <c r="AS116" s="213" t="n">
        <f aca="false">IF(A117="","",1/(1+CHOOSE(F$3,(AR117+($I$3/10000))/2,(AR116+($I$3/10000))/2))^(2*AQ116/365.25))</f>
        <v>4.53273841100405</v>
      </c>
      <c r="AT116" s="137" t="n">
        <f aca="false">IF(A117="","",IF(AND(mthbeg&lt;=A116,mthend&gt;=A116),1,0))</f>
        <v>1</v>
      </c>
      <c r="AU116" s="137" t="n">
        <f aca="false">IF(A117="","",AO116*AT116)</f>
        <v>30</v>
      </c>
      <c r="AW116" s="195" t="e">
        <f aca="false">IF($A117="","",AL116*$E116)</f>
        <v>#NAME?</v>
      </c>
      <c r="AX116" s="195" t="e">
        <f aca="false">IF($A117="","",AM116*$E116)</f>
        <v>#N/A</v>
      </c>
      <c r="AY116" s="195" t="e">
        <f aca="false">IF($A117="","",AN116*$E116)</f>
        <v>#N/A</v>
      </c>
      <c r="BA116" s="195" t="n">
        <f aca="false">IF($A117="","",F116*Summary!$Q$12)</f>
        <v>0</v>
      </c>
      <c r="BC116" s="179" t="e">
        <f aca="false">IF(A117="","",AM116*F116)</f>
        <v>#N/A</v>
      </c>
    </row>
    <row r="117" customFormat="false" ht="12.75" hidden="false" customHeight="false" outlineLevel="0" collapsed="false">
      <c r="A117" s="196" t="n">
        <f aca="false">IF(A116&lt;mthend,EDATE(A116,1),"")</f>
        <v>40299</v>
      </c>
      <c r="B117" s="197" t="n">
        <f aca="false">IF(A117&lt;mthend,B116,"")</f>
        <v>36522</v>
      </c>
      <c r="C117" s="215"/>
      <c r="D117" s="197" t="n">
        <f aca="false">IF(A118&lt;&gt;"",B117+C117,"")</f>
        <v>36522</v>
      </c>
      <c r="E117" s="199" t="n">
        <f aca="false">IF(A118="","",IF(AND(AT117=1,$H$3=1),D117*AO117,IF($H$3=2,D117,"N/A")))</f>
        <v>1132182</v>
      </c>
      <c r="F117" s="199" t="n">
        <f aca="false">IF(A118="","",E117*AS117)</f>
        <v>5090918.14020605</v>
      </c>
      <c r="G117" s="200" t="e">
        <f aca="false">IF($A118="","",VLOOKUP($A117,Table,MATCH(G$4,Curves,0)))</f>
        <v>#N/A</v>
      </c>
      <c r="H117" s="201" t="e">
        <f aca="false">IF(A118="","",G117)</f>
        <v>#N/A</v>
      </c>
      <c r="I117" s="202"/>
      <c r="J117" s="200" t="e">
        <f aca="false">IF($A118="","",VLOOKUP($A117,Table,MATCH(J$4,Curves,0)))</f>
        <v>#N/A</v>
      </c>
      <c r="K117" s="201" t="e">
        <f aca="false">IF(A118="","",J117)</f>
        <v>#N/A</v>
      </c>
      <c r="L117" s="200" t="e">
        <f aca="false">IF($A118="","",VLOOKUP($A117,Table,MATCH(L$4,Curves,0)))</f>
        <v>#N/A</v>
      </c>
      <c r="M117" s="201" t="e">
        <f aca="false">IF(A118="","",L117)</f>
        <v>#N/A</v>
      </c>
      <c r="N117" s="203"/>
      <c r="O117" s="200" t="e">
        <f aca="false">IF(A118="","",L117+J117+G117)</f>
        <v>#N/A</v>
      </c>
      <c r="P117" s="200" t="e">
        <f aca="false">IF(A118="","",M117+K117+H117)</f>
        <v>#N/A</v>
      </c>
      <c r="Q117" s="204"/>
      <c r="R117" s="200" t="e">
        <f aca="false">IF($A118="","",VLOOKUP($A117,Table,MATCH(R$4,Curves,0)))</f>
        <v>#N/A</v>
      </c>
      <c r="S117" s="201" t="e">
        <f aca="false">IF(A118="","",R117)</f>
        <v>#N/A</v>
      </c>
      <c r="T117" s="200" t="e">
        <f aca="false">IF($A118="","",VLOOKUP($A117,Table,MATCH(T$4,Curves,0)))</f>
        <v>#N/A</v>
      </c>
      <c r="U117" s="201" t="e">
        <f aca="false">IF(A118="","",T117)</f>
        <v>#N/A</v>
      </c>
      <c r="V117" s="225" t="e">
        <f aca="false">IF($A118="","",IF(AND(MONTH(A117)&gt;3,MONTH(A117)&lt;11),(T117+R117+G117)*(((1/(1-Summary!$T$12))/(1-Summary!$W$12))-1),(T117+R117+G117)*((1/(1-Summary!$U$12))/(1-Summary!$X$12)-1)))</f>
        <v>#N/A</v>
      </c>
      <c r="W117" s="200" t="e">
        <f aca="false">IF($A118="","",(T117+R117+G117+V117))</f>
        <v>#N/A</v>
      </c>
      <c r="X117" s="200" t="e">
        <f aca="false">IF($A118="","",(U117+S117+H117+V117))</f>
        <v>#N/A</v>
      </c>
      <c r="Y117" s="202"/>
      <c r="Z117" s="185" t="e">
        <f aca="false">IF($A118="","",VLOOKUP($A117,Table,MATCH(Z$4,Curves,0)))</f>
        <v>#N/A</v>
      </c>
      <c r="AA117" s="185" t="e">
        <f aca="false">IF($A118="","",VLOOKUP($A117,Table,MATCH(AA$4,Curves,0)))</f>
        <v>#N/A</v>
      </c>
      <c r="AB117" s="185" t="e">
        <f aca="false">SQRT((AA117^2*(A117-$D$3)+Z117^2*(DAY(EOMONTH(A117,0))/2))/AK117)</f>
        <v>#N/A</v>
      </c>
      <c r="AC117" s="185" t="e">
        <f aca="false">IF($A118="","",VLOOKUP($A117,Table,MATCH(AC$4,Curves,0)))</f>
        <v>#N/A</v>
      </c>
      <c r="AD117" s="185" t="e">
        <f aca="false">IF($A118="","",VLOOKUP($A117,Table,MATCH(AD$4,Curves,0)))</f>
        <v>#N/A</v>
      </c>
      <c r="AE117" s="185" t="e">
        <f aca="false">SQRT((AD117^2*(A117-$D$3)+AC117^2*(DAY(EOMONTH(A117,0))/2))/AK117)</f>
        <v>#N/A</v>
      </c>
      <c r="AF117" s="206" t="e">
        <f aca="false">((Summary!$N$12*(AA117*AD117)*(A117-$D$3))+(Summary!$M$12*Z117*AC117*(AJ117-EOMONTH(EDATE(A117,-1),0))))/(AK117*AB117*AE117)</f>
        <v>#N/A</v>
      </c>
      <c r="AG117" s="207" t="n">
        <f aca="false">IF($A118="","",Summary!$Q$12)</f>
        <v>0</v>
      </c>
      <c r="AH117" s="207" t="n">
        <f aca="false">IF($A118="","",IF(Summary!$R$12="Y",(VLOOKUP($A117,Summary!$AD$6:$AF$9,3)+'Escalating commodity'!H130),'Escalating commodity'!H130))</f>
        <v>0.029</v>
      </c>
      <c r="AI117" s="207" t="n">
        <f aca="false">IF($A118="","",AH117)</f>
        <v>0.029</v>
      </c>
      <c r="AJ117" s="208" t="n">
        <f aca="false">A117+DAY(EOMONTH(A117,0))/2-1</f>
        <v>40313.5</v>
      </c>
      <c r="AK117" s="209" t="n">
        <f aca="false">IF($A118="","",$A117-$E$1)</f>
        <v>-5627</v>
      </c>
      <c r="AL117" s="182" t="e">
        <f aca="false">IF($A118="","",SPRDOPT(P117,X117,AI117,0,AB117,AE117,AF117,AK117,$AJ$2,0))</f>
        <v>#NAME?</v>
      </c>
      <c r="AM117" s="211" t="e">
        <f aca="false">IF($A118="","",MAX(0,O117-W117-AI117))</f>
        <v>#N/A</v>
      </c>
      <c r="AN117" s="211" t="e">
        <f aca="false">IF($A118="","",AL117-AM117)</f>
        <v>#N/A</v>
      </c>
      <c r="AO117" s="137" t="n">
        <f aca="false">IF(A118="","",A118-A117)</f>
        <v>31</v>
      </c>
      <c r="AP117" s="212" t="n">
        <f aca="false">IF(A118="","",CHOOSE(F$3,A118+24,A117))</f>
        <v>40299</v>
      </c>
      <c r="AQ117" s="209" t="n">
        <f aca="false">IF(A118="","",AP117-$E$1)</f>
        <v>-5627</v>
      </c>
      <c r="AR117" s="185" t="n">
        <f aca="false">'ANR OK vs ML7'!AR117</f>
        <v>0.1</v>
      </c>
      <c r="AS117" s="213" t="n">
        <f aca="false">IF(A118="","",1/(1+CHOOSE(F$3,(AR118+($I$3/10000))/2,(AR117+($I$3/10000))/2))^(2*AQ117/365.25))</f>
        <v>4.49655456473081</v>
      </c>
      <c r="AT117" s="137" t="n">
        <f aca="false">IF(A118="","",IF(AND(mthbeg&lt;=A117,mthend&gt;=A117),1,0))</f>
        <v>1</v>
      </c>
      <c r="AU117" s="137" t="n">
        <f aca="false">IF(A118="","",AO117*AT117)</f>
        <v>31</v>
      </c>
      <c r="AW117" s="195" t="e">
        <f aca="false">IF($A118="","",AL117*$E117)</f>
        <v>#NAME?</v>
      </c>
      <c r="AX117" s="195" t="e">
        <f aca="false">IF($A118="","",AM117*$E117)</f>
        <v>#N/A</v>
      </c>
      <c r="AY117" s="195" t="e">
        <f aca="false">IF($A118="","",AN117*$E117)</f>
        <v>#N/A</v>
      </c>
      <c r="BA117" s="195" t="n">
        <f aca="false">IF($A118="","",F117*Summary!$Q$12)</f>
        <v>0</v>
      </c>
      <c r="BC117" s="179" t="e">
        <f aca="false">IF(A118="","",AM117*F117)</f>
        <v>#N/A</v>
      </c>
    </row>
    <row r="118" customFormat="false" ht="12.75" hidden="false" customHeight="false" outlineLevel="0" collapsed="false">
      <c r="A118" s="196" t="n">
        <f aca="false">IF(A117&lt;mthend,EDATE(A117,1),"")</f>
        <v>40330</v>
      </c>
      <c r="B118" s="197" t="n">
        <f aca="false">IF(A118&lt;mthend,B117,"")</f>
        <v>36522</v>
      </c>
      <c r="C118" s="215"/>
      <c r="D118" s="197" t="n">
        <f aca="false">IF(A119&lt;&gt;"",B118+C118,"")</f>
        <v>36522</v>
      </c>
      <c r="E118" s="199" t="n">
        <f aca="false">IF(A119="","",IF(AND(AT118=1,$H$3=1),D118*AO118,IF($H$3=2,D118,"N/A")))</f>
        <v>1095660</v>
      </c>
      <c r="F118" s="199" t="n">
        <f aca="false">IF(A119="","",E118*AS118)</f>
        <v>4886060.72395593</v>
      </c>
      <c r="G118" s="200" t="e">
        <f aca="false">IF($A119="","",VLOOKUP($A118,Table,MATCH(G$4,Curves,0)))</f>
        <v>#N/A</v>
      </c>
      <c r="H118" s="201" t="e">
        <f aca="false">IF(A119="","",G118)</f>
        <v>#N/A</v>
      </c>
      <c r="I118" s="202"/>
      <c r="J118" s="200" t="e">
        <f aca="false">IF($A119="","",VLOOKUP($A118,Table,MATCH(J$4,Curves,0)))</f>
        <v>#N/A</v>
      </c>
      <c r="K118" s="201" t="e">
        <f aca="false">IF(A119="","",J118)</f>
        <v>#N/A</v>
      </c>
      <c r="L118" s="200" t="e">
        <f aca="false">IF($A119="","",VLOOKUP($A118,Table,MATCH(L$4,Curves,0)))</f>
        <v>#N/A</v>
      </c>
      <c r="M118" s="201" t="e">
        <f aca="false">IF(A119="","",L118)</f>
        <v>#N/A</v>
      </c>
      <c r="N118" s="203"/>
      <c r="O118" s="200" t="e">
        <f aca="false">IF(A119="","",L118+J118+G118)</f>
        <v>#N/A</v>
      </c>
      <c r="P118" s="200" t="e">
        <f aca="false">IF(A119="","",M118+K118+H118)</f>
        <v>#N/A</v>
      </c>
      <c r="Q118" s="204"/>
      <c r="R118" s="200" t="e">
        <f aca="false">IF($A119="","",VLOOKUP($A118,Table,MATCH(R$4,Curves,0)))</f>
        <v>#N/A</v>
      </c>
      <c r="S118" s="201" t="e">
        <f aca="false">IF(A119="","",R118)</f>
        <v>#N/A</v>
      </c>
      <c r="T118" s="200" t="e">
        <f aca="false">IF($A119="","",VLOOKUP($A118,Table,MATCH(T$4,Curves,0)))</f>
        <v>#N/A</v>
      </c>
      <c r="U118" s="201" t="e">
        <f aca="false">IF(A119="","",T118)</f>
        <v>#N/A</v>
      </c>
      <c r="V118" s="225" t="e">
        <f aca="false">IF($A119="","",IF(AND(MONTH(A118)&gt;3,MONTH(A118)&lt;11),(T118+R118+G118)*(((1/(1-Summary!$T$12))/(1-Summary!$W$12))-1),(T118+R118+G118)*((1/(1-Summary!$U$12))/(1-Summary!$X$12)-1)))</f>
        <v>#N/A</v>
      </c>
      <c r="W118" s="200" t="e">
        <f aca="false">IF($A119="","",(T118+R118+G118+V118))</f>
        <v>#N/A</v>
      </c>
      <c r="X118" s="200" t="e">
        <f aca="false">IF($A119="","",(U118+S118+H118+V118))</f>
        <v>#N/A</v>
      </c>
      <c r="Y118" s="202"/>
      <c r="Z118" s="185" t="e">
        <f aca="false">IF($A119="","",VLOOKUP($A118,Table,MATCH(Z$4,Curves,0)))</f>
        <v>#N/A</v>
      </c>
      <c r="AA118" s="185" t="e">
        <f aca="false">IF($A119="","",VLOOKUP($A118,Table,MATCH(AA$4,Curves,0)))</f>
        <v>#N/A</v>
      </c>
      <c r="AB118" s="185" t="e">
        <f aca="false">SQRT((AA118^2*(A118-$D$3)+Z118^2*(DAY(EOMONTH(A118,0))/2))/AK118)</f>
        <v>#N/A</v>
      </c>
      <c r="AC118" s="185" t="e">
        <f aca="false">IF($A119="","",VLOOKUP($A118,Table,MATCH(AC$4,Curves,0)))</f>
        <v>#N/A</v>
      </c>
      <c r="AD118" s="185" t="e">
        <f aca="false">IF($A119="","",VLOOKUP($A118,Table,MATCH(AD$4,Curves,0)))</f>
        <v>#N/A</v>
      </c>
      <c r="AE118" s="185" t="e">
        <f aca="false">SQRT((AD118^2*(A118-$D$3)+AC118^2*(DAY(EOMONTH(A118,0))/2))/AK118)</f>
        <v>#N/A</v>
      </c>
      <c r="AF118" s="206" t="e">
        <f aca="false">((Summary!$N$12*(AA118*AD118)*(A118-$D$3))+(Summary!$M$12*Z118*AC118*(AJ118-EOMONTH(EDATE(A118,-1),0))))/(AK118*AB118*AE118)</f>
        <v>#N/A</v>
      </c>
      <c r="AG118" s="207" t="n">
        <f aca="false">IF($A119="","",Summary!$Q$12)</f>
        <v>0</v>
      </c>
      <c r="AH118" s="207" t="n">
        <f aca="false">IF($A119="","",IF(Summary!$R$12="Y",(VLOOKUP($A118,Summary!$AD$6:$AF$9,3)+'Escalating commodity'!H131),'Escalating commodity'!H131))</f>
        <v>0.029</v>
      </c>
      <c r="AI118" s="207" t="n">
        <f aca="false">IF($A119="","",AH118)</f>
        <v>0.029</v>
      </c>
      <c r="AJ118" s="208" t="n">
        <f aca="false">A118+DAY(EOMONTH(A118,0))/2-1</f>
        <v>40344</v>
      </c>
      <c r="AK118" s="209" t="n">
        <f aca="false">IF($A119="","",$A118-$E$1)</f>
        <v>-5596</v>
      </c>
      <c r="AL118" s="182" t="e">
        <f aca="false">IF($A119="","",SPRDOPT(P118,X118,AI118,0,AB118,AE118,AF118,AK118,$AJ$2,0))</f>
        <v>#NAME?</v>
      </c>
      <c r="AM118" s="211" t="e">
        <f aca="false">IF($A119="","",MAX(0,O118-W118-AI118))</f>
        <v>#N/A</v>
      </c>
      <c r="AN118" s="211" t="e">
        <f aca="false">IF($A119="","",AL118-AM118)</f>
        <v>#N/A</v>
      </c>
      <c r="AO118" s="137" t="n">
        <f aca="false">IF(A119="","",A119-A118)</f>
        <v>30</v>
      </c>
      <c r="AP118" s="212" t="n">
        <f aca="false">IF(A119="","",CHOOSE(F$3,A119+24,A118))</f>
        <v>40330</v>
      </c>
      <c r="AQ118" s="209" t="n">
        <f aca="false">IF(A119="","",AP118-$E$1)</f>
        <v>-5596</v>
      </c>
      <c r="AR118" s="185" t="n">
        <f aca="false">'ANR OK vs ML7'!AR118</f>
        <v>0.1</v>
      </c>
      <c r="AS118" s="213" t="n">
        <f aca="false">IF(A119="","",1/(1+CHOOSE(F$3,(AR119+($I$3/10000))/2,(AR118+($I$3/10000))/2))^(2*AQ118/365.25))</f>
        <v>4.45946801375968</v>
      </c>
      <c r="AT118" s="137" t="n">
        <f aca="false">IF(A119="","",IF(AND(mthbeg&lt;=A118,mthend&gt;=A118),1,0))</f>
        <v>1</v>
      </c>
      <c r="AU118" s="137" t="n">
        <f aca="false">IF(A119="","",AO118*AT118)</f>
        <v>30</v>
      </c>
      <c r="AW118" s="195" t="e">
        <f aca="false">IF($A119="","",AL118*$E118)</f>
        <v>#NAME?</v>
      </c>
      <c r="AX118" s="195" t="e">
        <f aca="false">IF($A119="","",AM118*$E118)</f>
        <v>#N/A</v>
      </c>
      <c r="AY118" s="195" t="e">
        <f aca="false">IF($A119="","",AN118*$E118)</f>
        <v>#N/A</v>
      </c>
      <c r="BA118" s="195" t="n">
        <f aca="false">IF($A119="","",F118*Summary!$Q$12)</f>
        <v>0</v>
      </c>
      <c r="BC118" s="179" t="e">
        <f aca="false">IF(A119="","",AM118*F118)</f>
        <v>#N/A</v>
      </c>
    </row>
    <row r="119" customFormat="false" ht="12.75" hidden="false" customHeight="false" outlineLevel="0" collapsed="false">
      <c r="A119" s="196" t="n">
        <f aca="false">IF(A118&lt;mthend,EDATE(A118,1),"")</f>
        <v>40360</v>
      </c>
      <c r="B119" s="197" t="n">
        <f aca="false">IF(A119&lt;mthend,B118,"")</f>
        <v>36522</v>
      </c>
      <c r="C119" s="215"/>
      <c r="D119" s="197" t="n">
        <f aca="false">IF(A120&lt;&gt;"",B119+C119,"")</f>
        <v>36522</v>
      </c>
      <c r="E119" s="199" t="n">
        <f aca="false">IF(A120="","",IF(AND(AT119=1,$H$3=1),D119*AO119,IF($H$3=2,D119,"N/A")))</f>
        <v>1132182</v>
      </c>
      <c r="F119" s="199" t="n">
        <f aca="false">IF(A120="","",E119*AS119)</f>
        <v>5008624.930087</v>
      </c>
      <c r="G119" s="200" t="e">
        <f aca="false">IF($A120="","",VLOOKUP($A119,Table,MATCH(G$4,Curves,0)))</f>
        <v>#N/A</v>
      </c>
      <c r="H119" s="201" t="e">
        <f aca="false">IF(A120="","",G119)</f>
        <v>#N/A</v>
      </c>
      <c r="I119" s="202"/>
      <c r="J119" s="200" t="e">
        <f aca="false">IF($A120="","",VLOOKUP($A119,Table,MATCH(J$4,Curves,0)))</f>
        <v>#N/A</v>
      </c>
      <c r="K119" s="201" t="e">
        <f aca="false">IF(A120="","",J119)</f>
        <v>#N/A</v>
      </c>
      <c r="L119" s="200" t="e">
        <f aca="false">IF($A120="","",VLOOKUP($A119,Table,MATCH(L$4,Curves,0)))</f>
        <v>#N/A</v>
      </c>
      <c r="M119" s="201" t="e">
        <f aca="false">IF(A120="","",L119)</f>
        <v>#N/A</v>
      </c>
      <c r="N119" s="203"/>
      <c r="O119" s="200" t="e">
        <f aca="false">IF(A120="","",L119+J119+G119)</f>
        <v>#N/A</v>
      </c>
      <c r="P119" s="200" t="e">
        <f aca="false">IF(A120="","",M119+K119+H119)</f>
        <v>#N/A</v>
      </c>
      <c r="Q119" s="204"/>
      <c r="R119" s="200" t="e">
        <f aca="false">IF($A120="","",VLOOKUP($A119,Table,MATCH(R$4,Curves,0)))</f>
        <v>#N/A</v>
      </c>
      <c r="S119" s="201" t="e">
        <f aca="false">IF(A120="","",R119)</f>
        <v>#N/A</v>
      </c>
      <c r="T119" s="200" t="e">
        <f aca="false">IF($A120="","",VLOOKUP($A119,Table,MATCH(T$4,Curves,0)))</f>
        <v>#N/A</v>
      </c>
      <c r="U119" s="201" t="e">
        <f aca="false">IF(A120="","",T119)</f>
        <v>#N/A</v>
      </c>
      <c r="V119" s="225" t="e">
        <f aca="false">IF($A120="","",IF(AND(MONTH(A119)&gt;3,MONTH(A119)&lt;11),(T119+R119+G119)*(((1/(1-Summary!$T$12))/(1-Summary!$W$12))-1),(T119+R119+G119)*((1/(1-Summary!$U$12))/(1-Summary!$X$12)-1)))</f>
        <v>#N/A</v>
      </c>
      <c r="W119" s="200" t="e">
        <f aca="false">IF($A120="","",(T119+R119+G119+V119))</f>
        <v>#N/A</v>
      </c>
      <c r="X119" s="200" t="e">
        <f aca="false">IF($A120="","",(U119+S119+H119+V119))</f>
        <v>#N/A</v>
      </c>
      <c r="Y119" s="202"/>
      <c r="Z119" s="185" t="e">
        <f aca="false">IF($A120="","",VLOOKUP($A119,Table,MATCH(Z$4,Curves,0)))</f>
        <v>#N/A</v>
      </c>
      <c r="AA119" s="185" t="e">
        <f aca="false">IF($A120="","",VLOOKUP($A119,Table,MATCH(AA$4,Curves,0)))</f>
        <v>#N/A</v>
      </c>
      <c r="AB119" s="185" t="e">
        <f aca="false">SQRT((AA119^2*(A119-$D$3)+Z119^2*(DAY(EOMONTH(A119,0))/2))/AK119)</f>
        <v>#N/A</v>
      </c>
      <c r="AC119" s="185" t="e">
        <f aca="false">IF($A120="","",VLOOKUP($A119,Table,MATCH(AC$4,Curves,0)))</f>
        <v>#N/A</v>
      </c>
      <c r="AD119" s="185" t="e">
        <f aca="false">IF($A120="","",VLOOKUP($A119,Table,MATCH(AD$4,Curves,0)))</f>
        <v>#N/A</v>
      </c>
      <c r="AE119" s="185" t="e">
        <f aca="false">SQRT((AD119^2*(A119-$D$3)+AC119^2*(DAY(EOMONTH(A119,0))/2))/AK119)</f>
        <v>#N/A</v>
      </c>
      <c r="AF119" s="206" t="e">
        <f aca="false">((Summary!$N$12*(AA119*AD119)*(A119-$D$3))+(Summary!$M$12*Z119*AC119*(AJ119-EOMONTH(EDATE(A119,-1),0))))/(AK119*AB119*AE119)</f>
        <v>#N/A</v>
      </c>
      <c r="AG119" s="207" t="n">
        <f aca="false">IF($A120="","",Summary!$Q$12)</f>
        <v>0</v>
      </c>
      <c r="AH119" s="207" t="n">
        <f aca="false">IF($A120="","",IF(Summary!$R$12="Y",(VLOOKUP($A119,Summary!$AD$6:$AF$9,3)+'Escalating commodity'!H132),'Escalating commodity'!H132))</f>
        <v>0.029</v>
      </c>
      <c r="AI119" s="207" t="n">
        <f aca="false">IF($A120="","",AH119)</f>
        <v>0.029</v>
      </c>
      <c r="AJ119" s="208" t="n">
        <f aca="false">A119+DAY(EOMONTH(A119,0))/2-1</f>
        <v>40374.5</v>
      </c>
      <c r="AK119" s="209" t="n">
        <f aca="false">IF($A120="","",$A119-$E$1)</f>
        <v>-5566</v>
      </c>
      <c r="AL119" s="182" t="e">
        <f aca="false">IF($A120="","",SPRDOPT(P119,X119,AI119,0,AB119,AE119,AF119,AK119,$AJ$2,0))</f>
        <v>#NAME?</v>
      </c>
      <c r="AM119" s="211" t="e">
        <f aca="false">IF($A120="","",MAX(0,O119-W119-AI119))</f>
        <v>#N/A</v>
      </c>
      <c r="AN119" s="211" t="e">
        <f aca="false">IF($A120="","",AL119-AM119)</f>
        <v>#N/A</v>
      </c>
      <c r="AO119" s="137" t="n">
        <f aca="false">IF(A120="","",A120-A119)</f>
        <v>31</v>
      </c>
      <c r="AP119" s="212" t="n">
        <f aca="false">IF(A120="","",CHOOSE(F$3,A120+24,A119))</f>
        <v>40360</v>
      </c>
      <c r="AQ119" s="209" t="n">
        <f aca="false">IF(A120="","",AP119-$E$1)</f>
        <v>-5566</v>
      </c>
      <c r="AR119" s="185" t="n">
        <f aca="false">'ANR OK vs ML7'!AR119</f>
        <v>0.1</v>
      </c>
      <c r="AS119" s="213" t="n">
        <f aca="false">IF(A120="","",1/(1+CHOOSE(F$3,(AR120+($I$3/10000))/2,(AR119+($I$3/10000))/2))^(2*AQ119/365.25))</f>
        <v>4.42386906883081</v>
      </c>
      <c r="AT119" s="137" t="n">
        <f aca="false">IF(A120="","",IF(AND(mthbeg&lt;=A119,mthend&gt;=A119),1,0))</f>
        <v>1</v>
      </c>
      <c r="AU119" s="137" t="n">
        <f aca="false">IF(A120="","",AO119*AT119)</f>
        <v>31</v>
      </c>
      <c r="AW119" s="195" t="e">
        <f aca="false">IF($A120="","",AL119*$E119)</f>
        <v>#NAME?</v>
      </c>
      <c r="AX119" s="195" t="e">
        <f aca="false">IF($A120="","",AM119*$E119)</f>
        <v>#N/A</v>
      </c>
      <c r="AY119" s="195" t="e">
        <f aca="false">IF($A120="","",AN119*$E119)</f>
        <v>#N/A</v>
      </c>
      <c r="BA119" s="195" t="n">
        <f aca="false">IF($A120="","",F119*Summary!$Q$12)</f>
        <v>0</v>
      </c>
      <c r="BC119" s="179" t="e">
        <f aca="false">IF(A120="","",AM119*F119)</f>
        <v>#N/A</v>
      </c>
    </row>
    <row r="120" customFormat="false" ht="12.75" hidden="false" customHeight="false" outlineLevel="0" collapsed="false">
      <c r="A120" s="196" t="n">
        <f aca="false">IF(A119&lt;mthend,EDATE(A119,1),"")</f>
        <v>40391</v>
      </c>
      <c r="B120" s="197" t="n">
        <f aca="false">IF(A120&lt;mthend,B119,"")</f>
        <v>36522</v>
      </c>
      <c r="C120" s="215"/>
      <c r="D120" s="197" t="n">
        <f aca="false">IF(A121&lt;&gt;"",B120+C120,"")</f>
        <v>36522</v>
      </c>
      <c r="E120" s="199" t="n">
        <f aca="false">IF(A121="","",IF(AND(AT120=1,$H$3=1),D120*AO120,IF($H$3=2,D120,"N/A")))</f>
        <v>1132182</v>
      </c>
      <c r="F120" s="199" t="n">
        <f aca="false">IF(A121="","",E120*AS120)</f>
        <v>4967314.9401623</v>
      </c>
      <c r="G120" s="200" t="e">
        <f aca="false">IF($A121="","",VLOOKUP($A120,Table,MATCH(G$4,Curves,0)))</f>
        <v>#N/A</v>
      </c>
      <c r="H120" s="201" t="e">
        <f aca="false">IF(A121="","",G120)</f>
        <v>#N/A</v>
      </c>
      <c r="I120" s="202"/>
      <c r="J120" s="200" t="e">
        <f aca="false">IF($A121="","",VLOOKUP($A120,Table,MATCH(J$4,Curves,0)))</f>
        <v>#N/A</v>
      </c>
      <c r="K120" s="201" t="e">
        <f aca="false">IF(A121="","",J120)</f>
        <v>#N/A</v>
      </c>
      <c r="L120" s="200" t="e">
        <f aca="false">IF($A121="","",VLOOKUP($A120,Table,MATCH(L$4,Curves,0)))</f>
        <v>#N/A</v>
      </c>
      <c r="M120" s="201" t="e">
        <f aca="false">IF(A121="","",L120)</f>
        <v>#N/A</v>
      </c>
      <c r="N120" s="203"/>
      <c r="O120" s="200" t="e">
        <f aca="false">IF(A121="","",L120+J120+G120)</f>
        <v>#N/A</v>
      </c>
      <c r="P120" s="200" t="e">
        <f aca="false">IF(A121="","",M120+K120+H120)</f>
        <v>#N/A</v>
      </c>
      <c r="Q120" s="204"/>
      <c r="R120" s="200" t="e">
        <f aca="false">IF($A121="","",VLOOKUP($A120,Table,MATCH(R$4,Curves,0)))</f>
        <v>#N/A</v>
      </c>
      <c r="S120" s="201" t="e">
        <f aca="false">IF(A121="","",R120)</f>
        <v>#N/A</v>
      </c>
      <c r="T120" s="200" t="e">
        <f aca="false">IF($A121="","",VLOOKUP($A120,Table,MATCH(T$4,Curves,0)))</f>
        <v>#N/A</v>
      </c>
      <c r="U120" s="201" t="e">
        <f aca="false">IF(A121="","",T120)</f>
        <v>#N/A</v>
      </c>
      <c r="V120" s="225" t="e">
        <f aca="false">IF($A121="","",IF(AND(MONTH(A120)&gt;3,MONTH(A120)&lt;11),(T120+R120+G120)*(((1/(1-Summary!$T$12))/(1-Summary!$W$12))-1),(T120+R120+G120)*((1/(1-Summary!$U$12))/(1-Summary!$X$12)-1)))</f>
        <v>#N/A</v>
      </c>
      <c r="W120" s="200" t="e">
        <f aca="false">IF($A121="","",(T120+R120+G120+V120))</f>
        <v>#N/A</v>
      </c>
      <c r="X120" s="200" t="e">
        <f aca="false">IF($A121="","",(U120+S120+H120+V120))</f>
        <v>#N/A</v>
      </c>
      <c r="Y120" s="202"/>
      <c r="Z120" s="185" t="e">
        <f aca="false">IF($A121="","",VLOOKUP($A120,Table,MATCH(Z$4,Curves,0)))</f>
        <v>#N/A</v>
      </c>
      <c r="AA120" s="185" t="e">
        <f aca="false">IF($A121="","",VLOOKUP($A120,Table,MATCH(AA$4,Curves,0)))</f>
        <v>#N/A</v>
      </c>
      <c r="AB120" s="185" t="e">
        <f aca="false">SQRT((AA120^2*(A120-$D$3)+Z120^2*(DAY(EOMONTH(A120,0))/2))/AK120)</f>
        <v>#N/A</v>
      </c>
      <c r="AC120" s="185" t="e">
        <f aca="false">IF($A121="","",VLOOKUP($A120,Table,MATCH(AC$4,Curves,0)))</f>
        <v>#N/A</v>
      </c>
      <c r="AD120" s="185" t="e">
        <f aca="false">IF($A121="","",VLOOKUP($A120,Table,MATCH(AD$4,Curves,0)))</f>
        <v>#N/A</v>
      </c>
      <c r="AE120" s="185" t="e">
        <f aca="false">SQRT((AD120^2*(A120-$D$3)+AC120^2*(DAY(EOMONTH(A120,0))/2))/AK120)</f>
        <v>#N/A</v>
      </c>
      <c r="AF120" s="206" t="e">
        <f aca="false">((Summary!$N$12*(AA120*AD120)*(A120-$D$3))+(Summary!$M$12*Z120*AC120*(AJ120-EOMONTH(EDATE(A120,-1),0))))/(AK120*AB120*AE120)</f>
        <v>#N/A</v>
      </c>
      <c r="AG120" s="207" t="n">
        <f aca="false">IF($A121="","",Summary!$Q$12)</f>
        <v>0</v>
      </c>
      <c r="AH120" s="207" t="n">
        <f aca="false">IF($A121="","",IF(Summary!$R$12="Y",(VLOOKUP($A120,Summary!$AD$6:$AF$9,3)+'Escalating commodity'!H133),'Escalating commodity'!H133))</f>
        <v>0.029</v>
      </c>
      <c r="AI120" s="207" t="n">
        <f aca="false">IF($A121="","",AH120)</f>
        <v>0.029</v>
      </c>
      <c r="AJ120" s="208" t="n">
        <f aca="false">A120+DAY(EOMONTH(A120,0))/2-1</f>
        <v>40405.5</v>
      </c>
      <c r="AK120" s="209" t="n">
        <f aca="false">IF($A121="","",$A120-$E$1)</f>
        <v>-5535</v>
      </c>
      <c r="AL120" s="182" t="e">
        <f aca="false">IF($A121="","",SPRDOPT(P120,X120,AI120,0,AB120,AE120,AF120,AK120,$AJ$2,0))</f>
        <v>#NAME?</v>
      </c>
      <c r="AM120" s="211" t="e">
        <f aca="false">IF($A121="","",MAX(0,O120-W120-AI120))</f>
        <v>#N/A</v>
      </c>
      <c r="AN120" s="211" t="e">
        <f aca="false">IF($A121="","",AL120-AM120)</f>
        <v>#N/A</v>
      </c>
      <c r="AO120" s="137" t="n">
        <f aca="false">IF(A121="","",A121-A120)</f>
        <v>31</v>
      </c>
      <c r="AP120" s="212" t="n">
        <f aca="false">IF(A121="","",CHOOSE(F$3,A121+24,A120))</f>
        <v>40391</v>
      </c>
      <c r="AQ120" s="209" t="n">
        <f aca="false">IF(A121="","",AP120-$E$1)</f>
        <v>-5535</v>
      </c>
      <c r="AR120" s="185" t="n">
        <f aca="false">'ANR OK vs ML7'!AR120</f>
        <v>0.1</v>
      </c>
      <c r="AS120" s="213" t="n">
        <f aca="false">IF(A121="","",1/(1+CHOOSE(F$3,(AR121+($I$3/10000))/2,(AR120+($I$3/10000))/2))^(2*AQ120/365.25))</f>
        <v>4.38738201116278</v>
      </c>
      <c r="AT120" s="137" t="n">
        <f aca="false">IF(A121="","",IF(AND(mthbeg&lt;=A120,mthend&gt;=A120),1,0))</f>
        <v>1</v>
      </c>
      <c r="AU120" s="137" t="n">
        <f aca="false">IF(A121="","",AO120*AT120)</f>
        <v>31</v>
      </c>
      <c r="AW120" s="195" t="e">
        <f aca="false">IF($A121="","",AL120*$E120)</f>
        <v>#NAME?</v>
      </c>
      <c r="AX120" s="195" t="e">
        <f aca="false">IF($A121="","",AM120*$E120)</f>
        <v>#N/A</v>
      </c>
      <c r="AY120" s="195" t="e">
        <f aca="false">IF($A121="","",AN120*$E120)</f>
        <v>#N/A</v>
      </c>
      <c r="BA120" s="195" t="n">
        <f aca="false">IF($A121="","",F120*Summary!$Q$12)</f>
        <v>0</v>
      </c>
      <c r="BC120" s="179" t="e">
        <f aca="false">IF(A121="","",AM120*F120)</f>
        <v>#N/A</v>
      </c>
    </row>
    <row r="121" customFormat="false" ht="12.75" hidden="false" customHeight="false" outlineLevel="0" collapsed="false">
      <c r="A121" s="196" t="n">
        <f aca="false">IF(A120&lt;mthend,EDATE(A120,1),"")</f>
        <v>40422</v>
      </c>
      <c r="B121" s="197" t="n">
        <f aca="false">IF(A121&lt;mthend,B120,"")</f>
        <v>36522</v>
      </c>
      <c r="C121" s="215"/>
      <c r="D121" s="197" t="n">
        <f aca="false">IF(A122&lt;&gt;"",B121+C121,"")</f>
        <v>36522</v>
      </c>
      <c r="E121" s="199" t="n">
        <f aca="false">IF(A122="","",IF(AND(AT121=1,$H$3=1),D121*AO121,IF($H$3=2,D121,"N/A")))</f>
        <v>1095660</v>
      </c>
      <c r="F121" s="199" t="n">
        <f aca="false">IF(A122="","",E121*AS121)</f>
        <v>4767431.28925348</v>
      </c>
      <c r="G121" s="200" t="e">
        <f aca="false">IF($A122="","",VLOOKUP($A121,Table,MATCH(G$4,Curves,0)))</f>
        <v>#N/A</v>
      </c>
      <c r="H121" s="201" t="e">
        <f aca="false">IF(A122="","",G121)</f>
        <v>#N/A</v>
      </c>
      <c r="I121" s="202"/>
      <c r="J121" s="200" t="e">
        <f aca="false">IF($A122="","",VLOOKUP($A121,Table,MATCH(J$4,Curves,0)))</f>
        <v>#N/A</v>
      </c>
      <c r="K121" s="201" t="e">
        <f aca="false">IF(A122="","",J121)</f>
        <v>#N/A</v>
      </c>
      <c r="L121" s="200" t="e">
        <f aca="false">IF($A122="","",VLOOKUP($A121,Table,MATCH(L$4,Curves,0)))</f>
        <v>#N/A</v>
      </c>
      <c r="M121" s="201" t="e">
        <f aca="false">IF(A122="","",L121)</f>
        <v>#N/A</v>
      </c>
      <c r="N121" s="203"/>
      <c r="O121" s="200" t="e">
        <f aca="false">IF(A122="","",L121+J121+G121)</f>
        <v>#N/A</v>
      </c>
      <c r="P121" s="200" t="e">
        <f aca="false">IF(A122="","",M121+K121+H121)</f>
        <v>#N/A</v>
      </c>
      <c r="Q121" s="204"/>
      <c r="R121" s="200" t="e">
        <f aca="false">IF($A122="","",VLOOKUP($A121,Table,MATCH(R$4,Curves,0)))</f>
        <v>#N/A</v>
      </c>
      <c r="S121" s="201" t="e">
        <f aca="false">IF(A122="","",R121)</f>
        <v>#N/A</v>
      </c>
      <c r="T121" s="200" t="e">
        <f aca="false">IF($A122="","",VLOOKUP($A121,Table,MATCH(T$4,Curves,0)))</f>
        <v>#N/A</v>
      </c>
      <c r="U121" s="201" t="e">
        <f aca="false">IF(A122="","",T121)</f>
        <v>#N/A</v>
      </c>
      <c r="V121" s="225" t="e">
        <f aca="false">IF($A122="","",IF(AND(MONTH(A121)&gt;3,MONTH(A121)&lt;11),(T121+R121+G121)*(((1/(1-Summary!$T$12))/(1-Summary!$W$12))-1),(T121+R121+G121)*((1/(1-Summary!$U$12))/(1-Summary!$X$12)-1)))</f>
        <v>#N/A</v>
      </c>
      <c r="W121" s="200" t="e">
        <f aca="false">IF($A122="","",(T121+R121+G121+V121))</f>
        <v>#N/A</v>
      </c>
      <c r="X121" s="200" t="e">
        <f aca="false">IF($A122="","",(U121+S121+H121+V121))</f>
        <v>#N/A</v>
      </c>
      <c r="Y121" s="202"/>
      <c r="Z121" s="185" t="e">
        <f aca="false">IF($A122="","",VLOOKUP($A121,Table,MATCH(Z$4,Curves,0)))</f>
        <v>#N/A</v>
      </c>
      <c r="AA121" s="185" t="e">
        <f aca="false">IF($A122="","",VLOOKUP($A121,Table,MATCH(AA$4,Curves,0)))</f>
        <v>#N/A</v>
      </c>
      <c r="AB121" s="185" t="e">
        <f aca="false">SQRT((AA121^2*(A121-$D$3)+Z121^2*(DAY(EOMONTH(A121,0))/2))/AK121)</f>
        <v>#N/A</v>
      </c>
      <c r="AC121" s="185" t="e">
        <f aca="false">IF($A122="","",VLOOKUP($A121,Table,MATCH(AC$4,Curves,0)))</f>
        <v>#N/A</v>
      </c>
      <c r="AD121" s="185" t="e">
        <f aca="false">IF($A122="","",VLOOKUP($A121,Table,MATCH(AD$4,Curves,0)))</f>
        <v>#N/A</v>
      </c>
      <c r="AE121" s="185" t="e">
        <f aca="false">SQRT((AD121^2*(A121-$D$3)+AC121^2*(DAY(EOMONTH(A121,0))/2))/AK121)</f>
        <v>#N/A</v>
      </c>
      <c r="AF121" s="206" t="e">
        <f aca="false">((Summary!$N$12*(AA121*AD121)*(A121-$D$3))+(Summary!$M$12*Z121*AC121*(AJ121-EOMONTH(EDATE(A121,-1),0))))/(AK121*AB121*AE121)</f>
        <v>#N/A</v>
      </c>
      <c r="AG121" s="207" t="n">
        <f aca="false">IF($A122="","",Summary!$Q$12)</f>
        <v>0</v>
      </c>
      <c r="AH121" s="207" t="n">
        <f aca="false">IF($A122="","",IF(Summary!$R$12="Y",(VLOOKUP($A121,Summary!$AD$6:$AF$9,3)+'Escalating commodity'!H134),'Escalating commodity'!H134))</f>
        <v>0.029</v>
      </c>
      <c r="AI121" s="207" t="n">
        <f aca="false">IF($A122="","",AH121)</f>
        <v>0.029</v>
      </c>
      <c r="AJ121" s="208" t="n">
        <f aca="false">A121+DAY(EOMONTH(A121,0))/2-1</f>
        <v>40436</v>
      </c>
      <c r="AK121" s="209" t="n">
        <f aca="false">IF($A122="","",$A121-$E$1)</f>
        <v>-5504</v>
      </c>
      <c r="AL121" s="182" t="e">
        <f aca="false">IF($A122="","",SPRDOPT(P121,X121,AI121,0,AB121,AE121,AF121,AK121,$AJ$2,0))</f>
        <v>#NAME?</v>
      </c>
      <c r="AM121" s="211" t="e">
        <f aca="false">IF($A122="","",MAX(0,O121-W121-AI121))</f>
        <v>#N/A</v>
      </c>
      <c r="AN121" s="211" t="e">
        <f aca="false">IF($A122="","",AL121-AM121)</f>
        <v>#N/A</v>
      </c>
      <c r="AO121" s="137" t="n">
        <f aca="false">IF(A122="","",A122-A121)</f>
        <v>30</v>
      </c>
      <c r="AP121" s="212" t="n">
        <f aca="false">IF(A122="","",CHOOSE(F$3,A122+24,A121))</f>
        <v>40422</v>
      </c>
      <c r="AQ121" s="209" t="n">
        <f aca="false">IF(A122="","",AP121-$E$1)</f>
        <v>-5504</v>
      </c>
      <c r="AR121" s="185" t="n">
        <f aca="false">'ANR OK vs ML7'!AR121</f>
        <v>0.1</v>
      </c>
      <c r="AS121" s="213" t="n">
        <f aca="false">IF(A122="","",1/(1+CHOOSE(F$3,(AR122+($I$3/10000))/2,(AR121+($I$3/10000))/2))^(2*AQ121/365.25))</f>
        <v>4.35119589037976</v>
      </c>
      <c r="AT121" s="137" t="n">
        <f aca="false">IF(A122="","",IF(AND(mthbeg&lt;=A121,mthend&gt;=A121),1,0))</f>
        <v>1</v>
      </c>
      <c r="AU121" s="137" t="n">
        <f aca="false">IF(A122="","",AO121*AT121)</f>
        <v>30</v>
      </c>
      <c r="AW121" s="195" t="e">
        <f aca="false">IF($A122="","",AL121*$E121)</f>
        <v>#NAME?</v>
      </c>
      <c r="AX121" s="195" t="e">
        <f aca="false">IF($A122="","",AM121*$E121)</f>
        <v>#N/A</v>
      </c>
      <c r="AY121" s="195" t="e">
        <f aca="false">IF($A122="","",AN121*$E121)</f>
        <v>#N/A</v>
      </c>
      <c r="BA121" s="195" t="n">
        <f aca="false">IF($A122="","",F121*Summary!$Q$12)</f>
        <v>0</v>
      </c>
      <c r="BC121" s="179" t="e">
        <f aca="false">IF(A122="","",AM121*F121)</f>
        <v>#N/A</v>
      </c>
    </row>
    <row r="122" customFormat="false" ht="12.75" hidden="false" customHeight="false" outlineLevel="0" collapsed="false">
      <c r="A122" s="196" t="n">
        <f aca="false">IF(A121&lt;mthend,EDATE(A121,1),"")</f>
        <v>40452</v>
      </c>
      <c r="B122" s="197" t="n">
        <f aca="false">IF(A122&lt;mthend,B121,"")</f>
        <v>36522</v>
      </c>
      <c r="C122" s="215"/>
      <c r="D122" s="197" t="n">
        <f aca="false">IF(A123&lt;&gt;"",B122+C122,"")</f>
        <v>36522</v>
      </c>
      <c r="E122" s="199" t="n">
        <f aca="false">IF(A123="","",IF(AND(AT122=1,$H$3=1),D122*AO122,IF($H$3=2,D122,"N/A")))</f>
        <v>1132182</v>
      </c>
      <c r="F122" s="199" t="n">
        <f aca="false">IF(A123="","",E122*AS122)</f>
        <v>4887019.73979953</v>
      </c>
      <c r="G122" s="200" t="e">
        <f aca="false">IF($A123="","",VLOOKUP($A122,Table,MATCH(G$4,Curves,0)))</f>
        <v>#N/A</v>
      </c>
      <c r="H122" s="201" t="e">
        <f aca="false">IF(A123="","",G122)</f>
        <v>#N/A</v>
      </c>
      <c r="I122" s="202"/>
      <c r="J122" s="200" t="e">
        <f aca="false">IF($A123="","",VLOOKUP($A122,Table,MATCH(J$4,Curves,0)))</f>
        <v>#N/A</v>
      </c>
      <c r="K122" s="201" t="e">
        <f aca="false">IF(A123="","",J122)</f>
        <v>#N/A</v>
      </c>
      <c r="L122" s="200" t="e">
        <f aca="false">IF($A123="","",VLOOKUP($A122,Table,MATCH(L$4,Curves,0)))</f>
        <v>#N/A</v>
      </c>
      <c r="M122" s="201" t="e">
        <f aca="false">IF(A123="","",L122)</f>
        <v>#N/A</v>
      </c>
      <c r="N122" s="203"/>
      <c r="O122" s="200" t="e">
        <f aca="false">IF(A123="","",L122+J122+G122)</f>
        <v>#N/A</v>
      </c>
      <c r="P122" s="200" t="e">
        <f aca="false">IF(A123="","",M122+K122+H122)</f>
        <v>#N/A</v>
      </c>
      <c r="Q122" s="204"/>
      <c r="R122" s="200" t="e">
        <f aca="false">IF($A123="","",VLOOKUP($A122,Table,MATCH(R$4,Curves,0)))</f>
        <v>#N/A</v>
      </c>
      <c r="S122" s="201" t="e">
        <f aca="false">IF(A123="","",R122)</f>
        <v>#N/A</v>
      </c>
      <c r="T122" s="200" t="e">
        <f aca="false">IF($A123="","",VLOOKUP($A122,Table,MATCH(T$4,Curves,0)))</f>
        <v>#N/A</v>
      </c>
      <c r="U122" s="201" t="e">
        <f aca="false">IF(A123="","",T122)</f>
        <v>#N/A</v>
      </c>
      <c r="V122" s="225" t="e">
        <f aca="false">IF($A123="","",IF(AND(MONTH(A122)&gt;3,MONTH(A122)&lt;11),(T122+R122+G122)*(((1/(1-Summary!$T$12))/(1-Summary!$W$12))-1),(T122+R122+G122)*((1/(1-Summary!$U$12))/(1-Summary!$X$12)-1)))</f>
        <v>#N/A</v>
      </c>
      <c r="W122" s="200" t="e">
        <f aca="false">IF($A123="","",(T122+R122+G122+V122))</f>
        <v>#N/A</v>
      </c>
      <c r="X122" s="200" t="e">
        <f aca="false">IF($A123="","",(U122+S122+H122+V122))</f>
        <v>#N/A</v>
      </c>
      <c r="Y122" s="202"/>
      <c r="Z122" s="185" t="e">
        <f aca="false">IF($A123="","",VLOOKUP($A122,Table,MATCH(Z$4,Curves,0)))</f>
        <v>#N/A</v>
      </c>
      <c r="AA122" s="185" t="e">
        <f aca="false">IF($A123="","",VLOOKUP($A122,Table,MATCH(AA$4,Curves,0)))</f>
        <v>#N/A</v>
      </c>
      <c r="AB122" s="185" t="e">
        <f aca="false">SQRT((AA122^2*(A122-$D$3)+Z122^2*(DAY(EOMONTH(A122,0))/2))/AK122)</f>
        <v>#N/A</v>
      </c>
      <c r="AC122" s="185" t="e">
        <f aca="false">IF($A123="","",VLOOKUP($A122,Table,MATCH(AC$4,Curves,0)))</f>
        <v>#N/A</v>
      </c>
      <c r="AD122" s="185" t="e">
        <f aca="false">IF($A123="","",VLOOKUP($A122,Table,MATCH(AD$4,Curves,0)))</f>
        <v>#N/A</v>
      </c>
      <c r="AE122" s="185" t="e">
        <f aca="false">SQRT((AD122^2*(A122-$D$3)+AC122^2*(DAY(EOMONTH(A122,0))/2))/AK122)</f>
        <v>#N/A</v>
      </c>
      <c r="AF122" s="206" t="e">
        <f aca="false">((Summary!$N$12*(AA122*AD122)*(A122-$D$3))+(Summary!$M$12*Z122*AC122*(AJ122-EOMONTH(EDATE(A122,-1),0))))/(AK122*AB122*AE122)</f>
        <v>#N/A</v>
      </c>
      <c r="AG122" s="207" t="n">
        <f aca="false">IF($A123="","",Summary!$Q$12)</f>
        <v>0</v>
      </c>
      <c r="AH122" s="207" t="n">
        <f aca="false">IF($A123="","",IF(Summary!$R$12="Y",(VLOOKUP($A122,Summary!$AD$6:$AF$9,3)+'Escalating commodity'!H135),'Escalating commodity'!H135))</f>
        <v>0.029</v>
      </c>
      <c r="AI122" s="207" t="n">
        <f aca="false">IF($A123="","",AH122)</f>
        <v>0.029</v>
      </c>
      <c r="AJ122" s="208" t="n">
        <f aca="false">A122+DAY(EOMONTH(A122,0))/2-1</f>
        <v>40466.5</v>
      </c>
      <c r="AK122" s="209" t="n">
        <f aca="false">IF($A123="","",$A122-$E$1)</f>
        <v>-5474</v>
      </c>
      <c r="AL122" s="182" t="e">
        <f aca="false">IF($A123="","",SPRDOPT(P122,X122,AI122,0,AB122,AE122,AF122,AK122,$AJ$2,0))</f>
        <v>#NAME?</v>
      </c>
      <c r="AM122" s="211" t="e">
        <f aca="false">IF($A123="","",MAX(0,O122-W122-AI122))</f>
        <v>#N/A</v>
      </c>
      <c r="AN122" s="211" t="e">
        <f aca="false">IF($A123="","",AL122-AM122)</f>
        <v>#N/A</v>
      </c>
      <c r="AO122" s="137" t="n">
        <f aca="false">IF(A123="","",A123-A122)</f>
        <v>31</v>
      </c>
      <c r="AP122" s="212" t="n">
        <f aca="false">IF(A123="","",CHOOSE(F$3,A123+24,A122))</f>
        <v>40452</v>
      </c>
      <c r="AQ122" s="209" t="n">
        <f aca="false">IF(A123="","",AP122-$E$1)</f>
        <v>-5474</v>
      </c>
      <c r="AR122" s="185" t="n">
        <f aca="false">'ANR OK vs ML7'!AR122</f>
        <v>0.1</v>
      </c>
      <c r="AS122" s="213" t="n">
        <f aca="false">IF(A123="","",1/(1+CHOOSE(F$3,(AR123+($I$3/10000))/2,(AR122+($I$3/10000))/2))^(2*AQ122/365.25))</f>
        <v>4.31646125781855</v>
      </c>
      <c r="AT122" s="137" t="n">
        <f aca="false">IF(A123="","",IF(AND(mthbeg&lt;=A122,mthend&gt;=A122),1,0))</f>
        <v>1</v>
      </c>
      <c r="AU122" s="137" t="n">
        <f aca="false">IF(A123="","",AO122*AT122)</f>
        <v>31</v>
      </c>
      <c r="AW122" s="195" t="e">
        <f aca="false">IF($A123="","",AL122*$E122)</f>
        <v>#NAME?</v>
      </c>
      <c r="AX122" s="195" t="e">
        <f aca="false">IF($A123="","",AM122*$E122)</f>
        <v>#N/A</v>
      </c>
      <c r="AY122" s="195" t="e">
        <f aca="false">IF($A123="","",AN122*$E122)</f>
        <v>#N/A</v>
      </c>
      <c r="BA122" s="195" t="n">
        <f aca="false">IF($A123="","",F122*Summary!$Q$12)</f>
        <v>0</v>
      </c>
      <c r="BC122" s="179" t="e">
        <f aca="false">IF(A123="","",AM122*F122)</f>
        <v>#N/A</v>
      </c>
    </row>
    <row r="123" customFormat="false" ht="12.75" hidden="false" customHeight="false" outlineLevel="0" collapsed="false">
      <c r="A123" s="196" t="n">
        <f aca="false">IF(A122&lt;mthend,EDATE(A122,1),"")</f>
        <v>40483</v>
      </c>
      <c r="B123" s="197" t="n">
        <f aca="false">IF(A123&lt;mthend,B122,"")</f>
        <v>36522</v>
      </c>
      <c r="C123" s="215"/>
      <c r="D123" s="197" t="n">
        <f aca="false">IF(A124&lt;&gt;"",B123+C123,"")</f>
        <v>36522</v>
      </c>
      <c r="E123" s="199" t="n">
        <f aca="false">IF(A124="","",IF(AND(AT123=1,$H$3=1),D123*AO123,IF($H$3=2,D123,"N/A")))</f>
        <v>1095660</v>
      </c>
      <c r="F123" s="199" t="n">
        <f aca="false">IF(A124="","",E123*AS123)</f>
        <v>4690367.14993523</v>
      </c>
      <c r="G123" s="200" t="e">
        <f aca="false">IF($A124="","",VLOOKUP($A123,Table,MATCH(G$4,Curves,0)))</f>
        <v>#N/A</v>
      </c>
      <c r="H123" s="201" t="e">
        <f aca="false">IF(A124="","",G123)</f>
        <v>#N/A</v>
      </c>
      <c r="I123" s="202"/>
      <c r="J123" s="200" t="e">
        <f aca="false">IF($A124="","",VLOOKUP($A123,Table,MATCH(J$4,Curves,0)))</f>
        <v>#N/A</v>
      </c>
      <c r="K123" s="201" t="e">
        <f aca="false">IF(A124="","",J123)</f>
        <v>#N/A</v>
      </c>
      <c r="L123" s="200" t="e">
        <f aca="false">IF($A124="","",VLOOKUP($A123,Table,MATCH(L$4,Curves,0)))</f>
        <v>#N/A</v>
      </c>
      <c r="M123" s="201" t="e">
        <f aca="false">IF(A124="","",L123)</f>
        <v>#N/A</v>
      </c>
      <c r="N123" s="203"/>
      <c r="O123" s="200" t="e">
        <f aca="false">IF(A124="","",L123+J123+G123)</f>
        <v>#N/A</v>
      </c>
      <c r="P123" s="200" t="e">
        <f aca="false">IF(A124="","",M123+K123+H123)</f>
        <v>#N/A</v>
      </c>
      <c r="Q123" s="204"/>
      <c r="R123" s="200" t="e">
        <f aca="false">IF($A124="","",VLOOKUP($A123,Table,MATCH(R$4,Curves,0)))</f>
        <v>#N/A</v>
      </c>
      <c r="S123" s="201" t="e">
        <f aca="false">IF(A124="","",R123)</f>
        <v>#N/A</v>
      </c>
      <c r="T123" s="200" t="e">
        <f aca="false">IF($A124="","",VLOOKUP($A123,Table,MATCH(T$4,Curves,0)))</f>
        <v>#N/A</v>
      </c>
      <c r="U123" s="201" t="e">
        <f aca="false">IF(A124="","",T123)</f>
        <v>#N/A</v>
      </c>
      <c r="V123" s="225" t="e">
        <f aca="false">IF($A124="","",IF(AND(MONTH(A123)&gt;3,MONTH(A123)&lt;11),(T123+R123+G123)*(((1/(1-Summary!$T$12))/(1-Summary!$W$12))-1),(T123+R123+G123)*((1/(1-Summary!$U$12))/(1-Summary!$X$12)-1)))</f>
        <v>#N/A</v>
      </c>
      <c r="W123" s="200" t="e">
        <f aca="false">IF($A124="","",(T123+R123+G123+V123))</f>
        <v>#N/A</v>
      </c>
      <c r="X123" s="200" t="e">
        <f aca="false">IF($A124="","",(U123+S123+H123+V123))</f>
        <v>#N/A</v>
      </c>
      <c r="Y123" s="202"/>
      <c r="Z123" s="185" t="e">
        <f aca="false">IF($A124="","",VLOOKUP($A123,Table,MATCH(Z$4,Curves,0)))</f>
        <v>#N/A</v>
      </c>
      <c r="AA123" s="185" t="e">
        <f aca="false">IF($A124="","",VLOOKUP($A123,Table,MATCH(AA$4,Curves,0)))</f>
        <v>#N/A</v>
      </c>
      <c r="AB123" s="185" t="e">
        <f aca="false">SQRT((AA123^2*(A123-$D$3)+Z123^2*(DAY(EOMONTH(A123,0))/2))/AK123)</f>
        <v>#N/A</v>
      </c>
      <c r="AC123" s="185" t="e">
        <f aca="false">IF($A124="","",VLOOKUP($A123,Table,MATCH(AC$4,Curves,0)))</f>
        <v>#N/A</v>
      </c>
      <c r="AD123" s="185" t="e">
        <f aca="false">IF($A124="","",VLOOKUP($A123,Table,MATCH(AD$4,Curves,0)))</f>
        <v>#N/A</v>
      </c>
      <c r="AE123" s="185" t="e">
        <f aca="false">SQRT((AD123^2*(A123-$D$3)+AC123^2*(DAY(EOMONTH(A123,0))/2))/AK123)</f>
        <v>#N/A</v>
      </c>
      <c r="AF123" s="206" t="e">
        <f aca="false">((Summary!$N$12*(AA123*AD123)*(A123-$D$3))+(Summary!$M$12*Z123*AC123*(AJ123-EOMONTH(EDATE(A123,-1),0))))/(AK123*AB123*AE123)</f>
        <v>#N/A</v>
      </c>
      <c r="AG123" s="207" t="n">
        <f aca="false">IF($A124="","",Summary!$Q$12)</f>
        <v>0</v>
      </c>
      <c r="AH123" s="207" t="n">
        <f aca="false">IF($A124="","",IF(Summary!$R$12="Y",(VLOOKUP($A123,Summary!$AD$6:$AF$9,3)+'Escalating commodity'!H136),'Escalating commodity'!H136))</f>
        <v>0.029</v>
      </c>
      <c r="AI123" s="207" t="n">
        <f aca="false">IF($A124="","",AH123)</f>
        <v>0.029</v>
      </c>
      <c r="AJ123" s="208" t="n">
        <f aca="false">A123+DAY(EOMONTH(A123,0))/2-1</f>
        <v>40497</v>
      </c>
      <c r="AK123" s="209" t="n">
        <f aca="false">IF($A124="","",$A123-$E$1)</f>
        <v>-5443</v>
      </c>
      <c r="AL123" s="182" t="e">
        <f aca="false">IF($A124="","",SPRDOPT(P123,X123,AI123,0,AB123,AE123,AF123,AK123,$AJ$2,0))</f>
        <v>#NAME?</v>
      </c>
      <c r="AM123" s="211" t="e">
        <f aca="false">IF($A124="","",MAX(0,O123-W123-AI123))</f>
        <v>#N/A</v>
      </c>
      <c r="AN123" s="211" t="e">
        <f aca="false">IF($A124="","",AL123-AM123)</f>
        <v>#N/A</v>
      </c>
      <c r="AO123" s="137" t="n">
        <f aca="false">IF(A124="","",A124-A123)</f>
        <v>30</v>
      </c>
      <c r="AP123" s="212" t="n">
        <f aca="false">IF(A124="","",CHOOSE(F$3,A124+24,A123))</f>
        <v>40483</v>
      </c>
      <c r="AQ123" s="209" t="n">
        <f aca="false">IF(A124="","",AP123-$E$1)</f>
        <v>-5443</v>
      </c>
      <c r="AR123" s="185" t="n">
        <f aca="false">'ANR OK vs ML7'!AR123</f>
        <v>0.1</v>
      </c>
      <c r="AS123" s="213" t="n">
        <f aca="false">IF(A124="","",1/(1+CHOOSE(F$3,(AR124+($I$3/10000))/2,(AR123+($I$3/10000))/2))^(2*AQ123/365.25))</f>
        <v>4.28086007514669</v>
      </c>
      <c r="AT123" s="137" t="n">
        <f aca="false">IF(A124="","",IF(AND(mthbeg&lt;=A123,mthend&gt;=A123),1,0))</f>
        <v>1</v>
      </c>
      <c r="AU123" s="137" t="n">
        <f aca="false">IF(A124="","",AO123*AT123)</f>
        <v>30</v>
      </c>
      <c r="AW123" s="195" t="e">
        <f aca="false">IF($A124="","",AL123*$E123)</f>
        <v>#NAME?</v>
      </c>
      <c r="AX123" s="195" t="e">
        <f aca="false">IF($A124="","",AM123*$E123)</f>
        <v>#N/A</v>
      </c>
      <c r="AY123" s="195" t="e">
        <f aca="false">IF($A124="","",AN123*$E123)</f>
        <v>#N/A</v>
      </c>
      <c r="BA123" s="195" t="n">
        <f aca="false">IF($A124="","",F123*Summary!$Q$12)</f>
        <v>0</v>
      </c>
      <c r="BC123" s="179" t="e">
        <f aca="false">IF(A124="","",AM123*F123)</f>
        <v>#N/A</v>
      </c>
    </row>
    <row r="124" customFormat="false" ht="12.75" hidden="false" customHeight="false" outlineLevel="0" collapsed="false">
      <c r="A124" s="196" t="n">
        <f aca="false">IF(A123&lt;mthend,EDATE(A123,1),"")</f>
        <v>40513</v>
      </c>
      <c r="B124" s="197" t="n">
        <f aca="false">IF(A124&lt;mthend,B123,"")</f>
        <v>36522</v>
      </c>
      <c r="C124" s="215"/>
      <c r="D124" s="197" t="n">
        <f aca="false">IF(A125&lt;&gt;"",B124+C124,"")</f>
        <v>36522</v>
      </c>
      <c r="E124" s="199" t="n">
        <f aca="false">IF(A125="","",IF(AND(AT124=1,$H$3=1),D124*AO124,IF($H$3=2,D124,"N/A")))</f>
        <v>1132182</v>
      </c>
      <c r="F124" s="199" t="n">
        <f aca="false">IF(A125="","",E124*AS124)</f>
        <v>4808022.48798219</v>
      </c>
      <c r="G124" s="200" t="e">
        <f aca="false">IF($A125="","",VLOOKUP($A124,Table,MATCH(G$4,Curves,0)))</f>
        <v>#N/A</v>
      </c>
      <c r="H124" s="201" t="e">
        <f aca="false">IF(A125="","",G124)</f>
        <v>#N/A</v>
      </c>
      <c r="I124" s="202"/>
      <c r="J124" s="200" t="e">
        <f aca="false">IF($A125="","",VLOOKUP($A124,Table,MATCH(J$4,Curves,0)))</f>
        <v>#N/A</v>
      </c>
      <c r="K124" s="201" t="e">
        <f aca="false">IF(A125="","",J124)</f>
        <v>#N/A</v>
      </c>
      <c r="L124" s="200" t="e">
        <f aca="false">IF($A125="","",VLOOKUP($A124,Table,MATCH(L$4,Curves,0)))</f>
        <v>#N/A</v>
      </c>
      <c r="M124" s="201" t="e">
        <f aca="false">IF(A125="","",L124)</f>
        <v>#N/A</v>
      </c>
      <c r="N124" s="203"/>
      <c r="O124" s="200" t="e">
        <f aca="false">IF(A125="","",L124+J124+G124)</f>
        <v>#N/A</v>
      </c>
      <c r="P124" s="200" t="e">
        <f aca="false">IF(A125="","",M124+K124+H124)</f>
        <v>#N/A</v>
      </c>
      <c r="Q124" s="204"/>
      <c r="R124" s="200" t="e">
        <f aca="false">IF($A125="","",VLOOKUP($A124,Table,MATCH(R$4,Curves,0)))</f>
        <v>#N/A</v>
      </c>
      <c r="S124" s="201" t="e">
        <f aca="false">IF(A125="","",R124)</f>
        <v>#N/A</v>
      </c>
      <c r="T124" s="200" t="e">
        <f aca="false">IF($A125="","",VLOOKUP($A124,Table,MATCH(T$4,Curves,0)))</f>
        <v>#N/A</v>
      </c>
      <c r="U124" s="201" t="e">
        <f aca="false">IF(A125="","",T124)</f>
        <v>#N/A</v>
      </c>
      <c r="V124" s="225" t="e">
        <f aca="false">IF($A125="","",IF(AND(MONTH(A124)&gt;3,MONTH(A124)&lt;11),(T124+R124+G124)*(((1/(1-Summary!$T$12))/(1-Summary!$W$12))-1),(T124+R124+G124)*((1/(1-Summary!$U$12))/(1-Summary!$X$12)-1)))</f>
        <v>#N/A</v>
      </c>
      <c r="W124" s="200" t="e">
        <f aca="false">IF($A125="","",(T124+R124+G124+V124))</f>
        <v>#N/A</v>
      </c>
      <c r="X124" s="200" t="e">
        <f aca="false">IF($A125="","",(U124+S124+H124+V124))</f>
        <v>#N/A</v>
      </c>
      <c r="Y124" s="202"/>
      <c r="Z124" s="185" t="e">
        <f aca="false">IF($A125="","",VLOOKUP($A124,Table,MATCH(Z$4,Curves,0)))</f>
        <v>#N/A</v>
      </c>
      <c r="AA124" s="185" t="e">
        <f aca="false">IF($A125="","",VLOOKUP($A124,Table,MATCH(AA$4,Curves,0)))</f>
        <v>#N/A</v>
      </c>
      <c r="AB124" s="185" t="e">
        <f aca="false">SQRT((AA124^2*(A124-$D$3)+Z124^2*(DAY(EOMONTH(A124,0))/2))/AK124)</f>
        <v>#N/A</v>
      </c>
      <c r="AC124" s="185" t="e">
        <f aca="false">IF($A125="","",VLOOKUP($A124,Table,MATCH(AC$4,Curves,0)))</f>
        <v>#N/A</v>
      </c>
      <c r="AD124" s="185" t="e">
        <f aca="false">IF($A125="","",VLOOKUP($A124,Table,MATCH(AD$4,Curves,0)))</f>
        <v>#N/A</v>
      </c>
      <c r="AE124" s="185" t="e">
        <f aca="false">SQRT((AD124^2*(A124-$D$3)+AC124^2*(DAY(EOMONTH(A124,0))/2))/AK124)</f>
        <v>#N/A</v>
      </c>
      <c r="AF124" s="206" t="e">
        <f aca="false">((Summary!$N$12*(AA124*AD124)*(A124-$D$3))+(Summary!$M$12*Z124*AC124*(AJ124-EOMONTH(EDATE(A124,-1),0))))/(AK124*AB124*AE124)</f>
        <v>#N/A</v>
      </c>
      <c r="AG124" s="207" t="n">
        <f aca="false">IF($A125="","",Summary!$Q$12)</f>
        <v>0</v>
      </c>
      <c r="AH124" s="207" t="n">
        <f aca="false">IF($A125="","",IF(Summary!$R$12="Y",(VLOOKUP($A124,Summary!$AD$6:$AF$9,3)+'Escalating commodity'!H137),'Escalating commodity'!H137))</f>
        <v>0.029</v>
      </c>
      <c r="AI124" s="207" t="n">
        <f aca="false">IF($A125="","",AH124)</f>
        <v>0.029</v>
      </c>
      <c r="AJ124" s="208" t="n">
        <f aca="false">A124+DAY(EOMONTH(A124,0))/2-1</f>
        <v>40527.5</v>
      </c>
      <c r="AK124" s="209" t="n">
        <f aca="false">IF($A125="","",$A124-$E$1)</f>
        <v>-5413</v>
      </c>
      <c r="AL124" s="182" t="e">
        <f aca="false">IF($A125="","",SPRDOPT(P124,X124,AI124,0,AB124,AE124,AF124,AK124,$AJ$2,0))</f>
        <v>#NAME?</v>
      </c>
      <c r="AM124" s="211" t="e">
        <f aca="false">IF($A125="","",MAX(0,O124-W124-AI124))</f>
        <v>#N/A</v>
      </c>
      <c r="AN124" s="211" t="e">
        <f aca="false">IF($A125="","",AL124-AM124)</f>
        <v>#N/A</v>
      </c>
      <c r="AO124" s="137" t="n">
        <f aca="false">IF(A125="","",A125-A124)</f>
        <v>31</v>
      </c>
      <c r="AP124" s="212" t="n">
        <f aca="false">IF(A125="","",CHOOSE(F$3,A125+24,A124))</f>
        <v>40513</v>
      </c>
      <c r="AQ124" s="209" t="n">
        <f aca="false">IF(A125="","",AP124-$E$1)</f>
        <v>-5413</v>
      </c>
      <c r="AR124" s="185" t="n">
        <f aca="false">'ANR OK vs ML7'!AR124</f>
        <v>0.1</v>
      </c>
      <c r="AS124" s="213" t="n">
        <f aca="false">IF(A125="","",1/(1+CHOOSE(F$3,(AR125+($I$3/10000))/2,(AR124+($I$3/10000))/2))^(2*AQ124/365.25))</f>
        <v>4.24668691781197</v>
      </c>
      <c r="AT124" s="137" t="n">
        <f aca="false">IF(A125="","",IF(AND(mthbeg&lt;=A124,mthend&gt;=A124),1,0))</f>
        <v>1</v>
      </c>
      <c r="AU124" s="137" t="n">
        <f aca="false">IF(A125="","",AO124*AT124)</f>
        <v>31</v>
      </c>
      <c r="AW124" s="195" t="e">
        <f aca="false">IF($A125="","",AL124*$E124)</f>
        <v>#NAME?</v>
      </c>
      <c r="AX124" s="195" t="e">
        <f aca="false">IF($A125="","",AM124*$E124)</f>
        <v>#N/A</v>
      </c>
      <c r="AY124" s="195" t="e">
        <f aca="false">IF($A125="","",AN124*$E124)</f>
        <v>#N/A</v>
      </c>
      <c r="BA124" s="195" t="n">
        <f aca="false">IF($A125="","",F124*Summary!$Q$12)</f>
        <v>0</v>
      </c>
      <c r="BC124" s="179" t="e">
        <f aca="false">IF(A125="","",AM124*F124)</f>
        <v>#N/A</v>
      </c>
    </row>
    <row r="125" customFormat="false" ht="12.75" hidden="false" customHeight="false" outlineLevel="0" collapsed="false">
      <c r="A125" s="196" t="n">
        <f aca="false">IF(A124&lt;mthend,EDATE(A124,1),"")</f>
        <v>40544</v>
      </c>
      <c r="B125" s="197" t="n">
        <f aca="false">IF(A125&lt;mthend,B124,"")</f>
        <v>36522</v>
      </c>
      <c r="C125" s="215"/>
      <c r="D125" s="197" t="n">
        <f aca="false">IF(A126&lt;&gt;"",B125+C125,"")</f>
        <v>36522</v>
      </c>
      <c r="E125" s="199" t="n">
        <f aca="false">IF(A126="","",IF(AND(AT125=1,$H$3=1),D125*AO125,IF($H$3=2,D125,"N/A")))</f>
        <v>1132182</v>
      </c>
      <c r="F125" s="199" t="n">
        <f aca="false">IF(A126="","",E125*AS125)</f>
        <v>4768367.02100099</v>
      </c>
      <c r="G125" s="200" t="e">
        <f aca="false">IF($A126="","",VLOOKUP($A125,Table,MATCH(G$4,Curves,0)))</f>
        <v>#N/A</v>
      </c>
      <c r="H125" s="201" t="e">
        <f aca="false">IF(A126="","",G125)</f>
        <v>#N/A</v>
      </c>
      <c r="I125" s="202"/>
      <c r="J125" s="200" t="e">
        <f aca="false">IF($A126="","",VLOOKUP($A125,Table,MATCH(J$4,Curves,0)))</f>
        <v>#N/A</v>
      </c>
      <c r="K125" s="201" t="e">
        <f aca="false">IF(A126="","",J125)</f>
        <v>#N/A</v>
      </c>
      <c r="L125" s="200" t="e">
        <f aca="false">IF($A126="","",VLOOKUP($A125,Table,MATCH(L$4,Curves,0)))</f>
        <v>#N/A</v>
      </c>
      <c r="M125" s="201" t="e">
        <f aca="false">IF(A126="","",L125)</f>
        <v>#N/A</v>
      </c>
      <c r="N125" s="203"/>
      <c r="O125" s="200" t="e">
        <f aca="false">IF(A126="","",L125+J125+G125)</f>
        <v>#N/A</v>
      </c>
      <c r="P125" s="200" t="e">
        <f aca="false">IF(A126="","",M125+K125+H125)</f>
        <v>#N/A</v>
      </c>
      <c r="Q125" s="204"/>
      <c r="R125" s="200" t="e">
        <f aca="false">IF($A126="","",VLOOKUP($A125,Table,MATCH(R$4,Curves,0)))</f>
        <v>#N/A</v>
      </c>
      <c r="S125" s="201" t="e">
        <f aca="false">IF(A126="","",R125)</f>
        <v>#N/A</v>
      </c>
      <c r="T125" s="200" t="e">
        <f aca="false">IF($A126="","",VLOOKUP($A125,Table,MATCH(T$4,Curves,0)))</f>
        <v>#N/A</v>
      </c>
      <c r="U125" s="201" t="e">
        <f aca="false">IF(A126="","",T125)</f>
        <v>#N/A</v>
      </c>
      <c r="V125" s="225" t="e">
        <f aca="false">IF($A126="","",IF(AND(MONTH(A125)&gt;3,MONTH(A125)&lt;11),(T125+R125+G125)*(((1/(1-Summary!$T$12))/(1-Summary!$W$12))-1),(T125+R125+G125)*((1/(1-Summary!$U$12))/(1-Summary!$X$12)-1)))</f>
        <v>#N/A</v>
      </c>
      <c r="W125" s="200" t="e">
        <f aca="false">IF($A126="","",(T125+R125+G125+V125))</f>
        <v>#N/A</v>
      </c>
      <c r="X125" s="200" t="e">
        <f aca="false">IF($A126="","",(U125+S125+H125+V125))</f>
        <v>#N/A</v>
      </c>
      <c r="Y125" s="202"/>
      <c r="Z125" s="185" t="e">
        <f aca="false">IF($A126="","",VLOOKUP($A125,Table,MATCH(Z$4,Curves,0)))</f>
        <v>#N/A</v>
      </c>
      <c r="AA125" s="185" t="e">
        <f aca="false">IF($A126="","",VLOOKUP($A125,Table,MATCH(AA$4,Curves,0)))</f>
        <v>#N/A</v>
      </c>
      <c r="AB125" s="185" t="e">
        <f aca="false">SQRT((AA125^2*(A125-$D$3)+Z125^2*(DAY(EOMONTH(A125,0))/2))/AK125)</f>
        <v>#N/A</v>
      </c>
      <c r="AC125" s="185" t="e">
        <f aca="false">IF($A126="","",VLOOKUP($A125,Table,MATCH(AC$4,Curves,0)))</f>
        <v>#N/A</v>
      </c>
      <c r="AD125" s="185" t="e">
        <f aca="false">IF($A126="","",VLOOKUP($A125,Table,MATCH(AD$4,Curves,0)))</f>
        <v>#N/A</v>
      </c>
      <c r="AE125" s="185" t="e">
        <f aca="false">SQRT((AD125^2*(A125-$D$3)+AC125^2*(DAY(EOMONTH(A125,0))/2))/AK125)</f>
        <v>#N/A</v>
      </c>
      <c r="AF125" s="206" t="e">
        <f aca="false">((Summary!$N$12*(AA125*AD125)*(A125-$D$3))+(Summary!$M$12*Z125*AC125*(AJ125-EOMONTH(EDATE(A125,-1),0))))/(AK125*AB125*AE125)</f>
        <v>#N/A</v>
      </c>
      <c r="AG125" s="207" t="n">
        <f aca="false">IF($A126="","",Summary!$Q$12)</f>
        <v>0</v>
      </c>
      <c r="AH125" s="207" t="n">
        <f aca="false">IF($A126="","",IF(Summary!$R$12="Y",(VLOOKUP($A125,Summary!$AD$6:$AF$9,3)+'Escalating commodity'!H138),'Escalating commodity'!H138))</f>
        <v>0.029</v>
      </c>
      <c r="AI125" s="207" t="n">
        <f aca="false">IF($A126="","",AH125)</f>
        <v>0.029</v>
      </c>
      <c r="AJ125" s="208" t="n">
        <f aca="false">A125+DAY(EOMONTH(A125,0))/2-1</f>
        <v>40558.5</v>
      </c>
      <c r="AK125" s="209" t="n">
        <f aca="false">IF($A126="","",$A125-$E$1)</f>
        <v>-5382</v>
      </c>
      <c r="AL125" s="182" t="e">
        <f aca="false">IF($A126="","",SPRDOPT(P125,X125,AI125,0,AB125,AE125,AF125,AK125,$AJ$2,0))</f>
        <v>#NAME?</v>
      </c>
      <c r="AM125" s="211" t="e">
        <f aca="false">IF($A126="","",MAX(0,O125-W125-AI125))</f>
        <v>#N/A</v>
      </c>
      <c r="AN125" s="211" t="e">
        <f aca="false">IF($A126="","",AL125-AM125)</f>
        <v>#N/A</v>
      </c>
      <c r="AO125" s="137" t="n">
        <f aca="false">IF(A126="","",A126-A125)</f>
        <v>31</v>
      </c>
      <c r="AP125" s="212" t="n">
        <f aca="false">IF(A126="","",CHOOSE(F$3,A126+24,A125))</f>
        <v>40544</v>
      </c>
      <c r="AQ125" s="209" t="n">
        <f aca="false">IF(A126="","",AP125-$E$1)</f>
        <v>-5382</v>
      </c>
      <c r="AR125" s="185" t="n">
        <f aca="false">'ANR OK vs ML7'!AR125</f>
        <v>0.1</v>
      </c>
      <c r="AS125" s="213" t="n">
        <f aca="false">IF(A126="","",1/(1+CHOOSE(F$3,(AR126+($I$3/10000))/2,(AR125+($I$3/10000))/2))^(2*AQ125/365.25))</f>
        <v>4.21166121789694</v>
      </c>
      <c r="AT125" s="137" t="n">
        <f aca="false">IF(A126="","",IF(AND(mthbeg&lt;=A125,mthend&gt;=A125),1,0))</f>
        <v>1</v>
      </c>
      <c r="AU125" s="137" t="n">
        <f aca="false">IF(A126="","",AO125*AT125)</f>
        <v>31</v>
      </c>
      <c r="AW125" s="195" t="e">
        <f aca="false">IF($A126="","",AL125*$E125)</f>
        <v>#NAME?</v>
      </c>
      <c r="AX125" s="195" t="e">
        <f aca="false">IF($A126="","",AM125*$E125)</f>
        <v>#N/A</v>
      </c>
      <c r="AY125" s="195" t="e">
        <f aca="false">IF($A126="","",AN125*$E125)</f>
        <v>#N/A</v>
      </c>
      <c r="BA125" s="195" t="n">
        <f aca="false">IF($A126="","",F125*Summary!$Q$12)</f>
        <v>0</v>
      </c>
      <c r="BC125" s="179" t="e">
        <f aca="false">IF(A126="","",AM125*F125)</f>
        <v>#N/A</v>
      </c>
    </row>
    <row r="126" customFormat="false" ht="12.75" hidden="false" customHeight="false" outlineLevel="0" collapsed="false">
      <c r="A126" s="196" t="n">
        <f aca="false">IF(A125&lt;mthend,EDATE(A125,1),"")</f>
        <v>40575</v>
      </c>
      <c r="B126" s="197" t="n">
        <f aca="false">IF(A126&lt;mthend,B125,"")</f>
        <v>36522</v>
      </c>
      <c r="C126" s="215"/>
      <c r="D126" s="197" t="n">
        <f aca="false">IF(A127&lt;&gt;"",B126+C126,"")</f>
        <v>36522</v>
      </c>
      <c r="E126" s="199" t="n">
        <f aca="false">IF(A127="","",IF(AND(AT126=1,$H$3=1),D126*AO126,IF($H$3=2,D126,"N/A")))</f>
        <v>1022616</v>
      </c>
      <c r="F126" s="199" t="n">
        <f aca="false">IF(A127="","",E126*AS126)</f>
        <v>4271389.72419716</v>
      </c>
      <c r="G126" s="200" t="e">
        <f aca="false">IF($A127="","",VLOOKUP($A126,Table,MATCH(G$4,Curves,0)))</f>
        <v>#N/A</v>
      </c>
      <c r="H126" s="201" t="e">
        <f aca="false">IF(A127="","",G126)</f>
        <v>#N/A</v>
      </c>
      <c r="I126" s="202"/>
      <c r="J126" s="200" t="e">
        <f aca="false">IF($A127="","",VLOOKUP($A126,Table,MATCH(J$4,Curves,0)))</f>
        <v>#N/A</v>
      </c>
      <c r="K126" s="201" t="e">
        <f aca="false">IF(A127="","",J126)</f>
        <v>#N/A</v>
      </c>
      <c r="L126" s="200" t="e">
        <f aca="false">IF($A127="","",VLOOKUP($A126,Table,MATCH(L$4,Curves,0)))</f>
        <v>#N/A</v>
      </c>
      <c r="M126" s="201" t="e">
        <f aca="false">IF(A127="","",L126)</f>
        <v>#N/A</v>
      </c>
      <c r="N126" s="203"/>
      <c r="O126" s="200" t="e">
        <f aca="false">IF(A127="","",L126+J126+G126)</f>
        <v>#N/A</v>
      </c>
      <c r="P126" s="200" t="e">
        <f aca="false">IF(A127="","",M126+K126+H126)</f>
        <v>#N/A</v>
      </c>
      <c r="Q126" s="204"/>
      <c r="R126" s="200" t="e">
        <f aca="false">IF($A127="","",VLOOKUP($A126,Table,MATCH(R$4,Curves,0)))</f>
        <v>#N/A</v>
      </c>
      <c r="S126" s="201" t="e">
        <f aca="false">IF(A127="","",R126)</f>
        <v>#N/A</v>
      </c>
      <c r="T126" s="200" t="e">
        <f aca="false">IF($A127="","",VLOOKUP($A126,Table,MATCH(T$4,Curves,0)))</f>
        <v>#N/A</v>
      </c>
      <c r="U126" s="201" t="e">
        <f aca="false">IF(A127="","",T126)</f>
        <v>#N/A</v>
      </c>
      <c r="V126" s="225" t="e">
        <f aca="false">IF($A127="","",IF(AND(MONTH(A126)&gt;3,MONTH(A126)&lt;11),(T126+R126+G126)*(((1/(1-Summary!$T$12))/(1-Summary!$W$12))-1),(T126+R126+G126)*((1/(1-Summary!$U$12))/(1-Summary!$X$12)-1)))</f>
        <v>#N/A</v>
      </c>
      <c r="W126" s="200" t="e">
        <f aca="false">IF($A127="","",(T126+R126+G126+V126))</f>
        <v>#N/A</v>
      </c>
      <c r="X126" s="200" t="e">
        <f aca="false">IF($A127="","",(U126+S126+H126+V126))</f>
        <v>#N/A</v>
      </c>
      <c r="Y126" s="202"/>
      <c r="Z126" s="185" t="e">
        <f aca="false">IF($A127="","",VLOOKUP($A126,Table,MATCH(Z$4,Curves,0)))</f>
        <v>#N/A</v>
      </c>
      <c r="AA126" s="185" t="e">
        <f aca="false">IF($A127="","",VLOOKUP($A126,Table,MATCH(AA$4,Curves,0)))</f>
        <v>#N/A</v>
      </c>
      <c r="AB126" s="185" t="e">
        <f aca="false">SQRT((AA126^2*(A126-$D$3)+Z126^2*(DAY(EOMONTH(A126,0))/2))/AK126)</f>
        <v>#N/A</v>
      </c>
      <c r="AC126" s="185" t="e">
        <f aca="false">IF($A127="","",VLOOKUP($A126,Table,MATCH(AC$4,Curves,0)))</f>
        <v>#N/A</v>
      </c>
      <c r="AD126" s="185" t="e">
        <f aca="false">IF($A127="","",VLOOKUP($A126,Table,MATCH(AD$4,Curves,0)))</f>
        <v>#N/A</v>
      </c>
      <c r="AE126" s="185" t="e">
        <f aca="false">SQRT((AD126^2*(A126-$D$3)+AC126^2*(DAY(EOMONTH(A126,0))/2))/AK126)</f>
        <v>#N/A</v>
      </c>
      <c r="AF126" s="206" t="e">
        <f aca="false">((Summary!$N$12*(AA126*AD126)*(A126-$D$3))+(Summary!$M$12*Z126*AC126*(AJ126-EOMONTH(EDATE(A126,-1),0))))/(AK126*AB126*AE126)</f>
        <v>#N/A</v>
      </c>
      <c r="AG126" s="207" t="n">
        <f aca="false">IF($A127="","",Summary!$Q$12)</f>
        <v>0</v>
      </c>
      <c r="AH126" s="207" t="n">
        <f aca="false">IF($A127="","",IF(Summary!$R$12="Y",(VLOOKUP($A126,Summary!$AD$6:$AF$9,3)+'Escalating commodity'!H139),'Escalating commodity'!H139))</f>
        <v>0.029</v>
      </c>
      <c r="AI126" s="207" t="n">
        <f aca="false">IF($A127="","",AH126)</f>
        <v>0.029</v>
      </c>
      <c r="AJ126" s="208" t="n">
        <f aca="false">A126+DAY(EOMONTH(A126,0))/2-1</f>
        <v>40588</v>
      </c>
      <c r="AK126" s="209" t="n">
        <f aca="false">IF($A127="","",$A126-$E$1)</f>
        <v>-5351</v>
      </c>
      <c r="AL126" s="182" t="e">
        <f aca="false">IF($A127="","",SPRDOPT(P126,X126,AI126,0,AB126,AE126,AF126,AK126,$AJ$2,0))</f>
        <v>#NAME?</v>
      </c>
      <c r="AM126" s="211" t="e">
        <f aca="false">IF($A127="","",MAX(0,O126-W126-AI126))</f>
        <v>#N/A</v>
      </c>
      <c r="AN126" s="211" t="e">
        <f aca="false">IF($A127="","",AL126-AM126)</f>
        <v>#N/A</v>
      </c>
      <c r="AO126" s="137" t="n">
        <f aca="false">IF(A127="","",A127-A126)</f>
        <v>28</v>
      </c>
      <c r="AP126" s="212" t="n">
        <f aca="false">IF(A127="","",CHOOSE(F$3,A127+24,A126))</f>
        <v>40575</v>
      </c>
      <c r="AQ126" s="209" t="n">
        <f aca="false">IF(A127="","",AP126-$E$1)</f>
        <v>-5351</v>
      </c>
      <c r="AR126" s="185" t="n">
        <f aca="false">'ANR OK vs ML7'!AR126</f>
        <v>0.1</v>
      </c>
      <c r="AS126" s="213" t="n">
        <f aca="false">IF(A127="","",1/(1+CHOOSE(F$3,(AR127+($I$3/10000))/2,(AR126+($I$3/10000))/2))^(2*AQ126/365.25))</f>
        <v>4.17692440192326</v>
      </c>
      <c r="AT126" s="137" t="n">
        <f aca="false">IF(A127="","",IF(AND(mthbeg&lt;=A126,mthend&gt;=A126),1,0))</f>
        <v>1</v>
      </c>
      <c r="AU126" s="137" t="n">
        <f aca="false">IF(A127="","",AO126*AT126)</f>
        <v>28</v>
      </c>
      <c r="AW126" s="195" t="e">
        <f aca="false">IF($A127="","",AL126*$E126)</f>
        <v>#NAME?</v>
      </c>
      <c r="AX126" s="195" t="e">
        <f aca="false">IF($A127="","",AM126*$E126)</f>
        <v>#N/A</v>
      </c>
      <c r="AY126" s="195" t="e">
        <f aca="false">IF($A127="","",AN126*$E126)</f>
        <v>#N/A</v>
      </c>
      <c r="BA126" s="195" t="n">
        <f aca="false">IF($A127="","",F126*Summary!$Q$12)</f>
        <v>0</v>
      </c>
      <c r="BC126" s="179" t="e">
        <f aca="false">IF(A127="","",AM126*F126)</f>
        <v>#N/A</v>
      </c>
    </row>
    <row r="127" customFormat="false" ht="12.75" hidden="false" customHeight="false" outlineLevel="0" collapsed="false">
      <c r="A127" s="196" t="n">
        <f aca="false">IF(A126&lt;mthend,EDATE(A126,1),"")</f>
        <v>40603</v>
      </c>
      <c r="B127" s="197" t="n">
        <f aca="false">IF(A127&lt;mthend,B126,"")</f>
        <v>36522</v>
      </c>
      <c r="C127" s="215"/>
      <c r="D127" s="197" t="n">
        <f aca="false">IF(A128&lt;&gt;"",B127+C127,"")</f>
        <v>36522</v>
      </c>
      <c r="E127" s="199" t="n">
        <f aca="false">IF(A128="","",IF(AND(AT127=1,$H$3=1),D127*AO127,IF($H$3=2,D127,"N/A")))</f>
        <v>1132182</v>
      </c>
      <c r="F127" s="199" t="n">
        <f aca="false">IF(A128="","",E127*AS127)</f>
        <v>4693795.07807623</v>
      </c>
      <c r="G127" s="200" t="e">
        <f aca="false">IF($A128="","",VLOOKUP($A127,Table,MATCH(G$4,Curves,0)))</f>
        <v>#N/A</v>
      </c>
      <c r="H127" s="201" t="e">
        <f aca="false">IF(A128="","",G127)</f>
        <v>#N/A</v>
      </c>
      <c r="I127" s="202"/>
      <c r="J127" s="200" t="e">
        <f aca="false">IF($A128="","",VLOOKUP($A127,Table,MATCH(J$4,Curves,0)))</f>
        <v>#N/A</v>
      </c>
      <c r="K127" s="201" t="e">
        <f aca="false">IF(A128="","",J127)</f>
        <v>#N/A</v>
      </c>
      <c r="L127" s="200" t="e">
        <f aca="false">IF($A128="","",VLOOKUP($A127,Table,MATCH(L$4,Curves,0)))</f>
        <v>#N/A</v>
      </c>
      <c r="M127" s="201" t="e">
        <f aca="false">IF(A128="","",L127)</f>
        <v>#N/A</v>
      </c>
      <c r="N127" s="203"/>
      <c r="O127" s="200" t="e">
        <f aca="false">IF(A128="","",L127+J127+G127)</f>
        <v>#N/A</v>
      </c>
      <c r="P127" s="200" t="e">
        <f aca="false">IF(A128="","",M127+K127+H127)</f>
        <v>#N/A</v>
      </c>
      <c r="Q127" s="204"/>
      <c r="R127" s="200" t="e">
        <f aca="false">IF($A128="","",VLOOKUP($A127,Table,MATCH(R$4,Curves,0)))</f>
        <v>#N/A</v>
      </c>
      <c r="S127" s="201" t="e">
        <f aca="false">IF(A128="","",R127)</f>
        <v>#N/A</v>
      </c>
      <c r="T127" s="200" t="e">
        <f aca="false">IF($A128="","",VLOOKUP($A127,Table,MATCH(T$4,Curves,0)))</f>
        <v>#N/A</v>
      </c>
      <c r="U127" s="201" t="e">
        <f aca="false">IF(A128="","",T127)</f>
        <v>#N/A</v>
      </c>
      <c r="V127" s="225" t="e">
        <f aca="false">IF($A128="","",IF(AND(MONTH(A127)&gt;3,MONTH(A127)&lt;11),(T127+R127+G127)*(((1/(1-Summary!$T$12))/(1-Summary!$W$12))-1),(T127+R127+G127)*((1/(1-Summary!$U$12))/(1-Summary!$X$12)-1)))</f>
        <v>#N/A</v>
      </c>
      <c r="W127" s="200" t="e">
        <f aca="false">IF($A128="","",(T127+R127+G127+V127))</f>
        <v>#N/A</v>
      </c>
      <c r="X127" s="200" t="e">
        <f aca="false">IF($A128="","",(U127+S127+H127+V127))</f>
        <v>#N/A</v>
      </c>
      <c r="Y127" s="202"/>
      <c r="Z127" s="185" t="e">
        <f aca="false">IF($A128="","",VLOOKUP($A127,Table,MATCH(Z$4,Curves,0)))</f>
        <v>#N/A</v>
      </c>
      <c r="AA127" s="185" t="e">
        <f aca="false">IF($A128="","",VLOOKUP($A127,Table,MATCH(AA$4,Curves,0)))</f>
        <v>#N/A</v>
      </c>
      <c r="AB127" s="185" t="e">
        <f aca="false">SQRT((AA127^2*(A127-$D$3)+Z127^2*(DAY(EOMONTH(A127,0))/2))/AK127)</f>
        <v>#N/A</v>
      </c>
      <c r="AC127" s="185" t="e">
        <f aca="false">IF($A128="","",VLOOKUP($A127,Table,MATCH(AC$4,Curves,0)))</f>
        <v>#N/A</v>
      </c>
      <c r="AD127" s="185" t="e">
        <f aca="false">IF($A128="","",VLOOKUP($A127,Table,MATCH(AD$4,Curves,0)))</f>
        <v>#N/A</v>
      </c>
      <c r="AE127" s="185" t="e">
        <f aca="false">SQRT((AD127^2*(A127-$D$3)+AC127^2*(DAY(EOMONTH(A127,0))/2))/AK127)</f>
        <v>#N/A</v>
      </c>
      <c r="AF127" s="206" t="e">
        <f aca="false">((Summary!$N$12*(AA127*AD127)*(A127-$D$3))+(Summary!$M$12*Z127*AC127*(AJ127-EOMONTH(EDATE(A127,-1),0))))/(AK127*AB127*AE127)</f>
        <v>#N/A</v>
      </c>
      <c r="AG127" s="207" t="n">
        <f aca="false">IF($A128="","",Summary!$Q$12)</f>
        <v>0</v>
      </c>
      <c r="AH127" s="207" t="n">
        <f aca="false">IF($A128="","",IF(Summary!$R$12="Y",(VLOOKUP($A127,Summary!$AD$6:$AF$9,3)+'Escalating commodity'!H140),'Escalating commodity'!H140))</f>
        <v>0.029</v>
      </c>
      <c r="AI127" s="207" t="n">
        <f aca="false">IF($A128="","",AH127)</f>
        <v>0.029</v>
      </c>
      <c r="AJ127" s="208" t="n">
        <f aca="false">A127+DAY(EOMONTH(A127,0))/2-1</f>
        <v>40617.5</v>
      </c>
      <c r="AK127" s="209" t="n">
        <f aca="false">IF($A128="","",$A127-$E$1)</f>
        <v>-5323</v>
      </c>
      <c r="AL127" s="182" t="e">
        <f aca="false">IF($A128="","",SPRDOPT(P127,X127,AI127,0,AB127,AE127,AF127,AK127,$AJ$2,0))</f>
        <v>#NAME?</v>
      </c>
      <c r="AM127" s="211" t="e">
        <f aca="false">IF($A128="","",MAX(0,O127-W127-AI127))</f>
        <v>#N/A</v>
      </c>
      <c r="AN127" s="211" t="e">
        <f aca="false">IF($A128="","",AL127-AM127)</f>
        <v>#N/A</v>
      </c>
      <c r="AO127" s="137" t="n">
        <f aca="false">IF(A128="","",A128-A127)</f>
        <v>31</v>
      </c>
      <c r="AP127" s="212" t="n">
        <f aca="false">IF(A128="","",CHOOSE(F$3,A128+24,A127))</f>
        <v>40603</v>
      </c>
      <c r="AQ127" s="209" t="n">
        <f aca="false">IF(A128="","",AP127-$E$1)</f>
        <v>-5323</v>
      </c>
      <c r="AR127" s="185" t="n">
        <f aca="false">'ANR OK vs ML7'!AR127</f>
        <v>0.1</v>
      </c>
      <c r="AS127" s="213" t="n">
        <f aca="false">IF(A128="","",1/(1+CHOOSE(F$3,(AR128+($I$3/10000))/2,(AR127+($I$3/10000))/2))^(2*AQ127/365.25))</f>
        <v>4.14579553294102</v>
      </c>
      <c r="AT127" s="137" t="n">
        <f aca="false">IF(A128="","",IF(AND(mthbeg&lt;=A127,mthend&gt;=A127),1,0))</f>
        <v>1</v>
      </c>
      <c r="AU127" s="137" t="n">
        <f aca="false">IF(A128="","",AO127*AT127)</f>
        <v>31</v>
      </c>
      <c r="AW127" s="195" t="e">
        <f aca="false">IF($A128="","",AL127*$E127)</f>
        <v>#NAME?</v>
      </c>
      <c r="AX127" s="195" t="e">
        <f aca="false">IF($A128="","",AM127*$E127)</f>
        <v>#N/A</v>
      </c>
      <c r="AY127" s="195" t="e">
        <f aca="false">IF($A128="","",AN127*$E127)</f>
        <v>#N/A</v>
      </c>
      <c r="BA127" s="195" t="n">
        <f aca="false">IF($A128="","",F127*Summary!$Q$12)</f>
        <v>0</v>
      </c>
      <c r="BC127" s="179" t="e">
        <f aca="false">IF(A128="","",AM127*F127)</f>
        <v>#N/A</v>
      </c>
    </row>
    <row r="128" customFormat="false" ht="12.75" hidden="false" customHeight="false" outlineLevel="0" collapsed="false">
      <c r="A128" s="196" t="n">
        <f aca="false">IF(A127&lt;mthend,EDATE(A127,1),"")</f>
        <v>40634</v>
      </c>
      <c r="B128" s="197" t="n">
        <f aca="false">IF(A128&lt;mthend,B127,"")</f>
        <v>36522</v>
      </c>
      <c r="C128" s="215"/>
      <c r="D128" s="197" t="n">
        <f aca="false">IF(A129&lt;&gt;"",B128+C128,"")</f>
        <v>36522</v>
      </c>
      <c r="E128" s="199" t="n">
        <f aca="false">IF(A129="","",IF(AND(AT128=1,$H$3=1),D128*AO128,IF($H$3=2,D128,"N/A")))</f>
        <v>1095660</v>
      </c>
      <c r="F128" s="199" t="n">
        <f aca="false">IF(A129="","",E128*AS128)</f>
        <v>4504917.80572172</v>
      </c>
      <c r="G128" s="200" t="e">
        <f aca="false">IF($A129="","",VLOOKUP($A128,Table,MATCH(G$4,Curves,0)))</f>
        <v>#N/A</v>
      </c>
      <c r="H128" s="201" t="e">
        <f aca="false">IF(A129="","",G128)</f>
        <v>#N/A</v>
      </c>
      <c r="I128" s="202"/>
      <c r="J128" s="200" t="e">
        <f aca="false">IF($A129="","",VLOOKUP($A128,Table,MATCH(J$4,Curves,0)))</f>
        <v>#N/A</v>
      </c>
      <c r="K128" s="201" t="e">
        <f aca="false">IF(A129="","",J128)</f>
        <v>#N/A</v>
      </c>
      <c r="L128" s="200" t="e">
        <f aca="false">IF($A129="","",VLOOKUP($A128,Table,MATCH(L$4,Curves,0)))</f>
        <v>#N/A</v>
      </c>
      <c r="M128" s="201" t="e">
        <f aca="false">IF(A129="","",L128)</f>
        <v>#N/A</v>
      </c>
      <c r="N128" s="203"/>
      <c r="O128" s="200" t="e">
        <f aca="false">IF(A129="","",L128+J128+G128)</f>
        <v>#N/A</v>
      </c>
      <c r="P128" s="200" t="e">
        <f aca="false">IF(A129="","",M128+K128+H128)</f>
        <v>#N/A</v>
      </c>
      <c r="Q128" s="204"/>
      <c r="R128" s="200" t="e">
        <f aca="false">IF($A129="","",VLOOKUP($A128,Table,MATCH(R$4,Curves,0)))</f>
        <v>#N/A</v>
      </c>
      <c r="S128" s="201" t="e">
        <f aca="false">IF(A129="","",R128)</f>
        <v>#N/A</v>
      </c>
      <c r="T128" s="200" t="e">
        <f aca="false">IF($A129="","",VLOOKUP($A128,Table,MATCH(T$4,Curves,0)))</f>
        <v>#N/A</v>
      </c>
      <c r="U128" s="201" t="e">
        <f aca="false">IF(A129="","",T128)</f>
        <v>#N/A</v>
      </c>
      <c r="V128" s="225" t="e">
        <f aca="false">IF($A129="","",IF(AND(MONTH(A128)&gt;3,MONTH(A128)&lt;11),(T128+R128+G128)*(((1/(1-Summary!$T$12))/(1-Summary!$W$12))-1),(T128+R128+G128)*((1/(1-Summary!$U$12))/(1-Summary!$X$12)-1)))</f>
        <v>#N/A</v>
      </c>
      <c r="W128" s="200" t="e">
        <f aca="false">IF($A129="","",(T128+R128+G128+V128))</f>
        <v>#N/A</v>
      </c>
      <c r="X128" s="200" t="e">
        <f aca="false">IF($A129="","",(U128+S128+H128+V128))</f>
        <v>#N/A</v>
      </c>
      <c r="Y128" s="202"/>
      <c r="Z128" s="185" t="e">
        <f aca="false">IF($A129="","",VLOOKUP($A128,Table,MATCH(Z$4,Curves,0)))</f>
        <v>#N/A</v>
      </c>
      <c r="AA128" s="185" t="e">
        <f aca="false">IF($A129="","",VLOOKUP($A128,Table,MATCH(AA$4,Curves,0)))</f>
        <v>#N/A</v>
      </c>
      <c r="AB128" s="185" t="e">
        <f aca="false">SQRT((AA128^2*(A128-$D$3)+Z128^2*(DAY(EOMONTH(A128,0))/2))/AK128)</f>
        <v>#N/A</v>
      </c>
      <c r="AC128" s="185" t="e">
        <f aca="false">IF($A129="","",VLOOKUP($A128,Table,MATCH(AC$4,Curves,0)))</f>
        <v>#N/A</v>
      </c>
      <c r="AD128" s="185" t="e">
        <f aca="false">IF($A129="","",VLOOKUP($A128,Table,MATCH(AD$4,Curves,0)))</f>
        <v>#N/A</v>
      </c>
      <c r="AE128" s="185" t="e">
        <f aca="false">SQRT((AD128^2*(A128-$D$3)+AC128^2*(DAY(EOMONTH(A128,0))/2))/AK128)</f>
        <v>#N/A</v>
      </c>
      <c r="AF128" s="206" t="e">
        <f aca="false">((Summary!$N$12*(AA128*AD128)*(A128-$D$3))+(Summary!$M$12*Z128*AC128*(AJ128-EOMONTH(EDATE(A128,-1),0))))/(AK128*AB128*AE128)</f>
        <v>#N/A</v>
      </c>
      <c r="AG128" s="207" t="n">
        <f aca="false">IF($A129="","",Summary!$Q$12)</f>
        <v>0</v>
      </c>
      <c r="AH128" s="207" t="n">
        <f aca="false">IF($A129="","",IF(Summary!$R$12="Y",(VLOOKUP($A128,Summary!$AD$6:$AF$9,3)+'Escalating commodity'!H141),'Escalating commodity'!H141))</f>
        <v>0.029</v>
      </c>
      <c r="AI128" s="207" t="n">
        <f aca="false">IF($A129="","",AH128)</f>
        <v>0.029</v>
      </c>
      <c r="AJ128" s="208" t="n">
        <f aca="false">A128+DAY(EOMONTH(A128,0))/2-1</f>
        <v>40648</v>
      </c>
      <c r="AK128" s="209" t="n">
        <f aca="false">IF($A129="","",$A128-$E$1)</f>
        <v>-5292</v>
      </c>
      <c r="AL128" s="182" t="e">
        <f aca="false">IF($A129="","",SPRDOPT(P128,X128,AI128,0,AB128,AE128,AF128,AK128,$AJ$2,0))</f>
        <v>#NAME?</v>
      </c>
      <c r="AM128" s="211" t="e">
        <f aca="false">IF($A129="","",MAX(0,O128-W128-AI128))</f>
        <v>#N/A</v>
      </c>
      <c r="AN128" s="211" t="e">
        <f aca="false">IF($A129="","",AL128-AM128)</f>
        <v>#N/A</v>
      </c>
      <c r="AO128" s="137" t="n">
        <f aca="false">IF(A129="","",A129-A128)</f>
        <v>30</v>
      </c>
      <c r="AP128" s="212" t="n">
        <f aca="false">IF(A129="","",CHOOSE(F$3,A129+24,A128))</f>
        <v>40634</v>
      </c>
      <c r="AQ128" s="209" t="n">
        <f aca="false">IF(A129="","",AP128-$E$1)</f>
        <v>-5292</v>
      </c>
      <c r="AR128" s="185" t="n">
        <f aca="false">'ANR OK vs ML7'!AR128</f>
        <v>0.1</v>
      </c>
      <c r="AS128" s="213" t="n">
        <f aca="false">IF(A129="","",1/(1+CHOOSE(F$3,(AR129+($I$3/10000))/2,(AR128+($I$3/10000))/2))^(2*AQ128/365.25))</f>
        <v>4.11160196203358</v>
      </c>
      <c r="AT128" s="137" t="n">
        <f aca="false">IF(A129="","",IF(AND(mthbeg&lt;=A128,mthend&gt;=A128),1,0))</f>
        <v>1</v>
      </c>
      <c r="AU128" s="137" t="n">
        <f aca="false">IF(A129="","",AO128*AT128)</f>
        <v>30</v>
      </c>
      <c r="AW128" s="195" t="e">
        <f aca="false">IF($A129="","",AL128*$E128)</f>
        <v>#NAME?</v>
      </c>
      <c r="AX128" s="195" t="e">
        <f aca="false">IF($A129="","",AM128*$E128)</f>
        <v>#N/A</v>
      </c>
      <c r="AY128" s="195" t="e">
        <f aca="false">IF($A129="","",AN128*$E128)</f>
        <v>#N/A</v>
      </c>
      <c r="BA128" s="195" t="n">
        <f aca="false">IF($A129="","",F128*Summary!$Q$12)</f>
        <v>0</v>
      </c>
      <c r="BC128" s="179" t="e">
        <f aca="false">IF(A129="","",AM128*F128)</f>
        <v>#N/A</v>
      </c>
    </row>
    <row r="129" customFormat="false" ht="12.75" hidden="false" customHeight="false" outlineLevel="0" collapsed="false">
      <c r="A129" s="196" t="n">
        <f aca="false">IF(A128&lt;mthend,EDATE(A128,1),"")</f>
        <v>40664</v>
      </c>
      <c r="B129" s="197" t="n">
        <f aca="false">IF(A129&lt;mthend,B128,"")</f>
        <v>36522</v>
      </c>
      <c r="C129" s="215"/>
      <c r="D129" s="197" t="n">
        <f aca="false">IF(A130&lt;&gt;"",B129+C129,"")</f>
        <v>36522</v>
      </c>
      <c r="E129" s="199" t="n">
        <f aca="false">IF(A130="","",IF(AND(AT129=1,$H$3=1),D129*AO129,IF($H$3=2,D129,"N/A")))</f>
        <v>1132182</v>
      </c>
      <c r="F129" s="199" t="n">
        <f aca="false">IF(A130="","",E129*AS129)</f>
        <v>4617921.2466812</v>
      </c>
      <c r="G129" s="200" t="e">
        <f aca="false">IF($A130="","",VLOOKUP($A129,Table,MATCH(G$4,Curves,0)))</f>
        <v>#N/A</v>
      </c>
      <c r="H129" s="201" t="e">
        <f aca="false">IF(A130="","",G129)</f>
        <v>#N/A</v>
      </c>
      <c r="I129" s="202"/>
      <c r="J129" s="200" t="e">
        <f aca="false">IF($A130="","",VLOOKUP($A129,Table,MATCH(J$4,Curves,0)))</f>
        <v>#N/A</v>
      </c>
      <c r="K129" s="201" t="e">
        <f aca="false">IF(A130="","",J129)</f>
        <v>#N/A</v>
      </c>
      <c r="L129" s="200" t="e">
        <f aca="false">IF($A130="","",VLOOKUP($A129,Table,MATCH(L$4,Curves,0)))</f>
        <v>#N/A</v>
      </c>
      <c r="M129" s="201" t="e">
        <f aca="false">IF(A130="","",L129)</f>
        <v>#N/A</v>
      </c>
      <c r="N129" s="203"/>
      <c r="O129" s="200" t="e">
        <f aca="false">IF(A130="","",L129+J129+G129)</f>
        <v>#N/A</v>
      </c>
      <c r="P129" s="200" t="e">
        <f aca="false">IF(A130="","",M129+K129+H129)</f>
        <v>#N/A</v>
      </c>
      <c r="Q129" s="204"/>
      <c r="R129" s="200" t="e">
        <f aca="false">IF($A130="","",VLOOKUP($A129,Table,MATCH(R$4,Curves,0)))</f>
        <v>#N/A</v>
      </c>
      <c r="S129" s="201" t="e">
        <f aca="false">IF(A130="","",R129)</f>
        <v>#N/A</v>
      </c>
      <c r="T129" s="200" t="e">
        <f aca="false">IF($A130="","",VLOOKUP($A129,Table,MATCH(T$4,Curves,0)))</f>
        <v>#N/A</v>
      </c>
      <c r="U129" s="201" t="e">
        <f aca="false">IF(A130="","",T129)</f>
        <v>#N/A</v>
      </c>
      <c r="V129" s="225" t="e">
        <f aca="false">IF($A130="","",IF(AND(MONTH(A129)&gt;3,MONTH(A129)&lt;11),(T129+R129+G129)*(((1/(1-Summary!$T$12))/(1-Summary!$W$12))-1),(T129+R129+G129)*((1/(1-Summary!$U$12))/(1-Summary!$X$12)-1)))</f>
        <v>#N/A</v>
      </c>
      <c r="W129" s="200" t="e">
        <f aca="false">IF($A130="","",(T129+R129+G129+V129))</f>
        <v>#N/A</v>
      </c>
      <c r="X129" s="200" t="e">
        <f aca="false">IF($A130="","",(U129+S129+H129+V129))</f>
        <v>#N/A</v>
      </c>
      <c r="Y129" s="202"/>
      <c r="Z129" s="185" t="e">
        <f aca="false">IF($A130="","",VLOOKUP($A129,Table,MATCH(Z$4,Curves,0)))</f>
        <v>#N/A</v>
      </c>
      <c r="AA129" s="185" t="e">
        <f aca="false">IF($A130="","",VLOOKUP($A129,Table,MATCH(AA$4,Curves,0)))</f>
        <v>#N/A</v>
      </c>
      <c r="AB129" s="185" t="e">
        <f aca="false">SQRT((AA129^2*(A129-$D$3)+Z129^2*(DAY(EOMONTH(A129,0))/2))/AK129)</f>
        <v>#N/A</v>
      </c>
      <c r="AC129" s="185" t="e">
        <f aca="false">IF($A130="","",VLOOKUP($A129,Table,MATCH(AC$4,Curves,0)))</f>
        <v>#N/A</v>
      </c>
      <c r="AD129" s="185" t="e">
        <f aca="false">IF($A130="","",VLOOKUP($A129,Table,MATCH(AD$4,Curves,0)))</f>
        <v>#N/A</v>
      </c>
      <c r="AE129" s="185" t="e">
        <f aca="false">SQRT((AD129^2*(A129-$D$3)+AC129^2*(DAY(EOMONTH(A129,0))/2))/AK129)</f>
        <v>#N/A</v>
      </c>
      <c r="AF129" s="206" t="e">
        <f aca="false">((Summary!$N$12*(AA129*AD129)*(A129-$D$3))+(Summary!$M$12*Z129*AC129*(AJ129-EOMONTH(EDATE(A129,-1),0))))/(AK129*AB129*AE129)</f>
        <v>#N/A</v>
      </c>
      <c r="AG129" s="207" t="n">
        <f aca="false">IF($A130="","",Summary!$Q$12)</f>
        <v>0</v>
      </c>
      <c r="AH129" s="207" t="n">
        <f aca="false">IF($A130="","",IF(Summary!$R$12="Y",(VLOOKUP($A129,Summary!$AD$6:$AF$9,3)+'Escalating commodity'!H142),'Escalating commodity'!H142))</f>
        <v>0.029</v>
      </c>
      <c r="AI129" s="207" t="n">
        <f aca="false">IF($A130="","",AH129)</f>
        <v>0.029</v>
      </c>
      <c r="AJ129" s="208" t="n">
        <f aca="false">A129+DAY(EOMONTH(A129,0))/2-1</f>
        <v>40678.5</v>
      </c>
      <c r="AK129" s="209" t="n">
        <f aca="false">IF($A130="","",$A129-$E$1)</f>
        <v>-5262</v>
      </c>
      <c r="AL129" s="182" t="e">
        <f aca="false">IF($A130="","",SPRDOPT(P129,X129,AI129,0,AB129,AE129,AF129,AK129,$AJ$2,0))</f>
        <v>#NAME?</v>
      </c>
      <c r="AM129" s="211" t="e">
        <f aca="false">IF($A130="","",MAX(0,O129-W129-AI129))</f>
        <v>#N/A</v>
      </c>
      <c r="AN129" s="211" t="e">
        <f aca="false">IF($A130="","",AL129-AM129)</f>
        <v>#N/A</v>
      </c>
      <c r="AO129" s="137" t="n">
        <f aca="false">IF(A130="","",A130-A129)</f>
        <v>31</v>
      </c>
      <c r="AP129" s="212" t="n">
        <f aca="false">IF(A130="","",CHOOSE(F$3,A130+24,A129))</f>
        <v>40664</v>
      </c>
      <c r="AQ129" s="209" t="n">
        <f aca="false">IF(A130="","",AP129-$E$1)</f>
        <v>-5262</v>
      </c>
      <c r="AR129" s="185" t="n">
        <f aca="false">'ANR OK vs ML7'!AR129</f>
        <v>0.1</v>
      </c>
      <c r="AS129" s="213" t="n">
        <f aca="false">IF(A130="","",1/(1+CHOOSE(F$3,(AR130+($I$3/10000))/2,(AR129+($I$3/10000))/2))^(2*AQ129/365.25))</f>
        <v>4.07877995470799</v>
      </c>
      <c r="AT129" s="137" t="n">
        <f aca="false">IF(A130="","",IF(AND(mthbeg&lt;=A129,mthend&gt;=A129),1,0))</f>
        <v>1</v>
      </c>
      <c r="AU129" s="137" t="n">
        <f aca="false">IF(A130="","",AO129*AT129)</f>
        <v>31</v>
      </c>
      <c r="AW129" s="195" t="e">
        <f aca="false">IF($A130="","",AL129*$E129)</f>
        <v>#NAME?</v>
      </c>
      <c r="AX129" s="195" t="e">
        <f aca="false">IF($A130="","",AM129*$E129)</f>
        <v>#N/A</v>
      </c>
      <c r="AY129" s="195" t="e">
        <f aca="false">IF($A130="","",AN129*$E129)</f>
        <v>#N/A</v>
      </c>
      <c r="BA129" s="195" t="n">
        <f aca="false">IF($A130="","",F129*Summary!$Q$12)</f>
        <v>0</v>
      </c>
      <c r="BC129" s="179" t="e">
        <f aca="false">IF(A130="","",AM129*F129)</f>
        <v>#N/A</v>
      </c>
    </row>
    <row r="130" customFormat="false" ht="12.75" hidden="false" customHeight="false" outlineLevel="0" collapsed="false">
      <c r="A130" s="196" t="n">
        <f aca="false">IF(A129&lt;mthend,EDATE(A129,1),"")</f>
        <v>40695</v>
      </c>
      <c r="B130" s="197" t="n">
        <f aca="false">IF(A130&lt;mthend,B129,"")</f>
        <v>36522</v>
      </c>
      <c r="C130" s="215"/>
      <c r="D130" s="197" t="n">
        <f aca="false">IF(A131&lt;&gt;"",B130+C130,"")</f>
        <v>36522</v>
      </c>
      <c r="E130" s="199" t="n">
        <f aca="false">IF(A131="","",IF(AND(AT130=1,$H$3=1),D130*AO130,IF($H$3=2,D130,"N/A")))</f>
        <v>1095660</v>
      </c>
      <c r="F130" s="199" t="n">
        <f aca="false">IF(A131="","",E130*AS130)</f>
        <v>4432097.12046506</v>
      </c>
      <c r="G130" s="200" t="e">
        <f aca="false">IF($A131="","",VLOOKUP($A130,Table,MATCH(G$4,Curves,0)))</f>
        <v>#N/A</v>
      </c>
      <c r="H130" s="201" t="e">
        <f aca="false">IF(A131="","",G130)</f>
        <v>#N/A</v>
      </c>
      <c r="I130" s="202"/>
      <c r="J130" s="200" t="e">
        <f aca="false">IF($A131="","",VLOOKUP($A130,Table,MATCH(J$4,Curves,0)))</f>
        <v>#N/A</v>
      </c>
      <c r="K130" s="201" t="e">
        <f aca="false">IF(A131="","",J130)</f>
        <v>#N/A</v>
      </c>
      <c r="L130" s="200" t="e">
        <f aca="false">IF($A131="","",VLOOKUP($A130,Table,MATCH(L$4,Curves,0)))</f>
        <v>#N/A</v>
      </c>
      <c r="M130" s="201" t="e">
        <f aca="false">IF(A131="","",L130)</f>
        <v>#N/A</v>
      </c>
      <c r="N130" s="203"/>
      <c r="O130" s="200" t="e">
        <f aca="false">IF(A131="","",L130+J130+G130)</f>
        <v>#N/A</v>
      </c>
      <c r="P130" s="200" t="e">
        <f aca="false">IF(A131="","",M130+K130+H130)</f>
        <v>#N/A</v>
      </c>
      <c r="Q130" s="204"/>
      <c r="R130" s="200" t="e">
        <f aca="false">IF($A131="","",VLOOKUP($A130,Table,MATCH(R$4,Curves,0)))</f>
        <v>#N/A</v>
      </c>
      <c r="S130" s="201" t="e">
        <f aca="false">IF(A131="","",R130)</f>
        <v>#N/A</v>
      </c>
      <c r="T130" s="200" t="e">
        <f aca="false">IF($A131="","",VLOOKUP($A130,Table,MATCH(T$4,Curves,0)))</f>
        <v>#N/A</v>
      </c>
      <c r="U130" s="201" t="e">
        <f aca="false">IF(A131="","",T130)</f>
        <v>#N/A</v>
      </c>
      <c r="V130" s="225" t="e">
        <f aca="false">IF($A131="","",IF(AND(MONTH(A130)&gt;3,MONTH(A130)&lt;11),(T130+R130+G130)*(((1/(1-Summary!$T$12))/(1-Summary!$W$12))-1),(T130+R130+G130)*((1/(1-Summary!$U$12))/(1-Summary!$X$12)-1)))</f>
        <v>#N/A</v>
      </c>
      <c r="W130" s="200" t="e">
        <f aca="false">IF($A131="","",(T130+R130+G130+V130))</f>
        <v>#N/A</v>
      </c>
      <c r="X130" s="200" t="e">
        <f aca="false">IF($A131="","",(U130+S130+H130+V130))</f>
        <v>#N/A</v>
      </c>
      <c r="Y130" s="202"/>
      <c r="Z130" s="185" t="e">
        <f aca="false">IF($A131="","",VLOOKUP($A130,Table,MATCH(Z$4,Curves,0)))</f>
        <v>#N/A</v>
      </c>
      <c r="AA130" s="185" t="e">
        <f aca="false">IF($A131="","",VLOOKUP($A130,Table,MATCH(AA$4,Curves,0)))</f>
        <v>#N/A</v>
      </c>
      <c r="AB130" s="185" t="e">
        <f aca="false">SQRT((AA130^2*(A130-$D$3)+Z130^2*(DAY(EOMONTH(A130,0))/2))/AK130)</f>
        <v>#N/A</v>
      </c>
      <c r="AC130" s="185" t="e">
        <f aca="false">IF($A131="","",VLOOKUP($A130,Table,MATCH(AC$4,Curves,0)))</f>
        <v>#N/A</v>
      </c>
      <c r="AD130" s="185" t="e">
        <f aca="false">IF($A131="","",VLOOKUP($A130,Table,MATCH(AD$4,Curves,0)))</f>
        <v>#N/A</v>
      </c>
      <c r="AE130" s="185" t="e">
        <f aca="false">SQRT((AD130^2*(A130-$D$3)+AC130^2*(DAY(EOMONTH(A130,0))/2))/AK130)</f>
        <v>#N/A</v>
      </c>
      <c r="AF130" s="206" t="e">
        <f aca="false">((Summary!$N$12*(AA130*AD130)*(A130-$D$3))+(Summary!$M$12*Z130*AC130*(AJ130-EOMONTH(EDATE(A130,-1),0))))/(AK130*AB130*AE130)</f>
        <v>#N/A</v>
      </c>
      <c r="AG130" s="207" t="n">
        <f aca="false">IF($A131="","",Summary!$Q$12)</f>
        <v>0</v>
      </c>
      <c r="AH130" s="207" t="n">
        <f aca="false">IF($A131="","",IF(Summary!$R$12="Y",(VLOOKUP($A130,Summary!$AD$6:$AF$9,3)+'Escalating commodity'!H143),'Escalating commodity'!H143))</f>
        <v>0.029</v>
      </c>
      <c r="AI130" s="207" t="n">
        <f aca="false">IF($A131="","",AH130)</f>
        <v>0.029</v>
      </c>
      <c r="AJ130" s="208" t="n">
        <f aca="false">A130+DAY(EOMONTH(A130,0))/2-1</f>
        <v>40709</v>
      </c>
      <c r="AK130" s="209" t="n">
        <f aca="false">IF($A131="","",$A130-$E$1)</f>
        <v>-5231</v>
      </c>
      <c r="AL130" s="182" t="e">
        <f aca="false">IF($A131="","",SPRDOPT(P130,X130,AI130,0,AB130,AE130,AF130,AK130,$AJ$2,0))</f>
        <v>#NAME?</v>
      </c>
      <c r="AM130" s="211" t="e">
        <f aca="false">IF($A131="","",MAX(0,O130-W130-AI130))</f>
        <v>#N/A</v>
      </c>
      <c r="AN130" s="211" t="e">
        <f aca="false">IF($A131="","",AL130-AM130)</f>
        <v>#N/A</v>
      </c>
      <c r="AO130" s="137" t="n">
        <f aca="false">IF(A131="","",A131-A130)</f>
        <v>30</v>
      </c>
      <c r="AP130" s="212" t="n">
        <f aca="false">IF(A131="","",CHOOSE(F$3,A131+24,A130))</f>
        <v>40695</v>
      </c>
      <c r="AQ130" s="209" t="n">
        <f aca="false">IF(A131="","",AP130-$E$1)</f>
        <v>-5231</v>
      </c>
      <c r="AR130" s="185" t="n">
        <f aca="false">'ANR OK vs ML7'!AR130</f>
        <v>0.1</v>
      </c>
      <c r="AS130" s="213" t="n">
        <f aca="false">IF(A131="","",1/(1+CHOOSE(F$3,(AR131+($I$3/10000))/2,(AR130+($I$3/10000))/2))^(2*AQ130/365.25))</f>
        <v>4.04513911292286</v>
      </c>
      <c r="AT130" s="137" t="n">
        <f aca="false">IF(A131="","",IF(AND(mthbeg&lt;=A130,mthend&gt;=A130),1,0))</f>
        <v>1</v>
      </c>
      <c r="AU130" s="137" t="n">
        <f aca="false">IF(A131="","",AO130*AT130)</f>
        <v>30</v>
      </c>
      <c r="AW130" s="195" t="e">
        <f aca="false">IF($A131="","",AL130*$E130)</f>
        <v>#NAME?</v>
      </c>
      <c r="AX130" s="195" t="e">
        <f aca="false">IF($A131="","",AM130*$E130)</f>
        <v>#N/A</v>
      </c>
      <c r="AY130" s="195" t="e">
        <f aca="false">IF($A131="","",AN130*$E130)</f>
        <v>#N/A</v>
      </c>
      <c r="BA130" s="195" t="n">
        <f aca="false">IF($A131="","",F130*Summary!$Q$12)</f>
        <v>0</v>
      </c>
      <c r="BC130" s="179" t="e">
        <f aca="false">IF(A131="","",AM130*F130)</f>
        <v>#N/A</v>
      </c>
    </row>
    <row r="131" customFormat="false" ht="12.75" hidden="false" customHeight="false" outlineLevel="0" collapsed="false">
      <c r="A131" s="196" t="n">
        <f aca="false">IF(A130&lt;mthend,EDATE(A130,1),"")</f>
        <v>40725</v>
      </c>
      <c r="B131" s="197" t="n">
        <f aca="false">IF(A131&lt;mthend,B130,"")</f>
        <v>36522</v>
      </c>
      <c r="C131" s="215"/>
      <c r="D131" s="197" t="n">
        <f aca="false">IF(A132&lt;&gt;"",B131+C131,"")</f>
        <v>36522</v>
      </c>
      <c r="E131" s="199" t="n">
        <f aca="false">IF(A132="","",IF(AND(AT131=1,$H$3=1),D131*AO131,IF($H$3=2,D131,"N/A")))</f>
        <v>1132182</v>
      </c>
      <c r="F131" s="199" t="n">
        <f aca="false">IF(A132="","",E131*AS131)</f>
        <v>4543273.89368899</v>
      </c>
      <c r="G131" s="200" t="e">
        <f aca="false">IF($A132="","",VLOOKUP($A131,Table,MATCH(G$4,Curves,0)))</f>
        <v>#N/A</v>
      </c>
      <c r="H131" s="201" t="e">
        <f aca="false">IF(A132="","",G131)</f>
        <v>#N/A</v>
      </c>
      <c r="I131" s="202"/>
      <c r="J131" s="200" t="e">
        <f aca="false">IF($A132="","",VLOOKUP($A131,Table,MATCH(J$4,Curves,0)))</f>
        <v>#N/A</v>
      </c>
      <c r="K131" s="201" t="e">
        <f aca="false">IF(A132="","",J131)</f>
        <v>#N/A</v>
      </c>
      <c r="L131" s="200" t="e">
        <f aca="false">IF($A132="","",VLOOKUP($A131,Table,MATCH(L$4,Curves,0)))</f>
        <v>#N/A</v>
      </c>
      <c r="M131" s="201" t="e">
        <f aca="false">IF(A132="","",L131)</f>
        <v>#N/A</v>
      </c>
      <c r="N131" s="203"/>
      <c r="O131" s="200" t="e">
        <f aca="false">IF(A132="","",L131+J131+G131)</f>
        <v>#N/A</v>
      </c>
      <c r="P131" s="200" t="e">
        <f aca="false">IF(A132="","",M131+K131+H131)</f>
        <v>#N/A</v>
      </c>
      <c r="Q131" s="204"/>
      <c r="R131" s="200" t="e">
        <f aca="false">IF($A132="","",VLOOKUP($A131,Table,MATCH(R$4,Curves,0)))</f>
        <v>#N/A</v>
      </c>
      <c r="S131" s="201" t="e">
        <f aca="false">IF(A132="","",R131)</f>
        <v>#N/A</v>
      </c>
      <c r="T131" s="200" t="e">
        <f aca="false">IF($A132="","",VLOOKUP($A131,Table,MATCH(T$4,Curves,0)))</f>
        <v>#N/A</v>
      </c>
      <c r="U131" s="201" t="e">
        <f aca="false">IF(A132="","",T131)</f>
        <v>#N/A</v>
      </c>
      <c r="V131" s="225" t="e">
        <f aca="false">IF($A132="","",IF(AND(MONTH(A131)&gt;3,MONTH(A131)&lt;11),(T131+R131+G131)*(((1/(1-Summary!$T$12))/(1-Summary!$W$12))-1),(T131+R131+G131)*((1/(1-Summary!$U$12))/(1-Summary!$X$12)-1)))</f>
        <v>#N/A</v>
      </c>
      <c r="W131" s="200" t="e">
        <f aca="false">IF($A132="","",(T131+R131+G131+V131))</f>
        <v>#N/A</v>
      </c>
      <c r="X131" s="200" t="e">
        <f aca="false">IF($A132="","",(U131+S131+H131+V131))</f>
        <v>#N/A</v>
      </c>
      <c r="Y131" s="202"/>
      <c r="Z131" s="185" t="e">
        <f aca="false">IF($A132="","",VLOOKUP($A131,Table,MATCH(Z$4,Curves,0)))</f>
        <v>#N/A</v>
      </c>
      <c r="AA131" s="185" t="e">
        <f aca="false">IF($A132="","",VLOOKUP($A131,Table,MATCH(AA$4,Curves,0)))</f>
        <v>#N/A</v>
      </c>
      <c r="AB131" s="185" t="e">
        <f aca="false">SQRT((AA131^2*(A131-$D$3)+Z131^2*(DAY(EOMONTH(A131,0))/2))/AK131)</f>
        <v>#N/A</v>
      </c>
      <c r="AC131" s="185" t="e">
        <f aca="false">IF($A132="","",VLOOKUP($A131,Table,MATCH(AC$4,Curves,0)))</f>
        <v>#N/A</v>
      </c>
      <c r="AD131" s="185" t="e">
        <f aca="false">IF($A132="","",VLOOKUP($A131,Table,MATCH(AD$4,Curves,0)))</f>
        <v>#N/A</v>
      </c>
      <c r="AE131" s="185" t="e">
        <f aca="false">SQRT((AD131^2*(A131-$D$3)+AC131^2*(DAY(EOMONTH(A131,0))/2))/AK131)</f>
        <v>#N/A</v>
      </c>
      <c r="AF131" s="206" t="e">
        <f aca="false">((Summary!$N$12*(AA131*AD131)*(A131-$D$3))+(Summary!$M$12*Z131*AC131*(AJ131-EOMONTH(EDATE(A131,-1),0))))/(AK131*AB131*AE131)</f>
        <v>#N/A</v>
      </c>
      <c r="AG131" s="207" t="n">
        <f aca="false">IF($A132="","",Summary!$Q$12)</f>
        <v>0</v>
      </c>
      <c r="AH131" s="207" t="n">
        <f aca="false">IF($A132="","",IF(Summary!$R$12="Y",(VLOOKUP($A131,Summary!$AD$6:$AF$9,3)+'Escalating commodity'!H144),'Escalating commodity'!H144))</f>
        <v>0.029</v>
      </c>
      <c r="AI131" s="207" t="n">
        <f aca="false">IF($A132="","",AH131)</f>
        <v>0.029</v>
      </c>
      <c r="AJ131" s="208" t="n">
        <f aca="false">A131+DAY(EOMONTH(A131,0))/2-1</f>
        <v>40739.5</v>
      </c>
      <c r="AK131" s="209" t="n">
        <f aca="false">IF($A132="","",$A131-$E$1)</f>
        <v>-5201</v>
      </c>
      <c r="AL131" s="182" t="e">
        <f aca="false">IF($A132="","",SPRDOPT(P131,X131,AI131,0,AB131,AE131,AF131,AK131,$AJ$2,0))</f>
        <v>#NAME?</v>
      </c>
      <c r="AM131" s="211" t="e">
        <f aca="false">IF($A132="","",MAX(0,O131-W131-AI131))</f>
        <v>#N/A</v>
      </c>
      <c r="AN131" s="211" t="e">
        <f aca="false">IF($A132="","",AL131-AM131)</f>
        <v>#N/A</v>
      </c>
      <c r="AO131" s="137" t="n">
        <f aca="false">IF(A132="","",A132-A131)</f>
        <v>31</v>
      </c>
      <c r="AP131" s="212" t="n">
        <f aca="false">IF(A132="","",CHOOSE(F$3,A132+24,A131))</f>
        <v>40725</v>
      </c>
      <c r="AQ131" s="209" t="n">
        <f aca="false">IF(A132="","",AP131-$E$1)</f>
        <v>-5201</v>
      </c>
      <c r="AR131" s="185" t="n">
        <f aca="false">'ANR OK vs ML7'!AR131</f>
        <v>0.1</v>
      </c>
      <c r="AS131" s="213" t="n">
        <f aca="false">IF(A132="","",1/(1+CHOOSE(F$3,(AR132+($I$3/10000))/2,(AR131+($I$3/10000))/2))^(2*AQ131/365.25))</f>
        <v>4.01284766379345</v>
      </c>
      <c r="AT131" s="137" t="n">
        <f aca="false">IF(A132="","",IF(AND(mthbeg&lt;=A131,mthend&gt;=A131),1,0))</f>
        <v>1</v>
      </c>
      <c r="AU131" s="137" t="n">
        <f aca="false">IF(A132="","",AO131*AT131)</f>
        <v>31</v>
      </c>
      <c r="AW131" s="195" t="e">
        <f aca="false">IF($A132="","",AL131*$E131)</f>
        <v>#NAME?</v>
      </c>
      <c r="AX131" s="195" t="e">
        <f aca="false">IF($A132="","",AM131*$E131)</f>
        <v>#N/A</v>
      </c>
      <c r="AY131" s="195" t="e">
        <f aca="false">IF($A132="","",AN131*$E131)</f>
        <v>#N/A</v>
      </c>
      <c r="BA131" s="195" t="n">
        <f aca="false">IF($A132="","",F131*Summary!$Q$12)</f>
        <v>0</v>
      </c>
      <c r="BC131" s="179" t="e">
        <f aca="false">IF(A132="","",AM131*F131)</f>
        <v>#N/A</v>
      </c>
    </row>
    <row r="132" customFormat="false" ht="12.75" hidden="false" customHeight="false" outlineLevel="0" collapsed="false">
      <c r="A132" s="196" t="n">
        <f aca="false">IF(A131&lt;mthend,EDATE(A131,1),"")</f>
        <v>40756</v>
      </c>
      <c r="B132" s="197" t="n">
        <f aca="false">IF(A132&lt;mthend,B131,"")</f>
        <v>36522</v>
      </c>
      <c r="C132" s="215"/>
      <c r="D132" s="197" t="n">
        <f aca="false">IF(A133&lt;&gt;"",B132+C132,"")</f>
        <v>36522</v>
      </c>
      <c r="E132" s="199" t="n">
        <f aca="false">IF(A133="","",IF(AND(AT132=1,$H$3=1),D132*AO132,IF($H$3=2,D132,"N/A")))</f>
        <v>1132182</v>
      </c>
      <c r="F132" s="199" t="n">
        <f aca="false">IF(A133="","",E132*AS132)</f>
        <v>4505802.01240556</v>
      </c>
      <c r="G132" s="200" t="e">
        <f aca="false">IF($A133="","",VLOOKUP($A132,Table,MATCH(G$4,Curves,0)))</f>
        <v>#N/A</v>
      </c>
      <c r="H132" s="201" t="e">
        <f aca="false">IF(A133="","",G132)</f>
        <v>#N/A</v>
      </c>
      <c r="I132" s="202"/>
      <c r="J132" s="200" t="e">
        <f aca="false">IF($A133="","",VLOOKUP($A132,Table,MATCH(J$4,Curves,0)))</f>
        <v>#N/A</v>
      </c>
      <c r="K132" s="201" t="e">
        <f aca="false">IF(A133="","",J132)</f>
        <v>#N/A</v>
      </c>
      <c r="L132" s="200" t="e">
        <f aca="false">IF($A133="","",VLOOKUP($A132,Table,MATCH(L$4,Curves,0)))</f>
        <v>#N/A</v>
      </c>
      <c r="M132" s="201" t="e">
        <f aca="false">IF(A133="","",L132)</f>
        <v>#N/A</v>
      </c>
      <c r="N132" s="203"/>
      <c r="O132" s="200" t="e">
        <f aca="false">IF(A133="","",L132+J132+G132)</f>
        <v>#N/A</v>
      </c>
      <c r="P132" s="200" t="e">
        <f aca="false">IF(A133="","",M132+K132+H132)</f>
        <v>#N/A</v>
      </c>
      <c r="Q132" s="204"/>
      <c r="R132" s="200" t="e">
        <f aca="false">IF($A133="","",VLOOKUP($A132,Table,MATCH(R$4,Curves,0)))</f>
        <v>#N/A</v>
      </c>
      <c r="S132" s="201" t="e">
        <f aca="false">IF(A133="","",R132)</f>
        <v>#N/A</v>
      </c>
      <c r="T132" s="200" t="e">
        <f aca="false">IF($A133="","",VLOOKUP($A132,Table,MATCH(T$4,Curves,0)))</f>
        <v>#N/A</v>
      </c>
      <c r="U132" s="201" t="e">
        <f aca="false">IF(A133="","",T132)</f>
        <v>#N/A</v>
      </c>
      <c r="V132" s="225" t="e">
        <f aca="false">IF($A133="","",IF(AND(MONTH(A132)&gt;3,MONTH(A132)&lt;11),(T132+R132+G132)*(((1/(1-Summary!$T$12))/(1-Summary!$W$12))-1),(T132+R132+G132)*((1/(1-Summary!$U$12))/(1-Summary!$X$12)-1)))</f>
        <v>#N/A</v>
      </c>
      <c r="W132" s="200" t="e">
        <f aca="false">IF($A133="","",(T132+R132+G132+V132))</f>
        <v>#N/A</v>
      </c>
      <c r="X132" s="200" t="e">
        <f aca="false">IF($A133="","",(U132+S132+H132+V132))</f>
        <v>#N/A</v>
      </c>
      <c r="Y132" s="202"/>
      <c r="Z132" s="185" t="e">
        <f aca="false">IF($A133="","",VLOOKUP($A132,Table,MATCH(Z$4,Curves,0)))</f>
        <v>#N/A</v>
      </c>
      <c r="AA132" s="185" t="e">
        <f aca="false">IF($A133="","",VLOOKUP($A132,Table,MATCH(AA$4,Curves,0)))</f>
        <v>#N/A</v>
      </c>
      <c r="AB132" s="185" t="e">
        <f aca="false">SQRT((AA132^2*(A132-$D$3)+Z132^2*(DAY(EOMONTH(A132,0))/2))/AK132)</f>
        <v>#N/A</v>
      </c>
      <c r="AC132" s="185" t="e">
        <f aca="false">IF($A133="","",VLOOKUP($A132,Table,MATCH(AC$4,Curves,0)))</f>
        <v>#N/A</v>
      </c>
      <c r="AD132" s="185" t="e">
        <f aca="false">IF($A133="","",VLOOKUP($A132,Table,MATCH(AD$4,Curves,0)))</f>
        <v>#N/A</v>
      </c>
      <c r="AE132" s="185" t="e">
        <f aca="false">SQRT((AD132^2*(A132-$D$3)+AC132^2*(DAY(EOMONTH(A132,0))/2))/AK132)</f>
        <v>#N/A</v>
      </c>
      <c r="AF132" s="206" t="e">
        <f aca="false">((Summary!$N$12*(AA132*AD132)*(A132-$D$3))+(Summary!$M$12*Z132*AC132*(AJ132-EOMONTH(EDATE(A132,-1),0))))/(AK132*AB132*AE132)</f>
        <v>#N/A</v>
      </c>
      <c r="AG132" s="207" t="n">
        <f aca="false">IF($A133="","",Summary!$Q$12)</f>
        <v>0</v>
      </c>
      <c r="AH132" s="207" t="n">
        <f aca="false">IF($A133="","",IF(Summary!$R$12="Y",(VLOOKUP($A132,Summary!$AD$6:$AF$9,3)+'Escalating commodity'!H145),'Escalating commodity'!H145))</f>
        <v>0.029</v>
      </c>
      <c r="AI132" s="207" t="n">
        <f aca="false">IF($A133="","",AH132)</f>
        <v>0.029</v>
      </c>
      <c r="AJ132" s="208" t="n">
        <f aca="false">A132+DAY(EOMONTH(A132,0))/2-1</f>
        <v>40770.5</v>
      </c>
      <c r="AK132" s="209" t="n">
        <f aca="false">IF($A133="","",$A132-$E$1)</f>
        <v>-5170</v>
      </c>
      <c r="AL132" s="182" t="e">
        <f aca="false">IF($A133="","",SPRDOPT(P132,X132,AI132,0,AB132,AE132,AF132,AK132,$AJ$2,0))</f>
        <v>#NAME?</v>
      </c>
      <c r="AM132" s="211" t="e">
        <f aca="false">IF($A133="","",MAX(0,O132-W132-AI132))</f>
        <v>#N/A</v>
      </c>
      <c r="AN132" s="211" t="e">
        <f aca="false">IF($A133="","",AL132-AM132)</f>
        <v>#N/A</v>
      </c>
      <c r="AO132" s="137" t="n">
        <f aca="false">IF(A133="","",A133-A132)</f>
        <v>31</v>
      </c>
      <c r="AP132" s="212" t="n">
        <f aca="false">IF(A133="","",CHOOSE(F$3,A133+24,A132))</f>
        <v>40756</v>
      </c>
      <c r="AQ132" s="209" t="n">
        <f aca="false">IF(A133="","",AP132-$E$1)</f>
        <v>-5170</v>
      </c>
      <c r="AR132" s="185" t="n">
        <f aca="false">'ANR OK vs ML7'!AR132</f>
        <v>0.1</v>
      </c>
      <c r="AS132" s="213" t="n">
        <f aca="false">IF(A133="","",1/(1+CHOOSE(F$3,(AR133+($I$3/10000))/2,(AR132+($I$3/10000))/2))^(2*AQ132/365.25))</f>
        <v>3.97975061642524</v>
      </c>
      <c r="AT132" s="137" t="n">
        <f aca="false">IF(A133="","",IF(AND(mthbeg&lt;=A132,mthend&gt;=A132),1,0))</f>
        <v>1</v>
      </c>
      <c r="AU132" s="137" t="n">
        <f aca="false">IF(A133="","",AO132*AT132)</f>
        <v>31</v>
      </c>
      <c r="AW132" s="195" t="e">
        <f aca="false">IF($A133="","",AL132*$E132)</f>
        <v>#NAME?</v>
      </c>
      <c r="AX132" s="195" t="e">
        <f aca="false">IF($A133="","",AM132*$E132)</f>
        <v>#N/A</v>
      </c>
      <c r="AY132" s="195" t="e">
        <f aca="false">IF($A133="","",AN132*$E132)</f>
        <v>#N/A</v>
      </c>
      <c r="BA132" s="195" t="n">
        <f aca="false">IF($A133="","",F132*Summary!$Q$12)</f>
        <v>0</v>
      </c>
      <c r="BC132" s="179" t="e">
        <f aca="false">IF(A133="","",AM132*F132)</f>
        <v>#N/A</v>
      </c>
    </row>
    <row r="133" customFormat="false" ht="12.75" hidden="false" customHeight="false" outlineLevel="0" collapsed="false">
      <c r="A133" s="196" t="n">
        <f aca="false">IF(A132&lt;mthend,EDATE(A132,1),"")</f>
        <v>40787</v>
      </c>
      <c r="B133" s="197" t="n">
        <f aca="false">IF(A133&lt;mthend,B132,"")</f>
        <v>36522</v>
      </c>
      <c r="C133" s="215"/>
      <c r="D133" s="197" t="n">
        <f aca="false">IF(A134&lt;&gt;"",B133+C133,"")</f>
        <v>36522</v>
      </c>
      <c r="E133" s="199" t="n">
        <f aca="false">IF(A134="","",IF(AND(AT133=1,$H$3=1),D133*AO133,IF($H$3=2,D133,"N/A")))</f>
        <v>1095660</v>
      </c>
      <c r="F133" s="199" t="n">
        <f aca="false">IF(A134="","",E133*AS133)</f>
        <v>4324489.5392966</v>
      </c>
      <c r="G133" s="200" t="e">
        <f aca="false">IF($A134="","",VLOOKUP($A133,Table,MATCH(G$4,Curves,0)))</f>
        <v>#N/A</v>
      </c>
      <c r="H133" s="201" t="e">
        <f aca="false">IF(A134="","",G133)</f>
        <v>#N/A</v>
      </c>
      <c r="I133" s="202"/>
      <c r="J133" s="200" t="e">
        <f aca="false">IF($A134="","",VLOOKUP($A133,Table,MATCH(J$4,Curves,0)))</f>
        <v>#N/A</v>
      </c>
      <c r="K133" s="201" t="e">
        <f aca="false">IF(A134="","",J133)</f>
        <v>#N/A</v>
      </c>
      <c r="L133" s="200" t="e">
        <f aca="false">IF($A134="","",VLOOKUP($A133,Table,MATCH(L$4,Curves,0)))</f>
        <v>#N/A</v>
      </c>
      <c r="M133" s="201" t="e">
        <f aca="false">IF(A134="","",L133)</f>
        <v>#N/A</v>
      </c>
      <c r="N133" s="203"/>
      <c r="O133" s="200" t="e">
        <f aca="false">IF(A134="","",L133+J133+G133)</f>
        <v>#N/A</v>
      </c>
      <c r="P133" s="200" t="e">
        <f aca="false">IF(A134="","",M133+K133+H133)</f>
        <v>#N/A</v>
      </c>
      <c r="Q133" s="204"/>
      <c r="R133" s="200" t="e">
        <f aca="false">IF($A134="","",VLOOKUP($A133,Table,MATCH(R$4,Curves,0)))</f>
        <v>#N/A</v>
      </c>
      <c r="S133" s="201" t="e">
        <f aca="false">IF(A134="","",R133)</f>
        <v>#N/A</v>
      </c>
      <c r="T133" s="200" t="e">
        <f aca="false">IF($A134="","",VLOOKUP($A133,Table,MATCH(T$4,Curves,0)))</f>
        <v>#N/A</v>
      </c>
      <c r="U133" s="201" t="e">
        <f aca="false">IF(A134="","",T133)</f>
        <v>#N/A</v>
      </c>
      <c r="V133" s="225" t="e">
        <f aca="false">IF($A134="","",IF(AND(MONTH(A133)&gt;3,MONTH(A133)&lt;11),(T133+R133+G133)*(((1/(1-Summary!$T$12))/(1-Summary!$W$12))-1),(T133+R133+G133)*((1/(1-Summary!$U$12))/(1-Summary!$X$12)-1)))</f>
        <v>#N/A</v>
      </c>
      <c r="W133" s="200" t="e">
        <f aca="false">IF($A134="","",(T133+R133+G133+V133))</f>
        <v>#N/A</v>
      </c>
      <c r="X133" s="200" t="e">
        <f aca="false">IF($A134="","",(U133+S133+H133+V133))</f>
        <v>#N/A</v>
      </c>
      <c r="Y133" s="202"/>
      <c r="Z133" s="185" t="e">
        <f aca="false">IF($A134="","",VLOOKUP($A133,Table,MATCH(Z$4,Curves,0)))</f>
        <v>#N/A</v>
      </c>
      <c r="AA133" s="185" t="e">
        <f aca="false">IF($A134="","",VLOOKUP($A133,Table,MATCH(AA$4,Curves,0)))</f>
        <v>#N/A</v>
      </c>
      <c r="AB133" s="185" t="e">
        <f aca="false">SQRT((AA133^2*(A133-$D$3)+Z133^2*(DAY(EOMONTH(A133,0))/2))/AK133)</f>
        <v>#N/A</v>
      </c>
      <c r="AC133" s="185" t="e">
        <f aca="false">IF($A134="","",VLOOKUP($A133,Table,MATCH(AC$4,Curves,0)))</f>
        <v>#N/A</v>
      </c>
      <c r="AD133" s="185" t="e">
        <f aca="false">IF($A134="","",VLOOKUP($A133,Table,MATCH(AD$4,Curves,0)))</f>
        <v>#N/A</v>
      </c>
      <c r="AE133" s="185" t="e">
        <f aca="false">SQRT((AD133^2*(A133-$D$3)+AC133^2*(DAY(EOMONTH(A133,0))/2))/AK133)</f>
        <v>#N/A</v>
      </c>
      <c r="AF133" s="206" t="e">
        <f aca="false">((Summary!$N$12*(AA133*AD133)*(A133-$D$3))+(Summary!$M$12*Z133*AC133*(AJ133-EOMONTH(EDATE(A133,-1),0))))/(AK133*AB133*AE133)</f>
        <v>#N/A</v>
      </c>
      <c r="AG133" s="207" t="n">
        <f aca="false">IF($A134="","",Summary!$Q$12)</f>
        <v>0</v>
      </c>
      <c r="AH133" s="207" t="n">
        <f aca="false">IF($A134="","",IF(Summary!$R$12="Y",(VLOOKUP($A133,Summary!$AD$6:$AF$9,3)+'Escalating commodity'!H146),'Escalating commodity'!H146))</f>
        <v>0.029</v>
      </c>
      <c r="AI133" s="207" t="n">
        <f aca="false">IF($A134="","",AH133)</f>
        <v>0.029</v>
      </c>
      <c r="AJ133" s="208" t="n">
        <f aca="false">A133+DAY(EOMONTH(A133,0))/2-1</f>
        <v>40801</v>
      </c>
      <c r="AK133" s="209" t="n">
        <f aca="false">IF($A134="","",$A133-$E$1)</f>
        <v>-5139</v>
      </c>
      <c r="AL133" s="182" t="e">
        <f aca="false">IF($A134="","",SPRDOPT(P133,X133,AI133,0,AB133,AE133,AF133,AK133,$AJ$2,0))</f>
        <v>#NAME?</v>
      </c>
      <c r="AM133" s="211" t="e">
        <f aca="false">IF($A134="","",MAX(0,O133-W133-AI133))</f>
        <v>#N/A</v>
      </c>
      <c r="AN133" s="211" t="e">
        <f aca="false">IF($A134="","",AL133-AM133)</f>
        <v>#N/A</v>
      </c>
      <c r="AO133" s="137" t="n">
        <f aca="false">IF(A134="","",A134-A133)</f>
        <v>30</v>
      </c>
      <c r="AP133" s="212" t="n">
        <f aca="false">IF(A134="","",CHOOSE(F$3,A134+24,A133))</f>
        <v>40787</v>
      </c>
      <c r="AQ133" s="209" t="n">
        <f aca="false">IF(A134="","",AP133-$E$1)</f>
        <v>-5139</v>
      </c>
      <c r="AR133" s="185" t="n">
        <f aca="false">'ANR OK vs ML7'!AR133</f>
        <v>0.1</v>
      </c>
      <c r="AS133" s="213" t="n">
        <f aca="false">IF(A134="","",1/(1+CHOOSE(F$3,(AR134+($I$3/10000))/2,(AR133+($I$3/10000))/2))^(2*AQ133/365.25))</f>
        <v>3.94692654591443</v>
      </c>
      <c r="AT133" s="137" t="n">
        <f aca="false">IF(A134="","",IF(AND(mthbeg&lt;=A133,mthend&gt;=A133),1,0))</f>
        <v>1</v>
      </c>
      <c r="AU133" s="137" t="n">
        <f aca="false">IF(A134="","",AO133*AT133)</f>
        <v>30</v>
      </c>
      <c r="AW133" s="195" t="e">
        <f aca="false">IF($A134="","",AL133*$E133)</f>
        <v>#NAME?</v>
      </c>
      <c r="AX133" s="195" t="e">
        <f aca="false">IF($A134="","",AM133*$E133)</f>
        <v>#N/A</v>
      </c>
      <c r="AY133" s="195" t="e">
        <f aca="false">IF($A134="","",AN133*$E133)</f>
        <v>#N/A</v>
      </c>
      <c r="BA133" s="195" t="n">
        <f aca="false">IF($A134="","",F133*Summary!$Q$12)</f>
        <v>0</v>
      </c>
      <c r="BC133" s="179" t="e">
        <f aca="false">IF(A134="","",AM133*F133)</f>
        <v>#N/A</v>
      </c>
    </row>
    <row r="134" customFormat="false" ht="12.75" hidden="false" customHeight="false" outlineLevel="0" collapsed="false">
      <c r="A134" s="196" t="n">
        <f aca="false">IF(A133&lt;mthend,EDATE(A133,1),"")</f>
        <v>40817</v>
      </c>
      <c r="B134" s="197" t="n">
        <f aca="false">IF(A134&lt;mthend,B133,"")</f>
        <v>36522</v>
      </c>
      <c r="C134" s="215"/>
      <c r="D134" s="197" t="n">
        <f aca="false">IF(A135&lt;&gt;"",B134+C134,"")</f>
        <v>36522</v>
      </c>
      <c r="E134" s="199" t="n">
        <f aca="false">IF(A135="","",IF(AND(AT134=1,$H$3=1),D134*AO134,IF($H$3=2,D134,"N/A")))</f>
        <v>1132182</v>
      </c>
      <c r="F134" s="199" t="n">
        <f aca="false">IF(A135="","",E134*AS134)</f>
        <v>4432967.03420519</v>
      </c>
      <c r="G134" s="200" t="e">
        <f aca="false">IF($A135="","",VLOOKUP($A134,Table,MATCH(G$4,Curves,0)))</f>
        <v>#N/A</v>
      </c>
      <c r="H134" s="201" t="e">
        <f aca="false">IF(A135="","",G134)</f>
        <v>#N/A</v>
      </c>
      <c r="I134" s="202"/>
      <c r="J134" s="200" t="e">
        <f aca="false">IF($A135="","",VLOOKUP($A134,Table,MATCH(J$4,Curves,0)))</f>
        <v>#N/A</v>
      </c>
      <c r="K134" s="201" t="e">
        <f aca="false">IF(A135="","",J134)</f>
        <v>#N/A</v>
      </c>
      <c r="L134" s="200" t="e">
        <f aca="false">IF($A135="","",VLOOKUP($A134,Table,MATCH(L$4,Curves,0)))</f>
        <v>#N/A</v>
      </c>
      <c r="M134" s="201" t="e">
        <f aca="false">IF(A135="","",L134)</f>
        <v>#N/A</v>
      </c>
      <c r="N134" s="203"/>
      <c r="O134" s="200" t="e">
        <f aca="false">IF(A135="","",L134+J134+G134)</f>
        <v>#N/A</v>
      </c>
      <c r="P134" s="200" t="e">
        <f aca="false">IF(A135="","",M134+K134+H134)</f>
        <v>#N/A</v>
      </c>
      <c r="Q134" s="204"/>
      <c r="R134" s="200" t="e">
        <f aca="false">IF($A135="","",VLOOKUP($A134,Table,MATCH(R$4,Curves,0)))</f>
        <v>#N/A</v>
      </c>
      <c r="S134" s="201" t="e">
        <f aca="false">IF(A135="","",R134)</f>
        <v>#N/A</v>
      </c>
      <c r="T134" s="200" t="e">
        <f aca="false">IF($A135="","",VLOOKUP($A134,Table,MATCH(T$4,Curves,0)))</f>
        <v>#N/A</v>
      </c>
      <c r="U134" s="201" t="e">
        <f aca="false">IF(A135="","",T134)</f>
        <v>#N/A</v>
      </c>
      <c r="V134" s="225" t="e">
        <f aca="false">IF($A135="","",IF(AND(MONTH(A134)&gt;3,MONTH(A134)&lt;11),(T134+R134+G134)*(((1/(1-Summary!$T$12))/(1-Summary!$W$12))-1),(T134+R134+G134)*((1/(1-Summary!$U$12))/(1-Summary!$X$12)-1)))</f>
        <v>#N/A</v>
      </c>
      <c r="W134" s="200" t="e">
        <f aca="false">IF($A135="","",(T134+R134+G134+V134))</f>
        <v>#N/A</v>
      </c>
      <c r="X134" s="200" t="e">
        <f aca="false">IF($A135="","",(U134+S134+H134+V134))</f>
        <v>#N/A</v>
      </c>
      <c r="Y134" s="202"/>
      <c r="Z134" s="185" t="e">
        <f aca="false">IF($A135="","",VLOOKUP($A134,Table,MATCH(Z$4,Curves,0)))</f>
        <v>#N/A</v>
      </c>
      <c r="AA134" s="185" t="e">
        <f aca="false">IF($A135="","",VLOOKUP($A134,Table,MATCH(AA$4,Curves,0)))</f>
        <v>#N/A</v>
      </c>
      <c r="AB134" s="185" t="e">
        <f aca="false">SQRT((AA134^2*(A134-$D$3)+Z134^2*(DAY(EOMONTH(A134,0))/2))/AK134)</f>
        <v>#N/A</v>
      </c>
      <c r="AC134" s="185" t="e">
        <f aca="false">IF($A135="","",VLOOKUP($A134,Table,MATCH(AC$4,Curves,0)))</f>
        <v>#N/A</v>
      </c>
      <c r="AD134" s="185" t="e">
        <f aca="false">IF($A135="","",VLOOKUP($A134,Table,MATCH(AD$4,Curves,0)))</f>
        <v>#N/A</v>
      </c>
      <c r="AE134" s="185" t="e">
        <f aca="false">SQRT((AD134^2*(A134-$D$3)+AC134^2*(DAY(EOMONTH(A134,0))/2))/AK134)</f>
        <v>#N/A</v>
      </c>
      <c r="AF134" s="206" t="e">
        <f aca="false">((Summary!$N$12*(AA134*AD134)*(A134-$D$3))+(Summary!$M$12*Z134*AC134*(AJ134-EOMONTH(EDATE(A134,-1),0))))/(AK134*AB134*AE134)</f>
        <v>#N/A</v>
      </c>
      <c r="AG134" s="207" t="n">
        <f aca="false">IF($A135="","",Summary!$Q$12)</f>
        <v>0</v>
      </c>
      <c r="AH134" s="207" t="n">
        <f aca="false">IF($A135="","",IF(Summary!$R$12="Y",(VLOOKUP($A134,Summary!$AD$6:$AF$9,3)+'Escalating commodity'!H147),'Escalating commodity'!H147))</f>
        <v>0.029</v>
      </c>
      <c r="AI134" s="207" t="n">
        <f aca="false">IF($A135="","",AH134)</f>
        <v>0.029</v>
      </c>
      <c r="AJ134" s="208" t="n">
        <f aca="false">A134+DAY(EOMONTH(A134,0))/2-1</f>
        <v>40831.5</v>
      </c>
      <c r="AK134" s="209" t="n">
        <f aca="false">IF($A135="","",$A134-$E$1)</f>
        <v>-5109</v>
      </c>
      <c r="AL134" s="182" t="e">
        <f aca="false">IF($A135="","",SPRDOPT(P134,X134,AI134,0,AB134,AE134,AF134,AK134,$AJ$2,0))</f>
        <v>#NAME?</v>
      </c>
      <c r="AM134" s="211" t="e">
        <f aca="false">IF($A135="","",MAX(0,O134-W134-AI134))</f>
        <v>#N/A</v>
      </c>
      <c r="AN134" s="211" t="e">
        <f aca="false">IF($A135="","",AL134-AM134)</f>
        <v>#N/A</v>
      </c>
      <c r="AO134" s="137" t="n">
        <f aca="false">IF(A135="","",A135-A134)</f>
        <v>31</v>
      </c>
      <c r="AP134" s="212" t="n">
        <f aca="false">IF(A135="","",CHOOSE(F$3,A135+24,A134))</f>
        <v>40817</v>
      </c>
      <c r="AQ134" s="209" t="n">
        <f aca="false">IF(A135="","",AP134-$E$1)</f>
        <v>-5109</v>
      </c>
      <c r="AR134" s="185" t="n">
        <f aca="false">'ANR OK vs ML7'!AR134</f>
        <v>0.1</v>
      </c>
      <c r="AS134" s="213" t="n">
        <f aca="false">IF(A135="","",1/(1+CHOOSE(F$3,(AR135+($I$3/10000))/2,(AR134+($I$3/10000))/2))^(2*AQ134/365.25))</f>
        <v>3.91541910594338</v>
      </c>
      <c r="AT134" s="137" t="n">
        <f aca="false">IF(A135="","",IF(AND(mthbeg&lt;=A134,mthend&gt;=A134),1,0))</f>
        <v>1</v>
      </c>
      <c r="AU134" s="137" t="n">
        <f aca="false">IF(A135="","",AO134*AT134)</f>
        <v>31</v>
      </c>
      <c r="AW134" s="195" t="e">
        <f aca="false">IF($A135="","",AL134*$E134)</f>
        <v>#NAME?</v>
      </c>
      <c r="AX134" s="195" t="e">
        <f aca="false">IF($A135="","",AM134*$E134)</f>
        <v>#N/A</v>
      </c>
      <c r="AY134" s="195" t="e">
        <f aca="false">IF($A135="","",AN134*$E134)</f>
        <v>#N/A</v>
      </c>
      <c r="BA134" s="195" t="n">
        <f aca="false">IF($A135="","",F134*Summary!$Q$12)</f>
        <v>0</v>
      </c>
      <c r="BC134" s="179" t="e">
        <f aca="false">IF(A135="","",AM134*F134)</f>
        <v>#N/A</v>
      </c>
    </row>
    <row r="135" customFormat="false" ht="12.75" hidden="false" customHeight="false" outlineLevel="0" collapsed="false">
      <c r="A135" s="196" t="n">
        <f aca="false">IF(A134&lt;mthend,EDATE(A134,1),"")</f>
        <v>40848</v>
      </c>
      <c r="B135" s="197" t="n">
        <f aca="false">IF(A135&lt;mthend,B134,"")</f>
        <v>36522</v>
      </c>
      <c r="C135" s="215"/>
      <c r="D135" s="197" t="n">
        <f aca="false">IF(A136&lt;&gt;"",B135+C135,"")</f>
        <v>36522</v>
      </c>
      <c r="E135" s="199" t="n">
        <f aca="false">IF(A136="","",IF(AND(AT135=1,$H$3=1),D135*AO135,IF($H$3=2,D135,"N/A")))</f>
        <v>1095660</v>
      </c>
      <c r="F135" s="199" t="n">
        <f aca="false">IF(A136="","",E135*AS135)</f>
        <v>4254585.42445641</v>
      </c>
      <c r="G135" s="200" t="e">
        <f aca="false">IF($A136="","",VLOOKUP($A135,Table,MATCH(G$4,Curves,0)))</f>
        <v>#N/A</v>
      </c>
      <c r="H135" s="201" t="e">
        <f aca="false">IF(A136="","",G135)</f>
        <v>#N/A</v>
      </c>
      <c r="I135" s="202"/>
      <c r="J135" s="200" t="e">
        <f aca="false">IF($A136="","",VLOOKUP($A135,Table,MATCH(J$4,Curves,0)))</f>
        <v>#N/A</v>
      </c>
      <c r="K135" s="201" t="e">
        <f aca="false">IF(A136="","",J135)</f>
        <v>#N/A</v>
      </c>
      <c r="L135" s="200" t="e">
        <f aca="false">IF($A136="","",VLOOKUP($A135,Table,MATCH(L$4,Curves,0)))</f>
        <v>#N/A</v>
      </c>
      <c r="M135" s="201" t="e">
        <f aca="false">IF(A136="","",L135)</f>
        <v>#N/A</v>
      </c>
      <c r="N135" s="203"/>
      <c r="O135" s="200" t="e">
        <f aca="false">IF(A136="","",L135+J135+G135)</f>
        <v>#N/A</v>
      </c>
      <c r="P135" s="200" t="e">
        <f aca="false">IF(A136="","",M135+K135+H135)</f>
        <v>#N/A</v>
      </c>
      <c r="Q135" s="204"/>
      <c r="R135" s="200" t="e">
        <f aca="false">IF($A136="","",VLOOKUP($A135,Table,MATCH(R$4,Curves,0)))</f>
        <v>#N/A</v>
      </c>
      <c r="S135" s="201" t="e">
        <f aca="false">IF(A136="","",R135)</f>
        <v>#N/A</v>
      </c>
      <c r="T135" s="200" t="e">
        <f aca="false">IF($A136="","",VLOOKUP($A135,Table,MATCH(T$4,Curves,0)))</f>
        <v>#N/A</v>
      </c>
      <c r="U135" s="201" t="e">
        <f aca="false">IF(A136="","",T135)</f>
        <v>#N/A</v>
      </c>
      <c r="V135" s="225" t="e">
        <f aca="false">IF($A136="","",IF(AND(MONTH(A135)&gt;3,MONTH(A135)&lt;11),(T135+R135+G135)*(((1/(1-Summary!$T$12))/(1-Summary!$W$12))-1),(T135+R135+G135)*((1/(1-Summary!$U$12))/(1-Summary!$X$12)-1)))</f>
        <v>#N/A</v>
      </c>
      <c r="W135" s="200" t="e">
        <f aca="false">IF($A136="","",(T135+R135+G135+V135))</f>
        <v>#N/A</v>
      </c>
      <c r="X135" s="200" t="e">
        <f aca="false">IF($A136="","",(U135+S135+H135+V135))</f>
        <v>#N/A</v>
      </c>
      <c r="Y135" s="202"/>
      <c r="Z135" s="185" t="e">
        <f aca="false">IF($A136="","",VLOOKUP($A135,Table,MATCH(Z$4,Curves,0)))</f>
        <v>#N/A</v>
      </c>
      <c r="AA135" s="185" t="e">
        <f aca="false">IF($A136="","",VLOOKUP($A135,Table,MATCH(AA$4,Curves,0)))</f>
        <v>#N/A</v>
      </c>
      <c r="AB135" s="185" t="e">
        <f aca="false">SQRT((AA135^2*(A135-$D$3)+Z135^2*(DAY(EOMONTH(A135,0))/2))/AK135)</f>
        <v>#N/A</v>
      </c>
      <c r="AC135" s="185" t="e">
        <f aca="false">IF($A136="","",VLOOKUP($A135,Table,MATCH(AC$4,Curves,0)))</f>
        <v>#N/A</v>
      </c>
      <c r="AD135" s="185" t="e">
        <f aca="false">IF($A136="","",VLOOKUP($A135,Table,MATCH(AD$4,Curves,0)))</f>
        <v>#N/A</v>
      </c>
      <c r="AE135" s="185" t="e">
        <f aca="false">SQRT((AD135^2*(A135-$D$3)+AC135^2*(DAY(EOMONTH(A135,0))/2))/AK135)</f>
        <v>#N/A</v>
      </c>
      <c r="AF135" s="206" t="e">
        <f aca="false">((Summary!$N$12*(AA135*AD135)*(A135-$D$3))+(Summary!$M$12*Z135*AC135*(AJ135-EOMONTH(EDATE(A135,-1),0))))/(AK135*AB135*AE135)</f>
        <v>#N/A</v>
      </c>
      <c r="AG135" s="207" t="n">
        <f aca="false">IF($A136="","",Summary!$Q$12)</f>
        <v>0</v>
      </c>
      <c r="AH135" s="207" t="n">
        <f aca="false">IF($A136="","",IF(Summary!$R$12="Y",(VLOOKUP($A135,Summary!$AD$6:$AF$9,3)+'Escalating commodity'!H148),'Escalating commodity'!H148))</f>
        <v>0.029</v>
      </c>
      <c r="AI135" s="207" t="n">
        <f aca="false">IF($A136="","",AH135)</f>
        <v>0.029</v>
      </c>
      <c r="AJ135" s="208" t="n">
        <f aca="false">A135+DAY(EOMONTH(A135,0))/2-1</f>
        <v>40862</v>
      </c>
      <c r="AK135" s="209" t="n">
        <f aca="false">IF($A136="","",$A135-$E$1)</f>
        <v>-5078</v>
      </c>
      <c r="AL135" s="182" t="e">
        <f aca="false">IF($A136="","",SPRDOPT(P135,X135,AI135,0,AB135,AE135,AF135,AK135,$AJ$2,0))</f>
        <v>#NAME?</v>
      </c>
      <c r="AM135" s="211" t="e">
        <f aca="false">IF($A136="","",MAX(0,O135-W135-AI135))</f>
        <v>#N/A</v>
      </c>
      <c r="AN135" s="211" t="e">
        <f aca="false">IF($A136="","",AL135-AM135)</f>
        <v>#N/A</v>
      </c>
      <c r="AO135" s="137" t="n">
        <f aca="false">IF(A136="","",A136-A135)</f>
        <v>30</v>
      </c>
      <c r="AP135" s="212" t="n">
        <f aca="false">IF(A136="","",CHOOSE(F$3,A136+24,A135))</f>
        <v>40848</v>
      </c>
      <c r="AQ135" s="209" t="n">
        <f aca="false">IF(A136="","",AP135-$E$1)</f>
        <v>-5078</v>
      </c>
      <c r="AR135" s="185" t="n">
        <f aca="false">'ANR OK vs ML7'!AR135</f>
        <v>0.1</v>
      </c>
      <c r="AS135" s="213" t="n">
        <f aca="false">IF(A136="","",1/(1+CHOOSE(F$3,(AR136+($I$3/10000))/2,(AR135+($I$3/10000))/2))^(2*AQ135/365.25))</f>
        <v>3.88312562697955</v>
      </c>
      <c r="AT135" s="137" t="n">
        <f aca="false">IF(A136="","",IF(AND(mthbeg&lt;=A135,mthend&gt;=A135),1,0))</f>
        <v>1</v>
      </c>
      <c r="AU135" s="137" t="n">
        <f aca="false">IF(A136="","",AO135*AT135)</f>
        <v>30</v>
      </c>
      <c r="AW135" s="195" t="e">
        <f aca="false">IF($A136="","",AL135*$E135)</f>
        <v>#NAME?</v>
      </c>
      <c r="AX135" s="195" t="e">
        <f aca="false">IF($A136="","",AM135*$E135)</f>
        <v>#N/A</v>
      </c>
      <c r="AY135" s="195" t="e">
        <f aca="false">IF($A136="","",AN135*$E135)</f>
        <v>#N/A</v>
      </c>
      <c r="BA135" s="195" t="n">
        <f aca="false">IF($A136="","",F135*Summary!$Q$12)</f>
        <v>0</v>
      </c>
      <c r="BC135" s="179" t="e">
        <f aca="false">IF(A136="","",AM135*F135)</f>
        <v>#N/A</v>
      </c>
    </row>
    <row r="136" customFormat="false" ht="12.75" hidden="false" customHeight="false" outlineLevel="0" collapsed="false">
      <c r="A136" s="196" t="n">
        <f aca="false">IF(A135&lt;mthend,EDATE(A135,1),"")</f>
        <v>40878</v>
      </c>
      <c r="B136" s="197" t="n">
        <f aca="false">IF(A136&lt;mthend,B135,"")</f>
        <v>36522</v>
      </c>
      <c r="C136" s="215"/>
      <c r="D136" s="197" t="n">
        <f aca="false">IF(A137&lt;&gt;"",B136+C136,"")</f>
        <v>36522</v>
      </c>
      <c r="E136" s="199" t="n">
        <f aca="false">IF(A137="","",IF(AND(AT136=1,$H$3=1),D136*AO136,IF($H$3=2,D136,"N/A")))</f>
        <v>1132182</v>
      </c>
      <c r="F136" s="199" t="n">
        <f aca="false">IF(A137="","",E136*AS136)</f>
        <v>4361309.41223017</v>
      </c>
      <c r="G136" s="200" t="e">
        <f aca="false">IF($A137="","",VLOOKUP($A136,Table,MATCH(G$4,Curves,0)))</f>
        <v>#N/A</v>
      </c>
      <c r="H136" s="201" t="e">
        <f aca="false">IF(A137="","",G136)</f>
        <v>#N/A</v>
      </c>
      <c r="I136" s="202"/>
      <c r="J136" s="200" t="e">
        <f aca="false">IF($A137="","",VLOOKUP($A136,Table,MATCH(J$4,Curves,0)))</f>
        <v>#N/A</v>
      </c>
      <c r="K136" s="201" t="e">
        <f aca="false">IF(A137="","",J136)</f>
        <v>#N/A</v>
      </c>
      <c r="L136" s="200" t="e">
        <f aca="false">IF($A137="","",VLOOKUP($A136,Table,MATCH(L$4,Curves,0)))</f>
        <v>#N/A</v>
      </c>
      <c r="M136" s="201" t="e">
        <f aca="false">IF(A137="","",L136)</f>
        <v>#N/A</v>
      </c>
      <c r="N136" s="203"/>
      <c r="O136" s="200" t="e">
        <f aca="false">IF(A137="","",L136+J136+G136)</f>
        <v>#N/A</v>
      </c>
      <c r="P136" s="200" t="e">
        <f aca="false">IF(A137="","",M136+K136+H136)</f>
        <v>#N/A</v>
      </c>
      <c r="Q136" s="204"/>
      <c r="R136" s="200" t="e">
        <f aca="false">IF($A137="","",VLOOKUP($A136,Table,MATCH(R$4,Curves,0)))</f>
        <v>#N/A</v>
      </c>
      <c r="S136" s="201" t="e">
        <f aca="false">IF(A137="","",R136)</f>
        <v>#N/A</v>
      </c>
      <c r="T136" s="200" t="e">
        <f aca="false">IF($A137="","",VLOOKUP($A136,Table,MATCH(T$4,Curves,0)))</f>
        <v>#N/A</v>
      </c>
      <c r="U136" s="201" t="e">
        <f aca="false">IF(A137="","",T136)</f>
        <v>#N/A</v>
      </c>
      <c r="V136" s="225" t="e">
        <f aca="false">IF($A137="","",IF(AND(MONTH(A136)&gt;3,MONTH(A136)&lt;11),(T136+R136+G136)*(((1/(1-Summary!$T$12))/(1-Summary!$W$12))-1),(T136+R136+G136)*((1/(1-Summary!$U$12))/(1-Summary!$X$12)-1)))</f>
        <v>#N/A</v>
      </c>
      <c r="W136" s="200" t="e">
        <f aca="false">IF($A137="","",(T136+R136+G136+V136))</f>
        <v>#N/A</v>
      </c>
      <c r="X136" s="200" t="e">
        <f aca="false">IF($A137="","",(U136+S136+H136+V136))</f>
        <v>#N/A</v>
      </c>
      <c r="Y136" s="202"/>
      <c r="Z136" s="185" t="e">
        <f aca="false">IF($A137="","",VLOOKUP($A136,Table,MATCH(Z$4,Curves,0)))</f>
        <v>#N/A</v>
      </c>
      <c r="AA136" s="185" t="e">
        <f aca="false">IF($A137="","",VLOOKUP($A136,Table,MATCH(AA$4,Curves,0)))</f>
        <v>#N/A</v>
      </c>
      <c r="AB136" s="185" t="e">
        <f aca="false">SQRT((AA136^2*(A136-$D$3)+Z136^2*(DAY(EOMONTH(A136,0))/2))/AK136)</f>
        <v>#N/A</v>
      </c>
      <c r="AC136" s="185" t="e">
        <f aca="false">IF($A137="","",VLOOKUP($A136,Table,MATCH(AC$4,Curves,0)))</f>
        <v>#N/A</v>
      </c>
      <c r="AD136" s="185" t="e">
        <f aca="false">IF($A137="","",VLOOKUP($A136,Table,MATCH(AD$4,Curves,0)))</f>
        <v>#N/A</v>
      </c>
      <c r="AE136" s="185" t="e">
        <f aca="false">SQRT((AD136^2*(A136-$D$3)+AC136^2*(DAY(EOMONTH(A136,0))/2))/AK136)</f>
        <v>#N/A</v>
      </c>
      <c r="AF136" s="206" t="e">
        <f aca="false">((Summary!$N$12*(AA136*AD136)*(A136-$D$3))+(Summary!$M$12*Z136*AC136*(AJ136-EOMONTH(EDATE(A136,-1),0))))/(AK136*AB136*AE136)</f>
        <v>#N/A</v>
      </c>
      <c r="AG136" s="207" t="n">
        <f aca="false">IF($A137="","",Summary!$Q$12)</f>
        <v>0</v>
      </c>
      <c r="AH136" s="207" t="n">
        <f aca="false">IF($A137="","",IF(Summary!$R$12="Y",(VLOOKUP($A136,Summary!$AD$6:$AF$9,3)+'Escalating commodity'!H149),'Escalating commodity'!H149))</f>
        <v>0.029</v>
      </c>
      <c r="AI136" s="207" t="n">
        <f aca="false">IF($A137="","",AH136)</f>
        <v>0.029</v>
      </c>
      <c r="AJ136" s="208" t="n">
        <f aca="false">A136+DAY(EOMONTH(A136,0))/2-1</f>
        <v>40892.5</v>
      </c>
      <c r="AK136" s="209" t="n">
        <f aca="false">IF($A137="","",$A136-$E$1)</f>
        <v>-5048</v>
      </c>
      <c r="AL136" s="182" t="e">
        <f aca="false">IF($A137="","",SPRDOPT(P136,X136,AI136,0,AB136,AE136,AF136,AK136,$AJ$2,0))</f>
        <v>#NAME?</v>
      </c>
      <c r="AM136" s="211" t="e">
        <f aca="false">IF($A137="","",MAX(0,O136-W136-AI136))</f>
        <v>#N/A</v>
      </c>
      <c r="AN136" s="211" t="e">
        <f aca="false">IF($A137="","",AL136-AM136)</f>
        <v>#N/A</v>
      </c>
      <c r="AO136" s="137" t="n">
        <f aca="false">IF(A137="","",A137-A136)</f>
        <v>31</v>
      </c>
      <c r="AP136" s="212" t="n">
        <f aca="false">IF(A137="","",CHOOSE(F$3,A137+24,A136))</f>
        <v>40878</v>
      </c>
      <c r="AQ136" s="209" t="n">
        <f aca="false">IF(A137="","",AP136-$E$1)</f>
        <v>-5048</v>
      </c>
      <c r="AR136" s="185" t="n">
        <f aca="false">'ANR OK vs ML7'!AR136</f>
        <v>0.1</v>
      </c>
      <c r="AS136" s="213" t="n">
        <f aca="false">IF(A137="","",1/(1+CHOOSE(F$3,(AR137+($I$3/10000))/2,(AR136+($I$3/10000))/2))^(2*AQ136/365.25))</f>
        <v>3.85212749560598</v>
      </c>
      <c r="AT136" s="137" t="n">
        <f aca="false">IF(A137="","",IF(AND(mthbeg&lt;=A136,mthend&gt;=A136),1,0))</f>
        <v>1</v>
      </c>
      <c r="AU136" s="137" t="n">
        <f aca="false">IF(A137="","",AO136*AT136)</f>
        <v>31</v>
      </c>
      <c r="AW136" s="195" t="e">
        <f aca="false">IF($A137="","",AL136*$E136)</f>
        <v>#NAME?</v>
      </c>
      <c r="AX136" s="195" t="e">
        <f aca="false">IF($A137="","",AM136*$E136)</f>
        <v>#N/A</v>
      </c>
      <c r="AY136" s="195" t="e">
        <f aca="false">IF($A137="","",AN136*$E136)</f>
        <v>#N/A</v>
      </c>
      <c r="BA136" s="195" t="n">
        <f aca="false">IF($A137="","",F136*Summary!$Q$12)</f>
        <v>0</v>
      </c>
      <c r="BC136" s="179" t="e">
        <f aca="false">IF(A137="","",AM136*F136)</f>
        <v>#N/A</v>
      </c>
    </row>
    <row r="137" customFormat="false" ht="12.75" hidden="false" customHeight="false" outlineLevel="0" collapsed="false">
      <c r="A137" s="196" t="n">
        <f aca="false">IF(A136&lt;mthend,EDATE(A136,1),"")</f>
        <v>40909</v>
      </c>
      <c r="B137" s="197" t="n">
        <f aca="false">IF(A137&lt;mthend,B136,"")</f>
        <v>36522</v>
      </c>
      <c r="C137" s="215"/>
      <c r="D137" s="197" t="n">
        <f aca="false">IF(A138&lt;&gt;"",B137+C137,"")</f>
        <v>36522</v>
      </c>
      <c r="E137" s="199" t="n">
        <f aca="false">IF(A138="","",IF(AND(AT137=1,$H$3=1),D137*AO137,IF($H$3=2,D137,"N/A")))</f>
        <v>1132182</v>
      </c>
      <c r="F137" s="199" t="n">
        <f aca="false">IF(A138="","",E137*AS137)</f>
        <v>4325338.33226459</v>
      </c>
      <c r="G137" s="200" t="e">
        <f aca="false">IF($A138="","",VLOOKUP($A137,Table,MATCH(G$4,Curves,0)))</f>
        <v>#N/A</v>
      </c>
      <c r="H137" s="201" t="e">
        <f aca="false">IF(A138="","",G137)</f>
        <v>#N/A</v>
      </c>
      <c r="I137" s="202"/>
      <c r="J137" s="200" t="e">
        <f aca="false">IF($A138="","",VLOOKUP($A137,Table,MATCH(J$4,Curves,0)))</f>
        <v>#N/A</v>
      </c>
      <c r="K137" s="201" t="e">
        <f aca="false">IF(A138="","",J137)</f>
        <v>#N/A</v>
      </c>
      <c r="L137" s="200" t="e">
        <f aca="false">IF($A138="","",VLOOKUP($A137,Table,MATCH(L$4,Curves,0)))</f>
        <v>#N/A</v>
      </c>
      <c r="M137" s="201" t="e">
        <f aca="false">IF(A138="","",L137)</f>
        <v>#N/A</v>
      </c>
      <c r="N137" s="203"/>
      <c r="O137" s="200" t="e">
        <f aca="false">IF(A138="","",L137+J137+G137)</f>
        <v>#N/A</v>
      </c>
      <c r="P137" s="200" t="e">
        <f aca="false">IF(A138="","",M137+K137+H137)</f>
        <v>#N/A</v>
      </c>
      <c r="Q137" s="204"/>
      <c r="R137" s="200" t="e">
        <f aca="false">IF($A138="","",VLOOKUP($A137,Table,MATCH(R$4,Curves,0)))</f>
        <v>#N/A</v>
      </c>
      <c r="S137" s="201" t="e">
        <f aca="false">IF(A138="","",R137)</f>
        <v>#N/A</v>
      </c>
      <c r="T137" s="200" t="e">
        <f aca="false">IF($A138="","",VLOOKUP($A137,Table,MATCH(T$4,Curves,0)))</f>
        <v>#N/A</v>
      </c>
      <c r="U137" s="201" t="e">
        <f aca="false">IF(A138="","",T137)</f>
        <v>#N/A</v>
      </c>
      <c r="V137" s="225" t="e">
        <f aca="false">IF($A138="","",IF(AND(MONTH(A137)&gt;3,MONTH(A137)&lt;11),(T137+R137+G137)*(((1/(1-Summary!$T$12))/(1-Summary!$W$12))-1),(T137+R137+G137)*((1/(1-Summary!$U$12))/(1-Summary!$X$12)-1)))</f>
        <v>#N/A</v>
      </c>
      <c r="W137" s="200" t="e">
        <f aca="false">IF($A138="","",(T137+R137+G137+V137))</f>
        <v>#N/A</v>
      </c>
      <c r="X137" s="200" t="e">
        <f aca="false">IF($A138="","",(U137+S137+H137+V137))</f>
        <v>#N/A</v>
      </c>
      <c r="Y137" s="202"/>
      <c r="Z137" s="185" t="e">
        <f aca="false">IF($A138="","",VLOOKUP($A137,Table,MATCH(Z$4,Curves,0)))</f>
        <v>#N/A</v>
      </c>
      <c r="AA137" s="185" t="e">
        <f aca="false">IF($A138="","",VLOOKUP($A137,Table,MATCH(AA$4,Curves,0)))</f>
        <v>#N/A</v>
      </c>
      <c r="AB137" s="185" t="e">
        <f aca="false">SQRT((AA137^2*(A137-$D$3)+Z137^2*(DAY(EOMONTH(A137,0))/2))/AK137)</f>
        <v>#N/A</v>
      </c>
      <c r="AC137" s="185" t="e">
        <f aca="false">IF($A138="","",VLOOKUP($A137,Table,MATCH(AC$4,Curves,0)))</f>
        <v>#N/A</v>
      </c>
      <c r="AD137" s="185" t="e">
        <f aca="false">IF($A138="","",VLOOKUP($A137,Table,MATCH(AD$4,Curves,0)))</f>
        <v>#N/A</v>
      </c>
      <c r="AE137" s="185" t="e">
        <f aca="false">SQRT((AD137^2*(A137-$D$3)+AC137^2*(DAY(EOMONTH(A137,0))/2))/AK137)</f>
        <v>#N/A</v>
      </c>
      <c r="AF137" s="206" t="e">
        <f aca="false">((Summary!$N$12*(AA137*AD137)*(A137-$D$3))+(Summary!$M$12*Z137*AC137*(AJ137-EOMONTH(EDATE(A137,-1),0))))/(AK137*AB137*AE137)</f>
        <v>#N/A</v>
      </c>
      <c r="AG137" s="207" t="n">
        <f aca="false">IF($A138="","",Summary!$Q$12)</f>
        <v>0</v>
      </c>
      <c r="AH137" s="207" t="n">
        <f aca="false">IF($A138="","",IF(Summary!$R$12="Y",(VLOOKUP($A137,Summary!$AD$6:$AF$9,3)+'Escalating commodity'!H150),'Escalating commodity'!H150))</f>
        <v>0.029</v>
      </c>
      <c r="AI137" s="207" t="n">
        <f aca="false">IF($A138="","",AH137)</f>
        <v>0.029</v>
      </c>
      <c r="AJ137" s="208" t="n">
        <f aca="false">A137+DAY(EOMONTH(A137,0))/2-1</f>
        <v>40923.5</v>
      </c>
      <c r="AK137" s="209" t="n">
        <f aca="false">IF($A138="","",$A137-$E$1)</f>
        <v>-5017</v>
      </c>
      <c r="AL137" s="182" t="e">
        <f aca="false">IF($A138="","",SPRDOPT(P137,X137,AI137,0,AB137,AE137,AF137,AK137,$AJ$2,0))</f>
        <v>#NAME?</v>
      </c>
      <c r="AM137" s="211" t="e">
        <f aca="false">IF($A138="","",MAX(0,O137-W137-AI137))</f>
        <v>#N/A</v>
      </c>
      <c r="AN137" s="211" t="e">
        <f aca="false">IF($A138="","",AL137-AM137)</f>
        <v>#N/A</v>
      </c>
      <c r="AO137" s="137" t="n">
        <f aca="false">IF(A138="","",A138-A137)</f>
        <v>31</v>
      </c>
      <c r="AP137" s="212" t="n">
        <f aca="false">IF(A138="","",CHOOSE(F$3,A138+24,A137))</f>
        <v>40909</v>
      </c>
      <c r="AQ137" s="209" t="n">
        <f aca="false">IF(A138="","",AP137-$E$1)</f>
        <v>-5017</v>
      </c>
      <c r="AR137" s="185" t="n">
        <f aca="false">'ANR OK vs ML7'!AR137</f>
        <v>0.1</v>
      </c>
      <c r="AS137" s="213" t="n">
        <f aca="false">IF(A138="","",1/(1+CHOOSE(F$3,(AR138+($I$3/10000))/2,(AR137+($I$3/10000))/2))^(2*AQ137/365.25))</f>
        <v>3.82035603133117</v>
      </c>
      <c r="AT137" s="137" t="n">
        <f aca="false">IF(A138="","",IF(AND(mthbeg&lt;=A137,mthend&gt;=A137),1,0))</f>
        <v>1</v>
      </c>
      <c r="AU137" s="137" t="n">
        <f aca="false">IF(A138="","",AO137*AT137)</f>
        <v>31</v>
      </c>
      <c r="AW137" s="195" t="e">
        <f aca="false">IF($A138="","",AL137*$E137)</f>
        <v>#NAME?</v>
      </c>
      <c r="AX137" s="195" t="e">
        <f aca="false">IF($A138="","",AM137*$E137)</f>
        <v>#N/A</v>
      </c>
      <c r="AY137" s="195" t="e">
        <f aca="false">IF($A138="","",AN137*$E137)</f>
        <v>#N/A</v>
      </c>
      <c r="BA137" s="195" t="n">
        <f aca="false">IF($A138="","",F137*Summary!$Q$12)</f>
        <v>0</v>
      </c>
      <c r="BC137" s="179" t="e">
        <f aca="false">IF(A138="","",AM137*F137)</f>
        <v>#N/A</v>
      </c>
    </row>
    <row r="138" customFormat="false" ht="12.75" hidden="false" customHeight="false" outlineLevel="0" collapsed="false">
      <c r="A138" s="196" t="n">
        <f aca="false">IF(A137&lt;mthend,EDATE(A137,1),"")</f>
        <v>40940</v>
      </c>
      <c r="B138" s="197" t="n">
        <f aca="false">IF(A138&lt;mthend,B137,"")</f>
        <v>36522</v>
      </c>
      <c r="C138" s="215"/>
      <c r="D138" s="197" t="n">
        <f aca="false">IF(A139&lt;&gt;"",B138+C138,"")</f>
        <v>36522</v>
      </c>
      <c r="E138" s="199" t="n">
        <f aca="false">IF(A139="","",IF(AND(AT138=1,$H$3=1),D138*AO138,IF($H$3=2,D138,"N/A")))</f>
        <v>1059138</v>
      </c>
      <c r="F138" s="199" t="n">
        <f aca="false">IF(A139="","",E138*AS138)</f>
        <v>4012911.42167836</v>
      </c>
      <c r="G138" s="200" t="e">
        <f aca="false">IF($A139="","",VLOOKUP($A138,Table,MATCH(G$4,Curves,0)))</f>
        <v>#N/A</v>
      </c>
      <c r="H138" s="201" t="e">
        <f aca="false">IF(A139="","",G138)</f>
        <v>#N/A</v>
      </c>
      <c r="I138" s="202"/>
      <c r="J138" s="200" t="e">
        <f aca="false">IF($A139="","",VLOOKUP($A138,Table,MATCH(J$4,Curves,0)))</f>
        <v>#N/A</v>
      </c>
      <c r="K138" s="201" t="e">
        <f aca="false">IF(A139="","",J138)</f>
        <v>#N/A</v>
      </c>
      <c r="L138" s="200" t="e">
        <f aca="false">IF($A139="","",VLOOKUP($A138,Table,MATCH(L$4,Curves,0)))</f>
        <v>#N/A</v>
      </c>
      <c r="M138" s="201" t="e">
        <f aca="false">IF(A139="","",L138)</f>
        <v>#N/A</v>
      </c>
      <c r="N138" s="203"/>
      <c r="O138" s="200" t="e">
        <f aca="false">IF(A139="","",L138+J138+G138)</f>
        <v>#N/A</v>
      </c>
      <c r="P138" s="200" t="e">
        <f aca="false">IF(A139="","",M138+K138+H138)</f>
        <v>#N/A</v>
      </c>
      <c r="Q138" s="204"/>
      <c r="R138" s="200" t="e">
        <f aca="false">IF($A139="","",VLOOKUP($A138,Table,MATCH(R$4,Curves,0)))</f>
        <v>#N/A</v>
      </c>
      <c r="S138" s="201" t="e">
        <f aca="false">IF(A139="","",R138)</f>
        <v>#N/A</v>
      </c>
      <c r="T138" s="200" t="e">
        <f aca="false">IF($A139="","",VLOOKUP($A138,Table,MATCH(T$4,Curves,0)))</f>
        <v>#N/A</v>
      </c>
      <c r="U138" s="201" t="e">
        <f aca="false">IF(A139="","",T138)</f>
        <v>#N/A</v>
      </c>
      <c r="V138" s="225" t="e">
        <f aca="false">IF($A139="","",IF(AND(MONTH(A138)&gt;3,MONTH(A138)&lt;11),(T138+R138+G138)*(((1/(1-Summary!$T$12))/(1-Summary!$W$12))-1),(T138+R138+G138)*((1/(1-Summary!$U$12))/(1-Summary!$X$12)-1)))</f>
        <v>#N/A</v>
      </c>
      <c r="W138" s="200" t="e">
        <f aca="false">IF($A139="","",(T138+R138+G138+V138))</f>
        <v>#N/A</v>
      </c>
      <c r="X138" s="200" t="e">
        <f aca="false">IF($A139="","",(U138+S138+H138+V138))</f>
        <v>#N/A</v>
      </c>
      <c r="Y138" s="202"/>
      <c r="Z138" s="185" t="e">
        <f aca="false">IF($A139="","",VLOOKUP($A138,Table,MATCH(Z$4,Curves,0)))</f>
        <v>#N/A</v>
      </c>
      <c r="AA138" s="185" t="e">
        <f aca="false">IF($A139="","",VLOOKUP($A138,Table,MATCH(AA$4,Curves,0)))</f>
        <v>#N/A</v>
      </c>
      <c r="AB138" s="185" t="e">
        <f aca="false">SQRT((AA138^2*(A138-$D$3)+Z138^2*(DAY(EOMONTH(A138,0))/2))/AK138)</f>
        <v>#N/A</v>
      </c>
      <c r="AC138" s="185" t="e">
        <f aca="false">IF($A139="","",VLOOKUP($A138,Table,MATCH(AC$4,Curves,0)))</f>
        <v>#N/A</v>
      </c>
      <c r="AD138" s="185" t="e">
        <f aca="false">IF($A139="","",VLOOKUP($A138,Table,MATCH(AD$4,Curves,0)))</f>
        <v>#N/A</v>
      </c>
      <c r="AE138" s="185" t="e">
        <f aca="false">SQRT((AD138^2*(A138-$D$3)+AC138^2*(DAY(EOMONTH(A138,0))/2))/AK138)</f>
        <v>#N/A</v>
      </c>
      <c r="AF138" s="206" t="e">
        <f aca="false">((Summary!$N$12*(AA138*AD138)*(A138-$D$3))+(Summary!$M$12*Z138*AC138*(AJ138-EOMONTH(EDATE(A138,-1),0))))/(AK138*AB138*AE138)</f>
        <v>#N/A</v>
      </c>
      <c r="AG138" s="207" t="n">
        <f aca="false">IF($A139="","",Summary!$Q$12)</f>
        <v>0</v>
      </c>
      <c r="AH138" s="207" t="n">
        <f aca="false">IF($A139="","",IF(Summary!$R$12="Y",(VLOOKUP($A138,Summary!$AD$6:$AF$9,3)+'Escalating commodity'!H151),'Escalating commodity'!H151))</f>
        <v>0.029</v>
      </c>
      <c r="AI138" s="207" t="n">
        <f aca="false">IF($A139="","",AH138)</f>
        <v>0.029</v>
      </c>
      <c r="AJ138" s="208" t="n">
        <f aca="false">A138+DAY(EOMONTH(A138,0))/2-1</f>
        <v>40953.5</v>
      </c>
      <c r="AK138" s="209" t="n">
        <f aca="false">IF($A139="","",$A138-$E$1)</f>
        <v>-4986</v>
      </c>
      <c r="AL138" s="182" t="e">
        <f aca="false">IF($A139="","",SPRDOPT(P138,X138,AI138,0,AB138,AE138,AF138,AK138,$AJ$2,0))</f>
        <v>#NAME?</v>
      </c>
      <c r="AM138" s="211" t="e">
        <f aca="false">IF($A139="","",MAX(0,O138-W138-AI138))</f>
        <v>#N/A</v>
      </c>
      <c r="AN138" s="211" t="e">
        <f aca="false">IF($A139="","",AL138-AM138)</f>
        <v>#N/A</v>
      </c>
      <c r="AO138" s="137" t="n">
        <f aca="false">IF(A139="","",A139-A138)</f>
        <v>29</v>
      </c>
      <c r="AP138" s="212" t="n">
        <f aca="false">IF(A139="","",CHOOSE(F$3,A139+24,A138))</f>
        <v>40940</v>
      </c>
      <c r="AQ138" s="209" t="n">
        <f aca="false">IF(A139="","",AP138-$E$1)</f>
        <v>-4986</v>
      </c>
      <c r="AR138" s="185" t="n">
        <f aca="false">'ANR OK vs ML7'!AR138</f>
        <v>0.1</v>
      </c>
      <c r="AS138" s="213" t="n">
        <f aca="false">IF(A139="","",1/(1+CHOOSE(F$3,(AR139+($I$3/10000))/2,(AR138+($I$3/10000))/2))^(2*AQ138/365.25))</f>
        <v>3.78884661080837</v>
      </c>
      <c r="AT138" s="137" t="n">
        <f aca="false">IF(A139="","",IF(AND(mthbeg&lt;=A138,mthend&gt;=A138),1,0))</f>
        <v>1</v>
      </c>
      <c r="AU138" s="137" t="n">
        <f aca="false">IF(A139="","",AO138*AT138)</f>
        <v>29</v>
      </c>
      <c r="AW138" s="195" t="e">
        <f aca="false">IF($A139="","",AL138*$E138)</f>
        <v>#NAME?</v>
      </c>
      <c r="AX138" s="195" t="e">
        <f aca="false">IF($A139="","",AM138*$E138)</f>
        <v>#N/A</v>
      </c>
      <c r="AY138" s="195" t="e">
        <f aca="false">IF($A139="","",AN138*$E138)</f>
        <v>#N/A</v>
      </c>
      <c r="BA138" s="195" t="n">
        <f aca="false">IF($A139="","",F138*Summary!$Q$12)</f>
        <v>0</v>
      </c>
      <c r="BC138" s="179" t="e">
        <f aca="false">IF(A139="","",AM138*F138)</f>
        <v>#N/A</v>
      </c>
    </row>
    <row r="139" customFormat="false" ht="12.75" hidden="false" customHeight="false" outlineLevel="0" collapsed="false">
      <c r="A139" s="196" t="n">
        <f aca="false">IF(A138&lt;mthend,EDATE(A138,1),"")</f>
        <v>40969</v>
      </c>
      <c r="B139" s="197" t="n">
        <f aca="false">IF(A139&lt;mthend,B138,"")</f>
        <v>36522</v>
      </c>
      <c r="C139" s="215"/>
      <c r="D139" s="197" t="n">
        <f aca="false">IF(A140&lt;&gt;"",B139+C139,"")</f>
        <v>36522</v>
      </c>
      <c r="E139" s="199" t="n">
        <f aca="false">IF(A140="","",IF(AND(AT139=1,$H$3=1),D139*AO139,IF($H$3=2,D139,"N/A")))</f>
        <v>1132182</v>
      </c>
      <c r="F139" s="199" t="n">
        <f aca="false">IF(A140="","",E139*AS139)</f>
        <v>4256557.52856294</v>
      </c>
      <c r="G139" s="200" t="e">
        <f aca="false">IF($A140="","",VLOOKUP($A139,Table,MATCH(G$4,Curves,0)))</f>
        <v>#N/A</v>
      </c>
      <c r="H139" s="201" t="e">
        <f aca="false">IF(A140="","",G139)</f>
        <v>#N/A</v>
      </c>
      <c r="I139" s="202"/>
      <c r="J139" s="200" t="e">
        <f aca="false">IF($A140="","",VLOOKUP($A139,Table,MATCH(J$4,Curves,0)))</f>
        <v>#N/A</v>
      </c>
      <c r="K139" s="201" t="e">
        <f aca="false">IF(A140="","",J139)</f>
        <v>#N/A</v>
      </c>
      <c r="L139" s="200" t="e">
        <f aca="false">IF($A140="","",VLOOKUP($A139,Table,MATCH(L$4,Curves,0)))</f>
        <v>#N/A</v>
      </c>
      <c r="M139" s="201" t="e">
        <f aca="false">IF(A140="","",L139)</f>
        <v>#N/A</v>
      </c>
      <c r="N139" s="203"/>
      <c r="O139" s="200" t="e">
        <f aca="false">IF(A140="","",L139+J139+G139)</f>
        <v>#N/A</v>
      </c>
      <c r="P139" s="200" t="e">
        <f aca="false">IF(A140="","",M139+K139+H139)</f>
        <v>#N/A</v>
      </c>
      <c r="Q139" s="204"/>
      <c r="R139" s="200" t="e">
        <f aca="false">IF($A140="","",VLOOKUP($A139,Table,MATCH(R$4,Curves,0)))</f>
        <v>#N/A</v>
      </c>
      <c r="S139" s="201" t="e">
        <f aca="false">IF(A140="","",R139)</f>
        <v>#N/A</v>
      </c>
      <c r="T139" s="200" t="e">
        <f aca="false">IF($A140="","",VLOOKUP($A139,Table,MATCH(T$4,Curves,0)))</f>
        <v>#N/A</v>
      </c>
      <c r="U139" s="201" t="e">
        <f aca="false">IF(A140="","",T139)</f>
        <v>#N/A</v>
      </c>
      <c r="V139" s="225" t="e">
        <f aca="false">IF($A140="","",IF(AND(MONTH(A139)&gt;3,MONTH(A139)&lt;11),(T139+R139+G139)*(((1/(1-Summary!$T$12))/(1-Summary!$W$12))-1),(T139+R139+G139)*((1/(1-Summary!$U$12))/(1-Summary!$X$12)-1)))</f>
        <v>#N/A</v>
      </c>
      <c r="W139" s="200" t="e">
        <f aca="false">IF($A140="","",(T139+R139+G139+V139))</f>
        <v>#N/A</v>
      </c>
      <c r="X139" s="200" t="e">
        <f aca="false">IF($A140="","",(U139+S139+H139+V139))</f>
        <v>#N/A</v>
      </c>
      <c r="Y139" s="202"/>
      <c r="Z139" s="185" t="e">
        <f aca="false">IF($A140="","",VLOOKUP($A139,Table,MATCH(Z$4,Curves,0)))</f>
        <v>#N/A</v>
      </c>
      <c r="AA139" s="185" t="e">
        <f aca="false">IF($A140="","",VLOOKUP($A139,Table,MATCH(AA$4,Curves,0)))</f>
        <v>#N/A</v>
      </c>
      <c r="AB139" s="185" t="e">
        <f aca="false">SQRT((AA139^2*(A139-$D$3)+Z139^2*(DAY(EOMONTH(A139,0))/2))/AK139)</f>
        <v>#N/A</v>
      </c>
      <c r="AC139" s="185" t="e">
        <f aca="false">IF($A140="","",VLOOKUP($A139,Table,MATCH(AC$4,Curves,0)))</f>
        <v>#N/A</v>
      </c>
      <c r="AD139" s="185" t="e">
        <f aca="false">IF($A140="","",VLOOKUP($A139,Table,MATCH(AD$4,Curves,0)))</f>
        <v>#N/A</v>
      </c>
      <c r="AE139" s="185" t="e">
        <f aca="false">SQRT((AD139^2*(A139-$D$3)+AC139^2*(DAY(EOMONTH(A139,0))/2))/AK139)</f>
        <v>#N/A</v>
      </c>
      <c r="AF139" s="206" t="e">
        <f aca="false">((Summary!$N$12*(AA139*AD139)*(A139-$D$3))+(Summary!$M$12*Z139*AC139*(AJ139-EOMONTH(EDATE(A139,-1),0))))/(AK139*AB139*AE139)</f>
        <v>#N/A</v>
      </c>
      <c r="AG139" s="207" t="n">
        <f aca="false">IF($A140="","",Summary!$Q$12)</f>
        <v>0</v>
      </c>
      <c r="AH139" s="207" t="n">
        <f aca="false">IF($A140="","",IF(Summary!$R$12="Y",(VLOOKUP($A139,Summary!$AD$6:$AF$9,3)+'Escalating commodity'!H152),'Escalating commodity'!H152))</f>
        <v>0.029</v>
      </c>
      <c r="AI139" s="207" t="n">
        <f aca="false">IF($A140="","",AH139)</f>
        <v>0.029</v>
      </c>
      <c r="AJ139" s="208" t="n">
        <f aca="false">A139+DAY(EOMONTH(A139,0))/2-1</f>
        <v>40983.5</v>
      </c>
      <c r="AK139" s="209" t="n">
        <f aca="false">IF($A140="","",$A139-$E$1)</f>
        <v>-4957</v>
      </c>
      <c r="AL139" s="182" t="e">
        <f aca="false">IF($A140="","",SPRDOPT(P139,X139,AI139,0,AB139,AE139,AF139,AK139,$AJ$2,0))</f>
        <v>#NAME?</v>
      </c>
      <c r="AM139" s="211" t="e">
        <f aca="false">IF($A140="","",MAX(0,O139-W139-AI139))</f>
        <v>#N/A</v>
      </c>
      <c r="AN139" s="211" t="e">
        <f aca="false">IF($A140="","",AL139-AM139)</f>
        <v>#N/A</v>
      </c>
      <c r="AO139" s="137" t="n">
        <f aca="false">IF(A140="","",A140-A139)</f>
        <v>31</v>
      </c>
      <c r="AP139" s="212" t="n">
        <f aca="false">IF(A140="","",CHOOSE(F$3,A140+24,A139))</f>
        <v>40969</v>
      </c>
      <c r="AQ139" s="209" t="n">
        <f aca="false">IF(A140="","",AP139-$E$1)</f>
        <v>-4957</v>
      </c>
      <c r="AR139" s="185" t="n">
        <f aca="false">'ANR OK vs ML7'!AR139</f>
        <v>0.1</v>
      </c>
      <c r="AS139" s="213" t="n">
        <f aca="false">IF(A140="","",1/(1+CHOOSE(F$3,(AR140+($I$3/10000))/2,(AR139+($I$3/10000))/2))^(2*AQ139/365.25))</f>
        <v>3.75960537136515</v>
      </c>
      <c r="AT139" s="137" t="n">
        <f aca="false">IF(A140="","",IF(AND(mthbeg&lt;=A139,mthend&gt;=A139),1,0))</f>
        <v>1</v>
      </c>
      <c r="AU139" s="137" t="n">
        <f aca="false">IF(A140="","",AO139*AT139)</f>
        <v>31</v>
      </c>
      <c r="AW139" s="195" t="e">
        <f aca="false">IF($A140="","",AL139*$E139)</f>
        <v>#NAME?</v>
      </c>
      <c r="AX139" s="195" t="e">
        <f aca="false">IF($A140="","",AM139*$E139)</f>
        <v>#N/A</v>
      </c>
      <c r="AY139" s="195" t="e">
        <f aca="false">IF($A140="","",AN139*$E139)</f>
        <v>#N/A</v>
      </c>
      <c r="BA139" s="195" t="n">
        <f aca="false">IF($A140="","",F139*Summary!$Q$12)</f>
        <v>0</v>
      </c>
      <c r="BC139" s="179" t="e">
        <f aca="false">IF(A140="","",AM139*F139)</f>
        <v>#N/A</v>
      </c>
    </row>
    <row r="140" customFormat="false" ht="12.75" hidden="false" customHeight="false" outlineLevel="0" collapsed="false">
      <c r="A140" s="196" t="n">
        <f aca="false">IF(A139&lt;mthend,EDATE(A139,1),"")</f>
        <v>41000</v>
      </c>
      <c r="B140" s="197" t="n">
        <f aca="false">IF(A140&lt;mthend,B139,"")</f>
        <v>36522</v>
      </c>
      <c r="C140" s="215"/>
      <c r="D140" s="197" t="n">
        <f aca="false">IF(A141&lt;&gt;"",B140+C140,"")</f>
        <v>36522</v>
      </c>
      <c r="E140" s="199" t="n">
        <f aca="false">IF(A141="","",IF(AND(AT140=1,$H$3=1),D140*AO140,IF($H$3=2,D140,"N/A")))</f>
        <v>1095660</v>
      </c>
      <c r="F140" s="199" t="n">
        <f aca="false">IF(A141="","",E140*AS140)</f>
        <v>4085274.59817465</v>
      </c>
      <c r="G140" s="200" t="e">
        <f aca="false">IF($A141="","",VLOOKUP($A140,Table,MATCH(G$4,Curves,0)))</f>
        <v>#N/A</v>
      </c>
      <c r="H140" s="201" t="e">
        <f aca="false">IF(A141="","",G140)</f>
        <v>#N/A</v>
      </c>
      <c r="I140" s="202"/>
      <c r="J140" s="200" t="e">
        <f aca="false">IF($A141="","",VLOOKUP($A140,Table,MATCH(J$4,Curves,0)))</f>
        <v>#N/A</v>
      </c>
      <c r="K140" s="201" t="e">
        <f aca="false">IF(A141="","",J140)</f>
        <v>#N/A</v>
      </c>
      <c r="L140" s="200" t="e">
        <f aca="false">IF($A141="","",VLOOKUP($A140,Table,MATCH(L$4,Curves,0)))</f>
        <v>#N/A</v>
      </c>
      <c r="M140" s="201" t="e">
        <f aca="false">IF(A141="","",L140)</f>
        <v>#N/A</v>
      </c>
      <c r="N140" s="203"/>
      <c r="O140" s="200" t="e">
        <f aca="false">IF(A141="","",L140+J140+G140)</f>
        <v>#N/A</v>
      </c>
      <c r="P140" s="200" t="e">
        <f aca="false">IF(A141="","",M140+K140+H140)</f>
        <v>#N/A</v>
      </c>
      <c r="Q140" s="204"/>
      <c r="R140" s="200" t="e">
        <f aca="false">IF($A141="","",VLOOKUP($A140,Table,MATCH(R$4,Curves,0)))</f>
        <v>#N/A</v>
      </c>
      <c r="S140" s="201" t="e">
        <f aca="false">IF(A141="","",R140)</f>
        <v>#N/A</v>
      </c>
      <c r="T140" s="200" t="e">
        <f aca="false">IF($A141="","",VLOOKUP($A140,Table,MATCH(T$4,Curves,0)))</f>
        <v>#N/A</v>
      </c>
      <c r="U140" s="201" t="e">
        <f aca="false">IF(A141="","",T140)</f>
        <v>#N/A</v>
      </c>
      <c r="V140" s="225" t="e">
        <f aca="false">IF($A141="","",IF(AND(MONTH(A140)&gt;3,MONTH(A140)&lt;11),(T140+R140+G140)*(((1/(1-Summary!$T$12))/(1-Summary!$W$12))-1),(T140+R140+G140)*((1/(1-Summary!$U$12))/(1-Summary!$X$12)-1)))</f>
        <v>#N/A</v>
      </c>
      <c r="W140" s="200" t="e">
        <f aca="false">IF($A141="","",(T140+R140+G140+V140))</f>
        <v>#N/A</v>
      </c>
      <c r="X140" s="200" t="e">
        <f aca="false">IF($A141="","",(U140+S140+H140+V140))</f>
        <v>#N/A</v>
      </c>
      <c r="Y140" s="202"/>
      <c r="Z140" s="185" t="e">
        <f aca="false">IF($A141="","",VLOOKUP($A140,Table,MATCH(Z$4,Curves,0)))</f>
        <v>#N/A</v>
      </c>
      <c r="AA140" s="185" t="e">
        <f aca="false">IF($A141="","",VLOOKUP($A140,Table,MATCH(AA$4,Curves,0)))</f>
        <v>#N/A</v>
      </c>
      <c r="AB140" s="185" t="e">
        <f aca="false">SQRT((AA140^2*(A140-$D$3)+Z140^2*(DAY(EOMONTH(A140,0))/2))/AK140)</f>
        <v>#N/A</v>
      </c>
      <c r="AC140" s="185" t="e">
        <f aca="false">IF($A141="","",VLOOKUP($A140,Table,MATCH(AC$4,Curves,0)))</f>
        <v>#N/A</v>
      </c>
      <c r="AD140" s="185" t="e">
        <f aca="false">IF($A141="","",VLOOKUP($A140,Table,MATCH(AD$4,Curves,0)))</f>
        <v>#N/A</v>
      </c>
      <c r="AE140" s="185" t="e">
        <f aca="false">SQRT((AD140^2*(A140-$D$3)+AC140^2*(DAY(EOMONTH(A140,0))/2))/AK140)</f>
        <v>#N/A</v>
      </c>
      <c r="AF140" s="206" t="e">
        <f aca="false">((Summary!$N$12*(AA140*AD140)*(A140-$D$3))+(Summary!$M$12*Z140*AC140*(AJ140-EOMONTH(EDATE(A140,-1),0))))/(AK140*AB140*AE140)</f>
        <v>#N/A</v>
      </c>
      <c r="AG140" s="207" t="n">
        <f aca="false">IF($A141="","",Summary!$Q$12)</f>
        <v>0</v>
      </c>
      <c r="AH140" s="207" t="n">
        <f aca="false">IF($A141="","",IF(Summary!$R$12="Y",(VLOOKUP($A140,Summary!$AD$6:$AF$9,3)+'Escalating commodity'!H153),'Escalating commodity'!H153))</f>
        <v>0.029</v>
      </c>
      <c r="AI140" s="207" t="n">
        <f aca="false">IF($A141="","",AH140)</f>
        <v>0.029</v>
      </c>
      <c r="AJ140" s="208" t="n">
        <f aca="false">A140+DAY(EOMONTH(A140,0))/2-1</f>
        <v>41014</v>
      </c>
      <c r="AK140" s="209" t="n">
        <f aca="false">IF($A141="","",$A140-$E$1)</f>
        <v>-4926</v>
      </c>
      <c r="AL140" s="182" t="e">
        <f aca="false">IF($A141="","",SPRDOPT(P140,X140,AI140,0,AB140,AE140,AF140,AK140,$AJ$2,0))</f>
        <v>#NAME?</v>
      </c>
      <c r="AM140" s="211" t="e">
        <f aca="false">IF($A141="","",MAX(0,O140-W140-AI140))</f>
        <v>#N/A</v>
      </c>
      <c r="AN140" s="211" t="e">
        <f aca="false">IF($A141="","",AL140-AM140)</f>
        <v>#N/A</v>
      </c>
      <c r="AO140" s="137" t="n">
        <f aca="false">IF(A141="","",A141-A140)</f>
        <v>30</v>
      </c>
      <c r="AP140" s="212" t="n">
        <f aca="false">IF(A141="","",CHOOSE(F$3,A141+24,A140))</f>
        <v>41000</v>
      </c>
      <c r="AQ140" s="209" t="n">
        <f aca="false">IF(A141="","",AP140-$E$1)</f>
        <v>-4926</v>
      </c>
      <c r="AR140" s="185" t="n">
        <f aca="false">'ANR OK vs ML7'!AR140</f>
        <v>0.1</v>
      </c>
      <c r="AS140" s="213" t="n">
        <f aca="false">IF(A141="","",1/(1+CHOOSE(F$3,(AR141+($I$3/10000))/2,(AR140+($I$3/10000))/2))^(2*AQ140/365.25))</f>
        <v>3.72859700835537</v>
      </c>
      <c r="AT140" s="137" t="n">
        <f aca="false">IF(A141="","",IF(AND(mthbeg&lt;=A140,mthend&gt;=A140),1,0))</f>
        <v>1</v>
      </c>
      <c r="AU140" s="137" t="n">
        <f aca="false">IF(A141="","",AO140*AT140)</f>
        <v>30</v>
      </c>
      <c r="AW140" s="195" t="e">
        <f aca="false">IF($A141="","",AL140*$E140)</f>
        <v>#NAME?</v>
      </c>
      <c r="AX140" s="195" t="e">
        <f aca="false">IF($A141="","",AM140*$E140)</f>
        <v>#N/A</v>
      </c>
      <c r="AY140" s="195" t="e">
        <f aca="false">IF($A141="","",AN140*$E140)</f>
        <v>#N/A</v>
      </c>
      <c r="BA140" s="195" t="n">
        <f aca="false">IF($A141="","",F140*Summary!$Q$12)</f>
        <v>0</v>
      </c>
      <c r="BC140" s="179" t="e">
        <f aca="false">IF(A141="","",AM140*F140)</f>
        <v>#N/A</v>
      </c>
    </row>
    <row r="141" customFormat="false" ht="12.75" hidden="false" customHeight="false" outlineLevel="0" collapsed="false">
      <c r="A141" s="196" t="n">
        <f aca="false">IF(A140&lt;mthend,EDATE(A140,1),"")</f>
        <v>41030</v>
      </c>
      <c r="B141" s="197" t="n">
        <f aca="false">IF(A141&lt;mthend,B140,"")</f>
        <v>36522</v>
      </c>
      <c r="C141" s="215"/>
      <c r="D141" s="197" t="n">
        <f aca="false">IF(A142&lt;&gt;"",B141+C141,"")</f>
        <v>36522</v>
      </c>
      <c r="E141" s="199" t="n">
        <f aca="false">IF(A142="","",IF(AND(AT141=1,$H$3=1),D141*AO141,IF($H$3=2,D141,"N/A")))</f>
        <v>1132182</v>
      </c>
      <c r="F141" s="199" t="n">
        <f aca="false">IF(A142="","",E141*AS141)</f>
        <v>4187751.5149059</v>
      </c>
      <c r="G141" s="200" t="e">
        <f aca="false">IF($A142="","",VLOOKUP($A141,Table,MATCH(G$4,Curves,0)))</f>
        <v>#N/A</v>
      </c>
      <c r="H141" s="201" t="e">
        <f aca="false">IF(A142="","",G141)</f>
        <v>#N/A</v>
      </c>
      <c r="I141" s="202"/>
      <c r="J141" s="200" t="e">
        <f aca="false">IF($A142="","",VLOOKUP($A141,Table,MATCH(J$4,Curves,0)))</f>
        <v>#N/A</v>
      </c>
      <c r="K141" s="201" t="e">
        <f aca="false">IF(A142="","",J141)</f>
        <v>#N/A</v>
      </c>
      <c r="L141" s="200" t="e">
        <f aca="false">IF($A142="","",VLOOKUP($A141,Table,MATCH(L$4,Curves,0)))</f>
        <v>#N/A</v>
      </c>
      <c r="M141" s="201" t="e">
        <f aca="false">IF(A142="","",L141)</f>
        <v>#N/A</v>
      </c>
      <c r="N141" s="203"/>
      <c r="O141" s="200" t="e">
        <f aca="false">IF(A142="","",L141+J141+G141)</f>
        <v>#N/A</v>
      </c>
      <c r="P141" s="200" t="e">
        <f aca="false">IF(A142="","",M141+K141+H141)</f>
        <v>#N/A</v>
      </c>
      <c r="Q141" s="204"/>
      <c r="R141" s="200" t="e">
        <f aca="false">IF($A142="","",VLOOKUP($A141,Table,MATCH(R$4,Curves,0)))</f>
        <v>#N/A</v>
      </c>
      <c r="S141" s="201" t="e">
        <f aca="false">IF(A142="","",R141)</f>
        <v>#N/A</v>
      </c>
      <c r="T141" s="200" t="e">
        <f aca="false">IF($A142="","",VLOOKUP($A141,Table,MATCH(T$4,Curves,0)))</f>
        <v>#N/A</v>
      </c>
      <c r="U141" s="201" t="e">
        <f aca="false">IF(A142="","",T141)</f>
        <v>#N/A</v>
      </c>
      <c r="V141" s="225" t="e">
        <f aca="false">IF($A142="","",IF(AND(MONTH(A141)&gt;3,MONTH(A141)&lt;11),(T141+R141+G141)*(((1/(1-Summary!$T$12))/(1-Summary!$W$12))-1),(T141+R141+G141)*((1/(1-Summary!$U$12))/(1-Summary!$X$12)-1)))</f>
        <v>#N/A</v>
      </c>
      <c r="W141" s="200" t="e">
        <f aca="false">IF($A142="","",(T141+R141+G141+V141))</f>
        <v>#N/A</v>
      </c>
      <c r="X141" s="200" t="e">
        <f aca="false">IF($A142="","",(U141+S141+H141+V141))</f>
        <v>#N/A</v>
      </c>
      <c r="Y141" s="202"/>
      <c r="Z141" s="185" t="e">
        <f aca="false">IF($A142="","",VLOOKUP($A141,Table,MATCH(Z$4,Curves,0)))</f>
        <v>#N/A</v>
      </c>
      <c r="AA141" s="185" t="e">
        <f aca="false">IF($A142="","",VLOOKUP($A141,Table,MATCH(AA$4,Curves,0)))</f>
        <v>#N/A</v>
      </c>
      <c r="AB141" s="185" t="e">
        <f aca="false">SQRT((AA141^2*(A141-$D$3)+Z141^2*(DAY(EOMONTH(A141,0))/2))/AK141)</f>
        <v>#N/A</v>
      </c>
      <c r="AC141" s="185" t="e">
        <f aca="false">IF($A142="","",VLOOKUP($A141,Table,MATCH(AC$4,Curves,0)))</f>
        <v>#N/A</v>
      </c>
      <c r="AD141" s="185" t="e">
        <f aca="false">IF($A142="","",VLOOKUP($A141,Table,MATCH(AD$4,Curves,0)))</f>
        <v>#N/A</v>
      </c>
      <c r="AE141" s="185" t="e">
        <f aca="false">SQRT((AD141^2*(A141-$D$3)+AC141^2*(DAY(EOMONTH(A141,0))/2))/AK141)</f>
        <v>#N/A</v>
      </c>
      <c r="AF141" s="206" t="e">
        <f aca="false">((Summary!$N$12*(AA141*AD141)*(A141-$D$3))+(Summary!$M$12*Z141*AC141*(AJ141-EOMONTH(EDATE(A141,-1),0))))/(AK141*AB141*AE141)</f>
        <v>#N/A</v>
      </c>
      <c r="AG141" s="207" t="n">
        <f aca="false">IF($A142="","",Summary!$Q$12)</f>
        <v>0</v>
      </c>
      <c r="AH141" s="207" t="n">
        <f aca="false">IF($A142="","",IF(Summary!$R$12="Y",(VLOOKUP($A141,Summary!$AD$6:$AF$9,3)+'Escalating commodity'!H154),'Escalating commodity'!H154))</f>
        <v>0.029</v>
      </c>
      <c r="AI141" s="207" t="n">
        <f aca="false">IF($A142="","",AH141)</f>
        <v>0.029</v>
      </c>
      <c r="AJ141" s="208" t="n">
        <f aca="false">A141+DAY(EOMONTH(A141,0))/2-1</f>
        <v>41044.5</v>
      </c>
      <c r="AK141" s="209" t="n">
        <f aca="false">IF($A142="","",$A141-$E$1)</f>
        <v>-4896</v>
      </c>
      <c r="AL141" s="182" t="e">
        <f aca="false">IF($A142="","",SPRDOPT(P141,X141,AI141,0,AB141,AE141,AF141,AK141,$AJ$2,0))</f>
        <v>#NAME?</v>
      </c>
      <c r="AM141" s="211" t="e">
        <f aca="false">IF($A142="","",MAX(0,O141-W141-AI141))</f>
        <v>#N/A</v>
      </c>
      <c r="AN141" s="211" t="e">
        <f aca="false">IF($A142="","",AL141-AM141)</f>
        <v>#N/A</v>
      </c>
      <c r="AO141" s="137" t="n">
        <f aca="false">IF(A142="","",A142-A141)</f>
        <v>31</v>
      </c>
      <c r="AP141" s="212" t="n">
        <f aca="false">IF(A142="","",CHOOSE(F$3,A142+24,A141))</f>
        <v>41030</v>
      </c>
      <c r="AQ141" s="209" t="n">
        <f aca="false">IF(A142="","",AP141-$E$1)</f>
        <v>-4896</v>
      </c>
      <c r="AR141" s="185" t="n">
        <f aca="false">'ANR OK vs ML7'!AR141</f>
        <v>0.1</v>
      </c>
      <c r="AS141" s="213" t="n">
        <f aca="false">IF(A142="","",1/(1+CHOOSE(F$3,(AR142+($I$3/10000))/2,(AR141+($I$3/10000))/2))^(2*AQ141/365.25))</f>
        <v>3.6988324447005</v>
      </c>
      <c r="AT141" s="137" t="n">
        <f aca="false">IF(A142="","",IF(AND(mthbeg&lt;=A141,mthend&gt;=A141),1,0))</f>
        <v>1</v>
      </c>
      <c r="AU141" s="137" t="n">
        <f aca="false">IF(A142="","",AO141*AT141)</f>
        <v>31</v>
      </c>
      <c r="AW141" s="195" t="e">
        <f aca="false">IF($A142="","",AL141*$E141)</f>
        <v>#NAME?</v>
      </c>
      <c r="AX141" s="195" t="e">
        <f aca="false">IF($A142="","",AM141*$E141)</f>
        <v>#N/A</v>
      </c>
      <c r="AY141" s="195" t="e">
        <f aca="false">IF($A142="","",AN141*$E141)</f>
        <v>#N/A</v>
      </c>
      <c r="BA141" s="195" t="n">
        <f aca="false">IF($A142="","",F141*Summary!$Q$12)</f>
        <v>0</v>
      </c>
      <c r="BC141" s="179" t="e">
        <f aca="false">IF(A142="","",AM141*F141)</f>
        <v>#N/A</v>
      </c>
    </row>
    <row r="142" customFormat="false" ht="12.75" hidden="false" customHeight="false" outlineLevel="0" collapsed="false">
      <c r="A142" s="196" t="n">
        <f aca="false">IF(A141&lt;mthend,EDATE(A141,1),"")</f>
        <v>41061</v>
      </c>
      <c r="B142" s="197" t="n">
        <f aca="false">IF(A142&lt;mthend,B141,"")</f>
        <v>36522</v>
      </c>
      <c r="C142" s="215"/>
      <c r="D142" s="197" t="n">
        <f aca="false">IF(A143&lt;&gt;"",B142+C142,"")</f>
        <v>36522</v>
      </c>
      <c r="E142" s="199" t="n">
        <f aca="false">IF(A143="","",IF(AND(AT142=1,$H$3=1),D142*AO142,IF($H$3=2,D142,"N/A")))</f>
        <v>1095660</v>
      </c>
      <c r="F142" s="199" t="n">
        <f aca="false">IF(A143="","",E142*AS142)</f>
        <v>4019237.32323861</v>
      </c>
      <c r="G142" s="200" t="e">
        <f aca="false">IF($A143="","",VLOOKUP($A142,Table,MATCH(G$4,Curves,0)))</f>
        <v>#N/A</v>
      </c>
      <c r="H142" s="201" t="e">
        <f aca="false">IF(A143="","",G142)</f>
        <v>#N/A</v>
      </c>
      <c r="I142" s="202"/>
      <c r="J142" s="200" t="e">
        <f aca="false">IF($A143="","",VLOOKUP($A142,Table,MATCH(J$4,Curves,0)))</f>
        <v>#N/A</v>
      </c>
      <c r="K142" s="201" t="e">
        <f aca="false">IF(A143="","",J142)</f>
        <v>#N/A</v>
      </c>
      <c r="L142" s="200" t="e">
        <f aca="false">IF($A143="","",VLOOKUP($A142,Table,MATCH(L$4,Curves,0)))</f>
        <v>#N/A</v>
      </c>
      <c r="M142" s="201" t="e">
        <f aca="false">IF(A143="","",L142)</f>
        <v>#N/A</v>
      </c>
      <c r="N142" s="203"/>
      <c r="O142" s="200" t="e">
        <f aca="false">IF(A143="","",L142+J142+G142)</f>
        <v>#N/A</v>
      </c>
      <c r="P142" s="200" t="e">
        <f aca="false">IF(A143="","",M142+K142+H142)</f>
        <v>#N/A</v>
      </c>
      <c r="Q142" s="204"/>
      <c r="R142" s="200" t="e">
        <f aca="false">IF($A143="","",VLOOKUP($A142,Table,MATCH(R$4,Curves,0)))</f>
        <v>#N/A</v>
      </c>
      <c r="S142" s="201" t="e">
        <f aca="false">IF(A143="","",R142)</f>
        <v>#N/A</v>
      </c>
      <c r="T142" s="200" t="e">
        <f aca="false">IF($A143="","",VLOOKUP($A142,Table,MATCH(T$4,Curves,0)))</f>
        <v>#N/A</v>
      </c>
      <c r="U142" s="201" t="e">
        <f aca="false">IF(A143="","",T142)</f>
        <v>#N/A</v>
      </c>
      <c r="V142" s="225" t="e">
        <f aca="false">IF($A143="","",IF(AND(MONTH(A142)&gt;3,MONTH(A142)&lt;11),(T142+R142+G142)*(((1/(1-Summary!$T$12))/(1-Summary!$W$12))-1),(T142+R142+G142)*((1/(1-Summary!$U$12))/(1-Summary!$X$12)-1)))</f>
        <v>#N/A</v>
      </c>
      <c r="W142" s="200" t="e">
        <f aca="false">IF($A143="","",(T142+R142+G142+V142))</f>
        <v>#N/A</v>
      </c>
      <c r="X142" s="200" t="e">
        <f aca="false">IF($A143="","",(U142+S142+H142+V142))</f>
        <v>#N/A</v>
      </c>
      <c r="Y142" s="202"/>
      <c r="Z142" s="185" t="e">
        <f aca="false">IF($A143="","",VLOOKUP($A142,Table,MATCH(Z$4,Curves,0)))</f>
        <v>#N/A</v>
      </c>
      <c r="AA142" s="185" t="e">
        <f aca="false">IF($A143="","",VLOOKUP($A142,Table,MATCH(AA$4,Curves,0)))</f>
        <v>#N/A</v>
      </c>
      <c r="AB142" s="185" t="e">
        <f aca="false">SQRT((AA142^2*(A142-$D$3)+Z142^2*(DAY(EOMONTH(A142,0))/2))/AK142)</f>
        <v>#N/A</v>
      </c>
      <c r="AC142" s="185" t="e">
        <f aca="false">IF($A143="","",VLOOKUP($A142,Table,MATCH(AC$4,Curves,0)))</f>
        <v>#N/A</v>
      </c>
      <c r="AD142" s="185" t="e">
        <f aca="false">IF($A143="","",VLOOKUP($A142,Table,MATCH(AD$4,Curves,0)))</f>
        <v>#N/A</v>
      </c>
      <c r="AE142" s="185" t="e">
        <f aca="false">SQRT((AD142^2*(A142-$D$3)+AC142^2*(DAY(EOMONTH(A142,0))/2))/AK142)</f>
        <v>#N/A</v>
      </c>
      <c r="AF142" s="206" t="e">
        <f aca="false">((Summary!$N$12*(AA142*AD142)*(A142-$D$3))+(Summary!$M$12*Z142*AC142*(AJ142-EOMONTH(EDATE(A142,-1),0))))/(AK142*AB142*AE142)</f>
        <v>#N/A</v>
      </c>
      <c r="AG142" s="207" t="n">
        <f aca="false">IF($A143="","",Summary!$Q$12)</f>
        <v>0</v>
      </c>
      <c r="AH142" s="207" t="n">
        <f aca="false">IF($A143="","",IF(Summary!$R$12="Y",(VLOOKUP($A142,Summary!$AD$6:$AF$9,3)+'Escalating commodity'!H155),'Escalating commodity'!H155))</f>
        <v>0.029</v>
      </c>
      <c r="AI142" s="207" t="n">
        <f aca="false">IF($A143="","",AH142)</f>
        <v>0.029</v>
      </c>
      <c r="AJ142" s="208" t="n">
        <f aca="false">A142+DAY(EOMONTH(A142,0))/2-1</f>
        <v>41075</v>
      </c>
      <c r="AK142" s="209" t="n">
        <f aca="false">IF($A143="","",$A142-$E$1)</f>
        <v>-4865</v>
      </c>
      <c r="AL142" s="182" t="e">
        <f aca="false">IF($A143="","",SPRDOPT(P142,X142,AI142,0,AB142,AE142,AF142,AK142,$AJ$2,0))</f>
        <v>#NAME?</v>
      </c>
      <c r="AM142" s="211" t="e">
        <f aca="false">IF($A143="","",MAX(0,O142-W142-AI142))</f>
        <v>#N/A</v>
      </c>
      <c r="AN142" s="211" t="e">
        <f aca="false">IF($A143="","",AL142-AM142)</f>
        <v>#N/A</v>
      </c>
      <c r="AO142" s="137" t="n">
        <f aca="false">IF(A143="","",A143-A142)</f>
        <v>30</v>
      </c>
      <c r="AP142" s="212" t="n">
        <f aca="false">IF(A143="","",CHOOSE(F$3,A143+24,A142))</f>
        <v>41061</v>
      </c>
      <c r="AQ142" s="209" t="n">
        <f aca="false">IF(A143="","",AP142-$E$1)</f>
        <v>-4865</v>
      </c>
      <c r="AR142" s="185" t="n">
        <f aca="false">'ANR OK vs ML7'!AR142</f>
        <v>0.1</v>
      </c>
      <c r="AS142" s="213" t="n">
        <f aca="false">IF(A143="","",1/(1+CHOOSE(F$3,(AR143+($I$3/10000))/2,(AR142+($I$3/10000))/2))^(2*AQ142/365.25))</f>
        <v>3.66832532285436</v>
      </c>
      <c r="AT142" s="137" t="n">
        <f aca="false">IF(A143="","",IF(AND(mthbeg&lt;=A142,mthend&gt;=A142),1,0))</f>
        <v>1</v>
      </c>
      <c r="AU142" s="137" t="n">
        <f aca="false">IF(A143="","",AO142*AT142)</f>
        <v>30</v>
      </c>
      <c r="AW142" s="195" t="e">
        <f aca="false">IF($A143="","",AL142*$E142)</f>
        <v>#NAME?</v>
      </c>
      <c r="AX142" s="195" t="e">
        <f aca="false">IF($A143="","",AM142*$E142)</f>
        <v>#N/A</v>
      </c>
      <c r="AY142" s="195" t="e">
        <f aca="false">IF($A143="","",AN142*$E142)</f>
        <v>#N/A</v>
      </c>
      <c r="BA142" s="195" t="n">
        <f aca="false">IF($A143="","",F142*Summary!$Q$12)</f>
        <v>0</v>
      </c>
      <c r="BC142" s="179" t="e">
        <f aca="false">IF(A143="","",AM142*F142)</f>
        <v>#N/A</v>
      </c>
    </row>
    <row r="143" customFormat="false" ht="12.75" hidden="false" customHeight="false" outlineLevel="0" collapsed="false">
      <c r="A143" s="196" t="n">
        <f aca="false">IF(A142&lt;mthend,EDATE(A142,1),"")</f>
        <v>41091</v>
      </c>
      <c r="B143" s="197" t="n">
        <f aca="false">IF(A143&lt;mthend,B142,"")</f>
        <v>36522</v>
      </c>
      <c r="C143" s="215"/>
      <c r="D143" s="197" t="n">
        <f aca="false">IF(A144&lt;&gt;"",B143+C143,"")</f>
        <v>36522</v>
      </c>
      <c r="E143" s="199" t="n">
        <f aca="false">IF(A144="","",IF(AND(AT143=1,$H$3=1),D143*AO143,IF($H$3=2,D143,"N/A")))</f>
        <v>1132182</v>
      </c>
      <c r="F143" s="199" t="n">
        <f aca="false">IF(A144="","",E143*AS143)</f>
        <v>4120057.73043492</v>
      </c>
      <c r="G143" s="200" t="e">
        <f aca="false">IF($A144="","",VLOOKUP($A143,Table,MATCH(G$4,Curves,0)))</f>
        <v>#N/A</v>
      </c>
      <c r="H143" s="201" t="e">
        <f aca="false">IF(A144="","",G143)</f>
        <v>#N/A</v>
      </c>
      <c r="I143" s="202"/>
      <c r="J143" s="200" t="e">
        <f aca="false">IF($A144="","",VLOOKUP($A143,Table,MATCH(J$4,Curves,0)))</f>
        <v>#N/A</v>
      </c>
      <c r="K143" s="201" t="e">
        <f aca="false">IF(A144="","",J143)</f>
        <v>#N/A</v>
      </c>
      <c r="L143" s="200" t="e">
        <f aca="false">IF($A144="","",VLOOKUP($A143,Table,MATCH(L$4,Curves,0)))</f>
        <v>#N/A</v>
      </c>
      <c r="M143" s="201" t="e">
        <f aca="false">IF(A144="","",L143)</f>
        <v>#N/A</v>
      </c>
      <c r="N143" s="203"/>
      <c r="O143" s="200" t="e">
        <f aca="false">IF(A144="","",L143+J143+G143)</f>
        <v>#N/A</v>
      </c>
      <c r="P143" s="200" t="e">
        <f aca="false">IF(A144="","",M143+K143+H143)</f>
        <v>#N/A</v>
      </c>
      <c r="Q143" s="204"/>
      <c r="R143" s="200" t="e">
        <f aca="false">IF($A144="","",VLOOKUP($A143,Table,MATCH(R$4,Curves,0)))</f>
        <v>#N/A</v>
      </c>
      <c r="S143" s="201" t="e">
        <f aca="false">IF(A144="","",R143)</f>
        <v>#N/A</v>
      </c>
      <c r="T143" s="200" t="e">
        <f aca="false">IF($A144="","",VLOOKUP($A143,Table,MATCH(T$4,Curves,0)))</f>
        <v>#N/A</v>
      </c>
      <c r="U143" s="201" t="e">
        <f aca="false">IF(A144="","",T143)</f>
        <v>#N/A</v>
      </c>
      <c r="V143" s="225" t="e">
        <f aca="false">IF($A144="","",IF(AND(MONTH(A143)&gt;3,MONTH(A143)&lt;11),(T143+R143+G143)*(((1/(1-Summary!$T$12))/(1-Summary!$W$12))-1),(T143+R143+G143)*((1/(1-Summary!$U$12))/(1-Summary!$X$12)-1)))</f>
        <v>#N/A</v>
      </c>
      <c r="W143" s="200" t="e">
        <f aca="false">IF($A144="","",(T143+R143+G143+V143))</f>
        <v>#N/A</v>
      </c>
      <c r="X143" s="200" t="e">
        <f aca="false">IF($A144="","",(U143+S143+H143+V143))</f>
        <v>#N/A</v>
      </c>
      <c r="Y143" s="202"/>
      <c r="Z143" s="185" t="e">
        <f aca="false">IF($A144="","",VLOOKUP($A143,Table,MATCH(Z$4,Curves,0)))</f>
        <v>#N/A</v>
      </c>
      <c r="AA143" s="185" t="e">
        <f aca="false">IF($A144="","",VLOOKUP($A143,Table,MATCH(AA$4,Curves,0)))</f>
        <v>#N/A</v>
      </c>
      <c r="AB143" s="185" t="e">
        <f aca="false">SQRT((AA143^2*(A143-$D$3)+Z143^2*(DAY(EOMONTH(A143,0))/2))/AK143)</f>
        <v>#N/A</v>
      </c>
      <c r="AC143" s="185" t="e">
        <f aca="false">IF($A144="","",VLOOKUP($A143,Table,MATCH(AC$4,Curves,0)))</f>
        <v>#N/A</v>
      </c>
      <c r="AD143" s="185" t="e">
        <f aca="false">IF($A144="","",VLOOKUP($A143,Table,MATCH(AD$4,Curves,0)))</f>
        <v>#N/A</v>
      </c>
      <c r="AE143" s="185" t="e">
        <f aca="false">SQRT((AD143^2*(A143-$D$3)+AC143^2*(DAY(EOMONTH(A143,0))/2))/AK143)</f>
        <v>#N/A</v>
      </c>
      <c r="AF143" s="206" t="e">
        <f aca="false">((Summary!$N$12*(AA143*AD143)*(A143-$D$3))+(Summary!$M$12*Z143*AC143*(AJ143-EOMONTH(EDATE(A143,-1),0))))/(AK143*AB143*AE143)</f>
        <v>#N/A</v>
      </c>
      <c r="AG143" s="207" t="n">
        <f aca="false">IF($A144="","",Summary!$Q$12)</f>
        <v>0</v>
      </c>
      <c r="AH143" s="207" t="n">
        <f aca="false">IF($A144="","",IF(Summary!$R$12="Y",(VLOOKUP($A143,Summary!$AD$6:$AF$9,3)+'Escalating commodity'!H156),'Escalating commodity'!H156))</f>
        <v>0.029</v>
      </c>
      <c r="AI143" s="207" t="n">
        <f aca="false">IF($A144="","",AH143)</f>
        <v>0.029</v>
      </c>
      <c r="AJ143" s="208" t="n">
        <f aca="false">A143+DAY(EOMONTH(A143,0))/2-1</f>
        <v>41105.5</v>
      </c>
      <c r="AK143" s="209" t="n">
        <f aca="false">IF($A144="","",$A143-$E$1)</f>
        <v>-4835</v>
      </c>
      <c r="AL143" s="182" t="e">
        <f aca="false">IF($A144="","",SPRDOPT(P143,X143,AI143,0,AB143,AE143,AF143,AK143,$AJ$2,0))</f>
        <v>#NAME?</v>
      </c>
      <c r="AM143" s="211" t="e">
        <f aca="false">IF($A144="","",MAX(0,O143-W143-AI143))</f>
        <v>#N/A</v>
      </c>
      <c r="AN143" s="211" t="e">
        <f aca="false">IF($A144="","",AL143-AM143)</f>
        <v>#N/A</v>
      </c>
      <c r="AO143" s="137" t="n">
        <f aca="false">IF(A144="","",A144-A143)</f>
        <v>31</v>
      </c>
      <c r="AP143" s="212" t="n">
        <f aca="false">IF(A144="","",CHOOSE(F$3,A144+24,A143))</f>
        <v>41091</v>
      </c>
      <c r="AQ143" s="209" t="n">
        <f aca="false">IF(A144="","",AP143-$E$1)</f>
        <v>-4835</v>
      </c>
      <c r="AR143" s="185" t="n">
        <f aca="false">'ANR OK vs ML7'!AR143</f>
        <v>0.1</v>
      </c>
      <c r="AS143" s="213" t="n">
        <f aca="false">IF(A144="","",1/(1+CHOOSE(F$3,(AR144+($I$3/10000))/2,(AR143+($I$3/10000))/2))^(2*AQ143/365.25))</f>
        <v>3.63904189470855</v>
      </c>
      <c r="AT143" s="137" t="n">
        <f aca="false">IF(A144="","",IF(AND(mthbeg&lt;=A143,mthend&gt;=A143),1,0))</f>
        <v>1</v>
      </c>
      <c r="AU143" s="137" t="n">
        <f aca="false">IF(A144="","",AO143*AT143)</f>
        <v>31</v>
      </c>
      <c r="AW143" s="195" t="e">
        <f aca="false">IF($A144="","",AL143*$E143)</f>
        <v>#NAME?</v>
      </c>
      <c r="AX143" s="195" t="e">
        <f aca="false">IF($A144="","",AM143*$E143)</f>
        <v>#N/A</v>
      </c>
      <c r="AY143" s="195" t="e">
        <f aca="false">IF($A144="","",AN143*$E143)</f>
        <v>#N/A</v>
      </c>
      <c r="BA143" s="195" t="n">
        <f aca="false">IF($A144="","",F143*Summary!$Q$12)</f>
        <v>0</v>
      </c>
      <c r="BC143" s="179" t="e">
        <f aca="false">IF(A144="","",AM143*F143)</f>
        <v>#N/A</v>
      </c>
    </row>
    <row r="144" customFormat="false" ht="12.75" hidden="false" customHeight="false" outlineLevel="0" collapsed="false">
      <c r="A144" s="196" t="n">
        <f aca="false">IF(A143&lt;mthend,EDATE(A143,1),"")</f>
        <v>41122</v>
      </c>
      <c r="B144" s="197" t="n">
        <f aca="false">IF(A144&lt;mthend,B143,"")</f>
        <v>36522</v>
      </c>
      <c r="C144" s="215"/>
      <c r="D144" s="197" t="n">
        <f aca="false">IF(A145&lt;&gt;"",B144+C144,"")</f>
        <v>36522</v>
      </c>
      <c r="E144" s="199" t="n">
        <f aca="false">IF(A145="","",IF(AND(AT144=1,$H$3=1),D144*AO144,IF($H$3=2,D144,"N/A")))</f>
        <v>1132182</v>
      </c>
      <c r="F144" s="199" t="n">
        <f aca="false">IF(A145="","",E144*AS144)</f>
        <v>4086076.43902076</v>
      </c>
      <c r="G144" s="200" t="e">
        <f aca="false">IF($A145="","",VLOOKUP($A144,Table,MATCH(G$4,Curves,0)))</f>
        <v>#N/A</v>
      </c>
      <c r="H144" s="201" t="e">
        <f aca="false">IF(A145="","",G144)</f>
        <v>#N/A</v>
      </c>
      <c r="I144" s="202"/>
      <c r="J144" s="200" t="e">
        <f aca="false">IF($A145="","",VLOOKUP($A144,Table,MATCH(J$4,Curves,0)))</f>
        <v>#N/A</v>
      </c>
      <c r="K144" s="201" t="e">
        <f aca="false">IF(A145="","",J144)</f>
        <v>#N/A</v>
      </c>
      <c r="L144" s="200" t="e">
        <f aca="false">IF($A145="","",VLOOKUP($A144,Table,MATCH(L$4,Curves,0)))</f>
        <v>#N/A</v>
      </c>
      <c r="M144" s="201" t="e">
        <f aca="false">IF(A145="","",L144)</f>
        <v>#N/A</v>
      </c>
      <c r="N144" s="203"/>
      <c r="O144" s="200" t="e">
        <f aca="false">IF(A145="","",L144+J144+G144)</f>
        <v>#N/A</v>
      </c>
      <c r="P144" s="200" t="e">
        <f aca="false">IF(A145="","",M144+K144+H144)</f>
        <v>#N/A</v>
      </c>
      <c r="Q144" s="204"/>
      <c r="R144" s="200" t="e">
        <f aca="false">IF($A145="","",VLOOKUP($A144,Table,MATCH(R$4,Curves,0)))</f>
        <v>#N/A</v>
      </c>
      <c r="S144" s="201" t="e">
        <f aca="false">IF(A145="","",R144)</f>
        <v>#N/A</v>
      </c>
      <c r="T144" s="200" t="e">
        <f aca="false">IF($A145="","",VLOOKUP($A144,Table,MATCH(T$4,Curves,0)))</f>
        <v>#N/A</v>
      </c>
      <c r="U144" s="201" t="e">
        <f aca="false">IF(A145="","",T144)</f>
        <v>#N/A</v>
      </c>
      <c r="V144" s="225" t="e">
        <f aca="false">IF($A145="","",IF(AND(MONTH(A144)&gt;3,MONTH(A144)&lt;11),(T144+R144+G144)*(((1/(1-Summary!$T$12))/(1-Summary!$W$12))-1),(T144+R144+G144)*((1/(1-Summary!$U$12))/(1-Summary!$X$12)-1)))</f>
        <v>#N/A</v>
      </c>
      <c r="W144" s="200" t="e">
        <f aca="false">IF($A145="","",(T144+R144+G144+V144))</f>
        <v>#N/A</v>
      </c>
      <c r="X144" s="200" t="e">
        <f aca="false">IF($A145="","",(U144+S144+H144+V144))</f>
        <v>#N/A</v>
      </c>
      <c r="Y144" s="202"/>
      <c r="Z144" s="185" t="e">
        <f aca="false">IF($A145="","",VLOOKUP($A144,Table,MATCH(Z$4,Curves,0)))</f>
        <v>#N/A</v>
      </c>
      <c r="AA144" s="185" t="e">
        <f aca="false">IF($A145="","",VLOOKUP($A144,Table,MATCH(AA$4,Curves,0)))</f>
        <v>#N/A</v>
      </c>
      <c r="AB144" s="185" t="e">
        <f aca="false">SQRT((AA144^2*(A144-$D$3)+Z144^2*(DAY(EOMONTH(A144,0))/2))/AK144)</f>
        <v>#N/A</v>
      </c>
      <c r="AC144" s="185" t="e">
        <f aca="false">IF($A145="","",VLOOKUP($A144,Table,MATCH(AC$4,Curves,0)))</f>
        <v>#N/A</v>
      </c>
      <c r="AD144" s="185" t="e">
        <f aca="false">IF($A145="","",VLOOKUP($A144,Table,MATCH(AD$4,Curves,0)))</f>
        <v>#N/A</v>
      </c>
      <c r="AE144" s="185" t="e">
        <f aca="false">SQRT((AD144^2*(A144-$D$3)+AC144^2*(DAY(EOMONTH(A144,0))/2))/AK144)</f>
        <v>#N/A</v>
      </c>
      <c r="AF144" s="206" t="e">
        <f aca="false">((Summary!$N$12*(AA144*AD144)*(A144-$D$3))+(Summary!$M$12*Z144*AC144*(AJ144-EOMONTH(EDATE(A144,-1),0))))/(AK144*AB144*AE144)</f>
        <v>#N/A</v>
      </c>
      <c r="AG144" s="207" t="n">
        <f aca="false">IF($A145="","",Summary!$Q$12)</f>
        <v>0</v>
      </c>
      <c r="AH144" s="207" t="n">
        <f aca="false">IF($A145="","",IF(Summary!$R$12="Y",(VLOOKUP($A144,Summary!$AD$6:$AF$9,3)+'Escalating commodity'!H157),'Escalating commodity'!H157))</f>
        <v>0.029</v>
      </c>
      <c r="AI144" s="207" t="n">
        <f aca="false">IF($A145="","",AH144)</f>
        <v>0.029</v>
      </c>
      <c r="AJ144" s="208" t="n">
        <f aca="false">A144+DAY(EOMONTH(A144,0))/2-1</f>
        <v>41136.5</v>
      </c>
      <c r="AK144" s="209" t="n">
        <f aca="false">IF($A145="","",$A144-$E$1)</f>
        <v>-4804</v>
      </c>
      <c r="AL144" s="182" t="e">
        <f aca="false">IF($A145="","",SPRDOPT(P144,X144,AI144,0,AB144,AE144,AF144,AK144,$AJ$2,0))</f>
        <v>#NAME?</v>
      </c>
      <c r="AM144" s="211" t="e">
        <f aca="false">IF($A145="","",MAX(0,O144-W144-AI144))</f>
        <v>#N/A</v>
      </c>
      <c r="AN144" s="211" t="e">
        <f aca="false">IF($A145="","",AL144-AM144)</f>
        <v>#N/A</v>
      </c>
      <c r="AO144" s="137" t="n">
        <f aca="false">IF(A145="","",A145-A144)</f>
        <v>31</v>
      </c>
      <c r="AP144" s="212" t="n">
        <f aca="false">IF(A145="","",CHOOSE(F$3,A145+24,A144))</f>
        <v>41122</v>
      </c>
      <c r="AQ144" s="209" t="n">
        <f aca="false">IF(A145="","",AP144-$E$1)</f>
        <v>-4804</v>
      </c>
      <c r="AR144" s="185" t="n">
        <f aca="false">'ANR OK vs ML7'!AR144</f>
        <v>0.1</v>
      </c>
      <c r="AS144" s="213" t="n">
        <f aca="false">IF(A145="","",1/(1+CHOOSE(F$3,(AR145+($I$3/10000))/2,(AR144+($I$3/10000))/2))^(2*AQ144/365.25))</f>
        <v>3.60902791160853</v>
      </c>
      <c r="AT144" s="137" t="n">
        <f aca="false">IF(A145="","",IF(AND(mthbeg&lt;=A144,mthend&gt;=A144),1,0))</f>
        <v>1</v>
      </c>
      <c r="AU144" s="137" t="n">
        <f aca="false">IF(A145="","",AO144*AT144)</f>
        <v>31</v>
      </c>
      <c r="AW144" s="195" t="e">
        <f aca="false">IF($A145="","",AL144*$E144)</f>
        <v>#NAME?</v>
      </c>
      <c r="AX144" s="195" t="e">
        <f aca="false">IF($A145="","",AM144*$E144)</f>
        <v>#N/A</v>
      </c>
      <c r="AY144" s="195" t="e">
        <f aca="false">IF($A145="","",AN144*$E144)</f>
        <v>#N/A</v>
      </c>
      <c r="BA144" s="195" t="n">
        <f aca="false">IF($A145="","",F144*Summary!$Q$12)</f>
        <v>0</v>
      </c>
      <c r="BC144" s="179" t="e">
        <f aca="false">IF(A145="","",AM144*F144)</f>
        <v>#N/A</v>
      </c>
    </row>
    <row r="145" customFormat="false" ht="12.75" hidden="false" customHeight="false" outlineLevel="0" collapsed="false">
      <c r="A145" s="196" t="n">
        <f aca="false">IF(A144&lt;mthend,EDATE(A144,1),"")</f>
        <v>41153</v>
      </c>
      <c r="B145" s="197" t="n">
        <f aca="false">IF(A145&lt;mthend,B144,"")</f>
        <v>36522</v>
      </c>
      <c r="C145" s="215"/>
      <c r="D145" s="197" t="n">
        <f aca="false">IF(A146&lt;&gt;"",B145+C145,"")</f>
        <v>36522</v>
      </c>
      <c r="E145" s="199" t="n">
        <f aca="false">IF(A146="","",IF(AND(AT145=1,$H$3=1),D145*AO145,IF($H$3=2,D145,"N/A")))</f>
        <v>1095660</v>
      </c>
      <c r="F145" s="199" t="n">
        <f aca="false">IF(A146="","",E145*AS145)</f>
        <v>3921653.62984466</v>
      </c>
      <c r="G145" s="200" t="e">
        <f aca="false">IF($A146="","",VLOOKUP($A145,Table,MATCH(G$4,Curves,0)))</f>
        <v>#N/A</v>
      </c>
      <c r="H145" s="201" t="e">
        <f aca="false">IF(A146="","",G145)</f>
        <v>#N/A</v>
      </c>
      <c r="I145" s="202"/>
      <c r="J145" s="200" t="e">
        <f aca="false">IF($A146="","",VLOOKUP($A145,Table,MATCH(J$4,Curves,0)))</f>
        <v>#N/A</v>
      </c>
      <c r="K145" s="201" t="e">
        <f aca="false">IF(A146="","",J145)</f>
        <v>#N/A</v>
      </c>
      <c r="L145" s="200" t="e">
        <f aca="false">IF($A146="","",VLOOKUP($A145,Table,MATCH(L$4,Curves,0)))</f>
        <v>#N/A</v>
      </c>
      <c r="M145" s="201" t="e">
        <f aca="false">IF(A146="","",L145)</f>
        <v>#N/A</v>
      </c>
      <c r="N145" s="203"/>
      <c r="O145" s="200" t="e">
        <f aca="false">IF(A146="","",L145+J145+G145)</f>
        <v>#N/A</v>
      </c>
      <c r="P145" s="200" t="e">
        <f aca="false">IF(A146="","",M145+K145+H145)</f>
        <v>#N/A</v>
      </c>
      <c r="Q145" s="204"/>
      <c r="R145" s="200" t="e">
        <f aca="false">IF($A146="","",VLOOKUP($A145,Table,MATCH(R$4,Curves,0)))</f>
        <v>#N/A</v>
      </c>
      <c r="S145" s="201" t="e">
        <f aca="false">IF(A146="","",R145)</f>
        <v>#N/A</v>
      </c>
      <c r="T145" s="200" t="e">
        <f aca="false">IF($A146="","",VLOOKUP($A145,Table,MATCH(T$4,Curves,0)))</f>
        <v>#N/A</v>
      </c>
      <c r="U145" s="201" t="e">
        <f aca="false">IF(A146="","",T145)</f>
        <v>#N/A</v>
      </c>
      <c r="V145" s="225" t="e">
        <f aca="false">IF($A146="","",IF(AND(MONTH(A145)&gt;3,MONTH(A145)&lt;11),(T145+R145+G145)*(((1/(1-Summary!$T$12))/(1-Summary!$W$12))-1),(T145+R145+G145)*((1/(1-Summary!$U$12))/(1-Summary!$X$12)-1)))</f>
        <v>#N/A</v>
      </c>
      <c r="W145" s="200" t="e">
        <f aca="false">IF($A146="","",(T145+R145+G145+V145))</f>
        <v>#N/A</v>
      </c>
      <c r="X145" s="200" t="e">
        <f aca="false">IF($A146="","",(U145+S145+H145+V145))</f>
        <v>#N/A</v>
      </c>
      <c r="Y145" s="202"/>
      <c r="Z145" s="185" t="e">
        <f aca="false">IF($A146="","",VLOOKUP($A145,Table,MATCH(Z$4,Curves,0)))</f>
        <v>#N/A</v>
      </c>
      <c r="AA145" s="185" t="e">
        <f aca="false">IF($A146="","",VLOOKUP($A145,Table,MATCH(AA$4,Curves,0)))</f>
        <v>#N/A</v>
      </c>
      <c r="AB145" s="185" t="e">
        <f aca="false">SQRT((AA145^2*(A145-$D$3)+Z145^2*(DAY(EOMONTH(A145,0))/2))/AK145)</f>
        <v>#N/A</v>
      </c>
      <c r="AC145" s="185" t="e">
        <f aca="false">IF($A146="","",VLOOKUP($A145,Table,MATCH(AC$4,Curves,0)))</f>
        <v>#N/A</v>
      </c>
      <c r="AD145" s="185" t="e">
        <f aca="false">IF($A146="","",VLOOKUP($A145,Table,MATCH(AD$4,Curves,0)))</f>
        <v>#N/A</v>
      </c>
      <c r="AE145" s="185" t="e">
        <f aca="false">SQRT((AD145^2*(A145-$D$3)+AC145^2*(DAY(EOMONTH(A145,0))/2))/AK145)</f>
        <v>#N/A</v>
      </c>
      <c r="AF145" s="206" t="e">
        <f aca="false">((Summary!$N$12*(AA145*AD145)*(A145-$D$3))+(Summary!$M$12*Z145*AC145*(AJ145-EOMONTH(EDATE(A145,-1),0))))/(AK145*AB145*AE145)</f>
        <v>#N/A</v>
      </c>
      <c r="AG145" s="207" t="n">
        <f aca="false">IF($A146="","",Summary!$Q$12)</f>
        <v>0</v>
      </c>
      <c r="AH145" s="207" t="n">
        <f aca="false">IF($A146="","",IF(Summary!$R$12="Y",(VLOOKUP($A145,Summary!$AD$6:$AF$9,3)+'Escalating commodity'!H158),'Escalating commodity'!H158))</f>
        <v>0.029</v>
      </c>
      <c r="AI145" s="207" t="n">
        <f aca="false">IF($A146="","",AH145)</f>
        <v>0.029</v>
      </c>
      <c r="AJ145" s="208" t="n">
        <f aca="false">A145+DAY(EOMONTH(A145,0))/2-1</f>
        <v>41167</v>
      </c>
      <c r="AK145" s="209" t="n">
        <f aca="false">IF($A146="","",$A145-$E$1)</f>
        <v>-4773</v>
      </c>
      <c r="AL145" s="182" t="e">
        <f aca="false">IF($A146="","",SPRDOPT(P145,X145,AI145,0,AB145,AE145,AF145,AK145,$AJ$2,0))</f>
        <v>#NAME?</v>
      </c>
      <c r="AM145" s="211" t="e">
        <f aca="false">IF($A146="","",MAX(0,O145-W145-AI145))</f>
        <v>#N/A</v>
      </c>
      <c r="AN145" s="211" t="e">
        <f aca="false">IF($A146="","",AL145-AM145)</f>
        <v>#N/A</v>
      </c>
      <c r="AO145" s="137" t="n">
        <f aca="false">IF(A146="","",A146-A145)</f>
        <v>30</v>
      </c>
      <c r="AP145" s="212" t="n">
        <f aca="false">IF(A146="","",CHOOSE(F$3,A146+24,A145))</f>
        <v>41153</v>
      </c>
      <c r="AQ145" s="209" t="n">
        <f aca="false">IF(A146="","",AP145-$E$1)</f>
        <v>-4773</v>
      </c>
      <c r="AR145" s="185" t="n">
        <f aca="false">'ANR OK vs ML7'!AR145</f>
        <v>0.1</v>
      </c>
      <c r="AS145" s="213" t="n">
        <f aca="false">IF(A146="","",1/(1+CHOOSE(F$3,(AR146+($I$3/10000))/2,(AR145+($I$3/10000))/2))^(2*AQ145/365.25))</f>
        <v>3.57926147695878</v>
      </c>
      <c r="AT145" s="137" t="n">
        <f aca="false">IF(A146="","",IF(AND(mthbeg&lt;=A145,mthend&gt;=A145),1,0))</f>
        <v>1</v>
      </c>
      <c r="AU145" s="137" t="n">
        <f aca="false">IF(A146="","",AO145*AT145)</f>
        <v>30</v>
      </c>
      <c r="AW145" s="195" t="e">
        <f aca="false">IF($A146="","",AL145*$E145)</f>
        <v>#NAME?</v>
      </c>
      <c r="AX145" s="195" t="e">
        <f aca="false">IF($A146="","",AM145*$E145)</f>
        <v>#N/A</v>
      </c>
      <c r="AY145" s="195" t="e">
        <f aca="false">IF($A146="","",AN145*$E145)</f>
        <v>#N/A</v>
      </c>
      <c r="BA145" s="195" t="n">
        <f aca="false">IF($A146="","",F145*Summary!$Q$12)</f>
        <v>0</v>
      </c>
      <c r="BC145" s="179" t="e">
        <f aca="false">IF(A146="","",AM145*F145)</f>
        <v>#N/A</v>
      </c>
    </row>
    <row r="146" customFormat="false" ht="12.75" hidden="false" customHeight="false" outlineLevel="0" collapsed="false">
      <c r="A146" s="196" t="n">
        <f aca="false">IF(A145&lt;mthend,EDATE(A145,1),"")</f>
        <v>41183</v>
      </c>
      <c r="B146" s="197" t="n">
        <f aca="false">IF(A146&lt;mthend,B145,"")</f>
        <v>36522</v>
      </c>
      <c r="C146" s="215"/>
      <c r="D146" s="197" t="n">
        <f aca="false">IF(A147&lt;&gt;"",B146+C146,"")</f>
        <v>36522</v>
      </c>
      <c r="E146" s="199" t="n">
        <f aca="false">IF(A147="","",IF(AND(AT146=1,$H$3=1),D146*AO146,IF($H$3=2,D146,"N/A")))</f>
        <v>1132182</v>
      </c>
      <c r="F146" s="199" t="n">
        <f aca="false">IF(A147="","",E146*AS146)</f>
        <v>4020026.20256081</v>
      </c>
      <c r="G146" s="200" t="e">
        <f aca="false">IF($A147="","",VLOOKUP($A146,Table,MATCH(G$4,Curves,0)))</f>
        <v>#N/A</v>
      </c>
      <c r="H146" s="201" t="e">
        <f aca="false">IF(A147="","",G146)</f>
        <v>#N/A</v>
      </c>
      <c r="I146" s="202"/>
      <c r="J146" s="200" t="e">
        <f aca="false">IF($A147="","",VLOOKUP($A146,Table,MATCH(J$4,Curves,0)))</f>
        <v>#N/A</v>
      </c>
      <c r="K146" s="201" t="e">
        <f aca="false">IF(A147="","",J146)</f>
        <v>#N/A</v>
      </c>
      <c r="L146" s="200" t="e">
        <f aca="false">IF($A147="","",VLOOKUP($A146,Table,MATCH(L$4,Curves,0)))</f>
        <v>#N/A</v>
      </c>
      <c r="M146" s="201" t="e">
        <f aca="false">IF(A147="","",L146)</f>
        <v>#N/A</v>
      </c>
      <c r="N146" s="203"/>
      <c r="O146" s="200" t="e">
        <f aca="false">IF(A147="","",L146+J146+G146)</f>
        <v>#N/A</v>
      </c>
      <c r="P146" s="200" t="e">
        <f aca="false">IF(A147="","",M146+K146+H146)</f>
        <v>#N/A</v>
      </c>
      <c r="Q146" s="204"/>
      <c r="R146" s="200" t="e">
        <f aca="false">IF($A147="","",VLOOKUP($A146,Table,MATCH(R$4,Curves,0)))</f>
        <v>#N/A</v>
      </c>
      <c r="S146" s="201" t="e">
        <f aca="false">IF(A147="","",R146)</f>
        <v>#N/A</v>
      </c>
      <c r="T146" s="200" t="e">
        <f aca="false">IF($A147="","",VLOOKUP($A146,Table,MATCH(T$4,Curves,0)))</f>
        <v>#N/A</v>
      </c>
      <c r="U146" s="201" t="e">
        <f aca="false">IF(A147="","",T146)</f>
        <v>#N/A</v>
      </c>
      <c r="V146" s="225" t="e">
        <f aca="false">IF($A147="","",IF(AND(MONTH(A146)&gt;3,MONTH(A146)&lt;11),(T146+R146+G146)*(((1/(1-Summary!$T$12))/(1-Summary!$W$12))-1),(T146+R146+G146)*((1/(1-Summary!$U$12))/(1-Summary!$X$12)-1)))</f>
        <v>#N/A</v>
      </c>
      <c r="W146" s="200" t="e">
        <f aca="false">IF($A147="","",(T146+R146+G146+V146))</f>
        <v>#N/A</v>
      </c>
      <c r="X146" s="200" t="e">
        <f aca="false">IF($A147="","",(U146+S146+H146+V146))</f>
        <v>#N/A</v>
      </c>
      <c r="Y146" s="202"/>
      <c r="Z146" s="185" t="e">
        <f aca="false">IF($A147="","",VLOOKUP($A146,Table,MATCH(Z$4,Curves,0)))</f>
        <v>#N/A</v>
      </c>
      <c r="AA146" s="185" t="e">
        <f aca="false">IF($A147="","",VLOOKUP($A146,Table,MATCH(AA$4,Curves,0)))</f>
        <v>#N/A</v>
      </c>
      <c r="AB146" s="185" t="e">
        <f aca="false">SQRT((AA146^2*(A146-$D$3)+Z146^2*(DAY(EOMONTH(A146,0))/2))/AK146)</f>
        <v>#N/A</v>
      </c>
      <c r="AC146" s="185" t="e">
        <f aca="false">IF($A147="","",VLOOKUP($A146,Table,MATCH(AC$4,Curves,0)))</f>
        <v>#N/A</v>
      </c>
      <c r="AD146" s="185" t="e">
        <f aca="false">IF($A147="","",VLOOKUP($A146,Table,MATCH(AD$4,Curves,0)))</f>
        <v>#N/A</v>
      </c>
      <c r="AE146" s="185" t="e">
        <f aca="false">SQRT((AD146^2*(A146-$D$3)+AC146^2*(DAY(EOMONTH(A146,0))/2))/AK146)</f>
        <v>#N/A</v>
      </c>
      <c r="AF146" s="206" t="e">
        <f aca="false">((Summary!$N$12*(AA146*AD146)*(A146-$D$3))+(Summary!$M$12*Z146*AC146*(AJ146-EOMONTH(EDATE(A146,-1),0))))/(AK146*AB146*AE146)</f>
        <v>#N/A</v>
      </c>
      <c r="AG146" s="207" t="n">
        <f aca="false">IF($A147="","",Summary!$Q$12)</f>
        <v>0</v>
      </c>
      <c r="AH146" s="207" t="n">
        <f aca="false">IF($A147="","",IF(Summary!$R$12="Y",(VLOOKUP($A146,Summary!$AD$6:$AF$9,3)+'Escalating commodity'!H159),'Escalating commodity'!H159))</f>
        <v>0.029</v>
      </c>
      <c r="AI146" s="207" t="n">
        <f aca="false">IF($A147="","",AH146)</f>
        <v>0.029</v>
      </c>
      <c r="AJ146" s="208" t="n">
        <f aca="false">A146+DAY(EOMONTH(A146,0))/2-1</f>
        <v>41197.5</v>
      </c>
      <c r="AK146" s="209" t="n">
        <f aca="false">IF($A147="","",$A146-$E$1)</f>
        <v>-4743</v>
      </c>
      <c r="AL146" s="182" t="e">
        <f aca="false">IF($A147="","",SPRDOPT(P146,X146,AI146,0,AB146,AE146,AF146,AK146,$AJ$2,0))</f>
        <v>#NAME?</v>
      </c>
      <c r="AM146" s="211" t="e">
        <f aca="false">IF($A147="","",MAX(0,O146-W146-AI146))</f>
        <v>#N/A</v>
      </c>
      <c r="AN146" s="211" t="e">
        <f aca="false">IF($A147="","",AL146-AM146)</f>
        <v>#N/A</v>
      </c>
      <c r="AO146" s="137" t="n">
        <f aca="false">IF(A147="","",A147-A146)</f>
        <v>31</v>
      </c>
      <c r="AP146" s="212" t="n">
        <f aca="false">IF(A147="","",CHOOSE(F$3,A147+24,A146))</f>
        <v>41183</v>
      </c>
      <c r="AQ146" s="209" t="n">
        <f aca="false">IF(A147="","",AP146-$E$1)</f>
        <v>-4743</v>
      </c>
      <c r="AR146" s="185" t="n">
        <f aca="false">'ANR OK vs ML7'!AR146</f>
        <v>0.1</v>
      </c>
      <c r="AS146" s="213" t="n">
        <f aca="false">IF(A147="","",1/(1+CHOOSE(F$3,(AR147+($I$3/10000))/2,(AR146+($I$3/10000))/2))^(2*AQ146/365.25))</f>
        <v>3.55068902575806</v>
      </c>
      <c r="AT146" s="137" t="n">
        <f aca="false">IF(A147="","",IF(AND(mthbeg&lt;=A146,mthend&gt;=A146),1,0))</f>
        <v>1</v>
      </c>
      <c r="AU146" s="137" t="n">
        <f aca="false">IF(A147="","",AO146*AT146)</f>
        <v>31</v>
      </c>
      <c r="AW146" s="195" t="e">
        <f aca="false">IF($A147="","",AL146*$E146)</f>
        <v>#NAME?</v>
      </c>
      <c r="AX146" s="195" t="e">
        <f aca="false">IF($A147="","",AM146*$E146)</f>
        <v>#N/A</v>
      </c>
      <c r="AY146" s="195" t="e">
        <f aca="false">IF($A147="","",AN146*$E146)</f>
        <v>#N/A</v>
      </c>
      <c r="BA146" s="195" t="n">
        <f aca="false">IF($A147="","",F146*Summary!$Q$12)</f>
        <v>0</v>
      </c>
      <c r="BC146" s="179" t="e">
        <f aca="false">IF(A147="","",AM146*F146)</f>
        <v>#N/A</v>
      </c>
    </row>
    <row r="147" customFormat="false" ht="12.75" hidden="false" customHeight="false" outlineLevel="0" collapsed="false">
      <c r="A147" s="196" t="n">
        <f aca="false">IF(A146&lt;mthend,EDATE(A146,1),"")</f>
        <v>41214</v>
      </c>
      <c r="B147" s="197" t="n">
        <f aca="false">IF(A147&lt;mthend,B146,"")</f>
        <v>36522</v>
      </c>
      <c r="C147" s="215"/>
      <c r="D147" s="197" t="n">
        <f aca="false">IF(A148&lt;&gt;"",B147+C147,"")</f>
        <v>36522</v>
      </c>
      <c r="E147" s="199" t="n">
        <f aca="false">IF(A148="","",IF(AND(AT147=1,$H$3=1),D147*AO147,IF($H$3=2,D147,"N/A")))</f>
        <v>1095660</v>
      </c>
      <c r="F147" s="199" t="n">
        <f aca="false">IF(A148="","",E147*AS147)</f>
        <v>3858261.24024283</v>
      </c>
      <c r="G147" s="200" t="e">
        <f aca="false">IF($A148="","",VLOOKUP($A147,Table,MATCH(G$4,Curves,0)))</f>
        <v>#N/A</v>
      </c>
      <c r="H147" s="201" t="e">
        <f aca="false">IF(A148="","",G147)</f>
        <v>#N/A</v>
      </c>
      <c r="I147" s="202"/>
      <c r="J147" s="200" t="e">
        <f aca="false">IF($A148="","",VLOOKUP($A147,Table,MATCH(J$4,Curves,0)))</f>
        <v>#N/A</v>
      </c>
      <c r="K147" s="201" t="e">
        <f aca="false">IF(A148="","",J147)</f>
        <v>#N/A</v>
      </c>
      <c r="L147" s="200" t="e">
        <f aca="false">IF($A148="","",VLOOKUP($A147,Table,MATCH(L$4,Curves,0)))</f>
        <v>#N/A</v>
      </c>
      <c r="M147" s="201" t="e">
        <f aca="false">IF(A148="","",L147)</f>
        <v>#N/A</v>
      </c>
      <c r="N147" s="203"/>
      <c r="O147" s="200" t="e">
        <f aca="false">IF(A148="","",L147+J147+G147)</f>
        <v>#N/A</v>
      </c>
      <c r="P147" s="200" t="e">
        <f aca="false">IF(A148="","",M147+K147+H147)</f>
        <v>#N/A</v>
      </c>
      <c r="Q147" s="204"/>
      <c r="R147" s="200" t="e">
        <f aca="false">IF($A148="","",VLOOKUP($A147,Table,MATCH(R$4,Curves,0)))</f>
        <v>#N/A</v>
      </c>
      <c r="S147" s="201" t="e">
        <f aca="false">IF(A148="","",R147)</f>
        <v>#N/A</v>
      </c>
      <c r="T147" s="200" t="e">
        <f aca="false">IF($A148="","",VLOOKUP($A147,Table,MATCH(T$4,Curves,0)))</f>
        <v>#N/A</v>
      </c>
      <c r="U147" s="201" t="e">
        <f aca="false">IF(A148="","",T147)</f>
        <v>#N/A</v>
      </c>
      <c r="V147" s="225" t="e">
        <f aca="false">IF($A148="","",IF(AND(MONTH(A147)&gt;3,MONTH(A147)&lt;11),(T147+R147+G147)*(((1/(1-Summary!$T$12))/(1-Summary!$W$12))-1),(T147+R147+G147)*((1/(1-Summary!$U$12))/(1-Summary!$X$12)-1)))</f>
        <v>#N/A</v>
      </c>
      <c r="W147" s="200" t="e">
        <f aca="false">IF($A148="","",(T147+R147+G147+V147))</f>
        <v>#N/A</v>
      </c>
      <c r="X147" s="200" t="e">
        <f aca="false">IF($A148="","",(U147+S147+H147+V147))</f>
        <v>#N/A</v>
      </c>
      <c r="Y147" s="202"/>
      <c r="Z147" s="185" t="e">
        <f aca="false">IF($A148="","",VLOOKUP($A147,Table,MATCH(Z$4,Curves,0)))</f>
        <v>#N/A</v>
      </c>
      <c r="AA147" s="185" t="e">
        <f aca="false">IF($A148="","",VLOOKUP($A147,Table,MATCH(AA$4,Curves,0)))</f>
        <v>#N/A</v>
      </c>
      <c r="AB147" s="185" t="e">
        <f aca="false">SQRT((AA147^2*(A147-$D$3)+Z147^2*(DAY(EOMONTH(A147,0))/2))/AK147)</f>
        <v>#N/A</v>
      </c>
      <c r="AC147" s="185" t="e">
        <f aca="false">IF($A148="","",VLOOKUP($A147,Table,MATCH(AC$4,Curves,0)))</f>
        <v>#N/A</v>
      </c>
      <c r="AD147" s="185" t="e">
        <f aca="false">IF($A148="","",VLOOKUP($A147,Table,MATCH(AD$4,Curves,0)))</f>
        <v>#N/A</v>
      </c>
      <c r="AE147" s="185" t="e">
        <f aca="false">SQRT((AD147^2*(A147-$D$3)+AC147^2*(DAY(EOMONTH(A147,0))/2))/AK147)</f>
        <v>#N/A</v>
      </c>
      <c r="AF147" s="206" t="e">
        <f aca="false">((Summary!$N$12*(AA147*AD147)*(A147-$D$3))+(Summary!$M$12*Z147*AC147*(AJ147-EOMONTH(EDATE(A147,-1),0))))/(AK147*AB147*AE147)</f>
        <v>#N/A</v>
      </c>
      <c r="AG147" s="207" t="n">
        <f aca="false">IF($A148="","",Summary!$Q$12)</f>
        <v>0</v>
      </c>
      <c r="AH147" s="207" t="n">
        <f aca="false">IF($A148="","",IF(Summary!$R$12="Y",(VLOOKUP($A147,Summary!$AD$6:$AF$9,3)+'Escalating commodity'!H160),'Escalating commodity'!H160))</f>
        <v>0.029</v>
      </c>
      <c r="AI147" s="207" t="n">
        <f aca="false">IF($A148="","",AH147)</f>
        <v>0.029</v>
      </c>
      <c r="AJ147" s="208" t="n">
        <f aca="false">A147+DAY(EOMONTH(A147,0))/2-1</f>
        <v>41228</v>
      </c>
      <c r="AK147" s="209" t="n">
        <f aca="false">IF($A148="","",$A147-$E$1)</f>
        <v>-4712</v>
      </c>
      <c r="AL147" s="182" t="e">
        <f aca="false">IF($A148="","",SPRDOPT(P147,X147,AI147,0,AB147,AE147,AF147,AK147,$AJ$2,0))</f>
        <v>#NAME?</v>
      </c>
      <c r="AM147" s="211" t="e">
        <f aca="false">IF($A148="","",MAX(0,O147-W147-AI147))</f>
        <v>#N/A</v>
      </c>
      <c r="AN147" s="211" t="e">
        <f aca="false">IF($A148="","",AL147-AM147)</f>
        <v>#N/A</v>
      </c>
      <c r="AO147" s="137" t="n">
        <f aca="false">IF(A148="","",A148-A147)</f>
        <v>30</v>
      </c>
      <c r="AP147" s="212" t="n">
        <f aca="false">IF(A148="","",CHOOSE(F$3,A148+24,A147))</f>
        <v>41214</v>
      </c>
      <c r="AQ147" s="209" t="n">
        <f aca="false">IF(A148="","",AP147-$E$1)</f>
        <v>-4712</v>
      </c>
      <c r="AR147" s="185" t="n">
        <f aca="false">'ANR OK vs ML7'!AR147</f>
        <v>0.1</v>
      </c>
      <c r="AS147" s="213" t="n">
        <f aca="false">IF(A148="","",1/(1+CHOOSE(F$3,(AR148+($I$3/10000))/2,(AR147+($I$3/10000))/2))^(2*AQ147/365.25))</f>
        <v>3.52140375686146</v>
      </c>
      <c r="AT147" s="137" t="n">
        <f aca="false">IF(A148="","",IF(AND(mthbeg&lt;=A147,mthend&gt;=A147),1,0))</f>
        <v>1</v>
      </c>
      <c r="AU147" s="137" t="n">
        <f aca="false">IF(A148="","",AO147*AT147)</f>
        <v>30</v>
      </c>
      <c r="AW147" s="195" t="e">
        <f aca="false">IF($A148="","",AL147*$E147)</f>
        <v>#NAME?</v>
      </c>
      <c r="AX147" s="195" t="e">
        <f aca="false">IF($A148="","",AM147*$E147)</f>
        <v>#N/A</v>
      </c>
      <c r="AY147" s="195" t="e">
        <f aca="false">IF($A148="","",AN147*$E147)</f>
        <v>#N/A</v>
      </c>
      <c r="BA147" s="195" t="n">
        <f aca="false">IF($A148="","",F147*Summary!$Q$12)</f>
        <v>0</v>
      </c>
      <c r="BC147" s="179" t="e">
        <f aca="false">IF(A148="","",AM147*F147)</f>
        <v>#N/A</v>
      </c>
    </row>
    <row r="148" customFormat="false" ht="12.75" hidden="false" customHeight="false" outlineLevel="0" collapsed="false">
      <c r="A148" s="196" t="n">
        <f aca="false">IF(A147&lt;mthend,EDATE(A147,1),"")</f>
        <v>41244</v>
      </c>
      <c r="B148" s="197" t="n">
        <f aca="false">IF(A148&lt;mthend,B147,"")</f>
        <v>36522</v>
      </c>
      <c r="C148" s="215"/>
      <c r="D148" s="197" t="n">
        <f aca="false">IF(A149&lt;&gt;"",B148+C148,"")</f>
        <v>36522</v>
      </c>
      <c r="E148" s="199" t="n">
        <f aca="false">IF(A149="","",IF(AND(AT148=1,$H$3=1),D148*AO148,IF($H$3=2,D148,"N/A")))</f>
        <v>1132182</v>
      </c>
      <c r="F148" s="199" t="n">
        <f aca="false">IF(A149="","",E148*AS148)</f>
        <v>3955043.64895054</v>
      </c>
      <c r="G148" s="200" t="e">
        <f aca="false">IF($A149="","",VLOOKUP($A148,Table,MATCH(G$4,Curves,0)))</f>
        <v>#N/A</v>
      </c>
      <c r="H148" s="201" t="e">
        <f aca="false">IF(A149="","",G148)</f>
        <v>#N/A</v>
      </c>
      <c r="I148" s="202"/>
      <c r="J148" s="200" t="e">
        <f aca="false">IF($A149="","",VLOOKUP($A148,Table,MATCH(J$4,Curves,0)))</f>
        <v>#N/A</v>
      </c>
      <c r="K148" s="201" t="e">
        <f aca="false">IF(A149="","",J148)</f>
        <v>#N/A</v>
      </c>
      <c r="L148" s="200" t="e">
        <f aca="false">IF($A149="","",VLOOKUP($A148,Table,MATCH(L$4,Curves,0)))</f>
        <v>#N/A</v>
      </c>
      <c r="M148" s="201" t="e">
        <f aca="false">IF(A149="","",L148)</f>
        <v>#N/A</v>
      </c>
      <c r="N148" s="203"/>
      <c r="O148" s="200" t="e">
        <f aca="false">IF(A149="","",L148+J148+G148)</f>
        <v>#N/A</v>
      </c>
      <c r="P148" s="200" t="e">
        <f aca="false">IF(A149="","",M148+K148+H148)</f>
        <v>#N/A</v>
      </c>
      <c r="Q148" s="204"/>
      <c r="R148" s="200" t="e">
        <f aca="false">IF($A149="","",VLOOKUP($A148,Table,MATCH(R$4,Curves,0)))</f>
        <v>#N/A</v>
      </c>
      <c r="S148" s="201" t="e">
        <f aca="false">IF(A149="","",R148)</f>
        <v>#N/A</v>
      </c>
      <c r="T148" s="200" t="e">
        <f aca="false">IF($A149="","",VLOOKUP($A148,Table,MATCH(T$4,Curves,0)))</f>
        <v>#N/A</v>
      </c>
      <c r="U148" s="201" t="e">
        <f aca="false">IF(A149="","",T148)</f>
        <v>#N/A</v>
      </c>
      <c r="V148" s="225" t="e">
        <f aca="false">IF($A149="","",IF(AND(MONTH(A148)&gt;3,MONTH(A148)&lt;11),(T148+R148+G148)*(((1/(1-Summary!$T$12))/(1-Summary!$W$12))-1),(T148+R148+G148)*((1/(1-Summary!$U$12))/(1-Summary!$X$12)-1)))</f>
        <v>#N/A</v>
      </c>
      <c r="W148" s="200" t="e">
        <f aca="false">IF($A149="","",(T148+R148+G148+V148))</f>
        <v>#N/A</v>
      </c>
      <c r="X148" s="200" t="e">
        <f aca="false">IF($A149="","",(U148+S148+H148+V148))</f>
        <v>#N/A</v>
      </c>
      <c r="Y148" s="202"/>
      <c r="Z148" s="185" t="e">
        <f aca="false">IF($A149="","",VLOOKUP($A148,Table,MATCH(Z$4,Curves,0)))</f>
        <v>#N/A</v>
      </c>
      <c r="AA148" s="185" t="e">
        <f aca="false">IF($A149="","",VLOOKUP($A148,Table,MATCH(AA$4,Curves,0)))</f>
        <v>#N/A</v>
      </c>
      <c r="AB148" s="185" t="e">
        <f aca="false">SQRT((AA148^2*(A148-$D$3)+Z148^2*(DAY(EOMONTH(A148,0))/2))/AK148)</f>
        <v>#N/A</v>
      </c>
      <c r="AC148" s="185" t="e">
        <f aca="false">IF($A149="","",VLOOKUP($A148,Table,MATCH(AC$4,Curves,0)))</f>
        <v>#N/A</v>
      </c>
      <c r="AD148" s="185" t="e">
        <f aca="false">IF($A149="","",VLOOKUP($A148,Table,MATCH(AD$4,Curves,0)))</f>
        <v>#N/A</v>
      </c>
      <c r="AE148" s="185" t="e">
        <f aca="false">SQRT((AD148^2*(A148-$D$3)+AC148^2*(DAY(EOMONTH(A148,0))/2))/AK148)</f>
        <v>#N/A</v>
      </c>
      <c r="AF148" s="206" t="e">
        <f aca="false">((Summary!$N$12*(AA148*AD148)*(A148-$D$3))+(Summary!$M$12*Z148*AC148*(AJ148-EOMONTH(EDATE(A148,-1),0))))/(AK148*AB148*AE148)</f>
        <v>#N/A</v>
      </c>
      <c r="AG148" s="207" t="n">
        <f aca="false">IF($A149="","",Summary!$Q$12)</f>
        <v>0</v>
      </c>
      <c r="AH148" s="207" t="n">
        <f aca="false">IF($A149="","",IF(Summary!$R$12="Y",(VLOOKUP($A148,Summary!$AD$6:$AF$9,3)+'Escalating commodity'!H161),'Escalating commodity'!H161))</f>
        <v>0.029</v>
      </c>
      <c r="AI148" s="207" t="n">
        <f aca="false">IF($A149="","",AH148)</f>
        <v>0.029</v>
      </c>
      <c r="AJ148" s="208" t="n">
        <f aca="false">A148+DAY(EOMONTH(A148,0))/2-1</f>
        <v>41258.5</v>
      </c>
      <c r="AK148" s="209" t="n">
        <f aca="false">IF($A149="","",$A148-$E$1)</f>
        <v>-4682</v>
      </c>
      <c r="AL148" s="182" t="e">
        <f aca="false">IF($A149="","",SPRDOPT(P148,X148,AI148,0,AB148,AE148,AF148,AK148,$AJ$2,0))</f>
        <v>#NAME?</v>
      </c>
      <c r="AM148" s="211" t="e">
        <f aca="false">IF($A149="","",MAX(0,O148-W148-AI148))</f>
        <v>#N/A</v>
      </c>
      <c r="AN148" s="211" t="e">
        <f aca="false">IF($A149="","",AL148-AM148)</f>
        <v>#N/A</v>
      </c>
      <c r="AO148" s="137" t="n">
        <f aca="false">IF(A149="","",A149-A148)</f>
        <v>31</v>
      </c>
      <c r="AP148" s="212" t="n">
        <f aca="false">IF(A149="","",CHOOSE(F$3,A149+24,A148))</f>
        <v>41244</v>
      </c>
      <c r="AQ148" s="209" t="n">
        <f aca="false">IF(A149="","",AP148-$E$1)</f>
        <v>-4682</v>
      </c>
      <c r="AR148" s="185" t="n">
        <f aca="false">'ANR OK vs ML7'!AR148</f>
        <v>0.1</v>
      </c>
      <c r="AS148" s="213" t="n">
        <f aca="false">IF(A149="","",1/(1+CHOOSE(F$3,(AR149+($I$3/10000))/2,(AR148+($I$3/10000))/2))^(2*AQ148/365.25))</f>
        <v>3.49329317101892</v>
      </c>
      <c r="AT148" s="137" t="n">
        <f aca="false">IF(A149="","",IF(AND(mthbeg&lt;=A148,mthend&gt;=A148),1,0))</f>
        <v>1</v>
      </c>
      <c r="AU148" s="137" t="n">
        <f aca="false">IF(A149="","",AO148*AT148)</f>
        <v>31</v>
      </c>
      <c r="AW148" s="195" t="e">
        <f aca="false">IF($A149="","",AL148*$E148)</f>
        <v>#NAME?</v>
      </c>
      <c r="AX148" s="195" t="e">
        <f aca="false">IF($A149="","",AM148*$E148)</f>
        <v>#N/A</v>
      </c>
      <c r="AY148" s="195" t="e">
        <f aca="false">IF($A149="","",AN148*$E148)</f>
        <v>#N/A</v>
      </c>
      <c r="BA148" s="195" t="n">
        <f aca="false">IF($A149="","",F148*Summary!$Q$12)</f>
        <v>0</v>
      </c>
      <c r="BC148" s="179" t="e">
        <f aca="false">IF(A149="","",AM148*F148)</f>
        <v>#N/A</v>
      </c>
    </row>
    <row r="149" customFormat="false" ht="12.75" hidden="false" customHeight="false" outlineLevel="0" collapsed="false">
      <c r="A149" s="196" t="n">
        <f aca="false">IF(A148&lt;mthend,EDATE(A148,1),"")</f>
        <v>41275</v>
      </c>
      <c r="B149" s="197" t="n">
        <f aca="false">IF(A149&lt;mthend,B148,"")</f>
        <v>36522</v>
      </c>
      <c r="C149" s="215"/>
      <c r="D149" s="197" t="n">
        <f aca="false">IF(A150&lt;&gt;"",B149+C149,"")</f>
        <v>36522</v>
      </c>
      <c r="E149" s="199" t="n">
        <f aca="false">IF(A150="","",IF(AND(AT149=1,$H$3=1),D149*AO149,IF($H$3=2,D149,"N/A")))</f>
        <v>1132182</v>
      </c>
      <c r="F149" s="199" t="n">
        <f aca="false">IF(A150="","",E149*AS149)</f>
        <v>3922423.35584206</v>
      </c>
      <c r="G149" s="200" t="e">
        <f aca="false">IF($A150="","",VLOOKUP($A149,Table,MATCH(G$4,Curves,0)))</f>
        <v>#N/A</v>
      </c>
      <c r="H149" s="201" t="e">
        <f aca="false">IF(A150="","",G149)</f>
        <v>#N/A</v>
      </c>
      <c r="I149" s="202"/>
      <c r="J149" s="200" t="e">
        <f aca="false">IF($A150="","",VLOOKUP($A149,Table,MATCH(J$4,Curves,0)))</f>
        <v>#N/A</v>
      </c>
      <c r="K149" s="201" t="e">
        <f aca="false">IF(A150="","",J149)</f>
        <v>#N/A</v>
      </c>
      <c r="L149" s="200" t="e">
        <f aca="false">IF($A150="","",VLOOKUP($A149,Table,MATCH(L$4,Curves,0)))</f>
        <v>#N/A</v>
      </c>
      <c r="M149" s="201" t="e">
        <f aca="false">IF(A150="","",L149)</f>
        <v>#N/A</v>
      </c>
      <c r="N149" s="203"/>
      <c r="O149" s="200" t="e">
        <f aca="false">IF(A150="","",L149+J149+G149)</f>
        <v>#N/A</v>
      </c>
      <c r="P149" s="200" t="e">
        <f aca="false">IF(A150="","",M149+K149+H149)</f>
        <v>#N/A</v>
      </c>
      <c r="Q149" s="204"/>
      <c r="R149" s="200" t="e">
        <f aca="false">IF($A150="","",VLOOKUP($A149,Table,MATCH(R$4,Curves,0)))</f>
        <v>#N/A</v>
      </c>
      <c r="S149" s="201" t="e">
        <f aca="false">IF(A150="","",R149)</f>
        <v>#N/A</v>
      </c>
      <c r="T149" s="200" t="e">
        <f aca="false">IF($A150="","",VLOOKUP($A149,Table,MATCH(T$4,Curves,0)))</f>
        <v>#N/A</v>
      </c>
      <c r="U149" s="201" t="e">
        <f aca="false">IF(A150="","",T149)</f>
        <v>#N/A</v>
      </c>
      <c r="V149" s="225" t="e">
        <f aca="false">IF($A150="","",IF(AND(MONTH(A149)&gt;3,MONTH(A149)&lt;11),(T149+R149+G149)*(((1/(1-Summary!$T$12))/(1-Summary!$W$12))-1),(T149+R149+G149)*((1/(1-Summary!$U$12))/(1-Summary!$X$12)-1)))</f>
        <v>#N/A</v>
      </c>
      <c r="W149" s="200" t="e">
        <f aca="false">IF($A150="","",(T149+R149+G149+V149))</f>
        <v>#N/A</v>
      </c>
      <c r="X149" s="200" t="e">
        <f aca="false">IF($A150="","",(U149+S149+H149+V149))</f>
        <v>#N/A</v>
      </c>
      <c r="Y149" s="202"/>
      <c r="Z149" s="185" t="e">
        <f aca="false">IF($A150="","",VLOOKUP($A149,Table,MATCH(Z$4,Curves,0)))</f>
        <v>#N/A</v>
      </c>
      <c r="AA149" s="185" t="e">
        <f aca="false">IF($A150="","",VLOOKUP($A149,Table,MATCH(AA$4,Curves,0)))</f>
        <v>#N/A</v>
      </c>
      <c r="AB149" s="185" t="e">
        <f aca="false">SQRT((AA149^2*(A149-$D$3)+Z149^2*(DAY(EOMONTH(A149,0))/2))/AK149)</f>
        <v>#N/A</v>
      </c>
      <c r="AC149" s="185" t="e">
        <f aca="false">IF($A150="","",VLOOKUP($A149,Table,MATCH(AC$4,Curves,0)))</f>
        <v>#N/A</v>
      </c>
      <c r="AD149" s="185" t="e">
        <f aca="false">IF($A150="","",VLOOKUP($A149,Table,MATCH(AD$4,Curves,0)))</f>
        <v>#N/A</v>
      </c>
      <c r="AE149" s="185" t="e">
        <f aca="false">SQRT((AD149^2*(A149-$D$3)+AC149^2*(DAY(EOMONTH(A149,0))/2))/AK149)</f>
        <v>#N/A</v>
      </c>
      <c r="AF149" s="206" t="e">
        <f aca="false">((Summary!$N$12*(AA149*AD149)*(A149-$D$3))+(Summary!$M$12*Z149*AC149*(AJ149-EOMONTH(EDATE(A149,-1),0))))/(AK149*AB149*AE149)</f>
        <v>#N/A</v>
      </c>
      <c r="AG149" s="207" t="n">
        <f aca="false">IF($A150="","",Summary!$Q$12)</f>
        <v>0</v>
      </c>
      <c r="AH149" s="207" t="n">
        <f aca="false">IF($A150="","",IF(Summary!$R$12="Y",(VLOOKUP($A149,Summary!$AD$6:$AF$9,3)+'Escalating commodity'!H162),'Escalating commodity'!H162))</f>
        <v>0.029</v>
      </c>
      <c r="AI149" s="207" t="n">
        <f aca="false">IF($A150="","",AH149)</f>
        <v>0.029</v>
      </c>
      <c r="AJ149" s="208" t="n">
        <f aca="false">A149+DAY(EOMONTH(A149,0))/2-1</f>
        <v>41289.5</v>
      </c>
      <c r="AK149" s="209" t="n">
        <f aca="false">IF($A150="","",$A149-$E$1)</f>
        <v>-4651</v>
      </c>
      <c r="AL149" s="182" t="e">
        <f aca="false">IF($A150="","",SPRDOPT(P149,X149,AI149,0,AB149,AE149,AF149,AK149,$AJ$2,0))</f>
        <v>#NAME?</v>
      </c>
      <c r="AM149" s="211" t="e">
        <f aca="false">IF($A150="","",MAX(0,O149-W149-AI149))</f>
        <v>#N/A</v>
      </c>
      <c r="AN149" s="211" t="e">
        <f aca="false">IF($A150="","",AL149-AM149)</f>
        <v>#N/A</v>
      </c>
      <c r="AO149" s="137" t="n">
        <f aca="false">IF(A150="","",A150-A149)</f>
        <v>31</v>
      </c>
      <c r="AP149" s="212" t="n">
        <f aca="false">IF(A150="","",CHOOSE(F$3,A150+24,A149))</f>
        <v>41275</v>
      </c>
      <c r="AQ149" s="209" t="n">
        <f aca="false">IF(A150="","",AP149-$E$1)</f>
        <v>-4651</v>
      </c>
      <c r="AR149" s="185" t="n">
        <f aca="false">'ANR OK vs ML7'!AR149</f>
        <v>0.1</v>
      </c>
      <c r="AS149" s="213" t="n">
        <f aca="false">IF(A150="","",1/(1+CHOOSE(F$3,(AR150+($I$3/10000))/2,(AR149+($I$3/10000))/2))^(2*AQ149/365.25))</f>
        <v>3.4644812899711</v>
      </c>
      <c r="AT149" s="137" t="n">
        <f aca="false">IF(A150="","",IF(AND(mthbeg&lt;=A149,mthend&gt;=A149),1,0))</f>
        <v>1</v>
      </c>
      <c r="AU149" s="137" t="n">
        <f aca="false">IF(A150="","",AO149*AT149)</f>
        <v>31</v>
      </c>
      <c r="AW149" s="195" t="e">
        <f aca="false">IF($A150="","",AL149*$E149)</f>
        <v>#NAME?</v>
      </c>
      <c r="AX149" s="195" t="e">
        <f aca="false">IF($A150="","",AM149*$E149)</f>
        <v>#N/A</v>
      </c>
      <c r="AY149" s="195" t="e">
        <f aca="false">IF($A150="","",AN149*$E149)</f>
        <v>#N/A</v>
      </c>
      <c r="BA149" s="195" t="n">
        <f aca="false">IF($A150="","",F149*Summary!$Q$12)</f>
        <v>0</v>
      </c>
      <c r="BC149" s="179" t="e">
        <f aca="false">IF(A150="","",AM149*F149)</f>
        <v>#N/A</v>
      </c>
    </row>
    <row r="150" customFormat="false" ht="12.75" hidden="false" customHeight="false" outlineLevel="0" collapsed="false">
      <c r="A150" s="196" t="n">
        <f aca="false">IF(A149&lt;mthend,EDATE(A149,1),"")</f>
        <v>41306</v>
      </c>
      <c r="B150" s="197" t="n">
        <f aca="false">IF(A150&lt;mthend,B149,"")</f>
        <v>36522</v>
      </c>
      <c r="C150" s="215"/>
      <c r="D150" s="197" t="n">
        <f aca="false">IF(A151&lt;&gt;"",B150+C150,"")</f>
        <v>36522</v>
      </c>
      <c r="E150" s="199" t="n">
        <f aca="false">IF(A151="","",IF(AND(AT150=1,$H$3=1),D150*AO150,IF($H$3=2,D150,"N/A")))</f>
        <v>1022616</v>
      </c>
      <c r="F150" s="199" t="n">
        <f aca="false">IF(A151="","",E150*AS150)</f>
        <v>3513613.51638943</v>
      </c>
      <c r="G150" s="200" t="e">
        <f aca="false">IF($A151="","",VLOOKUP($A150,Table,MATCH(G$4,Curves,0)))</f>
        <v>#N/A</v>
      </c>
      <c r="H150" s="201" t="e">
        <f aca="false">IF(A151="","",G150)</f>
        <v>#N/A</v>
      </c>
      <c r="I150" s="202"/>
      <c r="J150" s="200" t="e">
        <f aca="false">IF($A151="","",VLOOKUP($A150,Table,MATCH(J$4,Curves,0)))</f>
        <v>#N/A</v>
      </c>
      <c r="K150" s="201" t="e">
        <f aca="false">IF(A151="","",J150)</f>
        <v>#N/A</v>
      </c>
      <c r="L150" s="200" t="e">
        <f aca="false">IF($A151="","",VLOOKUP($A150,Table,MATCH(L$4,Curves,0)))</f>
        <v>#N/A</v>
      </c>
      <c r="M150" s="201" t="e">
        <f aca="false">IF(A151="","",L150)</f>
        <v>#N/A</v>
      </c>
      <c r="N150" s="203"/>
      <c r="O150" s="200" t="e">
        <f aca="false">IF(A151="","",L150+J150+G150)</f>
        <v>#N/A</v>
      </c>
      <c r="P150" s="200" t="e">
        <f aca="false">IF(A151="","",M150+K150+H150)</f>
        <v>#N/A</v>
      </c>
      <c r="Q150" s="204"/>
      <c r="R150" s="200" t="e">
        <f aca="false">IF($A151="","",VLOOKUP($A150,Table,MATCH(R$4,Curves,0)))</f>
        <v>#N/A</v>
      </c>
      <c r="S150" s="201" t="e">
        <f aca="false">IF(A151="","",R150)</f>
        <v>#N/A</v>
      </c>
      <c r="T150" s="200" t="e">
        <f aca="false">IF($A151="","",VLOOKUP($A150,Table,MATCH(T$4,Curves,0)))</f>
        <v>#N/A</v>
      </c>
      <c r="U150" s="201" t="e">
        <f aca="false">IF(A151="","",T150)</f>
        <v>#N/A</v>
      </c>
      <c r="V150" s="225" t="e">
        <f aca="false">IF($A151="","",IF(AND(MONTH(A150)&gt;3,MONTH(A150)&lt;11),(T150+R150+G150)*(((1/(1-Summary!$T$12))/(1-Summary!$W$12))-1),(T150+R150+G150)*((1/(1-Summary!$U$12))/(1-Summary!$X$12)-1)))</f>
        <v>#N/A</v>
      </c>
      <c r="W150" s="200" t="e">
        <f aca="false">IF($A151="","",(T150+R150+G150+V150))</f>
        <v>#N/A</v>
      </c>
      <c r="X150" s="200" t="e">
        <f aca="false">IF($A151="","",(U150+S150+H150+V150))</f>
        <v>#N/A</v>
      </c>
      <c r="Y150" s="202"/>
      <c r="Z150" s="185" t="e">
        <f aca="false">IF($A151="","",VLOOKUP($A150,Table,MATCH(Z$4,Curves,0)))</f>
        <v>#N/A</v>
      </c>
      <c r="AA150" s="185" t="e">
        <f aca="false">IF($A151="","",VLOOKUP($A150,Table,MATCH(AA$4,Curves,0)))</f>
        <v>#N/A</v>
      </c>
      <c r="AB150" s="185" t="e">
        <f aca="false">SQRT((AA150^2*(A150-$D$3)+Z150^2*(DAY(EOMONTH(A150,0))/2))/AK150)</f>
        <v>#N/A</v>
      </c>
      <c r="AC150" s="185" t="e">
        <f aca="false">IF($A151="","",VLOOKUP($A150,Table,MATCH(AC$4,Curves,0)))</f>
        <v>#N/A</v>
      </c>
      <c r="AD150" s="185" t="e">
        <f aca="false">IF($A151="","",VLOOKUP($A150,Table,MATCH(AD$4,Curves,0)))</f>
        <v>#N/A</v>
      </c>
      <c r="AE150" s="185" t="e">
        <f aca="false">SQRT((AD150^2*(A150-$D$3)+AC150^2*(DAY(EOMONTH(A150,0))/2))/AK150)</f>
        <v>#N/A</v>
      </c>
      <c r="AF150" s="206" t="e">
        <f aca="false">((Summary!$N$12*(AA150*AD150)*(A150-$D$3))+(Summary!$M$12*Z150*AC150*(AJ150-EOMONTH(EDATE(A150,-1),0))))/(AK150*AB150*AE150)</f>
        <v>#N/A</v>
      </c>
      <c r="AG150" s="207" t="n">
        <f aca="false">IF($A151="","",Summary!$Q$12)</f>
        <v>0</v>
      </c>
      <c r="AH150" s="207" t="n">
        <f aca="false">IF($A151="","",IF(Summary!$R$12="Y",(VLOOKUP($A150,Summary!$AD$6:$AF$9,3)+'Escalating commodity'!H163),'Escalating commodity'!H163))</f>
        <v>0.029</v>
      </c>
      <c r="AI150" s="207" t="n">
        <f aca="false">IF($A151="","",AH150)</f>
        <v>0.029</v>
      </c>
      <c r="AJ150" s="208" t="n">
        <f aca="false">A150+DAY(EOMONTH(A150,0))/2-1</f>
        <v>41319</v>
      </c>
      <c r="AK150" s="209" t="n">
        <f aca="false">IF($A151="","",$A150-$E$1)</f>
        <v>-4620</v>
      </c>
      <c r="AL150" s="182" t="e">
        <f aca="false">IF($A151="","",SPRDOPT(P150,X150,AI150,0,AB150,AE150,AF150,AK150,$AJ$2,0))</f>
        <v>#NAME?</v>
      </c>
      <c r="AM150" s="211" t="e">
        <f aca="false">IF($A151="","",MAX(0,O150-W150-AI150))</f>
        <v>#N/A</v>
      </c>
      <c r="AN150" s="211" t="e">
        <f aca="false">IF($A151="","",AL150-AM150)</f>
        <v>#N/A</v>
      </c>
      <c r="AO150" s="137" t="n">
        <f aca="false">IF(A151="","",A151-A150)</f>
        <v>28</v>
      </c>
      <c r="AP150" s="212" t="n">
        <f aca="false">IF(A151="","",CHOOSE(F$3,A151+24,A150))</f>
        <v>41306</v>
      </c>
      <c r="AQ150" s="209" t="n">
        <f aca="false">IF(A151="","",AP150-$E$1)</f>
        <v>-4620</v>
      </c>
      <c r="AR150" s="185" t="n">
        <f aca="false">'ANR OK vs ML7'!AR150</f>
        <v>0.1</v>
      </c>
      <c r="AS150" s="213" t="n">
        <f aca="false">IF(A151="","",1/(1+CHOOSE(F$3,(AR151+($I$3/10000))/2,(AR150+($I$3/10000))/2))^(2*AQ150/365.25))</f>
        <v>3.43590704271147</v>
      </c>
      <c r="AT150" s="137" t="n">
        <f aca="false">IF(A151="","",IF(AND(mthbeg&lt;=A150,mthend&gt;=A150),1,0))</f>
        <v>1</v>
      </c>
      <c r="AU150" s="137" t="n">
        <f aca="false">IF(A151="","",AO150*AT150)</f>
        <v>28</v>
      </c>
      <c r="AW150" s="195" t="e">
        <f aca="false">IF($A151="","",AL150*$E150)</f>
        <v>#NAME?</v>
      </c>
      <c r="AX150" s="195" t="e">
        <f aca="false">IF($A151="","",AM150*$E150)</f>
        <v>#N/A</v>
      </c>
      <c r="AY150" s="195" t="e">
        <f aca="false">IF($A151="","",AN150*$E150)</f>
        <v>#N/A</v>
      </c>
      <c r="BA150" s="195" t="n">
        <f aca="false">IF($A151="","",F150*Summary!$Q$12)</f>
        <v>0</v>
      </c>
      <c r="BC150" s="179" t="e">
        <f aca="false">IF(A151="","",AM150*F150)</f>
        <v>#N/A</v>
      </c>
    </row>
    <row r="151" customFormat="false" ht="12.75" hidden="false" customHeight="false" outlineLevel="0" collapsed="false">
      <c r="A151" s="196" t="n">
        <f aca="false">IF(A150&lt;mthend,EDATE(A150,1),"")</f>
        <v>41334</v>
      </c>
      <c r="B151" s="197" t="n">
        <f aca="false">IF(A151&lt;mthend,B150,"")</f>
        <v>36522</v>
      </c>
      <c r="C151" s="215"/>
      <c r="D151" s="197" t="n">
        <f aca="false">IF(A152&lt;&gt;"",B151+C151,"")</f>
        <v>36522</v>
      </c>
      <c r="E151" s="199" t="n">
        <f aca="false">IF(A152="","",IF(AND(AT151=1,$H$3=1),D151*AO151,IF($H$3=2,D151,"N/A")))</f>
        <v>1132182</v>
      </c>
      <c r="F151" s="199" t="n">
        <f aca="false">IF(A152="","",E151*AS151)</f>
        <v>3861081.02851483</v>
      </c>
      <c r="G151" s="200" t="e">
        <f aca="false">IF($A152="","",VLOOKUP($A151,Table,MATCH(G$4,Curves,0)))</f>
        <v>#N/A</v>
      </c>
      <c r="H151" s="201" t="e">
        <f aca="false">IF(A152="","",G151)</f>
        <v>#N/A</v>
      </c>
      <c r="I151" s="202"/>
      <c r="J151" s="200" t="e">
        <f aca="false">IF($A152="","",VLOOKUP($A151,Table,MATCH(J$4,Curves,0)))</f>
        <v>#N/A</v>
      </c>
      <c r="K151" s="201" t="e">
        <f aca="false">IF(A152="","",J151)</f>
        <v>#N/A</v>
      </c>
      <c r="L151" s="200" t="e">
        <f aca="false">IF($A152="","",VLOOKUP($A151,Table,MATCH(L$4,Curves,0)))</f>
        <v>#N/A</v>
      </c>
      <c r="M151" s="201" t="e">
        <f aca="false">IF(A152="","",L151)</f>
        <v>#N/A</v>
      </c>
      <c r="N151" s="203"/>
      <c r="O151" s="200" t="e">
        <f aca="false">IF(A152="","",L151+J151+G151)</f>
        <v>#N/A</v>
      </c>
      <c r="P151" s="200" t="e">
        <f aca="false">IF(A152="","",M151+K151+H151)</f>
        <v>#N/A</v>
      </c>
      <c r="Q151" s="204"/>
      <c r="R151" s="200" t="e">
        <f aca="false">IF($A152="","",VLOOKUP($A151,Table,MATCH(R$4,Curves,0)))</f>
        <v>#N/A</v>
      </c>
      <c r="S151" s="201" t="e">
        <f aca="false">IF(A152="","",R151)</f>
        <v>#N/A</v>
      </c>
      <c r="T151" s="200" t="e">
        <f aca="false">IF($A152="","",VLOOKUP($A151,Table,MATCH(T$4,Curves,0)))</f>
        <v>#N/A</v>
      </c>
      <c r="U151" s="201" t="e">
        <f aca="false">IF(A152="","",T151)</f>
        <v>#N/A</v>
      </c>
      <c r="V151" s="225" t="e">
        <f aca="false">IF($A152="","",IF(AND(MONTH(A151)&gt;3,MONTH(A151)&lt;11),(T151+R151+G151)*(((1/(1-Summary!$T$12))/(1-Summary!$W$12))-1),(T151+R151+G151)*((1/(1-Summary!$U$12))/(1-Summary!$X$12)-1)))</f>
        <v>#N/A</v>
      </c>
      <c r="W151" s="200" t="e">
        <f aca="false">IF($A152="","",(T151+R151+G151+V151))</f>
        <v>#N/A</v>
      </c>
      <c r="X151" s="200" t="e">
        <f aca="false">IF($A152="","",(U151+S151+H151+V151))</f>
        <v>#N/A</v>
      </c>
      <c r="Y151" s="202"/>
      <c r="Z151" s="185" t="e">
        <f aca="false">IF($A152="","",VLOOKUP($A151,Table,MATCH(Z$4,Curves,0)))</f>
        <v>#N/A</v>
      </c>
      <c r="AA151" s="185" t="e">
        <f aca="false">IF($A152="","",VLOOKUP($A151,Table,MATCH(AA$4,Curves,0)))</f>
        <v>#N/A</v>
      </c>
      <c r="AB151" s="185" t="e">
        <f aca="false">SQRT((AA151^2*(A151-$D$3)+Z151^2*(DAY(EOMONTH(A151,0))/2))/AK151)</f>
        <v>#N/A</v>
      </c>
      <c r="AC151" s="185" t="e">
        <f aca="false">IF($A152="","",VLOOKUP($A151,Table,MATCH(AC$4,Curves,0)))</f>
        <v>#N/A</v>
      </c>
      <c r="AD151" s="185" t="e">
        <f aca="false">IF($A152="","",VLOOKUP($A151,Table,MATCH(AD$4,Curves,0)))</f>
        <v>#N/A</v>
      </c>
      <c r="AE151" s="185" t="e">
        <f aca="false">SQRT((AD151^2*(A151-$D$3)+AC151^2*(DAY(EOMONTH(A151,0))/2))/AK151)</f>
        <v>#N/A</v>
      </c>
      <c r="AF151" s="206" t="e">
        <f aca="false">((Summary!$N$12*(AA151*AD151)*(A151-$D$3))+(Summary!$M$12*Z151*AC151*(AJ151-EOMONTH(EDATE(A151,-1),0))))/(AK151*AB151*AE151)</f>
        <v>#N/A</v>
      </c>
      <c r="AG151" s="207" t="n">
        <f aca="false">IF($A152="","",Summary!$Q$12)</f>
        <v>0</v>
      </c>
      <c r="AH151" s="207" t="n">
        <f aca="false">IF($A152="","",IF(Summary!$R$12="Y",(VLOOKUP($A151,Summary!$AD$6:$AF$9,3)+'Escalating commodity'!H164),'Escalating commodity'!H164))</f>
        <v>0.029</v>
      </c>
      <c r="AI151" s="207" t="n">
        <f aca="false">IF($A152="","",AH151)</f>
        <v>0.029</v>
      </c>
      <c r="AJ151" s="208" t="n">
        <f aca="false">A151+DAY(EOMONTH(A151,0))/2-1</f>
        <v>41348.5</v>
      </c>
      <c r="AK151" s="209" t="n">
        <f aca="false">IF($A152="","",$A151-$E$1)</f>
        <v>-4592</v>
      </c>
      <c r="AL151" s="182" t="e">
        <f aca="false">IF($A152="","",SPRDOPT(P151,X151,AI151,0,AB151,AE151,AF151,AK151,$AJ$2,0))</f>
        <v>#NAME?</v>
      </c>
      <c r="AM151" s="211" t="e">
        <f aca="false">IF($A152="","",MAX(0,O151-W151-AI151))</f>
        <v>#N/A</v>
      </c>
      <c r="AN151" s="211" t="e">
        <f aca="false">IF($A152="","",AL151-AM151)</f>
        <v>#N/A</v>
      </c>
      <c r="AO151" s="137" t="n">
        <f aca="false">IF(A152="","",A152-A151)</f>
        <v>31</v>
      </c>
      <c r="AP151" s="212" t="n">
        <f aca="false">IF(A152="","",CHOOSE(F$3,A152+24,A151))</f>
        <v>41334</v>
      </c>
      <c r="AQ151" s="209" t="n">
        <f aca="false">IF(A152="","",AP151-$E$1)</f>
        <v>-4592</v>
      </c>
      <c r="AR151" s="185" t="n">
        <f aca="false">'ANR OK vs ML7'!AR151</f>
        <v>0.1</v>
      </c>
      <c r="AS151" s="213" t="n">
        <f aca="false">IF(A152="","",1/(1+CHOOSE(F$3,(AR152+($I$3/10000))/2,(AR151+($I$3/10000))/2))^(2*AQ151/365.25))</f>
        <v>3.41030066589544</v>
      </c>
      <c r="AT151" s="137" t="n">
        <f aca="false">IF(A152="","",IF(AND(mthbeg&lt;=A151,mthend&gt;=A151),1,0))</f>
        <v>1</v>
      </c>
      <c r="AU151" s="137" t="n">
        <f aca="false">IF(A152="","",AO151*AT151)</f>
        <v>31</v>
      </c>
      <c r="AW151" s="195" t="e">
        <f aca="false">IF($A152="","",AL151*$E151)</f>
        <v>#NAME?</v>
      </c>
      <c r="AX151" s="195" t="e">
        <f aca="false">IF($A152="","",AM151*$E151)</f>
        <v>#N/A</v>
      </c>
      <c r="AY151" s="195" t="e">
        <f aca="false">IF($A152="","",AN151*$E151)</f>
        <v>#N/A</v>
      </c>
      <c r="BA151" s="195" t="n">
        <f aca="false">IF($A152="","",F151*Summary!$Q$12)</f>
        <v>0</v>
      </c>
      <c r="BC151" s="179" t="e">
        <f aca="false">IF(A152="","",AM151*F151)</f>
        <v>#N/A</v>
      </c>
    </row>
    <row r="152" customFormat="false" ht="12.75" hidden="false" customHeight="false" outlineLevel="0" collapsed="false">
      <c r="A152" s="196" t="n">
        <f aca="false">IF(A151&lt;mthend,EDATE(A151,1),"")</f>
        <v>41365</v>
      </c>
      <c r="B152" s="197" t="n">
        <f aca="false">IF(A152&lt;mthend,B151,"")</f>
        <v>36522</v>
      </c>
      <c r="C152" s="215"/>
      <c r="D152" s="197" t="n">
        <f aca="false">IF(A153&lt;&gt;"",B152+C152,"")</f>
        <v>36522</v>
      </c>
      <c r="E152" s="199" t="n">
        <f aca="false">IF(A153="","",IF(AND(AT152=1,$H$3=1),D152*AO152,IF($H$3=2,D152,"N/A")))</f>
        <v>1095660</v>
      </c>
      <c r="F152" s="199" t="n">
        <f aca="false">IF(A153="","",E152*AS152)</f>
        <v>3705711.98472936</v>
      </c>
      <c r="G152" s="200" t="e">
        <f aca="false">IF($A153="","",VLOOKUP($A152,Table,MATCH(G$4,Curves,0)))</f>
        <v>#N/A</v>
      </c>
      <c r="H152" s="201" t="e">
        <f aca="false">IF(A153="","",G152)</f>
        <v>#N/A</v>
      </c>
      <c r="I152" s="202"/>
      <c r="J152" s="200" t="e">
        <f aca="false">IF($A153="","",VLOOKUP($A152,Table,MATCH(J$4,Curves,0)))</f>
        <v>#N/A</v>
      </c>
      <c r="K152" s="201" t="e">
        <f aca="false">IF(A153="","",J152)</f>
        <v>#N/A</v>
      </c>
      <c r="L152" s="200" t="e">
        <f aca="false">IF($A153="","",VLOOKUP($A152,Table,MATCH(L$4,Curves,0)))</f>
        <v>#N/A</v>
      </c>
      <c r="M152" s="201" t="e">
        <f aca="false">IF(A153="","",L152)</f>
        <v>#N/A</v>
      </c>
      <c r="N152" s="203"/>
      <c r="O152" s="200" t="e">
        <f aca="false">IF(A153="","",L152+J152+G152)</f>
        <v>#N/A</v>
      </c>
      <c r="P152" s="200" t="e">
        <f aca="false">IF(A153="","",M152+K152+H152)</f>
        <v>#N/A</v>
      </c>
      <c r="Q152" s="204"/>
      <c r="R152" s="200" t="e">
        <f aca="false">IF($A153="","",VLOOKUP($A152,Table,MATCH(R$4,Curves,0)))</f>
        <v>#N/A</v>
      </c>
      <c r="S152" s="201" t="e">
        <f aca="false">IF(A153="","",R152)</f>
        <v>#N/A</v>
      </c>
      <c r="T152" s="200" t="e">
        <f aca="false">IF($A153="","",VLOOKUP($A152,Table,MATCH(T$4,Curves,0)))</f>
        <v>#N/A</v>
      </c>
      <c r="U152" s="201" t="e">
        <f aca="false">IF(A153="","",T152)</f>
        <v>#N/A</v>
      </c>
      <c r="V152" s="225" t="e">
        <f aca="false">IF($A153="","",IF(AND(MONTH(A152)&gt;3,MONTH(A152)&lt;11),(T152+R152+G152)*(((1/(1-Summary!$T$12))/(1-Summary!$W$12))-1),(T152+R152+G152)*((1/(1-Summary!$U$12))/(1-Summary!$X$12)-1)))</f>
        <v>#N/A</v>
      </c>
      <c r="W152" s="200" t="e">
        <f aca="false">IF($A153="","",(T152+R152+G152+V152))</f>
        <v>#N/A</v>
      </c>
      <c r="X152" s="200" t="e">
        <f aca="false">IF($A153="","",(U152+S152+H152+V152))</f>
        <v>#N/A</v>
      </c>
      <c r="Y152" s="202"/>
      <c r="Z152" s="185" t="e">
        <f aca="false">IF($A153="","",VLOOKUP($A152,Table,MATCH(Z$4,Curves,0)))</f>
        <v>#N/A</v>
      </c>
      <c r="AA152" s="185" t="e">
        <f aca="false">IF($A153="","",VLOOKUP($A152,Table,MATCH(AA$4,Curves,0)))</f>
        <v>#N/A</v>
      </c>
      <c r="AB152" s="185" t="e">
        <f aca="false">SQRT((AA152^2*(A152-$D$3)+Z152^2*(DAY(EOMONTH(A152,0))/2))/AK152)</f>
        <v>#N/A</v>
      </c>
      <c r="AC152" s="185" t="e">
        <f aca="false">IF($A153="","",VLOOKUP($A152,Table,MATCH(AC$4,Curves,0)))</f>
        <v>#N/A</v>
      </c>
      <c r="AD152" s="185" t="e">
        <f aca="false">IF($A153="","",VLOOKUP($A152,Table,MATCH(AD$4,Curves,0)))</f>
        <v>#N/A</v>
      </c>
      <c r="AE152" s="185" t="e">
        <f aca="false">SQRT((AD152^2*(A152-$D$3)+AC152^2*(DAY(EOMONTH(A152,0))/2))/AK152)</f>
        <v>#N/A</v>
      </c>
      <c r="AF152" s="206" t="e">
        <f aca="false">((Summary!$N$12*(AA152*AD152)*(A152-$D$3))+(Summary!$M$12*Z152*AC152*(AJ152-EOMONTH(EDATE(A152,-1),0))))/(AK152*AB152*AE152)</f>
        <v>#N/A</v>
      </c>
      <c r="AG152" s="207" t="n">
        <f aca="false">IF($A153="","",Summary!$Q$12)</f>
        <v>0</v>
      </c>
      <c r="AH152" s="207" t="n">
        <f aca="false">IF($A153="","",IF(Summary!$R$12="Y",(VLOOKUP($A152,Summary!$AD$6:$AF$9,3)+'Escalating commodity'!H165),'Escalating commodity'!H165))</f>
        <v>0.029</v>
      </c>
      <c r="AI152" s="207" t="n">
        <f aca="false">IF($A153="","",AH152)</f>
        <v>0.029</v>
      </c>
      <c r="AJ152" s="208" t="n">
        <f aca="false">A152+DAY(EOMONTH(A152,0))/2-1</f>
        <v>41379</v>
      </c>
      <c r="AK152" s="209" t="n">
        <f aca="false">IF($A153="","",$A152-$E$1)</f>
        <v>-4561</v>
      </c>
      <c r="AL152" s="182" t="e">
        <f aca="false">IF($A153="","",SPRDOPT(P152,X152,AI152,0,AB152,AE152,AF152,AK152,$AJ$2,0))</f>
        <v>#NAME?</v>
      </c>
      <c r="AM152" s="211" t="e">
        <f aca="false">IF($A153="","",MAX(0,O152-W152-AI152))</f>
        <v>#N/A</v>
      </c>
      <c r="AN152" s="211" t="e">
        <f aca="false">IF($A153="","",AL152-AM152)</f>
        <v>#N/A</v>
      </c>
      <c r="AO152" s="137" t="n">
        <f aca="false">IF(A153="","",A153-A152)</f>
        <v>30</v>
      </c>
      <c r="AP152" s="212" t="n">
        <f aca="false">IF(A153="","",CHOOSE(F$3,A153+24,A152))</f>
        <v>41365</v>
      </c>
      <c r="AQ152" s="209" t="n">
        <f aca="false">IF(A153="","",AP152-$E$1)</f>
        <v>-4561</v>
      </c>
      <c r="AR152" s="185" t="n">
        <f aca="false">'ANR OK vs ML7'!AR152</f>
        <v>0.1</v>
      </c>
      <c r="AS152" s="213" t="n">
        <f aca="false">IF(A153="","",1/(1+CHOOSE(F$3,(AR153+($I$3/10000))/2,(AR152+($I$3/10000))/2))^(2*AQ152/365.25))</f>
        <v>3.38217328799934</v>
      </c>
      <c r="AT152" s="137" t="n">
        <f aca="false">IF(A153="","",IF(AND(mthbeg&lt;=A152,mthend&gt;=A152),1,0))</f>
        <v>1</v>
      </c>
      <c r="AU152" s="137" t="n">
        <f aca="false">IF(A153="","",AO152*AT152)</f>
        <v>30</v>
      </c>
      <c r="AW152" s="195" t="e">
        <f aca="false">IF($A153="","",AL152*$E152)</f>
        <v>#NAME?</v>
      </c>
      <c r="AX152" s="195" t="e">
        <f aca="false">IF($A153="","",AM152*$E152)</f>
        <v>#N/A</v>
      </c>
      <c r="AY152" s="195" t="e">
        <f aca="false">IF($A153="","",AN152*$E152)</f>
        <v>#N/A</v>
      </c>
      <c r="BA152" s="195" t="n">
        <f aca="false">IF($A153="","",F152*Summary!$Q$12)</f>
        <v>0</v>
      </c>
      <c r="BC152" s="179" t="e">
        <f aca="false">IF(A153="","",AM152*F152)</f>
        <v>#N/A</v>
      </c>
    </row>
    <row r="153" customFormat="false" ht="12.75" hidden="false" customHeight="false" outlineLevel="0" collapsed="false">
      <c r="A153" s="196" t="n">
        <f aca="false">IF(A152&lt;mthend,EDATE(A152,1),"")</f>
        <v>41395</v>
      </c>
      <c r="B153" s="197" t="n">
        <f aca="false">IF(A153&lt;mthend,B152,"")</f>
        <v>36522</v>
      </c>
      <c r="C153" s="215"/>
      <c r="D153" s="197" t="n">
        <f aca="false">IF(A154&lt;&gt;"",B153+C153,"")</f>
        <v>36522</v>
      </c>
      <c r="E153" s="199" t="n">
        <f aca="false">IF(A154="","",IF(AND(AT153=1,$H$3=1),D153*AO153,IF($H$3=2,D153,"N/A")))</f>
        <v>1132182</v>
      </c>
      <c r="F153" s="199" t="n">
        <f aca="false">IF(A154="","",E153*AS153)</f>
        <v>3798667.77738496</v>
      </c>
      <c r="G153" s="200" t="e">
        <f aca="false">IF($A154="","",VLOOKUP($A153,Table,MATCH(G$4,Curves,0)))</f>
        <v>#N/A</v>
      </c>
      <c r="H153" s="201" t="e">
        <f aca="false">IF(A154="","",G153)</f>
        <v>#N/A</v>
      </c>
      <c r="I153" s="202"/>
      <c r="J153" s="200" t="e">
        <f aca="false">IF($A154="","",VLOOKUP($A153,Table,MATCH(J$4,Curves,0)))</f>
        <v>#N/A</v>
      </c>
      <c r="K153" s="201" t="e">
        <f aca="false">IF(A154="","",J153)</f>
        <v>#N/A</v>
      </c>
      <c r="L153" s="200" t="e">
        <f aca="false">IF($A154="","",VLOOKUP($A153,Table,MATCH(L$4,Curves,0)))</f>
        <v>#N/A</v>
      </c>
      <c r="M153" s="201" t="e">
        <f aca="false">IF(A154="","",L153)</f>
        <v>#N/A</v>
      </c>
      <c r="N153" s="203"/>
      <c r="O153" s="200" t="e">
        <f aca="false">IF(A154="","",L153+J153+G153)</f>
        <v>#N/A</v>
      </c>
      <c r="P153" s="200" t="e">
        <f aca="false">IF(A154="","",M153+K153+H153)</f>
        <v>#N/A</v>
      </c>
      <c r="Q153" s="204"/>
      <c r="R153" s="200" t="e">
        <f aca="false">IF($A154="","",VLOOKUP($A153,Table,MATCH(R$4,Curves,0)))</f>
        <v>#N/A</v>
      </c>
      <c r="S153" s="201" t="e">
        <f aca="false">IF(A154="","",R153)</f>
        <v>#N/A</v>
      </c>
      <c r="T153" s="200" t="e">
        <f aca="false">IF($A154="","",VLOOKUP($A153,Table,MATCH(T$4,Curves,0)))</f>
        <v>#N/A</v>
      </c>
      <c r="U153" s="201" t="e">
        <f aca="false">IF(A154="","",T153)</f>
        <v>#N/A</v>
      </c>
      <c r="V153" s="225" t="e">
        <f aca="false">IF($A154="","",IF(AND(MONTH(A153)&gt;3,MONTH(A153)&lt;11),(T153+R153+G153)*(((1/(1-Summary!$T$12))/(1-Summary!$W$12))-1),(T153+R153+G153)*((1/(1-Summary!$U$12))/(1-Summary!$X$12)-1)))</f>
        <v>#N/A</v>
      </c>
      <c r="W153" s="200" t="e">
        <f aca="false">IF($A154="","",(T153+R153+G153+V153))</f>
        <v>#N/A</v>
      </c>
      <c r="X153" s="200" t="e">
        <f aca="false">IF($A154="","",(U153+S153+H153+V153))</f>
        <v>#N/A</v>
      </c>
      <c r="Y153" s="202"/>
      <c r="Z153" s="185" t="e">
        <f aca="false">IF($A154="","",VLOOKUP($A153,Table,MATCH(Z$4,Curves,0)))</f>
        <v>#N/A</v>
      </c>
      <c r="AA153" s="185" t="e">
        <f aca="false">IF($A154="","",VLOOKUP($A153,Table,MATCH(AA$4,Curves,0)))</f>
        <v>#N/A</v>
      </c>
      <c r="AB153" s="185" t="e">
        <f aca="false">SQRT((AA153^2*(A153-$D$3)+Z153^2*(DAY(EOMONTH(A153,0))/2))/AK153)</f>
        <v>#N/A</v>
      </c>
      <c r="AC153" s="185" t="e">
        <f aca="false">IF($A154="","",VLOOKUP($A153,Table,MATCH(AC$4,Curves,0)))</f>
        <v>#N/A</v>
      </c>
      <c r="AD153" s="185" t="e">
        <f aca="false">IF($A154="","",VLOOKUP($A153,Table,MATCH(AD$4,Curves,0)))</f>
        <v>#N/A</v>
      </c>
      <c r="AE153" s="185" t="e">
        <f aca="false">SQRT((AD153^2*(A153-$D$3)+AC153^2*(DAY(EOMONTH(A153,0))/2))/AK153)</f>
        <v>#N/A</v>
      </c>
      <c r="AF153" s="206" t="e">
        <f aca="false">((Summary!$N$12*(AA153*AD153)*(A153-$D$3))+(Summary!$M$12*Z153*AC153*(AJ153-EOMONTH(EDATE(A153,-1),0))))/(AK153*AB153*AE153)</f>
        <v>#N/A</v>
      </c>
      <c r="AG153" s="207" t="n">
        <f aca="false">IF($A154="","",Summary!$Q$12)</f>
        <v>0</v>
      </c>
      <c r="AH153" s="207" t="n">
        <f aca="false">IF($A154="","",IF(Summary!$R$12="Y",(VLOOKUP($A153,Summary!$AD$6:$AF$9,3)+'Escalating commodity'!H166),'Escalating commodity'!H166))</f>
        <v>0.029</v>
      </c>
      <c r="AI153" s="207" t="n">
        <f aca="false">IF($A154="","",AH153)</f>
        <v>0.029</v>
      </c>
      <c r="AJ153" s="208" t="n">
        <f aca="false">A153+DAY(EOMONTH(A153,0))/2-1</f>
        <v>41409.5</v>
      </c>
      <c r="AK153" s="209" t="n">
        <f aca="false">IF($A154="","",$A153-$E$1)</f>
        <v>-4531</v>
      </c>
      <c r="AL153" s="182" t="e">
        <f aca="false">IF($A154="","",SPRDOPT(P153,X153,AI153,0,AB153,AE153,AF153,AK153,$AJ$2,0))</f>
        <v>#NAME?</v>
      </c>
      <c r="AM153" s="211" t="e">
        <f aca="false">IF($A154="","",MAX(0,O153-W153-AI153))</f>
        <v>#N/A</v>
      </c>
      <c r="AN153" s="211" t="e">
        <f aca="false">IF($A154="","",AL153-AM153)</f>
        <v>#N/A</v>
      </c>
      <c r="AO153" s="137" t="n">
        <f aca="false">IF(A154="","",A154-A153)</f>
        <v>31</v>
      </c>
      <c r="AP153" s="212" t="n">
        <f aca="false">IF(A154="","",CHOOSE(F$3,A154+24,A153))</f>
        <v>41395</v>
      </c>
      <c r="AQ153" s="209" t="n">
        <f aca="false">IF(A154="","",AP153-$E$1)</f>
        <v>-4531</v>
      </c>
      <c r="AR153" s="185" t="n">
        <f aca="false">'ANR OK vs ML7'!AR153</f>
        <v>0.1</v>
      </c>
      <c r="AS153" s="213" t="n">
        <f aca="false">IF(A154="","",1/(1+CHOOSE(F$3,(AR154+($I$3/10000))/2,(AR153+($I$3/10000))/2))^(2*AQ153/365.25))</f>
        <v>3.35517414813605</v>
      </c>
      <c r="AT153" s="137" t="n">
        <f aca="false">IF(A154="","",IF(AND(mthbeg&lt;=A153,mthend&gt;=A153),1,0))</f>
        <v>1</v>
      </c>
      <c r="AU153" s="137" t="n">
        <f aca="false">IF(A154="","",AO153*AT153)</f>
        <v>31</v>
      </c>
      <c r="AW153" s="195" t="e">
        <f aca="false">IF($A154="","",AL153*$E153)</f>
        <v>#NAME?</v>
      </c>
      <c r="AX153" s="195" t="e">
        <f aca="false">IF($A154="","",AM153*$E153)</f>
        <v>#N/A</v>
      </c>
      <c r="AY153" s="195" t="e">
        <f aca="false">IF($A154="","",AN153*$E153)</f>
        <v>#N/A</v>
      </c>
      <c r="BA153" s="195" t="n">
        <f aca="false">IF($A154="","",F153*Summary!$Q$12)</f>
        <v>0</v>
      </c>
      <c r="BC153" s="179" t="e">
        <f aca="false">IF(A154="","",AM153*F153)</f>
        <v>#N/A</v>
      </c>
    </row>
    <row r="154" customFormat="false" ht="12.75" hidden="false" customHeight="false" outlineLevel="0" collapsed="false">
      <c r="A154" s="196" t="n">
        <f aca="false">IF(A153&lt;mthend,EDATE(A153,1),"")</f>
        <v>41426</v>
      </c>
      <c r="B154" s="197" t="n">
        <f aca="false">IF(A154&lt;mthend,B153,"")</f>
        <v>36522</v>
      </c>
      <c r="C154" s="215"/>
      <c r="D154" s="197" t="n">
        <f aca="false">IF(A155&lt;&gt;"",B154+C154,"")</f>
        <v>36522</v>
      </c>
      <c r="E154" s="199" t="n">
        <f aca="false">IF(A155="","",IF(AND(AT154=1,$H$3=1),D154*AO154,IF($H$3=2,D154,"N/A")))</f>
        <v>1095660</v>
      </c>
      <c r="F154" s="199" t="n">
        <f aca="false">IF(A155="","",E154*AS154)</f>
        <v>3645810.22897501</v>
      </c>
      <c r="G154" s="200" t="e">
        <f aca="false">IF($A155="","",VLOOKUP($A154,Table,MATCH(G$4,Curves,0)))</f>
        <v>#N/A</v>
      </c>
      <c r="H154" s="201" t="e">
        <f aca="false">IF(A155="","",G154)</f>
        <v>#N/A</v>
      </c>
      <c r="I154" s="202"/>
      <c r="J154" s="200" t="e">
        <f aca="false">IF($A155="","",VLOOKUP($A154,Table,MATCH(J$4,Curves,0)))</f>
        <v>#N/A</v>
      </c>
      <c r="K154" s="201" t="e">
        <f aca="false">IF(A155="","",J154)</f>
        <v>#N/A</v>
      </c>
      <c r="L154" s="200" t="e">
        <f aca="false">IF($A155="","",VLOOKUP($A154,Table,MATCH(L$4,Curves,0)))</f>
        <v>#N/A</v>
      </c>
      <c r="M154" s="201" t="e">
        <f aca="false">IF(A155="","",L154)</f>
        <v>#N/A</v>
      </c>
      <c r="N154" s="203"/>
      <c r="O154" s="200" t="e">
        <f aca="false">IF(A155="","",L154+J154+G154)</f>
        <v>#N/A</v>
      </c>
      <c r="P154" s="200" t="e">
        <f aca="false">IF(A155="","",M154+K154+H154)</f>
        <v>#N/A</v>
      </c>
      <c r="Q154" s="204"/>
      <c r="R154" s="200" t="e">
        <f aca="false">IF($A155="","",VLOOKUP($A154,Table,MATCH(R$4,Curves,0)))</f>
        <v>#N/A</v>
      </c>
      <c r="S154" s="201" t="e">
        <f aca="false">IF(A155="","",R154)</f>
        <v>#N/A</v>
      </c>
      <c r="T154" s="200" t="e">
        <f aca="false">IF($A155="","",VLOOKUP($A154,Table,MATCH(T$4,Curves,0)))</f>
        <v>#N/A</v>
      </c>
      <c r="U154" s="201" t="e">
        <f aca="false">IF(A155="","",T154)</f>
        <v>#N/A</v>
      </c>
      <c r="V154" s="225" t="e">
        <f aca="false">IF($A155="","",IF(AND(MONTH(A154)&gt;3,MONTH(A154)&lt;11),(T154+R154+G154)*(((1/(1-Summary!$T$12))/(1-Summary!$W$12))-1),(T154+R154+G154)*((1/(1-Summary!$U$12))/(1-Summary!$X$12)-1)))</f>
        <v>#N/A</v>
      </c>
      <c r="W154" s="200" t="e">
        <f aca="false">IF($A155="","",(T154+R154+G154+V154))</f>
        <v>#N/A</v>
      </c>
      <c r="X154" s="200" t="e">
        <f aca="false">IF($A155="","",(U154+S154+H154+V154))</f>
        <v>#N/A</v>
      </c>
      <c r="Y154" s="202"/>
      <c r="Z154" s="185" t="e">
        <f aca="false">IF($A155="","",VLOOKUP($A154,Table,MATCH(Z$4,Curves,0)))</f>
        <v>#N/A</v>
      </c>
      <c r="AA154" s="185" t="e">
        <f aca="false">IF($A155="","",VLOOKUP($A154,Table,MATCH(AA$4,Curves,0)))</f>
        <v>#N/A</v>
      </c>
      <c r="AB154" s="185" t="e">
        <f aca="false">SQRT((AA154^2*(A154-$D$3)+Z154^2*(DAY(EOMONTH(A154,0))/2))/AK154)</f>
        <v>#N/A</v>
      </c>
      <c r="AC154" s="185" t="e">
        <f aca="false">IF($A155="","",VLOOKUP($A154,Table,MATCH(AC$4,Curves,0)))</f>
        <v>#N/A</v>
      </c>
      <c r="AD154" s="185" t="e">
        <f aca="false">IF($A155="","",VLOOKUP($A154,Table,MATCH(AD$4,Curves,0)))</f>
        <v>#N/A</v>
      </c>
      <c r="AE154" s="185" t="e">
        <f aca="false">SQRT((AD154^2*(A154-$D$3)+AC154^2*(DAY(EOMONTH(A154,0))/2))/AK154)</f>
        <v>#N/A</v>
      </c>
      <c r="AF154" s="206" t="e">
        <f aca="false">((Summary!$N$12*(AA154*AD154)*(A154-$D$3))+(Summary!$M$12*Z154*AC154*(AJ154-EOMONTH(EDATE(A154,-1),0))))/(AK154*AB154*AE154)</f>
        <v>#N/A</v>
      </c>
      <c r="AG154" s="207" t="n">
        <f aca="false">IF($A155="","",Summary!$Q$12)</f>
        <v>0</v>
      </c>
      <c r="AH154" s="207" t="n">
        <f aca="false">IF($A155="","",IF(Summary!$R$12="Y",(VLOOKUP($A154,Summary!$AD$6:$AF$9,3)+'Escalating commodity'!H167),'Escalating commodity'!H167))</f>
        <v>0.029</v>
      </c>
      <c r="AI154" s="207" t="n">
        <f aca="false">IF($A155="","",AH154)</f>
        <v>0.029</v>
      </c>
      <c r="AJ154" s="208" t="n">
        <f aca="false">A154+DAY(EOMONTH(A154,0))/2-1</f>
        <v>41440</v>
      </c>
      <c r="AK154" s="209" t="n">
        <f aca="false">IF($A155="","",$A154-$E$1)</f>
        <v>-4500</v>
      </c>
      <c r="AL154" s="182" t="e">
        <f aca="false">IF($A155="","",SPRDOPT(P154,X154,AI154,0,AB154,AE154,AF154,AK154,$AJ$2,0))</f>
        <v>#NAME?</v>
      </c>
      <c r="AM154" s="211" t="e">
        <f aca="false">IF($A155="","",MAX(0,O154-W154-AI154))</f>
        <v>#N/A</v>
      </c>
      <c r="AN154" s="211" t="e">
        <f aca="false">IF($A155="","",AL154-AM154)</f>
        <v>#N/A</v>
      </c>
      <c r="AO154" s="137" t="n">
        <f aca="false">IF(A155="","",A155-A154)</f>
        <v>30</v>
      </c>
      <c r="AP154" s="212" t="n">
        <f aca="false">IF(A155="","",CHOOSE(F$3,A155+24,A154))</f>
        <v>41426</v>
      </c>
      <c r="AQ154" s="209" t="n">
        <f aca="false">IF(A155="","",AP154-$E$1)</f>
        <v>-4500</v>
      </c>
      <c r="AR154" s="185" t="n">
        <f aca="false">'ANR OK vs ML7'!AR154</f>
        <v>0.1</v>
      </c>
      <c r="AS154" s="213" t="n">
        <f aca="false">IF(A155="","",1/(1+CHOOSE(F$3,(AR155+($I$3/10000))/2,(AR154+($I$3/10000))/2))^(2*AQ154/365.25))</f>
        <v>3.32750144111769</v>
      </c>
      <c r="AT154" s="137" t="n">
        <f aca="false">IF(A155="","",IF(AND(mthbeg&lt;=A154,mthend&gt;=A154),1,0))</f>
        <v>1</v>
      </c>
      <c r="AU154" s="137" t="n">
        <f aca="false">IF(A155="","",AO154*AT154)</f>
        <v>30</v>
      </c>
      <c r="AW154" s="195" t="e">
        <f aca="false">IF($A155="","",AL154*$E154)</f>
        <v>#NAME?</v>
      </c>
      <c r="AX154" s="195" t="e">
        <f aca="false">IF($A155="","",AM154*$E154)</f>
        <v>#N/A</v>
      </c>
      <c r="AY154" s="195" t="e">
        <f aca="false">IF($A155="","",AN154*$E154)</f>
        <v>#N/A</v>
      </c>
      <c r="BA154" s="195" t="n">
        <f aca="false">IF($A155="","",F154*Summary!$Q$12)</f>
        <v>0</v>
      </c>
      <c r="BC154" s="179" t="e">
        <f aca="false">IF(A155="","",AM154*F154)</f>
        <v>#N/A</v>
      </c>
    </row>
    <row r="155" customFormat="false" ht="12.75" hidden="false" customHeight="false" outlineLevel="0" collapsed="false">
      <c r="A155" s="196" t="n">
        <f aca="false">IF(A154&lt;mthend,EDATE(A154,1),"")</f>
        <v>41456</v>
      </c>
      <c r="B155" s="197" t="n">
        <f aca="false">IF(A155&lt;mthend,B154,"")</f>
        <v>36522</v>
      </c>
      <c r="C155" s="215"/>
      <c r="D155" s="197" t="n">
        <f aca="false">IF(A156&lt;&gt;"",B155+C155,"")</f>
        <v>36522</v>
      </c>
      <c r="E155" s="199" t="n">
        <f aca="false">IF(A156="","",IF(AND(AT155=1,$H$3=1),D155*AO155,IF($H$3=2,D155,"N/A")))</f>
        <v>1132182</v>
      </c>
      <c r="F155" s="199" t="n">
        <f aca="false">IF(A156="","",E155*AS155)</f>
        <v>3737263.41829539</v>
      </c>
      <c r="G155" s="200" t="e">
        <f aca="false">IF($A156="","",VLOOKUP($A155,Table,MATCH(G$4,Curves,0)))</f>
        <v>#N/A</v>
      </c>
      <c r="H155" s="201" t="e">
        <f aca="false">IF(A156="","",G155)</f>
        <v>#N/A</v>
      </c>
      <c r="I155" s="202"/>
      <c r="J155" s="200" t="e">
        <f aca="false">IF($A156="","",VLOOKUP($A155,Table,MATCH(J$4,Curves,0)))</f>
        <v>#N/A</v>
      </c>
      <c r="K155" s="201" t="e">
        <f aca="false">IF(A156="","",J155)</f>
        <v>#N/A</v>
      </c>
      <c r="L155" s="200" t="e">
        <f aca="false">IF($A156="","",VLOOKUP($A155,Table,MATCH(L$4,Curves,0)))</f>
        <v>#N/A</v>
      </c>
      <c r="M155" s="201" t="e">
        <f aca="false">IF(A156="","",L155)</f>
        <v>#N/A</v>
      </c>
      <c r="N155" s="203"/>
      <c r="O155" s="200" t="e">
        <f aca="false">IF(A156="","",L155+J155+G155)</f>
        <v>#N/A</v>
      </c>
      <c r="P155" s="200" t="e">
        <f aca="false">IF(A156="","",M155+K155+H155)</f>
        <v>#N/A</v>
      </c>
      <c r="Q155" s="204"/>
      <c r="R155" s="200" t="e">
        <f aca="false">IF($A156="","",VLOOKUP($A155,Table,MATCH(R$4,Curves,0)))</f>
        <v>#N/A</v>
      </c>
      <c r="S155" s="201" t="e">
        <f aca="false">IF(A156="","",R155)</f>
        <v>#N/A</v>
      </c>
      <c r="T155" s="200" t="e">
        <f aca="false">IF($A156="","",VLOOKUP($A155,Table,MATCH(T$4,Curves,0)))</f>
        <v>#N/A</v>
      </c>
      <c r="U155" s="201" t="e">
        <f aca="false">IF(A156="","",T155)</f>
        <v>#N/A</v>
      </c>
      <c r="V155" s="225" t="e">
        <f aca="false">IF($A156="","",IF(AND(MONTH(A155)&gt;3,MONTH(A155)&lt;11),(T155+R155+G155)*(((1/(1-Summary!$T$12))/(1-Summary!$W$12))-1),(T155+R155+G155)*((1/(1-Summary!$U$12))/(1-Summary!$X$12)-1)))</f>
        <v>#N/A</v>
      </c>
      <c r="W155" s="200" t="e">
        <f aca="false">IF($A156="","",(T155+R155+G155+V155))</f>
        <v>#N/A</v>
      </c>
      <c r="X155" s="200" t="e">
        <f aca="false">IF($A156="","",(U155+S155+H155+V155))</f>
        <v>#N/A</v>
      </c>
      <c r="Y155" s="202"/>
      <c r="Z155" s="185" t="e">
        <f aca="false">IF($A156="","",VLOOKUP($A155,Table,MATCH(Z$4,Curves,0)))</f>
        <v>#N/A</v>
      </c>
      <c r="AA155" s="185" t="e">
        <f aca="false">IF($A156="","",VLOOKUP($A155,Table,MATCH(AA$4,Curves,0)))</f>
        <v>#N/A</v>
      </c>
      <c r="AB155" s="185" t="e">
        <f aca="false">SQRT((AA155^2*(A155-$D$3)+Z155^2*(DAY(EOMONTH(A155,0))/2))/AK155)</f>
        <v>#N/A</v>
      </c>
      <c r="AC155" s="185" t="e">
        <f aca="false">IF($A156="","",VLOOKUP($A155,Table,MATCH(AC$4,Curves,0)))</f>
        <v>#N/A</v>
      </c>
      <c r="AD155" s="185" t="e">
        <f aca="false">IF($A156="","",VLOOKUP($A155,Table,MATCH(AD$4,Curves,0)))</f>
        <v>#N/A</v>
      </c>
      <c r="AE155" s="185" t="e">
        <f aca="false">SQRT((AD155^2*(A155-$D$3)+AC155^2*(DAY(EOMONTH(A155,0))/2))/AK155)</f>
        <v>#N/A</v>
      </c>
      <c r="AF155" s="206" t="e">
        <f aca="false">((Summary!$N$12*(AA155*AD155)*(A155-$D$3))+(Summary!$M$12*Z155*AC155*(AJ155-EOMONTH(EDATE(A155,-1),0))))/(AK155*AB155*AE155)</f>
        <v>#N/A</v>
      </c>
      <c r="AG155" s="207" t="n">
        <f aca="false">IF($A156="","",Summary!$Q$12)</f>
        <v>0</v>
      </c>
      <c r="AH155" s="207" t="n">
        <f aca="false">IF($A156="","",IF(Summary!$R$12="Y",(VLOOKUP($A155,Summary!$AD$6:$AF$9,3)+'Escalating commodity'!H168),'Escalating commodity'!H168))</f>
        <v>0.029</v>
      </c>
      <c r="AI155" s="207" t="n">
        <f aca="false">IF($A156="","",AH155)</f>
        <v>0.029</v>
      </c>
      <c r="AJ155" s="208" t="n">
        <f aca="false">A155+DAY(EOMONTH(A155,0))/2-1</f>
        <v>41470.5</v>
      </c>
      <c r="AK155" s="209" t="n">
        <f aca="false">IF($A156="","",$A155-$E$1)</f>
        <v>-4470</v>
      </c>
      <c r="AL155" s="182" t="e">
        <f aca="false">IF($A156="","",SPRDOPT(P155,X155,AI155,0,AB155,AE155,AF155,AK155,$AJ$2,0))</f>
        <v>#NAME?</v>
      </c>
      <c r="AM155" s="211" t="e">
        <f aca="false">IF($A156="","",MAX(0,O155-W155-AI155))</f>
        <v>#N/A</v>
      </c>
      <c r="AN155" s="211" t="e">
        <f aca="false">IF($A156="","",AL155-AM155)</f>
        <v>#N/A</v>
      </c>
      <c r="AO155" s="137" t="n">
        <f aca="false">IF(A156="","",A156-A155)</f>
        <v>31</v>
      </c>
      <c r="AP155" s="212" t="n">
        <f aca="false">IF(A156="","",CHOOSE(F$3,A156+24,A155))</f>
        <v>41456</v>
      </c>
      <c r="AQ155" s="209" t="n">
        <f aca="false">IF(A156="","",AP155-$E$1)</f>
        <v>-4470</v>
      </c>
      <c r="AR155" s="185" t="n">
        <f aca="false">'ANR OK vs ML7'!AR155</f>
        <v>0.1</v>
      </c>
      <c r="AS155" s="213" t="n">
        <f aca="false">IF(A156="","",1/(1+CHOOSE(F$3,(AR156+($I$3/10000))/2,(AR155+($I$3/10000))/2))^(2*AQ155/365.25))</f>
        <v>3.30093873449268</v>
      </c>
      <c r="AT155" s="137" t="n">
        <f aca="false">IF(A156="","",IF(AND(mthbeg&lt;=A155,mthend&gt;=A155),1,0))</f>
        <v>1</v>
      </c>
      <c r="AU155" s="137" t="n">
        <f aca="false">IF(A156="","",AO155*AT155)</f>
        <v>31</v>
      </c>
      <c r="AW155" s="195" t="e">
        <f aca="false">IF($A156="","",AL155*$E155)</f>
        <v>#NAME?</v>
      </c>
      <c r="AX155" s="195" t="e">
        <f aca="false">IF($A156="","",AM155*$E155)</f>
        <v>#N/A</v>
      </c>
      <c r="AY155" s="195" t="e">
        <f aca="false">IF($A156="","",AN155*$E155)</f>
        <v>#N/A</v>
      </c>
      <c r="BA155" s="195" t="n">
        <f aca="false">IF($A156="","",F155*Summary!$Q$12)</f>
        <v>0</v>
      </c>
      <c r="BC155" s="179" t="e">
        <f aca="false">IF(A156="","",AM155*F155)</f>
        <v>#N/A</v>
      </c>
    </row>
    <row r="156" customFormat="false" ht="12.75" hidden="false" customHeight="false" outlineLevel="0" collapsed="false">
      <c r="A156" s="196" t="n">
        <f aca="false">IF(A155&lt;mthend,EDATE(A155,1),"")</f>
        <v>41487</v>
      </c>
      <c r="B156" s="197" t="n">
        <f aca="false">IF(A156&lt;mthend,B155,"")</f>
        <v>36522</v>
      </c>
      <c r="C156" s="215"/>
      <c r="D156" s="197" t="n">
        <f aca="false">IF(A157&lt;&gt;"",B156+C156,"")</f>
        <v>36522</v>
      </c>
      <c r="E156" s="199" t="n">
        <f aca="false">IF(A157="","",IF(AND(AT156=1,$H$3=1),D156*AO156,IF($H$3=2,D156,"N/A")))</f>
        <v>1132182</v>
      </c>
      <c r="F156" s="199" t="n">
        <f aca="false">IF(A157="","",E156*AS156)</f>
        <v>3706439.32659143</v>
      </c>
      <c r="G156" s="200" t="e">
        <f aca="false">IF($A157="","",VLOOKUP($A156,Table,MATCH(G$4,Curves,0)))</f>
        <v>#N/A</v>
      </c>
      <c r="H156" s="201" t="e">
        <f aca="false">IF(A157="","",G156)</f>
        <v>#N/A</v>
      </c>
      <c r="I156" s="202"/>
      <c r="J156" s="200" t="e">
        <f aca="false">IF($A157="","",VLOOKUP($A156,Table,MATCH(J$4,Curves,0)))</f>
        <v>#N/A</v>
      </c>
      <c r="K156" s="201" t="e">
        <f aca="false">IF(A157="","",J156)</f>
        <v>#N/A</v>
      </c>
      <c r="L156" s="200" t="e">
        <f aca="false">IF($A157="","",VLOOKUP($A156,Table,MATCH(L$4,Curves,0)))</f>
        <v>#N/A</v>
      </c>
      <c r="M156" s="201" t="e">
        <f aca="false">IF(A157="","",L156)</f>
        <v>#N/A</v>
      </c>
      <c r="N156" s="203"/>
      <c r="O156" s="200" t="e">
        <f aca="false">IF(A157="","",L156+J156+G156)</f>
        <v>#N/A</v>
      </c>
      <c r="P156" s="200" t="e">
        <f aca="false">IF(A157="","",M156+K156+H156)</f>
        <v>#N/A</v>
      </c>
      <c r="Q156" s="204"/>
      <c r="R156" s="200" t="e">
        <f aca="false">IF($A157="","",VLOOKUP($A156,Table,MATCH(R$4,Curves,0)))</f>
        <v>#N/A</v>
      </c>
      <c r="S156" s="201" t="e">
        <f aca="false">IF(A157="","",R156)</f>
        <v>#N/A</v>
      </c>
      <c r="T156" s="200" t="e">
        <f aca="false">IF($A157="","",VLOOKUP($A156,Table,MATCH(T$4,Curves,0)))</f>
        <v>#N/A</v>
      </c>
      <c r="U156" s="201" t="e">
        <f aca="false">IF(A157="","",T156)</f>
        <v>#N/A</v>
      </c>
      <c r="V156" s="225" t="e">
        <f aca="false">IF($A157="","",IF(AND(MONTH(A156)&gt;3,MONTH(A156)&lt;11),(T156+R156+G156)*(((1/(1-Summary!$T$12))/(1-Summary!$W$12))-1),(T156+R156+G156)*((1/(1-Summary!$U$12))/(1-Summary!$X$12)-1)))</f>
        <v>#N/A</v>
      </c>
      <c r="W156" s="200" t="e">
        <f aca="false">IF($A157="","",(T156+R156+G156+V156))</f>
        <v>#N/A</v>
      </c>
      <c r="X156" s="200" t="e">
        <f aca="false">IF($A157="","",(U156+S156+H156+V156))</f>
        <v>#N/A</v>
      </c>
      <c r="Y156" s="202"/>
      <c r="Z156" s="185" t="e">
        <f aca="false">IF($A157="","",VLOOKUP($A156,Table,MATCH(Z$4,Curves,0)))</f>
        <v>#N/A</v>
      </c>
      <c r="AA156" s="185" t="e">
        <f aca="false">IF($A157="","",VLOOKUP($A156,Table,MATCH(AA$4,Curves,0)))</f>
        <v>#N/A</v>
      </c>
      <c r="AB156" s="185" t="e">
        <f aca="false">SQRT((AA156^2*(A156-$D$3)+Z156^2*(DAY(EOMONTH(A156,0))/2))/AK156)</f>
        <v>#N/A</v>
      </c>
      <c r="AC156" s="185" t="e">
        <f aca="false">IF($A157="","",VLOOKUP($A156,Table,MATCH(AC$4,Curves,0)))</f>
        <v>#N/A</v>
      </c>
      <c r="AD156" s="185" t="e">
        <f aca="false">IF($A157="","",VLOOKUP($A156,Table,MATCH(AD$4,Curves,0)))</f>
        <v>#N/A</v>
      </c>
      <c r="AE156" s="185" t="e">
        <f aca="false">SQRT((AD156^2*(A156-$D$3)+AC156^2*(DAY(EOMONTH(A156,0))/2))/AK156)</f>
        <v>#N/A</v>
      </c>
      <c r="AF156" s="206" t="e">
        <f aca="false">((Summary!$N$12*(AA156*AD156)*(A156-$D$3))+(Summary!$M$12*Z156*AC156*(AJ156-EOMONTH(EDATE(A156,-1),0))))/(AK156*AB156*AE156)</f>
        <v>#N/A</v>
      </c>
      <c r="AG156" s="207" t="n">
        <f aca="false">IF($A157="","",Summary!$Q$12)</f>
        <v>0</v>
      </c>
      <c r="AH156" s="207" t="n">
        <f aca="false">IF($A157="","",IF(Summary!$R$12="Y",(VLOOKUP($A156,Summary!$AD$6:$AF$9,3)+'Escalating commodity'!H169),'Escalating commodity'!H169))</f>
        <v>0.029</v>
      </c>
      <c r="AI156" s="207" t="n">
        <f aca="false">IF($A157="","",AH156)</f>
        <v>0.029</v>
      </c>
      <c r="AJ156" s="208" t="n">
        <f aca="false">A156+DAY(EOMONTH(A156,0))/2-1</f>
        <v>41501.5</v>
      </c>
      <c r="AK156" s="209" t="n">
        <f aca="false">IF($A157="","",$A156-$E$1)</f>
        <v>-4439</v>
      </c>
      <c r="AL156" s="182" t="e">
        <f aca="false">IF($A157="","",SPRDOPT(P156,X156,AI156,0,AB156,AE156,AF156,AK156,$AJ$2,0))</f>
        <v>#NAME?</v>
      </c>
      <c r="AM156" s="211" t="e">
        <f aca="false">IF($A157="","",MAX(0,O156-W156-AI156))</f>
        <v>#N/A</v>
      </c>
      <c r="AN156" s="211" t="e">
        <f aca="false">IF($A157="","",AL156-AM156)</f>
        <v>#N/A</v>
      </c>
      <c r="AO156" s="137" t="n">
        <f aca="false">IF(A157="","",A157-A156)</f>
        <v>31</v>
      </c>
      <c r="AP156" s="212" t="n">
        <f aca="false">IF(A157="","",CHOOSE(F$3,A157+24,A156))</f>
        <v>41487</v>
      </c>
      <c r="AQ156" s="209" t="n">
        <f aca="false">IF(A157="","",AP156-$E$1)</f>
        <v>-4439</v>
      </c>
      <c r="AR156" s="185" t="n">
        <f aca="false">'ANR OK vs ML7'!AR156</f>
        <v>0.1</v>
      </c>
      <c r="AS156" s="213" t="n">
        <f aca="false">IF(A157="","",1/(1+CHOOSE(F$3,(AR157+($I$3/10000))/2,(AR156+($I$3/10000))/2))^(2*AQ156/365.25))</f>
        <v>3.27371334872965</v>
      </c>
      <c r="AT156" s="137" t="n">
        <f aca="false">IF(A157="","",IF(AND(mthbeg&lt;=A156,mthend&gt;=A156),1,0))</f>
        <v>1</v>
      </c>
      <c r="AU156" s="137" t="n">
        <f aca="false">IF(A157="","",AO156*AT156)</f>
        <v>31</v>
      </c>
      <c r="AW156" s="195" t="e">
        <f aca="false">IF($A157="","",AL156*$E156)</f>
        <v>#NAME?</v>
      </c>
      <c r="AX156" s="195" t="e">
        <f aca="false">IF($A157="","",AM156*$E156)</f>
        <v>#N/A</v>
      </c>
      <c r="AY156" s="195" t="e">
        <f aca="false">IF($A157="","",AN156*$E156)</f>
        <v>#N/A</v>
      </c>
      <c r="BA156" s="195" t="n">
        <f aca="false">IF($A157="","",F156*Summary!$Q$12)</f>
        <v>0</v>
      </c>
      <c r="BC156" s="179" t="e">
        <f aca="false">IF(A157="","",AM156*F156)</f>
        <v>#N/A</v>
      </c>
    </row>
    <row r="157" customFormat="false" ht="12.75" hidden="false" customHeight="false" outlineLevel="0" collapsed="false">
      <c r="A157" s="196" t="n">
        <f aca="false">IF(A156&lt;mthend,EDATE(A156,1),"")</f>
        <v>41518</v>
      </c>
      <c r="B157" s="197" t="n">
        <f aca="false">IF(A157&lt;mthend,B156,"")</f>
        <v>36522</v>
      </c>
      <c r="C157" s="215"/>
      <c r="D157" s="197" t="n">
        <f aca="false">IF(A158&lt;&gt;"",B157+C157,"")</f>
        <v>36522</v>
      </c>
      <c r="E157" s="199" t="n">
        <f aca="false">IF(A158="","",IF(AND(AT157=1,$H$3=1),D157*AO157,IF($H$3=2,D157,"N/A")))</f>
        <v>1095660</v>
      </c>
      <c r="F157" s="199" t="n">
        <f aca="false">IF(A158="","",E157*AS157)</f>
        <v>3557293.03057524</v>
      </c>
      <c r="G157" s="200" t="e">
        <f aca="false">IF($A158="","",VLOOKUP($A157,Table,MATCH(G$4,Curves,0)))</f>
        <v>#N/A</v>
      </c>
      <c r="H157" s="201" t="e">
        <f aca="false">IF(A158="","",G157)</f>
        <v>#N/A</v>
      </c>
      <c r="I157" s="202"/>
      <c r="J157" s="200" t="e">
        <f aca="false">IF($A158="","",VLOOKUP($A157,Table,MATCH(J$4,Curves,0)))</f>
        <v>#N/A</v>
      </c>
      <c r="K157" s="201" t="e">
        <f aca="false">IF(A158="","",J157)</f>
        <v>#N/A</v>
      </c>
      <c r="L157" s="200" t="e">
        <f aca="false">IF($A158="","",VLOOKUP($A157,Table,MATCH(L$4,Curves,0)))</f>
        <v>#N/A</v>
      </c>
      <c r="M157" s="201" t="e">
        <f aca="false">IF(A158="","",L157)</f>
        <v>#N/A</v>
      </c>
      <c r="N157" s="203"/>
      <c r="O157" s="200" t="e">
        <f aca="false">IF(A158="","",L157+J157+G157)</f>
        <v>#N/A</v>
      </c>
      <c r="P157" s="200" t="e">
        <f aca="false">IF(A158="","",M157+K157+H157)</f>
        <v>#N/A</v>
      </c>
      <c r="Q157" s="204"/>
      <c r="R157" s="200" t="e">
        <f aca="false">IF($A158="","",VLOOKUP($A157,Table,MATCH(R$4,Curves,0)))</f>
        <v>#N/A</v>
      </c>
      <c r="S157" s="201" t="e">
        <f aca="false">IF(A158="","",R157)</f>
        <v>#N/A</v>
      </c>
      <c r="T157" s="200" t="e">
        <f aca="false">IF($A158="","",VLOOKUP($A157,Table,MATCH(T$4,Curves,0)))</f>
        <v>#N/A</v>
      </c>
      <c r="U157" s="201" t="e">
        <f aca="false">IF(A158="","",T157)</f>
        <v>#N/A</v>
      </c>
      <c r="V157" s="225" t="e">
        <f aca="false">IF($A158="","",IF(AND(MONTH(A157)&gt;3,MONTH(A157)&lt;11),(T157+R157+G157)*(((1/(1-Summary!$T$12))/(1-Summary!$W$12))-1),(T157+R157+G157)*((1/(1-Summary!$U$12))/(1-Summary!$X$12)-1)))</f>
        <v>#N/A</v>
      </c>
      <c r="W157" s="200" t="e">
        <f aca="false">IF($A158="","",(T157+R157+G157+V157))</f>
        <v>#N/A</v>
      </c>
      <c r="X157" s="200" t="e">
        <f aca="false">IF($A158="","",(U157+S157+H157+V157))</f>
        <v>#N/A</v>
      </c>
      <c r="Y157" s="202"/>
      <c r="Z157" s="185" t="e">
        <f aca="false">IF($A158="","",VLOOKUP($A157,Table,MATCH(Z$4,Curves,0)))</f>
        <v>#N/A</v>
      </c>
      <c r="AA157" s="185" t="e">
        <f aca="false">IF($A158="","",VLOOKUP($A157,Table,MATCH(AA$4,Curves,0)))</f>
        <v>#N/A</v>
      </c>
      <c r="AB157" s="185" t="e">
        <f aca="false">SQRT((AA157^2*(A157-$D$3)+Z157^2*(DAY(EOMONTH(A157,0))/2))/AK157)</f>
        <v>#N/A</v>
      </c>
      <c r="AC157" s="185" t="e">
        <f aca="false">IF($A158="","",VLOOKUP($A157,Table,MATCH(AC$4,Curves,0)))</f>
        <v>#N/A</v>
      </c>
      <c r="AD157" s="185" t="e">
        <f aca="false">IF($A158="","",VLOOKUP($A157,Table,MATCH(AD$4,Curves,0)))</f>
        <v>#N/A</v>
      </c>
      <c r="AE157" s="185" t="e">
        <f aca="false">SQRT((AD157^2*(A157-$D$3)+AC157^2*(DAY(EOMONTH(A157,0))/2))/AK157)</f>
        <v>#N/A</v>
      </c>
      <c r="AF157" s="206" t="e">
        <f aca="false">((Summary!$N$12*(AA157*AD157)*(A157-$D$3))+(Summary!$M$12*Z157*AC157*(AJ157-EOMONTH(EDATE(A157,-1),0))))/(AK157*AB157*AE157)</f>
        <v>#N/A</v>
      </c>
      <c r="AG157" s="207" t="n">
        <f aca="false">IF($A158="","",Summary!$Q$12)</f>
        <v>0</v>
      </c>
      <c r="AH157" s="207" t="n">
        <f aca="false">IF($A158="","",IF(Summary!$R$12="Y",(VLOOKUP($A157,Summary!$AD$6:$AF$9,3)+'Escalating commodity'!H170),'Escalating commodity'!H170))</f>
        <v>0.029</v>
      </c>
      <c r="AI157" s="207" t="n">
        <f aca="false">IF($A158="","",AH157)</f>
        <v>0.029</v>
      </c>
      <c r="AJ157" s="208" t="n">
        <f aca="false">A157+DAY(EOMONTH(A157,0))/2-1</f>
        <v>41532</v>
      </c>
      <c r="AK157" s="209" t="n">
        <f aca="false">IF($A158="","",$A157-$E$1)</f>
        <v>-4408</v>
      </c>
      <c r="AL157" s="182" t="e">
        <f aca="false">IF($A158="","",SPRDOPT(P157,X157,AI157,0,AB157,AE157,AF157,AK157,$AJ$2,0))</f>
        <v>#NAME?</v>
      </c>
      <c r="AM157" s="211" t="e">
        <f aca="false">IF($A158="","",MAX(0,O157-W157-AI157))</f>
        <v>#N/A</v>
      </c>
      <c r="AN157" s="211" t="e">
        <f aca="false">IF($A158="","",AL157-AM157)</f>
        <v>#N/A</v>
      </c>
      <c r="AO157" s="137" t="n">
        <f aca="false">IF(A158="","",A158-A157)</f>
        <v>30</v>
      </c>
      <c r="AP157" s="212" t="n">
        <f aca="false">IF(A158="","",CHOOSE(F$3,A158+24,A157))</f>
        <v>41518</v>
      </c>
      <c r="AQ157" s="209" t="n">
        <f aca="false">IF(A158="","",AP157-$E$1)</f>
        <v>-4408</v>
      </c>
      <c r="AR157" s="185" t="n">
        <f aca="false">'ANR OK vs ML7'!AR157</f>
        <v>0.1</v>
      </c>
      <c r="AS157" s="213" t="n">
        <f aca="false">IF(A158="","",1/(1+CHOOSE(F$3,(AR158+($I$3/10000))/2,(AR157+($I$3/10000))/2))^(2*AQ157/365.25))</f>
        <v>3.2467125117055</v>
      </c>
      <c r="AT157" s="137" t="n">
        <f aca="false">IF(A158="","",IF(AND(mthbeg&lt;=A157,mthend&gt;=A157),1,0))</f>
        <v>1</v>
      </c>
      <c r="AU157" s="137" t="n">
        <f aca="false">IF(A158="","",AO157*AT157)</f>
        <v>30</v>
      </c>
      <c r="AW157" s="195" t="e">
        <f aca="false">IF($A158="","",AL157*$E157)</f>
        <v>#NAME?</v>
      </c>
      <c r="AX157" s="195" t="e">
        <f aca="false">IF($A158="","",AM157*$E157)</f>
        <v>#N/A</v>
      </c>
      <c r="AY157" s="195" t="e">
        <f aca="false">IF($A158="","",AN157*$E157)</f>
        <v>#N/A</v>
      </c>
      <c r="BA157" s="195" t="n">
        <f aca="false">IF($A158="","",F157*Summary!$Q$12)</f>
        <v>0</v>
      </c>
      <c r="BC157" s="179" t="e">
        <f aca="false">IF(A158="","",AM157*F157)</f>
        <v>#N/A</v>
      </c>
    </row>
    <row r="158" customFormat="false" ht="12.75" hidden="false" customHeight="false" outlineLevel="0" collapsed="false">
      <c r="A158" s="196" t="n">
        <f aca="false">IF(A157&lt;mthend,EDATE(A157,1),"")</f>
        <v>41548</v>
      </c>
      <c r="B158" s="197" t="n">
        <f aca="false">IF(A158&lt;mthend,B157,"")</f>
        <v>36522</v>
      </c>
      <c r="C158" s="215"/>
      <c r="D158" s="197" t="n">
        <f aca="false">IF(A159&lt;&gt;"",B158+C158,"")</f>
        <v>36522</v>
      </c>
      <c r="E158" s="199" t="n">
        <f aca="false">IF(A159="","",IF(AND(AT158=1,$H$3=1),D158*AO158,IF($H$3=2,D158,"N/A")))</f>
        <v>1132182</v>
      </c>
      <c r="F158" s="199" t="n">
        <f aca="false">IF(A159="","",E158*AS158)</f>
        <v>3646525.81356756</v>
      </c>
      <c r="G158" s="200" t="e">
        <f aca="false">IF($A159="","",VLOOKUP($A158,Table,MATCH(G$4,Curves,0)))</f>
        <v>#N/A</v>
      </c>
      <c r="H158" s="201" t="e">
        <f aca="false">IF(A159="","",G158)</f>
        <v>#N/A</v>
      </c>
      <c r="I158" s="202"/>
      <c r="J158" s="200" t="e">
        <f aca="false">IF($A159="","",VLOOKUP($A158,Table,MATCH(J$4,Curves,0)))</f>
        <v>#N/A</v>
      </c>
      <c r="K158" s="201" t="e">
        <f aca="false">IF(A159="","",J158)</f>
        <v>#N/A</v>
      </c>
      <c r="L158" s="200" t="e">
        <f aca="false">IF($A159="","",VLOOKUP($A158,Table,MATCH(L$4,Curves,0)))</f>
        <v>#N/A</v>
      </c>
      <c r="M158" s="201" t="e">
        <f aca="false">IF(A159="","",L158)</f>
        <v>#N/A</v>
      </c>
      <c r="N158" s="203"/>
      <c r="O158" s="200" t="e">
        <f aca="false">IF(A159="","",L158+J158+G158)</f>
        <v>#N/A</v>
      </c>
      <c r="P158" s="200" t="e">
        <f aca="false">IF(A159="","",M158+K158+H158)</f>
        <v>#N/A</v>
      </c>
      <c r="Q158" s="204"/>
      <c r="R158" s="200" t="e">
        <f aca="false">IF($A159="","",VLOOKUP($A158,Table,MATCH(R$4,Curves,0)))</f>
        <v>#N/A</v>
      </c>
      <c r="S158" s="201" t="e">
        <f aca="false">IF(A159="","",R158)</f>
        <v>#N/A</v>
      </c>
      <c r="T158" s="200" t="e">
        <f aca="false">IF($A159="","",VLOOKUP($A158,Table,MATCH(T$4,Curves,0)))</f>
        <v>#N/A</v>
      </c>
      <c r="U158" s="201" t="e">
        <f aca="false">IF(A159="","",T158)</f>
        <v>#N/A</v>
      </c>
      <c r="V158" s="225" t="e">
        <f aca="false">IF($A159="","",IF(AND(MONTH(A158)&gt;3,MONTH(A158)&lt;11),(T158+R158+G158)*(((1/(1-Summary!$T$12))/(1-Summary!$W$12))-1),(T158+R158+G158)*((1/(1-Summary!$U$12))/(1-Summary!$X$12)-1)))</f>
        <v>#N/A</v>
      </c>
      <c r="W158" s="200" t="e">
        <f aca="false">IF($A159="","",(T158+R158+G158+V158))</f>
        <v>#N/A</v>
      </c>
      <c r="X158" s="200" t="e">
        <f aca="false">IF($A159="","",(U158+S158+H158+V158))</f>
        <v>#N/A</v>
      </c>
      <c r="Y158" s="202"/>
      <c r="Z158" s="185" t="e">
        <f aca="false">IF($A159="","",VLOOKUP($A158,Table,MATCH(Z$4,Curves,0)))</f>
        <v>#N/A</v>
      </c>
      <c r="AA158" s="185" t="e">
        <f aca="false">IF($A159="","",VLOOKUP($A158,Table,MATCH(AA$4,Curves,0)))</f>
        <v>#N/A</v>
      </c>
      <c r="AB158" s="185" t="e">
        <f aca="false">SQRT((AA158^2*(A158-$D$3)+Z158^2*(DAY(EOMONTH(A158,0))/2))/AK158)</f>
        <v>#N/A</v>
      </c>
      <c r="AC158" s="185" t="e">
        <f aca="false">IF($A159="","",VLOOKUP($A158,Table,MATCH(AC$4,Curves,0)))</f>
        <v>#N/A</v>
      </c>
      <c r="AD158" s="185" t="e">
        <f aca="false">IF($A159="","",VLOOKUP($A158,Table,MATCH(AD$4,Curves,0)))</f>
        <v>#N/A</v>
      </c>
      <c r="AE158" s="185" t="e">
        <f aca="false">SQRT((AD158^2*(A158-$D$3)+AC158^2*(DAY(EOMONTH(A158,0))/2))/AK158)</f>
        <v>#N/A</v>
      </c>
      <c r="AF158" s="206" t="e">
        <f aca="false">((Summary!$N$12*(AA158*AD158)*(A158-$D$3))+(Summary!$M$12*Z158*AC158*(AJ158-EOMONTH(EDATE(A158,-1),0))))/(AK158*AB158*AE158)</f>
        <v>#N/A</v>
      </c>
      <c r="AG158" s="207" t="n">
        <f aca="false">IF($A159="","",Summary!$Q$12)</f>
        <v>0</v>
      </c>
      <c r="AH158" s="207" t="n">
        <f aca="false">IF($A159="","",IF(Summary!$R$12="Y",(VLOOKUP($A158,Summary!$AD$6:$AF$9,3)+'Escalating commodity'!H171),'Escalating commodity'!H171))</f>
        <v>0.029</v>
      </c>
      <c r="AI158" s="207" t="n">
        <f aca="false">IF($A159="","",AH158)</f>
        <v>0.029</v>
      </c>
      <c r="AJ158" s="208" t="n">
        <f aca="false">A158+DAY(EOMONTH(A158,0))/2-1</f>
        <v>41562.5</v>
      </c>
      <c r="AK158" s="209" t="n">
        <f aca="false">IF($A159="","",$A158-$E$1)</f>
        <v>-4378</v>
      </c>
      <c r="AL158" s="182" t="e">
        <f aca="false">IF($A159="","",SPRDOPT(P158,X158,AI158,0,AB158,AE158,AF158,AK158,$AJ$2,0))</f>
        <v>#NAME?</v>
      </c>
      <c r="AM158" s="211" t="e">
        <f aca="false">IF($A159="","",MAX(0,O158-W158-AI158))</f>
        <v>#N/A</v>
      </c>
      <c r="AN158" s="211" t="e">
        <f aca="false">IF($A159="","",AL158-AM158)</f>
        <v>#N/A</v>
      </c>
      <c r="AO158" s="137" t="n">
        <f aca="false">IF(A159="","",A159-A158)</f>
        <v>31</v>
      </c>
      <c r="AP158" s="212" t="n">
        <f aca="false">IF(A159="","",CHOOSE(F$3,A159+24,A158))</f>
        <v>41548</v>
      </c>
      <c r="AQ158" s="209" t="n">
        <f aca="false">IF(A159="","",AP158-$E$1)</f>
        <v>-4378</v>
      </c>
      <c r="AR158" s="185" t="n">
        <f aca="false">'ANR OK vs ML7'!AR158</f>
        <v>0.1</v>
      </c>
      <c r="AS158" s="213" t="n">
        <f aca="false">IF(A159="","",1/(1+CHOOSE(F$3,(AR159+($I$3/10000))/2,(AR158+($I$3/10000))/2))^(2*AQ158/365.25))</f>
        <v>3.22079472520103</v>
      </c>
      <c r="AT158" s="137" t="n">
        <f aca="false">IF(A159="","",IF(AND(mthbeg&lt;=A158,mthend&gt;=A158),1,0))</f>
        <v>1</v>
      </c>
      <c r="AU158" s="137" t="n">
        <f aca="false">IF(A159="","",AO158*AT158)</f>
        <v>31</v>
      </c>
      <c r="AW158" s="195" t="e">
        <f aca="false">IF($A159="","",AL158*$E158)</f>
        <v>#NAME?</v>
      </c>
      <c r="AX158" s="195" t="e">
        <f aca="false">IF($A159="","",AM158*$E158)</f>
        <v>#N/A</v>
      </c>
      <c r="AY158" s="195" t="e">
        <f aca="false">IF($A159="","",AN158*$E158)</f>
        <v>#N/A</v>
      </c>
      <c r="BA158" s="195" t="n">
        <f aca="false">IF($A159="","",F158*Summary!$Q$12)</f>
        <v>0</v>
      </c>
      <c r="BC158" s="179" t="e">
        <f aca="false">IF(A159="","",AM158*F158)</f>
        <v>#N/A</v>
      </c>
    </row>
    <row r="159" customFormat="false" ht="12.75" hidden="false" customHeight="false" outlineLevel="0" collapsed="false">
      <c r="A159" s="196" t="n">
        <f aca="false">IF(A158&lt;mthend,EDATE(A158,1),"")</f>
        <v>41579</v>
      </c>
      <c r="B159" s="197" t="n">
        <f aca="false">IF(A159&lt;mthend,B158,"")</f>
        <v>36522</v>
      </c>
      <c r="C159" s="215"/>
      <c r="D159" s="197" t="n">
        <f aca="false">IF(A160&lt;&gt;"",B159+C159,"")</f>
        <v>36522</v>
      </c>
      <c r="E159" s="199" t="n">
        <f aca="false">IF(A160="","",IF(AND(AT159=1,$H$3=1),D159*AO159,IF($H$3=2,D159,"N/A")))</f>
        <v>1095660</v>
      </c>
      <c r="F159" s="199" t="n">
        <f aca="false">IF(A160="","",E159*AS159)</f>
        <v>3499790.4240202</v>
      </c>
      <c r="G159" s="200" t="e">
        <f aca="false">IF($A160="","",VLOOKUP($A159,Table,MATCH(G$4,Curves,0)))</f>
        <v>#N/A</v>
      </c>
      <c r="H159" s="201" t="e">
        <f aca="false">IF(A160="","",G159)</f>
        <v>#N/A</v>
      </c>
      <c r="I159" s="202"/>
      <c r="J159" s="200" t="e">
        <f aca="false">IF($A160="","",VLOOKUP($A159,Table,MATCH(J$4,Curves,0)))</f>
        <v>#N/A</v>
      </c>
      <c r="K159" s="201" t="e">
        <f aca="false">IF(A160="","",J159)</f>
        <v>#N/A</v>
      </c>
      <c r="L159" s="200" t="e">
        <f aca="false">IF($A160="","",VLOOKUP($A159,Table,MATCH(L$4,Curves,0)))</f>
        <v>#N/A</v>
      </c>
      <c r="M159" s="201" t="e">
        <f aca="false">IF(A160="","",L159)</f>
        <v>#N/A</v>
      </c>
      <c r="N159" s="203"/>
      <c r="O159" s="200" t="e">
        <f aca="false">IF(A160="","",L159+J159+G159)</f>
        <v>#N/A</v>
      </c>
      <c r="P159" s="200" t="e">
        <f aca="false">IF(A160="","",M159+K159+H159)</f>
        <v>#N/A</v>
      </c>
      <c r="Q159" s="204"/>
      <c r="R159" s="200" t="e">
        <f aca="false">IF($A160="","",VLOOKUP($A159,Table,MATCH(R$4,Curves,0)))</f>
        <v>#N/A</v>
      </c>
      <c r="S159" s="201" t="e">
        <f aca="false">IF(A160="","",R159)</f>
        <v>#N/A</v>
      </c>
      <c r="T159" s="200" t="e">
        <f aca="false">IF($A160="","",VLOOKUP($A159,Table,MATCH(T$4,Curves,0)))</f>
        <v>#N/A</v>
      </c>
      <c r="U159" s="201" t="e">
        <f aca="false">IF(A160="","",T159)</f>
        <v>#N/A</v>
      </c>
      <c r="V159" s="225" t="e">
        <f aca="false">IF($A160="","",IF(AND(MONTH(A159)&gt;3,MONTH(A159)&lt;11),(T159+R159+G159)*(((1/(1-Summary!$T$12))/(1-Summary!$W$12))-1),(T159+R159+G159)*((1/(1-Summary!$U$12))/(1-Summary!$X$12)-1)))</f>
        <v>#N/A</v>
      </c>
      <c r="W159" s="200" t="e">
        <f aca="false">IF($A160="","",(T159+R159+G159+V159))</f>
        <v>#N/A</v>
      </c>
      <c r="X159" s="200" t="e">
        <f aca="false">IF($A160="","",(U159+S159+H159+V159))</f>
        <v>#N/A</v>
      </c>
      <c r="Y159" s="202"/>
      <c r="Z159" s="185" t="e">
        <f aca="false">IF($A160="","",VLOOKUP($A159,Table,MATCH(Z$4,Curves,0)))</f>
        <v>#N/A</v>
      </c>
      <c r="AA159" s="185" t="e">
        <f aca="false">IF($A160="","",VLOOKUP($A159,Table,MATCH(AA$4,Curves,0)))</f>
        <v>#N/A</v>
      </c>
      <c r="AB159" s="185" t="e">
        <f aca="false">SQRT((AA159^2*(A159-$D$3)+Z159^2*(DAY(EOMONTH(A159,0))/2))/AK159)</f>
        <v>#N/A</v>
      </c>
      <c r="AC159" s="185" t="e">
        <f aca="false">IF($A160="","",VLOOKUP($A159,Table,MATCH(AC$4,Curves,0)))</f>
        <v>#N/A</v>
      </c>
      <c r="AD159" s="185" t="e">
        <f aca="false">IF($A160="","",VLOOKUP($A159,Table,MATCH(AD$4,Curves,0)))</f>
        <v>#N/A</v>
      </c>
      <c r="AE159" s="185" t="e">
        <f aca="false">SQRT((AD159^2*(A159-$D$3)+AC159^2*(DAY(EOMONTH(A159,0))/2))/AK159)</f>
        <v>#N/A</v>
      </c>
      <c r="AF159" s="206" t="e">
        <f aca="false">((Summary!$N$12*(AA159*AD159)*(A159-$D$3))+(Summary!$M$12*Z159*AC159*(AJ159-EOMONTH(EDATE(A159,-1),0))))/(AK159*AB159*AE159)</f>
        <v>#N/A</v>
      </c>
      <c r="AG159" s="207" t="n">
        <f aca="false">IF($A160="","",Summary!$Q$12)</f>
        <v>0</v>
      </c>
      <c r="AH159" s="207" t="n">
        <f aca="false">IF($A160="","",IF(Summary!$R$12="Y",(VLOOKUP($A159,Summary!$AD$6:$AF$9,3)+'Escalating commodity'!H172),'Escalating commodity'!H172))</f>
        <v>0.029</v>
      </c>
      <c r="AI159" s="207" t="n">
        <f aca="false">IF($A160="","",AH159)</f>
        <v>0.029</v>
      </c>
      <c r="AJ159" s="208" t="n">
        <f aca="false">A159+DAY(EOMONTH(A159,0))/2-1</f>
        <v>41593</v>
      </c>
      <c r="AK159" s="209" t="n">
        <f aca="false">IF($A160="","",$A159-$E$1)</f>
        <v>-4347</v>
      </c>
      <c r="AL159" s="182" t="e">
        <f aca="false">IF($A160="","",SPRDOPT(P159,X159,AI159,0,AB159,AE159,AF159,AK159,$AJ$2,0))</f>
        <v>#NAME?</v>
      </c>
      <c r="AM159" s="211" t="e">
        <f aca="false">IF($A160="","",MAX(0,O159-W159-AI159))</f>
        <v>#N/A</v>
      </c>
      <c r="AN159" s="211" t="e">
        <f aca="false">IF($A160="","",AL159-AM159)</f>
        <v>#N/A</v>
      </c>
      <c r="AO159" s="137" t="n">
        <f aca="false">IF(A160="","",A160-A159)</f>
        <v>30</v>
      </c>
      <c r="AP159" s="212" t="n">
        <f aca="false">IF(A160="","",CHOOSE(F$3,A160+24,A159))</f>
        <v>41579</v>
      </c>
      <c r="AQ159" s="209" t="n">
        <f aca="false">IF(A160="","",AP159-$E$1)</f>
        <v>-4347</v>
      </c>
      <c r="AR159" s="185" t="n">
        <f aca="false">'ANR OK vs ML7'!AR159</f>
        <v>0.1</v>
      </c>
      <c r="AS159" s="213" t="n">
        <f aca="false">IF(A160="","",1/(1+CHOOSE(F$3,(AR160+($I$3/10000))/2,(AR159+($I$3/10000))/2))^(2*AQ159/365.25))</f>
        <v>3.19423034884928</v>
      </c>
      <c r="AT159" s="137" t="n">
        <f aca="false">IF(A160="","",IF(AND(mthbeg&lt;=A159,mthend&gt;=A159),1,0))</f>
        <v>1</v>
      </c>
      <c r="AU159" s="137" t="n">
        <f aca="false">IF(A160="","",AO159*AT159)</f>
        <v>30</v>
      </c>
      <c r="AW159" s="195" t="e">
        <f aca="false">IF($A160="","",AL159*$E159)</f>
        <v>#NAME?</v>
      </c>
      <c r="AX159" s="195" t="e">
        <f aca="false">IF($A160="","",AM159*$E159)</f>
        <v>#N/A</v>
      </c>
      <c r="AY159" s="195" t="e">
        <f aca="false">IF($A160="","",AN159*$E159)</f>
        <v>#N/A</v>
      </c>
      <c r="BA159" s="195" t="n">
        <f aca="false">IF($A160="","",F159*Summary!$Q$12)</f>
        <v>0</v>
      </c>
      <c r="BC159" s="179" t="e">
        <f aca="false">IF(A160="","",AM159*F159)</f>
        <v>#N/A</v>
      </c>
    </row>
    <row r="160" customFormat="false" ht="12.75" hidden="false" customHeight="false" outlineLevel="0" collapsed="false">
      <c r="A160" s="196" t="n">
        <f aca="false">IF(A159&lt;mthend,EDATE(A159,1),"")</f>
        <v>41609</v>
      </c>
      <c r="B160" s="197" t="n">
        <f aca="false">IF(A160&lt;mthend,B159,"")</f>
        <v>36522</v>
      </c>
      <c r="C160" s="215"/>
      <c r="D160" s="197" t="n">
        <f aca="false">IF(A161&lt;&gt;"",B160+C160,"")</f>
        <v>36522</v>
      </c>
      <c r="E160" s="199" t="n">
        <f aca="false">IF(A161="","",IF(AND(AT160=1,$H$3=1),D160*AO160,IF($H$3=2,D160,"N/A")))</f>
        <v>1132182</v>
      </c>
      <c r="F160" s="199" t="n">
        <f aca="false">IF(A161="","",E160*AS160)</f>
        <v>3587580.785045</v>
      </c>
      <c r="G160" s="200" t="e">
        <f aca="false">IF($A161="","",VLOOKUP($A160,Table,MATCH(G$4,Curves,0)))</f>
        <v>#N/A</v>
      </c>
      <c r="H160" s="201" t="e">
        <f aca="false">IF(A161="","",G160)</f>
        <v>#N/A</v>
      </c>
      <c r="I160" s="202"/>
      <c r="J160" s="200" t="e">
        <f aca="false">IF($A161="","",VLOOKUP($A160,Table,MATCH(J$4,Curves,0)))</f>
        <v>#N/A</v>
      </c>
      <c r="K160" s="201" t="e">
        <f aca="false">IF(A161="","",J160)</f>
        <v>#N/A</v>
      </c>
      <c r="L160" s="200" t="e">
        <f aca="false">IF($A161="","",VLOOKUP($A160,Table,MATCH(L$4,Curves,0)))</f>
        <v>#N/A</v>
      </c>
      <c r="M160" s="201" t="e">
        <f aca="false">IF(A161="","",L160)</f>
        <v>#N/A</v>
      </c>
      <c r="N160" s="203"/>
      <c r="O160" s="200" t="e">
        <f aca="false">IF(A161="","",L160+J160+G160)</f>
        <v>#N/A</v>
      </c>
      <c r="P160" s="200" t="e">
        <f aca="false">IF(A161="","",M160+K160+H160)</f>
        <v>#N/A</v>
      </c>
      <c r="Q160" s="204"/>
      <c r="R160" s="200" t="e">
        <f aca="false">IF($A161="","",VLOOKUP($A160,Table,MATCH(R$4,Curves,0)))</f>
        <v>#N/A</v>
      </c>
      <c r="S160" s="201" t="e">
        <f aca="false">IF(A161="","",R160)</f>
        <v>#N/A</v>
      </c>
      <c r="T160" s="200" t="e">
        <f aca="false">IF($A161="","",VLOOKUP($A160,Table,MATCH(T$4,Curves,0)))</f>
        <v>#N/A</v>
      </c>
      <c r="U160" s="201" t="e">
        <f aca="false">IF(A161="","",T160)</f>
        <v>#N/A</v>
      </c>
      <c r="V160" s="225" t="e">
        <f aca="false">IF($A161="","",IF(AND(MONTH(A160)&gt;3,MONTH(A160)&lt;11),(T160+R160+G160)*(((1/(1-Summary!$T$12))/(1-Summary!$W$12))-1),(T160+R160+G160)*((1/(1-Summary!$U$12))/(1-Summary!$X$12)-1)))</f>
        <v>#N/A</v>
      </c>
      <c r="W160" s="200" t="e">
        <f aca="false">IF($A161="","",(T160+R160+G160+V160))</f>
        <v>#N/A</v>
      </c>
      <c r="X160" s="200" t="e">
        <f aca="false">IF($A161="","",(U160+S160+H160+V160))</f>
        <v>#N/A</v>
      </c>
      <c r="Y160" s="202"/>
      <c r="Z160" s="185" t="e">
        <f aca="false">IF($A161="","",VLOOKUP($A160,Table,MATCH(Z$4,Curves,0)))</f>
        <v>#N/A</v>
      </c>
      <c r="AA160" s="185" t="e">
        <f aca="false">IF($A161="","",VLOOKUP($A160,Table,MATCH(AA$4,Curves,0)))</f>
        <v>#N/A</v>
      </c>
      <c r="AB160" s="185" t="e">
        <f aca="false">SQRT((AA160^2*(A160-$D$3)+Z160^2*(DAY(EOMONTH(A160,0))/2))/AK160)</f>
        <v>#N/A</v>
      </c>
      <c r="AC160" s="185" t="e">
        <f aca="false">IF($A161="","",VLOOKUP($A160,Table,MATCH(AC$4,Curves,0)))</f>
        <v>#N/A</v>
      </c>
      <c r="AD160" s="185" t="e">
        <f aca="false">IF($A161="","",VLOOKUP($A160,Table,MATCH(AD$4,Curves,0)))</f>
        <v>#N/A</v>
      </c>
      <c r="AE160" s="185" t="e">
        <f aca="false">SQRT((AD160^2*(A160-$D$3)+AC160^2*(DAY(EOMONTH(A160,0))/2))/AK160)</f>
        <v>#N/A</v>
      </c>
      <c r="AF160" s="206" t="e">
        <f aca="false">((Summary!$N$12*(AA160*AD160)*(A160-$D$3))+(Summary!$M$12*Z160*AC160*(AJ160-EOMONTH(EDATE(A160,-1),0))))/(AK160*AB160*AE160)</f>
        <v>#N/A</v>
      </c>
      <c r="AG160" s="207" t="n">
        <f aca="false">IF($A161="","",Summary!$Q$12)</f>
        <v>0</v>
      </c>
      <c r="AH160" s="207" t="n">
        <f aca="false">IF($A161="","",IF(Summary!$R$12="Y",(VLOOKUP($A160,Summary!$AD$6:$AF$9,3)+'Escalating commodity'!H173),'Escalating commodity'!H173))</f>
        <v>0.029</v>
      </c>
      <c r="AI160" s="207" t="n">
        <f aca="false">IF($A161="","",AH160)</f>
        <v>0.029</v>
      </c>
      <c r="AJ160" s="208" t="n">
        <f aca="false">A160+DAY(EOMONTH(A160,0))/2-1</f>
        <v>41623.5</v>
      </c>
      <c r="AK160" s="209" t="n">
        <f aca="false">IF($A161="","",$A160-$E$1)</f>
        <v>-4317</v>
      </c>
      <c r="AL160" s="182" t="e">
        <f aca="false">IF($A161="","",SPRDOPT(P160,X160,AI160,0,AB160,AE160,AF160,AK160,$AJ$2,0))</f>
        <v>#NAME?</v>
      </c>
      <c r="AM160" s="211" t="e">
        <f aca="false">IF($A161="","",MAX(0,O160-W160-AI160))</f>
        <v>#N/A</v>
      </c>
      <c r="AN160" s="211" t="e">
        <f aca="false">IF($A161="","",AL160-AM160)</f>
        <v>#N/A</v>
      </c>
      <c r="AO160" s="137" t="n">
        <f aca="false">IF(A161="","",A161-A160)</f>
        <v>31</v>
      </c>
      <c r="AP160" s="212" t="n">
        <f aca="false">IF(A161="","",CHOOSE(F$3,A161+24,A160))</f>
        <v>41609</v>
      </c>
      <c r="AQ160" s="209" t="n">
        <f aca="false">IF(A161="","",AP160-$E$1)</f>
        <v>-4317</v>
      </c>
      <c r="AR160" s="185" t="n">
        <f aca="false">'ANR OK vs ML7'!AR160</f>
        <v>0.1</v>
      </c>
      <c r="AS160" s="213" t="n">
        <f aca="false">IF(A161="","",1/(1+CHOOSE(F$3,(AR161+($I$3/10000))/2,(AR160+($I$3/10000))/2))^(2*AQ160/365.25))</f>
        <v>3.16873151582077</v>
      </c>
      <c r="AT160" s="137" t="n">
        <f aca="false">IF(A161="","",IF(AND(mthbeg&lt;=A160,mthend&gt;=A160),1,0))</f>
        <v>1</v>
      </c>
      <c r="AU160" s="137" t="n">
        <f aca="false">IF(A161="","",AO160*AT160)</f>
        <v>31</v>
      </c>
      <c r="AW160" s="195" t="e">
        <f aca="false">IF($A161="","",AL160*$E160)</f>
        <v>#NAME?</v>
      </c>
      <c r="AX160" s="195" t="e">
        <f aca="false">IF($A161="","",AM160*$E160)</f>
        <v>#N/A</v>
      </c>
      <c r="AY160" s="195" t="e">
        <f aca="false">IF($A161="","",AN160*$E160)</f>
        <v>#N/A</v>
      </c>
      <c r="BA160" s="195" t="n">
        <f aca="false">IF($A161="","",F160*Summary!$Q$12)</f>
        <v>0</v>
      </c>
      <c r="BC160" s="179" t="e">
        <f aca="false">IF(A161="","",AM160*F160)</f>
        <v>#N/A</v>
      </c>
    </row>
    <row r="161" customFormat="false" ht="12.75" hidden="false" customHeight="false" outlineLevel="0" collapsed="false">
      <c r="A161" s="196" t="n">
        <f aca="false">IF(A160&lt;mthend,EDATE(A160,1),"")</f>
        <v>41640</v>
      </c>
      <c r="B161" s="197" t="n">
        <f aca="false">IF(A161&lt;mthend,B160,"")</f>
        <v>36522</v>
      </c>
      <c r="C161" s="215"/>
      <c r="D161" s="197" t="n">
        <f aca="false">IF(A162&lt;&gt;"",B161+C161,"")</f>
        <v>36522</v>
      </c>
      <c r="E161" s="199" t="n">
        <f aca="false">IF(A162="","",IF(AND(AT161=1,$H$3=1),D161*AO161,IF($H$3=2,D161,"N/A")))</f>
        <v>1132182</v>
      </c>
      <c r="F161" s="199" t="n">
        <f aca="false">IF(A162="","",E161*AS161)</f>
        <v>3557991.24137723</v>
      </c>
      <c r="G161" s="200" t="e">
        <f aca="false">IF($A162="","",VLOOKUP($A161,Table,MATCH(G$4,Curves,0)))</f>
        <v>#N/A</v>
      </c>
      <c r="H161" s="201" t="e">
        <f aca="false">IF(A162="","",G161)</f>
        <v>#N/A</v>
      </c>
      <c r="I161" s="202"/>
      <c r="J161" s="200" t="e">
        <f aca="false">IF($A162="","",VLOOKUP($A161,Table,MATCH(J$4,Curves,0)))</f>
        <v>#N/A</v>
      </c>
      <c r="K161" s="201" t="e">
        <f aca="false">IF(A162="","",J161)</f>
        <v>#N/A</v>
      </c>
      <c r="L161" s="200" t="e">
        <f aca="false">IF($A162="","",VLOOKUP($A161,Table,MATCH(L$4,Curves,0)))</f>
        <v>#N/A</v>
      </c>
      <c r="M161" s="201" t="e">
        <f aca="false">IF(A162="","",L161)</f>
        <v>#N/A</v>
      </c>
      <c r="N161" s="203"/>
      <c r="O161" s="200" t="e">
        <f aca="false">IF(A162="","",L161+J161+G161)</f>
        <v>#N/A</v>
      </c>
      <c r="P161" s="200" t="e">
        <f aca="false">IF(A162="","",M161+K161+H161)</f>
        <v>#N/A</v>
      </c>
      <c r="Q161" s="204"/>
      <c r="R161" s="200" t="e">
        <f aca="false">IF($A162="","",VLOOKUP($A161,Table,MATCH(R$4,Curves,0)))</f>
        <v>#N/A</v>
      </c>
      <c r="S161" s="201" t="e">
        <f aca="false">IF(A162="","",R161)</f>
        <v>#N/A</v>
      </c>
      <c r="T161" s="200" t="e">
        <f aca="false">IF($A162="","",VLOOKUP($A161,Table,MATCH(T$4,Curves,0)))</f>
        <v>#N/A</v>
      </c>
      <c r="U161" s="201" t="e">
        <f aca="false">IF(A162="","",T161)</f>
        <v>#N/A</v>
      </c>
      <c r="V161" s="225" t="e">
        <f aca="false">IF($A162="","",IF(AND(MONTH(A161)&gt;3,MONTH(A161)&lt;11),(T161+R161+G161)*(((1/(1-Summary!$T$12))/(1-Summary!$W$12))-1),(T161+R161+G161)*((1/(1-Summary!$U$12))/(1-Summary!$X$12)-1)))</f>
        <v>#N/A</v>
      </c>
      <c r="W161" s="200" t="e">
        <f aca="false">IF($A162="","",(T161+R161+G161+V161))</f>
        <v>#N/A</v>
      </c>
      <c r="X161" s="200" t="e">
        <f aca="false">IF($A162="","",(U161+S161+H161+V161))</f>
        <v>#N/A</v>
      </c>
      <c r="Y161" s="202"/>
      <c r="Z161" s="185" t="e">
        <f aca="false">IF($A162="","",VLOOKUP($A161,Table,MATCH(Z$4,Curves,0)))</f>
        <v>#N/A</v>
      </c>
      <c r="AA161" s="185" t="e">
        <f aca="false">IF($A162="","",VLOOKUP($A161,Table,MATCH(AA$4,Curves,0)))</f>
        <v>#N/A</v>
      </c>
      <c r="AB161" s="185" t="e">
        <f aca="false">SQRT((AA161^2*(A161-$D$3)+Z161^2*(DAY(EOMONTH(A161,0))/2))/AK161)</f>
        <v>#N/A</v>
      </c>
      <c r="AC161" s="185" t="e">
        <f aca="false">IF($A162="","",VLOOKUP($A161,Table,MATCH(AC$4,Curves,0)))</f>
        <v>#N/A</v>
      </c>
      <c r="AD161" s="185" t="e">
        <f aca="false">IF($A162="","",VLOOKUP($A161,Table,MATCH(AD$4,Curves,0)))</f>
        <v>#N/A</v>
      </c>
      <c r="AE161" s="185" t="e">
        <f aca="false">SQRT((AD161^2*(A161-$D$3)+AC161^2*(DAY(EOMONTH(A161,0))/2))/AK161)</f>
        <v>#N/A</v>
      </c>
      <c r="AF161" s="206" t="e">
        <f aca="false">((Summary!$N$12*(AA161*AD161)*(A161-$D$3))+(Summary!$M$12*Z161*AC161*(AJ161-EOMONTH(EDATE(A161,-1),0))))/(AK161*AB161*AE161)</f>
        <v>#N/A</v>
      </c>
      <c r="AG161" s="207" t="n">
        <f aca="false">IF($A162="","",Summary!$Q$12)</f>
        <v>0</v>
      </c>
      <c r="AH161" s="207" t="n">
        <f aca="false">IF($A162="","",IF(Summary!$R$12="Y",(VLOOKUP($A161,Summary!$AD$6:$AF$9,3)+'Escalating commodity'!H174),'Escalating commodity'!H174))</f>
        <v>0.029</v>
      </c>
      <c r="AI161" s="207" t="n">
        <f aca="false">IF($A162="","",AH161)</f>
        <v>0.029</v>
      </c>
      <c r="AJ161" s="208" t="n">
        <f aca="false">A161+DAY(EOMONTH(A161,0))/2-1</f>
        <v>41654.5</v>
      </c>
      <c r="AK161" s="209" t="n">
        <f aca="false">IF($A162="","",$A161-$E$1)</f>
        <v>-4286</v>
      </c>
      <c r="AL161" s="182" t="e">
        <f aca="false">IF($A162="","",SPRDOPT(P161,X161,AI161,0,AB161,AE161,AF161,AK161,$AJ$2,0))</f>
        <v>#NAME?</v>
      </c>
      <c r="AM161" s="211" t="e">
        <f aca="false">IF($A162="","",MAX(0,O161-W161-AI161))</f>
        <v>#N/A</v>
      </c>
      <c r="AN161" s="211" t="e">
        <f aca="false">IF($A162="","",AL161-AM161)</f>
        <v>#N/A</v>
      </c>
      <c r="AO161" s="137" t="n">
        <f aca="false">IF(A162="","",A162-A161)</f>
        <v>31</v>
      </c>
      <c r="AP161" s="212" t="n">
        <f aca="false">IF(A162="","",CHOOSE(F$3,A162+24,A161))</f>
        <v>41640</v>
      </c>
      <c r="AQ161" s="209" t="n">
        <f aca="false">IF(A162="","",AP161-$E$1)</f>
        <v>-4286</v>
      </c>
      <c r="AR161" s="185" t="n">
        <f aca="false">'ANR OK vs ML7'!AR161</f>
        <v>0.1</v>
      </c>
      <c r="AS161" s="213" t="n">
        <f aca="false">IF(A162="","",1/(1+CHOOSE(F$3,(AR162+($I$3/10000))/2,(AR161+($I$3/10000))/2))^(2*AQ161/365.25))</f>
        <v>3.14259654488168</v>
      </c>
      <c r="AT161" s="137" t="n">
        <f aca="false">IF(A162="","",IF(AND(mthbeg&lt;=A161,mthend&gt;=A161),1,0))</f>
        <v>1</v>
      </c>
      <c r="AU161" s="137" t="n">
        <f aca="false">IF(A162="","",AO161*AT161)</f>
        <v>31</v>
      </c>
      <c r="AW161" s="195" t="e">
        <f aca="false">IF($A162="","",AL161*$E161)</f>
        <v>#NAME?</v>
      </c>
      <c r="AX161" s="195" t="e">
        <f aca="false">IF($A162="","",AM161*$E161)</f>
        <v>#N/A</v>
      </c>
      <c r="AY161" s="195" t="e">
        <f aca="false">IF($A162="","",AN161*$E161)</f>
        <v>#N/A</v>
      </c>
      <c r="BA161" s="195" t="n">
        <f aca="false">IF($A162="","",F161*Summary!$Q$12)</f>
        <v>0</v>
      </c>
      <c r="BC161" s="179" t="e">
        <f aca="false">IF(A162="","",AM161*F161)</f>
        <v>#N/A</v>
      </c>
    </row>
    <row r="162" customFormat="false" ht="12.75" hidden="false" customHeight="false" outlineLevel="0" collapsed="false">
      <c r="A162" s="196" t="n">
        <f aca="false">IF(A161&lt;mthend,EDATE(A161,1),"")</f>
        <v>41671</v>
      </c>
      <c r="B162" s="197" t="n">
        <f aca="false">IF(A162&lt;mthend,B161,"")</f>
        <v>36522</v>
      </c>
      <c r="C162" s="215"/>
      <c r="D162" s="197" t="n">
        <f aca="false">IF(A163&lt;&gt;"",B162+C162,"")</f>
        <v>36522</v>
      </c>
      <c r="E162" s="199" t="n">
        <f aca="false">IF(A163="","",IF(AND(AT162=1,$H$3=1),D162*AO162,IF($H$3=2,D162,"N/A")))</f>
        <v>1022616</v>
      </c>
      <c r="F162" s="199" t="n">
        <f aca="false">IF(A163="","",E162*AS162)</f>
        <v>3187163.89914379</v>
      </c>
      <c r="G162" s="200" t="e">
        <f aca="false">IF($A163="","",VLOOKUP($A162,Table,MATCH(G$4,Curves,0)))</f>
        <v>#N/A</v>
      </c>
      <c r="H162" s="201" t="e">
        <f aca="false">IF(A163="","",G162)</f>
        <v>#N/A</v>
      </c>
      <c r="I162" s="202"/>
      <c r="J162" s="200" t="e">
        <f aca="false">IF($A163="","",VLOOKUP($A162,Table,MATCH(J$4,Curves,0)))</f>
        <v>#N/A</v>
      </c>
      <c r="K162" s="201" t="e">
        <f aca="false">IF(A163="","",J162)</f>
        <v>#N/A</v>
      </c>
      <c r="L162" s="200" t="e">
        <f aca="false">IF($A163="","",VLOOKUP($A162,Table,MATCH(L$4,Curves,0)))</f>
        <v>#N/A</v>
      </c>
      <c r="M162" s="201" t="e">
        <f aca="false">IF(A163="","",L162)</f>
        <v>#N/A</v>
      </c>
      <c r="N162" s="203"/>
      <c r="O162" s="200" t="e">
        <f aca="false">IF(A163="","",L162+J162+G162)</f>
        <v>#N/A</v>
      </c>
      <c r="P162" s="200" t="e">
        <f aca="false">IF(A163="","",M162+K162+H162)</f>
        <v>#N/A</v>
      </c>
      <c r="Q162" s="204"/>
      <c r="R162" s="200" t="e">
        <f aca="false">IF($A163="","",VLOOKUP($A162,Table,MATCH(R$4,Curves,0)))</f>
        <v>#N/A</v>
      </c>
      <c r="S162" s="201" t="e">
        <f aca="false">IF(A163="","",R162)</f>
        <v>#N/A</v>
      </c>
      <c r="T162" s="200" t="e">
        <f aca="false">IF($A163="","",VLOOKUP($A162,Table,MATCH(T$4,Curves,0)))</f>
        <v>#N/A</v>
      </c>
      <c r="U162" s="201" t="e">
        <f aca="false">IF(A163="","",T162)</f>
        <v>#N/A</v>
      </c>
      <c r="V162" s="225" t="e">
        <f aca="false">IF($A163="","",IF(AND(MONTH(A162)&gt;3,MONTH(A162)&lt;11),(T162+R162+G162)*(((1/(1-Summary!$T$12))/(1-Summary!$W$12))-1),(T162+R162+G162)*((1/(1-Summary!$U$12))/(1-Summary!$X$12)-1)))</f>
        <v>#N/A</v>
      </c>
      <c r="W162" s="200" t="e">
        <f aca="false">IF($A163="","",(T162+R162+G162+V162))</f>
        <v>#N/A</v>
      </c>
      <c r="X162" s="200" t="e">
        <f aca="false">IF($A163="","",(U162+S162+H162+V162))</f>
        <v>#N/A</v>
      </c>
      <c r="Y162" s="202"/>
      <c r="Z162" s="185" t="e">
        <f aca="false">IF($A163="","",VLOOKUP($A162,Table,MATCH(Z$4,Curves,0)))</f>
        <v>#N/A</v>
      </c>
      <c r="AA162" s="185" t="e">
        <f aca="false">IF($A163="","",VLOOKUP($A162,Table,MATCH(AA$4,Curves,0)))</f>
        <v>#N/A</v>
      </c>
      <c r="AB162" s="185" t="e">
        <f aca="false">SQRT((AA162^2*(A162-$D$3)+Z162^2*(DAY(EOMONTH(A162,0))/2))/AK162)</f>
        <v>#N/A</v>
      </c>
      <c r="AC162" s="185" t="e">
        <f aca="false">IF($A163="","",VLOOKUP($A162,Table,MATCH(AC$4,Curves,0)))</f>
        <v>#N/A</v>
      </c>
      <c r="AD162" s="185" t="e">
        <f aca="false">IF($A163="","",VLOOKUP($A162,Table,MATCH(AD$4,Curves,0)))</f>
        <v>#N/A</v>
      </c>
      <c r="AE162" s="185" t="e">
        <f aca="false">SQRT((AD162^2*(A162-$D$3)+AC162^2*(DAY(EOMONTH(A162,0))/2))/AK162)</f>
        <v>#N/A</v>
      </c>
      <c r="AF162" s="206" t="e">
        <f aca="false">((Summary!$N$12*(AA162*AD162)*(A162-$D$3))+(Summary!$M$12*Z162*AC162*(AJ162-EOMONTH(EDATE(A162,-1),0))))/(AK162*AB162*AE162)</f>
        <v>#N/A</v>
      </c>
      <c r="AG162" s="207" t="n">
        <f aca="false">IF($A163="","",Summary!$Q$12)</f>
        <v>0</v>
      </c>
      <c r="AH162" s="207" t="n">
        <f aca="false">IF($A163="","",IF(Summary!$R$12="Y",(VLOOKUP($A162,Summary!$AD$6:$AF$9,3)+'Escalating commodity'!H175),'Escalating commodity'!H175))</f>
        <v>0.029</v>
      </c>
      <c r="AI162" s="207" t="n">
        <f aca="false">IF($A163="","",AH162)</f>
        <v>0.029</v>
      </c>
      <c r="AJ162" s="208" t="n">
        <f aca="false">A162+DAY(EOMONTH(A162,0))/2-1</f>
        <v>41684</v>
      </c>
      <c r="AK162" s="209" t="n">
        <f aca="false">IF($A163="","",$A162-$E$1)</f>
        <v>-4255</v>
      </c>
      <c r="AL162" s="182" t="e">
        <f aca="false">IF($A163="","",SPRDOPT(P162,X162,AI162,0,AB162,AE162,AF162,AK162,$AJ$2,0))</f>
        <v>#NAME?</v>
      </c>
      <c r="AM162" s="211" t="e">
        <f aca="false">IF($A163="","",MAX(0,O162-W162-AI162))</f>
        <v>#N/A</v>
      </c>
      <c r="AN162" s="211" t="e">
        <f aca="false">IF($A163="","",AL162-AM162)</f>
        <v>#N/A</v>
      </c>
      <c r="AO162" s="137" t="n">
        <f aca="false">IF(A163="","",A163-A162)</f>
        <v>28</v>
      </c>
      <c r="AP162" s="212" t="n">
        <f aca="false">IF(A163="","",CHOOSE(F$3,A163+24,A162))</f>
        <v>41671</v>
      </c>
      <c r="AQ162" s="209" t="n">
        <f aca="false">IF(A163="","",AP162-$E$1)</f>
        <v>-4255</v>
      </c>
      <c r="AR162" s="185" t="n">
        <f aca="false">'ANR OK vs ML7'!AR162</f>
        <v>0.1</v>
      </c>
      <c r="AS162" s="213" t="n">
        <f aca="false">IF(A163="","",1/(1+CHOOSE(F$3,(AR163+($I$3/10000))/2,(AR162+($I$3/10000))/2))^(2*AQ162/365.25))</f>
        <v>3.11667712919003</v>
      </c>
      <c r="AT162" s="137" t="n">
        <f aca="false">IF(A163="","",IF(AND(mthbeg&lt;=A162,mthend&gt;=A162),1,0))</f>
        <v>1</v>
      </c>
      <c r="AU162" s="137" t="n">
        <f aca="false">IF(A163="","",AO162*AT162)</f>
        <v>28</v>
      </c>
      <c r="AW162" s="195" t="e">
        <f aca="false">IF($A163="","",AL162*$E162)</f>
        <v>#NAME?</v>
      </c>
      <c r="AX162" s="195" t="e">
        <f aca="false">IF($A163="","",AM162*$E162)</f>
        <v>#N/A</v>
      </c>
      <c r="AY162" s="195" t="e">
        <f aca="false">IF($A163="","",AN162*$E162)</f>
        <v>#N/A</v>
      </c>
      <c r="BA162" s="195" t="n">
        <f aca="false">IF($A163="","",F162*Summary!$Q$12)</f>
        <v>0</v>
      </c>
      <c r="BC162" s="179" t="e">
        <f aca="false">IF(A163="","",AM162*F162)</f>
        <v>#N/A</v>
      </c>
    </row>
    <row r="163" customFormat="false" ht="12.75" hidden="false" customHeight="false" outlineLevel="0" collapsed="false">
      <c r="A163" s="196" t="n">
        <f aca="false">IF(A162&lt;mthend,EDATE(A162,1),"")</f>
        <v>41699</v>
      </c>
      <c r="B163" s="197" t="n">
        <f aca="false">IF(A163&lt;mthend,B162,"")</f>
        <v>36522</v>
      </c>
      <c r="C163" s="215"/>
      <c r="D163" s="197" t="n">
        <f aca="false">IF(A164&lt;&gt;"",B163+C163,"")</f>
        <v>36522</v>
      </c>
      <c r="E163" s="199" t="n">
        <f aca="false">IF(A164="","",IF(AND(AT163=1,$H$3=1),D163*AO163,IF($H$3=2,D163,"N/A")))</f>
        <v>1132182</v>
      </c>
      <c r="F163" s="199" t="n">
        <f aca="false">IF(A164="","",E163*AS163)</f>
        <v>3502348.22593605</v>
      </c>
      <c r="G163" s="200" t="e">
        <f aca="false">IF($A164="","",VLOOKUP($A163,Table,MATCH(G$4,Curves,0)))</f>
        <v>#N/A</v>
      </c>
      <c r="H163" s="201" t="e">
        <f aca="false">IF(A164="","",G163)</f>
        <v>#N/A</v>
      </c>
      <c r="I163" s="202"/>
      <c r="J163" s="200" t="e">
        <f aca="false">IF($A164="","",VLOOKUP($A163,Table,MATCH(J$4,Curves,0)))</f>
        <v>#N/A</v>
      </c>
      <c r="K163" s="201" t="e">
        <f aca="false">IF(A164="","",J163)</f>
        <v>#N/A</v>
      </c>
      <c r="L163" s="200" t="e">
        <f aca="false">IF($A164="","",VLOOKUP($A163,Table,MATCH(L$4,Curves,0)))</f>
        <v>#N/A</v>
      </c>
      <c r="M163" s="201" t="e">
        <f aca="false">IF(A164="","",L163)</f>
        <v>#N/A</v>
      </c>
      <c r="N163" s="203"/>
      <c r="O163" s="200" t="e">
        <f aca="false">IF(A164="","",L163+J163+G163)</f>
        <v>#N/A</v>
      </c>
      <c r="P163" s="200" t="e">
        <f aca="false">IF(A164="","",M163+K163+H163)</f>
        <v>#N/A</v>
      </c>
      <c r="Q163" s="204"/>
      <c r="R163" s="200" t="e">
        <f aca="false">IF($A164="","",VLOOKUP($A163,Table,MATCH(R$4,Curves,0)))</f>
        <v>#N/A</v>
      </c>
      <c r="S163" s="201" t="e">
        <f aca="false">IF(A164="","",R163)</f>
        <v>#N/A</v>
      </c>
      <c r="T163" s="200" t="e">
        <f aca="false">IF($A164="","",VLOOKUP($A163,Table,MATCH(T$4,Curves,0)))</f>
        <v>#N/A</v>
      </c>
      <c r="U163" s="201" t="e">
        <f aca="false">IF(A164="","",T163)</f>
        <v>#N/A</v>
      </c>
      <c r="V163" s="225" t="e">
        <f aca="false">IF($A164="","",IF(AND(MONTH(A163)&gt;3,MONTH(A163)&lt;11),(T163+R163+G163)*(((1/(1-Summary!$T$12))/(1-Summary!$W$12))-1),(T163+R163+G163)*((1/(1-Summary!$U$12))/(1-Summary!$X$12)-1)))</f>
        <v>#N/A</v>
      </c>
      <c r="W163" s="200" t="e">
        <f aca="false">IF($A164="","",(T163+R163+G163+V163))</f>
        <v>#N/A</v>
      </c>
      <c r="X163" s="200" t="e">
        <f aca="false">IF($A164="","",(U163+S163+H163+V163))</f>
        <v>#N/A</v>
      </c>
      <c r="Y163" s="202"/>
      <c r="Z163" s="185" t="e">
        <f aca="false">IF($A164="","",VLOOKUP($A163,Table,MATCH(Z$4,Curves,0)))</f>
        <v>#N/A</v>
      </c>
      <c r="AA163" s="185" t="e">
        <f aca="false">IF($A164="","",VLOOKUP($A163,Table,MATCH(AA$4,Curves,0)))</f>
        <v>#N/A</v>
      </c>
      <c r="AB163" s="185" t="e">
        <f aca="false">SQRT((AA163^2*(A163-$D$3)+Z163^2*(DAY(EOMONTH(A163,0))/2))/AK163)</f>
        <v>#N/A</v>
      </c>
      <c r="AC163" s="185" t="e">
        <f aca="false">IF($A164="","",VLOOKUP($A163,Table,MATCH(AC$4,Curves,0)))</f>
        <v>#N/A</v>
      </c>
      <c r="AD163" s="185" t="e">
        <f aca="false">IF($A164="","",VLOOKUP($A163,Table,MATCH(AD$4,Curves,0)))</f>
        <v>#N/A</v>
      </c>
      <c r="AE163" s="185" t="e">
        <f aca="false">SQRT((AD163^2*(A163-$D$3)+AC163^2*(DAY(EOMONTH(A163,0))/2))/AK163)</f>
        <v>#N/A</v>
      </c>
      <c r="AF163" s="206" t="e">
        <f aca="false">((Summary!$N$12*(AA163*AD163)*(A163-$D$3))+(Summary!$M$12*Z163*AC163*(AJ163-EOMONTH(EDATE(A163,-1),0))))/(AK163*AB163*AE163)</f>
        <v>#N/A</v>
      </c>
      <c r="AG163" s="207" t="n">
        <f aca="false">IF($A164="","",Summary!$Q$12)</f>
        <v>0</v>
      </c>
      <c r="AH163" s="207" t="n">
        <f aca="false">IF($A164="","",IF(Summary!$R$12="Y",(VLOOKUP($A163,Summary!$AD$6:$AF$9,3)+'Escalating commodity'!H176),'Escalating commodity'!H176))</f>
        <v>0.029</v>
      </c>
      <c r="AI163" s="207" t="n">
        <f aca="false">IF($A164="","",AH163)</f>
        <v>0.029</v>
      </c>
      <c r="AJ163" s="208" t="n">
        <f aca="false">A163+DAY(EOMONTH(A163,0))/2-1</f>
        <v>41713.5</v>
      </c>
      <c r="AK163" s="209" t="n">
        <f aca="false">IF($A164="","",$A163-$E$1)</f>
        <v>-4227</v>
      </c>
      <c r="AL163" s="182" t="e">
        <f aca="false">IF($A164="","",SPRDOPT(P163,X163,AI163,0,AB163,AE163,AF163,AK163,$AJ$2,0))</f>
        <v>#NAME?</v>
      </c>
      <c r="AM163" s="211" t="e">
        <f aca="false">IF($A164="","",MAX(0,O163-W163-AI163))</f>
        <v>#N/A</v>
      </c>
      <c r="AN163" s="211" t="e">
        <f aca="false">IF($A164="","",AL163-AM163)</f>
        <v>#N/A</v>
      </c>
      <c r="AO163" s="137" t="n">
        <f aca="false">IF(A164="","",A164-A163)</f>
        <v>31</v>
      </c>
      <c r="AP163" s="212" t="n">
        <f aca="false">IF(A164="","",CHOOSE(F$3,A164+24,A163))</f>
        <v>41699</v>
      </c>
      <c r="AQ163" s="209" t="n">
        <f aca="false">IF(A164="","",AP163-$E$1)</f>
        <v>-4227</v>
      </c>
      <c r="AR163" s="185" t="n">
        <f aca="false">'ANR OK vs ML7'!AR163</f>
        <v>0.1</v>
      </c>
      <c r="AS163" s="213" t="n">
        <f aca="false">IF(A164="","",1/(1+CHOOSE(F$3,(AR164+($I$3/10000))/2,(AR163+($I$3/10000))/2))^(2*AQ163/365.25))</f>
        <v>3.0934498392803</v>
      </c>
      <c r="AT163" s="137" t="n">
        <f aca="false">IF(A164="","",IF(AND(mthbeg&lt;=A163,mthend&gt;=A163),1,0))</f>
        <v>1</v>
      </c>
      <c r="AU163" s="137" t="n">
        <f aca="false">IF(A164="","",AO163*AT163)</f>
        <v>31</v>
      </c>
      <c r="AW163" s="195" t="e">
        <f aca="false">IF($A164="","",AL163*$E163)</f>
        <v>#NAME?</v>
      </c>
      <c r="AX163" s="195" t="e">
        <f aca="false">IF($A164="","",AM163*$E163)</f>
        <v>#N/A</v>
      </c>
      <c r="AY163" s="195" t="e">
        <f aca="false">IF($A164="","",AN163*$E163)</f>
        <v>#N/A</v>
      </c>
      <c r="BA163" s="195" t="n">
        <f aca="false">IF($A164="","",F163*Summary!$Q$12)</f>
        <v>0</v>
      </c>
      <c r="BC163" s="179" t="e">
        <f aca="false">IF(A164="","",AM163*F163)</f>
        <v>#N/A</v>
      </c>
    </row>
    <row r="164" customFormat="false" ht="12.75" hidden="false" customHeight="false" outlineLevel="0" collapsed="false">
      <c r="A164" s="196" t="n">
        <f aca="false">IF(A163&lt;mthend,EDATE(A163,1),"")</f>
        <v>41730</v>
      </c>
      <c r="B164" s="197" t="n">
        <f aca="false">IF(A164&lt;mthend,B163,"")</f>
        <v>36522</v>
      </c>
      <c r="C164" s="215"/>
      <c r="D164" s="197" t="n">
        <f aca="false">IF(A165&lt;&gt;"",B164+C164,"")</f>
        <v>36522</v>
      </c>
      <c r="E164" s="199" t="n">
        <f aca="false">IF(A165="","",IF(AND(AT164=1,$H$3=1),D164*AO164,IF($H$3=2,D164,"N/A")))</f>
        <v>1095660</v>
      </c>
      <c r="F164" s="199" t="n">
        <f aca="false">IF(A165="","",E164*AS164)</f>
        <v>3361414.51052093</v>
      </c>
      <c r="G164" s="200" t="e">
        <f aca="false">IF($A165="","",VLOOKUP($A164,Table,MATCH(G$4,Curves,0)))</f>
        <v>#N/A</v>
      </c>
      <c r="H164" s="201" t="e">
        <f aca="false">IF(A165="","",G164)</f>
        <v>#N/A</v>
      </c>
      <c r="I164" s="202"/>
      <c r="J164" s="200" t="e">
        <f aca="false">IF($A165="","",VLOOKUP($A164,Table,MATCH(J$4,Curves,0)))</f>
        <v>#N/A</v>
      </c>
      <c r="K164" s="201" t="e">
        <f aca="false">IF(A165="","",J164)</f>
        <v>#N/A</v>
      </c>
      <c r="L164" s="200" t="e">
        <f aca="false">IF($A165="","",VLOOKUP($A164,Table,MATCH(L$4,Curves,0)))</f>
        <v>#N/A</v>
      </c>
      <c r="M164" s="201" t="e">
        <f aca="false">IF(A165="","",L164)</f>
        <v>#N/A</v>
      </c>
      <c r="N164" s="203"/>
      <c r="O164" s="200" t="e">
        <f aca="false">IF(A165="","",L164+J164+G164)</f>
        <v>#N/A</v>
      </c>
      <c r="P164" s="200" t="e">
        <f aca="false">IF(A165="","",M164+K164+H164)</f>
        <v>#N/A</v>
      </c>
      <c r="Q164" s="204"/>
      <c r="R164" s="200" t="e">
        <f aca="false">IF($A165="","",VLOOKUP($A164,Table,MATCH(R$4,Curves,0)))</f>
        <v>#N/A</v>
      </c>
      <c r="S164" s="201" t="e">
        <f aca="false">IF(A165="","",R164)</f>
        <v>#N/A</v>
      </c>
      <c r="T164" s="200" t="e">
        <f aca="false">IF($A165="","",VLOOKUP($A164,Table,MATCH(T$4,Curves,0)))</f>
        <v>#N/A</v>
      </c>
      <c r="U164" s="201" t="e">
        <f aca="false">IF(A165="","",T164)</f>
        <v>#N/A</v>
      </c>
      <c r="V164" s="225" t="e">
        <f aca="false">IF($A165="","",IF(AND(MONTH(A164)&gt;3,MONTH(A164)&lt;11),(T164+R164+G164)*(((1/(1-Summary!$T$12))/(1-Summary!$W$12))-1),(T164+R164+G164)*((1/(1-Summary!$U$12))/(1-Summary!$X$12)-1)))</f>
        <v>#N/A</v>
      </c>
      <c r="W164" s="200" t="e">
        <f aca="false">IF($A165="","",(T164+R164+G164+V164))</f>
        <v>#N/A</v>
      </c>
      <c r="X164" s="200" t="e">
        <f aca="false">IF($A165="","",(U164+S164+H164+V164))</f>
        <v>#N/A</v>
      </c>
      <c r="Y164" s="202"/>
      <c r="Z164" s="185" t="e">
        <f aca="false">IF($A165="","",VLOOKUP($A164,Table,MATCH(Z$4,Curves,0)))</f>
        <v>#N/A</v>
      </c>
      <c r="AA164" s="185" t="e">
        <f aca="false">IF($A165="","",VLOOKUP($A164,Table,MATCH(AA$4,Curves,0)))</f>
        <v>#N/A</v>
      </c>
      <c r="AB164" s="185" t="e">
        <f aca="false">SQRT((AA164^2*(A164-$D$3)+Z164^2*(DAY(EOMONTH(A164,0))/2))/AK164)</f>
        <v>#N/A</v>
      </c>
      <c r="AC164" s="185" t="e">
        <f aca="false">IF($A165="","",VLOOKUP($A164,Table,MATCH(AC$4,Curves,0)))</f>
        <v>#N/A</v>
      </c>
      <c r="AD164" s="185" t="e">
        <f aca="false">IF($A165="","",VLOOKUP($A164,Table,MATCH(AD$4,Curves,0)))</f>
        <v>#N/A</v>
      </c>
      <c r="AE164" s="185" t="e">
        <f aca="false">SQRT((AD164^2*(A164-$D$3)+AC164^2*(DAY(EOMONTH(A164,0))/2))/AK164)</f>
        <v>#N/A</v>
      </c>
      <c r="AF164" s="206" t="e">
        <f aca="false">((Summary!$N$12*(AA164*AD164)*(A164-$D$3))+(Summary!$M$12*Z164*AC164*(AJ164-EOMONTH(EDATE(A164,-1),0))))/(AK164*AB164*AE164)</f>
        <v>#N/A</v>
      </c>
      <c r="AG164" s="207" t="n">
        <f aca="false">IF($A165="","",Summary!$Q$12)</f>
        <v>0</v>
      </c>
      <c r="AH164" s="207" t="n">
        <f aca="false">IF($A165="","",IF(Summary!$R$12="Y",(VLOOKUP($A164,Summary!$AD$6:$AF$9,3)+'Escalating commodity'!H177),'Escalating commodity'!H177))</f>
        <v>0.029</v>
      </c>
      <c r="AI164" s="207" t="n">
        <f aca="false">IF($A165="","",AH164)</f>
        <v>0.029</v>
      </c>
      <c r="AJ164" s="208" t="n">
        <f aca="false">A164+DAY(EOMONTH(A164,0))/2-1</f>
        <v>41744</v>
      </c>
      <c r="AK164" s="209" t="n">
        <f aca="false">IF($A165="","",$A164-$E$1)</f>
        <v>-4196</v>
      </c>
      <c r="AL164" s="182" t="e">
        <f aca="false">IF($A165="","",SPRDOPT(P164,X164,AI164,0,AB164,AE164,AF164,AK164,$AJ$2,0))</f>
        <v>#NAME?</v>
      </c>
      <c r="AM164" s="211" t="e">
        <f aca="false">IF($A165="","",MAX(0,O164-W164-AI164))</f>
        <v>#N/A</v>
      </c>
      <c r="AN164" s="211" t="e">
        <f aca="false">IF($A165="","",AL164-AM164)</f>
        <v>#N/A</v>
      </c>
      <c r="AO164" s="137" t="n">
        <f aca="false">IF(A165="","",A165-A164)</f>
        <v>30</v>
      </c>
      <c r="AP164" s="212" t="n">
        <f aca="false">IF(A165="","",CHOOSE(F$3,A165+24,A164))</f>
        <v>41730</v>
      </c>
      <c r="AQ164" s="209" t="n">
        <f aca="false">IF(A165="","",AP164-$E$1)</f>
        <v>-4196</v>
      </c>
      <c r="AR164" s="185" t="n">
        <f aca="false">'ANR OK vs ML7'!AR164</f>
        <v>0.1</v>
      </c>
      <c r="AS164" s="213" t="n">
        <f aca="false">IF(A165="","",1/(1+CHOOSE(F$3,(AR165+($I$3/10000))/2,(AR164+($I$3/10000))/2))^(2*AQ164/365.25))</f>
        <v>3.06793577434691</v>
      </c>
      <c r="AT164" s="137" t="n">
        <f aca="false">IF(A165="","",IF(AND(mthbeg&lt;=A164,mthend&gt;=A164),1,0))</f>
        <v>1</v>
      </c>
      <c r="AU164" s="137" t="n">
        <f aca="false">IF(A165="","",AO164*AT164)</f>
        <v>30</v>
      </c>
      <c r="AW164" s="195" t="e">
        <f aca="false">IF($A165="","",AL164*$E164)</f>
        <v>#NAME?</v>
      </c>
      <c r="AX164" s="195" t="e">
        <f aca="false">IF($A165="","",AM164*$E164)</f>
        <v>#N/A</v>
      </c>
      <c r="AY164" s="195" t="e">
        <f aca="false">IF($A165="","",AN164*$E164)</f>
        <v>#N/A</v>
      </c>
      <c r="BA164" s="195" t="n">
        <f aca="false">IF($A165="","",F164*Summary!$Q$12)</f>
        <v>0</v>
      </c>
      <c r="BC164" s="179" t="e">
        <f aca="false">IF(A165="","",AM164*F164)</f>
        <v>#N/A</v>
      </c>
    </row>
    <row r="165" customFormat="false" ht="12.75" hidden="false" customHeight="false" outlineLevel="0" collapsed="false">
      <c r="A165" s="196" t="n">
        <f aca="false">IF(A164&lt;mthend,EDATE(A164,1),"")</f>
        <v>41760</v>
      </c>
      <c r="B165" s="197" t="n">
        <f aca="false">IF(A165&lt;mthend,B164,"")</f>
        <v>36522</v>
      </c>
      <c r="C165" s="215"/>
      <c r="D165" s="197" t="n">
        <f aca="false">IF(A166&lt;&gt;"",B165+C165,"")</f>
        <v>36522</v>
      </c>
      <c r="E165" s="199" t="n">
        <f aca="false">IF(A166="","",IF(AND(AT165=1,$H$3=1),D165*AO165,IF($H$3=2,D165,"N/A")))</f>
        <v>1132182</v>
      </c>
      <c r="F165" s="199" t="n">
        <f aca="false">IF(A166="","",E165*AS165)</f>
        <v>3445733.78615733</v>
      </c>
      <c r="G165" s="200" t="e">
        <f aca="false">IF($A166="","",VLOOKUP($A165,Table,MATCH(G$4,Curves,0)))</f>
        <v>#N/A</v>
      </c>
      <c r="H165" s="201" t="e">
        <f aca="false">IF(A166="","",G165)</f>
        <v>#N/A</v>
      </c>
      <c r="I165" s="202"/>
      <c r="J165" s="200" t="e">
        <f aca="false">IF($A166="","",VLOOKUP($A165,Table,MATCH(J$4,Curves,0)))</f>
        <v>#N/A</v>
      </c>
      <c r="K165" s="201" t="e">
        <f aca="false">IF(A166="","",J165)</f>
        <v>#N/A</v>
      </c>
      <c r="L165" s="200" t="e">
        <f aca="false">IF($A166="","",VLOOKUP($A165,Table,MATCH(L$4,Curves,0)))</f>
        <v>#N/A</v>
      </c>
      <c r="M165" s="201" t="e">
        <f aca="false">IF(A166="","",L165)</f>
        <v>#N/A</v>
      </c>
      <c r="N165" s="203"/>
      <c r="O165" s="200" t="e">
        <f aca="false">IF(A166="","",L165+J165+G165)</f>
        <v>#N/A</v>
      </c>
      <c r="P165" s="200" t="e">
        <f aca="false">IF(A166="","",M165+K165+H165)</f>
        <v>#N/A</v>
      </c>
      <c r="Q165" s="204"/>
      <c r="R165" s="200" t="e">
        <f aca="false">IF($A166="","",VLOOKUP($A165,Table,MATCH(R$4,Curves,0)))</f>
        <v>#N/A</v>
      </c>
      <c r="S165" s="201" t="e">
        <f aca="false">IF(A166="","",R165)</f>
        <v>#N/A</v>
      </c>
      <c r="T165" s="200" t="e">
        <f aca="false">IF($A166="","",VLOOKUP($A165,Table,MATCH(T$4,Curves,0)))</f>
        <v>#N/A</v>
      </c>
      <c r="U165" s="201" t="e">
        <f aca="false">IF(A166="","",T165)</f>
        <v>#N/A</v>
      </c>
      <c r="V165" s="225" t="e">
        <f aca="false">IF($A166="","",IF(AND(MONTH(A165)&gt;3,MONTH(A165)&lt;11),(T165+R165+G165)*(((1/(1-Summary!$T$12))/(1-Summary!$W$12))-1),(T165+R165+G165)*((1/(1-Summary!$U$12))/(1-Summary!$X$12)-1)))</f>
        <v>#N/A</v>
      </c>
      <c r="W165" s="200" t="e">
        <f aca="false">IF($A166="","",(T165+R165+G165+V165))</f>
        <v>#N/A</v>
      </c>
      <c r="X165" s="200" t="e">
        <f aca="false">IF($A166="","",(U165+S165+H165+V165))</f>
        <v>#N/A</v>
      </c>
      <c r="Y165" s="202"/>
      <c r="Z165" s="185" t="e">
        <f aca="false">IF($A166="","",VLOOKUP($A165,Table,MATCH(Z$4,Curves,0)))</f>
        <v>#N/A</v>
      </c>
      <c r="AA165" s="185" t="e">
        <f aca="false">IF($A166="","",VLOOKUP($A165,Table,MATCH(AA$4,Curves,0)))</f>
        <v>#N/A</v>
      </c>
      <c r="AB165" s="185" t="e">
        <f aca="false">SQRT((AA165^2*(A165-$D$3)+Z165^2*(DAY(EOMONTH(A165,0))/2))/AK165)</f>
        <v>#N/A</v>
      </c>
      <c r="AC165" s="185" t="e">
        <f aca="false">IF($A166="","",VLOOKUP($A165,Table,MATCH(AC$4,Curves,0)))</f>
        <v>#N/A</v>
      </c>
      <c r="AD165" s="185" t="e">
        <f aca="false">IF($A166="","",VLOOKUP($A165,Table,MATCH(AD$4,Curves,0)))</f>
        <v>#N/A</v>
      </c>
      <c r="AE165" s="185" t="e">
        <f aca="false">SQRT((AD165^2*(A165-$D$3)+AC165^2*(DAY(EOMONTH(A165,0))/2))/AK165)</f>
        <v>#N/A</v>
      </c>
      <c r="AF165" s="206" t="e">
        <f aca="false">((Summary!$N$12*(AA165*AD165)*(A165-$D$3))+(Summary!$M$12*Z165*AC165*(AJ165-EOMONTH(EDATE(A165,-1),0))))/(AK165*AB165*AE165)</f>
        <v>#N/A</v>
      </c>
      <c r="AG165" s="207" t="n">
        <f aca="false">IF($A166="","",Summary!$Q$12)</f>
        <v>0</v>
      </c>
      <c r="AH165" s="207" t="n">
        <f aca="false">IF($A166="","",IF(Summary!$R$12="Y",(VLOOKUP($A165,Summary!$AD$6:$AF$9,3)+'Escalating commodity'!H178),'Escalating commodity'!H178))</f>
        <v>0.029</v>
      </c>
      <c r="AI165" s="207" t="n">
        <f aca="false">IF($A166="","",AH165)</f>
        <v>0.029</v>
      </c>
      <c r="AJ165" s="208" t="n">
        <f aca="false">A165+DAY(EOMONTH(A165,0))/2-1</f>
        <v>41774.5</v>
      </c>
      <c r="AK165" s="209" t="n">
        <f aca="false">IF($A166="","",$A165-$E$1)</f>
        <v>-4166</v>
      </c>
      <c r="AL165" s="182" t="e">
        <f aca="false">IF($A166="","",SPRDOPT(P165,X165,AI165,0,AB165,AE165,AF165,AK165,$AJ$2,0))</f>
        <v>#NAME?</v>
      </c>
      <c r="AM165" s="211" t="e">
        <f aca="false">IF($A166="","",MAX(0,O165-W165-AI165))</f>
        <v>#N/A</v>
      </c>
      <c r="AN165" s="211" t="e">
        <f aca="false">IF($A166="","",AL165-AM165)</f>
        <v>#N/A</v>
      </c>
      <c r="AO165" s="137" t="n">
        <f aca="false">IF(A166="","",A166-A165)</f>
        <v>31</v>
      </c>
      <c r="AP165" s="212" t="n">
        <f aca="false">IF(A166="","",CHOOSE(F$3,A166+24,A165))</f>
        <v>41760</v>
      </c>
      <c r="AQ165" s="209" t="n">
        <f aca="false">IF(A166="","",AP165-$E$1)</f>
        <v>-4166</v>
      </c>
      <c r="AR165" s="185" t="n">
        <f aca="false">'ANR OK vs ML7'!AR165</f>
        <v>0.1</v>
      </c>
      <c r="AS165" s="213" t="n">
        <f aca="false">IF(A166="","",1/(1+CHOOSE(F$3,(AR166+($I$3/10000))/2,(AR165+($I$3/10000))/2))^(2*AQ165/365.25))</f>
        <v>3.04344512291958</v>
      </c>
      <c r="AT165" s="137" t="n">
        <f aca="false">IF(A166="","",IF(AND(mthbeg&lt;=A165,mthend&gt;=A165),1,0))</f>
        <v>1</v>
      </c>
      <c r="AU165" s="137" t="n">
        <f aca="false">IF(A166="","",AO165*AT165)</f>
        <v>31</v>
      </c>
      <c r="AW165" s="195" t="e">
        <f aca="false">IF($A166="","",AL165*$E165)</f>
        <v>#NAME?</v>
      </c>
      <c r="AX165" s="195" t="e">
        <f aca="false">IF($A166="","",AM165*$E165)</f>
        <v>#N/A</v>
      </c>
      <c r="AY165" s="195" t="e">
        <f aca="false">IF($A166="","",AN165*$E165)</f>
        <v>#N/A</v>
      </c>
      <c r="BA165" s="195" t="n">
        <f aca="false">IF($A166="","",F165*Summary!$Q$12)</f>
        <v>0</v>
      </c>
      <c r="BC165" s="179" t="e">
        <f aca="false">IF(A166="","",AM165*F165)</f>
        <v>#N/A</v>
      </c>
    </row>
    <row r="166" customFormat="false" ht="12.75" hidden="false" customHeight="false" outlineLevel="0" collapsed="false">
      <c r="A166" s="196" t="n">
        <f aca="false">IF(A165&lt;mthend,EDATE(A165,1),"")</f>
        <v>41791</v>
      </c>
      <c r="B166" s="197" t="n">
        <f aca="false">IF(A166&lt;mthend,B165,"")</f>
        <v>36522</v>
      </c>
      <c r="C166" s="215"/>
      <c r="D166" s="197" t="n">
        <f aca="false">IF(A167&lt;&gt;"",B166+C166,"")</f>
        <v>36522</v>
      </c>
      <c r="E166" s="199" t="n">
        <f aca="false">IF(A167="","",IF(AND(AT166=1,$H$3=1),D166*AO166,IF($H$3=2,D166,"N/A")))</f>
        <v>1095660</v>
      </c>
      <c r="F166" s="199" t="n">
        <f aca="false">IF(A167="","",E166*AS166)</f>
        <v>3307078.22323576</v>
      </c>
      <c r="G166" s="200" t="e">
        <f aca="false">IF($A167="","",VLOOKUP($A166,Table,MATCH(G$4,Curves,0)))</f>
        <v>#N/A</v>
      </c>
      <c r="H166" s="201" t="e">
        <f aca="false">IF(A167="","",G166)</f>
        <v>#N/A</v>
      </c>
      <c r="I166" s="202"/>
      <c r="J166" s="200" t="e">
        <f aca="false">IF($A167="","",VLOOKUP($A166,Table,MATCH(J$4,Curves,0)))</f>
        <v>#N/A</v>
      </c>
      <c r="K166" s="201" t="e">
        <f aca="false">IF(A167="","",J166)</f>
        <v>#N/A</v>
      </c>
      <c r="L166" s="200" t="e">
        <f aca="false">IF($A167="","",VLOOKUP($A166,Table,MATCH(L$4,Curves,0)))</f>
        <v>#N/A</v>
      </c>
      <c r="M166" s="201" t="e">
        <f aca="false">IF(A167="","",L166)</f>
        <v>#N/A</v>
      </c>
      <c r="N166" s="203"/>
      <c r="O166" s="200" t="e">
        <f aca="false">IF(A167="","",L166+J166+G166)</f>
        <v>#N/A</v>
      </c>
      <c r="P166" s="200" t="e">
        <f aca="false">IF(A167="","",M166+K166+H166)</f>
        <v>#N/A</v>
      </c>
      <c r="Q166" s="204"/>
      <c r="R166" s="200" t="e">
        <f aca="false">IF($A167="","",VLOOKUP($A166,Table,MATCH(R$4,Curves,0)))</f>
        <v>#N/A</v>
      </c>
      <c r="S166" s="201" t="e">
        <f aca="false">IF(A167="","",R166)</f>
        <v>#N/A</v>
      </c>
      <c r="T166" s="200" t="e">
        <f aca="false">IF($A167="","",VLOOKUP($A166,Table,MATCH(T$4,Curves,0)))</f>
        <v>#N/A</v>
      </c>
      <c r="U166" s="201" t="e">
        <f aca="false">IF(A167="","",T166)</f>
        <v>#N/A</v>
      </c>
      <c r="V166" s="225" t="e">
        <f aca="false">IF($A167="","",IF(AND(MONTH(A166)&gt;3,MONTH(A166)&lt;11),(T166+R166+G166)*(((1/(1-Summary!$T$12))/(1-Summary!$W$12))-1),(T166+R166+G166)*((1/(1-Summary!$U$12))/(1-Summary!$X$12)-1)))</f>
        <v>#N/A</v>
      </c>
      <c r="W166" s="200" t="e">
        <f aca="false">IF($A167="","",(T166+R166+G166+V166))</f>
        <v>#N/A</v>
      </c>
      <c r="X166" s="200" t="e">
        <f aca="false">IF($A167="","",(U166+S166+H166+V166))</f>
        <v>#N/A</v>
      </c>
      <c r="Y166" s="202"/>
      <c r="Z166" s="185" t="e">
        <f aca="false">IF($A167="","",VLOOKUP($A166,Table,MATCH(Z$4,Curves,0)))</f>
        <v>#N/A</v>
      </c>
      <c r="AA166" s="185" t="e">
        <f aca="false">IF($A167="","",VLOOKUP($A166,Table,MATCH(AA$4,Curves,0)))</f>
        <v>#N/A</v>
      </c>
      <c r="AB166" s="185" t="e">
        <f aca="false">SQRT((AA166^2*(A166-$D$3)+Z166^2*(DAY(EOMONTH(A166,0))/2))/AK166)</f>
        <v>#N/A</v>
      </c>
      <c r="AC166" s="185" t="e">
        <f aca="false">IF($A167="","",VLOOKUP($A166,Table,MATCH(AC$4,Curves,0)))</f>
        <v>#N/A</v>
      </c>
      <c r="AD166" s="185" t="e">
        <f aca="false">IF($A167="","",VLOOKUP($A166,Table,MATCH(AD$4,Curves,0)))</f>
        <v>#N/A</v>
      </c>
      <c r="AE166" s="185" t="e">
        <f aca="false">SQRT((AD166^2*(A166-$D$3)+AC166^2*(DAY(EOMONTH(A166,0))/2))/AK166)</f>
        <v>#N/A</v>
      </c>
      <c r="AF166" s="206" t="e">
        <f aca="false">((Summary!$N$12*(AA166*AD166)*(A166-$D$3))+(Summary!$M$12*Z166*AC166*(AJ166-EOMONTH(EDATE(A166,-1),0))))/(AK166*AB166*AE166)</f>
        <v>#N/A</v>
      </c>
      <c r="AG166" s="207" t="n">
        <f aca="false">IF($A167="","",Summary!$Q$12)</f>
        <v>0</v>
      </c>
      <c r="AH166" s="207" t="n">
        <f aca="false">IF($A167="","",IF(Summary!$R$12="Y",(VLOOKUP($A166,Summary!$AD$6:$AF$9,3)+'Escalating commodity'!H179),'Escalating commodity'!H179))</f>
        <v>0.029</v>
      </c>
      <c r="AI166" s="207" t="n">
        <f aca="false">IF($A167="","",AH166)</f>
        <v>0.029</v>
      </c>
      <c r="AJ166" s="208" t="n">
        <f aca="false">A166+DAY(EOMONTH(A166,0))/2-1</f>
        <v>41805</v>
      </c>
      <c r="AK166" s="209" t="n">
        <f aca="false">IF($A167="","",$A166-$E$1)</f>
        <v>-4135</v>
      </c>
      <c r="AL166" s="182" t="e">
        <f aca="false">IF($A167="","",SPRDOPT(P166,X166,AI166,0,AB166,AE166,AF166,AK166,$AJ$2,0))</f>
        <v>#NAME?</v>
      </c>
      <c r="AM166" s="211" t="e">
        <f aca="false">IF($A167="","",MAX(0,O166-W166-AI166))</f>
        <v>#N/A</v>
      </c>
      <c r="AN166" s="211" t="e">
        <f aca="false">IF($A167="","",AL166-AM166)</f>
        <v>#N/A</v>
      </c>
      <c r="AO166" s="137" t="n">
        <f aca="false">IF(A167="","",A167-A166)</f>
        <v>30</v>
      </c>
      <c r="AP166" s="212" t="n">
        <f aca="false">IF(A167="","",CHOOSE(F$3,A167+24,A166))</f>
        <v>41791</v>
      </c>
      <c r="AQ166" s="209" t="n">
        <f aca="false">IF(A167="","",AP166-$E$1)</f>
        <v>-4135</v>
      </c>
      <c r="AR166" s="185" t="n">
        <f aca="false">'ANR OK vs ML7'!AR166</f>
        <v>0.1</v>
      </c>
      <c r="AS166" s="213" t="n">
        <f aca="false">IF(A167="","",1/(1+CHOOSE(F$3,(AR167+($I$3/10000))/2,(AR166+($I$3/10000))/2))^(2*AQ166/365.25))</f>
        <v>3.01834348542044</v>
      </c>
      <c r="AT166" s="137" t="n">
        <f aca="false">IF(A167="","",IF(AND(mthbeg&lt;=A166,mthend&gt;=A166),1,0))</f>
        <v>1</v>
      </c>
      <c r="AU166" s="137" t="n">
        <f aca="false">IF(A167="","",AO166*AT166)</f>
        <v>30</v>
      </c>
      <c r="AW166" s="195" t="e">
        <f aca="false">IF($A167="","",AL166*$E166)</f>
        <v>#NAME?</v>
      </c>
      <c r="AX166" s="195" t="e">
        <f aca="false">IF($A167="","",AM166*$E166)</f>
        <v>#N/A</v>
      </c>
      <c r="AY166" s="195" t="e">
        <f aca="false">IF($A167="","",AN166*$E166)</f>
        <v>#N/A</v>
      </c>
      <c r="BA166" s="195" t="n">
        <f aca="false">IF($A167="","",F166*Summary!$Q$12)</f>
        <v>0</v>
      </c>
      <c r="BC166" s="179" t="e">
        <f aca="false">IF(A167="","",AM166*F166)</f>
        <v>#N/A</v>
      </c>
    </row>
    <row r="167" customFormat="false" ht="12.75" hidden="false" customHeight="false" outlineLevel="0" collapsed="false">
      <c r="A167" s="196" t="n">
        <f aca="false">IF(A166&lt;mthend,EDATE(A166,1),"")</f>
        <v>41821</v>
      </c>
      <c r="B167" s="197" t="n">
        <f aca="false">IF(A167&lt;mthend,B166,"")</f>
        <v>36522</v>
      </c>
      <c r="C167" s="215"/>
      <c r="D167" s="197" t="n">
        <f aca="false">IF(A168&lt;&gt;"",B167+C167,"")</f>
        <v>36522</v>
      </c>
      <c r="E167" s="199" t="n">
        <f aca="false">IF(A168="","",IF(AND(AT167=1,$H$3=1),D167*AO167,IF($H$3=2,D167,"N/A")))</f>
        <v>1132182</v>
      </c>
      <c r="F167" s="199" t="n">
        <f aca="false">IF(A168="","",E167*AS167)</f>
        <v>3390034.50232106</v>
      </c>
      <c r="G167" s="200" t="e">
        <f aca="false">IF($A168="","",VLOOKUP($A167,Table,MATCH(G$4,Curves,0)))</f>
        <v>#N/A</v>
      </c>
      <c r="H167" s="201" t="e">
        <f aca="false">IF(A168="","",G167)</f>
        <v>#N/A</v>
      </c>
      <c r="I167" s="202"/>
      <c r="J167" s="200" t="e">
        <f aca="false">IF($A168="","",VLOOKUP($A167,Table,MATCH(J$4,Curves,0)))</f>
        <v>#N/A</v>
      </c>
      <c r="K167" s="201" t="e">
        <f aca="false">IF(A168="","",J167)</f>
        <v>#N/A</v>
      </c>
      <c r="L167" s="200" t="e">
        <f aca="false">IF($A168="","",VLOOKUP($A167,Table,MATCH(L$4,Curves,0)))</f>
        <v>#N/A</v>
      </c>
      <c r="M167" s="201" t="e">
        <f aca="false">IF(A168="","",L167)</f>
        <v>#N/A</v>
      </c>
      <c r="N167" s="203"/>
      <c r="O167" s="200" t="e">
        <f aca="false">IF(A168="","",L167+J167+G167)</f>
        <v>#N/A</v>
      </c>
      <c r="P167" s="200" t="e">
        <f aca="false">IF(A168="","",M167+K167+H167)</f>
        <v>#N/A</v>
      </c>
      <c r="Q167" s="204"/>
      <c r="R167" s="200" t="e">
        <f aca="false">IF($A168="","",VLOOKUP($A167,Table,MATCH(R$4,Curves,0)))</f>
        <v>#N/A</v>
      </c>
      <c r="S167" s="201" t="e">
        <f aca="false">IF(A168="","",R167)</f>
        <v>#N/A</v>
      </c>
      <c r="T167" s="200" t="e">
        <f aca="false">IF($A168="","",VLOOKUP($A167,Table,MATCH(T$4,Curves,0)))</f>
        <v>#N/A</v>
      </c>
      <c r="U167" s="201" t="e">
        <f aca="false">IF(A168="","",T167)</f>
        <v>#N/A</v>
      </c>
      <c r="V167" s="225" t="e">
        <f aca="false">IF($A168="","",IF(AND(MONTH(A167)&gt;3,MONTH(A167)&lt;11),(T167+R167+G167)*(((1/(1-Summary!$T$12))/(1-Summary!$W$12))-1),(T167+R167+G167)*((1/(1-Summary!$U$12))/(1-Summary!$X$12)-1)))</f>
        <v>#N/A</v>
      </c>
      <c r="W167" s="200" t="e">
        <f aca="false">IF($A168="","",(T167+R167+G167+V167))</f>
        <v>#N/A</v>
      </c>
      <c r="X167" s="200" t="e">
        <f aca="false">IF($A168="","",(U167+S167+H167+V167))</f>
        <v>#N/A</v>
      </c>
      <c r="Y167" s="202"/>
      <c r="Z167" s="185" t="e">
        <f aca="false">IF($A168="","",VLOOKUP($A167,Table,MATCH(Z$4,Curves,0)))</f>
        <v>#N/A</v>
      </c>
      <c r="AA167" s="185" t="e">
        <f aca="false">IF($A168="","",VLOOKUP($A167,Table,MATCH(AA$4,Curves,0)))</f>
        <v>#N/A</v>
      </c>
      <c r="AB167" s="185" t="e">
        <f aca="false">SQRT((AA167^2*(A167-$D$3)+Z167^2*(DAY(EOMONTH(A167,0))/2))/AK167)</f>
        <v>#N/A</v>
      </c>
      <c r="AC167" s="185" t="e">
        <f aca="false">IF($A168="","",VLOOKUP($A167,Table,MATCH(AC$4,Curves,0)))</f>
        <v>#N/A</v>
      </c>
      <c r="AD167" s="185" t="e">
        <f aca="false">IF($A168="","",VLOOKUP($A167,Table,MATCH(AD$4,Curves,0)))</f>
        <v>#N/A</v>
      </c>
      <c r="AE167" s="185" t="e">
        <f aca="false">SQRT((AD167^2*(A167-$D$3)+AC167^2*(DAY(EOMONTH(A167,0))/2))/AK167)</f>
        <v>#N/A</v>
      </c>
      <c r="AF167" s="206" t="e">
        <f aca="false">((Summary!$N$12*(AA167*AD167)*(A167-$D$3))+(Summary!$M$12*Z167*AC167*(AJ167-EOMONTH(EDATE(A167,-1),0))))/(AK167*AB167*AE167)</f>
        <v>#N/A</v>
      </c>
      <c r="AG167" s="207" t="n">
        <f aca="false">IF($A168="","",Summary!$Q$12)</f>
        <v>0</v>
      </c>
      <c r="AH167" s="207" t="n">
        <f aca="false">IF($A168="","",IF(Summary!$R$12="Y",(VLOOKUP($A167,Summary!$AD$6:$AF$9,3)+'Escalating commodity'!H180),'Escalating commodity'!H180))</f>
        <v>0.029</v>
      </c>
      <c r="AI167" s="207" t="n">
        <f aca="false">IF($A168="","",AH167)</f>
        <v>0.029</v>
      </c>
      <c r="AJ167" s="208" t="n">
        <f aca="false">A167+DAY(EOMONTH(A167,0))/2-1</f>
        <v>41835.5</v>
      </c>
      <c r="AK167" s="209" t="n">
        <f aca="false">IF($A168="","",$A167-$E$1)</f>
        <v>-4105</v>
      </c>
      <c r="AL167" s="182" t="e">
        <f aca="false">IF($A168="","",SPRDOPT(P167,X167,AI167,0,AB167,AE167,AF167,AK167,$AJ$2,0))</f>
        <v>#NAME?</v>
      </c>
      <c r="AM167" s="211" t="e">
        <f aca="false">IF($A168="","",MAX(0,O167-W167-AI167))</f>
        <v>#N/A</v>
      </c>
      <c r="AN167" s="211" t="e">
        <f aca="false">IF($A168="","",AL167-AM167)</f>
        <v>#N/A</v>
      </c>
      <c r="AO167" s="137" t="n">
        <f aca="false">IF(A168="","",A168-A167)</f>
        <v>31</v>
      </c>
      <c r="AP167" s="212" t="n">
        <f aca="false">IF(A168="","",CHOOSE(F$3,A168+24,A167))</f>
        <v>41821</v>
      </c>
      <c r="AQ167" s="209" t="n">
        <f aca="false">IF(A168="","",AP167-$E$1)</f>
        <v>-4105</v>
      </c>
      <c r="AR167" s="185" t="n">
        <f aca="false">'ANR OK vs ML7'!AR167</f>
        <v>0.1</v>
      </c>
      <c r="AS167" s="213" t="n">
        <f aca="false">IF(A168="","",1/(1+CHOOSE(F$3,(AR168+($I$3/10000))/2,(AR167+($I$3/10000))/2))^(2*AQ167/365.25))</f>
        <v>2.99424871824588</v>
      </c>
      <c r="AT167" s="137" t="n">
        <f aca="false">IF(A168="","",IF(AND(mthbeg&lt;=A167,mthend&gt;=A167),1,0))</f>
        <v>1</v>
      </c>
      <c r="AU167" s="137" t="n">
        <f aca="false">IF(A168="","",AO167*AT167)</f>
        <v>31</v>
      </c>
      <c r="AW167" s="195" t="e">
        <f aca="false">IF($A168="","",AL167*$E167)</f>
        <v>#NAME?</v>
      </c>
      <c r="AX167" s="195" t="e">
        <f aca="false">IF($A168="","",AM167*$E167)</f>
        <v>#N/A</v>
      </c>
      <c r="AY167" s="195" t="e">
        <f aca="false">IF($A168="","",AN167*$E167)</f>
        <v>#N/A</v>
      </c>
      <c r="BA167" s="195" t="n">
        <f aca="false">IF($A168="","",F167*Summary!$Q$12)</f>
        <v>0</v>
      </c>
      <c r="BC167" s="179" t="e">
        <f aca="false">IF(A168="","",AM167*F167)</f>
        <v>#N/A</v>
      </c>
    </row>
    <row r="168" customFormat="false" ht="12.75" hidden="false" customHeight="false" outlineLevel="0" collapsed="false">
      <c r="A168" s="196" t="n">
        <f aca="false">IF(A167&lt;mthend,EDATE(A167,1),"")</f>
        <v>41852</v>
      </c>
      <c r="B168" s="197" t="n">
        <f aca="false">IF(A168&lt;mthend,B167,"")</f>
        <v>36522</v>
      </c>
      <c r="C168" s="215"/>
      <c r="D168" s="197" t="n">
        <f aca="false">IF(A169&lt;&gt;"",B168+C168,"")</f>
        <v>36522</v>
      </c>
      <c r="E168" s="199" t="n">
        <f aca="false">IF(A169="","",IF(AND(AT168=1,$H$3=1),D168*AO168,IF($H$3=2,D168,"N/A")))</f>
        <v>1132182</v>
      </c>
      <c r="F168" s="199" t="n">
        <f aca="false">IF(A169="","",E168*AS168)</f>
        <v>3362074.27509501</v>
      </c>
      <c r="G168" s="200" t="e">
        <f aca="false">IF($A169="","",VLOOKUP($A168,Table,MATCH(G$4,Curves,0)))</f>
        <v>#N/A</v>
      </c>
      <c r="H168" s="201" t="e">
        <f aca="false">IF(A169="","",G168)</f>
        <v>#N/A</v>
      </c>
      <c r="I168" s="202"/>
      <c r="J168" s="200" t="e">
        <f aca="false">IF($A169="","",VLOOKUP($A168,Table,MATCH(J$4,Curves,0)))</f>
        <v>#N/A</v>
      </c>
      <c r="K168" s="201" t="e">
        <f aca="false">IF(A169="","",J168)</f>
        <v>#N/A</v>
      </c>
      <c r="L168" s="200" t="e">
        <f aca="false">IF($A169="","",VLOOKUP($A168,Table,MATCH(L$4,Curves,0)))</f>
        <v>#N/A</v>
      </c>
      <c r="M168" s="201" t="e">
        <f aca="false">IF(A169="","",L168)</f>
        <v>#N/A</v>
      </c>
      <c r="N168" s="203"/>
      <c r="O168" s="200" t="e">
        <f aca="false">IF(A169="","",L168+J168+G168)</f>
        <v>#N/A</v>
      </c>
      <c r="P168" s="200" t="e">
        <f aca="false">IF(A169="","",M168+K168+H168)</f>
        <v>#N/A</v>
      </c>
      <c r="Q168" s="204"/>
      <c r="R168" s="200" t="e">
        <f aca="false">IF($A169="","",VLOOKUP($A168,Table,MATCH(R$4,Curves,0)))</f>
        <v>#N/A</v>
      </c>
      <c r="S168" s="201" t="e">
        <f aca="false">IF(A169="","",R168)</f>
        <v>#N/A</v>
      </c>
      <c r="T168" s="200" t="e">
        <f aca="false">IF($A169="","",VLOOKUP($A168,Table,MATCH(T$4,Curves,0)))</f>
        <v>#N/A</v>
      </c>
      <c r="U168" s="201" t="e">
        <f aca="false">IF(A169="","",T168)</f>
        <v>#N/A</v>
      </c>
      <c r="V168" s="225" t="e">
        <f aca="false">IF($A169="","",IF(AND(MONTH(A168)&gt;3,MONTH(A168)&lt;11),(T168+R168+G168)*(((1/(1-Summary!$T$12))/(1-Summary!$W$12))-1),(T168+R168+G168)*((1/(1-Summary!$U$12))/(1-Summary!$X$12)-1)))</f>
        <v>#N/A</v>
      </c>
      <c r="W168" s="200" t="e">
        <f aca="false">IF($A169="","",(T168+R168+G168+V168))</f>
        <v>#N/A</v>
      </c>
      <c r="X168" s="200" t="e">
        <f aca="false">IF($A169="","",(U168+S168+H168+V168))</f>
        <v>#N/A</v>
      </c>
      <c r="Y168" s="202"/>
      <c r="Z168" s="185" t="e">
        <f aca="false">IF($A169="","",VLOOKUP($A168,Table,MATCH(Z$4,Curves,0)))</f>
        <v>#N/A</v>
      </c>
      <c r="AA168" s="185" t="e">
        <f aca="false">IF($A169="","",VLOOKUP($A168,Table,MATCH(AA$4,Curves,0)))</f>
        <v>#N/A</v>
      </c>
      <c r="AB168" s="185" t="e">
        <f aca="false">SQRT((AA168^2*(A168-$D$3)+Z168^2*(DAY(EOMONTH(A168,0))/2))/AK168)</f>
        <v>#N/A</v>
      </c>
      <c r="AC168" s="185" t="e">
        <f aca="false">IF($A169="","",VLOOKUP($A168,Table,MATCH(AC$4,Curves,0)))</f>
        <v>#N/A</v>
      </c>
      <c r="AD168" s="185" t="e">
        <f aca="false">IF($A169="","",VLOOKUP($A168,Table,MATCH(AD$4,Curves,0)))</f>
        <v>#N/A</v>
      </c>
      <c r="AE168" s="185" t="e">
        <f aca="false">SQRT((AD168^2*(A168-$D$3)+AC168^2*(DAY(EOMONTH(A168,0))/2))/AK168)</f>
        <v>#N/A</v>
      </c>
      <c r="AF168" s="206" t="e">
        <f aca="false">((Summary!$N$12*(AA168*AD168)*(A168-$D$3))+(Summary!$M$12*Z168*AC168*(AJ168-EOMONTH(EDATE(A168,-1),0))))/(AK168*AB168*AE168)</f>
        <v>#N/A</v>
      </c>
      <c r="AG168" s="207" t="n">
        <f aca="false">IF($A169="","",Summary!$Q$12)</f>
        <v>0</v>
      </c>
      <c r="AH168" s="207" t="n">
        <f aca="false">IF($A169="","",IF(Summary!$R$12="Y",(VLOOKUP($A168,Summary!$AD$6:$AF$9,3)+'Escalating commodity'!H181),'Escalating commodity'!H181))</f>
        <v>0.029</v>
      </c>
      <c r="AI168" s="207" t="n">
        <f aca="false">IF($A169="","",AH168)</f>
        <v>0.029</v>
      </c>
      <c r="AJ168" s="208" t="n">
        <f aca="false">A168+DAY(EOMONTH(A168,0))/2-1</f>
        <v>41866.5</v>
      </c>
      <c r="AK168" s="209" t="n">
        <f aca="false">IF($A169="","",$A168-$E$1)</f>
        <v>-4074</v>
      </c>
      <c r="AL168" s="182" t="e">
        <f aca="false">IF($A169="","",SPRDOPT(P168,X168,AI168,0,AB168,AE168,AF168,AK168,$AJ$2,0))</f>
        <v>#NAME?</v>
      </c>
      <c r="AM168" s="211" t="e">
        <f aca="false">IF($A169="","",MAX(0,O168-W168-AI168))</f>
        <v>#N/A</v>
      </c>
      <c r="AN168" s="211" t="e">
        <f aca="false">IF($A169="","",AL168-AM168)</f>
        <v>#N/A</v>
      </c>
      <c r="AO168" s="137" t="n">
        <f aca="false">IF(A169="","",A169-A168)</f>
        <v>31</v>
      </c>
      <c r="AP168" s="212" t="n">
        <f aca="false">IF(A169="","",CHOOSE(F$3,A169+24,A168))</f>
        <v>41852</v>
      </c>
      <c r="AQ168" s="209" t="n">
        <f aca="false">IF(A169="","",AP168-$E$1)</f>
        <v>-4074</v>
      </c>
      <c r="AR168" s="185" t="n">
        <f aca="false">'ANR OK vs ML7'!AR168</f>
        <v>0.1</v>
      </c>
      <c r="AS168" s="213" t="n">
        <f aca="false">IF(A169="","",1/(1+CHOOSE(F$3,(AR169+($I$3/10000))/2,(AR168+($I$3/10000))/2))^(2*AQ168/365.25))</f>
        <v>2.96955284141155</v>
      </c>
      <c r="AT168" s="137" t="n">
        <f aca="false">IF(A169="","",IF(AND(mthbeg&lt;=A168,mthend&gt;=A168),1,0))</f>
        <v>1</v>
      </c>
      <c r="AU168" s="137" t="n">
        <f aca="false">IF(A169="","",AO168*AT168)</f>
        <v>31</v>
      </c>
      <c r="AW168" s="195" t="e">
        <f aca="false">IF($A169="","",AL168*$E168)</f>
        <v>#NAME?</v>
      </c>
      <c r="AX168" s="195" t="e">
        <f aca="false">IF($A169="","",AM168*$E168)</f>
        <v>#N/A</v>
      </c>
      <c r="AY168" s="195" t="e">
        <f aca="false">IF($A169="","",AN168*$E168)</f>
        <v>#N/A</v>
      </c>
      <c r="BA168" s="195" t="n">
        <f aca="false">IF($A169="","",F168*Summary!$Q$12)</f>
        <v>0</v>
      </c>
      <c r="BC168" s="179" t="e">
        <f aca="false">IF(A169="","",AM168*F168)</f>
        <v>#N/A</v>
      </c>
    </row>
    <row r="169" customFormat="false" ht="12.75" hidden="false" customHeight="false" outlineLevel="0" collapsed="false">
      <c r="A169" s="196" t="n">
        <f aca="false">IF(A168&lt;mthend,EDATE(A168,1),"")</f>
        <v>41883</v>
      </c>
      <c r="B169" s="197" t="n">
        <f aca="false">IF(A169&lt;mthend,B168,"")</f>
        <v>36522</v>
      </c>
      <c r="C169" s="215"/>
      <c r="D169" s="197" t="n">
        <f aca="false">IF(A170&lt;&gt;"",B169+C169,"")</f>
        <v>36522</v>
      </c>
      <c r="E169" s="199" t="n">
        <f aca="false">IF(A170="","",IF(AND(AT169=1,$H$3=1),D169*AO169,IF($H$3=2,D169,"N/A")))</f>
        <v>1095660</v>
      </c>
      <c r="F169" s="199" t="n">
        <f aca="false">IF(A170="","",E169*AS169)</f>
        <v>3226785.15233393</v>
      </c>
      <c r="G169" s="200" t="e">
        <f aca="false">IF($A170="","",VLOOKUP($A169,Table,MATCH(G$4,Curves,0)))</f>
        <v>#N/A</v>
      </c>
      <c r="H169" s="201" t="e">
        <f aca="false">IF(A170="","",G169)</f>
        <v>#N/A</v>
      </c>
      <c r="I169" s="202"/>
      <c r="J169" s="200" t="e">
        <f aca="false">IF($A170="","",VLOOKUP($A169,Table,MATCH(J$4,Curves,0)))</f>
        <v>#N/A</v>
      </c>
      <c r="K169" s="201" t="e">
        <f aca="false">IF(A170="","",J169)</f>
        <v>#N/A</v>
      </c>
      <c r="L169" s="200" t="e">
        <f aca="false">IF($A170="","",VLOOKUP($A169,Table,MATCH(L$4,Curves,0)))</f>
        <v>#N/A</v>
      </c>
      <c r="M169" s="201" t="e">
        <f aca="false">IF(A170="","",L169)</f>
        <v>#N/A</v>
      </c>
      <c r="N169" s="203"/>
      <c r="O169" s="200" t="e">
        <f aca="false">IF(A170="","",L169+J169+G169)</f>
        <v>#N/A</v>
      </c>
      <c r="P169" s="200" t="e">
        <f aca="false">IF(A170="","",M169+K169+H169)</f>
        <v>#N/A</v>
      </c>
      <c r="Q169" s="204"/>
      <c r="R169" s="200" t="e">
        <f aca="false">IF($A170="","",VLOOKUP($A169,Table,MATCH(R$4,Curves,0)))</f>
        <v>#N/A</v>
      </c>
      <c r="S169" s="201" t="e">
        <f aca="false">IF(A170="","",R169)</f>
        <v>#N/A</v>
      </c>
      <c r="T169" s="200" t="e">
        <f aca="false">IF($A170="","",VLOOKUP($A169,Table,MATCH(T$4,Curves,0)))</f>
        <v>#N/A</v>
      </c>
      <c r="U169" s="201" t="e">
        <f aca="false">IF(A170="","",T169)</f>
        <v>#N/A</v>
      </c>
      <c r="V169" s="225" t="e">
        <f aca="false">IF($A170="","",IF(AND(MONTH(A169)&gt;3,MONTH(A169)&lt;11),(T169+R169+G169)*(((1/(1-Summary!$T$12))/(1-Summary!$W$12))-1),(T169+R169+G169)*((1/(1-Summary!$U$12))/(1-Summary!$X$12)-1)))</f>
        <v>#N/A</v>
      </c>
      <c r="W169" s="200" t="e">
        <f aca="false">IF($A170="","",(T169+R169+G169+V169))</f>
        <v>#N/A</v>
      </c>
      <c r="X169" s="200" t="e">
        <f aca="false">IF($A170="","",(U169+S169+H169+V169))</f>
        <v>#N/A</v>
      </c>
      <c r="Y169" s="202"/>
      <c r="Z169" s="185" t="e">
        <f aca="false">IF($A170="","",VLOOKUP($A169,Table,MATCH(Z$4,Curves,0)))</f>
        <v>#N/A</v>
      </c>
      <c r="AA169" s="185" t="e">
        <f aca="false">IF($A170="","",VLOOKUP($A169,Table,MATCH(AA$4,Curves,0)))</f>
        <v>#N/A</v>
      </c>
      <c r="AB169" s="185" t="e">
        <f aca="false">SQRT((AA169^2*(A169-$D$3)+Z169^2*(DAY(EOMONTH(A169,0))/2))/AK169)</f>
        <v>#N/A</v>
      </c>
      <c r="AC169" s="185" t="e">
        <f aca="false">IF($A170="","",VLOOKUP($A169,Table,MATCH(AC$4,Curves,0)))</f>
        <v>#N/A</v>
      </c>
      <c r="AD169" s="185" t="e">
        <f aca="false">IF($A170="","",VLOOKUP($A169,Table,MATCH(AD$4,Curves,0)))</f>
        <v>#N/A</v>
      </c>
      <c r="AE169" s="185" t="e">
        <f aca="false">SQRT((AD169^2*(A169-$D$3)+AC169^2*(DAY(EOMONTH(A169,0))/2))/AK169)</f>
        <v>#N/A</v>
      </c>
      <c r="AF169" s="206" t="e">
        <f aca="false">((Summary!$N$12*(AA169*AD169)*(A169-$D$3))+(Summary!$M$12*Z169*AC169*(AJ169-EOMONTH(EDATE(A169,-1),0))))/(AK169*AB169*AE169)</f>
        <v>#N/A</v>
      </c>
      <c r="AG169" s="207" t="n">
        <f aca="false">IF($A170="","",Summary!$Q$12)</f>
        <v>0</v>
      </c>
      <c r="AH169" s="207" t="n">
        <f aca="false">IF($A170="","",IF(Summary!$R$12="Y",(VLOOKUP($A169,Summary!$AD$6:$AF$9,3)+'Escalating commodity'!H182),'Escalating commodity'!H182))</f>
        <v>0.029</v>
      </c>
      <c r="AI169" s="207" t="n">
        <f aca="false">IF($A170="","",AH169)</f>
        <v>0.029</v>
      </c>
      <c r="AJ169" s="208" t="n">
        <f aca="false">A169+DAY(EOMONTH(A169,0))/2-1</f>
        <v>41897</v>
      </c>
      <c r="AK169" s="209" t="n">
        <f aca="false">IF($A170="","",$A169-$E$1)</f>
        <v>-4043</v>
      </c>
      <c r="AL169" s="182" t="e">
        <f aca="false">IF($A170="","",SPRDOPT(P169,X169,AI169,0,AB169,AE169,AF169,AK169,$AJ$2,0))</f>
        <v>#NAME?</v>
      </c>
      <c r="AM169" s="211" t="e">
        <f aca="false">IF($A170="","",MAX(0,O169-W169-AI169))</f>
        <v>#N/A</v>
      </c>
      <c r="AN169" s="211" t="e">
        <f aca="false">IF($A170="","",AL169-AM169)</f>
        <v>#N/A</v>
      </c>
      <c r="AO169" s="137" t="n">
        <f aca="false">IF(A170="","",A170-A169)</f>
        <v>30</v>
      </c>
      <c r="AP169" s="212" t="n">
        <f aca="false">IF(A170="","",CHOOSE(F$3,A170+24,A169))</f>
        <v>41883</v>
      </c>
      <c r="AQ169" s="209" t="n">
        <f aca="false">IF(A170="","",AP169-$E$1)</f>
        <v>-4043</v>
      </c>
      <c r="AR169" s="185" t="n">
        <f aca="false">'ANR OK vs ML7'!AR169</f>
        <v>0.1</v>
      </c>
      <c r="AS169" s="213" t="n">
        <f aca="false">IF(A170="","",1/(1+CHOOSE(F$3,(AR170+($I$3/10000))/2,(AR169+($I$3/10000))/2))^(2*AQ169/365.25))</f>
        <v>2.94506065050648</v>
      </c>
      <c r="AT169" s="137" t="n">
        <f aca="false">IF(A170="","",IF(AND(mthbeg&lt;=A169,mthend&gt;=A169),1,0))</f>
        <v>1</v>
      </c>
      <c r="AU169" s="137" t="n">
        <f aca="false">IF(A170="","",AO169*AT169)</f>
        <v>30</v>
      </c>
      <c r="AW169" s="195" t="e">
        <f aca="false">IF($A170="","",AL169*$E169)</f>
        <v>#NAME?</v>
      </c>
      <c r="AX169" s="195" t="e">
        <f aca="false">IF($A170="","",AM169*$E169)</f>
        <v>#N/A</v>
      </c>
      <c r="AY169" s="195" t="e">
        <f aca="false">IF($A170="","",AN169*$E169)</f>
        <v>#N/A</v>
      </c>
      <c r="BA169" s="195" t="n">
        <f aca="false">IF($A170="","",F169*Summary!$Q$12)</f>
        <v>0</v>
      </c>
      <c r="BC169" s="179" t="e">
        <f aca="false">IF(A170="","",AM169*F169)</f>
        <v>#N/A</v>
      </c>
    </row>
    <row r="170" customFormat="false" ht="12" hidden="false" customHeight="true" outlineLevel="0" collapsed="false">
      <c r="A170" s="196" t="n">
        <f aca="false">IF(A169&lt;mthend,EDATE(A169,1),"")</f>
        <v>41913</v>
      </c>
      <c r="B170" s="197" t="n">
        <f aca="false">IF(A170&lt;mthend,B169,"")</f>
        <v>36522</v>
      </c>
      <c r="C170" s="215"/>
      <c r="D170" s="197" t="n">
        <f aca="false">IF(A171&lt;&gt;"",B170+C170,"")</f>
        <v>36522</v>
      </c>
      <c r="E170" s="199" t="n">
        <f aca="false">IF(A171="","",IF(AND(AT170=1,$H$3=1),D170*AO170,IF($H$3=2,D170,"N/A")))</f>
        <v>1132182</v>
      </c>
      <c r="F170" s="199" t="n">
        <f aca="false">IF(A171="","",E170*AS170)</f>
        <v>3307727.32290751</v>
      </c>
      <c r="G170" s="200" t="e">
        <f aca="false">IF($A171="","",VLOOKUP($A170,Table,MATCH(G$4,Curves,0)))</f>
        <v>#N/A</v>
      </c>
      <c r="H170" s="201" t="e">
        <f aca="false">IF(A171="","",G170)</f>
        <v>#N/A</v>
      </c>
      <c r="I170" s="202"/>
      <c r="J170" s="200" t="e">
        <f aca="false">IF($A171="","",VLOOKUP($A170,Table,MATCH(J$4,Curves,0)))</f>
        <v>#N/A</v>
      </c>
      <c r="K170" s="201" t="e">
        <f aca="false">IF(A171="","",J170)</f>
        <v>#N/A</v>
      </c>
      <c r="L170" s="200" t="e">
        <f aca="false">IF($A171="","",VLOOKUP($A170,Table,MATCH(L$4,Curves,0)))</f>
        <v>#N/A</v>
      </c>
      <c r="M170" s="201" t="e">
        <f aca="false">IF(A171="","",L170)</f>
        <v>#N/A</v>
      </c>
      <c r="N170" s="203"/>
      <c r="O170" s="200" t="e">
        <f aca="false">IF(A171="","",L170+J170+G170)</f>
        <v>#N/A</v>
      </c>
      <c r="P170" s="200" t="e">
        <f aca="false">IF(A171="","",M170+K170+H170)</f>
        <v>#N/A</v>
      </c>
      <c r="Q170" s="204"/>
      <c r="R170" s="200" t="e">
        <f aca="false">IF($A171="","",VLOOKUP($A170,Table,MATCH(R$4,Curves,0)))</f>
        <v>#N/A</v>
      </c>
      <c r="S170" s="201" t="e">
        <f aca="false">IF(A171="","",R170)</f>
        <v>#N/A</v>
      </c>
      <c r="T170" s="200" t="e">
        <f aca="false">IF($A171="","",VLOOKUP($A170,Table,MATCH(T$4,Curves,0)))</f>
        <v>#N/A</v>
      </c>
      <c r="U170" s="201" t="e">
        <f aca="false">IF(A171="","",T170)</f>
        <v>#N/A</v>
      </c>
      <c r="V170" s="225" t="e">
        <f aca="false">IF($A171="","",IF(AND(MONTH(A170)&gt;3,MONTH(A170)&lt;11),(T170+R170+G170)*(((1/(1-Summary!$T$12))/(1-Summary!$W$12))-1),(T170+R170+G170)*((1/(1-Summary!$U$12))/(1-Summary!$X$12)-1)))</f>
        <v>#N/A</v>
      </c>
      <c r="W170" s="200" t="e">
        <f aca="false">IF($A171="","",(T170+R170+G170+V170))</f>
        <v>#N/A</v>
      </c>
      <c r="X170" s="200" t="e">
        <f aca="false">IF($A171="","",(U170+S170+H170+V170))</f>
        <v>#N/A</v>
      </c>
      <c r="Y170" s="202"/>
      <c r="Z170" s="185" t="e">
        <f aca="false">IF($A171="","",VLOOKUP($A170,Table,MATCH(Z$4,Curves,0)))</f>
        <v>#N/A</v>
      </c>
      <c r="AA170" s="185" t="e">
        <f aca="false">IF($A171="","",VLOOKUP($A170,Table,MATCH(AA$4,Curves,0)))</f>
        <v>#N/A</v>
      </c>
      <c r="AB170" s="185" t="e">
        <f aca="false">SQRT((AA170^2*(A170-$D$3)+Z170^2*(DAY(EOMONTH(A170,0))/2))/AK170)</f>
        <v>#N/A</v>
      </c>
      <c r="AC170" s="185" t="e">
        <f aca="false">IF($A171="","",VLOOKUP($A170,Table,MATCH(AC$4,Curves,0)))</f>
        <v>#N/A</v>
      </c>
      <c r="AD170" s="185" t="e">
        <f aca="false">IF($A171="","",VLOOKUP($A170,Table,MATCH(AD$4,Curves,0)))</f>
        <v>#N/A</v>
      </c>
      <c r="AE170" s="185" t="e">
        <f aca="false">SQRT((AD170^2*(A170-$D$3)+AC170^2*(DAY(EOMONTH(A170,0))/2))/AK170)</f>
        <v>#N/A</v>
      </c>
      <c r="AF170" s="206" t="e">
        <f aca="false">((Summary!$N$12*(AA170*AD170)*(A170-$D$3))+(Summary!$M$12*Z170*AC170*(AJ170-EOMONTH(EDATE(A170,-1),0))))/(AK170*AB170*AE170)</f>
        <v>#N/A</v>
      </c>
      <c r="AG170" s="207" t="n">
        <f aca="false">IF($A171="","",Summary!$Q$12)</f>
        <v>0</v>
      </c>
      <c r="AH170" s="207" t="n">
        <f aca="false">IF($A171="","",IF(Summary!$R$12="Y",(VLOOKUP($A170,Summary!$AD$6:$AF$9,3)+'Escalating commodity'!H183),'Escalating commodity'!H183))</f>
        <v>0.029</v>
      </c>
      <c r="AI170" s="207" t="n">
        <f aca="false">IF($A171="","",AH170)</f>
        <v>0.029</v>
      </c>
      <c r="AJ170" s="208" t="n">
        <f aca="false">A170+DAY(EOMONTH(A170,0))/2-1</f>
        <v>41927.5</v>
      </c>
      <c r="AK170" s="209" t="n">
        <f aca="false">IF($A171="","",$A170-$E$1)</f>
        <v>-4013</v>
      </c>
      <c r="AL170" s="182" t="e">
        <f aca="false">IF($A171="","",SPRDOPT(P170,X170,AI170,0,AB170,AE170,AF170,AK170,$AJ$2,0))</f>
        <v>#NAME?</v>
      </c>
      <c r="AM170" s="211" t="e">
        <f aca="false">IF($A171="","",MAX(0,O170-W170-AI170))</f>
        <v>#N/A</v>
      </c>
      <c r="AN170" s="211" t="e">
        <f aca="false">IF($A171="","",AL170-AM170)</f>
        <v>#N/A</v>
      </c>
      <c r="AO170" s="137" t="n">
        <f aca="false">IF(A171="","",A171-A170)</f>
        <v>31</v>
      </c>
      <c r="AP170" s="212" t="n">
        <f aca="false">IF(A171="","",CHOOSE(F$3,A171+24,A170))</f>
        <v>41913</v>
      </c>
      <c r="AQ170" s="209" t="n">
        <f aca="false">IF(A171="","",AP170-$E$1)</f>
        <v>-4013</v>
      </c>
      <c r="AR170" s="185" t="n">
        <f aca="false">'ANR OK vs ML7'!AR170</f>
        <v>0.1</v>
      </c>
      <c r="AS170" s="213" t="n">
        <f aca="false">IF(A171="","",1/(1+CHOOSE(F$3,(AR171+($I$3/10000))/2,(AR170+($I$3/10000))/2))^(2*AQ170/365.25))</f>
        <v>2.92155088396345</v>
      </c>
      <c r="AT170" s="137" t="n">
        <f aca="false">IF(A171="","",IF(AND(mthbeg&lt;=A170,mthend&gt;=A170),1,0))</f>
        <v>1</v>
      </c>
      <c r="AU170" s="137" t="n">
        <f aca="false">IF(A171="","",AO170*AT170)</f>
        <v>31</v>
      </c>
      <c r="AW170" s="195" t="e">
        <f aca="false">IF($A171="","",AL170*$E170)</f>
        <v>#NAME?</v>
      </c>
      <c r="AX170" s="195" t="e">
        <f aca="false">IF($A171="","",AM170*$E170)</f>
        <v>#N/A</v>
      </c>
      <c r="AY170" s="195" t="e">
        <f aca="false">IF($A171="","",AN170*$E170)</f>
        <v>#N/A</v>
      </c>
      <c r="BA170" s="195" t="n">
        <f aca="false">IF($A171="","",F170*Summary!$Q$12)</f>
        <v>0</v>
      </c>
      <c r="BC170" s="179" t="e">
        <f aca="false">IF(A171="","",AM170*F170)</f>
        <v>#N/A</v>
      </c>
    </row>
    <row r="171" customFormat="false" ht="12" hidden="false" customHeight="true" outlineLevel="0" collapsed="false">
      <c r="A171" s="196" t="n">
        <f aca="false">IF(A170&lt;mthend,EDATE(A170,1),"")</f>
        <v>41944</v>
      </c>
      <c r="B171" s="197" t="n">
        <f aca="false">IF(A171&lt;mthend,B170,"")</f>
        <v>36522</v>
      </c>
      <c r="C171" s="215"/>
      <c r="D171" s="197" t="n">
        <f aca="false">IF(A172&lt;&gt;"",B171+C171,"")</f>
        <v>36522</v>
      </c>
      <c r="E171" s="199" t="n">
        <f aca="false">IF(A172="","",IF(AND(AT171=1,$H$3=1),D171*AO171,IF($H$3=2,D171,"N/A")))</f>
        <v>1095660</v>
      </c>
      <c r="F171" s="199" t="n">
        <f aca="false">IF(A172="","",E171*AS171)</f>
        <v>3174625.10944247</v>
      </c>
      <c r="G171" s="200" t="e">
        <f aca="false">IF($A172="","",VLOOKUP($A171,Table,MATCH(G$4,Curves,0)))</f>
        <v>#N/A</v>
      </c>
      <c r="H171" s="201" t="e">
        <f aca="false">IF(A172="","",G171)</f>
        <v>#N/A</v>
      </c>
      <c r="I171" s="202"/>
      <c r="J171" s="227" t="e">
        <f aca="false">J159</f>
        <v>#N/A</v>
      </c>
      <c r="K171" s="201" t="e">
        <f aca="false">IF(A172="","",J171)</f>
        <v>#N/A</v>
      </c>
      <c r="L171" s="200" t="e">
        <f aca="false">IF($A172="","",VLOOKUP($A171,Table,MATCH(L$4,Curves,0)))</f>
        <v>#N/A</v>
      </c>
      <c r="M171" s="201" t="e">
        <f aca="false">IF(A172="","",L171)</f>
        <v>#N/A</v>
      </c>
      <c r="N171" s="203"/>
      <c r="O171" s="200" t="e">
        <f aca="false">IF(A172="","",L171+J171+G171)</f>
        <v>#N/A</v>
      </c>
      <c r="P171" s="200" t="e">
        <f aca="false">IF(A172="","",M171+K171+H171)</f>
        <v>#N/A</v>
      </c>
      <c r="Q171" s="204"/>
      <c r="R171" s="227" t="e">
        <f aca="false">R159</f>
        <v>#N/A</v>
      </c>
      <c r="S171" s="201" t="e">
        <f aca="false">IF(A172="","",R171)</f>
        <v>#N/A</v>
      </c>
      <c r="T171" s="200" t="e">
        <f aca="false">IF($A172="","",VLOOKUP($A171,Table,MATCH(T$4,Curves,0)))</f>
        <v>#N/A</v>
      </c>
      <c r="U171" s="201" t="e">
        <f aca="false">IF(A172="","",T171)</f>
        <v>#N/A</v>
      </c>
      <c r="V171" s="225" t="e">
        <f aca="false">IF($A172="","",IF(AND(MONTH(A171)&gt;3,MONTH(A171)&lt;11),(T171+R171+G171)*(((1/(1-Summary!$T$12))/(1-Summary!$W$12))-1),(T171+R171+G171)*((1/(1-Summary!$U$12))/(1-Summary!$X$12)-1)))</f>
        <v>#N/A</v>
      </c>
      <c r="W171" s="200" t="e">
        <f aca="false">IF($A172="","",(T171+R171+G171+V171))</f>
        <v>#N/A</v>
      </c>
      <c r="X171" s="200" t="e">
        <f aca="false">IF($A172="","",(U171+S171+H171+V171))</f>
        <v>#N/A</v>
      </c>
      <c r="Y171" s="202"/>
      <c r="Z171" s="185" t="e">
        <f aca="false">IF($A172="","",VLOOKUP($A171,Table,MATCH(Z$4,Curves,0)))</f>
        <v>#N/A</v>
      </c>
      <c r="AA171" s="185" t="e">
        <f aca="false">IF($A172="","",VLOOKUP($A171,Table,MATCH(AA$4,Curves,0)))</f>
        <v>#N/A</v>
      </c>
      <c r="AB171" s="185" t="e">
        <f aca="false">SQRT((AA171^2*(A171-$D$3)+Z171^2*(DAY(EOMONTH(A171,0))/2))/AK171)</f>
        <v>#N/A</v>
      </c>
      <c r="AC171" s="185" t="e">
        <f aca="false">IF($A172="","",VLOOKUP($A171,Table,MATCH(AC$4,Curves,0)))</f>
        <v>#N/A</v>
      </c>
      <c r="AD171" s="185" t="e">
        <f aca="false">IF($A172="","",VLOOKUP($A171,Table,MATCH(AD$4,Curves,0)))</f>
        <v>#N/A</v>
      </c>
      <c r="AE171" s="185" t="e">
        <f aca="false">SQRT((AD171^2*(A171-$D$3)+AC171^2*(DAY(EOMONTH(A171,0))/2))/AK171)</f>
        <v>#N/A</v>
      </c>
      <c r="AF171" s="206" t="e">
        <f aca="false">((Summary!$N$12*(AA171*AD171)*(A171-$D$3))+(Summary!$M$12*Z171*AC171*(AJ171-EOMONTH(EDATE(A171,-1),0))))/(AK171*AB171*AE171)</f>
        <v>#N/A</v>
      </c>
      <c r="AG171" s="207" t="n">
        <f aca="false">IF($A172="","",Summary!$Q$12)</f>
        <v>0</v>
      </c>
      <c r="AH171" s="207" t="n">
        <f aca="false">IF($A172="","",IF(Summary!$R$12="Y",(VLOOKUP($A171,Summary!$AD$6:$AF$9,3)+'Escalating commodity'!H184),'Escalating commodity'!H184))</f>
        <v>0.029</v>
      </c>
      <c r="AI171" s="207" t="n">
        <f aca="false">IF($A172="","",AH171)</f>
        <v>0.029</v>
      </c>
      <c r="AJ171" s="208" t="n">
        <f aca="false">A171+DAY(EOMONTH(A171,0))/2-1</f>
        <v>41958</v>
      </c>
      <c r="AK171" s="209" t="n">
        <f aca="false">IF($A172="","",$A171-$E$1)</f>
        <v>-3982</v>
      </c>
      <c r="AL171" s="182" t="e">
        <f aca="false">IF($A172="","",SPRDOPT(P171,X171,AI171,0,AB171,AE171,AF171,AK171,$AJ$2,0))</f>
        <v>#NAME?</v>
      </c>
      <c r="AM171" s="211" t="e">
        <f aca="false">IF($A172="","",MAX(0,O171-W171-AI171))</f>
        <v>#N/A</v>
      </c>
      <c r="AN171" s="211" t="e">
        <f aca="false">IF($A172="","",AL171-AM171)</f>
        <v>#N/A</v>
      </c>
      <c r="AO171" s="137" t="n">
        <f aca="false">IF(A172="","",A172-A171)</f>
        <v>30</v>
      </c>
      <c r="AP171" s="212" t="n">
        <f aca="false">IF(A172="","",CHOOSE(F$3,A172+24,A171))</f>
        <v>41944</v>
      </c>
      <c r="AQ171" s="209" t="n">
        <f aca="false">IF(A172="","",AP171-$E$1)</f>
        <v>-3982</v>
      </c>
      <c r="AR171" s="185" t="n">
        <f aca="false">'ANR OK vs ML7'!AR171</f>
        <v>0.1</v>
      </c>
      <c r="AS171" s="213" t="n">
        <f aca="false">IF(A172="","",1/(1+CHOOSE(F$3,(AR172+($I$3/10000))/2,(AR171+($I$3/10000))/2))^(2*AQ171/365.25))</f>
        <v>2.89745460219636</v>
      </c>
      <c r="AT171" s="137" t="n">
        <f aca="false">IF(A172="","",IF(AND(mthbeg&lt;=A171,mthend&gt;=A171),1,0))</f>
        <v>1</v>
      </c>
      <c r="AU171" s="137" t="n">
        <f aca="false">IF(A172="","",AO171*AT171)</f>
        <v>30</v>
      </c>
      <c r="AW171" s="195" t="e">
        <f aca="false">IF($A172="","",AL171*$E171)</f>
        <v>#NAME?</v>
      </c>
      <c r="AX171" s="195" t="e">
        <f aca="false">IF($A172="","",AM171*$E171)</f>
        <v>#N/A</v>
      </c>
      <c r="AY171" s="195" t="e">
        <f aca="false">IF($A172="","",AN171*$E171)</f>
        <v>#N/A</v>
      </c>
      <c r="BA171" s="195" t="n">
        <f aca="false">IF($A172="","",F171*Summary!$Q$12)</f>
        <v>0</v>
      </c>
      <c r="BC171" s="179" t="e">
        <f aca="false">IF(A172="","",AM171*F171)</f>
        <v>#N/A</v>
      </c>
    </row>
    <row r="172" customFormat="false" ht="12" hidden="false" customHeight="true" outlineLevel="0" collapsed="false">
      <c r="A172" s="196" t="n">
        <f aca="false">IF(A171&lt;mthend,EDATE(A171,1),"")</f>
        <v>41974</v>
      </c>
      <c r="B172" s="197" t="n">
        <f aca="false">IF(A172&lt;mthend,B171,"")</f>
        <v>36522</v>
      </c>
      <c r="C172" s="215"/>
      <c r="D172" s="197" t="n">
        <f aca="false">IF(A173&lt;&gt;"",B172+C172,"")</f>
        <v>36522</v>
      </c>
      <c r="E172" s="199" t="n">
        <f aca="false">IF(A173="","",IF(AND(AT172=1,$H$3=1),D172*AO172,IF($H$3=2,D172,"N/A")))</f>
        <v>1132182</v>
      </c>
      <c r="F172" s="199" t="n">
        <f aca="false">IF(A173="","",E172*AS172)</f>
        <v>3254258.87338545</v>
      </c>
      <c r="G172" s="200" t="e">
        <f aca="false">IF($A173="","",VLOOKUP($A172,Table,MATCH(G$4,Curves,0)))</f>
        <v>#N/A</v>
      </c>
      <c r="H172" s="201" t="e">
        <f aca="false">IF(A173="","",G172)</f>
        <v>#N/A</v>
      </c>
      <c r="I172" s="202"/>
      <c r="J172" s="227" t="e">
        <f aca="false">J160</f>
        <v>#N/A</v>
      </c>
      <c r="K172" s="201" t="e">
        <f aca="false">IF(A173="","",J172)</f>
        <v>#N/A</v>
      </c>
      <c r="L172" s="200" t="e">
        <f aca="false">IF($A173="","",VLOOKUP($A172,Table,MATCH(L$4,Curves,0)))</f>
        <v>#N/A</v>
      </c>
      <c r="M172" s="201" t="e">
        <f aca="false">IF(A173="","",L172)</f>
        <v>#N/A</v>
      </c>
      <c r="N172" s="203"/>
      <c r="O172" s="200" t="e">
        <f aca="false">IF(A173="","",L172+J172+G172)</f>
        <v>#N/A</v>
      </c>
      <c r="P172" s="200" t="e">
        <f aca="false">IF(A173="","",M172+K172+H172)</f>
        <v>#N/A</v>
      </c>
      <c r="Q172" s="204"/>
      <c r="R172" s="227" t="e">
        <f aca="false">R160</f>
        <v>#N/A</v>
      </c>
      <c r="S172" s="201" t="e">
        <f aca="false">IF(A173="","",R172)</f>
        <v>#N/A</v>
      </c>
      <c r="T172" s="200" t="e">
        <f aca="false">IF($A173="","",VLOOKUP($A172,Table,MATCH(T$4,Curves,0)))</f>
        <v>#N/A</v>
      </c>
      <c r="U172" s="201" t="e">
        <f aca="false">IF(A173="","",T172)</f>
        <v>#N/A</v>
      </c>
      <c r="V172" s="225" t="e">
        <f aca="false">IF($A173="","",IF(AND(MONTH(A172)&gt;3,MONTH(A172)&lt;11),(T172+R172+G172)*(((1/(1-Summary!$T$12))/(1-Summary!$W$12))-1),(T172+R172+G172)*((1/(1-Summary!$U$12))/(1-Summary!$X$12)-1)))</f>
        <v>#N/A</v>
      </c>
      <c r="W172" s="200" t="e">
        <f aca="false">IF($A173="","",(T172+R172+G172+V172))</f>
        <v>#N/A</v>
      </c>
      <c r="X172" s="200" t="e">
        <f aca="false">IF($A173="","",(U172+S172+H172+V172))</f>
        <v>#N/A</v>
      </c>
      <c r="Y172" s="202"/>
      <c r="Z172" s="185" t="e">
        <f aca="false">IF($A173="","",VLOOKUP($A172,Table,MATCH(Z$4,Curves,0)))</f>
        <v>#N/A</v>
      </c>
      <c r="AA172" s="185" t="e">
        <f aca="false">IF($A173="","",VLOOKUP($A172,Table,MATCH(AA$4,Curves,0)))</f>
        <v>#N/A</v>
      </c>
      <c r="AB172" s="185" t="e">
        <f aca="false">SQRT((AA172^2*(A172-$D$3)+Z172^2*(DAY(EOMONTH(A172,0))/2))/AK172)</f>
        <v>#N/A</v>
      </c>
      <c r="AC172" s="185" t="e">
        <f aca="false">IF($A173="","",VLOOKUP($A172,Table,MATCH(AC$4,Curves,0)))</f>
        <v>#N/A</v>
      </c>
      <c r="AD172" s="185" t="e">
        <f aca="false">IF($A173="","",VLOOKUP($A172,Table,MATCH(AD$4,Curves,0)))</f>
        <v>#N/A</v>
      </c>
      <c r="AE172" s="185" t="e">
        <f aca="false">SQRT((AD172^2*(A172-$D$3)+AC172^2*(DAY(EOMONTH(A172,0))/2))/AK172)</f>
        <v>#N/A</v>
      </c>
      <c r="AF172" s="206" t="e">
        <f aca="false">((Summary!$N$12*(AA172*AD172)*(A172-$D$3))+(Summary!$M$12*Z172*AC172*(AJ172-EOMONTH(EDATE(A172,-1),0))))/(AK172*AB172*AE172)</f>
        <v>#N/A</v>
      </c>
      <c r="AG172" s="207" t="n">
        <f aca="false">IF($A173="","",Summary!$Q$12)</f>
        <v>0</v>
      </c>
      <c r="AH172" s="207" t="n">
        <f aca="false">IF($A173="","",IF(Summary!$R$12="Y",(VLOOKUP($A172,Summary!$AD$6:$AF$9,3)+'Escalating commodity'!H185),'Escalating commodity'!H185))</f>
        <v>0.029</v>
      </c>
      <c r="AI172" s="207" t="n">
        <f aca="false">IF($A173="","",AH172)</f>
        <v>0.029</v>
      </c>
      <c r="AJ172" s="208" t="n">
        <f aca="false">A172+DAY(EOMONTH(A172,0))/2-1</f>
        <v>41988.5</v>
      </c>
      <c r="AK172" s="209" t="n">
        <f aca="false">IF($A173="","",$A172-$E$1)</f>
        <v>-3952</v>
      </c>
      <c r="AL172" s="182" t="e">
        <f aca="false">IF($A173="","",SPRDOPT(P172,X172,AI172,0,AB172,AE172,AF172,AK172,$AJ$2,0))</f>
        <v>#NAME?</v>
      </c>
      <c r="AM172" s="211" t="e">
        <f aca="false">IF($A173="","",MAX(0,O172-W172-AI172))</f>
        <v>#N/A</v>
      </c>
      <c r="AN172" s="211" t="e">
        <f aca="false">IF($A173="","",AL172-AM172)</f>
        <v>#N/A</v>
      </c>
      <c r="AO172" s="137" t="n">
        <f aca="false">IF(A173="","",A173-A172)</f>
        <v>31</v>
      </c>
      <c r="AP172" s="212" t="n">
        <f aca="false">IF(A173="","",CHOOSE(F$3,A173+24,A172))</f>
        <v>41974</v>
      </c>
      <c r="AQ172" s="209" t="n">
        <f aca="false">IF(A173="","",AP172-$E$1)</f>
        <v>-3952</v>
      </c>
      <c r="AR172" s="185" t="n">
        <f aca="false">'ANR OK vs ML7'!AR172</f>
        <v>0.1</v>
      </c>
      <c r="AS172" s="213" t="n">
        <f aca="false">IF(A173="","",1/(1+CHOOSE(F$3,(AR173+($I$3/10000))/2,(AR172+($I$3/10000))/2))^(2*AQ172/365.25))</f>
        <v>2.87432486418743</v>
      </c>
      <c r="AT172" s="137" t="n">
        <f aca="false">IF(A173="","",IF(AND(mthbeg&lt;=A172,mthend&gt;=A172),1,0))</f>
        <v>1</v>
      </c>
      <c r="AU172" s="137" t="n">
        <f aca="false">IF(A173="","",AO172*AT172)</f>
        <v>31</v>
      </c>
      <c r="AW172" s="195" t="e">
        <f aca="false">IF($A173="","",AL172*$E172)</f>
        <v>#NAME?</v>
      </c>
      <c r="AX172" s="195" t="e">
        <f aca="false">IF($A173="","",AM172*$E172)</f>
        <v>#N/A</v>
      </c>
      <c r="AY172" s="195" t="e">
        <f aca="false">IF($A173="","",AN172*$E172)</f>
        <v>#N/A</v>
      </c>
      <c r="BA172" s="195" t="n">
        <f aca="false">IF($A173="","",F172*Summary!$Q$12)</f>
        <v>0</v>
      </c>
      <c r="BC172" s="179" t="e">
        <f aca="false">IF(A173="","",AM172*F172)</f>
        <v>#N/A</v>
      </c>
    </row>
    <row r="173" customFormat="false" ht="12" hidden="false" customHeight="true" outlineLevel="0" collapsed="false">
      <c r="A173" s="196" t="n">
        <f aca="false">IF(A172&lt;mthend,EDATE(A172,1),"")</f>
        <v>42005</v>
      </c>
      <c r="B173" s="197" t="n">
        <f aca="false">IF(A173&lt;mthend,B172,"")</f>
        <v>36522</v>
      </c>
      <c r="C173" s="215"/>
      <c r="D173" s="197" t="n">
        <f aca="false">IF(A174&lt;&gt;"",B173+C173,"")</f>
        <v>36522</v>
      </c>
      <c r="E173" s="199" t="n">
        <f aca="false">IF(A174="","",IF(AND(AT173=1,$H$3=1),D173*AO173,IF($H$3=2,D173,"N/A")))</f>
        <v>1132182</v>
      </c>
      <c r="F173" s="199" t="n">
        <f aca="false">IF(A174="","",E173*AS173)</f>
        <v>3227418.49241294</v>
      </c>
      <c r="G173" s="200" t="e">
        <f aca="false">IF($A174="","",VLOOKUP($A173,Table,MATCH(G$4,Curves,0)))</f>
        <v>#N/A</v>
      </c>
      <c r="H173" s="201" t="e">
        <f aca="false">IF(A174="","",G173)</f>
        <v>#N/A</v>
      </c>
      <c r="I173" s="202"/>
      <c r="J173" s="227" t="e">
        <f aca="false">J161</f>
        <v>#N/A</v>
      </c>
      <c r="K173" s="201" t="e">
        <f aca="false">IF(A174="","",J173)</f>
        <v>#N/A</v>
      </c>
      <c r="L173" s="200" t="e">
        <f aca="false">IF($A174="","",VLOOKUP($A173,Table,MATCH(L$4,Curves,0)))</f>
        <v>#N/A</v>
      </c>
      <c r="M173" s="201" t="e">
        <f aca="false">IF(A174="","",L173)</f>
        <v>#N/A</v>
      </c>
      <c r="N173" s="203"/>
      <c r="O173" s="200" t="e">
        <f aca="false">IF(A174="","",L173+J173+G173)</f>
        <v>#N/A</v>
      </c>
      <c r="P173" s="200" t="e">
        <f aca="false">IF(A174="","",M173+K173+H173)</f>
        <v>#N/A</v>
      </c>
      <c r="Q173" s="204"/>
      <c r="R173" s="227" t="e">
        <f aca="false">R161</f>
        <v>#N/A</v>
      </c>
      <c r="S173" s="201" t="e">
        <f aca="false">IF(A174="","",R173)</f>
        <v>#N/A</v>
      </c>
      <c r="T173" s="200" t="e">
        <f aca="false">IF($A174="","",VLOOKUP($A173,Table,MATCH(T$4,Curves,0)))</f>
        <v>#N/A</v>
      </c>
      <c r="U173" s="201" t="e">
        <f aca="false">IF(A174="","",T173)</f>
        <v>#N/A</v>
      </c>
      <c r="V173" s="225" t="e">
        <f aca="false">IF($A174="","",IF(AND(MONTH(A173)&gt;3,MONTH(A173)&lt;11),(T173+R173+G173)*(((1/(1-Summary!$T$12))/(1-Summary!$W$12))-1),(T173+R173+G173)*((1/(1-Summary!$U$12))/(1-Summary!$X$12)-1)))</f>
        <v>#N/A</v>
      </c>
      <c r="W173" s="200" t="e">
        <f aca="false">IF($A174="","",(T173+R173+G173+V173))</f>
        <v>#N/A</v>
      </c>
      <c r="X173" s="200" t="e">
        <f aca="false">IF($A174="","",(U173+S173+H173+V173))</f>
        <v>#N/A</v>
      </c>
      <c r="Y173" s="202"/>
      <c r="Z173" s="185" t="e">
        <f aca="false">IF($A174="","",VLOOKUP($A173,Table,MATCH(Z$4,Curves,0)))</f>
        <v>#N/A</v>
      </c>
      <c r="AA173" s="185" t="e">
        <f aca="false">IF($A174="","",VLOOKUP($A173,Table,MATCH(AA$4,Curves,0)))</f>
        <v>#N/A</v>
      </c>
      <c r="AB173" s="185" t="e">
        <f aca="false">SQRT((AA173^2*(A173-$D$3)+Z173^2*(DAY(EOMONTH(A173,0))/2))/AK173)</f>
        <v>#N/A</v>
      </c>
      <c r="AC173" s="185" t="e">
        <f aca="false">IF($A174="","",VLOOKUP($A173,Table,MATCH(AC$4,Curves,0)))</f>
        <v>#N/A</v>
      </c>
      <c r="AD173" s="185" t="e">
        <f aca="false">IF($A174="","",VLOOKUP($A173,Table,MATCH(AD$4,Curves,0)))</f>
        <v>#N/A</v>
      </c>
      <c r="AE173" s="185" t="e">
        <f aca="false">SQRT((AD173^2*(A173-$D$3)+AC173^2*(DAY(EOMONTH(A173,0))/2))/AK173)</f>
        <v>#N/A</v>
      </c>
      <c r="AF173" s="206" t="e">
        <f aca="false">((Summary!$N$12*(AA173*AD173)*(A173-$D$3))+(Summary!$M$12*Z173*AC173*(AJ173-EOMONTH(EDATE(A173,-1),0))))/(AK173*AB173*AE173)</f>
        <v>#N/A</v>
      </c>
      <c r="AG173" s="207" t="n">
        <f aca="false">IF($A174="","",Summary!$Q$12)</f>
        <v>0</v>
      </c>
      <c r="AH173" s="207" t="n">
        <f aca="false">IF($A174="","",IF(Summary!$R$12="Y",(VLOOKUP($A173,Summary!$AD$6:$AF$9,3)+'Escalating commodity'!H186),'Escalating commodity'!H186))</f>
        <v>0</v>
      </c>
      <c r="AI173" s="207" t="n">
        <f aca="false">IF($A174="","",AH173)</f>
        <v>0</v>
      </c>
      <c r="AJ173" s="208" t="n">
        <f aca="false">A173+DAY(EOMONTH(A173,0))/2-1</f>
        <v>42019.5</v>
      </c>
      <c r="AK173" s="209" t="n">
        <f aca="false">IF($A174="","",$A173-$E$1)</f>
        <v>-3921</v>
      </c>
      <c r="AL173" s="182" t="e">
        <f aca="false">IF($A174="","",SPRDOPT(P173,X173,AI173,0,AB173,AE173,AF173,AK173,$AJ$2,0))</f>
        <v>#NAME?</v>
      </c>
      <c r="AM173" s="211" t="e">
        <f aca="false">IF($A174="","",MAX(0,O173-W173-AI173))</f>
        <v>#N/A</v>
      </c>
      <c r="AN173" s="211" t="e">
        <f aca="false">IF($A174="","",AL173-AM173)</f>
        <v>#N/A</v>
      </c>
      <c r="AO173" s="137" t="n">
        <f aca="false">IF(A174="","",A174-A173)</f>
        <v>31</v>
      </c>
      <c r="AP173" s="212" t="n">
        <f aca="false">IF(A174="","",CHOOSE(F$3,A174+24,A173))</f>
        <v>42005</v>
      </c>
      <c r="AQ173" s="209" t="n">
        <f aca="false">IF(A174="","",AP173-$E$1)</f>
        <v>-3921</v>
      </c>
      <c r="AR173" s="185" t="n">
        <f aca="false">'ANR OK vs ML7'!AR173</f>
        <v>0.1</v>
      </c>
      <c r="AS173" s="213" t="n">
        <f aca="false">IF(A174="","",1/(1+CHOOSE(F$3,(AR174+($I$3/10000))/2,(AR173+($I$3/10000))/2))^(2*AQ173/365.25))</f>
        <v>2.85061809180233</v>
      </c>
      <c r="AT173" s="137" t="n">
        <f aca="false">IF(A174="","",IF(AND(mthbeg&lt;=A173,mthend&gt;=A173),1,0))</f>
        <v>1</v>
      </c>
      <c r="AU173" s="137" t="n">
        <f aca="false">IF(A174="","",AO173*AT173)</f>
        <v>31</v>
      </c>
      <c r="AW173" s="195" t="e">
        <f aca="false">IF($A174="","",AL173*$E173)</f>
        <v>#NAME?</v>
      </c>
      <c r="AX173" s="195" t="e">
        <f aca="false">IF($A174="","",AM173*$E173)</f>
        <v>#N/A</v>
      </c>
      <c r="AY173" s="195" t="e">
        <f aca="false">IF($A174="","",AN173*$E173)</f>
        <v>#N/A</v>
      </c>
      <c r="BA173" s="195" t="n">
        <f aca="false">IF($A174="","",F173*Summary!$Q$12)</f>
        <v>0</v>
      </c>
      <c r="BC173" s="179" t="e">
        <f aca="false">IF(A174="","",AM173*F173)</f>
        <v>#N/A</v>
      </c>
    </row>
    <row r="174" customFormat="false" ht="12" hidden="false" customHeight="true" outlineLevel="0" collapsed="false">
      <c r="A174" s="196" t="n">
        <f aca="false">IF(A173&lt;mthend,EDATE(A173,1),"")</f>
        <v>42036</v>
      </c>
      <c r="B174" s="197" t="n">
        <f aca="false">IF(A174&lt;mthend,B173,"")</f>
        <v>36522</v>
      </c>
      <c r="C174" s="215"/>
      <c r="D174" s="197" t="n">
        <f aca="false">IF(A175&lt;&gt;"",B174+C174,"")</f>
        <v>36522</v>
      </c>
      <c r="E174" s="199" t="n">
        <f aca="false">IF(A175="","",IF(AND(AT174=1,$H$3=1),D174*AO174,IF($H$3=2,D174,"N/A")))</f>
        <v>1022616</v>
      </c>
      <c r="F174" s="199" t="n">
        <f aca="false">IF(A175="","",E174*AS174)</f>
        <v>2891044.69590149</v>
      </c>
      <c r="G174" s="200" t="e">
        <f aca="false">IF($A175="","",VLOOKUP($A174,Table,MATCH(G$4,Curves,0)))</f>
        <v>#N/A</v>
      </c>
      <c r="H174" s="201" t="e">
        <f aca="false">IF(A175="","",G174)</f>
        <v>#N/A</v>
      </c>
      <c r="I174" s="202"/>
      <c r="J174" s="227" t="e">
        <f aca="false">J162</f>
        <v>#N/A</v>
      </c>
      <c r="K174" s="201" t="e">
        <f aca="false">IF(A175="","",J174)</f>
        <v>#N/A</v>
      </c>
      <c r="L174" s="200" t="e">
        <f aca="false">IF($A175="","",VLOOKUP($A174,Table,MATCH(L$4,Curves,0)))</f>
        <v>#N/A</v>
      </c>
      <c r="M174" s="201" t="e">
        <f aca="false">IF(A175="","",L174)</f>
        <v>#N/A</v>
      </c>
      <c r="N174" s="203"/>
      <c r="O174" s="200" t="e">
        <f aca="false">IF(A175="","",L174+J174+G174)</f>
        <v>#N/A</v>
      </c>
      <c r="P174" s="200" t="e">
        <f aca="false">IF(A175="","",M174+K174+H174)</f>
        <v>#N/A</v>
      </c>
      <c r="Q174" s="204"/>
      <c r="R174" s="227" t="e">
        <f aca="false">R162</f>
        <v>#N/A</v>
      </c>
      <c r="S174" s="201" t="e">
        <f aca="false">IF(A175="","",R174)</f>
        <v>#N/A</v>
      </c>
      <c r="T174" s="200" t="e">
        <f aca="false">IF($A175="","",VLOOKUP($A174,Table,MATCH(T$4,Curves,0)))</f>
        <v>#N/A</v>
      </c>
      <c r="U174" s="201" t="e">
        <f aca="false">IF(A175="","",T174)</f>
        <v>#N/A</v>
      </c>
      <c r="V174" s="225" t="e">
        <f aca="false">IF($A175="","",IF(AND(MONTH(A174)&gt;3,MONTH(A174)&lt;11),(T174+R174+G174)*(((1/(1-Summary!$T$12))/(1-Summary!$W$12))-1),(T174+R174+G174)*((1/(1-Summary!$U$12))/(1-Summary!$X$12)-1)))</f>
        <v>#N/A</v>
      </c>
      <c r="W174" s="200" t="e">
        <f aca="false">IF($A175="","",(T174+R174+G174+V174))</f>
        <v>#N/A</v>
      </c>
      <c r="X174" s="200" t="e">
        <f aca="false">IF($A175="","",(U174+S174+H174+V174))</f>
        <v>#N/A</v>
      </c>
      <c r="Y174" s="202"/>
      <c r="Z174" s="185" t="e">
        <f aca="false">IF($A175="","",VLOOKUP($A174,Table,MATCH(Z$4,Curves,0)))</f>
        <v>#N/A</v>
      </c>
      <c r="AA174" s="185" t="e">
        <f aca="false">IF($A175="","",VLOOKUP($A174,Table,MATCH(AA$4,Curves,0)))</f>
        <v>#N/A</v>
      </c>
      <c r="AB174" s="185" t="e">
        <f aca="false">SQRT((AA174^2*(A174-$D$3)+Z174^2*(DAY(EOMONTH(A174,0))/2))/AK174)</f>
        <v>#N/A</v>
      </c>
      <c r="AC174" s="185" t="e">
        <f aca="false">IF($A175="","",VLOOKUP($A174,Table,MATCH(AC$4,Curves,0)))</f>
        <v>#N/A</v>
      </c>
      <c r="AD174" s="185" t="e">
        <f aca="false">IF($A175="","",VLOOKUP($A174,Table,MATCH(AD$4,Curves,0)))</f>
        <v>#N/A</v>
      </c>
      <c r="AE174" s="185" t="e">
        <f aca="false">SQRT((AD174^2*(A174-$D$3)+AC174^2*(DAY(EOMONTH(A174,0))/2))/AK174)</f>
        <v>#N/A</v>
      </c>
      <c r="AF174" s="206" t="e">
        <f aca="false">((Summary!$N$12*(AA174*AD174)*(A174-$D$3))+(Summary!$M$12*Z174*AC174*(AJ174-EOMONTH(EDATE(A174,-1),0))))/(AK174*AB174*AE174)</f>
        <v>#N/A</v>
      </c>
      <c r="AG174" s="207" t="n">
        <f aca="false">IF($A175="","",Summary!$Q$12)</f>
        <v>0</v>
      </c>
      <c r="AH174" s="207" t="n">
        <f aca="false">IF($A175="","",IF(Summary!$R$12="Y",(VLOOKUP($A174,Summary!$AD$6:$AF$9,3)+'Escalating commodity'!H187),'Escalating commodity'!H187))</f>
        <v>0</v>
      </c>
      <c r="AI174" s="207" t="n">
        <f aca="false">IF($A175="","",AH174)</f>
        <v>0</v>
      </c>
      <c r="AJ174" s="208" t="n">
        <f aca="false">A174+DAY(EOMONTH(A174,0))/2-1</f>
        <v>42049</v>
      </c>
      <c r="AK174" s="209" t="n">
        <f aca="false">IF($A175="","",$A174-$E$1)</f>
        <v>-3890</v>
      </c>
      <c r="AL174" s="182" t="e">
        <f aca="false">IF($A175="","",SPRDOPT(P174,X174,AI174,0,AB174,AE174,AF174,AK174,$AJ$2,0))</f>
        <v>#NAME?</v>
      </c>
      <c r="AM174" s="211" t="e">
        <f aca="false">IF($A175="","",MAX(0,O174-W174-AI174))</f>
        <v>#N/A</v>
      </c>
      <c r="AN174" s="211" t="e">
        <f aca="false">IF($A175="","",AL174-AM174)</f>
        <v>#N/A</v>
      </c>
      <c r="AO174" s="137" t="n">
        <f aca="false">IF(A175="","",A175-A174)</f>
        <v>28</v>
      </c>
      <c r="AP174" s="212" t="n">
        <f aca="false">IF(A175="","",CHOOSE(F$3,A175+24,A174))</f>
        <v>42036</v>
      </c>
      <c r="AQ174" s="209" t="n">
        <f aca="false">IF(A175="","",AP174-$E$1)</f>
        <v>-3890</v>
      </c>
      <c r="AR174" s="185" t="n">
        <f aca="false">'ANR OK vs ML7'!AR174</f>
        <v>0.1</v>
      </c>
      <c r="AS174" s="213" t="n">
        <f aca="false">IF(A175="","",1/(1+CHOOSE(F$3,(AR175+($I$3/10000))/2,(AR174+($I$3/10000))/2))^(2*AQ174/365.25))</f>
        <v>2.8271068474398</v>
      </c>
      <c r="AT174" s="137" t="n">
        <f aca="false">IF(A175="","",IF(AND(mthbeg&lt;=A174,mthend&gt;=A174),1,0))</f>
        <v>1</v>
      </c>
      <c r="AU174" s="137" t="n">
        <f aca="false">IF(A175="","",AO174*AT174)</f>
        <v>28</v>
      </c>
      <c r="AW174" s="195" t="e">
        <f aca="false">IF($A175="","",AL174*$E174)</f>
        <v>#NAME?</v>
      </c>
      <c r="AX174" s="195" t="e">
        <f aca="false">IF($A175="","",AM174*$E174)</f>
        <v>#N/A</v>
      </c>
      <c r="AY174" s="195" t="e">
        <f aca="false">IF($A175="","",AN174*$E174)</f>
        <v>#N/A</v>
      </c>
      <c r="BA174" s="195" t="n">
        <f aca="false">IF($A175="","",F174*Summary!$Q$12)</f>
        <v>0</v>
      </c>
    </row>
    <row r="175" customFormat="false" ht="12" hidden="false" customHeight="true" outlineLevel="0" collapsed="false">
      <c r="A175" s="196" t="n">
        <f aca="false">IF(A174&lt;mthend,EDATE(A174,1),"")</f>
        <v>42064</v>
      </c>
      <c r="B175" s="197" t="n">
        <f aca="false">IF(A175&lt;mthend,B174,"")</f>
        <v>36522</v>
      </c>
      <c r="C175" s="215"/>
      <c r="D175" s="197" t="n">
        <f aca="false">IF(A176&lt;&gt;"",B175+C175,"")</f>
        <v>36522</v>
      </c>
      <c r="E175" s="199" t="n">
        <f aca="false">IF(A176="","",IF(AND(AT175=1,$H$3=1),D175*AO175,IF($H$3=2,D175,"N/A")))</f>
        <v>1132182</v>
      </c>
      <c r="F175" s="199" t="n">
        <f aca="false">IF(A176="","",E175*AS175)</f>
        <v>3176945.26613851</v>
      </c>
      <c r="G175" s="200" t="e">
        <f aca="false">IF($A176="","",VLOOKUP($A175,Table,MATCH(G$4,Curves,0)))</f>
        <v>#N/A</v>
      </c>
      <c r="H175" s="201" t="e">
        <f aca="false">IF(A176="","",G175)</f>
        <v>#N/A</v>
      </c>
      <c r="I175" s="202"/>
      <c r="J175" s="227" t="e">
        <f aca="false">J163</f>
        <v>#N/A</v>
      </c>
      <c r="K175" s="201" t="e">
        <f aca="false">IF(A176="","",J175)</f>
        <v>#N/A</v>
      </c>
      <c r="L175" s="200" t="e">
        <f aca="false">IF($A176="","",VLOOKUP($A175,Table,MATCH(L$4,Curves,0)))</f>
        <v>#N/A</v>
      </c>
      <c r="M175" s="201" t="e">
        <f aca="false">IF(A176="","",L175)</f>
        <v>#N/A</v>
      </c>
      <c r="N175" s="203"/>
      <c r="O175" s="200" t="e">
        <f aca="false">IF(A176="","",L175+J175+G175)</f>
        <v>#N/A</v>
      </c>
      <c r="P175" s="200" t="e">
        <f aca="false">IF(A176="","",M175+K175+H175)</f>
        <v>#N/A</v>
      </c>
      <c r="Q175" s="204"/>
      <c r="R175" s="227" t="e">
        <f aca="false">R163</f>
        <v>#N/A</v>
      </c>
      <c r="S175" s="201" t="e">
        <f aca="false">IF(A176="","",R175)</f>
        <v>#N/A</v>
      </c>
      <c r="T175" s="200" t="e">
        <f aca="false">IF($A176="","",VLOOKUP($A175,Table,MATCH(T$4,Curves,0)))</f>
        <v>#N/A</v>
      </c>
      <c r="U175" s="201" t="e">
        <f aca="false">IF(A176="","",T175)</f>
        <v>#N/A</v>
      </c>
      <c r="V175" s="225" t="e">
        <f aca="false">IF($A176="","",IF(AND(MONTH(A175)&gt;3,MONTH(A175)&lt;11),(T175+R175+G175)*(((1/(1-Summary!$T$12))/(1-Summary!$W$12))-1),(T175+R175+G175)*((1/(1-Summary!$U$12))/(1-Summary!$X$12)-1)))</f>
        <v>#N/A</v>
      </c>
      <c r="W175" s="200" t="e">
        <f aca="false">IF($A176="","",(T175+R175+G175+V175))</f>
        <v>#N/A</v>
      </c>
      <c r="X175" s="200" t="e">
        <f aca="false">IF($A176="","",(U175+S175+H175+V175))</f>
        <v>#N/A</v>
      </c>
      <c r="Y175" s="202"/>
      <c r="Z175" s="185" t="e">
        <f aca="false">IF($A176="","",VLOOKUP($A175,Table,MATCH(Z$4,Curves,0)))</f>
        <v>#N/A</v>
      </c>
      <c r="AA175" s="185" t="e">
        <f aca="false">IF($A176="","",VLOOKUP($A175,Table,MATCH(AA$4,Curves,0)))</f>
        <v>#N/A</v>
      </c>
      <c r="AB175" s="185" t="e">
        <f aca="false">SQRT((AA175^2*(A175-$D$3)+Z175^2*(DAY(EOMONTH(A175,0))/2))/AK175)</f>
        <v>#N/A</v>
      </c>
      <c r="AC175" s="185" t="e">
        <f aca="false">IF($A176="","",VLOOKUP($A175,Table,MATCH(AC$4,Curves,0)))</f>
        <v>#N/A</v>
      </c>
      <c r="AD175" s="185" t="e">
        <f aca="false">IF($A176="","",VLOOKUP($A175,Table,MATCH(AD$4,Curves,0)))</f>
        <v>#N/A</v>
      </c>
      <c r="AE175" s="185" t="e">
        <f aca="false">SQRT((AD175^2*(A175-$D$3)+AC175^2*(DAY(EOMONTH(A175,0))/2))/AK175)</f>
        <v>#N/A</v>
      </c>
      <c r="AF175" s="206" t="e">
        <f aca="false">((Summary!$N$12*(AA175*AD175)*(A175-$D$3))+(Summary!$M$12*Z175*AC175*(AJ175-EOMONTH(EDATE(A175,-1),0))))/(AK175*AB175*AE175)</f>
        <v>#N/A</v>
      </c>
      <c r="AG175" s="207" t="n">
        <f aca="false">IF($A176="","",Summary!$Q$12)</f>
        <v>0</v>
      </c>
      <c r="AH175" s="207" t="n">
        <f aca="false">IF($A176="","",IF(Summary!$R$12="Y",(VLOOKUP($A175,Summary!$AD$6:$AF$9,3)+'Escalating commodity'!H188),'Escalating commodity'!H188))</f>
        <v>0</v>
      </c>
      <c r="AI175" s="207" t="n">
        <f aca="false">IF($A176="","",AH175)</f>
        <v>0</v>
      </c>
      <c r="AJ175" s="208" t="n">
        <f aca="false">A175+DAY(EOMONTH(A175,0))/2-1</f>
        <v>42078.5</v>
      </c>
      <c r="AK175" s="209" t="n">
        <f aca="false">IF($A176="","",$A175-$E$1)</f>
        <v>-3862</v>
      </c>
      <c r="AL175" s="182" t="e">
        <f aca="false">IF($A176="","",SPRDOPT(P175,X175,AI175,0,AB175,AE175,AF175,AK175,$AJ$2,0))</f>
        <v>#NAME?</v>
      </c>
      <c r="AM175" s="211" t="e">
        <f aca="false">IF($A176="","",MAX(0,O175-W175-AI175))</f>
        <v>#N/A</v>
      </c>
      <c r="AN175" s="211" t="e">
        <f aca="false">IF($A176="","",AL175-AM175)</f>
        <v>#N/A</v>
      </c>
      <c r="AO175" s="137" t="n">
        <f aca="false">IF(A176="","",A176-A175)</f>
        <v>31</v>
      </c>
      <c r="AP175" s="212" t="n">
        <f aca="false">IF(A176="","",CHOOSE(F$3,A176+24,A175))</f>
        <v>42064</v>
      </c>
      <c r="AQ175" s="209" t="n">
        <f aca="false">IF(A176="","",AP175-$E$1)</f>
        <v>-3862</v>
      </c>
      <c r="AR175" s="185" t="n">
        <f aca="false">'ANR OK vs ML7'!AR175</f>
        <v>0.1</v>
      </c>
      <c r="AS175" s="213" t="n">
        <f aca="false">IF(A176="","",1/(1+CHOOSE(F$3,(AR176+($I$3/10000))/2,(AR175+($I$3/10000))/2))^(2*AQ175/365.25))</f>
        <v>2.80603760361718</v>
      </c>
      <c r="AT175" s="137" t="n">
        <f aca="false">IF(A176="","",IF(AND(mthbeg&lt;=A175,mthend&gt;=A175),1,0))</f>
        <v>1</v>
      </c>
      <c r="AU175" s="137" t="n">
        <f aca="false">IF(A176="","",AO175*AT175)</f>
        <v>31</v>
      </c>
      <c r="AW175" s="195" t="e">
        <f aca="false">IF($A176="","",AL175*$E175)</f>
        <v>#NAME?</v>
      </c>
      <c r="AX175" s="195" t="e">
        <f aca="false">IF($A176="","",AM175*$E175)</f>
        <v>#N/A</v>
      </c>
      <c r="AY175" s="195" t="e">
        <f aca="false">IF($A176="","",AN175*$E175)</f>
        <v>#N/A</v>
      </c>
      <c r="BA175" s="195" t="n">
        <f aca="false">IF($A176="","",F175*Summary!$Q$12)</f>
        <v>0</v>
      </c>
    </row>
    <row r="176" customFormat="false" ht="12" hidden="false" customHeight="true" outlineLevel="0" collapsed="false">
      <c r="A176" s="196" t="n">
        <f aca="false">IF(A175&lt;mthend,EDATE(A175,1),"")</f>
        <v>42095</v>
      </c>
      <c r="B176" s="197" t="str">
        <f aca="false">IF(A176&lt;mthend,B175,"")</f>
        <v/>
      </c>
      <c r="C176" s="215"/>
      <c r="D176" s="197" t="str">
        <f aca="false">IF(A177&lt;&gt;"",B176+C176,"")</f>
        <v/>
      </c>
      <c r="E176" s="199" t="str">
        <f aca="false">IF(A177="","",IF(AND(AT176=1,$H$3=1),D176*AO176,IF($H$3=2,D176,"N/A")))</f>
        <v/>
      </c>
      <c r="F176" s="199" t="str">
        <f aca="false">IF(A177="","",E176*AS176)</f>
        <v/>
      </c>
      <c r="G176" s="200" t="str">
        <f aca="false">IF($A177="","",VLOOKUP($A176,Table,MATCH(G$4,Curves,0)))</f>
        <v/>
      </c>
      <c r="H176" s="201" t="str">
        <f aca="false">IF(A177="","",G176)</f>
        <v/>
      </c>
      <c r="I176" s="202"/>
      <c r="J176" s="200" t="str">
        <f aca="false">IF($A177="","",VLOOKUP($A176,Table,MATCH(J$4,Curves,0)))</f>
        <v/>
      </c>
      <c r="K176" s="201" t="str">
        <f aca="false">IF(A177="","",J176)</f>
        <v/>
      </c>
      <c r="L176" s="200" t="str">
        <f aca="false">IF($A177="","",VLOOKUP($A176,Table,MATCH(L$4,Curves,0)))</f>
        <v/>
      </c>
      <c r="M176" s="201" t="str">
        <f aca="false">IF(A177="","",L176)</f>
        <v/>
      </c>
      <c r="N176" s="203"/>
      <c r="O176" s="200" t="str">
        <f aca="false">IF(A177="","",L176+J176+G176)</f>
        <v/>
      </c>
      <c r="P176" s="200" t="str">
        <f aca="false">IF(A177="","",M176+K176+H176)</f>
        <v/>
      </c>
      <c r="Q176" s="204"/>
      <c r="R176" s="200" t="str">
        <f aca="false">IF($A177="","",VLOOKUP($A176,Table,MATCH(R$4,Curves,0)))</f>
        <v/>
      </c>
      <c r="S176" s="201" t="str">
        <f aca="false">IF(A177="","",R176)</f>
        <v/>
      </c>
      <c r="T176" s="200" t="str">
        <f aca="false">IF($A177="","",VLOOKUP($A176,Table,MATCH(T$4,Curves,0)))</f>
        <v/>
      </c>
      <c r="U176" s="201" t="str">
        <f aca="false">IF(A177="","",T176)</f>
        <v/>
      </c>
      <c r="V176" s="225" t="str">
        <f aca="false">IF($A177="","",IF(AND(MONTH(A176)&gt;3,MONTH(A176)&lt;11),(T176+R176+G176)*(((1/(1-Summary!$T$12))/(1-Summary!$W$12))-1),(T176+R176+G176)*((1/(1-Summary!$U$12))/(1-Summary!$X$12)-1)))</f>
        <v/>
      </c>
      <c r="W176" s="200" t="str">
        <f aca="false">IF($A177="","",(T176+R176+G176+V176))</f>
        <v/>
      </c>
      <c r="X176" s="200" t="str">
        <f aca="false">IF($A177="","",(U176+S176+H176+V176))</f>
        <v/>
      </c>
      <c r="Y176" s="202"/>
      <c r="Z176" s="185" t="str">
        <f aca="false">IF($A177="","",VLOOKUP($A176,Table,MATCH(Z$4,Curves,0)))</f>
        <v/>
      </c>
      <c r="AA176" s="185" t="str">
        <f aca="false">IF($A177="","",VLOOKUP($A176,Table,MATCH(AA$4,Curves,0)))</f>
        <v/>
      </c>
      <c r="AB176" s="185" t="e">
        <f aca="false">SQRT((AA176^2*(A176-$D$3)+Z176^2*(DAY(EOMONTH(A176,0))/2))/AK176)</f>
        <v>#VALUE!</v>
      </c>
      <c r="AC176" s="185" t="str">
        <f aca="false">IF($A177="","",VLOOKUP($A176,Table,MATCH(AC$4,Curves,0)))</f>
        <v/>
      </c>
      <c r="AD176" s="185" t="str">
        <f aca="false">IF($A177="","",VLOOKUP($A176,Table,MATCH(AD$4,Curves,0)))</f>
        <v/>
      </c>
      <c r="AE176" s="185" t="e">
        <f aca="false">SQRT((AD176^2*(A176-$D$3)+AC176^2*(DAY(EOMONTH(A176,0))/2))/AK176)</f>
        <v>#VALUE!</v>
      </c>
      <c r="AF176" s="206" t="e">
        <f aca="false">((Summary!$N$12*(AA176*AD176)*(A176-$D$3))+(Summary!$M$12*Z176*AC176*(AJ176-EOMONTH(EDATE(A176,-1),0))))/(AK176*AB176*AE176)</f>
        <v>#VALUE!</v>
      </c>
      <c r="AG176" s="207" t="str">
        <f aca="false">IF($A177="","",Summary!$Q$12)</f>
        <v/>
      </c>
      <c r="AH176" s="207" t="str">
        <f aca="false">IF($A177="","",IF(Summary!$R$12="Y",(VLOOKUP($A176,Summary!$AD$6:$AF$9,3)+'Escalating commodity'!H189),'Escalating commodity'!H189))</f>
        <v/>
      </c>
      <c r="AI176" s="207" t="str">
        <f aca="false">IF($A177="","",AH176)</f>
        <v/>
      </c>
      <c r="AJ176" s="208" t="n">
        <f aca="false">A176+DAY(EOMONTH(A176,0))/2-1</f>
        <v>42109</v>
      </c>
      <c r="AK176" s="209" t="str">
        <f aca="false">IF($A177="","",$A176-$E$1)</f>
        <v/>
      </c>
      <c r="AL176" s="182" t="str">
        <f aca="false">IF($A177="","",SPRDOPT(P176,X176,AI176,0,AB176,AE176,AF176,AK176,$AJ$2,0))</f>
        <v/>
      </c>
      <c r="AM176" s="211" t="str">
        <f aca="false">IF($A177="","",MAX(0,O176-W176-AI176))</f>
        <v/>
      </c>
      <c r="AN176" s="211" t="str">
        <f aca="false">IF($A177="","",AL176-AM176)</f>
        <v/>
      </c>
      <c r="AO176" s="137" t="str">
        <f aca="false">IF(A177="","",A177-A176)</f>
        <v/>
      </c>
      <c r="AP176" s="212" t="str">
        <f aca="false">IF(A177="","",CHOOSE(F$3,A177+24,A176))</f>
        <v/>
      </c>
      <c r="AQ176" s="209" t="str">
        <f aca="false">IF(A177="","",AP176-$E$1)</f>
        <v/>
      </c>
      <c r="AR176" s="185" t="n">
        <f aca="false">'ANR OK vs ML7'!AR176</f>
        <v>0.1</v>
      </c>
      <c r="AS176" s="213" t="str">
        <f aca="false">IF(A177="","",1/(1+CHOOSE(F$3,(AR177+($I$3/10000))/2,(AR176+($I$3/10000))/2))^(2*AQ176/365.25))</f>
        <v/>
      </c>
      <c r="AT176" s="137" t="str">
        <f aca="false">IF(A177="","",IF(AND(mthbeg&lt;=A176,mthend&gt;=A176),1,0))</f>
        <v/>
      </c>
      <c r="AU176" s="137" t="str">
        <f aca="false">IF(A177="","",AO176*AT176)</f>
        <v/>
      </c>
      <c r="AW176" s="195" t="str">
        <f aca="false">IF($A177="","",AL176*$E176)</f>
        <v/>
      </c>
      <c r="AX176" s="195" t="str">
        <f aca="false">IF($A177="","",AM176*$E176)</f>
        <v/>
      </c>
      <c r="AY176" s="195" t="str">
        <f aca="false">IF($A177="","",AN176*$E176)</f>
        <v/>
      </c>
      <c r="BA176" s="195" t="str">
        <f aca="false">IF($A177="","",F176*Summary!$Q$12)</f>
        <v/>
      </c>
    </row>
    <row r="177" customFormat="false" ht="12" hidden="false" customHeight="true" outlineLevel="0" collapsed="false">
      <c r="A177" s="196" t="str">
        <f aca="false">IF(A176&lt;mthend,EDATE(A176,1),"")</f>
        <v/>
      </c>
      <c r="B177" s="197" t="str">
        <f aca="false">IF(A177&lt;mthend,B176,"")</f>
        <v/>
      </c>
      <c r="C177" s="215"/>
      <c r="D177" s="197" t="str">
        <f aca="false">IF(A178&lt;&gt;"",B177+C177,"")</f>
        <v/>
      </c>
      <c r="E177" s="199" t="str">
        <f aca="false">IF(A178="","",IF(AND(AT177=1,$H$3=1),D177*AO177,IF($H$3=2,D177,"N/A")))</f>
        <v/>
      </c>
      <c r="F177" s="199" t="str">
        <f aca="false">IF(A178="","",E177*AS177)</f>
        <v/>
      </c>
      <c r="G177" s="200" t="str">
        <f aca="false">IF($A178="","",VLOOKUP($A177,Table,MATCH(G$4,Curves,0)))</f>
        <v/>
      </c>
      <c r="H177" s="201" t="str">
        <f aca="false">IF(A178="","",G177)</f>
        <v/>
      </c>
      <c r="I177" s="202"/>
      <c r="J177" s="200" t="str">
        <f aca="false">IF($A178="","",VLOOKUP($A177,Table,MATCH(J$4,Curves,0)))</f>
        <v/>
      </c>
      <c r="K177" s="201" t="str">
        <f aca="false">IF(A178="","",J177)</f>
        <v/>
      </c>
      <c r="L177" s="200" t="str">
        <f aca="false">IF($A178="","",VLOOKUP($A177,Table,MATCH(L$4,Curves,0)))</f>
        <v/>
      </c>
      <c r="M177" s="201" t="str">
        <f aca="false">IF(A178="","",L177)</f>
        <v/>
      </c>
      <c r="N177" s="203"/>
      <c r="O177" s="200" t="str">
        <f aca="false">IF(A178="","",L177+J177+G177)</f>
        <v/>
      </c>
      <c r="P177" s="200" t="str">
        <f aca="false">IF(A178="","",M177+K177+H177)</f>
        <v/>
      </c>
      <c r="Q177" s="204"/>
      <c r="R177" s="200" t="str">
        <f aca="false">IF($A178="","",VLOOKUP($A177,Table,MATCH(R$4,Curves,0)))</f>
        <v/>
      </c>
      <c r="S177" s="201" t="str">
        <f aca="false">IF(A178="","",R177)</f>
        <v/>
      </c>
      <c r="T177" s="200" t="str">
        <f aca="false">IF($A178="","",VLOOKUP($A177,Table,MATCH(T$4,Curves,0)))</f>
        <v/>
      </c>
      <c r="U177" s="201" t="str">
        <f aca="false">IF(A178="","",T177)</f>
        <v/>
      </c>
      <c r="V177" s="225" t="str">
        <f aca="false">IF($A178="","",IF(AND(MONTH(A177)&gt;3,MONTH(A177)&lt;11),(T177+R177+G177)*(((1/(1-Summary!$T$12))/(1-Summary!$W$12))-1),(T177+R177+G177)*((1/(1-Summary!$U$12))/(1-Summary!$X$12)-1)))</f>
        <v/>
      </c>
      <c r="W177" s="200" t="str">
        <f aca="false">IF($A178="","",(T177+R177+G177+V177))</f>
        <v/>
      </c>
      <c r="X177" s="200" t="str">
        <f aca="false">IF($A178="","",(U177+S177+H177+V177))</f>
        <v/>
      </c>
      <c r="Y177" s="202"/>
      <c r="Z177" s="185" t="str">
        <f aca="false">IF($A178="","",VLOOKUP($A177,Table,MATCH(Z$4,Curves,0)))</f>
        <v/>
      </c>
      <c r="AA177" s="185" t="str">
        <f aca="false">IF($A178="","",VLOOKUP($A177,Table,MATCH(AA$4,Curves,0)))</f>
        <v/>
      </c>
      <c r="AB177" s="185" t="e">
        <f aca="false">SQRT((AA177^2*(A177-$D$3)+Z177^2*(DAY(EOMONTH(A177,0))/2))/AK177)</f>
        <v>#VALUE!</v>
      </c>
      <c r="AC177" s="185" t="str">
        <f aca="false">IF($A178="","",VLOOKUP($A177,Table,MATCH(AC$4,Curves,0)))</f>
        <v/>
      </c>
      <c r="AD177" s="185" t="str">
        <f aca="false">IF($A178="","",VLOOKUP($A177,Table,MATCH(AD$4,Curves,0)))</f>
        <v/>
      </c>
      <c r="AE177" s="185" t="e">
        <f aca="false">SQRT((AD177^2*(A177-$D$3)+AC177^2*(DAY(EOMONTH(A177,0))/2))/AK177)</f>
        <v>#VALUE!</v>
      </c>
      <c r="AF177" s="206" t="e">
        <f aca="false">((Summary!$N$12*(AA177*AD177)*(A177-$D$3))+(Summary!$M$12*Z177*AC177*(AJ177-EOMONTH(EDATE(A177,-1),0))))/(AK177*AB177*AE177)</f>
        <v>#VALUE!</v>
      </c>
      <c r="AG177" s="207" t="str">
        <f aca="false">IF($A178="","",Summary!$Q$12)</f>
        <v/>
      </c>
      <c r="AH177" s="207" t="str">
        <f aca="false">IF($A178="","",IF(Summary!$R$12="Y",(VLOOKUP($A177,Summary!$AD$6:$AF$9,3)+'Escalating commodity'!H190),'Escalating commodity'!H190))</f>
        <v/>
      </c>
      <c r="AI177" s="207" t="str">
        <f aca="false">IF($A178="","",AH177)</f>
        <v/>
      </c>
      <c r="AJ177" s="208" t="e">
        <f aca="false">A177+DAY(EOMONTH(A177,0))/2-1</f>
        <v>#VALUE!</v>
      </c>
      <c r="AK177" s="209" t="str">
        <f aca="false">IF($A178="","",$A177-$E$1)</f>
        <v/>
      </c>
      <c r="AL177" s="182" t="str">
        <f aca="false">IF($A178="","",SPRDOPT(P177,X177,AI177,0,AB177,AE177,AF177,AK177,$AJ$2,0))</f>
        <v/>
      </c>
      <c r="AM177" s="211" t="str">
        <f aca="false">IF($A178="","",MAX(0,O177-W177-AI177))</f>
        <v/>
      </c>
      <c r="AN177" s="211" t="str">
        <f aca="false">IF($A178="","",AL177-AM177)</f>
        <v/>
      </c>
      <c r="AO177" s="137" t="str">
        <f aca="false">IF(A178="","",A178-A177)</f>
        <v/>
      </c>
      <c r="AP177" s="212" t="str">
        <f aca="false">IF(A178="","",CHOOSE(F$3,A178+24,A177))</f>
        <v/>
      </c>
      <c r="AQ177" s="209" t="str">
        <f aca="false">IF(A178="","",AP177-$E$1)</f>
        <v/>
      </c>
      <c r="AR177" s="185" t="n">
        <f aca="false">'ANR OK vs ML7'!AR177</f>
        <v>0.1</v>
      </c>
      <c r="AS177" s="213" t="str">
        <f aca="false">IF(A178="","",1/(1+CHOOSE(F$3,(AR178+($I$3/10000))/2,(AR177+($I$3/10000))/2))^(2*AQ177/365.25))</f>
        <v/>
      </c>
      <c r="AT177" s="137" t="str">
        <f aca="false">IF(A178="","",IF(AND(mthbeg&lt;=A177,mthend&gt;=A177),1,0))</f>
        <v/>
      </c>
      <c r="AU177" s="137" t="str">
        <f aca="false">IF(A178="","",AO177*AT177)</f>
        <v/>
      </c>
      <c r="AW177" s="195" t="str">
        <f aca="false">IF($A178="","",AL177*$E177)</f>
        <v/>
      </c>
      <c r="AX177" s="195" t="str">
        <f aca="false">IF($A178="","",AM177*$E177)</f>
        <v/>
      </c>
      <c r="AY177" s="195" t="str">
        <f aca="false">IF($A178="","",AN177*$E177)</f>
        <v/>
      </c>
      <c r="BA177" s="195" t="str">
        <f aca="false">IF($A178="","",F177*Summary!$Q$12)</f>
        <v/>
      </c>
    </row>
    <row r="178" customFormat="false" ht="12" hidden="false" customHeight="true" outlineLevel="0" collapsed="false">
      <c r="A178" s="196" t="str">
        <f aca="false">IF(A177&lt;mthend,EDATE(A177,1),"")</f>
        <v/>
      </c>
      <c r="B178" s="197" t="str">
        <f aca="false">IF(A178&lt;mthend,B177,"")</f>
        <v/>
      </c>
      <c r="C178" s="215"/>
      <c r="D178" s="197" t="str">
        <f aca="false">IF(A179&lt;&gt;"",B178+C178,"")</f>
        <v/>
      </c>
      <c r="E178" s="199" t="str">
        <f aca="false">IF(A179="","",IF(AND(AT178=1,$H$3=1),D178*AO178,IF($H$3=2,D178,"N/A")))</f>
        <v/>
      </c>
      <c r="F178" s="199" t="str">
        <f aca="false">IF(A179="","",E178*AS178)</f>
        <v/>
      </c>
      <c r="G178" s="200" t="str">
        <f aca="false">IF($A179="","",VLOOKUP($A178,Table,MATCH(G$4,Curves,0)))</f>
        <v/>
      </c>
      <c r="H178" s="201" t="str">
        <f aca="false">IF(A179="","",G178)</f>
        <v/>
      </c>
      <c r="I178" s="202"/>
      <c r="J178" s="200" t="str">
        <f aca="false">IF($A179="","",VLOOKUP($A178,Table,MATCH(J$4,Curves,0)))</f>
        <v/>
      </c>
      <c r="K178" s="201" t="str">
        <f aca="false">IF(A179="","",J178)</f>
        <v/>
      </c>
      <c r="L178" s="200" t="str">
        <f aca="false">IF($A179="","",VLOOKUP($A178,Table,MATCH(L$4,Curves,0)))</f>
        <v/>
      </c>
      <c r="M178" s="201" t="str">
        <f aca="false">IF(A179="","",L178)</f>
        <v/>
      </c>
      <c r="N178" s="203"/>
      <c r="O178" s="200" t="str">
        <f aca="false">IF(A179="","",L178+J178+G178)</f>
        <v/>
      </c>
      <c r="P178" s="200" t="str">
        <f aca="false">IF(A179="","",M178+K178+H178)</f>
        <v/>
      </c>
      <c r="Q178" s="204"/>
      <c r="R178" s="200" t="str">
        <f aca="false">IF($A179="","",VLOOKUP($A178,Table,MATCH(R$4,Curves,0)))</f>
        <v/>
      </c>
      <c r="S178" s="201" t="str">
        <f aca="false">IF(A179="","",R178)</f>
        <v/>
      </c>
      <c r="T178" s="200" t="str">
        <f aca="false">IF($A179="","",VLOOKUP($A178,Table,MATCH(T$4,Curves,0)))</f>
        <v/>
      </c>
      <c r="U178" s="201" t="str">
        <f aca="false">IF(A179="","",T178)</f>
        <v/>
      </c>
      <c r="V178" s="225" t="str">
        <f aca="false">IF($A179="","",IF(AND(MONTH(A178)&gt;3,MONTH(A178)&lt;11),(T178+R178+G178)*(((1/(1-Summary!$T$12))/(1-Summary!$W$12))-1),(T178+R178+G178)*((1/(1-Summary!$U$12))/(1-Summary!$X$12)-1)))</f>
        <v/>
      </c>
      <c r="W178" s="200" t="str">
        <f aca="false">IF($A179="","",(T178+R178+G178+V178))</f>
        <v/>
      </c>
      <c r="X178" s="200" t="str">
        <f aca="false">IF($A179="","",(U178+S178+H178+V178))</f>
        <v/>
      </c>
      <c r="Y178" s="202"/>
      <c r="Z178" s="185" t="str">
        <f aca="false">IF($A179="","",VLOOKUP($A178,Table,MATCH(Z$4,Curves,0)))</f>
        <v/>
      </c>
      <c r="AA178" s="185" t="str">
        <f aca="false">IF($A179="","",VLOOKUP($A178,Table,MATCH(AA$4,Curves,0)))</f>
        <v/>
      </c>
      <c r="AB178" s="185" t="e">
        <f aca="false">SQRT((AA178^2*(A178-$D$3)+Z178^2*(DAY(EOMONTH(A178,0))/2))/AK178)</f>
        <v>#VALUE!</v>
      </c>
      <c r="AC178" s="185" t="str">
        <f aca="false">IF($A179="","",VLOOKUP($A178,Table,MATCH(AC$4,Curves,0)))</f>
        <v/>
      </c>
      <c r="AD178" s="185" t="str">
        <f aca="false">IF($A179="","",VLOOKUP($A178,Table,MATCH(AD$4,Curves,0)))</f>
        <v/>
      </c>
      <c r="AE178" s="185" t="e">
        <f aca="false">SQRT((AD178^2*(A178-$D$3)+AC178^2*(DAY(EOMONTH(A178,0))/2))/AK178)</f>
        <v>#VALUE!</v>
      </c>
      <c r="AF178" s="206" t="e">
        <f aca="false">((Summary!$N$12*(AA178*AD178)*(A178-$D$3))+(Summary!$M$12*Z178*AC178*(AJ178-EOMONTH(EDATE(A178,-1),0))))/(AK178*AB178*AE178)</f>
        <v>#VALUE!</v>
      </c>
      <c r="AG178" s="207" t="str">
        <f aca="false">IF($A179="","",Summary!$Q$12)</f>
        <v/>
      </c>
      <c r="AH178" s="207" t="str">
        <f aca="false">IF($A179="","",IF(Summary!$R$12="Y",(VLOOKUP($A178,Summary!$AD$6:$AF$9,3)+'Escalating commodity'!H191),'Escalating commodity'!H191))</f>
        <v/>
      </c>
      <c r="AI178" s="207" t="str">
        <f aca="false">IF($A179="","",AH178)</f>
        <v/>
      </c>
      <c r="AJ178" s="208" t="e">
        <f aca="false">A178+DAY(EOMONTH(A178,0))/2-1</f>
        <v>#VALUE!</v>
      </c>
      <c r="AK178" s="209" t="str">
        <f aca="false">IF($A179="","",$A178-$E$1)</f>
        <v/>
      </c>
      <c r="AL178" s="182" t="str">
        <f aca="false">IF($A179="","",SPRDOPT(P178,X178,AI178,0,AB178,AE178,AF178,AK178,$AJ$2,0))</f>
        <v/>
      </c>
      <c r="AM178" s="211" t="str">
        <f aca="false">IF($A179="","",MAX(0,O178-W178-AI178))</f>
        <v/>
      </c>
      <c r="AN178" s="211" t="str">
        <f aca="false">IF($A179="","",AL178-AM178)</f>
        <v/>
      </c>
      <c r="AO178" s="137" t="str">
        <f aca="false">IF(A179="","",A179-A178)</f>
        <v/>
      </c>
      <c r="AP178" s="212" t="str">
        <f aca="false">IF(A179="","",CHOOSE(F$3,A179+24,A178))</f>
        <v/>
      </c>
      <c r="AQ178" s="209" t="str">
        <f aca="false">IF(A179="","",AP178-$E$1)</f>
        <v/>
      </c>
      <c r="AR178" s="185" t="n">
        <f aca="false">'ANR OK vs ML7'!AR178</f>
        <v>0.1</v>
      </c>
      <c r="AS178" s="213" t="str">
        <f aca="false">IF(A179="","",1/(1+CHOOSE(F$3,(AR179+($I$3/10000))/2,(AR178+($I$3/10000))/2))^(2*AQ178/365.25))</f>
        <v/>
      </c>
      <c r="AT178" s="137" t="str">
        <f aca="false">IF(A179="","",IF(AND(mthbeg&lt;=A178,mthend&gt;=A178),1,0))</f>
        <v/>
      </c>
      <c r="AU178" s="137" t="str">
        <f aca="false">IF(A179="","",AO178*AT178)</f>
        <v/>
      </c>
      <c r="AW178" s="195" t="str">
        <f aca="false">IF($A179="","",AL178*$E178)</f>
        <v/>
      </c>
      <c r="AX178" s="195" t="str">
        <f aca="false">IF($A179="","",AM178*$E178)</f>
        <v/>
      </c>
      <c r="AY178" s="195" t="str">
        <f aca="false">IF($A179="","",AN178*$E178)</f>
        <v/>
      </c>
      <c r="BA178" s="195" t="str">
        <f aca="false">IF($A179="","",F178*Summary!$Q$12)</f>
        <v/>
      </c>
    </row>
    <row r="179" customFormat="false" ht="12" hidden="false" customHeight="true" outlineLevel="0" collapsed="false">
      <c r="A179" s="196" t="str">
        <f aca="false">IF(A178&lt;mthend,EDATE(A178,1),"")</f>
        <v/>
      </c>
      <c r="B179" s="197" t="str">
        <f aca="false">IF(A179&lt;mthend,B178,"")</f>
        <v/>
      </c>
      <c r="C179" s="215"/>
      <c r="D179" s="197" t="str">
        <f aca="false">IF(A180&lt;&gt;"",B179+C179,"")</f>
        <v/>
      </c>
      <c r="E179" s="199" t="str">
        <f aca="false">IF(A180="","",IF(AND(AT179=1,$H$3=1),D179*AO179,IF($H$3=2,D179,"N/A")))</f>
        <v/>
      </c>
      <c r="F179" s="199" t="str">
        <f aca="false">IF(A180="","",E179*AS179)</f>
        <v/>
      </c>
      <c r="G179" s="200" t="str">
        <f aca="false">IF($A180="","",VLOOKUP($A179,Table,MATCH(G$4,Curves,0)))</f>
        <v/>
      </c>
      <c r="H179" s="201" t="str">
        <f aca="false">IF(A180="","",G179)</f>
        <v/>
      </c>
      <c r="I179" s="202"/>
      <c r="J179" s="200" t="str">
        <f aca="false">IF($A180="","",VLOOKUP($A179,Table,MATCH(J$4,Curves,0)))</f>
        <v/>
      </c>
      <c r="K179" s="201" t="str">
        <f aca="false">IF(A180="","",J179)</f>
        <v/>
      </c>
      <c r="L179" s="200" t="str">
        <f aca="false">IF($A180="","",VLOOKUP($A179,Table,MATCH(L$4,Curves,0)))</f>
        <v/>
      </c>
      <c r="M179" s="201" t="str">
        <f aca="false">IF(A180="","",L179)</f>
        <v/>
      </c>
      <c r="N179" s="203"/>
      <c r="O179" s="200" t="str">
        <f aca="false">IF(A180="","",L179+J179+G179)</f>
        <v/>
      </c>
      <c r="P179" s="200" t="str">
        <f aca="false">IF(A180="","",M179+K179+H179)</f>
        <v/>
      </c>
      <c r="Q179" s="204"/>
      <c r="R179" s="200" t="str">
        <f aca="false">IF($A180="","",VLOOKUP($A179,Table,MATCH(R$4,Curves,0)))</f>
        <v/>
      </c>
      <c r="S179" s="201" t="str">
        <f aca="false">IF(A180="","",R179)</f>
        <v/>
      </c>
      <c r="T179" s="200" t="str">
        <f aca="false">IF($A180="","",VLOOKUP($A179,Table,MATCH(T$4,Curves,0)))</f>
        <v/>
      </c>
      <c r="U179" s="201" t="str">
        <f aca="false">IF(A180="","",T179)</f>
        <v/>
      </c>
      <c r="V179" s="225" t="str">
        <f aca="false">IF($A180="","",IF(AND(MONTH(A179)&gt;3,MONTH(A179)&lt;11),(T179+R179+G179)*(((1/(1-Summary!$T$12))/(1-Summary!$W$12))-1),(T179+R179+G179)*((1/(1-Summary!$U$12))/(1-Summary!$X$12)-1)))</f>
        <v/>
      </c>
      <c r="W179" s="200" t="str">
        <f aca="false">IF($A180="","",(T179+R179+G179+V179))</f>
        <v/>
      </c>
      <c r="X179" s="200" t="str">
        <f aca="false">IF($A180="","",(U179+S179+H179+V179))</f>
        <v/>
      </c>
      <c r="Y179" s="202"/>
      <c r="Z179" s="185" t="str">
        <f aca="false">IF($A180="","",VLOOKUP($A179,Table,MATCH(Z$4,Curves,0)))</f>
        <v/>
      </c>
      <c r="AA179" s="185" t="str">
        <f aca="false">IF($A180="","",VLOOKUP($A179,Table,MATCH(AA$4,Curves,0)))</f>
        <v/>
      </c>
      <c r="AB179" s="185" t="e">
        <f aca="false">SQRT((AA179^2*(A179-$D$3)+Z179^2*(DAY(EOMONTH(A179,0))/2))/AK179)</f>
        <v>#VALUE!</v>
      </c>
      <c r="AC179" s="185" t="str">
        <f aca="false">IF($A180="","",VLOOKUP($A179,Table,MATCH(AC$4,Curves,0)))</f>
        <v/>
      </c>
      <c r="AD179" s="185" t="str">
        <f aca="false">IF($A180="","",VLOOKUP($A179,Table,MATCH(AD$4,Curves,0)))</f>
        <v/>
      </c>
      <c r="AE179" s="185" t="e">
        <f aca="false">SQRT((AD179^2*(A179-$D$3)+AC179^2*(DAY(EOMONTH(A179,0))/2))/AK179)</f>
        <v>#VALUE!</v>
      </c>
      <c r="AF179" s="206" t="e">
        <f aca="false">((Summary!$N$12*(AA179*AD179)*(A179-$D$3))+(Summary!$M$12*Z179*AC179*(AJ179-EOMONTH(EDATE(A179,-1),0))))/(AK179*AB179*AE179)</f>
        <v>#VALUE!</v>
      </c>
      <c r="AG179" s="207" t="str">
        <f aca="false">IF($A180="","",Summary!$Q$12)</f>
        <v/>
      </c>
      <c r="AH179" s="207" t="str">
        <f aca="false">IF($A180="","",IF(Summary!$R$12="Y",(VLOOKUP($A179,Summary!$AD$6:$AF$9,3)+'Escalating commodity'!H192),'Escalating commodity'!H192))</f>
        <v/>
      </c>
      <c r="AI179" s="207" t="str">
        <f aca="false">IF($A180="","",AH179)</f>
        <v/>
      </c>
      <c r="AJ179" s="208" t="e">
        <f aca="false">A179+DAY(EOMONTH(A179,0))/2-1</f>
        <v>#VALUE!</v>
      </c>
      <c r="AK179" s="209" t="str">
        <f aca="false">IF($A180="","",$A179-$E$1)</f>
        <v/>
      </c>
      <c r="AL179" s="182" t="str">
        <f aca="false">IF($A180="","",SPRDOPT(P179,X179,AI179,0,AB179,AE179,AF179,AK179,$AJ$2,0))</f>
        <v/>
      </c>
      <c r="AM179" s="211" t="str">
        <f aca="false">IF($A180="","",MAX(0,O179-W179-AI179))</f>
        <v/>
      </c>
      <c r="AN179" s="211" t="str">
        <f aca="false">IF($A180="","",AL179-AM179)</f>
        <v/>
      </c>
      <c r="AO179" s="137" t="str">
        <f aca="false">IF(A180="","",A180-A179)</f>
        <v/>
      </c>
      <c r="AP179" s="212" t="str">
        <f aca="false">IF(A180="","",CHOOSE(F$3,A180+24,A179))</f>
        <v/>
      </c>
      <c r="AQ179" s="209" t="str">
        <f aca="false">IF(A180="","",AP179-$E$1)</f>
        <v/>
      </c>
      <c r="AR179" s="185" t="n">
        <f aca="false">'ANR OK vs ML7'!AR179</f>
        <v>0.1</v>
      </c>
      <c r="AS179" s="213" t="str">
        <f aca="false">IF(A180="","",1/(1+CHOOSE(F$3,(AR180+($I$3/10000))/2,(AR179+($I$3/10000))/2))^(2*AQ179/365.25))</f>
        <v/>
      </c>
      <c r="AT179" s="137" t="str">
        <f aca="false">IF(A180="","",IF(AND(mthbeg&lt;=A179,mthend&gt;=A179),1,0))</f>
        <v/>
      </c>
      <c r="AU179" s="137" t="str">
        <f aca="false">IF(A180="","",AO179*AT179)</f>
        <v/>
      </c>
      <c r="AW179" s="195" t="str">
        <f aca="false">IF($A180="","",AL179*$E179)</f>
        <v/>
      </c>
      <c r="AX179" s="195" t="str">
        <f aca="false">IF($A180="","",AM179*$E179)</f>
        <v/>
      </c>
      <c r="AY179" s="195" t="str">
        <f aca="false">IF($A180="","",AN179*$E179)</f>
        <v/>
      </c>
      <c r="BA179" s="195" t="str">
        <f aca="false">IF($A180="","",F179*Summary!$Q$12)</f>
        <v/>
      </c>
    </row>
    <row r="180" customFormat="false" ht="12" hidden="false" customHeight="true" outlineLevel="0" collapsed="false">
      <c r="A180" s="196" t="str">
        <f aca="false">IF(A179&lt;mthend,EDATE(A179,1),"")</f>
        <v/>
      </c>
      <c r="B180" s="197" t="str">
        <f aca="false">IF(A180&lt;mthend,B179,"")</f>
        <v/>
      </c>
      <c r="C180" s="215"/>
      <c r="D180" s="197" t="str">
        <f aca="false">IF(A181&lt;&gt;"",B180+C180,"")</f>
        <v/>
      </c>
      <c r="E180" s="199" t="str">
        <f aca="false">IF(A181="","",IF(AND(AT180=1,$H$3=1),D180*AO180,IF($H$3=2,D180,"N/A")))</f>
        <v/>
      </c>
      <c r="F180" s="199" t="str">
        <f aca="false">IF(A181="","",E180*AS180)</f>
        <v/>
      </c>
      <c r="G180" s="200" t="str">
        <f aca="false">IF($A181="","",VLOOKUP($A180,Table,MATCH(G$4,Curves,0)))</f>
        <v/>
      </c>
      <c r="H180" s="201" t="str">
        <f aca="false">IF(A181="","",G180)</f>
        <v/>
      </c>
      <c r="I180" s="202"/>
      <c r="J180" s="200" t="str">
        <f aca="false">IF($A181="","",VLOOKUP($A180,Table,MATCH(J$4,Curves,0)))</f>
        <v/>
      </c>
      <c r="K180" s="201" t="str">
        <f aca="false">IF(A181="","",J180)</f>
        <v/>
      </c>
      <c r="L180" s="200" t="str">
        <f aca="false">IF($A181="","",VLOOKUP($A180,Table,MATCH(L$4,Curves,0)))</f>
        <v/>
      </c>
      <c r="M180" s="201" t="str">
        <f aca="false">IF(A181="","",L180)</f>
        <v/>
      </c>
      <c r="N180" s="203"/>
      <c r="O180" s="200" t="str">
        <f aca="false">IF(A181="","",L180+J180+G180)</f>
        <v/>
      </c>
      <c r="P180" s="200" t="str">
        <f aca="false">IF(A181="","",M180+K180+H180)</f>
        <v/>
      </c>
      <c r="Q180" s="204"/>
      <c r="R180" s="200" t="str">
        <f aca="false">IF($A181="","",VLOOKUP($A180,Table,MATCH(R$4,Curves,0)))</f>
        <v/>
      </c>
      <c r="S180" s="201" t="str">
        <f aca="false">IF(A181="","",R180)</f>
        <v/>
      </c>
      <c r="T180" s="200" t="str">
        <f aca="false">IF($A181="","",VLOOKUP($A180,Table,MATCH(T$4,Curves,0)))</f>
        <v/>
      </c>
      <c r="U180" s="201" t="str">
        <f aca="false">IF(A181="","",T180)</f>
        <v/>
      </c>
      <c r="V180" s="225" t="str">
        <f aca="false">IF($A181="","",IF(AND(MONTH(A180)&gt;3,MONTH(A180)&lt;11),(T180+R180+G180)*(((1/(1-Summary!$T$12))/(1-Summary!$W$12))-1),(T180+R180+G180)*((1/(1-Summary!$U$12))/(1-Summary!$X$12)-1)))</f>
        <v/>
      </c>
      <c r="W180" s="200" t="str">
        <f aca="false">IF($A181="","",(T180+R180+G180+V180))</f>
        <v/>
      </c>
      <c r="X180" s="200" t="str">
        <f aca="false">IF($A181="","",(U180+S180+H180+V180))</f>
        <v/>
      </c>
      <c r="Y180" s="202"/>
      <c r="Z180" s="185" t="str">
        <f aca="false">IF($A181="","",VLOOKUP($A180,Table,MATCH(Z$4,Curves,0)))</f>
        <v/>
      </c>
      <c r="AA180" s="185" t="str">
        <f aca="false">IF($A181="","",VLOOKUP($A180,Table,MATCH(AA$4,Curves,0)))</f>
        <v/>
      </c>
      <c r="AB180" s="185" t="e">
        <f aca="false">SQRT((AA180^2*(A180-$D$3)+Z180^2*(DAY(EOMONTH(A180,0))/2))/AK180)</f>
        <v>#VALUE!</v>
      </c>
      <c r="AC180" s="185" t="str">
        <f aca="false">IF($A181="","",VLOOKUP($A180,Table,MATCH(AC$4,Curves,0)))</f>
        <v/>
      </c>
      <c r="AD180" s="185" t="str">
        <f aca="false">IF($A181="","",VLOOKUP($A180,Table,MATCH(AD$4,Curves,0)))</f>
        <v/>
      </c>
      <c r="AE180" s="185" t="e">
        <f aca="false">SQRT((AD180^2*(A180-$D$3)+AC180^2*(DAY(EOMONTH(A180,0))/2))/AK180)</f>
        <v>#VALUE!</v>
      </c>
      <c r="AF180" s="206" t="e">
        <f aca="false">((Summary!$N$12*(AA180*AD180)*(A180-$D$3))+(Summary!$M$12*Z180*AC180*(AJ180-EOMONTH(EDATE(A180,-1),0))))/(AK180*AB180*AE180)</f>
        <v>#VALUE!</v>
      </c>
      <c r="AG180" s="207" t="str">
        <f aca="false">IF($A181="","",Summary!$Q$12)</f>
        <v/>
      </c>
      <c r="AH180" s="207" t="str">
        <f aca="false">IF($A181="","",IF(Summary!$R$12="Y",(VLOOKUP($A180,Summary!$AD$6:$AF$9,3)+'Escalating commodity'!H193),'Escalating commodity'!H193))</f>
        <v/>
      </c>
      <c r="AI180" s="207" t="str">
        <f aca="false">IF($A181="","",AH180)</f>
        <v/>
      </c>
      <c r="AJ180" s="208" t="e">
        <f aca="false">A180+DAY(EOMONTH(A180,0))/2-1</f>
        <v>#VALUE!</v>
      </c>
      <c r="AK180" s="209" t="str">
        <f aca="false">IF($A181="","",$A180-$E$1)</f>
        <v/>
      </c>
      <c r="AL180" s="182" t="str">
        <f aca="false">IF($A181="","",SPRDOPT(P180,X180,AI180,0,AB180,AE180,AF180,AK180,$AJ$2,0))</f>
        <v/>
      </c>
      <c r="AM180" s="211" t="str">
        <f aca="false">IF($A181="","",MAX(0,O180-W180-AI180))</f>
        <v/>
      </c>
      <c r="AN180" s="211" t="str">
        <f aca="false">IF($A181="","",AL180-AM180)</f>
        <v/>
      </c>
      <c r="AO180" s="137" t="str">
        <f aca="false">IF(A181="","",A181-A180)</f>
        <v/>
      </c>
      <c r="AP180" s="212" t="str">
        <f aca="false">IF(A181="","",CHOOSE(F$3,A181+24,A180))</f>
        <v/>
      </c>
      <c r="AQ180" s="209" t="str">
        <f aca="false">IF(A181="","",AP180-$E$1)</f>
        <v/>
      </c>
      <c r="AR180" s="185" t="n">
        <f aca="false">'ANR OK vs ML7'!AR180</f>
        <v>0.1</v>
      </c>
      <c r="AS180" s="213" t="str">
        <f aca="false">IF(A181="","",1/(1+CHOOSE(F$3,(AR181+($I$3/10000))/2,(AR180+($I$3/10000))/2))^(2*AQ180/365.25))</f>
        <v/>
      </c>
      <c r="AT180" s="137" t="str">
        <f aca="false">IF(A181="","",IF(AND(mthbeg&lt;=A180,mthend&gt;=A180),1,0))</f>
        <v/>
      </c>
      <c r="AU180" s="137" t="str">
        <f aca="false">IF(A181="","",AO180*AT180)</f>
        <v/>
      </c>
      <c r="AW180" s="195" t="str">
        <f aca="false">IF($A181="","",AL180*$E180)</f>
        <v/>
      </c>
      <c r="AX180" s="195" t="str">
        <f aca="false">IF($A181="","",AM180*$E180)</f>
        <v/>
      </c>
      <c r="AY180" s="195" t="str">
        <f aca="false">IF($A181="","",AN180*$E180)</f>
        <v/>
      </c>
      <c r="BA180" s="195" t="str">
        <f aca="false">IF($A181="","",F180*Summary!$Q$12)</f>
        <v/>
      </c>
    </row>
    <row r="181" customFormat="false" ht="12" hidden="false" customHeight="true" outlineLevel="0" collapsed="false">
      <c r="A181" s="196" t="str">
        <f aca="false">IF(A180&lt;mthend,EDATE(A180,1),"")</f>
        <v/>
      </c>
      <c r="B181" s="197" t="str">
        <f aca="false">IF(A181&lt;mthend,B180,"")</f>
        <v/>
      </c>
      <c r="C181" s="215"/>
      <c r="D181" s="197" t="str">
        <f aca="false">IF(A182&lt;&gt;"",B181+C181,"")</f>
        <v/>
      </c>
      <c r="E181" s="199" t="str">
        <f aca="false">IF(A182="","",IF(AND(AT181=1,$H$3=1),D181*AO181,IF($H$3=2,D181,"N/A")))</f>
        <v/>
      </c>
      <c r="F181" s="199" t="str">
        <f aca="false">IF(A182="","",E181*AS181)</f>
        <v/>
      </c>
      <c r="G181" s="200" t="str">
        <f aca="false">IF($A182="","",VLOOKUP($A181,Table,MATCH(G$4,Curves,0)))</f>
        <v/>
      </c>
      <c r="H181" s="201" t="str">
        <f aca="false">IF(A182="","",G181)</f>
        <v/>
      </c>
      <c r="I181" s="202"/>
      <c r="J181" s="200" t="str">
        <f aca="false">IF($A182="","",VLOOKUP($A181,Table,MATCH(J$4,Curves,0)))</f>
        <v/>
      </c>
      <c r="K181" s="201" t="str">
        <f aca="false">IF(A182="","",J181)</f>
        <v/>
      </c>
      <c r="L181" s="200" t="str">
        <f aca="false">IF($A182="","",VLOOKUP($A181,Table,MATCH(L$4,Curves,0)))</f>
        <v/>
      </c>
      <c r="M181" s="201" t="str">
        <f aca="false">IF(A182="","",L181)</f>
        <v/>
      </c>
      <c r="N181" s="203"/>
      <c r="O181" s="200" t="str">
        <f aca="false">IF(A182="","",L181+J181+G181)</f>
        <v/>
      </c>
      <c r="P181" s="200" t="str">
        <f aca="false">IF(A182="","",M181+K181+H181)</f>
        <v/>
      </c>
      <c r="Q181" s="204"/>
      <c r="R181" s="200" t="str">
        <f aca="false">IF($A182="","",VLOOKUP($A181,Table,MATCH(R$4,Curves,0)))</f>
        <v/>
      </c>
      <c r="S181" s="201" t="str">
        <f aca="false">IF(A182="","",R181)</f>
        <v/>
      </c>
      <c r="T181" s="200" t="str">
        <f aca="false">IF($A182="","",VLOOKUP($A181,Table,MATCH(T$4,Curves,0)))</f>
        <v/>
      </c>
      <c r="U181" s="201" t="str">
        <f aca="false">IF(A182="","",T181)</f>
        <v/>
      </c>
      <c r="V181" s="225" t="str">
        <f aca="false">IF($A182="","",IF(AND(MONTH(A181)&gt;3,MONTH(A181)&lt;11),(T181+R181+G181)*(((1/(1-Summary!$T$12))/(1-Summary!$W$12))-1),(T181+R181+G181)*((1/(1-Summary!$U$12))/(1-Summary!$X$12)-1)))</f>
        <v/>
      </c>
      <c r="W181" s="200" t="str">
        <f aca="false">IF($A182="","",(T181+R181+G181+V181))</f>
        <v/>
      </c>
      <c r="X181" s="200" t="str">
        <f aca="false">IF($A182="","",(U181+S181+H181+V181))</f>
        <v/>
      </c>
      <c r="Y181" s="202"/>
      <c r="Z181" s="185" t="str">
        <f aca="false">IF($A182="","",VLOOKUP($A181,Table,MATCH(Z$4,Curves,0)))</f>
        <v/>
      </c>
      <c r="AA181" s="185" t="str">
        <f aca="false">IF($A182="","",VLOOKUP($A181,Table,MATCH(AA$4,Curves,0)))</f>
        <v/>
      </c>
      <c r="AB181" s="185" t="e">
        <f aca="false">SQRT((AA181^2*(A181-$D$3)+Z181^2*(DAY(EOMONTH(A181,0))/2))/AK181)</f>
        <v>#VALUE!</v>
      </c>
      <c r="AC181" s="185" t="str">
        <f aca="false">IF($A182="","",VLOOKUP($A181,Table,MATCH(AC$4,Curves,0)))</f>
        <v/>
      </c>
      <c r="AD181" s="185" t="str">
        <f aca="false">IF($A182="","",VLOOKUP($A181,Table,MATCH(AD$4,Curves,0)))</f>
        <v/>
      </c>
      <c r="AE181" s="185" t="e">
        <f aca="false">SQRT((AD181^2*(A181-$D$3)+AC181^2*(DAY(EOMONTH(A181,0))/2))/AK181)</f>
        <v>#VALUE!</v>
      </c>
      <c r="AF181" s="206" t="e">
        <f aca="false">((Summary!$N$12*(AA181*AD181)*(A181-$D$3))+(Summary!$M$12*Z181*AC181*(AJ181-EOMONTH(EDATE(A181,-1),0))))/(AK181*AB181*AE181)</f>
        <v>#VALUE!</v>
      </c>
      <c r="AG181" s="207" t="str">
        <f aca="false">IF($A182="","",Summary!$Q$12)</f>
        <v/>
      </c>
      <c r="AH181" s="207" t="str">
        <f aca="false">IF($A182="","",IF(Summary!$R$12="Y",(VLOOKUP($A181,Summary!$AD$6:$AF$9,3)+'Escalating commodity'!H194),'Escalating commodity'!H194))</f>
        <v/>
      </c>
      <c r="AI181" s="207" t="str">
        <f aca="false">IF($A182="","",AH181)</f>
        <v/>
      </c>
      <c r="AJ181" s="208" t="e">
        <f aca="false">A181+DAY(EOMONTH(A181,0))/2-1</f>
        <v>#VALUE!</v>
      </c>
      <c r="AK181" s="209" t="str">
        <f aca="false">IF($A182="","",$A181-$E$1)</f>
        <v/>
      </c>
      <c r="AL181" s="182" t="str">
        <f aca="false">IF($A182="","",SPRDOPT(P181,X181,AI181,0,AB181,AE181,AF181,AK181,$AJ$2,0))</f>
        <v/>
      </c>
      <c r="AM181" s="211" t="str">
        <f aca="false">IF($A182="","",MAX(0,O181-W181-AI181))</f>
        <v/>
      </c>
      <c r="AN181" s="211" t="str">
        <f aca="false">IF($A182="","",AL181-AM181)</f>
        <v/>
      </c>
      <c r="AO181" s="137" t="str">
        <f aca="false">IF(A182="","",A182-A181)</f>
        <v/>
      </c>
      <c r="AP181" s="212" t="str">
        <f aca="false">IF(A182="","",CHOOSE(F$3,A182+24,A181))</f>
        <v/>
      </c>
      <c r="AQ181" s="209" t="str">
        <f aca="false">IF(A182="","",AP181-$E$1)</f>
        <v/>
      </c>
      <c r="AR181" s="185" t="n">
        <f aca="false">'ANR OK vs ML7'!AR181</f>
        <v>0.1</v>
      </c>
      <c r="AS181" s="213" t="str">
        <f aca="false">IF(A182="","",1/(1+CHOOSE(F$3,(AR182+($I$3/10000))/2,(AR181+($I$3/10000))/2))^(2*AQ181/365.25))</f>
        <v/>
      </c>
      <c r="AT181" s="137" t="str">
        <f aca="false">IF(A182="","",IF(AND(mthbeg&lt;=A181,mthend&gt;=A181),1,0))</f>
        <v/>
      </c>
      <c r="AU181" s="137" t="str">
        <f aca="false">IF(A182="","",AO181*AT181)</f>
        <v/>
      </c>
      <c r="AW181" s="195" t="str">
        <f aca="false">IF($A182="","",AL181*$E181)</f>
        <v/>
      </c>
      <c r="AX181" s="195" t="str">
        <f aca="false">IF($A182="","",AM181*$E181)</f>
        <v/>
      </c>
      <c r="AY181" s="195" t="str">
        <f aca="false">IF($A182="","",AN181*$E181)</f>
        <v/>
      </c>
      <c r="BA181" s="195" t="str">
        <f aca="false">IF($A182="","",F181*Summary!$Q$12)</f>
        <v/>
      </c>
    </row>
    <row r="182" customFormat="false" ht="12" hidden="false" customHeight="true" outlineLevel="0" collapsed="false">
      <c r="A182" s="196" t="str">
        <f aca="false">IF(A181&lt;mthend,EDATE(A181,1),"")</f>
        <v/>
      </c>
      <c r="B182" s="197" t="str">
        <f aca="false">IF(A182&lt;mthend,B181,"")</f>
        <v/>
      </c>
      <c r="C182" s="215"/>
      <c r="D182" s="197" t="str">
        <f aca="false">IF(A183&lt;&gt;"",B182+C182,"")</f>
        <v/>
      </c>
      <c r="E182" s="199" t="str">
        <f aca="false">IF(A183="","",IF(AND(AT182=1,$H$3=1),D182*AO182,IF($H$3=2,D182,"N/A")))</f>
        <v/>
      </c>
      <c r="F182" s="199" t="str">
        <f aca="false">IF(A183="","",E182*AS182)</f>
        <v/>
      </c>
      <c r="G182" s="200" t="str">
        <f aca="false">IF($A183="","",VLOOKUP($A182,Table,MATCH(G$4,Curves,0)))</f>
        <v/>
      </c>
      <c r="H182" s="201" t="str">
        <f aca="false">IF(A183="","",G182)</f>
        <v/>
      </c>
      <c r="I182" s="202"/>
      <c r="J182" s="200" t="str">
        <f aca="false">IF($A183="","",VLOOKUP($A182,Table,MATCH(J$4,Curves,0)))</f>
        <v/>
      </c>
      <c r="K182" s="201" t="str">
        <f aca="false">IF(A183="","",J182)</f>
        <v/>
      </c>
      <c r="L182" s="200" t="str">
        <f aca="false">IF($A183="","",VLOOKUP($A182,Table,MATCH(L$4,Curves,0)))</f>
        <v/>
      </c>
      <c r="M182" s="201" t="str">
        <f aca="false">IF(A183="","",L182)</f>
        <v/>
      </c>
      <c r="N182" s="203"/>
      <c r="O182" s="200" t="str">
        <f aca="false">IF(A183="","",L182+J182+G182)</f>
        <v/>
      </c>
      <c r="P182" s="200" t="str">
        <f aca="false">IF(A183="","",M182+K182+H182)</f>
        <v/>
      </c>
      <c r="Q182" s="204"/>
      <c r="R182" s="200" t="str">
        <f aca="false">IF($A183="","",VLOOKUP($A182,Table,MATCH(R$4,Curves,0)))</f>
        <v/>
      </c>
      <c r="S182" s="201" t="str">
        <f aca="false">IF(A183="","",R182)</f>
        <v/>
      </c>
      <c r="T182" s="200" t="str">
        <f aca="false">IF($A183="","",VLOOKUP($A182,Table,MATCH(T$4,Curves,0)))</f>
        <v/>
      </c>
      <c r="U182" s="201" t="str">
        <f aca="false">IF(A183="","",T182)</f>
        <v/>
      </c>
      <c r="V182" s="225" t="str">
        <f aca="false">IF($A183="","",IF(AND(MONTH(A182)&gt;3,MONTH(A182)&lt;11),(T182+R182+G182)*(((1/(1-Summary!$T$12))/(1-Summary!$W$12))-1),(T182+R182+G182)*((1/(1-Summary!$U$12))/(1-Summary!$X$12)-1)))</f>
        <v/>
      </c>
      <c r="W182" s="200" t="str">
        <f aca="false">IF($A183="","",(T182+R182+G182+V182))</f>
        <v/>
      </c>
      <c r="X182" s="200" t="str">
        <f aca="false">IF($A183="","",(U182+S182+H182+V182))</f>
        <v/>
      </c>
      <c r="Y182" s="202"/>
      <c r="Z182" s="185" t="str">
        <f aca="false">IF($A183="","",VLOOKUP($A182,Table,MATCH(Z$4,Curves,0)))</f>
        <v/>
      </c>
      <c r="AA182" s="185" t="str">
        <f aca="false">IF($A183="","",VLOOKUP($A182,Table,MATCH(AA$4,Curves,0)))</f>
        <v/>
      </c>
      <c r="AB182" s="185" t="e">
        <f aca="false">SQRT((AA182^2*(A182-$D$3)+Z182^2*(DAY(EOMONTH(A182,0))/2))/AK182)</f>
        <v>#VALUE!</v>
      </c>
      <c r="AC182" s="185" t="str">
        <f aca="false">IF($A183="","",VLOOKUP($A182,Table,MATCH(AC$4,Curves,0)))</f>
        <v/>
      </c>
      <c r="AD182" s="185" t="str">
        <f aca="false">IF($A183="","",VLOOKUP($A182,Table,MATCH(AD$4,Curves,0)))</f>
        <v/>
      </c>
      <c r="AE182" s="185" t="e">
        <f aca="false">SQRT((AD182^2*(A182-$D$3)+AC182^2*(DAY(EOMONTH(A182,0))/2))/AK182)</f>
        <v>#VALUE!</v>
      </c>
      <c r="AF182" s="206" t="e">
        <f aca="false">((Summary!$N$12*(AA182*AD182)*(A182-$D$3))+(Summary!$M$12*Z182*AC182*(AJ182-EOMONTH(EDATE(A182,-1),0))))/(AK182*AB182*AE182)</f>
        <v>#VALUE!</v>
      </c>
      <c r="AG182" s="207" t="str">
        <f aca="false">IF($A183="","",Summary!$Q$12)</f>
        <v/>
      </c>
      <c r="AH182" s="207" t="str">
        <f aca="false">IF($A183="","",IF(Summary!$R$12="Y",(VLOOKUP($A182,Summary!$AD$6:$AF$9,3)+'Escalating commodity'!H195),'Escalating commodity'!H195))</f>
        <v/>
      </c>
      <c r="AI182" s="207" t="str">
        <f aca="false">IF($A183="","",AH182)</f>
        <v/>
      </c>
      <c r="AJ182" s="208" t="e">
        <f aca="false">A182+DAY(EOMONTH(A182,0))/2-1</f>
        <v>#VALUE!</v>
      </c>
      <c r="AK182" s="209" t="str">
        <f aca="false">IF($A183="","",$A182-$E$1)</f>
        <v/>
      </c>
      <c r="AL182" s="182" t="str">
        <f aca="false">IF($A183="","",SPRDOPT(P182,X182,AI182,0,AB182,AE182,AF182,AK182,$AJ$2,0))</f>
        <v/>
      </c>
      <c r="AM182" s="211" t="str">
        <f aca="false">IF($A183="","",MAX(0,O182-W182-AI182))</f>
        <v/>
      </c>
      <c r="AN182" s="211" t="str">
        <f aca="false">IF($A183="","",AL182-AM182)</f>
        <v/>
      </c>
      <c r="AO182" s="137" t="str">
        <f aca="false">IF(A183="","",A183-A182)</f>
        <v/>
      </c>
      <c r="AP182" s="212" t="str">
        <f aca="false">IF(A183="","",CHOOSE(F$3,A183+24,A182))</f>
        <v/>
      </c>
      <c r="AQ182" s="209" t="str">
        <f aca="false">IF(A183="","",AP182-$E$1)</f>
        <v/>
      </c>
      <c r="AR182" s="185" t="n">
        <f aca="false">'ANR OK vs ML7'!AR182</f>
        <v>0.1</v>
      </c>
      <c r="AS182" s="213" t="str">
        <f aca="false">IF(A183="","",1/(1+CHOOSE(F$3,(AR183+($I$3/10000))/2,(AR182+($I$3/10000))/2))^(2*AQ182/365.25))</f>
        <v/>
      </c>
      <c r="AT182" s="137" t="str">
        <f aca="false">IF(A183="","",IF(AND(mthbeg&lt;=A182,mthend&gt;=A182),1,0))</f>
        <v/>
      </c>
      <c r="AU182" s="137" t="str">
        <f aca="false">IF(A183="","",AO182*AT182)</f>
        <v/>
      </c>
      <c r="AW182" s="195" t="str">
        <f aca="false">IF($A183="","",AL182*$E182)</f>
        <v/>
      </c>
      <c r="AX182" s="195" t="str">
        <f aca="false">IF($A183="","",AM182*$E182)</f>
        <v/>
      </c>
      <c r="AY182" s="195" t="str">
        <f aca="false">IF($A183="","",AN182*$E182)</f>
        <v/>
      </c>
      <c r="BA182" s="195" t="str">
        <f aca="false">IF($A183="","",F182*Summary!$Q$12)</f>
        <v/>
      </c>
    </row>
    <row r="183" customFormat="false" ht="12" hidden="false" customHeight="true" outlineLevel="0" collapsed="false">
      <c r="A183" s="196" t="str">
        <f aca="false">IF(A182&lt;mthend,EDATE(A182,1),"")</f>
        <v/>
      </c>
      <c r="B183" s="197" t="str">
        <f aca="false">IF(A183&lt;mthend,B182,"")</f>
        <v/>
      </c>
      <c r="C183" s="215"/>
      <c r="D183" s="197" t="str">
        <f aca="false">IF(A184&lt;&gt;"",B183+C183,"")</f>
        <v/>
      </c>
      <c r="E183" s="199" t="str">
        <f aca="false">IF(A184="","",IF(AND(AT183=1,$H$3=1),D183*AO183,IF($H$3=2,D183,"N/A")))</f>
        <v/>
      </c>
      <c r="F183" s="199" t="str">
        <f aca="false">IF(A184="","",E183*AS183)</f>
        <v/>
      </c>
      <c r="G183" s="200" t="str">
        <f aca="false">IF($A184="","",VLOOKUP($A183,Table,MATCH(G$4,Curves,0)))</f>
        <v/>
      </c>
      <c r="H183" s="201" t="str">
        <f aca="false">IF(A184="","",G183)</f>
        <v/>
      </c>
      <c r="I183" s="202"/>
      <c r="J183" s="200" t="str">
        <f aca="false">IF($A184="","",VLOOKUP($A183,Table,MATCH(J$4,Curves,0)))</f>
        <v/>
      </c>
      <c r="K183" s="201" t="str">
        <f aca="false">IF(A184="","",J183)</f>
        <v/>
      </c>
      <c r="L183" s="200" t="str">
        <f aca="false">IF($A184="","",VLOOKUP($A183,Table,MATCH(L$4,Curves,0)))</f>
        <v/>
      </c>
      <c r="M183" s="201" t="str">
        <f aca="false">IF(A184="","",L183)</f>
        <v/>
      </c>
      <c r="N183" s="203"/>
      <c r="O183" s="200" t="str">
        <f aca="false">IF(A184="","",L183+J183+G183)</f>
        <v/>
      </c>
      <c r="P183" s="200" t="str">
        <f aca="false">IF(A184="","",M183+K183+H183)</f>
        <v/>
      </c>
      <c r="Q183" s="204"/>
      <c r="R183" s="200" t="str">
        <f aca="false">IF($A184="","",VLOOKUP($A183,Table,MATCH(R$4,Curves,0)))</f>
        <v/>
      </c>
      <c r="S183" s="201" t="str">
        <f aca="false">IF(A184="","",R183)</f>
        <v/>
      </c>
      <c r="T183" s="200" t="str">
        <f aca="false">IF($A184="","",VLOOKUP($A183,Table,MATCH(T$4,Curves,0)))</f>
        <v/>
      </c>
      <c r="U183" s="201" t="str">
        <f aca="false">IF(A184="","",T183)</f>
        <v/>
      </c>
      <c r="V183" s="225" t="str">
        <f aca="false">IF($A184="","",IF(AND(MONTH(A183)&gt;3,MONTH(A183)&lt;11),(T183+R183+G183)*(((1/(1-Summary!$T$12))/(1-Summary!$W$12))-1),(T183+R183+G183)*((1/(1-Summary!$U$12))/(1-Summary!$X$12)-1)))</f>
        <v/>
      </c>
      <c r="W183" s="200" t="str">
        <f aca="false">IF($A184="","",(T183+R183+G183+V183))</f>
        <v/>
      </c>
      <c r="X183" s="200" t="str">
        <f aca="false">IF($A184="","",(U183+S183+H183+V183))</f>
        <v/>
      </c>
      <c r="Y183" s="202"/>
      <c r="Z183" s="185" t="str">
        <f aca="false">IF($A184="","",VLOOKUP($A183,Table,MATCH(Z$4,Curves,0)))</f>
        <v/>
      </c>
      <c r="AA183" s="185" t="str">
        <f aca="false">IF($A184="","",VLOOKUP($A183,Table,MATCH(AA$4,Curves,0)))</f>
        <v/>
      </c>
      <c r="AB183" s="185" t="e">
        <f aca="false">SQRT((AA183^2*(A183-$D$3)+Z183^2*(DAY(EOMONTH(A183,0))/2))/AK183)</f>
        <v>#VALUE!</v>
      </c>
      <c r="AC183" s="185" t="str">
        <f aca="false">IF($A184="","",VLOOKUP($A183,Table,MATCH(AC$4,Curves,0)))</f>
        <v/>
      </c>
      <c r="AD183" s="185" t="str">
        <f aca="false">IF($A184="","",VLOOKUP($A183,Table,MATCH(AD$4,Curves,0)))</f>
        <v/>
      </c>
      <c r="AE183" s="185" t="e">
        <f aca="false">SQRT((AD183^2*(A183-$D$3)+AC183^2*(DAY(EOMONTH(A183,0))/2))/AK183)</f>
        <v>#VALUE!</v>
      </c>
      <c r="AF183" s="206" t="e">
        <f aca="false">((Summary!$N$12*(AA183*AD183)*(A183-$D$3))+(Summary!$M$12*Z183*AC183*(AJ183-EOMONTH(EDATE(A183,-1),0))))/(AK183*AB183*AE183)</f>
        <v>#VALUE!</v>
      </c>
      <c r="AG183" s="207" t="str">
        <f aca="false">IF($A184="","",Summary!$Q$12)</f>
        <v/>
      </c>
      <c r="AH183" s="207" t="str">
        <f aca="false">IF($A184="","",IF(Summary!$R$12="Y",(VLOOKUP($A183,Summary!$AD$6:$AF$9,3)+'Escalating commodity'!H196),'Escalating commodity'!H196))</f>
        <v/>
      </c>
      <c r="AI183" s="207" t="str">
        <f aca="false">IF($A184="","",AH183)</f>
        <v/>
      </c>
      <c r="AJ183" s="208" t="e">
        <f aca="false">A183+DAY(EOMONTH(A183,0))/2-1</f>
        <v>#VALUE!</v>
      </c>
      <c r="AK183" s="209" t="str">
        <f aca="false">IF($A184="","",$A183-$E$1)</f>
        <v/>
      </c>
      <c r="AL183" s="182" t="str">
        <f aca="false">IF($A184="","",SPRDOPT(P183,X183,AI183,0,AB183,AE183,AF183,AK183,$AJ$2,0))</f>
        <v/>
      </c>
      <c r="AM183" s="211" t="str">
        <f aca="false">IF($A184="","",MAX(0,O183-W183-AI183))</f>
        <v/>
      </c>
      <c r="AN183" s="211" t="str">
        <f aca="false">IF($A184="","",AL183-AM183)</f>
        <v/>
      </c>
      <c r="AO183" s="137" t="str">
        <f aca="false">IF(A184="","",A184-A183)</f>
        <v/>
      </c>
      <c r="AP183" s="212" t="str">
        <f aca="false">IF(A184="","",CHOOSE(F$3,A184+24,A183))</f>
        <v/>
      </c>
      <c r="AQ183" s="209" t="str">
        <f aca="false">IF(A184="","",AP183-$E$1)</f>
        <v/>
      </c>
      <c r="AR183" s="185" t="n">
        <f aca="false">'ANR OK vs ML7'!AR183</f>
        <v>0.1</v>
      </c>
      <c r="AS183" s="213" t="str">
        <f aca="false">IF(A184="","",1/(1+CHOOSE(F$3,(AR184+($I$3/10000))/2,(AR183+($I$3/10000))/2))^(2*AQ183/365.25))</f>
        <v/>
      </c>
      <c r="AT183" s="137" t="str">
        <f aca="false">IF(A184="","",IF(AND(mthbeg&lt;=A183,mthend&gt;=A183),1,0))</f>
        <v/>
      </c>
      <c r="AU183" s="137" t="str">
        <f aca="false">IF(A184="","",AO183*AT183)</f>
        <v/>
      </c>
      <c r="AW183" s="195" t="str">
        <f aca="false">IF($A184="","",AL183*$E183)</f>
        <v/>
      </c>
      <c r="AX183" s="195" t="str">
        <f aca="false">IF($A184="","",AM183*$E183)</f>
        <v/>
      </c>
      <c r="AY183" s="195" t="str">
        <f aca="false">IF($A184="","",AN183*$E183)</f>
        <v/>
      </c>
      <c r="BA183" s="195" t="str">
        <f aca="false">IF($A184="","",F183*Summary!$Q$12)</f>
        <v/>
      </c>
    </row>
    <row r="184" customFormat="false" ht="12" hidden="false" customHeight="true" outlineLevel="0" collapsed="false">
      <c r="A184" s="196" t="str">
        <f aca="false">IF(A183&lt;mthend,EDATE(A183,1),"")</f>
        <v/>
      </c>
      <c r="B184" s="197" t="str">
        <f aca="false">IF(A184&lt;mthend,B183,"")</f>
        <v/>
      </c>
      <c r="C184" s="215"/>
      <c r="D184" s="197" t="str">
        <f aca="false">IF(A185&lt;&gt;"",B184+C184,"")</f>
        <v/>
      </c>
      <c r="E184" s="199" t="str">
        <f aca="false">IF(A185="","",IF(AND(AT184=1,$H$3=1),D184*AO184,IF($H$3=2,D184,"N/A")))</f>
        <v/>
      </c>
      <c r="F184" s="199" t="str">
        <f aca="false">IF(A185="","",E184*AS184)</f>
        <v/>
      </c>
      <c r="G184" s="200" t="str">
        <f aca="false">IF($A185="","",VLOOKUP($A184,Table,MATCH(G$4,Curves,0)))</f>
        <v/>
      </c>
      <c r="H184" s="201" t="str">
        <f aca="false">IF(A185="","",G184)</f>
        <v/>
      </c>
      <c r="I184" s="202"/>
      <c r="J184" s="200" t="str">
        <f aca="false">IF($A185="","",VLOOKUP($A184,Table,MATCH(J$4,Curves,0)))</f>
        <v/>
      </c>
      <c r="K184" s="201" t="str">
        <f aca="false">IF(A185="","",J184)</f>
        <v/>
      </c>
      <c r="L184" s="200" t="str">
        <f aca="false">IF($A185="","",VLOOKUP($A184,Table,MATCH(L$4,Curves,0)))</f>
        <v/>
      </c>
      <c r="M184" s="201" t="str">
        <f aca="false">IF(A185="","",L184)</f>
        <v/>
      </c>
      <c r="N184" s="203"/>
      <c r="O184" s="200" t="str">
        <f aca="false">IF(A185="","",L184+J184+G184)</f>
        <v/>
      </c>
      <c r="P184" s="200" t="str">
        <f aca="false">IF(A185="","",M184+K184+H184)</f>
        <v/>
      </c>
      <c r="Q184" s="204"/>
      <c r="R184" s="200" t="str">
        <f aca="false">IF($A185="","",VLOOKUP($A184,Table,MATCH(R$4,Curves,0)))</f>
        <v/>
      </c>
      <c r="S184" s="201" t="str">
        <f aca="false">IF(A185="","",R184)</f>
        <v/>
      </c>
      <c r="T184" s="200" t="str">
        <f aca="false">IF($A185="","",VLOOKUP($A184,Table,MATCH(T$4,Curves,0)))</f>
        <v/>
      </c>
      <c r="U184" s="201" t="str">
        <f aca="false">IF(A185="","",T184)</f>
        <v/>
      </c>
      <c r="V184" s="225" t="str">
        <f aca="false">IF($A185="","",IF(AND(MONTH(A184)&gt;3,MONTH(A184)&lt;11),(T184+R184+G184)*(((1/(1-Summary!$T$12))/(1-Summary!$W$12))-1),(T184+R184+G184)*((1/(1-Summary!$U$12))/(1-Summary!$X$12)-1)))</f>
        <v/>
      </c>
      <c r="W184" s="200" t="str">
        <f aca="false">IF($A185="","",(T184+R184+G184+V184))</f>
        <v/>
      </c>
      <c r="X184" s="200" t="str">
        <f aca="false">IF($A185="","",(U184+S184+H184+V184))</f>
        <v/>
      </c>
      <c r="Y184" s="202"/>
      <c r="Z184" s="185" t="str">
        <f aca="false">IF($A185="","",VLOOKUP($A184,Table,MATCH(Z$4,Curves,0)))</f>
        <v/>
      </c>
      <c r="AA184" s="185" t="str">
        <f aca="false">IF($A185="","",VLOOKUP($A184,Table,MATCH(AA$4,Curves,0)))</f>
        <v/>
      </c>
      <c r="AB184" s="185" t="e">
        <f aca="false">SQRT((AA184^2*(A184-$D$3)+Z184^2*(DAY(EOMONTH(A184,0))/2))/AK184)</f>
        <v>#VALUE!</v>
      </c>
      <c r="AC184" s="185" t="str">
        <f aca="false">IF($A185="","",VLOOKUP($A184,Table,MATCH(AC$4,Curves,0)))</f>
        <v/>
      </c>
      <c r="AD184" s="185" t="str">
        <f aca="false">IF($A185="","",VLOOKUP($A184,Table,MATCH(AD$4,Curves,0)))</f>
        <v/>
      </c>
      <c r="AE184" s="185" t="e">
        <f aca="false">SQRT((AD184^2*(A184-$D$3)+AC184^2*(DAY(EOMONTH(A184,0))/2))/AK184)</f>
        <v>#VALUE!</v>
      </c>
      <c r="AF184" s="206" t="e">
        <f aca="false">((Summary!$N$12*(AA184*AD184)*(A184-$D$3))+(Summary!$M$12*Z184*AC184*(AJ184-EOMONTH(EDATE(A184,-1),0))))/(AK184*AB184*AE184)</f>
        <v>#VALUE!</v>
      </c>
      <c r="AG184" s="207" t="str">
        <f aca="false">IF($A185="","",Summary!$Q$12)</f>
        <v/>
      </c>
      <c r="AH184" s="207" t="str">
        <f aca="false">IF($A185="","",IF(Summary!$R$12="Y",(VLOOKUP($A184,Summary!$AD$6:$AF$9,3)+'Escalating commodity'!H197),'Escalating commodity'!H197))</f>
        <v/>
      </c>
      <c r="AI184" s="207" t="str">
        <f aca="false">IF($A185="","",AH184)</f>
        <v/>
      </c>
      <c r="AJ184" s="208" t="e">
        <f aca="false">A184+DAY(EOMONTH(A184,0))/2-1</f>
        <v>#VALUE!</v>
      </c>
      <c r="AK184" s="209" t="str">
        <f aca="false">IF($A185="","",$A184-$E$1)</f>
        <v/>
      </c>
      <c r="AL184" s="182" t="str">
        <f aca="false">IF($A185="","",SPRDOPT(P184,X184,AI184,0,AB184,AE184,AF184,AK184,$AJ$2,0))</f>
        <v/>
      </c>
      <c r="AM184" s="211" t="str">
        <f aca="false">IF($A185="","",MAX(0,O184-W184-AI184))</f>
        <v/>
      </c>
      <c r="AN184" s="211" t="str">
        <f aca="false">IF($A185="","",AL184-AM184)</f>
        <v/>
      </c>
      <c r="AO184" s="137" t="str">
        <f aca="false">IF(A185="","",A185-A184)</f>
        <v/>
      </c>
      <c r="AP184" s="212" t="str">
        <f aca="false">IF(A185="","",CHOOSE(F$3,A185+24,A184))</f>
        <v/>
      </c>
      <c r="AQ184" s="209" t="str">
        <f aca="false">IF(A185="","",AP184-$E$1)</f>
        <v/>
      </c>
      <c r="AR184" s="185" t="n">
        <f aca="false">'ANR OK vs ML7'!AR184</f>
        <v>0.1</v>
      </c>
      <c r="AS184" s="213" t="str">
        <f aca="false">IF(A185="","",1/(1+CHOOSE(F$3,(AR185+($I$3/10000))/2,(AR184+($I$3/10000))/2))^(2*AQ184/365.25))</f>
        <v/>
      </c>
      <c r="AT184" s="137" t="str">
        <f aca="false">IF(A185="","",IF(AND(mthbeg&lt;=A184,mthend&gt;=A184),1,0))</f>
        <v/>
      </c>
      <c r="AU184" s="137" t="str">
        <f aca="false">IF(A185="","",AO184*AT184)</f>
        <v/>
      </c>
      <c r="AW184" s="195" t="str">
        <f aca="false">IF($A185="","",AL184*$E184)</f>
        <v/>
      </c>
      <c r="AX184" s="195" t="str">
        <f aca="false">IF($A185="","",AM184*$E184)</f>
        <v/>
      </c>
      <c r="AY184" s="195" t="str">
        <f aca="false">IF($A185="","",AN184*$E184)</f>
        <v/>
      </c>
      <c r="BA184" s="195" t="str">
        <f aca="false">IF($A185="","",F184*Summary!$Q$12)</f>
        <v/>
      </c>
    </row>
    <row r="185" customFormat="false" ht="12" hidden="false" customHeight="true" outlineLevel="0" collapsed="false">
      <c r="A185" s="196" t="str">
        <f aca="false">IF(A184&lt;mthend,EDATE(A184,1),"")</f>
        <v/>
      </c>
      <c r="B185" s="197" t="str">
        <f aca="false">IF(A185&lt;mthend,B184,"")</f>
        <v/>
      </c>
      <c r="C185" s="215"/>
      <c r="D185" s="197" t="str">
        <f aca="false">IF(A186&lt;&gt;"",B185+C185,"")</f>
        <v/>
      </c>
      <c r="E185" s="199" t="str">
        <f aca="false">IF(A186="","",IF(AND(AT185=1,$H$3=1),D185*AO185,IF($H$3=2,D185,"N/A")))</f>
        <v/>
      </c>
      <c r="F185" s="199" t="str">
        <f aca="false">IF(A186="","",E185*AS185)</f>
        <v/>
      </c>
      <c r="G185" s="200" t="str">
        <f aca="false">IF($A186="","",VLOOKUP($A185,Table,MATCH(G$4,Curves,0)))</f>
        <v/>
      </c>
      <c r="H185" s="201" t="str">
        <f aca="false">IF(A186="","",G185)</f>
        <v/>
      </c>
      <c r="I185" s="202"/>
      <c r="J185" s="200" t="str">
        <f aca="false">IF($A186="","",VLOOKUP($A185,Table,MATCH(J$4,Curves,0)))</f>
        <v/>
      </c>
      <c r="K185" s="201" t="str">
        <f aca="false">IF(A186="","",J185)</f>
        <v/>
      </c>
      <c r="L185" s="200" t="str">
        <f aca="false">IF($A186="","",VLOOKUP($A185,Table,MATCH(L$4,Curves,0)))</f>
        <v/>
      </c>
      <c r="M185" s="201" t="str">
        <f aca="false">IF(A186="","",L185)</f>
        <v/>
      </c>
      <c r="N185" s="203"/>
      <c r="O185" s="200" t="str">
        <f aca="false">IF(A186="","",L185+J185+G185)</f>
        <v/>
      </c>
      <c r="P185" s="200" t="str">
        <f aca="false">IF(A186="","",M185+K185+H185)</f>
        <v/>
      </c>
      <c r="Q185" s="204"/>
      <c r="R185" s="200" t="str">
        <f aca="false">IF($A186="","",VLOOKUP($A185,Table,MATCH(R$4,Curves,0)))</f>
        <v/>
      </c>
      <c r="S185" s="201" t="str">
        <f aca="false">IF(A186="","",R185)</f>
        <v/>
      </c>
      <c r="T185" s="200" t="str">
        <f aca="false">IF($A186="","",VLOOKUP($A185,Table,MATCH(T$4,Curves,0)))</f>
        <v/>
      </c>
      <c r="U185" s="201" t="str">
        <f aca="false">IF(A186="","",T185)</f>
        <v/>
      </c>
      <c r="V185" s="225" t="str">
        <f aca="false">IF($A186="","",IF(AND(MONTH(A185)&gt;3,MONTH(A185)&lt;11),(T185+R185+G185)*(((1/(1-Summary!$T$12))/(1-Summary!$W$12))-1),(T185+R185+G185)*((1/(1-Summary!$U$12))/(1-Summary!$X$12)-1)))</f>
        <v/>
      </c>
      <c r="W185" s="200" t="str">
        <f aca="false">IF($A186="","",(T185+R185+G185+V185))</f>
        <v/>
      </c>
      <c r="X185" s="200" t="str">
        <f aca="false">IF($A186="","",(U185+S185+H185+V185))</f>
        <v/>
      </c>
      <c r="Y185" s="202"/>
      <c r="Z185" s="185" t="str">
        <f aca="false">IF($A186="","",VLOOKUP($A185,Table,MATCH(Z$4,Curves,0)))</f>
        <v/>
      </c>
      <c r="AA185" s="185" t="str">
        <f aca="false">IF($A186="","",VLOOKUP($A185,Table,MATCH(AA$4,Curves,0)))</f>
        <v/>
      </c>
      <c r="AB185" s="185" t="e">
        <f aca="false">SQRT((AA185^2*(A185-$D$3)+Z185^2*(DAY(EOMONTH(A185,0))/2))/AK185)</f>
        <v>#VALUE!</v>
      </c>
      <c r="AC185" s="185" t="str">
        <f aca="false">IF($A186="","",VLOOKUP($A185,Table,MATCH(AC$4,Curves,0)))</f>
        <v/>
      </c>
      <c r="AD185" s="185" t="str">
        <f aca="false">IF($A186="","",VLOOKUP($A185,Table,MATCH(AD$4,Curves,0)))</f>
        <v/>
      </c>
      <c r="AE185" s="185" t="e">
        <f aca="false">SQRT((AD185^2*(A185-$D$3)+AC185^2*(DAY(EOMONTH(A185,0))/2))/AK185)</f>
        <v>#VALUE!</v>
      </c>
      <c r="AF185" s="206" t="e">
        <f aca="false">((Summary!$N$12*(AA185*AD185)*(A185-$D$3))+(Summary!$M$12*Z185*AC185*(AJ185-EOMONTH(EDATE(A185,-1),0))))/(AK185*AB185*AE185)</f>
        <v>#VALUE!</v>
      </c>
      <c r="AG185" s="207" t="str">
        <f aca="false">IF($A186="","",Summary!$Q$12)</f>
        <v/>
      </c>
      <c r="AH185" s="207" t="str">
        <f aca="false">IF($A186="","",IF(Summary!$R$12="Y",(VLOOKUP($A185,Summary!$AD$6:$AF$9,3)+'Escalating commodity'!H198),'Escalating commodity'!H198))</f>
        <v/>
      </c>
      <c r="AI185" s="207" t="str">
        <f aca="false">IF($A186="","",AH185)</f>
        <v/>
      </c>
      <c r="AJ185" s="208" t="e">
        <f aca="false">A185+DAY(EOMONTH(A185,0))/2-1</f>
        <v>#VALUE!</v>
      </c>
      <c r="AK185" s="209" t="str">
        <f aca="false">IF($A186="","",$A185-$E$1)</f>
        <v/>
      </c>
      <c r="AL185" s="182" t="str">
        <f aca="false">IF($A186="","",SPRDOPT(P185,X185,AI185,0,AB185,AE185,AF185,AK185,$AJ$2,0))</f>
        <v/>
      </c>
      <c r="AM185" s="211" t="str">
        <f aca="false">IF($A186="","",MAX(0,O185-W185-AI185))</f>
        <v/>
      </c>
      <c r="AN185" s="211" t="str">
        <f aca="false">IF($A186="","",AL185-AM185)</f>
        <v/>
      </c>
      <c r="AO185" s="137" t="str">
        <f aca="false">IF(A186="","",A186-A185)</f>
        <v/>
      </c>
      <c r="AP185" s="212" t="str">
        <f aca="false">IF(A186="","",CHOOSE(F$3,A186+24,A185))</f>
        <v/>
      </c>
      <c r="AQ185" s="209" t="str">
        <f aca="false">IF(A186="","",AP185-$E$1)</f>
        <v/>
      </c>
      <c r="AR185" s="185" t="n">
        <f aca="false">'ANR OK vs ML7'!AR185</f>
        <v>0.1</v>
      </c>
      <c r="AS185" s="213" t="str">
        <f aca="false">IF(A186="","",1/(1+CHOOSE(F$3,(AR186+($I$3/10000))/2,(AR185+($I$3/10000))/2))^(2*AQ185/365.25))</f>
        <v/>
      </c>
      <c r="AT185" s="137" t="str">
        <f aca="false">IF(A186="","",IF(AND(mthbeg&lt;=A185,mthend&gt;=A185),1,0))</f>
        <v/>
      </c>
      <c r="AU185" s="137" t="str">
        <f aca="false">IF(A186="","",AO185*AT185)</f>
        <v/>
      </c>
      <c r="AW185" s="195" t="str">
        <f aca="false">IF($A186="","",AL185*$E185)</f>
        <v/>
      </c>
      <c r="AX185" s="195" t="str">
        <f aca="false">IF($A186="","",AM185*$E185)</f>
        <v/>
      </c>
      <c r="AY185" s="195" t="str">
        <f aca="false">IF($A186="","",AN185*$E185)</f>
        <v/>
      </c>
      <c r="BA185" s="195" t="str">
        <f aca="false">IF($A186="","",F185*Summary!$Q$12)</f>
        <v/>
      </c>
    </row>
    <row r="186" customFormat="false" ht="12" hidden="false" customHeight="true" outlineLevel="0" collapsed="false">
      <c r="A186" s="196" t="str">
        <f aca="false">IF(A185&lt;mthend,EDATE(A185,1),"")</f>
        <v/>
      </c>
      <c r="B186" s="197" t="str">
        <f aca="false">IF(A186&lt;mthend,B185,"")</f>
        <v/>
      </c>
      <c r="C186" s="215"/>
      <c r="D186" s="197" t="str">
        <f aca="false">IF(A187&lt;&gt;"",B186+C186,"")</f>
        <v/>
      </c>
      <c r="E186" s="199" t="str">
        <f aca="false">IF(A187="","",IF(AND(AT186=1,$H$3=1),D186*AO186,IF($H$3=2,D186,"N/A")))</f>
        <v/>
      </c>
      <c r="F186" s="199" t="str">
        <f aca="false">IF(A187="","",E186*AS186)</f>
        <v/>
      </c>
      <c r="G186" s="200" t="str">
        <f aca="false">IF($A187="","",VLOOKUP($A186,Table,MATCH(G$4,Curves,0)))</f>
        <v/>
      </c>
      <c r="H186" s="201" t="str">
        <f aca="false">IF(A187="","",G186)</f>
        <v/>
      </c>
      <c r="I186" s="202"/>
      <c r="J186" s="200" t="str">
        <f aca="false">IF($A187="","",VLOOKUP($A186,Table,MATCH(J$4,Curves,0)))</f>
        <v/>
      </c>
      <c r="K186" s="201" t="str">
        <f aca="false">IF(A187="","",J186)</f>
        <v/>
      </c>
      <c r="L186" s="200" t="str">
        <f aca="false">IF($A187="","",VLOOKUP($A186,Table,MATCH(L$4,Curves,0)))</f>
        <v/>
      </c>
      <c r="M186" s="201" t="str">
        <f aca="false">IF(A187="","",L186)</f>
        <v/>
      </c>
      <c r="N186" s="203"/>
      <c r="O186" s="200" t="str">
        <f aca="false">IF(A187="","",L186+J186+G186)</f>
        <v/>
      </c>
      <c r="P186" s="200" t="str">
        <f aca="false">IF(A187="","",M186+K186+H186)</f>
        <v/>
      </c>
      <c r="Q186" s="204"/>
      <c r="R186" s="200" t="str">
        <f aca="false">IF($A187="","",VLOOKUP($A186,Table,MATCH(R$4,Curves,0)))</f>
        <v/>
      </c>
      <c r="S186" s="201" t="str">
        <f aca="false">IF(A187="","",R186)</f>
        <v/>
      </c>
      <c r="T186" s="200" t="str">
        <f aca="false">IF($A187="","",VLOOKUP($A186,Table,MATCH(T$4,Curves,0)))</f>
        <v/>
      </c>
      <c r="U186" s="201" t="str">
        <f aca="false">IF(A187="","",T186)</f>
        <v/>
      </c>
      <c r="V186" s="225" t="str">
        <f aca="false">IF($A187="","",IF(AND(MONTH(A186)&gt;3,MONTH(A186)&lt;11),(T186+R186+G186)*(((1/(1-Summary!$T$12))/(1-Summary!$W$12))-1),(T186+R186+G186)*((1/(1-Summary!$U$12))/(1-Summary!$X$12)-1)))</f>
        <v/>
      </c>
      <c r="W186" s="200" t="str">
        <f aca="false">IF($A187="","",(T186+R186+G186+V186))</f>
        <v/>
      </c>
      <c r="X186" s="200" t="str">
        <f aca="false">IF($A187="","",(U186+S186+H186+V186))</f>
        <v/>
      </c>
      <c r="Y186" s="202"/>
      <c r="Z186" s="185" t="str">
        <f aca="false">IF($A187="","",VLOOKUP($A186,Table,MATCH(Z$4,Curves,0)))</f>
        <v/>
      </c>
      <c r="AA186" s="185" t="str">
        <f aca="false">IF($A187="","",VLOOKUP($A186,Table,MATCH(AA$4,Curves,0)))</f>
        <v/>
      </c>
      <c r="AB186" s="185" t="e">
        <f aca="false">SQRT((AA186^2*(A186-$D$3)+Z186^2*(DAY(EOMONTH(A186,0))/2))/AK186)</f>
        <v>#VALUE!</v>
      </c>
      <c r="AC186" s="185" t="str">
        <f aca="false">IF($A187="","",VLOOKUP($A186,Table,MATCH(AC$4,Curves,0)))</f>
        <v/>
      </c>
      <c r="AD186" s="185" t="str">
        <f aca="false">IF($A187="","",VLOOKUP($A186,Table,MATCH(AD$4,Curves,0)))</f>
        <v/>
      </c>
      <c r="AE186" s="185" t="e">
        <f aca="false">SQRT((AD186^2*(A186-$D$3)+AC186^2*(DAY(EOMONTH(A186,0))/2))/AK186)</f>
        <v>#VALUE!</v>
      </c>
      <c r="AF186" s="206" t="e">
        <f aca="false">((Summary!$N$12*(AA186*AD186)*(A186-$D$3))+(Summary!$M$12*Z186*AC186*(AJ186-EOMONTH(EDATE(A186,-1),0))))/(AK186*AB186*AE186)</f>
        <v>#VALUE!</v>
      </c>
      <c r="AG186" s="207" t="str">
        <f aca="false">IF($A187="","",Summary!$Q$12)</f>
        <v/>
      </c>
      <c r="AH186" s="207" t="str">
        <f aca="false">IF($A187="","",IF(Summary!$R$12="Y",(VLOOKUP($A186,Summary!$AD$6:$AF$9,3)+'Escalating commodity'!H199),'Escalating commodity'!H199))</f>
        <v/>
      </c>
      <c r="AI186" s="207" t="str">
        <f aca="false">IF($A187="","",AH186)</f>
        <v/>
      </c>
      <c r="AJ186" s="208" t="e">
        <f aca="false">A186+DAY(EOMONTH(A186,0))/2-1</f>
        <v>#VALUE!</v>
      </c>
      <c r="AK186" s="209" t="str">
        <f aca="false">IF($A187="","",$A186-$E$1)</f>
        <v/>
      </c>
      <c r="AL186" s="182" t="str">
        <f aca="false">IF($A187="","",SPRDOPT(P186,X186,AI186,0,AB186,AE186,AF186,AK186,$AJ$2,0))</f>
        <v/>
      </c>
      <c r="AM186" s="211" t="str">
        <f aca="false">IF($A187="","",MAX(0,O186-W186-AI186))</f>
        <v/>
      </c>
      <c r="AN186" s="211" t="str">
        <f aca="false">IF($A187="","",AL186-AM186)</f>
        <v/>
      </c>
      <c r="AO186" s="137" t="str">
        <f aca="false">IF(A187="","",A187-A186)</f>
        <v/>
      </c>
      <c r="AP186" s="212" t="str">
        <f aca="false">IF(A187="","",CHOOSE(F$3,A187+24,A186))</f>
        <v/>
      </c>
      <c r="AQ186" s="209" t="str">
        <f aca="false">IF(A187="","",AP186-$E$1)</f>
        <v/>
      </c>
      <c r="AR186" s="185" t="n">
        <f aca="false">'ANR OK vs ML7'!AR186</f>
        <v>0.1</v>
      </c>
      <c r="AS186" s="213" t="str">
        <f aca="false">IF(A187="","",1/(1+CHOOSE(F$3,(AR187+($I$3/10000))/2,(AR186+($I$3/10000))/2))^(2*AQ186/365.25))</f>
        <v/>
      </c>
      <c r="AT186" s="137" t="str">
        <f aca="false">IF(A187="","",IF(AND(mthbeg&lt;=A186,mthend&gt;=A186),1,0))</f>
        <v/>
      </c>
      <c r="AU186" s="137" t="str">
        <f aca="false">IF(A187="","",AO186*AT186)</f>
        <v/>
      </c>
      <c r="AW186" s="195" t="str">
        <f aca="false">IF($A187="","",AL186*$E186)</f>
        <v/>
      </c>
      <c r="AX186" s="195" t="str">
        <f aca="false">IF($A187="","",AM186*$E186)</f>
        <v/>
      </c>
      <c r="AY186" s="195" t="str">
        <f aca="false">IF($A187="","",AN186*$E186)</f>
        <v/>
      </c>
      <c r="BA186" s="195" t="str">
        <f aca="false">IF($A187="","",F186*Summary!$Q$12)</f>
        <v/>
      </c>
    </row>
    <row r="187" customFormat="false" ht="12" hidden="false" customHeight="true" outlineLevel="0" collapsed="false">
      <c r="A187" s="196" t="str">
        <f aca="false">IF(A186&lt;mthend,EDATE(A186,1),"")</f>
        <v/>
      </c>
      <c r="B187" s="197" t="str">
        <f aca="false">IF(A187&lt;mthend,B186,"")</f>
        <v/>
      </c>
      <c r="C187" s="215"/>
      <c r="D187" s="197" t="str">
        <f aca="false">IF(A188&lt;&gt;"",B187+C187,"")</f>
        <v/>
      </c>
      <c r="E187" s="199" t="str">
        <f aca="false">IF(A188="","",IF(AND(AT187=1,$H$3=1),D187*AO187,IF($H$3=2,D187,"N/A")))</f>
        <v/>
      </c>
      <c r="F187" s="199" t="str">
        <f aca="false">IF(A188="","",E187*AS187)</f>
        <v/>
      </c>
      <c r="G187" s="200" t="str">
        <f aca="false">IF($A188="","",VLOOKUP($A187,Table,MATCH(G$4,Curves,0)))</f>
        <v/>
      </c>
      <c r="H187" s="201" t="str">
        <f aca="false">IF(A188="","",G187)</f>
        <v/>
      </c>
      <c r="I187" s="202"/>
      <c r="J187" s="200" t="str">
        <f aca="false">IF($A188="","",VLOOKUP($A187,Table,MATCH(J$4,Curves,0)))</f>
        <v/>
      </c>
      <c r="K187" s="201" t="str">
        <f aca="false">IF(A188="","",J187)</f>
        <v/>
      </c>
      <c r="L187" s="200" t="str">
        <f aca="false">IF($A188="","",VLOOKUP($A187,Table,MATCH(L$4,Curves,0)))</f>
        <v/>
      </c>
      <c r="M187" s="201" t="str">
        <f aca="false">IF(A188="","",L187)</f>
        <v/>
      </c>
      <c r="N187" s="203"/>
      <c r="O187" s="200" t="str">
        <f aca="false">IF(A188="","",L187+J187+G187)</f>
        <v/>
      </c>
      <c r="P187" s="200" t="str">
        <f aca="false">IF(A188="","",M187+K187+H187)</f>
        <v/>
      </c>
      <c r="Q187" s="204"/>
      <c r="R187" s="200" t="str">
        <f aca="false">IF($A188="","",VLOOKUP($A187,Table,MATCH(R$4,Curves,0)))</f>
        <v/>
      </c>
      <c r="S187" s="201" t="str">
        <f aca="false">IF(A188="","",R187)</f>
        <v/>
      </c>
      <c r="T187" s="200" t="str">
        <f aca="false">IF($A188="","",VLOOKUP($A187,Table,MATCH(T$4,Curves,0)))</f>
        <v/>
      </c>
      <c r="U187" s="201" t="str">
        <f aca="false">IF(A188="","",T187)</f>
        <v/>
      </c>
      <c r="V187" s="225" t="str">
        <f aca="false">IF($A188="","",IF(AND(MONTH(A187)&gt;3,MONTH(A187)&lt;11),(T187+R187+G187)*(((1/(1-Summary!$T$12))/(1-Summary!$W$12))-1),(T187+R187+G187)*((1/(1-Summary!$U$12))/(1-Summary!$X$12)-1)))</f>
        <v/>
      </c>
      <c r="W187" s="200" t="str">
        <f aca="false">IF($A188="","",(T187+R187+G187+V187))</f>
        <v/>
      </c>
      <c r="X187" s="200" t="str">
        <f aca="false">IF($A188="","",(U187+S187+H187+V187))</f>
        <v/>
      </c>
      <c r="Y187" s="202"/>
      <c r="Z187" s="185" t="str">
        <f aca="false">IF($A188="","",VLOOKUP($A187,Table,MATCH(Z$4,Curves,0)))</f>
        <v/>
      </c>
      <c r="AA187" s="185" t="str">
        <f aca="false">IF($A188="","",VLOOKUP($A187,Table,MATCH(AA$4,Curves,0)))</f>
        <v/>
      </c>
      <c r="AB187" s="185" t="e">
        <f aca="false">SQRT((AA187^2*(A187-$D$3)+Z187^2*(DAY(EOMONTH(A187,0))/2))/AK187)</f>
        <v>#VALUE!</v>
      </c>
      <c r="AC187" s="185" t="str">
        <f aca="false">IF($A188="","",VLOOKUP($A187,Table,MATCH(AC$4,Curves,0)))</f>
        <v/>
      </c>
      <c r="AD187" s="185" t="str">
        <f aca="false">IF($A188="","",VLOOKUP($A187,Table,MATCH(AD$4,Curves,0)))</f>
        <v/>
      </c>
      <c r="AE187" s="185" t="e">
        <f aca="false">SQRT((AD187^2*(A187-$D$3)+AC187^2*(DAY(EOMONTH(A187,0))/2))/AK187)</f>
        <v>#VALUE!</v>
      </c>
      <c r="AF187" s="206" t="e">
        <f aca="false">((Summary!$N$12*(AA187*AD187)*(A187-$D$3))+(Summary!$M$12*Z187*AC187*(AJ187-EOMONTH(EDATE(A187,-1),0))))/(AK187*AB187*AE187)</f>
        <v>#VALUE!</v>
      </c>
      <c r="AG187" s="207" t="str">
        <f aca="false">IF($A188="","",Summary!$Q$12)</f>
        <v/>
      </c>
      <c r="AH187" s="207" t="str">
        <f aca="false">IF($A188="","",IF(Summary!$R$12="Y",(VLOOKUP($A187,Summary!$AD$6:$AF$9,3)+'Escalating commodity'!H200),'Escalating commodity'!H200))</f>
        <v/>
      </c>
      <c r="AI187" s="207" t="str">
        <f aca="false">IF($A188="","",AH187)</f>
        <v/>
      </c>
      <c r="AJ187" s="208" t="e">
        <f aca="false">A187+DAY(EOMONTH(A187,0))/2-1</f>
        <v>#VALUE!</v>
      </c>
      <c r="AK187" s="209" t="str">
        <f aca="false">IF($A188="","",$A187-$E$1)</f>
        <v/>
      </c>
      <c r="AL187" s="182" t="str">
        <f aca="false">IF($A188="","",SPRDOPT(P187,X187,AI187,0,AB187,AE187,AF187,AK187,$AJ$2,0))</f>
        <v/>
      </c>
      <c r="AM187" s="211" t="str">
        <f aca="false">IF($A188="","",MAX(0,O187-W187-AI187))</f>
        <v/>
      </c>
      <c r="AN187" s="211" t="str">
        <f aca="false">IF($A188="","",AL187-AM187)</f>
        <v/>
      </c>
      <c r="AO187" s="137" t="str">
        <f aca="false">IF(A188="","",A188-A187)</f>
        <v/>
      </c>
      <c r="AP187" s="212" t="str">
        <f aca="false">IF(A188="","",CHOOSE(F$3,A188+24,A187))</f>
        <v/>
      </c>
      <c r="AQ187" s="209" t="str">
        <f aca="false">IF(A188="","",AP187-$E$1)</f>
        <v/>
      </c>
      <c r="AR187" s="185" t="n">
        <f aca="false">'ANR OK vs ML7'!AR187</f>
        <v>0.1</v>
      </c>
      <c r="AS187" s="213" t="str">
        <f aca="false">IF(A188="","",1/(1+CHOOSE(F$3,(AR188+($I$3/10000))/2,(AR187+($I$3/10000))/2))^(2*AQ187/365.25))</f>
        <v/>
      </c>
      <c r="AT187" s="137" t="str">
        <f aca="false">IF(A188="","",IF(AND(mthbeg&lt;=A187,mthend&gt;=A187),1,0))</f>
        <v/>
      </c>
      <c r="AU187" s="137" t="str">
        <f aca="false">IF(A188="","",AO187*AT187)</f>
        <v/>
      </c>
      <c r="AW187" s="195" t="str">
        <f aca="false">IF($A188="","",AL187*$E187)</f>
        <v/>
      </c>
      <c r="AX187" s="195" t="str">
        <f aca="false">IF($A188="","",AM187*$E187)</f>
        <v/>
      </c>
      <c r="AY187" s="195" t="str">
        <f aca="false">IF($A188="","",AN187*$E187)</f>
        <v/>
      </c>
      <c r="BA187" s="195" t="str">
        <f aca="false">IF($A188="","",F187*Summary!$Q$12)</f>
        <v/>
      </c>
    </row>
    <row r="188" customFormat="false" ht="12" hidden="false" customHeight="true" outlineLevel="0" collapsed="false">
      <c r="A188" s="196" t="str">
        <f aca="false">IF(A187&lt;mthend,EDATE(A187,1),"")</f>
        <v/>
      </c>
      <c r="B188" s="197" t="str">
        <f aca="false">IF(A188&lt;mthend,B187,"")</f>
        <v/>
      </c>
      <c r="C188" s="215"/>
      <c r="D188" s="197" t="str">
        <f aca="false">IF(A189&lt;&gt;"",B188+C188,"")</f>
        <v/>
      </c>
      <c r="E188" s="199" t="str">
        <f aca="false">IF(A189="","",IF(AND(AT188=1,$H$3=1),D188*AO188,IF($H$3=2,D188,"N/A")))</f>
        <v/>
      </c>
      <c r="F188" s="199" t="str">
        <f aca="false">IF(A189="","",E188*AS188)</f>
        <v/>
      </c>
      <c r="G188" s="200" t="str">
        <f aca="false">IF($A189="","",VLOOKUP($A188,Table,MATCH(G$4,Curves,0)))</f>
        <v/>
      </c>
      <c r="H188" s="201" t="str">
        <f aca="false">IF(A189="","",G188)</f>
        <v/>
      </c>
      <c r="I188" s="202"/>
      <c r="J188" s="200" t="str">
        <f aca="false">IF($A189="","",VLOOKUP($A188,Table,MATCH(J$4,Curves,0)))</f>
        <v/>
      </c>
      <c r="K188" s="201" t="str">
        <f aca="false">IF(A189="","",J188)</f>
        <v/>
      </c>
      <c r="L188" s="200" t="str">
        <f aca="false">IF($A189="","",VLOOKUP($A188,Table,MATCH(L$4,Curves,0)))</f>
        <v/>
      </c>
      <c r="M188" s="201" t="str">
        <f aca="false">IF(A189="","",L188)</f>
        <v/>
      </c>
      <c r="N188" s="203"/>
      <c r="O188" s="200" t="str">
        <f aca="false">IF(A189="","",L188+J188+G188)</f>
        <v/>
      </c>
      <c r="P188" s="200" t="str">
        <f aca="false">IF(A189="","",M188+K188+H188)</f>
        <v/>
      </c>
      <c r="Q188" s="204"/>
      <c r="R188" s="200" t="str">
        <f aca="false">IF($A189="","",VLOOKUP($A188,Table,MATCH(R$4,Curves,0)))</f>
        <v/>
      </c>
      <c r="S188" s="201" t="str">
        <f aca="false">IF(A189="","",R188)</f>
        <v/>
      </c>
      <c r="T188" s="200" t="str">
        <f aca="false">IF($A189="","",VLOOKUP($A188,Table,MATCH(T$4,Curves,0)))</f>
        <v/>
      </c>
      <c r="U188" s="201" t="str">
        <f aca="false">IF(A189="","",T188)</f>
        <v/>
      </c>
      <c r="V188" s="225" t="str">
        <f aca="false">IF($A189="","",IF(AND(MONTH(A188)&gt;3,MONTH(A188)&lt;11),(T188+R188+G188)*(((1/(1-Summary!$T$12))/(1-Summary!$W$12))-1),(T188+R188+G188)*((1/(1-Summary!$U$12))/(1-Summary!$X$12)-1)))</f>
        <v/>
      </c>
      <c r="W188" s="200" t="str">
        <f aca="false">IF($A189="","",(T188+R188+G188+V188))</f>
        <v/>
      </c>
      <c r="X188" s="200" t="str">
        <f aca="false">IF($A189="","",(U188+S188+H188+V188))</f>
        <v/>
      </c>
      <c r="Y188" s="202"/>
      <c r="Z188" s="185" t="str">
        <f aca="false">IF($A189="","",VLOOKUP($A188,Table,MATCH(Z$4,Curves,0)))</f>
        <v/>
      </c>
      <c r="AA188" s="185" t="str">
        <f aca="false">IF($A189="","",VLOOKUP($A188,Table,MATCH(AA$4,Curves,0)))</f>
        <v/>
      </c>
      <c r="AB188" s="185" t="e">
        <f aca="false">SQRT((AA188^2*(A188-$D$3)+Z188^2*(DAY(EOMONTH(A188,0))/2))/AK188)</f>
        <v>#VALUE!</v>
      </c>
      <c r="AC188" s="185" t="str">
        <f aca="false">IF($A189="","",VLOOKUP($A188,Table,MATCH(AC$4,Curves,0)))</f>
        <v/>
      </c>
      <c r="AD188" s="185" t="str">
        <f aca="false">IF($A189="","",VLOOKUP($A188,Table,MATCH(AD$4,Curves,0)))</f>
        <v/>
      </c>
      <c r="AE188" s="185" t="e">
        <f aca="false">SQRT((AD188^2*(A188-$D$3)+AC188^2*(DAY(EOMONTH(A188,0))/2))/AK188)</f>
        <v>#VALUE!</v>
      </c>
      <c r="AF188" s="206" t="e">
        <f aca="false">((Summary!$N$12*(AA188*AD188)*(A188-$D$3))+(Summary!$M$12*Z188*AC188*(AJ188-EOMONTH(EDATE(A188,-1),0))))/(AK188*AB188*AE188)</f>
        <v>#VALUE!</v>
      </c>
      <c r="AG188" s="207" t="str">
        <f aca="false">IF($A189="","",Summary!$Q$12)</f>
        <v/>
      </c>
      <c r="AH188" s="207" t="str">
        <f aca="false">IF($A189="","",IF(Summary!$R$12="Y",(VLOOKUP($A188,Summary!$AD$6:$AF$9,3)+'Escalating commodity'!H201),'Escalating commodity'!H201))</f>
        <v/>
      </c>
      <c r="AI188" s="207" t="str">
        <f aca="false">IF($A189="","",AH188)</f>
        <v/>
      </c>
      <c r="AJ188" s="208" t="e">
        <f aca="false">A188+DAY(EOMONTH(A188,0))/2-1</f>
        <v>#VALUE!</v>
      </c>
      <c r="AK188" s="209" t="str">
        <f aca="false">IF($A189="","",$A188-$E$1)</f>
        <v/>
      </c>
      <c r="AL188" s="182" t="str">
        <f aca="false">IF($A189="","",SPRDOPT(P188,X188,AI188,0,AB188,AE188,AF188,AK188,$AJ$2,0))</f>
        <v/>
      </c>
      <c r="AM188" s="211" t="str">
        <f aca="false">IF($A189="","",MAX(0,O188-W188-AI188))</f>
        <v/>
      </c>
      <c r="AN188" s="211" t="str">
        <f aca="false">IF($A189="","",AL188-AM188)</f>
        <v/>
      </c>
      <c r="AO188" s="137" t="str">
        <f aca="false">IF(A189="","",A189-A188)</f>
        <v/>
      </c>
      <c r="AP188" s="212" t="str">
        <f aca="false">IF(A189="","",CHOOSE(F$3,A189+24,A188))</f>
        <v/>
      </c>
      <c r="AQ188" s="209" t="str">
        <f aca="false">IF(A189="","",AP188-$E$1)</f>
        <v/>
      </c>
      <c r="AR188" s="185" t="n">
        <f aca="false">'ANR OK vs ML7'!AR188</f>
        <v>0.1</v>
      </c>
      <c r="AS188" s="213" t="str">
        <f aca="false">IF(A189="","",1/(1+CHOOSE(F$3,(AR189+($I$3/10000))/2,(AR188+($I$3/10000))/2))^(2*AQ188/365.25))</f>
        <v/>
      </c>
      <c r="AT188" s="137" t="str">
        <f aca="false">IF(A189="","",IF(AND(mthbeg&lt;=A188,mthend&gt;=A188),1,0))</f>
        <v/>
      </c>
      <c r="AU188" s="137" t="str">
        <f aca="false">IF(A189="","",AO188*AT188)</f>
        <v/>
      </c>
      <c r="AW188" s="195" t="str">
        <f aca="false">IF($A189="","",AL188*$E188)</f>
        <v/>
      </c>
      <c r="AX188" s="195" t="str">
        <f aca="false">IF($A189="","",AM188*$E188)</f>
        <v/>
      </c>
      <c r="AY188" s="195" t="str">
        <f aca="false">IF($A189="","",AN188*$E188)</f>
        <v/>
      </c>
      <c r="BA188" s="195" t="str">
        <f aca="false">IF($A189="","",F188*Summary!$Q$12)</f>
        <v/>
      </c>
    </row>
    <row r="189" customFormat="false" ht="12" hidden="false" customHeight="true" outlineLevel="0" collapsed="false">
      <c r="A189" s="196" t="str">
        <f aca="false">IF(A188&lt;mthend,EDATE(A188,1),"")</f>
        <v/>
      </c>
      <c r="B189" s="197" t="str">
        <f aca="false">IF(A189&lt;mthend,B188,"")</f>
        <v/>
      </c>
      <c r="C189" s="215"/>
      <c r="D189" s="197" t="str">
        <f aca="false">IF(A190&lt;&gt;"",B189+C189,"")</f>
        <v/>
      </c>
      <c r="E189" s="199" t="str">
        <f aca="false">IF(A190="","",IF(AND(AT189=1,$H$3=1),D189*AO189,IF($H$3=2,D189,"N/A")))</f>
        <v/>
      </c>
      <c r="F189" s="199" t="str">
        <f aca="false">IF(A190="","",E189*AS189)</f>
        <v/>
      </c>
      <c r="G189" s="200" t="str">
        <f aca="false">IF($A190="","",VLOOKUP($A189,Table,MATCH(G$4,Curves,0)))</f>
        <v/>
      </c>
      <c r="H189" s="201" t="str">
        <f aca="false">IF(A190="","",G189)</f>
        <v/>
      </c>
      <c r="I189" s="202"/>
      <c r="J189" s="200" t="str">
        <f aca="false">IF($A190="","",VLOOKUP($A189,Table,MATCH(J$4,Curves,0)))</f>
        <v/>
      </c>
      <c r="K189" s="201" t="str">
        <f aca="false">IF(A190="","",J189)</f>
        <v/>
      </c>
      <c r="L189" s="200" t="str">
        <f aca="false">IF($A190="","",VLOOKUP($A189,Table,MATCH(L$4,Curves,0)))</f>
        <v/>
      </c>
      <c r="M189" s="201" t="str">
        <f aca="false">IF(A190="","",L189)</f>
        <v/>
      </c>
      <c r="N189" s="203"/>
      <c r="O189" s="200" t="str">
        <f aca="false">IF(A190="","",L189+J189+G189)</f>
        <v/>
      </c>
      <c r="P189" s="200" t="str">
        <f aca="false">IF(A190="","",M189+K189+H189)</f>
        <v/>
      </c>
      <c r="Q189" s="204"/>
      <c r="R189" s="200" t="str">
        <f aca="false">IF($A190="","",VLOOKUP($A189,Table,MATCH(R$4,Curves,0)))</f>
        <v/>
      </c>
      <c r="S189" s="201" t="str">
        <f aca="false">IF(A190="","",R189)</f>
        <v/>
      </c>
      <c r="T189" s="200" t="str">
        <f aca="false">IF($A190="","",VLOOKUP($A189,Table,MATCH(T$4,Curves,0)))</f>
        <v/>
      </c>
      <c r="U189" s="201" t="str">
        <f aca="false">IF(A190="","",T189)</f>
        <v/>
      </c>
      <c r="V189" s="225" t="str">
        <f aca="false">IF($A190="","",IF(AND(MONTH(A189)&gt;3,MONTH(A189)&lt;11),(T189+R189+G189)*(((1/(1-Summary!$T$12))/(1-Summary!$W$12))-1),(T189+R189+G189)*((1/(1-Summary!$U$12))/(1-Summary!$X$12)-1)))</f>
        <v/>
      </c>
      <c r="W189" s="200" t="str">
        <f aca="false">IF($A190="","",(T189+R189+G189+V189))</f>
        <v/>
      </c>
      <c r="X189" s="200" t="str">
        <f aca="false">IF($A190="","",(U189+S189+H189+V189))</f>
        <v/>
      </c>
      <c r="Y189" s="202"/>
      <c r="Z189" s="185" t="str">
        <f aca="false">IF($A190="","",VLOOKUP($A189,Table,MATCH(Z$4,Curves,0)))</f>
        <v/>
      </c>
      <c r="AA189" s="185" t="str">
        <f aca="false">IF($A190="","",VLOOKUP($A189,Table,MATCH(AA$4,Curves,0)))</f>
        <v/>
      </c>
      <c r="AB189" s="185" t="e">
        <f aca="false">SQRT((AA189^2*(A189-$D$3)+Z189^2*(DAY(EOMONTH(A189,0))/2))/AK189)</f>
        <v>#VALUE!</v>
      </c>
      <c r="AC189" s="185" t="str">
        <f aca="false">IF($A190="","",VLOOKUP($A189,Table,MATCH(AC$4,Curves,0)))</f>
        <v/>
      </c>
      <c r="AD189" s="185" t="str">
        <f aca="false">IF($A190="","",VLOOKUP($A189,Table,MATCH(AD$4,Curves,0)))</f>
        <v/>
      </c>
      <c r="AE189" s="185" t="e">
        <f aca="false">SQRT((AD189^2*(A189-$D$3)+AC189^2*(DAY(EOMONTH(A189,0))/2))/AK189)</f>
        <v>#VALUE!</v>
      </c>
      <c r="AF189" s="206" t="e">
        <f aca="false">((Summary!$N$12*(AA189*AD189)*(A189-$D$3))+(Summary!$M$12*Z189*AC189*(AJ189-EOMONTH(EDATE(A189,-1),0))))/(AK189*AB189*AE189)</f>
        <v>#VALUE!</v>
      </c>
      <c r="AG189" s="207" t="str">
        <f aca="false">IF($A190="","",Summary!$Q$12)</f>
        <v/>
      </c>
      <c r="AH189" s="207" t="str">
        <f aca="false">IF($A190="","",IF(Summary!$R$12="Y",(VLOOKUP($A189,Summary!$AD$6:$AF$9,3)+'Escalating commodity'!H202),'Escalating commodity'!H202))</f>
        <v/>
      </c>
      <c r="AI189" s="207" t="str">
        <f aca="false">IF($A190="","",AH189)</f>
        <v/>
      </c>
      <c r="AJ189" s="208" t="e">
        <f aca="false">A189+DAY(EOMONTH(A189,0))/2-1</f>
        <v>#VALUE!</v>
      </c>
      <c r="AK189" s="209" t="str">
        <f aca="false">IF($A190="","",$A189-$E$1)</f>
        <v/>
      </c>
      <c r="AL189" s="182" t="str">
        <f aca="false">IF($A190="","",SPRDOPT(P189,X189,AI189,0,AB189,AE189,AF189,AK189,$AJ$2,0))</f>
        <v/>
      </c>
      <c r="AM189" s="211" t="str">
        <f aca="false">IF($A190="","",MAX(0,O189-W189-AI189))</f>
        <v/>
      </c>
      <c r="AN189" s="211" t="str">
        <f aca="false">IF($A190="","",AL189-AM189)</f>
        <v/>
      </c>
      <c r="AO189" s="137" t="str">
        <f aca="false">IF(A190="","",A190-A189)</f>
        <v/>
      </c>
      <c r="AP189" s="212" t="str">
        <f aca="false">IF(A190="","",CHOOSE(F$3,A190+24,A189))</f>
        <v/>
      </c>
      <c r="AQ189" s="209" t="str">
        <f aca="false">IF(A190="","",AP189-$E$1)</f>
        <v/>
      </c>
      <c r="AR189" s="185" t="n">
        <f aca="false">'ANR OK vs ML7'!AR189</f>
        <v>0.1</v>
      </c>
      <c r="AS189" s="213" t="str">
        <f aca="false">IF(A190="","",1/(1+CHOOSE(F$3,(AR190+($I$3/10000))/2,(AR189+($I$3/10000))/2))^(2*AQ189/365.25))</f>
        <v/>
      </c>
      <c r="AT189" s="137" t="str">
        <f aca="false">IF(A190="","",IF(AND(mthbeg&lt;=A189,mthend&gt;=A189),1,0))</f>
        <v/>
      </c>
      <c r="AU189" s="137" t="str">
        <f aca="false">IF(A190="","",AO189*AT189)</f>
        <v/>
      </c>
      <c r="AW189" s="195" t="str">
        <f aca="false">IF($A190="","",AL189*$E189)</f>
        <v/>
      </c>
      <c r="AX189" s="195" t="str">
        <f aca="false">IF($A190="","",AM189*$E189)</f>
        <v/>
      </c>
      <c r="AY189" s="195" t="str">
        <f aca="false">IF($A190="","",AN189*$E189)</f>
        <v/>
      </c>
      <c r="BA189" s="195" t="str">
        <f aca="false">IF($A190="","",F189*Summary!$Q$12)</f>
        <v/>
      </c>
    </row>
    <row r="190" customFormat="false" ht="12" hidden="false" customHeight="true" outlineLevel="0" collapsed="false">
      <c r="A190" s="196" t="str">
        <f aca="false">IF(A189&lt;mthend,EDATE(A189,1),"")</f>
        <v/>
      </c>
      <c r="B190" s="197" t="str">
        <f aca="false">IF(A190&lt;mthend,B189,"")</f>
        <v/>
      </c>
      <c r="C190" s="215"/>
      <c r="D190" s="197" t="str">
        <f aca="false">IF(A191&lt;&gt;"",B190+C190,"")</f>
        <v/>
      </c>
      <c r="E190" s="199" t="str">
        <f aca="false">IF(A191="","",IF(AND(AT190=1,$H$3=1),D190*AO190,IF($H$3=2,D190,"N/A")))</f>
        <v/>
      </c>
      <c r="F190" s="199" t="str">
        <f aca="false">IF(A191="","",E190*AS190)</f>
        <v/>
      </c>
      <c r="G190" s="200" t="str">
        <f aca="false">IF($A191="","",VLOOKUP($A190,Table,MATCH(G$4,Curves,0)))</f>
        <v/>
      </c>
      <c r="H190" s="201" t="str">
        <f aca="false">IF(A191="","",G190)</f>
        <v/>
      </c>
      <c r="I190" s="202"/>
      <c r="J190" s="200" t="str">
        <f aca="false">IF($A191="","",VLOOKUP($A190,Table,MATCH(J$4,Curves,0)))</f>
        <v/>
      </c>
      <c r="K190" s="201" t="str">
        <f aca="false">IF(A191="","",J190)</f>
        <v/>
      </c>
      <c r="L190" s="200" t="str">
        <f aca="false">IF($A191="","",VLOOKUP($A190,Table,MATCH(L$4,Curves,0)))</f>
        <v/>
      </c>
      <c r="M190" s="201" t="str">
        <f aca="false">IF(A191="","",L190)</f>
        <v/>
      </c>
      <c r="N190" s="203"/>
      <c r="O190" s="200" t="str">
        <f aca="false">IF(A191="","",L190+J190+G190)</f>
        <v/>
      </c>
      <c r="P190" s="200" t="str">
        <f aca="false">IF(A191="","",M190+K190+H190)</f>
        <v/>
      </c>
      <c r="Q190" s="204"/>
      <c r="R190" s="200" t="str">
        <f aca="false">IF($A191="","",VLOOKUP($A190,Table,MATCH(R$4,Curves,0)))</f>
        <v/>
      </c>
      <c r="S190" s="201" t="str">
        <f aca="false">IF(A191="","",R190)</f>
        <v/>
      </c>
      <c r="T190" s="200" t="str">
        <f aca="false">IF($A191="","",VLOOKUP($A190,Table,MATCH(T$4,Curves,0)))</f>
        <v/>
      </c>
      <c r="U190" s="201" t="str">
        <f aca="false">IF(A191="","",T190)</f>
        <v/>
      </c>
      <c r="V190" s="225" t="str">
        <f aca="false">IF($A191="","",IF(AND(MONTH(A190)&gt;3,MONTH(A190)&lt;11),(T190+R190+G190)*(((1/(1-Summary!$T$12))/(1-Summary!$W$12))-1),(T190+R190+G190)*((1/(1-Summary!$U$12))/(1-Summary!$X$12)-1)))</f>
        <v/>
      </c>
      <c r="W190" s="200" t="str">
        <f aca="false">IF($A191="","",(T190+R190+G190+V190))</f>
        <v/>
      </c>
      <c r="X190" s="200" t="str">
        <f aca="false">IF($A191="","",(U190+S190+H190+V190))</f>
        <v/>
      </c>
      <c r="Y190" s="202"/>
      <c r="Z190" s="185" t="str">
        <f aca="false">IF($A191="","",VLOOKUP($A190,Table,MATCH(Z$4,Curves,0)))</f>
        <v/>
      </c>
      <c r="AA190" s="185" t="str">
        <f aca="false">IF($A191="","",VLOOKUP($A190,Table,MATCH(AA$4,Curves,0)))</f>
        <v/>
      </c>
      <c r="AB190" s="185" t="e">
        <f aca="false">SQRT((AA190^2*(A190-$D$3)+Z190^2*(DAY(EOMONTH(A190,0))/2))/AK190)</f>
        <v>#VALUE!</v>
      </c>
      <c r="AC190" s="185" t="str">
        <f aca="false">IF($A191="","",VLOOKUP($A190,Table,MATCH(AC$4,Curves,0)))</f>
        <v/>
      </c>
      <c r="AD190" s="185" t="str">
        <f aca="false">IF($A191="","",VLOOKUP($A190,Table,MATCH(AD$4,Curves,0)))</f>
        <v/>
      </c>
      <c r="AE190" s="185" t="e">
        <f aca="false">SQRT((AD190^2*(A190-$D$3)+AC190^2*(DAY(EOMONTH(A190,0))/2))/AK190)</f>
        <v>#VALUE!</v>
      </c>
      <c r="AF190" s="206" t="e">
        <f aca="false">((Summary!$N$12*(AA190*AD190)*(A190-$D$3))+(Summary!$M$12*Z190*AC190*(AJ190-EOMONTH(EDATE(A190,-1),0))))/(AK190*AB190*AE190)</f>
        <v>#VALUE!</v>
      </c>
      <c r="AG190" s="207" t="str">
        <f aca="false">IF($A191="","",Summary!$Q$12)</f>
        <v/>
      </c>
      <c r="AH190" s="207" t="str">
        <f aca="false">IF($A191="","",IF(Summary!$R$12="Y",(VLOOKUP($A190,Summary!$AD$6:$AF$9,3)+'Escalating commodity'!H203),'Escalating commodity'!H203))</f>
        <v/>
      </c>
      <c r="AI190" s="207" t="str">
        <f aca="false">IF($A191="","",AH190)</f>
        <v/>
      </c>
      <c r="AJ190" s="208" t="e">
        <f aca="false">A190+DAY(EOMONTH(A190,0))/2-1</f>
        <v>#VALUE!</v>
      </c>
      <c r="AK190" s="209" t="str">
        <f aca="false">IF($A191="","",$A190-$E$1)</f>
        <v/>
      </c>
      <c r="AL190" s="182" t="str">
        <f aca="false">IF($A191="","",SPRDOPT(P190,X190,AI190,0,AB190,AE190,AF190,AK190,$AJ$2,0))</f>
        <v/>
      </c>
      <c r="AM190" s="211" t="str">
        <f aca="false">IF($A191="","",MAX(0,O190-W190-AI190))</f>
        <v/>
      </c>
      <c r="AN190" s="211" t="str">
        <f aca="false">IF($A191="","",AL190-AM190)</f>
        <v/>
      </c>
      <c r="AO190" s="137" t="str">
        <f aca="false">IF(A191="","",A191-A190)</f>
        <v/>
      </c>
      <c r="AP190" s="212" t="str">
        <f aca="false">IF(A191="","",CHOOSE(F$3,A191+24,A190))</f>
        <v/>
      </c>
      <c r="AQ190" s="209" t="str">
        <f aca="false">IF(A191="","",AP190-$E$1)</f>
        <v/>
      </c>
      <c r="AR190" s="185" t="n">
        <f aca="false">'ANR OK vs ML7'!AR190</f>
        <v>0.1</v>
      </c>
      <c r="AS190" s="213" t="str">
        <f aca="false">IF(A191="","",1/(1+CHOOSE(F$3,(AR191+($I$3/10000))/2,(AR190+($I$3/10000))/2))^(2*AQ190/365.25))</f>
        <v/>
      </c>
      <c r="AT190" s="137" t="str">
        <f aca="false">IF(A191="","",IF(AND(mthbeg&lt;=A190,mthend&gt;=A190),1,0))</f>
        <v/>
      </c>
      <c r="AU190" s="137" t="str">
        <f aca="false">IF(A191="","",AO190*AT190)</f>
        <v/>
      </c>
      <c r="AW190" s="195" t="str">
        <f aca="false">IF($A191="","",AL190*$E190)</f>
        <v/>
      </c>
      <c r="AX190" s="195" t="str">
        <f aca="false">IF($A191="","",AM190*$E190)</f>
        <v/>
      </c>
      <c r="AY190" s="195" t="str">
        <f aca="false">IF($A191="","",AN190*$E190)</f>
        <v/>
      </c>
      <c r="BA190" s="195" t="str">
        <f aca="false">IF($A191="","",F190*Summary!$Q$12)</f>
        <v/>
      </c>
    </row>
    <row r="191" customFormat="false" ht="12" hidden="false" customHeight="true" outlineLevel="0" collapsed="false">
      <c r="A191" s="196" t="str">
        <f aca="false">IF(A190&lt;mthend,EDATE(A190,1),"")</f>
        <v/>
      </c>
      <c r="B191" s="197" t="str">
        <f aca="false">IF(A191&lt;mthend,B190,"")</f>
        <v/>
      </c>
      <c r="C191" s="215"/>
      <c r="D191" s="197" t="str">
        <f aca="false">IF(A192&lt;&gt;"",B191+C191,"")</f>
        <v/>
      </c>
      <c r="E191" s="199" t="str">
        <f aca="false">IF(A192="","",IF(AND(AT191=1,$H$3=1),D191*AO191,IF($H$3=2,D191,"N/A")))</f>
        <v/>
      </c>
      <c r="F191" s="199" t="str">
        <f aca="false">IF(A192="","",E191*AS191)</f>
        <v/>
      </c>
      <c r="G191" s="200" t="str">
        <f aca="false">IF($A192="","",VLOOKUP($A191,Table,MATCH(G$4,Curves,0)))</f>
        <v/>
      </c>
      <c r="H191" s="201" t="str">
        <f aca="false">IF(A192="","",G191)</f>
        <v/>
      </c>
      <c r="I191" s="202"/>
      <c r="J191" s="200" t="str">
        <f aca="false">IF($A192="","",VLOOKUP($A191,Table,MATCH(J$4,Curves,0)))</f>
        <v/>
      </c>
      <c r="K191" s="201" t="str">
        <f aca="false">IF(A192="","",J191)</f>
        <v/>
      </c>
      <c r="L191" s="200" t="str">
        <f aca="false">IF($A192="","",VLOOKUP($A191,Table,MATCH(L$4,Curves,0)))</f>
        <v/>
      </c>
      <c r="M191" s="201" t="str">
        <f aca="false">IF(A192="","",L191)</f>
        <v/>
      </c>
      <c r="N191" s="203"/>
      <c r="O191" s="200" t="str">
        <f aca="false">IF(A192="","",L191+J191+G191)</f>
        <v/>
      </c>
      <c r="P191" s="200" t="str">
        <f aca="false">IF(A192="","",M191+K191+H191)</f>
        <v/>
      </c>
      <c r="Q191" s="204"/>
      <c r="R191" s="200" t="str">
        <f aca="false">IF($A192="","",VLOOKUP($A191,Table,MATCH(R$4,Curves,0)))</f>
        <v/>
      </c>
      <c r="S191" s="201" t="str">
        <f aca="false">IF(A192="","",R191)</f>
        <v/>
      </c>
      <c r="T191" s="200" t="str">
        <f aca="false">IF($A192="","",VLOOKUP($A191,Table,MATCH(T$4,Curves,0)))</f>
        <v/>
      </c>
      <c r="U191" s="201" t="str">
        <f aca="false">IF(A192="","",T191)</f>
        <v/>
      </c>
      <c r="V191" s="225" t="str">
        <f aca="false">IF($A192="","",IF(AND(MONTH(A191)&gt;3,MONTH(A191)&lt;11),(T191+R191+G191)*(((1/(1-Summary!$T$12))/(1-Summary!$W$12))-1),(T191+R191+G191)*((1/(1-Summary!$U$12))/(1-Summary!$X$12)-1)))</f>
        <v/>
      </c>
      <c r="W191" s="200" t="str">
        <f aca="false">IF($A192="","",(T191+R191+G191+V191))</f>
        <v/>
      </c>
      <c r="X191" s="200" t="str">
        <f aca="false">IF($A192="","",(U191+S191+H191+V191))</f>
        <v/>
      </c>
      <c r="Y191" s="202"/>
      <c r="Z191" s="185" t="str">
        <f aca="false">IF($A192="","",VLOOKUP($A191,Table,MATCH(Z$4,Curves,0)))</f>
        <v/>
      </c>
      <c r="AA191" s="185" t="str">
        <f aca="false">IF($A192="","",VLOOKUP($A191,Table,MATCH(AA$4,Curves,0)))</f>
        <v/>
      </c>
      <c r="AB191" s="185" t="e">
        <f aca="false">SQRT((AA191^2*(A191-$D$3)+Z191^2*(DAY(EOMONTH(A191,0))/2))/AK191)</f>
        <v>#VALUE!</v>
      </c>
      <c r="AC191" s="185" t="str">
        <f aca="false">IF($A192="","",VLOOKUP($A191,Table,MATCH(AC$4,Curves,0)))</f>
        <v/>
      </c>
      <c r="AD191" s="185" t="str">
        <f aca="false">IF($A192="","",VLOOKUP($A191,Table,MATCH(AD$4,Curves,0)))</f>
        <v/>
      </c>
      <c r="AE191" s="185" t="e">
        <f aca="false">SQRT((AD191^2*(A191-$D$3)+AC191^2*(DAY(EOMONTH(A191,0))/2))/AK191)</f>
        <v>#VALUE!</v>
      </c>
      <c r="AF191" s="206" t="e">
        <f aca="false">((Summary!$N$12*(AA191*AD191)*(A191-$D$3))+(Summary!$M$12*Z191*AC191*(AJ191-EOMONTH(EDATE(A191,-1),0))))/(AK191*AB191*AE191)</f>
        <v>#VALUE!</v>
      </c>
      <c r="AG191" s="207" t="str">
        <f aca="false">IF($A192="","",Summary!$Q$12)</f>
        <v/>
      </c>
      <c r="AH191" s="207" t="str">
        <f aca="false">IF($A192="","",IF(Summary!$R$12="Y",(VLOOKUP($A191,Summary!$AD$6:$AF$9,3)+'Escalating commodity'!H204),'Escalating commodity'!H204))</f>
        <v/>
      </c>
      <c r="AI191" s="207" t="str">
        <f aca="false">IF($A192="","",AH191)</f>
        <v/>
      </c>
      <c r="AJ191" s="208" t="e">
        <f aca="false">A191+DAY(EOMONTH(A191,0))/2-1</f>
        <v>#VALUE!</v>
      </c>
      <c r="AK191" s="209" t="str">
        <f aca="false">IF($A192="","",$A191-$E$1)</f>
        <v/>
      </c>
      <c r="AL191" s="182" t="str">
        <f aca="false">IF($A192="","",SPRDOPT(P191,X191,AI191,0,AB191,AE191,AF191,AK191,$AJ$2,0))</f>
        <v/>
      </c>
      <c r="AM191" s="211" t="str">
        <f aca="false">IF($A192="","",MAX(0,O191-W191-AI191))</f>
        <v/>
      </c>
      <c r="AN191" s="211" t="str">
        <f aca="false">IF($A192="","",AL191-AM191)</f>
        <v/>
      </c>
      <c r="AO191" s="137" t="str">
        <f aca="false">IF(A192="","",A192-A191)</f>
        <v/>
      </c>
      <c r="AP191" s="212" t="str">
        <f aca="false">IF(A192="","",CHOOSE(F$3,A192+24,A191))</f>
        <v/>
      </c>
      <c r="AQ191" s="209" t="str">
        <f aca="false">IF(A192="","",AP191-$E$1)</f>
        <v/>
      </c>
      <c r="AR191" s="185" t="n">
        <f aca="false">'ANR OK vs ML7'!AR191</f>
        <v>0.1</v>
      </c>
      <c r="AS191" s="213" t="str">
        <f aca="false">IF(A192="","",1/(1+CHOOSE(F$3,(AR192+($I$3/10000))/2,(AR191+($I$3/10000))/2))^(2*AQ191/365.25))</f>
        <v/>
      </c>
      <c r="AT191" s="137" t="str">
        <f aca="false">IF(A192="","",IF(AND(mthbeg&lt;=A191,mthend&gt;=A191),1,0))</f>
        <v/>
      </c>
      <c r="AU191" s="137" t="str">
        <f aca="false">IF(A192="","",AO191*AT191)</f>
        <v/>
      </c>
      <c r="AW191" s="195" t="str">
        <f aca="false">IF($A192="","",AL191*$E191)</f>
        <v/>
      </c>
      <c r="AX191" s="195" t="str">
        <f aca="false">IF($A192="","",AM191*$E191)</f>
        <v/>
      </c>
      <c r="AY191" s="195" t="str">
        <f aca="false">IF($A192="","",AN191*$E191)</f>
        <v/>
      </c>
      <c r="BA191" s="195" t="str">
        <f aca="false">IF($A192="","",F191*Summary!$Q$12)</f>
        <v/>
      </c>
    </row>
    <row r="192" customFormat="false" ht="12" hidden="false" customHeight="true" outlineLevel="0" collapsed="false">
      <c r="A192" s="196" t="str">
        <f aca="false">IF(A191&lt;mthend,EDATE(A191,1),"")</f>
        <v/>
      </c>
      <c r="B192" s="197" t="str">
        <f aca="false">IF(A192&lt;mthend,B191,"")</f>
        <v/>
      </c>
      <c r="C192" s="215"/>
      <c r="D192" s="197" t="str">
        <f aca="false">IF(A193&lt;&gt;"",B192+C192,"")</f>
        <v/>
      </c>
      <c r="E192" s="199" t="str">
        <f aca="false">IF(A193="","",IF(AND(AT192=1,$H$3=1),D192*AO192,IF($H$3=2,D192,"N/A")))</f>
        <v/>
      </c>
      <c r="F192" s="199" t="str">
        <f aca="false">IF(A193="","",E192*AS192)</f>
        <v/>
      </c>
      <c r="G192" s="200" t="str">
        <f aca="false">IF($A193="","",VLOOKUP($A192,Table,MATCH(G$4,Curves,0)))</f>
        <v/>
      </c>
      <c r="H192" s="201" t="str">
        <f aca="false">IF(A193="","",G192)</f>
        <v/>
      </c>
      <c r="I192" s="202"/>
      <c r="J192" s="200" t="str">
        <f aca="false">IF($A193="","",VLOOKUP($A192,Table,MATCH(J$4,Curves,0)))</f>
        <v/>
      </c>
      <c r="K192" s="201" t="str">
        <f aca="false">IF(A193="","",J192)</f>
        <v/>
      </c>
      <c r="L192" s="200" t="str">
        <f aca="false">IF($A193="","",VLOOKUP($A192,Table,MATCH(L$4,Curves,0)))</f>
        <v/>
      </c>
      <c r="M192" s="201" t="str">
        <f aca="false">IF(A193="","",L192)</f>
        <v/>
      </c>
      <c r="N192" s="203"/>
      <c r="O192" s="200" t="str">
        <f aca="false">IF(A193="","",L192+J192+G192)</f>
        <v/>
      </c>
      <c r="P192" s="200" t="str">
        <f aca="false">IF(A193="","",M192+K192+H192)</f>
        <v/>
      </c>
      <c r="Q192" s="204"/>
      <c r="R192" s="200" t="str">
        <f aca="false">IF($A193="","",VLOOKUP($A192,Table,MATCH(R$4,Curves,0)))</f>
        <v/>
      </c>
      <c r="S192" s="201" t="str">
        <f aca="false">IF(A193="","",R192)</f>
        <v/>
      </c>
      <c r="T192" s="200" t="str">
        <f aca="false">IF($A193="","",VLOOKUP($A192,Table,MATCH(T$4,Curves,0)))</f>
        <v/>
      </c>
      <c r="U192" s="201" t="str">
        <f aca="false">IF(A193="","",T192)</f>
        <v/>
      </c>
      <c r="V192" s="225" t="str">
        <f aca="false">IF($A193="","",IF(AND(MONTH(A192)&gt;3,MONTH(A192)&lt;11),(T192+R192+G192)*(((1/(1-Summary!$T$12))/(1-Summary!$W$12))-1),(T192+R192+G192)*((1/(1-Summary!$U$12))/(1-Summary!$X$12)-1)))</f>
        <v/>
      </c>
      <c r="W192" s="200" t="str">
        <f aca="false">IF($A193="","",(T192+R192+G192+V192))</f>
        <v/>
      </c>
      <c r="X192" s="200" t="str">
        <f aca="false">IF($A193="","",(U192+S192+H192+V192))</f>
        <v/>
      </c>
      <c r="Y192" s="202"/>
      <c r="Z192" s="185" t="str">
        <f aca="false">IF($A193="","",VLOOKUP($A192,Table,MATCH(Z$4,Curves,0)))</f>
        <v/>
      </c>
      <c r="AA192" s="185" t="str">
        <f aca="false">IF($A193="","",VLOOKUP($A192,Table,MATCH(AA$4,Curves,0)))</f>
        <v/>
      </c>
      <c r="AB192" s="185" t="e">
        <f aca="false">SQRT((AA192^2*(A192-$D$3)+Z192^2*(DAY(EOMONTH(A192,0))/2))/AK192)</f>
        <v>#VALUE!</v>
      </c>
      <c r="AC192" s="185" t="str">
        <f aca="false">IF($A193="","",VLOOKUP($A192,Table,MATCH(AC$4,Curves,0)))</f>
        <v/>
      </c>
      <c r="AD192" s="185" t="str">
        <f aca="false">IF($A193="","",VLOOKUP($A192,Table,MATCH(AD$4,Curves,0)))</f>
        <v/>
      </c>
      <c r="AE192" s="185" t="e">
        <f aca="false">SQRT((AD192^2*(A192-$D$3)+AC192^2*(DAY(EOMONTH(A192,0))/2))/AK192)</f>
        <v>#VALUE!</v>
      </c>
      <c r="AF192" s="206" t="e">
        <f aca="false">((Summary!$N$12*(AA192*AD192)*(A192-$D$3))+(Summary!$M$12*Z192*AC192*(AJ192-EOMONTH(EDATE(A192,-1),0))))/(AK192*AB192*AE192)</f>
        <v>#VALUE!</v>
      </c>
      <c r="AG192" s="207" t="str">
        <f aca="false">IF($A193="","",Summary!$Q$12)</f>
        <v/>
      </c>
      <c r="AH192" s="207" t="str">
        <f aca="false">IF($A193="","",IF(Summary!$R$12="Y",(VLOOKUP($A192,Summary!$AD$6:$AF$9,3)+'Escalating commodity'!H205),'Escalating commodity'!H205))</f>
        <v/>
      </c>
      <c r="AI192" s="207" t="str">
        <f aca="false">IF($A193="","",AH192)</f>
        <v/>
      </c>
      <c r="AJ192" s="208" t="e">
        <f aca="false">A192+DAY(EOMONTH(A192,0))/2-1</f>
        <v>#VALUE!</v>
      </c>
      <c r="AK192" s="209" t="str">
        <f aca="false">IF($A193="","",$A192-$E$1)</f>
        <v/>
      </c>
      <c r="AL192" s="182" t="str">
        <f aca="false">IF($A193="","",SPRDOPT(P192,X192,AI192,0,AB192,AE192,AF192,AK192,$AJ$2,0))</f>
        <v/>
      </c>
      <c r="AM192" s="211" t="str">
        <f aca="false">IF($A193="","",MAX(0,O192-W192-AI192))</f>
        <v/>
      </c>
      <c r="AN192" s="211" t="str">
        <f aca="false">IF($A193="","",AL192-AM192)</f>
        <v/>
      </c>
      <c r="AO192" s="137" t="str">
        <f aca="false">IF(A193="","",A193-A192)</f>
        <v/>
      </c>
      <c r="AP192" s="212" t="str">
        <f aca="false">IF(A193="","",CHOOSE(F$3,A193+24,A192))</f>
        <v/>
      </c>
      <c r="AQ192" s="209" t="str">
        <f aca="false">IF(A193="","",AP192-$E$1)</f>
        <v/>
      </c>
      <c r="AR192" s="185" t="n">
        <f aca="false">'ANR OK vs ML7'!AR192</f>
        <v>0.1</v>
      </c>
      <c r="AS192" s="213" t="str">
        <f aca="false">IF(A193="","",1/(1+CHOOSE(F$3,(AR193+($I$3/10000))/2,(AR192+($I$3/10000))/2))^(2*AQ192/365.25))</f>
        <v/>
      </c>
      <c r="AT192" s="137" t="str">
        <f aca="false">IF(A193="","",IF(AND(mthbeg&lt;=A192,mthend&gt;=A192),1,0))</f>
        <v/>
      </c>
      <c r="AU192" s="137" t="str">
        <f aca="false">IF(A193="","",AO192*AT192)</f>
        <v/>
      </c>
      <c r="AW192" s="195" t="str">
        <f aca="false">IF($A193="","",AL192*$E192)</f>
        <v/>
      </c>
      <c r="AX192" s="195" t="str">
        <f aca="false">IF($A193="","",AM192*$E192)</f>
        <v/>
      </c>
      <c r="AY192" s="195" t="str">
        <f aca="false">IF($A193="","",AN192*$E192)</f>
        <v/>
      </c>
      <c r="BA192" s="195" t="str">
        <f aca="false">IF($A193="","",F192*Summary!$Q$12)</f>
        <v/>
      </c>
    </row>
    <row r="193" customFormat="false" ht="12" hidden="false" customHeight="true" outlineLevel="0" collapsed="false">
      <c r="A193" s="196" t="str">
        <f aca="false">IF(A192&lt;mthend,EDATE(A192,1),"")</f>
        <v/>
      </c>
      <c r="B193" s="197" t="str">
        <f aca="false">IF(A193&lt;mthend,B192,"")</f>
        <v/>
      </c>
      <c r="C193" s="215"/>
      <c r="D193" s="197" t="str">
        <f aca="false">IF(A194&lt;&gt;"",B193+C193,"")</f>
        <v/>
      </c>
      <c r="E193" s="199" t="str">
        <f aca="false">IF(A194="","",IF(AND(AT193=1,$H$3=1),D193*AO193,IF($H$3=2,D193,"N/A")))</f>
        <v/>
      </c>
      <c r="F193" s="199" t="str">
        <f aca="false">IF(A194="","",E193*AS193)</f>
        <v/>
      </c>
      <c r="G193" s="200" t="str">
        <f aca="false">IF($A194="","",VLOOKUP($A193,Table,MATCH(G$4,Curves,0)))</f>
        <v/>
      </c>
      <c r="H193" s="201" t="str">
        <f aca="false">IF(A194="","",G193)</f>
        <v/>
      </c>
      <c r="I193" s="202"/>
      <c r="J193" s="200" t="str">
        <f aca="false">IF($A194="","",VLOOKUP($A193,Table,MATCH(J$4,Curves,0)))</f>
        <v/>
      </c>
      <c r="K193" s="201" t="str">
        <f aca="false">IF(A194="","",J193)</f>
        <v/>
      </c>
      <c r="L193" s="200" t="str">
        <f aca="false">IF($A194="","",VLOOKUP($A193,Table,MATCH(L$4,Curves,0)))</f>
        <v/>
      </c>
      <c r="M193" s="201" t="str">
        <f aca="false">IF(A194="","",L193)</f>
        <v/>
      </c>
      <c r="N193" s="203"/>
      <c r="O193" s="200" t="str">
        <f aca="false">IF(A194="","",L193+J193+G193)</f>
        <v/>
      </c>
      <c r="P193" s="200" t="str">
        <f aca="false">IF(A194="","",M193+K193+H193)</f>
        <v/>
      </c>
      <c r="Q193" s="204"/>
      <c r="R193" s="200" t="str">
        <f aca="false">IF($A194="","",VLOOKUP($A193,Table,MATCH(R$4,Curves,0)))</f>
        <v/>
      </c>
      <c r="S193" s="201" t="str">
        <f aca="false">IF(A194="","",R193)</f>
        <v/>
      </c>
      <c r="T193" s="200" t="str">
        <f aca="false">IF($A194="","",VLOOKUP($A193,Table,MATCH(T$4,Curves,0)))</f>
        <v/>
      </c>
      <c r="U193" s="201" t="str">
        <f aca="false">IF(A194="","",T193)</f>
        <v/>
      </c>
      <c r="V193" s="225" t="str">
        <f aca="false">IF($A194="","",IF(AND(MONTH(A193)&gt;3,MONTH(A193)&lt;11),(T193+R193+G193)*(((1/(1-Summary!$T$12))/(1-Summary!$W$12))-1),(T193+R193+G193)*((1/(1-Summary!$U$12))/(1-Summary!$X$12)-1)))</f>
        <v/>
      </c>
      <c r="W193" s="200" t="str">
        <f aca="false">IF($A194="","",(T193+R193+G193+V193))</f>
        <v/>
      </c>
      <c r="X193" s="200" t="str">
        <f aca="false">IF($A194="","",(U193+S193+H193+V193))</f>
        <v/>
      </c>
      <c r="Y193" s="202"/>
      <c r="Z193" s="185" t="str">
        <f aca="false">IF($A194="","",VLOOKUP($A193,Table,MATCH(Z$4,Curves,0)))</f>
        <v/>
      </c>
      <c r="AA193" s="185" t="str">
        <f aca="false">IF($A194="","",VLOOKUP($A193,Table,MATCH(AA$4,Curves,0)))</f>
        <v/>
      </c>
      <c r="AB193" s="185" t="e">
        <f aca="false">SQRT((AA193^2*(A193-$D$3)+Z193^2*(DAY(EOMONTH(A193,0))/2))/AK193)</f>
        <v>#VALUE!</v>
      </c>
      <c r="AC193" s="185" t="str">
        <f aca="false">IF($A194="","",VLOOKUP($A193,Table,MATCH(AC$4,Curves,0)))</f>
        <v/>
      </c>
      <c r="AD193" s="185" t="str">
        <f aca="false">IF($A194="","",VLOOKUP($A193,Table,MATCH(AD$4,Curves,0)))</f>
        <v/>
      </c>
      <c r="AE193" s="185" t="e">
        <f aca="false">SQRT((AD193^2*(A193-$D$3)+AC193^2*(DAY(EOMONTH(A193,0))/2))/AK193)</f>
        <v>#VALUE!</v>
      </c>
      <c r="AF193" s="206" t="e">
        <f aca="false">((Summary!$N$12*(AA193*AD193)*(A193-$D$3))+(Summary!$M$12*Z193*AC193*(AJ193-EOMONTH(EDATE(A193,-1),0))))/(AK193*AB193*AE193)</f>
        <v>#VALUE!</v>
      </c>
      <c r="AG193" s="207" t="str">
        <f aca="false">IF($A194="","",Summary!$Q$12)</f>
        <v/>
      </c>
      <c r="AH193" s="207" t="str">
        <f aca="false">IF($A194="","",IF(Summary!$R$12="Y",(VLOOKUP($A193,Summary!$AD$6:$AF$9,3)+'Escalating commodity'!H206),'Escalating commodity'!H206))</f>
        <v/>
      </c>
      <c r="AI193" s="207" t="str">
        <f aca="false">IF($A194="","",AH193)</f>
        <v/>
      </c>
      <c r="AJ193" s="208" t="e">
        <f aca="false">A193+DAY(EOMONTH(A193,0))/2-1</f>
        <v>#VALUE!</v>
      </c>
      <c r="AK193" s="209" t="str">
        <f aca="false">IF($A194="","",$A193-$E$1)</f>
        <v/>
      </c>
      <c r="AL193" s="182" t="str">
        <f aca="false">IF($A194="","",SPRDOPT(P193,X193,AI193,0,AB193,AE193,AF193,AK193,$AJ$2,0))</f>
        <v/>
      </c>
      <c r="AM193" s="211" t="str">
        <f aca="false">IF($A194="","",MAX(0,O193-W193-AI193))</f>
        <v/>
      </c>
      <c r="AN193" s="211" t="str">
        <f aca="false">IF($A194="","",AL193-AM193)</f>
        <v/>
      </c>
      <c r="AO193" s="137" t="str">
        <f aca="false">IF(A194="","",A194-A193)</f>
        <v/>
      </c>
      <c r="AP193" s="212" t="str">
        <f aca="false">IF(A194="","",CHOOSE(F$3,A194+24,A193))</f>
        <v/>
      </c>
      <c r="AQ193" s="209" t="str">
        <f aca="false">IF(A194="","",AP193-$E$1)</f>
        <v/>
      </c>
      <c r="AR193" s="185" t="n">
        <f aca="false">'ANR OK vs ML7'!AR193</f>
        <v>0.1</v>
      </c>
      <c r="AS193" s="213" t="str">
        <f aca="false">IF(A194="","",1/(1+CHOOSE(F$3,(AR194+($I$3/10000))/2,(AR193+($I$3/10000))/2))^(2*AQ193/365.25))</f>
        <v/>
      </c>
      <c r="AT193" s="137" t="str">
        <f aca="false">IF(A194="","",IF(AND(mthbeg&lt;=A193,mthend&gt;=A193),1,0))</f>
        <v/>
      </c>
      <c r="AU193" s="137" t="str">
        <f aca="false">IF(A194="","",AO193*AT193)</f>
        <v/>
      </c>
      <c r="AW193" s="195" t="str">
        <f aca="false">IF($A194="","",AL193*$E193)</f>
        <v/>
      </c>
      <c r="AX193" s="195" t="str">
        <f aca="false">IF($A194="","",AM193*$E193)</f>
        <v/>
      </c>
      <c r="AY193" s="195" t="str">
        <f aca="false">IF($A194="","",AN193*$E193)</f>
        <v/>
      </c>
      <c r="BA193" s="195" t="str">
        <f aca="false">IF($A194="","",F193*Summary!$Q$12)</f>
        <v/>
      </c>
    </row>
    <row r="194" customFormat="false" ht="12" hidden="false" customHeight="true" outlineLevel="0" collapsed="false">
      <c r="A194" s="196" t="str">
        <f aca="false">IF(A193&lt;mthend,EDATE(A193,1),"")</f>
        <v/>
      </c>
      <c r="B194" s="197" t="str">
        <f aca="false">IF(A194&lt;mthend,B193,"")</f>
        <v/>
      </c>
      <c r="C194" s="215"/>
      <c r="D194" s="197" t="str">
        <f aca="false">IF(A195&lt;&gt;"",B194+C194,"")</f>
        <v/>
      </c>
      <c r="E194" s="199" t="str">
        <f aca="false">IF(A195="","",IF(AND(AT194=1,$H$3=1),D194*AO194,IF($H$3=2,D194,"N/A")))</f>
        <v/>
      </c>
      <c r="F194" s="199" t="str">
        <f aca="false">IF(A195="","",E194*AS194)</f>
        <v/>
      </c>
      <c r="G194" s="200" t="str">
        <f aca="false">IF($A195="","",VLOOKUP($A194,Table,MATCH(G$4,Curves,0)))</f>
        <v/>
      </c>
      <c r="H194" s="201" t="str">
        <f aca="false">IF(A195="","",G194)</f>
        <v/>
      </c>
      <c r="I194" s="202"/>
      <c r="J194" s="200" t="str">
        <f aca="false">IF($A195="","",VLOOKUP($A194,Table,MATCH(J$4,Curves,0)))</f>
        <v/>
      </c>
      <c r="K194" s="201" t="str">
        <f aca="false">IF(A195="","",J194)</f>
        <v/>
      </c>
      <c r="L194" s="200" t="str">
        <f aca="false">IF($A195="","",VLOOKUP($A194,Table,MATCH(L$4,Curves,0)))</f>
        <v/>
      </c>
      <c r="M194" s="201" t="str">
        <f aca="false">IF(A195="","",L194)</f>
        <v/>
      </c>
      <c r="N194" s="203"/>
      <c r="O194" s="200" t="str">
        <f aca="false">IF(A195="","",L194+J194+G194)</f>
        <v/>
      </c>
      <c r="P194" s="200" t="str">
        <f aca="false">IF(A195="","",M194+K194+H194)</f>
        <v/>
      </c>
      <c r="Q194" s="204"/>
      <c r="R194" s="200" t="str">
        <f aca="false">IF($A195="","",VLOOKUP($A194,Table,MATCH(R$4,Curves,0)))</f>
        <v/>
      </c>
      <c r="S194" s="201" t="str">
        <f aca="false">IF(A195="","",R194)</f>
        <v/>
      </c>
      <c r="T194" s="200" t="str">
        <f aca="false">IF($A195="","",VLOOKUP($A194,Table,MATCH(T$4,Curves,0)))</f>
        <v/>
      </c>
      <c r="U194" s="201" t="str">
        <f aca="false">IF(A195="","",T194)</f>
        <v/>
      </c>
      <c r="V194" s="225" t="str">
        <f aca="false">IF($A195="","",IF(AND(MONTH(A194)&gt;3,MONTH(A194)&lt;11),(T194+R194+G194)*(((1/(1-Summary!$T$12))/(1-Summary!$W$12))-1),(T194+R194+G194)*((1/(1-Summary!$U$12))/(1-Summary!$X$12)-1)))</f>
        <v/>
      </c>
      <c r="W194" s="200" t="str">
        <f aca="false">IF($A195="","",(T194+R194+G194+V194))</f>
        <v/>
      </c>
      <c r="X194" s="200" t="str">
        <f aca="false">IF($A195="","",(U194+S194+H194+V194))</f>
        <v/>
      </c>
      <c r="Y194" s="202"/>
      <c r="Z194" s="185" t="str">
        <f aca="false">IF($A195="","",VLOOKUP($A194,Table,MATCH(Z$4,Curves,0)))</f>
        <v/>
      </c>
      <c r="AA194" s="185" t="str">
        <f aca="false">IF($A195="","",VLOOKUP($A194,Table,MATCH(AA$4,Curves,0)))</f>
        <v/>
      </c>
      <c r="AB194" s="185" t="e">
        <f aca="false">SQRT((AA194^2*(A194-$D$3)+Z194^2*(DAY(EOMONTH(A194,0))/2))/AK194)</f>
        <v>#VALUE!</v>
      </c>
      <c r="AC194" s="185" t="str">
        <f aca="false">IF($A195="","",VLOOKUP($A194,Table,MATCH(AC$4,Curves,0)))</f>
        <v/>
      </c>
      <c r="AD194" s="185" t="str">
        <f aca="false">IF($A195="","",VLOOKUP($A194,Table,MATCH(AD$4,Curves,0)))</f>
        <v/>
      </c>
      <c r="AE194" s="185" t="e">
        <f aca="false">SQRT((AD194^2*(A194-$D$3)+AC194^2*(DAY(EOMONTH(A194,0))/2))/AK194)</f>
        <v>#VALUE!</v>
      </c>
      <c r="AF194" s="206" t="e">
        <f aca="false">((Summary!$N$12*(AA194*AD194)*(A194-$D$3))+(Summary!$M$12*Z194*AC194*(AJ194-EOMONTH(EDATE(A194,-1),0))))/(AK194*AB194*AE194)</f>
        <v>#VALUE!</v>
      </c>
      <c r="AG194" s="207" t="str">
        <f aca="false">IF($A195="","",Summary!$Q$12)</f>
        <v/>
      </c>
      <c r="AH194" s="207" t="str">
        <f aca="false">IF($A195="","",IF(Summary!$R$12="Y",(VLOOKUP($A194,Summary!$AD$6:$AF$9,3)+'Escalating commodity'!H207),'Escalating commodity'!H207))</f>
        <v/>
      </c>
      <c r="AI194" s="207" t="str">
        <f aca="false">IF($A195="","",AH194)</f>
        <v/>
      </c>
      <c r="AJ194" s="208" t="e">
        <f aca="false">A194+DAY(EOMONTH(A194,0))/2-1</f>
        <v>#VALUE!</v>
      </c>
      <c r="AK194" s="209" t="str">
        <f aca="false">IF($A195="","",$A194-$E$1)</f>
        <v/>
      </c>
      <c r="AL194" s="182" t="str">
        <f aca="false">IF($A195="","",SPRDOPT(P194,X194,AI194,0,AB194,AE194,AF194,AK194,$AJ$2,0))</f>
        <v/>
      </c>
      <c r="AM194" s="211" t="str">
        <f aca="false">IF($A195="","",MAX(0,O194-W194-AI194))</f>
        <v/>
      </c>
      <c r="AN194" s="211" t="str">
        <f aca="false">IF($A195="","",AL194-AM194)</f>
        <v/>
      </c>
      <c r="AO194" s="137" t="str">
        <f aca="false">IF(A195="","",A195-A194)</f>
        <v/>
      </c>
      <c r="AP194" s="212" t="str">
        <f aca="false">IF(A195="","",CHOOSE(F$3,A195+24,A194))</f>
        <v/>
      </c>
      <c r="AQ194" s="209" t="str">
        <f aca="false">IF(A195="","",AP194-$E$1)</f>
        <v/>
      </c>
      <c r="AR194" s="185" t="n">
        <f aca="false">'ANR OK vs ML7'!AR194</f>
        <v>0.1</v>
      </c>
      <c r="AS194" s="213" t="str">
        <f aca="false">IF(A195="","",1/(1+CHOOSE(F$3,(AR195+($I$3/10000))/2,(AR194+($I$3/10000))/2))^(2*AQ194/365.25))</f>
        <v/>
      </c>
      <c r="AT194" s="137" t="str">
        <f aca="false">IF(A195="","",IF(AND(mthbeg&lt;=A194,mthend&gt;=A194),1,0))</f>
        <v/>
      </c>
      <c r="AU194" s="137" t="str">
        <f aca="false">IF(A195="","",AO194*AT194)</f>
        <v/>
      </c>
      <c r="AW194" s="195" t="str">
        <f aca="false">IF($A195="","",AL194*$E194)</f>
        <v/>
      </c>
      <c r="AX194" s="195" t="str">
        <f aca="false">IF($A195="","",AM194*$E194)</f>
        <v/>
      </c>
      <c r="AY194" s="195" t="str">
        <f aca="false">IF($A195="","",AN194*$E194)</f>
        <v/>
      </c>
      <c r="BA194" s="195" t="str">
        <f aca="false">IF($A195="","",F194*Summary!$Q$12)</f>
        <v/>
      </c>
    </row>
    <row r="195" customFormat="false" ht="12" hidden="false" customHeight="true" outlineLevel="0" collapsed="false">
      <c r="A195" s="196" t="str">
        <f aca="false">IF(A194&lt;mthend,EDATE(A194,1),"")</f>
        <v/>
      </c>
      <c r="B195" s="197" t="str">
        <f aca="false">IF(A195&lt;mthend,B194,"")</f>
        <v/>
      </c>
      <c r="C195" s="215"/>
      <c r="D195" s="197" t="str">
        <f aca="false">IF(A196&lt;&gt;"",B195+C195,"")</f>
        <v/>
      </c>
      <c r="E195" s="199" t="str">
        <f aca="false">IF(A196="","",IF(AND(AT195=1,$H$3=1),D195*AO195,IF($H$3=2,D195,"N/A")))</f>
        <v/>
      </c>
      <c r="F195" s="199" t="str">
        <f aca="false">IF(A196="","",E195*AS195)</f>
        <v/>
      </c>
      <c r="G195" s="200" t="str">
        <f aca="false">IF($A196="","",VLOOKUP($A195,Table,MATCH(G$4,Curves,0)))</f>
        <v/>
      </c>
      <c r="H195" s="201" t="str">
        <f aca="false">IF(A196="","",G195)</f>
        <v/>
      </c>
      <c r="I195" s="202"/>
      <c r="J195" s="200" t="str">
        <f aca="false">IF($A196="","",VLOOKUP($A195,Table,MATCH(J$4,Curves,0)))</f>
        <v/>
      </c>
      <c r="K195" s="201" t="str">
        <f aca="false">IF(A196="","",J195)</f>
        <v/>
      </c>
      <c r="L195" s="200" t="str">
        <f aca="false">IF($A196="","",VLOOKUP($A195,Table,MATCH(L$4,Curves,0)))</f>
        <v/>
      </c>
      <c r="M195" s="201" t="str">
        <f aca="false">IF(A196="","",L195)</f>
        <v/>
      </c>
      <c r="N195" s="203"/>
      <c r="O195" s="200" t="str">
        <f aca="false">IF(A196="","",L195+J195+G195)</f>
        <v/>
      </c>
      <c r="P195" s="200" t="str">
        <f aca="false">IF(A196="","",M195+K195+H195)</f>
        <v/>
      </c>
      <c r="Q195" s="204"/>
      <c r="R195" s="200" t="str">
        <f aca="false">IF($A196="","",VLOOKUP($A195,Table,MATCH(R$4,Curves,0)))</f>
        <v/>
      </c>
      <c r="S195" s="201" t="str">
        <f aca="false">IF(A196="","",R195)</f>
        <v/>
      </c>
      <c r="T195" s="200" t="str">
        <f aca="false">IF($A196="","",VLOOKUP($A195,Table,MATCH(T$4,Curves,0)))</f>
        <v/>
      </c>
      <c r="U195" s="201" t="str">
        <f aca="false">IF(A196="","",T195)</f>
        <v/>
      </c>
      <c r="V195" s="225" t="str">
        <f aca="false">IF($A196="","",IF(AND(MONTH(A195)&gt;3,MONTH(A195)&lt;11),(T195+R195+G195)*(((1/(1-Summary!$T$12))/(1-Summary!$W$12))-1),(T195+R195+G195)*((1/(1-Summary!$U$12))/(1-Summary!$X$12)-1)))</f>
        <v/>
      </c>
      <c r="W195" s="200" t="str">
        <f aca="false">IF($A196="","",(T195+R195+G195+V195))</f>
        <v/>
      </c>
      <c r="X195" s="200" t="str">
        <f aca="false">IF($A196="","",(U195+S195+H195+V195))</f>
        <v/>
      </c>
      <c r="Y195" s="202"/>
      <c r="Z195" s="185" t="str">
        <f aca="false">IF($A196="","",VLOOKUP($A195,Table,MATCH(Z$4,Curves,0)))</f>
        <v/>
      </c>
      <c r="AA195" s="185" t="str">
        <f aca="false">IF($A196="","",VLOOKUP($A195,Table,MATCH(AA$4,Curves,0)))</f>
        <v/>
      </c>
      <c r="AB195" s="185" t="e">
        <f aca="false">SQRT((AA195^2*(A195-$D$3)+Z195^2*(DAY(EOMONTH(A195,0))/2))/AK195)</f>
        <v>#VALUE!</v>
      </c>
      <c r="AC195" s="185" t="str">
        <f aca="false">IF($A196="","",VLOOKUP($A195,Table,MATCH(AC$4,Curves,0)))</f>
        <v/>
      </c>
      <c r="AD195" s="185" t="str">
        <f aca="false">IF($A196="","",VLOOKUP($A195,Table,MATCH(AD$4,Curves,0)))</f>
        <v/>
      </c>
      <c r="AE195" s="185" t="e">
        <f aca="false">SQRT((AD195^2*(A195-$D$3)+AC195^2*(DAY(EOMONTH(A195,0))/2))/AK195)</f>
        <v>#VALUE!</v>
      </c>
      <c r="AF195" s="206" t="e">
        <f aca="false">((Summary!$N$12*(AA195*AD195)*(A195-$D$3))+(Summary!$M$12*Z195*AC195*(AJ195-EOMONTH(EDATE(A195,-1),0))))/(AK195*AB195*AE195)</f>
        <v>#VALUE!</v>
      </c>
      <c r="AG195" s="207" t="str">
        <f aca="false">IF($A196="","",Summary!$Q$12)</f>
        <v/>
      </c>
      <c r="AH195" s="207" t="str">
        <f aca="false">IF($A196="","",IF(Summary!$R$12="Y",(VLOOKUP($A195,Summary!$AD$6:$AF$9,3)+'Escalating commodity'!H208),'Escalating commodity'!H208))</f>
        <v/>
      </c>
      <c r="AI195" s="207" t="str">
        <f aca="false">IF($A196="","",AH195)</f>
        <v/>
      </c>
      <c r="AJ195" s="208" t="e">
        <f aca="false">A195+DAY(EOMONTH(A195,0))/2-1</f>
        <v>#VALUE!</v>
      </c>
      <c r="AK195" s="209" t="str">
        <f aca="false">IF($A196="","",$A195-$E$1)</f>
        <v/>
      </c>
      <c r="AL195" s="182" t="str">
        <f aca="false">IF($A196="","",SPRDOPT(P195,X195,AI195,0,AB195,AE195,AF195,AK195,$AJ$2,0))</f>
        <v/>
      </c>
      <c r="AM195" s="211" t="str">
        <f aca="false">IF($A196="","",MAX(0,O195-W195-AI195))</f>
        <v/>
      </c>
      <c r="AN195" s="211" t="str">
        <f aca="false">IF($A196="","",AL195-AM195)</f>
        <v/>
      </c>
      <c r="AO195" s="137" t="str">
        <f aca="false">IF(A196="","",A196-A195)</f>
        <v/>
      </c>
      <c r="AP195" s="212" t="str">
        <f aca="false">IF(A196="","",CHOOSE(F$3,A196+24,A195))</f>
        <v/>
      </c>
      <c r="AQ195" s="209" t="str">
        <f aca="false">IF(A196="","",AP195-$E$1)</f>
        <v/>
      </c>
      <c r="AR195" s="185" t="n">
        <f aca="false">'ANR OK vs ML7'!AR195</f>
        <v>0.1</v>
      </c>
      <c r="AS195" s="213" t="str">
        <f aca="false">IF(A196="","",1/(1+CHOOSE(F$3,(AR196+($I$3/10000))/2,(AR195+($I$3/10000))/2))^(2*AQ195/365.25))</f>
        <v/>
      </c>
      <c r="AT195" s="137" t="str">
        <f aca="false">IF(A196="","",IF(AND(mthbeg&lt;=A195,mthend&gt;=A195),1,0))</f>
        <v/>
      </c>
      <c r="AU195" s="137" t="str">
        <f aca="false">IF(A196="","",AO195*AT195)</f>
        <v/>
      </c>
      <c r="AW195" s="195" t="str">
        <f aca="false">IF($A196="","",AL195*$E195)</f>
        <v/>
      </c>
      <c r="AX195" s="195" t="str">
        <f aca="false">IF($A196="","",AM195*$E195)</f>
        <v/>
      </c>
      <c r="AY195" s="195" t="str">
        <f aca="false">IF($A196="","",AN195*$E195)</f>
        <v/>
      </c>
      <c r="BA195" s="195" t="str">
        <f aca="false">IF($A196="","",F195*Summary!$Q$12)</f>
        <v/>
      </c>
    </row>
    <row r="196" customFormat="false" ht="12" hidden="false" customHeight="true" outlineLevel="0" collapsed="false">
      <c r="A196" s="196" t="str">
        <f aca="false">IF(A195&lt;mthend,EDATE(A195,1),"")</f>
        <v/>
      </c>
      <c r="B196" s="197" t="str">
        <f aca="false">IF(A196&lt;mthend,B195,"")</f>
        <v/>
      </c>
      <c r="C196" s="215"/>
      <c r="D196" s="197" t="str">
        <f aca="false">IF(A197&lt;&gt;"",B196+C196,"")</f>
        <v/>
      </c>
      <c r="E196" s="199" t="str">
        <f aca="false">IF(A197="","",IF(AND(AT196=1,$H$3=1),D196*AO196,IF($H$3=2,D196,"N/A")))</f>
        <v/>
      </c>
      <c r="F196" s="199" t="str">
        <f aca="false">IF(A197="","",E196*AS196)</f>
        <v/>
      </c>
      <c r="G196" s="200" t="str">
        <f aca="false">IF($A197="","",VLOOKUP($A196,Table,MATCH(G$4,Curves,0)))</f>
        <v/>
      </c>
      <c r="H196" s="201" t="str">
        <f aca="false">IF(A197="","",G196)</f>
        <v/>
      </c>
      <c r="I196" s="202"/>
      <c r="J196" s="200" t="str">
        <f aca="false">IF($A197="","",VLOOKUP($A196,Table,MATCH(J$4,Curves,0)))</f>
        <v/>
      </c>
      <c r="K196" s="201" t="str">
        <f aca="false">IF(A197="","",J196)</f>
        <v/>
      </c>
      <c r="L196" s="200" t="str">
        <f aca="false">IF($A197="","",VLOOKUP($A196,Table,MATCH(L$4,Curves,0)))</f>
        <v/>
      </c>
      <c r="M196" s="201" t="str">
        <f aca="false">IF(A197="","",L196)</f>
        <v/>
      </c>
      <c r="N196" s="203"/>
      <c r="O196" s="200" t="str">
        <f aca="false">IF(A197="","",L196+J196+G196)</f>
        <v/>
      </c>
      <c r="P196" s="200" t="str">
        <f aca="false">IF(A197="","",M196+K196+H196)</f>
        <v/>
      </c>
      <c r="Q196" s="204"/>
      <c r="R196" s="200" t="str">
        <f aca="false">IF($A197="","",VLOOKUP($A196,Table,MATCH(R$4,Curves,0)))</f>
        <v/>
      </c>
      <c r="S196" s="201" t="str">
        <f aca="false">IF(A197="","",R196)</f>
        <v/>
      </c>
      <c r="T196" s="200" t="str">
        <f aca="false">IF($A197="","",VLOOKUP($A196,Table,MATCH(T$4,Curves,0)))</f>
        <v/>
      </c>
      <c r="U196" s="201" t="str">
        <f aca="false">IF(A197="","",T196)</f>
        <v/>
      </c>
      <c r="V196" s="225" t="str">
        <f aca="false">IF($A197="","",IF(AND(MONTH(A196)&gt;3,MONTH(A196)&lt;11),(T196+R196+G196)*(((1/(1-Summary!$T$12))/(1-Summary!$W$12))-1),(T196+R196+G196)*((1/(1-Summary!$U$12))/(1-Summary!$X$12)-1)))</f>
        <v/>
      </c>
      <c r="W196" s="200" t="str">
        <f aca="false">IF($A197="","",(T196+R196+G196+V196))</f>
        <v/>
      </c>
      <c r="X196" s="200" t="str">
        <f aca="false">IF($A197="","",(U196+S196+H196+V196))</f>
        <v/>
      </c>
      <c r="Y196" s="202"/>
      <c r="Z196" s="185" t="str">
        <f aca="false">IF($A197="","",VLOOKUP($A196,Table,MATCH(Z$4,Curves,0)))</f>
        <v/>
      </c>
      <c r="AA196" s="185" t="str">
        <f aca="false">IF($A197="","",VLOOKUP($A196,Table,MATCH(AA$4,Curves,0)))</f>
        <v/>
      </c>
      <c r="AB196" s="185" t="e">
        <f aca="false">SQRT((AA196^2*(A196-$D$3)+Z196^2*(DAY(EOMONTH(A196,0))/2))/AK196)</f>
        <v>#VALUE!</v>
      </c>
      <c r="AC196" s="185" t="str">
        <f aca="false">IF($A197="","",VLOOKUP($A196,Table,MATCH(AC$4,Curves,0)))</f>
        <v/>
      </c>
      <c r="AD196" s="185" t="str">
        <f aca="false">IF($A197="","",VLOOKUP($A196,Table,MATCH(AD$4,Curves,0)))</f>
        <v/>
      </c>
      <c r="AE196" s="185" t="e">
        <f aca="false">SQRT((AD196^2*(A196-$D$3)+AC196^2*(DAY(EOMONTH(A196,0))/2))/AK196)</f>
        <v>#VALUE!</v>
      </c>
      <c r="AF196" s="206" t="e">
        <f aca="false">((Summary!$N$12*(AA196*AD196)*(A196-$D$3))+(Summary!$M$12*Z196*AC196*(AJ196-EOMONTH(EDATE(A196,-1),0))))/(AK196*AB196*AE196)</f>
        <v>#VALUE!</v>
      </c>
      <c r="AG196" s="207" t="str">
        <f aca="false">IF($A197="","",Summary!$Q$12)</f>
        <v/>
      </c>
      <c r="AH196" s="207" t="str">
        <f aca="false">IF($A197="","",IF(Summary!$R$12="Y",(VLOOKUP($A196,Summary!$AD$6:$AF$9,3)+'Escalating commodity'!H209),'Escalating commodity'!H209))</f>
        <v/>
      </c>
      <c r="AI196" s="207" t="str">
        <f aca="false">IF($A197="","",AH196)</f>
        <v/>
      </c>
      <c r="AJ196" s="208" t="e">
        <f aca="false">A196+DAY(EOMONTH(A196,0))/2-1</f>
        <v>#VALUE!</v>
      </c>
      <c r="AK196" s="209" t="str">
        <f aca="false">IF($A197="","",$A196-$E$1)</f>
        <v/>
      </c>
      <c r="AL196" s="182" t="str">
        <f aca="false">IF($A197="","",SPRDOPT(P196,X196,AI196,0,AB196,AE196,AF196,AK196,$AJ$2,0))</f>
        <v/>
      </c>
      <c r="AM196" s="211" t="str">
        <f aca="false">IF($A197="","",MAX(0,O196-W196-AI196))</f>
        <v/>
      </c>
      <c r="AN196" s="211" t="str">
        <f aca="false">IF($A197="","",AL196-AM196)</f>
        <v/>
      </c>
      <c r="AO196" s="137" t="str">
        <f aca="false">IF(A197="","",A197-A196)</f>
        <v/>
      </c>
      <c r="AP196" s="212" t="str">
        <f aca="false">IF(A197="","",CHOOSE(F$3,A197+24,A196))</f>
        <v/>
      </c>
      <c r="AQ196" s="209" t="str">
        <f aca="false">IF(A197="","",AP196-$E$1)</f>
        <v/>
      </c>
      <c r="AR196" s="185" t="n">
        <f aca="false">'ANR OK vs ML7'!AR196</f>
        <v>0.1</v>
      </c>
      <c r="AS196" s="213" t="str">
        <f aca="false">IF(A197="","",1/(1+CHOOSE(F$3,(AR197+($I$3/10000))/2,(AR196+($I$3/10000))/2))^(2*AQ196/365.25))</f>
        <v/>
      </c>
      <c r="AT196" s="137" t="str">
        <f aca="false">IF(A197="","",IF(AND(mthbeg&lt;=A196,mthend&gt;=A196),1,0))</f>
        <v/>
      </c>
      <c r="AU196" s="137" t="str">
        <f aca="false">IF(A197="","",AO196*AT196)</f>
        <v/>
      </c>
      <c r="AW196" s="195" t="str">
        <f aca="false">IF($A197="","",AL196*$E196)</f>
        <v/>
      </c>
      <c r="AX196" s="195" t="str">
        <f aca="false">IF($A197="","",AM196*$E196)</f>
        <v/>
      </c>
      <c r="AY196" s="195" t="str">
        <f aca="false">IF($A197="","",AN196*$E196)</f>
        <v/>
      </c>
      <c r="BA196" s="195" t="str">
        <f aca="false">IF($A197="","",F196*Summary!$Q$12)</f>
        <v/>
      </c>
    </row>
    <row r="197" customFormat="false" ht="12" hidden="false" customHeight="true" outlineLevel="0" collapsed="false">
      <c r="A197" s="196" t="str">
        <f aca="false">IF(A196&lt;mthend,EDATE(A196,1),"")</f>
        <v/>
      </c>
      <c r="B197" s="197" t="str">
        <f aca="false">IF(A197&lt;mthend,B196,"")</f>
        <v/>
      </c>
      <c r="C197" s="215"/>
      <c r="D197" s="197" t="str">
        <f aca="false">IF(A198&lt;&gt;"",B197+C197,"")</f>
        <v/>
      </c>
      <c r="E197" s="199" t="str">
        <f aca="false">IF(A198="","",IF(AND(AT197=1,$H$3=1),D197*AO197,IF($H$3=2,D197,"N/A")))</f>
        <v/>
      </c>
      <c r="F197" s="199" t="str">
        <f aca="false">IF(A198="","",E197*AS197)</f>
        <v/>
      </c>
      <c r="G197" s="200" t="str">
        <f aca="false">IF($A198="","",VLOOKUP($A197,Table,MATCH(G$4,Curves,0)))</f>
        <v/>
      </c>
      <c r="H197" s="201" t="str">
        <f aca="false">IF(A198="","",G197)</f>
        <v/>
      </c>
      <c r="I197" s="202"/>
      <c r="J197" s="200" t="str">
        <f aca="false">IF($A198="","",VLOOKUP($A197,Table,MATCH(J$4,Curves,0)))</f>
        <v/>
      </c>
      <c r="K197" s="201" t="str">
        <f aca="false">IF(A198="","",J197)</f>
        <v/>
      </c>
      <c r="L197" s="200" t="str">
        <f aca="false">IF($A198="","",VLOOKUP($A197,Table,MATCH(L$4,Curves,0)))</f>
        <v/>
      </c>
      <c r="M197" s="201" t="str">
        <f aca="false">IF(A198="","",L197)</f>
        <v/>
      </c>
      <c r="N197" s="203"/>
      <c r="O197" s="200" t="str">
        <f aca="false">IF(A198="","",L197+J197+G197)</f>
        <v/>
      </c>
      <c r="P197" s="200" t="str">
        <f aca="false">IF(A198="","",M197+K197+H197)</f>
        <v/>
      </c>
      <c r="Q197" s="204"/>
      <c r="R197" s="200" t="str">
        <f aca="false">IF($A198="","",VLOOKUP($A197,Table,MATCH(R$4,Curves,0)))</f>
        <v/>
      </c>
      <c r="S197" s="201" t="str">
        <f aca="false">IF(A198="","",R197)</f>
        <v/>
      </c>
      <c r="T197" s="200" t="str">
        <f aca="false">IF($A198="","",VLOOKUP($A197,Table,MATCH(T$4,Curves,0)))</f>
        <v/>
      </c>
      <c r="U197" s="201" t="str">
        <f aca="false">IF(A198="","",T197)</f>
        <v/>
      </c>
      <c r="V197" s="225" t="str">
        <f aca="false">IF($A198="","",IF(AND(MONTH(A197)&gt;3,MONTH(A197)&lt;11),(T197+R197+G197)*(((1/(1-Summary!$T$12))/(1-Summary!$W$12))-1),(T197+R197+G197)*((1/(1-Summary!$U$12))/(1-Summary!$X$12)-1)))</f>
        <v/>
      </c>
      <c r="W197" s="200" t="str">
        <f aca="false">IF($A198="","",(T197+R197+G197+V197))</f>
        <v/>
      </c>
      <c r="X197" s="200" t="str">
        <f aca="false">IF($A198="","",(U197+S197+H197+V197))</f>
        <v/>
      </c>
      <c r="Y197" s="202"/>
      <c r="Z197" s="185" t="str">
        <f aca="false">IF($A198="","",VLOOKUP($A197,Table,MATCH(Z$4,Curves,0)))</f>
        <v/>
      </c>
      <c r="AA197" s="185" t="str">
        <f aca="false">IF($A198="","",VLOOKUP($A197,Table,MATCH(AA$4,Curves,0)))</f>
        <v/>
      </c>
      <c r="AB197" s="185" t="e">
        <f aca="false">SQRT((AA197^2*(A197-$D$3)+Z197^2*(DAY(EOMONTH(A197,0))/2))/AK197)</f>
        <v>#VALUE!</v>
      </c>
      <c r="AC197" s="185" t="str">
        <f aca="false">IF($A198="","",VLOOKUP($A197,Table,MATCH(AC$4,Curves,0)))</f>
        <v/>
      </c>
      <c r="AD197" s="185" t="str">
        <f aca="false">IF($A198="","",VLOOKUP($A197,Table,MATCH(AD$4,Curves,0)))</f>
        <v/>
      </c>
      <c r="AE197" s="185" t="e">
        <f aca="false">SQRT((AD197^2*(A197-$D$3)+AC197^2*(DAY(EOMONTH(A197,0))/2))/AK197)</f>
        <v>#VALUE!</v>
      </c>
      <c r="AF197" s="206" t="e">
        <f aca="false">((Summary!$N$12*(AA197*AD197)*(A197-$D$3))+(Summary!$M$12*Z197*AC197*(AJ197-EOMONTH(EDATE(A197,-1),0))))/(AK197*AB197*AE197)</f>
        <v>#VALUE!</v>
      </c>
      <c r="AG197" s="207" t="str">
        <f aca="false">IF($A198="","",Summary!$Q$12)</f>
        <v/>
      </c>
      <c r="AH197" s="207" t="str">
        <f aca="false">IF($A198="","",IF(Summary!$R$12="Y",(VLOOKUP($A197,Summary!$AD$6:$AF$9,3)+'Escalating commodity'!H210),'Escalating commodity'!H210))</f>
        <v/>
      </c>
      <c r="AI197" s="207" t="str">
        <f aca="false">IF($A198="","",AH197)</f>
        <v/>
      </c>
      <c r="AJ197" s="208" t="e">
        <f aca="false">A197+DAY(EOMONTH(A197,0))/2-1</f>
        <v>#VALUE!</v>
      </c>
      <c r="AK197" s="209" t="str">
        <f aca="false">IF($A198="","",$A197-$E$1)</f>
        <v/>
      </c>
      <c r="AL197" s="182" t="str">
        <f aca="false">IF($A198="","",SPRDOPT(P197,X197,AI197,0,AB197,AE197,AF197,AK197,$AJ$2,0))</f>
        <v/>
      </c>
      <c r="AM197" s="211" t="str">
        <f aca="false">IF($A198="","",MAX(0,O197-W197-AI197))</f>
        <v/>
      </c>
      <c r="AN197" s="211" t="str">
        <f aca="false">IF($A198="","",AL197-AM197)</f>
        <v/>
      </c>
      <c r="AO197" s="137" t="str">
        <f aca="false">IF(A198="","",A198-A197)</f>
        <v/>
      </c>
      <c r="AP197" s="212" t="str">
        <f aca="false">IF(A198="","",CHOOSE(F$3,A198+24,A197))</f>
        <v/>
      </c>
      <c r="AQ197" s="209" t="str">
        <f aca="false">IF(A198="","",AP197-$E$1)</f>
        <v/>
      </c>
      <c r="AR197" s="185" t="n">
        <f aca="false">'ANR OK vs ML7'!AR197</f>
        <v>0.1</v>
      </c>
      <c r="AS197" s="213" t="str">
        <f aca="false">IF(A198="","",1/(1+CHOOSE(F$3,(AR198+($I$3/10000))/2,(AR197+($I$3/10000))/2))^(2*AQ197/365.25))</f>
        <v/>
      </c>
      <c r="AT197" s="137" t="str">
        <f aca="false">IF(A198="","",IF(AND(mthbeg&lt;=A197,mthend&gt;=A197),1,0))</f>
        <v/>
      </c>
      <c r="AU197" s="137" t="str">
        <f aca="false">IF(A198="","",AO197*AT197)</f>
        <v/>
      </c>
      <c r="AW197" s="195" t="str">
        <f aca="false">IF($A198="","",AL197*$E197)</f>
        <v/>
      </c>
      <c r="AX197" s="195" t="str">
        <f aca="false">IF($A198="","",AM197*$E197)</f>
        <v/>
      </c>
      <c r="AY197" s="195" t="str">
        <f aca="false">IF($A198="","",AN197*$E197)</f>
        <v/>
      </c>
      <c r="BA197" s="195" t="str">
        <f aca="false">IF($A198="","",F197*Summary!$Q$12)</f>
        <v/>
      </c>
    </row>
    <row r="198" customFormat="false" ht="12" hidden="false" customHeight="true" outlineLevel="0" collapsed="false">
      <c r="A198" s="196" t="str">
        <f aca="false">IF(A197&lt;mthend,EDATE(A197,1),"")</f>
        <v/>
      </c>
      <c r="B198" s="197" t="str">
        <f aca="false">IF(A198&lt;mthend,B197,"")</f>
        <v/>
      </c>
      <c r="C198" s="215"/>
      <c r="D198" s="197" t="str">
        <f aca="false">IF(A199&lt;&gt;"",B198+C198,"")</f>
        <v/>
      </c>
      <c r="E198" s="199" t="str">
        <f aca="false">IF(A199="","",IF(AND(AT198=1,$H$3=1),D198*AO198,IF($H$3=2,D198,"N/A")))</f>
        <v/>
      </c>
      <c r="F198" s="199" t="str">
        <f aca="false">IF(A199="","",E198*AS198)</f>
        <v/>
      </c>
      <c r="G198" s="200" t="str">
        <f aca="false">IF($A199="","",VLOOKUP($A198,Table,MATCH(G$4,Curves,0)))</f>
        <v/>
      </c>
      <c r="H198" s="201" t="str">
        <f aca="false">IF(A199="","",G198)</f>
        <v/>
      </c>
      <c r="I198" s="202"/>
      <c r="J198" s="200" t="str">
        <f aca="false">IF($A199="","",VLOOKUP($A198,Table,MATCH(J$4,Curves,0)))</f>
        <v/>
      </c>
      <c r="K198" s="201" t="str">
        <f aca="false">IF(A199="","",J198)</f>
        <v/>
      </c>
      <c r="L198" s="200" t="str">
        <f aca="false">IF($A199="","",VLOOKUP($A198,Table,MATCH(L$4,Curves,0)))</f>
        <v/>
      </c>
      <c r="M198" s="201" t="str">
        <f aca="false">IF(A199="","",L198)</f>
        <v/>
      </c>
      <c r="N198" s="203"/>
      <c r="O198" s="200" t="str">
        <f aca="false">IF(A199="","",L198+J198+G198)</f>
        <v/>
      </c>
      <c r="P198" s="200" t="str">
        <f aca="false">IF(A199="","",M198+K198+H198)</f>
        <v/>
      </c>
      <c r="Q198" s="204"/>
      <c r="R198" s="200" t="str">
        <f aca="false">IF($A199="","",VLOOKUP($A198,Table,MATCH(R$4,Curves,0)))</f>
        <v/>
      </c>
      <c r="S198" s="201" t="str">
        <f aca="false">IF(A199="","",R198)</f>
        <v/>
      </c>
      <c r="T198" s="200" t="str">
        <f aca="false">IF($A199="","",VLOOKUP($A198,Table,MATCH(T$4,Curves,0)))</f>
        <v/>
      </c>
      <c r="U198" s="201" t="str">
        <f aca="false">IF(A199="","",T198)</f>
        <v/>
      </c>
      <c r="V198" s="225" t="str">
        <f aca="false">IF($A199="","",IF(AND(MONTH(A198)&gt;3,MONTH(A198)&lt;11),(T198+R198+G198)*(((1/(1-Summary!$T$12))/(1-Summary!$W$12))-1),(T198+R198+G198)*((1/(1-Summary!$U$12))/(1-Summary!$X$12)-1)))</f>
        <v/>
      </c>
      <c r="W198" s="200" t="str">
        <f aca="false">IF($A199="","",(T198+R198+G198+V198))</f>
        <v/>
      </c>
      <c r="X198" s="200" t="str">
        <f aca="false">IF($A199="","",(U198+S198+H198+V198))</f>
        <v/>
      </c>
      <c r="Y198" s="202"/>
      <c r="Z198" s="185" t="str">
        <f aca="false">IF($A199="","",VLOOKUP($A198,Table,MATCH(Z$4,Curves,0)))</f>
        <v/>
      </c>
      <c r="AA198" s="185" t="str">
        <f aca="false">IF($A199="","",VLOOKUP($A198,Table,MATCH(AA$4,Curves,0)))</f>
        <v/>
      </c>
      <c r="AB198" s="185" t="e">
        <f aca="false">SQRT((AA198^2*(A198-$D$3)+Z198^2*(DAY(EOMONTH(A198,0))/2))/AK198)</f>
        <v>#VALUE!</v>
      </c>
      <c r="AC198" s="185" t="str">
        <f aca="false">IF($A199="","",VLOOKUP($A198,Table,MATCH(AC$4,Curves,0)))</f>
        <v/>
      </c>
      <c r="AD198" s="185" t="str">
        <f aca="false">IF($A199="","",VLOOKUP($A198,Table,MATCH(AD$4,Curves,0)))</f>
        <v/>
      </c>
      <c r="AE198" s="185" t="e">
        <f aca="false">SQRT((AD198^2*(A198-$D$3)+AC198^2*(DAY(EOMONTH(A198,0))/2))/AK198)</f>
        <v>#VALUE!</v>
      </c>
      <c r="AF198" s="206" t="e">
        <f aca="false">((Summary!$N$12*(AA198*AD198)*(A198-$D$3))+(Summary!$M$12*Z198*AC198*(AJ198-EOMONTH(EDATE(A198,-1),0))))/(AK198*AB198*AE198)</f>
        <v>#VALUE!</v>
      </c>
      <c r="AG198" s="207" t="str">
        <f aca="false">IF($A199="","",Summary!$Q$12)</f>
        <v/>
      </c>
      <c r="AH198" s="207" t="str">
        <f aca="false">IF($A199="","",IF(Summary!$R$12="Y",(VLOOKUP($A198,Summary!$AD$6:$AF$9,3)+'Escalating commodity'!H211),'Escalating commodity'!H211))</f>
        <v/>
      </c>
      <c r="AI198" s="207" t="str">
        <f aca="false">IF($A199="","",AH198)</f>
        <v/>
      </c>
      <c r="AJ198" s="208" t="e">
        <f aca="false">A198+DAY(EOMONTH(A198,0))/2-1</f>
        <v>#VALUE!</v>
      </c>
      <c r="AK198" s="209" t="str">
        <f aca="false">IF($A199="","",$A198-$E$1)</f>
        <v/>
      </c>
      <c r="AL198" s="182" t="str">
        <f aca="false">IF($A199="","",SPRDOPT(P198,X198,AI198,0,AB198,AE198,AF198,AK198,$AJ$2,0))</f>
        <v/>
      </c>
      <c r="AM198" s="211" t="str">
        <f aca="false">IF($A199="","",MAX(0,O198-W198-AI198))</f>
        <v/>
      </c>
      <c r="AN198" s="211" t="str">
        <f aca="false">IF($A199="","",AL198-AM198)</f>
        <v/>
      </c>
      <c r="AO198" s="137" t="str">
        <f aca="false">IF(A199="","",A199-A198)</f>
        <v/>
      </c>
      <c r="AP198" s="212" t="str">
        <f aca="false">IF(A199="","",CHOOSE(F$3,A199+24,A198))</f>
        <v/>
      </c>
      <c r="AQ198" s="209" t="str">
        <f aca="false">IF(A199="","",AP198-$E$1)</f>
        <v/>
      </c>
      <c r="AR198" s="185" t="n">
        <f aca="false">'ANR OK vs ML7'!AR198</f>
        <v>0.1</v>
      </c>
      <c r="AS198" s="213" t="str">
        <f aca="false">IF(A199="","",1/(1+CHOOSE(F$3,(AR199+($I$3/10000))/2,(AR198+($I$3/10000))/2))^(2*AQ198/365.25))</f>
        <v/>
      </c>
      <c r="AT198" s="137" t="str">
        <f aca="false">IF(A199="","",IF(AND(mthbeg&lt;=A198,mthend&gt;=A198),1,0))</f>
        <v/>
      </c>
      <c r="AU198" s="137" t="str">
        <f aca="false">IF(A199="","",AO198*AT198)</f>
        <v/>
      </c>
      <c r="AW198" s="195" t="str">
        <f aca="false">IF($A199="","",AL198*$E198)</f>
        <v/>
      </c>
      <c r="AX198" s="195" t="str">
        <f aca="false">IF($A199="","",AM198*$E198)</f>
        <v/>
      </c>
      <c r="AY198" s="195" t="str">
        <f aca="false">IF($A199="","",AN198*$E198)</f>
        <v/>
      </c>
      <c r="BA198" s="195" t="str">
        <f aca="false">IF($A199="","",F198*Summary!$Q$12)</f>
        <v/>
      </c>
    </row>
    <row r="199" customFormat="false" ht="12" hidden="false" customHeight="true" outlineLevel="0" collapsed="false">
      <c r="A199" s="196" t="str">
        <f aca="false">IF(A198&lt;mthend,EDATE(A198,1),"")</f>
        <v/>
      </c>
      <c r="B199" s="197" t="str">
        <f aca="false">IF(A199&lt;mthend,B198,"")</f>
        <v/>
      </c>
      <c r="C199" s="215"/>
      <c r="D199" s="197" t="str">
        <f aca="false">IF(A200&lt;&gt;"",B199+C199,"")</f>
        <v/>
      </c>
      <c r="E199" s="199" t="str">
        <f aca="false">IF(A200="","",IF(AND(AT199=1,$H$3=1),D199*AO199,IF($H$3=2,D199,"N/A")))</f>
        <v/>
      </c>
      <c r="F199" s="199" t="str">
        <f aca="false">IF(A200="","",E199*AS199)</f>
        <v/>
      </c>
      <c r="G199" s="200" t="str">
        <f aca="false">IF($A200="","",VLOOKUP($A199,Table,MATCH(G$4,Curves,0)))</f>
        <v/>
      </c>
      <c r="H199" s="201" t="str">
        <f aca="false">IF(A200="","",G199)</f>
        <v/>
      </c>
      <c r="I199" s="202"/>
      <c r="J199" s="200" t="str">
        <f aca="false">IF($A200="","",VLOOKUP($A199,Table,MATCH(J$4,Curves,0)))</f>
        <v/>
      </c>
      <c r="K199" s="201" t="str">
        <f aca="false">IF(A200="","",J199)</f>
        <v/>
      </c>
      <c r="L199" s="200" t="str">
        <f aca="false">IF($A200="","",VLOOKUP($A199,Table,MATCH(L$4,Curves,0)))</f>
        <v/>
      </c>
      <c r="M199" s="201" t="str">
        <f aca="false">IF(A200="","",L199)</f>
        <v/>
      </c>
      <c r="N199" s="203"/>
      <c r="O199" s="200" t="str">
        <f aca="false">IF(A200="","",L199+J199+G199)</f>
        <v/>
      </c>
      <c r="P199" s="200" t="str">
        <f aca="false">IF(A200="","",M199+K199+H199)</f>
        <v/>
      </c>
      <c r="Q199" s="204"/>
      <c r="R199" s="200" t="str">
        <f aca="false">IF($A200="","",VLOOKUP($A199,Table,MATCH(R$4,Curves,0)))</f>
        <v/>
      </c>
      <c r="S199" s="201" t="str">
        <f aca="false">IF(A200="","",R199)</f>
        <v/>
      </c>
      <c r="T199" s="200" t="str">
        <f aca="false">IF($A200="","",VLOOKUP($A199,Table,MATCH(T$4,Curves,0)))</f>
        <v/>
      </c>
      <c r="U199" s="201" t="str">
        <f aca="false">IF(A200="","",T199)</f>
        <v/>
      </c>
      <c r="V199" s="225" t="str">
        <f aca="false">IF($A200="","",IF(AND(MONTH(A199)&gt;3,MONTH(A199)&lt;11),(T199+R199+G199)*(((1/(1-Summary!$T$12))/(1-Summary!$W$12))-1),(T199+R199+G199)*((1/(1-Summary!$U$12))/(1-Summary!$X$12)-1)))</f>
        <v/>
      </c>
      <c r="W199" s="200" t="str">
        <f aca="false">IF($A200="","",(T199+R199+G199+V199))</f>
        <v/>
      </c>
      <c r="X199" s="200" t="str">
        <f aca="false">IF($A200="","",(U199+S199+H199+V199))</f>
        <v/>
      </c>
      <c r="Y199" s="202"/>
      <c r="Z199" s="185" t="str">
        <f aca="false">IF($A200="","",VLOOKUP($A199,Table,MATCH(Z$4,Curves,0)))</f>
        <v/>
      </c>
      <c r="AA199" s="185" t="str">
        <f aca="false">IF($A200="","",VLOOKUP($A199,Table,MATCH(AA$4,Curves,0)))</f>
        <v/>
      </c>
      <c r="AB199" s="185" t="e">
        <f aca="false">SQRT((AA199^2*(A199-$D$3)+Z199^2*(DAY(EOMONTH(A199,0))/2))/AK199)</f>
        <v>#VALUE!</v>
      </c>
      <c r="AC199" s="185" t="str">
        <f aca="false">IF($A200="","",VLOOKUP($A199,Table,MATCH(AC$4,Curves,0)))</f>
        <v/>
      </c>
      <c r="AD199" s="185" t="str">
        <f aca="false">IF($A200="","",VLOOKUP($A199,Table,MATCH(AD$4,Curves,0)))</f>
        <v/>
      </c>
      <c r="AE199" s="185" t="e">
        <f aca="false">SQRT((AD199^2*(A199-$D$3)+AC199^2*(DAY(EOMONTH(A199,0))/2))/AK199)</f>
        <v>#VALUE!</v>
      </c>
      <c r="AF199" s="206" t="e">
        <f aca="false">((Summary!$N$12*(AA199*AD199)*(A199-$D$3))+(Summary!$M$12*Z199*AC199*(AJ199-EOMONTH(EDATE(A199,-1),0))))/(AK199*AB199*AE199)</f>
        <v>#VALUE!</v>
      </c>
      <c r="AG199" s="207" t="str">
        <f aca="false">IF($A200="","",Summary!$Q$12)</f>
        <v/>
      </c>
      <c r="AH199" s="207" t="str">
        <f aca="false">IF($A200="","",IF(Summary!$R$12="Y",(VLOOKUP($A199,Summary!$AD$6:$AF$9,3)+'Escalating commodity'!H212),'Escalating commodity'!H212))</f>
        <v/>
      </c>
      <c r="AI199" s="207" t="str">
        <f aca="false">IF($A200="","",AH199)</f>
        <v/>
      </c>
      <c r="AJ199" s="208" t="e">
        <f aca="false">A199+DAY(EOMONTH(A199,0))/2-1</f>
        <v>#VALUE!</v>
      </c>
      <c r="AK199" s="209" t="str">
        <f aca="false">IF($A200="","",$A199-$E$1)</f>
        <v/>
      </c>
      <c r="AL199" s="182" t="str">
        <f aca="false">IF($A200="","",SPRDOPT(P199,X199,AI199,0,AB199,AE199,AF199,AK199,$AJ$2,0))</f>
        <v/>
      </c>
      <c r="AM199" s="211" t="str">
        <f aca="false">IF($A200="","",MAX(0,O199-W199-AI199))</f>
        <v/>
      </c>
      <c r="AN199" s="211" t="str">
        <f aca="false">IF($A200="","",AL199-AM199)</f>
        <v/>
      </c>
      <c r="AO199" s="137" t="str">
        <f aca="false">IF(A200="","",A200-A199)</f>
        <v/>
      </c>
      <c r="AP199" s="212" t="str">
        <f aca="false">IF(A200="","",CHOOSE(F$3,A200+24,A199))</f>
        <v/>
      </c>
      <c r="AQ199" s="209" t="str">
        <f aca="false">IF(A200="","",AP199-$E$1)</f>
        <v/>
      </c>
      <c r="AR199" s="185" t="n">
        <f aca="false">'ANR OK vs ML7'!AR199</f>
        <v>0.1</v>
      </c>
      <c r="AS199" s="213" t="str">
        <f aca="false">IF(A200="","",1/(1+CHOOSE(F$3,(AR200+($I$3/10000))/2,(AR199+($I$3/10000))/2))^(2*AQ199/365.25))</f>
        <v/>
      </c>
      <c r="AT199" s="137" t="str">
        <f aca="false">IF(A200="","",IF(AND(mthbeg&lt;=A199,mthend&gt;=A199),1,0))</f>
        <v/>
      </c>
      <c r="AU199" s="137" t="str">
        <f aca="false">IF(A200="","",AO199*AT199)</f>
        <v/>
      </c>
      <c r="AW199" s="195" t="str">
        <f aca="false">IF($A200="","",AL199*$E199)</f>
        <v/>
      </c>
      <c r="AX199" s="195" t="str">
        <f aca="false">IF($A200="","",AM199*$E199)</f>
        <v/>
      </c>
      <c r="AY199" s="195" t="str">
        <f aca="false">IF($A200="","",AN199*$E199)</f>
        <v/>
      </c>
      <c r="BA199" s="195" t="str">
        <f aca="false">IF($A200="","",F199*Summary!$Q$12)</f>
        <v/>
      </c>
    </row>
    <row r="200" customFormat="false" ht="12" hidden="false" customHeight="true" outlineLevel="0" collapsed="false">
      <c r="A200" s="196" t="str">
        <f aca="false">IF(A199&lt;mthend,EDATE(A199,1),"")</f>
        <v/>
      </c>
      <c r="B200" s="197" t="str">
        <f aca="false">IF(A200&lt;mthend,B199,"")</f>
        <v/>
      </c>
      <c r="C200" s="215"/>
      <c r="D200" s="197" t="str">
        <f aca="false">IF(A201&lt;&gt;"",B200+C200,"")</f>
        <v/>
      </c>
      <c r="E200" s="199" t="str">
        <f aca="false">IF(A201="","",IF(AND(AT200=1,$H$3=1),D200*AO200,IF($H$3=2,D200,"N/A")))</f>
        <v/>
      </c>
      <c r="F200" s="199" t="str">
        <f aca="false">IF(A201="","",E200*AS200)</f>
        <v/>
      </c>
      <c r="G200" s="200" t="str">
        <f aca="false">IF($A201="","",VLOOKUP($A200,Table,MATCH(G$4,Curves,0)))</f>
        <v/>
      </c>
      <c r="H200" s="201" t="str">
        <f aca="false">IF(A201="","",G200)</f>
        <v/>
      </c>
      <c r="I200" s="202"/>
      <c r="J200" s="200" t="str">
        <f aca="false">IF($A201="","",VLOOKUP($A200,Table,MATCH(J$4,Curves,0)))</f>
        <v/>
      </c>
      <c r="K200" s="201" t="str">
        <f aca="false">IF(A201="","",J200)</f>
        <v/>
      </c>
      <c r="L200" s="200" t="str">
        <f aca="false">IF($A201="","",VLOOKUP($A200,Table,MATCH(L$4,Curves,0)))</f>
        <v/>
      </c>
      <c r="M200" s="201" t="str">
        <f aca="false">IF(A201="","",L200)</f>
        <v/>
      </c>
      <c r="N200" s="203"/>
      <c r="O200" s="200" t="str">
        <f aca="false">IF(A201="","",L200+J200+G200)</f>
        <v/>
      </c>
      <c r="P200" s="200" t="str">
        <f aca="false">IF(A201="","",M200+K200+H200)</f>
        <v/>
      </c>
      <c r="Q200" s="204"/>
      <c r="R200" s="200" t="str">
        <f aca="false">IF($A201="","",VLOOKUP($A200,Table,MATCH(R$4,Curves,0)))</f>
        <v/>
      </c>
      <c r="S200" s="201" t="str">
        <f aca="false">IF(A201="","",R200)</f>
        <v/>
      </c>
      <c r="T200" s="200" t="str">
        <f aca="false">IF($A201="","",VLOOKUP($A200,Table,MATCH(T$4,Curves,0)))</f>
        <v/>
      </c>
      <c r="U200" s="201" t="str">
        <f aca="false">IF(A201="","",T200)</f>
        <v/>
      </c>
      <c r="V200" s="225" t="str">
        <f aca="false">IF($A201="","",IF(AND(MONTH(A200)&gt;3,MONTH(A200)&lt;11),(T200+R200+G200)*(((1/(1-Summary!$T$12))/(1-Summary!$W$12))-1),(T200+R200+G200)*((1/(1-Summary!$U$12))/(1-Summary!$X$12)-1)))</f>
        <v/>
      </c>
      <c r="W200" s="200" t="str">
        <f aca="false">IF($A201="","",(T200+R200+G200+V200))</f>
        <v/>
      </c>
      <c r="X200" s="200" t="str">
        <f aca="false">IF($A201="","",(U200+S200+H200+V200))</f>
        <v/>
      </c>
      <c r="Y200" s="202"/>
      <c r="Z200" s="185" t="str">
        <f aca="false">IF($A201="","",VLOOKUP($A200,Table,MATCH(Z$4,Curves,0)))</f>
        <v/>
      </c>
      <c r="AA200" s="185" t="str">
        <f aca="false">IF($A201="","",VLOOKUP($A200,Table,MATCH(AA$4,Curves,0)))</f>
        <v/>
      </c>
      <c r="AB200" s="185" t="e">
        <f aca="false">SQRT((AA200^2*(A200-$D$3)+Z200^2*(DAY(EOMONTH(A200,0))/2))/AK200)</f>
        <v>#VALUE!</v>
      </c>
      <c r="AC200" s="185" t="str">
        <f aca="false">IF($A201="","",VLOOKUP($A200,Table,MATCH(AC$4,Curves,0)))</f>
        <v/>
      </c>
      <c r="AD200" s="185" t="str">
        <f aca="false">IF($A201="","",VLOOKUP($A200,Table,MATCH(AD$4,Curves,0)))</f>
        <v/>
      </c>
      <c r="AE200" s="185" t="e">
        <f aca="false">SQRT((AD200^2*(A200-$D$3)+AC200^2*(DAY(EOMONTH(A200,0))/2))/AK200)</f>
        <v>#VALUE!</v>
      </c>
      <c r="AF200" s="206" t="e">
        <f aca="false">((Summary!$N$12*(AA200*AD200)*(A200-$D$3))+(Summary!$M$12*Z200*AC200*(AJ200-EOMONTH(EDATE(A200,-1),0))))/(AK200*AB200*AE200)</f>
        <v>#VALUE!</v>
      </c>
      <c r="AG200" s="207" t="str">
        <f aca="false">IF($A201="","",Summary!$Q$12)</f>
        <v/>
      </c>
      <c r="AH200" s="207" t="str">
        <f aca="false">IF($A201="","",IF(Summary!$R$12="Y",(VLOOKUP($A200,Summary!$AD$6:$AF$9,3)+'Escalating commodity'!H213),'Escalating commodity'!H213))</f>
        <v/>
      </c>
      <c r="AI200" s="207" t="str">
        <f aca="false">IF($A201="","",AH200)</f>
        <v/>
      </c>
      <c r="AJ200" s="208" t="e">
        <f aca="false">A200+DAY(EOMONTH(A200,0))/2-1</f>
        <v>#VALUE!</v>
      </c>
      <c r="AK200" s="209" t="str">
        <f aca="false">IF($A201="","",$A200-$E$1)</f>
        <v/>
      </c>
      <c r="AL200" s="182" t="str">
        <f aca="false">IF($A201="","",SPRDOPT(P200,X200,AI200,0,AB200,AE200,AF200,AK200,$AJ$2,0))</f>
        <v/>
      </c>
      <c r="AM200" s="211" t="str">
        <f aca="false">IF($A201="","",MAX(0,O200-W200-AI200))</f>
        <v/>
      </c>
      <c r="AN200" s="211" t="str">
        <f aca="false">IF($A201="","",AL200-AM200)</f>
        <v/>
      </c>
      <c r="AO200" s="137" t="str">
        <f aca="false">IF(A201="","",A201-A200)</f>
        <v/>
      </c>
      <c r="AP200" s="212" t="str">
        <f aca="false">IF(A201="","",CHOOSE(F$3,A201+24,A200))</f>
        <v/>
      </c>
      <c r="AQ200" s="209" t="str">
        <f aca="false">IF(A201="","",AP200-$E$1)</f>
        <v/>
      </c>
      <c r="AR200" s="185" t="n">
        <f aca="false">'ANR OK vs ML7'!AR200</f>
        <v>0.1</v>
      </c>
      <c r="AS200" s="213" t="str">
        <f aca="false">IF(A201="","",1/(1+CHOOSE(F$3,(AR201+($I$3/10000))/2,(AR200+($I$3/10000))/2))^(2*AQ200/365.25))</f>
        <v/>
      </c>
      <c r="AT200" s="137" t="str">
        <f aca="false">IF(A201="","",IF(AND(mthbeg&lt;=A200,mthend&gt;=A200),1,0))</f>
        <v/>
      </c>
      <c r="AU200" s="137" t="str">
        <f aca="false">IF(A201="","",AO200*AT200)</f>
        <v/>
      </c>
      <c r="AW200" s="195" t="str">
        <f aca="false">IF($A201="","",AL200*$E200)</f>
        <v/>
      </c>
      <c r="AX200" s="195" t="str">
        <f aca="false">IF($A201="","",AM200*$E200)</f>
        <v/>
      </c>
      <c r="AY200" s="195" t="str">
        <f aca="false">IF($A201="","",AN200*$E200)</f>
        <v/>
      </c>
      <c r="BA200" s="195" t="str">
        <f aca="false">IF($A201="","",F200*Summary!$Q$12)</f>
        <v/>
      </c>
    </row>
    <row r="201" customFormat="false" ht="12" hidden="false" customHeight="true" outlineLevel="0" collapsed="false">
      <c r="A201" s="196" t="str">
        <f aca="false">IF(A200&lt;mthend,EDATE(A200,1),"")</f>
        <v/>
      </c>
      <c r="B201" s="197" t="str">
        <f aca="false">IF(A201&lt;mthend,B200,"")</f>
        <v/>
      </c>
      <c r="C201" s="215"/>
      <c r="D201" s="197" t="str">
        <f aca="false">IF(A202&lt;&gt;"",B201+C201,"")</f>
        <v/>
      </c>
      <c r="E201" s="199" t="str">
        <f aca="false">IF(A202="","",IF(AND(AT201=1,$H$3=1),D201*AO201,IF($H$3=2,D201,"N/A")))</f>
        <v/>
      </c>
      <c r="F201" s="199" t="str">
        <f aca="false">IF(A202="","",E201*AS201)</f>
        <v/>
      </c>
      <c r="G201" s="200" t="str">
        <f aca="false">IF($A202="","",VLOOKUP($A201,Table,MATCH(G$4,Curves,0)))</f>
        <v/>
      </c>
      <c r="H201" s="201" t="str">
        <f aca="false">IF(A202="","",G201)</f>
        <v/>
      </c>
      <c r="I201" s="202"/>
      <c r="J201" s="200" t="str">
        <f aca="false">IF($A202="","",VLOOKUP($A201,Table,MATCH(J$4,Curves,0)))</f>
        <v/>
      </c>
      <c r="K201" s="201" t="str">
        <f aca="false">IF(A202="","",J201)</f>
        <v/>
      </c>
      <c r="L201" s="200" t="str">
        <f aca="false">IF($A202="","",VLOOKUP($A201,Table,MATCH(L$4,Curves,0)))</f>
        <v/>
      </c>
      <c r="M201" s="201" t="str">
        <f aca="false">IF(A202="","",L201)</f>
        <v/>
      </c>
      <c r="N201" s="203"/>
      <c r="O201" s="200" t="str">
        <f aca="false">IF(A202="","",L201+J201+G201)</f>
        <v/>
      </c>
      <c r="P201" s="200" t="str">
        <f aca="false">IF(A202="","",M201+K201+H201)</f>
        <v/>
      </c>
      <c r="Q201" s="204"/>
      <c r="R201" s="200" t="str">
        <f aca="false">IF($A202="","",VLOOKUP($A201,Table,MATCH(R$4,Curves,0)))</f>
        <v/>
      </c>
      <c r="S201" s="201" t="str">
        <f aca="false">IF(A202="","",R201)</f>
        <v/>
      </c>
      <c r="T201" s="200" t="str">
        <f aca="false">IF($A202="","",VLOOKUP($A201,Table,MATCH(T$4,Curves,0)))</f>
        <v/>
      </c>
      <c r="U201" s="201" t="str">
        <f aca="false">IF(A202="","",T201)</f>
        <v/>
      </c>
      <c r="V201" s="225" t="str">
        <f aca="false">IF($A202="","",IF(AND(MONTH(A201)&gt;3,MONTH(A201)&lt;11),(T201+R201+G201)*(((1/(1-Summary!$T$12))/(1-Summary!$W$12))-1),(T201+R201+G201)*((1/(1-Summary!$U$12))/(1-Summary!$X$12)-1)))</f>
        <v/>
      </c>
      <c r="W201" s="200" t="str">
        <f aca="false">IF($A202="","",(T201+R201+G201+V201))</f>
        <v/>
      </c>
      <c r="X201" s="200" t="str">
        <f aca="false">IF($A202="","",(U201+S201+H201+V201))</f>
        <v/>
      </c>
      <c r="Y201" s="202"/>
      <c r="Z201" s="185" t="str">
        <f aca="false">IF($A202="","",VLOOKUP($A201,Table,MATCH(Z$4,Curves,0)))</f>
        <v/>
      </c>
      <c r="AA201" s="185" t="str">
        <f aca="false">IF($A202="","",VLOOKUP($A201,Table,MATCH(AA$4,Curves,0)))</f>
        <v/>
      </c>
      <c r="AB201" s="185" t="e">
        <f aca="false">SQRT((AA201^2*(A201-$D$3)+Z201^2*(DAY(EOMONTH(A201,0))/2))/AK201)</f>
        <v>#VALUE!</v>
      </c>
      <c r="AC201" s="185" t="str">
        <f aca="false">IF($A202="","",VLOOKUP($A201,Table,MATCH(AC$4,Curves,0)))</f>
        <v/>
      </c>
      <c r="AD201" s="185" t="str">
        <f aca="false">IF($A202="","",VLOOKUP($A201,Table,MATCH(AD$4,Curves,0)))</f>
        <v/>
      </c>
      <c r="AE201" s="185" t="e">
        <f aca="false">SQRT((AD201^2*(A201-$D$3)+AC201^2*(DAY(EOMONTH(A201,0))/2))/AK201)</f>
        <v>#VALUE!</v>
      </c>
      <c r="AF201" s="206" t="e">
        <f aca="false">((Summary!$N$12*(AA201*AD201)*(A201-$D$3))+(Summary!$M$12*Z201*AC201*(AJ201-EOMONTH(EDATE(A201,-1),0))))/(AK201*AB201*AE201)</f>
        <v>#VALUE!</v>
      </c>
      <c r="AG201" s="207" t="str">
        <f aca="false">IF($A202="","",Summary!$Q$12)</f>
        <v/>
      </c>
      <c r="AH201" s="207" t="str">
        <f aca="false">IF($A202="","",IF(Summary!$R$12="Y",(VLOOKUP($A201,Summary!$AD$6:$AF$9,3)+'Escalating commodity'!H214),'Escalating commodity'!H214))</f>
        <v/>
      </c>
      <c r="AI201" s="207" t="str">
        <f aca="false">IF($A202="","",AH201)</f>
        <v/>
      </c>
      <c r="AJ201" s="208" t="e">
        <f aca="false">A201+DAY(EOMONTH(A201,0))/2-1</f>
        <v>#VALUE!</v>
      </c>
      <c r="AK201" s="209" t="str">
        <f aca="false">IF($A202="","",$A201-$E$1)</f>
        <v/>
      </c>
      <c r="AL201" s="182" t="str">
        <f aca="false">IF($A202="","",SPRDOPT(P201,X201,AI201,0,AB201,AE201,AF201,AK201,$AJ$2,0))</f>
        <v/>
      </c>
      <c r="AM201" s="211" t="str">
        <f aca="false">IF($A202="","",MAX(0,O201-W201-AI201))</f>
        <v/>
      </c>
      <c r="AN201" s="211" t="str">
        <f aca="false">IF($A202="","",AL201-AM201)</f>
        <v/>
      </c>
      <c r="AO201" s="137" t="str">
        <f aca="false">IF(A202="","",A202-A201)</f>
        <v/>
      </c>
      <c r="AP201" s="212" t="str">
        <f aca="false">IF(A202="","",CHOOSE(F$3,A202+24,A201))</f>
        <v/>
      </c>
      <c r="AQ201" s="209" t="str">
        <f aca="false">IF(A202="","",AP201-$E$1)</f>
        <v/>
      </c>
      <c r="AR201" s="185" t="n">
        <f aca="false">'ANR OK vs ML7'!AR201</f>
        <v>0.1</v>
      </c>
      <c r="AS201" s="213" t="str">
        <f aca="false">IF(A202="","",1/(1+CHOOSE(F$3,(AR202+($I$3/10000))/2,(AR201+($I$3/10000))/2))^(2*AQ201/365.25))</f>
        <v/>
      </c>
      <c r="AT201" s="137" t="str">
        <f aca="false">IF(A202="","",IF(AND(mthbeg&lt;=A201,mthend&gt;=A201),1,0))</f>
        <v/>
      </c>
      <c r="AU201" s="137" t="str">
        <f aca="false">IF(A202="","",AO201*AT201)</f>
        <v/>
      </c>
      <c r="AW201" s="195" t="str">
        <f aca="false">IF($A202="","",AL201*$E201)</f>
        <v/>
      </c>
      <c r="AX201" s="195" t="str">
        <f aca="false">IF($A202="","",AM201*$E201)</f>
        <v/>
      </c>
      <c r="AY201" s="195" t="str">
        <f aca="false">IF($A202="","",AN201*$E201)</f>
        <v/>
      </c>
      <c r="BA201" s="195" t="str">
        <f aca="false">IF($A202="","",F201*Summary!$Q$12)</f>
        <v/>
      </c>
    </row>
    <row r="202" customFormat="false" ht="12" hidden="false" customHeight="true" outlineLevel="0" collapsed="false">
      <c r="A202" s="196" t="str">
        <f aca="false">IF(A201&lt;mthend,EDATE(A201,1),"")</f>
        <v/>
      </c>
      <c r="B202" s="197" t="str">
        <f aca="false">IF(A202&lt;mthend,B201,"")</f>
        <v/>
      </c>
      <c r="C202" s="215"/>
      <c r="D202" s="197" t="str">
        <f aca="false">IF(A203&lt;&gt;"",B202+C202,"")</f>
        <v/>
      </c>
      <c r="E202" s="199" t="str">
        <f aca="false">IF(A203="","",IF(AND(AT202=1,$H$3=1),D202*AO202,IF($H$3=2,D202,"N/A")))</f>
        <v/>
      </c>
      <c r="F202" s="199" t="str">
        <f aca="false">IF(A203="","",E202*AS202)</f>
        <v/>
      </c>
      <c r="G202" s="200" t="str">
        <f aca="false">IF($A203="","",VLOOKUP($A202,Table,MATCH(G$4,Curves,0)))</f>
        <v/>
      </c>
      <c r="H202" s="201" t="str">
        <f aca="false">IF(A203="","",G202)</f>
        <v/>
      </c>
      <c r="I202" s="202"/>
      <c r="J202" s="200" t="str">
        <f aca="false">IF($A203="","",VLOOKUP($A202,Table,MATCH(J$4,Curves,0)))</f>
        <v/>
      </c>
      <c r="K202" s="201" t="str">
        <f aca="false">IF(A203="","",J202)</f>
        <v/>
      </c>
      <c r="L202" s="200" t="str">
        <f aca="false">IF($A203="","",VLOOKUP($A202,Table,MATCH(L$4,Curves,0)))</f>
        <v/>
      </c>
      <c r="M202" s="201" t="str">
        <f aca="false">IF(A203="","",L202)</f>
        <v/>
      </c>
      <c r="N202" s="203"/>
      <c r="O202" s="200" t="str">
        <f aca="false">IF(A203="","",L202+J202+G202)</f>
        <v/>
      </c>
      <c r="P202" s="200" t="str">
        <f aca="false">IF(A203="","",M202+K202+H202)</f>
        <v/>
      </c>
      <c r="Q202" s="204"/>
      <c r="R202" s="200" t="str">
        <f aca="false">IF($A203="","",VLOOKUP($A202,Table,MATCH(R$4,Curves,0)))</f>
        <v/>
      </c>
      <c r="S202" s="201" t="str">
        <f aca="false">IF(A203="","",R202)</f>
        <v/>
      </c>
      <c r="T202" s="200" t="str">
        <f aca="false">IF($A203="","",VLOOKUP($A202,Table,MATCH(T$4,Curves,0)))</f>
        <v/>
      </c>
      <c r="U202" s="201" t="str">
        <f aca="false">IF(A203="","",T202)</f>
        <v/>
      </c>
      <c r="V202" s="225" t="str">
        <f aca="false">IF($A203="","",IF(AND(MONTH(A202)&gt;3,MONTH(A202)&lt;11),(T202+R202+G202)*(((1/(1-Summary!$T$12))/(1-Summary!$W$12))-1),(T202+R202+G202)*((1/(1-Summary!$U$12))/(1-Summary!$X$12)-1)))</f>
        <v/>
      </c>
      <c r="W202" s="200" t="str">
        <f aca="false">IF($A203="","",(T202+R202+G202+V202))</f>
        <v/>
      </c>
      <c r="X202" s="200" t="str">
        <f aca="false">IF($A203="","",(U202+S202+H202+V202))</f>
        <v/>
      </c>
      <c r="Y202" s="202"/>
      <c r="Z202" s="185" t="str">
        <f aca="false">IF($A203="","",VLOOKUP($A202,Table,MATCH(Z$4,Curves,0)))</f>
        <v/>
      </c>
      <c r="AA202" s="185" t="str">
        <f aca="false">IF($A203="","",VLOOKUP($A202,Table,MATCH(AA$4,Curves,0)))</f>
        <v/>
      </c>
      <c r="AB202" s="185" t="e">
        <f aca="false">SQRT((AA202^2*(A202-$D$3)+Z202^2*(DAY(EOMONTH(A202,0))/2))/AK202)</f>
        <v>#VALUE!</v>
      </c>
      <c r="AC202" s="185" t="str">
        <f aca="false">IF($A203="","",VLOOKUP($A202,Table,MATCH(AC$4,Curves,0)))</f>
        <v/>
      </c>
      <c r="AD202" s="185" t="str">
        <f aca="false">IF($A203="","",VLOOKUP($A202,Table,MATCH(AD$4,Curves,0)))</f>
        <v/>
      </c>
      <c r="AE202" s="185" t="e">
        <f aca="false">SQRT((AD202^2*(A202-$D$3)+AC202^2*(DAY(EOMONTH(A202,0))/2))/AK202)</f>
        <v>#VALUE!</v>
      </c>
      <c r="AF202" s="206" t="e">
        <f aca="false">((Summary!$N$12*(AA202*AD202)*(A202-$D$3))+(Summary!$M$12*Z202*AC202*(AJ202-EOMONTH(EDATE(A202,-1),0))))/(AK202*AB202*AE202)</f>
        <v>#VALUE!</v>
      </c>
      <c r="AG202" s="207" t="str">
        <f aca="false">IF($A203="","",Summary!$Q$12)</f>
        <v/>
      </c>
      <c r="AH202" s="207" t="str">
        <f aca="false">IF($A203="","",IF(Summary!$R$12="Y",(VLOOKUP($A202,Summary!$AD$6:$AF$9,3)+'Escalating commodity'!H215),'Escalating commodity'!H215))</f>
        <v/>
      </c>
      <c r="AI202" s="207" t="str">
        <f aca="false">IF($A203="","",AH202)</f>
        <v/>
      </c>
      <c r="AJ202" s="208" t="e">
        <f aca="false">A202+DAY(EOMONTH(A202,0))/2-1</f>
        <v>#VALUE!</v>
      </c>
      <c r="AK202" s="209" t="str">
        <f aca="false">IF($A203="","",$A202-$E$1)</f>
        <v/>
      </c>
      <c r="AL202" s="182" t="str">
        <f aca="false">IF($A203="","",SPRDOPT(P202,X202,AI202,0,AB202,AE202,AF202,AK202,$AJ$2,0))</f>
        <v/>
      </c>
      <c r="AM202" s="211" t="str">
        <f aca="false">IF($A203="","",MAX(0,O202-W202-AI202))</f>
        <v/>
      </c>
      <c r="AN202" s="211" t="str">
        <f aca="false">IF($A203="","",AL202-AM202)</f>
        <v/>
      </c>
      <c r="AO202" s="137" t="str">
        <f aca="false">IF(A203="","",A203-A202)</f>
        <v/>
      </c>
      <c r="AP202" s="212" t="str">
        <f aca="false">IF(A203="","",CHOOSE(F$3,A203+24,A202))</f>
        <v/>
      </c>
      <c r="AQ202" s="209" t="str">
        <f aca="false">IF(A203="","",AP202-$E$1)</f>
        <v/>
      </c>
      <c r="AR202" s="185" t="n">
        <f aca="false">'ANR OK vs ML7'!AR202</f>
        <v>0.1</v>
      </c>
      <c r="AS202" s="213" t="str">
        <f aca="false">IF(A203="","",1/(1+CHOOSE(F$3,(AR203+($I$3/10000))/2,(AR202+($I$3/10000))/2))^(2*AQ202/365.25))</f>
        <v/>
      </c>
      <c r="AT202" s="137" t="str">
        <f aca="false">IF(A203="","",IF(AND(mthbeg&lt;=A202,mthend&gt;=A202),1,0))</f>
        <v/>
      </c>
      <c r="AU202" s="137" t="str">
        <f aca="false">IF(A203="","",AO202*AT202)</f>
        <v/>
      </c>
      <c r="AW202" s="195" t="str">
        <f aca="false">IF($A203="","",AL202*$E202)</f>
        <v/>
      </c>
      <c r="AX202" s="195" t="str">
        <f aca="false">IF($A203="","",AM202*$E202)</f>
        <v/>
      </c>
      <c r="AY202" s="195" t="str">
        <f aca="false">IF($A203="","",AN202*$E202)</f>
        <v/>
      </c>
      <c r="BA202" s="195" t="str">
        <f aca="false">IF($A203="","",F202*Summary!$Q$12)</f>
        <v/>
      </c>
    </row>
    <row r="203" customFormat="false" ht="12" hidden="false" customHeight="true" outlineLevel="0" collapsed="false">
      <c r="A203" s="196" t="str">
        <f aca="false">IF(A202&lt;mthend,EDATE(A202,1),"")</f>
        <v/>
      </c>
      <c r="B203" s="197" t="str">
        <f aca="false">IF(A203&lt;mthend,B202,"")</f>
        <v/>
      </c>
      <c r="C203" s="215"/>
      <c r="D203" s="197" t="str">
        <f aca="false">IF(A204&lt;&gt;"",B203+C203,"")</f>
        <v/>
      </c>
      <c r="E203" s="199" t="str">
        <f aca="false">IF(A204="","",IF(AND(AT203=1,$H$3=1),D203*AO203,IF($H$3=2,D203,"N/A")))</f>
        <v/>
      </c>
      <c r="F203" s="199" t="str">
        <f aca="false">IF(A204="","",E203*AS203)</f>
        <v/>
      </c>
      <c r="G203" s="200" t="str">
        <f aca="false">IF($A204="","",VLOOKUP($A203,Table,MATCH(G$4,Curves,0)))</f>
        <v/>
      </c>
      <c r="H203" s="201" t="str">
        <f aca="false">IF(A204="","",G203)</f>
        <v/>
      </c>
      <c r="I203" s="202"/>
      <c r="J203" s="200" t="str">
        <f aca="false">IF($A204="","",VLOOKUP($A203,Table,MATCH(J$4,Curves,0)))</f>
        <v/>
      </c>
      <c r="K203" s="201" t="str">
        <f aca="false">IF(A204="","",J203)</f>
        <v/>
      </c>
      <c r="L203" s="200" t="str">
        <f aca="false">IF($A204="","",VLOOKUP($A203,Table,MATCH(L$4,Curves,0)))</f>
        <v/>
      </c>
      <c r="M203" s="201" t="str">
        <f aca="false">IF(A204="","",L203)</f>
        <v/>
      </c>
      <c r="N203" s="203"/>
      <c r="O203" s="200" t="str">
        <f aca="false">IF(A204="","",L203+J203+G203)</f>
        <v/>
      </c>
      <c r="P203" s="200" t="str">
        <f aca="false">IF(A204="","",M203+K203+H203)</f>
        <v/>
      </c>
      <c r="Q203" s="204"/>
      <c r="R203" s="200" t="str">
        <f aca="false">IF($A204="","",VLOOKUP($A203,Table,MATCH(R$4,Curves,0)))</f>
        <v/>
      </c>
      <c r="S203" s="201" t="str">
        <f aca="false">IF(A204="","",R203)</f>
        <v/>
      </c>
      <c r="T203" s="200" t="str">
        <f aca="false">IF($A204="","",VLOOKUP($A203,Table,MATCH(T$4,Curves,0)))</f>
        <v/>
      </c>
      <c r="U203" s="201" t="str">
        <f aca="false">IF(A204="","",T203)</f>
        <v/>
      </c>
      <c r="V203" s="225" t="str">
        <f aca="false">IF($A204="","",IF(AND(MONTH(A203)&gt;3,MONTH(A203)&lt;11),(T203+R203+G203)*(((1/(1-Summary!$T$12))/(1-Summary!$W$12))-1),(T203+R203+G203)*((1/(1-Summary!$U$12))/(1-Summary!$X$12)-1)))</f>
        <v/>
      </c>
      <c r="W203" s="200" t="str">
        <f aca="false">IF($A204="","",(T203+R203+G203+V203))</f>
        <v/>
      </c>
      <c r="X203" s="200" t="str">
        <f aca="false">IF($A204="","",(U203+S203+H203+V203))</f>
        <v/>
      </c>
      <c r="Y203" s="202"/>
      <c r="Z203" s="185" t="str">
        <f aca="false">IF($A204="","",VLOOKUP($A203,Table,MATCH(Z$4,Curves,0)))</f>
        <v/>
      </c>
      <c r="AA203" s="185" t="str">
        <f aca="false">IF($A204="","",VLOOKUP($A203,Table,MATCH(AA$4,Curves,0)))</f>
        <v/>
      </c>
      <c r="AB203" s="185" t="e">
        <f aca="false">SQRT((AA203^2*(A203-$D$3)+Z203^2*(DAY(EOMONTH(A203,0))/2))/AK203)</f>
        <v>#VALUE!</v>
      </c>
      <c r="AC203" s="185" t="str">
        <f aca="false">IF($A204="","",VLOOKUP($A203,Table,MATCH(AC$4,Curves,0)))</f>
        <v/>
      </c>
      <c r="AD203" s="185" t="str">
        <f aca="false">IF($A204="","",VLOOKUP($A203,Table,MATCH(AD$4,Curves,0)))</f>
        <v/>
      </c>
      <c r="AE203" s="185" t="e">
        <f aca="false">SQRT((AD203^2*(A203-$D$3)+AC203^2*(DAY(EOMONTH(A203,0))/2))/AK203)</f>
        <v>#VALUE!</v>
      </c>
      <c r="AF203" s="206" t="e">
        <f aca="false">((Summary!$N$12*(AA203*AD203)*(A203-$D$3))+(Summary!$M$12*Z203*AC203*(AJ203-EOMONTH(EDATE(A203,-1),0))))/(AK203*AB203*AE203)</f>
        <v>#VALUE!</v>
      </c>
      <c r="AG203" s="207" t="str">
        <f aca="false">IF($A204="","",Summary!$Q$12)</f>
        <v/>
      </c>
      <c r="AH203" s="207" t="str">
        <f aca="false">IF($A204="","",IF(Summary!$R$12="Y",(VLOOKUP($A203,Summary!$AD$6:$AF$9,3)+'Escalating commodity'!H216),'Escalating commodity'!H216))</f>
        <v/>
      </c>
      <c r="AI203" s="207" t="str">
        <f aca="false">IF($A204="","",AH203)</f>
        <v/>
      </c>
      <c r="AJ203" s="208" t="e">
        <f aca="false">A203+DAY(EOMONTH(A203,0))/2-1</f>
        <v>#VALUE!</v>
      </c>
      <c r="AK203" s="209" t="str">
        <f aca="false">IF($A204="","",$A203-$E$1)</f>
        <v/>
      </c>
      <c r="AL203" s="182" t="str">
        <f aca="false">IF($A204="","",SPRDOPT(P203,X203,AI203,0,AB203,AE203,AF203,AK203,$AJ$2,0))</f>
        <v/>
      </c>
      <c r="AM203" s="211" t="str">
        <f aca="false">IF($A204="","",MAX(0,O203-W203-AI203))</f>
        <v/>
      </c>
      <c r="AN203" s="211" t="str">
        <f aca="false">IF($A204="","",AL203-AM203)</f>
        <v/>
      </c>
      <c r="AO203" s="137" t="str">
        <f aca="false">IF(A204="","",A204-A203)</f>
        <v/>
      </c>
      <c r="AP203" s="212" t="str">
        <f aca="false">IF(A204="","",CHOOSE(F$3,A204+24,A203))</f>
        <v/>
      </c>
      <c r="AQ203" s="209" t="str">
        <f aca="false">IF(A204="","",AP203-$E$1)</f>
        <v/>
      </c>
      <c r="AR203" s="185" t="n">
        <f aca="false">'ANR OK vs ML7'!AR203</f>
        <v>0.1</v>
      </c>
      <c r="AS203" s="213" t="str">
        <f aca="false">IF(A204="","",1/(1+CHOOSE(F$3,(AR204+($I$3/10000))/2,(AR203+($I$3/10000))/2))^(2*AQ203/365.25))</f>
        <v/>
      </c>
      <c r="AT203" s="137" t="str">
        <f aca="false">IF(A204="","",IF(AND(mthbeg&lt;=A203,mthend&gt;=A203),1,0))</f>
        <v/>
      </c>
      <c r="AU203" s="137" t="str">
        <f aca="false">IF(A204="","",AO203*AT203)</f>
        <v/>
      </c>
      <c r="AW203" s="195" t="str">
        <f aca="false">IF($A204="","",AL203*$E203)</f>
        <v/>
      </c>
      <c r="AX203" s="195" t="str">
        <f aca="false">IF($A204="","",AM203*$E203)</f>
        <v/>
      </c>
      <c r="AY203" s="195" t="str">
        <f aca="false">IF($A204="","",AN203*$E203)</f>
        <v/>
      </c>
      <c r="BA203" s="195" t="str">
        <f aca="false">IF($A204="","",F203*Summary!$Q$12)</f>
        <v/>
      </c>
    </row>
    <row r="204" customFormat="false" ht="12" hidden="false" customHeight="true" outlineLevel="0" collapsed="false">
      <c r="A204" s="196" t="str">
        <f aca="false">IF(A203&lt;mthend,EDATE(A203,1),"")</f>
        <v/>
      </c>
      <c r="B204" s="197" t="str">
        <f aca="false">IF(A204&lt;mthend,B203,"")</f>
        <v/>
      </c>
      <c r="C204" s="215"/>
      <c r="D204" s="197" t="str">
        <f aca="false">IF(A205&lt;&gt;"",B204+C204,"")</f>
        <v/>
      </c>
      <c r="E204" s="199" t="str">
        <f aca="false">IF(A205="","",IF(AND(AT204=1,$H$3=1),D204*AO204,IF($H$3=2,D204,"N/A")))</f>
        <v/>
      </c>
      <c r="F204" s="199" t="str">
        <f aca="false">IF(A205="","",E204*AS204)</f>
        <v/>
      </c>
      <c r="G204" s="200" t="str">
        <f aca="false">IF($A205="","",VLOOKUP($A204,Table,MATCH(G$4,Curves,0)))</f>
        <v/>
      </c>
      <c r="H204" s="201" t="str">
        <f aca="false">IF(A205="","",G204)</f>
        <v/>
      </c>
      <c r="I204" s="202"/>
      <c r="J204" s="200" t="str">
        <f aca="false">IF($A205="","",VLOOKUP($A204,Table,MATCH(J$4,Curves,0)))</f>
        <v/>
      </c>
      <c r="K204" s="201" t="str">
        <f aca="false">IF(A205="","",J204)</f>
        <v/>
      </c>
      <c r="L204" s="200" t="str">
        <f aca="false">IF($A205="","",VLOOKUP($A204,Table,MATCH(L$4,Curves,0)))</f>
        <v/>
      </c>
      <c r="M204" s="201" t="str">
        <f aca="false">IF(A205="","",L204)</f>
        <v/>
      </c>
      <c r="N204" s="203"/>
      <c r="O204" s="200" t="str">
        <f aca="false">IF(A205="","",L204+J204+G204)</f>
        <v/>
      </c>
      <c r="P204" s="200" t="str">
        <f aca="false">IF(A205="","",M204+K204+H204)</f>
        <v/>
      </c>
      <c r="Q204" s="204"/>
      <c r="R204" s="200" t="str">
        <f aca="false">IF($A205="","",VLOOKUP($A204,Table,MATCH(R$4,Curves,0)))</f>
        <v/>
      </c>
      <c r="S204" s="201" t="str">
        <f aca="false">IF(A205="","",R204)</f>
        <v/>
      </c>
      <c r="T204" s="200" t="str">
        <f aca="false">IF($A205="","",VLOOKUP($A204,Table,MATCH(T$4,Curves,0)))</f>
        <v/>
      </c>
      <c r="U204" s="201" t="str">
        <f aca="false">IF(A205="","",T204)</f>
        <v/>
      </c>
      <c r="V204" s="225" t="str">
        <f aca="false">IF($A205="","",IF(AND(MONTH(A204)&gt;3,MONTH(A204)&lt;11),(T204+R204+G204)*(((1/(1-Summary!$T$12))/(1-Summary!$W$12))-1),(T204+R204+G204)*((1/(1-Summary!$U$12))/(1-Summary!$X$12)-1)))</f>
        <v/>
      </c>
      <c r="W204" s="200" t="str">
        <f aca="false">IF($A205="","",(T204+R204+G204+V204))</f>
        <v/>
      </c>
      <c r="X204" s="200" t="str">
        <f aca="false">IF($A205="","",(U204+S204+H204+V204))</f>
        <v/>
      </c>
      <c r="Y204" s="202"/>
      <c r="Z204" s="185" t="str">
        <f aca="false">IF($A205="","",VLOOKUP($A204,Table,MATCH(Z$4,Curves,0)))</f>
        <v/>
      </c>
      <c r="AA204" s="185" t="str">
        <f aca="false">IF($A205="","",VLOOKUP($A204,Table,MATCH(AA$4,Curves,0)))</f>
        <v/>
      </c>
      <c r="AB204" s="185" t="e">
        <f aca="false">SQRT((AA204^2*(A204-$D$3)+Z204^2*(DAY(EOMONTH(A204,0))/2))/AK204)</f>
        <v>#VALUE!</v>
      </c>
      <c r="AC204" s="185" t="str">
        <f aca="false">IF($A205="","",VLOOKUP($A204,Table,MATCH(AC$4,Curves,0)))</f>
        <v/>
      </c>
      <c r="AD204" s="185" t="str">
        <f aca="false">IF($A205="","",VLOOKUP($A204,Table,MATCH(AD$4,Curves,0)))</f>
        <v/>
      </c>
      <c r="AE204" s="185" t="e">
        <f aca="false">SQRT((AD204^2*(A204-$D$3)+AC204^2*(DAY(EOMONTH(A204,0))/2))/AK204)</f>
        <v>#VALUE!</v>
      </c>
      <c r="AF204" s="206" t="e">
        <f aca="false">((Summary!$N$12*(AA204*AD204)*(A204-$D$3))+(Summary!$M$12*Z204*AC204*(AJ204-EOMONTH(EDATE(A204,-1),0))))/(AK204*AB204*AE204)</f>
        <v>#VALUE!</v>
      </c>
      <c r="AG204" s="207" t="str">
        <f aca="false">IF($A205="","",Summary!$Q$12)</f>
        <v/>
      </c>
      <c r="AH204" s="207" t="str">
        <f aca="false">IF($A205="","",IF(Summary!$R$12="Y",(VLOOKUP($A204,Summary!$AD$6:$AF$9,3)+'Escalating commodity'!H217),'Escalating commodity'!H217))</f>
        <v/>
      </c>
      <c r="AI204" s="207" t="str">
        <f aca="false">IF($A205="","",AH204)</f>
        <v/>
      </c>
      <c r="AJ204" s="208" t="e">
        <f aca="false">A204+DAY(EOMONTH(A204,0))/2-1</f>
        <v>#VALUE!</v>
      </c>
      <c r="AK204" s="209" t="str">
        <f aca="false">IF($A205="","",$A204-$E$1)</f>
        <v/>
      </c>
      <c r="AL204" s="182" t="str">
        <f aca="false">IF($A205="","",SPRDOPT(P204,X204,AI204,0,AB204,AE204,AF204,AK204,$AJ$2,0))</f>
        <v/>
      </c>
      <c r="AM204" s="211" t="str">
        <f aca="false">IF($A205="","",MAX(0,O204-W204-AI204))</f>
        <v/>
      </c>
      <c r="AN204" s="211" t="str">
        <f aca="false">IF($A205="","",AL204-AM204)</f>
        <v/>
      </c>
      <c r="AO204" s="137" t="str">
        <f aca="false">IF(A205="","",A205-A204)</f>
        <v/>
      </c>
      <c r="AP204" s="212" t="str">
        <f aca="false">IF(A205="","",CHOOSE(F$3,A205+24,A204))</f>
        <v/>
      </c>
      <c r="AQ204" s="209" t="str">
        <f aca="false">IF(A205="","",AP204-$E$1)</f>
        <v/>
      </c>
      <c r="AR204" s="185" t="n">
        <f aca="false">'ANR OK vs ML7'!AR204</f>
        <v>0.1</v>
      </c>
      <c r="AS204" s="213" t="str">
        <f aca="false">IF(A205="","",1/(1+CHOOSE(F$3,(AR205+($I$3/10000))/2,(AR204+($I$3/10000))/2))^(2*AQ204/365.25))</f>
        <v/>
      </c>
      <c r="AT204" s="137" t="str">
        <f aca="false">IF(A205="","",IF(AND(mthbeg&lt;=A204,mthend&gt;=A204),1,0))</f>
        <v/>
      </c>
      <c r="AU204" s="137" t="str">
        <f aca="false">IF(A205="","",AO204*AT204)</f>
        <v/>
      </c>
      <c r="AW204" s="195" t="str">
        <f aca="false">IF($A205="","",AL204*$E204)</f>
        <v/>
      </c>
      <c r="AX204" s="195" t="str">
        <f aca="false">IF($A205="","",AM204*$E204)</f>
        <v/>
      </c>
      <c r="AY204" s="195" t="str">
        <f aca="false">IF($A205="","",AN204*$E204)</f>
        <v/>
      </c>
      <c r="BA204" s="195" t="str">
        <f aca="false">IF($A205="","",F204*Summary!$Q$12)</f>
        <v/>
      </c>
    </row>
    <row r="205" customFormat="false" ht="12" hidden="false" customHeight="true" outlineLevel="0" collapsed="false">
      <c r="A205" s="196" t="str">
        <f aca="false">IF(A204&lt;mthend,EDATE(A204,1),"")</f>
        <v/>
      </c>
      <c r="B205" s="197" t="str">
        <f aca="false">IF(A205&lt;mthend,B204,"")</f>
        <v/>
      </c>
      <c r="C205" s="215"/>
      <c r="D205" s="197" t="str">
        <f aca="false">IF(A206&lt;&gt;"",B205+C205,"")</f>
        <v/>
      </c>
      <c r="E205" s="199" t="str">
        <f aca="false">IF(A206="","",IF(AND(AT205=1,$H$3=1),D205*AO205,IF($H$3=2,D205,"N/A")))</f>
        <v/>
      </c>
      <c r="F205" s="199" t="str">
        <f aca="false">IF(A206="","",E205*AS205)</f>
        <v/>
      </c>
      <c r="G205" s="200" t="str">
        <f aca="false">IF($A206="","",VLOOKUP($A205,Table,MATCH(G$4,Curves,0)))</f>
        <v/>
      </c>
      <c r="H205" s="201" t="str">
        <f aca="false">IF(A206="","",G205)</f>
        <v/>
      </c>
      <c r="I205" s="202"/>
      <c r="J205" s="200" t="str">
        <f aca="false">IF($A206="","",VLOOKUP($A205,Table,MATCH(J$4,Curves,0)))</f>
        <v/>
      </c>
      <c r="K205" s="201" t="str">
        <f aca="false">IF(A206="","",J205)</f>
        <v/>
      </c>
      <c r="L205" s="200" t="str">
        <f aca="false">IF($A206="","",VLOOKUP($A205,Table,MATCH(L$4,Curves,0)))</f>
        <v/>
      </c>
      <c r="M205" s="201" t="str">
        <f aca="false">IF(A206="","",L205)</f>
        <v/>
      </c>
      <c r="N205" s="203"/>
      <c r="O205" s="200" t="str">
        <f aca="false">IF(A206="","",L205+J205+G205)</f>
        <v/>
      </c>
      <c r="P205" s="200" t="str">
        <f aca="false">IF(A206="","",M205+K205+H205)</f>
        <v/>
      </c>
      <c r="Q205" s="204"/>
      <c r="R205" s="200" t="str">
        <f aca="false">IF($A206="","",VLOOKUP($A205,Table,MATCH(R$4,Curves,0)))</f>
        <v/>
      </c>
      <c r="S205" s="201" t="str">
        <f aca="false">IF(A206="","",R205)</f>
        <v/>
      </c>
      <c r="T205" s="200" t="str">
        <f aca="false">IF($A206="","",VLOOKUP($A205,Table,MATCH(T$4,Curves,0)))</f>
        <v/>
      </c>
      <c r="U205" s="201" t="str">
        <f aca="false">IF(A206="","",T205)</f>
        <v/>
      </c>
      <c r="V205" s="225" t="str">
        <f aca="false">IF($A206="","",IF(AND(MONTH(A205)&gt;3,MONTH(A205)&lt;11),(T205+R205+G205)*(((1/(1-Summary!$T$12))/(1-Summary!$W$12))-1),(T205+R205+G205)*((1/(1-Summary!$U$12))/(1-Summary!$X$12)-1)))</f>
        <v/>
      </c>
      <c r="W205" s="200" t="str">
        <f aca="false">IF($A206="","",(T205+R205+G205+V205))</f>
        <v/>
      </c>
      <c r="X205" s="200" t="str">
        <f aca="false">IF($A206="","",(U205+S205+H205+V205))</f>
        <v/>
      </c>
      <c r="Y205" s="202"/>
      <c r="Z205" s="185" t="str">
        <f aca="false">IF($A206="","",VLOOKUP($A205,Table,MATCH(Z$4,Curves,0)))</f>
        <v/>
      </c>
      <c r="AA205" s="185" t="str">
        <f aca="false">IF($A206="","",VLOOKUP($A205,Table,MATCH(AA$4,Curves,0)))</f>
        <v/>
      </c>
      <c r="AB205" s="185" t="e">
        <f aca="false">SQRT((AA205^2*(A205-$D$3)+Z205^2*(DAY(EOMONTH(A205,0))/2))/AK205)</f>
        <v>#VALUE!</v>
      </c>
      <c r="AC205" s="185" t="str">
        <f aca="false">IF($A206="","",VLOOKUP($A205,Table,MATCH(AC$4,Curves,0)))</f>
        <v/>
      </c>
      <c r="AD205" s="185" t="str">
        <f aca="false">IF($A206="","",VLOOKUP($A205,Table,MATCH(AD$4,Curves,0)))</f>
        <v/>
      </c>
      <c r="AE205" s="185" t="e">
        <f aca="false">SQRT((AD205^2*(A205-$D$3)+AC205^2*(DAY(EOMONTH(A205,0))/2))/AK205)</f>
        <v>#VALUE!</v>
      </c>
      <c r="AF205" s="206" t="e">
        <f aca="false">((Summary!$N$12*(AA205*AD205)*(A205-$D$3))+(Summary!$M$12*Z205*AC205*(AJ205-EOMONTH(EDATE(A205,-1),0))))/(AK205*AB205*AE205)</f>
        <v>#VALUE!</v>
      </c>
      <c r="AG205" s="207" t="str">
        <f aca="false">IF($A206="","",Summary!$Q$12)</f>
        <v/>
      </c>
      <c r="AH205" s="207" t="str">
        <f aca="false">IF($A206="","",IF(Summary!$R$12="Y",(VLOOKUP($A205,Summary!$AD$6:$AF$9,3)+'Escalating commodity'!H218),'Escalating commodity'!H218))</f>
        <v/>
      </c>
      <c r="AI205" s="207" t="str">
        <f aca="false">IF($A206="","",AH205)</f>
        <v/>
      </c>
      <c r="AJ205" s="208" t="e">
        <f aca="false">A205+DAY(EOMONTH(A205,0))/2-1</f>
        <v>#VALUE!</v>
      </c>
      <c r="AK205" s="209" t="str">
        <f aca="false">IF($A206="","",$A205-$E$1)</f>
        <v/>
      </c>
      <c r="AL205" s="182" t="str">
        <f aca="false">IF($A206="","",SPRDOPT(P205,X205,AI205,0,AB205,AE205,AF205,AK205,$AJ$2,0))</f>
        <v/>
      </c>
      <c r="AM205" s="211" t="str">
        <f aca="false">IF($A206="","",MAX(0,O205-W205-AI205))</f>
        <v/>
      </c>
      <c r="AN205" s="211" t="str">
        <f aca="false">IF($A206="","",AL205-AM205)</f>
        <v/>
      </c>
      <c r="AO205" s="137" t="str">
        <f aca="false">IF(A206="","",A206-A205)</f>
        <v/>
      </c>
      <c r="AP205" s="212" t="str">
        <f aca="false">IF(A206="","",CHOOSE(F$3,A206+24,A205))</f>
        <v/>
      </c>
      <c r="AQ205" s="209" t="str">
        <f aca="false">IF(A206="","",AP205-$E$1)</f>
        <v/>
      </c>
      <c r="AR205" s="185" t="n">
        <f aca="false">'ANR OK vs ML7'!AR205</f>
        <v>0.1</v>
      </c>
      <c r="AS205" s="213" t="str">
        <f aca="false">IF(A206="","",1/(1+CHOOSE(F$3,(AR206+($I$3/10000))/2,(AR205+($I$3/10000))/2))^(2*AQ205/365.25))</f>
        <v/>
      </c>
      <c r="AT205" s="137" t="str">
        <f aca="false">IF(A206="","",IF(AND(mthbeg&lt;=A205,mthend&gt;=A205),1,0))</f>
        <v/>
      </c>
      <c r="AU205" s="137" t="str">
        <f aca="false">IF(A206="","",AO205*AT205)</f>
        <v/>
      </c>
      <c r="AW205" s="195" t="str">
        <f aca="false">IF($A206="","",AL205*$E205)</f>
        <v/>
      </c>
      <c r="AX205" s="195" t="str">
        <f aca="false">IF($A206="","",AM205*$E205)</f>
        <v/>
      </c>
      <c r="AY205" s="195" t="str">
        <f aca="false">IF($A206="","",AN205*$E205)</f>
        <v/>
      </c>
      <c r="BA205" s="195" t="str">
        <f aca="false">IF($A206="","",F205*Summary!$Q$12)</f>
        <v/>
      </c>
    </row>
    <row r="206" customFormat="false" ht="12" hidden="false" customHeight="true" outlineLevel="0" collapsed="false">
      <c r="A206" s="196" t="str">
        <f aca="false">IF(A205&lt;mthend,EDATE(A205,1),"")</f>
        <v/>
      </c>
      <c r="B206" s="197" t="str">
        <f aca="false">IF(A206&lt;mthend,B205,"")</f>
        <v/>
      </c>
      <c r="C206" s="215"/>
      <c r="D206" s="197" t="str">
        <f aca="false">IF(A207&lt;&gt;"",B206+C206,"")</f>
        <v/>
      </c>
      <c r="E206" s="199" t="str">
        <f aca="false">IF(A207="","",IF(AND(AT206=1,$H$3=1),D206*AO206,IF($H$3=2,D206,"N/A")))</f>
        <v/>
      </c>
      <c r="F206" s="199" t="str">
        <f aca="false">IF(A207="","",E206*AS206)</f>
        <v/>
      </c>
      <c r="G206" s="200" t="str">
        <f aca="false">IF($A207="","",VLOOKUP($A206,Table,MATCH(G$4,Curves,0)))</f>
        <v/>
      </c>
      <c r="H206" s="201" t="str">
        <f aca="false">IF(A207="","",G206)</f>
        <v/>
      </c>
      <c r="I206" s="202"/>
      <c r="J206" s="200" t="str">
        <f aca="false">IF($A207="","",VLOOKUP($A206,Table,MATCH(J$4,Curves,0)))</f>
        <v/>
      </c>
      <c r="K206" s="201" t="str">
        <f aca="false">IF(A207="","",J206)</f>
        <v/>
      </c>
      <c r="L206" s="200" t="str">
        <f aca="false">IF($A207="","",VLOOKUP($A206,Table,MATCH(L$4,Curves,0)))</f>
        <v/>
      </c>
      <c r="M206" s="201" t="str">
        <f aca="false">IF(A207="","",L206)</f>
        <v/>
      </c>
      <c r="N206" s="203"/>
      <c r="O206" s="200" t="str">
        <f aca="false">IF(A207="","",L206+J206+G206)</f>
        <v/>
      </c>
      <c r="P206" s="200" t="str">
        <f aca="false">IF(A207="","",M206+K206+H206)</f>
        <v/>
      </c>
      <c r="Q206" s="204"/>
      <c r="R206" s="200" t="str">
        <f aca="false">IF($A207="","",VLOOKUP($A206,Table,MATCH(R$4,Curves,0)))</f>
        <v/>
      </c>
      <c r="S206" s="201" t="str">
        <f aca="false">IF(A207="","",R206)</f>
        <v/>
      </c>
      <c r="T206" s="200" t="str">
        <f aca="false">IF($A207="","",VLOOKUP($A206,Table,MATCH(T$4,Curves,0)))</f>
        <v/>
      </c>
      <c r="U206" s="201" t="str">
        <f aca="false">IF(A207="","",T206)</f>
        <v/>
      </c>
      <c r="V206" s="225" t="str">
        <f aca="false">IF($A207="","",IF(AND(MONTH(A206)&gt;3,MONTH(A206)&lt;11),(T206+R206+G206)*(((1/(1-Summary!$T$12))/(1-Summary!$W$12))-1),(T206+R206+G206)*((1/(1-Summary!$U$12))/(1-Summary!$X$12)-1)))</f>
        <v/>
      </c>
      <c r="W206" s="200" t="str">
        <f aca="false">IF($A207="","",(T206+R206+G206+V206))</f>
        <v/>
      </c>
      <c r="X206" s="200" t="str">
        <f aca="false">IF($A207="","",(U206+S206+H206+V206))</f>
        <v/>
      </c>
      <c r="Y206" s="202"/>
      <c r="Z206" s="185" t="str">
        <f aca="false">IF($A207="","",VLOOKUP($A206,Table,MATCH(Z$4,Curves,0)))</f>
        <v/>
      </c>
      <c r="AA206" s="185" t="str">
        <f aca="false">IF($A207="","",VLOOKUP($A206,Table,MATCH(AA$4,Curves,0)))</f>
        <v/>
      </c>
      <c r="AB206" s="185" t="e">
        <f aca="false">SQRT((AA206^2*(A206-$D$3)+Z206^2*(DAY(EOMONTH(A206,0))/2))/AK206)</f>
        <v>#VALUE!</v>
      </c>
      <c r="AC206" s="185" t="str">
        <f aca="false">IF($A207="","",VLOOKUP($A206,Table,MATCH(AC$4,Curves,0)))</f>
        <v/>
      </c>
      <c r="AD206" s="185" t="str">
        <f aca="false">IF($A207="","",VLOOKUP($A206,Table,MATCH(AD$4,Curves,0)))</f>
        <v/>
      </c>
      <c r="AE206" s="185" t="e">
        <f aca="false">SQRT((AD206^2*(A206-$D$3)+AC206^2*(DAY(EOMONTH(A206,0))/2))/AK206)</f>
        <v>#VALUE!</v>
      </c>
      <c r="AF206" s="206" t="e">
        <f aca="false">((Summary!$N$12*(AA206*AD206)*(A206-$D$3))+(Summary!$M$12*Z206*AC206*(AJ206-EOMONTH(EDATE(A206,-1),0))))/(AK206*AB206*AE206)</f>
        <v>#VALUE!</v>
      </c>
      <c r="AG206" s="207" t="str">
        <f aca="false">IF($A207="","",Summary!$Q$12)</f>
        <v/>
      </c>
      <c r="AH206" s="207" t="str">
        <f aca="false">IF($A207="","",IF(Summary!$R$12="Y",(VLOOKUP($A206,Summary!$AD$6:$AF$9,3)+'Escalating commodity'!H219),'Escalating commodity'!H219))</f>
        <v/>
      </c>
      <c r="AI206" s="207" t="str">
        <f aca="false">IF($A207="","",AH206)</f>
        <v/>
      </c>
      <c r="AJ206" s="208" t="e">
        <f aca="false">A206+DAY(EOMONTH(A206,0))/2-1</f>
        <v>#VALUE!</v>
      </c>
      <c r="AK206" s="209" t="str">
        <f aca="false">IF($A207="","",$A206-$E$1)</f>
        <v/>
      </c>
      <c r="AL206" s="182" t="str">
        <f aca="false">IF($A207="","",SPRDOPT(P206,X206,AI206,0,AB206,AE206,AF206,AK206,$AJ$2,0))</f>
        <v/>
      </c>
      <c r="AM206" s="211" t="str">
        <f aca="false">IF($A207="","",MAX(0,O206-W206-AI206))</f>
        <v/>
      </c>
      <c r="AN206" s="211" t="str">
        <f aca="false">IF($A207="","",AL206-AM206)</f>
        <v/>
      </c>
      <c r="AO206" s="137" t="str">
        <f aca="false">IF(A207="","",A207-A206)</f>
        <v/>
      </c>
      <c r="AP206" s="212" t="str">
        <f aca="false">IF(A207="","",CHOOSE(F$3,A207+24,A206))</f>
        <v/>
      </c>
      <c r="AQ206" s="209" t="str">
        <f aca="false">IF(A207="","",AP206-$E$1)</f>
        <v/>
      </c>
      <c r="AR206" s="185" t="n">
        <f aca="false">'ANR OK vs ML7'!AR206</f>
        <v>0.1</v>
      </c>
      <c r="AS206" s="213" t="str">
        <f aca="false">IF(A207="","",1/(1+CHOOSE(F$3,(AR207+($I$3/10000))/2,(AR206+($I$3/10000))/2))^(2*AQ206/365.25))</f>
        <v/>
      </c>
      <c r="AT206" s="137" t="str">
        <f aca="false">IF(A207="","",IF(AND(mthbeg&lt;=A206,mthend&gt;=A206),1,0))</f>
        <v/>
      </c>
      <c r="AU206" s="137" t="str">
        <f aca="false">IF(A207="","",AO206*AT206)</f>
        <v/>
      </c>
      <c r="AW206" s="195" t="str">
        <f aca="false">IF($A207="","",AL206*$E206)</f>
        <v/>
      </c>
      <c r="AX206" s="195" t="str">
        <f aca="false">IF($A207="","",AM206*$E206)</f>
        <v/>
      </c>
      <c r="AY206" s="195" t="str">
        <f aca="false">IF($A207="","",AN206*$E206)</f>
        <v/>
      </c>
      <c r="BA206" s="195" t="str">
        <f aca="false">IF($A207="","",F206*Summary!$Q$12)</f>
        <v/>
      </c>
    </row>
    <row r="207" customFormat="false" ht="12" hidden="false" customHeight="true" outlineLevel="0" collapsed="false">
      <c r="A207" s="196" t="str">
        <f aca="false">IF(A206&lt;mthend,EDATE(A206,1),"")</f>
        <v/>
      </c>
      <c r="B207" s="197" t="str">
        <f aca="false">IF(A207&lt;mthend,B206,"")</f>
        <v/>
      </c>
      <c r="C207" s="215"/>
      <c r="D207" s="197" t="str">
        <f aca="false">IF(A208&lt;&gt;"",B207+C207,"")</f>
        <v/>
      </c>
      <c r="E207" s="199" t="str">
        <f aca="false">IF(A208="","",IF(AND(AT207=1,$H$3=1),D207*AO207,IF($H$3=2,D207,"N/A")))</f>
        <v/>
      </c>
      <c r="F207" s="199" t="str">
        <f aca="false">IF(A208="","",E207*AS207)</f>
        <v/>
      </c>
      <c r="G207" s="200" t="str">
        <f aca="false">IF($A208="","",VLOOKUP($A207,Table,MATCH(G$4,Curves,0)))</f>
        <v/>
      </c>
      <c r="H207" s="201" t="str">
        <f aca="false">IF(A208="","",G207)</f>
        <v/>
      </c>
      <c r="I207" s="202"/>
      <c r="J207" s="200" t="str">
        <f aca="false">IF($A208="","",VLOOKUP($A207,Table,MATCH(J$4,Curves,0)))</f>
        <v/>
      </c>
      <c r="K207" s="201" t="str">
        <f aca="false">IF(A208="","",J207)</f>
        <v/>
      </c>
      <c r="L207" s="200" t="str">
        <f aca="false">IF($A208="","",VLOOKUP($A207,Table,MATCH(L$4,Curves,0)))</f>
        <v/>
      </c>
      <c r="M207" s="201" t="str">
        <f aca="false">IF(A208="","",L207)</f>
        <v/>
      </c>
      <c r="N207" s="203"/>
      <c r="O207" s="200" t="str">
        <f aca="false">IF(A208="","",L207+J207+G207)</f>
        <v/>
      </c>
      <c r="P207" s="200" t="str">
        <f aca="false">IF(A208="","",M207+K207+H207)</f>
        <v/>
      </c>
      <c r="Q207" s="204"/>
      <c r="R207" s="200" t="str">
        <f aca="false">IF($A208="","",VLOOKUP($A207,Table,MATCH(R$4,Curves,0)))</f>
        <v/>
      </c>
      <c r="S207" s="201" t="str">
        <f aca="false">IF(A208="","",R207)</f>
        <v/>
      </c>
      <c r="T207" s="200" t="str">
        <f aca="false">IF($A208="","",VLOOKUP($A207,Table,MATCH(T$4,Curves,0)))</f>
        <v/>
      </c>
      <c r="U207" s="201" t="str">
        <f aca="false">IF(A208="","",T207)</f>
        <v/>
      </c>
      <c r="V207" s="225" t="str">
        <f aca="false">IF($A208="","",IF(AND(MONTH(A207)&gt;3,MONTH(A207)&lt;11),(T207+R207+G207)*(((1/(1-Summary!$T$12))/(1-Summary!$W$12))-1),(T207+R207+G207)*((1/(1-Summary!$U$12))/(1-Summary!$X$12)-1)))</f>
        <v/>
      </c>
      <c r="W207" s="200" t="str">
        <f aca="false">IF($A208="","",(T207+R207+G207+V207))</f>
        <v/>
      </c>
      <c r="X207" s="200" t="str">
        <f aca="false">IF($A208="","",(U207+S207+H207+V207))</f>
        <v/>
      </c>
      <c r="Y207" s="202"/>
      <c r="Z207" s="185" t="str">
        <f aca="false">IF($A208="","",VLOOKUP($A207,Table,MATCH(Z$4,Curves,0)))</f>
        <v/>
      </c>
      <c r="AA207" s="185" t="str">
        <f aca="false">IF($A208="","",VLOOKUP($A207,Table,MATCH(AA$4,Curves,0)))</f>
        <v/>
      </c>
      <c r="AB207" s="185" t="e">
        <f aca="false">SQRT((AA207^2*(A207-$D$3)+Z207^2*(DAY(EOMONTH(A207,0))/2))/AK207)</f>
        <v>#VALUE!</v>
      </c>
      <c r="AC207" s="185" t="str">
        <f aca="false">IF($A208="","",VLOOKUP($A207,Table,MATCH(AC$4,Curves,0)))</f>
        <v/>
      </c>
      <c r="AD207" s="185" t="str">
        <f aca="false">IF($A208="","",VLOOKUP($A207,Table,MATCH(AD$4,Curves,0)))</f>
        <v/>
      </c>
      <c r="AE207" s="185" t="e">
        <f aca="false">SQRT((AD207^2*(A207-$D$3)+AC207^2*(DAY(EOMONTH(A207,0))/2))/AK207)</f>
        <v>#VALUE!</v>
      </c>
      <c r="AF207" s="206" t="e">
        <f aca="false">((Summary!$N$12*(AA207*AD207)*(A207-$D$3))+(Summary!$M$12*Z207*AC207*(AJ207-EOMONTH(EDATE(A207,-1),0))))/(AK207*AB207*AE207)</f>
        <v>#VALUE!</v>
      </c>
      <c r="AG207" s="207" t="str">
        <f aca="false">IF($A208="","",Summary!$Q$12)</f>
        <v/>
      </c>
      <c r="AH207" s="207" t="str">
        <f aca="false">IF($A208="","",IF(Summary!$R$12="Y",(VLOOKUP($A207,Summary!$AD$6:$AF$9,3)+'Escalating commodity'!H220),'Escalating commodity'!H220))</f>
        <v/>
      </c>
      <c r="AI207" s="207" t="str">
        <f aca="false">IF($A208="","",AH207)</f>
        <v/>
      </c>
      <c r="AJ207" s="208" t="e">
        <f aca="false">A207+DAY(EOMONTH(A207,0))/2-1</f>
        <v>#VALUE!</v>
      </c>
      <c r="AK207" s="209" t="str">
        <f aca="false">IF($A208="","",$A207-$E$1)</f>
        <v/>
      </c>
      <c r="AL207" s="182" t="str">
        <f aca="false">IF($A208="","",SPRDOPT(P207,X207,AI207,0,AB207,AE207,AF207,AK207,$AJ$2,0))</f>
        <v/>
      </c>
      <c r="AM207" s="211" t="str">
        <f aca="false">IF($A208="","",MAX(0,O207-W207-AI207))</f>
        <v/>
      </c>
      <c r="AN207" s="211" t="str">
        <f aca="false">IF($A208="","",AL207-AM207)</f>
        <v/>
      </c>
      <c r="AO207" s="137" t="str">
        <f aca="false">IF(A208="","",A208-A207)</f>
        <v/>
      </c>
      <c r="AP207" s="212" t="str">
        <f aca="false">IF(A208="","",CHOOSE(F$3,A208+24,A207))</f>
        <v/>
      </c>
      <c r="AQ207" s="209" t="str">
        <f aca="false">IF(A208="","",AP207-$E$1)</f>
        <v/>
      </c>
      <c r="AR207" s="185" t="n">
        <f aca="false">'ANR OK vs ML7'!AR207</f>
        <v>0.1</v>
      </c>
      <c r="AS207" s="213" t="str">
        <f aca="false">IF(A208="","",1/(1+CHOOSE(F$3,(AR208+($I$3/10000))/2,(AR207+($I$3/10000))/2))^(2*AQ207/365.25))</f>
        <v/>
      </c>
      <c r="AT207" s="137" t="str">
        <f aca="false">IF(A208="","",IF(AND(mthbeg&lt;=A207,mthend&gt;=A207),1,0))</f>
        <v/>
      </c>
      <c r="AU207" s="137" t="str">
        <f aca="false">IF(A208="","",AO207*AT207)</f>
        <v/>
      </c>
      <c r="AW207" s="195" t="str">
        <f aca="false">IF($A208="","",AL207*$E207)</f>
        <v/>
      </c>
      <c r="AX207" s="195" t="str">
        <f aca="false">IF($A208="","",AM207*$E207)</f>
        <v/>
      </c>
      <c r="AY207" s="195" t="str">
        <f aca="false">IF($A208="","",AN207*$E207)</f>
        <v/>
      </c>
      <c r="BA207" s="195" t="str">
        <f aca="false">IF($A208="","",F207*Summary!$Q$12)</f>
        <v/>
      </c>
    </row>
    <row r="208" customFormat="false" ht="12" hidden="false" customHeight="true" outlineLevel="0" collapsed="false">
      <c r="A208" s="196" t="str">
        <f aca="false">IF(A207&lt;mthend,EDATE(A207,1),"")</f>
        <v/>
      </c>
      <c r="B208" s="197" t="str">
        <f aca="false">IF(A208&lt;mthend,B207,"")</f>
        <v/>
      </c>
      <c r="C208" s="215"/>
      <c r="D208" s="197" t="str">
        <f aca="false">IF(A209&lt;&gt;"",B208+C208,"")</f>
        <v/>
      </c>
      <c r="E208" s="199" t="str">
        <f aca="false">IF(A209="","",IF(AND(AT208=1,$H$3=1),D208*AO208,IF($H$3=2,D208,"N/A")))</f>
        <v/>
      </c>
      <c r="F208" s="199" t="str">
        <f aca="false">IF(A209="","",E208*AS208)</f>
        <v/>
      </c>
      <c r="G208" s="200" t="str">
        <f aca="false">IF($A209="","",VLOOKUP($A208,Table,MATCH(G$4,Curves,0)))</f>
        <v/>
      </c>
      <c r="H208" s="201" t="str">
        <f aca="false">IF(A209="","",G208)</f>
        <v/>
      </c>
      <c r="I208" s="202"/>
      <c r="J208" s="200" t="str">
        <f aca="false">IF($A209="","",VLOOKUP($A208,Table,MATCH(J$4,Curves,0)))</f>
        <v/>
      </c>
      <c r="K208" s="201" t="str">
        <f aca="false">IF(A209="","",J208)</f>
        <v/>
      </c>
      <c r="L208" s="200" t="str">
        <f aca="false">IF($A209="","",VLOOKUP($A208,Table,MATCH(L$4,Curves,0)))</f>
        <v/>
      </c>
      <c r="M208" s="201" t="str">
        <f aca="false">IF(A209="","",L208)</f>
        <v/>
      </c>
      <c r="N208" s="203"/>
      <c r="O208" s="200" t="str">
        <f aca="false">IF(A209="","",L208+J208+G208)</f>
        <v/>
      </c>
      <c r="P208" s="200" t="str">
        <f aca="false">IF(A209="","",M208+K208+H208)</f>
        <v/>
      </c>
      <c r="Q208" s="204"/>
      <c r="R208" s="200" t="str">
        <f aca="false">IF($A209="","",VLOOKUP($A208,Table,MATCH(R$4,Curves,0)))</f>
        <v/>
      </c>
      <c r="S208" s="201" t="str">
        <f aca="false">IF(A209="","",R208)</f>
        <v/>
      </c>
      <c r="T208" s="200" t="str">
        <f aca="false">IF($A209="","",VLOOKUP($A208,Table,MATCH(T$4,Curves,0)))</f>
        <v/>
      </c>
      <c r="U208" s="201" t="str">
        <f aca="false">IF(A209="","",T208)</f>
        <v/>
      </c>
      <c r="V208" s="225" t="str">
        <f aca="false">IF($A209="","",IF(AND(MONTH(A208)&gt;3,MONTH(A208)&lt;11),(T208+R208+G208)*(((1/(1-Summary!$T$12))/(1-Summary!$W$12))-1),(T208+R208+G208)*((1/(1-Summary!$U$12))/(1-Summary!$X$12)-1)))</f>
        <v/>
      </c>
      <c r="W208" s="200" t="str">
        <f aca="false">IF($A209="","",(T208+R208+G208+V208))</f>
        <v/>
      </c>
      <c r="X208" s="200" t="str">
        <f aca="false">IF($A209="","",(U208+S208+H208+V208))</f>
        <v/>
      </c>
      <c r="Y208" s="202"/>
      <c r="Z208" s="185" t="str">
        <f aca="false">IF($A209="","",VLOOKUP($A208,Table,MATCH(Z$4,Curves,0)))</f>
        <v/>
      </c>
      <c r="AA208" s="185" t="str">
        <f aca="false">IF($A209="","",VLOOKUP($A208,Table,MATCH(AA$4,Curves,0)))</f>
        <v/>
      </c>
      <c r="AB208" s="185" t="e">
        <f aca="false">SQRT((AA208^2*(A208-$D$3)+Z208^2*(DAY(EOMONTH(A208,0))/2))/AK208)</f>
        <v>#VALUE!</v>
      </c>
      <c r="AC208" s="185" t="str">
        <f aca="false">IF($A209="","",VLOOKUP($A208,Table,MATCH(AC$4,Curves,0)))</f>
        <v/>
      </c>
      <c r="AD208" s="185" t="str">
        <f aca="false">IF($A209="","",VLOOKUP($A208,Table,MATCH(AD$4,Curves,0)))</f>
        <v/>
      </c>
      <c r="AE208" s="185" t="e">
        <f aca="false">SQRT((AD208^2*(A208-$D$3)+AC208^2*(DAY(EOMONTH(A208,0))/2))/AK208)</f>
        <v>#VALUE!</v>
      </c>
      <c r="AF208" s="206" t="e">
        <f aca="false">((Summary!$N$12*(AA208*AD208)*(A208-$D$3))+(Summary!$M$12*Z208*AC208*(AJ208-EOMONTH(EDATE(A208,-1),0))))/(AK208*AB208*AE208)</f>
        <v>#VALUE!</v>
      </c>
      <c r="AG208" s="207" t="str">
        <f aca="false">IF($A209="","",Summary!$Q$12)</f>
        <v/>
      </c>
      <c r="AH208" s="207" t="str">
        <f aca="false">IF($A209="","",IF(Summary!$R$12="Y",(VLOOKUP($A208,Summary!$AD$6:$AF$9,3)+'Escalating commodity'!H221),'Escalating commodity'!H221))</f>
        <v/>
      </c>
      <c r="AI208" s="207" t="str">
        <f aca="false">IF($A209="","",AH208)</f>
        <v/>
      </c>
      <c r="AJ208" s="208" t="e">
        <f aca="false">A208+DAY(EOMONTH(A208,0))/2-1</f>
        <v>#VALUE!</v>
      </c>
      <c r="AK208" s="209" t="str">
        <f aca="false">IF($A209="","",$A208-$E$1)</f>
        <v/>
      </c>
      <c r="AL208" s="182" t="str">
        <f aca="false">IF($A209="","",SPRDOPT(P208,X208,AI208,0,AB208,AE208,AF208,AK208,$AJ$2,0))</f>
        <v/>
      </c>
      <c r="AM208" s="211" t="str">
        <f aca="false">IF($A209="","",MAX(0,O208-W208-AI208))</f>
        <v/>
      </c>
      <c r="AN208" s="211" t="str">
        <f aca="false">IF($A209="","",AL208-AM208)</f>
        <v/>
      </c>
      <c r="AO208" s="137" t="str">
        <f aca="false">IF(A209="","",A209-A208)</f>
        <v/>
      </c>
      <c r="AP208" s="212" t="str">
        <f aca="false">IF(A209="","",CHOOSE(F$3,A209+24,A208))</f>
        <v/>
      </c>
      <c r="AQ208" s="209" t="str">
        <f aca="false">IF(A209="","",AP208-$E$1)</f>
        <v/>
      </c>
      <c r="AR208" s="185" t="n">
        <f aca="false">'ANR OK vs ML7'!AR208</f>
        <v>0.1</v>
      </c>
      <c r="AS208" s="213" t="str">
        <f aca="false">IF(A209="","",1/(1+CHOOSE(F$3,(AR209+($I$3/10000))/2,(AR208+($I$3/10000))/2))^(2*AQ208/365.25))</f>
        <v/>
      </c>
      <c r="AT208" s="137" t="str">
        <f aca="false">IF(A209="","",IF(AND(mthbeg&lt;=A208,mthend&gt;=A208),1,0))</f>
        <v/>
      </c>
      <c r="AU208" s="137" t="str">
        <f aca="false">IF(A209="","",AO208*AT208)</f>
        <v/>
      </c>
      <c r="AW208" s="195" t="str">
        <f aca="false">IF($A209="","",AL208*$E208)</f>
        <v/>
      </c>
      <c r="AX208" s="195" t="str">
        <f aca="false">IF($A209="","",AM208*$E208)</f>
        <v/>
      </c>
      <c r="AY208" s="195" t="str">
        <f aca="false">IF($A209="","",AN208*$E208)</f>
        <v/>
      </c>
      <c r="BA208" s="195" t="str">
        <f aca="false">IF($A209="","",F208*Summary!$Q$12)</f>
        <v/>
      </c>
    </row>
    <row r="209" customFormat="false" ht="12" hidden="false" customHeight="true" outlineLevel="0" collapsed="false">
      <c r="A209" s="196" t="str">
        <f aca="false">IF(A208&lt;mthend,EDATE(A208,1),"")</f>
        <v/>
      </c>
      <c r="B209" s="197" t="str">
        <f aca="false">IF(A209&lt;mthend,B208,"")</f>
        <v/>
      </c>
      <c r="C209" s="215"/>
      <c r="D209" s="197" t="str">
        <f aca="false">IF(A210&lt;&gt;"",B209+C209,"")</f>
        <v/>
      </c>
      <c r="E209" s="199" t="str">
        <f aca="false">IF(A210="","",IF(AND(AT209=1,$H$3=1),D209*AO209,IF($H$3=2,D209,"N/A")))</f>
        <v/>
      </c>
      <c r="F209" s="199" t="str">
        <f aca="false">IF(A210="","",E209*AS209)</f>
        <v/>
      </c>
      <c r="G209" s="200" t="str">
        <f aca="false">IF($A210="","",VLOOKUP($A209,Table,MATCH(G$4,Curves,0)))</f>
        <v/>
      </c>
      <c r="H209" s="201" t="str">
        <f aca="false">IF(A210="","",G209)</f>
        <v/>
      </c>
      <c r="I209" s="202"/>
      <c r="J209" s="200" t="str">
        <f aca="false">IF($A210="","",VLOOKUP($A209,Table,MATCH(J$4,Curves,0)))</f>
        <v/>
      </c>
      <c r="K209" s="201" t="str">
        <f aca="false">IF(A210="","",J209)</f>
        <v/>
      </c>
      <c r="L209" s="200" t="str">
        <f aca="false">IF($A210="","",VLOOKUP($A209,Table,MATCH(L$4,Curves,0)))</f>
        <v/>
      </c>
      <c r="M209" s="201" t="str">
        <f aca="false">IF(A210="","",L209)</f>
        <v/>
      </c>
      <c r="N209" s="203"/>
      <c r="O209" s="200" t="str">
        <f aca="false">IF(A210="","",L209+J209+G209)</f>
        <v/>
      </c>
      <c r="P209" s="200" t="str">
        <f aca="false">IF(A210="","",M209+K209+H209)</f>
        <v/>
      </c>
      <c r="Q209" s="204"/>
      <c r="R209" s="200" t="str">
        <f aca="false">IF($A210="","",VLOOKUP($A209,Table,MATCH(R$4,Curves,0)))</f>
        <v/>
      </c>
      <c r="S209" s="201" t="str">
        <f aca="false">IF(A210="","",R209)</f>
        <v/>
      </c>
      <c r="T209" s="200" t="str">
        <f aca="false">IF($A210="","",VLOOKUP($A209,Table,MATCH(T$4,Curves,0)))</f>
        <v/>
      </c>
      <c r="U209" s="201" t="str">
        <f aca="false">IF(A210="","",T209)</f>
        <v/>
      </c>
      <c r="V209" s="225" t="str">
        <f aca="false">IF($A210="","",IF(AND(MONTH(A209)&gt;3,MONTH(A209)&lt;11),(T209+R209+G209)*(((1/(1-Summary!$T$12))/(1-Summary!$W$12))-1),(T209+R209+G209)*((1/(1-Summary!$U$12))/(1-Summary!$X$12)-1)))</f>
        <v/>
      </c>
      <c r="W209" s="200" t="str">
        <f aca="false">IF($A210="","",(T209+R209+G209+V209))</f>
        <v/>
      </c>
      <c r="X209" s="200" t="str">
        <f aca="false">IF($A210="","",(U209+S209+H209+V209))</f>
        <v/>
      </c>
      <c r="Y209" s="202"/>
      <c r="Z209" s="185" t="str">
        <f aca="false">IF($A210="","",VLOOKUP($A209,Table,MATCH(Z$4,Curves,0)))</f>
        <v/>
      </c>
      <c r="AA209" s="185" t="str">
        <f aca="false">IF($A210="","",VLOOKUP($A209,Table,MATCH(AA$4,Curves,0)))</f>
        <v/>
      </c>
      <c r="AB209" s="185" t="e">
        <f aca="false">SQRT((AA209^2*(A209-$D$3)+Z209^2*(DAY(EOMONTH(A209,0))/2))/AK209)</f>
        <v>#VALUE!</v>
      </c>
      <c r="AC209" s="185" t="str">
        <f aca="false">IF($A210="","",VLOOKUP($A209,Table,MATCH(AC$4,Curves,0)))</f>
        <v/>
      </c>
      <c r="AD209" s="185" t="str">
        <f aca="false">IF($A210="","",VLOOKUP($A209,Table,MATCH(AD$4,Curves,0)))</f>
        <v/>
      </c>
      <c r="AE209" s="185" t="e">
        <f aca="false">SQRT((AD209^2*(A209-$D$3)+AC209^2*(DAY(EOMONTH(A209,0))/2))/AK209)</f>
        <v>#VALUE!</v>
      </c>
      <c r="AF209" s="206" t="e">
        <f aca="false">((Summary!$N$12*(AA209*AD209)*(A209-$D$3))+(Summary!$M$12*Z209*AC209*(AJ209-EOMONTH(EDATE(A209,-1),0))))/(AK209*AB209*AE209)</f>
        <v>#VALUE!</v>
      </c>
      <c r="AG209" s="207" t="str">
        <f aca="false">IF($A210="","",Summary!$Q$12)</f>
        <v/>
      </c>
      <c r="AH209" s="207" t="str">
        <f aca="false">IF($A210="","",IF(Summary!$R$12="Y",(VLOOKUP($A209,Summary!$AD$6:$AF$9,3)+'Escalating commodity'!H222),'Escalating commodity'!H222))</f>
        <v/>
      </c>
      <c r="AI209" s="207" t="str">
        <f aca="false">IF($A210="","",AH209)</f>
        <v/>
      </c>
      <c r="AJ209" s="208" t="e">
        <f aca="false">A209+DAY(EOMONTH(A209,0))/2-1</f>
        <v>#VALUE!</v>
      </c>
      <c r="AK209" s="209" t="str">
        <f aca="false">IF($A210="","",$A209-$E$1)</f>
        <v/>
      </c>
      <c r="AL209" s="182" t="str">
        <f aca="false">IF($A210="","",SPRDOPT(P209,X209,AI209,0,AB209,AE209,AF209,AK209,$AJ$2,0))</f>
        <v/>
      </c>
      <c r="AM209" s="211" t="str">
        <f aca="false">IF($A210="","",MAX(0,O209-W209-AI209))</f>
        <v/>
      </c>
      <c r="AN209" s="211" t="str">
        <f aca="false">IF($A210="","",AL209-AM209)</f>
        <v/>
      </c>
      <c r="AO209" s="137" t="str">
        <f aca="false">IF(A210="","",A210-A209)</f>
        <v/>
      </c>
      <c r="AP209" s="212" t="str">
        <f aca="false">IF(A210="","",CHOOSE(F$3,A210+24,A209))</f>
        <v/>
      </c>
      <c r="AQ209" s="209" t="str">
        <f aca="false">IF(A210="","",AP209-$E$1)</f>
        <v/>
      </c>
      <c r="AR209" s="185" t="n">
        <f aca="false">'ANR OK vs ML7'!AR209</f>
        <v>0.1</v>
      </c>
      <c r="AS209" s="213" t="str">
        <f aca="false">IF(A210="","",1/(1+CHOOSE(F$3,(AR210+($I$3/10000))/2,(AR209+($I$3/10000))/2))^(2*AQ209/365.25))</f>
        <v/>
      </c>
      <c r="AT209" s="137" t="str">
        <f aca="false">IF(A210="","",IF(AND(mthbeg&lt;=A209,mthend&gt;=A209),1,0))</f>
        <v/>
      </c>
      <c r="AU209" s="137" t="str">
        <f aca="false">IF(A210="","",AO209*AT209)</f>
        <v/>
      </c>
      <c r="AW209" s="195" t="str">
        <f aca="false">IF($A210="","",AL209*$E209)</f>
        <v/>
      </c>
      <c r="AX209" s="195" t="str">
        <f aca="false">IF($A210="","",AM209*$E209)</f>
        <v/>
      </c>
      <c r="AY209" s="195" t="str">
        <f aca="false">IF($A210="","",AN209*$E209)</f>
        <v/>
      </c>
      <c r="BA209" s="195" t="str">
        <f aca="false">IF($A210="","",F209*Summary!$Q$12)</f>
        <v/>
      </c>
    </row>
    <row r="210" customFormat="false" ht="12" hidden="false" customHeight="true" outlineLevel="0" collapsed="false">
      <c r="A210" s="196" t="str">
        <f aca="false">IF(A209&lt;mthend,EDATE(A209,1),"")</f>
        <v/>
      </c>
      <c r="B210" s="197" t="str">
        <f aca="false">IF(A210&lt;mthend,B209,"")</f>
        <v/>
      </c>
      <c r="C210" s="215"/>
      <c r="D210" s="197" t="str">
        <f aca="false">IF(A211&lt;&gt;"",B210+C210,"")</f>
        <v/>
      </c>
      <c r="E210" s="199" t="str">
        <f aca="false">IF(A211="","",IF(AND(AT210=1,$H$3=1),D210*AO210,IF($H$3=2,D210,"N/A")))</f>
        <v/>
      </c>
      <c r="F210" s="199" t="str">
        <f aca="false">IF(A211="","",E210*AS210)</f>
        <v/>
      </c>
      <c r="G210" s="200" t="str">
        <f aca="false">IF($A211="","",VLOOKUP($A210,Table,MATCH(G$4,Curves,0)))</f>
        <v/>
      </c>
      <c r="H210" s="201" t="str">
        <f aca="false">IF(A211="","",G210)</f>
        <v/>
      </c>
      <c r="I210" s="202"/>
      <c r="J210" s="200" t="str">
        <f aca="false">IF($A211="","",VLOOKUP($A210,Table,MATCH(J$4,Curves,0)))</f>
        <v/>
      </c>
      <c r="K210" s="201" t="str">
        <f aca="false">IF(A211="","",J210)</f>
        <v/>
      </c>
      <c r="L210" s="200" t="str">
        <f aca="false">IF($A211="","",VLOOKUP($A210,Table,MATCH(L$4,Curves,0)))</f>
        <v/>
      </c>
      <c r="M210" s="201" t="str">
        <f aca="false">IF(A211="","",L210)</f>
        <v/>
      </c>
      <c r="N210" s="203"/>
      <c r="O210" s="200" t="str">
        <f aca="false">IF(A211="","",L210+J210+G210)</f>
        <v/>
      </c>
      <c r="P210" s="200" t="str">
        <f aca="false">IF(A211="","",M210+K210+H210)</f>
        <v/>
      </c>
      <c r="Q210" s="204"/>
      <c r="R210" s="200" t="str">
        <f aca="false">IF($A211="","",VLOOKUP($A210,Table,MATCH(R$4,Curves,0)))</f>
        <v/>
      </c>
      <c r="S210" s="201" t="str">
        <f aca="false">IF(A211="","",R210)</f>
        <v/>
      </c>
      <c r="T210" s="200" t="str">
        <f aca="false">IF($A211="","",VLOOKUP($A210,Table,MATCH(T$4,Curves,0)))</f>
        <v/>
      </c>
      <c r="U210" s="201" t="str">
        <f aca="false">IF(A211="","",T210)</f>
        <v/>
      </c>
      <c r="V210" s="225" t="str">
        <f aca="false">IF($A211="","",IF(AND(MONTH(A210)&gt;3,MONTH(A210)&lt;11),(T210+R210+G210)*(((1/(1-Summary!$T$12))/(1-Summary!$W$12))-1),(T210+R210+G210)*((1/(1-Summary!$U$12))/(1-Summary!$X$12)-1)))</f>
        <v/>
      </c>
      <c r="W210" s="200" t="str">
        <f aca="false">IF($A211="","",(T210+R210+G210+V210))</f>
        <v/>
      </c>
      <c r="X210" s="200" t="str">
        <f aca="false">IF($A211="","",(U210+S210+H210+V210))</f>
        <v/>
      </c>
      <c r="Y210" s="202"/>
      <c r="Z210" s="185" t="str">
        <f aca="false">IF($A211="","",VLOOKUP($A210,Table,MATCH(Z$4,Curves,0)))</f>
        <v/>
      </c>
      <c r="AA210" s="185" t="str">
        <f aca="false">IF($A211="","",VLOOKUP($A210,Table,MATCH(AA$4,Curves,0)))</f>
        <v/>
      </c>
      <c r="AB210" s="185" t="e">
        <f aca="false">SQRT((AA210^2*(A210-$D$3)+Z210^2*(DAY(EOMONTH(A210,0))/2))/AK210)</f>
        <v>#VALUE!</v>
      </c>
      <c r="AC210" s="185" t="str">
        <f aca="false">IF($A211="","",VLOOKUP($A210,Table,MATCH(AC$4,Curves,0)))</f>
        <v/>
      </c>
      <c r="AD210" s="185" t="str">
        <f aca="false">IF($A211="","",VLOOKUP($A210,Table,MATCH(AD$4,Curves,0)))</f>
        <v/>
      </c>
      <c r="AE210" s="185" t="e">
        <f aca="false">SQRT((AD210^2*(A210-$D$3)+AC210^2*(DAY(EOMONTH(A210,0))/2))/AK210)</f>
        <v>#VALUE!</v>
      </c>
      <c r="AF210" s="206" t="e">
        <f aca="false">((Summary!$N$12*(AA210*AD210)*(A210-$D$3))+(Summary!$M$12*Z210*AC210*(AJ210-EOMONTH(EDATE(A210,-1),0))))/(AK210*AB210*AE210)</f>
        <v>#VALUE!</v>
      </c>
      <c r="AG210" s="207" t="str">
        <f aca="false">IF($A211="","",Summary!$Q$12)</f>
        <v/>
      </c>
      <c r="AH210" s="207" t="str">
        <f aca="false">IF($A211="","",IF(Summary!$R$12="Y",(VLOOKUP($A210,Summary!$AD$6:$AF$9,3)+'Escalating commodity'!H223),'Escalating commodity'!H223))</f>
        <v/>
      </c>
      <c r="AI210" s="207" t="str">
        <f aca="false">IF($A211="","",AH210)</f>
        <v/>
      </c>
      <c r="AJ210" s="208" t="e">
        <f aca="false">A210+DAY(EOMONTH(A210,0))/2-1</f>
        <v>#VALUE!</v>
      </c>
      <c r="AK210" s="209" t="str">
        <f aca="false">IF($A211="","",$A210-$E$1)</f>
        <v/>
      </c>
      <c r="AL210" s="182" t="str">
        <f aca="false">IF($A211="","",SPRDOPT(P210,X210,AI210,0,AB210,AE210,AF210,AK210,$AJ$2,0))</f>
        <v/>
      </c>
      <c r="AM210" s="211" t="str">
        <f aca="false">IF($A211="","",MAX(0,O210-W210-AI210))</f>
        <v/>
      </c>
      <c r="AN210" s="211" t="str">
        <f aca="false">IF($A211="","",AL210-AM210)</f>
        <v/>
      </c>
      <c r="AO210" s="137" t="str">
        <f aca="false">IF(A211="","",A211-A210)</f>
        <v/>
      </c>
      <c r="AP210" s="212" t="str">
        <f aca="false">IF(A211="","",CHOOSE(F$3,A211+24,A210))</f>
        <v/>
      </c>
      <c r="AQ210" s="209" t="str">
        <f aca="false">IF(A211="","",AP210-$E$1)</f>
        <v/>
      </c>
      <c r="AR210" s="185" t="n">
        <f aca="false">'ANR OK vs ML7'!AR210</f>
        <v>0.1</v>
      </c>
      <c r="AS210" s="213" t="str">
        <f aca="false">IF(A211="","",1/(1+CHOOSE(F$3,(AR211+($I$3/10000))/2,(AR210+($I$3/10000))/2))^(2*AQ210/365.25))</f>
        <v/>
      </c>
      <c r="AT210" s="137" t="str">
        <f aca="false">IF(A211="","",IF(AND(mthbeg&lt;=A210,mthend&gt;=A210),1,0))</f>
        <v/>
      </c>
      <c r="AU210" s="137" t="str">
        <f aca="false">IF(A211="","",AO210*AT210)</f>
        <v/>
      </c>
      <c r="AW210" s="195" t="str">
        <f aca="false">IF($A211="","",AL210*$E210)</f>
        <v/>
      </c>
      <c r="AX210" s="195" t="str">
        <f aca="false">IF($A211="","",AM210*$E210)</f>
        <v/>
      </c>
      <c r="AY210" s="195" t="str">
        <f aca="false">IF($A211="","",AN210*$E210)</f>
        <v/>
      </c>
      <c r="BA210" s="195" t="str">
        <f aca="false">IF($A211="","",F210*Summary!$Q$12)</f>
        <v/>
      </c>
    </row>
    <row r="211" customFormat="false" ht="12" hidden="false" customHeight="true" outlineLevel="0" collapsed="false">
      <c r="A211" s="196" t="str">
        <f aca="false">IF(A210&lt;mthend,EDATE(A210,1),"")</f>
        <v/>
      </c>
      <c r="B211" s="197" t="str">
        <f aca="false">IF(A211&lt;mthend,B210,"")</f>
        <v/>
      </c>
      <c r="C211" s="215"/>
      <c r="D211" s="197" t="str">
        <f aca="false">IF(A212&lt;&gt;"",B211+C211,"")</f>
        <v/>
      </c>
      <c r="E211" s="199" t="str">
        <f aca="false">IF(A212="","",IF(AND(AT211=1,$H$3=1),D211*AO211,IF($H$3=2,D211,"N/A")))</f>
        <v/>
      </c>
      <c r="F211" s="199" t="str">
        <f aca="false">IF(A212="","",E211*AS211)</f>
        <v/>
      </c>
      <c r="G211" s="200" t="str">
        <f aca="false">IF($A212="","",VLOOKUP($A211,Table,MATCH(G$4,Curves,0)))</f>
        <v/>
      </c>
      <c r="H211" s="201" t="str">
        <f aca="false">IF(A212="","",G211)</f>
        <v/>
      </c>
      <c r="I211" s="202"/>
      <c r="J211" s="200" t="str">
        <f aca="false">IF($A212="","",VLOOKUP($A211,Table,MATCH(J$4,Curves,0)))</f>
        <v/>
      </c>
      <c r="K211" s="201" t="str">
        <f aca="false">IF(A212="","",J211)</f>
        <v/>
      </c>
      <c r="L211" s="200" t="str">
        <f aca="false">IF($A212="","",VLOOKUP($A211,Table,MATCH(L$4,Curves,0)))</f>
        <v/>
      </c>
      <c r="M211" s="201" t="str">
        <f aca="false">IF(A212="","",L211)</f>
        <v/>
      </c>
      <c r="N211" s="203"/>
      <c r="O211" s="200" t="str">
        <f aca="false">IF(A212="","",L211+J211+G211)</f>
        <v/>
      </c>
      <c r="P211" s="200" t="str">
        <f aca="false">IF(A212="","",M211+K211+H211)</f>
        <v/>
      </c>
      <c r="Q211" s="204"/>
      <c r="R211" s="200" t="str">
        <f aca="false">IF($A212="","",VLOOKUP($A211,Table,MATCH(R$4,Curves,0)))</f>
        <v/>
      </c>
      <c r="S211" s="201" t="str">
        <f aca="false">IF(A212="","",R211)</f>
        <v/>
      </c>
      <c r="T211" s="200" t="str">
        <f aca="false">IF($A212="","",VLOOKUP($A211,Table,MATCH(T$4,Curves,0)))</f>
        <v/>
      </c>
      <c r="U211" s="201" t="str">
        <f aca="false">IF(A212="","",T211)</f>
        <v/>
      </c>
      <c r="V211" s="225" t="str">
        <f aca="false">IF($A212="","",IF(AND(MONTH(A211)&gt;3,MONTH(A211)&lt;11),(T211+R211+G211)*(((1/(1-Summary!$T$12))/(1-Summary!$W$12))-1),(T211+R211+G211)*((1/(1-Summary!$U$12))/(1-Summary!$X$12)-1)))</f>
        <v/>
      </c>
      <c r="W211" s="200" t="str">
        <f aca="false">IF($A212="","",(T211+R211+G211+V211))</f>
        <v/>
      </c>
      <c r="X211" s="200" t="str">
        <f aca="false">IF($A212="","",(U211+S211+H211+V211))</f>
        <v/>
      </c>
      <c r="Y211" s="202"/>
      <c r="Z211" s="185" t="str">
        <f aca="false">IF($A212="","",VLOOKUP($A211,Table,MATCH(Z$4,Curves,0)))</f>
        <v/>
      </c>
      <c r="AA211" s="185" t="str">
        <f aca="false">IF($A212="","",VLOOKUP($A211,Table,MATCH(AA$4,Curves,0)))</f>
        <v/>
      </c>
      <c r="AB211" s="185" t="e">
        <f aca="false">SQRT((AA211^2*(A211-$D$3)+Z211^2*(DAY(EOMONTH(A211,0))/2))/AK211)</f>
        <v>#VALUE!</v>
      </c>
      <c r="AC211" s="185" t="str">
        <f aca="false">IF($A212="","",VLOOKUP($A211,Table,MATCH(AC$4,Curves,0)))</f>
        <v/>
      </c>
      <c r="AD211" s="185" t="str">
        <f aca="false">IF($A212="","",VLOOKUP($A211,Table,MATCH(AD$4,Curves,0)))</f>
        <v/>
      </c>
      <c r="AE211" s="185" t="e">
        <f aca="false">SQRT((AD211^2*(A211-$D$3)+AC211^2*(DAY(EOMONTH(A211,0))/2))/AK211)</f>
        <v>#VALUE!</v>
      </c>
      <c r="AF211" s="206" t="e">
        <f aca="false">((Summary!$N$12*(AA211*AD211)*(A211-$D$3))+(Summary!$M$12*Z211*AC211*(AJ211-EOMONTH(EDATE(A211,-1),0))))/(AK211*AB211*AE211)</f>
        <v>#VALUE!</v>
      </c>
      <c r="AG211" s="207" t="str">
        <f aca="false">IF($A212="","",Summary!$Q$12)</f>
        <v/>
      </c>
      <c r="AH211" s="207" t="str">
        <f aca="false">IF($A212="","",IF(Summary!$R$12="Y",(VLOOKUP($A211,Summary!$AD$6:$AF$9,3)+'Escalating commodity'!H224),'Escalating commodity'!H224))</f>
        <v/>
      </c>
      <c r="AI211" s="207" t="str">
        <f aca="false">IF($A212="","",AH211)</f>
        <v/>
      </c>
      <c r="AJ211" s="208" t="e">
        <f aca="false">A211+DAY(EOMONTH(A211,0))/2-1</f>
        <v>#VALUE!</v>
      </c>
      <c r="AK211" s="209" t="str">
        <f aca="false">IF($A212="","",$A211-$E$1)</f>
        <v/>
      </c>
      <c r="AL211" s="182" t="str">
        <f aca="false">IF($A212="","",SPRDOPT(P211,X211,AI211,0,AB211,AE211,AF211,AK211,$AJ$2,0))</f>
        <v/>
      </c>
      <c r="AM211" s="211" t="str">
        <f aca="false">IF($A212="","",MAX(0,O211-W211-AI211))</f>
        <v/>
      </c>
      <c r="AN211" s="211" t="str">
        <f aca="false">IF($A212="","",AL211-AM211)</f>
        <v/>
      </c>
      <c r="AO211" s="137" t="str">
        <f aca="false">IF(A212="","",A212-A211)</f>
        <v/>
      </c>
      <c r="AP211" s="212" t="str">
        <f aca="false">IF(A212="","",CHOOSE(F$3,A212+24,A211))</f>
        <v/>
      </c>
      <c r="AQ211" s="209" t="str">
        <f aca="false">IF(A212="","",AP211-$E$1)</f>
        <v/>
      </c>
      <c r="AR211" s="185" t="n">
        <f aca="false">'ANR OK vs ML7'!AR211</f>
        <v>0.1</v>
      </c>
      <c r="AS211" s="213" t="str">
        <f aca="false">IF(A212="","",1/(1+CHOOSE(F$3,(AR212+($I$3/10000))/2,(AR211+($I$3/10000))/2))^(2*AQ211/365.25))</f>
        <v/>
      </c>
      <c r="AT211" s="137" t="str">
        <f aca="false">IF(A212="","",IF(AND(mthbeg&lt;=A211,mthend&gt;=A211),1,0))</f>
        <v/>
      </c>
      <c r="AU211" s="137" t="str">
        <f aca="false">IF(A212="","",AO211*AT211)</f>
        <v/>
      </c>
      <c r="AW211" s="195" t="str">
        <f aca="false">IF($A212="","",AL211*$E211)</f>
        <v/>
      </c>
      <c r="AX211" s="195" t="str">
        <f aca="false">IF($A212="","",AM211*$E211)</f>
        <v/>
      </c>
      <c r="AY211" s="195" t="str">
        <f aca="false">IF($A212="","",AN211*$E211)</f>
        <v/>
      </c>
      <c r="BA211" s="195" t="str">
        <f aca="false">IF($A212="","",F211*Summary!$Q$12)</f>
        <v/>
      </c>
    </row>
    <row r="212" customFormat="false" ht="12" hidden="false" customHeight="true" outlineLevel="0" collapsed="false">
      <c r="A212" s="196" t="str">
        <f aca="false">IF(A211&lt;mthend,EDATE(A211,1),"")</f>
        <v/>
      </c>
      <c r="B212" s="197" t="str">
        <f aca="false">IF(A212&lt;mthend,B211,"")</f>
        <v/>
      </c>
      <c r="C212" s="215"/>
      <c r="D212" s="197" t="str">
        <f aca="false">IF(A213&lt;&gt;"",B212+C212,"")</f>
        <v/>
      </c>
      <c r="E212" s="199" t="str">
        <f aca="false">IF(A213="","",IF(AND(AT212=1,$H$3=1),D212*AO212,IF($H$3=2,D212,"N/A")))</f>
        <v/>
      </c>
      <c r="F212" s="199" t="str">
        <f aca="false">IF(A213="","",E212*AS212)</f>
        <v/>
      </c>
      <c r="G212" s="200" t="str">
        <f aca="false">IF($A213="","",VLOOKUP($A212,Table,MATCH(G$4,Curves,0)))</f>
        <v/>
      </c>
      <c r="H212" s="201" t="str">
        <f aca="false">IF(A213="","",G212)</f>
        <v/>
      </c>
      <c r="I212" s="202"/>
      <c r="J212" s="200" t="str">
        <f aca="false">IF($A213="","",VLOOKUP($A212,Table,MATCH(J$4,Curves,0)))</f>
        <v/>
      </c>
      <c r="K212" s="201" t="str">
        <f aca="false">IF(A213="","",J212)</f>
        <v/>
      </c>
      <c r="L212" s="200" t="str">
        <f aca="false">IF($A213="","",VLOOKUP($A212,Table,MATCH(L$4,Curves,0)))</f>
        <v/>
      </c>
      <c r="M212" s="201" t="str">
        <f aca="false">IF(A213="","",L212)</f>
        <v/>
      </c>
      <c r="N212" s="203"/>
      <c r="O212" s="200" t="str">
        <f aca="false">IF(A213="","",L212+J212+G212)</f>
        <v/>
      </c>
      <c r="P212" s="200" t="str">
        <f aca="false">IF(A213="","",M212+K212+H212)</f>
        <v/>
      </c>
      <c r="Q212" s="204"/>
      <c r="R212" s="200" t="str">
        <f aca="false">IF($A213="","",VLOOKUP($A212,Table,MATCH(R$4,Curves,0)))</f>
        <v/>
      </c>
      <c r="S212" s="201" t="str">
        <f aca="false">IF(A213="","",R212)</f>
        <v/>
      </c>
      <c r="T212" s="200" t="str">
        <f aca="false">IF($A213="","",VLOOKUP($A212,Table,MATCH(T$4,Curves,0)))</f>
        <v/>
      </c>
      <c r="U212" s="201" t="str">
        <f aca="false">IF(A213="","",T212)</f>
        <v/>
      </c>
      <c r="V212" s="225" t="str">
        <f aca="false">IF($A213="","",IF(AND(MONTH(A212)&gt;3,MONTH(A212)&lt;11),(T212+R212+G212)*(((1/(1-Summary!$T$12))/(1-Summary!$W$12))-1),(T212+R212+G212)*((1/(1-Summary!$U$12))/(1-Summary!$X$12)-1)))</f>
        <v/>
      </c>
      <c r="W212" s="200" t="str">
        <f aca="false">IF($A213="","",(T212+R212+G212+V212))</f>
        <v/>
      </c>
      <c r="X212" s="200" t="str">
        <f aca="false">IF($A213="","",(U212+S212+H212+V212))</f>
        <v/>
      </c>
      <c r="Y212" s="202"/>
      <c r="Z212" s="185" t="str">
        <f aca="false">IF($A213="","",VLOOKUP($A212,Table,MATCH(Z$4,Curves,0)))</f>
        <v/>
      </c>
      <c r="AA212" s="185" t="str">
        <f aca="false">IF($A213="","",VLOOKUP($A212,Table,MATCH(AA$4,Curves,0)))</f>
        <v/>
      </c>
      <c r="AB212" s="185" t="e">
        <f aca="false">SQRT((AA212^2*(A212-$D$3)+Z212^2*(DAY(EOMONTH(A212,0))/2))/AK212)</f>
        <v>#VALUE!</v>
      </c>
      <c r="AC212" s="185" t="str">
        <f aca="false">IF($A213="","",VLOOKUP($A212,Table,MATCH(AC$4,Curves,0)))</f>
        <v/>
      </c>
      <c r="AD212" s="185" t="str">
        <f aca="false">IF($A213="","",VLOOKUP($A212,Table,MATCH(AD$4,Curves,0)))</f>
        <v/>
      </c>
      <c r="AE212" s="185" t="e">
        <f aca="false">SQRT((AD212^2*(A212-$D$3)+AC212^2*(DAY(EOMONTH(A212,0))/2))/AK212)</f>
        <v>#VALUE!</v>
      </c>
      <c r="AF212" s="206" t="e">
        <f aca="false">((Summary!$N$12*(AA212*AD212)*(A212-$D$3))+(Summary!$M$12*Z212*AC212*(AJ212-EOMONTH(EDATE(A212,-1),0))))/(AK212*AB212*AE212)</f>
        <v>#VALUE!</v>
      </c>
      <c r="AG212" s="207" t="str">
        <f aca="false">IF($A213="","",Summary!$Q$12)</f>
        <v/>
      </c>
      <c r="AH212" s="207" t="str">
        <f aca="false">IF($A213="","",IF(Summary!$R$12="Y",(VLOOKUP($A212,Summary!$AD$6:$AF$9,3)+'Escalating commodity'!H225),'Escalating commodity'!H225))</f>
        <v/>
      </c>
      <c r="AI212" s="207" t="str">
        <f aca="false">IF($A213="","",AH212)</f>
        <v/>
      </c>
      <c r="AJ212" s="208" t="e">
        <f aca="false">A212+DAY(EOMONTH(A212,0))/2-1</f>
        <v>#VALUE!</v>
      </c>
      <c r="AK212" s="209" t="str">
        <f aca="false">IF($A213="","",$A212-$E$1)</f>
        <v/>
      </c>
      <c r="AL212" s="182" t="str">
        <f aca="false">IF($A213="","",SPRDOPT(P212,X212,AI212,0,AB212,AE212,AF212,AK212,$AJ$2,0))</f>
        <v/>
      </c>
      <c r="AM212" s="211" t="str">
        <f aca="false">IF($A213="","",MAX(0,O212-W212-AI212))</f>
        <v/>
      </c>
      <c r="AN212" s="211" t="str">
        <f aca="false">IF($A213="","",AL212-AM212)</f>
        <v/>
      </c>
      <c r="AO212" s="137" t="str">
        <f aca="false">IF(A213="","",A213-A212)</f>
        <v/>
      </c>
      <c r="AP212" s="212" t="str">
        <f aca="false">IF(A213="","",CHOOSE(F$3,A213+24,A212))</f>
        <v/>
      </c>
      <c r="AQ212" s="209" t="str">
        <f aca="false">IF(A213="","",AP212-$E$1)</f>
        <v/>
      </c>
      <c r="AR212" s="185" t="n">
        <f aca="false">'ANR OK vs ML7'!AR212</f>
        <v>0.1</v>
      </c>
      <c r="AS212" s="213" t="str">
        <f aca="false">IF(A213="","",1/(1+CHOOSE(F$3,(AR213+($I$3/10000))/2,(AR212+($I$3/10000))/2))^(2*AQ212/365.25))</f>
        <v/>
      </c>
      <c r="AT212" s="137" t="str">
        <f aca="false">IF(A213="","",IF(AND(mthbeg&lt;=A212,mthend&gt;=A212),1,0))</f>
        <v/>
      </c>
      <c r="AU212" s="137" t="str">
        <f aca="false">IF(A213="","",AO212*AT212)</f>
        <v/>
      </c>
      <c r="AW212" s="195" t="str">
        <f aca="false">IF($A213="","",AL212*$E212)</f>
        <v/>
      </c>
      <c r="AX212" s="195" t="str">
        <f aca="false">IF($A213="","",AM212*$E212)</f>
        <v/>
      </c>
      <c r="AY212" s="195" t="str">
        <f aca="false">IF($A213="","",AN212*$E212)</f>
        <v/>
      </c>
      <c r="BA212" s="195" t="str">
        <f aca="false">IF($A213="","",F212*Summary!$Q$12)</f>
        <v/>
      </c>
    </row>
    <row r="213" customFormat="false" ht="12" hidden="false" customHeight="true" outlineLevel="0" collapsed="false">
      <c r="A213" s="196" t="str">
        <f aca="false">IF(A212&lt;mthend,EDATE(A212,1),"")</f>
        <v/>
      </c>
      <c r="B213" s="197" t="str">
        <f aca="false">IF(A213&lt;mthend,B212,"")</f>
        <v/>
      </c>
      <c r="C213" s="215"/>
      <c r="D213" s="197" t="str">
        <f aca="false">IF(A214&lt;&gt;"",B213+C213,"")</f>
        <v/>
      </c>
      <c r="E213" s="199" t="str">
        <f aca="false">IF(A214="","",IF(AND(AT213=1,$H$3=1),D213*AO213,IF($H$3=2,D213,"N/A")))</f>
        <v/>
      </c>
      <c r="F213" s="199" t="str">
        <f aca="false">IF(A214="","",E213*AS213)</f>
        <v/>
      </c>
      <c r="G213" s="200" t="str">
        <f aca="false">IF($A214="","",VLOOKUP($A213,Table,MATCH(G$4,Curves,0)))</f>
        <v/>
      </c>
      <c r="H213" s="201" t="str">
        <f aca="false">IF(A214="","",G213)</f>
        <v/>
      </c>
      <c r="I213" s="202"/>
      <c r="J213" s="200" t="str">
        <f aca="false">IF($A214="","",VLOOKUP($A213,Table,MATCH(J$4,Curves,0)))</f>
        <v/>
      </c>
      <c r="K213" s="201" t="str">
        <f aca="false">IF(A214="","",J213)</f>
        <v/>
      </c>
      <c r="L213" s="200" t="str">
        <f aca="false">IF($A214="","",VLOOKUP($A213,Table,MATCH(L$4,Curves,0)))</f>
        <v/>
      </c>
      <c r="M213" s="201" t="str">
        <f aca="false">IF(A214="","",L213)</f>
        <v/>
      </c>
      <c r="N213" s="203"/>
      <c r="O213" s="200" t="str">
        <f aca="false">IF(A214="","",L213+J213+G213)</f>
        <v/>
      </c>
      <c r="P213" s="200" t="str">
        <f aca="false">IF(A214="","",M213+K213+H213)</f>
        <v/>
      </c>
      <c r="Q213" s="204"/>
      <c r="R213" s="200" t="str">
        <f aca="false">IF($A214="","",VLOOKUP($A213,Table,MATCH(R$4,Curves,0)))</f>
        <v/>
      </c>
      <c r="S213" s="201" t="str">
        <f aca="false">IF(A214="","",R213)</f>
        <v/>
      </c>
      <c r="T213" s="200" t="str">
        <f aca="false">IF($A214="","",VLOOKUP($A213,Table,MATCH(T$4,Curves,0)))</f>
        <v/>
      </c>
      <c r="U213" s="201" t="str">
        <f aca="false">IF(A214="","",T213)</f>
        <v/>
      </c>
      <c r="V213" s="225" t="str">
        <f aca="false">IF($A214="","",IF(AND(MONTH(A213)&gt;3,MONTH(A213)&lt;11),(T213+R213+G213)*(((1/(1-Summary!$T$12))/(1-Summary!$W$12))-1),(T213+R213+G213)*((1/(1-Summary!$U$12))/(1-Summary!$X$12)-1)))</f>
        <v/>
      </c>
      <c r="W213" s="200" t="str">
        <f aca="false">IF($A214="","",(T213+R213+G213+V213))</f>
        <v/>
      </c>
      <c r="X213" s="200" t="str">
        <f aca="false">IF($A214="","",(U213+S213+H213+V213))</f>
        <v/>
      </c>
      <c r="Y213" s="202"/>
      <c r="Z213" s="185" t="str">
        <f aca="false">IF($A214="","",VLOOKUP($A213,Table,MATCH(Z$4,Curves,0)))</f>
        <v/>
      </c>
      <c r="AA213" s="185" t="str">
        <f aca="false">IF($A214="","",VLOOKUP($A213,Table,MATCH(AA$4,Curves,0)))</f>
        <v/>
      </c>
      <c r="AB213" s="185" t="e">
        <f aca="false">SQRT((AA213^2*(A213-$D$3)+Z213^2*(DAY(EOMONTH(A213,0))/2))/AK213)</f>
        <v>#VALUE!</v>
      </c>
      <c r="AC213" s="185" t="str">
        <f aca="false">IF($A214="","",VLOOKUP($A213,Table,MATCH(AC$4,Curves,0)))</f>
        <v/>
      </c>
      <c r="AD213" s="185" t="str">
        <f aca="false">IF($A214="","",VLOOKUP($A213,Table,MATCH(AD$4,Curves,0)))</f>
        <v/>
      </c>
      <c r="AE213" s="185" t="e">
        <f aca="false">SQRT((AD213^2*(A213-$D$3)+AC213^2*(DAY(EOMONTH(A213,0))/2))/AK213)</f>
        <v>#VALUE!</v>
      </c>
      <c r="AF213" s="206" t="e">
        <f aca="false">((Summary!$N$12*(AA213*AD213)*(A213-$D$3))+(Summary!$M$12*Z213*AC213*(AJ213-EOMONTH(EDATE(A213,-1),0))))/(AK213*AB213*AE213)</f>
        <v>#VALUE!</v>
      </c>
      <c r="AG213" s="207" t="str">
        <f aca="false">IF($A214="","",Summary!$Q$12)</f>
        <v/>
      </c>
      <c r="AH213" s="207" t="str">
        <f aca="false">IF($A214="","",IF(Summary!$R$12="Y",(VLOOKUP($A213,Summary!$AD$6:$AF$9,3)+'Escalating commodity'!H226),'Escalating commodity'!H226))</f>
        <v/>
      </c>
      <c r="AI213" s="207" t="str">
        <f aca="false">IF($A214="","",AH213)</f>
        <v/>
      </c>
      <c r="AJ213" s="208" t="e">
        <f aca="false">A213+DAY(EOMONTH(A213,0))/2-1</f>
        <v>#VALUE!</v>
      </c>
      <c r="AK213" s="209" t="str">
        <f aca="false">IF($A214="","",$A213-$E$1)</f>
        <v/>
      </c>
      <c r="AL213" s="182" t="str">
        <f aca="false">IF($A214="","",SPRDOPT(P213,X213,AI213,0,AB213,AE213,AF213,AK213,$AJ$2,0))</f>
        <v/>
      </c>
      <c r="AM213" s="211" t="str">
        <f aca="false">IF($A214="","",MAX(0,O213-W213-AI213))</f>
        <v/>
      </c>
      <c r="AN213" s="211" t="str">
        <f aca="false">IF($A214="","",AL213-AM213)</f>
        <v/>
      </c>
      <c r="AO213" s="137" t="str">
        <f aca="false">IF(A214="","",A214-A213)</f>
        <v/>
      </c>
      <c r="AP213" s="212" t="str">
        <f aca="false">IF(A214="","",CHOOSE(F$3,A214+24,A213))</f>
        <v/>
      </c>
      <c r="AQ213" s="209" t="str">
        <f aca="false">IF(A214="","",AP213-$E$1)</f>
        <v/>
      </c>
      <c r="AR213" s="185" t="n">
        <f aca="false">'ANR OK vs ML7'!AR213</f>
        <v>0.1</v>
      </c>
      <c r="AS213" s="213" t="str">
        <f aca="false">IF(A214="","",1/(1+CHOOSE(F$3,(AR214+($I$3/10000))/2,(AR213+($I$3/10000))/2))^(2*AQ213/365.25))</f>
        <v/>
      </c>
      <c r="AT213" s="137" t="str">
        <f aca="false">IF(A214="","",IF(AND(mthbeg&lt;=A213,mthend&gt;=A213),1,0))</f>
        <v/>
      </c>
      <c r="AU213" s="137" t="str">
        <f aca="false">IF(A214="","",AO213*AT213)</f>
        <v/>
      </c>
      <c r="AW213" s="195" t="str">
        <f aca="false">IF($A214="","",AL213*$E213)</f>
        <v/>
      </c>
      <c r="AX213" s="195" t="str">
        <f aca="false">IF($A214="","",AM213*$E213)</f>
        <v/>
      </c>
      <c r="AY213" s="195" t="str">
        <f aca="false">IF($A214="","",AN213*$E213)</f>
        <v/>
      </c>
      <c r="BA213" s="195" t="str">
        <f aca="false">IF($A214="","",F213*Summary!$Q$12)</f>
        <v/>
      </c>
    </row>
    <row r="214" customFormat="false" ht="12" hidden="false" customHeight="true" outlineLevel="0" collapsed="false">
      <c r="A214" s="196" t="str">
        <f aca="false">IF(A213&lt;mthend,EDATE(A213,1),"")</f>
        <v/>
      </c>
      <c r="B214" s="197" t="str">
        <f aca="false">IF(A214&lt;mthend,B213,"")</f>
        <v/>
      </c>
      <c r="C214" s="215"/>
      <c r="D214" s="197" t="str">
        <f aca="false">IF(A215&lt;&gt;"",B214+C214,"")</f>
        <v/>
      </c>
      <c r="E214" s="199" t="str">
        <f aca="false">IF(A215="","",IF(AND(AT214=1,$H$3=1),D214*AO214,IF($H$3=2,D214,"N/A")))</f>
        <v/>
      </c>
      <c r="F214" s="199" t="str">
        <f aca="false">IF(A215="","",E214*AS214)</f>
        <v/>
      </c>
      <c r="G214" s="200" t="str">
        <f aca="false">IF($A215="","",VLOOKUP($A214,Table,MATCH(G$4,Curves,0)))</f>
        <v/>
      </c>
      <c r="H214" s="201" t="str">
        <f aca="false">IF(A215="","",G214)</f>
        <v/>
      </c>
      <c r="I214" s="202"/>
      <c r="J214" s="200" t="str">
        <f aca="false">IF($A215="","",VLOOKUP($A214,Table,MATCH(J$4,Curves,0)))</f>
        <v/>
      </c>
      <c r="K214" s="201" t="str">
        <f aca="false">IF(A215="","",J214)</f>
        <v/>
      </c>
      <c r="L214" s="200" t="str">
        <f aca="false">IF($A215="","",VLOOKUP($A214,Table,MATCH(L$4,Curves,0)))</f>
        <v/>
      </c>
      <c r="M214" s="201" t="str">
        <f aca="false">IF(A215="","",L214)</f>
        <v/>
      </c>
      <c r="N214" s="203"/>
      <c r="O214" s="200" t="str">
        <f aca="false">IF(A215="","",L214+J214+G214)</f>
        <v/>
      </c>
      <c r="P214" s="200" t="str">
        <f aca="false">IF(A215="","",M214+K214+H214)</f>
        <v/>
      </c>
      <c r="Q214" s="204"/>
      <c r="R214" s="200" t="str">
        <f aca="false">IF($A215="","",VLOOKUP($A214,Table,MATCH(R$4,Curves,0)))</f>
        <v/>
      </c>
      <c r="S214" s="201" t="str">
        <f aca="false">IF(A215="","",R214)</f>
        <v/>
      </c>
      <c r="T214" s="200" t="str">
        <f aca="false">IF($A215="","",VLOOKUP($A214,Table,MATCH(T$4,Curves,0)))</f>
        <v/>
      </c>
      <c r="U214" s="201" t="str">
        <f aca="false">IF(A215="","",T214)</f>
        <v/>
      </c>
      <c r="V214" s="225" t="str">
        <f aca="false">IF($A215="","",IF(AND(MONTH(A214)&gt;3,MONTH(A214)&lt;11),(T214+R214+G214)*(((1/(1-Summary!$T$12))/(1-Summary!$W$12))-1),(T214+R214+G214)*((1/(1-Summary!$U$12))/(1-Summary!$X$12)-1)))</f>
        <v/>
      </c>
      <c r="W214" s="200" t="str">
        <f aca="false">IF($A215="","",(T214+R214+G214+V214))</f>
        <v/>
      </c>
      <c r="X214" s="200" t="str">
        <f aca="false">IF($A215="","",(U214+S214+H214+V214))</f>
        <v/>
      </c>
      <c r="Y214" s="202"/>
      <c r="Z214" s="185" t="str">
        <f aca="false">IF($A215="","",VLOOKUP($A214,Table,MATCH(Z$4,Curves,0)))</f>
        <v/>
      </c>
      <c r="AA214" s="185" t="str">
        <f aca="false">IF($A215="","",VLOOKUP($A214,Table,MATCH(AA$4,Curves,0)))</f>
        <v/>
      </c>
      <c r="AB214" s="185" t="e">
        <f aca="false">SQRT((AA214^2*(A214-$D$3)+Z214^2*(DAY(EOMONTH(A214,0))/2))/AK214)</f>
        <v>#VALUE!</v>
      </c>
      <c r="AC214" s="185" t="str">
        <f aca="false">IF($A215="","",VLOOKUP($A214,Table,MATCH(AC$4,Curves,0)))</f>
        <v/>
      </c>
      <c r="AD214" s="185" t="str">
        <f aca="false">IF($A215="","",VLOOKUP($A214,Table,MATCH(AD$4,Curves,0)))</f>
        <v/>
      </c>
      <c r="AE214" s="185" t="e">
        <f aca="false">SQRT((AD214^2*(A214-$D$3)+AC214^2*(DAY(EOMONTH(A214,0))/2))/AK214)</f>
        <v>#VALUE!</v>
      </c>
      <c r="AF214" s="206" t="e">
        <f aca="false">((Summary!$N$12*(AA214*AD214)*(A214-$D$3))+(Summary!$M$12*Z214*AC214*(AJ214-EOMONTH(EDATE(A214,-1),0))))/(AK214*AB214*AE214)</f>
        <v>#VALUE!</v>
      </c>
      <c r="AG214" s="207" t="str">
        <f aca="false">IF($A215="","",Summary!$Q$12)</f>
        <v/>
      </c>
      <c r="AH214" s="207" t="str">
        <f aca="false">IF($A215="","",IF(Summary!$R$12="Y",(VLOOKUP($A214,Summary!$AD$6:$AF$9,3)+'Escalating commodity'!H227),'Escalating commodity'!H227))</f>
        <v/>
      </c>
      <c r="AI214" s="207" t="str">
        <f aca="false">IF($A215="","",AH214)</f>
        <v/>
      </c>
      <c r="AJ214" s="208" t="e">
        <f aca="false">A214+DAY(EOMONTH(A214,0))/2-1</f>
        <v>#VALUE!</v>
      </c>
      <c r="AK214" s="209" t="str">
        <f aca="false">IF($A215="","",$A214-$E$1)</f>
        <v/>
      </c>
      <c r="AL214" s="182" t="str">
        <f aca="false">IF($A215="","",SPRDOPT(P214,X214,AI214,0,AB214,AE214,AF214,AK214,$AJ$2,0))</f>
        <v/>
      </c>
      <c r="AM214" s="211" t="str">
        <f aca="false">IF($A215="","",MAX(0,O214-W214-AI214))</f>
        <v/>
      </c>
      <c r="AN214" s="211" t="str">
        <f aca="false">IF($A215="","",AL214-AM214)</f>
        <v/>
      </c>
      <c r="AO214" s="137" t="str">
        <f aca="false">IF(A215="","",A215-A214)</f>
        <v/>
      </c>
      <c r="AP214" s="212" t="str">
        <f aca="false">IF(A215="","",CHOOSE(F$3,A215+24,A214))</f>
        <v/>
      </c>
      <c r="AQ214" s="209" t="str">
        <f aca="false">IF(A215="","",AP214-$E$1)</f>
        <v/>
      </c>
      <c r="AR214" s="185" t="n">
        <f aca="false">'ANR OK vs ML7'!AR214</f>
        <v>0.1</v>
      </c>
      <c r="AS214" s="213" t="str">
        <f aca="false">IF(A215="","",1/(1+CHOOSE(F$3,(AR215+($I$3/10000))/2,(AR214+($I$3/10000))/2))^(2*AQ214/365.25))</f>
        <v/>
      </c>
      <c r="AT214" s="137" t="str">
        <f aca="false">IF(A215="","",IF(AND(mthbeg&lt;=A214,mthend&gt;=A214),1,0))</f>
        <v/>
      </c>
      <c r="AU214" s="137" t="str">
        <f aca="false">IF(A215="","",AO214*AT214)</f>
        <v/>
      </c>
      <c r="AW214" s="195" t="str">
        <f aca="false">IF($A215="","",AL214*$E214)</f>
        <v/>
      </c>
      <c r="AX214" s="195" t="str">
        <f aca="false">IF($A215="","",AM214*$E214)</f>
        <v/>
      </c>
      <c r="AY214" s="195" t="str">
        <f aca="false">IF($A215="","",AN214*$E214)</f>
        <v/>
      </c>
      <c r="BA214" s="195" t="str">
        <f aca="false">IF($A215="","",F214*Summary!$Q$12)</f>
        <v/>
      </c>
    </row>
    <row r="215" customFormat="false" ht="12" hidden="false" customHeight="true" outlineLevel="0" collapsed="false">
      <c r="A215" s="196" t="str">
        <f aca="false">IF(A214&lt;mthend,EDATE(A214,1),"")</f>
        <v/>
      </c>
      <c r="B215" s="197" t="str">
        <f aca="false">IF(A215&lt;mthend,B214,"")</f>
        <v/>
      </c>
      <c r="C215" s="215"/>
      <c r="D215" s="197" t="str">
        <f aca="false">IF(A216&lt;&gt;"",B215+C215,"")</f>
        <v/>
      </c>
      <c r="E215" s="199" t="str">
        <f aca="false">IF(A216="","",IF(AND(AT215=1,$H$3=1),D215*AO215,IF($H$3=2,D215,"N/A")))</f>
        <v/>
      </c>
      <c r="F215" s="199" t="str">
        <f aca="false">IF(A216="","",E215*AS215)</f>
        <v/>
      </c>
      <c r="G215" s="200" t="str">
        <f aca="false">IF($A216="","",VLOOKUP($A215,Table,MATCH(G$4,Curves,0)))</f>
        <v/>
      </c>
      <c r="H215" s="201" t="str">
        <f aca="false">IF(A216="","",G215)</f>
        <v/>
      </c>
      <c r="I215" s="202"/>
      <c r="J215" s="200" t="str">
        <f aca="false">IF($A216="","",VLOOKUP($A215,Table,MATCH(J$4,Curves,0)))</f>
        <v/>
      </c>
      <c r="K215" s="201" t="str">
        <f aca="false">IF(A216="","",J215)</f>
        <v/>
      </c>
      <c r="L215" s="200" t="str">
        <f aca="false">IF($A216="","",VLOOKUP($A215,Table,MATCH(L$4,Curves,0)))</f>
        <v/>
      </c>
      <c r="M215" s="201" t="str">
        <f aca="false">IF(A216="","",L215)</f>
        <v/>
      </c>
      <c r="N215" s="203"/>
      <c r="O215" s="200" t="str">
        <f aca="false">IF(A216="","",L215+J215+G215)</f>
        <v/>
      </c>
      <c r="P215" s="200" t="str">
        <f aca="false">IF(A216="","",M215+K215+H215)</f>
        <v/>
      </c>
      <c r="Q215" s="204"/>
      <c r="R215" s="200" t="str">
        <f aca="false">IF($A216="","",VLOOKUP($A215,Table,MATCH(R$4,Curves,0)))</f>
        <v/>
      </c>
      <c r="S215" s="201" t="str">
        <f aca="false">IF(A216="","",R215)</f>
        <v/>
      </c>
      <c r="T215" s="200" t="str">
        <f aca="false">IF($A216="","",VLOOKUP($A215,Table,MATCH(T$4,Curves,0)))</f>
        <v/>
      </c>
      <c r="U215" s="201" t="str">
        <f aca="false">IF(A216="","",T215)</f>
        <v/>
      </c>
      <c r="V215" s="225" t="str">
        <f aca="false">IF($A216="","",IF(AND(MONTH(A215)&gt;3,MONTH(A215)&lt;11),(T215+R215+G215)*(((1/(1-Summary!$T$12))/(1-Summary!$W$12))-1),(T215+R215+G215)*((1/(1-Summary!$U$12))/(1-Summary!$X$12)-1)))</f>
        <v/>
      </c>
      <c r="W215" s="200" t="str">
        <f aca="false">IF($A216="","",(T215+R215+G215+V215))</f>
        <v/>
      </c>
      <c r="X215" s="200" t="str">
        <f aca="false">IF($A216="","",(U215+S215+H215+V215))</f>
        <v/>
      </c>
      <c r="Y215" s="202"/>
      <c r="Z215" s="185" t="str">
        <f aca="false">IF($A216="","",VLOOKUP($A215,Table,MATCH(Z$4,Curves,0)))</f>
        <v/>
      </c>
      <c r="AA215" s="185" t="str">
        <f aca="false">IF($A216="","",VLOOKUP($A215,Table,MATCH(AA$4,Curves,0)))</f>
        <v/>
      </c>
      <c r="AB215" s="185" t="e">
        <f aca="false">SQRT((AA215^2*(A215-$D$3)+Z215^2*(DAY(EOMONTH(A215,0))/2))/AK215)</f>
        <v>#VALUE!</v>
      </c>
      <c r="AC215" s="185" t="str">
        <f aca="false">IF($A216="","",VLOOKUP($A215,Table,MATCH(AC$4,Curves,0)))</f>
        <v/>
      </c>
      <c r="AD215" s="185" t="str">
        <f aca="false">IF($A216="","",VLOOKUP($A215,Table,MATCH(AD$4,Curves,0)))</f>
        <v/>
      </c>
      <c r="AE215" s="185" t="e">
        <f aca="false">SQRT((AD215^2*(A215-$D$3)+AC215^2*(DAY(EOMONTH(A215,0))/2))/AK215)</f>
        <v>#VALUE!</v>
      </c>
      <c r="AF215" s="206" t="e">
        <f aca="false">((Summary!$N$12*(AA215*AD215)*(A215-$D$3))+(Summary!$M$12*Z215*AC215*(AJ215-EOMONTH(EDATE(A215,-1),0))))/(AK215*AB215*AE215)</f>
        <v>#VALUE!</v>
      </c>
      <c r="AG215" s="207" t="str">
        <f aca="false">IF($A216="","",Summary!$Q$12)</f>
        <v/>
      </c>
      <c r="AH215" s="207" t="str">
        <f aca="false">IF($A216="","",IF(Summary!$R$12="Y",(VLOOKUP($A215,Summary!$AD$6:$AF$9,3)+'Escalating commodity'!H228),'Escalating commodity'!H228))</f>
        <v/>
      </c>
      <c r="AI215" s="207" t="str">
        <f aca="false">IF($A216="","",AH215)</f>
        <v/>
      </c>
      <c r="AJ215" s="208" t="e">
        <f aca="false">A215+DAY(EOMONTH(A215,0))/2-1</f>
        <v>#VALUE!</v>
      </c>
      <c r="AK215" s="209" t="str">
        <f aca="false">IF($A216="","",$A215-$E$1)</f>
        <v/>
      </c>
      <c r="AL215" s="182" t="str">
        <f aca="false">IF($A216="","",SPRDOPT(P215,X215,AI215,0,AB215,AE215,AF215,AK215,$AJ$2,0))</f>
        <v/>
      </c>
      <c r="AM215" s="211" t="str">
        <f aca="false">IF($A216="","",MAX(0,O215-W215-AI215))</f>
        <v/>
      </c>
      <c r="AN215" s="211" t="str">
        <f aca="false">IF($A216="","",AL215-AM215)</f>
        <v/>
      </c>
      <c r="AO215" s="137" t="str">
        <f aca="false">IF(A216="","",A216-A215)</f>
        <v/>
      </c>
      <c r="AP215" s="212" t="str">
        <f aca="false">IF(A216="","",CHOOSE(F$3,A216+24,A215))</f>
        <v/>
      </c>
      <c r="AQ215" s="209" t="str">
        <f aca="false">IF(A216="","",AP215-$E$1)</f>
        <v/>
      </c>
      <c r="AR215" s="185" t="n">
        <f aca="false">'ANR OK vs ML7'!AR215</f>
        <v>0.1</v>
      </c>
      <c r="AS215" s="213" t="str">
        <f aca="false">IF(A216="","",1/(1+CHOOSE(F$3,(AR216+($I$3/10000))/2,(AR215+($I$3/10000))/2))^(2*AQ215/365.25))</f>
        <v/>
      </c>
      <c r="AT215" s="137" t="str">
        <f aca="false">IF(A216="","",IF(AND(mthbeg&lt;=A215,mthend&gt;=A215),1,0))</f>
        <v/>
      </c>
      <c r="AU215" s="137" t="str">
        <f aca="false">IF(A216="","",AO215*AT215)</f>
        <v/>
      </c>
      <c r="AW215" s="195" t="str">
        <f aca="false">IF($A216="","",AL215*$E215)</f>
        <v/>
      </c>
      <c r="AX215" s="195" t="str">
        <f aca="false">IF($A216="","",AM215*$E215)</f>
        <v/>
      </c>
      <c r="AY215" s="195" t="str">
        <f aca="false">IF($A216="","",AN215*$E215)</f>
        <v/>
      </c>
      <c r="BA215" s="195" t="str">
        <f aca="false">IF($A216="","",F215*Summary!$Q$12)</f>
        <v/>
      </c>
    </row>
    <row r="216" customFormat="false" ht="12" hidden="false" customHeight="true" outlineLevel="0" collapsed="false">
      <c r="A216" s="196" t="str">
        <f aca="false">IF(A215&lt;mthend,EDATE(A215,1),"")</f>
        <v/>
      </c>
      <c r="B216" s="197" t="str">
        <f aca="false">IF(A216&lt;mthend,B215,"")</f>
        <v/>
      </c>
      <c r="C216" s="215"/>
      <c r="D216" s="197" t="str">
        <f aca="false">IF(A217&lt;&gt;"",B216+C216,"")</f>
        <v/>
      </c>
      <c r="E216" s="199" t="str">
        <f aca="false">IF(A217="","",IF(AND(AT216=1,$H$3=1),D216*AO216,IF($H$3=2,D216,"N/A")))</f>
        <v/>
      </c>
      <c r="F216" s="199" t="str">
        <f aca="false">IF(A217="","",E216*AS216)</f>
        <v/>
      </c>
      <c r="G216" s="200" t="str">
        <f aca="false">IF($A217="","",VLOOKUP($A216,Table,MATCH(G$4,Curves,0)))</f>
        <v/>
      </c>
      <c r="H216" s="201" t="str">
        <f aca="false">IF(A217="","",G216)</f>
        <v/>
      </c>
      <c r="I216" s="202"/>
      <c r="J216" s="200" t="str">
        <f aca="false">IF($A217="","",VLOOKUP($A216,Table,MATCH(J$4,Curves,0)))</f>
        <v/>
      </c>
      <c r="K216" s="201" t="str">
        <f aca="false">IF(A217="","",J216)</f>
        <v/>
      </c>
      <c r="L216" s="200" t="str">
        <f aca="false">IF($A217="","",VLOOKUP($A216,Table,MATCH(L$4,Curves,0)))</f>
        <v/>
      </c>
      <c r="M216" s="201" t="str">
        <f aca="false">IF(A217="","",L216)</f>
        <v/>
      </c>
      <c r="N216" s="203"/>
      <c r="O216" s="200" t="str">
        <f aca="false">IF(A217="","",L216+J216+G216)</f>
        <v/>
      </c>
      <c r="P216" s="200" t="str">
        <f aca="false">IF(A217="","",M216+K216+H216)</f>
        <v/>
      </c>
      <c r="Q216" s="204"/>
      <c r="R216" s="200" t="str">
        <f aca="false">IF($A217="","",VLOOKUP($A216,Table,MATCH(R$4,Curves,0)))</f>
        <v/>
      </c>
      <c r="S216" s="201" t="str">
        <f aca="false">IF(A217="","",R216)</f>
        <v/>
      </c>
      <c r="T216" s="200" t="str">
        <f aca="false">IF($A217="","",VLOOKUP($A216,Table,MATCH(T$4,Curves,0)))</f>
        <v/>
      </c>
      <c r="U216" s="201" t="str">
        <f aca="false">IF(A217="","",T216)</f>
        <v/>
      </c>
      <c r="V216" s="225" t="str">
        <f aca="false">IF($A217="","",IF(AND(MONTH(A216)&gt;3,MONTH(A216)&lt;11),(T216+R216+G216)*(((1/(1-Summary!$T$12))/(1-Summary!$W$12))-1),(T216+R216+G216)*((1/(1-Summary!$U$12))/(1-Summary!$X$12)-1)))</f>
        <v/>
      </c>
      <c r="W216" s="200" t="str">
        <f aca="false">IF($A217="","",(T216+R216+G216+V216))</f>
        <v/>
      </c>
      <c r="X216" s="200" t="str">
        <f aca="false">IF($A217="","",(U216+S216+H216+V216))</f>
        <v/>
      </c>
      <c r="Y216" s="202"/>
      <c r="Z216" s="185" t="str">
        <f aca="false">IF($A217="","",VLOOKUP($A216,Table,MATCH(Z$4,Curves,0)))</f>
        <v/>
      </c>
      <c r="AA216" s="185" t="str">
        <f aca="false">IF($A217="","",VLOOKUP($A216,Table,MATCH(AA$4,Curves,0)))</f>
        <v/>
      </c>
      <c r="AB216" s="185" t="e">
        <f aca="false">SQRT((AA216^2*(A216-$D$3)+Z216^2*(DAY(EOMONTH(A216,0))/2))/AK216)</f>
        <v>#VALUE!</v>
      </c>
      <c r="AC216" s="185" t="str">
        <f aca="false">IF($A217="","",VLOOKUP($A216,Table,MATCH(AC$4,Curves,0)))</f>
        <v/>
      </c>
      <c r="AD216" s="185" t="str">
        <f aca="false">IF($A217="","",VLOOKUP($A216,Table,MATCH(AD$4,Curves,0)))</f>
        <v/>
      </c>
      <c r="AE216" s="185" t="e">
        <f aca="false">SQRT((AD216^2*(A216-$D$3)+AC216^2*(DAY(EOMONTH(A216,0))/2))/AK216)</f>
        <v>#VALUE!</v>
      </c>
      <c r="AF216" s="206" t="e">
        <f aca="false">((Summary!$N$12*(AA216*AD216)*(A216-$D$3))+(Summary!$M$12*Z216*AC216*(AJ216-EOMONTH(EDATE(A216,-1),0))))/(AK216*AB216*AE216)</f>
        <v>#VALUE!</v>
      </c>
      <c r="AG216" s="207" t="str">
        <f aca="false">IF($A217="","",Summary!$Q$12)</f>
        <v/>
      </c>
      <c r="AH216" s="207" t="str">
        <f aca="false">IF($A217="","",IF(Summary!$R$12="Y",(VLOOKUP($A216,Summary!$AD$6:$AF$9,3)+'Escalating commodity'!H229),'Escalating commodity'!H229))</f>
        <v/>
      </c>
      <c r="AI216" s="207" t="str">
        <f aca="false">IF($A217="","",AH216)</f>
        <v/>
      </c>
      <c r="AJ216" s="208" t="e">
        <f aca="false">A216+DAY(EOMONTH(A216,0))/2-1</f>
        <v>#VALUE!</v>
      </c>
      <c r="AK216" s="209" t="str">
        <f aca="false">IF($A217="","",$A216-$E$1)</f>
        <v/>
      </c>
      <c r="AL216" s="182" t="str">
        <f aca="false">IF($A217="","",SPRDOPT(P216,X216,AI216,0,AB216,AE216,AF216,AK216,$AJ$2,0))</f>
        <v/>
      </c>
      <c r="AM216" s="211" t="str">
        <f aca="false">IF($A217="","",MAX(0,O216-W216-AI216))</f>
        <v/>
      </c>
      <c r="AN216" s="211" t="str">
        <f aca="false">IF($A217="","",AL216-AM216)</f>
        <v/>
      </c>
      <c r="AO216" s="137" t="str">
        <f aca="false">IF(A217="","",A217-A216)</f>
        <v/>
      </c>
      <c r="AP216" s="212" t="str">
        <f aca="false">IF(A217="","",CHOOSE(F$3,A217+24,A216))</f>
        <v/>
      </c>
      <c r="AQ216" s="209" t="str">
        <f aca="false">IF(A217="","",AP216-$E$1)</f>
        <v/>
      </c>
      <c r="AR216" s="185" t="n">
        <f aca="false">'ANR OK vs ML7'!AR216</f>
        <v>0.1</v>
      </c>
      <c r="AS216" s="213" t="str">
        <f aca="false">IF(A217="","",1/(1+CHOOSE(F$3,(AR217+($I$3/10000))/2,(AR216+($I$3/10000))/2))^(2*AQ216/365.25))</f>
        <v/>
      </c>
      <c r="AT216" s="137" t="str">
        <f aca="false">IF(A217="","",IF(AND(mthbeg&lt;=A216,mthend&gt;=A216),1,0))</f>
        <v/>
      </c>
      <c r="AU216" s="137" t="str">
        <f aca="false">IF(A217="","",AO216*AT216)</f>
        <v/>
      </c>
      <c r="AW216" s="195" t="str">
        <f aca="false">IF($A217="","",AL216*$E216)</f>
        <v/>
      </c>
      <c r="AX216" s="195" t="str">
        <f aca="false">IF($A217="","",AM216*$E216)</f>
        <v/>
      </c>
      <c r="AY216" s="195" t="str">
        <f aca="false">IF($A217="","",AN216*$E216)</f>
        <v/>
      </c>
      <c r="BA216" s="195" t="str">
        <f aca="false">IF($A217="","",F216*Summary!$Q$12)</f>
        <v/>
      </c>
    </row>
    <row r="217" customFormat="false" ht="12" hidden="false" customHeight="true" outlineLevel="0" collapsed="false">
      <c r="A217" s="196" t="str">
        <f aca="false">IF(A216&lt;mthend,EDATE(A216,1),"")</f>
        <v/>
      </c>
      <c r="B217" s="197" t="str">
        <f aca="false">IF(A217&lt;mthend,B216,"")</f>
        <v/>
      </c>
      <c r="C217" s="215"/>
      <c r="D217" s="197" t="str">
        <f aca="false">IF(A218&lt;&gt;"",B217+C217,"")</f>
        <v/>
      </c>
      <c r="E217" s="199" t="str">
        <f aca="false">IF(A218="","",IF(AND(AT217=1,$H$3=1),D217*AO217,IF($H$3=2,D217,"N/A")))</f>
        <v/>
      </c>
      <c r="F217" s="199" t="str">
        <f aca="false">IF(A218="","",E217*AS217)</f>
        <v/>
      </c>
      <c r="G217" s="200" t="str">
        <f aca="false">IF($A218="","",VLOOKUP($A217,Table,MATCH(G$4,Curves,0)))</f>
        <v/>
      </c>
      <c r="H217" s="201" t="str">
        <f aca="false">IF(A218="","",G217)</f>
        <v/>
      </c>
      <c r="I217" s="202"/>
      <c r="J217" s="200" t="str">
        <f aca="false">IF($A218="","",VLOOKUP($A217,Table,MATCH(J$4,Curves,0)))</f>
        <v/>
      </c>
      <c r="K217" s="201" t="str">
        <f aca="false">IF(A218="","",J217)</f>
        <v/>
      </c>
      <c r="L217" s="200" t="str">
        <f aca="false">IF($A218="","",VLOOKUP($A217,Table,MATCH(L$4,Curves,0)))</f>
        <v/>
      </c>
      <c r="M217" s="201" t="str">
        <f aca="false">IF(A218="","",L217)</f>
        <v/>
      </c>
      <c r="N217" s="203"/>
      <c r="O217" s="200" t="str">
        <f aca="false">IF(A218="","",L217+J217+G217)</f>
        <v/>
      </c>
      <c r="P217" s="200" t="str">
        <f aca="false">IF(A218="","",M217+K217+H217)</f>
        <v/>
      </c>
      <c r="Q217" s="204"/>
      <c r="R217" s="200" t="str">
        <f aca="false">IF($A218="","",VLOOKUP($A217,Table,MATCH(R$4,Curves,0)))</f>
        <v/>
      </c>
      <c r="S217" s="201" t="str">
        <f aca="false">IF(A218="","",R217)</f>
        <v/>
      </c>
      <c r="T217" s="200" t="str">
        <f aca="false">IF($A218="","",VLOOKUP($A217,Table,MATCH(T$4,Curves,0)))</f>
        <v/>
      </c>
      <c r="U217" s="201" t="str">
        <f aca="false">IF(A218="","",T217)</f>
        <v/>
      </c>
      <c r="V217" s="225" t="str">
        <f aca="false">IF($A218="","",IF(AND(MONTH(A217)&gt;3,MONTH(A217)&lt;11),(T217+R217+G217)*(((1/(1-Summary!$T$12))/(1-Summary!$W$12))-1),(T217+R217+G217)*((1/(1-Summary!$U$12))/(1-Summary!$X$12)-1)))</f>
        <v/>
      </c>
      <c r="W217" s="200" t="str">
        <f aca="false">IF($A218="","",(T217+R217+G217+V217))</f>
        <v/>
      </c>
      <c r="X217" s="200" t="str">
        <f aca="false">IF($A218="","",(U217+S217+H217+V217))</f>
        <v/>
      </c>
      <c r="Y217" s="202"/>
      <c r="Z217" s="185" t="str">
        <f aca="false">IF($A218="","",VLOOKUP($A217,Table,MATCH(Z$4,Curves,0)))</f>
        <v/>
      </c>
      <c r="AA217" s="185" t="str">
        <f aca="false">IF($A218="","",VLOOKUP($A217,Table,MATCH(AA$4,Curves,0)))</f>
        <v/>
      </c>
      <c r="AB217" s="185" t="e">
        <f aca="false">SQRT((AA217^2*(A217-$D$3)+Z217^2*(DAY(EOMONTH(A217,0))/2))/AK217)</f>
        <v>#VALUE!</v>
      </c>
      <c r="AC217" s="185" t="str">
        <f aca="false">IF($A218="","",VLOOKUP($A217,Table,MATCH(AC$4,Curves,0)))</f>
        <v/>
      </c>
      <c r="AD217" s="185" t="str">
        <f aca="false">IF($A218="","",VLOOKUP($A217,Table,MATCH(AD$4,Curves,0)))</f>
        <v/>
      </c>
      <c r="AE217" s="185" t="e">
        <f aca="false">SQRT((AD217^2*(A217-$D$3)+AC217^2*(DAY(EOMONTH(A217,0))/2))/AK217)</f>
        <v>#VALUE!</v>
      </c>
      <c r="AF217" s="206" t="e">
        <f aca="false">((Summary!$N$12*(AA217*AD217)*(A217-$D$3))+(Summary!$M$12*Z217*AC217*(AJ217-EOMONTH(EDATE(A217,-1),0))))/(AK217*AB217*AE217)</f>
        <v>#VALUE!</v>
      </c>
      <c r="AG217" s="207" t="str">
        <f aca="false">IF($A218="","",Summary!$Q$12)</f>
        <v/>
      </c>
      <c r="AH217" s="207" t="str">
        <f aca="false">IF($A218="","",IF(Summary!$R$12="Y",(VLOOKUP($A217,Summary!$AD$6:$AF$9,3)+'Escalating commodity'!H230),'Escalating commodity'!H230))</f>
        <v/>
      </c>
      <c r="AI217" s="207" t="str">
        <f aca="false">IF($A218="","",AH217)</f>
        <v/>
      </c>
      <c r="AJ217" s="208" t="e">
        <f aca="false">A217+DAY(EOMONTH(A217,0))/2-1</f>
        <v>#VALUE!</v>
      </c>
      <c r="AK217" s="209" t="str">
        <f aca="false">IF($A218="","",$A217-$E$1)</f>
        <v/>
      </c>
      <c r="AL217" s="182" t="str">
        <f aca="false">IF($A218="","",SPRDOPT(P217,X217,AI217,0,AB217,AE217,AF217,AK217,$AJ$2,0))</f>
        <v/>
      </c>
      <c r="AM217" s="211" t="str">
        <f aca="false">IF($A218="","",MAX(0,O217-W217-AI217))</f>
        <v/>
      </c>
      <c r="AN217" s="211" t="str">
        <f aca="false">IF($A218="","",AL217-AM217)</f>
        <v/>
      </c>
      <c r="AO217" s="137" t="str">
        <f aca="false">IF(A218="","",A218-A217)</f>
        <v/>
      </c>
      <c r="AP217" s="212" t="str">
        <f aca="false">IF(A218="","",CHOOSE(F$3,A218+24,A217))</f>
        <v/>
      </c>
      <c r="AQ217" s="209" t="str">
        <f aca="false">IF(A218="","",AP217-$E$1)</f>
        <v/>
      </c>
      <c r="AR217" s="185" t="n">
        <f aca="false">'ANR OK vs ML7'!AR217</f>
        <v>0.1</v>
      </c>
      <c r="AS217" s="213" t="str">
        <f aca="false">IF(A218="","",1/(1+CHOOSE(F$3,(AR218+($I$3/10000))/2,(AR217+($I$3/10000))/2))^(2*AQ217/365.25))</f>
        <v/>
      </c>
      <c r="AT217" s="137" t="str">
        <f aca="false">IF(A218="","",IF(AND(mthbeg&lt;=A217,mthend&gt;=A217),1,0))</f>
        <v/>
      </c>
      <c r="AU217" s="137" t="str">
        <f aca="false">IF(A218="","",AO217*AT217)</f>
        <v/>
      </c>
      <c r="AW217" s="195" t="str">
        <f aca="false">IF($A218="","",AL217*$E217)</f>
        <v/>
      </c>
      <c r="AX217" s="195" t="str">
        <f aca="false">IF($A218="","",AM217*$E217)</f>
        <v/>
      </c>
      <c r="AY217" s="195" t="str">
        <f aca="false">IF($A218="","",AN217*$E217)</f>
        <v/>
      </c>
      <c r="BA217" s="195" t="str">
        <f aca="false">IF($A218="","",F217*Summary!$Q$12)</f>
        <v/>
      </c>
    </row>
    <row r="218" customFormat="false" ht="12" hidden="false" customHeight="true" outlineLevel="0" collapsed="false">
      <c r="A218" s="196" t="str">
        <f aca="false">IF(A217&lt;mthend,EDATE(A217,1),"")</f>
        <v/>
      </c>
      <c r="B218" s="197" t="str">
        <f aca="false">IF(A218&lt;mthend,B217,"")</f>
        <v/>
      </c>
      <c r="C218" s="215"/>
      <c r="D218" s="197" t="str">
        <f aca="false">IF(A219&lt;&gt;"",B218+C218,"")</f>
        <v/>
      </c>
      <c r="E218" s="199" t="str">
        <f aca="false">IF(A219="","",IF(AND(AT218=1,$H$3=1),D218*AO218,IF($H$3=2,D218,"N/A")))</f>
        <v/>
      </c>
      <c r="F218" s="199" t="str">
        <f aca="false">IF(A219="","",E218*AS218)</f>
        <v/>
      </c>
      <c r="G218" s="200" t="str">
        <f aca="false">IF($A219="","",VLOOKUP($A218,Table,MATCH(G$4,Curves,0)))</f>
        <v/>
      </c>
      <c r="H218" s="201" t="str">
        <f aca="false">IF(A219="","",G218)</f>
        <v/>
      </c>
      <c r="I218" s="202"/>
      <c r="J218" s="200" t="str">
        <f aca="false">IF($A219="","",VLOOKUP($A218,Table,MATCH(J$4,Curves,0)))</f>
        <v/>
      </c>
      <c r="K218" s="201" t="str">
        <f aca="false">IF(A219="","",J218)</f>
        <v/>
      </c>
      <c r="L218" s="200" t="str">
        <f aca="false">IF($A219="","",VLOOKUP($A218,Table,MATCH(L$4,Curves,0)))</f>
        <v/>
      </c>
      <c r="M218" s="201" t="str">
        <f aca="false">IF(A219="","",L218)</f>
        <v/>
      </c>
      <c r="N218" s="203"/>
      <c r="O218" s="200" t="str">
        <f aca="false">IF(A219="","",L218+J218+G218)</f>
        <v/>
      </c>
      <c r="P218" s="200" t="str">
        <f aca="false">IF(A219="","",M218+K218+H218)</f>
        <v/>
      </c>
      <c r="Q218" s="204"/>
      <c r="R218" s="200" t="str">
        <f aca="false">IF($A219="","",VLOOKUP($A218,Table,MATCH(R$4,Curves,0)))</f>
        <v/>
      </c>
      <c r="S218" s="201" t="str">
        <f aca="false">IF(A219="","",R218)</f>
        <v/>
      </c>
      <c r="T218" s="200" t="str">
        <f aca="false">IF($A219="","",VLOOKUP($A218,Table,MATCH(T$4,Curves,0)))</f>
        <v/>
      </c>
      <c r="U218" s="201" t="str">
        <f aca="false">IF(A219="","",T218)</f>
        <v/>
      </c>
      <c r="V218" s="225" t="str">
        <f aca="false">IF($A219="","",IF(AND(MONTH(A218)&gt;3,MONTH(A218)&lt;11),(T218+R218+G218)*(((1/(1-Summary!$T$12))/(1-Summary!$W$12))-1),(T218+R218+G218)*((1/(1-Summary!$U$12))/(1-Summary!$X$12)-1)))</f>
        <v/>
      </c>
      <c r="W218" s="200" t="str">
        <f aca="false">IF($A219="","",(T218+R218+G218+V218))</f>
        <v/>
      </c>
      <c r="X218" s="200" t="str">
        <f aca="false">IF($A219="","",(U218+S218+H218+V218))</f>
        <v/>
      </c>
      <c r="Y218" s="202"/>
      <c r="Z218" s="185" t="str">
        <f aca="false">IF($A219="","",VLOOKUP($A218,Table,MATCH(Z$4,Curves,0)))</f>
        <v/>
      </c>
      <c r="AA218" s="185" t="str">
        <f aca="false">IF($A219="","",VLOOKUP($A218,Table,MATCH(AA$4,Curves,0)))</f>
        <v/>
      </c>
      <c r="AB218" s="185" t="e">
        <f aca="false">SQRT((AA218^2*(A218-$D$3)+Z218^2*(DAY(EOMONTH(A218,0))/2))/AK218)</f>
        <v>#VALUE!</v>
      </c>
      <c r="AC218" s="185" t="str">
        <f aca="false">IF($A219="","",VLOOKUP($A218,Table,MATCH(AC$4,Curves,0)))</f>
        <v/>
      </c>
      <c r="AD218" s="185" t="str">
        <f aca="false">IF($A219="","",VLOOKUP($A218,Table,MATCH(AD$4,Curves,0)))</f>
        <v/>
      </c>
      <c r="AE218" s="185" t="e">
        <f aca="false">SQRT((AD218^2*(A218-$D$3)+AC218^2*(DAY(EOMONTH(A218,0))/2))/AK218)</f>
        <v>#VALUE!</v>
      </c>
      <c r="AF218" s="206" t="e">
        <f aca="false">((Summary!$N$12*(AA218*AD218)*(A218-$D$3))+(Summary!$M$12*Z218*AC218*(AJ218-EOMONTH(EDATE(A218,-1),0))))/(AK218*AB218*AE218)</f>
        <v>#VALUE!</v>
      </c>
      <c r="AG218" s="207" t="str">
        <f aca="false">IF($A219="","",Summary!$Q$12)</f>
        <v/>
      </c>
      <c r="AH218" s="207" t="str">
        <f aca="false">IF($A219="","",IF(Summary!$R$12="Y",(VLOOKUP($A218,Summary!$AD$6:$AF$9,3)+'Escalating commodity'!H231),'Escalating commodity'!H231))</f>
        <v/>
      </c>
      <c r="AI218" s="207" t="str">
        <f aca="false">IF($A219="","",AH218)</f>
        <v/>
      </c>
      <c r="AJ218" s="208" t="e">
        <f aca="false">A218+DAY(EOMONTH(A218,0))/2-1</f>
        <v>#VALUE!</v>
      </c>
      <c r="AK218" s="209" t="str">
        <f aca="false">IF($A219="","",$A218-$E$1)</f>
        <v/>
      </c>
      <c r="AL218" s="182" t="str">
        <f aca="false">IF($A219="","",SPRDOPT(P218,X218,AI218,0,AB218,AE218,AF218,AK218,$AJ$2,0))</f>
        <v/>
      </c>
      <c r="AM218" s="211" t="str">
        <f aca="false">IF($A219="","",MAX(0,O218-W218-AI218))</f>
        <v/>
      </c>
      <c r="AN218" s="211" t="str">
        <f aca="false">IF($A219="","",AL218-AM218)</f>
        <v/>
      </c>
      <c r="AO218" s="137" t="str">
        <f aca="false">IF(A219="","",A219-A218)</f>
        <v/>
      </c>
      <c r="AP218" s="212" t="str">
        <f aca="false">IF(A219="","",CHOOSE(F$3,A219+24,A218))</f>
        <v/>
      </c>
      <c r="AQ218" s="209" t="str">
        <f aca="false">IF(A219="","",AP218-$E$1)</f>
        <v/>
      </c>
      <c r="AR218" s="185" t="n">
        <f aca="false">'ANR OK vs ML7'!AR218</f>
        <v>0.1</v>
      </c>
      <c r="AS218" s="213" t="str">
        <f aca="false">IF(A219="","",1/(1+CHOOSE(F$3,(AR219+($I$3/10000))/2,(AR218+($I$3/10000))/2))^(2*AQ218/365.25))</f>
        <v/>
      </c>
      <c r="AT218" s="137" t="str">
        <f aca="false">IF(A219="","",IF(AND(mthbeg&lt;=A218,mthend&gt;=A218),1,0))</f>
        <v/>
      </c>
      <c r="AU218" s="137" t="str">
        <f aca="false">IF(A219="","",AO218*AT218)</f>
        <v/>
      </c>
      <c r="AW218" s="195" t="str">
        <f aca="false">IF($A219="","",AL218*$E218)</f>
        <v/>
      </c>
      <c r="AX218" s="195" t="str">
        <f aca="false">IF($A219="","",AM218*$E218)</f>
        <v/>
      </c>
      <c r="AY218" s="195" t="str">
        <f aca="false">IF($A219="","",AN218*$E218)</f>
        <v/>
      </c>
      <c r="BA218" s="195" t="str">
        <f aca="false">IF($A219="","",F218*Summary!$Q$12)</f>
        <v/>
      </c>
    </row>
    <row r="219" customFormat="false" ht="12" hidden="false" customHeight="true" outlineLevel="0" collapsed="false">
      <c r="A219" s="196" t="str">
        <f aca="false">IF(A218&lt;mthend,EDATE(A218,1),"")</f>
        <v/>
      </c>
      <c r="B219" s="197" t="str">
        <f aca="false">IF(A219&lt;mthend,B218,"")</f>
        <v/>
      </c>
      <c r="C219" s="215"/>
      <c r="D219" s="197" t="str">
        <f aca="false">IF(A220&lt;&gt;"",B219+C219,"")</f>
        <v/>
      </c>
      <c r="E219" s="199" t="str">
        <f aca="false">IF(A220="","",IF(AND(AT219=1,$H$3=1),D219*AO219,IF($H$3=2,D219,"N/A")))</f>
        <v/>
      </c>
      <c r="F219" s="199" t="str">
        <f aca="false">IF(A220="","",E219*AS219)</f>
        <v/>
      </c>
      <c r="G219" s="200" t="str">
        <f aca="false">IF($A220="","",VLOOKUP($A219,Table,MATCH(G$4,Curves,0)))</f>
        <v/>
      </c>
      <c r="H219" s="201" t="str">
        <f aca="false">IF(A220="","",G219)</f>
        <v/>
      </c>
      <c r="I219" s="202"/>
      <c r="J219" s="200" t="str">
        <f aca="false">IF($A220="","",VLOOKUP($A219,Table,MATCH(J$4,Curves,0)))</f>
        <v/>
      </c>
      <c r="K219" s="201" t="str">
        <f aca="false">IF(A220="","",J219)</f>
        <v/>
      </c>
      <c r="L219" s="200" t="str">
        <f aca="false">IF($A220="","",VLOOKUP($A219,Table,MATCH(L$4,Curves,0)))</f>
        <v/>
      </c>
      <c r="M219" s="201" t="str">
        <f aca="false">IF(A220="","",L219)</f>
        <v/>
      </c>
      <c r="N219" s="203"/>
      <c r="O219" s="200" t="str">
        <f aca="false">IF(A220="","",L219+J219+G219)</f>
        <v/>
      </c>
      <c r="P219" s="200" t="str">
        <f aca="false">IF(A220="","",M219+K219+H219)</f>
        <v/>
      </c>
      <c r="Q219" s="204"/>
      <c r="R219" s="200" t="str">
        <f aca="false">IF($A220="","",VLOOKUP($A219,Table,MATCH(R$4,Curves,0)))</f>
        <v/>
      </c>
      <c r="S219" s="201" t="str">
        <f aca="false">IF(A220="","",R219)</f>
        <v/>
      </c>
      <c r="T219" s="200" t="str">
        <f aca="false">IF($A220="","",VLOOKUP($A219,Table,MATCH(T$4,Curves,0)))</f>
        <v/>
      </c>
      <c r="U219" s="201" t="str">
        <f aca="false">IF(A220="","",T219)</f>
        <v/>
      </c>
      <c r="V219" s="225" t="str">
        <f aca="false">IF($A220="","",IF(AND(MONTH(A219)&gt;3,MONTH(A219)&lt;11),(T219+R219+G219)*(((1/(1-Summary!$T$12))/(1-Summary!$W$12))-1),(T219+R219+G219)*((1/(1-Summary!$U$12))/(1-Summary!$X$12)-1)))</f>
        <v/>
      </c>
      <c r="W219" s="200" t="str">
        <f aca="false">IF($A220="","",(T219+R219+G219+V219))</f>
        <v/>
      </c>
      <c r="X219" s="200" t="str">
        <f aca="false">IF($A220="","",(U219+S219+H219+V219))</f>
        <v/>
      </c>
      <c r="Y219" s="202"/>
      <c r="Z219" s="185" t="str">
        <f aca="false">IF($A220="","",VLOOKUP($A219,Table,MATCH(Z$4,Curves,0)))</f>
        <v/>
      </c>
      <c r="AA219" s="185" t="str">
        <f aca="false">IF($A220="","",VLOOKUP($A219,Table,MATCH(AA$4,Curves,0)))</f>
        <v/>
      </c>
      <c r="AB219" s="185" t="e">
        <f aca="false">SQRT((AA219^2*(A219-$D$3)+Z219^2*(DAY(EOMONTH(A219,0))/2))/AK219)</f>
        <v>#VALUE!</v>
      </c>
      <c r="AC219" s="185" t="str">
        <f aca="false">IF($A220="","",VLOOKUP($A219,Table,MATCH(AC$4,Curves,0)))</f>
        <v/>
      </c>
      <c r="AD219" s="185" t="str">
        <f aca="false">IF($A220="","",VLOOKUP($A219,Table,MATCH(AD$4,Curves,0)))</f>
        <v/>
      </c>
      <c r="AE219" s="185" t="e">
        <f aca="false">SQRT((AD219^2*(A219-$D$3)+AC219^2*(DAY(EOMONTH(A219,0))/2))/AK219)</f>
        <v>#VALUE!</v>
      </c>
      <c r="AF219" s="206" t="e">
        <f aca="false">((Summary!$N$12*(AA219*AD219)*(A219-$D$3))+(Summary!$M$12*Z219*AC219*(AJ219-EOMONTH(EDATE(A219,-1),0))))/(AK219*AB219*AE219)</f>
        <v>#VALUE!</v>
      </c>
      <c r="AG219" s="207" t="str">
        <f aca="false">IF($A220="","",Summary!$Q$12)</f>
        <v/>
      </c>
      <c r="AH219" s="207" t="str">
        <f aca="false">IF($A220="","",IF(Summary!$R$12="Y",(VLOOKUP($A219,Summary!$AD$6:$AF$9,3)+'Escalating commodity'!H232),'Escalating commodity'!H232))</f>
        <v/>
      </c>
      <c r="AI219" s="207" t="str">
        <f aca="false">IF($A220="","",AH219)</f>
        <v/>
      </c>
      <c r="AJ219" s="208" t="e">
        <f aca="false">A219+DAY(EOMONTH(A219,0))/2-1</f>
        <v>#VALUE!</v>
      </c>
      <c r="AK219" s="209" t="str">
        <f aca="false">IF($A220="","",$A219-$E$1)</f>
        <v/>
      </c>
      <c r="AL219" s="182" t="str">
        <f aca="false">IF($A220="","",SPRDOPT(P219,X219,AI219,0,AB219,AE219,AF219,AK219,$AJ$2,0))</f>
        <v/>
      </c>
      <c r="AM219" s="211" t="str">
        <f aca="false">IF($A220="","",MAX(0,O219-W219-AI219))</f>
        <v/>
      </c>
      <c r="AN219" s="211" t="str">
        <f aca="false">IF($A220="","",AL219-AM219)</f>
        <v/>
      </c>
      <c r="AO219" s="137" t="str">
        <f aca="false">IF(A220="","",A220-A219)</f>
        <v/>
      </c>
      <c r="AP219" s="212" t="str">
        <f aca="false">IF(A220="","",CHOOSE(F$3,A220+24,A219))</f>
        <v/>
      </c>
      <c r="AQ219" s="209" t="str">
        <f aca="false">IF(A220="","",AP219-$E$1)</f>
        <v/>
      </c>
      <c r="AR219" s="185" t="n">
        <f aca="false">'ANR OK vs ML7'!AR219</f>
        <v>0.1</v>
      </c>
      <c r="AS219" s="213" t="str">
        <f aca="false">IF(A220="","",1/(1+CHOOSE(F$3,(AR220+($I$3/10000))/2,(AR219+($I$3/10000))/2))^(2*AQ219/365.25))</f>
        <v/>
      </c>
      <c r="AT219" s="137" t="str">
        <f aca="false">IF(A220="","",IF(AND(mthbeg&lt;=A219,mthend&gt;=A219),1,0))</f>
        <v/>
      </c>
      <c r="AU219" s="137" t="str">
        <f aca="false">IF(A220="","",AO219*AT219)</f>
        <v/>
      </c>
      <c r="AW219" s="195" t="str">
        <f aca="false">IF($A220="","",AL219*$E219)</f>
        <v/>
      </c>
      <c r="AX219" s="195" t="str">
        <f aca="false">IF($A220="","",AM219*$E219)</f>
        <v/>
      </c>
      <c r="AY219" s="195" t="str">
        <f aca="false">IF($A220="","",AN219*$E219)</f>
        <v/>
      </c>
      <c r="BA219" s="195" t="str">
        <f aca="false">IF($A220="","",F219*Summary!$Q$12)</f>
        <v/>
      </c>
    </row>
    <row r="220" customFormat="false" ht="12" hidden="false" customHeight="true" outlineLevel="0" collapsed="false">
      <c r="A220" s="196" t="str">
        <f aca="false">IF(A219&lt;mthend,EDATE(A219,1),"")</f>
        <v/>
      </c>
      <c r="B220" s="197" t="str">
        <f aca="false">IF(A220&lt;mthend,B219,"")</f>
        <v/>
      </c>
      <c r="C220" s="215"/>
      <c r="D220" s="197" t="str">
        <f aca="false">IF(A221&lt;&gt;"",B220+C220,"")</f>
        <v/>
      </c>
      <c r="E220" s="199" t="str">
        <f aca="false">IF(A221="","",IF(AND(AT220=1,$H$3=1),D220*AO220,IF($H$3=2,D220,"N/A")))</f>
        <v/>
      </c>
      <c r="F220" s="199" t="str">
        <f aca="false">IF(A221="","",E220*AS220)</f>
        <v/>
      </c>
      <c r="G220" s="200" t="str">
        <f aca="false">IF($A221="","",VLOOKUP($A220,Table,MATCH(G$4,Curves,0)))</f>
        <v/>
      </c>
      <c r="H220" s="201" t="str">
        <f aca="false">IF(A221="","",G220)</f>
        <v/>
      </c>
      <c r="I220" s="202"/>
      <c r="J220" s="200" t="str">
        <f aca="false">IF($A221="","",VLOOKUP($A220,Table,MATCH(J$4,Curves,0)))</f>
        <v/>
      </c>
      <c r="K220" s="201" t="str">
        <f aca="false">IF(A221="","",J220)</f>
        <v/>
      </c>
      <c r="L220" s="200" t="str">
        <f aca="false">IF($A221="","",VLOOKUP($A220,Table,MATCH(L$4,Curves,0)))</f>
        <v/>
      </c>
      <c r="M220" s="201" t="str">
        <f aca="false">IF(A221="","",L220)</f>
        <v/>
      </c>
      <c r="N220" s="203"/>
      <c r="O220" s="200" t="str">
        <f aca="false">IF(A221="","",L220+J220+G220)</f>
        <v/>
      </c>
      <c r="P220" s="200" t="str">
        <f aca="false">IF(A221="","",M220+K220+H220)</f>
        <v/>
      </c>
      <c r="Q220" s="204"/>
      <c r="R220" s="200" t="str">
        <f aca="false">IF($A221="","",VLOOKUP($A220,Table,MATCH(R$4,Curves,0)))</f>
        <v/>
      </c>
      <c r="S220" s="201" t="str">
        <f aca="false">IF(A221="","",R220)</f>
        <v/>
      </c>
      <c r="T220" s="200" t="str">
        <f aca="false">IF($A221="","",VLOOKUP($A220,Table,MATCH(T$4,Curves,0)))</f>
        <v/>
      </c>
      <c r="U220" s="201" t="str">
        <f aca="false">IF(A221="","",T220)</f>
        <v/>
      </c>
      <c r="V220" s="225" t="str">
        <f aca="false">IF($A221="","",IF(AND(MONTH(A220)&gt;3,MONTH(A220)&lt;11),(T220+R220+G220)*(((1/(1-Summary!$T$12))/(1-Summary!$W$12))-1),(T220+R220+G220)*((1/(1-Summary!$U$12))/(1-Summary!$X$12)-1)))</f>
        <v/>
      </c>
      <c r="W220" s="200" t="str">
        <f aca="false">IF($A221="","",(T220+R220+G220+V220))</f>
        <v/>
      </c>
      <c r="X220" s="200" t="str">
        <f aca="false">IF($A221="","",(U220+S220+H220+V220))</f>
        <v/>
      </c>
      <c r="Y220" s="202"/>
      <c r="Z220" s="185" t="str">
        <f aca="false">IF($A221="","",VLOOKUP($A220,Table,MATCH(Z$4,Curves,0)))</f>
        <v/>
      </c>
      <c r="AA220" s="185" t="str">
        <f aca="false">IF($A221="","",VLOOKUP($A220,Table,MATCH(AA$4,Curves,0)))</f>
        <v/>
      </c>
      <c r="AB220" s="185" t="e">
        <f aca="false">SQRT((AA220^2*(A220-$D$3)+Z220^2*(DAY(EOMONTH(A220,0))/2))/AK220)</f>
        <v>#VALUE!</v>
      </c>
      <c r="AC220" s="185" t="str">
        <f aca="false">IF($A221="","",VLOOKUP($A220,Table,MATCH(AC$4,Curves,0)))</f>
        <v/>
      </c>
      <c r="AD220" s="185" t="str">
        <f aca="false">IF($A221="","",VLOOKUP($A220,Table,MATCH(AD$4,Curves,0)))</f>
        <v/>
      </c>
      <c r="AE220" s="185" t="e">
        <f aca="false">SQRT((AD220^2*(A220-$D$3)+AC220^2*(DAY(EOMONTH(A220,0))/2))/AK220)</f>
        <v>#VALUE!</v>
      </c>
      <c r="AF220" s="206" t="e">
        <f aca="false">((Summary!$N$12*(AA220*AD220)*(A220-$D$3))+(Summary!$M$12*Z220*AC220*(AJ220-EOMONTH(EDATE(A220,-1),0))))/(AK220*AB220*AE220)</f>
        <v>#VALUE!</v>
      </c>
      <c r="AG220" s="207" t="str">
        <f aca="false">IF($A221="","",Summary!$Q$12)</f>
        <v/>
      </c>
      <c r="AH220" s="207" t="str">
        <f aca="false">IF($A221="","",IF(Summary!$R$12="Y",(VLOOKUP($A220,Summary!$AD$6:$AF$9,3)+'Escalating commodity'!H233),'Escalating commodity'!H233))</f>
        <v/>
      </c>
      <c r="AI220" s="207" t="str">
        <f aca="false">IF($A221="","",AH220)</f>
        <v/>
      </c>
      <c r="AJ220" s="208" t="e">
        <f aca="false">A220+DAY(EOMONTH(A220,0))/2-1</f>
        <v>#VALUE!</v>
      </c>
      <c r="AK220" s="209" t="str">
        <f aca="false">IF($A221="","",$A220-$E$1)</f>
        <v/>
      </c>
      <c r="AL220" s="182" t="str">
        <f aca="false">IF($A221="","",SPRDOPT(P220,X220,AI220,0,AB220,AE220,AF220,AK220,$AJ$2,0))</f>
        <v/>
      </c>
      <c r="AM220" s="211" t="str">
        <f aca="false">IF($A221="","",MAX(0,O220-W220-AI220))</f>
        <v/>
      </c>
      <c r="AN220" s="211" t="str">
        <f aca="false">IF($A221="","",AL220-AM220)</f>
        <v/>
      </c>
      <c r="AO220" s="137" t="str">
        <f aca="false">IF(A221="","",A221-A220)</f>
        <v/>
      </c>
      <c r="AP220" s="212" t="str">
        <f aca="false">IF(A221="","",CHOOSE(F$3,A221+24,A220))</f>
        <v/>
      </c>
      <c r="AQ220" s="209" t="str">
        <f aca="false">IF(A221="","",AP220-$E$1)</f>
        <v/>
      </c>
      <c r="AR220" s="185" t="n">
        <f aca="false">'ANR OK vs ML7'!AR220</f>
        <v>0.1</v>
      </c>
      <c r="AS220" s="213" t="str">
        <f aca="false">IF(A221="","",1/(1+CHOOSE(F$3,(AR221+($I$3/10000))/2,(AR220+($I$3/10000))/2))^(2*AQ220/365.25))</f>
        <v/>
      </c>
      <c r="AT220" s="137" t="str">
        <f aca="false">IF(A221="","",IF(AND(mthbeg&lt;=A220,mthend&gt;=A220),1,0))</f>
        <v/>
      </c>
      <c r="AU220" s="137" t="str">
        <f aca="false">IF(A221="","",AO220*AT220)</f>
        <v/>
      </c>
      <c r="AW220" s="195" t="str">
        <f aca="false">IF($A221="","",AL220*$E220)</f>
        <v/>
      </c>
      <c r="AX220" s="195" t="str">
        <f aca="false">IF($A221="","",AM220*$E220)</f>
        <v/>
      </c>
      <c r="AY220" s="195" t="str">
        <f aca="false">IF($A221="","",AN220*$E220)</f>
        <v/>
      </c>
      <c r="BA220" s="195" t="str">
        <f aca="false">IF($A221="","",F220*Summary!$Q$12)</f>
        <v/>
      </c>
    </row>
    <row r="221" customFormat="false" ht="12" hidden="false" customHeight="true" outlineLevel="0" collapsed="false">
      <c r="A221" s="196" t="str">
        <f aca="false">IF(A220&lt;mthend,EDATE(A220,1),"")</f>
        <v/>
      </c>
      <c r="B221" s="197" t="str">
        <f aca="false">IF(A221&lt;mthend,B220,"")</f>
        <v/>
      </c>
      <c r="C221" s="215"/>
      <c r="D221" s="197" t="str">
        <f aca="false">IF(A222&lt;&gt;"",B221+C221,"")</f>
        <v/>
      </c>
      <c r="E221" s="199" t="str">
        <f aca="false">IF(A222="","",IF(AND(AT221=1,$H$3=1),D221*AO221,IF($H$3=2,D221,"N/A")))</f>
        <v/>
      </c>
      <c r="F221" s="199" t="str">
        <f aca="false">IF(A222="","",E221*AS221)</f>
        <v/>
      </c>
      <c r="G221" s="200" t="str">
        <f aca="false">IF($A222="","",VLOOKUP($A221,Table,MATCH(G$4,Curves,0)))</f>
        <v/>
      </c>
      <c r="H221" s="201" t="str">
        <f aca="false">IF(A222="","",G221)</f>
        <v/>
      </c>
      <c r="I221" s="202"/>
      <c r="J221" s="200" t="str">
        <f aca="false">IF($A222="","",VLOOKUP($A221,Table,MATCH(J$4,Curves,0)))</f>
        <v/>
      </c>
      <c r="K221" s="201" t="str">
        <f aca="false">IF(A222="","",J221)</f>
        <v/>
      </c>
      <c r="L221" s="200" t="str">
        <f aca="false">IF($A222="","",VLOOKUP($A221,Table,MATCH(L$4,Curves,0)))</f>
        <v/>
      </c>
      <c r="M221" s="201" t="str">
        <f aca="false">IF(A222="","",L221)</f>
        <v/>
      </c>
      <c r="N221" s="203"/>
      <c r="O221" s="200" t="str">
        <f aca="false">IF(A222="","",L221+J221+G221)</f>
        <v/>
      </c>
      <c r="P221" s="200" t="str">
        <f aca="false">IF(A222="","",M221+K221+H221)</f>
        <v/>
      </c>
      <c r="Q221" s="204"/>
      <c r="R221" s="200" t="str">
        <f aca="false">IF($A222="","",VLOOKUP($A221,Table,MATCH(R$4,Curves,0)))</f>
        <v/>
      </c>
      <c r="S221" s="201" t="str">
        <f aca="false">IF(A222="","",R221)</f>
        <v/>
      </c>
      <c r="T221" s="200" t="str">
        <f aca="false">IF($A222="","",VLOOKUP($A221,Table,MATCH(T$4,Curves,0)))</f>
        <v/>
      </c>
      <c r="U221" s="201" t="str">
        <f aca="false">IF(A222="","",T221)</f>
        <v/>
      </c>
      <c r="V221" s="225" t="str">
        <f aca="false">IF($A222="","",IF(AND(MONTH(A221)&gt;3,MONTH(A221)&lt;11),(T221+R221+G221)*(((1/(1-Summary!$T$12))/(1-Summary!$W$12))-1),(T221+R221+G221)*((1/(1-Summary!$U$12))/(1-Summary!$X$12)-1)))</f>
        <v/>
      </c>
      <c r="W221" s="200" t="str">
        <f aca="false">IF($A222="","",(T221+R221+G221+V221))</f>
        <v/>
      </c>
      <c r="X221" s="200" t="str">
        <f aca="false">IF($A222="","",(U221+S221+H221+V221))</f>
        <v/>
      </c>
      <c r="Y221" s="202"/>
      <c r="Z221" s="185" t="str">
        <f aca="false">IF($A222="","",VLOOKUP($A221,Table,MATCH(Z$4,Curves,0)))</f>
        <v/>
      </c>
      <c r="AA221" s="185" t="str">
        <f aca="false">IF($A222="","",VLOOKUP($A221,Table,MATCH(AA$4,Curves,0)))</f>
        <v/>
      </c>
      <c r="AB221" s="185" t="e">
        <f aca="false">SQRT((AA221^2*(A221-$D$3)+Z221^2*(DAY(EOMONTH(A221,0))/2))/AK221)</f>
        <v>#VALUE!</v>
      </c>
      <c r="AC221" s="185" t="str">
        <f aca="false">IF($A222="","",VLOOKUP($A221,Table,MATCH(AC$4,Curves,0)))</f>
        <v/>
      </c>
      <c r="AD221" s="185" t="str">
        <f aca="false">IF($A222="","",VLOOKUP($A221,Table,MATCH(AD$4,Curves,0)))</f>
        <v/>
      </c>
      <c r="AE221" s="185" t="e">
        <f aca="false">SQRT((AD221^2*(A221-$D$3)+AC221^2*(DAY(EOMONTH(A221,0))/2))/AK221)</f>
        <v>#VALUE!</v>
      </c>
      <c r="AF221" s="206" t="e">
        <f aca="false">((Summary!$N$12*(AA221*AD221)*(A221-$D$3))+(Summary!$M$12*Z221*AC221*(AJ221-EOMONTH(EDATE(A221,-1),0))))/(AK221*AB221*AE221)</f>
        <v>#VALUE!</v>
      </c>
      <c r="AG221" s="207" t="str">
        <f aca="false">IF($A222="","",Summary!$Q$12)</f>
        <v/>
      </c>
      <c r="AH221" s="207" t="str">
        <f aca="false">IF($A222="","",IF(Summary!$R$12="Y",(VLOOKUP($A221,Summary!$AD$6:$AF$9,3)+'Escalating commodity'!H234),'Escalating commodity'!H234))</f>
        <v/>
      </c>
      <c r="AI221" s="207" t="str">
        <f aca="false">IF($A222="","",AH221)</f>
        <v/>
      </c>
      <c r="AJ221" s="208" t="e">
        <f aca="false">A221+DAY(EOMONTH(A221,0))/2-1</f>
        <v>#VALUE!</v>
      </c>
      <c r="AK221" s="209" t="str">
        <f aca="false">IF($A222="","",$A221-$E$1)</f>
        <v/>
      </c>
      <c r="AL221" s="182" t="str">
        <f aca="false">IF($A222="","",SPRDOPT(P221,X221,AI221,0,AB221,AE221,AF221,AK221,$AJ$2,0))</f>
        <v/>
      </c>
      <c r="AM221" s="211" t="str">
        <f aca="false">IF($A222="","",MAX(0,O221-W221-AI221))</f>
        <v/>
      </c>
      <c r="AN221" s="211" t="str">
        <f aca="false">IF($A222="","",AL221-AM221)</f>
        <v/>
      </c>
      <c r="AO221" s="137" t="str">
        <f aca="false">IF(A222="","",A222-A221)</f>
        <v/>
      </c>
      <c r="AP221" s="212" t="str">
        <f aca="false">IF(A222="","",CHOOSE(F$3,A222+24,A221))</f>
        <v/>
      </c>
      <c r="AQ221" s="209" t="str">
        <f aca="false">IF(A222="","",AP221-$E$1)</f>
        <v/>
      </c>
      <c r="AR221" s="185" t="n">
        <f aca="false">'ANR OK vs ML7'!AR221</f>
        <v>0.1</v>
      </c>
      <c r="AS221" s="213" t="str">
        <f aca="false">IF(A222="","",1/(1+CHOOSE(F$3,(AR222+($I$3/10000))/2,(AR221+($I$3/10000))/2))^(2*AQ221/365.25))</f>
        <v/>
      </c>
      <c r="AT221" s="137" t="str">
        <f aca="false">IF(A222="","",IF(AND(mthbeg&lt;=A221,mthend&gt;=A221),1,0))</f>
        <v/>
      </c>
      <c r="AU221" s="137" t="str">
        <f aca="false">IF(A222="","",AO221*AT221)</f>
        <v/>
      </c>
      <c r="AW221" s="195" t="str">
        <f aca="false">IF($A222="","",AL221*$E221)</f>
        <v/>
      </c>
      <c r="AX221" s="195" t="str">
        <f aca="false">IF($A222="","",AM221*$E221)</f>
        <v/>
      </c>
      <c r="AY221" s="195" t="str">
        <f aca="false">IF($A222="","",AN221*$E221)</f>
        <v/>
      </c>
      <c r="BA221" s="195" t="str">
        <f aca="false">IF($A222="","",F221*Summary!$Q$12)</f>
        <v/>
      </c>
    </row>
    <row r="222" customFormat="false" ht="12" hidden="false" customHeight="true" outlineLevel="0" collapsed="false">
      <c r="A222" s="196" t="str">
        <f aca="false">IF(A221&lt;mthend,EDATE(A221,1),"")</f>
        <v/>
      </c>
      <c r="B222" s="197" t="str">
        <f aca="false">IF(A222&lt;mthend,B221,"")</f>
        <v/>
      </c>
      <c r="C222" s="215"/>
      <c r="D222" s="197" t="str">
        <f aca="false">IF(A223&lt;&gt;"",B222+C222,"")</f>
        <v/>
      </c>
      <c r="E222" s="199" t="str">
        <f aca="false">IF(A223="","",IF(AND(AT222=1,$H$3=1),D222*AO222,IF($H$3=2,D222,"N/A")))</f>
        <v/>
      </c>
      <c r="F222" s="199" t="str">
        <f aca="false">IF(A223="","",E222*AS222)</f>
        <v/>
      </c>
      <c r="G222" s="200" t="str">
        <f aca="false">IF($A223="","",VLOOKUP($A222,Table,MATCH(G$4,Curves,0)))</f>
        <v/>
      </c>
      <c r="H222" s="201" t="str">
        <f aca="false">IF(A223="","",G222)</f>
        <v/>
      </c>
      <c r="I222" s="202"/>
      <c r="J222" s="200" t="str">
        <f aca="false">IF($A223="","",VLOOKUP($A222,Table,MATCH(J$4,Curves,0)))</f>
        <v/>
      </c>
      <c r="K222" s="201" t="str">
        <f aca="false">IF(A223="","",J222)</f>
        <v/>
      </c>
      <c r="L222" s="200" t="str">
        <f aca="false">IF($A223="","",VLOOKUP($A222,Table,MATCH(L$4,Curves,0)))</f>
        <v/>
      </c>
      <c r="M222" s="201" t="str">
        <f aca="false">IF(A223="","",L222)</f>
        <v/>
      </c>
      <c r="N222" s="203"/>
      <c r="O222" s="200" t="str">
        <f aca="false">IF(A223="","",L222+J222+G222)</f>
        <v/>
      </c>
      <c r="P222" s="200" t="str">
        <f aca="false">IF(A223="","",M222+K222+H222)</f>
        <v/>
      </c>
      <c r="Q222" s="204"/>
      <c r="R222" s="200" t="str">
        <f aca="false">IF($A223="","",VLOOKUP($A222,Table,MATCH(R$4,Curves,0)))</f>
        <v/>
      </c>
      <c r="S222" s="201" t="str">
        <f aca="false">IF(A223="","",R222)</f>
        <v/>
      </c>
      <c r="T222" s="200" t="str">
        <f aca="false">IF($A223="","",VLOOKUP($A222,Table,MATCH(T$4,Curves,0)))</f>
        <v/>
      </c>
      <c r="U222" s="201" t="str">
        <f aca="false">IF(A223="","",T222)</f>
        <v/>
      </c>
      <c r="V222" s="225" t="str">
        <f aca="false">IF($A223="","",IF(AND(MONTH(A222)&gt;3,MONTH(A222)&lt;11),(T222+R222+G222)*(((1/(1-Summary!$T$12))/(1-Summary!$W$12))-1),(T222+R222+G222)*((1/(1-Summary!$U$12))/(1-Summary!$X$12)-1)))</f>
        <v/>
      </c>
      <c r="W222" s="200" t="str">
        <f aca="false">IF($A223="","",(T222+R222+G222+V222))</f>
        <v/>
      </c>
      <c r="X222" s="200" t="str">
        <f aca="false">IF($A223="","",(U222+S222+H222+V222))</f>
        <v/>
      </c>
      <c r="Y222" s="202"/>
      <c r="Z222" s="185" t="str">
        <f aca="false">IF($A223="","",VLOOKUP($A222,Table,MATCH(Z$4,Curves,0)))</f>
        <v/>
      </c>
      <c r="AA222" s="185" t="str">
        <f aca="false">IF($A223="","",VLOOKUP($A222,Table,MATCH(AA$4,Curves,0)))</f>
        <v/>
      </c>
      <c r="AB222" s="185" t="e">
        <f aca="false">SQRT((AA222^2*(A222-$D$3)+Z222^2*(DAY(EOMONTH(A222,0))/2))/AK222)</f>
        <v>#VALUE!</v>
      </c>
      <c r="AC222" s="185" t="str">
        <f aca="false">IF($A223="","",VLOOKUP($A222,Table,MATCH(AC$4,Curves,0)))</f>
        <v/>
      </c>
      <c r="AD222" s="185" t="str">
        <f aca="false">IF($A223="","",VLOOKUP($A222,Table,MATCH(AD$4,Curves,0)))</f>
        <v/>
      </c>
      <c r="AE222" s="185" t="e">
        <f aca="false">SQRT((AD222^2*(A222-$D$3)+AC222^2*(DAY(EOMONTH(A222,0))/2))/AK222)</f>
        <v>#VALUE!</v>
      </c>
      <c r="AF222" s="206" t="e">
        <f aca="false">((Summary!$N$12*(AA222*AD222)*(A222-$D$3))+(Summary!$M$12*Z222*AC222*(AJ222-EOMONTH(EDATE(A222,-1),0))))/(AK222*AB222*AE222)</f>
        <v>#VALUE!</v>
      </c>
      <c r="AG222" s="207" t="str">
        <f aca="false">IF($A223="","",Summary!$Q$12)</f>
        <v/>
      </c>
      <c r="AH222" s="207" t="str">
        <f aca="false">IF($A223="","",IF(Summary!$R$12="Y",(VLOOKUP($A222,Summary!$AD$6:$AF$9,3)+'Escalating commodity'!H235),'Escalating commodity'!H235))</f>
        <v/>
      </c>
      <c r="AI222" s="207" t="str">
        <f aca="false">IF($A223="","",AH222)</f>
        <v/>
      </c>
      <c r="AJ222" s="208" t="e">
        <f aca="false">A222+DAY(EOMONTH(A222,0))/2-1</f>
        <v>#VALUE!</v>
      </c>
      <c r="AK222" s="209" t="str">
        <f aca="false">IF($A223="","",$A222-$E$1)</f>
        <v/>
      </c>
      <c r="AL222" s="182" t="str">
        <f aca="false">IF($A223="","",SPRDOPT(P222,X222,AI222,0,AB222,AE222,AF222,AK222,$AJ$2,0))</f>
        <v/>
      </c>
      <c r="AM222" s="211" t="str">
        <f aca="false">IF($A223="","",MAX(0,O222-W222-AI222))</f>
        <v/>
      </c>
      <c r="AN222" s="211" t="str">
        <f aca="false">IF($A223="","",AL222-AM222)</f>
        <v/>
      </c>
      <c r="AO222" s="137" t="str">
        <f aca="false">IF(A223="","",A223-A222)</f>
        <v/>
      </c>
      <c r="AP222" s="212" t="str">
        <f aca="false">IF(A223="","",CHOOSE(F$3,A223+24,A222))</f>
        <v/>
      </c>
      <c r="AQ222" s="209" t="str">
        <f aca="false">IF(A223="","",AP222-$E$1)</f>
        <v/>
      </c>
      <c r="AR222" s="185" t="n">
        <f aca="false">'ANR OK vs ML7'!AR222</f>
        <v>0.1</v>
      </c>
      <c r="AS222" s="213" t="str">
        <f aca="false">IF(A223="","",1/(1+CHOOSE(F$3,(AR223+($I$3/10000))/2,(AR222+($I$3/10000))/2))^(2*AQ222/365.25))</f>
        <v/>
      </c>
      <c r="AT222" s="137" t="str">
        <f aca="false">IF(A223="","",IF(AND(mthbeg&lt;=A222,mthend&gt;=A222),1,0))</f>
        <v/>
      </c>
      <c r="AU222" s="137" t="str">
        <f aca="false">IF(A223="","",AO222*AT222)</f>
        <v/>
      </c>
      <c r="AW222" s="195" t="str">
        <f aca="false">IF($A223="","",AL222*$E222)</f>
        <v/>
      </c>
      <c r="AX222" s="195" t="str">
        <f aca="false">IF($A223="","",AM222*$E222)</f>
        <v/>
      </c>
      <c r="AY222" s="195" t="str">
        <f aca="false">IF($A223="","",AN222*$E222)</f>
        <v/>
      </c>
      <c r="BA222" s="195" t="str">
        <f aca="false">IF($A223="","",F222*Summary!$Q$12)</f>
        <v/>
      </c>
    </row>
    <row r="223" customFormat="false" ht="12" hidden="false" customHeight="true" outlineLevel="0" collapsed="false">
      <c r="A223" s="196" t="str">
        <f aca="false">IF(A222&lt;mthend,EDATE(A222,1),"")</f>
        <v/>
      </c>
      <c r="B223" s="197" t="str">
        <f aca="false">IF(A223&lt;mthend,B222,"")</f>
        <v/>
      </c>
      <c r="C223" s="215"/>
      <c r="D223" s="197" t="str">
        <f aca="false">IF(A224&lt;&gt;"",B223+C223,"")</f>
        <v/>
      </c>
      <c r="E223" s="199" t="str">
        <f aca="false">IF(A224="","",IF(AND(AT223=1,$H$3=1),D223*AO223,IF($H$3=2,D223,"N/A")))</f>
        <v/>
      </c>
      <c r="F223" s="199" t="str">
        <f aca="false">IF(A224="","",E223*AS223)</f>
        <v/>
      </c>
      <c r="G223" s="200" t="str">
        <f aca="false">IF($A224="","",VLOOKUP($A223,Table,MATCH(G$4,Curves,0)))</f>
        <v/>
      </c>
      <c r="H223" s="201" t="str">
        <f aca="false">IF(A224="","",G223)</f>
        <v/>
      </c>
      <c r="I223" s="202"/>
      <c r="J223" s="200" t="str">
        <f aca="false">IF($A224="","",VLOOKUP($A223,Table,MATCH(J$4,Curves,0)))</f>
        <v/>
      </c>
      <c r="K223" s="201" t="str">
        <f aca="false">IF(A224="","",J223)</f>
        <v/>
      </c>
      <c r="L223" s="200" t="str">
        <f aca="false">IF($A224="","",VLOOKUP($A223,Table,MATCH(L$4,Curves,0)))</f>
        <v/>
      </c>
      <c r="M223" s="201" t="str">
        <f aca="false">IF(A224="","",L223)</f>
        <v/>
      </c>
      <c r="N223" s="203"/>
      <c r="O223" s="200" t="str">
        <f aca="false">IF(A224="","",L223+J223+G223)</f>
        <v/>
      </c>
      <c r="P223" s="200" t="str">
        <f aca="false">IF(A224="","",M223+K223+H223)</f>
        <v/>
      </c>
      <c r="Q223" s="204"/>
      <c r="R223" s="200" t="str">
        <f aca="false">IF($A224="","",VLOOKUP($A223,Table,MATCH(R$4,Curves,0)))</f>
        <v/>
      </c>
      <c r="S223" s="201" t="str">
        <f aca="false">IF(A224="","",R223)</f>
        <v/>
      </c>
      <c r="T223" s="200" t="str">
        <f aca="false">IF($A224="","",VLOOKUP($A223,Table,MATCH(T$4,Curves,0)))</f>
        <v/>
      </c>
      <c r="U223" s="201" t="str">
        <f aca="false">IF(A224="","",T223)</f>
        <v/>
      </c>
      <c r="V223" s="225" t="str">
        <f aca="false">IF($A224="","",IF(AND(MONTH(A223)&gt;3,MONTH(A223)&lt;11),(T223+R223+G223)*(((1/(1-Summary!$T$12))/(1-Summary!$W$12))-1),(T223+R223+G223)*((1/(1-Summary!$U$12))/(1-Summary!$X$12)-1)))</f>
        <v/>
      </c>
      <c r="W223" s="200" t="str">
        <f aca="false">IF($A224="","",(T223+R223+G223+V223))</f>
        <v/>
      </c>
      <c r="X223" s="200" t="str">
        <f aca="false">IF($A224="","",(U223+S223+H223+V223))</f>
        <v/>
      </c>
      <c r="Y223" s="202"/>
      <c r="Z223" s="185" t="str">
        <f aca="false">IF($A224="","",VLOOKUP($A223,Table,MATCH(Z$4,Curves,0)))</f>
        <v/>
      </c>
      <c r="AA223" s="185" t="str">
        <f aca="false">IF($A224="","",VLOOKUP($A223,Table,MATCH(AA$4,Curves,0)))</f>
        <v/>
      </c>
      <c r="AB223" s="185" t="e">
        <f aca="false">SQRT((AA223^2*(A223-$D$3)+Z223^2*(DAY(EOMONTH(A223,0))/2))/AK223)</f>
        <v>#VALUE!</v>
      </c>
      <c r="AC223" s="185" t="str">
        <f aca="false">IF($A224="","",VLOOKUP($A223,Table,MATCH(AC$4,Curves,0)))</f>
        <v/>
      </c>
      <c r="AD223" s="185" t="str">
        <f aca="false">IF($A224="","",VLOOKUP($A223,Table,MATCH(AD$4,Curves,0)))</f>
        <v/>
      </c>
      <c r="AE223" s="185" t="e">
        <f aca="false">SQRT((AD223^2*(A223-$D$3)+AC223^2*(DAY(EOMONTH(A223,0))/2))/AK223)</f>
        <v>#VALUE!</v>
      </c>
      <c r="AF223" s="206" t="e">
        <f aca="false">((Summary!$N$12*(AA223*AD223)*(A223-$D$3))+(Summary!$M$12*Z223*AC223*(AJ223-EOMONTH(EDATE(A223,-1),0))))/(AK223*AB223*AE223)</f>
        <v>#VALUE!</v>
      </c>
      <c r="AG223" s="207" t="str">
        <f aca="false">IF($A224="","",Summary!$Q$12)</f>
        <v/>
      </c>
      <c r="AH223" s="207" t="str">
        <f aca="false">IF($A224="","",IF(Summary!$R$12="Y",(VLOOKUP($A223,Summary!$AD$6:$AF$9,3)+'Escalating commodity'!H236),'Escalating commodity'!H236))</f>
        <v/>
      </c>
      <c r="AI223" s="207" t="str">
        <f aca="false">IF($A224="","",AH223)</f>
        <v/>
      </c>
      <c r="AJ223" s="208" t="e">
        <f aca="false">A223+DAY(EOMONTH(A223,0))/2-1</f>
        <v>#VALUE!</v>
      </c>
      <c r="AK223" s="209" t="str">
        <f aca="false">IF($A224="","",$A223-$E$1)</f>
        <v/>
      </c>
      <c r="AL223" s="182" t="str">
        <f aca="false">IF($A224="","",SPRDOPT(P223,X223,AI223,0,AB223,AE223,AF223,AK223,$AJ$2,0))</f>
        <v/>
      </c>
      <c r="AM223" s="211" t="str">
        <f aca="false">IF($A224="","",MAX(0,O223-W223-AI223))</f>
        <v/>
      </c>
      <c r="AN223" s="211" t="str">
        <f aca="false">IF($A224="","",AL223-AM223)</f>
        <v/>
      </c>
      <c r="AO223" s="137" t="str">
        <f aca="false">IF(A224="","",A224-A223)</f>
        <v/>
      </c>
      <c r="AP223" s="212" t="str">
        <f aca="false">IF(A224="","",CHOOSE(F$3,A224+24,A223))</f>
        <v/>
      </c>
      <c r="AQ223" s="209" t="str">
        <f aca="false">IF(A224="","",AP223-$E$1)</f>
        <v/>
      </c>
      <c r="AR223" s="185" t="n">
        <f aca="false">'ANR OK vs ML7'!AR223</f>
        <v>0.1</v>
      </c>
      <c r="AS223" s="213" t="str">
        <f aca="false">IF(A224="","",1/(1+CHOOSE(F$3,(AR224+($I$3/10000))/2,(AR223+($I$3/10000))/2))^(2*AQ223/365.25))</f>
        <v/>
      </c>
      <c r="AT223" s="137" t="str">
        <f aca="false">IF(A224="","",IF(AND(mthbeg&lt;=A223,mthend&gt;=A223),1,0))</f>
        <v/>
      </c>
      <c r="AU223" s="137" t="str">
        <f aca="false">IF(A224="","",AO223*AT223)</f>
        <v/>
      </c>
      <c r="AW223" s="195" t="str">
        <f aca="false">IF($A224="","",AL223*$E223)</f>
        <v/>
      </c>
      <c r="AX223" s="195" t="str">
        <f aca="false">IF($A224="","",AM223*$E223)</f>
        <v/>
      </c>
      <c r="AY223" s="195" t="str">
        <f aca="false">IF($A224="","",AN223*$E223)</f>
        <v/>
      </c>
      <c r="BA223" s="195" t="str">
        <f aca="false">IF($A224="","",F223*Summary!$Q$12)</f>
        <v/>
      </c>
    </row>
    <row r="224" customFormat="false" ht="12" hidden="false" customHeight="true" outlineLevel="0" collapsed="false">
      <c r="A224" s="196" t="str">
        <f aca="false">IF(A223&lt;mthend,EDATE(A223,1),"")</f>
        <v/>
      </c>
      <c r="B224" s="197" t="str">
        <f aca="false">IF(A224&lt;mthend,B223,"")</f>
        <v/>
      </c>
      <c r="C224" s="215"/>
      <c r="D224" s="197" t="str">
        <f aca="false">IF(A225&lt;&gt;"",B224+C224,"")</f>
        <v/>
      </c>
      <c r="E224" s="199" t="str">
        <f aca="false">IF(A225="","",IF(AND(AT224=1,$H$3=1),D224*AO224,IF($H$3=2,D224,"N/A")))</f>
        <v/>
      </c>
      <c r="F224" s="199" t="str">
        <f aca="false">IF(A225="","",E224*AS224)</f>
        <v/>
      </c>
      <c r="G224" s="200" t="str">
        <f aca="false">IF($A225="","",VLOOKUP($A224,Table,MATCH(G$4,Curves,0)))</f>
        <v/>
      </c>
      <c r="H224" s="201" t="str">
        <f aca="false">IF(A225="","",G224)</f>
        <v/>
      </c>
      <c r="I224" s="202"/>
      <c r="J224" s="200" t="str">
        <f aca="false">IF($A225="","",VLOOKUP($A224,Table,MATCH(J$4,Curves,0)))</f>
        <v/>
      </c>
      <c r="K224" s="201" t="str">
        <f aca="false">IF(A225="","",J224)</f>
        <v/>
      </c>
      <c r="L224" s="200" t="str">
        <f aca="false">IF($A225="","",VLOOKUP($A224,Table,MATCH(L$4,Curves,0)))</f>
        <v/>
      </c>
      <c r="M224" s="201" t="str">
        <f aca="false">IF(A225="","",L224)</f>
        <v/>
      </c>
      <c r="N224" s="203"/>
      <c r="O224" s="200" t="str">
        <f aca="false">IF(A225="","",L224+J224+G224)</f>
        <v/>
      </c>
      <c r="P224" s="200" t="str">
        <f aca="false">IF(A225="","",M224+K224+H224)</f>
        <v/>
      </c>
      <c r="Q224" s="204"/>
      <c r="R224" s="200" t="str">
        <f aca="false">IF($A225="","",VLOOKUP($A224,Table,MATCH(R$4,Curves,0)))</f>
        <v/>
      </c>
      <c r="S224" s="201" t="str">
        <f aca="false">IF(A225="","",R224)</f>
        <v/>
      </c>
      <c r="T224" s="200" t="str">
        <f aca="false">IF($A225="","",VLOOKUP($A224,Table,MATCH(T$4,Curves,0)))</f>
        <v/>
      </c>
      <c r="U224" s="201" t="str">
        <f aca="false">IF(A225="","",T224)</f>
        <v/>
      </c>
      <c r="V224" s="225" t="str">
        <f aca="false">IF($A225="","",IF(AND(MONTH(A224)&gt;3,MONTH(A224)&lt;11),(T224+R224+G224)*(((1/(1-Summary!$T$12))/(1-Summary!$W$12))-1),(T224+R224+G224)*((1/(1-Summary!$U$12))/(1-Summary!$X$12)-1)))</f>
        <v/>
      </c>
      <c r="W224" s="200" t="str">
        <f aca="false">IF($A225="","",(T224+R224+G224+V224))</f>
        <v/>
      </c>
      <c r="X224" s="200" t="str">
        <f aca="false">IF($A225="","",(U224+S224+H224+V224))</f>
        <v/>
      </c>
      <c r="Y224" s="202"/>
      <c r="Z224" s="185" t="str">
        <f aca="false">IF($A225="","",VLOOKUP($A224,Table,MATCH(Z$4,Curves,0)))</f>
        <v/>
      </c>
      <c r="AA224" s="185" t="str">
        <f aca="false">IF($A225="","",VLOOKUP($A224,Table,MATCH(AA$4,Curves,0)))</f>
        <v/>
      </c>
      <c r="AB224" s="185" t="e">
        <f aca="false">SQRT((AA224^2*(A224-$D$3)+Z224^2*(DAY(EOMONTH(A224,0))/2))/AK224)</f>
        <v>#VALUE!</v>
      </c>
      <c r="AC224" s="185" t="str">
        <f aca="false">IF($A225="","",VLOOKUP($A224,Table,MATCH(AC$4,Curves,0)))</f>
        <v/>
      </c>
      <c r="AD224" s="185" t="str">
        <f aca="false">IF($A225="","",VLOOKUP($A224,Table,MATCH(AD$4,Curves,0)))</f>
        <v/>
      </c>
      <c r="AE224" s="185" t="e">
        <f aca="false">SQRT((AD224^2*(A224-$D$3)+AC224^2*(DAY(EOMONTH(A224,0))/2))/AK224)</f>
        <v>#VALUE!</v>
      </c>
      <c r="AF224" s="206" t="e">
        <f aca="false">((Summary!$N$12*(AA224*AD224)*(A224-$D$3))+(Summary!$M$12*Z224*AC224*(AJ224-EOMONTH(EDATE(A224,-1),0))))/(AK224*AB224*AE224)</f>
        <v>#VALUE!</v>
      </c>
      <c r="AG224" s="207" t="str">
        <f aca="false">IF($A225="","",Summary!$Q$12)</f>
        <v/>
      </c>
      <c r="AH224" s="207" t="str">
        <f aca="false">IF($A225="","",IF(Summary!$R$12="Y",(VLOOKUP($A224,Summary!$AD$6:$AF$9,3)+'Escalating commodity'!H237),'Escalating commodity'!H237))</f>
        <v/>
      </c>
      <c r="AI224" s="207" t="str">
        <f aca="false">IF($A225="","",AH224)</f>
        <v/>
      </c>
      <c r="AJ224" s="208" t="e">
        <f aca="false">A224+DAY(EOMONTH(A224,0))/2-1</f>
        <v>#VALUE!</v>
      </c>
      <c r="AK224" s="209" t="str">
        <f aca="false">IF($A225="","",$A224-$E$1)</f>
        <v/>
      </c>
      <c r="AL224" s="182" t="str">
        <f aca="false">IF($A225="","",SPRDOPT(P224,X224,AI224,0,AB224,AE224,AF224,AK224,$AJ$2,0))</f>
        <v/>
      </c>
      <c r="AM224" s="211" t="str">
        <f aca="false">IF($A225="","",MAX(0,O224-W224-AI224))</f>
        <v/>
      </c>
      <c r="AN224" s="211" t="str">
        <f aca="false">IF($A225="","",AL224-AM224)</f>
        <v/>
      </c>
      <c r="AO224" s="137" t="str">
        <f aca="false">IF(A225="","",A225-A224)</f>
        <v/>
      </c>
      <c r="AP224" s="212" t="str">
        <f aca="false">IF(A225="","",CHOOSE(F$3,A225+24,A224))</f>
        <v/>
      </c>
      <c r="AQ224" s="209" t="str">
        <f aca="false">IF(A225="","",AP224-$E$1)</f>
        <v/>
      </c>
      <c r="AR224" s="185" t="n">
        <f aca="false">'ANR OK vs ML7'!AR224</f>
        <v>0.1</v>
      </c>
      <c r="AS224" s="213" t="str">
        <f aca="false">IF(A225="","",1/(1+CHOOSE(F$3,(AR225+($I$3/10000))/2,(AR224+($I$3/10000))/2))^(2*AQ224/365.25))</f>
        <v/>
      </c>
      <c r="AT224" s="137" t="str">
        <f aca="false">IF(A225="","",IF(AND(mthbeg&lt;=A224,mthend&gt;=A224),1,0))</f>
        <v/>
      </c>
      <c r="AU224" s="137" t="str">
        <f aca="false">IF(A225="","",AO224*AT224)</f>
        <v/>
      </c>
      <c r="AW224" s="195" t="str">
        <f aca="false">IF($A225="","",AL224*$E224)</f>
        <v/>
      </c>
      <c r="AX224" s="195" t="str">
        <f aca="false">IF($A225="","",AM224*$E224)</f>
        <v/>
      </c>
      <c r="AY224" s="195" t="str">
        <f aca="false">IF($A225="","",AN224*$E224)</f>
        <v/>
      </c>
      <c r="BA224" s="195" t="str">
        <f aca="false">IF($A225="","",F224*Summary!$Q$12)</f>
        <v/>
      </c>
    </row>
    <row r="225" customFormat="false" ht="12" hidden="false" customHeight="true" outlineLevel="0" collapsed="false">
      <c r="A225" s="196" t="str">
        <f aca="false">IF(A224&lt;mthend,EDATE(A224,1),"")</f>
        <v/>
      </c>
      <c r="B225" s="197" t="str">
        <f aca="false">IF(A225&lt;mthend,B224,"")</f>
        <v/>
      </c>
      <c r="C225" s="215"/>
      <c r="D225" s="197" t="str">
        <f aca="false">IF(A226&lt;&gt;"",B225+C225,"")</f>
        <v/>
      </c>
      <c r="E225" s="199" t="str">
        <f aca="false">IF(A226="","",IF(AND(AT225=1,$H$3=1),D225*AO225,IF($H$3=2,D225,"N/A")))</f>
        <v/>
      </c>
      <c r="F225" s="199" t="str">
        <f aca="false">IF(A226="","",E225*AS225)</f>
        <v/>
      </c>
      <c r="G225" s="200" t="str">
        <f aca="false">IF($A226="","",VLOOKUP($A225,Table,MATCH(G$4,Curves,0)))</f>
        <v/>
      </c>
      <c r="H225" s="201" t="str">
        <f aca="false">IF(A226="","",G225)</f>
        <v/>
      </c>
      <c r="I225" s="202"/>
      <c r="J225" s="200" t="str">
        <f aca="false">IF($A226="","",VLOOKUP($A225,Table,MATCH(J$4,Curves,0)))</f>
        <v/>
      </c>
      <c r="K225" s="201" t="str">
        <f aca="false">IF(A226="","",J225)</f>
        <v/>
      </c>
      <c r="L225" s="200" t="str">
        <f aca="false">IF($A226="","",VLOOKUP($A225,Table,MATCH(L$4,Curves,0)))</f>
        <v/>
      </c>
      <c r="M225" s="201" t="str">
        <f aca="false">IF(A226="","",L225)</f>
        <v/>
      </c>
      <c r="N225" s="203"/>
      <c r="O225" s="200" t="str">
        <f aca="false">IF(A226="","",L225+J225+G225)</f>
        <v/>
      </c>
      <c r="P225" s="200" t="str">
        <f aca="false">IF(A226="","",M225+K225+H225)</f>
        <v/>
      </c>
      <c r="Q225" s="204"/>
      <c r="R225" s="200" t="str">
        <f aca="false">IF($A226="","",VLOOKUP($A225,Table,MATCH(R$4,Curves,0)))</f>
        <v/>
      </c>
      <c r="S225" s="201" t="str">
        <f aca="false">IF(A226="","",R225)</f>
        <v/>
      </c>
      <c r="T225" s="200" t="str">
        <f aca="false">IF($A226="","",VLOOKUP($A225,Table,MATCH(T$4,Curves,0)))</f>
        <v/>
      </c>
      <c r="U225" s="201" t="str">
        <f aca="false">IF(A226="","",T225)</f>
        <v/>
      </c>
      <c r="V225" s="225" t="str">
        <f aca="false">IF($A226="","",IF(AND(MONTH(A225)&gt;3,MONTH(A225)&lt;11),(T225+R225+G225)*(((1/(1-Summary!$T$12))/(1-Summary!$W$12))-1),(T225+R225+G225)*((1/(1-Summary!$U$12))/(1-Summary!$X$12)-1)))</f>
        <v/>
      </c>
      <c r="W225" s="200" t="str">
        <f aca="false">IF($A226="","",(T225+R225+G225+V225))</f>
        <v/>
      </c>
      <c r="X225" s="200" t="str">
        <f aca="false">IF($A226="","",(U225+S225+H225+V225))</f>
        <v/>
      </c>
      <c r="Y225" s="202"/>
      <c r="Z225" s="185" t="str">
        <f aca="false">IF($A226="","",VLOOKUP($A225,Table,MATCH(Z$4,Curves,0)))</f>
        <v/>
      </c>
      <c r="AA225" s="185" t="str">
        <f aca="false">IF($A226="","",VLOOKUP($A225,Table,MATCH(AA$4,Curves,0)))</f>
        <v/>
      </c>
      <c r="AB225" s="185" t="e">
        <f aca="false">SQRT((AA225^2*(A225-$D$3)+Z225^2*(DAY(EOMONTH(A225,0))/2))/AK225)</f>
        <v>#VALUE!</v>
      </c>
      <c r="AC225" s="185" t="str">
        <f aca="false">IF($A226="","",VLOOKUP($A225,Table,MATCH(AC$4,Curves,0)))</f>
        <v/>
      </c>
      <c r="AD225" s="185" t="str">
        <f aca="false">IF($A226="","",VLOOKUP($A225,Table,MATCH(AD$4,Curves,0)))</f>
        <v/>
      </c>
      <c r="AE225" s="185" t="e">
        <f aca="false">SQRT((AD225^2*(A225-$D$3)+AC225^2*(DAY(EOMONTH(A225,0))/2))/AK225)</f>
        <v>#VALUE!</v>
      </c>
      <c r="AF225" s="206" t="e">
        <f aca="false">((Summary!$N$12*(AA225*AD225)*(A225-$D$3))+(Summary!$M$12*Z225*AC225*(AJ225-EOMONTH(EDATE(A225,-1),0))))/(AK225*AB225*AE225)</f>
        <v>#VALUE!</v>
      </c>
      <c r="AG225" s="207" t="str">
        <f aca="false">IF($A226="","",Summary!$Q$12)</f>
        <v/>
      </c>
      <c r="AH225" s="207" t="str">
        <f aca="false">IF($A226="","",IF(Summary!$R$12="Y",(VLOOKUP($A225,Summary!$AD$6:$AF$9,3)+'Escalating commodity'!H238),'Escalating commodity'!H238))</f>
        <v/>
      </c>
      <c r="AI225" s="207" t="str">
        <f aca="false">IF($A226="","",AH225)</f>
        <v/>
      </c>
      <c r="AJ225" s="208" t="e">
        <f aca="false">A225+DAY(EOMONTH(A225,0))/2-1</f>
        <v>#VALUE!</v>
      </c>
      <c r="AK225" s="209" t="str">
        <f aca="false">IF($A226="","",$A225-$E$1)</f>
        <v/>
      </c>
      <c r="AL225" s="182" t="str">
        <f aca="false">IF($A226="","",SPRDOPT(P225,X225,AI225,0,AB225,AE225,AF225,AK225,$AJ$2,0))</f>
        <v/>
      </c>
      <c r="AM225" s="211" t="str">
        <f aca="false">IF($A226="","",MAX(0,O225-W225-AI225))</f>
        <v/>
      </c>
      <c r="AN225" s="211" t="str">
        <f aca="false">IF($A226="","",AL225-AM225)</f>
        <v/>
      </c>
      <c r="AO225" s="137" t="str">
        <f aca="false">IF(A226="","",A226-A225)</f>
        <v/>
      </c>
      <c r="AP225" s="212" t="str">
        <f aca="false">IF(A226="","",CHOOSE(F$3,A226+24,A225))</f>
        <v/>
      </c>
      <c r="AQ225" s="209" t="str">
        <f aca="false">IF(A226="","",AP225-$E$1)</f>
        <v/>
      </c>
      <c r="AR225" s="185" t="n">
        <f aca="false">'ANR OK vs ML7'!AR225</f>
        <v>0.1</v>
      </c>
      <c r="AS225" s="213" t="str">
        <f aca="false">IF(A226="","",1/(1+CHOOSE(F$3,(AR226+($I$3/10000))/2,(AR225+($I$3/10000))/2))^(2*AQ225/365.25))</f>
        <v/>
      </c>
      <c r="AT225" s="137" t="str">
        <f aca="false">IF(A226="","",IF(AND(mthbeg&lt;=A225,mthend&gt;=A225),1,0))</f>
        <v/>
      </c>
      <c r="AU225" s="137" t="str">
        <f aca="false">IF(A226="","",AO225*AT225)</f>
        <v/>
      </c>
      <c r="AW225" s="195" t="str">
        <f aca="false">IF($A226="","",AL225*$E225)</f>
        <v/>
      </c>
      <c r="AX225" s="195" t="str">
        <f aca="false">IF($A226="","",AM225*$E225)</f>
        <v/>
      </c>
      <c r="AY225" s="195" t="str">
        <f aca="false">IF($A226="","",AN225*$E225)</f>
        <v/>
      </c>
      <c r="BA225" s="195" t="str">
        <f aca="false">IF($A226="","",F225*Summary!$Q$12)</f>
        <v/>
      </c>
    </row>
    <row r="226" customFormat="false" ht="12" hidden="false" customHeight="true" outlineLevel="0" collapsed="false">
      <c r="A226" s="196" t="str">
        <f aca="false">IF(A225&lt;mthend,EDATE(A225,1),"")</f>
        <v/>
      </c>
      <c r="B226" s="197" t="str">
        <f aca="false">IF(A226&lt;mthend,B225,"")</f>
        <v/>
      </c>
      <c r="C226" s="215"/>
      <c r="D226" s="197" t="str">
        <f aca="false">IF(A227&lt;&gt;"",B226+C226,"")</f>
        <v/>
      </c>
      <c r="E226" s="199" t="str">
        <f aca="false">IF(A227="","",IF(AND(AT226=1,$H$3=1),D226*AO226,IF($H$3=2,D226,"N/A")))</f>
        <v/>
      </c>
      <c r="F226" s="199" t="str">
        <f aca="false">IF(A227="","",E226*AS226)</f>
        <v/>
      </c>
      <c r="G226" s="200" t="str">
        <f aca="false">IF($A227="","",VLOOKUP($A226,Table,MATCH(G$4,Curves,0)))</f>
        <v/>
      </c>
      <c r="H226" s="201" t="str">
        <f aca="false">IF(A227="","",G226)</f>
        <v/>
      </c>
      <c r="I226" s="202"/>
      <c r="J226" s="200" t="str">
        <f aca="false">IF($A227="","",VLOOKUP($A226,Table,MATCH(J$4,Curves,0)))</f>
        <v/>
      </c>
      <c r="K226" s="201" t="str">
        <f aca="false">IF(A227="","",J226)</f>
        <v/>
      </c>
      <c r="L226" s="200" t="str">
        <f aca="false">IF($A227="","",VLOOKUP($A226,Table,MATCH(L$4,Curves,0)))</f>
        <v/>
      </c>
      <c r="M226" s="201" t="str">
        <f aca="false">IF(A227="","",L226)</f>
        <v/>
      </c>
      <c r="N226" s="203"/>
      <c r="O226" s="200" t="str">
        <f aca="false">IF(A227="","",L226+J226+G226)</f>
        <v/>
      </c>
      <c r="P226" s="200" t="str">
        <f aca="false">IF(A227="","",M226+K226+H226)</f>
        <v/>
      </c>
      <c r="Q226" s="204"/>
      <c r="R226" s="200" t="str">
        <f aca="false">IF($A227="","",VLOOKUP($A226,Table,MATCH(R$4,Curves,0)))</f>
        <v/>
      </c>
      <c r="S226" s="201" t="str">
        <f aca="false">IF(A227="","",R226)</f>
        <v/>
      </c>
      <c r="T226" s="200" t="str">
        <f aca="false">IF($A227="","",VLOOKUP($A226,Table,MATCH(T$4,Curves,0)))</f>
        <v/>
      </c>
      <c r="U226" s="201" t="str">
        <f aca="false">IF(A227="","",T226)</f>
        <v/>
      </c>
      <c r="V226" s="225" t="str">
        <f aca="false">IF($A227="","",IF(AND(MONTH(A226)&gt;3,MONTH(A226)&lt;11),(T226+R226+G226)*(((1/(1-Summary!$T$12))/(1-Summary!$W$12))-1),(T226+R226+G226)*((1/(1-Summary!$U$12))/(1-Summary!$X$12)-1)))</f>
        <v/>
      </c>
      <c r="W226" s="200" t="str">
        <f aca="false">IF($A227="","",(T226+R226+G226+V226))</f>
        <v/>
      </c>
      <c r="X226" s="200" t="str">
        <f aca="false">IF($A227="","",(U226+S226+H226+V226))</f>
        <v/>
      </c>
      <c r="Y226" s="202"/>
      <c r="Z226" s="185" t="str">
        <f aca="false">IF($A227="","",VLOOKUP($A226,Table,MATCH(Z$4,Curves,0)))</f>
        <v/>
      </c>
      <c r="AA226" s="185" t="str">
        <f aca="false">IF($A227="","",VLOOKUP($A226,Table,MATCH(AA$4,Curves,0)))</f>
        <v/>
      </c>
      <c r="AB226" s="185" t="e">
        <f aca="false">SQRT((AA226^2*(A226-$D$3)+Z226^2*(DAY(EOMONTH(A226,0))/2))/AK226)</f>
        <v>#VALUE!</v>
      </c>
      <c r="AC226" s="185" t="str">
        <f aca="false">IF($A227="","",VLOOKUP($A226,Table,MATCH(AC$4,Curves,0)))</f>
        <v/>
      </c>
      <c r="AD226" s="185" t="str">
        <f aca="false">IF($A227="","",VLOOKUP($A226,Table,MATCH(AD$4,Curves,0)))</f>
        <v/>
      </c>
      <c r="AE226" s="185" t="e">
        <f aca="false">SQRT((AD226^2*(A226-$D$3)+AC226^2*(DAY(EOMONTH(A226,0))/2))/AK226)</f>
        <v>#VALUE!</v>
      </c>
      <c r="AF226" s="206" t="e">
        <f aca="false">((Summary!$N$12*(AA226*AD226)*(A226-$D$3))+(Summary!$M$12*Z226*AC226*(AJ226-EOMONTH(EDATE(A226,-1),0))))/(AK226*AB226*AE226)</f>
        <v>#VALUE!</v>
      </c>
      <c r="AG226" s="207" t="str">
        <f aca="false">IF($A227="","",Summary!$Q$12)</f>
        <v/>
      </c>
      <c r="AH226" s="207" t="str">
        <f aca="false">IF($A227="","",IF(Summary!$R$12="Y",(VLOOKUP($A226,Summary!$AD$6:$AF$9,3)+'Escalating commodity'!H239),'Escalating commodity'!H239))</f>
        <v/>
      </c>
      <c r="AI226" s="207" t="str">
        <f aca="false">IF($A227="","",AH226)</f>
        <v/>
      </c>
      <c r="AJ226" s="208" t="e">
        <f aca="false">A226+DAY(EOMONTH(A226,0))/2-1</f>
        <v>#VALUE!</v>
      </c>
      <c r="AK226" s="209" t="str">
        <f aca="false">IF($A227="","",$A226-$E$1)</f>
        <v/>
      </c>
      <c r="AL226" s="182" t="str">
        <f aca="false">IF($A227="","",SPRDOPT(P226,X226,AI226,0,AB226,AE226,AF226,AK226,$AJ$2,0))</f>
        <v/>
      </c>
      <c r="AM226" s="211" t="str">
        <f aca="false">IF($A227="","",MAX(0,O226-W226-AI226))</f>
        <v/>
      </c>
      <c r="AN226" s="211" t="str">
        <f aca="false">IF($A227="","",AL226-AM226)</f>
        <v/>
      </c>
      <c r="AO226" s="137" t="str">
        <f aca="false">IF(A227="","",A227-A226)</f>
        <v/>
      </c>
      <c r="AP226" s="212" t="str">
        <f aca="false">IF(A227="","",CHOOSE(F$3,A227+24,A226))</f>
        <v/>
      </c>
      <c r="AQ226" s="209" t="str">
        <f aca="false">IF(A227="","",AP226-$E$1)</f>
        <v/>
      </c>
      <c r="AR226" s="185" t="n">
        <f aca="false">'ANR OK vs ML7'!AR226</f>
        <v>0.1</v>
      </c>
      <c r="AS226" s="213" t="str">
        <f aca="false">IF(A227="","",1/(1+CHOOSE(F$3,(AR227+($I$3/10000))/2,(AR226+($I$3/10000))/2))^(2*AQ226/365.25))</f>
        <v/>
      </c>
      <c r="AT226" s="137" t="str">
        <f aca="false">IF(A227="","",IF(AND(mthbeg&lt;=A226,mthend&gt;=A226),1,0))</f>
        <v/>
      </c>
      <c r="AU226" s="137" t="str">
        <f aca="false">IF(A227="","",AO226*AT226)</f>
        <v/>
      </c>
      <c r="AW226" s="195" t="str">
        <f aca="false">IF($A227="","",AL226*$E226)</f>
        <v/>
      </c>
      <c r="AX226" s="195" t="str">
        <f aca="false">IF($A227="","",AM226*$E226)</f>
        <v/>
      </c>
      <c r="AY226" s="195" t="str">
        <f aca="false">IF($A227="","",AN226*$E226)</f>
        <v/>
      </c>
      <c r="BA226" s="195" t="str">
        <f aca="false">IF($A227="","",F226*Summary!$Q$12)</f>
        <v/>
      </c>
    </row>
    <row r="227" customFormat="false" ht="12" hidden="false" customHeight="true" outlineLevel="0" collapsed="false">
      <c r="A227" s="196" t="str">
        <f aca="false">IF(A226&lt;mthend,EDATE(A226,1),"")</f>
        <v/>
      </c>
      <c r="B227" s="197" t="str">
        <f aca="false">IF(A227&lt;mthend,B226,"")</f>
        <v/>
      </c>
      <c r="C227" s="215"/>
      <c r="D227" s="197" t="str">
        <f aca="false">IF(A228&lt;&gt;"",B227+C227,"")</f>
        <v/>
      </c>
      <c r="E227" s="199" t="str">
        <f aca="false">IF(A228="","",IF(AND(AT227=1,$H$3=1),D227*AO227,IF($H$3=2,D227,"N/A")))</f>
        <v/>
      </c>
      <c r="F227" s="199" t="str">
        <f aca="false">IF(A228="","",E227*AS227)</f>
        <v/>
      </c>
      <c r="G227" s="200" t="str">
        <f aca="false">IF($A228="","",VLOOKUP($A227,Table,MATCH(G$4,Curves,0)))</f>
        <v/>
      </c>
      <c r="H227" s="201" t="str">
        <f aca="false">IF(A228="","",G227)</f>
        <v/>
      </c>
      <c r="I227" s="202"/>
      <c r="J227" s="200" t="str">
        <f aca="false">IF($A228="","",VLOOKUP($A227,Table,MATCH(J$4,Curves,0)))</f>
        <v/>
      </c>
      <c r="K227" s="201" t="str">
        <f aca="false">IF(A228="","",J227)</f>
        <v/>
      </c>
      <c r="L227" s="200" t="str">
        <f aca="false">IF($A228="","",VLOOKUP($A227,Table,MATCH(L$4,Curves,0)))</f>
        <v/>
      </c>
      <c r="M227" s="201" t="str">
        <f aca="false">IF(A228="","",L227)</f>
        <v/>
      </c>
      <c r="N227" s="203"/>
      <c r="O227" s="200" t="str">
        <f aca="false">IF(A228="","",L227+J227+G227)</f>
        <v/>
      </c>
      <c r="P227" s="200" t="str">
        <f aca="false">IF(A228="","",M227+K227+H227)</f>
        <v/>
      </c>
      <c r="Q227" s="204"/>
      <c r="R227" s="200" t="str">
        <f aca="false">IF($A228="","",VLOOKUP($A227,Table,MATCH(R$4,Curves,0)))</f>
        <v/>
      </c>
      <c r="S227" s="201" t="str">
        <f aca="false">IF(A228="","",R227)</f>
        <v/>
      </c>
      <c r="T227" s="200" t="str">
        <f aca="false">IF($A228="","",VLOOKUP($A227,Table,MATCH(T$4,Curves,0)))</f>
        <v/>
      </c>
      <c r="U227" s="201" t="str">
        <f aca="false">IF(A228="","",T227)</f>
        <v/>
      </c>
      <c r="V227" s="225" t="str">
        <f aca="false">IF($A228="","",IF(AND(MONTH(A227)&gt;3,MONTH(A227)&lt;11),(T227+R227+G227)*(((1/(1-Summary!$T$12))/(1-Summary!$W$12))-1),(T227+R227+G227)*((1/(1-Summary!$U$12))/(1-Summary!$X$12)-1)))</f>
        <v/>
      </c>
      <c r="W227" s="200" t="str">
        <f aca="false">IF($A228="","",(T227+R227+G227+V227))</f>
        <v/>
      </c>
      <c r="X227" s="200" t="str">
        <f aca="false">IF($A228="","",(U227+S227+H227+V227))</f>
        <v/>
      </c>
      <c r="Y227" s="202"/>
      <c r="Z227" s="185" t="str">
        <f aca="false">IF($A228="","",VLOOKUP($A227,Table,MATCH(Z$4,Curves,0)))</f>
        <v/>
      </c>
      <c r="AA227" s="185" t="str">
        <f aca="false">IF($A228="","",VLOOKUP($A227,Table,MATCH(AA$4,Curves,0)))</f>
        <v/>
      </c>
      <c r="AB227" s="185" t="e">
        <f aca="false">SQRT((AA227^2*(A227-$D$3)+Z227^2*(DAY(EOMONTH(A227,0))/2))/AK227)</f>
        <v>#VALUE!</v>
      </c>
      <c r="AC227" s="185" t="str">
        <f aca="false">IF($A228="","",VLOOKUP($A227,Table,MATCH(AC$4,Curves,0)))</f>
        <v/>
      </c>
      <c r="AD227" s="185" t="str">
        <f aca="false">IF($A228="","",VLOOKUP($A227,Table,MATCH(AD$4,Curves,0)))</f>
        <v/>
      </c>
      <c r="AE227" s="185" t="e">
        <f aca="false">SQRT((AD227^2*(A227-$D$3)+AC227^2*(DAY(EOMONTH(A227,0))/2))/AK227)</f>
        <v>#VALUE!</v>
      </c>
      <c r="AF227" s="206" t="e">
        <f aca="false">((Summary!$N$12*(AA227*AD227)*(A227-$D$3))+(Summary!$M$12*Z227*AC227*(AJ227-EOMONTH(EDATE(A227,-1),0))))/(AK227*AB227*AE227)</f>
        <v>#VALUE!</v>
      </c>
      <c r="AG227" s="207" t="str">
        <f aca="false">IF($A228="","",Summary!$Q$12)</f>
        <v/>
      </c>
      <c r="AH227" s="207" t="str">
        <f aca="false">IF($A228="","",IF(Summary!$R$12="Y",(VLOOKUP($A227,Summary!$AD$6:$AF$9,3)+'Escalating commodity'!H240),'Escalating commodity'!H240))</f>
        <v/>
      </c>
      <c r="AI227" s="207" t="str">
        <f aca="false">IF($A228="","",AH227)</f>
        <v/>
      </c>
      <c r="AJ227" s="208" t="e">
        <f aca="false">A227+DAY(EOMONTH(A227,0))/2-1</f>
        <v>#VALUE!</v>
      </c>
      <c r="AK227" s="209" t="str">
        <f aca="false">IF($A228="","",$A227-$E$1)</f>
        <v/>
      </c>
      <c r="AL227" s="182" t="str">
        <f aca="false">IF($A228="","",SPRDOPT(P227,X227,AI227,0,AB227,AE227,AF227,AK227,$AJ$2,0))</f>
        <v/>
      </c>
      <c r="AM227" s="211" t="str">
        <f aca="false">IF($A228="","",MAX(0,O227-W227-AI227))</f>
        <v/>
      </c>
      <c r="AN227" s="211" t="str">
        <f aca="false">IF($A228="","",AL227-AM227)</f>
        <v/>
      </c>
      <c r="AO227" s="137" t="str">
        <f aca="false">IF(A228="","",A228-A227)</f>
        <v/>
      </c>
      <c r="AP227" s="212" t="str">
        <f aca="false">IF(A228="","",CHOOSE(F$3,A228+24,A227))</f>
        <v/>
      </c>
      <c r="AQ227" s="209" t="str">
        <f aca="false">IF(A228="","",AP227-$E$1)</f>
        <v/>
      </c>
      <c r="AR227" s="185" t="n">
        <f aca="false">'ANR OK vs ML7'!AR227</f>
        <v>0.1</v>
      </c>
      <c r="AS227" s="213" t="str">
        <f aca="false">IF(A228="","",1/(1+CHOOSE(F$3,(AR228+($I$3/10000))/2,(AR227+($I$3/10000))/2))^(2*AQ227/365.25))</f>
        <v/>
      </c>
      <c r="AT227" s="137" t="str">
        <f aca="false">IF(A228="","",IF(AND(mthbeg&lt;=A227,mthend&gt;=A227),1,0))</f>
        <v/>
      </c>
      <c r="AU227" s="137" t="str">
        <f aca="false">IF(A228="","",AO227*AT227)</f>
        <v/>
      </c>
      <c r="AW227" s="195" t="str">
        <f aca="false">IF($A228="","",AL227*$E227)</f>
        <v/>
      </c>
      <c r="AX227" s="195" t="str">
        <f aca="false">IF($A228="","",AM227*$E227)</f>
        <v/>
      </c>
      <c r="AY227" s="195" t="str">
        <f aca="false">IF($A228="","",AN227*$E227)</f>
        <v/>
      </c>
      <c r="BA227" s="195" t="str">
        <f aca="false">IF($A228="","",F227*Summary!$Q$12)</f>
        <v/>
      </c>
    </row>
    <row r="228" customFormat="false" ht="12" hidden="false" customHeight="true" outlineLevel="0" collapsed="false">
      <c r="A228" s="196" t="str">
        <f aca="false">IF(A227&lt;mthend,EDATE(A227,1),"")</f>
        <v/>
      </c>
      <c r="B228" s="197" t="str">
        <f aca="false">IF(A228&lt;mthend,B227,"")</f>
        <v/>
      </c>
      <c r="C228" s="215"/>
      <c r="D228" s="197" t="str">
        <f aca="false">IF(A229&lt;&gt;"",B228+C228,"")</f>
        <v/>
      </c>
      <c r="E228" s="199" t="str">
        <f aca="false">IF(A229="","",IF(AND(AT228=1,$H$3=1),D228*AO228,IF($H$3=2,D228,"N/A")))</f>
        <v/>
      </c>
      <c r="F228" s="199" t="str">
        <f aca="false">IF(A229="","",E228*AS228)</f>
        <v/>
      </c>
      <c r="G228" s="200" t="str">
        <f aca="false">IF($A229="","",VLOOKUP($A228,Table,MATCH(G$4,Curves,0)))</f>
        <v/>
      </c>
      <c r="H228" s="201" t="str">
        <f aca="false">IF(A229="","",G228)</f>
        <v/>
      </c>
      <c r="I228" s="202"/>
      <c r="J228" s="200" t="str">
        <f aca="false">IF($A229="","",VLOOKUP($A228,Table,MATCH(J$4,Curves,0)))</f>
        <v/>
      </c>
      <c r="K228" s="201" t="str">
        <f aca="false">IF(A229="","",J228)</f>
        <v/>
      </c>
      <c r="L228" s="200" t="str">
        <f aca="false">IF($A229="","",VLOOKUP($A228,Table,MATCH(L$4,Curves,0)))</f>
        <v/>
      </c>
      <c r="M228" s="201" t="str">
        <f aca="false">IF(A229="","",L228)</f>
        <v/>
      </c>
      <c r="N228" s="203"/>
      <c r="O228" s="200" t="str">
        <f aca="false">IF(A229="","",L228+J228+G228)</f>
        <v/>
      </c>
      <c r="P228" s="200" t="str">
        <f aca="false">IF(A229="","",M228+K228+H228)</f>
        <v/>
      </c>
      <c r="Q228" s="204"/>
      <c r="R228" s="200" t="str">
        <f aca="false">IF($A229="","",VLOOKUP($A228,Table,MATCH(R$4,Curves,0)))</f>
        <v/>
      </c>
      <c r="S228" s="201" t="str">
        <f aca="false">IF(A229="","",R228)</f>
        <v/>
      </c>
      <c r="T228" s="200" t="str">
        <f aca="false">IF($A229="","",VLOOKUP($A228,Table,MATCH(T$4,Curves,0)))</f>
        <v/>
      </c>
      <c r="U228" s="201" t="str">
        <f aca="false">IF(A229="","",T228)</f>
        <v/>
      </c>
      <c r="V228" s="225" t="str">
        <f aca="false">IF($A229="","",IF(AND(MONTH(A228)&gt;3,MONTH(A228)&lt;11),(T228+R228+G228)*(((1/(1-Summary!$T$12))/(1-Summary!$W$12))-1),(T228+R228+G228)*((1/(1-Summary!$U$12))/(1-Summary!$X$12)-1)))</f>
        <v/>
      </c>
      <c r="W228" s="200" t="str">
        <f aca="false">IF($A229="","",(T228+R228+G228+V228))</f>
        <v/>
      </c>
      <c r="X228" s="200" t="str">
        <f aca="false">IF($A229="","",(U228+S228+H228+V228))</f>
        <v/>
      </c>
      <c r="Y228" s="202"/>
      <c r="Z228" s="185" t="str">
        <f aca="false">IF($A229="","",VLOOKUP($A228,Table,MATCH(Z$4,Curves,0)))</f>
        <v/>
      </c>
      <c r="AA228" s="185" t="str">
        <f aca="false">IF($A229="","",VLOOKUP($A228,Table,MATCH(AA$4,Curves,0)))</f>
        <v/>
      </c>
      <c r="AB228" s="185" t="e">
        <f aca="false">SQRT((AA228^2*(A228-$D$3)+Z228^2*(DAY(EOMONTH(A228,0))/2))/AK228)</f>
        <v>#VALUE!</v>
      </c>
      <c r="AC228" s="185" t="str">
        <f aca="false">IF($A229="","",VLOOKUP($A228,Table,MATCH(AC$4,Curves,0)))</f>
        <v/>
      </c>
      <c r="AD228" s="185" t="str">
        <f aca="false">IF($A229="","",VLOOKUP($A228,Table,MATCH(AD$4,Curves,0)))</f>
        <v/>
      </c>
      <c r="AE228" s="185" t="e">
        <f aca="false">SQRT((AD228^2*(A228-$D$3)+AC228^2*(DAY(EOMONTH(A228,0))/2))/AK228)</f>
        <v>#VALUE!</v>
      </c>
      <c r="AF228" s="206" t="e">
        <f aca="false">((Summary!$N$12*(AA228*AD228)*(A228-$D$3))+(Summary!$M$12*Z228*AC228*(AJ228-EOMONTH(EDATE(A228,-1),0))))/(AK228*AB228*AE228)</f>
        <v>#VALUE!</v>
      </c>
      <c r="AG228" s="207" t="str">
        <f aca="false">IF($A229="","",Summary!$Q$12)</f>
        <v/>
      </c>
      <c r="AH228" s="207" t="str">
        <f aca="false">IF($A229="","",IF(Summary!$R$12="Y",(VLOOKUP($A228,Summary!$AD$6:$AF$9,3)+'Escalating commodity'!H241),'Escalating commodity'!H241))</f>
        <v/>
      </c>
      <c r="AI228" s="207" t="str">
        <f aca="false">IF($A229="","",AH228)</f>
        <v/>
      </c>
      <c r="AJ228" s="208" t="e">
        <f aca="false">A228+DAY(EOMONTH(A228,0))/2-1</f>
        <v>#VALUE!</v>
      </c>
      <c r="AK228" s="209" t="str">
        <f aca="false">IF($A229="","",$A228-$E$1)</f>
        <v/>
      </c>
      <c r="AL228" s="182" t="str">
        <f aca="false">IF($A229="","",SPRDOPT(P228,X228,AI228,0,AB228,AE228,AF228,AK228,$AJ$2,0))</f>
        <v/>
      </c>
      <c r="AM228" s="211" t="str">
        <f aca="false">IF($A229="","",MAX(0,O228-W228-AI228))</f>
        <v/>
      </c>
      <c r="AN228" s="211" t="str">
        <f aca="false">IF($A229="","",AL228-AM228)</f>
        <v/>
      </c>
      <c r="AO228" s="137" t="str">
        <f aca="false">IF(A229="","",A229-A228)</f>
        <v/>
      </c>
      <c r="AP228" s="212" t="str">
        <f aca="false">IF(A229="","",CHOOSE(F$3,A229+24,A228))</f>
        <v/>
      </c>
      <c r="AQ228" s="209" t="str">
        <f aca="false">IF(A229="","",AP228-$E$1)</f>
        <v/>
      </c>
      <c r="AR228" s="185" t="n">
        <f aca="false">'ANR OK vs ML7'!AR228</f>
        <v>0.1</v>
      </c>
      <c r="AS228" s="213" t="str">
        <f aca="false">IF(A229="","",1/(1+CHOOSE(F$3,(AR229+($I$3/10000))/2,(AR228+($I$3/10000))/2))^(2*AQ228/365.25))</f>
        <v/>
      </c>
      <c r="AT228" s="137" t="str">
        <f aca="false">IF(A229="","",IF(AND(mthbeg&lt;=A228,mthend&gt;=A228),1,0))</f>
        <v/>
      </c>
      <c r="AU228" s="137" t="str">
        <f aca="false">IF(A229="","",AO228*AT228)</f>
        <v/>
      </c>
      <c r="AW228" s="195" t="str">
        <f aca="false">IF($A229="","",AL228*$E228)</f>
        <v/>
      </c>
      <c r="AX228" s="195" t="str">
        <f aca="false">IF($A229="","",AM228*$E228)</f>
        <v/>
      </c>
      <c r="AY228" s="195" t="str">
        <f aca="false">IF($A229="","",AN228*$E228)</f>
        <v/>
      </c>
      <c r="BA228" s="195" t="str">
        <f aca="false">IF($A229="","",F228*Summary!$Q$12)</f>
        <v/>
      </c>
    </row>
    <row r="229" customFormat="false" ht="12" hidden="false" customHeight="true" outlineLevel="0" collapsed="false">
      <c r="A229" s="196" t="str">
        <f aca="false">IF(A228&lt;mthend,EDATE(A228,1),"")</f>
        <v/>
      </c>
      <c r="B229" s="197" t="str">
        <f aca="false">IF(A229&lt;mthend,B228,"")</f>
        <v/>
      </c>
      <c r="C229" s="215"/>
      <c r="D229" s="197" t="str">
        <f aca="false">IF(A230&lt;&gt;"",B229+C229,"")</f>
        <v/>
      </c>
      <c r="E229" s="199" t="str">
        <f aca="false">IF(A230="","",IF(AND(AT229=1,$H$3=1),D229*AO229,IF($H$3=2,D229,"N/A")))</f>
        <v/>
      </c>
      <c r="F229" s="199" t="str">
        <f aca="false">IF(A230="","",E229*AS229)</f>
        <v/>
      </c>
      <c r="G229" s="200" t="str">
        <f aca="false">IF($A230="","",VLOOKUP($A229,Table,MATCH(G$4,Curves,0)))</f>
        <v/>
      </c>
      <c r="H229" s="201" t="str">
        <f aca="false">IF(A230="","",G229)</f>
        <v/>
      </c>
      <c r="I229" s="202"/>
      <c r="J229" s="200" t="str">
        <f aca="false">IF($A230="","",VLOOKUP($A229,Table,MATCH(J$4,Curves,0)))</f>
        <v/>
      </c>
      <c r="K229" s="201" t="str">
        <f aca="false">IF(A230="","",J229)</f>
        <v/>
      </c>
      <c r="L229" s="200" t="str">
        <f aca="false">IF($A230="","",VLOOKUP($A229,Table,MATCH(L$4,Curves,0)))</f>
        <v/>
      </c>
      <c r="M229" s="201" t="str">
        <f aca="false">IF(A230="","",L229)</f>
        <v/>
      </c>
      <c r="N229" s="203"/>
      <c r="O229" s="200" t="str">
        <f aca="false">IF(A230="","",L229+J229+G229)</f>
        <v/>
      </c>
      <c r="P229" s="200" t="str">
        <f aca="false">IF(A230="","",M229+K229+H229)</f>
        <v/>
      </c>
      <c r="Q229" s="204"/>
      <c r="R229" s="200" t="str">
        <f aca="false">IF($A230="","",VLOOKUP($A229,Table,MATCH(R$4,Curves,0)))</f>
        <v/>
      </c>
      <c r="S229" s="201" t="str">
        <f aca="false">IF(A230="","",R229)</f>
        <v/>
      </c>
      <c r="T229" s="200" t="str">
        <f aca="false">IF($A230="","",VLOOKUP($A229,Table,MATCH(T$4,Curves,0)))</f>
        <v/>
      </c>
      <c r="U229" s="201" t="str">
        <f aca="false">IF(A230="","",T229)</f>
        <v/>
      </c>
      <c r="V229" s="225" t="str">
        <f aca="false">IF($A230="","",IF(AND(MONTH(A229)&gt;3,MONTH(A229)&lt;11),(T229+R229+G229)*(((1/(1-Summary!$T$12))/(1-Summary!$W$12))-1),(T229+R229+G229)*((1/(1-Summary!$U$12))/(1-Summary!$X$12)-1)))</f>
        <v/>
      </c>
      <c r="W229" s="200" t="str">
        <f aca="false">IF($A230="","",(T229+R229+G229+V229))</f>
        <v/>
      </c>
      <c r="X229" s="200" t="str">
        <f aca="false">IF($A230="","",(U229+S229+H229+V229))</f>
        <v/>
      </c>
      <c r="Y229" s="202"/>
      <c r="Z229" s="185" t="str">
        <f aca="false">IF($A230="","",VLOOKUP($A229,Table,MATCH(Z$4,Curves,0)))</f>
        <v/>
      </c>
      <c r="AA229" s="185" t="str">
        <f aca="false">IF($A230="","",VLOOKUP($A229,Table,MATCH(AA$4,Curves,0)))</f>
        <v/>
      </c>
      <c r="AB229" s="185" t="e">
        <f aca="false">SQRT((AA229^2*(A229-$D$3)+Z229^2*(DAY(EOMONTH(A229,0))/2))/AK229)</f>
        <v>#VALUE!</v>
      </c>
      <c r="AC229" s="185" t="str">
        <f aca="false">IF($A230="","",VLOOKUP($A229,Table,MATCH(AC$4,Curves,0)))</f>
        <v/>
      </c>
      <c r="AD229" s="185" t="str">
        <f aca="false">IF($A230="","",VLOOKUP($A229,Table,MATCH(AD$4,Curves,0)))</f>
        <v/>
      </c>
      <c r="AE229" s="185" t="e">
        <f aca="false">SQRT((AD229^2*(A229-$D$3)+AC229^2*(DAY(EOMONTH(A229,0))/2))/AK229)</f>
        <v>#VALUE!</v>
      </c>
      <c r="AF229" s="206" t="e">
        <f aca="false">((Summary!$N$12*(AA229*AD229)*(A229-$D$3))+(Summary!$M$12*Z229*AC229*(AJ229-EOMONTH(EDATE(A229,-1),0))))/(AK229*AB229*AE229)</f>
        <v>#VALUE!</v>
      </c>
      <c r="AG229" s="207" t="str">
        <f aca="false">IF($A230="","",Summary!$Q$12)</f>
        <v/>
      </c>
      <c r="AH229" s="207" t="str">
        <f aca="false">IF($A230="","",IF(Summary!$R$12="Y",(VLOOKUP($A229,Summary!$AD$6:$AF$9,3)+'Escalating commodity'!H242),'Escalating commodity'!H242))</f>
        <v/>
      </c>
      <c r="AI229" s="207" t="str">
        <f aca="false">IF($A230="","",AH229)</f>
        <v/>
      </c>
      <c r="AJ229" s="208" t="e">
        <f aca="false">A229+DAY(EOMONTH(A229,0))/2-1</f>
        <v>#VALUE!</v>
      </c>
      <c r="AK229" s="209" t="str">
        <f aca="false">IF($A230="","",$A229-$E$1)</f>
        <v/>
      </c>
      <c r="AL229" s="182" t="str">
        <f aca="false">IF($A230="","",SPRDOPT(P229,X229,AI229,0,AB229,AE229,AF229,AK229,$AJ$2,0))</f>
        <v/>
      </c>
      <c r="AM229" s="211" t="str">
        <f aca="false">IF($A230="","",MAX(0,O229-W229-AI229))</f>
        <v/>
      </c>
      <c r="AN229" s="211" t="str">
        <f aca="false">IF($A230="","",AL229-AM229)</f>
        <v/>
      </c>
      <c r="AO229" s="137" t="str">
        <f aca="false">IF(A230="","",A230-A229)</f>
        <v/>
      </c>
      <c r="AP229" s="212" t="str">
        <f aca="false">IF(A230="","",CHOOSE(F$3,A230+24,A229))</f>
        <v/>
      </c>
      <c r="AQ229" s="209" t="str">
        <f aca="false">IF(A230="","",AP229-$E$1)</f>
        <v/>
      </c>
      <c r="AR229" s="185" t="n">
        <f aca="false">'ANR OK vs ML7'!AR229</f>
        <v>0.1</v>
      </c>
      <c r="AS229" s="213" t="str">
        <f aca="false">IF(A230="","",1/(1+CHOOSE(F$3,(AR230+($I$3/10000))/2,(AR229+($I$3/10000))/2))^(2*AQ229/365.25))</f>
        <v/>
      </c>
      <c r="AT229" s="137" t="str">
        <f aca="false">IF(A230="","",IF(AND(mthbeg&lt;=A229,mthend&gt;=A229),1,0))</f>
        <v/>
      </c>
      <c r="AU229" s="137" t="str">
        <f aca="false">IF(A230="","",AO229*AT229)</f>
        <v/>
      </c>
      <c r="AW229" s="195" t="str">
        <f aca="false">IF($A230="","",AL229*$E229)</f>
        <v/>
      </c>
      <c r="AX229" s="195" t="str">
        <f aca="false">IF($A230="","",AM229*$E229)</f>
        <v/>
      </c>
      <c r="AY229" s="195" t="str">
        <f aca="false">IF($A230="","",AN229*$E229)</f>
        <v/>
      </c>
      <c r="BA229" s="195" t="str">
        <f aca="false">IF($A230="","",F229*Summary!$Q$12)</f>
        <v/>
      </c>
    </row>
    <row r="230" customFormat="false" ht="12" hidden="false" customHeight="true" outlineLevel="0" collapsed="false">
      <c r="A230" s="196" t="str">
        <f aca="false">IF(A229&lt;mthend,EDATE(A229,1),"")</f>
        <v/>
      </c>
      <c r="B230" s="197" t="str">
        <f aca="false">IF(A230&lt;mthend,B229,"")</f>
        <v/>
      </c>
      <c r="C230" s="215"/>
      <c r="D230" s="197" t="str">
        <f aca="false">IF(A231&lt;&gt;"",B230+C230,"")</f>
        <v/>
      </c>
      <c r="E230" s="199" t="str">
        <f aca="false">IF(A231="","",IF(AND(AT230=1,$H$3=1),D230*AO230,IF($H$3=2,D230,"N/A")))</f>
        <v/>
      </c>
      <c r="F230" s="199" t="str">
        <f aca="false">IF(A231="","",E230*AS230)</f>
        <v/>
      </c>
      <c r="G230" s="200" t="str">
        <f aca="false">IF($A231="","",VLOOKUP($A230,Table,MATCH(G$4,Curves,0)))</f>
        <v/>
      </c>
      <c r="H230" s="201" t="str">
        <f aca="false">IF(A231="","",G230)</f>
        <v/>
      </c>
      <c r="I230" s="202"/>
      <c r="J230" s="200" t="str">
        <f aca="false">IF($A231="","",VLOOKUP($A230,Table,MATCH(J$4,Curves,0)))</f>
        <v/>
      </c>
      <c r="K230" s="201" t="str">
        <f aca="false">IF(A231="","",J230)</f>
        <v/>
      </c>
      <c r="L230" s="200" t="str">
        <f aca="false">IF($A231="","",VLOOKUP($A230,Table,MATCH(L$4,Curves,0)))</f>
        <v/>
      </c>
      <c r="M230" s="201" t="str">
        <f aca="false">IF(A231="","",L230)</f>
        <v/>
      </c>
      <c r="N230" s="203"/>
      <c r="O230" s="200" t="str">
        <f aca="false">IF(A231="","",L230+J230+G230)</f>
        <v/>
      </c>
      <c r="P230" s="200" t="str">
        <f aca="false">IF(A231="","",M230+K230+H230)</f>
        <v/>
      </c>
      <c r="Q230" s="204"/>
      <c r="R230" s="200" t="str">
        <f aca="false">IF($A231="","",VLOOKUP($A230,Table,MATCH(R$4,Curves,0)))</f>
        <v/>
      </c>
      <c r="S230" s="201" t="str">
        <f aca="false">IF(A231="","",R230)</f>
        <v/>
      </c>
      <c r="T230" s="200" t="str">
        <f aca="false">IF($A231="","",VLOOKUP($A230,Table,MATCH(T$4,Curves,0)))</f>
        <v/>
      </c>
      <c r="U230" s="201" t="str">
        <f aca="false">IF(A231="","",T230)</f>
        <v/>
      </c>
      <c r="V230" s="225" t="str">
        <f aca="false">IF($A231="","",IF(AND(MONTH(A230)&gt;3,MONTH(A230)&lt;11),(T230+R230+G230)*(((1/(1-Summary!$T$12))/(1-Summary!$W$12))-1),(T230+R230+G230)*((1/(1-Summary!$U$12))/(1-Summary!$X$12)-1)))</f>
        <v/>
      </c>
      <c r="W230" s="200" t="str">
        <f aca="false">IF($A231="","",(T230+R230+G230+V230))</f>
        <v/>
      </c>
      <c r="X230" s="200" t="str">
        <f aca="false">IF($A231="","",(U230+S230+H230+V230))</f>
        <v/>
      </c>
      <c r="Y230" s="202"/>
      <c r="Z230" s="185" t="str">
        <f aca="false">IF($A231="","",VLOOKUP($A230,Table,MATCH(Z$4,Curves,0)))</f>
        <v/>
      </c>
      <c r="AA230" s="185" t="str">
        <f aca="false">IF($A231="","",VLOOKUP($A230,Table,MATCH(AA$4,Curves,0)))</f>
        <v/>
      </c>
      <c r="AB230" s="185" t="e">
        <f aca="false">SQRT((AA230^2*(A230-$D$3)+Z230^2*(DAY(EOMONTH(A230,0))/2))/AK230)</f>
        <v>#VALUE!</v>
      </c>
      <c r="AC230" s="185" t="str">
        <f aca="false">IF($A231="","",VLOOKUP($A230,Table,MATCH(AC$4,Curves,0)))</f>
        <v/>
      </c>
      <c r="AD230" s="185" t="str">
        <f aca="false">IF($A231="","",VLOOKUP($A230,Table,MATCH(AD$4,Curves,0)))</f>
        <v/>
      </c>
      <c r="AE230" s="185" t="e">
        <f aca="false">SQRT((AD230^2*(A230-$D$3)+AC230^2*(DAY(EOMONTH(A230,0))/2))/AK230)</f>
        <v>#VALUE!</v>
      </c>
      <c r="AF230" s="206" t="e">
        <f aca="false">((Summary!$N$12*(AA230*AD230)*(A230-$D$3))+(Summary!$M$12*Z230*AC230*(AJ230-EOMONTH(EDATE(A230,-1),0))))/(AK230*AB230*AE230)</f>
        <v>#VALUE!</v>
      </c>
      <c r="AG230" s="207" t="str">
        <f aca="false">IF($A231="","",Summary!$Q$12)</f>
        <v/>
      </c>
      <c r="AH230" s="207" t="str">
        <f aca="false">IF($A231="","",IF(Summary!$R$12="Y",(VLOOKUP($A230,Summary!$AD$6:$AF$9,3)+'Escalating commodity'!H243),'Escalating commodity'!H243))</f>
        <v/>
      </c>
      <c r="AI230" s="207" t="str">
        <f aca="false">IF($A231="","",AH230)</f>
        <v/>
      </c>
      <c r="AJ230" s="208" t="e">
        <f aca="false">A230+DAY(EOMONTH(A230,0))/2-1</f>
        <v>#VALUE!</v>
      </c>
      <c r="AK230" s="209" t="str">
        <f aca="false">IF($A231="","",$A230-$E$1)</f>
        <v/>
      </c>
      <c r="AL230" s="182" t="str">
        <f aca="false">IF($A231="","",SPRDOPT(P230,X230,AI230,0,AB230,AE230,AF230,AK230,$AJ$2,0))</f>
        <v/>
      </c>
      <c r="AM230" s="211" t="str">
        <f aca="false">IF($A231="","",MAX(0,O230-W230-AI230))</f>
        <v/>
      </c>
      <c r="AN230" s="211" t="str">
        <f aca="false">IF($A231="","",AL230-AM230)</f>
        <v/>
      </c>
      <c r="AO230" s="137" t="str">
        <f aca="false">IF(A231="","",A231-A230)</f>
        <v/>
      </c>
      <c r="AP230" s="212" t="str">
        <f aca="false">IF(A231="","",CHOOSE(F$3,A231+24,A230))</f>
        <v/>
      </c>
      <c r="AQ230" s="209" t="str">
        <f aca="false">IF(A231="","",AP230-$E$1)</f>
        <v/>
      </c>
      <c r="AR230" s="185" t="n">
        <f aca="false">'ANR OK vs ML7'!AR230</f>
        <v>0.1</v>
      </c>
      <c r="AS230" s="213" t="str">
        <f aca="false">IF(A231="","",1/(1+CHOOSE(F$3,(AR231+($I$3/10000))/2,(AR230+($I$3/10000))/2))^(2*AQ230/365.25))</f>
        <v/>
      </c>
      <c r="AT230" s="137" t="str">
        <f aca="false">IF(A231="","",IF(AND(mthbeg&lt;=A230,mthend&gt;=A230),1,0))</f>
        <v/>
      </c>
      <c r="AU230" s="137" t="str">
        <f aca="false">IF(A231="","",AO230*AT230)</f>
        <v/>
      </c>
      <c r="AW230" s="195" t="str">
        <f aca="false">IF($A231="","",AL230*$E230)</f>
        <v/>
      </c>
      <c r="AX230" s="195" t="str">
        <f aca="false">IF($A231="","",AM230*$E230)</f>
        <v/>
      </c>
      <c r="AY230" s="195" t="str">
        <f aca="false">IF($A231="","",AN230*$E230)</f>
        <v/>
      </c>
      <c r="BA230" s="195" t="str">
        <f aca="false">IF($A231="","",F230*Summary!$Q$12)</f>
        <v/>
      </c>
    </row>
    <row r="231" customFormat="false" ht="12" hidden="false" customHeight="true" outlineLevel="0" collapsed="false">
      <c r="A231" s="196" t="str">
        <f aca="false">IF(A230&lt;mthend,EDATE(A230,1),"")</f>
        <v/>
      </c>
      <c r="B231" s="197" t="str">
        <f aca="false">IF(A231&lt;mthend,B230,"")</f>
        <v/>
      </c>
      <c r="C231" s="215"/>
      <c r="D231" s="197" t="str">
        <f aca="false">IF(A232&lt;&gt;"",B231+C231,"")</f>
        <v/>
      </c>
      <c r="E231" s="199" t="str">
        <f aca="false">IF(A232="","",IF(AND(AT231=1,$H$3=1),D231*AO231,IF($H$3=2,D231,"N/A")))</f>
        <v/>
      </c>
      <c r="F231" s="199" t="str">
        <f aca="false">IF(A232="","",E231*AS231)</f>
        <v/>
      </c>
      <c r="G231" s="200" t="str">
        <f aca="false">IF($A232="","",VLOOKUP($A231,Table,MATCH(G$4,Curves,0)))</f>
        <v/>
      </c>
      <c r="H231" s="201" t="str">
        <f aca="false">IF(A232="","",G231)</f>
        <v/>
      </c>
      <c r="I231" s="202"/>
      <c r="J231" s="200" t="str">
        <f aca="false">IF($A232="","",VLOOKUP($A231,Table,MATCH(J$4,Curves,0)))</f>
        <v/>
      </c>
      <c r="K231" s="201" t="str">
        <f aca="false">IF(A232="","",J231)</f>
        <v/>
      </c>
      <c r="L231" s="200" t="str">
        <f aca="false">IF($A232="","",VLOOKUP($A231,Table,MATCH(L$4,Curves,0)))</f>
        <v/>
      </c>
      <c r="M231" s="201" t="str">
        <f aca="false">IF(A232="","",L231)</f>
        <v/>
      </c>
      <c r="N231" s="203"/>
      <c r="O231" s="200" t="str">
        <f aca="false">IF(A232="","",L231+J231+G231)</f>
        <v/>
      </c>
      <c r="P231" s="200" t="str">
        <f aca="false">IF(A232="","",M231+K231+H231)</f>
        <v/>
      </c>
      <c r="Q231" s="204"/>
      <c r="R231" s="200" t="str">
        <f aca="false">IF($A232="","",VLOOKUP($A231,Table,MATCH(R$4,Curves,0)))</f>
        <v/>
      </c>
      <c r="S231" s="201" t="str">
        <f aca="false">IF(A232="","",R231)</f>
        <v/>
      </c>
      <c r="T231" s="200" t="str">
        <f aca="false">IF($A232="","",VLOOKUP($A231,Table,MATCH(T$4,Curves,0)))</f>
        <v/>
      </c>
      <c r="U231" s="201" t="str">
        <f aca="false">IF(A232="","",T231)</f>
        <v/>
      </c>
      <c r="V231" s="225" t="str">
        <f aca="false">IF($A232="","",IF(AND(MONTH(A231)&gt;3,MONTH(A231)&lt;11),(T231+R231+G231)*(((1/(1-Summary!$T$12))/(1-Summary!$W$12))-1),(T231+R231+G231)*((1/(1-Summary!$U$12))/(1-Summary!$X$12)-1)))</f>
        <v/>
      </c>
      <c r="W231" s="200" t="str">
        <f aca="false">IF($A232="","",(T231+R231+G231+V231))</f>
        <v/>
      </c>
      <c r="X231" s="200" t="str">
        <f aca="false">IF($A232="","",(U231+S231+H231+V231))</f>
        <v/>
      </c>
      <c r="Y231" s="202"/>
      <c r="Z231" s="185" t="str">
        <f aca="false">IF($A232="","",VLOOKUP($A231,Table,MATCH(Z$4,Curves,0)))</f>
        <v/>
      </c>
      <c r="AA231" s="185" t="str">
        <f aca="false">IF($A232="","",VLOOKUP($A231,Table,MATCH(AA$4,Curves,0)))</f>
        <v/>
      </c>
      <c r="AB231" s="185" t="e">
        <f aca="false">SQRT((AA231^2*(A231-$D$3)+Z231^2*(DAY(EOMONTH(A231,0))/2))/AK231)</f>
        <v>#VALUE!</v>
      </c>
      <c r="AC231" s="185" t="str">
        <f aca="false">IF($A232="","",VLOOKUP($A231,Table,MATCH(AC$4,Curves,0)))</f>
        <v/>
      </c>
      <c r="AD231" s="185" t="str">
        <f aca="false">IF($A232="","",VLOOKUP($A231,Table,MATCH(AD$4,Curves,0)))</f>
        <v/>
      </c>
      <c r="AE231" s="185" t="e">
        <f aca="false">SQRT((AD231^2*(A231-$D$3)+AC231^2*(DAY(EOMONTH(A231,0))/2))/AK231)</f>
        <v>#VALUE!</v>
      </c>
      <c r="AF231" s="206" t="e">
        <f aca="false">((Summary!$N$12*(AA231*AD231)*(A231-$D$3))+(Summary!$M$12*Z231*AC231*(AJ231-EOMONTH(EDATE(A231,-1),0))))/(AK231*AB231*AE231)</f>
        <v>#VALUE!</v>
      </c>
      <c r="AG231" s="207" t="str">
        <f aca="false">IF($A232="","",Summary!$Q$12)</f>
        <v/>
      </c>
      <c r="AH231" s="207" t="str">
        <f aca="false">IF($A232="","",IF(Summary!$R$12="Y",(VLOOKUP($A231,Summary!$AD$6:$AF$9,3)+'Escalating commodity'!H244),'Escalating commodity'!H244))</f>
        <v/>
      </c>
      <c r="AI231" s="207" t="str">
        <f aca="false">IF($A232="","",AH231)</f>
        <v/>
      </c>
      <c r="AJ231" s="208" t="e">
        <f aca="false">A231+DAY(EOMONTH(A231,0))/2-1</f>
        <v>#VALUE!</v>
      </c>
      <c r="AK231" s="209" t="str">
        <f aca="false">IF($A232="","",$A231-$E$1)</f>
        <v/>
      </c>
      <c r="AL231" s="182" t="str">
        <f aca="false">IF($A232="","",SPRDOPT(P231,X231,AI231,0,AB231,AE231,AF231,AK231,$AJ$2,0))</f>
        <v/>
      </c>
      <c r="AM231" s="211" t="str">
        <f aca="false">IF($A232="","",MAX(0,O231-W231-AI231))</f>
        <v/>
      </c>
      <c r="AN231" s="211" t="str">
        <f aca="false">IF($A232="","",AL231-AM231)</f>
        <v/>
      </c>
      <c r="AO231" s="137" t="str">
        <f aca="false">IF(A232="","",A232-A231)</f>
        <v/>
      </c>
      <c r="AP231" s="212" t="str">
        <f aca="false">IF(A232="","",CHOOSE(F$3,A232+24,A231))</f>
        <v/>
      </c>
      <c r="AQ231" s="209" t="str">
        <f aca="false">IF(A232="","",AP231-$E$1)</f>
        <v/>
      </c>
      <c r="AR231" s="185" t="n">
        <f aca="false">'ANR OK vs ML7'!AR231</f>
        <v>0.1</v>
      </c>
      <c r="AS231" s="213" t="str">
        <f aca="false">IF(A232="","",1/(1+CHOOSE(F$3,(AR232+($I$3/10000))/2,(AR231+($I$3/10000))/2))^(2*AQ231/365.25))</f>
        <v/>
      </c>
      <c r="AT231" s="137" t="str">
        <f aca="false">IF(A232="","",IF(AND(mthbeg&lt;=A231,mthend&gt;=A231),1,0))</f>
        <v/>
      </c>
      <c r="AU231" s="137" t="str">
        <f aca="false">IF(A232="","",AO231*AT231)</f>
        <v/>
      </c>
      <c r="AW231" s="195" t="str">
        <f aca="false">IF($A232="","",AL231*$E231)</f>
        <v/>
      </c>
      <c r="AX231" s="195" t="str">
        <f aca="false">IF($A232="","",AM231*$E231)</f>
        <v/>
      </c>
      <c r="AY231" s="195" t="str">
        <f aca="false">IF($A232="","",AN231*$E231)</f>
        <v/>
      </c>
      <c r="BA231" s="195" t="str">
        <f aca="false">IF($A232="","",F231*Summary!$Q$12)</f>
        <v/>
      </c>
    </row>
    <row r="232" customFormat="false" ht="12" hidden="false" customHeight="true" outlineLevel="0" collapsed="false">
      <c r="A232" s="196" t="str">
        <f aca="false">IF(A231&lt;mthend,EDATE(A231,1),"")</f>
        <v/>
      </c>
      <c r="B232" s="197" t="str">
        <f aca="false">IF(A232&lt;mthend,B231,"")</f>
        <v/>
      </c>
      <c r="C232" s="215"/>
      <c r="D232" s="197" t="str">
        <f aca="false">IF(A233&lt;&gt;"",B232+C232,"")</f>
        <v/>
      </c>
      <c r="E232" s="199" t="str">
        <f aca="false">IF(A233="","",IF(AND(AT232=1,$H$3=1),D232*AO232,IF($H$3=2,D232,"N/A")))</f>
        <v/>
      </c>
      <c r="F232" s="199" t="str">
        <f aca="false">IF(A233="","",E232*AS232)</f>
        <v/>
      </c>
      <c r="G232" s="200" t="str">
        <f aca="false">IF($A233="","",VLOOKUP($A232,Table,MATCH(G$4,Curves,0)))</f>
        <v/>
      </c>
      <c r="H232" s="201" t="str">
        <f aca="false">IF(A233="","",G232)</f>
        <v/>
      </c>
      <c r="I232" s="202"/>
      <c r="J232" s="200" t="str">
        <f aca="false">IF($A233="","",VLOOKUP($A232,Table,MATCH(J$4,Curves,0)))</f>
        <v/>
      </c>
      <c r="K232" s="201" t="str">
        <f aca="false">IF(A233="","",J232)</f>
        <v/>
      </c>
      <c r="L232" s="200" t="str">
        <f aca="false">IF($A233="","",VLOOKUP($A232,Table,MATCH(L$4,Curves,0)))</f>
        <v/>
      </c>
      <c r="M232" s="201" t="str">
        <f aca="false">IF(A233="","",L232)</f>
        <v/>
      </c>
      <c r="N232" s="203"/>
      <c r="O232" s="200" t="str">
        <f aca="false">IF(A233="","",L232+J232+G232)</f>
        <v/>
      </c>
      <c r="P232" s="200" t="str">
        <f aca="false">IF(A233="","",M232+K232+H232)</f>
        <v/>
      </c>
      <c r="Q232" s="204"/>
      <c r="R232" s="200" t="str">
        <f aca="false">IF($A233="","",VLOOKUP($A232,Table,MATCH(R$4,Curves,0)))</f>
        <v/>
      </c>
      <c r="S232" s="201" t="str">
        <f aca="false">IF(A233="","",R232)</f>
        <v/>
      </c>
      <c r="T232" s="200" t="str">
        <f aca="false">IF($A233="","",VLOOKUP($A232,Table,MATCH(T$4,Curves,0)))</f>
        <v/>
      </c>
      <c r="U232" s="201" t="str">
        <f aca="false">IF(A233="","",T232)</f>
        <v/>
      </c>
      <c r="V232" s="225" t="str">
        <f aca="false">IF($A233="","",IF(AND(MONTH(A232)&gt;3,MONTH(A232)&lt;11),(T232+R232+G232)*(((1/(1-Summary!$T$12))/(1-Summary!$W$12))-1),(T232+R232+G232)*((1/(1-Summary!$U$12))/(1-Summary!$X$12)-1)))</f>
        <v/>
      </c>
      <c r="W232" s="200" t="str">
        <f aca="false">IF($A233="","",(T232+R232+G232+V232))</f>
        <v/>
      </c>
      <c r="X232" s="200" t="str">
        <f aca="false">IF($A233="","",(U232+S232+H232+V232))</f>
        <v/>
      </c>
      <c r="Y232" s="202"/>
      <c r="Z232" s="185" t="str">
        <f aca="false">IF($A233="","",VLOOKUP($A232,Table,MATCH(Z$4,Curves,0)))</f>
        <v/>
      </c>
      <c r="AA232" s="185" t="str">
        <f aca="false">IF($A233="","",VLOOKUP($A232,Table,MATCH(AA$4,Curves,0)))</f>
        <v/>
      </c>
      <c r="AB232" s="185" t="e">
        <f aca="false">SQRT((AA232^2*(A232-$D$3)+Z232^2*(DAY(EOMONTH(A232,0))/2))/AK232)</f>
        <v>#VALUE!</v>
      </c>
      <c r="AC232" s="185" t="str">
        <f aca="false">IF($A233="","",VLOOKUP($A232,Table,MATCH(AC$4,Curves,0)))</f>
        <v/>
      </c>
      <c r="AD232" s="185" t="str">
        <f aca="false">IF($A233="","",VLOOKUP($A232,Table,MATCH(AD$4,Curves,0)))</f>
        <v/>
      </c>
      <c r="AE232" s="185" t="e">
        <f aca="false">SQRT((AD232^2*(A232-$D$3)+AC232^2*(DAY(EOMONTH(A232,0))/2))/AK232)</f>
        <v>#VALUE!</v>
      </c>
      <c r="AF232" s="206" t="e">
        <f aca="false">((Summary!$N$12*(AA232*AD232)*(A232-$D$3))+(Summary!$M$12*Z232*AC232*(AJ232-EOMONTH(EDATE(A232,-1),0))))/(AK232*AB232*AE232)</f>
        <v>#VALUE!</v>
      </c>
      <c r="AG232" s="207" t="str">
        <f aca="false">IF($A233="","",Summary!$Q$12)</f>
        <v/>
      </c>
      <c r="AH232" s="207" t="str">
        <f aca="false">IF($A233="","",IF(Summary!$R$12="Y",(VLOOKUP($A232,Summary!$AD$6:$AF$9,3)+'Escalating commodity'!H245),'Escalating commodity'!H245))</f>
        <v/>
      </c>
      <c r="AI232" s="207" t="str">
        <f aca="false">IF($A233="","",AH232)</f>
        <v/>
      </c>
      <c r="AJ232" s="208" t="e">
        <f aca="false">A232+DAY(EOMONTH(A232,0))/2-1</f>
        <v>#VALUE!</v>
      </c>
      <c r="AK232" s="209" t="str">
        <f aca="false">IF($A233="","",$A232-$E$1)</f>
        <v/>
      </c>
      <c r="AL232" s="182" t="str">
        <f aca="false">IF($A233="","",SPRDOPT(P232,X232,AI232,0,AB232,AE232,AF232,AK232,$AJ$2,0))</f>
        <v/>
      </c>
      <c r="AM232" s="211" t="str">
        <f aca="false">IF($A233="","",MAX(0,O232-W232-AI232))</f>
        <v/>
      </c>
      <c r="AN232" s="211" t="str">
        <f aca="false">IF($A233="","",AL232-AM232)</f>
        <v/>
      </c>
      <c r="AO232" s="137" t="str">
        <f aca="false">IF(A233="","",A233-A232)</f>
        <v/>
      </c>
      <c r="AP232" s="212" t="str">
        <f aca="false">IF(A233="","",CHOOSE(F$3,A233+24,A232))</f>
        <v/>
      </c>
      <c r="AQ232" s="209" t="str">
        <f aca="false">IF(A233="","",AP232-$E$1)</f>
        <v/>
      </c>
      <c r="AR232" s="185" t="n">
        <f aca="false">'ANR OK vs ML7'!AR232</f>
        <v>0.1</v>
      </c>
      <c r="AS232" s="213" t="str">
        <f aca="false">IF(A233="","",1/(1+CHOOSE(F$3,(AR233+($I$3/10000))/2,(AR232+($I$3/10000))/2))^(2*AQ232/365.25))</f>
        <v/>
      </c>
      <c r="AT232" s="137" t="str">
        <f aca="false">IF(A233="","",IF(AND(mthbeg&lt;=A232,mthend&gt;=A232),1,0))</f>
        <v/>
      </c>
      <c r="AU232" s="137" t="str">
        <f aca="false">IF(A233="","",AO232*AT232)</f>
        <v/>
      </c>
      <c r="AW232" s="195" t="str">
        <f aca="false">IF($A233="","",AL232*$E232)</f>
        <v/>
      </c>
      <c r="AX232" s="195" t="str">
        <f aca="false">IF($A233="","",AM232*$E232)</f>
        <v/>
      </c>
      <c r="AY232" s="195" t="str">
        <f aca="false">IF($A233="","",AN232*$E232)</f>
        <v/>
      </c>
      <c r="BA232" s="195" t="str">
        <f aca="false">IF($A233="","",F232*Summary!$Q$12)</f>
        <v/>
      </c>
    </row>
    <row r="233" customFormat="false" ht="12" hidden="false" customHeight="true" outlineLevel="0" collapsed="false">
      <c r="A233" s="196" t="str">
        <f aca="false">IF(A232&lt;mthend,EDATE(A232,1),"")</f>
        <v/>
      </c>
      <c r="B233" s="197" t="str">
        <f aca="false">IF(A233&lt;mthend,B232,"")</f>
        <v/>
      </c>
      <c r="C233" s="215"/>
      <c r="D233" s="197" t="str">
        <f aca="false">IF(A234&lt;&gt;"",B233+C233,"")</f>
        <v/>
      </c>
      <c r="E233" s="199" t="str">
        <f aca="false">IF(A234="","",IF(AND(AT233=1,$H$3=1),D233*AO233,IF($H$3=2,D233,"N/A")))</f>
        <v/>
      </c>
      <c r="F233" s="199" t="str">
        <f aca="false">IF(A234="","",E233*AS233)</f>
        <v/>
      </c>
      <c r="G233" s="200" t="str">
        <f aca="false">IF($A234="","",VLOOKUP($A233,Table,MATCH(G$4,Curves,0)))</f>
        <v/>
      </c>
      <c r="H233" s="201" t="str">
        <f aca="false">IF(A234="","",G233)</f>
        <v/>
      </c>
      <c r="I233" s="202"/>
      <c r="J233" s="200" t="str">
        <f aca="false">IF($A234="","",VLOOKUP($A233,Table,MATCH(J$4,Curves,0)))</f>
        <v/>
      </c>
      <c r="K233" s="201" t="str">
        <f aca="false">IF(A234="","",J233)</f>
        <v/>
      </c>
      <c r="L233" s="200" t="str">
        <f aca="false">IF($A234="","",VLOOKUP($A233,Table,MATCH(L$4,Curves,0)))</f>
        <v/>
      </c>
      <c r="M233" s="201" t="str">
        <f aca="false">IF(A234="","",L233)</f>
        <v/>
      </c>
      <c r="N233" s="203"/>
      <c r="O233" s="200" t="str">
        <f aca="false">IF(A234="","",L233+J233+G233)</f>
        <v/>
      </c>
      <c r="P233" s="200" t="str">
        <f aca="false">IF(A234="","",M233+K233+H233)</f>
        <v/>
      </c>
      <c r="Q233" s="204"/>
      <c r="R233" s="200" t="str">
        <f aca="false">IF($A234="","",VLOOKUP($A233,Table,MATCH(R$4,Curves,0)))</f>
        <v/>
      </c>
      <c r="S233" s="201" t="str">
        <f aca="false">IF(A234="","",R233)</f>
        <v/>
      </c>
      <c r="T233" s="200" t="str">
        <f aca="false">IF($A234="","",VLOOKUP($A233,Table,MATCH(T$4,Curves,0)))</f>
        <v/>
      </c>
      <c r="U233" s="201" t="str">
        <f aca="false">IF(A234="","",T233)</f>
        <v/>
      </c>
      <c r="V233" s="225" t="str">
        <f aca="false">IF($A234="","",IF(AND(MONTH(A233)&gt;3,MONTH(A233)&lt;11),(T233+R233+G233)*(((1/(1-Summary!$T$12))/(1-Summary!$W$12))-1),(T233+R233+G233)*((1/(1-Summary!$U$12))/(1-Summary!$X$12)-1)))</f>
        <v/>
      </c>
      <c r="W233" s="200" t="str">
        <f aca="false">IF($A234="","",(T233+R233+G233+V233))</f>
        <v/>
      </c>
      <c r="X233" s="200" t="str">
        <f aca="false">IF($A234="","",(U233+S233+H233+V233))</f>
        <v/>
      </c>
      <c r="Y233" s="202"/>
      <c r="Z233" s="185" t="str">
        <f aca="false">IF($A234="","",VLOOKUP($A233,Table,MATCH(Z$4,Curves,0)))</f>
        <v/>
      </c>
      <c r="AA233" s="185" t="str">
        <f aca="false">IF($A234="","",VLOOKUP($A233,Table,MATCH(AA$4,Curves,0)))</f>
        <v/>
      </c>
      <c r="AB233" s="185" t="e">
        <f aca="false">SQRT((AA233^2*(A233-$D$3)+Z233^2*(DAY(EOMONTH(A233,0))/2))/AK233)</f>
        <v>#VALUE!</v>
      </c>
      <c r="AC233" s="185" t="str">
        <f aca="false">IF($A234="","",VLOOKUP($A233,Table,MATCH(AC$4,Curves,0)))</f>
        <v/>
      </c>
      <c r="AD233" s="185" t="str">
        <f aca="false">IF($A234="","",VLOOKUP($A233,Table,MATCH(AD$4,Curves,0)))</f>
        <v/>
      </c>
      <c r="AE233" s="185" t="e">
        <f aca="false">SQRT((AD233^2*(A233-$D$3)+AC233^2*(DAY(EOMONTH(A233,0))/2))/AK233)</f>
        <v>#VALUE!</v>
      </c>
      <c r="AF233" s="206" t="e">
        <f aca="false">((Summary!$N$12*(AA233*AD233)*(A233-$D$3))+(Summary!$M$12*Z233*AC233*(AJ233-EOMONTH(EDATE(A233,-1),0))))/(AK233*AB233*AE233)</f>
        <v>#VALUE!</v>
      </c>
      <c r="AG233" s="207" t="str">
        <f aca="false">IF($A234="","",Summary!$Q$12)</f>
        <v/>
      </c>
      <c r="AH233" s="207" t="str">
        <f aca="false">IF($A234="","",IF(Summary!$R$12="Y",(VLOOKUP($A233,Summary!$AD$6:$AF$9,3)+'Escalating commodity'!H246),'Escalating commodity'!H246))</f>
        <v/>
      </c>
      <c r="AI233" s="207" t="str">
        <f aca="false">IF($A234="","",AH233)</f>
        <v/>
      </c>
      <c r="AJ233" s="208" t="e">
        <f aca="false">A233+DAY(EOMONTH(A233,0))/2-1</f>
        <v>#VALUE!</v>
      </c>
      <c r="AK233" s="209" t="str">
        <f aca="false">IF($A234="","",$A233-$E$1)</f>
        <v/>
      </c>
      <c r="AL233" s="182" t="str">
        <f aca="false">IF($A234="","",SPRDOPT(P233,X233,AI233,0,AB233,AE233,AF233,AK233,$AJ$2,0))</f>
        <v/>
      </c>
      <c r="AM233" s="211" t="str">
        <f aca="false">IF($A234="","",MAX(0,O233-W233-AI233))</f>
        <v/>
      </c>
      <c r="AN233" s="211" t="str">
        <f aca="false">IF($A234="","",AL233-AM233)</f>
        <v/>
      </c>
      <c r="AO233" s="137" t="str">
        <f aca="false">IF(A234="","",A234-A233)</f>
        <v/>
      </c>
      <c r="AP233" s="212" t="str">
        <f aca="false">IF(A234="","",CHOOSE(F$3,A234+24,A233))</f>
        <v/>
      </c>
      <c r="AQ233" s="209" t="str">
        <f aca="false">IF(A234="","",AP233-$E$1)</f>
        <v/>
      </c>
      <c r="AR233" s="185" t="n">
        <f aca="false">'ANR OK vs ML7'!AR233</f>
        <v>0.1</v>
      </c>
      <c r="AS233" s="213" t="str">
        <f aca="false">IF(A234="","",1/(1+CHOOSE(F$3,(AR234+($I$3/10000))/2,(AR233+($I$3/10000))/2))^(2*AQ233/365.25))</f>
        <v/>
      </c>
      <c r="AT233" s="137" t="str">
        <f aca="false">IF(A234="","",IF(AND(mthbeg&lt;=A233,mthend&gt;=A233),1,0))</f>
        <v/>
      </c>
      <c r="AU233" s="137" t="str">
        <f aca="false">IF(A234="","",AO233*AT233)</f>
        <v/>
      </c>
      <c r="AW233" s="195" t="str">
        <f aca="false">IF($A234="","",AL233*$E233)</f>
        <v/>
      </c>
      <c r="AX233" s="195" t="str">
        <f aca="false">IF($A234="","",AM233*$E233)</f>
        <v/>
      </c>
      <c r="AY233" s="195" t="str">
        <f aca="false">IF($A234="","",AN233*$E233)</f>
        <v/>
      </c>
      <c r="BA233" s="195" t="str">
        <f aca="false">IF($A234="","",F233*Summary!$Q$12)</f>
        <v/>
      </c>
    </row>
    <row r="234" customFormat="false" ht="12" hidden="false" customHeight="true" outlineLevel="0" collapsed="false">
      <c r="A234" s="196" t="str">
        <f aca="false">IF(A233&lt;mthend,EDATE(A233,1),"")</f>
        <v/>
      </c>
      <c r="B234" s="197" t="str">
        <f aca="false">IF(A234&lt;mthend,B233,"")</f>
        <v/>
      </c>
      <c r="C234" s="215"/>
      <c r="D234" s="197" t="str">
        <f aca="false">IF(A235&lt;&gt;"",B234+C234,"")</f>
        <v/>
      </c>
      <c r="E234" s="199" t="str">
        <f aca="false">IF(A235="","",IF(AND(AT234=1,$H$3=1),D234*AO234,IF($H$3=2,D234,"N/A")))</f>
        <v/>
      </c>
      <c r="F234" s="199" t="str">
        <f aca="false">IF(A235="","",E234*AS234)</f>
        <v/>
      </c>
      <c r="G234" s="200" t="str">
        <f aca="false">IF($A235="","",VLOOKUP($A234,Table,MATCH(G$4,Curves,0)))</f>
        <v/>
      </c>
      <c r="H234" s="201" t="str">
        <f aca="false">IF(A235="","",G234)</f>
        <v/>
      </c>
      <c r="I234" s="202"/>
      <c r="J234" s="200" t="str">
        <f aca="false">IF($A235="","",VLOOKUP($A234,Table,MATCH(J$4,Curves,0)))</f>
        <v/>
      </c>
      <c r="K234" s="201" t="str">
        <f aca="false">IF(A235="","",J234)</f>
        <v/>
      </c>
      <c r="L234" s="200" t="str">
        <f aca="false">IF($A235="","",VLOOKUP($A234,Table,MATCH(L$4,Curves,0)))</f>
        <v/>
      </c>
      <c r="M234" s="201" t="str">
        <f aca="false">IF(A235="","",L234)</f>
        <v/>
      </c>
      <c r="N234" s="203"/>
      <c r="O234" s="200" t="str">
        <f aca="false">IF(A235="","",L234+J234+G234)</f>
        <v/>
      </c>
      <c r="P234" s="200" t="str">
        <f aca="false">IF(A235="","",M234+K234+H234)</f>
        <v/>
      </c>
      <c r="Q234" s="204"/>
      <c r="R234" s="200" t="str">
        <f aca="false">IF($A235="","",VLOOKUP($A234,Table,MATCH(R$4,Curves,0)))</f>
        <v/>
      </c>
      <c r="S234" s="201" t="str">
        <f aca="false">IF(A235="","",R234)</f>
        <v/>
      </c>
      <c r="T234" s="200" t="str">
        <f aca="false">IF($A235="","",VLOOKUP($A234,Table,MATCH(T$4,Curves,0)))</f>
        <v/>
      </c>
      <c r="U234" s="201" t="str">
        <f aca="false">IF(A235="","",T234)</f>
        <v/>
      </c>
      <c r="V234" s="225" t="str">
        <f aca="false">IF($A235="","",IF(AND(MONTH(A234)&gt;3,MONTH(A234)&lt;11),(T234+R234+G234)*(((1/(1-Summary!$T$12))/(1-Summary!$W$12))-1),(T234+R234+G234)*((1/(1-Summary!$U$12))/(1-Summary!$X$12)-1)))</f>
        <v/>
      </c>
      <c r="W234" s="200" t="str">
        <f aca="false">IF($A235="","",(T234+R234+G234+V234))</f>
        <v/>
      </c>
      <c r="X234" s="200" t="str">
        <f aca="false">IF($A235="","",(U234+S234+H234+V234))</f>
        <v/>
      </c>
      <c r="Y234" s="202"/>
      <c r="Z234" s="185" t="str">
        <f aca="false">IF($A235="","",VLOOKUP($A234,Table,MATCH(Z$4,Curves,0)))</f>
        <v/>
      </c>
      <c r="AA234" s="185" t="str">
        <f aca="false">IF($A235="","",VLOOKUP($A234,Table,MATCH(AA$4,Curves,0)))</f>
        <v/>
      </c>
      <c r="AB234" s="185" t="e">
        <f aca="false">SQRT((AA234^2*(A234-$D$3)+Z234^2*(DAY(EOMONTH(A234,0))/2))/AK234)</f>
        <v>#VALUE!</v>
      </c>
      <c r="AC234" s="185" t="str">
        <f aca="false">IF($A235="","",VLOOKUP($A234,Table,MATCH(AC$4,Curves,0)))</f>
        <v/>
      </c>
      <c r="AD234" s="185" t="str">
        <f aca="false">IF($A235="","",VLOOKUP($A234,Table,MATCH(AD$4,Curves,0)))</f>
        <v/>
      </c>
      <c r="AE234" s="185" t="e">
        <f aca="false">SQRT((AD234^2*(A234-$D$3)+AC234^2*(DAY(EOMONTH(A234,0))/2))/AK234)</f>
        <v>#VALUE!</v>
      </c>
      <c r="AF234" s="206" t="e">
        <f aca="false">((Summary!$N$12*(AA234*AD234)*(A234-$D$3))+(Summary!$M$12*Z234*AC234*(AJ234-EOMONTH(EDATE(A234,-1),0))))/(AK234*AB234*AE234)</f>
        <v>#VALUE!</v>
      </c>
      <c r="AG234" s="207" t="str">
        <f aca="false">IF($A235="","",Summary!$Q$12)</f>
        <v/>
      </c>
      <c r="AH234" s="207" t="str">
        <f aca="false">IF($A235="","",IF(Summary!$R$12="Y",(VLOOKUP($A234,Summary!$AD$6:$AF$9,3)+'Escalating commodity'!H247),'Escalating commodity'!H247))</f>
        <v/>
      </c>
      <c r="AI234" s="207" t="str">
        <f aca="false">IF($A235="","",AH234)</f>
        <v/>
      </c>
      <c r="AJ234" s="208" t="e">
        <f aca="false">A234+DAY(EOMONTH(A234,0))/2-1</f>
        <v>#VALUE!</v>
      </c>
      <c r="AK234" s="209" t="str">
        <f aca="false">IF($A235="","",$A234-$E$1)</f>
        <v/>
      </c>
      <c r="AL234" s="182" t="str">
        <f aca="false">IF($A235="","",SPRDOPT(P234,X234,AI234,0,AB234,AE234,AF234,AK234,$AJ$2,0))</f>
        <v/>
      </c>
      <c r="AM234" s="211" t="str">
        <f aca="false">IF($A235="","",MAX(0,O234-W234-AI234))</f>
        <v/>
      </c>
      <c r="AN234" s="211" t="str">
        <f aca="false">IF($A235="","",AL234-AM234)</f>
        <v/>
      </c>
      <c r="AO234" s="137" t="str">
        <f aca="false">IF(A235="","",A235-A234)</f>
        <v/>
      </c>
      <c r="AP234" s="212" t="str">
        <f aca="false">IF(A235="","",CHOOSE(F$3,A235+24,A234))</f>
        <v/>
      </c>
      <c r="AQ234" s="209" t="str">
        <f aca="false">IF(A235="","",AP234-$E$1)</f>
        <v/>
      </c>
      <c r="AR234" s="185" t="n">
        <f aca="false">'ANR OK vs ML7'!AR234</f>
        <v>0.1</v>
      </c>
      <c r="AS234" s="213" t="str">
        <f aca="false">IF(A235="","",1/(1+CHOOSE(F$3,(AR235+($I$3/10000))/2,(AR234+($I$3/10000))/2))^(2*AQ234/365.25))</f>
        <v/>
      </c>
      <c r="AT234" s="137" t="str">
        <f aca="false">IF(A235="","",IF(AND(mthbeg&lt;=A234,mthend&gt;=A234),1,0))</f>
        <v/>
      </c>
      <c r="AU234" s="137" t="str">
        <f aca="false">IF(A235="","",AO234*AT234)</f>
        <v/>
      </c>
      <c r="AW234" s="195" t="str">
        <f aca="false">IF($A235="","",AL234*$E234)</f>
        <v/>
      </c>
      <c r="AX234" s="195" t="str">
        <f aca="false">IF($A235="","",AM234*$E234)</f>
        <v/>
      </c>
      <c r="AY234" s="195" t="str">
        <f aca="false">IF($A235="","",AN234*$E234)</f>
        <v/>
      </c>
      <c r="BA234" s="195" t="str">
        <f aca="false">IF($A235="","",F234*Summary!$Q$12)</f>
        <v/>
      </c>
    </row>
    <row r="235" customFormat="false" ht="12" hidden="false" customHeight="true" outlineLevel="0" collapsed="false">
      <c r="A235" s="196" t="str">
        <f aca="false">IF(A234&lt;mthend,EDATE(A234,1),"")</f>
        <v/>
      </c>
      <c r="B235" s="197" t="str">
        <f aca="false">IF(A235&lt;mthend,B234,"")</f>
        <v/>
      </c>
      <c r="C235" s="215"/>
      <c r="D235" s="197" t="str">
        <f aca="false">IF(A236&lt;&gt;"",B235+C235,"")</f>
        <v/>
      </c>
      <c r="E235" s="199" t="str">
        <f aca="false">IF(A236="","",IF(AND(AT235=1,$H$3=1),D235*AO235,IF($H$3=2,D235,"N/A")))</f>
        <v/>
      </c>
      <c r="F235" s="199" t="str">
        <f aca="false">IF(A236="","",E235*AS235)</f>
        <v/>
      </c>
      <c r="G235" s="200" t="str">
        <f aca="false">IF($A236="","",VLOOKUP($A235,Table,MATCH(G$4,Curves,0)))</f>
        <v/>
      </c>
      <c r="H235" s="201" t="str">
        <f aca="false">IF(A236="","",G235)</f>
        <v/>
      </c>
      <c r="I235" s="202"/>
      <c r="J235" s="200" t="str">
        <f aca="false">IF($A236="","",VLOOKUP($A235,Table,MATCH(J$4,Curves,0)))</f>
        <v/>
      </c>
      <c r="K235" s="201" t="str">
        <f aca="false">IF(A236="","",J235)</f>
        <v/>
      </c>
      <c r="L235" s="200" t="str">
        <f aca="false">IF($A236="","",VLOOKUP($A235,Table,MATCH(L$4,Curves,0)))</f>
        <v/>
      </c>
      <c r="M235" s="201" t="str">
        <f aca="false">IF(A236="","",L235)</f>
        <v/>
      </c>
      <c r="N235" s="203"/>
      <c r="O235" s="200" t="str">
        <f aca="false">IF(A236="","",L235+J235+G235)</f>
        <v/>
      </c>
      <c r="P235" s="200" t="str">
        <f aca="false">IF(A236="","",M235+K235+H235)</f>
        <v/>
      </c>
      <c r="Q235" s="204"/>
      <c r="R235" s="200" t="str">
        <f aca="false">IF($A236="","",VLOOKUP($A235,Table,MATCH(R$4,Curves,0)))</f>
        <v/>
      </c>
      <c r="S235" s="201" t="str">
        <f aca="false">IF(A236="","",R235)</f>
        <v/>
      </c>
      <c r="T235" s="200" t="str">
        <f aca="false">IF($A236="","",VLOOKUP($A235,Table,MATCH(T$4,Curves,0)))</f>
        <v/>
      </c>
      <c r="U235" s="201" t="str">
        <f aca="false">IF(A236="","",T235)</f>
        <v/>
      </c>
      <c r="V235" s="225" t="str">
        <f aca="false">IF($A236="","",IF(AND(MONTH(A235)&gt;3,MONTH(A235)&lt;11),(T235+R235+G235)*(((1/(1-Summary!$T$12))/(1-Summary!$W$12))-1),(T235+R235+G235)*((1/(1-Summary!$U$12))/(1-Summary!$X$12)-1)))</f>
        <v/>
      </c>
      <c r="W235" s="200" t="str">
        <f aca="false">IF($A236="","",(T235+R235+G235+V235))</f>
        <v/>
      </c>
      <c r="X235" s="200" t="str">
        <f aca="false">IF($A236="","",(U235+S235+H235+V235))</f>
        <v/>
      </c>
      <c r="Y235" s="202"/>
      <c r="Z235" s="185" t="str">
        <f aca="false">IF($A236="","",VLOOKUP($A235,Table,MATCH(Z$4,Curves,0)))</f>
        <v/>
      </c>
      <c r="AA235" s="185" t="str">
        <f aca="false">IF($A236="","",VLOOKUP($A235,Table,MATCH(AA$4,Curves,0)))</f>
        <v/>
      </c>
      <c r="AB235" s="185" t="e">
        <f aca="false">SQRT((AA235^2*(A235-$D$3)+Z235^2*(DAY(EOMONTH(A235,0))/2))/AK235)</f>
        <v>#VALUE!</v>
      </c>
      <c r="AC235" s="185" t="str">
        <f aca="false">IF($A236="","",VLOOKUP($A235,Table,MATCH(AC$4,Curves,0)))</f>
        <v/>
      </c>
      <c r="AD235" s="185" t="str">
        <f aca="false">IF($A236="","",VLOOKUP($A235,Table,MATCH(AD$4,Curves,0)))</f>
        <v/>
      </c>
      <c r="AE235" s="185" t="e">
        <f aca="false">SQRT((AD235^2*(A235-$D$3)+AC235^2*(DAY(EOMONTH(A235,0))/2))/AK235)</f>
        <v>#VALUE!</v>
      </c>
      <c r="AF235" s="206" t="e">
        <f aca="false">((Summary!$N$12*(AA235*AD235)*(A235-$D$3))+(Summary!$M$12*Z235*AC235*(AJ235-EOMONTH(EDATE(A235,-1),0))))/(AK235*AB235*AE235)</f>
        <v>#VALUE!</v>
      </c>
      <c r="AG235" s="207" t="str">
        <f aca="false">IF($A236="","",Summary!$Q$12)</f>
        <v/>
      </c>
      <c r="AH235" s="207" t="str">
        <f aca="false">IF($A236="","",IF(Summary!$R$12="Y",(VLOOKUP($A235,Summary!$AD$6:$AF$9,3)+'Escalating commodity'!H248),'Escalating commodity'!H248))</f>
        <v/>
      </c>
      <c r="AI235" s="207" t="str">
        <f aca="false">IF($A236="","",AH235)</f>
        <v/>
      </c>
      <c r="AJ235" s="208" t="e">
        <f aca="false">A235+DAY(EOMONTH(A235,0))/2-1</f>
        <v>#VALUE!</v>
      </c>
      <c r="AK235" s="209" t="str">
        <f aca="false">IF($A236="","",$A235-$E$1)</f>
        <v/>
      </c>
      <c r="AL235" s="182" t="str">
        <f aca="false">IF($A236="","",SPRDOPT(P235,X235,AI235,0,AB235,AE235,AF235,AK235,$AJ$2,0))</f>
        <v/>
      </c>
      <c r="AM235" s="211" t="str">
        <f aca="false">IF($A236="","",MAX(0,O235-W235-AI235))</f>
        <v/>
      </c>
      <c r="AN235" s="211" t="str">
        <f aca="false">IF($A236="","",AL235-AM235)</f>
        <v/>
      </c>
      <c r="AO235" s="137" t="str">
        <f aca="false">IF(A236="","",A236-A235)</f>
        <v/>
      </c>
      <c r="AP235" s="212" t="str">
        <f aca="false">IF(A236="","",CHOOSE(F$3,A236+24,A235))</f>
        <v/>
      </c>
      <c r="AQ235" s="209" t="str">
        <f aca="false">IF(A236="","",AP235-$E$1)</f>
        <v/>
      </c>
      <c r="AR235" s="185" t="n">
        <f aca="false">'ANR OK vs ML7'!AR235</f>
        <v>0.1</v>
      </c>
      <c r="AS235" s="213" t="str">
        <f aca="false">IF(A236="","",1/(1+CHOOSE(F$3,(AR236+($I$3/10000))/2,(AR235+($I$3/10000))/2))^(2*AQ235/365.25))</f>
        <v/>
      </c>
      <c r="AT235" s="137" t="str">
        <f aca="false">IF(A236="","",IF(AND(mthbeg&lt;=A235,mthend&gt;=A235),1,0))</f>
        <v/>
      </c>
      <c r="AU235" s="137" t="str">
        <f aca="false">IF(A236="","",AO235*AT235)</f>
        <v/>
      </c>
      <c r="AW235" s="195" t="str">
        <f aca="false">IF($A236="","",AL235*$E235)</f>
        <v/>
      </c>
      <c r="AX235" s="195" t="str">
        <f aca="false">IF($A236="","",AM235*$E235)</f>
        <v/>
      </c>
      <c r="AY235" s="195" t="str">
        <f aca="false">IF($A236="","",AN235*$E235)</f>
        <v/>
      </c>
      <c r="BA235" s="195" t="str">
        <f aca="false">IF($A236="","",F235*Summary!$Q$12)</f>
        <v/>
      </c>
    </row>
    <row r="236" customFormat="false" ht="12" hidden="false" customHeight="true" outlineLevel="0" collapsed="false">
      <c r="A236" s="196" t="str">
        <f aca="false">IF(A235&lt;mthend,EDATE(A235,1),"")</f>
        <v/>
      </c>
      <c r="B236" s="197" t="str">
        <f aca="false">IF(A236&lt;mthend,B235,"")</f>
        <v/>
      </c>
      <c r="C236" s="215"/>
      <c r="D236" s="197" t="str">
        <f aca="false">IF(A237&lt;&gt;"",B236+C236,"")</f>
        <v/>
      </c>
      <c r="E236" s="199" t="str">
        <f aca="false">IF(A237="","",IF(AND(AT236=1,$H$3=1),D236*AO236,IF($H$3=2,D236,"N/A")))</f>
        <v/>
      </c>
      <c r="F236" s="199" t="str">
        <f aca="false">IF(A237="","",E236*AS236)</f>
        <v/>
      </c>
      <c r="G236" s="200" t="str">
        <f aca="false">IF($A237="","",VLOOKUP($A236,Table,MATCH(G$4,Curves,0)))</f>
        <v/>
      </c>
      <c r="H236" s="201" t="str">
        <f aca="false">IF(A237="","",G236)</f>
        <v/>
      </c>
      <c r="I236" s="202"/>
      <c r="J236" s="200" t="str">
        <f aca="false">IF($A237="","",VLOOKUP($A236,Table,MATCH(J$4,Curves,0)))</f>
        <v/>
      </c>
      <c r="K236" s="201" t="str">
        <f aca="false">IF(A237="","",J236)</f>
        <v/>
      </c>
      <c r="L236" s="200" t="str">
        <f aca="false">IF($A237="","",VLOOKUP($A236,Table,MATCH(L$4,Curves,0)))</f>
        <v/>
      </c>
      <c r="M236" s="201" t="str">
        <f aca="false">IF(A237="","",L236)</f>
        <v/>
      </c>
      <c r="N236" s="203"/>
      <c r="O236" s="200" t="str">
        <f aca="false">IF(A237="","",L236+J236+G236)</f>
        <v/>
      </c>
      <c r="P236" s="200" t="str">
        <f aca="false">IF(A237="","",M236+K236+H236)</f>
        <v/>
      </c>
      <c r="Q236" s="204"/>
      <c r="R236" s="200" t="str">
        <f aca="false">IF($A237="","",VLOOKUP($A236,Table,MATCH(R$4,Curves,0)))</f>
        <v/>
      </c>
      <c r="S236" s="201" t="str">
        <f aca="false">IF(A237="","",R236)</f>
        <v/>
      </c>
      <c r="T236" s="200" t="str">
        <f aca="false">IF($A237="","",VLOOKUP($A236,Table,MATCH(T$4,Curves,0)))</f>
        <v/>
      </c>
      <c r="U236" s="201" t="str">
        <f aca="false">IF(A237="","",T236)</f>
        <v/>
      </c>
      <c r="V236" s="225" t="str">
        <f aca="false">IF($A237="","",IF(AND(MONTH(A236)&gt;3,MONTH(A236)&lt;11),(T236+R236+G236)*(((1/(1-Summary!$T$12))/(1-Summary!$W$12))-1),(T236+R236+G236)*((1/(1-Summary!$U$12))/(1-Summary!$X$12)-1)))</f>
        <v/>
      </c>
      <c r="W236" s="200" t="str">
        <f aca="false">IF($A237="","",(T236+R236+G236+V236))</f>
        <v/>
      </c>
      <c r="X236" s="200" t="str">
        <f aca="false">IF($A237="","",(U236+S236+H236+V236))</f>
        <v/>
      </c>
      <c r="Y236" s="202"/>
      <c r="Z236" s="185" t="str">
        <f aca="false">IF($A237="","",VLOOKUP($A236,Table,MATCH(Z$4,Curves,0)))</f>
        <v/>
      </c>
      <c r="AA236" s="185" t="str">
        <f aca="false">IF($A237="","",VLOOKUP($A236,Table,MATCH(AA$4,Curves,0)))</f>
        <v/>
      </c>
      <c r="AB236" s="185" t="e">
        <f aca="false">SQRT((AA236^2*(A236-$D$3)+Z236^2*(DAY(EOMONTH(A236,0))/2))/AK236)</f>
        <v>#VALUE!</v>
      </c>
      <c r="AC236" s="185" t="str">
        <f aca="false">IF($A237="","",VLOOKUP($A236,Table,MATCH(AC$4,Curves,0)))</f>
        <v/>
      </c>
      <c r="AD236" s="185" t="str">
        <f aca="false">IF($A237="","",VLOOKUP($A236,Table,MATCH(AD$4,Curves,0)))</f>
        <v/>
      </c>
      <c r="AE236" s="185" t="e">
        <f aca="false">SQRT((AD236^2*(A236-$D$3)+AC236^2*(DAY(EOMONTH(A236,0))/2))/AK236)</f>
        <v>#VALUE!</v>
      </c>
      <c r="AF236" s="206" t="e">
        <f aca="false">((Summary!$N$12*(AA236*AD236)*(A236-$D$3))+(Summary!$M$12*Z236*AC236*(AJ236-EOMONTH(EDATE(A236,-1),0))))/(AK236*AB236*AE236)</f>
        <v>#VALUE!</v>
      </c>
      <c r="AG236" s="207" t="str">
        <f aca="false">IF($A237="","",Summary!$Q$12)</f>
        <v/>
      </c>
      <c r="AH236" s="207" t="str">
        <f aca="false">IF($A237="","",IF(Summary!$R$12="Y",(VLOOKUP($A236,Summary!$AD$6:$AF$9,3)+'Escalating commodity'!H249),'Escalating commodity'!H249))</f>
        <v/>
      </c>
      <c r="AI236" s="207" t="str">
        <f aca="false">IF($A237="","",AH236)</f>
        <v/>
      </c>
      <c r="AJ236" s="208" t="e">
        <f aca="false">A236+DAY(EOMONTH(A236,0))/2-1</f>
        <v>#VALUE!</v>
      </c>
      <c r="AK236" s="209" t="str">
        <f aca="false">IF($A237="","",$A236-$E$1)</f>
        <v/>
      </c>
      <c r="AL236" s="182" t="str">
        <f aca="false">IF($A237="","",SPRDOPT(P236,X236,AI236,0,AB236,AE236,AF236,AK236,$AJ$2,0))</f>
        <v/>
      </c>
      <c r="AM236" s="211" t="str">
        <f aca="false">IF($A237="","",MAX(0,O236-W236-AI236))</f>
        <v/>
      </c>
      <c r="AN236" s="211" t="str">
        <f aca="false">IF($A237="","",AL236-AM236)</f>
        <v/>
      </c>
      <c r="AO236" s="137" t="str">
        <f aca="false">IF(A237="","",A237-A236)</f>
        <v/>
      </c>
      <c r="AP236" s="212" t="str">
        <f aca="false">IF(A237="","",CHOOSE(F$3,A237+24,A236))</f>
        <v/>
      </c>
      <c r="AQ236" s="209" t="str">
        <f aca="false">IF(A237="","",AP236-$E$1)</f>
        <v/>
      </c>
      <c r="AR236" s="185" t="n">
        <f aca="false">'ANR OK vs ML7'!AR236</f>
        <v>0.1</v>
      </c>
      <c r="AS236" s="213" t="str">
        <f aca="false">IF(A237="","",1/(1+CHOOSE(F$3,(AR237+($I$3/10000))/2,(AR236+($I$3/10000))/2))^(2*AQ236/365.25))</f>
        <v/>
      </c>
      <c r="AT236" s="137" t="str">
        <f aca="false">IF(A237="","",IF(AND(mthbeg&lt;=A236,mthend&gt;=A236),1,0))</f>
        <v/>
      </c>
      <c r="AU236" s="137" t="str">
        <f aca="false">IF(A237="","",AO236*AT236)</f>
        <v/>
      </c>
      <c r="AW236" s="195" t="str">
        <f aca="false">IF($A237="","",AL236*$E236)</f>
        <v/>
      </c>
      <c r="AX236" s="195" t="str">
        <f aca="false">IF($A237="","",AM236*$E236)</f>
        <v/>
      </c>
      <c r="AY236" s="195" t="str">
        <f aca="false">IF($A237="","",AN236*$E236)</f>
        <v/>
      </c>
      <c r="BA236" s="195" t="str">
        <f aca="false">IF($A237="","",F236*Summary!$Q$12)</f>
        <v/>
      </c>
    </row>
    <row r="237" customFormat="false" ht="12" hidden="false" customHeight="true" outlineLevel="0" collapsed="false">
      <c r="A237" s="196" t="str">
        <f aca="false">IF(A236&lt;mthend,EDATE(A236,1),"")</f>
        <v/>
      </c>
      <c r="B237" s="197" t="str">
        <f aca="false">IF(A237&lt;mthend,B236,"")</f>
        <v/>
      </c>
      <c r="C237" s="215"/>
      <c r="D237" s="197" t="str">
        <f aca="false">IF(A238&lt;&gt;"",B237+C237,"")</f>
        <v/>
      </c>
      <c r="E237" s="199" t="str">
        <f aca="false">IF(A238="","",IF(AND(AT237=1,$H$3=1),D237*AO237,IF($H$3=2,D237,"N/A")))</f>
        <v/>
      </c>
      <c r="F237" s="199" t="str">
        <f aca="false">IF(A238="","",E237*AS237)</f>
        <v/>
      </c>
      <c r="G237" s="200" t="str">
        <f aca="false">IF($A238="","",VLOOKUP($A237,Table,MATCH(G$4,Curves,0)))</f>
        <v/>
      </c>
      <c r="H237" s="201" t="str">
        <f aca="false">IF(A238="","",G237)</f>
        <v/>
      </c>
      <c r="I237" s="202"/>
      <c r="J237" s="200" t="str">
        <f aca="false">IF($A238="","",VLOOKUP($A237,Table,MATCH(J$4,Curves,0)))</f>
        <v/>
      </c>
      <c r="K237" s="201" t="str">
        <f aca="false">IF(A238="","",J237)</f>
        <v/>
      </c>
      <c r="L237" s="200" t="str">
        <f aca="false">IF($A238="","",VLOOKUP($A237,Table,MATCH(L$4,Curves,0)))</f>
        <v/>
      </c>
      <c r="M237" s="201" t="str">
        <f aca="false">IF(A238="","",L237)</f>
        <v/>
      </c>
      <c r="N237" s="203"/>
      <c r="O237" s="200" t="str">
        <f aca="false">IF(A238="","",L237+J237+G237)</f>
        <v/>
      </c>
      <c r="P237" s="200" t="str">
        <f aca="false">IF(A238="","",M237+K237+H237)</f>
        <v/>
      </c>
      <c r="Q237" s="204"/>
      <c r="R237" s="200" t="str">
        <f aca="false">IF($A238="","",VLOOKUP($A237,Table,MATCH(R$4,Curves,0)))</f>
        <v/>
      </c>
      <c r="S237" s="201" t="str">
        <f aca="false">IF(A238="","",R237)</f>
        <v/>
      </c>
      <c r="T237" s="200" t="str">
        <f aca="false">IF($A238="","",VLOOKUP($A237,Table,MATCH(T$4,Curves,0)))</f>
        <v/>
      </c>
      <c r="U237" s="201" t="str">
        <f aca="false">IF(A238="","",T237)</f>
        <v/>
      </c>
      <c r="V237" s="225" t="str">
        <f aca="false">IF($A238="","",IF(AND(MONTH(A237)&gt;3,MONTH(A237)&lt;11),(T237+R237+G237)*(((1/(1-Summary!$T$12))/(1-Summary!$W$12))-1),(T237+R237+G237)*((1/(1-Summary!$U$12))/(1-Summary!$X$12)-1)))</f>
        <v/>
      </c>
      <c r="W237" s="200" t="str">
        <f aca="false">IF($A238="","",(T237+R237+G237+V237))</f>
        <v/>
      </c>
      <c r="X237" s="200" t="str">
        <f aca="false">IF($A238="","",(U237+S237+H237+V237))</f>
        <v/>
      </c>
      <c r="Y237" s="202"/>
      <c r="Z237" s="185" t="str">
        <f aca="false">IF($A238="","",VLOOKUP($A237,Table,MATCH(Z$4,Curves,0)))</f>
        <v/>
      </c>
      <c r="AA237" s="185" t="str">
        <f aca="false">IF($A238="","",VLOOKUP($A237,Table,MATCH(AA$4,Curves,0)))</f>
        <v/>
      </c>
      <c r="AB237" s="185" t="e">
        <f aca="false">SQRT((AA237^2*(A237-$D$3)+Z237^2*(DAY(EOMONTH(A237,0))/2))/AK237)</f>
        <v>#VALUE!</v>
      </c>
      <c r="AC237" s="185" t="str">
        <f aca="false">IF($A238="","",VLOOKUP($A237,Table,MATCH(AC$4,Curves,0)))</f>
        <v/>
      </c>
      <c r="AD237" s="185" t="str">
        <f aca="false">IF($A238="","",VLOOKUP($A237,Table,MATCH(AD$4,Curves,0)))</f>
        <v/>
      </c>
      <c r="AE237" s="185" t="e">
        <f aca="false">SQRT((AD237^2*(A237-$D$3)+AC237^2*(DAY(EOMONTH(A237,0))/2))/AK237)</f>
        <v>#VALUE!</v>
      </c>
      <c r="AF237" s="206" t="e">
        <f aca="false">((Summary!$N$12*(AA237*AD237)*(A237-$D$3))+(Summary!$M$12*Z237*AC237*(AJ237-EOMONTH(EDATE(A237,-1),0))))/(AK237*AB237*AE237)</f>
        <v>#VALUE!</v>
      </c>
      <c r="AG237" s="207" t="str">
        <f aca="false">IF($A238="","",Summary!$Q$12)</f>
        <v/>
      </c>
      <c r="AH237" s="207" t="str">
        <f aca="false">IF($A238="","",IF(Summary!$R$12="Y",(VLOOKUP($A237,Summary!$AD$6:$AF$9,3)+'Escalating commodity'!H250),'Escalating commodity'!H250))</f>
        <v/>
      </c>
      <c r="AI237" s="207" t="str">
        <f aca="false">IF($A238="","",AH237)</f>
        <v/>
      </c>
      <c r="AJ237" s="208" t="e">
        <f aca="false">A237+DAY(EOMONTH(A237,0))/2-1</f>
        <v>#VALUE!</v>
      </c>
      <c r="AK237" s="209" t="str">
        <f aca="false">IF($A238="","",$A237-$E$1)</f>
        <v/>
      </c>
      <c r="AL237" s="182" t="str">
        <f aca="false">IF($A238="","",SPRDOPT(P237,X237,AI237,0,AB237,AE237,AF237,AK237,$AJ$2,0))</f>
        <v/>
      </c>
      <c r="AM237" s="211" t="str">
        <f aca="false">IF($A238="","",MAX(0,O237-W237-AI237))</f>
        <v/>
      </c>
      <c r="AN237" s="211" t="str">
        <f aca="false">IF($A238="","",AL237-AM237)</f>
        <v/>
      </c>
      <c r="AO237" s="137" t="str">
        <f aca="false">IF(A238="","",A238-A237)</f>
        <v/>
      </c>
      <c r="AP237" s="212" t="str">
        <f aca="false">IF(A238="","",CHOOSE(F$3,A238+24,A237))</f>
        <v/>
      </c>
      <c r="AQ237" s="209" t="str">
        <f aca="false">IF(A238="","",AP237-$E$1)</f>
        <v/>
      </c>
      <c r="AR237" s="185" t="n">
        <f aca="false">'ANR OK vs ML7'!AR237</f>
        <v>0.1</v>
      </c>
      <c r="AS237" s="213" t="str">
        <f aca="false">IF(A238="","",1/(1+CHOOSE(F$3,(AR238+($I$3/10000))/2,(AR237+($I$3/10000))/2))^(2*AQ237/365.25))</f>
        <v/>
      </c>
      <c r="AT237" s="137" t="str">
        <f aca="false">IF(A238="","",IF(AND(mthbeg&lt;=A237,mthend&gt;=A237),1,0))</f>
        <v/>
      </c>
      <c r="AU237" s="137" t="str">
        <f aca="false">IF(A238="","",AO237*AT237)</f>
        <v/>
      </c>
      <c r="AW237" s="195" t="str">
        <f aca="false">IF($A238="","",AL237*$E237)</f>
        <v/>
      </c>
      <c r="AX237" s="195" t="str">
        <f aca="false">IF($A238="","",AM237*$E237)</f>
        <v/>
      </c>
      <c r="AY237" s="195" t="str">
        <f aca="false">IF($A238="","",AN237*$E237)</f>
        <v/>
      </c>
      <c r="BA237" s="195" t="str">
        <f aca="false">IF($A238="","",F237*Summary!$Q$12)</f>
        <v/>
      </c>
    </row>
    <row r="238" customFormat="false" ht="12" hidden="false" customHeight="true" outlineLevel="0" collapsed="false">
      <c r="A238" s="196" t="str">
        <f aca="false">IF(A237&lt;mthend,EDATE(A237,1),"")</f>
        <v/>
      </c>
      <c r="B238" s="197" t="str">
        <f aca="false">IF(A238&lt;mthend,B237,"")</f>
        <v/>
      </c>
      <c r="C238" s="215"/>
      <c r="D238" s="197" t="str">
        <f aca="false">IF(A239&lt;&gt;"",B238+C238,"")</f>
        <v/>
      </c>
      <c r="E238" s="199" t="str">
        <f aca="false">IF(A239="","",IF(AND(AT238=1,$H$3=1),D238*AO238,IF($H$3=2,D238,"N/A")))</f>
        <v/>
      </c>
      <c r="F238" s="199" t="str">
        <f aca="false">IF(A239="","",E238*AS238)</f>
        <v/>
      </c>
      <c r="G238" s="200" t="str">
        <f aca="false">IF($A239="","",VLOOKUP($A238,Table,MATCH(G$4,Curves,0)))</f>
        <v/>
      </c>
      <c r="H238" s="201" t="str">
        <f aca="false">IF(A239="","",G238)</f>
        <v/>
      </c>
      <c r="I238" s="202"/>
      <c r="J238" s="200" t="str">
        <f aca="false">IF($A239="","",VLOOKUP($A238,Table,MATCH(J$4,Curves,0)))</f>
        <v/>
      </c>
      <c r="K238" s="201" t="str">
        <f aca="false">IF(A239="","",J238)</f>
        <v/>
      </c>
      <c r="L238" s="200" t="str">
        <f aca="false">IF($A239="","",VLOOKUP($A238,Table,MATCH(L$4,Curves,0)))</f>
        <v/>
      </c>
      <c r="M238" s="201" t="str">
        <f aca="false">IF(A239="","",L238)</f>
        <v/>
      </c>
      <c r="N238" s="203"/>
      <c r="O238" s="200" t="str">
        <f aca="false">IF(A239="","",L238+J238+G238)</f>
        <v/>
      </c>
      <c r="P238" s="200" t="str">
        <f aca="false">IF(A239="","",M238+K238+H238)</f>
        <v/>
      </c>
      <c r="Q238" s="204"/>
      <c r="R238" s="200" t="str">
        <f aca="false">IF($A239="","",VLOOKUP($A238,Table,MATCH(R$4,Curves,0)))</f>
        <v/>
      </c>
      <c r="S238" s="201" t="str">
        <f aca="false">IF(A239="","",R238)</f>
        <v/>
      </c>
      <c r="T238" s="200" t="str">
        <f aca="false">IF($A239="","",VLOOKUP($A238,Table,MATCH(T$4,Curves,0)))</f>
        <v/>
      </c>
      <c r="U238" s="201" t="str">
        <f aca="false">IF(A239="","",T238)</f>
        <v/>
      </c>
      <c r="V238" s="225" t="str">
        <f aca="false">IF($A239="","",IF(AND(MONTH(A238)&gt;3,MONTH(A238)&lt;11),(T238+R238+G238)*(((1/(1-Summary!$T$12))/(1-Summary!$W$12))-1),(T238+R238+G238)*((1/(1-Summary!$U$12))/(1-Summary!$X$12)-1)))</f>
        <v/>
      </c>
      <c r="W238" s="200" t="str">
        <f aca="false">IF($A239="","",(T238+R238+G238+V238))</f>
        <v/>
      </c>
      <c r="X238" s="200" t="str">
        <f aca="false">IF($A239="","",(U238+S238+H238+V238))</f>
        <v/>
      </c>
      <c r="Y238" s="202"/>
      <c r="Z238" s="185" t="str">
        <f aca="false">IF($A239="","",VLOOKUP($A238,Table,MATCH(Z$4,Curves,0)))</f>
        <v/>
      </c>
      <c r="AA238" s="185" t="str">
        <f aca="false">IF($A239="","",VLOOKUP($A238,Table,MATCH(AA$4,Curves,0)))</f>
        <v/>
      </c>
      <c r="AB238" s="185" t="e">
        <f aca="false">SQRT((AA238^2*(A238-$D$3)+Z238^2*(DAY(EOMONTH(A238,0))/2))/AK238)</f>
        <v>#VALUE!</v>
      </c>
      <c r="AC238" s="185" t="str">
        <f aca="false">IF($A239="","",VLOOKUP($A238,Table,MATCH(AC$4,Curves,0)))</f>
        <v/>
      </c>
      <c r="AD238" s="185" t="str">
        <f aca="false">IF($A239="","",VLOOKUP($A238,Table,MATCH(AD$4,Curves,0)))</f>
        <v/>
      </c>
      <c r="AE238" s="185" t="e">
        <f aca="false">SQRT((AD238^2*(A238-$D$3)+AC238^2*(DAY(EOMONTH(A238,0))/2))/AK238)</f>
        <v>#VALUE!</v>
      </c>
      <c r="AF238" s="206" t="e">
        <f aca="false">((Summary!$N$12*(AA238*AD238)*(A238-$D$3))+(Summary!$M$12*Z238*AC238*(AJ238-EOMONTH(EDATE(A238,-1),0))))/(AK238*AB238*AE238)</f>
        <v>#VALUE!</v>
      </c>
      <c r="AG238" s="207" t="str">
        <f aca="false">IF($A239="","",Summary!$Q$12)</f>
        <v/>
      </c>
      <c r="AH238" s="207" t="str">
        <f aca="false">IF($A239="","",IF(Summary!$R$12="Y",(VLOOKUP($A238,Summary!$AD$6:$AF$9,3)+'Escalating commodity'!H251),'Escalating commodity'!H251))</f>
        <v/>
      </c>
      <c r="AI238" s="207" t="str">
        <f aca="false">IF($A239="","",AH238)</f>
        <v/>
      </c>
      <c r="AJ238" s="208" t="e">
        <f aca="false">A238+DAY(EOMONTH(A238,0))/2-1</f>
        <v>#VALUE!</v>
      </c>
      <c r="AK238" s="209" t="str">
        <f aca="false">IF($A239="","",$A238-$E$1)</f>
        <v/>
      </c>
      <c r="AL238" s="182" t="str">
        <f aca="false">IF($A239="","",SPRDOPT(P238,X238,AI238,0,AB238,AE238,AF238,AK238,$AJ$2,0))</f>
        <v/>
      </c>
      <c r="AM238" s="211" t="str">
        <f aca="false">IF($A239="","",MAX(0,O238-W238-AI238))</f>
        <v/>
      </c>
      <c r="AN238" s="211" t="str">
        <f aca="false">IF($A239="","",AL238-AM238)</f>
        <v/>
      </c>
      <c r="AO238" s="137" t="str">
        <f aca="false">IF(A239="","",A239-A238)</f>
        <v/>
      </c>
      <c r="AP238" s="212" t="str">
        <f aca="false">IF(A239="","",CHOOSE(F$3,A239+24,A238))</f>
        <v/>
      </c>
      <c r="AQ238" s="209" t="str">
        <f aca="false">IF(A239="","",AP238-$E$1)</f>
        <v/>
      </c>
      <c r="AR238" s="185" t="n">
        <f aca="false">'ANR OK vs ML7'!AR238</f>
        <v>0.1</v>
      </c>
      <c r="AS238" s="213" t="str">
        <f aca="false">IF(A239="","",1/(1+CHOOSE(F$3,(AR239+($I$3/10000))/2,(AR238+($I$3/10000))/2))^(2*AQ238/365.25))</f>
        <v/>
      </c>
      <c r="AT238" s="137" t="str">
        <f aca="false">IF(A239="","",IF(AND(mthbeg&lt;=A238,mthend&gt;=A238),1,0))</f>
        <v/>
      </c>
      <c r="AU238" s="137" t="str">
        <f aca="false">IF(A239="","",AO238*AT238)</f>
        <v/>
      </c>
      <c r="AW238" s="195" t="str">
        <f aca="false">IF($A239="","",AL238*$E238)</f>
        <v/>
      </c>
      <c r="AX238" s="195" t="str">
        <f aca="false">IF($A239="","",AM238*$E238)</f>
        <v/>
      </c>
      <c r="AY238" s="195" t="str">
        <f aca="false">IF($A239="","",AN238*$E238)</f>
        <v/>
      </c>
      <c r="BA238" s="195" t="str">
        <f aca="false">IF($A239="","",F238*Summary!$Q$12)</f>
        <v/>
      </c>
    </row>
    <row r="239" customFormat="false" ht="12" hidden="false" customHeight="true" outlineLevel="0" collapsed="false">
      <c r="A239" s="196" t="str">
        <f aca="false">IF(A238&lt;mthend,EDATE(A238,1),"")</f>
        <v/>
      </c>
      <c r="B239" s="197" t="str">
        <f aca="false">IF(A239&lt;mthend,B238,"")</f>
        <v/>
      </c>
      <c r="C239" s="215"/>
      <c r="D239" s="197" t="str">
        <f aca="false">IF(A240&lt;&gt;"",B239+C239,"")</f>
        <v/>
      </c>
      <c r="E239" s="199" t="str">
        <f aca="false">IF(A240="","",IF(AND(AT239=1,$H$3=1),D239*AO239,IF($H$3=2,D239,"N/A")))</f>
        <v/>
      </c>
      <c r="F239" s="199" t="str">
        <f aca="false">IF(A240="","",E239*AS239)</f>
        <v/>
      </c>
      <c r="G239" s="200" t="str">
        <f aca="false">IF($A240="","",VLOOKUP($A239,Table,MATCH(G$4,Curves,0)))</f>
        <v/>
      </c>
      <c r="H239" s="201" t="str">
        <f aca="false">IF(A240="","",G239)</f>
        <v/>
      </c>
      <c r="I239" s="202"/>
      <c r="J239" s="200" t="str">
        <f aca="false">IF($A240="","",VLOOKUP($A239,Table,MATCH(J$4,Curves,0)))</f>
        <v/>
      </c>
      <c r="K239" s="201" t="str">
        <f aca="false">IF(A240="","",J239)</f>
        <v/>
      </c>
      <c r="L239" s="200" t="str">
        <f aca="false">IF($A240="","",VLOOKUP($A239,Table,MATCH(L$4,Curves,0)))</f>
        <v/>
      </c>
      <c r="M239" s="201" t="str">
        <f aca="false">IF(A240="","",L239)</f>
        <v/>
      </c>
      <c r="N239" s="203"/>
      <c r="O239" s="200" t="str">
        <f aca="false">IF(A240="","",L239+J239+G239)</f>
        <v/>
      </c>
      <c r="P239" s="200" t="str">
        <f aca="false">IF(A240="","",M239+K239+H239)</f>
        <v/>
      </c>
      <c r="Q239" s="204"/>
      <c r="R239" s="200" t="str">
        <f aca="false">IF($A240="","",VLOOKUP($A239,Table,MATCH(R$4,Curves,0)))</f>
        <v/>
      </c>
      <c r="S239" s="201" t="str">
        <f aca="false">IF(A240="","",R239)</f>
        <v/>
      </c>
      <c r="T239" s="200" t="str">
        <f aca="false">IF($A240="","",VLOOKUP($A239,Table,MATCH(T$4,Curves,0)))</f>
        <v/>
      </c>
      <c r="U239" s="201" t="str">
        <f aca="false">IF(A240="","",T239)</f>
        <v/>
      </c>
      <c r="V239" s="225" t="str">
        <f aca="false">IF($A240="","",IF(AND(MONTH(A239)&gt;3,MONTH(A239)&lt;11),(T239+R239+G239)*(((1/(1-Summary!$T$12))/(1-Summary!$W$12))-1),(T239+R239+G239)*((1/(1-Summary!$U$12))/(1-Summary!$X$12)-1)))</f>
        <v/>
      </c>
      <c r="W239" s="200" t="str">
        <f aca="false">IF($A240="","",(T239+R239+G239+V239))</f>
        <v/>
      </c>
      <c r="X239" s="200" t="str">
        <f aca="false">IF($A240="","",(U239+S239+H239+V239))</f>
        <v/>
      </c>
      <c r="Y239" s="202"/>
      <c r="Z239" s="185" t="str">
        <f aca="false">IF($A240="","",VLOOKUP($A239,Table,MATCH(Z$4,Curves,0)))</f>
        <v/>
      </c>
      <c r="AA239" s="185" t="str">
        <f aca="false">IF($A240="","",VLOOKUP($A239,Table,MATCH(AA$4,Curves,0)))</f>
        <v/>
      </c>
      <c r="AB239" s="185" t="e">
        <f aca="false">SQRT((AA239^2*(A239-$D$3)+Z239^2*(DAY(EOMONTH(A239,0))/2))/AK239)</f>
        <v>#VALUE!</v>
      </c>
      <c r="AC239" s="185" t="str">
        <f aca="false">IF($A240="","",VLOOKUP($A239,Table,MATCH(AC$4,Curves,0)))</f>
        <v/>
      </c>
      <c r="AD239" s="185" t="str">
        <f aca="false">IF($A240="","",VLOOKUP($A239,Table,MATCH(AD$4,Curves,0)))</f>
        <v/>
      </c>
      <c r="AE239" s="185" t="e">
        <f aca="false">SQRT((AD239^2*(A239-$D$3)+AC239^2*(DAY(EOMONTH(A239,0))/2))/AK239)</f>
        <v>#VALUE!</v>
      </c>
      <c r="AF239" s="206" t="e">
        <f aca="false">((Summary!$N$12*(AA239*AD239)*(A239-$D$3))+(Summary!$M$12*Z239*AC239*(AJ239-EOMONTH(EDATE(A239,-1),0))))/(AK239*AB239*AE239)</f>
        <v>#VALUE!</v>
      </c>
      <c r="AG239" s="207" t="str">
        <f aca="false">IF($A240="","",Summary!$Q$12)</f>
        <v/>
      </c>
      <c r="AH239" s="207" t="str">
        <f aca="false">IF($A240="","",IF(Summary!$R$12="Y",(VLOOKUP($A239,Summary!$AD$6:$AF$9,3)+'Escalating commodity'!H252),'Escalating commodity'!H252))</f>
        <v/>
      </c>
      <c r="AI239" s="207" t="str">
        <f aca="false">IF($A240="","",AH239)</f>
        <v/>
      </c>
      <c r="AJ239" s="208" t="e">
        <f aca="false">A239+DAY(EOMONTH(A239,0))/2-1</f>
        <v>#VALUE!</v>
      </c>
      <c r="AK239" s="209" t="str">
        <f aca="false">IF($A240="","",$A239-$E$1)</f>
        <v/>
      </c>
      <c r="AL239" s="182" t="str">
        <f aca="false">IF($A240="","",SPRDOPT(P239,X239,AI239,0,AB239,AE239,AF239,AK239,$AJ$2,0))</f>
        <v/>
      </c>
      <c r="AM239" s="211" t="str">
        <f aca="false">IF($A240="","",MAX(0,O239-W239-AI239))</f>
        <v/>
      </c>
      <c r="AN239" s="211" t="str">
        <f aca="false">IF($A240="","",AL239-AM239)</f>
        <v/>
      </c>
      <c r="AO239" s="137" t="str">
        <f aca="false">IF(A240="","",A240-A239)</f>
        <v/>
      </c>
      <c r="AP239" s="212" t="str">
        <f aca="false">IF(A240="","",CHOOSE(F$3,A240+24,A239))</f>
        <v/>
      </c>
      <c r="AQ239" s="209" t="str">
        <f aca="false">IF(A240="","",AP239-$E$1)</f>
        <v/>
      </c>
      <c r="AR239" s="185" t="n">
        <f aca="false">'ANR OK vs ML7'!AR239</f>
        <v>0.1</v>
      </c>
      <c r="AS239" s="213" t="str">
        <f aca="false">IF(A240="","",1/(1+CHOOSE(F$3,(AR240+($I$3/10000))/2,(AR239+($I$3/10000))/2))^(2*AQ239/365.25))</f>
        <v/>
      </c>
      <c r="AT239" s="137" t="str">
        <f aca="false">IF(A240="","",IF(AND(mthbeg&lt;=A239,mthend&gt;=A239),1,0))</f>
        <v/>
      </c>
      <c r="AU239" s="137" t="str">
        <f aca="false">IF(A240="","",AO239*AT239)</f>
        <v/>
      </c>
      <c r="AW239" s="195" t="str">
        <f aca="false">IF($A240="","",AL239*$E239)</f>
        <v/>
      </c>
      <c r="AX239" s="195" t="str">
        <f aca="false">IF($A240="","",AM239*$E239)</f>
        <v/>
      </c>
      <c r="AY239" s="195" t="str">
        <f aca="false">IF($A240="","",AN239*$E239)</f>
        <v/>
      </c>
      <c r="BA239" s="195" t="str">
        <f aca="false">IF($A240="","",F239*Summary!$Q$12)</f>
        <v/>
      </c>
    </row>
    <row r="240" customFormat="false" ht="12" hidden="false" customHeight="true" outlineLevel="0" collapsed="false">
      <c r="A240" s="196" t="str">
        <f aca="false">IF(A239&lt;mthend,EDATE(A239,1),"")</f>
        <v/>
      </c>
      <c r="B240" s="197" t="str">
        <f aca="false">IF(A240&lt;mthend,B239,"")</f>
        <v/>
      </c>
      <c r="C240" s="215"/>
      <c r="D240" s="197" t="str">
        <f aca="false">IF(A241&lt;&gt;"",B240+C240,"")</f>
        <v/>
      </c>
      <c r="E240" s="199" t="str">
        <f aca="false">IF(A241="","",IF(AND(AT240=1,$H$3=1),D240*AO240,IF($H$3=2,D240,"N/A")))</f>
        <v/>
      </c>
      <c r="F240" s="199" t="str">
        <f aca="false">IF(A241="","",E240*AS240)</f>
        <v/>
      </c>
      <c r="G240" s="200" t="str">
        <f aca="false">IF($A241="","",VLOOKUP($A240,Table,MATCH(G$4,Curves,0)))</f>
        <v/>
      </c>
      <c r="H240" s="201" t="str">
        <f aca="false">IF(A241="","",G240)</f>
        <v/>
      </c>
      <c r="I240" s="202"/>
      <c r="J240" s="200" t="str">
        <f aca="false">IF($A241="","",VLOOKUP($A240,Table,MATCH(J$4,Curves,0)))</f>
        <v/>
      </c>
      <c r="K240" s="201" t="str">
        <f aca="false">IF(A241="","",J240)</f>
        <v/>
      </c>
      <c r="L240" s="200" t="str">
        <f aca="false">IF($A241="","",VLOOKUP($A240,Table,MATCH(L$4,Curves,0)))</f>
        <v/>
      </c>
      <c r="M240" s="201" t="str">
        <f aca="false">IF(A241="","",L240)</f>
        <v/>
      </c>
      <c r="N240" s="203"/>
      <c r="O240" s="200" t="str">
        <f aca="false">IF(A241="","",L240+J240+G240)</f>
        <v/>
      </c>
      <c r="P240" s="200" t="str">
        <f aca="false">IF(A241="","",M240+K240+H240)</f>
        <v/>
      </c>
      <c r="Q240" s="204"/>
      <c r="R240" s="200" t="str">
        <f aca="false">IF($A241="","",VLOOKUP($A240,Table,MATCH(R$4,Curves,0)))</f>
        <v/>
      </c>
      <c r="S240" s="201" t="str">
        <f aca="false">IF(A241="","",R240)</f>
        <v/>
      </c>
      <c r="T240" s="200" t="str">
        <f aca="false">IF($A241="","",VLOOKUP($A240,Table,MATCH(T$4,Curves,0)))</f>
        <v/>
      </c>
      <c r="U240" s="201" t="str">
        <f aca="false">IF(A241="","",T240)</f>
        <v/>
      </c>
      <c r="V240" s="225" t="str">
        <f aca="false">IF($A241="","",IF(AND(MONTH(A240)&gt;3,MONTH(A240)&lt;11),(T240+R240+G240)*(((1/(1-Summary!$T$12))/(1-Summary!$W$12))-1),(T240+R240+G240)*((1/(1-Summary!$U$12))/(1-Summary!$X$12)-1)))</f>
        <v/>
      </c>
      <c r="W240" s="200" t="str">
        <f aca="false">IF($A241="","",(T240+R240+G240+V240))</f>
        <v/>
      </c>
      <c r="X240" s="200" t="str">
        <f aca="false">IF($A241="","",(U240+S240+H240+V240))</f>
        <v/>
      </c>
      <c r="Y240" s="202"/>
      <c r="Z240" s="185" t="str">
        <f aca="false">IF($A241="","",VLOOKUP($A240,Table,MATCH(Z$4,Curves,0)))</f>
        <v/>
      </c>
      <c r="AA240" s="185" t="str">
        <f aca="false">IF($A241="","",VLOOKUP($A240,Table,MATCH(AA$4,Curves,0)))</f>
        <v/>
      </c>
      <c r="AB240" s="185" t="e">
        <f aca="false">SQRT((AA240^2*(A240-$D$3)+Z240^2*(DAY(EOMONTH(A240,0))/2))/AK240)</f>
        <v>#VALUE!</v>
      </c>
      <c r="AC240" s="185" t="str">
        <f aca="false">IF($A241="","",VLOOKUP($A240,Table,MATCH(AC$4,Curves,0)))</f>
        <v/>
      </c>
      <c r="AD240" s="185" t="str">
        <f aca="false">IF($A241="","",VLOOKUP($A240,Table,MATCH(AD$4,Curves,0)))</f>
        <v/>
      </c>
      <c r="AE240" s="185" t="e">
        <f aca="false">SQRT((AD240^2*(A240-$D$3)+AC240^2*(DAY(EOMONTH(A240,0))/2))/AK240)</f>
        <v>#VALUE!</v>
      </c>
      <c r="AF240" s="206" t="e">
        <f aca="false">((Summary!$N$12*(AA240*AD240)*(A240-$D$3))+(Summary!$M$12*Z240*AC240*(AJ240-EOMONTH(EDATE(A240,-1),0))))/(AK240*AB240*AE240)</f>
        <v>#VALUE!</v>
      </c>
      <c r="AG240" s="207" t="str">
        <f aca="false">IF($A241="","",Summary!$Q$12)</f>
        <v/>
      </c>
      <c r="AH240" s="207" t="str">
        <f aca="false">IF($A241="","",IF(Summary!$R$12="Y",(VLOOKUP($A240,Summary!$AD$6:$AF$9,3)+'Escalating commodity'!H253),'Escalating commodity'!H253))</f>
        <v/>
      </c>
      <c r="AI240" s="207" t="str">
        <f aca="false">IF($A241="","",AH240)</f>
        <v/>
      </c>
      <c r="AJ240" s="208" t="e">
        <f aca="false">A240+DAY(EOMONTH(A240,0))/2-1</f>
        <v>#VALUE!</v>
      </c>
      <c r="AK240" s="209" t="str">
        <f aca="false">IF($A241="","",$A240-$E$1)</f>
        <v/>
      </c>
      <c r="AL240" s="182" t="str">
        <f aca="false">IF($A241="","",SPRDOPT(P240,X240,AI240,0,AB240,AE240,AF240,AK240,$AJ$2,0))</f>
        <v/>
      </c>
      <c r="AM240" s="211" t="str">
        <f aca="false">IF($A241="","",MAX(0,O240-W240-AI240))</f>
        <v/>
      </c>
      <c r="AN240" s="211" t="str">
        <f aca="false">IF($A241="","",AL240-AM240)</f>
        <v/>
      </c>
      <c r="AO240" s="137" t="str">
        <f aca="false">IF(A241="","",A241-A240)</f>
        <v/>
      </c>
      <c r="AP240" s="212" t="str">
        <f aca="false">IF(A241="","",CHOOSE(F$3,A241+24,A240))</f>
        <v/>
      </c>
      <c r="AQ240" s="209" t="str">
        <f aca="false">IF(A241="","",AP240-$E$1)</f>
        <v/>
      </c>
      <c r="AR240" s="185" t="n">
        <f aca="false">'ANR OK vs ML7'!AR240</f>
        <v>0.1</v>
      </c>
      <c r="AS240" s="213" t="str">
        <f aca="false">IF(A241="","",1/(1+CHOOSE(F$3,(AR241+($I$3/10000))/2,(AR240+($I$3/10000))/2))^(2*AQ240/365.25))</f>
        <v/>
      </c>
      <c r="AT240" s="137" t="str">
        <f aca="false">IF(A241="","",IF(AND(mthbeg&lt;=A240,mthend&gt;=A240),1,0))</f>
        <v/>
      </c>
      <c r="AU240" s="137" t="str">
        <f aca="false">IF(A241="","",AO240*AT240)</f>
        <v/>
      </c>
      <c r="AW240" s="195" t="str">
        <f aca="false">IF($A241="","",AL240*$E240)</f>
        <v/>
      </c>
      <c r="AX240" s="195" t="str">
        <f aca="false">IF($A241="","",AM240*$E240)</f>
        <v/>
      </c>
      <c r="AY240" s="195" t="str">
        <f aca="false">IF($A241="","",AN240*$E240)</f>
        <v/>
      </c>
      <c r="BA240" s="195" t="str">
        <f aca="false">IF($A241="","",F240*Summary!$Q$12)</f>
        <v/>
      </c>
    </row>
    <row r="241" customFormat="false" ht="12" hidden="false" customHeight="true" outlineLevel="0" collapsed="false">
      <c r="A241" s="196" t="str">
        <f aca="false">IF(A240&lt;mthend,EDATE(A240,1),"")</f>
        <v/>
      </c>
      <c r="B241" s="197" t="str">
        <f aca="false">IF(A241&lt;mthend,B240,"")</f>
        <v/>
      </c>
      <c r="C241" s="215"/>
      <c r="D241" s="197" t="str">
        <f aca="false">IF(A242&lt;&gt;"",B241+C241,"")</f>
        <v/>
      </c>
      <c r="E241" s="199" t="str">
        <f aca="false">IF(A242="","",IF(AND(AT241=1,$H$3=1),D241*AO241,IF($H$3=2,D241,"N/A")))</f>
        <v/>
      </c>
      <c r="F241" s="199" t="str">
        <f aca="false">IF(A242="","",E241*AS241)</f>
        <v/>
      </c>
      <c r="G241" s="200" t="str">
        <f aca="false">IF($A242="","",VLOOKUP($A241,Table,MATCH(G$4,Curves,0)))</f>
        <v/>
      </c>
      <c r="H241" s="201" t="str">
        <f aca="false">IF(A242="","",G241)</f>
        <v/>
      </c>
      <c r="I241" s="202"/>
      <c r="J241" s="200" t="str">
        <f aca="false">IF($A242="","",VLOOKUP($A241,Table,MATCH(J$4,Curves,0)))</f>
        <v/>
      </c>
      <c r="K241" s="201" t="str">
        <f aca="false">IF(A242="","",J241)</f>
        <v/>
      </c>
      <c r="L241" s="200" t="str">
        <f aca="false">IF($A242="","",VLOOKUP($A241,Table,MATCH(L$4,Curves,0)))</f>
        <v/>
      </c>
      <c r="M241" s="201" t="str">
        <f aca="false">IF(A242="","",L241)</f>
        <v/>
      </c>
      <c r="N241" s="203"/>
      <c r="O241" s="200" t="str">
        <f aca="false">IF(A242="","",L241+J241+G241)</f>
        <v/>
      </c>
      <c r="P241" s="200" t="str">
        <f aca="false">IF(A242="","",M241+K241+H241)</f>
        <v/>
      </c>
      <c r="Q241" s="204"/>
      <c r="R241" s="200" t="str">
        <f aca="false">IF($A242="","",VLOOKUP($A241,Table,MATCH(R$4,Curves,0)))</f>
        <v/>
      </c>
      <c r="S241" s="201" t="str">
        <f aca="false">IF(A242="","",R241)</f>
        <v/>
      </c>
      <c r="T241" s="200" t="str">
        <f aca="false">IF($A242="","",VLOOKUP($A241,Table,MATCH(T$4,Curves,0)))</f>
        <v/>
      </c>
      <c r="U241" s="201" t="str">
        <f aca="false">IF(A242="","",T241)</f>
        <v/>
      </c>
      <c r="V241" s="225" t="str">
        <f aca="false">IF($A242="","",IF(AND(MONTH(A241)&gt;3,MONTH(A241)&lt;11),(T241+R241+G241)*(((1/(1-Summary!$T$12))/(1-Summary!$W$12))-1),(T241+R241+G241)*((1/(1-Summary!$U$12))/(1-Summary!$X$12)-1)))</f>
        <v/>
      </c>
      <c r="W241" s="200" t="str">
        <f aca="false">IF($A242="","",(T241+R241+G241+V241))</f>
        <v/>
      </c>
      <c r="X241" s="200" t="str">
        <f aca="false">IF($A242="","",(U241+S241+H241+V241))</f>
        <v/>
      </c>
      <c r="Y241" s="202"/>
      <c r="Z241" s="185" t="str">
        <f aca="false">IF($A242="","",VLOOKUP($A241,Table,MATCH(Z$4,Curves,0)))</f>
        <v/>
      </c>
      <c r="AA241" s="185" t="str">
        <f aca="false">IF($A242="","",VLOOKUP($A241,Table,MATCH(AA$4,Curves,0)))</f>
        <v/>
      </c>
      <c r="AB241" s="185" t="e">
        <f aca="false">SQRT((AA241^2*(A241-$D$3)+Z241^2*(DAY(EOMONTH(A241,0))/2))/AK241)</f>
        <v>#VALUE!</v>
      </c>
      <c r="AC241" s="185" t="str">
        <f aca="false">IF($A242="","",VLOOKUP($A241,Table,MATCH(AC$4,Curves,0)))</f>
        <v/>
      </c>
      <c r="AD241" s="185" t="str">
        <f aca="false">IF($A242="","",VLOOKUP($A241,Table,MATCH(AD$4,Curves,0)))</f>
        <v/>
      </c>
      <c r="AE241" s="185" t="e">
        <f aca="false">SQRT((AD241^2*(A241-$D$3)+AC241^2*(DAY(EOMONTH(A241,0))/2))/AK241)</f>
        <v>#VALUE!</v>
      </c>
      <c r="AF241" s="206" t="e">
        <f aca="false">((Summary!$N$12*(AA241*AD241)*(A241-$D$3))+(Summary!$M$12*Z241*AC241*(AJ241-EOMONTH(EDATE(A241,-1),0))))/(AK241*AB241*AE241)</f>
        <v>#VALUE!</v>
      </c>
      <c r="AG241" s="207" t="str">
        <f aca="false">IF($A242="","",Summary!$Q$12)</f>
        <v/>
      </c>
      <c r="AH241" s="207" t="str">
        <f aca="false">IF($A242="","",IF(Summary!$R$12="Y",(VLOOKUP($A241,Summary!$AD$6:$AF$9,3)+'Escalating commodity'!H254),'Escalating commodity'!H254))</f>
        <v/>
      </c>
      <c r="AI241" s="207" t="str">
        <f aca="false">IF($A242="","",AH241)</f>
        <v/>
      </c>
      <c r="AJ241" s="208" t="e">
        <f aca="false">A241+DAY(EOMONTH(A241,0))/2-1</f>
        <v>#VALUE!</v>
      </c>
      <c r="AK241" s="209" t="str">
        <f aca="false">IF($A242="","",$A241-$E$1)</f>
        <v/>
      </c>
      <c r="AL241" s="182" t="str">
        <f aca="false">IF($A242="","",SPRDOPT(P241,X241,AI241,0,AB241,AE241,AF241,AK241,$AJ$2,0))</f>
        <v/>
      </c>
      <c r="AM241" s="211" t="str">
        <f aca="false">IF($A242="","",MAX(0,O241-W241-AI241))</f>
        <v/>
      </c>
      <c r="AN241" s="211" t="str">
        <f aca="false">IF($A242="","",AL241-AM241)</f>
        <v/>
      </c>
      <c r="AO241" s="137" t="str">
        <f aca="false">IF(A242="","",A242-A241)</f>
        <v/>
      </c>
      <c r="AP241" s="212" t="str">
        <f aca="false">IF(A242="","",CHOOSE(F$3,A242+24,A241))</f>
        <v/>
      </c>
      <c r="AQ241" s="209" t="str">
        <f aca="false">IF(A242="","",AP241-$E$1)</f>
        <v/>
      </c>
      <c r="AR241" s="185" t="n">
        <f aca="false">'ANR OK vs ML7'!AR241</f>
        <v>0.1</v>
      </c>
      <c r="AS241" s="213" t="str">
        <f aca="false">IF(A242="","",1/(1+CHOOSE(F$3,(AR242+($I$3/10000))/2,(AR241+($I$3/10000))/2))^(2*AQ241/365.25))</f>
        <v/>
      </c>
      <c r="AT241" s="137" t="str">
        <f aca="false">IF(A242="","",IF(AND(mthbeg&lt;=A241,mthend&gt;=A241),1,0))</f>
        <v/>
      </c>
      <c r="AU241" s="137" t="str">
        <f aca="false">IF(A242="","",AO241*AT241)</f>
        <v/>
      </c>
      <c r="AW241" s="195" t="str">
        <f aca="false">IF($A242="","",AL241*$E241)</f>
        <v/>
      </c>
      <c r="AX241" s="195" t="str">
        <f aca="false">IF($A242="","",AM241*$E241)</f>
        <v/>
      </c>
      <c r="AY241" s="195" t="str">
        <f aca="false">IF($A242="","",AN241*$E241)</f>
        <v/>
      </c>
      <c r="BA241" s="195" t="str">
        <f aca="false">IF($A242="","",F241*Summary!$Q$12)</f>
        <v/>
      </c>
    </row>
    <row r="242" customFormat="false" ht="12" hidden="false" customHeight="true" outlineLevel="0" collapsed="false">
      <c r="A242" s="196" t="str">
        <f aca="false">IF(A241&lt;mthend,EDATE(A241,1),"")</f>
        <v/>
      </c>
      <c r="B242" s="197" t="str">
        <f aca="false">IF(A242&lt;mthend,B241,"")</f>
        <v/>
      </c>
      <c r="C242" s="215"/>
      <c r="D242" s="197" t="str">
        <f aca="false">IF(A243&lt;&gt;"",B242+C242,"")</f>
        <v/>
      </c>
      <c r="E242" s="199" t="str">
        <f aca="false">IF(A243="","",IF(AND(AT242=1,$H$3=1),D242*AO242,IF($H$3=2,D242,"N/A")))</f>
        <v/>
      </c>
      <c r="F242" s="199" t="str">
        <f aca="false">IF(A243="","",E242*AS242)</f>
        <v/>
      </c>
      <c r="G242" s="200" t="str">
        <f aca="false">IF($A243="","",VLOOKUP($A242,Table,MATCH(G$4,Curves,0)))</f>
        <v/>
      </c>
      <c r="H242" s="201" t="str">
        <f aca="false">IF(A243="","",G242)</f>
        <v/>
      </c>
      <c r="I242" s="202"/>
      <c r="J242" s="200" t="str">
        <f aca="false">IF($A243="","",VLOOKUP($A242,Table,MATCH(J$4,Curves,0)))</f>
        <v/>
      </c>
      <c r="K242" s="201" t="str">
        <f aca="false">IF(A243="","",J242)</f>
        <v/>
      </c>
      <c r="L242" s="200" t="str">
        <f aca="false">IF($A243="","",VLOOKUP($A242,Table,MATCH(L$4,Curves,0)))</f>
        <v/>
      </c>
      <c r="M242" s="201" t="str">
        <f aca="false">IF(A243="","",L242)</f>
        <v/>
      </c>
      <c r="N242" s="203"/>
      <c r="O242" s="200" t="str">
        <f aca="false">IF(A243="","",L242+J242+G242)</f>
        <v/>
      </c>
      <c r="P242" s="200" t="str">
        <f aca="false">IF(A243="","",M242+K242+H242)</f>
        <v/>
      </c>
      <c r="Q242" s="204"/>
      <c r="R242" s="200" t="str">
        <f aca="false">IF($A243="","",VLOOKUP($A242,Table,MATCH(R$4,Curves,0)))</f>
        <v/>
      </c>
      <c r="S242" s="201" t="str">
        <f aca="false">IF(A243="","",R242)</f>
        <v/>
      </c>
      <c r="T242" s="200" t="str">
        <f aca="false">IF($A243="","",VLOOKUP($A242,Table,MATCH(T$4,Curves,0)))</f>
        <v/>
      </c>
      <c r="U242" s="201" t="str">
        <f aca="false">IF(A243="","",T242)</f>
        <v/>
      </c>
      <c r="V242" s="225" t="str">
        <f aca="false">IF($A243="","",IF(AND(MONTH(A242)&gt;3,MONTH(A242)&lt;11),(T242+R242+G242)*(((1/(1-Summary!$T$12))/(1-Summary!$W$12))-1),(T242+R242+G242)*((1/(1-Summary!$U$12))/(1-Summary!$X$12)-1)))</f>
        <v/>
      </c>
      <c r="W242" s="200" t="str">
        <f aca="false">IF($A243="","",(T242+R242+G242+V242))</f>
        <v/>
      </c>
      <c r="X242" s="200" t="str">
        <f aca="false">IF($A243="","",(U242+S242+H242+V242))</f>
        <v/>
      </c>
      <c r="Y242" s="202"/>
      <c r="Z242" s="185" t="str">
        <f aca="false">IF($A243="","",VLOOKUP($A242,Table,MATCH(Z$4,Curves,0)))</f>
        <v/>
      </c>
      <c r="AA242" s="185" t="str">
        <f aca="false">IF($A243="","",VLOOKUP($A242,Table,MATCH(AA$4,Curves,0)))</f>
        <v/>
      </c>
      <c r="AB242" s="185" t="e">
        <f aca="false">SQRT((AA242^2*(A242-$D$3)+Z242^2*(DAY(EOMONTH(A242,0))/2))/AK242)</f>
        <v>#VALUE!</v>
      </c>
      <c r="AC242" s="185" t="str">
        <f aca="false">IF($A243="","",VLOOKUP($A242,Table,MATCH(AC$4,Curves,0)))</f>
        <v/>
      </c>
      <c r="AD242" s="185" t="str">
        <f aca="false">IF($A243="","",VLOOKUP($A242,Table,MATCH(AD$4,Curves,0)))</f>
        <v/>
      </c>
      <c r="AE242" s="185" t="e">
        <f aca="false">SQRT((AD242^2*(A242-$D$3)+AC242^2*(DAY(EOMONTH(A242,0))/2))/AK242)</f>
        <v>#VALUE!</v>
      </c>
      <c r="AF242" s="206" t="e">
        <f aca="false">((Summary!$N$12*(AA242*AD242)*(A242-$D$3))+(Summary!$M$12*Z242*AC242*(AJ242-EOMONTH(EDATE(A242,-1),0))))/(AK242*AB242*AE242)</f>
        <v>#VALUE!</v>
      </c>
      <c r="AG242" s="207" t="str">
        <f aca="false">IF($A243="","",Summary!$Q$12)</f>
        <v/>
      </c>
      <c r="AH242" s="207" t="str">
        <f aca="false">IF($A243="","",IF(Summary!$R$12="Y",(VLOOKUP($A242,Summary!$AD$6:$AF$9,3)+'Escalating commodity'!H255),'Escalating commodity'!H255))</f>
        <v/>
      </c>
      <c r="AI242" s="207" t="str">
        <f aca="false">IF($A243="","",AH242)</f>
        <v/>
      </c>
      <c r="AJ242" s="208" t="e">
        <f aca="false">A242+DAY(EOMONTH(A242,0))/2-1</f>
        <v>#VALUE!</v>
      </c>
      <c r="AK242" s="209" t="str">
        <f aca="false">IF($A243="","",$A242-$E$1)</f>
        <v/>
      </c>
      <c r="AL242" s="182" t="str">
        <f aca="false">IF($A243="","",SPRDOPT(P242,X242,AI242,0,AB242,AE242,AF242,AK242,$AJ$2,0))</f>
        <v/>
      </c>
      <c r="AM242" s="211" t="str">
        <f aca="false">IF($A243="","",MAX(0,O242-W242-AI242))</f>
        <v/>
      </c>
      <c r="AN242" s="211" t="str">
        <f aca="false">IF($A243="","",AL242-AM242)</f>
        <v/>
      </c>
      <c r="AO242" s="137" t="str">
        <f aca="false">IF(A243="","",A243-A242)</f>
        <v/>
      </c>
      <c r="AP242" s="212" t="str">
        <f aca="false">IF(A243="","",CHOOSE(F$3,A243+24,A242))</f>
        <v/>
      </c>
      <c r="AQ242" s="209" t="str">
        <f aca="false">IF(A243="","",AP242-$E$1)</f>
        <v/>
      </c>
      <c r="AR242" s="185" t="n">
        <f aca="false">'ANR OK vs ML7'!AR242</f>
        <v>0.1</v>
      </c>
      <c r="AS242" s="213" t="str">
        <f aca="false">IF(A243="","",1/(1+CHOOSE(F$3,(AR243+($I$3/10000))/2,(AR242+($I$3/10000))/2))^(2*AQ242/365.25))</f>
        <v/>
      </c>
      <c r="AT242" s="137" t="str">
        <f aca="false">IF(A243="","",IF(AND(mthbeg&lt;=A242,mthend&gt;=A242),1,0))</f>
        <v/>
      </c>
      <c r="AU242" s="137" t="str">
        <f aca="false">IF(A243="","",AO242*AT242)</f>
        <v/>
      </c>
      <c r="AW242" s="195" t="str">
        <f aca="false">IF($A243="","",AL242*$E242)</f>
        <v/>
      </c>
      <c r="AX242" s="195" t="str">
        <f aca="false">IF($A243="","",AM242*$E242)</f>
        <v/>
      </c>
      <c r="AY242" s="195" t="str">
        <f aca="false">IF($A243="","",AN242*$E242)</f>
        <v/>
      </c>
      <c r="BA242" s="195" t="str">
        <f aca="false">IF($A243="","",F242*Summary!$Q$12)</f>
        <v/>
      </c>
    </row>
    <row r="243" customFormat="false" ht="12" hidden="false" customHeight="true" outlineLevel="0" collapsed="false">
      <c r="A243" s="196" t="str">
        <f aca="false">IF(A242&lt;mthend,EDATE(A242,1),"")</f>
        <v/>
      </c>
      <c r="B243" s="197" t="str">
        <f aca="false">IF(A243&lt;mthend,B242,"")</f>
        <v/>
      </c>
      <c r="C243" s="215"/>
      <c r="D243" s="197" t="str">
        <f aca="false">IF(A244&lt;&gt;"",B243+C243,"")</f>
        <v/>
      </c>
      <c r="E243" s="199" t="str">
        <f aca="false">IF(A244="","",IF(AND(AT243=1,$H$3=1),D243*AO243,IF($H$3=2,D243,"N/A")))</f>
        <v/>
      </c>
      <c r="F243" s="199" t="str">
        <f aca="false">IF(A244="","",E243*AS243)</f>
        <v/>
      </c>
      <c r="G243" s="200" t="str">
        <f aca="false">IF($A244="","",VLOOKUP($A243,Table,MATCH(G$4,Curves,0)))</f>
        <v/>
      </c>
      <c r="H243" s="201" t="str">
        <f aca="false">IF(A244="","",G243)</f>
        <v/>
      </c>
      <c r="I243" s="202"/>
      <c r="J243" s="200" t="str">
        <f aca="false">IF($A244="","",VLOOKUP($A243,Table,MATCH(J$4,Curves,0)))</f>
        <v/>
      </c>
      <c r="K243" s="201" t="str">
        <f aca="false">IF(A244="","",J243)</f>
        <v/>
      </c>
      <c r="L243" s="200" t="str">
        <f aca="false">IF($A244="","",VLOOKUP($A243,Table,MATCH(L$4,Curves,0)))</f>
        <v/>
      </c>
      <c r="M243" s="201" t="str">
        <f aca="false">IF(A244="","",L243)</f>
        <v/>
      </c>
      <c r="N243" s="203"/>
      <c r="O243" s="200" t="str">
        <f aca="false">IF(A244="","",L243+J243+G243)</f>
        <v/>
      </c>
      <c r="P243" s="200" t="str">
        <f aca="false">IF(A244="","",M243+K243+H243)</f>
        <v/>
      </c>
      <c r="Q243" s="204"/>
      <c r="R243" s="200" t="str">
        <f aca="false">IF($A244="","",VLOOKUP($A243,Table,MATCH(R$4,Curves,0)))</f>
        <v/>
      </c>
      <c r="S243" s="201" t="str">
        <f aca="false">IF(A244="","",R243)</f>
        <v/>
      </c>
      <c r="T243" s="200" t="str">
        <f aca="false">IF($A244="","",VLOOKUP($A243,Table,MATCH(T$4,Curves,0)))</f>
        <v/>
      </c>
      <c r="U243" s="201" t="str">
        <f aca="false">IF(A244="","",T243)</f>
        <v/>
      </c>
      <c r="V243" s="225" t="str">
        <f aca="false">IF($A244="","",IF(AND(MONTH(A243)&gt;3,MONTH(A243)&lt;11),(T243+R243+G243)*(((1/(1-Summary!$T$12))/(1-Summary!$W$12))-1),(T243+R243+G243)*((1/(1-Summary!$U$12))/(1-Summary!$X$12)-1)))</f>
        <v/>
      </c>
      <c r="W243" s="200" t="str">
        <f aca="false">IF($A244="","",(T243+R243+G243+V243))</f>
        <v/>
      </c>
      <c r="X243" s="200" t="str">
        <f aca="false">IF($A244="","",(U243+S243+H243+V243))</f>
        <v/>
      </c>
      <c r="Y243" s="202"/>
      <c r="Z243" s="185" t="str">
        <f aca="false">IF($A244="","",VLOOKUP($A243,Table,MATCH(Z$4,Curves,0)))</f>
        <v/>
      </c>
      <c r="AA243" s="185" t="str">
        <f aca="false">IF($A244="","",VLOOKUP($A243,Table,MATCH(AA$4,Curves,0)))</f>
        <v/>
      </c>
      <c r="AB243" s="185" t="e">
        <f aca="false">SQRT((AA243^2*(A243-$D$3)+Z243^2*(DAY(EOMONTH(A243,0))/2))/AK243)</f>
        <v>#VALUE!</v>
      </c>
      <c r="AC243" s="185" t="str">
        <f aca="false">IF($A244="","",VLOOKUP($A243,Table,MATCH(AC$4,Curves,0)))</f>
        <v/>
      </c>
      <c r="AD243" s="185" t="str">
        <f aca="false">IF($A244="","",VLOOKUP($A243,Table,MATCH(AD$4,Curves,0)))</f>
        <v/>
      </c>
      <c r="AE243" s="185" t="e">
        <f aca="false">SQRT((AD243^2*(A243-$D$3)+AC243^2*(DAY(EOMONTH(A243,0))/2))/AK243)</f>
        <v>#VALUE!</v>
      </c>
      <c r="AF243" s="206" t="e">
        <f aca="false">((Summary!$N$12*(AA243*AD243)*(A243-$D$3))+(Summary!$M$12*Z243*AC243*(AJ243-EOMONTH(EDATE(A243,-1),0))))/(AK243*AB243*AE243)</f>
        <v>#VALUE!</v>
      </c>
      <c r="AG243" s="207" t="str">
        <f aca="false">IF($A244="","",Summary!$Q$12)</f>
        <v/>
      </c>
      <c r="AH243" s="207" t="str">
        <f aca="false">IF($A244="","",IF(Summary!$R$12="Y",(VLOOKUP($A243,Summary!$AD$6:$AF$9,3)+'Escalating commodity'!H256),'Escalating commodity'!H256))</f>
        <v/>
      </c>
      <c r="AI243" s="207" t="str">
        <f aca="false">IF($A244="","",AH243)</f>
        <v/>
      </c>
      <c r="AJ243" s="208" t="e">
        <f aca="false">A243+DAY(EOMONTH(A243,0))/2-1</f>
        <v>#VALUE!</v>
      </c>
      <c r="AK243" s="209" t="str">
        <f aca="false">IF($A244="","",$A243-$E$1)</f>
        <v/>
      </c>
      <c r="AL243" s="182" t="str">
        <f aca="false">IF($A244="","",SPRDOPT(P243,X243,AI243,0,AB243,AE243,AF243,AK243,$AJ$2,0))</f>
        <v/>
      </c>
      <c r="AM243" s="211" t="str">
        <f aca="false">IF($A244="","",MAX(0,O243-W243-AI243))</f>
        <v/>
      </c>
      <c r="AN243" s="211" t="str">
        <f aca="false">IF($A244="","",AL243-AM243)</f>
        <v/>
      </c>
      <c r="AO243" s="137" t="str">
        <f aca="false">IF(A244="","",A244-A243)</f>
        <v/>
      </c>
      <c r="AP243" s="212" t="str">
        <f aca="false">IF(A244="","",CHOOSE(F$3,A244+24,A243))</f>
        <v/>
      </c>
      <c r="AQ243" s="209" t="str">
        <f aca="false">IF(A244="","",AP243-$E$1)</f>
        <v/>
      </c>
      <c r="AR243" s="185" t="n">
        <f aca="false">'ANR OK vs ML7'!AR243</f>
        <v>0.1</v>
      </c>
      <c r="AS243" s="213" t="str">
        <f aca="false">IF(A244="","",1/(1+CHOOSE(F$3,(AR244+($I$3/10000))/2,(AR243+($I$3/10000))/2))^(2*AQ243/365.25))</f>
        <v/>
      </c>
      <c r="AT243" s="137" t="str">
        <f aca="false">IF(A244="","",IF(AND(mthbeg&lt;=A243,mthend&gt;=A243),1,0))</f>
        <v/>
      </c>
      <c r="AU243" s="137" t="str">
        <f aca="false">IF(A244="","",AO243*AT243)</f>
        <v/>
      </c>
      <c r="AW243" s="195" t="str">
        <f aca="false">IF($A244="","",AL243*$E243)</f>
        <v/>
      </c>
      <c r="AX243" s="195" t="str">
        <f aca="false">IF($A244="","",AM243*$E243)</f>
        <v/>
      </c>
      <c r="AY243" s="195" t="str">
        <f aca="false">IF($A244="","",AN243*$E243)</f>
        <v/>
      </c>
      <c r="BA243" s="195" t="str">
        <f aca="false">IF($A244="","",F243*Summary!$Q$12)</f>
        <v/>
      </c>
    </row>
    <row r="244" customFormat="false" ht="12" hidden="false" customHeight="true" outlineLevel="0" collapsed="false">
      <c r="A244" s="196" t="str">
        <f aca="false">IF(A243&lt;mthend,EDATE(A243,1),"")</f>
        <v/>
      </c>
      <c r="B244" s="197" t="str">
        <f aca="false">IF(A244&lt;mthend,B243,"")</f>
        <v/>
      </c>
      <c r="C244" s="215"/>
      <c r="D244" s="197" t="str">
        <f aca="false">IF(A245&lt;&gt;"",B244+C244,"")</f>
        <v/>
      </c>
      <c r="E244" s="199" t="str">
        <f aca="false">IF(A245="","",IF(AND(AT244=1,$H$3=1),D244*AO244,IF($H$3=2,D244,"N/A")))</f>
        <v/>
      </c>
      <c r="F244" s="199" t="str">
        <f aca="false">IF(A245="","",E244*AS244)</f>
        <v/>
      </c>
      <c r="G244" s="200" t="str">
        <f aca="false">IF($A245="","",VLOOKUP($A244,Table,MATCH(G$4,Curves,0)))</f>
        <v/>
      </c>
      <c r="H244" s="201" t="str">
        <f aca="false">IF(A245="","",G244)</f>
        <v/>
      </c>
      <c r="I244" s="202"/>
      <c r="J244" s="200" t="str">
        <f aca="false">IF($A245="","",VLOOKUP($A244,Table,MATCH(J$4,Curves,0)))</f>
        <v/>
      </c>
      <c r="K244" s="201" t="str">
        <f aca="false">IF(A245="","",J244)</f>
        <v/>
      </c>
      <c r="L244" s="200" t="str">
        <f aca="false">IF($A245="","",VLOOKUP($A244,Table,MATCH(L$4,Curves,0)))</f>
        <v/>
      </c>
      <c r="M244" s="201" t="str">
        <f aca="false">IF(A245="","",L244)</f>
        <v/>
      </c>
      <c r="N244" s="203"/>
      <c r="O244" s="200" t="str">
        <f aca="false">IF(A245="","",L244+J244+G244)</f>
        <v/>
      </c>
      <c r="P244" s="200" t="str">
        <f aca="false">IF(A245="","",M244+K244+H244)</f>
        <v/>
      </c>
      <c r="Q244" s="204"/>
      <c r="R244" s="200" t="str">
        <f aca="false">IF($A245="","",VLOOKUP($A244,Table,MATCH(R$4,Curves,0)))</f>
        <v/>
      </c>
      <c r="S244" s="201" t="str">
        <f aca="false">IF(A245="","",R244)</f>
        <v/>
      </c>
      <c r="T244" s="200" t="str">
        <f aca="false">IF($A245="","",VLOOKUP($A244,Table,MATCH(T$4,Curves,0)))</f>
        <v/>
      </c>
      <c r="U244" s="201" t="str">
        <f aca="false">IF(A245="","",T244)</f>
        <v/>
      </c>
      <c r="V244" s="225" t="str">
        <f aca="false">IF($A245="","",IF(AND(MONTH(A244)&gt;3,MONTH(A244)&lt;11),(T244+R244+G244)*(((1/(1-Summary!$T$12))/(1-Summary!$W$12))-1),(T244+R244+G244)*((1/(1-Summary!$U$12))/(1-Summary!$X$12)-1)))</f>
        <v/>
      </c>
      <c r="W244" s="200" t="str">
        <f aca="false">IF($A245="","",(T244+R244+G244+V244))</f>
        <v/>
      </c>
      <c r="X244" s="200" t="str">
        <f aca="false">IF($A245="","",(U244+S244+H244+V244))</f>
        <v/>
      </c>
      <c r="Y244" s="202"/>
      <c r="Z244" s="185" t="str">
        <f aca="false">IF($A245="","",VLOOKUP($A244,Table,MATCH(Z$4,Curves,0)))</f>
        <v/>
      </c>
      <c r="AA244" s="185" t="str">
        <f aca="false">IF($A245="","",VLOOKUP($A244,Table,MATCH(AA$4,Curves,0)))</f>
        <v/>
      </c>
      <c r="AB244" s="185" t="e">
        <f aca="false">SQRT((AA244^2*(A244-$D$3)+Z244^2*(DAY(EOMONTH(A244,0))/2))/AK244)</f>
        <v>#VALUE!</v>
      </c>
      <c r="AC244" s="185" t="str">
        <f aca="false">IF($A245="","",VLOOKUP($A244,Table,MATCH(AC$4,Curves,0)))</f>
        <v/>
      </c>
      <c r="AD244" s="185" t="str">
        <f aca="false">IF($A245="","",VLOOKUP($A244,Table,MATCH(AD$4,Curves,0)))</f>
        <v/>
      </c>
      <c r="AE244" s="185" t="e">
        <f aca="false">SQRT((AD244^2*(A244-$D$3)+AC244^2*(DAY(EOMONTH(A244,0))/2))/AK244)</f>
        <v>#VALUE!</v>
      </c>
      <c r="AF244" s="206" t="e">
        <f aca="false">((Summary!$N$12*(AA244*AD244)*(A244-$D$3))+(Summary!$M$12*Z244*AC244*(AJ244-EOMONTH(EDATE(A244,-1),0))))/(AK244*AB244*AE244)</f>
        <v>#VALUE!</v>
      </c>
      <c r="AG244" s="207" t="str">
        <f aca="false">IF($A245="","",Summary!$Q$12)</f>
        <v/>
      </c>
      <c r="AH244" s="207" t="str">
        <f aca="false">IF($A245="","",IF(Summary!$R$12="Y",(VLOOKUP($A244,Summary!$AD$6:$AF$9,3)+'Escalating commodity'!H257),'Escalating commodity'!H257))</f>
        <v/>
      </c>
      <c r="AI244" s="207" t="str">
        <f aca="false">IF($A245="","",AH244)</f>
        <v/>
      </c>
      <c r="AJ244" s="208" t="e">
        <f aca="false">A244+DAY(EOMONTH(A244,0))/2-1</f>
        <v>#VALUE!</v>
      </c>
      <c r="AK244" s="209" t="str">
        <f aca="false">IF($A245="","",$A244-$E$1)</f>
        <v/>
      </c>
      <c r="AL244" s="182" t="str">
        <f aca="false">IF($A245="","",SPRDOPT(P244,X244,AI244,0,AB244,AE244,AF244,AK244,$AJ$2,0))</f>
        <v/>
      </c>
      <c r="AM244" s="211" t="str">
        <f aca="false">IF($A245="","",MAX(0,O244-W244-AI244))</f>
        <v/>
      </c>
      <c r="AN244" s="211" t="str">
        <f aca="false">IF($A245="","",AL244-AM244)</f>
        <v/>
      </c>
      <c r="AO244" s="137" t="str">
        <f aca="false">IF(A245="","",A245-A244)</f>
        <v/>
      </c>
      <c r="AP244" s="212" t="str">
        <f aca="false">IF(A245="","",CHOOSE(F$3,A245+24,A244))</f>
        <v/>
      </c>
      <c r="AQ244" s="209" t="str">
        <f aca="false">IF(A245="","",AP244-$E$1)</f>
        <v/>
      </c>
      <c r="AR244" s="185" t="n">
        <f aca="false">'ANR OK vs ML7'!AR244</f>
        <v>0.1</v>
      </c>
      <c r="AS244" s="213" t="str">
        <f aca="false">IF(A245="","",1/(1+CHOOSE(F$3,(AR245+($I$3/10000))/2,(AR244+($I$3/10000))/2))^(2*AQ244/365.25))</f>
        <v/>
      </c>
      <c r="AT244" s="137" t="str">
        <f aca="false">IF(A245="","",IF(AND(mthbeg&lt;=A244,mthend&gt;=A244),1,0))</f>
        <v/>
      </c>
      <c r="AU244" s="137" t="str">
        <f aca="false">IF(A245="","",AO244*AT244)</f>
        <v/>
      </c>
      <c r="AW244" s="195" t="str">
        <f aca="false">IF($A245="","",AL244*$E244)</f>
        <v/>
      </c>
      <c r="AX244" s="195" t="str">
        <f aca="false">IF($A245="","",AM244*$E244)</f>
        <v/>
      </c>
      <c r="AY244" s="195" t="str">
        <f aca="false">IF($A245="","",AN244*$E244)</f>
        <v/>
      </c>
      <c r="BA244" s="195" t="str">
        <f aca="false">IF($A245="","",F244*Summary!$Q$12)</f>
        <v/>
      </c>
    </row>
    <row r="245" customFormat="false" ht="12" hidden="false" customHeight="true" outlineLevel="0" collapsed="false">
      <c r="A245" s="196" t="str">
        <f aca="false">IF(A244&lt;mthend,EDATE(A244,1),"")</f>
        <v/>
      </c>
      <c r="B245" s="197" t="str">
        <f aca="false">IF(A245&lt;mthend,B244,"")</f>
        <v/>
      </c>
      <c r="C245" s="215"/>
      <c r="D245" s="197" t="str">
        <f aca="false">IF(A246&lt;&gt;"",B245+C245,"")</f>
        <v/>
      </c>
      <c r="E245" s="199" t="str">
        <f aca="false">IF(A246="","",IF(AND(AT245=1,$H$3=1),D245*AO245,IF($H$3=2,D245,"N/A")))</f>
        <v/>
      </c>
      <c r="F245" s="199" t="str">
        <f aca="false">IF(A246="","",E245*AS245)</f>
        <v/>
      </c>
      <c r="G245" s="200" t="str">
        <f aca="false">IF($A246="","",VLOOKUP($A245,Table,MATCH(G$4,Curves,0)))</f>
        <v/>
      </c>
      <c r="H245" s="201" t="str">
        <f aca="false">IF(A246="","",G245)</f>
        <v/>
      </c>
      <c r="I245" s="202"/>
      <c r="J245" s="200" t="str">
        <f aca="false">IF($A246="","",VLOOKUP($A245,Table,MATCH(J$4,Curves,0)))</f>
        <v/>
      </c>
      <c r="K245" s="201" t="str">
        <f aca="false">IF(A246="","",J245)</f>
        <v/>
      </c>
      <c r="L245" s="200" t="str">
        <f aca="false">IF($A246="","",VLOOKUP($A245,Table,MATCH(L$4,Curves,0)))</f>
        <v/>
      </c>
      <c r="M245" s="201" t="str">
        <f aca="false">IF(A246="","",L245)</f>
        <v/>
      </c>
      <c r="N245" s="203"/>
      <c r="O245" s="200" t="str">
        <f aca="false">IF(A246="","",L245+J245+G245)</f>
        <v/>
      </c>
      <c r="P245" s="200" t="str">
        <f aca="false">IF(A246="","",M245+K245+H245)</f>
        <v/>
      </c>
      <c r="Q245" s="204"/>
      <c r="R245" s="200" t="str">
        <f aca="false">IF($A246="","",VLOOKUP($A245,Table,MATCH(R$4,Curves,0)))</f>
        <v/>
      </c>
      <c r="S245" s="201" t="str">
        <f aca="false">IF(A246="","",R245)</f>
        <v/>
      </c>
      <c r="T245" s="200" t="str">
        <f aca="false">IF($A246="","",VLOOKUP($A245,Table,MATCH(T$4,Curves,0)))</f>
        <v/>
      </c>
      <c r="U245" s="201" t="str">
        <f aca="false">IF(A246="","",T245)</f>
        <v/>
      </c>
      <c r="V245" s="225" t="str">
        <f aca="false">IF($A246="","",IF(AND(MONTH(A245)&gt;3,MONTH(A245)&lt;11),(T245+R245+G245)*(((1/(1-Summary!$T$12))/(1-Summary!$W$12))-1),(T245+R245+G245)*((1/(1-Summary!$U$12))/(1-Summary!$X$12)-1)))</f>
        <v/>
      </c>
      <c r="W245" s="200" t="str">
        <f aca="false">IF($A246="","",(T245+R245+G245+V245))</f>
        <v/>
      </c>
      <c r="X245" s="200" t="str">
        <f aca="false">IF($A246="","",(U245+S245+H245+V245))</f>
        <v/>
      </c>
      <c r="Y245" s="202"/>
      <c r="Z245" s="185" t="str">
        <f aca="false">IF($A246="","",VLOOKUP($A245,Table,MATCH(Z$4,Curves,0)))</f>
        <v/>
      </c>
      <c r="AA245" s="185" t="str">
        <f aca="false">IF($A246="","",VLOOKUP($A245,Table,MATCH(AA$4,Curves,0)))</f>
        <v/>
      </c>
      <c r="AB245" s="185" t="e">
        <f aca="false">SQRT((AA245^2*(A245-$D$3)+Z245^2*(DAY(EOMONTH(A245,0))/2))/AK245)</f>
        <v>#VALUE!</v>
      </c>
      <c r="AC245" s="185" t="str">
        <f aca="false">IF($A246="","",VLOOKUP($A245,Table,MATCH(AC$4,Curves,0)))</f>
        <v/>
      </c>
      <c r="AD245" s="185" t="str">
        <f aca="false">IF($A246="","",VLOOKUP($A245,Table,MATCH(AD$4,Curves,0)))</f>
        <v/>
      </c>
      <c r="AE245" s="185" t="e">
        <f aca="false">SQRT((AD245^2*(A245-$D$3)+AC245^2*(DAY(EOMONTH(A245,0))/2))/AK245)</f>
        <v>#VALUE!</v>
      </c>
      <c r="AF245" s="206" t="e">
        <f aca="false">((Summary!$N$12*(AA245*AD245)*(A245-$D$3))+(Summary!$M$12*Z245*AC245*(AJ245-EOMONTH(EDATE(A245,-1),0))))/(AK245*AB245*AE245)</f>
        <v>#VALUE!</v>
      </c>
      <c r="AG245" s="207" t="str">
        <f aca="false">IF($A246="","",Summary!$Q$12)</f>
        <v/>
      </c>
      <c r="AH245" s="207" t="str">
        <f aca="false">IF($A246="","",IF(Summary!$R$12="Y",(VLOOKUP($A245,Summary!$AD$6:$AF$9,3)+'Escalating commodity'!H258),'Escalating commodity'!H258))</f>
        <v/>
      </c>
      <c r="AI245" s="207" t="str">
        <f aca="false">IF($A246="","",AH245)</f>
        <v/>
      </c>
      <c r="AJ245" s="208" t="e">
        <f aca="false">A245+DAY(EOMONTH(A245,0))/2-1</f>
        <v>#VALUE!</v>
      </c>
      <c r="AK245" s="209" t="str">
        <f aca="false">IF($A246="","",$A245-$E$1)</f>
        <v/>
      </c>
      <c r="AL245" s="182" t="str">
        <f aca="false">IF($A246="","",SPRDOPT(P245,X245,AI245,0,AB245,AE245,AF245,AK245,$AJ$2,0))</f>
        <v/>
      </c>
      <c r="AM245" s="211" t="str">
        <f aca="false">IF($A246="","",MAX(0,O245-W245-AI245))</f>
        <v/>
      </c>
      <c r="AN245" s="211" t="str">
        <f aca="false">IF($A246="","",AL245-AM245)</f>
        <v/>
      </c>
      <c r="AO245" s="137" t="str">
        <f aca="false">IF(A246="","",A246-A245)</f>
        <v/>
      </c>
      <c r="AP245" s="212" t="str">
        <f aca="false">IF(A246="","",CHOOSE(F$3,A246+24,A245))</f>
        <v/>
      </c>
      <c r="AQ245" s="209" t="str">
        <f aca="false">IF(A246="","",AP245-$E$1)</f>
        <v/>
      </c>
      <c r="AR245" s="185" t="n">
        <f aca="false">'ANR OK vs ML7'!AR245</f>
        <v>0.1</v>
      </c>
      <c r="AS245" s="213" t="str">
        <f aca="false">IF(A246="","",1/(1+CHOOSE(F$3,(AR246+($I$3/10000))/2,(AR245+($I$3/10000))/2))^(2*AQ245/365.25))</f>
        <v/>
      </c>
      <c r="AT245" s="137" t="str">
        <f aca="false">IF(A246="","",IF(AND(mthbeg&lt;=A245,mthend&gt;=A245),1,0))</f>
        <v/>
      </c>
      <c r="AU245" s="137" t="str">
        <f aca="false">IF(A246="","",AO245*AT245)</f>
        <v/>
      </c>
      <c r="AW245" s="195" t="str">
        <f aca="false">IF($A246="","",AL245*$E245)</f>
        <v/>
      </c>
      <c r="AX245" s="195" t="str">
        <f aca="false">IF($A246="","",AM245*$E245)</f>
        <v/>
      </c>
      <c r="AY245" s="195" t="str">
        <f aca="false">IF($A246="","",AN245*$E245)</f>
        <v/>
      </c>
      <c r="BA245" s="195" t="str">
        <f aca="false">IF($A246="","",F245*Summary!$Q$12)</f>
        <v/>
      </c>
    </row>
    <row r="246" customFormat="false" ht="12" hidden="false" customHeight="true" outlineLevel="0" collapsed="false">
      <c r="A246" s="196" t="str">
        <f aca="false">IF(A245&lt;mthend,EDATE(A245,1),"")</f>
        <v/>
      </c>
      <c r="B246" s="197" t="str">
        <f aca="false">IF(A246&lt;mthend,B245,"")</f>
        <v/>
      </c>
      <c r="C246" s="215"/>
      <c r="D246" s="197" t="str">
        <f aca="false">IF(A247&lt;&gt;"",B246+C246,"")</f>
        <v/>
      </c>
      <c r="E246" s="199" t="str">
        <f aca="false">IF(A247="","",IF(AND(AT246=1,$H$3=1),D246*AO246,IF($H$3=2,D246,"N/A")))</f>
        <v/>
      </c>
      <c r="F246" s="199" t="str">
        <f aca="false">IF(A247="","",E246*AS246)</f>
        <v/>
      </c>
      <c r="G246" s="200" t="str">
        <f aca="false">IF($A247="","",VLOOKUP($A246,Table,MATCH(G$4,Curves,0)))</f>
        <v/>
      </c>
      <c r="H246" s="201" t="str">
        <f aca="false">IF(A247="","",G246)</f>
        <v/>
      </c>
      <c r="I246" s="202"/>
      <c r="J246" s="200" t="str">
        <f aca="false">IF($A247="","",VLOOKUP($A246,Table,MATCH(J$4,Curves,0)))</f>
        <v/>
      </c>
      <c r="K246" s="201" t="str">
        <f aca="false">IF(A247="","",J246)</f>
        <v/>
      </c>
      <c r="L246" s="200" t="str">
        <f aca="false">IF($A247="","",VLOOKUP($A246,Table,MATCH(L$4,Curves,0)))</f>
        <v/>
      </c>
      <c r="M246" s="201" t="str">
        <f aca="false">IF(A247="","",L246)</f>
        <v/>
      </c>
      <c r="N246" s="203"/>
      <c r="O246" s="200" t="str">
        <f aca="false">IF(A247="","",L246+J246+G246)</f>
        <v/>
      </c>
      <c r="P246" s="200" t="str">
        <f aca="false">IF(A247="","",M246+K246+H246)</f>
        <v/>
      </c>
      <c r="Q246" s="204"/>
      <c r="R246" s="200" t="str">
        <f aca="false">IF($A247="","",VLOOKUP($A246,Table,MATCH(R$4,Curves,0)))</f>
        <v/>
      </c>
      <c r="S246" s="201" t="str">
        <f aca="false">IF(A247="","",R246)</f>
        <v/>
      </c>
      <c r="T246" s="200" t="str">
        <f aca="false">IF($A247="","",VLOOKUP($A246,Table,MATCH(T$4,Curves,0)))</f>
        <v/>
      </c>
      <c r="U246" s="201" t="str">
        <f aca="false">IF(A247="","",T246)</f>
        <v/>
      </c>
      <c r="V246" s="225" t="str">
        <f aca="false">IF($A247="","",IF(AND(MONTH(A246)&gt;3,MONTH(A246)&lt;11),(T246+R246+G246)*(((1/(1-Summary!$T$12))/(1-Summary!$W$12))-1),(T246+R246+G246)*((1/(1-Summary!$U$12))/(1-Summary!$X$12)-1)))</f>
        <v/>
      </c>
      <c r="W246" s="200" t="str">
        <f aca="false">IF($A247="","",(T246+R246+G246+V246))</f>
        <v/>
      </c>
      <c r="X246" s="200" t="str">
        <f aca="false">IF($A247="","",(U246+S246+H246+V246))</f>
        <v/>
      </c>
      <c r="Y246" s="202"/>
      <c r="Z246" s="185" t="str">
        <f aca="false">IF($A247="","",VLOOKUP($A246,Table,MATCH(Z$4,Curves,0)))</f>
        <v/>
      </c>
      <c r="AA246" s="185" t="str">
        <f aca="false">IF($A247="","",VLOOKUP($A246,Table,MATCH(AA$4,Curves,0)))</f>
        <v/>
      </c>
      <c r="AB246" s="185" t="e">
        <f aca="false">SQRT((AA246^2*(A246-$D$3)+Z246^2*(DAY(EOMONTH(A246,0))/2))/AK246)</f>
        <v>#VALUE!</v>
      </c>
      <c r="AC246" s="185" t="str">
        <f aca="false">IF($A247="","",VLOOKUP($A246,Table,MATCH(AC$4,Curves,0)))</f>
        <v/>
      </c>
      <c r="AD246" s="185" t="str">
        <f aca="false">IF($A247="","",VLOOKUP($A246,Table,MATCH(AD$4,Curves,0)))</f>
        <v/>
      </c>
      <c r="AE246" s="185" t="e">
        <f aca="false">SQRT((AD246^2*(A246-$D$3)+AC246^2*(DAY(EOMONTH(A246,0))/2))/AK246)</f>
        <v>#VALUE!</v>
      </c>
      <c r="AF246" s="206" t="e">
        <f aca="false">((Summary!$N$12*(AA246*AD246)*(A246-$D$3))+(Summary!$M$12*Z246*AC246*(AJ246-EOMONTH(EDATE(A246,-1),0))))/(AK246*AB246*AE246)</f>
        <v>#VALUE!</v>
      </c>
      <c r="AG246" s="207" t="str">
        <f aca="false">IF($A247="","",Summary!$Q$12)</f>
        <v/>
      </c>
      <c r="AH246" s="207" t="str">
        <f aca="false">IF($A247="","",IF(Summary!$R$12="Y",(VLOOKUP($A246,Summary!$AD$6:$AF$9,3)+'Escalating commodity'!H259),'Escalating commodity'!H259))</f>
        <v/>
      </c>
      <c r="AI246" s="207" t="str">
        <f aca="false">IF($A247="","",AH246)</f>
        <v/>
      </c>
      <c r="AJ246" s="208" t="e">
        <f aca="false">A246+DAY(EOMONTH(A246,0))/2-1</f>
        <v>#VALUE!</v>
      </c>
      <c r="AK246" s="209" t="str">
        <f aca="false">IF($A247="","",$A246-$E$1)</f>
        <v/>
      </c>
      <c r="AL246" s="182" t="str">
        <f aca="false">IF($A247="","",SPRDOPT(P246,X246,AI246,0,AB246,AE246,AF246,AK246,$AJ$2,0))</f>
        <v/>
      </c>
      <c r="AM246" s="211" t="str">
        <f aca="false">IF($A247="","",MAX(0,O246-W246-AI246))</f>
        <v/>
      </c>
      <c r="AN246" s="211" t="str">
        <f aca="false">IF($A247="","",AL246-AM246)</f>
        <v/>
      </c>
      <c r="AO246" s="137" t="str">
        <f aca="false">IF(A247="","",A247-A246)</f>
        <v/>
      </c>
      <c r="AP246" s="212" t="str">
        <f aca="false">IF(A247="","",CHOOSE(F$3,A247+24,A246))</f>
        <v/>
      </c>
      <c r="AQ246" s="209" t="str">
        <f aca="false">IF(A247="","",AP246-$E$1)</f>
        <v/>
      </c>
      <c r="AR246" s="185" t="n">
        <f aca="false">'ANR OK vs ML7'!AR246</f>
        <v>0.1</v>
      </c>
      <c r="AS246" s="213" t="str">
        <f aca="false">IF(A247="","",1/(1+CHOOSE(F$3,(AR247+($I$3/10000))/2,(AR246+($I$3/10000))/2))^(2*AQ246/365.25))</f>
        <v/>
      </c>
      <c r="AT246" s="137" t="str">
        <f aca="false">IF(A247="","",IF(AND(mthbeg&lt;=A246,mthend&gt;=A246),1,0))</f>
        <v/>
      </c>
      <c r="AU246" s="137" t="str">
        <f aca="false">IF(A247="","",AO246*AT246)</f>
        <v/>
      </c>
      <c r="AW246" s="195" t="str">
        <f aca="false">IF($A247="","",AL246*$E246)</f>
        <v/>
      </c>
      <c r="AX246" s="195" t="str">
        <f aca="false">IF($A247="","",AM246*$E246)</f>
        <v/>
      </c>
      <c r="AY246" s="195" t="str">
        <f aca="false">IF($A247="","",AN246*$E246)</f>
        <v/>
      </c>
      <c r="BA246" s="195" t="str">
        <f aca="false">IF($A247="","",F246*Summary!$Q$12)</f>
        <v/>
      </c>
    </row>
    <row r="247" customFormat="false" ht="12" hidden="false" customHeight="true" outlineLevel="0" collapsed="false">
      <c r="A247" s="196" t="str">
        <f aca="false">IF(A246&lt;mthend,EDATE(A246,1),"")</f>
        <v/>
      </c>
      <c r="B247" s="197" t="str">
        <f aca="false">IF(A247&lt;mthend,B246,"")</f>
        <v/>
      </c>
      <c r="C247" s="215"/>
      <c r="D247" s="197" t="str">
        <f aca="false">IF(A248&lt;&gt;"",B247+C247,"")</f>
        <v/>
      </c>
      <c r="E247" s="199" t="str">
        <f aca="false">IF(A248="","",IF(AND(AT247=1,$H$3=1),D247*AO247,IF($H$3=2,D247,"N/A")))</f>
        <v/>
      </c>
      <c r="F247" s="199" t="str">
        <f aca="false">IF(A248="","",E247*AS247)</f>
        <v/>
      </c>
      <c r="G247" s="200" t="str">
        <f aca="false">IF($A248="","",VLOOKUP($A247,Table,MATCH(G$4,Curves,0)))</f>
        <v/>
      </c>
      <c r="H247" s="201" t="str">
        <f aca="false">IF(A248="","",G247)</f>
        <v/>
      </c>
      <c r="I247" s="202"/>
      <c r="J247" s="200" t="str">
        <f aca="false">IF($A248="","",VLOOKUP($A247,Table,MATCH(J$4,Curves,0)))</f>
        <v/>
      </c>
      <c r="K247" s="201" t="str">
        <f aca="false">IF(A248="","",J247)</f>
        <v/>
      </c>
      <c r="L247" s="200" t="str">
        <f aca="false">IF($A248="","",VLOOKUP($A247,Table,MATCH(L$4,Curves,0)))</f>
        <v/>
      </c>
      <c r="M247" s="201" t="str">
        <f aca="false">IF(A248="","",L247)</f>
        <v/>
      </c>
      <c r="N247" s="203"/>
      <c r="O247" s="200" t="str">
        <f aca="false">IF(A248="","",L247+J247+G247)</f>
        <v/>
      </c>
      <c r="P247" s="200" t="str">
        <f aca="false">IF(A248="","",M247+K247+H247)</f>
        <v/>
      </c>
      <c r="Q247" s="204"/>
      <c r="R247" s="200" t="str">
        <f aca="false">IF($A248="","",VLOOKUP($A247,Table,MATCH(R$4,Curves,0)))</f>
        <v/>
      </c>
      <c r="S247" s="201" t="str">
        <f aca="false">IF(A248="","",R247)</f>
        <v/>
      </c>
      <c r="T247" s="200" t="str">
        <f aca="false">IF($A248="","",VLOOKUP($A247,Table,MATCH(T$4,Curves,0)))</f>
        <v/>
      </c>
      <c r="U247" s="201" t="str">
        <f aca="false">IF(A248="","",T247)</f>
        <v/>
      </c>
      <c r="V247" s="225" t="str">
        <f aca="false">IF($A248="","",IF(AND(MONTH(A247)&gt;3,MONTH(A247)&lt;11),(T247+R247+G247)*(((1/(1-Summary!$T$12))/(1-Summary!$W$12))-1),(T247+R247+G247)*((1/(1-Summary!$U$12))/(1-Summary!$X$12)-1)))</f>
        <v/>
      </c>
      <c r="W247" s="200" t="str">
        <f aca="false">IF($A248="","",(T247+R247+G247+V247))</f>
        <v/>
      </c>
      <c r="X247" s="200" t="str">
        <f aca="false">IF($A248="","",(U247+S247+H247+V247))</f>
        <v/>
      </c>
      <c r="Y247" s="202"/>
      <c r="Z247" s="185" t="str">
        <f aca="false">IF($A248="","",VLOOKUP($A247,Table,MATCH(Z$4,Curves,0)))</f>
        <v/>
      </c>
      <c r="AA247" s="185" t="str">
        <f aca="false">IF($A248="","",VLOOKUP($A247,Table,MATCH(AA$4,Curves,0)))</f>
        <v/>
      </c>
      <c r="AB247" s="185" t="e">
        <f aca="false">SQRT((AA247^2*(A247-$D$3)+Z247^2*(DAY(EOMONTH(A247,0))/2))/AK247)</f>
        <v>#VALUE!</v>
      </c>
      <c r="AC247" s="185" t="str">
        <f aca="false">IF($A248="","",VLOOKUP($A247,Table,MATCH(AC$4,Curves,0)))</f>
        <v/>
      </c>
      <c r="AD247" s="185" t="str">
        <f aca="false">IF($A248="","",VLOOKUP($A247,Table,MATCH(AD$4,Curves,0)))</f>
        <v/>
      </c>
      <c r="AE247" s="185" t="e">
        <f aca="false">SQRT((AD247^2*(A247-$D$3)+AC247^2*(DAY(EOMONTH(A247,0))/2))/AK247)</f>
        <v>#VALUE!</v>
      </c>
      <c r="AF247" s="206" t="e">
        <f aca="false">((Summary!$N$12*(AA247*AD247)*(A247-$D$3))+(Summary!$M$12*Z247*AC247*(AJ247-EOMONTH(EDATE(A247,-1),0))))/(AK247*AB247*AE247)</f>
        <v>#VALUE!</v>
      </c>
      <c r="AG247" s="207" t="str">
        <f aca="false">IF($A248="","",Summary!$Q$12)</f>
        <v/>
      </c>
      <c r="AH247" s="207" t="str">
        <f aca="false">IF($A248="","",IF(Summary!$R$12="Y",(VLOOKUP($A247,Summary!$AD$6:$AF$9,3)+'Escalating commodity'!H260),'Escalating commodity'!H260))</f>
        <v/>
      </c>
      <c r="AI247" s="207" t="str">
        <f aca="false">IF($A248="","",AH247)</f>
        <v/>
      </c>
      <c r="AJ247" s="208" t="e">
        <f aca="false">A247+DAY(EOMONTH(A247,0))/2-1</f>
        <v>#VALUE!</v>
      </c>
      <c r="AK247" s="209" t="str">
        <f aca="false">IF($A248="","",$A247-$E$1)</f>
        <v/>
      </c>
      <c r="AL247" s="182" t="str">
        <f aca="false">IF($A248="","",SPRDOPT(P247,X247,AI247,0,AB247,AE247,AF247,AK247,$AJ$2,0))</f>
        <v/>
      </c>
      <c r="AM247" s="211" t="str">
        <f aca="false">IF($A248="","",MAX(0,O247-W247-AI247))</f>
        <v/>
      </c>
      <c r="AN247" s="211" t="str">
        <f aca="false">IF($A248="","",AL247-AM247)</f>
        <v/>
      </c>
      <c r="AO247" s="137" t="str">
        <f aca="false">IF(A248="","",A248-A247)</f>
        <v/>
      </c>
      <c r="AP247" s="212" t="str">
        <f aca="false">IF(A248="","",CHOOSE(F$3,A248+24,A247))</f>
        <v/>
      </c>
      <c r="AQ247" s="209" t="str">
        <f aca="false">IF(A248="","",AP247-$E$1)</f>
        <v/>
      </c>
      <c r="AR247" s="185" t="n">
        <f aca="false">'ANR OK vs ML7'!AR247</f>
        <v>0.1</v>
      </c>
      <c r="AS247" s="213" t="str">
        <f aca="false">IF(A248="","",1/(1+CHOOSE(F$3,(AR248+($I$3/10000))/2,(AR247+($I$3/10000))/2))^(2*AQ247/365.25))</f>
        <v/>
      </c>
      <c r="AT247" s="137" t="str">
        <f aca="false">IF(A248="","",IF(AND(mthbeg&lt;=A247,mthend&gt;=A247),1,0))</f>
        <v/>
      </c>
      <c r="AU247" s="137" t="str">
        <f aca="false">IF(A248="","",AO247*AT247)</f>
        <v/>
      </c>
      <c r="AW247" s="195" t="str">
        <f aca="false">IF($A248="","",AL247*$E247)</f>
        <v/>
      </c>
      <c r="AX247" s="195" t="str">
        <f aca="false">IF($A248="","",AM247*$E247)</f>
        <v/>
      </c>
      <c r="AY247" s="195" t="str">
        <f aca="false">IF($A248="","",AN247*$E247)</f>
        <v/>
      </c>
      <c r="BA247" s="195" t="str">
        <f aca="false">IF($A248="","",F247*Summary!$Q$12)</f>
        <v/>
      </c>
    </row>
    <row r="248" customFormat="false" ht="12" hidden="false" customHeight="true" outlineLevel="0" collapsed="false">
      <c r="A248" s="196" t="str">
        <f aca="false">IF(A247&lt;mthend,EDATE(A247,1),"")</f>
        <v/>
      </c>
      <c r="B248" s="197" t="str">
        <f aca="false">IF(A248&lt;mthend,B247,"")</f>
        <v/>
      </c>
      <c r="C248" s="215"/>
      <c r="D248" s="197" t="str">
        <f aca="false">IF(A249&lt;&gt;"",B248+C248,"")</f>
        <v/>
      </c>
      <c r="E248" s="199" t="str">
        <f aca="false">IF(A249="","",IF(AND(AT248=1,$H$3=1),D248*AO248,IF($H$3=2,D248,"N/A")))</f>
        <v/>
      </c>
      <c r="F248" s="199" t="str">
        <f aca="false">IF(A249="","",E248*AS248)</f>
        <v/>
      </c>
      <c r="G248" s="200" t="str">
        <f aca="false">IF($A249="","",VLOOKUP($A248,Table,MATCH(G$4,Curves,0)))</f>
        <v/>
      </c>
      <c r="H248" s="201" t="str">
        <f aca="false">IF(A249="","",G248)</f>
        <v/>
      </c>
      <c r="I248" s="202"/>
      <c r="J248" s="200" t="str">
        <f aca="false">IF($A249="","",VLOOKUP($A248,Table,MATCH(J$4,Curves,0)))</f>
        <v/>
      </c>
      <c r="K248" s="201" t="str">
        <f aca="false">IF(A249="","",J248)</f>
        <v/>
      </c>
      <c r="L248" s="200" t="str">
        <f aca="false">IF($A249="","",VLOOKUP($A248,Table,MATCH(L$4,Curves,0)))</f>
        <v/>
      </c>
      <c r="M248" s="201" t="str">
        <f aca="false">IF(A249="","",L248)</f>
        <v/>
      </c>
      <c r="N248" s="203"/>
      <c r="O248" s="200" t="str">
        <f aca="false">IF(A249="","",L248+J248+G248)</f>
        <v/>
      </c>
      <c r="P248" s="200" t="str">
        <f aca="false">IF(A249="","",M248+K248+H248)</f>
        <v/>
      </c>
      <c r="Q248" s="204"/>
      <c r="R248" s="200" t="str">
        <f aca="false">IF($A249="","",VLOOKUP($A248,Table,MATCH(R$4,Curves,0)))</f>
        <v/>
      </c>
      <c r="S248" s="201" t="str">
        <f aca="false">IF(A249="","",R248)</f>
        <v/>
      </c>
      <c r="T248" s="200" t="str">
        <f aca="false">IF($A249="","",VLOOKUP($A248,Table,MATCH(T$4,Curves,0)))</f>
        <v/>
      </c>
      <c r="U248" s="201" t="str">
        <f aca="false">IF(A249="","",T248)</f>
        <v/>
      </c>
      <c r="V248" s="225" t="str">
        <f aca="false">IF($A249="","",IF(AND(MONTH(A248)&gt;3,MONTH(A248)&lt;11),(T248+R248+G248)*(((1/(1-Summary!$T$12))/(1-Summary!$W$12))-1),(T248+R248+G248)*((1/(1-Summary!$U$12))/(1-Summary!$X$12)-1)))</f>
        <v/>
      </c>
      <c r="W248" s="200" t="str">
        <f aca="false">IF($A249="","",(T248+R248+G248+V248))</f>
        <v/>
      </c>
      <c r="X248" s="200" t="str">
        <f aca="false">IF($A249="","",(U248+S248+H248+V248))</f>
        <v/>
      </c>
      <c r="Y248" s="202"/>
      <c r="Z248" s="185" t="str">
        <f aca="false">IF($A249="","",VLOOKUP($A248,Table,MATCH(Z$4,Curves,0)))</f>
        <v/>
      </c>
      <c r="AA248" s="185" t="str">
        <f aca="false">IF($A249="","",VLOOKUP($A248,Table,MATCH(AA$4,Curves,0)))</f>
        <v/>
      </c>
      <c r="AB248" s="185" t="e">
        <f aca="false">SQRT((AA248^2*(A248-$D$3)+Z248^2*(DAY(EOMONTH(A248,0))/2))/AK248)</f>
        <v>#VALUE!</v>
      </c>
      <c r="AC248" s="185" t="str">
        <f aca="false">IF($A249="","",VLOOKUP($A248,Table,MATCH(AC$4,Curves,0)))</f>
        <v/>
      </c>
      <c r="AD248" s="185" t="str">
        <f aca="false">IF($A249="","",VLOOKUP($A248,Table,MATCH(AD$4,Curves,0)))</f>
        <v/>
      </c>
      <c r="AE248" s="185" t="e">
        <f aca="false">SQRT((AD248^2*(A248-$D$3)+AC248^2*(DAY(EOMONTH(A248,0))/2))/AK248)</f>
        <v>#VALUE!</v>
      </c>
      <c r="AF248" s="206" t="e">
        <f aca="false">((Summary!$N$12*(AA248*AD248)*(A248-$D$3))+(Summary!$M$12*Z248*AC248*(AJ248-EOMONTH(EDATE(A248,-1),0))))/(AK248*AB248*AE248)</f>
        <v>#VALUE!</v>
      </c>
      <c r="AG248" s="207" t="str">
        <f aca="false">IF($A249="","",Summary!$Q$12)</f>
        <v/>
      </c>
      <c r="AH248" s="207" t="str">
        <f aca="false">IF($A249="","",IF(Summary!$R$12="Y",(VLOOKUP($A248,Summary!$AD$6:$AF$9,3)+'Escalating commodity'!H261),'Escalating commodity'!H261))</f>
        <v/>
      </c>
      <c r="AI248" s="207" t="str">
        <f aca="false">IF($A249="","",AH248)</f>
        <v/>
      </c>
      <c r="AJ248" s="208" t="e">
        <f aca="false">A248+DAY(EOMONTH(A248,0))/2-1</f>
        <v>#VALUE!</v>
      </c>
      <c r="AK248" s="209" t="str">
        <f aca="false">IF($A249="","",$A248-$E$1)</f>
        <v/>
      </c>
      <c r="AL248" s="182" t="str">
        <f aca="false">IF($A249="","",SPRDOPT(P248,X248,AI248,0,AB248,AE248,AF248,AK248,$AJ$2,0))</f>
        <v/>
      </c>
      <c r="AM248" s="211" t="str">
        <f aca="false">IF($A249="","",MAX(0,O248-W248-AI248))</f>
        <v/>
      </c>
      <c r="AN248" s="211" t="str">
        <f aca="false">IF($A249="","",AL248-AM248)</f>
        <v/>
      </c>
      <c r="AO248" s="137" t="str">
        <f aca="false">IF(A249="","",A249-A248)</f>
        <v/>
      </c>
      <c r="AP248" s="212" t="str">
        <f aca="false">IF(A249="","",CHOOSE(F$3,A249+24,A248))</f>
        <v/>
      </c>
      <c r="AQ248" s="209" t="str">
        <f aca="false">IF(A249="","",AP248-$E$1)</f>
        <v/>
      </c>
      <c r="AR248" s="185" t="n">
        <f aca="false">'ANR OK vs ML7'!AR248</f>
        <v>0.1</v>
      </c>
      <c r="AS248" s="213" t="str">
        <f aca="false">IF(A249="","",1/(1+CHOOSE(F$3,(AR249+($I$3/10000))/2,(AR248+($I$3/10000))/2))^(2*AQ248/365.25))</f>
        <v/>
      </c>
      <c r="AT248" s="137" t="str">
        <f aca="false">IF(A249="","",IF(AND(mthbeg&lt;=A248,mthend&gt;=A248),1,0))</f>
        <v/>
      </c>
      <c r="AU248" s="137" t="str">
        <f aca="false">IF(A249="","",AO248*AT248)</f>
        <v/>
      </c>
      <c r="AW248" s="195" t="str">
        <f aca="false">IF($A249="","",AL248*$E248)</f>
        <v/>
      </c>
      <c r="AX248" s="195" t="str">
        <f aca="false">IF($A249="","",AM248*$E248)</f>
        <v/>
      </c>
      <c r="AY248" s="195" t="str">
        <f aca="false">IF($A249="","",AN248*$E248)</f>
        <v/>
      </c>
      <c r="BA248" s="195" t="str">
        <f aca="false">IF($A249="","",F248*Summary!$Q$12)</f>
        <v/>
      </c>
    </row>
    <row r="249" customFormat="false" ht="12" hidden="false" customHeight="true" outlineLevel="0" collapsed="false">
      <c r="A249" s="196" t="str">
        <f aca="false">IF(A248&lt;mthend,EDATE(A248,1),"")</f>
        <v/>
      </c>
      <c r="B249" s="197" t="str">
        <f aca="false">IF(A249&lt;mthend,B248,"")</f>
        <v/>
      </c>
      <c r="C249" s="215"/>
      <c r="D249" s="197" t="str">
        <f aca="false">IF(A250&lt;&gt;"",B249+C249,"")</f>
        <v/>
      </c>
      <c r="E249" s="199" t="str">
        <f aca="false">IF(A250="","",IF(AND(AT249=1,$H$3=1),D249*AO249,IF($H$3=2,D249,"N/A")))</f>
        <v/>
      </c>
      <c r="F249" s="199" t="str">
        <f aca="false">IF(A250="","",E249*AS249)</f>
        <v/>
      </c>
      <c r="G249" s="200" t="str">
        <f aca="false">IF($A250="","",VLOOKUP($A249,Table,MATCH(G$4,Curves,0)))</f>
        <v/>
      </c>
      <c r="H249" s="201" t="str">
        <f aca="false">IF(A250="","",G249)</f>
        <v/>
      </c>
      <c r="I249" s="202"/>
      <c r="J249" s="200" t="str">
        <f aca="false">IF($A250="","",VLOOKUP($A249,Table,MATCH(J$4,Curves,0)))</f>
        <v/>
      </c>
      <c r="K249" s="201" t="str">
        <f aca="false">IF(A250="","",J249)</f>
        <v/>
      </c>
      <c r="L249" s="200" t="str">
        <f aca="false">IF($A250="","",VLOOKUP($A249,Table,MATCH(L$4,Curves,0)))</f>
        <v/>
      </c>
      <c r="M249" s="201" t="str">
        <f aca="false">IF(A250="","",L249)</f>
        <v/>
      </c>
      <c r="N249" s="203"/>
      <c r="O249" s="200" t="str">
        <f aca="false">IF(A250="","",L249+J249+G249)</f>
        <v/>
      </c>
      <c r="P249" s="200" t="str">
        <f aca="false">IF(A250="","",M249+K249+H249)</f>
        <v/>
      </c>
      <c r="Q249" s="204"/>
      <c r="R249" s="200" t="str">
        <f aca="false">IF($A250="","",VLOOKUP($A249,Table,MATCH(R$4,Curves,0)))</f>
        <v/>
      </c>
      <c r="S249" s="201" t="str">
        <f aca="false">IF(A250="","",R249)</f>
        <v/>
      </c>
      <c r="T249" s="200" t="str">
        <f aca="false">IF($A250="","",VLOOKUP($A249,Table,MATCH(T$4,Curves,0)))</f>
        <v/>
      </c>
      <c r="U249" s="201" t="str">
        <f aca="false">IF(A250="","",T249)</f>
        <v/>
      </c>
      <c r="V249" s="225" t="str">
        <f aca="false">IF($A250="","",IF(AND(MONTH(A249)&gt;3,MONTH(A249)&lt;11),(T249+R249+G249)*(((1/(1-Summary!$T$12))/(1-Summary!$W$12))-1),(T249+R249+G249)*((1/(1-Summary!$U$12))/(1-Summary!$X$12)-1)))</f>
        <v/>
      </c>
      <c r="W249" s="200" t="str">
        <f aca="false">IF($A250="","",(T249+R249+G249+V249))</f>
        <v/>
      </c>
      <c r="X249" s="200" t="str">
        <f aca="false">IF($A250="","",(U249+S249+H249+V249))</f>
        <v/>
      </c>
      <c r="Y249" s="202"/>
      <c r="Z249" s="185" t="str">
        <f aca="false">IF($A250="","",VLOOKUP($A249,Table,MATCH(Z$4,Curves,0)))</f>
        <v/>
      </c>
      <c r="AA249" s="185" t="str">
        <f aca="false">IF($A250="","",VLOOKUP($A249,Table,MATCH(AA$4,Curves,0)))</f>
        <v/>
      </c>
      <c r="AB249" s="185" t="e">
        <f aca="false">SQRT((AA249^2*(A249-$D$3)+Z249^2*(DAY(EOMONTH(A249,0))/2))/AK249)</f>
        <v>#VALUE!</v>
      </c>
      <c r="AC249" s="185" t="str">
        <f aca="false">IF($A250="","",VLOOKUP($A249,Table,MATCH(AC$4,Curves,0)))</f>
        <v/>
      </c>
      <c r="AD249" s="185" t="str">
        <f aca="false">IF($A250="","",VLOOKUP($A249,Table,MATCH(AD$4,Curves,0)))</f>
        <v/>
      </c>
      <c r="AE249" s="185" t="e">
        <f aca="false">SQRT((AD249^2*(A249-$D$3)+AC249^2*(DAY(EOMONTH(A249,0))/2))/AK249)</f>
        <v>#VALUE!</v>
      </c>
      <c r="AF249" s="206" t="e">
        <f aca="false">((Summary!$N$12*(AA249*AD249)*(A249-$D$3))+(Summary!$M$12*Z249*AC249*(AJ249-EOMONTH(EDATE(A249,-1),0))))/(AK249*AB249*AE249)</f>
        <v>#VALUE!</v>
      </c>
      <c r="AG249" s="207" t="str">
        <f aca="false">IF($A250="","",Summary!$Q$12)</f>
        <v/>
      </c>
      <c r="AH249" s="207" t="str">
        <f aca="false">IF($A250="","",IF(Summary!$R$12="Y",(VLOOKUP($A249,Summary!$AD$6:$AF$9,3)+'Escalating commodity'!H262),'Escalating commodity'!H262))</f>
        <v/>
      </c>
      <c r="AI249" s="207" t="str">
        <f aca="false">IF($A250="","",AH249)</f>
        <v/>
      </c>
      <c r="AJ249" s="208" t="e">
        <f aca="false">A249+DAY(EOMONTH(A249,0))/2-1</f>
        <v>#VALUE!</v>
      </c>
      <c r="AK249" s="209" t="str">
        <f aca="false">IF($A250="","",$A249-$E$1)</f>
        <v/>
      </c>
      <c r="AL249" s="182" t="str">
        <f aca="false">IF($A250="","",SPRDOPT(P249,X249,AI249,0,AB249,AE249,AF249,AK249,$AJ$2,0))</f>
        <v/>
      </c>
      <c r="AM249" s="211" t="str">
        <f aca="false">IF($A250="","",MAX(0,O249-W249-AI249))</f>
        <v/>
      </c>
      <c r="AN249" s="211" t="str">
        <f aca="false">IF($A250="","",AL249-AM249)</f>
        <v/>
      </c>
      <c r="AO249" s="137" t="str">
        <f aca="false">IF(A250="","",A250-A249)</f>
        <v/>
      </c>
      <c r="AP249" s="212" t="str">
        <f aca="false">IF(A250="","",CHOOSE(F$3,A250+24,A249))</f>
        <v/>
      </c>
      <c r="AQ249" s="209" t="str">
        <f aca="false">IF(A250="","",AP249-$E$1)</f>
        <v/>
      </c>
      <c r="AR249" s="185" t="n">
        <f aca="false">'ANR OK vs ML7'!AR249</f>
        <v>0.1</v>
      </c>
      <c r="AS249" s="213" t="str">
        <f aca="false">IF(A250="","",1/(1+CHOOSE(F$3,(AR250+($I$3/10000))/2,(AR249+($I$3/10000))/2))^(2*AQ249/365.25))</f>
        <v/>
      </c>
      <c r="AT249" s="137" t="str">
        <f aca="false">IF(A250="","",IF(AND(mthbeg&lt;=A249,mthend&gt;=A249),1,0))</f>
        <v/>
      </c>
      <c r="AU249" s="137" t="str">
        <f aca="false">IF(A250="","",AO249*AT249)</f>
        <v/>
      </c>
      <c r="AW249" s="195" t="str">
        <f aca="false">IF($A250="","",AL249*$E249)</f>
        <v/>
      </c>
      <c r="AX249" s="195" t="str">
        <f aca="false">IF($A250="","",AM249*$E249)</f>
        <v/>
      </c>
      <c r="AY249" s="195" t="str">
        <f aca="false">IF($A250="","",AN249*$E249)</f>
        <v/>
      </c>
      <c r="BA249" s="195" t="str">
        <f aca="false">IF($A250="","",F249*Summary!$Q$12)</f>
        <v/>
      </c>
    </row>
    <row r="250" customFormat="false" ht="12" hidden="false" customHeight="true" outlineLevel="0" collapsed="false">
      <c r="A250" s="196" t="str">
        <f aca="false">IF(A249&lt;mthend,EDATE(A249,1),"")</f>
        <v/>
      </c>
      <c r="B250" s="197" t="str">
        <f aca="false">IF(A250&lt;mthend,B249,"")</f>
        <v/>
      </c>
      <c r="C250" s="215"/>
      <c r="D250" s="197" t="str">
        <f aca="false">IF(A251&lt;&gt;"",B250+C250,"")</f>
        <v/>
      </c>
      <c r="E250" s="199" t="str">
        <f aca="false">IF(A251="","",IF(AND(AT250=1,$H$3=1),D250*AO250,IF($H$3=2,D250,"N/A")))</f>
        <v/>
      </c>
      <c r="F250" s="199" t="str">
        <f aca="false">IF(A251="","",E250*AS250)</f>
        <v/>
      </c>
      <c r="G250" s="200" t="str">
        <f aca="false">IF($A251="","",VLOOKUP($A250,Table,MATCH(G$4,Curves,0)))</f>
        <v/>
      </c>
      <c r="H250" s="201" t="str">
        <f aca="false">IF(A251="","",G250)</f>
        <v/>
      </c>
      <c r="I250" s="202"/>
      <c r="J250" s="200" t="str">
        <f aca="false">IF($A251="","",VLOOKUP($A250,Table,MATCH(J$4,Curves,0)))</f>
        <v/>
      </c>
      <c r="K250" s="201" t="str">
        <f aca="false">IF(A251="","",J250)</f>
        <v/>
      </c>
      <c r="L250" s="200" t="str">
        <f aca="false">IF($A251="","",VLOOKUP($A250,Table,MATCH(L$4,Curves,0)))</f>
        <v/>
      </c>
      <c r="M250" s="201" t="str">
        <f aca="false">IF(A251="","",L250)</f>
        <v/>
      </c>
      <c r="N250" s="203"/>
      <c r="O250" s="200" t="str">
        <f aca="false">IF(A251="","",L250+J250+G250)</f>
        <v/>
      </c>
      <c r="P250" s="200" t="str">
        <f aca="false">IF(A251="","",M250+K250+H250)</f>
        <v/>
      </c>
      <c r="Q250" s="204"/>
      <c r="R250" s="200" t="str">
        <f aca="false">IF($A251="","",VLOOKUP($A250,Table,MATCH(R$4,Curves,0)))</f>
        <v/>
      </c>
      <c r="S250" s="201" t="str">
        <f aca="false">IF(A251="","",R250)</f>
        <v/>
      </c>
      <c r="T250" s="200" t="str">
        <f aca="false">IF($A251="","",VLOOKUP($A250,Table,MATCH(T$4,Curves,0)))</f>
        <v/>
      </c>
      <c r="U250" s="201" t="str">
        <f aca="false">IF(A251="","",T250)</f>
        <v/>
      </c>
      <c r="V250" s="225" t="str">
        <f aca="false">IF($A251="","",IF(AND(MONTH(A250)&gt;3,MONTH(A250)&lt;11),(T250+R250+G250)*(((1/(1-Summary!$T$12))/(1-Summary!$W$12))-1),(T250+R250+G250)*((1/(1-Summary!$U$12))/(1-Summary!$X$12)-1)))</f>
        <v/>
      </c>
      <c r="W250" s="200" t="str">
        <f aca="false">IF($A251="","",(T250+R250+G250+V250))</f>
        <v/>
      </c>
      <c r="X250" s="200" t="str">
        <f aca="false">IF($A251="","",(U250+S250+H250+V250))</f>
        <v/>
      </c>
      <c r="Y250" s="202"/>
      <c r="Z250" s="185" t="str">
        <f aca="false">IF($A251="","",VLOOKUP($A250,Table,MATCH(Z$4,Curves,0)))</f>
        <v/>
      </c>
      <c r="AA250" s="185" t="str">
        <f aca="false">IF($A251="","",VLOOKUP($A250,Table,MATCH(AA$4,Curves,0)))</f>
        <v/>
      </c>
      <c r="AB250" s="185" t="e">
        <f aca="false">SQRT((AA250^2*(A250-$D$3)+Z250^2*(DAY(EOMONTH(A250,0))/2))/AK250)</f>
        <v>#VALUE!</v>
      </c>
      <c r="AC250" s="185" t="str">
        <f aca="false">IF($A251="","",VLOOKUP($A250,Table,MATCH(AC$4,Curves,0)))</f>
        <v/>
      </c>
      <c r="AD250" s="185" t="str">
        <f aca="false">IF($A251="","",VLOOKUP($A250,Table,MATCH(AD$4,Curves,0)))</f>
        <v/>
      </c>
      <c r="AE250" s="185" t="e">
        <f aca="false">SQRT((AD250^2*(A250-$D$3)+AC250^2*(DAY(EOMONTH(A250,0))/2))/AK250)</f>
        <v>#VALUE!</v>
      </c>
      <c r="AF250" s="206" t="e">
        <f aca="false">((Summary!$N$12*(AA250*AD250)*(A250-$D$3))+(Summary!$M$12*Z250*AC250*(AJ250-EOMONTH(EDATE(A250,-1),0))))/(AK250*AB250*AE250)</f>
        <v>#VALUE!</v>
      </c>
      <c r="AG250" s="207" t="str">
        <f aca="false">IF($A251="","",Summary!$Q$12)</f>
        <v/>
      </c>
      <c r="AH250" s="207" t="str">
        <f aca="false">IF($A251="","",IF(Summary!$R$12="Y",(VLOOKUP($A250,Summary!$AD$6:$AF$9,3)+'Escalating commodity'!H263),'Escalating commodity'!H263))</f>
        <v/>
      </c>
      <c r="AI250" s="207" t="str">
        <f aca="false">IF($A251="","",AH250)</f>
        <v/>
      </c>
      <c r="AJ250" s="208" t="e">
        <f aca="false">A250+DAY(EOMONTH(A250,0))/2-1</f>
        <v>#VALUE!</v>
      </c>
      <c r="AK250" s="209" t="str">
        <f aca="false">IF($A251="","",$A250-$E$1)</f>
        <v/>
      </c>
      <c r="AL250" s="182" t="str">
        <f aca="false">IF($A251="","",SPRDOPT(P250,X250,AI250,0,AB250,AE250,AF250,AK250,$AJ$2,0))</f>
        <v/>
      </c>
      <c r="AM250" s="211" t="str">
        <f aca="false">IF($A251="","",MAX(0,O250-W250-AI250))</f>
        <v/>
      </c>
      <c r="AN250" s="211" t="str">
        <f aca="false">IF($A251="","",AL250-AM250)</f>
        <v/>
      </c>
      <c r="AO250" s="137" t="str">
        <f aca="false">IF(A251="","",A251-A250)</f>
        <v/>
      </c>
      <c r="AP250" s="212" t="str">
        <f aca="false">IF(A251="","",CHOOSE(F$3,A251+24,A250))</f>
        <v/>
      </c>
      <c r="AQ250" s="209" t="str">
        <f aca="false">IF(A251="","",AP250-$E$1)</f>
        <v/>
      </c>
      <c r="AR250" s="185" t="n">
        <f aca="false">'ANR OK vs ML7'!AR250</f>
        <v>0.1</v>
      </c>
      <c r="AS250" s="213" t="str">
        <f aca="false">IF(A251="","",1/(1+CHOOSE(F$3,(AR251+($I$3/10000))/2,(AR250+($I$3/10000))/2))^(2*AQ250/365.25))</f>
        <v/>
      </c>
      <c r="AT250" s="137" t="str">
        <f aca="false">IF(A251="","",IF(AND(mthbeg&lt;=A250,mthend&gt;=A250),1,0))</f>
        <v/>
      </c>
      <c r="AU250" s="137" t="str">
        <f aca="false">IF(A251="","",AO250*AT250)</f>
        <v/>
      </c>
      <c r="AW250" s="195" t="str">
        <f aca="false">IF($A251="","",AL250*$E250)</f>
        <v/>
      </c>
      <c r="AX250" s="195" t="str">
        <f aca="false">IF($A251="","",AM250*$E250)</f>
        <v/>
      </c>
      <c r="AY250" s="195" t="str">
        <f aca="false">IF($A251="","",AN250*$E250)</f>
        <v/>
      </c>
      <c r="BA250" s="195" t="str">
        <f aca="false">IF($A251="","",F250*Summary!$Q$12)</f>
        <v/>
      </c>
    </row>
    <row r="251" customFormat="false" ht="12" hidden="false" customHeight="true" outlineLevel="0" collapsed="false">
      <c r="A251" s="196" t="str">
        <f aca="false">IF(A250&lt;mthend,EDATE(A250,1),"")</f>
        <v/>
      </c>
      <c r="B251" s="197" t="str">
        <f aca="false">IF(A251&lt;mthend,B250,"")</f>
        <v/>
      </c>
      <c r="C251" s="215"/>
      <c r="D251" s="197" t="str">
        <f aca="false">IF(A252&lt;&gt;"",B251+C251,"")</f>
        <v/>
      </c>
      <c r="E251" s="199" t="str">
        <f aca="false">IF(A252="","",IF(AND(AT251=1,$H$3=1),D251*AO251,IF($H$3=2,D251,"N/A")))</f>
        <v/>
      </c>
      <c r="F251" s="199" t="str">
        <f aca="false">IF(A252="","",E251*AS251)</f>
        <v/>
      </c>
      <c r="G251" s="200" t="str">
        <f aca="false">IF($A252="","",VLOOKUP($A251,Table,MATCH(G$4,Curves,0)))</f>
        <v/>
      </c>
      <c r="H251" s="201" t="str">
        <f aca="false">IF(A252="","",G251)</f>
        <v/>
      </c>
      <c r="I251" s="202"/>
      <c r="J251" s="200" t="str">
        <f aca="false">IF($A252="","",VLOOKUP($A251,Table,MATCH(J$4,Curves,0)))</f>
        <v/>
      </c>
      <c r="K251" s="201" t="str">
        <f aca="false">IF(A252="","",J251)</f>
        <v/>
      </c>
      <c r="L251" s="200" t="str">
        <f aca="false">IF($A252="","",VLOOKUP($A251,Table,MATCH(L$4,Curves,0)))</f>
        <v/>
      </c>
      <c r="M251" s="201" t="str">
        <f aca="false">IF(A252="","",L251)</f>
        <v/>
      </c>
      <c r="N251" s="203"/>
      <c r="O251" s="200" t="str">
        <f aca="false">IF(A252="","",L251+J251+G251)</f>
        <v/>
      </c>
      <c r="P251" s="200" t="str">
        <f aca="false">IF(A252="","",M251+K251+H251)</f>
        <v/>
      </c>
      <c r="Q251" s="204"/>
      <c r="R251" s="200" t="str">
        <f aca="false">IF($A252="","",VLOOKUP($A251,Table,MATCH(R$4,Curves,0)))</f>
        <v/>
      </c>
      <c r="S251" s="201" t="str">
        <f aca="false">IF(A252="","",R251)</f>
        <v/>
      </c>
      <c r="T251" s="200" t="str">
        <f aca="false">IF($A252="","",VLOOKUP($A251,Table,MATCH(T$4,Curves,0)))</f>
        <v/>
      </c>
      <c r="U251" s="201" t="str">
        <f aca="false">IF(A252="","",T251)</f>
        <v/>
      </c>
      <c r="V251" s="225" t="str">
        <f aca="false">IF($A252="","",IF(AND(MONTH(A251)&gt;3,MONTH(A251)&lt;11),(T251+R251+G251)*(((1/(1-Summary!$T$12))/(1-Summary!$W$12))-1),(T251+R251+G251)*((1/(1-Summary!$U$12))/(1-Summary!$X$12)-1)))</f>
        <v/>
      </c>
      <c r="W251" s="200" t="str">
        <f aca="false">IF($A252="","",(T251+R251+G251+V251))</f>
        <v/>
      </c>
      <c r="X251" s="200" t="str">
        <f aca="false">IF($A252="","",(U251+S251+H251+V251))</f>
        <v/>
      </c>
      <c r="Y251" s="202"/>
      <c r="Z251" s="185" t="str">
        <f aca="false">IF($A252="","",VLOOKUP($A251,Table,MATCH(Z$4,Curves,0)))</f>
        <v/>
      </c>
      <c r="AA251" s="185" t="str">
        <f aca="false">IF($A252="","",VLOOKUP($A251,Table,MATCH(AA$4,Curves,0)))</f>
        <v/>
      </c>
      <c r="AB251" s="185" t="e">
        <f aca="false">SQRT((AA251^2*(A251-$D$3)+Z251^2*(DAY(EOMONTH(A251,0))/2))/AK251)</f>
        <v>#VALUE!</v>
      </c>
      <c r="AC251" s="185" t="str">
        <f aca="false">IF($A252="","",VLOOKUP($A251,Table,MATCH(AC$4,Curves,0)))</f>
        <v/>
      </c>
      <c r="AD251" s="185" t="str">
        <f aca="false">IF($A252="","",VLOOKUP($A251,Table,MATCH(AD$4,Curves,0)))</f>
        <v/>
      </c>
      <c r="AE251" s="185" t="e">
        <f aca="false">SQRT((AD251^2*(A251-$D$3)+AC251^2*(DAY(EOMONTH(A251,0))/2))/AK251)</f>
        <v>#VALUE!</v>
      </c>
      <c r="AF251" s="206" t="e">
        <f aca="false">((Summary!$N$12*(AA251*AD251)*(A251-$D$3))+(Summary!$M$12*Z251*AC251*(AJ251-EOMONTH(EDATE(A251,-1),0))))/(AK251*AB251*AE251)</f>
        <v>#VALUE!</v>
      </c>
      <c r="AG251" s="207" t="str">
        <f aca="false">IF($A252="","",Summary!$Q$12)</f>
        <v/>
      </c>
      <c r="AH251" s="207" t="str">
        <f aca="false">IF($A252="","",IF(Summary!$R$12="Y",(VLOOKUP($A251,Summary!$AD$6:$AF$9,3)+'Escalating commodity'!H264),'Escalating commodity'!H264))</f>
        <v/>
      </c>
      <c r="AI251" s="207" t="str">
        <f aca="false">IF($A252="","",AH251)</f>
        <v/>
      </c>
      <c r="AJ251" s="208" t="e">
        <f aca="false">A251+DAY(EOMONTH(A251,0))/2-1</f>
        <v>#VALUE!</v>
      </c>
      <c r="AK251" s="209" t="str">
        <f aca="false">IF($A252="","",$A251-$E$1)</f>
        <v/>
      </c>
      <c r="AL251" s="182" t="str">
        <f aca="false">IF($A252="","",SPRDOPT(P251,X251,AI251,0,AB251,AE251,AF251,AK251,$AJ$2,0))</f>
        <v/>
      </c>
      <c r="AM251" s="211" t="str">
        <f aca="false">IF($A252="","",MAX(0,O251-W251-AI251))</f>
        <v/>
      </c>
      <c r="AN251" s="211" t="str">
        <f aca="false">IF($A252="","",AL251-AM251)</f>
        <v/>
      </c>
      <c r="AO251" s="137" t="str">
        <f aca="false">IF(A252="","",A252-A251)</f>
        <v/>
      </c>
      <c r="AP251" s="212" t="str">
        <f aca="false">IF(A252="","",CHOOSE(F$3,A252+24,A251))</f>
        <v/>
      </c>
      <c r="AQ251" s="209" t="str">
        <f aca="false">IF(A252="","",AP251-$E$1)</f>
        <v/>
      </c>
      <c r="AR251" s="185" t="n">
        <f aca="false">'ANR OK vs ML7'!AR251</f>
        <v>0.1</v>
      </c>
      <c r="AS251" s="213" t="str">
        <f aca="false">IF(A252="","",1/(1+CHOOSE(F$3,(AR252+($I$3/10000))/2,(AR251+($I$3/10000))/2))^(2*AQ251/365.25))</f>
        <v/>
      </c>
      <c r="AT251" s="137" t="str">
        <f aca="false">IF(A252="","",IF(AND(mthbeg&lt;=A251,mthend&gt;=A251),1,0))</f>
        <v/>
      </c>
      <c r="AU251" s="137" t="str">
        <f aca="false">IF(A252="","",AO251*AT251)</f>
        <v/>
      </c>
      <c r="AW251" s="195" t="str">
        <f aca="false">IF($A252="","",AL251*$E251)</f>
        <v/>
      </c>
      <c r="AX251" s="195" t="str">
        <f aca="false">IF($A252="","",AM251*$E251)</f>
        <v/>
      </c>
      <c r="AY251" s="195" t="str">
        <f aca="false">IF($A252="","",AN251*$E251)</f>
        <v/>
      </c>
      <c r="BA251" s="195" t="str">
        <f aca="false">IF($A252="","",F251*Summary!$Q$12)</f>
        <v/>
      </c>
    </row>
    <row r="252" customFormat="false" ht="12" hidden="false" customHeight="true" outlineLevel="0" collapsed="false">
      <c r="A252" s="196" t="str">
        <f aca="false">IF(A251&lt;mthend,EDATE(A251,1),"")</f>
        <v/>
      </c>
      <c r="B252" s="197" t="str">
        <f aca="false">IF(A252&lt;mthend,B251,"")</f>
        <v/>
      </c>
      <c r="C252" s="215"/>
      <c r="D252" s="197" t="str">
        <f aca="false">IF(A253&lt;&gt;"",B252+C252,"")</f>
        <v/>
      </c>
      <c r="E252" s="199" t="str">
        <f aca="false">IF(A253="","",IF(AND(AT252=1,$H$3=1),D252*AO252,IF($H$3=2,D252,"N/A")))</f>
        <v/>
      </c>
      <c r="F252" s="199" t="str">
        <f aca="false">IF(A253="","",E252*AS252)</f>
        <v/>
      </c>
      <c r="G252" s="200" t="str">
        <f aca="false">IF($A253="","",VLOOKUP($A252,Table,MATCH(G$4,Curves,0)))</f>
        <v/>
      </c>
      <c r="H252" s="201" t="str">
        <f aca="false">IF(A253="","",G252)</f>
        <v/>
      </c>
      <c r="I252" s="202"/>
      <c r="J252" s="200" t="str">
        <f aca="false">IF($A253="","",VLOOKUP($A252,Table,MATCH(J$4,Curves,0)))</f>
        <v/>
      </c>
      <c r="K252" s="201" t="str">
        <f aca="false">IF(A253="","",J252)</f>
        <v/>
      </c>
      <c r="L252" s="200" t="str">
        <f aca="false">IF($A253="","",VLOOKUP($A252,Table,MATCH(L$4,Curves,0)))</f>
        <v/>
      </c>
      <c r="M252" s="201" t="str">
        <f aca="false">IF(A253="","",L252)</f>
        <v/>
      </c>
      <c r="N252" s="203"/>
      <c r="O252" s="200" t="str">
        <f aca="false">IF(A253="","",L252+J252+G252)</f>
        <v/>
      </c>
      <c r="P252" s="200" t="str">
        <f aca="false">IF(A253="","",M252+K252+H252)</f>
        <v/>
      </c>
      <c r="Q252" s="204"/>
      <c r="R252" s="200" t="str">
        <f aca="false">IF($A253="","",VLOOKUP($A252,Table,MATCH(R$4,Curves,0)))</f>
        <v/>
      </c>
      <c r="S252" s="201" t="str">
        <f aca="false">IF(A253="","",R252)</f>
        <v/>
      </c>
      <c r="T252" s="200" t="str">
        <f aca="false">IF($A253="","",VLOOKUP($A252,Table,MATCH(T$4,Curves,0)))</f>
        <v/>
      </c>
      <c r="U252" s="201" t="str">
        <f aca="false">IF(A253="","",T252)</f>
        <v/>
      </c>
      <c r="V252" s="225" t="str">
        <f aca="false">IF($A253="","",IF(AND(MONTH(A252)&gt;3,MONTH(A252)&lt;11),(T252+R252+G252)*(((1/(1-Summary!$T$12))/(1-Summary!$W$12))-1),(T252+R252+G252)*((1/(1-Summary!$U$12))/(1-Summary!$X$12)-1)))</f>
        <v/>
      </c>
      <c r="W252" s="200" t="str">
        <f aca="false">IF($A253="","",(T252+R252+G252+V252))</f>
        <v/>
      </c>
      <c r="X252" s="200" t="str">
        <f aca="false">IF($A253="","",(U252+S252+H252+V252))</f>
        <v/>
      </c>
      <c r="Y252" s="202"/>
      <c r="Z252" s="185" t="str">
        <f aca="false">IF($A253="","",VLOOKUP($A252,Table,MATCH(Z$4,Curves,0)))</f>
        <v/>
      </c>
      <c r="AA252" s="185" t="str">
        <f aca="false">IF($A253="","",VLOOKUP($A252,Table,MATCH(AA$4,Curves,0)))</f>
        <v/>
      </c>
      <c r="AB252" s="185" t="e">
        <f aca="false">SQRT((AA252^2*(A252-$D$3)+Z252^2*(DAY(EOMONTH(A252,0))/2))/AK252)</f>
        <v>#VALUE!</v>
      </c>
      <c r="AC252" s="185" t="str">
        <f aca="false">IF($A253="","",VLOOKUP($A252,Table,MATCH(AC$4,Curves,0)))</f>
        <v/>
      </c>
      <c r="AD252" s="185" t="str">
        <f aca="false">IF($A253="","",VLOOKUP($A252,Table,MATCH(AD$4,Curves,0)))</f>
        <v/>
      </c>
      <c r="AE252" s="185" t="e">
        <f aca="false">SQRT((AD252^2*(A252-$D$3)+AC252^2*(DAY(EOMONTH(A252,0))/2))/AK252)</f>
        <v>#VALUE!</v>
      </c>
      <c r="AF252" s="206" t="e">
        <f aca="false">((Summary!$N$12*(AA252*AD252)*(A252-$D$3))+(Summary!$M$12*Z252*AC252*(AJ252-EOMONTH(EDATE(A252,-1),0))))/(AK252*AB252*AE252)</f>
        <v>#VALUE!</v>
      </c>
      <c r="AG252" s="207" t="str">
        <f aca="false">IF($A253="","",Summary!$Q$12)</f>
        <v/>
      </c>
      <c r="AH252" s="207" t="str">
        <f aca="false">IF($A253="","",IF(Summary!$R$12="Y",(VLOOKUP($A252,Summary!$AD$6:$AF$9,3)+'Escalating commodity'!H265),'Escalating commodity'!H265))</f>
        <v/>
      </c>
      <c r="AI252" s="207" t="str">
        <f aca="false">IF($A253="","",AH252)</f>
        <v/>
      </c>
      <c r="AJ252" s="208" t="e">
        <f aca="false">A252+DAY(EOMONTH(A252,0))/2-1</f>
        <v>#VALUE!</v>
      </c>
      <c r="AK252" s="209" t="str">
        <f aca="false">IF($A253="","",$A252-$E$1)</f>
        <v/>
      </c>
      <c r="AL252" s="182" t="str">
        <f aca="false">IF($A253="","",SPRDOPT(P252,X252,AI252,0,AB252,AE252,AF252,AK252,$AJ$2,0))</f>
        <v/>
      </c>
      <c r="AM252" s="211" t="str">
        <f aca="false">IF($A253="","",MAX(0,O252-W252-AI252))</f>
        <v/>
      </c>
      <c r="AN252" s="211" t="str">
        <f aca="false">IF($A253="","",AL252-AM252)</f>
        <v/>
      </c>
      <c r="AO252" s="137" t="str">
        <f aca="false">IF(A253="","",A253-A252)</f>
        <v/>
      </c>
      <c r="AP252" s="212" t="str">
        <f aca="false">IF(A253="","",CHOOSE(F$3,A253+24,A252))</f>
        <v/>
      </c>
      <c r="AQ252" s="209" t="str">
        <f aca="false">IF(A253="","",AP252-$E$1)</f>
        <v/>
      </c>
      <c r="AR252" s="185" t="n">
        <f aca="false">'ANR OK vs ML7'!AR252</f>
        <v>0.1</v>
      </c>
      <c r="AS252" s="213" t="str">
        <f aca="false">IF(A253="","",1/(1+CHOOSE(F$3,(AR253+($I$3/10000))/2,(AR252+($I$3/10000))/2))^(2*AQ252/365.25))</f>
        <v/>
      </c>
      <c r="AT252" s="137" t="str">
        <f aca="false">IF(A253="","",IF(AND(mthbeg&lt;=A252,mthend&gt;=A252),1,0))</f>
        <v/>
      </c>
      <c r="AU252" s="137" t="str">
        <f aca="false">IF(A253="","",AO252*AT252)</f>
        <v/>
      </c>
      <c r="AW252" s="195" t="str">
        <f aca="false">IF($A253="","",AL252*$E252)</f>
        <v/>
      </c>
      <c r="AX252" s="195" t="str">
        <f aca="false">IF($A253="","",AM252*$E252)</f>
        <v/>
      </c>
      <c r="AY252" s="195" t="str">
        <f aca="false">IF($A253="","",AN252*$E252)</f>
        <v/>
      </c>
      <c r="BA252" s="195" t="str">
        <f aca="false">IF($A253="","",F252*Summary!$Q$12)</f>
        <v/>
      </c>
    </row>
    <row r="253" customFormat="false" ht="12" hidden="false" customHeight="true" outlineLevel="0" collapsed="false">
      <c r="A253" s="196" t="str">
        <f aca="false">IF(A252&lt;mthend,EDATE(A252,1),"")</f>
        <v/>
      </c>
      <c r="B253" s="197" t="str">
        <f aca="false">IF(A253&lt;mthend,B252,"")</f>
        <v/>
      </c>
      <c r="C253" s="215"/>
      <c r="D253" s="197" t="str">
        <f aca="false">IF(A254&lt;&gt;"",B253+C253,"")</f>
        <v/>
      </c>
      <c r="E253" s="199" t="str">
        <f aca="false">IF(A254="","",IF(AND(AT253=1,$H$3=1),D253*AO253,IF($H$3=2,D253,"N/A")))</f>
        <v/>
      </c>
      <c r="F253" s="199" t="str">
        <f aca="false">IF(A254="","",E253*AS253)</f>
        <v/>
      </c>
      <c r="G253" s="200" t="str">
        <f aca="false">IF($A254="","",VLOOKUP($A253,Table,MATCH(G$4,Curves,0)))</f>
        <v/>
      </c>
      <c r="H253" s="201" t="str">
        <f aca="false">IF(A254="","",G253)</f>
        <v/>
      </c>
      <c r="I253" s="202"/>
      <c r="J253" s="200" t="str">
        <f aca="false">IF($A254="","",VLOOKUP($A253,Table,MATCH(J$4,Curves,0)))</f>
        <v/>
      </c>
      <c r="K253" s="201" t="str">
        <f aca="false">IF(A254="","",J253)</f>
        <v/>
      </c>
      <c r="L253" s="200" t="str">
        <f aca="false">IF($A254="","",VLOOKUP($A253,Table,MATCH(L$4,Curves,0)))</f>
        <v/>
      </c>
      <c r="M253" s="201" t="str">
        <f aca="false">IF(A254="","",L253)</f>
        <v/>
      </c>
      <c r="N253" s="203"/>
      <c r="O253" s="200" t="str">
        <f aca="false">IF(A254="","",L253+J253+G253)</f>
        <v/>
      </c>
      <c r="P253" s="200" t="str">
        <f aca="false">IF(A254="","",M253+K253+H253)</f>
        <v/>
      </c>
      <c r="Q253" s="204"/>
      <c r="R253" s="200" t="str">
        <f aca="false">IF($A254="","",VLOOKUP($A253,Table,MATCH(R$4,Curves,0)))</f>
        <v/>
      </c>
      <c r="S253" s="201" t="str">
        <f aca="false">IF(A254="","",R253)</f>
        <v/>
      </c>
      <c r="T253" s="200" t="str">
        <f aca="false">IF($A254="","",VLOOKUP($A253,Table,MATCH(T$4,Curves,0)))</f>
        <v/>
      </c>
      <c r="U253" s="201" t="str">
        <f aca="false">IF(A254="","",T253)</f>
        <v/>
      </c>
      <c r="V253" s="225" t="str">
        <f aca="false">IF($A254="","",IF(AND(MONTH(A253)&gt;3,MONTH(A253)&lt;11),(T253+R253+G253)*(((1/(1-Summary!$T$12))/(1-Summary!$W$12))-1),(T253+R253+G253)*((1/(1-Summary!$U$12))/(1-Summary!$X$12)-1)))</f>
        <v/>
      </c>
      <c r="W253" s="200" t="str">
        <f aca="false">IF($A254="","",(T253+R253+G253+V253))</f>
        <v/>
      </c>
      <c r="X253" s="200" t="str">
        <f aca="false">IF($A254="","",(U253+S253+H253+V253))</f>
        <v/>
      </c>
      <c r="Y253" s="202"/>
      <c r="Z253" s="185" t="str">
        <f aca="false">IF($A254="","",VLOOKUP($A253,Table,MATCH(Z$4,Curves,0)))</f>
        <v/>
      </c>
      <c r="AA253" s="185" t="str">
        <f aca="false">IF($A254="","",VLOOKUP($A253,Table,MATCH(AA$4,Curves,0)))</f>
        <v/>
      </c>
      <c r="AB253" s="185" t="e">
        <f aca="false">SQRT((AA253^2*(A253-$D$3)+Z253^2*(DAY(EOMONTH(A253,0))/2))/AK253)</f>
        <v>#VALUE!</v>
      </c>
      <c r="AC253" s="185" t="str">
        <f aca="false">IF($A254="","",VLOOKUP($A253,Table,MATCH(AC$4,Curves,0)))</f>
        <v/>
      </c>
      <c r="AD253" s="185" t="str">
        <f aca="false">IF($A254="","",VLOOKUP($A253,Table,MATCH(AD$4,Curves,0)))</f>
        <v/>
      </c>
      <c r="AE253" s="185" t="e">
        <f aca="false">SQRT((AD253^2*(A253-$D$3)+AC253^2*(DAY(EOMONTH(A253,0))/2))/AK253)</f>
        <v>#VALUE!</v>
      </c>
      <c r="AF253" s="206" t="e">
        <f aca="false">((Summary!$N$12*(AA253*AD253)*(A253-$D$3))+(Summary!$M$12*Z253*AC253*(AJ253-EOMONTH(EDATE(A253,-1),0))))/(AK253*AB253*AE253)</f>
        <v>#VALUE!</v>
      </c>
      <c r="AG253" s="207" t="str">
        <f aca="false">IF($A254="","",Summary!$Q$12)</f>
        <v/>
      </c>
      <c r="AH253" s="207" t="str">
        <f aca="false">IF($A254="","",IF(Summary!$R$12="Y",(VLOOKUP($A253,Summary!$AD$6:$AF$9,3)+'Escalating commodity'!H266),'Escalating commodity'!H266))</f>
        <v/>
      </c>
      <c r="AI253" s="207" t="str">
        <f aca="false">IF($A254="","",AH253)</f>
        <v/>
      </c>
      <c r="AJ253" s="208" t="e">
        <f aca="false">A253+DAY(EOMONTH(A253,0))/2-1</f>
        <v>#VALUE!</v>
      </c>
      <c r="AK253" s="209" t="str">
        <f aca="false">IF($A254="","",$A253-$E$1)</f>
        <v/>
      </c>
      <c r="AL253" s="182" t="str">
        <f aca="false">IF($A254="","",SPRDOPT(P253,X253,AI253,0,AB253,AE253,AF253,AK253,$AJ$2,0))</f>
        <v/>
      </c>
      <c r="AM253" s="211" t="str">
        <f aca="false">IF($A254="","",MAX(0,O253-W253-AI253))</f>
        <v/>
      </c>
      <c r="AN253" s="211" t="str">
        <f aca="false">IF($A254="","",AL253-AM253)</f>
        <v/>
      </c>
      <c r="AO253" s="137" t="str">
        <f aca="false">IF(A254="","",A254-A253)</f>
        <v/>
      </c>
      <c r="AP253" s="212" t="str">
        <f aca="false">IF(A254="","",CHOOSE(F$3,A254+24,A253))</f>
        <v/>
      </c>
      <c r="AQ253" s="209" t="str">
        <f aca="false">IF(A254="","",AP253-$E$1)</f>
        <v/>
      </c>
      <c r="AR253" s="185" t="n">
        <f aca="false">'ANR OK vs ML7'!AR253</f>
        <v>0.1</v>
      </c>
      <c r="AS253" s="213" t="str">
        <f aca="false">IF(A254="","",1/(1+CHOOSE(F$3,(AR254+($I$3/10000))/2,(AR253+($I$3/10000))/2))^(2*AQ253/365.25))</f>
        <v/>
      </c>
      <c r="AT253" s="137" t="str">
        <f aca="false">IF(A254="","",IF(AND(mthbeg&lt;=A253,mthend&gt;=A253),1,0))</f>
        <v/>
      </c>
      <c r="AU253" s="137" t="str">
        <f aca="false">IF(A254="","",AO253*AT253)</f>
        <v/>
      </c>
      <c r="AW253" s="195" t="str">
        <f aca="false">IF($A254="","",AL253*$E253)</f>
        <v/>
      </c>
      <c r="AX253" s="195" t="str">
        <f aca="false">IF($A254="","",AM253*$E253)</f>
        <v/>
      </c>
      <c r="AY253" s="195" t="str">
        <f aca="false">IF($A254="","",AN253*$E253)</f>
        <v/>
      </c>
      <c r="BA253" s="195" t="str">
        <f aca="false">IF($A254="","",F253*Summary!$Q$12)</f>
        <v/>
      </c>
    </row>
    <row r="254" customFormat="false" ht="12" hidden="false" customHeight="true" outlineLevel="0" collapsed="false">
      <c r="A254" s="196" t="str">
        <f aca="false">IF(A253&lt;mthend,EDATE(A253,1),"")</f>
        <v/>
      </c>
      <c r="B254" s="197" t="str">
        <f aca="false">IF(A254&lt;mthend,B253,"")</f>
        <v/>
      </c>
      <c r="C254" s="215"/>
      <c r="D254" s="197" t="str">
        <f aca="false">IF(A255&lt;&gt;"",B254+C254,"")</f>
        <v/>
      </c>
      <c r="E254" s="199" t="str">
        <f aca="false">IF(A255="","",IF(AND(AT254=1,$H$3=1),D254*AO254,IF($H$3=2,D254,"N/A")))</f>
        <v/>
      </c>
      <c r="F254" s="199" t="str">
        <f aca="false">IF(A255="","",E254*AS254)</f>
        <v/>
      </c>
      <c r="G254" s="200" t="str">
        <f aca="false">IF($A255="","",VLOOKUP($A254,Table,MATCH(G$4,Curves,0)))</f>
        <v/>
      </c>
      <c r="H254" s="201" t="str">
        <f aca="false">IF(A255="","",G254)</f>
        <v/>
      </c>
      <c r="I254" s="202"/>
      <c r="J254" s="200" t="str">
        <f aca="false">IF($A255="","",VLOOKUP($A254,Table,MATCH(J$4,Curves,0)))</f>
        <v/>
      </c>
      <c r="K254" s="201" t="str">
        <f aca="false">IF(A255="","",J254)</f>
        <v/>
      </c>
      <c r="L254" s="200" t="str">
        <f aca="false">IF($A255="","",VLOOKUP($A254,Table,MATCH(L$4,Curves,0)))</f>
        <v/>
      </c>
      <c r="M254" s="201" t="str">
        <f aca="false">IF(A255="","",L254)</f>
        <v/>
      </c>
      <c r="N254" s="203"/>
      <c r="O254" s="200" t="str">
        <f aca="false">IF(A255="","",L254+J254+G254)</f>
        <v/>
      </c>
      <c r="P254" s="200" t="str">
        <f aca="false">IF(A255="","",M254+K254+H254)</f>
        <v/>
      </c>
      <c r="Q254" s="204"/>
      <c r="R254" s="200" t="str">
        <f aca="false">IF($A255="","",VLOOKUP($A254,Table,MATCH(R$4,Curves,0)))</f>
        <v/>
      </c>
      <c r="S254" s="201" t="str">
        <f aca="false">IF(A255="","",R254)</f>
        <v/>
      </c>
      <c r="T254" s="200" t="str">
        <f aca="false">IF($A255="","",VLOOKUP($A254,Table,MATCH(T$4,Curves,0)))</f>
        <v/>
      </c>
      <c r="U254" s="201" t="str">
        <f aca="false">IF(A255="","",T254)</f>
        <v/>
      </c>
      <c r="V254" s="225" t="str">
        <f aca="false">IF($A255="","",IF(AND(MONTH(A254)&gt;3,MONTH(A254)&lt;11),(T254+R254+G254)*(((1/(1-Summary!$T$12))/(1-Summary!$W$12))-1),(T254+R254+G254)*((1/(1-Summary!$U$12))/(1-Summary!$X$12)-1)))</f>
        <v/>
      </c>
      <c r="W254" s="200" t="str">
        <f aca="false">IF($A255="","",(T254+R254+G254+V254))</f>
        <v/>
      </c>
      <c r="X254" s="200" t="str">
        <f aca="false">IF($A255="","",(U254+S254+H254+V254))</f>
        <v/>
      </c>
      <c r="Y254" s="202"/>
      <c r="Z254" s="185" t="str">
        <f aca="false">IF($A255="","",VLOOKUP($A254,Table,MATCH(Z$4,Curves,0)))</f>
        <v/>
      </c>
      <c r="AA254" s="185" t="str">
        <f aca="false">IF($A255="","",VLOOKUP($A254,Table,MATCH(AA$4,Curves,0)))</f>
        <v/>
      </c>
      <c r="AB254" s="185" t="e">
        <f aca="false">SQRT((AA254^2*(A254-$D$3)+Z254^2*(DAY(EOMONTH(A254,0))/2))/AK254)</f>
        <v>#VALUE!</v>
      </c>
      <c r="AC254" s="185" t="str">
        <f aca="false">IF($A255="","",VLOOKUP($A254,Table,MATCH(AC$4,Curves,0)))</f>
        <v/>
      </c>
      <c r="AD254" s="185" t="str">
        <f aca="false">IF($A255="","",VLOOKUP($A254,Table,MATCH(AD$4,Curves,0)))</f>
        <v/>
      </c>
      <c r="AE254" s="185" t="e">
        <f aca="false">SQRT((AD254^2*(A254-$D$3)+AC254^2*(DAY(EOMONTH(A254,0))/2))/AK254)</f>
        <v>#VALUE!</v>
      </c>
      <c r="AF254" s="206" t="e">
        <f aca="false">((Summary!$N$12*(AA254*AD254)*(A254-$D$3))+(Summary!$M$12*Z254*AC254*(AJ254-EOMONTH(EDATE(A254,-1),0))))/(AK254*AB254*AE254)</f>
        <v>#VALUE!</v>
      </c>
      <c r="AG254" s="207" t="str">
        <f aca="false">IF($A255="","",Summary!$Q$12)</f>
        <v/>
      </c>
      <c r="AH254" s="207" t="str">
        <f aca="false">IF($A255="","",IF(Summary!$R$12="Y",(VLOOKUP($A254,Summary!$AD$6:$AF$9,3)+'Escalating commodity'!H267),'Escalating commodity'!H267))</f>
        <v/>
      </c>
      <c r="AI254" s="207" t="str">
        <f aca="false">IF($A255="","",AH254)</f>
        <v/>
      </c>
      <c r="AJ254" s="208" t="e">
        <f aca="false">A254+DAY(EOMONTH(A254,0))/2-1</f>
        <v>#VALUE!</v>
      </c>
      <c r="AK254" s="209" t="str">
        <f aca="false">IF($A255="","",$A254-$E$1)</f>
        <v/>
      </c>
      <c r="AL254" s="182" t="str">
        <f aca="false">IF($A255="","",SPRDOPT(P254,X254,AI254,0,AB254,AE254,AF254,AK254,$AJ$2,0))</f>
        <v/>
      </c>
      <c r="AM254" s="211" t="str">
        <f aca="false">IF($A255="","",MAX(0,O254-W254-AI254))</f>
        <v/>
      </c>
      <c r="AN254" s="211" t="str">
        <f aca="false">IF($A255="","",AL254-AM254)</f>
        <v/>
      </c>
      <c r="AO254" s="137" t="str">
        <f aca="false">IF(A255="","",A255-A254)</f>
        <v/>
      </c>
      <c r="AP254" s="212" t="str">
        <f aca="false">IF(A255="","",CHOOSE(F$3,A255+24,A254))</f>
        <v/>
      </c>
      <c r="AQ254" s="209" t="str">
        <f aca="false">IF(A255="","",AP254-$E$1)</f>
        <v/>
      </c>
      <c r="AR254" s="185" t="n">
        <f aca="false">'ANR OK vs ML7'!AR254</f>
        <v>0.1</v>
      </c>
      <c r="AS254" s="213" t="str">
        <f aca="false">IF(A255="","",1/(1+CHOOSE(F$3,(AR255+($I$3/10000))/2,(AR254+($I$3/10000))/2))^(2*AQ254/365.25))</f>
        <v/>
      </c>
      <c r="AT254" s="137" t="str">
        <f aca="false">IF(A255="","",IF(AND(mthbeg&lt;=A254,mthend&gt;=A254),1,0))</f>
        <v/>
      </c>
      <c r="AU254" s="137" t="str">
        <f aca="false">IF(A255="","",AO254*AT254)</f>
        <v/>
      </c>
      <c r="AW254" s="195" t="str">
        <f aca="false">IF($A255="","",AL254*$E254)</f>
        <v/>
      </c>
      <c r="AX254" s="195" t="str">
        <f aca="false">IF($A255="","",AM254*$E254)</f>
        <v/>
      </c>
      <c r="AY254" s="195" t="str">
        <f aca="false">IF($A255="","",AN254*$E254)</f>
        <v/>
      </c>
      <c r="BA254" s="195" t="str">
        <f aca="false">IF($A255="","",F254*Summary!$Q$12)</f>
        <v/>
      </c>
    </row>
    <row r="255" customFormat="false" ht="12" hidden="false" customHeight="true" outlineLevel="0" collapsed="false">
      <c r="A255" s="196" t="str">
        <f aca="false">IF(A254&lt;mthend,EDATE(A254,1),"")</f>
        <v/>
      </c>
      <c r="B255" s="197" t="str">
        <f aca="false">IF(A255&lt;mthend,B254,"")</f>
        <v/>
      </c>
      <c r="C255" s="215"/>
      <c r="D255" s="197" t="str">
        <f aca="false">IF(A256&lt;&gt;"",B255+C255,"")</f>
        <v/>
      </c>
      <c r="E255" s="199" t="str">
        <f aca="false">IF(A256="","",IF(AND(AT255=1,$H$3=1),D255*AO255,IF($H$3=2,D255,"N/A")))</f>
        <v/>
      </c>
      <c r="F255" s="199" t="str">
        <f aca="false">IF(A256="","",E255*AS255)</f>
        <v/>
      </c>
      <c r="G255" s="200" t="str">
        <f aca="false">IF($A256="","",VLOOKUP($A255,Table,MATCH(G$4,Curves,0)))</f>
        <v/>
      </c>
      <c r="H255" s="201" t="str">
        <f aca="false">IF(A256="","",G255)</f>
        <v/>
      </c>
      <c r="I255" s="202"/>
      <c r="J255" s="200" t="str">
        <f aca="false">IF($A256="","",VLOOKUP($A255,Table,MATCH(J$4,Curves,0)))</f>
        <v/>
      </c>
      <c r="K255" s="201" t="str">
        <f aca="false">IF(A256="","",J255)</f>
        <v/>
      </c>
      <c r="L255" s="200" t="str">
        <f aca="false">IF($A256="","",VLOOKUP($A255,Table,MATCH(L$4,Curves,0)))</f>
        <v/>
      </c>
      <c r="M255" s="201" t="str">
        <f aca="false">IF(A256="","",L255)</f>
        <v/>
      </c>
      <c r="N255" s="203"/>
      <c r="O255" s="200" t="str">
        <f aca="false">IF(A256="","",L255+J255+G255)</f>
        <v/>
      </c>
      <c r="P255" s="200" t="str">
        <f aca="false">IF(A256="","",M255+K255+H255)</f>
        <v/>
      </c>
      <c r="Q255" s="204"/>
      <c r="R255" s="200" t="str">
        <f aca="false">IF($A256="","",VLOOKUP($A255,Table,MATCH(R$4,Curves,0)))</f>
        <v/>
      </c>
      <c r="S255" s="201" t="str">
        <f aca="false">IF(A256="","",R255)</f>
        <v/>
      </c>
      <c r="T255" s="200" t="str">
        <f aca="false">IF($A256="","",VLOOKUP($A255,Table,MATCH(T$4,Curves,0)))</f>
        <v/>
      </c>
      <c r="U255" s="201" t="str">
        <f aca="false">IF(A256="","",T255)</f>
        <v/>
      </c>
      <c r="V255" s="225" t="str">
        <f aca="false">IF($A256="","",IF(AND(MONTH(A255)&gt;3,MONTH(A255)&lt;11),(T255+R255+G255)*(((1/(1-Summary!$T$12))/(1-Summary!$W$12))-1),(T255+R255+G255)*((1/(1-Summary!$U$12))/(1-Summary!$X$12)-1)))</f>
        <v/>
      </c>
      <c r="W255" s="200" t="str">
        <f aca="false">IF($A256="","",(T255+R255+G255+V255))</f>
        <v/>
      </c>
      <c r="X255" s="200" t="str">
        <f aca="false">IF($A256="","",(U255+S255+H255+V255))</f>
        <v/>
      </c>
      <c r="Y255" s="202"/>
      <c r="Z255" s="185" t="str">
        <f aca="false">IF($A256="","",VLOOKUP($A255,Table,MATCH(Z$4,Curves,0)))</f>
        <v/>
      </c>
      <c r="AA255" s="185" t="str">
        <f aca="false">IF($A256="","",VLOOKUP($A255,Table,MATCH(AA$4,Curves,0)))</f>
        <v/>
      </c>
      <c r="AB255" s="185" t="e">
        <f aca="false">SQRT((AA255^2*(A255-$D$3)+Z255^2*(DAY(EOMONTH(A255,0))/2))/AK255)</f>
        <v>#VALUE!</v>
      </c>
      <c r="AC255" s="185" t="str">
        <f aca="false">IF($A256="","",VLOOKUP($A255,Table,MATCH(AC$4,Curves,0)))</f>
        <v/>
      </c>
      <c r="AD255" s="185" t="str">
        <f aca="false">IF($A256="","",VLOOKUP($A255,Table,MATCH(AD$4,Curves,0)))</f>
        <v/>
      </c>
      <c r="AE255" s="185" t="e">
        <f aca="false">SQRT((AD255^2*(A255-$D$3)+AC255^2*(DAY(EOMONTH(A255,0))/2))/AK255)</f>
        <v>#VALUE!</v>
      </c>
      <c r="AF255" s="206" t="e">
        <f aca="false">((Summary!$N$12*(AA255*AD255)*(A255-$D$3))+(Summary!$M$12*Z255*AC255*(AJ255-EOMONTH(EDATE(A255,-1),0))))/(AK255*AB255*AE255)</f>
        <v>#VALUE!</v>
      </c>
      <c r="AG255" s="207" t="str">
        <f aca="false">IF($A256="","",Summary!$Q$12)</f>
        <v/>
      </c>
      <c r="AH255" s="207" t="str">
        <f aca="false">IF($A256="","",IF(Summary!$R$12="Y",(VLOOKUP($A255,Summary!$AD$6:$AF$9,3)+'Escalating commodity'!H268),'Escalating commodity'!H268))</f>
        <v/>
      </c>
      <c r="AI255" s="207" t="str">
        <f aca="false">IF($A256="","",AH255)</f>
        <v/>
      </c>
      <c r="AJ255" s="208" t="e">
        <f aca="false">A255+DAY(EOMONTH(A255,0))/2-1</f>
        <v>#VALUE!</v>
      </c>
      <c r="AK255" s="209" t="str">
        <f aca="false">IF($A256="","",$A255-$E$1)</f>
        <v/>
      </c>
      <c r="AL255" s="182" t="str">
        <f aca="false">IF($A256="","",SPRDOPT(P255,X255,AI255,0,AB255,AE255,AF255,AK255,$AJ$2,0))</f>
        <v/>
      </c>
      <c r="AM255" s="211" t="str">
        <f aca="false">IF($A256="","",MAX(0,O255-W255-AI255))</f>
        <v/>
      </c>
      <c r="AN255" s="211" t="str">
        <f aca="false">IF($A256="","",AL255-AM255)</f>
        <v/>
      </c>
      <c r="AO255" s="137" t="str">
        <f aca="false">IF(A256="","",A256-A255)</f>
        <v/>
      </c>
      <c r="AP255" s="212" t="str">
        <f aca="false">IF(A256="","",CHOOSE(F$3,A256+24,A255))</f>
        <v/>
      </c>
      <c r="AQ255" s="209" t="str">
        <f aca="false">IF(A256="","",AP255-$E$1)</f>
        <v/>
      </c>
      <c r="AR255" s="185" t="n">
        <f aca="false">'ANR OK vs ML7'!AR255</f>
        <v>0.1</v>
      </c>
      <c r="AS255" s="213" t="str">
        <f aca="false">IF(A256="","",1/(1+CHOOSE(F$3,(AR256+($I$3/10000))/2,(AR255+($I$3/10000))/2))^(2*AQ255/365.25))</f>
        <v/>
      </c>
      <c r="AT255" s="137" t="str">
        <f aca="false">IF(A256="","",IF(AND(mthbeg&lt;=A255,mthend&gt;=A255),1,0))</f>
        <v/>
      </c>
      <c r="AU255" s="137" t="str">
        <f aca="false">IF(A256="","",AO255*AT255)</f>
        <v/>
      </c>
      <c r="AW255" s="195" t="str">
        <f aca="false">IF($A256="","",AL255*$E255)</f>
        <v/>
      </c>
      <c r="AX255" s="195" t="str">
        <f aca="false">IF($A256="","",AM255*$E255)</f>
        <v/>
      </c>
      <c r="AY255" s="195" t="str">
        <f aca="false">IF($A256="","",AN255*$E255)</f>
        <v/>
      </c>
      <c r="BA255" s="195" t="str">
        <f aca="false">IF($A256="","",F255*Summary!$Q$12)</f>
        <v/>
      </c>
    </row>
    <row r="256" customFormat="false" ht="12" hidden="false" customHeight="true" outlineLevel="0" collapsed="false">
      <c r="A256" s="196" t="str">
        <f aca="false">IF(A255&lt;mthend,EDATE(A255,1),"")</f>
        <v/>
      </c>
      <c r="B256" s="197" t="str">
        <f aca="false">IF(A256&lt;mthend,B255,"")</f>
        <v/>
      </c>
      <c r="C256" s="215"/>
      <c r="D256" s="197" t="str">
        <f aca="false">IF(A257&lt;&gt;"",B256+C256,"")</f>
        <v/>
      </c>
      <c r="E256" s="199" t="str">
        <f aca="false">IF(A257="","",IF(AND(AT256=1,$H$3=1),D256*AO256,IF($H$3=2,D256,"N/A")))</f>
        <v/>
      </c>
      <c r="F256" s="199" t="str">
        <f aca="false">IF(A257="","",E256*AS256)</f>
        <v/>
      </c>
      <c r="G256" s="200" t="str">
        <f aca="false">IF($A257="","",VLOOKUP($A256,Table,MATCH(G$4,Curves,0)))</f>
        <v/>
      </c>
      <c r="H256" s="201" t="str">
        <f aca="false">IF(A257="","",G256)</f>
        <v/>
      </c>
      <c r="I256" s="202"/>
      <c r="J256" s="200" t="str">
        <f aca="false">IF($A257="","",VLOOKUP($A256,Table,MATCH(J$4,Curves,0)))</f>
        <v/>
      </c>
      <c r="K256" s="201" t="str">
        <f aca="false">IF(A257="","",J256)</f>
        <v/>
      </c>
      <c r="L256" s="200" t="str">
        <f aca="false">IF($A257="","",VLOOKUP($A256,Table,MATCH(L$4,Curves,0)))</f>
        <v/>
      </c>
      <c r="M256" s="201" t="str">
        <f aca="false">IF(A257="","",L256)</f>
        <v/>
      </c>
      <c r="N256" s="203"/>
      <c r="O256" s="200" t="str">
        <f aca="false">IF(A257="","",L256+J256+G256)</f>
        <v/>
      </c>
      <c r="P256" s="200" t="str">
        <f aca="false">IF(A257="","",M256+K256+H256)</f>
        <v/>
      </c>
      <c r="Q256" s="204"/>
      <c r="R256" s="200" t="str">
        <f aca="false">IF($A257="","",VLOOKUP($A256,Table,MATCH(R$4,Curves,0)))</f>
        <v/>
      </c>
      <c r="S256" s="201" t="str">
        <f aca="false">IF(A257="","",R256)</f>
        <v/>
      </c>
      <c r="T256" s="200" t="str">
        <f aca="false">IF($A257="","",VLOOKUP($A256,Table,MATCH(T$4,Curves,0)))</f>
        <v/>
      </c>
      <c r="U256" s="201" t="str">
        <f aca="false">IF(A257="","",T256)</f>
        <v/>
      </c>
      <c r="V256" s="225" t="str">
        <f aca="false">IF($A257="","",IF(AND(MONTH(A256)&gt;3,MONTH(A256)&lt;11),(T256+R256+G256)*(((1/(1-Summary!$T$12))/(1-Summary!$W$12))-1),(T256+R256+G256)*((1/(1-Summary!$U$12))/(1-Summary!$X$12)-1)))</f>
        <v/>
      </c>
      <c r="W256" s="200" t="str">
        <f aca="false">IF($A257="","",(T256+R256+G256+V256))</f>
        <v/>
      </c>
      <c r="X256" s="200" t="str">
        <f aca="false">IF($A257="","",(U256+S256+H256+V256))</f>
        <v/>
      </c>
      <c r="Y256" s="202"/>
      <c r="Z256" s="185" t="str">
        <f aca="false">IF($A257="","",VLOOKUP($A256,Table,MATCH(Z$4,Curves,0)))</f>
        <v/>
      </c>
      <c r="AA256" s="185" t="str">
        <f aca="false">IF($A257="","",VLOOKUP($A256,Table,MATCH(AA$4,Curves,0)))</f>
        <v/>
      </c>
      <c r="AB256" s="185" t="e">
        <f aca="false">SQRT((AA256^2*(A256-$D$3)+Z256^2*(DAY(EOMONTH(A256,0))/2))/AK256)</f>
        <v>#VALUE!</v>
      </c>
      <c r="AC256" s="185" t="str">
        <f aca="false">IF($A257="","",VLOOKUP($A256,Table,MATCH(AC$4,Curves,0)))</f>
        <v/>
      </c>
      <c r="AD256" s="185" t="str">
        <f aca="false">IF($A257="","",VLOOKUP($A256,Table,MATCH(AD$4,Curves,0)))</f>
        <v/>
      </c>
      <c r="AE256" s="185" t="e">
        <f aca="false">SQRT((AD256^2*(A256-$D$3)+AC256^2*(DAY(EOMONTH(A256,0))/2))/AK256)</f>
        <v>#VALUE!</v>
      </c>
      <c r="AF256" s="206" t="e">
        <f aca="false">((Summary!$N$12*(AA256*AD256)*(A256-$D$3))+(Summary!$M$12*Z256*AC256*(AJ256-EOMONTH(EDATE(A256,-1),0))))/(AK256*AB256*AE256)</f>
        <v>#VALUE!</v>
      </c>
      <c r="AG256" s="207" t="str">
        <f aca="false">IF($A257="","",Summary!$Q$12)</f>
        <v/>
      </c>
      <c r="AH256" s="207" t="str">
        <f aca="false">IF($A257="","",IF(Summary!$R$12="Y",(VLOOKUP($A256,Summary!$AD$6:$AF$9,3)+'Escalating commodity'!H269),'Escalating commodity'!H269))</f>
        <v/>
      </c>
      <c r="AI256" s="207" t="str">
        <f aca="false">IF($A257="","",AH256)</f>
        <v/>
      </c>
      <c r="AJ256" s="208" t="e">
        <f aca="false">A256+DAY(EOMONTH(A256,0))/2-1</f>
        <v>#VALUE!</v>
      </c>
      <c r="AK256" s="209" t="str">
        <f aca="false">IF($A257="","",$A256-$E$1)</f>
        <v/>
      </c>
      <c r="AL256" s="182" t="str">
        <f aca="false">IF($A257="","",SPRDOPT(P256,X256,AI256,0,AB256,AE256,AF256,AK256,$AJ$2,0))</f>
        <v/>
      </c>
      <c r="AM256" s="211" t="str">
        <f aca="false">IF($A257="","",MAX(0,O256-W256-AI256))</f>
        <v/>
      </c>
      <c r="AN256" s="211" t="str">
        <f aca="false">IF($A257="","",AL256-AM256)</f>
        <v/>
      </c>
      <c r="AO256" s="137" t="str">
        <f aca="false">IF(A257="","",A257-A256)</f>
        <v/>
      </c>
      <c r="AP256" s="212" t="str">
        <f aca="false">IF(A257="","",CHOOSE(F$3,A257+24,A256))</f>
        <v/>
      </c>
      <c r="AQ256" s="209" t="str">
        <f aca="false">IF(A257="","",AP256-$E$1)</f>
        <v/>
      </c>
      <c r="AR256" s="185" t="n">
        <f aca="false">'ANR OK vs ML7'!AR256</f>
        <v>0.1</v>
      </c>
      <c r="AS256" s="213" t="str">
        <f aca="false">IF(A257="","",1/(1+CHOOSE(F$3,(AR257+($I$3/10000))/2,(AR256+($I$3/10000))/2))^(2*AQ256/365.25))</f>
        <v/>
      </c>
      <c r="AT256" s="137" t="str">
        <f aca="false">IF(A257="","",IF(AND(mthbeg&lt;=A256,mthend&gt;=A256),1,0))</f>
        <v/>
      </c>
      <c r="AU256" s="137" t="str">
        <f aca="false">IF(A257="","",AO256*AT256)</f>
        <v/>
      </c>
      <c r="AW256" s="195" t="str">
        <f aca="false">IF($A257="","",AL256*$E256)</f>
        <v/>
      </c>
      <c r="AX256" s="195" t="str">
        <f aca="false">IF($A257="","",AM256*$E256)</f>
        <v/>
      </c>
      <c r="AY256" s="195" t="str">
        <f aca="false">IF($A257="","",AN256*$E256)</f>
        <v/>
      </c>
      <c r="BA256" s="195" t="str">
        <f aca="false">IF($A257="","",F256*Summary!$Q$12)</f>
        <v/>
      </c>
    </row>
    <row r="257" customFormat="false" ht="12" hidden="false" customHeight="true" outlineLevel="0" collapsed="false">
      <c r="A257" s="196" t="str">
        <f aca="false">IF(A256&lt;mthend,EDATE(A256,1),"")</f>
        <v/>
      </c>
      <c r="B257" s="197" t="str">
        <f aca="false">IF(A257&lt;mthend,B256,"")</f>
        <v/>
      </c>
      <c r="C257" s="215"/>
      <c r="D257" s="197" t="str">
        <f aca="false">IF(A258&lt;&gt;"",B257+C257,"")</f>
        <v/>
      </c>
      <c r="E257" s="199" t="str">
        <f aca="false">IF(A258="","",IF(AND(AT257=1,$H$3=1),D257*AO257,IF($H$3=2,D257,"N/A")))</f>
        <v/>
      </c>
      <c r="F257" s="199" t="str">
        <f aca="false">IF(A258="","",E257*AS257)</f>
        <v/>
      </c>
      <c r="G257" s="200" t="str">
        <f aca="false">IF($A258="","",VLOOKUP($A257,Table,MATCH(G$4,Curves,0)))</f>
        <v/>
      </c>
      <c r="H257" s="201" t="str">
        <f aca="false">IF(A258="","",G257)</f>
        <v/>
      </c>
      <c r="I257" s="202"/>
      <c r="J257" s="200" t="str">
        <f aca="false">IF($A258="","",VLOOKUP($A257,Table,MATCH(J$4,Curves,0)))</f>
        <v/>
      </c>
      <c r="K257" s="201" t="str">
        <f aca="false">IF(A258="","",J257)</f>
        <v/>
      </c>
      <c r="L257" s="200" t="str">
        <f aca="false">IF($A258="","",VLOOKUP($A257,Table,MATCH(L$4,Curves,0)))</f>
        <v/>
      </c>
      <c r="M257" s="201" t="str">
        <f aca="false">IF(A258="","",L257)</f>
        <v/>
      </c>
      <c r="N257" s="203"/>
      <c r="O257" s="200" t="str">
        <f aca="false">IF(A258="","",L257+J257+G257)</f>
        <v/>
      </c>
      <c r="P257" s="200" t="str">
        <f aca="false">IF(A258="","",M257+K257+H257)</f>
        <v/>
      </c>
      <c r="Q257" s="204"/>
      <c r="R257" s="200" t="str">
        <f aca="false">IF($A258="","",VLOOKUP($A257,Table,MATCH(R$4,Curves,0)))</f>
        <v/>
      </c>
      <c r="S257" s="201" t="str">
        <f aca="false">IF(A258="","",R257)</f>
        <v/>
      </c>
      <c r="T257" s="200" t="str">
        <f aca="false">IF($A258="","",VLOOKUP($A257,Table,MATCH(T$4,Curves,0)))</f>
        <v/>
      </c>
      <c r="U257" s="201" t="str">
        <f aca="false">IF(A258="","",T257)</f>
        <v/>
      </c>
      <c r="V257" s="225" t="str">
        <f aca="false">IF($A258="","",IF(AND(MONTH(A257)&gt;3,MONTH(A257)&lt;11),(T257+R257+G257)*(((1/(1-Summary!$T$12))/(1-Summary!$W$12))-1),(T257+R257+G257)*((1/(1-Summary!$U$12))/(1-Summary!$X$12)-1)))</f>
        <v/>
      </c>
      <c r="W257" s="200" t="str">
        <f aca="false">IF($A258="","",(T257+R257+G257+V257))</f>
        <v/>
      </c>
      <c r="X257" s="200" t="str">
        <f aca="false">IF($A258="","",(U257+S257+H257+V257))</f>
        <v/>
      </c>
      <c r="Y257" s="202"/>
      <c r="Z257" s="185" t="str">
        <f aca="false">IF($A258="","",VLOOKUP($A257,Table,MATCH(Z$4,Curves,0)))</f>
        <v/>
      </c>
      <c r="AA257" s="185" t="str">
        <f aca="false">IF($A258="","",VLOOKUP($A257,Table,MATCH(AA$4,Curves,0)))</f>
        <v/>
      </c>
      <c r="AB257" s="185" t="e">
        <f aca="false">SQRT((AA257^2*(A257-$D$3)+Z257^2*(DAY(EOMONTH(A257,0))/2))/AK257)</f>
        <v>#VALUE!</v>
      </c>
      <c r="AC257" s="185" t="str">
        <f aca="false">IF($A258="","",VLOOKUP($A257,Table,MATCH(AC$4,Curves,0)))</f>
        <v/>
      </c>
      <c r="AD257" s="185" t="str">
        <f aca="false">IF($A258="","",VLOOKUP($A257,Table,MATCH(AD$4,Curves,0)))</f>
        <v/>
      </c>
      <c r="AE257" s="185" t="e">
        <f aca="false">SQRT((AD257^2*(A257-$D$3)+AC257^2*(DAY(EOMONTH(A257,0))/2))/AK257)</f>
        <v>#VALUE!</v>
      </c>
      <c r="AF257" s="206" t="e">
        <f aca="false">((Summary!$N$12*(AA257*AD257)*(A257-$D$3))+(Summary!$M$12*Z257*AC257*(AJ257-EOMONTH(EDATE(A257,-1),0))))/(AK257*AB257*AE257)</f>
        <v>#VALUE!</v>
      </c>
      <c r="AG257" s="207" t="str">
        <f aca="false">IF($A258="","",Summary!$Q$12)</f>
        <v/>
      </c>
      <c r="AH257" s="207" t="str">
        <f aca="false">IF($A258="","",IF(Summary!$R$12="Y",(VLOOKUP($A257,Summary!$AD$6:$AF$9,3)+'Escalating commodity'!H270),'Escalating commodity'!H270))</f>
        <v/>
      </c>
      <c r="AI257" s="207" t="str">
        <f aca="false">IF($A258="","",AH257)</f>
        <v/>
      </c>
      <c r="AJ257" s="208" t="e">
        <f aca="false">A257+DAY(EOMONTH(A257,0))/2-1</f>
        <v>#VALUE!</v>
      </c>
      <c r="AK257" s="209" t="str">
        <f aca="false">IF($A258="","",$A257-$E$1)</f>
        <v/>
      </c>
      <c r="AL257" s="182" t="str">
        <f aca="false">IF($A258="","",SPRDOPT(P257,X257,AI257,0,AB257,AE257,AF257,AK257,$AJ$2,0))</f>
        <v/>
      </c>
      <c r="AM257" s="211" t="str">
        <f aca="false">IF($A258="","",MAX(0,O257-W257-AI257))</f>
        <v/>
      </c>
      <c r="AN257" s="211" t="str">
        <f aca="false">IF($A258="","",AL257-AM257)</f>
        <v/>
      </c>
      <c r="AO257" s="137" t="str">
        <f aca="false">IF(A258="","",A258-A257)</f>
        <v/>
      </c>
      <c r="AP257" s="212" t="str">
        <f aca="false">IF(A258="","",CHOOSE(F$3,A258+24,A257))</f>
        <v/>
      </c>
      <c r="AQ257" s="209" t="str">
        <f aca="false">IF(A258="","",AP257-$E$1)</f>
        <v/>
      </c>
      <c r="AR257" s="185" t="n">
        <f aca="false">'ANR OK vs ML7'!AR257</f>
        <v>0.1</v>
      </c>
      <c r="AS257" s="213" t="str">
        <f aca="false">IF(A258="","",1/(1+CHOOSE(F$3,(AR258+($I$3/10000))/2,(AR257+($I$3/10000))/2))^(2*AQ257/365.25))</f>
        <v/>
      </c>
      <c r="AT257" s="137" t="str">
        <f aca="false">IF(A258="","",IF(AND(mthbeg&lt;=A257,mthend&gt;=A257),1,0))</f>
        <v/>
      </c>
      <c r="AU257" s="137" t="str">
        <f aca="false">IF(A258="","",AO257*AT257)</f>
        <v/>
      </c>
      <c r="AW257" s="195" t="str">
        <f aca="false">IF($A258="","",AL257*$E257)</f>
        <v/>
      </c>
      <c r="AX257" s="195" t="str">
        <f aca="false">IF($A258="","",AM257*$E257)</f>
        <v/>
      </c>
      <c r="AY257" s="195" t="str">
        <f aca="false">IF($A258="","",AN257*$E257)</f>
        <v/>
      </c>
      <c r="BA257" s="195" t="str">
        <f aca="false">IF($A258="","",F257*Summary!$Q$12)</f>
        <v/>
      </c>
    </row>
    <row r="258" customFormat="false" ht="12" hidden="false" customHeight="true" outlineLevel="0" collapsed="false">
      <c r="A258" s="196" t="str">
        <f aca="false">IF(A257&lt;mthend,EDATE(A257,1),"")</f>
        <v/>
      </c>
      <c r="B258" s="197" t="str">
        <f aca="false">IF(A258&lt;mthend,B257,"")</f>
        <v/>
      </c>
      <c r="C258" s="215"/>
      <c r="D258" s="197" t="str">
        <f aca="false">IF(A259&lt;&gt;"",B258+C258,"")</f>
        <v/>
      </c>
      <c r="E258" s="199" t="str">
        <f aca="false">IF(A259="","",IF(AND(AT258=1,$H$3=1),D258*AO258,IF($H$3=2,D258,"N/A")))</f>
        <v/>
      </c>
      <c r="F258" s="199" t="str">
        <f aca="false">IF(A259="","",E258*AS258)</f>
        <v/>
      </c>
      <c r="G258" s="200" t="str">
        <f aca="false">IF($A259="","",VLOOKUP($A258,Table,MATCH(G$4,Curves,0)))</f>
        <v/>
      </c>
      <c r="H258" s="201" t="str">
        <f aca="false">IF(A259="","",G258)</f>
        <v/>
      </c>
      <c r="I258" s="202"/>
      <c r="J258" s="200" t="str">
        <f aca="false">IF($A259="","",VLOOKUP($A258,Table,MATCH(J$4,Curves,0)))</f>
        <v/>
      </c>
      <c r="K258" s="201" t="str">
        <f aca="false">IF(A259="","",J258)</f>
        <v/>
      </c>
      <c r="L258" s="200" t="str">
        <f aca="false">IF($A259="","",VLOOKUP($A258,Table,MATCH(L$4,Curves,0)))</f>
        <v/>
      </c>
      <c r="M258" s="201" t="str">
        <f aca="false">IF(A259="","",L258)</f>
        <v/>
      </c>
      <c r="N258" s="203"/>
      <c r="O258" s="200" t="str">
        <f aca="false">IF(A259="","",L258+J258+G258)</f>
        <v/>
      </c>
      <c r="P258" s="200" t="str">
        <f aca="false">IF(A259="","",M258+K258+H258)</f>
        <v/>
      </c>
      <c r="Q258" s="204"/>
      <c r="R258" s="200" t="str">
        <f aca="false">IF($A259="","",VLOOKUP($A258,Table,MATCH(R$4,Curves,0)))</f>
        <v/>
      </c>
      <c r="S258" s="201" t="str">
        <f aca="false">IF(A259="","",R258)</f>
        <v/>
      </c>
      <c r="T258" s="200" t="str">
        <f aca="false">IF($A259="","",VLOOKUP($A258,Table,MATCH(T$4,Curves,0)))</f>
        <v/>
      </c>
      <c r="U258" s="201" t="str">
        <f aca="false">IF(A259="","",T258)</f>
        <v/>
      </c>
      <c r="V258" s="225" t="str">
        <f aca="false">IF($A259="","",IF(AND(MONTH(A258)&gt;3,MONTH(A258)&lt;11),(T258+R258+G258)*(((1/(1-Summary!$T$12))/(1-Summary!$W$12))-1),(T258+R258+G258)*((1/(1-Summary!$U$12))/(1-Summary!$X$12)-1)))</f>
        <v/>
      </c>
      <c r="W258" s="200" t="str">
        <f aca="false">IF($A259="","",(T258+R258+G258+V258))</f>
        <v/>
      </c>
      <c r="X258" s="200" t="str">
        <f aca="false">IF($A259="","",(U258+S258+H258+V258))</f>
        <v/>
      </c>
      <c r="Y258" s="202"/>
      <c r="Z258" s="185" t="str">
        <f aca="false">IF($A259="","",VLOOKUP($A258,Table,MATCH(Z$4,Curves,0)))</f>
        <v/>
      </c>
      <c r="AA258" s="185" t="str">
        <f aca="false">IF($A259="","",VLOOKUP($A258,Table,MATCH(AA$4,Curves,0)))</f>
        <v/>
      </c>
      <c r="AB258" s="185" t="e">
        <f aca="false">SQRT((AA258^2*(A258-$D$3)+Z258^2*(DAY(EOMONTH(A258,0))/2))/AK258)</f>
        <v>#VALUE!</v>
      </c>
      <c r="AC258" s="185" t="str">
        <f aca="false">IF($A259="","",VLOOKUP($A258,Table,MATCH(AC$4,Curves,0)))</f>
        <v/>
      </c>
      <c r="AD258" s="185" t="str">
        <f aca="false">IF($A259="","",VLOOKUP($A258,Table,MATCH(AD$4,Curves,0)))</f>
        <v/>
      </c>
      <c r="AE258" s="185" t="e">
        <f aca="false">SQRT((AD258^2*(A258-$D$3)+AC258^2*(DAY(EOMONTH(A258,0))/2))/AK258)</f>
        <v>#VALUE!</v>
      </c>
      <c r="AF258" s="206" t="e">
        <f aca="false">((Summary!$N$12*(AA258*AD258)*(A258-$D$3))+(Summary!$M$12*Z258*AC258*(AJ258-EOMONTH(EDATE(A258,-1),0))))/(AK258*AB258*AE258)</f>
        <v>#VALUE!</v>
      </c>
      <c r="AG258" s="207" t="str">
        <f aca="false">IF($A259="","",Summary!$Q$12)</f>
        <v/>
      </c>
      <c r="AH258" s="207" t="str">
        <f aca="false">IF($A259="","",IF(Summary!$R$12="Y",(VLOOKUP($A258,Summary!$AD$6:$AF$9,3)+'Escalating commodity'!H271),'Escalating commodity'!H271))</f>
        <v/>
      </c>
      <c r="AI258" s="207" t="str">
        <f aca="false">IF($A259="","",AH258)</f>
        <v/>
      </c>
      <c r="AJ258" s="208" t="e">
        <f aca="false">A258+DAY(EOMONTH(A258,0))/2-1</f>
        <v>#VALUE!</v>
      </c>
      <c r="AK258" s="209" t="str">
        <f aca="false">IF($A259="","",$A258-$E$1)</f>
        <v/>
      </c>
      <c r="AL258" s="182" t="str">
        <f aca="false">IF($A259="","",SPRDOPT(P258,X258,AI258,0,AB258,AE258,AF258,AK258,$AJ$2,0))</f>
        <v/>
      </c>
      <c r="AM258" s="211" t="str">
        <f aca="false">IF($A259="","",MAX(0,O258-W258-AI258))</f>
        <v/>
      </c>
      <c r="AN258" s="211" t="str">
        <f aca="false">IF($A259="","",AL258-AM258)</f>
        <v/>
      </c>
      <c r="AO258" s="137" t="str">
        <f aca="false">IF(A259="","",A259-A258)</f>
        <v/>
      </c>
      <c r="AP258" s="212" t="str">
        <f aca="false">IF(A259="","",CHOOSE(F$3,A259+24,A258))</f>
        <v/>
      </c>
      <c r="AQ258" s="209" t="str">
        <f aca="false">IF(A259="","",AP258-$E$1)</f>
        <v/>
      </c>
      <c r="AR258" s="185" t="n">
        <f aca="false">'ANR OK vs ML7'!AR258</f>
        <v>0.1</v>
      </c>
      <c r="AS258" s="213" t="str">
        <f aca="false">IF(A259="","",1/(1+CHOOSE(F$3,(AR259+($I$3/10000))/2,(AR258+($I$3/10000))/2))^(2*AQ258/365.25))</f>
        <v/>
      </c>
      <c r="AT258" s="137" t="str">
        <f aca="false">IF(A259="","",IF(AND(mthbeg&lt;=A258,mthend&gt;=A258),1,0))</f>
        <v/>
      </c>
      <c r="AU258" s="137" t="str">
        <f aca="false">IF(A259="","",AO258*AT258)</f>
        <v/>
      </c>
      <c r="AW258" s="195" t="str">
        <f aca="false">IF($A259="","",AL258*$E258)</f>
        <v/>
      </c>
      <c r="AX258" s="195" t="str">
        <f aca="false">IF($A259="","",AM258*$E258)</f>
        <v/>
      </c>
      <c r="AY258" s="195" t="str">
        <f aca="false">IF($A259="","",AN258*$E258)</f>
        <v/>
      </c>
      <c r="BA258" s="195" t="str">
        <f aca="false">IF($A259="","",F258*Summary!$Q$12)</f>
        <v/>
      </c>
    </row>
    <row r="259" customFormat="false" ht="12" hidden="false" customHeight="true" outlineLevel="0" collapsed="false">
      <c r="A259" s="196" t="str">
        <f aca="false">IF(A258&lt;mthend,EDATE(A258,1),"")</f>
        <v/>
      </c>
      <c r="B259" s="197" t="str">
        <f aca="false">IF(A259&lt;mthend,B258,"")</f>
        <v/>
      </c>
      <c r="C259" s="215"/>
      <c r="D259" s="197" t="str">
        <f aca="false">IF(A260&lt;&gt;"",B259+C259,"")</f>
        <v/>
      </c>
      <c r="E259" s="199" t="str">
        <f aca="false">IF(A260="","",IF(AND(AT259=1,$H$3=1),D259*AO259,IF($H$3=2,D259,"N/A")))</f>
        <v/>
      </c>
      <c r="F259" s="199" t="str">
        <f aca="false">IF(A260="","",E259*AS259)</f>
        <v/>
      </c>
      <c r="G259" s="200" t="str">
        <f aca="false">IF($A260="","",VLOOKUP($A259,Table,MATCH(G$4,Curves,0)))</f>
        <v/>
      </c>
      <c r="H259" s="201" t="str">
        <f aca="false">IF(A260="","",G259)</f>
        <v/>
      </c>
      <c r="I259" s="202"/>
      <c r="J259" s="200" t="str">
        <f aca="false">IF($A260="","",VLOOKUP($A259,Table,MATCH(J$4,Curves,0)))</f>
        <v/>
      </c>
      <c r="K259" s="201" t="str">
        <f aca="false">IF(A260="","",J259)</f>
        <v/>
      </c>
      <c r="L259" s="200" t="str">
        <f aca="false">IF($A260="","",VLOOKUP($A259,Table,MATCH(L$4,Curves,0)))</f>
        <v/>
      </c>
      <c r="M259" s="201" t="str">
        <f aca="false">IF(A260="","",L259)</f>
        <v/>
      </c>
      <c r="N259" s="203"/>
      <c r="O259" s="200" t="str">
        <f aca="false">IF(A260="","",L259+J259+G259)</f>
        <v/>
      </c>
      <c r="P259" s="200" t="str">
        <f aca="false">IF(A260="","",M259+K259+H259)</f>
        <v/>
      </c>
      <c r="Q259" s="204"/>
      <c r="R259" s="200" t="str">
        <f aca="false">IF($A260="","",VLOOKUP($A259,Table,MATCH(R$4,Curves,0)))</f>
        <v/>
      </c>
      <c r="S259" s="201" t="str">
        <f aca="false">IF(A260="","",R259)</f>
        <v/>
      </c>
      <c r="T259" s="200" t="str">
        <f aca="false">IF($A260="","",VLOOKUP($A259,Table,MATCH(T$4,Curves,0)))</f>
        <v/>
      </c>
      <c r="U259" s="201" t="str">
        <f aca="false">IF(A260="","",T259)</f>
        <v/>
      </c>
      <c r="V259" s="225" t="str">
        <f aca="false">IF($A260="","",IF(AND(MONTH(A259)&gt;3,MONTH(A259)&lt;11),(T259+R259+G259)*(((1/(1-Summary!$T$12))/(1-Summary!$W$12))-1),(T259+R259+G259)*((1/(1-Summary!$U$12))/(1-Summary!$X$12)-1)))</f>
        <v/>
      </c>
      <c r="W259" s="200" t="str">
        <f aca="false">IF($A260="","",(T259+R259+G259+V259))</f>
        <v/>
      </c>
      <c r="X259" s="200" t="str">
        <f aca="false">IF($A260="","",(U259+S259+H259+V259))</f>
        <v/>
      </c>
      <c r="Y259" s="202"/>
      <c r="Z259" s="185" t="str">
        <f aca="false">IF($A260="","",VLOOKUP($A259,Table,MATCH(Z$4,Curves,0)))</f>
        <v/>
      </c>
      <c r="AA259" s="185" t="str">
        <f aca="false">IF($A260="","",VLOOKUP($A259,Table,MATCH(AA$4,Curves,0)))</f>
        <v/>
      </c>
      <c r="AB259" s="185" t="e">
        <f aca="false">SQRT((AA259^2*(A259-$D$3)+Z259^2*(DAY(EOMONTH(A259,0))/2))/AK259)</f>
        <v>#VALUE!</v>
      </c>
      <c r="AC259" s="185" t="str">
        <f aca="false">IF($A260="","",VLOOKUP($A259,Table,MATCH(AC$4,Curves,0)))</f>
        <v/>
      </c>
      <c r="AD259" s="185" t="str">
        <f aca="false">IF($A260="","",VLOOKUP($A259,Table,MATCH(AD$4,Curves,0)))</f>
        <v/>
      </c>
      <c r="AE259" s="185" t="e">
        <f aca="false">SQRT((AD259^2*(A259-$D$3)+AC259^2*(DAY(EOMONTH(A259,0))/2))/AK259)</f>
        <v>#VALUE!</v>
      </c>
      <c r="AF259" s="206" t="e">
        <f aca="false">((Summary!$N$12*(AA259*AD259)*(A259-$D$3))+(Summary!$M$12*Z259*AC259*(AJ259-EOMONTH(EDATE(A259,-1),0))))/(AK259*AB259*AE259)</f>
        <v>#VALUE!</v>
      </c>
      <c r="AG259" s="207" t="str">
        <f aca="false">IF($A260="","",Summary!$Q$12)</f>
        <v/>
      </c>
      <c r="AH259" s="207" t="str">
        <f aca="false">IF($A260="","",IF(Summary!$R$12="Y",(VLOOKUP($A259,Summary!$AD$6:$AF$9,3)+'Escalating commodity'!H272),'Escalating commodity'!H272))</f>
        <v/>
      </c>
      <c r="AI259" s="207" t="str">
        <f aca="false">IF($A260="","",AH259)</f>
        <v/>
      </c>
      <c r="AJ259" s="208" t="e">
        <f aca="false">A259+DAY(EOMONTH(A259,0))/2-1</f>
        <v>#VALUE!</v>
      </c>
      <c r="AK259" s="209" t="str">
        <f aca="false">IF($A260="","",$A259-$E$1)</f>
        <v/>
      </c>
      <c r="AL259" s="182" t="str">
        <f aca="false">IF($A260="","",SPRDOPT(P259,X259,AI259,0,AB259,AE259,AF259,AK259,$AJ$2,0))</f>
        <v/>
      </c>
      <c r="AM259" s="211" t="str">
        <f aca="false">IF($A260="","",MAX(0,O259-W259-AI259))</f>
        <v/>
      </c>
      <c r="AN259" s="211" t="str">
        <f aca="false">IF($A260="","",AL259-AM259)</f>
        <v/>
      </c>
      <c r="AO259" s="137" t="str">
        <f aca="false">IF(A260="","",A260-A259)</f>
        <v/>
      </c>
      <c r="AP259" s="212" t="str">
        <f aca="false">IF(A260="","",CHOOSE(F$3,A260+24,A259))</f>
        <v/>
      </c>
      <c r="AQ259" s="209" t="str">
        <f aca="false">IF(A260="","",AP259-$E$1)</f>
        <v/>
      </c>
      <c r="AR259" s="185" t="n">
        <f aca="false">'ANR OK vs ML7'!AR259</f>
        <v>0.1</v>
      </c>
      <c r="AS259" s="213" t="str">
        <f aca="false">IF(A260="","",1/(1+CHOOSE(F$3,(AR260+($I$3/10000))/2,(AR259+($I$3/10000))/2))^(2*AQ259/365.25))</f>
        <v/>
      </c>
      <c r="AT259" s="137" t="str">
        <f aca="false">IF(A260="","",IF(AND(mthbeg&lt;=A259,mthend&gt;=A259),1,0))</f>
        <v/>
      </c>
      <c r="AU259" s="137" t="str">
        <f aca="false">IF(A260="","",AO259*AT259)</f>
        <v/>
      </c>
      <c r="AW259" s="195" t="str">
        <f aca="false">IF($A260="","",AL259*$E259)</f>
        <v/>
      </c>
      <c r="AX259" s="195" t="str">
        <f aca="false">IF($A260="","",AM259*$E259)</f>
        <v/>
      </c>
      <c r="AY259" s="195" t="str">
        <f aca="false">IF($A260="","",AN259*$E259)</f>
        <v/>
      </c>
      <c r="BA259" s="195" t="str">
        <f aca="false">IF($A260="","",F259*Summary!$Q$12)</f>
        <v/>
      </c>
    </row>
    <row r="260" customFormat="false" ht="12" hidden="false" customHeight="true" outlineLevel="0" collapsed="false">
      <c r="A260" s="196" t="str">
        <f aca="false">IF(A259&lt;mthend,EDATE(A259,1),"")</f>
        <v/>
      </c>
      <c r="B260" s="197" t="str">
        <f aca="false">IF(A260&lt;mthend,B259,"")</f>
        <v/>
      </c>
      <c r="C260" s="215"/>
      <c r="D260" s="197" t="str">
        <f aca="false">IF(A261&lt;&gt;"",B260+C260,"")</f>
        <v/>
      </c>
      <c r="E260" s="199" t="str">
        <f aca="false">IF(A261="","",IF(AND(AT260=1,$H$3=1),D260*AO260,IF($H$3=2,D260,"N/A")))</f>
        <v/>
      </c>
      <c r="F260" s="199" t="str">
        <f aca="false">IF(A261="","",E260*AS260)</f>
        <v/>
      </c>
      <c r="G260" s="200" t="str">
        <f aca="false">IF($A261="","",VLOOKUP($A260,Table,MATCH(G$4,Curves,0)))</f>
        <v/>
      </c>
      <c r="H260" s="201" t="str">
        <f aca="false">IF(A261="","",G260)</f>
        <v/>
      </c>
      <c r="I260" s="202"/>
      <c r="J260" s="200" t="str">
        <f aca="false">IF($A261="","",VLOOKUP($A260,Table,MATCH(J$4,Curves,0)))</f>
        <v/>
      </c>
      <c r="K260" s="201" t="str">
        <f aca="false">IF(A261="","",J260)</f>
        <v/>
      </c>
      <c r="L260" s="200" t="str">
        <f aca="false">IF($A261="","",VLOOKUP($A260,Table,MATCH(L$4,Curves,0)))</f>
        <v/>
      </c>
      <c r="M260" s="201" t="str">
        <f aca="false">IF(A261="","",L260)</f>
        <v/>
      </c>
      <c r="N260" s="203"/>
      <c r="O260" s="200" t="str">
        <f aca="false">IF(A261="","",L260+J260+G260)</f>
        <v/>
      </c>
      <c r="P260" s="200" t="str">
        <f aca="false">IF(A261="","",M260+K260+H260)</f>
        <v/>
      </c>
      <c r="Q260" s="204"/>
      <c r="R260" s="200" t="str">
        <f aca="false">IF($A261="","",VLOOKUP($A260,Table,MATCH(R$4,Curves,0)))</f>
        <v/>
      </c>
      <c r="S260" s="201" t="str">
        <f aca="false">IF(A261="","",R260)</f>
        <v/>
      </c>
      <c r="T260" s="200" t="str">
        <f aca="false">IF($A261="","",VLOOKUP($A260,Table,MATCH(T$4,Curves,0)))</f>
        <v/>
      </c>
      <c r="U260" s="201" t="str">
        <f aca="false">IF(A261="","",T260)</f>
        <v/>
      </c>
      <c r="V260" s="225" t="str">
        <f aca="false">IF($A261="","",IF(AND(MONTH(A260)&gt;3,MONTH(A260)&lt;11),(T260+R260+G260)*(((1/(1-Summary!$T$12))/(1-Summary!$W$12))-1),(T260+R260+G260)*((1/(1-Summary!$U$12))/(1-Summary!$X$12)-1)))</f>
        <v/>
      </c>
      <c r="W260" s="200" t="str">
        <f aca="false">IF($A261="","",(T260+R260+G260+V260))</f>
        <v/>
      </c>
      <c r="X260" s="200" t="str">
        <f aca="false">IF($A261="","",(U260+S260+H260+V260))</f>
        <v/>
      </c>
      <c r="Y260" s="202"/>
      <c r="Z260" s="185" t="str">
        <f aca="false">IF($A261="","",VLOOKUP($A260,Table,MATCH(Z$4,Curves,0)))</f>
        <v/>
      </c>
      <c r="AA260" s="185" t="str">
        <f aca="false">IF($A261="","",VLOOKUP($A260,Table,MATCH(AA$4,Curves,0)))</f>
        <v/>
      </c>
      <c r="AB260" s="185" t="e">
        <f aca="false">SQRT((AA260^2*(A260-$D$3)+Z260^2*(DAY(EOMONTH(A260,0))/2))/AK260)</f>
        <v>#VALUE!</v>
      </c>
      <c r="AC260" s="185" t="str">
        <f aca="false">IF($A261="","",VLOOKUP($A260,Table,MATCH(AC$4,Curves,0)))</f>
        <v/>
      </c>
      <c r="AD260" s="185" t="str">
        <f aca="false">IF($A261="","",VLOOKUP($A260,Table,MATCH(AD$4,Curves,0)))</f>
        <v/>
      </c>
      <c r="AE260" s="185" t="e">
        <f aca="false">SQRT((AD260^2*(A260-$D$3)+AC260^2*(DAY(EOMONTH(A260,0))/2))/AK260)</f>
        <v>#VALUE!</v>
      </c>
      <c r="AF260" s="206" t="e">
        <f aca="false">((Summary!$N$12*(AA260*AD260)*(A260-$D$3))+(Summary!$M$12*Z260*AC260*(AJ260-EOMONTH(EDATE(A260,-1),0))))/(AK260*AB260*AE260)</f>
        <v>#VALUE!</v>
      </c>
      <c r="AG260" s="207" t="str">
        <f aca="false">IF($A261="","",Summary!$Q$12)</f>
        <v/>
      </c>
      <c r="AH260" s="207" t="str">
        <f aca="false">IF($A261="","",IF(Summary!$R$12="Y",(VLOOKUP($A260,Summary!$AD$6:$AF$9,3)+'Escalating commodity'!H273),'Escalating commodity'!H273))</f>
        <v/>
      </c>
      <c r="AI260" s="207" t="str">
        <f aca="false">IF($A261="","",AH260)</f>
        <v/>
      </c>
      <c r="AJ260" s="208" t="e">
        <f aca="false">A260+DAY(EOMONTH(A260,0))/2-1</f>
        <v>#VALUE!</v>
      </c>
      <c r="AK260" s="209" t="str">
        <f aca="false">IF($A261="","",$A260-$E$1)</f>
        <v/>
      </c>
      <c r="AL260" s="182" t="str">
        <f aca="false">IF($A261="","",SPRDOPT(P260,X260,AI260,0,AB260,AE260,AF260,AK260,$AJ$2,0))</f>
        <v/>
      </c>
      <c r="AM260" s="211" t="str">
        <f aca="false">IF($A261="","",MAX(0,O260-W260-AI260))</f>
        <v/>
      </c>
      <c r="AN260" s="211" t="str">
        <f aca="false">IF($A261="","",AL260-AM260)</f>
        <v/>
      </c>
      <c r="AO260" s="137" t="str">
        <f aca="false">IF(A261="","",A261-A260)</f>
        <v/>
      </c>
      <c r="AP260" s="212" t="str">
        <f aca="false">IF(A261="","",CHOOSE(F$3,A261+24,A260))</f>
        <v/>
      </c>
      <c r="AQ260" s="209" t="str">
        <f aca="false">IF(A261="","",AP260-$E$1)</f>
        <v/>
      </c>
      <c r="AR260" s="185" t="n">
        <f aca="false">'ANR OK vs ML7'!AR260</f>
        <v>0.1</v>
      </c>
      <c r="AS260" s="213" t="str">
        <f aca="false">IF(A261="","",1/(1+CHOOSE(F$3,(AR261+($I$3/10000))/2,(AR260+($I$3/10000))/2))^(2*AQ260/365.25))</f>
        <v/>
      </c>
      <c r="AT260" s="137" t="str">
        <f aca="false">IF(A261="","",IF(AND(mthbeg&lt;=A260,mthend&gt;=A260),1,0))</f>
        <v/>
      </c>
      <c r="AU260" s="137" t="str">
        <f aca="false">IF(A261="","",AO260*AT260)</f>
        <v/>
      </c>
      <c r="AW260" s="195" t="str">
        <f aca="false">IF($A261="","",AL260*$E260)</f>
        <v/>
      </c>
      <c r="AX260" s="195" t="str">
        <f aca="false">IF($A261="","",AM260*$E260)</f>
        <v/>
      </c>
      <c r="AY260" s="195" t="str">
        <f aca="false">IF($A261="","",AN260*$E260)</f>
        <v/>
      </c>
      <c r="BA260" s="195" t="str">
        <f aca="false">IF($A261="","",F260*Summary!$Q$12)</f>
        <v/>
      </c>
    </row>
    <row r="261" customFormat="false" ht="12" hidden="false" customHeight="true" outlineLevel="0" collapsed="false">
      <c r="A261" s="196" t="str">
        <f aca="false">IF(A260&lt;mthend,EDATE(A260,1),"")</f>
        <v/>
      </c>
      <c r="B261" s="197" t="str">
        <f aca="false">IF(A261&lt;mthend,B260,"")</f>
        <v/>
      </c>
      <c r="C261" s="215"/>
      <c r="D261" s="197" t="str">
        <f aca="false">IF(A262&lt;&gt;"",B261+C261,"")</f>
        <v/>
      </c>
      <c r="E261" s="199" t="str">
        <f aca="false">IF(A262="","",IF(AND(AT261=1,$H$3=1),D261*AO261,IF($H$3=2,D261,"N/A")))</f>
        <v/>
      </c>
      <c r="F261" s="199" t="str">
        <f aca="false">IF(A262="","",E261*AS261)</f>
        <v/>
      </c>
      <c r="G261" s="200" t="str">
        <f aca="false">IF($A262="","",VLOOKUP($A261,Table,MATCH(G$4,Curves,0)))</f>
        <v/>
      </c>
      <c r="H261" s="201" t="str">
        <f aca="false">IF(A262="","",G261)</f>
        <v/>
      </c>
      <c r="I261" s="202"/>
      <c r="J261" s="200" t="str">
        <f aca="false">IF($A262="","",VLOOKUP($A261,Table,MATCH(J$4,Curves,0)))</f>
        <v/>
      </c>
      <c r="K261" s="201" t="str">
        <f aca="false">IF(A262="","",J261)</f>
        <v/>
      </c>
      <c r="L261" s="200" t="str">
        <f aca="false">IF($A262="","",VLOOKUP($A261,Table,MATCH(L$4,Curves,0)))</f>
        <v/>
      </c>
      <c r="M261" s="201" t="str">
        <f aca="false">IF(A262="","",L261)</f>
        <v/>
      </c>
      <c r="N261" s="203"/>
      <c r="O261" s="200" t="str">
        <f aca="false">IF(A262="","",L261+J261+G261)</f>
        <v/>
      </c>
      <c r="P261" s="200" t="str">
        <f aca="false">IF(A262="","",M261+K261+H261)</f>
        <v/>
      </c>
      <c r="Q261" s="204"/>
      <c r="R261" s="200" t="str">
        <f aca="false">IF($A262="","",VLOOKUP($A261,Table,MATCH(R$4,Curves,0)))</f>
        <v/>
      </c>
      <c r="S261" s="201" t="str">
        <f aca="false">IF(A262="","",R261)</f>
        <v/>
      </c>
      <c r="T261" s="200" t="str">
        <f aca="false">IF($A262="","",VLOOKUP($A261,Table,MATCH(T$4,Curves,0)))</f>
        <v/>
      </c>
      <c r="U261" s="201" t="str">
        <f aca="false">IF(A262="","",T261)</f>
        <v/>
      </c>
      <c r="V261" s="225" t="str">
        <f aca="false">IF($A262="","",IF(AND(MONTH(A261)&gt;3,MONTH(A261)&lt;11),(T261+R261+G261)*(((1/(1-Summary!$T$12))/(1-Summary!$W$12))-1),(T261+R261+G261)*((1/(1-Summary!$U$12))/(1-Summary!$X$12)-1)))</f>
        <v/>
      </c>
      <c r="W261" s="200" t="str">
        <f aca="false">IF($A262="","",(T261+R261+G261+V261))</f>
        <v/>
      </c>
      <c r="X261" s="200" t="str">
        <f aca="false">IF($A262="","",(U261+S261+H261+V261))</f>
        <v/>
      </c>
      <c r="Y261" s="202"/>
      <c r="Z261" s="185" t="str">
        <f aca="false">IF($A262="","",VLOOKUP($A261,Table,MATCH(Z$4,Curves,0)))</f>
        <v/>
      </c>
      <c r="AA261" s="185" t="str">
        <f aca="false">IF($A262="","",VLOOKUP($A261,Table,MATCH(AA$4,Curves,0)))</f>
        <v/>
      </c>
      <c r="AB261" s="185" t="e">
        <f aca="false">SQRT((AA261^2*(A261-$D$3)+Z261^2*(DAY(EOMONTH(A261,0))/2))/AK261)</f>
        <v>#VALUE!</v>
      </c>
      <c r="AC261" s="185" t="str">
        <f aca="false">IF($A262="","",VLOOKUP($A261,Table,MATCH(AC$4,Curves,0)))</f>
        <v/>
      </c>
      <c r="AD261" s="185" t="str">
        <f aca="false">IF($A262="","",VLOOKUP($A261,Table,MATCH(AD$4,Curves,0)))</f>
        <v/>
      </c>
      <c r="AE261" s="185" t="e">
        <f aca="false">SQRT((AD261^2*(A261-$D$3)+AC261^2*(DAY(EOMONTH(A261,0))/2))/AK261)</f>
        <v>#VALUE!</v>
      </c>
      <c r="AF261" s="206" t="e">
        <f aca="false">((Summary!$N$12*(AA261*AD261)*(A261-$D$3))+(Summary!$M$12*Z261*AC261*(AJ261-EOMONTH(EDATE(A261,-1),0))))/(AK261*AB261*AE261)</f>
        <v>#VALUE!</v>
      </c>
      <c r="AG261" s="207" t="str">
        <f aca="false">IF($A262="","",Summary!$Q$12)</f>
        <v/>
      </c>
      <c r="AH261" s="207" t="str">
        <f aca="false">IF($A262="","",IF(Summary!$R$12="Y",(VLOOKUP($A261,Summary!$AD$6:$AF$9,3)+'Escalating commodity'!H274),'Escalating commodity'!H274))</f>
        <v/>
      </c>
      <c r="AI261" s="207" t="str">
        <f aca="false">IF($A262="","",AH261)</f>
        <v/>
      </c>
      <c r="AJ261" s="208" t="e">
        <f aca="false">A261+DAY(EOMONTH(A261,0))/2-1</f>
        <v>#VALUE!</v>
      </c>
      <c r="AK261" s="209" t="str">
        <f aca="false">IF($A262="","",$A261-$E$1)</f>
        <v/>
      </c>
      <c r="AL261" s="182" t="str">
        <f aca="false">IF($A262="","",SPRDOPT(P261,X261,AI261,0,AB261,AE261,AF261,AK261,$AJ$2,0))</f>
        <v/>
      </c>
      <c r="AM261" s="211" t="str">
        <f aca="false">IF($A262="","",MAX(0,O261-W261-AI261))</f>
        <v/>
      </c>
      <c r="AN261" s="211" t="str">
        <f aca="false">IF($A262="","",AL261-AM261)</f>
        <v/>
      </c>
      <c r="AO261" s="137" t="str">
        <f aca="false">IF(A262="","",A262-A261)</f>
        <v/>
      </c>
      <c r="AP261" s="212" t="str">
        <f aca="false">IF(A262="","",CHOOSE(F$3,A262+24,A261))</f>
        <v/>
      </c>
      <c r="AQ261" s="209" t="str">
        <f aca="false">IF(A262="","",AP261-$E$1)</f>
        <v/>
      </c>
      <c r="AR261" s="185" t="n">
        <f aca="false">'ANR OK vs ML7'!AR261</f>
        <v>0.1</v>
      </c>
      <c r="AS261" s="213" t="str">
        <f aca="false">IF(A262="","",1/(1+CHOOSE(F$3,(AR262+($I$3/10000))/2,(AR261+($I$3/10000))/2))^(2*AQ261/365.25))</f>
        <v/>
      </c>
      <c r="AT261" s="137" t="str">
        <f aca="false">IF(A262="","",IF(AND(mthbeg&lt;=A261,mthend&gt;=A261),1,0))</f>
        <v/>
      </c>
      <c r="AU261" s="137" t="str">
        <f aca="false">IF(A262="","",AO261*AT261)</f>
        <v/>
      </c>
      <c r="AW261" s="195" t="str">
        <f aca="false">IF($A262="","",AL261*$E261)</f>
        <v/>
      </c>
      <c r="AX261" s="195" t="str">
        <f aca="false">IF($A262="","",AM261*$E261)</f>
        <v/>
      </c>
      <c r="AY261" s="195" t="str">
        <f aca="false">IF($A262="","",AN261*$E261)</f>
        <v/>
      </c>
      <c r="BA261" s="195" t="str">
        <f aca="false">IF($A262="","",F261*Summary!$Q$12)</f>
        <v/>
      </c>
    </row>
    <row r="262" customFormat="false" ht="12" hidden="false" customHeight="true" outlineLevel="0" collapsed="false">
      <c r="A262" s="196" t="str">
        <f aca="false">IF(A261&lt;mthend,EDATE(A261,1),"")</f>
        <v/>
      </c>
      <c r="B262" s="197" t="str">
        <f aca="false">IF(A262&lt;mthend,B261,"")</f>
        <v/>
      </c>
      <c r="C262" s="215"/>
      <c r="D262" s="197" t="str">
        <f aca="false">IF(A263&lt;&gt;"",B262+C262,"")</f>
        <v/>
      </c>
      <c r="E262" s="199" t="str">
        <f aca="false">IF(A263="","",IF(AND(AT262=1,$H$3=1),D262*AO262,IF($H$3=2,D262,"N/A")))</f>
        <v/>
      </c>
      <c r="F262" s="199" t="str">
        <f aca="false">IF(A263="","",E262*AS262)</f>
        <v/>
      </c>
      <c r="G262" s="200" t="str">
        <f aca="false">IF($A263="","",VLOOKUP($A262,Table,MATCH(G$4,Curves,0)))</f>
        <v/>
      </c>
      <c r="H262" s="201" t="str">
        <f aca="false">IF(A263="","",G262)</f>
        <v/>
      </c>
      <c r="I262" s="202"/>
      <c r="J262" s="200" t="str">
        <f aca="false">IF($A263="","",VLOOKUP($A262,Table,MATCH(J$4,Curves,0)))</f>
        <v/>
      </c>
      <c r="K262" s="201" t="str">
        <f aca="false">IF(A263="","",J262)</f>
        <v/>
      </c>
      <c r="L262" s="200" t="str">
        <f aca="false">IF($A263="","",VLOOKUP($A262,Table,MATCH(L$4,Curves,0)))</f>
        <v/>
      </c>
      <c r="M262" s="201" t="str">
        <f aca="false">IF(A263="","",L262)</f>
        <v/>
      </c>
      <c r="N262" s="203"/>
      <c r="O262" s="200" t="str">
        <f aca="false">IF(A263="","",L262+J262+G262)</f>
        <v/>
      </c>
      <c r="P262" s="200" t="str">
        <f aca="false">IF(A263="","",M262+K262+H262)</f>
        <v/>
      </c>
      <c r="Q262" s="204"/>
      <c r="R262" s="200" t="str">
        <f aca="false">IF($A263="","",VLOOKUP($A262,Table,MATCH(R$4,Curves,0)))</f>
        <v/>
      </c>
      <c r="S262" s="201" t="str">
        <f aca="false">IF(A263="","",R262)</f>
        <v/>
      </c>
      <c r="T262" s="200" t="str">
        <f aca="false">IF($A263="","",VLOOKUP($A262,Table,MATCH(T$4,Curves,0)))</f>
        <v/>
      </c>
      <c r="U262" s="201" t="str">
        <f aca="false">IF(A263="","",T262)</f>
        <v/>
      </c>
      <c r="V262" s="225" t="str">
        <f aca="false">IF($A263="","",IF(AND(MONTH(A262)&gt;3,MONTH(A262)&lt;11),(T262+R262+G262)*(((1/(1-Summary!$T$12))/(1-Summary!$W$12))-1),(T262+R262+G262)*((1/(1-Summary!$U$12))/(1-Summary!$X$12)-1)))</f>
        <v/>
      </c>
      <c r="W262" s="200" t="str">
        <f aca="false">IF($A263="","",(T262+R262+G262+V262))</f>
        <v/>
      </c>
      <c r="X262" s="200" t="str">
        <f aca="false">IF($A263="","",(U262+S262+H262+V262))</f>
        <v/>
      </c>
      <c r="Y262" s="202"/>
      <c r="Z262" s="185" t="str">
        <f aca="false">IF($A263="","",VLOOKUP($A262,Table,MATCH(Z$4,Curves,0)))</f>
        <v/>
      </c>
      <c r="AA262" s="185" t="str">
        <f aca="false">IF($A263="","",VLOOKUP($A262,Table,MATCH(AA$4,Curves,0)))</f>
        <v/>
      </c>
      <c r="AB262" s="185" t="e">
        <f aca="false">SQRT((AA262^2*(A262-$D$3)+Z262^2*(DAY(EOMONTH(A262,0))/2))/AK262)</f>
        <v>#VALUE!</v>
      </c>
      <c r="AC262" s="185" t="str">
        <f aca="false">IF($A263="","",VLOOKUP($A262,Table,MATCH(AC$4,Curves,0)))</f>
        <v/>
      </c>
      <c r="AD262" s="185" t="str">
        <f aca="false">IF($A263="","",VLOOKUP($A262,Table,MATCH(AD$4,Curves,0)))</f>
        <v/>
      </c>
      <c r="AE262" s="185" t="e">
        <f aca="false">SQRT((AD262^2*(A262-$D$3)+AC262^2*(DAY(EOMONTH(A262,0))/2))/AK262)</f>
        <v>#VALUE!</v>
      </c>
      <c r="AF262" s="206" t="e">
        <f aca="false">((Summary!$N$12*(AA262*AD262)*(A262-$D$3))+(Summary!$M$12*Z262*AC262*(AJ262-EOMONTH(EDATE(A262,-1),0))))/(AK262*AB262*AE262)</f>
        <v>#VALUE!</v>
      </c>
      <c r="AG262" s="207" t="str">
        <f aca="false">IF($A263="","",Summary!$Q$12)</f>
        <v/>
      </c>
      <c r="AH262" s="207" t="str">
        <f aca="false">IF($A263="","",IF(Summary!$R$12="Y",(VLOOKUP($A262,Summary!$AD$6:$AF$9,3)+'Escalating commodity'!H275),'Escalating commodity'!H275))</f>
        <v/>
      </c>
      <c r="AI262" s="207" t="str">
        <f aca="false">IF($A263="","",AH262)</f>
        <v/>
      </c>
      <c r="AJ262" s="208" t="e">
        <f aca="false">A262+DAY(EOMONTH(A262,0))/2-1</f>
        <v>#VALUE!</v>
      </c>
      <c r="AK262" s="209" t="str">
        <f aca="false">IF($A263="","",$A262-$E$1)</f>
        <v/>
      </c>
      <c r="AL262" s="182" t="str">
        <f aca="false">IF($A263="","",SPRDOPT(P262,X262,AI262,0,AB262,AE262,AF262,AK262,$AJ$2,0))</f>
        <v/>
      </c>
      <c r="AM262" s="211" t="str">
        <f aca="false">IF($A263="","",MAX(0,O262-W262-AI262))</f>
        <v/>
      </c>
      <c r="AN262" s="211" t="str">
        <f aca="false">IF($A263="","",AL262-AM262)</f>
        <v/>
      </c>
      <c r="AO262" s="137" t="str">
        <f aca="false">IF(A263="","",A263-A262)</f>
        <v/>
      </c>
      <c r="AP262" s="212" t="str">
        <f aca="false">IF(A263="","",CHOOSE(F$3,A263+24,A262))</f>
        <v/>
      </c>
      <c r="AQ262" s="209" t="str">
        <f aca="false">IF(A263="","",AP262-$E$1)</f>
        <v/>
      </c>
      <c r="AR262" s="185" t="n">
        <f aca="false">'ANR OK vs ML7'!AR262</f>
        <v>0.1</v>
      </c>
      <c r="AS262" s="213" t="str">
        <f aca="false">IF(A263="","",1/(1+CHOOSE(F$3,(AR263+($I$3/10000))/2,(AR262+($I$3/10000))/2))^(2*AQ262/365.25))</f>
        <v/>
      </c>
      <c r="AT262" s="137" t="str">
        <f aca="false">IF(A263="","",IF(AND(mthbeg&lt;=A262,mthend&gt;=A262),1,0))</f>
        <v/>
      </c>
      <c r="AU262" s="137" t="str">
        <f aca="false">IF(A263="","",AO262*AT262)</f>
        <v/>
      </c>
      <c r="AW262" s="195" t="str">
        <f aca="false">IF($A263="","",AL262*$E262)</f>
        <v/>
      </c>
      <c r="AX262" s="195" t="str">
        <f aca="false">IF($A263="","",AM262*$E262)</f>
        <v/>
      </c>
      <c r="AY262" s="195" t="str">
        <f aca="false">IF($A263="","",AN262*$E262)</f>
        <v/>
      </c>
      <c r="BA262" s="195" t="str">
        <f aca="false">IF($A263="","",F262*Summary!$Q$12)</f>
        <v/>
      </c>
    </row>
    <row r="263" customFormat="false" ht="12" hidden="false" customHeight="true" outlineLevel="0" collapsed="false">
      <c r="A263" s="196" t="str">
        <f aca="false">IF(A262&lt;mthend,EDATE(A262,1),"")</f>
        <v/>
      </c>
      <c r="B263" s="197" t="str">
        <f aca="false">IF(A263&lt;mthend,B262,"")</f>
        <v/>
      </c>
      <c r="C263" s="215"/>
      <c r="D263" s="197" t="str">
        <f aca="false">IF(A264&lt;&gt;"",B263+C263,"")</f>
        <v/>
      </c>
      <c r="E263" s="199" t="str">
        <f aca="false">IF(A264="","",IF(AND(AT263=1,$H$3=1),D263*AO263,IF($H$3=2,D263,"N/A")))</f>
        <v/>
      </c>
      <c r="F263" s="199" t="str">
        <f aca="false">IF(A264="","",E263*AS263)</f>
        <v/>
      </c>
      <c r="G263" s="200" t="str">
        <f aca="false">IF($A264="","",VLOOKUP($A263,Table,MATCH(G$4,Curves,0)))</f>
        <v/>
      </c>
      <c r="H263" s="201" t="str">
        <f aca="false">IF(A264="","",G263)</f>
        <v/>
      </c>
      <c r="I263" s="202"/>
      <c r="J263" s="200" t="str">
        <f aca="false">IF($A264="","",VLOOKUP($A263,Table,MATCH(J$4,Curves,0)))</f>
        <v/>
      </c>
      <c r="K263" s="201" t="str">
        <f aca="false">IF(A264="","",J263)</f>
        <v/>
      </c>
      <c r="L263" s="200" t="str">
        <f aca="false">IF($A264="","",VLOOKUP($A263,Table,MATCH(L$4,Curves,0)))</f>
        <v/>
      </c>
      <c r="M263" s="201" t="str">
        <f aca="false">IF(A264="","",L263)</f>
        <v/>
      </c>
      <c r="N263" s="203"/>
      <c r="O263" s="200" t="str">
        <f aca="false">IF(A264="","",L263+J263+G263)</f>
        <v/>
      </c>
      <c r="P263" s="200" t="str">
        <f aca="false">IF(A264="","",M263+K263+H263)</f>
        <v/>
      </c>
      <c r="Q263" s="204"/>
      <c r="R263" s="200" t="str">
        <f aca="false">IF($A264="","",VLOOKUP($A263,Table,MATCH(R$4,Curves,0)))</f>
        <v/>
      </c>
      <c r="S263" s="201" t="str">
        <f aca="false">IF(A264="","",R263)</f>
        <v/>
      </c>
      <c r="T263" s="200" t="str">
        <f aca="false">IF($A264="","",VLOOKUP($A263,Table,MATCH(T$4,Curves,0)))</f>
        <v/>
      </c>
      <c r="U263" s="201" t="str">
        <f aca="false">IF(A264="","",T263)</f>
        <v/>
      </c>
      <c r="V263" s="225" t="str">
        <f aca="false">IF($A264="","",IF(AND(MONTH(A263)&gt;3,MONTH(A263)&lt;11),(T263+R263+G263)*(((1/(1-Summary!$T$12))/(1-Summary!$W$12))-1),(T263+R263+G263)*((1/(1-Summary!$U$12))/(1-Summary!$X$12)-1)))</f>
        <v/>
      </c>
      <c r="W263" s="200" t="str">
        <f aca="false">IF($A264="","",(T263+R263+G263+V263))</f>
        <v/>
      </c>
      <c r="X263" s="200" t="str">
        <f aca="false">IF($A264="","",(U263+S263+H263+V263))</f>
        <v/>
      </c>
      <c r="Y263" s="202"/>
      <c r="Z263" s="185" t="str">
        <f aca="false">IF($A264="","",VLOOKUP($A263,Table,MATCH(Z$4,Curves,0)))</f>
        <v/>
      </c>
      <c r="AA263" s="185" t="str">
        <f aca="false">IF($A264="","",VLOOKUP($A263,Table,MATCH(AA$4,Curves,0)))</f>
        <v/>
      </c>
      <c r="AB263" s="185" t="e">
        <f aca="false">SQRT((AA263^2*(A263-$D$3)+Z263^2*(DAY(EOMONTH(A263,0))/2))/AK263)</f>
        <v>#VALUE!</v>
      </c>
      <c r="AC263" s="185" t="str">
        <f aca="false">IF($A264="","",VLOOKUP($A263,Table,MATCH(AC$4,Curves,0)))</f>
        <v/>
      </c>
      <c r="AD263" s="185" t="str">
        <f aca="false">IF($A264="","",VLOOKUP($A263,Table,MATCH(AD$4,Curves,0)))</f>
        <v/>
      </c>
      <c r="AE263" s="185" t="e">
        <f aca="false">SQRT((AD263^2*(A263-$D$3)+AC263^2*(DAY(EOMONTH(A263,0))/2))/AK263)</f>
        <v>#VALUE!</v>
      </c>
      <c r="AF263" s="206" t="e">
        <f aca="false">((Summary!$N$12*(AA263*AD263)*(A263-$D$3))+(Summary!$M$12*Z263*AC263*(AJ263-EOMONTH(EDATE(A263,-1),0))))/(AK263*AB263*AE263)</f>
        <v>#VALUE!</v>
      </c>
      <c r="AG263" s="207" t="str">
        <f aca="false">IF($A264="","",Summary!$Q$12)</f>
        <v/>
      </c>
      <c r="AH263" s="207" t="str">
        <f aca="false">IF($A264="","",IF(Summary!$R$12="Y",(VLOOKUP($A263,Summary!$AD$6:$AF$9,3)+'Escalating commodity'!H276),'Escalating commodity'!H276))</f>
        <v/>
      </c>
      <c r="AI263" s="207" t="str">
        <f aca="false">IF($A264="","",AH263)</f>
        <v/>
      </c>
      <c r="AJ263" s="208" t="e">
        <f aca="false">A263+DAY(EOMONTH(A263,0))/2-1</f>
        <v>#VALUE!</v>
      </c>
      <c r="AK263" s="209" t="str">
        <f aca="false">IF($A264="","",$A263-$E$1)</f>
        <v/>
      </c>
      <c r="AL263" s="182" t="str">
        <f aca="false">IF($A264="","",SPRDOPT(P263,X263,AI263,0,AB263,AE263,AF263,AK263,$AJ$2,0))</f>
        <v/>
      </c>
      <c r="AM263" s="211" t="str">
        <f aca="false">IF($A264="","",MAX(0,O263-W263-AI263))</f>
        <v/>
      </c>
      <c r="AN263" s="211" t="str">
        <f aca="false">IF($A264="","",AL263-AM263)</f>
        <v/>
      </c>
      <c r="AO263" s="137" t="str">
        <f aca="false">IF(A264="","",A264-A263)</f>
        <v/>
      </c>
      <c r="AP263" s="212" t="str">
        <f aca="false">IF(A264="","",CHOOSE(F$3,A264+24,A263))</f>
        <v/>
      </c>
      <c r="AQ263" s="209" t="str">
        <f aca="false">IF(A264="","",AP263-$E$1)</f>
        <v/>
      </c>
      <c r="AR263" s="185" t="n">
        <f aca="false">'ANR OK vs ML7'!AR263</f>
        <v>0.1</v>
      </c>
      <c r="AS263" s="213" t="str">
        <f aca="false">IF(A264="","",1/(1+CHOOSE(F$3,(AR264+($I$3/10000))/2,(AR263+($I$3/10000))/2))^(2*AQ263/365.25))</f>
        <v/>
      </c>
      <c r="AT263" s="137" t="str">
        <f aca="false">IF(A264="","",IF(AND(mthbeg&lt;=A263,mthend&gt;=A263),1,0))</f>
        <v/>
      </c>
      <c r="AU263" s="137" t="str">
        <f aca="false">IF(A264="","",AO263*AT263)</f>
        <v/>
      </c>
      <c r="AW263" s="195" t="str">
        <f aca="false">IF($A264="","",AL263*$E263)</f>
        <v/>
      </c>
      <c r="AX263" s="195" t="str">
        <f aca="false">IF($A264="","",AM263*$E263)</f>
        <v/>
      </c>
      <c r="AY263" s="195" t="str">
        <f aca="false">IF($A264="","",AN263*$E263)</f>
        <v/>
      </c>
      <c r="BA263" s="195" t="str">
        <f aca="false">IF($A264="","",F263*Summary!$Q$12)</f>
        <v/>
      </c>
    </row>
    <row r="264" customFormat="false" ht="12" hidden="false" customHeight="true" outlineLevel="0" collapsed="false">
      <c r="A264" s="196" t="str">
        <f aca="false">IF(A263&lt;mthend,EDATE(A263,1),"")</f>
        <v/>
      </c>
      <c r="B264" s="197" t="str">
        <f aca="false">IF(A264&lt;mthend,B263,"")</f>
        <v/>
      </c>
      <c r="C264" s="215"/>
      <c r="D264" s="197" t="str">
        <f aca="false">IF(A265&lt;&gt;"",B264+C264,"")</f>
        <v/>
      </c>
      <c r="E264" s="199" t="str">
        <f aca="false">IF(A265="","",IF(AND(AT264=1,$H$3=1),D264*AO264,IF($H$3=2,D264,"N/A")))</f>
        <v/>
      </c>
      <c r="F264" s="199" t="str">
        <f aca="false">IF(A265="","",E264*AS264)</f>
        <v/>
      </c>
      <c r="G264" s="200" t="str">
        <f aca="false">IF($A265="","",VLOOKUP($A264,Table,MATCH(G$4,Curves,0)))</f>
        <v/>
      </c>
      <c r="H264" s="201" t="str">
        <f aca="false">IF(A265="","",G264)</f>
        <v/>
      </c>
      <c r="I264" s="202"/>
      <c r="J264" s="200" t="str">
        <f aca="false">IF($A265="","",VLOOKUP($A264,Table,MATCH(J$4,Curves,0)))</f>
        <v/>
      </c>
      <c r="K264" s="201" t="str">
        <f aca="false">IF(A265="","",J264)</f>
        <v/>
      </c>
      <c r="L264" s="200" t="str">
        <f aca="false">IF($A265="","",VLOOKUP($A264,Table,MATCH(L$4,Curves,0)))</f>
        <v/>
      </c>
      <c r="M264" s="201" t="str">
        <f aca="false">IF(A265="","",L264)</f>
        <v/>
      </c>
      <c r="N264" s="203"/>
      <c r="O264" s="200" t="str">
        <f aca="false">IF(A265="","",L264+J264+G264)</f>
        <v/>
      </c>
      <c r="P264" s="200" t="str">
        <f aca="false">IF(A265="","",M264+K264+H264)</f>
        <v/>
      </c>
      <c r="Q264" s="204"/>
      <c r="R264" s="200" t="str">
        <f aca="false">IF($A265="","",VLOOKUP($A264,Table,MATCH(R$4,Curves,0)))</f>
        <v/>
      </c>
      <c r="S264" s="201" t="str">
        <f aca="false">IF(A265="","",R264)</f>
        <v/>
      </c>
      <c r="T264" s="200" t="str">
        <f aca="false">IF($A265="","",VLOOKUP($A264,Table,MATCH(T$4,Curves,0)))</f>
        <v/>
      </c>
      <c r="U264" s="201" t="str">
        <f aca="false">IF(A265="","",T264)</f>
        <v/>
      </c>
      <c r="V264" s="225" t="str">
        <f aca="false">IF($A265="","",IF(AND(MONTH(A264)&gt;3,MONTH(A264)&lt;11),(T264+R264+G264)*(((1/(1-Summary!$T$12))/(1-Summary!$W$12))-1),(T264+R264+G264)*((1/(1-Summary!$U$12))/(1-Summary!$X$12)-1)))</f>
        <v/>
      </c>
      <c r="W264" s="200" t="str">
        <f aca="false">IF($A265="","",(T264+R264+G264+V264))</f>
        <v/>
      </c>
      <c r="X264" s="200" t="str">
        <f aca="false">IF($A265="","",(U264+S264+H264+V264))</f>
        <v/>
      </c>
      <c r="Y264" s="202"/>
      <c r="Z264" s="185" t="str">
        <f aca="false">IF($A265="","",VLOOKUP($A264,Table,MATCH(Z$4,Curves,0)))</f>
        <v/>
      </c>
      <c r="AA264" s="185" t="str">
        <f aca="false">IF($A265="","",VLOOKUP($A264,Table,MATCH(AA$4,Curves,0)))</f>
        <v/>
      </c>
      <c r="AB264" s="185" t="e">
        <f aca="false">SQRT((AA264^2*(A264-$D$3)+Z264^2*(DAY(EOMONTH(A264,0))/2))/AK264)</f>
        <v>#VALUE!</v>
      </c>
      <c r="AC264" s="185" t="str">
        <f aca="false">IF($A265="","",VLOOKUP($A264,Table,MATCH(AC$4,Curves,0)))</f>
        <v/>
      </c>
      <c r="AD264" s="185" t="str">
        <f aca="false">IF($A265="","",VLOOKUP($A264,Table,MATCH(AD$4,Curves,0)))</f>
        <v/>
      </c>
      <c r="AE264" s="185" t="e">
        <f aca="false">SQRT((AD264^2*(A264-$D$3)+AC264^2*(DAY(EOMONTH(A264,0))/2))/AK264)</f>
        <v>#VALUE!</v>
      </c>
      <c r="AF264" s="206" t="e">
        <f aca="false">((Summary!$N$12*(AA264*AD264)*(A264-$D$3))+(Summary!$M$12*Z264*AC264*(AJ264-EOMONTH(EDATE(A264,-1),0))))/(AK264*AB264*AE264)</f>
        <v>#VALUE!</v>
      </c>
      <c r="AG264" s="207" t="str">
        <f aca="false">IF($A265="","",Summary!$Q$12)</f>
        <v/>
      </c>
      <c r="AH264" s="207" t="str">
        <f aca="false">IF($A265="","",IF(Summary!$R$12="Y",(VLOOKUP($A264,Summary!$AD$6:$AF$9,3)+'Escalating commodity'!H277),'Escalating commodity'!H277))</f>
        <v/>
      </c>
      <c r="AI264" s="207" t="str">
        <f aca="false">IF($A265="","",AH264)</f>
        <v/>
      </c>
      <c r="AJ264" s="208" t="e">
        <f aca="false">A264+DAY(EOMONTH(A264,0))/2-1</f>
        <v>#VALUE!</v>
      </c>
      <c r="AK264" s="209" t="str">
        <f aca="false">IF($A265="","",$A264-$E$1)</f>
        <v/>
      </c>
      <c r="AL264" s="182" t="str">
        <f aca="false">IF($A265="","",SPRDOPT(P264,X264,AI264,0,AB264,AE264,AF264,AK264,$AJ$2,0))</f>
        <v/>
      </c>
      <c r="AM264" s="211" t="str">
        <f aca="false">IF($A265="","",MAX(0,O264-W264-AI264))</f>
        <v/>
      </c>
      <c r="AN264" s="211" t="str">
        <f aca="false">IF($A265="","",AL264-AM264)</f>
        <v/>
      </c>
      <c r="AO264" s="137" t="str">
        <f aca="false">IF(A265="","",A265-A264)</f>
        <v/>
      </c>
      <c r="AP264" s="212" t="str">
        <f aca="false">IF(A265="","",CHOOSE(F$3,A265+24,A264))</f>
        <v/>
      </c>
      <c r="AQ264" s="209" t="str">
        <f aca="false">IF(A265="","",AP264-$E$1)</f>
        <v/>
      </c>
      <c r="AR264" s="185" t="n">
        <f aca="false">'ANR OK vs ML7'!AR264</f>
        <v>0.1</v>
      </c>
      <c r="AS264" s="213" t="str">
        <f aca="false">IF(A265="","",1/(1+CHOOSE(F$3,(AR265+($I$3/10000))/2,(AR264+($I$3/10000))/2))^(2*AQ264/365.25))</f>
        <v/>
      </c>
      <c r="AT264" s="137" t="str">
        <f aca="false">IF(A265="","",IF(AND(mthbeg&lt;=A264,mthend&gt;=A264),1,0))</f>
        <v/>
      </c>
      <c r="AU264" s="137" t="str">
        <f aca="false">IF(A265="","",AO264*AT264)</f>
        <v/>
      </c>
      <c r="AW264" s="195" t="str">
        <f aca="false">IF($A265="","",AL264*$E264)</f>
        <v/>
      </c>
      <c r="AX264" s="195" t="str">
        <f aca="false">IF($A265="","",AM264*$E264)</f>
        <v/>
      </c>
      <c r="AY264" s="195" t="str">
        <f aca="false">IF($A265="","",AN264*$E264)</f>
        <v/>
      </c>
      <c r="BA264" s="195" t="str">
        <f aca="false">IF($A265="","",F264*Summary!$Q$12)</f>
        <v/>
      </c>
    </row>
    <row r="265" customFormat="false" ht="12" hidden="false" customHeight="true" outlineLevel="0" collapsed="false">
      <c r="A265" s="196" t="str">
        <f aca="false">IF(A264&lt;mthend,EDATE(A264,1),"")</f>
        <v/>
      </c>
      <c r="B265" s="197" t="str">
        <f aca="false">IF(A265&lt;mthend,B264,"")</f>
        <v/>
      </c>
      <c r="C265" s="215"/>
      <c r="D265" s="197" t="str">
        <f aca="false">IF(A266&lt;&gt;"",B265+C265,"")</f>
        <v/>
      </c>
      <c r="E265" s="199" t="str">
        <f aca="false">IF(A266="","",IF(AND(AT265=1,$H$3=1),D265*AO265,IF($H$3=2,D265,"N/A")))</f>
        <v/>
      </c>
      <c r="F265" s="199" t="str">
        <f aca="false">IF(A266="","",E265*AS265)</f>
        <v/>
      </c>
      <c r="G265" s="200" t="str">
        <f aca="false">IF($A266="","",VLOOKUP($A265,Table,MATCH(G$4,Curves,0)))</f>
        <v/>
      </c>
      <c r="H265" s="201" t="str">
        <f aca="false">IF(A266="","",G265)</f>
        <v/>
      </c>
      <c r="I265" s="202"/>
      <c r="J265" s="200" t="str">
        <f aca="false">IF($A266="","",VLOOKUP($A265,Table,MATCH(J$4,Curves,0)))</f>
        <v/>
      </c>
      <c r="K265" s="201" t="str">
        <f aca="false">IF(A266="","",J265)</f>
        <v/>
      </c>
      <c r="L265" s="200" t="str">
        <f aca="false">IF($A266="","",VLOOKUP($A265,Table,MATCH(L$4,Curves,0)))</f>
        <v/>
      </c>
      <c r="M265" s="201" t="str">
        <f aca="false">IF(A266="","",L265)</f>
        <v/>
      </c>
      <c r="N265" s="203"/>
      <c r="O265" s="200" t="str">
        <f aca="false">IF(A266="","",L265+J265+G265)</f>
        <v/>
      </c>
      <c r="P265" s="200" t="str">
        <f aca="false">IF(A266="","",M265+K265+H265)</f>
        <v/>
      </c>
      <c r="Q265" s="204"/>
      <c r="R265" s="200" t="str">
        <f aca="false">IF($A266="","",VLOOKUP($A265,Table,MATCH(R$4,Curves,0)))</f>
        <v/>
      </c>
      <c r="S265" s="201" t="str">
        <f aca="false">IF(A266="","",R265)</f>
        <v/>
      </c>
      <c r="T265" s="200" t="str">
        <f aca="false">IF($A266="","",VLOOKUP($A265,Table,MATCH(T$4,Curves,0)))</f>
        <v/>
      </c>
      <c r="U265" s="201" t="str">
        <f aca="false">IF(A266="","",T265)</f>
        <v/>
      </c>
      <c r="V265" s="225" t="str">
        <f aca="false">IF($A266="","",IF(AND(MONTH(A265)&gt;3,MONTH(A265)&lt;11),(T265+R265+G265)*(((1/(1-Summary!$T$12))/(1-Summary!$W$12))-1),(T265+R265+G265)*((1/(1-Summary!$U$12))/(1-Summary!$X$12)-1)))</f>
        <v/>
      </c>
      <c r="W265" s="200" t="str">
        <f aca="false">IF($A266="","",(T265+R265+G265+V265))</f>
        <v/>
      </c>
      <c r="X265" s="200" t="str">
        <f aca="false">IF($A266="","",(U265+S265+H265+V265))</f>
        <v/>
      </c>
      <c r="Y265" s="202"/>
      <c r="Z265" s="185" t="str">
        <f aca="false">IF($A266="","",VLOOKUP($A265,Table,MATCH(Z$4,Curves,0)))</f>
        <v/>
      </c>
      <c r="AA265" s="185" t="str">
        <f aca="false">IF($A266="","",VLOOKUP($A265,Table,MATCH(AA$4,Curves,0)))</f>
        <v/>
      </c>
      <c r="AB265" s="185" t="e">
        <f aca="false">SQRT((AA265^2*(A265-$D$3)+Z265^2*(DAY(EOMONTH(A265,0))/2))/AK265)</f>
        <v>#VALUE!</v>
      </c>
      <c r="AC265" s="185" t="str">
        <f aca="false">IF($A266="","",VLOOKUP($A265,Table,MATCH(AC$4,Curves,0)))</f>
        <v/>
      </c>
      <c r="AD265" s="185" t="str">
        <f aca="false">IF($A266="","",VLOOKUP($A265,Table,MATCH(AD$4,Curves,0)))</f>
        <v/>
      </c>
      <c r="AE265" s="185" t="e">
        <f aca="false">SQRT((AD265^2*(A265-$D$3)+AC265^2*(DAY(EOMONTH(A265,0))/2))/AK265)</f>
        <v>#VALUE!</v>
      </c>
      <c r="AF265" s="206" t="e">
        <f aca="false">((Summary!$N$12*(AA265*AD265)*(A265-$D$3))+(Summary!$M$12*Z265*AC265*(AJ265-EOMONTH(EDATE(A265,-1),0))))/(AK265*AB265*AE265)</f>
        <v>#VALUE!</v>
      </c>
      <c r="AG265" s="207" t="str">
        <f aca="false">IF($A266="","",Summary!$Q$12)</f>
        <v/>
      </c>
      <c r="AH265" s="207" t="str">
        <f aca="false">IF($A266="","",IF(Summary!$R$12="Y",(VLOOKUP($A265,Summary!$AD$6:$AF$9,3)+'Escalating commodity'!H278),'Escalating commodity'!H278))</f>
        <v/>
      </c>
      <c r="AI265" s="207" t="str">
        <f aca="false">IF($A266="","",AH265)</f>
        <v/>
      </c>
      <c r="AJ265" s="208" t="e">
        <f aca="false">A265+DAY(EOMONTH(A265,0))/2-1</f>
        <v>#VALUE!</v>
      </c>
      <c r="AK265" s="209" t="str">
        <f aca="false">IF($A266="","",$A265-$E$1)</f>
        <v/>
      </c>
      <c r="AL265" s="182" t="str">
        <f aca="false">IF($A266="","",SPRDOPT(P265,X265,AI265,0,AB265,AE265,AF265,AK265,$AJ$2,0))</f>
        <v/>
      </c>
      <c r="AM265" s="211" t="str">
        <f aca="false">IF($A266="","",MAX(0,O265-W265-AI265))</f>
        <v/>
      </c>
      <c r="AN265" s="211" t="str">
        <f aca="false">IF($A266="","",AL265-AM265)</f>
        <v/>
      </c>
      <c r="AO265" s="137" t="str">
        <f aca="false">IF(A266="","",A266-A265)</f>
        <v/>
      </c>
      <c r="AP265" s="212" t="str">
        <f aca="false">IF(A266="","",CHOOSE(F$3,A266+24,A265))</f>
        <v/>
      </c>
      <c r="AQ265" s="209" t="str">
        <f aca="false">IF(A266="","",AP265-$E$1)</f>
        <v/>
      </c>
      <c r="AR265" s="185" t="n">
        <f aca="false">'ANR OK vs ML7'!AR265</f>
        <v>0.1</v>
      </c>
      <c r="AS265" s="213" t="str">
        <f aca="false">IF(A266="","",1/(1+CHOOSE(F$3,(AR266+($I$3/10000))/2,(AR265+($I$3/10000))/2))^(2*AQ265/365.25))</f>
        <v/>
      </c>
      <c r="AT265" s="137" t="str">
        <f aca="false">IF(A266="","",IF(AND(mthbeg&lt;=A265,mthend&gt;=A265),1,0))</f>
        <v/>
      </c>
      <c r="AU265" s="137" t="str">
        <f aca="false">IF(A266="","",AO265*AT265)</f>
        <v/>
      </c>
      <c r="AW265" s="195" t="str">
        <f aca="false">IF($A266="","",AL265*$E265)</f>
        <v/>
      </c>
      <c r="AX265" s="195" t="str">
        <f aca="false">IF($A266="","",AM265*$E265)</f>
        <v/>
      </c>
      <c r="AY265" s="195" t="str">
        <f aca="false">IF($A266="","",AN265*$E265)</f>
        <v/>
      </c>
      <c r="BA265" s="195" t="str">
        <f aca="false">IF($A266="","",F265*Summary!$Q$12)</f>
        <v/>
      </c>
    </row>
    <row r="266" customFormat="false" ht="12" hidden="false" customHeight="true" outlineLevel="0" collapsed="false">
      <c r="A266" s="196" t="str">
        <f aca="false">IF(A265&lt;mthend,EDATE(A265,1),"")</f>
        <v/>
      </c>
      <c r="B266" s="197" t="str">
        <f aca="false">IF(A266&lt;mthend,B265,"")</f>
        <v/>
      </c>
      <c r="C266" s="215"/>
      <c r="D266" s="197" t="str">
        <f aca="false">IF(A267&lt;&gt;"",B266+C266,"")</f>
        <v/>
      </c>
      <c r="E266" s="199" t="str">
        <f aca="false">IF(A267="","",IF(AND(AT266=1,$H$3=1),D266*AO266,IF($H$3=2,D266,"N/A")))</f>
        <v/>
      </c>
      <c r="F266" s="199" t="str">
        <f aca="false">IF(A267="","",E266*AS266)</f>
        <v/>
      </c>
      <c r="G266" s="200" t="str">
        <f aca="false">IF($A267="","",VLOOKUP($A266,Table,MATCH(G$4,Curves,0)))</f>
        <v/>
      </c>
      <c r="H266" s="201" t="str">
        <f aca="false">IF(A267="","",G266)</f>
        <v/>
      </c>
      <c r="I266" s="202"/>
      <c r="J266" s="200" t="str">
        <f aca="false">IF($A267="","",VLOOKUP($A266,Table,MATCH(J$4,Curves,0)))</f>
        <v/>
      </c>
      <c r="K266" s="201" t="str">
        <f aca="false">IF(A267="","",J266)</f>
        <v/>
      </c>
      <c r="L266" s="200" t="str">
        <f aca="false">IF($A267="","",VLOOKUP($A266,Table,MATCH(L$4,Curves,0)))</f>
        <v/>
      </c>
      <c r="M266" s="201" t="str">
        <f aca="false">IF(A267="","",L266)</f>
        <v/>
      </c>
      <c r="N266" s="203"/>
      <c r="O266" s="200" t="str">
        <f aca="false">IF(A267="","",L266+J266+G266)</f>
        <v/>
      </c>
      <c r="P266" s="200" t="str">
        <f aca="false">IF(A267="","",M266+K266+H266)</f>
        <v/>
      </c>
      <c r="Q266" s="204"/>
      <c r="R266" s="200" t="str">
        <f aca="false">IF($A267="","",VLOOKUP($A266,Table,MATCH(R$4,Curves,0)))</f>
        <v/>
      </c>
      <c r="S266" s="201" t="str">
        <f aca="false">IF(A267="","",R266)</f>
        <v/>
      </c>
      <c r="T266" s="200" t="str">
        <f aca="false">IF($A267="","",VLOOKUP($A266,Table,MATCH(T$4,Curves,0)))</f>
        <v/>
      </c>
      <c r="U266" s="201" t="str">
        <f aca="false">IF(A267="","",T266)</f>
        <v/>
      </c>
      <c r="V266" s="225" t="str">
        <f aca="false">IF($A267="","",IF(AND(MONTH(A266)&gt;3,MONTH(A266)&lt;11),(T266+R266+G266)*(((1/(1-Summary!$T$12))/(1-Summary!$W$12))-1),(T266+R266+G266)*((1/(1-Summary!$U$12))/(1-Summary!$X$12)-1)))</f>
        <v/>
      </c>
      <c r="W266" s="200" t="str">
        <f aca="false">IF($A267="","",(T266+R266+G266+V266))</f>
        <v/>
      </c>
      <c r="X266" s="200" t="str">
        <f aca="false">IF($A267="","",(U266+S266+H266+V266))</f>
        <v/>
      </c>
      <c r="Y266" s="202"/>
      <c r="Z266" s="185" t="str">
        <f aca="false">IF($A267="","",VLOOKUP($A266,Table,MATCH(Z$4,Curves,0)))</f>
        <v/>
      </c>
      <c r="AA266" s="185" t="str">
        <f aca="false">IF($A267="","",VLOOKUP($A266,Table,MATCH(AA$4,Curves,0)))</f>
        <v/>
      </c>
      <c r="AB266" s="185" t="e">
        <f aca="false">SQRT((AA266^2*(A266-$D$3)+Z266^2*(DAY(EOMONTH(A266,0))/2))/AK266)</f>
        <v>#VALUE!</v>
      </c>
      <c r="AC266" s="185" t="str">
        <f aca="false">IF($A267="","",VLOOKUP($A266,Table,MATCH(AC$4,Curves,0)))</f>
        <v/>
      </c>
      <c r="AD266" s="185" t="str">
        <f aca="false">IF($A267="","",VLOOKUP($A266,Table,MATCH(AD$4,Curves,0)))</f>
        <v/>
      </c>
      <c r="AE266" s="185" t="e">
        <f aca="false">SQRT((AD266^2*(A266-$D$3)+AC266^2*(DAY(EOMONTH(A266,0))/2))/AK266)</f>
        <v>#VALUE!</v>
      </c>
      <c r="AF266" s="206" t="e">
        <f aca="false">((Summary!$N$12*(AA266*AD266)*(A266-$D$3))+(Summary!$M$12*Z266*AC266*(AJ266-EOMONTH(EDATE(A266,-1),0))))/(AK266*AB266*AE266)</f>
        <v>#VALUE!</v>
      </c>
      <c r="AG266" s="207" t="str">
        <f aca="false">IF($A267="","",Summary!$Q$12)</f>
        <v/>
      </c>
      <c r="AH266" s="207" t="str">
        <f aca="false">IF($A267="","",IF(Summary!$R$12="Y",(VLOOKUP($A266,Summary!$AD$6:$AF$9,3)+'Escalating commodity'!H279),'Escalating commodity'!H279))</f>
        <v/>
      </c>
      <c r="AI266" s="207" t="str">
        <f aca="false">IF($A267="","",AH266)</f>
        <v/>
      </c>
      <c r="AJ266" s="208" t="e">
        <f aca="false">A266+DAY(EOMONTH(A266,0))/2-1</f>
        <v>#VALUE!</v>
      </c>
      <c r="AK266" s="209" t="str">
        <f aca="false">IF($A267="","",$A266-$E$1)</f>
        <v/>
      </c>
      <c r="AL266" s="182" t="str">
        <f aca="false">IF($A267="","",SPRDOPT(P266,X266,AI266,0,AB266,AE266,AF266,AK266,$AJ$2,0))</f>
        <v/>
      </c>
      <c r="AM266" s="211" t="str">
        <f aca="false">IF($A267="","",MAX(0,O266-W266-AI266))</f>
        <v/>
      </c>
      <c r="AN266" s="211" t="str">
        <f aca="false">IF($A267="","",AL266-AM266)</f>
        <v/>
      </c>
      <c r="AO266" s="137" t="str">
        <f aca="false">IF(A267="","",A267-A266)</f>
        <v/>
      </c>
      <c r="AP266" s="212" t="str">
        <f aca="false">IF(A267="","",CHOOSE(F$3,A267+24,A266))</f>
        <v/>
      </c>
      <c r="AQ266" s="209" t="str">
        <f aca="false">IF(A267="","",AP266-$E$1)</f>
        <v/>
      </c>
      <c r="AR266" s="185" t="n">
        <f aca="false">'ANR OK vs ML7'!AR266</f>
        <v>0.1</v>
      </c>
      <c r="AS266" s="213" t="str">
        <f aca="false">IF(A267="","",1/(1+CHOOSE(F$3,(AR267+($I$3/10000))/2,(AR266+($I$3/10000))/2))^(2*AQ266/365.25))</f>
        <v/>
      </c>
      <c r="AT266" s="137" t="str">
        <f aca="false">IF(A267="","",IF(AND(mthbeg&lt;=A266,mthend&gt;=A266),1,0))</f>
        <v/>
      </c>
      <c r="AU266" s="137" t="str">
        <f aca="false">IF(A267="","",AO266*AT266)</f>
        <v/>
      </c>
      <c r="AW266" s="195" t="str">
        <f aca="false">IF($A267="","",AL266*$E266)</f>
        <v/>
      </c>
      <c r="AX266" s="195" t="str">
        <f aca="false">IF($A267="","",AM266*$E266)</f>
        <v/>
      </c>
      <c r="AY266" s="195" t="str">
        <f aca="false">IF($A267="","",AN266*$E266)</f>
        <v/>
      </c>
      <c r="BA266" s="195" t="str">
        <f aca="false">IF($A267="","",F266*Summary!$Q$12)</f>
        <v/>
      </c>
    </row>
    <row r="267" customFormat="false" ht="12" hidden="false" customHeight="true" outlineLevel="0" collapsed="false">
      <c r="A267" s="196" t="str">
        <f aca="false">IF(A266&lt;mthend,EDATE(A266,1),"")</f>
        <v/>
      </c>
      <c r="B267" s="197" t="str">
        <f aca="false">IF(A267&lt;mthend,B266,"")</f>
        <v/>
      </c>
      <c r="C267" s="215"/>
      <c r="D267" s="197" t="str">
        <f aca="false">IF(A268&lt;&gt;"",B267+C267,"")</f>
        <v/>
      </c>
      <c r="E267" s="199" t="str">
        <f aca="false">IF(A268="","",IF(AND(AT267=1,$H$3=1),D267*AO267,IF($H$3=2,D267,"N/A")))</f>
        <v/>
      </c>
      <c r="F267" s="199" t="str">
        <f aca="false">IF(A268="","",E267*AS267)</f>
        <v/>
      </c>
      <c r="G267" s="200" t="str">
        <f aca="false">IF($A268="","",VLOOKUP($A267,Table,MATCH(G$4,Curves,0)))</f>
        <v/>
      </c>
      <c r="H267" s="201" t="str">
        <f aca="false">IF(A268="","",G267)</f>
        <v/>
      </c>
      <c r="I267" s="202"/>
      <c r="J267" s="200" t="str">
        <f aca="false">IF($A268="","",VLOOKUP($A267,Table,MATCH(J$4,Curves,0)))</f>
        <v/>
      </c>
      <c r="K267" s="201" t="str">
        <f aca="false">IF(A268="","",J267)</f>
        <v/>
      </c>
      <c r="L267" s="200" t="str">
        <f aca="false">IF($A268="","",VLOOKUP($A267,Table,MATCH(L$4,Curves,0)))</f>
        <v/>
      </c>
      <c r="M267" s="201" t="str">
        <f aca="false">IF(A268="","",L267)</f>
        <v/>
      </c>
      <c r="N267" s="203"/>
      <c r="O267" s="200" t="str">
        <f aca="false">IF(A268="","",L267+J267+G267)</f>
        <v/>
      </c>
      <c r="P267" s="200" t="str">
        <f aca="false">IF(A268="","",M267+K267+H267)</f>
        <v/>
      </c>
      <c r="Q267" s="204"/>
      <c r="R267" s="200" t="str">
        <f aca="false">IF($A268="","",VLOOKUP($A267,Table,MATCH(R$4,Curves,0)))</f>
        <v/>
      </c>
      <c r="S267" s="201" t="str">
        <f aca="false">IF(A268="","",R267)</f>
        <v/>
      </c>
      <c r="T267" s="200" t="str">
        <f aca="false">IF($A268="","",VLOOKUP($A267,Table,MATCH(T$4,Curves,0)))</f>
        <v/>
      </c>
      <c r="U267" s="201" t="str">
        <f aca="false">IF(A268="","",T267)</f>
        <v/>
      </c>
      <c r="V267" s="225" t="str">
        <f aca="false">IF($A268="","",IF(AND(MONTH(A267)&gt;3,MONTH(A267)&lt;11),(T267+R267+G267)*(((1/(1-Summary!$T$12))/(1-Summary!$W$12))-1),(T267+R267+G267)*((1/(1-Summary!$U$12))/(1-Summary!$X$12)-1)))</f>
        <v/>
      </c>
      <c r="W267" s="200" t="str">
        <f aca="false">IF($A268="","",(T267+R267+G267+V267))</f>
        <v/>
      </c>
      <c r="X267" s="200" t="str">
        <f aca="false">IF($A268="","",(U267+S267+H267+V267))</f>
        <v/>
      </c>
      <c r="Y267" s="202"/>
      <c r="Z267" s="185" t="str">
        <f aca="false">IF($A268="","",VLOOKUP($A267,Table,MATCH(Z$4,Curves,0)))</f>
        <v/>
      </c>
      <c r="AA267" s="185" t="str">
        <f aca="false">IF($A268="","",VLOOKUP($A267,Table,MATCH(AA$4,Curves,0)))</f>
        <v/>
      </c>
      <c r="AB267" s="185" t="e">
        <f aca="false">SQRT((AA267^2*(A267-$D$3)+Z267^2*(DAY(EOMONTH(A267,0))/2))/AK267)</f>
        <v>#VALUE!</v>
      </c>
      <c r="AC267" s="185" t="str">
        <f aca="false">IF($A268="","",VLOOKUP($A267,Table,MATCH(AC$4,Curves,0)))</f>
        <v/>
      </c>
      <c r="AD267" s="185" t="str">
        <f aca="false">IF($A268="","",VLOOKUP($A267,Table,MATCH(AD$4,Curves,0)))</f>
        <v/>
      </c>
      <c r="AE267" s="185" t="e">
        <f aca="false">SQRT((AD267^2*(A267-$D$3)+AC267^2*(DAY(EOMONTH(A267,0))/2))/AK267)</f>
        <v>#VALUE!</v>
      </c>
      <c r="AF267" s="206" t="e">
        <f aca="false">((Summary!$N$12*(AA267*AD267)*(A267-$D$3))+(Summary!$M$12*Z267*AC267*(AJ267-EOMONTH(EDATE(A267,-1),0))))/(AK267*AB267*AE267)</f>
        <v>#VALUE!</v>
      </c>
      <c r="AG267" s="207" t="str">
        <f aca="false">IF($A268="","",Summary!$Q$12)</f>
        <v/>
      </c>
      <c r="AH267" s="207" t="str">
        <f aca="false">IF($A268="","",IF(Summary!$R$12="Y",(VLOOKUP($A267,Summary!$AD$6:$AF$9,3)+'Escalating commodity'!H280),'Escalating commodity'!H280))</f>
        <v/>
      </c>
      <c r="AI267" s="207" t="str">
        <f aca="false">IF($A268="","",AH267)</f>
        <v/>
      </c>
      <c r="AJ267" s="208" t="e">
        <f aca="false">A267+DAY(EOMONTH(A267,0))/2-1</f>
        <v>#VALUE!</v>
      </c>
      <c r="AK267" s="209" t="str">
        <f aca="false">IF($A268="","",$A267-$E$1)</f>
        <v/>
      </c>
      <c r="AL267" s="182" t="str">
        <f aca="false">IF($A268="","",SPRDOPT(P267,X267,AI267,0,AB267,AE267,AF267,AK267,$AJ$2,0))</f>
        <v/>
      </c>
      <c r="AM267" s="211" t="str">
        <f aca="false">IF($A268="","",MAX(0,O267-W267-AI267))</f>
        <v/>
      </c>
      <c r="AN267" s="211" t="str">
        <f aca="false">IF($A268="","",AL267-AM267)</f>
        <v/>
      </c>
      <c r="AO267" s="137" t="str">
        <f aca="false">IF(A268="","",A268-A267)</f>
        <v/>
      </c>
      <c r="AP267" s="212" t="str">
        <f aca="false">IF(A268="","",CHOOSE(F$3,A268+24,A267))</f>
        <v/>
      </c>
      <c r="AQ267" s="209" t="str">
        <f aca="false">IF(A268="","",AP267-$E$1)</f>
        <v/>
      </c>
      <c r="AR267" s="185" t="n">
        <f aca="false">'ANR OK vs ML7'!AR267</f>
        <v>0.1</v>
      </c>
      <c r="AS267" s="213" t="str">
        <f aca="false">IF(A268="","",1/(1+CHOOSE(F$3,(AR268+($I$3/10000))/2,(AR267+($I$3/10000))/2))^(2*AQ267/365.25))</f>
        <v/>
      </c>
      <c r="AT267" s="137" t="str">
        <f aca="false">IF(A268="","",IF(AND(mthbeg&lt;=A267,mthend&gt;=A267),1,0))</f>
        <v/>
      </c>
      <c r="AU267" s="137" t="str">
        <f aca="false">IF(A268="","",AO267*AT267)</f>
        <v/>
      </c>
      <c r="AW267" s="195" t="str">
        <f aca="false">IF($A268="","",AL267*$E267)</f>
        <v/>
      </c>
      <c r="AX267" s="195" t="str">
        <f aca="false">IF($A268="","",AM267*$E267)</f>
        <v/>
      </c>
      <c r="AY267" s="195" t="str">
        <f aca="false">IF($A268="","",AN267*$E267)</f>
        <v/>
      </c>
      <c r="BA267" s="195" t="str">
        <f aca="false">IF($A268="","",F267*Summary!$Q$12)</f>
        <v/>
      </c>
    </row>
    <row r="268" customFormat="false" ht="12" hidden="false" customHeight="true" outlineLevel="0" collapsed="false">
      <c r="A268" s="196" t="str">
        <f aca="false">IF(A267&lt;mthend,EDATE(A267,1),"")</f>
        <v/>
      </c>
      <c r="B268" s="197" t="str">
        <f aca="false">IF(A268&lt;mthend,B267,"")</f>
        <v/>
      </c>
      <c r="C268" s="215"/>
      <c r="D268" s="197" t="str">
        <f aca="false">IF(A269&lt;&gt;"",B268+C268,"")</f>
        <v/>
      </c>
      <c r="E268" s="199" t="str">
        <f aca="false">IF(A269="","",IF(AND(AT268=1,$H$3=1),D268*AO268,IF($H$3=2,D268,"N/A")))</f>
        <v/>
      </c>
      <c r="F268" s="199" t="str">
        <f aca="false">IF(A269="","",E268*AS268)</f>
        <v/>
      </c>
      <c r="G268" s="200" t="str">
        <f aca="false">IF($A269="","",VLOOKUP($A268,Table,MATCH(G$4,Curves,0)))</f>
        <v/>
      </c>
      <c r="H268" s="201" t="str">
        <f aca="false">IF(A269="","",G268)</f>
        <v/>
      </c>
      <c r="I268" s="202"/>
      <c r="J268" s="200" t="str">
        <f aca="false">IF($A269="","",VLOOKUP($A268,Table,MATCH(J$4,Curves,0)))</f>
        <v/>
      </c>
      <c r="K268" s="201" t="str">
        <f aca="false">IF(A269="","",J268)</f>
        <v/>
      </c>
      <c r="L268" s="200" t="str">
        <f aca="false">IF($A269="","",VLOOKUP($A268,Table,MATCH(L$4,Curves,0)))</f>
        <v/>
      </c>
      <c r="M268" s="201" t="str">
        <f aca="false">IF(A269="","",L268)</f>
        <v/>
      </c>
      <c r="N268" s="203"/>
      <c r="O268" s="200" t="str">
        <f aca="false">IF(A269="","",L268+J268+G268)</f>
        <v/>
      </c>
      <c r="P268" s="200" t="str">
        <f aca="false">IF(A269="","",M268+K268+H268)</f>
        <v/>
      </c>
      <c r="Q268" s="204"/>
      <c r="R268" s="200" t="str">
        <f aca="false">IF($A269="","",VLOOKUP($A268,Table,MATCH(R$4,Curves,0)))</f>
        <v/>
      </c>
      <c r="S268" s="201" t="str">
        <f aca="false">IF(A269="","",R268)</f>
        <v/>
      </c>
      <c r="T268" s="200" t="str">
        <f aca="false">IF($A269="","",VLOOKUP($A268,Table,MATCH(T$4,Curves,0)))</f>
        <v/>
      </c>
      <c r="U268" s="201" t="str">
        <f aca="false">IF(A269="","",T268)</f>
        <v/>
      </c>
      <c r="V268" s="225" t="str">
        <f aca="false">IF($A269="","",IF(AND(MONTH(A268)&gt;3,MONTH(A268)&lt;11),(T268+R268+G268)*(((1/(1-Summary!$T$12))/(1-Summary!$W$12))-1),(T268+R268+G268)*((1/(1-Summary!$U$12))/(1-Summary!$X$12)-1)))</f>
        <v/>
      </c>
      <c r="W268" s="200" t="str">
        <f aca="false">IF($A269="","",(T268+R268+G268+V268))</f>
        <v/>
      </c>
      <c r="X268" s="200" t="str">
        <f aca="false">IF($A269="","",(U268+S268+H268+V268))</f>
        <v/>
      </c>
      <c r="Y268" s="202"/>
      <c r="Z268" s="185" t="str">
        <f aca="false">IF($A269="","",VLOOKUP($A268,Table,MATCH(Z$4,Curves,0)))</f>
        <v/>
      </c>
      <c r="AA268" s="185" t="str">
        <f aca="false">IF($A269="","",VLOOKUP($A268,Table,MATCH(AA$4,Curves,0)))</f>
        <v/>
      </c>
      <c r="AB268" s="185" t="e">
        <f aca="false">SQRT((AA268^2*(A268-$D$3)+Z268^2*(DAY(EOMONTH(A268,0))/2))/AK268)</f>
        <v>#VALUE!</v>
      </c>
      <c r="AC268" s="185" t="str">
        <f aca="false">IF($A269="","",VLOOKUP($A268,Table,MATCH(AC$4,Curves,0)))</f>
        <v/>
      </c>
      <c r="AD268" s="185" t="str">
        <f aca="false">IF($A269="","",VLOOKUP($A268,Table,MATCH(AD$4,Curves,0)))</f>
        <v/>
      </c>
      <c r="AE268" s="185" t="e">
        <f aca="false">SQRT((AD268^2*(A268-$D$3)+AC268^2*(DAY(EOMONTH(A268,0))/2))/AK268)</f>
        <v>#VALUE!</v>
      </c>
      <c r="AF268" s="206" t="e">
        <f aca="false">((Summary!$N$12*(AA268*AD268)*(A268-$D$3))+(Summary!$M$12*Z268*AC268*(AJ268-EOMONTH(EDATE(A268,-1),0))))/(AK268*AB268*AE268)</f>
        <v>#VALUE!</v>
      </c>
      <c r="AG268" s="207" t="str">
        <f aca="false">IF($A269="","",Summary!$Q$12)</f>
        <v/>
      </c>
      <c r="AH268" s="207" t="str">
        <f aca="false">IF($A269="","",IF(Summary!$R$12="Y",(VLOOKUP($A268,Summary!$AD$6:$AF$9,3)+'Escalating commodity'!H281),'Escalating commodity'!H281))</f>
        <v/>
      </c>
      <c r="AI268" s="207" t="str">
        <f aca="false">IF($A269="","",AH268)</f>
        <v/>
      </c>
      <c r="AJ268" s="208" t="e">
        <f aca="false">A268+DAY(EOMONTH(A268,0))/2-1</f>
        <v>#VALUE!</v>
      </c>
      <c r="AK268" s="209" t="str">
        <f aca="false">IF($A269="","",$A268-$E$1)</f>
        <v/>
      </c>
      <c r="AL268" s="182" t="str">
        <f aca="false">IF($A269="","",SPRDOPT(P268,X268,AI268,0,AB268,AE268,AF268,AK268,$AJ$2,0))</f>
        <v/>
      </c>
      <c r="AM268" s="211" t="str">
        <f aca="false">IF($A269="","",MAX(0,O268-W268-AI268))</f>
        <v/>
      </c>
      <c r="AN268" s="211" t="str">
        <f aca="false">IF($A269="","",AL268-AM268)</f>
        <v/>
      </c>
      <c r="AO268" s="137" t="str">
        <f aca="false">IF(A269="","",A269-A268)</f>
        <v/>
      </c>
      <c r="AP268" s="212" t="str">
        <f aca="false">IF(A269="","",CHOOSE(F$3,A269+24,A268))</f>
        <v/>
      </c>
      <c r="AQ268" s="209" t="str">
        <f aca="false">IF(A269="","",AP268-$E$1)</f>
        <v/>
      </c>
      <c r="AR268" s="185" t="n">
        <f aca="false">'ANR OK vs ML7'!AR268</f>
        <v>0.1</v>
      </c>
      <c r="AS268" s="213" t="str">
        <f aca="false">IF(A269="","",1/(1+CHOOSE(F$3,(AR269+($I$3/10000))/2,(AR268+($I$3/10000))/2))^(2*AQ268/365.25))</f>
        <v/>
      </c>
      <c r="AT268" s="137" t="str">
        <f aca="false">IF(A269="","",IF(AND(mthbeg&lt;=A268,mthend&gt;=A268),1,0))</f>
        <v/>
      </c>
      <c r="AU268" s="137" t="str">
        <f aca="false">IF(A269="","",AO268*AT268)</f>
        <v/>
      </c>
      <c r="AW268" s="195" t="str">
        <f aca="false">IF($A269="","",AL268*$E268)</f>
        <v/>
      </c>
      <c r="AX268" s="195" t="str">
        <f aca="false">IF($A269="","",AM268*$E268)</f>
        <v/>
      </c>
      <c r="AY268" s="195" t="str">
        <f aca="false">IF($A269="","",AN268*$E268)</f>
        <v/>
      </c>
      <c r="BA268" s="195" t="str">
        <f aca="false">IF($A269="","",F268*Summary!$Q$12)</f>
        <v/>
      </c>
    </row>
    <row r="269" customFormat="false" ht="12" hidden="false" customHeight="true" outlineLevel="0" collapsed="false">
      <c r="A269" s="196" t="str">
        <f aca="false">IF(A268&lt;mthend,EDATE(A268,1),"")</f>
        <v/>
      </c>
      <c r="B269" s="197" t="str">
        <f aca="false">IF(A269&lt;mthend,B268,"")</f>
        <v/>
      </c>
      <c r="C269" s="215"/>
      <c r="D269" s="197" t="str">
        <f aca="false">IF(A270&lt;&gt;"",B269+C269,"")</f>
        <v/>
      </c>
      <c r="E269" s="199" t="str">
        <f aca="false">IF(A270="","",IF(AND(AT269=1,$H$3=1),D269*AO269,IF($H$3=2,D269,"N/A")))</f>
        <v/>
      </c>
      <c r="F269" s="199" t="str">
        <f aca="false">IF(A270="","",E269*AS269)</f>
        <v/>
      </c>
      <c r="G269" s="200" t="str">
        <f aca="false">IF($A270="","",VLOOKUP($A269,Table,MATCH(G$4,Curves,0)))</f>
        <v/>
      </c>
      <c r="H269" s="201" t="str">
        <f aca="false">IF(A270="","",G269)</f>
        <v/>
      </c>
      <c r="I269" s="202"/>
      <c r="J269" s="200" t="str">
        <f aca="false">IF($A270="","",VLOOKUP($A269,Table,MATCH(J$4,Curves,0)))</f>
        <v/>
      </c>
      <c r="K269" s="201" t="str">
        <f aca="false">IF(A270="","",J269)</f>
        <v/>
      </c>
      <c r="L269" s="200" t="str">
        <f aca="false">IF($A270="","",VLOOKUP($A269,Table,MATCH(L$4,Curves,0)))</f>
        <v/>
      </c>
      <c r="M269" s="201" t="str">
        <f aca="false">IF(A270="","",L269)</f>
        <v/>
      </c>
      <c r="N269" s="203"/>
      <c r="O269" s="200" t="str">
        <f aca="false">IF(A270="","",L269+J269+G269)</f>
        <v/>
      </c>
      <c r="P269" s="200" t="str">
        <f aca="false">IF(A270="","",M269+K269+H269)</f>
        <v/>
      </c>
      <c r="Q269" s="204"/>
      <c r="R269" s="200" t="str">
        <f aca="false">IF($A270="","",VLOOKUP($A269,Table,MATCH(R$4,Curves,0)))</f>
        <v/>
      </c>
      <c r="S269" s="201" t="str">
        <f aca="false">IF(A270="","",R269)</f>
        <v/>
      </c>
      <c r="T269" s="200" t="str">
        <f aca="false">IF($A270="","",VLOOKUP($A269,Table,MATCH(T$4,Curves,0)))</f>
        <v/>
      </c>
      <c r="U269" s="201" t="str">
        <f aca="false">IF(A270="","",T269)</f>
        <v/>
      </c>
      <c r="V269" s="225" t="str">
        <f aca="false">IF($A270="","",IF(AND(MONTH(A269)&gt;3,MONTH(A269)&lt;11),(T269+R269+G269)*(((1/(1-Summary!$T$12))/(1-Summary!$W$12))-1),(T269+R269+G269)*((1/(1-Summary!$U$12))/(1-Summary!$X$12)-1)))</f>
        <v/>
      </c>
      <c r="W269" s="200" t="str">
        <f aca="false">IF($A270="","",(T269+R269+G269+V269))</f>
        <v/>
      </c>
      <c r="X269" s="200" t="str">
        <f aca="false">IF($A270="","",(U269+S269+H269+V269))</f>
        <v/>
      </c>
      <c r="Y269" s="202"/>
      <c r="Z269" s="185" t="str">
        <f aca="false">IF($A270="","",VLOOKUP($A269,Table,MATCH(Z$4,Curves,0)))</f>
        <v/>
      </c>
      <c r="AA269" s="185" t="str">
        <f aca="false">IF($A270="","",VLOOKUP($A269,Table,MATCH(AA$4,Curves,0)))</f>
        <v/>
      </c>
      <c r="AB269" s="185" t="e">
        <f aca="false">SQRT((AA269^2*(A269-$D$3)+Z269^2*(DAY(EOMONTH(A269,0))/2))/AK269)</f>
        <v>#VALUE!</v>
      </c>
      <c r="AC269" s="185" t="str">
        <f aca="false">IF($A270="","",VLOOKUP($A269,Table,MATCH(AC$4,Curves,0)))</f>
        <v/>
      </c>
      <c r="AD269" s="185" t="str">
        <f aca="false">IF($A270="","",VLOOKUP($A269,Table,MATCH(AD$4,Curves,0)))</f>
        <v/>
      </c>
      <c r="AE269" s="185" t="e">
        <f aca="false">SQRT((AD269^2*(A269-$D$3)+AC269^2*(DAY(EOMONTH(A269,0))/2))/AK269)</f>
        <v>#VALUE!</v>
      </c>
      <c r="AF269" s="206" t="e">
        <f aca="false">((Summary!$N$12*(AA269*AD269)*(A269-$D$3))+(Summary!$M$12*Z269*AC269*(AJ269-EOMONTH(EDATE(A269,-1),0))))/(AK269*AB269*AE269)</f>
        <v>#VALUE!</v>
      </c>
      <c r="AG269" s="207" t="str">
        <f aca="false">IF($A270="","",Summary!$Q$12)</f>
        <v/>
      </c>
      <c r="AH269" s="207" t="str">
        <f aca="false">IF($A270="","",IF(Summary!$R$12="Y",(VLOOKUP($A269,Summary!$AD$6:$AF$9,3)+'Escalating commodity'!H282),'Escalating commodity'!H282))</f>
        <v/>
      </c>
      <c r="AI269" s="207" t="str">
        <f aca="false">IF($A270="","",AH269)</f>
        <v/>
      </c>
      <c r="AJ269" s="208" t="e">
        <f aca="false">A269+DAY(EOMONTH(A269,0))/2-1</f>
        <v>#VALUE!</v>
      </c>
      <c r="AK269" s="209" t="str">
        <f aca="false">IF($A270="","",$A269-$E$1)</f>
        <v/>
      </c>
      <c r="AL269" s="182" t="str">
        <f aca="false">IF($A270="","",SPRDOPT(P269,X269,AI269,0,AB269,AE269,AF269,AK269,$AJ$2,0))</f>
        <v/>
      </c>
      <c r="AM269" s="211" t="str">
        <f aca="false">IF($A270="","",MAX(0,O269-W269-AI269))</f>
        <v/>
      </c>
      <c r="AN269" s="211" t="str">
        <f aca="false">IF($A270="","",AL269-AM269)</f>
        <v/>
      </c>
      <c r="AO269" s="137" t="str">
        <f aca="false">IF(A270="","",A270-A269)</f>
        <v/>
      </c>
      <c r="AP269" s="212" t="str">
        <f aca="false">IF(A270="","",CHOOSE(F$3,A270+24,A269))</f>
        <v/>
      </c>
      <c r="AQ269" s="209" t="str">
        <f aca="false">IF(A270="","",AP269-$E$1)</f>
        <v/>
      </c>
      <c r="AR269" s="185" t="n">
        <f aca="false">'ANR OK vs ML7'!AR269</f>
        <v>0.1</v>
      </c>
      <c r="AS269" s="213" t="str">
        <f aca="false">IF(A270="","",1/(1+CHOOSE(F$3,(AR270+($I$3/10000))/2,(AR269+($I$3/10000))/2))^(2*AQ269/365.25))</f>
        <v/>
      </c>
      <c r="AT269" s="137" t="str">
        <f aca="false">IF(A270="","",IF(AND(mthbeg&lt;=A269,mthend&gt;=A269),1,0))</f>
        <v/>
      </c>
      <c r="AU269" s="137" t="str">
        <f aca="false">IF(A270="","",AO269*AT269)</f>
        <v/>
      </c>
      <c r="AW269" s="195" t="str">
        <f aca="false">IF($A270="","",AL269*$E269)</f>
        <v/>
      </c>
      <c r="AX269" s="195" t="str">
        <f aca="false">IF($A270="","",AM269*$E269)</f>
        <v/>
      </c>
      <c r="AY269" s="195" t="str">
        <f aca="false">IF($A270="","",AN269*$E269)</f>
        <v/>
      </c>
      <c r="BA269" s="195" t="str">
        <f aca="false">IF($A270="","",F269*Summary!$Q$12)</f>
        <v/>
      </c>
    </row>
    <row r="270" customFormat="false" ht="12" hidden="false" customHeight="true" outlineLevel="0" collapsed="false">
      <c r="A270" s="196" t="str">
        <f aca="false">IF(A269&lt;mthend,EDATE(A269,1),"")</f>
        <v/>
      </c>
      <c r="B270" s="197" t="str">
        <f aca="false">IF(A270&lt;mthend,B269,"")</f>
        <v/>
      </c>
      <c r="C270" s="215"/>
      <c r="D270" s="197" t="str">
        <f aca="false">IF(A271&lt;&gt;"",B270+C270,"")</f>
        <v/>
      </c>
      <c r="E270" s="199" t="str">
        <f aca="false">IF(A271="","",IF(AND(AT270=1,$H$3=1),D270*AO270,IF($H$3=2,D270,"N/A")))</f>
        <v/>
      </c>
      <c r="F270" s="199" t="str">
        <f aca="false">IF(A271="","",E270*AS270)</f>
        <v/>
      </c>
      <c r="G270" s="200" t="str">
        <f aca="false">IF($A271="","",VLOOKUP($A270,Table,MATCH(G$4,Curves,0)))</f>
        <v/>
      </c>
      <c r="H270" s="201" t="str">
        <f aca="false">IF(A271="","",G270)</f>
        <v/>
      </c>
      <c r="I270" s="202"/>
      <c r="J270" s="200" t="str">
        <f aca="false">IF($A271="","",VLOOKUP($A270,Table,MATCH(J$4,Curves,0)))</f>
        <v/>
      </c>
      <c r="K270" s="201" t="str">
        <f aca="false">IF(A271="","",J270)</f>
        <v/>
      </c>
      <c r="L270" s="200" t="str">
        <f aca="false">IF($A271="","",VLOOKUP($A270,Table,MATCH(L$4,Curves,0)))</f>
        <v/>
      </c>
      <c r="M270" s="201" t="str">
        <f aca="false">IF(A271="","",L270)</f>
        <v/>
      </c>
      <c r="N270" s="203"/>
      <c r="O270" s="200" t="str">
        <f aca="false">IF(A271="","",L270+J270+G270)</f>
        <v/>
      </c>
      <c r="P270" s="200" t="str">
        <f aca="false">IF(A271="","",M270+K270+H270)</f>
        <v/>
      </c>
      <c r="Q270" s="204"/>
      <c r="R270" s="200" t="str">
        <f aca="false">IF($A271="","",VLOOKUP($A270,Table,MATCH(R$4,Curves,0)))</f>
        <v/>
      </c>
      <c r="S270" s="201" t="str">
        <f aca="false">IF(A271="","",R270)</f>
        <v/>
      </c>
      <c r="T270" s="200" t="str">
        <f aca="false">IF($A271="","",VLOOKUP($A270,Table,MATCH(T$4,Curves,0)))</f>
        <v/>
      </c>
      <c r="U270" s="201" t="str">
        <f aca="false">IF(A271="","",T270)</f>
        <v/>
      </c>
      <c r="V270" s="225" t="str">
        <f aca="false">IF($A271="","",IF(AND(MONTH(A270)&gt;3,MONTH(A270)&lt;11),(T270+R270+G270)*(((1/(1-Summary!$T$12))/(1-Summary!$W$12))-1),(T270+R270+G270)*((1/(1-Summary!$U$12))/(1-Summary!$X$12)-1)))</f>
        <v/>
      </c>
      <c r="W270" s="200" t="str">
        <f aca="false">IF($A271="","",(T270+R270+G270+V270))</f>
        <v/>
      </c>
      <c r="X270" s="200" t="str">
        <f aca="false">IF($A271="","",(U270+S270+H270+V270))</f>
        <v/>
      </c>
      <c r="Y270" s="202"/>
      <c r="Z270" s="185" t="str">
        <f aca="false">IF($A271="","",VLOOKUP($A270,Table,MATCH(Z$4,Curves,0)))</f>
        <v/>
      </c>
      <c r="AA270" s="185" t="str">
        <f aca="false">IF($A271="","",VLOOKUP($A270,Table,MATCH(AA$4,Curves,0)))</f>
        <v/>
      </c>
      <c r="AB270" s="185" t="e">
        <f aca="false">SQRT((AA270^2*(A270-$D$3)+Z270^2*(DAY(EOMONTH(A270,0))/2))/AK270)</f>
        <v>#VALUE!</v>
      </c>
      <c r="AC270" s="185" t="str">
        <f aca="false">IF($A271="","",VLOOKUP($A270,Table,MATCH(AC$4,Curves,0)))</f>
        <v/>
      </c>
      <c r="AD270" s="185" t="str">
        <f aca="false">IF($A271="","",VLOOKUP($A270,Table,MATCH(AD$4,Curves,0)))</f>
        <v/>
      </c>
      <c r="AE270" s="185" t="e">
        <f aca="false">SQRT((AD270^2*(A270-$D$3)+AC270^2*(DAY(EOMONTH(A270,0))/2))/AK270)</f>
        <v>#VALUE!</v>
      </c>
      <c r="AF270" s="206" t="e">
        <f aca="false">((Summary!$N$12*(AA270*AD270)*(A270-$D$3))+(Summary!$M$12*Z270*AC270*(AJ270-EOMONTH(EDATE(A270,-1),0))))/(AK270*AB270*AE270)</f>
        <v>#VALUE!</v>
      </c>
      <c r="AG270" s="207" t="str">
        <f aca="false">IF($A271="","",Summary!$Q$12)</f>
        <v/>
      </c>
      <c r="AH270" s="207" t="str">
        <f aca="false">IF($A271="","",IF(Summary!$R$12="Y",(VLOOKUP($A270,Summary!$AD$6:$AF$9,3)+'Escalating commodity'!H283),'Escalating commodity'!H283))</f>
        <v/>
      </c>
      <c r="AI270" s="207" t="str">
        <f aca="false">IF($A271="","",AH270)</f>
        <v/>
      </c>
      <c r="AJ270" s="208" t="e">
        <f aca="false">A270+DAY(EOMONTH(A270,0))/2-1</f>
        <v>#VALUE!</v>
      </c>
      <c r="AK270" s="209" t="str">
        <f aca="false">IF($A271="","",$A270-$E$1)</f>
        <v/>
      </c>
      <c r="AL270" s="182" t="str">
        <f aca="false">IF($A271="","",SPRDOPT(P270,X270,AI270,0,AB270,AE270,AF270,AK270,$AJ$2,0))</f>
        <v/>
      </c>
      <c r="AM270" s="211" t="str">
        <f aca="false">IF($A271="","",MAX(0,O270-W270-AI270))</f>
        <v/>
      </c>
      <c r="AN270" s="211" t="str">
        <f aca="false">IF($A271="","",AL270-AM270)</f>
        <v/>
      </c>
      <c r="AO270" s="137" t="str">
        <f aca="false">IF(A271="","",A271-A270)</f>
        <v/>
      </c>
      <c r="AP270" s="212" t="str">
        <f aca="false">IF(A271="","",CHOOSE(F$3,A271+24,A270))</f>
        <v/>
      </c>
      <c r="AQ270" s="209" t="str">
        <f aca="false">IF(A271="","",AP270-$E$1)</f>
        <v/>
      </c>
      <c r="AR270" s="185" t="n">
        <f aca="false">'ANR OK vs ML7'!AR270</f>
        <v>0.1</v>
      </c>
      <c r="AS270" s="213" t="str">
        <f aca="false">IF(A271="","",1/(1+CHOOSE(F$3,(AR271+($I$3/10000))/2,(AR270+($I$3/10000))/2))^(2*AQ270/365.25))</f>
        <v/>
      </c>
      <c r="AT270" s="137" t="str">
        <f aca="false">IF(A271="","",IF(AND(mthbeg&lt;=A270,mthend&gt;=A270),1,0))</f>
        <v/>
      </c>
      <c r="AU270" s="137" t="str">
        <f aca="false">IF(A271="","",AO270*AT270)</f>
        <v/>
      </c>
      <c r="AW270" s="195" t="str">
        <f aca="false">IF($A271="","",AL270*$E270)</f>
        <v/>
      </c>
      <c r="AX270" s="195" t="str">
        <f aca="false">IF($A271="","",AM270*$E270)</f>
        <v/>
      </c>
      <c r="AY270" s="195" t="str">
        <f aca="false">IF($A271="","",AN270*$E270)</f>
        <v/>
      </c>
      <c r="BA270" s="195" t="str">
        <f aca="false">IF($A271="","",F270*Summary!$Q$12)</f>
        <v/>
      </c>
    </row>
    <row r="271" customFormat="false" ht="12" hidden="false" customHeight="true" outlineLevel="0" collapsed="false">
      <c r="A271" s="196" t="str">
        <f aca="false">IF(A270&lt;mthend,EDATE(A270,1),"")</f>
        <v/>
      </c>
      <c r="B271" s="197" t="str">
        <f aca="false">IF(A271&lt;mthend,B270,"")</f>
        <v/>
      </c>
      <c r="C271" s="215"/>
      <c r="D271" s="197" t="str">
        <f aca="false">IF(A272&lt;&gt;"",B271+C271,"")</f>
        <v/>
      </c>
      <c r="E271" s="199" t="str">
        <f aca="false">IF(A272="","",IF(AND(AT271=1,$H$3=1),D271*AO271,IF($H$3=2,D271,"N/A")))</f>
        <v/>
      </c>
      <c r="F271" s="199" t="str">
        <f aca="false">IF(A272="","",E271*AS271)</f>
        <v/>
      </c>
      <c r="G271" s="200" t="str">
        <f aca="false">IF($A272="","",VLOOKUP($A271,Table,MATCH(G$4,Curves,0)))</f>
        <v/>
      </c>
      <c r="H271" s="201" t="str">
        <f aca="false">IF(A272="","",G271)</f>
        <v/>
      </c>
      <c r="I271" s="202"/>
      <c r="J271" s="200" t="str">
        <f aca="false">IF($A272="","",VLOOKUP($A271,Table,MATCH(J$4,Curves,0)))</f>
        <v/>
      </c>
      <c r="K271" s="201" t="str">
        <f aca="false">IF(A272="","",J271)</f>
        <v/>
      </c>
      <c r="L271" s="200" t="str">
        <f aca="false">IF($A272="","",VLOOKUP($A271,Table,MATCH(L$4,Curves,0)))</f>
        <v/>
      </c>
      <c r="M271" s="201" t="str">
        <f aca="false">IF(A272="","",L271)</f>
        <v/>
      </c>
      <c r="N271" s="203"/>
      <c r="O271" s="200" t="str">
        <f aca="false">IF(A272="","",L271+J271+G271)</f>
        <v/>
      </c>
      <c r="P271" s="200" t="str">
        <f aca="false">IF(A272="","",M271+K271+H271)</f>
        <v/>
      </c>
      <c r="Q271" s="204"/>
      <c r="R271" s="200" t="str">
        <f aca="false">IF($A272="","",VLOOKUP($A271,Table,MATCH(R$4,Curves,0)))</f>
        <v/>
      </c>
      <c r="S271" s="201" t="str">
        <f aca="false">IF(A272="","",R271)</f>
        <v/>
      </c>
      <c r="T271" s="200" t="str">
        <f aca="false">IF($A272="","",VLOOKUP($A271,Table,MATCH(T$4,Curves,0)))</f>
        <v/>
      </c>
      <c r="U271" s="201" t="str">
        <f aca="false">IF(A272="","",T271)</f>
        <v/>
      </c>
      <c r="V271" s="225" t="str">
        <f aca="false">IF($A272="","",IF(AND(MONTH(A271)&gt;3,MONTH(A271)&lt;11),(T271+R271+G271)*(((1/(1-Summary!$T$12))/(1-Summary!$W$12))-1),(T271+R271+G271)*((1/(1-Summary!$U$12))/(1-Summary!$X$12)-1)))</f>
        <v/>
      </c>
      <c r="W271" s="200" t="str">
        <f aca="false">IF($A272="","",(T271+R271+G271+V271))</f>
        <v/>
      </c>
      <c r="X271" s="200" t="str">
        <f aca="false">IF($A272="","",(U271+S271+H271+V271))</f>
        <v/>
      </c>
      <c r="Y271" s="202"/>
      <c r="Z271" s="185" t="str">
        <f aca="false">IF($A272="","",VLOOKUP($A271,Table,MATCH(Z$4,Curves,0)))</f>
        <v/>
      </c>
      <c r="AA271" s="185" t="str">
        <f aca="false">IF($A272="","",VLOOKUP($A271,Table,MATCH(AA$4,Curves,0)))</f>
        <v/>
      </c>
      <c r="AB271" s="185" t="e">
        <f aca="false">SQRT((AA271^2*(A271-$D$3)+Z271^2*(DAY(EOMONTH(A271,0))/2))/AK271)</f>
        <v>#VALUE!</v>
      </c>
      <c r="AC271" s="185" t="str">
        <f aca="false">IF($A272="","",VLOOKUP($A271,Table,MATCH(AC$4,Curves,0)))</f>
        <v/>
      </c>
      <c r="AD271" s="185" t="str">
        <f aca="false">IF($A272="","",VLOOKUP($A271,Table,MATCH(AD$4,Curves,0)))</f>
        <v/>
      </c>
      <c r="AE271" s="185" t="e">
        <f aca="false">SQRT((AD271^2*(A271-$D$3)+AC271^2*(DAY(EOMONTH(A271,0))/2))/AK271)</f>
        <v>#VALUE!</v>
      </c>
      <c r="AF271" s="206" t="e">
        <f aca="false">((Summary!$N$12*(AA271*AD271)*(A271-$D$3))+(Summary!$M$12*Z271*AC271*(AJ271-EOMONTH(EDATE(A271,-1),0))))/(AK271*AB271*AE271)</f>
        <v>#VALUE!</v>
      </c>
      <c r="AG271" s="207" t="str">
        <f aca="false">IF($A272="","",Summary!$Q$12)</f>
        <v/>
      </c>
      <c r="AH271" s="207" t="str">
        <f aca="false">IF($A272="","",IF(Summary!$R$12="Y",(VLOOKUP($A271,Summary!$AD$6:$AF$9,3)+'Escalating commodity'!H284),'Escalating commodity'!H284))</f>
        <v/>
      </c>
      <c r="AI271" s="207" t="str">
        <f aca="false">IF($A272="","",AH271)</f>
        <v/>
      </c>
      <c r="AJ271" s="208" t="e">
        <f aca="false">A271+DAY(EOMONTH(A271,0))/2-1</f>
        <v>#VALUE!</v>
      </c>
      <c r="AK271" s="209" t="str">
        <f aca="false">IF($A272="","",$A271-$E$1)</f>
        <v/>
      </c>
      <c r="AL271" s="182" t="str">
        <f aca="false">IF($A272="","",SPRDOPT(P271,X271,AI271,0,AB271,AE271,AF271,AK271,$AJ$2,0))</f>
        <v/>
      </c>
      <c r="AM271" s="211" t="str">
        <f aca="false">IF($A272="","",MAX(0,O271-W271-AI271))</f>
        <v/>
      </c>
      <c r="AN271" s="211" t="str">
        <f aca="false">IF($A272="","",AL271-AM271)</f>
        <v/>
      </c>
      <c r="AO271" s="137" t="str">
        <f aca="false">IF(A272="","",A272-A271)</f>
        <v/>
      </c>
      <c r="AP271" s="212" t="str">
        <f aca="false">IF(A272="","",CHOOSE(F$3,A272+24,A271))</f>
        <v/>
      </c>
      <c r="AQ271" s="209" t="str">
        <f aca="false">IF(A272="","",AP271-$E$1)</f>
        <v/>
      </c>
      <c r="AR271" s="185" t="n">
        <f aca="false">'ANR OK vs ML7'!AR271</f>
        <v>0.1</v>
      </c>
      <c r="AS271" s="213" t="str">
        <f aca="false">IF(A272="","",1/(1+CHOOSE(F$3,(AR272+($I$3/10000))/2,(AR271+($I$3/10000))/2))^(2*AQ271/365.25))</f>
        <v/>
      </c>
      <c r="AT271" s="137" t="str">
        <f aca="false">IF(A272="","",IF(AND(mthbeg&lt;=A271,mthend&gt;=A271),1,0))</f>
        <v/>
      </c>
      <c r="AU271" s="137" t="str">
        <f aca="false">IF(A272="","",AO271*AT271)</f>
        <v/>
      </c>
      <c r="AW271" s="195" t="str">
        <f aca="false">IF($A272="","",AL271*$E271)</f>
        <v/>
      </c>
      <c r="AX271" s="195" t="str">
        <f aca="false">IF($A272="","",AM271*$E271)</f>
        <v/>
      </c>
      <c r="AY271" s="195" t="str">
        <f aca="false">IF($A272="","",AN271*$E271)</f>
        <v/>
      </c>
      <c r="BA271" s="195" t="str">
        <f aca="false">IF($A272="","",F271*Summary!$Q$12)</f>
        <v/>
      </c>
    </row>
    <row r="272" customFormat="false" ht="12" hidden="false" customHeight="true" outlineLevel="0" collapsed="false">
      <c r="A272" s="196" t="str">
        <f aca="false">IF(A271&lt;mthend,EDATE(A271,1),"")</f>
        <v/>
      </c>
      <c r="B272" s="197" t="str">
        <f aca="false">IF(A272&lt;mthend,B271,"")</f>
        <v/>
      </c>
      <c r="C272" s="215"/>
      <c r="D272" s="197" t="str">
        <f aca="false">IF(A273&lt;&gt;"",B272+C272,"")</f>
        <v/>
      </c>
      <c r="E272" s="199" t="str">
        <f aca="false">IF(A273="","",IF(AND(AT272=1,$H$3=1),D272*AO272,IF($H$3=2,D272,"N/A")))</f>
        <v/>
      </c>
      <c r="F272" s="199" t="str">
        <f aca="false">IF(A273="","",E272*AS272)</f>
        <v/>
      </c>
      <c r="G272" s="200" t="str">
        <f aca="false">IF($A273="","",VLOOKUP($A272,Table,MATCH(G$4,Curves,0)))</f>
        <v/>
      </c>
      <c r="H272" s="201" t="str">
        <f aca="false">IF(A273="","",G272)</f>
        <v/>
      </c>
      <c r="I272" s="202"/>
      <c r="J272" s="200" t="str">
        <f aca="false">IF($A273="","",VLOOKUP($A272,Table,MATCH(J$4,Curves,0)))</f>
        <v/>
      </c>
      <c r="K272" s="201" t="str">
        <f aca="false">IF(A273="","",J272)</f>
        <v/>
      </c>
      <c r="L272" s="200" t="str">
        <f aca="false">IF($A273="","",VLOOKUP($A272,Table,MATCH(L$4,Curves,0)))</f>
        <v/>
      </c>
      <c r="M272" s="201" t="str">
        <f aca="false">IF(A273="","",L272)</f>
        <v/>
      </c>
      <c r="N272" s="203"/>
      <c r="O272" s="200" t="str">
        <f aca="false">IF(A273="","",L272+J272+G272)</f>
        <v/>
      </c>
      <c r="P272" s="200" t="str">
        <f aca="false">IF(A273="","",M272+K272+H272)</f>
        <v/>
      </c>
      <c r="Q272" s="204"/>
      <c r="R272" s="200" t="str">
        <f aca="false">IF($A273="","",VLOOKUP($A272,Table,MATCH(R$4,Curves,0)))</f>
        <v/>
      </c>
      <c r="S272" s="201" t="str">
        <f aca="false">IF(A273="","",R272)</f>
        <v/>
      </c>
      <c r="T272" s="200" t="str">
        <f aca="false">IF($A273="","",VLOOKUP($A272,Table,MATCH(T$4,Curves,0)))</f>
        <v/>
      </c>
      <c r="U272" s="201" t="str">
        <f aca="false">IF(A273="","",T272)</f>
        <v/>
      </c>
      <c r="V272" s="225" t="str">
        <f aca="false">IF($A273="","",IF(AND(MONTH(A272)&gt;3,MONTH(A272)&lt;11),(T272+R272+G272)*(((1/(1-Summary!$T$12))/(1-Summary!$W$12))-1),(T272+R272+G272)*((1/(1-Summary!$U$12))/(1-Summary!$X$12)-1)))</f>
        <v/>
      </c>
      <c r="W272" s="200" t="str">
        <f aca="false">IF($A273="","",(T272+R272+G272+V272))</f>
        <v/>
      </c>
      <c r="X272" s="200" t="str">
        <f aca="false">IF($A273="","",(U272+S272+H272+V272))</f>
        <v/>
      </c>
      <c r="Y272" s="202"/>
      <c r="Z272" s="185" t="str">
        <f aca="false">IF($A273="","",VLOOKUP($A272,Table,MATCH(Z$4,Curves,0)))</f>
        <v/>
      </c>
      <c r="AA272" s="185" t="str">
        <f aca="false">IF($A273="","",VLOOKUP($A272,Table,MATCH(AA$4,Curves,0)))</f>
        <v/>
      </c>
      <c r="AB272" s="185" t="e">
        <f aca="false">SQRT((AA272^2*(A272-$D$3)+Z272^2*(DAY(EOMONTH(A272,0))/2))/AK272)</f>
        <v>#VALUE!</v>
      </c>
      <c r="AC272" s="185" t="str">
        <f aca="false">IF($A273="","",VLOOKUP($A272,Table,MATCH(AC$4,Curves,0)))</f>
        <v/>
      </c>
      <c r="AD272" s="185" t="str">
        <f aca="false">IF($A273="","",VLOOKUP($A272,Table,MATCH(AD$4,Curves,0)))</f>
        <v/>
      </c>
      <c r="AE272" s="185" t="e">
        <f aca="false">SQRT((AD272^2*(A272-$D$3)+AC272^2*(DAY(EOMONTH(A272,0))/2))/AK272)</f>
        <v>#VALUE!</v>
      </c>
      <c r="AF272" s="206" t="e">
        <f aca="false">((Summary!$N$12*(AA272*AD272)*(A272-$D$3))+(Summary!$M$12*Z272*AC272*(AJ272-EOMONTH(EDATE(A272,-1),0))))/(AK272*AB272*AE272)</f>
        <v>#VALUE!</v>
      </c>
      <c r="AG272" s="207" t="str">
        <f aca="false">IF($A273="","",Summary!$Q$12)</f>
        <v/>
      </c>
      <c r="AH272" s="207" t="str">
        <f aca="false">IF($A273="","",IF(Summary!$R$12="Y",(VLOOKUP($A272,Summary!$AD$6:$AF$9,3)+'Escalating commodity'!H285),'Escalating commodity'!H285))</f>
        <v/>
      </c>
      <c r="AI272" s="207" t="str">
        <f aca="false">IF($A273="","",AH272)</f>
        <v/>
      </c>
      <c r="AJ272" s="208" t="e">
        <f aca="false">A272+DAY(EOMONTH(A272,0))/2-1</f>
        <v>#VALUE!</v>
      </c>
      <c r="AK272" s="209" t="str">
        <f aca="false">IF($A273="","",$A272-$E$1)</f>
        <v/>
      </c>
      <c r="AL272" s="182" t="str">
        <f aca="false">IF($A273="","",SPRDOPT(P272,X272,AI272,0,AB272,AE272,AF272,AK272,$AJ$2,0))</f>
        <v/>
      </c>
      <c r="AM272" s="211" t="str">
        <f aca="false">IF($A273="","",MAX(0,O272-W272-AI272))</f>
        <v/>
      </c>
      <c r="AN272" s="211" t="str">
        <f aca="false">IF($A273="","",AL272-AM272)</f>
        <v/>
      </c>
      <c r="AO272" s="137" t="str">
        <f aca="false">IF(A273="","",A273-A272)</f>
        <v/>
      </c>
      <c r="AP272" s="212" t="str">
        <f aca="false">IF(A273="","",CHOOSE(F$3,A273+24,A272))</f>
        <v/>
      </c>
      <c r="AQ272" s="209" t="str">
        <f aca="false">IF(A273="","",AP272-$E$1)</f>
        <v/>
      </c>
      <c r="AR272" s="185" t="n">
        <f aca="false">'ANR OK vs ML7'!AR272</f>
        <v>0.1</v>
      </c>
      <c r="AS272" s="213" t="str">
        <f aca="false">IF(A273="","",1/(1+CHOOSE(F$3,(AR273+($I$3/10000))/2,(AR272+($I$3/10000))/2))^(2*AQ272/365.25))</f>
        <v/>
      </c>
      <c r="AT272" s="137" t="str">
        <f aca="false">IF(A273="","",IF(AND(mthbeg&lt;=A272,mthend&gt;=A272),1,0))</f>
        <v/>
      </c>
      <c r="AU272" s="137" t="str">
        <f aca="false">IF(A273="","",AO272*AT272)</f>
        <v/>
      </c>
      <c r="AW272" s="195" t="str">
        <f aca="false">IF($A273="","",AL272*$E272)</f>
        <v/>
      </c>
      <c r="AX272" s="195" t="str">
        <f aca="false">IF($A273="","",AM272*$E272)</f>
        <v/>
      </c>
      <c r="AY272" s="195" t="str">
        <f aca="false">IF($A273="","",AN272*$E272)</f>
        <v/>
      </c>
      <c r="BA272" s="195" t="str">
        <f aca="false">IF($A273="","",F272*Summary!$Q$12)</f>
        <v/>
      </c>
    </row>
    <row r="273" customFormat="false" ht="12" hidden="false" customHeight="true" outlineLevel="0" collapsed="false">
      <c r="A273" s="196" t="str">
        <f aca="false">IF(A272&lt;mthend,EDATE(A272,1),"")</f>
        <v/>
      </c>
      <c r="B273" s="197" t="str">
        <f aca="false">IF(A273&lt;mthend,B272,"")</f>
        <v/>
      </c>
      <c r="C273" s="215"/>
      <c r="D273" s="197" t="str">
        <f aca="false">IF(A274&lt;&gt;"",B273+C273,"")</f>
        <v/>
      </c>
      <c r="E273" s="199" t="str">
        <f aca="false">IF(A274="","",IF(AND(AT273=1,$H$3=1),D273*AO273,IF($H$3=2,D273,"N/A")))</f>
        <v/>
      </c>
      <c r="F273" s="199" t="str">
        <f aca="false">IF(A274="","",E273*AS273)</f>
        <v/>
      </c>
      <c r="G273" s="200" t="str">
        <f aca="false">IF($A274="","",VLOOKUP($A273,Table,MATCH(G$4,Curves,0)))</f>
        <v/>
      </c>
      <c r="H273" s="201" t="str">
        <f aca="false">IF(A274="","",G273)</f>
        <v/>
      </c>
      <c r="I273" s="202"/>
      <c r="J273" s="200" t="str">
        <f aca="false">IF($A274="","",VLOOKUP($A273,Table,MATCH(J$4,Curves,0)))</f>
        <v/>
      </c>
      <c r="K273" s="201" t="str">
        <f aca="false">IF(A274="","",J273)</f>
        <v/>
      </c>
      <c r="L273" s="200" t="str">
        <f aca="false">IF($A274="","",VLOOKUP($A273,Table,MATCH(L$4,Curves,0)))</f>
        <v/>
      </c>
      <c r="M273" s="201" t="str">
        <f aca="false">IF(A274="","",L273)</f>
        <v/>
      </c>
      <c r="N273" s="203"/>
      <c r="O273" s="200" t="str">
        <f aca="false">IF(A274="","",L273+J273+G273)</f>
        <v/>
      </c>
      <c r="P273" s="200" t="str">
        <f aca="false">IF(A274="","",M273+K273+H273)</f>
        <v/>
      </c>
      <c r="Q273" s="204"/>
      <c r="R273" s="200" t="str">
        <f aca="false">IF($A274="","",VLOOKUP($A273,Table,MATCH(R$4,Curves,0)))</f>
        <v/>
      </c>
      <c r="S273" s="201" t="str">
        <f aca="false">IF(A274="","",R273)</f>
        <v/>
      </c>
      <c r="T273" s="200" t="str">
        <f aca="false">IF($A274="","",VLOOKUP($A273,Table,MATCH(T$4,Curves,0)))</f>
        <v/>
      </c>
      <c r="U273" s="201" t="str">
        <f aca="false">IF(A274="","",T273)</f>
        <v/>
      </c>
      <c r="V273" s="225" t="str">
        <f aca="false">IF($A274="","",IF(AND(MONTH(A273)&gt;3,MONTH(A273)&lt;11),(T273+R273+G273)*(((1/(1-Summary!$T$12))/(1-Summary!$W$12))-1),(T273+R273+G273)*((1/(1-Summary!$U$12))/(1-Summary!$X$12)-1)))</f>
        <v/>
      </c>
      <c r="W273" s="200" t="str">
        <f aca="false">IF($A274="","",(T273+R273+G273+V273))</f>
        <v/>
      </c>
      <c r="X273" s="200" t="str">
        <f aca="false">IF($A274="","",(U273+S273+H273+V273))</f>
        <v/>
      </c>
      <c r="Y273" s="202"/>
      <c r="Z273" s="185" t="str">
        <f aca="false">IF($A274="","",VLOOKUP($A273,Table,MATCH(Z$4,Curves,0)))</f>
        <v/>
      </c>
      <c r="AA273" s="185" t="str">
        <f aca="false">IF($A274="","",VLOOKUP($A273,Table,MATCH(AA$4,Curves,0)))</f>
        <v/>
      </c>
      <c r="AB273" s="185" t="e">
        <f aca="false">SQRT((AA273^2*(A273-$D$3)+Z273^2*(DAY(EOMONTH(A273,0))/2))/AK273)</f>
        <v>#VALUE!</v>
      </c>
      <c r="AC273" s="185" t="str">
        <f aca="false">IF($A274="","",VLOOKUP($A273,Table,MATCH(AC$4,Curves,0)))</f>
        <v/>
      </c>
      <c r="AD273" s="185" t="str">
        <f aca="false">IF($A274="","",VLOOKUP($A273,Table,MATCH(AD$4,Curves,0)))</f>
        <v/>
      </c>
      <c r="AE273" s="185" t="e">
        <f aca="false">SQRT((AD273^2*(A273-$D$3)+AC273^2*(DAY(EOMONTH(A273,0))/2))/AK273)</f>
        <v>#VALUE!</v>
      </c>
      <c r="AF273" s="206" t="e">
        <f aca="false">((Summary!$N$12*(AA273*AD273)*(A273-$D$3))+(Summary!$M$12*Z273*AC273*(AJ273-EOMONTH(EDATE(A273,-1),0))))/(AK273*AB273*AE273)</f>
        <v>#VALUE!</v>
      </c>
      <c r="AG273" s="207" t="str">
        <f aca="false">IF($A274="","",Summary!$Q$12)</f>
        <v/>
      </c>
      <c r="AH273" s="207" t="str">
        <f aca="false">IF($A274="","",IF(Summary!$R$12="Y",(VLOOKUP($A273,Summary!$AD$6:$AF$9,3)+'Escalating commodity'!H286),'Escalating commodity'!H286))</f>
        <v/>
      </c>
      <c r="AI273" s="207" t="str">
        <f aca="false">IF($A274="","",AH273)</f>
        <v/>
      </c>
      <c r="AJ273" s="208" t="e">
        <f aca="false">A273+DAY(EOMONTH(A273,0))/2-1</f>
        <v>#VALUE!</v>
      </c>
      <c r="AK273" s="209" t="str">
        <f aca="false">IF($A274="","",$A273-$E$1)</f>
        <v/>
      </c>
      <c r="AL273" s="182" t="str">
        <f aca="false">IF($A274="","",SPRDOPT(P273,X273,AI273,0,AB273,AE273,AF273,AK273,$AJ$2,0))</f>
        <v/>
      </c>
      <c r="AM273" s="211" t="str">
        <f aca="false">IF($A274="","",MAX(0,O273-W273-AI273))</f>
        <v/>
      </c>
      <c r="AN273" s="211" t="str">
        <f aca="false">IF($A274="","",AL273-AM273)</f>
        <v/>
      </c>
      <c r="AO273" s="137" t="str">
        <f aca="false">IF(A274="","",A274-A273)</f>
        <v/>
      </c>
      <c r="AP273" s="212" t="str">
        <f aca="false">IF(A274="","",CHOOSE(F$3,A274+24,A273))</f>
        <v/>
      </c>
      <c r="AQ273" s="209" t="str">
        <f aca="false">IF(A274="","",AP273-$E$1)</f>
        <v/>
      </c>
      <c r="AR273" s="185" t="n">
        <f aca="false">'ANR OK vs ML7'!AR273</f>
        <v>0.1</v>
      </c>
      <c r="AS273" s="213" t="str">
        <f aca="false">IF(A274="","",1/(1+CHOOSE(F$3,(AR274+($I$3/10000))/2,(AR273+($I$3/10000))/2))^(2*AQ273/365.25))</f>
        <v/>
      </c>
      <c r="AT273" s="137" t="str">
        <f aca="false">IF(A274="","",IF(AND(mthbeg&lt;=A273,mthend&gt;=A273),1,0))</f>
        <v/>
      </c>
      <c r="AU273" s="137" t="str">
        <f aca="false">IF(A274="","",AO273*AT273)</f>
        <v/>
      </c>
      <c r="AW273" s="195" t="str">
        <f aca="false">IF($A274="","",AL273*$E273)</f>
        <v/>
      </c>
      <c r="AX273" s="195" t="str">
        <f aca="false">IF($A274="","",AM273*$E273)</f>
        <v/>
      </c>
      <c r="AY273" s="195" t="str">
        <f aca="false">IF($A274="","",AN273*$E273)</f>
        <v/>
      </c>
      <c r="BA273" s="195" t="str">
        <f aca="false">IF($A274="","",F273*Summary!$Q$12)</f>
        <v/>
      </c>
    </row>
    <row r="274" customFormat="false" ht="12" hidden="false" customHeight="true" outlineLevel="0" collapsed="false">
      <c r="A274" s="196" t="str">
        <f aca="false">IF(A273&lt;mthend,EDATE(A273,1),"")</f>
        <v/>
      </c>
      <c r="B274" s="197" t="str">
        <f aca="false">IF(A274&lt;mthend,B273,"")</f>
        <v/>
      </c>
      <c r="C274" s="215"/>
      <c r="D274" s="197" t="str">
        <f aca="false">IF(A275&lt;&gt;"",B274+C274,"")</f>
        <v/>
      </c>
      <c r="E274" s="199" t="str">
        <f aca="false">IF(A275="","",IF(AND(AT274=1,$H$3=1),D274*AO274,IF($H$3=2,D274,"N/A")))</f>
        <v/>
      </c>
      <c r="F274" s="199" t="str">
        <f aca="false">IF(A275="","",E274*AS274)</f>
        <v/>
      </c>
      <c r="G274" s="200" t="str">
        <f aca="false">IF($A275="","",VLOOKUP($A274,Table,MATCH(G$4,Curves,0)))</f>
        <v/>
      </c>
      <c r="H274" s="201" t="str">
        <f aca="false">IF(A275="","",G274)</f>
        <v/>
      </c>
      <c r="I274" s="202"/>
      <c r="J274" s="200" t="str">
        <f aca="false">IF($A275="","",VLOOKUP($A274,Table,MATCH(J$4,Curves,0)))</f>
        <v/>
      </c>
      <c r="K274" s="201" t="str">
        <f aca="false">IF(A275="","",J274)</f>
        <v/>
      </c>
      <c r="L274" s="200" t="str">
        <f aca="false">IF($A275="","",VLOOKUP($A274,Table,MATCH(L$4,Curves,0)))</f>
        <v/>
      </c>
      <c r="M274" s="201" t="str">
        <f aca="false">IF(A275="","",L274)</f>
        <v/>
      </c>
      <c r="N274" s="203"/>
      <c r="O274" s="200" t="str">
        <f aca="false">IF(A275="","",L274+J274+G274)</f>
        <v/>
      </c>
      <c r="P274" s="200" t="str">
        <f aca="false">IF(A275="","",M274+K274+H274)</f>
        <v/>
      </c>
      <c r="Q274" s="204"/>
      <c r="R274" s="200" t="str">
        <f aca="false">IF($A275="","",VLOOKUP($A274,Table,MATCH(R$4,Curves,0)))</f>
        <v/>
      </c>
      <c r="S274" s="201" t="str">
        <f aca="false">IF(A275="","",R274)</f>
        <v/>
      </c>
      <c r="T274" s="200" t="str">
        <f aca="false">IF($A275="","",VLOOKUP($A274,Table,MATCH(T$4,Curves,0)))</f>
        <v/>
      </c>
      <c r="U274" s="201" t="str">
        <f aca="false">IF(A275="","",T274)</f>
        <v/>
      </c>
      <c r="V274" s="225" t="str">
        <f aca="false">IF($A275="","",IF(AND(MONTH(A274)&gt;3,MONTH(A274)&lt;11),(T274+R274+G274)*(((1/(1-Summary!$T$12))/(1-Summary!$W$12))-1),(T274+R274+G274)*((1/(1-Summary!$U$12))/(1-Summary!$X$12)-1)))</f>
        <v/>
      </c>
      <c r="W274" s="200" t="str">
        <f aca="false">IF($A275="","",(T274+R274+G274+V274))</f>
        <v/>
      </c>
      <c r="X274" s="200" t="str">
        <f aca="false">IF($A275="","",(U274+S274+H274+V274))</f>
        <v/>
      </c>
      <c r="Y274" s="202"/>
      <c r="Z274" s="185" t="str">
        <f aca="false">IF($A275="","",VLOOKUP($A274,Table,MATCH(Z$4,Curves,0)))</f>
        <v/>
      </c>
      <c r="AA274" s="185" t="str">
        <f aca="false">IF($A275="","",VLOOKUP($A274,Table,MATCH(AA$4,Curves,0)))</f>
        <v/>
      </c>
      <c r="AB274" s="185" t="e">
        <f aca="false">SQRT((AA274^2*(A274-$D$3)+Z274^2*(DAY(EOMONTH(A274,0))/2))/AK274)</f>
        <v>#VALUE!</v>
      </c>
      <c r="AC274" s="185" t="str">
        <f aca="false">IF($A275="","",VLOOKUP($A274,Table,MATCH(AC$4,Curves,0)))</f>
        <v/>
      </c>
      <c r="AD274" s="185" t="str">
        <f aca="false">IF($A275="","",VLOOKUP($A274,Table,MATCH(AD$4,Curves,0)))</f>
        <v/>
      </c>
      <c r="AE274" s="185" t="e">
        <f aca="false">SQRT((AD274^2*(A274-$D$3)+AC274^2*(DAY(EOMONTH(A274,0))/2))/AK274)</f>
        <v>#VALUE!</v>
      </c>
      <c r="AF274" s="206" t="e">
        <f aca="false">((Summary!$N$12*(AA274*AD274)*(A274-$D$3))+(Summary!$M$12*Z274*AC274*(AJ274-EOMONTH(EDATE(A274,-1),0))))/(AK274*AB274*AE274)</f>
        <v>#VALUE!</v>
      </c>
      <c r="AG274" s="207" t="str">
        <f aca="false">IF($A275="","",Summary!$Q$12)</f>
        <v/>
      </c>
      <c r="AH274" s="207" t="str">
        <f aca="false">IF($A275="","",IF(Summary!$R$12="Y",(VLOOKUP($A274,Summary!$AD$6:$AF$9,3)+'Escalating commodity'!H287),'Escalating commodity'!H287))</f>
        <v/>
      </c>
      <c r="AI274" s="207" t="str">
        <f aca="false">IF($A275="","",AH274)</f>
        <v/>
      </c>
      <c r="AJ274" s="208" t="e">
        <f aca="false">A274+DAY(EOMONTH(A274,0))/2-1</f>
        <v>#VALUE!</v>
      </c>
      <c r="AK274" s="209" t="str">
        <f aca="false">IF($A275="","",$A274-$E$1)</f>
        <v/>
      </c>
      <c r="AL274" s="182" t="str">
        <f aca="false">IF($A275="","",SPRDOPT(P274,X274,AI274,0,AB274,AE274,AF274,AK274,$AJ$2,0))</f>
        <v/>
      </c>
      <c r="AM274" s="211" t="str">
        <f aca="false">IF($A275="","",MAX(0,O274-W274-AI274))</f>
        <v/>
      </c>
      <c r="AN274" s="211" t="str">
        <f aca="false">IF($A275="","",AL274-AM274)</f>
        <v/>
      </c>
      <c r="AO274" s="137" t="str">
        <f aca="false">IF(A275="","",A275-A274)</f>
        <v/>
      </c>
      <c r="AP274" s="212" t="str">
        <f aca="false">IF(A275="","",CHOOSE(F$3,A275+24,A274))</f>
        <v/>
      </c>
      <c r="AQ274" s="209" t="str">
        <f aca="false">IF(A275="","",AP274-$E$1)</f>
        <v/>
      </c>
      <c r="AR274" s="185" t="n">
        <f aca="false">'ANR OK vs ML7'!AR274</f>
        <v>0.1</v>
      </c>
      <c r="AS274" s="213" t="str">
        <f aca="false">IF(A275="","",1/(1+CHOOSE(F$3,(AR275+($I$3/10000))/2,(AR274+($I$3/10000))/2))^(2*AQ274/365.25))</f>
        <v/>
      </c>
      <c r="AT274" s="137" t="str">
        <f aca="false">IF(A275="","",IF(AND(mthbeg&lt;=A274,mthend&gt;=A274),1,0))</f>
        <v/>
      </c>
      <c r="AU274" s="137" t="str">
        <f aca="false">IF(A275="","",AO274*AT274)</f>
        <v/>
      </c>
      <c r="AW274" s="195" t="str">
        <f aca="false">IF($A275="","",AL274*$E274)</f>
        <v/>
      </c>
      <c r="AX274" s="195" t="str">
        <f aca="false">IF($A275="","",AM274*$E274)</f>
        <v/>
      </c>
      <c r="AY274" s="195" t="str">
        <f aca="false">IF($A275="","",AN274*$E274)</f>
        <v/>
      </c>
      <c r="BA274" s="195" t="str">
        <f aca="false">IF($A275="","",F274*Summary!$Q$12)</f>
        <v/>
      </c>
    </row>
    <row r="275" customFormat="false" ht="12" hidden="false" customHeight="true" outlineLevel="0" collapsed="false">
      <c r="A275" s="196" t="str">
        <f aca="false">IF(A274&lt;mthend,EDATE(A274,1),"")</f>
        <v/>
      </c>
      <c r="B275" s="197" t="str">
        <f aca="false">IF(A275&lt;mthend,B274,"")</f>
        <v/>
      </c>
      <c r="C275" s="215"/>
      <c r="D275" s="197" t="str">
        <f aca="false">IF(A276&lt;&gt;"",B275+C275,"")</f>
        <v/>
      </c>
      <c r="E275" s="199" t="str">
        <f aca="false">IF(A276="","",IF(AND(AT275=1,$H$3=1),D275*AO275,IF($H$3=2,D275,"N/A")))</f>
        <v/>
      </c>
      <c r="F275" s="199" t="str">
        <f aca="false">IF(A276="","",E275*AS275)</f>
        <v/>
      </c>
      <c r="G275" s="200" t="str">
        <f aca="false">IF($A276="","",VLOOKUP($A275,Table,MATCH(G$4,Curves,0)))</f>
        <v/>
      </c>
      <c r="H275" s="201" t="str">
        <f aca="false">IF(A276="","",G275)</f>
        <v/>
      </c>
      <c r="I275" s="202"/>
      <c r="J275" s="200" t="str">
        <f aca="false">IF($A276="","",VLOOKUP($A275,Table,MATCH(J$4,Curves,0)))</f>
        <v/>
      </c>
      <c r="K275" s="201" t="str">
        <f aca="false">IF(A276="","",J275)</f>
        <v/>
      </c>
      <c r="L275" s="200" t="str">
        <f aca="false">IF($A276="","",VLOOKUP($A275,Table,MATCH(L$4,Curves,0)))</f>
        <v/>
      </c>
      <c r="M275" s="201" t="str">
        <f aca="false">IF(A276="","",L275)</f>
        <v/>
      </c>
      <c r="N275" s="203"/>
      <c r="O275" s="200" t="str">
        <f aca="false">IF(A276="","",L275+J275+G275)</f>
        <v/>
      </c>
      <c r="P275" s="200" t="str">
        <f aca="false">IF(A276="","",M275+K275+H275)</f>
        <v/>
      </c>
      <c r="Q275" s="204"/>
      <c r="R275" s="200" t="str">
        <f aca="false">IF($A276="","",VLOOKUP($A275,Table,MATCH(R$4,Curves,0)))</f>
        <v/>
      </c>
      <c r="S275" s="201" t="str">
        <f aca="false">IF(A276="","",R275)</f>
        <v/>
      </c>
      <c r="T275" s="200" t="str">
        <f aca="false">IF($A276="","",VLOOKUP($A275,Table,MATCH(T$4,Curves,0)))</f>
        <v/>
      </c>
      <c r="U275" s="201" t="str">
        <f aca="false">IF(A276="","",T275)</f>
        <v/>
      </c>
      <c r="V275" s="225" t="str">
        <f aca="false">IF($A276="","",IF(AND(MONTH(A275)&gt;3,MONTH(A275)&lt;11),(T275+R275+G275)*(((1/(1-Summary!$T$12))/(1-Summary!$W$12))-1),(T275+R275+G275)*((1/(1-Summary!$U$12))/(1-Summary!$X$12)-1)))</f>
        <v/>
      </c>
      <c r="W275" s="200" t="str">
        <f aca="false">IF($A276="","",(T275+R275+G275+V275))</f>
        <v/>
      </c>
      <c r="X275" s="200" t="str">
        <f aca="false">IF($A276="","",(U275+S275+H275+V275))</f>
        <v/>
      </c>
      <c r="Y275" s="202"/>
      <c r="Z275" s="185" t="str">
        <f aca="false">IF($A276="","",VLOOKUP($A275,Table,MATCH(Z$4,Curves,0)))</f>
        <v/>
      </c>
      <c r="AA275" s="185" t="str">
        <f aca="false">IF($A276="","",VLOOKUP($A275,Table,MATCH(AA$4,Curves,0)))</f>
        <v/>
      </c>
      <c r="AB275" s="185" t="e">
        <f aca="false">SQRT((AA275^2*(A275-$D$3)+Z275^2*(DAY(EOMONTH(A275,0))/2))/AK275)</f>
        <v>#VALUE!</v>
      </c>
      <c r="AC275" s="185" t="str">
        <f aca="false">IF($A276="","",VLOOKUP($A275,Table,MATCH(AC$4,Curves,0)))</f>
        <v/>
      </c>
      <c r="AD275" s="185" t="str">
        <f aca="false">IF($A276="","",VLOOKUP($A275,Table,MATCH(AD$4,Curves,0)))</f>
        <v/>
      </c>
      <c r="AE275" s="185" t="e">
        <f aca="false">SQRT((AD275^2*(A275-$D$3)+AC275^2*(DAY(EOMONTH(A275,0))/2))/AK275)</f>
        <v>#VALUE!</v>
      </c>
      <c r="AF275" s="206" t="e">
        <f aca="false">((Summary!$N$12*(AA275*AD275)*(A275-$D$3))+(Summary!$M$12*Z275*AC275*(AJ275-EOMONTH(EDATE(A275,-1),0))))/(AK275*AB275*AE275)</f>
        <v>#VALUE!</v>
      </c>
      <c r="AG275" s="207" t="str">
        <f aca="false">IF($A276="","",Summary!$Q$12)</f>
        <v/>
      </c>
      <c r="AH275" s="207" t="str">
        <f aca="false">IF($A276="","",IF(Summary!$R$12="Y",(VLOOKUP($A275,Summary!$AD$6:$AF$9,3)+'Escalating commodity'!H288),'Escalating commodity'!H288))</f>
        <v/>
      </c>
      <c r="AI275" s="207" t="str">
        <f aca="false">IF($A276="","",AH275)</f>
        <v/>
      </c>
      <c r="AJ275" s="208" t="e">
        <f aca="false">A275+DAY(EOMONTH(A275,0))/2-1</f>
        <v>#VALUE!</v>
      </c>
      <c r="AK275" s="209" t="str">
        <f aca="false">IF($A276="","",$A275-$E$1)</f>
        <v/>
      </c>
      <c r="AL275" s="182" t="str">
        <f aca="false">IF($A276="","",SPRDOPT(P275,X275,AI275,0,AB275,AE275,AF275,AK275,$AJ$2,0))</f>
        <v/>
      </c>
      <c r="AM275" s="211" t="str">
        <f aca="false">IF($A276="","",MAX(0,O275-W275-AI275))</f>
        <v/>
      </c>
      <c r="AN275" s="211" t="str">
        <f aca="false">IF($A276="","",AL275-AM275)</f>
        <v/>
      </c>
      <c r="AO275" s="137" t="str">
        <f aca="false">IF(A276="","",A276-A275)</f>
        <v/>
      </c>
      <c r="AP275" s="212" t="str">
        <f aca="false">IF(A276="","",CHOOSE(F$3,A276+24,A275))</f>
        <v/>
      </c>
      <c r="AQ275" s="209" t="str">
        <f aca="false">IF(A276="","",AP275-$E$1)</f>
        <v/>
      </c>
      <c r="AR275" s="185" t="n">
        <f aca="false">'ANR OK vs ML7'!AR275</f>
        <v>0.1</v>
      </c>
      <c r="AS275" s="213" t="str">
        <f aca="false">IF(A276="","",1/(1+CHOOSE(F$3,(AR276+($I$3/10000))/2,(AR275+($I$3/10000))/2))^(2*AQ275/365.25))</f>
        <v/>
      </c>
      <c r="AT275" s="137" t="str">
        <f aca="false">IF(A276="","",IF(AND(mthbeg&lt;=A275,mthend&gt;=A275),1,0))</f>
        <v/>
      </c>
      <c r="AU275" s="137" t="str">
        <f aca="false">IF(A276="","",AO275*AT275)</f>
        <v/>
      </c>
      <c r="AW275" s="195" t="str">
        <f aca="false">IF($A276="","",AL275*$E275)</f>
        <v/>
      </c>
      <c r="AX275" s="195" t="str">
        <f aca="false">IF($A276="","",AM275*$E275)</f>
        <v/>
      </c>
      <c r="AY275" s="195" t="str">
        <f aca="false">IF($A276="","",AN275*$E275)</f>
        <v/>
      </c>
      <c r="BA275" s="195" t="str">
        <f aca="false">IF($A276="","",F275*Summary!$Q$12)</f>
        <v/>
      </c>
    </row>
    <row r="276" customFormat="false" ht="12" hidden="false" customHeight="true" outlineLevel="0" collapsed="false">
      <c r="A276" s="196" t="str">
        <f aca="false">IF(A275&lt;mthend,EDATE(A275,1),"")</f>
        <v/>
      </c>
      <c r="B276" s="197" t="str">
        <f aca="false">IF(A276&lt;mthend,B275,"")</f>
        <v/>
      </c>
      <c r="C276" s="215"/>
      <c r="D276" s="197" t="str">
        <f aca="false">IF(A277&lt;&gt;"",B276+C276,"")</f>
        <v/>
      </c>
      <c r="E276" s="199" t="str">
        <f aca="false">IF(A277="","",IF(AND(AT276=1,$H$3=1),D276*AO276,IF($H$3=2,D276,"N/A")))</f>
        <v/>
      </c>
      <c r="F276" s="199" t="str">
        <f aca="false">IF(A277="","",E276*AS276)</f>
        <v/>
      </c>
      <c r="G276" s="200" t="str">
        <f aca="false">IF($A277="","",VLOOKUP($A276,Table,MATCH(G$4,Curves,0)))</f>
        <v/>
      </c>
      <c r="H276" s="201" t="str">
        <f aca="false">IF(A277="","",G276)</f>
        <v/>
      </c>
      <c r="I276" s="202"/>
      <c r="J276" s="200" t="str">
        <f aca="false">IF($A277="","",VLOOKUP($A276,Table,MATCH(J$4,Curves,0)))</f>
        <v/>
      </c>
      <c r="K276" s="201" t="str">
        <f aca="false">IF(A277="","",J276)</f>
        <v/>
      </c>
      <c r="L276" s="200" t="str">
        <f aca="false">IF($A277="","",VLOOKUP($A276,Table,MATCH(L$4,Curves,0)))</f>
        <v/>
      </c>
      <c r="M276" s="201" t="str">
        <f aca="false">IF(A277="","",L276)</f>
        <v/>
      </c>
      <c r="N276" s="203"/>
      <c r="O276" s="200" t="str">
        <f aca="false">IF(A277="","",L276+J276+G276)</f>
        <v/>
      </c>
      <c r="P276" s="200" t="str">
        <f aca="false">IF(A277="","",M276+K276+H276)</f>
        <v/>
      </c>
      <c r="Q276" s="204"/>
      <c r="R276" s="200" t="str">
        <f aca="false">IF($A277="","",VLOOKUP($A276,Table,MATCH(R$4,Curves,0)))</f>
        <v/>
      </c>
      <c r="S276" s="201" t="str">
        <f aca="false">IF(A277="","",R276)</f>
        <v/>
      </c>
      <c r="T276" s="200" t="str">
        <f aca="false">IF($A277="","",VLOOKUP($A276,Table,MATCH(T$4,Curves,0)))</f>
        <v/>
      </c>
      <c r="U276" s="201" t="str">
        <f aca="false">IF(A277="","",T276)</f>
        <v/>
      </c>
      <c r="V276" s="225" t="str">
        <f aca="false">IF($A277="","",IF(AND(MONTH(A276)&gt;3,MONTH(A276)&lt;11),(T276+R276+G276)*(((1/(1-Summary!$T$12))/(1-Summary!$W$12))-1),(T276+R276+G276)*((1/(1-Summary!$U$12))/(1-Summary!$X$12)-1)))</f>
        <v/>
      </c>
      <c r="W276" s="200" t="str">
        <f aca="false">IF($A277="","",(T276+R276+G276+V276))</f>
        <v/>
      </c>
      <c r="X276" s="200" t="str">
        <f aca="false">IF($A277="","",(U276+S276+H276+V276))</f>
        <v/>
      </c>
      <c r="Y276" s="202"/>
      <c r="Z276" s="185" t="str">
        <f aca="false">IF($A277="","",VLOOKUP($A276,Table,MATCH(Z$4,Curves,0)))</f>
        <v/>
      </c>
      <c r="AA276" s="185" t="str">
        <f aca="false">IF($A277="","",VLOOKUP($A276,Table,MATCH(AA$4,Curves,0)))</f>
        <v/>
      </c>
      <c r="AB276" s="185" t="e">
        <f aca="false">SQRT((AA276^2*(A276-$D$3)+Z276^2*(DAY(EOMONTH(A276,0))/2))/AK276)</f>
        <v>#VALUE!</v>
      </c>
      <c r="AC276" s="185" t="str">
        <f aca="false">IF($A277="","",VLOOKUP($A276,Table,MATCH(AC$4,Curves,0)))</f>
        <v/>
      </c>
      <c r="AD276" s="185" t="str">
        <f aca="false">IF($A277="","",VLOOKUP($A276,Table,MATCH(AD$4,Curves,0)))</f>
        <v/>
      </c>
      <c r="AE276" s="185" t="e">
        <f aca="false">SQRT((AD276^2*(A276-$D$3)+AC276^2*(DAY(EOMONTH(A276,0))/2))/AK276)</f>
        <v>#VALUE!</v>
      </c>
      <c r="AF276" s="206" t="e">
        <f aca="false">((Summary!$N$12*(AA276*AD276)*(A276-$D$3))+(Summary!$M$12*Z276*AC276*(AJ276-EOMONTH(EDATE(A276,-1),0))))/(AK276*AB276*AE276)</f>
        <v>#VALUE!</v>
      </c>
      <c r="AG276" s="207" t="str">
        <f aca="false">IF($A277="","",Summary!$Q$12)</f>
        <v/>
      </c>
      <c r="AH276" s="207" t="str">
        <f aca="false">IF($A277="","",IF(Summary!$R$12="Y",(VLOOKUP($A276,Summary!$AD$6:$AF$9,3)+'Escalating commodity'!H289),'Escalating commodity'!H289))</f>
        <v/>
      </c>
      <c r="AI276" s="207" t="str">
        <f aca="false">IF($A277="","",AH276)</f>
        <v/>
      </c>
      <c r="AJ276" s="208" t="e">
        <f aca="false">A276+DAY(EOMONTH(A276,0))/2-1</f>
        <v>#VALUE!</v>
      </c>
      <c r="AK276" s="209" t="str">
        <f aca="false">IF($A277="","",$A276-$E$1)</f>
        <v/>
      </c>
      <c r="AL276" s="182" t="str">
        <f aca="false">IF($A277="","",SPRDOPT(P276,X276,AI276,0,AB276,AE276,AF276,AK276,$AJ$2,0))</f>
        <v/>
      </c>
      <c r="AM276" s="211" t="str">
        <f aca="false">IF($A277="","",MAX(0,O276-W276-AI276))</f>
        <v/>
      </c>
      <c r="AN276" s="211" t="str">
        <f aca="false">IF($A277="","",AL276-AM276)</f>
        <v/>
      </c>
      <c r="AO276" s="137" t="str">
        <f aca="false">IF(A277="","",A277-A276)</f>
        <v/>
      </c>
      <c r="AP276" s="212" t="str">
        <f aca="false">IF(A277="","",CHOOSE(F$3,A277+24,A276))</f>
        <v/>
      </c>
      <c r="AQ276" s="209" t="str">
        <f aca="false">IF(A277="","",AP276-$E$1)</f>
        <v/>
      </c>
      <c r="AR276" s="185" t="n">
        <f aca="false">'ANR OK vs ML7'!AR276</f>
        <v>0.1</v>
      </c>
      <c r="AS276" s="213" t="str">
        <f aca="false">IF(A277="","",1/(1+CHOOSE(F$3,(AR277+($I$3/10000))/2,(AR276+($I$3/10000))/2))^(2*AQ276/365.25))</f>
        <v/>
      </c>
      <c r="AT276" s="137" t="str">
        <f aca="false">IF(A277="","",IF(AND(mthbeg&lt;=A276,mthend&gt;=A276),1,0))</f>
        <v/>
      </c>
      <c r="AU276" s="137" t="str">
        <f aca="false">IF(A277="","",AO276*AT276)</f>
        <v/>
      </c>
      <c r="AW276" s="195" t="str">
        <f aca="false">IF($A277="","",AL276*$E276)</f>
        <v/>
      </c>
      <c r="AX276" s="195" t="str">
        <f aca="false">IF($A277="","",AM276*$E276)</f>
        <v/>
      </c>
      <c r="AY276" s="195" t="str">
        <f aca="false">IF($A277="","",AN276*$E276)</f>
        <v/>
      </c>
      <c r="BA276" s="195" t="str">
        <f aca="false">IF($A277="","",F276*Summary!$Q$12)</f>
        <v/>
      </c>
    </row>
    <row r="277" customFormat="false" ht="12" hidden="false" customHeight="true" outlineLevel="0" collapsed="false">
      <c r="A277" s="196" t="str">
        <f aca="false">IF(A276&lt;mthend,EDATE(A276,1),"")</f>
        <v/>
      </c>
      <c r="B277" s="197" t="str">
        <f aca="false">IF(A277&lt;mthend,B276,"")</f>
        <v/>
      </c>
      <c r="C277" s="215"/>
      <c r="D277" s="197" t="str">
        <f aca="false">IF(A278&lt;&gt;"",B277+C277,"")</f>
        <v/>
      </c>
      <c r="E277" s="199" t="str">
        <f aca="false">IF(A278="","",IF(AND(AT277=1,$H$3=1),D277*AO277,IF($H$3=2,D277,"N/A")))</f>
        <v/>
      </c>
      <c r="F277" s="199" t="str">
        <f aca="false">IF(A278="","",E277*AS277)</f>
        <v/>
      </c>
      <c r="G277" s="200" t="str">
        <f aca="false">IF($A278="","",VLOOKUP($A277,Table,MATCH(G$4,Curves,0)))</f>
        <v/>
      </c>
      <c r="H277" s="201" t="str">
        <f aca="false">IF(A278="","",G277)</f>
        <v/>
      </c>
      <c r="I277" s="202"/>
      <c r="J277" s="200" t="str">
        <f aca="false">IF($A278="","",VLOOKUP($A277,Table,MATCH(J$4,Curves,0)))</f>
        <v/>
      </c>
      <c r="K277" s="201" t="str">
        <f aca="false">IF(A278="","",J277)</f>
        <v/>
      </c>
      <c r="L277" s="200" t="str">
        <f aca="false">IF($A278="","",VLOOKUP($A277,Table,MATCH(L$4,Curves,0)))</f>
        <v/>
      </c>
      <c r="M277" s="201" t="str">
        <f aca="false">IF(A278="","",L277)</f>
        <v/>
      </c>
      <c r="N277" s="203"/>
      <c r="O277" s="200" t="str">
        <f aca="false">IF(A278="","",L277+J277+G277)</f>
        <v/>
      </c>
      <c r="P277" s="200" t="str">
        <f aca="false">IF(A278="","",M277+K277+H277)</f>
        <v/>
      </c>
      <c r="Q277" s="204"/>
      <c r="R277" s="200" t="str">
        <f aca="false">IF($A278="","",VLOOKUP($A277,Table,MATCH(R$4,Curves,0)))</f>
        <v/>
      </c>
      <c r="S277" s="201" t="str">
        <f aca="false">IF(A278="","",R277)</f>
        <v/>
      </c>
      <c r="T277" s="200" t="str">
        <f aca="false">IF($A278="","",VLOOKUP($A277,Table,MATCH(T$4,Curves,0)))</f>
        <v/>
      </c>
      <c r="U277" s="201" t="str">
        <f aca="false">IF(A278="","",T277)</f>
        <v/>
      </c>
      <c r="V277" s="225" t="str">
        <f aca="false">IF($A278="","",IF(AND(MONTH(A277)&gt;3,MONTH(A277)&lt;11),(T277+R277+G277)*(((1/(1-Summary!$T$12))/(1-Summary!$W$12))-1),(T277+R277+G277)*((1/(1-Summary!$U$12))/(1-Summary!$X$12)-1)))</f>
        <v/>
      </c>
      <c r="W277" s="200" t="str">
        <f aca="false">IF($A278="","",(T277+R277+G277+V277))</f>
        <v/>
      </c>
      <c r="X277" s="200" t="str">
        <f aca="false">IF($A278="","",(U277+S277+H277+V277))</f>
        <v/>
      </c>
      <c r="Y277" s="202"/>
      <c r="Z277" s="185" t="str">
        <f aca="false">IF($A278="","",VLOOKUP($A277,Table,MATCH(Z$4,Curves,0)))</f>
        <v/>
      </c>
      <c r="AA277" s="185" t="str">
        <f aca="false">IF($A278="","",VLOOKUP($A277,Table,MATCH(AA$4,Curves,0)))</f>
        <v/>
      </c>
      <c r="AB277" s="185" t="e">
        <f aca="false">SQRT((AA277^2*(A277-$D$3)+Z277^2*(DAY(EOMONTH(A277,0))/2))/AK277)</f>
        <v>#VALUE!</v>
      </c>
      <c r="AC277" s="185" t="str">
        <f aca="false">IF($A278="","",VLOOKUP($A277,Table,MATCH(AC$4,Curves,0)))</f>
        <v/>
      </c>
      <c r="AD277" s="185" t="str">
        <f aca="false">IF($A278="","",VLOOKUP($A277,Table,MATCH(AD$4,Curves,0)))</f>
        <v/>
      </c>
      <c r="AE277" s="185" t="e">
        <f aca="false">SQRT((AD277^2*(A277-$D$3)+AC277^2*(DAY(EOMONTH(A277,0))/2))/AK277)</f>
        <v>#VALUE!</v>
      </c>
      <c r="AF277" s="206" t="e">
        <f aca="false">((Summary!$N$12*(AA277*AD277)*(A277-$D$3))+(Summary!$M$12*Z277*AC277*(AJ277-EOMONTH(EDATE(A277,-1),0))))/(AK277*AB277*AE277)</f>
        <v>#VALUE!</v>
      </c>
      <c r="AG277" s="207" t="str">
        <f aca="false">IF($A278="","",Summary!$Q$12)</f>
        <v/>
      </c>
      <c r="AH277" s="207" t="str">
        <f aca="false">IF($A278="","",IF(Summary!$R$12="Y",(VLOOKUP($A277,Summary!$AD$6:$AF$9,3)+'Escalating commodity'!H290),'Escalating commodity'!H290))</f>
        <v/>
      </c>
      <c r="AI277" s="207" t="str">
        <f aca="false">IF($A278="","",AH277)</f>
        <v/>
      </c>
      <c r="AJ277" s="208" t="e">
        <f aca="false">A277+DAY(EOMONTH(A277,0))/2-1</f>
        <v>#VALUE!</v>
      </c>
      <c r="AK277" s="209" t="str">
        <f aca="false">IF($A278="","",$A277-$E$1)</f>
        <v/>
      </c>
      <c r="AL277" s="182" t="str">
        <f aca="false">IF($A278="","",SPRDOPT(P277,X277,AI277,0,AB277,AE277,AF277,AK277,$AJ$2,0))</f>
        <v/>
      </c>
      <c r="AM277" s="211" t="str">
        <f aca="false">IF($A278="","",MAX(0,O277-W277-AI277))</f>
        <v/>
      </c>
      <c r="AN277" s="211" t="str">
        <f aca="false">IF($A278="","",AL277-AM277)</f>
        <v/>
      </c>
      <c r="AO277" s="137" t="str">
        <f aca="false">IF(A278="","",A278-A277)</f>
        <v/>
      </c>
      <c r="AP277" s="212" t="str">
        <f aca="false">IF(A278="","",CHOOSE(F$3,A278+24,A277))</f>
        <v/>
      </c>
      <c r="AQ277" s="209" t="str">
        <f aca="false">IF(A278="","",AP277-$E$1)</f>
        <v/>
      </c>
      <c r="AR277" s="185" t="n">
        <f aca="false">'ANR OK vs ML7'!AR277</f>
        <v>0.1</v>
      </c>
      <c r="AS277" s="213" t="str">
        <f aca="false">IF(A278="","",1/(1+CHOOSE(F$3,(AR278+($I$3/10000))/2,(AR277+($I$3/10000))/2))^(2*AQ277/365.25))</f>
        <v/>
      </c>
      <c r="AT277" s="137" t="str">
        <f aca="false">IF(A278="","",IF(AND(mthbeg&lt;=A277,mthend&gt;=A277),1,0))</f>
        <v/>
      </c>
      <c r="AU277" s="137" t="str">
        <f aca="false">IF(A278="","",AO277*AT277)</f>
        <v/>
      </c>
      <c r="AW277" s="195" t="str">
        <f aca="false">IF($A278="","",AL277*$E277)</f>
        <v/>
      </c>
      <c r="AX277" s="195" t="str">
        <f aca="false">IF($A278="","",AM277*$E277)</f>
        <v/>
      </c>
      <c r="AY277" s="195" t="str">
        <f aca="false">IF($A278="","",AN277*$E277)</f>
        <v/>
      </c>
      <c r="BA277" s="195" t="str">
        <f aca="false">IF($A278="","",F277*Summary!$Q$12)</f>
        <v/>
      </c>
    </row>
    <row r="278" customFormat="false" ht="12" hidden="false" customHeight="true" outlineLevel="0" collapsed="false">
      <c r="A278" s="196" t="str">
        <f aca="false">IF(A277&lt;mthend,EDATE(A277,1),"")</f>
        <v/>
      </c>
      <c r="B278" s="197" t="str">
        <f aca="false">IF(A278&lt;mthend,B277,"")</f>
        <v/>
      </c>
      <c r="C278" s="215"/>
      <c r="D278" s="197" t="str">
        <f aca="false">IF(A279&lt;&gt;"",B278+C278,"")</f>
        <v/>
      </c>
      <c r="E278" s="199" t="str">
        <f aca="false">IF(A279="","",IF(AND(AT278=1,$H$3=1),D278*AO278,IF($H$3=2,D278,"N/A")))</f>
        <v/>
      </c>
      <c r="F278" s="199" t="str">
        <f aca="false">IF(A279="","",E278*AS278)</f>
        <v/>
      </c>
      <c r="G278" s="200" t="str">
        <f aca="false">IF($A279="","",VLOOKUP($A278,Table,MATCH(G$4,Curves,0)))</f>
        <v/>
      </c>
      <c r="H278" s="201" t="str">
        <f aca="false">IF(A279="","",G278)</f>
        <v/>
      </c>
      <c r="I278" s="202"/>
      <c r="J278" s="200" t="str">
        <f aca="false">IF($A279="","",VLOOKUP($A278,Table,MATCH(J$4,Curves,0)))</f>
        <v/>
      </c>
      <c r="K278" s="201" t="str">
        <f aca="false">IF(A279="","",J278)</f>
        <v/>
      </c>
      <c r="L278" s="200" t="str">
        <f aca="false">IF($A279="","",VLOOKUP($A278,Table,MATCH(L$4,Curves,0)))</f>
        <v/>
      </c>
      <c r="M278" s="201" t="str">
        <f aca="false">IF(A279="","",L278)</f>
        <v/>
      </c>
      <c r="N278" s="203"/>
      <c r="O278" s="200" t="str">
        <f aca="false">IF(A279="","",L278+J278+G278)</f>
        <v/>
      </c>
      <c r="P278" s="200" t="str">
        <f aca="false">IF(A279="","",M278+K278+H278)</f>
        <v/>
      </c>
      <c r="Q278" s="204"/>
      <c r="R278" s="200" t="str">
        <f aca="false">IF($A279="","",VLOOKUP($A278,Table,MATCH(R$4,Curves,0)))</f>
        <v/>
      </c>
      <c r="S278" s="201" t="str">
        <f aca="false">IF(A279="","",R278)</f>
        <v/>
      </c>
      <c r="T278" s="200" t="str">
        <f aca="false">IF($A279="","",VLOOKUP($A278,Table,MATCH(T$4,Curves,0)))</f>
        <v/>
      </c>
      <c r="U278" s="201" t="str">
        <f aca="false">IF(A279="","",T278)</f>
        <v/>
      </c>
      <c r="V278" s="225" t="str">
        <f aca="false">IF($A279="","",IF(AND(MONTH(A278)&gt;3,MONTH(A278)&lt;11),(T278+R278+G278)*(((1/(1-Summary!$T$12))/(1-Summary!$W$12))-1),(T278+R278+G278)*((1/(1-Summary!$U$12))/(1-Summary!$X$12)-1)))</f>
        <v/>
      </c>
      <c r="W278" s="200" t="str">
        <f aca="false">IF($A279="","",(T278+R278+G278+V278))</f>
        <v/>
      </c>
      <c r="X278" s="200" t="str">
        <f aca="false">IF($A279="","",(U278+S278+H278+V278))</f>
        <v/>
      </c>
      <c r="Y278" s="202"/>
      <c r="Z278" s="185" t="str">
        <f aca="false">IF($A279="","",VLOOKUP($A278,Table,MATCH(Z$4,Curves,0)))</f>
        <v/>
      </c>
      <c r="AA278" s="185" t="str">
        <f aca="false">IF($A279="","",VLOOKUP($A278,Table,MATCH(AA$4,Curves,0)))</f>
        <v/>
      </c>
      <c r="AB278" s="185" t="e">
        <f aca="false">SQRT((AA278^2*(A278-$D$3)+Z278^2*(DAY(EOMONTH(A278,0))/2))/AK278)</f>
        <v>#VALUE!</v>
      </c>
      <c r="AC278" s="185" t="str">
        <f aca="false">IF($A279="","",VLOOKUP($A278,Table,MATCH(AC$4,Curves,0)))</f>
        <v/>
      </c>
      <c r="AD278" s="185" t="str">
        <f aca="false">IF($A279="","",VLOOKUP($A278,Table,MATCH(AD$4,Curves,0)))</f>
        <v/>
      </c>
      <c r="AE278" s="185" t="e">
        <f aca="false">SQRT((AD278^2*(A278-$D$3)+AC278^2*(DAY(EOMONTH(A278,0))/2))/AK278)</f>
        <v>#VALUE!</v>
      </c>
      <c r="AF278" s="206" t="e">
        <f aca="false">((Summary!$N$12*(AA278*AD278)*(A278-$D$3))+(Summary!$M$12*Z278*AC278*(AJ278-EOMONTH(EDATE(A278,-1),0))))/(AK278*AB278*AE278)</f>
        <v>#VALUE!</v>
      </c>
      <c r="AG278" s="207" t="str">
        <f aca="false">IF($A279="","",Summary!$Q$12)</f>
        <v/>
      </c>
      <c r="AH278" s="207" t="str">
        <f aca="false">IF($A279="","",IF(Summary!$R$12="Y",(VLOOKUP($A278,Summary!$AD$6:$AF$9,3)+'Escalating commodity'!H291),'Escalating commodity'!H291))</f>
        <v/>
      </c>
      <c r="AI278" s="207" t="str">
        <f aca="false">IF($A279="","",AH278)</f>
        <v/>
      </c>
      <c r="AJ278" s="208" t="e">
        <f aca="false">A278+DAY(EOMONTH(A278,0))/2-1</f>
        <v>#VALUE!</v>
      </c>
      <c r="AK278" s="209" t="str">
        <f aca="false">IF($A279="","",$A278-$E$1)</f>
        <v/>
      </c>
      <c r="AL278" s="182" t="str">
        <f aca="false">IF($A279="","",SPRDOPT(P278,X278,AI278,0,AB278,AE278,AF278,AK278,$AJ$2,0))</f>
        <v/>
      </c>
      <c r="AM278" s="211" t="str">
        <f aca="false">IF($A279="","",MAX(0,O278-W278-AI278))</f>
        <v/>
      </c>
      <c r="AN278" s="211" t="str">
        <f aca="false">IF($A279="","",AL278-AM278)</f>
        <v/>
      </c>
      <c r="AO278" s="137" t="str">
        <f aca="false">IF(A279="","",A279-A278)</f>
        <v/>
      </c>
      <c r="AP278" s="212" t="str">
        <f aca="false">IF(A279="","",CHOOSE(F$3,A279+24,A278))</f>
        <v/>
      </c>
      <c r="AQ278" s="209" t="str">
        <f aca="false">IF(A279="","",AP278-$E$1)</f>
        <v/>
      </c>
      <c r="AR278" s="185" t="n">
        <f aca="false">'ANR OK vs ML7'!AR278</f>
        <v>0.1</v>
      </c>
      <c r="AS278" s="213" t="str">
        <f aca="false">IF(A279="","",1/(1+CHOOSE(F$3,(AR279+($I$3/10000))/2,(AR278+($I$3/10000))/2))^(2*AQ278/365.25))</f>
        <v/>
      </c>
      <c r="AT278" s="137" t="str">
        <f aca="false">IF(A279="","",IF(AND(mthbeg&lt;=A278,mthend&gt;=A278),1,0))</f>
        <v/>
      </c>
      <c r="AU278" s="137" t="str">
        <f aca="false">IF(A279="","",AO278*AT278)</f>
        <v/>
      </c>
      <c r="AW278" s="195" t="str">
        <f aca="false">IF($A279="","",AL278*$E278)</f>
        <v/>
      </c>
      <c r="AX278" s="195" t="str">
        <f aca="false">IF($A279="","",AM278*$E278)</f>
        <v/>
      </c>
      <c r="AY278" s="195" t="str">
        <f aca="false">IF($A279="","",AN278*$E278)</f>
        <v/>
      </c>
      <c r="BA278" s="195" t="str">
        <f aca="false">IF($A279="","",F278*Summary!$Q$12)</f>
        <v/>
      </c>
    </row>
    <row r="279" customFormat="false" ht="12" hidden="false" customHeight="true" outlineLevel="0" collapsed="false">
      <c r="A279" s="196" t="str">
        <f aca="false">IF(A278&lt;mthend,EDATE(A278,1),"")</f>
        <v/>
      </c>
      <c r="B279" s="197" t="str">
        <f aca="false">IF(A279&lt;mthend,B278,"")</f>
        <v/>
      </c>
      <c r="C279" s="215"/>
      <c r="D279" s="197" t="str">
        <f aca="false">IF(A280&lt;&gt;"",B279+C279,"")</f>
        <v/>
      </c>
      <c r="E279" s="199" t="str">
        <f aca="false">IF(A280="","",IF(AND(AT279=1,$H$3=1),D279*AO279,IF($H$3=2,D279,"N/A")))</f>
        <v/>
      </c>
      <c r="F279" s="199" t="str">
        <f aca="false">IF(A280="","",E279*AS279)</f>
        <v/>
      </c>
      <c r="G279" s="200" t="str">
        <f aca="false">IF($A280="","",VLOOKUP($A279,Table,MATCH(G$4,Curves,0)))</f>
        <v/>
      </c>
      <c r="H279" s="201" t="str">
        <f aca="false">IF(A280="","",G279)</f>
        <v/>
      </c>
      <c r="I279" s="202"/>
      <c r="J279" s="200" t="str">
        <f aca="false">IF($A280="","",VLOOKUP($A279,Table,MATCH(J$4,Curves,0)))</f>
        <v/>
      </c>
      <c r="K279" s="201" t="str">
        <f aca="false">IF(A280="","",J279)</f>
        <v/>
      </c>
      <c r="L279" s="200" t="str">
        <f aca="false">IF($A280="","",VLOOKUP($A279,Table,MATCH(L$4,Curves,0)))</f>
        <v/>
      </c>
      <c r="M279" s="201" t="str">
        <f aca="false">IF(A280="","",L279)</f>
        <v/>
      </c>
      <c r="N279" s="203"/>
      <c r="O279" s="200" t="str">
        <f aca="false">IF(A280="","",L279+J279+G279)</f>
        <v/>
      </c>
      <c r="P279" s="200" t="str">
        <f aca="false">IF(A280="","",M279+K279+H279)</f>
        <v/>
      </c>
      <c r="Q279" s="204"/>
      <c r="R279" s="200" t="str">
        <f aca="false">IF($A280="","",VLOOKUP($A279,Table,MATCH(R$4,Curves,0)))</f>
        <v/>
      </c>
      <c r="S279" s="201" t="str">
        <f aca="false">IF(A280="","",R279)</f>
        <v/>
      </c>
      <c r="T279" s="200" t="str">
        <f aca="false">IF($A280="","",VLOOKUP($A279,Table,MATCH(T$4,Curves,0)))</f>
        <v/>
      </c>
      <c r="U279" s="201" t="str">
        <f aca="false">IF(A280="","",T279)</f>
        <v/>
      </c>
      <c r="V279" s="225" t="str">
        <f aca="false">IF($A280="","",IF(AND(MONTH(A279)&gt;3,MONTH(A279)&lt;11),(T279+R279+G279)*(((1/(1-Summary!$T$12))/(1-Summary!$W$12))-1),(T279+R279+G279)*((1/(1-Summary!$U$12))/(1-Summary!$X$12)-1)))</f>
        <v/>
      </c>
      <c r="W279" s="200" t="str">
        <f aca="false">IF($A280="","",(T279+R279+G279+V279))</f>
        <v/>
      </c>
      <c r="X279" s="200" t="str">
        <f aca="false">IF($A280="","",(U279+S279+H279+V279))</f>
        <v/>
      </c>
      <c r="Y279" s="202"/>
      <c r="Z279" s="185" t="str">
        <f aca="false">IF($A280="","",VLOOKUP($A279,Table,MATCH(Z$4,Curves,0)))</f>
        <v/>
      </c>
      <c r="AA279" s="185" t="str">
        <f aca="false">IF($A280="","",VLOOKUP($A279,Table,MATCH(AA$4,Curves,0)))</f>
        <v/>
      </c>
      <c r="AB279" s="185" t="e">
        <f aca="false">SQRT((AA279^2*(A279-$D$3)+Z279^2*(DAY(EOMONTH(A279,0))/2))/AK279)</f>
        <v>#VALUE!</v>
      </c>
      <c r="AC279" s="185" t="str">
        <f aca="false">IF($A280="","",VLOOKUP($A279,Table,MATCH(AC$4,Curves,0)))</f>
        <v/>
      </c>
      <c r="AD279" s="185" t="str">
        <f aca="false">IF($A280="","",VLOOKUP($A279,Table,MATCH(AD$4,Curves,0)))</f>
        <v/>
      </c>
      <c r="AE279" s="185" t="e">
        <f aca="false">SQRT((AD279^2*(A279-$D$3)+AC279^2*(DAY(EOMONTH(A279,0))/2))/AK279)</f>
        <v>#VALUE!</v>
      </c>
      <c r="AF279" s="206" t="e">
        <f aca="false">((Summary!$N$12*(AA279*AD279)*(A279-$D$3))+(Summary!$M$12*Z279*AC279*(AJ279-EOMONTH(EDATE(A279,-1),0))))/(AK279*AB279*AE279)</f>
        <v>#VALUE!</v>
      </c>
      <c r="AG279" s="207" t="str">
        <f aca="false">IF($A280="","",Summary!$Q$12)</f>
        <v/>
      </c>
      <c r="AH279" s="207" t="str">
        <f aca="false">IF($A280="","",IF(Summary!$R$12="Y",(VLOOKUP($A279,Summary!$AD$6:$AF$9,3)+'Escalating commodity'!H292),'Escalating commodity'!H292))</f>
        <v/>
      </c>
      <c r="AI279" s="207" t="str">
        <f aca="false">IF($A280="","",AH279)</f>
        <v/>
      </c>
      <c r="AJ279" s="208" t="e">
        <f aca="false">A279+DAY(EOMONTH(A279,0))/2-1</f>
        <v>#VALUE!</v>
      </c>
      <c r="AK279" s="209" t="str">
        <f aca="false">IF($A280="","",$A279-$E$1)</f>
        <v/>
      </c>
      <c r="AL279" s="182" t="str">
        <f aca="false">IF($A280="","",SPRDOPT(P279,X279,AI279,0,AB279,AE279,AF279,AK279,$AJ$2,0))</f>
        <v/>
      </c>
      <c r="AM279" s="211" t="str">
        <f aca="false">IF($A280="","",MAX(0,O279-W279-AI279))</f>
        <v/>
      </c>
      <c r="AN279" s="211" t="str">
        <f aca="false">IF($A280="","",AL279-AM279)</f>
        <v/>
      </c>
      <c r="AO279" s="137" t="str">
        <f aca="false">IF(A280="","",A280-A279)</f>
        <v/>
      </c>
      <c r="AP279" s="212" t="str">
        <f aca="false">IF(A280="","",CHOOSE(F$3,A280+24,A279))</f>
        <v/>
      </c>
      <c r="AQ279" s="209" t="str">
        <f aca="false">IF(A280="","",AP279-$E$1)</f>
        <v/>
      </c>
      <c r="AR279" s="185" t="n">
        <f aca="false">'ANR OK vs ML7'!AR279</f>
        <v>0.1</v>
      </c>
      <c r="AS279" s="213" t="str">
        <f aca="false">IF(A280="","",1/(1+CHOOSE(F$3,(AR280+($I$3/10000))/2,(AR279+($I$3/10000))/2))^(2*AQ279/365.25))</f>
        <v/>
      </c>
      <c r="AT279" s="137" t="str">
        <f aca="false">IF(A280="","",IF(AND(mthbeg&lt;=A279,mthend&gt;=A279),1,0))</f>
        <v/>
      </c>
      <c r="AU279" s="137" t="str">
        <f aca="false">IF(A280="","",AO279*AT279)</f>
        <v/>
      </c>
      <c r="AW279" s="195" t="str">
        <f aca="false">IF($A280="","",AL279*$E279)</f>
        <v/>
      </c>
      <c r="AX279" s="195" t="str">
        <f aca="false">IF($A280="","",AM279*$E279)</f>
        <v/>
      </c>
      <c r="AY279" s="195" t="str">
        <f aca="false">IF($A280="","",AN279*$E279)</f>
        <v/>
      </c>
      <c r="BA279" s="195" t="str">
        <f aca="false">IF($A280="","",F279*Summary!$Q$12)</f>
        <v/>
      </c>
    </row>
    <row r="280" customFormat="false" ht="12" hidden="false" customHeight="true" outlineLevel="0" collapsed="false">
      <c r="A280" s="196" t="str">
        <f aca="false">IF(A279&lt;mthend,EDATE(A279,1),"")</f>
        <v/>
      </c>
      <c r="B280" s="197" t="str">
        <f aca="false">IF(A280&lt;mthend,B279,"")</f>
        <v/>
      </c>
      <c r="C280" s="215"/>
      <c r="D280" s="197" t="str">
        <f aca="false">IF(A281&lt;&gt;"",B280+C280,"")</f>
        <v/>
      </c>
      <c r="E280" s="199" t="str">
        <f aca="false">IF(A281="","",IF(AND(AT280=1,$H$3=1),D280*AO280,IF($H$3=2,D280,"N/A")))</f>
        <v/>
      </c>
      <c r="F280" s="199" t="str">
        <f aca="false">IF(A281="","",E280*AS280)</f>
        <v/>
      </c>
      <c r="G280" s="200" t="str">
        <f aca="false">IF($A281="","",VLOOKUP($A280,Table,MATCH(G$4,Curves,0)))</f>
        <v/>
      </c>
      <c r="H280" s="201" t="str">
        <f aca="false">IF(A281="","",G280)</f>
        <v/>
      </c>
      <c r="I280" s="202"/>
      <c r="J280" s="200" t="str">
        <f aca="false">IF($A281="","",VLOOKUP($A280,Table,MATCH(J$4,Curves,0)))</f>
        <v/>
      </c>
      <c r="K280" s="201" t="str">
        <f aca="false">IF(A281="","",J280)</f>
        <v/>
      </c>
      <c r="L280" s="200" t="str">
        <f aca="false">IF($A281="","",VLOOKUP($A280,Table,MATCH(L$4,Curves,0)))</f>
        <v/>
      </c>
      <c r="M280" s="201" t="str">
        <f aca="false">IF(A281="","",L280)</f>
        <v/>
      </c>
      <c r="N280" s="203"/>
      <c r="O280" s="200" t="str">
        <f aca="false">IF(A281="","",L280+J280+G280)</f>
        <v/>
      </c>
      <c r="P280" s="200" t="str">
        <f aca="false">IF(A281="","",M280+K280+H280)</f>
        <v/>
      </c>
      <c r="Q280" s="204"/>
      <c r="R280" s="200" t="str">
        <f aca="false">IF($A281="","",VLOOKUP($A280,Table,MATCH(R$4,Curves,0)))</f>
        <v/>
      </c>
      <c r="S280" s="201" t="str">
        <f aca="false">IF(A281="","",R280)</f>
        <v/>
      </c>
      <c r="T280" s="200" t="str">
        <f aca="false">IF($A281="","",VLOOKUP($A280,Table,MATCH(T$4,Curves,0)))</f>
        <v/>
      </c>
      <c r="U280" s="201" t="str">
        <f aca="false">IF(A281="","",T280)</f>
        <v/>
      </c>
      <c r="V280" s="225" t="str">
        <f aca="false">IF($A281="","",IF(AND(MONTH(A280)&gt;3,MONTH(A280)&lt;11),(T280+R280+G280)*(((1/(1-Summary!$T$12))/(1-Summary!$W$12))-1),(T280+R280+G280)*((1/(1-Summary!$U$12))/(1-Summary!$X$12)-1)))</f>
        <v/>
      </c>
      <c r="W280" s="200" t="str">
        <f aca="false">IF($A281="","",(T280+R280+G280+V280))</f>
        <v/>
      </c>
      <c r="X280" s="200" t="str">
        <f aca="false">IF($A281="","",(U280+S280+H280+V280))</f>
        <v/>
      </c>
      <c r="Y280" s="202"/>
      <c r="Z280" s="185" t="str">
        <f aca="false">IF($A281="","",VLOOKUP($A280,Table,MATCH(Z$4,Curves,0)))</f>
        <v/>
      </c>
      <c r="AA280" s="185" t="str">
        <f aca="false">IF($A281="","",VLOOKUP($A280,Table,MATCH(AA$4,Curves,0)))</f>
        <v/>
      </c>
      <c r="AB280" s="185" t="e">
        <f aca="false">SQRT((AA280^2*(A280-$D$3)+Z280^2*(DAY(EOMONTH(A280,0))/2))/AK280)</f>
        <v>#VALUE!</v>
      </c>
      <c r="AC280" s="185" t="str">
        <f aca="false">IF($A281="","",VLOOKUP($A280,Table,MATCH(AC$4,Curves,0)))</f>
        <v/>
      </c>
      <c r="AD280" s="185" t="str">
        <f aca="false">IF($A281="","",VLOOKUP($A280,Table,MATCH(AD$4,Curves,0)))</f>
        <v/>
      </c>
      <c r="AE280" s="185" t="e">
        <f aca="false">SQRT((AD280^2*(A280-$D$3)+AC280^2*(DAY(EOMONTH(A280,0))/2))/AK280)</f>
        <v>#VALUE!</v>
      </c>
      <c r="AF280" s="206" t="e">
        <f aca="false">((Summary!$N$12*(AA280*AD280)*(A280-$D$3))+(Summary!$M$12*Z280*AC280*(AJ280-EOMONTH(EDATE(A280,-1),0))))/(AK280*AB280*AE280)</f>
        <v>#VALUE!</v>
      </c>
      <c r="AG280" s="207" t="str">
        <f aca="false">IF($A281="","",Summary!$Q$12)</f>
        <v/>
      </c>
      <c r="AH280" s="207" t="str">
        <f aca="false">IF($A281="","",IF(Summary!$R$12="Y",(VLOOKUP($A280,Summary!$AD$6:$AF$9,3)+'Escalating commodity'!H293),'Escalating commodity'!H293))</f>
        <v/>
      </c>
      <c r="AI280" s="207" t="str">
        <f aca="false">IF($A281="","",AH280)</f>
        <v/>
      </c>
      <c r="AJ280" s="208" t="e">
        <f aca="false">A280+DAY(EOMONTH(A280,0))/2-1</f>
        <v>#VALUE!</v>
      </c>
      <c r="AK280" s="209" t="str">
        <f aca="false">IF($A281="","",$A280-$E$1)</f>
        <v/>
      </c>
      <c r="AL280" s="182" t="str">
        <f aca="false">IF($A281="","",SPRDOPT(P280,X280,AI280,0,AB280,AE280,AF280,AK280,$AJ$2,0))</f>
        <v/>
      </c>
      <c r="AM280" s="211" t="str">
        <f aca="false">IF($A281="","",MAX(0,O280-W280-AI280))</f>
        <v/>
      </c>
      <c r="AN280" s="211" t="str">
        <f aca="false">IF($A281="","",AL280-AM280)</f>
        <v/>
      </c>
      <c r="AO280" s="137" t="str">
        <f aca="false">IF(A281="","",A281-A280)</f>
        <v/>
      </c>
      <c r="AP280" s="212" t="str">
        <f aca="false">IF(A281="","",CHOOSE(F$3,A281+24,A280))</f>
        <v/>
      </c>
      <c r="AQ280" s="209" t="str">
        <f aca="false">IF(A281="","",AP280-$E$1)</f>
        <v/>
      </c>
      <c r="AR280" s="185" t="n">
        <f aca="false">'ANR OK vs ML7'!AR280</f>
        <v>0.1</v>
      </c>
      <c r="AS280" s="213" t="str">
        <f aca="false">IF(A281="","",1/(1+CHOOSE(F$3,(AR281+($I$3/10000))/2,(AR280+($I$3/10000))/2))^(2*AQ280/365.25))</f>
        <v/>
      </c>
      <c r="AT280" s="137" t="str">
        <f aca="false">IF(A281="","",IF(AND(mthbeg&lt;=A280,mthend&gt;=A280),1,0))</f>
        <v/>
      </c>
      <c r="AU280" s="137" t="str">
        <f aca="false">IF(A281="","",AO280*AT280)</f>
        <v/>
      </c>
      <c r="AW280" s="195" t="str">
        <f aca="false">IF($A281="","",AL280*$E280)</f>
        <v/>
      </c>
      <c r="AX280" s="195" t="str">
        <f aca="false">IF($A281="","",AM280*$E280)</f>
        <v/>
      </c>
      <c r="AY280" s="195" t="str">
        <f aca="false">IF($A281="","",AN280*$E280)</f>
        <v/>
      </c>
      <c r="BA280" s="195" t="str">
        <f aca="false">IF($A281="","",F280*Summary!$Q$12)</f>
        <v/>
      </c>
    </row>
    <row r="281" customFormat="false" ht="12" hidden="false" customHeight="true" outlineLevel="0" collapsed="false">
      <c r="A281" s="196" t="str">
        <f aca="false">IF(A280&lt;mthend,EDATE(A280,1),"")</f>
        <v/>
      </c>
      <c r="B281" s="197" t="str">
        <f aca="false">IF(A281&lt;mthend,B280,"")</f>
        <v/>
      </c>
      <c r="C281" s="215"/>
      <c r="D281" s="197" t="str">
        <f aca="false">IF(A282&lt;&gt;"",B281+C281,"")</f>
        <v/>
      </c>
      <c r="E281" s="199" t="str">
        <f aca="false">IF(A282="","",IF(AND(AT281=1,$H$3=1),D281*AO281,IF($H$3=2,D281,"N/A")))</f>
        <v/>
      </c>
      <c r="F281" s="199" t="str">
        <f aca="false">IF(A282="","",E281*AS281)</f>
        <v/>
      </c>
      <c r="G281" s="200" t="str">
        <f aca="false">IF($A282="","",VLOOKUP($A281,Table,MATCH(G$4,Curves,0)))</f>
        <v/>
      </c>
      <c r="H281" s="201" t="str">
        <f aca="false">IF(A282="","",G281)</f>
        <v/>
      </c>
      <c r="I281" s="202"/>
      <c r="J281" s="200" t="str">
        <f aca="false">IF($A282="","",VLOOKUP($A281,Table,MATCH(J$4,Curves,0)))</f>
        <v/>
      </c>
      <c r="K281" s="201" t="str">
        <f aca="false">IF(A282="","",J281)</f>
        <v/>
      </c>
      <c r="L281" s="200" t="str">
        <f aca="false">IF($A282="","",VLOOKUP($A281,Table,MATCH(L$4,Curves,0)))</f>
        <v/>
      </c>
      <c r="M281" s="201" t="str">
        <f aca="false">IF(A282="","",L281)</f>
        <v/>
      </c>
      <c r="N281" s="203"/>
      <c r="O281" s="200" t="str">
        <f aca="false">IF(A282="","",L281+J281+G281)</f>
        <v/>
      </c>
      <c r="P281" s="200" t="str">
        <f aca="false">IF(A282="","",M281+K281+H281)</f>
        <v/>
      </c>
      <c r="Q281" s="204"/>
      <c r="R281" s="200" t="str">
        <f aca="false">IF($A282="","",VLOOKUP($A281,Table,MATCH(R$4,Curves,0)))</f>
        <v/>
      </c>
      <c r="S281" s="201" t="str">
        <f aca="false">IF(A282="","",R281)</f>
        <v/>
      </c>
      <c r="T281" s="200" t="str">
        <f aca="false">IF($A282="","",VLOOKUP($A281,Table,MATCH(T$4,Curves,0)))</f>
        <v/>
      </c>
      <c r="U281" s="201" t="str">
        <f aca="false">IF(A282="","",T281)</f>
        <v/>
      </c>
      <c r="V281" s="225" t="str">
        <f aca="false">IF($A282="","",IF(AND(MONTH(A281)&gt;3,MONTH(A281)&lt;11),(T281+R281+G281)*(((1/(1-Summary!$T$12))/(1-Summary!$W$12))-1),(T281+R281+G281)*((1/(1-Summary!$U$12))/(1-Summary!$X$12)-1)))</f>
        <v/>
      </c>
      <c r="W281" s="200" t="str">
        <f aca="false">IF($A282="","",(T281+R281+G281+V281))</f>
        <v/>
      </c>
      <c r="X281" s="200" t="str">
        <f aca="false">IF($A282="","",(U281+S281+H281+V281))</f>
        <v/>
      </c>
      <c r="Y281" s="202"/>
      <c r="Z281" s="185" t="str">
        <f aca="false">IF($A282="","",VLOOKUP($A281,Table,MATCH(Z$4,Curves,0)))</f>
        <v/>
      </c>
      <c r="AA281" s="185" t="str">
        <f aca="false">IF($A282="","",VLOOKUP($A281,Table,MATCH(AA$4,Curves,0)))</f>
        <v/>
      </c>
      <c r="AB281" s="185" t="e">
        <f aca="false">SQRT((AA281^2*(A281-$D$3)+Z281^2*(DAY(EOMONTH(A281,0))/2))/AK281)</f>
        <v>#VALUE!</v>
      </c>
      <c r="AC281" s="185" t="str">
        <f aca="false">IF($A282="","",VLOOKUP($A281,Table,MATCH(AC$4,Curves,0)))</f>
        <v/>
      </c>
      <c r="AD281" s="185" t="str">
        <f aca="false">IF($A282="","",VLOOKUP($A281,Table,MATCH(AD$4,Curves,0)))</f>
        <v/>
      </c>
      <c r="AE281" s="185" t="e">
        <f aca="false">SQRT((AD281^2*(A281-$D$3)+AC281^2*(DAY(EOMONTH(A281,0))/2))/AK281)</f>
        <v>#VALUE!</v>
      </c>
      <c r="AF281" s="206" t="e">
        <f aca="false">((Summary!$N$12*(AA281*AD281)*(A281-$D$3))+(Summary!$M$12*Z281*AC281*(AJ281-EOMONTH(EDATE(A281,-1),0))))/(AK281*AB281*AE281)</f>
        <v>#VALUE!</v>
      </c>
      <c r="AG281" s="207" t="str">
        <f aca="false">IF($A282="","",Summary!$Q$12)</f>
        <v/>
      </c>
      <c r="AH281" s="207" t="str">
        <f aca="false">IF($A282="","",IF(Summary!$R$12="Y",(VLOOKUP($A281,Summary!$AD$6:$AF$9,3)+'Escalating commodity'!H294),'Escalating commodity'!H294))</f>
        <v/>
      </c>
      <c r="AI281" s="207" t="str">
        <f aca="false">IF($A282="","",AH281)</f>
        <v/>
      </c>
      <c r="AJ281" s="208" t="e">
        <f aca="false">A281+DAY(EOMONTH(A281,0))/2-1</f>
        <v>#VALUE!</v>
      </c>
      <c r="AK281" s="209" t="str">
        <f aca="false">IF($A282="","",$A281-$E$1)</f>
        <v/>
      </c>
      <c r="AL281" s="182" t="str">
        <f aca="false">IF($A282="","",SPRDOPT(P281,X281,AI281,0,AB281,AE281,AF281,AK281,$AJ$2,0))</f>
        <v/>
      </c>
      <c r="AM281" s="211" t="str">
        <f aca="false">IF($A282="","",MAX(0,O281-W281-AI281))</f>
        <v/>
      </c>
      <c r="AN281" s="211" t="str">
        <f aca="false">IF($A282="","",AL281-AM281)</f>
        <v/>
      </c>
      <c r="AO281" s="137" t="str">
        <f aca="false">IF(A282="","",A282-A281)</f>
        <v/>
      </c>
      <c r="AP281" s="212" t="str">
        <f aca="false">IF(A282="","",CHOOSE(F$3,A282+24,A281))</f>
        <v/>
      </c>
      <c r="AQ281" s="209" t="str">
        <f aca="false">IF(A282="","",AP281-$E$1)</f>
        <v/>
      </c>
      <c r="AR281" s="185" t="n">
        <f aca="false">'ANR OK vs ML7'!AR281</f>
        <v>0.1</v>
      </c>
      <c r="AS281" s="213" t="str">
        <f aca="false">IF(A282="","",1/(1+CHOOSE(F$3,(AR282+($I$3/10000))/2,(AR281+($I$3/10000))/2))^(2*AQ281/365.25))</f>
        <v/>
      </c>
      <c r="AT281" s="137" t="str">
        <f aca="false">IF(A282="","",IF(AND(mthbeg&lt;=A281,mthend&gt;=A281),1,0))</f>
        <v/>
      </c>
      <c r="AU281" s="137" t="str">
        <f aca="false">IF(A282="","",AO281*AT281)</f>
        <v/>
      </c>
      <c r="AW281" s="195" t="str">
        <f aca="false">IF($A282="","",AL281*$E281)</f>
        <v/>
      </c>
      <c r="AX281" s="195" t="str">
        <f aca="false">IF($A282="","",AM281*$E281)</f>
        <v/>
      </c>
      <c r="AY281" s="195" t="str">
        <f aca="false">IF($A282="","",AN281*$E281)</f>
        <v/>
      </c>
      <c r="BA281" s="195" t="str">
        <f aca="false">IF($A282="","",F281*Summary!$Q$12)</f>
        <v/>
      </c>
    </row>
    <row r="282" customFormat="false" ht="12" hidden="false" customHeight="true" outlineLevel="0" collapsed="false">
      <c r="A282" s="196" t="str">
        <f aca="false">IF(A281&lt;mthend,EDATE(A281,1),"")</f>
        <v/>
      </c>
      <c r="B282" s="197" t="str">
        <f aca="false">IF(A282&lt;mthend,B281,"")</f>
        <v/>
      </c>
      <c r="C282" s="215"/>
      <c r="D282" s="197" t="str">
        <f aca="false">IF(A283&lt;&gt;"",B282+C282,"")</f>
        <v/>
      </c>
      <c r="E282" s="199" t="str">
        <f aca="false">IF(A283="","",IF(AND(AT282=1,$H$3=1),D282*AO282,IF($H$3=2,D282,"N/A")))</f>
        <v/>
      </c>
      <c r="F282" s="199" t="str">
        <f aca="false">IF(A283="","",E282*AS282)</f>
        <v/>
      </c>
      <c r="G282" s="200" t="str">
        <f aca="false">IF($A283="","",VLOOKUP($A282,Table,MATCH(G$4,Curves,0)))</f>
        <v/>
      </c>
      <c r="H282" s="201" t="str">
        <f aca="false">IF(A283="","",G282)</f>
        <v/>
      </c>
      <c r="I282" s="202"/>
      <c r="J282" s="200" t="str">
        <f aca="false">IF($A283="","",VLOOKUP($A282,Table,MATCH(J$4,Curves,0)))</f>
        <v/>
      </c>
      <c r="K282" s="201" t="str">
        <f aca="false">IF(A283="","",J282)</f>
        <v/>
      </c>
      <c r="L282" s="200" t="str">
        <f aca="false">IF($A283="","",VLOOKUP($A282,Table,MATCH(L$4,Curves,0)))</f>
        <v/>
      </c>
      <c r="M282" s="201" t="str">
        <f aca="false">IF(A283="","",L282)</f>
        <v/>
      </c>
      <c r="N282" s="203"/>
      <c r="O282" s="200" t="str">
        <f aca="false">IF(A283="","",L282+J282+G282)</f>
        <v/>
      </c>
      <c r="P282" s="200" t="str">
        <f aca="false">IF(A283="","",M282+K282+H282)</f>
        <v/>
      </c>
      <c r="Q282" s="204"/>
      <c r="R282" s="200" t="str">
        <f aca="false">IF($A283="","",VLOOKUP($A282,Table,MATCH(R$4,Curves,0)))</f>
        <v/>
      </c>
      <c r="S282" s="201" t="str">
        <f aca="false">IF(A283="","",R282)</f>
        <v/>
      </c>
      <c r="T282" s="200" t="str">
        <f aca="false">IF($A283="","",VLOOKUP($A282,Table,MATCH(T$4,Curves,0)))</f>
        <v/>
      </c>
      <c r="U282" s="201" t="str">
        <f aca="false">IF(A283="","",T282)</f>
        <v/>
      </c>
      <c r="V282" s="225" t="str">
        <f aca="false">IF($A283="","",IF(AND(MONTH(A282)&gt;3,MONTH(A282)&lt;11),(T282+R282+G282)*(((1/(1-Summary!$T$12))/(1-Summary!$W$12))-1),(T282+R282+G282)*((1/(1-Summary!$U$12))/(1-Summary!$X$12)-1)))</f>
        <v/>
      </c>
      <c r="W282" s="200" t="str">
        <f aca="false">IF($A283="","",(T282+R282+G282+V282))</f>
        <v/>
      </c>
      <c r="X282" s="200" t="str">
        <f aca="false">IF($A283="","",(U282+S282+H282+V282))</f>
        <v/>
      </c>
      <c r="Y282" s="202"/>
      <c r="Z282" s="185" t="str">
        <f aca="false">IF($A283="","",VLOOKUP($A282,Table,MATCH(Z$4,Curves,0)))</f>
        <v/>
      </c>
      <c r="AA282" s="185" t="str">
        <f aca="false">IF($A283="","",VLOOKUP($A282,Table,MATCH(AA$4,Curves,0)))</f>
        <v/>
      </c>
      <c r="AB282" s="185" t="e">
        <f aca="false">SQRT((AA282^2*(A282-$D$3)+Z282^2*(DAY(EOMONTH(A282,0))/2))/AK282)</f>
        <v>#VALUE!</v>
      </c>
      <c r="AC282" s="185" t="str">
        <f aca="false">IF($A283="","",VLOOKUP($A282,Table,MATCH(AC$4,Curves,0)))</f>
        <v/>
      </c>
      <c r="AD282" s="185" t="str">
        <f aca="false">IF($A283="","",VLOOKUP($A282,Table,MATCH(AD$4,Curves,0)))</f>
        <v/>
      </c>
      <c r="AE282" s="185" t="e">
        <f aca="false">SQRT((AD282^2*(A282-$D$3)+AC282^2*(DAY(EOMONTH(A282,0))/2))/AK282)</f>
        <v>#VALUE!</v>
      </c>
      <c r="AF282" s="206" t="e">
        <f aca="false">((Summary!$N$12*(AA282*AD282)*(A282-$D$3))+(Summary!$M$12*Z282*AC282*(AJ282-EOMONTH(EDATE(A282,-1),0))))/(AK282*AB282*AE282)</f>
        <v>#VALUE!</v>
      </c>
      <c r="AG282" s="207" t="str">
        <f aca="false">IF($A283="","",Summary!$Q$12)</f>
        <v/>
      </c>
      <c r="AH282" s="207" t="str">
        <f aca="false">IF($A283="","",IF(Summary!$R$12="Y",(VLOOKUP($A282,Summary!$AD$6:$AF$9,3)+'Escalating commodity'!H295),'Escalating commodity'!H295))</f>
        <v/>
      </c>
      <c r="AI282" s="207" t="str">
        <f aca="false">IF($A283="","",AH282)</f>
        <v/>
      </c>
      <c r="AJ282" s="208" t="e">
        <f aca="false">A282+DAY(EOMONTH(A282,0))/2-1</f>
        <v>#VALUE!</v>
      </c>
      <c r="AK282" s="209" t="str">
        <f aca="false">IF($A283="","",$A282-$E$1)</f>
        <v/>
      </c>
      <c r="AL282" s="182" t="str">
        <f aca="false">IF($A283="","",SPRDOPT(P282,X282,AI282,0,AB282,AE282,AF282,AK282,$AJ$2,0))</f>
        <v/>
      </c>
      <c r="AM282" s="211" t="str">
        <f aca="false">IF($A283="","",MAX(0,O282-W282-AI282))</f>
        <v/>
      </c>
      <c r="AN282" s="211" t="str">
        <f aca="false">IF($A283="","",AL282-AM282)</f>
        <v/>
      </c>
      <c r="AO282" s="137" t="str">
        <f aca="false">IF(A283="","",A283-A282)</f>
        <v/>
      </c>
      <c r="AP282" s="212" t="str">
        <f aca="false">IF(A283="","",CHOOSE(F$3,A283+24,A282))</f>
        <v/>
      </c>
      <c r="AQ282" s="209" t="str">
        <f aca="false">IF(A283="","",AP282-$E$1)</f>
        <v/>
      </c>
      <c r="AR282" s="185" t="n">
        <f aca="false">'ANR OK vs ML7'!AR282</f>
        <v>0.1</v>
      </c>
      <c r="AS282" s="213" t="str">
        <f aca="false">IF(A283="","",1/(1+CHOOSE(F$3,(AR283+($I$3/10000))/2,(AR282+($I$3/10000))/2))^(2*AQ282/365.25))</f>
        <v/>
      </c>
      <c r="AT282" s="137" t="str">
        <f aca="false">IF(A283="","",IF(AND(mthbeg&lt;=A282,mthend&gt;=A282),1,0))</f>
        <v/>
      </c>
      <c r="AU282" s="137" t="str">
        <f aca="false">IF(A283="","",AO282*AT282)</f>
        <v/>
      </c>
      <c r="AW282" s="195" t="str">
        <f aca="false">IF($A283="","",AL282*$E282)</f>
        <v/>
      </c>
      <c r="AX282" s="195" t="str">
        <f aca="false">IF($A283="","",AM282*$E282)</f>
        <v/>
      </c>
      <c r="AY282" s="195" t="str">
        <f aca="false">IF($A283="","",AN282*$E282)</f>
        <v/>
      </c>
      <c r="BA282" s="195" t="str">
        <f aca="false">IF($A283="","",F282*Summary!$Q$12)</f>
        <v/>
      </c>
    </row>
    <row r="283" customFormat="false" ht="12" hidden="false" customHeight="true" outlineLevel="0" collapsed="false">
      <c r="A283" s="196" t="str">
        <f aca="false">IF(A282&lt;mthend,EDATE(A282,1),"")</f>
        <v/>
      </c>
      <c r="B283" s="197" t="str">
        <f aca="false">IF(A283&lt;mthend,B282,"")</f>
        <v/>
      </c>
      <c r="C283" s="215"/>
      <c r="D283" s="197" t="str">
        <f aca="false">IF(A284&lt;&gt;"",B283+C283,"")</f>
        <v/>
      </c>
      <c r="E283" s="199" t="str">
        <f aca="false">IF(A284="","",IF(AND(AT283=1,$H$3=1),D283*AO283,IF($H$3=2,D283,"N/A")))</f>
        <v/>
      </c>
      <c r="F283" s="199" t="str">
        <f aca="false">IF(A284="","",E283*AS283)</f>
        <v/>
      </c>
      <c r="G283" s="200" t="str">
        <f aca="false">IF($A284="","",VLOOKUP($A283,Table,MATCH(G$4,Curves,0)))</f>
        <v/>
      </c>
      <c r="H283" s="201" t="str">
        <f aca="false">IF(A284="","",G283)</f>
        <v/>
      </c>
      <c r="I283" s="202"/>
      <c r="J283" s="200" t="str">
        <f aca="false">IF($A284="","",VLOOKUP($A283,Table,MATCH(J$4,Curves,0)))</f>
        <v/>
      </c>
      <c r="K283" s="201" t="str">
        <f aca="false">IF(A284="","",J283)</f>
        <v/>
      </c>
      <c r="L283" s="200" t="str">
        <f aca="false">IF($A284="","",VLOOKUP($A283,Table,MATCH(L$4,Curves,0)))</f>
        <v/>
      </c>
      <c r="M283" s="201" t="str">
        <f aca="false">IF(A284="","",L283)</f>
        <v/>
      </c>
      <c r="N283" s="203"/>
      <c r="O283" s="200" t="str">
        <f aca="false">IF(A284="","",L283+J283+G283)</f>
        <v/>
      </c>
      <c r="P283" s="200" t="str">
        <f aca="false">IF(A284="","",M283+K283+H283)</f>
        <v/>
      </c>
      <c r="Q283" s="204"/>
      <c r="R283" s="200" t="str">
        <f aca="false">IF($A284="","",VLOOKUP($A283,Table,MATCH(R$4,Curves,0)))</f>
        <v/>
      </c>
      <c r="S283" s="201" t="str">
        <f aca="false">IF(A284="","",R283)</f>
        <v/>
      </c>
      <c r="T283" s="200" t="str">
        <f aca="false">IF($A284="","",VLOOKUP($A283,Table,MATCH(T$4,Curves,0)))</f>
        <v/>
      </c>
      <c r="U283" s="201" t="str">
        <f aca="false">IF(A284="","",T283)</f>
        <v/>
      </c>
      <c r="V283" s="225" t="str">
        <f aca="false">IF($A284="","",IF(AND(MONTH(A283)&gt;3,MONTH(A283)&lt;11),(T283+R283+G283)*(((1/(1-Summary!$T$12))/(1-Summary!$W$12))-1),(T283+R283+G283)*((1/(1-Summary!$U$12))/(1-Summary!$X$12)-1)))</f>
        <v/>
      </c>
      <c r="W283" s="200" t="str">
        <f aca="false">IF($A284="","",(T283+R283+G283+V283))</f>
        <v/>
      </c>
      <c r="X283" s="200" t="str">
        <f aca="false">IF($A284="","",(U283+S283+H283+V283))</f>
        <v/>
      </c>
      <c r="Y283" s="202"/>
      <c r="Z283" s="185" t="str">
        <f aca="false">IF($A284="","",VLOOKUP($A283,Table,MATCH(Z$4,Curves,0)))</f>
        <v/>
      </c>
      <c r="AA283" s="185" t="str">
        <f aca="false">IF($A284="","",VLOOKUP($A283,Table,MATCH(AA$4,Curves,0)))</f>
        <v/>
      </c>
      <c r="AB283" s="185" t="e">
        <f aca="false">SQRT((AA283^2*(A283-$D$3)+Z283^2*(DAY(EOMONTH(A283,0))/2))/AK283)</f>
        <v>#VALUE!</v>
      </c>
      <c r="AC283" s="185" t="str">
        <f aca="false">IF($A284="","",VLOOKUP($A283,Table,MATCH(AC$4,Curves,0)))</f>
        <v/>
      </c>
      <c r="AD283" s="185" t="str">
        <f aca="false">IF($A284="","",VLOOKUP($A283,Table,MATCH(AD$4,Curves,0)))</f>
        <v/>
      </c>
      <c r="AE283" s="185" t="e">
        <f aca="false">SQRT((AD283^2*(A283-$D$3)+AC283^2*(DAY(EOMONTH(A283,0))/2))/AK283)</f>
        <v>#VALUE!</v>
      </c>
      <c r="AF283" s="206" t="e">
        <f aca="false">((Summary!$N$12*(AA283*AD283)*(A283-$D$3))+(Summary!$M$12*Z283*AC283*(AJ283-EOMONTH(EDATE(A283,-1),0))))/(AK283*AB283*AE283)</f>
        <v>#VALUE!</v>
      </c>
      <c r="AG283" s="207" t="str">
        <f aca="false">IF($A284="","",Summary!$Q$12)</f>
        <v/>
      </c>
      <c r="AH283" s="207" t="str">
        <f aca="false">IF($A284="","",IF(Summary!$R$12="Y",(VLOOKUP($A283,Summary!$AD$6:$AF$9,3)+'Escalating commodity'!H296),'Escalating commodity'!H296))</f>
        <v/>
      </c>
      <c r="AI283" s="207" t="str">
        <f aca="false">IF($A284="","",AH283)</f>
        <v/>
      </c>
      <c r="AJ283" s="208" t="e">
        <f aca="false">A283+DAY(EOMONTH(A283,0))/2-1</f>
        <v>#VALUE!</v>
      </c>
      <c r="AK283" s="209" t="str">
        <f aca="false">IF($A284="","",$A283-$E$1)</f>
        <v/>
      </c>
      <c r="AL283" s="182" t="str">
        <f aca="false">IF($A284="","",SPRDOPT(P283,X283,AI283,0,AB283,AE283,AF283,AK283,$AJ$2,0))</f>
        <v/>
      </c>
      <c r="AM283" s="211" t="str">
        <f aca="false">IF($A284="","",MAX(0,O283-W283-AI283))</f>
        <v/>
      </c>
      <c r="AN283" s="211" t="str">
        <f aca="false">IF($A284="","",AL283-AM283)</f>
        <v/>
      </c>
      <c r="AO283" s="137" t="str">
        <f aca="false">IF(A284="","",A284-A283)</f>
        <v/>
      </c>
      <c r="AP283" s="212" t="str">
        <f aca="false">IF(A284="","",CHOOSE(F$3,A284+24,A283))</f>
        <v/>
      </c>
      <c r="AQ283" s="209" t="str">
        <f aca="false">IF(A284="","",AP283-$E$1)</f>
        <v/>
      </c>
      <c r="AR283" s="185" t="n">
        <f aca="false">'ANR OK vs ML7'!AR283</f>
        <v>0.1</v>
      </c>
      <c r="AS283" s="213" t="str">
        <f aca="false">IF(A284="","",1/(1+CHOOSE(F$3,(AR284+($I$3/10000))/2,(AR283+($I$3/10000))/2))^(2*AQ283/365.25))</f>
        <v/>
      </c>
      <c r="AT283" s="137" t="str">
        <f aca="false">IF(A284="","",IF(AND(mthbeg&lt;=A283,mthend&gt;=A283),1,0))</f>
        <v/>
      </c>
      <c r="AU283" s="137" t="str">
        <f aca="false">IF(A284="","",AO283*AT283)</f>
        <v/>
      </c>
      <c r="AW283" s="195" t="str">
        <f aca="false">IF($A284="","",AL283*$E283)</f>
        <v/>
      </c>
      <c r="AX283" s="195" t="str">
        <f aca="false">IF($A284="","",AM283*$E283)</f>
        <v/>
      </c>
      <c r="AY283" s="195" t="str">
        <f aca="false">IF($A284="","",AN283*$E283)</f>
        <v/>
      </c>
      <c r="BA283" s="195" t="str">
        <f aca="false">IF($A284="","",F283*Summary!$Q$12)</f>
        <v/>
      </c>
    </row>
    <row r="284" customFormat="false" ht="12" hidden="false" customHeight="true" outlineLevel="0" collapsed="false">
      <c r="A284" s="196" t="str">
        <f aca="false">IF(A283&lt;mthend,EDATE(A283,1),"")</f>
        <v/>
      </c>
      <c r="B284" s="197" t="str">
        <f aca="false">IF(A284&lt;mthend,B283,"")</f>
        <v/>
      </c>
      <c r="C284" s="215"/>
      <c r="D284" s="197" t="str">
        <f aca="false">IF(A285&lt;&gt;"",B284+C284,"")</f>
        <v/>
      </c>
      <c r="E284" s="199" t="str">
        <f aca="false">IF(A285="","",IF(AND(AT284=1,$H$3=1),D284*AO284,IF($H$3=2,D284,"N/A")))</f>
        <v/>
      </c>
      <c r="F284" s="199" t="str">
        <f aca="false">IF(A285="","",E284*AS284)</f>
        <v/>
      </c>
      <c r="G284" s="200" t="str">
        <f aca="false">IF($A285="","",VLOOKUP($A284,Table,MATCH(G$4,Curves,0)))</f>
        <v/>
      </c>
      <c r="H284" s="201" t="str">
        <f aca="false">IF(A285="","",G284)</f>
        <v/>
      </c>
      <c r="I284" s="202"/>
      <c r="J284" s="200" t="str">
        <f aca="false">IF($A285="","",VLOOKUP($A284,Table,MATCH(J$4,Curves,0)))</f>
        <v/>
      </c>
      <c r="K284" s="201" t="str">
        <f aca="false">IF(A285="","",J284)</f>
        <v/>
      </c>
      <c r="L284" s="200" t="str">
        <f aca="false">IF($A285="","",VLOOKUP($A284,Table,MATCH(L$4,Curves,0)))</f>
        <v/>
      </c>
      <c r="M284" s="201" t="str">
        <f aca="false">IF(A285="","",L284)</f>
        <v/>
      </c>
      <c r="N284" s="203"/>
      <c r="O284" s="200" t="str">
        <f aca="false">IF(A285="","",L284+J284+G284)</f>
        <v/>
      </c>
      <c r="P284" s="200" t="str">
        <f aca="false">IF(A285="","",M284+K284+H284)</f>
        <v/>
      </c>
      <c r="Q284" s="204"/>
      <c r="R284" s="200" t="str">
        <f aca="false">IF($A285="","",VLOOKUP($A284,Table,MATCH(R$4,Curves,0)))</f>
        <v/>
      </c>
      <c r="S284" s="201" t="str">
        <f aca="false">IF(A285="","",R284)</f>
        <v/>
      </c>
      <c r="T284" s="200" t="str">
        <f aca="false">IF($A285="","",VLOOKUP($A284,Table,MATCH(T$4,Curves,0)))</f>
        <v/>
      </c>
      <c r="U284" s="201" t="str">
        <f aca="false">IF(A285="","",T284)</f>
        <v/>
      </c>
      <c r="V284" s="225" t="str">
        <f aca="false">IF($A285="","",IF(AND(MONTH(A284)&gt;3,MONTH(A284)&lt;11),(T284+R284+G284)*(((1/(1-Summary!$T$12))/(1-Summary!$W$12))-1),(T284+R284+G284)*((1/(1-Summary!$U$12))/(1-Summary!$X$12)-1)))</f>
        <v/>
      </c>
      <c r="W284" s="200" t="str">
        <f aca="false">IF($A285="","",(T284+R284+G284+V284))</f>
        <v/>
      </c>
      <c r="X284" s="200" t="str">
        <f aca="false">IF($A285="","",(U284+S284+H284+V284))</f>
        <v/>
      </c>
      <c r="Y284" s="202"/>
      <c r="Z284" s="185" t="str">
        <f aca="false">IF($A285="","",VLOOKUP($A284,Table,MATCH(Z$4,Curves,0)))</f>
        <v/>
      </c>
      <c r="AA284" s="185" t="str">
        <f aca="false">IF($A285="","",VLOOKUP($A284,Table,MATCH(AA$4,Curves,0)))</f>
        <v/>
      </c>
      <c r="AB284" s="185" t="e">
        <f aca="false">SQRT((AA284^2*(A284-$D$3)+Z284^2*(DAY(EOMONTH(A284,0))/2))/AK284)</f>
        <v>#VALUE!</v>
      </c>
      <c r="AC284" s="185" t="str">
        <f aca="false">IF($A285="","",VLOOKUP($A284,Table,MATCH(AC$4,Curves,0)))</f>
        <v/>
      </c>
      <c r="AD284" s="185" t="str">
        <f aca="false">IF($A285="","",VLOOKUP($A284,Table,MATCH(AD$4,Curves,0)))</f>
        <v/>
      </c>
      <c r="AE284" s="185" t="e">
        <f aca="false">SQRT((AD284^2*(A284-$D$3)+AC284^2*(DAY(EOMONTH(A284,0))/2))/AK284)</f>
        <v>#VALUE!</v>
      </c>
      <c r="AF284" s="206" t="e">
        <f aca="false">((Summary!$N$12*(AA284*AD284)*(A284-$D$3))+(Summary!$M$12*Z284*AC284*(AJ284-EOMONTH(EDATE(A284,-1),0))))/(AK284*AB284*AE284)</f>
        <v>#VALUE!</v>
      </c>
      <c r="AG284" s="207" t="str">
        <f aca="false">IF($A285="","",Summary!$Q$12)</f>
        <v/>
      </c>
      <c r="AH284" s="207" t="str">
        <f aca="false">IF($A285="","",IF(Summary!$R$12="Y",(VLOOKUP($A284,Summary!$AD$6:$AF$9,3)+'Escalating commodity'!H297),'Escalating commodity'!H297))</f>
        <v/>
      </c>
      <c r="AI284" s="207" t="str">
        <f aca="false">IF($A285="","",AH284)</f>
        <v/>
      </c>
      <c r="AJ284" s="208" t="e">
        <f aca="false">A284+DAY(EOMONTH(A284,0))/2-1</f>
        <v>#VALUE!</v>
      </c>
      <c r="AK284" s="209" t="str">
        <f aca="false">IF($A285="","",$A284-$E$1)</f>
        <v/>
      </c>
      <c r="AL284" s="182" t="str">
        <f aca="false">IF($A285="","",SPRDOPT(P284,X284,AI284,0,AB284,AE284,AF284,AK284,$AJ$2,0))</f>
        <v/>
      </c>
      <c r="AM284" s="211" t="str">
        <f aca="false">IF($A285="","",MAX(0,O284-W284-AI284))</f>
        <v/>
      </c>
      <c r="AN284" s="211" t="str">
        <f aca="false">IF($A285="","",AL284-AM284)</f>
        <v/>
      </c>
      <c r="AO284" s="137" t="str">
        <f aca="false">IF(A285="","",A285-A284)</f>
        <v/>
      </c>
      <c r="AP284" s="212" t="str">
        <f aca="false">IF(A285="","",CHOOSE(F$3,A285+24,A284))</f>
        <v/>
      </c>
      <c r="AQ284" s="209" t="str">
        <f aca="false">IF(A285="","",AP284-$E$1)</f>
        <v/>
      </c>
      <c r="AR284" s="185" t="n">
        <f aca="false">'ANR OK vs ML7'!AR284</f>
        <v>0.1</v>
      </c>
      <c r="AS284" s="213" t="str">
        <f aca="false">IF(A285="","",1/(1+CHOOSE(F$3,(AR285+($I$3/10000))/2,(AR284+($I$3/10000))/2))^(2*AQ284/365.25))</f>
        <v/>
      </c>
      <c r="AT284" s="137" t="str">
        <f aca="false">IF(A285="","",IF(AND(mthbeg&lt;=A284,mthend&gt;=A284),1,0))</f>
        <v/>
      </c>
      <c r="AU284" s="137" t="str">
        <f aca="false">IF(A285="","",AO284*AT284)</f>
        <v/>
      </c>
      <c r="AW284" s="195" t="str">
        <f aca="false">IF($A285="","",AL284*$E284)</f>
        <v/>
      </c>
      <c r="AX284" s="195" t="str">
        <f aca="false">IF($A285="","",AM284*$E284)</f>
        <v/>
      </c>
      <c r="AY284" s="195" t="str">
        <f aca="false">IF($A285="","",AN284*$E284)</f>
        <v/>
      </c>
      <c r="BA284" s="195" t="str">
        <f aca="false">IF($A285="","",F284*Summary!$Q$12)</f>
        <v/>
      </c>
    </row>
    <row r="285" customFormat="false" ht="12" hidden="false" customHeight="true" outlineLevel="0" collapsed="false">
      <c r="A285" s="196" t="str">
        <f aca="false">IF(A284&lt;mthend,EDATE(A284,1),"")</f>
        <v/>
      </c>
      <c r="B285" s="197" t="str">
        <f aca="false">IF(A285&lt;mthend,B284,"")</f>
        <v/>
      </c>
      <c r="C285" s="215"/>
      <c r="D285" s="197" t="str">
        <f aca="false">IF(A286&lt;&gt;"",B285+C285,"")</f>
        <v/>
      </c>
      <c r="E285" s="199" t="str">
        <f aca="false">IF(A286="","",IF(AND(AT285=1,$H$3=1),D285*AO285,IF($H$3=2,D285,"N/A")))</f>
        <v/>
      </c>
      <c r="F285" s="199" t="str">
        <f aca="false">IF(A286="","",E285*AS285)</f>
        <v/>
      </c>
      <c r="G285" s="200" t="str">
        <f aca="false">IF($A286="","",VLOOKUP($A285,Table,MATCH(G$4,Curves,0)))</f>
        <v/>
      </c>
      <c r="H285" s="201" t="str">
        <f aca="false">IF(A286="","",G285)</f>
        <v/>
      </c>
      <c r="I285" s="202"/>
      <c r="J285" s="200" t="str">
        <f aca="false">IF($A286="","",VLOOKUP($A285,Table,MATCH(J$4,Curves,0)))</f>
        <v/>
      </c>
      <c r="K285" s="201" t="str">
        <f aca="false">IF(A286="","",J285)</f>
        <v/>
      </c>
      <c r="L285" s="200" t="str">
        <f aca="false">IF($A286="","",VLOOKUP($A285,Table,MATCH(L$4,Curves,0)))</f>
        <v/>
      </c>
      <c r="M285" s="201" t="str">
        <f aca="false">IF(A286="","",L285)</f>
        <v/>
      </c>
      <c r="N285" s="203"/>
      <c r="O285" s="200" t="str">
        <f aca="false">IF(A286="","",L285+J285+G285)</f>
        <v/>
      </c>
      <c r="P285" s="200" t="str">
        <f aca="false">IF(A286="","",M285+K285+H285)</f>
        <v/>
      </c>
      <c r="Q285" s="204"/>
      <c r="R285" s="200" t="str">
        <f aca="false">IF($A286="","",VLOOKUP($A285,Table,MATCH(R$4,Curves,0)))</f>
        <v/>
      </c>
      <c r="S285" s="201" t="str">
        <f aca="false">IF(A286="","",R285)</f>
        <v/>
      </c>
      <c r="T285" s="200" t="str">
        <f aca="false">IF($A286="","",VLOOKUP($A285,Table,MATCH(T$4,Curves,0)))</f>
        <v/>
      </c>
      <c r="U285" s="201" t="str">
        <f aca="false">IF(A286="","",T285)</f>
        <v/>
      </c>
      <c r="V285" s="225" t="str">
        <f aca="false">IF($A286="","",IF(AND(MONTH(A285)&gt;3,MONTH(A285)&lt;11),(T285+R285+G285)*(((1/(1-Summary!$T$12))/(1-Summary!$W$12))-1),(T285+R285+G285)*((1/(1-Summary!$U$12))/(1-Summary!$X$12)-1)))</f>
        <v/>
      </c>
      <c r="W285" s="200" t="str">
        <f aca="false">IF($A286="","",(T285+R285+G285+V285))</f>
        <v/>
      </c>
      <c r="X285" s="200" t="str">
        <f aca="false">IF($A286="","",(U285+S285+H285+V285))</f>
        <v/>
      </c>
      <c r="Y285" s="202"/>
      <c r="Z285" s="185" t="str">
        <f aca="false">IF($A286="","",VLOOKUP($A285,Table,MATCH(Z$4,Curves,0)))</f>
        <v/>
      </c>
      <c r="AA285" s="185" t="str">
        <f aca="false">IF($A286="","",VLOOKUP($A285,Table,MATCH(AA$4,Curves,0)))</f>
        <v/>
      </c>
      <c r="AB285" s="185" t="e">
        <f aca="false">SQRT((AA285^2*(A285-$D$3)+Z285^2*(DAY(EOMONTH(A285,0))/2))/AK285)</f>
        <v>#VALUE!</v>
      </c>
      <c r="AC285" s="185" t="str">
        <f aca="false">IF($A286="","",VLOOKUP($A285,Table,MATCH(AC$4,Curves,0)))</f>
        <v/>
      </c>
      <c r="AD285" s="185" t="str">
        <f aca="false">IF($A286="","",VLOOKUP($A285,Table,MATCH(AD$4,Curves,0)))</f>
        <v/>
      </c>
      <c r="AE285" s="185" t="e">
        <f aca="false">SQRT((AD285^2*(A285-$D$3)+AC285^2*(DAY(EOMONTH(A285,0))/2))/AK285)</f>
        <v>#VALUE!</v>
      </c>
      <c r="AF285" s="206" t="e">
        <f aca="false">((Summary!$N$12*(AA285*AD285)*(A285-$D$3))+(Summary!$M$12*Z285*AC285*(AJ285-EOMONTH(EDATE(A285,-1),0))))/(AK285*AB285*AE285)</f>
        <v>#VALUE!</v>
      </c>
      <c r="AG285" s="207" t="str">
        <f aca="false">IF($A286="","",Summary!$Q$12)</f>
        <v/>
      </c>
      <c r="AH285" s="207" t="str">
        <f aca="false">IF($A286="","",IF(Summary!$R$12="Y",(VLOOKUP($A285,Summary!$AD$6:$AF$9,3)+'Escalating commodity'!H298),'Escalating commodity'!H298))</f>
        <v/>
      </c>
      <c r="AI285" s="207" t="str">
        <f aca="false">IF($A286="","",AH285)</f>
        <v/>
      </c>
      <c r="AJ285" s="208" t="e">
        <f aca="false">A285+DAY(EOMONTH(A285,0))/2-1</f>
        <v>#VALUE!</v>
      </c>
      <c r="AK285" s="209" t="str">
        <f aca="false">IF($A286="","",$A285-$E$1)</f>
        <v/>
      </c>
      <c r="AL285" s="182" t="str">
        <f aca="false">IF($A286="","",SPRDOPT(P285,X285,AI285,0,AB285,AE285,AF285,AK285,$AJ$2,0))</f>
        <v/>
      </c>
      <c r="AM285" s="211" t="str">
        <f aca="false">IF($A286="","",MAX(0,O285-W285-AI285))</f>
        <v/>
      </c>
      <c r="AN285" s="211" t="str">
        <f aca="false">IF($A286="","",AL285-AM285)</f>
        <v/>
      </c>
      <c r="AO285" s="137" t="str">
        <f aca="false">IF(A286="","",A286-A285)</f>
        <v/>
      </c>
      <c r="AP285" s="212" t="str">
        <f aca="false">IF(A286="","",CHOOSE(F$3,A286+24,A285))</f>
        <v/>
      </c>
      <c r="AQ285" s="209" t="str">
        <f aca="false">IF(A286="","",AP285-$E$1)</f>
        <v/>
      </c>
      <c r="AR285" s="185" t="n">
        <f aca="false">'ANR OK vs ML7'!AR285</f>
        <v>0.1</v>
      </c>
      <c r="AS285" s="213" t="str">
        <f aca="false">IF(A286="","",1/(1+CHOOSE(F$3,(AR286+($I$3/10000))/2,(AR285+($I$3/10000))/2))^(2*AQ285/365.25))</f>
        <v/>
      </c>
      <c r="AT285" s="137" t="str">
        <f aca="false">IF(A286="","",IF(AND(mthbeg&lt;=A285,mthend&gt;=A285),1,0))</f>
        <v/>
      </c>
      <c r="AU285" s="137" t="str">
        <f aca="false">IF(A286="","",AO285*AT285)</f>
        <v/>
      </c>
      <c r="AW285" s="195" t="str">
        <f aca="false">IF($A286="","",AL285*$E285)</f>
        <v/>
      </c>
      <c r="AX285" s="195" t="str">
        <f aca="false">IF($A286="","",AM285*$E285)</f>
        <v/>
      </c>
      <c r="AY285" s="195" t="str">
        <f aca="false">IF($A286="","",AN285*$E285)</f>
        <v/>
      </c>
      <c r="BA285" s="195" t="str">
        <f aca="false">IF($A286="","",F285*Summary!$Q$12)</f>
        <v/>
      </c>
    </row>
    <row r="286" customFormat="false" ht="12" hidden="false" customHeight="true" outlineLevel="0" collapsed="false">
      <c r="A286" s="196" t="str">
        <f aca="false">IF(A285&lt;mthend,EDATE(A285,1),"")</f>
        <v/>
      </c>
      <c r="B286" s="197" t="str">
        <f aca="false">IF(A286&lt;mthend,B285,"")</f>
        <v/>
      </c>
      <c r="C286" s="215"/>
      <c r="D286" s="197" t="str">
        <f aca="false">IF(A287&lt;&gt;"",B286+C286,"")</f>
        <v/>
      </c>
      <c r="E286" s="199" t="str">
        <f aca="false">IF(A287="","",IF(AND(AT286=1,$H$3=1),D286*AO286,IF($H$3=2,D286,"N/A")))</f>
        <v/>
      </c>
      <c r="F286" s="199" t="str">
        <f aca="false">IF(A287="","",E286*AS286)</f>
        <v/>
      </c>
      <c r="G286" s="200" t="str">
        <f aca="false">IF($A287="","",VLOOKUP($A286,Table,MATCH(G$4,Curves,0)))</f>
        <v/>
      </c>
      <c r="H286" s="201" t="str">
        <f aca="false">IF(A287="","",G286)</f>
        <v/>
      </c>
      <c r="I286" s="202"/>
      <c r="J286" s="200" t="str">
        <f aca="false">IF($A287="","",VLOOKUP($A286,Table,MATCH(J$4,Curves,0)))</f>
        <v/>
      </c>
      <c r="K286" s="201" t="str">
        <f aca="false">IF(A287="","",J286)</f>
        <v/>
      </c>
      <c r="L286" s="200" t="str">
        <f aca="false">IF($A287="","",VLOOKUP($A286,Table,MATCH(L$4,Curves,0)))</f>
        <v/>
      </c>
      <c r="M286" s="201" t="str">
        <f aca="false">IF(A287="","",L286)</f>
        <v/>
      </c>
      <c r="N286" s="203"/>
      <c r="O286" s="200" t="str">
        <f aca="false">IF(A287="","",L286+J286+G286)</f>
        <v/>
      </c>
      <c r="P286" s="200" t="str">
        <f aca="false">IF(A287="","",M286+K286+H286)</f>
        <v/>
      </c>
      <c r="Q286" s="204"/>
      <c r="R286" s="200" t="str">
        <f aca="false">IF($A287="","",VLOOKUP($A286,Table,MATCH(R$4,Curves,0)))</f>
        <v/>
      </c>
      <c r="S286" s="201" t="str">
        <f aca="false">IF(A287="","",R286)</f>
        <v/>
      </c>
      <c r="T286" s="200" t="str">
        <f aca="false">IF($A287="","",VLOOKUP($A286,Table,MATCH(T$4,Curves,0)))</f>
        <v/>
      </c>
      <c r="U286" s="201" t="str">
        <f aca="false">IF(A287="","",T286)</f>
        <v/>
      </c>
      <c r="V286" s="225" t="str">
        <f aca="false">IF($A287="","",IF(AND(MONTH(A286)&gt;3,MONTH(A286)&lt;11),(T286+R286+G286)*(((1/(1-Summary!$T$12))/(1-Summary!$W$12))-1),(T286+R286+G286)*((1/(1-Summary!$U$12))/(1-Summary!$X$12)-1)))</f>
        <v/>
      </c>
      <c r="W286" s="200" t="str">
        <f aca="false">IF($A287="","",(T286+R286+G286+V286))</f>
        <v/>
      </c>
      <c r="X286" s="200" t="str">
        <f aca="false">IF($A287="","",(U286+S286+H286+V286))</f>
        <v/>
      </c>
      <c r="Y286" s="202"/>
      <c r="Z286" s="185" t="str">
        <f aca="false">IF($A287="","",VLOOKUP($A286,Table,MATCH(Z$4,Curves,0)))</f>
        <v/>
      </c>
      <c r="AA286" s="185" t="str">
        <f aca="false">IF($A287="","",VLOOKUP($A286,Table,MATCH(AA$4,Curves,0)))</f>
        <v/>
      </c>
      <c r="AB286" s="185" t="e">
        <f aca="false">SQRT((AA286^2*(A286-$D$3)+Z286^2*(DAY(EOMONTH(A286,0))/2))/AK286)</f>
        <v>#VALUE!</v>
      </c>
      <c r="AC286" s="185" t="str">
        <f aca="false">IF($A287="","",VLOOKUP($A286,Table,MATCH(AC$4,Curves,0)))</f>
        <v/>
      </c>
      <c r="AD286" s="185" t="str">
        <f aca="false">IF($A287="","",VLOOKUP($A286,Table,MATCH(AD$4,Curves,0)))</f>
        <v/>
      </c>
      <c r="AE286" s="185" t="e">
        <f aca="false">SQRT((AD286^2*(A286-$D$3)+AC286^2*(DAY(EOMONTH(A286,0))/2))/AK286)</f>
        <v>#VALUE!</v>
      </c>
      <c r="AF286" s="206" t="e">
        <f aca="false">((Summary!$N$12*(AA286*AD286)*(A286-$D$3))+(Summary!$M$12*Z286*AC286*(AJ286-EOMONTH(EDATE(A286,-1),0))))/(AK286*AB286*AE286)</f>
        <v>#VALUE!</v>
      </c>
      <c r="AG286" s="207" t="str">
        <f aca="false">IF($A287="","",Summary!$Q$12)</f>
        <v/>
      </c>
      <c r="AH286" s="207" t="str">
        <f aca="false">IF($A287="","",IF(Summary!$R$12="Y",(VLOOKUP($A286,Summary!$AD$6:$AF$9,3)+'Escalating commodity'!H299),'Escalating commodity'!H299))</f>
        <v/>
      </c>
      <c r="AI286" s="207" t="str">
        <f aca="false">IF($A287="","",AH286)</f>
        <v/>
      </c>
      <c r="AJ286" s="208" t="e">
        <f aca="false">A286+DAY(EOMONTH(A286,0))/2-1</f>
        <v>#VALUE!</v>
      </c>
      <c r="AK286" s="209" t="str">
        <f aca="false">IF($A287="","",$A286-$E$1)</f>
        <v/>
      </c>
      <c r="AL286" s="182" t="str">
        <f aca="false">IF($A287="","",SPRDOPT(P286,X286,AI286,0,AB286,AE286,AF286,AK286,$AJ$2,0))</f>
        <v/>
      </c>
      <c r="AM286" s="211" t="str">
        <f aca="false">IF($A287="","",MAX(0,O286-W286-AI286))</f>
        <v/>
      </c>
      <c r="AN286" s="211" t="str">
        <f aca="false">IF($A287="","",AL286-AM286)</f>
        <v/>
      </c>
      <c r="AO286" s="137" t="str">
        <f aca="false">IF(A287="","",A287-A286)</f>
        <v/>
      </c>
      <c r="AP286" s="212" t="str">
        <f aca="false">IF(A287="","",CHOOSE(F$3,A287+24,A286))</f>
        <v/>
      </c>
      <c r="AQ286" s="209" t="str">
        <f aca="false">IF(A287="","",AP286-$E$1)</f>
        <v/>
      </c>
      <c r="AR286" s="185" t="n">
        <f aca="false">'ANR OK vs ML7'!AR286</f>
        <v>0.1</v>
      </c>
      <c r="AS286" s="213" t="str">
        <f aca="false">IF(A287="","",1/(1+CHOOSE(F$3,(AR287+($I$3/10000))/2,(AR286+($I$3/10000))/2))^(2*AQ286/365.25))</f>
        <v/>
      </c>
      <c r="AT286" s="137" t="str">
        <f aca="false">IF(A287="","",IF(AND(mthbeg&lt;=A286,mthend&gt;=A286),1,0))</f>
        <v/>
      </c>
      <c r="AU286" s="137" t="str">
        <f aca="false">IF(A287="","",AO286*AT286)</f>
        <v/>
      </c>
      <c r="AW286" s="195" t="str">
        <f aca="false">IF($A287="","",AL286*$E286)</f>
        <v/>
      </c>
      <c r="AX286" s="195" t="str">
        <f aca="false">IF($A287="","",AM286*$E286)</f>
        <v/>
      </c>
      <c r="AY286" s="195" t="str">
        <f aca="false">IF($A287="","",AN286*$E286)</f>
        <v/>
      </c>
      <c r="BA286" s="195" t="str">
        <f aca="false">IF($A287="","",F286*Summary!$Q$12)</f>
        <v/>
      </c>
    </row>
    <row r="287" customFormat="false" ht="12" hidden="false" customHeight="true" outlineLevel="0" collapsed="false">
      <c r="A287" s="196" t="str">
        <f aca="false">IF(A286&lt;mthend,EDATE(A286,1),"")</f>
        <v/>
      </c>
      <c r="B287" s="197" t="str">
        <f aca="false">IF(A287&lt;mthend,B286,"")</f>
        <v/>
      </c>
      <c r="C287" s="215"/>
      <c r="D287" s="197" t="str">
        <f aca="false">IF(A288&lt;&gt;"",B287+C287,"")</f>
        <v/>
      </c>
      <c r="E287" s="199" t="str">
        <f aca="false">IF(A288="","",IF(AND(AT287=1,$H$3=1),D287*AO287,IF($H$3=2,D287,"N/A")))</f>
        <v/>
      </c>
      <c r="F287" s="199" t="str">
        <f aca="false">IF(A288="","",E287*AS287)</f>
        <v/>
      </c>
      <c r="G287" s="200" t="str">
        <f aca="false">IF($A288="","",VLOOKUP($A287,Table,MATCH(G$4,Curves,0)))</f>
        <v/>
      </c>
      <c r="H287" s="201" t="str">
        <f aca="false">IF(A288="","",G287)</f>
        <v/>
      </c>
      <c r="I287" s="202"/>
      <c r="J287" s="200" t="str">
        <f aca="false">IF($A288="","",VLOOKUP($A287,Table,MATCH(J$4,Curves,0)))</f>
        <v/>
      </c>
      <c r="K287" s="201" t="str">
        <f aca="false">IF(A288="","",J287)</f>
        <v/>
      </c>
      <c r="L287" s="200" t="str">
        <f aca="false">IF($A288="","",VLOOKUP($A287,Table,MATCH(L$4,Curves,0)))</f>
        <v/>
      </c>
      <c r="M287" s="201" t="str">
        <f aca="false">IF(A288="","",L287)</f>
        <v/>
      </c>
      <c r="N287" s="203"/>
      <c r="O287" s="200" t="str">
        <f aca="false">IF(A288="","",L287+J287+G287)</f>
        <v/>
      </c>
      <c r="P287" s="200" t="str">
        <f aca="false">IF(A288="","",M287+K287+H287)</f>
        <v/>
      </c>
      <c r="Q287" s="204"/>
      <c r="R287" s="200" t="str">
        <f aca="false">IF($A288="","",VLOOKUP($A287,Table,MATCH(R$4,Curves,0)))</f>
        <v/>
      </c>
      <c r="S287" s="201" t="str">
        <f aca="false">IF(A288="","",R287)</f>
        <v/>
      </c>
      <c r="T287" s="200" t="str">
        <f aca="false">IF($A288="","",VLOOKUP($A287,Table,MATCH(T$4,Curves,0)))</f>
        <v/>
      </c>
      <c r="U287" s="201" t="str">
        <f aca="false">IF(A288="","",T287)</f>
        <v/>
      </c>
      <c r="V287" s="225" t="str">
        <f aca="false">IF($A288="","",IF(AND(MONTH(A287)&gt;3,MONTH(A287)&lt;11),(T287+R287+G287)*(((1/(1-Summary!$T$12))/(1-Summary!$W$12))-1),(T287+R287+G287)*((1/(1-Summary!$U$12))/(1-Summary!$X$12)-1)))</f>
        <v/>
      </c>
      <c r="W287" s="200" t="str">
        <f aca="false">IF($A288="","",(T287+R287+G287+V287))</f>
        <v/>
      </c>
      <c r="X287" s="200" t="str">
        <f aca="false">IF($A288="","",(U287+S287+H287+V287))</f>
        <v/>
      </c>
      <c r="Y287" s="202"/>
      <c r="Z287" s="185" t="str">
        <f aca="false">IF($A288="","",VLOOKUP($A287,Table,MATCH(Z$4,Curves,0)))</f>
        <v/>
      </c>
      <c r="AA287" s="185" t="str">
        <f aca="false">IF($A288="","",VLOOKUP($A287,Table,MATCH(AA$4,Curves,0)))</f>
        <v/>
      </c>
      <c r="AB287" s="185" t="e">
        <f aca="false">SQRT((AA287^2*(A287-$D$3)+Z287^2*(DAY(EOMONTH(A287,0))/2))/AK287)</f>
        <v>#VALUE!</v>
      </c>
      <c r="AC287" s="185" t="str">
        <f aca="false">IF($A288="","",VLOOKUP($A287,Table,MATCH(AC$4,Curves,0)))</f>
        <v/>
      </c>
      <c r="AD287" s="185" t="str">
        <f aca="false">IF($A288="","",VLOOKUP($A287,Table,MATCH(AD$4,Curves,0)))</f>
        <v/>
      </c>
      <c r="AE287" s="185" t="e">
        <f aca="false">SQRT((AD287^2*(A287-$D$3)+AC287^2*(DAY(EOMONTH(A287,0))/2))/AK287)</f>
        <v>#VALUE!</v>
      </c>
      <c r="AF287" s="206" t="e">
        <f aca="false">((Summary!$N$12*(AA287*AD287)*(A287-$D$3))+(Summary!$M$12*Z287*AC287*(AJ287-EOMONTH(EDATE(A287,-1),0))))/(AK287*AB287*AE287)</f>
        <v>#VALUE!</v>
      </c>
      <c r="AG287" s="207" t="str">
        <f aca="false">IF($A288="","",Summary!$Q$12)</f>
        <v/>
      </c>
      <c r="AH287" s="207" t="str">
        <f aca="false">IF($A288="","",IF(Summary!$R$12="Y",(VLOOKUP($A287,Summary!$AD$6:$AF$9,3)+'Escalating commodity'!H300),'Escalating commodity'!H300))</f>
        <v/>
      </c>
      <c r="AI287" s="207" t="str">
        <f aca="false">IF($A288="","",AH287)</f>
        <v/>
      </c>
      <c r="AJ287" s="208" t="e">
        <f aca="false">A287+DAY(EOMONTH(A287,0))/2-1</f>
        <v>#VALUE!</v>
      </c>
      <c r="AK287" s="209" t="str">
        <f aca="false">IF($A288="","",$A287-$E$1)</f>
        <v/>
      </c>
      <c r="AL287" s="182" t="str">
        <f aca="false">IF($A288="","",SPRDOPT(P287,X287,AI287,0,AB287,AE287,AF287,AK287,$AJ$2,0))</f>
        <v/>
      </c>
      <c r="AM287" s="211" t="str">
        <f aca="false">IF($A288="","",MAX(0,O287-W287-AI287))</f>
        <v/>
      </c>
      <c r="AN287" s="211" t="str">
        <f aca="false">IF($A288="","",AL287-AM287)</f>
        <v/>
      </c>
      <c r="AO287" s="137" t="str">
        <f aca="false">IF(A288="","",A288-A287)</f>
        <v/>
      </c>
      <c r="AP287" s="212" t="str">
        <f aca="false">IF(A288="","",CHOOSE(F$3,A288+24,A287))</f>
        <v/>
      </c>
      <c r="AQ287" s="209" t="str">
        <f aca="false">IF(A288="","",AP287-$E$1)</f>
        <v/>
      </c>
      <c r="AR287" s="185" t="n">
        <f aca="false">'ANR OK vs ML7'!AR287</f>
        <v>0.1</v>
      </c>
      <c r="AS287" s="213" t="str">
        <f aca="false">IF(A288="","",1/(1+CHOOSE(F$3,(AR288+($I$3/10000))/2,(AR287+($I$3/10000))/2))^(2*AQ287/365.25))</f>
        <v/>
      </c>
      <c r="AT287" s="137" t="str">
        <f aca="false">IF(A288="","",IF(AND(mthbeg&lt;=A287,mthend&gt;=A287),1,0))</f>
        <v/>
      </c>
      <c r="AU287" s="137" t="str">
        <f aca="false">IF(A288="","",AO287*AT287)</f>
        <v/>
      </c>
      <c r="AW287" s="195" t="str">
        <f aca="false">IF($A288="","",AL287*$E287)</f>
        <v/>
      </c>
      <c r="AX287" s="195" t="str">
        <f aca="false">IF($A288="","",AM287*$E287)</f>
        <v/>
      </c>
      <c r="AY287" s="195" t="str">
        <f aca="false">IF($A288="","",AN287*$E287)</f>
        <v/>
      </c>
      <c r="BA287" s="195" t="str">
        <f aca="false">IF($A288="","",F287*Summary!$Q$12)</f>
        <v/>
      </c>
    </row>
    <row r="288" customFormat="false" ht="12" hidden="false" customHeight="true" outlineLevel="0" collapsed="false">
      <c r="A288" s="196" t="str">
        <f aca="false">IF(A287&lt;mthend,EDATE(A287,1),"")</f>
        <v/>
      </c>
      <c r="B288" s="197" t="str">
        <f aca="false">IF(A288&lt;mthend,B287,"")</f>
        <v/>
      </c>
      <c r="C288" s="215"/>
      <c r="D288" s="197" t="str">
        <f aca="false">IF(A289&lt;&gt;"",B288+C288,"")</f>
        <v/>
      </c>
      <c r="E288" s="199" t="str">
        <f aca="false">IF(A289="","",IF(AND(AT288=1,$H$3=1),D288*AO288,IF($H$3=2,D288,"N/A")))</f>
        <v/>
      </c>
      <c r="F288" s="199" t="str">
        <f aca="false">IF(A289="","",E288*AS288)</f>
        <v/>
      </c>
      <c r="G288" s="200" t="str">
        <f aca="false">IF($A289="","",VLOOKUP($A288,Table,MATCH(G$4,Curves,0)))</f>
        <v/>
      </c>
      <c r="H288" s="201" t="str">
        <f aca="false">IF(A289="","",G288)</f>
        <v/>
      </c>
      <c r="I288" s="202"/>
      <c r="J288" s="200" t="str">
        <f aca="false">IF($A289="","",VLOOKUP($A288,Table,MATCH(J$4,Curves,0)))</f>
        <v/>
      </c>
      <c r="K288" s="201" t="str">
        <f aca="false">IF(A289="","",J288)</f>
        <v/>
      </c>
      <c r="L288" s="200" t="str">
        <f aca="false">IF($A289="","",VLOOKUP($A288,Table,MATCH(L$4,Curves,0)))</f>
        <v/>
      </c>
      <c r="M288" s="201" t="str">
        <f aca="false">IF(A289="","",L288)</f>
        <v/>
      </c>
      <c r="N288" s="203"/>
      <c r="O288" s="200" t="str">
        <f aca="false">IF(A289="","",L288+J288+G288)</f>
        <v/>
      </c>
      <c r="P288" s="200" t="str">
        <f aca="false">IF(A289="","",M288+K288+H288)</f>
        <v/>
      </c>
      <c r="Q288" s="204"/>
      <c r="R288" s="200" t="str">
        <f aca="false">IF($A289="","",VLOOKUP($A288,Table,MATCH(R$4,Curves,0)))</f>
        <v/>
      </c>
      <c r="S288" s="201" t="str">
        <f aca="false">IF(A289="","",R288)</f>
        <v/>
      </c>
      <c r="T288" s="200" t="str">
        <f aca="false">IF($A289="","",VLOOKUP($A288,Table,MATCH(T$4,Curves,0)))</f>
        <v/>
      </c>
      <c r="U288" s="201" t="str">
        <f aca="false">IF(A289="","",T288)</f>
        <v/>
      </c>
      <c r="V288" s="225" t="str">
        <f aca="false">IF($A289="","",IF(AND(MONTH(A288)&gt;3,MONTH(A288)&lt;11),(T288+R288+G288)*(((1/(1-Summary!$T$12))/(1-Summary!$W$12))-1),(T288+R288+G288)*((1/(1-Summary!$U$12))/(1-Summary!$X$12)-1)))</f>
        <v/>
      </c>
      <c r="W288" s="200" t="str">
        <f aca="false">IF($A289="","",(T288+R288+G288+V288))</f>
        <v/>
      </c>
      <c r="X288" s="200" t="str">
        <f aca="false">IF($A289="","",(U288+S288+H288+V288))</f>
        <v/>
      </c>
      <c r="Y288" s="202"/>
      <c r="Z288" s="185" t="str">
        <f aca="false">IF($A289="","",VLOOKUP($A288,Table,MATCH(Z$4,Curves,0)))</f>
        <v/>
      </c>
      <c r="AA288" s="185" t="str">
        <f aca="false">IF($A289="","",VLOOKUP($A288,Table,MATCH(AA$4,Curves,0)))</f>
        <v/>
      </c>
      <c r="AB288" s="185" t="e">
        <f aca="false">SQRT((AA288^2*(A288-$D$3)+Z288^2*(DAY(EOMONTH(A288,0))/2))/AK288)</f>
        <v>#VALUE!</v>
      </c>
      <c r="AC288" s="185" t="str">
        <f aca="false">IF($A289="","",VLOOKUP($A288,Table,MATCH(AC$4,Curves,0)))</f>
        <v/>
      </c>
      <c r="AD288" s="185" t="str">
        <f aca="false">IF($A289="","",VLOOKUP($A288,Table,MATCH(AD$4,Curves,0)))</f>
        <v/>
      </c>
      <c r="AE288" s="185" t="e">
        <f aca="false">SQRT((AD288^2*(A288-$D$3)+AC288^2*(DAY(EOMONTH(A288,0))/2))/AK288)</f>
        <v>#VALUE!</v>
      </c>
      <c r="AF288" s="206" t="e">
        <f aca="false">((Summary!$N$12*(AA288*AD288)*(A288-$D$3))+(Summary!$M$12*Z288*AC288*(AJ288-EOMONTH(EDATE(A288,-1),0))))/(AK288*AB288*AE288)</f>
        <v>#VALUE!</v>
      </c>
      <c r="AG288" s="207" t="str">
        <f aca="false">IF($A289="","",Summary!$Q$12)</f>
        <v/>
      </c>
      <c r="AH288" s="207" t="str">
        <f aca="false">IF($A289="","",IF(Summary!$R$12="Y",(VLOOKUP($A288,Summary!$AD$6:$AF$9,3)+'Escalating commodity'!H301),'Escalating commodity'!H301))</f>
        <v/>
      </c>
      <c r="AI288" s="207" t="str">
        <f aca="false">IF($A289="","",AH288)</f>
        <v/>
      </c>
      <c r="AJ288" s="208" t="e">
        <f aca="false">A288+DAY(EOMONTH(A288,0))/2-1</f>
        <v>#VALUE!</v>
      </c>
      <c r="AK288" s="209" t="str">
        <f aca="false">IF($A289="","",$A288-$E$1)</f>
        <v/>
      </c>
      <c r="AL288" s="182" t="str">
        <f aca="false">IF($A289="","",SPRDOPT(P288,X288,AI288,0,AB288,AE288,AF288,AK288,$AJ$2,0))</f>
        <v/>
      </c>
      <c r="AM288" s="211" t="str">
        <f aca="false">IF($A289="","",MAX(0,O288-W288-AI288))</f>
        <v/>
      </c>
      <c r="AN288" s="211" t="str">
        <f aca="false">IF($A289="","",AL288-AM288)</f>
        <v/>
      </c>
      <c r="AO288" s="137" t="str">
        <f aca="false">IF(A289="","",A289-A288)</f>
        <v/>
      </c>
      <c r="AP288" s="212" t="str">
        <f aca="false">IF(A289="","",CHOOSE(F$3,A289+24,A288))</f>
        <v/>
      </c>
      <c r="AQ288" s="209" t="str">
        <f aca="false">IF(A289="","",AP288-$E$1)</f>
        <v/>
      </c>
      <c r="AR288" s="185" t="n">
        <f aca="false">'ANR OK vs ML7'!AR288</f>
        <v>0.1</v>
      </c>
      <c r="AS288" s="213" t="str">
        <f aca="false">IF(A289="","",1/(1+CHOOSE(F$3,(AR289+($I$3/10000))/2,(AR288+($I$3/10000))/2))^(2*AQ288/365.25))</f>
        <v/>
      </c>
      <c r="AT288" s="137" t="str">
        <f aca="false">IF(A289="","",IF(AND(mthbeg&lt;=A288,mthend&gt;=A288),1,0))</f>
        <v/>
      </c>
      <c r="AU288" s="137" t="str">
        <f aca="false">IF(A289="","",AO288*AT288)</f>
        <v/>
      </c>
      <c r="AW288" s="195" t="str">
        <f aca="false">IF($A289="","",AL288*$E288)</f>
        <v/>
      </c>
      <c r="AX288" s="195" t="str">
        <f aca="false">IF($A289="","",AM288*$E288)</f>
        <v/>
      </c>
      <c r="AY288" s="195" t="str">
        <f aca="false">IF($A289="","",AN288*$E288)</f>
        <v/>
      </c>
      <c r="BA288" s="195" t="str">
        <f aca="false">IF($A289="","",F288*Summary!$Q$12)</f>
        <v/>
      </c>
    </row>
    <row r="289" customFormat="false" ht="12" hidden="false" customHeight="true" outlineLevel="0" collapsed="false">
      <c r="A289" s="196" t="str">
        <f aca="false">IF(A288&lt;mthend,EDATE(A288,1),"")</f>
        <v/>
      </c>
      <c r="B289" s="197" t="str">
        <f aca="false">IF(A289&lt;mthend,B288,"")</f>
        <v/>
      </c>
      <c r="C289" s="215"/>
      <c r="D289" s="197" t="str">
        <f aca="false">IF(A290&lt;&gt;"",B289+C289,"")</f>
        <v/>
      </c>
      <c r="E289" s="199" t="str">
        <f aca="false">IF(A290="","",IF(AND(AT289=1,$H$3=1),D289*AO289,IF($H$3=2,D289,"N/A")))</f>
        <v/>
      </c>
      <c r="F289" s="199" t="str">
        <f aca="false">IF(A290="","",E289*AS289)</f>
        <v/>
      </c>
      <c r="G289" s="200" t="str">
        <f aca="false">IF($A290="","",VLOOKUP($A289,Table,MATCH(G$4,Curves,0)))</f>
        <v/>
      </c>
      <c r="H289" s="201" t="str">
        <f aca="false">IF(A290="","",G289)</f>
        <v/>
      </c>
      <c r="I289" s="202"/>
      <c r="J289" s="200" t="str">
        <f aca="false">IF($A290="","",VLOOKUP($A289,Table,MATCH(J$4,Curves,0)))</f>
        <v/>
      </c>
      <c r="K289" s="201" t="str">
        <f aca="false">IF(A290="","",J289)</f>
        <v/>
      </c>
      <c r="L289" s="200" t="str">
        <f aca="false">IF($A290="","",VLOOKUP($A289,Table,MATCH(L$4,Curves,0)))</f>
        <v/>
      </c>
      <c r="M289" s="201" t="str">
        <f aca="false">IF(A290="","",L289)</f>
        <v/>
      </c>
      <c r="N289" s="203"/>
      <c r="O289" s="200" t="str">
        <f aca="false">IF(A290="","",L289+J289+G289)</f>
        <v/>
      </c>
      <c r="P289" s="200" t="str">
        <f aca="false">IF(A290="","",M289+K289+H289)</f>
        <v/>
      </c>
      <c r="Q289" s="204"/>
      <c r="R289" s="200" t="str">
        <f aca="false">IF($A290="","",VLOOKUP($A289,Table,MATCH(R$4,Curves,0)))</f>
        <v/>
      </c>
      <c r="S289" s="201" t="str">
        <f aca="false">IF(A290="","",R289)</f>
        <v/>
      </c>
      <c r="T289" s="200" t="str">
        <f aca="false">IF($A290="","",VLOOKUP($A289,Table,MATCH(T$4,Curves,0)))</f>
        <v/>
      </c>
      <c r="U289" s="201" t="str">
        <f aca="false">IF(A290="","",T289)</f>
        <v/>
      </c>
      <c r="V289" s="225" t="str">
        <f aca="false">IF($A290="","",IF(AND(MONTH(A289)&gt;3,MONTH(A289)&lt;11),(T289+R289+G289)*(((1/(1-Summary!$T$12))/(1-Summary!$W$12))-1),(T289+R289+G289)*((1/(1-Summary!$U$12))/(1-Summary!$X$12)-1)))</f>
        <v/>
      </c>
      <c r="W289" s="200" t="str">
        <f aca="false">IF($A290="","",(T289+R289+G289+V289))</f>
        <v/>
      </c>
      <c r="X289" s="200" t="str">
        <f aca="false">IF($A290="","",(U289+S289+H289+V289))</f>
        <v/>
      </c>
      <c r="Y289" s="202"/>
      <c r="Z289" s="185" t="str">
        <f aca="false">IF($A290="","",VLOOKUP($A289,Table,MATCH(Z$4,Curves,0)))</f>
        <v/>
      </c>
      <c r="AA289" s="185" t="str">
        <f aca="false">IF($A290="","",VLOOKUP($A289,Table,MATCH(AA$4,Curves,0)))</f>
        <v/>
      </c>
      <c r="AB289" s="185" t="e">
        <f aca="false">SQRT((AA289^2*(A289-$D$3)+Z289^2*(DAY(EOMONTH(A289,0))/2))/AK289)</f>
        <v>#VALUE!</v>
      </c>
      <c r="AC289" s="185" t="str">
        <f aca="false">IF($A290="","",VLOOKUP($A289,Table,MATCH(AC$4,Curves,0)))</f>
        <v/>
      </c>
      <c r="AD289" s="185" t="str">
        <f aca="false">IF($A290="","",VLOOKUP($A289,Table,MATCH(AD$4,Curves,0)))</f>
        <v/>
      </c>
      <c r="AE289" s="185" t="e">
        <f aca="false">SQRT((AD289^2*(A289-$D$3)+AC289^2*(DAY(EOMONTH(A289,0))/2))/AK289)</f>
        <v>#VALUE!</v>
      </c>
      <c r="AF289" s="206" t="e">
        <f aca="false">((Summary!$N$12*(AA289*AD289)*(A289-$D$3))+(Summary!$M$12*Z289*AC289*(AJ289-EOMONTH(EDATE(A289,-1),0))))/(AK289*AB289*AE289)</f>
        <v>#VALUE!</v>
      </c>
      <c r="AG289" s="207" t="str">
        <f aca="false">IF($A290="","",Summary!$Q$12)</f>
        <v/>
      </c>
      <c r="AH289" s="207" t="str">
        <f aca="false">IF($A290="","",IF(Summary!$R$12="Y",(VLOOKUP($A289,Summary!$AD$6:$AF$9,3)+'Escalating commodity'!H302),'Escalating commodity'!H302))</f>
        <v/>
      </c>
      <c r="AI289" s="207" t="str">
        <f aca="false">IF($A290="","",AH289)</f>
        <v/>
      </c>
      <c r="AJ289" s="208" t="e">
        <f aca="false">A289+DAY(EOMONTH(A289,0))/2-1</f>
        <v>#VALUE!</v>
      </c>
      <c r="AK289" s="209" t="str">
        <f aca="false">IF($A290="","",$A289-$E$1)</f>
        <v/>
      </c>
      <c r="AL289" s="182" t="str">
        <f aca="false">IF($A290="","",SPRDOPT(P289,X289,AI289,0,AB289,AE289,AF289,AK289,$AJ$2,0))</f>
        <v/>
      </c>
      <c r="AM289" s="211" t="str">
        <f aca="false">IF($A290="","",MAX(0,O289-W289-AI289))</f>
        <v/>
      </c>
      <c r="AN289" s="211" t="str">
        <f aca="false">IF($A290="","",AL289-AM289)</f>
        <v/>
      </c>
      <c r="AO289" s="137" t="str">
        <f aca="false">IF(A290="","",A290-A289)</f>
        <v/>
      </c>
      <c r="AP289" s="212" t="str">
        <f aca="false">IF(A290="","",CHOOSE(F$3,A290+24,A289))</f>
        <v/>
      </c>
      <c r="AQ289" s="209" t="str">
        <f aca="false">IF(A290="","",AP289-$E$1)</f>
        <v/>
      </c>
      <c r="AR289" s="185" t="n">
        <f aca="false">'ANR OK vs ML7'!AR289</f>
        <v>0.1</v>
      </c>
      <c r="AS289" s="213" t="str">
        <f aca="false">IF(A290="","",1/(1+CHOOSE(F$3,(AR290+($I$3/10000))/2,(AR289+($I$3/10000))/2))^(2*AQ289/365.25))</f>
        <v/>
      </c>
      <c r="AT289" s="137" t="str">
        <f aca="false">IF(A290="","",IF(AND(mthbeg&lt;=A289,mthend&gt;=A289),1,0))</f>
        <v/>
      </c>
      <c r="AU289" s="137" t="str">
        <f aca="false">IF(A290="","",AO289*AT289)</f>
        <v/>
      </c>
      <c r="AW289" s="195" t="str">
        <f aca="false">IF($A290="","",AL289*$E289)</f>
        <v/>
      </c>
      <c r="AX289" s="195" t="str">
        <f aca="false">IF($A290="","",AM289*$E289)</f>
        <v/>
      </c>
      <c r="AY289" s="195" t="str">
        <f aca="false">IF($A290="","",AN289*$E289)</f>
        <v/>
      </c>
      <c r="BA289" s="195" t="str">
        <f aca="false">IF($A290="","",F289*Summary!$Q$12)</f>
        <v/>
      </c>
    </row>
    <row r="290" customFormat="false" ht="12" hidden="false" customHeight="true" outlineLevel="0" collapsed="false">
      <c r="A290" s="196" t="str">
        <f aca="false">IF(A289&lt;mthend,EDATE(A289,1),"")</f>
        <v/>
      </c>
      <c r="B290" s="197" t="str">
        <f aca="false">IF(A290&lt;mthend,B289,"")</f>
        <v/>
      </c>
      <c r="C290" s="215"/>
      <c r="D290" s="197" t="str">
        <f aca="false">IF(A291&lt;&gt;"",B290+C290,"")</f>
        <v/>
      </c>
      <c r="E290" s="199" t="str">
        <f aca="false">IF(A291="","",IF(AND(AT290=1,$H$3=1),D290*AO290,IF($H$3=2,D290,"N/A")))</f>
        <v/>
      </c>
      <c r="F290" s="199" t="str">
        <f aca="false">IF(A291="","",E290*AS290)</f>
        <v/>
      </c>
      <c r="G290" s="200" t="str">
        <f aca="false">IF($A291="","",VLOOKUP($A290,Table,MATCH(G$4,Curves,0)))</f>
        <v/>
      </c>
      <c r="H290" s="201" t="str">
        <f aca="false">IF(A291="","",G290)</f>
        <v/>
      </c>
      <c r="I290" s="202"/>
      <c r="J290" s="200" t="str">
        <f aca="false">IF($A291="","",VLOOKUP($A290,Table,MATCH(J$4,Curves,0)))</f>
        <v/>
      </c>
      <c r="K290" s="201" t="str">
        <f aca="false">IF(A291="","",J290)</f>
        <v/>
      </c>
      <c r="L290" s="200" t="str">
        <f aca="false">IF($A291="","",VLOOKUP($A290,Table,MATCH(L$4,Curves,0)))</f>
        <v/>
      </c>
      <c r="M290" s="201" t="str">
        <f aca="false">IF(A291="","",L290)</f>
        <v/>
      </c>
      <c r="N290" s="203"/>
      <c r="O290" s="200" t="str">
        <f aca="false">IF(A291="","",L290+J290+G290)</f>
        <v/>
      </c>
      <c r="P290" s="200" t="str">
        <f aca="false">IF(A291="","",M290+K290+H290)</f>
        <v/>
      </c>
      <c r="Q290" s="204"/>
      <c r="R290" s="200" t="str">
        <f aca="false">IF($A291="","",VLOOKUP($A290,Table,MATCH(R$4,Curves,0)))</f>
        <v/>
      </c>
      <c r="S290" s="201" t="str">
        <f aca="false">IF(A291="","",R290)</f>
        <v/>
      </c>
      <c r="T290" s="200" t="str">
        <f aca="false">IF($A291="","",VLOOKUP($A290,Table,MATCH(T$4,Curves,0)))</f>
        <v/>
      </c>
      <c r="U290" s="201" t="str">
        <f aca="false">IF(A291="","",T290)</f>
        <v/>
      </c>
      <c r="V290" s="225" t="str">
        <f aca="false">IF($A291="","",IF(AND(MONTH(A290)&gt;3,MONTH(A290)&lt;11),(T290+R290+G290)*(((1/(1-Summary!$T$12))/(1-Summary!$W$12))-1),(T290+R290+G290)*((1/(1-Summary!$U$12))/(1-Summary!$X$12)-1)))</f>
        <v/>
      </c>
      <c r="W290" s="200" t="str">
        <f aca="false">IF($A291="","",(T290+R290+G290+V290))</f>
        <v/>
      </c>
      <c r="X290" s="200" t="str">
        <f aca="false">IF($A291="","",(U290+S290+H290+V290))</f>
        <v/>
      </c>
      <c r="Y290" s="202"/>
      <c r="Z290" s="185" t="str">
        <f aca="false">IF($A291="","",VLOOKUP($A290,Table,MATCH(Z$4,Curves,0)))</f>
        <v/>
      </c>
      <c r="AA290" s="185" t="str">
        <f aca="false">IF($A291="","",VLOOKUP($A290,Table,MATCH(AA$4,Curves,0)))</f>
        <v/>
      </c>
      <c r="AB290" s="185" t="e">
        <f aca="false">SQRT((AA290^2*(A290-$D$3)+Z290^2*(DAY(EOMONTH(A290,0))/2))/AK290)</f>
        <v>#VALUE!</v>
      </c>
      <c r="AC290" s="185" t="str">
        <f aca="false">IF($A291="","",VLOOKUP($A290,Table,MATCH(AC$4,Curves,0)))</f>
        <v/>
      </c>
      <c r="AD290" s="185" t="str">
        <f aca="false">IF($A291="","",VLOOKUP($A290,Table,MATCH(AD$4,Curves,0)))</f>
        <v/>
      </c>
      <c r="AE290" s="185" t="e">
        <f aca="false">SQRT((AD290^2*(A290-$D$3)+AC290^2*(DAY(EOMONTH(A290,0))/2))/AK290)</f>
        <v>#VALUE!</v>
      </c>
      <c r="AF290" s="206" t="e">
        <f aca="false">((Summary!$N$12*(AA290*AD290)*(A290-$D$3))+(Summary!$M$12*Z290*AC290*(AJ290-EOMONTH(EDATE(A290,-1),0))))/(AK290*AB290*AE290)</f>
        <v>#VALUE!</v>
      </c>
      <c r="AG290" s="207" t="str">
        <f aca="false">IF($A291="","",Summary!$Q$12)</f>
        <v/>
      </c>
      <c r="AH290" s="207" t="str">
        <f aca="false">IF($A291="","",IF(Summary!$R$12="Y",(VLOOKUP($A290,Summary!$AD$6:$AF$9,3)+'Escalating commodity'!H303),'Escalating commodity'!H303))</f>
        <v/>
      </c>
      <c r="AI290" s="207" t="str">
        <f aca="false">IF($A291="","",AH290)</f>
        <v/>
      </c>
      <c r="AJ290" s="208" t="e">
        <f aca="false">A290+DAY(EOMONTH(A290,0))/2-1</f>
        <v>#VALUE!</v>
      </c>
      <c r="AK290" s="209" t="str">
        <f aca="false">IF($A291="","",$A290-$E$1)</f>
        <v/>
      </c>
      <c r="AL290" s="182" t="str">
        <f aca="false">IF($A291="","",SPRDOPT(P290,X290,AI290,0,AB290,AE290,AF290,AK290,$AJ$2,0))</f>
        <v/>
      </c>
      <c r="AM290" s="211" t="str">
        <f aca="false">IF($A291="","",MAX(0,O290-W290-AI290))</f>
        <v/>
      </c>
      <c r="AN290" s="211" t="str">
        <f aca="false">IF($A291="","",AL290-AM290)</f>
        <v/>
      </c>
      <c r="AO290" s="137" t="str">
        <f aca="false">IF(A291="","",A291-A290)</f>
        <v/>
      </c>
      <c r="AP290" s="212" t="str">
        <f aca="false">IF(A291="","",CHOOSE(F$3,A291+24,A290))</f>
        <v/>
      </c>
      <c r="AQ290" s="209" t="str">
        <f aca="false">IF(A291="","",AP290-$E$1)</f>
        <v/>
      </c>
      <c r="AR290" s="185" t="n">
        <f aca="false">'ANR OK vs ML7'!AR290</f>
        <v>0.1</v>
      </c>
      <c r="AS290" s="213" t="str">
        <f aca="false">IF(A291="","",1/(1+CHOOSE(F$3,(AR291+($I$3/10000))/2,(AR290+($I$3/10000))/2))^(2*AQ290/365.25))</f>
        <v/>
      </c>
      <c r="AT290" s="137" t="str">
        <f aca="false">IF(A291="","",IF(AND(mthbeg&lt;=A290,mthend&gt;=A290),1,0))</f>
        <v/>
      </c>
      <c r="AU290" s="137" t="str">
        <f aca="false">IF(A291="","",AO290*AT290)</f>
        <v/>
      </c>
      <c r="AW290" s="195" t="str">
        <f aca="false">IF($A291="","",AL290*$E290)</f>
        <v/>
      </c>
      <c r="AX290" s="195" t="str">
        <f aca="false">IF($A291="","",AM290*$E290)</f>
        <v/>
      </c>
      <c r="AY290" s="195" t="str">
        <f aca="false">IF($A291="","",AN290*$E290)</f>
        <v/>
      </c>
      <c r="BA290" s="195" t="str">
        <f aca="false">IF($A291="","",F290*Summary!$Q$12)</f>
        <v/>
      </c>
    </row>
    <row r="291" customFormat="false" ht="12" hidden="false" customHeight="true" outlineLevel="0" collapsed="false">
      <c r="A291" s="196" t="str">
        <f aca="false">IF(A290&lt;mthend,EDATE(A290,1),"")</f>
        <v/>
      </c>
      <c r="B291" s="197" t="str">
        <f aca="false">IF(A291&lt;mthend,B290,"")</f>
        <v/>
      </c>
      <c r="C291" s="215"/>
      <c r="D291" s="197" t="str">
        <f aca="false">IF(A292&lt;&gt;"",B291+C291,"")</f>
        <v/>
      </c>
      <c r="E291" s="199" t="str">
        <f aca="false">IF(A292="","",IF(AND(AT291=1,$H$3=1),D291*AO291,IF($H$3=2,D291,"N/A")))</f>
        <v/>
      </c>
      <c r="F291" s="199" t="str">
        <f aca="false">IF(A292="","",E291*AS291)</f>
        <v/>
      </c>
      <c r="G291" s="200" t="str">
        <f aca="false">IF($A292="","",VLOOKUP($A291,Table,MATCH(G$4,Curves,0)))</f>
        <v/>
      </c>
      <c r="H291" s="201" t="str">
        <f aca="false">IF(A292="","",G291)</f>
        <v/>
      </c>
      <c r="I291" s="202"/>
      <c r="J291" s="200" t="str">
        <f aca="false">IF($A292="","",VLOOKUP($A291,Table,MATCH(J$4,Curves,0)))</f>
        <v/>
      </c>
      <c r="K291" s="201" t="str">
        <f aca="false">IF(A292="","",J291)</f>
        <v/>
      </c>
      <c r="L291" s="200" t="str">
        <f aca="false">IF($A292="","",VLOOKUP($A291,Table,MATCH(L$4,Curves,0)))</f>
        <v/>
      </c>
      <c r="M291" s="201" t="str">
        <f aca="false">IF(A292="","",L291)</f>
        <v/>
      </c>
      <c r="N291" s="203"/>
      <c r="O291" s="200" t="str">
        <f aca="false">IF(A292="","",L291+J291+G291)</f>
        <v/>
      </c>
      <c r="P291" s="200" t="str">
        <f aca="false">IF(A292="","",M291+K291+H291)</f>
        <v/>
      </c>
      <c r="Q291" s="204"/>
      <c r="R291" s="200" t="str">
        <f aca="false">IF($A292="","",VLOOKUP($A291,Table,MATCH(R$4,Curves,0)))</f>
        <v/>
      </c>
      <c r="S291" s="201" t="str">
        <f aca="false">IF(A292="","",R291)</f>
        <v/>
      </c>
      <c r="T291" s="200" t="str">
        <f aca="false">IF($A292="","",VLOOKUP($A291,Table,MATCH(T$4,Curves,0)))</f>
        <v/>
      </c>
      <c r="U291" s="201" t="str">
        <f aca="false">IF(A292="","",T291)</f>
        <v/>
      </c>
      <c r="V291" s="225" t="str">
        <f aca="false">IF($A292="","",IF(AND(MONTH(A291)&gt;3,MONTH(A291)&lt;11),(T291+R291+G291)*(((1/(1-Summary!$T$12))/(1-Summary!$W$12))-1),(T291+R291+G291)*((1/(1-Summary!$U$12))/(1-Summary!$X$12)-1)))</f>
        <v/>
      </c>
      <c r="W291" s="200" t="str">
        <f aca="false">IF($A292="","",(T291+R291+G291+V291))</f>
        <v/>
      </c>
      <c r="X291" s="200" t="str">
        <f aca="false">IF($A292="","",(U291+S291+H291+V291))</f>
        <v/>
      </c>
      <c r="Y291" s="202"/>
      <c r="Z291" s="185" t="str">
        <f aca="false">IF($A292="","",VLOOKUP($A291,Table,MATCH(Z$4,Curves,0)))</f>
        <v/>
      </c>
      <c r="AA291" s="185" t="str">
        <f aca="false">IF($A292="","",VLOOKUP($A291,Table,MATCH(AA$4,Curves,0)))</f>
        <v/>
      </c>
      <c r="AB291" s="185" t="e">
        <f aca="false">SQRT((AA291^2*(A291-$D$3)+Z291^2*(DAY(EOMONTH(A291,0))/2))/AK291)</f>
        <v>#VALUE!</v>
      </c>
      <c r="AC291" s="185" t="str">
        <f aca="false">IF($A292="","",VLOOKUP($A291,Table,MATCH(AC$4,Curves,0)))</f>
        <v/>
      </c>
      <c r="AD291" s="185" t="str">
        <f aca="false">IF($A292="","",VLOOKUP($A291,Table,MATCH(AD$4,Curves,0)))</f>
        <v/>
      </c>
      <c r="AE291" s="185" t="e">
        <f aca="false">SQRT((AD291^2*(A291-$D$3)+AC291^2*(DAY(EOMONTH(A291,0))/2))/AK291)</f>
        <v>#VALUE!</v>
      </c>
      <c r="AF291" s="206" t="e">
        <f aca="false">((Summary!$N$12*(AA291*AD291)*(A291-$D$3))+(Summary!$M$12*Z291*AC291*(AJ291-EOMONTH(EDATE(A291,-1),0))))/(AK291*AB291*AE291)</f>
        <v>#VALUE!</v>
      </c>
      <c r="AG291" s="207" t="str">
        <f aca="false">IF($A292="","",Summary!$Q$12)</f>
        <v/>
      </c>
      <c r="AH291" s="207" t="str">
        <f aca="false">IF($A292="","",IF(Summary!$R$12="Y",(VLOOKUP($A291,Summary!$AD$6:$AF$9,3)+'Escalating commodity'!H304),'Escalating commodity'!H304))</f>
        <v/>
      </c>
      <c r="AI291" s="207" t="str">
        <f aca="false">IF($A292="","",AH291)</f>
        <v/>
      </c>
      <c r="AJ291" s="208" t="e">
        <f aca="false">A291+DAY(EOMONTH(A291,0))/2-1</f>
        <v>#VALUE!</v>
      </c>
      <c r="AK291" s="209" t="str">
        <f aca="false">IF($A292="","",$A291-$E$1)</f>
        <v/>
      </c>
      <c r="AL291" s="182" t="str">
        <f aca="false">IF($A292="","",SPRDOPT(P291,X291,AI291,0,AB291,AE291,AF291,AK291,$AJ$2,0))</f>
        <v/>
      </c>
      <c r="AM291" s="211" t="str">
        <f aca="false">IF($A292="","",MAX(0,O291-W291-AI291))</f>
        <v/>
      </c>
      <c r="AN291" s="211" t="str">
        <f aca="false">IF($A292="","",AL291-AM291)</f>
        <v/>
      </c>
      <c r="AO291" s="137" t="str">
        <f aca="false">IF(A292="","",A292-A291)</f>
        <v/>
      </c>
      <c r="AP291" s="212" t="str">
        <f aca="false">IF(A292="","",CHOOSE(F$3,A292+24,A291))</f>
        <v/>
      </c>
      <c r="AQ291" s="209" t="str">
        <f aca="false">IF(A292="","",AP291-$E$1)</f>
        <v/>
      </c>
      <c r="AR291" s="185" t="n">
        <f aca="false">'ANR OK vs ML7'!AR291</f>
        <v>0.1</v>
      </c>
      <c r="AS291" s="213" t="str">
        <f aca="false">IF(A292="","",1/(1+CHOOSE(F$3,(AR292+($I$3/10000))/2,(AR291+($I$3/10000))/2))^(2*AQ291/365.25))</f>
        <v/>
      </c>
      <c r="AT291" s="137" t="str">
        <f aca="false">IF(A292="","",IF(AND(mthbeg&lt;=A291,mthend&gt;=A291),1,0))</f>
        <v/>
      </c>
      <c r="AU291" s="137" t="str">
        <f aca="false">IF(A292="","",AO291*AT291)</f>
        <v/>
      </c>
      <c r="AW291" s="195" t="str">
        <f aca="false">IF($A292="","",AL291*$E291)</f>
        <v/>
      </c>
      <c r="AX291" s="195" t="str">
        <f aca="false">IF($A292="","",AM291*$E291)</f>
        <v/>
      </c>
      <c r="AY291" s="195" t="str">
        <f aca="false">IF($A292="","",AN291*$E291)</f>
        <v/>
      </c>
      <c r="BA291" s="195" t="str">
        <f aca="false">IF($A292="","",F291*Summary!$Q$12)</f>
        <v/>
      </c>
    </row>
    <row r="292" customFormat="false" ht="12" hidden="false" customHeight="true" outlineLevel="0" collapsed="false">
      <c r="A292" s="196" t="str">
        <f aca="false">IF(A291&lt;mthend,EDATE(A291,1),"")</f>
        <v/>
      </c>
      <c r="B292" s="197" t="str">
        <f aca="false">IF(A292&lt;mthend,B291,"")</f>
        <v/>
      </c>
      <c r="C292" s="215"/>
      <c r="D292" s="197" t="str">
        <f aca="false">IF(A293&lt;&gt;"",B292+C292,"")</f>
        <v/>
      </c>
      <c r="E292" s="199" t="str">
        <f aca="false">IF(A293="","",IF(AND(AT292=1,$H$3=1),D292*AO292,IF($H$3=2,D292,"N/A")))</f>
        <v/>
      </c>
      <c r="F292" s="199" t="str">
        <f aca="false">IF(A293="","",E292*AS292)</f>
        <v/>
      </c>
      <c r="G292" s="200" t="str">
        <f aca="false">IF($A293="","",VLOOKUP($A292,Table,MATCH(G$4,Curves,0)))</f>
        <v/>
      </c>
      <c r="H292" s="201" t="str">
        <f aca="false">IF(A293="","",G292)</f>
        <v/>
      </c>
      <c r="I292" s="202"/>
      <c r="J292" s="200" t="str">
        <f aca="false">IF($A293="","",VLOOKUP($A292,Table,MATCH(J$4,Curves,0)))</f>
        <v/>
      </c>
      <c r="K292" s="201" t="str">
        <f aca="false">IF(A293="","",J292)</f>
        <v/>
      </c>
      <c r="L292" s="200" t="str">
        <f aca="false">IF($A293="","",VLOOKUP($A292,Table,MATCH(L$4,Curves,0)))</f>
        <v/>
      </c>
      <c r="M292" s="201" t="str">
        <f aca="false">IF(A293="","",L292)</f>
        <v/>
      </c>
      <c r="N292" s="203"/>
      <c r="O292" s="200" t="str">
        <f aca="false">IF(A293="","",L292+J292+G292)</f>
        <v/>
      </c>
      <c r="P292" s="200" t="str">
        <f aca="false">IF(A293="","",M292+K292+H292)</f>
        <v/>
      </c>
      <c r="Q292" s="204"/>
      <c r="R292" s="200" t="str">
        <f aca="false">IF($A293="","",VLOOKUP($A292,Table,MATCH(R$4,Curves,0)))</f>
        <v/>
      </c>
      <c r="S292" s="201" t="str">
        <f aca="false">IF(A293="","",R292)</f>
        <v/>
      </c>
      <c r="T292" s="200" t="str">
        <f aca="false">IF($A293="","",VLOOKUP($A292,Table,MATCH(T$4,Curves,0)))</f>
        <v/>
      </c>
      <c r="U292" s="201" t="str">
        <f aca="false">IF(A293="","",T292)</f>
        <v/>
      </c>
      <c r="V292" s="225" t="str">
        <f aca="false">IF($A293="","",IF(AND(MONTH(A292)&gt;3,MONTH(A292)&lt;11),(T292+R292+G292)*(((1/(1-Summary!$T$12))/(1-Summary!$W$12))-1),(T292+R292+G292)*((1/(1-Summary!$U$12))/(1-Summary!$X$12)-1)))</f>
        <v/>
      </c>
      <c r="W292" s="200" t="str">
        <f aca="false">IF($A293="","",(T292+R292+G292+V292))</f>
        <v/>
      </c>
      <c r="X292" s="200" t="str">
        <f aca="false">IF($A293="","",(U292+S292+H292+V292))</f>
        <v/>
      </c>
      <c r="Y292" s="202"/>
      <c r="Z292" s="185" t="str">
        <f aca="false">IF($A293="","",VLOOKUP($A292,Table,MATCH(Z$4,Curves,0)))</f>
        <v/>
      </c>
      <c r="AA292" s="185" t="str">
        <f aca="false">IF($A293="","",VLOOKUP($A292,Table,MATCH(AA$4,Curves,0)))</f>
        <v/>
      </c>
      <c r="AB292" s="185" t="e">
        <f aca="false">SQRT((AA292^2*(A292-$D$3)+Z292^2*(DAY(EOMONTH(A292,0))/2))/AK292)</f>
        <v>#VALUE!</v>
      </c>
      <c r="AC292" s="185" t="str">
        <f aca="false">IF($A293="","",VLOOKUP($A292,Table,MATCH(AC$4,Curves,0)))</f>
        <v/>
      </c>
      <c r="AD292" s="185" t="str">
        <f aca="false">IF($A293="","",VLOOKUP($A292,Table,MATCH(AD$4,Curves,0)))</f>
        <v/>
      </c>
      <c r="AE292" s="185" t="e">
        <f aca="false">SQRT((AD292^2*(A292-$D$3)+AC292^2*(DAY(EOMONTH(A292,0))/2))/AK292)</f>
        <v>#VALUE!</v>
      </c>
      <c r="AF292" s="206" t="e">
        <f aca="false">((Summary!$N$12*(AA292*AD292)*(A292-$D$3))+(Summary!$M$12*Z292*AC292*(AJ292-EOMONTH(EDATE(A292,-1),0))))/(AK292*AB292*AE292)</f>
        <v>#VALUE!</v>
      </c>
      <c r="AG292" s="207" t="str">
        <f aca="false">IF($A293="","",Summary!$Q$12)</f>
        <v/>
      </c>
      <c r="AH292" s="207" t="str">
        <f aca="false">IF($A293="","",IF(Summary!$R$12="Y",(VLOOKUP($A292,Summary!$AD$6:$AF$9,3)+'Escalating commodity'!H305),'Escalating commodity'!H305))</f>
        <v/>
      </c>
      <c r="AI292" s="207" t="str">
        <f aca="false">IF($A293="","",AH292)</f>
        <v/>
      </c>
      <c r="AJ292" s="208" t="e">
        <f aca="false">A292+DAY(EOMONTH(A292,0))/2-1</f>
        <v>#VALUE!</v>
      </c>
      <c r="AK292" s="209" t="str">
        <f aca="false">IF($A293="","",$A292-$E$1)</f>
        <v/>
      </c>
      <c r="AL292" s="182" t="str">
        <f aca="false">IF($A293="","",SPRDOPT(P292,X292,AI292,0,AB292,AE292,AF292,AK292,$AJ$2,0))</f>
        <v/>
      </c>
      <c r="AM292" s="211" t="str">
        <f aca="false">IF($A293="","",MAX(0,O292-W292-AI292))</f>
        <v/>
      </c>
      <c r="AN292" s="211" t="str">
        <f aca="false">IF($A293="","",AL292-AM292)</f>
        <v/>
      </c>
      <c r="AO292" s="137" t="str">
        <f aca="false">IF(A293="","",A293-A292)</f>
        <v/>
      </c>
      <c r="AP292" s="212" t="str">
        <f aca="false">IF(A293="","",CHOOSE(F$3,A293+24,A292))</f>
        <v/>
      </c>
      <c r="AQ292" s="209" t="str">
        <f aca="false">IF(A293="","",AP292-$E$1)</f>
        <v/>
      </c>
      <c r="AR292" s="185" t="n">
        <f aca="false">'ANR OK vs ML7'!AR292</f>
        <v>0.1</v>
      </c>
      <c r="AS292" s="213" t="str">
        <f aca="false">IF(A293="","",1/(1+CHOOSE(F$3,(AR293+($I$3/10000))/2,(AR292+($I$3/10000))/2))^(2*AQ292/365.25))</f>
        <v/>
      </c>
      <c r="AT292" s="137" t="str">
        <f aca="false">IF(A293="","",IF(AND(mthbeg&lt;=A292,mthend&gt;=A292),1,0))</f>
        <v/>
      </c>
      <c r="AU292" s="137" t="str">
        <f aca="false">IF(A293="","",AO292*AT292)</f>
        <v/>
      </c>
      <c r="AW292" s="195" t="str">
        <f aca="false">IF($A293="","",AL292*$E292)</f>
        <v/>
      </c>
      <c r="AX292" s="195" t="str">
        <f aca="false">IF($A293="","",AM292*$E292)</f>
        <v/>
      </c>
      <c r="AY292" s="195" t="str">
        <f aca="false">IF($A293="","",AN292*$E292)</f>
        <v/>
      </c>
      <c r="BA292" s="195" t="str">
        <f aca="false">IF($A293="","",F292*Summary!$Q$12)</f>
        <v/>
      </c>
    </row>
    <row r="293" customFormat="false" ht="12" hidden="false" customHeight="true" outlineLevel="0" collapsed="false">
      <c r="A293" s="196" t="str">
        <f aca="false">IF(A292&lt;mthend,EDATE(A292,1),"")</f>
        <v/>
      </c>
      <c r="B293" s="197" t="str">
        <f aca="false">IF(A293&lt;mthend,B292,"")</f>
        <v/>
      </c>
      <c r="C293" s="215"/>
      <c r="D293" s="197" t="str">
        <f aca="false">IF(A294&lt;&gt;"",B293+C293,"")</f>
        <v/>
      </c>
      <c r="E293" s="199" t="str">
        <f aca="false">IF(A294="","",IF(AND(AT293=1,$H$3=1),D293*AO293,IF($H$3=2,D293,"N/A")))</f>
        <v/>
      </c>
      <c r="F293" s="199" t="str">
        <f aca="false">IF(A294="","",E293*AS293)</f>
        <v/>
      </c>
      <c r="G293" s="200" t="str">
        <f aca="false">IF($A294="","",VLOOKUP($A293,Table,MATCH(G$4,Curves,0)))</f>
        <v/>
      </c>
      <c r="H293" s="201" t="str">
        <f aca="false">IF(A294="","",G293)</f>
        <v/>
      </c>
      <c r="I293" s="202"/>
      <c r="J293" s="200" t="str">
        <f aca="false">IF($A294="","",VLOOKUP($A293,Table,MATCH(J$4,Curves,0)))</f>
        <v/>
      </c>
      <c r="K293" s="201" t="str">
        <f aca="false">IF(A294="","",J293)</f>
        <v/>
      </c>
      <c r="L293" s="200" t="str">
        <f aca="false">IF($A294="","",VLOOKUP($A293,Table,MATCH(L$4,Curves,0)))</f>
        <v/>
      </c>
      <c r="M293" s="201" t="str">
        <f aca="false">IF(A294="","",L293)</f>
        <v/>
      </c>
      <c r="N293" s="203"/>
      <c r="O293" s="200" t="str">
        <f aca="false">IF(A294="","",L293+J293+G293)</f>
        <v/>
      </c>
      <c r="P293" s="200" t="str">
        <f aca="false">IF(A294="","",M293+K293+H293)</f>
        <v/>
      </c>
      <c r="Q293" s="204"/>
      <c r="R293" s="200" t="str">
        <f aca="false">IF($A294="","",VLOOKUP($A293,Table,MATCH(R$4,Curves,0)))</f>
        <v/>
      </c>
      <c r="S293" s="201" t="str">
        <f aca="false">IF(A294="","",R293)</f>
        <v/>
      </c>
      <c r="T293" s="200" t="str">
        <f aca="false">IF($A294="","",VLOOKUP($A293,Table,MATCH(T$4,Curves,0)))</f>
        <v/>
      </c>
      <c r="U293" s="201" t="str">
        <f aca="false">IF(A294="","",T293)</f>
        <v/>
      </c>
      <c r="V293" s="225" t="str">
        <f aca="false">IF($A294="","",IF(AND(MONTH(A293)&gt;3,MONTH(A293)&lt;11),(T293+R293+G293)*(((1/(1-Summary!$T$12))/(1-Summary!$W$12))-1),(T293+R293+G293)*((1/(1-Summary!$U$12))/(1-Summary!$X$12)-1)))</f>
        <v/>
      </c>
      <c r="W293" s="200" t="str">
        <f aca="false">IF($A294="","",(T293+R293+G293+V293))</f>
        <v/>
      </c>
      <c r="X293" s="200" t="str">
        <f aca="false">IF($A294="","",(U293+S293+H293+V293))</f>
        <v/>
      </c>
      <c r="Y293" s="202"/>
      <c r="Z293" s="185" t="str">
        <f aca="false">IF($A294="","",VLOOKUP($A293,Table,MATCH(Z$4,Curves,0)))</f>
        <v/>
      </c>
      <c r="AA293" s="185" t="str">
        <f aca="false">IF($A294="","",VLOOKUP($A293,Table,MATCH(AA$4,Curves,0)))</f>
        <v/>
      </c>
      <c r="AB293" s="185" t="e">
        <f aca="false">SQRT((AA293^2*(A293-$D$3)+Z293^2*(DAY(EOMONTH(A293,0))/2))/AK293)</f>
        <v>#VALUE!</v>
      </c>
      <c r="AC293" s="185" t="str">
        <f aca="false">IF($A294="","",VLOOKUP($A293,Table,MATCH(AC$4,Curves,0)))</f>
        <v/>
      </c>
      <c r="AD293" s="185" t="str">
        <f aca="false">IF($A294="","",VLOOKUP($A293,Table,MATCH(AD$4,Curves,0)))</f>
        <v/>
      </c>
      <c r="AE293" s="185" t="e">
        <f aca="false">SQRT((AD293^2*(A293-$D$3)+AC293^2*(DAY(EOMONTH(A293,0))/2))/AK293)</f>
        <v>#VALUE!</v>
      </c>
      <c r="AF293" s="206" t="e">
        <f aca="false">((Summary!$N$12*(AA293*AD293)*(A293-$D$3))+(Summary!$M$12*Z293*AC293*(AJ293-EOMONTH(EDATE(A293,-1),0))))/(AK293*AB293*AE293)</f>
        <v>#VALUE!</v>
      </c>
      <c r="AG293" s="207" t="str">
        <f aca="false">IF($A294="","",Summary!$Q$12)</f>
        <v/>
      </c>
      <c r="AH293" s="207" t="str">
        <f aca="false">IF($A294="","",IF(Summary!$R$12="Y",(VLOOKUP($A293,Summary!$AD$6:$AF$9,3)+'Escalating commodity'!H306),'Escalating commodity'!H306))</f>
        <v/>
      </c>
      <c r="AI293" s="207" t="str">
        <f aca="false">IF($A294="","",AH293)</f>
        <v/>
      </c>
      <c r="AJ293" s="208" t="e">
        <f aca="false">A293+DAY(EOMONTH(A293,0))/2-1</f>
        <v>#VALUE!</v>
      </c>
      <c r="AK293" s="209" t="str">
        <f aca="false">IF($A294="","",$A293-$E$1)</f>
        <v/>
      </c>
      <c r="AL293" s="182" t="str">
        <f aca="false">IF($A294="","",SPRDOPT(P293,X293,AI293,0,AB293,AE293,AF293,AK293,$AJ$2,0))</f>
        <v/>
      </c>
      <c r="AM293" s="211" t="str">
        <f aca="false">IF($A294="","",MAX(0,O293-W293-AI293))</f>
        <v/>
      </c>
      <c r="AN293" s="211" t="str">
        <f aca="false">IF($A294="","",AL293-AM293)</f>
        <v/>
      </c>
      <c r="AO293" s="137" t="str">
        <f aca="false">IF(A294="","",A294-A293)</f>
        <v/>
      </c>
      <c r="AP293" s="212" t="str">
        <f aca="false">IF(A294="","",CHOOSE(F$3,A294+24,A293))</f>
        <v/>
      </c>
      <c r="AQ293" s="209" t="str">
        <f aca="false">IF(A294="","",AP293-$E$1)</f>
        <v/>
      </c>
      <c r="AR293" s="185" t="n">
        <f aca="false">'ANR OK vs ML7'!AR293</f>
        <v>0.1</v>
      </c>
      <c r="AS293" s="213" t="str">
        <f aca="false">IF(A294="","",1/(1+CHOOSE(F$3,(AR294+($I$3/10000))/2,(AR293+($I$3/10000))/2))^(2*AQ293/365.25))</f>
        <v/>
      </c>
      <c r="AT293" s="137" t="str">
        <f aca="false">IF(A294="","",IF(AND(mthbeg&lt;=A293,mthend&gt;=A293),1,0))</f>
        <v/>
      </c>
      <c r="AU293" s="137" t="str">
        <f aca="false">IF(A294="","",AO293*AT293)</f>
        <v/>
      </c>
      <c r="AW293" s="195" t="str">
        <f aca="false">IF($A294="","",AL293*$E293)</f>
        <v/>
      </c>
      <c r="AX293" s="195" t="str">
        <f aca="false">IF($A294="","",AM293*$E293)</f>
        <v/>
      </c>
      <c r="AY293" s="195" t="str">
        <f aca="false">IF($A294="","",AN293*$E293)</f>
        <v/>
      </c>
      <c r="BA293" s="195" t="str">
        <f aca="false">IF($A294="","",F293*Summary!$Q$12)</f>
        <v/>
      </c>
    </row>
    <row r="294" customFormat="false" ht="12" hidden="false" customHeight="true" outlineLevel="0" collapsed="false">
      <c r="A294" s="196" t="str">
        <f aca="false">IF(A293&lt;mthend,EDATE(A293,1),"")</f>
        <v/>
      </c>
      <c r="B294" s="197" t="str">
        <f aca="false">IF(A294&lt;mthend,B293,"")</f>
        <v/>
      </c>
      <c r="C294" s="215"/>
      <c r="D294" s="197" t="str">
        <f aca="false">IF(A295&lt;&gt;"",B294+C294,"")</f>
        <v/>
      </c>
      <c r="E294" s="199" t="str">
        <f aca="false">IF(A295="","",IF(AND(AT294=1,$H$3=1),D294*AO294,IF($H$3=2,D294,"N/A")))</f>
        <v/>
      </c>
      <c r="F294" s="199" t="str">
        <f aca="false">IF(A295="","",E294*AS294)</f>
        <v/>
      </c>
      <c r="G294" s="200" t="str">
        <f aca="false">IF($A295="","",VLOOKUP($A294,Table,MATCH(G$4,Curves,0)))</f>
        <v/>
      </c>
      <c r="H294" s="201" t="str">
        <f aca="false">IF(A295="","",G294)</f>
        <v/>
      </c>
      <c r="I294" s="202"/>
      <c r="J294" s="200" t="str">
        <f aca="false">IF($A295="","",VLOOKUP($A294,Table,MATCH(J$4,Curves,0)))</f>
        <v/>
      </c>
      <c r="K294" s="201" t="str">
        <f aca="false">IF(A295="","",J294)</f>
        <v/>
      </c>
      <c r="L294" s="200" t="str">
        <f aca="false">IF($A295="","",VLOOKUP($A294,Table,MATCH(L$4,Curves,0)))</f>
        <v/>
      </c>
      <c r="M294" s="201" t="str">
        <f aca="false">IF(A295="","",L294)</f>
        <v/>
      </c>
      <c r="N294" s="203"/>
      <c r="O294" s="200" t="str">
        <f aca="false">IF(A295="","",L294+J294+G294)</f>
        <v/>
      </c>
      <c r="P294" s="200" t="str">
        <f aca="false">IF(A295="","",M294+K294+H294)</f>
        <v/>
      </c>
      <c r="Q294" s="204"/>
      <c r="R294" s="200" t="str">
        <f aca="false">IF($A295="","",VLOOKUP($A294,Table,MATCH(R$4,Curves,0)))</f>
        <v/>
      </c>
      <c r="S294" s="201" t="str">
        <f aca="false">IF(A295="","",R294)</f>
        <v/>
      </c>
      <c r="T294" s="200" t="str">
        <f aca="false">IF($A295="","",VLOOKUP($A294,Table,MATCH(T$4,Curves,0)))</f>
        <v/>
      </c>
      <c r="U294" s="201" t="str">
        <f aca="false">IF(A295="","",T294)</f>
        <v/>
      </c>
      <c r="V294" s="225" t="str">
        <f aca="false">IF($A295="","",IF(AND(MONTH(A294)&gt;3,MONTH(A294)&lt;11),(T294+R294+G294)*(((1/(1-Summary!$T$12))/(1-Summary!$W$12))-1),(T294+R294+G294)*((1/(1-Summary!$U$12))/(1-Summary!$X$12)-1)))</f>
        <v/>
      </c>
      <c r="W294" s="200" t="str">
        <f aca="false">IF($A295="","",(T294+R294+G294+V294))</f>
        <v/>
      </c>
      <c r="X294" s="200" t="str">
        <f aca="false">IF($A295="","",(U294+S294+H294+V294))</f>
        <v/>
      </c>
      <c r="Y294" s="202"/>
      <c r="Z294" s="185" t="str">
        <f aca="false">IF($A295="","",VLOOKUP($A294,Table,MATCH(Z$4,Curves,0)))</f>
        <v/>
      </c>
      <c r="AA294" s="185" t="str">
        <f aca="false">IF($A295="","",VLOOKUP($A294,Table,MATCH(AA$4,Curves,0)))</f>
        <v/>
      </c>
      <c r="AB294" s="185" t="e">
        <f aca="false">SQRT((AA294^2*(A294-$D$3)+Z294^2*(DAY(EOMONTH(A294,0))/2))/AK294)</f>
        <v>#VALUE!</v>
      </c>
      <c r="AC294" s="185" t="str">
        <f aca="false">IF($A295="","",VLOOKUP($A294,Table,MATCH(AC$4,Curves,0)))</f>
        <v/>
      </c>
      <c r="AD294" s="185" t="str">
        <f aca="false">IF($A295="","",VLOOKUP($A294,Table,MATCH(AD$4,Curves,0)))</f>
        <v/>
      </c>
      <c r="AE294" s="185" t="e">
        <f aca="false">SQRT((AD294^2*(A294-$D$3)+AC294^2*(DAY(EOMONTH(A294,0))/2))/AK294)</f>
        <v>#VALUE!</v>
      </c>
      <c r="AF294" s="206" t="e">
        <f aca="false">((Summary!$N$12*(AA294*AD294)*(A294-$D$3))+(Summary!$M$12*Z294*AC294*(AJ294-EOMONTH(EDATE(A294,-1),0))))/(AK294*AB294*AE294)</f>
        <v>#VALUE!</v>
      </c>
      <c r="AG294" s="207" t="str">
        <f aca="false">IF($A295="","",Summary!$Q$12)</f>
        <v/>
      </c>
      <c r="AH294" s="207" t="str">
        <f aca="false">IF($A295="","",IF(Summary!$R$12="Y",(VLOOKUP($A294,Summary!$AD$6:$AF$9,3)+'Escalating commodity'!H307),'Escalating commodity'!H307))</f>
        <v/>
      </c>
      <c r="AI294" s="207" t="str">
        <f aca="false">IF($A295="","",AH294)</f>
        <v/>
      </c>
      <c r="AJ294" s="208" t="e">
        <f aca="false">A294+DAY(EOMONTH(A294,0))/2-1</f>
        <v>#VALUE!</v>
      </c>
      <c r="AK294" s="209" t="str">
        <f aca="false">IF($A295="","",$A294-$E$1)</f>
        <v/>
      </c>
      <c r="AL294" s="182" t="str">
        <f aca="false">IF($A295="","",SPRDOPT(P294,X294,AI294,0,AB294,AE294,AF294,AK294,$AJ$2,0))</f>
        <v/>
      </c>
      <c r="AM294" s="211" t="str">
        <f aca="false">IF($A295="","",MAX(0,O294-W294-AI294))</f>
        <v/>
      </c>
      <c r="AN294" s="211" t="str">
        <f aca="false">IF($A295="","",AL294-AM294)</f>
        <v/>
      </c>
      <c r="AO294" s="137" t="str">
        <f aca="false">IF(A295="","",A295-A294)</f>
        <v/>
      </c>
      <c r="AP294" s="212" t="str">
        <f aca="false">IF(A295="","",CHOOSE(F$3,A295+24,A294))</f>
        <v/>
      </c>
      <c r="AQ294" s="209" t="str">
        <f aca="false">IF(A295="","",AP294-$E$1)</f>
        <v/>
      </c>
      <c r="AR294" s="185" t="n">
        <f aca="false">'ANR OK vs ML7'!AR294</f>
        <v>0.1</v>
      </c>
      <c r="AS294" s="213" t="str">
        <f aca="false">IF(A295="","",1/(1+CHOOSE(F$3,(AR295+($I$3/10000))/2,(AR294+($I$3/10000))/2))^(2*AQ294/365.25))</f>
        <v/>
      </c>
      <c r="AT294" s="137" t="str">
        <f aca="false">IF(A295="","",IF(AND(mthbeg&lt;=A294,mthend&gt;=A294),1,0))</f>
        <v/>
      </c>
      <c r="AU294" s="137" t="str">
        <f aca="false">IF(A295="","",AO294*AT294)</f>
        <v/>
      </c>
      <c r="AW294" s="195" t="str">
        <f aca="false">IF($A295="","",AL294*$E294)</f>
        <v/>
      </c>
      <c r="AX294" s="195" t="str">
        <f aca="false">IF($A295="","",AM294*$E294)</f>
        <v/>
      </c>
      <c r="AY294" s="195" t="str">
        <f aca="false">IF($A295="","",AN294*$E294)</f>
        <v/>
      </c>
      <c r="BA294" s="195" t="str">
        <f aca="false">IF($A295="","",F294*Summary!$Q$12)</f>
        <v/>
      </c>
    </row>
    <row r="295" customFormat="false" ht="12" hidden="false" customHeight="true" outlineLevel="0" collapsed="false">
      <c r="A295" s="196" t="str">
        <f aca="false">IF(A294&lt;mthend,EDATE(A294,1),"")</f>
        <v/>
      </c>
      <c r="B295" s="197" t="str">
        <f aca="false">IF(A295&lt;mthend,B294,"")</f>
        <v/>
      </c>
      <c r="C295" s="215"/>
      <c r="D295" s="197" t="str">
        <f aca="false">IF(A296&lt;&gt;"",B295+C295,"")</f>
        <v/>
      </c>
      <c r="E295" s="199" t="str">
        <f aca="false">IF(A296="","",IF(AND(AT295=1,$H$3=1),D295*AO295,IF($H$3=2,D295,"N/A")))</f>
        <v/>
      </c>
      <c r="F295" s="199" t="str">
        <f aca="false">IF(A296="","",E295*AS295)</f>
        <v/>
      </c>
      <c r="G295" s="200" t="str">
        <f aca="false">IF($A296="","",VLOOKUP($A295,Table,MATCH(G$4,Curves,0)))</f>
        <v/>
      </c>
      <c r="H295" s="201" t="str">
        <f aca="false">IF(A296="","",G295)</f>
        <v/>
      </c>
      <c r="I295" s="202"/>
      <c r="J295" s="200" t="str">
        <f aca="false">IF($A296="","",VLOOKUP($A295,Table,MATCH(J$4,Curves,0)))</f>
        <v/>
      </c>
      <c r="K295" s="201" t="str">
        <f aca="false">IF(A296="","",J295)</f>
        <v/>
      </c>
      <c r="L295" s="200" t="str">
        <f aca="false">IF($A296="","",VLOOKUP($A295,Table,MATCH(L$4,Curves,0)))</f>
        <v/>
      </c>
      <c r="M295" s="201" t="str">
        <f aca="false">IF(A296="","",L295)</f>
        <v/>
      </c>
      <c r="N295" s="203"/>
      <c r="O295" s="200" t="str">
        <f aca="false">IF(A296="","",L295+J295+G295)</f>
        <v/>
      </c>
      <c r="P295" s="200" t="str">
        <f aca="false">IF(A296="","",M295+K295+H295)</f>
        <v/>
      </c>
      <c r="Q295" s="204"/>
      <c r="R295" s="200" t="str">
        <f aca="false">IF($A296="","",VLOOKUP($A295,Table,MATCH(R$4,Curves,0)))</f>
        <v/>
      </c>
      <c r="S295" s="201" t="str">
        <f aca="false">IF(A296="","",R295)</f>
        <v/>
      </c>
      <c r="T295" s="200" t="str">
        <f aca="false">IF($A296="","",VLOOKUP($A295,Table,MATCH(T$4,Curves,0)))</f>
        <v/>
      </c>
      <c r="U295" s="201" t="str">
        <f aca="false">IF(A296="","",T295)</f>
        <v/>
      </c>
      <c r="V295" s="225" t="str">
        <f aca="false">IF($A296="","",IF(AND(MONTH(A295)&gt;3,MONTH(A295)&lt;11),(T295+R295+G295)*(((1/(1-Summary!$T$12))/(1-Summary!$W$12))-1),(T295+R295+G295)*((1/(1-Summary!$U$12))/(1-Summary!$X$12)-1)))</f>
        <v/>
      </c>
      <c r="W295" s="200" t="str">
        <f aca="false">IF($A296="","",(T295+R295+G295+V295))</f>
        <v/>
      </c>
      <c r="X295" s="200" t="str">
        <f aca="false">IF($A296="","",(U295+S295+H295+V295))</f>
        <v/>
      </c>
      <c r="Y295" s="202"/>
      <c r="Z295" s="185" t="str">
        <f aca="false">IF($A296="","",VLOOKUP($A295,Table,MATCH(Z$4,Curves,0)))</f>
        <v/>
      </c>
      <c r="AA295" s="185" t="str">
        <f aca="false">IF($A296="","",VLOOKUP($A295,Table,MATCH(AA$4,Curves,0)))</f>
        <v/>
      </c>
      <c r="AB295" s="185" t="e">
        <f aca="false">SQRT((AA295^2*(A295-$D$3)+Z295^2*(DAY(EOMONTH(A295,0))/2))/AK295)</f>
        <v>#VALUE!</v>
      </c>
      <c r="AC295" s="185" t="str">
        <f aca="false">IF($A296="","",VLOOKUP($A295,Table,MATCH(AC$4,Curves,0)))</f>
        <v/>
      </c>
      <c r="AD295" s="185" t="str">
        <f aca="false">IF($A296="","",VLOOKUP($A295,Table,MATCH(AD$4,Curves,0)))</f>
        <v/>
      </c>
      <c r="AE295" s="185" t="e">
        <f aca="false">SQRT((AD295^2*(A295-$D$3)+AC295^2*(DAY(EOMONTH(A295,0))/2))/AK295)</f>
        <v>#VALUE!</v>
      </c>
      <c r="AF295" s="206" t="e">
        <f aca="false">((Summary!$N$12*(AA295*AD295)*(A295-$D$3))+(Summary!$M$12*Z295*AC295*(AJ295-EOMONTH(EDATE(A295,-1),0))))/(AK295*AB295*AE295)</f>
        <v>#VALUE!</v>
      </c>
      <c r="AG295" s="207" t="str">
        <f aca="false">IF($A296="","",Summary!$Q$12)</f>
        <v/>
      </c>
      <c r="AH295" s="207" t="str">
        <f aca="false">IF($A296="","",IF(Summary!$R$12="Y",(VLOOKUP($A295,Summary!$AD$6:$AF$9,3)+'Escalating commodity'!H308),'Escalating commodity'!H308))</f>
        <v/>
      </c>
      <c r="AI295" s="207" t="str">
        <f aca="false">IF($A296="","",AH295)</f>
        <v/>
      </c>
      <c r="AJ295" s="208" t="e">
        <f aca="false">A295+DAY(EOMONTH(A295,0))/2-1</f>
        <v>#VALUE!</v>
      </c>
      <c r="AK295" s="209" t="str">
        <f aca="false">IF($A296="","",$A295-$E$1)</f>
        <v/>
      </c>
      <c r="AL295" s="182" t="str">
        <f aca="false">IF($A296="","",SPRDOPT(P295,X295,AI295,0,AB295,AE295,AF295,AK295,$AJ$2,0))</f>
        <v/>
      </c>
      <c r="AM295" s="211" t="str">
        <f aca="false">IF($A296="","",MAX(0,O295-W295-AI295))</f>
        <v/>
      </c>
      <c r="AN295" s="211" t="str">
        <f aca="false">IF($A296="","",AL295-AM295)</f>
        <v/>
      </c>
      <c r="AO295" s="137" t="str">
        <f aca="false">IF(A296="","",A296-A295)</f>
        <v/>
      </c>
      <c r="AP295" s="212" t="str">
        <f aca="false">IF(A296="","",CHOOSE(F$3,A296+24,A295))</f>
        <v/>
      </c>
      <c r="AQ295" s="209" t="str">
        <f aca="false">IF(A296="","",AP295-$E$1)</f>
        <v/>
      </c>
      <c r="AR295" s="185" t="n">
        <f aca="false">'ANR OK vs ML7'!AR295</f>
        <v>0.1</v>
      </c>
      <c r="AS295" s="213" t="str">
        <f aca="false">IF(A296="","",1/(1+CHOOSE(F$3,(AR296+($I$3/10000))/2,(AR295+($I$3/10000))/2))^(2*AQ295/365.25))</f>
        <v/>
      </c>
      <c r="AT295" s="137" t="str">
        <f aca="false">IF(A296="","",IF(AND(mthbeg&lt;=A295,mthend&gt;=A295),1,0))</f>
        <v/>
      </c>
      <c r="AU295" s="137" t="str">
        <f aca="false">IF(A296="","",AO295*AT295)</f>
        <v/>
      </c>
      <c r="AW295" s="195" t="str">
        <f aca="false">IF($A296="","",AL295*$E295)</f>
        <v/>
      </c>
      <c r="AX295" s="195" t="str">
        <f aca="false">IF($A296="","",AM295*$E295)</f>
        <v/>
      </c>
      <c r="AY295" s="195" t="str">
        <f aca="false">IF($A296="","",AN295*$E295)</f>
        <v/>
      </c>
      <c r="BA295" s="195" t="str">
        <f aca="false">IF($A296="","",F295*Summary!$Q$12)</f>
        <v/>
      </c>
    </row>
    <row r="296" customFormat="false" ht="12" hidden="false" customHeight="true" outlineLevel="0" collapsed="false">
      <c r="A296" s="196" t="str">
        <f aca="false">IF(A295&lt;mthend,EDATE(A295,1),"")</f>
        <v/>
      </c>
      <c r="B296" s="197" t="str">
        <f aca="false">IF(A296&lt;mthend,B295,"")</f>
        <v/>
      </c>
      <c r="C296" s="215"/>
      <c r="D296" s="197" t="str">
        <f aca="false">IF(A297&lt;&gt;"",B296+C296,"")</f>
        <v/>
      </c>
      <c r="E296" s="199" t="str">
        <f aca="false">IF(A297="","",IF(AND(AT296=1,$H$3=1),D296*AO296,IF($H$3=2,D296,"N/A")))</f>
        <v/>
      </c>
      <c r="F296" s="199" t="str">
        <f aca="false">IF(A297="","",E296*AS296)</f>
        <v/>
      </c>
      <c r="G296" s="200" t="str">
        <f aca="false">IF($A297="","",VLOOKUP($A296,Table,MATCH(G$4,Curves,0)))</f>
        <v/>
      </c>
      <c r="H296" s="201" t="str">
        <f aca="false">IF(A297="","",G296)</f>
        <v/>
      </c>
      <c r="I296" s="202"/>
      <c r="J296" s="200" t="str">
        <f aca="false">IF($A297="","",VLOOKUP($A296,Table,MATCH(J$4,Curves,0)))</f>
        <v/>
      </c>
      <c r="K296" s="201" t="str">
        <f aca="false">IF(A297="","",J296)</f>
        <v/>
      </c>
      <c r="L296" s="200" t="str">
        <f aca="false">IF($A297="","",VLOOKUP($A296,Table,MATCH(L$4,Curves,0)))</f>
        <v/>
      </c>
      <c r="M296" s="201" t="str">
        <f aca="false">IF(A297="","",L296)</f>
        <v/>
      </c>
      <c r="N296" s="203"/>
      <c r="O296" s="200" t="str">
        <f aca="false">IF(A297="","",L296+J296+G296)</f>
        <v/>
      </c>
      <c r="P296" s="200" t="str">
        <f aca="false">IF(A297="","",M296+K296+H296)</f>
        <v/>
      </c>
      <c r="Q296" s="204"/>
      <c r="R296" s="200" t="str">
        <f aca="false">IF($A297="","",VLOOKUP($A296,Table,MATCH(R$4,Curves,0)))</f>
        <v/>
      </c>
      <c r="S296" s="201" t="str">
        <f aca="false">IF(A297="","",R296)</f>
        <v/>
      </c>
      <c r="T296" s="200" t="str">
        <f aca="false">IF($A297="","",VLOOKUP($A296,Table,MATCH(T$4,Curves,0)))</f>
        <v/>
      </c>
      <c r="U296" s="201" t="str">
        <f aca="false">IF(A297="","",T296)</f>
        <v/>
      </c>
      <c r="V296" s="225" t="str">
        <f aca="false">IF($A297="","",IF(AND(MONTH(A296)&gt;3,MONTH(A296)&lt;11),(T296+R296+G296)*(((1/(1-Summary!$T$12))/(1-Summary!$W$12))-1),(T296+R296+G296)*((1/(1-Summary!$U$12))/(1-Summary!$X$12)-1)))</f>
        <v/>
      </c>
      <c r="W296" s="200" t="str">
        <f aca="false">IF($A297="","",(T296+R296+G296+V296))</f>
        <v/>
      </c>
      <c r="X296" s="200" t="str">
        <f aca="false">IF($A297="","",(U296+S296+H296+V296))</f>
        <v/>
      </c>
      <c r="Y296" s="202"/>
      <c r="Z296" s="185" t="str">
        <f aca="false">IF($A297="","",VLOOKUP($A296,Table,MATCH(Z$4,Curves,0)))</f>
        <v/>
      </c>
      <c r="AA296" s="185" t="str">
        <f aca="false">IF($A297="","",VLOOKUP($A296,Table,MATCH(AA$4,Curves,0)))</f>
        <v/>
      </c>
      <c r="AB296" s="185" t="e">
        <f aca="false">SQRT((AA296^2*(A296-$D$3)+Z296^2*(DAY(EOMONTH(A296,0))/2))/AK296)</f>
        <v>#VALUE!</v>
      </c>
      <c r="AC296" s="185" t="str">
        <f aca="false">IF($A297="","",VLOOKUP($A296,Table,MATCH(AC$4,Curves,0)))</f>
        <v/>
      </c>
      <c r="AD296" s="185" t="str">
        <f aca="false">IF($A297="","",VLOOKUP($A296,Table,MATCH(AD$4,Curves,0)))</f>
        <v/>
      </c>
      <c r="AE296" s="185" t="e">
        <f aca="false">SQRT((AD296^2*(A296-$D$3)+AC296^2*(DAY(EOMONTH(A296,0))/2))/AK296)</f>
        <v>#VALUE!</v>
      </c>
      <c r="AF296" s="206" t="e">
        <f aca="false">((Summary!$N$12*(AA296*AD296)*(A296-$D$3))+(Summary!$M$12*Z296*AC296*(AJ296-EOMONTH(EDATE(A296,-1),0))))/(AK296*AB296*AE296)</f>
        <v>#VALUE!</v>
      </c>
      <c r="AG296" s="207" t="str">
        <f aca="false">IF($A297="","",Summary!$Q$12)</f>
        <v/>
      </c>
      <c r="AH296" s="207" t="str">
        <f aca="false">IF($A297="","",IF(Summary!$R$12="Y",(VLOOKUP($A296,Summary!$AD$6:$AF$9,3)+'Escalating commodity'!H309),'Escalating commodity'!H309))</f>
        <v/>
      </c>
      <c r="AI296" s="207" t="str">
        <f aca="false">IF($A297="","",AH296)</f>
        <v/>
      </c>
      <c r="AJ296" s="208" t="e">
        <f aca="false">A296+DAY(EOMONTH(A296,0))/2-1</f>
        <v>#VALUE!</v>
      </c>
      <c r="AK296" s="209" t="str">
        <f aca="false">IF($A297="","",$A296-$E$1)</f>
        <v/>
      </c>
      <c r="AL296" s="182" t="str">
        <f aca="false">IF($A297="","",SPRDOPT(P296,X296,AI296,0,AB296,AE296,AF296,AK296,$AJ$2,0))</f>
        <v/>
      </c>
      <c r="AM296" s="211" t="str">
        <f aca="false">IF($A297="","",MAX(0,O296-W296-AI296))</f>
        <v/>
      </c>
      <c r="AN296" s="211" t="str">
        <f aca="false">IF($A297="","",AL296-AM296)</f>
        <v/>
      </c>
      <c r="AO296" s="137" t="str">
        <f aca="false">IF(A297="","",A297-A296)</f>
        <v/>
      </c>
      <c r="AP296" s="212" t="str">
        <f aca="false">IF(A297="","",CHOOSE(F$3,A297+24,A296))</f>
        <v/>
      </c>
      <c r="AQ296" s="209" t="str">
        <f aca="false">IF(A297="","",AP296-$E$1)</f>
        <v/>
      </c>
      <c r="AR296" s="185" t="n">
        <f aca="false">'ANR OK vs ML7'!AR296</f>
        <v>0.1</v>
      </c>
      <c r="AS296" s="213" t="str">
        <f aca="false">IF(A297="","",1/(1+CHOOSE(F$3,(AR297+($I$3/10000))/2,(AR296+($I$3/10000))/2))^(2*AQ296/365.25))</f>
        <v/>
      </c>
      <c r="AT296" s="137" t="str">
        <f aca="false">IF(A297="","",IF(AND(mthbeg&lt;=A296,mthend&gt;=A296),1,0))</f>
        <v/>
      </c>
      <c r="AU296" s="137" t="str">
        <f aca="false">IF(A297="","",AO296*AT296)</f>
        <v/>
      </c>
      <c r="AW296" s="195" t="str">
        <f aca="false">IF($A297="","",AL296*$E296)</f>
        <v/>
      </c>
      <c r="AX296" s="195" t="str">
        <f aca="false">IF($A297="","",AM296*$E296)</f>
        <v/>
      </c>
      <c r="AY296" s="195" t="str">
        <f aca="false">IF($A297="","",AN296*$E296)</f>
        <v/>
      </c>
      <c r="BA296" s="195" t="str">
        <f aca="false">IF($A297="","",F296*Summary!$Q$12)</f>
        <v/>
      </c>
    </row>
    <row r="297" customFormat="false" ht="12" hidden="false" customHeight="true" outlineLevel="0" collapsed="false">
      <c r="A297" s="196" t="str">
        <f aca="false">IF(A296&lt;mthend,EDATE(A296,1),"")</f>
        <v/>
      </c>
      <c r="B297" s="197" t="str">
        <f aca="false">IF(A297&lt;mthend,B296,"")</f>
        <v/>
      </c>
      <c r="C297" s="215"/>
      <c r="D297" s="197" t="str">
        <f aca="false">IF(A298&lt;&gt;"",B297+C297,"")</f>
        <v/>
      </c>
      <c r="E297" s="199" t="str">
        <f aca="false">IF(A298="","",IF(AND(AT297=1,$H$3=1),D297*AO297,IF($H$3=2,D297,"N/A")))</f>
        <v/>
      </c>
      <c r="F297" s="199" t="str">
        <f aca="false">IF(A298="","",E297*AS297)</f>
        <v/>
      </c>
      <c r="G297" s="200" t="str">
        <f aca="false">IF($A298="","",VLOOKUP($A297,Table,MATCH(G$4,Curves,0)))</f>
        <v/>
      </c>
      <c r="H297" s="201" t="str">
        <f aca="false">IF(A298="","",G297)</f>
        <v/>
      </c>
      <c r="I297" s="202"/>
      <c r="J297" s="200" t="str">
        <f aca="false">IF($A298="","",VLOOKUP($A297,Table,MATCH(J$4,Curves,0)))</f>
        <v/>
      </c>
      <c r="K297" s="201" t="str">
        <f aca="false">IF(A298="","",J297)</f>
        <v/>
      </c>
      <c r="L297" s="200" t="str">
        <f aca="false">IF($A298="","",VLOOKUP($A297,Table,MATCH(L$4,Curves,0)))</f>
        <v/>
      </c>
      <c r="M297" s="201" t="str">
        <f aca="false">IF(A298="","",L297)</f>
        <v/>
      </c>
      <c r="N297" s="203"/>
      <c r="O297" s="200" t="str">
        <f aca="false">IF(A298="","",L297+J297+G297)</f>
        <v/>
      </c>
      <c r="P297" s="200" t="str">
        <f aca="false">IF(A298="","",M297+K297+H297)</f>
        <v/>
      </c>
      <c r="Q297" s="204"/>
      <c r="R297" s="200" t="str">
        <f aca="false">IF($A298="","",VLOOKUP($A297,Table,MATCH(R$4,Curves,0)))</f>
        <v/>
      </c>
      <c r="S297" s="201" t="str">
        <f aca="false">IF(A298="","",R297)</f>
        <v/>
      </c>
      <c r="T297" s="200" t="str">
        <f aca="false">IF($A298="","",VLOOKUP($A297,Table,MATCH(T$4,Curves,0)))</f>
        <v/>
      </c>
      <c r="U297" s="201" t="str">
        <f aca="false">IF(A298="","",T297)</f>
        <v/>
      </c>
      <c r="V297" s="225" t="str">
        <f aca="false">IF($A298="","",IF(AND(MONTH(A297)&gt;3,MONTH(A297)&lt;11),(T297+R297+G297)*(((1/(1-Summary!$T$12))/(1-Summary!$W$12))-1),(T297+R297+G297)*((1/(1-Summary!$U$12))/(1-Summary!$X$12)-1)))</f>
        <v/>
      </c>
      <c r="W297" s="200" t="str">
        <f aca="false">IF($A298="","",(T297+R297+G297+V297))</f>
        <v/>
      </c>
      <c r="X297" s="200" t="str">
        <f aca="false">IF($A298="","",(U297+S297+H297+V297))</f>
        <v/>
      </c>
      <c r="Y297" s="202"/>
      <c r="Z297" s="185" t="str">
        <f aca="false">IF($A298="","",VLOOKUP($A297,Table,MATCH(Z$4,Curves,0)))</f>
        <v/>
      </c>
      <c r="AA297" s="185" t="str">
        <f aca="false">IF($A298="","",VLOOKUP($A297,Table,MATCH(AA$4,Curves,0)))</f>
        <v/>
      </c>
      <c r="AB297" s="185" t="e">
        <f aca="false">SQRT((AA297^2*(A297-$D$3)+Z297^2*(DAY(EOMONTH(A297,0))/2))/AK297)</f>
        <v>#VALUE!</v>
      </c>
      <c r="AC297" s="185" t="str">
        <f aca="false">IF($A298="","",VLOOKUP($A297,Table,MATCH(AC$4,Curves,0)))</f>
        <v/>
      </c>
      <c r="AD297" s="185" t="str">
        <f aca="false">IF($A298="","",VLOOKUP($A297,Table,MATCH(AD$4,Curves,0)))</f>
        <v/>
      </c>
      <c r="AE297" s="185" t="e">
        <f aca="false">SQRT((AD297^2*(A297-$D$3)+AC297^2*(DAY(EOMONTH(A297,0))/2))/AK297)</f>
        <v>#VALUE!</v>
      </c>
      <c r="AF297" s="206" t="e">
        <f aca="false">((Summary!$N$12*(AA297*AD297)*(A297-$D$3))+(Summary!$M$12*Z297*AC297*(AJ297-EOMONTH(EDATE(A297,-1),0))))/(AK297*AB297*AE297)</f>
        <v>#VALUE!</v>
      </c>
      <c r="AG297" s="207" t="str">
        <f aca="false">IF($A298="","",Summary!$Q$12)</f>
        <v/>
      </c>
      <c r="AH297" s="207" t="str">
        <f aca="false">IF($A298="","",IF(Summary!$R$12="Y",(VLOOKUP($A297,Summary!$AD$6:$AF$9,3)+'Escalating commodity'!H310),'Escalating commodity'!H310))</f>
        <v/>
      </c>
      <c r="AI297" s="207" t="str">
        <f aca="false">IF($A298="","",AH297)</f>
        <v/>
      </c>
      <c r="AJ297" s="208" t="e">
        <f aca="false">A297+DAY(EOMONTH(A297,0))/2-1</f>
        <v>#VALUE!</v>
      </c>
      <c r="AK297" s="209" t="str">
        <f aca="false">IF($A298="","",$A297-$E$1)</f>
        <v/>
      </c>
      <c r="AL297" s="182" t="str">
        <f aca="false">IF($A298="","",SPRDOPT(P297,X297,AI297,0,AB297,AE297,AF297,AK297,$AJ$2,0))</f>
        <v/>
      </c>
      <c r="AM297" s="211" t="str">
        <f aca="false">IF($A298="","",MAX(0,O297-W297-AI297))</f>
        <v/>
      </c>
      <c r="AN297" s="211" t="str">
        <f aca="false">IF($A298="","",AL297-AM297)</f>
        <v/>
      </c>
      <c r="AO297" s="137" t="str">
        <f aca="false">IF(A298="","",A298-A297)</f>
        <v/>
      </c>
      <c r="AP297" s="212" t="str">
        <f aca="false">IF(A298="","",CHOOSE(F$3,A298+24,A297))</f>
        <v/>
      </c>
      <c r="AQ297" s="209" t="str">
        <f aca="false">IF(A298="","",AP297-$E$1)</f>
        <v/>
      </c>
      <c r="AR297" s="185" t="n">
        <f aca="false">'ANR OK vs ML7'!AR297</f>
        <v>0.1</v>
      </c>
      <c r="AS297" s="213" t="str">
        <f aca="false">IF(A298="","",1/(1+CHOOSE(F$3,(AR298+($I$3/10000))/2,(AR297+($I$3/10000))/2))^(2*AQ297/365.25))</f>
        <v/>
      </c>
      <c r="AT297" s="137" t="str">
        <f aca="false">IF(A298="","",IF(AND(mthbeg&lt;=A297,mthend&gt;=A297),1,0))</f>
        <v/>
      </c>
      <c r="AU297" s="137" t="str">
        <f aca="false">IF(A298="","",AO297*AT297)</f>
        <v/>
      </c>
      <c r="AW297" s="195" t="str">
        <f aca="false">IF($A298="","",AL297*$E297)</f>
        <v/>
      </c>
      <c r="AX297" s="195" t="str">
        <f aca="false">IF($A298="","",AM297*$E297)</f>
        <v/>
      </c>
      <c r="AY297" s="195" t="str">
        <f aca="false">IF($A298="","",AN297*$E297)</f>
        <v/>
      </c>
      <c r="BA297" s="195" t="str">
        <f aca="false">IF($A298="","",F297*Summary!$Q$12)</f>
        <v/>
      </c>
    </row>
    <row r="298" customFormat="false" ht="12" hidden="false" customHeight="true" outlineLevel="0" collapsed="false">
      <c r="A298" s="196" t="str">
        <f aca="false">IF(A297&lt;mthend,EDATE(A297,1),"")</f>
        <v/>
      </c>
      <c r="B298" s="197" t="str">
        <f aca="false">IF(A298&lt;mthend,B297,"")</f>
        <v/>
      </c>
      <c r="C298" s="215"/>
      <c r="D298" s="197" t="str">
        <f aca="false">IF(A299&lt;&gt;"",B298+C298,"")</f>
        <v/>
      </c>
      <c r="E298" s="199" t="str">
        <f aca="false">IF(A299="","",IF(AND(AT298=1,$H$3=1),D298*AO298,IF($H$3=2,D298,"N/A")))</f>
        <v/>
      </c>
      <c r="F298" s="199" t="str">
        <f aca="false">IF(A299="","",E298*AS298)</f>
        <v/>
      </c>
      <c r="G298" s="200" t="str">
        <f aca="false">IF($A299="","",VLOOKUP($A298,Table,MATCH(G$4,Curves,0)))</f>
        <v/>
      </c>
      <c r="H298" s="201" t="str">
        <f aca="false">IF(A299="","",G298)</f>
        <v/>
      </c>
      <c r="I298" s="202"/>
      <c r="J298" s="200" t="str">
        <f aca="false">IF($A299="","",VLOOKUP($A298,Table,MATCH(J$4,Curves,0)))</f>
        <v/>
      </c>
      <c r="K298" s="201" t="str">
        <f aca="false">IF(A299="","",J298)</f>
        <v/>
      </c>
      <c r="L298" s="200" t="str">
        <f aca="false">IF($A299="","",VLOOKUP($A298,Table,MATCH(L$4,Curves,0)))</f>
        <v/>
      </c>
      <c r="M298" s="201" t="str">
        <f aca="false">IF(A299="","",L298)</f>
        <v/>
      </c>
      <c r="N298" s="203"/>
      <c r="O298" s="200" t="str">
        <f aca="false">IF(A299="","",L298+J298+G298)</f>
        <v/>
      </c>
      <c r="P298" s="200" t="str">
        <f aca="false">IF(A299="","",M298+K298+H298)</f>
        <v/>
      </c>
      <c r="Q298" s="204"/>
      <c r="R298" s="200" t="str">
        <f aca="false">IF($A299="","",VLOOKUP($A298,Table,MATCH(R$4,Curves,0)))</f>
        <v/>
      </c>
      <c r="S298" s="201" t="str">
        <f aca="false">IF(A299="","",R298)</f>
        <v/>
      </c>
      <c r="T298" s="200" t="str">
        <f aca="false">IF($A299="","",VLOOKUP($A298,Table,MATCH(T$4,Curves,0)))</f>
        <v/>
      </c>
      <c r="U298" s="201" t="str">
        <f aca="false">IF(A299="","",T298)</f>
        <v/>
      </c>
      <c r="V298" s="225" t="str">
        <f aca="false">IF($A299="","",IF(AND(MONTH(A298)&gt;3,MONTH(A298)&lt;11),(T298+R298+G298)*(((1/(1-Summary!$T$12))/(1-Summary!$W$12))-1),(T298+R298+G298)*((1/(1-Summary!$U$12))/(1-Summary!$X$12)-1)))</f>
        <v/>
      </c>
      <c r="W298" s="200" t="str">
        <f aca="false">IF($A299="","",(T298+R298+G298+V298))</f>
        <v/>
      </c>
      <c r="X298" s="200" t="str">
        <f aca="false">IF($A299="","",(U298+S298+H298+V298))</f>
        <v/>
      </c>
      <c r="Y298" s="202"/>
      <c r="Z298" s="185" t="str">
        <f aca="false">IF($A299="","",VLOOKUP($A298,Table,MATCH(Z$4,Curves,0)))</f>
        <v/>
      </c>
      <c r="AA298" s="185" t="str">
        <f aca="false">IF($A299="","",VLOOKUP($A298,Table,MATCH(AA$4,Curves,0)))</f>
        <v/>
      </c>
      <c r="AB298" s="185" t="e">
        <f aca="false">SQRT((AA298^2*(A298-$D$3)+Z298^2*(DAY(EOMONTH(A298,0))/2))/AK298)</f>
        <v>#VALUE!</v>
      </c>
      <c r="AC298" s="185" t="str">
        <f aca="false">IF($A299="","",VLOOKUP($A298,Table,MATCH(AC$4,Curves,0)))</f>
        <v/>
      </c>
      <c r="AD298" s="185" t="str">
        <f aca="false">IF($A299="","",VLOOKUP($A298,Table,MATCH(AD$4,Curves,0)))</f>
        <v/>
      </c>
      <c r="AE298" s="185" t="e">
        <f aca="false">SQRT((AD298^2*(A298-$D$3)+AC298^2*(DAY(EOMONTH(A298,0))/2))/AK298)</f>
        <v>#VALUE!</v>
      </c>
      <c r="AF298" s="206" t="e">
        <f aca="false">((Summary!$N$12*(AA298*AD298)*(A298-$D$3))+(Summary!$M$12*Z298*AC298*(AJ298-EOMONTH(EDATE(A298,-1),0))))/(AK298*AB298*AE298)</f>
        <v>#VALUE!</v>
      </c>
      <c r="AG298" s="207" t="str">
        <f aca="false">IF($A299="","",Summary!$Q$12)</f>
        <v/>
      </c>
      <c r="AH298" s="207" t="str">
        <f aca="false">IF($A299="","",IF(Summary!$R$12="Y",(VLOOKUP($A298,Summary!$AD$6:$AF$9,3)+'Escalating commodity'!H311),'Escalating commodity'!H311))</f>
        <v/>
      </c>
      <c r="AI298" s="207" t="str">
        <f aca="false">IF($A299="","",AH298)</f>
        <v/>
      </c>
      <c r="AJ298" s="208" t="e">
        <f aca="false">A298+DAY(EOMONTH(A298,0))/2-1</f>
        <v>#VALUE!</v>
      </c>
      <c r="AK298" s="209" t="str">
        <f aca="false">IF($A299="","",$A298-$E$1)</f>
        <v/>
      </c>
      <c r="AL298" s="182" t="str">
        <f aca="false">IF($A299="","",SPRDOPT(P298,X298,AI298,0,AB298,AE298,AF298,AK298,$AJ$2,0))</f>
        <v/>
      </c>
      <c r="AM298" s="211" t="str">
        <f aca="false">IF($A299="","",MAX(0,O298-W298-AI298))</f>
        <v/>
      </c>
      <c r="AN298" s="211" t="str">
        <f aca="false">IF($A299="","",AL298-AM298)</f>
        <v/>
      </c>
      <c r="AO298" s="137" t="str">
        <f aca="false">IF(A299="","",A299-A298)</f>
        <v/>
      </c>
      <c r="AP298" s="212" t="str">
        <f aca="false">IF(A299="","",CHOOSE(F$3,A299+24,A298))</f>
        <v/>
      </c>
      <c r="AQ298" s="209" t="str">
        <f aca="false">IF(A299="","",AP298-$E$1)</f>
        <v/>
      </c>
      <c r="AR298" s="185" t="n">
        <f aca="false">'ANR OK vs ML7'!AR298</f>
        <v>0.1</v>
      </c>
      <c r="AS298" s="213" t="str">
        <f aca="false">IF(A299="","",1/(1+CHOOSE(F$3,(AR299+($I$3/10000))/2,(AR298+($I$3/10000))/2))^(2*AQ298/365.25))</f>
        <v/>
      </c>
      <c r="AT298" s="137" t="str">
        <f aca="false">IF(A299="","",IF(AND(mthbeg&lt;=A298,mthend&gt;=A298),1,0))</f>
        <v/>
      </c>
      <c r="AU298" s="137" t="str">
        <f aca="false">IF(A299="","",AO298*AT298)</f>
        <v/>
      </c>
      <c r="AW298" s="195" t="str">
        <f aca="false">IF($A299="","",AL298*$E298)</f>
        <v/>
      </c>
      <c r="AX298" s="195" t="str">
        <f aca="false">IF($A299="","",AM298*$E298)</f>
        <v/>
      </c>
      <c r="AY298" s="195" t="str">
        <f aca="false">IF($A299="","",AN298*$E298)</f>
        <v/>
      </c>
      <c r="BA298" s="195" t="str">
        <f aca="false">IF($A299="","",F298*Summary!$Q$12)</f>
        <v/>
      </c>
    </row>
    <row r="299" customFormat="false" ht="12" hidden="false" customHeight="true" outlineLevel="0" collapsed="false">
      <c r="A299" s="196" t="str">
        <f aca="false">IF(A298&lt;mthend,EDATE(A298,1),"")</f>
        <v/>
      </c>
      <c r="B299" s="197" t="str">
        <f aca="false">IF(A299&lt;mthend,B298,"")</f>
        <v/>
      </c>
      <c r="C299" s="215"/>
      <c r="D299" s="197" t="str">
        <f aca="false">IF(A300&lt;&gt;"",B299+C299,"")</f>
        <v/>
      </c>
      <c r="E299" s="199" t="str">
        <f aca="false">IF(A300="","",IF(AND(AT299=1,$H$3=1),D299*AO299,IF($H$3=2,D299,"N/A")))</f>
        <v/>
      </c>
      <c r="F299" s="199" t="str">
        <f aca="false">IF(A300="","",E299*AS299)</f>
        <v/>
      </c>
      <c r="G299" s="200" t="str">
        <f aca="false">IF($A300="","",VLOOKUP($A299,Table,MATCH(G$4,Curves,0)))</f>
        <v/>
      </c>
      <c r="H299" s="201" t="str">
        <f aca="false">IF(A300="","",G299)</f>
        <v/>
      </c>
      <c r="I299" s="202"/>
      <c r="J299" s="200" t="str">
        <f aca="false">IF($A300="","",VLOOKUP($A299,Table,MATCH(J$4,Curves,0)))</f>
        <v/>
      </c>
      <c r="K299" s="201" t="str">
        <f aca="false">IF(A300="","",J299)</f>
        <v/>
      </c>
      <c r="L299" s="200" t="str">
        <f aca="false">IF($A300="","",VLOOKUP($A299,Table,MATCH(L$4,Curves,0)))</f>
        <v/>
      </c>
      <c r="M299" s="201" t="str">
        <f aca="false">IF(A300="","",L299)</f>
        <v/>
      </c>
      <c r="N299" s="203"/>
      <c r="O299" s="200" t="str">
        <f aca="false">IF(A300="","",L299+J299+G299)</f>
        <v/>
      </c>
      <c r="P299" s="200" t="str">
        <f aca="false">IF(A300="","",M299+K299+H299)</f>
        <v/>
      </c>
      <c r="Q299" s="204"/>
      <c r="R299" s="200" t="str">
        <f aca="false">IF($A300="","",VLOOKUP($A299,Table,MATCH(R$4,Curves,0)))</f>
        <v/>
      </c>
      <c r="S299" s="201" t="str">
        <f aca="false">IF(A300="","",R299)</f>
        <v/>
      </c>
      <c r="T299" s="200" t="str">
        <f aca="false">IF($A300="","",VLOOKUP($A299,Table,MATCH(T$4,Curves,0)))</f>
        <v/>
      </c>
      <c r="U299" s="201" t="str">
        <f aca="false">IF(A300="","",T299)</f>
        <v/>
      </c>
      <c r="V299" s="225" t="str">
        <f aca="false">IF($A300="","",IF(AND(MONTH(A299)&gt;3,MONTH(A299)&lt;11),(T299+R299+G299)*(((1/(1-Summary!$T$12))/(1-Summary!$W$12))-1),(T299+R299+G299)*((1/(1-Summary!$U$12))/(1-Summary!$X$12)-1)))</f>
        <v/>
      </c>
      <c r="W299" s="200" t="str">
        <f aca="false">IF($A300="","",(T299+R299+G299+V299))</f>
        <v/>
      </c>
      <c r="X299" s="200" t="str">
        <f aca="false">IF($A300="","",(U299+S299+H299+V299))</f>
        <v/>
      </c>
      <c r="Y299" s="202"/>
      <c r="Z299" s="185" t="str">
        <f aca="false">IF($A300="","",VLOOKUP($A299,Table,MATCH(Z$4,Curves,0)))</f>
        <v/>
      </c>
      <c r="AA299" s="185" t="str">
        <f aca="false">IF($A300="","",VLOOKUP($A299,Table,MATCH(AA$4,Curves,0)))</f>
        <v/>
      </c>
      <c r="AB299" s="185" t="e">
        <f aca="false">SQRT((AA299^2*(A299-$D$3)+Z299^2*(DAY(EOMONTH(A299,0))/2))/AK299)</f>
        <v>#VALUE!</v>
      </c>
      <c r="AC299" s="185" t="str">
        <f aca="false">IF($A300="","",VLOOKUP($A299,Table,MATCH(AC$4,Curves,0)))</f>
        <v/>
      </c>
      <c r="AD299" s="185" t="str">
        <f aca="false">IF($A300="","",VLOOKUP($A299,Table,MATCH(AD$4,Curves,0)))</f>
        <v/>
      </c>
      <c r="AE299" s="185" t="e">
        <f aca="false">SQRT((AD299^2*(A299-$D$3)+AC299^2*(DAY(EOMONTH(A299,0))/2))/AK299)</f>
        <v>#VALUE!</v>
      </c>
      <c r="AF299" s="206" t="e">
        <f aca="false">((Summary!$N$12*(AA299*AD299)*(A299-$D$3))+(Summary!$M$12*Z299*AC299*(AJ299-EOMONTH(EDATE(A299,-1),0))))/(AK299*AB299*AE299)</f>
        <v>#VALUE!</v>
      </c>
      <c r="AG299" s="207" t="str">
        <f aca="false">IF($A300="","",Summary!$Q$12)</f>
        <v/>
      </c>
      <c r="AH299" s="207" t="str">
        <f aca="false">IF($A300="","",IF(Summary!$R$12="Y",(VLOOKUP($A299,Summary!$AD$6:$AF$9,3)+'Escalating commodity'!H312),'Escalating commodity'!H312))</f>
        <v/>
      </c>
      <c r="AI299" s="207" t="str">
        <f aca="false">IF($A300="","",AH299)</f>
        <v/>
      </c>
      <c r="AJ299" s="208" t="e">
        <f aca="false">A299+DAY(EOMONTH(A299,0))/2-1</f>
        <v>#VALUE!</v>
      </c>
      <c r="AK299" s="209" t="str">
        <f aca="false">IF($A300="","",$A299-$E$1)</f>
        <v/>
      </c>
      <c r="AL299" s="182" t="str">
        <f aca="false">IF($A300="","",SPRDOPT(P299,X299,AI299,0,AB299,AE299,AF299,AK299,$AJ$2,0))</f>
        <v/>
      </c>
      <c r="AM299" s="211" t="str">
        <f aca="false">IF($A300="","",MAX(0,O299-W299-AI299))</f>
        <v/>
      </c>
      <c r="AN299" s="211" t="str">
        <f aca="false">IF($A300="","",AL299-AM299)</f>
        <v/>
      </c>
      <c r="AO299" s="137" t="str">
        <f aca="false">IF(A300="","",A300-A299)</f>
        <v/>
      </c>
      <c r="AP299" s="212" t="str">
        <f aca="false">IF(A300="","",CHOOSE(F$3,A300+24,A299))</f>
        <v/>
      </c>
      <c r="AQ299" s="209" t="str">
        <f aca="false">IF(A300="","",AP299-$E$1)</f>
        <v/>
      </c>
      <c r="AR299" s="185" t="n">
        <f aca="false">'ANR OK vs ML7'!AR299</f>
        <v>0.1</v>
      </c>
      <c r="AS299" s="213" t="str">
        <f aca="false">IF(A300="","",1/(1+CHOOSE(F$3,(AR300+($I$3/10000))/2,(AR299+($I$3/10000))/2))^(2*AQ299/365.25))</f>
        <v/>
      </c>
      <c r="AT299" s="137" t="str">
        <f aca="false">IF(A300="","",IF(AND(mthbeg&lt;=A299,mthend&gt;=A299),1,0))</f>
        <v/>
      </c>
      <c r="AU299" s="137" t="str">
        <f aca="false">IF(A300="","",AO299*AT299)</f>
        <v/>
      </c>
      <c r="AW299" s="195" t="str">
        <f aca="false">IF($A300="","",AL299*$E299)</f>
        <v/>
      </c>
      <c r="AX299" s="195" t="str">
        <f aca="false">IF($A300="","",AM299*$E299)</f>
        <v/>
      </c>
      <c r="AY299" s="195" t="str">
        <f aca="false">IF($A300="","",AN299*$E299)</f>
        <v/>
      </c>
      <c r="BA299" s="195" t="str">
        <f aca="false">IF($A300="","",F299*Summary!$Q$12)</f>
        <v/>
      </c>
    </row>
    <row r="300" customFormat="false" ht="12" hidden="false" customHeight="true" outlineLevel="0" collapsed="false">
      <c r="A300" s="196" t="str">
        <f aca="false">IF(A299&lt;mthend,EDATE(A299,1),"")</f>
        <v/>
      </c>
      <c r="B300" s="197" t="str">
        <f aca="false">IF(A300&lt;mthend,B299,"")</f>
        <v/>
      </c>
      <c r="C300" s="215"/>
      <c r="D300" s="197" t="str">
        <f aca="false">IF(A301&lt;&gt;"",B300+C300,"")</f>
        <v/>
      </c>
      <c r="E300" s="199" t="str">
        <f aca="false">IF(A301="","",IF(AND(AT300=1,$H$3=1),D300*AO300,IF($H$3=2,D300,"N/A")))</f>
        <v/>
      </c>
      <c r="F300" s="199" t="str">
        <f aca="false">IF(A301="","",E300*AS300)</f>
        <v/>
      </c>
      <c r="G300" s="200" t="str">
        <f aca="false">IF($A301="","",VLOOKUP($A300,Table,MATCH(G$4,Curves,0)))</f>
        <v/>
      </c>
      <c r="H300" s="201" t="str">
        <f aca="false">IF(A301="","",G300)</f>
        <v/>
      </c>
      <c r="I300" s="202"/>
      <c r="J300" s="200" t="str">
        <f aca="false">IF($A301="","",VLOOKUP($A300,Table,MATCH(J$4,Curves,0)))</f>
        <v/>
      </c>
      <c r="K300" s="201" t="str">
        <f aca="false">IF(A301="","",J300)</f>
        <v/>
      </c>
      <c r="L300" s="200" t="str">
        <f aca="false">IF($A301="","",VLOOKUP($A300,Table,MATCH(L$4,Curves,0)))</f>
        <v/>
      </c>
      <c r="M300" s="201" t="str">
        <f aca="false">IF(A301="","",L300)</f>
        <v/>
      </c>
      <c r="N300" s="203"/>
      <c r="O300" s="200" t="str">
        <f aca="false">IF(A301="","",L300+J300+G300)</f>
        <v/>
      </c>
      <c r="P300" s="200" t="str">
        <f aca="false">IF(A301="","",M300+K300+H300)</f>
        <v/>
      </c>
      <c r="Q300" s="204"/>
      <c r="R300" s="200" t="str">
        <f aca="false">IF($A301="","",VLOOKUP($A300,Table,MATCH(R$4,Curves,0)))</f>
        <v/>
      </c>
      <c r="S300" s="201" t="str">
        <f aca="false">IF(A301="","",R300)</f>
        <v/>
      </c>
      <c r="T300" s="200" t="str">
        <f aca="false">IF($A301="","",VLOOKUP($A300,Table,MATCH(T$4,Curves,0)))</f>
        <v/>
      </c>
      <c r="U300" s="201" t="str">
        <f aca="false">IF(A301="","",T300)</f>
        <v/>
      </c>
      <c r="V300" s="225" t="str">
        <f aca="false">IF($A301="","",IF(AND(MONTH(A300)&gt;3,MONTH(A300)&lt;11),(T300+R300+G300)*(((1/(1-Summary!$T$12))/(1-Summary!$W$12))-1),(T300+R300+G300)*((1/(1-Summary!$U$12))/(1-Summary!$X$12)-1)))</f>
        <v/>
      </c>
      <c r="W300" s="200" t="str">
        <f aca="false">IF($A301="","",(T300+R300+G300+V300))</f>
        <v/>
      </c>
      <c r="X300" s="200" t="str">
        <f aca="false">IF($A301="","",(U300+S300+H300+V300))</f>
        <v/>
      </c>
      <c r="Y300" s="202"/>
      <c r="Z300" s="185" t="str">
        <f aca="false">IF($A301="","",VLOOKUP($A300,Table,MATCH(Z$4,Curves,0)))</f>
        <v/>
      </c>
      <c r="AA300" s="185" t="str">
        <f aca="false">IF($A301="","",VLOOKUP($A300,Table,MATCH(AA$4,Curves,0)))</f>
        <v/>
      </c>
      <c r="AB300" s="185" t="e">
        <f aca="false">SQRT((AA300^2*(A300-$D$3)+Z300^2*(DAY(EOMONTH(A300,0))/2))/AK300)</f>
        <v>#VALUE!</v>
      </c>
      <c r="AC300" s="185" t="str">
        <f aca="false">IF($A301="","",VLOOKUP($A300,Table,MATCH(AC$4,Curves,0)))</f>
        <v/>
      </c>
      <c r="AD300" s="185" t="str">
        <f aca="false">IF($A301="","",VLOOKUP($A300,Table,MATCH(AD$4,Curves,0)))</f>
        <v/>
      </c>
      <c r="AE300" s="185" t="e">
        <f aca="false">SQRT((AD300^2*(A300-$D$3)+AC300^2*(DAY(EOMONTH(A300,0))/2))/AK300)</f>
        <v>#VALUE!</v>
      </c>
      <c r="AF300" s="206" t="e">
        <f aca="false">((Summary!$N$12*(AA300*AD300)*(A300-$D$3))+(Summary!$M$12*Z300*AC300*(AJ300-EOMONTH(EDATE(A300,-1),0))))/(AK300*AB300*AE300)</f>
        <v>#VALUE!</v>
      </c>
      <c r="AG300" s="207" t="str">
        <f aca="false">IF($A301="","",Summary!$Q$12)</f>
        <v/>
      </c>
      <c r="AH300" s="207" t="str">
        <f aca="false">IF($A301="","",IF(Summary!$R$12="Y",(VLOOKUP($A300,Summary!$AD$6:$AF$9,3)+'Escalating commodity'!H313),'Escalating commodity'!H313))</f>
        <v/>
      </c>
      <c r="AI300" s="207" t="str">
        <f aca="false">IF($A301="","",AH300)</f>
        <v/>
      </c>
      <c r="AJ300" s="208" t="e">
        <f aca="false">A300+DAY(EOMONTH(A300,0))/2-1</f>
        <v>#VALUE!</v>
      </c>
      <c r="AK300" s="209" t="str">
        <f aca="false">IF($A301="","",$A300-$E$1)</f>
        <v/>
      </c>
      <c r="AL300" s="182" t="str">
        <f aca="false">IF($A301="","",SPRDOPT(P300,X300,AI300,0,AB300,AE300,AF300,AK300,$AJ$2,0))</f>
        <v/>
      </c>
      <c r="AM300" s="211" t="str">
        <f aca="false">IF($A301="","",MAX(0,O300-W300-AI300))</f>
        <v/>
      </c>
      <c r="AN300" s="211" t="str">
        <f aca="false">IF($A301="","",AL300-AM300)</f>
        <v/>
      </c>
      <c r="AO300" s="137" t="str">
        <f aca="false">IF(A301="","",A301-A300)</f>
        <v/>
      </c>
      <c r="AP300" s="212" t="str">
        <f aca="false">IF(A301="","",CHOOSE(F$3,A301+24,A300))</f>
        <v/>
      </c>
      <c r="AQ300" s="209" t="str">
        <f aca="false">IF(A301="","",AP300-$E$1)</f>
        <v/>
      </c>
      <c r="AR300" s="185" t="n">
        <f aca="false">'ANR OK vs ML7'!AR300</f>
        <v>0.1</v>
      </c>
      <c r="AS300" s="213" t="str">
        <f aca="false">IF(A301="","",1/(1+CHOOSE(F$3,(AR301+($I$3/10000))/2,(AR300+($I$3/10000))/2))^(2*AQ300/365.25))</f>
        <v/>
      </c>
      <c r="AT300" s="137" t="str">
        <f aca="false">IF(A301="","",IF(AND(mthbeg&lt;=A300,mthend&gt;=A300),1,0))</f>
        <v/>
      </c>
      <c r="AU300" s="137" t="str">
        <f aca="false">IF(A301="","",AO300*AT300)</f>
        <v/>
      </c>
      <c r="AW300" s="195" t="str">
        <f aca="false">IF($A301="","",AL300*$E300)</f>
        <v/>
      </c>
      <c r="AX300" s="195" t="str">
        <f aca="false">IF($A301="","",AM300*$E300)</f>
        <v/>
      </c>
      <c r="AY300" s="195" t="str">
        <f aca="false">IF($A301="","",AN300*$E300)</f>
        <v/>
      </c>
      <c r="BA300" s="195" t="str">
        <f aca="false">IF($A301="","",F300*Summary!$Q$12)</f>
        <v/>
      </c>
    </row>
    <row r="301" customFormat="false" ht="12" hidden="false" customHeight="true" outlineLevel="0" collapsed="false">
      <c r="A301" s="196" t="str">
        <f aca="false">IF(A300&lt;mthend,EDATE(A300,1),"")</f>
        <v/>
      </c>
      <c r="B301" s="197" t="str">
        <f aca="false">IF(A301&lt;mthend,B300,"")</f>
        <v/>
      </c>
      <c r="C301" s="215"/>
      <c r="D301" s="197" t="str">
        <f aca="false">IF(A302&lt;&gt;"",B301+C301,"")</f>
        <v/>
      </c>
      <c r="E301" s="199" t="str">
        <f aca="false">IF(A302="","",IF(AND(AT301=1,$H$3=1),D301*AO301,IF($H$3=2,D301,"N/A")))</f>
        <v/>
      </c>
      <c r="F301" s="199" t="str">
        <f aca="false">IF(A302="","",E301*AS301)</f>
        <v/>
      </c>
      <c r="G301" s="200" t="str">
        <f aca="false">IF($A302="","",VLOOKUP($A301,Table,MATCH(G$4,Curves,0)))</f>
        <v/>
      </c>
      <c r="H301" s="201" t="str">
        <f aca="false">IF(A302="","",G301)</f>
        <v/>
      </c>
      <c r="I301" s="202"/>
      <c r="J301" s="200" t="str">
        <f aca="false">IF($A302="","",VLOOKUP($A301,Table,MATCH(J$4,Curves,0)))</f>
        <v/>
      </c>
      <c r="K301" s="201" t="str">
        <f aca="false">IF(A302="","",J301)</f>
        <v/>
      </c>
      <c r="L301" s="200" t="str">
        <f aca="false">IF($A302="","",VLOOKUP($A301,Table,MATCH(L$4,Curves,0)))</f>
        <v/>
      </c>
      <c r="M301" s="201" t="str">
        <f aca="false">IF(A302="","",L301)</f>
        <v/>
      </c>
      <c r="N301" s="203"/>
      <c r="O301" s="200" t="str">
        <f aca="false">IF(A302="","",L301+J301+G301)</f>
        <v/>
      </c>
      <c r="P301" s="200" t="str">
        <f aca="false">IF(A302="","",M301+K301+H301)</f>
        <v/>
      </c>
      <c r="Q301" s="204"/>
      <c r="R301" s="200" t="str">
        <f aca="false">IF($A302="","",VLOOKUP($A301,Table,MATCH(R$4,Curves,0)))</f>
        <v/>
      </c>
      <c r="S301" s="201" t="str">
        <f aca="false">IF(A302="","",R301)</f>
        <v/>
      </c>
      <c r="T301" s="200" t="str">
        <f aca="false">IF($A302="","",VLOOKUP($A301,Table,MATCH(T$4,Curves,0)))</f>
        <v/>
      </c>
      <c r="U301" s="201" t="str">
        <f aca="false">IF(A302="","",T301)</f>
        <v/>
      </c>
      <c r="V301" s="225" t="str">
        <f aca="false">IF($A302="","",IF(AND(MONTH(A301)&gt;3,MONTH(A301)&lt;11),(T301+R301+G301)*(((1/(1-Summary!$T$12))/(1-Summary!$W$12))-1),(T301+R301+G301)*((1/(1-Summary!$U$12))/(1-Summary!$X$12)-1)))</f>
        <v/>
      </c>
      <c r="W301" s="200" t="str">
        <f aca="false">IF($A302="","",(T301+R301+G301+V301))</f>
        <v/>
      </c>
      <c r="X301" s="200" t="str">
        <f aca="false">IF($A302="","",(U301+S301+H301+V301))</f>
        <v/>
      </c>
      <c r="Y301" s="202"/>
      <c r="Z301" s="185" t="str">
        <f aca="false">IF($A302="","",VLOOKUP($A301,Table,MATCH(Z$4,Curves,0)))</f>
        <v/>
      </c>
      <c r="AA301" s="185" t="str">
        <f aca="false">IF($A302="","",VLOOKUP($A301,Table,MATCH(AA$4,Curves,0)))</f>
        <v/>
      </c>
      <c r="AB301" s="185" t="e">
        <f aca="false">SQRT((AA301^2*(A301-$D$3)+Z301^2*(DAY(EOMONTH(A301,0))/2))/AK301)</f>
        <v>#VALUE!</v>
      </c>
      <c r="AC301" s="185" t="str">
        <f aca="false">IF($A302="","",VLOOKUP($A301,Table,MATCH(AC$4,Curves,0)))</f>
        <v/>
      </c>
      <c r="AD301" s="185" t="str">
        <f aca="false">IF($A302="","",VLOOKUP($A301,Table,MATCH(AD$4,Curves,0)))</f>
        <v/>
      </c>
      <c r="AE301" s="185" t="e">
        <f aca="false">SQRT((AD301^2*(A301-$D$3)+AC301^2*(DAY(EOMONTH(A301,0))/2))/AK301)</f>
        <v>#VALUE!</v>
      </c>
      <c r="AF301" s="206" t="e">
        <f aca="false">((Summary!$N$12*(AA301*AD301)*(A301-$D$3))+(Summary!$M$12*Z301*AC301*(AJ301-EOMONTH(EDATE(A301,-1),0))))/(AK301*AB301*AE301)</f>
        <v>#VALUE!</v>
      </c>
      <c r="AG301" s="207" t="str">
        <f aca="false">IF($A302="","",Summary!$Q$12)</f>
        <v/>
      </c>
      <c r="AH301" s="207" t="str">
        <f aca="false">IF($A302="","",IF(Summary!$R$12="Y",(VLOOKUP($A301,Summary!$AD$6:$AF$9,3)+'Escalating commodity'!H314),'Escalating commodity'!H314))</f>
        <v/>
      </c>
      <c r="AI301" s="207" t="str">
        <f aca="false">IF($A302="","",AH301)</f>
        <v/>
      </c>
      <c r="AJ301" s="208" t="e">
        <f aca="false">A301+DAY(EOMONTH(A301,0))/2-1</f>
        <v>#VALUE!</v>
      </c>
      <c r="AK301" s="209" t="str">
        <f aca="false">IF($A302="","",$A301-$E$1)</f>
        <v/>
      </c>
      <c r="AL301" s="182" t="str">
        <f aca="false">IF($A302="","",SPRDOPT(P301,X301,AI301,0,AB301,AE301,AF301,AK301,$AJ$2,0))</f>
        <v/>
      </c>
      <c r="AM301" s="211" t="str">
        <f aca="false">IF($A302="","",MAX(0,O301-W301-AI301))</f>
        <v/>
      </c>
      <c r="AN301" s="211" t="str">
        <f aca="false">IF($A302="","",AL301-AM301)</f>
        <v/>
      </c>
      <c r="AO301" s="137" t="str">
        <f aca="false">IF(A302="","",A302-A301)</f>
        <v/>
      </c>
      <c r="AP301" s="212" t="str">
        <f aca="false">IF(A302="","",CHOOSE(F$3,A302+24,A301))</f>
        <v/>
      </c>
      <c r="AQ301" s="209" t="str">
        <f aca="false">IF(A302="","",AP301-$E$1)</f>
        <v/>
      </c>
      <c r="AR301" s="185" t="n">
        <f aca="false">'ANR OK vs ML7'!AR301</f>
        <v>0.1</v>
      </c>
      <c r="AS301" s="213" t="str">
        <f aca="false">IF(A302="","",1/(1+CHOOSE(F$3,(AR302+($I$3/10000))/2,(AR301+($I$3/10000))/2))^(2*AQ301/365.25))</f>
        <v/>
      </c>
      <c r="AT301" s="137" t="str">
        <f aca="false">IF(A302="","",IF(AND(mthbeg&lt;=A301,mthend&gt;=A301),1,0))</f>
        <v/>
      </c>
      <c r="AU301" s="137" t="str">
        <f aca="false">IF(A302="","",AO301*AT301)</f>
        <v/>
      </c>
      <c r="AW301" s="195" t="str">
        <f aca="false">IF($A302="","",AL301*$E301)</f>
        <v/>
      </c>
      <c r="AX301" s="195" t="str">
        <f aca="false">IF($A302="","",AM301*$E301)</f>
        <v/>
      </c>
      <c r="AY301" s="195" t="str">
        <f aca="false">IF($A302="","",AN301*$E301)</f>
        <v/>
      </c>
      <c r="BA301" s="195" t="str">
        <f aca="false">IF($A302="","",F301*Summary!$Q$12)</f>
        <v/>
      </c>
    </row>
    <row r="302" customFormat="false" ht="12" hidden="false" customHeight="true" outlineLevel="0" collapsed="false">
      <c r="A302" s="196" t="str">
        <f aca="false">IF(A301&lt;mthend,EDATE(A301,1),"")</f>
        <v/>
      </c>
      <c r="B302" s="197" t="str">
        <f aca="false">IF(A302&lt;mthend,B301,"")</f>
        <v/>
      </c>
      <c r="C302" s="215"/>
      <c r="D302" s="197" t="str">
        <f aca="false">IF(A303&lt;&gt;"",B302+C302,"")</f>
        <v/>
      </c>
      <c r="E302" s="199" t="str">
        <f aca="false">IF(A303="","",IF(AND(AT302=1,$H$3=1),D302*AO302,IF($H$3=2,D302,"N/A")))</f>
        <v/>
      </c>
      <c r="F302" s="199" t="str">
        <f aca="false">IF(A303="","",E302*AS302)</f>
        <v/>
      </c>
      <c r="G302" s="200" t="str">
        <f aca="false">IF($A303="","",VLOOKUP($A302,Table,MATCH(G$4,Curves,0)))</f>
        <v/>
      </c>
      <c r="H302" s="201" t="str">
        <f aca="false">IF(A303="","",G302)</f>
        <v/>
      </c>
      <c r="I302" s="202"/>
      <c r="J302" s="200" t="str">
        <f aca="false">IF($A303="","",VLOOKUP($A302,Table,MATCH(J$4,Curves,0)))</f>
        <v/>
      </c>
      <c r="K302" s="201" t="str">
        <f aca="false">IF(A303="","",J302)</f>
        <v/>
      </c>
      <c r="L302" s="200" t="str">
        <f aca="false">IF($A303="","",VLOOKUP($A302,Table,MATCH(L$4,Curves,0)))</f>
        <v/>
      </c>
      <c r="M302" s="201" t="str">
        <f aca="false">IF(A303="","",L302)</f>
        <v/>
      </c>
      <c r="N302" s="203"/>
      <c r="O302" s="200" t="str">
        <f aca="false">IF(A303="","",L302+J302+G302)</f>
        <v/>
      </c>
      <c r="P302" s="200" t="str">
        <f aca="false">IF(A303="","",M302+K302+H302)</f>
        <v/>
      </c>
      <c r="Q302" s="204"/>
      <c r="R302" s="200" t="str">
        <f aca="false">IF($A303="","",VLOOKUP($A302,Table,MATCH(R$4,Curves,0)))</f>
        <v/>
      </c>
      <c r="S302" s="201" t="str">
        <f aca="false">IF(A303="","",R302)</f>
        <v/>
      </c>
      <c r="T302" s="200" t="str">
        <f aca="false">IF($A303="","",VLOOKUP($A302,Table,MATCH(T$4,Curves,0)))</f>
        <v/>
      </c>
      <c r="U302" s="201" t="str">
        <f aca="false">IF(A303="","",T302)</f>
        <v/>
      </c>
      <c r="V302" s="225" t="str">
        <f aca="false">IF($A303="","",IF(AND(MONTH(A302)&gt;3,MONTH(A302)&lt;11),(T302+R302+G302)*(((1/(1-Summary!$T$12))/(1-Summary!$W$12))-1),(T302+R302+G302)*((1/(1-Summary!$U$12))/(1-Summary!$X$12)-1)))</f>
        <v/>
      </c>
      <c r="W302" s="200" t="str">
        <f aca="false">IF($A303="","",(T302+R302+G302+V302))</f>
        <v/>
      </c>
      <c r="X302" s="200" t="str">
        <f aca="false">IF($A303="","",(U302+S302+H302+V302))</f>
        <v/>
      </c>
      <c r="Y302" s="202"/>
      <c r="Z302" s="185" t="str">
        <f aca="false">IF($A303="","",VLOOKUP($A302,Table,MATCH(Z$4,Curves,0)))</f>
        <v/>
      </c>
      <c r="AA302" s="185" t="str">
        <f aca="false">IF($A303="","",VLOOKUP($A302,Table,MATCH(AA$4,Curves,0)))</f>
        <v/>
      </c>
      <c r="AB302" s="185" t="e">
        <f aca="false">SQRT((AA302^2*(A302-$D$3)+Z302^2*(DAY(EOMONTH(A302,0))/2))/AK302)</f>
        <v>#VALUE!</v>
      </c>
      <c r="AC302" s="185" t="str">
        <f aca="false">IF($A303="","",VLOOKUP($A302,Table,MATCH(AC$4,Curves,0)))</f>
        <v/>
      </c>
      <c r="AD302" s="185" t="str">
        <f aca="false">IF($A303="","",VLOOKUP($A302,Table,MATCH(AD$4,Curves,0)))</f>
        <v/>
      </c>
      <c r="AE302" s="185" t="e">
        <f aca="false">SQRT((AD302^2*(A302-$D$3)+AC302^2*(DAY(EOMONTH(A302,0))/2))/AK302)</f>
        <v>#VALUE!</v>
      </c>
      <c r="AF302" s="206" t="e">
        <f aca="false">((Summary!$N$12*(AA302*AD302)*(A302-$D$3))+(Summary!$M$12*Z302*AC302*(AJ302-EOMONTH(EDATE(A302,-1),0))))/(AK302*AB302*AE302)</f>
        <v>#VALUE!</v>
      </c>
      <c r="AG302" s="207" t="str">
        <f aca="false">IF($A303="","",Summary!$Q$12)</f>
        <v/>
      </c>
      <c r="AH302" s="207" t="str">
        <f aca="false">IF($A303="","",IF(Summary!$R$12="Y",(VLOOKUP($A302,Summary!$AD$6:$AF$9,3)+'Escalating commodity'!H315),'Escalating commodity'!H315))</f>
        <v/>
      </c>
      <c r="AI302" s="207" t="str">
        <f aca="false">IF($A303="","",AH302)</f>
        <v/>
      </c>
      <c r="AJ302" s="208" t="e">
        <f aca="false">A302+DAY(EOMONTH(A302,0))/2-1</f>
        <v>#VALUE!</v>
      </c>
      <c r="AK302" s="209" t="str">
        <f aca="false">IF($A303="","",$A302-$E$1)</f>
        <v/>
      </c>
      <c r="AL302" s="182" t="str">
        <f aca="false">IF($A303="","",SPRDOPT(P302,X302,AI302,0,AB302,AE302,AF302,AK302,$AJ$2,0))</f>
        <v/>
      </c>
      <c r="AM302" s="211" t="str">
        <f aca="false">IF($A303="","",MAX(0,O302-W302-AI302))</f>
        <v/>
      </c>
      <c r="AN302" s="211" t="str">
        <f aca="false">IF($A303="","",AL302-AM302)</f>
        <v/>
      </c>
      <c r="AO302" s="137" t="str">
        <f aca="false">IF(A303="","",A303-A302)</f>
        <v/>
      </c>
      <c r="AP302" s="212" t="str">
        <f aca="false">IF(A303="","",CHOOSE(F$3,A303+24,A302))</f>
        <v/>
      </c>
      <c r="AQ302" s="209" t="str">
        <f aca="false">IF(A303="","",AP302-$E$1)</f>
        <v/>
      </c>
      <c r="AR302" s="185" t="n">
        <f aca="false">'ANR OK vs ML7'!AR302</f>
        <v>0.1</v>
      </c>
      <c r="AS302" s="213" t="str">
        <f aca="false">IF(A303="","",1/(1+CHOOSE(F$3,(AR303+($I$3/10000))/2,(AR302+($I$3/10000))/2))^(2*AQ302/365.25))</f>
        <v/>
      </c>
      <c r="AT302" s="137" t="str">
        <f aca="false">IF(A303="","",IF(AND(mthbeg&lt;=A302,mthend&gt;=A302),1,0))</f>
        <v/>
      </c>
      <c r="AU302" s="137" t="str">
        <f aca="false">IF(A303="","",AO302*AT302)</f>
        <v/>
      </c>
      <c r="AW302" s="195" t="str">
        <f aca="false">IF($A303="","",AL302*$E302)</f>
        <v/>
      </c>
      <c r="AX302" s="195" t="str">
        <f aca="false">IF($A303="","",AM302*$E302)</f>
        <v/>
      </c>
      <c r="AY302" s="195" t="str">
        <f aca="false">IF($A303="","",AN302*$E302)</f>
        <v/>
      </c>
      <c r="BA302" s="195" t="str">
        <f aca="false">IF($A303="","",F302*Summary!$Q$12)</f>
        <v/>
      </c>
    </row>
    <row r="303" customFormat="false" ht="12" hidden="false" customHeight="true" outlineLevel="0" collapsed="false">
      <c r="A303" s="196" t="str">
        <f aca="false">IF(A302&lt;mthend,EDATE(A302,1),"")</f>
        <v/>
      </c>
      <c r="B303" s="197" t="str">
        <f aca="false">IF(A303&lt;mthend,B302,"")</f>
        <v/>
      </c>
      <c r="C303" s="215"/>
      <c r="D303" s="197" t="str">
        <f aca="false">IF(A304&lt;&gt;"",B303+C303,"")</f>
        <v/>
      </c>
      <c r="E303" s="199" t="str">
        <f aca="false">IF(A304="","",IF(AND(AT303=1,$H$3=1),D303*AO303,IF($H$3=2,D303,"N/A")))</f>
        <v/>
      </c>
      <c r="F303" s="199" t="str">
        <f aca="false">IF(A304="","",E303*AS303)</f>
        <v/>
      </c>
      <c r="G303" s="200" t="str">
        <f aca="false">IF($A304="","",VLOOKUP($A303,Table,MATCH(G$4,Curves,0)))</f>
        <v/>
      </c>
      <c r="H303" s="201" t="str">
        <f aca="false">IF(A304="","",G303)</f>
        <v/>
      </c>
      <c r="I303" s="202"/>
      <c r="J303" s="200" t="str">
        <f aca="false">IF($A304="","",VLOOKUP($A303,Table,MATCH(J$4,Curves,0)))</f>
        <v/>
      </c>
      <c r="K303" s="201" t="str">
        <f aca="false">IF(A304="","",J303)</f>
        <v/>
      </c>
      <c r="L303" s="200" t="str">
        <f aca="false">IF($A304="","",VLOOKUP($A303,Table,MATCH(L$4,Curves,0)))</f>
        <v/>
      </c>
      <c r="M303" s="201" t="str">
        <f aca="false">IF(A304="","",L303)</f>
        <v/>
      </c>
      <c r="N303" s="203"/>
      <c r="O303" s="200" t="str">
        <f aca="false">IF(A304="","",L303+J303+G303)</f>
        <v/>
      </c>
      <c r="P303" s="200" t="str">
        <f aca="false">IF(A304="","",M303+K303+H303)</f>
        <v/>
      </c>
      <c r="Q303" s="204"/>
      <c r="R303" s="200" t="str">
        <f aca="false">IF($A304="","",VLOOKUP($A303,Table,MATCH(R$4,Curves,0)))</f>
        <v/>
      </c>
      <c r="S303" s="201" t="str">
        <f aca="false">IF(A304="","",R303)</f>
        <v/>
      </c>
      <c r="T303" s="200" t="str">
        <f aca="false">IF($A304="","",VLOOKUP($A303,Table,MATCH(T$4,Curves,0)))</f>
        <v/>
      </c>
      <c r="U303" s="201" t="str">
        <f aca="false">IF(A304="","",T303)</f>
        <v/>
      </c>
      <c r="V303" s="225" t="str">
        <f aca="false">IF($A304="","",IF(AND(MONTH(A303)&gt;3,MONTH(A303)&lt;11),(T303+R303+G303)*(((1/(1-Summary!$T$12))/(1-Summary!$W$12))-1),(T303+R303+G303)*((1/(1-Summary!$U$12))/(1-Summary!$X$12)-1)))</f>
        <v/>
      </c>
      <c r="W303" s="200" t="str">
        <f aca="false">IF($A304="","",(T303+R303+G303+V303))</f>
        <v/>
      </c>
      <c r="X303" s="200" t="str">
        <f aca="false">IF($A304="","",(U303+S303+H303+V303))</f>
        <v/>
      </c>
      <c r="Y303" s="202"/>
      <c r="Z303" s="185" t="str">
        <f aca="false">IF($A304="","",VLOOKUP($A303,Table,MATCH(Z$4,Curves,0)))</f>
        <v/>
      </c>
      <c r="AA303" s="185" t="str">
        <f aca="false">IF($A304="","",VLOOKUP($A303,Table,MATCH(AA$4,Curves,0)))</f>
        <v/>
      </c>
      <c r="AB303" s="185" t="e">
        <f aca="false">SQRT((AA303^2*(A303-$D$3)+Z303^2*(DAY(EOMONTH(A303,0))/2))/AK303)</f>
        <v>#VALUE!</v>
      </c>
      <c r="AC303" s="185" t="str">
        <f aca="false">IF($A304="","",VLOOKUP($A303,Table,MATCH(AC$4,Curves,0)))</f>
        <v/>
      </c>
      <c r="AD303" s="185" t="str">
        <f aca="false">IF($A304="","",VLOOKUP($A303,Table,MATCH(AD$4,Curves,0)))</f>
        <v/>
      </c>
      <c r="AE303" s="185" t="e">
        <f aca="false">SQRT((AD303^2*(A303-$D$3)+AC303^2*(DAY(EOMONTH(A303,0))/2))/AK303)</f>
        <v>#VALUE!</v>
      </c>
      <c r="AF303" s="206" t="e">
        <f aca="false">((Summary!$N$12*(AA303*AD303)*(A303-$D$3))+(Summary!$M$12*Z303*AC303*(AJ303-EOMONTH(EDATE(A303,-1),0))))/(AK303*AB303*AE303)</f>
        <v>#VALUE!</v>
      </c>
      <c r="AG303" s="207" t="str">
        <f aca="false">IF($A304="","",Summary!$Q$12)</f>
        <v/>
      </c>
      <c r="AH303" s="207" t="str">
        <f aca="false">IF($A304="","",IF(Summary!$R$12="Y",(VLOOKUP($A303,Summary!$AD$6:$AF$9,3)+'Escalating commodity'!H316),'Escalating commodity'!H316))</f>
        <v/>
      </c>
      <c r="AI303" s="207" t="str">
        <f aca="false">IF($A304="","",AH303)</f>
        <v/>
      </c>
      <c r="AJ303" s="208" t="e">
        <f aca="false">A303+DAY(EOMONTH(A303,0))/2-1</f>
        <v>#VALUE!</v>
      </c>
      <c r="AK303" s="209" t="str">
        <f aca="false">IF($A304="","",$A303-$E$1)</f>
        <v/>
      </c>
      <c r="AL303" s="182" t="str">
        <f aca="false">IF($A304="","",SPRDOPT(P303,X303,AI303,0,AB303,AE303,AF303,AK303,$AJ$2,0))</f>
        <v/>
      </c>
      <c r="AM303" s="211" t="str">
        <f aca="false">IF($A304="","",MAX(0,O303-W303-AI303))</f>
        <v/>
      </c>
      <c r="AN303" s="211" t="str">
        <f aca="false">IF($A304="","",AL303-AM303)</f>
        <v/>
      </c>
      <c r="AO303" s="137" t="str">
        <f aca="false">IF(A304="","",A304-A303)</f>
        <v/>
      </c>
      <c r="AP303" s="212" t="str">
        <f aca="false">IF(A304="","",CHOOSE(F$3,A304+24,A303))</f>
        <v/>
      </c>
      <c r="AQ303" s="209" t="str">
        <f aca="false">IF(A304="","",AP303-$E$1)</f>
        <v/>
      </c>
      <c r="AR303" s="185" t="n">
        <f aca="false">'ANR OK vs ML7'!AR303</f>
        <v>0.1</v>
      </c>
      <c r="AS303" s="213" t="str">
        <f aca="false">IF(A304="","",1/(1+CHOOSE(F$3,(AR304+($I$3/10000))/2,(AR303+($I$3/10000))/2))^(2*AQ303/365.25))</f>
        <v/>
      </c>
      <c r="AT303" s="137" t="str">
        <f aca="false">IF(A304="","",IF(AND(mthbeg&lt;=A303,mthend&gt;=A303),1,0))</f>
        <v/>
      </c>
      <c r="AU303" s="137" t="str">
        <f aca="false">IF(A304="","",AO303*AT303)</f>
        <v/>
      </c>
      <c r="AW303" s="195" t="str">
        <f aca="false">IF($A304="","",AL303*$E303)</f>
        <v/>
      </c>
      <c r="AX303" s="195" t="str">
        <f aca="false">IF($A304="","",AM303*$E303)</f>
        <v/>
      </c>
      <c r="AY303" s="195" t="str">
        <f aca="false">IF($A304="","",AN303*$E303)</f>
        <v/>
      </c>
      <c r="BA303" s="195" t="str">
        <f aca="false">IF($A304="","",F303*Summary!$Q$12)</f>
        <v/>
      </c>
    </row>
    <row r="304" customFormat="false" ht="12" hidden="false" customHeight="true" outlineLevel="0" collapsed="false">
      <c r="A304" s="196" t="str">
        <f aca="false">IF(A303&lt;mthend,EDATE(A303,1),"")</f>
        <v/>
      </c>
      <c r="B304" s="197" t="str">
        <f aca="false">IF(A304&lt;mthend,B303,"")</f>
        <v/>
      </c>
      <c r="C304" s="215"/>
      <c r="D304" s="197" t="str">
        <f aca="false">IF(A305&lt;&gt;"",B304+C304,"")</f>
        <v/>
      </c>
      <c r="E304" s="199" t="str">
        <f aca="false">IF(A305="","",IF(AND(AT304=1,$H$3=1),D304*AO304,IF($H$3=2,D304,"N/A")))</f>
        <v/>
      </c>
      <c r="F304" s="199" t="str">
        <f aca="false">IF(A305="","",E304*AS304)</f>
        <v/>
      </c>
      <c r="G304" s="200" t="str">
        <f aca="false">IF($A305="","",VLOOKUP($A304,Table,MATCH(G$4,Curves,0)))</f>
        <v/>
      </c>
      <c r="H304" s="201" t="str">
        <f aca="false">IF(A305="","",G304)</f>
        <v/>
      </c>
      <c r="I304" s="202"/>
      <c r="J304" s="200" t="str">
        <f aca="false">IF($A305="","",VLOOKUP($A304,Table,MATCH(J$4,Curves,0)))</f>
        <v/>
      </c>
      <c r="K304" s="201" t="str">
        <f aca="false">IF(A305="","",J304)</f>
        <v/>
      </c>
      <c r="L304" s="200" t="str">
        <f aca="false">IF($A305="","",VLOOKUP($A304,Table,MATCH(L$4,Curves,0)))</f>
        <v/>
      </c>
      <c r="M304" s="201" t="str">
        <f aca="false">IF(A305="","",L304)</f>
        <v/>
      </c>
      <c r="N304" s="203"/>
      <c r="O304" s="200" t="str">
        <f aca="false">IF(A305="","",L304+J304+G304)</f>
        <v/>
      </c>
      <c r="P304" s="200" t="str">
        <f aca="false">IF(A305="","",M304+K304+H304)</f>
        <v/>
      </c>
      <c r="Q304" s="204"/>
      <c r="R304" s="200" t="str">
        <f aca="false">IF($A305="","",VLOOKUP($A304,Table,MATCH(R$4,Curves,0)))</f>
        <v/>
      </c>
      <c r="S304" s="201" t="str">
        <f aca="false">IF(A305="","",R304)</f>
        <v/>
      </c>
      <c r="T304" s="200" t="str">
        <f aca="false">IF($A305="","",VLOOKUP($A304,Table,MATCH(T$4,Curves,0)))</f>
        <v/>
      </c>
      <c r="U304" s="201" t="str">
        <f aca="false">IF(A305="","",T304)</f>
        <v/>
      </c>
      <c r="V304" s="225" t="str">
        <f aca="false">IF($A305="","",IF(AND(MONTH(A304)&gt;3,MONTH(A304)&lt;11),(T304+R304+G304)*(((1/(1-Summary!$T$12))/(1-Summary!$W$12))-1),(T304+R304+G304)*((1/(1-Summary!$U$12))/(1-Summary!$X$12)-1)))</f>
        <v/>
      </c>
      <c r="W304" s="200" t="str">
        <f aca="false">IF($A305="","",(T304+R304+G304+V304))</f>
        <v/>
      </c>
      <c r="X304" s="200" t="str">
        <f aca="false">IF($A305="","",(U304+S304+H304+V304))</f>
        <v/>
      </c>
      <c r="Y304" s="202"/>
      <c r="Z304" s="185" t="str">
        <f aca="false">IF($A305="","",VLOOKUP($A304,Table,MATCH(Z$4,Curves,0)))</f>
        <v/>
      </c>
      <c r="AA304" s="185" t="str">
        <f aca="false">IF($A305="","",VLOOKUP($A304,Table,MATCH(AA$4,Curves,0)))</f>
        <v/>
      </c>
      <c r="AB304" s="185" t="e">
        <f aca="false">SQRT((AA304^2*(A304-$D$3)+Z304^2*(DAY(EOMONTH(A304,0))/2))/AK304)</f>
        <v>#VALUE!</v>
      </c>
      <c r="AC304" s="185" t="str">
        <f aca="false">IF($A305="","",VLOOKUP($A304,Table,MATCH(AC$4,Curves,0)))</f>
        <v/>
      </c>
      <c r="AD304" s="185" t="str">
        <f aca="false">IF($A305="","",VLOOKUP($A304,Table,MATCH(AD$4,Curves,0)))</f>
        <v/>
      </c>
      <c r="AE304" s="185" t="e">
        <f aca="false">SQRT((AD304^2*(A304-$D$3)+AC304^2*(DAY(EOMONTH(A304,0))/2))/AK304)</f>
        <v>#VALUE!</v>
      </c>
      <c r="AF304" s="206" t="e">
        <f aca="false">((Summary!$N$12*(AA304*AD304)*(A304-$D$3))+(Summary!$M$12*Z304*AC304*(AJ304-EOMONTH(EDATE(A304,-1),0))))/(AK304*AB304*AE304)</f>
        <v>#VALUE!</v>
      </c>
      <c r="AG304" s="207" t="str">
        <f aca="false">IF($A305="","",Summary!$Q$12)</f>
        <v/>
      </c>
      <c r="AH304" s="207" t="str">
        <f aca="false">IF($A305="","",IF(Summary!$R$12="Y",(VLOOKUP($A304,Summary!$AD$6:$AF$9,3)+'Escalating commodity'!H317),'Escalating commodity'!H317))</f>
        <v/>
      </c>
      <c r="AI304" s="207" t="str">
        <f aca="false">IF($A305="","",AH304)</f>
        <v/>
      </c>
      <c r="AJ304" s="208" t="e">
        <f aca="false">A304+DAY(EOMONTH(A304,0))/2-1</f>
        <v>#VALUE!</v>
      </c>
      <c r="AK304" s="209" t="str">
        <f aca="false">IF($A305="","",$A304-$E$1)</f>
        <v/>
      </c>
      <c r="AL304" s="182" t="str">
        <f aca="false">IF($A305="","",SPRDOPT(P304,X304,AI304,0,AB304,AE304,AF304,AK304,$AJ$2,0))</f>
        <v/>
      </c>
      <c r="AM304" s="211" t="str">
        <f aca="false">IF($A305="","",MAX(0,O304-W304-AI304))</f>
        <v/>
      </c>
      <c r="AN304" s="211" t="str">
        <f aca="false">IF($A305="","",AL304-AM304)</f>
        <v/>
      </c>
      <c r="AO304" s="137" t="str">
        <f aca="false">IF(A305="","",A305-A304)</f>
        <v/>
      </c>
      <c r="AP304" s="212" t="str">
        <f aca="false">IF(A305="","",CHOOSE(F$3,A305+24,A304))</f>
        <v/>
      </c>
      <c r="AQ304" s="209" t="str">
        <f aca="false">IF(A305="","",AP304-$E$1)</f>
        <v/>
      </c>
      <c r="AR304" s="185" t="n">
        <f aca="false">'ANR OK vs ML7'!AR304</f>
        <v>0.1</v>
      </c>
      <c r="AS304" s="213" t="str">
        <f aca="false">IF(A305="","",1/(1+CHOOSE(F$3,(AR305+($I$3/10000))/2,(AR304+($I$3/10000))/2))^(2*AQ304/365.25))</f>
        <v/>
      </c>
      <c r="AT304" s="137" t="str">
        <f aca="false">IF(A305="","",IF(AND(mthbeg&lt;=A304,mthend&gt;=A304),1,0))</f>
        <v/>
      </c>
      <c r="AU304" s="137" t="str">
        <f aca="false">IF(A305="","",AO304*AT304)</f>
        <v/>
      </c>
      <c r="AW304" s="195" t="str">
        <f aca="false">IF($A305="","",AL304*$E304)</f>
        <v/>
      </c>
      <c r="AX304" s="195" t="str">
        <f aca="false">IF($A305="","",AM304*$E304)</f>
        <v/>
      </c>
      <c r="AY304" s="195" t="str">
        <f aca="false">IF($A305="","",AN304*$E304)</f>
        <v/>
      </c>
      <c r="BA304" s="195" t="str">
        <f aca="false">IF($A305="","",F304*Summary!$Q$12)</f>
        <v/>
      </c>
    </row>
    <row r="305" customFormat="false" ht="12" hidden="false" customHeight="true" outlineLevel="0" collapsed="false">
      <c r="A305" s="196" t="str">
        <f aca="false">IF(A304&lt;mthend,EDATE(A304,1),"")</f>
        <v/>
      </c>
      <c r="B305" s="197" t="str">
        <f aca="false">IF(A305&lt;mthend,B304,"")</f>
        <v/>
      </c>
      <c r="C305" s="215"/>
      <c r="D305" s="197" t="str">
        <f aca="false">IF(A306&lt;&gt;"",B305+C305,"")</f>
        <v/>
      </c>
      <c r="E305" s="199" t="str">
        <f aca="false">IF(A306="","",IF(AND(AT305=1,$H$3=1),D305*AO305,IF($H$3=2,D305,"N/A")))</f>
        <v/>
      </c>
      <c r="F305" s="199" t="str">
        <f aca="false">IF(A306="","",E305*AS305)</f>
        <v/>
      </c>
      <c r="G305" s="200" t="str">
        <f aca="false">IF($A306="","",VLOOKUP($A305,Table,MATCH(G$4,Curves,0)))</f>
        <v/>
      </c>
      <c r="H305" s="201" t="str">
        <f aca="false">IF(A306="","",G305)</f>
        <v/>
      </c>
      <c r="I305" s="202"/>
      <c r="J305" s="200" t="str">
        <f aca="false">IF($A306="","",VLOOKUP($A305,Table,MATCH(J$4,Curves,0)))</f>
        <v/>
      </c>
      <c r="K305" s="201" t="str">
        <f aca="false">IF(A306="","",J305)</f>
        <v/>
      </c>
      <c r="L305" s="200" t="str">
        <f aca="false">IF($A306="","",VLOOKUP($A305,Table,MATCH(L$4,Curves,0)))</f>
        <v/>
      </c>
      <c r="M305" s="201" t="str">
        <f aca="false">IF(A306="","",L305)</f>
        <v/>
      </c>
      <c r="N305" s="203"/>
      <c r="O305" s="200" t="str">
        <f aca="false">IF(A306="","",L305+J305+G305)</f>
        <v/>
      </c>
      <c r="P305" s="200" t="str">
        <f aca="false">IF(A306="","",M305+K305+H305)</f>
        <v/>
      </c>
      <c r="Q305" s="204"/>
      <c r="R305" s="200" t="str">
        <f aca="false">IF($A306="","",VLOOKUP($A305,Table,MATCH(R$4,Curves,0)))</f>
        <v/>
      </c>
      <c r="S305" s="201" t="str">
        <f aca="false">IF(A306="","",R305)</f>
        <v/>
      </c>
      <c r="T305" s="200" t="str">
        <f aca="false">IF($A306="","",VLOOKUP($A305,Table,MATCH(T$4,Curves,0)))</f>
        <v/>
      </c>
      <c r="U305" s="201" t="str">
        <f aca="false">IF(A306="","",T305)</f>
        <v/>
      </c>
      <c r="V305" s="225" t="str">
        <f aca="false">IF($A306="","",IF(AND(MONTH(A305)&gt;3,MONTH(A305)&lt;11),(T305+R305+G305)*(((1/(1-Summary!$T$12))/(1-Summary!$W$12))-1),(T305+R305+G305)*((1/(1-Summary!$U$12))/(1-Summary!$X$12)-1)))</f>
        <v/>
      </c>
      <c r="W305" s="200" t="str">
        <f aca="false">IF($A306="","",(T305+R305+G305+V305))</f>
        <v/>
      </c>
      <c r="X305" s="200" t="str">
        <f aca="false">IF($A306="","",(U305+S305+H305+V305))</f>
        <v/>
      </c>
      <c r="Y305" s="202"/>
      <c r="Z305" s="185" t="str">
        <f aca="false">IF($A306="","",VLOOKUP($A305,Table,MATCH(Z$4,Curves,0)))</f>
        <v/>
      </c>
      <c r="AA305" s="185" t="str">
        <f aca="false">IF($A306="","",VLOOKUP($A305,Table,MATCH(AA$4,Curves,0)))</f>
        <v/>
      </c>
      <c r="AB305" s="185" t="e">
        <f aca="false">SQRT((AA305^2*(A305-$D$3)+Z305^2*(DAY(EOMONTH(A305,0))/2))/AK305)</f>
        <v>#VALUE!</v>
      </c>
      <c r="AC305" s="185" t="str">
        <f aca="false">IF($A306="","",VLOOKUP($A305,Table,MATCH(AC$4,Curves,0)))</f>
        <v/>
      </c>
      <c r="AD305" s="185" t="str">
        <f aca="false">IF($A306="","",VLOOKUP($A305,Table,MATCH(AD$4,Curves,0)))</f>
        <v/>
      </c>
      <c r="AE305" s="185" t="e">
        <f aca="false">SQRT((AD305^2*(A305-$D$3)+AC305^2*(DAY(EOMONTH(A305,0))/2))/AK305)</f>
        <v>#VALUE!</v>
      </c>
      <c r="AF305" s="206" t="e">
        <f aca="false">((Summary!$N$12*(AA305*AD305)*(A305-$D$3))+(Summary!$M$12*Z305*AC305*(AJ305-EOMONTH(EDATE(A305,-1),0))))/(AK305*AB305*AE305)</f>
        <v>#VALUE!</v>
      </c>
      <c r="AG305" s="207" t="str">
        <f aca="false">IF($A306="","",Summary!$Q$12)</f>
        <v/>
      </c>
      <c r="AH305" s="207" t="str">
        <f aca="false">IF($A306="","",IF(Summary!$R$12="Y",(VLOOKUP($A305,Summary!$AD$6:$AF$9,3)+'Escalating commodity'!H318),'Escalating commodity'!H318))</f>
        <v/>
      </c>
      <c r="AI305" s="207" t="str">
        <f aca="false">IF($A306="","",AH305)</f>
        <v/>
      </c>
      <c r="AJ305" s="208" t="e">
        <f aca="false">A305+DAY(EOMONTH(A305,0))/2-1</f>
        <v>#VALUE!</v>
      </c>
      <c r="AK305" s="209" t="str">
        <f aca="false">IF($A306="","",$A305-$E$1)</f>
        <v/>
      </c>
      <c r="AL305" s="182" t="str">
        <f aca="false">IF($A306="","",SPRDOPT(P305,X305,AI305,0,AB305,AE305,AF305,AK305,$AJ$2,0))</f>
        <v/>
      </c>
      <c r="AM305" s="211" t="str">
        <f aca="false">IF($A306="","",MAX(0,O305-W305-AI305))</f>
        <v/>
      </c>
      <c r="AN305" s="211" t="str">
        <f aca="false">IF($A306="","",AL305-AM305)</f>
        <v/>
      </c>
      <c r="AO305" s="137" t="str">
        <f aca="false">IF(A306="","",A306-A305)</f>
        <v/>
      </c>
      <c r="AP305" s="212" t="str">
        <f aca="false">IF(A306="","",CHOOSE(F$3,A306+24,A305))</f>
        <v/>
      </c>
      <c r="AQ305" s="209" t="str">
        <f aca="false">IF(A306="","",AP305-$E$1)</f>
        <v/>
      </c>
      <c r="AR305" s="185" t="n">
        <f aca="false">'ANR OK vs ML7'!AR305</f>
        <v>0.1</v>
      </c>
      <c r="AS305" s="213" t="str">
        <f aca="false">IF(A306="","",1/(1+CHOOSE(F$3,(AR306+($I$3/10000))/2,(AR305+($I$3/10000))/2))^(2*AQ305/365.25))</f>
        <v/>
      </c>
      <c r="AT305" s="137" t="str">
        <f aca="false">IF(A306="","",IF(AND(mthbeg&lt;=A305,mthend&gt;=A305),1,0))</f>
        <v/>
      </c>
      <c r="AU305" s="137" t="str">
        <f aca="false">IF(A306="","",AO305*AT305)</f>
        <v/>
      </c>
      <c r="AW305" s="195" t="str">
        <f aca="false">IF($A306="","",AL305*$E305)</f>
        <v/>
      </c>
      <c r="AX305" s="195" t="str">
        <f aca="false">IF($A306="","",AM305*$E305)</f>
        <v/>
      </c>
      <c r="AY305" s="195" t="str">
        <f aca="false">IF($A306="","",AN305*$E305)</f>
        <v/>
      </c>
      <c r="BA305" s="195" t="str">
        <f aca="false">IF($A306="","",F305*Summary!$Q$12)</f>
        <v/>
      </c>
    </row>
    <row r="306" customFormat="false" ht="12" hidden="false" customHeight="true" outlineLevel="0" collapsed="false">
      <c r="A306" s="196" t="str">
        <f aca="false">IF(A305&lt;mthend,EDATE(A305,1),"")</f>
        <v/>
      </c>
      <c r="B306" s="197" t="str">
        <f aca="false">IF(A306&lt;mthend,B305,"")</f>
        <v/>
      </c>
      <c r="C306" s="215"/>
      <c r="D306" s="197" t="str">
        <f aca="false">IF(A307&lt;&gt;"",B306+C306,"")</f>
        <v/>
      </c>
      <c r="E306" s="199" t="str">
        <f aca="false">IF(A307="","",IF(AND(AT306=1,$H$3=1),D306*AO306,IF($H$3=2,D306,"N/A")))</f>
        <v/>
      </c>
      <c r="F306" s="199" t="str">
        <f aca="false">IF(A307="","",E306*AS306)</f>
        <v/>
      </c>
      <c r="G306" s="200" t="str">
        <f aca="false">IF($A307="","",VLOOKUP($A306,Table,MATCH(G$4,Curves,0)))</f>
        <v/>
      </c>
      <c r="H306" s="201" t="str">
        <f aca="false">IF(A307="","",G306)</f>
        <v/>
      </c>
      <c r="I306" s="202"/>
      <c r="J306" s="200" t="str">
        <f aca="false">IF($A307="","",VLOOKUP($A306,Table,MATCH(J$4,Curves,0)))</f>
        <v/>
      </c>
      <c r="K306" s="201" t="str">
        <f aca="false">IF(A307="","",J306)</f>
        <v/>
      </c>
      <c r="L306" s="200" t="str">
        <f aca="false">IF($A307="","",VLOOKUP($A306,Table,MATCH(L$4,Curves,0)))</f>
        <v/>
      </c>
      <c r="M306" s="201" t="str">
        <f aca="false">IF(A307="","",L306)</f>
        <v/>
      </c>
      <c r="N306" s="203"/>
      <c r="O306" s="200" t="str">
        <f aca="false">IF(A307="","",L306+J306+G306)</f>
        <v/>
      </c>
      <c r="P306" s="200" t="str">
        <f aca="false">IF(A307="","",M306+K306+H306)</f>
        <v/>
      </c>
      <c r="Q306" s="204"/>
      <c r="R306" s="200" t="str">
        <f aca="false">IF($A307="","",VLOOKUP($A306,Table,MATCH(R$4,Curves,0)))</f>
        <v/>
      </c>
      <c r="S306" s="201" t="str">
        <f aca="false">IF(A307="","",R306)</f>
        <v/>
      </c>
      <c r="T306" s="200" t="str">
        <f aca="false">IF($A307="","",VLOOKUP($A306,Table,MATCH(T$4,Curves,0)))</f>
        <v/>
      </c>
      <c r="U306" s="201" t="str">
        <f aca="false">IF(A307="","",T306)</f>
        <v/>
      </c>
      <c r="V306" s="225" t="str">
        <f aca="false">IF($A307="","",IF(AND(MONTH(A306)&gt;3,MONTH(A306)&lt;11),(T306+R306+G306)*(((1/(1-Summary!$T$12))/(1-Summary!$W$12))-1),(T306+R306+G306)*((1/(1-Summary!$U$12))/(1-Summary!$X$12)-1)))</f>
        <v/>
      </c>
      <c r="W306" s="200" t="str">
        <f aca="false">IF($A307="","",(T306+R306+G306+V306))</f>
        <v/>
      </c>
      <c r="X306" s="200" t="str">
        <f aca="false">IF($A307="","",(U306+S306+H306+V306))</f>
        <v/>
      </c>
      <c r="Y306" s="202"/>
      <c r="Z306" s="185" t="str">
        <f aca="false">IF($A307="","",VLOOKUP($A306,Table,MATCH(Z$4,Curves,0)))</f>
        <v/>
      </c>
      <c r="AA306" s="185" t="str">
        <f aca="false">IF($A307="","",VLOOKUP($A306,Table,MATCH(AA$4,Curves,0)))</f>
        <v/>
      </c>
      <c r="AB306" s="185" t="e">
        <f aca="false">SQRT((AA306^2*(A306-$D$3)+Z306^2*(DAY(EOMONTH(A306,0))/2))/AK306)</f>
        <v>#VALUE!</v>
      </c>
      <c r="AC306" s="185" t="str">
        <f aca="false">IF($A307="","",VLOOKUP($A306,Table,MATCH(AC$4,Curves,0)))</f>
        <v/>
      </c>
      <c r="AD306" s="185" t="str">
        <f aca="false">IF($A307="","",VLOOKUP($A306,Table,MATCH(AD$4,Curves,0)))</f>
        <v/>
      </c>
      <c r="AE306" s="185" t="e">
        <f aca="false">SQRT((AD306^2*(A306-$D$3)+AC306^2*(DAY(EOMONTH(A306,0))/2))/AK306)</f>
        <v>#VALUE!</v>
      </c>
      <c r="AF306" s="206" t="e">
        <f aca="false">((Summary!$N$12*(AA306*AD306)*(A306-$D$3))+(Summary!$M$12*Z306*AC306*(AJ306-EOMONTH(EDATE(A306,-1),0))))/(AK306*AB306*AE306)</f>
        <v>#VALUE!</v>
      </c>
      <c r="AG306" s="207" t="str">
        <f aca="false">IF($A307="","",Summary!$Q$12)</f>
        <v/>
      </c>
      <c r="AH306" s="207" t="str">
        <f aca="false">IF($A307="","",IF(Summary!$R$12="Y",(VLOOKUP($A306,Summary!$AD$6:$AF$9,3)+'Escalating commodity'!H319),'Escalating commodity'!H319))</f>
        <v/>
      </c>
      <c r="AI306" s="207" t="str">
        <f aca="false">IF($A307="","",AH306)</f>
        <v/>
      </c>
      <c r="AJ306" s="208" t="e">
        <f aca="false">A306+DAY(EOMONTH(A306,0))/2-1</f>
        <v>#VALUE!</v>
      </c>
      <c r="AK306" s="209" t="str">
        <f aca="false">IF($A307="","",$A306-$E$1)</f>
        <v/>
      </c>
      <c r="AL306" s="182" t="str">
        <f aca="false">IF($A307="","",SPRDOPT(P306,X306,AI306,0,AB306,AE306,AF306,AK306,$AJ$2,0))</f>
        <v/>
      </c>
      <c r="AM306" s="211" t="str">
        <f aca="false">IF($A307="","",MAX(0,O306-W306-AI306))</f>
        <v/>
      </c>
      <c r="AN306" s="211" t="str">
        <f aca="false">IF($A307="","",AL306-AM306)</f>
        <v/>
      </c>
      <c r="AO306" s="137" t="str">
        <f aca="false">IF(A307="","",A307-A306)</f>
        <v/>
      </c>
      <c r="AP306" s="212" t="str">
        <f aca="false">IF(A307="","",CHOOSE(F$3,A307+24,A306))</f>
        <v/>
      </c>
      <c r="AQ306" s="209" t="str">
        <f aca="false">IF(A307="","",AP306-$E$1)</f>
        <v/>
      </c>
      <c r="AR306" s="185" t="n">
        <f aca="false">'ANR OK vs ML7'!AR306</f>
        <v>0.1</v>
      </c>
      <c r="AS306" s="213" t="str">
        <f aca="false">IF(A307="","",1/(1+CHOOSE(F$3,(AR307+($I$3/10000))/2,(AR306+($I$3/10000))/2))^(2*AQ306/365.25))</f>
        <v/>
      </c>
      <c r="AT306" s="137" t="str">
        <f aca="false">IF(A307="","",IF(AND(mthbeg&lt;=A306,mthend&gt;=A306),1,0))</f>
        <v/>
      </c>
      <c r="AU306" s="137" t="str">
        <f aca="false">IF(A307="","",AO306*AT306)</f>
        <v/>
      </c>
      <c r="AW306" s="195" t="str">
        <f aca="false">IF($A307="","",AL306*$E306)</f>
        <v/>
      </c>
      <c r="AX306" s="195" t="str">
        <f aca="false">IF($A307="","",AM306*$E306)</f>
        <v/>
      </c>
      <c r="AY306" s="195" t="str">
        <f aca="false">IF($A307="","",AN306*$E306)</f>
        <v/>
      </c>
      <c r="BA306" s="195" t="str">
        <f aca="false">IF($A307="","",F306*Summary!$Q$12)</f>
        <v/>
      </c>
    </row>
    <row r="307" customFormat="false" ht="12" hidden="false" customHeight="true" outlineLevel="0" collapsed="false">
      <c r="A307" s="196" t="str">
        <f aca="false">IF(A306&lt;mthend,EDATE(A306,1),"")</f>
        <v/>
      </c>
      <c r="B307" s="197" t="str">
        <f aca="false">IF(A307&lt;mthend,B306,"")</f>
        <v/>
      </c>
      <c r="C307" s="215"/>
      <c r="D307" s="197" t="str">
        <f aca="false">IF(A308&lt;&gt;"",B307+C307,"")</f>
        <v/>
      </c>
      <c r="E307" s="199" t="str">
        <f aca="false">IF(A308="","",IF(AND(AT307=1,$H$3=1),D307*AO307,IF($H$3=2,D307,"N/A")))</f>
        <v/>
      </c>
      <c r="F307" s="199" t="str">
        <f aca="false">IF(A308="","",E307*AS307)</f>
        <v/>
      </c>
      <c r="G307" s="200" t="str">
        <f aca="false">IF($A308="","",VLOOKUP($A307,Table,MATCH(G$4,Curves,0)))</f>
        <v/>
      </c>
      <c r="H307" s="201" t="str">
        <f aca="false">IF(A308="","",G307)</f>
        <v/>
      </c>
      <c r="I307" s="202"/>
      <c r="J307" s="200" t="str">
        <f aca="false">IF($A308="","",VLOOKUP($A307,Table,MATCH(J$4,Curves,0)))</f>
        <v/>
      </c>
      <c r="K307" s="201" t="str">
        <f aca="false">IF(A308="","",J307)</f>
        <v/>
      </c>
      <c r="L307" s="200" t="str">
        <f aca="false">IF($A308="","",VLOOKUP($A307,Table,MATCH(L$4,Curves,0)))</f>
        <v/>
      </c>
      <c r="M307" s="201" t="str">
        <f aca="false">IF(A308="","",L307)</f>
        <v/>
      </c>
      <c r="N307" s="203"/>
      <c r="O307" s="200" t="str">
        <f aca="false">IF(A308="","",L307+J307+G307)</f>
        <v/>
      </c>
      <c r="P307" s="200" t="str">
        <f aca="false">IF(A308="","",M307+K307+H307)</f>
        <v/>
      </c>
      <c r="Q307" s="204"/>
      <c r="R307" s="200" t="str">
        <f aca="false">IF($A308="","",VLOOKUP($A307,Table,MATCH(R$4,Curves,0)))</f>
        <v/>
      </c>
      <c r="S307" s="201" t="str">
        <f aca="false">IF(A308="","",R307)</f>
        <v/>
      </c>
      <c r="T307" s="200" t="str">
        <f aca="false">IF($A308="","",VLOOKUP($A307,Table,MATCH(T$4,Curves,0)))</f>
        <v/>
      </c>
      <c r="U307" s="201" t="str">
        <f aca="false">IF(A308="","",T307)</f>
        <v/>
      </c>
      <c r="V307" s="225" t="str">
        <f aca="false">IF($A308="","",IF(AND(MONTH(A307)&gt;3,MONTH(A307)&lt;11),(T307+R307+G307)*(((1/(1-Summary!$T$12))/(1-Summary!$W$12))-1),(T307+R307+G307)*((1/(1-Summary!$U$12))/(1-Summary!$X$12)-1)))</f>
        <v/>
      </c>
      <c r="W307" s="200" t="str">
        <f aca="false">IF($A308="","",(T307+R307+G307+V307))</f>
        <v/>
      </c>
      <c r="X307" s="200" t="str">
        <f aca="false">IF($A308="","",(U307+S307+H307+V307))</f>
        <v/>
      </c>
      <c r="Y307" s="202"/>
      <c r="Z307" s="185" t="str">
        <f aca="false">IF($A308="","",VLOOKUP($A307,Table,MATCH(Z$4,Curves,0)))</f>
        <v/>
      </c>
      <c r="AA307" s="185" t="str">
        <f aca="false">IF($A308="","",VLOOKUP($A307,Table,MATCH(AA$4,Curves,0)))</f>
        <v/>
      </c>
      <c r="AB307" s="185" t="e">
        <f aca="false">SQRT((AA307^2*(A307-$D$3)+Z307^2*(DAY(EOMONTH(A307,0))/2))/AK307)</f>
        <v>#VALUE!</v>
      </c>
      <c r="AC307" s="185" t="str">
        <f aca="false">IF($A308="","",VLOOKUP($A307,Table,MATCH(AC$4,Curves,0)))</f>
        <v/>
      </c>
      <c r="AD307" s="185" t="str">
        <f aca="false">IF($A308="","",VLOOKUP($A307,Table,MATCH(AD$4,Curves,0)))</f>
        <v/>
      </c>
      <c r="AE307" s="185" t="e">
        <f aca="false">SQRT((AD307^2*(A307-$D$3)+AC307^2*(DAY(EOMONTH(A307,0))/2))/AK307)</f>
        <v>#VALUE!</v>
      </c>
      <c r="AF307" s="206" t="e">
        <f aca="false">((Summary!$N$12*(AA307*AD307)*(A307-$D$3))+(Summary!$M$12*Z307*AC307*(AJ307-EOMONTH(EDATE(A307,-1),0))))/(AK307*AB307*AE307)</f>
        <v>#VALUE!</v>
      </c>
      <c r="AG307" s="207" t="str">
        <f aca="false">IF($A308="","",Summary!$Q$12)</f>
        <v/>
      </c>
      <c r="AH307" s="207" t="str">
        <f aca="false">IF($A308="","",IF(Summary!$R$12="Y",(VLOOKUP($A307,Summary!$AD$6:$AF$9,3)+'Escalating commodity'!H320),'Escalating commodity'!H320))</f>
        <v/>
      </c>
      <c r="AI307" s="207" t="str">
        <f aca="false">IF($A308="","",AH307)</f>
        <v/>
      </c>
      <c r="AJ307" s="208" t="e">
        <f aca="false">A307+DAY(EOMONTH(A307,0))/2-1</f>
        <v>#VALUE!</v>
      </c>
      <c r="AK307" s="209" t="str">
        <f aca="false">IF($A308="","",$A307-$E$1)</f>
        <v/>
      </c>
      <c r="AL307" s="182" t="str">
        <f aca="false">IF($A308="","",SPRDOPT(P307,X307,AI307,0,AB307,AE307,AF307,AK307,$AJ$2,0))</f>
        <v/>
      </c>
      <c r="AM307" s="211" t="str">
        <f aca="false">IF($A308="","",MAX(0,O307-W307-AI307))</f>
        <v/>
      </c>
      <c r="AN307" s="211" t="str">
        <f aca="false">IF($A308="","",AL307-AM307)</f>
        <v/>
      </c>
      <c r="AO307" s="137" t="str">
        <f aca="false">IF(A308="","",A308-A307)</f>
        <v/>
      </c>
      <c r="AP307" s="212" t="str">
        <f aca="false">IF(A308="","",CHOOSE(F$3,A308+24,A307))</f>
        <v/>
      </c>
      <c r="AQ307" s="209" t="str">
        <f aca="false">IF(A308="","",AP307-$E$1)</f>
        <v/>
      </c>
      <c r="AR307" s="185" t="n">
        <f aca="false">'ANR OK vs ML7'!AR307</f>
        <v>0.1</v>
      </c>
      <c r="AS307" s="213" t="str">
        <f aca="false">IF(A308="","",1/(1+CHOOSE(F$3,(AR308+($I$3/10000))/2,(AR307+($I$3/10000))/2))^(2*AQ307/365.25))</f>
        <v/>
      </c>
      <c r="AT307" s="137" t="str">
        <f aca="false">IF(A308="","",IF(AND(mthbeg&lt;=A307,mthend&gt;=A307),1,0))</f>
        <v/>
      </c>
      <c r="AU307" s="137" t="str">
        <f aca="false">IF(A308="","",AO307*AT307)</f>
        <v/>
      </c>
      <c r="AW307" s="195" t="str">
        <f aca="false">IF($A308="","",AL307*$E307)</f>
        <v/>
      </c>
      <c r="AX307" s="195" t="str">
        <f aca="false">IF($A308="","",AM307*$E307)</f>
        <v/>
      </c>
      <c r="AY307" s="195" t="str">
        <f aca="false">IF($A308="","",AN307*$E307)</f>
        <v/>
      </c>
      <c r="BA307" s="195" t="str">
        <f aca="false">IF($A308="","",F307*Summary!$Q$12)</f>
        <v/>
      </c>
    </row>
    <row r="308" customFormat="false" ht="12" hidden="false" customHeight="true" outlineLevel="0" collapsed="false">
      <c r="A308" s="196" t="str">
        <f aca="false">IF(A307&lt;mthend,EDATE(A307,1),"")</f>
        <v/>
      </c>
      <c r="B308" s="197" t="str">
        <f aca="false">IF(A308&lt;mthend,B307,"")</f>
        <v/>
      </c>
      <c r="C308" s="215"/>
      <c r="D308" s="197" t="str">
        <f aca="false">IF(A309&lt;&gt;"",B308+C308,"")</f>
        <v/>
      </c>
      <c r="E308" s="199" t="str">
        <f aca="false">IF(A309="","",IF(AND(AT308=1,$H$3=1),D308*AO308,IF($H$3=2,D308,"N/A")))</f>
        <v/>
      </c>
      <c r="F308" s="199" t="str">
        <f aca="false">IF(A309="","",E308*AS308)</f>
        <v/>
      </c>
      <c r="G308" s="200" t="str">
        <f aca="false">IF($A309="","",VLOOKUP($A308,Table,MATCH(G$4,Curves,0)))</f>
        <v/>
      </c>
      <c r="H308" s="201" t="str">
        <f aca="false">IF(A309="","",G308)</f>
        <v/>
      </c>
      <c r="I308" s="202"/>
      <c r="J308" s="200" t="str">
        <f aca="false">IF($A309="","",VLOOKUP($A308,Table,MATCH(J$4,Curves,0)))</f>
        <v/>
      </c>
      <c r="K308" s="201" t="str">
        <f aca="false">IF(A309="","",J308)</f>
        <v/>
      </c>
      <c r="L308" s="200" t="str">
        <f aca="false">IF($A309="","",VLOOKUP($A308,Table,MATCH(L$4,Curves,0)))</f>
        <v/>
      </c>
      <c r="M308" s="201" t="str">
        <f aca="false">IF(A309="","",L308)</f>
        <v/>
      </c>
      <c r="N308" s="203"/>
      <c r="O308" s="200" t="str">
        <f aca="false">IF(A309="","",L308+J308+G308)</f>
        <v/>
      </c>
      <c r="P308" s="200" t="str">
        <f aca="false">IF(A309="","",M308+K308+H308)</f>
        <v/>
      </c>
      <c r="Q308" s="204"/>
      <c r="R308" s="200" t="str">
        <f aca="false">IF($A309="","",VLOOKUP($A308,Table,MATCH(R$4,Curves,0)))</f>
        <v/>
      </c>
      <c r="S308" s="201" t="str">
        <f aca="false">IF(A309="","",R308)</f>
        <v/>
      </c>
      <c r="T308" s="200" t="str">
        <f aca="false">IF($A309="","",VLOOKUP($A308,Table,MATCH(T$4,Curves,0)))</f>
        <v/>
      </c>
      <c r="U308" s="201" t="str">
        <f aca="false">IF(A309="","",T308)</f>
        <v/>
      </c>
      <c r="V308" s="225" t="str">
        <f aca="false">IF($A309="","",IF(AND(MONTH(A308)&gt;3,MONTH(A308)&lt;11),(T308+R308+G308)*(((1/(1-Summary!$T$12))/(1-Summary!$W$12))-1),(T308+R308+G308)*((1/(1-Summary!$U$12))/(1-Summary!$X$12)-1)))</f>
        <v/>
      </c>
      <c r="W308" s="200" t="str">
        <f aca="false">IF($A309="","",(T308+R308+G308+V308))</f>
        <v/>
      </c>
      <c r="X308" s="200" t="str">
        <f aca="false">IF($A309="","",(U308+S308+H308+V308))</f>
        <v/>
      </c>
      <c r="Y308" s="202"/>
      <c r="Z308" s="185" t="str">
        <f aca="false">IF($A309="","",VLOOKUP($A308,Table,MATCH(Z$4,Curves,0)))</f>
        <v/>
      </c>
      <c r="AA308" s="185" t="str">
        <f aca="false">IF($A309="","",VLOOKUP($A308,Table,MATCH(AA$4,Curves,0)))</f>
        <v/>
      </c>
      <c r="AB308" s="185" t="e">
        <f aca="false">SQRT((AA308^2*(A308-$D$3)+Z308^2*(DAY(EOMONTH(A308,0))/2))/AK308)</f>
        <v>#VALUE!</v>
      </c>
      <c r="AC308" s="185" t="str">
        <f aca="false">IF($A309="","",VLOOKUP($A308,Table,MATCH(AC$4,Curves,0)))</f>
        <v/>
      </c>
      <c r="AD308" s="185" t="str">
        <f aca="false">IF($A309="","",VLOOKUP($A308,Table,MATCH(AD$4,Curves,0)))</f>
        <v/>
      </c>
      <c r="AE308" s="185" t="e">
        <f aca="false">SQRT((AD308^2*(A308-$D$3)+AC308^2*(DAY(EOMONTH(A308,0))/2))/AK308)</f>
        <v>#VALUE!</v>
      </c>
      <c r="AF308" s="206" t="e">
        <f aca="false">((Summary!$N$12*(AA308*AD308)*(A308-$D$3))+(Summary!$M$12*Z308*AC308*(AJ308-EOMONTH(EDATE(A308,-1),0))))/(AK308*AB308*AE308)</f>
        <v>#VALUE!</v>
      </c>
      <c r="AG308" s="207" t="str">
        <f aca="false">IF($A309="","",Summary!$Q$12)</f>
        <v/>
      </c>
      <c r="AH308" s="207" t="str">
        <f aca="false">IF($A309="","",IF(Summary!$R$12="Y",(VLOOKUP($A308,Summary!$AD$6:$AF$9,3)+'Escalating commodity'!H321),'Escalating commodity'!H321))</f>
        <v/>
      </c>
      <c r="AI308" s="207" t="str">
        <f aca="false">IF($A309="","",AH308)</f>
        <v/>
      </c>
      <c r="AJ308" s="208" t="e">
        <f aca="false">A308+DAY(EOMONTH(A308,0))/2-1</f>
        <v>#VALUE!</v>
      </c>
      <c r="AK308" s="209" t="str">
        <f aca="false">IF($A309="","",$A308-$E$1)</f>
        <v/>
      </c>
      <c r="AL308" s="182" t="str">
        <f aca="false">IF($A309="","",SPRDOPT(P308,X308,AI308,0,AB308,AE308,AF308,AK308,$AJ$2,0))</f>
        <v/>
      </c>
      <c r="AM308" s="211" t="str">
        <f aca="false">IF($A309="","",MAX(0,O308-W308-AI308))</f>
        <v/>
      </c>
      <c r="AN308" s="211" t="str">
        <f aca="false">IF($A309="","",AL308-AM308)</f>
        <v/>
      </c>
      <c r="AO308" s="137" t="str">
        <f aca="false">IF(A309="","",A309-A308)</f>
        <v/>
      </c>
      <c r="AP308" s="212" t="str">
        <f aca="false">IF(A309="","",CHOOSE(F$3,A309+24,A308))</f>
        <v/>
      </c>
      <c r="AQ308" s="209" t="str">
        <f aca="false">IF(A309="","",AP308-$E$1)</f>
        <v/>
      </c>
      <c r="AR308" s="185" t="n">
        <f aca="false">'ANR OK vs ML7'!AR308</f>
        <v>0.1</v>
      </c>
      <c r="AS308" s="213" t="str">
        <f aca="false">IF(A309="","",1/(1+CHOOSE(F$3,(AR309+($I$3/10000))/2,(AR308+($I$3/10000))/2))^(2*AQ308/365.25))</f>
        <v/>
      </c>
      <c r="AT308" s="137" t="str">
        <f aca="false">IF(A309="","",IF(AND(mthbeg&lt;=A308,mthend&gt;=A308),1,0))</f>
        <v/>
      </c>
      <c r="AU308" s="137" t="str">
        <f aca="false">IF(A309="","",AO308*AT308)</f>
        <v/>
      </c>
      <c r="AW308" s="195" t="str">
        <f aca="false">IF($A309="","",AL308*$E308)</f>
        <v/>
      </c>
      <c r="AX308" s="195" t="str">
        <f aca="false">IF($A309="","",AM308*$E308)</f>
        <v/>
      </c>
      <c r="AY308" s="195" t="str">
        <f aca="false">IF($A309="","",AN308*$E308)</f>
        <v/>
      </c>
      <c r="BA308" s="195" t="str">
        <f aca="false">IF($A309="","",F308*Summary!$Q$12)</f>
        <v/>
      </c>
    </row>
    <row r="309" customFormat="false" ht="12" hidden="false" customHeight="true" outlineLevel="0" collapsed="false">
      <c r="A309" s="196" t="str">
        <f aca="false">IF(A308&lt;mthend,EDATE(A308,1),"")</f>
        <v/>
      </c>
      <c r="B309" s="197" t="str">
        <f aca="false">IF(A309&lt;mthend,B308,"")</f>
        <v/>
      </c>
      <c r="C309" s="215"/>
      <c r="D309" s="197" t="str">
        <f aca="false">IF(A310&lt;&gt;"",B309+C309,"")</f>
        <v/>
      </c>
      <c r="E309" s="199" t="str">
        <f aca="false">IF(A310="","",IF(AND(AT309=1,$H$3=1),D309*AO309,IF($H$3=2,D309,"N/A")))</f>
        <v/>
      </c>
      <c r="F309" s="199" t="str">
        <f aca="false">IF(A310="","",E309*AS309)</f>
        <v/>
      </c>
      <c r="G309" s="200" t="str">
        <f aca="false">IF($A310="","",VLOOKUP($A309,Table,MATCH(G$4,Curves,0)))</f>
        <v/>
      </c>
      <c r="H309" s="201" t="str">
        <f aca="false">IF(A310="","",G309)</f>
        <v/>
      </c>
      <c r="I309" s="202"/>
      <c r="J309" s="200" t="str">
        <f aca="false">IF($A310="","",VLOOKUP($A309,Table,MATCH(J$4,Curves,0)))</f>
        <v/>
      </c>
      <c r="K309" s="201" t="str">
        <f aca="false">IF(A310="","",J309)</f>
        <v/>
      </c>
      <c r="L309" s="200" t="str">
        <f aca="false">IF($A310="","",VLOOKUP($A309,Table,MATCH(L$4,Curves,0)))</f>
        <v/>
      </c>
      <c r="M309" s="201" t="str">
        <f aca="false">IF(A310="","",L309)</f>
        <v/>
      </c>
      <c r="N309" s="203"/>
      <c r="O309" s="200" t="str">
        <f aca="false">IF(A310="","",L309+J309+G309)</f>
        <v/>
      </c>
      <c r="P309" s="200" t="str">
        <f aca="false">IF(A310="","",M309+K309+H309)</f>
        <v/>
      </c>
      <c r="Q309" s="204"/>
      <c r="R309" s="200" t="str">
        <f aca="false">IF($A310="","",VLOOKUP($A309,Table,MATCH(R$4,Curves,0)))</f>
        <v/>
      </c>
      <c r="S309" s="201" t="str">
        <f aca="false">IF(A310="","",R309)</f>
        <v/>
      </c>
      <c r="T309" s="200" t="str">
        <f aca="false">IF($A310="","",VLOOKUP($A309,Table,MATCH(T$4,Curves,0)))</f>
        <v/>
      </c>
      <c r="U309" s="201" t="str">
        <f aca="false">IF(A310="","",T309)</f>
        <v/>
      </c>
      <c r="V309" s="225" t="str">
        <f aca="false">IF($A310="","",IF(AND(MONTH(A309)&gt;3,MONTH(A309)&lt;11),(T309+R309+G309)*(((1/(1-Summary!$T$12))/(1-Summary!$W$12))-1),(T309+R309+G309)*((1/(1-Summary!$U$12))/(1-Summary!$X$12)-1)))</f>
        <v/>
      </c>
      <c r="W309" s="200" t="str">
        <f aca="false">IF($A310="","",(T309+R309+G309+V309))</f>
        <v/>
      </c>
      <c r="X309" s="200" t="str">
        <f aca="false">IF($A310="","",(U309+S309+H309+V309))</f>
        <v/>
      </c>
      <c r="Y309" s="202"/>
      <c r="Z309" s="185" t="str">
        <f aca="false">IF($A310="","",VLOOKUP($A309,Table,MATCH(Z$4,Curves,0)))</f>
        <v/>
      </c>
      <c r="AA309" s="185" t="str">
        <f aca="false">IF($A310="","",VLOOKUP($A309,Table,MATCH(AA$4,Curves,0)))</f>
        <v/>
      </c>
      <c r="AB309" s="185" t="e">
        <f aca="false">SQRT((AA309^2*(A309-$D$3)+Z309^2*(DAY(EOMONTH(A309,0))/2))/AK309)</f>
        <v>#VALUE!</v>
      </c>
      <c r="AC309" s="185" t="str">
        <f aca="false">IF($A310="","",VLOOKUP($A309,Table,MATCH(AC$4,Curves,0)))</f>
        <v/>
      </c>
      <c r="AD309" s="185" t="str">
        <f aca="false">IF($A310="","",VLOOKUP($A309,Table,MATCH(AD$4,Curves,0)))</f>
        <v/>
      </c>
      <c r="AE309" s="185" t="e">
        <f aca="false">SQRT((AD309^2*(A309-$D$3)+AC309^2*(DAY(EOMONTH(A309,0))/2))/AK309)</f>
        <v>#VALUE!</v>
      </c>
      <c r="AF309" s="206" t="e">
        <f aca="false">((Summary!$N$12*(AA309*AD309)*(A309-$D$3))+(Summary!$M$12*Z309*AC309*(AJ309-EOMONTH(EDATE(A309,-1),0))))/(AK309*AB309*AE309)</f>
        <v>#VALUE!</v>
      </c>
      <c r="AG309" s="207" t="str">
        <f aca="false">IF($A310="","",Summary!$Q$12)</f>
        <v/>
      </c>
      <c r="AH309" s="207" t="str">
        <f aca="false">IF($A310="","",IF(Summary!$R$12="Y",(VLOOKUP($A309,Summary!$AD$6:$AF$9,3)+'Escalating commodity'!H322),'Escalating commodity'!H322))</f>
        <v/>
      </c>
      <c r="AI309" s="207" t="str">
        <f aca="false">IF($A310="","",AH309)</f>
        <v/>
      </c>
      <c r="AJ309" s="208" t="e">
        <f aca="false">A309+DAY(EOMONTH(A309,0))/2-1</f>
        <v>#VALUE!</v>
      </c>
      <c r="AK309" s="209" t="str">
        <f aca="false">IF($A310="","",$A309-$E$1)</f>
        <v/>
      </c>
      <c r="AL309" s="182" t="str">
        <f aca="false">IF($A310="","",SPRDOPT(P309,X309,AI309,0,AB309,AE309,AF309,AK309,$AJ$2,0))</f>
        <v/>
      </c>
      <c r="AM309" s="211" t="str">
        <f aca="false">IF($A310="","",MAX(0,O309-W309-AI309))</f>
        <v/>
      </c>
      <c r="AN309" s="211" t="str">
        <f aca="false">IF($A310="","",AL309-AM309)</f>
        <v/>
      </c>
      <c r="AO309" s="137" t="str">
        <f aca="false">IF(A310="","",A310-A309)</f>
        <v/>
      </c>
      <c r="AP309" s="212" t="str">
        <f aca="false">IF(A310="","",CHOOSE(F$3,A310+24,A309))</f>
        <v/>
      </c>
      <c r="AQ309" s="209" t="str">
        <f aca="false">IF(A310="","",AP309-$E$1)</f>
        <v/>
      </c>
      <c r="AR309" s="185" t="n">
        <f aca="false">'ANR OK vs ML7'!AR309</f>
        <v>0.1</v>
      </c>
      <c r="AS309" s="213" t="str">
        <f aca="false">IF(A310="","",1/(1+CHOOSE(F$3,(AR310+($I$3/10000))/2,(AR309+($I$3/10000))/2))^(2*AQ309/365.25))</f>
        <v/>
      </c>
      <c r="AT309" s="137" t="str">
        <f aca="false">IF(A310="","",IF(AND(mthbeg&lt;=A309,mthend&gt;=A309),1,0))</f>
        <v/>
      </c>
      <c r="AU309" s="137" t="str">
        <f aca="false">IF(A310="","",AO309*AT309)</f>
        <v/>
      </c>
      <c r="AW309" s="195" t="str">
        <f aca="false">IF($A310="","",AL309*$E309)</f>
        <v/>
      </c>
      <c r="AX309" s="195" t="str">
        <f aca="false">IF($A310="","",AM309*$E309)</f>
        <v/>
      </c>
      <c r="AY309" s="195" t="str">
        <f aca="false">IF($A310="","",AN309*$E309)</f>
        <v/>
      </c>
      <c r="BA309" s="195" t="str">
        <f aca="false">IF($A310="","",F309*Summary!$Q$12)</f>
        <v/>
      </c>
    </row>
    <row r="310" customFormat="false" ht="12" hidden="false" customHeight="true" outlineLevel="0" collapsed="false">
      <c r="A310" s="196" t="str">
        <f aca="false">IF(A309&lt;mthend,EDATE(A309,1),"")</f>
        <v/>
      </c>
      <c r="B310" s="197" t="str">
        <f aca="false">IF(A310&lt;mthend,B309,"")</f>
        <v/>
      </c>
      <c r="C310" s="215"/>
      <c r="D310" s="197" t="str">
        <f aca="false">IF(A311&lt;&gt;"",B310+C310,"")</f>
        <v/>
      </c>
      <c r="E310" s="199" t="str">
        <f aca="false">IF(A311="","",IF(AND(AT310=1,$H$3=1),D310*AO310,IF($H$3=2,D310,"N/A")))</f>
        <v/>
      </c>
      <c r="F310" s="199" t="str">
        <f aca="false">IF(A311="","",E310*AS310)</f>
        <v/>
      </c>
      <c r="G310" s="200" t="str">
        <f aca="false">IF($A311="","",VLOOKUP($A310,Table,MATCH(G$4,Curves,0)))</f>
        <v/>
      </c>
      <c r="H310" s="201" t="str">
        <f aca="false">IF(A311="","",G310)</f>
        <v/>
      </c>
      <c r="I310" s="202"/>
      <c r="J310" s="200" t="str">
        <f aca="false">IF($A311="","",VLOOKUP($A310,Table,MATCH(J$4,Curves,0)))</f>
        <v/>
      </c>
      <c r="K310" s="201" t="str">
        <f aca="false">IF(A311="","",J310)</f>
        <v/>
      </c>
      <c r="L310" s="200" t="str">
        <f aca="false">IF($A311="","",VLOOKUP($A310,Table,MATCH(L$4,Curves,0)))</f>
        <v/>
      </c>
      <c r="M310" s="201" t="str">
        <f aca="false">IF(A311="","",L310)</f>
        <v/>
      </c>
      <c r="N310" s="203"/>
      <c r="O310" s="200" t="str">
        <f aca="false">IF(A311="","",L310+J310+G310)</f>
        <v/>
      </c>
      <c r="P310" s="200" t="str">
        <f aca="false">IF(A311="","",M310+K310+H310)</f>
        <v/>
      </c>
      <c r="Q310" s="204"/>
      <c r="R310" s="200" t="str">
        <f aca="false">IF($A311="","",VLOOKUP($A310,Table,MATCH(R$4,Curves,0)))</f>
        <v/>
      </c>
      <c r="S310" s="201" t="str">
        <f aca="false">IF(A311="","",R310)</f>
        <v/>
      </c>
      <c r="T310" s="200" t="str">
        <f aca="false">IF($A311="","",VLOOKUP($A310,Table,MATCH(T$4,Curves,0)))</f>
        <v/>
      </c>
      <c r="U310" s="201" t="str">
        <f aca="false">IF(A311="","",T310)</f>
        <v/>
      </c>
      <c r="V310" s="225" t="str">
        <f aca="false">IF($A311="","",IF(AND(MONTH(A310)&gt;3,MONTH(A310)&lt;11),(T310+R310+G310)*(((1/(1-Summary!$T$12))/(1-Summary!$W$12))-1),(T310+R310+G310)*((1/(1-Summary!$U$12))/(1-Summary!$X$12)-1)))</f>
        <v/>
      </c>
      <c r="W310" s="200" t="str">
        <f aca="false">IF($A311="","",(T310+R310+G310+V310))</f>
        <v/>
      </c>
      <c r="X310" s="200" t="str">
        <f aca="false">IF($A311="","",(U310+S310+H310+V310))</f>
        <v/>
      </c>
      <c r="Y310" s="202"/>
      <c r="Z310" s="185" t="str">
        <f aca="false">IF($A311="","",VLOOKUP($A310,Table,MATCH(Z$4,Curves,0)))</f>
        <v/>
      </c>
      <c r="AA310" s="185" t="str">
        <f aca="false">IF($A311="","",VLOOKUP($A310,Table,MATCH(AA$4,Curves,0)))</f>
        <v/>
      </c>
      <c r="AB310" s="185" t="e">
        <f aca="false">SQRT((AA310^2*(A310-$D$3)+Z310^2*(DAY(EOMONTH(A310,0))/2))/AK310)</f>
        <v>#VALUE!</v>
      </c>
      <c r="AC310" s="185" t="str">
        <f aca="false">IF($A311="","",VLOOKUP($A310,Table,MATCH(AC$4,Curves,0)))</f>
        <v/>
      </c>
      <c r="AD310" s="185" t="str">
        <f aca="false">IF($A311="","",VLOOKUP($A310,Table,MATCH(AD$4,Curves,0)))</f>
        <v/>
      </c>
      <c r="AE310" s="185" t="e">
        <f aca="false">SQRT((AD310^2*(A310-$D$3)+AC310^2*(DAY(EOMONTH(A310,0))/2))/AK310)</f>
        <v>#VALUE!</v>
      </c>
      <c r="AF310" s="206" t="e">
        <f aca="false">((Summary!$N$12*(AA310*AD310)*(A310-$D$3))+(Summary!$M$12*Z310*AC310*(AJ310-EOMONTH(EDATE(A310,-1),0))))/(AK310*AB310*AE310)</f>
        <v>#VALUE!</v>
      </c>
      <c r="AG310" s="207" t="str">
        <f aca="false">IF($A311="","",Summary!$Q$12)</f>
        <v/>
      </c>
      <c r="AH310" s="207" t="str">
        <f aca="false">IF($A311="","",IF(Summary!$R$12="Y",(VLOOKUP($A310,Summary!$AD$6:$AF$9,3)+'Escalating commodity'!H323),'Escalating commodity'!H323))</f>
        <v/>
      </c>
      <c r="AI310" s="207" t="str">
        <f aca="false">IF($A311="","",AH310)</f>
        <v/>
      </c>
      <c r="AJ310" s="208" t="e">
        <f aca="false">A310+DAY(EOMONTH(A310,0))/2-1</f>
        <v>#VALUE!</v>
      </c>
      <c r="AK310" s="209" t="str">
        <f aca="false">IF($A311="","",$A310-$E$1)</f>
        <v/>
      </c>
      <c r="AL310" s="182" t="str">
        <f aca="false">IF($A311="","",SPRDOPT(P310,X310,AI310,0,AB310,AE310,AF310,AK310,$AJ$2,0))</f>
        <v/>
      </c>
      <c r="AM310" s="211" t="str">
        <f aca="false">IF($A311="","",MAX(0,O310-W310-AI310))</f>
        <v/>
      </c>
      <c r="AN310" s="211" t="str">
        <f aca="false">IF($A311="","",AL310-AM310)</f>
        <v/>
      </c>
      <c r="AO310" s="137" t="str">
        <f aca="false">IF(A311="","",A311-A310)</f>
        <v/>
      </c>
      <c r="AP310" s="212" t="str">
        <f aca="false">IF(A311="","",CHOOSE(F$3,A311+24,A310))</f>
        <v/>
      </c>
      <c r="AQ310" s="209" t="str">
        <f aca="false">IF(A311="","",AP310-$E$1)</f>
        <v/>
      </c>
      <c r="AR310" s="185" t="n">
        <f aca="false">'ANR OK vs ML7'!AR310</f>
        <v>0.1</v>
      </c>
      <c r="AS310" s="213" t="str">
        <f aca="false">IF(A311="","",1/(1+CHOOSE(F$3,(AR311+($I$3/10000))/2,(AR310+($I$3/10000))/2))^(2*AQ310/365.25))</f>
        <v/>
      </c>
      <c r="AT310" s="137" t="str">
        <f aca="false">IF(A311="","",IF(AND(mthbeg&lt;=A310,mthend&gt;=A310),1,0))</f>
        <v/>
      </c>
      <c r="AU310" s="137" t="str">
        <f aca="false">IF(A311="","",AO310*AT310)</f>
        <v/>
      </c>
      <c r="AW310" s="195" t="str">
        <f aca="false">IF($A311="","",AL310*$E310)</f>
        <v/>
      </c>
      <c r="AX310" s="195" t="str">
        <f aca="false">IF($A311="","",AM310*$E310)</f>
        <v/>
      </c>
      <c r="AY310" s="195" t="str">
        <f aca="false">IF($A311="","",AN310*$E310)</f>
        <v/>
      </c>
      <c r="BA310" s="195" t="str">
        <f aca="false">IF($A311="","",F310*Summary!$Q$12)</f>
        <v/>
      </c>
    </row>
    <row r="311" customFormat="false" ht="12" hidden="false" customHeight="true" outlineLevel="0" collapsed="false">
      <c r="A311" s="196" t="str">
        <f aca="false">IF(A310&lt;mthend,EDATE(A310,1),"")</f>
        <v/>
      </c>
      <c r="B311" s="197" t="str">
        <f aca="false">IF(A311&lt;mthend,B310,"")</f>
        <v/>
      </c>
      <c r="C311" s="215"/>
      <c r="D311" s="197" t="str">
        <f aca="false">IF(A312&lt;&gt;"",B311+C311,"")</f>
        <v/>
      </c>
      <c r="E311" s="199" t="str">
        <f aca="false">IF(A312="","",IF(AND(AT311=1,$H$3=1),D311*AO311,IF($H$3=2,D311,"N/A")))</f>
        <v/>
      </c>
      <c r="F311" s="199" t="str">
        <f aca="false">IF(A312="","",E311*AS311)</f>
        <v/>
      </c>
      <c r="G311" s="200" t="str">
        <f aca="false">IF($A312="","",VLOOKUP($A311,Table,MATCH(G$4,Curves,0)))</f>
        <v/>
      </c>
      <c r="H311" s="201" t="str">
        <f aca="false">IF(A312="","",G311)</f>
        <v/>
      </c>
      <c r="I311" s="202"/>
      <c r="J311" s="200" t="str">
        <f aca="false">IF($A312="","",VLOOKUP($A311,Table,MATCH(J$4,Curves,0)))</f>
        <v/>
      </c>
      <c r="K311" s="201" t="str">
        <f aca="false">IF(A312="","",J311)</f>
        <v/>
      </c>
      <c r="L311" s="200" t="str">
        <f aca="false">IF($A312="","",VLOOKUP($A311,Table,MATCH(L$4,Curves,0)))</f>
        <v/>
      </c>
      <c r="M311" s="201" t="str">
        <f aca="false">IF(A312="","",L311)</f>
        <v/>
      </c>
      <c r="N311" s="203"/>
      <c r="O311" s="200" t="str">
        <f aca="false">IF(A312="","",L311+J311+G311)</f>
        <v/>
      </c>
      <c r="P311" s="200" t="str">
        <f aca="false">IF(A312="","",M311+K311+H311)</f>
        <v/>
      </c>
      <c r="Q311" s="204"/>
      <c r="R311" s="200" t="str">
        <f aca="false">IF($A312="","",VLOOKUP($A311,Table,MATCH(R$4,Curves,0)))</f>
        <v/>
      </c>
      <c r="S311" s="201" t="str">
        <f aca="false">IF(A312="","",R311)</f>
        <v/>
      </c>
      <c r="T311" s="200" t="str">
        <f aca="false">IF($A312="","",VLOOKUP($A311,Table,MATCH(T$4,Curves,0)))</f>
        <v/>
      </c>
      <c r="U311" s="201" t="str">
        <f aca="false">IF(A312="","",T311)</f>
        <v/>
      </c>
      <c r="V311" s="225" t="str">
        <f aca="false">IF($A312="","",IF(AND(MONTH(A311)&gt;3,MONTH(A311)&lt;11),(T311+R311+G311)*(((1/(1-Summary!$T$12))/(1-Summary!$W$12))-1),(T311+R311+G311)*((1/(1-Summary!$U$12))/(1-Summary!$X$12)-1)))</f>
        <v/>
      </c>
      <c r="W311" s="200" t="str">
        <f aca="false">IF($A312="","",(T311+R311+G311+V311))</f>
        <v/>
      </c>
      <c r="X311" s="200" t="str">
        <f aca="false">IF($A312="","",(U311+S311+H311+V311))</f>
        <v/>
      </c>
      <c r="Y311" s="202"/>
      <c r="Z311" s="185" t="str">
        <f aca="false">IF($A312="","",VLOOKUP($A311,Table,MATCH(Z$4,Curves,0)))</f>
        <v/>
      </c>
      <c r="AA311" s="185" t="str">
        <f aca="false">IF($A312="","",VLOOKUP($A311,Table,MATCH(AA$4,Curves,0)))</f>
        <v/>
      </c>
      <c r="AB311" s="185" t="e">
        <f aca="false">SQRT((AA311^2*(A311-$D$3)+Z311^2*(DAY(EOMONTH(A311,0))/2))/AK311)</f>
        <v>#VALUE!</v>
      </c>
      <c r="AC311" s="185" t="str">
        <f aca="false">IF($A312="","",VLOOKUP($A311,Table,MATCH(AC$4,Curves,0)))</f>
        <v/>
      </c>
      <c r="AD311" s="185" t="str">
        <f aca="false">IF($A312="","",VLOOKUP($A311,Table,MATCH(AD$4,Curves,0)))</f>
        <v/>
      </c>
      <c r="AE311" s="185" t="e">
        <f aca="false">SQRT((AD311^2*(A311-$D$3)+AC311^2*(DAY(EOMONTH(A311,0))/2))/AK311)</f>
        <v>#VALUE!</v>
      </c>
      <c r="AF311" s="206" t="e">
        <f aca="false">((Summary!$N$12*(AA311*AD311)*(A311-$D$3))+(Summary!$M$12*Z311*AC311*(AJ311-EOMONTH(EDATE(A311,-1),0))))/(AK311*AB311*AE311)</f>
        <v>#VALUE!</v>
      </c>
      <c r="AG311" s="207" t="str">
        <f aca="false">IF($A312="","",Summary!$Q$12)</f>
        <v/>
      </c>
      <c r="AH311" s="207" t="str">
        <f aca="false">IF($A312="","",IF(Summary!$R$12="Y",(VLOOKUP($A311,Summary!$AD$6:$AF$9,3)+'Escalating commodity'!H324),'Escalating commodity'!H324))</f>
        <v/>
      </c>
      <c r="AI311" s="207" t="str">
        <f aca="false">IF($A312="","",AH311)</f>
        <v/>
      </c>
      <c r="AJ311" s="208" t="e">
        <f aca="false">A311+DAY(EOMONTH(A311,0))/2-1</f>
        <v>#VALUE!</v>
      </c>
      <c r="AK311" s="209" t="str">
        <f aca="false">IF($A312="","",$A311-$E$1)</f>
        <v/>
      </c>
      <c r="AL311" s="182" t="str">
        <f aca="false">IF($A312="","",SPRDOPT(P311,X311,AI311,0,AB311,AE311,AF311,AK311,$AJ$2,0))</f>
        <v/>
      </c>
      <c r="AM311" s="211" t="str">
        <f aca="false">IF($A312="","",MAX(0,O311-W311-AI311))</f>
        <v/>
      </c>
      <c r="AN311" s="211" t="str">
        <f aca="false">IF($A312="","",AL311-AM311)</f>
        <v/>
      </c>
      <c r="AO311" s="137" t="str">
        <f aca="false">IF(A312="","",A312-A311)</f>
        <v/>
      </c>
      <c r="AP311" s="212" t="str">
        <f aca="false">IF(A312="","",CHOOSE(F$3,A312+24,A311))</f>
        <v/>
      </c>
      <c r="AQ311" s="209" t="str">
        <f aca="false">IF(A312="","",AP311-$E$1)</f>
        <v/>
      </c>
      <c r="AR311" s="185" t="n">
        <f aca="false">'ANR OK vs ML7'!AR311</f>
        <v>0.1</v>
      </c>
      <c r="AS311" s="213" t="str">
        <f aca="false">IF(A312="","",1/(1+CHOOSE(F$3,(AR312+($I$3/10000))/2,(AR311+($I$3/10000))/2))^(2*AQ311/365.25))</f>
        <v/>
      </c>
      <c r="AT311" s="137" t="str">
        <f aca="false">IF(A312="","",IF(AND(mthbeg&lt;=A311,mthend&gt;=A311),1,0))</f>
        <v/>
      </c>
      <c r="AU311" s="137" t="str">
        <f aca="false">IF(A312="","",AO311*AT311)</f>
        <v/>
      </c>
      <c r="AW311" s="195" t="str">
        <f aca="false">IF($A312="","",AL311*$E311)</f>
        <v/>
      </c>
      <c r="AX311" s="195" t="str">
        <f aca="false">IF($A312="","",AM311*$E311)</f>
        <v/>
      </c>
      <c r="AY311" s="195" t="str">
        <f aca="false">IF($A312="","",AN311*$E311)</f>
        <v/>
      </c>
      <c r="BA311" s="195" t="str">
        <f aca="false">IF($A312="","",F311*Summary!$Q$12)</f>
        <v/>
      </c>
    </row>
    <row r="312" customFormat="false" ht="12" hidden="false" customHeight="true" outlineLevel="0" collapsed="false">
      <c r="A312" s="196" t="str">
        <f aca="false">IF(A311&lt;mthend,EDATE(A311,1),"")</f>
        <v/>
      </c>
      <c r="B312" s="197" t="str">
        <f aca="false">IF(A312&lt;mthend,B311,"")</f>
        <v/>
      </c>
      <c r="C312" s="215"/>
      <c r="D312" s="197" t="str">
        <f aca="false">IF(A313&lt;&gt;"",B312+C312,"")</f>
        <v/>
      </c>
      <c r="E312" s="199" t="str">
        <f aca="false">IF(A313="","",IF(AND(AT312=1,$H$3=1),D312*AO312,IF($H$3=2,D312,"N/A")))</f>
        <v/>
      </c>
      <c r="F312" s="199" t="str">
        <f aca="false">IF(A313="","",E312*AS312)</f>
        <v/>
      </c>
      <c r="G312" s="200" t="str">
        <f aca="false">IF($A313="","",VLOOKUP($A312,Table,MATCH(G$4,Curves,0)))</f>
        <v/>
      </c>
      <c r="H312" s="201" t="str">
        <f aca="false">IF(A313="","",G312)</f>
        <v/>
      </c>
      <c r="I312" s="202"/>
      <c r="J312" s="200" t="str">
        <f aca="false">IF($A313="","",VLOOKUP($A312,Table,MATCH(J$4,Curves,0)))</f>
        <v/>
      </c>
      <c r="K312" s="201" t="str">
        <f aca="false">IF(A313="","",J312)</f>
        <v/>
      </c>
      <c r="L312" s="200" t="str">
        <f aca="false">IF($A313="","",VLOOKUP($A312,Table,MATCH(L$4,Curves,0)))</f>
        <v/>
      </c>
      <c r="M312" s="201" t="str">
        <f aca="false">IF(A313="","",L312)</f>
        <v/>
      </c>
      <c r="N312" s="203"/>
      <c r="O312" s="200" t="str">
        <f aca="false">IF(A313="","",L312+J312+G312)</f>
        <v/>
      </c>
      <c r="P312" s="200" t="str">
        <f aca="false">IF(A313="","",M312+K312+H312)</f>
        <v/>
      </c>
      <c r="Q312" s="204"/>
      <c r="R312" s="200" t="str">
        <f aca="false">IF($A313="","",VLOOKUP($A312,Table,MATCH(R$4,Curves,0)))</f>
        <v/>
      </c>
      <c r="S312" s="201" t="str">
        <f aca="false">IF(A313="","",R312)</f>
        <v/>
      </c>
      <c r="T312" s="200" t="str">
        <f aca="false">IF($A313="","",VLOOKUP($A312,Table,MATCH(T$4,Curves,0)))</f>
        <v/>
      </c>
      <c r="U312" s="201" t="str">
        <f aca="false">IF(A313="","",T312)</f>
        <v/>
      </c>
      <c r="V312" s="225" t="str">
        <f aca="false">IF($A313="","",IF(AND(MONTH(A312)&gt;3,MONTH(A312)&lt;11),(T312+R312+G312)*(((1/(1-Summary!$T$12))/(1-Summary!$W$12))-1),(T312+R312+G312)*((1/(1-Summary!$U$12))/(1-Summary!$X$12)-1)))</f>
        <v/>
      </c>
      <c r="W312" s="200" t="str">
        <f aca="false">IF($A313="","",(T312+R312+G312+V312))</f>
        <v/>
      </c>
      <c r="X312" s="200" t="str">
        <f aca="false">IF($A313="","",(U312+S312+H312+V312))</f>
        <v/>
      </c>
      <c r="Y312" s="202"/>
      <c r="Z312" s="185" t="str">
        <f aca="false">IF($A313="","",VLOOKUP($A312,Table,MATCH(Z$4,Curves,0)))</f>
        <v/>
      </c>
      <c r="AA312" s="185" t="str">
        <f aca="false">IF($A313="","",VLOOKUP($A312,Table,MATCH(AA$4,Curves,0)))</f>
        <v/>
      </c>
      <c r="AB312" s="185" t="e">
        <f aca="false">SQRT((AA312^2*(A312-$D$3)+Z312^2*(DAY(EOMONTH(A312,0))/2))/AK312)</f>
        <v>#VALUE!</v>
      </c>
      <c r="AC312" s="185" t="str">
        <f aca="false">IF($A313="","",VLOOKUP($A312,Table,MATCH(AC$4,Curves,0)))</f>
        <v/>
      </c>
      <c r="AD312" s="185" t="str">
        <f aca="false">IF($A313="","",VLOOKUP($A312,Table,MATCH(AD$4,Curves,0)))</f>
        <v/>
      </c>
      <c r="AE312" s="185" t="e">
        <f aca="false">SQRT((AD312^2*(A312-$D$3)+AC312^2*(DAY(EOMONTH(A312,0))/2))/AK312)</f>
        <v>#VALUE!</v>
      </c>
      <c r="AF312" s="206" t="e">
        <f aca="false">((Summary!$N$12*(AA312*AD312)*(A312-$D$3))+(Summary!$M$12*Z312*AC312*(AJ312-EOMONTH(EDATE(A312,-1),0))))/(AK312*AB312*AE312)</f>
        <v>#VALUE!</v>
      </c>
      <c r="AG312" s="207" t="str">
        <f aca="false">IF($A313="","",Summary!$Q$12)</f>
        <v/>
      </c>
      <c r="AH312" s="207" t="str">
        <f aca="false">IF($A313="","",IF(Summary!$R$12="Y",(VLOOKUP($A312,Summary!$AD$6:$AF$9,3)+'Escalating commodity'!H325),'Escalating commodity'!H325))</f>
        <v/>
      </c>
      <c r="AI312" s="207" t="str">
        <f aca="false">IF($A313="","",AH312)</f>
        <v/>
      </c>
      <c r="AJ312" s="208" t="e">
        <f aca="false">A312+DAY(EOMONTH(A312,0))/2-1</f>
        <v>#VALUE!</v>
      </c>
      <c r="AK312" s="209" t="str">
        <f aca="false">IF($A313="","",$A312-$E$1)</f>
        <v/>
      </c>
      <c r="AL312" s="182" t="str">
        <f aca="false">IF($A313="","",SPRDOPT(P312,X312,AI312,0,AB312,AE312,AF312,AK312,$AJ$2,0))</f>
        <v/>
      </c>
      <c r="AM312" s="211" t="str">
        <f aca="false">IF($A313="","",MAX(0,O312-W312-AI312))</f>
        <v/>
      </c>
      <c r="AN312" s="211" t="str">
        <f aca="false">IF($A313="","",AL312-AM312)</f>
        <v/>
      </c>
      <c r="AO312" s="137" t="str">
        <f aca="false">IF(A313="","",A313-A312)</f>
        <v/>
      </c>
      <c r="AP312" s="212" t="str">
        <f aca="false">IF(A313="","",CHOOSE(F$3,A313+24,A312))</f>
        <v/>
      </c>
      <c r="AQ312" s="209" t="str">
        <f aca="false">IF(A313="","",AP312-$E$1)</f>
        <v/>
      </c>
      <c r="AR312" s="185" t="n">
        <f aca="false">'ANR OK vs ML7'!AR312</f>
        <v>0.1</v>
      </c>
      <c r="AS312" s="213" t="str">
        <f aca="false">IF(A313="","",1/(1+CHOOSE(F$3,(AR313+($I$3/10000))/2,(AR312+($I$3/10000))/2))^(2*AQ312/365.25))</f>
        <v/>
      </c>
      <c r="AT312" s="137" t="str">
        <f aca="false">IF(A313="","",IF(AND(mthbeg&lt;=A312,mthend&gt;=A312),1,0))</f>
        <v/>
      </c>
      <c r="AU312" s="137" t="str">
        <f aca="false">IF(A313="","",AO312*AT312)</f>
        <v/>
      </c>
      <c r="AW312" s="195" t="str">
        <f aca="false">IF($A313="","",AL312*$E312)</f>
        <v/>
      </c>
      <c r="AX312" s="195" t="str">
        <f aca="false">IF($A313="","",AM312*$E312)</f>
        <v/>
      </c>
      <c r="AY312" s="195" t="str">
        <f aca="false">IF($A313="","",AN312*$E312)</f>
        <v/>
      </c>
      <c r="BA312" s="195" t="str">
        <f aca="false">IF($A313="","",F312*Summary!$Q$12)</f>
        <v/>
      </c>
    </row>
    <row r="313" customFormat="false" ht="12" hidden="false" customHeight="true" outlineLevel="0" collapsed="false">
      <c r="A313" s="196" t="str">
        <f aca="false">IF(A312&lt;mthend,EDATE(A312,1),"")</f>
        <v/>
      </c>
      <c r="B313" s="197" t="str">
        <f aca="false">IF(A313&lt;mthend,B312,"")</f>
        <v/>
      </c>
      <c r="C313" s="215"/>
      <c r="D313" s="197" t="str">
        <f aca="false">IF(A314&lt;&gt;"",B313+C313,"")</f>
        <v/>
      </c>
      <c r="E313" s="199" t="str">
        <f aca="false">IF(A314="","",IF(AND(AT313=1,$H$3=1),D313*AO313,IF($H$3=2,D313,"N/A")))</f>
        <v/>
      </c>
      <c r="F313" s="199" t="str">
        <f aca="false">IF(A314="","",E313*AS313)</f>
        <v/>
      </c>
      <c r="G313" s="200" t="str">
        <f aca="false">IF($A314="","",VLOOKUP($A313,Table,MATCH(G$4,Curves,0)))</f>
        <v/>
      </c>
      <c r="H313" s="201" t="str">
        <f aca="false">IF(A314="","",G313)</f>
        <v/>
      </c>
      <c r="I313" s="202"/>
      <c r="J313" s="200" t="str">
        <f aca="false">IF($A314="","",VLOOKUP($A313,Table,MATCH(J$4,Curves,0)))</f>
        <v/>
      </c>
      <c r="K313" s="201" t="str">
        <f aca="false">IF(A314="","",J313)</f>
        <v/>
      </c>
      <c r="L313" s="200" t="str">
        <f aca="false">IF($A314="","",VLOOKUP($A313,Table,MATCH(L$4,Curves,0)))</f>
        <v/>
      </c>
      <c r="M313" s="201" t="str">
        <f aca="false">IF(A314="","",L313)</f>
        <v/>
      </c>
      <c r="N313" s="203"/>
      <c r="O313" s="200" t="str">
        <f aca="false">IF(A314="","",L313+J313+G313)</f>
        <v/>
      </c>
      <c r="P313" s="200" t="str">
        <f aca="false">IF(A314="","",M313+K313+H313)</f>
        <v/>
      </c>
      <c r="Q313" s="204"/>
      <c r="R313" s="200" t="str">
        <f aca="false">IF($A314="","",VLOOKUP($A313,Table,MATCH(R$4,Curves,0)))</f>
        <v/>
      </c>
      <c r="S313" s="201" t="str">
        <f aca="false">IF(A314="","",R313)</f>
        <v/>
      </c>
      <c r="T313" s="200" t="str">
        <f aca="false">IF($A314="","",VLOOKUP($A313,Table,MATCH(T$4,Curves,0)))</f>
        <v/>
      </c>
      <c r="U313" s="201" t="str">
        <f aca="false">IF(A314="","",T313)</f>
        <v/>
      </c>
      <c r="V313" s="225" t="str">
        <f aca="false">IF($A314="","",IF(AND(MONTH(A313)&gt;3,MONTH(A313)&lt;11),(T313+R313+G313)*(((1/(1-Summary!$T$12))/(1-Summary!$W$12))-1),(T313+R313+G313)*((1/(1-Summary!$U$12))/(1-Summary!$X$12)-1)))</f>
        <v/>
      </c>
      <c r="W313" s="200" t="str">
        <f aca="false">IF($A314="","",(T313+R313+G313+V313))</f>
        <v/>
      </c>
      <c r="X313" s="200" t="str">
        <f aca="false">IF($A314="","",(U313+S313+H313+V313))</f>
        <v/>
      </c>
      <c r="Y313" s="202"/>
      <c r="Z313" s="185" t="str">
        <f aca="false">IF($A314="","",VLOOKUP($A313,Table,MATCH(Z$4,Curves,0)))</f>
        <v/>
      </c>
      <c r="AA313" s="185" t="str">
        <f aca="false">IF($A314="","",VLOOKUP($A313,Table,MATCH(AA$4,Curves,0)))</f>
        <v/>
      </c>
      <c r="AB313" s="185" t="e">
        <f aca="false">SQRT((AA313^2*(A313-$D$3)+Z313^2*(DAY(EOMONTH(A313,0))/2))/AK313)</f>
        <v>#VALUE!</v>
      </c>
      <c r="AC313" s="185" t="str">
        <f aca="false">IF($A314="","",VLOOKUP($A313,Table,MATCH(AC$4,Curves,0)))</f>
        <v/>
      </c>
      <c r="AD313" s="185" t="str">
        <f aca="false">IF($A314="","",VLOOKUP($A313,Table,MATCH(AD$4,Curves,0)))</f>
        <v/>
      </c>
      <c r="AE313" s="185" t="e">
        <f aca="false">SQRT((AD313^2*(A313-$D$3)+AC313^2*(DAY(EOMONTH(A313,0))/2))/AK313)</f>
        <v>#VALUE!</v>
      </c>
      <c r="AF313" s="206" t="e">
        <f aca="false">((Summary!$N$12*(AA313*AD313)*(A313-$D$3))+(Summary!$M$12*Z313*AC313*(AJ313-EOMONTH(EDATE(A313,-1),0))))/(AK313*AB313*AE313)</f>
        <v>#VALUE!</v>
      </c>
      <c r="AG313" s="207" t="str">
        <f aca="false">IF($A314="","",Summary!$Q$12)</f>
        <v/>
      </c>
      <c r="AH313" s="207" t="str">
        <f aca="false">IF($A314="","",IF(Summary!$R$12="Y",(VLOOKUP($A313,Summary!$AD$6:$AF$9,3)+'Escalating commodity'!H326),'Escalating commodity'!H326))</f>
        <v/>
      </c>
      <c r="AI313" s="207" t="str">
        <f aca="false">IF($A314="","",AH313)</f>
        <v/>
      </c>
      <c r="AJ313" s="208" t="e">
        <f aca="false">A313+DAY(EOMONTH(A313,0))/2-1</f>
        <v>#VALUE!</v>
      </c>
      <c r="AK313" s="209" t="str">
        <f aca="false">IF($A314="","",$A313-$E$1)</f>
        <v/>
      </c>
      <c r="AL313" s="182" t="str">
        <f aca="false">IF($A314="","",SPRDOPT(P313,X313,AI313,0,AB313,AE313,AF313,AK313,$AJ$2,0))</f>
        <v/>
      </c>
      <c r="AM313" s="211" t="str">
        <f aca="false">IF($A314="","",MAX(0,O313-W313-AI313))</f>
        <v/>
      </c>
      <c r="AN313" s="211" t="str">
        <f aca="false">IF($A314="","",AL313-AM313)</f>
        <v/>
      </c>
      <c r="AO313" s="137" t="str">
        <f aca="false">IF(A314="","",A314-A313)</f>
        <v/>
      </c>
      <c r="AP313" s="212" t="str">
        <f aca="false">IF(A314="","",CHOOSE(F$3,A314+24,A313))</f>
        <v/>
      </c>
      <c r="AQ313" s="209" t="str">
        <f aca="false">IF(A314="","",AP313-$E$1)</f>
        <v/>
      </c>
      <c r="AR313" s="185" t="n">
        <f aca="false">'ANR OK vs ML7'!AR313</f>
        <v>0.1</v>
      </c>
      <c r="AS313" s="213" t="str">
        <f aca="false">IF(A314="","",1/(1+CHOOSE(F$3,(AR314+($I$3/10000))/2,(AR313+($I$3/10000))/2))^(2*AQ313/365.25))</f>
        <v/>
      </c>
      <c r="AT313" s="137" t="str">
        <f aca="false">IF(A314="","",IF(AND(mthbeg&lt;=A313,mthend&gt;=A313),1,0))</f>
        <v/>
      </c>
      <c r="AU313" s="137" t="str">
        <f aca="false">IF(A314="","",AO313*AT313)</f>
        <v/>
      </c>
      <c r="AW313" s="195" t="str">
        <f aca="false">IF($A314="","",AL313*$E313)</f>
        <v/>
      </c>
      <c r="AX313" s="195" t="str">
        <f aca="false">IF($A314="","",AM313*$E313)</f>
        <v/>
      </c>
      <c r="AY313" s="195" t="str">
        <f aca="false">IF($A314="","",AN313*$E313)</f>
        <v/>
      </c>
      <c r="BA313" s="195" t="str">
        <f aca="false">IF($A314="","",F313*Summary!$Q$12)</f>
        <v/>
      </c>
    </row>
    <row r="314" customFormat="false" ht="12" hidden="false" customHeight="true" outlineLevel="0" collapsed="false">
      <c r="A314" s="196" t="str">
        <f aca="false">IF(A313&lt;mthend,EDATE(A313,1),"")</f>
        <v/>
      </c>
      <c r="B314" s="197" t="str">
        <f aca="false">IF(A314&lt;mthend,B313,"")</f>
        <v/>
      </c>
      <c r="C314" s="215"/>
      <c r="D314" s="197" t="str">
        <f aca="false">IF(A315&lt;&gt;"",B314+C314,"")</f>
        <v/>
      </c>
      <c r="E314" s="199" t="str">
        <f aca="false">IF(A315="","",IF(AND(AT314=1,$H$3=1),D314*AO314,IF($H$3=2,D314,"N/A")))</f>
        <v/>
      </c>
      <c r="F314" s="199" t="str">
        <f aca="false">IF(A315="","",E314*AS314)</f>
        <v/>
      </c>
      <c r="G314" s="200" t="str">
        <f aca="false">IF($A315="","",VLOOKUP($A314,Table,MATCH(G$4,Curves,0)))</f>
        <v/>
      </c>
      <c r="H314" s="201" t="str">
        <f aca="false">IF(A315="","",G314)</f>
        <v/>
      </c>
      <c r="I314" s="202"/>
      <c r="J314" s="200" t="str">
        <f aca="false">IF($A315="","",VLOOKUP($A314,Table,MATCH(J$4,Curves,0)))</f>
        <v/>
      </c>
      <c r="K314" s="201" t="str">
        <f aca="false">IF(A315="","",J314)</f>
        <v/>
      </c>
      <c r="L314" s="200" t="str">
        <f aca="false">IF($A315="","",VLOOKUP($A314,Table,MATCH(L$4,Curves,0)))</f>
        <v/>
      </c>
      <c r="M314" s="201" t="str">
        <f aca="false">IF(A315="","",L314)</f>
        <v/>
      </c>
      <c r="N314" s="203"/>
      <c r="O314" s="200" t="str">
        <f aca="false">IF(A315="","",L314+J314+G314)</f>
        <v/>
      </c>
      <c r="P314" s="200" t="str">
        <f aca="false">IF(A315="","",M314+K314+H314)</f>
        <v/>
      </c>
      <c r="Q314" s="204"/>
      <c r="R314" s="200" t="str">
        <f aca="false">IF($A315="","",VLOOKUP($A314,Table,MATCH(R$4,Curves,0)))</f>
        <v/>
      </c>
      <c r="S314" s="201" t="str">
        <f aca="false">IF(A315="","",R314)</f>
        <v/>
      </c>
      <c r="T314" s="200" t="str">
        <f aca="false">IF($A315="","",VLOOKUP($A314,Table,MATCH(T$4,Curves,0)))</f>
        <v/>
      </c>
      <c r="U314" s="201" t="str">
        <f aca="false">IF(A315="","",T314)</f>
        <v/>
      </c>
      <c r="V314" s="225" t="str">
        <f aca="false">IF($A315="","",IF(AND(MONTH(A314)&gt;3,MONTH(A314)&lt;11),(T314+R314+G314)*(((1/(1-Summary!$T$12))/(1-Summary!$W$12))-1),(T314+R314+G314)*((1/(1-Summary!$U$12))/(1-Summary!$X$12)-1)))</f>
        <v/>
      </c>
      <c r="W314" s="200" t="str">
        <f aca="false">IF($A315="","",(T314+R314+G314+V314))</f>
        <v/>
      </c>
      <c r="X314" s="200" t="str">
        <f aca="false">IF($A315="","",(U314+S314+H314+V314))</f>
        <v/>
      </c>
      <c r="Y314" s="202"/>
      <c r="Z314" s="185" t="str">
        <f aca="false">IF($A315="","",VLOOKUP($A314,Table,MATCH(Z$4,Curves,0)))</f>
        <v/>
      </c>
      <c r="AA314" s="185" t="str">
        <f aca="false">IF($A315="","",VLOOKUP($A314,Table,MATCH(AA$4,Curves,0)))</f>
        <v/>
      </c>
      <c r="AB314" s="185" t="e">
        <f aca="false">SQRT((AA314^2*(A314-$D$3)+Z314^2*(DAY(EOMONTH(A314,0))/2))/AK314)</f>
        <v>#VALUE!</v>
      </c>
      <c r="AC314" s="185" t="str">
        <f aca="false">IF($A315="","",VLOOKUP($A314,Table,MATCH(AC$4,Curves,0)))</f>
        <v/>
      </c>
      <c r="AD314" s="185" t="str">
        <f aca="false">IF($A315="","",VLOOKUP($A314,Table,MATCH(AD$4,Curves,0)))</f>
        <v/>
      </c>
      <c r="AE314" s="185" t="e">
        <f aca="false">SQRT((AD314^2*(A314-$D$3)+AC314^2*(DAY(EOMONTH(A314,0))/2))/AK314)</f>
        <v>#VALUE!</v>
      </c>
      <c r="AF314" s="206" t="e">
        <f aca="false">((Summary!$N$12*(AA314*AD314)*(A314-$D$3))+(Summary!$M$12*Z314*AC314*(AJ314-EOMONTH(EDATE(A314,-1),0))))/(AK314*AB314*AE314)</f>
        <v>#VALUE!</v>
      </c>
      <c r="AG314" s="207" t="str">
        <f aca="false">IF($A315="","",Summary!$Q$12)</f>
        <v/>
      </c>
      <c r="AH314" s="207" t="str">
        <f aca="false">IF($A315="","",IF(Summary!$R$12="Y",(VLOOKUP($A314,Summary!$AD$6:$AF$9,3)+'Escalating commodity'!H327),'Escalating commodity'!H327))</f>
        <v/>
      </c>
      <c r="AI314" s="207" t="str">
        <f aca="false">IF($A315="","",AH314)</f>
        <v/>
      </c>
      <c r="AJ314" s="208" t="e">
        <f aca="false">A314+DAY(EOMONTH(A314,0))/2-1</f>
        <v>#VALUE!</v>
      </c>
      <c r="AK314" s="209" t="str">
        <f aca="false">IF($A315="","",$A314-$E$1)</f>
        <v/>
      </c>
      <c r="AL314" s="182" t="str">
        <f aca="false">IF($A315="","",SPRDOPT(P314,X314,AI314,0,AB314,AE314,AF314,AK314,$AJ$2,0))</f>
        <v/>
      </c>
      <c r="AM314" s="211" t="str">
        <f aca="false">IF($A315="","",MAX(0,O314-W314-AI314))</f>
        <v/>
      </c>
      <c r="AN314" s="211" t="str">
        <f aca="false">IF($A315="","",AL314-AM314)</f>
        <v/>
      </c>
      <c r="AO314" s="137" t="str">
        <f aca="false">IF(A315="","",A315-A314)</f>
        <v/>
      </c>
      <c r="AP314" s="212" t="str">
        <f aca="false">IF(A315="","",CHOOSE(F$3,A315+24,A314))</f>
        <v/>
      </c>
      <c r="AQ314" s="209" t="str">
        <f aca="false">IF(A315="","",AP314-$E$1)</f>
        <v/>
      </c>
      <c r="AR314" s="185" t="n">
        <f aca="false">'ANR OK vs ML7'!AR314</f>
        <v>0.1</v>
      </c>
      <c r="AS314" s="213" t="str">
        <f aca="false">IF(A315="","",1/(1+CHOOSE(F$3,(AR315+($I$3/10000))/2,(AR314+($I$3/10000))/2))^(2*AQ314/365.25))</f>
        <v/>
      </c>
      <c r="AT314" s="137" t="str">
        <f aca="false">IF(A315="","",IF(AND(mthbeg&lt;=A314,mthend&gt;=A314),1,0))</f>
        <v/>
      </c>
      <c r="AU314" s="137" t="str">
        <f aca="false">IF(A315="","",AO314*AT314)</f>
        <v/>
      </c>
      <c r="AW314" s="195" t="str">
        <f aca="false">IF($A315="","",AL314*$E314)</f>
        <v/>
      </c>
      <c r="AX314" s="195" t="str">
        <f aca="false">IF($A315="","",AM314*$E314)</f>
        <v/>
      </c>
      <c r="AY314" s="195" t="str">
        <f aca="false">IF($A315="","",AN314*$E314)</f>
        <v/>
      </c>
      <c r="BA314" s="195" t="str">
        <f aca="false">IF($A315="","",F314*Summary!$Q$12)</f>
        <v/>
      </c>
    </row>
    <row r="315" customFormat="false" ht="12" hidden="false" customHeight="true" outlineLevel="0" collapsed="false">
      <c r="A315" s="196" t="str">
        <f aca="false">IF(A314&lt;mthend,EDATE(A314,1),"")</f>
        <v/>
      </c>
      <c r="B315" s="197" t="str">
        <f aca="false">IF(A315&lt;mthend,B314,"")</f>
        <v/>
      </c>
      <c r="C315" s="215"/>
      <c r="D315" s="197" t="str">
        <f aca="false">IF(A316&lt;&gt;"",B315+C315,"")</f>
        <v/>
      </c>
      <c r="E315" s="199" t="str">
        <f aca="false">IF(A316="","",IF(AND(AT315=1,$H$3=1),D315*AO315,IF($H$3=2,D315,"N/A")))</f>
        <v/>
      </c>
      <c r="F315" s="199" t="str">
        <f aca="false">IF(A316="","",E315*AS315)</f>
        <v/>
      </c>
      <c r="G315" s="200" t="str">
        <f aca="false">IF($A316="","",VLOOKUP($A315,Table,MATCH(G$4,Curves,0)))</f>
        <v/>
      </c>
      <c r="H315" s="201" t="str">
        <f aca="false">IF(A316="","",G315)</f>
        <v/>
      </c>
      <c r="I315" s="202"/>
      <c r="J315" s="200" t="str">
        <f aca="false">IF($A316="","",VLOOKUP($A315,Table,MATCH(J$4,Curves,0)))</f>
        <v/>
      </c>
      <c r="K315" s="201" t="str">
        <f aca="false">IF(A316="","",J315)</f>
        <v/>
      </c>
      <c r="L315" s="200" t="str">
        <f aca="false">IF($A316="","",VLOOKUP($A315,Table,MATCH(L$4,Curves,0)))</f>
        <v/>
      </c>
      <c r="M315" s="201" t="str">
        <f aca="false">IF(A316="","",L315)</f>
        <v/>
      </c>
      <c r="N315" s="203"/>
      <c r="O315" s="200" t="str">
        <f aca="false">IF(A316="","",L315+J315+G315)</f>
        <v/>
      </c>
      <c r="P315" s="200" t="str">
        <f aca="false">IF(A316="","",M315+K315+H315)</f>
        <v/>
      </c>
      <c r="Q315" s="204"/>
      <c r="R315" s="200" t="str">
        <f aca="false">IF($A316="","",VLOOKUP($A315,Table,MATCH(R$4,Curves,0)))</f>
        <v/>
      </c>
      <c r="S315" s="201" t="str">
        <f aca="false">IF(A316="","",R315)</f>
        <v/>
      </c>
      <c r="T315" s="200" t="str">
        <f aca="false">IF($A316="","",VLOOKUP($A315,Table,MATCH(T$4,Curves,0)))</f>
        <v/>
      </c>
      <c r="U315" s="201" t="str">
        <f aca="false">IF(A316="","",T315)</f>
        <v/>
      </c>
      <c r="V315" s="225" t="str">
        <f aca="false">IF($A316="","",IF(AND(MONTH(A315)&gt;3,MONTH(A315)&lt;11),(T315+R315+G315)*(((1/(1-Summary!$T$12))/(1-Summary!$W$12))-1),(T315+R315+G315)*((1/(1-Summary!$U$12))/(1-Summary!$X$12)-1)))</f>
        <v/>
      </c>
      <c r="W315" s="200" t="str">
        <f aca="false">IF($A316="","",(T315+R315+G315+V315))</f>
        <v/>
      </c>
      <c r="X315" s="200" t="str">
        <f aca="false">IF($A316="","",(U315+S315+H315+V315))</f>
        <v/>
      </c>
      <c r="Y315" s="202"/>
      <c r="Z315" s="185" t="str">
        <f aca="false">IF($A316="","",VLOOKUP($A315,Table,MATCH(Z$4,Curves,0)))</f>
        <v/>
      </c>
      <c r="AA315" s="185" t="str">
        <f aca="false">IF($A316="","",VLOOKUP($A315,Table,MATCH(AA$4,Curves,0)))</f>
        <v/>
      </c>
      <c r="AB315" s="185" t="e">
        <f aca="false">SQRT((AA315^2*(A315-$D$3)+Z315^2*(DAY(EOMONTH(A315,0))/2))/AK315)</f>
        <v>#VALUE!</v>
      </c>
      <c r="AC315" s="185" t="str">
        <f aca="false">IF($A316="","",VLOOKUP($A315,Table,MATCH(AC$4,Curves,0)))</f>
        <v/>
      </c>
      <c r="AD315" s="185" t="str">
        <f aca="false">IF($A316="","",VLOOKUP($A315,Table,MATCH(AD$4,Curves,0)))</f>
        <v/>
      </c>
      <c r="AE315" s="185" t="e">
        <f aca="false">SQRT((AD315^2*(A315-$D$3)+AC315^2*(DAY(EOMONTH(A315,0))/2))/AK315)</f>
        <v>#VALUE!</v>
      </c>
      <c r="AF315" s="206" t="e">
        <f aca="false">((Summary!$N$12*(AA315*AD315)*(A315-$D$3))+(Summary!$M$12*Z315*AC315*(AJ315-EOMONTH(EDATE(A315,-1),0))))/(AK315*AB315*AE315)</f>
        <v>#VALUE!</v>
      </c>
      <c r="AG315" s="207" t="str">
        <f aca="false">IF($A316="","",Summary!$Q$12)</f>
        <v/>
      </c>
      <c r="AH315" s="207" t="str">
        <f aca="false">IF($A316="","",IF(Summary!$R$12="Y",(VLOOKUP($A315,Summary!$AD$6:$AF$9,3)+'Escalating commodity'!H328),'Escalating commodity'!H328))</f>
        <v/>
      </c>
      <c r="AI315" s="207" t="str">
        <f aca="false">IF($A316="","",AH315)</f>
        <v/>
      </c>
      <c r="AJ315" s="208" t="e">
        <f aca="false">A315+DAY(EOMONTH(A315,0))/2-1</f>
        <v>#VALUE!</v>
      </c>
      <c r="AK315" s="209" t="str">
        <f aca="false">IF($A316="","",$A315-$E$1)</f>
        <v/>
      </c>
      <c r="AL315" s="182" t="str">
        <f aca="false">IF($A316="","",SPRDOPT(P315,X315,AI315,0,AB315,AE315,AF315,AK315,$AJ$2,0))</f>
        <v/>
      </c>
      <c r="AM315" s="211" t="str">
        <f aca="false">IF($A316="","",MAX(0,O315-W315-AI315))</f>
        <v/>
      </c>
      <c r="AN315" s="211" t="str">
        <f aca="false">IF($A316="","",AL315-AM315)</f>
        <v/>
      </c>
      <c r="AO315" s="137" t="str">
        <f aca="false">IF(A316="","",A316-A315)</f>
        <v/>
      </c>
      <c r="AP315" s="212" t="str">
        <f aca="false">IF(A316="","",CHOOSE(F$3,A316+24,A315))</f>
        <v/>
      </c>
      <c r="AQ315" s="209" t="str">
        <f aca="false">IF(A316="","",AP315-$E$1)</f>
        <v/>
      </c>
      <c r="AR315" s="185" t="n">
        <f aca="false">'ANR OK vs ML7'!AR315</f>
        <v>0.1</v>
      </c>
      <c r="AS315" s="213" t="str">
        <f aca="false">IF(A316="","",1/(1+CHOOSE(F$3,(AR316+($I$3/10000))/2,(AR315+($I$3/10000))/2))^(2*AQ315/365.25))</f>
        <v/>
      </c>
      <c r="AT315" s="137" t="str">
        <f aca="false">IF(A316="","",IF(AND(mthbeg&lt;=A315,mthend&gt;=A315),1,0))</f>
        <v/>
      </c>
      <c r="AU315" s="137" t="str">
        <f aca="false">IF(A316="","",AO315*AT315)</f>
        <v/>
      </c>
      <c r="AW315" s="195" t="str">
        <f aca="false">IF($A316="","",AL315*$E315)</f>
        <v/>
      </c>
      <c r="AX315" s="195" t="str">
        <f aca="false">IF($A316="","",AM315*$E315)</f>
        <v/>
      </c>
      <c r="AY315" s="195" t="str">
        <f aca="false">IF($A316="","",AN315*$E315)</f>
        <v/>
      </c>
      <c r="BA315" s="195" t="str">
        <f aca="false">IF($A316="","",F315*Summary!$Q$12)</f>
        <v/>
      </c>
    </row>
    <row r="316" customFormat="false" ht="12" hidden="false" customHeight="true" outlineLevel="0" collapsed="false">
      <c r="A316" s="196" t="str">
        <f aca="false">IF(A315&lt;mthend,EDATE(A315,1),"")</f>
        <v/>
      </c>
      <c r="B316" s="197" t="str">
        <f aca="false">IF(A316&lt;mthend,B315,"")</f>
        <v/>
      </c>
      <c r="C316" s="215"/>
      <c r="D316" s="197" t="str">
        <f aca="false">IF(A317&lt;&gt;"",B316+C316,"")</f>
        <v/>
      </c>
      <c r="E316" s="199" t="str">
        <f aca="false">IF(A317="","",IF(AND(AT316=1,$H$3=1),D316*AO316,IF($H$3=2,D316,"N/A")))</f>
        <v/>
      </c>
      <c r="F316" s="199" t="str">
        <f aca="false">IF(A317="","",E316*AS316)</f>
        <v/>
      </c>
      <c r="G316" s="200" t="str">
        <f aca="false">IF($A317="","",VLOOKUP($A316,Table,MATCH(G$4,Curves,0)))</f>
        <v/>
      </c>
      <c r="H316" s="201" t="str">
        <f aca="false">IF(A317="","",G316)</f>
        <v/>
      </c>
      <c r="I316" s="202"/>
      <c r="J316" s="200" t="str">
        <f aca="false">IF($A317="","",VLOOKUP($A316,Table,MATCH(J$4,Curves,0)))</f>
        <v/>
      </c>
      <c r="K316" s="201" t="str">
        <f aca="false">IF(A317="","",J316)</f>
        <v/>
      </c>
      <c r="L316" s="200" t="str">
        <f aca="false">IF($A317="","",VLOOKUP($A316,Table,MATCH(L$4,Curves,0)))</f>
        <v/>
      </c>
      <c r="M316" s="201" t="str">
        <f aca="false">IF(A317="","",L316)</f>
        <v/>
      </c>
      <c r="N316" s="203"/>
      <c r="O316" s="200" t="str">
        <f aca="false">IF(A317="","",L316+J316+G316)</f>
        <v/>
      </c>
      <c r="P316" s="200" t="str">
        <f aca="false">IF(A317="","",M316+K316+H316)</f>
        <v/>
      </c>
      <c r="Q316" s="204"/>
      <c r="R316" s="200" t="str">
        <f aca="false">IF($A317="","",VLOOKUP($A316,Table,MATCH(R$4,Curves,0)))</f>
        <v/>
      </c>
      <c r="S316" s="201" t="str">
        <f aca="false">IF(A317="","",R316)</f>
        <v/>
      </c>
      <c r="T316" s="200" t="str">
        <f aca="false">IF($A317="","",VLOOKUP($A316,Table,MATCH(T$4,Curves,0)))</f>
        <v/>
      </c>
      <c r="U316" s="201" t="str">
        <f aca="false">IF(A317="","",T316)</f>
        <v/>
      </c>
      <c r="V316" s="225" t="str">
        <f aca="false">IF($A317="","",IF(AND(MONTH(A316)&gt;3,MONTH(A316)&lt;11),(T316+R316+G316)*(((1/(1-Summary!$T$12))/(1-Summary!$W$12))-1),(T316+R316+G316)*((1/(1-Summary!$U$12))/(1-Summary!$X$12)-1)))</f>
        <v/>
      </c>
      <c r="W316" s="200" t="str">
        <f aca="false">IF($A317="","",(T316+R316+G316+V316))</f>
        <v/>
      </c>
      <c r="X316" s="200" t="str">
        <f aca="false">IF($A317="","",(U316+S316+H316+V316))</f>
        <v/>
      </c>
      <c r="Y316" s="202"/>
      <c r="Z316" s="185" t="str">
        <f aca="false">IF($A317="","",VLOOKUP($A316,Table,MATCH(Z$4,Curves,0)))</f>
        <v/>
      </c>
      <c r="AA316" s="185" t="str">
        <f aca="false">IF($A317="","",VLOOKUP($A316,Table,MATCH(AA$4,Curves,0)))</f>
        <v/>
      </c>
      <c r="AB316" s="185" t="e">
        <f aca="false">SQRT((AA316^2*(A316-$D$3)+Z316^2*(DAY(EOMONTH(A316,0))/2))/AK316)</f>
        <v>#VALUE!</v>
      </c>
      <c r="AC316" s="185" t="str">
        <f aca="false">IF($A317="","",VLOOKUP($A316,Table,MATCH(AC$4,Curves,0)))</f>
        <v/>
      </c>
      <c r="AD316" s="185" t="str">
        <f aca="false">IF($A317="","",VLOOKUP($A316,Table,MATCH(AD$4,Curves,0)))</f>
        <v/>
      </c>
      <c r="AE316" s="185" t="e">
        <f aca="false">SQRT((AD316^2*(A316-$D$3)+AC316^2*(DAY(EOMONTH(A316,0))/2))/AK316)</f>
        <v>#VALUE!</v>
      </c>
      <c r="AF316" s="206" t="e">
        <f aca="false">((Summary!$N$12*(AA316*AD316)*(A316-$D$3))+(Summary!$M$12*Z316*AC316*(AJ316-EOMONTH(EDATE(A316,-1),0))))/(AK316*AB316*AE316)</f>
        <v>#VALUE!</v>
      </c>
      <c r="AG316" s="207" t="str">
        <f aca="false">IF($A317="","",Summary!$Q$12)</f>
        <v/>
      </c>
      <c r="AH316" s="207" t="str">
        <f aca="false">IF($A317="","",IF(Summary!$R$12="Y",(VLOOKUP($A316,Summary!$AD$6:$AF$9,3)+'Escalating commodity'!H329),'Escalating commodity'!H329))</f>
        <v/>
      </c>
      <c r="AI316" s="207" t="str">
        <f aca="false">IF($A317="","",AH316)</f>
        <v/>
      </c>
      <c r="AJ316" s="208" t="e">
        <f aca="false">A316+DAY(EOMONTH(A316,0))/2-1</f>
        <v>#VALUE!</v>
      </c>
      <c r="AK316" s="209" t="str">
        <f aca="false">IF($A317="","",$A316-$E$1)</f>
        <v/>
      </c>
      <c r="AL316" s="182" t="str">
        <f aca="false">IF($A317="","",SPRDOPT(P316,X316,AI316,0,AB316,AE316,AF316,AK316,$AJ$2,0))</f>
        <v/>
      </c>
      <c r="AM316" s="211" t="str">
        <f aca="false">IF($A317="","",MAX(0,O316-W316-AI316))</f>
        <v/>
      </c>
      <c r="AN316" s="211" t="str">
        <f aca="false">IF($A317="","",AL316-AM316)</f>
        <v/>
      </c>
      <c r="AO316" s="137" t="str">
        <f aca="false">IF(A317="","",A317-A316)</f>
        <v/>
      </c>
      <c r="AP316" s="212" t="str">
        <f aca="false">IF(A317="","",CHOOSE(F$3,A317+24,A316))</f>
        <v/>
      </c>
      <c r="AQ316" s="209" t="str">
        <f aca="false">IF(A317="","",AP316-$E$1)</f>
        <v/>
      </c>
      <c r="AR316" s="185" t="n">
        <f aca="false">'ANR OK vs ML7'!AR316</f>
        <v>0.1</v>
      </c>
      <c r="AS316" s="213" t="str">
        <f aca="false">IF(A317="","",1/(1+CHOOSE(F$3,(AR317+($I$3/10000))/2,(AR316+($I$3/10000))/2))^(2*AQ316/365.25))</f>
        <v/>
      </c>
      <c r="AT316" s="137" t="str">
        <f aca="false">IF(A317="","",IF(AND(mthbeg&lt;=A316,mthend&gt;=A316),1,0))</f>
        <v/>
      </c>
      <c r="AU316" s="137" t="str">
        <f aca="false">IF(A317="","",AO316*AT316)</f>
        <v/>
      </c>
      <c r="AW316" s="195" t="str">
        <f aca="false">IF($A317="","",AL316*$E316)</f>
        <v/>
      </c>
      <c r="AX316" s="195" t="str">
        <f aca="false">IF($A317="","",AM316*$E316)</f>
        <v/>
      </c>
      <c r="AY316" s="195" t="str">
        <f aca="false">IF($A317="","",AN316*$E316)</f>
        <v/>
      </c>
      <c r="BA316" s="195" t="str">
        <f aca="false">IF($A317="","",F316*Summary!$Q$12)</f>
        <v/>
      </c>
    </row>
    <row r="317" customFormat="false" ht="12" hidden="false" customHeight="true" outlineLevel="0" collapsed="false">
      <c r="A317" s="196" t="str">
        <f aca="false">IF(A316&lt;mthend,EDATE(A316,1),"")</f>
        <v/>
      </c>
      <c r="B317" s="197" t="str">
        <f aca="false">IF(A317&lt;mthend,B316,"")</f>
        <v/>
      </c>
      <c r="C317" s="215"/>
      <c r="D317" s="197" t="str">
        <f aca="false">IF(A318&lt;&gt;"",B317+C317,"")</f>
        <v/>
      </c>
      <c r="E317" s="199" t="str">
        <f aca="false">IF(A318="","",IF(AND(AT317=1,$H$3=1),D317*AO317,IF($H$3=2,D317,"N/A")))</f>
        <v/>
      </c>
      <c r="F317" s="199" t="str">
        <f aca="false">IF(A318="","",E317*AS317)</f>
        <v/>
      </c>
      <c r="G317" s="200" t="str">
        <f aca="false">IF($A318="","",VLOOKUP($A317,Table,MATCH(G$4,Curves,0)))</f>
        <v/>
      </c>
      <c r="H317" s="201" t="str">
        <f aca="false">IF(A318="","",G317)</f>
        <v/>
      </c>
      <c r="I317" s="202"/>
      <c r="J317" s="200" t="str">
        <f aca="false">IF($A318="","",VLOOKUP($A317,Table,MATCH(J$4,Curves,0)))</f>
        <v/>
      </c>
      <c r="K317" s="201" t="str">
        <f aca="false">IF(A318="","",J317)</f>
        <v/>
      </c>
      <c r="L317" s="200" t="str">
        <f aca="false">IF($A318="","",VLOOKUP($A317,Table,MATCH(L$4,Curves,0)))</f>
        <v/>
      </c>
      <c r="M317" s="201" t="str">
        <f aca="false">IF(A318="","",L317)</f>
        <v/>
      </c>
      <c r="N317" s="203"/>
      <c r="O317" s="200" t="str">
        <f aca="false">IF(A318="","",L317+J317+G317)</f>
        <v/>
      </c>
      <c r="P317" s="200" t="str">
        <f aca="false">IF(A318="","",M317+K317+H317)</f>
        <v/>
      </c>
      <c r="Q317" s="204"/>
      <c r="R317" s="200" t="str">
        <f aca="false">IF($A318="","",VLOOKUP($A317,Table,MATCH(R$4,Curves,0)))</f>
        <v/>
      </c>
      <c r="S317" s="201" t="str">
        <f aca="false">IF(A318="","",R317)</f>
        <v/>
      </c>
      <c r="T317" s="200" t="str">
        <f aca="false">IF($A318="","",VLOOKUP($A317,Table,MATCH(T$4,Curves,0)))</f>
        <v/>
      </c>
      <c r="U317" s="201" t="str">
        <f aca="false">IF(A318="","",T317)</f>
        <v/>
      </c>
      <c r="V317" s="225" t="str">
        <f aca="false">IF($A318="","",IF(AND(MONTH(A317)&gt;3,MONTH(A317)&lt;11),(T317+R317+G317)*(((1/(1-Summary!$T$12))/(1-Summary!$W$12))-1),(T317+R317+G317)*((1/(1-Summary!$U$12))/(1-Summary!$X$12)-1)))</f>
        <v/>
      </c>
      <c r="W317" s="200" t="str">
        <f aca="false">IF($A318="","",(T317+R317+G317+V317))</f>
        <v/>
      </c>
      <c r="X317" s="200" t="str">
        <f aca="false">IF($A318="","",(U317+S317+H317+V317))</f>
        <v/>
      </c>
      <c r="Y317" s="202"/>
      <c r="Z317" s="185" t="str">
        <f aca="false">IF($A318="","",VLOOKUP($A317,Table,MATCH(Z$4,Curves,0)))</f>
        <v/>
      </c>
      <c r="AA317" s="185" t="str">
        <f aca="false">IF($A318="","",VLOOKUP($A317,Table,MATCH(AA$4,Curves,0)))</f>
        <v/>
      </c>
      <c r="AB317" s="185" t="e">
        <f aca="false">SQRT((AA317^2*(A317-$D$3)+Z317^2*(DAY(EOMONTH(A317,0))/2))/AK317)</f>
        <v>#VALUE!</v>
      </c>
      <c r="AC317" s="185" t="str">
        <f aca="false">IF($A318="","",VLOOKUP($A317,Table,MATCH(AC$4,Curves,0)))</f>
        <v/>
      </c>
      <c r="AD317" s="185" t="str">
        <f aca="false">IF($A318="","",VLOOKUP($A317,Table,MATCH(AD$4,Curves,0)))</f>
        <v/>
      </c>
      <c r="AE317" s="185" t="e">
        <f aca="false">SQRT((AD317^2*(A317-$D$3)+AC317^2*(DAY(EOMONTH(A317,0))/2))/AK317)</f>
        <v>#VALUE!</v>
      </c>
      <c r="AF317" s="206" t="e">
        <f aca="false">((Summary!$N$12*(AA317*AD317)*(A317-$D$3))+(Summary!$M$12*Z317*AC317*(AJ317-EOMONTH(EDATE(A317,-1),0))))/(AK317*AB317*AE317)</f>
        <v>#VALUE!</v>
      </c>
      <c r="AG317" s="207" t="str">
        <f aca="false">IF($A318="","",Summary!$Q$12)</f>
        <v/>
      </c>
      <c r="AH317" s="207" t="str">
        <f aca="false">IF($A318="","",IF(Summary!$R$12="Y",(VLOOKUP($A317,Summary!$AD$6:$AF$9,3)+'Escalating commodity'!H330),'Escalating commodity'!H330))</f>
        <v/>
      </c>
      <c r="AI317" s="207" t="str">
        <f aca="false">IF($A318="","",AH317)</f>
        <v/>
      </c>
      <c r="AJ317" s="208" t="e">
        <f aca="false">A317+DAY(EOMONTH(A317,0))/2-1</f>
        <v>#VALUE!</v>
      </c>
      <c r="AK317" s="209" t="str">
        <f aca="false">IF($A318="","",$A317-$E$1)</f>
        <v/>
      </c>
      <c r="AL317" s="182" t="str">
        <f aca="false">IF($A318="","",SPRDOPT(P317,X317,AI317,0,AB317,AE317,AF317,AK317,$AJ$2,0))</f>
        <v/>
      </c>
      <c r="AM317" s="211" t="str">
        <f aca="false">IF($A318="","",MAX(0,O317-W317-AI317))</f>
        <v/>
      </c>
      <c r="AN317" s="211" t="str">
        <f aca="false">IF($A318="","",AL317-AM317)</f>
        <v/>
      </c>
      <c r="AO317" s="137" t="str">
        <f aca="false">IF(A318="","",A318-A317)</f>
        <v/>
      </c>
      <c r="AP317" s="212" t="str">
        <f aca="false">IF(A318="","",CHOOSE(F$3,A318+24,A317))</f>
        <v/>
      </c>
      <c r="AQ317" s="209" t="str">
        <f aca="false">IF(A318="","",AP317-$E$1)</f>
        <v/>
      </c>
      <c r="AR317" s="185" t="n">
        <f aca="false">'ANR OK vs ML7'!AR317</f>
        <v>0.1</v>
      </c>
      <c r="AS317" s="213" t="str">
        <f aca="false">IF(A318="","",1/(1+CHOOSE(F$3,(AR318+($I$3/10000))/2,(AR317+($I$3/10000))/2))^(2*AQ317/365.25))</f>
        <v/>
      </c>
      <c r="AT317" s="137" t="str">
        <f aca="false">IF(A318="","",IF(AND(mthbeg&lt;=A317,mthend&gt;=A317),1,0))</f>
        <v/>
      </c>
      <c r="AU317" s="137" t="str">
        <f aca="false">IF(A318="","",AO317*AT317)</f>
        <v/>
      </c>
      <c r="AW317" s="195" t="str">
        <f aca="false">IF($A318="","",AL317*$E317)</f>
        <v/>
      </c>
      <c r="AX317" s="195" t="str">
        <f aca="false">IF($A318="","",AM317*$E317)</f>
        <v/>
      </c>
      <c r="AY317" s="195" t="str">
        <f aca="false">IF($A318="","",AN317*$E317)</f>
        <v/>
      </c>
      <c r="BA317" s="195" t="str">
        <f aca="false">IF($A318="","",F317*Summary!$Q$12)</f>
        <v/>
      </c>
    </row>
    <row r="318" customFormat="false" ht="12" hidden="false" customHeight="true" outlineLevel="0" collapsed="false">
      <c r="A318" s="196" t="str">
        <f aca="false">IF(A317&lt;mthend,EDATE(A317,1),"")</f>
        <v/>
      </c>
      <c r="B318" s="197" t="str">
        <f aca="false">IF(A318&lt;mthend,B317,"")</f>
        <v/>
      </c>
      <c r="C318" s="215"/>
      <c r="D318" s="197" t="str">
        <f aca="false">IF(A319&lt;&gt;"",B318+C318,"")</f>
        <v/>
      </c>
      <c r="E318" s="199" t="str">
        <f aca="false">IF(A319="","",IF(AND(AT318=1,$H$3=1),D318*AO318,IF($H$3=2,D318,"N/A")))</f>
        <v/>
      </c>
      <c r="F318" s="199" t="str">
        <f aca="false">IF(A319="","",E318*AS318)</f>
        <v/>
      </c>
      <c r="G318" s="200" t="str">
        <f aca="false">IF($A319="","",VLOOKUP($A318,Table,MATCH(G$4,Curves,0)))</f>
        <v/>
      </c>
      <c r="H318" s="201" t="str">
        <f aca="false">IF(A319="","",G318)</f>
        <v/>
      </c>
      <c r="I318" s="202"/>
      <c r="J318" s="200" t="str">
        <f aca="false">IF($A319="","",VLOOKUP($A318,Table,MATCH(J$4,Curves,0)))</f>
        <v/>
      </c>
      <c r="K318" s="201" t="str">
        <f aca="false">IF(A319="","",J318)</f>
        <v/>
      </c>
      <c r="L318" s="200" t="str">
        <f aca="false">IF($A319="","",VLOOKUP($A318,Table,MATCH(L$4,Curves,0)))</f>
        <v/>
      </c>
      <c r="M318" s="201" t="str">
        <f aca="false">IF(A319="","",L318)</f>
        <v/>
      </c>
      <c r="N318" s="203"/>
      <c r="O318" s="200" t="str">
        <f aca="false">IF(A319="","",L318+J318+G318)</f>
        <v/>
      </c>
      <c r="P318" s="200" t="str">
        <f aca="false">IF(A319="","",M318+K318+H318)</f>
        <v/>
      </c>
      <c r="Q318" s="204"/>
      <c r="R318" s="200" t="str">
        <f aca="false">IF($A319="","",VLOOKUP($A318,Table,MATCH(R$4,Curves,0)))</f>
        <v/>
      </c>
      <c r="S318" s="201" t="str">
        <f aca="false">IF(A319="","",R318)</f>
        <v/>
      </c>
      <c r="T318" s="200" t="str">
        <f aca="false">IF($A319="","",VLOOKUP($A318,Table,MATCH(T$4,Curves,0)))</f>
        <v/>
      </c>
      <c r="U318" s="201" t="str">
        <f aca="false">IF(A319="","",T318)</f>
        <v/>
      </c>
      <c r="V318" s="225" t="str">
        <f aca="false">IF($A319="","",IF(AND(MONTH(A318)&gt;3,MONTH(A318)&lt;11),(T318+R318+G318)*(((1/(1-Summary!$T$12))/(1-Summary!$W$12))-1),(T318+R318+G318)*((1/(1-Summary!$U$12))/(1-Summary!$X$12)-1)))</f>
        <v/>
      </c>
      <c r="W318" s="200" t="str">
        <f aca="false">IF($A319="","",(T318+R318+G318+V318))</f>
        <v/>
      </c>
      <c r="X318" s="200" t="str">
        <f aca="false">IF($A319="","",(U318+S318+H318+V318))</f>
        <v/>
      </c>
      <c r="Y318" s="202"/>
      <c r="Z318" s="185" t="str">
        <f aca="false">IF($A319="","",VLOOKUP($A318,Table,MATCH(Z$4,Curves,0)))</f>
        <v/>
      </c>
      <c r="AA318" s="185" t="str">
        <f aca="false">IF($A319="","",VLOOKUP($A318,Table,MATCH(AA$4,Curves,0)))</f>
        <v/>
      </c>
      <c r="AB318" s="185" t="e">
        <f aca="false">SQRT((AA318^2*(A318-$D$3)+Z318^2*(DAY(EOMONTH(A318,0))/2))/AK318)</f>
        <v>#VALUE!</v>
      </c>
      <c r="AC318" s="185" t="str">
        <f aca="false">IF($A319="","",VLOOKUP($A318,Table,MATCH(AC$4,Curves,0)))</f>
        <v/>
      </c>
      <c r="AD318" s="185" t="str">
        <f aca="false">IF($A319="","",VLOOKUP($A318,Table,MATCH(AD$4,Curves,0)))</f>
        <v/>
      </c>
      <c r="AE318" s="185" t="e">
        <f aca="false">SQRT((AD318^2*(A318-$D$3)+AC318^2*(DAY(EOMONTH(A318,0))/2))/AK318)</f>
        <v>#VALUE!</v>
      </c>
      <c r="AF318" s="206" t="e">
        <f aca="false">((Summary!$N$12*(AA318*AD318)*(A318-$D$3))+(Summary!$M$12*Z318*AC318*(AJ318-EOMONTH(EDATE(A318,-1),0))))/(AK318*AB318*AE318)</f>
        <v>#VALUE!</v>
      </c>
      <c r="AG318" s="207" t="str">
        <f aca="false">IF($A319="","",Summary!$Q$12)</f>
        <v/>
      </c>
      <c r="AH318" s="207" t="str">
        <f aca="false">IF($A319="","",IF(Summary!$R$12="Y",(VLOOKUP($A318,Summary!$AD$6:$AF$9,3)+'Escalating commodity'!H331),'Escalating commodity'!H331))</f>
        <v/>
      </c>
      <c r="AI318" s="207" t="str">
        <f aca="false">IF($A319="","",AH318)</f>
        <v/>
      </c>
      <c r="AJ318" s="208" t="e">
        <f aca="false">A318+DAY(EOMONTH(A318,0))/2-1</f>
        <v>#VALUE!</v>
      </c>
      <c r="AK318" s="209" t="str">
        <f aca="false">IF($A319="","",$A318-$E$1)</f>
        <v/>
      </c>
      <c r="AL318" s="182" t="str">
        <f aca="false">IF($A319="","",SPRDOPT(P318,X318,AI318,0,AB318,AE318,AF318,AK318,$AJ$2,0))</f>
        <v/>
      </c>
      <c r="AM318" s="211" t="str">
        <f aca="false">IF($A319="","",MAX(0,O318-W318-AI318))</f>
        <v/>
      </c>
      <c r="AN318" s="211" t="str">
        <f aca="false">IF($A319="","",AL318-AM318)</f>
        <v/>
      </c>
      <c r="AO318" s="137" t="str">
        <f aca="false">IF(A319="","",A319-A318)</f>
        <v/>
      </c>
      <c r="AP318" s="212" t="str">
        <f aca="false">IF(A319="","",CHOOSE(F$3,A319+24,A318))</f>
        <v/>
      </c>
      <c r="AQ318" s="209" t="str">
        <f aca="false">IF(A319="","",AP318-$E$1)</f>
        <v/>
      </c>
      <c r="AR318" s="185" t="n">
        <f aca="false">'ANR OK vs ML7'!AR318</f>
        <v>0.1</v>
      </c>
      <c r="AS318" s="213" t="str">
        <f aca="false">IF(A319="","",1/(1+CHOOSE(F$3,(AR319+($I$3/10000))/2,(AR318+($I$3/10000))/2))^(2*AQ318/365.25))</f>
        <v/>
      </c>
      <c r="AT318" s="137" t="str">
        <f aca="false">IF(A319="","",IF(AND(mthbeg&lt;=A318,mthend&gt;=A318),1,0))</f>
        <v/>
      </c>
      <c r="AU318" s="137" t="str">
        <f aca="false">IF(A319="","",AO318*AT318)</f>
        <v/>
      </c>
      <c r="AW318" s="195" t="str">
        <f aca="false">IF($A319="","",AL318*$E318)</f>
        <v/>
      </c>
      <c r="AX318" s="195" t="str">
        <f aca="false">IF($A319="","",AM318*$E318)</f>
        <v/>
      </c>
      <c r="AY318" s="195" t="str">
        <f aca="false">IF($A319="","",AN318*$E318)</f>
        <v/>
      </c>
      <c r="BA318" s="195" t="str">
        <f aca="false">IF($A319="","",F318*Summary!$Q$12)</f>
        <v/>
      </c>
    </row>
    <row r="319" customFormat="false" ht="12" hidden="false" customHeight="true" outlineLevel="0" collapsed="false">
      <c r="A319" s="196" t="str">
        <f aca="false">IF(A318&lt;mthend,EDATE(A318,1),"")</f>
        <v/>
      </c>
      <c r="B319" s="197" t="str">
        <f aca="false">IF(A319&lt;mthend,B318,"")</f>
        <v/>
      </c>
      <c r="C319" s="215"/>
      <c r="D319" s="197" t="str">
        <f aca="false">IF(A320&lt;&gt;"",B319+C319,"")</f>
        <v/>
      </c>
      <c r="E319" s="199" t="str">
        <f aca="false">IF(A320="","",IF(AND(AT319=1,$H$3=1),D319*AO319,IF($H$3=2,D319,"N/A")))</f>
        <v/>
      </c>
      <c r="F319" s="199" t="str">
        <f aca="false">IF(A320="","",E319*AS319)</f>
        <v/>
      </c>
      <c r="G319" s="200" t="str">
        <f aca="false">IF($A320="","",VLOOKUP($A319,Table,MATCH(G$4,Curves,0)))</f>
        <v/>
      </c>
      <c r="H319" s="201" t="str">
        <f aca="false">IF(A320="","",G319)</f>
        <v/>
      </c>
      <c r="I319" s="202"/>
      <c r="J319" s="200" t="str">
        <f aca="false">IF($A320="","",VLOOKUP($A319,Table,MATCH(J$4,Curves,0)))</f>
        <v/>
      </c>
      <c r="K319" s="201" t="str">
        <f aca="false">IF(A320="","",J319)</f>
        <v/>
      </c>
      <c r="L319" s="200" t="str">
        <f aca="false">IF($A320="","",VLOOKUP($A319,Table,MATCH(L$4,Curves,0)))</f>
        <v/>
      </c>
      <c r="M319" s="201" t="str">
        <f aca="false">IF(A320="","",L319)</f>
        <v/>
      </c>
      <c r="N319" s="203"/>
      <c r="O319" s="200" t="str">
        <f aca="false">IF(A320="","",L319+J319+G319)</f>
        <v/>
      </c>
      <c r="P319" s="200" t="str">
        <f aca="false">IF(A320="","",M319+K319+H319)</f>
        <v/>
      </c>
      <c r="Q319" s="204"/>
      <c r="R319" s="200" t="str">
        <f aca="false">IF($A320="","",VLOOKUP($A319,Table,MATCH(R$4,Curves,0)))</f>
        <v/>
      </c>
      <c r="S319" s="201" t="str">
        <f aca="false">IF(A320="","",R319)</f>
        <v/>
      </c>
      <c r="T319" s="200" t="str">
        <f aca="false">IF($A320="","",VLOOKUP($A319,Table,MATCH(T$4,Curves,0)))</f>
        <v/>
      </c>
      <c r="U319" s="201" t="str">
        <f aca="false">IF(A320="","",T319)</f>
        <v/>
      </c>
      <c r="V319" s="225" t="str">
        <f aca="false">IF($A320="","",IF(AND(MONTH(A319)&gt;3,MONTH(A319)&lt;11),(T319+R319+G319)*(((1/(1-Summary!$T$12))/(1-Summary!$W$12))-1),(T319+R319+G319)*((1/(1-Summary!$U$12))/(1-Summary!$X$12)-1)))</f>
        <v/>
      </c>
      <c r="W319" s="200" t="str">
        <f aca="false">IF($A320="","",(T319+R319+G319+V319))</f>
        <v/>
      </c>
      <c r="X319" s="200" t="str">
        <f aca="false">IF($A320="","",(U319+S319+H319+V319))</f>
        <v/>
      </c>
      <c r="Y319" s="202"/>
      <c r="Z319" s="185" t="str">
        <f aca="false">IF($A320="","",VLOOKUP($A319,Table,MATCH(Z$4,Curves,0)))</f>
        <v/>
      </c>
      <c r="AA319" s="185" t="str">
        <f aca="false">IF($A320="","",VLOOKUP($A319,Table,MATCH(AA$4,Curves,0)))</f>
        <v/>
      </c>
      <c r="AB319" s="185" t="e">
        <f aca="false">SQRT((AA319^2*(A319-$D$3)+Z319^2*(DAY(EOMONTH(A319,0))/2))/AK319)</f>
        <v>#VALUE!</v>
      </c>
      <c r="AC319" s="185" t="str">
        <f aca="false">IF($A320="","",VLOOKUP($A319,Table,MATCH(AC$4,Curves,0)))</f>
        <v/>
      </c>
      <c r="AD319" s="185" t="str">
        <f aca="false">IF($A320="","",VLOOKUP($A319,Table,MATCH(AD$4,Curves,0)))</f>
        <v/>
      </c>
      <c r="AE319" s="185" t="e">
        <f aca="false">SQRT((AD319^2*(A319-$D$3)+AC319^2*(DAY(EOMONTH(A319,0))/2))/AK319)</f>
        <v>#VALUE!</v>
      </c>
      <c r="AF319" s="206" t="e">
        <f aca="false">((Summary!$N$12*(AA319*AD319)*(A319-$D$3))+(Summary!$M$12*Z319*AC319*(AJ319-EOMONTH(EDATE(A319,-1),0))))/(AK319*AB319*AE319)</f>
        <v>#VALUE!</v>
      </c>
      <c r="AG319" s="207" t="str">
        <f aca="false">IF($A320="","",Summary!$Q$12)</f>
        <v/>
      </c>
      <c r="AH319" s="207" t="str">
        <f aca="false">IF($A320="","",IF(Summary!$R$12="Y",(VLOOKUP($A319,Summary!$AD$6:$AF$9,3)+'Escalating commodity'!H332),'Escalating commodity'!H332))</f>
        <v/>
      </c>
      <c r="AI319" s="207" t="str">
        <f aca="false">IF($A320="","",AH319)</f>
        <v/>
      </c>
      <c r="AJ319" s="208" t="e">
        <f aca="false">A319+DAY(EOMONTH(A319,0))/2-1</f>
        <v>#VALUE!</v>
      </c>
      <c r="AK319" s="209" t="str">
        <f aca="false">IF($A320="","",$A319-$E$1)</f>
        <v/>
      </c>
      <c r="AL319" s="182" t="str">
        <f aca="false">IF($A320="","",SPRDOPT(P319,X319,AI319,0,AB319,AE319,AF319,AK319,$AJ$2,0))</f>
        <v/>
      </c>
      <c r="AM319" s="211" t="str">
        <f aca="false">IF($A320="","",MAX(0,O319-W319-AI319))</f>
        <v/>
      </c>
      <c r="AN319" s="211" t="str">
        <f aca="false">IF($A320="","",AL319-AM319)</f>
        <v/>
      </c>
      <c r="AO319" s="137" t="str">
        <f aca="false">IF(A320="","",A320-A319)</f>
        <v/>
      </c>
      <c r="AP319" s="212" t="str">
        <f aca="false">IF(A320="","",CHOOSE(F$3,A320+24,A319))</f>
        <v/>
      </c>
      <c r="AQ319" s="209" t="str">
        <f aca="false">IF(A320="","",AP319-$E$1)</f>
        <v/>
      </c>
      <c r="AR319" s="185" t="n">
        <f aca="false">'ANR OK vs ML7'!AR319</f>
        <v>0.1</v>
      </c>
      <c r="AS319" s="213" t="str">
        <f aca="false">IF(A320="","",1/(1+CHOOSE(F$3,(AR320+($I$3/10000))/2,(AR319+($I$3/10000))/2))^(2*AQ319/365.25))</f>
        <v/>
      </c>
      <c r="AT319" s="137" t="str">
        <f aca="false">IF(A320="","",IF(AND(mthbeg&lt;=A319,mthend&gt;=A319),1,0))</f>
        <v/>
      </c>
      <c r="AU319" s="137" t="str">
        <f aca="false">IF(A320="","",AO319*AT319)</f>
        <v/>
      </c>
      <c r="AW319" s="195" t="str">
        <f aca="false">IF($A320="","",AL319*$E319)</f>
        <v/>
      </c>
      <c r="AX319" s="195" t="str">
        <f aca="false">IF($A320="","",AM319*$E319)</f>
        <v/>
      </c>
      <c r="AY319" s="195" t="str">
        <f aca="false">IF($A320="","",AN319*$E319)</f>
        <v/>
      </c>
      <c r="BA319" s="195" t="str">
        <f aca="false">IF($A320="","",F319*Summary!$Q$12)</f>
        <v/>
      </c>
    </row>
    <row r="320" customFormat="false" ht="12" hidden="false" customHeight="true" outlineLevel="0" collapsed="false">
      <c r="A320" s="196" t="str">
        <f aca="false">IF(A319&lt;mthend,EDATE(A319,1),"")</f>
        <v/>
      </c>
      <c r="B320" s="197" t="str">
        <f aca="false">IF(A320&lt;mthend,B319,"")</f>
        <v/>
      </c>
      <c r="C320" s="215"/>
      <c r="D320" s="197" t="str">
        <f aca="false">IF(A321&lt;&gt;"",B320+C320,"")</f>
        <v/>
      </c>
      <c r="E320" s="199" t="str">
        <f aca="false">IF(A321="","",IF(AND(AT320=1,$H$3=1),D320*AO320,IF($H$3=2,D320,"N/A")))</f>
        <v/>
      </c>
      <c r="F320" s="199" t="str">
        <f aca="false">IF(A321="","",E320*AS320)</f>
        <v/>
      </c>
      <c r="G320" s="200" t="str">
        <f aca="false">IF($A321="","",VLOOKUP($A320,Table,MATCH(G$4,Curves,0)))</f>
        <v/>
      </c>
      <c r="H320" s="201" t="str">
        <f aca="false">IF(A321="","",G320)</f>
        <v/>
      </c>
      <c r="I320" s="202"/>
      <c r="J320" s="200" t="str">
        <f aca="false">IF($A321="","",VLOOKUP($A320,Table,MATCH(J$4,Curves,0)))</f>
        <v/>
      </c>
      <c r="K320" s="201" t="str">
        <f aca="false">IF(A321="","",J320)</f>
        <v/>
      </c>
      <c r="L320" s="200" t="str">
        <f aca="false">IF($A321="","",VLOOKUP($A320,Table,MATCH(L$4,Curves,0)))</f>
        <v/>
      </c>
      <c r="M320" s="201" t="str">
        <f aca="false">IF(A321="","",L320)</f>
        <v/>
      </c>
      <c r="N320" s="203"/>
      <c r="O320" s="200" t="str">
        <f aca="false">IF(A321="","",L320+J320+G320)</f>
        <v/>
      </c>
      <c r="P320" s="200" t="str">
        <f aca="false">IF(A321="","",M320+K320+H320)</f>
        <v/>
      </c>
      <c r="Q320" s="204"/>
      <c r="R320" s="200" t="str">
        <f aca="false">IF($A321="","",VLOOKUP($A320,Table,MATCH(R$4,Curves,0)))</f>
        <v/>
      </c>
      <c r="S320" s="201" t="str">
        <f aca="false">IF(A321="","",R320)</f>
        <v/>
      </c>
      <c r="T320" s="200" t="str">
        <f aca="false">IF($A321="","",VLOOKUP($A320,Table,MATCH(T$4,Curves,0)))</f>
        <v/>
      </c>
      <c r="U320" s="201" t="str">
        <f aca="false">IF(A321="","",T320)</f>
        <v/>
      </c>
      <c r="V320" s="225" t="str">
        <f aca="false">IF($A321="","",IF(AND(MONTH(A320)&gt;3,MONTH(A320)&lt;11),(T320+R320+G320)*(((1/(1-Summary!$T$12))/(1-Summary!$W$12))-1),(T320+R320+G320)*((1/(1-Summary!$U$12))/(1-Summary!$X$12)-1)))</f>
        <v/>
      </c>
      <c r="W320" s="200" t="str">
        <f aca="false">IF($A321="","",(T320+R320+G320+V320))</f>
        <v/>
      </c>
      <c r="X320" s="200" t="str">
        <f aca="false">IF($A321="","",(U320+S320+H320+V320))</f>
        <v/>
      </c>
      <c r="Y320" s="202"/>
      <c r="Z320" s="185" t="str">
        <f aca="false">IF($A321="","",VLOOKUP($A320,Table,MATCH(Z$4,Curves,0)))</f>
        <v/>
      </c>
      <c r="AA320" s="185" t="str">
        <f aca="false">IF($A321="","",VLOOKUP($A320,Table,MATCH(AA$4,Curves,0)))</f>
        <v/>
      </c>
      <c r="AB320" s="185" t="e">
        <f aca="false">SQRT((AA320^2*(A320-$D$3)+Z320^2*(DAY(EOMONTH(A320,0))/2))/AK320)</f>
        <v>#VALUE!</v>
      </c>
      <c r="AC320" s="185" t="str">
        <f aca="false">IF($A321="","",VLOOKUP($A320,Table,MATCH(AC$4,Curves,0)))</f>
        <v/>
      </c>
      <c r="AD320" s="185" t="str">
        <f aca="false">IF($A321="","",VLOOKUP($A320,Table,MATCH(AD$4,Curves,0)))</f>
        <v/>
      </c>
      <c r="AE320" s="185" t="e">
        <f aca="false">SQRT((AD320^2*(A320-$D$3)+AC320^2*(DAY(EOMONTH(A320,0))/2))/AK320)</f>
        <v>#VALUE!</v>
      </c>
      <c r="AF320" s="206" t="e">
        <f aca="false">((Summary!$N$12*(AA320*AD320)*(A320-$D$3))+(Summary!$M$12*Z320*AC320*(AJ320-EOMONTH(EDATE(A320,-1),0))))/(AK320*AB320*AE320)</f>
        <v>#VALUE!</v>
      </c>
      <c r="AG320" s="207" t="str">
        <f aca="false">IF($A321="","",Summary!$Q$12)</f>
        <v/>
      </c>
      <c r="AH320" s="207" t="str">
        <f aca="false">IF($A321="","",IF(Summary!$R$12="Y",(VLOOKUP($A320,Summary!$AD$6:$AF$9,3)+'Escalating commodity'!H333),'Escalating commodity'!H333))</f>
        <v/>
      </c>
      <c r="AI320" s="207" t="str">
        <f aca="false">IF($A321="","",AH320)</f>
        <v/>
      </c>
      <c r="AJ320" s="208" t="e">
        <f aca="false">A320+DAY(EOMONTH(A320,0))/2-1</f>
        <v>#VALUE!</v>
      </c>
      <c r="AK320" s="209" t="str">
        <f aca="false">IF($A321="","",$A320-$E$1)</f>
        <v/>
      </c>
      <c r="AL320" s="182" t="str">
        <f aca="false">IF($A321="","",SPRDOPT(P320,X320,AI320,0,AB320,AE320,AF320,AK320,$AJ$2,0))</f>
        <v/>
      </c>
      <c r="AM320" s="211" t="str">
        <f aca="false">IF($A321="","",MAX(0,O320-W320-AI320))</f>
        <v/>
      </c>
      <c r="AN320" s="211" t="str">
        <f aca="false">IF($A321="","",AL320-AM320)</f>
        <v/>
      </c>
      <c r="AO320" s="137" t="str">
        <f aca="false">IF(A321="","",A321-A320)</f>
        <v/>
      </c>
      <c r="AP320" s="212" t="str">
        <f aca="false">IF(A321="","",CHOOSE(F$3,A321+24,A320))</f>
        <v/>
      </c>
      <c r="AQ320" s="209" t="str">
        <f aca="false">IF(A321="","",AP320-$E$1)</f>
        <v/>
      </c>
      <c r="AR320" s="185" t="n">
        <f aca="false">'ANR OK vs ML7'!AR320</f>
        <v>0.1</v>
      </c>
      <c r="AS320" s="213" t="str">
        <f aca="false">IF(A321="","",1/(1+CHOOSE(F$3,(AR321+($I$3/10000))/2,(AR320+($I$3/10000))/2))^(2*AQ320/365.25))</f>
        <v/>
      </c>
      <c r="AT320" s="137" t="str">
        <f aca="false">IF(A321="","",IF(AND(mthbeg&lt;=A320,mthend&gt;=A320),1,0))</f>
        <v/>
      </c>
      <c r="AU320" s="137" t="str">
        <f aca="false">IF(A321="","",AO320*AT320)</f>
        <v/>
      </c>
      <c r="AW320" s="195" t="str">
        <f aca="false">IF($A321="","",AL320*$E320)</f>
        <v/>
      </c>
      <c r="AX320" s="195" t="str">
        <f aca="false">IF($A321="","",AM320*$E320)</f>
        <v/>
      </c>
      <c r="AY320" s="195" t="str">
        <f aca="false">IF($A321="","",AN320*$E320)</f>
        <v/>
      </c>
      <c r="BA320" s="195" t="str">
        <f aca="false">IF($A321="","",F320*Summary!$Q$12)</f>
        <v/>
      </c>
    </row>
    <row r="321" customFormat="false" ht="12" hidden="false" customHeight="true" outlineLevel="0" collapsed="false">
      <c r="A321" s="196" t="str">
        <f aca="false">IF(A320&lt;mthend,EDATE(A320,1),"")</f>
        <v/>
      </c>
      <c r="B321" s="197" t="str">
        <f aca="false">IF(A321&lt;mthend,B320,"")</f>
        <v/>
      </c>
      <c r="C321" s="215"/>
      <c r="D321" s="197" t="str">
        <f aca="false">IF(A322&lt;&gt;"",B321+C321,"")</f>
        <v/>
      </c>
      <c r="E321" s="199" t="str">
        <f aca="false">IF(A322="","",IF(AND(AT321=1,$H$3=1),D321*AO321,IF($H$3=2,D321,"N/A")))</f>
        <v/>
      </c>
      <c r="F321" s="199" t="str">
        <f aca="false">IF(A322="","",E321*AS321)</f>
        <v/>
      </c>
      <c r="G321" s="200" t="str">
        <f aca="false">IF($A322="","",VLOOKUP($A321,Table,MATCH(G$4,Curves,0)))</f>
        <v/>
      </c>
      <c r="H321" s="201" t="str">
        <f aca="false">IF(A322="","",G321)</f>
        <v/>
      </c>
      <c r="I321" s="202"/>
      <c r="J321" s="200" t="str">
        <f aca="false">IF($A322="","",VLOOKUP($A321,Table,MATCH(J$4,Curves,0)))</f>
        <v/>
      </c>
      <c r="K321" s="201" t="str">
        <f aca="false">IF(A322="","",J321)</f>
        <v/>
      </c>
      <c r="L321" s="200" t="str">
        <f aca="false">IF($A322="","",VLOOKUP($A321,Table,MATCH(L$4,Curves,0)))</f>
        <v/>
      </c>
      <c r="M321" s="201" t="str">
        <f aca="false">IF(A322="","",L321)</f>
        <v/>
      </c>
      <c r="N321" s="203"/>
      <c r="O321" s="200" t="str">
        <f aca="false">IF(A322="","",L321+J321+G321)</f>
        <v/>
      </c>
      <c r="P321" s="200" t="str">
        <f aca="false">IF(A322="","",M321+K321+H321)</f>
        <v/>
      </c>
      <c r="Q321" s="204"/>
      <c r="R321" s="200" t="str">
        <f aca="false">IF($A322="","",VLOOKUP($A321,Table,MATCH(R$4,Curves,0)))</f>
        <v/>
      </c>
      <c r="S321" s="201" t="str">
        <f aca="false">IF(A322="","",R321)</f>
        <v/>
      </c>
      <c r="T321" s="200" t="str">
        <f aca="false">IF($A322="","",VLOOKUP($A321,Table,MATCH(T$4,Curves,0)))</f>
        <v/>
      </c>
      <c r="U321" s="201" t="str">
        <f aca="false">IF(A322="","",T321)</f>
        <v/>
      </c>
      <c r="V321" s="225" t="str">
        <f aca="false">IF($A322="","",IF(AND(MONTH(A321)&gt;3,MONTH(A321)&lt;11),(T321+R321+G321)*(((1/(1-Summary!$T$12))/(1-Summary!$W$12))-1),(T321+R321+G321)*((1/(1-Summary!$U$12))/(1-Summary!$X$12)-1)))</f>
        <v/>
      </c>
      <c r="W321" s="200" t="str">
        <f aca="false">IF($A322="","",(T321+R321+G321+V321))</f>
        <v/>
      </c>
      <c r="X321" s="200" t="str">
        <f aca="false">IF($A322="","",(U321+S321+H321+V321))</f>
        <v/>
      </c>
      <c r="Y321" s="202"/>
      <c r="Z321" s="185" t="str">
        <f aca="false">IF($A322="","",VLOOKUP($A321,Table,MATCH(Z$4,Curves,0)))</f>
        <v/>
      </c>
      <c r="AA321" s="185" t="str">
        <f aca="false">IF($A322="","",VLOOKUP($A321,Table,MATCH(AA$4,Curves,0)))</f>
        <v/>
      </c>
      <c r="AB321" s="185" t="e">
        <f aca="false">SQRT((AA321^2*(A321-$D$3)+Z321^2*(DAY(EOMONTH(A321,0))/2))/AK321)</f>
        <v>#VALUE!</v>
      </c>
      <c r="AC321" s="185" t="str">
        <f aca="false">IF($A322="","",VLOOKUP($A321,Table,MATCH(AC$4,Curves,0)))</f>
        <v/>
      </c>
      <c r="AD321" s="185" t="str">
        <f aca="false">IF($A322="","",VLOOKUP($A321,Table,MATCH(AD$4,Curves,0)))</f>
        <v/>
      </c>
      <c r="AE321" s="185" t="e">
        <f aca="false">SQRT((AD321^2*(A321-$D$3)+AC321^2*(DAY(EOMONTH(A321,0))/2))/AK321)</f>
        <v>#VALUE!</v>
      </c>
      <c r="AF321" s="206" t="e">
        <f aca="false">((Summary!$N$12*(AA321*AD321)*(A321-$D$3))+(Summary!$M$12*Z321*AC321*(AJ321-EOMONTH(EDATE(A321,-1),0))))/(AK321*AB321*AE321)</f>
        <v>#VALUE!</v>
      </c>
      <c r="AG321" s="207" t="str">
        <f aca="false">IF($A322="","",Summary!$Q$12)</f>
        <v/>
      </c>
      <c r="AH321" s="207" t="str">
        <f aca="false">IF($A322="","",IF(Summary!$R$12="Y",(VLOOKUP($A321,Summary!$AD$6:$AF$9,3)+'Escalating commodity'!H334),'Escalating commodity'!H334))</f>
        <v/>
      </c>
      <c r="AI321" s="207" t="str">
        <f aca="false">IF($A322="","",AH321)</f>
        <v/>
      </c>
      <c r="AJ321" s="208" t="e">
        <f aca="false">A321+DAY(EOMONTH(A321,0))/2-1</f>
        <v>#VALUE!</v>
      </c>
      <c r="AK321" s="209" t="str">
        <f aca="false">IF($A322="","",$A321-$E$1)</f>
        <v/>
      </c>
      <c r="AL321" s="182" t="str">
        <f aca="false">IF($A322="","",SPRDOPT(P321,X321,AI321,0,AB321,AE321,AF321,AK321,$AJ$2,0))</f>
        <v/>
      </c>
      <c r="AM321" s="211" t="str">
        <f aca="false">IF($A322="","",MAX(0,O321-W321-AI321))</f>
        <v/>
      </c>
      <c r="AN321" s="211" t="str">
        <f aca="false">IF($A322="","",AL321-AM321)</f>
        <v/>
      </c>
      <c r="AO321" s="137" t="str">
        <f aca="false">IF(A322="","",A322-A321)</f>
        <v/>
      </c>
      <c r="AP321" s="212" t="str">
        <f aca="false">IF(A322="","",CHOOSE(F$3,A322+24,A321))</f>
        <v/>
      </c>
      <c r="AQ321" s="209" t="str">
        <f aca="false">IF(A322="","",AP321-$E$1)</f>
        <v/>
      </c>
      <c r="AR321" s="185" t="n">
        <f aca="false">'ANR OK vs ML7'!AR321</f>
        <v>0.1</v>
      </c>
      <c r="AS321" s="213" t="str">
        <f aca="false">IF(A322="","",1/(1+CHOOSE(F$3,(AR322+($I$3/10000))/2,(AR321+($I$3/10000))/2))^(2*AQ321/365.25))</f>
        <v/>
      </c>
      <c r="AT321" s="137" t="str">
        <f aca="false">IF(A322="","",IF(AND(mthbeg&lt;=A321,mthend&gt;=A321),1,0))</f>
        <v/>
      </c>
      <c r="AU321" s="137" t="str">
        <f aca="false">IF(A322="","",AO321*AT321)</f>
        <v/>
      </c>
      <c r="AW321" s="195" t="str">
        <f aca="false">IF($A322="","",AL321*$E321)</f>
        <v/>
      </c>
      <c r="AX321" s="195" t="str">
        <f aca="false">IF($A322="","",AM321*$E321)</f>
        <v/>
      </c>
      <c r="AY321" s="195" t="str">
        <f aca="false">IF($A322="","",AN321*$E321)</f>
        <v/>
      </c>
      <c r="BA321" s="195" t="str">
        <f aca="false">IF($A322="","",F321*Summary!$Q$12)</f>
        <v/>
      </c>
    </row>
    <row r="322" customFormat="false" ht="12" hidden="false" customHeight="true" outlineLevel="0" collapsed="false">
      <c r="A322" s="196" t="str">
        <f aca="false">IF(A321&lt;mthend,EDATE(A321,1),"")</f>
        <v/>
      </c>
      <c r="B322" s="197" t="str">
        <f aca="false">IF(A322&lt;mthend,B321,"")</f>
        <v/>
      </c>
      <c r="C322" s="215"/>
      <c r="D322" s="197" t="str">
        <f aca="false">IF(A323&lt;&gt;"",B322+C322,"")</f>
        <v/>
      </c>
      <c r="E322" s="199" t="str">
        <f aca="false">IF(A323="","",IF(AND(AT322=1,$H$3=1),D322*AO322,IF($H$3=2,D322,"N/A")))</f>
        <v/>
      </c>
      <c r="F322" s="199" t="str">
        <f aca="false">IF(A323="","",E322*AS322)</f>
        <v/>
      </c>
      <c r="G322" s="200" t="str">
        <f aca="false">IF($A323="","",VLOOKUP($A322,Table,MATCH(G$4,Curves,0)))</f>
        <v/>
      </c>
      <c r="H322" s="201" t="str">
        <f aca="false">IF(A323="","",G322)</f>
        <v/>
      </c>
      <c r="I322" s="202"/>
      <c r="J322" s="200" t="str">
        <f aca="false">IF($A323="","",VLOOKUP($A322,Table,MATCH(J$4,Curves,0)))</f>
        <v/>
      </c>
      <c r="K322" s="201" t="str">
        <f aca="false">IF(A323="","",J322)</f>
        <v/>
      </c>
      <c r="L322" s="200" t="str">
        <f aca="false">IF($A323="","",VLOOKUP($A322,Table,MATCH(L$4,Curves,0)))</f>
        <v/>
      </c>
      <c r="M322" s="201" t="str">
        <f aca="false">IF(A323="","",L322)</f>
        <v/>
      </c>
      <c r="N322" s="203"/>
      <c r="O322" s="200" t="str">
        <f aca="false">IF(A323="","",L322+J322+G322)</f>
        <v/>
      </c>
      <c r="P322" s="200" t="str">
        <f aca="false">IF(A323="","",M322+K322+H322)</f>
        <v/>
      </c>
      <c r="Q322" s="204"/>
      <c r="R322" s="200" t="str">
        <f aca="false">IF($A323="","",VLOOKUP($A322,Table,MATCH(R$4,Curves,0)))</f>
        <v/>
      </c>
      <c r="S322" s="201" t="str">
        <f aca="false">IF(A323="","",R322)</f>
        <v/>
      </c>
      <c r="T322" s="200" t="str">
        <f aca="false">IF($A323="","",VLOOKUP($A322,Table,MATCH(T$4,Curves,0)))</f>
        <v/>
      </c>
      <c r="U322" s="201" t="str">
        <f aca="false">IF(A323="","",T322)</f>
        <v/>
      </c>
      <c r="V322" s="225" t="str">
        <f aca="false">IF($A323="","",IF(AND(MONTH(A322)&gt;3,MONTH(A322)&lt;11),(T322+R322+G322)*(((1/(1-Summary!$T$12))/(1-Summary!$W$12))-1),(T322+R322+G322)*((1/(1-Summary!$U$12))/(1-Summary!$X$12)-1)))</f>
        <v/>
      </c>
      <c r="W322" s="200" t="str">
        <f aca="false">IF($A323="","",(T322+R322+G322+V322))</f>
        <v/>
      </c>
      <c r="X322" s="200" t="str">
        <f aca="false">IF($A323="","",(U322+S322+H322+V322))</f>
        <v/>
      </c>
      <c r="Y322" s="202"/>
      <c r="Z322" s="185" t="str">
        <f aca="false">IF($A323="","",VLOOKUP($A322,Table,MATCH(Z$4,Curves,0)))</f>
        <v/>
      </c>
      <c r="AA322" s="185" t="str">
        <f aca="false">IF($A323="","",VLOOKUP($A322,Table,MATCH(AA$4,Curves,0)))</f>
        <v/>
      </c>
      <c r="AB322" s="185" t="e">
        <f aca="false">SQRT((AA322^2*(A322-$D$3)+Z322^2*(DAY(EOMONTH(A322,0))/2))/AK322)</f>
        <v>#VALUE!</v>
      </c>
      <c r="AC322" s="185" t="str">
        <f aca="false">IF($A323="","",VLOOKUP($A322,Table,MATCH(AC$4,Curves,0)))</f>
        <v/>
      </c>
      <c r="AD322" s="185" t="str">
        <f aca="false">IF($A323="","",VLOOKUP($A322,Table,MATCH(AD$4,Curves,0)))</f>
        <v/>
      </c>
      <c r="AE322" s="185" t="e">
        <f aca="false">SQRT((AD322^2*(A322-$D$3)+AC322^2*(DAY(EOMONTH(A322,0))/2))/AK322)</f>
        <v>#VALUE!</v>
      </c>
      <c r="AF322" s="206" t="e">
        <f aca="false">((Summary!$N$12*(AA322*AD322)*(A322-$D$3))+(Summary!$M$12*Z322*AC322*(AJ322-EOMONTH(EDATE(A322,-1),0))))/(AK322*AB322*AE322)</f>
        <v>#VALUE!</v>
      </c>
      <c r="AG322" s="207" t="str">
        <f aca="false">IF($A323="","",Summary!$Q$12)</f>
        <v/>
      </c>
      <c r="AH322" s="207" t="str">
        <f aca="false">IF($A323="","",IF(Summary!$R$12="Y",(VLOOKUP($A322,Summary!$AD$6:$AF$9,3)+'Escalating commodity'!H335),'Escalating commodity'!H335))</f>
        <v/>
      </c>
      <c r="AI322" s="207" t="str">
        <f aca="false">IF($A323="","",AH322)</f>
        <v/>
      </c>
      <c r="AJ322" s="208" t="e">
        <f aca="false">A322+DAY(EOMONTH(A322,0))/2-1</f>
        <v>#VALUE!</v>
      </c>
      <c r="AK322" s="209" t="str">
        <f aca="false">IF($A323="","",$A322-$E$1)</f>
        <v/>
      </c>
      <c r="AL322" s="182" t="str">
        <f aca="false">IF($A323="","",SPRDOPT(P322,X322,AI322,0,AB322,AE322,AF322,AK322,$AJ$2,0))</f>
        <v/>
      </c>
      <c r="AM322" s="211" t="str">
        <f aca="false">IF($A323="","",MAX(0,O322-W322-AI322))</f>
        <v/>
      </c>
      <c r="AN322" s="211" t="str">
        <f aca="false">IF($A323="","",AL322-AM322)</f>
        <v/>
      </c>
      <c r="AO322" s="137" t="str">
        <f aca="false">IF(A323="","",A323-A322)</f>
        <v/>
      </c>
      <c r="AP322" s="212" t="str">
        <f aca="false">IF(A323="","",CHOOSE(F$3,A323+24,A322))</f>
        <v/>
      </c>
      <c r="AQ322" s="209" t="str">
        <f aca="false">IF(A323="","",AP322-$E$1)</f>
        <v/>
      </c>
      <c r="AR322" s="185" t="n">
        <f aca="false">'ANR OK vs ML7'!AR322</f>
        <v>0.1</v>
      </c>
      <c r="AS322" s="213" t="str">
        <f aca="false">IF(A323="","",1/(1+CHOOSE(F$3,(AR323+($I$3/10000))/2,(AR322+($I$3/10000))/2))^(2*AQ322/365.25))</f>
        <v/>
      </c>
      <c r="AT322" s="137" t="str">
        <f aca="false">IF(A323="","",IF(AND(mthbeg&lt;=A322,mthend&gt;=A322),1,0))</f>
        <v/>
      </c>
      <c r="AU322" s="137" t="str">
        <f aca="false">IF(A323="","",AO322*AT322)</f>
        <v/>
      </c>
      <c r="AW322" s="195" t="str">
        <f aca="false">IF($A323="","",AL322*$E322)</f>
        <v/>
      </c>
      <c r="AX322" s="195" t="str">
        <f aca="false">IF($A323="","",AM322*$E322)</f>
        <v/>
      </c>
      <c r="AY322" s="195" t="str">
        <f aca="false">IF($A323="","",AN322*$E322)</f>
        <v/>
      </c>
      <c r="BA322" s="195" t="str">
        <f aca="false">IF($A323="","",F322*Summary!$Q$12)</f>
        <v/>
      </c>
    </row>
    <row r="323" customFormat="false" ht="12" hidden="false" customHeight="true" outlineLevel="0" collapsed="false">
      <c r="A323" s="196" t="str">
        <f aca="false">IF(A322&lt;mthend,EDATE(A322,1),"")</f>
        <v/>
      </c>
      <c r="B323" s="197" t="str">
        <f aca="false">IF(A323&lt;mthend,B322,"")</f>
        <v/>
      </c>
      <c r="C323" s="215"/>
      <c r="D323" s="197" t="str">
        <f aca="false">IF(A324&lt;&gt;"",B323+C323,"")</f>
        <v/>
      </c>
      <c r="E323" s="199" t="str">
        <f aca="false">IF(A324="","",IF(AND(AT323=1,$H$3=1),D323*AO323,IF($H$3=2,D323,"N/A")))</f>
        <v/>
      </c>
      <c r="F323" s="199" t="str">
        <f aca="false">IF(A324="","",E323*AS323)</f>
        <v/>
      </c>
      <c r="G323" s="200" t="str">
        <f aca="false">IF($A324="","",VLOOKUP($A323,Table,MATCH(G$4,Curves,0)))</f>
        <v/>
      </c>
      <c r="H323" s="201" t="str">
        <f aca="false">IF(A324="","",G323)</f>
        <v/>
      </c>
      <c r="I323" s="202"/>
      <c r="J323" s="200" t="str">
        <f aca="false">IF($A324="","",VLOOKUP($A323,Table,MATCH(J$4,Curves,0)))</f>
        <v/>
      </c>
      <c r="K323" s="201" t="str">
        <f aca="false">IF(A324="","",J323)</f>
        <v/>
      </c>
      <c r="L323" s="200" t="str">
        <f aca="false">IF($A324="","",VLOOKUP($A323,Table,MATCH(L$4,Curves,0)))</f>
        <v/>
      </c>
      <c r="M323" s="201" t="str">
        <f aca="false">IF(A324="","",L323)</f>
        <v/>
      </c>
      <c r="N323" s="203"/>
      <c r="O323" s="200" t="str">
        <f aca="false">IF(A324="","",L323+J323+G323)</f>
        <v/>
      </c>
      <c r="P323" s="200" t="str">
        <f aca="false">IF(A324="","",M323+K323+H323)</f>
        <v/>
      </c>
      <c r="Q323" s="204"/>
      <c r="R323" s="200" t="str">
        <f aca="false">IF($A324="","",VLOOKUP($A323,Table,MATCH(R$4,Curves,0)))</f>
        <v/>
      </c>
      <c r="S323" s="201" t="str">
        <f aca="false">IF(A324="","",R323)</f>
        <v/>
      </c>
      <c r="T323" s="200" t="str">
        <f aca="false">IF($A324="","",VLOOKUP($A323,Table,MATCH(T$4,Curves,0)))</f>
        <v/>
      </c>
      <c r="U323" s="201" t="str">
        <f aca="false">IF(A324="","",T323)</f>
        <v/>
      </c>
      <c r="V323" s="225" t="str">
        <f aca="false">IF($A324="","",IF(AND(MONTH(A323)&gt;3,MONTH(A323)&lt;11),(T323+R323+G323)*(((1/(1-Summary!$T$12))/(1-Summary!$W$12))-1),(T323+R323+G323)*((1/(1-Summary!$U$12))/(1-Summary!$X$12)-1)))</f>
        <v/>
      </c>
      <c r="W323" s="200" t="str">
        <f aca="false">IF($A324="","",(T323+R323+G323+V323))</f>
        <v/>
      </c>
      <c r="X323" s="200" t="str">
        <f aca="false">IF($A324="","",(U323+S323+H323+V323))</f>
        <v/>
      </c>
      <c r="Y323" s="202"/>
      <c r="Z323" s="185" t="str">
        <f aca="false">IF($A324="","",VLOOKUP($A323,Table,MATCH(Z$4,Curves,0)))</f>
        <v/>
      </c>
      <c r="AA323" s="185" t="str">
        <f aca="false">IF($A324="","",VLOOKUP($A323,Table,MATCH(AA$4,Curves,0)))</f>
        <v/>
      </c>
      <c r="AB323" s="185" t="e">
        <f aca="false">SQRT((AA323^2*(A323-$D$3)+Z323^2*(DAY(EOMONTH(A323,0))/2))/AK323)</f>
        <v>#VALUE!</v>
      </c>
      <c r="AC323" s="185" t="str">
        <f aca="false">IF($A324="","",VLOOKUP($A323,Table,MATCH(AC$4,Curves,0)))</f>
        <v/>
      </c>
      <c r="AD323" s="185" t="str">
        <f aca="false">IF($A324="","",VLOOKUP($A323,Table,MATCH(AD$4,Curves,0)))</f>
        <v/>
      </c>
      <c r="AE323" s="185" t="e">
        <f aca="false">SQRT((AD323^2*(A323-$D$3)+AC323^2*(DAY(EOMONTH(A323,0))/2))/AK323)</f>
        <v>#VALUE!</v>
      </c>
      <c r="AF323" s="206" t="e">
        <f aca="false">((Summary!$N$12*(AA323*AD323)*(A323-$D$3))+(Summary!$M$12*Z323*AC323*(AJ323-EOMONTH(EDATE(A323,-1),0))))/(AK323*AB323*AE323)</f>
        <v>#VALUE!</v>
      </c>
      <c r="AG323" s="207" t="str">
        <f aca="false">IF($A324="","",Summary!$Q$12)</f>
        <v/>
      </c>
      <c r="AH323" s="207" t="str">
        <f aca="false">IF($A324="","",IF(Summary!$R$12="Y",(VLOOKUP($A323,Summary!$AD$6:$AF$9,3)+'Escalating commodity'!H336),'Escalating commodity'!H336))</f>
        <v/>
      </c>
      <c r="AI323" s="207" t="str">
        <f aca="false">IF($A324="","",AH323)</f>
        <v/>
      </c>
      <c r="AJ323" s="208" t="e">
        <f aca="false">A323+DAY(EOMONTH(A323,0))/2-1</f>
        <v>#VALUE!</v>
      </c>
      <c r="AK323" s="209" t="str">
        <f aca="false">IF($A324="","",$A323-$E$1)</f>
        <v/>
      </c>
      <c r="AL323" s="182" t="str">
        <f aca="false">IF($A324="","",SPRDOPT(P323,X323,AI323,0,AB323,AE323,AF323,AK323,$AJ$2,0))</f>
        <v/>
      </c>
      <c r="AM323" s="211" t="str">
        <f aca="false">IF($A324="","",MAX(0,O323-W323-AI323))</f>
        <v/>
      </c>
      <c r="AN323" s="211" t="str">
        <f aca="false">IF($A324="","",AL323-AM323)</f>
        <v/>
      </c>
      <c r="AO323" s="137" t="str">
        <f aca="false">IF(A324="","",A324-A323)</f>
        <v/>
      </c>
      <c r="AP323" s="212" t="str">
        <f aca="false">IF(A324="","",CHOOSE(F$3,A324+24,A323))</f>
        <v/>
      </c>
      <c r="AQ323" s="209" t="str">
        <f aca="false">IF(A324="","",AP323-$E$1)</f>
        <v/>
      </c>
      <c r="AR323" s="185" t="n">
        <f aca="false">'ANR OK vs ML7'!AR323</f>
        <v>0.1</v>
      </c>
      <c r="AS323" s="213" t="str">
        <f aca="false">IF(A324="","",1/(1+CHOOSE(F$3,(AR324+($I$3/10000))/2,(AR323+($I$3/10000))/2))^(2*AQ323/365.25))</f>
        <v/>
      </c>
      <c r="AT323" s="137" t="str">
        <f aca="false">IF(A324="","",IF(AND(mthbeg&lt;=A323,mthend&gt;=A323),1,0))</f>
        <v/>
      </c>
      <c r="AU323" s="137" t="str">
        <f aca="false">IF(A324="","",AO323*AT323)</f>
        <v/>
      </c>
      <c r="AW323" s="195" t="str">
        <f aca="false">IF($A324="","",AL323*$E323)</f>
        <v/>
      </c>
      <c r="AX323" s="195" t="str">
        <f aca="false">IF($A324="","",AM323*$E323)</f>
        <v/>
      </c>
      <c r="AY323" s="195" t="str">
        <f aca="false">IF($A324="","",AN323*$E323)</f>
        <v/>
      </c>
      <c r="BA323" s="195" t="str">
        <f aca="false">IF($A324="","",F323*Summary!$Q$12)</f>
        <v/>
      </c>
    </row>
    <row r="324" customFormat="false" ht="12" hidden="false" customHeight="true" outlineLevel="0" collapsed="false">
      <c r="A324" s="196" t="str">
        <f aca="false">IF(A323&lt;mthend,EDATE(A323,1),"")</f>
        <v/>
      </c>
      <c r="B324" s="197" t="str">
        <f aca="false">IF(A324&lt;mthend,B323,"")</f>
        <v/>
      </c>
      <c r="C324" s="215"/>
      <c r="D324" s="197" t="str">
        <f aca="false">IF(A325&lt;&gt;"",B324+C324,"")</f>
        <v/>
      </c>
      <c r="E324" s="199" t="str">
        <f aca="false">IF(A325="","",IF(AND(AT324=1,$H$3=1),D324*AO324,IF($H$3=2,D324,"N/A")))</f>
        <v/>
      </c>
      <c r="F324" s="199" t="str">
        <f aca="false">IF(A325="","",E324*AS324)</f>
        <v/>
      </c>
      <c r="G324" s="200" t="str">
        <f aca="false">IF($A325="","",VLOOKUP($A324,Table,MATCH(G$4,Curves,0)))</f>
        <v/>
      </c>
      <c r="H324" s="201" t="str">
        <f aca="false">IF(A325="","",G324)</f>
        <v/>
      </c>
      <c r="I324" s="202"/>
      <c r="J324" s="200" t="str">
        <f aca="false">IF($A325="","",VLOOKUP($A324,Table,MATCH(J$4,Curves,0)))</f>
        <v/>
      </c>
      <c r="K324" s="201" t="str">
        <f aca="false">IF(A325="","",J324)</f>
        <v/>
      </c>
      <c r="L324" s="200" t="str">
        <f aca="false">IF($A325="","",VLOOKUP($A324,Table,MATCH(L$4,Curves,0)))</f>
        <v/>
      </c>
      <c r="M324" s="201" t="str">
        <f aca="false">IF(A325="","",L324)</f>
        <v/>
      </c>
      <c r="N324" s="203"/>
      <c r="O324" s="200" t="str">
        <f aca="false">IF(A325="","",L324+J324+G324)</f>
        <v/>
      </c>
      <c r="P324" s="200" t="str">
        <f aca="false">IF(A325="","",M324+K324+H324)</f>
        <v/>
      </c>
      <c r="Q324" s="204"/>
      <c r="R324" s="200" t="str">
        <f aca="false">IF($A325="","",VLOOKUP($A324,Table,MATCH(R$4,Curves,0)))</f>
        <v/>
      </c>
      <c r="S324" s="201" t="str">
        <f aca="false">IF(A325="","",R324)</f>
        <v/>
      </c>
      <c r="T324" s="200" t="str">
        <f aca="false">IF($A325="","",VLOOKUP($A324,Table,MATCH(T$4,Curves,0)))</f>
        <v/>
      </c>
      <c r="U324" s="201" t="str">
        <f aca="false">IF(A325="","",T324)</f>
        <v/>
      </c>
      <c r="V324" s="225" t="str">
        <f aca="false">IF($A325="","",IF(AND(MONTH(A324)&gt;3,MONTH(A324)&lt;11),(T324+R324+G324)*(((1/(1-Summary!$T$12))/(1-Summary!$W$12))-1),(T324+R324+G324)*((1/(1-Summary!$U$12))/(1-Summary!$X$12)-1)))</f>
        <v/>
      </c>
      <c r="W324" s="200" t="str">
        <f aca="false">IF($A325="","",(T324+R324+G324+V324))</f>
        <v/>
      </c>
      <c r="X324" s="200" t="str">
        <f aca="false">IF($A325="","",(U324+S324+H324+V324))</f>
        <v/>
      </c>
      <c r="Y324" s="202"/>
      <c r="Z324" s="185" t="str">
        <f aca="false">IF($A325="","",VLOOKUP($A324,Table,MATCH(Z$4,Curves,0)))</f>
        <v/>
      </c>
      <c r="AA324" s="185" t="str">
        <f aca="false">IF($A325="","",VLOOKUP($A324,Table,MATCH(AA$4,Curves,0)))</f>
        <v/>
      </c>
      <c r="AB324" s="185" t="e">
        <f aca="false">SQRT((AA324^2*(A324-$D$3)+Z324^2*(DAY(EOMONTH(A324,0))/2))/AK324)</f>
        <v>#VALUE!</v>
      </c>
      <c r="AC324" s="185" t="str">
        <f aca="false">IF($A325="","",VLOOKUP($A324,Table,MATCH(AC$4,Curves,0)))</f>
        <v/>
      </c>
      <c r="AD324" s="185" t="str">
        <f aca="false">IF($A325="","",VLOOKUP($A324,Table,MATCH(AD$4,Curves,0)))</f>
        <v/>
      </c>
      <c r="AE324" s="185" t="e">
        <f aca="false">SQRT((AD324^2*(A324-$D$3)+AC324^2*(DAY(EOMONTH(A324,0))/2))/AK324)</f>
        <v>#VALUE!</v>
      </c>
      <c r="AF324" s="206" t="e">
        <f aca="false">((Summary!$N$12*(AA324*AD324)*(A324-$D$3))+(Summary!$M$12*Z324*AC324*(AJ324-EOMONTH(EDATE(A324,-1),0))))/(AK324*AB324*AE324)</f>
        <v>#VALUE!</v>
      </c>
      <c r="AG324" s="207" t="str">
        <f aca="false">IF($A325="","",Summary!$Q$12)</f>
        <v/>
      </c>
      <c r="AH324" s="207" t="str">
        <f aca="false">IF($A325="","",IF(Summary!$R$12="Y",(VLOOKUP($A324,Summary!$AD$6:$AF$9,3)+'Escalating commodity'!H337),'Escalating commodity'!H337))</f>
        <v/>
      </c>
      <c r="AI324" s="207" t="str">
        <f aca="false">IF($A325="","",AH324)</f>
        <v/>
      </c>
      <c r="AJ324" s="208" t="e">
        <f aca="false">A324+DAY(EOMONTH(A324,0))/2-1</f>
        <v>#VALUE!</v>
      </c>
      <c r="AK324" s="209" t="str">
        <f aca="false">IF($A325="","",$A324-$E$1)</f>
        <v/>
      </c>
      <c r="AL324" s="182" t="str">
        <f aca="false">IF($A325="","",SPRDOPT(P324,X324,AI324,0,AB324,AE324,AF324,AK324,$AJ$2,0))</f>
        <v/>
      </c>
      <c r="AM324" s="211" t="str">
        <f aca="false">IF($A325="","",MAX(0,O324-W324-AI324))</f>
        <v/>
      </c>
      <c r="AN324" s="211" t="str">
        <f aca="false">IF($A325="","",AL324-AM324)</f>
        <v/>
      </c>
      <c r="AO324" s="137" t="str">
        <f aca="false">IF(A325="","",A325-A324)</f>
        <v/>
      </c>
      <c r="AP324" s="212" t="str">
        <f aca="false">IF(A325="","",CHOOSE(F$3,A325+24,A324))</f>
        <v/>
      </c>
      <c r="AQ324" s="209" t="str">
        <f aca="false">IF(A325="","",AP324-$E$1)</f>
        <v/>
      </c>
      <c r="AR324" s="185" t="n">
        <f aca="false">'ANR OK vs ML7'!AR324</f>
        <v>0.1</v>
      </c>
      <c r="AS324" s="213" t="str">
        <f aca="false">IF(A325="","",1/(1+CHOOSE(F$3,(AR325+($I$3/10000))/2,(AR324+($I$3/10000))/2))^(2*AQ324/365.25))</f>
        <v/>
      </c>
      <c r="AT324" s="137" t="str">
        <f aca="false">IF(A325="","",IF(AND(mthbeg&lt;=A324,mthend&gt;=A324),1,0))</f>
        <v/>
      </c>
      <c r="AU324" s="137" t="str">
        <f aca="false">IF(A325="","",AO324*AT324)</f>
        <v/>
      </c>
      <c r="AW324" s="195" t="str">
        <f aca="false">IF($A325="","",AL324*$E324)</f>
        <v/>
      </c>
      <c r="AX324" s="195" t="str">
        <f aca="false">IF($A325="","",AM324*$E324)</f>
        <v/>
      </c>
      <c r="AY324" s="195" t="str">
        <f aca="false">IF($A325="","",AN324*$E324)</f>
        <v/>
      </c>
      <c r="BA324" s="195" t="str">
        <f aca="false">IF($A325="","",F324*Summary!$Q$12)</f>
        <v/>
      </c>
    </row>
    <row r="325" customFormat="false" ht="12" hidden="false" customHeight="true" outlineLevel="0" collapsed="false">
      <c r="A325" s="196" t="str">
        <f aca="false">IF(A324&lt;mthend,EDATE(A324,1),"")</f>
        <v/>
      </c>
      <c r="B325" s="197" t="str">
        <f aca="false">IF(A325&lt;mthend,B324,"")</f>
        <v/>
      </c>
      <c r="C325" s="215"/>
      <c r="D325" s="197" t="str">
        <f aca="false">IF(A326&lt;&gt;"",B325+C325,"")</f>
        <v/>
      </c>
      <c r="E325" s="199" t="str">
        <f aca="false">IF(A326="","",IF(AND(AT325=1,$H$3=1),D325*AO325,IF($H$3=2,D325,"N/A")))</f>
        <v/>
      </c>
      <c r="F325" s="199" t="str">
        <f aca="false">IF(A326="","",E325*AS325)</f>
        <v/>
      </c>
      <c r="G325" s="200" t="str">
        <f aca="false">IF($A326="","",VLOOKUP($A325,Table,MATCH(G$4,Curves,0)))</f>
        <v/>
      </c>
      <c r="H325" s="201" t="str">
        <f aca="false">IF(A326="","",G325)</f>
        <v/>
      </c>
      <c r="I325" s="202"/>
      <c r="J325" s="200" t="str">
        <f aca="false">IF($A326="","",VLOOKUP($A325,Table,MATCH(J$4,Curves,0)))</f>
        <v/>
      </c>
      <c r="K325" s="201" t="str">
        <f aca="false">IF(A326="","",J325)</f>
        <v/>
      </c>
      <c r="L325" s="200" t="str">
        <f aca="false">IF($A326="","",VLOOKUP($A325,Table,MATCH(L$4,Curves,0)))</f>
        <v/>
      </c>
      <c r="M325" s="201" t="str">
        <f aca="false">IF(A326="","",L325)</f>
        <v/>
      </c>
      <c r="N325" s="203"/>
      <c r="O325" s="200" t="str">
        <f aca="false">IF(A326="","",L325+J325+G325)</f>
        <v/>
      </c>
      <c r="P325" s="200" t="str">
        <f aca="false">IF(A326="","",M325+K325+H325)</f>
        <v/>
      </c>
      <c r="Q325" s="204"/>
      <c r="R325" s="200" t="str">
        <f aca="false">IF($A326="","",VLOOKUP($A325,Table,MATCH(R$4,Curves,0)))</f>
        <v/>
      </c>
      <c r="S325" s="201" t="str">
        <f aca="false">IF(A326="","",R325)</f>
        <v/>
      </c>
      <c r="T325" s="200" t="str">
        <f aca="false">IF($A326="","",VLOOKUP($A325,Table,MATCH(T$4,Curves,0)))</f>
        <v/>
      </c>
      <c r="U325" s="201" t="str">
        <f aca="false">IF(A326="","",T325)</f>
        <v/>
      </c>
      <c r="V325" s="225" t="str">
        <f aca="false">IF($A326="","",IF(AND(MONTH(A325)&gt;3,MONTH(A325)&lt;11),(T325+R325+G325)*(((1/(1-Summary!$T$12))/(1-Summary!$W$12))-1),(T325+R325+G325)*((1/(1-Summary!$U$12))/(1-Summary!$X$12)-1)))</f>
        <v/>
      </c>
      <c r="W325" s="200" t="str">
        <f aca="false">IF($A326="","",(T325+R325+G325+V325))</f>
        <v/>
      </c>
      <c r="X325" s="200" t="str">
        <f aca="false">IF($A326="","",(U325+S325+H325+V325))</f>
        <v/>
      </c>
      <c r="Y325" s="202"/>
      <c r="Z325" s="185" t="str">
        <f aca="false">IF($A326="","",VLOOKUP($A325,Table,MATCH(Z$4,Curves,0)))</f>
        <v/>
      </c>
      <c r="AA325" s="185" t="str">
        <f aca="false">IF($A326="","",VLOOKUP($A325,Table,MATCH(AA$4,Curves,0)))</f>
        <v/>
      </c>
      <c r="AB325" s="185" t="e">
        <f aca="false">SQRT((AA325^2*(A325-$D$3)+Z325^2*(DAY(EOMONTH(A325,0))/2))/AK325)</f>
        <v>#VALUE!</v>
      </c>
      <c r="AC325" s="185" t="str">
        <f aca="false">IF($A326="","",VLOOKUP($A325,Table,MATCH(AC$4,Curves,0)))</f>
        <v/>
      </c>
      <c r="AD325" s="185" t="str">
        <f aca="false">IF($A326="","",VLOOKUP($A325,Table,MATCH(AD$4,Curves,0)))</f>
        <v/>
      </c>
      <c r="AE325" s="185" t="e">
        <f aca="false">SQRT((AD325^2*(A325-$D$3)+AC325^2*(DAY(EOMONTH(A325,0))/2))/AK325)</f>
        <v>#VALUE!</v>
      </c>
      <c r="AF325" s="206" t="e">
        <f aca="false">((Summary!$N$12*(AA325*AD325)*(A325-$D$3))+(Summary!$M$12*Z325*AC325*(AJ325-EOMONTH(EDATE(A325,-1),0))))/(AK325*AB325*AE325)</f>
        <v>#VALUE!</v>
      </c>
      <c r="AG325" s="207" t="str">
        <f aca="false">IF($A326="","",Summary!$Q$12)</f>
        <v/>
      </c>
      <c r="AH325" s="207" t="str">
        <f aca="false">IF($A326="","",IF(Summary!$R$12="Y",(VLOOKUP($A325,Summary!$AD$6:$AF$9,3)+'Escalating commodity'!H338),'Escalating commodity'!H338))</f>
        <v/>
      </c>
      <c r="AI325" s="207" t="str">
        <f aca="false">IF($A326="","",AH325)</f>
        <v/>
      </c>
      <c r="AJ325" s="208" t="e">
        <f aca="false">A325+DAY(EOMONTH(A325,0))/2-1</f>
        <v>#VALUE!</v>
      </c>
      <c r="AK325" s="209" t="str">
        <f aca="false">IF($A326="","",$A325-$E$1)</f>
        <v/>
      </c>
      <c r="AL325" s="182" t="str">
        <f aca="false">IF($A326="","",SPRDOPT(P325,X325,AI325,0,AB325,AE325,AF325,AK325,$AJ$2,0))</f>
        <v/>
      </c>
      <c r="AM325" s="211" t="str">
        <f aca="false">IF($A326="","",MAX(0,O325-W325-AI325))</f>
        <v/>
      </c>
      <c r="AN325" s="211" t="str">
        <f aca="false">IF($A326="","",AL325-AM325)</f>
        <v/>
      </c>
      <c r="AO325" s="137" t="str">
        <f aca="false">IF(A326="","",A326-A325)</f>
        <v/>
      </c>
      <c r="AP325" s="212" t="str">
        <f aca="false">IF(A326="","",CHOOSE(F$3,A326+24,A325))</f>
        <v/>
      </c>
      <c r="AQ325" s="209" t="str">
        <f aca="false">IF(A326="","",AP325-$E$1)</f>
        <v/>
      </c>
      <c r="AR325" s="185" t="n">
        <f aca="false">'ANR OK vs ML7'!AR325</f>
        <v>0.1</v>
      </c>
      <c r="AS325" s="213" t="str">
        <f aca="false">IF(A326="","",1/(1+CHOOSE(F$3,(AR326+($I$3/10000))/2,(AR325+($I$3/10000))/2))^(2*AQ325/365.25))</f>
        <v/>
      </c>
      <c r="AT325" s="137" t="str">
        <f aca="false">IF(A326="","",IF(AND(mthbeg&lt;=A325,mthend&gt;=A325),1,0))</f>
        <v/>
      </c>
      <c r="AU325" s="137" t="str">
        <f aca="false">IF(A326="","",AO325*AT325)</f>
        <v/>
      </c>
      <c r="AW325" s="195" t="str">
        <f aca="false">IF($A326="","",AL325*$E325)</f>
        <v/>
      </c>
      <c r="AX325" s="195" t="str">
        <f aca="false">IF($A326="","",AM325*$E325)</f>
        <v/>
      </c>
      <c r="AY325" s="195" t="str">
        <f aca="false">IF($A326="","",AN325*$E325)</f>
        <v/>
      </c>
      <c r="BA325" s="195" t="str">
        <f aca="false">IF($A326="","",F325*Summary!$Q$12)</f>
        <v/>
      </c>
    </row>
    <row r="326" customFormat="false" ht="12" hidden="false" customHeight="true" outlineLevel="0" collapsed="false">
      <c r="A326" s="196" t="str">
        <f aca="false">IF(A325&lt;mthend,EDATE(A325,1),"")</f>
        <v/>
      </c>
      <c r="B326" s="197" t="str">
        <f aca="false">IF(A326&lt;mthend,B325,"")</f>
        <v/>
      </c>
      <c r="C326" s="215"/>
      <c r="D326" s="197" t="str">
        <f aca="false">IF(A327&lt;&gt;"",B326+C326,"")</f>
        <v/>
      </c>
      <c r="E326" s="199" t="str">
        <f aca="false">IF(A327="","",IF(AND(AT326=1,$H$3=1),D326*AO326,IF($H$3=2,D326,"N/A")))</f>
        <v/>
      </c>
      <c r="F326" s="199" t="str">
        <f aca="false">IF(A327="","",E326*AS326)</f>
        <v/>
      </c>
      <c r="G326" s="200" t="str">
        <f aca="false">IF($A327="","",VLOOKUP($A326,Table,MATCH(G$4,Curves,0)))</f>
        <v/>
      </c>
      <c r="H326" s="201" t="str">
        <f aca="false">IF(A327="","",G326)</f>
        <v/>
      </c>
      <c r="I326" s="202"/>
      <c r="J326" s="200" t="str">
        <f aca="false">IF($A327="","",VLOOKUP($A326,Table,MATCH(J$4,Curves,0)))</f>
        <v/>
      </c>
      <c r="K326" s="201" t="str">
        <f aca="false">IF(A327="","",J326)</f>
        <v/>
      </c>
      <c r="L326" s="200" t="str">
        <f aca="false">IF($A327="","",VLOOKUP($A326,Table,MATCH(L$4,Curves,0)))</f>
        <v/>
      </c>
      <c r="M326" s="201" t="str">
        <f aca="false">IF(A327="","",L326)</f>
        <v/>
      </c>
      <c r="N326" s="203"/>
      <c r="O326" s="200" t="str">
        <f aca="false">IF(A327="","",L326+J326+G326)</f>
        <v/>
      </c>
      <c r="P326" s="200" t="str">
        <f aca="false">IF(A327="","",M326+K326+H326)</f>
        <v/>
      </c>
      <c r="Q326" s="204"/>
      <c r="R326" s="200" t="str">
        <f aca="false">IF($A327="","",VLOOKUP($A326,Table,MATCH(R$4,Curves,0)))</f>
        <v/>
      </c>
      <c r="S326" s="201" t="str">
        <f aca="false">IF(A327="","",R326)</f>
        <v/>
      </c>
      <c r="T326" s="200" t="str">
        <f aca="false">IF($A327="","",VLOOKUP($A326,Table,MATCH(T$4,Curves,0)))</f>
        <v/>
      </c>
      <c r="U326" s="201" t="str">
        <f aca="false">IF(A327="","",T326)</f>
        <v/>
      </c>
      <c r="V326" s="225" t="str">
        <f aca="false">IF($A327="","",IF(AND(MONTH(A326)&gt;3,MONTH(A326)&lt;11),(T326+R326+G326)*(((1/(1-Summary!$T$12))/(1-Summary!$W$12))-1),(T326+R326+G326)*((1/(1-Summary!$U$12))/(1-Summary!$X$12)-1)))</f>
        <v/>
      </c>
      <c r="W326" s="200" t="str">
        <f aca="false">IF($A327="","",(T326+R326+G326+V326))</f>
        <v/>
      </c>
      <c r="X326" s="200" t="str">
        <f aca="false">IF($A327="","",(U326+S326+H326+V326))</f>
        <v/>
      </c>
      <c r="Y326" s="202"/>
      <c r="Z326" s="185" t="str">
        <f aca="false">IF($A327="","",VLOOKUP($A326,Table,MATCH(Z$4,Curves,0)))</f>
        <v/>
      </c>
      <c r="AA326" s="185" t="str">
        <f aca="false">IF($A327="","",VLOOKUP($A326,Table,MATCH(AA$4,Curves,0)))</f>
        <v/>
      </c>
      <c r="AB326" s="185" t="e">
        <f aca="false">SQRT((AA326^2*(A326-$D$3)+Z326^2*(DAY(EOMONTH(A326,0))/2))/AK326)</f>
        <v>#VALUE!</v>
      </c>
      <c r="AC326" s="185" t="str">
        <f aca="false">IF($A327="","",VLOOKUP($A326,Table,MATCH(AC$4,Curves,0)))</f>
        <v/>
      </c>
      <c r="AD326" s="185" t="str">
        <f aca="false">IF($A327="","",VLOOKUP($A326,Table,MATCH(AD$4,Curves,0)))</f>
        <v/>
      </c>
      <c r="AE326" s="185" t="e">
        <f aca="false">SQRT((AD326^2*(A326-$D$3)+AC326^2*(DAY(EOMONTH(A326,0))/2))/AK326)</f>
        <v>#VALUE!</v>
      </c>
      <c r="AF326" s="206" t="e">
        <f aca="false">((Summary!$N$12*(AA326*AD326)*(A326-$D$3))+(Summary!$M$12*Z326*AC326*(AJ326-EOMONTH(EDATE(A326,-1),0))))/(AK326*AB326*AE326)</f>
        <v>#VALUE!</v>
      </c>
      <c r="AG326" s="207" t="str">
        <f aca="false">IF($A327="","",Summary!$Q$12)</f>
        <v/>
      </c>
      <c r="AH326" s="207" t="str">
        <f aca="false">IF($A327="","",IF(Summary!$R$12="Y",(VLOOKUP($A326,Summary!$AD$6:$AF$9,3)+'Escalating commodity'!H339),'Escalating commodity'!H339))</f>
        <v/>
      </c>
      <c r="AI326" s="207" t="str">
        <f aca="false">IF($A327="","",AH326)</f>
        <v/>
      </c>
      <c r="AJ326" s="208" t="e">
        <f aca="false">A326+DAY(EOMONTH(A326,0))/2-1</f>
        <v>#VALUE!</v>
      </c>
      <c r="AK326" s="209" t="str">
        <f aca="false">IF($A327="","",$A326-$E$1)</f>
        <v/>
      </c>
      <c r="AL326" s="182" t="str">
        <f aca="false">IF($A327="","",SPRDOPT(P326,X326,AI326,0,AB326,AE326,AF326,AK326,$AJ$2,0))</f>
        <v/>
      </c>
      <c r="AM326" s="211" t="str">
        <f aca="false">IF($A327="","",MAX(0,O326-W326-AI326))</f>
        <v/>
      </c>
      <c r="AN326" s="211" t="str">
        <f aca="false">IF($A327="","",AL326-AM326)</f>
        <v/>
      </c>
      <c r="AO326" s="137" t="str">
        <f aca="false">IF(A327="","",A327-A326)</f>
        <v/>
      </c>
      <c r="AP326" s="212" t="str">
        <f aca="false">IF(A327="","",CHOOSE(F$3,A327+24,A326))</f>
        <v/>
      </c>
      <c r="AQ326" s="209" t="str">
        <f aca="false">IF(A327="","",AP326-$E$1)</f>
        <v/>
      </c>
      <c r="AR326" s="185" t="n">
        <f aca="false">'ANR OK vs ML7'!AR326</f>
        <v>0.1</v>
      </c>
      <c r="AS326" s="213" t="str">
        <f aca="false">IF(A327="","",1/(1+CHOOSE(F$3,(AR327+($I$3/10000))/2,(AR326+($I$3/10000))/2))^(2*AQ326/365.25))</f>
        <v/>
      </c>
      <c r="AT326" s="137" t="str">
        <f aca="false">IF(A327="","",IF(AND(mthbeg&lt;=A326,mthend&gt;=A326),1,0))</f>
        <v/>
      </c>
      <c r="AU326" s="137" t="str">
        <f aca="false">IF(A327="","",AO326*AT326)</f>
        <v/>
      </c>
      <c r="AW326" s="195" t="str">
        <f aca="false">IF($A327="","",AL326*$E326)</f>
        <v/>
      </c>
      <c r="AX326" s="195" t="str">
        <f aca="false">IF($A327="","",AM326*$E326)</f>
        <v/>
      </c>
      <c r="AY326" s="195" t="str">
        <f aca="false">IF($A327="","",AN326*$E326)</f>
        <v/>
      </c>
      <c r="BA326" s="195" t="str">
        <f aca="false">IF($A327="","",F326*Summary!$Q$12)</f>
        <v/>
      </c>
    </row>
    <row r="327" customFormat="false" ht="12" hidden="false" customHeight="true" outlineLevel="0" collapsed="false">
      <c r="A327" s="196" t="str">
        <f aca="false">IF(A326&lt;mthend,EDATE(A326,1),"")</f>
        <v/>
      </c>
      <c r="B327" s="197" t="str">
        <f aca="false">IF(A327&lt;mthend,B326,"")</f>
        <v/>
      </c>
      <c r="C327" s="215"/>
      <c r="D327" s="197" t="str">
        <f aca="false">IF(A328&lt;&gt;"",B327+C327,"")</f>
        <v/>
      </c>
      <c r="E327" s="199" t="str">
        <f aca="false">IF(A328="","",IF(AND(AT327=1,$H$3=1),D327*AO327,IF($H$3=2,D327,"N/A")))</f>
        <v/>
      </c>
      <c r="F327" s="199" t="str">
        <f aca="false">IF(A328="","",E327*AS327)</f>
        <v/>
      </c>
      <c r="G327" s="200" t="str">
        <f aca="false">IF($A328="","",VLOOKUP($A327,Table,MATCH(G$4,Curves,0)))</f>
        <v/>
      </c>
      <c r="H327" s="201" t="str">
        <f aca="false">IF(A328="","",G327)</f>
        <v/>
      </c>
      <c r="I327" s="202"/>
      <c r="J327" s="200" t="str">
        <f aca="false">IF($A328="","",VLOOKUP($A327,Table,MATCH(J$4,Curves,0)))</f>
        <v/>
      </c>
      <c r="K327" s="201" t="str">
        <f aca="false">IF(A328="","",J327)</f>
        <v/>
      </c>
      <c r="L327" s="200" t="str">
        <f aca="false">IF($A328="","",VLOOKUP($A327,Table,MATCH(L$4,Curves,0)))</f>
        <v/>
      </c>
      <c r="M327" s="201" t="str">
        <f aca="false">IF(A328="","",L327)</f>
        <v/>
      </c>
      <c r="N327" s="203"/>
      <c r="O327" s="200" t="str">
        <f aca="false">IF(A328="","",L327+J327+G327)</f>
        <v/>
      </c>
      <c r="P327" s="200" t="str">
        <f aca="false">IF(A328="","",M327+K327+H327)</f>
        <v/>
      </c>
      <c r="Q327" s="204"/>
      <c r="R327" s="200" t="str">
        <f aca="false">IF($A328="","",VLOOKUP($A327,Table,MATCH(R$4,Curves,0)))</f>
        <v/>
      </c>
      <c r="S327" s="201" t="str">
        <f aca="false">IF(A328="","",R327)</f>
        <v/>
      </c>
      <c r="T327" s="200" t="str">
        <f aca="false">IF($A328="","",VLOOKUP($A327,Table,MATCH(T$4,Curves,0)))</f>
        <v/>
      </c>
      <c r="U327" s="201" t="str">
        <f aca="false">IF(A328="","",T327)</f>
        <v/>
      </c>
      <c r="V327" s="225" t="str">
        <f aca="false">IF($A328="","",IF(AND(MONTH(A327)&gt;3,MONTH(A327)&lt;11),(T327+R327+G327)*(((1/(1-Summary!$T$12))/(1-Summary!$W$12))-1),(T327+R327+G327)*((1/(1-Summary!$U$12))/(1-Summary!$X$12)-1)))</f>
        <v/>
      </c>
      <c r="W327" s="200" t="str">
        <f aca="false">IF($A328="","",(T327+R327+G327+V327))</f>
        <v/>
      </c>
      <c r="X327" s="200" t="str">
        <f aca="false">IF($A328="","",(U327+S327+H327+V327))</f>
        <v/>
      </c>
      <c r="Y327" s="202"/>
      <c r="Z327" s="185" t="str">
        <f aca="false">IF($A328="","",VLOOKUP($A327,Table,MATCH(Z$4,Curves,0)))</f>
        <v/>
      </c>
      <c r="AA327" s="185" t="str">
        <f aca="false">IF($A328="","",VLOOKUP($A327,Table,MATCH(AA$4,Curves,0)))</f>
        <v/>
      </c>
      <c r="AB327" s="185" t="e">
        <f aca="false">SQRT((AA327^2*(A327-$D$3)+Z327^2*(DAY(EOMONTH(A327,0))/2))/AK327)</f>
        <v>#VALUE!</v>
      </c>
      <c r="AC327" s="185" t="str">
        <f aca="false">IF($A328="","",VLOOKUP($A327,Table,MATCH(AC$4,Curves,0)))</f>
        <v/>
      </c>
      <c r="AD327" s="185" t="str">
        <f aca="false">IF($A328="","",VLOOKUP($A327,Table,MATCH(AD$4,Curves,0)))</f>
        <v/>
      </c>
      <c r="AE327" s="185" t="e">
        <f aca="false">SQRT((AD327^2*(A327-$D$3)+AC327^2*(DAY(EOMONTH(A327,0))/2))/AK327)</f>
        <v>#VALUE!</v>
      </c>
      <c r="AF327" s="206" t="e">
        <f aca="false">((Summary!$N$12*(AA327*AD327)*(A327-$D$3))+(Summary!$M$12*Z327*AC327*(AJ327-EOMONTH(EDATE(A327,-1),0))))/(AK327*AB327*AE327)</f>
        <v>#VALUE!</v>
      </c>
      <c r="AG327" s="207" t="str">
        <f aca="false">IF($A328="","",Summary!$Q$12)</f>
        <v/>
      </c>
      <c r="AH327" s="207" t="str">
        <f aca="false">IF($A328="","",IF(Summary!$R$12="Y",(VLOOKUP($A327,Summary!$AD$6:$AF$9,3)+'Escalating commodity'!H340),'Escalating commodity'!H340))</f>
        <v/>
      </c>
      <c r="AI327" s="207" t="str">
        <f aca="false">IF($A328="","",AH327)</f>
        <v/>
      </c>
      <c r="AJ327" s="208" t="e">
        <f aca="false">A327+DAY(EOMONTH(A327,0))/2-1</f>
        <v>#VALUE!</v>
      </c>
      <c r="AK327" s="209" t="str">
        <f aca="false">IF($A328="","",$A327-$E$1)</f>
        <v/>
      </c>
      <c r="AL327" s="182" t="str">
        <f aca="false">IF($A328="","",SPRDOPT(P327,X327,AI327,0,AB327,AE327,AF327,AK327,$AJ$2,0))</f>
        <v/>
      </c>
      <c r="AM327" s="211" t="str">
        <f aca="false">IF($A328="","",MAX(0,O327-W327-AI327))</f>
        <v/>
      </c>
      <c r="AN327" s="211" t="str">
        <f aca="false">IF($A328="","",AL327-AM327)</f>
        <v/>
      </c>
      <c r="AO327" s="137" t="str">
        <f aca="false">IF(A328="","",A328-A327)</f>
        <v/>
      </c>
      <c r="AP327" s="212" t="str">
        <f aca="false">IF(A328="","",CHOOSE(F$3,A328+24,A327))</f>
        <v/>
      </c>
      <c r="AQ327" s="209" t="str">
        <f aca="false">IF(A328="","",AP327-$E$1)</f>
        <v/>
      </c>
      <c r="AR327" s="185" t="n">
        <f aca="false">'ANR OK vs ML7'!AR327</f>
        <v>0.1</v>
      </c>
      <c r="AS327" s="213" t="str">
        <f aca="false">IF(A328="","",1/(1+CHOOSE(F$3,(AR328+($I$3/10000))/2,(AR327+($I$3/10000))/2))^(2*AQ327/365.25))</f>
        <v/>
      </c>
      <c r="AT327" s="137" t="str">
        <f aca="false">IF(A328="","",IF(AND(mthbeg&lt;=A327,mthend&gt;=A327),1,0))</f>
        <v/>
      </c>
      <c r="AU327" s="137" t="str">
        <f aca="false">IF(A328="","",AO327*AT327)</f>
        <v/>
      </c>
      <c r="AW327" s="195" t="str">
        <f aca="false">IF($A328="","",AL327*$E327)</f>
        <v/>
      </c>
      <c r="AX327" s="195" t="str">
        <f aca="false">IF($A328="","",AM327*$E327)</f>
        <v/>
      </c>
      <c r="AY327" s="195" t="str">
        <f aca="false">IF($A328="","",AN327*$E327)</f>
        <v/>
      </c>
      <c r="BA327" s="195" t="str">
        <f aca="false">IF($A328="","",F327*Summary!$Q$12)</f>
        <v/>
      </c>
    </row>
    <row r="328" customFormat="false" ht="12" hidden="false" customHeight="true" outlineLevel="0" collapsed="false">
      <c r="A328" s="196" t="str">
        <f aca="false">IF(A327&lt;mthend,EDATE(A327,1),"")</f>
        <v/>
      </c>
      <c r="B328" s="197" t="str">
        <f aca="false">IF(A328&lt;mthend,B327,"")</f>
        <v/>
      </c>
      <c r="C328" s="215"/>
      <c r="D328" s="197" t="str">
        <f aca="false">IF(A329&lt;&gt;"",B328+C328,"")</f>
        <v/>
      </c>
      <c r="E328" s="199" t="str">
        <f aca="false">IF(A329="","",IF(AND(AT328=1,$H$3=1),D328*AO328,IF($H$3=2,D328,"N/A")))</f>
        <v/>
      </c>
      <c r="F328" s="199" t="str">
        <f aca="false">IF(A329="","",E328*AS328)</f>
        <v/>
      </c>
      <c r="G328" s="200" t="str">
        <f aca="false">IF($A329="","",VLOOKUP($A328,Table,MATCH(G$4,Curves,0)))</f>
        <v/>
      </c>
      <c r="H328" s="201" t="str">
        <f aca="false">IF(A329="","",G328)</f>
        <v/>
      </c>
      <c r="I328" s="202"/>
      <c r="J328" s="200" t="str">
        <f aca="false">IF($A329="","",VLOOKUP($A328,Table,MATCH(J$4,Curves,0)))</f>
        <v/>
      </c>
      <c r="K328" s="201" t="str">
        <f aca="false">IF(A329="","",J328)</f>
        <v/>
      </c>
      <c r="L328" s="200" t="str">
        <f aca="false">IF($A329="","",VLOOKUP($A328,Table,MATCH(L$4,Curves,0)))</f>
        <v/>
      </c>
      <c r="M328" s="201" t="str">
        <f aca="false">IF(A329="","",L328)</f>
        <v/>
      </c>
      <c r="N328" s="203"/>
      <c r="O328" s="200" t="str">
        <f aca="false">IF(A329="","",L328+J328+G328)</f>
        <v/>
      </c>
      <c r="P328" s="200" t="str">
        <f aca="false">IF(A329="","",M328+K328+H328)</f>
        <v/>
      </c>
      <c r="Q328" s="204"/>
      <c r="R328" s="200" t="str">
        <f aca="false">IF($A329="","",VLOOKUP($A328,Table,MATCH(R$4,Curves,0)))</f>
        <v/>
      </c>
      <c r="S328" s="201" t="str">
        <f aca="false">IF(A329="","",R328)</f>
        <v/>
      </c>
      <c r="T328" s="200" t="str">
        <f aca="false">IF($A329="","",VLOOKUP($A328,Table,MATCH(T$4,Curves,0)))</f>
        <v/>
      </c>
      <c r="U328" s="201" t="str">
        <f aca="false">IF(A329="","",T328)</f>
        <v/>
      </c>
      <c r="V328" s="225" t="str">
        <f aca="false">IF($A329="","",IF(AND(MONTH(A328)&gt;3,MONTH(A328)&lt;11),(T328+R328+G328)*(((1/(1-Summary!$T$12))/(1-Summary!$W$12))-1),(T328+R328+G328)*((1/(1-Summary!$U$12))/(1-Summary!$X$12)-1)))</f>
        <v/>
      </c>
      <c r="W328" s="200" t="str">
        <f aca="false">IF($A329="","",(T328+R328+G328+V328))</f>
        <v/>
      </c>
      <c r="X328" s="200" t="str">
        <f aca="false">IF($A329="","",(U328+S328+H328+V328))</f>
        <v/>
      </c>
      <c r="Y328" s="202"/>
      <c r="Z328" s="185" t="str">
        <f aca="false">IF($A329="","",VLOOKUP($A328,Table,MATCH(Z$4,Curves,0)))</f>
        <v/>
      </c>
      <c r="AA328" s="185" t="str">
        <f aca="false">IF($A329="","",VLOOKUP($A328,Table,MATCH(AA$4,Curves,0)))</f>
        <v/>
      </c>
      <c r="AB328" s="185" t="e">
        <f aca="false">SQRT((AA328^2*(A328-$D$3)+Z328^2*(DAY(EOMONTH(A328,0))/2))/AK328)</f>
        <v>#VALUE!</v>
      </c>
      <c r="AC328" s="185" t="str">
        <f aca="false">IF($A329="","",VLOOKUP($A328,Table,MATCH(AC$4,Curves,0)))</f>
        <v/>
      </c>
      <c r="AD328" s="185" t="str">
        <f aca="false">IF($A329="","",VLOOKUP($A328,Table,MATCH(AD$4,Curves,0)))</f>
        <v/>
      </c>
      <c r="AE328" s="185" t="e">
        <f aca="false">SQRT((AD328^2*(A328-$D$3)+AC328^2*(DAY(EOMONTH(A328,0))/2))/AK328)</f>
        <v>#VALUE!</v>
      </c>
      <c r="AF328" s="206" t="e">
        <f aca="false">((Summary!$N$12*(AA328*AD328)*(A328-$D$3))+(Summary!$M$12*Z328*AC328*(AJ328-EOMONTH(EDATE(A328,-1),0))))/(AK328*AB328*AE328)</f>
        <v>#VALUE!</v>
      </c>
      <c r="AG328" s="207" t="str">
        <f aca="false">IF($A329="","",Summary!$Q$12)</f>
        <v/>
      </c>
      <c r="AH328" s="207" t="str">
        <f aca="false">IF($A329="","",IF(Summary!$R$12="Y",(VLOOKUP($A328,Summary!$AD$6:$AF$9,3)+'Escalating commodity'!H341),'Escalating commodity'!H341))</f>
        <v/>
      </c>
      <c r="AI328" s="207" t="str">
        <f aca="false">IF($A329="","",AH328)</f>
        <v/>
      </c>
      <c r="AJ328" s="208" t="e">
        <f aca="false">A328+DAY(EOMONTH(A328,0))/2-1</f>
        <v>#VALUE!</v>
      </c>
      <c r="AK328" s="209" t="str">
        <f aca="false">IF($A329="","",$A328-$E$1)</f>
        <v/>
      </c>
      <c r="AL328" s="182" t="str">
        <f aca="false">IF($A329="","",SPRDOPT(P328,X328,AI328,0,AB328,AE328,AF328,AK328,$AJ$2,0))</f>
        <v/>
      </c>
      <c r="AM328" s="211" t="str">
        <f aca="false">IF($A329="","",MAX(0,O328-W328-AI328))</f>
        <v/>
      </c>
      <c r="AN328" s="211" t="str">
        <f aca="false">IF($A329="","",AL328-AM328)</f>
        <v/>
      </c>
      <c r="AO328" s="137" t="str">
        <f aca="false">IF(A329="","",A329-A328)</f>
        <v/>
      </c>
      <c r="AP328" s="212" t="str">
        <f aca="false">IF(A329="","",CHOOSE(F$3,A329+24,A328))</f>
        <v/>
      </c>
      <c r="AQ328" s="209" t="str">
        <f aca="false">IF(A329="","",AP328-$E$1)</f>
        <v/>
      </c>
      <c r="AR328" s="185" t="n">
        <f aca="false">'ANR OK vs ML7'!AR328</f>
        <v>0.1</v>
      </c>
      <c r="AS328" s="213" t="str">
        <f aca="false">IF(A329="","",1/(1+CHOOSE(F$3,(AR329+($I$3/10000))/2,(AR328+($I$3/10000))/2))^(2*AQ328/365.25))</f>
        <v/>
      </c>
      <c r="AT328" s="137" t="str">
        <f aca="false">IF(A329="","",IF(AND(mthbeg&lt;=A328,mthend&gt;=A328),1,0))</f>
        <v/>
      </c>
      <c r="AU328" s="137" t="str">
        <f aca="false">IF(A329="","",AO328*AT328)</f>
        <v/>
      </c>
      <c r="AW328" s="195" t="str">
        <f aca="false">IF($A329="","",AL328*$E328)</f>
        <v/>
      </c>
      <c r="AX328" s="195" t="str">
        <f aca="false">IF($A329="","",AM328*$E328)</f>
        <v/>
      </c>
      <c r="AY328" s="195" t="str">
        <f aca="false">IF($A329="","",AN328*$E328)</f>
        <v/>
      </c>
      <c r="BA328" s="195" t="str">
        <f aca="false">IF($A329="","",F328*Summary!$Q$12)</f>
        <v/>
      </c>
    </row>
    <row r="329" customFormat="false" ht="12" hidden="false" customHeight="true" outlineLevel="0" collapsed="false">
      <c r="A329" s="196" t="str">
        <f aca="false">IF(A328&lt;mthend,EDATE(A328,1),"")</f>
        <v/>
      </c>
      <c r="B329" s="197" t="str">
        <f aca="false">IF(A329&lt;mthend,B328,"")</f>
        <v/>
      </c>
      <c r="C329" s="215"/>
      <c r="D329" s="197" t="str">
        <f aca="false">IF(A330&lt;&gt;"",B329+C329,"")</f>
        <v/>
      </c>
      <c r="E329" s="199" t="str">
        <f aca="false">IF(A330="","",IF(AND(AT329=1,$H$3=1),D329*AO329,IF($H$3=2,D329,"N/A")))</f>
        <v/>
      </c>
      <c r="F329" s="199" t="str">
        <f aca="false">IF(A330="","",E329*AS329)</f>
        <v/>
      </c>
      <c r="G329" s="200" t="str">
        <f aca="false">IF($A330="","",VLOOKUP($A329,Table,MATCH(G$4,Curves,0)))</f>
        <v/>
      </c>
      <c r="H329" s="201" t="str">
        <f aca="false">IF(A330="","",G329)</f>
        <v/>
      </c>
      <c r="I329" s="202"/>
      <c r="J329" s="200" t="str">
        <f aca="false">IF($A330="","",VLOOKUP($A329,Table,MATCH(J$4,Curves,0)))</f>
        <v/>
      </c>
      <c r="K329" s="201" t="str">
        <f aca="false">IF(A330="","",J329)</f>
        <v/>
      </c>
      <c r="L329" s="200" t="str">
        <f aca="false">IF($A330="","",VLOOKUP($A329,Table,MATCH(L$4,Curves,0)))</f>
        <v/>
      </c>
      <c r="M329" s="201" t="str">
        <f aca="false">IF(A330="","",L329)</f>
        <v/>
      </c>
      <c r="N329" s="203"/>
      <c r="O329" s="200" t="str">
        <f aca="false">IF(A330="","",L329+J329+G329)</f>
        <v/>
      </c>
      <c r="P329" s="200" t="str">
        <f aca="false">IF(A330="","",M329+K329+H329)</f>
        <v/>
      </c>
      <c r="Q329" s="204"/>
      <c r="R329" s="200" t="str">
        <f aca="false">IF($A330="","",VLOOKUP($A329,Table,MATCH(R$4,Curves,0)))</f>
        <v/>
      </c>
      <c r="S329" s="201" t="str">
        <f aca="false">IF(A330="","",R329)</f>
        <v/>
      </c>
      <c r="T329" s="200" t="str">
        <f aca="false">IF($A330="","",VLOOKUP($A329,Table,MATCH(T$4,Curves,0)))</f>
        <v/>
      </c>
      <c r="U329" s="201" t="str">
        <f aca="false">IF(A330="","",T329)</f>
        <v/>
      </c>
      <c r="V329" s="225" t="str">
        <f aca="false">IF($A330="","",IF(AND(MONTH(A329)&gt;3,MONTH(A329)&lt;11),(T329+R329+G329)*(((1/(1-Summary!$T$12))/(1-Summary!$W$12))-1),(T329+R329+G329)*((1/(1-Summary!$U$12))/(1-Summary!$X$12)-1)))</f>
        <v/>
      </c>
      <c r="W329" s="200" t="str">
        <f aca="false">IF($A330="","",(T329+R329+G329+V329))</f>
        <v/>
      </c>
      <c r="X329" s="200" t="str">
        <f aca="false">IF($A330="","",(U329+S329+H329+V329))</f>
        <v/>
      </c>
      <c r="Y329" s="202"/>
      <c r="Z329" s="185" t="str">
        <f aca="false">IF($A330="","",VLOOKUP($A329,Table,MATCH(Z$4,Curves,0)))</f>
        <v/>
      </c>
      <c r="AA329" s="185" t="str">
        <f aca="false">IF($A330="","",VLOOKUP($A329,Table,MATCH(AA$4,Curves,0)))</f>
        <v/>
      </c>
      <c r="AB329" s="185" t="e">
        <f aca="false">SQRT((AA329^2*(A329-$D$3)+Z329^2*(DAY(EOMONTH(A329,0))/2))/AK329)</f>
        <v>#VALUE!</v>
      </c>
      <c r="AC329" s="185" t="str">
        <f aca="false">IF($A330="","",VLOOKUP($A329,Table,MATCH(AC$4,Curves,0)))</f>
        <v/>
      </c>
      <c r="AD329" s="185" t="str">
        <f aca="false">IF($A330="","",VLOOKUP($A329,Table,MATCH(AD$4,Curves,0)))</f>
        <v/>
      </c>
      <c r="AE329" s="185" t="e">
        <f aca="false">SQRT((AD329^2*(A329-$D$3)+AC329^2*(DAY(EOMONTH(A329,0))/2))/AK329)</f>
        <v>#VALUE!</v>
      </c>
      <c r="AF329" s="206" t="e">
        <f aca="false">((Summary!$N$12*(AA329*AD329)*(A329-$D$3))+(Summary!$M$12*Z329*AC329*(AJ329-EOMONTH(EDATE(A329,-1),0))))/(AK329*AB329*AE329)</f>
        <v>#VALUE!</v>
      </c>
      <c r="AG329" s="207" t="str">
        <f aca="false">IF($A330="","",Summary!$Q$12)</f>
        <v/>
      </c>
      <c r="AH329" s="207" t="str">
        <f aca="false">IF($A330="","",IF(Summary!$R$12="Y",(VLOOKUP($A329,Summary!$AD$6:$AF$9,3)+'Escalating commodity'!H342),'Escalating commodity'!H342))</f>
        <v/>
      </c>
      <c r="AI329" s="207" t="str">
        <f aca="false">IF($A330="","",AH329)</f>
        <v/>
      </c>
      <c r="AJ329" s="208" t="e">
        <f aca="false">A329+DAY(EOMONTH(A329,0))/2-1</f>
        <v>#VALUE!</v>
      </c>
      <c r="AK329" s="209" t="str">
        <f aca="false">IF($A330="","",$A329-$E$1)</f>
        <v/>
      </c>
      <c r="AL329" s="182" t="str">
        <f aca="false">IF($A330="","",SPRDOPT(P329,X329,AI329,0,AB329,AE329,AF329,AK329,$AJ$2,0))</f>
        <v/>
      </c>
      <c r="AM329" s="211" t="str">
        <f aca="false">IF($A330="","",MAX(0,O329-W329-AI329))</f>
        <v/>
      </c>
      <c r="AN329" s="211" t="str">
        <f aca="false">IF($A330="","",AL329-AM329)</f>
        <v/>
      </c>
      <c r="AO329" s="137" t="str">
        <f aca="false">IF(A330="","",A330-A329)</f>
        <v/>
      </c>
      <c r="AP329" s="212" t="str">
        <f aca="false">IF(A330="","",CHOOSE(F$3,A330+24,A329))</f>
        <v/>
      </c>
      <c r="AQ329" s="209" t="str">
        <f aca="false">IF(A330="","",AP329-$E$1)</f>
        <v/>
      </c>
      <c r="AR329" s="185" t="n">
        <f aca="false">'ANR OK vs ML7'!AR329</f>
        <v>0.1</v>
      </c>
      <c r="AS329" s="213" t="str">
        <f aca="false">IF(A330="","",1/(1+CHOOSE(F$3,(AR330+($I$3/10000))/2,(AR329+($I$3/10000))/2))^(2*AQ329/365.25))</f>
        <v/>
      </c>
      <c r="AT329" s="137" t="str">
        <f aca="false">IF(A330="","",IF(AND(mthbeg&lt;=A329,mthend&gt;=A329),1,0))</f>
        <v/>
      </c>
      <c r="AU329" s="137" t="str">
        <f aca="false">IF(A330="","",AO329*AT329)</f>
        <v/>
      </c>
      <c r="AW329" s="195" t="str">
        <f aca="false">IF($A330="","",AL329*$E329)</f>
        <v/>
      </c>
      <c r="AX329" s="195" t="str">
        <f aca="false">IF($A330="","",AM329*$E329)</f>
        <v/>
      </c>
      <c r="AY329" s="195" t="str">
        <f aca="false">IF($A330="","",AN329*$E329)</f>
        <v/>
      </c>
      <c r="BA329" s="195" t="str">
        <f aca="false">IF($A330="","",F329*Summary!$Q$12)</f>
        <v/>
      </c>
    </row>
    <row r="330" customFormat="false" ht="12" hidden="false" customHeight="true" outlineLevel="0" collapsed="false">
      <c r="A330" s="196" t="str">
        <f aca="false">IF(A329&lt;mthend,EDATE(A329,1),"")</f>
        <v/>
      </c>
      <c r="B330" s="197" t="str">
        <f aca="false">IF(A330&lt;mthend,B329,"")</f>
        <v/>
      </c>
      <c r="C330" s="215"/>
      <c r="D330" s="197" t="str">
        <f aca="false">IF(A331&lt;&gt;"",B330+C330,"")</f>
        <v/>
      </c>
      <c r="E330" s="199" t="str">
        <f aca="false">IF(A331="","",IF(AND(AT330=1,$H$3=1),D330*AO330,IF($H$3=2,D330,"N/A")))</f>
        <v/>
      </c>
      <c r="F330" s="199" t="str">
        <f aca="false">IF(A331="","",E330*AS330)</f>
        <v/>
      </c>
      <c r="G330" s="200" t="str">
        <f aca="false">IF($A331="","",VLOOKUP($A330,Table,MATCH(G$4,Curves,0)))</f>
        <v/>
      </c>
      <c r="H330" s="201" t="str">
        <f aca="false">IF(A331="","",G330)</f>
        <v/>
      </c>
      <c r="I330" s="202"/>
      <c r="J330" s="200" t="str">
        <f aca="false">IF($A331="","",VLOOKUP($A330,Table,MATCH(J$4,Curves,0)))</f>
        <v/>
      </c>
      <c r="K330" s="201" t="str">
        <f aca="false">IF(A331="","",J330)</f>
        <v/>
      </c>
      <c r="L330" s="200" t="str">
        <f aca="false">IF($A331="","",VLOOKUP($A330,Table,MATCH(L$4,Curves,0)))</f>
        <v/>
      </c>
      <c r="M330" s="201" t="str">
        <f aca="false">IF(A331="","",L330)</f>
        <v/>
      </c>
      <c r="N330" s="203"/>
      <c r="O330" s="200" t="str">
        <f aca="false">IF(A331="","",L330+J330+G330)</f>
        <v/>
      </c>
      <c r="P330" s="200" t="str">
        <f aca="false">IF(A331="","",M330+K330+H330)</f>
        <v/>
      </c>
      <c r="Q330" s="204"/>
      <c r="R330" s="200" t="str">
        <f aca="false">IF($A331="","",VLOOKUP($A330,Table,MATCH(R$4,Curves,0)))</f>
        <v/>
      </c>
      <c r="S330" s="201" t="str">
        <f aca="false">IF(A331="","",R330)</f>
        <v/>
      </c>
      <c r="T330" s="200" t="str">
        <f aca="false">IF($A331="","",VLOOKUP($A330,Table,MATCH(T$4,Curves,0)))</f>
        <v/>
      </c>
      <c r="U330" s="201" t="str">
        <f aca="false">IF(A331="","",T330)</f>
        <v/>
      </c>
      <c r="V330" s="225" t="str">
        <f aca="false">IF($A331="","",IF(AND(MONTH(A330)&gt;3,MONTH(A330)&lt;11),(T330+R330+G330)*(((1/(1-Summary!$T$12))/(1-Summary!$W$12))-1),(T330+R330+G330)*((1/(1-Summary!$U$12))/(1-Summary!$X$12)-1)))</f>
        <v/>
      </c>
      <c r="W330" s="200" t="str">
        <f aca="false">IF($A331="","",(T330+R330+G330+V330))</f>
        <v/>
      </c>
      <c r="X330" s="200" t="str">
        <f aca="false">IF($A331="","",(U330+S330+H330+V330))</f>
        <v/>
      </c>
      <c r="Y330" s="202"/>
      <c r="Z330" s="185" t="str">
        <f aca="false">IF($A331="","",VLOOKUP($A330,Table,MATCH(Z$4,Curves,0)))</f>
        <v/>
      </c>
      <c r="AA330" s="185" t="str">
        <f aca="false">IF($A331="","",VLOOKUP($A330,Table,MATCH(AA$4,Curves,0)))</f>
        <v/>
      </c>
      <c r="AB330" s="185" t="e">
        <f aca="false">SQRT((AA330^2*(A330-$D$3)+Z330^2*(DAY(EOMONTH(A330,0))/2))/AK330)</f>
        <v>#VALUE!</v>
      </c>
      <c r="AC330" s="185" t="str">
        <f aca="false">IF($A331="","",VLOOKUP($A330,Table,MATCH(AC$4,Curves,0)))</f>
        <v/>
      </c>
      <c r="AD330" s="185" t="str">
        <f aca="false">IF($A331="","",VLOOKUP($A330,Table,MATCH(AD$4,Curves,0)))</f>
        <v/>
      </c>
      <c r="AE330" s="185" t="e">
        <f aca="false">SQRT((AD330^2*(A330-$D$3)+AC330^2*(DAY(EOMONTH(A330,0))/2))/AK330)</f>
        <v>#VALUE!</v>
      </c>
      <c r="AF330" s="206" t="e">
        <f aca="false">((Summary!$N$12*(AA330*AD330)*(A330-$D$3))+(Summary!$M$12*Z330*AC330*(AJ330-EOMONTH(EDATE(A330,-1),0))))/(AK330*AB330*AE330)</f>
        <v>#VALUE!</v>
      </c>
      <c r="AG330" s="207" t="str">
        <f aca="false">IF($A331="","",Summary!$Q$12)</f>
        <v/>
      </c>
      <c r="AH330" s="207" t="str">
        <f aca="false">IF($A331="","",IF(Summary!$R$12="Y",(VLOOKUP($A330,Summary!$AD$6:$AF$9,3)+'Escalating commodity'!H343),'Escalating commodity'!H343))</f>
        <v/>
      </c>
      <c r="AI330" s="207" t="str">
        <f aca="false">IF($A331="","",AH330)</f>
        <v/>
      </c>
      <c r="AJ330" s="208" t="e">
        <f aca="false">A330+DAY(EOMONTH(A330,0))/2-1</f>
        <v>#VALUE!</v>
      </c>
      <c r="AK330" s="209" t="str">
        <f aca="false">IF($A331="","",$A330-$E$1)</f>
        <v/>
      </c>
      <c r="AL330" s="182" t="str">
        <f aca="false">IF($A331="","",SPRDOPT(P330,X330,AI330,0,AB330,AE330,AF330,AK330,$AJ$2,0))</f>
        <v/>
      </c>
      <c r="AM330" s="211" t="str">
        <f aca="false">IF($A331="","",MAX(0,O330-W330-AI330))</f>
        <v/>
      </c>
      <c r="AN330" s="211" t="str">
        <f aca="false">IF($A331="","",AL330-AM330)</f>
        <v/>
      </c>
      <c r="AO330" s="137" t="str">
        <f aca="false">IF(A331="","",A331-A330)</f>
        <v/>
      </c>
      <c r="AP330" s="212" t="str">
        <f aca="false">IF(A331="","",CHOOSE(F$3,A331+24,A330))</f>
        <v/>
      </c>
      <c r="AQ330" s="209" t="str">
        <f aca="false">IF(A331="","",AP330-$E$1)</f>
        <v/>
      </c>
      <c r="AR330" s="185" t="n">
        <f aca="false">'ANR OK vs ML7'!AR330</f>
        <v>0.1</v>
      </c>
      <c r="AS330" s="213" t="str">
        <f aca="false">IF(A331="","",1/(1+CHOOSE(F$3,(AR331+($I$3/10000))/2,(AR330+($I$3/10000))/2))^(2*AQ330/365.25))</f>
        <v/>
      </c>
      <c r="AT330" s="137" t="str">
        <f aca="false">IF(A331="","",IF(AND(mthbeg&lt;=A330,mthend&gt;=A330),1,0))</f>
        <v/>
      </c>
      <c r="AU330" s="137" t="str">
        <f aca="false">IF(A331="","",AO330*AT330)</f>
        <v/>
      </c>
      <c r="AW330" s="195" t="str">
        <f aca="false">IF($A331="","",AL330*$E330)</f>
        <v/>
      </c>
      <c r="AX330" s="195" t="str">
        <f aca="false">IF($A331="","",AM330*$E330)</f>
        <v/>
      </c>
      <c r="AY330" s="195" t="str">
        <f aca="false">IF($A331="","",AN330*$E330)</f>
        <v/>
      </c>
      <c r="BA330" s="195" t="str">
        <f aca="false">IF($A331="","",F330*Summary!$Q$12)</f>
        <v/>
      </c>
    </row>
    <row r="331" customFormat="false" ht="12" hidden="false" customHeight="true" outlineLevel="0" collapsed="false">
      <c r="A331" s="196" t="str">
        <f aca="false">IF(A330&lt;mthend,EDATE(A330,1),"")</f>
        <v/>
      </c>
      <c r="B331" s="197" t="str">
        <f aca="false">IF(A331&lt;mthend,B330,"")</f>
        <v/>
      </c>
      <c r="C331" s="215"/>
      <c r="D331" s="197" t="str">
        <f aca="false">IF(A332&lt;&gt;"",B331+C331,"")</f>
        <v/>
      </c>
      <c r="E331" s="199" t="str">
        <f aca="false">IF(A332="","",IF(AND(AT331=1,$H$3=1),D331*AO331,IF($H$3=2,D331,"N/A")))</f>
        <v/>
      </c>
      <c r="F331" s="199" t="str">
        <f aca="false">IF(A332="","",E331*AS331)</f>
        <v/>
      </c>
      <c r="G331" s="200" t="str">
        <f aca="false">IF($A332="","",VLOOKUP($A331,Table,MATCH(G$4,Curves,0)))</f>
        <v/>
      </c>
      <c r="H331" s="201" t="str">
        <f aca="false">IF(A332="","",G331)</f>
        <v/>
      </c>
      <c r="I331" s="202"/>
      <c r="J331" s="200" t="str">
        <f aca="false">IF($A332="","",VLOOKUP($A331,Table,MATCH(J$4,Curves,0)))</f>
        <v/>
      </c>
      <c r="K331" s="201" t="str">
        <f aca="false">IF(A332="","",J331)</f>
        <v/>
      </c>
      <c r="L331" s="200" t="str">
        <f aca="false">IF($A332="","",VLOOKUP($A331,Table,MATCH(L$4,Curves,0)))</f>
        <v/>
      </c>
      <c r="M331" s="201" t="str">
        <f aca="false">IF(A332="","",L331)</f>
        <v/>
      </c>
      <c r="N331" s="203"/>
      <c r="O331" s="200" t="str">
        <f aca="false">IF(A332="","",L331+J331+G331)</f>
        <v/>
      </c>
      <c r="P331" s="200" t="str">
        <f aca="false">IF(A332="","",M331+K331+H331)</f>
        <v/>
      </c>
      <c r="Q331" s="204"/>
      <c r="R331" s="200" t="str">
        <f aca="false">IF($A332="","",VLOOKUP($A331,Table,MATCH(R$4,Curves,0)))</f>
        <v/>
      </c>
      <c r="S331" s="201" t="str">
        <f aca="false">IF(A332="","",R331)</f>
        <v/>
      </c>
      <c r="T331" s="200" t="str">
        <f aca="false">IF($A332="","",VLOOKUP($A331,Table,MATCH(T$4,Curves,0)))</f>
        <v/>
      </c>
      <c r="U331" s="201" t="str">
        <f aca="false">IF(A332="","",T331)</f>
        <v/>
      </c>
      <c r="V331" s="225" t="str">
        <f aca="false">IF($A332="","",IF(AND(MONTH(A331)&gt;3,MONTH(A331)&lt;11),(T331+R331+G331)*(((1/(1-Summary!$T$12))/(1-Summary!$W$12))-1),(T331+R331+G331)*((1/(1-Summary!$U$12))/(1-Summary!$X$12)-1)))</f>
        <v/>
      </c>
      <c r="W331" s="200" t="str">
        <f aca="false">IF($A332="","",(T331+R331+G331+V331))</f>
        <v/>
      </c>
      <c r="X331" s="200" t="str">
        <f aca="false">IF($A332="","",(U331+S331+H331+V331))</f>
        <v/>
      </c>
      <c r="Y331" s="202"/>
      <c r="Z331" s="185" t="str">
        <f aca="false">IF($A332="","",VLOOKUP($A331,Table,MATCH(Z$4,Curves,0)))</f>
        <v/>
      </c>
      <c r="AA331" s="185" t="str">
        <f aca="false">IF($A332="","",VLOOKUP($A331,Table,MATCH(AA$4,Curves,0)))</f>
        <v/>
      </c>
      <c r="AB331" s="185" t="e">
        <f aca="false">SQRT((AA331^2*(A331-$D$3)+Z331^2*(DAY(EOMONTH(A331,0))/2))/AK331)</f>
        <v>#VALUE!</v>
      </c>
      <c r="AC331" s="185" t="str">
        <f aca="false">IF($A332="","",VLOOKUP($A331,Table,MATCH(AC$4,Curves,0)))</f>
        <v/>
      </c>
      <c r="AD331" s="185" t="str">
        <f aca="false">IF($A332="","",VLOOKUP($A331,Table,MATCH(AD$4,Curves,0)))</f>
        <v/>
      </c>
      <c r="AE331" s="185" t="e">
        <f aca="false">SQRT((AD331^2*(A331-$D$3)+AC331^2*(DAY(EOMONTH(A331,0))/2))/AK331)</f>
        <v>#VALUE!</v>
      </c>
      <c r="AF331" s="206" t="e">
        <f aca="false">((Summary!$N$12*(AA331*AD331)*(A331-$D$3))+(Summary!$M$12*Z331*AC331*(AJ331-EOMONTH(EDATE(A331,-1),0))))/(AK331*AB331*AE331)</f>
        <v>#VALUE!</v>
      </c>
      <c r="AG331" s="207" t="str">
        <f aca="false">IF($A332="","",Summary!$Q$12)</f>
        <v/>
      </c>
      <c r="AH331" s="207" t="str">
        <f aca="false">IF($A332="","",IF(Summary!$R$12="Y",(VLOOKUP($A331,Summary!$AD$6:$AF$9,3)+'Escalating commodity'!H344),'Escalating commodity'!H344))</f>
        <v/>
      </c>
      <c r="AI331" s="207" t="str">
        <f aca="false">IF($A332="","",AH331)</f>
        <v/>
      </c>
      <c r="AJ331" s="208" t="e">
        <f aca="false">A331+DAY(EOMONTH(A331,0))/2-1</f>
        <v>#VALUE!</v>
      </c>
      <c r="AK331" s="209" t="str">
        <f aca="false">IF($A332="","",$A331-$E$1)</f>
        <v/>
      </c>
      <c r="AL331" s="182" t="str">
        <f aca="false">IF($A332="","",SPRDOPT(P331,X331,AI331,0,AB331,AE331,AF331,AK331,$AJ$2,0))</f>
        <v/>
      </c>
      <c r="AM331" s="211" t="str">
        <f aca="false">IF($A332="","",MAX(0,O331-W331-AI331))</f>
        <v/>
      </c>
      <c r="AN331" s="211" t="str">
        <f aca="false">IF($A332="","",AL331-AM331)</f>
        <v/>
      </c>
      <c r="AO331" s="137" t="str">
        <f aca="false">IF(A332="","",A332-A331)</f>
        <v/>
      </c>
      <c r="AP331" s="212" t="str">
        <f aca="false">IF(A332="","",CHOOSE(F$3,A332+24,A331))</f>
        <v/>
      </c>
      <c r="AQ331" s="209" t="str">
        <f aca="false">IF(A332="","",AP331-$E$1)</f>
        <v/>
      </c>
      <c r="AR331" s="185" t="n">
        <f aca="false">'ANR OK vs ML7'!AR331</f>
        <v>0.1</v>
      </c>
      <c r="AS331" s="213" t="str">
        <f aca="false">IF(A332="","",1/(1+CHOOSE(F$3,(AR332+($I$3/10000))/2,(AR331+($I$3/10000))/2))^(2*AQ331/365.25))</f>
        <v/>
      </c>
      <c r="AT331" s="137" t="str">
        <f aca="false">IF(A332="","",IF(AND(mthbeg&lt;=A331,mthend&gt;=A331),1,0))</f>
        <v/>
      </c>
      <c r="AU331" s="137" t="str">
        <f aca="false">IF(A332="","",AO331*AT331)</f>
        <v/>
      </c>
      <c r="AW331" s="195" t="str">
        <f aca="false">IF($A332="","",AL331*$E331)</f>
        <v/>
      </c>
      <c r="AX331" s="195" t="str">
        <f aca="false">IF($A332="","",AM331*$E331)</f>
        <v/>
      </c>
      <c r="AY331" s="195" t="str">
        <f aca="false">IF($A332="","",AN331*$E331)</f>
        <v/>
      </c>
      <c r="BA331" s="195" t="str">
        <f aca="false">IF($A332="","",F331*Summary!$Q$12)</f>
        <v/>
      </c>
    </row>
    <row r="332" customFormat="false" ht="12" hidden="false" customHeight="true" outlineLevel="0" collapsed="false">
      <c r="A332" s="196" t="str">
        <f aca="false">IF(A331&lt;mthend,EDATE(A331,1),"")</f>
        <v/>
      </c>
      <c r="B332" s="197" t="str">
        <f aca="false">IF(A332&lt;mthend,B331,"")</f>
        <v/>
      </c>
      <c r="C332" s="215"/>
      <c r="D332" s="197" t="str">
        <f aca="false">IF(A333&lt;&gt;"",B332+C332,"")</f>
        <v/>
      </c>
      <c r="E332" s="199" t="str">
        <f aca="false">IF(A333="","",IF(AND(AT332=1,$H$3=1),D332*AO332,IF($H$3=2,D332,"N/A")))</f>
        <v/>
      </c>
      <c r="F332" s="199" t="str">
        <f aca="false">IF(A333="","",E332*AS332)</f>
        <v/>
      </c>
      <c r="G332" s="200" t="str">
        <f aca="false">IF($A333="","",VLOOKUP($A332,Table,MATCH(G$4,Curves,0)))</f>
        <v/>
      </c>
      <c r="H332" s="201" t="str">
        <f aca="false">IF(A333="","",G332)</f>
        <v/>
      </c>
      <c r="I332" s="202"/>
      <c r="J332" s="200" t="str">
        <f aca="false">IF($A333="","",VLOOKUP($A332,Table,MATCH(J$4,Curves,0)))</f>
        <v/>
      </c>
      <c r="K332" s="201" t="str">
        <f aca="false">IF(A333="","",J332)</f>
        <v/>
      </c>
      <c r="L332" s="200" t="str">
        <f aca="false">IF($A333="","",VLOOKUP($A332,Table,MATCH(L$4,Curves,0)))</f>
        <v/>
      </c>
      <c r="M332" s="201" t="str">
        <f aca="false">IF(A333="","",L332)</f>
        <v/>
      </c>
      <c r="N332" s="203"/>
      <c r="O332" s="200" t="str">
        <f aca="false">IF(A333="","",L332+J332+G332)</f>
        <v/>
      </c>
      <c r="P332" s="200" t="str">
        <f aca="false">IF(A333="","",M332+K332+H332)</f>
        <v/>
      </c>
      <c r="Q332" s="204"/>
      <c r="R332" s="200" t="str">
        <f aca="false">IF($A333="","",VLOOKUP($A332,Table,MATCH(R$4,Curves,0)))</f>
        <v/>
      </c>
      <c r="S332" s="201" t="str">
        <f aca="false">IF(A333="","",R332)</f>
        <v/>
      </c>
      <c r="T332" s="200" t="str">
        <f aca="false">IF($A333="","",VLOOKUP($A332,Table,MATCH(T$4,Curves,0)))</f>
        <v/>
      </c>
      <c r="U332" s="201" t="str">
        <f aca="false">IF(A333="","",T332)</f>
        <v/>
      </c>
      <c r="V332" s="225" t="str">
        <f aca="false">IF($A333="","",IF(AND(MONTH(A332)&gt;3,MONTH(A332)&lt;11),(T332+R332+G332)*(((1/(1-Summary!$T$12))/(1-Summary!$W$12))-1),(T332+R332+G332)*((1/(1-Summary!$U$12))/(1-Summary!$X$12)-1)))</f>
        <v/>
      </c>
      <c r="W332" s="200" t="str">
        <f aca="false">IF($A333="","",(T332+R332+G332+V332))</f>
        <v/>
      </c>
      <c r="X332" s="200" t="str">
        <f aca="false">IF($A333="","",(U332+S332+H332+V332))</f>
        <v/>
      </c>
      <c r="Y332" s="202"/>
      <c r="Z332" s="185" t="str">
        <f aca="false">IF($A333="","",VLOOKUP($A332,Table,MATCH(Z$4,Curves,0)))</f>
        <v/>
      </c>
      <c r="AA332" s="185" t="str">
        <f aca="false">IF($A333="","",VLOOKUP($A332,Table,MATCH(AA$4,Curves,0)))</f>
        <v/>
      </c>
      <c r="AB332" s="185" t="e">
        <f aca="false">SQRT((AA332^2*(A332-$D$3)+Z332^2*(DAY(EOMONTH(A332,0))/2))/AK332)</f>
        <v>#VALUE!</v>
      </c>
      <c r="AC332" s="185" t="str">
        <f aca="false">IF($A333="","",VLOOKUP($A332,Table,MATCH(AC$4,Curves,0)))</f>
        <v/>
      </c>
      <c r="AD332" s="185" t="str">
        <f aca="false">IF($A333="","",VLOOKUP($A332,Table,MATCH(AD$4,Curves,0)))</f>
        <v/>
      </c>
      <c r="AE332" s="185" t="e">
        <f aca="false">SQRT((AD332^2*(A332-$D$3)+AC332^2*(DAY(EOMONTH(A332,0))/2))/AK332)</f>
        <v>#VALUE!</v>
      </c>
      <c r="AF332" s="206" t="e">
        <f aca="false">((Summary!$N$12*(AA332*AD332)*(A332-$D$3))+(Summary!$M$12*Z332*AC332*(AJ332-EOMONTH(EDATE(A332,-1),0))))/(AK332*AB332*AE332)</f>
        <v>#VALUE!</v>
      </c>
      <c r="AG332" s="207" t="str">
        <f aca="false">IF($A333="","",Summary!$Q$12)</f>
        <v/>
      </c>
      <c r="AH332" s="207" t="str">
        <f aca="false">IF($A333="","",IF(Summary!$R$12="Y",(VLOOKUP($A332,Summary!$AD$6:$AF$9,3)+'Escalating commodity'!H345),'Escalating commodity'!H345))</f>
        <v/>
      </c>
      <c r="AI332" s="207" t="str">
        <f aca="false">IF($A333="","",AH332)</f>
        <v/>
      </c>
      <c r="AJ332" s="208" t="e">
        <f aca="false">A332+DAY(EOMONTH(A332,0))/2-1</f>
        <v>#VALUE!</v>
      </c>
      <c r="AK332" s="209" t="str">
        <f aca="false">IF($A333="","",$A332-$E$1)</f>
        <v/>
      </c>
      <c r="AL332" s="182" t="str">
        <f aca="false">IF($A333="","",SPRDOPT(P332,X332,AI332,0,AB332,AE332,AF332,AK332,$AJ$2,0))</f>
        <v/>
      </c>
      <c r="AM332" s="211" t="str">
        <f aca="false">IF($A333="","",MAX(0,O332-W332-AI332))</f>
        <v/>
      </c>
      <c r="AN332" s="211" t="str">
        <f aca="false">IF($A333="","",AL332-AM332)</f>
        <v/>
      </c>
      <c r="AO332" s="137" t="str">
        <f aca="false">IF(A333="","",A333-A332)</f>
        <v/>
      </c>
      <c r="AP332" s="212" t="str">
        <f aca="false">IF(A333="","",CHOOSE(F$3,A333+24,A332))</f>
        <v/>
      </c>
      <c r="AQ332" s="209" t="str">
        <f aca="false">IF(A333="","",AP332-$E$1)</f>
        <v/>
      </c>
      <c r="AR332" s="185" t="n">
        <f aca="false">'ANR OK vs ML7'!AR332</f>
        <v>0.1</v>
      </c>
      <c r="AS332" s="213" t="str">
        <f aca="false">IF(A333="","",1/(1+CHOOSE(F$3,(AR333+($I$3/10000))/2,(AR332+($I$3/10000))/2))^(2*AQ332/365.25))</f>
        <v/>
      </c>
      <c r="AT332" s="137" t="str">
        <f aca="false">IF(A333="","",IF(AND(mthbeg&lt;=A332,mthend&gt;=A332),1,0))</f>
        <v/>
      </c>
      <c r="AU332" s="137" t="str">
        <f aca="false">IF(A333="","",AO332*AT332)</f>
        <v/>
      </c>
      <c r="AW332" s="195" t="str">
        <f aca="false">IF($A333="","",AL332*$E332)</f>
        <v/>
      </c>
      <c r="AX332" s="195" t="str">
        <f aca="false">IF($A333="","",AM332*$E332)</f>
        <v/>
      </c>
      <c r="AY332" s="195" t="str">
        <f aca="false">IF($A333="","",AN332*$E332)</f>
        <v/>
      </c>
      <c r="BA332" s="195" t="str">
        <f aca="false">IF($A333="","",F332*Summary!$Q$12)</f>
        <v/>
      </c>
    </row>
    <row r="333" customFormat="false" ht="12" hidden="false" customHeight="true" outlineLevel="0" collapsed="false">
      <c r="A333" s="196" t="str">
        <f aca="false">IF(A332&lt;mthend,EDATE(A332,1),"")</f>
        <v/>
      </c>
      <c r="B333" s="197" t="str">
        <f aca="false">IF(A333&lt;mthend,B332,"")</f>
        <v/>
      </c>
      <c r="C333" s="215"/>
      <c r="D333" s="197" t="str">
        <f aca="false">IF(A334&lt;&gt;"",B333+C333,"")</f>
        <v/>
      </c>
      <c r="E333" s="199" t="str">
        <f aca="false">IF(A334="","",IF(AND(AT333=1,$H$3=1),D333*AO333,IF($H$3=2,D333,"N/A")))</f>
        <v/>
      </c>
      <c r="F333" s="199" t="str">
        <f aca="false">IF(A334="","",E333*AS333)</f>
        <v/>
      </c>
      <c r="G333" s="200" t="str">
        <f aca="false">IF($A334="","",VLOOKUP($A333,Table,MATCH(G$4,Curves,0)))</f>
        <v/>
      </c>
      <c r="H333" s="201" t="str">
        <f aca="false">IF(A334="","",G333)</f>
        <v/>
      </c>
      <c r="I333" s="202"/>
      <c r="J333" s="200" t="str">
        <f aca="false">IF($A334="","",VLOOKUP($A333,Table,MATCH(J$4,Curves,0)))</f>
        <v/>
      </c>
      <c r="K333" s="201" t="str">
        <f aca="false">IF(A334="","",J333)</f>
        <v/>
      </c>
      <c r="L333" s="200" t="str">
        <f aca="false">IF($A334="","",VLOOKUP($A333,Table,MATCH(L$4,Curves,0)))</f>
        <v/>
      </c>
      <c r="M333" s="201" t="str">
        <f aca="false">IF(A334="","",L333)</f>
        <v/>
      </c>
      <c r="N333" s="203"/>
      <c r="O333" s="200" t="str">
        <f aca="false">IF(A334="","",L333+J333+G333)</f>
        <v/>
      </c>
      <c r="P333" s="200" t="str">
        <f aca="false">IF(A334="","",M333+K333+H333)</f>
        <v/>
      </c>
      <c r="Q333" s="204"/>
      <c r="R333" s="200" t="str">
        <f aca="false">IF($A334="","",VLOOKUP($A333,Table,MATCH(R$4,Curves,0)))</f>
        <v/>
      </c>
      <c r="S333" s="201" t="str">
        <f aca="false">IF(A334="","",R333)</f>
        <v/>
      </c>
      <c r="T333" s="200" t="str">
        <f aca="false">IF($A334="","",VLOOKUP($A333,Table,MATCH(T$4,Curves,0)))</f>
        <v/>
      </c>
      <c r="U333" s="201" t="str">
        <f aca="false">IF(A334="","",T333)</f>
        <v/>
      </c>
      <c r="V333" s="225" t="str">
        <f aca="false">IF($A334="","",IF(AND(MONTH(A333)&gt;3,MONTH(A333)&lt;11),(T333+R333+G333)*(((1/(1-Summary!$T$12))/(1-Summary!$W$12))-1),(T333+R333+G333)*((1/(1-Summary!$U$12))/(1-Summary!$X$12)-1)))</f>
        <v/>
      </c>
      <c r="W333" s="200" t="str">
        <f aca="false">IF($A334="","",(T333+R333+G333+V333))</f>
        <v/>
      </c>
      <c r="X333" s="200" t="str">
        <f aca="false">IF($A334="","",(U333+S333+H333+V333))</f>
        <v/>
      </c>
      <c r="Y333" s="202"/>
      <c r="Z333" s="185" t="str">
        <f aca="false">IF($A334="","",VLOOKUP($A333,Table,MATCH(Z$4,Curves,0)))</f>
        <v/>
      </c>
      <c r="AA333" s="185" t="str">
        <f aca="false">IF($A334="","",VLOOKUP($A333,Table,MATCH(AA$4,Curves,0)))</f>
        <v/>
      </c>
      <c r="AB333" s="185" t="e">
        <f aca="false">SQRT((AA333^2*(A333-$D$3)+Z333^2*(DAY(EOMONTH(A333,0))/2))/AK333)</f>
        <v>#VALUE!</v>
      </c>
      <c r="AC333" s="185" t="str">
        <f aca="false">IF($A334="","",VLOOKUP($A333,Table,MATCH(AC$4,Curves,0)))</f>
        <v/>
      </c>
      <c r="AD333" s="185" t="str">
        <f aca="false">IF($A334="","",VLOOKUP($A333,Table,MATCH(AD$4,Curves,0)))</f>
        <v/>
      </c>
      <c r="AE333" s="185" t="e">
        <f aca="false">SQRT((AD333^2*(A333-$D$3)+AC333^2*(DAY(EOMONTH(A333,0))/2))/AK333)</f>
        <v>#VALUE!</v>
      </c>
      <c r="AF333" s="206" t="e">
        <f aca="false">((Summary!$N$12*(AA333*AD333)*(A333-$D$3))+(Summary!$M$12*Z333*AC333*(AJ333-EOMONTH(EDATE(A333,-1),0))))/(AK333*AB333*AE333)</f>
        <v>#VALUE!</v>
      </c>
      <c r="AG333" s="207" t="str">
        <f aca="false">IF($A334="","",Summary!$Q$12)</f>
        <v/>
      </c>
      <c r="AH333" s="207" t="str">
        <f aca="false">IF($A334="","",IF(Summary!$R$12="Y",(VLOOKUP($A333,Summary!$AD$6:$AF$9,3)+'Escalating commodity'!H346),'Escalating commodity'!H346))</f>
        <v/>
      </c>
      <c r="AI333" s="207" t="str">
        <f aca="false">IF($A334="","",AH333)</f>
        <v/>
      </c>
      <c r="AJ333" s="208" t="e">
        <f aca="false">A333+DAY(EOMONTH(A333,0))/2-1</f>
        <v>#VALUE!</v>
      </c>
      <c r="AK333" s="209" t="str">
        <f aca="false">IF($A334="","",$A333-$E$1)</f>
        <v/>
      </c>
      <c r="AL333" s="182" t="str">
        <f aca="false">IF($A334="","",SPRDOPT(P333,X333,AI333,0,AB333,AE333,AF333,AK333,$AJ$2,0))</f>
        <v/>
      </c>
      <c r="AM333" s="211" t="str">
        <f aca="false">IF($A334="","",MAX(0,O333-W333-AI333))</f>
        <v/>
      </c>
      <c r="AN333" s="211" t="str">
        <f aca="false">IF($A334="","",AL333-AM333)</f>
        <v/>
      </c>
      <c r="AO333" s="137" t="str">
        <f aca="false">IF(A334="","",A334-A333)</f>
        <v/>
      </c>
      <c r="AP333" s="212" t="str">
        <f aca="false">IF(A334="","",CHOOSE(F$3,A334+24,A333))</f>
        <v/>
      </c>
      <c r="AQ333" s="209" t="str">
        <f aca="false">IF(A334="","",AP333-$E$1)</f>
        <v/>
      </c>
      <c r="AR333" s="185" t="n">
        <f aca="false">'ANR OK vs ML7'!AR333</f>
        <v>0.1</v>
      </c>
      <c r="AS333" s="213" t="str">
        <f aca="false">IF(A334="","",1/(1+CHOOSE(F$3,(AR334+($I$3/10000))/2,(AR333+($I$3/10000))/2))^(2*AQ333/365.25))</f>
        <v/>
      </c>
      <c r="AT333" s="137" t="str">
        <f aca="false">IF(A334="","",IF(AND(mthbeg&lt;=A333,mthend&gt;=A333),1,0))</f>
        <v/>
      </c>
      <c r="AU333" s="137" t="str">
        <f aca="false">IF(A334="","",AO333*AT333)</f>
        <v/>
      </c>
      <c r="AW333" s="195" t="str">
        <f aca="false">IF($A334="","",AL333*$E333)</f>
        <v/>
      </c>
      <c r="AX333" s="195" t="str">
        <f aca="false">IF($A334="","",AM333*$E333)</f>
        <v/>
      </c>
      <c r="AY333" s="195" t="str">
        <f aca="false">IF($A334="","",AN333*$E333)</f>
        <v/>
      </c>
      <c r="BA333" s="195" t="str">
        <f aca="false">IF($A334="","",F333*Summary!$Q$12)</f>
        <v/>
      </c>
    </row>
    <row r="334" customFormat="false" ht="12" hidden="false" customHeight="true" outlineLevel="0" collapsed="false">
      <c r="A334" s="196" t="str">
        <f aca="false">IF(A333&lt;mthend,EDATE(A333,1),"")</f>
        <v/>
      </c>
      <c r="B334" s="197" t="str">
        <f aca="false">IF(A334&lt;mthend,B333,"")</f>
        <v/>
      </c>
      <c r="C334" s="215"/>
      <c r="D334" s="197" t="str">
        <f aca="false">IF(A335&lt;&gt;"",B334+C334,"")</f>
        <v/>
      </c>
      <c r="E334" s="199" t="str">
        <f aca="false">IF(A335="","",IF(AND(AT334=1,$H$3=1),D334*AO334,IF($H$3=2,D334,"N/A")))</f>
        <v/>
      </c>
      <c r="F334" s="199" t="str">
        <f aca="false">IF(A335="","",E334*AS334)</f>
        <v/>
      </c>
      <c r="G334" s="200" t="str">
        <f aca="false">IF($A335="","",VLOOKUP($A334,Table,MATCH(G$4,Curves,0)))</f>
        <v/>
      </c>
      <c r="H334" s="201" t="str">
        <f aca="false">IF(A335="","",G334)</f>
        <v/>
      </c>
      <c r="I334" s="202"/>
      <c r="J334" s="200" t="str">
        <f aca="false">IF($A335="","",VLOOKUP($A334,Table,MATCH(J$4,Curves,0)))</f>
        <v/>
      </c>
      <c r="K334" s="201" t="str">
        <f aca="false">IF(A335="","",J334)</f>
        <v/>
      </c>
      <c r="L334" s="200" t="str">
        <f aca="false">IF($A335="","",VLOOKUP($A334,Table,MATCH(L$4,Curves,0)))</f>
        <v/>
      </c>
      <c r="M334" s="201" t="str">
        <f aca="false">IF(A335="","",L334)</f>
        <v/>
      </c>
      <c r="N334" s="203"/>
      <c r="O334" s="200" t="str">
        <f aca="false">IF(A335="","",L334+J334+G334)</f>
        <v/>
      </c>
      <c r="P334" s="200" t="str">
        <f aca="false">IF(A335="","",M334+K334+H334)</f>
        <v/>
      </c>
      <c r="Q334" s="204"/>
      <c r="R334" s="200" t="str">
        <f aca="false">IF($A335="","",VLOOKUP($A334,Table,MATCH(R$4,Curves,0)))</f>
        <v/>
      </c>
      <c r="S334" s="201" t="str">
        <f aca="false">IF(A335="","",R334)</f>
        <v/>
      </c>
      <c r="T334" s="200" t="str">
        <f aca="false">IF($A335="","",VLOOKUP($A334,Table,MATCH(T$4,Curves,0)))</f>
        <v/>
      </c>
      <c r="U334" s="201" t="str">
        <f aca="false">IF(A335="","",T334)</f>
        <v/>
      </c>
      <c r="V334" s="225" t="str">
        <f aca="false">IF($A335="","",IF(AND(MONTH(A334)&gt;3,MONTH(A334)&lt;11),(T334+R334+G334)*(((1/(1-Summary!$T$12))/(1-Summary!$W$12))-1),(T334+R334+G334)*((1/(1-Summary!$U$12))/(1-Summary!$X$12)-1)))</f>
        <v/>
      </c>
      <c r="W334" s="200" t="str">
        <f aca="false">IF($A335="","",(T334+R334+G334+V334))</f>
        <v/>
      </c>
      <c r="X334" s="200" t="str">
        <f aca="false">IF($A335="","",(U334+S334+H334+V334))</f>
        <v/>
      </c>
      <c r="Y334" s="202"/>
      <c r="Z334" s="185" t="str">
        <f aca="false">IF($A335="","",VLOOKUP($A334,Table,MATCH(Z$4,Curves,0)))</f>
        <v/>
      </c>
      <c r="AA334" s="185" t="str">
        <f aca="false">IF($A335="","",VLOOKUP($A334,Table,MATCH(AA$4,Curves,0)))</f>
        <v/>
      </c>
      <c r="AB334" s="185" t="e">
        <f aca="false">SQRT((AA334^2*(A334-$D$3)+Z334^2*(DAY(EOMONTH(A334,0))/2))/AK334)</f>
        <v>#VALUE!</v>
      </c>
      <c r="AC334" s="185" t="str">
        <f aca="false">IF($A335="","",VLOOKUP($A334,Table,MATCH(AC$4,Curves,0)))</f>
        <v/>
      </c>
      <c r="AD334" s="185" t="str">
        <f aca="false">IF($A335="","",VLOOKUP($A334,Table,MATCH(AD$4,Curves,0)))</f>
        <v/>
      </c>
      <c r="AE334" s="185" t="e">
        <f aca="false">SQRT((AD334^2*(A334-$D$3)+AC334^2*(DAY(EOMONTH(A334,0))/2))/AK334)</f>
        <v>#VALUE!</v>
      </c>
      <c r="AF334" s="206" t="e">
        <f aca="false">((Summary!$N$12*(AA334*AD334)*(A334-$D$3))+(Summary!$M$12*Z334*AC334*(AJ334-EOMONTH(EDATE(A334,-1),0))))/(AK334*AB334*AE334)</f>
        <v>#VALUE!</v>
      </c>
      <c r="AG334" s="207" t="str">
        <f aca="false">IF($A335="","",Summary!$Q$12)</f>
        <v/>
      </c>
      <c r="AH334" s="207" t="str">
        <f aca="false">IF($A335="","",IF(Summary!$R$12="Y",(VLOOKUP($A334,Summary!$AD$6:$AF$9,3)+'Escalating commodity'!H347),'Escalating commodity'!H347))</f>
        <v/>
      </c>
      <c r="AI334" s="207" t="str">
        <f aca="false">IF($A335="","",AH334)</f>
        <v/>
      </c>
      <c r="AJ334" s="208" t="e">
        <f aca="false">A334+DAY(EOMONTH(A334,0))/2-1</f>
        <v>#VALUE!</v>
      </c>
      <c r="AK334" s="209" t="str">
        <f aca="false">IF($A335="","",$A334-$E$1)</f>
        <v/>
      </c>
      <c r="AL334" s="182" t="str">
        <f aca="false">IF($A335="","",SPRDOPT(P334,X334,AI334,0,AB334,AE334,AF334,AK334,$AJ$2,0))</f>
        <v/>
      </c>
      <c r="AM334" s="211" t="str">
        <f aca="false">IF($A335="","",MAX(0,O334-W334-AI334))</f>
        <v/>
      </c>
      <c r="AN334" s="211" t="str">
        <f aca="false">IF($A335="","",AL334-AM334)</f>
        <v/>
      </c>
      <c r="AO334" s="137" t="str">
        <f aca="false">IF(A335="","",A335-A334)</f>
        <v/>
      </c>
      <c r="AP334" s="212" t="str">
        <f aca="false">IF(A335="","",CHOOSE(F$3,A335+24,A334))</f>
        <v/>
      </c>
      <c r="AQ334" s="209" t="str">
        <f aca="false">IF(A335="","",AP334-$E$1)</f>
        <v/>
      </c>
      <c r="AR334" s="185" t="n">
        <f aca="false">'ANR OK vs ML7'!AR334</f>
        <v>0.1</v>
      </c>
      <c r="AS334" s="213" t="str">
        <f aca="false">IF(A335="","",1/(1+CHOOSE(F$3,(AR335+($I$3/10000))/2,(AR334+($I$3/10000))/2))^(2*AQ334/365.25))</f>
        <v/>
      </c>
      <c r="AT334" s="137" t="str">
        <f aca="false">IF(A335="","",IF(AND(mthbeg&lt;=A334,mthend&gt;=A334),1,0))</f>
        <v/>
      </c>
      <c r="AU334" s="137" t="str">
        <f aca="false">IF(A335="","",AO334*AT334)</f>
        <v/>
      </c>
      <c r="AW334" s="195" t="str">
        <f aca="false">IF($A335="","",AL334*$E334)</f>
        <v/>
      </c>
      <c r="AX334" s="195" t="str">
        <f aca="false">IF($A335="","",AM334*$E334)</f>
        <v/>
      </c>
      <c r="AY334" s="195" t="str">
        <f aca="false">IF($A335="","",AN334*$E334)</f>
        <v/>
      </c>
      <c r="BA334" s="195" t="str">
        <f aca="false">IF($A335="","",F334*Summary!$Q$12)</f>
        <v/>
      </c>
    </row>
    <row r="335" customFormat="false" ht="12" hidden="false" customHeight="true" outlineLevel="0" collapsed="false">
      <c r="A335" s="196" t="str">
        <f aca="false">IF(A334&lt;mthend,EDATE(A334,1),"")</f>
        <v/>
      </c>
      <c r="B335" s="197" t="str">
        <f aca="false">IF(A335&lt;mthend,B334,"")</f>
        <v/>
      </c>
      <c r="C335" s="215"/>
      <c r="D335" s="197" t="str">
        <f aca="false">IF(A336&lt;&gt;"",B335+C335,"")</f>
        <v/>
      </c>
      <c r="E335" s="199" t="str">
        <f aca="false">IF(A336="","",IF(AND(AT335=1,$H$3=1),D335*AO335,IF($H$3=2,D335,"N/A")))</f>
        <v/>
      </c>
      <c r="F335" s="199" t="str">
        <f aca="false">IF(A336="","",E335*AS335)</f>
        <v/>
      </c>
      <c r="G335" s="200" t="str">
        <f aca="false">IF($A336="","",VLOOKUP($A335,Table,MATCH(G$4,Curves,0)))</f>
        <v/>
      </c>
      <c r="H335" s="201" t="str">
        <f aca="false">IF(A336="","",G335)</f>
        <v/>
      </c>
      <c r="I335" s="202"/>
      <c r="J335" s="200" t="str">
        <f aca="false">IF($A336="","",VLOOKUP($A335,Table,MATCH(J$4,Curves,0)))</f>
        <v/>
      </c>
      <c r="K335" s="201" t="str">
        <f aca="false">IF(A336="","",J335)</f>
        <v/>
      </c>
      <c r="L335" s="200" t="str">
        <f aca="false">IF($A336="","",VLOOKUP($A335,Table,MATCH(L$4,Curves,0)))</f>
        <v/>
      </c>
      <c r="M335" s="201" t="str">
        <f aca="false">IF(A336="","",L335)</f>
        <v/>
      </c>
      <c r="N335" s="203"/>
      <c r="O335" s="200" t="str">
        <f aca="false">IF(A336="","",L335+J335+G335)</f>
        <v/>
      </c>
      <c r="P335" s="200" t="str">
        <f aca="false">IF(A336="","",M335+K335+H335)</f>
        <v/>
      </c>
      <c r="Q335" s="204"/>
      <c r="R335" s="200" t="str">
        <f aca="false">IF($A336="","",VLOOKUP($A335,Table,MATCH(R$4,Curves,0)))</f>
        <v/>
      </c>
      <c r="S335" s="201" t="str">
        <f aca="false">IF(A336="","",R335)</f>
        <v/>
      </c>
      <c r="T335" s="200" t="str">
        <f aca="false">IF($A336="","",VLOOKUP($A335,Table,MATCH(T$4,Curves,0)))</f>
        <v/>
      </c>
      <c r="U335" s="201" t="str">
        <f aca="false">IF(A336="","",T335)</f>
        <v/>
      </c>
      <c r="V335" s="225" t="str">
        <f aca="false">IF($A336="","",IF(AND(MONTH(A335)&gt;3,MONTH(A335)&lt;11),(T335+R335+G335)*(((1/(1-Summary!$T$12))/(1-Summary!$W$12))-1),(T335+R335+G335)*((1/(1-Summary!$U$12))/(1-Summary!$X$12)-1)))</f>
        <v/>
      </c>
      <c r="W335" s="200" t="str">
        <f aca="false">IF($A336="","",(T335+R335+G335+V335))</f>
        <v/>
      </c>
      <c r="X335" s="200" t="str">
        <f aca="false">IF($A336="","",(U335+S335+H335+V335))</f>
        <v/>
      </c>
      <c r="Y335" s="202"/>
      <c r="Z335" s="185" t="str">
        <f aca="false">IF($A336="","",VLOOKUP($A335,Table,MATCH(Z$4,Curves,0)))</f>
        <v/>
      </c>
      <c r="AA335" s="185" t="str">
        <f aca="false">IF($A336="","",VLOOKUP($A335,Table,MATCH(AA$4,Curves,0)))</f>
        <v/>
      </c>
      <c r="AB335" s="185" t="e">
        <f aca="false">SQRT((AA335^2*(A335-$D$3)+Z335^2*(DAY(EOMONTH(A335,0))/2))/AK335)</f>
        <v>#VALUE!</v>
      </c>
      <c r="AC335" s="185" t="str">
        <f aca="false">IF($A336="","",VLOOKUP($A335,Table,MATCH(AC$4,Curves,0)))</f>
        <v/>
      </c>
      <c r="AD335" s="185" t="str">
        <f aca="false">IF($A336="","",VLOOKUP($A335,Table,MATCH(AD$4,Curves,0)))</f>
        <v/>
      </c>
      <c r="AE335" s="185" t="e">
        <f aca="false">SQRT((AD335^2*(A335-$D$3)+AC335^2*(DAY(EOMONTH(A335,0))/2))/AK335)</f>
        <v>#VALUE!</v>
      </c>
      <c r="AF335" s="206" t="e">
        <f aca="false">((Summary!$N$12*(AA335*AD335)*(A335-$D$3))+(Summary!$M$12*Z335*AC335*(AJ335-EOMONTH(EDATE(A335,-1),0))))/(AK335*AB335*AE335)</f>
        <v>#VALUE!</v>
      </c>
      <c r="AG335" s="207" t="str">
        <f aca="false">IF($A336="","",Summary!$Q$12)</f>
        <v/>
      </c>
      <c r="AH335" s="207" t="str">
        <f aca="false">IF($A336="","",IF(Summary!$R$12="Y",(VLOOKUP($A335,Summary!$AD$6:$AF$9,3)+'Escalating commodity'!H348),'Escalating commodity'!H348))</f>
        <v/>
      </c>
      <c r="AI335" s="207" t="str">
        <f aca="false">IF($A336="","",AH335)</f>
        <v/>
      </c>
      <c r="AJ335" s="208" t="e">
        <f aca="false">A335+DAY(EOMONTH(A335,0))/2-1</f>
        <v>#VALUE!</v>
      </c>
      <c r="AK335" s="209" t="str">
        <f aca="false">IF($A336="","",$A335-$E$1)</f>
        <v/>
      </c>
      <c r="AL335" s="182" t="str">
        <f aca="false">IF($A336="","",SPRDOPT(P335,X335,AI335,0,AB335,AE335,AF335,AK335,$AJ$2,0))</f>
        <v/>
      </c>
      <c r="AM335" s="211" t="str">
        <f aca="false">IF($A336="","",MAX(0,O335-W335-AI335))</f>
        <v/>
      </c>
      <c r="AN335" s="211" t="str">
        <f aca="false">IF($A336="","",AL335-AM335)</f>
        <v/>
      </c>
      <c r="AO335" s="137" t="str">
        <f aca="false">IF(A336="","",A336-A335)</f>
        <v/>
      </c>
      <c r="AP335" s="212" t="str">
        <f aca="false">IF(A336="","",CHOOSE(F$3,A336+24,A335))</f>
        <v/>
      </c>
      <c r="AQ335" s="209" t="str">
        <f aca="false">IF(A336="","",AP335-$E$1)</f>
        <v/>
      </c>
      <c r="AR335" s="185" t="n">
        <f aca="false">'ANR OK vs ML7'!AR335</f>
        <v>0.1</v>
      </c>
      <c r="AS335" s="213" t="str">
        <f aca="false">IF(A336="","",1/(1+CHOOSE(F$3,(AR336+($I$3/10000))/2,(AR335+($I$3/10000))/2))^(2*AQ335/365.25))</f>
        <v/>
      </c>
      <c r="AT335" s="137" t="str">
        <f aca="false">IF(A336="","",IF(AND(mthbeg&lt;=A335,mthend&gt;=A335),1,0))</f>
        <v/>
      </c>
      <c r="AU335" s="137" t="str">
        <f aca="false">IF(A336="","",AO335*AT335)</f>
        <v/>
      </c>
      <c r="AW335" s="195" t="str">
        <f aca="false">IF($A336="","",AL335*$E335)</f>
        <v/>
      </c>
      <c r="AX335" s="195" t="str">
        <f aca="false">IF($A336="","",AM335*$E335)</f>
        <v/>
      </c>
      <c r="AY335" s="195" t="str">
        <f aca="false">IF($A336="","",AN335*$E335)</f>
        <v/>
      </c>
      <c r="BA335" s="195" t="str">
        <f aca="false">IF($A336="","",F335*Summary!$Q$12)</f>
        <v/>
      </c>
    </row>
    <row r="336" customFormat="false" ht="12" hidden="false" customHeight="true" outlineLevel="0" collapsed="false">
      <c r="A336" s="196" t="str">
        <f aca="false">IF(A335&lt;mthend,EDATE(A335,1),"")</f>
        <v/>
      </c>
      <c r="B336" s="197" t="str">
        <f aca="false">IF(A336&lt;mthend,B335,"")</f>
        <v/>
      </c>
      <c r="C336" s="215"/>
      <c r="D336" s="197" t="str">
        <f aca="false">IF(A337&lt;&gt;"",B336+C336,"")</f>
        <v/>
      </c>
      <c r="E336" s="199" t="str">
        <f aca="false">IF(A337="","",IF(AND(AT336=1,$H$3=1),D336*AO336,IF($H$3=2,D336,"N/A")))</f>
        <v/>
      </c>
      <c r="F336" s="199" t="str">
        <f aca="false">IF(A337="","",E336*AS336)</f>
        <v/>
      </c>
      <c r="G336" s="200" t="str">
        <f aca="false">IF($A337="","",VLOOKUP($A336,Table,MATCH(G$4,Curves,0)))</f>
        <v/>
      </c>
      <c r="H336" s="201" t="str">
        <f aca="false">IF(A337="","",G336)</f>
        <v/>
      </c>
      <c r="I336" s="202"/>
      <c r="J336" s="200" t="str">
        <f aca="false">IF($A337="","",VLOOKUP($A336,Table,MATCH(J$4,Curves,0)))</f>
        <v/>
      </c>
      <c r="K336" s="201" t="str">
        <f aca="false">IF(A337="","",J336)</f>
        <v/>
      </c>
      <c r="L336" s="200" t="str">
        <f aca="false">IF($A337="","",VLOOKUP($A336,Table,MATCH(L$4,Curves,0)))</f>
        <v/>
      </c>
      <c r="M336" s="201" t="str">
        <f aca="false">IF(A337="","",L336)</f>
        <v/>
      </c>
      <c r="N336" s="203"/>
      <c r="O336" s="200" t="str">
        <f aca="false">IF(A337="","",L336+J336+G336)</f>
        <v/>
      </c>
      <c r="P336" s="200" t="str">
        <f aca="false">IF(A337="","",M336+K336+H336)</f>
        <v/>
      </c>
      <c r="Q336" s="204"/>
      <c r="R336" s="200" t="str">
        <f aca="false">IF($A337="","",VLOOKUP($A336,Table,MATCH(R$4,Curves,0)))</f>
        <v/>
      </c>
      <c r="S336" s="201" t="str">
        <f aca="false">IF(A337="","",R336)</f>
        <v/>
      </c>
      <c r="T336" s="200" t="str">
        <f aca="false">IF($A337="","",VLOOKUP($A336,Table,MATCH(T$4,Curves,0)))</f>
        <v/>
      </c>
      <c r="U336" s="201" t="str">
        <f aca="false">IF(A337="","",T336)</f>
        <v/>
      </c>
      <c r="V336" s="225" t="str">
        <f aca="false">IF($A337="","",IF(AND(MONTH(A336)&gt;3,MONTH(A336)&lt;11),(T336+R336+G336)*(((1/(1-Summary!$T$12))/(1-Summary!$W$12))-1),(T336+R336+G336)*((1/(1-Summary!$U$12))/(1-Summary!$X$12)-1)))</f>
        <v/>
      </c>
      <c r="W336" s="200" t="str">
        <f aca="false">IF($A337="","",(T336+R336+G336+V336))</f>
        <v/>
      </c>
      <c r="X336" s="200" t="str">
        <f aca="false">IF($A337="","",(U336+S336+H336+V336))</f>
        <v/>
      </c>
      <c r="Y336" s="202"/>
      <c r="Z336" s="185" t="str">
        <f aca="false">IF($A337="","",VLOOKUP($A336,Table,MATCH(Z$4,Curves,0)))</f>
        <v/>
      </c>
      <c r="AA336" s="185" t="str">
        <f aca="false">IF($A337="","",VLOOKUP($A336,Table,MATCH(AA$4,Curves,0)))</f>
        <v/>
      </c>
      <c r="AB336" s="185" t="e">
        <f aca="false">SQRT((AA336^2*(A336-$D$3)+Z336^2*(DAY(EOMONTH(A336,0))/2))/AK336)</f>
        <v>#VALUE!</v>
      </c>
      <c r="AC336" s="185" t="str">
        <f aca="false">IF($A337="","",VLOOKUP($A336,Table,MATCH(AC$4,Curves,0)))</f>
        <v/>
      </c>
      <c r="AD336" s="185" t="str">
        <f aca="false">IF($A337="","",VLOOKUP($A336,Table,MATCH(AD$4,Curves,0)))</f>
        <v/>
      </c>
      <c r="AE336" s="185" t="e">
        <f aca="false">SQRT((AD336^2*(A336-$D$3)+AC336^2*(DAY(EOMONTH(A336,0))/2))/AK336)</f>
        <v>#VALUE!</v>
      </c>
      <c r="AF336" s="206" t="e">
        <f aca="false">((Summary!$N$12*(AA336*AD336)*(A336-$D$3))+(Summary!$M$12*Z336*AC336*(AJ336-EOMONTH(EDATE(A336,-1),0))))/(AK336*AB336*AE336)</f>
        <v>#VALUE!</v>
      </c>
      <c r="AG336" s="207" t="str">
        <f aca="false">IF($A337="","",Summary!$Q$12)</f>
        <v/>
      </c>
      <c r="AH336" s="207" t="str">
        <f aca="false">IF($A337="","",IF(Summary!$R$12="Y",(VLOOKUP($A336,Summary!$AD$6:$AF$9,3)+'Escalating commodity'!H349),'Escalating commodity'!H349))</f>
        <v/>
      </c>
      <c r="AI336" s="207" t="str">
        <f aca="false">IF($A337="","",AH336)</f>
        <v/>
      </c>
      <c r="AJ336" s="208" t="e">
        <f aca="false">A336+DAY(EOMONTH(A336,0))/2-1</f>
        <v>#VALUE!</v>
      </c>
      <c r="AK336" s="209" t="str">
        <f aca="false">IF($A337="","",$A336-$E$1)</f>
        <v/>
      </c>
      <c r="AL336" s="182" t="str">
        <f aca="false">IF($A337="","",SPRDOPT(P336,X336,AI336,0,AB336,AE336,AF336,AK336,$AJ$2,0))</f>
        <v/>
      </c>
      <c r="AM336" s="211" t="str">
        <f aca="false">IF($A337="","",MAX(0,O336-W336-AI336))</f>
        <v/>
      </c>
      <c r="AN336" s="211" t="str">
        <f aca="false">IF($A337="","",AL336-AM336)</f>
        <v/>
      </c>
      <c r="AO336" s="137" t="str">
        <f aca="false">IF(A337="","",A337-A336)</f>
        <v/>
      </c>
      <c r="AP336" s="212" t="str">
        <f aca="false">IF(A337="","",CHOOSE(F$3,A337+24,A336))</f>
        <v/>
      </c>
      <c r="AQ336" s="209" t="str">
        <f aca="false">IF(A337="","",AP336-$E$1)</f>
        <v/>
      </c>
      <c r="AR336" s="185" t="n">
        <f aca="false">'ANR OK vs ML7'!AR336</f>
        <v>0.1</v>
      </c>
      <c r="AS336" s="213" t="str">
        <f aca="false">IF(A337="","",1/(1+CHOOSE(F$3,(AR337+($I$3/10000))/2,(AR336+($I$3/10000))/2))^(2*AQ336/365.25))</f>
        <v/>
      </c>
      <c r="AT336" s="137" t="str">
        <f aca="false">IF(A337="","",IF(AND(mthbeg&lt;=A336,mthend&gt;=A336),1,0))</f>
        <v/>
      </c>
      <c r="AU336" s="137" t="str">
        <f aca="false">IF(A337="","",AO336*AT336)</f>
        <v/>
      </c>
      <c r="AW336" s="195" t="str">
        <f aca="false">IF($A337="","",AL336*$E336)</f>
        <v/>
      </c>
      <c r="AX336" s="195" t="str">
        <f aca="false">IF($A337="","",AM336*$E336)</f>
        <v/>
      </c>
      <c r="AY336" s="195" t="str">
        <f aca="false">IF($A337="","",AN336*$E336)</f>
        <v/>
      </c>
      <c r="BA336" s="195" t="str">
        <f aca="false">IF($A337="","",F336*Summary!$Q$12)</f>
        <v/>
      </c>
    </row>
    <row r="337" customFormat="false" ht="12" hidden="false" customHeight="true" outlineLevel="0" collapsed="false">
      <c r="A337" s="196" t="str">
        <f aca="false">IF(A336&lt;mthend,EDATE(A336,1),"")</f>
        <v/>
      </c>
      <c r="B337" s="197" t="str">
        <f aca="false">IF(A337&lt;mthend,B336,"")</f>
        <v/>
      </c>
      <c r="C337" s="215"/>
      <c r="D337" s="197" t="str">
        <f aca="false">IF(A338&lt;&gt;"",B337+C337,"")</f>
        <v/>
      </c>
      <c r="E337" s="199" t="str">
        <f aca="false">IF(A338="","",IF(AND(AT337=1,$H$3=1),D337*AO337,IF($H$3=2,D337,"N/A")))</f>
        <v/>
      </c>
      <c r="F337" s="199" t="str">
        <f aca="false">IF(A338="","",E337*AS337)</f>
        <v/>
      </c>
      <c r="G337" s="200" t="str">
        <f aca="false">IF($A338="","",VLOOKUP($A337,Table,MATCH(G$4,Curves,0)))</f>
        <v/>
      </c>
      <c r="H337" s="201" t="str">
        <f aca="false">IF(A338="","",G337)</f>
        <v/>
      </c>
      <c r="I337" s="202"/>
      <c r="J337" s="200" t="str">
        <f aca="false">IF($A338="","",VLOOKUP($A337,Table,MATCH(J$4,Curves,0)))</f>
        <v/>
      </c>
      <c r="K337" s="201" t="str">
        <f aca="false">IF(A338="","",J337)</f>
        <v/>
      </c>
      <c r="L337" s="200" t="str">
        <f aca="false">IF($A338="","",VLOOKUP($A337,Table,MATCH(L$4,Curves,0)))</f>
        <v/>
      </c>
      <c r="M337" s="201" t="str">
        <f aca="false">IF(A338="","",L337)</f>
        <v/>
      </c>
      <c r="N337" s="203"/>
      <c r="O337" s="200" t="str">
        <f aca="false">IF(A338="","",L337+J337+G337)</f>
        <v/>
      </c>
      <c r="P337" s="200" t="str">
        <f aca="false">IF(A338="","",M337+K337+H337)</f>
        <v/>
      </c>
      <c r="Q337" s="204"/>
      <c r="R337" s="200" t="str">
        <f aca="false">IF($A338="","",VLOOKUP($A337,Table,MATCH(R$4,Curves,0)))</f>
        <v/>
      </c>
      <c r="S337" s="201" t="str">
        <f aca="false">IF(A338="","",R337)</f>
        <v/>
      </c>
      <c r="T337" s="200" t="str">
        <f aca="false">IF($A338="","",VLOOKUP($A337,Table,MATCH(T$4,Curves,0)))</f>
        <v/>
      </c>
      <c r="U337" s="201" t="str">
        <f aca="false">IF(A338="","",T337)</f>
        <v/>
      </c>
      <c r="V337" s="225" t="str">
        <f aca="false">IF($A338="","",IF(AND(MONTH(A337)&gt;3,MONTH(A337)&lt;11),(T337+R337+G337)*(((1/(1-Summary!$T$12))/(1-Summary!$W$12))-1),(T337+R337+G337)*((1/(1-Summary!$U$12))/(1-Summary!$X$12)-1)))</f>
        <v/>
      </c>
      <c r="W337" s="200" t="str">
        <f aca="false">IF($A338="","",(T337+R337+G337+V337))</f>
        <v/>
      </c>
      <c r="X337" s="200" t="str">
        <f aca="false">IF($A338="","",(U337+S337+H337+V337))</f>
        <v/>
      </c>
      <c r="Y337" s="202"/>
      <c r="Z337" s="185" t="str">
        <f aca="false">IF($A338="","",VLOOKUP($A337,Table,MATCH(Z$4,Curves,0)))</f>
        <v/>
      </c>
      <c r="AA337" s="185" t="str">
        <f aca="false">IF($A338="","",VLOOKUP($A337,Table,MATCH(AA$4,Curves,0)))</f>
        <v/>
      </c>
      <c r="AB337" s="185" t="e">
        <f aca="false">SQRT((AA337^2*(A337-$D$3)+Z337^2*(DAY(EOMONTH(A337,0))/2))/AK337)</f>
        <v>#VALUE!</v>
      </c>
      <c r="AC337" s="185" t="str">
        <f aca="false">IF($A338="","",VLOOKUP($A337,Table,MATCH(AC$4,Curves,0)))</f>
        <v/>
      </c>
      <c r="AD337" s="185" t="str">
        <f aca="false">IF($A338="","",VLOOKUP($A337,Table,MATCH(AD$4,Curves,0)))</f>
        <v/>
      </c>
      <c r="AE337" s="185" t="e">
        <f aca="false">SQRT((AD337^2*(A337-$D$3)+AC337^2*(DAY(EOMONTH(A337,0))/2))/AK337)</f>
        <v>#VALUE!</v>
      </c>
      <c r="AF337" s="206" t="e">
        <f aca="false">((Summary!$N$12*(AA337*AD337)*(A337-$D$3))+(Summary!$M$12*Z337*AC337*(AJ337-EOMONTH(EDATE(A337,-1),0))))/(AK337*AB337*AE337)</f>
        <v>#VALUE!</v>
      </c>
      <c r="AG337" s="207" t="str">
        <f aca="false">IF($A338="","",Summary!$Q$12)</f>
        <v/>
      </c>
      <c r="AH337" s="207" t="str">
        <f aca="false">IF($A338="","",IF(Summary!$R$12="Y",(VLOOKUP($A337,Summary!$AD$6:$AF$9,3)+'Escalating commodity'!H350),'Escalating commodity'!H350))</f>
        <v/>
      </c>
      <c r="AI337" s="207" t="str">
        <f aca="false">IF($A338="","",AH337)</f>
        <v/>
      </c>
      <c r="AJ337" s="208" t="e">
        <f aca="false">A337+DAY(EOMONTH(A337,0))/2-1</f>
        <v>#VALUE!</v>
      </c>
      <c r="AK337" s="209" t="str">
        <f aca="false">IF($A338="","",$A337-$E$1)</f>
        <v/>
      </c>
      <c r="AL337" s="182" t="str">
        <f aca="false">IF($A338="","",SPRDOPT(P337,X337,AI337,0,AB337,AE337,AF337,AK337,$AJ$2,0))</f>
        <v/>
      </c>
      <c r="AM337" s="211" t="str">
        <f aca="false">IF($A338="","",MAX(0,O337-W337-AI337))</f>
        <v/>
      </c>
      <c r="AN337" s="211" t="str">
        <f aca="false">IF($A338="","",AL337-AM337)</f>
        <v/>
      </c>
      <c r="AO337" s="137" t="str">
        <f aca="false">IF(A338="","",A338-A337)</f>
        <v/>
      </c>
      <c r="AP337" s="212" t="str">
        <f aca="false">IF(A338="","",CHOOSE(F$3,A338+24,A337))</f>
        <v/>
      </c>
      <c r="AQ337" s="209" t="str">
        <f aca="false">IF(A338="","",AP337-$E$1)</f>
        <v/>
      </c>
      <c r="AR337" s="185" t="n">
        <f aca="false">'ANR OK vs ML7'!AR337</f>
        <v>0.1</v>
      </c>
      <c r="AS337" s="213" t="str">
        <f aca="false">IF(A338="","",1/(1+CHOOSE(F$3,(AR338+($I$3/10000))/2,(AR337+($I$3/10000))/2))^(2*AQ337/365.25))</f>
        <v/>
      </c>
      <c r="AT337" s="137" t="str">
        <f aca="false">IF(A338="","",IF(AND(mthbeg&lt;=A337,mthend&gt;=A337),1,0))</f>
        <v/>
      </c>
      <c r="AU337" s="137" t="str">
        <f aca="false">IF(A338="","",AO337*AT337)</f>
        <v/>
      </c>
      <c r="AW337" s="195" t="str">
        <f aca="false">IF($A338="","",AL337*$E337)</f>
        <v/>
      </c>
      <c r="AX337" s="195" t="str">
        <f aca="false">IF($A338="","",AM337*$E337)</f>
        <v/>
      </c>
      <c r="AY337" s="195" t="str">
        <f aca="false">IF($A338="","",AN337*$E337)</f>
        <v/>
      </c>
      <c r="BA337" s="195" t="str">
        <f aca="false">IF($A338="","",F337*Summary!$Q$12)</f>
        <v/>
      </c>
    </row>
    <row r="338" customFormat="false" ht="12" hidden="false" customHeight="true" outlineLevel="0" collapsed="false">
      <c r="A338" s="196" t="str">
        <f aca="false">IF(A337&lt;mthend,EDATE(A337,1),"")</f>
        <v/>
      </c>
      <c r="B338" s="197" t="str">
        <f aca="false">IF(A338&lt;mthend,B337,"")</f>
        <v/>
      </c>
      <c r="C338" s="215"/>
      <c r="D338" s="197" t="str">
        <f aca="false">IF(A339&lt;&gt;"",B338+C338,"")</f>
        <v/>
      </c>
      <c r="E338" s="199" t="str">
        <f aca="false">IF(A339="","",IF(AND(AT338=1,$H$3=1),D338*AO338,IF($H$3=2,D338,"N/A")))</f>
        <v/>
      </c>
      <c r="F338" s="199" t="str">
        <f aca="false">IF(A339="","",E338*AS338)</f>
        <v/>
      </c>
      <c r="G338" s="200" t="str">
        <f aca="false">IF($A339="","",VLOOKUP($A338,Table,MATCH(G$4,Curves,0)))</f>
        <v/>
      </c>
      <c r="H338" s="201" t="str">
        <f aca="false">IF(A339="","",G338)</f>
        <v/>
      </c>
      <c r="I338" s="202"/>
      <c r="J338" s="200" t="str">
        <f aca="false">IF($A339="","",VLOOKUP($A338,Table,MATCH(J$4,Curves,0)))</f>
        <v/>
      </c>
      <c r="K338" s="201" t="str">
        <f aca="false">IF(A339="","",J338)</f>
        <v/>
      </c>
      <c r="L338" s="200" t="str">
        <f aca="false">IF($A339="","",VLOOKUP($A338,Table,MATCH(L$4,Curves,0)))</f>
        <v/>
      </c>
      <c r="M338" s="201" t="str">
        <f aca="false">IF(A339="","",L338)</f>
        <v/>
      </c>
      <c r="N338" s="203"/>
      <c r="O338" s="200" t="str">
        <f aca="false">IF(A339="","",L338+J338+G338)</f>
        <v/>
      </c>
      <c r="P338" s="200" t="str">
        <f aca="false">IF(A339="","",M338+K338+H338)</f>
        <v/>
      </c>
      <c r="Q338" s="204"/>
      <c r="R338" s="200" t="str">
        <f aca="false">IF($A339="","",VLOOKUP($A338,Table,MATCH(R$4,Curves,0)))</f>
        <v/>
      </c>
      <c r="S338" s="201" t="str">
        <f aca="false">IF(A339="","",R338)</f>
        <v/>
      </c>
      <c r="T338" s="200" t="str">
        <f aca="false">IF($A339="","",VLOOKUP($A338,Table,MATCH(T$4,Curves,0)))</f>
        <v/>
      </c>
      <c r="U338" s="201" t="str">
        <f aca="false">IF(A339="","",T338)</f>
        <v/>
      </c>
      <c r="V338" s="225" t="str">
        <f aca="false">IF($A339="","",IF(AND(MONTH(A338)&gt;3,MONTH(A338)&lt;11),(T338+R338+G338)*(((1/(1-Summary!$T$12))/(1-Summary!$W$12))-1),(T338+R338+G338)*((1/(1-Summary!$U$12))/(1-Summary!$X$12)-1)))</f>
        <v/>
      </c>
      <c r="W338" s="200" t="str">
        <f aca="false">IF($A339="","",(T338+R338+G338+V338))</f>
        <v/>
      </c>
      <c r="X338" s="200" t="str">
        <f aca="false">IF($A339="","",(U338+S338+H338+V338))</f>
        <v/>
      </c>
      <c r="Y338" s="202"/>
      <c r="Z338" s="185" t="str">
        <f aca="false">IF($A339="","",VLOOKUP($A338,Table,MATCH(Z$4,Curves,0)))</f>
        <v/>
      </c>
      <c r="AA338" s="185" t="str">
        <f aca="false">IF($A339="","",VLOOKUP($A338,Table,MATCH(AA$4,Curves,0)))</f>
        <v/>
      </c>
      <c r="AB338" s="185" t="e">
        <f aca="false">SQRT((AA338^2*(A338-$D$3)+Z338^2*(DAY(EOMONTH(A338,0))/2))/AK338)</f>
        <v>#VALUE!</v>
      </c>
      <c r="AC338" s="185" t="str">
        <f aca="false">IF($A339="","",VLOOKUP($A338,Table,MATCH(AC$4,Curves,0)))</f>
        <v/>
      </c>
      <c r="AD338" s="185" t="str">
        <f aca="false">IF($A339="","",VLOOKUP($A338,Table,MATCH(AD$4,Curves,0)))</f>
        <v/>
      </c>
      <c r="AE338" s="185" t="e">
        <f aca="false">SQRT((AD338^2*(A338-$D$3)+AC338^2*(DAY(EOMONTH(A338,0))/2))/AK338)</f>
        <v>#VALUE!</v>
      </c>
      <c r="AF338" s="206" t="e">
        <f aca="false">((Summary!$N$12*(AA338*AD338)*(A338-$D$3))+(Summary!$M$12*Z338*AC338*(AJ338-EOMONTH(EDATE(A338,-1),0))))/(AK338*AB338*AE338)</f>
        <v>#VALUE!</v>
      </c>
      <c r="AG338" s="207" t="str">
        <f aca="false">IF($A339="","",Summary!$Q$12)</f>
        <v/>
      </c>
      <c r="AH338" s="207" t="str">
        <f aca="false">IF($A339="","",IF(Summary!$R$12="Y",(VLOOKUP($A338,Summary!$AD$6:$AF$9,3)+'Escalating commodity'!H351),'Escalating commodity'!H351))</f>
        <v/>
      </c>
      <c r="AI338" s="207" t="str">
        <f aca="false">IF($A339="","",AH338)</f>
        <v/>
      </c>
      <c r="AJ338" s="208" t="e">
        <f aca="false">A338+DAY(EOMONTH(A338,0))/2-1</f>
        <v>#VALUE!</v>
      </c>
      <c r="AK338" s="209" t="str">
        <f aca="false">IF($A339="","",$A338-$E$1)</f>
        <v/>
      </c>
      <c r="AL338" s="182" t="str">
        <f aca="false">IF($A339="","",SPRDOPT(P338,X338,AI338,0,AB338,AE338,AF338,AK338,$AJ$2,0))</f>
        <v/>
      </c>
      <c r="AM338" s="211" t="str">
        <f aca="false">IF($A339="","",MAX(0,O338-W338-AI338))</f>
        <v/>
      </c>
      <c r="AN338" s="211" t="str">
        <f aca="false">IF($A339="","",AL338-AM338)</f>
        <v/>
      </c>
      <c r="AO338" s="137" t="str">
        <f aca="false">IF(A339="","",A339-A338)</f>
        <v/>
      </c>
      <c r="AP338" s="212" t="str">
        <f aca="false">IF(A339="","",CHOOSE(F$3,A339+24,A338))</f>
        <v/>
      </c>
      <c r="AQ338" s="209" t="str">
        <f aca="false">IF(A339="","",AP338-$E$1)</f>
        <v/>
      </c>
      <c r="AR338" s="185" t="n">
        <f aca="false">'ANR OK vs ML7'!AR338</f>
        <v>0.1</v>
      </c>
      <c r="AS338" s="213" t="str">
        <f aca="false">IF(A339="","",1/(1+CHOOSE(F$3,(AR339+($I$3/10000))/2,(AR338+($I$3/10000))/2))^(2*AQ338/365.25))</f>
        <v/>
      </c>
      <c r="AT338" s="137" t="str">
        <f aca="false">IF(A339="","",IF(AND(mthbeg&lt;=A338,mthend&gt;=A338),1,0))</f>
        <v/>
      </c>
      <c r="AU338" s="137" t="str">
        <f aca="false">IF(A339="","",AO338*AT338)</f>
        <v/>
      </c>
      <c r="AW338" s="195" t="str">
        <f aca="false">IF($A339="","",AL338*$E338)</f>
        <v/>
      </c>
      <c r="AX338" s="195" t="str">
        <f aca="false">IF($A339="","",AM338*$E338)</f>
        <v/>
      </c>
      <c r="AY338" s="195" t="str">
        <f aca="false">IF($A339="","",AN338*$E338)</f>
        <v/>
      </c>
      <c r="BA338" s="195" t="str">
        <f aca="false">IF($A339="","",F338*Summary!$Q$12)</f>
        <v/>
      </c>
    </row>
    <row r="339" customFormat="false" ht="12" hidden="false" customHeight="true" outlineLevel="0" collapsed="false">
      <c r="A339" s="196" t="str">
        <f aca="false">IF(A338&lt;mthend,EDATE(A338,1),"")</f>
        <v/>
      </c>
      <c r="B339" s="197" t="str">
        <f aca="false">IF(A339&lt;mthend,B338,"")</f>
        <v/>
      </c>
      <c r="C339" s="215"/>
      <c r="D339" s="197" t="str">
        <f aca="false">IF(A340&lt;&gt;"",B339+C339,"")</f>
        <v/>
      </c>
      <c r="E339" s="199" t="str">
        <f aca="false">IF(A340="","",IF(AND(AT339=1,$H$3=1),D339*AO339,IF($H$3=2,D339,"N/A")))</f>
        <v/>
      </c>
      <c r="F339" s="199" t="str">
        <f aca="false">IF(A340="","",E339*AS339)</f>
        <v/>
      </c>
      <c r="G339" s="200" t="str">
        <f aca="false">IF($A340="","",VLOOKUP($A339,Table,MATCH(G$4,Curves,0)))</f>
        <v/>
      </c>
      <c r="H339" s="201" t="str">
        <f aca="false">IF(A340="","",G339)</f>
        <v/>
      </c>
      <c r="I339" s="202"/>
      <c r="J339" s="200" t="str">
        <f aca="false">IF($A340="","",VLOOKUP($A339,Table,MATCH(J$4,Curves,0)))</f>
        <v/>
      </c>
      <c r="K339" s="201" t="str">
        <f aca="false">IF(A340="","",J339)</f>
        <v/>
      </c>
      <c r="L339" s="200" t="str">
        <f aca="false">IF($A340="","",VLOOKUP($A339,Table,MATCH(L$4,Curves,0)))</f>
        <v/>
      </c>
      <c r="M339" s="201" t="str">
        <f aca="false">IF(A340="","",L339)</f>
        <v/>
      </c>
      <c r="N339" s="203"/>
      <c r="O339" s="200" t="str">
        <f aca="false">IF(A340="","",L339+J339+G339)</f>
        <v/>
      </c>
      <c r="P339" s="200" t="str">
        <f aca="false">IF(A340="","",M339+K339+H339)</f>
        <v/>
      </c>
      <c r="Q339" s="204"/>
      <c r="R339" s="200" t="str">
        <f aca="false">IF($A340="","",VLOOKUP($A339,Table,MATCH(R$4,Curves,0)))</f>
        <v/>
      </c>
      <c r="S339" s="201" t="str">
        <f aca="false">IF(A340="","",R339)</f>
        <v/>
      </c>
      <c r="T339" s="200" t="str">
        <f aca="false">IF($A340="","",VLOOKUP($A339,Table,MATCH(T$4,Curves,0)))</f>
        <v/>
      </c>
      <c r="U339" s="201" t="str">
        <f aca="false">IF(A340="","",T339)</f>
        <v/>
      </c>
      <c r="V339" s="225" t="str">
        <f aca="false">IF($A340="","",IF(AND(MONTH(A339)&gt;3,MONTH(A339)&lt;11),(T339+R339+G339)*(((1/(1-Summary!$T$12))/(1-Summary!$W$12))-1),(T339+R339+G339)*((1/(1-Summary!$U$12))/(1-Summary!$X$12)-1)))</f>
        <v/>
      </c>
      <c r="W339" s="200" t="str">
        <f aca="false">IF($A340="","",(T339+R339+G339+V339))</f>
        <v/>
      </c>
      <c r="X339" s="200" t="str">
        <f aca="false">IF($A340="","",(U339+S339+H339+V339))</f>
        <v/>
      </c>
      <c r="Y339" s="202"/>
      <c r="Z339" s="185" t="str">
        <f aca="false">IF($A340="","",VLOOKUP($A339,Table,MATCH(Z$4,Curves,0)))</f>
        <v/>
      </c>
      <c r="AA339" s="185" t="str">
        <f aca="false">IF($A340="","",VLOOKUP($A339,Table,MATCH(AA$4,Curves,0)))</f>
        <v/>
      </c>
      <c r="AB339" s="185" t="e">
        <f aca="false">SQRT((AA339^2*(A339-$D$3)+Z339^2*(DAY(EOMONTH(A339,0))/2))/AK339)</f>
        <v>#VALUE!</v>
      </c>
      <c r="AC339" s="185" t="str">
        <f aca="false">IF($A340="","",VLOOKUP($A339,Table,MATCH(AC$4,Curves,0)))</f>
        <v/>
      </c>
      <c r="AD339" s="185" t="str">
        <f aca="false">IF($A340="","",VLOOKUP($A339,Table,MATCH(AD$4,Curves,0)))</f>
        <v/>
      </c>
      <c r="AE339" s="185" t="e">
        <f aca="false">SQRT((AD339^2*(A339-$D$3)+AC339^2*(DAY(EOMONTH(A339,0))/2))/AK339)</f>
        <v>#VALUE!</v>
      </c>
      <c r="AF339" s="206" t="e">
        <f aca="false">((Summary!$N$12*(AA339*AD339)*(A339-$D$3))+(Summary!$M$12*Z339*AC339*(AJ339-EOMONTH(EDATE(A339,-1),0))))/(AK339*AB339*AE339)</f>
        <v>#VALUE!</v>
      </c>
      <c r="AG339" s="207" t="str">
        <f aca="false">IF($A340="","",Summary!$Q$12)</f>
        <v/>
      </c>
      <c r="AH339" s="207" t="str">
        <f aca="false">IF($A340="","",IF(Summary!$R$12="Y",(VLOOKUP($A339,Summary!$AD$6:$AF$9,3)+'Escalating commodity'!H352),'Escalating commodity'!H352))</f>
        <v/>
      </c>
      <c r="AI339" s="207" t="str">
        <f aca="false">IF($A340="","",AH339)</f>
        <v/>
      </c>
      <c r="AJ339" s="208" t="e">
        <f aca="false">A339+DAY(EOMONTH(A339,0))/2-1</f>
        <v>#VALUE!</v>
      </c>
      <c r="AK339" s="209" t="str">
        <f aca="false">IF($A340="","",$A339-$E$1)</f>
        <v/>
      </c>
      <c r="AL339" s="182" t="str">
        <f aca="false">IF($A340="","",SPRDOPT(P339,X339,AI339,0,AB339,AE339,AF339,AK339,$AJ$2,0))</f>
        <v/>
      </c>
      <c r="AM339" s="211" t="str">
        <f aca="false">IF($A340="","",MAX(0,O339-W339-AI339))</f>
        <v/>
      </c>
      <c r="AN339" s="211" t="str">
        <f aca="false">IF($A340="","",AL339-AM339)</f>
        <v/>
      </c>
      <c r="AO339" s="137" t="str">
        <f aca="false">IF(A340="","",A340-A339)</f>
        <v/>
      </c>
      <c r="AP339" s="212" t="str">
        <f aca="false">IF(A340="","",CHOOSE(F$3,A340+24,A339))</f>
        <v/>
      </c>
      <c r="AQ339" s="209" t="str">
        <f aca="false">IF(A340="","",AP339-$E$1)</f>
        <v/>
      </c>
      <c r="AR339" s="185" t="n">
        <f aca="false">'ANR OK vs ML7'!AR339</f>
        <v>0.1</v>
      </c>
      <c r="AS339" s="213" t="str">
        <f aca="false">IF(A340="","",1/(1+CHOOSE(F$3,(AR340+($I$3/10000))/2,(AR339+($I$3/10000))/2))^(2*AQ339/365.25))</f>
        <v/>
      </c>
      <c r="AT339" s="137" t="str">
        <f aca="false">IF(A340="","",IF(AND(mthbeg&lt;=A339,mthend&gt;=A339),1,0))</f>
        <v/>
      </c>
      <c r="AU339" s="137" t="str">
        <f aca="false">IF(A340="","",AO339*AT339)</f>
        <v/>
      </c>
      <c r="AW339" s="195" t="str">
        <f aca="false">IF($A340="","",AL339*$E339)</f>
        <v/>
      </c>
      <c r="AX339" s="195" t="str">
        <f aca="false">IF($A340="","",AM339*$E339)</f>
        <v/>
      </c>
      <c r="AY339" s="195" t="str">
        <f aca="false">IF($A340="","",AN339*$E339)</f>
        <v/>
      </c>
      <c r="BA339" s="195" t="str">
        <f aca="false">IF($A340="","",F339*Summary!$Q$12)</f>
        <v/>
      </c>
    </row>
    <row r="340" customFormat="false" ht="12" hidden="false" customHeight="true" outlineLevel="0" collapsed="false">
      <c r="A340" s="196" t="str">
        <f aca="false">IF(A339&lt;mthend,EDATE(A339,1),"")</f>
        <v/>
      </c>
      <c r="B340" s="197" t="str">
        <f aca="false">IF(A340&lt;mthend,B339,"")</f>
        <v/>
      </c>
      <c r="C340" s="215"/>
      <c r="D340" s="197" t="str">
        <f aca="false">IF(A341&lt;&gt;"",B340+C340,"")</f>
        <v/>
      </c>
      <c r="E340" s="199" t="str">
        <f aca="false">IF(A341="","",IF(AND(AT340=1,$H$3=1),D340*AO340,IF($H$3=2,D340,"N/A")))</f>
        <v/>
      </c>
      <c r="F340" s="199" t="str">
        <f aca="false">IF(A341="","",E340*AS340)</f>
        <v/>
      </c>
      <c r="G340" s="200" t="str">
        <f aca="false">IF($A341="","",VLOOKUP($A340,Table,MATCH(G$4,Curves,0)))</f>
        <v/>
      </c>
      <c r="H340" s="201" t="str">
        <f aca="false">IF(A341="","",G340)</f>
        <v/>
      </c>
      <c r="I340" s="202"/>
      <c r="J340" s="200" t="str">
        <f aca="false">IF($A341="","",VLOOKUP($A340,Table,MATCH(J$4,Curves,0)))</f>
        <v/>
      </c>
      <c r="K340" s="201" t="str">
        <f aca="false">IF(A341="","",J340)</f>
        <v/>
      </c>
      <c r="L340" s="200" t="str">
        <f aca="false">IF($A341="","",VLOOKUP($A340,Table,MATCH(L$4,Curves,0)))</f>
        <v/>
      </c>
      <c r="M340" s="201" t="str">
        <f aca="false">IF(A341="","",L340)</f>
        <v/>
      </c>
      <c r="N340" s="203"/>
      <c r="O340" s="200" t="str">
        <f aca="false">IF(A341="","",L340+J340+G340)</f>
        <v/>
      </c>
      <c r="P340" s="200" t="str">
        <f aca="false">IF(A341="","",M340+K340+H340)</f>
        <v/>
      </c>
      <c r="Q340" s="204"/>
      <c r="R340" s="200" t="str">
        <f aca="false">IF($A341="","",VLOOKUP($A340,Table,MATCH(R$4,Curves,0)))</f>
        <v/>
      </c>
      <c r="S340" s="201" t="str">
        <f aca="false">IF(A341="","",R340)</f>
        <v/>
      </c>
      <c r="T340" s="200" t="str">
        <f aca="false">IF($A341="","",VLOOKUP($A340,Table,MATCH(T$4,Curves,0)))</f>
        <v/>
      </c>
      <c r="U340" s="201" t="str">
        <f aca="false">IF(A341="","",T340)</f>
        <v/>
      </c>
      <c r="V340" s="225" t="str">
        <f aca="false">IF($A341="","",IF(AND(MONTH(A340)&gt;3,MONTH(A340)&lt;11),(T340+R340+G340)*(((1/(1-Summary!$T$12))/(1-Summary!$W$12))-1),(T340+R340+G340)*((1/(1-Summary!$U$12))/(1-Summary!$X$12)-1)))</f>
        <v/>
      </c>
      <c r="W340" s="200" t="str">
        <f aca="false">IF($A341="","",(T340+R340+G340+V340))</f>
        <v/>
      </c>
      <c r="X340" s="200" t="str">
        <f aca="false">IF($A341="","",(U340+S340+H340+V340))</f>
        <v/>
      </c>
      <c r="Y340" s="202"/>
      <c r="Z340" s="185" t="str">
        <f aca="false">IF($A341="","",VLOOKUP($A340,Table,MATCH(Z$4,Curves,0)))</f>
        <v/>
      </c>
      <c r="AA340" s="185" t="str">
        <f aca="false">IF($A341="","",VLOOKUP($A340,Table,MATCH(AA$4,Curves,0)))</f>
        <v/>
      </c>
      <c r="AB340" s="185" t="e">
        <f aca="false">SQRT((AA340^2*(A340-$D$3)+Z340^2*(DAY(EOMONTH(A340,0))/2))/AK340)</f>
        <v>#VALUE!</v>
      </c>
      <c r="AC340" s="185" t="str">
        <f aca="false">IF($A341="","",VLOOKUP($A340,Table,MATCH(AC$4,Curves,0)))</f>
        <v/>
      </c>
      <c r="AD340" s="185" t="str">
        <f aca="false">IF($A341="","",VLOOKUP($A340,Table,MATCH(AD$4,Curves,0)))</f>
        <v/>
      </c>
      <c r="AE340" s="185" t="e">
        <f aca="false">SQRT((AD340^2*(A340-$D$3)+AC340^2*(DAY(EOMONTH(A340,0))/2))/AK340)</f>
        <v>#VALUE!</v>
      </c>
      <c r="AF340" s="206" t="e">
        <f aca="false">((Summary!$N$12*(AA340*AD340)*(A340-$D$3))+(Summary!$M$12*Z340*AC340*(AJ340-EOMONTH(EDATE(A340,-1),0))))/(AK340*AB340*AE340)</f>
        <v>#VALUE!</v>
      </c>
      <c r="AG340" s="207" t="str">
        <f aca="false">IF($A341="","",Summary!$Q$12)</f>
        <v/>
      </c>
      <c r="AH340" s="207" t="str">
        <f aca="false">IF($A341="","",IF(Summary!$R$12="Y",(VLOOKUP($A340,Summary!$AD$6:$AF$9,3)+'Escalating commodity'!H353),'Escalating commodity'!H353))</f>
        <v/>
      </c>
      <c r="AI340" s="207" t="str">
        <f aca="false">IF($A341="","",AH340)</f>
        <v/>
      </c>
      <c r="AJ340" s="208" t="e">
        <f aca="false">A340+DAY(EOMONTH(A340,0))/2-1</f>
        <v>#VALUE!</v>
      </c>
      <c r="AK340" s="209" t="str">
        <f aca="false">IF($A341="","",$A340-$E$1)</f>
        <v/>
      </c>
      <c r="AL340" s="182" t="str">
        <f aca="false">IF($A341="","",SPRDOPT(P340,X340,AI340,0,AB340,AE340,AF340,AK340,$AJ$2,0))</f>
        <v/>
      </c>
      <c r="AM340" s="211" t="str">
        <f aca="false">IF($A341="","",MAX(0,O340-W340-AI340))</f>
        <v/>
      </c>
      <c r="AN340" s="211" t="str">
        <f aca="false">IF($A341="","",AL340-AM340)</f>
        <v/>
      </c>
      <c r="AO340" s="137" t="str">
        <f aca="false">IF(A341="","",A341-A340)</f>
        <v/>
      </c>
      <c r="AP340" s="212" t="str">
        <f aca="false">IF(A341="","",CHOOSE(F$3,A341+24,A340))</f>
        <v/>
      </c>
      <c r="AQ340" s="209" t="str">
        <f aca="false">IF(A341="","",AP340-$E$1)</f>
        <v/>
      </c>
      <c r="AR340" s="185" t="n">
        <f aca="false">'ANR OK vs ML7'!AR340</f>
        <v>0.1</v>
      </c>
      <c r="AS340" s="213" t="str">
        <f aca="false">IF(A341="","",1/(1+CHOOSE(F$3,(AR341+($I$3/10000))/2,(AR340+($I$3/10000))/2))^(2*AQ340/365.25))</f>
        <v/>
      </c>
      <c r="AT340" s="137" t="str">
        <f aca="false">IF(A341="","",IF(AND(mthbeg&lt;=A340,mthend&gt;=A340),1,0))</f>
        <v/>
      </c>
      <c r="AU340" s="137" t="str">
        <f aca="false">IF(A341="","",AO340*AT340)</f>
        <v/>
      </c>
      <c r="AW340" s="195" t="str">
        <f aca="false">IF($A341="","",AL340*$E340)</f>
        <v/>
      </c>
      <c r="AX340" s="195" t="str">
        <f aca="false">IF($A341="","",AM340*$E340)</f>
        <v/>
      </c>
      <c r="AY340" s="195" t="str">
        <f aca="false">IF($A341="","",AN340*$E340)</f>
        <v/>
      </c>
      <c r="BA340" s="195" t="str">
        <f aca="false">IF($A341="","",F340*Summary!$Q$12)</f>
        <v/>
      </c>
    </row>
    <row r="341" customFormat="false" ht="12" hidden="false" customHeight="true" outlineLevel="0" collapsed="false">
      <c r="A341" s="196" t="str">
        <f aca="false">IF(A340&lt;mthend,EDATE(A340,1),"")</f>
        <v/>
      </c>
      <c r="B341" s="197" t="str">
        <f aca="false">IF(A341&lt;mthend,B340,"")</f>
        <v/>
      </c>
      <c r="C341" s="215"/>
      <c r="D341" s="197" t="str">
        <f aca="false">IF(A342&lt;&gt;"",B341+C341,"")</f>
        <v/>
      </c>
      <c r="E341" s="199" t="str">
        <f aca="false">IF(A342="","",IF(AND(AT341=1,$H$3=1),D341*AO341,IF($H$3=2,D341,"N/A")))</f>
        <v/>
      </c>
      <c r="F341" s="199" t="str">
        <f aca="false">IF(A342="","",E341*AS341)</f>
        <v/>
      </c>
      <c r="G341" s="200" t="str">
        <f aca="false">IF($A342="","",VLOOKUP($A341,Table,MATCH(G$4,Curves,0)))</f>
        <v/>
      </c>
      <c r="H341" s="201" t="str">
        <f aca="false">IF(A342="","",G341)</f>
        <v/>
      </c>
      <c r="I341" s="202"/>
      <c r="J341" s="200" t="str">
        <f aca="false">IF($A342="","",VLOOKUP($A341,Table,MATCH(J$4,Curves,0)))</f>
        <v/>
      </c>
      <c r="K341" s="201" t="str">
        <f aca="false">IF(A342="","",J341)</f>
        <v/>
      </c>
      <c r="L341" s="200" t="str">
        <f aca="false">IF($A342="","",VLOOKUP($A341,Table,MATCH(L$4,Curves,0)))</f>
        <v/>
      </c>
      <c r="M341" s="201" t="str">
        <f aca="false">IF(A342="","",L341)</f>
        <v/>
      </c>
      <c r="N341" s="203"/>
      <c r="O341" s="200" t="str">
        <f aca="false">IF(A342="","",L341+J341+G341)</f>
        <v/>
      </c>
      <c r="P341" s="200" t="str">
        <f aca="false">IF(A342="","",M341+K341+H341)</f>
        <v/>
      </c>
      <c r="Q341" s="204"/>
      <c r="R341" s="200" t="str">
        <f aca="false">IF($A342="","",VLOOKUP($A341,Table,MATCH(R$4,Curves,0)))</f>
        <v/>
      </c>
      <c r="S341" s="201" t="str">
        <f aca="false">IF(A342="","",R341)</f>
        <v/>
      </c>
      <c r="T341" s="200" t="str">
        <f aca="false">IF($A342="","",VLOOKUP($A341,Table,MATCH(T$4,Curves,0)))</f>
        <v/>
      </c>
      <c r="U341" s="201" t="str">
        <f aca="false">IF(A342="","",T341)</f>
        <v/>
      </c>
      <c r="V341" s="225" t="str">
        <f aca="false">IF($A342="","",IF(AND(MONTH(A341)&gt;3,MONTH(A341)&lt;11),(T341+R341+G341)*(((1/(1-Summary!$T$12))/(1-Summary!$W$12))-1),(T341+R341+G341)*((1/(1-Summary!$U$12))/(1-Summary!$X$12)-1)))</f>
        <v/>
      </c>
      <c r="W341" s="200" t="str">
        <f aca="false">IF($A342="","",(T341+R341+G341+V341))</f>
        <v/>
      </c>
      <c r="X341" s="200" t="str">
        <f aca="false">IF($A342="","",(U341+S341+H341+V341))</f>
        <v/>
      </c>
      <c r="Y341" s="202"/>
      <c r="Z341" s="185" t="str">
        <f aca="false">IF($A342="","",VLOOKUP($A341,Table,MATCH(Z$4,Curves,0)))</f>
        <v/>
      </c>
      <c r="AA341" s="185" t="str">
        <f aca="false">IF($A342="","",VLOOKUP($A341,Table,MATCH(AA$4,Curves,0)))</f>
        <v/>
      </c>
      <c r="AB341" s="185" t="e">
        <f aca="false">SQRT((AA341^2*(A341-$D$3)+Z341^2*(DAY(EOMONTH(A341,0))/2))/AK341)</f>
        <v>#VALUE!</v>
      </c>
      <c r="AC341" s="185" t="str">
        <f aca="false">IF($A342="","",VLOOKUP($A341,Table,MATCH(AC$4,Curves,0)))</f>
        <v/>
      </c>
      <c r="AD341" s="185" t="str">
        <f aca="false">IF($A342="","",VLOOKUP($A341,Table,MATCH(AD$4,Curves,0)))</f>
        <v/>
      </c>
      <c r="AE341" s="185" t="e">
        <f aca="false">SQRT((AD341^2*(A341-$D$3)+AC341^2*(DAY(EOMONTH(A341,0))/2))/AK341)</f>
        <v>#VALUE!</v>
      </c>
      <c r="AF341" s="206" t="e">
        <f aca="false">((Summary!$N$12*(AA341*AD341)*(A341-$D$3))+(Summary!$M$12*Z341*AC341*(AJ341-EOMONTH(EDATE(A341,-1),0))))/(AK341*AB341*AE341)</f>
        <v>#VALUE!</v>
      </c>
      <c r="AG341" s="207" t="str">
        <f aca="false">IF($A342="","",Summary!$Q$12)</f>
        <v/>
      </c>
      <c r="AH341" s="207" t="str">
        <f aca="false">IF($A342="","",IF(Summary!$R$12="Y",(VLOOKUP($A341,Summary!$AD$6:$AF$9,3)+'Escalating commodity'!H354),'Escalating commodity'!H354))</f>
        <v/>
      </c>
      <c r="AI341" s="207" t="str">
        <f aca="false">IF($A342="","",AH341)</f>
        <v/>
      </c>
      <c r="AJ341" s="208" t="e">
        <f aca="false">A341+DAY(EOMONTH(A341,0))/2-1</f>
        <v>#VALUE!</v>
      </c>
      <c r="AK341" s="209" t="str">
        <f aca="false">IF($A342="","",$A341-$E$1)</f>
        <v/>
      </c>
      <c r="AL341" s="182" t="str">
        <f aca="false">IF($A342="","",SPRDOPT(P341,X341,AI341,0,AB341,AE341,AF341,AK341,$AJ$2,0))</f>
        <v/>
      </c>
      <c r="AM341" s="211" t="str">
        <f aca="false">IF($A342="","",MAX(0,O341-W341-AI341))</f>
        <v/>
      </c>
      <c r="AN341" s="211" t="str">
        <f aca="false">IF($A342="","",AL341-AM341)</f>
        <v/>
      </c>
      <c r="AO341" s="137" t="str">
        <f aca="false">IF(A342="","",A342-A341)</f>
        <v/>
      </c>
      <c r="AP341" s="212" t="str">
        <f aca="false">IF(A342="","",CHOOSE(F$3,A342+24,A341))</f>
        <v/>
      </c>
      <c r="AQ341" s="209" t="str">
        <f aca="false">IF(A342="","",AP341-$E$1)</f>
        <v/>
      </c>
      <c r="AR341" s="185" t="n">
        <f aca="false">'ANR OK vs ML7'!AR341</f>
        <v>0.1</v>
      </c>
      <c r="AS341" s="213" t="str">
        <f aca="false">IF(A342="","",1/(1+CHOOSE(F$3,(AR342+($I$3/10000))/2,(AR341+($I$3/10000))/2))^(2*AQ341/365.25))</f>
        <v/>
      </c>
      <c r="AT341" s="137" t="str">
        <f aca="false">IF(A342="","",IF(AND(mthbeg&lt;=A341,mthend&gt;=A341),1,0))</f>
        <v/>
      </c>
      <c r="AU341" s="137" t="str">
        <f aca="false">IF(A342="","",AO341*AT341)</f>
        <v/>
      </c>
      <c r="AW341" s="195" t="str">
        <f aca="false">IF($A342="","",AL341*$E341)</f>
        <v/>
      </c>
      <c r="AX341" s="195" t="str">
        <f aca="false">IF($A342="","",AM341*$E341)</f>
        <v/>
      </c>
      <c r="AY341" s="195" t="str">
        <f aca="false">IF($A342="","",AN341*$E341)</f>
        <v/>
      </c>
      <c r="BA341" s="195" t="str">
        <f aca="false">IF($A342="","",F341*Summary!$Q$12)</f>
        <v/>
      </c>
    </row>
    <row r="342" customFormat="false" ht="12" hidden="false" customHeight="true" outlineLevel="0" collapsed="false">
      <c r="A342" s="196" t="str">
        <f aca="false">IF(A341&lt;mthend,EDATE(A341,1),"")</f>
        <v/>
      </c>
      <c r="B342" s="197" t="str">
        <f aca="false">IF(A342&lt;mthend,B341,"")</f>
        <v/>
      </c>
      <c r="C342" s="215"/>
      <c r="D342" s="197" t="str">
        <f aca="false">IF(A343&lt;&gt;"",B342+C342,"")</f>
        <v/>
      </c>
      <c r="E342" s="199" t="str">
        <f aca="false">IF(A343="","",IF(AND(AT342=1,$H$3=1),D342*AO342,IF($H$3=2,D342,"N/A")))</f>
        <v/>
      </c>
      <c r="F342" s="199" t="str">
        <f aca="false">IF(A343="","",E342*AS342)</f>
        <v/>
      </c>
      <c r="G342" s="200" t="str">
        <f aca="false">IF($A343="","",VLOOKUP($A342,Table,MATCH(G$4,Curves,0)))</f>
        <v/>
      </c>
      <c r="H342" s="201" t="str">
        <f aca="false">IF(A343="","",G342)</f>
        <v/>
      </c>
      <c r="I342" s="202"/>
      <c r="J342" s="200" t="str">
        <f aca="false">IF($A343="","",VLOOKUP($A342,Table,MATCH(J$4,Curves,0)))</f>
        <v/>
      </c>
      <c r="K342" s="201" t="str">
        <f aca="false">IF(A343="","",J342)</f>
        <v/>
      </c>
      <c r="L342" s="200" t="str">
        <f aca="false">IF($A343="","",VLOOKUP($A342,Table,MATCH(L$4,Curves,0)))</f>
        <v/>
      </c>
      <c r="M342" s="201" t="str">
        <f aca="false">IF(A343="","",L342)</f>
        <v/>
      </c>
      <c r="N342" s="203"/>
      <c r="O342" s="200" t="str">
        <f aca="false">IF(A343="","",L342+J342+G342)</f>
        <v/>
      </c>
      <c r="P342" s="200" t="str">
        <f aca="false">IF(A343="","",M342+K342+H342)</f>
        <v/>
      </c>
      <c r="Q342" s="204"/>
      <c r="R342" s="200" t="str">
        <f aca="false">IF($A343="","",VLOOKUP($A342,Table,MATCH(R$4,Curves,0)))</f>
        <v/>
      </c>
      <c r="S342" s="201" t="str">
        <f aca="false">IF(A343="","",R342)</f>
        <v/>
      </c>
      <c r="T342" s="200" t="str">
        <f aca="false">IF($A343="","",VLOOKUP($A342,Table,MATCH(T$4,Curves,0)))</f>
        <v/>
      </c>
      <c r="U342" s="201" t="str">
        <f aca="false">IF(A343="","",T342)</f>
        <v/>
      </c>
      <c r="V342" s="225" t="str">
        <f aca="false">IF($A343="","",IF(AND(MONTH(A342)&gt;3,MONTH(A342)&lt;11),(T342+R342+G342)*(((1/(1-Summary!$T$12))/(1-Summary!$W$12))-1),(T342+R342+G342)*((1/(1-Summary!$U$12))/(1-Summary!$X$12)-1)))</f>
        <v/>
      </c>
      <c r="W342" s="200" t="str">
        <f aca="false">IF($A343="","",(T342+R342+G342+V342))</f>
        <v/>
      </c>
      <c r="X342" s="200" t="str">
        <f aca="false">IF($A343="","",(U342+S342+H342+V342))</f>
        <v/>
      </c>
      <c r="Y342" s="202"/>
      <c r="Z342" s="185" t="str">
        <f aca="false">IF($A343="","",VLOOKUP($A342,Table,MATCH(Z$4,Curves,0)))</f>
        <v/>
      </c>
      <c r="AA342" s="185" t="str">
        <f aca="false">IF($A343="","",VLOOKUP($A342,Table,MATCH(AA$4,Curves,0)))</f>
        <v/>
      </c>
      <c r="AB342" s="185" t="e">
        <f aca="false">SQRT((AA342^2*(A342-$D$3)+Z342^2*(DAY(EOMONTH(A342,0))/2))/AK342)</f>
        <v>#VALUE!</v>
      </c>
      <c r="AC342" s="185" t="str">
        <f aca="false">IF($A343="","",VLOOKUP($A342,Table,MATCH(AC$4,Curves,0)))</f>
        <v/>
      </c>
      <c r="AD342" s="185" t="str">
        <f aca="false">IF($A343="","",VLOOKUP($A342,Table,MATCH(AD$4,Curves,0)))</f>
        <v/>
      </c>
      <c r="AE342" s="185" t="e">
        <f aca="false">SQRT((AD342^2*(A342-$D$3)+AC342^2*(DAY(EOMONTH(A342,0))/2))/AK342)</f>
        <v>#VALUE!</v>
      </c>
      <c r="AF342" s="206" t="e">
        <f aca="false">((Summary!$N$12*(AA342*AD342)*(A342-$D$3))+(Summary!$M$12*Z342*AC342*(AJ342-EOMONTH(EDATE(A342,-1),0))))/(AK342*AB342*AE342)</f>
        <v>#VALUE!</v>
      </c>
      <c r="AG342" s="207" t="str">
        <f aca="false">IF($A343="","",Summary!$Q$12)</f>
        <v/>
      </c>
      <c r="AH342" s="207" t="str">
        <f aca="false">IF($A343="","",IF(Summary!$R$12="Y",(VLOOKUP($A342,Summary!$AD$6:$AF$9,3)+'Escalating commodity'!H355),'Escalating commodity'!H355))</f>
        <v/>
      </c>
      <c r="AI342" s="207" t="str">
        <f aca="false">IF($A343="","",AH342)</f>
        <v/>
      </c>
      <c r="AJ342" s="208" t="e">
        <f aca="false">A342+DAY(EOMONTH(A342,0))/2-1</f>
        <v>#VALUE!</v>
      </c>
      <c r="AK342" s="209" t="str">
        <f aca="false">IF($A343="","",$A342-$E$1)</f>
        <v/>
      </c>
      <c r="AL342" s="182" t="str">
        <f aca="false">IF($A343="","",SPRDOPT(P342,X342,AI342,0,AB342,AE342,AF342,AK342,$AJ$2,0))</f>
        <v/>
      </c>
      <c r="AM342" s="211" t="str">
        <f aca="false">IF($A343="","",MAX(0,O342-W342-AI342))</f>
        <v/>
      </c>
      <c r="AN342" s="211" t="str">
        <f aca="false">IF($A343="","",AL342-AM342)</f>
        <v/>
      </c>
      <c r="AO342" s="137" t="str">
        <f aca="false">IF(A343="","",A343-A342)</f>
        <v/>
      </c>
      <c r="AP342" s="212" t="str">
        <f aca="false">IF(A343="","",CHOOSE(F$3,A343+24,A342))</f>
        <v/>
      </c>
      <c r="AQ342" s="209" t="str">
        <f aca="false">IF(A343="","",AP342-$E$1)</f>
        <v/>
      </c>
      <c r="AR342" s="185" t="n">
        <f aca="false">'ANR OK vs ML7'!AR342</f>
        <v>0.1</v>
      </c>
      <c r="AS342" s="213" t="str">
        <f aca="false">IF(A343="","",1/(1+CHOOSE(F$3,(AR343+($I$3/10000))/2,(AR342+($I$3/10000))/2))^(2*AQ342/365.25))</f>
        <v/>
      </c>
      <c r="AT342" s="137" t="str">
        <f aca="false">IF(A343="","",IF(AND(mthbeg&lt;=A342,mthend&gt;=A342),1,0))</f>
        <v/>
      </c>
      <c r="AU342" s="137" t="str">
        <f aca="false">IF(A343="","",AO342*AT342)</f>
        <v/>
      </c>
      <c r="AW342" s="195" t="str">
        <f aca="false">IF($A343="","",AL342*$E342)</f>
        <v/>
      </c>
      <c r="AX342" s="195" t="str">
        <f aca="false">IF($A343="","",AM342*$E342)</f>
        <v/>
      </c>
      <c r="AY342" s="195" t="str">
        <f aca="false">IF($A343="","",AN342*$E342)</f>
        <v/>
      </c>
      <c r="BA342" s="195" t="str">
        <f aca="false">IF($A343="","",F342*Summary!$Q$12)</f>
        <v/>
      </c>
    </row>
    <row r="343" customFormat="false" ht="12" hidden="false" customHeight="true" outlineLevel="0" collapsed="false">
      <c r="A343" s="196" t="str">
        <f aca="false">IF(A342&lt;mthend,EDATE(A342,1),"")</f>
        <v/>
      </c>
      <c r="B343" s="197" t="str">
        <f aca="false">IF(A343&lt;mthend,B342,"")</f>
        <v/>
      </c>
      <c r="C343" s="215"/>
      <c r="D343" s="197" t="str">
        <f aca="false">IF(A344&lt;&gt;"",B343+C343,"")</f>
        <v/>
      </c>
      <c r="E343" s="199" t="str">
        <f aca="false">IF(A344="","",IF(AND(AT343=1,$H$3=1),D343*AO343,IF($H$3=2,D343,"N/A")))</f>
        <v/>
      </c>
      <c r="F343" s="199" t="str">
        <f aca="false">IF(A344="","",E343*AS343)</f>
        <v/>
      </c>
      <c r="G343" s="200" t="str">
        <f aca="false">IF($A344="","",VLOOKUP($A343,Table,MATCH(G$4,Curves,0)))</f>
        <v/>
      </c>
      <c r="H343" s="201" t="str">
        <f aca="false">IF(A344="","",G343)</f>
        <v/>
      </c>
      <c r="I343" s="202"/>
      <c r="J343" s="200" t="str">
        <f aca="false">IF($A344="","",VLOOKUP($A343,Table,MATCH(J$4,Curves,0)))</f>
        <v/>
      </c>
      <c r="K343" s="201" t="str">
        <f aca="false">IF(A344="","",J343)</f>
        <v/>
      </c>
      <c r="L343" s="200" t="str">
        <f aca="false">IF($A344="","",VLOOKUP($A343,Table,MATCH(L$4,Curves,0)))</f>
        <v/>
      </c>
      <c r="M343" s="201" t="str">
        <f aca="false">IF(A344="","",L343)</f>
        <v/>
      </c>
      <c r="N343" s="203"/>
      <c r="O343" s="200" t="str">
        <f aca="false">IF(A344="","",L343+J343+G343)</f>
        <v/>
      </c>
      <c r="P343" s="200" t="str">
        <f aca="false">IF(A344="","",M343+K343+H343)</f>
        <v/>
      </c>
      <c r="Q343" s="204"/>
      <c r="R343" s="200" t="str">
        <f aca="false">IF($A344="","",VLOOKUP($A343,Table,MATCH(R$4,Curves,0)))</f>
        <v/>
      </c>
      <c r="S343" s="201" t="str">
        <f aca="false">IF(A344="","",R343)</f>
        <v/>
      </c>
      <c r="T343" s="200" t="str">
        <f aca="false">IF($A344="","",VLOOKUP($A343,Table,MATCH(T$4,Curves,0)))</f>
        <v/>
      </c>
      <c r="U343" s="201" t="str">
        <f aca="false">IF(A344="","",T343)</f>
        <v/>
      </c>
      <c r="V343" s="225" t="str">
        <f aca="false">IF($A344="","",IF(AND(MONTH(A343)&gt;3,MONTH(A343)&lt;11),(T343+R343+G343)*(((1/(1-Summary!$T$12))/(1-Summary!$W$12))-1),(T343+R343+G343)*((1/(1-Summary!$U$12))/(1-Summary!$X$12)-1)))</f>
        <v/>
      </c>
      <c r="W343" s="200" t="str">
        <f aca="false">IF($A344="","",(T343+R343+G343+V343))</f>
        <v/>
      </c>
      <c r="X343" s="200" t="str">
        <f aca="false">IF($A344="","",(U343+S343+H343+V343))</f>
        <v/>
      </c>
      <c r="Y343" s="202"/>
      <c r="Z343" s="185" t="str">
        <f aca="false">IF($A344="","",VLOOKUP($A343,Table,MATCH(Z$4,Curves,0)))</f>
        <v/>
      </c>
      <c r="AA343" s="185" t="str">
        <f aca="false">IF($A344="","",VLOOKUP($A343,Table,MATCH(AA$4,Curves,0)))</f>
        <v/>
      </c>
      <c r="AB343" s="185" t="e">
        <f aca="false">SQRT((AA343^2*(A343-$D$3)+Z343^2*(DAY(EOMONTH(A343,0))/2))/AK343)</f>
        <v>#VALUE!</v>
      </c>
      <c r="AC343" s="185" t="str">
        <f aca="false">IF($A344="","",VLOOKUP($A343,Table,MATCH(AC$4,Curves,0)))</f>
        <v/>
      </c>
      <c r="AD343" s="185" t="str">
        <f aca="false">IF($A344="","",VLOOKUP($A343,Table,MATCH(AD$4,Curves,0)))</f>
        <v/>
      </c>
      <c r="AE343" s="185" t="e">
        <f aca="false">SQRT((AD343^2*(A343-$D$3)+AC343^2*(DAY(EOMONTH(A343,0))/2))/AK343)</f>
        <v>#VALUE!</v>
      </c>
      <c r="AF343" s="206" t="e">
        <f aca="false">((Summary!$N$12*(AA343*AD343)*(A343-$D$3))+(Summary!$M$12*Z343*AC343*(AJ343-EOMONTH(EDATE(A343,-1),0))))/(AK343*AB343*AE343)</f>
        <v>#VALUE!</v>
      </c>
      <c r="AG343" s="207" t="str">
        <f aca="false">IF($A344="","",Summary!$Q$12)</f>
        <v/>
      </c>
      <c r="AH343" s="207" t="str">
        <f aca="false">IF($A344="","",IF(Summary!$R$12="Y",(VLOOKUP($A343,Summary!$AD$6:$AF$9,3)+'Escalating commodity'!H356),'Escalating commodity'!H356))</f>
        <v/>
      </c>
      <c r="AI343" s="207" t="str">
        <f aca="false">IF($A344="","",AH343)</f>
        <v/>
      </c>
      <c r="AJ343" s="208" t="e">
        <f aca="false">A343+DAY(EOMONTH(A343,0))/2-1</f>
        <v>#VALUE!</v>
      </c>
      <c r="AK343" s="209" t="str">
        <f aca="false">IF($A344="","",$A343-$E$1)</f>
        <v/>
      </c>
      <c r="AL343" s="182" t="str">
        <f aca="false">IF($A344="","",SPRDOPT(P343,X343,AI343,0,AB343,AE343,AF343,AK343,$AJ$2,0))</f>
        <v/>
      </c>
      <c r="AM343" s="211" t="str">
        <f aca="false">IF($A344="","",MAX(0,O343-W343-AI343))</f>
        <v/>
      </c>
      <c r="AN343" s="211" t="str">
        <f aca="false">IF($A344="","",AL343-AM343)</f>
        <v/>
      </c>
      <c r="AO343" s="137" t="str">
        <f aca="false">IF(A344="","",A344-A343)</f>
        <v/>
      </c>
      <c r="AP343" s="212" t="str">
        <f aca="false">IF(A344="","",CHOOSE(F$3,A344+24,A343))</f>
        <v/>
      </c>
      <c r="AQ343" s="209" t="str">
        <f aca="false">IF(A344="","",AP343-$E$1)</f>
        <v/>
      </c>
      <c r="AR343" s="185" t="n">
        <f aca="false">'ANR OK vs ML7'!AR343</f>
        <v>0.1</v>
      </c>
      <c r="AS343" s="213" t="str">
        <f aca="false">IF(A344="","",1/(1+CHOOSE(F$3,(AR344+($I$3/10000))/2,(AR343+($I$3/10000))/2))^(2*AQ343/365.25))</f>
        <v/>
      </c>
      <c r="AT343" s="137" t="str">
        <f aca="false">IF(A344="","",IF(AND(mthbeg&lt;=A343,mthend&gt;=A343),1,0))</f>
        <v/>
      </c>
      <c r="AU343" s="137" t="str">
        <f aca="false">IF(A344="","",AO343*AT343)</f>
        <v/>
      </c>
      <c r="AW343" s="195" t="str">
        <f aca="false">IF($A344="","",AL343*$E343)</f>
        <v/>
      </c>
      <c r="AX343" s="195" t="str">
        <f aca="false">IF($A344="","",AM343*$E343)</f>
        <v/>
      </c>
      <c r="AY343" s="195" t="str">
        <f aca="false">IF($A344="","",AN343*$E343)</f>
        <v/>
      </c>
      <c r="BA343" s="195" t="str">
        <f aca="false">IF($A344="","",F343*Summary!$Q$12)</f>
        <v/>
      </c>
    </row>
    <row r="344" customFormat="false" ht="12" hidden="false" customHeight="true" outlineLevel="0" collapsed="false">
      <c r="A344" s="196" t="str">
        <f aca="false">IF(A343&lt;mthend,EDATE(A343,1),"")</f>
        <v/>
      </c>
      <c r="B344" s="197" t="str">
        <f aca="false">IF(A344&lt;mthend,B343,"")</f>
        <v/>
      </c>
      <c r="C344" s="215"/>
      <c r="D344" s="197" t="str">
        <f aca="false">IF(A345&lt;&gt;"",B344+C344,"")</f>
        <v/>
      </c>
      <c r="E344" s="199" t="str">
        <f aca="false">IF(A345="","",IF(AND(AT344=1,$H$3=1),D344*AO344,IF($H$3=2,D344,"N/A")))</f>
        <v/>
      </c>
      <c r="F344" s="199" t="str">
        <f aca="false">IF(A345="","",E344*AS344)</f>
        <v/>
      </c>
      <c r="G344" s="200" t="str">
        <f aca="false">IF($A345="","",VLOOKUP($A344,Table,MATCH(G$4,Curves,0)))</f>
        <v/>
      </c>
      <c r="H344" s="201" t="str">
        <f aca="false">IF(A345="","",G344)</f>
        <v/>
      </c>
      <c r="I344" s="202"/>
      <c r="J344" s="200" t="str">
        <f aca="false">IF($A345="","",VLOOKUP($A344,Table,MATCH(J$4,Curves,0)))</f>
        <v/>
      </c>
      <c r="K344" s="201" t="str">
        <f aca="false">IF(A345="","",J344)</f>
        <v/>
      </c>
      <c r="L344" s="200" t="str">
        <f aca="false">IF($A345="","",VLOOKUP($A344,Table,MATCH(L$4,Curves,0)))</f>
        <v/>
      </c>
      <c r="M344" s="201" t="str">
        <f aca="false">IF(A345="","",L344)</f>
        <v/>
      </c>
      <c r="N344" s="203"/>
      <c r="O344" s="200" t="str">
        <f aca="false">IF(A345="","",L344+J344+G344)</f>
        <v/>
      </c>
      <c r="P344" s="200" t="str">
        <f aca="false">IF(A345="","",M344+K344+H344)</f>
        <v/>
      </c>
      <c r="Q344" s="204"/>
      <c r="R344" s="200" t="str">
        <f aca="false">IF($A345="","",VLOOKUP($A344,Table,MATCH(R$4,Curves,0)))</f>
        <v/>
      </c>
      <c r="S344" s="201" t="str">
        <f aca="false">IF(A345="","",R344)</f>
        <v/>
      </c>
      <c r="T344" s="200" t="str">
        <f aca="false">IF($A345="","",VLOOKUP($A344,Table,MATCH(T$4,Curves,0)))</f>
        <v/>
      </c>
      <c r="U344" s="201" t="str">
        <f aca="false">IF(A345="","",T344)</f>
        <v/>
      </c>
      <c r="V344" s="225" t="str">
        <f aca="false">IF($A345="","",IF(AND(MONTH(A344)&gt;3,MONTH(A344)&lt;11),(T344+R344+G344)*(((1/(1-Summary!$T$12))/(1-Summary!$W$12))-1),(T344+R344+G344)*((1/(1-Summary!$U$12))/(1-Summary!$X$12)-1)))</f>
        <v/>
      </c>
      <c r="W344" s="200" t="str">
        <f aca="false">IF($A345="","",(T344+R344+G344+V344))</f>
        <v/>
      </c>
      <c r="X344" s="200" t="str">
        <f aca="false">IF($A345="","",(U344+S344+H344+V344))</f>
        <v/>
      </c>
      <c r="Y344" s="202"/>
      <c r="Z344" s="185" t="str">
        <f aca="false">IF($A345="","",VLOOKUP($A344,Table,MATCH(Z$4,Curves,0)))</f>
        <v/>
      </c>
      <c r="AA344" s="185" t="str">
        <f aca="false">IF($A345="","",VLOOKUP($A344,Table,MATCH(AA$4,Curves,0)))</f>
        <v/>
      </c>
      <c r="AB344" s="185" t="e">
        <f aca="false">SQRT((AA344^2*(A344-$D$3)+Z344^2*(DAY(EOMONTH(A344,0))/2))/AK344)</f>
        <v>#VALUE!</v>
      </c>
      <c r="AC344" s="185" t="str">
        <f aca="false">IF($A345="","",VLOOKUP($A344,Table,MATCH(AC$4,Curves,0)))</f>
        <v/>
      </c>
      <c r="AD344" s="185" t="str">
        <f aca="false">IF($A345="","",VLOOKUP($A344,Table,MATCH(AD$4,Curves,0)))</f>
        <v/>
      </c>
      <c r="AE344" s="185" t="e">
        <f aca="false">SQRT((AD344^2*(A344-$D$3)+AC344^2*(DAY(EOMONTH(A344,0))/2))/AK344)</f>
        <v>#VALUE!</v>
      </c>
      <c r="AF344" s="206" t="e">
        <f aca="false">((Summary!$N$12*(AA344*AD344)*(A344-$D$3))+(Summary!$M$12*Z344*AC344*(AJ344-EOMONTH(EDATE(A344,-1),0))))/(AK344*AB344*AE344)</f>
        <v>#VALUE!</v>
      </c>
      <c r="AG344" s="207" t="str">
        <f aca="false">IF($A345="","",Summary!$Q$12)</f>
        <v/>
      </c>
      <c r="AH344" s="207" t="str">
        <f aca="false">IF($A345="","",IF(Summary!$R$12="Y",(VLOOKUP($A344,Summary!$AD$6:$AF$9,3)+'Escalating commodity'!H357),'Escalating commodity'!H357))</f>
        <v/>
      </c>
      <c r="AI344" s="207" t="str">
        <f aca="false">IF($A345="","",AH344)</f>
        <v/>
      </c>
      <c r="AJ344" s="208" t="e">
        <f aca="false">A344+DAY(EOMONTH(A344,0))/2-1</f>
        <v>#VALUE!</v>
      </c>
      <c r="AK344" s="209" t="str">
        <f aca="false">IF($A345="","",$A344-$E$1)</f>
        <v/>
      </c>
      <c r="AL344" s="182" t="str">
        <f aca="false">IF($A345="","",SPRDOPT(P344,X344,AI344,0,AB344,AE344,AF344,AK344,$AJ$2,0))</f>
        <v/>
      </c>
      <c r="AM344" s="211" t="str">
        <f aca="false">IF($A345="","",MAX(0,O344-W344-AI344))</f>
        <v/>
      </c>
      <c r="AN344" s="211" t="str">
        <f aca="false">IF($A345="","",AL344-AM344)</f>
        <v/>
      </c>
      <c r="AO344" s="137" t="str">
        <f aca="false">IF(A345="","",A345-A344)</f>
        <v/>
      </c>
      <c r="AP344" s="212" t="str">
        <f aca="false">IF(A345="","",CHOOSE(F$3,A345+24,A344))</f>
        <v/>
      </c>
      <c r="AQ344" s="209" t="str">
        <f aca="false">IF(A345="","",AP344-$E$1)</f>
        <v/>
      </c>
      <c r="AR344" s="185" t="n">
        <f aca="false">'ANR OK vs ML7'!AR344</f>
        <v>0.1</v>
      </c>
      <c r="AS344" s="213" t="str">
        <f aca="false">IF(A345="","",1/(1+CHOOSE(F$3,(AR345+($I$3/10000))/2,(AR344+($I$3/10000))/2))^(2*AQ344/365.25))</f>
        <v/>
      </c>
      <c r="AT344" s="137" t="str">
        <f aca="false">IF(A345="","",IF(AND(mthbeg&lt;=A344,mthend&gt;=A344),1,0))</f>
        <v/>
      </c>
      <c r="AU344" s="137" t="str">
        <f aca="false">IF(A345="","",AO344*AT344)</f>
        <v/>
      </c>
      <c r="AW344" s="195" t="str">
        <f aca="false">IF($A345="","",AL344*$E344)</f>
        <v/>
      </c>
      <c r="AX344" s="195" t="str">
        <f aca="false">IF($A345="","",AM344*$E344)</f>
        <v/>
      </c>
      <c r="AY344" s="195" t="str">
        <f aca="false">IF($A345="","",AN344*$E344)</f>
        <v/>
      </c>
      <c r="BA344" s="195" t="str">
        <f aca="false">IF($A345="","",F344*Summary!$Q$12)</f>
        <v/>
      </c>
    </row>
    <row r="345" customFormat="false" ht="12" hidden="false" customHeight="true" outlineLevel="0" collapsed="false">
      <c r="A345" s="196" t="str">
        <f aca="false">IF(A344&lt;mthend,EDATE(A344,1),"")</f>
        <v/>
      </c>
      <c r="B345" s="197" t="str">
        <f aca="false">IF(A345&lt;mthend,B344,"")</f>
        <v/>
      </c>
      <c r="C345" s="215"/>
      <c r="D345" s="197" t="str">
        <f aca="false">IF(A346&lt;&gt;"",B345+C345,"")</f>
        <v/>
      </c>
      <c r="E345" s="199" t="str">
        <f aca="false">IF(A346="","",IF(AND(AT345=1,$H$3=1),D345*AO345,IF($H$3=2,D345,"N/A")))</f>
        <v/>
      </c>
      <c r="F345" s="199" t="str">
        <f aca="false">IF(A346="","",E345*AS345)</f>
        <v/>
      </c>
      <c r="G345" s="200" t="str">
        <f aca="false">IF($A346="","",VLOOKUP($A345,Table,MATCH(G$4,Curves,0)))</f>
        <v/>
      </c>
      <c r="H345" s="201" t="str">
        <f aca="false">IF(A346="","",G345)</f>
        <v/>
      </c>
      <c r="I345" s="202"/>
      <c r="J345" s="200" t="str">
        <f aca="false">IF($A346="","",VLOOKUP($A345,Table,MATCH(J$4,Curves,0)))</f>
        <v/>
      </c>
      <c r="K345" s="201" t="str">
        <f aca="false">IF(A346="","",J345)</f>
        <v/>
      </c>
      <c r="L345" s="200" t="str">
        <f aca="false">IF($A346="","",VLOOKUP($A345,Table,MATCH(L$4,Curves,0)))</f>
        <v/>
      </c>
      <c r="M345" s="201" t="str">
        <f aca="false">IF(A346="","",L345)</f>
        <v/>
      </c>
      <c r="N345" s="203"/>
      <c r="O345" s="200" t="str">
        <f aca="false">IF(A346="","",L345+J345+G345)</f>
        <v/>
      </c>
      <c r="P345" s="200" t="str">
        <f aca="false">IF(A346="","",M345+K345+H345)</f>
        <v/>
      </c>
      <c r="Q345" s="204"/>
      <c r="R345" s="200" t="str">
        <f aca="false">IF($A346="","",VLOOKUP($A345,Table,MATCH(R$4,Curves,0)))</f>
        <v/>
      </c>
      <c r="S345" s="201" t="str">
        <f aca="false">IF(A346="","",R345)</f>
        <v/>
      </c>
      <c r="T345" s="200" t="str">
        <f aca="false">IF($A346="","",VLOOKUP($A345,Table,MATCH(T$4,Curves,0)))</f>
        <v/>
      </c>
      <c r="U345" s="201" t="str">
        <f aca="false">IF(A346="","",T345)</f>
        <v/>
      </c>
      <c r="V345" s="225" t="str">
        <f aca="false">IF($A346="","",IF(AND(MONTH(A345)&gt;3,MONTH(A345)&lt;11),(T345+R345+G345)*(((1/(1-Summary!$T$12))/(1-Summary!$W$12))-1),(T345+R345+G345)*((1/(1-Summary!$U$12))/(1-Summary!$X$12)-1)))</f>
        <v/>
      </c>
      <c r="W345" s="200" t="str">
        <f aca="false">IF($A346="","",(T345+R345+G345+V345))</f>
        <v/>
      </c>
      <c r="X345" s="200" t="str">
        <f aca="false">IF($A346="","",(U345+S345+H345+V345))</f>
        <v/>
      </c>
      <c r="Y345" s="202"/>
      <c r="Z345" s="185" t="str">
        <f aca="false">IF($A346="","",VLOOKUP($A345,Table,MATCH(Z$4,Curves,0)))</f>
        <v/>
      </c>
      <c r="AA345" s="185" t="str">
        <f aca="false">IF($A346="","",VLOOKUP($A345,Table,MATCH(AA$4,Curves,0)))</f>
        <v/>
      </c>
      <c r="AB345" s="185" t="e">
        <f aca="false">SQRT((AA345^2*(A345-$D$3)+Z345^2*(DAY(EOMONTH(A345,0))/2))/AK345)</f>
        <v>#VALUE!</v>
      </c>
      <c r="AC345" s="185" t="str">
        <f aca="false">IF($A346="","",VLOOKUP($A345,Table,MATCH(AC$4,Curves,0)))</f>
        <v/>
      </c>
      <c r="AD345" s="185" t="str">
        <f aca="false">IF($A346="","",VLOOKUP($A345,Table,MATCH(AD$4,Curves,0)))</f>
        <v/>
      </c>
      <c r="AE345" s="185" t="e">
        <f aca="false">SQRT((AD345^2*(A345-$D$3)+AC345^2*(DAY(EOMONTH(A345,0))/2))/AK345)</f>
        <v>#VALUE!</v>
      </c>
      <c r="AF345" s="206" t="e">
        <f aca="false">((Summary!$N$12*(AA345*AD345)*(A345-$D$3))+(Summary!$M$12*Z345*AC345*(AJ345-EOMONTH(EDATE(A345,-1),0))))/(AK345*AB345*AE345)</f>
        <v>#VALUE!</v>
      </c>
      <c r="AG345" s="207" t="str">
        <f aca="false">IF($A346="","",Summary!$Q$12)</f>
        <v/>
      </c>
      <c r="AH345" s="207" t="str">
        <f aca="false">IF($A346="","",IF(Summary!$R$12="Y",(VLOOKUP($A345,Summary!$AD$6:$AF$9,3)+'Escalating commodity'!H358),'Escalating commodity'!H358))</f>
        <v/>
      </c>
      <c r="AI345" s="207" t="str">
        <f aca="false">IF($A346="","",AH345)</f>
        <v/>
      </c>
      <c r="AJ345" s="208" t="e">
        <f aca="false">A345+DAY(EOMONTH(A345,0))/2-1</f>
        <v>#VALUE!</v>
      </c>
      <c r="AK345" s="209" t="str">
        <f aca="false">IF($A346="","",$A345-$E$1)</f>
        <v/>
      </c>
      <c r="AL345" s="182" t="str">
        <f aca="false">IF($A346="","",SPRDOPT(P345,X345,AI345,0,AB345,AE345,AF345,AK345,$AJ$2,0))</f>
        <v/>
      </c>
      <c r="AM345" s="211" t="str">
        <f aca="false">IF($A346="","",MAX(0,O345-W345-AI345))</f>
        <v/>
      </c>
      <c r="AN345" s="211" t="str">
        <f aca="false">IF($A346="","",AL345-AM345)</f>
        <v/>
      </c>
      <c r="AO345" s="137" t="str">
        <f aca="false">IF(A346="","",A346-A345)</f>
        <v/>
      </c>
      <c r="AP345" s="212" t="str">
        <f aca="false">IF(A346="","",CHOOSE(F$3,A346+24,A345))</f>
        <v/>
      </c>
      <c r="AQ345" s="209" t="str">
        <f aca="false">IF(A346="","",AP345-$E$1)</f>
        <v/>
      </c>
      <c r="AR345" s="185" t="n">
        <f aca="false">'ANR OK vs ML7'!AR345</f>
        <v>0.1</v>
      </c>
      <c r="AS345" s="213" t="str">
        <f aca="false">IF(A346="","",1/(1+CHOOSE(F$3,(AR346+($I$3/10000))/2,(AR345+($I$3/10000))/2))^(2*AQ345/365.25))</f>
        <v/>
      </c>
      <c r="AT345" s="137" t="str">
        <f aca="false">IF(A346="","",IF(AND(mthbeg&lt;=A345,mthend&gt;=A345),1,0))</f>
        <v/>
      </c>
      <c r="AU345" s="137" t="str">
        <f aca="false">IF(A346="","",AO345*AT345)</f>
        <v/>
      </c>
      <c r="AW345" s="195" t="str">
        <f aca="false">IF($A346="","",AL345*$E345)</f>
        <v/>
      </c>
      <c r="AX345" s="195" t="str">
        <f aca="false">IF($A346="","",AM345*$E345)</f>
        <v/>
      </c>
      <c r="AY345" s="195" t="str">
        <f aca="false">IF($A346="","",AN345*$E345)</f>
        <v/>
      </c>
      <c r="BA345" s="195" t="str">
        <f aca="false">IF($A346="","",F345*Summary!$Q$12)</f>
        <v/>
      </c>
    </row>
    <row r="346" customFormat="false" ht="12" hidden="false" customHeight="true" outlineLevel="0" collapsed="false">
      <c r="A346" s="196" t="str">
        <f aca="false">IF(A345&lt;mthend,EDATE(A345,1),"")</f>
        <v/>
      </c>
      <c r="B346" s="197" t="str">
        <f aca="false">IF(A346&lt;mthend,B345,"")</f>
        <v/>
      </c>
      <c r="C346" s="215"/>
      <c r="D346" s="197" t="str">
        <f aca="false">IF(A347&lt;&gt;"",B346+C346,"")</f>
        <v/>
      </c>
      <c r="E346" s="199" t="str">
        <f aca="false">IF(A347="","",IF(AND(AT346=1,$H$3=1),D346*AO346,IF($H$3=2,D346,"N/A")))</f>
        <v/>
      </c>
      <c r="F346" s="199" t="str">
        <f aca="false">IF(A347="","",E346*AS346)</f>
        <v/>
      </c>
      <c r="G346" s="200" t="str">
        <f aca="false">IF($A347="","",VLOOKUP($A346,Table,MATCH(G$4,Curves,0)))</f>
        <v/>
      </c>
      <c r="H346" s="201" t="str">
        <f aca="false">IF(A347="","",G346)</f>
        <v/>
      </c>
      <c r="I346" s="202"/>
      <c r="J346" s="200" t="str">
        <f aca="false">IF($A347="","",VLOOKUP($A346,Table,MATCH(J$4,Curves,0)))</f>
        <v/>
      </c>
      <c r="K346" s="201" t="str">
        <f aca="false">IF(A347="","",J346)</f>
        <v/>
      </c>
      <c r="L346" s="200" t="str">
        <f aca="false">IF($A347="","",VLOOKUP($A346,Table,MATCH(L$4,Curves,0)))</f>
        <v/>
      </c>
      <c r="M346" s="201" t="str">
        <f aca="false">IF(A347="","",L346)</f>
        <v/>
      </c>
      <c r="N346" s="203"/>
      <c r="O346" s="200" t="str">
        <f aca="false">IF(A347="","",L346+J346+G346)</f>
        <v/>
      </c>
      <c r="P346" s="200" t="str">
        <f aca="false">IF(A347="","",M346+K346+H346)</f>
        <v/>
      </c>
      <c r="Q346" s="204"/>
      <c r="R346" s="200" t="str">
        <f aca="false">IF($A347="","",VLOOKUP($A346,Table,MATCH(R$4,Curves,0)))</f>
        <v/>
      </c>
      <c r="S346" s="201" t="str">
        <f aca="false">IF(A347="","",R346)</f>
        <v/>
      </c>
      <c r="T346" s="200" t="str">
        <f aca="false">IF($A347="","",VLOOKUP($A346,Table,MATCH(T$4,Curves,0)))</f>
        <v/>
      </c>
      <c r="U346" s="201" t="str">
        <f aca="false">IF(A347="","",T346)</f>
        <v/>
      </c>
      <c r="V346" s="225" t="str">
        <f aca="false">IF($A347="","",IF(AND(MONTH(A346)&gt;3,MONTH(A346)&lt;11),(T346+R346+G346)*(((1/(1-Summary!$T$12))/(1-Summary!$W$12))-1),(T346+R346+G346)*((1/(1-Summary!$U$12))/(1-Summary!$X$12)-1)))</f>
        <v/>
      </c>
      <c r="W346" s="200" t="str">
        <f aca="false">IF($A347="","",(T346+R346+G346+V346))</f>
        <v/>
      </c>
      <c r="X346" s="200" t="str">
        <f aca="false">IF($A347="","",(U346+S346+H346+V346))</f>
        <v/>
      </c>
      <c r="Y346" s="202"/>
      <c r="Z346" s="185" t="str">
        <f aca="false">IF($A347="","",VLOOKUP($A346,Table,MATCH(Z$4,Curves,0)))</f>
        <v/>
      </c>
      <c r="AA346" s="185" t="str">
        <f aca="false">IF($A347="","",VLOOKUP($A346,Table,MATCH(AA$4,Curves,0)))</f>
        <v/>
      </c>
      <c r="AB346" s="185" t="e">
        <f aca="false">SQRT((AA346^2*(A346-$D$3)+Z346^2*(DAY(EOMONTH(A346,0))/2))/AK346)</f>
        <v>#VALUE!</v>
      </c>
      <c r="AC346" s="185" t="str">
        <f aca="false">IF($A347="","",VLOOKUP($A346,Table,MATCH(AC$4,Curves,0)))</f>
        <v/>
      </c>
      <c r="AD346" s="185" t="str">
        <f aca="false">IF($A347="","",VLOOKUP($A346,Table,MATCH(AD$4,Curves,0)))</f>
        <v/>
      </c>
      <c r="AE346" s="185" t="e">
        <f aca="false">SQRT((AD346^2*(A346-$D$3)+AC346^2*(DAY(EOMONTH(A346,0))/2))/AK346)</f>
        <v>#VALUE!</v>
      </c>
      <c r="AF346" s="206" t="e">
        <f aca="false">((Summary!$N$12*(AA346*AD346)*(A346-$D$3))+(Summary!$M$12*Z346*AC346*(AJ346-EOMONTH(EDATE(A346,-1),0))))/(AK346*AB346*AE346)</f>
        <v>#VALUE!</v>
      </c>
      <c r="AG346" s="207" t="str">
        <f aca="false">IF($A347="","",Summary!$Q$12)</f>
        <v/>
      </c>
      <c r="AH346" s="207" t="str">
        <f aca="false">IF($A347="","",IF(Summary!$R$12="Y",(VLOOKUP($A346,Summary!$AD$6:$AF$9,3)+'Escalating commodity'!H359),'Escalating commodity'!H359))</f>
        <v/>
      </c>
      <c r="AI346" s="207" t="str">
        <f aca="false">IF($A347="","",AH346)</f>
        <v/>
      </c>
      <c r="AJ346" s="208" t="e">
        <f aca="false">A346+DAY(EOMONTH(A346,0))/2-1</f>
        <v>#VALUE!</v>
      </c>
      <c r="AK346" s="209" t="str">
        <f aca="false">IF($A347="","",$A346-$E$1)</f>
        <v/>
      </c>
      <c r="AL346" s="182" t="str">
        <f aca="false">IF($A347="","",SPRDOPT(P346,X346,AI346,0,AB346,AE346,AF346,AK346,$AJ$2,0))</f>
        <v/>
      </c>
      <c r="AM346" s="211" t="str">
        <f aca="false">IF($A347="","",MAX(0,O346-W346-AI346))</f>
        <v/>
      </c>
      <c r="AN346" s="211" t="str">
        <f aca="false">IF($A347="","",AL346-AM346)</f>
        <v/>
      </c>
      <c r="AO346" s="137" t="str">
        <f aca="false">IF(A347="","",A347-A346)</f>
        <v/>
      </c>
      <c r="AP346" s="212" t="str">
        <f aca="false">IF(A347="","",CHOOSE(F$3,A347+24,A346))</f>
        <v/>
      </c>
      <c r="AQ346" s="209" t="str">
        <f aca="false">IF(A347="","",AP346-$E$1)</f>
        <v/>
      </c>
      <c r="AR346" s="185" t="n">
        <f aca="false">'ANR OK vs ML7'!AR346</f>
        <v>0.1</v>
      </c>
      <c r="AS346" s="213" t="str">
        <f aca="false">IF(A347="","",1/(1+CHOOSE(F$3,(AR347+($I$3/10000))/2,(AR346+($I$3/10000))/2))^(2*AQ346/365.25))</f>
        <v/>
      </c>
      <c r="AT346" s="137" t="str">
        <f aca="false">IF(A347="","",IF(AND(mthbeg&lt;=A346,mthend&gt;=A346),1,0))</f>
        <v/>
      </c>
      <c r="AU346" s="137" t="str">
        <f aca="false">IF(A347="","",AO346*AT346)</f>
        <v/>
      </c>
      <c r="AW346" s="195" t="str">
        <f aca="false">IF($A347="","",AL346*$E346)</f>
        <v/>
      </c>
      <c r="AX346" s="195" t="str">
        <f aca="false">IF($A347="","",AM346*$E346)</f>
        <v/>
      </c>
      <c r="AY346" s="195" t="str">
        <f aca="false">IF($A347="","",AN346*$E346)</f>
        <v/>
      </c>
      <c r="BA346" s="195" t="str">
        <f aca="false">IF($A347="","",F346*Summary!$Q$12)</f>
        <v/>
      </c>
    </row>
    <row r="347" customFormat="false" ht="12" hidden="false" customHeight="true" outlineLevel="0" collapsed="false">
      <c r="A347" s="196" t="str">
        <f aca="false">IF(A346&lt;mthend,EDATE(A346,1),"")</f>
        <v/>
      </c>
      <c r="B347" s="197" t="str">
        <f aca="false">IF(A347&lt;mthend,B346,"")</f>
        <v/>
      </c>
      <c r="C347" s="215"/>
      <c r="D347" s="197" t="str">
        <f aca="false">IF(A348&lt;&gt;"",B347+C347,"")</f>
        <v/>
      </c>
      <c r="E347" s="199" t="str">
        <f aca="false">IF(A348="","",IF(AND(AT347=1,$H$3=1),D347*AO347,IF($H$3=2,D347,"N/A")))</f>
        <v/>
      </c>
      <c r="F347" s="199" t="str">
        <f aca="false">IF(A348="","",E347*AS347)</f>
        <v/>
      </c>
      <c r="G347" s="200" t="str">
        <f aca="false">IF($A348="","",VLOOKUP($A347,Table,MATCH(G$4,Curves,0)))</f>
        <v/>
      </c>
      <c r="H347" s="201" t="str">
        <f aca="false">IF(A348="","",G347)</f>
        <v/>
      </c>
      <c r="I347" s="202"/>
      <c r="J347" s="200" t="str">
        <f aca="false">IF($A348="","",VLOOKUP($A347,Table,MATCH(J$4,Curves,0)))</f>
        <v/>
      </c>
      <c r="K347" s="201" t="str">
        <f aca="false">IF(A348="","",J347)</f>
        <v/>
      </c>
      <c r="L347" s="200" t="str">
        <f aca="false">IF($A348="","",VLOOKUP($A347,Table,MATCH(L$4,Curves,0)))</f>
        <v/>
      </c>
      <c r="M347" s="201" t="str">
        <f aca="false">IF(A348="","",L347)</f>
        <v/>
      </c>
      <c r="N347" s="203"/>
      <c r="O347" s="200" t="str">
        <f aca="false">IF(A348="","",L347+J347+G347)</f>
        <v/>
      </c>
      <c r="P347" s="200" t="str">
        <f aca="false">IF(A348="","",M347+K347+H347)</f>
        <v/>
      </c>
      <c r="Q347" s="204"/>
      <c r="R347" s="200" t="str">
        <f aca="false">IF($A348="","",VLOOKUP($A347,Table,MATCH(R$4,Curves,0)))</f>
        <v/>
      </c>
      <c r="S347" s="201" t="str">
        <f aca="false">IF(A348="","",R347)</f>
        <v/>
      </c>
      <c r="T347" s="200" t="str">
        <f aca="false">IF($A348="","",VLOOKUP($A347,Table,MATCH(T$4,Curves,0)))</f>
        <v/>
      </c>
      <c r="U347" s="201" t="str">
        <f aca="false">IF(A348="","",T347)</f>
        <v/>
      </c>
      <c r="V347" s="225" t="str">
        <f aca="false">IF($A348="","",IF(AND(MONTH(A347)&gt;3,MONTH(A347)&lt;11),(T347+R347+G347)*(((1/(1-Summary!$T$12))/(1-Summary!$W$12))-1),(T347+R347+G347)*((1/(1-Summary!$U$12))/(1-Summary!$X$12)-1)))</f>
        <v/>
      </c>
      <c r="W347" s="200" t="str">
        <f aca="false">IF($A348="","",(T347+R347+G347+V347))</f>
        <v/>
      </c>
      <c r="X347" s="200" t="str">
        <f aca="false">IF($A348="","",(U347+S347+H347+V347))</f>
        <v/>
      </c>
      <c r="Y347" s="202"/>
      <c r="Z347" s="185" t="str">
        <f aca="false">IF($A348="","",VLOOKUP($A347,Table,MATCH(Z$4,Curves,0)))</f>
        <v/>
      </c>
      <c r="AA347" s="185" t="str">
        <f aca="false">IF($A348="","",VLOOKUP($A347,Table,MATCH(AA$4,Curves,0)))</f>
        <v/>
      </c>
      <c r="AB347" s="185" t="e">
        <f aca="false">SQRT((AA347^2*(A347-$D$3)+Z347^2*(DAY(EOMONTH(A347,0))/2))/AK347)</f>
        <v>#VALUE!</v>
      </c>
      <c r="AC347" s="185" t="str">
        <f aca="false">IF($A348="","",VLOOKUP($A347,Table,MATCH(AC$4,Curves,0)))</f>
        <v/>
      </c>
      <c r="AD347" s="185" t="str">
        <f aca="false">IF($A348="","",VLOOKUP($A347,Table,MATCH(AD$4,Curves,0)))</f>
        <v/>
      </c>
      <c r="AE347" s="185" t="e">
        <f aca="false">SQRT((AD347^2*(A347-$D$3)+AC347^2*(DAY(EOMONTH(A347,0))/2))/AK347)</f>
        <v>#VALUE!</v>
      </c>
      <c r="AF347" s="206" t="e">
        <f aca="false">((Summary!$N$12*(AA347*AD347)*(A347-$D$3))+(Summary!$M$12*Z347*AC347*(AJ347-EOMONTH(EDATE(A347,-1),0))))/(AK347*AB347*AE347)</f>
        <v>#VALUE!</v>
      </c>
      <c r="AG347" s="207" t="str">
        <f aca="false">IF($A348="","",Summary!$Q$12)</f>
        <v/>
      </c>
      <c r="AH347" s="207" t="str">
        <f aca="false">IF($A348="","",IF(Summary!$R$12="Y",(VLOOKUP($A347,Summary!$AD$6:$AF$9,3)+'Escalating commodity'!H360),'Escalating commodity'!H360))</f>
        <v/>
      </c>
      <c r="AI347" s="207" t="str">
        <f aca="false">IF($A348="","",AH347)</f>
        <v/>
      </c>
      <c r="AJ347" s="208" t="e">
        <f aca="false">A347+DAY(EOMONTH(A347,0))/2-1</f>
        <v>#VALUE!</v>
      </c>
      <c r="AK347" s="209" t="str">
        <f aca="false">IF($A348="","",$A347-$E$1)</f>
        <v/>
      </c>
      <c r="AL347" s="182" t="str">
        <f aca="false">IF($A348="","",SPRDOPT(P347,X347,AI347,0,AB347,AE347,AF347,AK347,$AJ$2,0))</f>
        <v/>
      </c>
      <c r="AM347" s="211" t="str">
        <f aca="false">IF($A348="","",MAX(0,O347-W347-AI347))</f>
        <v/>
      </c>
      <c r="AN347" s="211" t="str">
        <f aca="false">IF($A348="","",AL347-AM347)</f>
        <v/>
      </c>
      <c r="AO347" s="137" t="str">
        <f aca="false">IF(A348="","",A348-A347)</f>
        <v/>
      </c>
      <c r="AP347" s="212" t="str">
        <f aca="false">IF(A348="","",CHOOSE(F$3,A348+24,A347))</f>
        <v/>
      </c>
      <c r="AQ347" s="209" t="str">
        <f aca="false">IF(A348="","",AP347-$E$1)</f>
        <v/>
      </c>
      <c r="AR347" s="185" t="n">
        <f aca="false">'ANR OK vs ML7'!AR347</f>
        <v>0.1</v>
      </c>
      <c r="AS347" s="213" t="str">
        <f aca="false">IF(A348="","",1/(1+CHOOSE(F$3,(AR348+($I$3/10000))/2,(AR347+($I$3/10000))/2))^(2*AQ347/365.25))</f>
        <v/>
      </c>
      <c r="AT347" s="137" t="str">
        <f aca="false">IF(A348="","",IF(AND(mthbeg&lt;=A347,mthend&gt;=A347),1,0))</f>
        <v/>
      </c>
      <c r="AU347" s="137" t="str">
        <f aca="false">IF(A348="","",AO347*AT347)</f>
        <v/>
      </c>
      <c r="AW347" s="195" t="str">
        <f aca="false">IF($A348="","",AL347*$E347)</f>
        <v/>
      </c>
      <c r="AX347" s="195" t="str">
        <f aca="false">IF($A348="","",AM347*$E347)</f>
        <v/>
      </c>
      <c r="AY347" s="195" t="str">
        <f aca="false">IF($A348="","",AN347*$E347)</f>
        <v/>
      </c>
      <c r="BA347" s="195" t="str">
        <f aca="false">IF($A348="","",F347*Summary!$Q$12)</f>
        <v/>
      </c>
    </row>
    <row r="348" customFormat="false" ht="12" hidden="false" customHeight="true" outlineLevel="0" collapsed="false">
      <c r="A348" s="196" t="str">
        <f aca="false">IF(A347&lt;mthend,EDATE(A347,1),"")</f>
        <v/>
      </c>
      <c r="B348" s="197" t="str">
        <f aca="false">IF(A348&lt;mthend,B347,"")</f>
        <v/>
      </c>
      <c r="C348" s="215"/>
      <c r="D348" s="197" t="str">
        <f aca="false">IF(A349&lt;&gt;"",B348+C348,"")</f>
        <v/>
      </c>
      <c r="E348" s="199" t="str">
        <f aca="false">IF(A349="","",IF(AND(AT348=1,$H$3=1),D348*AO348,IF($H$3=2,D348,"N/A")))</f>
        <v/>
      </c>
      <c r="F348" s="199" t="str">
        <f aca="false">IF(A349="","",E348*AS348)</f>
        <v/>
      </c>
      <c r="G348" s="200" t="str">
        <f aca="false">IF($A349="","",VLOOKUP($A348,Table,MATCH(G$4,Curves,0)))</f>
        <v/>
      </c>
      <c r="H348" s="201" t="str">
        <f aca="false">IF(A349="","",G348)</f>
        <v/>
      </c>
      <c r="I348" s="202"/>
      <c r="J348" s="200" t="str">
        <f aca="false">IF($A349="","",VLOOKUP($A348,Table,MATCH(J$4,Curves,0)))</f>
        <v/>
      </c>
      <c r="K348" s="201" t="str">
        <f aca="false">IF(A349="","",J348)</f>
        <v/>
      </c>
      <c r="L348" s="200" t="str">
        <f aca="false">IF($A349="","",VLOOKUP($A348,Table,MATCH(L$4,Curves,0)))</f>
        <v/>
      </c>
      <c r="M348" s="201" t="str">
        <f aca="false">IF(A349="","",L348)</f>
        <v/>
      </c>
      <c r="N348" s="203"/>
      <c r="O348" s="200" t="str">
        <f aca="false">IF(A349="","",L348+J348+G348)</f>
        <v/>
      </c>
      <c r="P348" s="200" t="str">
        <f aca="false">IF(A349="","",M348+K348+H348)</f>
        <v/>
      </c>
      <c r="Q348" s="204"/>
      <c r="R348" s="200" t="str">
        <f aca="false">IF($A349="","",VLOOKUP($A348,Table,MATCH(R$4,Curves,0)))</f>
        <v/>
      </c>
      <c r="S348" s="201" t="str">
        <f aca="false">IF(A349="","",R348)</f>
        <v/>
      </c>
      <c r="T348" s="200" t="str">
        <f aca="false">IF($A349="","",VLOOKUP($A348,Table,MATCH(T$4,Curves,0)))</f>
        <v/>
      </c>
      <c r="U348" s="201" t="str">
        <f aca="false">IF(A349="","",T348)</f>
        <v/>
      </c>
      <c r="V348" s="225" t="str">
        <f aca="false">IF($A349="","",IF(AND(MONTH(A348)&gt;3,MONTH(A348)&lt;11),(T348+R348+G348)*(((1/(1-Summary!$T$12))/(1-Summary!$W$12))-1),(T348+R348+G348)*((1/(1-Summary!$U$12))/(1-Summary!$X$12)-1)))</f>
        <v/>
      </c>
      <c r="W348" s="200" t="str">
        <f aca="false">IF($A349="","",(T348+R348+G348+V348))</f>
        <v/>
      </c>
      <c r="X348" s="200" t="str">
        <f aca="false">IF($A349="","",(U348+S348+H348+V348))</f>
        <v/>
      </c>
      <c r="Y348" s="202"/>
      <c r="Z348" s="185" t="str">
        <f aca="false">IF($A349="","",VLOOKUP($A348,Table,MATCH(Z$4,Curves,0)))</f>
        <v/>
      </c>
      <c r="AA348" s="185" t="str">
        <f aca="false">IF($A349="","",VLOOKUP($A348,Table,MATCH(AA$4,Curves,0)))</f>
        <v/>
      </c>
      <c r="AB348" s="185" t="e">
        <f aca="false">SQRT((AA348^2*(A348-$D$3)+Z348^2*(DAY(EOMONTH(A348,0))/2))/AK348)</f>
        <v>#VALUE!</v>
      </c>
      <c r="AC348" s="185" t="str">
        <f aca="false">IF($A349="","",VLOOKUP($A348,Table,MATCH(AC$4,Curves,0)))</f>
        <v/>
      </c>
      <c r="AD348" s="185" t="str">
        <f aca="false">IF($A349="","",VLOOKUP($A348,Table,MATCH(AD$4,Curves,0)))</f>
        <v/>
      </c>
      <c r="AE348" s="185" t="e">
        <f aca="false">SQRT((AD348^2*(A348-$D$3)+AC348^2*(DAY(EOMONTH(A348,0))/2))/AK348)</f>
        <v>#VALUE!</v>
      </c>
      <c r="AF348" s="206" t="e">
        <f aca="false">((Summary!$N$12*(AA348*AD348)*(A348-$D$3))+(Summary!$M$12*Z348*AC348*(AJ348-EOMONTH(EDATE(A348,-1),0))))/(AK348*AB348*AE348)</f>
        <v>#VALUE!</v>
      </c>
      <c r="AG348" s="207" t="str">
        <f aca="false">IF($A349="","",Summary!$Q$12)</f>
        <v/>
      </c>
      <c r="AH348" s="207" t="str">
        <f aca="false">IF($A349="","",IF(Summary!$R$12="Y",(VLOOKUP($A348,Summary!$AD$6:$AF$9,3)+'Escalating commodity'!H361),'Escalating commodity'!H361))</f>
        <v/>
      </c>
      <c r="AI348" s="207" t="str">
        <f aca="false">IF($A349="","",AH348)</f>
        <v/>
      </c>
      <c r="AJ348" s="208" t="e">
        <f aca="false">A348+DAY(EOMONTH(A348,0))/2-1</f>
        <v>#VALUE!</v>
      </c>
      <c r="AK348" s="209" t="str">
        <f aca="false">IF($A349="","",$A348-$E$1)</f>
        <v/>
      </c>
      <c r="AL348" s="182" t="str">
        <f aca="false">IF($A349="","",SPRDOPT(P348,X348,AI348,0,AB348,AE348,AF348,AK348,$AJ$2,0))</f>
        <v/>
      </c>
      <c r="AM348" s="211" t="str">
        <f aca="false">IF($A349="","",MAX(0,O348-W348-AI348))</f>
        <v/>
      </c>
      <c r="AN348" s="211" t="str">
        <f aca="false">IF($A349="","",AL348-AM348)</f>
        <v/>
      </c>
      <c r="AO348" s="137" t="str">
        <f aca="false">IF(A349="","",A349-A348)</f>
        <v/>
      </c>
      <c r="AP348" s="212" t="str">
        <f aca="false">IF(A349="","",CHOOSE(F$3,A349+24,A348))</f>
        <v/>
      </c>
      <c r="AQ348" s="209" t="str">
        <f aca="false">IF(A349="","",AP348-$E$1)</f>
        <v/>
      </c>
      <c r="AR348" s="185" t="n">
        <f aca="false">'ANR OK vs ML7'!AR348</f>
        <v>0.1</v>
      </c>
      <c r="AS348" s="213" t="str">
        <f aca="false">IF(A349="","",1/(1+CHOOSE(F$3,(AR349+($I$3/10000))/2,(AR348+($I$3/10000))/2))^(2*AQ348/365.25))</f>
        <v/>
      </c>
      <c r="AT348" s="137" t="str">
        <f aca="false">IF(A349="","",IF(AND(mthbeg&lt;=A348,mthend&gt;=A348),1,0))</f>
        <v/>
      </c>
      <c r="AU348" s="137" t="str">
        <f aca="false">IF(A349="","",AO348*AT348)</f>
        <v/>
      </c>
      <c r="AW348" s="195" t="str">
        <f aca="false">IF($A349="","",AL348*$E348)</f>
        <v/>
      </c>
      <c r="AX348" s="195" t="str">
        <f aca="false">IF($A349="","",AM348*$E348)</f>
        <v/>
      </c>
      <c r="AY348" s="195" t="str">
        <f aca="false">IF($A349="","",AN348*$E348)</f>
        <v/>
      </c>
      <c r="BA348" s="195" t="str">
        <f aca="false">IF($A349="","",F348*Summary!$Q$12)</f>
        <v/>
      </c>
    </row>
    <row r="349" customFormat="false" ht="12" hidden="false" customHeight="true" outlineLevel="0" collapsed="false">
      <c r="A349" s="196" t="str">
        <f aca="false">IF(A348&lt;mthend,EDATE(A348,1),"")</f>
        <v/>
      </c>
      <c r="B349" s="197" t="str">
        <f aca="false">IF(A349&lt;mthend,B348,"")</f>
        <v/>
      </c>
      <c r="C349" s="215"/>
      <c r="D349" s="197" t="str">
        <f aca="false">IF(A350&lt;&gt;"",B349+C349,"")</f>
        <v/>
      </c>
      <c r="E349" s="199" t="str">
        <f aca="false">IF(A350="","",IF(AND(AT349=1,$H$3=1),D349*AO349,IF($H$3=2,D349,"N/A")))</f>
        <v/>
      </c>
      <c r="F349" s="199" t="str">
        <f aca="false">IF(A350="","",E349*AS349)</f>
        <v/>
      </c>
      <c r="G349" s="200" t="str">
        <f aca="false">IF($A350="","",VLOOKUP($A349,Table,MATCH(G$4,Curves,0)))</f>
        <v/>
      </c>
      <c r="H349" s="201" t="str">
        <f aca="false">IF(A350="","",G349)</f>
        <v/>
      </c>
      <c r="I349" s="202"/>
      <c r="J349" s="200" t="str">
        <f aca="false">IF($A350="","",VLOOKUP($A349,Table,MATCH(J$4,Curves,0)))</f>
        <v/>
      </c>
      <c r="K349" s="201" t="str">
        <f aca="false">IF(A350="","",J349)</f>
        <v/>
      </c>
      <c r="L349" s="200" t="str">
        <f aca="false">IF($A350="","",VLOOKUP($A349,Table,MATCH(L$4,Curves,0)))</f>
        <v/>
      </c>
      <c r="M349" s="201" t="str">
        <f aca="false">IF(A350="","",L349)</f>
        <v/>
      </c>
      <c r="N349" s="203"/>
      <c r="O349" s="200" t="str">
        <f aca="false">IF(A350="","",L349+J349+G349)</f>
        <v/>
      </c>
      <c r="P349" s="200" t="str">
        <f aca="false">IF(A350="","",M349+K349+H349)</f>
        <v/>
      </c>
      <c r="Q349" s="204"/>
      <c r="R349" s="200" t="str">
        <f aca="false">IF($A350="","",VLOOKUP($A349,Table,MATCH(R$4,Curves,0)))</f>
        <v/>
      </c>
      <c r="S349" s="201" t="str">
        <f aca="false">IF(A350="","",R349)</f>
        <v/>
      </c>
      <c r="T349" s="200" t="str">
        <f aca="false">IF($A350="","",VLOOKUP($A349,Table,MATCH(T$4,Curves,0)))</f>
        <v/>
      </c>
      <c r="U349" s="201" t="str">
        <f aca="false">IF(A350="","",T349)</f>
        <v/>
      </c>
      <c r="V349" s="225" t="str">
        <f aca="false">IF($A350="","",IF(AND(MONTH(A349)&gt;3,MONTH(A349)&lt;11),(T349+R349+G349)*(((1/(1-Summary!$T$12))/(1-Summary!$W$12))-1),(T349+R349+G349)*((1/(1-Summary!$U$12))/(1-Summary!$X$12)-1)))</f>
        <v/>
      </c>
      <c r="W349" s="200" t="str">
        <f aca="false">IF($A350="","",(T349+R349+G349+V349))</f>
        <v/>
      </c>
      <c r="X349" s="200" t="str">
        <f aca="false">IF($A350="","",(U349+S349+H349+V349))</f>
        <v/>
      </c>
      <c r="Y349" s="202"/>
      <c r="Z349" s="185" t="str">
        <f aca="false">IF($A350="","",VLOOKUP($A349,Table,MATCH(Z$4,Curves,0)))</f>
        <v/>
      </c>
      <c r="AA349" s="185" t="str">
        <f aca="false">IF($A350="","",VLOOKUP($A349,Table,MATCH(AA$4,Curves,0)))</f>
        <v/>
      </c>
      <c r="AB349" s="185" t="e">
        <f aca="false">SQRT((AA349^2*(A349-$D$3)+Z349^2*(DAY(EOMONTH(A349,0))/2))/AK349)</f>
        <v>#VALUE!</v>
      </c>
      <c r="AC349" s="185" t="str">
        <f aca="false">IF($A350="","",VLOOKUP($A349,Table,MATCH(AC$4,Curves,0)))</f>
        <v/>
      </c>
      <c r="AD349" s="185" t="str">
        <f aca="false">IF($A350="","",VLOOKUP($A349,Table,MATCH(AD$4,Curves,0)))</f>
        <v/>
      </c>
      <c r="AE349" s="185" t="e">
        <f aca="false">SQRT((AD349^2*(A349-$D$3)+AC349^2*(DAY(EOMONTH(A349,0))/2))/AK349)</f>
        <v>#VALUE!</v>
      </c>
      <c r="AF349" s="206" t="e">
        <f aca="false">((Summary!$N$12*(AA349*AD349)*(A349-$D$3))+(Summary!$M$12*Z349*AC349*(AJ349-EOMONTH(EDATE(A349,-1),0))))/(AK349*AB349*AE349)</f>
        <v>#VALUE!</v>
      </c>
      <c r="AG349" s="207" t="str">
        <f aca="false">IF($A350="","",Summary!$Q$12)</f>
        <v/>
      </c>
      <c r="AH349" s="207" t="str">
        <f aca="false">IF($A350="","",IF(Summary!$R$12="Y",(VLOOKUP($A349,Summary!$AD$6:$AF$9,3)+'Escalating commodity'!H362),'Escalating commodity'!H362))</f>
        <v/>
      </c>
      <c r="AI349" s="207" t="str">
        <f aca="false">IF($A350="","",AH349)</f>
        <v/>
      </c>
      <c r="AJ349" s="208" t="e">
        <f aca="false">A349+DAY(EOMONTH(A349,0))/2-1</f>
        <v>#VALUE!</v>
      </c>
      <c r="AK349" s="209" t="str">
        <f aca="false">IF($A350="","",$A349-$E$1)</f>
        <v/>
      </c>
      <c r="AL349" s="182" t="str">
        <f aca="false">IF($A350="","",SPRDOPT(P349,X349,AI349,0,AB349,AE349,AF349,AK349,$AJ$2,0))</f>
        <v/>
      </c>
      <c r="AM349" s="211" t="str">
        <f aca="false">IF($A350="","",MAX(0,O349-W349-AI349))</f>
        <v/>
      </c>
      <c r="AN349" s="211" t="str">
        <f aca="false">IF($A350="","",AL349-AM349)</f>
        <v/>
      </c>
      <c r="AO349" s="137" t="str">
        <f aca="false">IF(A350="","",A350-A349)</f>
        <v/>
      </c>
      <c r="AP349" s="212" t="str">
        <f aca="false">IF(A350="","",CHOOSE(F$3,A350+24,A349))</f>
        <v/>
      </c>
      <c r="AQ349" s="209" t="str">
        <f aca="false">IF(A350="","",AP349-$E$1)</f>
        <v/>
      </c>
      <c r="AR349" s="185" t="n">
        <f aca="false">'ANR OK vs ML7'!AR349</f>
        <v>0.1</v>
      </c>
      <c r="AS349" s="213" t="str">
        <f aca="false">IF(A350="","",1/(1+CHOOSE(F$3,(AR350+($I$3/10000))/2,(AR349+($I$3/10000))/2))^(2*AQ349/365.25))</f>
        <v/>
      </c>
      <c r="AT349" s="137" t="str">
        <f aca="false">IF(A350="","",IF(AND(mthbeg&lt;=A349,mthend&gt;=A349),1,0))</f>
        <v/>
      </c>
      <c r="AU349" s="137" t="str">
        <f aca="false">IF(A350="","",AO349*AT349)</f>
        <v/>
      </c>
      <c r="AW349" s="195" t="str">
        <f aca="false">IF($A350="","",AL349*$E349)</f>
        <v/>
      </c>
      <c r="AX349" s="195" t="str">
        <f aca="false">IF($A350="","",AM349*$E349)</f>
        <v/>
      </c>
      <c r="AY349" s="195" t="str">
        <f aca="false">IF($A350="","",AN349*$E349)</f>
        <v/>
      </c>
      <c r="BA349" s="195" t="str">
        <f aca="false">IF($A350="","",F349*Summary!$Q$12)</f>
        <v/>
      </c>
    </row>
    <row r="350" customFormat="false" ht="12" hidden="false" customHeight="true" outlineLevel="0" collapsed="false">
      <c r="A350" s="196" t="str">
        <f aca="false">IF(A349&lt;mthend,EDATE(A349,1),"")</f>
        <v/>
      </c>
      <c r="B350" s="197" t="str">
        <f aca="false">IF(A350&lt;mthend,B349,"")</f>
        <v/>
      </c>
      <c r="C350" s="215"/>
      <c r="D350" s="197" t="str">
        <f aca="false">IF(A351&lt;&gt;"",B350+C350,"")</f>
        <v/>
      </c>
      <c r="E350" s="199" t="str">
        <f aca="false">IF(A351="","",IF(AND(AT350=1,$H$3=1),D350*AO350,IF($H$3=2,D350,"N/A")))</f>
        <v/>
      </c>
      <c r="F350" s="199" t="str">
        <f aca="false">IF(A351="","",E350*AS350)</f>
        <v/>
      </c>
      <c r="G350" s="200" t="str">
        <f aca="false">IF($A351="","",VLOOKUP($A350,Table,MATCH(G$4,Curves,0)))</f>
        <v/>
      </c>
      <c r="H350" s="201" t="str">
        <f aca="false">IF(A351="","",G350)</f>
        <v/>
      </c>
      <c r="I350" s="202"/>
      <c r="J350" s="200" t="str">
        <f aca="false">IF($A351="","",VLOOKUP($A350,Table,MATCH(J$4,Curves,0)))</f>
        <v/>
      </c>
      <c r="K350" s="201" t="str">
        <f aca="false">IF(A351="","",J350)</f>
        <v/>
      </c>
      <c r="L350" s="200" t="str">
        <f aca="false">IF($A351="","",VLOOKUP($A350,Table,MATCH(L$4,Curves,0)))</f>
        <v/>
      </c>
      <c r="M350" s="201" t="str">
        <f aca="false">IF(A351="","",L350)</f>
        <v/>
      </c>
      <c r="N350" s="203"/>
      <c r="O350" s="200" t="str">
        <f aca="false">IF(A351="","",L350+J350+G350)</f>
        <v/>
      </c>
      <c r="P350" s="200" t="str">
        <f aca="false">IF(A351="","",M350+K350+H350)</f>
        <v/>
      </c>
      <c r="Q350" s="204"/>
      <c r="R350" s="200" t="str">
        <f aca="false">IF($A351="","",VLOOKUP($A350,Table,MATCH(R$4,Curves,0)))</f>
        <v/>
      </c>
      <c r="S350" s="201" t="str">
        <f aca="false">IF(A351="","",R350)</f>
        <v/>
      </c>
      <c r="T350" s="200" t="str">
        <f aca="false">IF($A351="","",VLOOKUP($A350,Table,MATCH(T$4,Curves,0)))</f>
        <v/>
      </c>
      <c r="U350" s="201" t="str">
        <f aca="false">IF(A351="","",T350)</f>
        <v/>
      </c>
      <c r="V350" s="225" t="str">
        <f aca="false">IF($A351="","",IF(AND(MONTH(A350)&gt;3,MONTH(A350)&lt;11),(T350+R350+G350)*(((1/(1-Summary!$T$12))/(1-Summary!$W$12))-1),(T350+R350+G350)*((1/(1-Summary!$U$12))/(1-Summary!$X$12)-1)))</f>
        <v/>
      </c>
      <c r="W350" s="200" t="str">
        <f aca="false">IF($A351="","",(T350+R350+G350+V350))</f>
        <v/>
      </c>
      <c r="X350" s="200" t="str">
        <f aca="false">IF($A351="","",(U350+S350+H350+V350))</f>
        <v/>
      </c>
      <c r="Y350" s="202"/>
      <c r="Z350" s="185" t="str">
        <f aca="false">IF($A351="","",VLOOKUP($A350,Table,MATCH(Z$4,Curves,0)))</f>
        <v/>
      </c>
      <c r="AA350" s="185" t="str">
        <f aca="false">IF($A351="","",VLOOKUP($A350,Table,MATCH(AA$4,Curves,0)))</f>
        <v/>
      </c>
      <c r="AB350" s="185" t="e">
        <f aca="false">SQRT((AA350^2*(A350-$D$3)+Z350^2*(DAY(EOMONTH(A350,0))/2))/AK350)</f>
        <v>#VALUE!</v>
      </c>
      <c r="AC350" s="185" t="str">
        <f aca="false">IF($A351="","",VLOOKUP($A350,Table,MATCH(AC$4,Curves,0)))</f>
        <v/>
      </c>
      <c r="AD350" s="185" t="str">
        <f aca="false">IF($A351="","",VLOOKUP($A350,Table,MATCH(AD$4,Curves,0)))</f>
        <v/>
      </c>
      <c r="AE350" s="185" t="e">
        <f aca="false">SQRT((AD350^2*(A350-$D$3)+AC350^2*(DAY(EOMONTH(A350,0))/2))/AK350)</f>
        <v>#VALUE!</v>
      </c>
      <c r="AF350" s="206" t="e">
        <f aca="false">((Summary!$N$12*(AA350*AD350)*(A350-$D$3))+(Summary!$M$12*Z350*AC350*(AJ350-EOMONTH(EDATE(A350,-1),0))))/(AK350*AB350*AE350)</f>
        <v>#VALUE!</v>
      </c>
      <c r="AG350" s="207" t="str">
        <f aca="false">IF($A351="","",Summary!$Q$12)</f>
        <v/>
      </c>
      <c r="AH350" s="207" t="str">
        <f aca="false">IF($A351="","",IF(Summary!$R$12="Y",(VLOOKUP($A350,Summary!$AD$6:$AF$9,3)+'Escalating commodity'!H363),'Escalating commodity'!H363))</f>
        <v/>
      </c>
      <c r="AI350" s="207" t="str">
        <f aca="false">IF($A351="","",AH350)</f>
        <v/>
      </c>
      <c r="AJ350" s="208" t="e">
        <f aca="false">A350+DAY(EOMONTH(A350,0))/2-1</f>
        <v>#VALUE!</v>
      </c>
      <c r="AK350" s="209" t="str">
        <f aca="false">IF($A351="","",$A350-$E$1)</f>
        <v/>
      </c>
      <c r="AL350" s="182" t="str">
        <f aca="false">IF($A351="","",SPRDOPT(P350,X350,AI350,0,AB350,AE350,AF350,AK350,$AJ$2,0))</f>
        <v/>
      </c>
      <c r="AM350" s="211" t="str">
        <f aca="false">IF($A351="","",MAX(0,O350-W350-AI350))</f>
        <v/>
      </c>
      <c r="AN350" s="211" t="str">
        <f aca="false">IF($A351="","",AL350-AM350)</f>
        <v/>
      </c>
      <c r="AO350" s="137" t="str">
        <f aca="false">IF(A351="","",A351-A350)</f>
        <v/>
      </c>
      <c r="AP350" s="212" t="str">
        <f aca="false">IF(A351="","",CHOOSE(F$3,A351+24,A350))</f>
        <v/>
      </c>
      <c r="AQ350" s="209" t="str">
        <f aca="false">IF(A351="","",AP350-$E$1)</f>
        <v/>
      </c>
      <c r="AR350" s="185" t="n">
        <f aca="false">'ANR OK vs ML7'!AR350</f>
        <v>0.1</v>
      </c>
      <c r="AS350" s="213" t="str">
        <f aca="false">IF(A351="","",1/(1+CHOOSE(F$3,(AR351+($I$3/10000))/2,(AR350+($I$3/10000))/2))^(2*AQ350/365.25))</f>
        <v/>
      </c>
      <c r="AT350" s="137" t="str">
        <f aca="false">IF(A351="","",IF(AND(mthbeg&lt;=A350,mthend&gt;=A350),1,0))</f>
        <v/>
      </c>
      <c r="AU350" s="137" t="str">
        <f aca="false">IF(A351="","",AO350*AT350)</f>
        <v/>
      </c>
      <c r="AW350" s="195" t="str">
        <f aca="false">IF($A351="","",AL350*$E350)</f>
        <v/>
      </c>
      <c r="AX350" s="195" t="str">
        <f aca="false">IF($A351="","",AM350*$E350)</f>
        <v/>
      </c>
      <c r="AY350" s="195" t="str">
        <f aca="false">IF($A351="","",AN350*$E350)</f>
        <v/>
      </c>
      <c r="BA350" s="195" t="str">
        <f aca="false">IF($A351="","",F350*Summary!$Q$12)</f>
        <v/>
      </c>
    </row>
    <row r="351" customFormat="false" ht="12" hidden="false" customHeight="true" outlineLevel="0" collapsed="false">
      <c r="A351" s="196" t="str">
        <f aca="false">IF(A350&lt;mthend,EDATE(A350,1),"")</f>
        <v/>
      </c>
      <c r="B351" s="197" t="str">
        <f aca="false">IF(A351&lt;mthend,B350,"")</f>
        <v/>
      </c>
      <c r="C351" s="215"/>
      <c r="D351" s="197" t="str">
        <f aca="false">IF(A352&lt;&gt;"",B351+C351,"")</f>
        <v/>
      </c>
      <c r="E351" s="199" t="str">
        <f aca="false">IF(A352="","",IF(AND(AT351=1,$H$3=1),D351*AO351,IF($H$3=2,D351,"N/A")))</f>
        <v/>
      </c>
      <c r="F351" s="199" t="str">
        <f aca="false">IF(A352="","",E351*AS351)</f>
        <v/>
      </c>
      <c r="G351" s="200" t="str">
        <f aca="false">IF($A352="","",VLOOKUP($A351,Table,MATCH(G$4,Curves,0)))</f>
        <v/>
      </c>
      <c r="H351" s="201" t="str">
        <f aca="false">IF(A352="","",G351)</f>
        <v/>
      </c>
      <c r="I351" s="202"/>
      <c r="J351" s="200" t="str">
        <f aca="false">IF($A352="","",VLOOKUP($A351,Table,MATCH(J$4,Curves,0)))</f>
        <v/>
      </c>
      <c r="K351" s="201" t="str">
        <f aca="false">IF(A352="","",J351)</f>
        <v/>
      </c>
      <c r="L351" s="200" t="str">
        <f aca="false">IF($A352="","",VLOOKUP($A351,Table,MATCH(L$4,Curves,0)))</f>
        <v/>
      </c>
      <c r="M351" s="201" t="str">
        <f aca="false">IF(A352="","",L351)</f>
        <v/>
      </c>
      <c r="N351" s="203"/>
      <c r="O351" s="200" t="str">
        <f aca="false">IF(A352="","",L351+J351+G351)</f>
        <v/>
      </c>
      <c r="P351" s="200" t="str">
        <f aca="false">IF(A352="","",M351+K351+H351)</f>
        <v/>
      </c>
      <c r="Q351" s="204"/>
      <c r="R351" s="200" t="str">
        <f aca="false">IF($A352="","",VLOOKUP($A351,Table,MATCH(R$4,Curves,0)))</f>
        <v/>
      </c>
      <c r="S351" s="201" t="str">
        <f aca="false">IF(A352="","",R351)</f>
        <v/>
      </c>
      <c r="T351" s="200" t="str">
        <f aca="false">IF($A352="","",VLOOKUP($A351,Table,MATCH(T$4,Curves,0)))</f>
        <v/>
      </c>
      <c r="U351" s="201" t="str">
        <f aca="false">IF(A352="","",T351)</f>
        <v/>
      </c>
      <c r="V351" s="225" t="str">
        <f aca="false">IF($A352="","",IF(AND(MONTH(A351)&gt;3,MONTH(A351)&lt;11),(T351+R351+G351)*(((1/(1-Summary!$T$12))/(1-Summary!$W$12))-1),(T351+R351+G351)*((1/(1-Summary!$U$12))/(1-Summary!$X$12)-1)))</f>
        <v/>
      </c>
      <c r="W351" s="200" t="str">
        <f aca="false">IF($A352="","",(T351+R351+G351+V351))</f>
        <v/>
      </c>
      <c r="X351" s="200" t="str">
        <f aca="false">IF($A352="","",(U351+S351+H351+V351))</f>
        <v/>
      </c>
      <c r="Y351" s="202"/>
      <c r="Z351" s="185" t="str">
        <f aca="false">IF($A352="","",VLOOKUP($A351,Table,MATCH(Z$4,Curves,0)))</f>
        <v/>
      </c>
      <c r="AA351" s="185" t="str">
        <f aca="false">IF($A352="","",VLOOKUP($A351,Table,MATCH(AA$4,Curves,0)))</f>
        <v/>
      </c>
      <c r="AB351" s="185" t="e">
        <f aca="false">SQRT((AA351^2*(A351-$D$3)+Z351^2*(DAY(EOMONTH(A351,0))/2))/AK351)</f>
        <v>#VALUE!</v>
      </c>
      <c r="AC351" s="185" t="str">
        <f aca="false">IF($A352="","",VLOOKUP($A351,Table,MATCH(AC$4,Curves,0)))</f>
        <v/>
      </c>
      <c r="AD351" s="185" t="str">
        <f aca="false">IF($A352="","",VLOOKUP($A351,Table,MATCH(AD$4,Curves,0)))</f>
        <v/>
      </c>
      <c r="AE351" s="185" t="e">
        <f aca="false">SQRT((AD351^2*(A351-$D$3)+AC351^2*(DAY(EOMONTH(A351,0))/2))/AK351)</f>
        <v>#VALUE!</v>
      </c>
      <c r="AF351" s="206" t="e">
        <f aca="false">((Summary!$N$12*(AA351*AD351)*(A351-$D$3))+(Summary!$M$12*Z351*AC351*(AJ351-EOMONTH(EDATE(A351,-1),0))))/(AK351*AB351*AE351)</f>
        <v>#VALUE!</v>
      </c>
      <c r="AG351" s="207" t="str">
        <f aca="false">IF($A352="","",Summary!$Q$12)</f>
        <v/>
      </c>
      <c r="AH351" s="207" t="str">
        <f aca="false">IF($A352="","",IF(Summary!$R$12="Y",(VLOOKUP($A351,Summary!$AD$6:$AF$9,3)+'Escalating commodity'!H364),'Escalating commodity'!H364))</f>
        <v/>
      </c>
      <c r="AI351" s="207" t="str">
        <f aca="false">IF($A352="","",AH351)</f>
        <v/>
      </c>
      <c r="AJ351" s="208" t="e">
        <f aca="false">A351+DAY(EOMONTH(A351,0))/2-1</f>
        <v>#VALUE!</v>
      </c>
      <c r="AK351" s="209" t="str">
        <f aca="false">IF($A352="","",$A351-$E$1)</f>
        <v/>
      </c>
      <c r="AL351" s="182" t="str">
        <f aca="false">IF($A352="","",SPRDOPT(P351,X351,AI351,0,AB351,AE351,AF351,AK351,$AJ$2,0))</f>
        <v/>
      </c>
      <c r="AM351" s="211" t="str">
        <f aca="false">IF($A352="","",MAX(0,O351-W351-AI351))</f>
        <v/>
      </c>
      <c r="AN351" s="211" t="str">
        <f aca="false">IF($A352="","",AL351-AM351)</f>
        <v/>
      </c>
      <c r="AO351" s="137" t="str">
        <f aca="false">IF(A352="","",A352-A351)</f>
        <v/>
      </c>
      <c r="AP351" s="212" t="str">
        <f aca="false">IF(A352="","",CHOOSE(F$3,A352+24,A351))</f>
        <v/>
      </c>
      <c r="AQ351" s="209" t="str">
        <f aca="false">IF(A352="","",AP351-$E$1)</f>
        <v/>
      </c>
      <c r="AR351" s="185" t="n">
        <f aca="false">'ANR OK vs ML7'!AR351</f>
        <v>0.1</v>
      </c>
      <c r="AS351" s="213" t="str">
        <f aca="false">IF(A352="","",1/(1+CHOOSE(F$3,(AR352+($I$3/10000))/2,(AR351+($I$3/10000))/2))^(2*AQ351/365.25))</f>
        <v/>
      </c>
      <c r="AT351" s="137" t="str">
        <f aca="false">IF(A352="","",IF(AND(mthbeg&lt;=A351,mthend&gt;=A351),1,0))</f>
        <v/>
      </c>
      <c r="AU351" s="137" t="str">
        <f aca="false">IF(A352="","",AO351*AT351)</f>
        <v/>
      </c>
      <c r="AW351" s="195" t="str">
        <f aca="false">IF($A352="","",AL351*$E351)</f>
        <v/>
      </c>
      <c r="AX351" s="195" t="str">
        <f aca="false">IF($A352="","",AM351*$E351)</f>
        <v/>
      </c>
      <c r="AY351" s="195" t="str">
        <f aca="false">IF($A352="","",AN351*$E351)</f>
        <v/>
      </c>
      <c r="BA351" s="195" t="str">
        <f aca="false">IF($A352="","",F351*Summary!$Q$12)</f>
        <v/>
      </c>
    </row>
    <row r="352" customFormat="false" ht="12" hidden="false" customHeight="true" outlineLevel="0" collapsed="false">
      <c r="A352" s="196" t="str">
        <f aca="false">IF(A351&lt;mthend,EDATE(A351,1),"")</f>
        <v/>
      </c>
      <c r="B352" s="197" t="str">
        <f aca="false">IF(A352&lt;mthend,B351,"")</f>
        <v/>
      </c>
      <c r="C352" s="215"/>
      <c r="D352" s="197" t="str">
        <f aca="false">IF(A353&lt;&gt;"",B352+C352,"")</f>
        <v/>
      </c>
      <c r="E352" s="199" t="str">
        <f aca="false">IF(A353="","",IF(AND(AT352=1,$H$3=1),D352*AO352,IF($H$3=2,D352,"N/A")))</f>
        <v/>
      </c>
      <c r="F352" s="199" t="str">
        <f aca="false">IF(A353="","",E352*AS352)</f>
        <v/>
      </c>
      <c r="G352" s="200" t="str">
        <f aca="false">IF($A353="","",VLOOKUP($A352,Table,MATCH(G$4,Curves,0)))</f>
        <v/>
      </c>
      <c r="H352" s="201" t="str">
        <f aca="false">IF(A353="","",G352)</f>
        <v/>
      </c>
      <c r="I352" s="202"/>
      <c r="J352" s="200" t="str">
        <f aca="false">IF($A353="","",VLOOKUP($A352,Table,MATCH(J$4,Curves,0)))</f>
        <v/>
      </c>
      <c r="K352" s="201" t="str">
        <f aca="false">IF(A353="","",J352)</f>
        <v/>
      </c>
      <c r="L352" s="200" t="str">
        <f aca="false">IF($A353="","",VLOOKUP($A352,Table,MATCH(L$4,Curves,0)))</f>
        <v/>
      </c>
      <c r="M352" s="201" t="str">
        <f aca="false">IF(A353="","",L352)</f>
        <v/>
      </c>
      <c r="N352" s="203"/>
      <c r="O352" s="200" t="str">
        <f aca="false">IF(A353="","",L352+J352+G352)</f>
        <v/>
      </c>
      <c r="P352" s="200" t="str">
        <f aca="false">IF(A353="","",M352+K352+H352)</f>
        <v/>
      </c>
      <c r="Q352" s="204"/>
      <c r="R352" s="200" t="str">
        <f aca="false">IF($A353="","",VLOOKUP($A352,Table,MATCH(R$4,Curves,0)))</f>
        <v/>
      </c>
      <c r="S352" s="201" t="str">
        <f aca="false">IF(A353="","",R352)</f>
        <v/>
      </c>
      <c r="T352" s="200" t="str">
        <f aca="false">IF($A353="","",VLOOKUP($A352,Table,MATCH(T$4,Curves,0)))</f>
        <v/>
      </c>
      <c r="U352" s="201" t="str">
        <f aca="false">IF(A353="","",T352)</f>
        <v/>
      </c>
      <c r="V352" s="225" t="str">
        <f aca="false">IF($A353="","",IF(AND(MONTH(A352)&gt;3,MONTH(A352)&lt;11),(T352+R352+G352)*(((1/(1-Summary!$T$12))/(1-Summary!$W$12))-1),(T352+R352+G352)*((1/(1-Summary!$U$12))/(1-Summary!$X$12)-1)))</f>
        <v/>
      </c>
      <c r="W352" s="200" t="str">
        <f aca="false">IF($A353="","",(T352+R352+G352+V352))</f>
        <v/>
      </c>
      <c r="X352" s="200" t="str">
        <f aca="false">IF($A353="","",(U352+S352+H352+V352))</f>
        <v/>
      </c>
      <c r="Y352" s="202"/>
      <c r="Z352" s="185" t="str">
        <f aca="false">IF($A353="","",VLOOKUP($A352,Table,MATCH(Z$4,Curves,0)))</f>
        <v/>
      </c>
      <c r="AA352" s="185" t="str">
        <f aca="false">IF($A353="","",VLOOKUP($A352,Table,MATCH(AA$4,Curves,0)))</f>
        <v/>
      </c>
      <c r="AB352" s="185" t="e">
        <f aca="false">SQRT((AA352^2*(A352-$D$3)+Z352^2*(DAY(EOMONTH(A352,0))/2))/AK352)</f>
        <v>#VALUE!</v>
      </c>
      <c r="AC352" s="185" t="str">
        <f aca="false">IF($A353="","",VLOOKUP($A352,Table,MATCH(AC$4,Curves,0)))</f>
        <v/>
      </c>
      <c r="AD352" s="185" t="str">
        <f aca="false">IF($A353="","",VLOOKUP($A352,Table,MATCH(AD$4,Curves,0)))</f>
        <v/>
      </c>
      <c r="AE352" s="185" t="e">
        <f aca="false">SQRT((AD352^2*(A352-$D$3)+AC352^2*(DAY(EOMONTH(A352,0))/2))/AK352)</f>
        <v>#VALUE!</v>
      </c>
      <c r="AF352" s="206" t="e">
        <f aca="false">((Summary!$N$12*(AA352*AD352)*(A352-$D$3))+(Summary!$M$12*Z352*AC352*(AJ352-EOMONTH(EDATE(A352,-1),0))))/(AK352*AB352*AE352)</f>
        <v>#VALUE!</v>
      </c>
      <c r="AG352" s="207" t="str">
        <f aca="false">IF($A353="","",Summary!$Q$12)</f>
        <v/>
      </c>
      <c r="AH352" s="207" t="str">
        <f aca="false">IF($A353="","",IF(Summary!$R$12="Y",(VLOOKUP($A352,Summary!$AD$6:$AF$9,3)+'Escalating commodity'!H365),'Escalating commodity'!H365))</f>
        <v/>
      </c>
      <c r="AI352" s="207" t="str">
        <f aca="false">IF($A353="","",AH352)</f>
        <v/>
      </c>
      <c r="AJ352" s="208" t="e">
        <f aca="false">A352+DAY(EOMONTH(A352,0))/2-1</f>
        <v>#VALUE!</v>
      </c>
      <c r="AK352" s="209" t="str">
        <f aca="false">IF($A353="","",$A352-$E$1)</f>
        <v/>
      </c>
      <c r="AL352" s="182" t="str">
        <f aca="false">IF($A353="","",SPRDOPT(P352,X352,AI352,0,AB352,AE352,AF352,AK352,$AJ$2,0))</f>
        <v/>
      </c>
      <c r="AM352" s="211" t="str">
        <f aca="false">IF($A353="","",MAX(0,O352-W352-AI352))</f>
        <v/>
      </c>
      <c r="AN352" s="211" t="str">
        <f aca="false">IF($A353="","",AL352-AM352)</f>
        <v/>
      </c>
      <c r="AO352" s="137" t="str">
        <f aca="false">IF(A353="","",A353-A352)</f>
        <v/>
      </c>
      <c r="AP352" s="212" t="str">
        <f aca="false">IF(A353="","",CHOOSE(F$3,A353+24,A352))</f>
        <v/>
      </c>
      <c r="AQ352" s="209" t="str">
        <f aca="false">IF(A353="","",AP352-$E$1)</f>
        <v/>
      </c>
      <c r="AR352" s="185" t="n">
        <f aca="false">'ANR OK vs ML7'!AR352</f>
        <v>0.1</v>
      </c>
      <c r="AS352" s="213" t="str">
        <f aca="false">IF(A353="","",1/(1+CHOOSE(F$3,(AR353+($I$3/10000))/2,(AR352+($I$3/10000))/2))^(2*AQ352/365.25))</f>
        <v/>
      </c>
      <c r="AT352" s="137" t="str">
        <f aca="false">IF(A353="","",IF(AND(mthbeg&lt;=A352,mthend&gt;=A352),1,0))</f>
        <v/>
      </c>
      <c r="AU352" s="137" t="str">
        <f aca="false">IF(A353="","",AO352*AT352)</f>
        <v/>
      </c>
      <c r="AW352" s="195" t="str">
        <f aca="false">IF($A353="","",AL352*$E352)</f>
        <v/>
      </c>
      <c r="AX352" s="195" t="str">
        <f aca="false">IF($A353="","",AM352*$E352)</f>
        <v/>
      </c>
      <c r="AY352" s="195" t="str">
        <f aca="false">IF($A353="","",AN352*$E352)</f>
        <v/>
      </c>
      <c r="BA352" s="195" t="str">
        <f aca="false">IF($A353="","",F352*Summary!$Q$12)</f>
        <v/>
      </c>
    </row>
    <row r="353" customFormat="false" ht="12" hidden="false" customHeight="true" outlineLevel="0" collapsed="false">
      <c r="A353" s="196" t="str">
        <f aca="false">IF(A352&lt;mthend,EDATE(A352,1),"")</f>
        <v/>
      </c>
      <c r="B353" s="197" t="str">
        <f aca="false">IF(A353&lt;mthend,B352,"")</f>
        <v/>
      </c>
      <c r="C353" s="215"/>
      <c r="D353" s="197" t="str">
        <f aca="false">IF(A354&lt;&gt;"",B353+C353,"")</f>
        <v/>
      </c>
      <c r="E353" s="199" t="str">
        <f aca="false">IF(A354="","",IF(AND(AT353=1,$H$3=1),D353*AO353,IF($H$3=2,D353,"N/A")))</f>
        <v/>
      </c>
      <c r="F353" s="199" t="str">
        <f aca="false">IF(A354="","",E353*AS353)</f>
        <v/>
      </c>
      <c r="G353" s="200" t="str">
        <f aca="false">IF($A354="","",VLOOKUP($A353,Table,MATCH(G$4,Curves,0)))</f>
        <v/>
      </c>
      <c r="H353" s="201" t="str">
        <f aca="false">IF(A354="","",G353)</f>
        <v/>
      </c>
      <c r="I353" s="202"/>
      <c r="J353" s="200" t="str">
        <f aca="false">IF($A354="","",VLOOKUP($A353,Table,MATCH(J$4,Curves,0)))</f>
        <v/>
      </c>
      <c r="K353" s="201" t="str">
        <f aca="false">IF(A354="","",J353)</f>
        <v/>
      </c>
      <c r="L353" s="200" t="str">
        <f aca="false">IF($A354="","",VLOOKUP($A353,Table,MATCH(L$4,Curves,0)))</f>
        <v/>
      </c>
      <c r="M353" s="201" t="str">
        <f aca="false">IF(A354="","",L353)</f>
        <v/>
      </c>
      <c r="N353" s="203"/>
      <c r="O353" s="200" t="str">
        <f aca="false">IF(A354="","",L353+J353+G353)</f>
        <v/>
      </c>
      <c r="P353" s="200" t="str">
        <f aca="false">IF(A354="","",M353+K353+H353)</f>
        <v/>
      </c>
      <c r="Q353" s="204"/>
      <c r="R353" s="200" t="str">
        <f aca="false">IF($A354="","",VLOOKUP($A353,Table,MATCH(R$4,Curves,0)))</f>
        <v/>
      </c>
      <c r="S353" s="201" t="str">
        <f aca="false">IF(A354="","",R353)</f>
        <v/>
      </c>
      <c r="T353" s="200" t="str">
        <f aca="false">IF($A354="","",VLOOKUP($A353,Table,MATCH(T$4,Curves,0)))</f>
        <v/>
      </c>
      <c r="U353" s="201" t="str">
        <f aca="false">IF(A354="","",T353)</f>
        <v/>
      </c>
      <c r="V353" s="225" t="str">
        <f aca="false">IF($A354="","",IF(AND(MONTH(A353)&gt;3,MONTH(A353)&lt;11),(T353+R353+G353)*(((1/(1-Summary!$T$12))/(1-Summary!$W$12))-1),(T353+R353+G353)*((1/(1-Summary!$U$12))/(1-Summary!$X$12)-1)))</f>
        <v/>
      </c>
      <c r="W353" s="200" t="str">
        <f aca="false">IF($A354="","",(T353+R353+G353+V353))</f>
        <v/>
      </c>
      <c r="X353" s="200" t="str">
        <f aca="false">IF($A354="","",(U353+S353+H353+V353))</f>
        <v/>
      </c>
      <c r="Y353" s="202"/>
      <c r="Z353" s="185" t="str">
        <f aca="false">IF($A354="","",VLOOKUP($A353,Table,MATCH(Z$4,Curves,0)))</f>
        <v/>
      </c>
      <c r="AA353" s="185" t="str">
        <f aca="false">IF($A354="","",VLOOKUP($A353,Table,MATCH(AA$4,Curves,0)))</f>
        <v/>
      </c>
      <c r="AB353" s="185" t="e">
        <f aca="false">SQRT((AA353^2*(A353-$D$3)+Z353^2*(DAY(EOMONTH(A353,0))/2))/AK353)</f>
        <v>#VALUE!</v>
      </c>
      <c r="AC353" s="185" t="str">
        <f aca="false">IF($A354="","",VLOOKUP($A353,Table,MATCH(AC$4,Curves,0)))</f>
        <v/>
      </c>
      <c r="AD353" s="185" t="str">
        <f aca="false">IF($A354="","",VLOOKUP($A353,Table,MATCH(AD$4,Curves,0)))</f>
        <v/>
      </c>
      <c r="AE353" s="185" t="e">
        <f aca="false">SQRT((AD353^2*(A353-$D$3)+AC353^2*(DAY(EOMONTH(A353,0))/2))/AK353)</f>
        <v>#VALUE!</v>
      </c>
      <c r="AF353" s="206" t="e">
        <f aca="false">((Summary!$N$12*(AA353*AD353)*(A353-$D$3))+(Summary!$M$12*Z353*AC353*(AJ353-EOMONTH(EDATE(A353,-1),0))))/(AK353*AB353*AE353)</f>
        <v>#VALUE!</v>
      </c>
      <c r="AG353" s="207" t="str">
        <f aca="false">IF($A354="","",Summary!$Q$12)</f>
        <v/>
      </c>
      <c r="AH353" s="207" t="str">
        <f aca="false">IF($A354="","",IF(Summary!$R$12="Y",(VLOOKUP($A353,Summary!$AD$6:$AF$9,3)+'Escalating commodity'!H366),'Escalating commodity'!H366))</f>
        <v/>
      </c>
      <c r="AI353" s="207" t="str">
        <f aca="false">IF($A354="","",AH353)</f>
        <v/>
      </c>
      <c r="AJ353" s="208" t="e">
        <f aca="false">A353+DAY(EOMONTH(A353,0))/2-1</f>
        <v>#VALUE!</v>
      </c>
      <c r="AK353" s="209" t="str">
        <f aca="false">IF($A354="","",$A353-$E$1)</f>
        <v/>
      </c>
      <c r="AL353" s="182" t="str">
        <f aca="false">IF($A354="","",SPRDOPT(P353,X353,AI353,0,AB353,AE353,AF353,AK353,$AJ$2,0))</f>
        <v/>
      </c>
      <c r="AM353" s="211" t="str">
        <f aca="false">IF($A354="","",MAX(0,O353-W353-AI353))</f>
        <v/>
      </c>
      <c r="AN353" s="211" t="str">
        <f aca="false">IF($A354="","",AL353-AM353)</f>
        <v/>
      </c>
      <c r="AO353" s="137" t="str">
        <f aca="false">IF(A354="","",A354-A353)</f>
        <v/>
      </c>
      <c r="AP353" s="212" t="str">
        <f aca="false">IF(A354="","",CHOOSE(F$3,A354+24,A353))</f>
        <v/>
      </c>
      <c r="AQ353" s="209" t="str">
        <f aca="false">IF(A354="","",AP353-$E$1)</f>
        <v/>
      </c>
      <c r="AR353" s="185" t="n">
        <f aca="false">'ANR OK vs ML7'!AR353</f>
        <v>0.1</v>
      </c>
      <c r="AS353" s="213" t="str">
        <f aca="false">IF(A354="","",1/(1+CHOOSE(F$3,(AR354+($I$3/10000))/2,(AR353+($I$3/10000))/2))^(2*AQ353/365.25))</f>
        <v/>
      </c>
      <c r="AT353" s="137" t="str">
        <f aca="false">IF(A354="","",IF(AND(mthbeg&lt;=A353,mthend&gt;=A353),1,0))</f>
        <v/>
      </c>
      <c r="AU353" s="137" t="str">
        <f aca="false">IF(A354="","",AO353*AT353)</f>
        <v/>
      </c>
      <c r="AW353" s="195" t="str">
        <f aca="false">IF($A354="","",AL353*$E353)</f>
        <v/>
      </c>
      <c r="AX353" s="195" t="str">
        <f aca="false">IF($A354="","",AM353*$E353)</f>
        <v/>
      </c>
      <c r="AY353" s="195" t="str">
        <f aca="false">IF($A354="","",AN353*$E353)</f>
        <v/>
      </c>
      <c r="BA353" s="195" t="str">
        <f aca="false">IF($A354="","",F353*Summary!$Q$12)</f>
        <v/>
      </c>
    </row>
    <row r="354" customFormat="false" ht="12" hidden="false" customHeight="true" outlineLevel="0" collapsed="false">
      <c r="A354" s="196" t="str">
        <f aca="false">IF(A353&lt;mthend,EDATE(A353,1),"")</f>
        <v/>
      </c>
      <c r="B354" s="197" t="str">
        <f aca="false">IF(A354&lt;mthend,B353,"")</f>
        <v/>
      </c>
      <c r="C354" s="215"/>
      <c r="D354" s="197" t="str">
        <f aca="false">IF(A355&lt;&gt;"",B354+C354,"")</f>
        <v/>
      </c>
      <c r="E354" s="199" t="str">
        <f aca="false">IF(A355="","",IF(AND(AT354=1,$H$3=1),D354*AO354,IF($H$3=2,D354,"N/A")))</f>
        <v/>
      </c>
      <c r="F354" s="199" t="str">
        <f aca="false">IF(A355="","",E354*AS354)</f>
        <v/>
      </c>
      <c r="G354" s="200" t="str">
        <f aca="false">IF($A355="","",VLOOKUP($A354,Table,MATCH(G$4,Curves,0)))</f>
        <v/>
      </c>
      <c r="H354" s="201" t="str">
        <f aca="false">IF(A355="","",G354)</f>
        <v/>
      </c>
      <c r="I354" s="202"/>
      <c r="J354" s="200" t="str">
        <f aca="false">IF($A355="","",VLOOKUP($A354,Table,MATCH(J$4,Curves,0)))</f>
        <v/>
      </c>
      <c r="K354" s="201" t="str">
        <f aca="false">IF(A355="","",J354)</f>
        <v/>
      </c>
      <c r="L354" s="200" t="str">
        <f aca="false">IF($A355="","",VLOOKUP($A354,Table,MATCH(L$4,Curves,0)))</f>
        <v/>
      </c>
      <c r="M354" s="201" t="str">
        <f aca="false">IF(A355="","",L354)</f>
        <v/>
      </c>
      <c r="N354" s="203"/>
      <c r="O354" s="200" t="str">
        <f aca="false">IF(A355="","",L354+J354+G354)</f>
        <v/>
      </c>
      <c r="P354" s="200" t="str">
        <f aca="false">IF(A355="","",M354+K354+H354)</f>
        <v/>
      </c>
      <c r="Q354" s="204"/>
      <c r="R354" s="200" t="str">
        <f aca="false">IF($A355="","",VLOOKUP($A354,Table,MATCH(R$4,Curves,0)))</f>
        <v/>
      </c>
      <c r="S354" s="201" t="str">
        <f aca="false">IF(A355="","",R354)</f>
        <v/>
      </c>
      <c r="T354" s="200" t="str">
        <f aca="false">IF($A355="","",VLOOKUP($A354,Table,MATCH(T$4,Curves,0)))</f>
        <v/>
      </c>
      <c r="U354" s="201" t="str">
        <f aca="false">IF(A355="","",T354)</f>
        <v/>
      </c>
      <c r="V354" s="225" t="str">
        <f aca="false">IF($A355="","",IF(AND(MONTH(A354)&gt;3,MONTH(A354)&lt;11),(T354+R354+G354)*(((1/(1-Summary!$T$12))/(1-Summary!$W$12))-1),(T354+R354+G354)*((1/(1-Summary!$U$12))/(1-Summary!$X$12)-1)))</f>
        <v/>
      </c>
      <c r="W354" s="200" t="str">
        <f aca="false">IF($A355="","",(T354+R354+G354+V354))</f>
        <v/>
      </c>
      <c r="X354" s="200" t="str">
        <f aca="false">IF($A355="","",(U354+S354+H354+V354))</f>
        <v/>
      </c>
      <c r="Y354" s="202"/>
      <c r="Z354" s="185" t="str">
        <f aca="false">IF($A355="","",VLOOKUP($A354,Table,MATCH(Z$4,Curves,0)))</f>
        <v/>
      </c>
      <c r="AA354" s="185" t="str">
        <f aca="false">IF($A355="","",VLOOKUP($A354,Table,MATCH(AA$4,Curves,0)))</f>
        <v/>
      </c>
      <c r="AB354" s="185" t="e">
        <f aca="false">SQRT((AA354^2*(A354-$D$3)+Z354^2*(DAY(EOMONTH(A354,0))/2))/AK354)</f>
        <v>#VALUE!</v>
      </c>
      <c r="AC354" s="185" t="str">
        <f aca="false">IF($A355="","",VLOOKUP($A354,Table,MATCH(AC$4,Curves,0)))</f>
        <v/>
      </c>
      <c r="AD354" s="185" t="str">
        <f aca="false">IF($A355="","",VLOOKUP($A354,Table,MATCH(AD$4,Curves,0)))</f>
        <v/>
      </c>
      <c r="AE354" s="185" t="e">
        <f aca="false">SQRT((AD354^2*(A354-$D$3)+AC354^2*(DAY(EOMONTH(A354,0))/2))/AK354)</f>
        <v>#VALUE!</v>
      </c>
      <c r="AF354" s="206" t="e">
        <f aca="false">((Summary!$N$12*(AA354*AD354)*(A354-$D$3))+(Summary!$M$12*Z354*AC354*(AJ354-EOMONTH(EDATE(A354,-1),0))))/(AK354*AB354*AE354)</f>
        <v>#VALUE!</v>
      </c>
      <c r="AG354" s="207" t="str">
        <f aca="false">IF($A355="","",Summary!$Q$12)</f>
        <v/>
      </c>
      <c r="AH354" s="207" t="str">
        <f aca="false">IF($A355="","",IF(Summary!$R$12="Y",(VLOOKUP($A354,Summary!$AD$6:$AF$9,3)+'Escalating commodity'!H367),'Escalating commodity'!H367))</f>
        <v/>
      </c>
      <c r="AI354" s="207" t="str">
        <f aca="false">IF($A355="","",AH354)</f>
        <v/>
      </c>
      <c r="AJ354" s="208" t="e">
        <f aca="false">A354+DAY(EOMONTH(A354,0))/2-1</f>
        <v>#VALUE!</v>
      </c>
      <c r="AK354" s="209" t="str">
        <f aca="false">IF($A355="","",$A354-$E$1)</f>
        <v/>
      </c>
      <c r="AL354" s="182" t="str">
        <f aca="false">IF($A355="","",SPRDOPT(P354,X354,AI354,0,AB354,AE354,AF354,AK354,$AJ$2,0))</f>
        <v/>
      </c>
      <c r="AM354" s="211" t="str">
        <f aca="false">IF($A355="","",MAX(0,O354-W354-AI354))</f>
        <v/>
      </c>
      <c r="AN354" s="211" t="str">
        <f aca="false">IF($A355="","",AL354-AM354)</f>
        <v/>
      </c>
      <c r="AO354" s="137" t="str">
        <f aca="false">IF(A355="","",A355-A354)</f>
        <v/>
      </c>
      <c r="AP354" s="212" t="str">
        <f aca="false">IF(A355="","",CHOOSE(F$3,A355+24,A354))</f>
        <v/>
      </c>
      <c r="AQ354" s="209" t="str">
        <f aca="false">IF(A355="","",AP354-$E$1)</f>
        <v/>
      </c>
      <c r="AR354" s="185" t="n">
        <f aca="false">'ANR OK vs ML7'!AR354</f>
        <v>0.1</v>
      </c>
      <c r="AS354" s="213" t="str">
        <f aca="false">IF(A355="","",1/(1+CHOOSE(F$3,(AR355+($I$3/10000))/2,(AR354+($I$3/10000))/2))^(2*AQ354/365.25))</f>
        <v/>
      </c>
      <c r="AT354" s="137" t="str">
        <f aca="false">IF(A355="","",IF(AND(mthbeg&lt;=A354,mthend&gt;=A354),1,0))</f>
        <v/>
      </c>
      <c r="AU354" s="137" t="str">
        <f aca="false">IF(A355="","",AO354*AT354)</f>
        <v/>
      </c>
      <c r="AW354" s="195" t="str">
        <f aca="false">IF($A355="","",AL354*$E354)</f>
        <v/>
      </c>
      <c r="AX354" s="195" t="str">
        <f aca="false">IF($A355="","",AM354*$E354)</f>
        <v/>
      </c>
      <c r="AY354" s="195" t="str">
        <f aca="false">IF($A355="","",AN354*$E354)</f>
        <v/>
      </c>
      <c r="BA354" s="195" t="str">
        <f aca="false">IF($A355="","",F354*Summary!$Q$12)</f>
        <v/>
      </c>
    </row>
    <row r="355" customFormat="false" ht="12" hidden="false" customHeight="true" outlineLevel="0" collapsed="false">
      <c r="A355" s="196" t="str">
        <f aca="false">IF(A354&lt;mthend,EDATE(A354,1),"")</f>
        <v/>
      </c>
      <c r="B355" s="197" t="str">
        <f aca="false">IF(A355&lt;mthend,B354,"")</f>
        <v/>
      </c>
      <c r="C355" s="215"/>
      <c r="D355" s="197" t="str">
        <f aca="false">IF(A356&lt;&gt;"",B355+C355,"")</f>
        <v/>
      </c>
      <c r="E355" s="199" t="str">
        <f aca="false">IF(A356="","",IF(AND(AT355=1,$H$3=1),D355*AO355,IF($H$3=2,D355,"N/A")))</f>
        <v/>
      </c>
      <c r="F355" s="199" t="str">
        <f aca="false">IF(A356="","",E355*AS355)</f>
        <v/>
      </c>
      <c r="G355" s="200" t="str">
        <f aca="false">IF($A356="","",VLOOKUP($A355,Table,MATCH(G$4,Curves,0)))</f>
        <v/>
      </c>
      <c r="H355" s="201" t="str">
        <f aca="false">IF(A356="","",G355)</f>
        <v/>
      </c>
      <c r="I355" s="202"/>
      <c r="J355" s="200" t="str">
        <f aca="false">IF($A356="","",VLOOKUP($A355,Table,MATCH(J$4,Curves,0)))</f>
        <v/>
      </c>
      <c r="K355" s="201" t="str">
        <f aca="false">IF(A356="","",J355)</f>
        <v/>
      </c>
      <c r="L355" s="200" t="str">
        <f aca="false">IF($A356="","",VLOOKUP($A355,Table,MATCH(L$4,Curves,0)))</f>
        <v/>
      </c>
      <c r="M355" s="201" t="str">
        <f aca="false">IF(A356="","",L355)</f>
        <v/>
      </c>
      <c r="N355" s="203"/>
      <c r="O355" s="200" t="str">
        <f aca="false">IF(A356="","",L355+J355+G355)</f>
        <v/>
      </c>
      <c r="P355" s="200" t="str">
        <f aca="false">IF(A356="","",M355+K355+H355)</f>
        <v/>
      </c>
      <c r="Q355" s="204"/>
      <c r="R355" s="200" t="str">
        <f aca="false">IF($A356="","",VLOOKUP($A355,Table,MATCH(R$4,Curves,0)))</f>
        <v/>
      </c>
      <c r="S355" s="201" t="str">
        <f aca="false">IF(A356="","",R355)</f>
        <v/>
      </c>
      <c r="T355" s="200" t="str">
        <f aca="false">IF($A356="","",VLOOKUP($A355,Table,MATCH(T$4,Curves,0)))</f>
        <v/>
      </c>
      <c r="U355" s="201" t="str">
        <f aca="false">IF(A356="","",T355)</f>
        <v/>
      </c>
      <c r="V355" s="225" t="str">
        <f aca="false">IF($A356="","",IF(AND(MONTH(A355)&gt;3,MONTH(A355)&lt;11),(T355+R355+G355)*(((1/(1-Summary!$T$12))/(1-Summary!$W$12))-1),(T355+R355+G355)*((1/(1-Summary!$U$12))/(1-Summary!$X$12)-1)))</f>
        <v/>
      </c>
      <c r="W355" s="200" t="str">
        <f aca="false">IF($A356="","",(T355+R355+G355+V355))</f>
        <v/>
      </c>
      <c r="X355" s="200" t="str">
        <f aca="false">IF($A356="","",(U355+S355+H355+V355))</f>
        <v/>
      </c>
      <c r="Y355" s="202"/>
      <c r="Z355" s="185" t="str">
        <f aca="false">IF($A356="","",VLOOKUP($A355,Table,MATCH(Z$4,Curves,0)))</f>
        <v/>
      </c>
      <c r="AA355" s="185" t="str">
        <f aca="false">IF($A356="","",VLOOKUP($A355,Table,MATCH(AA$4,Curves,0)))</f>
        <v/>
      </c>
      <c r="AB355" s="185" t="e">
        <f aca="false">SQRT((AA355^2*(A355-$D$3)+Z355^2*(DAY(EOMONTH(A355,0))/2))/AK355)</f>
        <v>#VALUE!</v>
      </c>
      <c r="AC355" s="185" t="str">
        <f aca="false">IF($A356="","",VLOOKUP($A355,Table,MATCH(AC$4,Curves,0)))</f>
        <v/>
      </c>
      <c r="AD355" s="185" t="str">
        <f aca="false">IF($A356="","",VLOOKUP($A355,Table,MATCH(AD$4,Curves,0)))</f>
        <v/>
      </c>
      <c r="AE355" s="185" t="e">
        <f aca="false">SQRT((AD355^2*(A355-$D$3)+AC355^2*(DAY(EOMONTH(A355,0))/2))/AK355)</f>
        <v>#VALUE!</v>
      </c>
      <c r="AF355" s="206" t="e">
        <f aca="false">((Summary!$N$12*(AA355*AD355)*(A355-$D$3))+(Summary!$M$12*Z355*AC355*(AJ355-EOMONTH(EDATE(A355,-1),0))))/(AK355*AB355*AE355)</f>
        <v>#VALUE!</v>
      </c>
      <c r="AG355" s="207" t="str">
        <f aca="false">IF($A356="","",Summary!$Q$12)</f>
        <v/>
      </c>
      <c r="AH355" s="207" t="str">
        <f aca="false">IF($A356="","",IF(Summary!$R$12="Y",(VLOOKUP($A355,Summary!$AD$6:$AF$9,3)+'Escalating commodity'!H368),'Escalating commodity'!H368))</f>
        <v/>
      </c>
      <c r="AI355" s="207" t="str">
        <f aca="false">IF($A356="","",AH355)</f>
        <v/>
      </c>
      <c r="AJ355" s="208" t="e">
        <f aca="false">A355+DAY(EOMONTH(A355,0))/2-1</f>
        <v>#VALUE!</v>
      </c>
      <c r="AK355" s="209" t="str">
        <f aca="false">IF($A356="","",$A355-$E$1)</f>
        <v/>
      </c>
      <c r="AL355" s="182" t="str">
        <f aca="false">IF($A356="","",SPRDOPT(P355,X355,AI355,0,AB355,AE355,AF355,AK355,$AJ$2,0))</f>
        <v/>
      </c>
      <c r="AM355" s="211" t="str">
        <f aca="false">IF($A356="","",MAX(0,O355-W355-AI355))</f>
        <v/>
      </c>
      <c r="AN355" s="211" t="str">
        <f aca="false">IF($A356="","",AL355-AM355)</f>
        <v/>
      </c>
      <c r="AO355" s="137" t="str">
        <f aca="false">IF(A356="","",A356-A355)</f>
        <v/>
      </c>
      <c r="AP355" s="212" t="str">
        <f aca="false">IF(A356="","",CHOOSE(F$3,A356+24,A355))</f>
        <v/>
      </c>
      <c r="AQ355" s="209" t="str">
        <f aca="false">IF(A356="","",AP355-$E$1)</f>
        <v/>
      </c>
      <c r="AR355" s="185" t="n">
        <f aca="false">'ANR OK vs ML7'!AR355</f>
        <v>0.1</v>
      </c>
      <c r="AS355" s="213" t="str">
        <f aca="false">IF(A356="","",1/(1+CHOOSE(F$3,(AR356+($I$3/10000))/2,(AR355+($I$3/10000))/2))^(2*AQ355/365.25))</f>
        <v/>
      </c>
      <c r="AT355" s="137" t="str">
        <f aca="false">IF(A356="","",IF(AND(mthbeg&lt;=A355,mthend&gt;=A355),1,0))</f>
        <v/>
      </c>
      <c r="AU355" s="137" t="str">
        <f aca="false">IF(A356="","",AO355*AT355)</f>
        <v/>
      </c>
      <c r="AW355" s="195" t="str">
        <f aca="false">IF($A356="","",AL355*$E355)</f>
        <v/>
      </c>
      <c r="AX355" s="195" t="str">
        <f aca="false">IF($A356="","",AM355*$E355)</f>
        <v/>
      </c>
      <c r="AY355" s="195" t="str">
        <f aca="false">IF($A356="","",AN355*$E355)</f>
        <v/>
      </c>
      <c r="BA355" s="195" t="str">
        <f aca="false">IF($A356="","",F355*Summary!$Q$12)</f>
        <v/>
      </c>
    </row>
    <row r="356" customFormat="false" ht="12" hidden="false" customHeight="true" outlineLevel="0" collapsed="false">
      <c r="A356" s="196" t="str">
        <f aca="false">IF(A355&lt;mthend,EDATE(A355,1),"")</f>
        <v/>
      </c>
      <c r="B356" s="197" t="str">
        <f aca="false">IF(A356&lt;mthend,B355,"")</f>
        <v/>
      </c>
      <c r="C356" s="215"/>
      <c r="D356" s="197" t="str">
        <f aca="false">IF(A357&lt;&gt;"",B356+C356,"")</f>
        <v/>
      </c>
      <c r="E356" s="199" t="str">
        <f aca="false">IF(A357="","",IF(AND(AT356=1,$H$3=1),D356*AO356,IF($H$3=2,D356,"N/A")))</f>
        <v/>
      </c>
      <c r="F356" s="199" t="str">
        <f aca="false">IF(A357="","",E356*AS356)</f>
        <v/>
      </c>
      <c r="G356" s="200" t="str">
        <f aca="false">IF($A357="","",VLOOKUP($A356,Table,MATCH(G$4,Curves,0)))</f>
        <v/>
      </c>
      <c r="H356" s="201" t="str">
        <f aca="false">IF(A357="","",G356)</f>
        <v/>
      </c>
      <c r="I356" s="202"/>
      <c r="J356" s="200" t="str">
        <f aca="false">IF($A357="","",VLOOKUP($A356,Table,MATCH(J$4,Curves,0)))</f>
        <v/>
      </c>
      <c r="K356" s="201" t="str">
        <f aca="false">IF(A357="","",J356)</f>
        <v/>
      </c>
      <c r="L356" s="200" t="str">
        <f aca="false">IF($A357="","",VLOOKUP($A356,Table,MATCH(L$4,Curves,0)))</f>
        <v/>
      </c>
      <c r="M356" s="201" t="str">
        <f aca="false">IF(A357="","",L356)</f>
        <v/>
      </c>
      <c r="N356" s="203"/>
      <c r="O356" s="200" t="str">
        <f aca="false">IF(A357="","",L356+J356+G356)</f>
        <v/>
      </c>
      <c r="P356" s="200" t="str">
        <f aca="false">IF(A357="","",M356+K356+H356)</f>
        <v/>
      </c>
      <c r="Q356" s="204"/>
      <c r="R356" s="200" t="str">
        <f aca="false">IF($A357="","",VLOOKUP($A356,Table,MATCH(R$4,Curves,0)))</f>
        <v/>
      </c>
      <c r="S356" s="201" t="str">
        <f aca="false">IF(A357="","",R356)</f>
        <v/>
      </c>
      <c r="T356" s="200" t="str">
        <f aca="false">IF($A357="","",VLOOKUP($A356,Table,MATCH(T$4,Curves,0)))</f>
        <v/>
      </c>
      <c r="U356" s="201" t="str">
        <f aca="false">IF(A357="","",T356)</f>
        <v/>
      </c>
      <c r="V356" s="225" t="str">
        <f aca="false">IF($A357="","",IF(AND(MONTH(A356)&gt;3,MONTH(A356)&lt;11),(T356+R356+G356)*(((1/(1-Summary!$T$12))/(1-Summary!$W$12))-1),(T356+R356+G356)*((1/(1-Summary!$U$12))/(1-Summary!$X$12)-1)))</f>
        <v/>
      </c>
      <c r="W356" s="200" t="str">
        <f aca="false">IF($A357="","",(T356+R356+G356+V356))</f>
        <v/>
      </c>
      <c r="X356" s="200" t="str">
        <f aca="false">IF($A357="","",(U356+S356+H356+V356))</f>
        <v/>
      </c>
      <c r="Y356" s="202"/>
      <c r="Z356" s="185" t="str">
        <f aca="false">IF($A357="","",VLOOKUP($A356,Table,MATCH(Z$4,Curves,0)))</f>
        <v/>
      </c>
      <c r="AA356" s="185" t="str">
        <f aca="false">IF($A357="","",VLOOKUP($A356,Table,MATCH(AA$4,Curves,0)))</f>
        <v/>
      </c>
      <c r="AB356" s="185" t="e">
        <f aca="false">SQRT((AA356^2*(A356-$D$3)+Z356^2*(DAY(EOMONTH(A356,0))/2))/AK356)</f>
        <v>#VALUE!</v>
      </c>
      <c r="AC356" s="185" t="str">
        <f aca="false">IF($A357="","",VLOOKUP($A356,Table,MATCH(AC$4,Curves,0)))</f>
        <v/>
      </c>
      <c r="AD356" s="185" t="str">
        <f aca="false">IF($A357="","",VLOOKUP($A356,Table,MATCH(AD$4,Curves,0)))</f>
        <v/>
      </c>
      <c r="AE356" s="185" t="e">
        <f aca="false">SQRT((AD356^2*(A356-$D$3)+AC356^2*(DAY(EOMONTH(A356,0))/2))/AK356)</f>
        <v>#VALUE!</v>
      </c>
      <c r="AF356" s="206" t="e">
        <f aca="false">((Summary!$N$12*(AA356*AD356)*(A356-$D$3))+(Summary!$M$12*Z356*AC356*(AJ356-EOMONTH(EDATE(A356,-1),0))))/(AK356*AB356*AE356)</f>
        <v>#VALUE!</v>
      </c>
      <c r="AG356" s="207" t="str">
        <f aca="false">IF($A357="","",Summary!$Q$12)</f>
        <v/>
      </c>
      <c r="AH356" s="207" t="str">
        <f aca="false">IF($A357="","",IF(Summary!$R$12="Y",(VLOOKUP($A356,Summary!$AD$6:$AF$9,3)+'Escalating commodity'!H369),'Escalating commodity'!H369))</f>
        <v/>
      </c>
      <c r="AI356" s="207" t="str">
        <f aca="false">IF($A357="","",AH356)</f>
        <v/>
      </c>
      <c r="AJ356" s="208" t="e">
        <f aca="false">A356+DAY(EOMONTH(A356,0))/2-1</f>
        <v>#VALUE!</v>
      </c>
      <c r="AK356" s="209" t="str">
        <f aca="false">IF($A357="","",$A356-$E$1)</f>
        <v/>
      </c>
      <c r="AL356" s="182" t="str">
        <f aca="false">IF($A357="","",SPRDOPT(P356,X356,AI356,0,AB356,AE356,AF356,AK356,$AJ$2,0))</f>
        <v/>
      </c>
      <c r="AM356" s="211" t="str">
        <f aca="false">IF($A357="","",MAX(0,O356-W356-AI356))</f>
        <v/>
      </c>
      <c r="AN356" s="211" t="str">
        <f aca="false">IF($A357="","",AL356-AM356)</f>
        <v/>
      </c>
      <c r="AO356" s="137" t="str">
        <f aca="false">IF(A357="","",A357-A356)</f>
        <v/>
      </c>
      <c r="AP356" s="212" t="str">
        <f aca="false">IF(A357="","",CHOOSE(F$3,A357+24,A356))</f>
        <v/>
      </c>
      <c r="AQ356" s="209" t="str">
        <f aca="false">IF(A357="","",AP356-$E$1)</f>
        <v/>
      </c>
      <c r="AR356" s="185" t="n">
        <f aca="false">'ANR OK vs ML7'!AR356</f>
        <v>0.1</v>
      </c>
      <c r="AS356" s="213" t="str">
        <f aca="false">IF(A357="","",1/(1+CHOOSE(F$3,(AR357+($I$3/10000))/2,(AR356+($I$3/10000))/2))^(2*AQ356/365.25))</f>
        <v/>
      </c>
      <c r="AT356" s="137" t="str">
        <f aca="false">IF(A357="","",IF(AND(mthbeg&lt;=A356,mthend&gt;=A356),1,0))</f>
        <v/>
      </c>
      <c r="AU356" s="137" t="str">
        <f aca="false">IF(A357="","",AO356*AT356)</f>
        <v/>
      </c>
      <c r="AW356" s="195" t="str">
        <f aca="false">IF($A357="","",AL356*$E356)</f>
        <v/>
      </c>
      <c r="AX356" s="195" t="str">
        <f aca="false">IF($A357="","",AM356*$E356)</f>
        <v/>
      </c>
      <c r="AY356" s="195" t="str">
        <f aca="false">IF($A357="","",AN356*$E356)</f>
        <v/>
      </c>
      <c r="BA356" s="195" t="str">
        <f aca="false">IF($A357="","",F356*Summary!$Q$12)</f>
        <v/>
      </c>
    </row>
    <row r="357" customFormat="false" ht="12" hidden="false" customHeight="true" outlineLevel="0" collapsed="false">
      <c r="A357" s="196" t="str">
        <f aca="false">IF(A356&lt;mthend,EDATE(A356,1),"")</f>
        <v/>
      </c>
      <c r="B357" s="197" t="str">
        <f aca="false">IF(A357&lt;mthend,B356,"")</f>
        <v/>
      </c>
      <c r="C357" s="215"/>
      <c r="D357" s="197" t="str">
        <f aca="false">IF(A358&lt;&gt;"",B357+C357,"")</f>
        <v/>
      </c>
      <c r="E357" s="199" t="str">
        <f aca="false">IF(A358="","",IF(AND(AT357=1,$H$3=1),D357*AO357,IF($H$3=2,D357,"N/A")))</f>
        <v/>
      </c>
      <c r="F357" s="199" t="str">
        <f aca="false">IF(A358="","",E357*AS357)</f>
        <v/>
      </c>
      <c r="G357" s="200" t="str">
        <f aca="false">IF($A358="","",VLOOKUP($A357,Table,MATCH(G$4,Curves,0)))</f>
        <v/>
      </c>
      <c r="H357" s="201" t="str">
        <f aca="false">IF(A358="","",G357)</f>
        <v/>
      </c>
      <c r="I357" s="202"/>
      <c r="J357" s="200" t="str">
        <f aca="false">IF($A358="","",VLOOKUP($A357,Table,MATCH(J$4,Curves,0)))</f>
        <v/>
      </c>
      <c r="K357" s="201" t="str">
        <f aca="false">IF(A358="","",J357)</f>
        <v/>
      </c>
      <c r="L357" s="200" t="str">
        <f aca="false">IF($A358="","",VLOOKUP($A357,Table,MATCH(L$4,Curves,0)))</f>
        <v/>
      </c>
      <c r="M357" s="201" t="str">
        <f aca="false">IF(A358="","",L357)</f>
        <v/>
      </c>
      <c r="N357" s="203"/>
      <c r="O357" s="200" t="str">
        <f aca="false">IF(A358="","",L357+J357+G357)</f>
        <v/>
      </c>
      <c r="P357" s="200" t="str">
        <f aca="false">IF(A358="","",M357+K357+H357)</f>
        <v/>
      </c>
      <c r="Q357" s="204"/>
      <c r="R357" s="200" t="str">
        <f aca="false">IF($A358="","",VLOOKUP($A357,Table,MATCH(R$4,Curves,0)))</f>
        <v/>
      </c>
      <c r="S357" s="201" t="str">
        <f aca="false">IF(A358="","",R357)</f>
        <v/>
      </c>
      <c r="T357" s="200" t="str">
        <f aca="false">IF($A358="","",VLOOKUP($A357,Table,MATCH(T$4,Curves,0)))</f>
        <v/>
      </c>
      <c r="U357" s="201" t="str">
        <f aca="false">IF(A358="","",T357)</f>
        <v/>
      </c>
      <c r="V357" s="225" t="str">
        <f aca="false">IF($A358="","",IF(AND(MONTH(A357)&gt;3,MONTH(A357)&lt;11),(T357+R357+G357)*(((1/(1-Summary!$T$12))/(1-Summary!$W$12))-1),(T357+R357+G357)*((1/(1-Summary!$U$12))/(1-Summary!$X$12)-1)))</f>
        <v/>
      </c>
      <c r="W357" s="200" t="str">
        <f aca="false">IF($A358="","",(T357+R357+G357+V357))</f>
        <v/>
      </c>
      <c r="X357" s="200" t="str">
        <f aca="false">IF($A358="","",(U357+S357+H357+V357))</f>
        <v/>
      </c>
      <c r="Y357" s="202"/>
      <c r="Z357" s="185" t="str">
        <f aca="false">IF($A358="","",VLOOKUP($A357,Table,MATCH(Z$4,Curves,0)))</f>
        <v/>
      </c>
      <c r="AA357" s="185" t="str">
        <f aca="false">IF($A358="","",VLOOKUP($A357,Table,MATCH(AA$4,Curves,0)))</f>
        <v/>
      </c>
      <c r="AB357" s="185" t="e">
        <f aca="false">SQRT((AA357^2*(A357-$D$3)+Z357^2*(DAY(EOMONTH(A357,0))/2))/AK357)</f>
        <v>#VALUE!</v>
      </c>
      <c r="AC357" s="185" t="str">
        <f aca="false">IF($A358="","",VLOOKUP($A357,Table,MATCH(AC$4,Curves,0)))</f>
        <v/>
      </c>
      <c r="AD357" s="185" t="str">
        <f aca="false">IF($A358="","",VLOOKUP($A357,Table,MATCH(AD$4,Curves,0)))</f>
        <v/>
      </c>
      <c r="AE357" s="185" t="e">
        <f aca="false">SQRT((AD357^2*(A357-$D$3)+AC357^2*(DAY(EOMONTH(A357,0))/2))/AK357)</f>
        <v>#VALUE!</v>
      </c>
      <c r="AF357" s="206" t="e">
        <f aca="false">((Summary!$N$12*(AA357*AD357)*(A357-$D$3))+(Summary!$M$12*Z357*AC357*(AJ357-EOMONTH(EDATE(A357,-1),0))))/(AK357*AB357*AE357)</f>
        <v>#VALUE!</v>
      </c>
      <c r="AG357" s="207" t="str">
        <f aca="false">IF($A358="","",Summary!$Q$12)</f>
        <v/>
      </c>
      <c r="AH357" s="207" t="str">
        <f aca="false">IF($A358="","",IF(Summary!$R$12="Y",(VLOOKUP($A357,Summary!$AD$6:$AF$9,3)+'Escalating commodity'!H370),'Escalating commodity'!H370))</f>
        <v/>
      </c>
      <c r="AI357" s="207" t="str">
        <f aca="false">IF($A358="","",AH357)</f>
        <v/>
      </c>
      <c r="AJ357" s="208" t="e">
        <f aca="false">A357+DAY(EOMONTH(A357,0))/2-1</f>
        <v>#VALUE!</v>
      </c>
      <c r="AK357" s="209" t="str">
        <f aca="false">IF($A358="","",$A357-$E$1)</f>
        <v/>
      </c>
      <c r="AL357" s="182" t="str">
        <f aca="false">IF($A358="","",SPRDOPT(P357,X357,AI357,0,AB357,AE357,AF357,AK357,$AJ$2,0))</f>
        <v/>
      </c>
      <c r="AM357" s="211" t="str">
        <f aca="false">IF($A358="","",MAX(0,O357-W357-AI357))</f>
        <v/>
      </c>
      <c r="AN357" s="211" t="str">
        <f aca="false">IF($A358="","",AL357-AM357)</f>
        <v/>
      </c>
      <c r="AO357" s="137" t="str">
        <f aca="false">IF(A358="","",A358-A357)</f>
        <v/>
      </c>
      <c r="AP357" s="212" t="str">
        <f aca="false">IF(A358="","",CHOOSE(F$3,A358+24,A357))</f>
        <v/>
      </c>
      <c r="AQ357" s="209" t="str">
        <f aca="false">IF(A358="","",AP357-$E$1)</f>
        <v/>
      </c>
      <c r="AR357" s="185" t="n">
        <f aca="false">'ANR OK vs ML7'!AR357</f>
        <v>0.1</v>
      </c>
      <c r="AS357" s="213" t="str">
        <f aca="false">IF(A358="","",1/(1+CHOOSE(F$3,(AR358+($I$3/10000))/2,(AR357+($I$3/10000))/2))^(2*AQ357/365.25))</f>
        <v/>
      </c>
      <c r="AT357" s="137" t="str">
        <f aca="false">IF(A358="","",IF(AND(mthbeg&lt;=A357,mthend&gt;=A357),1,0))</f>
        <v/>
      </c>
      <c r="AU357" s="137" t="str">
        <f aca="false">IF(A358="","",AO357*AT357)</f>
        <v/>
      </c>
      <c r="AW357" s="195" t="str">
        <f aca="false">IF($A358="","",AL357*$E357)</f>
        <v/>
      </c>
      <c r="AX357" s="195" t="str">
        <f aca="false">IF($A358="","",AM357*$E357)</f>
        <v/>
      </c>
      <c r="AY357" s="195" t="str">
        <f aca="false">IF($A358="","",AN357*$E357)</f>
        <v/>
      </c>
      <c r="BA357" s="195" t="str">
        <f aca="false">IF($A358="","",F357*Summary!$Q$12)</f>
        <v/>
      </c>
    </row>
    <row r="358" customFormat="false" ht="12" hidden="false" customHeight="true" outlineLevel="0" collapsed="false">
      <c r="A358" s="196" t="str">
        <f aca="false">IF(A357&lt;mthend,EDATE(A357,1),"")</f>
        <v/>
      </c>
      <c r="B358" s="197" t="str">
        <f aca="false">IF(A358&lt;mthend,B357,"")</f>
        <v/>
      </c>
      <c r="C358" s="215"/>
      <c r="D358" s="197" t="str">
        <f aca="false">IF(A359&lt;&gt;"",B358+C358,"")</f>
        <v/>
      </c>
      <c r="E358" s="199" t="str">
        <f aca="false">IF(A359="","",IF(AND(AT358=1,$H$3=1),D358*AO358,IF($H$3=2,D358,"N/A")))</f>
        <v/>
      </c>
      <c r="F358" s="199" t="str">
        <f aca="false">IF(A359="","",E358*AS358)</f>
        <v/>
      </c>
      <c r="G358" s="200" t="str">
        <f aca="false">IF($A359="","",VLOOKUP($A358,Table,MATCH(G$4,Curves,0)))</f>
        <v/>
      </c>
      <c r="H358" s="201" t="str">
        <f aca="false">IF(A359="","",G358)</f>
        <v/>
      </c>
      <c r="I358" s="202"/>
      <c r="J358" s="200" t="str">
        <f aca="false">IF($A359="","",VLOOKUP($A358,Table,MATCH(J$4,Curves,0)))</f>
        <v/>
      </c>
      <c r="K358" s="201" t="str">
        <f aca="false">IF(A359="","",J358)</f>
        <v/>
      </c>
      <c r="L358" s="200" t="str">
        <f aca="false">IF($A359="","",VLOOKUP($A358,Table,MATCH(L$4,Curves,0)))</f>
        <v/>
      </c>
      <c r="M358" s="201" t="str">
        <f aca="false">IF(A359="","",L358)</f>
        <v/>
      </c>
      <c r="N358" s="203"/>
      <c r="O358" s="200" t="str">
        <f aca="false">IF(A359="","",L358+J358+G358)</f>
        <v/>
      </c>
      <c r="P358" s="200" t="str">
        <f aca="false">IF(A359="","",M358+K358+H358)</f>
        <v/>
      </c>
      <c r="Q358" s="204"/>
      <c r="R358" s="200" t="str">
        <f aca="false">IF($A359="","",VLOOKUP($A358,Table,MATCH(R$4,Curves,0)))</f>
        <v/>
      </c>
      <c r="S358" s="201" t="str">
        <f aca="false">IF(A359="","",R358)</f>
        <v/>
      </c>
      <c r="T358" s="200" t="str">
        <f aca="false">IF($A359="","",VLOOKUP($A358,Table,MATCH(T$4,Curves,0)))</f>
        <v/>
      </c>
      <c r="U358" s="201" t="str">
        <f aca="false">IF(A359="","",T358)</f>
        <v/>
      </c>
      <c r="V358" s="225" t="str">
        <f aca="false">IF($A359="","",IF(AND(MONTH(A358)&gt;3,MONTH(A358)&lt;11),(T358+R358+G358)*(((1/(1-Summary!$T$12))/(1-Summary!$W$12))-1),(T358+R358+G358)*((1/(1-Summary!$U$12))/(1-Summary!$X$12)-1)))</f>
        <v/>
      </c>
      <c r="W358" s="200" t="str">
        <f aca="false">IF($A359="","",(T358+R358+G358+V358))</f>
        <v/>
      </c>
      <c r="X358" s="200" t="str">
        <f aca="false">IF($A359="","",(U358+S358+H358+V358))</f>
        <v/>
      </c>
      <c r="Y358" s="202"/>
      <c r="Z358" s="185" t="str">
        <f aca="false">IF($A359="","",VLOOKUP($A358,Table,MATCH(Z$4,Curves,0)))</f>
        <v/>
      </c>
      <c r="AA358" s="185" t="str">
        <f aca="false">IF($A359="","",VLOOKUP($A358,Table,MATCH(AA$4,Curves,0)))</f>
        <v/>
      </c>
      <c r="AB358" s="185" t="e">
        <f aca="false">SQRT((AA358^2*(A358-$D$3)+Z358^2*(DAY(EOMONTH(A358,0))/2))/AK358)</f>
        <v>#VALUE!</v>
      </c>
      <c r="AC358" s="185" t="str">
        <f aca="false">IF($A359="","",VLOOKUP($A358,Table,MATCH(AC$4,Curves,0)))</f>
        <v/>
      </c>
      <c r="AD358" s="185" t="str">
        <f aca="false">IF($A359="","",VLOOKUP($A358,Table,MATCH(AD$4,Curves,0)))</f>
        <v/>
      </c>
      <c r="AE358" s="185" t="e">
        <f aca="false">SQRT((AD358^2*(A358-$D$3)+AC358^2*(DAY(EOMONTH(A358,0))/2))/AK358)</f>
        <v>#VALUE!</v>
      </c>
      <c r="AF358" s="206" t="e">
        <f aca="false">((Summary!$N$12*(AA358*AD358)*(A358-$D$3))+(Summary!$M$12*Z358*AC358*(AJ358-EOMONTH(EDATE(A358,-1),0))))/(AK358*AB358*AE358)</f>
        <v>#VALUE!</v>
      </c>
      <c r="AG358" s="207" t="str">
        <f aca="false">IF($A359="","",Summary!$Q$12)</f>
        <v/>
      </c>
      <c r="AH358" s="207" t="str">
        <f aca="false">IF($A359="","",IF(Summary!$R$12="Y",(VLOOKUP($A358,Summary!$AD$6:$AF$9,3)+'Escalating commodity'!H371),'Escalating commodity'!H371))</f>
        <v/>
      </c>
      <c r="AI358" s="207" t="str">
        <f aca="false">IF($A359="","",AH358)</f>
        <v/>
      </c>
      <c r="AJ358" s="208" t="e">
        <f aca="false">A358+DAY(EOMONTH(A358,0))/2-1</f>
        <v>#VALUE!</v>
      </c>
      <c r="AK358" s="209" t="str">
        <f aca="false">IF($A359="","",$A358-$E$1)</f>
        <v/>
      </c>
      <c r="AL358" s="182" t="str">
        <f aca="false">IF($A359="","",SPRDOPT(P358,X358,AI358,0,AB358,AE358,AF358,AK358,$AJ$2,0))</f>
        <v/>
      </c>
      <c r="AM358" s="211" t="str">
        <f aca="false">IF($A359="","",MAX(0,O358-W358-AI358))</f>
        <v/>
      </c>
      <c r="AN358" s="211" t="str">
        <f aca="false">IF($A359="","",AL358-AM358)</f>
        <v/>
      </c>
      <c r="AO358" s="137" t="str">
        <f aca="false">IF(A359="","",A359-A358)</f>
        <v/>
      </c>
      <c r="AP358" s="212" t="str">
        <f aca="false">IF(A359="","",CHOOSE(F$3,A359+24,A358))</f>
        <v/>
      </c>
      <c r="AQ358" s="209" t="str">
        <f aca="false">IF(A359="","",AP358-$E$1)</f>
        <v/>
      </c>
      <c r="AR358" s="185" t="n">
        <f aca="false">'ANR OK vs ML7'!AR358</f>
        <v>0.1</v>
      </c>
      <c r="AS358" s="213" t="str">
        <f aca="false">IF(A359="","",1/(1+CHOOSE(F$3,(AR359+($I$3/10000))/2,(AR358+($I$3/10000))/2))^(2*AQ358/365.25))</f>
        <v/>
      </c>
      <c r="AT358" s="137" t="str">
        <f aca="false">IF(A359="","",IF(AND(mthbeg&lt;=A358,mthend&gt;=A358),1,0))</f>
        <v/>
      </c>
      <c r="AU358" s="137" t="str">
        <f aca="false">IF(A359="","",AO358*AT358)</f>
        <v/>
      </c>
      <c r="AW358" s="195" t="str">
        <f aca="false">IF($A359="","",AL358*$E358)</f>
        <v/>
      </c>
      <c r="AX358" s="195" t="str">
        <f aca="false">IF($A359="","",AM358*$E358)</f>
        <v/>
      </c>
      <c r="AY358" s="195" t="str">
        <f aca="false">IF($A359="","",AN358*$E358)</f>
        <v/>
      </c>
      <c r="BA358" s="195" t="str">
        <f aca="false">IF($A359="","",F358*Summary!$Q$12)</f>
        <v/>
      </c>
    </row>
    <row r="359" customFormat="false" ht="12" hidden="false" customHeight="true" outlineLevel="0" collapsed="false">
      <c r="A359" s="196" t="str">
        <f aca="false">IF(A358&lt;mthend,EDATE(A358,1),"")</f>
        <v/>
      </c>
      <c r="B359" s="197" t="str">
        <f aca="false">IF(A359&lt;mthend,B358,"")</f>
        <v/>
      </c>
      <c r="C359" s="215"/>
      <c r="D359" s="197" t="str">
        <f aca="false">IF(A360&lt;&gt;"",B359+C359,"")</f>
        <v/>
      </c>
      <c r="E359" s="199" t="str">
        <f aca="false">IF(A360="","",IF(AND(AT359=1,$H$3=1),D359*AO359,IF($H$3=2,D359,"N/A")))</f>
        <v/>
      </c>
      <c r="F359" s="199" t="str">
        <f aca="false">IF(A360="","",E359*AS359)</f>
        <v/>
      </c>
      <c r="G359" s="200" t="str">
        <f aca="false">IF($A360="","",VLOOKUP($A359,Table,MATCH(G$4,Curves,0)))</f>
        <v/>
      </c>
      <c r="H359" s="201" t="str">
        <f aca="false">IF(A360="","",G359)</f>
        <v/>
      </c>
      <c r="I359" s="202"/>
      <c r="J359" s="200" t="str">
        <f aca="false">IF($A360="","",VLOOKUP($A359,Table,MATCH(J$4,Curves,0)))</f>
        <v/>
      </c>
      <c r="K359" s="201" t="str">
        <f aca="false">IF(A360="","",J359)</f>
        <v/>
      </c>
      <c r="L359" s="200" t="str">
        <f aca="false">IF($A360="","",VLOOKUP($A359,Table,MATCH(L$4,Curves,0)))</f>
        <v/>
      </c>
      <c r="M359" s="201" t="str">
        <f aca="false">IF(A360="","",L359)</f>
        <v/>
      </c>
      <c r="N359" s="203"/>
      <c r="O359" s="200" t="str">
        <f aca="false">IF(A360="","",L359+J359+G359)</f>
        <v/>
      </c>
      <c r="P359" s="200" t="str">
        <f aca="false">IF(A360="","",M359+K359+H359)</f>
        <v/>
      </c>
      <c r="Q359" s="204"/>
      <c r="R359" s="200" t="str">
        <f aca="false">IF($A360="","",VLOOKUP($A359,Table,MATCH(R$4,Curves,0)))</f>
        <v/>
      </c>
      <c r="S359" s="201" t="str">
        <f aca="false">IF(A360="","",R359)</f>
        <v/>
      </c>
      <c r="T359" s="200" t="str">
        <f aca="false">IF($A360="","",VLOOKUP($A359,Table,MATCH(T$4,Curves,0)))</f>
        <v/>
      </c>
      <c r="U359" s="201" t="str">
        <f aca="false">IF(A360="","",T359)</f>
        <v/>
      </c>
      <c r="V359" s="225" t="str">
        <f aca="false">IF($A360="","",IF(AND(MONTH(A359)&gt;3,MONTH(A359)&lt;11),(T359+R359+G359)*(((1/(1-Summary!$T$12))/(1-Summary!$W$12))-1),(T359+R359+G359)*((1/(1-Summary!$U$12))/(1-Summary!$X$12)-1)))</f>
        <v/>
      </c>
      <c r="W359" s="200" t="str">
        <f aca="false">IF($A360="","",(T359+R359+G359+V359))</f>
        <v/>
      </c>
      <c r="X359" s="200" t="str">
        <f aca="false">IF($A360="","",(U359+S359+H359+V359))</f>
        <v/>
      </c>
      <c r="Y359" s="202"/>
      <c r="Z359" s="185" t="str">
        <f aca="false">IF($A360="","",VLOOKUP($A359,Table,MATCH(Z$4,Curves,0)))</f>
        <v/>
      </c>
      <c r="AA359" s="185" t="str">
        <f aca="false">IF($A360="","",VLOOKUP($A359,Table,MATCH(AA$4,Curves,0)))</f>
        <v/>
      </c>
      <c r="AB359" s="185" t="e">
        <f aca="false">SQRT((AA359^2*(A359-$D$3)+Z359^2*(DAY(EOMONTH(A359,0))/2))/AK359)</f>
        <v>#VALUE!</v>
      </c>
      <c r="AC359" s="185" t="str">
        <f aca="false">IF($A360="","",VLOOKUP($A359,Table,MATCH(AC$4,Curves,0)))</f>
        <v/>
      </c>
      <c r="AD359" s="185" t="str">
        <f aca="false">IF($A360="","",VLOOKUP($A359,Table,MATCH(AD$4,Curves,0)))</f>
        <v/>
      </c>
      <c r="AE359" s="185" t="e">
        <f aca="false">SQRT((AD359^2*(A359-$D$3)+AC359^2*(DAY(EOMONTH(A359,0))/2))/AK359)</f>
        <v>#VALUE!</v>
      </c>
      <c r="AF359" s="206" t="e">
        <f aca="false">((Summary!$N$12*(AA359*AD359)*(A359-$D$3))+(Summary!$M$12*Z359*AC359*(AJ359-EOMONTH(EDATE(A359,-1),0))))/(AK359*AB359*AE359)</f>
        <v>#VALUE!</v>
      </c>
      <c r="AG359" s="207" t="str">
        <f aca="false">IF($A360="","",Summary!$Q$12)</f>
        <v/>
      </c>
      <c r="AH359" s="207" t="str">
        <f aca="false">IF($A360="","",IF(Summary!$R$12="Y",(VLOOKUP($A359,Summary!$AD$6:$AF$9,3)+'Escalating commodity'!H372),'Escalating commodity'!H372))</f>
        <v/>
      </c>
      <c r="AI359" s="207" t="str">
        <f aca="false">IF($A360="","",AH359)</f>
        <v/>
      </c>
      <c r="AJ359" s="208" t="e">
        <f aca="false">A359+DAY(EOMONTH(A359,0))/2-1</f>
        <v>#VALUE!</v>
      </c>
      <c r="AK359" s="209" t="str">
        <f aca="false">IF($A360="","",$A359-$E$1)</f>
        <v/>
      </c>
      <c r="AL359" s="182" t="str">
        <f aca="false">IF($A360="","",SPRDOPT(P359,X359,AI359,0,AB359,AE359,AF359,AK359,$AJ$2,0))</f>
        <v/>
      </c>
      <c r="AM359" s="211" t="str">
        <f aca="false">IF($A360="","",MAX(0,O359-W359-AI359))</f>
        <v/>
      </c>
      <c r="AN359" s="211" t="str">
        <f aca="false">IF($A360="","",AL359-AM359)</f>
        <v/>
      </c>
      <c r="AO359" s="137" t="str">
        <f aca="false">IF(A360="","",A360-A359)</f>
        <v/>
      </c>
      <c r="AP359" s="212" t="str">
        <f aca="false">IF(A360="","",CHOOSE(F$3,A360+24,A359))</f>
        <v/>
      </c>
      <c r="AQ359" s="209" t="str">
        <f aca="false">IF(A360="","",AP359-$E$1)</f>
        <v/>
      </c>
      <c r="AR359" s="185" t="n">
        <f aca="false">'ANR OK vs ML7'!AR359</f>
        <v>0.1</v>
      </c>
      <c r="AS359" s="213" t="str">
        <f aca="false">IF(A360="","",1/(1+CHOOSE(F$3,(AR360+($I$3/10000))/2,(AR359+($I$3/10000))/2))^(2*AQ359/365.25))</f>
        <v/>
      </c>
      <c r="AT359" s="137" t="str">
        <f aca="false">IF(A360="","",IF(AND(mthbeg&lt;=A359,mthend&gt;=A359),1,0))</f>
        <v/>
      </c>
      <c r="AU359" s="137" t="str">
        <f aca="false">IF(A360="","",AO359*AT359)</f>
        <v/>
      </c>
      <c r="AW359" s="195" t="str">
        <f aca="false">IF($A360="","",AL359*$E359)</f>
        <v/>
      </c>
      <c r="AX359" s="195" t="str">
        <f aca="false">IF($A360="","",AM359*$E359)</f>
        <v/>
      </c>
      <c r="AY359" s="195" t="str">
        <f aca="false">IF($A360="","",AN359*$E359)</f>
        <v/>
      </c>
      <c r="BA359" s="195" t="str">
        <f aca="false">IF($A360="","",F359*Summary!$Q$12)</f>
        <v/>
      </c>
    </row>
    <row r="360" customFormat="false" ht="12" hidden="false" customHeight="true" outlineLevel="0" collapsed="false">
      <c r="A360" s="196" t="str">
        <f aca="false">IF(A359&lt;mthend,EDATE(A359,1),"")</f>
        <v/>
      </c>
      <c r="B360" s="197" t="str">
        <f aca="false">IF(A360&lt;mthend,B359,"")</f>
        <v/>
      </c>
      <c r="C360" s="215"/>
      <c r="D360" s="197" t="str">
        <f aca="false">IF(A361&lt;&gt;"",B360+C360,"")</f>
        <v/>
      </c>
      <c r="E360" s="199" t="str">
        <f aca="false">IF(A361="","",IF(AND(AT360=1,$H$3=1),D360*AO360,IF($H$3=2,D360,"N/A")))</f>
        <v/>
      </c>
      <c r="F360" s="199" t="str">
        <f aca="false">IF(A361="","",E360*AS360)</f>
        <v/>
      </c>
      <c r="G360" s="200" t="str">
        <f aca="false">IF($A361="","",VLOOKUP($A360,Table,MATCH(G$4,Curves,0)))</f>
        <v/>
      </c>
      <c r="H360" s="201" t="str">
        <f aca="false">IF(A361="","",G360)</f>
        <v/>
      </c>
      <c r="I360" s="202"/>
      <c r="J360" s="200" t="str">
        <f aca="false">IF($A361="","",VLOOKUP($A360,Table,MATCH(J$4,Curves,0)))</f>
        <v/>
      </c>
      <c r="K360" s="201" t="str">
        <f aca="false">IF(A361="","",J360)</f>
        <v/>
      </c>
      <c r="L360" s="200" t="str">
        <f aca="false">IF($A361="","",VLOOKUP($A360,Table,MATCH(L$4,Curves,0)))</f>
        <v/>
      </c>
      <c r="M360" s="201" t="str">
        <f aca="false">IF(A361="","",L360)</f>
        <v/>
      </c>
      <c r="N360" s="203"/>
      <c r="O360" s="200" t="str">
        <f aca="false">IF(A361="","",L360+J360+G360)</f>
        <v/>
      </c>
      <c r="P360" s="200" t="str">
        <f aca="false">IF(A361="","",M360+K360+H360)</f>
        <v/>
      </c>
      <c r="Q360" s="204"/>
      <c r="R360" s="200" t="str">
        <f aca="false">IF($A361="","",VLOOKUP($A360,Table,MATCH(R$4,Curves,0)))</f>
        <v/>
      </c>
      <c r="S360" s="201" t="str">
        <f aca="false">IF(A361="","",R360)</f>
        <v/>
      </c>
      <c r="T360" s="200" t="str">
        <f aca="false">IF($A361="","",VLOOKUP($A360,Table,MATCH(T$4,Curves,0)))</f>
        <v/>
      </c>
      <c r="U360" s="201" t="str">
        <f aca="false">IF(A361="","",T360)</f>
        <v/>
      </c>
      <c r="V360" s="225" t="str">
        <f aca="false">IF($A361="","",IF(AND(MONTH(A360)&gt;3,MONTH(A360)&lt;11),(T360+R360+G360)*(((1/(1-Summary!$T$12))/(1-Summary!$W$12))-1),(T360+R360+G360)*((1/(1-Summary!$U$12))/(1-Summary!$X$12)-1)))</f>
        <v/>
      </c>
      <c r="W360" s="200" t="str">
        <f aca="false">IF($A361="","",(T360+R360+G360+V360))</f>
        <v/>
      </c>
      <c r="X360" s="200" t="str">
        <f aca="false">IF($A361="","",(U360+S360+H360+V360))</f>
        <v/>
      </c>
      <c r="Y360" s="202"/>
      <c r="Z360" s="185" t="str">
        <f aca="false">IF($A361="","",VLOOKUP($A360,Table,MATCH(Z$4,Curves,0)))</f>
        <v/>
      </c>
      <c r="AA360" s="185" t="str">
        <f aca="false">IF($A361="","",VLOOKUP($A360,Table,MATCH(AA$4,Curves,0)))</f>
        <v/>
      </c>
      <c r="AB360" s="185" t="e">
        <f aca="false">SQRT((AA360^2*(A360-$D$3)+Z360^2*(DAY(EOMONTH(A360,0))/2))/AK360)</f>
        <v>#VALUE!</v>
      </c>
      <c r="AC360" s="185" t="str">
        <f aca="false">IF($A361="","",VLOOKUP($A360,Table,MATCH(AC$4,Curves,0)))</f>
        <v/>
      </c>
      <c r="AD360" s="185" t="str">
        <f aca="false">IF($A361="","",VLOOKUP($A360,Table,MATCH(AD$4,Curves,0)))</f>
        <v/>
      </c>
      <c r="AE360" s="185" t="e">
        <f aca="false">SQRT((AD360^2*(A360-$D$3)+AC360^2*(DAY(EOMONTH(A360,0))/2))/AK360)</f>
        <v>#VALUE!</v>
      </c>
      <c r="AF360" s="206" t="e">
        <f aca="false">((Summary!$N$12*(AA360*AD360)*(A360-$D$3))+(Summary!$M$12*Z360*AC360*(AJ360-EOMONTH(EDATE(A360,-1),0))))/(AK360*AB360*AE360)</f>
        <v>#VALUE!</v>
      </c>
      <c r="AG360" s="207" t="str">
        <f aca="false">IF($A361="","",Summary!$Q$12)</f>
        <v/>
      </c>
      <c r="AH360" s="207" t="str">
        <f aca="false">IF($A361="","",IF(Summary!$R$12="Y",(VLOOKUP($A360,Summary!$AD$6:$AF$9,3)+'Escalating commodity'!H373),'Escalating commodity'!H373))</f>
        <v/>
      </c>
      <c r="AI360" s="207" t="str">
        <f aca="false">IF($A361="","",AH360)</f>
        <v/>
      </c>
      <c r="AJ360" s="208" t="e">
        <f aca="false">A360+DAY(EOMONTH(A360,0))/2-1</f>
        <v>#VALUE!</v>
      </c>
      <c r="AK360" s="209" t="str">
        <f aca="false">IF($A361="","",$A360-$E$1)</f>
        <v/>
      </c>
      <c r="AL360" s="182" t="str">
        <f aca="false">IF($A361="","",SPRDOPT(P360,X360,AI360,0,AB360,AE360,AF360,AK360,$AJ$2,0))</f>
        <v/>
      </c>
      <c r="AM360" s="211" t="str">
        <f aca="false">IF($A361="","",MAX(0,O360-W360-AI360))</f>
        <v/>
      </c>
      <c r="AN360" s="211" t="str">
        <f aca="false">IF($A361="","",AL360-AM360)</f>
        <v/>
      </c>
      <c r="AO360" s="137" t="str">
        <f aca="false">IF(A361="","",A361-A360)</f>
        <v/>
      </c>
      <c r="AP360" s="212" t="str">
        <f aca="false">IF(A361="","",CHOOSE(F$3,A361+24,A360))</f>
        <v/>
      </c>
      <c r="AQ360" s="209" t="str">
        <f aca="false">IF(A361="","",AP360-$E$1)</f>
        <v/>
      </c>
      <c r="AR360" s="185" t="n">
        <f aca="false">'ANR OK vs ML7'!AR360</f>
        <v>0.1</v>
      </c>
      <c r="AS360" s="213" t="str">
        <f aca="false">IF(A361="","",1/(1+CHOOSE(F$3,(AR361+($I$3/10000))/2,(AR360+($I$3/10000))/2))^(2*AQ360/365.25))</f>
        <v/>
      </c>
      <c r="AT360" s="137" t="str">
        <f aca="false">IF(A361="","",IF(AND(mthbeg&lt;=A360,mthend&gt;=A360),1,0))</f>
        <v/>
      </c>
      <c r="AU360" s="137" t="str">
        <f aca="false">IF(A361="","",AO360*AT360)</f>
        <v/>
      </c>
      <c r="AW360" s="195" t="str">
        <f aca="false">IF($A361="","",AL360*$E360)</f>
        <v/>
      </c>
      <c r="AX360" s="195" t="str">
        <f aca="false">IF($A361="","",AM360*$E360)</f>
        <v/>
      </c>
      <c r="AY360" s="195" t="str">
        <f aca="false">IF($A361="","",AN360*$E360)</f>
        <v/>
      </c>
      <c r="BA360" s="195" t="str">
        <f aca="false">IF($A361="","",F360*Summary!$Q$12)</f>
        <v/>
      </c>
    </row>
    <row r="361" customFormat="false" ht="12" hidden="false" customHeight="true" outlineLevel="0" collapsed="false">
      <c r="A361" s="196" t="str">
        <f aca="false">IF(A360&lt;mthend,EDATE(A360,1),"")</f>
        <v/>
      </c>
      <c r="B361" s="197" t="str">
        <f aca="false">IF(A361&lt;mthend,B360,"")</f>
        <v/>
      </c>
      <c r="C361" s="215"/>
      <c r="D361" s="197" t="str">
        <f aca="false">IF(A362&lt;&gt;"",B361+C361,"")</f>
        <v/>
      </c>
      <c r="E361" s="199" t="str">
        <f aca="false">IF(A362="","",IF(AND(AT361=1,$H$3=1),D361*AO361,IF($H$3=2,D361,"N/A")))</f>
        <v/>
      </c>
      <c r="F361" s="199" t="str">
        <f aca="false">IF(A362="","",E361*AS361)</f>
        <v/>
      </c>
      <c r="G361" s="200" t="str">
        <f aca="false">IF($A362="","",VLOOKUP($A361,Table,MATCH(G$4,Curves,0)))</f>
        <v/>
      </c>
      <c r="H361" s="201" t="str">
        <f aca="false">IF(A362="","",G361)</f>
        <v/>
      </c>
      <c r="I361" s="202"/>
      <c r="J361" s="200" t="str">
        <f aca="false">IF($A362="","",VLOOKUP($A361,Table,MATCH(J$4,Curves,0)))</f>
        <v/>
      </c>
      <c r="K361" s="201" t="str">
        <f aca="false">IF(A362="","",J361)</f>
        <v/>
      </c>
      <c r="L361" s="200" t="str">
        <f aca="false">IF($A362="","",VLOOKUP($A361,Table,MATCH(L$4,Curves,0)))</f>
        <v/>
      </c>
      <c r="M361" s="201" t="str">
        <f aca="false">IF(A362="","",L361)</f>
        <v/>
      </c>
      <c r="N361" s="203"/>
      <c r="O361" s="200" t="str">
        <f aca="false">IF(A362="","",L361+J361+G361)</f>
        <v/>
      </c>
      <c r="P361" s="200" t="str">
        <f aca="false">IF(A362="","",M361+K361+H361)</f>
        <v/>
      </c>
      <c r="Q361" s="204"/>
      <c r="R361" s="200" t="str">
        <f aca="false">IF($A362="","",VLOOKUP($A361,Table,MATCH(R$4,Curves,0)))</f>
        <v/>
      </c>
      <c r="S361" s="201" t="str">
        <f aca="false">IF(A362="","",R361)</f>
        <v/>
      </c>
      <c r="T361" s="200" t="str">
        <f aca="false">IF($A362="","",VLOOKUP($A361,Table,MATCH(T$4,Curves,0)))</f>
        <v/>
      </c>
      <c r="U361" s="201" t="str">
        <f aca="false">IF(A362="","",T361)</f>
        <v/>
      </c>
      <c r="V361" s="225" t="str">
        <f aca="false">IF($A362="","",IF(AND(MONTH(A361)&gt;3,MONTH(A361)&lt;11),(T361+R361+G361)*(((1/(1-Summary!$T$12))/(1-Summary!$W$12))-1),(T361+R361+G361)*((1/(1-Summary!$U$12))/(1-Summary!$X$12)-1)))</f>
        <v/>
      </c>
      <c r="W361" s="200" t="str">
        <f aca="false">IF($A362="","",(T361+R361+G361+V361))</f>
        <v/>
      </c>
      <c r="X361" s="200" t="str">
        <f aca="false">IF($A362="","",(U361+S361+H361+V361))</f>
        <v/>
      </c>
      <c r="Y361" s="202"/>
      <c r="Z361" s="185" t="str">
        <f aca="false">IF($A362="","",VLOOKUP($A361,Table,MATCH(Z$4,Curves,0)))</f>
        <v/>
      </c>
      <c r="AA361" s="185" t="str">
        <f aca="false">IF($A362="","",VLOOKUP($A361,Table,MATCH(AA$4,Curves,0)))</f>
        <v/>
      </c>
      <c r="AB361" s="185" t="e">
        <f aca="false">SQRT((AA361^2*(A361-$D$3)+Z361^2*(DAY(EOMONTH(A361,0))/2))/AK361)</f>
        <v>#VALUE!</v>
      </c>
      <c r="AC361" s="185" t="str">
        <f aca="false">IF($A362="","",VLOOKUP($A361,Table,MATCH(AC$4,Curves,0)))</f>
        <v/>
      </c>
      <c r="AD361" s="185" t="str">
        <f aca="false">IF($A362="","",VLOOKUP($A361,Table,MATCH(AD$4,Curves,0)))</f>
        <v/>
      </c>
      <c r="AE361" s="185" t="e">
        <f aca="false">SQRT((AD361^2*(A361-$D$3)+AC361^2*(DAY(EOMONTH(A361,0))/2))/AK361)</f>
        <v>#VALUE!</v>
      </c>
      <c r="AF361" s="206" t="e">
        <f aca="false">((Summary!$N$12*(AA361*AD361)*(A361-$D$3))+(Summary!$M$12*Z361*AC361*(AJ361-EOMONTH(EDATE(A361,-1),0))))/(AK361*AB361*AE361)</f>
        <v>#VALUE!</v>
      </c>
      <c r="AG361" s="207" t="str">
        <f aca="false">IF($A362="","",Summary!$Q$12)</f>
        <v/>
      </c>
      <c r="AH361" s="207" t="str">
        <f aca="false">IF($A362="","",IF(Summary!$R$12="Y",(VLOOKUP($A361,Summary!$AD$6:$AF$9,3)+'Escalating commodity'!H374),'Escalating commodity'!H374))</f>
        <v/>
      </c>
      <c r="AI361" s="207" t="str">
        <f aca="false">IF($A362="","",AH361)</f>
        <v/>
      </c>
      <c r="AJ361" s="208" t="e">
        <f aca="false">A361+DAY(EOMONTH(A361,0))/2-1</f>
        <v>#VALUE!</v>
      </c>
      <c r="AK361" s="209" t="str">
        <f aca="false">IF($A362="","",$A361-$E$1)</f>
        <v/>
      </c>
      <c r="AL361" s="182" t="str">
        <f aca="false">IF($A362="","",SPRDOPT(P361,X361,AI361,0,AB361,AE361,AF361,AK361,$AJ$2,0))</f>
        <v/>
      </c>
      <c r="AM361" s="211" t="str">
        <f aca="false">IF($A362="","",MAX(0,O361-W361-AI361))</f>
        <v/>
      </c>
      <c r="AN361" s="211" t="str">
        <f aca="false">IF($A362="","",AL361-AM361)</f>
        <v/>
      </c>
      <c r="AO361" s="137" t="str">
        <f aca="false">IF(A362="","",A362-A361)</f>
        <v/>
      </c>
      <c r="AP361" s="212" t="str">
        <f aca="false">IF(A362="","",CHOOSE(F$3,A362+24,A361))</f>
        <v/>
      </c>
      <c r="AQ361" s="209" t="str">
        <f aca="false">IF(A362="","",AP361-$E$1)</f>
        <v/>
      </c>
      <c r="AR361" s="185" t="n">
        <f aca="false">'ANR OK vs ML7'!AR361</f>
        <v>0.1</v>
      </c>
      <c r="AS361" s="213" t="str">
        <f aca="false">IF(A362="","",1/(1+CHOOSE(F$3,(AR362+($I$3/10000))/2,(AR361+($I$3/10000))/2))^(2*AQ361/365.25))</f>
        <v/>
      </c>
      <c r="AT361" s="137" t="str">
        <f aca="false">IF(A362="","",IF(AND(mthbeg&lt;=A361,mthend&gt;=A361),1,0))</f>
        <v/>
      </c>
      <c r="AU361" s="137" t="str">
        <f aca="false">IF(A362="","",AO361*AT361)</f>
        <v/>
      </c>
      <c r="AW361" s="195" t="str">
        <f aca="false">IF($A362="","",AL361*$E361)</f>
        <v/>
      </c>
      <c r="AX361" s="195" t="str">
        <f aca="false">IF($A362="","",AM361*$E361)</f>
        <v/>
      </c>
      <c r="AY361" s="195" t="str">
        <f aca="false">IF($A362="","",AN361*$E361)</f>
        <v/>
      </c>
      <c r="BA361" s="195" t="str">
        <f aca="false">IF($A362="","",F361*Summary!$Q$12)</f>
        <v/>
      </c>
    </row>
    <row r="362" customFormat="false" ht="12" hidden="false" customHeight="true" outlineLevel="0" collapsed="false">
      <c r="A362" s="196" t="str">
        <f aca="false">IF(A361&lt;mthend,EDATE(A361,1),"")</f>
        <v/>
      </c>
      <c r="B362" s="197" t="str">
        <f aca="false">IF(A362&lt;mthend,B361,"")</f>
        <v/>
      </c>
      <c r="C362" s="215"/>
      <c r="D362" s="197" t="str">
        <f aca="false">IF(A363&lt;&gt;"",B362+C362,"")</f>
        <v/>
      </c>
      <c r="E362" s="199" t="str">
        <f aca="false">IF(A363="","",IF(AND(AT362=1,$H$3=1),D362*AO362,IF($H$3=2,D362,"N/A")))</f>
        <v/>
      </c>
      <c r="F362" s="199" t="str">
        <f aca="false">IF(A363="","",E362*AS362)</f>
        <v/>
      </c>
      <c r="G362" s="200" t="str">
        <f aca="false">IF($A363="","",VLOOKUP($A362,Table,MATCH(G$4,Curves,0)))</f>
        <v/>
      </c>
      <c r="H362" s="201" t="str">
        <f aca="false">IF(A363="","",G362)</f>
        <v/>
      </c>
      <c r="I362" s="202"/>
      <c r="J362" s="200" t="str">
        <f aca="false">IF($A363="","",VLOOKUP($A362,Table,MATCH(J$4,Curves,0)))</f>
        <v/>
      </c>
      <c r="K362" s="201" t="str">
        <f aca="false">IF(A363="","",J362)</f>
        <v/>
      </c>
      <c r="L362" s="200" t="str">
        <f aca="false">IF($A363="","",VLOOKUP($A362,Table,MATCH(L$4,Curves,0)))</f>
        <v/>
      </c>
      <c r="M362" s="201" t="str">
        <f aca="false">IF(A363="","",L362)</f>
        <v/>
      </c>
      <c r="N362" s="203"/>
      <c r="O362" s="200" t="str">
        <f aca="false">IF(A363="","",L362+J362+G362)</f>
        <v/>
      </c>
      <c r="P362" s="200" t="str">
        <f aca="false">IF(A363="","",M362+K362+H362)</f>
        <v/>
      </c>
      <c r="Q362" s="204"/>
      <c r="R362" s="200" t="str">
        <f aca="false">IF($A363="","",VLOOKUP($A362,Table,MATCH(R$4,Curves,0)))</f>
        <v/>
      </c>
      <c r="S362" s="201" t="str">
        <f aca="false">IF(A363="","",R362)</f>
        <v/>
      </c>
      <c r="T362" s="200" t="str">
        <f aca="false">IF($A363="","",VLOOKUP($A362,Table,MATCH(T$4,Curves,0)))</f>
        <v/>
      </c>
      <c r="U362" s="201" t="str">
        <f aca="false">IF(A363="","",T362)</f>
        <v/>
      </c>
      <c r="V362" s="225" t="str">
        <f aca="false">IF($A363="","",IF(AND(MONTH(A362)&gt;3,MONTH(A362)&lt;11),(T362+R362+G362)*(((1/(1-Summary!$T$12))/(1-Summary!$W$12))-1),(T362+R362+G362)*((1/(1-Summary!$U$12))/(1-Summary!$X$12)-1)))</f>
        <v/>
      </c>
      <c r="W362" s="200" t="str">
        <f aca="false">IF($A363="","",(T362+R362+G362+V362))</f>
        <v/>
      </c>
      <c r="X362" s="200" t="str">
        <f aca="false">IF($A363="","",(U362+S362+H362+V362))</f>
        <v/>
      </c>
      <c r="Y362" s="202"/>
      <c r="Z362" s="185" t="str">
        <f aca="false">IF($A363="","",VLOOKUP($A362,Table,MATCH(Z$4,Curves,0)))</f>
        <v/>
      </c>
      <c r="AA362" s="185" t="str">
        <f aca="false">IF($A363="","",VLOOKUP($A362,Table,MATCH(AA$4,Curves,0)))</f>
        <v/>
      </c>
      <c r="AB362" s="185" t="e">
        <f aca="false">SQRT((AA362^2*(A362-$D$3)+Z362^2*(DAY(EOMONTH(A362,0))/2))/AK362)</f>
        <v>#VALUE!</v>
      </c>
      <c r="AC362" s="185" t="str">
        <f aca="false">IF($A363="","",VLOOKUP($A362,Table,MATCH(AC$4,Curves,0)))</f>
        <v/>
      </c>
      <c r="AD362" s="185" t="str">
        <f aca="false">IF($A363="","",VLOOKUP($A362,Table,MATCH(AD$4,Curves,0)))</f>
        <v/>
      </c>
      <c r="AE362" s="185" t="e">
        <f aca="false">SQRT((AD362^2*(A362-$D$3)+AC362^2*(DAY(EOMONTH(A362,0))/2))/AK362)</f>
        <v>#VALUE!</v>
      </c>
      <c r="AF362" s="206" t="e">
        <f aca="false">((Summary!$N$12*(AA362*AD362)*(A362-$D$3))+(Summary!$M$12*Z362*AC362*(AJ362-EOMONTH(EDATE(A362,-1),0))))/(AK362*AB362*AE362)</f>
        <v>#VALUE!</v>
      </c>
      <c r="AG362" s="207" t="str">
        <f aca="false">IF($A363="","",Summary!$Q$12)</f>
        <v/>
      </c>
      <c r="AH362" s="207" t="str">
        <f aca="false">IF($A363="","",IF(Summary!$R$12="Y",(VLOOKUP($A362,Summary!$AD$6:$AF$9,3)+'Escalating commodity'!H375),'Escalating commodity'!H375))</f>
        <v/>
      </c>
      <c r="AI362" s="207" t="str">
        <f aca="false">IF($A363="","",AH362)</f>
        <v/>
      </c>
      <c r="AJ362" s="208" t="e">
        <f aca="false">A362+DAY(EOMONTH(A362,0))/2-1</f>
        <v>#VALUE!</v>
      </c>
      <c r="AK362" s="209" t="str">
        <f aca="false">IF($A363="","",$A362-$E$1)</f>
        <v/>
      </c>
      <c r="AL362" s="182" t="str">
        <f aca="false">IF($A363="","",SPRDOPT(P362,X362,AI362,0,AB362,AE362,AF362,AK362,$AJ$2,0))</f>
        <v/>
      </c>
      <c r="AM362" s="211" t="str">
        <f aca="false">IF($A363="","",MAX(0,O362-W362-AI362))</f>
        <v/>
      </c>
      <c r="AN362" s="211" t="str">
        <f aca="false">IF($A363="","",AL362-AM362)</f>
        <v/>
      </c>
      <c r="AO362" s="137" t="str">
        <f aca="false">IF(A363="","",A363-A362)</f>
        <v/>
      </c>
      <c r="AP362" s="212" t="str">
        <f aca="false">IF(A363="","",CHOOSE(F$3,A363+24,A362))</f>
        <v/>
      </c>
      <c r="AQ362" s="209" t="str">
        <f aca="false">IF(A363="","",AP362-$E$1)</f>
        <v/>
      </c>
      <c r="AR362" s="185" t="n">
        <f aca="false">'ANR OK vs ML7'!AR362</f>
        <v>0.1</v>
      </c>
      <c r="AS362" s="213" t="str">
        <f aca="false">IF(A363="","",1/(1+CHOOSE(F$3,(AR363+($I$3/10000))/2,(AR362+($I$3/10000))/2))^(2*AQ362/365.25))</f>
        <v/>
      </c>
      <c r="AT362" s="137" t="str">
        <f aca="false">IF(A363="","",IF(AND(mthbeg&lt;=A362,mthend&gt;=A362),1,0))</f>
        <v/>
      </c>
      <c r="AU362" s="137" t="str">
        <f aca="false">IF(A363="","",AO362*AT362)</f>
        <v/>
      </c>
      <c r="AW362" s="195" t="str">
        <f aca="false">IF($A363="","",AL362*$E362)</f>
        <v/>
      </c>
      <c r="AX362" s="195" t="str">
        <f aca="false">IF($A363="","",AM362*$E362)</f>
        <v/>
      </c>
      <c r="AY362" s="195" t="str">
        <f aca="false">IF($A363="","",AN362*$E362)</f>
        <v/>
      </c>
      <c r="BA362" s="195" t="str">
        <f aca="false">IF($A363="","",F362*Summary!$Q$12)</f>
        <v/>
      </c>
    </row>
    <row r="363" customFormat="false" ht="12" hidden="false" customHeight="true" outlineLevel="0" collapsed="false">
      <c r="A363" s="196" t="str">
        <f aca="false">IF(A362&lt;mthend,EDATE(A362,1),"")</f>
        <v/>
      </c>
      <c r="B363" s="197" t="str">
        <f aca="false">IF(A363&lt;mthend,B362,"")</f>
        <v/>
      </c>
      <c r="C363" s="215"/>
      <c r="D363" s="197" t="str">
        <f aca="false">IF(A364&lt;&gt;"",B363+C363,"")</f>
        <v/>
      </c>
      <c r="E363" s="199" t="str">
        <f aca="false">IF(A364="","",IF(AND(AT363=1,$H$3=1),D363*AO363,IF($H$3=2,D363,"N/A")))</f>
        <v/>
      </c>
      <c r="F363" s="199" t="str">
        <f aca="false">IF(A364="","",E363*AS363)</f>
        <v/>
      </c>
      <c r="G363" s="200" t="str">
        <f aca="false">IF($A364="","",VLOOKUP($A363,Table,MATCH(G$4,Curves,0)))</f>
        <v/>
      </c>
      <c r="H363" s="201" t="str">
        <f aca="false">IF(A364="","",G363)</f>
        <v/>
      </c>
      <c r="I363" s="202"/>
      <c r="J363" s="200" t="str">
        <f aca="false">IF($A364="","",VLOOKUP($A363,Table,MATCH(J$4,Curves,0)))</f>
        <v/>
      </c>
      <c r="K363" s="201" t="str">
        <f aca="false">IF(A364="","",J363)</f>
        <v/>
      </c>
      <c r="L363" s="200" t="str">
        <f aca="false">IF($A364="","",VLOOKUP($A363,Table,MATCH(L$4,Curves,0)))</f>
        <v/>
      </c>
      <c r="M363" s="201" t="str">
        <f aca="false">IF(A364="","",L363)</f>
        <v/>
      </c>
      <c r="N363" s="203"/>
      <c r="O363" s="200" t="str">
        <f aca="false">IF(A364="","",L363+J363+G363)</f>
        <v/>
      </c>
      <c r="P363" s="200" t="str">
        <f aca="false">IF(A364="","",M363+K363+H363)</f>
        <v/>
      </c>
      <c r="Q363" s="204"/>
      <c r="R363" s="200" t="str">
        <f aca="false">IF($A364="","",VLOOKUP($A363,Table,MATCH(R$4,Curves,0)))</f>
        <v/>
      </c>
      <c r="S363" s="201" t="str">
        <f aca="false">IF(A364="","",R363)</f>
        <v/>
      </c>
      <c r="T363" s="200" t="str">
        <f aca="false">IF($A364="","",VLOOKUP($A363,Table,MATCH(T$4,Curves,0)))</f>
        <v/>
      </c>
      <c r="U363" s="201" t="str">
        <f aca="false">IF(A364="","",T363)</f>
        <v/>
      </c>
      <c r="V363" s="225" t="str">
        <f aca="false">IF($A364="","",IF(AND(MONTH(A363)&gt;3,MONTH(A363)&lt;11),(T363+R363+G363)*(((1/(1-Summary!$T$12))/(1-Summary!$W$12))-1),(T363+R363+G363)*((1/(1-Summary!$U$12))/(1-Summary!$X$12)-1)))</f>
        <v/>
      </c>
      <c r="W363" s="200" t="str">
        <f aca="false">IF($A364="","",(T363+R363+G363+V363))</f>
        <v/>
      </c>
      <c r="X363" s="200" t="str">
        <f aca="false">IF($A364="","",(U363+S363+H363+V363))</f>
        <v/>
      </c>
      <c r="Y363" s="202"/>
      <c r="Z363" s="185" t="str">
        <f aca="false">IF($A364="","",VLOOKUP($A363,Table,MATCH(Z$4,Curves,0)))</f>
        <v/>
      </c>
      <c r="AA363" s="185" t="str">
        <f aca="false">IF($A364="","",VLOOKUP($A363,Table,MATCH(AA$4,Curves,0)))</f>
        <v/>
      </c>
      <c r="AB363" s="185" t="e">
        <f aca="false">SQRT((AA363^2*(A363-$D$3)+Z363^2*(DAY(EOMONTH(A363,0))/2))/AK363)</f>
        <v>#VALUE!</v>
      </c>
      <c r="AC363" s="185" t="str">
        <f aca="false">IF($A364="","",VLOOKUP($A363,Table,MATCH(AC$4,Curves,0)))</f>
        <v/>
      </c>
      <c r="AD363" s="185" t="str">
        <f aca="false">IF($A364="","",VLOOKUP($A363,Table,MATCH(AD$4,Curves,0)))</f>
        <v/>
      </c>
      <c r="AE363" s="185" t="e">
        <f aca="false">SQRT((AD363^2*(A363-$D$3)+AC363^2*(DAY(EOMONTH(A363,0))/2))/AK363)</f>
        <v>#VALUE!</v>
      </c>
      <c r="AF363" s="206" t="e">
        <f aca="false">((Summary!$N$12*(AA363*AD363)*(A363-$D$3))+(Summary!$M$12*Z363*AC363*(AJ363-EOMONTH(EDATE(A363,-1),0))))/(AK363*AB363*AE363)</f>
        <v>#VALUE!</v>
      </c>
      <c r="AG363" s="207" t="str">
        <f aca="false">IF($A364="","",Summary!$Q$12)</f>
        <v/>
      </c>
      <c r="AH363" s="207" t="str">
        <f aca="false">IF($A364="","",IF(Summary!$R$12="Y",(VLOOKUP($A363,Summary!$AD$6:$AF$9,3)+'Escalating commodity'!H376),'Escalating commodity'!H376))</f>
        <v/>
      </c>
      <c r="AI363" s="207" t="str">
        <f aca="false">IF($A364="","",AH363)</f>
        <v/>
      </c>
      <c r="AJ363" s="208" t="e">
        <f aca="false">A363+DAY(EOMONTH(A363,0))/2-1</f>
        <v>#VALUE!</v>
      </c>
      <c r="AK363" s="209" t="str">
        <f aca="false">IF($A364="","",$A363-$E$1)</f>
        <v/>
      </c>
      <c r="AL363" s="182" t="str">
        <f aca="false">IF($A364="","",SPRDOPT(P363,X363,AI363,0,AB363,AE363,AF363,AK363,$AJ$2,0))</f>
        <v/>
      </c>
      <c r="AM363" s="211" t="str">
        <f aca="false">IF($A364="","",MAX(0,O363-W363-AI363))</f>
        <v/>
      </c>
      <c r="AN363" s="211" t="str">
        <f aca="false">IF($A364="","",AL363-AM363)</f>
        <v/>
      </c>
      <c r="AO363" s="137" t="str">
        <f aca="false">IF(A364="","",A364-A363)</f>
        <v/>
      </c>
      <c r="AP363" s="212" t="str">
        <f aca="false">IF(A364="","",CHOOSE(F$3,A364+24,A363))</f>
        <v/>
      </c>
      <c r="AQ363" s="209" t="str">
        <f aca="false">IF(A364="","",AP363-$E$1)</f>
        <v/>
      </c>
      <c r="AR363" s="185" t="n">
        <f aca="false">'ANR OK vs ML7'!AR363</f>
        <v>0.1</v>
      </c>
      <c r="AS363" s="213" t="str">
        <f aca="false">IF(A364="","",1/(1+CHOOSE(F$3,(AR364+($I$3/10000))/2,(AR363+($I$3/10000))/2))^(2*AQ363/365.25))</f>
        <v/>
      </c>
      <c r="AT363" s="137" t="str">
        <f aca="false">IF(A364="","",IF(AND(mthbeg&lt;=A363,mthend&gt;=A363),1,0))</f>
        <v/>
      </c>
      <c r="AU363" s="137" t="str">
        <f aca="false">IF(A364="","",AO363*AT363)</f>
        <v/>
      </c>
      <c r="AW363" s="195" t="str">
        <f aca="false">IF($A364="","",AL363*$E363)</f>
        <v/>
      </c>
      <c r="AX363" s="195" t="str">
        <f aca="false">IF($A364="","",AM363*$E363)</f>
        <v/>
      </c>
      <c r="AY363" s="195" t="str">
        <f aca="false">IF($A364="","",AN363*$E363)</f>
        <v/>
      </c>
      <c r="BA363" s="195" t="str">
        <f aca="false">IF($A364="","",F363*Summary!$Q$12)</f>
        <v/>
      </c>
    </row>
    <row r="364" customFormat="false" ht="12" hidden="false" customHeight="true" outlineLevel="0" collapsed="false">
      <c r="A364" s="196" t="str">
        <f aca="false">IF(A363&lt;mthend,EDATE(A363,1),"")</f>
        <v/>
      </c>
      <c r="B364" s="197" t="str">
        <f aca="false">IF(A364&lt;mthend,B363,"")</f>
        <v/>
      </c>
      <c r="C364" s="215"/>
      <c r="D364" s="197" t="str">
        <f aca="false">IF(A365&lt;&gt;"",B364+C364,"")</f>
        <v/>
      </c>
      <c r="E364" s="199" t="str">
        <f aca="false">IF(A365="","",IF(AND(AT364=1,$H$3=1),D364*AO364,IF($H$3=2,D364,"N/A")))</f>
        <v/>
      </c>
      <c r="F364" s="199" t="str">
        <f aca="false">IF(A365="","",E364*AS364)</f>
        <v/>
      </c>
      <c r="G364" s="200" t="str">
        <f aca="false">IF($A365="","",VLOOKUP($A364,Table,MATCH(G$4,Curves,0)))</f>
        <v/>
      </c>
      <c r="H364" s="201" t="str">
        <f aca="false">IF(A365="","",G364)</f>
        <v/>
      </c>
      <c r="I364" s="202"/>
      <c r="J364" s="200" t="str">
        <f aca="false">IF($A365="","",VLOOKUP($A364,Table,MATCH(J$4,Curves,0)))</f>
        <v/>
      </c>
      <c r="K364" s="201" t="str">
        <f aca="false">IF(A365="","",J364)</f>
        <v/>
      </c>
      <c r="L364" s="200" t="str">
        <f aca="false">IF($A365="","",VLOOKUP($A364,Table,MATCH(L$4,Curves,0)))</f>
        <v/>
      </c>
      <c r="M364" s="201" t="str">
        <f aca="false">IF(A365="","",L364)</f>
        <v/>
      </c>
      <c r="N364" s="203"/>
      <c r="O364" s="200" t="str">
        <f aca="false">IF(A365="","",L364+J364+G364)</f>
        <v/>
      </c>
      <c r="P364" s="200" t="str">
        <f aca="false">IF(A365="","",M364+K364+H364)</f>
        <v/>
      </c>
      <c r="Q364" s="204"/>
      <c r="R364" s="200" t="str">
        <f aca="false">IF($A365="","",VLOOKUP($A364,Table,MATCH(R$4,Curves,0)))</f>
        <v/>
      </c>
      <c r="S364" s="201" t="str">
        <f aca="false">IF(A365="","",R364)</f>
        <v/>
      </c>
      <c r="T364" s="200" t="str">
        <f aca="false">IF($A365="","",VLOOKUP($A364,Table,MATCH(T$4,Curves,0)))</f>
        <v/>
      </c>
      <c r="U364" s="201" t="str">
        <f aca="false">IF(A365="","",T364)</f>
        <v/>
      </c>
      <c r="V364" s="225" t="str">
        <f aca="false">IF($A365="","",IF(AND(MONTH(A364)&gt;3,MONTH(A364)&lt;11),(T364+R364+G364)*(((1/(1-Summary!$T$12))/(1-Summary!$W$12))-1),(T364+R364+G364)*((1/(1-Summary!$U$12))/(1-Summary!$X$12)-1)))</f>
        <v/>
      </c>
      <c r="W364" s="200" t="str">
        <f aca="false">IF($A365="","",(T364+R364+G364+V364))</f>
        <v/>
      </c>
      <c r="X364" s="200" t="str">
        <f aca="false">IF($A365="","",(U364+S364+H364+V364))</f>
        <v/>
      </c>
      <c r="Y364" s="202"/>
      <c r="Z364" s="185" t="str">
        <f aca="false">IF($A365="","",VLOOKUP($A364,Table,MATCH(Z$4,Curves,0)))</f>
        <v/>
      </c>
      <c r="AA364" s="185" t="str">
        <f aca="false">IF($A365="","",VLOOKUP($A364,Table,MATCH(AA$4,Curves,0)))</f>
        <v/>
      </c>
      <c r="AB364" s="185" t="e">
        <f aca="false">SQRT((AA364^2*(A364-$D$3)+Z364^2*(DAY(EOMONTH(A364,0))/2))/AK364)</f>
        <v>#VALUE!</v>
      </c>
      <c r="AC364" s="185" t="str">
        <f aca="false">IF($A365="","",VLOOKUP($A364,Table,MATCH(AC$4,Curves,0)))</f>
        <v/>
      </c>
      <c r="AD364" s="185" t="str">
        <f aca="false">IF($A365="","",VLOOKUP($A364,Table,MATCH(AD$4,Curves,0)))</f>
        <v/>
      </c>
      <c r="AE364" s="185" t="e">
        <f aca="false">SQRT((AD364^2*(A364-$D$3)+AC364^2*(DAY(EOMONTH(A364,0))/2))/AK364)</f>
        <v>#VALUE!</v>
      </c>
      <c r="AF364" s="206" t="e">
        <f aca="false">((Summary!$N$12*(AA364*AD364)*(A364-$D$3))+(Summary!$M$12*Z364*AC364*(AJ364-EOMONTH(EDATE(A364,-1),0))))/(AK364*AB364*AE364)</f>
        <v>#VALUE!</v>
      </c>
      <c r="AG364" s="207" t="str">
        <f aca="false">IF($A365="","",Summary!$Q$12)</f>
        <v/>
      </c>
      <c r="AH364" s="207" t="str">
        <f aca="false">IF($A365="","",IF(Summary!$R$12="Y",(VLOOKUP($A364,Summary!$AD$6:$AF$9,3)+'Escalating commodity'!H377),'Escalating commodity'!H377))</f>
        <v/>
      </c>
      <c r="AI364" s="207" t="str">
        <f aca="false">IF($A365="","",AH364)</f>
        <v/>
      </c>
      <c r="AJ364" s="208" t="e">
        <f aca="false">A364+DAY(EOMONTH(A364,0))/2-1</f>
        <v>#VALUE!</v>
      </c>
      <c r="AK364" s="209" t="str">
        <f aca="false">IF($A365="","",$A364-$E$1)</f>
        <v/>
      </c>
      <c r="AL364" s="182" t="str">
        <f aca="false">IF($A365="","",SPRDOPT(P364,X364,AI364,0,AB364,AE364,AF364,AK364,$AJ$2,0))</f>
        <v/>
      </c>
      <c r="AM364" s="211" t="str">
        <f aca="false">IF($A365="","",MAX(0,O364-W364-AI364))</f>
        <v/>
      </c>
      <c r="AN364" s="211" t="str">
        <f aca="false">IF($A365="","",AL364-AM364)</f>
        <v/>
      </c>
      <c r="AO364" s="137" t="str">
        <f aca="false">IF(A365="","",A365-A364)</f>
        <v/>
      </c>
      <c r="AP364" s="212" t="str">
        <f aca="false">IF(A365="","",CHOOSE(F$3,A365+24,A364))</f>
        <v/>
      </c>
      <c r="AQ364" s="209" t="str">
        <f aca="false">IF(A365="","",AP364-$E$1)</f>
        <v/>
      </c>
      <c r="AR364" s="185" t="n">
        <f aca="false">'ANR OK vs ML7'!AR364</f>
        <v>0.1</v>
      </c>
      <c r="AS364" s="213" t="str">
        <f aca="false">IF(A365="","",1/(1+CHOOSE(F$3,(AR365+($I$3/10000))/2,(AR364+($I$3/10000))/2))^(2*AQ364/365.25))</f>
        <v/>
      </c>
      <c r="AT364" s="137" t="str">
        <f aca="false">IF(A365="","",IF(AND(mthbeg&lt;=A364,mthend&gt;=A364),1,0))</f>
        <v/>
      </c>
      <c r="AU364" s="137" t="str">
        <f aca="false">IF(A365="","",AO364*AT364)</f>
        <v/>
      </c>
      <c r="AW364" s="195" t="str">
        <f aca="false">IF($A365="","",AL364*$E364)</f>
        <v/>
      </c>
      <c r="AX364" s="195" t="str">
        <f aca="false">IF($A365="","",AM364*$E364)</f>
        <v/>
      </c>
      <c r="AY364" s="195" t="str">
        <f aca="false">IF($A365="","",AN364*$E364)</f>
        <v/>
      </c>
      <c r="BA364" s="195" t="str">
        <f aca="false">IF($A365="","",F364*Summary!$Q$12)</f>
        <v/>
      </c>
    </row>
    <row r="365" customFormat="false" ht="12" hidden="false" customHeight="true" outlineLevel="0" collapsed="false">
      <c r="A365" s="196" t="str">
        <f aca="false">IF(A364&lt;mthend,EDATE(A364,1),"")</f>
        <v/>
      </c>
      <c r="B365" s="197" t="str">
        <f aca="false">IF(A365&lt;mthend,B364,"")</f>
        <v/>
      </c>
      <c r="C365" s="215"/>
      <c r="D365" s="197" t="str">
        <f aca="false">IF(A366&lt;&gt;"",B365+C365,"")</f>
        <v/>
      </c>
      <c r="E365" s="199" t="str">
        <f aca="false">IF(A366="","",IF(AND(AT365=1,$H$3=1),D365*AO365,IF($H$3=2,D365,"N/A")))</f>
        <v/>
      </c>
      <c r="F365" s="199" t="str">
        <f aca="false">IF(A366="","",E365*AS365)</f>
        <v/>
      </c>
      <c r="G365" s="200" t="str">
        <f aca="false">IF($A366="","",VLOOKUP($A365,Table,MATCH(G$4,Curves,0)))</f>
        <v/>
      </c>
      <c r="H365" s="201" t="str">
        <f aca="false">IF(A366="","",G365)</f>
        <v/>
      </c>
      <c r="I365" s="202"/>
      <c r="J365" s="200" t="str">
        <f aca="false">IF($A366="","",VLOOKUP($A365,Table,MATCH(J$4,Curves,0)))</f>
        <v/>
      </c>
      <c r="K365" s="201" t="str">
        <f aca="false">IF(A366="","",J365)</f>
        <v/>
      </c>
      <c r="L365" s="200" t="str">
        <f aca="false">IF($A366="","",VLOOKUP($A365,Table,MATCH(L$4,Curves,0)))</f>
        <v/>
      </c>
      <c r="M365" s="201" t="str">
        <f aca="false">IF(A366="","",L365)</f>
        <v/>
      </c>
      <c r="N365" s="203"/>
      <c r="O365" s="200" t="str">
        <f aca="false">IF(A366="","",L365+J365+G365)</f>
        <v/>
      </c>
      <c r="P365" s="200" t="str">
        <f aca="false">IF(A366="","",M365+K365+H365)</f>
        <v/>
      </c>
      <c r="Q365" s="204"/>
      <c r="R365" s="200" t="str">
        <f aca="false">IF($A366="","",VLOOKUP($A365,Table,MATCH(R$4,Curves,0)))</f>
        <v/>
      </c>
      <c r="S365" s="201" t="str">
        <f aca="false">IF(A366="","",R365)</f>
        <v/>
      </c>
      <c r="T365" s="200" t="str">
        <f aca="false">IF($A366="","",VLOOKUP($A365,Table,MATCH(T$4,Curves,0)))</f>
        <v/>
      </c>
      <c r="U365" s="201" t="str">
        <f aca="false">IF(A366="","",T365)</f>
        <v/>
      </c>
      <c r="V365" s="225" t="str">
        <f aca="false">IF($A366="","",IF(AND(MONTH(A365)&gt;3,MONTH(A365)&lt;11),(T365+R365+G365)*(((1/(1-Summary!$T$12))/(1-Summary!$W$12))-1),(T365+R365+G365)*((1/(1-Summary!$U$12))/(1-Summary!$X$12)-1)))</f>
        <v/>
      </c>
      <c r="W365" s="200" t="str">
        <f aca="false">IF($A366="","",(T365+R365+G365+V365))</f>
        <v/>
      </c>
      <c r="X365" s="200" t="str">
        <f aca="false">IF($A366="","",(U365+S365+H365+V365))</f>
        <v/>
      </c>
      <c r="Y365" s="202"/>
      <c r="Z365" s="185" t="str">
        <f aca="false">IF($A366="","",VLOOKUP($A365,Table,MATCH(Z$4,Curves,0)))</f>
        <v/>
      </c>
      <c r="AA365" s="185" t="str">
        <f aca="false">IF($A366="","",VLOOKUP($A365,Table,MATCH(AA$4,Curves,0)))</f>
        <v/>
      </c>
      <c r="AB365" s="185" t="e">
        <f aca="false">SQRT((AA365^2*(A365-$D$3)+Z365^2*(DAY(EOMONTH(A365,0))/2))/AK365)</f>
        <v>#VALUE!</v>
      </c>
      <c r="AC365" s="185" t="str">
        <f aca="false">IF($A366="","",VLOOKUP($A365,Table,MATCH(AC$4,Curves,0)))</f>
        <v/>
      </c>
      <c r="AD365" s="185" t="str">
        <f aca="false">IF($A366="","",VLOOKUP($A365,Table,MATCH(AD$4,Curves,0)))</f>
        <v/>
      </c>
      <c r="AE365" s="185" t="e">
        <f aca="false">SQRT((AD365^2*(A365-$D$3)+AC365^2*(DAY(EOMONTH(A365,0))/2))/AK365)</f>
        <v>#VALUE!</v>
      </c>
      <c r="AF365" s="206" t="e">
        <f aca="false">((Summary!$N$12*(AA365*AD365)*(A365-$D$3))+(Summary!$M$12*Z365*AC365*(AJ365-EOMONTH(EDATE(A365,-1),0))))/(AK365*AB365*AE365)</f>
        <v>#VALUE!</v>
      </c>
      <c r="AG365" s="207" t="str">
        <f aca="false">IF($A366="","",Summary!$Q$12)</f>
        <v/>
      </c>
      <c r="AH365" s="207" t="str">
        <f aca="false">IF($A366="","",IF(Summary!$R$12="Y",(VLOOKUP($A365,Summary!$AD$6:$AF$9,3)+'Escalating commodity'!H378),'Escalating commodity'!H378))</f>
        <v/>
      </c>
      <c r="AI365" s="207" t="str">
        <f aca="false">IF($A366="","",AH365)</f>
        <v/>
      </c>
      <c r="AJ365" s="208" t="e">
        <f aca="false">A365+DAY(EOMONTH(A365,0))/2-1</f>
        <v>#VALUE!</v>
      </c>
      <c r="AK365" s="209" t="str">
        <f aca="false">IF($A366="","",$A365-$E$1)</f>
        <v/>
      </c>
      <c r="AL365" s="182" t="str">
        <f aca="false">IF($A366="","",SPRDOPT(P365,X365,AI365,0,AB365,AE365,AF365,AK365,$AJ$2,0))</f>
        <v/>
      </c>
      <c r="AM365" s="211" t="str">
        <f aca="false">IF($A366="","",MAX(0,O365-W365-AI365))</f>
        <v/>
      </c>
      <c r="AN365" s="211" t="str">
        <f aca="false">IF($A366="","",AL365-AM365)</f>
        <v/>
      </c>
      <c r="AO365" s="137" t="str">
        <f aca="false">IF(A366="","",A366-A365)</f>
        <v/>
      </c>
      <c r="AP365" s="212" t="str">
        <f aca="false">IF(A366="","",CHOOSE(F$3,A366+24,A365))</f>
        <v/>
      </c>
      <c r="AQ365" s="209" t="str">
        <f aca="false">IF(A366="","",AP365-$E$1)</f>
        <v/>
      </c>
      <c r="AR365" s="185" t="n">
        <f aca="false">'ANR OK vs ML7'!AR365</f>
        <v>0.1</v>
      </c>
      <c r="AS365" s="213" t="str">
        <f aca="false">IF(A366="","",1/(1+CHOOSE(F$3,(AR366+($I$3/10000))/2,(AR365+($I$3/10000))/2))^(2*AQ365/365.25))</f>
        <v/>
      </c>
      <c r="AT365" s="137" t="str">
        <f aca="false">IF(A366="","",IF(AND(mthbeg&lt;=A365,mthend&gt;=A365),1,0))</f>
        <v/>
      </c>
      <c r="AU365" s="137" t="str">
        <f aca="false">IF(A366="","",AO365*AT365)</f>
        <v/>
      </c>
      <c r="AW365" s="195" t="str">
        <f aca="false">IF($A366="","",AL365*$E365)</f>
        <v/>
      </c>
      <c r="AX365" s="195" t="str">
        <f aca="false">IF($A366="","",AM365*$E365)</f>
        <v/>
      </c>
      <c r="AY365" s="195" t="str">
        <f aca="false">IF($A366="","",AN365*$E365)</f>
        <v/>
      </c>
      <c r="BA365" s="195" t="str">
        <f aca="false">IF($A366="","",F365*Summary!$Q$12)</f>
        <v/>
      </c>
    </row>
    <row r="366" customFormat="false" ht="12" hidden="false" customHeight="true" outlineLevel="0" collapsed="false">
      <c r="A366" s="196" t="str">
        <f aca="false">IF(A365&lt;mthend,EDATE(A365,1),"")</f>
        <v/>
      </c>
      <c r="B366" s="197" t="str">
        <f aca="false">IF(A366&lt;mthend,B365,"")</f>
        <v/>
      </c>
      <c r="C366" s="215"/>
      <c r="D366" s="197" t="str">
        <f aca="false">IF(A367&lt;&gt;"",B366+C366,"")</f>
        <v/>
      </c>
      <c r="E366" s="199" t="str">
        <f aca="false">IF(A367="","",IF(AND(AT366=1,$H$3=1),D366*AO366,IF($H$3=2,D366,"N/A")))</f>
        <v/>
      </c>
      <c r="F366" s="199" t="str">
        <f aca="false">IF(A367="","",E366*AS366)</f>
        <v/>
      </c>
      <c r="G366" s="200" t="str">
        <f aca="false">IF($A367="","",VLOOKUP($A366,Table,MATCH(G$4,Curves,0)))</f>
        <v/>
      </c>
      <c r="H366" s="201" t="str">
        <f aca="false">IF(A367="","",G366)</f>
        <v/>
      </c>
      <c r="I366" s="202"/>
      <c r="J366" s="200" t="str">
        <f aca="false">IF($A367="","",VLOOKUP($A366,Table,MATCH(J$4,Curves,0)))</f>
        <v/>
      </c>
      <c r="K366" s="201" t="str">
        <f aca="false">IF(A367="","",J366)</f>
        <v/>
      </c>
      <c r="L366" s="200" t="str">
        <f aca="false">IF($A367="","",VLOOKUP($A366,Table,MATCH(L$4,Curves,0)))</f>
        <v/>
      </c>
      <c r="M366" s="201" t="str">
        <f aca="false">IF(A367="","",L366)</f>
        <v/>
      </c>
      <c r="N366" s="203"/>
      <c r="O366" s="200" t="str">
        <f aca="false">IF(A367="","",L366+J366+G366)</f>
        <v/>
      </c>
      <c r="P366" s="200" t="str">
        <f aca="false">IF(A367="","",M366+K366+H366)</f>
        <v/>
      </c>
      <c r="Q366" s="204"/>
      <c r="R366" s="200" t="str">
        <f aca="false">IF($A367="","",VLOOKUP($A366,Table,MATCH(R$4,Curves,0)))</f>
        <v/>
      </c>
      <c r="S366" s="201" t="str">
        <f aca="false">IF(A367="","",R366)</f>
        <v/>
      </c>
      <c r="T366" s="200" t="str">
        <f aca="false">IF($A367="","",VLOOKUP($A366,Table,MATCH(T$4,Curves,0)))</f>
        <v/>
      </c>
      <c r="U366" s="201" t="str">
        <f aca="false">IF(A367="","",T366)</f>
        <v/>
      </c>
      <c r="V366" s="225" t="str">
        <f aca="false">IF($A367="","",IF(AND(MONTH(A366)&gt;3,MONTH(A366)&lt;11),(T366+R366+G366)*(((1/(1-Summary!$T$12))/(1-Summary!$W$12))-1),(T366+R366+G366)*((1/(1-Summary!$U$12))/(1-Summary!$X$12)-1)))</f>
        <v/>
      </c>
      <c r="W366" s="200" t="str">
        <f aca="false">IF($A367="","",(T366+R366+G366+V366))</f>
        <v/>
      </c>
      <c r="X366" s="200" t="str">
        <f aca="false">IF($A367="","",(U366+S366+H366+V366))</f>
        <v/>
      </c>
      <c r="Y366" s="202"/>
      <c r="Z366" s="185" t="str">
        <f aca="false">IF($A367="","",VLOOKUP($A366,Table,MATCH(Z$4,Curves,0)))</f>
        <v/>
      </c>
      <c r="AA366" s="185" t="str">
        <f aca="false">IF($A367="","",VLOOKUP($A366,Table,MATCH(AA$4,Curves,0)))</f>
        <v/>
      </c>
      <c r="AB366" s="185" t="e">
        <f aca="false">SQRT((AA366^2*(A366-$D$3)+Z366^2*(DAY(EOMONTH(A366,0))/2))/AK366)</f>
        <v>#VALUE!</v>
      </c>
      <c r="AC366" s="185" t="str">
        <f aca="false">IF($A367="","",VLOOKUP($A366,Table,MATCH(AC$4,Curves,0)))</f>
        <v/>
      </c>
      <c r="AD366" s="185" t="str">
        <f aca="false">IF($A367="","",VLOOKUP($A366,Table,MATCH(AD$4,Curves,0)))</f>
        <v/>
      </c>
      <c r="AE366" s="185" t="e">
        <f aca="false">SQRT((AD366^2*(A366-$D$3)+AC366^2*(DAY(EOMONTH(A366,0))/2))/AK366)</f>
        <v>#VALUE!</v>
      </c>
      <c r="AF366" s="206" t="e">
        <f aca="false">((Summary!$N$12*(AA366*AD366)*(A366-$D$3))+(Summary!$M$12*Z366*AC366*(AJ366-EOMONTH(EDATE(A366,-1),0))))/(AK366*AB366*AE366)</f>
        <v>#VALUE!</v>
      </c>
      <c r="AG366" s="207" t="str">
        <f aca="false">IF($A367="","",Summary!$Q$12)</f>
        <v/>
      </c>
      <c r="AH366" s="207" t="str">
        <f aca="false">IF($A367="","",IF(Summary!$R$12="Y",(VLOOKUP($A366,Summary!$AD$6:$AF$9,3)+'Escalating commodity'!H379),'Escalating commodity'!H379))</f>
        <v/>
      </c>
      <c r="AI366" s="207" t="str">
        <f aca="false">IF($A367="","",AH366)</f>
        <v/>
      </c>
      <c r="AJ366" s="208" t="e">
        <f aca="false">A366+DAY(EOMONTH(A366,0))/2-1</f>
        <v>#VALUE!</v>
      </c>
      <c r="AK366" s="209" t="str">
        <f aca="false">IF($A367="","",$A366-$E$1)</f>
        <v/>
      </c>
      <c r="AL366" s="182" t="str">
        <f aca="false">IF($A367="","",SPRDOPT(P366,X366,AI366,0,AB366,AE366,AF366,AK366,$AJ$2,0))</f>
        <v/>
      </c>
      <c r="AM366" s="211" t="str">
        <f aca="false">IF($A367="","",MAX(0,O366-W366-AI366))</f>
        <v/>
      </c>
      <c r="AN366" s="211" t="str">
        <f aca="false">IF($A367="","",AL366-AM366)</f>
        <v/>
      </c>
      <c r="AO366" s="137" t="str">
        <f aca="false">IF(A367="","",A367-A366)</f>
        <v/>
      </c>
      <c r="AP366" s="212" t="str">
        <f aca="false">IF(A367="","",CHOOSE(F$3,A367+24,A366))</f>
        <v/>
      </c>
      <c r="AQ366" s="209" t="str">
        <f aca="false">IF(A367="","",AP366-$E$1)</f>
        <v/>
      </c>
      <c r="AR366" s="185" t="n">
        <f aca="false">'ANR OK vs ML7'!AR366</f>
        <v>0.1</v>
      </c>
      <c r="AS366" s="213" t="str">
        <f aca="false">IF(A367="","",1/(1+CHOOSE(F$3,(AR367+($I$3/10000))/2,(AR366+($I$3/10000))/2))^(2*AQ366/365.25))</f>
        <v/>
      </c>
      <c r="AT366" s="137" t="str">
        <f aca="false">IF(A367="","",IF(AND(mthbeg&lt;=A366,mthend&gt;=A366),1,0))</f>
        <v/>
      </c>
      <c r="AU366" s="137" t="str">
        <f aca="false">IF(A367="","",AO366*AT366)</f>
        <v/>
      </c>
      <c r="AW366" s="195" t="str">
        <f aca="false">IF($A367="","",AL366*$E366)</f>
        <v/>
      </c>
      <c r="AX366" s="195" t="str">
        <f aca="false">IF($A367="","",AM366*$E366)</f>
        <v/>
      </c>
      <c r="AY366" s="195" t="str">
        <f aca="false">IF($A367="","",AN366*$E366)</f>
        <v/>
      </c>
      <c r="BA366" s="195" t="str">
        <f aca="false">IF($A367="","",F366*Summary!$Q$12)</f>
        <v/>
      </c>
    </row>
    <row r="367" customFormat="false" ht="12" hidden="false" customHeight="true" outlineLevel="0" collapsed="false">
      <c r="A367" s="196" t="str">
        <f aca="false">IF(A366&lt;mthend,EDATE(A366,1),"")</f>
        <v/>
      </c>
      <c r="B367" s="197" t="str">
        <f aca="false">IF(A367&lt;mthend,B366,"")</f>
        <v/>
      </c>
      <c r="C367" s="215"/>
      <c r="D367" s="197" t="str">
        <f aca="false">IF(A368&lt;&gt;"",B367+C367,"")</f>
        <v/>
      </c>
      <c r="E367" s="199" t="str">
        <f aca="false">IF(A368="","",IF(AND(AT367=1,$H$3=1),D367*AO367,IF($H$3=2,D367,"N/A")))</f>
        <v/>
      </c>
      <c r="F367" s="199" t="str">
        <f aca="false">IF(A368="","",E367*AS367)</f>
        <v/>
      </c>
      <c r="G367" s="200" t="str">
        <f aca="false">IF($A368="","",VLOOKUP($A367,Table,MATCH(G$4,Curves,0)))</f>
        <v/>
      </c>
      <c r="H367" s="201" t="str">
        <f aca="false">IF(A368="","",G367)</f>
        <v/>
      </c>
      <c r="I367" s="202"/>
      <c r="J367" s="200" t="str">
        <f aca="false">IF($A368="","",VLOOKUP($A367,Table,MATCH(J$4,Curves,0)))</f>
        <v/>
      </c>
      <c r="K367" s="201" t="str">
        <f aca="false">IF(A368="","",J367)</f>
        <v/>
      </c>
      <c r="L367" s="200" t="str">
        <f aca="false">IF($A368="","",VLOOKUP($A367,Table,MATCH(L$4,Curves,0)))</f>
        <v/>
      </c>
      <c r="M367" s="201" t="str">
        <f aca="false">IF(A368="","",L367)</f>
        <v/>
      </c>
      <c r="N367" s="203"/>
      <c r="O367" s="200" t="str">
        <f aca="false">IF(A368="","",L367+J367+G367)</f>
        <v/>
      </c>
      <c r="P367" s="200" t="str">
        <f aca="false">IF(A368="","",M367+K367+H367)</f>
        <v/>
      </c>
      <c r="Q367" s="204"/>
      <c r="R367" s="200" t="str">
        <f aca="false">IF($A368="","",VLOOKUP($A367,Table,MATCH(R$4,Curves,0)))</f>
        <v/>
      </c>
      <c r="S367" s="201" t="str">
        <f aca="false">IF(A368="","",R367)</f>
        <v/>
      </c>
      <c r="T367" s="200" t="str">
        <f aca="false">IF($A368="","",VLOOKUP($A367,Table,MATCH(T$4,Curves,0)))</f>
        <v/>
      </c>
      <c r="U367" s="201" t="str">
        <f aca="false">IF(A368="","",T367)</f>
        <v/>
      </c>
      <c r="V367" s="225" t="str">
        <f aca="false">IF($A368="","",IF(AND(MONTH(A367)&gt;3,MONTH(A367)&lt;11),(T367+R367+G367)*(((1/(1-Summary!$T$12))/(1-Summary!$W$12))-1),(T367+R367+G367)*((1/(1-Summary!$U$12))/(1-Summary!$X$12)-1)))</f>
        <v/>
      </c>
      <c r="W367" s="200" t="str">
        <f aca="false">IF($A368="","",(T367+R367+G367+V367))</f>
        <v/>
      </c>
      <c r="X367" s="200" t="str">
        <f aca="false">IF($A368="","",(U367+S367+H367+V367))</f>
        <v/>
      </c>
      <c r="Y367" s="202"/>
      <c r="Z367" s="185" t="str">
        <f aca="false">IF($A368="","",VLOOKUP($A367,Table,MATCH(Z$4,Curves,0)))</f>
        <v/>
      </c>
      <c r="AA367" s="185" t="str">
        <f aca="false">IF($A368="","",VLOOKUP($A367,Table,MATCH(AA$4,Curves,0)))</f>
        <v/>
      </c>
      <c r="AB367" s="185" t="e">
        <f aca="false">SQRT((AA367^2*(A367-$D$3)+Z367^2*(DAY(EOMONTH(A367,0))/2))/AK367)</f>
        <v>#VALUE!</v>
      </c>
      <c r="AC367" s="185" t="str">
        <f aca="false">IF($A368="","",VLOOKUP($A367,Table,MATCH(AC$4,Curves,0)))</f>
        <v/>
      </c>
      <c r="AD367" s="185" t="str">
        <f aca="false">IF($A368="","",VLOOKUP($A367,Table,MATCH(AD$4,Curves,0)))</f>
        <v/>
      </c>
      <c r="AE367" s="185" t="e">
        <f aca="false">SQRT((AD367^2*(A367-$D$3)+AC367^2*(DAY(EOMONTH(A367,0))/2))/AK367)</f>
        <v>#VALUE!</v>
      </c>
      <c r="AF367" s="206" t="e">
        <f aca="false">((Summary!$N$12*(AA367*AD367)*(A367-$D$3))+(Summary!$M$12*Z367*AC367*(AJ367-EOMONTH(EDATE(A367,-1),0))))/(AK367*AB367*AE367)</f>
        <v>#VALUE!</v>
      </c>
      <c r="AG367" s="207" t="str">
        <f aca="false">IF($A368="","",Summary!$Q$12)</f>
        <v/>
      </c>
      <c r="AH367" s="207" t="str">
        <f aca="false">IF($A368="","",IF(Summary!$R$12="Y",(VLOOKUP($A367,Summary!$AD$6:$AF$9,3)+'Escalating commodity'!H380),'Escalating commodity'!H380))</f>
        <v/>
      </c>
      <c r="AI367" s="207" t="str">
        <f aca="false">IF($A368="","",AH367)</f>
        <v/>
      </c>
      <c r="AJ367" s="208" t="e">
        <f aca="false">A367+DAY(EOMONTH(A367,0))/2-1</f>
        <v>#VALUE!</v>
      </c>
      <c r="AK367" s="209" t="str">
        <f aca="false">IF($A368="","",$A367-$E$1)</f>
        <v/>
      </c>
      <c r="AL367" s="182" t="str">
        <f aca="false">IF($A368="","",SPRDOPT(P367,X367,AI367,0,AB367,AE367,AF367,AK367,$AJ$2,0))</f>
        <v/>
      </c>
      <c r="AM367" s="211" t="str">
        <f aca="false">IF($A368="","",MAX(0,O367-W367-AI367))</f>
        <v/>
      </c>
      <c r="AN367" s="211" t="str">
        <f aca="false">IF($A368="","",AL367-AM367)</f>
        <v/>
      </c>
      <c r="AO367" s="137" t="str">
        <f aca="false">IF(A368="","",A368-A367)</f>
        <v/>
      </c>
      <c r="AP367" s="212" t="str">
        <f aca="false">IF(A368="","",CHOOSE(F$3,A368+24,A367))</f>
        <v/>
      </c>
      <c r="AQ367" s="209" t="str">
        <f aca="false">IF(A368="","",AP367-$E$1)</f>
        <v/>
      </c>
      <c r="AR367" s="185" t="n">
        <f aca="false">'ANR OK vs ML7'!AR367</f>
        <v>0.1</v>
      </c>
      <c r="AS367" s="213" t="str">
        <f aca="false">IF(A368="","",1/(1+CHOOSE(F$3,(AR368+($I$3/10000))/2,(AR367+($I$3/10000))/2))^(2*AQ367/365.25))</f>
        <v/>
      </c>
      <c r="AT367" s="137" t="str">
        <f aca="false">IF(A368="","",IF(AND(mthbeg&lt;=A367,mthend&gt;=A367),1,0))</f>
        <v/>
      </c>
      <c r="AU367" s="137" t="str">
        <f aca="false">IF(A368="","",AO367*AT367)</f>
        <v/>
      </c>
      <c r="AW367" s="195" t="str">
        <f aca="false">IF($A368="","",AL367*$E367)</f>
        <v/>
      </c>
      <c r="AX367" s="195" t="str">
        <f aca="false">IF($A368="","",AM367*$E367)</f>
        <v/>
      </c>
      <c r="AY367" s="195" t="str">
        <f aca="false">IF($A368="","",AN367*$E367)</f>
        <v/>
      </c>
      <c r="BA367" s="195" t="str">
        <f aca="false">IF($A368="","",F367*Summary!$Q$12)</f>
        <v/>
      </c>
    </row>
    <row r="368" customFormat="false" ht="12" hidden="false" customHeight="true" outlineLevel="0" collapsed="false">
      <c r="A368" s="196" t="str">
        <f aca="false">IF(A367&lt;mthend,EDATE(A367,1),"")</f>
        <v/>
      </c>
      <c r="B368" s="197" t="str">
        <f aca="false">IF(A368&lt;mthend,B367,"")</f>
        <v/>
      </c>
      <c r="C368" s="215"/>
      <c r="D368" s="197" t="str">
        <f aca="false">IF(A369&lt;&gt;"",B368+C368,"")</f>
        <v/>
      </c>
      <c r="E368" s="199" t="str">
        <f aca="false">IF(A369="","",IF(AND(AT368=1,$H$3=1),D368*AO368,IF($H$3=2,D368,"N/A")))</f>
        <v/>
      </c>
      <c r="F368" s="199" t="str">
        <f aca="false">IF(A369="","",E368*AS368)</f>
        <v/>
      </c>
      <c r="G368" s="200" t="str">
        <f aca="false">IF($A369="","",VLOOKUP($A368,Table,MATCH(G$4,Curves,0)))</f>
        <v/>
      </c>
      <c r="H368" s="201" t="str">
        <f aca="false">IF(A369="","",G368)</f>
        <v/>
      </c>
      <c r="I368" s="202"/>
      <c r="J368" s="200" t="str">
        <f aca="false">IF($A369="","",VLOOKUP($A368,Table,MATCH(J$4,Curves,0)))</f>
        <v/>
      </c>
      <c r="K368" s="201" t="str">
        <f aca="false">IF(A369="","",J368)</f>
        <v/>
      </c>
      <c r="L368" s="200" t="str">
        <f aca="false">IF($A369="","",VLOOKUP($A368,Table,MATCH(L$4,Curves,0)))</f>
        <v/>
      </c>
      <c r="M368" s="201" t="str">
        <f aca="false">IF(A369="","",L368)</f>
        <v/>
      </c>
      <c r="N368" s="203"/>
      <c r="O368" s="200" t="str">
        <f aca="false">IF(A369="","",L368+J368+G368)</f>
        <v/>
      </c>
      <c r="P368" s="200" t="str">
        <f aca="false">IF(A369="","",M368+K368+H368)</f>
        <v/>
      </c>
      <c r="Q368" s="204"/>
      <c r="R368" s="200" t="str">
        <f aca="false">IF($A369="","",VLOOKUP($A368,Table,MATCH(R$4,Curves,0)))</f>
        <v/>
      </c>
      <c r="S368" s="201" t="str">
        <f aca="false">IF(A369="","",R368)</f>
        <v/>
      </c>
      <c r="T368" s="200" t="str">
        <f aca="false">IF($A369="","",VLOOKUP($A368,Table,MATCH(T$4,Curves,0)))</f>
        <v/>
      </c>
      <c r="U368" s="201" t="str">
        <f aca="false">IF(A369="","",T368)</f>
        <v/>
      </c>
      <c r="V368" s="225" t="str">
        <f aca="false">IF($A369="","",IF(AND(MONTH(A368)&gt;3,MONTH(A368)&lt;11),(T368+R368+G368)*(((1/(1-Summary!$T$12))/(1-Summary!$W$12))-1),(T368+R368+G368)*((1/(1-Summary!$U$12))/(1-Summary!$X$12)-1)))</f>
        <v/>
      </c>
      <c r="W368" s="200" t="str">
        <f aca="false">IF($A369="","",(T368+R368+G368+V368))</f>
        <v/>
      </c>
      <c r="X368" s="200" t="str">
        <f aca="false">IF($A369="","",(U368+S368+H368+V368))</f>
        <v/>
      </c>
      <c r="Y368" s="202"/>
      <c r="Z368" s="185" t="str">
        <f aca="false">IF($A369="","",VLOOKUP($A368,Table,MATCH(Z$4,Curves,0)))</f>
        <v/>
      </c>
      <c r="AA368" s="185" t="str">
        <f aca="false">IF($A369="","",VLOOKUP($A368,Table,MATCH(AA$4,Curves,0)))</f>
        <v/>
      </c>
      <c r="AB368" s="185" t="e">
        <f aca="false">SQRT((AA368^2*(A368-$D$3)+Z368^2*(DAY(EOMONTH(A368,0))/2))/AK368)</f>
        <v>#VALUE!</v>
      </c>
      <c r="AC368" s="185" t="str">
        <f aca="false">IF($A369="","",VLOOKUP($A368,Table,MATCH(AC$4,Curves,0)))</f>
        <v/>
      </c>
      <c r="AD368" s="185" t="str">
        <f aca="false">IF($A369="","",VLOOKUP($A368,Table,MATCH(AD$4,Curves,0)))</f>
        <v/>
      </c>
      <c r="AE368" s="185" t="e">
        <f aca="false">SQRT((AD368^2*(A368-$D$3)+AC368^2*(DAY(EOMONTH(A368,0))/2))/AK368)</f>
        <v>#VALUE!</v>
      </c>
      <c r="AF368" s="206" t="e">
        <f aca="false">((Summary!$N$12*(AA368*AD368)*(A368-$D$3))+(Summary!$M$12*Z368*AC368*(AJ368-EOMONTH(EDATE(A368,-1),0))))/(AK368*AB368*AE368)</f>
        <v>#VALUE!</v>
      </c>
      <c r="AG368" s="207" t="str">
        <f aca="false">IF($A369="","",Summary!$Q$12)</f>
        <v/>
      </c>
      <c r="AH368" s="207" t="str">
        <f aca="false">IF($A369="","",IF(Summary!$R$12="Y",(VLOOKUP($A368,Summary!$AD$6:$AF$9,3)+'Escalating commodity'!H381),'Escalating commodity'!H381))</f>
        <v/>
      </c>
      <c r="AI368" s="207" t="str">
        <f aca="false">IF($A369="","",AH368)</f>
        <v/>
      </c>
      <c r="AJ368" s="208" t="e">
        <f aca="false">A368+DAY(EOMONTH(A368,0))/2-1</f>
        <v>#VALUE!</v>
      </c>
      <c r="AK368" s="209" t="str">
        <f aca="false">IF($A369="","",$A368-$E$1)</f>
        <v/>
      </c>
      <c r="AL368" s="182" t="str">
        <f aca="false">IF($A369="","",SPRDOPT(P368,X368,AI368,0,AB368,AE368,AF368,AK368,$AJ$2,0))</f>
        <v/>
      </c>
      <c r="AM368" s="211" t="str">
        <f aca="false">IF($A369="","",MAX(0,O368-W368-AI368))</f>
        <v/>
      </c>
      <c r="AN368" s="211" t="str">
        <f aca="false">IF($A369="","",AL368-AM368)</f>
        <v/>
      </c>
      <c r="AO368" s="137" t="str">
        <f aca="false">IF(A369="","",A369-A368)</f>
        <v/>
      </c>
      <c r="AP368" s="212" t="str">
        <f aca="false">IF(A369="","",CHOOSE(F$3,A369+24,A368))</f>
        <v/>
      </c>
      <c r="AQ368" s="209" t="str">
        <f aca="false">IF(A369="","",AP368-$E$1)</f>
        <v/>
      </c>
      <c r="AR368" s="185" t="n">
        <f aca="false">'ANR OK vs ML7'!AR368</f>
        <v>0.1</v>
      </c>
      <c r="AS368" s="213" t="str">
        <f aca="false">IF(A369="","",1/(1+CHOOSE(F$3,(AR369+($I$3/10000))/2,(AR368+($I$3/10000))/2))^(2*AQ368/365.25))</f>
        <v/>
      </c>
      <c r="AT368" s="137" t="str">
        <f aca="false">IF(A369="","",IF(AND(mthbeg&lt;=A368,mthend&gt;=A368),1,0))</f>
        <v/>
      </c>
      <c r="AU368" s="137" t="str">
        <f aca="false">IF(A369="","",AO368*AT368)</f>
        <v/>
      </c>
      <c r="AW368" s="195" t="str">
        <f aca="false">IF($A369="","",AL368*$E368)</f>
        <v/>
      </c>
      <c r="AX368" s="195" t="str">
        <f aca="false">IF($A369="","",AM368*$E368)</f>
        <v/>
      </c>
      <c r="AY368" s="195" t="str">
        <f aca="false">IF($A369="","",AN368*$E368)</f>
        <v/>
      </c>
      <c r="BA368" s="195" t="str">
        <f aca="false">IF($A369="","",F368*Summary!$Q$12)</f>
        <v/>
      </c>
    </row>
    <row r="369" customFormat="false" ht="12" hidden="false" customHeight="true" outlineLevel="0" collapsed="false">
      <c r="A369" s="196" t="str">
        <f aca="false">IF(A368&lt;mthend,EDATE(A368,1),"")</f>
        <v/>
      </c>
      <c r="B369" s="197" t="str">
        <f aca="false">IF(A369&lt;mthend,B368,"")</f>
        <v/>
      </c>
      <c r="C369" s="215"/>
      <c r="D369" s="197" t="str">
        <f aca="false">IF(A370&lt;&gt;"",B369+C369,"")</f>
        <v/>
      </c>
      <c r="E369" s="199" t="str">
        <f aca="false">IF(A370="","",IF(AND(AT369=1,$H$3=1),D369*AO369,IF($H$3=2,D369,"N/A")))</f>
        <v/>
      </c>
      <c r="F369" s="199" t="str">
        <f aca="false">IF(A370="","",E369*AS369)</f>
        <v/>
      </c>
      <c r="G369" s="200" t="str">
        <f aca="false">IF($A370="","",VLOOKUP($A369,Table,MATCH(G$4,Curves,0)))</f>
        <v/>
      </c>
      <c r="H369" s="201" t="str">
        <f aca="false">IF(A370="","",G369)</f>
        <v/>
      </c>
      <c r="I369" s="202"/>
      <c r="J369" s="200" t="str">
        <f aca="false">IF($A370="","",VLOOKUP($A369,Table,MATCH(J$4,Curves,0)))</f>
        <v/>
      </c>
      <c r="K369" s="201" t="str">
        <f aca="false">IF(A370="","",J369)</f>
        <v/>
      </c>
      <c r="L369" s="200" t="str">
        <f aca="false">IF($A370="","",VLOOKUP($A369,Table,MATCH(L$4,Curves,0)))</f>
        <v/>
      </c>
      <c r="M369" s="201" t="str">
        <f aca="false">IF(A370="","",L369)</f>
        <v/>
      </c>
      <c r="N369" s="203"/>
      <c r="O369" s="200" t="str">
        <f aca="false">IF(A370="","",L369+J369+G369)</f>
        <v/>
      </c>
      <c r="P369" s="200" t="str">
        <f aca="false">IF(A370="","",M369+K369+H369)</f>
        <v/>
      </c>
      <c r="Q369" s="204"/>
      <c r="R369" s="200" t="str">
        <f aca="false">IF($A370="","",VLOOKUP($A369,Table,MATCH(R$4,Curves,0)))</f>
        <v/>
      </c>
      <c r="S369" s="201" t="str">
        <f aca="false">IF(A370="","",R369)</f>
        <v/>
      </c>
      <c r="T369" s="200" t="str">
        <f aca="false">IF($A370="","",VLOOKUP($A369,Table,MATCH(T$4,Curves,0)))</f>
        <v/>
      </c>
      <c r="U369" s="201" t="str">
        <f aca="false">IF(A370="","",T369)</f>
        <v/>
      </c>
      <c r="V369" s="225" t="str">
        <f aca="false">IF($A370="","",IF(AND(MONTH(A369)&gt;3,MONTH(A369)&lt;11),(T369+R369+G369)*(((1/(1-Summary!$T$12))/(1-Summary!$W$12))-1),(T369+R369+G369)*((1/(1-Summary!$U$12))/(1-Summary!$X$12)-1)))</f>
        <v/>
      </c>
      <c r="W369" s="200" t="str">
        <f aca="false">IF($A370="","",(T369+R369+G369+V369))</f>
        <v/>
      </c>
      <c r="X369" s="200" t="str">
        <f aca="false">IF($A370="","",(U369+S369+H369+V369))</f>
        <v/>
      </c>
      <c r="Y369" s="202"/>
      <c r="Z369" s="185" t="str">
        <f aca="false">IF($A370="","",VLOOKUP($A369,Table,MATCH(Z$4,Curves,0)))</f>
        <v/>
      </c>
      <c r="AA369" s="185" t="str">
        <f aca="false">IF($A370="","",VLOOKUP($A369,Table,MATCH(AA$4,Curves,0)))</f>
        <v/>
      </c>
      <c r="AB369" s="185" t="e">
        <f aca="false">SQRT((AA369^2*(A369-$D$3)+Z369^2*(DAY(EOMONTH(A369,0))/2))/AK369)</f>
        <v>#VALUE!</v>
      </c>
      <c r="AC369" s="185" t="str">
        <f aca="false">IF($A370="","",VLOOKUP($A369,Table,MATCH(AC$4,Curves,0)))</f>
        <v/>
      </c>
      <c r="AD369" s="185" t="str">
        <f aca="false">IF($A370="","",VLOOKUP($A369,Table,MATCH(AD$4,Curves,0)))</f>
        <v/>
      </c>
      <c r="AE369" s="185" t="e">
        <f aca="false">SQRT((AD369^2*(A369-$D$3)+AC369^2*(DAY(EOMONTH(A369,0))/2))/AK369)</f>
        <v>#VALUE!</v>
      </c>
      <c r="AF369" s="206" t="e">
        <f aca="false">((Summary!$N$12*(AA369*AD369)*(A369-$D$3))+(Summary!$M$12*Z369*AC369*(AJ369-EOMONTH(EDATE(A369,-1),0))))/(AK369*AB369*AE369)</f>
        <v>#VALUE!</v>
      </c>
      <c r="AG369" s="207" t="str">
        <f aca="false">IF($A370="","",Summary!$Q$12)</f>
        <v/>
      </c>
      <c r="AH369" s="207" t="str">
        <f aca="false">IF($A370="","",IF(Summary!$R$12="Y",(VLOOKUP($A369,Summary!$AD$6:$AF$9,3)+'Escalating commodity'!H382),'Escalating commodity'!H382))</f>
        <v/>
      </c>
      <c r="AI369" s="207" t="str">
        <f aca="false">IF($A370="","",AH369)</f>
        <v/>
      </c>
      <c r="AJ369" s="208" t="e">
        <f aca="false">A369+DAY(EOMONTH(A369,0))/2-1</f>
        <v>#VALUE!</v>
      </c>
      <c r="AK369" s="209" t="str">
        <f aca="false">IF($A370="","",$A369-$E$1)</f>
        <v/>
      </c>
      <c r="AL369" s="182" t="str">
        <f aca="false">IF($A370="","",SPRDOPT(P369,X369,AI369,0,AB369,AE369,AF369,AK369,$AJ$2,0))</f>
        <v/>
      </c>
      <c r="AM369" s="211" t="str">
        <f aca="false">IF($A370="","",MAX(0,O369-W369-AI369))</f>
        <v/>
      </c>
      <c r="AN369" s="211" t="str">
        <f aca="false">IF($A370="","",AL369-AM369)</f>
        <v/>
      </c>
      <c r="AO369" s="137" t="str">
        <f aca="false">IF(A370="","",A370-A369)</f>
        <v/>
      </c>
      <c r="AP369" s="212" t="str">
        <f aca="false">IF(A370="","",CHOOSE(F$3,A370+24,A369))</f>
        <v/>
      </c>
      <c r="AQ369" s="209" t="str">
        <f aca="false">IF(A370="","",AP369-$E$1)</f>
        <v/>
      </c>
      <c r="AR369" s="185" t="n">
        <f aca="false">'ANR OK vs ML7'!AR369</f>
        <v>0.1</v>
      </c>
      <c r="AS369" s="213" t="str">
        <f aca="false">IF(A370="","",1/(1+CHOOSE(F$3,(AR370+($I$3/10000))/2,(AR369+($I$3/10000))/2))^(2*AQ369/365.25))</f>
        <v/>
      </c>
      <c r="AT369" s="137" t="str">
        <f aca="false">IF(A370="","",IF(AND(mthbeg&lt;=A369,mthend&gt;=A369),1,0))</f>
        <v/>
      </c>
      <c r="AU369" s="137" t="str">
        <f aca="false">IF(A370="","",AO369*AT369)</f>
        <v/>
      </c>
      <c r="AW369" s="195" t="str">
        <f aca="false">IF($A370="","",AL369*$E369)</f>
        <v/>
      </c>
      <c r="AX369" s="195" t="str">
        <f aca="false">IF($A370="","",AM369*$E369)</f>
        <v/>
      </c>
      <c r="AY369" s="195" t="str">
        <f aca="false">IF($A370="","",AN369*$E369)</f>
        <v/>
      </c>
      <c r="BA369" s="195" t="str">
        <f aca="false">IF($A370="","",F369*Summary!$Q$12)</f>
        <v/>
      </c>
    </row>
    <row r="370" customFormat="false" ht="12.75" hidden="false" customHeight="false" outlineLevel="0" collapsed="false">
      <c r="A370" s="196" t="str">
        <f aca="false">IF(A369&lt;mthend,EDATE(A369,1),"")</f>
        <v/>
      </c>
      <c r="B370" s="197" t="str">
        <f aca="false">IF(A370&lt;mthend,B369,"")</f>
        <v/>
      </c>
      <c r="C370" s="216"/>
      <c r="D370" s="197" t="str">
        <f aca="false">IF(A371&lt;&gt;"",B370+C370,"")</f>
        <v/>
      </c>
      <c r="E370" s="199" t="str">
        <f aca="false">IF(A371="","",IF(AND(AT370=1,$H$3=1),D370*AO370,IF($H$3=2,D370,"N/A")))</f>
        <v/>
      </c>
      <c r="F370" s="199" t="str">
        <f aca="false">IF(A371="","",E370*AS370)</f>
        <v/>
      </c>
      <c r="G370" s="200" t="str">
        <f aca="false">IF($A371="","",VLOOKUP($A370,Table,MATCH(G$4,Curves,0)))</f>
        <v/>
      </c>
      <c r="H370" s="201" t="str">
        <f aca="false">IF(A371="","",G370)</f>
        <v/>
      </c>
      <c r="J370" s="200" t="str">
        <f aca="false">IF($A371="","",VLOOKUP($A370,Table,MATCH(J$4,Curves,0)))</f>
        <v/>
      </c>
      <c r="K370" s="201" t="str">
        <f aca="false">IF(A371="","",J370)</f>
        <v/>
      </c>
      <c r="L370" s="200" t="str">
        <f aca="false">IF($A371="","",VLOOKUP($A370,Table,MATCH(L$4,Curves,0)))</f>
        <v/>
      </c>
      <c r="M370" s="201" t="str">
        <f aca="false">IF(A371="","",L370)</f>
        <v/>
      </c>
      <c r="O370" s="200" t="str">
        <f aca="false">IF(A371="","",L370+J370+G370)</f>
        <v/>
      </c>
      <c r="P370" s="200" t="str">
        <f aca="false">IF(A371="","",M370+K370+H370)</f>
        <v/>
      </c>
      <c r="R370" s="200" t="str">
        <f aca="false">IF($A371="","",VLOOKUP($A370,Table,MATCH(R$4,Curves,0)))</f>
        <v/>
      </c>
      <c r="S370" s="201" t="str">
        <f aca="false">IF(A371="","",R370)</f>
        <v/>
      </c>
      <c r="T370" s="200" t="str">
        <f aca="false">IF($A371="","",VLOOKUP($A370,Table,MATCH(T$4,Curves,0)))</f>
        <v/>
      </c>
      <c r="U370" s="201" t="str">
        <f aca="false">IF(A371="","",T370)</f>
        <v/>
      </c>
      <c r="V370" s="225" t="str">
        <f aca="false">IF($A371="","",IF(AND(MONTH(A370)&gt;3,MONTH(A370)&lt;11),(T370+R370+G370)*(((1/(1-Summary!$T$12))/(1-Summary!$W$12))-1),(T370+R370+G370)*((1/(1-Summary!$U$12))/(1-Summary!$X$12)-1)))</f>
        <v/>
      </c>
      <c r="W370" s="200" t="str">
        <f aca="false">IF($A371="","",(T370+R370+G370+V370))</f>
        <v/>
      </c>
      <c r="X370" s="200" t="str">
        <f aca="false">IF($A371="","",(U370+S370+H370+V370))</f>
        <v/>
      </c>
      <c r="Y370" s="202"/>
      <c r="Z370" s="185"/>
      <c r="AA370" s="21"/>
      <c r="AB370" s="21"/>
      <c r="AC370" s="21"/>
      <c r="AD370" s="21"/>
      <c r="AE370" s="21"/>
      <c r="AF370" s="21"/>
      <c r="AG370" s="182"/>
      <c r="AH370" s="182"/>
      <c r="AI370" s="182"/>
      <c r="AO370" s="137" t="str">
        <f aca="false">IF(A371="","",A371-A370)</f>
        <v/>
      </c>
      <c r="AP370" s="212" t="str">
        <f aca="false">IF(A371="","",CHOOSE(F$3,A371+24,A370))</f>
        <v/>
      </c>
      <c r="AQ370" s="209" t="str">
        <f aca="false">IF(A371="","",AP370-$E$1)</f>
        <v/>
      </c>
      <c r="AR370" s="185" t="n">
        <f aca="false">'ANR OK vs ML7'!AR370</f>
        <v>0.1</v>
      </c>
      <c r="AS370" s="213" t="str">
        <f aca="false">IF(A371="","",1/(1+CHOOSE(F$3,(AR371+($I$3/10000))/2,(AR370+($I$3/10000))/2))^(2*AQ370/365.25))</f>
        <v/>
      </c>
      <c r="AT370" s="137" t="str">
        <f aca="false">IF(A371="","",IF(AND(mthbeg&lt;=A370,mthend&gt;=A370),1,0))</f>
        <v/>
      </c>
      <c r="AU370" s="137" t="str">
        <f aca="false">IF(A371="","",AO370*AT370)</f>
        <v/>
      </c>
      <c r="AW370" s="195" t="str">
        <f aca="false">IF($A371="","",AL370*$E370)</f>
        <v/>
      </c>
      <c r="AX370" s="195" t="str">
        <f aca="false">IF($A371="","",AM370*$E370)</f>
        <v/>
      </c>
      <c r="AY370" s="195" t="str">
        <f aca="false">IF($A371="","",AN370*$E370)</f>
        <v/>
      </c>
      <c r="BA370" s="195" t="str">
        <f aca="false">IF($A371="","",F370*Summary!$Q$12)</f>
        <v/>
      </c>
    </row>
    <row r="371" customFormat="false" ht="12.75" hidden="false" customHeight="false" outlineLevel="0" collapsed="false">
      <c r="A371" s="196" t="str">
        <f aca="false">IF(A370&lt;mthend,EDATE(A370,1),"")</f>
        <v/>
      </c>
      <c r="B371" s="197" t="str">
        <f aca="false">IF(A371&lt;mthend,B370,"")</f>
        <v/>
      </c>
      <c r="D371" s="197" t="str">
        <f aca="false">IF(A372&lt;&gt;"",B371+C371,"")</f>
        <v/>
      </c>
      <c r="E371" s="199" t="str">
        <f aca="false">IF(A372="","",IF(AND(AT371=1,$H$3=1),D371*AO371,IF($H$3=2,D371,"N/A")))</f>
        <v/>
      </c>
      <c r="F371" s="199" t="str">
        <f aca="false">IF(A372="","",E371*AS371)</f>
        <v/>
      </c>
      <c r="G371" s="200" t="str">
        <f aca="false">IF($A372="","",VLOOKUP($A371,Table,MATCH(G$4,Curves,0)))</f>
        <v/>
      </c>
      <c r="H371" s="201" t="str">
        <f aca="false">IF(A372="","",G371)</f>
        <v/>
      </c>
      <c r="J371" s="200" t="str">
        <f aca="false">IF($A372="","",VLOOKUP($A371,Table,MATCH(J$4,Curves,0)))</f>
        <v/>
      </c>
      <c r="K371" s="201" t="str">
        <f aca="false">IF(A372="","",J371)</f>
        <v/>
      </c>
      <c r="L371" s="200" t="str">
        <f aca="false">IF($A372="","",VLOOKUP($A371,Table,MATCH(L$4,Curves,0)))</f>
        <v/>
      </c>
      <c r="M371" s="201" t="str">
        <f aca="false">IF(A372="","",L371)</f>
        <v/>
      </c>
      <c r="O371" s="200" t="str">
        <f aca="false">IF(A372="","",L371+J371+G371)</f>
        <v/>
      </c>
      <c r="P371" s="200" t="str">
        <f aca="false">IF(A372="","",M371+K371+H371)</f>
        <v/>
      </c>
      <c r="R371" s="200" t="str">
        <f aca="false">IF($A372="","",VLOOKUP($A371,Table,MATCH(R$4,Curves,0)))</f>
        <v/>
      </c>
      <c r="S371" s="201" t="str">
        <f aca="false">IF(A372="","",R371)</f>
        <v/>
      </c>
      <c r="T371" s="200" t="str">
        <f aca="false">IF($A372="","",VLOOKUP($A371,Table,MATCH(T$4,Curves,0)))</f>
        <v/>
      </c>
      <c r="U371" s="201" t="str">
        <f aca="false">IF(A372="","",T371)</f>
        <v/>
      </c>
      <c r="V371" s="225" t="str">
        <f aca="false">IF($A372="","",IF(AND(MONTH(A371)&gt;3,MONTH(A371)&lt;11),(T371+R371+G371)*(((1/(1-Summary!$T$12))/(1-Summary!$W$12))-1),(T371+R371+G371)*((1/(1-Summary!$U$12))/(1-Summary!$X$12)-1)))</f>
        <v/>
      </c>
      <c r="W371" s="200" t="str">
        <f aca="false">IF($A372="","",(T371+R371+G371+V371))</f>
        <v/>
      </c>
      <c r="X371" s="200" t="str">
        <f aca="false">IF($A372="","",(U371+S371+H371+V371))</f>
        <v/>
      </c>
      <c r="Y371" s="202"/>
      <c r="Z371" s="185"/>
      <c r="AG371" s="182"/>
      <c r="AH371" s="182"/>
      <c r="AI371" s="182"/>
      <c r="AJ371" s="217"/>
      <c r="AK371" s="217"/>
      <c r="AL371" s="217"/>
      <c r="AM371" s="217"/>
      <c r="AN371" s="217"/>
      <c r="AO371" s="137" t="str">
        <f aca="false">IF(A372="","",A372-A371)</f>
        <v/>
      </c>
      <c r="AP371" s="212" t="str">
        <f aca="false">IF(A372="","",CHOOSE(F$3,A372+24,A371))</f>
        <v/>
      </c>
      <c r="AQ371" s="209" t="str">
        <f aca="false">IF(A372="","",AP371-$E$1)</f>
        <v/>
      </c>
      <c r="AR371" s="185" t="n">
        <f aca="false">'ANR OK vs ML7'!AR371</f>
        <v>0.1</v>
      </c>
      <c r="AS371" s="213" t="str">
        <f aca="false">IF(A372="","",1/(1+CHOOSE(F$3,(AR372+($I$3/10000))/2,(AR371+($I$3/10000))/2))^(2*AQ371/365.25))</f>
        <v/>
      </c>
      <c r="AT371" s="137" t="str">
        <f aca="false">IF(A372="","",IF(AND(mthbeg&lt;=A371,mthend&gt;=A371),1,0))</f>
        <v/>
      </c>
      <c r="AU371" s="137" t="str">
        <f aca="false">IF(A372="","",AO371*AT371)</f>
        <v/>
      </c>
      <c r="AW371" s="195" t="str">
        <f aca="false">IF($A372="","",AL371*$E371)</f>
        <v/>
      </c>
      <c r="AX371" s="195" t="str">
        <f aca="false">IF($A372="","",AM371*$E371)</f>
        <v/>
      </c>
      <c r="AY371" s="195" t="str">
        <f aca="false">IF($A372="","",AN371*$E371)</f>
        <v/>
      </c>
      <c r="BA371" s="195" t="str">
        <f aca="false">IF($A372="","",F371*Summary!$Q$12)</f>
        <v/>
      </c>
    </row>
    <row r="372" customFormat="false" ht="12.75" hidden="false" customHeight="false" outlineLevel="0" collapsed="false">
      <c r="A372" s="196" t="str">
        <f aca="false">IF(A371&lt;mthend,EDATE(A371,1),"")</f>
        <v/>
      </c>
      <c r="B372" s="197" t="str">
        <f aca="false">IF(A372&lt;mthend,B371,"")</f>
        <v/>
      </c>
      <c r="D372" s="197" t="str">
        <f aca="false">IF(A373&lt;&gt;"",B372+C372,"")</f>
        <v/>
      </c>
      <c r="E372" s="199" t="str">
        <f aca="false">IF(A373="","",IF(AND(AT372=1,$H$3=1),D372*AO372,IF($H$3=2,D372,"N/A")))</f>
        <v/>
      </c>
      <c r="F372" s="199" t="str">
        <f aca="false">IF(A373="","",E372*AS372)</f>
        <v/>
      </c>
      <c r="G372" s="200" t="str">
        <f aca="false">IF($A373="","",VLOOKUP($A372,Table,MATCH(G$4,Curves,0)))</f>
        <v/>
      </c>
      <c r="H372" s="201" t="str">
        <f aca="false">IF(A373="","",G372)</f>
        <v/>
      </c>
      <c r="J372" s="200" t="str">
        <f aca="false">IF($A373="","",VLOOKUP($A372,Table,MATCH(J$4,Curves,0)))</f>
        <v/>
      </c>
      <c r="K372" s="201" t="str">
        <f aca="false">IF(A373="","",J372)</f>
        <v/>
      </c>
      <c r="L372" s="200" t="str">
        <f aca="false">IF($A373="","",VLOOKUP($A372,Table,MATCH(L$4,Curves,0)))</f>
        <v/>
      </c>
      <c r="M372" s="201" t="str">
        <f aca="false">IF(A373="","",L372)</f>
        <v/>
      </c>
      <c r="O372" s="200" t="str">
        <f aca="false">IF(A373="","",L372+J372+G372)</f>
        <v/>
      </c>
      <c r="P372" s="200" t="str">
        <f aca="false">IF(A373="","",M372+K372+H372)</f>
        <v/>
      </c>
      <c r="R372" s="200" t="str">
        <f aca="false">IF($A373="","",VLOOKUP($A372,Table,MATCH(R$4,Curves,0)))</f>
        <v/>
      </c>
      <c r="S372" s="201" t="str">
        <f aca="false">IF(A373="","",R372)</f>
        <v/>
      </c>
      <c r="T372" s="200" t="str">
        <f aca="false">IF($A373="","",VLOOKUP($A372,Table,MATCH(T$4,Curves,0)))</f>
        <v/>
      </c>
      <c r="U372" s="201" t="str">
        <f aca="false">IF(A373="","",T372)</f>
        <v/>
      </c>
      <c r="V372" s="225" t="str">
        <f aca="false">IF($A373="","",IF(AND(MONTH(A372)&gt;3,MONTH(A372)&lt;11),(T372+R372+G372)*(((1/(1-Summary!$T$12))/(1-Summary!$W$12))-1),(T372+R372+G372)*((1/(1-Summary!$U$12))/(1-Summary!$X$12)-1)))</f>
        <v/>
      </c>
      <c r="W372" s="200" t="str">
        <f aca="false">IF($A373="","",(T372+R372+G372+V372))</f>
        <v/>
      </c>
      <c r="X372" s="200" t="str">
        <f aca="false">IF($A373="","",(U372+S372+H372+V372))</f>
        <v/>
      </c>
      <c r="Y372" s="202"/>
      <c r="Z372" s="185"/>
      <c r="AG372" s="182"/>
      <c r="AH372" s="182"/>
      <c r="AI372" s="182"/>
      <c r="AJ372" s="218"/>
      <c r="AK372" s="218"/>
      <c r="AL372" s="218"/>
      <c r="AM372" s="218"/>
      <c r="AN372" s="218"/>
      <c r="AO372" s="137" t="str">
        <f aca="false">IF(A373="","",A373-A372)</f>
        <v/>
      </c>
      <c r="AP372" s="212" t="str">
        <f aca="false">IF(A373="","",CHOOSE(F$3,A373+24,A372))</f>
        <v/>
      </c>
      <c r="AQ372" s="209" t="str">
        <f aca="false">IF(A373="","",AP372-$E$1)</f>
        <v/>
      </c>
      <c r="AR372" s="185" t="n">
        <f aca="false">'ANR OK vs ML7'!AR372</f>
        <v>0.1</v>
      </c>
      <c r="AS372" s="213" t="str">
        <f aca="false">IF(A373="","",1/(1+CHOOSE(F$3,(AR373+($I$3/10000))/2,(AR372+($I$3/10000))/2))^(2*AQ372/365.25))</f>
        <v/>
      </c>
      <c r="AT372" s="137" t="str">
        <f aca="false">IF(A373="","",IF(AND(mthbeg&lt;=A372,mthend&gt;=A372),1,0))</f>
        <v/>
      </c>
      <c r="AU372" s="137" t="str">
        <f aca="false">IF(A373="","",AO372*AT372)</f>
        <v/>
      </c>
      <c r="AW372" s="195" t="str">
        <f aca="false">IF($A373="","",AL372*$E372)</f>
        <v/>
      </c>
      <c r="AX372" s="195" t="str">
        <f aca="false">IF($A373="","",AM372*$E372)</f>
        <v/>
      </c>
      <c r="AY372" s="195" t="str">
        <f aca="false">IF($A373="","",AN372*$E372)</f>
        <v/>
      </c>
      <c r="BA372" s="195" t="str">
        <f aca="false">IF($A373="","",F372*Summary!$Q$12)</f>
        <v/>
      </c>
    </row>
    <row r="373" customFormat="false" ht="12.75" hidden="false" customHeight="false" outlineLevel="0" collapsed="false">
      <c r="A373" s="196" t="str">
        <f aca="false">IF(A372&lt;mthend,EDATE(A372,1),"")</f>
        <v/>
      </c>
      <c r="B373" s="197" t="str">
        <f aca="false">IF(A373&lt;mthend,B372,"")</f>
        <v/>
      </c>
      <c r="D373" s="197" t="str">
        <f aca="false">IF(A374&lt;&gt;"",B373+C373,"")</f>
        <v/>
      </c>
      <c r="E373" s="199" t="str">
        <f aca="false">IF(A374="","",IF(AND(AT373=1,$H$3=1),D373*AO373,IF($H$3=2,D373,"N/A")))</f>
        <v/>
      </c>
      <c r="F373" s="199" t="str">
        <f aca="false">IF(A374="","",E373*AS373)</f>
        <v/>
      </c>
      <c r="G373" s="200" t="str">
        <f aca="false">IF($A374="","",VLOOKUP($A373,Table,MATCH(G$4,Curves,0)))</f>
        <v/>
      </c>
      <c r="H373" s="201" t="str">
        <f aca="false">IF(A374="","",G373)</f>
        <v/>
      </c>
      <c r="J373" s="200" t="str">
        <f aca="false">IF($A374="","",VLOOKUP($A373,Table,MATCH(J$4,Curves,0)))</f>
        <v/>
      </c>
      <c r="K373" s="201" t="str">
        <f aca="false">IF(A374="","",J373)</f>
        <v/>
      </c>
      <c r="L373" s="200" t="str">
        <f aca="false">IF($A374="","",VLOOKUP($A373,Table,MATCH(L$4,Curves,0)))</f>
        <v/>
      </c>
      <c r="M373" s="201" t="str">
        <f aca="false">IF(A374="","",L373)</f>
        <v/>
      </c>
      <c r="O373" s="200" t="str">
        <f aca="false">IF(A374="","",L373+J373+G373)</f>
        <v/>
      </c>
      <c r="P373" s="200" t="str">
        <f aca="false">IF(A374="","",M373+K373+H373)</f>
        <v/>
      </c>
      <c r="R373" s="200" t="str">
        <f aca="false">IF($A374="","",VLOOKUP($A373,Table,MATCH(R$4,Curves,0)))</f>
        <v/>
      </c>
      <c r="S373" s="201" t="str">
        <f aca="false">IF(A374="","",R373)</f>
        <v/>
      </c>
      <c r="T373" s="200" t="str">
        <f aca="false">IF($A374="","",VLOOKUP($A373,Table,MATCH(T$4,Curves,0)))</f>
        <v/>
      </c>
      <c r="U373" s="201" t="str">
        <f aca="false">IF(A374="","",T373)</f>
        <v/>
      </c>
      <c r="V373" s="225" t="str">
        <f aca="false">IF($A374="","",IF(AND(MONTH(A373)&gt;3,MONTH(A373)&lt;11),(T373+R373+G373)*(((1/(1-Summary!$T$12))/(1-Summary!$W$12))-1),(T373+R373+G373)*((1/(1-Summary!$U$12))/(1-Summary!$X$12)-1)))</f>
        <v/>
      </c>
      <c r="W373" s="200" t="str">
        <f aca="false">IF($A374="","",(T373+R373+G373+V373))</f>
        <v/>
      </c>
      <c r="X373" s="200" t="str">
        <f aca="false">IF($A374="","",(U373+S373+H373+V373))</f>
        <v/>
      </c>
      <c r="Y373" s="202"/>
      <c r="Z373" s="185"/>
      <c r="AG373" s="182"/>
      <c r="AH373" s="182"/>
      <c r="AI373" s="182"/>
      <c r="AJ373" s="218"/>
      <c r="AK373" s="218"/>
      <c r="AL373" s="218"/>
      <c r="AM373" s="218"/>
      <c r="AN373" s="218"/>
      <c r="AO373" s="137" t="str">
        <f aca="false">IF(A374="","",A374-A373)</f>
        <v/>
      </c>
      <c r="AP373" s="212" t="str">
        <f aca="false">IF(A374="","",CHOOSE(F$3,A374+24,A373))</f>
        <v/>
      </c>
      <c r="AQ373" s="209" t="str">
        <f aca="false">IF(A374="","",AP373-$E$1)</f>
        <v/>
      </c>
      <c r="AR373" s="185" t="n">
        <f aca="false">'ANR OK vs ML7'!AR373</f>
        <v>0.1</v>
      </c>
      <c r="AS373" s="213" t="str">
        <f aca="false">IF(A374="","",1/(1+CHOOSE(F$3,(AR374+($I$3/10000))/2,(AR373+($I$3/10000))/2))^(2*AQ373/365.25))</f>
        <v/>
      </c>
      <c r="AT373" s="137" t="str">
        <f aca="false">IF(A374="","",IF(AND(mthbeg&lt;=A373,mthend&gt;=A373),1,0))</f>
        <v/>
      </c>
      <c r="AU373" s="137" t="str">
        <f aca="false">IF(A374="","",AO373*AT373)</f>
        <v/>
      </c>
      <c r="AW373" s="195" t="str">
        <f aca="false">IF($A374="","",AL373*$E373)</f>
        <v/>
      </c>
      <c r="AX373" s="195" t="str">
        <f aca="false">IF($A374="","",AM373*$E373)</f>
        <v/>
      </c>
      <c r="AY373" s="195" t="str">
        <f aca="false">IF($A374="","",AN373*$E373)</f>
        <v/>
      </c>
      <c r="BA373" s="195" t="str">
        <f aca="false">IF($A374="","",F373*Summary!$Q$12)</f>
        <v/>
      </c>
    </row>
    <row r="374" customFormat="false" ht="12.75" hidden="false" customHeight="false" outlineLevel="0" collapsed="false">
      <c r="A374" s="196" t="str">
        <f aca="false">IF(A373&lt;mthend,EDATE(A373,1),"")</f>
        <v/>
      </c>
      <c r="B374" s="197" t="str">
        <f aca="false">IF(A374&lt;mthend,B373,"")</f>
        <v/>
      </c>
      <c r="D374" s="197" t="str">
        <f aca="false">IF(A375&lt;&gt;"",B374+C374,"")</f>
        <v/>
      </c>
      <c r="E374" s="199" t="str">
        <f aca="false">IF(A375="","",IF(AND(AT374=1,$H$3=1),D374*AO374,IF($H$3=2,D374,"N/A")))</f>
        <v/>
      </c>
      <c r="F374" s="199" t="str">
        <f aca="false">IF(A375="","",E374*AS374)</f>
        <v/>
      </c>
      <c r="G374" s="200" t="str">
        <f aca="false">IF($A375="","",VLOOKUP($A374,Table,MATCH(G$4,Curves,0)))</f>
        <v/>
      </c>
      <c r="H374" s="201" t="str">
        <f aca="false">IF(A375="","",G374)</f>
        <v/>
      </c>
      <c r="J374" s="200" t="str">
        <f aca="false">IF($A375="","",VLOOKUP($A374,Table,MATCH(J$4,Curves,0)))</f>
        <v/>
      </c>
      <c r="K374" s="201" t="str">
        <f aca="false">IF(A375="","",J374)</f>
        <v/>
      </c>
      <c r="L374" s="200" t="str">
        <f aca="false">IF($A375="","",VLOOKUP($A374,Table,MATCH(L$4,Curves,0)))</f>
        <v/>
      </c>
      <c r="M374" s="201" t="str">
        <f aca="false">IF(A375="","",L374)</f>
        <v/>
      </c>
      <c r="O374" s="200" t="str">
        <f aca="false">IF(A375="","",L374+J374+G374)</f>
        <v/>
      </c>
      <c r="P374" s="200" t="str">
        <f aca="false">IF(A375="","",M374+K374+H374)</f>
        <v/>
      </c>
      <c r="R374" s="200" t="str">
        <f aca="false">IF($A375="","",VLOOKUP($A374,Table,MATCH(R$4,Curves,0)))</f>
        <v/>
      </c>
      <c r="S374" s="201" t="str">
        <f aca="false">IF(A375="","",R374)</f>
        <v/>
      </c>
      <c r="T374" s="200" t="str">
        <f aca="false">IF($A375="","",VLOOKUP($A374,Table,MATCH(T$4,Curves,0)))</f>
        <v/>
      </c>
      <c r="U374" s="201" t="str">
        <f aca="false">IF(A375="","",T374)</f>
        <v/>
      </c>
      <c r="V374" s="225" t="str">
        <f aca="false">IF($A375="","",IF(AND(MONTH(A374)&gt;3,MONTH(A374)&lt;11),(T374+R374+G374)*(((1/(1-Summary!$T$12))/(1-Summary!$W$12))-1),(T374+R374+G374)*((1/(1-Summary!$U$12))/(1-Summary!$X$12)-1)))</f>
        <v/>
      </c>
      <c r="W374" s="200" t="str">
        <f aca="false">IF($A375="","",(T374+R374+G374+V374))</f>
        <v/>
      </c>
      <c r="X374" s="200" t="str">
        <f aca="false">IF($A375="","",(U374+S374+H374+V374))</f>
        <v/>
      </c>
      <c r="Y374" s="202"/>
      <c r="Z374" s="185"/>
      <c r="AG374" s="182"/>
      <c r="AH374" s="182"/>
      <c r="AI374" s="182"/>
      <c r="AJ374" s="218"/>
      <c r="AK374" s="218"/>
      <c r="AL374" s="218"/>
      <c r="AM374" s="218"/>
      <c r="AN374" s="218"/>
      <c r="AO374" s="137" t="str">
        <f aca="false">IF(A375="","",A375-A374)</f>
        <v/>
      </c>
      <c r="AP374" s="212" t="str">
        <f aca="false">IF(A375="","",CHOOSE(F$3,A375+24,A374))</f>
        <v/>
      </c>
      <c r="AQ374" s="209" t="str">
        <f aca="false">IF(A375="","",AP374-$E$1)</f>
        <v/>
      </c>
      <c r="AR374" s="185" t="n">
        <f aca="false">'ANR OK vs ML7'!AR374</f>
        <v>0.1</v>
      </c>
      <c r="AS374" s="213" t="str">
        <f aca="false">IF(A375="","",1/(1+CHOOSE(F$3,(AR375+($I$3/10000))/2,(AR374+($I$3/10000))/2))^(2*AQ374/365.25))</f>
        <v/>
      </c>
      <c r="AT374" s="137" t="str">
        <f aca="false">IF(A375="","",IF(AND(mthbeg&lt;=A374,mthend&gt;=A374),1,0))</f>
        <v/>
      </c>
      <c r="AU374" s="137" t="str">
        <f aca="false">IF(A375="","",AO374*AT374)</f>
        <v/>
      </c>
      <c r="AW374" s="195" t="str">
        <f aca="false">IF($A375="","",AL374*$E374)</f>
        <v/>
      </c>
      <c r="AX374" s="195" t="str">
        <f aca="false">IF($A375="","",AM374*$E374)</f>
        <v/>
      </c>
      <c r="AY374" s="195" t="str">
        <f aca="false">IF($A375="","",AN374*$E374)</f>
        <v/>
      </c>
      <c r="BA374" s="195" t="str">
        <f aca="false">IF($A375="","",F374*Summary!$Q$12)</f>
        <v/>
      </c>
    </row>
    <row r="375" customFormat="false" ht="12.75" hidden="false" customHeight="false" outlineLevel="0" collapsed="false">
      <c r="A375" s="196" t="str">
        <f aca="false">IF(A374&lt;mthend,EDATE(A374,1),"")</f>
        <v/>
      </c>
      <c r="B375" s="197" t="str">
        <f aca="false">IF(A375&lt;mthend,B374,"")</f>
        <v/>
      </c>
      <c r="D375" s="197" t="str">
        <f aca="false">IF(A376&lt;&gt;"",B375+C375,"")</f>
        <v/>
      </c>
      <c r="E375" s="199" t="str">
        <f aca="false">IF(A376="","",IF(AND(AT375=1,$H$3=1),D375*AO375,IF($H$3=2,D375,"N/A")))</f>
        <v/>
      </c>
      <c r="F375" s="199" t="str">
        <f aca="false">IF(A376="","",E375*AS375)</f>
        <v/>
      </c>
      <c r="G375" s="200" t="str">
        <f aca="false">IF($A376="","",VLOOKUP($A375,Table,MATCH(G$4,Curves,0)))</f>
        <v/>
      </c>
      <c r="H375" s="201" t="str">
        <f aca="false">IF(A376="","",G375)</f>
        <v/>
      </c>
      <c r="J375" s="200" t="str">
        <f aca="false">IF($A376="","",VLOOKUP($A375,Table,MATCH(J$4,Curves,0)))</f>
        <v/>
      </c>
      <c r="K375" s="201" t="str">
        <f aca="false">IF(A376="","",J375)</f>
        <v/>
      </c>
      <c r="L375" s="200" t="str">
        <f aca="false">IF($A376="","",VLOOKUP($A375,Table,MATCH(L$4,Curves,0)))</f>
        <v/>
      </c>
      <c r="M375" s="201" t="str">
        <f aca="false">IF(A376="","",L375)</f>
        <v/>
      </c>
      <c r="O375" s="200" t="str">
        <f aca="false">IF(A376="","",L375+J375+G375)</f>
        <v/>
      </c>
      <c r="P375" s="200" t="str">
        <f aca="false">IF(A376="","",M375+K375+H375)</f>
        <v/>
      </c>
      <c r="R375" s="200" t="str">
        <f aca="false">IF($A376="","",VLOOKUP($A375,Table,MATCH(R$4,Curves,0)))</f>
        <v/>
      </c>
      <c r="S375" s="201" t="str">
        <f aca="false">IF(A376="","",R375)</f>
        <v/>
      </c>
      <c r="T375" s="200" t="str">
        <f aca="false">IF($A376="","",VLOOKUP($A375,Table,MATCH(T$4,Curves,0)))</f>
        <v/>
      </c>
      <c r="U375" s="201" t="str">
        <f aca="false">IF(A376="","",T375)</f>
        <v/>
      </c>
      <c r="V375" s="225" t="str">
        <f aca="false">IF($A376="","",IF(AND(MONTH(A375)&gt;3,MONTH(A375)&lt;11),(T375+R375+G375)*(((1/(1-Summary!$T$12))/(1-Summary!$W$12))-1),(T375+R375+G375)*((1/(1-Summary!$U$12))/(1-Summary!$X$12)-1)))</f>
        <v/>
      </c>
      <c r="W375" s="200" t="str">
        <f aca="false">IF($A376="","",(T375+R375+G375+V375))</f>
        <v/>
      </c>
      <c r="X375" s="200" t="str">
        <f aca="false">IF($A376="","",(U375+S375+H375+V375))</f>
        <v/>
      </c>
      <c r="Y375" s="202"/>
      <c r="Z375" s="185"/>
      <c r="AG375" s="182"/>
      <c r="AH375" s="182"/>
      <c r="AI375" s="182"/>
      <c r="AJ375" s="218"/>
      <c r="AK375" s="218"/>
      <c r="AL375" s="218"/>
      <c r="AM375" s="218"/>
      <c r="AN375" s="218"/>
      <c r="AO375" s="137" t="str">
        <f aca="false">IF(A376="","",A376-A375)</f>
        <v/>
      </c>
      <c r="AP375" s="212" t="str">
        <f aca="false">IF(A376="","",CHOOSE(F$3,A376+24,A375))</f>
        <v/>
      </c>
      <c r="AQ375" s="209" t="str">
        <f aca="false">IF(A376="","",AP375-$E$1)</f>
        <v/>
      </c>
      <c r="AR375" s="185" t="n">
        <f aca="false">'ANR OK vs ML7'!AR375</f>
        <v>0.1</v>
      </c>
      <c r="AS375" s="213" t="str">
        <f aca="false">IF(A376="","",1/(1+CHOOSE(F$3,(AR376+($I$3/10000))/2,(AR375+($I$3/10000))/2))^(2*AQ375/365.25))</f>
        <v/>
      </c>
      <c r="AT375" s="137" t="str">
        <f aca="false">IF(A376="","",IF(AND(mthbeg&lt;=A375,mthend&gt;=A375),1,0))</f>
        <v/>
      </c>
      <c r="AU375" s="137" t="str">
        <f aca="false">IF(A376="","",AO375*AT375)</f>
        <v/>
      </c>
      <c r="AW375" s="195" t="str">
        <f aca="false">IF($A376="","",AL375*$E375)</f>
        <v/>
      </c>
      <c r="AX375" s="195" t="str">
        <f aca="false">IF($A376="","",AM375*$E375)</f>
        <v/>
      </c>
      <c r="AY375" s="195" t="str">
        <f aca="false">IF($A376="","",AN375*$E375)</f>
        <v/>
      </c>
      <c r="BA375" s="195" t="str">
        <f aca="false">IF($A376="","",F375*Summary!$Q$12)</f>
        <v/>
      </c>
    </row>
    <row r="376" customFormat="false" ht="12.75" hidden="false" customHeight="false" outlineLevel="0" collapsed="false">
      <c r="A376" s="196" t="str">
        <f aca="false">IF(A375&lt;mthend,EDATE(A375,1),"")</f>
        <v/>
      </c>
      <c r="B376" s="197" t="str">
        <f aca="false">IF(A376&lt;mthend,B375,"")</f>
        <v/>
      </c>
      <c r="D376" s="197" t="str">
        <f aca="false">IF(A377&lt;&gt;"",B376+C376,"")</f>
        <v/>
      </c>
      <c r="E376" s="199" t="str">
        <f aca="false">IF(A377="","",IF(AND(AT376=1,$H$3=1),D376*AO376,IF($H$3=2,D376,"N/A")))</f>
        <v/>
      </c>
      <c r="F376" s="199" t="str">
        <f aca="false">IF(A377="","",E376*AS376)</f>
        <v/>
      </c>
      <c r="G376" s="200" t="str">
        <f aca="false">IF($A377="","",VLOOKUP($A376,Table,MATCH(G$4,Curves,0)))</f>
        <v/>
      </c>
      <c r="H376" s="201" t="str">
        <f aca="false">IF(A377="","",G376)</f>
        <v/>
      </c>
      <c r="J376" s="200" t="str">
        <f aca="false">IF($A377="","",VLOOKUP($A376,Table,MATCH(J$4,Curves,0)))</f>
        <v/>
      </c>
      <c r="K376" s="201" t="str">
        <f aca="false">IF(A377="","",J376)</f>
        <v/>
      </c>
      <c r="L376" s="200" t="str">
        <f aca="false">IF($A377="","",VLOOKUP($A376,Table,MATCH(L$4,Curves,0)))</f>
        <v/>
      </c>
      <c r="M376" s="201" t="str">
        <f aca="false">IF(A377="","",L376)</f>
        <v/>
      </c>
      <c r="O376" s="200" t="str">
        <f aca="false">IF(A377="","",L376+J376+G376)</f>
        <v/>
      </c>
      <c r="P376" s="200" t="str">
        <f aca="false">IF(A377="","",M376+K376+H376)</f>
        <v/>
      </c>
      <c r="R376" s="200" t="str">
        <f aca="false">IF($A377="","",VLOOKUP($A376,Table,MATCH(R$4,Curves,0)))</f>
        <v/>
      </c>
      <c r="S376" s="201" t="str">
        <f aca="false">IF(A377="","",R376)</f>
        <v/>
      </c>
      <c r="T376" s="200" t="str">
        <f aca="false">IF($A377="","",VLOOKUP($A376,Table,MATCH(T$4,Curves,0)))</f>
        <v/>
      </c>
      <c r="U376" s="201" t="str">
        <f aca="false">IF(A377="","",T376)</f>
        <v/>
      </c>
      <c r="V376" s="225" t="str">
        <f aca="false">IF($A377="","",IF(AND(MONTH(A376)&gt;3,MONTH(A376)&lt;11),(T376+R376+G376)*(((1/(1-Summary!$T$12))/(1-Summary!$W$12))-1),(T376+R376+G376)*((1/(1-Summary!$U$12))/(1-Summary!$X$12)-1)))</f>
        <v/>
      </c>
      <c r="W376" s="200" t="str">
        <f aca="false">IF($A377="","",(T376+R376+G376+V376))</f>
        <v/>
      </c>
      <c r="X376" s="200" t="str">
        <f aca="false">IF($A377="","",(U376+S376+H376+V376))</f>
        <v/>
      </c>
      <c r="Y376" s="202"/>
      <c r="Z376" s="185"/>
      <c r="AG376" s="182"/>
      <c r="AH376" s="182"/>
      <c r="AI376" s="182"/>
      <c r="AJ376" s="218"/>
      <c r="AK376" s="218"/>
      <c r="AL376" s="218"/>
      <c r="AM376" s="218"/>
      <c r="AN376" s="218"/>
      <c r="AO376" s="137" t="str">
        <f aca="false">IF(A377="","",A377-A376)</f>
        <v/>
      </c>
      <c r="AP376" s="212" t="str">
        <f aca="false">IF(A377="","",CHOOSE(F$3,A377+24,A376))</f>
        <v/>
      </c>
      <c r="AQ376" s="209" t="str">
        <f aca="false">IF(A377="","",AP376-$E$1)</f>
        <v/>
      </c>
      <c r="AR376" s="185" t="n">
        <f aca="false">'ANR OK vs ML7'!AR376</f>
        <v>0.1</v>
      </c>
      <c r="AS376" s="213" t="str">
        <f aca="false">IF(A377="","",1/(1+CHOOSE(F$3,(AR377+($I$3/10000))/2,(AR376+($I$3/10000))/2))^(2*AQ376/365.25))</f>
        <v/>
      </c>
      <c r="AT376" s="137" t="str">
        <f aca="false">IF(A377="","",IF(AND(mthbeg&lt;=A376,mthend&gt;=A376),1,0))</f>
        <v/>
      </c>
      <c r="AU376" s="137" t="str">
        <f aca="false">IF(A377="","",AO376*AT376)</f>
        <v/>
      </c>
      <c r="AW376" s="195" t="str">
        <f aca="false">IF($A377="","",AL376*$E376)</f>
        <v/>
      </c>
      <c r="AX376" s="195" t="str">
        <f aca="false">IF($A377="","",AM376*$E376)</f>
        <v/>
      </c>
      <c r="AY376" s="195" t="str">
        <f aca="false">IF($A377="","",AN376*$E376)</f>
        <v/>
      </c>
      <c r="BA376" s="195" t="str">
        <f aca="false">IF($A377="","",F376*Summary!$Q$12)</f>
        <v/>
      </c>
    </row>
    <row r="377" customFormat="false" ht="12.75" hidden="false" customHeight="false" outlineLevel="0" collapsed="false">
      <c r="A377" s="196" t="str">
        <f aca="false">IF(A376&lt;mthend,EDATE(A376,1),"")</f>
        <v/>
      </c>
      <c r="B377" s="197" t="str">
        <f aca="false">IF(A377&lt;mthend,B376,"")</f>
        <v/>
      </c>
      <c r="D377" s="197" t="str">
        <f aca="false">IF(A378&lt;&gt;"",B377+C377,"")</f>
        <v/>
      </c>
      <c r="E377" s="199" t="str">
        <f aca="false">IF(A378="","",IF(AND(AT377=1,$H$3=1),D377*AO377,IF($H$3=2,D377,"N/A")))</f>
        <v/>
      </c>
      <c r="F377" s="199" t="str">
        <f aca="false">IF(A378="","",E377*AS377)</f>
        <v/>
      </c>
      <c r="G377" s="200" t="str">
        <f aca="false">IF($A378="","",VLOOKUP($A377,Table,MATCH(G$4,Curves,0)))</f>
        <v/>
      </c>
      <c r="H377" s="201" t="str">
        <f aca="false">IF(A378="","",G377)</f>
        <v/>
      </c>
      <c r="J377" s="200" t="str">
        <f aca="false">IF($A378="","",VLOOKUP($A377,Table,MATCH(J$4,Curves,0)))</f>
        <v/>
      </c>
      <c r="K377" s="201" t="str">
        <f aca="false">IF(A378="","",J377)</f>
        <v/>
      </c>
      <c r="L377" s="200" t="str">
        <f aca="false">IF($A378="","",VLOOKUP($A377,Table,MATCH(L$4,Curves,0)))</f>
        <v/>
      </c>
      <c r="M377" s="201" t="str">
        <f aca="false">IF(A378="","",L377)</f>
        <v/>
      </c>
      <c r="O377" s="200" t="str">
        <f aca="false">IF(A378="","",L377+J377+G377)</f>
        <v/>
      </c>
      <c r="P377" s="200" t="str">
        <f aca="false">IF(A378="","",M377+K377+H377)</f>
        <v/>
      </c>
      <c r="R377" s="200" t="str">
        <f aca="false">IF($A378="","",VLOOKUP($A377,Table,MATCH(R$4,Curves,0)))</f>
        <v/>
      </c>
      <c r="S377" s="201" t="str">
        <f aca="false">IF(A378="","",R377)</f>
        <v/>
      </c>
      <c r="T377" s="200" t="str">
        <f aca="false">IF($A378="","",VLOOKUP($A377,Table,MATCH(T$4,Curves,0)))</f>
        <v/>
      </c>
      <c r="U377" s="201" t="str">
        <f aca="false">IF(A378="","",T377)</f>
        <v/>
      </c>
      <c r="V377" s="225" t="str">
        <f aca="false">IF($A378="","",IF(AND(MONTH(A377)&gt;3,MONTH(A377)&lt;11),(T377+R377+G377)*(((1/(1-Summary!$T$12))/(1-Summary!$W$12))-1),(T377+R377+G377)*((1/(1-Summary!$U$12))/(1-Summary!$X$12)-1)))</f>
        <v/>
      </c>
      <c r="W377" s="200" t="str">
        <f aca="false">IF($A378="","",(T377+R377+G377+V377))</f>
        <v/>
      </c>
      <c r="X377" s="200" t="str">
        <f aca="false">IF($A378="","",(U377+S377+H377+V377))</f>
        <v/>
      </c>
      <c r="Y377" s="202"/>
      <c r="Z377" s="185"/>
      <c r="AG377" s="182"/>
      <c r="AH377" s="182"/>
      <c r="AI377" s="182"/>
      <c r="AJ377" s="218"/>
      <c r="AK377" s="218"/>
      <c r="AL377" s="218"/>
      <c r="AM377" s="218"/>
      <c r="AN377" s="218"/>
      <c r="AO377" s="137" t="str">
        <f aca="false">IF(A378="","",A378-A377)</f>
        <v/>
      </c>
      <c r="AP377" s="212" t="str">
        <f aca="false">IF(A378="","",CHOOSE(F$3,A378+24,A377))</f>
        <v/>
      </c>
      <c r="AQ377" s="209" t="str">
        <f aca="false">IF(A378="","",AP377-$E$1)</f>
        <v/>
      </c>
      <c r="AR377" s="185" t="n">
        <f aca="false">'ANR OK vs ML7'!AR377</f>
        <v>0.1</v>
      </c>
      <c r="AS377" s="213" t="str">
        <f aca="false">IF(A378="","",1/(1+CHOOSE(F$3,(AR378+($I$3/10000))/2,(AR377+($I$3/10000))/2))^(2*AQ377/365.25))</f>
        <v/>
      </c>
      <c r="AT377" s="137" t="str">
        <f aca="false">IF(A378="","",IF(AND(mthbeg&lt;=A377,mthend&gt;=A377),1,0))</f>
        <v/>
      </c>
      <c r="AU377" s="137" t="str">
        <f aca="false">IF(A378="","",AO377*AT377)</f>
        <v/>
      </c>
      <c r="AW377" s="195" t="str">
        <f aca="false">IF($A378="","",AL377*$E377)</f>
        <v/>
      </c>
      <c r="AX377" s="195" t="str">
        <f aca="false">IF($A378="","",AM377*$E377)</f>
        <v/>
      </c>
      <c r="AY377" s="195" t="str">
        <f aca="false">IF($A378="","",AN377*$E377)</f>
        <v/>
      </c>
      <c r="BA377" s="195" t="str">
        <f aca="false">IF($A378="","",F377*Summary!$Q$12)</f>
        <v/>
      </c>
    </row>
    <row r="378" customFormat="false" ht="12.75" hidden="false" customHeight="false" outlineLevel="0" collapsed="false">
      <c r="A378" s="196" t="str">
        <f aca="false">IF(A377&lt;mthend,EDATE(A377,1),"")</f>
        <v/>
      </c>
      <c r="B378" s="197" t="str">
        <f aca="false">IF(A378&lt;mthend,B377,"")</f>
        <v/>
      </c>
      <c r="D378" s="197" t="str">
        <f aca="false">IF(A379&lt;&gt;"",B378+C378,"")</f>
        <v/>
      </c>
      <c r="E378" s="199" t="str">
        <f aca="false">IF(A379="","",IF(AND(AT378=1,$H$3=1),D378*AO378,IF($H$3=2,D378,"N/A")))</f>
        <v/>
      </c>
      <c r="F378" s="199" t="str">
        <f aca="false">IF(A379="","",E378*AS378)</f>
        <v/>
      </c>
      <c r="G378" s="200" t="str">
        <f aca="false">IF($A379="","",VLOOKUP($A378,Table,MATCH(G$4,Curves,0)))</f>
        <v/>
      </c>
      <c r="H378" s="201" t="str">
        <f aca="false">IF(A379="","",G378)</f>
        <v/>
      </c>
      <c r="J378" s="200" t="str">
        <f aca="false">IF($A379="","",VLOOKUP($A378,Table,MATCH(J$4,Curves,0)))</f>
        <v/>
      </c>
      <c r="K378" s="201" t="str">
        <f aca="false">IF(A379="","",J378)</f>
        <v/>
      </c>
      <c r="L378" s="200" t="str">
        <f aca="false">IF($A379="","",VLOOKUP($A378,Table,MATCH(L$4,Curves,0)))</f>
        <v/>
      </c>
      <c r="M378" s="201" t="str">
        <f aca="false">IF(A379="","",L378)</f>
        <v/>
      </c>
      <c r="O378" s="200" t="str">
        <f aca="false">IF(A379="","",L378+J378+G378)</f>
        <v/>
      </c>
      <c r="P378" s="200" t="str">
        <f aca="false">IF(A379="","",M378+K378+H378)</f>
        <v/>
      </c>
      <c r="R378" s="200" t="str">
        <f aca="false">IF($A379="","",VLOOKUP($A378,Table,MATCH(R$4,Curves,0)))</f>
        <v/>
      </c>
      <c r="S378" s="201" t="str">
        <f aca="false">IF(A379="","",R378)</f>
        <v/>
      </c>
      <c r="T378" s="200" t="str">
        <f aca="false">IF($A379="","",VLOOKUP($A378,Table,MATCH(T$4,Curves,0)))</f>
        <v/>
      </c>
      <c r="U378" s="201" t="str">
        <f aca="false">IF(A379="","",T378)</f>
        <v/>
      </c>
      <c r="V378" s="225" t="str">
        <f aca="false">IF($A379="","",IF(AND(MONTH(A378)&gt;3,MONTH(A378)&lt;11),(T378+R378+G378)*(((1/(1-Summary!$T$12))/(1-Summary!$W$12))-1),(T378+R378+G378)*((1/(1-Summary!$U$12))/(1-Summary!$X$12)-1)))</f>
        <v/>
      </c>
      <c r="W378" s="200" t="str">
        <f aca="false">IF($A379="","",(T378+R378+G378+V378))</f>
        <v/>
      </c>
      <c r="X378" s="200" t="str">
        <f aca="false">IF($A379="","",(U378+S378+H378+V378))</f>
        <v/>
      </c>
      <c r="Y378" s="202"/>
      <c r="Z378" s="185"/>
      <c r="AG378" s="182"/>
      <c r="AH378" s="182"/>
      <c r="AI378" s="182"/>
      <c r="AJ378" s="218"/>
      <c r="AK378" s="218"/>
      <c r="AL378" s="218"/>
      <c r="AM378" s="218"/>
      <c r="AN378" s="218"/>
      <c r="AO378" s="137" t="str">
        <f aca="false">IF(A379="","",A379-A378)</f>
        <v/>
      </c>
      <c r="AP378" s="212" t="str">
        <f aca="false">IF(A379="","",CHOOSE(F$3,A379+24,A378))</f>
        <v/>
      </c>
      <c r="AQ378" s="209" t="str">
        <f aca="false">IF(A379="","",AP378-$E$1)</f>
        <v/>
      </c>
      <c r="AR378" s="185" t="n">
        <f aca="false">'ANR OK vs ML7'!AR378</f>
        <v>0.1</v>
      </c>
      <c r="AS378" s="213" t="str">
        <f aca="false">IF(A379="","",1/(1+CHOOSE(F$3,(AR379+($I$3/10000))/2,(AR378+($I$3/10000))/2))^(2*AQ378/365.25))</f>
        <v/>
      </c>
      <c r="AT378" s="137" t="str">
        <f aca="false">IF(A379="","",IF(AND(mthbeg&lt;=A378,mthend&gt;=A378),1,0))</f>
        <v/>
      </c>
      <c r="AU378" s="137" t="str">
        <f aca="false">IF(A379="","",AO378*AT378)</f>
        <v/>
      </c>
      <c r="AW378" s="195" t="str">
        <f aca="false">IF($A379="","",AL378*$E378)</f>
        <v/>
      </c>
      <c r="AX378" s="195" t="str">
        <f aca="false">IF($A379="","",AM378*$E378)</f>
        <v/>
      </c>
      <c r="AY378" s="195" t="str">
        <f aca="false">IF($A379="","",AN378*$E378)</f>
        <v/>
      </c>
      <c r="BA378" s="195" t="str">
        <f aca="false">IF($A379="","",F378*Summary!$Q$12)</f>
        <v/>
      </c>
    </row>
    <row r="379" customFormat="false" ht="12.75" hidden="false" customHeight="false" outlineLevel="0" collapsed="false">
      <c r="A379" s="196" t="str">
        <f aca="false">IF(A378&lt;mthend,EDATE(A378,1),"")</f>
        <v/>
      </c>
      <c r="B379" s="197" t="str">
        <f aca="false">IF(A379&lt;mthend,B378,"")</f>
        <v/>
      </c>
      <c r="D379" s="197" t="str">
        <f aca="false">IF(A380&lt;&gt;"",B379+C379,"")</f>
        <v/>
      </c>
      <c r="E379" s="199" t="str">
        <f aca="false">IF(A380="","",IF(AND(AT379=1,$H$3=1),D379*AO379,IF($H$3=2,D379,"N/A")))</f>
        <v/>
      </c>
      <c r="F379" s="199" t="str">
        <f aca="false">IF(A380="","",E379*AS379)</f>
        <v/>
      </c>
      <c r="G379" s="200" t="str">
        <f aca="false">IF($A380="","",VLOOKUP($A379,Table,MATCH(G$4,Curves,0)))</f>
        <v/>
      </c>
      <c r="H379" s="201" t="str">
        <f aca="false">IF(A380="","",G379)</f>
        <v/>
      </c>
      <c r="J379" s="200" t="str">
        <f aca="false">IF($A380="","",VLOOKUP($A379,Table,MATCH(J$4,Curves,0)))</f>
        <v/>
      </c>
      <c r="K379" s="201" t="str">
        <f aca="false">IF(A380="","",J379)</f>
        <v/>
      </c>
      <c r="L379" s="200" t="str">
        <f aca="false">IF($A380="","",VLOOKUP($A379,Table,MATCH(L$4,Curves,0)))</f>
        <v/>
      </c>
      <c r="M379" s="201" t="str">
        <f aca="false">IF(A380="","",L379)</f>
        <v/>
      </c>
      <c r="O379" s="200" t="str">
        <f aca="false">IF(A380="","",L379+J379+G379)</f>
        <v/>
      </c>
      <c r="P379" s="200" t="str">
        <f aca="false">IF(A380="","",M379+K379+H379)</f>
        <v/>
      </c>
      <c r="R379" s="200" t="str">
        <f aca="false">IF($A380="","",VLOOKUP($A379,Table,MATCH(R$4,Curves,0)))</f>
        <v/>
      </c>
      <c r="S379" s="201" t="str">
        <f aca="false">IF(A380="","",R379)</f>
        <v/>
      </c>
      <c r="T379" s="200" t="str">
        <f aca="false">IF($A380="","",VLOOKUP($A379,Table,MATCH(T$4,Curves,0)))</f>
        <v/>
      </c>
      <c r="U379" s="201" t="str">
        <f aca="false">IF(A380="","",T379)</f>
        <v/>
      </c>
      <c r="V379" s="225" t="str">
        <f aca="false">IF($A380="","",IF(AND(MONTH(A379)&gt;3,MONTH(A379)&lt;11),(T379+R379+G379)*(((1/(1-Summary!$T$12))/(1-Summary!$W$12))-1),(T379+R379+G379)*((1/(1-Summary!$U$12))/(1-Summary!$X$12)-1)))</f>
        <v/>
      </c>
      <c r="W379" s="200" t="str">
        <f aca="false">IF($A380="","",(T379+R379+G379+V379))</f>
        <v/>
      </c>
      <c r="X379" s="200" t="str">
        <f aca="false">IF($A380="","",(U379+S379+H379+V379))</f>
        <v/>
      </c>
      <c r="Y379" s="202"/>
      <c r="Z379" s="185"/>
      <c r="AG379" s="182"/>
      <c r="AH379" s="182"/>
      <c r="AI379" s="182"/>
      <c r="AJ379" s="218"/>
      <c r="AK379" s="218"/>
      <c r="AL379" s="218"/>
      <c r="AM379" s="218"/>
      <c r="AN379" s="218"/>
      <c r="AO379" s="137" t="str">
        <f aca="false">IF(A380="","",A380-A379)</f>
        <v/>
      </c>
      <c r="AP379" s="212" t="str">
        <f aca="false">IF(A380="","",CHOOSE(F$3,A380+24,A379))</f>
        <v/>
      </c>
      <c r="AQ379" s="209" t="str">
        <f aca="false">IF(A380="","",AP379-$E$1)</f>
        <v/>
      </c>
      <c r="AR379" s="185" t="n">
        <f aca="false">'ANR OK vs ML7'!AR379</f>
        <v>0.1</v>
      </c>
      <c r="AS379" s="213" t="str">
        <f aca="false">IF(A380="","",1/(1+CHOOSE(F$3,(AR380+($I$3/10000))/2,(AR379+($I$3/10000))/2))^(2*AQ379/365.25))</f>
        <v/>
      </c>
      <c r="AT379" s="137" t="str">
        <f aca="false">IF(A380="","",IF(AND(mthbeg&lt;=A379,mthend&gt;=A379),1,0))</f>
        <v/>
      </c>
      <c r="AU379" s="137" t="str">
        <f aca="false">IF(A380="","",AO379*AT379)</f>
        <v/>
      </c>
      <c r="AW379" s="195" t="str">
        <f aca="false">IF($A380="","",AL379*$E379)</f>
        <v/>
      </c>
      <c r="AX379" s="195" t="str">
        <f aca="false">IF($A380="","",AM379*$E379)</f>
        <v/>
      </c>
      <c r="AY379" s="195" t="str">
        <f aca="false">IF($A380="","",AN379*$E379)</f>
        <v/>
      </c>
      <c r="BA379" s="195" t="str">
        <f aca="false">IF($A380="","",F379*Summary!$Q$12)</f>
        <v/>
      </c>
    </row>
    <row r="380" customFormat="false" ht="12.75" hidden="false" customHeight="false" outlineLevel="0" collapsed="false">
      <c r="A380" s="196" t="str">
        <f aca="false">IF(A379&lt;mthend,EDATE(A379,1),"")</f>
        <v/>
      </c>
      <c r="B380" s="197" t="str">
        <f aca="false">IF(A380&lt;mthend,B379,"")</f>
        <v/>
      </c>
      <c r="D380" s="197" t="str">
        <f aca="false">IF(A381&lt;&gt;"",B380+C380,"")</f>
        <v/>
      </c>
      <c r="E380" s="199" t="str">
        <f aca="false">IF(A381="","",IF(AND(AT380=1,$H$3=1),D380*AO380,IF($H$3=2,D380,"N/A")))</f>
        <v/>
      </c>
      <c r="F380" s="199" t="str">
        <f aca="false">IF(A381="","",E380*AS380)</f>
        <v/>
      </c>
      <c r="G380" s="200" t="str">
        <f aca="false">IF($A381="","",VLOOKUP($A380,Table,MATCH(G$4,Curves,0)))</f>
        <v/>
      </c>
      <c r="H380" s="201" t="str">
        <f aca="false">IF(A381="","",G380)</f>
        <v/>
      </c>
      <c r="J380" s="200" t="str">
        <f aca="false">IF($A381="","",VLOOKUP($A380,Table,MATCH(J$4,Curves,0)))</f>
        <v/>
      </c>
      <c r="K380" s="201" t="str">
        <f aca="false">IF(A381="","",J380)</f>
        <v/>
      </c>
      <c r="L380" s="200" t="str">
        <f aca="false">IF($A381="","",VLOOKUP($A380,Table,MATCH(L$4,Curves,0)))</f>
        <v/>
      </c>
      <c r="M380" s="201" t="str">
        <f aca="false">IF(A381="","",L380)</f>
        <v/>
      </c>
      <c r="O380" s="200" t="str">
        <f aca="false">IF(A381="","",L380+J380+G380)</f>
        <v/>
      </c>
      <c r="P380" s="200" t="str">
        <f aca="false">IF(A381="","",M380+K380+H380)</f>
        <v/>
      </c>
      <c r="R380" s="200" t="str">
        <f aca="false">IF($A381="","",VLOOKUP($A380,Table,MATCH(R$4,Curves,0)))</f>
        <v/>
      </c>
      <c r="S380" s="201" t="str">
        <f aca="false">IF(A381="","",R380)</f>
        <v/>
      </c>
      <c r="T380" s="200" t="str">
        <f aca="false">IF($A381="","",VLOOKUP($A380,Table,MATCH(T$4,Curves,0)))</f>
        <v/>
      </c>
      <c r="U380" s="201" t="str">
        <f aca="false">IF(A381="","",T380)</f>
        <v/>
      </c>
      <c r="V380" s="225" t="str">
        <f aca="false">IF($A381="","",IF(AND(MONTH(A380)&gt;3,MONTH(A380)&lt;11),(T380+R380+G380)*(((1/(1-Summary!$T$12))/(1-Summary!$W$12))-1),(T380+R380+G380)*((1/(1-Summary!$U$12))/(1-Summary!$X$12)-1)))</f>
        <v/>
      </c>
      <c r="W380" s="200" t="str">
        <f aca="false">IF($A381="","",(T380+R380+G380+V380))</f>
        <v/>
      </c>
      <c r="X380" s="200" t="str">
        <f aca="false">IF($A381="","",(U380+S380+H380+V380))</f>
        <v/>
      </c>
      <c r="Y380" s="202"/>
      <c r="Z380" s="185"/>
      <c r="AG380" s="182"/>
      <c r="AH380" s="182"/>
      <c r="AI380" s="182"/>
      <c r="AJ380" s="218"/>
      <c r="AK380" s="218"/>
      <c r="AL380" s="218"/>
      <c r="AM380" s="218"/>
      <c r="AN380" s="218"/>
      <c r="AO380" s="137" t="str">
        <f aca="false">IF(A381="","",A381-A380)</f>
        <v/>
      </c>
      <c r="AP380" s="212" t="str">
        <f aca="false">IF(A381="","",CHOOSE(F$3,A381+24,A380))</f>
        <v/>
      </c>
      <c r="AQ380" s="209" t="str">
        <f aca="false">IF(A381="","",AP380-$E$1)</f>
        <v/>
      </c>
      <c r="AR380" s="185" t="n">
        <f aca="false">'ANR OK vs ML7'!AR380</f>
        <v>0.1</v>
      </c>
      <c r="AS380" s="213" t="str">
        <f aca="false">IF(A381="","",1/(1+CHOOSE(F$3,(AR381+($I$3/10000))/2,(AR380+($I$3/10000))/2))^(2*AQ380/365.25))</f>
        <v/>
      </c>
      <c r="AT380" s="137" t="str">
        <f aca="false">IF(A381="","",IF(AND(mthbeg&lt;=A380,mthend&gt;=A380),1,0))</f>
        <v/>
      </c>
      <c r="AU380" s="137" t="str">
        <f aca="false">IF(A381="","",AO380*AT380)</f>
        <v/>
      </c>
      <c r="AW380" s="195" t="str">
        <f aca="false">IF($A381="","",AL380*$E380)</f>
        <v/>
      </c>
      <c r="AX380" s="195" t="str">
        <f aca="false">IF($A381="","",AM380*$E380)</f>
        <v/>
      </c>
      <c r="AY380" s="195" t="str">
        <f aca="false">IF($A381="","",AN380*$E380)</f>
        <v/>
      </c>
      <c r="BA380" s="195" t="str">
        <f aca="false">IF($A381="","",F380*Summary!$Q$12)</f>
        <v/>
      </c>
    </row>
    <row r="381" customFormat="false" ht="12.75" hidden="false" customHeight="false" outlineLevel="0" collapsed="false">
      <c r="A381" s="196" t="str">
        <f aca="false">IF(A380&lt;mthend,EDATE(A380,1),"")</f>
        <v/>
      </c>
      <c r="B381" s="197" t="str">
        <f aca="false">IF(A381&lt;mthend,B380,"")</f>
        <v/>
      </c>
      <c r="D381" s="197" t="str">
        <f aca="false">IF(A382&lt;&gt;"",B381+C381,"")</f>
        <v/>
      </c>
      <c r="E381" s="199" t="str">
        <f aca="false">IF(A382="","",IF(AND(AT381=1,$H$3=1),D381*AO381,IF($H$3=2,D381,"N/A")))</f>
        <v/>
      </c>
      <c r="F381" s="199" t="str">
        <f aca="false">IF(A382="","",E381*AS381)</f>
        <v/>
      </c>
      <c r="G381" s="200" t="str">
        <f aca="false">IF($A382="","",VLOOKUP($A381,Table,MATCH(G$4,Curves,0)))</f>
        <v/>
      </c>
      <c r="H381" s="201" t="str">
        <f aca="false">IF(A382="","",G381)</f>
        <v/>
      </c>
      <c r="J381" s="200" t="str">
        <f aca="false">IF($A382="","",VLOOKUP($A381,Table,MATCH(J$4,Curves,0)))</f>
        <v/>
      </c>
      <c r="K381" s="201" t="str">
        <f aca="false">IF(A382="","",J381)</f>
        <v/>
      </c>
      <c r="L381" s="200" t="str">
        <f aca="false">IF($A382="","",VLOOKUP($A381,Table,MATCH(L$4,Curves,0)))</f>
        <v/>
      </c>
      <c r="M381" s="201" t="str">
        <f aca="false">IF(A382="","",L381)</f>
        <v/>
      </c>
      <c r="O381" s="200" t="str">
        <f aca="false">IF(A382="","",L381+J381+G381)</f>
        <v/>
      </c>
      <c r="P381" s="200" t="str">
        <f aca="false">IF(A382="","",M381+K381+H381)</f>
        <v/>
      </c>
      <c r="R381" s="200" t="str">
        <f aca="false">IF($A382="","",VLOOKUP($A381,Table,MATCH(R$4,Curves,0)))</f>
        <v/>
      </c>
      <c r="S381" s="201" t="str">
        <f aca="false">IF(A382="","",R381)</f>
        <v/>
      </c>
      <c r="T381" s="200" t="str">
        <f aca="false">IF($A382="","",VLOOKUP($A381,Table,MATCH(T$4,Curves,0)))</f>
        <v/>
      </c>
      <c r="U381" s="201" t="str">
        <f aca="false">IF(A382="","",T381)</f>
        <v/>
      </c>
      <c r="V381" s="225" t="str">
        <f aca="false">IF($A382="","",IF(AND(MONTH(A381)&gt;3,MONTH(A381)&lt;11),(T381+R381+G381)*(((1/(1-Summary!$T$12))/(1-Summary!$W$12))-1),(T381+R381+G381)*((1/(1-Summary!$U$12))/(1-Summary!$X$12)-1)))</f>
        <v/>
      </c>
      <c r="W381" s="200" t="str">
        <f aca="false">IF($A382="","",(T381+R381+G381+V381))</f>
        <v/>
      </c>
      <c r="X381" s="200" t="str">
        <f aca="false">IF($A382="","",(U381+S381+H381+V381))</f>
        <v/>
      </c>
      <c r="Y381" s="202"/>
      <c r="Z381" s="185"/>
      <c r="AG381" s="182"/>
      <c r="AH381" s="182"/>
      <c r="AI381" s="182"/>
      <c r="AJ381" s="218"/>
      <c r="AK381" s="218"/>
      <c r="AL381" s="218"/>
      <c r="AM381" s="218"/>
      <c r="AN381" s="218"/>
      <c r="AO381" s="137" t="str">
        <f aca="false">IF(A382="","",A382-A381)</f>
        <v/>
      </c>
      <c r="AP381" s="212" t="str">
        <f aca="false">IF(A382="","",CHOOSE(F$3,A382+24,A381))</f>
        <v/>
      </c>
      <c r="AQ381" s="209" t="str">
        <f aca="false">IF(A382="","",AP381-$E$1)</f>
        <v/>
      </c>
      <c r="AR381" s="185" t="n">
        <f aca="false">'ANR OK vs ML7'!AR381</f>
        <v>0.1</v>
      </c>
      <c r="AS381" s="213" t="str">
        <f aca="false">IF(A382="","",1/(1+CHOOSE(F$3,(AR382+($I$3/10000))/2,(AR381+($I$3/10000))/2))^(2*AQ381/365.25))</f>
        <v/>
      </c>
      <c r="AT381" s="137" t="str">
        <f aca="false">IF(A382="","",IF(AND(mthbeg&lt;=A381,mthend&gt;=A381),1,0))</f>
        <v/>
      </c>
      <c r="AU381" s="137" t="str">
        <f aca="false">IF(A382="","",AO381*AT381)</f>
        <v/>
      </c>
      <c r="AW381" s="195" t="str">
        <f aca="false">IF($A382="","",AL381*$E381)</f>
        <v/>
      </c>
      <c r="AX381" s="195" t="str">
        <f aca="false">IF($A382="","",AM381*$E381)</f>
        <v/>
      </c>
      <c r="AY381" s="195" t="str">
        <f aca="false">IF($A382="","",AN381*$E381)</f>
        <v/>
      </c>
      <c r="BA381" s="195" t="str">
        <f aca="false">IF($A382="","",F381*Summary!$Q$12)</f>
        <v/>
      </c>
    </row>
    <row r="382" customFormat="false" ht="12.75" hidden="false" customHeight="false" outlineLevel="0" collapsed="false">
      <c r="A382" s="196" t="str">
        <f aca="false">IF(A381&lt;mthend,EDATE(A381,1),"")</f>
        <v/>
      </c>
      <c r="B382" s="197" t="str">
        <f aca="false">IF(A382&lt;mthend,B381,"")</f>
        <v/>
      </c>
      <c r="D382" s="197" t="str">
        <f aca="false">IF(A383&lt;&gt;"",B382+C382,"")</f>
        <v/>
      </c>
      <c r="E382" s="199" t="str">
        <f aca="false">IF(A383="","",IF(AND(AT382=1,$H$3=1),D382*AO382,IF($H$3=2,D382,"N/A")))</f>
        <v/>
      </c>
      <c r="F382" s="199" t="str">
        <f aca="false">IF(A383="","",E382*AS382)</f>
        <v/>
      </c>
      <c r="G382" s="200" t="str">
        <f aca="false">IF($A383="","",VLOOKUP($A382,Table,MATCH(G$4,Curves,0)))</f>
        <v/>
      </c>
      <c r="H382" s="201" t="str">
        <f aca="false">IF(A383="","",G382)</f>
        <v/>
      </c>
      <c r="J382" s="200" t="str">
        <f aca="false">IF($A383="","",VLOOKUP($A382,Table,MATCH(J$4,Curves,0)))</f>
        <v/>
      </c>
      <c r="K382" s="201" t="str">
        <f aca="false">IF(A383="","",J382)</f>
        <v/>
      </c>
      <c r="L382" s="200" t="str">
        <f aca="false">IF($A383="","",VLOOKUP($A382,Table,MATCH(L$4,Curves,0)))</f>
        <v/>
      </c>
      <c r="M382" s="201" t="str">
        <f aca="false">IF(A383="","",L382)</f>
        <v/>
      </c>
      <c r="O382" s="200" t="str">
        <f aca="false">IF(A383="","",L382+J382+G382)</f>
        <v/>
      </c>
      <c r="P382" s="200" t="str">
        <f aca="false">IF(A383="","",M382+K382+H382)</f>
        <v/>
      </c>
      <c r="R382" s="200" t="str">
        <f aca="false">IF($A383="","",VLOOKUP($A382,Table,MATCH(R$4,Curves,0)))</f>
        <v/>
      </c>
      <c r="S382" s="201" t="str">
        <f aca="false">IF(A383="","",R382)</f>
        <v/>
      </c>
      <c r="T382" s="200" t="str">
        <f aca="false">IF($A383="","",VLOOKUP($A382,Table,MATCH(T$4,Curves,0)))</f>
        <v/>
      </c>
      <c r="U382" s="201" t="str">
        <f aca="false">IF(A383="","",T382)</f>
        <v/>
      </c>
      <c r="V382" s="225" t="str">
        <f aca="false">IF($A383="","",IF(AND(MONTH(A382)&gt;3,MONTH(A382)&lt;11),(T382+R382+G382)*(((1/(1-Summary!$T$12))/(1-Summary!$W$12))-1),(T382+R382+G382)*((1/(1-Summary!$U$12))/(1-Summary!$X$12)-1)))</f>
        <v/>
      </c>
      <c r="W382" s="200" t="str">
        <f aca="false">IF($A383="","",(T382+R382+G382+V382))</f>
        <v/>
      </c>
      <c r="X382" s="200" t="str">
        <f aca="false">IF($A383="","",(U382+S382+H382+V382))</f>
        <v/>
      </c>
      <c r="Y382" s="202"/>
      <c r="Z382" s="185"/>
      <c r="AG382" s="182"/>
      <c r="AH382" s="182"/>
      <c r="AI382" s="182"/>
      <c r="AJ382" s="218"/>
      <c r="AK382" s="218"/>
      <c r="AL382" s="218"/>
      <c r="AM382" s="218"/>
      <c r="AN382" s="218"/>
      <c r="AO382" s="137" t="str">
        <f aca="false">IF(A383="","",A383-A382)</f>
        <v/>
      </c>
      <c r="AP382" s="212" t="str">
        <f aca="false">IF(A383="","",CHOOSE(F$3,A383+24,A382))</f>
        <v/>
      </c>
      <c r="AQ382" s="209" t="str">
        <f aca="false">IF(A383="","",AP382-$E$1)</f>
        <v/>
      </c>
      <c r="AR382" s="185" t="n">
        <f aca="false">'ANR OK vs ML7'!AR382</f>
        <v>0.1</v>
      </c>
      <c r="AS382" s="213" t="str">
        <f aca="false">IF(A383="","",1/(1+CHOOSE(F$3,(AR383+($I$3/10000))/2,(AR382+($I$3/10000))/2))^(2*AQ382/365.25))</f>
        <v/>
      </c>
      <c r="AT382" s="137" t="str">
        <f aca="false">IF(A383="","",IF(AND(mthbeg&lt;=A382,mthend&gt;=A382),1,0))</f>
        <v/>
      </c>
      <c r="AU382" s="137" t="str">
        <f aca="false">IF(A383="","",AO382*AT382)</f>
        <v/>
      </c>
      <c r="AW382" s="195" t="str">
        <f aca="false">IF($A383="","",AL382*$E382)</f>
        <v/>
      </c>
      <c r="AX382" s="195" t="str">
        <f aca="false">IF($A383="","",AM382*$E382)</f>
        <v/>
      </c>
      <c r="AY382" s="195" t="str">
        <f aca="false">IF($A383="","",AN382*$E382)</f>
        <v/>
      </c>
      <c r="BA382" s="195" t="str">
        <f aca="false">IF($A383="","",F382*Summary!$Q$12)</f>
        <v/>
      </c>
    </row>
    <row r="383" customFormat="false" ht="12.75" hidden="false" customHeight="false" outlineLevel="0" collapsed="false">
      <c r="A383" s="196" t="str">
        <f aca="false">IF(A382&lt;mthend,EDATE(A382,1),"")</f>
        <v/>
      </c>
      <c r="B383" s="197" t="str">
        <f aca="false">IF(A383&lt;mthend,B382,"")</f>
        <v/>
      </c>
      <c r="D383" s="197" t="str">
        <f aca="false">IF(A384&lt;&gt;"",B383+C383,"")</f>
        <v/>
      </c>
      <c r="E383" s="199" t="str">
        <f aca="false">IF(A384="","",IF(AND(AT383=1,$H$3=1),D383*AO383,IF($H$3=2,D383,"N/A")))</f>
        <v/>
      </c>
      <c r="F383" s="199" t="str">
        <f aca="false">IF(A384="","",E383*AS383)</f>
        <v/>
      </c>
      <c r="G383" s="200" t="str">
        <f aca="false">IF($A384="","",VLOOKUP($A383,Table,MATCH(G$4,Curves,0)))</f>
        <v/>
      </c>
      <c r="H383" s="201" t="str">
        <f aca="false">IF(A384="","",G383)</f>
        <v/>
      </c>
      <c r="J383" s="200" t="str">
        <f aca="false">IF($A384="","",VLOOKUP($A383,Table,MATCH(J$4,Curves,0)))</f>
        <v/>
      </c>
      <c r="K383" s="201" t="str">
        <f aca="false">IF(A384="","",J383)</f>
        <v/>
      </c>
      <c r="L383" s="200" t="str">
        <f aca="false">IF($A384="","",VLOOKUP($A383,Table,MATCH(L$4,Curves,0)))</f>
        <v/>
      </c>
      <c r="M383" s="201" t="str">
        <f aca="false">IF(A384="","",L383)</f>
        <v/>
      </c>
      <c r="O383" s="200" t="str">
        <f aca="false">IF(A384="","",L383+J383+G383)</f>
        <v/>
      </c>
      <c r="P383" s="200" t="str">
        <f aca="false">IF(A384="","",M383+K383+H383)</f>
        <v/>
      </c>
      <c r="R383" s="200" t="str">
        <f aca="false">IF($A384="","",VLOOKUP($A383,Table,MATCH(R$4,Curves,0)))</f>
        <v/>
      </c>
      <c r="S383" s="201" t="str">
        <f aca="false">IF(A384="","",R383)</f>
        <v/>
      </c>
      <c r="T383" s="200" t="str">
        <f aca="false">IF($A384="","",VLOOKUP($A383,Table,MATCH(T$4,Curves,0)))</f>
        <v/>
      </c>
      <c r="U383" s="201" t="str">
        <f aca="false">IF(A384="","",T383)</f>
        <v/>
      </c>
      <c r="V383" s="225" t="str">
        <f aca="false">IF($A384="","",IF(AND(MONTH(A383)&gt;3,MONTH(A383)&lt;11),(T383+R383+G383)*(((1/(1-Summary!$T$12))/(1-Summary!$W$12))-1),(T383+R383+G383)*((1/(1-Summary!$U$12))/(1-Summary!$X$12)-1)))</f>
        <v/>
      </c>
      <c r="W383" s="200" t="str">
        <f aca="false">IF($A384="","",(T383+R383+G383+V383))</f>
        <v/>
      </c>
      <c r="X383" s="200" t="str">
        <f aca="false">IF($A384="","",(U383+S383+H383+V383))</f>
        <v/>
      </c>
      <c r="Y383" s="202"/>
      <c r="Z383" s="185"/>
      <c r="AG383" s="182"/>
      <c r="AH383" s="182"/>
      <c r="AI383" s="182"/>
      <c r="AJ383" s="218"/>
      <c r="AK383" s="218"/>
      <c r="AL383" s="218"/>
      <c r="AM383" s="218"/>
      <c r="AN383" s="218"/>
      <c r="AO383" s="137" t="str">
        <f aca="false">IF(A384="","",A384-A383)</f>
        <v/>
      </c>
      <c r="AP383" s="212" t="str">
        <f aca="false">IF(A384="","",CHOOSE(F$3,A384+24,A383))</f>
        <v/>
      </c>
      <c r="AQ383" s="209" t="str">
        <f aca="false">IF(A384="","",AP383-$E$1)</f>
        <v/>
      </c>
      <c r="AR383" s="185" t="n">
        <f aca="false">'ANR OK vs ML7'!AR383</f>
        <v>0.1</v>
      </c>
      <c r="AS383" s="213" t="str">
        <f aca="false">IF(A384="","",1/(1+CHOOSE(F$3,(AR384+($I$3/10000))/2,(AR383+($I$3/10000))/2))^(2*AQ383/365.25))</f>
        <v/>
      </c>
      <c r="AT383" s="137" t="str">
        <f aca="false">IF(A384="","",IF(AND(mthbeg&lt;=A383,mthend&gt;=A383),1,0))</f>
        <v/>
      </c>
      <c r="AU383" s="137" t="str">
        <f aca="false">IF(A384="","",AO383*AT383)</f>
        <v/>
      </c>
      <c r="AW383" s="195" t="str">
        <f aca="false">IF($A384="","",AL383*$E383)</f>
        <v/>
      </c>
      <c r="AX383" s="195" t="str">
        <f aca="false">IF($A384="","",AM383*$E383)</f>
        <v/>
      </c>
      <c r="AY383" s="195" t="str">
        <f aca="false">IF($A384="","",AN383*$E383)</f>
        <v/>
      </c>
      <c r="BA383" s="195" t="str">
        <f aca="false">IF($A384="","",F383*Summary!$Q$12)</f>
        <v/>
      </c>
    </row>
    <row r="384" customFormat="false" ht="12.75" hidden="false" customHeight="false" outlineLevel="0" collapsed="false">
      <c r="A384" s="196" t="str">
        <f aca="false">IF(A383&lt;mthend,EDATE(A383,1),"")</f>
        <v/>
      </c>
      <c r="B384" s="197" t="str">
        <f aca="false">IF(A384&lt;mthend,B383,"")</f>
        <v/>
      </c>
      <c r="D384" s="197" t="str">
        <f aca="false">IF(A385&lt;&gt;"",B384+C384,"")</f>
        <v/>
      </c>
      <c r="E384" s="199" t="str">
        <f aca="false">IF(A385="","",IF(AND(AT384=1,$H$3=1),D384*AO384,IF($H$3=2,D384,"N/A")))</f>
        <v/>
      </c>
      <c r="F384" s="199" t="str">
        <f aca="false">IF(A385="","",E384*AS384)</f>
        <v/>
      </c>
      <c r="G384" s="200" t="str">
        <f aca="false">IF($A385="","",VLOOKUP($A384,Table,MATCH(G$4,Curves,0)))</f>
        <v/>
      </c>
      <c r="H384" s="201" t="str">
        <f aca="false">IF(A385="","",G384)</f>
        <v/>
      </c>
      <c r="J384" s="200" t="str">
        <f aca="false">IF($A385="","",VLOOKUP($A384,Table,MATCH(J$4,Curves,0)))</f>
        <v/>
      </c>
      <c r="K384" s="201" t="str">
        <f aca="false">IF(A385="","",J384)</f>
        <v/>
      </c>
      <c r="L384" s="200" t="str">
        <f aca="false">IF($A385="","",VLOOKUP($A384,Table,MATCH(L$4,Curves,0)))</f>
        <v/>
      </c>
      <c r="M384" s="201" t="str">
        <f aca="false">IF(A385="","",L384)</f>
        <v/>
      </c>
      <c r="O384" s="200" t="str">
        <f aca="false">IF(A385="","",L384+J384+G384)</f>
        <v/>
      </c>
      <c r="P384" s="200" t="str">
        <f aca="false">IF(A385="","",M384+K384+H384)</f>
        <v/>
      </c>
      <c r="R384" s="200" t="str">
        <f aca="false">IF($A385="","",VLOOKUP($A384,Table,MATCH(R$4,Curves,0)))</f>
        <v/>
      </c>
      <c r="S384" s="201" t="str">
        <f aca="false">IF(A385="","",R384)</f>
        <v/>
      </c>
      <c r="T384" s="200" t="str">
        <f aca="false">IF($A385="","",VLOOKUP($A384,Table,MATCH(T$4,Curves,0)))</f>
        <v/>
      </c>
      <c r="U384" s="201" t="str">
        <f aca="false">IF(A385="","",T384)</f>
        <v/>
      </c>
      <c r="V384" s="225" t="str">
        <f aca="false">IF($A385="","",IF(AND(MONTH(A384)&gt;3,MONTH(A384)&lt;11),(T384+R384+G384)*(((1/(1-Summary!$T$12))/(1-Summary!$W$12))-1),(T384+R384+G384)*((1/(1-Summary!$U$12))/(1-Summary!$X$12)-1)))</f>
        <v/>
      </c>
      <c r="W384" s="200" t="str">
        <f aca="false">IF($A385="","",(T384+R384+G384+V384))</f>
        <v/>
      </c>
      <c r="X384" s="200" t="str">
        <f aca="false">IF($A385="","",(U384+S384+H384+V384))</f>
        <v/>
      </c>
      <c r="Y384" s="202"/>
      <c r="Z384" s="185"/>
      <c r="AG384" s="182"/>
      <c r="AH384" s="182"/>
      <c r="AI384" s="182"/>
      <c r="AJ384" s="218"/>
      <c r="AK384" s="218"/>
      <c r="AL384" s="218"/>
      <c r="AM384" s="218"/>
      <c r="AN384" s="218"/>
      <c r="AO384" s="137" t="str">
        <f aca="false">IF(A385="","",A385-A384)</f>
        <v/>
      </c>
      <c r="AP384" s="212" t="str">
        <f aca="false">IF(A385="","",CHOOSE(F$3,A385+24,A384))</f>
        <v/>
      </c>
      <c r="AQ384" s="209" t="str">
        <f aca="false">IF(A385="","",AP384-$E$1)</f>
        <v/>
      </c>
      <c r="AR384" s="185" t="n">
        <f aca="false">'ANR OK vs ML7'!AR384</f>
        <v>0.1</v>
      </c>
      <c r="AS384" s="213" t="str">
        <f aca="false">IF(A385="","",1/(1+CHOOSE(F$3,(AR385+($I$3/10000))/2,(AR384+($I$3/10000))/2))^(2*AQ384/365.25))</f>
        <v/>
      </c>
      <c r="AT384" s="137" t="str">
        <f aca="false">IF(A385="","",IF(AND(mthbeg&lt;=A384,mthend&gt;=A384),1,0))</f>
        <v/>
      </c>
      <c r="AU384" s="137" t="str">
        <f aca="false">IF(A385="","",AO384*AT384)</f>
        <v/>
      </c>
      <c r="AW384" s="195" t="str">
        <f aca="false">IF($A385="","",AL384*$E384)</f>
        <v/>
      </c>
      <c r="AX384" s="195" t="str">
        <f aca="false">IF($A385="","",AM384*$E384)</f>
        <v/>
      </c>
      <c r="AY384" s="195" t="str">
        <f aca="false">IF($A385="","",AN384*$E384)</f>
        <v/>
      </c>
      <c r="BA384" s="195" t="str">
        <f aca="false">IF($A385="","",F384*Summary!$Q$12)</f>
        <v/>
      </c>
    </row>
    <row r="385" customFormat="false" ht="12.75" hidden="false" customHeight="false" outlineLevel="0" collapsed="false">
      <c r="A385" s="196" t="str">
        <f aca="false">IF(A384&lt;mthend,EDATE(A384,1),"")</f>
        <v/>
      </c>
      <c r="B385" s="197" t="str">
        <f aca="false">IF(A385&lt;mthend,B384,"")</f>
        <v/>
      </c>
      <c r="D385" s="197" t="str">
        <f aca="false">IF(A386&lt;&gt;"",B385+C385,"")</f>
        <v/>
      </c>
      <c r="E385" s="199" t="str">
        <f aca="false">IF(A386="","",IF(AND(AT385=1,$H$3=1),D385*AO385,IF($H$3=2,D385,"N/A")))</f>
        <v/>
      </c>
      <c r="F385" s="199" t="str">
        <f aca="false">IF(A386="","",E385*AS385)</f>
        <v/>
      </c>
      <c r="G385" s="200" t="str">
        <f aca="false">IF($A386="","",VLOOKUP($A385,Table,MATCH(G$4,Curves,0)))</f>
        <v/>
      </c>
      <c r="H385" s="201" t="str">
        <f aca="false">IF(A386="","",G385)</f>
        <v/>
      </c>
      <c r="J385" s="200" t="str">
        <f aca="false">IF($A386="","",VLOOKUP($A385,Table,MATCH(J$4,Curves,0)))</f>
        <v/>
      </c>
      <c r="K385" s="201" t="str">
        <f aca="false">IF(A386="","",J385)</f>
        <v/>
      </c>
      <c r="L385" s="200" t="str">
        <f aca="false">IF($A386="","",VLOOKUP($A385,Table,MATCH(L$4,Curves,0)))</f>
        <v/>
      </c>
      <c r="M385" s="201" t="str">
        <f aca="false">IF(A386="","",L385)</f>
        <v/>
      </c>
      <c r="O385" s="200" t="str">
        <f aca="false">IF(A386="","",L385+J385+G385)</f>
        <v/>
      </c>
      <c r="P385" s="200" t="str">
        <f aca="false">IF(A386="","",M385+K385+H385)</f>
        <v/>
      </c>
      <c r="R385" s="200" t="str">
        <f aca="false">IF($A386="","",VLOOKUP($A385,Table,MATCH(R$4,Curves,0)))</f>
        <v/>
      </c>
      <c r="S385" s="201" t="str">
        <f aca="false">IF(A386="","",R385)</f>
        <v/>
      </c>
      <c r="T385" s="200" t="str">
        <f aca="false">IF($A386="","",VLOOKUP($A385,Table,MATCH(T$4,Curves,0)))</f>
        <v/>
      </c>
      <c r="U385" s="201" t="str">
        <f aca="false">IF(A386="","",T385)</f>
        <v/>
      </c>
      <c r="V385" s="225" t="str">
        <f aca="false">IF($A386="","",IF(AND(MONTH(A385)&gt;3,MONTH(A385)&lt;11),(T385+R385+G385)*(((1/(1-Summary!$T$12))/(1-Summary!$W$12))-1),(T385+R385+G385)*((1/(1-Summary!$U$12))/(1-Summary!$X$12)-1)))</f>
        <v/>
      </c>
      <c r="W385" s="200" t="str">
        <f aca="false">IF($A386="","",(T385+R385+G385+V385))</f>
        <v/>
      </c>
      <c r="X385" s="200" t="str">
        <f aca="false">IF($A386="","",(U385+S385+H385+V385))</f>
        <v/>
      </c>
      <c r="Y385" s="202"/>
      <c r="Z385" s="185"/>
      <c r="AG385" s="182"/>
      <c r="AH385" s="182"/>
      <c r="AI385" s="182"/>
      <c r="AJ385" s="218"/>
      <c r="AK385" s="218"/>
      <c r="AL385" s="218"/>
      <c r="AM385" s="218"/>
      <c r="AN385" s="218"/>
      <c r="AO385" s="137" t="str">
        <f aca="false">IF(A386="","",A386-A385)</f>
        <v/>
      </c>
      <c r="AP385" s="212" t="str">
        <f aca="false">IF(A386="","",CHOOSE(F$3,A386+24,A385))</f>
        <v/>
      </c>
      <c r="AQ385" s="209" t="str">
        <f aca="false">IF(A386="","",AP385-$E$1)</f>
        <v/>
      </c>
      <c r="AR385" s="185" t="n">
        <f aca="false">'ANR OK vs ML7'!AR385</f>
        <v>0.1</v>
      </c>
      <c r="AS385" s="213" t="str">
        <f aca="false">IF(A386="","",1/(1+CHOOSE(F$3,(AR386+($I$3/10000))/2,(AR385+($I$3/10000))/2))^(2*AQ385/365.25))</f>
        <v/>
      </c>
      <c r="AT385" s="137" t="str">
        <f aca="false">IF(A386="","",IF(AND(mthbeg&lt;=A385,mthend&gt;=A385),1,0))</f>
        <v/>
      </c>
      <c r="AU385" s="137" t="str">
        <f aca="false">IF(A386="","",AO385*AT385)</f>
        <v/>
      </c>
      <c r="AW385" s="195" t="str">
        <f aca="false">IF($A386="","",AL385*$E385)</f>
        <v/>
      </c>
      <c r="AX385" s="195" t="str">
        <f aca="false">IF($A386="","",AM385*$E385)</f>
        <v/>
      </c>
      <c r="AY385" s="195" t="str">
        <f aca="false">IF($A386="","",AN385*$E385)</f>
        <v/>
      </c>
      <c r="BA385" s="195" t="str">
        <f aca="false">IF($A386="","",F385*Summary!$Q$12)</f>
        <v/>
      </c>
    </row>
    <row r="386" customFormat="false" ht="12.75" hidden="false" customHeight="false" outlineLevel="0" collapsed="false">
      <c r="A386" s="196" t="str">
        <f aca="false">IF(A385&lt;mthend,EDATE(A385,1),"")</f>
        <v/>
      </c>
      <c r="B386" s="197" t="str">
        <f aca="false">IF(A386&lt;mthend,B385,"")</f>
        <v/>
      </c>
      <c r="D386" s="197" t="str">
        <f aca="false">IF(A387&lt;&gt;"",B386+C386,"")</f>
        <v/>
      </c>
      <c r="E386" s="199" t="str">
        <f aca="false">IF(A387="","",IF(AND(AT386=1,$H$3=1),D386*AO386,IF($H$3=2,D386,"N/A")))</f>
        <v/>
      </c>
      <c r="F386" s="199" t="str">
        <f aca="false">IF(A387="","",E386*AS386)</f>
        <v/>
      </c>
      <c r="G386" s="200" t="str">
        <f aca="false">IF($A387="","",VLOOKUP($A386,Table,MATCH(G$4,Curves,0)))</f>
        <v/>
      </c>
      <c r="H386" s="201" t="str">
        <f aca="false">IF(A387="","",G386)</f>
        <v/>
      </c>
      <c r="J386" s="200" t="str">
        <f aca="false">IF($A387="","",VLOOKUP($A386,Table,MATCH(J$4,Curves,0)))</f>
        <v/>
      </c>
      <c r="K386" s="201" t="str">
        <f aca="false">IF(A387="","",J386)</f>
        <v/>
      </c>
      <c r="L386" s="200" t="str">
        <f aca="false">IF($A387="","",VLOOKUP($A386,Table,MATCH(L$4,Curves,0)))</f>
        <v/>
      </c>
      <c r="M386" s="201" t="str">
        <f aca="false">IF(A387="","",L386)</f>
        <v/>
      </c>
      <c r="O386" s="200" t="str">
        <f aca="false">IF(A387="","",L386+J386+G386)</f>
        <v/>
      </c>
      <c r="P386" s="200" t="str">
        <f aca="false">IF(A387="","",M386+K386+H386)</f>
        <v/>
      </c>
      <c r="R386" s="200" t="str">
        <f aca="false">IF($A387="","",VLOOKUP($A386,Table,MATCH(R$4,Curves,0)))</f>
        <v/>
      </c>
      <c r="S386" s="201" t="str">
        <f aca="false">IF(A387="","",R386)</f>
        <v/>
      </c>
      <c r="T386" s="200" t="str">
        <f aca="false">IF($A387="","",VLOOKUP($A386,Table,MATCH(T$4,Curves,0)))</f>
        <v/>
      </c>
      <c r="U386" s="201" t="str">
        <f aca="false">IF(A387="","",T386)</f>
        <v/>
      </c>
      <c r="V386" s="225" t="str">
        <f aca="false">IF($A387="","",IF(AND(MONTH(A386)&gt;3,MONTH(A386)&lt;11),(T386+R386+G386)*(((1/(1-Summary!$T$12))/(1-Summary!$W$12))-1),(T386+R386+G386)*((1/(1-Summary!$U$12))/(1-Summary!$X$12)-1)))</f>
        <v/>
      </c>
      <c r="W386" s="200" t="str">
        <f aca="false">IF($A387="","",(T386+R386+G386+V386))</f>
        <v/>
      </c>
      <c r="X386" s="200" t="str">
        <f aca="false">IF($A387="","",(U386+S386+H386+V386))</f>
        <v/>
      </c>
      <c r="Y386" s="202"/>
      <c r="Z386" s="185"/>
      <c r="AG386" s="182"/>
      <c r="AH386" s="182"/>
      <c r="AI386" s="182"/>
      <c r="AJ386" s="218"/>
      <c r="AK386" s="218"/>
      <c r="AL386" s="218"/>
      <c r="AM386" s="218"/>
      <c r="AN386" s="218"/>
      <c r="AO386" s="137" t="str">
        <f aca="false">IF(A387="","",A387-A386)</f>
        <v/>
      </c>
      <c r="AP386" s="212" t="str">
        <f aca="false">IF(A387="","",CHOOSE(F$3,A387+24,A386))</f>
        <v/>
      </c>
      <c r="AQ386" s="209" t="str">
        <f aca="false">IF(A387="","",AP386-$E$1)</f>
        <v/>
      </c>
      <c r="AR386" s="185" t="n">
        <f aca="false">'ANR OK vs ML7'!AR386</f>
        <v>0.1</v>
      </c>
      <c r="AS386" s="213" t="str">
        <f aca="false">IF(A387="","",1/(1+CHOOSE(F$3,(AR387+($I$3/10000))/2,(AR386+($I$3/10000))/2))^(2*AQ386/365.25))</f>
        <v/>
      </c>
      <c r="AT386" s="137" t="str">
        <f aca="false">IF(A387="","",IF(AND(mthbeg&lt;=A386,mthend&gt;=A386),1,0))</f>
        <v/>
      </c>
      <c r="AU386" s="137" t="str">
        <f aca="false">IF(A387="","",AO386*AT386)</f>
        <v/>
      </c>
      <c r="AW386" s="195" t="str">
        <f aca="false">IF($A387="","",AL386*$E386)</f>
        <v/>
      </c>
      <c r="AX386" s="195" t="str">
        <f aca="false">IF($A387="","",AM386*$E386)</f>
        <v/>
      </c>
      <c r="AY386" s="195" t="str">
        <f aca="false">IF($A387="","",AN386*$E386)</f>
        <v/>
      </c>
      <c r="BA386" s="195" t="str">
        <f aca="false">IF($A387="","",F386*Summary!$Q$12)</f>
        <v/>
      </c>
    </row>
    <row r="387" customFormat="false" ht="12.75" hidden="false" customHeight="false" outlineLevel="0" collapsed="false">
      <c r="A387" s="196" t="str">
        <f aca="false">IF(A386&lt;mthend,EDATE(A386,1),"")</f>
        <v/>
      </c>
      <c r="B387" s="197" t="str">
        <f aca="false">IF(A387&lt;mthend,B386,"")</f>
        <v/>
      </c>
      <c r="D387" s="197" t="str">
        <f aca="false">IF(A388&lt;&gt;"",B387+C387,"")</f>
        <v/>
      </c>
      <c r="E387" s="199" t="str">
        <f aca="false">IF(A388="","",IF(AND(AT387=1,$H$3=1),D387*AO387,IF($H$3=2,D387,"N/A")))</f>
        <v/>
      </c>
      <c r="F387" s="199" t="str">
        <f aca="false">IF(A388="","",E387*AS387)</f>
        <v/>
      </c>
      <c r="G387" s="200" t="str">
        <f aca="false">IF($A388="","",VLOOKUP($A387,Table,MATCH(G$4,Curves,0)))</f>
        <v/>
      </c>
      <c r="H387" s="201" t="str">
        <f aca="false">IF(A388="","",G387)</f>
        <v/>
      </c>
      <c r="J387" s="200" t="str">
        <f aca="false">IF($A388="","",VLOOKUP($A387,Table,MATCH(J$4,Curves,0)))</f>
        <v/>
      </c>
      <c r="K387" s="201" t="str">
        <f aca="false">IF(A388="","",J387)</f>
        <v/>
      </c>
      <c r="L387" s="200" t="str">
        <f aca="false">IF($A388="","",VLOOKUP($A387,Table,MATCH(L$4,Curves,0)))</f>
        <v/>
      </c>
      <c r="M387" s="201" t="str">
        <f aca="false">IF(A388="","",L387)</f>
        <v/>
      </c>
      <c r="O387" s="200" t="str">
        <f aca="false">IF(A388="","",L387+J387+G387)</f>
        <v/>
      </c>
      <c r="P387" s="200" t="str">
        <f aca="false">IF(A388="","",M387+K387+H387)</f>
        <v/>
      </c>
      <c r="R387" s="200" t="str">
        <f aca="false">IF($A388="","",VLOOKUP($A387,Table,MATCH(R$4,Curves,0)))</f>
        <v/>
      </c>
      <c r="S387" s="201" t="str">
        <f aca="false">IF(A388="","",R387)</f>
        <v/>
      </c>
      <c r="T387" s="200" t="str">
        <f aca="false">IF($A388="","",VLOOKUP($A387,Table,MATCH(T$4,Curves,0)))</f>
        <v/>
      </c>
      <c r="U387" s="201" t="str">
        <f aca="false">IF(A388="","",T387)</f>
        <v/>
      </c>
      <c r="V387" s="225" t="str">
        <f aca="false">IF($A388="","",IF(AND(MONTH(A387)&gt;3,MONTH(A387)&lt;11),(T387+R387+G387)*(((1/(1-Summary!$T$12))/(1-Summary!$W$12))-1),(T387+R387+G387)*((1/(1-Summary!$U$12))/(1-Summary!$X$12)-1)))</f>
        <v/>
      </c>
      <c r="W387" s="200" t="str">
        <f aca="false">IF($A388="","",(T387+R387+G387+V387))</f>
        <v/>
      </c>
      <c r="X387" s="200" t="str">
        <f aca="false">IF($A388="","",(U387+S387+H387+V387))</f>
        <v/>
      </c>
      <c r="Y387" s="202"/>
      <c r="Z387" s="185"/>
      <c r="AG387" s="182"/>
      <c r="AH387" s="182"/>
      <c r="AI387" s="182"/>
      <c r="AJ387" s="218"/>
      <c r="AK387" s="218"/>
      <c r="AL387" s="218"/>
      <c r="AM387" s="218"/>
      <c r="AN387" s="218"/>
      <c r="AO387" s="137" t="str">
        <f aca="false">IF(A388="","",A388-A387)</f>
        <v/>
      </c>
      <c r="AP387" s="212" t="str">
        <f aca="false">IF(A388="","",CHOOSE(F$3,A388+24,A387))</f>
        <v/>
      </c>
      <c r="AQ387" s="209" t="str">
        <f aca="false">IF(A388="","",AP387-$E$1)</f>
        <v/>
      </c>
      <c r="AR387" s="185" t="n">
        <f aca="false">'ANR OK vs ML7'!AR387</f>
        <v>0.1</v>
      </c>
      <c r="AS387" s="213" t="str">
        <f aca="false">IF(A388="","",1/(1+CHOOSE(F$3,(AR388+($I$3/10000))/2,(AR387+($I$3/10000))/2))^(2*AQ387/365.25))</f>
        <v/>
      </c>
      <c r="AT387" s="137" t="str">
        <f aca="false">IF(A388="","",IF(AND(mthbeg&lt;=A387,mthend&gt;=A387),1,0))</f>
        <v/>
      </c>
      <c r="AU387" s="137" t="str">
        <f aca="false">IF(A388="","",AO387*AT387)</f>
        <v/>
      </c>
      <c r="AW387" s="195" t="str">
        <f aca="false">IF($A388="","",AL387*$E387)</f>
        <v/>
      </c>
      <c r="AX387" s="195" t="str">
        <f aca="false">IF($A388="","",AM387*$E387)</f>
        <v/>
      </c>
      <c r="AY387" s="195" t="str">
        <f aca="false">IF($A388="","",AN387*$E387)</f>
        <v/>
      </c>
      <c r="BA387" s="195" t="str">
        <f aca="false">IF($A388="","",F387*Summary!$Q$12)</f>
        <v/>
      </c>
    </row>
    <row r="388" customFormat="false" ht="12.75" hidden="false" customHeight="false" outlineLevel="0" collapsed="false">
      <c r="A388" s="196" t="str">
        <f aca="false">IF(A387&lt;mthend,EDATE(A387,1),"")</f>
        <v/>
      </c>
      <c r="B388" s="197" t="str">
        <f aca="false">IF(A388&lt;mthend,B387,"")</f>
        <v/>
      </c>
      <c r="D388" s="197" t="str">
        <f aca="false">IF(A389&lt;&gt;"",B388+C388,"")</f>
        <v/>
      </c>
      <c r="E388" s="199" t="str">
        <f aca="false">IF(A389="","",IF(AND(AT388=1,$H$3=1),D388*AO388,IF($H$3=2,D388,"N/A")))</f>
        <v/>
      </c>
      <c r="F388" s="199" t="str">
        <f aca="false">IF(A389="","",E388*AS388)</f>
        <v/>
      </c>
      <c r="G388" s="200" t="str">
        <f aca="false">IF($A389="","",VLOOKUP($A388,Table,MATCH(G$4,Curves,0)))</f>
        <v/>
      </c>
      <c r="H388" s="201" t="str">
        <f aca="false">IF(A389="","",G388)</f>
        <v/>
      </c>
      <c r="J388" s="200" t="str">
        <f aca="false">IF($A389="","",VLOOKUP($A388,Table,MATCH(J$4,Curves,0)))</f>
        <v/>
      </c>
      <c r="K388" s="201" t="str">
        <f aca="false">IF(A389="","",J388)</f>
        <v/>
      </c>
      <c r="L388" s="200" t="str">
        <f aca="false">IF($A389="","",VLOOKUP($A388,Table,MATCH(L$4,Curves,0)))</f>
        <v/>
      </c>
      <c r="M388" s="201" t="str">
        <f aca="false">IF(A389="","",L388)</f>
        <v/>
      </c>
      <c r="O388" s="200" t="str">
        <f aca="false">IF(A389="","",L388+J388+G388)</f>
        <v/>
      </c>
      <c r="P388" s="200" t="str">
        <f aca="false">IF(A389="","",M388+K388+H388)</f>
        <v/>
      </c>
      <c r="R388" s="200" t="str">
        <f aca="false">IF($A389="","",VLOOKUP($A388,Table,MATCH(R$4,Curves,0)))</f>
        <v/>
      </c>
      <c r="S388" s="201" t="str">
        <f aca="false">IF(A389="","",R388)</f>
        <v/>
      </c>
      <c r="T388" s="200" t="str">
        <f aca="false">IF($A389="","",VLOOKUP($A388,Table,MATCH(T$4,Curves,0)))</f>
        <v/>
      </c>
      <c r="U388" s="201" t="str">
        <f aca="false">IF(A389="","",T388)</f>
        <v/>
      </c>
      <c r="V388" s="225" t="str">
        <f aca="false">IF($A389="","",IF(AND(MONTH(A388)&gt;3,MONTH(A388)&lt;11),(T388+R388+G388)*(((1/(1-Summary!$T$12))/(1-Summary!$W$12))-1),(T388+R388+G388)*((1/(1-Summary!$U$12))/(1-Summary!$X$12)-1)))</f>
        <v/>
      </c>
      <c r="W388" s="200" t="str">
        <f aca="false">IF($A389="","",(T388+R388+G388+V388))</f>
        <v/>
      </c>
      <c r="X388" s="200" t="str">
        <f aca="false">IF($A389="","",(U388+S388+H388+V388))</f>
        <v/>
      </c>
      <c r="Y388" s="202"/>
      <c r="Z388" s="185"/>
      <c r="AG388" s="182"/>
      <c r="AH388" s="182"/>
      <c r="AI388" s="182"/>
      <c r="AJ388" s="218"/>
      <c r="AK388" s="218"/>
      <c r="AL388" s="218"/>
      <c r="AM388" s="218"/>
      <c r="AN388" s="218"/>
      <c r="AO388" s="137" t="str">
        <f aca="false">IF(A389="","",A389-A388)</f>
        <v/>
      </c>
      <c r="AP388" s="212" t="str">
        <f aca="false">IF(A389="","",CHOOSE(F$3,A389+24,A388))</f>
        <v/>
      </c>
      <c r="AQ388" s="209" t="str">
        <f aca="false">IF(A389="","",AP388-$E$1)</f>
        <v/>
      </c>
      <c r="AR388" s="185" t="n">
        <f aca="false">'ANR OK vs ML7'!AR388</f>
        <v>0.1</v>
      </c>
      <c r="AS388" s="213" t="str">
        <f aca="false">IF(A389="","",1/(1+CHOOSE(F$3,(AR389+($I$3/10000))/2,(AR388+($I$3/10000))/2))^(2*AQ388/365.25))</f>
        <v/>
      </c>
      <c r="AT388" s="137" t="str">
        <f aca="false">IF(A389="","",IF(AND(mthbeg&lt;=A388,mthend&gt;=A388),1,0))</f>
        <v/>
      </c>
      <c r="AU388" s="137" t="str">
        <f aca="false">IF(A389="","",AO388*AT388)</f>
        <v/>
      </c>
      <c r="AW388" s="195" t="str">
        <f aca="false">IF($A389="","",AL388*$E388)</f>
        <v/>
      </c>
      <c r="AX388" s="195" t="str">
        <f aca="false">IF($A389="","",AM388*$E388)</f>
        <v/>
      </c>
      <c r="AY388" s="195" t="str">
        <f aca="false">IF($A389="","",AN388*$E388)</f>
        <v/>
      </c>
      <c r="BA388" s="195" t="str">
        <f aca="false">IF($A389="","",F388*Summary!$Q$12)</f>
        <v/>
      </c>
    </row>
    <row r="389" customFormat="false" ht="12.75" hidden="false" customHeight="false" outlineLevel="0" collapsed="false">
      <c r="A389" s="196" t="str">
        <f aca="false">IF(A388&lt;mthend,EDATE(A388,1),"")</f>
        <v/>
      </c>
      <c r="B389" s="197" t="str">
        <f aca="false">IF(A389&lt;mthend,B388,"")</f>
        <v/>
      </c>
      <c r="D389" s="197" t="str">
        <f aca="false">IF(A390&lt;&gt;"",B389+C389,"")</f>
        <v/>
      </c>
      <c r="E389" s="199" t="str">
        <f aca="false">IF(A390="","",IF(AND(AT389=1,$H$3=1),D389*AO389,IF($H$3=2,D389,"N/A")))</f>
        <v/>
      </c>
      <c r="F389" s="199" t="str">
        <f aca="false">IF(A390="","",E389*AS389)</f>
        <v/>
      </c>
      <c r="G389" s="200" t="str">
        <f aca="false">IF($A390="","",VLOOKUP($A389,Table,MATCH(G$4,Curves,0)))</f>
        <v/>
      </c>
      <c r="H389" s="201" t="str">
        <f aca="false">IF(A390="","",G389)</f>
        <v/>
      </c>
      <c r="J389" s="200" t="str">
        <f aca="false">IF($A390="","",VLOOKUP($A389,Table,MATCH(J$4,Curves,0)))</f>
        <v/>
      </c>
      <c r="K389" s="201" t="str">
        <f aca="false">IF(A390="","",J389)</f>
        <v/>
      </c>
      <c r="L389" s="200" t="str">
        <f aca="false">IF($A390="","",VLOOKUP($A389,Table,MATCH(L$4,Curves,0)))</f>
        <v/>
      </c>
      <c r="M389" s="201" t="str">
        <f aca="false">IF(A390="","",L389)</f>
        <v/>
      </c>
      <c r="O389" s="200" t="str">
        <f aca="false">IF(A390="","",L389+J389+G389)</f>
        <v/>
      </c>
      <c r="P389" s="200" t="str">
        <f aca="false">IF(A390="","",M389+K389+H389)</f>
        <v/>
      </c>
      <c r="R389" s="200" t="str">
        <f aca="false">IF($A390="","",VLOOKUP($A389,Table,MATCH(R$4,Curves,0)))</f>
        <v/>
      </c>
      <c r="S389" s="201" t="str">
        <f aca="false">IF(A390="","",R389)</f>
        <v/>
      </c>
      <c r="T389" s="200" t="str">
        <f aca="false">IF($A390="","",VLOOKUP($A389,Table,MATCH(T$4,Curves,0)))</f>
        <v/>
      </c>
      <c r="U389" s="201" t="str">
        <f aca="false">IF(A390="","",T389)</f>
        <v/>
      </c>
      <c r="V389" s="225" t="str">
        <f aca="false">IF($A390="","",IF(AND(MONTH(A389)&gt;3,MONTH(A389)&lt;11),(T389+R389+G389)*(((1/(1-Summary!$T$12))/(1-Summary!$W$12))-1),(T389+R389+G389)*((1/(1-Summary!$U$12))/(1-Summary!$X$12)-1)))</f>
        <v/>
      </c>
      <c r="W389" s="200" t="str">
        <f aca="false">IF($A390="","",(T389+R389+G389+V389))</f>
        <v/>
      </c>
      <c r="X389" s="200" t="str">
        <f aca="false">IF($A390="","",(U389+S389+H389+V389))</f>
        <v/>
      </c>
      <c r="Y389" s="202"/>
      <c r="Z389" s="185"/>
      <c r="AG389" s="182"/>
      <c r="AH389" s="182"/>
      <c r="AI389" s="182"/>
      <c r="AJ389" s="218"/>
      <c r="AK389" s="218"/>
      <c r="AL389" s="218"/>
      <c r="AM389" s="218"/>
      <c r="AN389" s="218"/>
      <c r="AO389" s="137" t="str">
        <f aca="false">IF(A390="","",A390-A389)</f>
        <v/>
      </c>
      <c r="AP389" s="212" t="str">
        <f aca="false">IF(A390="","",CHOOSE(F$3,A390+24,A389))</f>
        <v/>
      </c>
      <c r="AQ389" s="209" t="str">
        <f aca="false">IF(A390="","",AP389-$E$1)</f>
        <v/>
      </c>
      <c r="AR389" s="185" t="n">
        <f aca="false">'ANR OK vs ML7'!AR389</f>
        <v>0.1</v>
      </c>
      <c r="AS389" s="213" t="str">
        <f aca="false">IF(A390="","",1/(1+CHOOSE(F$3,(AR390+($I$3/10000))/2,(AR389+($I$3/10000))/2))^(2*AQ389/365.25))</f>
        <v/>
      </c>
      <c r="AT389" s="137" t="str">
        <f aca="false">IF(A390="","",IF(AND(mthbeg&lt;=A389,mthend&gt;=A389),1,0))</f>
        <v/>
      </c>
      <c r="AU389" s="137" t="str">
        <f aca="false">IF(A390="","",AO389*AT389)</f>
        <v/>
      </c>
      <c r="AW389" s="195" t="str">
        <f aca="false">IF($A390="","",AL389*$E389)</f>
        <v/>
      </c>
      <c r="AX389" s="195" t="str">
        <f aca="false">IF($A390="","",AM389*$E389)</f>
        <v/>
      </c>
      <c r="AY389" s="195" t="str">
        <f aca="false">IF($A390="","",AN389*$E389)</f>
        <v/>
      </c>
      <c r="BA389" s="195" t="str">
        <f aca="false">IF($A390="","",F389*Summary!$Q$12)</f>
        <v/>
      </c>
    </row>
    <row r="390" customFormat="false" ht="12.75" hidden="false" customHeight="false" outlineLevel="0" collapsed="false">
      <c r="A390" s="196" t="str">
        <f aca="false">IF(A389&lt;mthend,EDATE(A389,1),"")</f>
        <v/>
      </c>
      <c r="B390" s="197" t="str">
        <f aca="false">IF(A390&lt;mthend,B389,"")</f>
        <v/>
      </c>
      <c r="D390" s="197" t="str">
        <f aca="false">IF(A391&lt;&gt;"",B390+C390,"")</f>
        <v/>
      </c>
      <c r="E390" s="199" t="str">
        <f aca="false">IF(A391="","",IF(AND(AT390=1,$H$3=1),D390*AO390,IF($H$3=2,D390,"N/A")))</f>
        <v/>
      </c>
      <c r="F390" s="199" t="str">
        <f aca="false">IF(A391="","",E390*AS390)</f>
        <v/>
      </c>
      <c r="G390" s="200" t="str">
        <f aca="false">IF($A391="","",VLOOKUP($A390,Table,MATCH(G$4,Curves,0)))</f>
        <v/>
      </c>
      <c r="H390" s="201" t="str">
        <f aca="false">IF(A391="","",G390)</f>
        <v/>
      </c>
      <c r="J390" s="200" t="str">
        <f aca="false">IF($A391="","",VLOOKUP($A390,Table,MATCH(J$4,Curves,0)))</f>
        <v/>
      </c>
      <c r="K390" s="201" t="str">
        <f aca="false">IF(A391="","",J390)</f>
        <v/>
      </c>
      <c r="L390" s="200" t="str">
        <f aca="false">IF($A391="","",VLOOKUP($A390,Table,MATCH(L$4,Curves,0)))</f>
        <v/>
      </c>
      <c r="M390" s="201" t="str">
        <f aca="false">IF(A391="","",L390)</f>
        <v/>
      </c>
      <c r="O390" s="200" t="str">
        <f aca="false">IF(A391="","",L390+J390+G390)</f>
        <v/>
      </c>
      <c r="P390" s="200" t="str">
        <f aca="false">IF(A391="","",M390+K390+H390)</f>
        <v/>
      </c>
      <c r="R390" s="200" t="str">
        <f aca="false">IF($A391="","",VLOOKUP($A390,Table,MATCH(R$4,Curves,0)))</f>
        <v/>
      </c>
      <c r="S390" s="201" t="str">
        <f aca="false">IF(A391="","",R390)</f>
        <v/>
      </c>
      <c r="T390" s="200" t="str">
        <f aca="false">IF($A391="","",VLOOKUP($A390,Table,MATCH(T$4,Curves,0)))</f>
        <v/>
      </c>
      <c r="U390" s="201" t="str">
        <f aca="false">IF(A391="","",T390)</f>
        <v/>
      </c>
      <c r="V390" s="225" t="str">
        <f aca="false">IF($A391="","",IF(AND(MONTH(A390)&gt;3,MONTH(A390)&lt;11),(T390+R390+G390)*(((1/(1-Summary!$T$12))/(1-Summary!$W$12))-1),(T390+R390+G390)*((1/(1-Summary!$U$12))/(1-Summary!$X$12)-1)))</f>
        <v/>
      </c>
      <c r="W390" s="200" t="str">
        <f aca="false">IF($A391="","",(T390+R390+G390+V390))</f>
        <v/>
      </c>
      <c r="X390" s="200" t="str">
        <f aca="false">IF($A391="","",(U390+S390+H390+V390))</f>
        <v/>
      </c>
      <c r="Y390" s="202"/>
      <c r="Z390" s="185"/>
      <c r="AG390" s="182"/>
      <c r="AH390" s="182"/>
      <c r="AI390" s="182"/>
      <c r="AJ390" s="218"/>
      <c r="AK390" s="218"/>
      <c r="AL390" s="218"/>
      <c r="AM390" s="218"/>
      <c r="AN390" s="218"/>
      <c r="AO390" s="137" t="str">
        <f aca="false">IF(A391="","",A391-A390)</f>
        <v/>
      </c>
      <c r="AP390" s="212" t="str">
        <f aca="false">IF(A391="","",CHOOSE(F$3,A391+24,A390))</f>
        <v/>
      </c>
      <c r="AQ390" s="209" t="str">
        <f aca="false">IF(A391="","",AP390-$E$1)</f>
        <v/>
      </c>
      <c r="AR390" s="185" t="n">
        <f aca="false">'ANR OK vs ML7'!AR390</f>
        <v>0.1</v>
      </c>
      <c r="AS390" s="213" t="str">
        <f aca="false">IF(A391="","",1/(1+CHOOSE(F$3,(AR391+($I$3/10000))/2,(AR390+($I$3/10000))/2))^(2*AQ390/365.25))</f>
        <v/>
      </c>
      <c r="AT390" s="137" t="str">
        <f aca="false">IF(A391="","",IF(AND(mthbeg&lt;=A390,mthend&gt;=A390),1,0))</f>
        <v/>
      </c>
      <c r="AU390" s="137" t="str">
        <f aca="false">IF(A391="","",AO390*AT390)</f>
        <v/>
      </c>
      <c r="AW390" s="195" t="str">
        <f aca="false">IF($A391="","",AL390*$E390)</f>
        <v/>
      </c>
      <c r="AX390" s="195" t="str">
        <f aca="false">IF($A391="","",AM390*$E390)</f>
        <v/>
      </c>
      <c r="AY390" s="195" t="str">
        <f aca="false">IF($A391="","",AN390*$E390)</f>
        <v/>
      </c>
      <c r="BA390" s="195" t="str">
        <f aca="false">IF($A391="","",F390*Summary!$Q$12)</f>
        <v/>
      </c>
    </row>
    <row r="391" customFormat="false" ht="12.75" hidden="false" customHeight="false" outlineLevel="0" collapsed="false">
      <c r="A391" s="196" t="str">
        <f aca="false">IF(A390&lt;mthend,EDATE(A390,1),"")</f>
        <v/>
      </c>
      <c r="B391" s="197" t="str">
        <f aca="false">IF(A391&lt;mthend,B390,"")</f>
        <v/>
      </c>
      <c r="D391" s="197" t="str">
        <f aca="false">IF(A392&lt;&gt;"",B391+C391,"")</f>
        <v/>
      </c>
      <c r="E391" s="199" t="str">
        <f aca="false">IF(A392="","",IF(AND(AT391=1,$H$3=1),D391*AO391,IF($H$3=2,D391,"N/A")))</f>
        <v/>
      </c>
      <c r="F391" s="199" t="str">
        <f aca="false">IF(A392="","",E391*AS391)</f>
        <v/>
      </c>
      <c r="G391" s="200" t="str">
        <f aca="false">IF($A392="","",VLOOKUP($A391,Table,MATCH(G$4,Curves,0)))</f>
        <v/>
      </c>
      <c r="H391" s="201" t="str">
        <f aca="false">IF(A392="","",G391)</f>
        <v/>
      </c>
      <c r="J391" s="200" t="str">
        <f aca="false">IF($A392="","",VLOOKUP($A391,Table,MATCH(J$4,Curves,0)))</f>
        <v/>
      </c>
      <c r="K391" s="201" t="str">
        <f aca="false">IF(A392="","",J391)</f>
        <v/>
      </c>
      <c r="L391" s="200" t="str">
        <f aca="false">IF($A392="","",VLOOKUP($A391,Table,MATCH(L$4,Curves,0)))</f>
        <v/>
      </c>
      <c r="M391" s="201" t="str">
        <f aca="false">IF(A392="","",L391)</f>
        <v/>
      </c>
      <c r="O391" s="200" t="str">
        <f aca="false">IF(A392="","",L391+J391+G391)</f>
        <v/>
      </c>
      <c r="P391" s="200" t="str">
        <f aca="false">IF(A392="","",M391+K391+H391)</f>
        <v/>
      </c>
      <c r="R391" s="200" t="str">
        <f aca="false">IF($A392="","",VLOOKUP($A391,Table,MATCH(R$4,Curves,0)))</f>
        <v/>
      </c>
      <c r="S391" s="201" t="str">
        <f aca="false">IF(A392="","",R391)</f>
        <v/>
      </c>
      <c r="T391" s="200" t="str">
        <f aca="false">IF($A392="","",VLOOKUP($A391,Table,MATCH(T$4,Curves,0)))</f>
        <v/>
      </c>
      <c r="U391" s="201" t="str">
        <f aca="false">IF(A392="","",T391)</f>
        <v/>
      </c>
      <c r="V391" s="225" t="str">
        <f aca="false">IF($A392="","",IF(AND(MONTH(A391)&gt;3,MONTH(A391)&lt;11),(T391+R391+G391)*(((1/(1-Summary!$T$12))/(1-Summary!$W$12))-1),(T391+R391+G391)*((1/(1-Summary!$U$12))/(1-Summary!$X$12)-1)))</f>
        <v/>
      </c>
      <c r="W391" s="200" t="str">
        <f aca="false">IF($A392="","",(T391+R391+G391+V391))</f>
        <v/>
      </c>
      <c r="X391" s="200" t="str">
        <f aca="false">IF($A392="","",(U391+S391+H391+V391))</f>
        <v/>
      </c>
      <c r="Y391" s="202"/>
      <c r="Z391" s="185"/>
      <c r="AG391" s="182"/>
      <c r="AH391" s="182"/>
      <c r="AI391" s="182"/>
      <c r="AJ391" s="218"/>
      <c r="AK391" s="218"/>
      <c r="AL391" s="218"/>
      <c r="AM391" s="218"/>
      <c r="AN391" s="218"/>
      <c r="AO391" s="137" t="str">
        <f aca="false">IF(A392="","",A392-A391)</f>
        <v/>
      </c>
      <c r="AP391" s="212" t="str">
        <f aca="false">IF(A392="","",CHOOSE(F$3,A392+24,A391))</f>
        <v/>
      </c>
      <c r="AQ391" s="209" t="str">
        <f aca="false">IF(A392="","",AP391-$E$1)</f>
        <v/>
      </c>
      <c r="AR391" s="185" t="n">
        <f aca="false">'ANR OK vs ML7'!AR391</f>
        <v>0.1</v>
      </c>
      <c r="AS391" s="213" t="str">
        <f aca="false">IF(A392="","",1/(1+CHOOSE(F$3,(AR392+($I$3/10000))/2,(AR391+($I$3/10000))/2))^(2*AQ391/365.25))</f>
        <v/>
      </c>
      <c r="AT391" s="137" t="str">
        <f aca="false">IF(A392="","",IF(AND(mthbeg&lt;=A391,mthend&gt;=A391),1,0))</f>
        <v/>
      </c>
      <c r="AU391" s="137" t="str">
        <f aca="false">IF(A392="","",AO391*AT391)</f>
        <v/>
      </c>
      <c r="AW391" s="195" t="str">
        <f aca="false">IF($A392="","",AL391*$E391)</f>
        <v/>
      </c>
      <c r="AX391" s="195" t="str">
        <f aca="false">IF($A392="","",AM391*$E391)</f>
        <v/>
      </c>
      <c r="AY391" s="195" t="str">
        <f aca="false">IF($A392="","",AN391*$E391)</f>
        <v/>
      </c>
      <c r="BA391" s="195" t="str">
        <f aca="false">IF($A392="","",F391*Summary!$Q$12)</f>
        <v/>
      </c>
    </row>
    <row r="392" customFormat="false" ht="12.75" hidden="false" customHeight="false" outlineLevel="0" collapsed="false">
      <c r="A392" s="196" t="str">
        <f aca="false">IF(A391&lt;mthend,EDATE(A391,1),"")</f>
        <v/>
      </c>
      <c r="B392" s="197" t="str">
        <f aca="false">IF(A392&lt;mthend,B391,"")</f>
        <v/>
      </c>
      <c r="D392" s="197" t="str">
        <f aca="false">IF(A393&lt;&gt;"",B392+C392,"")</f>
        <v/>
      </c>
      <c r="E392" s="199" t="str">
        <f aca="false">IF(A393="","",IF(AND(AT392=1,$H$3=1),D392*AO392,IF($H$3=2,D392,"N/A")))</f>
        <v/>
      </c>
      <c r="F392" s="199" t="str">
        <f aca="false">IF(A393="","",E392*AS392)</f>
        <v/>
      </c>
      <c r="G392" s="200" t="str">
        <f aca="false">IF($A393="","",VLOOKUP($A392,Table,MATCH(G$4,Curves,0)))</f>
        <v/>
      </c>
      <c r="H392" s="201" t="str">
        <f aca="false">IF(A393="","",G392)</f>
        <v/>
      </c>
      <c r="J392" s="200" t="str">
        <f aca="false">IF($A393="","",VLOOKUP($A392,Table,MATCH(J$4,Curves,0)))</f>
        <v/>
      </c>
      <c r="K392" s="201" t="str">
        <f aca="false">IF(A393="","",J392)</f>
        <v/>
      </c>
      <c r="L392" s="200" t="str">
        <f aca="false">IF($A393="","",VLOOKUP($A392,Table,MATCH(L$4,Curves,0)))</f>
        <v/>
      </c>
      <c r="M392" s="201" t="str">
        <f aca="false">IF(A393="","",L392)</f>
        <v/>
      </c>
      <c r="O392" s="200" t="str">
        <f aca="false">IF(A393="","",L392+J392+G392)</f>
        <v/>
      </c>
      <c r="P392" s="200" t="str">
        <f aca="false">IF(A393="","",M392+K392+H392)</f>
        <v/>
      </c>
      <c r="R392" s="200" t="str">
        <f aca="false">IF($A393="","",VLOOKUP($A392,Table,MATCH(R$4,Curves,0)))</f>
        <v/>
      </c>
      <c r="S392" s="201" t="str">
        <f aca="false">IF(A393="","",R392)</f>
        <v/>
      </c>
      <c r="T392" s="200" t="str">
        <f aca="false">IF($A393="","",VLOOKUP($A392,Table,MATCH(T$4,Curves,0)))</f>
        <v/>
      </c>
      <c r="U392" s="201" t="str">
        <f aca="false">IF(A393="","",T392)</f>
        <v/>
      </c>
      <c r="V392" s="225" t="str">
        <f aca="false">IF($A393="","",IF(AND(MONTH(A392)&gt;3,MONTH(A392)&lt;11),(T392+R392+G392)*(((1/(1-Summary!$T$12))/(1-Summary!$W$12))-1),(T392+R392+G392)*((1/(1-Summary!$U$12))/(1-Summary!$X$12)-1)))</f>
        <v/>
      </c>
      <c r="W392" s="200" t="str">
        <f aca="false">IF($A393="","",(T392+R392+G392+V392))</f>
        <v/>
      </c>
      <c r="X392" s="200" t="str">
        <f aca="false">IF($A393="","",(U392+S392+H392+V392))</f>
        <v/>
      </c>
      <c r="Y392" s="202"/>
      <c r="Z392" s="185"/>
      <c r="AG392" s="182"/>
      <c r="AH392" s="182"/>
      <c r="AI392" s="182"/>
      <c r="AJ392" s="218"/>
      <c r="AK392" s="218"/>
      <c r="AL392" s="218"/>
      <c r="AM392" s="218"/>
      <c r="AN392" s="218"/>
      <c r="AO392" s="137" t="str">
        <f aca="false">IF(A393="","",A393-A392)</f>
        <v/>
      </c>
      <c r="AP392" s="212" t="str">
        <f aca="false">IF(A393="","",CHOOSE(F$3,A393+24,A392))</f>
        <v/>
      </c>
      <c r="AQ392" s="209" t="str">
        <f aca="false">IF(A393="","",AP392-$E$1)</f>
        <v/>
      </c>
      <c r="AR392" s="185" t="n">
        <f aca="false">'ANR OK vs ML7'!AR392</f>
        <v>0.1</v>
      </c>
      <c r="AS392" s="213" t="str">
        <f aca="false">IF(A393="","",1/(1+CHOOSE(F$3,(AR393+($I$3/10000))/2,(AR392+($I$3/10000))/2))^(2*AQ392/365.25))</f>
        <v/>
      </c>
      <c r="AT392" s="137" t="str">
        <f aca="false">IF(A393="","",IF(AND(mthbeg&lt;=A392,mthend&gt;=A392),1,0))</f>
        <v/>
      </c>
      <c r="AU392" s="137" t="str">
        <f aca="false">IF(A393="","",AO392*AT392)</f>
        <v/>
      </c>
      <c r="AW392" s="195" t="str">
        <f aca="false">IF($A393="","",AL392*$E392)</f>
        <v/>
      </c>
      <c r="AX392" s="195" t="str">
        <f aca="false">IF($A393="","",AM392*$E392)</f>
        <v/>
      </c>
      <c r="AY392" s="195" t="str">
        <f aca="false">IF($A393="","",AN392*$E392)</f>
        <v/>
      </c>
      <c r="BA392" s="195" t="str">
        <f aca="false">IF($A393="","",F392*Summary!$Q$12)</f>
        <v/>
      </c>
    </row>
    <row r="393" customFormat="false" ht="12.75" hidden="false" customHeight="false" outlineLevel="0" collapsed="false">
      <c r="A393" s="196" t="str">
        <f aca="false">IF(A392&lt;mthend,EDATE(A392,1),"")</f>
        <v/>
      </c>
      <c r="B393" s="197" t="str">
        <f aca="false">IF(A393&lt;mthend,B392,"")</f>
        <v/>
      </c>
      <c r="D393" s="197" t="str">
        <f aca="false">IF(A394&lt;&gt;"",B393+C393,"")</f>
        <v/>
      </c>
      <c r="E393" s="199" t="str">
        <f aca="false">IF(A394="","",IF(AND(AT393=1,$H$3=1),D393*AO393,IF($H$3=2,D393,"N/A")))</f>
        <v/>
      </c>
      <c r="F393" s="199" t="str">
        <f aca="false">IF(A394="","",E393*AS393)</f>
        <v/>
      </c>
      <c r="G393" s="200" t="str">
        <f aca="false">IF($A394="","",VLOOKUP($A393,Table,MATCH(G$4,Curves,0)))</f>
        <v/>
      </c>
      <c r="H393" s="201" t="str">
        <f aca="false">IF(A394="","",G393)</f>
        <v/>
      </c>
      <c r="J393" s="200" t="str">
        <f aca="false">IF($A394="","",VLOOKUP($A393,Table,MATCH(J$4,Curves,0)))</f>
        <v/>
      </c>
      <c r="K393" s="201" t="str">
        <f aca="false">IF(A394="","",J393)</f>
        <v/>
      </c>
      <c r="L393" s="200" t="str">
        <f aca="false">IF($A394="","",VLOOKUP($A393,Table,MATCH(L$4,Curves,0)))</f>
        <v/>
      </c>
      <c r="M393" s="201" t="str">
        <f aca="false">IF(A394="","",L393)</f>
        <v/>
      </c>
      <c r="O393" s="200" t="str">
        <f aca="false">IF(A394="","",L393+J393+G393)</f>
        <v/>
      </c>
      <c r="P393" s="200" t="str">
        <f aca="false">IF(A394="","",M393+K393+H393)</f>
        <v/>
      </c>
      <c r="R393" s="200" t="str">
        <f aca="false">IF($A394="","",VLOOKUP($A393,Table,MATCH(R$4,Curves,0)))</f>
        <v/>
      </c>
      <c r="S393" s="201" t="str">
        <f aca="false">IF(A394="","",R393)</f>
        <v/>
      </c>
      <c r="T393" s="200" t="str">
        <f aca="false">IF($A394="","",VLOOKUP($A393,Table,MATCH(T$4,Curves,0)))</f>
        <v/>
      </c>
      <c r="U393" s="201" t="str">
        <f aca="false">IF(A394="","",T393)</f>
        <v/>
      </c>
      <c r="V393" s="225" t="str">
        <f aca="false">IF($A394="","",IF(AND(MONTH(A393)&gt;3,MONTH(A393)&lt;11),(T393+R393+G393)*(((1/(1-Summary!$T$12))/(1-Summary!$W$12))-1),(T393+R393+G393)*((1/(1-Summary!$U$12))/(1-Summary!$X$12)-1)))</f>
        <v/>
      </c>
      <c r="W393" s="200" t="str">
        <f aca="false">IF($A394="","",(T393+R393+G393+V393))</f>
        <v/>
      </c>
      <c r="X393" s="200" t="str">
        <f aca="false">IF($A394="","",(U393+S393+H393+V393))</f>
        <v/>
      </c>
      <c r="Y393" s="202"/>
      <c r="Z393" s="185"/>
      <c r="AG393" s="182"/>
      <c r="AH393" s="182"/>
      <c r="AI393" s="182"/>
      <c r="AJ393" s="218"/>
      <c r="AK393" s="218"/>
      <c r="AL393" s="218"/>
      <c r="AM393" s="218"/>
      <c r="AN393" s="218"/>
      <c r="AO393" s="137" t="str">
        <f aca="false">IF(A394="","",A394-A393)</f>
        <v/>
      </c>
      <c r="AP393" s="212" t="str">
        <f aca="false">IF(A394="","",CHOOSE(F$3,A394+24,A393))</f>
        <v/>
      </c>
      <c r="AQ393" s="209" t="str">
        <f aca="false">IF(A394="","",AP393-$E$1)</f>
        <v/>
      </c>
      <c r="AR393" s="185" t="n">
        <f aca="false">'ANR OK vs ML7'!AR393</f>
        <v>0.1</v>
      </c>
      <c r="AS393" s="213" t="str">
        <f aca="false">IF(A394="","",1/(1+CHOOSE(F$3,(AR394+($I$3/10000))/2,(AR393+($I$3/10000))/2))^(2*AQ393/365.25))</f>
        <v/>
      </c>
      <c r="AT393" s="137" t="str">
        <f aca="false">IF(A394="","",IF(AND(mthbeg&lt;=A393,mthend&gt;=A393),1,0))</f>
        <v/>
      </c>
      <c r="AU393" s="137" t="str">
        <f aca="false">IF(A394="","",AO393*AT393)</f>
        <v/>
      </c>
      <c r="AW393" s="195" t="str">
        <f aca="false">IF($A394="","",AL393*$E393)</f>
        <v/>
      </c>
      <c r="AX393" s="195" t="str">
        <f aca="false">IF($A394="","",AM393*$E393)</f>
        <v/>
      </c>
      <c r="AY393" s="195" t="str">
        <f aca="false">IF($A394="","",AN393*$E393)</f>
        <v/>
      </c>
      <c r="BA393" s="195" t="str">
        <f aca="false">IF($A394="","",F393*Summary!$Q$12)</f>
        <v/>
      </c>
    </row>
    <row r="394" customFormat="false" ht="12.75" hidden="false" customHeight="false" outlineLevel="0" collapsed="false">
      <c r="A394" s="196" t="str">
        <f aca="false">IF(A393&lt;mthend,EDATE(A393,1),"")</f>
        <v/>
      </c>
      <c r="B394" s="197" t="str">
        <f aca="false">IF(A394&lt;mthend,B393,"")</f>
        <v/>
      </c>
      <c r="D394" s="197" t="str">
        <f aca="false">IF(A395&lt;&gt;"",B394+C394,"")</f>
        <v/>
      </c>
      <c r="E394" s="199" t="str">
        <f aca="false">IF(A395="","",IF(AND(AT394=1,$H$3=1),D394*AO394,IF($H$3=2,D394,"N/A")))</f>
        <v/>
      </c>
      <c r="F394" s="199" t="str">
        <f aca="false">IF(A395="","",E394*AS394)</f>
        <v/>
      </c>
      <c r="G394" s="200" t="str">
        <f aca="false">IF($A395="","",VLOOKUP($A394,Table,MATCH(G$4,Curves,0)))</f>
        <v/>
      </c>
      <c r="H394" s="201" t="str">
        <f aca="false">IF(A395="","",G394)</f>
        <v/>
      </c>
      <c r="J394" s="200" t="str">
        <f aca="false">IF($A395="","",VLOOKUP($A394,Table,MATCH(J$4,Curves,0)))</f>
        <v/>
      </c>
      <c r="K394" s="201" t="str">
        <f aca="false">IF(A395="","",J394)</f>
        <v/>
      </c>
      <c r="L394" s="200" t="str">
        <f aca="false">IF($A395="","",VLOOKUP($A394,Table,MATCH(L$4,Curves,0)))</f>
        <v/>
      </c>
      <c r="M394" s="201" t="str">
        <f aca="false">IF(A395="","",L394)</f>
        <v/>
      </c>
      <c r="O394" s="200" t="str">
        <f aca="false">IF(A395="","",L394+J394+G394)</f>
        <v/>
      </c>
      <c r="P394" s="200" t="str">
        <f aca="false">IF(A395="","",M394+K394+H394)</f>
        <v/>
      </c>
      <c r="R394" s="200" t="str">
        <f aca="false">IF($A395="","",VLOOKUP($A394,Table,MATCH(R$4,Curves,0)))</f>
        <v/>
      </c>
      <c r="S394" s="201" t="str">
        <f aca="false">IF(A395="","",R394)</f>
        <v/>
      </c>
      <c r="T394" s="200" t="str">
        <f aca="false">IF($A395="","",VLOOKUP($A394,Table,MATCH(T$4,Curves,0)))</f>
        <v/>
      </c>
      <c r="U394" s="201" t="str">
        <f aca="false">IF(A395="","",T394)</f>
        <v/>
      </c>
      <c r="V394" s="225" t="str">
        <f aca="false">IF($A395="","",IF(AND(MONTH(A394)&gt;3,MONTH(A394)&lt;11),(T394+R394+G394)*(((1/(1-Summary!$T$12))/(1-Summary!$W$12))-1),(T394+R394+G394)*((1/(1-Summary!$U$12))/(1-Summary!$X$12)-1)))</f>
        <v/>
      </c>
      <c r="W394" s="200" t="str">
        <f aca="false">IF($A395="","",(T394+R394+G394+V394))</f>
        <v/>
      </c>
      <c r="X394" s="200" t="str">
        <f aca="false">IF($A395="","",(U394+S394+H394+V394))</f>
        <v/>
      </c>
      <c r="Y394" s="202"/>
      <c r="Z394" s="185"/>
      <c r="AG394" s="182"/>
      <c r="AH394" s="182"/>
      <c r="AI394" s="182"/>
      <c r="AJ394" s="218"/>
      <c r="AK394" s="218"/>
      <c r="AL394" s="218"/>
      <c r="AM394" s="218"/>
      <c r="AN394" s="218"/>
      <c r="AO394" s="137" t="str">
        <f aca="false">IF(A395="","",A395-A394)</f>
        <v/>
      </c>
      <c r="AP394" s="212" t="str">
        <f aca="false">IF(A395="","",CHOOSE(F$3,A395+24,A394))</f>
        <v/>
      </c>
      <c r="AQ394" s="209" t="str">
        <f aca="false">IF(A395="","",AP394-$E$1)</f>
        <v/>
      </c>
      <c r="AR394" s="185" t="n">
        <f aca="false">'ANR OK vs ML7'!AR394</f>
        <v>0.1</v>
      </c>
      <c r="AS394" s="213" t="str">
        <f aca="false">IF(A395="","",1/(1+CHOOSE(F$3,(AR395+($I$3/10000))/2,(AR394+($I$3/10000))/2))^(2*AQ394/365.25))</f>
        <v/>
      </c>
      <c r="AT394" s="137" t="str">
        <f aca="false">IF(A395="","",IF(AND(mthbeg&lt;=A394,mthend&gt;=A394),1,0))</f>
        <v/>
      </c>
      <c r="AU394" s="137" t="str">
        <f aca="false">IF(A395="","",AO394*AT394)</f>
        <v/>
      </c>
      <c r="AW394" s="195" t="str">
        <f aca="false">IF($A395="","",AL394*$E394)</f>
        <v/>
      </c>
      <c r="AX394" s="195" t="str">
        <f aca="false">IF($A395="","",AM394*$E394)</f>
        <v/>
      </c>
      <c r="AY394" s="195" t="str">
        <f aca="false">IF($A395="","",AN394*$E394)</f>
        <v/>
      </c>
      <c r="BA394" s="195" t="str">
        <f aca="false">IF($A395="","",F394*Summary!$Q$12)</f>
        <v/>
      </c>
    </row>
    <row r="395" customFormat="false" ht="12.75" hidden="false" customHeight="false" outlineLevel="0" collapsed="false">
      <c r="A395" s="196" t="str">
        <f aca="false">IF(A394&lt;mthend,EDATE(A394,1),"")</f>
        <v/>
      </c>
      <c r="B395" s="197" t="str">
        <f aca="false">IF(A395&lt;mthend,B394,"")</f>
        <v/>
      </c>
      <c r="D395" s="197" t="str">
        <f aca="false">IF(A396&lt;&gt;"",B395+C395,"")</f>
        <v/>
      </c>
      <c r="E395" s="199" t="str">
        <f aca="false">IF(A396="","",IF(AND(AT395=1,$H$3=1),D395*AO395,IF($H$3=2,D395,"N/A")))</f>
        <v/>
      </c>
      <c r="F395" s="199" t="str">
        <f aca="false">IF(A396="","",E395*AS395)</f>
        <v/>
      </c>
      <c r="G395" s="200" t="str">
        <f aca="false">IF($A396="","",VLOOKUP($A395,Table,MATCH(G$4,Curves,0)))</f>
        <v/>
      </c>
      <c r="H395" s="201" t="str">
        <f aca="false">IF(A396="","",G395)</f>
        <v/>
      </c>
      <c r="J395" s="200" t="str">
        <f aca="false">IF($A396="","",VLOOKUP($A395,Table,MATCH(J$4,Curves,0)))</f>
        <v/>
      </c>
      <c r="K395" s="201" t="str">
        <f aca="false">IF(A396="","",J395)</f>
        <v/>
      </c>
      <c r="L395" s="200" t="str">
        <f aca="false">IF($A396="","",VLOOKUP($A395,Table,MATCH(L$4,Curves,0)))</f>
        <v/>
      </c>
      <c r="M395" s="201" t="str">
        <f aca="false">IF(A396="","",L395)</f>
        <v/>
      </c>
      <c r="O395" s="200" t="str">
        <f aca="false">IF(A396="","",L395+J395+G395)</f>
        <v/>
      </c>
      <c r="P395" s="200" t="str">
        <f aca="false">IF(A396="","",M395+K395+H395)</f>
        <v/>
      </c>
      <c r="R395" s="200" t="str">
        <f aca="false">IF($A396="","",VLOOKUP($A395,Table,MATCH(R$4,Curves,0)))</f>
        <v/>
      </c>
      <c r="S395" s="201" t="str">
        <f aca="false">IF(A396="","",R395)</f>
        <v/>
      </c>
      <c r="T395" s="200" t="str">
        <f aca="false">IF($A396="","",VLOOKUP($A395,Table,MATCH(T$4,Curves,0)))</f>
        <v/>
      </c>
      <c r="U395" s="201" t="str">
        <f aca="false">IF(A396="","",T395)</f>
        <v/>
      </c>
      <c r="V395" s="225" t="str">
        <f aca="false">IF($A396="","",IF(AND(MONTH(A395)&gt;3,MONTH(A395)&lt;11),(T395+R395+G395)*(((1/(1-Summary!$T$12))/(1-Summary!$W$12))-1),(T395+R395+G395)*((1/(1-Summary!$U$12))/(1-Summary!$X$12)-1)))</f>
        <v/>
      </c>
      <c r="W395" s="200" t="str">
        <f aca="false">IF($A396="","",(T395+R395+G395+V395))</f>
        <v/>
      </c>
      <c r="X395" s="200" t="str">
        <f aca="false">IF($A396="","",(U395+S395+H395+V395))</f>
        <v/>
      </c>
      <c r="Y395" s="202"/>
      <c r="Z395" s="185"/>
      <c r="AG395" s="182"/>
      <c r="AH395" s="182"/>
      <c r="AI395" s="182"/>
      <c r="AJ395" s="218"/>
      <c r="AK395" s="218"/>
      <c r="AL395" s="218"/>
      <c r="AM395" s="218"/>
      <c r="AN395" s="218"/>
      <c r="AO395" s="137" t="str">
        <f aca="false">IF(A396="","",A396-A395)</f>
        <v/>
      </c>
      <c r="AP395" s="212" t="str">
        <f aca="false">IF(A396="","",CHOOSE(F$3,A396+24,A395))</f>
        <v/>
      </c>
      <c r="AQ395" s="209" t="str">
        <f aca="false">IF(A396="","",AP395-$E$1)</f>
        <v/>
      </c>
      <c r="AR395" s="185" t="n">
        <f aca="false">'ANR OK vs ML7'!AR395</f>
        <v>0.1</v>
      </c>
      <c r="AS395" s="213" t="str">
        <f aca="false">IF(A396="","",1/(1+CHOOSE(F$3,(AR396+($I$3/10000))/2,(AR395+($I$3/10000))/2))^(2*AQ395/365.25))</f>
        <v/>
      </c>
      <c r="AT395" s="137" t="str">
        <f aca="false">IF(A396="","",IF(AND(mthbeg&lt;=A395,mthend&gt;=A395),1,0))</f>
        <v/>
      </c>
      <c r="AU395" s="137" t="str">
        <f aca="false">IF(A396="","",AO395*AT395)</f>
        <v/>
      </c>
      <c r="AW395" s="195" t="str">
        <f aca="false">IF($A396="","",AL395*$E395)</f>
        <v/>
      </c>
      <c r="AX395" s="195" t="str">
        <f aca="false">IF($A396="","",AM395*$E395)</f>
        <v/>
      </c>
      <c r="AY395" s="195" t="str">
        <f aca="false">IF($A396="","",AN395*$E395)</f>
        <v/>
      </c>
      <c r="BA395" s="195" t="str">
        <f aca="false">IF($A396="","",F395*Summary!$Q$12)</f>
        <v/>
      </c>
    </row>
    <row r="396" customFormat="false" ht="12.75" hidden="false" customHeight="false" outlineLevel="0" collapsed="false">
      <c r="A396" s="196" t="str">
        <f aca="false">IF(A395&lt;mthend,EDATE(A395,1),"")</f>
        <v/>
      </c>
      <c r="B396" s="197" t="str">
        <f aca="false">IF(A396&lt;mthend,B395,"")</f>
        <v/>
      </c>
      <c r="D396" s="197" t="str">
        <f aca="false">IF(A397&lt;&gt;"",B396+C396,"")</f>
        <v/>
      </c>
      <c r="E396" s="199" t="str">
        <f aca="false">IF(A397="","",IF(AND(AT396=1,$H$3=1),D396*AO396,IF($H$3=2,D396,"N/A")))</f>
        <v/>
      </c>
      <c r="F396" s="199" t="str">
        <f aca="false">IF(A397="","",E396*AS396)</f>
        <v/>
      </c>
      <c r="G396" s="200" t="str">
        <f aca="false">IF($A397="","",VLOOKUP($A396,Table,MATCH(G$4,Curves,0)))</f>
        <v/>
      </c>
      <c r="H396" s="201" t="str">
        <f aca="false">IF(A397="","",G396)</f>
        <v/>
      </c>
      <c r="J396" s="200" t="str">
        <f aca="false">IF($A397="","",VLOOKUP($A396,Table,MATCH(J$4,Curves,0)))</f>
        <v/>
      </c>
      <c r="K396" s="201" t="str">
        <f aca="false">IF(A397="","",J396)</f>
        <v/>
      </c>
      <c r="L396" s="200" t="str">
        <f aca="false">IF($A397="","",VLOOKUP($A396,Table,MATCH(L$4,Curves,0)))</f>
        <v/>
      </c>
      <c r="M396" s="201" t="str">
        <f aca="false">IF(A397="","",L396)</f>
        <v/>
      </c>
      <c r="O396" s="200" t="str">
        <f aca="false">IF(A397="","",L396+J396+G396)</f>
        <v/>
      </c>
      <c r="P396" s="200" t="str">
        <f aca="false">IF(A397="","",M396+K396+H396)</f>
        <v/>
      </c>
      <c r="R396" s="200" t="str">
        <f aca="false">IF($A397="","",VLOOKUP($A396,Table,MATCH(R$4,Curves,0)))</f>
        <v/>
      </c>
      <c r="S396" s="201" t="str">
        <f aca="false">IF(A397="","",R396)</f>
        <v/>
      </c>
      <c r="T396" s="200" t="str">
        <f aca="false">IF($A397="","",VLOOKUP($A396,Table,MATCH(T$4,Curves,0)))</f>
        <v/>
      </c>
      <c r="U396" s="201" t="str">
        <f aca="false">IF(A397="","",T396)</f>
        <v/>
      </c>
      <c r="V396" s="225" t="str">
        <f aca="false">IF($A397="","",IF(AND(MONTH(A396)&gt;3,MONTH(A396)&lt;11),(T396+R396+G396)*(((1/(1-Summary!$T$12))/(1-Summary!$W$12))-1),(T396+R396+G396)*((1/(1-Summary!$U$12))/(1-Summary!$X$12)-1)))</f>
        <v/>
      </c>
      <c r="W396" s="200" t="str">
        <f aca="false">IF($A397="","",(T396+R396+G396+V396))</f>
        <v/>
      </c>
      <c r="X396" s="200" t="str">
        <f aca="false">IF($A397="","",(U396+S396+H396+V396))</f>
        <v/>
      </c>
      <c r="Y396" s="202"/>
      <c r="Z396" s="185"/>
      <c r="AG396" s="182"/>
      <c r="AH396" s="182"/>
      <c r="AI396" s="182"/>
      <c r="AJ396" s="218"/>
      <c r="AK396" s="218"/>
      <c r="AL396" s="218"/>
      <c r="AM396" s="218"/>
      <c r="AN396" s="218"/>
      <c r="AO396" s="137" t="str">
        <f aca="false">IF(A397="","",A397-A396)</f>
        <v/>
      </c>
      <c r="AP396" s="212" t="str">
        <f aca="false">IF(A397="","",CHOOSE(F$3,A397+24,A396))</f>
        <v/>
      </c>
      <c r="AQ396" s="209" t="str">
        <f aca="false">IF(A397="","",AP396-$E$1)</f>
        <v/>
      </c>
      <c r="AR396" s="185" t="n">
        <f aca="false">'ANR OK vs ML7'!AR396</f>
        <v>0.1</v>
      </c>
      <c r="AS396" s="213" t="str">
        <f aca="false">IF(A397="","",1/(1+CHOOSE(F$3,(AR397+($I$3/10000))/2,(AR396+($I$3/10000))/2))^(2*AQ396/365.25))</f>
        <v/>
      </c>
      <c r="AT396" s="137" t="str">
        <f aca="false">IF(A397="","",IF(AND(mthbeg&lt;=A396,mthend&gt;=A396),1,0))</f>
        <v/>
      </c>
      <c r="AU396" s="137" t="str">
        <f aca="false">IF(A397="","",AO396*AT396)</f>
        <v/>
      </c>
      <c r="AW396" s="195" t="str">
        <f aca="false">IF($A397="","",AL396*$E396)</f>
        <v/>
      </c>
      <c r="AX396" s="195" t="str">
        <f aca="false">IF($A397="","",AM396*$E396)</f>
        <v/>
      </c>
      <c r="AY396" s="195" t="str">
        <f aca="false">IF($A397="","",AN396*$E396)</f>
        <v/>
      </c>
      <c r="BA396" s="195" t="str">
        <f aca="false">IF($A397="","",F396*Summary!$Q$12)</f>
        <v/>
      </c>
    </row>
    <row r="397" customFormat="false" ht="12.75" hidden="false" customHeight="false" outlineLevel="0" collapsed="false">
      <c r="A397" s="196" t="str">
        <f aca="false">IF(A396&lt;mthend,EDATE(A396,1),"")</f>
        <v/>
      </c>
      <c r="B397" s="197" t="str">
        <f aca="false">IF(A397&lt;mthend,B396,"")</f>
        <v/>
      </c>
      <c r="D397" s="197" t="str">
        <f aca="false">IF(A398&lt;&gt;"",B397+C397,"")</f>
        <v/>
      </c>
      <c r="E397" s="199" t="str">
        <f aca="false">IF(A398="","",IF(AND(AT397=1,$H$3=1),D397*AO397,IF($H$3=2,D397,"N/A")))</f>
        <v/>
      </c>
      <c r="F397" s="199" t="str">
        <f aca="false">IF(A398="","",E397*AS397)</f>
        <v/>
      </c>
      <c r="G397" s="200" t="str">
        <f aca="false">IF($A398="","",VLOOKUP($A397,Table,MATCH(G$4,Curves,0)))</f>
        <v/>
      </c>
      <c r="H397" s="201" t="str">
        <f aca="false">IF(A398="","",G397)</f>
        <v/>
      </c>
      <c r="J397" s="200" t="str">
        <f aca="false">IF($A398="","",VLOOKUP($A397,Table,MATCH(J$4,Curves,0)))</f>
        <v/>
      </c>
      <c r="K397" s="201" t="str">
        <f aca="false">IF(A398="","",J397)</f>
        <v/>
      </c>
      <c r="L397" s="200" t="str">
        <f aca="false">IF($A398="","",VLOOKUP($A397,Table,MATCH(L$4,Curves,0)))</f>
        <v/>
      </c>
      <c r="M397" s="201" t="str">
        <f aca="false">IF(A398="","",L397)</f>
        <v/>
      </c>
      <c r="O397" s="200" t="str">
        <f aca="false">IF(A398="","",L397+J397+G397)</f>
        <v/>
      </c>
      <c r="P397" s="200" t="str">
        <f aca="false">IF(A398="","",M397+K397+H397)</f>
        <v/>
      </c>
      <c r="R397" s="200" t="str">
        <f aca="false">IF($A398="","",VLOOKUP($A397,Table,MATCH(R$4,Curves,0)))</f>
        <v/>
      </c>
      <c r="S397" s="201" t="str">
        <f aca="false">IF(A398="","",R397)</f>
        <v/>
      </c>
      <c r="T397" s="200" t="str">
        <f aca="false">IF($A398="","",VLOOKUP($A397,Table,MATCH(T$4,Curves,0)))</f>
        <v/>
      </c>
      <c r="U397" s="201" t="str">
        <f aca="false">IF(A398="","",T397)</f>
        <v/>
      </c>
      <c r="V397" s="225" t="str">
        <f aca="false">IF($A398="","",IF(AND(MONTH(A397)&gt;3,MONTH(A397)&lt;11),(T397+R397+G397)*(((1/(1-Summary!$T$12))/(1-Summary!$W$12))-1),(T397+R397+G397)*((1/(1-Summary!$U$12))/(1-Summary!$X$12)-1)))</f>
        <v/>
      </c>
      <c r="W397" s="200" t="str">
        <f aca="false">IF($A398="","",(T397+R397+G397+V397))</f>
        <v/>
      </c>
      <c r="X397" s="200" t="str">
        <f aca="false">IF($A398="","",(U397+S397+H397+V397))</f>
        <v/>
      </c>
      <c r="Y397" s="202"/>
      <c r="Z397" s="185"/>
      <c r="AJ397" s="218"/>
      <c r="AK397" s="218"/>
      <c r="AL397" s="218"/>
      <c r="AM397" s="218"/>
      <c r="AN397" s="218"/>
      <c r="AO397" s="137" t="str">
        <f aca="false">IF(A398="","",A398-A397)</f>
        <v/>
      </c>
      <c r="AP397" s="212" t="str">
        <f aca="false">IF(A398="","",CHOOSE(F$3,A398+24,A397))</f>
        <v/>
      </c>
      <c r="AQ397" s="209" t="str">
        <f aca="false">IF(A398="","",AP397-$E$1)</f>
        <v/>
      </c>
      <c r="AR397" s="185" t="n">
        <f aca="false">'ANR OK vs ML7'!AR397</f>
        <v>0.1</v>
      </c>
      <c r="AS397" s="213" t="str">
        <f aca="false">IF(A398="","",1/(1+CHOOSE(F$3,(AR398+($I$3/10000))/2,(AR397+($I$3/10000))/2))^(2*AQ397/365.25))</f>
        <v/>
      </c>
      <c r="AT397" s="137" t="str">
        <f aca="false">IF(A398="","",IF(AND(mthbeg&lt;=A397,mthend&gt;=A397),1,0))</f>
        <v/>
      </c>
      <c r="AU397" s="137" t="str">
        <f aca="false">IF(A398="","",AO397*AT397)</f>
        <v/>
      </c>
      <c r="AW397" s="195" t="str">
        <f aca="false">IF($A398="","",AL397*$E397)</f>
        <v/>
      </c>
      <c r="AX397" s="195" t="str">
        <f aca="false">IF($A398="","",AM397*$E397)</f>
        <v/>
      </c>
      <c r="AY397" s="195" t="str">
        <f aca="false">IF($A398="","",AN397*$E397)</f>
        <v/>
      </c>
      <c r="BA397" s="195" t="str">
        <f aca="false">IF($A398="","",F397*Summary!$Q$12)</f>
        <v/>
      </c>
    </row>
    <row r="398" customFormat="false" ht="12.75" hidden="false" customHeight="false" outlineLevel="0" collapsed="false">
      <c r="A398" s="196" t="str">
        <f aca="false">IF(A397&lt;mthend,EDATE(A397,1),"")</f>
        <v/>
      </c>
      <c r="B398" s="197" t="str">
        <f aca="false">IF(A398&lt;mthend,B397,"")</f>
        <v/>
      </c>
      <c r="D398" s="197" t="str">
        <f aca="false">IF(A399&lt;&gt;"",B398+C398,"")</f>
        <v/>
      </c>
      <c r="E398" s="199" t="str">
        <f aca="false">IF(A399="","",IF(AND(AT398=1,$H$3=1),D398*AO398,IF($H$3=2,D398,"N/A")))</f>
        <v/>
      </c>
      <c r="F398" s="199" t="str">
        <f aca="false">IF(A399="","",E398*AS398)</f>
        <v/>
      </c>
      <c r="G398" s="200" t="str">
        <f aca="false">IF($A399="","",VLOOKUP($A398,Table,MATCH(G$4,Curves,0)))</f>
        <v/>
      </c>
      <c r="H398" s="201" t="str">
        <f aca="false">IF(A399="","",G398)</f>
        <v/>
      </c>
      <c r="J398" s="200" t="str">
        <f aca="false">IF($A399="","",VLOOKUP($A398,Table,MATCH(J$4,Curves,0)))</f>
        <v/>
      </c>
      <c r="K398" s="201" t="str">
        <f aca="false">IF(A399="","",J398)</f>
        <v/>
      </c>
      <c r="L398" s="200" t="str">
        <f aca="false">IF($A399="","",VLOOKUP($A398,Table,MATCH(L$4,Curves,0)))</f>
        <v/>
      </c>
      <c r="M398" s="201" t="str">
        <f aca="false">IF(A399="","",L398)</f>
        <v/>
      </c>
      <c r="O398" s="200" t="str">
        <f aca="false">IF(A399="","",L398+J398+G398)</f>
        <v/>
      </c>
      <c r="P398" s="200" t="str">
        <f aca="false">IF(A399="","",M398+K398+H398)</f>
        <v/>
      </c>
      <c r="R398" s="200" t="str">
        <f aca="false">IF($A399="","",VLOOKUP($A398,Table,MATCH(R$4,Curves,0)))</f>
        <v/>
      </c>
      <c r="S398" s="201" t="str">
        <f aca="false">IF(A399="","",R398)</f>
        <v/>
      </c>
      <c r="T398" s="200" t="str">
        <f aca="false">IF($A399="","",VLOOKUP($A398,Table,MATCH(T$4,Curves,0)))</f>
        <v/>
      </c>
      <c r="U398" s="201" t="str">
        <f aca="false">IF(A399="","",T398)</f>
        <v/>
      </c>
      <c r="V398" s="225" t="str">
        <f aca="false">IF($A399="","",IF(AND(MONTH(A398)&gt;3,MONTH(A398)&lt;11),(T398+R398+G398)*(((1/(1-Summary!$T$12))/(1-Summary!$W$12))-1),(T398+R398+G398)*((1/(1-Summary!$U$12))/(1-Summary!$X$12)-1)))</f>
        <v/>
      </c>
      <c r="W398" s="200" t="str">
        <f aca="false">IF($A399="","",(T398+R398+G398+V398))</f>
        <v/>
      </c>
      <c r="X398" s="200" t="str">
        <f aca="false">IF($A399="","",(U398+S398+H398+V398))</f>
        <v/>
      </c>
      <c r="Y398" s="202"/>
      <c r="Z398" s="185"/>
      <c r="AJ398" s="218"/>
      <c r="AK398" s="218"/>
      <c r="AL398" s="218"/>
      <c r="AM398" s="218"/>
      <c r="AN398" s="218"/>
      <c r="AO398" s="137" t="str">
        <f aca="false">IF(A399="","",A399-A398)</f>
        <v/>
      </c>
      <c r="AP398" s="212" t="str">
        <f aca="false">IF(A399="","",CHOOSE(F$3,A399+24,A398))</f>
        <v/>
      </c>
      <c r="AQ398" s="209" t="str">
        <f aca="false">IF(A399="","",AP398-$E$1)</f>
        <v/>
      </c>
      <c r="AR398" s="185" t="n">
        <f aca="false">'ANR OK vs ML7'!AR398</f>
        <v>0.1</v>
      </c>
      <c r="AS398" s="213" t="str">
        <f aca="false">IF(A399="","",1/(1+CHOOSE(F$3,(AR399+($I$3/10000))/2,(AR398+($I$3/10000))/2))^(2*AQ398/365.25))</f>
        <v/>
      </c>
      <c r="AT398" s="137" t="str">
        <f aca="false">IF(A399="","",IF(AND(mthbeg&lt;=A398,mthend&gt;=A398),1,0))</f>
        <v/>
      </c>
      <c r="AU398" s="137" t="str">
        <f aca="false">IF(A399="","",AO398*AT398)</f>
        <v/>
      </c>
      <c r="AW398" s="195" t="str">
        <f aca="false">IF($A399="","",AL398*$E398)</f>
        <v/>
      </c>
      <c r="AX398" s="195" t="str">
        <f aca="false">IF($A399="","",AM398*$E398)</f>
        <v/>
      </c>
      <c r="AY398" s="195" t="str">
        <f aca="false">IF($A399="","",AN398*$E398)</f>
        <v/>
      </c>
      <c r="BA398" s="195" t="str">
        <f aca="false">IF($A399="","",F398*Summary!$Q$12)</f>
        <v/>
      </c>
    </row>
    <row r="399" customFormat="false" ht="12.75" hidden="false" customHeight="false" outlineLevel="0" collapsed="false">
      <c r="A399" s="196" t="str">
        <f aca="false">IF(A398&lt;mthend,EDATE(A398,1),"")</f>
        <v/>
      </c>
      <c r="B399" s="197" t="str">
        <f aca="false">IF(A399&lt;mthend,B398,"")</f>
        <v/>
      </c>
      <c r="D399" s="197" t="str">
        <f aca="false">IF(A400&lt;&gt;"",B399+C399,"")</f>
        <v/>
      </c>
      <c r="E399" s="199" t="str">
        <f aca="false">IF(A400="","",IF(AND(AT399=1,$H$3=1),D399*AO399,IF($H$3=2,D399,"N/A")))</f>
        <v/>
      </c>
      <c r="F399" s="199" t="str">
        <f aca="false">IF(A400="","",E399*AS399)</f>
        <v/>
      </c>
      <c r="G399" s="200" t="str">
        <f aca="false">IF($A400="","",VLOOKUP($A399,Table,MATCH(G$4,Curves,0)))</f>
        <v/>
      </c>
      <c r="H399" s="201" t="str">
        <f aca="false">IF(A400="","",G399)</f>
        <v/>
      </c>
      <c r="J399" s="200" t="str">
        <f aca="false">IF($A400="","",VLOOKUP($A399,Table,MATCH(J$4,Curves,0)))</f>
        <v/>
      </c>
      <c r="K399" s="201" t="str">
        <f aca="false">IF(A400="","",J399)</f>
        <v/>
      </c>
      <c r="L399" s="200" t="str">
        <f aca="false">IF($A400="","",VLOOKUP($A399,Table,MATCH(L$4,Curves,0)))</f>
        <v/>
      </c>
      <c r="M399" s="201" t="str">
        <f aca="false">IF(A400="","",L399)</f>
        <v/>
      </c>
      <c r="O399" s="200" t="str">
        <f aca="false">IF(A400="","",L399+J399+G399)</f>
        <v/>
      </c>
      <c r="P399" s="200" t="str">
        <f aca="false">IF(A400="","",M399+K399+H399)</f>
        <v/>
      </c>
      <c r="R399" s="200" t="str">
        <f aca="false">IF($A400="","",VLOOKUP($A399,Table,MATCH(R$4,Curves,0)))</f>
        <v/>
      </c>
      <c r="S399" s="201" t="str">
        <f aca="false">IF(A400="","",R399)</f>
        <v/>
      </c>
      <c r="T399" s="200" t="str">
        <f aca="false">IF($A400="","",VLOOKUP($A399,Table,MATCH(T$4,Curves,0)))</f>
        <v/>
      </c>
      <c r="U399" s="201" t="str">
        <f aca="false">IF(A400="","",T399)</f>
        <v/>
      </c>
      <c r="V399" s="225" t="str">
        <f aca="false">IF($A400="","",IF(AND(MONTH(A399)&gt;3,MONTH(A399)&lt;11),(T399+R399+G399)*(((1/(1-Summary!$T$12))/(1-Summary!$W$12))-1),(T399+R399+G399)*((1/(1-Summary!$U$12))/(1-Summary!$X$12)-1)))</f>
        <v/>
      </c>
      <c r="W399" s="200" t="str">
        <f aca="false">IF($A400="","",(T399+R399+G399+V399))</f>
        <v/>
      </c>
      <c r="X399" s="200" t="str">
        <f aca="false">IF($A400="","",(U399+S399+H399+V399))</f>
        <v/>
      </c>
      <c r="Y399" s="202"/>
      <c r="Z399" s="185"/>
      <c r="AJ399" s="218"/>
      <c r="AK399" s="218"/>
      <c r="AL399" s="218"/>
      <c r="AM399" s="218"/>
      <c r="AN399" s="218"/>
      <c r="AO399" s="137" t="str">
        <f aca="false">IF(A400="","",A400-A399)</f>
        <v/>
      </c>
      <c r="AP399" s="212" t="str">
        <f aca="false">IF(A400="","",CHOOSE(F$3,A400+24,A399))</f>
        <v/>
      </c>
      <c r="AQ399" s="209" t="str">
        <f aca="false">IF(A400="","",AP399-$E$1)</f>
        <v/>
      </c>
      <c r="AR399" s="185" t="n">
        <f aca="false">'ANR OK vs ML7'!AR399</f>
        <v>0.1</v>
      </c>
      <c r="AS399" s="213" t="str">
        <f aca="false">IF(A400="","",1/(1+CHOOSE(F$3,(AR400+($I$3/10000))/2,(AR399+($I$3/10000))/2))^(2*AQ399/365.25))</f>
        <v/>
      </c>
      <c r="AT399" s="137" t="str">
        <f aca="false">IF(A400="","",IF(AND(mthbeg&lt;=A399,mthend&gt;=A399),1,0))</f>
        <v/>
      </c>
      <c r="AU399" s="137" t="str">
        <f aca="false">IF(A400="","",AO399*AT399)</f>
        <v/>
      </c>
      <c r="AW399" s="195" t="str">
        <f aca="false">IF($A400="","",AL399*$E399)</f>
        <v/>
      </c>
      <c r="AX399" s="195" t="str">
        <f aca="false">IF($A400="","",AM399*$E399)</f>
        <v/>
      </c>
      <c r="AY399" s="195" t="str">
        <f aca="false">IF($A400="","",AN399*$E399)</f>
        <v/>
      </c>
      <c r="BA399" s="195" t="str">
        <f aca="false">IF($A400="","",F399*Summary!$Q$12)</f>
        <v/>
      </c>
    </row>
    <row r="400" customFormat="false" ht="12.75" hidden="false" customHeight="false" outlineLevel="0" collapsed="false">
      <c r="A400" s="196" t="str">
        <f aca="false">IF(A399&lt;mthend,EDATE(A399,1),"")</f>
        <v/>
      </c>
      <c r="B400" s="197" t="str">
        <f aca="false">IF(A400&lt;mthend,B399,"")</f>
        <v/>
      </c>
      <c r="D400" s="197" t="str">
        <f aca="false">IF(A401&lt;&gt;"",B400+C400,"")</f>
        <v/>
      </c>
      <c r="E400" s="199" t="str">
        <f aca="false">IF(A401="","",IF(AND(AT400=1,$H$3=1),D400*AO400,IF($H$3=2,D400,"N/A")))</f>
        <v/>
      </c>
      <c r="F400" s="199" t="str">
        <f aca="false">IF(A401="","",E400*AS400)</f>
        <v/>
      </c>
      <c r="G400" s="200" t="str">
        <f aca="false">IF($A401="","",VLOOKUP($A400,Table,MATCH(G$4,Curves,0)))</f>
        <v/>
      </c>
      <c r="H400" s="201" t="str">
        <f aca="false">IF(A401="","",G400)</f>
        <v/>
      </c>
      <c r="J400" s="200" t="str">
        <f aca="false">IF($A401="","",VLOOKUP($A400,Table,MATCH(J$4,Curves,0)))</f>
        <v/>
      </c>
      <c r="K400" s="201" t="str">
        <f aca="false">IF(A401="","",J400)</f>
        <v/>
      </c>
      <c r="L400" s="200" t="str">
        <f aca="false">IF($A401="","",VLOOKUP($A400,Table,MATCH(L$4,Curves,0)))</f>
        <v/>
      </c>
      <c r="M400" s="201" t="str">
        <f aca="false">IF(A401="","",L400)</f>
        <v/>
      </c>
      <c r="O400" s="200" t="str">
        <f aca="false">IF(A401="","",L400+J400+G400)</f>
        <v/>
      </c>
      <c r="P400" s="200" t="str">
        <f aca="false">IF(A401="","",M400+K400+H400)</f>
        <v/>
      </c>
      <c r="R400" s="200" t="str">
        <f aca="false">IF($A401="","",VLOOKUP($A400,Table,MATCH(R$4,Curves,0)))</f>
        <v/>
      </c>
      <c r="S400" s="201" t="str">
        <f aca="false">IF(A401="","",R400)</f>
        <v/>
      </c>
      <c r="T400" s="200" t="str">
        <f aca="false">IF($A401="","",VLOOKUP($A400,Table,MATCH(T$4,Curves,0)))</f>
        <v/>
      </c>
      <c r="U400" s="201" t="str">
        <f aca="false">IF(A401="","",T400)</f>
        <v/>
      </c>
      <c r="V400" s="225" t="str">
        <f aca="false">IF($A401="","",IF(AND(MONTH(A400)&gt;3,MONTH(A400)&lt;11),(T400+R400+G400)*(((1/(1-Summary!$T$12))/(1-Summary!$W$12))-1),(T400+R400+G400)*((1/(1-Summary!$U$12))/(1-Summary!$X$12)-1)))</f>
        <v/>
      </c>
      <c r="W400" s="200" t="str">
        <f aca="false">IF($A401="","",(T400+R400+G400+V400))</f>
        <v/>
      </c>
      <c r="X400" s="200" t="str">
        <f aca="false">IF($A401="","",(U400+S400+H400+V400))</f>
        <v/>
      </c>
      <c r="Y400" s="202"/>
      <c r="Z400" s="185"/>
      <c r="AJ400" s="218"/>
      <c r="AK400" s="218"/>
      <c r="AL400" s="218"/>
      <c r="AM400" s="218"/>
      <c r="AN400" s="218"/>
      <c r="AO400" s="137" t="str">
        <f aca="false">IF(A401="","",A401-A400)</f>
        <v/>
      </c>
      <c r="AP400" s="212" t="str">
        <f aca="false">IF(A401="","",CHOOSE(F$3,A401+24,A400))</f>
        <v/>
      </c>
      <c r="AQ400" s="209" t="str">
        <f aca="false">IF(A401="","",AP400-$E$1)</f>
        <v/>
      </c>
      <c r="AR400" s="185" t="n">
        <f aca="false">'ANR OK vs ML7'!AR400</f>
        <v>0.1</v>
      </c>
      <c r="AS400" s="213" t="str">
        <f aca="false">IF(A401="","",1/(1+CHOOSE(F$3,(AR401+($I$3/10000))/2,(AR400+($I$3/10000))/2))^(2*AQ400/365.25))</f>
        <v/>
      </c>
      <c r="AT400" s="137" t="str">
        <f aca="false">IF(A401="","",IF(AND(mthbeg&lt;=A400,mthend&gt;=A400),1,0))</f>
        <v/>
      </c>
      <c r="AU400" s="137" t="str">
        <f aca="false">IF(A401="","",AO400*AT400)</f>
        <v/>
      </c>
      <c r="AW400" s="195" t="str">
        <f aca="false">IF($A401="","",AL400*$E400)</f>
        <v/>
      </c>
      <c r="AX400" s="195" t="str">
        <f aca="false">IF($A401="","",AM400*$E400)</f>
        <v/>
      </c>
      <c r="AY400" s="195" t="str">
        <f aca="false">IF($A401="","",AN400*$E400)</f>
        <v/>
      </c>
      <c r="BA400" s="195" t="str">
        <f aca="false">IF($A401="","",F400*Summary!$Q$12)</f>
        <v/>
      </c>
    </row>
    <row r="401" customFormat="false" ht="12.75" hidden="false" customHeight="false" outlineLevel="0" collapsed="false">
      <c r="A401" s="196" t="str">
        <f aca="false">IF(A400&lt;mthend,EDATE(A400,1),"")</f>
        <v/>
      </c>
      <c r="B401" s="197" t="str">
        <f aca="false">IF(A401&lt;mthend,B400,"")</f>
        <v/>
      </c>
      <c r="D401" s="197" t="str">
        <f aca="false">IF(A402&lt;&gt;"",B401+C401,"")</f>
        <v/>
      </c>
      <c r="E401" s="199" t="str">
        <f aca="false">IF(A402="","",IF(AND(AT401=1,$H$3=1),D401*AO401,IF($H$3=2,D401,"N/A")))</f>
        <v/>
      </c>
      <c r="F401" s="199" t="str">
        <f aca="false">IF(A402="","",E401*AS401)</f>
        <v/>
      </c>
      <c r="G401" s="200" t="str">
        <f aca="false">IF($A402="","",VLOOKUP($A401,Table,MATCH(G$4,Curves,0)))</f>
        <v/>
      </c>
      <c r="H401" s="201" t="str">
        <f aca="false">IF(A402="","",G401)</f>
        <v/>
      </c>
      <c r="J401" s="200" t="str">
        <f aca="false">IF($A402="","",VLOOKUP($A401,Table,MATCH(J$4,Curves,0)))</f>
        <v/>
      </c>
      <c r="K401" s="201" t="str">
        <f aca="false">IF(A402="","",J401)</f>
        <v/>
      </c>
      <c r="L401" s="200" t="str">
        <f aca="false">IF($A402="","",VLOOKUP($A401,Table,MATCH(L$4,Curves,0)))</f>
        <v/>
      </c>
      <c r="M401" s="201" t="str">
        <f aca="false">IF(A402="","",L401)</f>
        <v/>
      </c>
      <c r="O401" s="200" t="str">
        <f aca="false">IF(A402="","",L401+J401+G401)</f>
        <v/>
      </c>
      <c r="P401" s="200" t="str">
        <f aca="false">IF(A402="","",M401+K401+H401)</f>
        <v/>
      </c>
      <c r="R401" s="200" t="str">
        <f aca="false">IF($A402="","",VLOOKUP($A401,Table,MATCH(R$4,Curves,0)))</f>
        <v/>
      </c>
      <c r="S401" s="201" t="str">
        <f aca="false">IF(A402="","",R401)</f>
        <v/>
      </c>
      <c r="T401" s="200" t="str">
        <f aca="false">IF($A402="","",VLOOKUP($A401,Table,MATCH(T$4,Curves,0)))</f>
        <v/>
      </c>
      <c r="U401" s="201" t="str">
        <f aca="false">IF(A402="","",T401)</f>
        <v/>
      </c>
      <c r="V401" s="225" t="str">
        <f aca="false">IF($A402="","",IF(AND(MONTH(A401)&gt;3,MONTH(A401)&lt;11),(T401+R401+G401)*(((1/(1-Summary!$T$12))/(1-Summary!$W$12))-1),(T401+R401+G401)*((1/(1-Summary!$U$12))/(1-Summary!$X$12)-1)))</f>
        <v/>
      </c>
      <c r="W401" s="200" t="str">
        <f aca="false">IF($A402="","",(T401+R401+G401+V401))</f>
        <v/>
      </c>
      <c r="X401" s="200" t="str">
        <f aca="false">IF($A402="","",(U401+S401+H401+V401))</f>
        <v/>
      </c>
      <c r="Y401" s="202"/>
      <c r="Z401" s="185"/>
      <c r="AJ401" s="218"/>
      <c r="AK401" s="218"/>
      <c r="AL401" s="218"/>
      <c r="AM401" s="218"/>
      <c r="AN401" s="218"/>
      <c r="AO401" s="137" t="str">
        <f aca="false">IF(A402="","",A402-A401)</f>
        <v/>
      </c>
      <c r="AP401" s="212" t="str">
        <f aca="false">IF(A402="","",CHOOSE(F$3,A402+24,A401))</f>
        <v/>
      </c>
      <c r="AQ401" s="209" t="str">
        <f aca="false">IF(A402="","",AP401-$E$1)</f>
        <v/>
      </c>
      <c r="AR401" s="185" t="n">
        <f aca="false">'ANR OK vs ML7'!AR401</f>
        <v>0.1</v>
      </c>
      <c r="AS401" s="213" t="str">
        <f aca="false">IF(A402="","",1/(1+CHOOSE(F$3,(AR402+($I$3/10000))/2,(AR401+($I$3/10000))/2))^(2*AQ401/365.25))</f>
        <v/>
      </c>
      <c r="AT401" s="137" t="str">
        <f aca="false">IF(A402="","",IF(AND(mthbeg&lt;=A401,mthend&gt;=A401),1,0))</f>
        <v/>
      </c>
      <c r="AU401" s="137" t="str">
        <f aca="false">IF(A402="","",AO401*AT401)</f>
        <v/>
      </c>
      <c r="AW401" s="195" t="str">
        <f aca="false">IF($A402="","",AL401*$E401)</f>
        <v/>
      </c>
      <c r="AX401" s="195" t="str">
        <f aca="false">IF($A402="","",AM401*$E401)</f>
        <v/>
      </c>
      <c r="AY401" s="195" t="str">
        <f aca="false">IF($A402="","",AN401*$E401)</f>
        <v/>
      </c>
      <c r="BA401" s="195" t="str">
        <f aca="false">IF($A402="","",F401*Summary!$Q$12)</f>
        <v/>
      </c>
    </row>
    <row r="402" customFormat="false" ht="12.75" hidden="false" customHeight="false" outlineLevel="0" collapsed="false">
      <c r="A402" s="196" t="str">
        <f aca="false">IF(A401&lt;mthend,EDATE(A401,1),"")</f>
        <v/>
      </c>
      <c r="B402" s="197" t="str">
        <f aca="false">IF(A402&lt;mthend,B401,"")</f>
        <v/>
      </c>
      <c r="D402" s="197" t="str">
        <f aca="false">IF(A403&lt;&gt;"",B402+C402,"")</f>
        <v/>
      </c>
      <c r="E402" s="199" t="str">
        <f aca="false">IF(A403="","",IF(AND(AT402=1,$H$3=1),D402*AO402,IF($H$3=2,D402,"N/A")))</f>
        <v/>
      </c>
      <c r="F402" s="199" t="str">
        <f aca="false">IF(A403="","",E402*AS402)</f>
        <v/>
      </c>
      <c r="G402" s="200" t="str">
        <f aca="false">IF($A403="","",VLOOKUP($A402,Table,MATCH(G$4,Curves,0)))</f>
        <v/>
      </c>
      <c r="H402" s="201" t="str">
        <f aca="false">IF(A403="","",G402)</f>
        <v/>
      </c>
      <c r="J402" s="200" t="str">
        <f aca="false">IF($A403="","",VLOOKUP($A402,Table,MATCH(J$4,Curves,0)))</f>
        <v/>
      </c>
      <c r="K402" s="201" t="str">
        <f aca="false">IF(A403="","",J402)</f>
        <v/>
      </c>
      <c r="L402" s="200" t="str">
        <f aca="false">IF($A403="","",VLOOKUP($A402,Table,MATCH(L$4,Curves,0)))</f>
        <v/>
      </c>
      <c r="M402" s="201" t="str">
        <f aca="false">IF(A403="","",L402)</f>
        <v/>
      </c>
      <c r="O402" s="200" t="str">
        <f aca="false">IF(A403="","",L402+J402+G402)</f>
        <v/>
      </c>
      <c r="P402" s="200" t="str">
        <f aca="false">IF(A403="","",M402+K402+H402)</f>
        <v/>
      </c>
      <c r="R402" s="200" t="str">
        <f aca="false">IF($A403="","",VLOOKUP($A402,Table,MATCH(R$4,Curves,0)))</f>
        <v/>
      </c>
      <c r="S402" s="201" t="str">
        <f aca="false">IF(A403="","",R402)</f>
        <v/>
      </c>
      <c r="T402" s="200" t="str">
        <f aca="false">IF($A403="","",VLOOKUP($A402,Table,MATCH(T$4,Curves,0)))</f>
        <v/>
      </c>
      <c r="U402" s="201" t="str">
        <f aca="false">IF(A403="","",T402)</f>
        <v/>
      </c>
      <c r="V402" s="225" t="str">
        <f aca="false">IF($A403="","",IF(AND(MONTH(A402)&gt;3,MONTH(A402)&lt;11),(T402+R402+G402)*(((1/(1-Summary!$T$12))/(1-Summary!$W$12))-1),(T402+R402+G402)*((1/(1-Summary!$U$12))/(1-Summary!$X$12)-1)))</f>
        <v/>
      </c>
      <c r="W402" s="200" t="str">
        <f aca="false">IF($A403="","",(T402+R402+G402+V402))</f>
        <v/>
      </c>
      <c r="X402" s="200" t="str">
        <f aca="false">IF($A403="","",(U402+S402+H402+V402))</f>
        <v/>
      </c>
      <c r="Y402" s="202"/>
      <c r="Z402" s="185"/>
      <c r="AJ402" s="218"/>
      <c r="AK402" s="218"/>
      <c r="AL402" s="218"/>
      <c r="AM402" s="218"/>
      <c r="AN402" s="218"/>
      <c r="AO402" s="137" t="str">
        <f aca="false">IF(A403="","",A403-A402)</f>
        <v/>
      </c>
      <c r="AP402" s="212" t="str">
        <f aca="false">IF(A403="","",CHOOSE(F$3,A403+24,A402))</f>
        <v/>
      </c>
      <c r="AQ402" s="209" t="str">
        <f aca="false">IF(A403="","",AP402-$E$1)</f>
        <v/>
      </c>
      <c r="AR402" s="185" t="n">
        <f aca="false">'ANR OK vs ML7'!AR402</f>
        <v>0.1</v>
      </c>
      <c r="AS402" s="213" t="str">
        <f aca="false">IF(A403="","",1/(1+CHOOSE(F$3,(AR403+($I$3/10000))/2,(AR402+($I$3/10000))/2))^(2*AQ402/365.25))</f>
        <v/>
      </c>
      <c r="AT402" s="137" t="str">
        <f aca="false">IF(A403="","",IF(AND(mthbeg&lt;=A402,mthend&gt;=A402),1,0))</f>
        <v/>
      </c>
      <c r="AU402" s="137" t="str">
        <f aca="false">IF(A403="","",AO402*AT402)</f>
        <v/>
      </c>
      <c r="AW402" s="195" t="str">
        <f aca="false">IF($A403="","",AL402*$E402)</f>
        <v/>
      </c>
      <c r="AX402" s="195" t="str">
        <f aca="false">IF($A403="","",AM402*$E402)</f>
        <v/>
      </c>
      <c r="AY402" s="195" t="str">
        <f aca="false">IF($A403="","",AN402*$E402)</f>
        <v/>
      </c>
      <c r="BA402" s="195" t="str">
        <f aca="false">IF($A403="","",F402*Summary!$Q$12)</f>
        <v/>
      </c>
    </row>
    <row r="403" customFormat="false" ht="12.75" hidden="false" customHeight="false" outlineLevel="0" collapsed="false">
      <c r="A403" s="196" t="str">
        <f aca="false">IF(A402&lt;mthend,EDATE(A402,1),"")</f>
        <v/>
      </c>
      <c r="B403" s="197" t="str">
        <f aca="false">IF(A403&lt;mthend,B402,"")</f>
        <v/>
      </c>
      <c r="D403" s="197" t="str">
        <f aca="false">IF(A404&lt;&gt;"",B403+C403,"")</f>
        <v/>
      </c>
      <c r="E403" s="199" t="str">
        <f aca="false">IF(A404="","",IF(AND(AT403=1,$H$3=1),D403*AO403,IF($H$3=2,D403,"N/A")))</f>
        <v/>
      </c>
      <c r="F403" s="199" t="str">
        <f aca="false">IF(A404="","",E403*AS403)</f>
        <v/>
      </c>
      <c r="G403" s="200" t="str">
        <f aca="false">IF($A404="","",VLOOKUP($A403,Table,MATCH(G$4,Curves,0)))</f>
        <v/>
      </c>
      <c r="H403" s="201" t="str">
        <f aca="false">IF(A404="","",G403)</f>
        <v/>
      </c>
      <c r="J403" s="200" t="str">
        <f aca="false">IF($A404="","",VLOOKUP($A403,Table,MATCH(J$4,Curves,0)))</f>
        <v/>
      </c>
      <c r="K403" s="201" t="str">
        <f aca="false">IF(A404="","",J403)</f>
        <v/>
      </c>
      <c r="L403" s="200" t="str">
        <f aca="false">IF($A404="","",VLOOKUP($A403,Table,MATCH(L$4,Curves,0)))</f>
        <v/>
      </c>
      <c r="M403" s="201" t="str">
        <f aca="false">IF(A404="","",L403)</f>
        <v/>
      </c>
      <c r="O403" s="200" t="str">
        <f aca="false">IF(A404="","",L403+J403+G403)</f>
        <v/>
      </c>
      <c r="P403" s="200" t="str">
        <f aca="false">IF(A404="","",M403+K403+H403)</f>
        <v/>
      </c>
      <c r="R403" s="200" t="str">
        <f aca="false">IF($A404="","",VLOOKUP($A403,Table,MATCH(R$4,Curves,0)))</f>
        <v/>
      </c>
      <c r="S403" s="201" t="str">
        <f aca="false">IF(A404="","",R403)</f>
        <v/>
      </c>
      <c r="T403" s="200" t="str">
        <f aca="false">IF($A404="","",VLOOKUP($A403,Table,MATCH(T$4,Curves,0)))</f>
        <v/>
      </c>
      <c r="U403" s="201" t="str">
        <f aca="false">IF(A404="","",T403)</f>
        <v/>
      </c>
      <c r="V403" s="225" t="str">
        <f aca="false">IF($A404="","",IF(AND(MONTH(A403)&gt;3,MONTH(A403)&lt;11),(T403+R403+G403)*(((1/(1-Summary!$T$12))/(1-Summary!$W$12))-1),(T403+R403+G403)*((1/(1-Summary!$U$12))/(1-Summary!$X$12)-1)))</f>
        <v/>
      </c>
      <c r="W403" s="200" t="str">
        <f aca="false">IF($A404="","",(T403+R403+G403+V403))</f>
        <v/>
      </c>
      <c r="X403" s="200" t="str">
        <f aca="false">IF($A404="","",(U403+S403+H403+V403))</f>
        <v/>
      </c>
      <c r="Y403" s="202"/>
      <c r="Z403" s="185"/>
      <c r="AJ403" s="77"/>
      <c r="AK403" s="77"/>
      <c r="AL403" s="77"/>
      <c r="AM403" s="77"/>
      <c r="AN403" s="77"/>
      <c r="AO403" s="137" t="str">
        <f aca="false">IF(A404="","",A404-A403)</f>
        <v/>
      </c>
      <c r="AP403" s="212" t="str">
        <f aca="false">IF(A404="","",CHOOSE(F$3,A404+24,A403))</f>
        <v/>
      </c>
      <c r="AQ403" s="209" t="str">
        <f aca="false">IF(A404="","",AP403-$E$1)</f>
        <v/>
      </c>
      <c r="AR403" s="185" t="n">
        <f aca="false">'ANR OK vs ML7'!AR403</f>
        <v>0.1</v>
      </c>
      <c r="AS403" s="213" t="str">
        <f aca="false">IF(A404="","",1/(1+CHOOSE(F$3,(AR404+($I$3/10000))/2,(AR403+($I$3/10000))/2))^(2*AQ403/365.25))</f>
        <v/>
      </c>
      <c r="AT403" s="137" t="str">
        <f aca="false">IF(A404="","",IF(AND(mthbeg&lt;=A403,mthend&gt;=A403),1,0))</f>
        <v/>
      </c>
      <c r="AU403" s="137" t="str">
        <f aca="false">IF(A404="","",AO403*AT403)</f>
        <v/>
      </c>
      <c r="AW403" s="195" t="str">
        <f aca="false">IF($A404="","",AL403*$E403)</f>
        <v/>
      </c>
      <c r="AX403" s="195" t="str">
        <f aca="false">IF($A404="","",AM403*$E403)</f>
        <v/>
      </c>
      <c r="AY403" s="195" t="str">
        <f aca="false">IF($A404="","",AN403*$E403)</f>
        <v/>
      </c>
      <c r="BA403" s="195" t="str">
        <f aca="false">IF($A404="","",F403*Summary!$Q$12)</f>
        <v/>
      </c>
    </row>
    <row r="404" customFormat="false" ht="12.75" hidden="false" customHeight="false" outlineLevel="0" collapsed="false">
      <c r="A404" s="196" t="str">
        <f aca="false">IF(A403&lt;mthend,EDATE(A403,1),"")</f>
        <v/>
      </c>
      <c r="B404" s="197" t="str">
        <f aca="false">IF(A404&lt;mthend,B403,"")</f>
        <v/>
      </c>
      <c r="D404" s="197" t="str">
        <f aca="false">IF(A405&lt;&gt;"",B404+C404,"")</f>
        <v/>
      </c>
      <c r="E404" s="199" t="str">
        <f aca="false">IF(A405="","",IF(AND(AT404=1,$H$3=1),D404*AO404,IF($H$3=2,D404,"N/A")))</f>
        <v/>
      </c>
      <c r="F404" s="199" t="str">
        <f aca="false">IF(A405="","",E404*AS404)</f>
        <v/>
      </c>
      <c r="G404" s="200" t="str">
        <f aca="false">IF($A405="","",VLOOKUP($A404,Table,MATCH(G$4,Curves,0)))</f>
        <v/>
      </c>
      <c r="H404" s="201" t="str">
        <f aca="false">IF(A405="","",G404)</f>
        <v/>
      </c>
      <c r="J404" s="200" t="str">
        <f aca="false">IF($A405="","",VLOOKUP($A404,Table,MATCH(J$4,Curves,0)))</f>
        <v/>
      </c>
      <c r="K404" s="201" t="str">
        <f aca="false">IF(A405="","",J404)</f>
        <v/>
      </c>
      <c r="L404" s="200" t="str">
        <f aca="false">IF($A405="","",VLOOKUP($A404,Table,MATCH(L$4,Curves,0)))</f>
        <v/>
      </c>
      <c r="M404" s="201" t="str">
        <f aca="false">IF(A405="","",L404)</f>
        <v/>
      </c>
      <c r="O404" s="200" t="str">
        <f aca="false">IF(A405="","",L404+J404+G404)</f>
        <v/>
      </c>
      <c r="P404" s="200" t="str">
        <f aca="false">IF(A405="","",M404+K404+H404)</f>
        <v/>
      </c>
      <c r="R404" s="200" t="str">
        <f aca="false">IF($A405="","",VLOOKUP($A404,Table,MATCH(R$4,Curves,0)))</f>
        <v/>
      </c>
      <c r="S404" s="201" t="str">
        <f aca="false">IF(A405="","",R404)</f>
        <v/>
      </c>
      <c r="T404" s="200" t="str">
        <f aca="false">IF($A405="","",VLOOKUP($A404,Table,MATCH(T$4,Curves,0)))</f>
        <v/>
      </c>
      <c r="U404" s="201" t="str">
        <f aca="false">IF(A405="","",T404)</f>
        <v/>
      </c>
      <c r="V404" s="225" t="str">
        <f aca="false">IF($A405="","",IF(AND(MONTH(A404)&gt;3,MONTH(A404)&lt;11),(T404+R404+G404)*(((1/(1-Summary!$T$12))/(1-Summary!$W$12))-1),(T404+R404+G404)*((1/(1-Summary!$U$12))/(1-Summary!$X$12)-1)))</f>
        <v/>
      </c>
      <c r="W404" s="200" t="str">
        <f aca="false">IF($A405="","",(T404+R404+G404+V404))</f>
        <v/>
      </c>
      <c r="X404" s="200" t="str">
        <f aca="false">IF($A405="","",(U404+S404+H404+V404))</f>
        <v/>
      </c>
      <c r="Y404" s="202"/>
      <c r="Z404" s="185"/>
      <c r="AJ404" s="77"/>
      <c r="AK404" s="77"/>
      <c r="AL404" s="77"/>
      <c r="AM404" s="77"/>
      <c r="AN404" s="77"/>
      <c r="AO404" s="137" t="str">
        <f aca="false">IF(A405="","",A405-A404)</f>
        <v/>
      </c>
      <c r="AP404" s="212" t="str">
        <f aca="false">IF(A405="","",CHOOSE(F$3,A405+24,A404))</f>
        <v/>
      </c>
      <c r="AQ404" s="209" t="str">
        <f aca="false">IF(A405="","",AP404-$E$1)</f>
        <v/>
      </c>
      <c r="AR404" s="185" t="n">
        <f aca="false">'ANR OK vs ML7'!AR404</f>
        <v>0.1</v>
      </c>
      <c r="AS404" s="213" t="str">
        <f aca="false">IF(A405="","",1/(1+CHOOSE(F$3,(AR405+($I$3/10000))/2,(AR404+($I$3/10000))/2))^(2*AQ404/365.25))</f>
        <v/>
      </c>
      <c r="AT404" s="137" t="str">
        <f aca="false">IF(A405="","",IF(AND(mthbeg&lt;=A404,mthend&gt;=A404),1,0))</f>
        <v/>
      </c>
      <c r="AU404" s="137" t="str">
        <f aca="false">IF(A405="","",AO404*AT404)</f>
        <v/>
      </c>
      <c r="AW404" s="195" t="str">
        <f aca="false">IF($A405="","",AL404*$E404)</f>
        <v/>
      </c>
      <c r="AX404" s="195" t="str">
        <f aca="false">IF($A405="","",AM404*$E404)</f>
        <v/>
      </c>
      <c r="AY404" s="195" t="str">
        <f aca="false">IF($A405="","",AN404*$E404)</f>
        <v/>
      </c>
      <c r="BA404" s="195" t="str">
        <f aca="false">IF($A405="","",F404*Summary!$Q$12)</f>
        <v/>
      </c>
    </row>
    <row r="405" customFormat="false" ht="12.75" hidden="false" customHeight="false" outlineLevel="0" collapsed="false">
      <c r="A405" s="196" t="str">
        <f aca="false">IF(A404&lt;mthend,EDATE(A404,1),"")</f>
        <v/>
      </c>
      <c r="B405" s="197" t="str">
        <f aca="false">IF(A405&lt;mthend,B404,"")</f>
        <v/>
      </c>
      <c r="D405" s="197" t="str">
        <f aca="false">IF(A406&lt;&gt;"",B405+C405,"")</f>
        <v/>
      </c>
      <c r="E405" s="199" t="str">
        <f aca="false">IF(A406="","",IF(AND(AT405=1,$H$3=1),D405*AO405,IF($H$3=2,D405,"N/A")))</f>
        <v/>
      </c>
      <c r="F405" s="199" t="str">
        <f aca="false">IF(A406="","",E405*AS405)</f>
        <v/>
      </c>
      <c r="G405" s="200" t="str">
        <f aca="false">IF($A406="","",VLOOKUP($A405,Table,MATCH(G$4,Curves,0)))</f>
        <v/>
      </c>
      <c r="H405" s="201" t="str">
        <f aca="false">IF(A406="","",G405)</f>
        <v/>
      </c>
      <c r="J405" s="200" t="str">
        <f aca="false">IF($A406="","",VLOOKUP($A405,Table,MATCH(J$4,Curves,0)))</f>
        <v/>
      </c>
      <c r="K405" s="201" t="str">
        <f aca="false">IF(A406="","",J405)</f>
        <v/>
      </c>
      <c r="L405" s="200" t="str">
        <f aca="false">IF($A406="","",VLOOKUP($A405,Table,MATCH(L$4,Curves,0)))</f>
        <v/>
      </c>
      <c r="M405" s="201" t="str">
        <f aca="false">IF(A406="","",L405)</f>
        <v/>
      </c>
      <c r="O405" s="200" t="str">
        <f aca="false">IF(A406="","",L405+J405+G405)</f>
        <v/>
      </c>
      <c r="P405" s="200" t="str">
        <f aca="false">IF(A406="","",M405+K405+H405)</f>
        <v/>
      </c>
      <c r="R405" s="200" t="str">
        <f aca="false">IF($A406="","",VLOOKUP($A405,Table,MATCH(R$4,Curves,0)))</f>
        <v/>
      </c>
      <c r="S405" s="201" t="str">
        <f aca="false">IF(A406="","",R405)</f>
        <v/>
      </c>
      <c r="T405" s="200" t="str">
        <f aca="false">IF($A406="","",VLOOKUP($A405,Table,MATCH(T$4,Curves,0)))</f>
        <v/>
      </c>
      <c r="U405" s="201" t="str">
        <f aca="false">IF(A406="","",T405)</f>
        <v/>
      </c>
      <c r="V405" s="225" t="str">
        <f aca="false">IF($A406="","",IF(AND(MONTH(A405)&gt;3,MONTH(A405)&lt;11),(T405+R405+G405)*(((1/(1-Summary!$T$12))/(1-Summary!$W$12))-1),(T405+R405+G405)*((1/(1-Summary!$U$12))/(1-Summary!$X$12)-1)))</f>
        <v/>
      </c>
      <c r="W405" s="200" t="str">
        <f aca="false">IF($A406="","",(T405+R405+G405+V405))</f>
        <v/>
      </c>
      <c r="X405" s="200" t="str">
        <f aca="false">IF($A406="","",(U405+S405+H405+V405))</f>
        <v/>
      </c>
      <c r="Y405" s="202"/>
      <c r="Z405" s="185"/>
      <c r="AJ405" s="77"/>
      <c r="AK405" s="77"/>
      <c r="AL405" s="77"/>
      <c r="AM405" s="77"/>
      <c r="AN405" s="77"/>
      <c r="AO405" s="137" t="str">
        <f aca="false">IF(A406="","",A406-A405)</f>
        <v/>
      </c>
      <c r="AP405" s="212" t="str">
        <f aca="false">IF(A406="","",CHOOSE(F$3,A406+24,A405))</f>
        <v/>
      </c>
      <c r="AQ405" s="209" t="str">
        <f aca="false">IF(A406="","",AP405-$E$1)</f>
        <v/>
      </c>
      <c r="AR405" s="185" t="n">
        <f aca="false">'ANR OK vs ML7'!AR405</f>
        <v>0.1</v>
      </c>
      <c r="AS405" s="213" t="str">
        <f aca="false">IF(A406="","",1/(1+CHOOSE(F$3,(AR406+($I$3/10000))/2,(AR405+($I$3/10000))/2))^(2*AQ405/365.25))</f>
        <v/>
      </c>
      <c r="AT405" s="137" t="str">
        <f aca="false">IF(A406="","",IF(AND(mthbeg&lt;=A405,mthend&gt;=A405),1,0))</f>
        <v/>
      </c>
      <c r="AU405" s="137" t="str">
        <f aca="false">IF(A406="","",AO405*AT405)</f>
        <v/>
      </c>
      <c r="AW405" s="195" t="str">
        <f aca="false">IF($A406="","",AL405*$E405)</f>
        <v/>
      </c>
      <c r="AX405" s="195" t="str">
        <f aca="false">IF($A406="","",AM405*$E405)</f>
        <v/>
      </c>
      <c r="AY405" s="195" t="str">
        <f aca="false">IF($A406="","",AN405*$E405)</f>
        <v/>
      </c>
      <c r="BA405" s="195" t="str">
        <f aca="false">IF($A406="","",F405*Summary!$Q$12)</f>
        <v/>
      </c>
    </row>
    <row r="406" customFormat="false" ht="12.75" hidden="false" customHeight="false" outlineLevel="0" collapsed="false">
      <c r="A406" s="196" t="str">
        <f aca="false">IF(A405&lt;mthend,EDATE(A405,1),"")</f>
        <v/>
      </c>
      <c r="B406" s="197" t="str">
        <f aca="false">IF(A406&lt;mthend,B405,"")</f>
        <v/>
      </c>
      <c r="D406" s="197" t="str">
        <f aca="false">IF(A407&lt;&gt;"",B406+C406,"")</f>
        <v/>
      </c>
      <c r="E406" s="199" t="str">
        <f aca="false">IF(A407="","",IF(AND(AT406=1,$H$3=1),D406*AO406,IF($H$3=2,D406,"N/A")))</f>
        <v/>
      </c>
      <c r="F406" s="199" t="str">
        <f aca="false">IF(A407="","",E406*AS406)</f>
        <v/>
      </c>
      <c r="G406" s="200" t="str">
        <f aca="false">IF($A407="","",VLOOKUP($A406,Table,MATCH(G$4,Curves,0)))</f>
        <v/>
      </c>
      <c r="H406" s="201" t="str">
        <f aca="false">IF(A407="","",G406)</f>
        <v/>
      </c>
      <c r="J406" s="200" t="str">
        <f aca="false">IF($A407="","",VLOOKUP($A406,Table,MATCH(J$4,Curves,0)))</f>
        <v/>
      </c>
      <c r="K406" s="201" t="str">
        <f aca="false">IF(A407="","",J406)</f>
        <v/>
      </c>
      <c r="L406" s="200" t="str">
        <f aca="false">IF($A407="","",VLOOKUP($A406,Table,MATCH(L$4,Curves,0)))</f>
        <v/>
      </c>
      <c r="M406" s="201" t="str">
        <f aca="false">IF(A407="","",L406)</f>
        <v/>
      </c>
      <c r="O406" s="200" t="str">
        <f aca="false">IF(A407="","",L406+J406+G406)</f>
        <v/>
      </c>
      <c r="P406" s="200" t="str">
        <f aca="false">IF(A407="","",M406+K406+H406)</f>
        <v/>
      </c>
      <c r="R406" s="200" t="str">
        <f aca="false">IF($A407="","",VLOOKUP($A406,Table,MATCH(R$4,Curves,0)))</f>
        <v/>
      </c>
      <c r="S406" s="201" t="str">
        <f aca="false">IF(A407="","",R406)</f>
        <v/>
      </c>
      <c r="T406" s="200" t="str">
        <f aca="false">IF($A407="","",VLOOKUP($A406,Table,MATCH(T$4,Curves,0)))</f>
        <v/>
      </c>
      <c r="U406" s="201" t="str">
        <f aca="false">IF(A407="","",T406)</f>
        <v/>
      </c>
      <c r="V406" s="225" t="str">
        <f aca="false">IF($A407="","",IF(AND(MONTH(A406)&gt;3,MONTH(A406)&lt;11),(T406+R406+G406)*(((1/(1-Summary!$T$12))/(1-Summary!$W$12))-1),(T406+R406+G406)*((1/(1-Summary!$U$12))/(1-Summary!$X$12)-1)))</f>
        <v/>
      </c>
      <c r="W406" s="200" t="str">
        <f aca="false">IF($A407="","",(T406+R406+G406+V406))</f>
        <v/>
      </c>
      <c r="X406" s="200" t="str">
        <f aca="false">IF($A407="","",(U406+S406+H406+V406))</f>
        <v/>
      </c>
      <c r="Y406" s="202"/>
      <c r="Z406" s="185"/>
      <c r="AJ406" s="77"/>
      <c r="AK406" s="77"/>
      <c r="AL406" s="77"/>
      <c r="AM406" s="77"/>
      <c r="AN406" s="77"/>
      <c r="AO406" s="137" t="str">
        <f aca="false">IF(A407="","",A407-A406)</f>
        <v/>
      </c>
      <c r="AP406" s="212" t="str">
        <f aca="false">IF(A407="","",CHOOSE(F$3,A407+24,A406))</f>
        <v/>
      </c>
      <c r="AQ406" s="209" t="str">
        <f aca="false">IF(A407="","",AP406-$E$1)</f>
        <v/>
      </c>
      <c r="AR406" s="185" t="n">
        <f aca="false">'ANR OK vs ML7'!AR406</f>
        <v>0.1</v>
      </c>
      <c r="AS406" s="213" t="str">
        <f aca="false">IF(A407="","",1/(1+CHOOSE(F$3,(AR407+($I$3/10000))/2,(AR406+($I$3/10000))/2))^(2*AQ406/365.25))</f>
        <v/>
      </c>
      <c r="AT406" s="137" t="str">
        <f aca="false">IF(A407="","",IF(AND(mthbeg&lt;=A406,mthend&gt;=A406),1,0))</f>
        <v/>
      </c>
      <c r="AU406" s="137" t="str">
        <f aca="false">IF(A407="","",AO406*AT406)</f>
        <v/>
      </c>
      <c r="AW406" s="195" t="str">
        <f aca="false">IF($A407="","",AL406*$E406)</f>
        <v/>
      </c>
      <c r="AX406" s="195" t="str">
        <f aca="false">IF($A407="","",AM406*$E406)</f>
        <v/>
      </c>
      <c r="AY406" s="195" t="str">
        <f aca="false">IF($A407="","",AN406*$E406)</f>
        <v/>
      </c>
      <c r="BA406" s="195" t="str">
        <f aca="false">IF($A407="","",F406*Summary!$Q$12)</f>
        <v/>
      </c>
    </row>
    <row r="407" customFormat="false" ht="12.75" hidden="false" customHeight="false" outlineLevel="0" collapsed="false">
      <c r="A407" s="196" t="str">
        <f aca="false">IF(A406&lt;mthend,EDATE(A406,1),"")</f>
        <v/>
      </c>
      <c r="B407" s="197" t="str">
        <f aca="false">IF(A407&lt;mthend,B406,"")</f>
        <v/>
      </c>
      <c r="D407" s="197" t="str">
        <f aca="false">IF(A408&lt;&gt;"",B407+C407,"")</f>
        <v/>
      </c>
      <c r="E407" s="199" t="str">
        <f aca="false">IF(A408="","",IF(AND(AT407=1,$H$3=1),D407*AO407,IF($H$3=2,D407,"N/A")))</f>
        <v/>
      </c>
      <c r="F407" s="199" t="str">
        <f aca="false">IF(A408="","",E407*AS407)</f>
        <v/>
      </c>
      <c r="G407" s="200" t="str">
        <f aca="false">IF($A408="","",VLOOKUP($A407,Table,MATCH(G$4,Curves,0)))</f>
        <v/>
      </c>
      <c r="H407" s="201" t="str">
        <f aca="false">IF(A408="","",G407)</f>
        <v/>
      </c>
      <c r="J407" s="200" t="str">
        <f aca="false">IF($A408="","",VLOOKUP($A407,Table,MATCH(J$4,Curves,0)))</f>
        <v/>
      </c>
      <c r="K407" s="201" t="str">
        <f aca="false">IF(A408="","",J407)</f>
        <v/>
      </c>
      <c r="L407" s="200" t="str">
        <f aca="false">IF($A408="","",VLOOKUP($A407,Table,MATCH(L$4,Curves,0)))</f>
        <v/>
      </c>
      <c r="M407" s="201" t="str">
        <f aca="false">IF(A408="","",L407)</f>
        <v/>
      </c>
      <c r="O407" s="200" t="str">
        <f aca="false">IF(A408="","",L407+J407+G407)</f>
        <v/>
      </c>
      <c r="P407" s="200" t="str">
        <f aca="false">IF(A408="","",M407+K407+H407)</f>
        <v/>
      </c>
      <c r="R407" s="200" t="str">
        <f aca="false">IF($A408="","",VLOOKUP($A407,Table,MATCH(R$4,Curves,0)))</f>
        <v/>
      </c>
      <c r="S407" s="201" t="str">
        <f aca="false">IF(A408="","",R407)</f>
        <v/>
      </c>
      <c r="T407" s="200" t="str">
        <f aca="false">IF($A408="","",VLOOKUP($A407,Table,MATCH(T$4,Curves,0)))</f>
        <v/>
      </c>
      <c r="U407" s="201" t="str">
        <f aca="false">IF(A408="","",T407)</f>
        <v/>
      </c>
      <c r="V407" s="225" t="str">
        <f aca="false">IF($A408="","",IF(AND(MONTH(A407)&gt;3,MONTH(A407)&lt;11),(T407+R407+G407)*(((1/(1-Summary!$T$12))/(1-Summary!$W$12))-1),(T407+R407+G407)*((1/(1-Summary!$U$12))/(1-Summary!$X$12)-1)))</f>
        <v/>
      </c>
      <c r="W407" s="200" t="str">
        <f aca="false">IF($A408="","",(T407+R407+G407+V407))</f>
        <v/>
      </c>
      <c r="X407" s="200" t="str">
        <f aca="false">IF($A408="","",(U407+S407+H407+V407))</f>
        <v/>
      </c>
      <c r="Y407" s="202"/>
      <c r="Z407" s="185"/>
      <c r="AJ407" s="77"/>
      <c r="AK407" s="77"/>
      <c r="AL407" s="77"/>
      <c r="AM407" s="77"/>
      <c r="AN407" s="77"/>
      <c r="AO407" s="137" t="str">
        <f aca="false">IF(A408="","",A408-A407)</f>
        <v/>
      </c>
      <c r="AP407" s="212" t="str">
        <f aca="false">IF(A408="","",CHOOSE(F$3,A408+24,A407))</f>
        <v/>
      </c>
      <c r="AQ407" s="209" t="str">
        <f aca="false">IF(A408="","",AP407-$E$1)</f>
        <v/>
      </c>
      <c r="AR407" s="185" t="n">
        <f aca="false">'ANR OK vs ML7'!AR407</f>
        <v>0.1</v>
      </c>
      <c r="AS407" s="213" t="str">
        <f aca="false">IF(A408="","",1/(1+CHOOSE(F$3,(AR408+($I$3/10000))/2,(AR407+($I$3/10000))/2))^(2*AQ407/365.25))</f>
        <v/>
      </c>
      <c r="AT407" s="137" t="str">
        <f aca="false">IF(A408="","",IF(AND(mthbeg&lt;=A407,mthend&gt;=A407),1,0))</f>
        <v/>
      </c>
      <c r="AU407" s="137" t="str">
        <f aca="false">IF(A408="","",AO407*AT407)</f>
        <v/>
      </c>
      <c r="AW407" s="195" t="str">
        <f aca="false">IF($A408="","",AL407*$E407)</f>
        <v/>
      </c>
      <c r="AX407" s="195" t="str">
        <f aca="false">IF($A408="","",AM407*$E407)</f>
        <v/>
      </c>
      <c r="AY407" s="195" t="str">
        <f aca="false">IF($A408="","",AN407*$E407)</f>
        <v/>
      </c>
      <c r="BA407" s="195" t="str">
        <f aca="false">IF($A408="","",F407*Summary!$Q$12)</f>
        <v/>
      </c>
    </row>
    <row r="408" customFormat="false" ht="12.75" hidden="false" customHeight="false" outlineLevel="0" collapsed="false">
      <c r="A408" s="196" t="str">
        <f aca="false">IF(A407&lt;mthend,EDATE(A407,1),"")</f>
        <v/>
      </c>
      <c r="B408" s="197" t="str">
        <f aca="false">IF(A408&lt;mthend,B407,"")</f>
        <v/>
      </c>
      <c r="D408" s="197" t="str">
        <f aca="false">IF(A409&lt;&gt;"",B408+C408,"")</f>
        <v/>
      </c>
      <c r="E408" s="199" t="str">
        <f aca="false">IF(A409="","",IF(AND(AT408=1,$H$3=1),D408*AO408,IF($H$3=2,D408,"N/A")))</f>
        <v/>
      </c>
      <c r="F408" s="199" t="str">
        <f aca="false">IF(A409="","",E408*AS408)</f>
        <v/>
      </c>
      <c r="G408" s="200" t="str">
        <f aca="false">IF($A409="","",VLOOKUP($A408,Table,MATCH(G$4,Curves,0)))</f>
        <v/>
      </c>
      <c r="H408" s="201" t="str">
        <f aca="false">IF(A409="","",G408)</f>
        <v/>
      </c>
      <c r="J408" s="200" t="str">
        <f aca="false">IF($A409="","",VLOOKUP($A408,Table,MATCH(J$4,Curves,0)))</f>
        <v/>
      </c>
      <c r="K408" s="201" t="str">
        <f aca="false">IF(A409="","",J408)</f>
        <v/>
      </c>
      <c r="L408" s="200" t="str">
        <f aca="false">IF($A409="","",VLOOKUP($A408,Table,MATCH(L$4,Curves,0)))</f>
        <v/>
      </c>
      <c r="M408" s="201" t="str">
        <f aca="false">IF(A409="","",L408)</f>
        <v/>
      </c>
      <c r="O408" s="200" t="str">
        <f aca="false">IF(A409="","",L408+J408+G408)</f>
        <v/>
      </c>
      <c r="P408" s="200" t="str">
        <f aca="false">IF(A409="","",M408+K408+H408)</f>
        <v/>
      </c>
      <c r="R408" s="200" t="str">
        <f aca="false">IF($A409="","",VLOOKUP($A408,Table,MATCH(R$4,Curves,0)))</f>
        <v/>
      </c>
      <c r="S408" s="201" t="str">
        <f aca="false">IF(A409="","",R408)</f>
        <v/>
      </c>
      <c r="T408" s="200" t="str">
        <f aca="false">IF($A409="","",VLOOKUP($A408,Table,MATCH(T$4,Curves,0)))</f>
        <v/>
      </c>
      <c r="U408" s="201" t="str">
        <f aca="false">IF(A409="","",T408)</f>
        <v/>
      </c>
      <c r="V408" s="225" t="str">
        <f aca="false">IF($A409="","",IF(AND(MONTH(A408)&gt;3,MONTH(A408)&lt;11),(T408+R408+G408)*(((1/(1-Summary!$T$12))/(1-Summary!$W$12))-1),(T408+R408+G408)*((1/(1-Summary!$U$12))/(1-Summary!$X$12)-1)))</f>
        <v/>
      </c>
      <c r="W408" s="200" t="str">
        <f aca="false">IF($A409="","",(T408+R408+G408+V408))</f>
        <v/>
      </c>
      <c r="X408" s="200" t="str">
        <f aca="false">IF($A409="","",(U408+S408+H408+V408))</f>
        <v/>
      </c>
      <c r="Y408" s="202"/>
      <c r="Z408" s="185"/>
      <c r="AJ408" s="77"/>
      <c r="AK408" s="77"/>
      <c r="AL408" s="77"/>
      <c r="AM408" s="77"/>
      <c r="AN408" s="77"/>
      <c r="AO408" s="137" t="str">
        <f aca="false">IF(A409="","",A409-A408)</f>
        <v/>
      </c>
      <c r="AP408" s="212" t="str">
        <f aca="false">IF(A409="","",CHOOSE(F$3,A409+24,A408))</f>
        <v/>
      </c>
      <c r="AQ408" s="209" t="str">
        <f aca="false">IF(A409="","",AP408-$E$1)</f>
        <v/>
      </c>
      <c r="AR408" s="185" t="n">
        <f aca="false">'ANR OK vs ML7'!AR408</f>
        <v>0.1</v>
      </c>
      <c r="AS408" s="213" t="str">
        <f aca="false">IF(A409="","",1/(1+CHOOSE(F$3,(AR409+($I$3/10000))/2,(AR408+($I$3/10000))/2))^(2*AQ408/365.25))</f>
        <v/>
      </c>
      <c r="AT408" s="137" t="str">
        <f aca="false">IF(A409="","",IF(AND(mthbeg&lt;=A408,mthend&gt;=A408),1,0))</f>
        <v/>
      </c>
      <c r="AU408" s="137" t="str">
        <f aca="false">IF(A409="","",AO408*AT408)</f>
        <v/>
      </c>
      <c r="AW408" s="195" t="str">
        <f aca="false">IF($A409="","",AL408*$E408)</f>
        <v/>
      </c>
      <c r="AX408" s="195" t="str">
        <f aca="false">IF($A409="","",AM408*$E408)</f>
        <v/>
      </c>
      <c r="AY408" s="195" t="str">
        <f aca="false">IF($A409="","",AN408*$E408)</f>
        <v/>
      </c>
      <c r="BA408" s="195" t="str">
        <f aca="false">IF($A409="","",F408*Summary!$Q$12)</f>
        <v/>
      </c>
    </row>
    <row r="409" customFormat="false" ht="12.75" hidden="false" customHeight="false" outlineLevel="0" collapsed="false">
      <c r="A409" s="196" t="str">
        <f aca="false">IF(A408&lt;mthend,EDATE(A408,1),"")</f>
        <v/>
      </c>
      <c r="B409" s="197" t="str">
        <f aca="false">IF(A409&lt;mthend,B408,"")</f>
        <v/>
      </c>
      <c r="D409" s="197" t="str">
        <f aca="false">IF(A410&lt;&gt;"",B409+C409,"")</f>
        <v/>
      </c>
      <c r="E409" s="199" t="str">
        <f aca="false">IF(A410="","",IF(AND(AT409=1,$H$3=1),D409*AO409,IF($H$3=2,D409,"N/A")))</f>
        <v/>
      </c>
      <c r="F409" s="199" t="str">
        <f aca="false">IF(A410="","",E409*AS409)</f>
        <v/>
      </c>
      <c r="G409" s="200" t="str">
        <f aca="false">IF($A410="","",VLOOKUP($A409,Table,MATCH(G$4,Curves,0)))</f>
        <v/>
      </c>
      <c r="H409" s="201" t="str">
        <f aca="false">IF(A410="","",G409)</f>
        <v/>
      </c>
      <c r="J409" s="200" t="str">
        <f aca="false">IF($A410="","",VLOOKUP($A409,Table,MATCH(J$4,Curves,0)))</f>
        <v/>
      </c>
      <c r="K409" s="201" t="str">
        <f aca="false">IF(A410="","",J409)</f>
        <v/>
      </c>
      <c r="L409" s="200" t="str">
        <f aca="false">IF($A410="","",VLOOKUP($A409,Table,MATCH(L$4,Curves,0)))</f>
        <v/>
      </c>
      <c r="M409" s="201" t="str">
        <f aca="false">IF(A410="","",L409)</f>
        <v/>
      </c>
      <c r="O409" s="200" t="str">
        <f aca="false">IF(A410="","",L409+J409+G409)</f>
        <v/>
      </c>
      <c r="P409" s="200" t="str">
        <f aca="false">IF(A410="","",M409+K409+H409)</f>
        <v/>
      </c>
      <c r="R409" s="200" t="str">
        <f aca="false">IF($A410="","",VLOOKUP($A409,Table,MATCH(R$4,Curves,0)))</f>
        <v/>
      </c>
      <c r="S409" s="201" t="str">
        <f aca="false">IF(A410="","",R409)</f>
        <v/>
      </c>
      <c r="T409" s="200" t="str">
        <f aca="false">IF($A410="","",VLOOKUP($A409,Table,MATCH(T$4,Curves,0)))</f>
        <v/>
      </c>
      <c r="U409" s="201" t="str">
        <f aca="false">IF(A410="","",T409)</f>
        <v/>
      </c>
      <c r="V409" s="225" t="str">
        <f aca="false">IF($A410="","",IF(AND(MONTH(A409)&gt;3,MONTH(A409)&lt;11),(T409+R409+G409)*(((1/(1-Summary!$T$12))/(1-Summary!$W$12))-1),(T409+R409+G409)*((1/(1-Summary!$U$12))/(1-Summary!$X$12)-1)))</f>
        <v/>
      </c>
      <c r="W409" s="200" t="str">
        <f aca="false">IF($A410="","",(T409+R409+G409+V409))</f>
        <v/>
      </c>
      <c r="X409" s="200" t="str">
        <f aca="false">IF($A410="","",(U409+S409+H409+V409))</f>
        <v/>
      </c>
      <c r="Y409" s="202"/>
      <c r="Z409" s="185"/>
      <c r="AJ409" s="77"/>
      <c r="AK409" s="77"/>
      <c r="AL409" s="77"/>
      <c r="AM409" s="77"/>
      <c r="AN409" s="77"/>
      <c r="AO409" s="137" t="str">
        <f aca="false">IF(A410="","",A410-A409)</f>
        <v/>
      </c>
      <c r="AP409" s="212" t="str">
        <f aca="false">IF(A410="","",CHOOSE(F$3,A410+24,A409))</f>
        <v/>
      </c>
      <c r="AQ409" s="209" t="str">
        <f aca="false">IF(A410="","",AP409-$E$1)</f>
        <v/>
      </c>
      <c r="AR409" s="185" t="n">
        <f aca="false">'ANR OK vs ML7'!AR409</f>
        <v>0.1</v>
      </c>
      <c r="AS409" s="213" t="str">
        <f aca="false">IF(A410="","",1/(1+CHOOSE(F$3,(AR410+($I$3/10000))/2,(AR409+($I$3/10000))/2))^(2*AQ409/365.25))</f>
        <v/>
      </c>
      <c r="AT409" s="137" t="str">
        <f aca="false">IF(A410="","",IF(AND(mthbeg&lt;=A409,mthend&gt;=A409),1,0))</f>
        <v/>
      </c>
      <c r="AU409" s="137" t="str">
        <f aca="false">IF(A410="","",AO409*AT409)</f>
        <v/>
      </c>
      <c r="AW409" s="195" t="str">
        <f aca="false">IF($A410="","",AL409*$E409)</f>
        <v/>
      </c>
      <c r="AX409" s="195" t="str">
        <f aca="false">IF($A410="","",AM409*$E409)</f>
        <v/>
      </c>
      <c r="AY409" s="195" t="str">
        <f aca="false">IF($A410="","",AN409*$E409)</f>
        <v/>
      </c>
      <c r="BA409" s="195" t="str">
        <f aca="false">IF($A410="","",F409*Summary!$Q$12)</f>
        <v/>
      </c>
    </row>
    <row r="410" customFormat="false" ht="12.75" hidden="false" customHeight="false" outlineLevel="0" collapsed="false">
      <c r="A410" s="196" t="str">
        <f aca="false">IF(A409&lt;mthend,EDATE(A409,1),"")</f>
        <v/>
      </c>
      <c r="B410" s="197" t="str">
        <f aca="false">IF(A410&lt;mthend,B409,"")</f>
        <v/>
      </c>
      <c r="D410" s="197" t="str">
        <f aca="false">IF(A411&lt;&gt;"",B410+C410,"")</f>
        <v/>
      </c>
      <c r="E410" s="199" t="str">
        <f aca="false">IF(A411="","",IF(AND(AT410=1,$H$3=1),D410*AO410,IF($H$3=2,D410,"N/A")))</f>
        <v/>
      </c>
      <c r="F410" s="199" t="str">
        <f aca="false">IF(A411="","",E410*AS410)</f>
        <v/>
      </c>
      <c r="G410" s="200" t="str">
        <f aca="false">IF($A411="","",VLOOKUP($A410,Table,MATCH(G$4,Curves,0)))</f>
        <v/>
      </c>
      <c r="H410" s="201" t="str">
        <f aca="false">IF(A411="","",G410)</f>
        <v/>
      </c>
      <c r="J410" s="200" t="str">
        <f aca="false">IF($A411="","",VLOOKUP($A410,Table,MATCH(J$4,Curves,0)))</f>
        <v/>
      </c>
      <c r="K410" s="201" t="str">
        <f aca="false">IF(A411="","",J410)</f>
        <v/>
      </c>
      <c r="L410" s="200" t="str">
        <f aca="false">IF($A411="","",VLOOKUP($A410,Table,MATCH(L$4,Curves,0)))</f>
        <v/>
      </c>
      <c r="M410" s="201" t="str">
        <f aca="false">IF(A411="","",L410)</f>
        <v/>
      </c>
      <c r="O410" s="200" t="str">
        <f aca="false">IF(A411="","",L410+J410+G410)</f>
        <v/>
      </c>
      <c r="P410" s="200" t="str">
        <f aca="false">IF(A411="","",M410+K410+H410)</f>
        <v/>
      </c>
      <c r="R410" s="200" t="str">
        <f aca="false">IF($A411="","",VLOOKUP($A410,Table,MATCH(R$4,Curves,0)))</f>
        <v/>
      </c>
      <c r="S410" s="201" t="str">
        <f aca="false">IF(A411="","",R410)</f>
        <v/>
      </c>
      <c r="T410" s="200" t="str">
        <f aca="false">IF($A411="","",VLOOKUP($A410,Table,MATCH(T$4,Curves,0)))</f>
        <v/>
      </c>
      <c r="U410" s="201" t="str">
        <f aca="false">IF(A411="","",T410)</f>
        <v/>
      </c>
      <c r="V410" s="225" t="str">
        <f aca="false">IF($A411="","",IF(AND(MONTH(A410)&gt;3,MONTH(A410)&lt;11),(T410+R410+G410)*(((1/(1-Summary!$T$12))/(1-Summary!$W$12))-1),(T410+R410+G410)*((1/(1-Summary!$U$12))/(1-Summary!$X$12)-1)))</f>
        <v/>
      </c>
      <c r="W410" s="200" t="str">
        <f aca="false">IF($A411="","",(T410+R410+G410+V410))</f>
        <v/>
      </c>
      <c r="X410" s="200" t="str">
        <f aca="false">IF($A411="","",(U410+S410+H410+V410))</f>
        <v/>
      </c>
      <c r="Y410" s="202"/>
      <c r="Z410" s="185"/>
      <c r="AJ410" s="77"/>
      <c r="AK410" s="77"/>
      <c r="AL410" s="77"/>
      <c r="AM410" s="77"/>
      <c r="AN410" s="77"/>
      <c r="AO410" s="137" t="str">
        <f aca="false">IF(A411="","",A411-A410)</f>
        <v/>
      </c>
      <c r="AP410" s="212" t="str">
        <f aca="false">IF(A411="","",CHOOSE(F$3,A411+24,A410))</f>
        <v/>
      </c>
      <c r="AQ410" s="209" t="str">
        <f aca="false">IF(A411="","",AP410-$E$1)</f>
        <v/>
      </c>
      <c r="AR410" s="185" t="n">
        <f aca="false">'ANR OK vs ML7'!AR410</f>
        <v>0.1</v>
      </c>
      <c r="AS410" s="213" t="str">
        <f aca="false">IF(A411="","",1/(1+CHOOSE(F$3,(AR411+($I$3/10000))/2,(AR410+($I$3/10000))/2))^(2*AQ410/365.25))</f>
        <v/>
      </c>
      <c r="AT410" s="137" t="str">
        <f aca="false">IF(A411="","",IF(AND(mthbeg&lt;=A410,mthend&gt;=A410),1,0))</f>
        <v/>
      </c>
      <c r="AU410" s="137" t="str">
        <f aca="false">IF(A411="","",AO410*AT410)</f>
        <v/>
      </c>
      <c r="AW410" s="195" t="str">
        <f aca="false">IF($A411="","",AL410*$E410)</f>
        <v/>
      </c>
      <c r="AX410" s="195" t="str">
        <f aca="false">IF($A411="","",AM410*$E410)</f>
        <v/>
      </c>
      <c r="AY410" s="195" t="str">
        <f aca="false">IF($A411="","",AN410*$E410)</f>
        <v/>
      </c>
      <c r="BA410" s="195" t="str">
        <f aca="false">IF($A411="","",F410*Summary!$Q$12)</f>
        <v/>
      </c>
    </row>
    <row r="411" customFormat="false" ht="12.75" hidden="false" customHeight="false" outlineLevel="0" collapsed="false">
      <c r="A411" s="196" t="str">
        <f aca="false">IF(A410&lt;mthend,EDATE(A410,1),"")</f>
        <v/>
      </c>
      <c r="B411" s="197" t="str">
        <f aca="false">IF(A411&lt;mthend,B410,"")</f>
        <v/>
      </c>
      <c r="D411" s="197" t="str">
        <f aca="false">IF(A412&lt;&gt;"",B411+C411,"")</f>
        <v/>
      </c>
      <c r="E411" s="199" t="str">
        <f aca="false">IF(A412="","",IF(AND(AT411=1,$H$3=1),D411*AO411,IF($H$3=2,D411,"N/A")))</f>
        <v/>
      </c>
      <c r="F411" s="199" t="str">
        <f aca="false">IF(A412="","",E411*AS411)</f>
        <v/>
      </c>
      <c r="G411" s="200" t="str">
        <f aca="false">IF($A412="","",VLOOKUP($A411,Table,MATCH(G$4,Curves,0)))</f>
        <v/>
      </c>
      <c r="H411" s="201" t="str">
        <f aca="false">IF(A412="","",G411)</f>
        <v/>
      </c>
      <c r="J411" s="200" t="str">
        <f aca="false">IF($A412="","",VLOOKUP($A411,Table,MATCH(J$4,Curves,0)))</f>
        <v/>
      </c>
      <c r="K411" s="201" t="str">
        <f aca="false">IF(A412="","",J411)</f>
        <v/>
      </c>
      <c r="L411" s="200" t="str">
        <f aca="false">IF($A412="","",VLOOKUP($A411,Table,MATCH(L$4,Curves,0)))</f>
        <v/>
      </c>
      <c r="M411" s="201" t="str">
        <f aca="false">IF(A412="","",L411)</f>
        <v/>
      </c>
      <c r="O411" s="200" t="str">
        <f aca="false">IF(A412="","",L411+J411+G411)</f>
        <v/>
      </c>
      <c r="P411" s="200" t="str">
        <f aca="false">IF(A412="","",M411+K411+H411)</f>
        <v/>
      </c>
      <c r="R411" s="200" t="str">
        <f aca="false">IF($A412="","",VLOOKUP($A411,Table,MATCH(R$4,Curves,0)))</f>
        <v/>
      </c>
      <c r="S411" s="201" t="str">
        <f aca="false">IF(A412="","",R411)</f>
        <v/>
      </c>
      <c r="T411" s="200" t="str">
        <f aca="false">IF($A412="","",VLOOKUP($A411,Table,MATCH(T$4,Curves,0)))</f>
        <v/>
      </c>
      <c r="U411" s="201" t="str">
        <f aca="false">IF(A412="","",T411)</f>
        <v/>
      </c>
      <c r="V411" s="225" t="str">
        <f aca="false">IF($A412="","",IF(AND(MONTH(A411)&gt;3,MONTH(A411)&lt;11),(T411+R411+G411)*(((1/(1-Summary!$T$12))/(1-Summary!$W$12))-1),(T411+R411+G411)*((1/(1-Summary!$U$12))/(1-Summary!$X$12)-1)))</f>
        <v/>
      </c>
      <c r="W411" s="200" t="str">
        <f aca="false">IF($A412="","",(T411+R411+G411+V411))</f>
        <v/>
      </c>
      <c r="X411" s="200" t="str">
        <f aca="false">IF($A412="","",(U411+S411+H411+V411))</f>
        <v/>
      </c>
      <c r="Y411" s="202"/>
      <c r="Z411" s="185"/>
      <c r="AJ411" s="77"/>
      <c r="AK411" s="77"/>
      <c r="AL411" s="77"/>
      <c r="AM411" s="77"/>
      <c r="AN411" s="77"/>
      <c r="AO411" s="137" t="str">
        <f aca="false">IF(A412="","",A412-A411)</f>
        <v/>
      </c>
      <c r="AP411" s="212" t="str">
        <f aca="false">IF(A412="","",CHOOSE(F$3,A412+24,A411))</f>
        <v/>
      </c>
      <c r="AQ411" s="209" t="str">
        <f aca="false">IF(A412="","",AP411-$E$1)</f>
        <v/>
      </c>
      <c r="AR411" s="185" t="n">
        <f aca="false">'ANR OK vs ML7'!AR411</f>
        <v>0.1</v>
      </c>
      <c r="AS411" s="213" t="str">
        <f aca="false">IF(A412="","",1/(1+CHOOSE(F$3,(AR412+($I$3/10000))/2,(AR411+($I$3/10000))/2))^(2*AQ411/365.25))</f>
        <v/>
      </c>
      <c r="AT411" s="137" t="str">
        <f aca="false">IF(A412="","",IF(AND(mthbeg&lt;=A411,mthend&gt;=A411),1,0))</f>
        <v/>
      </c>
      <c r="AU411" s="137" t="str">
        <f aca="false">IF(A412="","",AO411*AT411)</f>
        <v/>
      </c>
      <c r="AW411" s="195" t="str">
        <f aca="false">IF($A412="","",AL411*$E411)</f>
        <v/>
      </c>
      <c r="AX411" s="195" t="str">
        <f aca="false">IF($A412="","",AM411*$E411)</f>
        <v/>
      </c>
      <c r="AY411" s="195" t="str">
        <f aca="false">IF($A412="","",AN411*$E411)</f>
        <v/>
      </c>
      <c r="BA411" s="195" t="str">
        <f aca="false">IF($A412="","",F411*Summary!$Q$12)</f>
        <v/>
      </c>
    </row>
    <row r="412" customFormat="false" ht="12.75" hidden="false" customHeight="false" outlineLevel="0" collapsed="false">
      <c r="A412" s="196" t="str">
        <f aca="false">IF(A411&lt;mthend,EDATE(A411,1),"")</f>
        <v/>
      </c>
      <c r="B412" s="197" t="str">
        <f aca="false">IF(A412&lt;mthend,B411,"")</f>
        <v/>
      </c>
      <c r="D412" s="197" t="str">
        <f aca="false">IF(A413&lt;&gt;"",B412+C412,"")</f>
        <v/>
      </c>
      <c r="E412" s="199" t="str">
        <f aca="false">IF(A413="","",IF(AND(AT412=1,$H$3=1),D412*AO412,IF($H$3=2,D412,"N/A")))</f>
        <v/>
      </c>
      <c r="F412" s="199" t="str">
        <f aca="false">IF(A413="","",E412*AS412)</f>
        <v/>
      </c>
      <c r="G412" s="200" t="str">
        <f aca="false">IF($A413="","",VLOOKUP($A412,Table,MATCH(G$4,Curves,0)))</f>
        <v/>
      </c>
      <c r="H412" s="201" t="str">
        <f aca="false">IF(A413="","",G412)</f>
        <v/>
      </c>
      <c r="J412" s="200" t="str">
        <f aca="false">IF($A413="","",VLOOKUP($A412,Table,MATCH(J$4,Curves,0)))</f>
        <v/>
      </c>
      <c r="K412" s="201" t="str">
        <f aca="false">IF(A413="","",J412)</f>
        <v/>
      </c>
      <c r="L412" s="200" t="str">
        <f aca="false">IF($A413="","",VLOOKUP($A412,Table,MATCH(L$4,Curves,0)))</f>
        <v/>
      </c>
      <c r="M412" s="201" t="str">
        <f aca="false">IF(A413="","",L412)</f>
        <v/>
      </c>
      <c r="O412" s="200" t="str">
        <f aca="false">IF(A413="","",L412+J412+G412)</f>
        <v/>
      </c>
      <c r="P412" s="200" t="str">
        <f aca="false">IF(A413="","",M412+K412+H412)</f>
        <v/>
      </c>
      <c r="R412" s="200" t="str">
        <f aca="false">IF($A413="","",VLOOKUP($A412,Table,MATCH(R$4,Curves,0)))</f>
        <v/>
      </c>
      <c r="S412" s="201" t="str">
        <f aca="false">IF(A413="","",R412)</f>
        <v/>
      </c>
      <c r="T412" s="200" t="str">
        <f aca="false">IF($A413="","",VLOOKUP($A412,Table,MATCH(T$4,Curves,0)))</f>
        <v/>
      </c>
      <c r="U412" s="201" t="str">
        <f aca="false">IF(A413="","",T412)</f>
        <v/>
      </c>
      <c r="V412" s="225" t="str">
        <f aca="false">IF($A413="","",IF(AND(MONTH(A412)&gt;3,MONTH(A412)&lt;11),(T412+R412+G412)*(((1/(1-Summary!$T$12))/(1-Summary!$W$12))-1),(T412+R412+G412)*((1/(1-Summary!$U$12))/(1-Summary!$X$12)-1)))</f>
        <v/>
      </c>
      <c r="W412" s="200" t="str">
        <f aca="false">IF($A413="","",(T412+R412+G412+V412))</f>
        <v/>
      </c>
      <c r="X412" s="200" t="str">
        <f aca="false">IF($A413="","",(U412+S412+H412+V412))</f>
        <v/>
      </c>
      <c r="Y412" s="202"/>
      <c r="Z412" s="185"/>
      <c r="AJ412" s="77"/>
      <c r="AK412" s="77"/>
      <c r="AL412" s="77"/>
      <c r="AM412" s="77"/>
      <c r="AN412" s="77"/>
      <c r="AO412" s="137" t="str">
        <f aca="false">IF(A413="","",A413-A412)</f>
        <v/>
      </c>
      <c r="AP412" s="212" t="str">
        <f aca="false">IF(A413="","",CHOOSE(F$3,A413+24,A412))</f>
        <v/>
      </c>
      <c r="AQ412" s="209" t="str">
        <f aca="false">IF(A413="","",AP412-$E$1)</f>
        <v/>
      </c>
      <c r="AR412" s="185" t="n">
        <f aca="false">'ANR OK vs ML7'!AR412</f>
        <v>0.1</v>
      </c>
      <c r="AS412" s="213" t="str">
        <f aca="false">IF(A413="","",1/(1+CHOOSE(F$3,(AR413+($I$3/10000))/2,(AR412+($I$3/10000))/2))^(2*AQ412/365.25))</f>
        <v/>
      </c>
      <c r="AT412" s="137" t="str">
        <f aca="false">IF(A413="","",IF(AND(mthbeg&lt;=A412,mthend&gt;=A412),1,0))</f>
        <v/>
      </c>
      <c r="AU412" s="137" t="str">
        <f aca="false">IF(A413="","",AO412*AT412)</f>
        <v/>
      </c>
      <c r="AW412" s="195" t="str">
        <f aca="false">IF($A413="","",AL412*$E412)</f>
        <v/>
      </c>
      <c r="AX412" s="195" t="str">
        <f aca="false">IF($A413="","",AM412*$E412)</f>
        <v/>
      </c>
      <c r="AY412" s="195" t="str">
        <f aca="false">IF($A413="","",AN412*$E412)</f>
        <v/>
      </c>
      <c r="BA412" s="195" t="str">
        <f aca="false">IF($A413="","",F412*Summary!$Q$12)</f>
        <v/>
      </c>
    </row>
    <row r="413" customFormat="false" ht="12.75" hidden="false" customHeight="false" outlineLevel="0" collapsed="false">
      <c r="A413" s="196" t="str">
        <f aca="false">IF(A412&lt;mthend,EDATE(A412,1),"")</f>
        <v/>
      </c>
      <c r="B413" s="197" t="str">
        <f aca="false">IF(A413&lt;mthend,B412,"")</f>
        <v/>
      </c>
      <c r="D413" s="197" t="str">
        <f aca="false">IF(A414&lt;&gt;"",B413+C413,"")</f>
        <v/>
      </c>
      <c r="E413" s="199" t="str">
        <f aca="false">IF(A414="","",IF(AND(AT413=1,$H$3=1),D413*AO413,IF($H$3=2,D413,"N/A")))</f>
        <v/>
      </c>
      <c r="F413" s="199" t="str">
        <f aca="false">IF(A414="","",E413*AS413)</f>
        <v/>
      </c>
      <c r="G413" s="200" t="str">
        <f aca="false">IF($A414="","",VLOOKUP($A413,Table,MATCH(G$4,Curves,0)))</f>
        <v/>
      </c>
      <c r="H413" s="201" t="str">
        <f aca="false">IF(A414="","",G413)</f>
        <v/>
      </c>
      <c r="J413" s="200" t="str">
        <f aca="false">IF($A414="","",VLOOKUP($A413,Table,MATCH(J$4,Curves,0)))</f>
        <v/>
      </c>
      <c r="K413" s="201" t="str">
        <f aca="false">IF(A414="","",J413)</f>
        <v/>
      </c>
      <c r="L413" s="200" t="str">
        <f aca="false">IF($A414="","",VLOOKUP($A413,Table,MATCH(L$4,Curves,0)))</f>
        <v/>
      </c>
      <c r="M413" s="201" t="str">
        <f aca="false">IF(A414="","",L413)</f>
        <v/>
      </c>
      <c r="O413" s="200" t="str">
        <f aca="false">IF(A414="","",L413+J413+G413)</f>
        <v/>
      </c>
      <c r="P413" s="200" t="str">
        <f aca="false">IF(A414="","",M413+K413+H413)</f>
        <v/>
      </c>
      <c r="R413" s="200" t="str">
        <f aca="false">IF($A414="","",VLOOKUP($A413,Table,MATCH(R$4,Curves,0)))</f>
        <v/>
      </c>
      <c r="S413" s="201" t="str">
        <f aca="false">IF(A414="","",R413)</f>
        <v/>
      </c>
      <c r="T413" s="200" t="str">
        <f aca="false">IF($A414="","",VLOOKUP($A413,Table,MATCH(T$4,Curves,0)))</f>
        <v/>
      </c>
      <c r="U413" s="201" t="str">
        <f aca="false">IF(A414="","",T413)</f>
        <v/>
      </c>
      <c r="V413" s="225" t="str">
        <f aca="false">IF($A414="","",IF(AND(MONTH(A413)&gt;3,MONTH(A413)&lt;11),(T413+R413+G413)*(((1/(1-Summary!$T$12))/(1-Summary!$W$12))-1),(T413+R413+G413)*((1/(1-Summary!$U$12))/(1-Summary!$X$12)-1)))</f>
        <v/>
      </c>
      <c r="W413" s="200" t="str">
        <f aca="false">IF($A414="","",(T413+R413+G413+V413))</f>
        <v/>
      </c>
      <c r="X413" s="200" t="str">
        <f aca="false">IF($A414="","",(U413+S413+H413+V413))</f>
        <v/>
      </c>
      <c r="Y413" s="202"/>
      <c r="Z413" s="185"/>
      <c r="AJ413" s="77"/>
      <c r="AK413" s="77"/>
      <c r="AL413" s="77"/>
      <c r="AM413" s="77"/>
      <c r="AN413" s="77"/>
      <c r="AO413" s="137" t="str">
        <f aca="false">IF(A414="","",A414-A413)</f>
        <v/>
      </c>
      <c r="AP413" s="212" t="str">
        <f aca="false">IF(A414="","",CHOOSE(F$3,A414+24,A413))</f>
        <v/>
      </c>
      <c r="AQ413" s="209" t="str">
        <f aca="false">IF(A414="","",AP413-$E$1)</f>
        <v/>
      </c>
      <c r="AR413" s="185" t="n">
        <f aca="false">'ANR OK vs ML7'!AR413</f>
        <v>0.1</v>
      </c>
      <c r="AS413" s="213" t="str">
        <f aca="false">IF(A414="","",1/(1+CHOOSE(F$3,(AR414+($I$3/10000))/2,(AR413+($I$3/10000))/2))^(2*AQ413/365.25))</f>
        <v/>
      </c>
      <c r="AT413" s="137" t="str">
        <f aca="false">IF(A414="","",IF(AND(mthbeg&lt;=A413,mthend&gt;=A413),1,0))</f>
        <v/>
      </c>
      <c r="AU413" s="137" t="str">
        <f aca="false">IF(A414="","",AO413*AT413)</f>
        <v/>
      </c>
      <c r="AW413" s="195" t="str">
        <f aca="false">IF($A414="","",AL413*$E413)</f>
        <v/>
      </c>
      <c r="AX413" s="195" t="str">
        <f aca="false">IF($A414="","",AM413*$E413)</f>
        <v/>
      </c>
      <c r="AY413" s="195" t="str">
        <f aca="false">IF($A414="","",AN413*$E413)</f>
        <v/>
      </c>
      <c r="BA413" s="195" t="str">
        <f aca="false">IF($A414="","",F413*Summary!$Q$12)</f>
        <v/>
      </c>
    </row>
    <row r="414" customFormat="false" ht="12.75" hidden="false" customHeight="false" outlineLevel="0" collapsed="false">
      <c r="A414" s="196" t="str">
        <f aca="false">IF(A413&lt;mthend,EDATE(A413,1),"")</f>
        <v/>
      </c>
      <c r="B414" s="197" t="str">
        <f aca="false">IF(A414&lt;mthend,B413,"")</f>
        <v/>
      </c>
      <c r="D414" s="197" t="str">
        <f aca="false">IF(A415&lt;&gt;"",B414+C414,"")</f>
        <v/>
      </c>
      <c r="E414" s="199" t="str">
        <f aca="false">IF(A415="","",IF(AND(AT414=1,$H$3=1),D414*AO414,IF($H$3=2,D414,"N/A")))</f>
        <v/>
      </c>
      <c r="F414" s="199" t="str">
        <f aca="false">IF(A415="","",E414*AS414)</f>
        <v/>
      </c>
      <c r="G414" s="200" t="str">
        <f aca="false">IF($A415="","",VLOOKUP($A414,Table,MATCH(G$4,Curves,0)))</f>
        <v/>
      </c>
      <c r="H414" s="201" t="str">
        <f aca="false">IF(A415="","",G414)</f>
        <v/>
      </c>
      <c r="J414" s="200" t="str">
        <f aca="false">IF($A415="","",VLOOKUP($A414,Table,MATCH(J$4,Curves,0)))</f>
        <v/>
      </c>
      <c r="K414" s="201" t="str">
        <f aca="false">IF(A415="","",J414)</f>
        <v/>
      </c>
      <c r="L414" s="200" t="str">
        <f aca="false">IF($A415="","",VLOOKUP($A414,Table,MATCH(L$4,Curves,0)))</f>
        <v/>
      </c>
      <c r="M414" s="201" t="str">
        <f aca="false">IF(A415="","",L414)</f>
        <v/>
      </c>
      <c r="O414" s="200" t="str">
        <f aca="false">IF(A415="","",L414+J414+G414)</f>
        <v/>
      </c>
      <c r="P414" s="200" t="str">
        <f aca="false">IF(A415="","",M414+K414+H414)</f>
        <v/>
      </c>
      <c r="R414" s="200" t="str">
        <f aca="false">IF($A415="","",VLOOKUP($A414,Table,MATCH(R$4,Curves,0)))</f>
        <v/>
      </c>
      <c r="S414" s="201" t="str">
        <f aca="false">IF(A415="","",R414)</f>
        <v/>
      </c>
      <c r="T414" s="200" t="str">
        <f aca="false">IF($A415="","",VLOOKUP($A414,Table,MATCH(T$4,Curves,0)))</f>
        <v/>
      </c>
      <c r="U414" s="201" t="str">
        <f aca="false">IF(A415="","",T414)</f>
        <v/>
      </c>
      <c r="V414" s="225" t="str">
        <f aca="false">IF($A415="","",IF(AND(MONTH(A414)&gt;3,MONTH(A414)&lt;11),(T414+R414+G414)*(((1/(1-Summary!$T$12))/(1-Summary!$W$12))-1),(T414+R414+G414)*((1/(1-Summary!$U$12))/(1-Summary!$X$12)-1)))</f>
        <v/>
      </c>
      <c r="W414" s="200" t="str">
        <f aca="false">IF($A415="","",(T414+R414+G414+V414))</f>
        <v/>
      </c>
      <c r="X414" s="200" t="str">
        <f aca="false">IF($A415="","",(U414+S414+H414+V414))</f>
        <v/>
      </c>
      <c r="Y414" s="202"/>
      <c r="Z414" s="185"/>
      <c r="AJ414" s="77"/>
      <c r="AK414" s="77"/>
      <c r="AL414" s="77"/>
      <c r="AM414" s="77"/>
      <c r="AN414" s="77"/>
      <c r="AO414" s="137" t="str">
        <f aca="false">IF(A415="","",A415-A414)</f>
        <v/>
      </c>
      <c r="AP414" s="212" t="str">
        <f aca="false">IF(A415="","",CHOOSE(F$3,A415+24,A414))</f>
        <v/>
      </c>
      <c r="AQ414" s="209" t="str">
        <f aca="false">IF(A415="","",AP414-$E$1)</f>
        <v/>
      </c>
      <c r="AR414" s="185" t="n">
        <f aca="false">'ANR OK vs ML7'!AR414</f>
        <v>0.1</v>
      </c>
      <c r="AS414" s="213" t="str">
        <f aca="false">IF(A415="","",1/(1+CHOOSE(F$3,(AR415+($I$3/10000))/2,(AR414+($I$3/10000))/2))^(2*AQ414/365.25))</f>
        <v/>
      </c>
      <c r="AT414" s="137" t="str">
        <f aca="false">IF(A415="","",IF(AND(mthbeg&lt;=A414,mthend&gt;=A414),1,0))</f>
        <v/>
      </c>
      <c r="AU414" s="137" t="str">
        <f aca="false">IF(A415="","",AO414*AT414)</f>
        <v/>
      </c>
      <c r="AW414" s="195" t="str">
        <f aca="false">IF($A415="","",AL414*$E414)</f>
        <v/>
      </c>
      <c r="AX414" s="195" t="str">
        <f aca="false">IF($A415="","",AM414*$E414)</f>
        <v/>
      </c>
      <c r="AY414" s="195" t="str">
        <f aca="false">IF($A415="","",AN414*$E414)</f>
        <v/>
      </c>
      <c r="BA414" s="195" t="str">
        <f aca="false">IF($A415="","",F414*Summary!$Q$12)</f>
        <v/>
      </c>
    </row>
    <row r="415" customFormat="false" ht="12.75" hidden="false" customHeight="false" outlineLevel="0" collapsed="false">
      <c r="A415" s="196" t="str">
        <f aca="false">IF(A414&lt;mthend,EDATE(A414,1),"")</f>
        <v/>
      </c>
      <c r="B415" s="197" t="str">
        <f aca="false">IF(A415&lt;mthend,B414,"")</f>
        <v/>
      </c>
      <c r="D415" s="197" t="str">
        <f aca="false">IF(A416&lt;&gt;"",B415+C415,"")</f>
        <v/>
      </c>
      <c r="E415" s="199" t="str">
        <f aca="false">IF(A416="","",IF(AND(AT415=1,$H$3=1),D415*AO415,IF($H$3=2,D415,"N/A")))</f>
        <v/>
      </c>
      <c r="F415" s="199" t="str">
        <f aca="false">IF(A416="","",E415*AS415)</f>
        <v/>
      </c>
      <c r="G415" s="200" t="str">
        <f aca="false">IF($A416="","",VLOOKUP($A415,Table,MATCH(G$4,Curves,0)))</f>
        <v/>
      </c>
      <c r="H415" s="201" t="str">
        <f aca="false">IF(A416="","",G415)</f>
        <v/>
      </c>
      <c r="J415" s="200" t="str">
        <f aca="false">IF($A416="","",VLOOKUP($A415,Table,MATCH(J$4,Curves,0)))</f>
        <v/>
      </c>
      <c r="K415" s="201" t="str">
        <f aca="false">IF(A416="","",J415)</f>
        <v/>
      </c>
      <c r="L415" s="200" t="str">
        <f aca="false">IF($A416="","",VLOOKUP($A415,Table,MATCH(L$4,Curves,0)))</f>
        <v/>
      </c>
      <c r="M415" s="201" t="str">
        <f aca="false">IF(A416="","",L415)</f>
        <v/>
      </c>
      <c r="O415" s="200" t="str">
        <f aca="false">IF(A416="","",L415+J415+G415)</f>
        <v/>
      </c>
      <c r="P415" s="200" t="str">
        <f aca="false">IF(A416="","",M415+K415+H415)</f>
        <v/>
      </c>
      <c r="R415" s="200" t="str">
        <f aca="false">IF($A416="","",VLOOKUP($A415,Table,MATCH(R$4,Curves,0)))</f>
        <v/>
      </c>
      <c r="S415" s="201" t="str">
        <f aca="false">IF(A416="","",R415)</f>
        <v/>
      </c>
      <c r="T415" s="200" t="str">
        <f aca="false">IF($A416="","",VLOOKUP($A415,Table,MATCH(T$4,Curves,0)))</f>
        <v/>
      </c>
      <c r="U415" s="201" t="str">
        <f aca="false">IF(A416="","",T415)</f>
        <v/>
      </c>
      <c r="V415" s="225" t="str">
        <f aca="false">IF($A416="","",IF(AND(MONTH(A415)&gt;3,MONTH(A415)&lt;11),(T415+R415+G415)*(((1/(1-Summary!$T$12))/(1-Summary!$W$12))-1),(T415+R415+G415)*((1/(1-Summary!$U$12))/(1-Summary!$X$12)-1)))</f>
        <v/>
      </c>
      <c r="W415" s="200" t="str">
        <f aca="false">IF($A416="","",(T415+R415+G415+V415))</f>
        <v/>
      </c>
      <c r="X415" s="200" t="str">
        <f aca="false">IF($A416="","",(U415+S415+H415+V415))</f>
        <v/>
      </c>
      <c r="Y415" s="202"/>
      <c r="Z415" s="185"/>
      <c r="AJ415" s="77"/>
      <c r="AK415" s="77"/>
      <c r="AL415" s="77"/>
      <c r="AM415" s="77"/>
      <c r="AN415" s="77"/>
      <c r="AO415" s="137" t="str">
        <f aca="false">IF(A416="","",A416-A415)</f>
        <v/>
      </c>
      <c r="AP415" s="212" t="str">
        <f aca="false">IF(A416="","",CHOOSE(F$3,A416+24,A415))</f>
        <v/>
      </c>
      <c r="AQ415" s="209" t="str">
        <f aca="false">IF(A416="","",AP415-$E$1)</f>
        <v/>
      </c>
      <c r="AR415" s="185" t="n">
        <f aca="false">'ANR OK vs ML7'!AR415</f>
        <v>0.1</v>
      </c>
      <c r="AS415" s="213" t="str">
        <f aca="false">IF(A416="","",1/(1+CHOOSE(F$3,(AR416+($I$3/10000))/2,(AR415+($I$3/10000))/2))^(2*AQ415/365.25))</f>
        <v/>
      </c>
      <c r="AT415" s="137" t="str">
        <f aca="false">IF(A416="","",IF(AND(mthbeg&lt;=A415,mthend&gt;=A415),1,0))</f>
        <v/>
      </c>
      <c r="AU415" s="137" t="str">
        <f aca="false">IF(A416="","",AO415*AT415)</f>
        <v/>
      </c>
      <c r="AW415" s="195" t="str">
        <f aca="false">IF($A416="","",AL415*$E415)</f>
        <v/>
      </c>
      <c r="AX415" s="195" t="str">
        <f aca="false">IF($A416="","",AM415*$E415)</f>
        <v/>
      </c>
      <c r="AY415" s="195" t="str">
        <f aca="false">IF($A416="","",AN415*$E415)</f>
        <v/>
      </c>
      <c r="BA415" s="195" t="str">
        <f aca="false">IF($A416="","",F415*Summary!$Q$12)</f>
        <v/>
      </c>
    </row>
    <row r="416" customFormat="false" ht="12.75" hidden="false" customHeight="false" outlineLevel="0" collapsed="false">
      <c r="A416" s="196" t="str">
        <f aca="false">IF(A415&lt;mthend,EDATE(A415,1),"")</f>
        <v/>
      </c>
      <c r="B416" s="197" t="str">
        <f aca="false">IF(A416&lt;mthend,B415,"")</f>
        <v/>
      </c>
      <c r="D416" s="197" t="str">
        <f aca="false">IF(A417&lt;&gt;"",B416+C416,"")</f>
        <v/>
      </c>
      <c r="E416" s="199" t="str">
        <f aca="false">IF(A417="","",IF(AND(AT416=1,$H$3=1),D416*AO416,IF($H$3=2,D416,"N/A")))</f>
        <v/>
      </c>
      <c r="F416" s="199" t="str">
        <f aca="false">IF(A417="","",E416*AS416)</f>
        <v/>
      </c>
      <c r="G416" s="200" t="str">
        <f aca="false">IF($A417="","",VLOOKUP($A416,Table,MATCH(G$4,Curves,0)))</f>
        <v/>
      </c>
      <c r="H416" s="201" t="str">
        <f aca="false">IF(A417="","",G416)</f>
        <v/>
      </c>
      <c r="J416" s="200" t="str">
        <f aca="false">IF($A417="","",VLOOKUP($A416,Table,MATCH(J$4,Curves,0)))</f>
        <v/>
      </c>
      <c r="K416" s="201" t="str">
        <f aca="false">IF(A417="","",J416)</f>
        <v/>
      </c>
      <c r="L416" s="200" t="str">
        <f aca="false">IF($A417="","",VLOOKUP($A416,Table,MATCH(L$4,Curves,0)))</f>
        <v/>
      </c>
      <c r="M416" s="201" t="str">
        <f aca="false">IF(A417="","",L416)</f>
        <v/>
      </c>
      <c r="O416" s="200" t="str">
        <f aca="false">IF(A417="","",L416+J416+G416)</f>
        <v/>
      </c>
      <c r="P416" s="200" t="str">
        <f aca="false">IF(A417="","",M416+K416+H416)</f>
        <v/>
      </c>
      <c r="R416" s="200" t="str">
        <f aca="false">IF($A417="","",VLOOKUP($A416,Table,MATCH(R$4,Curves,0)))</f>
        <v/>
      </c>
      <c r="S416" s="201" t="str">
        <f aca="false">IF(A417="","",R416)</f>
        <v/>
      </c>
      <c r="T416" s="200" t="str">
        <f aca="false">IF($A417="","",VLOOKUP($A416,Table,MATCH(T$4,Curves,0)))</f>
        <v/>
      </c>
      <c r="U416" s="201" t="str">
        <f aca="false">IF(A417="","",T416)</f>
        <v/>
      </c>
      <c r="V416" s="225" t="str">
        <f aca="false">IF($A417="","",IF(AND(MONTH(A416)&gt;3,MONTH(A416)&lt;11),(T416+R416+G416)*(((1/(1-Summary!$T$12))/(1-Summary!$W$12))-1),(T416+R416+G416)*((1/(1-Summary!$U$12))/(1-Summary!$X$12)-1)))</f>
        <v/>
      </c>
      <c r="W416" s="200" t="str">
        <f aca="false">IF($A417="","",(T416+R416+G416+V416))</f>
        <v/>
      </c>
      <c r="X416" s="200" t="str">
        <f aca="false">IF($A417="","",(U416+S416+H416+V416))</f>
        <v/>
      </c>
      <c r="Y416" s="202"/>
      <c r="Z416" s="185"/>
      <c r="AJ416" s="77"/>
      <c r="AK416" s="77"/>
      <c r="AL416" s="77"/>
      <c r="AM416" s="77"/>
      <c r="AN416" s="77"/>
      <c r="AO416" s="137" t="str">
        <f aca="false">IF(A417="","",A417-A416)</f>
        <v/>
      </c>
      <c r="AP416" s="212" t="str">
        <f aca="false">IF(A417="","",CHOOSE(F$3,A417+24,A416))</f>
        <v/>
      </c>
      <c r="AQ416" s="209" t="str">
        <f aca="false">IF(A417="","",AP416-$E$1)</f>
        <v/>
      </c>
      <c r="AR416" s="185" t="n">
        <f aca="false">'ANR OK vs ML7'!AR416</f>
        <v>0.1</v>
      </c>
      <c r="AS416" s="213" t="str">
        <f aca="false">IF(A417="","",1/(1+CHOOSE(F$3,(AR417+($I$3/10000))/2,(AR416+($I$3/10000))/2))^(2*AQ416/365.25))</f>
        <v/>
      </c>
      <c r="AT416" s="137" t="str">
        <f aca="false">IF(A417="","",IF(AND(mthbeg&lt;=A416,mthend&gt;=A416),1,0))</f>
        <v/>
      </c>
      <c r="AU416" s="137" t="str">
        <f aca="false">IF(A417="","",AO416*AT416)</f>
        <v/>
      </c>
      <c r="AW416" s="195" t="str">
        <f aca="false">IF($A417="","",AL416*$E416)</f>
        <v/>
      </c>
      <c r="AX416" s="195" t="str">
        <f aca="false">IF($A417="","",AM416*$E416)</f>
        <v/>
      </c>
      <c r="AY416" s="195" t="str">
        <f aca="false">IF($A417="","",AN416*$E416)</f>
        <v/>
      </c>
      <c r="BA416" s="195" t="str">
        <f aca="false">IF($A417="","",F416*Summary!$Q$12)</f>
        <v/>
      </c>
    </row>
    <row r="417" customFormat="false" ht="12.75" hidden="false" customHeight="false" outlineLevel="0" collapsed="false">
      <c r="A417" s="196" t="str">
        <f aca="false">IF(A416&lt;mthend,EDATE(A416,1),"")</f>
        <v/>
      </c>
      <c r="B417" s="197" t="str">
        <f aca="false">IF(A417&lt;mthend,B416,"")</f>
        <v/>
      </c>
      <c r="D417" s="197" t="str">
        <f aca="false">IF(A418&lt;&gt;"",B417+C417,"")</f>
        <v/>
      </c>
      <c r="E417" s="199" t="str">
        <f aca="false">IF(A418="","",IF(AND(AT417=1,$H$3=1),D417*AO417,IF($H$3=2,D417,"N/A")))</f>
        <v/>
      </c>
      <c r="F417" s="199" t="str">
        <f aca="false">IF(A418="","",E417*AS417)</f>
        <v/>
      </c>
      <c r="G417" s="200" t="str">
        <f aca="false">IF($A418="","",VLOOKUP($A417,Table,MATCH(G$4,Curves,0)))</f>
        <v/>
      </c>
      <c r="H417" s="201" t="str">
        <f aca="false">IF(A418="","",G417)</f>
        <v/>
      </c>
      <c r="J417" s="200" t="str">
        <f aca="false">IF($A418="","",VLOOKUP($A417,Table,MATCH(J$4,Curves,0)))</f>
        <v/>
      </c>
      <c r="K417" s="201" t="str">
        <f aca="false">IF(A418="","",J417)</f>
        <v/>
      </c>
      <c r="L417" s="200" t="str">
        <f aca="false">IF($A418="","",VLOOKUP($A417,Table,MATCH(L$4,Curves,0)))</f>
        <v/>
      </c>
      <c r="M417" s="201" t="str">
        <f aca="false">IF(A418="","",L417)</f>
        <v/>
      </c>
      <c r="O417" s="200" t="str">
        <f aca="false">IF(A418="","",L417+J417+G417)</f>
        <v/>
      </c>
      <c r="P417" s="200" t="str">
        <f aca="false">IF(A418="","",M417+K417+H417)</f>
        <v/>
      </c>
      <c r="R417" s="200" t="str">
        <f aca="false">IF($A418="","",VLOOKUP($A417,Table,MATCH(R$4,Curves,0)))</f>
        <v/>
      </c>
      <c r="S417" s="201" t="str">
        <f aca="false">IF(A418="","",R417)</f>
        <v/>
      </c>
      <c r="T417" s="200" t="str">
        <f aca="false">IF($A418="","",VLOOKUP($A417,Table,MATCH(T$4,Curves,0)))</f>
        <v/>
      </c>
      <c r="U417" s="201" t="str">
        <f aca="false">IF(A418="","",T417)</f>
        <v/>
      </c>
      <c r="V417" s="225" t="str">
        <f aca="false">IF($A418="","",IF(AND(MONTH(A417)&gt;3,MONTH(A417)&lt;11),(T417+R417+G417)*(((1/(1-Summary!$T$12))/(1-Summary!$W$12))-1),(T417+R417+G417)*((1/(1-Summary!$U$12))/(1-Summary!$X$12)-1)))</f>
        <v/>
      </c>
      <c r="W417" s="200" t="str">
        <f aca="false">IF($A418="","",(T417+R417+G417+V417))</f>
        <v/>
      </c>
      <c r="X417" s="200" t="str">
        <f aca="false">IF($A418="","",(U417+S417+H417+V417))</f>
        <v/>
      </c>
      <c r="Y417" s="202"/>
      <c r="Z417" s="185"/>
      <c r="AJ417" s="77"/>
      <c r="AK417" s="77"/>
      <c r="AL417" s="77"/>
      <c r="AM417" s="77"/>
      <c r="AN417" s="77"/>
      <c r="AO417" s="137" t="str">
        <f aca="false">IF(A418="","",A418-A417)</f>
        <v/>
      </c>
      <c r="AP417" s="212" t="str">
        <f aca="false">IF(A418="","",CHOOSE(F$3,A418+24,A417))</f>
        <v/>
      </c>
      <c r="AQ417" s="209" t="str">
        <f aca="false">IF(A418="","",AP417-$E$1)</f>
        <v/>
      </c>
      <c r="AR417" s="185" t="n">
        <f aca="false">'ANR OK vs ML7'!AR417</f>
        <v>0.1</v>
      </c>
      <c r="AS417" s="213" t="str">
        <f aca="false">IF(A418="","",1/(1+CHOOSE(F$3,(AR418+($I$3/10000))/2,(AR417+($I$3/10000))/2))^(2*AQ417/365.25))</f>
        <v/>
      </c>
      <c r="AT417" s="137" t="str">
        <f aca="false">IF(A418="","",IF(AND(mthbeg&lt;=A417,mthend&gt;=A417),1,0))</f>
        <v/>
      </c>
      <c r="AU417" s="137" t="str">
        <f aca="false">IF(A418="","",AO417*AT417)</f>
        <v/>
      </c>
      <c r="AW417" s="195" t="str">
        <f aca="false">IF($A418="","",AL417*$E417)</f>
        <v/>
      </c>
      <c r="AX417" s="195" t="str">
        <f aca="false">IF($A418="","",AM417*$E417)</f>
        <v/>
      </c>
      <c r="AY417" s="195" t="str">
        <f aca="false">IF($A418="","",AN417*$E417)</f>
        <v/>
      </c>
      <c r="BA417" s="195" t="str">
        <f aca="false">IF($A418="","",F417*Summary!$Q$12)</f>
        <v/>
      </c>
    </row>
    <row r="418" customFormat="false" ht="12.75" hidden="false" customHeight="false" outlineLevel="0" collapsed="false">
      <c r="A418" s="196" t="str">
        <f aca="false">IF(A417&lt;mthend,EDATE(A417,1),"")</f>
        <v/>
      </c>
      <c r="B418" s="197" t="str">
        <f aca="false">IF(A418&lt;mthend,B417,"")</f>
        <v/>
      </c>
      <c r="D418" s="197" t="str">
        <f aca="false">IF(A419&lt;&gt;"",B418+C418,"")</f>
        <v/>
      </c>
      <c r="E418" s="199" t="str">
        <f aca="false">IF(A419="","",IF(AND(AT418=1,$H$3=1),D418*AO418,IF($H$3=2,D418,"N/A")))</f>
        <v/>
      </c>
      <c r="F418" s="199" t="str">
        <f aca="false">IF(A419="","",E418*AS418)</f>
        <v/>
      </c>
      <c r="G418" s="200" t="str">
        <f aca="false">IF($A419="","",VLOOKUP($A418,Table,MATCH(G$4,Curves,0)))</f>
        <v/>
      </c>
      <c r="H418" s="201" t="str">
        <f aca="false">IF(A419="","",G418)</f>
        <v/>
      </c>
      <c r="J418" s="200" t="str">
        <f aca="false">IF($A419="","",VLOOKUP($A418,Table,MATCH(J$4,Curves,0)))</f>
        <v/>
      </c>
      <c r="K418" s="201" t="str">
        <f aca="false">IF(A419="","",J418)</f>
        <v/>
      </c>
      <c r="L418" s="200" t="str">
        <f aca="false">IF($A419="","",VLOOKUP($A418,Table,MATCH(L$4,Curves,0)))</f>
        <v/>
      </c>
      <c r="M418" s="201" t="str">
        <f aca="false">IF(A419="","",L418)</f>
        <v/>
      </c>
      <c r="O418" s="200" t="str">
        <f aca="false">IF(A419="","",L418+J418+G418)</f>
        <v/>
      </c>
      <c r="P418" s="200" t="str">
        <f aca="false">IF(A419="","",M418+K418+H418)</f>
        <v/>
      </c>
      <c r="R418" s="200" t="str">
        <f aca="false">IF($A419="","",VLOOKUP($A418,Table,MATCH(R$4,Curves,0)))</f>
        <v/>
      </c>
      <c r="S418" s="201" t="str">
        <f aca="false">IF(A419="","",R418)</f>
        <v/>
      </c>
      <c r="T418" s="200" t="str">
        <f aca="false">IF($A419="","",VLOOKUP($A418,Table,MATCH(T$4,Curves,0)))</f>
        <v/>
      </c>
      <c r="U418" s="201" t="str">
        <f aca="false">IF(A419="","",T418)</f>
        <v/>
      </c>
      <c r="V418" s="225" t="str">
        <f aca="false">IF($A419="","",IF(AND(MONTH(A418)&gt;3,MONTH(A418)&lt;11),(T418+R418+G418)*(((1/(1-Summary!$T$12))/(1-Summary!$W$12))-1),(T418+R418+G418)*((1/(1-Summary!$U$12))/(1-Summary!$X$12)-1)))</f>
        <v/>
      </c>
      <c r="W418" s="200" t="str">
        <f aca="false">IF($A419="","",(T418+R418+G418+V418))</f>
        <v/>
      </c>
      <c r="X418" s="200" t="str">
        <f aca="false">IF($A419="","",(U418+S418+H418+V418))</f>
        <v/>
      </c>
      <c r="Y418" s="202"/>
      <c r="Z418" s="185"/>
      <c r="AJ418" s="77"/>
      <c r="AK418" s="77"/>
      <c r="AL418" s="77"/>
      <c r="AM418" s="77"/>
      <c r="AN418" s="77"/>
      <c r="AO418" s="137" t="str">
        <f aca="false">IF(A419="","",A419-A418)</f>
        <v/>
      </c>
      <c r="AP418" s="212" t="str">
        <f aca="false">IF(A419="","",CHOOSE(F$3,A419+24,A418))</f>
        <v/>
      </c>
      <c r="AQ418" s="209" t="str">
        <f aca="false">IF(A419="","",AP418-$E$1)</f>
        <v/>
      </c>
      <c r="AR418" s="185" t="n">
        <f aca="false">'ANR OK vs ML7'!AR418</f>
        <v>0.1</v>
      </c>
      <c r="AS418" s="213" t="str">
        <f aca="false">IF(A419="","",1/(1+CHOOSE(F$3,(AR419+($I$3/10000))/2,(AR418+($I$3/10000))/2))^(2*AQ418/365.25))</f>
        <v/>
      </c>
      <c r="AT418" s="137" t="str">
        <f aca="false">IF(A419="","",IF(AND(mthbeg&lt;=A418,mthend&gt;=A418),1,0))</f>
        <v/>
      </c>
      <c r="AU418" s="137" t="str">
        <f aca="false">IF(A419="","",AO418*AT418)</f>
        <v/>
      </c>
      <c r="AW418" s="195" t="str">
        <f aca="false">IF($A419="","",AL418*$E418)</f>
        <v/>
      </c>
      <c r="AX418" s="195" t="str">
        <f aca="false">IF($A419="","",AM418*$E418)</f>
        <v/>
      </c>
      <c r="AY418" s="195" t="str">
        <f aca="false">IF($A419="","",AN418*$E418)</f>
        <v/>
      </c>
      <c r="BA418" s="195" t="str">
        <f aca="false">IF($A419="","",F418*Summary!$Q$12)</f>
        <v/>
      </c>
    </row>
    <row r="419" customFormat="false" ht="12.75" hidden="false" customHeight="false" outlineLevel="0" collapsed="false">
      <c r="A419" s="196" t="str">
        <f aca="false">IF(A418&lt;mthend,EDATE(A418,1),"")</f>
        <v/>
      </c>
      <c r="B419" s="197" t="str">
        <f aca="false">IF(A419&lt;mthend,B418,"")</f>
        <v/>
      </c>
      <c r="D419" s="197" t="str">
        <f aca="false">IF(A420&lt;&gt;"",B419+C419,"")</f>
        <v/>
      </c>
      <c r="E419" s="199" t="str">
        <f aca="false">IF(A420="","",IF(AND(AT419=1,$H$3=1),D419*AO419,IF($H$3=2,D419,"N/A")))</f>
        <v/>
      </c>
      <c r="F419" s="199" t="str">
        <f aca="false">IF(A420="","",E419*AS419)</f>
        <v/>
      </c>
      <c r="G419" s="200" t="str">
        <f aca="false">IF($A420="","",VLOOKUP($A419,Table,MATCH(G$4,Curves,0)))</f>
        <v/>
      </c>
      <c r="H419" s="201" t="str">
        <f aca="false">IF(A420="","",G419)</f>
        <v/>
      </c>
      <c r="J419" s="200" t="str">
        <f aca="false">IF($A420="","",VLOOKUP($A419,Table,MATCH(J$4,Curves,0)))</f>
        <v/>
      </c>
      <c r="K419" s="201" t="str">
        <f aca="false">IF(A420="","",J419)</f>
        <v/>
      </c>
      <c r="L419" s="200" t="str">
        <f aca="false">IF($A420="","",VLOOKUP($A419,Table,MATCH(L$4,Curves,0)))</f>
        <v/>
      </c>
      <c r="M419" s="201" t="str">
        <f aca="false">IF(A420="","",L419)</f>
        <v/>
      </c>
      <c r="O419" s="200" t="str">
        <f aca="false">IF(A420="","",L419+J419+G419)</f>
        <v/>
      </c>
      <c r="P419" s="200" t="str">
        <f aca="false">IF(A420="","",M419+K419+H419)</f>
        <v/>
      </c>
      <c r="R419" s="200" t="str">
        <f aca="false">IF($A420="","",VLOOKUP($A419,Table,MATCH(R$4,Curves,0)))</f>
        <v/>
      </c>
      <c r="S419" s="201" t="str">
        <f aca="false">IF(A420="","",R419)</f>
        <v/>
      </c>
      <c r="T419" s="200" t="str">
        <f aca="false">IF($A420="","",VLOOKUP($A419,Table,MATCH(T$4,Curves,0)))</f>
        <v/>
      </c>
      <c r="U419" s="201" t="str">
        <f aca="false">IF(A420="","",T419)</f>
        <v/>
      </c>
      <c r="V419" s="225" t="str">
        <f aca="false">IF($A420="","",IF(AND(MONTH(A419)&gt;3,MONTH(A419)&lt;11),(T419+R419+G419)*(((1/(1-Summary!$T$12))/(1-Summary!$W$12))-1),(T419+R419+G419)*((1/(1-Summary!$U$12))/(1-Summary!$X$12)-1)))</f>
        <v/>
      </c>
      <c r="W419" s="200" t="str">
        <f aca="false">IF($A420="","",(T419+R419+G419+V419))</f>
        <v/>
      </c>
      <c r="X419" s="200" t="str">
        <f aca="false">IF($A420="","",(U419+S419+H419+V419))</f>
        <v/>
      </c>
      <c r="Y419" s="202"/>
      <c r="Z419" s="185"/>
      <c r="AJ419" s="77"/>
      <c r="AK419" s="77"/>
      <c r="AL419" s="77"/>
      <c r="AM419" s="77"/>
      <c r="AN419" s="77"/>
      <c r="AO419" s="137" t="str">
        <f aca="false">IF(A420="","",A420-A419)</f>
        <v/>
      </c>
      <c r="AP419" s="212" t="str">
        <f aca="false">IF(A420="","",CHOOSE(F$3,A420+24,A419))</f>
        <v/>
      </c>
      <c r="AQ419" s="209" t="str">
        <f aca="false">IF(A420="","",AP419-$E$1)</f>
        <v/>
      </c>
      <c r="AR419" s="185" t="n">
        <f aca="false">'ANR OK vs ML7'!AR419</f>
        <v>0.1</v>
      </c>
      <c r="AS419" s="213" t="str">
        <f aca="false">IF(A420="","",1/(1+CHOOSE(F$3,(AR420+($I$3/10000))/2,(AR419+($I$3/10000))/2))^(2*AQ419/365.25))</f>
        <v/>
      </c>
      <c r="AT419" s="137" t="str">
        <f aca="false">IF(A420="","",IF(AND(mthbeg&lt;=A419,mthend&gt;=A419),1,0))</f>
        <v/>
      </c>
      <c r="AU419" s="137" t="str">
        <f aca="false">IF(A420="","",AO419*AT419)</f>
        <v/>
      </c>
      <c r="AW419" s="195" t="str">
        <f aca="false">IF($A420="","",AL419*$E419)</f>
        <v/>
      </c>
      <c r="AX419" s="195" t="str">
        <f aca="false">IF($A420="","",AM419*$E419)</f>
        <v/>
      </c>
      <c r="AY419" s="195" t="str">
        <f aca="false">IF($A420="","",AN419*$E419)</f>
        <v/>
      </c>
      <c r="BA419" s="195" t="str">
        <f aca="false">IF($A420="","",F419*Summary!$Q$12)</f>
        <v/>
      </c>
    </row>
    <row r="420" customFormat="false" ht="12.75" hidden="false" customHeight="false" outlineLevel="0" collapsed="false">
      <c r="A420" s="196" t="str">
        <f aca="false">IF(A419&lt;mthend,EDATE(A419,1),"")</f>
        <v/>
      </c>
      <c r="B420" s="197" t="str">
        <f aca="false">IF(A420&lt;mthend,B419,"")</f>
        <v/>
      </c>
      <c r="D420" s="197" t="str">
        <f aca="false">IF(A421&lt;&gt;"",B420+C420,"")</f>
        <v/>
      </c>
      <c r="E420" s="199" t="str">
        <f aca="false">IF(A421="","",IF(AND(AT420=1,$H$3=1),D420*AO420,IF($H$3=2,D420,"N/A")))</f>
        <v/>
      </c>
      <c r="F420" s="199" t="str">
        <f aca="false">IF(A421="","",E420*AS420)</f>
        <v/>
      </c>
      <c r="G420" s="200" t="str">
        <f aca="false">IF($A421="","",VLOOKUP($A420,Table,MATCH(G$4,Curves,0)))</f>
        <v/>
      </c>
      <c r="H420" s="201" t="str">
        <f aca="false">IF(A421="","",G420)</f>
        <v/>
      </c>
      <c r="J420" s="200" t="str">
        <f aca="false">IF($A421="","",VLOOKUP($A420,Table,MATCH(J$4,Curves,0)))</f>
        <v/>
      </c>
      <c r="K420" s="201" t="str">
        <f aca="false">IF(A421="","",J420)</f>
        <v/>
      </c>
      <c r="L420" s="200" t="str">
        <f aca="false">IF($A421="","",VLOOKUP($A420,Table,MATCH(L$4,Curves,0)))</f>
        <v/>
      </c>
      <c r="M420" s="201" t="str">
        <f aca="false">IF(A421="","",L420)</f>
        <v/>
      </c>
      <c r="O420" s="200" t="str">
        <f aca="false">IF(A421="","",L420+J420+G420)</f>
        <v/>
      </c>
      <c r="P420" s="200" t="str">
        <f aca="false">IF(A421="","",M420+K420+H420)</f>
        <v/>
      </c>
      <c r="R420" s="200" t="str">
        <f aca="false">IF($A421="","",VLOOKUP($A420,Table,MATCH(R$4,Curves,0)))</f>
        <v/>
      </c>
      <c r="S420" s="201" t="str">
        <f aca="false">IF(A421="","",R420)</f>
        <v/>
      </c>
      <c r="T420" s="200" t="str">
        <f aca="false">IF($A421="","",VLOOKUP($A420,Table,MATCH(T$4,Curves,0)))</f>
        <v/>
      </c>
      <c r="U420" s="201" t="str">
        <f aca="false">IF(A421="","",T420)</f>
        <v/>
      </c>
      <c r="V420" s="225" t="str">
        <f aca="false">IF($A421="","",IF(AND(MONTH(A420)&gt;3,MONTH(A420)&lt;11),(T420+R420+G420)*(((1/(1-Summary!$T$12))/(1-Summary!$W$12))-1),(T420+R420+G420)*((1/(1-Summary!$U$12))/(1-Summary!$X$12)-1)))</f>
        <v/>
      </c>
      <c r="W420" s="200" t="str">
        <f aca="false">IF($A421="","",(T420+R420+G420+V420))</f>
        <v/>
      </c>
      <c r="X420" s="200" t="str">
        <f aca="false">IF($A421="","",(U420+S420+H420+V420))</f>
        <v/>
      </c>
      <c r="Y420" s="202"/>
      <c r="Z420" s="185"/>
      <c r="AJ420" s="77"/>
      <c r="AK420" s="77"/>
      <c r="AL420" s="77"/>
      <c r="AM420" s="77"/>
      <c r="AN420" s="77"/>
      <c r="AO420" s="137" t="str">
        <f aca="false">IF(A421="","",A421-A420)</f>
        <v/>
      </c>
      <c r="AP420" s="212" t="str">
        <f aca="false">IF(A421="","",CHOOSE(F$3,A421+24,A420))</f>
        <v/>
      </c>
      <c r="AQ420" s="209" t="str">
        <f aca="false">IF(A421="","",AP420-$E$1)</f>
        <v/>
      </c>
      <c r="AR420" s="185" t="n">
        <f aca="false">'ANR OK vs ML7'!AR420</f>
        <v>0.1</v>
      </c>
      <c r="AS420" s="213" t="str">
        <f aca="false">IF(A421="","",1/(1+CHOOSE(F$3,(AR421+($I$3/10000))/2,(AR420+($I$3/10000))/2))^(2*AQ420/365.25))</f>
        <v/>
      </c>
      <c r="AT420" s="137" t="str">
        <f aca="false">IF(A421="","",IF(AND(mthbeg&lt;=A420,mthend&gt;=A420),1,0))</f>
        <v/>
      </c>
      <c r="AU420" s="137" t="str">
        <f aca="false">IF(A421="","",AO420*AT420)</f>
        <v/>
      </c>
      <c r="AW420" s="195" t="str">
        <f aca="false">IF($A421="","",AL420*$E420)</f>
        <v/>
      </c>
      <c r="AX420" s="195" t="str">
        <f aca="false">IF($A421="","",AM420*$E420)</f>
        <v/>
      </c>
      <c r="AY420" s="195" t="str">
        <f aca="false">IF($A421="","",AN420*$E420)</f>
        <v/>
      </c>
      <c r="BA420" s="195" t="str">
        <f aca="false">IF($A421="","",F420*Summary!$Q$12)</f>
        <v/>
      </c>
    </row>
    <row r="421" customFormat="false" ht="12.75" hidden="false" customHeight="false" outlineLevel="0" collapsed="false">
      <c r="A421" s="196" t="str">
        <f aca="false">IF(A420&lt;mthend,EDATE(A420,1),"")</f>
        <v/>
      </c>
      <c r="B421" s="197" t="str">
        <f aca="false">IF(A421&lt;mthend,B420,"")</f>
        <v/>
      </c>
      <c r="D421" s="197" t="str">
        <f aca="false">IF(A422&lt;&gt;"",B421+C421,"")</f>
        <v/>
      </c>
      <c r="E421" s="199" t="str">
        <f aca="false">IF(A422="","",IF(AND(AT421=1,$H$3=1),D421*AO421,IF($H$3=2,D421,"N/A")))</f>
        <v/>
      </c>
      <c r="F421" s="199" t="str">
        <f aca="false">IF(A422="","",E421*AS421)</f>
        <v/>
      </c>
      <c r="G421" s="200" t="str">
        <f aca="false">IF($A422="","",VLOOKUP($A421,Table,MATCH(G$4,Curves,0)))</f>
        <v/>
      </c>
      <c r="H421" s="201" t="str">
        <f aca="false">IF(A422="","",G421)</f>
        <v/>
      </c>
      <c r="J421" s="200" t="str">
        <f aca="false">IF($A422="","",VLOOKUP($A421,Table,MATCH(J$4,Curves,0)))</f>
        <v/>
      </c>
      <c r="K421" s="201" t="str">
        <f aca="false">IF(A422="","",J421)</f>
        <v/>
      </c>
      <c r="L421" s="200" t="str">
        <f aca="false">IF($A422="","",VLOOKUP($A421,Table,MATCH(L$4,Curves,0)))</f>
        <v/>
      </c>
      <c r="M421" s="201" t="str">
        <f aca="false">IF(A422="","",L421)</f>
        <v/>
      </c>
      <c r="O421" s="200" t="str">
        <f aca="false">IF(A422="","",L421+J421+G421)</f>
        <v/>
      </c>
      <c r="P421" s="200" t="str">
        <f aca="false">IF(A422="","",M421+K421+H421)</f>
        <v/>
      </c>
      <c r="R421" s="200" t="str">
        <f aca="false">IF($A422="","",VLOOKUP($A421,Table,MATCH(R$4,Curves,0)))</f>
        <v/>
      </c>
      <c r="S421" s="201" t="str">
        <f aca="false">IF(A422="","",R421)</f>
        <v/>
      </c>
      <c r="T421" s="200" t="str">
        <f aca="false">IF($A422="","",VLOOKUP($A421,Table,MATCH(T$4,Curves,0)))</f>
        <v/>
      </c>
      <c r="U421" s="201" t="str">
        <f aca="false">IF(A422="","",T421)</f>
        <v/>
      </c>
      <c r="V421" s="225" t="str">
        <f aca="false">IF($A422="","",IF(AND(MONTH(A421)&gt;3,MONTH(A421)&lt;11),(T421+R421+G421)*(((1/(1-Summary!$T$12))/(1-Summary!$W$12))-1),(T421+R421+G421)*((1/(1-Summary!$U$12))/(1-Summary!$X$12)-1)))</f>
        <v/>
      </c>
      <c r="W421" s="200" t="str">
        <f aca="false">IF($A422="","",(T421+R421+G421+V421))</f>
        <v/>
      </c>
      <c r="X421" s="200" t="str">
        <f aca="false">IF($A422="","",(U421+S421+H421+V421))</f>
        <v/>
      </c>
      <c r="Y421" s="202"/>
      <c r="Z421" s="185"/>
      <c r="AJ421" s="77"/>
      <c r="AK421" s="77"/>
      <c r="AL421" s="77"/>
      <c r="AM421" s="77"/>
      <c r="AN421" s="77"/>
      <c r="AO421" s="137" t="str">
        <f aca="false">IF(A422="","",A422-A421)</f>
        <v/>
      </c>
      <c r="AP421" s="212" t="str">
        <f aca="false">IF(A422="","",CHOOSE(F$3,A422+24,A421))</f>
        <v/>
      </c>
      <c r="AQ421" s="209" t="str">
        <f aca="false">IF(A422="","",AP421-$E$1)</f>
        <v/>
      </c>
      <c r="AR421" s="185" t="n">
        <f aca="false">'ANR OK vs ML7'!AR421</f>
        <v>0.1</v>
      </c>
      <c r="AS421" s="213" t="str">
        <f aca="false">IF(A422="","",1/(1+CHOOSE(F$3,(AR422+($I$3/10000))/2,(AR421+($I$3/10000))/2))^(2*AQ421/365.25))</f>
        <v/>
      </c>
      <c r="AT421" s="137" t="str">
        <f aca="false">IF(A422="","",IF(AND(mthbeg&lt;=A421,mthend&gt;=A421),1,0))</f>
        <v/>
      </c>
      <c r="AU421" s="137" t="str">
        <f aca="false">IF(A422="","",AO421*AT421)</f>
        <v/>
      </c>
      <c r="AW421" s="195" t="str">
        <f aca="false">IF($A422="","",AL421*$E421)</f>
        <v/>
      </c>
      <c r="AX421" s="195" t="str">
        <f aca="false">IF($A422="","",AM421*$E421)</f>
        <v/>
      </c>
      <c r="AY421" s="195" t="str">
        <f aca="false">IF($A422="","",AN421*$E421)</f>
        <v/>
      </c>
      <c r="BA421" s="195" t="str">
        <f aca="false">IF($A422="","",F421*Summary!$Q$12)</f>
        <v/>
      </c>
    </row>
    <row r="422" customFormat="false" ht="12.75" hidden="false" customHeight="false" outlineLevel="0" collapsed="false">
      <c r="A422" s="196" t="str">
        <f aca="false">IF(A421&lt;mthend,EDATE(A421,1),"")</f>
        <v/>
      </c>
      <c r="B422" s="197" t="str">
        <f aca="false">IF(A422&lt;mthend,B421,"")</f>
        <v/>
      </c>
      <c r="D422" s="197" t="str">
        <f aca="false">IF(A423&lt;&gt;"",B422+C422,"")</f>
        <v/>
      </c>
      <c r="E422" s="199" t="str">
        <f aca="false">IF(A423="","",IF(AND(AT422=1,$H$3=1),D422*AO422,IF($H$3=2,D422,"N/A")))</f>
        <v/>
      </c>
      <c r="F422" s="199" t="str">
        <f aca="false">IF(A423="","",E422*AS422)</f>
        <v/>
      </c>
      <c r="G422" s="200" t="str">
        <f aca="false">IF($A423="","",VLOOKUP($A422,Table,MATCH(G$4,Curves,0)))</f>
        <v/>
      </c>
      <c r="H422" s="201" t="str">
        <f aca="false">IF(A423="","",G422)</f>
        <v/>
      </c>
      <c r="J422" s="200" t="str">
        <f aca="false">IF($A423="","",VLOOKUP($A422,Table,MATCH(J$4,Curves,0)))</f>
        <v/>
      </c>
      <c r="K422" s="201" t="str">
        <f aca="false">IF(A423="","",J422)</f>
        <v/>
      </c>
      <c r="L422" s="200" t="str">
        <f aca="false">IF($A423="","",VLOOKUP($A422,Table,MATCH(L$4,Curves,0)))</f>
        <v/>
      </c>
      <c r="M422" s="201" t="str">
        <f aca="false">IF(A423="","",L422)</f>
        <v/>
      </c>
      <c r="O422" s="200" t="str">
        <f aca="false">IF(A423="","",L422+J422+G422)</f>
        <v/>
      </c>
      <c r="P422" s="200" t="str">
        <f aca="false">IF(A423="","",M422+K422+H422)</f>
        <v/>
      </c>
      <c r="R422" s="200" t="str">
        <f aca="false">IF($A423="","",VLOOKUP($A422,Table,MATCH(R$4,Curves,0)))</f>
        <v/>
      </c>
      <c r="S422" s="201" t="str">
        <f aca="false">IF(A423="","",R422)</f>
        <v/>
      </c>
      <c r="T422" s="200" t="str">
        <f aca="false">IF($A423="","",VLOOKUP($A422,Table,MATCH(T$4,Curves,0)))</f>
        <v/>
      </c>
      <c r="U422" s="201" t="str">
        <f aca="false">IF(A423="","",T422)</f>
        <v/>
      </c>
      <c r="V422" s="225" t="str">
        <f aca="false">IF($A423="","",IF(AND(MONTH(A422)&gt;3,MONTH(A422)&lt;11),(T422+R422+G422)*(((1/(1-Summary!$T$12))/(1-Summary!$W$12))-1),(T422+R422+G422)*((1/(1-Summary!$U$12))/(1-Summary!$X$12)-1)))</f>
        <v/>
      </c>
      <c r="W422" s="200" t="str">
        <f aca="false">IF($A423="","",(T422+R422+G422+V422))</f>
        <v/>
      </c>
      <c r="X422" s="200" t="str">
        <f aca="false">IF($A423="","",(U422+S422+H422+V422))</f>
        <v/>
      </c>
      <c r="Y422" s="202"/>
      <c r="Z422" s="185"/>
      <c r="AJ422" s="77"/>
      <c r="AK422" s="77"/>
      <c r="AL422" s="77"/>
      <c r="AM422" s="77"/>
      <c r="AN422" s="77"/>
      <c r="AO422" s="137" t="str">
        <f aca="false">IF(A423="","",A423-A422)</f>
        <v/>
      </c>
      <c r="AP422" s="212" t="str">
        <f aca="false">IF(A423="","",CHOOSE(F$3,A423+24,A422))</f>
        <v/>
      </c>
      <c r="AQ422" s="209" t="str">
        <f aca="false">IF(A423="","",AP422-$E$1)</f>
        <v/>
      </c>
      <c r="AR422" s="185" t="n">
        <f aca="false">'ANR OK vs ML7'!AR422</f>
        <v>0.1</v>
      </c>
      <c r="AS422" s="213" t="str">
        <f aca="false">IF(A423="","",1/(1+CHOOSE(F$3,(AR423+($I$3/10000))/2,(AR422+($I$3/10000))/2))^(2*AQ422/365.25))</f>
        <v/>
      </c>
      <c r="AT422" s="137" t="str">
        <f aca="false">IF(A423="","",IF(AND(mthbeg&lt;=A422,mthend&gt;=A422),1,0))</f>
        <v/>
      </c>
      <c r="AU422" s="137" t="str">
        <f aca="false">IF(A423="","",AO422*AT422)</f>
        <v/>
      </c>
      <c r="AW422" s="195" t="str">
        <f aca="false">IF($A423="","",AL422*$E422)</f>
        <v/>
      </c>
      <c r="AX422" s="195" t="str">
        <f aca="false">IF($A423="","",AM422*$E422)</f>
        <v/>
      </c>
      <c r="AY422" s="195" t="str">
        <f aca="false">IF($A423="","",AN422*$E422)</f>
        <v/>
      </c>
      <c r="BA422" s="195" t="str">
        <f aca="false">IF($A423="","",F422*Summary!$Q$12)</f>
        <v/>
      </c>
    </row>
    <row r="423" customFormat="false" ht="12.75" hidden="false" customHeight="false" outlineLevel="0" collapsed="false">
      <c r="A423" s="196" t="str">
        <f aca="false">IF(A422&lt;mthend,EDATE(A422,1),"")</f>
        <v/>
      </c>
      <c r="B423" s="197" t="str">
        <f aca="false">IF(A423&lt;mthend,B422,"")</f>
        <v/>
      </c>
      <c r="D423" s="197" t="str">
        <f aca="false">IF(A424&lt;&gt;"",B423+C423,"")</f>
        <v/>
      </c>
      <c r="E423" s="199" t="str">
        <f aca="false">IF(A424="","",IF(AND(AT423=1,$H$3=1),D423*AO423,IF($H$3=2,D423,"N/A")))</f>
        <v/>
      </c>
      <c r="F423" s="199" t="str">
        <f aca="false">IF(A424="","",E423*AS423)</f>
        <v/>
      </c>
      <c r="G423" s="200" t="str">
        <f aca="false">IF($A424="","",VLOOKUP($A423,Table,MATCH(G$4,Curves,0)))</f>
        <v/>
      </c>
      <c r="H423" s="201" t="str">
        <f aca="false">IF(A424="","",G423)</f>
        <v/>
      </c>
      <c r="J423" s="200" t="str">
        <f aca="false">IF($A424="","",VLOOKUP($A423,Table,MATCH(J$4,Curves,0)))</f>
        <v/>
      </c>
      <c r="K423" s="201" t="str">
        <f aca="false">IF(A424="","",J423)</f>
        <v/>
      </c>
      <c r="L423" s="200" t="str">
        <f aca="false">IF($A424="","",VLOOKUP($A423,Table,MATCH(L$4,Curves,0)))</f>
        <v/>
      </c>
      <c r="M423" s="201" t="str">
        <f aca="false">IF(A424="","",L423)</f>
        <v/>
      </c>
      <c r="O423" s="200" t="str">
        <f aca="false">IF(A424="","",L423+J423+G423)</f>
        <v/>
      </c>
      <c r="P423" s="200" t="str">
        <f aca="false">IF(A424="","",M423+K423+H423)</f>
        <v/>
      </c>
      <c r="R423" s="200" t="str">
        <f aca="false">IF($A424="","",VLOOKUP($A423,Table,MATCH(R$4,Curves,0)))</f>
        <v/>
      </c>
      <c r="S423" s="201" t="str">
        <f aca="false">IF(A424="","",R423)</f>
        <v/>
      </c>
      <c r="T423" s="200" t="str">
        <f aca="false">IF($A424="","",VLOOKUP($A423,Table,MATCH(T$4,Curves,0)))</f>
        <v/>
      </c>
      <c r="U423" s="201" t="str">
        <f aca="false">IF(A424="","",T423)</f>
        <v/>
      </c>
      <c r="V423" s="225" t="str">
        <f aca="false">IF($A424="","",IF(AND(MONTH(A423)&gt;3,MONTH(A423)&lt;11),(T423+R423+G423)*(((1/(1-Summary!$T$12))/(1-Summary!$W$12))-1),(T423+R423+G423)*((1/(1-Summary!$U$12))/(1-Summary!$X$12)-1)))</f>
        <v/>
      </c>
      <c r="W423" s="200" t="str">
        <f aca="false">IF($A424="","",(T423+R423+G423+V423))</f>
        <v/>
      </c>
      <c r="X423" s="200" t="str">
        <f aca="false">IF($A424="","",(U423+S423+H423+V423))</f>
        <v/>
      </c>
      <c r="Y423" s="202"/>
      <c r="Z423" s="185"/>
      <c r="AJ423" s="77"/>
      <c r="AK423" s="77"/>
      <c r="AL423" s="77"/>
      <c r="AM423" s="77"/>
      <c r="AN423" s="77"/>
      <c r="AO423" s="137" t="str">
        <f aca="false">IF(A424="","",A424-A423)</f>
        <v/>
      </c>
      <c r="AP423" s="212" t="str">
        <f aca="false">IF(A424="","",CHOOSE(F$3,A424+24,A423))</f>
        <v/>
      </c>
      <c r="AQ423" s="209" t="str">
        <f aca="false">IF(A424="","",AP423-$E$1)</f>
        <v/>
      </c>
      <c r="AR423" s="185" t="n">
        <f aca="false">'ANR OK vs ML7'!AR423</f>
        <v>0.1</v>
      </c>
      <c r="AS423" s="213" t="str">
        <f aca="false">IF(A424="","",1/(1+CHOOSE(F$3,(AR424+($I$3/10000))/2,(AR423+($I$3/10000))/2))^(2*AQ423/365.25))</f>
        <v/>
      </c>
      <c r="AT423" s="137" t="str">
        <f aca="false">IF(A424="","",IF(AND(mthbeg&lt;=A423,mthend&gt;=A423),1,0))</f>
        <v/>
      </c>
      <c r="AU423" s="137" t="str">
        <f aca="false">IF(A424="","",AO423*AT423)</f>
        <v/>
      </c>
      <c r="AW423" s="195" t="str">
        <f aca="false">IF($A424="","",AL423*$E423)</f>
        <v/>
      </c>
      <c r="AX423" s="195" t="str">
        <f aca="false">IF($A424="","",AM423*$E423)</f>
        <v/>
      </c>
      <c r="AY423" s="195" t="str">
        <f aca="false">IF($A424="","",AN423*$E423)</f>
        <v/>
      </c>
      <c r="BA423" s="195" t="str">
        <f aca="false">IF($A424="","",F423*Summary!$Q$12)</f>
        <v/>
      </c>
    </row>
    <row r="424" customFormat="false" ht="12.75" hidden="false" customHeight="false" outlineLevel="0" collapsed="false">
      <c r="A424" s="196" t="str">
        <f aca="false">IF(A423&lt;mthend,EDATE(A423,1),"")</f>
        <v/>
      </c>
      <c r="B424" s="197" t="str">
        <f aca="false">IF(A424&lt;mthend,B423,"")</f>
        <v/>
      </c>
      <c r="D424" s="197" t="str">
        <f aca="false">IF(A425&lt;&gt;"",B424+C424,"")</f>
        <v/>
      </c>
      <c r="E424" s="199" t="str">
        <f aca="false">IF(A425="","",IF(AND(AT424=1,$H$3=1),D424*AO424,IF($H$3=2,D424,"N/A")))</f>
        <v/>
      </c>
      <c r="F424" s="199" t="str">
        <f aca="false">IF(A425="","",E424*AS424)</f>
        <v/>
      </c>
      <c r="G424" s="200" t="str">
        <f aca="false">IF($A425="","",VLOOKUP($A424,Table,MATCH(G$4,Curves,0)))</f>
        <v/>
      </c>
      <c r="H424" s="201" t="str">
        <f aca="false">IF(A425="","",G424)</f>
        <v/>
      </c>
      <c r="J424" s="200" t="str">
        <f aca="false">IF($A425="","",VLOOKUP($A424,Table,MATCH(J$4,Curves,0)))</f>
        <v/>
      </c>
      <c r="K424" s="201" t="str">
        <f aca="false">IF(A425="","",J424)</f>
        <v/>
      </c>
      <c r="L424" s="200" t="str">
        <f aca="false">IF($A425="","",VLOOKUP($A424,Table,MATCH(L$4,Curves,0)))</f>
        <v/>
      </c>
      <c r="M424" s="201" t="str">
        <f aca="false">IF(A425="","",L424)</f>
        <v/>
      </c>
      <c r="O424" s="200" t="str">
        <f aca="false">IF(A425="","",L424+J424+G424)</f>
        <v/>
      </c>
      <c r="P424" s="200" t="str">
        <f aca="false">IF(A425="","",M424+K424+H424)</f>
        <v/>
      </c>
      <c r="R424" s="200" t="str">
        <f aca="false">IF($A425="","",VLOOKUP($A424,Table,MATCH(R$4,Curves,0)))</f>
        <v/>
      </c>
      <c r="S424" s="201" t="str">
        <f aca="false">IF(A425="","",R424)</f>
        <v/>
      </c>
      <c r="T424" s="200" t="str">
        <f aca="false">IF($A425="","",VLOOKUP($A424,Table,MATCH(T$4,Curves,0)))</f>
        <v/>
      </c>
      <c r="U424" s="201" t="str">
        <f aca="false">IF(A425="","",T424)</f>
        <v/>
      </c>
      <c r="V424" s="225" t="str">
        <f aca="false">IF($A425="","",IF(AND(MONTH(A424)&gt;3,MONTH(A424)&lt;11),(T424+R424+G424)*(((1/(1-Summary!$T$12))/(1-Summary!$W$12))-1),(T424+R424+G424)*((1/(1-Summary!$U$12))/(1-Summary!$X$12)-1)))</f>
        <v/>
      </c>
      <c r="W424" s="200" t="str">
        <f aca="false">IF($A425="","",(T424+R424+G424+V424))</f>
        <v/>
      </c>
      <c r="X424" s="200" t="str">
        <f aca="false">IF($A425="","",(U424+S424+H424+V424))</f>
        <v/>
      </c>
      <c r="Y424" s="202"/>
      <c r="Z424" s="185"/>
      <c r="AJ424" s="77"/>
      <c r="AK424" s="77"/>
      <c r="AL424" s="77"/>
      <c r="AM424" s="77"/>
      <c r="AN424" s="77"/>
      <c r="AO424" s="137" t="str">
        <f aca="false">IF(A425="","",A425-A424)</f>
        <v/>
      </c>
      <c r="AP424" s="212" t="str">
        <f aca="false">IF(A425="","",CHOOSE(F$3,A425+24,A424))</f>
        <v/>
      </c>
      <c r="AQ424" s="209" t="str">
        <f aca="false">IF(A425="","",AP424-$E$1)</f>
        <v/>
      </c>
      <c r="AR424" s="185" t="n">
        <f aca="false">'ANR OK vs ML7'!AR424</f>
        <v>0.1</v>
      </c>
      <c r="AS424" s="213" t="str">
        <f aca="false">IF(A425="","",1/(1+CHOOSE(F$3,(AR425+($I$3/10000))/2,(AR424+($I$3/10000))/2))^(2*AQ424/365.25))</f>
        <v/>
      </c>
      <c r="AT424" s="137" t="str">
        <f aca="false">IF(A425="","",IF(AND(mthbeg&lt;=A424,mthend&gt;=A424),1,0))</f>
        <v/>
      </c>
      <c r="AU424" s="137" t="str">
        <f aca="false">IF(A425="","",AO424*AT424)</f>
        <v/>
      </c>
      <c r="AW424" s="195" t="str">
        <f aca="false">IF($A425="","",AL424*$E424)</f>
        <v/>
      </c>
      <c r="AX424" s="195" t="str">
        <f aca="false">IF($A425="","",AM424*$E424)</f>
        <v/>
      </c>
      <c r="AY424" s="195" t="str">
        <f aca="false">IF($A425="","",AN424*$E424)</f>
        <v/>
      </c>
      <c r="BA424" s="195" t="str">
        <f aca="false">IF($A425="","",F424*Summary!$Q$12)</f>
        <v/>
      </c>
    </row>
    <row r="425" customFormat="false" ht="12.75" hidden="false" customHeight="false" outlineLevel="0" collapsed="false">
      <c r="A425" s="196" t="str">
        <f aca="false">IF(A424&lt;mthend,EDATE(A424,1),"")</f>
        <v/>
      </c>
      <c r="B425" s="197" t="str">
        <f aca="false">IF(A425&lt;mthend,B424,"")</f>
        <v/>
      </c>
      <c r="D425" s="197" t="str">
        <f aca="false">IF(A426&lt;&gt;"",B425+C425,"")</f>
        <v/>
      </c>
      <c r="E425" s="199" t="str">
        <f aca="false">IF(A426="","",IF(AND(AT425=1,$H$3=1),D425*AO425,IF($H$3=2,D425,"N/A")))</f>
        <v/>
      </c>
      <c r="F425" s="199" t="str">
        <f aca="false">IF(A426="","",E425*AS425)</f>
        <v/>
      </c>
      <c r="G425" s="200" t="str">
        <f aca="false">IF($A426="","",VLOOKUP($A425,Table,MATCH(G$4,Curves,0)))</f>
        <v/>
      </c>
      <c r="H425" s="201" t="str">
        <f aca="false">IF(A426="","",G425)</f>
        <v/>
      </c>
      <c r="J425" s="200" t="str">
        <f aca="false">IF($A426="","",VLOOKUP($A425,Table,MATCH(J$4,Curves,0)))</f>
        <v/>
      </c>
      <c r="K425" s="201" t="str">
        <f aca="false">IF(A426="","",J425)</f>
        <v/>
      </c>
      <c r="L425" s="200" t="str">
        <f aca="false">IF($A426="","",VLOOKUP($A425,Table,MATCH(L$4,Curves,0)))</f>
        <v/>
      </c>
      <c r="M425" s="201" t="str">
        <f aca="false">IF(A426="","",L425)</f>
        <v/>
      </c>
      <c r="O425" s="200" t="str">
        <f aca="false">IF(A426="","",L425+J425+G425)</f>
        <v/>
      </c>
      <c r="P425" s="200" t="str">
        <f aca="false">IF(A426="","",M425+K425+H425)</f>
        <v/>
      </c>
      <c r="R425" s="200" t="str">
        <f aca="false">IF($A426="","",VLOOKUP($A425,Table,MATCH(R$4,Curves,0)))</f>
        <v/>
      </c>
      <c r="S425" s="201" t="str">
        <f aca="false">IF(A426="","",R425)</f>
        <v/>
      </c>
      <c r="T425" s="200" t="str">
        <f aca="false">IF($A426="","",VLOOKUP($A425,Table,MATCH(T$4,Curves,0)))</f>
        <v/>
      </c>
      <c r="U425" s="201" t="str">
        <f aca="false">IF(A426="","",T425)</f>
        <v/>
      </c>
      <c r="V425" s="225" t="str">
        <f aca="false">IF($A426="","",IF(AND(MONTH(A425)&gt;3,MONTH(A425)&lt;11),(T425+R425+G425)*(((1/(1-Summary!$T$12))/(1-Summary!$W$12))-1),(T425+R425+G425)*((1/(1-Summary!$U$12))/(1-Summary!$X$12)-1)))</f>
        <v/>
      </c>
      <c r="W425" s="200" t="str">
        <f aca="false">IF($A426="","",(T425+R425+G425+V425))</f>
        <v/>
      </c>
      <c r="X425" s="200" t="str">
        <f aca="false">IF($A426="","",(U425+S425+H425+V425))</f>
        <v/>
      </c>
      <c r="Y425" s="202"/>
      <c r="Z425" s="185"/>
      <c r="AJ425" s="77"/>
      <c r="AK425" s="77"/>
      <c r="AL425" s="77"/>
      <c r="AM425" s="77"/>
      <c r="AN425" s="77"/>
      <c r="AO425" s="137" t="str">
        <f aca="false">IF(A426="","",A426-A425)</f>
        <v/>
      </c>
      <c r="AP425" s="212" t="str">
        <f aca="false">IF(A426="","",CHOOSE(F$3,A426+24,A425))</f>
        <v/>
      </c>
      <c r="AQ425" s="209" t="str">
        <f aca="false">IF(A426="","",AP425-$E$1)</f>
        <v/>
      </c>
      <c r="AR425" s="185" t="n">
        <f aca="false">'ANR OK vs ML7'!AR425</f>
        <v>0.1</v>
      </c>
      <c r="AS425" s="213" t="str">
        <f aca="false">IF(A426="","",1/(1+CHOOSE(F$3,(AR426+($I$3/10000))/2,(AR425+($I$3/10000))/2))^(2*AQ425/365.25))</f>
        <v/>
      </c>
      <c r="AT425" s="137" t="str">
        <f aca="false">IF(A426="","",IF(AND(mthbeg&lt;=A425,mthend&gt;=A425),1,0))</f>
        <v/>
      </c>
      <c r="AU425" s="137" t="str">
        <f aca="false">IF(A426="","",AO425*AT425)</f>
        <v/>
      </c>
      <c r="AW425" s="195" t="str">
        <f aca="false">IF($A426="","",AL425*$E425)</f>
        <v/>
      </c>
      <c r="AX425" s="195" t="str">
        <f aca="false">IF($A426="","",AM425*$E425)</f>
        <v/>
      </c>
      <c r="AY425" s="195" t="str">
        <f aca="false">IF($A426="","",AN425*$E425)</f>
        <v/>
      </c>
      <c r="BA425" s="195" t="str">
        <f aca="false">IF($A426="","",F425*Summary!$Q$12)</f>
        <v/>
      </c>
    </row>
    <row r="426" customFormat="false" ht="12.75" hidden="false" customHeight="false" outlineLevel="0" collapsed="false">
      <c r="A426" s="196" t="str">
        <f aca="false">IF(A425&lt;mthend,EDATE(A425,1),"")</f>
        <v/>
      </c>
      <c r="B426" s="197" t="str">
        <f aca="false">IF(A426&lt;mthend,B425,"")</f>
        <v/>
      </c>
      <c r="D426" s="197" t="str">
        <f aca="false">IF(A427&lt;&gt;"",B426+C426,"")</f>
        <v/>
      </c>
      <c r="E426" s="199" t="str">
        <f aca="false">IF(A427="","",IF(AND(AT426=1,$H$3=1),D426*AO426,IF($H$3=2,D426,"N/A")))</f>
        <v/>
      </c>
      <c r="F426" s="199" t="str">
        <f aca="false">IF(A427="","",E426*AS426)</f>
        <v/>
      </c>
      <c r="G426" s="200" t="str">
        <f aca="false">IF($A427="","",VLOOKUP($A426,Table,MATCH(G$4,Curves,0)))</f>
        <v/>
      </c>
      <c r="H426" s="201" t="str">
        <f aca="false">IF(A427="","",G426)</f>
        <v/>
      </c>
      <c r="J426" s="200" t="str">
        <f aca="false">IF($A427="","",VLOOKUP($A426,Table,MATCH(J$4,Curves,0)))</f>
        <v/>
      </c>
      <c r="K426" s="201" t="str">
        <f aca="false">IF(A427="","",J426)</f>
        <v/>
      </c>
      <c r="L426" s="200" t="str">
        <f aca="false">IF($A427="","",VLOOKUP($A426,Table,MATCH(L$4,Curves,0)))</f>
        <v/>
      </c>
      <c r="M426" s="201" t="str">
        <f aca="false">IF(A427="","",L426)</f>
        <v/>
      </c>
      <c r="O426" s="200" t="str">
        <f aca="false">IF(A427="","",L426+J426+G426)</f>
        <v/>
      </c>
      <c r="P426" s="200" t="str">
        <f aca="false">IF(A427="","",M426+K426+H426)</f>
        <v/>
      </c>
      <c r="R426" s="200" t="str">
        <f aca="false">IF($A427="","",VLOOKUP($A426,Table,MATCH(R$4,Curves,0)))</f>
        <v/>
      </c>
      <c r="S426" s="201" t="str">
        <f aca="false">IF(A427="","",R426)</f>
        <v/>
      </c>
      <c r="T426" s="200" t="str">
        <f aca="false">IF($A427="","",VLOOKUP($A426,Table,MATCH(T$4,Curves,0)))</f>
        <v/>
      </c>
      <c r="U426" s="201" t="str">
        <f aca="false">IF(A427="","",T426)</f>
        <v/>
      </c>
      <c r="V426" s="225" t="str">
        <f aca="false">IF($A427="","",IF(AND(MONTH(A426)&gt;3,MONTH(A426)&lt;11),(T426+R426+G426)*(((1/(1-Summary!$T$12))/(1-Summary!$W$12))-1),(T426+R426+G426)*((1/(1-Summary!$U$12))/(1-Summary!$X$12)-1)))</f>
        <v/>
      </c>
      <c r="W426" s="200" t="str">
        <f aca="false">IF($A427="","",(T426+R426+G426+V426))</f>
        <v/>
      </c>
      <c r="X426" s="200" t="str">
        <f aca="false">IF($A427="","",(U426+S426+H426+V426))</f>
        <v/>
      </c>
      <c r="Y426" s="202"/>
      <c r="Z426" s="185"/>
      <c r="AJ426" s="77"/>
      <c r="AK426" s="77"/>
      <c r="AL426" s="77"/>
      <c r="AM426" s="77"/>
      <c r="AN426" s="77"/>
      <c r="AO426" s="137" t="str">
        <f aca="false">IF(A427="","",A427-A426)</f>
        <v/>
      </c>
      <c r="AP426" s="212" t="str">
        <f aca="false">IF(A427="","",CHOOSE(F$3,A427+24,A426))</f>
        <v/>
      </c>
      <c r="AQ426" s="209" t="str">
        <f aca="false">IF(A427="","",AP426-$E$1)</f>
        <v/>
      </c>
      <c r="AR426" s="185" t="n">
        <f aca="false">'ANR OK vs ML7'!AR426</f>
        <v>0.1</v>
      </c>
      <c r="AS426" s="213" t="str">
        <f aca="false">IF(A427="","",1/(1+CHOOSE(F$3,(AR427+($I$3/10000))/2,(AR426+($I$3/10000))/2))^(2*AQ426/365.25))</f>
        <v/>
      </c>
      <c r="AT426" s="137" t="str">
        <f aca="false">IF(A427="","",IF(AND(mthbeg&lt;=A426,mthend&gt;=A426),1,0))</f>
        <v/>
      </c>
      <c r="AU426" s="137" t="str">
        <f aca="false">IF(A427="","",AO426*AT426)</f>
        <v/>
      </c>
      <c r="AW426" s="195" t="str">
        <f aca="false">IF($A427="","",AL426*$E426)</f>
        <v/>
      </c>
      <c r="AX426" s="195" t="str">
        <f aca="false">IF($A427="","",AM426*$E426)</f>
        <v/>
      </c>
      <c r="AY426" s="195" t="str">
        <f aca="false">IF($A427="","",AN426*$E426)</f>
        <v/>
      </c>
      <c r="BA426" s="195" t="str">
        <f aca="false">IF($A427="","",F426*Summary!$Q$12)</f>
        <v/>
      </c>
    </row>
    <row r="427" customFormat="false" ht="12.75" hidden="false" customHeight="false" outlineLevel="0" collapsed="false">
      <c r="A427" s="196" t="str">
        <f aca="false">IF(A426&lt;mthend,EDATE(A426,1),"")</f>
        <v/>
      </c>
      <c r="B427" s="197" t="str">
        <f aca="false">IF(A427&lt;mthend,B426,"")</f>
        <v/>
      </c>
      <c r="D427" s="197" t="str">
        <f aca="false">IF(A428&lt;&gt;"",B427+C427,"")</f>
        <v/>
      </c>
      <c r="E427" s="199" t="str">
        <f aca="false">IF(A428="","",IF(AND(AT427=1,$H$3=1),D427*AO427,IF($H$3=2,D427,"N/A")))</f>
        <v/>
      </c>
      <c r="F427" s="199" t="str">
        <f aca="false">IF(A428="","",E427*AS427)</f>
        <v/>
      </c>
      <c r="G427" s="200" t="str">
        <f aca="false">IF($A428="","",VLOOKUP($A427,Table,MATCH(G$4,Curves,0)))</f>
        <v/>
      </c>
      <c r="H427" s="201" t="str">
        <f aca="false">IF(A428="","",G427)</f>
        <v/>
      </c>
      <c r="J427" s="200" t="str">
        <f aca="false">IF($A428="","",VLOOKUP($A427,Table,MATCH(J$4,Curves,0)))</f>
        <v/>
      </c>
      <c r="K427" s="201" t="str">
        <f aca="false">IF(A428="","",J427)</f>
        <v/>
      </c>
      <c r="L427" s="200" t="str">
        <f aca="false">IF($A428="","",VLOOKUP($A427,Table,MATCH(L$4,Curves,0)))</f>
        <v/>
      </c>
      <c r="M427" s="201" t="str">
        <f aca="false">IF(A428="","",L427)</f>
        <v/>
      </c>
      <c r="O427" s="200" t="str">
        <f aca="false">IF(A428="","",L427+J427+G427)</f>
        <v/>
      </c>
      <c r="P427" s="200" t="str">
        <f aca="false">IF(A428="","",M427+K427+H427)</f>
        <v/>
      </c>
      <c r="R427" s="200" t="str">
        <f aca="false">IF($A428="","",VLOOKUP($A427,Table,MATCH(R$4,Curves,0)))</f>
        <v/>
      </c>
      <c r="S427" s="201" t="str">
        <f aca="false">IF(A428="","",R427)</f>
        <v/>
      </c>
      <c r="T427" s="200" t="str">
        <f aca="false">IF($A428="","",VLOOKUP($A427,Table,MATCH(T$4,Curves,0)))</f>
        <v/>
      </c>
      <c r="U427" s="201" t="str">
        <f aca="false">IF(A428="","",T427)</f>
        <v/>
      </c>
      <c r="V427" s="225" t="str">
        <f aca="false">IF($A428="","",IF(AND(MONTH(A427)&gt;3,MONTH(A427)&lt;11),(T427+R427+G427)*(((1/(1-Summary!$T$12))/(1-Summary!$W$12))-1),(T427+R427+G427)*((1/(1-Summary!$U$12))/(1-Summary!$X$12)-1)))</f>
        <v/>
      </c>
      <c r="W427" s="200" t="str">
        <f aca="false">IF($A428="","",(T427+R427+G427+V427))</f>
        <v/>
      </c>
      <c r="X427" s="200" t="str">
        <f aca="false">IF($A428="","",(U427+S427+H427+V427))</f>
        <v/>
      </c>
      <c r="Y427" s="202"/>
      <c r="Z427" s="185"/>
      <c r="AJ427" s="77"/>
      <c r="AK427" s="77"/>
      <c r="AL427" s="77"/>
      <c r="AM427" s="77"/>
      <c r="AN427" s="77"/>
      <c r="AO427" s="137" t="str">
        <f aca="false">IF(A428="","",A428-A427)</f>
        <v/>
      </c>
      <c r="AP427" s="212" t="str">
        <f aca="false">IF(A428="","",CHOOSE(F$3,A428+24,A427))</f>
        <v/>
      </c>
      <c r="AQ427" s="209" t="str">
        <f aca="false">IF(A428="","",AP427-$E$1)</f>
        <v/>
      </c>
      <c r="AR427" s="185" t="n">
        <f aca="false">'ANR OK vs ML7'!AR427</f>
        <v>0.1</v>
      </c>
      <c r="AS427" s="213" t="str">
        <f aca="false">IF(A428="","",1/(1+CHOOSE(F$3,(AR428+($I$3/10000))/2,(AR427+($I$3/10000))/2))^(2*AQ427/365.25))</f>
        <v/>
      </c>
      <c r="AT427" s="137" t="str">
        <f aca="false">IF(A428="","",IF(AND(mthbeg&lt;=A427,mthend&gt;=A427),1,0))</f>
        <v/>
      </c>
      <c r="AU427" s="137" t="str">
        <f aca="false">IF(A428="","",AO427*AT427)</f>
        <v/>
      </c>
      <c r="AW427" s="195" t="str">
        <f aca="false">IF($A428="","",AL427*$E427)</f>
        <v/>
      </c>
      <c r="AX427" s="195" t="str">
        <f aca="false">IF($A428="","",AM427*$E427)</f>
        <v/>
      </c>
      <c r="AY427" s="195" t="str">
        <f aca="false">IF($A428="","",AN427*$E427)</f>
        <v/>
      </c>
      <c r="BA427" s="195" t="str">
        <f aca="false">IF($A428="","",F427*Summary!$Q$12)</f>
        <v/>
      </c>
    </row>
    <row r="428" customFormat="false" ht="12.75" hidden="false" customHeight="false" outlineLevel="0" collapsed="false">
      <c r="A428" s="196" t="str">
        <f aca="false">IF(A427&lt;mthend,EDATE(A427,1),"")</f>
        <v/>
      </c>
      <c r="B428" s="197" t="str">
        <f aca="false">IF(A428&lt;mthend,B427,"")</f>
        <v/>
      </c>
      <c r="D428" s="197" t="str">
        <f aca="false">IF(A429&lt;&gt;"",B428+C428,"")</f>
        <v/>
      </c>
      <c r="E428" s="199" t="str">
        <f aca="false">IF(A429="","",IF(AND(AT428=1,$H$3=1),D428*AO428,IF($H$3=2,D428,"N/A")))</f>
        <v/>
      </c>
      <c r="F428" s="199" t="str">
        <f aca="false">IF(A429="","",E428*AS428)</f>
        <v/>
      </c>
      <c r="G428" s="200" t="str">
        <f aca="false">IF($A429="","",VLOOKUP($A428,Table,MATCH(G$4,Curves,0)))</f>
        <v/>
      </c>
      <c r="H428" s="201" t="str">
        <f aca="false">IF(A429="","",G428)</f>
        <v/>
      </c>
      <c r="J428" s="200" t="str">
        <f aca="false">IF($A429="","",VLOOKUP($A428,Table,MATCH(J$4,Curves,0)))</f>
        <v/>
      </c>
      <c r="K428" s="201" t="str">
        <f aca="false">IF(A429="","",J428)</f>
        <v/>
      </c>
      <c r="L428" s="200" t="str">
        <f aca="false">IF($A429="","",VLOOKUP($A428,Table,MATCH(L$4,Curves,0)))</f>
        <v/>
      </c>
      <c r="M428" s="201" t="str">
        <f aca="false">IF(A429="","",L428)</f>
        <v/>
      </c>
      <c r="O428" s="200" t="str">
        <f aca="false">IF(A429="","",L428+J428+G428)</f>
        <v/>
      </c>
      <c r="P428" s="200" t="str">
        <f aca="false">IF(A429="","",M428+K428+H428)</f>
        <v/>
      </c>
      <c r="R428" s="200" t="str">
        <f aca="false">IF($A429="","",VLOOKUP($A428,Table,MATCH(R$4,Curves,0)))</f>
        <v/>
      </c>
      <c r="S428" s="201" t="str">
        <f aca="false">IF(A429="","",R428)</f>
        <v/>
      </c>
      <c r="T428" s="200" t="str">
        <f aca="false">IF($A429="","",VLOOKUP($A428,Table,MATCH(T$4,Curves,0)))</f>
        <v/>
      </c>
      <c r="U428" s="201" t="str">
        <f aca="false">IF(A429="","",T428)</f>
        <v/>
      </c>
      <c r="V428" s="225" t="str">
        <f aca="false">IF($A429="","",IF(AND(MONTH(A428)&gt;3,MONTH(A428)&lt;11),(T428+R428+G428)*(((1/(1-Summary!$T$12))/(1-Summary!$W$12))-1),(T428+R428+G428)*((1/(1-Summary!$U$12))/(1-Summary!$X$12)-1)))</f>
        <v/>
      </c>
      <c r="W428" s="200" t="str">
        <f aca="false">IF($A429="","",(T428+R428+G428+V428))</f>
        <v/>
      </c>
      <c r="X428" s="200" t="str">
        <f aca="false">IF($A429="","",(U428+S428+H428+V428))</f>
        <v/>
      </c>
      <c r="Y428" s="202"/>
      <c r="Z428" s="185"/>
      <c r="AJ428" s="77"/>
      <c r="AK428" s="77"/>
      <c r="AL428" s="77"/>
      <c r="AM428" s="77"/>
      <c r="AN428" s="77"/>
      <c r="AO428" s="137" t="str">
        <f aca="false">IF(A429="","",A429-A428)</f>
        <v/>
      </c>
      <c r="AP428" s="212" t="str">
        <f aca="false">IF(A429="","",CHOOSE(F$3,A429+24,A428))</f>
        <v/>
      </c>
      <c r="AQ428" s="209" t="str">
        <f aca="false">IF(A429="","",AP428-$E$1)</f>
        <v/>
      </c>
      <c r="AR428" s="185" t="n">
        <f aca="false">'ANR OK vs ML7'!AR428</f>
        <v>0.1</v>
      </c>
      <c r="AS428" s="213" t="str">
        <f aca="false">IF(A429="","",1/(1+CHOOSE(F$3,(AR429+($I$3/10000))/2,(AR428+($I$3/10000))/2))^(2*AQ428/365.25))</f>
        <v/>
      </c>
      <c r="AT428" s="137" t="str">
        <f aca="false">IF(A429="","",IF(AND(mthbeg&lt;=A428,mthend&gt;=A428),1,0))</f>
        <v/>
      </c>
      <c r="AU428" s="137" t="str">
        <f aca="false">IF(A429="","",AO428*AT428)</f>
        <v/>
      </c>
      <c r="AW428" s="195" t="str">
        <f aca="false">IF($A429="","",AL428*$E428)</f>
        <v/>
      </c>
      <c r="AX428" s="195" t="str">
        <f aca="false">IF($A429="","",AM428*$E428)</f>
        <v/>
      </c>
      <c r="AY428" s="195" t="str">
        <f aca="false">IF($A429="","",AN428*$E428)</f>
        <v/>
      </c>
      <c r="BA428" s="195" t="str">
        <f aca="false">IF($A429="","",F428*Summary!$Q$12)</f>
        <v/>
      </c>
    </row>
    <row r="429" customFormat="false" ht="12.75" hidden="false" customHeight="false" outlineLevel="0" collapsed="false">
      <c r="A429" s="196" t="str">
        <f aca="false">IF(A428&lt;mthend,EDATE(A428,1),"")</f>
        <v/>
      </c>
      <c r="B429" s="197" t="str">
        <f aca="false">IF(A429&lt;mthend,B428,"")</f>
        <v/>
      </c>
      <c r="D429" s="197" t="str">
        <f aca="false">IF(A430&lt;&gt;"",B429+C429,"")</f>
        <v/>
      </c>
      <c r="E429" s="199" t="str">
        <f aca="false">IF(A430="","",IF(AND(AT429=1,$H$3=1),D429*AO429,IF($H$3=2,D429,"N/A")))</f>
        <v/>
      </c>
      <c r="F429" s="199" t="str">
        <f aca="false">IF(A430="","",E429*AS429)</f>
        <v/>
      </c>
      <c r="G429" s="200" t="str">
        <f aca="false">IF($A430="","",VLOOKUP($A429,Table,MATCH(G$4,Curves,0)))</f>
        <v/>
      </c>
      <c r="H429" s="201" t="str">
        <f aca="false">IF(A430="","",G429)</f>
        <v/>
      </c>
      <c r="J429" s="200" t="str">
        <f aca="false">IF($A430="","",VLOOKUP($A429,Table,MATCH(J$4,Curves,0)))</f>
        <v/>
      </c>
      <c r="K429" s="201" t="str">
        <f aca="false">IF(A430="","",J429)</f>
        <v/>
      </c>
      <c r="L429" s="200" t="str">
        <f aca="false">IF($A430="","",VLOOKUP($A429,Table,MATCH(L$4,Curves,0)))</f>
        <v/>
      </c>
      <c r="M429" s="201" t="str">
        <f aca="false">IF(A430="","",L429)</f>
        <v/>
      </c>
      <c r="O429" s="200" t="str">
        <f aca="false">IF(A430="","",L429+J429+G429)</f>
        <v/>
      </c>
      <c r="P429" s="200" t="str">
        <f aca="false">IF(A430="","",M429+K429+H429)</f>
        <v/>
      </c>
      <c r="R429" s="200" t="str">
        <f aca="false">IF($A430="","",VLOOKUP($A429,Table,MATCH(R$4,Curves,0)))</f>
        <v/>
      </c>
      <c r="S429" s="201" t="str">
        <f aca="false">IF(A430="","",R429)</f>
        <v/>
      </c>
      <c r="T429" s="200" t="str">
        <f aca="false">IF($A430="","",VLOOKUP($A429,Table,MATCH(T$4,Curves,0)))</f>
        <v/>
      </c>
      <c r="U429" s="201" t="str">
        <f aca="false">IF(A430="","",T429)</f>
        <v/>
      </c>
      <c r="V429" s="225" t="str">
        <f aca="false">IF($A430="","",IF(AND(MONTH(A429)&gt;3,MONTH(A429)&lt;11),(T429+R429+G429)*(((1/(1-Summary!$T$12))/(1-Summary!$W$12))-1),(T429+R429+G429)*((1/(1-Summary!$U$12))/(1-Summary!$X$12)-1)))</f>
        <v/>
      </c>
      <c r="W429" s="200" t="str">
        <f aca="false">IF($A430="","",(T429+R429+G429+V429))</f>
        <v/>
      </c>
      <c r="X429" s="200" t="str">
        <f aca="false">IF($A430="","",(U429+S429+H429+V429))</f>
        <v/>
      </c>
      <c r="Y429" s="202"/>
      <c r="Z429" s="185"/>
      <c r="AJ429" s="77"/>
      <c r="AK429" s="77"/>
      <c r="AL429" s="77"/>
      <c r="AM429" s="77"/>
      <c r="AN429" s="77"/>
      <c r="AO429" s="137" t="str">
        <f aca="false">IF(A430="","",A430-A429)</f>
        <v/>
      </c>
      <c r="AP429" s="212" t="str">
        <f aca="false">IF(A430="","",CHOOSE(F$3,A430+24,A429))</f>
        <v/>
      </c>
      <c r="AQ429" s="209" t="str">
        <f aca="false">IF(A430="","",AP429-$E$1)</f>
        <v/>
      </c>
      <c r="AR429" s="185" t="n">
        <f aca="false">'ANR OK vs ML7'!AR429</f>
        <v>0.1</v>
      </c>
      <c r="AS429" s="213" t="str">
        <f aca="false">IF(A430="","",1/(1+CHOOSE(F$3,(AR430+($I$3/10000))/2,(AR429+($I$3/10000))/2))^(2*AQ429/365.25))</f>
        <v/>
      </c>
      <c r="AT429" s="137" t="str">
        <f aca="false">IF(A430="","",IF(AND(mthbeg&lt;=A429,mthend&gt;=A429),1,0))</f>
        <v/>
      </c>
      <c r="AU429" s="137" t="str">
        <f aca="false">IF(A430="","",AO429*AT429)</f>
        <v/>
      </c>
      <c r="AW429" s="195" t="str">
        <f aca="false">IF($A430="","",AL429*$E429)</f>
        <v/>
      </c>
      <c r="AX429" s="195" t="str">
        <f aca="false">IF($A430="","",AM429*$E429)</f>
        <v/>
      </c>
      <c r="AY429" s="195" t="str">
        <f aca="false">IF($A430="","",AN429*$E429)</f>
        <v/>
      </c>
      <c r="BA429" s="195" t="str">
        <f aca="false">IF($A430="","",F429*Summary!$Q$12)</f>
        <v/>
      </c>
    </row>
    <row r="430" customFormat="false" ht="12.75" hidden="false" customHeight="false" outlineLevel="0" collapsed="false">
      <c r="A430" s="196" t="str">
        <f aca="false">IF(A429&lt;mthend,EDATE(A429,1),"")</f>
        <v/>
      </c>
      <c r="B430" s="197" t="str">
        <f aca="false">IF(A430&lt;mthend,B429,"")</f>
        <v/>
      </c>
      <c r="D430" s="197" t="str">
        <f aca="false">IF(A431&lt;&gt;"",B430+C430,"")</f>
        <v/>
      </c>
      <c r="E430" s="199" t="str">
        <f aca="false">IF(A431="","",IF(AND(AT430=1,$H$3=1),D430*AO430,IF($H$3=2,D430,"N/A")))</f>
        <v/>
      </c>
      <c r="F430" s="199" t="str">
        <f aca="false">IF(A431="","",E430*AS430)</f>
        <v/>
      </c>
      <c r="G430" s="200" t="str">
        <f aca="false">IF($A431="","",VLOOKUP($A430,Table,MATCH(G$4,Curves,0)))</f>
        <v/>
      </c>
      <c r="H430" s="201" t="str">
        <f aca="false">IF(A431="","",G430)</f>
        <v/>
      </c>
      <c r="J430" s="200" t="str">
        <f aca="false">IF($A431="","",VLOOKUP($A430,Table,MATCH(J$4,Curves,0)))</f>
        <v/>
      </c>
      <c r="K430" s="201" t="str">
        <f aca="false">IF(A431="","",J430)</f>
        <v/>
      </c>
      <c r="L430" s="200" t="str">
        <f aca="false">IF($A431="","",VLOOKUP($A430,Table,MATCH(L$4,Curves,0)))</f>
        <v/>
      </c>
      <c r="M430" s="201" t="str">
        <f aca="false">IF(A431="","",L430)</f>
        <v/>
      </c>
      <c r="O430" s="200" t="str">
        <f aca="false">IF(A431="","",L430+J430+G430)</f>
        <v/>
      </c>
      <c r="P430" s="200" t="str">
        <f aca="false">IF(A431="","",M430+K430+H430)</f>
        <v/>
      </c>
      <c r="R430" s="200" t="str">
        <f aca="false">IF($A431="","",VLOOKUP($A430,Table,MATCH(R$4,Curves,0)))</f>
        <v/>
      </c>
      <c r="S430" s="201" t="str">
        <f aca="false">IF(A431="","",R430)</f>
        <v/>
      </c>
      <c r="T430" s="200" t="str">
        <f aca="false">IF($A431="","",VLOOKUP($A430,Table,MATCH(T$4,Curves,0)))</f>
        <v/>
      </c>
      <c r="U430" s="201" t="str">
        <f aca="false">IF(A431="","",T430)</f>
        <v/>
      </c>
      <c r="V430" s="225" t="str">
        <f aca="false">IF($A431="","",IF(AND(MONTH(A430)&gt;3,MONTH(A430)&lt;11),(T430+R430+G430)*(((1/(1-Summary!$T$12))/(1-Summary!$W$12))-1),(T430+R430+G430)*((1/(1-Summary!$U$12))/(1-Summary!$X$12)-1)))</f>
        <v/>
      </c>
      <c r="W430" s="200" t="str">
        <f aca="false">IF($A431="","",(T430+R430+G430+V430))</f>
        <v/>
      </c>
      <c r="X430" s="200" t="str">
        <f aca="false">IF($A431="","",(U430+S430+H430+V430))</f>
        <v/>
      </c>
      <c r="Y430" s="202"/>
      <c r="Z430" s="185"/>
      <c r="AJ430" s="77"/>
      <c r="AK430" s="77"/>
      <c r="AL430" s="77"/>
      <c r="AM430" s="77"/>
      <c r="AN430" s="77"/>
      <c r="AO430" s="137" t="str">
        <f aca="false">IF(A431="","",A431-A430)</f>
        <v/>
      </c>
      <c r="AP430" s="212" t="str">
        <f aca="false">IF(A431="","",CHOOSE(F$3,A431+24,A430))</f>
        <v/>
      </c>
      <c r="AQ430" s="209" t="str">
        <f aca="false">IF(A431="","",AP430-$E$1)</f>
        <v/>
      </c>
      <c r="AR430" s="185" t="n">
        <f aca="false">'ANR OK vs ML7'!AR430</f>
        <v>0.1</v>
      </c>
      <c r="AS430" s="213" t="str">
        <f aca="false">IF(A431="","",1/(1+CHOOSE(F$3,(AR431+($I$3/10000))/2,(AR430+($I$3/10000))/2))^(2*AQ430/365.25))</f>
        <v/>
      </c>
      <c r="AT430" s="137" t="str">
        <f aca="false">IF(A431="","",IF(AND(mthbeg&lt;=A430,mthend&gt;=A430),1,0))</f>
        <v/>
      </c>
      <c r="AU430" s="137" t="str">
        <f aca="false">IF(A431="","",AO430*AT430)</f>
        <v/>
      </c>
      <c r="AW430" s="195" t="str">
        <f aca="false">IF($A431="","",AL430*$E430)</f>
        <v/>
      </c>
      <c r="AX430" s="195" t="str">
        <f aca="false">IF($A431="","",AM430*$E430)</f>
        <v/>
      </c>
      <c r="AY430" s="195" t="str">
        <f aca="false">IF($A431="","",AN430*$E430)</f>
        <v/>
      </c>
      <c r="BA430" s="195" t="str">
        <f aca="false">IF($A431="","",F430*Summary!$Q$12)</f>
        <v/>
      </c>
    </row>
    <row r="431" customFormat="false" ht="12.75" hidden="false" customHeight="false" outlineLevel="0" collapsed="false">
      <c r="A431" s="196" t="str">
        <f aca="false">IF(A430&lt;mthend,EDATE(A430,1),"")</f>
        <v/>
      </c>
      <c r="B431" s="197" t="str">
        <f aca="false">IF(A431&lt;mthend,B430,"")</f>
        <v/>
      </c>
      <c r="D431" s="197" t="str">
        <f aca="false">IF(A432&lt;&gt;"",B431+C431,"")</f>
        <v/>
      </c>
      <c r="E431" s="199" t="str">
        <f aca="false">IF(A432="","",IF(AND(AT431=1,$H$3=1),D431*AO431,IF($H$3=2,D431,"N/A")))</f>
        <v/>
      </c>
      <c r="F431" s="199" t="str">
        <f aca="false">IF(A432="","",E431*AS431)</f>
        <v/>
      </c>
      <c r="G431" s="200" t="str">
        <f aca="false">IF($A432="","",VLOOKUP($A431,Table,MATCH(G$4,Curves,0)))</f>
        <v/>
      </c>
      <c r="H431" s="201" t="str">
        <f aca="false">IF(A432="","",G431)</f>
        <v/>
      </c>
      <c r="J431" s="200" t="str">
        <f aca="false">IF($A432="","",VLOOKUP($A431,Table,MATCH(J$4,Curves,0)))</f>
        <v/>
      </c>
      <c r="K431" s="201" t="str">
        <f aca="false">IF(A432="","",J431)</f>
        <v/>
      </c>
      <c r="L431" s="200" t="str">
        <f aca="false">IF($A432="","",VLOOKUP($A431,Table,MATCH(L$4,Curves,0)))</f>
        <v/>
      </c>
      <c r="M431" s="201" t="str">
        <f aca="false">IF(A432="","",L431)</f>
        <v/>
      </c>
      <c r="O431" s="200" t="str">
        <f aca="false">IF(A432="","",L431+J431+G431)</f>
        <v/>
      </c>
      <c r="P431" s="200" t="str">
        <f aca="false">IF(A432="","",M431+K431+H431)</f>
        <v/>
      </c>
      <c r="R431" s="200" t="str">
        <f aca="false">IF($A432="","",VLOOKUP($A431,Table,MATCH(R$4,Curves,0)))</f>
        <v/>
      </c>
      <c r="S431" s="201" t="str">
        <f aca="false">IF(A432="","",R431)</f>
        <v/>
      </c>
      <c r="T431" s="200" t="str">
        <f aca="false">IF($A432="","",VLOOKUP($A431,Table,MATCH(T$4,Curves,0)))</f>
        <v/>
      </c>
      <c r="U431" s="201" t="str">
        <f aca="false">IF(A432="","",T431)</f>
        <v/>
      </c>
      <c r="V431" s="225" t="str">
        <f aca="false">IF($A432="","",IF(AND(MONTH(A431)&gt;3,MONTH(A431)&lt;11),(T431+R431+G431)*(((1/(1-Summary!$T$12))/(1-Summary!$W$12))-1),(T431+R431+G431)*((1/(1-Summary!$U$12))/(1-Summary!$X$12)-1)))</f>
        <v/>
      </c>
      <c r="W431" s="200" t="str">
        <f aca="false">IF($A432="","",(T431+R431+G431+V431))</f>
        <v/>
      </c>
      <c r="X431" s="200" t="str">
        <f aca="false">IF($A432="","",(U431+S431+H431+V431))</f>
        <v/>
      </c>
      <c r="Y431" s="202"/>
      <c r="Z431" s="185"/>
      <c r="AJ431" s="77"/>
      <c r="AK431" s="77"/>
      <c r="AL431" s="77"/>
      <c r="AM431" s="77"/>
      <c r="AN431" s="77"/>
      <c r="AO431" s="137" t="str">
        <f aca="false">IF(A432="","",A432-A431)</f>
        <v/>
      </c>
      <c r="AP431" s="212" t="str">
        <f aca="false">IF(A432="","",CHOOSE(F$3,A432+24,A431))</f>
        <v/>
      </c>
      <c r="AQ431" s="209" t="str">
        <f aca="false">IF(A432="","",AP431-$E$1)</f>
        <v/>
      </c>
      <c r="AR431" s="185" t="n">
        <f aca="false">'ANR OK vs ML7'!AR431</f>
        <v>0.1</v>
      </c>
      <c r="AS431" s="213" t="str">
        <f aca="false">IF(A432="","",1/(1+CHOOSE(F$3,(AR432+($I$3/10000))/2,(AR431+($I$3/10000))/2))^(2*AQ431/365.25))</f>
        <v/>
      </c>
      <c r="AT431" s="137" t="str">
        <f aca="false">IF(A432="","",IF(AND(mthbeg&lt;=A431,mthend&gt;=A431),1,0))</f>
        <v/>
      </c>
      <c r="AU431" s="137" t="str">
        <f aca="false">IF(A432="","",AO431*AT431)</f>
        <v/>
      </c>
      <c r="AW431" s="195" t="str">
        <f aca="false">IF($A432="","",AL431*$E431)</f>
        <v/>
      </c>
      <c r="AX431" s="195" t="str">
        <f aca="false">IF($A432="","",AM431*$E431)</f>
        <v/>
      </c>
      <c r="AY431" s="195" t="str">
        <f aca="false">IF($A432="","",AN431*$E431)</f>
        <v/>
      </c>
      <c r="BA431" s="195" t="str">
        <f aca="false">IF($A432="","",F431*Summary!$Q$12)</f>
        <v/>
      </c>
    </row>
    <row r="432" customFormat="false" ht="12.75" hidden="false" customHeight="false" outlineLevel="0" collapsed="false">
      <c r="A432" s="196" t="str">
        <f aca="false">IF(A431&lt;mthend,EDATE(A431,1),"")</f>
        <v/>
      </c>
      <c r="B432" s="197" t="str">
        <f aca="false">IF(A432&lt;mthend,B431,"")</f>
        <v/>
      </c>
      <c r="D432" s="197" t="str">
        <f aca="false">IF(A433&lt;&gt;"",B432+C432,"")</f>
        <v/>
      </c>
      <c r="E432" s="199" t="str">
        <f aca="false">IF(A433="","",IF(AND(AT432=1,$H$3=1),D432*AO432,IF($H$3=2,D432,"N/A")))</f>
        <v/>
      </c>
      <c r="F432" s="199" t="str">
        <f aca="false">IF(A433="","",E432*AS432)</f>
        <v/>
      </c>
      <c r="G432" s="200" t="str">
        <f aca="false">IF($A433="","",VLOOKUP($A432,Table,MATCH(G$4,Curves,0)))</f>
        <v/>
      </c>
      <c r="H432" s="201" t="str">
        <f aca="false">IF(A433="","",G432)</f>
        <v/>
      </c>
      <c r="J432" s="200" t="str">
        <f aca="false">IF($A433="","",VLOOKUP($A432,Table,MATCH(J$4,Curves,0)))</f>
        <v/>
      </c>
      <c r="K432" s="201" t="str">
        <f aca="false">IF(A433="","",J432)</f>
        <v/>
      </c>
      <c r="L432" s="200" t="str">
        <f aca="false">IF($A433="","",VLOOKUP($A432,Table,MATCH(L$4,Curves,0)))</f>
        <v/>
      </c>
      <c r="M432" s="201" t="str">
        <f aca="false">IF(A433="","",L432)</f>
        <v/>
      </c>
      <c r="O432" s="200" t="str">
        <f aca="false">IF(A433="","",L432+J432+G432)</f>
        <v/>
      </c>
      <c r="P432" s="200" t="str">
        <f aca="false">IF(A433="","",M432+K432+H432)</f>
        <v/>
      </c>
      <c r="R432" s="200" t="str">
        <f aca="false">IF($A433="","",VLOOKUP($A432,Table,MATCH(R$4,Curves,0)))</f>
        <v/>
      </c>
      <c r="S432" s="201" t="str">
        <f aca="false">IF(A433="","",R432)</f>
        <v/>
      </c>
      <c r="T432" s="200" t="str">
        <f aca="false">IF($A433="","",VLOOKUP($A432,Table,MATCH(T$4,Curves,0)))</f>
        <v/>
      </c>
      <c r="U432" s="201" t="str">
        <f aca="false">IF(A433="","",T432)</f>
        <v/>
      </c>
      <c r="V432" s="225" t="str">
        <f aca="false">IF($A433="","",IF(AND(MONTH(A432)&gt;3,MONTH(A432)&lt;11),(T432+R432+G432)*(((1/(1-Summary!$T$12))/(1-Summary!$W$12))-1),(T432+R432+G432)*((1/(1-Summary!$U$12))/(1-Summary!$X$12)-1)))</f>
        <v/>
      </c>
      <c r="W432" s="200" t="str">
        <f aca="false">IF($A433="","",(T432+R432+G432+V432))</f>
        <v/>
      </c>
      <c r="X432" s="200" t="str">
        <f aca="false">IF($A433="","",(U432+S432+H432+V432))</f>
        <v/>
      </c>
      <c r="Y432" s="202"/>
      <c r="Z432" s="185"/>
      <c r="AJ432" s="77"/>
      <c r="AK432" s="77"/>
      <c r="AL432" s="77"/>
      <c r="AM432" s="77"/>
      <c r="AN432" s="77"/>
      <c r="AO432" s="137" t="str">
        <f aca="false">IF(A433="","",A433-A432)</f>
        <v/>
      </c>
      <c r="AP432" s="212" t="str">
        <f aca="false">IF(A433="","",CHOOSE(F$3,A433+24,A432))</f>
        <v/>
      </c>
      <c r="AQ432" s="209" t="str">
        <f aca="false">IF(A433="","",AP432-$E$1)</f>
        <v/>
      </c>
      <c r="AR432" s="185" t="n">
        <f aca="false">'ANR OK vs ML7'!AR432</f>
        <v>0.1</v>
      </c>
      <c r="AS432" s="213" t="str">
        <f aca="false">IF(A433="","",1/(1+CHOOSE(F$3,(AR433+($I$3/10000))/2,(AR432+($I$3/10000))/2))^(2*AQ432/365.25))</f>
        <v/>
      </c>
      <c r="AT432" s="137" t="str">
        <f aca="false">IF(A433="","",IF(AND(mthbeg&lt;=A432,mthend&gt;=A432),1,0))</f>
        <v/>
      </c>
      <c r="AU432" s="137" t="str">
        <f aca="false">IF(A433="","",AO432*AT432)</f>
        <v/>
      </c>
      <c r="AW432" s="195" t="str">
        <f aca="false">IF($A433="","",AL432*$E432)</f>
        <v/>
      </c>
      <c r="AX432" s="195" t="str">
        <f aca="false">IF($A433="","",AM432*$E432)</f>
        <v/>
      </c>
      <c r="AY432" s="195" t="str">
        <f aca="false">IF($A433="","",AN432*$E432)</f>
        <v/>
      </c>
      <c r="BA432" s="195" t="str">
        <f aca="false">IF($A433="","",F432*Summary!$Q$12)</f>
        <v/>
      </c>
    </row>
    <row r="433" customFormat="false" ht="12.75" hidden="false" customHeight="false" outlineLevel="0" collapsed="false">
      <c r="A433" s="196" t="str">
        <f aca="false">IF(A432&lt;mthend,EDATE(A432,1),"")</f>
        <v/>
      </c>
      <c r="B433" s="197" t="str">
        <f aca="false">IF(A433&lt;mthend,B432,"")</f>
        <v/>
      </c>
      <c r="D433" s="197" t="str">
        <f aca="false">IF(A434&lt;&gt;"",B433+C433,"")</f>
        <v/>
      </c>
      <c r="E433" s="199" t="str">
        <f aca="false">IF(A434="","",IF(AND(AT433=1,$H$3=1),D433*AO433,IF($H$3=2,D433,"N/A")))</f>
        <v/>
      </c>
      <c r="F433" s="199" t="str">
        <f aca="false">IF(A434="","",E433*AS433)</f>
        <v/>
      </c>
      <c r="G433" s="200" t="str">
        <f aca="false">IF($A434="","",VLOOKUP($A433,Table,MATCH(G$4,Curves,0)))</f>
        <v/>
      </c>
      <c r="H433" s="201" t="str">
        <f aca="false">IF(A434="","",G433)</f>
        <v/>
      </c>
      <c r="J433" s="200" t="str">
        <f aca="false">IF($A434="","",VLOOKUP($A433,Table,MATCH(J$4,Curves,0)))</f>
        <v/>
      </c>
      <c r="K433" s="201" t="str">
        <f aca="false">IF(A434="","",J433)</f>
        <v/>
      </c>
      <c r="L433" s="200" t="str">
        <f aca="false">IF($A434="","",VLOOKUP($A433,Table,MATCH(L$4,Curves,0)))</f>
        <v/>
      </c>
      <c r="M433" s="201" t="str">
        <f aca="false">IF(A434="","",L433)</f>
        <v/>
      </c>
      <c r="O433" s="200" t="str">
        <f aca="false">IF(A434="","",L433+J433+G433)</f>
        <v/>
      </c>
      <c r="P433" s="200" t="str">
        <f aca="false">IF(A434="","",M433+K433+H433)</f>
        <v/>
      </c>
      <c r="R433" s="200" t="str">
        <f aca="false">IF($A434="","",VLOOKUP($A433,Table,MATCH(R$4,Curves,0)))</f>
        <v/>
      </c>
      <c r="S433" s="201" t="str">
        <f aca="false">IF(A434="","",R433)</f>
        <v/>
      </c>
      <c r="T433" s="200" t="str">
        <f aca="false">IF($A434="","",VLOOKUP($A433,Table,MATCH(T$4,Curves,0)))</f>
        <v/>
      </c>
      <c r="U433" s="201" t="str">
        <f aca="false">IF(A434="","",T433)</f>
        <v/>
      </c>
      <c r="V433" s="225" t="str">
        <f aca="false">IF($A434="","",IF(AND(MONTH(A433)&gt;3,MONTH(A433)&lt;11),(T433+R433+G433)*(((1/(1-Summary!$T$12))/(1-Summary!$W$12))-1),(T433+R433+G433)*((1/(1-Summary!$U$12))/(1-Summary!$X$12)-1)))</f>
        <v/>
      </c>
      <c r="W433" s="200" t="str">
        <f aca="false">IF($A434="","",(T433+R433+G433+V433))</f>
        <v/>
      </c>
      <c r="X433" s="200" t="str">
        <f aca="false">IF($A434="","",(U433+S433+H433+V433))</f>
        <v/>
      </c>
      <c r="Y433" s="202"/>
      <c r="Z433" s="185"/>
      <c r="AJ433" s="77"/>
      <c r="AK433" s="77"/>
      <c r="AL433" s="77"/>
      <c r="AM433" s="77"/>
      <c r="AN433" s="77"/>
      <c r="AO433" s="137" t="str">
        <f aca="false">IF(A434="","",A434-A433)</f>
        <v/>
      </c>
      <c r="AP433" s="212" t="str">
        <f aca="false">IF(A434="","",CHOOSE(F$3,A434+24,A433))</f>
        <v/>
      </c>
      <c r="AQ433" s="209" t="str">
        <f aca="false">IF(A434="","",AP433-$E$1)</f>
        <v/>
      </c>
      <c r="AR433" s="185" t="n">
        <f aca="false">'ANR OK vs ML7'!AR433</f>
        <v>0.1</v>
      </c>
      <c r="AS433" s="213" t="str">
        <f aca="false">IF(A434="","",1/(1+CHOOSE(F$3,(AR434+($I$3/10000))/2,(AR433+($I$3/10000))/2))^(2*AQ433/365.25))</f>
        <v/>
      </c>
      <c r="AT433" s="137" t="str">
        <f aca="false">IF(A434="","",IF(AND(mthbeg&lt;=A433,mthend&gt;=A433),1,0))</f>
        <v/>
      </c>
      <c r="AU433" s="137" t="str">
        <f aca="false">IF(A434="","",AO433*AT433)</f>
        <v/>
      </c>
      <c r="AW433" s="195" t="str">
        <f aca="false">IF($A434="","",AL433*$E433)</f>
        <v/>
      </c>
      <c r="AX433" s="195" t="str">
        <f aca="false">IF($A434="","",AM433*$E433)</f>
        <v/>
      </c>
      <c r="AY433" s="195" t="str">
        <f aca="false">IF($A434="","",AN433*$E433)</f>
        <v/>
      </c>
      <c r="BA433" s="195" t="str">
        <f aca="false">IF($A434="","",F433*Summary!$Q$12)</f>
        <v/>
      </c>
    </row>
    <row r="434" customFormat="false" ht="12.75" hidden="false" customHeight="false" outlineLevel="0" collapsed="false">
      <c r="A434" s="196" t="str">
        <f aca="false">IF(A433&lt;mthend,EDATE(A433,1),"")</f>
        <v/>
      </c>
      <c r="B434" s="197" t="str">
        <f aca="false">IF(A434&lt;mthend,B433,"")</f>
        <v/>
      </c>
      <c r="D434" s="197" t="str">
        <f aca="false">IF(A435&lt;&gt;"",B434+C434,"")</f>
        <v/>
      </c>
      <c r="E434" s="199" t="str">
        <f aca="false">IF(A435="","",IF(AND(AT434=1,$H$3=1),D434*AO434,IF($H$3=2,D434,"N/A")))</f>
        <v/>
      </c>
      <c r="F434" s="199" t="str">
        <f aca="false">IF(A435="","",E434*AS434)</f>
        <v/>
      </c>
      <c r="G434" s="200" t="str">
        <f aca="false">IF($A435="","",VLOOKUP($A434,Table,MATCH(G$4,Curves,0)))</f>
        <v/>
      </c>
      <c r="H434" s="201" t="str">
        <f aca="false">IF(A435="","",G434)</f>
        <v/>
      </c>
      <c r="J434" s="200" t="str">
        <f aca="false">IF($A435="","",VLOOKUP($A434,Table,MATCH(J$4,Curves,0)))</f>
        <v/>
      </c>
      <c r="K434" s="201" t="str">
        <f aca="false">IF(A435="","",J434)</f>
        <v/>
      </c>
      <c r="L434" s="200" t="str">
        <f aca="false">IF($A435="","",VLOOKUP($A434,Table,MATCH(L$4,Curves,0)))</f>
        <v/>
      </c>
      <c r="M434" s="201" t="str">
        <f aca="false">IF(A435="","",L434)</f>
        <v/>
      </c>
      <c r="O434" s="200" t="str">
        <f aca="false">IF(A435="","",L434+J434+G434)</f>
        <v/>
      </c>
      <c r="P434" s="200" t="str">
        <f aca="false">IF(A435="","",M434+K434+H434)</f>
        <v/>
      </c>
      <c r="R434" s="200" t="str">
        <f aca="false">IF($A435="","",VLOOKUP($A434,Table,MATCH(R$4,Curves,0)))</f>
        <v/>
      </c>
      <c r="S434" s="201" t="str">
        <f aca="false">IF(A435="","",R434)</f>
        <v/>
      </c>
      <c r="T434" s="200" t="str">
        <f aca="false">IF($A435="","",VLOOKUP($A434,Table,MATCH(T$4,Curves,0)))</f>
        <v/>
      </c>
      <c r="U434" s="201" t="str">
        <f aca="false">IF(A435="","",T434)</f>
        <v/>
      </c>
      <c r="V434" s="225" t="str">
        <f aca="false">IF($A435="","",IF(AND(MONTH(A434)&gt;3,MONTH(A434)&lt;11),(T434+R434+G434)*(((1/(1-Summary!$T$12))/(1-Summary!$W$12))-1),(T434+R434+G434)*((1/(1-Summary!$U$12))/(1-Summary!$X$12)-1)))</f>
        <v/>
      </c>
      <c r="W434" s="200" t="str">
        <f aca="false">IF($A435="","",(T434+R434+G434+V434))</f>
        <v/>
      </c>
      <c r="X434" s="200" t="str">
        <f aca="false">IF($A435="","",(U434+S434+H434+V434))</f>
        <v/>
      </c>
      <c r="Y434" s="202"/>
      <c r="Z434" s="185"/>
      <c r="AJ434" s="77"/>
      <c r="AK434" s="77"/>
      <c r="AL434" s="77"/>
      <c r="AM434" s="77"/>
      <c r="AN434" s="77"/>
      <c r="AO434" s="137" t="str">
        <f aca="false">IF(A435="","",A435-A434)</f>
        <v/>
      </c>
      <c r="AP434" s="212" t="str">
        <f aca="false">IF(A435="","",CHOOSE(F$3,A435+24,A434))</f>
        <v/>
      </c>
      <c r="AQ434" s="209" t="str">
        <f aca="false">IF(A435="","",AP434-$E$1)</f>
        <v/>
      </c>
      <c r="AR434" s="185" t="n">
        <f aca="false">'ANR OK vs ML7'!AR434</f>
        <v>0.1</v>
      </c>
      <c r="AS434" s="213" t="str">
        <f aca="false">IF(A435="","",1/(1+CHOOSE(F$3,(AR435+($I$3/10000))/2,(AR434+($I$3/10000))/2))^(2*AQ434/365.25))</f>
        <v/>
      </c>
      <c r="AT434" s="137" t="str">
        <f aca="false">IF(A435="","",IF(AND(mthbeg&lt;=A434,mthend&gt;=A434),1,0))</f>
        <v/>
      </c>
      <c r="AU434" s="137" t="str">
        <f aca="false">IF(A435="","",AO434*AT434)</f>
        <v/>
      </c>
      <c r="AW434" s="195" t="str">
        <f aca="false">IF($A435="","",AL434*$E434)</f>
        <v/>
      </c>
      <c r="AX434" s="195" t="str">
        <f aca="false">IF($A435="","",AM434*$E434)</f>
        <v/>
      </c>
      <c r="AY434" s="195" t="str">
        <f aca="false">IF($A435="","",AN434*$E434)</f>
        <v/>
      </c>
      <c r="BA434" s="195" t="str">
        <f aca="false">IF($A435="","",F434*Summary!$Q$12)</f>
        <v/>
      </c>
    </row>
    <row r="435" customFormat="false" ht="12.75" hidden="false" customHeight="false" outlineLevel="0" collapsed="false">
      <c r="A435" s="196" t="str">
        <f aca="false">IF(A434&lt;mthend,EDATE(A434,1),"")</f>
        <v/>
      </c>
      <c r="B435" s="197" t="str">
        <f aca="false">IF(A435&lt;mthend,B434,"")</f>
        <v/>
      </c>
      <c r="D435" s="197" t="str">
        <f aca="false">IF(A436&lt;&gt;"",B435+C435,"")</f>
        <v/>
      </c>
      <c r="E435" s="199" t="str">
        <f aca="false">IF(A436="","",IF(AND(AT435=1,$H$3=1),D435*AO435,IF($H$3=2,D435,"N/A")))</f>
        <v/>
      </c>
      <c r="F435" s="199" t="str">
        <f aca="false">IF(A436="","",E435*AS435)</f>
        <v/>
      </c>
      <c r="G435" s="200" t="str">
        <f aca="false">IF($A436="","",VLOOKUP($A435,Table,MATCH(G$4,Curves,0)))</f>
        <v/>
      </c>
      <c r="H435" s="201" t="str">
        <f aca="false">IF(A436="","",G435)</f>
        <v/>
      </c>
      <c r="J435" s="200" t="str">
        <f aca="false">IF($A436="","",VLOOKUP($A435,Table,MATCH(J$4,Curves,0)))</f>
        <v/>
      </c>
      <c r="K435" s="201" t="str">
        <f aca="false">IF(A436="","",J435)</f>
        <v/>
      </c>
      <c r="L435" s="200" t="str">
        <f aca="false">IF($A436="","",VLOOKUP($A435,Table,MATCH(L$4,Curves,0)))</f>
        <v/>
      </c>
      <c r="M435" s="201" t="str">
        <f aca="false">IF(A436="","",L435)</f>
        <v/>
      </c>
      <c r="O435" s="200" t="str">
        <f aca="false">IF(A436="","",L435+J435+G435)</f>
        <v/>
      </c>
      <c r="P435" s="200" t="str">
        <f aca="false">IF(A436="","",M435+K435+H435)</f>
        <v/>
      </c>
      <c r="R435" s="200" t="str">
        <f aca="false">IF($A436="","",VLOOKUP($A435,Table,MATCH(R$4,Curves,0)))</f>
        <v/>
      </c>
      <c r="S435" s="201" t="str">
        <f aca="false">IF(A436="","",R435)</f>
        <v/>
      </c>
      <c r="T435" s="200" t="str">
        <f aca="false">IF($A436="","",VLOOKUP($A435,Table,MATCH(T$4,Curves,0)))</f>
        <v/>
      </c>
      <c r="U435" s="201" t="str">
        <f aca="false">IF(A436="","",T435)</f>
        <v/>
      </c>
      <c r="V435" s="225" t="str">
        <f aca="false">IF($A436="","",IF(AND(MONTH(A435)&gt;3,MONTH(A435)&lt;11),(T435+R435+G435)*(((1/(1-Summary!$T$12))/(1-Summary!$W$12))-1),(T435+R435+G435)*((1/(1-Summary!$U$12))/(1-Summary!$X$12)-1)))</f>
        <v/>
      </c>
      <c r="W435" s="200" t="str">
        <f aca="false">IF($A436="","",(T435+R435+G435+V435))</f>
        <v/>
      </c>
      <c r="X435" s="200" t="str">
        <f aca="false">IF($A436="","",(U435+S435+H435+V435))</f>
        <v/>
      </c>
      <c r="Y435" s="202"/>
      <c r="Z435" s="185"/>
      <c r="AJ435" s="77"/>
      <c r="AK435" s="77"/>
      <c r="AL435" s="77"/>
      <c r="AM435" s="77"/>
      <c r="AN435" s="77"/>
      <c r="AO435" s="137" t="str">
        <f aca="false">IF(A436="","",A436-A435)</f>
        <v/>
      </c>
      <c r="AP435" s="212" t="str">
        <f aca="false">IF(A436="","",CHOOSE(F$3,A436+24,A435))</f>
        <v/>
      </c>
      <c r="AQ435" s="209" t="str">
        <f aca="false">IF(A436="","",AP435-$E$1)</f>
        <v/>
      </c>
      <c r="AR435" s="185" t="n">
        <f aca="false">'ANR OK vs ML7'!AR435</f>
        <v>0.1</v>
      </c>
      <c r="AS435" s="213" t="str">
        <f aca="false">IF(A436="","",1/(1+CHOOSE(F$3,(AR436+($I$3/10000))/2,(AR435+($I$3/10000))/2))^(2*AQ435/365.25))</f>
        <v/>
      </c>
      <c r="AT435" s="137" t="str">
        <f aca="false">IF(A436="","",IF(AND(mthbeg&lt;=A435,mthend&gt;=A435),1,0))</f>
        <v/>
      </c>
      <c r="AU435" s="137" t="str">
        <f aca="false">IF(A436="","",AO435*AT435)</f>
        <v/>
      </c>
      <c r="AW435" s="195" t="str">
        <f aca="false">IF($A436="","",AL435*$E435)</f>
        <v/>
      </c>
      <c r="AX435" s="195" t="str">
        <f aca="false">IF($A436="","",AM435*$E435)</f>
        <v/>
      </c>
      <c r="AY435" s="195" t="str">
        <f aca="false">IF($A436="","",AN435*$E435)</f>
        <v/>
      </c>
      <c r="BA435" s="195" t="str">
        <f aca="false">IF($A436="","",F435*Summary!$Q$12)</f>
        <v/>
      </c>
    </row>
    <row r="436" customFormat="false" ht="12.75" hidden="false" customHeight="false" outlineLevel="0" collapsed="false">
      <c r="A436" s="196" t="str">
        <f aca="false">IF(A435&lt;mthend,EDATE(A435,1),"")</f>
        <v/>
      </c>
      <c r="B436" s="197" t="str">
        <f aca="false">IF(A436&lt;mthend,B435,"")</f>
        <v/>
      </c>
      <c r="D436" s="197" t="str">
        <f aca="false">IF(A437&lt;&gt;"",B436+C436,"")</f>
        <v/>
      </c>
      <c r="E436" s="199" t="str">
        <f aca="false">IF(A437="","",IF(AND(AT436=1,$H$3=1),D436*AO436,IF($H$3=2,D436,"N/A")))</f>
        <v/>
      </c>
      <c r="F436" s="199" t="str">
        <f aca="false">IF(A437="","",E436*AS436)</f>
        <v/>
      </c>
      <c r="G436" s="200" t="str">
        <f aca="false">IF($A437="","",VLOOKUP($A436,Table,MATCH(G$4,Curves,0)))</f>
        <v/>
      </c>
      <c r="H436" s="201" t="str">
        <f aca="false">IF(A437="","",G436)</f>
        <v/>
      </c>
      <c r="J436" s="200" t="str">
        <f aca="false">IF($A437="","",VLOOKUP($A436,Table,MATCH(J$4,Curves,0)))</f>
        <v/>
      </c>
      <c r="K436" s="201" t="str">
        <f aca="false">IF(A437="","",J436)</f>
        <v/>
      </c>
      <c r="L436" s="200" t="str">
        <f aca="false">IF($A437="","",VLOOKUP($A436,Table,MATCH(L$4,Curves,0)))</f>
        <v/>
      </c>
      <c r="M436" s="201" t="str">
        <f aca="false">IF(A437="","",L436)</f>
        <v/>
      </c>
      <c r="O436" s="200" t="str">
        <f aca="false">IF(A437="","",L436+J436+G436)</f>
        <v/>
      </c>
      <c r="P436" s="200" t="str">
        <f aca="false">IF(A437="","",M436+K436+H436)</f>
        <v/>
      </c>
      <c r="R436" s="200" t="str">
        <f aca="false">IF($A437="","",VLOOKUP($A436,Table,MATCH(R$4,Curves,0)))</f>
        <v/>
      </c>
      <c r="S436" s="201" t="str">
        <f aca="false">IF(A437="","",R436)</f>
        <v/>
      </c>
      <c r="T436" s="200" t="str">
        <f aca="false">IF($A437="","",VLOOKUP($A436,Table,MATCH(T$4,Curves,0)))</f>
        <v/>
      </c>
      <c r="U436" s="201" t="str">
        <f aca="false">IF(A437="","",T436)</f>
        <v/>
      </c>
      <c r="V436" s="225" t="str">
        <f aca="false">IF($A437="","",IF(AND(MONTH(A436)&gt;3,MONTH(A436)&lt;11),(T436+R436+G436)*(((1/(1-Summary!$T$12))/(1-Summary!$W$12))-1),(T436+R436+G436)*((1/(1-Summary!$U$12))/(1-Summary!$X$12)-1)))</f>
        <v/>
      </c>
      <c r="W436" s="200" t="str">
        <f aca="false">IF($A437="","",(T436+R436+G436+V436))</f>
        <v/>
      </c>
      <c r="X436" s="200" t="str">
        <f aca="false">IF($A437="","",(U436+S436+H436+V436))</f>
        <v/>
      </c>
      <c r="Y436" s="202"/>
      <c r="Z436" s="185"/>
      <c r="AJ436" s="77"/>
      <c r="AK436" s="77"/>
      <c r="AL436" s="77"/>
      <c r="AM436" s="77"/>
      <c r="AN436" s="77"/>
      <c r="AO436" s="137" t="str">
        <f aca="false">IF(A437="","",A437-A436)</f>
        <v/>
      </c>
      <c r="AP436" s="212" t="str">
        <f aca="false">IF(A437="","",CHOOSE(F$3,A437+24,A436))</f>
        <v/>
      </c>
      <c r="AQ436" s="209" t="str">
        <f aca="false">IF(A437="","",AP436-$E$1)</f>
        <v/>
      </c>
      <c r="AR436" s="185" t="n">
        <f aca="false">'ANR OK vs ML7'!AR436</f>
        <v>0.1</v>
      </c>
      <c r="AS436" s="213" t="str">
        <f aca="false">IF(A437="","",1/(1+CHOOSE(F$3,(AR437+($I$3/10000))/2,(AR436+($I$3/10000))/2))^(2*AQ436/365.25))</f>
        <v/>
      </c>
      <c r="AT436" s="137" t="str">
        <f aca="false">IF(A437="","",IF(AND(mthbeg&lt;=A436,mthend&gt;=A436),1,0))</f>
        <v/>
      </c>
      <c r="AU436" s="137" t="str">
        <f aca="false">IF(A437="","",AO436*AT436)</f>
        <v/>
      </c>
      <c r="AW436" s="195" t="str">
        <f aca="false">IF($A437="","",AL436*$E436)</f>
        <v/>
      </c>
      <c r="AX436" s="195" t="str">
        <f aca="false">IF($A437="","",AM436*$E436)</f>
        <v/>
      </c>
      <c r="AY436" s="195" t="str">
        <f aca="false">IF($A437="","",AN436*$E436)</f>
        <v/>
      </c>
      <c r="BA436" s="195" t="str">
        <f aca="false">IF($A437="","",F436*Summary!$Q$12)</f>
        <v/>
      </c>
    </row>
    <row r="437" customFormat="false" ht="12.75" hidden="false" customHeight="false" outlineLevel="0" collapsed="false">
      <c r="A437" s="196" t="str">
        <f aca="false">IF(A436&lt;mthend,EDATE(A436,1),"")</f>
        <v/>
      </c>
      <c r="B437" s="197" t="str">
        <f aca="false">IF(A437&lt;mthend,B436,"")</f>
        <v/>
      </c>
      <c r="D437" s="197" t="str">
        <f aca="false">IF(A438&lt;&gt;"",B437+C437,"")</f>
        <v/>
      </c>
      <c r="E437" s="199" t="str">
        <f aca="false">IF(A438="","",IF(AND(AT437=1,$H$3=1),D437*AO437,IF($H$3=2,D437,"N/A")))</f>
        <v/>
      </c>
      <c r="F437" s="199" t="str">
        <f aca="false">IF(A438="","",E437*AS437)</f>
        <v/>
      </c>
      <c r="G437" s="200" t="str">
        <f aca="false">IF($A438="","",VLOOKUP($A437,Table,MATCH(G$4,Curves,0)))</f>
        <v/>
      </c>
      <c r="H437" s="201" t="str">
        <f aca="false">IF(A438="","",G437)</f>
        <v/>
      </c>
      <c r="J437" s="200" t="str">
        <f aca="false">IF($A438="","",VLOOKUP($A437,Table,MATCH(J$4,Curves,0)))</f>
        <v/>
      </c>
      <c r="K437" s="201" t="str">
        <f aca="false">IF(A438="","",J437)</f>
        <v/>
      </c>
      <c r="L437" s="200" t="str">
        <f aca="false">IF($A438="","",VLOOKUP($A437,Table,MATCH(L$4,Curves,0)))</f>
        <v/>
      </c>
      <c r="M437" s="201" t="str">
        <f aca="false">IF(A438="","",L437)</f>
        <v/>
      </c>
      <c r="O437" s="200" t="str">
        <f aca="false">IF(A438="","",L437+J437+G437)</f>
        <v/>
      </c>
      <c r="P437" s="200" t="str">
        <f aca="false">IF(A438="","",M437+K437+H437)</f>
        <v/>
      </c>
      <c r="R437" s="200" t="str">
        <f aca="false">IF($A438="","",VLOOKUP($A437,Table,MATCH(R$4,Curves,0)))</f>
        <v/>
      </c>
      <c r="S437" s="201" t="str">
        <f aca="false">IF(A438="","",R437)</f>
        <v/>
      </c>
      <c r="T437" s="200" t="str">
        <f aca="false">IF($A438="","",VLOOKUP($A437,Table,MATCH(T$4,Curves,0)))</f>
        <v/>
      </c>
      <c r="U437" s="201" t="str">
        <f aca="false">IF(A438="","",T437)</f>
        <v/>
      </c>
      <c r="V437" s="225" t="str">
        <f aca="false">IF($A438="","",IF(AND(MONTH(A437)&gt;3,MONTH(A437)&lt;11),(T437+R437+G437)*(((1/(1-Summary!$T$12))/(1-Summary!$W$12))-1),(T437+R437+G437)*((1/(1-Summary!$U$12))/(1-Summary!$X$12)-1)))</f>
        <v/>
      </c>
      <c r="W437" s="200" t="str">
        <f aca="false">IF($A438="","",(T437+R437+G437+V437))</f>
        <v/>
      </c>
      <c r="X437" s="200" t="str">
        <f aca="false">IF($A438="","",(U437+S437+H437+V437))</f>
        <v/>
      </c>
      <c r="Y437" s="202"/>
      <c r="Z437" s="185"/>
      <c r="AJ437" s="77"/>
      <c r="AK437" s="77"/>
      <c r="AL437" s="77"/>
      <c r="AM437" s="77"/>
      <c r="AN437" s="77"/>
      <c r="AO437" s="137" t="str">
        <f aca="false">IF(A438="","",A438-A437)</f>
        <v/>
      </c>
      <c r="AP437" s="212" t="str">
        <f aca="false">IF(A438="","",CHOOSE(F$3,A438+24,A437))</f>
        <v/>
      </c>
      <c r="AQ437" s="209" t="str">
        <f aca="false">IF(A438="","",AP437-$E$1)</f>
        <v/>
      </c>
      <c r="AR437" s="185" t="n">
        <f aca="false">'ANR OK vs ML7'!AR437</f>
        <v>0.1</v>
      </c>
      <c r="AS437" s="213" t="str">
        <f aca="false">IF(A438="","",1/(1+CHOOSE(F$3,(AR438+($I$3/10000))/2,(AR437+($I$3/10000))/2))^(2*AQ437/365.25))</f>
        <v/>
      </c>
      <c r="AT437" s="137" t="str">
        <f aca="false">IF(A438="","",IF(AND(mthbeg&lt;=A437,mthend&gt;=A437),1,0))</f>
        <v/>
      </c>
      <c r="AU437" s="137" t="str">
        <f aca="false">IF(A438="","",AO437*AT437)</f>
        <v/>
      </c>
      <c r="AW437" s="195" t="str">
        <f aca="false">IF($A438="","",AL437*$E437)</f>
        <v/>
      </c>
      <c r="AX437" s="195" t="str">
        <f aca="false">IF($A438="","",AM437*$E437)</f>
        <v/>
      </c>
      <c r="AY437" s="195" t="str">
        <f aca="false">IF($A438="","",AN437*$E437)</f>
        <v/>
      </c>
      <c r="BA437" s="195" t="str">
        <f aca="false">IF($A438="","",F437*Summary!$Q$12)</f>
        <v/>
      </c>
    </row>
    <row r="438" customFormat="false" ht="12.75" hidden="false" customHeight="false" outlineLevel="0" collapsed="false">
      <c r="A438" s="196" t="str">
        <f aca="false">IF(A437&lt;mthend,EDATE(A437,1),"")</f>
        <v/>
      </c>
      <c r="B438" s="197" t="str">
        <f aca="false">IF(A438&lt;mthend,B437,"")</f>
        <v/>
      </c>
      <c r="D438" s="197" t="str">
        <f aca="false">IF(A439&lt;&gt;"",B438+C438,"")</f>
        <v/>
      </c>
      <c r="E438" s="199" t="str">
        <f aca="false">IF(A439="","",IF(AND(AT438=1,$H$3=1),D438*AO438,IF($H$3=2,D438,"N/A")))</f>
        <v/>
      </c>
      <c r="F438" s="199" t="str">
        <f aca="false">IF(A439="","",E438*AS438)</f>
        <v/>
      </c>
      <c r="G438" s="200" t="str">
        <f aca="false">IF($A439="","",VLOOKUP($A438,Table,MATCH(G$4,Curves,0)))</f>
        <v/>
      </c>
      <c r="H438" s="201" t="str">
        <f aca="false">IF(A439="","",G438)</f>
        <v/>
      </c>
      <c r="J438" s="200" t="str">
        <f aca="false">IF($A439="","",VLOOKUP($A438,Table,MATCH(J$4,Curves,0)))</f>
        <v/>
      </c>
      <c r="K438" s="201" t="str">
        <f aca="false">IF(A439="","",J438)</f>
        <v/>
      </c>
      <c r="L438" s="200" t="str">
        <f aca="false">IF($A439="","",VLOOKUP($A438,Table,MATCH(L$4,Curves,0)))</f>
        <v/>
      </c>
      <c r="M438" s="201" t="str">
        <f aca="false">IF(A439="","",L438)</f>
        <v/>
      </c>
      <c r="O438" s="200" t="str">
        <f aca="false">IF(A439="","",L438+J438+G438)</f>
        <v/>
      </c>
      <c r="P438" s="200" t="str">
        <f aca="false">IF(A439="","",M438+K438+H438)</f>
        <v/>
      </c>
      <c r="R438" s="200" t="str">
        <f aca="false">IF($A439="","",VLOOKUP($A438,Table,MATCH(R$4,Curves,0)))</f>
        <v/>
      </c>
      <c r="S438" s="201" t="str">
        <f aca="false">IF(A439="","",R438)</f>
        <v/>
      </c>
      <c r="T438" s="200" t="str">
        <f aca="false">IF($A439="","",VLOOKUP($A438,Table,MATCH(T$4,Curves,0)))</f>
        <v/>
      </c>
      <c r="U438" s="201" t="str">
        <f aca="false">IF(A439="","",T438)</f>
        <v/>
      </c>
      <c r="V438" s="225" t="str">
        <f aca="false">IF($A439="","",IF(AND(MONTH(A438)&gt;3,MONTH(A438)&lt;11),(T438+R438+G438)*(((1/(1-Summary!$T$12))/(1-Summary!$W$12))-1),(T438+R438+G438)*((1/(1-Summary!$U$12))/(1-Summary!$X$12)-1)))</f>
        <v/>
      </c>
      <c r="W438" s="200" t="str">
        <f aca="false">IF($A439="","",(T438+R438+G438+V438))</f>
        <v/>
      </c>
      <c r="X438" s="200" t="str">
        <f aca="false">IF($A439="","",(U438+S438+H438+V438))</f>
        <v/>
      </c>
      <c r="Y438" s="202"/>
      <c r="Z438" s="185"/>
      <c r="AJ438" s="77"/>
      <c r="AK438" s="77"/>
      <c r="AL438" s="77"/>
      <c r="AM438" s="77"/>
      <c r="AN438" s="77"/>
      <c r="AO438" s="137" t="str">
        <f aca="false">IF(A439="","",A439-A438)</f>
        <v/>
      </c>
      <c r="AP438" s="212" t="str">
        <f aca="false">IF(A439="","",CHOOSE(F$3,A439+24,A438))</f>
        <v/>
      </c>
      <c r="AQ438" s="209" t="str">
        <f aca="false">IF(A439="","",AP438-$E$1)</f>
        <v/>
      </c>
      <c r="AR438" s="185" t="n">
        <f aca="false">'ANR OK vs ML7'!AR438</f>
        <v>0.1</v>
      </c>
      <c r="AS438" s="213" t="str">
        <f aca="false">IF(A439="","",1/(1+CHOOSE(F$3,(AR439+($I$3/10000))/2,(AR438+($I$3/10000))/2))^(2*AQ438/365.25))</f>
        <v/>
      </c>
      <c r="AT438" s="137" t="str">
        <f aca="false">IF(A439="","",IF(AND(mthbeg&lt;=A438,mthend&gt;=A438),1,0))</f>
        <v/>
      </c>
      <c r="AU438" s="137" t="str">
        <f aca="false">IF(A439="","",AO438*AT438)</f>
        <v/>
      </c>
      <c r="AW438" s="195" t="str">
        <f aca="false">IF($A439="","",AL438*$E438)</f>
        <v/>
      </c>
      <c r="AX438" s="195" t="str">
        <f aca="false">IF($A439="","",AM438*$E438)</f>
        <v/>
      </c>
      <c r="AY438" s="195" t="str">
        <f aca="false">IF($A439="","",AN438*$E438)</f>
        <v/>
      </c>
      <c r="BA438" s="195" t="str">
        <f aca="false">IF($A439="","",F438*Summary!$Q$12)</f>
        <v/>
      </c>
    </row>
    <row r="439" customFormat="false" ht="12.75" hidden="false" customHeight="false" outlineLevel="0" collapsed="false">
      <c r="A439" s="196" t="str">
        <f aca="false">IF(A438&lt;mthend,EDATE(A438,1),"")</f>
        <v/>
      </c>
      <c r="B439" s="197" t="str">
        <f aca="false">IF(A439&lt;mthend,B438,"")</f>
        <v/>
      </c>
      <c r="D439" s="197" t="str">
        <f aca="false">IF(A440&lt;&gt;"",B439+C439,"")</f>
        <v/>
      </c>
      <c r="E439" s="199" t="str">
        <f aca="false">IF(A440="","",IF(AND(AT439=1,$H$3=1),D439*AO439,IF($H$3=2,D439,"N/A")))</f>
        <v/>
      </c>
      <c r="F439" s="199" t="str">
        <f aca="false">IF(A440="","",E439*AS439)</f>
        <v/>
      </c>
      <c r="G439" s="200" t="str">
        <f aca="false">IF($A440="","",VLOOKUP($A439,Table,MATCH(G$4,Curves,0)))</f>
        <v/>
      </c>
      <c r="H439" s="201" t="str">
        <f aca="false">IF(A440="","",G439)</f>
        <v/>
      </c>
      <c r="J439" s="200" t="str">
        <f aca="false">IF($A440="","",VLOOKUP($A439,Table,MATCH(J$4,Curves,0)))</f>
        <v/>
      </c>
      <c r="K439" s="201" t="str">
        <f aca="false">IF(A440="","",J439)</f>
        <v/>
      </c>
      <c r="L439" s="200" t="str">
        <f aca="false">IF($A440="","",VLOOKUP($A439,Table,MATCH(L$4,Curves,0)))</f>
        <v/>
      </c>
      <c r="M439" s="201" t="str">
        <f aca="false">IF(A440="","",L439)</f>
        <v/>
      </c>
      <c r="O439" s="200" t="str">
        <f aca="false">IF(A440="","",L439+J439+G439)</f>
        <v/>
      </c>
      <c r="P439" s="200" t="str">
        <f aca="false">IF(A440="","",M439+K439+H439)</f>
        <v/>
      </c>
      <c r="R439" s="200" t="str">
        <f aca="false">IF($A440="","",VLOOKUP($A439,Table,MATCH(R$4,Curves,0)))</f>
        <v/>
      </c>
      <c r="S439" s="201" t="str">
        <f aca="false">IF(A440="","",R439)</f>
        <v/>
      </c>
      <c r="T439" s="200" t="str">
        <f aca="false">IF($A440="","",VLOOKUP($A439,Table,MATCH(T$4,Curves,0)))</f>
        <v/>
      </c>
      <c r="U439" s="201" t="str">
        <f aca="false">IF(A440="","",T439)</f>
        <v/>
      </c>
      <c r="V439" s="225" t="str">
        <f aca="false">IF($A440="","",IF(AND(MONTH(A439)&gt;3,MONTH(A439)&lt;11),(T439+R439+G439)*(((1/(1-Summary!$T$12))/(1-Summary!$W$12))-1),(T439+R439+G439)*((1/(1-Summary!$U$12))/(1-Summary!$X$12)-1)))</f>
        <v/>
      </c>
      <c r="W439" s="200" t="str">
        <f aca="false">IF($A440="","",(T439+R439+G439+V439))</f>
        <v/>
      </c>
      <c r="X439" s="200" t="str">
        <f aca="false">IF($A440="","",(U439+S439+H439+V439))</f>
        <v/>
      </c>
      <c r="Y439" s="202"/>
      <c r="Z439" s="185"/>
      <c r="AJ439" s="77"/>
      <c r="AK439" s="77"/>
      <c r="AL439" s="77"/>
      <c r="AM439" s="77"/>
      <c r="AN439" s="77"/>
      <c r="AO439" s="137" t="str">
        <f aca="false">IF(A440="","",A440-A439)</f>
        <v/>
      </c>
      <c r="AP439" s="212" t="str">
        <f aca="false">IF(A440="","",CHOOSE(F$3,A440+24,A439))</f>
        <v/>
      </c>
      <c r="AQ439" s="209" t="str">
        <f aca="false">IF(A440="","",AP439-$E$1)</f>
        <v/>
      </c>
      <c r="AR439" s="185" t="n">
        <f aca="false">'ANR OK vs ML7'!AR439</f>
        <v>0.1</v>
      </c>
      <c r="AS439" s="213" t="str">
        <f aca="false">IF(A440="","",1/(1+CHOOSE(F$3,(AR440+($I$3/10000))/2,(AR439+($I$3/10000))/2))^(2*AQ439/365.25))</f>
        <v/>
      </c>
      <c r="AT439" s="137" t="str">
        <f aca="false">IF(A440="","",IF(AND(mthbeg&lt;=A439,mthend&gt;=A439),1,0))</f>
        <v/>
      </c>
      <c r="AU439" s="137" t="str">
        <f aca="false">IF(A440="","",AO439*AT439)</f>
        <v/>
      </c>
      <c r="AW439" s="195" t="str">
        <f aca="false">IF($A440="","",AL439*$E439)</f>
        <v/>
      </c>
      <c r="AX439" s="195" t="str">
        <f aca="false">IF($A440="","",AM439*$E439)</f>
        <v/>
      </c>
      <c r="AY439" s="195" t="str">
        <f aca="false">IF($A440="","",AN439*$E439)</f>
        <v/>
      </c>
      <c r="BA439" s="195" t="str">
        <f aca="false">IF($A440="","",F439*Summary!$Q$12)</f>
        <v/>
      </c>
    </row>
    <row r="440" customFormat="false" ht="12.75" hidden="false" customHeight="false" outlineLevel="0" collapsed="false">
      <c r="A440" s="196" t="str">
        <f aca="false">IF(A439&lt;mthend,EDATE(A439,1),"")</f>
        <v/>
      </c>
      <c r="B440" s="197" t="str">
        <f aca="false">IF(A440&lt;mthend,B439,"")</f>
        <v/>
      </c>
      <c r="D440" s="197" t="str">
        <f aca="false">IF(A441&lt;&gt;"",B440+C440,"")</f>
        <v/>
      </c>
      <c r="E440" s="199" t="str">
        <f aca="false">IF(A441="","",IF(AND(AT440=1,$H$3=1),D440*AO440,IF($H$3=2,D440,"N/A")))</f>
        <v/>
      </c>
      <c r="F440" s="199" t="str">
        <f aca="false">IF(A441="","",E440*AS440)</f>
        <v/>
      </c>
      <c r="G440" s="200" t="str">
        <f aca="false">IF($A441="","",VLOOKUP($A440,Table,MATCH(G$4,Curves,0)))</f>
        <v/>
      </c>
      <c r="H440" s="201" t="str">
        <f aca="false">IF(A441="","",G440)</f>
        <v/>
      </c>
      <c r="J440" s="200" t="str">
        <f aca="false">IF($A441="","",VLOOKUP($A440,Table,MATCH(J$4,Curves,0)))</f>
        <v/>
      </c>
      <c r="K440" s="201" t="str">
        <f aca="false">IF(A441="","",J440)</f>
        <v/>
      </c>
      <c r="L440" s="200" t="str">
        <f aca="false">IF($A441="","",VLOOKUP($A440,Table,MATCH(L$4,Curves,0)))</f>
        <v/>
      </c>
      <c r="M440" s="201" t="str">
        <f aca="false">IF(A441="","",L440)</f>
        <v/>
      </c>
      <c r="O440" s="200" t="str">
        <f aca="false">IF(A441="","",L440+J440+G440)</f>
        <v/>
      </c>
      <c r="P440" s="200" t="str">
        <f aca="false">IF(A441="","",M440+K440+H440)</f>
        <v/>
      </c>
      <c r="R440" s="200" t="str">
        <f aca="false">IF($A441="","",VLOOKUP($A440,Table,MATCH(R$4,Curves,0)))</f>
        <v/>
      </c>
      <c r="S440" s="201" t="str">
        <f aca="false">IF(A441="","",R440)</f>
        <v/>
      </c>
      <c r="T440" s="200" t="str">
        <f aca="false">IF($A441="","",VLOOKUP($A440,Table,MATCH(T$4,Curves,0)))</f>
        <v/>
      </c>
      <c r="U440" s="201" t="str">
        <f aca="false">IF(A441="","",T440)</f>
        <v/>
      </c>
      <c r="V440" s="225" t="str">
        <f aca="false">IF($A441="","",IF(AND(MONTH(A440)&gt;3,MONTH(A440)&lt;11),(T440+R440+G440)*(((1/(1-Summary!$T$12))/(1-Summary!$W$12))-1),(T440+R440+G440)*((1/(1-Summary!$U$12))/(1-Summary!$X$12)-1)))</f>
        <v/>
      </c>
      <c r="W440" s="200" t="str">
        <f aca="false">IF($A441="","",(T440+R440+G440+V440))</f>
        <v/>
      </c>
      <c r="X440" s="200" t="str">
        <f aca="false">IF($A441="","",(U440+S440+H440+V440))</f>
        <v/>
      </c>
      <c r="Y440" s="202"/>
      <c r="Z440" s="185"/>
      <c r="AJ440" s="77"/>
      <c r="AK440" s="77"/>
      <c r="AL440" s="77"/>
      <c r="AM440" s="77"/>
      <c r="AN440" s="77"/>
      <c r="AO440" s="137" t="str">
        <f aca="false">IF(A441="","",A441-A440)</f>
        <v/>
      </c>
      <c r="AP440" s="212" t="str">
        <f aca="false">IF(A441="","",CHOOSE(F$3,A441+24,A440))</f>
        <v/>
      </c>
      <c r="AQ440" s="209" t="str">
        <f aca="false">IF(A441="","",AP440-$E$1)</f>
        <v/>
      </c>
      <c r="AR440" s="185" t="n">
        <f aca="false">'ANR OK vs ML7'!AR440</f>
        <v>0.1</v>
      </c>
      <c r="AS440" s="213" t="str">
        <f aca="false">IF(A441="","",1/(1+CHOOSE(F$3,(AR441+($I$3/10000))/2,(AR440+($I$3/10000))/2))^(2*AQ440/365.25))</f>
        <v/>
      </c>
      <c r="AT440" s="137" t="str">
        <f aca="false">IF(A441="","",IF(AND(mthbeg&lt;=A440,mthend&gt;=A440),1,0))</f>
        <v/>
      </c>
      <c r="AU440" s="137" t="str">
        <f aca="false">IF(A441="","",AO440*AT440)</f>
        <v/>
      </c>
      <c r="AW440" s="195" t="str">
        <f aca="false">IF($A441="","",AL440*$E440)</f>
        <v/>
      </c>
      <c r="AX440" s="195" t="str">
        <f aca="false">IF($A441="","",AM440*$E440)</f>
        <v/>
      </c>
      <c r="AY440" s="195" t="str">
        <f aca="false">IF($A441="","",AN440*$E440)</f>
        <v/>
      </c>
      <c r="BA440" s="195" t="str">
        <f aca="false">IF($A441="","",F440*Summary!$Q$12)</f>
        <v/>
      </c>
    </row>
    <row r="441" customFormat="false" ht="12.75" hidden="false" customHeight="false" outlineLevel="0" collapsed="false">
      <c r="A441" s="196" t="str">
        <f aca="false">IF(A440&lt;mthend,EDATE(A440,1),"")</f>
        <v/>
      </c>
      <c r="B441" s="197" t="str">
        <f aca="false">IF(A441&lt;mthend,B440,"")</f>
        <v/>
      </c>
      <c r="D441" s="197" t="str">
        <f aca="false">IF(A442&lt;&gt;"",B441+C441,"")</f>
        <v/>
      </c>
      <c r="E441" s="199" t="str">
        <f aca="false">IF(A442="","",IF(AND(AT441=1,$H$3=1),D441*AO441,IF($H$3=2,D441,"N/A")))</f>
        <v/>
      </c>
      <c r="F441" s="199" t="str">
        <f aca="false">IF(A442="","",E441*AS441)</f>
        <v/>
      </c>
      <c r="G441" s="200" t="str">
        <f aca="false">IF($A442="","",VLOOKUP($A441,Table,MATCH(G$4,Curves,0)))</f>
        <v/>
      </c>
      <c r="H441" s="201" t="str">
        <f aca="false">IF(A442="","",G441)</f>
        <v/>
      </c>
      <c r="J441" s="200" t="str">
        <f aca="false">IF($A442="","",VLOOKUP($A441,Table,MATCH(J$4,Curves,0)))</f>
        <v/>
      </c>
      <c r="K441" s="201" t="str">
        <f aca="false">IF(A442="","",J441)</f>
        <v/>
      </c>
      <c r="L441" s="200" t="str">
        <f aca="false">IF($A442="","",VLOOKUP($A441,Table,MATCH(L$4,Curves,0)))</f>
        <v/>
      </c>
      <c r="M441" s="201" t="str">
        <f aca="false">IF(A442="","",L441)</f>
        <v/>
      </c>
      <c r="O441" s="200" t="str">
        <f aca="false">IF(A442="","",L441+J441+G441)</f>
        <v/>
      </c>
      <c r="P441" s="200" t="str">
        <f aca="false">IF(A442="","",M441+K441+H441)</f>
        <v/>
      </c>
      <c r="R441" s="200" t="str">
        <f aca="false">IF($A442="","",VLOOKUP($A441,Table,MATCH(R$4,Curves,0)))</f>
        <v/>
      </c>
      <c r="S441" s="201" t="str">
        <f aca="false">IF(A442="","",R441)</f>
        <v/>
      </c>
      <c r="T441" s="200" t="str">
        <f aca="false">IF($A442="","",VLOOKUP($A441,Table,MATCH(T$4,Curves,0)))</f>
        <v/>
      </c>
      <c r="U441" s="201" t="str">
        <f aca="false">IF(A442="","",T441)</f>
        <v/>
      </c>
      <c r="V441" s="225" t="str">
        <f aca="false">IF($A442="","",IF(AND(MONTH(A441)&gt;3,MONTH(A441)&lt;11),(T441+R441+G441)*(((1/(1-Summary!$T$12))/(1-Summary!$W$12))-1),(T441+R441+G441)*((1/(1-Summary!$U$12))/(1-Summary!$X$12)-1)))</f>
        <v/>
      </c>
      <c r="W441" s="200" t="str">
        <f aca="false">IF($A442="","",(T441+R441+G441+V441))</f>
        <v/>
      </c>
      <c r="X441" s="200" t="str">
        <f aca="false">IF($A442="","",(U441+S441+H441+V441))</f>
        <v/>
      </c>
      <c r="Y441" s="202"/>
      <c r="Z441" s="185"/>
      <c r="AJ441" s="77"/>
      <c r="AK441" s="77"/>
      <c r="AL441" s="77"/>
      <c r="AM441" s="77"/>
      <c r="AN441" s="77"/>
      <c r="AO441" s="137" t="str">
        <f aca="false">IF(A442="","",A442-A441)</f>
        <v/>
      </c>
      <c r="AP441" s="212" t="str">
        <f aca="false">IF(A442="","",CHOOSE(F$3,A442+24,A441))</f>
        <v/>
      </c>
      <c r="AQ441" s="209" t="str">
        <f aca="false">IF(A442="","",AP441-$E$1)</f>
        <v/>
      </c>
      <c r="AR441" s="185" t="n">
        <f aca="false">'ANR OK vs ML7'!AR441</f>
        <v>0.1</v>
      </c>
      <c r="AS441" s="213" t="str">
        <f aca="false">IF(A442="","",1/(1+CHOOSE(F$3,(AR442+($I$3/10000))/2,(AR441+($I$3/10000))/2))^(2*AQ441/365.25))</f>
        <v/>
      </c>
      <c r="AT441" s="137" t="str">
        <f aca="false">IF(A442="","",IF(AND(mthbeg&lt;=A441,mthend&gt;=A441),1,0))</f>
        <v/>
      </c>
      <c r="AU441" s="137" t="str">
        <f aca="false">IF(A442="","",AO441*AT441)</f>
        <v/>
      </c>
      <c r="AW441" s="195" t="str">
        <f aca="false">IF($A442="","",AL441*$E441)</f>
        <v/>
      </c>
      <c r="AX441" s="195" t="str">
        <f aca="false">IF($A442="","",AM441*$E441)</f>
        <v/>
      </c>
      <c r="AY441" s="195" t="str">
        <f aca="false">IF($A442="","",AN441*$E441)</f>
        <v/>
      </c>
      <c r="BA441" s="195" t="str">
        <f aca="false">IF($A442="","",F441*Summary!$Q$12)</f>
        <v/>
      </c>
    </row>
    <row r="442" customFormat="false" ht="12.75" hidden="false" customHeight="false" outlineLevel="0" collapsed="false">
      <c r="A442" s="196" t="str">
        <f aca="false">IF(A441&lt;mthend,EDATE(A441,1),"")</f>
        <v/>
      </c>
      <c r="B442" s="197" t="str">
        <f aca="false">IF(A442&lt;mthend,B441,"")</f>
        <v/>
      </c>
      <c r="D442" s="197" t="str">
        <f aca="false">IF(A443&lt;&gt;"",B442+C442,"")</f>
        <v/>
      </c>
      <c r="E442" s="199" t="str">
        <f aca="false">IF(A443="","",IF(AND(AT442=1,$H$3=1),D442*AO442,IF($H$3=2,D442,"N/A")))</f>
        <v/>
      </c>
      <c r="F442" s="199" t="str">
        <f aca="false">IF(A443="","",E442*AS442)</f>
        <v/>
      </c>
      <c r="G442" s="200" t="str">
        <f aca="false">IF($A443="","",VLOOKUP($A442,Table,MATCH(G$4,Curves,0)))</f>
        <v/>
      </c>
      <c r="H442" s="201" t="str">
        <f aca="false">IF(A443="","",G442)</f>
        <v/>
      </c>
      <c r="J442" s="200" t="str">
        <f aca="false">IF($A443="","",VLOOKUP($A442,Table,MATCH(J$4,Curves,0)))</f>
        <v/>
      </c>
      <c r="K442" s="201" t="str">
        <f aca="false">IF(A443="","",J442)</f>
        <v/>
      </c>
      <c r="L442" s="200" t="str">
        <f aca="false">IF($A443="","",VLOOKUP($A442,Table,MATCH(L$4,Curves,0)))</f>
        <v/>
      </c>
      <c r="M442" s="201" t="str">
        <f aca="false">IF(A443="","",L442)</f>
        <v/>
      </c>
      <c r="O442" s="200" t="str">
        <f aca="false">IF(A443="","",L442+J442+G442)</f>
        <v/>
      </c>
      <c r="P442" s="200" t="str">
        <f aca="false">IF(A443="","",M442+K442+H442)</f>
        <v/>
      </c>
      <c r="R442" s="200" t="str">
        <f aca="false">IF($A443="","",VLOOKUP($A442,Table,MATCH(R$4,Curves,0)))</f>
        <v/>
      </c>
      <c r="S442" s="201" t="str">
        <f aca="false">IF(A443="","",R442)</f>
        <v/>
      </c>
      <c r="T442" s="200" t="str">
        <f aca="false">IF($A443="","",VLOOKUP($A442,Table,MATCH(T$4,Curves,0)))</f>
        <v/>
      </c>
      <c r="U442" s="201" t="str">
        <f aca="false">IF(A443="","",T442)</f>
        <v/>
      </c>
      <c r="V442" s="225" t="str">
        <f aca="false">IF($A443="","",IF(AND(MONTH(A442)&gt;3,MONTH(A442)&lt;11),(T442+R442+G442)*(((1/(1-Summary!$T$12))/(1-Summary!$W$12))-1),(T442+R442+G442)*((1/(1-Summary!$U$12))/(1-Summary!$X$12)-1)))</f>
        <v/>
      </c>
      <c r="W442" s="200" t="str">
        <f aca="false">IF($A443="","",(T442+R442+G442+V442))</f>
        <v/>
      </c>
      <c r="X442" s="200" t="str">
        <f aca="false">IF($A443="","",(U442+S442+H442+V442))</f>
        <v/>
      </c>
      <c r="Y442" s="202"/>
      <c r="Z442" s="185"/>
      <c r="AJ442" s="77"/>
      <c r="AK442" s="77"/>
      <c r="AL442" s="77"/>
      <c r="AM442" s="77"/>
      <c r="AN442" s="77"/>
      <c r="AO442" s="137" t="str">
        <f aca="false">IF(A443="","",A443-A442)</f>
        <v/>
      </c>
      <c r="AP442" s="212" t="str">
        <f aca="false">IF(A443="","",CHOOSE(F$3,A443+24,A442))</f>
        <v/>
      </c>
      <c r="AQ442" s="209" t="str">
        <f aca="false">IF(A443="","",AP442-$E$1)</f>
        <v/>
      </c>
      <c r="AR442" s="185" t="n">
        <f aca="false">'ANR OK vs ML7'!AR442</f>
        <v>0.1</v>
      </c>
      <c r="AS442" s="213" t="str">
        <f aca="false">IF(A443="","",1/(1+CHOOSE(F$3,(AR443+($I$3/10000))/2,(AR442+($I$3/10000))/2))^(2*AQ442/365.25))</f>
        <v/>
      </c>
      <c r="AT442" s="137" t="str">
        <f aca="false">IF(A443="","",IF(AND(mthbeg&lt;=A442,mthend&gt;=A442),1,0))</f>
        <v/>
      </c>
      <c r="AU442" s="137" t="str">
        <f aca="false">IF(A443="","",AO442*AT442)</f>
        <v/>
      </c>
      <c r="AW442" s="195" t="str">
        <f aca="false">IF($A443="","",AL442*$E442)</f>
        <v/>
      </c>
      <c r="AX442" s="195" t="str">
        <f aca="false">IF($A443="","",AM442*$E442)</f>
        <v/>
      </c>
      <c r="AY442" s="195" t="str">
        <f aca="false">IF($A443="","",AN442*$E442)</f>
        <v/>
      </c>
      <c r="BA442" s="195" t="str">
        <f aca="false">IF($A443="","",F442*Summary!$Q$12)</f>
        <v/>
      </c>
    </row>
    <row r="443" customFormat="false" ht="12.75" hidden="false" customHeight="false" outlineLevel="0" collapsed="false">
      <c r="A443" s="196" t="str">
        <f aca="false">IF(A442&lt;mthend,EDATE(A442,1),"")</f>
        <v/>
      </c>
      <c r="B443" s="197" t="str">
        <f aca="false">IF(A443&lt;mthend,B442,"")</f>
        <v/>
      </c>
      <c r="D443" s="197" t="str">
        <f aca="false">IF(A444&lt;&gt;"",B443+C443,"")</f>
        <v/>
      </c>
      <c r="E443" s="199" t="str">
        <f aca="false">IF(A444="","",IF(AND(AT443=1,$H$3=1),D443*AO443,IF($H$3=2,D443,"N/A")))</f>
        <v/>
      </c>
      <c r="F443" s="199" t="str">
        <f aca="false">IF(A444="","",E443*AS443)</f>
        <v/>
      </c>
      <c r="G443" s="200" t="str">
        <f aca="false">IF($A444="","",VLOOKUP($A443,Table,MATCH(G$4,Curves,0)))</f>
        <v/>
      </c>
      <c r="H443" s="201" t="str">
        <f aca="false">IF(A444="","",G443)</f>
        <v/>
      </c>
      <c r="J443" s="200" t="str">
        <f aca="false">IF($A444="","",VLOOKUP($A443,Table,MATCH(J$4,Curves,0)))</f>
        <v/>
      </c>
      <c r="K443" s="201" t="str">
        <f aca="false">IF(A444="","",J443)</f>
        <v/>
      </c>
      <c r="L443" s="200" t="str">
        <f aca="false">IF($A444="","",VLOOKUP($A443,Table,MATCH(L$4,Curves,0)))</f>
        <v/>
      </c>
      <c r="M443" s="201" t="str">
        <f aca="false">IF(A444="","",L443)</f>
        <v/>
      </c>
      <c r="O443" s="200" t="str">
        <f aca="false">IF(A444="","",L443+J443+G443)</f>
        <v/>
      </c>
      <c r="P443" s="200" t="str">
        <f aca="false">IF(A444="","",M443+K443+H443)</f>
        <v/>
      </c>
      <c r="R443" s="200" t="str">
        <f aca="false">IF($A444="","",VLOOKUP($A443,Table,MATCH(R$4,Curves,0)))</f>
        <v/>
      </c>
      <c r="S443" s="201" t="str">
        <f aca="false">IF(A444="","",R443)</f>
        <v/>
      </c>
      <c r="T443" s="200" t="str">
        <f aca="false">IF($A444="","",VLOOKUP($A443,Table,MATCH(T$4,Curves,0)))</f>
        <v/>
      </c>
      <c r="U443" s="201" t="str">
        <f aca="false">IF(A444="","",T443)</f>
        <v/>
      </c>
      <c r="V443" s="225" t="str">
        <f aca="false">IF($A444="","",IF(AND(MONTH(A443)&gt;3,MONTH(A443)&lt;11),(T443+R443+G443)*(((1/(1-Summary!$T$12))/(1-Summary!$W$12))-1),(T443+R443+G443)*((1/(1-Summary!$U$12))/(1-Summary!$X$12)-1)))</f>
        <v/>
      </c>
      <c r="W443" s="200" t="str">
        <f aca="false">IF($A444="","",(T443+R443+G443+V443))</f>
        <v/>
      </c>
      <c r="X443" s="200" t="str">
        <f aca="false">IF($A444="","",(U443+S443+H443+V443))</f>
        <v/>
      </c>
      <c r="Y443" s="202"/>
      <c r="Z443" s="185"/>
      <c r="AJ443" s="77"/>
      <c r="AK443" s="77"/>
      <c r="AL443" s="77"/>
      <c r="AM443" s="77"/>
      <c r="AN443" s="77"/>
      <c r="AO443" s="137" t="str">
        <f aca="false">IF(A444="","",A444-A443)</f>
        <v/>
      </c>
      <c r="AP443" s="212" t="str">
        <f aca="false">IF(A444="","",CHOOSE(F$3,A444+24,A443))</f>
        <v/>
      </c>
      <c r="AQ443" s="209" t="str">
        <f aca="false">IF(A444="","",AP443-$E$1)</f>
        <v/>
      </c>
      <c r="AR443" s="185" t="n">
        <f aca="false">'ANR OK vs ML7'!AR443</f>
        <v>0.1</v>
      </c>
      <c r="AS443" s="213" t="str">
        <f aca="false">IF(A444="","",1/(1+CHOOSE(F$3,(AR444+($I$3/10000))/2,(AR443+($I$3/10000))/2))^(2*AQ443/365.25))</f>
        <v/>
      </c>
      <c r="AT443" s="137" t="str">
        <f aca="false">IF(A444="","",IF(AND(mthbeg&lt;=A443,mthend&gt;=A443),1,0))</f>
        <v/>
      </c>
      <c r="AU443" s="137" t="str">
        <f aca="false">IF(A444="","",AO443*AT443)</f>
        <v/>
      </c>
      <c r="AW443" s="195" t="str">
        <f aca="false">IF($A444="","",AL443*$E443)</f>
        <v/>
      </c>
      <c r="AX443" s="195" t="str">
        <f aca="false">IF($A444="","",AM443*$E443)</f>
        <v/>
      </c>
      <c r="AY443" s="195" t="str">
        <f aca="false">IF($A444="","",AN443*$E443)</f>
        <v/>
      </c>
      <c r="BA443" s="195" t="str">
        <f aca="false">IF($A444="","",F443*Summary!$Q$12)</f>
        <v/>
      </c>
    </row>
    <row r="444" customFormat="false" ht="12.75" hidden="false" customHeight="false" outlineLevel="0" collapsed="false">
      <c r="A444" s="196" t="str">
        <f aca="false">IF(A443&lt;mthend,EDATE(A443,1),"")</f>
        <v/>
      </c>
      <c r="B444" s="197" t="str">
        <f aca="false">IF(A444&lt;mthend,B443,"")</f>
        <v/>
      </c>
      <c r="D444" s="197" t="str">
        <f aca="false">IF(A445&lt;&gt;"",B444+C444,"")</f>
        <v/>
      </c>
      <c r="E444" s="199" t="str">
        <f aca="false">IF(A445="","",IF(AND(AT444=1,$H$3=1),D444*AO444,IF($H$3=2,D444,"N/A")))</f>
        <v/>
      </c>
      <c r="F444" s="199" t="str">
        <f aca="false">IF(A445="","",E444*AS444)</f>
        <v/>
      </c>
      <c r="G444" s="200" t="str">
        <f aca="false">IF($A445="","",VLOOKUP($A444,Table,MATCH(G$4,Curves,0)))</f>
        <v/>
      </c>
      <c r="H444" s="201" t="str">
        <f aca="false">IF(A445="","",G444)</f>
        <v/>
      </c>
      <c r="J444" s="200" t="str">
        <f aca="false">IF($A445="","",VLOOKUP($A444,Table,MATCH(J$4,Curves,0)))</f>
        <v/>
      </c>
      <c r="K444" s="201" t="str">
        <f aca="false">IF(A445="","",J444)</f>
        <v/>
      </c>
      <c r="L444" s="200" t="str">
        <f aca="false">IF($A445="","",VLOOKUP($A444,Table,MATCH(L$4,Curves,0)))</f>
        <v/>
      </c>
      <c r="M444" s="201" t="str">
        <f aca="false">IF(A445="","",L444)</f>
        <v/>
      </c>
      <c r="O444" s="200" t="str">
        <f aca="false">IF(A445="","",L444+J444+G444)</f>
        <v/>
      </c>
      <c r="P444" s="200" t="str">
        <f aca="false">IF(A445="","",M444+K444+H444)</f>
        <v/>
      </c>
      <c r="R444" s="200" t="str">
        <f aca="false">IF($A445="","",VLOOKUP($A444,Table,MATCH(R$4,Curves,0)))</f>
        <v/>
      </c>
      <c r="S444" s="201" t="str">
        <f aca="false">IF(A445="","",R444)</f>
        <v/>
      </c>
      <c r="T444" s="200" t="str">
        <f aca="false">IF($A445="","",VLOOKUP($A444,Table,MATCH(T$4,Curves,0)))</f>
        <v/>
      </c>
      <c r="U444" s="201" t="str">
        <f aca="false">IF(A445="","",T444)</f>
        <v/>
      </c>
      <c r="V444" s="225" t="str">
        <f aca="false">IF($A445="","",IF(AND(MONTH(A444)&gt;3,MONTH(A444)&lt;11),(T444+R444+G444)*(((1/(1-Summary!$T$12))/(1-Summary!$W$12))-1),(T444+R444+G444)*((1/(1-Summary!$U$12))/(1-Summary!$X$12)-1)))</f>
        <v/>
      </c>
      <c r="W444" s="200" t="str">
        <f aca="false">IF($A445="","",(T444+R444+G444+V444))</f>
        <v/>
      </c>
      <c r="X444" s="200" t="str">
        <f aca="false">IF($A445="","",(U444+S444+H444+V444))</f>
        <v/>
      </c>
      <c r="Y444" s="202"/>
      <c r="Z444" s="185"/>
      <c r="AJ444" s="77"/>
      <c r="AK444" s="77"/>
      <c r="AL444" s="77"/>
      <c r="AM444" s="77"/>
      <c r="AN444" s="77"/>
      <c r="AO444" s="137" t="str">
        <f aca="false">IF(A445="","",A445-A444)</f>
        <v/>
      </c>
      <c r="AP444" s="212" t="str">
        <f aca="false">IF(A445="","",CHOOSE(F$3,A445+24,A444))</f>
        <v/>
      </c>
      <c r="AQ444" s="209" t="str">
        <f aca="false">IF(A445="","",AP444-$E$1)</f>
        <v/>
      </c>
      <c r="AR444" s="185" t="n">
        <f aca="false">'ANR OK vs ML7'!AR444</f>
        <v>0.1</v>
      </c>
      <c r="AS444" s="213" t="str">
        <f aca="false">IF(A445="","",1/(1+CHOOSE(F$3,(AR445+($I$3/10000))/2,(AR444+($I$3/10000))/2))^(2*AQ444/365.25))</f>
        <v/>
      </c>
      <c r="AT444" s="137" t="str">
        <f aca="false">IF(A445="","",IF(AND(mthbeg&lt;=A444,mthend&gt;=A444),1,0))</f>
        <v/>
      </c>
      <c r="AU444" s="137" t="str">
        <f aca="false">IF(A445="","",AO444*AT444)</f>
        <v/>
      </c>
      <c r="AW444" s="195" t="str">
        <f aca="false">IF($A445="","",AL444*$E444)</f>
        <v/>
      </c>
      <c r="AX444" s="195" t="str">
        <f aca="false">IF($A445="","",AM444*$E444)</f>
        <v/>
      </c>
      <c r="AY444" s="195" t="str">
        <f aca="false">IF($A445="","",AN444*$E444)</f>
        <v/>
      </c>
      <c r="BA444" s="195" t="str">
        <f aca="false">IF($A445="","",F444*Summary!$Q$12)</f>
        <v/>
      </c>
    </row>
    <row r="445" customFormat="false" ht="12.75" hidden="false" customHeight="false" outlineLevel="0" collapsed="false">
      <c r="A445" s="196" t="str">
        <f aca="false">IF(A444&lt;mthend,EDATE(A444,1),"")</f>
        <v/>
      </c>
      <c r="B445" s="197" t="str">
        <f aca="false">IF(A445&lt;mthend,B444,"")</f>
        <v/>
      </c>
      <c r="D445" s="197" t="str">
        <f aca="false">IF(A446&lt;&gt;"",B445+C445,"")</f>
        <v/>
      </c>
      <c r="E445" s="199" t="str">
        <f aca="false">IF(A446="","",IF(AND(AT445=1,$H$3=1),D445*AO445,IF($H$3=2,D445,"N/A")))</f>
        <v/>
      </c>
      <c r="F445" s="199" t="str">
        <f aca="false">IF(A446="","",E445*AS445)</f>
        <v/>
      </c>
      <c r="G445" s="200" t="str">
        <f aca="false">IF($A446="","",VLOOKUP($A445,Table,MATCH(G$4,Curves,0)))</f>
        <v/>
      </c>
      <c r="H445" s="201" t="str">
        <f aca="false">IF(A446="","",G445)</f>
        <v/>
      </c>
      <c r="J445" s="200" t="str">
        <f aca="false">IF($A446="","",VLOOKUP($A445,Table,MATCH(J$4,Curves,0)))</f>
        <v/>
      </c>
      <c r="K445" s="201" t="str">
        <f aca="false">IF(A446="","",J445)</f>
        <v/>
      </c>
      <c r="L445" s="200" t="str">
        <f aca="false">IF($A446="","",VLOOKUP($A445,Table,MATCH(L$4,Curves,0)))</f>
        <v/>
      </c>
      <c r="M445" s="201" t="str">
        <f aca="false">IF(A446="","",L445)</f>
        <v/>
      </c>
      <c r="O445" s="200" t="str">
        <f aca="false">IF(A446="","",L445+J445+G445)</f>
        <v/>
      </c>
      <c r="P445" s="200" t="str">
        <f aca="false">IF(A446="","",M445+K445+H445)</f>
        <v/>
      </c>
      <c r="R445" s="200" t="str">
        <f aca="false">IF($A446="","",VLOOKUP($A445,Table,MATCH(R$4,Curves,0)))</f>
        <v/>
      </c>
      <c r="S445" s="201" t="str">
        <f aca="false">IF(A446="","",R445)</f>
        <v/>
      </c>
      <c r="T445" s="200" t="str">
        <f aca="false">IF($A446="","",VLOOKUP($A445,Table,MATCH(T$4,Curves,0)))</f>
        <v/>
      </c>
      <c r="U445" s="201" t="str">
        <f aca="false">IF(A446="","",T445)</f>
        <v/>
      </c>
      <c r="V445" s="225" t="str">
        <f aca="false">IF($A446="","",IF(AND(MONTH(A445)&gt;3,MONTH(A445)&lt;11),(T445+R445+G445)*(((1/(1-Summary!$T$12))/(1-Summary!$W$12))-1),(T445+R445+G445)*((1/(1-Summary!$U$12))/(1-Summary!$X$12)-1)))</f>
        <v/>
      </c>
      <c r="W445" s="200" t="str">
        <f aca="false">IF($A446="","",(T445+R445+G445+V445))</f>
        <v/>
      </c>
      <c r="X445" s="200" t="str">
        <f aca="false">IF($A446="","",(U445+S445+H445+V445))</f>
        <v/>
      </c>
      <c r="Y445" s="202"/>
      <c r="Z445" s="185"/>
      <c r="AJ445" s="77"/>
      <c r="AK445" s="77"/>
      <c r="AL445" s="77"/>
      <c r="AM445" s="77"/>
      <c r="AN445" s="77"/>
      <c r="AO445" s="137" t="str">
        <f aca="false">IF(A446="","",A446-A445)</f>
        <v/>
      </c>
      <c r="AP445" s="212" t="str">
        <f aca="false">IF(A446="","",CHOOSE(F$3,A446+24,A445))</f>
        <v/>
      </c>
      <c r="AQ445" s="209" t="str">
        <f aca="false">IF(A446="","",AP445-$E$1)</f>
        <v/>
      </c>
      <c r="AR445" s="185" t="n">
        <f aca="false">'ANR OK vs ML7'!AR445</f>
        <v>0.1</v>
      </c>
      <c r="AS445" s="213" t="str">
        <f aca="false">IF(A446="","",1/(1+CHOOSE(F$3,(AR446+($I$3/10000))/2,(AR445+($I$3/10000))/2))^(2*AQ445/365.25))</f>
        <v/>
      </c>
      <c r="AT445" s="137" t="str">
        <f aca="false">IF(A446="","",IF(AND(mthbeg&lt;=A445,mthend&gt;=A445),1,0))</f>
        <v/>
      </c>
      <c r="AU445" s="137" t="str">
        <f aca="false">IF(A446="","",AO445*AT445)</f>
        <v/>
      </c>
      <c r="AW445" s="195" t="str">
        <f aca="false">IF($A446="","",AL445*$E445)</f>
        <v/>
      </c>
      <c r="AX445" s="195" t="str">
        <f aca="false">IF($A446="","",AM445*$E445)</f>
        <v/>
      </c>
      <c r="AY445" s="195" t="str">
        <f aca="false">IF($A446="","",AN445*$E445)</f>
        <v/>
      </c>
      <c r="BA445" s="195" t="str">
        <f aca="false">IF($A446="","",F445*Summary!$Q$12)</f>
        <v/>
      </c>
    </row>
    <row r="446" customFormat="false" ht="12.75" hidden="false" customHeight="false" outlineLevel="0" collapsed="false">
      <c r="A446" s="196" t="str">
        <f aca="false">IF(A445&lt;mthend,EDATE(A445,1),"")</f>
        <v/>
      </c>
      <c r="B446" s="197" t="str">
        <f aca="false">IF(A446&lt;mthend,B445,"")</f>
        <v/>
      </c>
      <c r="D446" s="197" t="str">
        <f aca="false">IF(A447&lt;&gt;"",B446+C446,"")</f>
        <v/>
      </c>
      <c r="E446" s="199" t="str">
        <f aca="false">IF(A447="","",IF(AND(AT446=1,$H$3=1),D446*AO446,IF($H$3=2,D446,"N/A")))</f>
        <v/>
      </c>
      <c r="F446" s="199" t="str">
        <f aca="false">IF(A447="","",E446*AS446)</f>
        <v/>
      </c>
      <c r="G446" s="200" t="str">
        <f aca="false">IF($A447="","",VLOOKUP($A446,Table,MATCH(G$4,Curves,0)))</f>
        <v/>
      </c>
      <c r="H446" s="201" t="str">
        <f aca="false">IF(A447="","",G446)</f>
        <v/>
      </c>
      <c r="J446" s="200" t="str">
        <f aca="false">IF($A447="","",VLOOKUP($A446,Table,MATCH(J$4,Curves,0)))</f>
        <v/>
      </c>
      <c r="K446" s="201" t="str">
        <f aca="false">IF(A447="","",J446)</f>
        <v/>
      </c>
      <c r="L446" s="200" t="str">
        <f aca="false">IF($A447="","",VLOOKUP($A446,Table,MATCH(L$4,Curves,0)))</f>
        <v/>
      </c>
      <c r="M446" s="201" t="str">
        <f aca="false">IF(A447="","",L446)</f>
        <v/>
      </c>
      <c r="O446" s="200" t="str">
        <f aca="false">IF(A447="","",L446+J446+G446)</f>
        <v/>
      </c>
      <c r="P446" s="200" t="str">
        <f aca="false">IF(A447="","",M446+K446+H446)</f>
        <v/>
      </c>
      <c r="R446" s="200" t="str">
        <f aca="false">IF($A447="","",VLOOKUP($A446,Table,MATCH(R$4,Curves,0)))</f>
        <v/>
      </c>
      <c r="S446" s="201" t="str">
        <f aca="false">IF(A447="","",R446)</f>
        <v/>
      </c>
      <c r="T446" s="200" t="str">
        <f aca="false">IF($A447="","",VLOOKUP($A446,Table,MATCH(T$4,Curves,0)))</f>
        <v/>
      </c>
      <c r="U446" s="201" t="str">
        <f aca="false">IF(A447="","",T446)</f>
        <v/>
      </c>
      <c r="V446" s="225" t="str">
        <f aca="false">IF($A447="","",IF(AND(MONTH(A446)&gt;3,MONTH(A446)&lt;11),(T446+R446+G446)*(((1/(1-Summary!$T$12))/(1-Summary!$W$12))-1),(T446+R446+G446)*((1/(1-Summary!$U$12))/(1-Summary!$X$12)-1)))</f>
        <v/>
      </c>
      <c r="W446" s="200" t="str">
        <f aca="false">IF($A447="","",(T446+R446+G446+V446))</f>
        <v/>
      </c>
      <c r="X446" s="200" t="str">
        <f aca="false">IF($A447="","",(U446+S446+H446+V446))</f>
        <v/>
      </c>
      <c r="Y446" s="202"/>
      <c r="Z446" s="185"/>
      <c r="AJ446" s="77"/>
      <c r="AK446" s="77"/>
      <c r="AL446" s="77"/>
      <c r="AM446" s="77"/>
      <c r="AN446" s="77"/>
      <c r="AO446" s="137" t="str">
        <f aca="false">IF(A447="","",A447-A446)</f>
        <v/>
      </c>
      <c r="AP446" s="212" t="str">
        <f aca="false">IF(A447="","",CHOOSE(F$3,A447+24,A446))</f>
        <v/>
      </c>
      <c r="AQ446" s="209" t="str">
        <f aca="false">IF(A447="","",AP446-$E$1)</f>
        <v/>
      </c>
      <c r="AR446" s="185" t="n">
        <f aca="false">'ANR OK vs ML7'!AR446</f>
        <v>0.1</v>
      </c>
      <c r="AS446" s="213" t="str">
        <f aca="false">IF(A447="","",1/(1+CHOOSE(F$3,(AR447+($I$3/10000))/2,(AR446+($I$3/10000))/2))^(2*AQ446/365.25))</f>
        <v/>
      </c>
      <c r="AT446" s="137" t="str">
        <f aca="false">IF(A447="","",IF(AND(mthbeg&lt;=A446,mthend&gt;=A446),1,0))</f>
        <v/>
      </c>
      <c r="AU446" s="137" t="str">
        <f aca="false">IF(A447="","",AO446*AT446)</f>
        <v/>
      </c>
      <c r="AW446" s="195" t="str">
        <f aca="false">IF($A447="","",AL446*$E446)</f>
        <v/>
      </c>
      <c r="AX446" s="195" t="str">
        <f aca="false">IF($A447="","",AM446*$E446)</f>
        <v/>
      </c>
      <c r="AY446" s="195" t="str">
        <f aca="false">IF($A447="","",AN446*$E446)</f>
        <v/>
      </c>
      <c r="BA446" s="195" t="str">
        <f aca="false">IF($A447="","",F446*Summary!$Q$12)</f>
        <v/>
      </c>
    </row>
    <row r="447" customFormat="false" ht="12.75" hidden="false" customHeight="false" outlineLevel="0" collapsed="false">
      <c r="A447" s="196" t="str">
        <f aca="false">IF(A446&lt;mthend,EDATE(A446,1),"")</f>
        <v/>
      </c>
      <c r="B447" s="197" t="str">
        <f aca="false">IF(A447&lt;mthend,B446,"")</f>
        <v/>
      </c>
      <c r="D447" s="197" t="str">
        <f aca="false">IF(A448&lt;&gt;"",B447+C447,"")</f>
        <v/>
      </c>
      <c r="E447" s="199" t="str">
        <f aca="false">IF(A448="","",IF(AND(AT447=1,$H$3=1),D447*AO447,IF($H$3=2,D447,"N/A")))</f>
        <v/>
      </c>
      <c r="F447" s="199" t="str">
        <f aca="false">IF(A448="","",E447*AS447)</f>
        <v/>
      </c>
      <c r="G447" s="200" t="str">
        <f aca="false">IF($A448="","",VLOOKUP($A447,Table,MATCH(G$4,Curves,0)))</f>
        <v/>
      </c>
      <c r="H447" s="201" t="str">
        <f aca="false">IF(A448="","",G447)</f>
        <v/>
      </c>
      <c r="J447" s="200" t="str">
        <f aca="false">IF($A448="","",VLOOKUP($A447,Table,MATCH(J$4,Curves,0)))</f>
        <v/>
      </c>
      <c r="K447" s="201" t="str">
        <f aca="false">IF(A448="","",J447)</f>
        <v/>
      </c>
      <c r="L447" s="200" t="str">
        <f aca="false">IF($A448="","",VLOOKUP($A447,Table,MATCH(L$4,Curves,0)))</f>
        <v/>
      </c>
      <c r="M447" s="201" t="str">
        <f aca="false">IF(A448="","",L447)</f>
        <v/>
      </c>
      <c r="O447" s="200" t="str">
        <f aca="false">IF(A448="","",L447+J447+G447)</f>
        <v/>
      </c>
      <c r="P447" s="200" t="str">
        <f aca="false">IF(A448="","",M447+K447+H447)</f>
        <v/>
      </c>
      <c r="R447" s="200" t="str">
        <f aca="false">IF($A448="","",VLOOKUP($A447,Table,MATCH(R$4,Curves,0)))</f>
        <v/>
      </c>
      <c r="S447" s="201" t="str">
        <f aca="false">IF(A448="","",R447)</f>
        <v/>
      </c>
      <c r="T447" s="200" t="str">
        <f aca="false">IF($A448="","",VLOOKUP($A447,Table,MATCH(T$4,Curves,0)))</f>
        <v/>
      </c>
      <c r="U447" s="201" t="str">
        <f aca="false">IF(A448="","",T447)</f>
        <v/>
      </c>
      <c r="V447" s="225" t="str">
        <f aca="false">IF($A448="","",IF(AND(MONTH(A447)&gt;3,MONTH(A447)&lt;11),(T447+R447+G447)*(((1/(1-Summary!$T$12))/(1-Summary!$W$12))-1),(T447+R447+G447)*((1/(1-Summary!$U$12))/(1-Summary!$X$12)-1)))</f>
        <v/>
      </c>
      <c r="W447" s="200" t="str">
        <f aca="false">IF($A448="","",(T447+R447+G447+V447))</f>
        <v/>
      </c>
      <c r="X447" s="200" t="str">
        <f aca="false">IF($A448="","",(U447+S447+H447+V447))</f>
        <v/>
      </c>
      <c r="Y447" s="202"/>
      <c r="Z447" s="185"/>
      <c r="AJ447" s="77"/>
      <c r="AK447" s="77"/>
      <c r="AL447" s="77"/>
      <c r="AM447" s="77"/>
      <c r="AN447" s="77"/>
      <c r="AO447" s="137" t="str">
        <f aca="false">IF(A448="","",A448-A447)</f>
        <v/>
      </c>
      <c r="AP447" s="212" t="str">
        <f aca="false">IF(A448="","",CHOOSE(F$3,A448+24,A447))</f>
        <v/>
      </c>
      <c r="AQ447" s="209" t="str">
        <f aca="false">IF(A448="","",AP447-$E$1)</f>
        <v/>
      </c>
      <c r="AR447" s="185" t="n">
        <f aca="false">'ANR OK vs ML7'!AR447</f>
        <v>0.1</v>
      </c>
      <c r="AS447" s="213" t="str">
        <f aca="false">IF(A448="","",1/(1+CHOOSE(F$3,(AR448+($I$3/10000))/2,(AR447+($I$3/10000))/2))^(2*AQ447/365.25))</f>
        <v/>
      </c>
      <c r="AT447" s="137" t="str">
        <f aca="false">IF(A448="","",IF(AND(mthbeg&lt;=A447,mthend&gt;=A447),1,0))</f>
        <v/>
      </c>
      <c r="AU447" s="137" t="str">
        <f aca="false">IF(A448="","",AO447*AT447)</f>
        <v/>
      </c>
      <c r="AW447" s="195" t="str">
        <f aca="false">IF($A448="","",AL447*$E447)</f>
        <v/>
      </c>
      <c r="AX447" s="195" t="str">
        <f aca="false">IF($A448="","",AM447*$E447)</f>
        <v/>
      </c>
      <c r="AY447" s="195" t="str">
        <f aca="false">IF($A448="","",AN447*$E447)</f>
        <v/>
      </c>
      <c r="BA447" s="195" t="str">
        <f aca="false">IF($A448="","",F447*Summary!$Q$12)</f>
        <v/>
      </c>
    </row>
    <row r="448" customFormat="false" ht="12.75" hidden="false" customHeight="false" outlineLevel="0" collapsed="false">
      <c r="A448" s="196" t="str">
        <f aca="false">IF(A447&lt;mthend,EDATE(A447,1),"")</f>
        <v/>
      </c>
      <c r="B448" s="197" t="str">
        <f aca="false">IF(A448&lt;mthend,B447,"")</f>
        <v/>
      </c>
      <c r="D448" s="197" t="str">
        <f aca="false">IF(A449&lt;&gt;"",B448+C448,"")</f>
        <v/>
      </c>
      <c r="E448" s="199" t="str">
        <f aca="false">IF(A449="","",IF(AND(AT448=1,$H$3=1),D448*AO448,IF($H$3=2,D448,"N/A")))</f>
        <v/>
      </c>
      <c r="F448" s="199" t="str">
        <f aca="false">IF(A449="","",E448*AS448)</f>
        <v/>
      </c>
      <c r="G448" s="200" t="str">
        <f aca="false">IF($A449="","",VLOOKUP($A448,Table,MATCH(G$4,Curves,0)))</f>
        <v/>
      </c>
      <c r="H448" s="201" t="str">
        <f aca="false">IF(A449="","",G448)</f>
        <v/>
      </c>
      <c r="J448" s="200" t="str">
        <f aca="false">IF($A449="","",VLOOKUP($A448,Table,MATCH(J$4,Curves,0)))</f>
        <v/>
      </c>
      <c r="K448" s="201" t="str">
        <f aca="false">IF(A449="","",J448)</f>
        <v/>
      </c>
      <c r="L448" s="200" t="str">
        <f aca="false">IF($A449="","",VLOOKUP($A448,Table,MATCH(L$4,Curves,0)))</f>
        <v/>
      </c>
      <c r="M448" s="201" t="str">
        <f aca="false">IF(A449="","",L448)</f>
        <v/>
      </c>
      <c r="O448" s="200" t="str">
        <f aca="false">IF(A449="","",L448+J448+G448)</f>
        <v/>
      </c>
      <c r="P448" s="200" t="str">
        <f aca="false">IF(A449="","",M448+K448+H448)</f>
        <v/>
      </c>
      <c r="R448" s="200" t="str">
        <f aca="false">IF($A449="","",VLOOKUP($A448,Table,MATCH(R$4,Curves,0)))</f>
        <v/>
      </c>
      <c r="S448" s="201" t="str">
        <f aca="false">IF(A449="","",R448)</f>
        <v/>
      </c>
      <c r="T448" s="200" t="str">
        <f aca="false">IF($A449="","",VLOOKUP($A448,Table,MATCH(T$4,Curves,0)))</f>
        <v/>
      </c>
      <c r="U448" s="201" t="str">
        <f aca="false">IF(A449="","",T448)</f>
        <v/>
      </c>
      <c r="V448" s="225" t="str">
        <f aca="false">IF($A449="","",IF(AND(MONTH(A448)&gt;3,MONTH(A448)&lt;11),(T448+R448+G448)*(((1/(1-Summary!$T$12))/(1-Summary!$W$12))-1),(T448+R448+G448)*((1/(1-Summary!$U$12))/(1-Summary!$X$12)-1)))</f>
        <v/>
      </c>
      <c r="W448" s="200" t="str">
        <f aca="false">IF($A449="","",(T448+R448+G448+V448))</f>
        <v/>
      </c>
      <c r="X448" s="200" t="str">
        <f aca="false">IF($A449="","",(U448+S448+H448+V448))</f>
        <v/>
      </c>
      <c r="Y448" s="202"/>
      <c r="Z448" s="185"/>
      <c r="AJ448" s="77"/>
      <c r="AK448" s="77"/>
      <c r="AL448" s="77"/>
      <c r="AM448" s="77"/>
      <c r="AN448" s="77"/>
      <c r="AO448" s="137" t="str">
        <f aca="false">IF(A449="","",A449-A448)</f>
        <v/>
      </c>
      <c r="AP448" s="212" t="str">
        <f aca="false">IF(A449="","",CHOOSE(F$3,A449+24,A448))</f>
        <v/>
      </c>
      <c r="AQ448" s="209" t="str">
        <f aca="false">IF(A449="","",AP448-$E$1)</f>
        <v/>
      </c>
      <c r="AR448" s="185" t="n">
        <f aca="false">'ANR OK vs ML7'!AR448</f>
        <v>0.1</v>
      </c>
      <c r="AS448" s="213" t="str">
        <f aca="false">IF(A449="","",1/(1+CHOOSE(F$3,(AR449+($I$3/10000))/2,(AR448+($I$3/10000))/2))^(2*AQ448/365.25))</f>
        <v/>
      </c>
      <c r="AT448" s="137" t="str">
        <f aca="false">IF(A449="","",IF(AND(mthbeg&lt;=A448,mthend&gt;=A448),1,0))</f>
        <v/>
      </c>
      <c r="AU448" s="137" t="str">
        <f aca="false">IF(A449="","",AO448*AT448)</f>
        <v/>
      </c>
      <c r="AW448" s="195" t="str">
        <f aca="false">IF($A449="","",AL448*$E448)</f>
        <v/>
      </c>
      <c r="AX448" s="195" t="str">
        <f aca="false">IF($A449="","",AM448*$E448)</f>
        <v/>
      </c>
      <c r="AY448" s="195" t="str">
        <f aca="false">IF($A449="","",AN448*$E448)</f>
        <v/>
      </c>
      <c r="BA448" s="195" t="str">
        <f aca="false">IF($A449="","",F448*Summary!$Q$12)</f>
        <v/>
      </c>
    </row>
    <row r="449" customFormat="false" ht="12.75" hidden="false" customHeight="false" outlineLevel="0" collapsed="false">
      <c r="A449" s="196" t="str">
        <f aca="false">IF(A448&lt;mthend,EDATE(A448,1),"")</f>
        <v/>
      </c>
      <c r="B449" s="197" t="str">
        <f aca="false">IF(A449&lt;mthend,B448,"")</f>
        <v/>
      </c>
      <c r="D449" s="197" t="str">
        <f aca="false">IF(A450&lt;&gt;"",B449+C449,"")</f>
        <v/>
      </c>
      <c r="E449" s="199" t="str">
        <f aca="false">IF(A450="","",IF(AND(AT449=1,$H$3=1),D449*AO449,IF($H$3=2,D449,"N/A")))</f>
        <v/>
      </c>
      <c r="F449" s="199" t="str">
        <f aca="false">IF(A450="","",E449*AS449)</f>
        <v/>
      </c>
      <c r="G449" s="200" t="str">
        <f aca="false">IF($A450="","",VLOOKUP($A449,Table,MATCH(G$4,Curves,0)))</f>
        <v/>
      </c>
      <c r="H449" s="201" t="str">
        <f aca="false">IF(A450="","",G449)</f>
        <v/>
      </c>
      <c r="J449" s="200" t="str">
        <f aca="false">IF($A450="","",VLOOKUP($A449,Table,MATCH(J$4,Curves,0)))</f>
        <v/>
      </c>
      <c r="K449" s="201" t="str">
        <f aca="false">IF(A450="","",J449)</f>
        <v/>
      </c>
      <c r="L449" s="200" t="str">
        <f aca="false">IF($A450="","",VLOOKUP($A449,Table,MATCH(L$4,Curves,0)))</f>
        <v/>
      </c>
      <c r="M449" s="201" t="str">
        <f aca="false">IF(A450="","",L449)</f>
        <v/>
      </c>
      <c r="O449" s="200" t="str">
        <f aca="false">IF(A450="","",L449+J449+G449)</f>
        <v/>
      </c>
      <c r="P449" s="200" t="str">
        <f aca="false">IF(A450="","",M449+K449+H449)</f>
        <v/>
      </c>
      <c r="R449" s="200" t="str">
        <f aca="false">IF($A450="","",VLOOKUP($A449,Table,MATCH(R$4,Curves,0)))</f>
        <v/>
      </c>
      <c r="S449" s="201" t="str">
        <f aca="false">IF(A450="","",R449)</f>
        <v/>
      </c>
      <c r="T449" s="200" t="str">
        <f aca="false">IF($A450="","",VLOOKUP($A449,Table,MATCH(T$4,Curves,0)))</f>
        <v/>
      </c>
      <c r="U449" s="201" t="str">
        <f aca="false">IF(A450="","",T449)</f>
        <v/>
      </c>
      <c r="V449" s="225" t="str">
        <f aca="false">IF($A450="","",IF(AND(MONTH(A449)&gt;3,MONTH(A449)&lt;11),(T449+R449+G449)*(((1/(1-Summary!$T$12))/(1-Summary!$W$12))-1),(T449+R449+G449)*((1/(1-Summary!$U$12))/(1-Summary!$X$12)-1)))</f>
        <v/>
      </c>
      <c r="W449" s="200" t="str">
        <f aca="false">IF($A450="","",(T449+R449+G449+V449))</f>
        <v/>
      </c>
      <c r="X449" s="200" t="str">
        <f aca="false">IF($A450="","",(U449+S449+H449+V449))</f>
        <v/>
      </c>
      <c r="Y449" s="202"/>
      <c r="Z449" s="185"/>
      <c r="AJ449" s="77"/>
      <c r="AK449" s="77"/>
      <c r="AL449" s="77"/>
      <c r="AM449" s="77"/>
      <c r="AN449" s="77"/>
      <c r="AO449" s="137" t="str">
        <f aca="false">IF(A450="","",A450-A449)</f>
        <v/>
      </c>
      <c r="AP449" s="212" t="str">
        <f aca="false">IF(A450="","",CHOOSE(F$3,A450+24,A449))</f>
        <v/>
      </c>
      <c r="AQ449" s="209" t="str">
        <f aca="false">IF(A450="","",AP449-$E$1)</f>
        <v/>
      </c>
      <c r="AR449" s="185" t="n">
        <f aca="false">'ANR OK vs ML7'!AR449</f>
        <v>0.1</v>
      </c>
      <c r="AS449" s="213" t="str">
        <f aca="false">IF(A450="","",1/(1+CHOOSE(F$3,(AR450+($I$3/10000))/2,(AR449+($I$3/10000))/2))^(2*AQ449/365.25))</f>
        <v/>
      </c>
      <c r="AT449" s="137" t="str">
        <f aca="false">IF(A450="","",IF(AND(mthbeg&lt;=A449,mthend&gt;=A449),1,0))</f>
        <v/>
      </c>
      <c r="AU449" s="137" t="str">
        <f aca="false">IF(A450="","",AO449*AT449)</f>
        <v/>
      </c>
      <c r="AW449" s="195" t="str">
        <f aca="false">IF($A450="","",AL449*$E449)</f>
        <v/>
      </c>
      <c r="AX449" s="195" t="str">
        <f aca="false">IF($A450="","",AM449*$E449)</f>
        <v/>
      </c>
      <c r="AY449" s="195" t="str">
        <f aca="false">IF($A450="","",AN449*$E449)</f>
        <v/>
      </c>
      <c r="BA449" s="195" t="str">
        <f aca="false">IF($A450="","",F449*Summary!$Q$12)</f>
        <v/>
      </c>
    </row>
    <row r="450" customFormat="false" ht="12.75" hidden="false" customHeight="false" outlineLevel="0" collapsed="false">
      <c r="A450" s="196" t="str">
        <f aca="false">IF(A449&lt;mthend,EDATE(A449,1),"")</f>
        <v/>
      </c>
      <c r="B450" s="197" t="str">
        <f aca="false">IF(A450&lt;mthend,B449,"")</f>
        <v/>
      </c>
      <c r="D450" s="197" t="str">
        <f aca="false">IF(A451&lt;&gt;"",B450+C450,"")</f>
        <v/>
      </c>
      <c r="E450" s="199" t="str">
        <f aca="false">IF(A451="","",IF(AND(AT450=1,$H$3=1),D450*AO450,IF($H$3=2,D450,"N/A")))</f>
        <v/>
      </c>
      <c r="F450" s="199" t="str">
        <f aca="false">IF(A451="","",E450*AS450)</f>
        <v/>
      </c>
      <c r="G450" s="200" t="str">
        <f aca="false">IF($A451="","",VLOOKUP($A450,Table,MATCH(G$4,Curves,0)))</f>
        <v/>
      </c>
      <c r="H450" s="201" t="str">
        <f aca="false">IF(A451="","",G450)</f>
        <v/>
      </c>
      <c r="J450" s="200" t="str">
        <f aca="false">IF($A451="","",VLOOKUP($A450,Table,MATCH(J$4,Curves,0)))</f>
        <v/>
      </c>
      <c r="K450" s="201" t="str">
        <f aca="false">IF(A451="","",J450)</f>
        <v/>
      </c>
      <c r="L450" s="200" t="str">
        <f aca="false">IF($A451="","",VLOOKUP($A450,Table,MATCH(L$4,Curves,0)))</f>
        <v/>
      </c>
      <c r="M450" s="201" t="str">
        <f aca="false">IF(A451="","",L450)</f>
        <v/>
      </c>
      <c r="O450" s="200" t="str">
        <f aca="false">IF(A451="","",L450+J450+G450)</f>
        <v/>
      </c>
      <c r="P450" s="200" t="str">
        <f aca="false">IF(A451="","",M450+K450+H450)</f>
        <v/>
      </c>
      <c r="R450" s="200" t="str">
        <f aca="false">IF($A451="","",VLOOKUP($A450,Table,MATCH(R$4,Curves,0)))</f>
        <v/>
      </c>
      <c r="S450" s="201" t="str">
        <f aca="false">IF(A451="","",R450)</f>
        <v/>
      </c>
      <c r="T450" s="200" t="str">
        <f aca="false">IF($A451="","",VLOOKUP($A450,Table,MATCH(T$4,Curves,0)))</f>
        <v/>
      </c>
      <c r="U450" s="201" t="str">
        <f aca="false">IF(A451="","",T450)</f>
        <v/>
      </c>
      <c r="V450" s="225" t="str">
        <f aca="false">IF($A451="","",IF(AND(MONTH(A450)&gt;3,MONTH(A450)&lt;11),(T450+R450+G450)*(((1/(1-Summary!$T$12))/(1-Summary!$W$12))-1),(T450+R450+G450)*((1/(1-Summary!$U$12))/(1-Summary!$X$12)-1)))</f>
        <v/>
      </c>
      <c r="W450" s="200" t="str">
        <f aca="false">IF($A451="","",(T450+R450+G450+V450))</f>
        <v/>
      </c>
      <c r="X450" s="200" t="str">
        <f aca="false">IF($A451="","",(U450+S450+H450+V450))</f>
        <v/>
      </c>
      <c r="Y450" s="202"/>
      <c r="Z450" s="185"/>
      <c r="AJ450" s="77"/>
      <c r="AK450" s="77"/>
      <c r="AL450" s="77"/>
      <c r="AM450" s="77"/>
      <c r="AN450" s="77"/>
      <c r="AO450" s="137" t="str">
        <f aca="false">IF(A451="","",A451-A450)</f>
        <v/>
      </c>
      <c r="AP450" s="212" t="str">
        <f aca="false">IF(A451="","",CHOOSE(F$3,A451+24,A450))</f>
        <v/>
      </c>
      <c r="AQ450" s="209" t="str">
        <f aca="false">IF(A451="","",AP450-$E$1)</f>
        <v/>
      </c>
      <c r="AR450" s="185" t="n">
        <f aca="false">'ANR OK vs ML7'!AR450</f>
        <v>0.1</v>
      </c>
      <c r="AS450" s="213" t="str">
        <f aca="false">IF(A451="","",1/(1+CHOOSE(F$3,(AR451+($I$3/10000))/2,(AR450+($I$3/10000))/2))^(2*AQ450/365.25))</f>
        <v/>
      </c>
      <c r="AT450" s="137" t="str">
        <f aca="false">IF(A451="","",IF(AND(mthbeg&lt;=A450,mthend&gt;=A450),1,0))</f>
        <v/>
      </c>
      <c r="AU450" s="137" t="str">
        <f aca="false">IF(A451="","",AO450*AT450)</f>
        <v/>
      </c>
      <c r="AW450" s="195" t="str">
        <f aca="false">IF($A451="","",AL450*$E450)</f>
        <v/>
      </c>
      <c r="AX450" s="195" t="str">
        <f aca="false">IF($A451="","",AM450*$E450)</f>
        <v/>
      </c>
      <c r="AY450" s="195" t="str">
        <f aca="false">IF($A451="","",AN450*$E450)</f>
        <v/>
      </c>
      <c r="BA450" s="195" t="str">
        <f aca="false">IF($A451="","",F450*Summary!$Q$12)</f>
        <v/>
      </c>
    </row>
    <row r="451" customFormat="false" ht="12.75" hidden="false" customHeight="false" outlineLevel="0" collapsed="false">
      <c r="A451" s="196" t="str">
        <f aca="false">IF(A450&lt;mthend,EDATE(A450,1),"")</f>
        <v/>
      </c>
      <c r="B451" s="197" t="str">
        <f aca="false">IF(A451&lt;mthend,B450,"")</f>
        <v/>
      </c>
      <c r="D451" s="197" t="str">
        <f aca="false">IF(A452&lt;&gt;"",B451+C451,"")</f>
        <v/>
      </c>
      <c r="E451" s="199" t="str">
        <f aca="false">IF(A452="","",IF(AND(AT451=1,$H$3=1),D451*AO451,IF($H$3=2,D451,"N/A")))</f>
        <v/>
      </c>
      <c r="F451" s="199" t="str">
        <f aca="false">IF(A452="","",E451*AS451)</f>
        <v/>
      </c>
      <c r="G451" s="200" t="str">
        <f aca="false">IF($A452="","",VLOOKUP($A451,Table,MATCH(G$4,Curves,0)))</f>
        <v/>
      </c>
      <c r="H451" s="201" t="str">
        <f aca="false">IF(A452="","",G451)</f>
        <v/>
      </c>
      <c r="J451" s="200" t="str">
        <f aca="false">IF($A452="","",VLOOKUP($A451,Table,MATCH(J$4,Curves,0)))</f>
        <v/>
      </c>
      <c r="K451" s="201" t="str">
        <f aca="false">IF(A452="","",J451)</f>
        <v/>
      </c>
      <c r="L451" s="200" t="str">
        <f aca="false">IF($A452="","",VLOOKUP($A451,Table,MATCH(L$4,Curves,0)))</f>
        <v/>
      </c>
      <c r="M451" s="201" t="str">
        <f aca="false">IF(A452="","",L451)</f>
        <v/>
      </c>
      <c r="O451" s="200" t="str">
        <f aca="false">IF(A452="","",L451+J451+G451)</f>
        <v/>
      </c>
      <c r="P451" s="200" t="str">
        <f aca="false">IF(A452="","",M451+K451+H451)</f>
        <v/>
      </c>
      <c r="R451" s="200" t="str">
        <f aca="false">IF($A452="","",VLOOKUP($A451,Table,MATCH(R$4,Curves,0)))</f>
        <v/>
      </c>
      <c r="S451" s="201" t="str">
        <f aca="false">IF(A452="","",R451)</f>
        <v/>
      </c>
      <c r="T451" s="200" t="str">
        <f aca="false">IF($A452="","",VLOOKUP($A451,Table,MATCH(T$4,Curves,0)))</f>
        <v/>
      </c>
      <c r="U451" s="201" t="str">
        <f aca="false">IF(A452="","",T451)</f>
        <v/>
      </c>
      <c r="V451" s="225" t="str">
        <f aca="false">IF($A452="","",IF(AND(MONTH(A451)&gt;3,MONTH(A451)&lt;11),(T451+R451+G451)*(((1/(1-Summary!$T$12))/(1-Summary!$W$12))-1),(T451+R451+G451)*((1/(1-Summary!$U$12))/(1-Summary!$X$12)-1)))</f>
        <v/>
      </c>
      <c r="W451" s="200" t="str">
        <f aca="false">IF($A452="","",(T451+R451+G451+V451))</f>
        <v/>
      </c>
      <c r="X451" s="200" t="str">
        <f aca="false">IF($A452="","",(U451+S451+H451+V451))</f>
        <v/>
      </c>
      <c r="Y451" s="202"/>
      <c r="Z451" s="185"/>
      <c r="AJ451" s="77"/>
      <c r="AK451" s="77"/>
      <c r="AL451" s="77"/>
      <c r="AM451" s="77"/>
      <c r="AN451" s="77"/>
      <c r="AO451" s="137" t="str">
        <f aca="false">IF(A452="","",A452-A451)</f>
        <v/>
      </c>
      <c r="AP451" s="212" t="str">
        <f aca="false">IF(A452="","",CHOOSE(F$3,A452+24,A451))</f>
        <v/>
      </c>
      <c r="AQ451" s="209" t="str">
        <f aca="false">IF(A452="","",AP451-$E$1)</f>
        <v/>
      </c>
      <c r="AR451" s="185" t="n">
        <f aca="false">'ANR OK vs ML7'!AR451</f>
        <v>0.1</v>
      </c>
      <c r="AS451" s="213" t="str">
        <f aca="false">IF(A452="","",1/(1+CHOOSE(F$3,(AR452+($I$3/10000))/2,(AR451+($I$3/10000))/2))^(2*AQ451/365.25))</f>
        <v/>
      </c>
      <c r="AT451" s="137" t="str">
        <f aca="false">IF(A452="","",IF(AND(mthbeg&lt;=A451,mthend&gt;=A451),1,0))</f>
        <v/>
      </c>
      <c r="AU451" s="137" t="str">
        <f aca="false">IF(A452="","",AO451*AT451)</f>
        <v/>
      </c>
      <c r="AW451" s="195" t="str">
        <f aca="false">IF($A452="","",AL451*$E451)</f>
        <v/>
      </c>
      <c r="AX451" s="195" t="str">
        <f aca="false">IF($A452="","",AM451*$E451)</f>
        <v/>
      </c>
      <c r="AY451" s="195" t="str">
        <f aca="false">IF($A452="","",AN451*$E451)</f>
        <v/>
      </c>
      <c r="BA451" s="195" t="str">
        <f aca="false">IF($A452="","",F451*Summary!$Q$12)</f>
        <v/>
      </c>
    </row>
    <row r="452" customFormat="false" ht="12.75" hidden="false" customHeight="false" outlineLevel="0" collapsed="false">
      <c r="A452" s="196" t="str">
        <f aca="false">IF(A451&lt;mthend,EDATE(A451,1),"")</f>
        <v/>
      </c>
      <c r="B452" s="197" t="str">
        <f aca="false">IF(A452&lt;mthend,B451,"")</f>
        <v/>
      </c>
      <c r="D452" s="197" t="str">
        <f aca="false">IF(A453&lt;&gt;"",B452+C452,"")</f>
        <v/>
      </c>
      <c r="E452" s="199" t="str">
        <f aca="false">IF(A453="","",IF(AND(AT452=1,$H$3=1),D452*AO452,IF($H$3=2,D452,"N/A")))</f>
        <v/>
      </c>
      <c r="F452" s="199" t="str">
        <f aca="false">IF(A453="","",E452*AS452)</f>
        <v/>
      </c>
      <c r="G452" s="200" t="str">
        <f aca="false">IF($A453="","",VLOOKUP($A452,Table,MATCH(G$4,Curves,0)))</f>
        <v/>
      </c>
      <c r="H452" s="201" t="str">
        <f aca="false">IF(A453="","",G452)</f>
        <v/>
      </c>
      <c r="J452" s="200" t="str">
        <f aca="false">IF($A453="","",VLOOKUP($A452,Table,MATCH(J$4,Curves,0)))</f>
        <v/>
      </c>
      <c r="K452" s="201" t="str">
        <f aca="false">IF(A453="","",J452)</f>
        <v/>
      </c>
      <c r="L452" s="200" t="str">
        <f aca="false">IF($A453="","",VLOOKUP($A452,Table,MATCH(L$4,Curves,0)))</f>
        <v/>
      </c>
      <c r="M452" s="201" t="str">
        <f aca="false">IF(A453="","",L452)</f>
        <v/>
      </c>
      <c r="O452" s="200" t="str">
        <f aca="false">IF(A453="","",L452+J452+G452)</f>
        <v/>
      </c>
      <c r="P452" s="200" t="str">
        <f aca="false">IF(A453="","",M452+K452+H452)</f>
        <v/>
      </c>
      <c r="R452" s="200" t="str">
        <f aca="false">IF($A453="","",VLOOKUP($A452,Table,MATCH(R$4,Curves,0)))</f>
        <v/>
      </c>
      <c r="S452" s="201" t="str">
        <f aca="false">IF(A453="","",R452)</f>
        <v/>
      </c>
      <c r="T452" s="200" t="str">
        <f aca="false">IF($A453="","",VLOOKUP($A452,Table,MATCH(T$4,Curves,0)))</f>
        <v/>
      </c>
      <c r="U452" s="201" t="str">
        <f aca="false">IF(A453="","",T452)</f>
        <v/>
      </c>
      <c r="V452" s="225" t="str">
        <f aca="false">IF($A453="","",IF(AND(MONTH(A452)&gt;3,MONTH(A452)&lt;11),(T452+R452+G452)*(((1/(1-Summary!$T$12))/(1-Summary!$W$12))-1),(T452+R452+G452)*((1/(1-Summary!$U$12))/(1-Summary!$X$12)-1)))</f>
        <v/>
      </c>
      <c r="W452" s="200" t="str">
        <f aca="false">IF($A453="","",(T452+R452+G452+V452))</f>
        <v/>
      </c>
      <c r="X452" s="200" t="str">
        <f aca="false">IF($A453="","",(U452+S452+H452+V452))</f>
        <v/>
      </c>
      <c r="Y452" s="202"/>
      <c r="Z452" s="185"/>
      <c r="AJ452" s="77"/>
      <c r="AK452" s="77"/>
      <c r="AL452" s="77"/>
      <c r="AM452" s="77"/>
      <c r="AN452" s="77"/>
      <c r="AO452" s="137" t="str">
        <f aca="false">IF(A453="","",A453-A452)</f>
        <v/>
      </c>
      <c r="AP452" s="212" t="str">
        <f aca="false">IF(A453="","",CHOOSE(F$3,A453+24,A452))</f>
        <v/>
      </c>
      <c r="AQ452" s="209" t="str">
        <f aca="false">IF(A453="","",AP452-$E$1)</f>
        <v/>
      </c>
      <c r="AR452" s="185" t="n">
        <f aca="false">'ANR OK vs ML7'!AR452</f>
        <v>0.1</v>
      </c>
      <c r="AS452" s="213" t="str">
        <f aca="false">IF(A453="","",1/(1+CHOOSE(F$3,(AR453+($I$3/10000))/2,(AR452+($I$3/10000))/2))^(2*AQ452/365.25))</f>
        <v/>
      </c>
      <c r="AT452" s="137" t="str">
        <f aca="false">IF(A453="","",IF(AND(mthbeg&lt;=A452,mthend&gt;=A452),1,0))</f>
        <v/>
      </c>
      <c r="AU452" s="137" t="str">
        <f aca="false">IF(A453="","",AO452*AT452)</f>
        <v/>
      </c>
      <c r="AW452" s="195" t="str">
        <f aca="false">IF($A453="","",AL452*$E452)</f>
        <v/>
      </c>
      <c r="AX452" s="195" t="str">
        <f aca="false">IF($A453="","",AM452*$E452)</f>
        <v/>
      </c>
      <c r="AY452" s="195" t="str">
        <f aca="false">IF($A453="","",AN452*$E452)</f>
        <v/>
      </c>
      <c r="BA452" s="195" t="str">
        <f aca="false">IF($A453="","",F452*Summary!$Q$12)</f>
        <v/>
      </c>
    </row>
    <row r="453" customFormat="false" ht="12.75" hidden="false" customHeight="false" outlineLevel="0" collapsed="false">
      <c r="A453" s="196" t="str">
        <f aca="false">IF(A452&lt;mthend,EDATE(A452,1),"")</f>
        <v/>
      </c>
      <c r="B453" s="197" t="str">
        <f aca="false">IF(A453&lt;mthend,B452,"")</f>
        <v/>
      </c>
      <c r="D453" s="197" t="str">
        <f aca="false">IF(A454&lt;&gt;"",B453+C453,"")</f>
        <v/>
      </c>
      <c r="E453" s="199" t="str">
        <f aca="false">IF(A454="","",IF(AND(AT453=1,$H$3=1),D453*AO453,IF($H$3=2,D453,"N/A")))</f>
        <v/>
      </c>
      <c r="F453" s="199" t="str">
        <f aca="false">IF(A454="","",E453*AS453)</f>
        <v/>
      </c>
      <c r="G453" s="200" t="str">
        <f aca="false">IF($A454="","",VLOOKUP($A453,Table,MATCH(G$4,Curves,0)))</f>
        <v/>
      </c>
      <c r="H453" s="201" t="str">
        <f aca="false">IF(A454="","",G453)</f>
        <v/>
      </c>
      <c r="J453" s="200" t="str">
        <f aca="false">IF($A454="","",VLOOKUP($A453,Table,MATCH(J$4,Curves,0)))</f>
        <v/>
      </c>
      <c r="K453" s="201" t="str">
        <f aca="false">IF(A454="","",J453)</f>
        <v/>
      </c>
      <c r="L453" s="200" t="str">
        <f aca="false">IF($A454="","",VLOOKUP($A453,Table,MATCH(L$4,Curves,0)))</f>
        <v/>
      </c>
      <c r="M453" s="201" t="str">
        <f aca="false">IF(A454="","",L453)</f>
        <v/>
      </c>
      <c r="O453" s="200" t="str">
        <f aca="false">IF(A454="","",L453+J453+G453)</f>
        <v/>
      </c>
      <c r="P453" s="200" t="str">
        <f aca="false">IF(A454="","",M453+K453+H453)</f>
        <v/>
      </c>
      <c r="R453" s="200" t="str">
        <f aca="false">IF($A454="","",VLOOKUP($A453,Table,MATCH(R$4,Curves,0)))</f>
        <v/>
      </c>
      <c r="S453" s="201" t="str">
        <f aca="false">IF(A454="","",R453)</f>
        <v/>
      </c>
      <c r="T453" s="200" t="str">
        <f aca="false">IF($A454="","",VLOOKUP($A453,Table,MATCH(T$4,Curves,0)))</f>
        <v/>
      </c>
      <c r="U453" s="201" t="str">
        <f aca="false">IF(A454="","",T453)</f>
        <v/>
      </c>
      <c r="V453" s="225" t="str">
        <f aca="false">IF($A454="","",IF(AND(MONTH(A453)&gt;3,MONTH(A453)&lt;11),(T453+R453+G453)*(((1/(1-Summary!$T$12))/(1-Summary!$W$12))-1),(T453+R453+G453)*((1/(1-Summary!$U$12))/(1-Summary!$X$12)-1)))</f>
        <v/>
      </c>
      <c r="W453" s="200" t="str">
        <f aca="false">IF($A454="","",(T453+R453+G453+V453))</f>
        <v/>
      </c>
      <c r="X453" s="200" t="str">
        <f aca="false">IF($A454="","",(U453+S453+H453+V453))</f>
        <v/>
      </c>
      <c r="Y453" s="202"/>
      <c r="Z453" s="185"/>
      <c r="AJ453" s="77"/>
      <c r="AK453" s="77"/>
      <c r="AL453" s="77"/>
      <c r="AM453" s="77"/>
      <c r="AN453" s="77"/>
      <c r="AO453" s="137" t="str">
        <f aca="false">IF(A454="","",A454-A453)</f>
        <v/>
      </c>
      <c r="AP453" s="212" t="str">
        <f aca="false">IF(A454="","",CHOOSE(F$3,A454+24,A453))</f>
        <v/>
      </c>
      <c r="AQ453" s="209" t="str">
        <f aca="false">IF(A454="","",AP453-$E$1)</f>
        <v/>
      </c>
      <c r="AR453" s="185" t="n">
        <f aca="false">'ANR OK vs ML7'!AR453</f>
        <v>0.1</v>
      </c>
      <c r="AS453" s="213" t="str">
        <f aca="false">IF(A454="","",1/(1+CHOOSE(F$3,(AR454+($I$3/10000))/2,(AR453+($I$3/10000))/2))^(2*AQ453/365.25))</f>
        <v/>
      </c>
      <c r="AT453" s="137" t="str">
        <f aca="false">IF(A454="","",IF(AND(mthbeg&lt;=A453,mthend&gt;=A453),1,0))</f>
        <v/>
      </c>
      <c r="AU453" s="137" t="str">
        <f aca="false">IF(A454="","",AO453*AT453)</f>
        <v/>
      </c>
      <c r="AW453" s="195" t="str">
        <f aca="false">IF($A454="","",AL453*$E453)</f>
        <v/>
      </c>
      <c r="AX453" s="195" t="str">
        <f aca="false">IF($A454="","",AM453*$E453)</f>
        <v/>
      </c>
      <c r="AY453" s="195" t="str">
        <f aca="false">IF($A454="","",AN453*$E453)</f>
        <v/>
      </c>
      <c r="BA453" s="195" t="str">
        <f aca="false">IF($A454="","",F453*Summary!$Q$12)</f>
        <v/>
      </c>
    </row>
    <row r="454" customFormat="false" ht="12.75" hidden="false" customHeight="false" outlineLevel="0" collapsed="false">
      <c r="A454" s="196" t="str">
        <f aca="false">IF(A453&lt;mthend,EDATE(A453,1),"")</f>
        <v/>
      </c>
      <c r="B454" s="197" t="str">
        <f aca="false">IF(A454&lt;mthend,B453,"")</f>
        <v/>
      </c>
      <c r="D454" s="197" t="str">
        <f aca="false">IF(A455&lt;&gt;"",B454+C454,"")</f>
        <v/>
      </c>
      <c r="E454" s="199" t="str">
        <f aca="false">IF(A455="","",IF(AND(AT454=1,$H$3=1),D454*AO454,IF($H$3=2,D454,"N/A")))</f>
        <v/>
      </c>
      <c r="F454" s="199" t="str">
        <f aca="false">IF(A455="","",E454*AS454)</f>
        <v/>
      </c>
      <c r="G454" s="200" t="str">
        <f aca="false">IF($A455="","",VLOOKUP($A454,Table,MATCH(G$4,Curves,0)))</f>
        <v/>
      </c>
      <c r="H454" s="201" t="str">
        <f aca="false">IF(A455="","",G454)</f>
        <v/>
      </c>
      <c r="J454" s="200" t="str">
        <f aca="false">IF($A455="","",VLOOKUP($A454,Table,MATCH(J$4,Curves,0)))</f>
        <v/>
      </c>
      <c r="K454" s="201" t="str">
        <f aca="false">IF(A455="","",J454)</f>
        <v/>
      </c>
      <c r="L454" s="200" t="str">
        <f aca="false">IF($A455="","",VLOOKUP($A454,Table,MATCH(L$4,Curves,0)))</f>
        <v/>
      </c>
      <c r="M454" s="201" t="str">
        <f aca="false">IF(A455="","",L454)</f>
        <v/>
      </c>
      <c r="O454" s="200" t="str">
        <f aca="false">IF(A455="","",L454+J454+G454)</f>
        <v/>
      </c>
      <c r="P454" s="200" t="str">
        <f aca="false">IF(A455="","",M454+K454+H454)</f>
        <v/>
      </c>
      <c r="R454" s="200" t="str">
        <f aca="false">IF($A455="","",VLOOKUP($A454,Table,MATCH(R$4,Curves,0)))</f>
        <v/>
      </c>
      <c r="S454" s="201" t="str">
        <f aca="false">IF(A455="","",R454)</f>
        <v/>
      </c>
      <c r="T454" s="200" t="str">
        <f aca="false">IF($A455="","",VLOOKUP($A454,Table,MATCH(T$4,Curves,0)))</f>
        <v/>
      </c>
      <c r="U454" s="201" t="str">
        <f aca="false">IF(A455="","",T454)</f>
        <v/>
      </c>
      <c r="V454" s="225" t="str">
        <f aca="false">IF($A455="","",IF(AND(MONTH(A454)&gt;3,MONTH(A454)&lt;11),(T454+R454+G454)*(((1/(1-Summary!$T$12))/(1-Summary!$W$12))-1),(T454+R454+G454)*((1/(1-Summary!$U$12))/(1-Summary!$X$12)-1)))</f>
        <v/>
      </c>
      <c r="W454" s="200" t="str">
        <f aca="false">IF($A455="","",(T454+R454+G454+V454))</f>
        <v/>
      </c>
      <c r="X454" s="200" t="str">
        <f aca="false">IF($A455="","",(U454+S454+H454+V454))</f>
        <v/>
      </c>
      <c r="Y454" s="202"/>
      <c r="Z454" s="185"/>
      <c r="AJ454" s="77"/>
      <c r="AK454" s="77"/>
      <c r="AL454" s="77"/>
      <c r="AM454" s="77"/>
      <c r="AN454" s="77"/>
      <c r="AO454" s="137" t="str">
        <f aca="false">IF(A455="","",A455-A454)</f>
        <v/>
      </c>
      <c r="AP454" s="212" t="str">
        <f aca="false">IF(A455="","",CHOOSE(F$3,A455+24,A454))</f>
        <v/>
      </c>
      <c r="AQ454" s="209" t="str">
        <f aca="false">IF(A455="","",AP454-$E$1)</f>
        <v/>
      </c>
      <c r="AR454" s="185" t="n">
        <f aca="false">'ANR OK vs ML7'!AR454</f>
        <v>0.1</v>
      </c>
      <c r="AS454" s="213" t="str">
        <f aca="false">IF(A455="","",1/(1+CHOOSE(F$3,(AR455+($I$3/10000))/2,(AR454+($I$3/10000))/2))^(2*AQ454/365.25))</f>
        <v/>
      </c>
      <c r="AT454" s="137" t="str">
        <f aca="false">IF(A455="","",IF(AND(mthbeg&lt;=A454,mthend&gt;=A454),1,0))</f>
        <v/>
      </c>
      <c r="AU454" s="137" t="str">
        <f aca="false">IF(A455="","",AO454*AT454)</f>
        <v/>
      </c>
      <c r="AW454" s="195" t="str">
        <f aca="false">IF($A455="","",AL454*$E454)</f>
        <v/>
      </c>
      <c r="AX454" s="195" t="str">
        <f aca="false">IF($A455="","",AM454*$E454)</f>
        <v/>
      </c>
      <c r="AY454" s="195" t="str">
        <f aca="false">IF($A455="","",AN454*$E454)</f>
        <v/>
      </c>
      <c r="BA454" s="195" t="str">
        <f aca="false">IF($A455="","",F454*Summary!$Q$12)</f>
        <v/>
      </c>
    </row>
    <row r="455" customFormat="false" ht="12.75" hidden="false" customHeight="false" outlineLevel="0" collapsed="false">
      <c r="A455" s="196" t="str">
        <f aca="false">IF(A454&lt;mthend,EDATE(A454,1),"")</f>
        <v/>
      </c>
      <c r="B455" s="197" t="str">
        <f aca="false">IF(A455&lt;mthend,B454,"")</f>
        <v/>
      </c>
      <c r="D455" s="197" t="str">
        <f aca="false">IF(A456&lt;&gt;"",B455+C455,"")</f>
        <v/>
      </c>
      <c r="E455" s="199" t="str">
        <f aca="false">IF(A456="","",IF(AND(AT455=1,$H$3=1),D455*AO455,IF($H$3=2,D455,"N/A")))</f>
        <v/>
      </c>
      <c r="F455" s="199" t="str">
        <f aca="false">IF(A456="","",E455*AS455)</f>
        <v/>
      </c>
      <c r="G455" s="200" t="str">
        <f aca="false">IF($A456="","",VLOOKUP($A455,Table,MATCH(G$4,Curves,0)))</f>
        <v/>
      </c>
      <c r="H455" s="201" t="str">
        <f aca="false">IF(A456="","",G455)</f>
        <v/>
      </c>
      <c r="J455" s="200" t="str">
        <f aca="false">IF($A456="","",VLOOKUP($A455,Table,MATCH(J$4,Curves,0)))</f>
        <v/>
      </c>
      <c r="K455" s="201" t="str">
        <f aca="false">IF(A456="","",J455)</f>
        <v/>
      </c>
      <c r="L455" s="200" t="str">
        <f aca="false">IF($A456="","",VLOOKUP($A455,Table,MATCH(L$4,Curves,0)))</f>
        <v/>
      </c>
      <c r="M455" s="201" t="str">
        <f aca="false">IF(A456="","",L455)</f>
        <v/>
      </c>
      <c r="O455" s="200" t="str">
        <f aca="false">IF(A456="","",L455+J455+G455)</f>
        <v/>
      </c>
      <c r="P455" s="200" t="str">
        <f aca="false">IF(A456="","",M455+K455+H455)</f>
        <v/>
      </c>
      <c r="R455" s="200" t="str">
        <f aca="false">IF($A456="","",VLOOKUP($A455,Table,MATCH(R$4,Curves,0)))</f>
        <v/>
      </c>
      <c r="S455" s="201" t="str">
        <f aca="false">IF(A456="","",R455)</f>
        <v/>
      </c>
      <c r="T455" s="200" t="str">
        <f aca="false">IF($A456="","",VLOOKUP($A455,Table,MATCH(T$4,Curves,0)))</f>
        <v/>
      </c>
      <c r="U455" s="201" t="str">
        <f aca="false">IF(A456="","",T455)</f>
        <v/>
      </c>
      <c r="V455" s="225" t="str">
        <f aca="false">IF($A456="","",IF(AND(MONTH(A455)&gt;3,MONTH(A455)&lt;11),(T455+R455+G455)*(((1/(1-Summary!$T$12))/(1-Summary!$W$12))-1),(T455+R455+G455)*((1/(1-Summary!$U$12))/(1-Summary!$X$12)-1)))</f>
        <v/>
      </c>
      <c r="W455" s="200" t="str">
        <f aca="false">IF($A456="","",(T455+R455+G455+V455))</f>
        <v/>
      </c>
      <c r="X455" s="200" t="str">
        <f aca="false">IF($A456="","",(U455+S455+H455+V455))</f>
        <v/>
      </c>
      <c r="Y455" s="202"/>
      <c r="Z455" s="185"/>
      <c r="AJ455" s="77"/>
      <c r="AK455" s="77"/>
      <c r="AL455" s="77"/>
      <c r="AM455" s="77"/>
      <c r="AN455" s="77"/>
      <c r="AO455" s="137" t="str">
        <f aca="false">IF(A456="","",A456-A455)</f>
        <v/>
      </c>
      <c r="AP455" s="212" t="str">
        <f aca="false">IF(A456="","",CHOOSE(F$3,A456+24,A455))</f>
        <v/>
      </c>
      <c r="AQ455" s="209" t="str">
        <f aca="false">IF(A456="","",AP455-$E$1)</f>
        <v/>
      </c>
      <c r="AR455" s="185" t="n">
        <f aca="false">'ANR OK vs ML7'!AR455</f>
        <v>0.1</v>
      </c>
      <c r="AS455" s="213" t="str">
        <f aca="false">IF(A456="","",1/(1+CHOOSE(F$3,(AR456+($I$3/10000))/2,(AR455+($I$3/10000))/2))^(2*AQ455/365.25))</f>
        <v/>
      </c>
      <c r="AT455" s="137" t="str">
        <f aca="false">IF(A456="","",IF(AND(mthbeg&lt;=A455,mthend&gt;=A455),1,0))</f>
        <v/>
      </c>
      <c r="AU455" s="137" t="str">
        <f aca="false">IF(A456="","",AO455*AT455)</f>
        <v/>
      </c>
      <c r="AW455" s="195" t="str">
        <f aca="false">IF($A456="","",AL455*$E455)</f>
        <v/>
      </c>
      <c r="AX455" s="195" t="str">
        <f aca="false">IF($A456="","",AM455*$E455)</f>
        <v/>
      </c>
      <c r="AY455" s="195" t="str">
        <f aca="false">IF($A456="","",AN455*$E455)</f>
        <v/>
      </c>
      <c r="BA455" s="195" t="str">
        <f aca="false">IF($A456="","",F455*Summary!$Q$12)</f>
        <v/>
      </c>
    </row>
    <row r="456" customFormat="false" ht="12.75" hidden="false" customHeight="false" outlineLevel="0" collapsed="false">
      <c r="A456" s="196" t="str">
        <f aca="false">IF(A455&lt;mthend,EDATE(A455,1),"")</f>
        <v/>
      </c>
      <c r="B456" s="197" t="str">
        <f aca="false">IF(A456&lt;mthend,B455,"")</f>
        <v/>
      </c>
      <c r="D456" s="197" t="str">
        <f aca="false">IF(A457&lt;&gt;"",B456+C456,"")</f>
        <v/>
      </c>
      <c r="E456" s="199" t="str">
        <f aca="false">IF(A457="","",IF(AND(AT456=1,$H$3=1),D456*AO456,IF($H$3=2,D456,"N/A")))</f>
        <v/>
      </c>
      <c r="F456" s="199" t="str">
        <f aca="false">IF(A457="","",E456*AS456)</f>
        <v/>
      </c>
      <c r="G456" s="200" t="str">
        <f aca="false">IF($A457="","",VLOOKUP($A456,Table,MATCH(G$4,Curves,0)))</f>
        <v/>
      </c>
      <c r="H456" s="201" t="str">
        <f aca="false">IF(A457="","",G456)</f>
        <v/>
      </c>
      <c r="J456" s="200" t="str">
        <f aca="false">IF($A457="","",VLOOKUP($A456,Table,MATCH(J$4,Curves,0)))</f>
        <v/>
      </c>
      <c r="K456" s="201" t="str">
        <f aca="false">IF(A457="","",J456)</f>
        <v/>
      </c>
      <c r="L456" s="200" t="str">
        <f aca="false">IF($A457="","",VLOOKUP($A456,Table,MATCH(L$4,Curves,0)))</f>
        <v/>
      </c>
      <c r="M456" s="201" t="str">
        <f aca="false">IF(A457="","",L456)</f>
        <v/>
      </c>
      <c r="O456" s="200" t="str">
        <f aca="false">IF(A457="","",L456+J456+G456)</f>
        <v/>
      </c>
      <c r="P456" s="200" t="str">
        <f aca="false">IF(A457="","",M456+K456+H456)</f>
        <v/>
      </c>
      <c r="R456" s="200" t="str">
        <f aca="false">IF($A457="","",VLOOKUP($A456,Table,MATCH(R$4,Curves,0)))</f>
        <v/>
      </c>
      <c r="S456" s="201" t="str">
        <f aca="false">IF(A457="","",R456)</f>
        <v/>
      </c>
      <c r="T456" s="200" t="str">
        <f aca="false">IF($A457="","",VLOOKUP($A456,Table,MATCH(T$4,Curves,0)))</f>
        <v/>
      </c>
      <c r="U456" s="201" t="str">
        <f aca="false">IF(A457="","",T456)</f>
        <v/>
      </c>
      <c r="V456" s="225" t="str">
        <f aca="false">IF($A457="","",IF(AND(MONTH(A456)&gt;3,MONTH(A456)&lt;11),(T456+R456+G456)*(((1/(1-Summary!$T$12))/(1-Summary!$W$12))-1),(T456+R456+G456)*((1/(1-Summary!$U$12))/(1-Summary!$X$12)-1)))</f>
        <v/>
      </c>
      <c r="W456" s="200" t="str">
        <f aca="false">IF($A457="","",(T456+R456+G456+V456))</f>
        <v/>
      </c>
      <c r="X456" s="200" t="str">
        <f aca="false">IF($A457="","",(U456+S456+H456+V456))</f>
        <v/>
      </c>
      <c r="Y456" s="202"/>
      <c r="Z456" s="185"/>
      <c r="AJ456" s="77"/>
      <c r="AK456" s="77"/>
      <c r="AL456" s="77"/>
      <c r="AM456" s="77"/>
      <c r="AN456" s="77"/>
      <c r="AO456" s="137" t="str">
        <f aca="false">IF(A457="","",A457-A456)</f>
        <v/>
      </c>
      <c r="AP456" s="212" t="str">
        <f aca="false">IF(A457="","",CHOOSE(F$3,A457+24,A456))</f>
        <v/>
      </c>
      <c r="AQ456" s="209" t="str">
        <f aca="false">IF(A457="","",AP456-$E$1)</f>
        <v/>
      </c>
      <c r="AR456" s="185" t="n">
        <f aca="false">'ANR OK vs ML7'!AR456</f>
        <v>0.1</v>
      </c>
      <c r="AS456" s="213" t="str">
        <f aca="false">IF(A457="","",1/(1+CHOOSE(F$3,(AR457+($I$3/10000))/2,(AR456+($I$3/10000))/2))^(2*AQ456/365.25))</f>
        <v/>
      </c>
      <c r="AT456" s="137" t="str">
        <f aca="false">IF(A457="","",IF(AND(mthbeg&lt;=A456,mthend&gt;=A456),1,0))</f>
        <v/>
      </c>
      <c r="AU456" s="137" t="str">
        <f aca="false">IF(A457="","",AO456*AT456)</f>
        <v/>
      </c>
      <c r="AW456" s="195" t="str">
        <f aca="false">IF($A457="","",AL456*$E456)</f>
        <v/>
      </c>
      <c r="AX456" s="195" t="str">
        <f aca="false">IF($A457="","",AM456*$E456)</f>
        <v/>
      </c>
      <c r="AY456" s="195" t="str">
        <f aca="false">IF($A457="","",AN456*$E456)</f>
        <v/>
      </c>
      <c r="BA456" s="195" t="str">
        <f aca="false">IF($A457="","",F456*Summary!$Q$12)</f>
        <v/>
      </c>
    </row>
    <row r="457" customFormat="false" ht="12.75" hidden="false" customHeight="false" outlineLevel="0" collapsed="false">
      <c r="A457" s="196" t="str">
        <f aca="false">IF(A456&lt;mthend,EDATE(A456,1),"")</f>
        <v/>
      </c>
      <c r="B457" s="197" t="str">
        <f aca="false">IF(A457&lt;mthend,B456,"")</f>
        <v/>
      </c>
      <c r="D457" s="197" t="str">
        <f aca="false">IF(A458&lt;&gt;"",B457+C457,"")</f>
        <v/>
      </c>
      <c r="E457" s="199" t="str">
        <f aca="false">IF(A458="","",IF(AND(AT457=1,$H$3=1),D457*AO457,IF($H$3=2,D457,"N/A")))</f>
        <v/>
      </c>
      <c r="F457" s="199" t="str">
        <f aca="false">IF(A458="","",E457*AS457)</f>
        <v/>
      </c>
      <c r="G457" s="200" t="str">
        <f aca="false">IF($A458="","",VLOOKUP($A457,Table,MATCH(G$4,Curves,0)))</f>
        <v/>
      </c>
      <c r="H457" s="201" t="str">
        <f aca="false">IF(A458="","",G457)</f>
        <v/>
      </c>
      <c r="J457" s="200" t="str">
        <f aca="false">IF($A458="","",VLOOKUP($A457,Table,MATCH(J$4,Curves,0)))</f>
        <v/>
      </c>
      <c r="K457" s="201" t="str">
        <f aca="false">IF(A458="","",J457)</f>
        <v/>
      </c>
      <c r="L457" s="200" t="str">
        <f aca="false">IF($A458="","",VLOOKUP($A457,Table,MATCH(L$4,Curves,0)))</f>
        <v/>
      </c>
      <c r="M457" s="201" t="str">
        <f aca="false">IF(A458="","",L457)</f>
        <v/>
      </c>
      <c r="O457" s="200" t="str">
        <f aca="false">IF(A458="","",L457+J457+G457)</f>
        <v/>
      </c>
      <c r="P457" s="200" t="str">
        <f aca="false">IF(A458="","",M457+K457+H457)</f>
        <v/>
      </c>
      <c r="R457" s="200" t="str">
        <f aca="false">IF($A458="","",VLOOKUP($A457,Table,MATCH(R$4,Curves,0)))</f>
        <v/>
      </c>
      <c r="S457" s="201" t="str">
        <f aca="false">IF(A458="","",R457)</f>
        <v/>
      </c>
      <c r="T457" s="200" t="str">
        <f aca="false">IF($A458="","",VLOOKUP($A457,Table,MATCH(T$4,Curves,0)))</f>
        <v/>
      </c>
      <c r="U457" s="201" t="str">
        <f aca="false">IF(A458="","",T457)</f>
        <v/>
      </c>
      <c r="V457" s="225" t="str">
        <f aca="false">IF($A458="","",IF(AND(MONTH(A457)&gt;3,MONTH(A457)&lt;11),(T457+R457+G457)*(((1/(1-Summary!$T$12))/(1-Summary!$W$12))-1),(T457+R457+G457)*((1/(1-Summary!$U$12))/(1-Summary!$X$12)-1)))</f>
        <v/>
      </c>
      <c r="W457" s="200" t="str">
        <f aca="false">IF($A458="","",(T457+R457+G457+V457))</f>
        <v/>
      </c>
      <c r="X457" s="200" t="str">
        <f aca="false">IF($A458="","",(U457+S457+H457+V457))</f>
        <v/>
      </c>
      <c r="Y457" s="202"/>
      <c r="Z457" s="185"/>
      <c r="AJ457" s="77"/>
      <c r="AK457" s="77"/>
      <c r="AL457" s="77"/>
      <c r="AM457" s="77"/>
      <c r="AN457" s="77"/>
      <c r="AO457" s="137" t="str">
        <f aca="false">IF(A458="","",A458-A457)</f>
        <v/>
      </c>
      <c r="AP457" s="212" t="str">
        <f aca="false">IF(A458="","",CHOOSE(F$3,A458+24,A457))</f>
        <v/>
      </c>
      <c r="AQ457" s="209" t="str">
        <f aca="false">IF(A458="","",AP457-$E$1)</f>
        <v/>
      </c>
      <c r="AR457" s="185" t="n">
        <f aca="false">'ANR OK vs ML7'!AR457</f>
        <v>0.1</v>
      </c>
      <c r="AS457" s="213" t="str">
        <f aca="false">IF(A458="","",1/(1+CHOOSE(F$3,(AR458+($I$3/10000))/2,(AR457+($I$3/10000))/2))^(2*AQ457/365.25))</f>
        <v/>
      </c>
      <c r="AT457" s="137" t="str">
        <f aca="false">IF(A458="","",IF(AND(mthbeg&lt;=A457,mthend&gt;=A457),1,0))</f>
        <v/>
      </c>
      <c r="AU457" s="137" t="str">
        <f aca="false">IF(A458="","",AO457*AT457)</f>
        <v/>
      </c>
      <c r="AW457" s="195" t="str">
        <f aca="false">IF($A458="","",AL457*$E457)</f>
        <v/>
      </c>
      <c r="AX457" s="195" t="str">
        <f aca="false">IF($A458="","",AM457*$E457)</f>
        <v/>
      </c>
      <c r="AY457" s="195" t="str">
        <f aca="false">IF($A458="","",AN457*$E457)</f>
        <v/>
      </c>
      <c r="BA457" s="195" t="str">
        <f aca="false">IF($A458="","",F457*Summary!$Q$12)</f>
        <v/>
      </c>
    </row>
    <row r="458" customFormat="false" ht="12.75" hidden="false" customHeight="false" outlineLevel="0" collapsed="false">
      <c r="A458" s="196" t="str">
        <f aca="false">IF(A457&lt;mthend,EDATE(A457,1),"")</f>
        <v/>
      </c>
      <c r="B458" s="197" t="str">
        <f aca="false">IF(A458&lt;mthend,B457,"")</f>
        <v/>
      </c>
      <c r="D458" s="197" t="str">
        <f aca="false">IF(A459&lt;&gt;"",B458+C458,"")</f>
        <v/>
      </c>
      <c r="E458" s="199" t="str">
        <f aca="false">IF(A459="","",IF(AND(AT458=1,$H$3=1),D458*AO458,IF($H$3=2,D458,"N/A")))</f>
        <v/>
      </c>
      <c r="F458" s="199" t="str">
        <f aca="false">IF(A459="","",E458*AS458)</f>
        <v/>
      </c>
      <c r="G458" s="200" t="str">
        <f aca="false">IF($A459="","",VLOOKUP($A458,Table,MATCH(G$4,Curves,0)))</f>
        <v/>
      </c>
      <c r="H458" s="201" t="str">
        <f aca="false">IF(A459="","",G458)</f>
        <v/>
      </c>
      <c r="J458" s="200" t="str">
        <f aca="false">IF($A459="","",VLOOKUP($A458,Table,MATCH(J$4,Curves,0)))</f>
        <v/>
      </c>
      <c r="K458" s="201" t="str">
        <f aca="false">IF(A459="","",J458)</f>
        <v/>
      </c>
      <c r="L458" s="200" t="str">
        <f aca="false">IF($A459="","",VLOOKUP($A458,Table,MATCH(L$4,Curves,0)))</f>
        <v/>
      </c>
      <c r="M458" s="201" t="str">
        <f aca="false">IF(A459="","",L458)</f>
        <v/>
      </c>
      <c r="O458" s="200" t="str">
        <f aca="false">IF(A459="","",L458+J458+G458)</f>
        <v/>
      </c>
      <c r="P458" s="200" t="str">
        <f aca="false">IF(A459="","",M458+K458+H458)</f>
        <v/>
      </c>
      <c r="R458" s="200" t="str">
        <f aca="false">IF($A459="","",VLOOKUP($A458,Table,MATCH(R$4,Curves,0)))</f>
        <v/>
      </c>
      <c r="S458" s="201" t="str">
        <f aca="false">IF(A459="","",R458)</f>
        <v/>
      </c>
      <c r="T458" s="200" t="str">
        <f aca="false">IF($A459="","",VLOOKUP($A458,Table,MATCH(T$4,Curves,0)))</f>
        <v/>
      </c>
      <c r="U458" s="201" t="str">
        <f aca="false">IF(A459="","",T458)</f>
        <v/>
      </c>
      <c r="V458" s="225" t="str">
        <f aca="false">IF($A459="","",IF(AND(MONTH(A458)&gt;3,MONTH(A458)&lt;11),(T458+R458+G458)*(((1/(1-Summary!$T$12))/(1-Summary!$W$12))-1),(T458+R458+G458)*((1/(1-Summary!$U$12))/(1-Summary!$X$12)-1)))</f>
        <v/>
      </c>
      <c r="W458" s="200" t="str">
        <f aca="false">IF($A459="","",(T458+R458+G458+V458))</f>
        <v/>
      </c>
      <c r="X458" s="200" t="str">
        <f aca="false">IF($A459="","",(U458+S458+H458+V458))</f>
        <v/>
      </c>
      <c r="Y458" s="202"/>
      <c r="Z458" s="185"/>
      <c r="AJ458" s="77"/>
      <c r="AK458" s="77"/>
      <c r="AL458" s="77"/>
      <c r="AM458" s="77"/>
      <c r="AN458" s="77"/>
      <c r="AO458" s="137" t="str">
        <f aca="false">IF(A459="","",A459-A458)</f>
        <v/>
      </c>
      <c r="AP458" s="212" t="str">
        <f aca="false">IF(A459="","",CHOOSE(F$3,A459+24,A458))</f>
        <v/>
      </c>
      <c r="AQ458" s="209" t="str">
        <f aca="false">IF(A459="","",AP458-$E$1)</f>
        <v/>
      </c>
      <c r="AR458" s="185" t="n">
        <f aca="false">'ANR OK vs ML7'!AR458</f>
        <v>0.1</v>
      </c>
      <c r="AS458" s="213" t="str">
        <f aca="false">IF(A459="","",1/(1+CHOOSE(F$3,(AR459+($I$3/10000))/2,(AR458+($I$3/10000))/2))^(2*AQ458/365.25))</f>
        <v/>
      </c>
      <c r="AT458" s="137" t="str">
        <f aca="false">IF(A459="","",IF(AND(mthbeg&lt;=A458,mthend&gt;=A458),1,0))</f>
        <v/>
      </c>
      <c r="AU458" s="137" t="str">
        <f aca="false">IF(A459="","",AO458*AT458)</f>
        <v/>
      </c>
      <c r="AW458" s="195" t="str">
        <f aca="false">IF($A459="","",AL458*$E458)</f>
        <v/>
      </c>
      <c r="AX458" s="195" t="str">
        <f aca="false">IF($A459="","",AM458*$E458)</f>
        <v/>
      </c>
      <c r="AY458" s="195" t="str">
        <f aca="false">IF($A459="","",AN458*$E458)</f>
        <v/>
      </c>
      <c r="BA458" s="195" t="str">
        <f aca="false">IF($A459="","",F458*Summary!$Q$12)</f>
        <v/>
      </c>
    </row>
    <row r="459" customFormat="false" ht="12.75" hidden="false" customHeight="false" outlineLevel="0" collapsed="false">
      <c r="A459" s="196" t="str">
        <f aca="false">IF(A458&lt;mthend,EDATE(A458,1),"")</f>
        <v/>
      </c>
      <c r="B459" s="197" t="str">
        <f aca="false">IF(A459&lt;mthend,B458,"")</f>
        <v/>
      </c>
      <c r="D459" s="197" t="str">
        <f aca="false">IF(A460&lt;&gt;"",B459+C459,"")</f>
        <v/>
      </c>
      <c r="E459" s="199" t="str">
        <f aca="false">IF(A460="","",IF(AND(AT459=1,$H$3=1),D459*AO459,IF($H$3=2,D459,"N/A")))</f>
        <v/>
      </c>
      <c r="F459" s="199" t="str">
        <f aca="false">IF(A460="","",E459*AS459)</f>
        <v/>
      </c>
      <c r="G459" s="200" t="str">
        <f aca="false">IF($A460="","",VLOOKUP($A459,Table,MATCH(G$4,Curves,0)))</f>
        <v/>
      </c>
      <c r="H459" s="201" t="str">
        <f aca="false">IF(A460="","",G459)</f>
        <v/>
      </c>
      <c r="J459" s="200" t="str">
        <f aca="false">IF($A460="","",VLOOKUP($A459,Table,MATCH(J$4,Curves,0)))</f>
        <v/>
      </c>
      <c r="K459" s="201" t="str">
        <f aca="false">IF(A460="","",J459)</f>
        <v/>
      </c>
      <c r="L459" s="200" t="str">
        <f aca="false">IF($A460="","",VLOOKUP($A459,Table,MATCH(L$4,Curves,0)))</f>
        <v/>
      </c>
      <c r="M459" s="201" t="str">
        <f aca="false">IF(A460="","",L459)</f>
        <v/>
      </c>
      <c r="O459" s="200" t="str">
        <f aca="false">IF(A460="","",L459+J459+G459)</f>
        <v/>
      </c>
      <c r="P459" s="200" t="str">
        <f aca="false">IF(A460="","",M459+K459+H459)</f>
        <v/>
      </c>
      <c r="R459" s="200" t="str">
        <f aca="false">IF($A460="","",VLOOKUP($A459,Table,MATCH(R$4,Curves,0)))</f>
        <v/>
      </c>
      <c r="S459" s="201" t="str">
        <f aca="false">IF(A460="","",R459)</f>
        <v/>
      </c>
      <c r="T459" s="200" t="str">
        <f aca="false">IF($A460="","",VLOOKUP($A459,Table,MATCH(T$4,Curves,0)))</f>
        <v/>
      </c>
      <c r="U459" s="201" t="str">
        <f aca="false">IF(A460="","",T459)</f>
        <v/>
      </c>
      <c r="V459" s="225" t="str">
        <f aca="false">IF($A460="","",IF(AND(MONTH(A459)&gt;3,MONTH(A459)&lt;11),(T459+R459+G459)*(((1/(1-Summary!$T$12))/(1-Summary!$W$12))-1),(T459+R459+G459)*((1/(1-Summary!$U$12))/(1-Summary!$X$12)-1)))</f>
        <v/>
      </c>
      <c r="W459" s="200" t="str">
        <f aca="false">IF($A460="","",(T459+R459+G459+V459))</f>
        <v/>
      </c>
      <c r="X459" s="200" t="str">
        <f aca="false">IF($A460="","",(U459+S459+H459+V459))</f>
        <v/>
      </c>
      <c r="Y459" s="202"/>
      <c r="Z459" s="185"/>
      <c r="AJ459" s="77"/>
      <c r="AK459" s="77"/>
      <c r="AL459" s="77"/>
      <c r="AM459" s="77"/>
      <c r="AN459" s="77"/>
      <c r="AO459" s="137" t="str">
        <f aca="false">IF(A460="","",A460-A459)</f>
        <v/>
      </c>
      <c r="AP459" s="212" t="str">
        <f aca="false">IF(A460="","",CHOOSE(F$3,A460+24,A459))</f>
        <v/>
      </c>
      <c r="AQ459" s="209" t="str">
        <f aca="false">IF(A460="","",AP459-$E$1)</f>
        <v/>
      </c>
      <c r="AR459" s="185" t="n">
        <f aca="false">'ANR OK vs ML7'!AR459</f>
        <v>0.1</v>
      </c>
      <c r="AS459" s="213" t="str">
        <f aca="false">IF(A460="","",1/(1+CHOOSE(F$3,(AR460+($I$3/10000))/2,(AR459+($I$3/10000))/2))^(2*AQ459/365.25))</f>
        <v/>
      </c>
      <c r="AT459" s="137" t="str">
        <f aca="false">IF(A460="","",IF(AND(mthbeg&lt;=A459,mthend&gt;=A459),1,0))</f>
        <v/>
      </c>
      <c r="AU459" s="137" t="str">
        <f aca="false">IF(A460="","",AO459*AT459)</f>
        <v/>
      </c>
      <c r="AW459" s="195" t="str">
        <f aca="false">IF($A460="","",AL459*$E459)</f>
        <v/>
      </c>
      <c r="AX459" s="195" t="str">
        <f aca="false">IF($A460="","",AM459*$E459)</f>
        <v/>
      </c>
      <c r="AY459" s="195" t="str">
        <f aca="false">IF($A460="","",AN459*$E459)</f>
        <v/>
      </c>
      <c r="BA459" s="195" t="str">
        <f aca="false">IF($A460="","",F459*Summary!$Q$12)</f>
        <v/>
      </c>
    </row>
    <row r="460" customFormat="false" ht="12.75" hidden="false" customHeight="false" outlineLevel="0" collapsed="false">
      <c r="A460" s="196" t="str">
        <f aca="false">IF(A459&lt;mthend,EDATE(A459,1),"")</f>
        <v/>
      </c>
      <c r="B460" s="197" t="str">
        <f aca="false">IF(A460&lt;mthend,B459,"")</f>
        <v/>
      </c>
      <c r="D460" s="197" t="str">
        <f aca="false">IF(A461&lt;&gt;"",B460+C460,"")</f>
        <v/>
      </c>
      <c r="E460" s="199" t="str">
        <f aca="false">IF(A461="","",IF(AND(AT460=1,$H$3=1),D460*AO460,IF($H$3=2,D460,"N/A")))</f>
        <v/>
      </c>
      <c r="F460" s="199" t="str">
        <f aca="false">IF(A461="","",E460*AS460)</f>
        <v/>
      </c>
      <c r="G460" s="200" t="str">
        <f aca="false">IF($A461="","",VLOOKUP($A460,Table,MATCH(G$4,Curves,0)))</f>
        <v/>
      </c>
      <c r="H460" s="201" t="str">
        <f aca="false">IF(A461="","",G460)</f>
        <v/>
      </c>
      <c r="J460" s="200" t="str">
        <f aca="false">IF($A461="","",VLOOKUP($A460,Table,MATCH(J$4,Curves,0)))</f>
        <v/>
      </c>
      <c r="K460" s="201" t="str">
        <f aca="false">IF(A461="","",J460)</f>
        <v/>
      </c>
      <c r="L460" s="200" t="str">
        <f aca="false">IF($A461="","",VLOOKUP($A460,Table,MATCH(L$4,Curves,0)))</f>
        <v/>
      </c>
      <c r="M460" s="201" t="str">
        <f aca="false">IF(A461="","",L460)</f>
        <v/>
      </c>
      <c r="O460" s="200" t="str">
        <f aca="false">IF(A461="","",L460+J460+G460)</f>
        <v/>
      </c>
      <c r="P460" s="200" t="str">
        <f aca="false">IF(A461="","",M460+K460+H460)</f>
        <v/>
      </c>
      <c r="R460" s="200" t="str">
        <f aca="false">IF($A461="","",VLOOKUP($A460,Table,MATCH(R$4,Curves,0)))</f>
        <v/>
      </c>
      <c r="S460" s="201" t="str">
        <f aca="false">IF(A461="","",R460)</f>
        <v/>
      </c>
      <c r="T460" s="200" t="str">
        <f aca="false">IF($A461="","",VLOOKUP($A460,Table,MATCH(T$4,Curves,0)))</f>
        <v/>
      </c>
      <c r="U460" s="201" t="str">
        <f aca="false">IF(A461="","",T460)</f>
        <v/>
      </c>
      <c r="V460" s="225" t="str">
        <f aca="false">IF($A461="","",IF(AND(MONTH(A460)&gt;3,MONTH(A460)&lt;11),(T460+R460+G460)*(((1/(1-Summary!$T$12))/(1-Summary!$W$12))-1),(T460+R460+G460)*((1/(1-Summary!$U$12))/(1-Summary!$X$12)-1)))</f>
        <v/>
      </c>
      <c r="W460" s="200" t="str">
        <f aca="false">IF($A461="","",(T460+R460+G460+V460))</f>
        <v/>
      </c>
      <c r="X460" s="200" t="str">
        <f aca="false">IF($A461="","",(U460+S460+H460+V460))</f>
        <v/>
      </c>
      <c r="Y460" s="202"/>
      <c r="Z460" s="185"/>
      <c r="AJ460" s="77"/>
      <c r="AK460" s="77"/>
      <c r="AL460" s="77"/>
      <c r="AM460" s="77"/>
      <c r="AN460" s="77"/>
      <c r="AO460" s="137" t="str">
        <f aca="false">IF(A461="","",A461-A460)</f>
        <v/>
      </c>
      <c r="AP460" s="212" t="str">
        <f aca="false">IF(A461="","",CHOOSE(F$3,A461+24,A460))</f>
        <v/>
      </c>
      <c r="AQ460" s="209" t="str">
        <f aca="false">IF(A461="","",AP460-$E$1)</f>
        <v/>
      </c>
      <c r="AR460" s="185" t="n">
        <f aca="false">'ANR OK vs ML7'!AR460</f>
        <v>0.1</v>
      </c>
      <c r="AS460" s="213" t="str">
        <f aca="false">IF(A461="","",1/(1+CHOOSE(F$3,(AR461+($I$3/10000))/2,(AR460+($I$3/10000))/2))^(2*AQ460/365.25))</f>
        <v/>
      </c>
      <c r="AT460" s="137" t="str">
        <f aca="false">IF(A461="","",IF(AND(mthbeg&lt;=A460,mthend&gt;=A460),1,0))</f>
        <v/>
      </c>
      <c r="AU460" s="137" t="str">
        <f aca="false">IF(A461="","",AO460*AT460)</f>
        <v/>
      </c>
      <c r="AW460" s="195" t="str">
        <f aca="false">IF($A461="","",AL460*$E460)</f>
        <v/>
      </c>
      <c r="AX460" s="195" t="str">
        <f aca="false">IF($A461="","",AM460*$E460)</f>
        <v/>
      </c>
      <c r="AY460" s="195" t="str">
        <f aca="false">IF($A461="","",AN460*$E460)</f>
        <v/>
      </c>
      <c r="BA460" s="195" t="str">
        <f aca="false">IF($A461="","",F460*Summary!$Q$12)</f>
        <v/>
      </c>
    </row>
    <row r="461" customFormat="false" ht="12.75" hidden="false" customHeight="false" outlineLevel="0" collapsed="false">
      <c r="A461" s="196" t="str">
        <f aca="false">IF(A460&lt;mthend,EDATE(A460,1),"")</f>
        <v/>
      </c>
      <c r="B461" s="197" t="str">
        <f aca="false">IF(A461&lt;mthend,B460,"")</f>
        <v/>
      </c>
      <c r="D461" s="197" t="str">
        <f aca="false">IF(A462&lt;&gt;"",B461+C461,"")</f>
        <v/>
      </c>
      <c r="E461" s="199" t="str">
        <f aca="false">IF(A462="","",IF(AND(AT461=1,$H$3=1),D461*AO461,IF($H$3=2,D461,"N/A")))</f>
        <v/>
      </c>
      <c r="F461" s="199" t="str">
        <f aca="false">IF(A462="","",E461*AS461)</f>
        <v/>
      </c>
      <c r="G461" s="200" t="str">
        <f aca="false">IF($A462="","",VLOOKUP($A461,Table,MATCH(G$4,Curves,0)))</f>
        <v/>
      </c>
      <c r="H461" s="201" t="str">
        <f aca="false">IF(A462="","",G461)</f>
        <v/>
      </c>
      <c r="J461" s="200" t="str">
        <f aca="false">IF($A462="","",VLOOKUP($A461,Table,MATCH(J$4,Curves,0)))</f>
        <v/>
      </c>
      <c r="K461" s="201" t="str">
        <f aca="false">IF(A462="","",J461)</f>
        <v/>
      </c>
      <c r="L461" s="200" t="str">
        <f aca="false">IF($A462="","",VLOOKUP($A461,Table,MATCH(L$4,Curves,0)))</f>
        <v/>
      </c>
      <c r="M461" s="201" t="str">
        <f aca="false">IF(A462="","",L461)</f>
        <v/>
      </c>
      <c r="O461" s="200" t="str">
        <f aca="false">IF(A462="","",L461+J461+G461)</f>
        <v/>
      </c>
      <c r="P461" s="200" t="str">
        <f aca="false">IF(A462="","",M461+K461+H461)</f>
        <v/>
      </c>
      <c r="R461" s="200" t="str">
        <f aca="false">IF($A462="","",VLOOKUP($A461,Table,MATCH(R$4,Curves,0)))</f>
        <v/>
      </c>
      <c r="S461" s="201" t="str">
        <f aca="false">IF(A462="","",R461)</f>
        <v/>
      </c>
      <c r="T461" s="200" t="str">
        <f aca="false">IF($A462="","",VLOOKUP($A461,Table,MATCH(T$4,Curves,0)))</f>
        <v/>
      </c>
      <c r="U461" s="201" t="str">
        <f aca="false">IF(A462="","",T461)</f>
        <v/>
      </c>
      <c r="V461" s="225" t="str">
        <f aca="false">IF($A462="","",IF(AND(MONTH(A461)&gt;3,MONTH(A461)&lt;11),(T461+R461+G461)*(((1/(1-Summary!$T$12))/(1-Summary!$W$12))-1),(T461+R461+G461)*((1/(1-Summary!$U$12))/(1-Summary!$X$12)-1)))</f>
        <v/>
      </c>
      <c r="W461" s="200" t="str">
        <f aca="false">IF($A462="","",(T461+R461+G461+V461))</f>
        <v/>
      </c>
      <c r="X461" s="200" t="str">
        <f aca="false">IF($A462="","",(U461+S461+H461+V461))</f>
        <v/>
      </c>
      <c r="Y461" s="202"/>
      <c r="Z461" s="185"/>
      <c r="AJ461" s="77"/>
      <c r="AK461" s="77"/>
      <c r="AL461" s="77"/>
      <c r="AM461" s="77"/>
      <c r="AN461" s="77"/>
      <c r="AO461" s="137" t="str">
        <f aca="false">IF(A462="","",A462-A461)</f>
        <v/>
      </c>
      <c r="AP461" s="212" t="str">
        <f aca="false">IF(A462="","",CHOOSE(F$3,A462+24,A461))</f>
        <v/>
      </c>
      <c r="AQ461" s="209" t="str">
        <f aca="false">IF(A462="","",AP461-$E$1)</f>
        <v/>
      </c>
      <c r="AR461" s="185" t="n">
        <f aca="false">'ANR OK vs ML7'!AR461</f>
        <v>0.1</v>
      </c>
      <c r="AS461" s="213" t="str">
        <f aca="false">IF(A462="","",1/(1+CHOOSE(F$3,(AR462+($I$3/10000))/2,(AR461+($I$3/10000))/2))^(2*AQ461/365.25))</f>
        <v/>
      </c>
      <c r="AT461" s="137" t="str">
        <f aca="false">IF(A462="","",IF(AND(mthbeg&lt;=A461,mthend&gt;=A461),1,0))</f>
        <v/>
      </c>
      <c r="AU461" s="137" t="str">
        <f aca="false">IF(A462="","",AO461*AT461)</f>
        <v/>
      </c>
      <c r="AW461" s="195" t="str">
        <f aca="false">IF($A462="","",AL461*$E461)</f>
        <v/>
      </c>
      <c r="AX461" s="195" t="str">
        <f aca="false">IF($A462="","",AM461*$E461)</f>
        <v/>
      </c>
      <c r="AY461" s="195" t="str">
        <f aca="false">IF($A462="","",AN461*$E461)</f>
        <v/>
      </c>
      <c r="BA461" s="195" t="str">
        <f aca="false">IF($A462="","",F461*Summary!$Q$12)</f>
        <v/>
      </c>
    </row>
    <row r="462" customFormat="false" ht="12.75" hidden="false" customHeight="false" outlineLevel="0" collapsed="false">
      <c r="A462" s="196" t="str">
        <f aca="false">IF(A461&lt;mthend,EDATE(A461,1),"")</f>
        <v/>
      </c>
      <c r="B462" s="197" t="str">
        <f aca="false">IF(A462&lt;mthend,B461,"")</f>
        <v/>
      </c>
      <c r="D462" s="197" t="str">
        <f aca="false">IF(A463&lt;&gt;"",B462+C462,"")</f>
        <v/>
      </c>
      <c r="E462" s="199" t="str">
        <f aca="false">IF(A463="","",IF(AND(AT462=1,$H$3=1),D462*AO462,IF($H$3=2,D462,"N/A")))</f>
        <v/>
      </c>
      <c r="F462" s="199" t="str">
        <f aca="false">IF(A463="","",E462*AS462)</f>
        <v/>
      </c>
      <c r="G462" s="200" t="str">
        <f aca="false">IF($A463="","",VLOOKUP($A462,Table,MATCH(G$4,Curves,0)))</f>
        <v/>
      </c>
      <c r="H462" s="201" t="str">
        <f aca="false">IF(A463="","",G462)</f>
        <v/>
      </c>
      <c r="J462" s="200" t="str">
        <f aca="false">IF($A463="","",VLOOKUP($A462,Table,MATCH(J$4,Curves,0)))</f>
        <v/>
      </c>
      <c r="K462" s="201" t="str">
        <f aca="false">IF(A463="","",J462)</f>
        <v/>
      </c>
      <c r="L462" s="200" t="str">
        <f aca="false">IF($A463="","",VLOOKUP($A462,Table,MATCH(L$4,Curves,0)))</f>
        <v/>
      </c>
      <c r="M462" s="201" t="str">
        <f aca="false">IF(A463="","",L462)</f>
        <v/>
      </c>
      <c r="O462" s="200" t="str">
        <f aca="false">IF(A463="","",L462+J462+G462)</f>
        <v/>
      </c>
      <c r="P462" s="200" t="str">
        <f aca="false">IF(A463="","",M462+K462+H462)</f>
        <v/>
      </c>
      <c r="R462" s="200" t="str">
        <f aca="false">IF($A463="","",VLOOKUP($A462,Table,MATCH(R$4,Curves,0)))</f>
        <v/>
      </c>
      <c r="S462" s="201" t="str">
        <f aca="false">IF(A463="","",R462)</f>
        <v/>
      </c>
      <c r="T462" s="200" t="str">
        <f aca="false">IF($A463="","",VLOOKUP($A462,Table,MATCH(T$4,Curves,0)))</f>
        <v/>
      </c>
      <c r="U462" s="201" t="str">
        <f aca="false">IF(A463="","",T462)</f>
        <v/>
      </c>
      <c r="V462" s="225" t="str">
        <f aca="false">IF($A463="","",IF(AND(MONTH(A462)&gt;3,MONTH(A462)&lt;11),(T462+R462+G462)*(((1/(1-Summary!$T$12))/(1-Summary!$W$12))-1),(T462+R462+G462)*((1/(1-Summary!$U$12))/(1-Summary!$X$12)-1)))</f>
        <v/>
      </c>
      <c r="W462" s="200" t="str">
        <f aca="false">IF($A463="","",(T462+R462+G462+V462))</f>
        <v/>
      </c>
      <c r="X462" s="200" t="str">
        <f aca="false">IF($A463="","",(U462+S462+H462+V462))</f>
        <v/>
      </c>
      <c r="Y462" s="202"/>
      <c r="Z462" s="185"/>
      <c r="AJ462" s="77"/>
      <c r="AK462" s="77"/>
      <c r="AL462" s="77"/>
      <c r="AM462" s="77"/>
      <c r="AN462" s="77"/>
      <c r="AO462" s="137" t="str">
        <f aca="false">IF(A463="","",A463-A462)</f>
        <v/>
      </c>
      <c r="AP462" s="212" t="str">
        <f aca="false">IF(A463="","",CHOOSE(F$3,A463+24,A462))</f>
        <v/>
      </c>
      <c r="AQ462" s="209" t="str">
        <f aca="false">IF(A463="","",AP462-$E$1)</f>
        <v/>
      </c>
      <c r="AR462" s="185" t="n">
        <f aca="false">'ANR OK vs ML7'!AR462</f>
        <v>0.1</v>
      </c>
      <c r="AS462" s="213" t="str">
        <f aca="false">IF(A463="","",1/(1+CHOOSE(F$3,(AR463+($I$3/10000))/2,(AR462+($I$3/10000))/2))^(2*AQ462/365.25))</f>
        <v/>
      </c>
      <c r="AT462" s="137" t="str">
        <f aca="false">IF(A463="","",IF(AND(mthbeg&lt;=A462,mthend&gt;=A462),1,0))</f>
        <v/>
      </c>
      <c r="AU462" s="137" t="str">
        <f aca="false">IF(A463="","",AO462*AT462)</f>
        <v/>
      </c>
      <c r="AW462" s="195" t="str">
        <f aca="false">IF($A463="","",AL462*$E462)</f>
        <v/>
      </c>
      <c r="AX462" s="195" t="str">
        <f aca="false">IF($A463="","",AM462*$E462)</f>
        <v/>
      </c>
      <c r="AY462" s="195" t="str">
        <f aca="false">IF($A463="","",AN462*$E462)</f>
        <v/>
      </c>
      <c r="BA462" s="195" t="str">
        <f aca="false">IF($A463="","",F462*Summary!$Q$12)</f>
        <v/>
      </c>
    </row>
    <row r="463" customFormat="false" ht="12.75" hidden="false" customHeight="false" outlineLevel="0" collapsed="false">
      <c r="A463" s="196" t="str">
        <f aca="false">IF(A462&lt;mthend,EDATE(A462,1),"")</f>
        <v/>
      </c>
      <c r="B463" s="197" t="str">
        <f aca="false">IF(A463&lt;mthend,B462,"")</f>
        <v/>
      </c>
      <c r="D463" s="197" t="str">
        <f aca="false">IF(A464&lt;&gt;"",B463+C463,"")</f>
        <v/>
      </c>
      <c r="E463" s="199" t="str">
        <f aca="false">IF(A464="","",IF(AND(AT463=1,$H$3=1),D463*AO463,IF($H$3=2,D463,"N/A")))</f>
        <v/>
      </c>
      <c r="F463" s="199" t="str">
        <f aca="false">IF(A464="","",E463*AS463)</f>
        <v/>
      </c>
      <c r="G463" s="200" t="str">
        <f aca="false">IF($A464="","",VLOOKUP($A463,Table,MATCH(G$4,Curves,0)))</f>
        <v/>
      </c>
      <c r="H463" s="201" t="str">
        <f aca="false">IF(A464="","",G463)</f>
        <v/>
      </c>
      <c r="J463" s="200" t="str">
        <f aca="false">IF($A464="","",VLOOKUP($A463,Table,MATCH(J$4,Curves,0)))</f>
        <v/>
      </c>
      <c r="K463" s="201" t="str">
        <f aca="false">IF(A464="","",J463)</f>
        <v/>
      </c>
      <c r="L463" s="200" t="str">
        <f aca="false">IF($A464="","",VLOOKUP($A463,Table,MATCH(L$4,Curves,0)))</f>
        <v/>
      </c>
      <c r="M463" s="201" t="str">
        <f aca="false">IF(A464="","",L463)</f>
        <v/>
      </c>
      <c r="O463" s="200" t="str">
        <f aca="false">IF(A464="","",L463+J463+G463)</f>
        <v/>
      </c>
      <c r="P463" s="200" t="str">
        <f aca="false">IF(A464="","",M463+K463+H463)</f>
        <v/>
      </c>
      <c r="R463" s="200" t="str">
        <f aca="false">IF($A464="","",VLOOKUP($A463,Table,MATCH(R$4,Curves,0)))</f>
        <v/>
      </c>
      <c r="S463" s="201" t="str">
        <f aca="false">IF(A464="","",R463)</f>
        <v/>
      </c>
      <c r="T463" s="200" t="str">
        <f aca="false">IF($A464="","",VLOOKUP($A463,Table,MATCH(T$4,Curves,0)))</f>
        <v/>
      </c>
      <c r="U463" s="201" t="str">
        <f aca="false">IF(A464="","",T463)</f>
        <v/>
      </c>
      <c r="V463" s="225" t="str">
        <f aca="false">IF($A464="","",IF(AND(MONTH(A463)&gt;3,MONTH(A463)&lt;11),(T463+R463+G463)*(((1/(1-Summary!$T$12))/(1-Summary!$W$12))-1),(T463+R463+G463)*((1/(1-Summary!$U$12))/(1-Summary!$X$12)-1)))</f>
        <v/>
      </c>
      <c r="W463" s="200" t="str">
        <f aca="false">IF($A464="","",(T463+R463+G463+V463))</f>
        <v/>
      </c>
      <c r="X463" s="200" t="str">
        <f aca="false">IF($A464="","",(U463+S463+H463+V463))</f>
        <v/>
      </c>
      <c r="Y463" s="202"/>
      <c r="Z463" s="185"/>
      <c r="AJ463" s="77"/>
      <c r="AK463" s="77"/>
      <c r="AL463" s="77"/>
      <c r="AM463" s="77"/>
      <c r="AN463" s="77"/>
      <c r="AO463" s="137" t="str">
        <f aca="false">IF(A464="","",A464-A463)</f>
        <v/>
      </c>
      <c r="AP463" s="212" t="str">
        <f aca="false">IF(A464="","",CHOOSE(F$3,A464+24,A463))</f>
        <v/>
      </c>
      <c r="AQ463" s="209" t="str">
        <f aca="false">IF(A464="","",AP463-$E$1)</f>
        <v/>
      </c>
      <c r="AR463" s="185" t="n">
        <f aca="false">'ANR OK vs ML7'!AR463</f>
        <v>0.1</v>
      </c>
      <c r="AS463" s="213" t="str">
        <f aca="false">IF(A464="","",1/(1+CHOOSE(F$3,(AR464+($I$3/10000))/2,(AR463+($I$3/10000))/2))^(2*AQ463/365.25))</f>
        <v/>
      </c>
      <c r="AT463" s="137" t="str">
        <f aca="false">IF(A464="","",IF(AND(mthbeg&lt;=A463,mthend&gt;=A463),1,0))</f>
        <v/>
      </c>
      <c r="AU463" s="137" t="str">
        <f aca="false">IF(A464="","",AO463*AT463)</f>
        <v/>
      </c>
      <c r="AW463" s="195" t="str">
        <f aca="false">IF($A464="","",AL463*$E463)</f>
        <v/>
      </c>
      <c r="AX463" s="195" t="str">
        <f aca="false">IF($A464="","",AM463*$E463)</f>
        <v/>
      </c>
      <c r="AY463" s="195" t="str">
        <f aca="false">IF($A464="","",AN463*$E463)</f>
        <v/>
      </c>
      <c r="BA463" s="195" t="str">
        <f aca="false">IF($A464="","",F463*Summary!$Q$12)</f>
        <v/>
      </c>
    </row>
    <row r="464" customFormat="false" ht="12.75" hidden="false" customHeight="false" outlineLevel="0" collapsed="false">
      <c r="A464" s="196" t="str">
        <f aca="false">IF(A463&lt;mthend,EDATE(A463,1),"")</f>
        <v/>
      </c>
      <c r="B464" s="197" t="str">
        <f aca="false">IF(A464&lt;mthend,B463,"")</f>
        <v/>
      </c>
      <c r="D464" s="197" t="str">
        <f aca="false">IF(A465&lt;&gt;"",B464+C464,"")</f>
        <v/>
      </c>
      <c r="E464" s="199" t="str">
        <f aca="false">IF(A465="","",IF(AND(AT464=1,$H$3=1),D464*AO464,IF($H$3=2,D464,"N/A")))</f>
        <v/>
      </c>
      <c r="F464" s="199" t="str">
        <f aca="false">IF(A465="","",E464*AS464)</f>
        <v/>
      </c>
      <c r="G464" s="200" t="str">
        <f aca="false">IF($A465="","",VLOOKUP($A464,Table,MATCH(G$4,Curves,0)))</f>
        <v/>
      </c>
      <c r="H464" s="201" t="str">
        <f aca="false">IF(A465="","",G464)</f>
        <v/>
      </c>
      <c r="J464" s="200" t="str">
        <f aca="false">IF($A465="","",VLOOKUP($A464,Table,MATCH(J$4,Curves,0)))</f>
        <v/>
      </c>
      <c r="K464" s="201" t="str">
        <f aca="false">IF(A465="","",J464)</f>
        <v/>
      </c>
      <c r="L464" s="200" t="str">
        <f aca="false">IF($A465="","",VLOOKUP($A464,Table,MATCH(L$4,Curves,0)))</f>
        <v/>
      </c>
      <c r="M464" s="201" t="str">
        <f aca="false">IF(A465="","",L464)</f>
        <v/>
      </c>
      <c r="O464" s="200" t="str">
        <f aca="false">IF(A465="","",L464+J464+G464)</f>
        <v/>
      </c>
      <c r="P464" s="200" t="str">
        <f aca="false">IF(A465="","",M464+K464+H464)</f>
        <v/>
      </c>
      <c r="R464" s="200" t="str">
        <f aca="false">IF($A465="","",VLOOKUP($A464,Table,MATCH(R$4,Curves,0)))</f>
        <v/>
      </c>
      <c r="S464" s="201" t="str">
        <f aca="false">IF(A465="","",R464)</f>
        <v/>
      </c>
      <c r="T464" s="200" t="str">
        <f aca="false">IF($A465="","",VLOOKUP($A464,Table,MATCH(T$4,Curves,0)))</f>
        <v/>
      </c>
      <c r="U464" s="201" t="str">
        <f aca="false">IF(A465="","",T464)</f>
        <v/>
      </c>
      <c r="V464" s="225" t="str">
        <f aca="false">IF($A465="","",IF(AND(MONTH(A464)&gt;3,MONTH(A464)&lt;11),(T464+R464+G464)*(((1/(1-Summary!$T$12))/(1-Summary!$W$12))-1),(T464+R464+G464)*((1/(1-Summary!$U$12))/(1-Summary!$X$12)-1)))</f>
        <v/>
      </c>
      <c r="W464" s="200" t="str">
        <f aca="false">IF($A465="","",(T464+R464+G464+V464))</f>
        <v/>
      </c>
      <c r="X464" s="200" t="str">
        <f aca="false">IF($A465="","",(U464+S464+H464+V464))</f>
        <v/>
      </c>
      <c r="Y464" s="202"/>
      <c r="Z464" s="185"/>
      <c r="AJ464" s="77"/>
      <c r="AK464" s="77"/>
      <c r="AL464" s="77"/>
      <c r="AM464" s="77"/>
      <c r="AN464" s="77"/>
      <c r="AO464" s="137" t="str">
        <f aca="false">IF(A465="","",A465-A464)</f>
        <v/>
      </c>
      <c r="AP464" s="212" t="str">
        <f aca="false">IF(A465="","",CHOOSE(F$3,A465+24,A464))</f>
        <v/>
      </c>
      <c r="AQ464" s="209" t="str">
        <f aca="false">IF(A465="","",AP464-$E$1)</f>
        <v/>
      </c>
      <c r="AR464" s="185" t="n">
        <f aca="false">'ANR OK vs ML7'!AR464</f>
        <v>0.1</v>
      </c>
      <c r="AS464" s="213" t="str">
        <f aca="false">IF(A465="","",1/(1+CHOOSE(F$3,(AR465+($I$3/10000))/2,(AR464+($I$3/10000))/2))^(2*AQ464/365.25))</f>
        <v/>
      </c>
      <c r="AT464" s="137" t="str">
        <f aca="false">IF(A465="","",IF(AND(mthbeg&lt;=A464,mthend&gt;=A464),1,0))</f>
        <v/>
      </c>
      <c r="AU464" s="137" t="str">
        <f aca="false">IF(A465="","",AO464*AT464)</f>
        <v/>
      </c>
      <c r="AW464" s="195" t="str">
        <f aca="false">IF($A465="","",AL464*$E464)</f>
        <v/>
      </c>
      <c r="AX464" s="195" t="str">
        <f aca="false">IF($A465="","",AM464*$E464)</f>
        <v/>
      </c>
      <c r="AY464" s="195" t="str">
        <f aca="false">IF($A465="","",AN464*$E464)</f>
        <v/>
      </c>
      <c r="BA464" s="195" t="str">
        <f aca="false">IF($A465="","",F464*Summary!$Q$12)</f>
        <v/>
      </c>
    </row>
    <row r="465" customFormat="false" ht="12.75" hidden="false" customHeight="false" outlineLevel="0" collapsed="false">
      <c r="A465" s="196" t="str">
        <f aca="false">IF(A464&lt;mthend,EDATE(A464,1),"")</f>
        <v/>
      </c>
      <c r="B465" s="197" t="str">
        <f aca="false">IF(A465&lt;mthend,B464,"")</f>
        <v/>
      </c>
      <c r="D465" s="197" t="str">
        <f aca="false">IF(A466&lt;&gt;"",B465+C465,"")</f>
        <v/>
      </c>
      <c r="E465" s="199" t="str">
        <f aca="false">IF(A466="","",IF(AND(AT465=1,$H$3=1),D465*AO465,IF($H$3=2,D465,"N/A")))</f>
        <v/>
      </c>
      <c r="F465" s="199" t="str">
        <f aca="false">IF(A466="","",E465*AS465)</f>
        <v/>
      </c>
      <c r="G465" s="200" t="str">
        <f aca="false">IF($A466="","",VLOOKUP($A465,Table,MATCH(G$4,Curves,0)))</f>
        <v/>
      </c>
      <c r="H465" s="201" t="str">
        <f aca="false">IF(A466="","",G465)</f>
        <v/>
      </c>
      <c r="J465" s="200" t="str">
        <f aca="false">IF($A466="","",VLOOKUP($A465,Table,MATCH(J$4,Curves,0)))</f>
        <v/>
      </c>
      <c r="K465" s="201" t="str">
        <f aca="false">IF(A466="","",J465)</f>
        <v/>
      </c>
      <c r="L465" s="200" t="str">
        <f aca="false">IF($A466="","",VLOOKUP($A465,Table,MATCH(L$4,Curves,0)))</f>
        <v/>
      </c>
      <c r="M465" s="201" t="str">
        <f aca="false">IF(A466="","",L465)</f>
        <v/>
      </c>
      <c r="O465" s="200" t="str">
        <f aca="false">IF(A466="","",L465+J465+G465)</f>
        <v/>
      </c>
      <c r="P465" s="200" t="str">
        <f aca="false">IF(A466="","",M465+K465+H465)</f>
        <v/>
      </c>
      <c r="R465" s="200" t="str">
        <f aca="false">IF($A466="","",VLOOKUP($A465,Table,MATCH(R$4,Curves,0)))</f>
        <v/>
      </c>
      <c r="S465" s="201" t="str">
        <f aca="false">IF(A466="","",R465)</f>
        <v/>
      </c>
      <c r="T465" s="200" t="str">
        <f aca="false">IF($A466="","",VLOOKUP($A465,Table,MATCH(T$4,Curves,0)))</f>
        <v/>
      </c>
      <c r="U465" s="201" t="str">
        <f aca="false">IF(A466="","",T465)</f>
        <v/>
      </c>
      <c r="V465" s="225" t="str">
        <f aca="false">IF($A466="","",IF(AND(MONTH(A465)&gt;3,MONTH(A465)&lt;11),(T465+R465+G465)*(((1/(1-Summary!$T$12))/(1-Summary!$W$12))-1),(T465+R465+G465)*((1/(1-Summary!$U$12))/(1-Summary!$X$12)-1)))</f>
        <v/>
      </c>
      <c r="W465" s="200" t="str">
        <f aca="false">IF($A466="","",(T465+R465+G465+V465))</f>
        <v/>
      </c>
      <c r="X465" s="200" t="str">
        <f aca="false">IF($A466="","",(U465+S465+H465+V465))</f>
        <v/>
      </c>
      <c r="Y465" s="202"/>
      <c r="Z465" s="185"/>
      <c r="AJ465" s="77"/>
      <c r="AK465" s="77"/>
      <c r="AL465" s="77"/>
      <c r="AM465" s="77"/>
      <c r="AN465" s="77"/>
      <c r="AO465" s="137" t="str">
        <f aca="false">IF(A466="","",A466-A465)</f>
        <v/>
      </c>
      <c r="AP465" s="212" t="str">
        <f aca="false">IF(A466="","",CHOOSE(F$3,A466+24,A465))</f>
        <v/>
      </c>
      <c r="AQ465" s="209" t="str">
        <f aca="false">IF(A466="","",AP465-$E$1)</f>
        <v/>
      </c>
      <c r="AR465" s="185" t="n">
        <f aca="false">'ANR OK vs ML7'!AR465</f>
        <v>0.1</v>
      </c>
      <c r="AS465" s="213" t="str">
        <f aca="false">IF(A466="","",1/(1+CHOOSE(F$3,(AR466+($I$3/10000))/2,(AR465+($I$3/10000))/2))^(2*AQ465/365.25))</f>
        <v/>
      </c>
      <c r="AT465" s="137" t="str">
        <f aca="false">IF(A466="","",IF(AND(mthbeg&lt;=A465,mthend&gt;=A465),1,0))</f>
        <v/>
      </c>
      <c r="AU465" s="137" t="str">
        <f aca="false">IF(A466="","",AO465*AT465)</f>
        <v/>
      </c>
      <c r="AW465" s="195" t="str">
        <f aca="false">IF($A466="","",AL465*$E465)</f>
        <v/>
      </c>
      <c r="AX465" s="195" t="str">
        <f aca="false">IF($A466="","",AM465*$E465)</f>
        <v/>
      </c>
      <c r="AY465" s="195" t="str">
        <f aca="false">IF($A466="","",AN465*$E465)</f>
        <v/>
      </c>
      <c r="BA465" s="195" t="str">
        <f aca="false">IF($A466="","",F465*Summary!$Q$12)</f>
        <v/>
      </c>
    </row>
    <row r="466" customFormat="false" ht="12.75" hidden="false" customHeight="false" outlineLevel="0" collapsed="false">
      <c r="A466" s="196" t="str">
        <f aca="false">IF(A465&lt;mthend,EDATE(A465,1),"")</f>
        <v/>
      </c>
      <c r="B466" s="197" t="str">
        <f aca="false">IF(A466&lt;mthend,B465,"")</f>
        <v/>
      </c>
      <c r="D466" s="197" t="str">
        <f aca="false">IF(A467&lt;&gt;"",B466+C466,"")</f>
        <v/>
      </c>
      <c r="E466" s="199" t="str">
        <f aca="false">IF(A467="","",IF(AND(AT466=1,$H$3=1),D466*AO466,IF($H$3=2,D466,"N/A")))</f>
        <v/>
      </c>
      <c r="F466" s="199" t="str">
        <f aca="false">IF(A467="","",E466*AS466)</f>
        <v/>
      </c>
      <c r="G466" s="200" t="str">
        <f aca="false">IF($A467="","",VLOOKUP($A466,Table,MATCH(G$4,Curves,0)))</f>
        <v/>
      </c>
      <c r="H466" s="201" t="str">
        <f aca="false">IF(A467="","",G466)</f>
        <v/>
      </c>
      <c r="J466" s="200" t="str">
        <f aca="false">IF($A467="","",VLOOKUP($A466,Table,MATCH(J$4,Curves,0)))</f>
        <v/>
      </c>
      <c r="K466" s="201" t="str">
        <f aca="false">IF(A467="","",J466)</f>
        <v/>
      </c>
      <c r="L466" s="200" t="str">
        <f aca="false">IF($A467="","",VLOOKUP($A466,Table,MATCH(L$4,Curves,0)))</f>
        <v/>
      </c>
      <c r="M466" s="201" t="str">
        <f aca="false">IF(A467="","",L466)</f>
        <v/>
      </c>
      <c r="O466" s="200" t="str">
        <f aca="false">IF(A467="","",L466+J466+G466)</f>
        <v/>
      </c>
      <c r="P466" s="200" t="str">
        <f aca="false">IF(A467="","",M466+K466+H466)</f>
        <v/>
      </c>
      <c r="R466" s="200" t="str">
        <f aca="false">IF($A467="","",VLOOKUP($A466,Table,MATCH(R$4,Curves,0)))</f>
        <v/>
      </c>
      <c r="S466" s="201" t="str">
        <f aca="false">IF(A467="","",R466)</f>
        <v/>
      </c>
      <c r="T466" s="200" t="str">
        <f aca="false">IF($A467="","",VLOOKUP($A466,Table,MATCH(T$4,Curves,0)))</f>
        <v/>
      </c>
      <c r="U466" s="201" t="str">
        <f aca="false">IF(A467="","",T466)</f>
        <v/>
      </c>
      <c r="V466" s="225" t="str">
        <f aca="false">IF($A467="","",IF(AND(MONTH(A466)&gt;3,MONTH(A466)&lt;11),(T466+R466+G466)*(((1/(1-Summary!$T$12))/(1-Summary!$W$12))-1),(T466+R466+G466)*((1/(1-Summary!$U$12))/(1-Summary!$X$12)-1)))</f>
        <v/>
      </c>
      <c r="W466" s="200" t="str">
        <f aca="false">IF($A467="","",(T466+R466+G466+V466))</f>
        <v/>
      </c>
      <c r="X466" s="200" t="str">
        <f aca="false">IF($A467="","",(U466+S466+H466+V466))</f>
        <v/>
      </c>
      <c r="Y466" s="202"/>
      <c r="Z466" s="185"/>
      <c r="AJ466" s="77"/>
      <c r="AK466" s="77"/>
      <c r="AL466" s="77"/>
      <c r="AM466" s="77"/>
      <c r="AN466" s="77"/>
      <c r="AO466" s="137" t="str">
        <f aca="false">IF(A467="","",A467-A466)</f>
        <v/>
      </c>
      <c r="AP466" s="212" t="str">
        <f aca="false">IF(A467="","",CHOOSE(F$3,A467+24,A466))</f>
        <v/>
      </c>
      <c r="AQ466" s="209" t="str">
        <f aca="false">IF(A467="","",AP466-$E$1)</f>
        <v/>
      </c>
      <c r="AR466" s="185" t="n">
        <f aca="false">'ANR OK vs ML7'!AR466</f>
        <v>0.1</v>
      </c>
      <c r="AS466" s="213" t="str">
        <f aca="false">IF(A467="","",1/(1+CHOOSE(F$3,(AR467+($I$3/10000))/2,(AR466+($I$3/10000))/2))^(2*AQ466/365.25))</f>
        <v/>
      </c>
      <c r="AT466" s="137" t="str">
        <f aca="false">IF(A467="","",IF(AND(mthbeg&lt;=A466,mthend&gt;=A466),1,0))</f>
        <v/>
      </c>
      <c r="AU466" s="137" t="str">
        <f aca="false">IF(A467="","",AO466*AT466)</f>
        <v/>
      </c>
      <c r="AW466" s="195" t="str">
        <f aca="false">IF($A467="","",AL466*$E466)</f>
        <v/>
      </c>
      <c r="AX466" s="195" t="str">
        <f aca="false">IF($A467="","",AM466*$E466)</f>
        <v/>
      </c>
      <c r="AY466" s="195" t="str">
        <f aca="false">IF($A467="","",AN466*$E466)</f>
        <v/>
      </c>
      <c r="BA466" s="195" t="str">
        <f aca="false">IF($A467="","",F466*Summary!$Q$12)</f>
        <v/>
      </c>
    </row>
    <row r="467" customFormat="false" ht="12.75" hidden="false" customHeight="false" outlineLevel="0" collapsed="false">
      <c r="A467" s="196" t="str">
        <f aca="false">IF(A466&lt;mthend,EDATE(A466,1),"")</f>
        <v/>
      </c>
      <c r="B467" s="197" t="str">
        <f aca="false">IF(A467&lt;mthend,B466,"")</f>
        <v/>
      </c>
      <c r="D467" s="197" t="str">
        <f aca="false">IF(A468&lt;&gt;"",B467+C467,"")</f>
        <v/>
      </c>
      <c r="E467" s="199" t="str">
        <f aca="false">IF(A468="","",IF(AND(AT467=1,$H$3=1),D467*AO467,IF($H$3=2,D467,"N/A")))</f>
        <v/>
      </c>
      <c r="F467" s="199" t="str">
        <f aca="false">IF(A468="","",E467*AS467)</f>
        <v/>
      </c>
      <c r="G467" s="200" t="str">
        <f aca="false">IF($A468="","",VLOOKUP($A467,Table,MATCH(G$4,Curves,0)))</f>
        <v/>
      </c>
      <c r="H467" s="201" t="str">
        <f aca="false">IF(A468="","",G467)</f>
        <v/>
      </c>
      <c r="J467" s="200" t="str">
        <f aca="false">IF($A468="","",VLOOKUP($A467,Table,MATCH(J$4,Curves,0)))</f>
        <v/>
      </c>
      <c r="K467" s="201" t="str">
        <f aca="false">IF(A468="","",J467)</f>
        <v/>
      </c>
      <c r="L467" s="200" t="str">
        <f aca="false">IF($A468="","",VLOOKUP($A467,Table,MATCH(L$4,Curves,0)))</f>
        <v/>
      </c>
      <c r="M467" s="201" t="str">
        <f aca="false">IF(A468="","",L467)</f>
        <v/>
      </c>
      <c r="O467" s="200" t="str">
        <f aca="false">IF(A468="","",L467+J467+G467)</f>
        <v/>
      </c>
      <c r="P467" s="200" t="str">
        <f aca="false">IF(A468="","",M467+K467+H467)</f>
        <v/>
      </c>
      <c r="R467" s="200" t="str">
        <f aca="false">IF($A468="","",VLOOKUP($A467,Table,MATCH(R$4,Curves,0)))</f>
        <v/>
      </c>
      <c r="S467" s="201" t="str">
        <f aca="false">IF(A468="","",R467)</f>
        <v/>
      </c>
      <c r="T467" s="200" t="str">
        <f aca="false">IF($A468="","",VLOOKUP($A467,Table,MATCH(T$4,Curves,0)))</f>
        <v/>
      </c>
      <c r="U467" s="201" t="str">
        <f aca="false">IF(A468="","",T467)</f>
        <v/>
      </c>
      <c r="V467" s="225" t="str">
        <f aca="false">IF($A468="","",IF(AND(MONTH(A467)&gt;3,MONTH(A467)&lt;11),(T467+R467+G467)*(((1/(1-Summary!$T$12))/(1-Summary!$W$12))-1),(T467+R467+G467)*((1/(1-Summary!$U$12))/(1-Summary!$X$12)-1)))</f>
        <v/>
      </c>
      <c r="W467" s="200" t="str">
        <f aca="false">IF($A468="","",(T467+R467+G467+V467))</f>
        <v/>
      </c>
      <c r="X467" s="200" t="str">
        <f aca="false">IF($A468="","",(U467+S467+H467+V467))</f>
        <v/>
      </c>
      <c r="Y467" s="202"/>
      <c r="Z467" s="185"/>
      <c r="AJ467" s="77"/>
      <c r="AK467" s="77"/>
      <c r="AL467" s="77"/>
      <c r="AM467" s="77"/>
      <c r="AN467" s="77"/>
      <c r="AO467" s="137" t="str">
        <f aca="false">IF(A468="","",A468-A467)</f>
        <v/>
      </c>
      <c r="AP467" s="212" t="str">
        <f aca="false">IF(A468="","",CHOOSE(F$3,A468+24,A467))</f>
        <v/>
      </c>
      <c r="AQ467" s="209" t="str">
        <f aca="false">IF(A468="","",AP467-$E$1)</f>
        <v/>
      </c>
      <c r="AR467" s="185" t="n">
        <f aca="false">'ANR OK vs ML7'!AR467</f>
        <v>0.1</v>
      </c>
      <c r="AS467" s="213" t="str">
        <f aca="false">IF(A468="","",1/(1+CHOOSE(F$3,(AR468+($I$3/10000))/2,(AR467+($I$3/10000))/2))^(2*AQ467/365.25))</f>
        <v/>
      </c>
      <c r="AT467" s="137" t="str">
        <f aca="false">IF(A468="","",IF(AND(mthbeg&lt;=A467,mthend&gt;=A467),1,0))</f>
        <v/>
      </c>
      <c r="AU467" s="137" t="str">
        <f aca="false">IF(A468="","",AO467*AT467)</f>
        <v/>
      </c>
      <c r="AW467" s="195" t="str">
        <f aca="false">IF($A468="","",AL467*$E467)</f>
        <v/>
      </c>
      <c r="AX467" s="195" t="str">
        <f aca="false">IF($A468="","",AM467*$E467)</f>
        <v/>
      </c>
      <c r="AY467" s="195" t="str">
        <f aca="false">IF($A468="","",AN467*$E467)</f>
        <v/>
      </c>
      <c r="BA467" s="195" t="str">
        <f aca="false">IF($A468="","",F467*Summary!$Q$12)</f>
        <v/>
      </c>
    </row>
    <row r="468" customFormat="false" ht="12.75" hidden="false" customHeight="false" outlineLevel="0" collapsed="false">
      <c r="A468" s="196" t="str">
        <f aca="false">IF(A467&lt;mthend,EDATE(A467,1),"")</f>
        <v/>
      </c>
      <c r="B468" s="197" t="str">
        <f aca="false">IF(A468&lt;mthend,B467,"")</f>
        <v/>
      </c>
      <c r="D468" s="197" t="str">
        <f aca="false">IF(A469&lt;&gt;"",B468+C468,"")</f>
        <v/>
      </c>
      <c r="E468" s="199" t="str">
        <f aca="false">IF(A469="","",IF(AND(AT468=1,$H$3=1),D468*AO468,IF($H$3=2,D468,"N/A")))</f>
        <v/>
      </c>
      <c r="F468" s="199" t="str">
        <f aca="false">IF(A469="","",E468*AS468)</f>
        <v/>
      </c>
      <c r="G468" s="200" t="str">
        <f aca="false">IF($A469="","",VLOOKUP($A468,Table,MATCH(G$4,Curves,0)))</f>
        <v/>
      </c>
      <c r="H468" s="201" t="str">
        <f aca="false">IF(A469="","",G468)</f>
        <v/>
      </c>
      <c r="J468" s="200" t="str">
        <f aca="false">IF($A469="","",VLOOKUP($A468,Table,MATCH(J$4,Curves,0)))</f>
        <v/>
      </c>
      <c r="K468" s="201" t="str">
        <f aca="false">IF(A469="","",J468)</f>
        <v/>
      </c>
      <c r="L468" s="200" t="str">
        <f aca="false">IF($A469="","",VLOOKUP($A468,Table,MATCH(L$4,Curves,0)))</f>
        <v/>
      </c>
      <c r="M468" s="201" t="str">
        <f aca="false">IF(A469="","",L468)</f>
        <v/>
      </c>
      <c r="O468" s="200" t="str">
        <f aca="false">IF(A469="","",L468+J468+G468)</f>
        <v/>
      </c>
      <c r="P468" s="200" t="str">
        <f aca="false">IF(A469="","",M468+K468+H468)</f>
        <v/>
      </c>
      <c r="R468" s="200" t="str">
        <f aca="false">IF($A469="","",VLOOKUP($A468,Table,MATCH(R$4,Curves,0)))</f>
        <v/>
      </c>
      <c r="S468" s="201" t="str">
        <f aca="false">IF(A469="","",R468)</f>
        <v/>
      </c>
      <c r="T468" s="200" t="str">
        <f aca="false">IF($A469="","",VLOOKUP($A468,Table,MATCH(T$4,Curves,0)))</f>
        <v/>
      </c>
      <c r="U468" s="201" t="str">
        <f aca="false">IF(A469="","",T468)</f>
        <v/>
      </c>
      <c r="V468" s="225" t="str">
        <f aca="false">IF($A469="","",IF(AND(MONTH(A468)&gt;3,MONTH(A468)&lt;11),(T468+R468+G468)*(((1/(1-Summary!$T$12))/(1-Summary!$W$12))-1),(T468+R468+G468)*((1/(1-Summary!$U$12))/(1-Summary!$X$12)-1)))</f>
        <v/>
      </c>
      <c r="W468" s="200" t="str">
        <f aca="false">IF($A469="","",(T468+R468+G468+V468))</f>
        <v/>
      </c>
      <c r="X468" s="200" t="str">
        <f aca="false">IF($A469="","",(U468+S468+H468+V468))</f>
        <v/>
      </c>
      <c r="Y468" s="202"/>
      <c r="Z468" s="185"/>
      <c r="AJ468" s="77"/>
      <c r="AK468" s="77"/>
      <c r="AL468" s="77"/>
      <c r="AM468" s="77"/>
      <c r="AN468" s="77"/>
      <c r="AO468" s="137" t="str">
        <f aca="false">IF(A469="","",A469-A468)</f>
        <v/>
      </c>
      <c r="AP468" s="212" t="str">
        <f aca="false">IF(A469="","",CHOOSE(F$3,A469+24,A468))</f>
        <v/>
      </c>
      <c r="AQ468" s="209" t="str">
        <f aca="false">IF(A469="","",AP468-$E$1)</f>
        <v/>
      </c>
      <c r="AR468" s="185" t="n">
        <f aca="false">'ANR OK vs ML7'!AR468</f>
        <v>0.1</v>
      </c>
      <c r="AS468" s="213" t="str">
        <f aca="false">IF(A469="","",1/(1+CHOOSE(F$3,(AR469+($I$3/10000))/2,(AR468+($I$3/10000))/2))^(2*AQ468/365.25))</f>
        <v/>
      </c>
      <c r="AT468" s="137" t="str">
        <f aca="false">IF(A469="","",IF(AND(mthbeg&lt;=A468,mthend&gt;=A468),1,0))</f>
        <v/>
      </c>
      <c r="AU468" s="137" t="str">
        <f aca="false">IF(A469="","",AO468*AT468)</f>
        <v/>
      </c>
      <c r="AW468" s="195" t="str">
        <f aca="false">IF($A469="","",AL468*$E468)</f>
        <v/>
      </c>
      <c r="AX468" s="195" t="str">
        <f aca="false">IF($A469="","",AM468*$E468)</f>
        <v/>
      </c>
      <c r="AY468" s="195" t="str">
        <f aca="false">IF($A469="","",AN468*$E468)</f>
        <v/>
      </c>
      <c r="BA468" s="195" t="str">
        <f aca="false">IF($A469="","",F468*Summary!$Q$12)</f>
        <v/>
      </c>
    </row>
    <row r="469" customFormat="false" ht="12.75" hidden="false" customHeight="false" outlineLevel="0" collapsed="false">
      <c r="A469" s="196" t="str">
        <f aca="false">IF(A468&lt;mthend,EDATE(A468,1),"")</f>
        <v/>
      </c>
      <c r="B469" s="197" t="str">
        <f aca="false">IF(A469&lt;mthend,B468,"")</f>
        <v/>
      </c>
      <c r="D469" s="197" t="str">
        <f aca="false">IF(A470&lt;&gt;"",B469+C469,"")</f>
        <v/>
      </c>
      <c r="E469" s="199" t="str">
        <f aca="false">IF(A470="","",IF(AND(AT469=1,$H$3=1),D469*AO469,IF($H$3=2,D469,"N/A")))</f>
        <v/>
      </c>
      <c r="F469" s="199" t="str">
        <f aca="false">IF(A470="","",E469*AS469)</f>
        <v/>
      </c>
      <c r="G469" s="200" t="str">
        <f aca="false">IF($A470="","",VLOOKUP($A469,Table,MATCH(G$4,Curves,0)))</f>
        <v/>
      </c>
      <c r="H469" s="201" t="str">
        <f aca="false">IF(A470="","",G469)</f>
        <v/>
      </c>
      <c r="J469" s="200" t="str">
        <f aca="false">IF($A470="","",VLOOKUP($A469,Table,MATCH(J$4,Curves,0)))</f>
        <v/>
      </c>
      <c r="K469" s="201" t="str">
        <f aca="false">IF(A470="","",J469)</f>
        <v/>
      </c>
      <c r="L469" s="200" t="str">
        <f aca="false">IF($A470="","",VLOOKUP($A469,Table,MATCH(L$4,Curves,0)))</f>
        <v/>
      </c>
      <c r="M469" s="201" t="str">
        <f aca="false">IF(A470="","",L469)</f>
        <v/>
      </c>
      <c r="O469" s="200" t="str">
        <f aca="false">IF(A470="","",L469+J469+G469)</f>
        <v/>
      </c>
      <c r="P469" s="200" t="str">
        <f aca="false">IF(A470="","",M469+K469+H469)</f>
        <v/>
      </c>
      <c r="R469" s="200" t="str">
        <f aca="false">IF($A470="","",VLOOKUP($A469,Table,MATCH(R$4,Curves,0)))</f>
        <v/>
      </c>
      <c r="S469" s="201" t="str">
        <f aca="false">IF(A470="","",R469)</f>
        <v/>
      </c>
      <c r="T469" s="200" t="str">
        <f aca="false">IF($A470="","",VLOOKUP($A469,Table,MATCH(T$4,Curves,0)))</f>
        <v/>
      </c>
      <c r="U469" s="201" t="str">
        <f aca="false">IF(A470="","",T469)</f>
        <v/>
      </c>
      <c r="V469" s="225" t="str">
        <f aca="false">IF($A470="","",IF(AND(MONTH(A469)&gt;3,MONTH(A469)&lt;11),(T469+R469+G469)*(((1/(1-Summary!$T$12))/(1-Summary!$W$12))-1),(T469+R469+G469)*((1/(1-Summary!$U$12))/(1-Summary!$X$12)-1)))</f>
        <v/>
      </c>
      <c r="W469" s="200" t="str">
        <f aca="false">IF($A470="","",(T469+R469+G469+V469))</f>
        <v/>
      </c>
      <c r="X469" s="200" t="str">
        <f aca="false">IF($A470="","",(U469+S469+H469+V469))</f>
        <v/>
      </c>
      <c r="Y469" s="202"/>
      <c r="Z469" s="185"/>
      <c r="AJ469" s="77"/>
      <c r="AK469" s="77"/>
      <c r="AL469" s="77"/>
      <c r="AM469" s="77"/>
      <c r="AN469" s="77"/>
      <c r="AO469" s="137" t="str">
        <f aca="false">IF(A470="","",A470-A469)</f>
        <v/>
      </c>
      <c r="AP469" s="212" t="str">
        <f aca="false">IF(A470="","",CHOOSE(F$3,A470+24,A469))</f>
        <v/>
      </c>
      <c r="AQ469" s="209" t="str">
        <f aca="false">IF(A470="","",AP469-$E$1)</f>
        <v/>
      </c>
      <c r="AR469" s="185" t="n">
        <f aca="false">'ANR OK vs ML7'!AR469</f>
        <v>0.1</v>
      </c>
      <c r="AS469" s="213" t="str">
        <f aca="false">IF(A470="","",1/(1+CHOOSE(F$3,(AR470+($I$3/10000))/2,(AR469+($I$3/10000))/2))^(2*AQ469/365.25))</f>
        <v/>
      </c>
      <c r="AT469" s="137" t="str">
        <f aca="false">IF(A470="","",IF(AND(mthbeg&lt;=A469,mthend&gt;=A469),1,0))</f>
        <v/>
      </c>
      <c r="AU469" s="137" t="str">
        <f aca="false">IF(A470="","",AO469*AT469)</f>
        <v/>
      </c>
      <c r="AW469" s="195" t="str">
        <f aca="false">IF($A470="","",AL469*$E469)</f>
        <v/>
      </c>
      <c r="AX469" s="195" t="str">
        <f aca="false">IF($A470="","",AM469*$E469)</f>
        <v/>
      </c>
      <c r="AY469" s="195" t="str">
        <f aca="false">IF($A470="","",AN469*$E469)</f>
        <v/>
      </c>
      <c r="BA469" s="195" t="str">
        <f aca="false">IF($A470="","",F469*Summary!$Q$12)</f>
        <v/>
      </c>
    </row>
    <row r="470" customFormat="false" ht="12.75" hidden="false" customHeight="false" outlineLevel="0" collapsed="false">
      <c r="A470" s="196" t="str">
        <f aca="false">IF(A469&lt;mthend,EDATE(A469,1),"")</f>
        <v/>
      </c>
      <c r="B470" s="197" t="str">
        <f aca="false">IF(A470&lt;mthend,B469,"")</f>
        <v/>
      </c>
      <c r="D470" s="197" t="str">
        <f aca="false">IF(A471&lt;&gt;"",B470+C470,"")</f>
        <v/>
      </c>
      <c r="E470" s="199" t="str">
        <f aca="false">IF(A471="","",IF(AND(AT470=1,$H$3=1),D470*AO470,IF($H$3=2,D470,"N/A")))</f>
        <v/>
      </c>
      <c r="F470" s="199" t="str">
        <f aca="false">IF(A471="","",E470*AS470)</f>
        <v/>
      </c>
      <c r="G470" s="200" t="str">
        <f aca="false">IF($A471="","",VLOOKUP($A470,Table,MATCH(G$4,Curves,0)))</f>
        <v/>
      </c>
      <c r="H470" s="201" t="str">
        <f aca="false">IF(A471="","",G470)</f>
        <v/>
      </c>
      <c r="J470" s="200" t="str">
        <f aca="false">IF($A471="","",VLOOKUP($A470,Table,MATCH(J$4,Curves,0)))</f>
        <v/>
      </c>
      <c r="K470" s="201" t="str">
        <f aca="false">IF(A471="","",J470)</f>
        <v/>
      </c>
      <c r="L470" s="200" t="str">
        <f aca="false">IF($A471="","",VLOOKUP($A470,Table,MATCH(L$4,Curves,0)))</f>
        <v/>
      </c>
      <c r="M470" s="201" t="str">
        <f aca="false">IF(A471="","",L470)</f>
        <v/>
      </c>
      <c r="O470" s="200" t="str">
        <f aca="false">IF(A471="","",L470+J470+G470)</f>
        <v/>
      </c>
      <c r="P470" s="200" t="str">
        <f aca="false">IF(A471="","",M470+K470+H470)</f>
        <v/>
      </c>
      <c r="R470" s="200" t="str">
        <f aca="false">IF($A471="","",VLOOKUP($A470,Table,MATCH(R$4,Curves,0)))</f>
        <v/>
      </c>
      <c r="S470" s="201" t="str">
        <f aca="false">IF(A471="","",R470)</f>
        <v/>
      </c>
      <c r="T470" s="200" t="str">
        <f aca="false">IF($A471="","",VLOOKUP($A470,Table,MATCH(T$4,Curves,0)))</f>
        <v/>
      </c>
      <c r="U470" s="201" t="str">
        <f aca="false">IF(A471="","",T470)</f>
        <v/>
      </c>
      <c r="V470" s="225" t="str">
        <f aca="false">IF($A471="","",IF(AND(MONTH(A470)&gt;3,MONTH(A470)&lt;11),(T470+R470+G470)*(((1/(1-Summary!$T$12))/(1-Summary!$W$12))-1),(T470+R470+G470)*((1/(1-Summary!$U$12))/(1-Summary!$X$12)-1)))</f>
        <v/>
      </c>
      <c r="W470" s="200" t="str">
        <f aca="false">IF($A471="","",(T470+R470+G470+V470))</f>
        <v/>
      </c>
      <c r="X470" s="200" t="str">
        <f aca="false">IF($A471="","",(U470+S470+H470+V470))</f>
        <v/>
      </c>
      <c r="Y470" s="202"/>
      <c r="Z470" s="185"/>
      <c r="AJ470" s="77"/>
      <c r="AK470" s="77"/>
      <c r="AL470" s="77"/>
      <c r="AM470" s="77"/>
      <c r="AN470" s="77"/>
      <c r="AO470" s="137" t="str">
        <f aca="false">IF(A471="","",A471-A470)</f>
        <v/>
      </c>
      <c r="AP470" s="212" t="str">
        <f aca="false">IF(A471="","",CHOOSE(F$3,A471+24,A470))</f>
        <v/>
      </c>
      <c r="AQ470" s="209" t="str">
        <f aca="false">IF(A471="","",AP470-$E$1)</f>
        <v/>
      </c>
      <c r="AR470" s="185" t="n">
        <f aca="false">'ANR OK vs ML7'!AR470</f>
        <v>0.1</v>
      </c>
      <c r="AS470" s="213" t="str">
        <f aca="false">IF(A471="","",1/(1+CHOOSE(F$3,(AR471+($I$3/10000))/2,(AR470+($I$3/10000))/2))^(2*AQ470/365.25))</f>
        <v/>
      </c>
      <c r="AT470" s="137" t="str">
        <f aca="false">IF(A471="","",IF(AND(mthbeg&lt;=A470,mthend&gt;=A470),1,0))</f>
        <v/>
      </c>
      <c r="AU470" s="137" t="str">
        <f aca="false">IF(A471="","",AO470*AT470)</f>
        <v/>
      </c>
      <c r="AW470" s="195" t="str">
        <f aca="false">IF($A471="","",AL470*$E470)</f>
        <v/>
      </c>
      <c r="AX470" s="195" t="str">
        <f aca="false">IF($A471="","",AM470*$E470)</f>
        <v/>
      </c>
      <c r="AY470" s="195" t="str">
        <f aca="false">IF($A471="","",AN470*$E470)</f>
        <v/>
      </c>
      <c r="BA470" s="195" t="str">
        <f aca="false">IF($A471="","",F470*Summary!$Q$12)</f>
        <v/>
      </c>
    </row>
    <row r="471" customFormat="false" ht="12.75" hidden="false" customHeight="false" outlineLevel="0" collapsed="false">
      <c r="A471" s="196" t="str">
        <f aca="false">IF(A470&lt;mthend,EDATE(A470,1),"")</f>
        <v/>
      </c>
      <c r="B471" s="197" t="str">
        <f aca="false">IF(A471&lt;mthend,B470,"")</f>
        <v/>
      </c>
      <c r="D471" s="197" t="str">
        <f aca="false">IF(A472&lt;&gt;"",B471+C471,"")</f>
        <v/>
      </c>
      <c r="E471" s="199" t="str">
        <f aca="false">IF(A472="","",IF(AND(AT471=1,$H$3=1),D471*AO471,IF($H$3=2,D471,"N/A")))</f>
        <v/>
      </c>
      <c r="F471" s="199" t="str">
        <f aca="false">IF(A472="","",E471*AS471)</f>
        <v/>
      </c>
      <c r="G471" s="200" t="str">
        <f aca="false">IF($A472="","",VLOOKUP($A471,Table,MATCH(G$4,Curves,0)))</f>
        <v/>
      </c>
      <c r="H471" s="201" t="str">
        <f aca="false">IF(A472="","",G471)</f>
        <v/>
      </c>
      <c r="J471" s="200" t="str">
        <f aca="false">IF($A472="","",VLOOKUP($A471,Table,MATCH(J$4,Curves,0)))</f>
        <v/>
      </c>
      <c r="K471" s="201" t="str">
        <f aca="false">IF(A472="","",J471)</f>
        <v/>
      </c>
      <c r="L471" s="200" t="str">
        <f aca="false">IF($A472="","",VLOOKUP($A471,Table,MATCH(L$4,Curves,0)))</f>
        <v/>
      </c>
      <c r="M471" s="201" t="str">
        <f aca="false">IF(A472="","",L471)</f>
        <v/>
      </c>
      <c r="O471" s="200" t="str">
        <f aca="false">IF(A472="","",L471+J471+G471)</f>
        <v/>
      </c>
      <c r="P471" s="200" t="str">
        <f aca="false">IF(A472="","",M471+K471+H471)</f>
        <v/>
      </c>
      <c r="R471" s="200" t="str">
        <f aca="false">IF($A472="","",VLOOKUP($A471,Table,MATCH(R$4,Curves,0)))</f>
        <v/>
      </c>
      <c r="S471" s="201" t="str">
        <f aca="false">IF(A472="","",R471)</f>
        <v/>
      </c>
      <c r="T471" s="200" t="str">
        <f aca="false">IF($A472="","",VLOOKUP($A471,Table,MATCH(T$4,Curves,0)))</f>
        <v/>
      </c>
      <c r="U471" s="201" t="str">
        <f aca="false">IF(A472="","",T471)</f>
        <v/>
      </c>
      <c r="V471" s="225" t="str">
        <f aca="false">IF($A472="","",IF(AND(MONTH(A471)&gt;3,MONTH(A471)&lt;11),(T471+R471+G471)*(((1/(1-Summary!$T$12))/(1-Summary!$W$12))-1),(T471+R471+G471)*((1/(1-Summary!$U$12))/(1-Summary!$X$12)-1)))</f>
        <v/>
      </c>
      <c r="W471" s="200" t="str">
        <f aca="false">IF($A472="","",(T471+R471+G471+V471))</f>
        <v/>
      </c>
      <c r="X471" s="200" t="str">
        <f aca="false">IF($A472="","",(U471+S471+H471+V471))</f>
        <v/>
      </c>
      <c r="Y471" s="202"/>
      <c r="Z471" s="21"/>
      <c r="AJ471" s="77"/>
      <c r="AK471" s="77"/>
      <c r="AL471" s="77"/>
      <c r="AM471" s="77"/>
      <c r="AN471" s="77"/>
      <c r="AO471" s="137" t="str">
        <f aca="false">IF(A472="","",A472-A471)</f>
        <v/>
      </c>
      <c r="AP471" s="212" t="str">
        <f aca="false">IF(A472="","",CHOOSE(F$3,A472+24,A471))</f>
        <v/>
      </c>
      <c r="AQ471" s="209" t="str">
        <f aca="false">IF(A472="","",AP471-$E$1)</f>
        <v/>
      </c>
      <c r="AR471" s="185" t="n">
        <f aca="false">'ANR OK vs ML7'!AR471</f>
        <v>0.1</v>
      </c>
      <c r="AS471" s="213" t="str">
        <f aca="false">IF(A472="","",1/(1+CHOOSE(F$3,(AR472+($I$3/10000))/2,(AR471+($I$3/10000))/2))^(2*AQ471/365.25))</f>
        <v/>
      </c>
      <c r="AT471" s="137" t="str">
        <f aca="false">IF(A472="","",IF(AND(mthbeg&lt;=A471,mthend&gt;=A471),1,0))</f>
        <v/>
      </c>
      <c r="AU471" s="137" t="str">
        <f aca="false">IF(A472="","",AO471*AT471)</f>
        <v/>
      </c>
      <c r="AW471" s="195" t="str">
        <f aca="false">IF($A472="","",AL471*$E471)</f>
        <v/>
      </c>
      <c r="AX471" s="195" t="str">
        <f aca="false">IF($A472="","",AM471*$E471)</f>
        <v/>
      </c>
      <c r="AY471" s="195" t="str">
        <f aca="false">IF($A472="","",AN471*$E471)</f>
        <v/>
      </c>
      <c r="BA471" s="195" t="str">
        <f aca="false">IF($A472="","",F471*Summary!$Q$12)</f>
        <v/>
      </c>
    </row>
    <row r="472" customFormat="false" ht="12.75" hidden="false" customHeight="false" outlineLevel="0" collapsed="false">
      <c r="A472" s="196" t="str">
        <f aca="false">IF(A471&lt;mthend,EDATE(A471,1),"")</f>
        <v/>
      </c>
      <c r="B472" s="197" t="str">
        <f aca="false">IF(A472&lt;mthend,B471,"")</f>
        <v/>
      </c>
      <c r="D472" s="197" t="str">
        <f aca="false">IF(A473&lt;&gt;"",B472+C472,"")</f>
        <v/>
      </c>
      <c r="E472" s="199" t="str">
        <f aca="false">IF(A473="","",IF(AND(AT472=1,$H$3=1),D472*AO472,IF($H$3=2,D472,"N/A")))</f>
        <v/>
      </c>
      <c r="F472" s="199" t="str">
        <f aca="false">IF(A473="","",E472*AS472)</f>
        <v/>
      </c>
      <c r="G472" s="200" t="str">
        <f aca="false">IF($A473="","",VLOOKUP($A472,Table,MATCH(G$4,Curves,0)))</f>
        <v/>
      </c>
      <c r="H472" s="201" t="str">
        <f aca="false">IF(A473="","",G472)</f>
        <v/>
      </c>
      <c r="J472" s="200" t="str">
        <f aca="false">IF($A473="","",VLOOKUP($A472,Table,MATCH(J$4,Curves,0)))</f>
        <v/>
      </c>
      <c r="K472" s="201" t="str">
        <f aca="false">IF(A473="","",J472)</f>
        <v/>
      </c>
      <c r="L472" s="200" t="str">
        <f aca="false">IF($A473="","",VLOOKUP($A472,Table,MATCH(L$4,Curves,0)))</f>
        <v/>
      </c>
      <c r="M472" s="201" t="str">
        <f aca="false">IF(A473="","",L472)</f>
        <v/>
      </c>
      <c r="O472" s="200" t="str">
        <f aca="false">IF(A473="","",L472+J472+G472)</f>
        <v/>
      </c>
      <c r="P472" s="200" t="str">
        <f aca="false">IF(A473="","",M472+K472+H472)</f>
        <v/>
      </c>
      <c r="R472" s="200" t="str">
        <f aca="false">IF($A473="","",VLOOKUP($A472,Table,MATCH(R$4,Curves,0)))</f>
        <v/>
      </c>
      <c r="S472" s="201" t="str">
        <f aca="false">IF(A473="","",R472)</f>
        <v/>
      </c>
      <c r="T472" s="200" t="str">
        <f aca="false">IF($A473="","",VLOOKUP($A472,Table,MATCH(T$4,Curves,0)))</f>
        <v/>
      </c>
      <c r="U472" s="201" t="str">
        <f aca="false">IF(A473="","",T472)</f>
        <v/>
      </c>
      <c r="V472" s="225" t="str">
        <f aca="false">IF($A473="","",IF(AND(MONTH(A472)&gt;3,MONTH(A472)&lt;11),(T472+R472+G472)*(((1/(1-Summary!$T$12))/(1-Summary!$W$12))-1),(T472+R472+G472)*((1/(1-Summary!$U$12))/(1-Summary!$X$12)-1)))</f>
        <v/>
      </c>
      <c r="W472" s="200" t="str">
        <f aca="false">IF($A473="","",(T472+R472+G472+V472))</f>
        <v/>
      </c>
      <c r="X472" s="200" t="str">
        <f aca="false">IF($A473="","",(U472+S472+H472+V472))</f>
        <v/>
      </c>
      <c r="Y472" s="202"/>
      <c r="AJ472" s="77"/>
      <c r="AK472" s="77"/>
      <c r="AL472" s="77"/>
      <c r="AM472" s="77"/>
      <c r="AN472" s="77"/>
      <c r="AO472" s="137" t="str">
        <f aca="false">IF(A473="","",A473-A472)</f>
        <v/>
      </c>
      <c r="AP472" s="212" t="str">
        <f aca="false">IF(A473="","",CHOOSE(F$3,A473+24,A472))</f>
        <v/>
      </c>
      <c r="AQ472" s="209" t="str">
        <f aca="false">IF(A473="","",AP472-$E$1)</f>
        <v/>
      </c>
      <c r="AR472" s="185" t="n">
        <f aca="false">'ANR OK vs ML7'!AR472</f>
        <v>0.1</v>
      </c>
      <c r="AS472" s="213" t="str">
        <f aca="false">IF(A473="","",1/(1+CHOOSE(F$3,(AR473+($I$3/10000))/2,(AR472+($I$3/10000))/2))^(2*AQ472/365.25))</f>
        <v/>
      </c>
      <c r="AT472" s="137" t="str">
        <f aca="false">IF(A473="","",IF(AND(mthbeg&lt;=A472,mthend&gt;=A472),1,0))</f>
        <v/>
      </c>
      <c r="AU472" s="137" t="str">
        <f aca="false">IF(A473="","",AO472*AT472)</f>
        <v/>
      </c>
      <c r="AW472" s="195" t="str">
        <f aca="false">IF($A473="","",AL472*$E472)</f>
        <v/>
      </c>
      <c r="AX472" s="195" t="str">
        <f aca="false">IF($A473="","",AM472*$E472)</f>
        <v/>
      </c>
      <c r="AY472" s="195" t="str">
        <f aca="false">IF($A473="","",AN472*$E472)</f>
        <v/>
      </c>
      <c r="BA472" s="195" t="str">
        <f aca="false">IF($A473="","",F472*Summary!$Q$12)</f>
        <v/>
      </c>
    </row>
    <row r="473" customFormat="false" ht="12.75" hidden="false" customHeight="false" outlineLevel="0" collapsed="false">
      <c r="A473" s="196" t="str">
        <f aca="false">IF(A472&lt;mthend,EDATE(A472,1),"")</f>
        <v/>
      </c>
      <c r="B473" s="197" t="str">
        <f aca="false">IF(A473&lt;mthend,B472,"")</f>
        <v/>
      </c>
      <c r="D473" s="197" t="str">
        <f aca="false">IF(A474&lt;&gt;"",B473+C473,"")</f>
        <v/>
      </c>
      <c r="E473" s="199" t="str">
        <f aca="false">IF(A474="","",IF(AND(AT473=1,$H$3=1),D473*AO473,IF($H$3=2,D473,"N/A")))</f>
        <v/>
      </c>
      <c r="F473" s="199" t="str">
        <f aca="false">IF(A474="","",E473*AS473)</f>
        <v/>
      </c>
      <c r="G473" s="200" t="str">
        <f aca="false">IF($A474="","",VLOOKUP($A473,Table,MATCH(G$4,Curves,0)))</f>
        <v/>
      </c>
      <c r="H473" s="201" t="str">
        <f aca="false">IF(A474="","",G473)</f>
        <v/>
      </c>
      <c r="J473" s="200" t="str">
        <f aca="false">IF($A474="","",VLOOKUP($A473,Table,MATCH(J$4,Curves,0)))</f>
        <v/>
      </c>
      <c r="K473" s="201" t="str">
        <f aca="false">IF(A474="","",J473)</f>
        <v/>
      </c>
      <c r="L473" s="200" t="str">
        <f aca="false">IF($A474="","",VLOOKUP($A473,Table,MATCH(L$4,Curves,0)))</f>
        <v/>
      </c>
      <c r="M473" s="201" t="str">
        <f aca="false">IF(A474="","",L473)</f>
        <v/>
      </c>
      <c r="O473" s="200" t="str">
        <f aca="false">IF(A474="","",L473+J473+G473)</f>
        <v/>
      </c>
      <c r="P473" s="200" t="str">
        <f aca="false">IF(A474="","",M473+K473+H473)</f>
        <v/>
      </c>
      <c r="R473" s="200" t="str">
        <f aca="false">IF($A474="","",VLOOKUP($A473,Table,MATCH(R$4,Curves,0)))</f>
        <v/>
      </c>
      <c r="S473" s="201" t="str">
        <f aca="false">IF(A474="","",R473)</f>
        <v/>
      </c>
      <c r="T473" s="200" t="str">
        <f aca="false">IF($A474="","",VLOOKUP($A473,Table,MATCH(T$4,Curves,0)))</f>
        <v/>
      </c>
      <c r="U473" s="201" t="str">
        <f aca="false">IF(A474="","",T473)</f>
        <v/>
      </c>
      <c r="V473" s="225" t="str">
        <f aca="false">IF($A474="","",IF(AND(MONTH(A473)&gt;3,MONTH(A473)&lt;11),(T473+R473+G473)*(((1/(1-Summary!$T$12))/(1-Summary!$W$12))-1),(T473+R473+G473)*((1/(1-Summary!$U$12))/(1-Summary!$X$12)-1)))</f>
        <v/>
      </c>
      <c r="W473" s="200" t="str">
        <f aca="false">IF($A474="","",(T473+R473+G473+V473))</f>
        <v/>
      </c>
      <c r="X473" s="200" t="str">
        <f aca="false">IF($A474="","",(U473+S473+H473+V473))</f>
        <v/>
      </c>
      <c r="Y473" s="202"/>
      <c r="AJ473" s="77"/>
      <c r="AK473" s="77"/>
      <c r="AL473" s="77"/>
      <c r="AM473" s="77"/>
      <c r="AN473" s="77"/>
      <c r="AO473" s="137" t="str">
        <f aca="false">IF(A474="","",A474-A473)</f>
        <v/>
      </c>
      <c r="AP473" s="212" t="str">
        <f aca="false">IF(A474="","",CHOOSE(F$3,A474+24,A473))</f>
        <v/>
      </c>
      <c r="AQ473" s="209" t="str">
        <f aca="false">IF(A474="","",AP473-$E$1)</f>
        <v/>
      </c>
      <c r="AR473" s="185" t="n">
        <f aca="false">'ANR OK vs ML7'!AR473</f>
        <v>0.1</v>
      </c>
      <c r="AS473" s="213" t="str">
        <f aca="false">IF(A474="","",1/(1+CHOOSE(F$3,(AR474+($I$3/10000))/2,(AR473+($I$3/10000))/2))^(2*AQ473/365.25))</f>
        <v/>
      </c>
      <c r="AT473" s="137" t="str">
        <f aca="false">IF(A474="","",IF(AND(mthbeg&lt;=A473,mthend&gt;=A473),1,0))</f>
        <v/>
      </c>
      <c r="AU473" s="137" t="str">
        <f aca="false">IF(A474="","",AO473*AT473)</f>
        <v/>
      </c>
      <c r="AW473" s="195" t="str">
        <f aca="false">IF($A474="","",AL473*$E473)</f>
        <v/>
      </c>
      <c r="AX473" s="195" t="str">
        <f aca="false">IF($A474="","",AM473*$E473)</f>
        <v/>
      </c>
      <c r="AY473" s="195" t="str">
        <f aca="false">IF($A474="","",AN473*$E473)</f>
        <v/>
      </c>
      <c r="BA473" s="195" t="str">
        <f aca="false">IF($A474="","",F473*Summary!$Q$12)</f>
        <v/>
      </c>
    </row>
    <row r="474" customFormat="false" ht="12.75" hidden="false" customHeight="false" outlineLevel="0" collapsed="false">
      <c r="A474" s="196" t="str">
        <f aca="false">IF(A473&lt;mthend,EDATE(A473,1),"")</f>
        <v/>
      </c>
      <c r="B474" s="197" t="str">
        <f aca="false">IF(A474&lt;mthend,B473,"")</f>
        <v/>
      </c>
      <c r="D474" s="197" t="str">
        <f aca="false">IF(A475&lt;&gt;"",B474+C474,"")</f>
        <v/>
      </c>
      <c r="E474" s="199" t="str">
        <f aca="false">IF(A475="","",IF(AND(AT474=1,$H$3=1),D474*AO474,IF($H$3=2,D474,"N/A")))</f>
        <v/>
      </c>
      <c r="F474" s="199" t="str">
        <f aca="false">IF(A475="","",E474*AS474)</f>
        <v/>
      </c>
      <c r="G474" s="200" t="str">
        <f aca="false">IF($A475="","",VLOOKUP($A474,Table,MATCH(G$4,Curves,0)))</f>
        <v/>
      </c>
      <c r="H474" s="201" t="str">
        <f aca="false">IF(A475="","",G474)</f>
        <v/>
      </c>
      <c r="J474" s="200" t="str">
        <f aca="false">IF($A475="","",VLOOKUP($A474,Table,MATCH(J$4,Curves,0)))</f>
        <v/>
      </c>
      <c r="K474" s="201" t="str">
        <f aca="false">IF(A475="","",J474)</f>
        <v/>
      </c>
      <c r="L474" s="200" t="str">
        <f aca="false">IF($A475="","",VLOOKUP($A474,Table,MATCH(L$4,Curves,0)))</f>
        <v/>
      </c>
      <c r="M474" s="201" t="str">
        <f aca="false">IF(A475="","",L474)</f>
        <v/>
      </c>
      <c r="O474" s="200" t="str">
        <f aca="false">IF(A475="","",L474+J474+G474)</f>
        <v/>
      </c>
      <c r="P474" s="200" t="str">
        <f aca="false">IF(A475="","",M474+K474+H474)</f>
        <v/>
      </c>
      <c r="R474" s="200" t="str">
        <f aca="false">IF($A475="","",VLOOKUP($A474,Table,MATCH(R$4,Curves,0)))</f>
        <v/>
      </c>
      <c r="S474" s="201" t="str">
        <f aca="false">IF(A475="","",R474)</f>
        <v/>
      </c>
      <c r="T474" s="200" t="str">
        <f aca="false">IF($A475="","",VLOOKUP($A474,Table,MATCH(T$4,Curves,0)))</f>
        <v/>
      </c>
      <c r="U474" s="201" t="str">
        <f aca="false">IF(A475="","",T474)</f>
        <v/>
      </c>
      <c r="V474" s="225" t="str">
        <f aca="false">IF($A475="","",IF(AND(MONTH(A474)&gt;3,MONTH(A474)&lt;11),(T474+R474+G474)*(((1/(1-Summary!$T$12))/(1-Summary!$W$12))-1),(T474+R474+G474)*((1/(1-Summary!$U$12))/(1-Summary!$X$12)-1)))</f>
        <v/>
      </c>
      <c r="W474" s="200" t="str">
        <f aca="false">IF($A475="","",(T474+R474+G474+V474))</f>
        <v/>
      </c>
      <c r="X474" s="200" t="str">
        <f aca="false">IF($A475="","",(U474+S474+H474+V474))</f>
        <v/>
      </c>
      <c r="Y474" s="202"/>
      <c r="AJ474" s="77"/>
      <c r="AK474" s="77"/>
      <c r="AL474" s="77"/>
      <c r="AM474" s="77"/>
      <c r="AN474" s="77"/>
      <c r="AO474" s="137" t="str">
        <f aca="false">IF(A475="","",A475-A474)</f>
        <v/>
      </c>
      <c r="AP474" s="212" t="str">
        <f aca="false">IF(A475="","",CHOOSE(F$3,A475+24,A474))</f>
        <v/>
      </c>
      <c r="AQ474" s="209" t="str">
        <f aca="false">IF(A475="","",AP474-$E$1)</f>
        <v/>
      </c>
      <c r="AR474" s="185" t="n">
        <f aca="false">'ANR OK vs ML7'!AR474</f>
        <v>0.1</v>
      </c>
      <c r="AS474" s="213" t="str">
        <f aca="false">IF(A475="","",1/(1+CHOOSE(F$3,(AR475+($I$3/10000))/2,(AR474+($I$3/10000))/2))^(2*AQ474/365.25))</f>
        <v/>
      </c>
      <c r="AT474" s="137" t="str">
        <f aca="false">IF(A475="","",IF(AND(mthbeg&lt;=A474,mthend&gt;=A474),1,0))</f>
        <v/>
      </c>
      <c r="AU474" s="137" t="str">
        <f aca="false">IF(A475="","",AO474*AT474)</f>
        <v/>
      </c>
      <c r="AW474" s="195" t="str">
        <f aca="false">IF($A475="","",AL474*$E474)</f>
        <v/>
      </c>
      <c r="AX474" s="195" t="str">
        <f aca="false">IF($A475="","",AM474*$E474)</f>
        <v/>
      </c>
      <c r="AY474" s="195" t="str">
        <f aca="false">IF($A475="","",AN474*$E474)</f>
        <v/>
      </c>
      <c r="BA474" s="195" t="str">
        <f aca="false">IF($A475="","",F474*Summary!$Q$12)</f>
        <v/>
      </c>
    </row>
    <row r="475" customFormat="false" ht="12.75" hidden="false" customHeight="false" outlineLevel="0" collapsed="false">
      <c r="A475" s="196" t="str">
        <f aca="false">IF(A474&lt;mthend,EDATE(A474,1),"")</f>
        <v/>
      </c>
      <c r="B475" s="197" t="str">
        <f aca="false">IF(A475&lt;mthend,B474,"")</f>
        <v/>
      </c>
      <c r="D475" s="197" t="str">
        <f aca="false">IF(A476&lt;&gt;"",B475+C475,"")</f>
        <v/>
      </c>
      <c r="E475" s="199" t="str">
        <f aca="false">IF(A476="","",IF(AND(AT475=1,$H$3=1),D475*AO475,IF($H$3=2,D475,"N/A")))</f>
        <v/>
      </c>
      <c r="F475" s="199" t="str">
        <f aca="false">IF(A476="","",E475*AS475)</f>
        <v/>
      </c>
      <c r="G475" s="200" t="str">
        <f aca="false">IF($A476="","",VLOOKUP($A475,Table,MATCH(G$4,Curves,0)))</f>
        <v/>
      </c>
      <c r="H475" s="201" t="str">
        <f aca="false">IF(A476="","",G475)</f>
        <v/>
      </c>
      <c r="J475" s="200" t="str">
        <f aca="false">IF($A476="","",VLOOKUP($A475,Table,MATCH(J$4,Curves,0)))</f>
        <v/>
      </c>
      <c r="K475" s="201" t="str">
        <f aca="false">IF(A476="","",J475)</f>
        <v/>
      </c>
      <c r="L475" s="200" t="str">
        <f aca="false">IF($A476="","",VLOOKUP($A475,Table,MATCH(L$4,Curves,0)))</f>
        <v/>
      </c>
      <c r="M475" s="201" t="str">
        <f aca="false">IF(A476="","",L475)</f>
        <v/>
      </c>
      <c r="O475" s="200" t="str">
        <f aca="false">IF(A476="","",L475+J475+G475)</f>
        <v/>
      </c>
      <c r="P475" s="200" t="str">
        <f aca="false">IF(A476="","",M475+K475+H475)</f>
        <v/>
      </c>
      <c r="R475" s="200" t="str">
        <f aca="false">IF($A476="","",VLOOKUP($A475,Table,MATCH(R$4,Curves,0)))</f>
        <v/>
      </c>
      <c r="S475" s="201" t="str">
        <f aca="false">IF(A476="","",R475)</f>
        <v/>
      </c>
      <c r="T475" s="200" t="str">
        <f aca="false">IF($A476="","",VLOOKUP($A475,Table,MATCH(T$4,Curves,0)))</f>
        <v/>
      </c>
      <c r="U475" s="201" t="str">
        <f aca="false">IF(A476="","",T475)</f>
        <v/>
      </c>
      <c r="V475" s="225" t="str">
        <f aca="false">IF($A476="","",IF(AND(MONTH(A475)&gt;3,MONTH(A475)&lt;11),(T475+R475+G475)*(((1/(1-Summary!$T$12))/(1-Summary!$W$12))-1),(T475+R475+G475)*((1/(1-Summary!$U$12))/(1-Summary!$X$12)-1)))</f>
        <v/>
      </c>
      <c r="W475" s="200" t="str">
        <f aca="false">IF($A476="","",(T475+R475+G475+V475))</f>
        <v/>
      </c>
      <c r="X475" s="200" t="str">
        <f aca="false">IF($A476="","",(U475+S475+H475+V475))</f>
        <v/>
      </c>
      <c r="Y475" s="202"/>
      <c r="AJ475" s="77"/>
      <c r="AK475" s="77"/>
      <c r="AL475" s="77"/>
      <c r="AM475" s="77"/>
      <c r="AN475" s="77"/>
      <c r="AO475" s="137" t="str">
        <f aca="false">IF(A476="","",A476-A475)</f>
        <v/>
      </c>
      <c r="AP475" s="212" t="str">
        <f aca="false">IF(A476="","",CHOOSE(F$3,A476+24,A475))</f>
        <v/>
      </c>
      <c r="AQ475" s="209" t="str">
        <f aca="false">IF(A476="","",AP475-$E$1)</f>
        <v/>
      </c>
      <c r="AR475" s="185" t="n">
        <f aca="false">'ANR OK vs ML7'!AR475</f>
        <v>0.1</v>
      </c>
      <c r="AS475" s="213" t="str">
        <f aca="false">IF(A476="","",1/(1+CHOOSE(F$3,(AR476+($I$3/10000))/2,(AR475+($I$3/10000))/2))^(2*AQ475/365.25))</f>
        <v/>
      </c>
      <c r="AT475" s="137" t="str">
        <f aca="false">IF(A476="","",IF(AND(mthbeg&lt;=A475,mthend&gt;=A475),1,0))</f>
        <v/>
      </c>
      <c r="AU475" s="137" t="str">
        <f aca="false">IF(A476="","",AO475*AT475)</f>
        <v/>
      </c>
      <c r="AW475" s="195" t="str">
        <f aca="false">IF($A476="","",AL475*$E475)</f>
        <v/>
      </c>
      <c r="AX475" s="195" t="str">
        <f aca="false">IF($A476="","",AM475*$E475)</f>
        <v/>
      </c>
      <c r="AY475" s="195" t="str">
        <f aca="false">IF($A476="","",AN475*$E475)</f>
        <v/>
      </c>
      <c r="BA475" s="195" t="str">
        <f aca="false">IF($A476="","",F475*Summary!$Q$12)</f>
        <v/>
      </c>
    </row>
    <row r="476" customFormat="false" ht="12.75" hidden="false" customHeight="false" outlineLevel="0" collapsed="false">
      <c r="A476" s="196" t="str">
        <f aca="false">IF(A475&lt;mthend,EDATE(A475,1),"")</f>
        <v/>
      </c>
      <c r="B476" s="197" t="str">
        <f aca="false">IF(A476&lt;mthend,B475,"")</f>
        <v/>
      </c>
      <c r="D476" s="197" t="str">
        <f aca="false">IF(A477&lt;&gt;"",B476+C476,"")</f>
        <v/>
      </c>
      <c r="E476" s="199" t="str">
        <f aca="false">IF(A477="","",IF(AND(AT476=1,$H$3=1),D476*AO476,IF($H$3=2,D476,"N/A")))</f>
        <v/>
      </c>
      <c r="F476" s="199" t="str">
        <f aca="false">IF(A477="","",E476*AS476)</f>
        <v/>
      </c>
      <c r="G476" s="200" t="str">
        <f aca="false">IF($A477="","",VLOOKUP($A476,Table,MATCH(G$4,Curves,0)))</f>
        <v/>
      </c>
      <c r="H476" s="201" t="str">
        <f aca="false">IF(A477="","",G476)</f>
        <v/>
      </c>
      <c r="J476" s="200" t="str">
        <f aca="false">IF($A477="","",VLOOKUP($A476,Table,MATCH(J$4,Curves,0)))</f>
        <v/>
      </c>
      <c r="K476" s="201" t="str">
        <f aca="false">IF(A477="","",J476)</f>
        <v/>
      </c>
      <c r="L476" s="200" t="str">
        <f aca="false">IF($A477="","",VLOOKUP($A476,Table,MATCH(L$4,Curves,0)))</f>
        <v/>
      </c>
      <c r="M476" s="201" t="str">
        <f aca="false">IF(A477="","",L476)</f>
        <v/>
      </c>
      <c r="O476" s="200" t="str">
        <f aca="false">IF(A477="","",L476+J476+G476)</f>
        <v/>
      </c>
      <c r="P476" s="200" t="str">
        <f aca="false">IF(A477="","",M476+K476+H476)</f>
        <v/>
      </c>
      <c r="R476" s="200" t="str">
        <f aca="false">IF($A477="","",VLOOKUP($A476,Table,MATCH(R$4,Curves,0)))</f>
        <v/>
      </c>
      <c r="S476" s="201" t="str">
        <f aca="false">IF(A477="","",R476)</f>
        <v/>
      </c>
      <c r="T476" s="200" t="str">
        <f aca="false">IF($A477="","",VLOOKUP($A476,Table,MATCH(T$4,Curves,0)))</f>
        <v/>
      </c>
      <c r="U476" s="201" t="str">
        <f aca="false">IF(A477="","",T476)</f>
        <v/>
      </c>
      <c r="V476" s="225" t="str">
        <f aca="false">IF($A477="","",IF(AND(MONTH(A476)&gt;3,MONTH(A476)&lt;11),(T476+R476+G476)*(((1/(1-Summary!$T$12))/(1-Summary!$W$12))-1),(T476+R476+G476)*((1/(1-Summary!$U$12))/(1-Summary!$X$12)-1)))</f>
        <v/>
      </c>
      <c r="W476" s="200" t="str">
        <f aca="false">IF($A477="","",(T476+R476+G476+V476))</f>
        <v/>
      </c>
      <c r="X476" s="200" t="str">
        <f aca="false">IF($A477="","",(U476+S476+H476+V476))</f>
        <v/>
      </c>
      <c r="Y476" s="202"/>
      <c r="AJ476" s="77"/>
      <c r="AK476" s="77"/>
      <c r="AL476" s="77"/>
      <c r="AM476" s="77"/>
      <c r="AN476" s="77"/>
      <c r="AO476" s="137" t="str">
        <f aca="false">IF(A477="","",A477-A476)</f>
        <v/>
      </c>
      <c r="AP476" s="212" t="str">
        <f aca="false">IF(A477="","",CHOOSE(F$3,A477+24,A476))</f>
        <v/>
      </c>
      <c r="AQ476" s="209" t="str">
        <f aca="false">IF(A477="","",AP476-$E$1)</f>
        <v/>
      </c>
      <c r="AR476" s="185" t="n">
        <f aca="false">'ANR OK vs ML7'!AR476</f>
        <v>0.1</v>
      </c>
      <c r="AS476" s="213" t="str">
        <f aca="false">IF(A477="","",1/(1+CHOOSE(F$3,(AR477+($I$3/10000))/2,(AR476+($I$3/10000))/2))^(2*AQ476/365.25))</f>
        <v/>
      </c>
      <c r="AT476" s="137" t="str">
        <f aca="false">IF(A477="","",IF(AND(mthbeg&lt;=A476,mthend&gt;=A476),1,0))</f>
        <v/>
      </c>
      <c r="AU476" s="137" t="str">
        <f aca="false">IF(A477="","",AO476*AT476)</f>
        <v/>
      </c>
      <c r="AW476" s="195" t="str">
        <f aca="false">IF($A477="","",AL476*$E476)</f>
        <v/>
      </c>
      <c r="AX476" s="195" t="str">
        <f aca="false">IF($A477="","",AM476*$E476)</f>
        <v/>
      </c>
      <c r="AY476" s="195" t="str">
        <f aca="false">IF($A477="","",AN476*$E476)</f>
        <v/>
      </c>
      <c r="BA476" s="195" t="str">
        <f aca="false">IF($A477="","",F476*Summary!$Q$12)</f>
        <v/>
      </c>
    </row>
    <row r="477" customFormat="false" ht="12.75" hidden="false" customHeight="false" outlineLevel="0" collapsed="false">
      <c r="A477" s="196" t="str">
        <f aca="false">IF(A476&lt;mthend,EDATE(A476,1),"")</f>
        <v/>
      </c>
      <c r="B477" s="197" t="str">
        <f aca="false">IF(A477&lt;mthend,B476,"")</f>
        <v/>
      </c>
      <c r="D477" s="197" t="str">
        <f aca="false">IF(A478&lt;&gt;"",B477+C477,"")</f>
        <v/>
      </c>
      <c r="E477" s="199" t="str">
        <f aca="false">IF(A478="","",IF(AND(AT477=1,$H$3=1),D477*AO477,IF($H$3=2,D477,"N/A")))</f>
        <v/>
      </c>
      <c r="F477" s="199" t="str">
        <f aca="false">IF(A478="","",E477*AS477)</f>
        <v/>
      </c>
      <c r="G477" s="200" t="str">
        <f aca="false">IF($A478="","",VLOOKUP($A477,Table,MATCH(G$4,Curves,0)))</f>
        <v/>
      </c>
      <c r="H477" s="201" t="str">
        <f aca="false">IF(A478="","",G477)</f>
        <v/>
      </c>
      <c r="J477" s="200" t="str">
        <f aca="false">IF($A478="","",VLOOKUP($A477,Table,MATCH(J$4,Curves,0)))</f>
        <v/>
      </c>
      <c r="K477" s="201" t="str">
        <f aca="false">IF(A478="","",J477)</f>
        <v/>
      </c>
      <c r="L477" s="200" t="str">
        <f aca="false">IF($A478="","",VLOOKUP($A477,Table,MATCH(L$4,Curves,0)))</f>
        <v/>
      </c>
      <c r="M477" s="201" t="str">
        <f aca="false">IF(A478="","",L477)</f>
        <v/>
      </c>
      <c r="O477" s="200" t="str">
        <f aca="false">IF(A478="","",L477+J477+G477)</f>
        <v/>
      </c>
      <c r="P477" s="200" t="str">
        <f aca="false">IF(A478="","",M477+K477+H477)</f>
        <v/>
      </c>
      <c r="R477" s="200" t="str">
        <f aca="false">IF($A478="","",VLOOKUP($A477,Table,MATCH(R$4,Curves,0)))</f>
        <v/>
      </c>
      <c r="S477" s="201" t="str">
        <f aca="false">IF(A478="","",R477)</f>
        <v/>
      </c>
      <c r="T477" s="200" t="str">
        <f aca="false">IF($A478="","",VLOOKUP($A477,Table,MATCH(T$4,Curves,0)))</f>
        <v/>
      </c>
      <c r="U477" s="201" t="str">
        <f aca="false">IF(A478="","",T477)</f>
        <v/>
      </c>
      <c r="V477" s="225" t="str">
        <f aca="false">IF($A478="","",IF(AND(MONTH(A477)&gt;3,MONTH(A477)&lt;11),(T477+R477+G477)*(((1/(1-Summary!$T$12))/(1-Summary!$W$12))-1),(T477+R477+G477)*((1/(1-Summary!$U$12))/(1-Summary!$X$12)-1)))</f>
        <v/>
      </c>
      <c r="W477" s="200" t="str">
        <f aca="false">IF($A478="","",(T477+R477+G477+V477))</f>
        <v/>
      </c>
      <c r="X477" s="200" t="str">
        <f aca="false">IF($A478="","",(U477+S477+H477+V477))</f>
        <v/>
      </c>
      <c r="Y477" s="202"/>
      <c r="AJ477" s="77"/>
      <c r="AK477" s="77"/>
      <c r="AL477" s="77"/>
      <c r="AM477" s="77"/>
      <c r="AN477" s="77"/>
      <c r="AO477" s="137" t="str">
        <f aca="false">IF(A478="","",A478-A477)</f>
        <v/>
      </c>
      <c r="AP477" s="212" t="str">
        <f aca="false">IF(A478="","",CHOOSE(F$3,A478+24,A477))</f>
        <v/>
      </c>
      <c r="AQ477" s="209" t="str">
        <f aca="false">IF(A478="","",AP477-$E$1)</f>
        <v/>
      </c>
      <c r="AR477" s="185" t="n">
        <f aca="false">'ANR OK vs ML7'!AR477</f>
        <v>0.1</v>
      </c>
      <c r="AS477" s="213" t="str">
        <f aca="false">IF(A478="","",1/(1+CHOOSE(F$3,(AR478+($I$3/10000))/2,(AR477+($I$3/10000))/2))^(2*AQ477/365.25))</f>
        <v/>
      </c>
      <c r="AT477" s="137" t="str">
        <f aca="false">IF(A478="","",IF(AND(mthbeg&lt;=A477,mthend&gt;=A477),1,0))</f>
        <v/>
      </c>
      <c r="AU477" s="137" t="str">
        <f aca="false">IF(A478="","",AO477*AT477)</f>
        <v/>
      </c>
      <c r="AW477" s="195" t="str">
        <f aca="false">IF($A478="","",AL477*$E477)</f>
        <v/>
      </c>
      <c r="AX477" s="195" t="str">
        <f aca="false">IF($A478="","",AM477*$E477)</f>
        <v/>
      </c>
      <c r="AY477" s="195" t="str">
        <f aca="false">IF($A478="","",AN477*$E477)</f>
        <v/>
      </c>
      <c r="BA477" s="195" t="str">
        <f aca="false">IF($A478="","",F477*Summary!$Q$12)</f>
        <v/>
      </c>
    </row>
    <row r="478" customFormat="false" ht="12.75" hidden="false" customHeight="false" outlineLevel="0" collapsed="false">
      <c r="A478" s="196" t="str">
        <f aca="false">IF(A477&lt;mthend,EDATE(A477,1),"")</f>
        <v/>
      </c>
      <c r="B478" s="197" t="str">
        <f aca="false">IF(A478&lt;mthend,B477,"")</f>
        <v/>
      </c>
      <c r="D478" s="197" t="str">
        <f aca="false">IF(A479&lt;&gt;"",B478+C478,"")</f>
        <v/>
      </c>
      <c r="E478" s="199" t="str">
        <f aca="false">IF(A479="","",IF(AND(AT478=1,$H$3=1),D478*AO478,IF($H$3=2,D478,"N/A")))</f>
        <v/>
      </c>
      <c r="F478" s="199" t="str">
        <f aca="false">IF(A479="","",E478*AS478)</f>
        <v/>
      </c>
      <c r="G478" s="200" t="str">
        <f aca="false">IF($A479="","",VLOOKUP($A478,Table,MATCH(G$4,Curves,0)))</f>
        <v/>
      </c>
      <c r="H478" s="201" t="str">
        <f aca="false">IF(A479="","",G478)</f>
        <v/>
      </c>
      <c r="J478" s="200" t="str">
        <f aca="false">IF($A479="","",VLOOKUP($A478,Table,MATCH(J$4,Curves,0)))</f>
        <v/>
      </c>
      <c r="K478" s="201" t="str">
        <f aca="false">IF(A479="","",J478)</f>
        <v/>
      </c>
      <c r="L478" s="200" t="str">
        <f aca="false">IF($A479="","",VLOOKUP($A478,Table,MATCH(L$4,Curves,0)))</f>
        <v/>
      </c>
      <c r="M478" s="201" t="str">
        <f aca="false">IF(A479="","",L478)</f>
        <v/>
      </c>
      <c r="O478" s="200" t="str">
        <f aca="false">IF(A479="","",L478+J478+G478)</f>
        <v/>
      </c>
      <c r="P478" s="200" t="str">
        <f aca="false">IF(A479="","",M478+K478+H478)</f>
        <v/>
      </c>
      <c r="R478" s="200" t="str">
        <f aca="false">IF($A479="","",VLOOKUP($A478,Table,MATCH(R$4,Curves,0)))</f>
        <v/>
      </c>
      <c r="S478" s="201" t="str">
        <f aca="false">IF(A479="","",R478)</f>
        <v/>
      </c>
      <c r="T478" s="200" t="str">
        <f aca="false">IF($A479="","",VLOOKUP($A478,Table,MATCH(T$4,Curves,0)))</f>
        <v/>
      </c>
      <c r="U478" s="201" t="str">
        <f aca="false">IF(A479="","",T478)</f>
        <v/>
      </c>
      <c r="V478" s="225" t="str">
        <f aca="false">IF($A479="","",IF(AND(MONTH(A478)&gt;3,MONTH(A478)&lt;11),(T478+R478+G478)*(((1/(1-Summary!$T$12))/(1-Summary!$W$12))-1),(T478+R478+G478)*((1/(1-Summary!$U$12))/(1-Summary!$X$12)-1)))</f>
        <v/>
      </c>
      <c r="W478" s="200" t="str">
        <f aca="false">IF($A479="","",(T478+R478+G478+V478))</f>
        <v/>
      </c>
      <c r="X478" s="200" t="str">
        <f aca="false">IF($A479="","",(U478+S478+H478+V478))</f>
        <v/>
      </c>
      <c r="Y478" s="202"/>
      <c r="AJ478" s="77"/>
      <c r="AK478" s="77"/>
      <c r="AL478" s="77"/>
      <c r="AM478" s="77"/>
      <c r="AN478" s="77"/>
      <c r="AO478" s="137" t="str">
        <f aca="false">IF(A479="","",A479-A478)</f>
        <v/>
      </c>
      <c r="AP478" s="212" t="str">
        <f aca="false">IF(A479="","",CHOOSE(F$3,A479+24,A478))</f>
        <v/>
      </c>
      <c r="AQ478" s="209" t="str">
        <f aca="false">IF(A479="","",AP478-$E$1)</f>
        <v/>
      </c>
      <c r="AR478" s="185" t="n">
        <f aca="false">'ANR OK vs ML7'!AR478</f>
        <v>0.1</v>
      </c>
      <c r="AS478" s="213" t="str">
        <f aca="false">IF(A479="","",1/(1+CHOOSE(F$3,(AR479+($I$3/10000))/2,(AR478+($I$3/10000))/2))^(2*AQ478/365.25))</f>
        <v/>
      </c>
      <c r="AT478" s="137" t="str">
        <f aca="false">IF(A479="","",IF(AND(mthbeg&lt;=A478,mthend&gt;=A478),1,0))</f>
        <v/>
      </c>
      <c r="AU478" s="137" t="str">
        <f aca="false">IF(A479="","",AO478*AT478)</f>
        <v/>
      </c>
      <c r="AW478" s="195" t="str">
        <f aca="false">IF($A479="","",AL478*$E478)</f>
        <v/>
      </c>
      <c r="AX478" s="195" t="str">
        <f aca="false">IF($A479="","",AM478*$E478)</f>
        <v/>
      </c>
      <c r="AY478" s="195" t="str">
        <f aca="false">IF($A479="","",AN478*$E478)</f>
        <v/>
      </c>
      <c r="BA478" s="195" t="str">
        <f aca="false">IF($A479="","",F478*Summary!$Q$12)</f>
        <v/>
      </c>
    </row>
    <row r="479" customFormat="false" ht="12.75" hidden="false" customHeight="false" outlineLevel="0" collapsed="false">
      <c r="A479" s="196" t="str">
        <f aca="false">IF(A478&lt;mthend,EDATE(A478,1),"")</f>
        <v/>
      </c>
      <c r="B479" s="197" t="str">
        <f aca="false">IF(A479&lt;mthend,B478,"")</f>
        <v/>
      </c>
      <c r="D479" s="197" t="str">
        <f aca="false">IF(A480&lt;&gt;"",B479+C479,"")</f>
        <v/>
      </c>
      <c r="E479" s="199" t="str">
        <f aca="false">IF(A480="","",IF(AND(AT479=1,$H$3=1),D479*AO479,IF($H$3=2,D479,"N/A")))</f>
        <v/>
      </c>
      <c r="F479" s="199" t="str">
        <f aca="false">IF(A480="","",E479*AS479)</f>
        <v/>
      </c>
      <c r="G479" s="200" t="str">
        <f aca="false">IF($A480="","",VLOOKUP($A479,Table,MATCH(G$4,Curves,0)))</f>
        <v/>
      </c>
      <c r="H479" s="201" t="str">
        <f aca="false">IF(A480="","",G479)</f>
        <v/>
      </c>
      <c r="J479" s="200" t="str">
        <f aca="false">IF($A480="","",VLOOKUP($A479,Table,MATCH(J$4,Curves,0)))</f>
        <v/>
      </c>
      <c r="K479" s="201" t="str">
        <f aca="false">IF(A480="","",J479)</f>
        <v/>
      </c>
      <c r="L479" s="200" t="str">
        <f aca="false">IF($A480="","",VLOOKUP($A479,Table,MATCH(L$4,Curves,0)))</f>
        <v/>
      </c>
      <c r="M479" s="201" t="str">
        <f aca="false">IF(A480="","",L479)</f>
        <v/>
      </c>
      <c r="O479" s="200" t="str">
        <f aca="false">IF(A480="","",L479+J479+G479)</f>
        <v/>
      </c>
      <c r="P479" s="200" t="str">
        <f aca="false">IF(A480="","",M479+K479+H479)</f>
        <v/>
      </c>
      <c r="R479" s="200" t="str">
        <f aca="false">IF($A480="","",VLOOKUP($A479,Table,MATCH(R$4,Curves,0)))</f>
        <v/>
      </c>
      <c r="S479" s="201" t="str">
        <f aca="false">IF(A480="","",R479)</f>
        <v/>
      </c>
      <c r="T479" s="200" t="str">
        <f aca="false">IF($A480="","",VLOOKUP($A479,Table,MATCH(T$4,Curves,0)))</f>
        <v/>
      </c>
      <c r="U479" s="201" t="str">
        <f aca="false">IF(A480="","",T479)</f>
        <v/>
      </c>
      <c r="V479" s="225" t="str">
        <f aca="false">IF($A480="","",IF(AND(MONTH(A479)&gt;3,MONTH(A479)&lt;11),(T479+R479+G479)*(((1/(1-Summary!$T$12))/(1-Summary!$W$12))-1),(T479+R479+G479)*((1/(1-Summary!$U$12))/(1-Summary!$X$12)-1)))</f>
        <v/>
      </c>
      <c r="W479" s="200" t="str">
        <f aca="false">IF($A480="","",(T479+R479+G479+V479))</f>
        <v/>
      </c>
      <c r="X479" s="200" t="str">
        <f aca="false">IF($A480="","",(U479+S479+H479+V479))</f>
        <v/>
      </c>
      <c r="Y479" s="202"/>
      <c r="AJ479" s="77"/>
      <c r="AK479" s="77"/>
      <c r="AL479" s="77"/>
      <c r="AM479" s="77"/>
      <c r="AN479" s="77"/>
      <c r="AO479" s="137" t="str">
        <f aca="false">IF(A480="","",A480-A479)</f>
        <v/>
      </c>
      <c r="AP479" s="212" t="str">
        <f aca="false">IF(A480="","",CHOOSE(F$3,A480+24,A479))</f>
        <v/>
      </c>
      <c r="AQ479" s="209" t="str">
        <f aca="false">IF(A480="","",AP479-$E$1)</f>
        <v/>
      </c>
      <c r="AR479" s="185" t="n">
        <f aca="false">'ANR OK vs ML7'!AR479</f>
        <v>0.1</v>
      </c>
      <c r="AS479" s="213" t="str">
        <f aca="false">IF(A480="","",1/(1+CHOOSE(F$3,(AR480+($I$3/10000))/2,(AR479+($I$3/10000))/2))^(2*AQ479/365.25))</f>
        <v/>
      </c>
      <c r="AT479" s="137" t="str">
        <f aca="false">IF(A480="","",IF(AND(mthbeg&lt;=A479,mthend&gt;=A479),1,0))</f>
        <v/>
      </c>
      <c r="AU479" s="137" t="str">
        <f aca="false">IF(A480="","",AO479*AT479)</f>
        <v/>
      </c>
      <c r="AW479" s="195" t="str">
        <f aca="false">IF($A480="","",AL479*$E479)</f>
        <v/>
      </c>
      <c r="AX479" s="195" t="str">
        <f aca="false">IF($A480="","",AM479*$E479)</f>
        <v/>
      </c>
      <c r="AY479" s="195" t="str">
        <f aca="false">IF($A480="","",AN479*$E479)</f>
        <v/>
      </c>
      <c r="BA479" s="195" t="str">
        <f aca="false">IF($A480="","",F479*Summary!$Q$12)</f>
        <v/>
      </c>
    </row>
    <row r="480" customFormat="false" ht="12.75" hidden="false" customHeight="false" outlineLevel="0" collapsed="false">
      <c r="A480" s="196" t="str">
        <f aca="false">IF(A479&lt;mthend,EDATE(A479,1),"")</f>
        <v/>
      </c>
      <c r="B480" s="197" t="str">
        <f aca="false">IF(A480&lt;mthend,B479,"")</f>
        <v/>
      </c>
      <c r="D480" s="197" t="str">
        <f aca="false">IF(A481&lt;&gt;"",B480+C480,"")</f>
        <v/>
      </c>
      <c r="E480" s="199" t="str">
        <f aca="false">IF(A481="","",IF(AND(AT480=1,$H$3=1),D480*AO480,IF($H$3=2,D480,"N/A")))</f>
        <v/>
      </c>
      <c r="F480" s="199" t="str">
        <f aca="false">IF(A481="","",E480*AS480)</f>
        <v/>
      </c>
      <c r="G480" s="200" t="str">
        <f aca="false">IF($A481="","",VLOOKUP($A480,Table,MATCH(G$4,Curves,0)))</f>
        <v/>
      </c>
      <c r="H480" s="201" t="str">
        <f aca="false">IF(A481="","",G480)</f>
        <v/>
      </c>
      <c r="J480" s="200" t="str">
        <f aca="false">IF($A481="","",VLOOKUP($A480,Table,MATCH(J$4,Curves,0)))</f>
        <v/>
      </c>
      <c r="K480" s="201" t="str">
        <f aca="false">IF(A481="","",J480)</f>
        <v/>
      </c>
      <c r="L480" s="200" t="str">
        <f aca="false">IF($A481="","",VLOOKUP($A480,Table,MATCH(L$4,Curves,0)))</f>
        <v/>
      </c>
      <c r="M480" s="201" t="str">
        <f aca="false">IF(A481="","",L480)</f>
        <v/>
      </c>
      <c r="O480" s="200" t="str">
        <f aca="false">IF(A481="","",L480+J480+G480)</f>
        <v/>
      </c>
      <c r="P480" s="200" t="str">
        <f aca="false">IF(A481="","",M480+K480+H480)</f>
        <v/>
      </c>
      <c r="R480" s="200" t="str">
        <f aca="false">IF($A481="","",VLOOKUP($A480,Table,MATCH(R$4,Curves,0)))</f>
        <v/>
      </c>
      <c r="S480" s="201" t="str">
        <f aca="false">IF(A481="","",R480)</f>
        <v/>
      </c>
      <c r="T480" s="200" t="str">
        <f aca="false">IF($A481="","",VLOOKUP($A480,Table,MATCH(T$4,Curves,0)))</f>
        <v/>
      </c>
      <c r="U480" s="201" t="str">
        <f aca="false">IF(A481="","",T480)</f>
        <v/>
      </c>
      <c r="V480" s="225" t="str">
        <f aca="false">IF($A481="","",IF(AND(MONTH(A480)&gt;3,MONTH(A480)&lt;11),(T480+R480+G480)*(((1/(1-Summary!$T$12))/(1-Summary!$W$12))-1),(T480+R480+G480)*((1/(1-Summary!$U$12))/(1-Summary!$X$12)-1)))</f>
        <v/>
      </c>
      <c r="W480" s="200" t="str">
        <f aca="false">IF($A481="","",(T480+R480+G480+V480))</f>
        <v/>
      </c>
      <c r="X480" s="200" t="str">
        <f aca="false">IF($A481="","",(U480+S480+H480+V480))</f>
        <v/>
      </c>
      <c r="Y480" s="202"/>
      <c r="AJ480" s="77"/>
      <c r="AK480" s="77"/>
      <c r="AL480" s="77"/>
      <c r="AM480" s="77"/>
      <c r="AN480" s="77"/>
      <c r="AO480" s="137" t="str">
        <f aca="false">IF(A481="","",A481-A480)</f>
        <v/>
      </c>
      <c r="AP480" s="212" t="str">
        <f aca="false">IF(A481="","",CHOOSE(F$3,A481+24,A480))</f>
        <v/>
      </c>
      <c r="AQ480" s="209" t="str">
        <f aca="false">IF(A481="","",AP480-$E$1)</f>
        <v/>
      </c>
      <c r="AR480" s="185" t="n">
        <f aca="false">'ANR OK vs ML7'!AR480</f>
        <v>0.1</v>
      </c>
      <c r="AS480" s="213" t="str">
        <f aca="false">IF(A481="","",1/(1+CHOOSE(F$3,(AR481+($I$3/10000))/2,(AR480+($I$3/10000))/2))^(2*AQ480/365.25))</f>
        <v/>
      </c>
      <c r="AT480" s="137" t="str">
        <f aca="false">IF(A481="","",IF(AND(mthbeg&lt;=A480,mthend&gt;=A480),1,0))</f>
        <v/>
      </c>
      <c r="AU480" s="137" t="str">
        <f aca="false">IF(A481="","",AO480*AT480)</f>
        <v/>
      </c>
      <c r="AW480" s="195" t="str">
        <f aca="false">IF($A481="","",AL480*$E480)</f>
        <v/>
      </c>
      <c r="AX480" s="195" t="str">
        <f aca="false">IF($A481="","",AM480*$E480)</f>
        <v/>
      </c>
      <c r="AY480" s="195" t="str">
        <f aca="false">IF($A481="","",AN480*$E480)</f>
        <v/>
      </c>
      <c r="BA480" s="195" t="str">
        <f aca="false">IF($A481="","",F480*Summary!$Q$12)</f>
        <v/>
      </c>
    </row>
    <row r="481" customFormat="false" ht="12.75" hidden="false" customHeight="false" outlineLevel="0" collapsed="false">
      <c r="A481" s="196" t="str">
        <f aca="false">IF(A480&lt;mthend,EDATE(A480,1),"")</f>
        <v/>
      </c>
      <c r="B481" s="197" t="str">
        <f aca="false">IF(A481&lt;mthend,B480,"")</f>
        <v/>
      </c>
      <c r="D481" s="197" t="str">
        <f aca="false">IF(A482&lt;&gt;"",B481+C481,"")</f>
        <v/>
      </c>
      <c r="E481" s="199" t="str">
        <f aca="false">IF(A482="","",IF(AND(AT481=1,$H$3=1),D481*AO481,IF($H$3=2,D481,"N/A")))</f>
        <v/>
      </c>
      <c r="F481" s="199" t="str">
        <f aca="false">IF(A482="","",E481*AS481)</f>
        <v/>
      </c>
      <c r="G481" s="200" t="str">
        <f aca="false">IF($A482="","",VLOOKUP($A481,Table,MATCH(G$4,Curves,0)))</f>
        <v/>
      </c>
      <c r="H481" s="201" t="str">
        <f aca="false">IF(A482="","",G481)</f>
        <v/>
      </c>
      <c r="J481" s="200" t="str">
        <f aca="false">IF($A482="","",VLOOKUP($A481,Table,MATCH(J$4,Curves,0)))</f>
        <v/>
      </c>
      <c r="K481" s="201" t="str">
        <f aca="false">IF(A482="","",J481)</f>
        <v/>
      </c>
      <c r="L481" s="200" t="str">
        <f aca="false">IF($A482="","",VLOOKUP($A481,Table,MATCH(L$4,Curves,0)))</f>
        <v/>
      </c>
      <c r="M481" s="201" t="str">
        <f aca="false">IF(A482="","",L481)</f>
        <v/>
      </c>
      <c r="O481" s="200" t="str">
        <f aca="false">IF(A482="","",L481+J481+G481)</f>
        <v/>
      </c>
      <c r="P481" s="200" t="str">
        <f aca="false">IF(A482="","",M481+K481+H481)</f>
        <v/>
      </c>
      <c r="R481" s="200" t="str">
        <f aca="false">IF($A482="","",VLOOKUP($A481,Table,MATCH(R$4,Curves,0)))</f>
        <v/>
      </c>
      <c r="S481" s="201" t="str">
        <f aca="false">IF(A482="","",R481)</f>
        <v/>
      </c>
      <c r="T481" s="200" t="str">
        <f aca="false">IF($A482="","",VLOOKUP($A481,Table,MATCH(T$4,Curves,0)))</f>
        <v/>
      </c>
      <c r="U481" s="201" t="str">
        <f aca="false">IF(A482="","",T481)</f>
        <v/>
      </c>
      <c r="V481" s="225" t="str">
        <f aca="false">IF($A482="","",IF(AND(MONTH(A481)&gt;3,MONTH(A481)&lt;11),(T481+R481+G481)*(((1/(1-Summary!$T$12))/(1-Summary!$W$12))-1),(T481+R481+G481)*((1/(1-Summary!$U$12))/(1-Summary!$X$12)-1)))</f>
        <v/>
      </c>
      <c r="W481" s="200" t="str">
        <f aca="false">IF($A482="","",(T481+R481+G481+V481))</f>
        <v/>
      </c>
      <c r="X481" s="200" t="str">
        <f aca="false">IF($A482="","",(U481+S481+H481+V481))</f>
        <v/>
      </c>
      <c r="Y481" s="202"/>
      <c r="AJ481" s="77"/>
      <c r="AK481" s="77"/>
      <c r="AL481" s="77"/>
      <c r="AM481" s="77"/>
      <c r="AN481" s="77"/>
      <c r="AO481" s="137" t="str">
        <f aca="false">IF(A482="","",A482-A481)</f>
        <v/>
      </c>
      <c r="AP481" s="212" t="str">
        <f aca="false">IF(A482="","",CHOOSE(F$3,A482+24,A481))</f>
        <v/>
      </c>
      <c r="AQ481" s="209" t="str">
        <f aca="false">IF(A482="","",AP481-$E$1)</f>
        <v/>
      </c>
      <c r="AR481" s="185" t="n">
        <f aca="false">'ANR OK vs ML7'!AR481</f>
        <v>0.1</v>
      </c>
      <c r="AS481" s="213" t="str">
        <f aca="false">IF(A482="","",1/(1+CHOOSE(F$3,(AR482+($I$3/10000))/2,(AR481+($I$3/10000))/2))^(2*AQ481/365.25))</f>
        <v/>
      </c>
      <c r="AT481" s="137" t="str">
        <f aca="false">IF(A482="","",IF(AND(mthbeg&lt;=A481,mthend&gt;=A481),1,0))</f>
        <v/>
      </c>
      <c r="AU481" s="137" t="str">
        <f aca="false">IF(A482="","",AO481*AT481)</f>
        <v/>
      </c>
      <c r="AW481" s="195" t="str">
        <f aca="false">IF($A482="","",AL481*$E481)</f>
        <v/>
      </c>
      <c r="AX481" s="195" t="str">
        <f aca="false">IF($A482="","",AM481*$E481)</f>
        <v/>
      </c>
      <c r="AY481" s="195" t="str">
        <f aca="false">IF($A482="","",AN481*$E481)</f>
        <v/>
      </c>
      <c r="BA481" s="195" t="str">
        <f aca="false">IF($A482="","",F481*Summary!$Q$12)</f>
        <v/>
      </c>
    </row>
    <row r="482" customFormat="false" ht="12.75" hidden="false" customHeight="false" outlineLevel="0" collapsed="false">
      <c r="A482" s="196" t="str">
        <f aca="false">IF(A481&lt;mthend,EDATE(A481,1),"")</f>
        <v/>
      </c>
      <c r="B482" s="197" t="str">
        <f aca="false">IF(A482&lt;mthend,B481,"")</f>
        <v/>
      </c>
      <c r="D482" s="197" t="str">
        <f aca="false">IF(A483&lt;&gt;"",B482+C482,"")</f>
        <v/>
      </c>
      <c r="E482" s="199" t="str">
        <f aca="false">IF(A483="","",IF(AND(AT482=1,$H$3=1),D482*AO482,IF($H$3=2,D482,"N/A")))</f>
        <v/>
      </c>
      <c r="F482" s="199" t="str">
        <f aca="false">IF(A483="","",E482*AS482)</f>
        <v/>
      </c>
      <c r="G482" s="200" t="str">
        <f aca="false">IF($A483="","",VLOOKUP($A482,Table,MATCH(G$4,Curves,0)))</f>
        <v/>
      </c>
      <c r="H482" s="201" t="str">
        <f aca="false">IF(A483="","",G482)</f>
        <v/>
      </c>
      <c r="J482" s="200" t="str">
        <f aca="false">IF($A483="","",VLOOKUP($A482,Table,MATCH(J$4,Curves,0)))</f>
        <v/>
      </c>
      <c r="K482" s="201" t="str">
        <f aca="false">IF(A483="","",J482)</f>
        <v/>
      </c>
      <c r="L482" s="200" t="str">
        <f aca="false">IF($A483="","",VLOOKUP($A482,Table,MATCH(L$4,Curves,0)))</f>
        <v/>
      </c>
      <c r="M482" s="201" t="str">
        <f aca="false">IF(A483="","",L482)</f>
        <v/>
      </c>
      <c r="O482" s="200" t="str">
        <f aca="false">IF(A483="","",L482+J482+G482)</f>
        <v/>
      </c>
      <c r="P482" s="200" t="str">
        <f aca="false">IF(A483="","",M482+K482+H482)</f>
        <v/>
      </c>
      <c r="R482" s="200" t="str">
        <f aca="false">IF($A483="","",VLOOKUP($A482,Table,MATCH(R$4,Curves,0)))</f>
        <v/>
      </c>
      <c r="S482" s="201" t="str">
        <f aca="false">IF(A483="","",R482)</f>
        <v/>
      </c>
      <c r="T482" s="200" t="str">
        <f aca="false">IF($A483="","",VLOOKUP($A482,Table,MATCH(T$4,Curves,0)))</f>
        <v/>
      </c>
      <c r="U482" s="201" t="str">
        <f aca="false">IF(A483="","",T482)</f>
        <v/>
      </c>
      <c r="V482" s="225" t="str">
        <f aca="false">IF($A483="","",IF(AND(MONTH(A482)&gt;3,MONTH(A482)&lt;11),(T482+R482+G482)*(((1/(1-Summary!$T$12))/(1-Summary!$W$12))-1),(T482+R482+G482)*((1/(1-Summary!$U$12))/(1-Summary!$X$12)-1)))</f>
        <v/>
      </c>
      <c r="W482" s="200" t="str">
        <f aca="false">IF($A483="","",(T482+R482+G482+V482))</f>
        <v/>
      </c>
      <c r="X482" s="200" t="str">
        <f aca="false">IF($A483="","",(U482+S482+H482+V482))</f>
        <v/>
      </c>
      <c r="Y482" s="202"/>
      <c r="AJ482" s="77"/>
      <c r="AK482" s="77"/>
      <c r="AL482" s="77"/>
      <c r="AM482" s="77"/>
      <c r="AN482" s="77"/>
      <c r="AO482" s="137" t="str">
        <f aca="false">IF(A483="","",A483-A482)</f>
        <v/>
      </c>
      <c r="AP482" s="212" t="str">
        <f aca="false">IF(A483="","",CHOOSE(F$3,A483+24,A482))</f>
        <v/>
      </c>
      <c r="AQ482" s="209" t="str">
        <f aca="false">IF(A483="","",AP482-$E$1)</f>
        <v/>
      </c>
      <c r="AR482" s="185" t="n">
        <f aca="false">'ANR OK vs ML7'!AR482</f>
        <v>0.1</v>
      </c>
      <c r="AS482" s="213" t="str">
        <f aca="false">IF(A483="","",1/(1+CHOOSE(F$3,(AR483+($I$3/10000))/2,(AR482+($I$3/10000))/2))^(2*AQ482/365.25))</f>
        <v/>
      </c>
      <c r="AT482" s="137" t="str">
        <f aca="false">IF(A483="","",IF(AND(mthbeg&lt;=A482,mthend&gt;=A482),1,0))</f>
        <v/>
      </c>
      <c r="AU482" s="137" t="str">
        <f aca="false">IF(A483="","",AO482*AT482)</f>
        <v/>
      </c>
      <c r="AW482" s="195" t="str">
        <f aca="false">IF($A483="","",AL482*$E482)</f>
        <v/>
      </c>
      <c r="AX482" s="195" t="str">
        <f aca="false">IF($A483="","",AM482*$E482)</f>
        <v/>
      </c>
      <c r="AY482" s="195" t="str">
        <f aca="false">IF($A483="","",AN482*$E482)</f>
        <v/>
      </c>
      <c r="BA482" s="195" t="str">
        <f aca="false">IF($A483="","",F482*Summary!$Q$12)</f>
        <v/>
      </c>
    </row>
    <row r="483" customFormat="false" ht="12.75" hidden="false" customHeight="false" outlineLevel="0" collapsed="false">
      <c r="A483" s="196" t="str">
        <f aca="false">IF(A482&lt;mthend,EDATE(A482,1),"")</f>
        <v/>
      </c>
      <c r="B483" s="197" t="str">
        <f aca="false">IF(A483&lt;mthend,B482,"")</f>
        <v/>
      </c>
      <c r="D483" s="197" t="str">
        <f aca="false">IF(A484&lt;&gt;"",B483+C483,"")</f>
        <v/>
      </c>
      <c r="E483" s="199" t="str">
        <f aca="false">IF(A484="","",IF(AND(AT483=1,$H$3=1),D483*AO483,IF($H$3=2,D483,"N/A")))</f>
        <v/>
      </c>
      <c r="F483" s="199" t="str">
        <f aca="false">IF(A484="","",E483*AS483)</f>
        <v/>
      </c>
      <c r="G483" s="200" t="str">
        <f aca="false">IF($A484="","",VLOOKUP($A483,Table,MATCH(G$4,Curves,0)))</f>
        <v/>
      </c>
      <c r="H483" s="201" t="str">
        <f aca="false">IF(A484="","",G483)</f>
        <v/>
      </c>
      <c r="J483" s="200" t="str">
        <f aca="false">IF($A484="","",VLOOKUP($A483,Table,MATCH(J$4,Curves,0)))</f>
        <v/>
      </c>
      <c r="K483" s="201" t="str">
        <f aca="false">IF(A484="","",J483)</f>
        <v/>
      </c>
      <c r="L483" s="200" t="str">
        <f aca="false">IF($A484="","",VLOOKUP($A483,Table,MATCH(L$4,Curves,0)))</f>
        <v/>
      </c>
      <c r="M483" s="201" t="str">
        <f aca="false">IF(A484="","",L483)</f>
        <v/>
      </c>
      <c r="O483" s="200" t="str">
        <f aca="false">IF(A484="","",L483+J483+G483)</f>
        <v/>
      </c>
      <c r="P483" s="200" t="str">
        <f aca="false">IF(A484="","",M483+K483+H483)</f>
        <v/>
      </c>
      <c r="R483" s="200" t="str">
        <f aca="false">IF($A484="","",VLOOKUP($A483,Table,MATCH(R$4,Curves,0)))</f>
        <v/>
      </c>
      <c r="S483" s="201" t="str">
        <f aca="false">IF(A484="","",R483)</f>
        <v/>
      </c>
      <c r="T483" s="200" t="str">
        <f aca="false">IF($A484="","",VLOOKUP($A483,Table,MATCH(T$4,Curves,0)))</f>
        <v/>
      </c>
      <c r="U483" s="201" t="str">
        <f aca="false">IF(A484="","",T483)</f>
        <v/>
      </c>
      <c r="V483" s="225" t="str">
        <f aca="false">IF($A484="","",IF(AND(MONTH(A483)&gt;3,MONTH(A483)&lt;11),(T483+R483+G483)*(((1/(1-Summary!$T$12))/(1-Summary!$W$12))-1),(T483+R483+G483)*((1/(1-Summary!$U$12))/(1-Summary!$X$12)-1)))</f>
        <v/>
      </c>
      <c r="W483" s="200" t="str">
        <f aca="false">IF($A484="","",(T483+R483+G483+V483))</f>
        <v/>
      </c>
      <c r="X483" s="200" t="str">
        <f aca="false">IF($A484="","",(U483+S483+H483+V483))</f>
        <v/>
      </c>
      <c r="Y483" s="202"/>
      <c r="AJ483" s="77"/>
      <c r="AK483" s="77"/>
      <c r="AL483" s="77"/>
      <c r="AM483" s="77"/>
      <c r="AN483" s="77"/>
      <c r="AO483" s="137" t="str">
        <f aca="false">IF(A484="","",A484-A483)</f>
        <v/>
      </c>
      <c r="AP483" s="212" t="str">
        <f aca="false">IF(A484="","",CHOOSE(F$3,A484+24,A483))</f>
        <v/>
      </c>
      <c r="AQ483" s="209" t="str">
        <f aca="false">IF(A484="","",AP483-$E$1)</f>
        <v/>
      </c>
      <c r="AR483" s="185" t="n">
        <f aca="false">'ANR OK vs ML7'!AR483</f>
        <v>0.1</v>
      </c>
      <c r="AS483" s="213" t="str">
        <f aca="false">IF(A484="","",1/(1+CHOOSE(F$3,(AR484+($I$3/10000))/2,(AR483+($I$3/10000))/2))^(2*AQ483/365.25))</f>
        <v/>
      </c>
      <c r="AT483" s="137" t="str">
        <f aca="false">IF(A484="","",IF(AND(mthbeg&lt;=A483,mthend&gt;=A483),1,0))</f>
        <v/>
      </c>
      <c r="AU483" s="137" t="str">
        <f aca="false">IF(A484="","",AO483*AT483)</f>
        <v/>
      </c>
      <c r="AW483" s="195" t="str">
        <f aca="false">IF($A484="","",AL483*$E483)</f>
        <v/>
      </c>
      <c r="AX483" s="195" t="str">
        <f aca="false">IF($A484="","",AM483*$E483)</f>
        <v/>
      </c>
      <c r="AY483" s="195" t="str">
        <f aca="false">IF($A484="","",AN483*$E483)</f>
        <v/>
      </c>
      <c r="BA483" s="195" t="str">
        <f aca="false">IF($A484="","",F483*Summary!$Q$12)</f>
        <v/>
      </c>
    </row>
    <row r="484" customFormat="false" ht="12.75" hidden="false" customHeight="false" outlineLevel="0" collapsed="false">
      <c r="A484" s="196" t="str">
        <f aca="false">IF(A483&lt;mthend,EDATE(A483,1),"")</f>
        <v/>
      </c>
      <c r="B484" s="197" t="str">
        <f aca="false">IF(A484&lt;mthend,B483,"")</f>
        <v/>
      </c>
      <c r="D484" s="197" t="str">
        <f aca="false">IF(A485&lt;&gt;"",B484+C484,"")</f>
        <v/>
      </c>
      <c r="E484" s="199" t="str">
        <f aca="false">IF(A485="","",IF(AND(AT484=1,$H$3=1),D484*AO484,IF($H$3=2,D484,"N/A")))</f>
        <v/>
      </c>
      <c r="F484" s="199" t="str">
        <f aca="false">IF(A485="","",E484*AS484)</f>
        <v/>
      </c>
      <c r="G484" s="200" t="str">
        <f aca="false">IF($A485="","",VLOOKUP($A484,Table,MATCH(G$4,Curves,0)))</f>
        <v/>
      </c>
      <c r="H484" s="201" t="str">
        <f aca="false">IF(A485="","",G484)</f>
        <v/>
      </c>
      <c r="J484" s="200" t="str">
        <f aca="false">IF($A485="","",VLOOKUP($A484,Table,MATCH(J$4,Curves,0)))</f>
        <v/>
      </c>
      <c r="K484" s="201" t="str">
        <f aca="false">IF(A485="","",J484)</f>
        <v/>
      </c>
      <c r="L484" s="200" t="str">
        <f aca="false">IF($A485="","",VLOOKUP($A484,Table,MATCH(L$4,Curves,0)))</f>
        <v/>
      </c>
      <c r="M484" s="201" t="str">
        <f aca="false">IF(A485="","",L484)</f>
        <v/>
      </c>
      <c r="O484" s="200" t="str">
        <f aca="false">IF(A485="","",L484+J484+G484)</f>
        <v/>
      </c>
      <c r="P484" s="200" t="str">
        <f aca="false">IF(A485="","",M484+K484+H484)</f>
        <v/>
      </c>
      <c r="R484" s="200" t="str">
        <f aca="false">IF($A485="","",VLOOKUP($A484,Table,MATCH(R$4,Curves,0)))</f>
        <v/>
      </c>
      <c r="S484" s="201" t="str">
        <f aca="false">IF(A485="","",R484)</f>
        <v/>
      </c>
      <c r="T484" s="200" t="str">
        <f aca="false">IF($A485="","",VLOOKUP($A484,Table,MATCH(T$4,Curves,0)))</f>
        <v/>
      </c>
      <c r="U484" s="201" t="str">
        <f aca="false">IF(A485="","",T484)</f>
        <v/>
      </c>
      <c r="V484" s="225" t="str">
        <f aca="false">IF($A485="","",IF(AND(MONTH(A484)&gt;3,MONTH(A484)&lt;11),(T484+R484+G484)*(((1/(1-Summary!$T$12))/(1-Summary!$W$12))-1),(T484+R484+G484)*((1/(1-Summary!$U$12))/(1-Summary!$X$12)-1)))</f>
        <v/>
      </c>
      <c r="W484" s="200" t="str">
        <f aca="false">IF($A485="","",(T484+R484+G484+V484))</f>
        <v/>
      </c>
      <c r="X484" s="200" t="str">
        <f aca="false">IF($A485="","",(U484+S484+H484+V484))</f>
        <v/>
      </c>
      <c r="Y484" s="202"/>
      <c r="AJ484" s="77"/>
      <c r="AK484" s="77"/>
      <c r="AL484" s="77"/>
      <c r="AM484" s="77"/>
      <c r="AN484" s="77"/>
      <c r="AO484" s="137" t="str">
        <f aca="false">IF(A485="","",A485-A484)</f>
        <v/>
      </c>
      <c r="AP484" s="212" t="str">
        <f aca="false">IF(A485="","",CHOOSE(F$3,A485+24,A484))</f>
        <v/>
      </c>
      <c r="AQ484" s="209" t="str">
        <f aca="false">IF(A485="","",AP484-$E$1)</f>
        <v/>
      </c>
      <c r="AR484" s="185" t="n">
        <f aca="false">'ANR OK vs ML7'!AR484</f>
        <v>0.1</v>
      </c>
      <c r="AS484" s="213" t="str">
        <f aca="false">IF(A485="","",1/(1+CHOOSE(F$3,(AR485+($I$3/10000))/2,(AR484+($I$3/10000))/2))^(2*AQ484/365.25))</f>
        <v/>
      </c>
      <c r="AT484" s="137" t="str">
        <f aca="false">IF(A485="","",IF(AND(mthbeg&lt;=A484,mthend&gt;=A484),1,0))</f>
        <v/>
      </c>
      <c r="AU484" s="137" t="str">
        <f aca="false">IF(A485="","",AO484*AT484)</f>
        <v/>
      </c>
      <c r="AW484" s="195" t="str">
        <f aca="false">IF($A485="","",AL484*$E484)</f>
        <v/>
      </c>
      <c r="AX484" s="195" t="str">
        <f aca="false">IF($A485="","",AM484*$E484)</f>
        <v/>
      </c>
      <c r="AY484" s="195" t="str">
        <f aca="false">IF($A485="","",AN484*$E484)</f>
        <v/>
      </c>
      <c r="BA484" s="195" t="str">
        <f aca="false">IF($A485="","",F484*Summary!$Q$12)</f>
        <v/>
      </c>
    </row>
    <row r="485" customFormat="false" ht="12.75" hidden="false" customHeight="false" outlineLevel="0" collapsed="false">
      <c r="A485" s="196" t="str">
        <f aca="false">IF(A484&lt;mthend,EDATE(A484,1),"")</f>
        <v/>
      </c>
      <c r="B485" s="197" t="str">
        <f aca="false">IF(A485&lt;mthend,B484,"")</f>
        <v/>
      </c>
      <c r="D485" s="197" t="str">
        <f aca="false">IF(A486&lt;&gt;"",B485+C485,"")</f>
        <v/>
      </c>
      <c r="E485" s="199" t="str">
        <f aca="false">IF(A486="","",IF(AND(AT485=1,$H$3=1),D485*AO485,IF($H$3=2,D485,"N/A")))</f>
        <v/>
      </c>
      <c r="F485" s="199" t="str">
        <f aca="false">IF(A486="","",E485*AS485)</f>
        <v/>
      </c>
      <c r="G485" s="200" t="str">
        <f aca="false">IF($A486="","",VLOOKUP($A485,Table,MATCH(G$4,Curves,0)))</f>
        <v/>
      </c>
      <c r="H485" s="201" t="str">
        <f aca="false">IF(A486="","",G485)</f>
        <v/>
      </c>
      <c r="J485" s="200" t="str">
        <f aca="false">IF($A486="","",VLOOKUP($A485,Table,MATCH(J$4,Curves,0)))</f>
        <v/>
      </c>
      <c r="K485" s="201" t="str">
        <f aca="false">IF(A486="","",J485)</f>
        <v/>
      </c>
      <c r="L485" s="200" t="str">
        <f aca="false">IF($A486="","",VLOOKUP($A485,Table,MATCH(L$4,Curves,0)))</f>
        <v/>
      </c>
      <c r="M485" s="201" t="str">
        <f aca="false">IF(A486="","",L485)</f>
        <v/>
      </c>
      <c r="O485" s="200" t="str">
        <f aca="false">IF(A486="","",L485+J485+G485)</f>
        <v/>
      </c>
      <c r="P485" s="200" t="str">
        <f aca="false">IF(A486="","",M485+K485+H485)</f>
        <v/>
      </c>
      <c r="R485" s="200" t="str">
        <f aca="false">IF($A486="","",VLOOKUP($A485,Table,MATCH(R$4,Curves,0)))</f>
        <v/>
      </c>
      <c r="S485" s="201" t="str">
        <f aca="false">IF(A486="","",R485)</f>
        <v/>
      </c>
      <c r="T485" s="200" t="str">
        <f aca="false">IF($A486="","",VLOOKUP($A485,Table,MATCH(T$4,Curves,0)))</f>
        <v/>
      </c>
      <c r="U485" s="201" t="str">
        <f aca="false">IF(A486="","",T485)</f>
        <v/>
      </c>
      <c r="V485" s="225" t="str">
        <f aca="false">IF($A486="","",IF(AND(MONTH(A485)&gt;3,MONTH(A485)&lt;11),(T485+R485+G485)*(((1/(1-Summary!$T$12))/(1-Summary!$W$12))-1),(T485+R485+G485)*((1/(1-Summary!$U$12))/(1-Summary!$X$12)-1)))</f>
        <v/>
      </c>
      <c r="W485" s="200" t="str">
        <f aca="false">IF($A486="","",(T485+R485+G485+V485))</f>
        <v/>
      </c>
      <c r="X485" s="200" t="str">
        <f aca="false">IF($A486="","",(U485+S485+H485+V485))</f>
        <v/>
      </c>
      <c r="Y485" s="202"/>
      <c r="AJ485" s="77"/>
      <c r="AK485" s="77"/>
      <c r="AL485" s="77"/>
      <c r="AM485" s="77"/>
      <c r="AN485" s="77"/>
      <c r="AO485" s="137" t="str">
        <f aca="false">IF(A486="","",A486-A485)</f>
        <v/>
      </c>
      <c r="AP485" s="212" t="str">
        <f aca="false">IF(A486="","",CHOOSE(F$3,A486+24,A485))</f>
        <v/>
      </c>
      <c r="AQ485" s="209" t="str">
        <f aca="false">IF(A486="","",AP485-$E$1)</f>
        <v/>
      </c>
      <c r="AR485" s="185" t="n">
        <f aca="false">'ANR OK vs ML7'!AR485</f>
        <v>0.1</v>
      </c>
      <c r="AS485" s="213" t="str">
        <f aca="false">IF(A486="","",1/(1+CHOOSE(F$3,(AR486+($I$3/10000))/2,(AR485+($I$3/10000))/2))^(2*AQ485/365.25))</f>
        <v/>
      </c>
      <c r="AT485" s="137" t="str">
        <f aca="false">IF(A486="","",IF(AND(mthbeg&lt;=A485,mthend&gt;=A485),1,0))</f>
        <v/>
      </c>
      <c r="AU485" s="137" t="str">
        <f aca="false">IF(A486="","",AO485*AT485)</f>
        <v/>
      </c>
      <c r="AW485" s="195" t="str">
        <f aca="false">IF($A486="","",AL485*$E485)</f>
        <v/>
      </c>
      <c r="AX485" s="195" t="str">
        <f aca="false">IF($A486="","",AM485*$E485)</f>
        <v/>
      </c>
      <c r="AY485" s="195" t="str">
        <f aca="false">IF($A486="","",AN485*$E485)</f>
        <v/>
      </c>
      <c r="BA485" s="195" t="str">
        <f aca="false">IF($A486="","",F485*Summary!$Q$12)</f>
        <v/>
      </c>
    </row>
    <row r="486" customFormat="false" ht="12.75" hidden="false" customHeight="false" outlineLevel="0" collapsed="false">
      <c r="A486" s="196" t="str">
        <f aca="false">IF(A485&lt;mthend,EDATE(A485,1),"")</f>
        <v/>
      </c>
      <c r="B486" s="197" t="str">
        <f aca="false">IF(A486&lt;mthend,B485,"")</f>
        <v/>
      </c>
      <c r="D486" s="197" t="str">
        <f aca="false">IF(A487&lt;&gt;"",B486+C486,"")</f>
        <v/>
      </c>
      <c r="E486" s="199" t="str">
        <f aca="false">IF(A487="","",IF(AND(AT486=1,$H$3=1),D486*AO486,IF($H$3=2,D486,"N/A")))</f>
        <v/>
      </c>
      <c r="F486" s="199" t="str">
        <f aca="false">IF(A487="","",E486*AS486)</f>
        <v/>
      </c>
      <c r="G486" s="200" t="str">
        <f aca="false">IF($A487="","",VLOOKUP($A486,Table,MATCH(G$4,Curves,0)))</f>
        <v/>
      </c>
      <c r="H486" s="201" t="str">
        <f aca="false">IF(A487="","",G486)</f>
        <v/>
      </c>
      <c r="J486" s="200" t="str">
        <f aca="false">IF($A487="","",VLOOKUP($A486,Table,MATCH(J$4,Curves,0)))</f>
        <v/>
      </c>
      <c r="K486" s="201" t="str">
        <f aca="false">IF(A487="","",J486)</f>
        <v/>
      </c>
      <c r="L486" s="200" t="str">
        <f aca="false">IF($A487="","",VLOOKUP($A486,Table,MATCH(L$4,Curves,0)))</f>
        <v/>
      </c>
      <c r="M486" s="201" t="str">
        <f aca="false">IF(A487="","",L486)</f>
        <v/>
      </c>
      <c r="O486" s="200" t="str">
        <f aca="false">IF(A487="","",L486+J486+G486)</f>
        <v/>
      </c>
      <c r="P486" s="200" t="str">
        <f aca="false">IF(A487="","",M486+K486+H486)</f>
        <v/>
      </c>
      <c r="R486" s="200" t="str">
        <f aca="false">IF($A487="","",VLOOKUP($A486,Table,MATCH(R$4,Curves,0)))</f>
        <v/>
      </c>
      <c r="S486" s="201" t="str">
        <f aca="false">IF(A487="","",R486)</f>
        <v/>
      </c>
      <c r="T486" s="200" t="str">
        <f aca="false">IF($A487="","",VLOOKUP($A486,Table,MATCH(T$4,Curves,0)))</f>
        <v/>
      </c>
      <c r="U486" s="201" t="str">
        <f aca="false">IF(A487="","",T486)</f>
        <v/>
      </c>
      <c r="V486" s="225" t="str">
        <f aca="false">IF($A487="","",IF(AND(MONTH(A486)&gt;3,MONTH(A486)&lt;11),(T486+R486+G486)*(((1/(1-Summary!$T$12))/(1-Summary!$W$12))-1),(T486+R486+G486)*((1/(1-Summary!$U$12))/(1-Summary!$X$12)-1)))</f>
        <v/>
      </c>
      <c r="W486" s="200" t="str">
        <f aca="false">IF($A487="","",(T486+R486+G486+V486))</f>
        <v/>
      </c>
      <c r="X486" s="200" t="str">
        <f aca="false">IF($A487="","",(U486+S486+H486+V486))</f>
        <v/>
      </c>
      <c r="Y486" s="202"/>
      <c r="AJ486" s="77"/>
      <c r="AK486" s="77"/>
      <c r="AL486" s="77"/>
      <c r="AM486" s="77"/>
      <c r="AN486" s="77"/>
      <c r="AO486" s="137" t="str">
        <f aca="false">IF(A487="","",A487-A486)</f>
        <v/>
      </c>
      <c r="AP486" s="212" t="str">
        <f aca="false">IF(A487="","",CHOOSE(F$3,A487+24,A486))</f>
        <v/>
      </c>
      <c r="AQ486" s="209" t="str">
        <f aca="false">IF(A487="","",AP486-$E$1)</f>
        <v/>
      </c>
      <c r="AR486" s="185" t="n">
        <f aca="false">'ANR OK vs ML7'!AR486</f>
        <v>0.1</v>
      </c>
      <c r="AS486" s="213" t="str">
        <f aca="false">IF(A487="","",1/(1+CHOOSE(F$3,(AR487+($I$3/10000))/2,(AR486+($I$3/10000))/2))^(2*AQ486/365.25))</f>
        <v/>
      </c>
      <c r="AT486" s="137" t="str">
        <f aca="false">IF(A487="","",IF(AND(mthbeg&lt;=A486,mthend&gt;=A486),1,0))</f>
        <v/>
      </c>
      <c r="AU486" s="137" t="str">
        <f aca="false">IF(A487="","",AO486*AT486)</f>
        <v/>
      </c>
      <c r="AW486" s="195" t="str">
        <f aca="false">IF($A487="","",AL486*$E486)</f>
        <v/>
      </c>
      <c r="AX486" s="195" t="str">
        <f aca="false">IF($A487="","",AM486*$E486)</f>
        <v/>
      </c>
      <c r="AY486" s="195" t="str">
        <f aca="false">IF($A487="","",AN486*$E486)</f>
        <v/>
      </c>
      <c r="BA486" s="195" t="str">
        <f aca="false">IF($A487="","",F486*Summary!$Q$12)</f>
        <v/>
      </c>
    </row>
    <row r="487" customFormat="false" ht="12.75" hidden="false" customHeight="false" outlineLevel="0" collapsed="false">
      <c r="A487" s="196" t="str">
        <f aca="false">IF(A486&lt;mthend,EDATE(A486,1),"")</f>
        <v/>
      </c>
      <c r="B487" s="197" t="str">
        <f aca="false">IF(A487&lt;mthend,B486,"")</f>
        <v/>
      </c>
      <c r="D487" s="197" t="str">
        <f aca="false">IF(A488&lt;&gt;"",B487+C487,"")</f>
        <v/>
      </c>
      <c r="E487" s="199" t="str">
        <f aca="false">IF(A488="","",IF(AND(AT487=1,$H$3=1),D487*AO487,IF($H$3=2,D487,"N/A")))</f>
        <v/>
      </c>
      <c r="F487" s="199" t="str">
        <f aca="false">IF(A488="","",E487*AS487)</f>
        <v/>
      </c>
      <c r="G487" s="200" t="str">
        <f aca="false">IF($A488="","",VLOOKUP($A487,Table,MATCH(G$4,Curves,0)))</f>
        <v/>
      </c>
      <c r="H487" s="201" t="str">
        <f aca="false">IF(A488="","",G487)</f>
        <v/>
      </c>
      <c r="J487" s="200" t="str">
        <f aca="false">IF($A488="","",VLOOKUP($A487,Table,MATCH(J$4,Curves,0)))</f>
        <v/>
      </c>
      <c r="K487" s="201" t="str">
        <f aca="false">IF(A488="","",J487)</f>
        <v/>
      </c>
      <c r="L487" s="200" t="str">
        <f aca="false">IF($A488="","",VLOOKUP($A487,Table,MATCH(L$4,Curves,0)))</f>
        <v/>
      </c>
      <c r="M487" s="201" t="str">
        <f aca="false">IF(A488="","",L487)</f>
        <v/>
      </c>
      <c r="O487" s="200" t="str">
        <f aca="false">IF(A488="","",L487+J487+G487)</f>
        <v/>
      </c>
      <c r="P487" s="200" t="str">
        <f aca="false">IF(A488="","",M487+K487+H487)</f>
        <v/>
      </c>
      <c r="R487" s="200" t="str">
        <f aca="false">IF($A488="","",VLOOKUP($A487,Table,MATCH(R$4,Curves,0)))</f>
        <v/>
      </c>
      <c r="S487" s="201" t="str">
        <f aca="false">IF(A488="","",R487)</f>
        <v/>
      </c>
      <c r="T487" s="200" t="str">
        <f aca="false">IF($A488="","",VLOOKUP($A487,Table,MATCH(T$4,Curves,0)))</f>
        <v/>
      </c>
      <c r="U487" s="201" t="str">
        <f aca="false">IF(A488="","",T487)</f>
        <v/>
      </c>
      <c r="V487" s="225" t="str">
        <f aca="false">IF($A488="","",IF(AND(MONTH(A487)&gt;3,MONTH(A487)&lt;11),(T487+R487+G487)*(((1/(1-Summary!$T$12))/(1-Summary!$W$12))-1),(T487+R487+G487)*((1/(1-Summary!$U$12))/(1-Summary!$X$12)-1)))</f>
        <v/>
      </c>
      <c r="W487" s="200" t="str">
        <f aca="false">IF($A488="","",(T487+R487+G487+V487))</f>
        <v/>
      </c>
      <c r="X487" s="200" t="str">
        <f aca="false">IF($A488="","",(U487+S487+H487+V487))</f>
        <v/>
      </c>
      <c r="Y487" s="202"/>
      <c r="AJ487" s="77"/>
      <c r="AK487" s="77"/>
      <c r="AL487" s="77"/>
      <c r="AM487" s="77"/>
      <c r="AN487" s="77"/>
      <c r="AO487" s="137" t="str">
        <f aca="false">IF(A488="","",A488-A487)</f>
        <v/>
      </c>
      <c r="AP487" s="212" t="str">
        <f aca="false">IF(A488="","",CHOOSE(F$3,A488+24,A487))</f>
        <v/>
      </c>
      <c r="AQ487" s="209" t="str">
        <f aca="false">IF(A488="","",AP487-$E$1)</f>
        <v/>
      </c>
      <c r="AR487" s="185" t="n">
        <f aca="false">'ANR OK vs ML7'!AR487</f>
        <v>0.1</v>
      </c>
      <c r="AS487" s="213" t="str">
        <f aca="false">IF(A488="","",1/(1+CHOOSE(F$3,(AR488+($I$3/10000))/2,(AR487+($I$3/10000))/2))^(2*AQ487/365.25))</f>
        <v/>
      </c>
      <c r="AT487" s="137" t="str">
        <f aca="false">IF(A488="","",IF(AND(mthbeg&lt;=A487,mthend&gt;=A487),1,0))</f>
        <v/>
      </c>
      <c r="AU487" s="137" t="str">
        <f aca="false">IF(A488="","",AO487*AT487)</f>
        <v/>
      </c>
      <c r="AW487" s="195" t="str">
        <f aca="false">IF($A488="","",AL487*$E487)</f>
        <v/>
      </c>
      <c r="AX487" s="195" t="str">
        <f aca="false">IF($A488="","",AM487*$E487)</f>
        <v/>
      </c>
      <c r="AY487" s="195" t="str">
        <f aca="false">IF($A488="","",AN487*$E487)</f>
        <v/>
      </c>
      <c r="BA487" s="195" t="str">
        <f aca="false">IF($A488="","",F487*Summary!$Q$12)</f>
        <v/>
      </c>
    </row>
    <row r="488" customFormat="false" ht="12.75" hidden="false" customHeight="false" outlineLevel="0" collapsed="false">
      <c r="A488" s="196" t="str">
        <f aca="false">IF(A487&lt;mthend,EDATE(A487,1),"")</f>
        <v/>
      </c>
      <c r="B488" s="197" t="str">
        <f aca="false">IF(A488&lt;mthend,B487,"")</f>
        <v/>
      </c>
      <c r="D488" s="197" t="str">
        <f aca="false">IF(A489&lt;&gt;"",B488+C488,"")</f>
        <v/>
      </c>
      <c r="E488" s="199" t="str">
        <f aca="false">IF(A489="","",IF(AND(AT488=1,$H$3=1),D488*AO488,IF($H$3=2,D488,"N/A")))</f>
        <v/>
      </c>
      <c r="F488" s="199" t="str">
        <f aca="false">IF(A489="","",E488*AS488)</f>
        <v/>
      </c>
      <c r="G488" s="200" t="str">
        <f aca="false">IF($A489="","",VLOOKUP($A488,Table,MATCH(G$4,Curves,0)))</f>
        <v/>
      </c>
      <c r="H488" s="201" t="str">
        <f aca="false">IF(A489="","",G488)</f>
        <v/>
      </c>
      <c r="J488" s="200" t="str">
        <f aca="false">IF($A489="","",VLOOKUP($A488,Table,MATCH(J$4,Curves,0)))</f>
        <v/>
      </c>
      <c r="K488" s="201" t="str">
        <f aca="false">IF(A489="","",J488)</f>
        <v/>
      </c>
      <c r="L488" s="200" t="str">
        <f aca="false">IF($A489="","",VLOOKUP($A488,Table,MATCH(L$4,Curves,0)))</f>
        <v/>
      </c>
      <c r="M488" s="201" t="str">
        <f aca="false">IF(A489="","",L488)</f>
        <v/>
      </c>
      <c r="O488" s="200" t="str">
        <f aca="false">IF(A489="","",L488+J488+G488)</f>
        <v/>
      </c>
      <c r="P488" s="200" t="str">
        <f aca="false">IF(A489="","",M488+K488+H488)</f>
        <v/>
      </c>
      <c r="R488" s="200" t="str">
        <f aca="false">IF($A489="","",VLOOKUP($A488,Table,MATCH(R$4,Curves,0)))</f>
        <v/>
      </c>
      <c r="S488" s="201" t="str">
        <f aca="false">IF(A489="","",R488)</f>
        <v/>
      </c>
      <c r="T488" s="200" t="str">
        <f aca="false">IF($A489="","",VLOOKUP($A488,Table,MATCH(T$4,Curves,0)))</f>
        <v/>
      </c>
      <c r="U488" s="201" t="str">
        <f aca="false">IF(A489="","",T488)</f>
        <v/>
      </c>
      <c r="V488" s="225" t="str">
        <f aca="false">IF($A489="","",IF(AND(MONTH(A488)&gt;3,MONTH(A488)&lt;11),(T488+R488+G488)*(((1/(1-Summary!$T$12))/(1-Summary!$W$12))-1),(T488+R488+G488)*((1/(1-Summary!$U$12))/(1-Summary!$X$12)-1)))</f>
        <v/>
      </c>
      <c r="W488" s="200" t="str">
        <f aca="false">IF($A489="","",(T488+R488+G488+V488))</f>
        <v/>
      </c>
      <c r="X488" s="200" t="str">
        <f aca="false">IF($A489="","",(U488+S488+H488+V488))</f>
        <v/>
      </c>
      <c r="Y488" s="202"/>
      <c r="AJ488" s="77"/>
      <c r="AK488" s="77"/>
      <c r="AL488" s="77"/>
      <c r="AM488" s="77"/>
      <c r="AN488" s="77"/>
      <c r="AO488" s="137" t="str">
        <f aca="false">IF(A489="","",A489-A488)</f>
        <v/>
      </c>
      <c r="AP488" s="212" t="str">
        <f aca="false">IF(A489="","",CHOOSE(F$3,A489+24,A488))</f>
        <v/>
      </c>
      <c r="AQ488" s="209" t="str">
        <f aca="false">IF(A489="","",AP488-$E$1)</f>
        <v/>
      </c>
      <c r="AR488" s="185" t="n">
        <f aca="false">'ANR OK vs ML7'!AR488</f>
        <v>0.1</v>
      </c>
      <c r="AS488" s="213" t="str">
        <f aca="false">IF(A489="","",1/(1+CHOOSE(F$3,(AR489+($I$3/10000))/2,(AR488+($I$3/10000))/2))^(2*AQ488/365.25))</f>
        <v/>
      </c>
      <c r="AT488" s="137" t="str">
        <f aca="false">IF(A489="","",IF(AND(mthbeg&lt;=A488,mthend&gt;=A488),1,0))</f>
        <v/>
      </c>
      <c r="AU488" s="137" t="str">
        <f aca="false">IF(A489="","",AO488*AT488)</f>
        <v/>
      </c>
      <c r="AW488" s="195" t="str">
        <f aca="false">IF($A489="","",AL488*$E488)</f>
        <v/>
      </c>
      <c r="AX488" s="195" t="str">
        <f aca="false">IF($A489="","",AM488*$E488)</f>
        <v/>
      </c>
      <c r="AY488" s="195" t="str">
        <f aca="false">IF($A489="","",AN488*$E488)</f>
        <v/>
      </c>
      <c r="BA488" s="195" t="str">
        <f aca="false">IF($A489="","",F488*Summary!$Q$12)</f>
        <v/>
      </c>
    </row>
    <row r="489" customFormat="false" ht="12.75" hidden="false" customHeight="false" outlineLevel="0" collapsed="false">
      <c r="A489" s="196" t="str">
        <f aca="false">IF(A488&lt;mthend,EDATE(A488,1),"")</f>
        <v/>
      </c>
      <c r="B489" s="197" t="str">
        <f aca="false">IF(A489&lt;mthend,B488,"")</f>
        <v/>
      </c>
      <c r="D489" s="197" t="str">
        <f aca="false">IF(A490&lt;&gt;"",B489+C489,"")</f>
        <v/>
      </c>
      <c r="E489" s="199" t="str">
        <f aca="false">IF(A490="","",IF(AND(AT489=1,$H$3=1),D489*AO489,IF($H$3=2,D489,"N/A")))</f>
        <v/>
      </c>
      <c r="F489" s="199" t="str">
        <f aca="false">IF(A490="","",E489*AS489)</f>
        <v/>
      </c>
      <c r="G489" s="200" t="str">
        <f aca="false">IF($A490="","",VLOOKUP($A489,Table,MATCH(G$4,Curves,0)))</f>
        <v/>
      </c>
      <c r="H489" s="201" t="str">
        <f aca="false">IF(A490="","",G489)</f>
        <v/>
      </c>
      <c r="J489" s="200" t="str">
        <f aca="false">IF($A490="","",VLOOKUP($A489,Table,MATCH(J$4,Curves,0)))</f>
        <v/>
      </c>
      <c r="K489" s="201" t="str">
        <f aca="false">IF(A490="","",J489)</f>
        <v/>
      </c>
      <c r="L489" s="200" t="str">
        <f aca="false">IF($A490="","",VLOOKUP($A489,Table,MATCH(L$4,Curves,0)))</f>
        <v/>
      </c>
      <c r="M489" s="201" t="str">
        <f aca="false">IF(A490="","",L489)</f>
        <v/>
      </c>
      <c r="O489" s="200" t="str">
        <f aca="false">IF(A490="","",L489+J489+G489)</f>
        <v/>
      </c>
      <c r="P489" s="200" t="str">
        <f aca="false">IF(A490="","",M489+K489+H489)</f>
        <v/>
      </c>
      <c r="R489" s="200" t="str">
        <f aca="false">IF($A490="","",VLOOKUP($A489,Table,MATCH(R$4,Curves,0)))</f>
        <v/>
      </c>
      <c r="S489" s="201" t="str">
        <f aca="false">IF(A490="","",R489)</f>
        <v/>
      </c>
      <c r="T489" s="200" t="str">
        <f aca="false">IF($A490="","",VLOOKUP($A489,Table,MATCH(T$4,Curves,0)))</f>
        <v/>
      </c>
      <c r="U489" s="201" t="str">
        <f aca="false">IF(A490="","",T489)</f>
        <v/>
      </c>
      <c r="V489" s="225" t="str">
        <f aca="false">IF($A490="","",IF(AND(MONTH(A489)&gt;3,MONTH(A489)&lt;11),(T489+R489+G489)*(((1/(1-Summary!$T$12))/(1-Summary!$W$12))-1),(T489+R489+G489)*((1/(1-Summary!$U$12))/(1-Summary!$X$12)-1)))</f>
        <v/>
      </c>
      <c r="W489" s="200" t="str">
        <f aca="false">IF($A490="","",(T489+R489+G489+V489))</f>
        <v/>
      </c>
      <c r="X489" s="200" t="str">
        <f aca="false">IF($A490="","",(U489+S489+H489+V489))</f>
        <v/>
      </c>
      <c r="Y489" s="202"/>
      <c r="AJ489" s="77"/>
      <c r="AK489" s="77"/>
      <c r="AL489" s="77"/>
      <c r="AM489" s="77"/>
      <c r="AN489" s="77"/>
      <c r="AO489" s="137" t="str">
        <f aca="false">IF(A490="","",A490-A489)</f>
        <v/>
      </c>
      <c r="AP489" s="212" t="str">
        <f aca="false">IF(A490="","",CHOOSE(F$3,A490+24,A489))</f>
        <v/>
      </c>
      <c r="AQ489" s="209" t="str">
        <f aca="false">IF(A490="","",AP489-$E$1)</f>
        <v/>
      </c>
      <c r="AR489" s="185" t="n">
        <f aca="false">'ANR OK vs ML7'!AR489</f>
        <v>0.1</v>
      </c>
      <c r="AS489" s="213" t="str">
        <f aca="false">IF(A490="","",1/(1+CHOOSE(F$3,(AR490+($I$3/10000))/2,(AR489+($I$3/10000))/2))^(2*AQ489/365.25))</f>
        <v/>
      </c>
      <c r="AT489" s="137" t="str">
        <f aca="false">IF(A490="","",IF(AND(mthbeg&lt;=A489,mthend&gt;=A489),1,0))</f>
        <v/>
      </c>
      <c r="AU489" s="137" t="str">
        <f aca="false">IF(A490="","",AO489*AT489)</f>
        <v/>
      </c>
      <c r="AW489" s="195" t="str">
        <f aca="false">IF($A490="","",AL489*$E489)</f>
        <v/>
      </c>
      <c r="AX489" s="195" t="str">
        <f aca="false">IF($A490="","",AM489*$E489)</f>
        <v/>
      </c>
      <c r="AY489" s="195" t="str">
        <f aca="false">IF($A490="","",AN489*$E489)</f>
        <v/>
      </c>
      <c r="BA489" s="195" t="str">
        <f aca="false">IF($A490="","",F489*Summary!$Q$12)</f>
        <v/>
      </c>
    </row>
    <row r="490" customFormat="false" ht="12.75" hidden="false" customHeight="false" outlineLevel="0" collapsed="false">
      <c r="A490" s="196" t="str">
        <f aca="false">IF(A489&lt;mthend,EDATE(A489,1),"")</f>
        <v/>
      </c>
      <c r="B490" s="197" t="str">
        <f aca="false">IF(A490&lt;mthend,B489,"")</f>
        <v/>
      </c>
      <c r="D490" s="197" t="str">
        <f aca="false">IF(A491&lt;&gt;"",B490+C490,"")</f>
        <v/>
      </c>
      <c r="E490" s="199" t="str">
        <f aca="false">IF(A491="","",IF(AND(AT490=1,$H$3=1),D490*AO490,IF($H$3=2,D490,"N/A")))</f>
        <v/>
      </c>
      <c r="F490" s="199" t="str">
        <f aca="false">IF(A491="","",E490*AS490)</f>
        <v/>
      </c>
      <c r="G490" s="200" t="str">
        <f aca="false">IF($A491="","",VLOOKUP($A490,Table,MATCH(G$4,Curves,0)))</f>
        <v/>
      </c>
      <c r="H490" s="201" t="str">
        <f aca="false">IF(A491="","",G490)</f>
        <v/>
      </c>
      <c r="J490" s="200" t="str">
        <f aca="false">IF($A491="","",VLOOKUP($A490,Table,MATCH(J$4,Curves,0)))</f>
        <v/>
      </c>
      <c r="K490" s="201" t="str">
        <f aca="false">IF(A491="","",J490)</f>
        <v/>
      </c>
      <c r="L490" s="200" t="str">
        <f aca="false">IF($A491="","",VLOOKUP($A490,Table,MATCH(L$4,Curves,0)))</f>
        <v/>
      </c>
      <c r="M490" s="201" t="str">
        <f aca="false">IF(A491="","",L490)</f>
        <v/>
      </c>
      <c r="O490" s="200" t="str">
        <f aca="false">IF(A491="","",L490+J490+G490)</f>
        <v/>
      </c>
      <c r="P490" s="200" t="str">
        <f aca="false">IF(A491="","",M490+K490+H490)</f>
        <v/>
      </c>
      <c r="R490" s="200" t="str">
        <f aca="false">IF($A491="","",VLOOKUP($A490,Table,MATCH(R$4,Curves,0)))</f>
        <v/>
      </c>
      <c r="S490" s="201" t="str">
        <f aca="false">IF(A491="","",R490)</f>
        <v/>
      </c>
      <c r="T490" s="200" t="str">
        <f aca="false">IF($A491="","",VLOOKUP($A490,Table,MATCH(T$4,Curves,0)))</f>
        <v/>
      </c>
      <c r="U490" s="201" t="str">
        <f aca="false">IF(A491="","",T490)</f>
        <v/>
      </c>
      <c r="V490" s="225" t="str">
        <f aca="false">IF($A491="","",IF(AND(MONTH(A490)&gt;3,MONTH(A490)&lt;11),(T490+R490+G490)*(((1/(1-Summary!$T$12))/(1-Summary!$W$12))-1),(T490+R490+G490)*((1/(1-Summary!$U$12))/(1-Summary!$X$12)-1)))</f>
        <v/>
      </c>
      <c r="W490" s="200" t="str">
        <f aca="false">IF($A491="","",(T490+R490+G490+V490))</f>
        <v/>
      </c>
      <c r="X490" s="200" t="str">
        <f aca="false">IF($A491="","",(U490+S490+H490+V490))</f>
        <v/>
      </c>
      <c r="Y490" s="202"/>
      <c r="AJ490" s="77"/>
      <c r="AK490" s="77"/>
      <c r="AL490" s="77"/>
      <c r="AM490" s="77"/>
      <c r="AN490" s="77"/>
      <c r="AO490" s="137" t="str">
        <f aca="false">IF(A491="","",A491-A490)</f>
        <v/>
      </c>
      <c r="AP490" s="212" t="str">
        <f aca="false">IF(A491="","",CHOOSE(F$3,A491+24,A490))</f>
        <v/>
      </c>
      <c r="AQ490" s="209" t="str">
        <f aca="false">IF(A491="","",AP490-$E$1)</f>
        <v/>
      </c>
      <c r="AR490" s="185" t="n">
        <f aca="false">'ANR OK vs ML7'!AR490</f>
        <v>0.1</v>
      </c>
      <c r="AS490" s="213" t="str">
        <f aca="false">IF(A491="","",1/(1+CHOOSE(F$3,(AR491+($I$3/10000))/2,(AR490+($I$3/10000))/2))^(2*AQ490/365.25))</f>
        <v/>
      </c>
      <c r="AT490" s="137" t="str">
        <f aca="false">IF(A491="","",IF(AND(mthbeg&lt;=A490,mthend&gt;=A490),1,0))</f>
        <v/>
      </c>
      <c r="AU490" s="137" t="str">
        <f aca="false">IF(A491="","",AO490*AT490)</f>
        <v/>
      </c>
      <c r="AW490" s="195" t="str">
        <f aca="false">IF($A491="","",AL490*$E490)</f>
        <v/>
      </c>
      <c r="AX490" s="195" t="str">
        <f aca="false">IF($A491="","",AM490*$E490)</f>
        <v/>
      </c>
      <c r="AY490" s="195" t="str">
        <f aca="false">IF($A491="","",AN490*$E490)</f>
        <v/>
      </c>
      <c r="BA490" s="195" t="str">
        <f aca="false">IF($A491="","",F490*Summary!$Q$12)</f>
        <v/>
      </c>
    </row>
    <row r="491" customFormat="false" ht="12.75" hidden="false" customHeight="false" outlineLevel="0" collapsed="false">
      <c r="A491" s="196" t="str">
        <f aca="false">IF(A490&lt;mthend,EDATE(A490,1),"")</f>
        <v/>
      </c>
      <c r="B491" s="197" t="str">
        <f aca="false">IF(A491&lt;mthend,B490,"")</f>
        <v/>
      </c>
      <c r="D491" s="197" t="str">
        <f aca="false">IF(A492&lt;&gt;"",B491+C491,"")</f>
        <v/>
      </c>
      <c r="E491" s="199" t="str">
        <f aca="false">IF(A492="","",IF(AND(AT491=1,$H$3=1),D491*AO491,IF($H$3=2,D491,"N/A")))</f>
        <v/>
      </c>
      <c r="F491" s="199" t="str">
        <f aca="false">IF(A492="","",E491*AS491)</f>
        <v/>
      </c>
      <c r="G491" s="200" t="str">
        <f aca="false">IF($A492="","",VLOOKUP($A491,Table,MATCH(G$4,Curves,0)))</f>
        <v/>
      </c>
      <c r="H491" s="201" t="str">
        <f aca="false">IF(A492="","",G491)</f>
        <v/>
      </c>
      <c r="J491" s="200" t="str">
        <f aca="false">IF($A492="","",VLOOKUP($A491,Table,MATCH(J$4,Curves,0)))</f>
        <v/>
      </c>
      <c r="K491" s="201" t="str">
        <f aca="false">IF(A492="","",J491)</f>
        <v/>
      </c>
      <c r="L491" s="200" t="str">
        <f aca="false">IF($A492="","",VLOOKUP($A491,Table,MATCH(L$4,Curves,0)))</f>
        <v/>
      </c>
      <c r="M491" s="201" t="str">
        <f aca="false">IF(A492="","",L491)</f>
        <v/>
      </c>
      <c r="O491" s="200" t="str">
        <f aca="false">IF(A492="","",L491+J491+G491)</f>
        <v/>
      </c>
      <c r="P491" s="200" t="str">
        <f aca="false">IF(A492="","",M491+K491+H491)</f>
        <v/>
      </c>
      <c r="R491" s="200" t="str">
        <f aca="false">IF($A492="","",VLOOKUP($A491,Table,MATCH(R$4,Curves,0)))</f>
        <v/>
      </c>
      <c r="S491" s="201" t="str">
        <f aca="false">IF(A492="","",R491)</f>
        <v/>
      </c>
      <c r="T491" s="200" t="str">
        <f aca="false">IF($A492="","",VLOOKUP($A491,Table,MATCH(T$4,Curves,0)))</f>
        <v/>
      </c>
      <c r="U491" s="201" t="str">
        <f aca="false">IF(A492="","",T491)</f>
        <v/>
      </c>
      <c r="V491" s="225" t="str">
        <f aca="false">IF($A492="","",IF(AND(MONTH(A491)&gt;3,MONTH(A491)&lt;11),(T491+R491+G491)*(((1/(1-Summary!$T$12))/(1-Summary!$W$12))-1),(T491+R491+G491)*((1/(1-Summary!$U$12))/(1-Summary!$X$12)-1)))</f>
        <v/>
      </c>
      <c r="W491" s="200" t="str">
        <f aca="false">IF($A492="","",(T491+R491+G491+V491))</f>
        <v/>
      </c>
      <c r="X491" s="200" t="str">
        <f aca="false">IF($A492="","",(U491+S491+H491+V491))</f>
        <v/>
      </c>
      <c r="Y491" s="202"/>
      <c r="AJ491" s="77"/>
      <c r="AK491" s="77"/>
      <c r="AL491" s="77"/>
      <c r="AM491" s="77"/>
      <c r="AN491" s="77"/>
      <c r="AO491" s="137" t="str">
        <f aca="false">IF(A492="","",A492-A491)</f>
        <v/>
      </c>
      <c r="AP491" s="212" t="str">
        <f aca="false">IF(A492="","",CHOOSE(F$3,A492+24,A491))</f>
        <v/>
      </c>
      <c r="AQ491" s="209" t="str">
        <f aca="false">IF(A492="","",AP491-$E$1)</f>
        <v/>
      </c>
      <c r="AR491" s="185" t="n">
        <f aca="false">'ANR OK vs ML7'!AR491</f>
        <v>0.1</v>
      </c>
      <c r="AS491" s="213" t="str">
        <f aca="false">IF(A492="","",1/(1+CHOOSE(F$3,(AR492+($I$3/10000))/2,(AR491+($I$3/10000))/2))^(2*AQ491/365.25))</f>
        <v/>
      </c>
      <c r="AT491" s="137" t="str">
        <f aca="false">IF(A492="","",IF(AND(mthbeg&lt;=A491,mthend&gt;=A491),1,0))</f>
        <v/>
      </c>
      <c r="AU491" s="137" t="str">
        <f aca="false">IF(A492="","",AO491*AT491)</f>
        <v/>
      </c>
      <c r="AW491" s="195" t="str">
        <f aca="false">IF($A492="","",AL491*$E491)</f>
        <v/>
      </c>
      <c r="AX491" s="195" t="str">
        <f aca="false">IF($A492="","",AM491*$E491)</f>
        <v/>
      </c>
      <c r="AY491" s="195" t="str">
        <f aca="false">IF($A492="","",AN491*$E491)</f>
        <v/>
      </c>
      <c r="BA491" s="195" t="str">
        <f aca="false">IF($A492="","",F491*Summary!$Q$12)</f>
        <v/>
      </c>
    </row>
    <row r="492" customFormat="false" ht="12.75" hidden="false" customHeight="false" outlineLevel="0" collapsed="false">
      <c r="A492" s="196" t="str">
        <f aca="false">IF(A491&lt;mthend,EDATE(A491,1),"")</f>
        <v/>
      </c>
      <c r="B492" s="197" t="str">
        <f aca="false">IF(A492&lt;mthend,B491,"")</f>
        <v/>
      </c>
      <c r="D492" s="197" t="str">
        <f aca="false">IF(A493&lt;&gt;"",B492+C492,"")</f>
        <v/>
      </c>
      <c r="E492" s="199" t="str">
        <f aca="false">IF(A493="","",IF(AND(AT492=1,$H$3=1),D492*AO492,IF($H$3=2,D492,"N/A")))</f>
        <v/>
      </c>
      <c r="F492" s="199" t="str">
        <f aca="false">IF(A493="","",E492*AS492)</f>
        <v/>
      </c>
      <c r="G492" s="200" t="str">
        <f aca="false">IF($A493="","",VLOOKUP($A492,Table,MATCH(G$4,Curves,0)))</f>
        <v/>
      </c>
      <c r="H492" s="201" t="str">
        <f aca="false">IF(A493="","",G492)</f>
        <v/>
      </c>
      <c r="J492" s="200" t="str">
        <f aca="false">IF($A493="","",VLOOKUP($A492,Table,MATCH(J$4,Curves,0)))</f>
        <v/>
      </c>
      <c r="K492" s="201" t="str">
        <f aca="false">IF(A493="","",J492)</f>
        <v/>
      </c>
      <c r="L492" s="200" t="str">
        <f aca="false">IF($A493="","",VLOOKUP($A492,Table,MATCH(L$4,Curves,0)))</f>
        <v/>
      </c>
      <c r="M492" s="201" t="str">
        <f aca="false">IF(A493="","",L492)</f>
        <v/>
      </c>
      <c r="O492" s="200" t="str">
        <f aca="false">IF(A493="","",L492+J492+G492)</f>
        <v/>
      </c>
      <c r="P492" s="200" t="str">
        <f aca="false">IF(A493="","",M492+K492+H492)</f>
        <v/>
      </c>
      <c r="R492" s="200" t="str">
        <f aca="false">IF($A493="","",VLOOKUP($A492,Table,MATCH(R$4,Curves,0)))</f>
        <v/>
      </c>
      <c r="S492" s="201" t="str">
        <f aca="false">IF(A493="","",R492)</f>
        <v/>
      </c>
      <c r="T492" s="200" t="str">
        <f aca="false">IF($A493="","",VLOOKUP($A492,Table,MATCH(T$4,Curves,0)))</f>
        <v/>
      </c>
      <c r="U492" s="201" t="str">
        <f aca="false">IF(A493="","",T492)</f>
        <v/>
      </c>
      <c r="V492" s="225" t="str">
        <f aca="false">IF($A493="","",IF(AND(MONTH(A492)&gt;3,MONTH(A492)&lt;11),(T492+R492+G492)*(((1/(1-Summary!$T$12))/(1-Summary!$W$12))-1),(T492+R492+G492)*((1/(1-Summary!$U$12))/(1-Summary!$X$12)-1)))</f>
        <v/>
      </c>
      <c r="W492" s="200" t="str">
        <f aca="false">IF($A493="","",(T492+R492+G492+V492))</f>
        <v/>
      </c>
      <c r="X492" s="200" t="str">
        <f aca="false">IF($A493="","",(U492+S492+H492+V492))</f>
        <v/>
      </c>
      <c r="Y492" s="202"/>
      <c r="AJ492" s="77"/>
      <c r="AK492" s="77"/>
      <c r="AL492" s="77"/>
      <c r="AM492" s="77"/>
      <c r="AN492" s="77"/>
      <c r="AO492" s="137" t="str">
        <f aca="false">IF(A493="","",A493-A492)</f>
        <v/>
      </c>
      <c r="AP492" s="212" t="str">
        <f aca="false">IF(A493="","",CHOOSE(F$3,A493+24,A492))</f>
        <v/>
      </c>
      <c r="AQ492" s="209" t="str">
        <f aca="false">IF(A493="","",AP492-$E$1)</f>
        <v/>
      </c>
      <c r="AR492" s="185" t="n">
        <f aca="false">'ANR OK vs ML7'!AR492</f>
        <v>0.1</v>
      </c>
      <c r="AS492" s="213" t="str">
        <f aca="false">IF(A493="","",1/(1+CHOOSE(F$3,(AR493+($I$3/10000))/2,(AR492+($I$3/10000))/2))^(2*AQ492/365.25))</f>
        <v/>
      </c>
      <c r="AT492" s="137" t="str">
        <f aca="false">IF(A493="","",IF(AND(mthbeg&lt;=A492,mthend&gt;=A492),1,0))</f>
        <v/>
      </c>
      <c r="AU492" s="137" t="str">
        <f aca="false">IF(A493="","",AO492*AT492)</f>
        <v/>
      </c>
      <c r="AW492" s="195" t="str">
        <f aca="false">IF($A493="","",AL492*$E492)</f>
        <v/>
      </c>
      <c r="AX492" s="195" t="str">
        <f aca="false">IF($A493="","",AM492*$E492)</f>
        <v/>
      </c>
      <c r="AY492" s="195" t="str">
        <f aca="false">IF($A493="","",AN492*$E492)</f>
        <v/>
      </c>
      <c r="BA492" s="195" t="str">
        <f aca="false">IF($A493="","",F492*Summary!$Q$12)</f>
        <v/>
      </c>
    </row>
    <row r="493" customFormat="false" ht="12.75" hidden="false" customHeight="false" outlineLevel="0" collapsed="false">
      <c r="A493" s="196" t="str">
        <f aca="false">IF(A492&lt;mthend,EDATE(A492,1),"")</f>
        <v/>
      </c>
      <c r="B493" s="197" t="str">
        <f aca="false">IF(A493&lt;mthend,B492,"")</f>
        <v/>
      </c>
      <c r="D493" s="197" t="str">
        <f aca="false">IF(A494&lt;&gt;"",B493+C493,"")</f>
        <v/>
      </c>
      <c r="E493" s="199" t="str">
        <f aca="false">IF(A494="","",IF(AND(AT493=1,$H$3=1),D493*AO493,IF($H$3=2,D493,"N/A")))</f>
        <v/>
      </c>
      <c r="F493" s="199" t="str">
        <f aca="false">IF(A494="","",E493*AS493)</f>
        <v/>
      </c>
      <c r="G493" s="200" t="str">
        <f aca="false">IF($A494="","",VLOOKUP($A493,Table,MATCH(G$4,Curves,0)))</f>
        <v/>
      </c>
      <c r="H493" s="201" t="str">
        <f aca="false">IF(A494="","",G493)</f>
        <v/>
      </c>
      <c r="J493" s="200" t="str">
        <f aca="false">IF($A494="","",VLOOKUP($A493,Table,MATCH(J$4,Curves,0)))</f>
        <v/>
      </c>
      <c r="K493" s="201" t="str">
        <f aca="false">IF(A494="","",J493)</f>
        <v/>
      </c>
      <c r="L493" s="200" t="str">
        <f aca="false">IF($A494="","",VLOOKUP($A493,Table,MATCH(L$4,Curves,0)))</f>
        <v/>
      </c>
      <c r="M493" s="201" t="str">
        <f aca="false">IF(A494="","",L493)</f>
        <v/>
      </c>
      <c r="O493" s="200" t="str">
        <f aca="false">IF(A494="","",L493+J493+G493)</f>
        <v/>
      </c>
      <c r="P493" s="200" t="str">
        <f aca="false">IF(A494="","",M493+K493+H493)</f>
        <v/>
      </c>
      <c r="R493" s="200" t="str">
        <f aca="false">IF($A494="","",VLOOKUP($A493,Table,MATCH(R$4,Curves,0)))</f>
        <v/>
      </c>
      <c r="S493" s="201" t="str">
        <f aca="false">IF(A494="","",R493)</f>
        <v/>
      </c>
      <c r="T493" s="200" t="str">
        <f aca="false">IF($A494="","",VLOOKUP($A493,Table,MATCH(T$4,Curves,0)))</f>
        <v/>
      </c>
      <c r="U493" s="201" t="str">
        <f aca="false">IF(A494="","",T493)</f>
        <v/>
      </c>
      <c r="V493" s="225" t="str">
        <f aca="false">IF($A494="","",IF(AND(MONTH(A493)&gt;3,MONTH(A493)&lt;11),(T493+R493+G493)*(((1/(1-Summary!$T$12))/(1-Summary!$W$12))-1),(T493+R493+G493)*((1/(1-Summary!$U$12))/(1-Summary!$X$12)-1)))</f>
        <v/>
      </c>
      <c r="W493" s="200" t="str">
        <f aca="false">IF($A494="","",(T493+R493+G493+V493))</f>
        <v/>
      </c>
      <c r="X493" s="200" t="str">
        <f aca="false">IF($A494="","",(U493+S493+H493+V493))</f>
        <v/>
      </c>
      <c r="Y493" s="202"/>
      <c r="AJ493" s="77"/>
      <c r="AK493" s="77"/>
      <c r="AL493" s="77"/>
      <c r="AM493" s="77"/>
      <c r="AN493" s="77"/>
      <c r="AO493" s="137" t="str">
        <f aca="false">IF(A494="","",A494-A493)</f>
        <v/>
      </c>
      <c r="AP493" s="212" t="str">
        <f aca="false">IF(A494="","",CHOOSE(F$3,A494+24,A493))</f>
        <v/>
      </c>
      <c r="AQ493" s="209" t="str">
        <f aca="false">IF(A494="","",AP493-$E$1)</f>
        <v/>
      </c>
      <c r="AR493" s="185" t="n">
        <f aca="false">'ANR OK vs ML7'!AR493</f>
        <v>0.1</v>
      </c>
      <c r="AS493" s="213" t="str">
        <f aca="false">IF(A494="","",1/(1+CHOOSE(F$3,(AR494+($I$3/10000))/2,(AR493+($I$3/10000))/2))^(2*AQ493/365.25))</f>
        <v/>
      </c>
      <c r="AT493" s="137" t="str">
        <f aca="false">IF(A494="","",IF(AND(mthbeg&lt;=A493,mthend&gt;=A493),1,0))</f>
        <v/>
      </c>
      <c r="AU493" s="137" t="str">
        <f aca="false">IF(A494="","",AO493*AT493)</f>
        <v/>
      </c>
      <c r="AW493" s="195" t="str">
        <f aca="false">IF($A494="","",AL493*$E493)</f>
        <v/>
      </c>
      <c r="AX493" s="195" t="str">
        <f aca="false">IF($A494="","",AM493*$E493)</f>
        <v/>
      </c>
      <c r="AY493" s="195" t="str">
        <f aca="false">IF($A494="","",AN493*$E493)</f>
        <v/>
      </c>
      <c r="BA493" s="195" t="str">
        <f aca="false">IF($A494="","",F493*Summary!$Q$12)</f>
        <v/>
      </c>
    </row>
    <row r="494" customFormat="false" ht="12.75" hidden="false" customHeight="false" outlineLevel="0" collapsed="false">
      <c r="A494" s="196" t="str">
        <f aca="false">IF(A493&lt;mthend,EDATE(A493,1),"")</f>
        <v/>
      </c>
      <c r="B494" s="197" t="str">
        <f aca="false">IF(A494&lt;mthend,B493,"")</f>
        <v/>
      </c>
      <c r="D494" s="197" t="str">
        <f aca="false">IF(A495&lt;&gt;"",B494+C494,"")</f>
        <v/>
      </c>
      <c r="E494" s="199" t="str">
        <f aca="false">IF(A495="","",IF(AND(AT494=1,$H$3=1),D494*AO494,IF($H$3=2,D494,"N/A")))</f>
        <v/>
      </c>
      <c r="F494" s="199" t="str">
        <f aca="false">IF(A495="","",E494*AS494)</f>
        <v/>
      </c>
      <c r="G494" s="200" t="str">
        <f aca="false">IF($A495="","",VLOOKUP($A494,Table,MATCH(G$4,Curves,0)))</f>
        <v/>
      </c>
      <c r="H494" s="201" t="str">
        <f aca="false">IF(A495="","",G494)</f>
        <v/>
      </c>
      <c r="J494" s="200" t="str">
        <f aca="false">IF($A495="","",VLOOKUP($A494,Table,MATCH(J$4,Curves,0)))</f>
        <v/>
      </c>
      <c r="K494" s="201" t="str">
        <f aca="false">IF(A495="","",J494)</f>
        <v/>
      </c>
      <c r="L494" s="200" t="str">
        <f aca="false">IF($A495="","",VLOOKUP($A494,Table,MATCH(L$4,Curves,0)))</f>
        <v/>
      </c>
      <c r="M494" s="201" t="str">
        <f aca="false">IF(A495="","",L494)</f>
        <v/>
      </c>
      <c r="O494" s="200" t="str">
        <f aca="false">IF(A495="","",L494+J494+G494)</f>
        <v/>
      </c>
      <c r="P494" s="200" t="str">
        <f aca="false">IF(A495="","",M494+K494+H494)</f>
        <v/>
      </c>
      <c r="R494" s="200" t="str">
        <f aca="false">IF($A495="","",VLOOKUP($A494,Table,MATCH(R$4,Curves,0)))</f>
        <v/>
      </c>
      <c r="S494" s="201" t="str">
        <f aca="false">IF(A495="","",R494)</f>
        <v/>
      </c>
      <c r="T494" s="200" t="str">
        <f aca="false">IF($A495="","",VLOOKUP($A494,Table,MATCH(T$4,Curves,0)))</f>
        <v/>
      </c>
      <c r="U494" s="201" t="str">
        <f aca="false">IF(A495="","",T494)</f>
        <v/>
      </c>
      <c r="V494" s="225" t="str">
        <f aca="false">IF($A495="","",IF(AND(MONTH(A494)&gt;3,MONTH(A494)&lt;11),(T494+R494+G494)*(((1/(1-Summary!$T$12))/(1-Summary!$W$12))-1),(T494+R494+G494)*((1/(1-Summary!$U$12))/(1-Summary!$X$12)-1)))</f>
        <v/>
      </c>
      <c r="W494" s="200" t="str">
        <f aca="false">IF($A495="","",(T494+R494+G494+V494))</f>
        <v/>
      </c>
      <c r="X494" s="200" t="str">
        <f aca="false">IF($A495="","",(U494+S494+H494+V494))</f>
        <v/>
      </c>
      <c r="Y494" s="202"/>
      <c r="AJ494" s="77"/>
      <c r="AK494" s="77"/>
      <c r="AL494" s="77"/>
      <c r="AM494" s="77"/>
      <c r="AN494" s="77"/>
      <c r="AO494" s="137" t="str">
        <f aca="false">IF(A495="","",A495-A494)</f>
        <v/>
      </c>
      <c r="AP494" s="212" t="str">
        <f aca="false">IF(A495="","",CHOOSE(F$3,A495+24,A494))</f>
        <v/>
      </c>
      <c r="AQ494" s="209" t="str">
        <f aca="false">IF(A495="","",AP494-$E$1)</f>
        <v/>
      </c>
      <c r="AR494" s="185" t="n">
        <f aca="false">'ANR OK vs ML7'!AR494</f>
        <v>0.1</v>
      </c>
      <c r="AS494" s="213" t="str">
        <f aca="false">IF(A495="","",1/(1+CHOOSE(F$3,(AR495+($I$3/10000))/2,(AR494+($I$3/10000))/2))^(2*AQ494/365.25))</f>
        <v/>
      </c>
      <c r="AT494" s="137" t="str">
        <f aca="false">IF(A495="","",IF(AND(mthbeg&lt;=A494,mthend&gt;=A494),1,0))</f>
        <v/>
      </c>
      <c r="AU494" s="137" t="str">
        <f aca="false">IF(A495="","",AO494*AT494)</f>
        <v/>
      </c>
      <c r="AW494" s="195" t="str">
        <f aca="false">IF($A495="","",AL494*$E494)</f>
        <v/>
      </c>
      <c r="AX494" s="195" t="str">
        <f aca="false">IF($A495="","",AM494*$E494)</f>
        <v/>
      </c>
      <c r="AY494" s="195" t="str">
        <f aca="false">IF($A495="","",AN494*$E494)</f>
        <v/>
      </c>
      <c r="BA494" s="195" t="str">
        <f aca="false">IF($A495="","",F494*Summary!$Q$12)</f>
        <v/>
      </c>
    </row>
    <row r="495" customFormat="false" ht="12.75" hidden="false" customHeight="false" outlineLevel="0" collapsed="false">
      <c r="A495" s="196" t="str">
        <f aca="false">IF(A494&lt;mthend,EDATE(A494,1),"")</f>
        <v/>
      </c>
      <c r="B495" s="197" t="str">
        <f aca="false">IF(A495&lt;mthend,B494,"")</f>
        <v/>
      </c>
      <c r="D495" s="197" t="str">
        <f aca="false">IF(A496&lt;&gt;"",B495+C495,"")</f>
        <v/>
      </c>
      <c r="E495" s="199" t="str">
        <f aca="false">IF(A496="","",IF(AND(AT495=1,$H$3=1),D495*AO495,IF($H$3=2,D495,"N/A")))</f>
        <v/>
      </c>
      <c r="F495" s="199" t="str">
        <f aca="false">IF(A496="","",E495*AS495)</f>
        <v/>
      </c>
      <c r="G495" s="200" t="str">
        <f aca="false">IF($A496="","",VLOOKUP($A495,Table,MATCH(G$4,Curves,0)))</f>
        <v/>
      </c>
      <c r="H495" s="201" t="str">
        <f aca="false">IF(A496="","",G495)</f>
        <v/>
      </c>
      <c r="J495" s="200" t="str">
        <f aca="false">IF($A496="","",VLOOKUP($A495,Table,MATCH(J$4,Curves,0)))</f>
        <v/>
      </c>
      <c r="K495" s="201" t="str">
        <f aca="false">IF(A496="","",J495)</f>
        <v/>
      </c>
      <c r="L495" s="200" t="str">
        <f aca="false">IF($A496="","",VLOOKUP($A495,Table,MATCH(L$4,Curves,0)))</f>
        <v/>
      </c>
      <c r="M495" s="201" t="str">
        <f aca="false">IF(A496="","",L495)</f>
        <v/>
      </c>
      <c r="O495" s="200" t="str">
        <f aca="false">IF(A496="","",L495+J495+G495)</f>
        <v/>
      </c>
      <c r="P495" s="200" t="str">
        <f aca="false">IF(A496="","",M495+K495+H495)</f>
        <v/>
      </c>
      <c r="R495" s="200" t="str">
        <f aca="false">IF($A496="","",VLOOKUP($A495,Table,MATCH(R$4,Curves,0)))</f>
        <v/>
      </c>
      <c r="S495" s="201" t="str">
        <f aca="false">IF(A496="","",R495)</f>
        <v/>
      </c>
      <c r="T495" s="200" t="str">
        <f aca="false">IF($A496="","",VLOOKUP($A495,Table,MATCH(T$4,Curves,0)))</f>
        <v/>
      </c>
      <c r="U495" s="201" t="str">
        <f aca="false">IF(A496="","",T495)</f>
        <v/>
      </c>
      <c r="V495" s="225" t="str">
        <f aca="false">IF($A496="","",IF(AND(MONTH(A495)&gt;3,MONTH(A495)&lt;11),(T495+R495+G495)*(((1/(1-Summary!$T$12))/(1-Summary!$W$12))-1),(T495+R495+G495)*((1/(1-Summary!$U$12))/(1-Summary!$X$12)-1)))</f>
        <v/>
      </c>
      <c r="W495" s="200" t="str">
        <f aca="false">IF($A496="","",(T495+R495+G495+V495))</f>
        <v/>
      </c>
      <c r="X495" s="200" t="str">
        <f aca="false">IF($A496="","",(U495+S495+H495+V495))</f>
        <v/>
      </c>
      <c r="Y495" s="202"/>
      <c r="AJ495" s="77"/>
      <c r="AK495" s="77"/>
      <c r="AL495" s="77"/>
      <c r="AM495" s="77"/>
      <c r="AN495" s="77"/>
      <c r="AO495" s="137" t="str">
        <f aca="false">IF(A496="","",A496-A495)</f>
        <v/>
      </c>
      <c r="AP495" s="212" t="str">
        <f aca="false">IF(A496="","",CHOOSE(F$3,A496+24,A495))</f>
        <v/>
      </c>
      <c r="AQ495" s="209" t="str">
        <f aca="false">IF(A496="","",AP495-$E$1)</f>
        <v/>
      </c>
      <c r="AR495" s="185" t="n">
        <f aca="false">'ANR OK vs ML7'!AR495</f>
        <v>0.1</v>
      </c>
      <c r="AS495" s="213" t="str">
        <f aca="false">IF(A496="","",1/(1+CHOOSE(F$3,(AR496+($I$3/10000))/2,(AR495+($I$3/10000))/2))^(2*AQ495/365.25))</f>
        <v/>
      </c>
      <c r="AT495" s="137" t="str">
        <f aca="false">IF(A496="","",IF(AND(mthbeg&lt;=A495,mthend&gt;=A495),1,0))</f>
        <v/>
      </c>
      <c r="AU495" s="137" t="str">
        <f aca="false">IF(A496="","",AO495*AT495)</f>
        <v/>
      </c>
      <c r="AW495" s="195" t="str">
        <f aca="false">IF($A496="","",AL495*$E495)</f>
        <v/>
      </c>
      <c r="AX495" s="195" t="str">
        <f aca="false">IF($A496="","",AM495*$E495)</f>
        <v/>
      </c>
      <c r="AY495" s="195" t="str">
        <f aca="false">IF($A496="","",AN495*$E495)</f>
        <v/>
      </c>
      <c r="BA495" s="195" t="str">
        <f aca="false">IF($A496="","",F495*Summary!$Q$12)</f>
        <v/>
      </c>
    </row>
    <row r="496" customFormat="false" ht="12.75" hidden="false" customHeight="false" outlineLevel="0" collapsed="false">
      <c r="A496" s="196" t="str">
        <f aca="false">IF(A495&lt;mthend,EDATE(A495,1),"")</f>
        <v/>
      </c>
      <c r="B496" s="197" t="str">
        <f aca="false">IF(A496&lt;mthend,B495,"")</f>
        <v/>
      </c>
      <c r="D496" s="197" t="str">
        <f aca="false">IF(A497&lt;&gt;"",B496+C496,"")</f>
        <v/>
      </c>
      <c r="E496" s="199" t="str">
        <f aca="false">IF(A497="","",IF(AND(AT496=1,$H$3=1),D496*AO496,IF($H$3=2,D496,"N/A")))</f>
        <v/>
      </c>
      <c r="F496" s="199" t="str">
        <f aca="false">IF(A497="","",E496*AS496)</f>
        <v/>
      </c>
      <c r="G496" s="200" t="str">
        <f aca="false">IF($A497="","",VLOOKUP($A496,Table,MATCH(G$4,Curves,0)))</f>
        <v/>
      </c>
      <c r="H496" s="201" t="str">
        <f aca="false">IF(A497="","",G496)</f>
        <v/>
      </c>
      <c r="J496" s="200" t="str">
        <f aca="false">IF($A497="","",VLOOKUP($A496,Table,MATCH(J$4,Curves,0)))</f>
        <v/>
      </c>
      <c r="K496" s="201" t="str">
        <f aca="false">IF(A497="","",J496)</f>
        <v/>
      </c>
      <c r="L496" s="200" t="str">
        <f aca="false">IF($A497="","",VLOOKUP($A496,Table,MATCH(L$4,Curves,0)))</f>
        <v/>
      </c>
      <c r="M496" s="201" t="str">
        <f aca="false">IF(A497="","",L496)</f>
        <v/>
      </c>
      <c r="O496" s="200" t="str">
        <f aca="false">IF(A497="","",L496+J496+G496)</f>
        <v/>
      </c>
      <c r="P496" s="200" t="str">
        <f aca="false">IF(A497="","",M496+K496+H496)</f>
        <v/>
      </c>
      <c r="R496" s="200" t="str">
        <f aca="false">IF($A497="","",VLOOKUP($A496,Table,MATCH(R$4,Curves,0)))</f>
        <v/>
      </c>
      <c r="S496" s="201" t="str">
        <f aca="false">IF(A497="","",R496)</f>
        <v/>
      </c>
      <c r="T496" s="200" t="str">
        <f aca="false">IF($A497="","",VLOOKUP($A496,Table,MATCH(T$4,Curves,0)))</f>
        <v/>
      </c>
      <c r="U496" s="201" t="str">
        <f aca="false">IF(A497="","",T496)</f>
        <v/>
      </c>
      <c r="V496" s="225" t="str">
        <f aca="false">IF($A497="","",IF(AND(MONTH(A496)&gt;3,MONTH(A496)&lt;11),(T496+R496+G496)*(((1/(1-Summary!$T$12))/(1-Summary!$W$12))-1),(T496+R496+G496)*((1/(1-Summary!$U$12))/(1-Summary!$X$12)-1)))</f>
        <v/>
      </c>
      <c r="W496" s="200" t="str">
        <f aca="false">IF($A497="","",(T496+R496+G496+V496))</f>
        <v/>
      </c>
      <c r="X496" s="200" t="str">
        <f aca="false">IF($A497="","",(U496+S496+H496+V496))</f>
        <v/>
      </c>
      <c r="Y496" s="202"/>
      <c r="AJ496" s="77"/>
      <c r="AK496" s="77"/>
      <c r="AL496" s="77"/>
      <c r="AM496" s="77"/>
      <c r="AN496" s="77"/>
      <c r="AO496" s="137" t="str">
        <f aca="false">IF(A497="","",A497-A496)</f>
        <v/>
      </c>
      <c r="AP496" s="212" t="str">
        <f aca="false">IF(A497="","",CHOOSE(F$3,A497+24,A496))</f>
        <v/>
      </c>
      <c r="AQ496" s="209" t="str">
        <f aca="false">IF(A497="","",AP496-$E$1)</f>
        <v/>
      </c>
      <c r="AR496" s="185" t="n">
        <f aca="false">'ANR OK vs ML7'!AR496</f>
        <v>0.1</v>
      </c>
      <c r="AS496" s="213" t="str">
        <f aca="false">IF(A497="","",1/(1+CHOOSE(F$3,(AR497+($I$3/10000))/2,(AR496+($I$3/10000))/2))^(2*AQ496/365.25))</f>
        <v/>
      </c>
      <c r="AT496" s="137" t="str">
        <f aca="false">IF(A497="","",IF(AND(mthbeg&lt;=A496,mthend&gt;=A496),1,0))</f>
        <v/>
      </c>
      <c r="AU496" s="137" t="str">
        <f aca="false">IF(A497="","",AO496*AT496)</f>
        <v/>
      </c>
      <c r="AW496" s="195" t="str">
        <f aca="false">IF($A497="","",AL496*$E496)</f>
        <v/>
      </c>
      <c r="AX496" s="195" t="str">
        <f aca="false">IF($A497="","",AM496*$E496)</f>
        <v/>
      </c>
      <c r="AY496" s="195" t="str">
        <f aca="false">IF($A497="","",AN496*$E496)</f>
        <v/>
      </c>
      <c r="BA496" s="195" t="str">
        <f aca="false">IF($A497="","",F496*Summary!$Q$12)</f>
        <v/>
      </c>
    </row>
    <row r="497" customFormat="false" ht="12.75" hidden="false" customHeight="false" outlineLevel="0" collapsed="false">
      <c r="A497" s="196" t="str">
        <f aca="false">IF(A496&lt;mthend,EDATE(A496,1),"")</f>
        <v/>
      </c>
      <c r="B497" s="197" t="str">
        <f aca="false">IF(A497&lt;mthend,B496,"")</f>
        <v/>
      </c>
      <c r="D497" s="197" t="str">
        <f aca="false">IF(A498&lt;&gt;"",B497+C497,"")</f>
        <v/>
      </c>
      <c r="E497" s="199" t="str">
        <f aca="false">IF(A498="","",IF(AND(AT497=1,$H$3=1),D497*AO497,IF($H$3=2,D497,"N/A")))</f>
        <v/>
      </c>
      <c r="F497" s="199" t="str">
        <f aca="false">IF(A498="","",E497*AS497)</f>
        <v/>
      </c>
      <c r="G497" s="200" t="str">
        <f aca="false">IF($A498="","",VLOOKUP($A497,Table,MATCH(G$4,Curves,0)))</f>
        <v/>
      </c>
      <c r="H497" s="201" t="str">
        <f aca="false">IF(A498="","",G497)</f>
        <v/>
      </c>
      <c r="J497" s="200" t="str">
        <f aca="false">IF($A498="","",VLOOKUP($A497,Table,MATCH(J$4,Curves,0)))</f>
        <v/>
      </c>
      <c r="K497" s="201" t="str">
        <f aca="false">IF(A498="","",J497)</f>
        <v/>
      </c>
      <c r="L497" s="200" t="str">
        <f aca="false">IF($A498="","",VLOOKUP($A497,Table,MATCH(L$4,Curves,0)))</f>
        <v/>
      </c>
      <c r="M497" s="201" t="str">
        <f aca="false">IF(A498="","",L497)</f>
        <v/>
      </c>
      <c r="O497" s="200" t="str">
        <f aca="false">IF(A498="","",L497+J497+G497)</f>
        <v/>
      </c>
      <c r="P497" s="200" t="str">
        <f aca="false">IF(A498="","",M497+K497+H497)</f>
        <v/>
      </c>
      <c r="R497" s="200" t="str">
        <f aca="false">IF($A498="","",VLOOKUP($A497,Table,MATCH(R$4,Curves,0)))</f>
        <v/>
      </c>
      <c r="S497" s="201" t="str">
        <f aca="false">IF(A498="","",R497)</f>
        <v/>
      </c>
      <c r="T497" s="200" t="str">
        <f aca="false">IF($A498="","",VLOOKUP($A497,Table,MATCH(T$4,Curves,0)))</f>
        <v/>
      </c>
      <c r="U497" s="201" t="str">
        <f aca="false">IF(A498="","",T497)</f>
        <v/>
      </c>
      <c r="V497" s="225" t="str">
        <f aca="false">IF($A498="","",IF(AND(MONTH(A497)&gt;3,MONTH(A497)&lt;11),(T497+R497+G497)*(((1/(1-Summary!$T$12))/(1-Summary!$W$12))-1),(T497+R497+G497)*((1/(1-Summary!$U$12))/(1-Summary!$X$12)-1)))</f>
        <v/>
      </c>
      <c r="W497" s="200" t="str">
        <f aca="false">IF($A498="","",(T497+R497+G497+V497))</f>
        <v/>
      </c>
      <c r="X497" s="200" t="str">
        <f aca="false">IF($A498="","",(U497+S497+H497+V497))</f>
        <v/>
      </c>
      <c r="Y497" s="202"/>
      <c r="AJ497" s="77"/>
      <c r="AK497" s="77"/>
      <c r="AL497" s="77"/>
      <c r="AM497" s="77"/>
      <c r="AN497" s="77"/>
      <c r="AO497" s="137" t="str">
        <f aca="false">IF(A498="","",A498-A497)</f>
        <v/>
      </c>
      <c r="AP497" s="212" t="str">
        <f aca="false">IF(A498="","",CHOOSE(F$3,A498+24,A497))</f>
        <v/>
      </c>
      <c r="AQ497" s="209" t="str">
        <f aca="false">IF(A498="","",AP497-$E$1)</f>
        <v/>
      </c>
      <c r="AR497" s="185" t="n">
        <f aca="false">'ANR OK vs ML7'!AR497</f>
        <v>0.1</v>
      </c>
      <c r="AS497" s="213" t="str">
        <f aca="false">IF(A498="","",1/(1+CHOOSE(F$3,(AR498+($I$3/10000))/2,(AR497+($I$3/10000))/2))^(2*AQ497/365.25))</f>
        <v/>
      </c>
      <c r="AT497" s="137" t="str">
        <f aca="false">IF(A498="","",IF(AND(mthbeg&lt;=A497,mthend&gt;=A497),1,0))</f>
        <v/>
      </c>
      <c r="AU497" s="137" t="str">
        <f aca="false">IF(A498="","",AO497*AT497)</f>
        <v/>
      </c>
      <c r="AW497" s="195" t="str">
        <f aca="false">IF($A498="","",AL497*$E497)</f>
        <v/>
      </c>
      <c r="AX497" s="195" t="str">
        <f aca="false">IF($A498="","",AM497*$E497)</f>
        <v/>
      </c>
      <c r="AY497" s="195" t="str">
        <f aca="false">IF($A498="","",AN497*$E497)</f>
        <v/>
      </c>
      <c r="BA497" s="195" t="str">
        <f aca="false">IF($A498="","",F497*Summary!$Q$12)</f>
        <v/>
      </c>
    </row>
    <row r="498" customFormat="false" ht="12.75" hidden="false" customHeight="false" outlineLevel="0" collapsed="false">
      <c r="A498" s="196" t="str">
        <f aca="false">IF(A497&lt;mthend,EDATE(A497,1),"")</f>
        <v/>
      </c>
      <c r="B498" s="197" t="str">
        <f aca="false">IF(A498&lt;mthend,B497,"")</f>
        <v/>
      </c>
      <c r="D498" s="197" t="str">
        <f aca="false">IF(A499&lt;&gt;"",B498+C498,"")</f>
        <v/>
      </c>
      <c r="E498" s="199" t="str">
        <f aca="false">IF(A499="","",IF(AND(AT498=1,$H$3=1),D498*AO498,IF($H$3=2,D498,"N/A")))</f>
        <v/>
      </c>
      <c r="F498" s="199" t="str">
        <f aca="false">IF(A499="","",E498*AS498)</f>
        <v/>
      </c>
      <c r="G498" s="200" t="str">
        <f aca="false">IF($A499="","",VLOOKUP($A498,Table,MATCH(G$4,Curves,0)))</f>
        <v/>
      </c>
      <c r="H498" s="201" t="str">
        <f aca="false">IF(A499="","",G498)</f>
        <v/>
      </c>
      <c r="J498" s="200" t="str">
        <f aca="false">IF($A499="","",VLOOKUP($A498,Table,MATCH(J$4,Curves,0)))</f>
        <v/>
      </c>
      <c r="K498" s="201" t="str">
        <f aca="false">IF(A499="","",J498)</f>
        <v/>
      </c>
      <c r="L498" s="200" t="str">
        <f aca="false">IF($A499="","",VLOOKUP($A498,Table,MATCH(L$4,Curves,0)))</f>
        <v/>
      </c>
      <c r="M498" s="201" t="str">
        <f aca="false">IF(A499="","",L498)</f>
        <v/>
      </c>
      <c r="O498" s="200" t="str">
        <f aca="false">IF(A499="","",L498+J498+G498)</f>
        <v/>
      </c>
      <c r="P498" s="200" t="str">
        <f aca="false">IF(A499="","",M498+K498+H498)</f>
        <v/>
      </c>
      <c r="R498" s="200" t="str">
        <f aca="false">IF($A499="","",VLOOKUP($A498,Table,MATCH(R$4,Curves,0)))</f>
        <v/>
      </c>
      <c r="S498" s="201" t="str">
        <f aca="false">IF(A499="","",R498)</f>
        <v/>
      </c>
      <c r="T498" s="200" t="str">
        <f aca="false">IF($A499="","",VLOOKUP($A498,Table,MATCH(T$4,Curves,0)))</f>
        <v/>
      </c>
      <c r="U498" s="201" t="str">
        <f aca="false">IF(A499="","",T498)</f>
        <v/>
      </c>
      <c r="V498" s="225" t="str">
        <f aca="false">IF($A499="","",IF(AND(MONTH(A498)&gt;3,MONTH(A498)&lt;11),(T498+R498+G498)*(((1/(1-Summary!$T$12))/(1-Summary!$W$12))-1),(T498+R498+G498)*((1/(1-Summary!$U$12))/(1-Summary!$X$12)-1)))</f>
        <v/>
      </c>
      <c r="W498" s="200" t="str">
        <f aca="false">IF($A499="","",(T498+R498+G498+V498))</f>
        <v/>
      </c>
      <c r="X498" s="200" t="str">
        <f aca="false">IF($A499="","",(U498+S498+H498+V498))</f>
        <v/>
      </c>
      <c r="Y498" s="202"/>
      <c r="AJ498" s="77"/>
      <c r="AK498" s="77"/>
      <c r="AL498" s="77"/>
      <c r="AM498" s="77"/>
      <c r="AN498" s="77"/>
      <c r="AO498" s="137" t="str">
        <f aca="false">IF(A499="","",A499-A498)</f>
        <v/>
      </c>
      <c r="AP498" s="212" t="str">
        <f aca="false">IF(A499="","",CHOOSE(F$3,A499+24,A498))</f>
        <v/>
      </c>
      <c r="AQ498" s="209" t="str">
        <f aca="false">IF(A499="","",AP498-$E$1)</f>
        <v/>
      </c>
      <c r="AR498" s="185" t="n">
        <f aca="false">'ANR OK vs ML7'!AR498</f>
        <v>0.1</v>
      </c>
      <c r="AS498" s="213" t="str">
        <f aca="false">IF(A499="","",1/(1+CHOOSE(F$3,(AR499+($I$3/10000))/2,(AR498+($I$3/10000))/2))^(2*AQ498/365.25))</f>
        <v/>
      </c>
      <c r="AT498" s="137" t="str">
        <f aca="false">IF(A499="","",IF(AND(mthbeg&lt;=A498,mthend&gt;=A498),1,0))</f>
        <v/>
      </c>
      <c r="AU498" s="137" t="str">
        <f aca="false">IF(A499="","",AO498*AT498)</f>
        <v/>
      </c>
      <c r="AW498" s="195" t="str">
        <f aca="false">IF($A499="","",AL498*$E498)</f>
        <v/>
      </c>
      <c r="AX498" s="195" t="str">
        <f aca="false">IF($A499="","",AM498*$E498)</f>
        <v/>
      </c>
      <c r="AY498" s="195" t="str">
        <f aca="false">IF($A499="","",AN498*$E498)</f>
        <v/>
      </c>
      <c r="BA498" s="195" t="str">
        <f aca="false">IF($A499="","",F498*Summary!$Q$12)</f>
        <v/>
      </c>
    </row>
    <row r="499" customFormat="false" ht="12.75" hidden="false" customHeight="false" outlineLevel="0" collapsed="false">
      <c r="A499" s="196" t="str">
        <f aca="false">IF(A498&lt;mthend,EDATE(A498,1),"")</f>
        <v/>
      </c>
      <c r="B499" s="197" t="str">
        <f aca="false">IF(A499&lt;mthend,B498,"")</f>
        <v/>
      </c>
      <c r="D499" s="197" t="str">
        <f aca="false">IF(A500&lt;&gt;"",B499+C499,"")</f>
        <v/>
      </c>
      <c r="E499" s="199" t="str">
        <f aca="false">IF(A500="","",IF(AND(AT499=1,$H$3=1),D499*AO499,IF($H$3=2,D499,"N/A")))</f>
        <v/>
      </c>
      <c r="F499" s="199" t="str">
        <f aca="false">IF(A500="","",E499*AS499)</f>
        <v/>
      </c>
      <c r="G499" s="200" t="str">
        <f aca="false">IF($A500="","",VLOOKUP($A499,Table,MATCH(G$4,Curves,0)))</f>
        <v/>
      </c>
      <c r="H499" s="201" t="str">
        <f aca="false">IF(A500="","",G499)</f>
        <v/>
      </c>
      <c r="J499" s="200" t="str">
        <f aca="false">IF($A500="","",VLOOKUP($A499,Table,MATCH(J$4,Curves,0)))</f>
        <v/>
      </c>
      <c r="K499" s="201" t="str">
        <f aca="false">IF(A500="","",J499)</f>
        <v/>
      </c>
      <c r="L499" s="200" t="str">
        <f aca="false">IF($A500="","",VLOOKUP($A499,Table,MATCH(L$4,Curves,0)))</f>
        <v/>
      </c>
      <c r="M499" s="201" t="str">
        <f aca="false">IF(A500="","",L499)</f>
        <v/>
      </c>
      <c r="O499" s="200" t="str">
        <f aca="false">IF(A500="","",L499+J499+G499)</f>
        <v/>
      </c>
      <c r="P499" s="200" t="str">
        <f aca="false">IF(A500="","",M499+K499+H499)</f>
        <v/>
      </c>
      <c r="R499" s="200" t="str">
        <f aca="false">IF($A500="","",VLOOKUP($A499,Table,MATCH(R$4,Curves,0)))</f>
        <v/>
      </c>
      <c r="S499" s="201" t="str">
        <f aca="false">IF(A500="","",R499)</f>
        <v/>
      </c>
      <c r="T499" s="200" t="str">
        <f aca="false">IF($A500="","",VLOOKUP($A499,Table,MATCH(T$4,Curves,0)))</f>
        <v/>
      </c>
      <c r="U499" s="201" t="str">
        <f aca="false">IF(A500="","",T499)</f>
        <v/>
      </c>
      <c r="V499" s="225" t="str">
        <f aca="false">IF($A500="","",IF(AND(MONTH(A499)&gt;3,MONTH(A499)&lt;11),(T499+R499+G499)*(((1/(1-Summary!$T$12))/(1-Summary!$W$12))-1),(T499+R499+G499)*((1/(1-Summary!$U$12))/(1-Summary!$X$12)-1)))</f>
        <v/>
      </c>
      <c r="W499" s="200" t="str">
        <f aca="false">IF($A500="","",(T499+R499+G499+V499))</f>
        <v/>
      </c>
      <c r="X499" s="200" t="str">
        <f aca="false">IF($A500="","",(U499+S499+H499+V499))</f>
        <v/>
      </c>
      <c r="Y499" s="202"/>
      <c r="AJ499" s="77"/>
      <c r="AK499" s="77"/>
      <c r="AL499" s="77"/>
      <c r="AM499" s="77"/>
      <c r="AN499" s="77"/>
      <c r="AO499" s="137" t="str">
        <f aca="false">IF(A500="","",A500-A499)</f>
        <v/>
      </c>
      <c r="AP499" s="212" t="str">
        <f aca="false">IF(A500="","",CHOOSE(F$3,A500+24,A499))</f>
        <v/>
      </c>
      <c r="AQ499" s="209" t="str">
        <f aca="false">IF(A500="","",AP499-$E$1)</f>
        <v/>
      </c>
      <c r="AR499" s="185" t="n">
        <f aca="false">'ANR OK vs ML7'!AR499</f>
        <v>0.1</v>
      </c>
      <c r="AS499" s="213" t="str">
        <f aca="false">IF(A500="","",1/(1+CHOOSE(F$3,(AR500+($I$3/10000))/2,(AR499+($I$3/10000))/2))^(2*AQ499/365.25))</f>
        <v/>
      </c>
      <c r="AT499" s="137" t="str">
        <f aca="false">IF(A500="","",IF(AND(mthbeg&lt;=A499,mthend&gt;=A499),1,0))</f>
        <v/>
      </c>
      <c r="AU499" s="137" t="str">
        <f aca="false">IF(A500="","",AO499*AT499)</f>
        <v/>
      </c>
      <c r="AW499" s="195" t="str">
        <f aca="false">IF($A500="","",AL499*$E499)</f>
        <v/>
      </c>
      <c r="AX499" s="195" t="str">
        <f aca="false">IF($A500="","",AM499*$E499)</f>
        <v/>
      </c>
      <c r="AY499" s="195" t="str">
        <f aca="false">IF($A500="","",AN499*$E499)</f>
        <v/>
      </c>
      <c r="BA499" s="195" t="str">
        <f aca="false">IF($A500="","",F499*Summary!$Q$12)</f>
        <v/>
      </c>
    </row>
    <row r="500" customFormat="false" ht="12.75" hidden="false" customHeight="false" outlineLevel="0" collapsed="false">
      <c r="A500" s="196" t="str">
        <f aca="false">IF(A499&lt;mthend,EDATE(A499,1),"")</f>
        <v/>
      </c>
      <c r="B500" s="197" t="str">
        <f aca="false">IF(A500&lt;mthend,B499,"")</f>
        <v/>
      </c>
      <c r="D500" s="197"/>
      <c r="E500" s="199"/>
      <c r="F500" s="199"/>
      <c r="G500" s="200"/>
      <c r="H500" s="201"/>
      <c r="J500" s="200"/>
      <c r="K500" s="201"/>
      <c r="L500" s="200"/>
      <c r="M500" s="201"/>
      <c r="O500" s="204"/>
      <c r="P500" s="204"/>
      <c r="R500" s="200"/>
      <c r="S500" s="201"/>
      <c r="T500" s="200"/>
      <c r="U500" s="201"/>
      <c r="W500" s="202"/>
      <c r="X500" s="202"/>
      <c r="Y500" s="202"/>
      <c r="AJ500" s="77"/>
      <c r="AK500" s="77"/>
      <c r="AL500" s="77"/>
      <c r="AM500" s="77"/>
      <c r="AN500" s="77"/>
      <c r="AP500" s="212"/>
      <c r="AQ500" s="209"/>
      <c r="AR500" s="185"/>
      <c r="AS500" s="213"/>
      <c r="AW500" s="195" t="str">
        <f aca="false">IF($A501="","",AL500*$E500)</f>
        <v/>
      </c>
      <c r="AX500" s="195" t="str">
        <f aca="false">IF($A501="","",AM500*$E500)</f>
        <v/>
      </c>
      <c r="AY500" s="195" t="str">
        <f aca="false">IF($A501="","",AN500*$E500)</f>
        <v/>
      </c>
      <c r="BA500" s="195" t="str">
        <f aca="false">IF($A501="","",F500*Summary!$Q$12)</f>
        <v/>
      </c>
    </row>
    <row r="501" customFormat="false" ht="12.75" hidden="false" customHeight="false" outlineLevel="0" collapsed="false">
      <c r="A501" s="196" t="str">
        <f aca="false">IF(A500&lt;mthend,EDATE(A500,1),"")</f>
        <v/>
      </c>
      <c r="B501" s="197" t="str">
        <f aca="false">IF(A501&lt;mthend,B500,"")</f>
        <v/>
      </c>
      <c r="C501" s="21" t="n">
        <v>0</v>
      </c>
      <c r="D501" s="21" t="n">
        <v>0</v>
      </c>
      <c r="E501" s="21" t="n">
        <v>0</v>
      </c>
      <c r="F501" s="21" t="n">
        <v>0</v>
      </c>
      <c r="G501" s="21" t="n">
        <v>0</v>
      </c>
      <c r="H501" s="21" t="n">
        <v>0</v>
      </c>
      <c r="I501" s="21" t="n">
        <v>0</v>
      </c>
      <c r="J501" s="21" t="n">
        <v>0</v>
      </c>
      <c r="K501" s="21" t="n">
        <v>0</v>
      </c>
      <c r="L501" s="21" t="n">
        <v>0</v>
      </c>
      <c r="M501" s="21" t="n">
        <v>0</v>
      </c>
      <c r="N501" s="21" t="n">
        <v>0</v>
      </c>
      <c r="O501" s="21" t="n">
        <v>0</v>
      </c>
      <c r="P501" s="21" t="n">
        <v>0</v>
      </c>
      <c r="Q501" s="21" t="n">
        <v>0</v>
      </c>
      <c r="R501" s="21" t="n">
        <v>0</v>
      </c>
      <c r="S501" s="21" t="n">
        <v>0</v>
      </c>
      <c r="T501" s="21" t="n">
        <v>0</v>
      </c>
      <c r="U501" s="21" t="n">
        <v>0</v>
      </c>
      <c r="V501" s="21" t="n">
        <v>0</v>
      </c>
      <c r="W501" s="21" t="n">
        <v>0</v>
      </c>
      <c r="X501" s="21" t="n">
        <v>0</v>
      </c>
      <c r="Y501" s="21" t="n">
        <v>0</v>
      </c>
      <c r="Z501" s="21" t="n">
        <v>0</v>
      </c>
      <c r="AA501" s="21" t="n">
        <v>0</v>
      </c>
      <c r="AB501" s="21"/>
      <c r="AC501" s="21" t="n">
        <v>0</v>
      </c>
      <c r="AD501" s="21"/>
      <c r="AE501" s="21"/>
      <c r="AF501" s="21" t="n">
        <v>0</v>
      </c>
      <c r="AG501" s="21" t="n">
        <v>0</v>
      </c>
      <c r="AH501" s="21" t="n">
        <v>0</v>
      </c>
      <c r="AI501" s="21" t="n">
        <v>0</v>
      </c>
      <c r="AJ501" s="77"/>
      <c r="AK501" s="77"/>
      <c r="AL501" s="77"/>
      <c r="AM501" s="77"/>
      <c r="AN501" s="77"/>
      <c r="AO501" s="21" t="n">
        <v>0</v>
      </c>
      <c r="AP501" s="21" t="n">
        <v>0</v>
      </c>
      <c r="AQ501" s="21" t="n">
        <v>0</v>
      </c>
      <c r="AR501" s="21" t="n">
        <v>0</v>
      </c>
      <c r="AS501" s="21" t="n">
        <v>0</v>
      </c>
      <c r="AT501" s="21" t="n">
        <v>0</v>
      </c>
      <c r="AU501" s="21" t="n">
        <v>0</v>
      </c>
      <c r="AV501" s="21" t="n">
        <v>0</v>
      </c>
      <c r="AW501" s="195" t="str">
        <f aca="false">IF($A502="","",AL501*$E501)</f>
        <v/>
      </c>
      <c r="AX501" s="195" t="str">
        <f aca="false">IF($A502="","",AM501*$E501)</f>
        <v/>
      </c>
      <c r="AY501" s="195" t="str">
        <f aca="false">IF($A502="","",AN501*$E501)</f>
        <v/>
      </c>
      <c r="AZ501" s="21" t="n">
        <v>0</v>
      </c>
      <c r="BA501" s="195" t="str">
        <f aca="false">IF($A502="","",F501*Summary!$Q$12)</f>
        <v/>
      </c>
      <c r="BB501" s="21" t="n">
        <v>0</v>
      </c>
      <c r="BC501" s="21" t="n">
        <v>0</v>
      </c>
      <c r="BD501" s="21" t="n">
        <v>0</v>
      </c>
      <c r="BE501" s="21" t="n">
        <v>0</v>
      </c>
      <c r="BF501" s="21" t="n">
        <v>0</v>
      </c>
      <c r="BG501" s="21" t="n">
        <v>0</v>
      </c>
      <c r="BH501" s="21" t="n">
        <v>0</v>
      </c>
      <c r="BI501" s="21" t="n">
        <v>0</v>
      </c>
      <c r="BJ501" s="21" t="n">
        <v>0</v>
      </c>
      <c r="BK501" s="21" t="n">
        <v>0</v>
      </c>
      <c r="BL501" s="21" t="n">
        <v>0</v>
      </c>
      <c r="BM501" s="21" t="n">
        <v>0</v>
      </c>
      <c r="BN501" s="21" t="n">
        <v>0</v>
      </c>
      <c r="BO501" s="21" t="n">
        <v>0</v>
      </c>
      <c r="BP501" s="21" t="n">
        <v>0</v>
      </c>
      <c r="BQ501" s="21" t="n">
        <v>0</v>
      </c>
      <c r="BR501" s="21" t="n">
        <v>0</v>
      </c>
      <c r="BS501" s="21" t="n">
        <v>0</v>
      </c>
      <c r="BT501" s="21" t="n">
        <v>0</v>
      </c>
      <c r="BU501" s="21" t="n">
        <v>0</v>
      </c>
      <c r="BV501" s="21" t="n">
        <v>0</v>
      </c>
      <c r="BW501" s="21" t="n">
        <v>0</v>
      </c>
      <c r="BX501" s="21" t="n">
        <v>0</v>
      </c>
      <c r="BY501" s="21" t="n">
        <v>0</v>
      </c>
      <c r="BZ501" s="21" t="n">
        <v>0</v>
      </c>
      <c r="CA501" s="21" t="n">
        <v>0</v>
      </c>
      <c r="CB501" s="21" t="n">
        <v>0</v>
      </c>
      <c r="CC501" s="21" t="n">
        <v>0</v>
      </c>
      <c r="CD501" s="21" t="n">
        <v>0</v>
      </c>
      <c r="CE501" s="21" t="n">
        <v>0</v>
      </c>
      <c r="CF501" s="21" t="n">
        <v>0</v>
      </c>
      <c r="CG501" s="21" t="n">
        <v>0</v>
      </c>
      <c r="CH501" s="21" t="n">
        <v>0</v>
      </c>
      <c r="CI501" s="21" t="n">
        <v>0</v>
      </c>
      <c r="CJ501" s="21" t="n">
        <v>0</v>
      </c>
      <c r="CK501" s="21" t="n">
        <v>0</v>
      </c>
      <c r="CL501" s="21" t="n">
        <v>0</v>
      </c>
      <c r="CM501" s="21" t="n">
        <v>0</v>
      </c>
      <c r="CN501" s="21" t="n">
        <v>0</v>
      </c>
      <c r="CO501" s="21" t="n">
        <v>0</v>
      </c>
      <c r="CP501" s="21" t="n">
        <v>0</v>
      </c>
      <c r="CQ501" s="21" t="n">
        <v>0</v>
      </c>
      <c r="CR501" s="21" t="n">
        <v>0</v>
      </c>
      <c r="CS501" s="21" t="n">
        <v>0</v>
      </c>
      <c r="CT501" s="21" t="n">
        <v>0</v>
      </c>
      <c r="CU501" s="21" t="n">
        <v>0</v>
      </c>
      <c r="CV501" s="21" t="n">
        <v>0</v>
      </c>
      <c r="CW501" s="21" t="n">
        <v>0</v>
      </c>
      <c r="CX501" s="21" t="n">
        <v>0</v>
      </c>
      <c r="CY501" s="21" t="n">
        <v>0</v>
      </c>
      <c r="CZ501" s="21" t="n">
        <v>0</v>
      </c>
      <c r="DA501" s="21" t="n">
        <v>0</v>
      </c>
      <c r="DB501" s="21" t="n">
        <v>0</v>
      </c>
      <c r="DC501" s="21" t="n">
        <v>0</v>
      </c>
      <c r="DD501" s="21" t="n">
        <v>0</v>
      </c>
      <c r="DE501" s="21" t="n">
        <v>0</v>
      </c>
      <c r="DF501" s="21" t="n">
        <v>0</v>
      </c>
      <c r="DG501" s="21" t="n">
        <v>0</v>
      </c>
      <c r="DH501" s="21" t="n">
        <v>0</v>
      </c>
      <c r="DI501" s="21" t="n">
        <v>0</v>
      </c>
      <c r="DJ501" s="21" t="n">
        <v>0</v>
      </c>
      <c r="DK501" s="21" t="n">
        <v>0</v>
      </c>
      <c r="DL501" s="21" t="n">
        <v>0</v>
      </c>
      <c r="DM501" s="21" t="n">
        <v>0</v>
      </c>
      <c r="DN501" s="21" t="n">
        <v>0</v>
      </c>
      <c r="DO501" s="21" t="n">
        <v>0</v>
      </c>
      <c r="DP501" s="21" t="n">
        <v>0</v>
      </c>
      <c r="DQ501" s="21" t="n">
        <v>0</v>
      </c>
      <c r="DR501" s="21" t="n">
        <v>0</v>
      </c>
      <c r="DS501" s="21" t="n">
        <v>0</v>
      </c>
      <c r="DT501" s="21" t="n">
        <v>0</v>
      </c>
      <c r="DU501" s="21" t="n">
        <v>0</v>
      </c>
      <c r="DV501" s="21" t="n">
        <v>0</v>
      </c>
      <c r="DW501" s="21" t="n">
        <v>0</v>
      </c>
      <c r="DX501" s="21" t="n">
        <v>0</v>
      </c>
      <c r="DY501" s="21" t="n">
        <v>0</v>
      </c>
      <c r="DZ501" s="21" t="n">
        <v>0</v>
      </c>
      <c r="EA501" s="21" t="n">
        <v>0</v>
      </c>
      <c r="EB501" s="21" t="n">
        <v>0</v>
      </c>
      <c r="EC501" s="21" t="n">
        <v>0</v>
      </c>
      <c r="ED501" s="21" t="n">
        <v>0</v>
      </c>
      <c r="EE501" s="21" t="n">
        <v>0</v>
      </c>
      <c r="EF501" s="21" t="n">
        <v>0</v>
      </c>
      <c r="EG501" s="21" t="n">
        <v>0</v>
      </c>
      <c r="EH501" s="21" t="n">
        <v>0</v>
      </c>
      <c r="EI501" s="21" t="n">
        <v>0</v>
      </c>
      <c r="EJ501" s="21" t="n">
        <v>0</v>
      </c>
      <c r="EK501" s="21" t="n">
        <v>0</v>
      </c>
      <c r="EL501" s="21" t="n">
        <v>0</v>
      </c>
      <c r="EM501" s="21" t="n">
        <v>0</v>
      </c>
      <c r="EN501" s="21" t="n">
        <v>0</v>
      </c>
      <c r="EO501" s="21" t="n">
        <v>0</v>
      </c>
      <c r="EP501" s="21" t="n">
        <v>0</v>
      </c>
      <c r="EQ501" s="21" t="n">
        <v>0</v>
      </c>
      <c r="ER501" s="21" t="n">
        <v>0</v>
      </c>
      <c r="ES501" s="21" t="n">
        <v>0</v>
      </c>
      <c r="ET501" s="21" t="n">
        <v>0</v>
      </c>
      <c r="EU501" s="21" t="n">
        <v>0</v>
      </c>
      <c r="EV501" s="21" t="n">
        <v>0</v>
      </c>
      <c r="EW501" s="21" t="n">
        <v>0</v>
      </c>
      <c r="EX501" s="21" t="n">
        <v>0</v>
      </c>
      <c r="EY501" s="21" t="n">
        <v>0</v>
      </c>
      <c r="EZ501" s="21" t="n">
        <v>0</v>
      </c>
      <c r="FA501" s="21" t="n">
        <v>0</v>
      </c>
      <c r="FB501" s="21" t="n">
        <v>0</v>
      </c>
      <c r="FC501" s="21" t="n">
        <v>0</v>
      </c>
      <c r="FD501" s="21" t="n">
        <v>0</v>
      </c>
      <c r="FE501" s="21" t="n">
        <v>0</v>
      </c>
      <c r="FF501" s="21" t="n">
        <v>0</v>
      </c>
      <c r="FG501" s="21" t="n">
        <v>0</v>
      </c>
      <c r="FH501" s="21" t="n">
        <v>0</v>
      </c>
      <c r="FI501" s="21" t="n">
        <v>0</v>
      </c>
      <c r="FJ501" s="21" t="n">
        <v>0</v>
      </c>
      <c r="FK501" s="21" t="n">
        <v>0</v>
      </c>
      <c r="FL501" s="21" t="n">
        <v>0</v>
      </c>
      <c r="FM501" s="21" t="n">
        <v>0</v>
      </c>
      <c r="FN501" s="21" t="n">
        <v>0</v>
      </c>
      <c r="FO501" s="21" t="n">
        <v>0</v>
      </c>
      <c r="FP501" s="21" t="n">
        <v>0</v>
      </c>
      <c r="FQ501" s="21" t="n">
        <v>0</v>
      </c>
      <c r="FR501" s="21" t="n">
        <v>0</v>
      </c>
      <c r="FS501" s="21" t="n">
        <v>0</v>
      </c>
      <c r="FT501" s="21" t="n">
        <v>0</v>
      </c>
      <c r="FU501" s="21" t="n">
        <v>0</v>
      </c>
      <c r="FV501" s="21" t="n">
        <v>0</v>
      </c>
      <c r="FW501" s="21" t="n">
        <v>0</v>
      </c>
      <c r="FX501" s="21" t="n">
        <v>0</v>
      </c>
      <c r="FY501" s="21" t="n">
        <v>0</v>
      </c>
      <c r="FZ501" s="21" t="n">
        <v>0</v>
      </c>
      <c r="GA501" s="21" t="n">
        <v>0</v>
      </c>
      <c r="GB501" s="21" t="n">
        <v>0</v>
      </c>
      <c r="GC501" s="21" t="n">
        <v>0</v>
      </c>
      <c r="GD501" s="21" t="n">
        <v>0</v>
      </c>
      <c r="GE501" s="21" t="n">
        <v>0</v>
      </c>
      <c r="GF501" s="21" t="n">
        <v>0</v>
      </c>
      <c r="GG501" s="21" t="n">
        <v>0</v>
      </c>
      <c r="GH501" s="21" t="n">
        <v>0</v>
      </c>
      <c r="GI501" s="21" t="n">
        <v>0</v>
      </c>
      <c r="GJ501" s="21" t="n">
        <v>0</v>
      </c>
      <c r="GK501" s="21" t="n">
        <v>0</v>
      </c>
      <c r="GL501" s="21" t="n">
        <v>0</v>
      </c>
      <c r="GM501" s="21" t="n">
        <v>0</v>
      </c>
      <c r="GN501" s="21" t="n">
        <v>0</v>
      </c>
      <c r="GO501" s="21" t="n">
        <v>0</v>
      </c>
      <c r="GP501" s="21" t="n">
        <v>0</v>
      </c>
      <c r="GQ501" s="21" t="n">
        <v>0</v>
      </c>
      <c r="GR501" s="21" t="n">
        <v>0</v>
      </c>
      <c r="GS501" s="21" t="n">
        <v>0</v>
      </c>
      <c r="GT501" s="21" t="n">
        <v>0</v>
      </c>
      <c r="GU501" s="21" t="n">
        <v>0</v>
      </c>
      <c r="GV501" s="21" t="n">
        <v>0</v>
      </c>
      <c r="GW501" s="21" t="n">
        <v>0</v>
      </c>
      <c r="GX501" s="21" t="n">
        <v>0</v>
      </c>
      <c r="GY501" s="21" t="n">
        <v>0</v>
      </c>
      <c r="GZ501" s="21" t="n">
        <v>0</v>
      </c>
      <c r="HA501" s="21" t="n">
        <v>0</v>
      </c>
      <c r="HB501" s="21" t="n">
        <v>0</v>
      </c>
      <c r="HC501" s="21" t="n">
        <v>0</v>
      </c>
      <c r="HD501" s="21" t="n">
        <v>0</v>
      </c>
      <c r="HE501" s="21" t="n">
        <v>0</v>
      </c>
      <c r="HF501" s="21" t="n">
        <v>0</v>
      </c>
      <c r="HG501" s="21" t="n">
        <v>0</v>
      </c>
      <c r="HH501" s="21" t="n">
        <v>0</v>
      </c>
      <c r="HI501" s="21" t="n">
        <v>0</v>
      </c>
      <c r="HJ501" s="21" t="n">
        <v>0</v>
      </c>
      <c r="HK501" s="21" t="n">
        <v>0</v>
      </c>
      <c r="HL501" s="21" t="n">
        <v>0</v>
      </c>
      <c r="HM501" s="21" t="n">
        <v>0</v>
      </c>
      <c r="HN501" s="21" t="n">
        <v>0</v>
      </c>
      <c r="HO501" s="21" t="n">
        <v>0</v>
      </c>
      <c r="HP501" s="21" t="n">
        <v>0</v>
      </c>
      <c r="HQ501" s="21" t="n">
        <v>0</v>
      </c>
      <c r="HR501" s="21" t="n">
        <v>0</v>
      </c>
      <c r="HS501" s="21" t="n">
        <v>0</v>
      </c>
      <c r="HT501" s="21" t="n">
        <v>0</v>
      </c>
      <c r="HU501" s="21" t="n">
        <v>0</v>
      </c>
      <c r="HV501" s="21" t="n">
        <v>0</v>
      </c>
      <c r="HW501" s="21" t="n">
        <v>0</v>
      </c>
      <c r="HX501" s="21" t="n">
        <v>0</v>
      </c>
      <c r="HY501" s="21" t="n">
        <v>0</v>
      </c>
      <c r="HZ501" s="21" t="n">
        <v>0</v>
      </c>
      <c r="IA501" s="21" t="n">
        <v>0</v>
      </c>
      <c r="IB501" s="21" t="n">
        <v>0</v>
      </c>
      <c r="IC501" s="21" t="n">
        <v>0</v>
      </c>
      <c r="ID501" s="21" t="n">
        <v>0</v>
      </c>
      <c r="IE501" s="21" t="n">
        <v>0</v>
      </c>
      <c r="IF501" s="21" t="n">
        <v>0</v>
      </c>
      <c r="IG501" s="21" t="n">
        <v>0</v>
      </c>
      <c r="IH501" s="21" t="n">
        <v>0</v>
      </c>
    </row>
    <row r="502" customFormat="false" ht="12.75" hidden="false" customHeight="false" outlineLevel="0" collapsed="false">
      <c r="AJ502" s="77"/>
      <c r="AK502" s="77"/>
      <c r="AL502" s="77"/>
      <c r="AM502" s="77"/>
      <c r="AN502" s="77"/>
    </row>
    <row r="503" customFormat="false" ht="12.75" hidden="false" customHeight="false" outlineLevel="0" collapsed="false">
      <c r="AJ503" s="77"/>
      <c r="AK503" s="77"/>
      <c r="AL503" s="77"/>
      <c r="AM503" s="77"/>
      <c r="AN503" s="77"/>
    </row>
    <row r="504" customFormat="false" ht="12.75" hidden="false" customHeight="false" outlineLevel="0" collapsed="false">
      <c r="AJ504" s="77"/>
      <c r="AK504" s="77"/>
      <c r="AL504" s="77"/>
      <c r="AM504" s="77"/>
      <c r="AN504" s="77"/>
    </row>
    <row r="505" customFormat="false" ht="12.75" hidden="false" customHeight="false" outlineLevel="0" collapsed="false">
      <c r="AJ505" s="77"/>
      <c r="AK505" s="77"/>
      <c r="AL505" s="77"/>
      <c r="AM505" s="77"/>
      <c r="AN505" s="77"/>
    </row>
    <row r="506" customFormat="false" ht="12.75" hidden="false" customHeight="false" outlineLevel="0" collapsed="false">
      <c r="AJ506" s="77"/>
      <c r="AK506" s="77"/>
      <c r="AL506" s="77"/>
      <c r="AM506" s="77"/>
      <c r="AN506" s="77"/>
    </row>
    <row r="507" customFormat="false" ht="12.75" hidden="false" customHeight="false" outlineLevel="0" collapsed="false">
      <c r="AJ507" s="77"/>
      <c r="AK507" s="77"/>
      <c r="AL507" s="77"/>
      <c r="AM507" s="77"/>
      <c r="AN507" s="77"/>
    </row>
    <row r="508" customFormat="false" ht="12.75" hidden="false" customHeight="false" outlineLevel="0" collapsed="false">
      <c r="AJ508" s="77"/>
      <c r="AK508" s="77"/>
      <c r="AL508" s="77"/>
      <c r="AM508" s="77"/>
      <c r="AN508" s="77"/>
    </row>
    <row r="509" customFormat="false" ht="12.75" hidden="false" customHeight="false" outlineLevel="0" collapsed="false">
      <c r="AJ509" s="77"/>
      <c r="AK509" s="77"/>
      <c r="AL509" s="77"/>
      <c r="AM509" s="77"/>
      <c r="AN509" s="77"/>
    </row>
    <row r="510" customFormat="false" ht="12.75" hidden="false" customHeight="false" outlineLevel="0" collapsed="false">
      <c r="AJ510" s="77"/>
      <c r="AK510" s="77"/>
      <c r="AL510" s="77"/>
      <c r="AM510" s="77"/>
      <c r="AN510" s="77"/>
    </row>
    <row r="511" customFormat="false" ht="12.75" hidden="false" customHeight="false" outlineLevel="0" collapsed="false">
      <c r="AJ511" s="77"/>
      <c r="AK511" s="77"/>
      <c r="AL511" s="77"/>
      <c r="AM511" s="77"/>
      <c r="AN511" s="77"/>
    </row>
    <row r="512" customFormat="false" ht="12.75" hidden="false" customHeight="false" outlineLevel="0" collapsed="false">
      <c r="AJ512" s="77"/>
      <c r="AK512" s="77"/>
      <c r="AL512" s="77"/>
      <c r="AM512" s="77"/>
      <c r="AN512" s="77"/>
    </row>
    <row r="513" customFormat="false" ht="12.75" hidden="false" customHeight="false" outlineLevel="0" collapsed="false">
      <c r="AJ513" s="77"/>
      <c r="AK513" s="77"/>
      <c r="AL513" s="77"/>
      <c r="AM513" s="77"/>
      <c r="AN513" s="77"/>
    </row>
    <row r="514" customFormat="false" ht="12.75" hidden="false" customHeight="false" outlineLevel="0" collapsed="false">
      <c r="AJ514" s="77"/>
      <c r="AK514" s="77"/>
      <c r="AL514" s="77"/>
      <c r="AM514" s="77"/>
      <c r="AN514" s="77"/>
    </row>
    <row r="515" customFormat="false" ht="12.75" hidden="false" customHeight="false" outlineLevel="0" collapsed="false">
      <c r="AJ515" s="77"/>
      <c r="AK515" s="77"/>
      <c r="AL515" s="77"/>
      <c r="AM515" s="77"/>
      <c r="AN515" s="77"/>
    </row>
    <row r="516" customFormat="false" ht="12.75" hidden="false" customHeight="false" outlineLevel="0" collapsed="false">
      <c r="AJ516" s="77"/>
      <c r="AK516" s="77"/>
      <c r="AL516" s="77"/>
      <c r="AM516" s="77"/>
      <c r="AN516" s="77"/>
    </row>
    <row r="517" customFormat="false" ht="12.75" hidden="false" customHeight="false" outlineLevel="0" collapsed="false">
      <c r="AJ517" s="77"/>
      <c r="AK517" s="77"/>
      <c r="AL517" s="77"/>
      <c r="AM517" s="77"/>
      <c r="AN517" s="77"/>
    </row>
    <row r="518" customFormat="false" ht="12.75" hidden="false" customHeight="false" outlineLevel="0" collapsed="false">
      <c r="AJ518" s="77"/>
      <c r="AK518" s="77"/>
      <c r="AL518" s="77"/>
      <c r="AM518" s="77"/>
      <c r="AN518" s="77"/>
    </row>
    <row r="519" customFormat="false" ht="12.75" hidden="false" customHeight="false" outlineLevel="0" collapsed="false">
      <c r="AJ519" s="77"/>
      <c r="AK519" s="77"/>
      <c r="AL519" s="77"/>
      <c r="AM519" s="77"/>
      <c r="AN519" s="77"/>
    </row>
    <row r="520" customFormat="false" ht="12.75" hidden="false" customHeight="false" outlineLevel="0" collapsed="false">
      <c r="AJ520" s="77"/>
      <c r="AK520" s="77"/>
      <c r="AL520" s="77"/>
      <c r="AM520" s="77"/>
      <c r="AN520" s="77"/>
    </row>
    <row r="521" customFormat="false" ht="12.75" hidden="false" customHeight="false" outlineLevel="0" collapsed="false">
      <c r="AJ521" s="77"/>
      <c r="AK521" s="77"/>
      <c r="AL521" s="77"/>
      <c r="AM521" s="77"/>
      <c r="AN521" s="77"/>
    </row>
    <row r="522" customFormat="false" ht="12.75" hidden="false" customHeight="false" outlineLevel="0" collapsed="false">
      <c r="AJ522" s="77"/>
      <c r="AK522" s="77"/>
      <c r="AL522" s="77"/>
      <c r="AM522" s="77"/>
      <c r="AN522" s="77"/>
    </row>
    <row r="523" customFormat="false" ht="12.75" hidden="false" customHeight="false" outlineLevel="0" collapsed="false">
      <c r="AJ523" s="77"/>
      <c r="AK523" s="77"/>
      <c r="AL523" s="77"/>
      <c r="AM523" s="77"/>
      <c r="AN523" s="77"/>
    </row>
    <row r="524" customFormat="false" ht="12.75" hidden="false" customHeight="false" outlineLevel="0" collapsed="false">
      <c r="AJ524" s="77"/>
      <c r="AK524" s="77"/>
      <c r="AL524" s="77"/>
      <c r="AM524" s="77"/>
      <c r="AN524" s="77"/>
    </row>
    <row r="525" customFormat="false" ht="12.75" hidden="false" customHeight="false" outlineLevel="0" collapsed="false">
      <c r="AJ525" s="77"/>
      <c r="AK525" s="77"/>
      <c r="AL525" s="77"/>
      <c r="AM525" s="77"/>
      <c r="AN525" s="77"/>
    </row>
    <row r="526" customFormat="false" ht="12.75" hidden="false" customHeight="false" outlineLevel="0" collapsed="false">
      <c r="AJ526" s="77"/>
      <c r="AK526" s="77"/>
      <c r="AL526" s="77"/>
      <c r="AM526" s="77"/>
      <c r="AN526" s="77"/>
    </row>
    <row r="527" customFormat="false" ht="12.75" hidden="false" customHeight="false" outlineLevel="0" collapsed="false">
      <c r="AJ527" s="77"/>
      <c r="AK527" s="77"/>
      <c r="AL527" s="77"/>
      <c r="AM527" s="77"/>
      <c r="AN527" s="77"/>
    </row>
    <row r="528" customFormat="false" ht="12.75" hidden="false" customHeight="false" outlineLevel="0" collapsed="false">
      <c r="AJ528" s="77"/>
      <c r="AK528" s="77"/>
      <c r="AL528" s="77"/>
      <c r="AM528" s="77"/>
      <c r="AN528" s="77"/>
    </row>
    <row r="529" customFormat="false" ht="12.75" hidden="false" customHeight="false" outlineLevel="0" collapsed="false">
      <c r="AJ529" s="77"/>
      <c r="AK529" s="77"/>
      <c r="AL529" s="77"/>
      <c r="AM529" s="77"/>
      <c r="AN529" s="77"/>
    </row>
    <row r="530" customFormat="false" ht="12.75" hidden="false" customHeight="false" outlineLevel="0" collapsed="false">
      <c r="AJ530" s="77"/>
      <c r="AK530" s="77"/>
      <c r="AL530" s="77"/>
      <c r="AM530" s="77"/>
      <c r="AN530" s="77"/>
    </row>
    <row r="531" customFormat="false" ht="12.75" hidden="false" customHeight="false" outlineLevel="0" collapsed="false">
      <c r="AJ531" s="77"/>
      <c r="AK531" s="77"/>
      <c r="AL531" s="77"/>
      <c r="AM531" s="77"/>
      <c r="AN531" s="77"/>
    </row>
    <row r="532" customFormat="false" ht="12.75" hidden="false" customHeight="false" outlineLevel="0" collapsed="false">
      <c r="AJ532" s="77"/>
      <c r="AK532" s="77"/>
      <c r="AL532" s="77"/>
      <c r="AM532" s="77"/>
      <c r="AN532" s="77"/>
    </row>
    <row r="533" customFormat="false" ht="12.75" hidden="false" customHeight="false" outlineLevel="0" collapsed="false">
      <c r="AJ533" s="77"/>
      <c r="AK533" s="77"/>
      <c r="AL533" s="77"/>
      <c r="AM533" s="77"/>
      <c r="AN533" s="77"/>
    </row>
    <row r="534" customFormat="false" ht="12.75" hidden="false" customHeight="false" outlineLevel="0" collapsed="false">
      <c r="AJ534" s="77"/>
      <c r="AK534" s="77"/>
      <c r="AL534" s="77"/>
      <c r="AM534" s="77"/>
      <c r="AN534" s="77"/>
    </row>
    <row r="535" customFormat="false" ht="12.75" hidden="false" customHeight="false" outlineLevel="0" collapsed="false">
      <c r="AJ535" s="77"/>
      <c r="AK535" s="77"/>
      <c r="AL535" s="77"/>
      <c r="AM535" s="77"/>
      <c r="AN535" s="77"/>
    </row>
    <row r="536" customFormat="false" ht="12.75" hidden="false" customHeight="false" outlineLevel="0" collapsed="false">
      <c r="AJ536" s="77"/>
      <c r="AK536" s="77"/>
      <c r="AL536" s="77"/>
      <c r="AM536" s="77"/>
      <c r="AN536" s="77"/>
    </row>
    <row r="537" customFormat="false" ht="12.75" hidden="false" customHeight="false" outlineLevel="0" collapsed="false">
      <c r="AJ537" s="77"/>
      <c r="AK537" s="77"/>
      <c r="AL537" s="77"/>
      <c r="AM537" s="77"/>
      <c r="AN537" s="77"/>
    </row>
    <row r="538" customFormat="false" ht="12.75" hidden="false" customHeight="false" outlineLevel="0" collapsed="false">
      <c r="AJ538" s="77"/>
      <c r="AK538" s="77"/>
      <c r="AL538" s="77"/>
      <c r="AM538" s="77"/>
      <c r="AN538" s="77"/>
    </row>
    <row r="539" customFormat="false" ht="12.75" hidden="false" customHeight="false" outlineLevel="0" collapsed="false">
      <c r="AJ539" s="77"/>
      <c r="AK539" s="77"/>
      <c r="AL539" s="77"/>
      <c r="AM539" s="77"/>
      <c r="AN539" s="77"/>
    </row>
    <row r="540" customFormat="false" ht="12.75" hidden="false" customHeight="false" outlineLevel="0" collapsed="false">
      <c r="AJ540" s="77"/>
      <c r="AK540" s="77"/>
      <c r="AL540" s="77"/>
      <c r="AM540" s="77"/>
      <c r="AN540" s="77"/>
    </row>
    <row r="541" customFormat="false" ht="12.75" hidden="false" customHeight="false" outlineLevel="0" collapsed="false">
      <c r="AJ541" s="77"/>
      <c r="AK541" s="77"/>
      <c r="AL541" s="77"/>
      <c r="AM541" s="77"/>
      <c r="AN541" s="77"/>
    </row>
    <row r="542" customFormat="false" ht="12.75" hidden="false" customHeight="false" outlineLevel="0" collapsed="false">
      <c r="AJ542" s="77"/>
      <c r="AK542" s="77"/>
      <c r="AL542" s="77"/>
      <c r="AM542" s="77"/>
      <c r="AN542" s="77"/>
    </row>
    <row r="543" customFormat="false" ht="12.75" hidden="false" customHeight="false" outlineLevel="0" collapsed="false">
      <c r="AJ543" s="77"/>
      <c r="AK543" s="77"/>
      <c r="AL543" s="77"/>
      <c r="AM543" s="77"/>
      <c r="AN543" s="77"/>
    </row>
    <row r="544" customFormat="false" ht="12.75" hidden="false" customHeight="false" outlineLevel="0" collapsed="false">
      <c r="AJ544" s="77"/>
      <c r="AK544" s="77"/>
      <c r="AL544" s="77"/>
      <c r="AM544" s="77"/>
      <c r="AN544" s="77"/>
    </row>
    <row r="545" customFormat="false" ht="12.75" hidden="false" customHeight="false" outlineLevel="0" collapsed="false">
      <c r="AJ545" s="77"/>
      <c r="AK545" s="77"/>
      <c r="AL545" s="77"/>
      <c r="AM545" s="77"/>
      <c r="AN545" s="77"/>
    </row>
    <row r="546" customFormat="false" ht="12.75" hidden="false" customHeight="false" outlineLevel="0" collapsed="false">
      <c r="AJ546" s="77"/>
      <c r="AK546" s="77"/>
      <c r="AL546" s="77"/>
      <c r="AM546" s="77"/>
      <c r="AN546" s="77"/>
    </row>
    <row r="547" customFormat="false" ht="12.75" hidden="false" customHeight="false" outlineLevel="0" collapsed="false">
      <c r="AJ547" s="77"/>
      <c r="AK547" s="77"/>
      <c r="AL547" s="77"/>
      <c r="AM547" s="77"/>
      <c r="AN547" s="77"/>
    </row>
    <row r="548" customFormat="false" ht="12.75" hidden="false" customHeight="false" outlineLevel="0" collapsed="false">
      <c r="AJ548" s="77"/>
      <c r="AK548" s="77"/>
      <c r="AL548" s="77"/>
      <c r="AM548" s="77"/>
      <c r="AN548" s="77"/>
    </row>
    <row r="549" customFormat="false" ht="12.75" hidden="false" customHeight="false" outlineLevel="0" collapsed="false">
      <c r="AJ549" s="77"/>
      <c r="AK549" s="77"/>
      <c r="AL549" s="77"/>
      <c r="AM549" s="77"/>
      <c r="AN549" s="77"/>
    </row>
    <row r="550" customFormat="false" ht="12.75" hidden="false" customHeight="false" outlineLevel="0" collapsed="false">
      <c r="AJ550" s="77"/>
      <c r="AK550" s="77"/>
      <c r="AL550" s="77"/>
      <c r="AM550" s="77"/>
      <c r="AN550" s="77"/>
    </row>
    <row r="551" customFormat="false" ht="12.75" hidden="false" customHeight="false" outlineLevel="0" collapsed="false">
      <c r="AJ551" s="77"/>
      <c r="AK551" s="77"/>
      <c r="AL551" s="77"/>
      <c r="AM551" s="77"/>
      <c r="AN551" s="77"/>
    </row>
    <row r="552" customFormat="false" ht="12.75" hidden="false" customHeight="false" outlineLevel="0" collapsed="false">
      <c r="AJ552" s="77"/>
      <c r="AK552" s="77"/>
      <c r="AL552" s="77"/>
      <c r="AM552" s="77"/>
      <c r="AN552" s="77"/>
    </row>
    <row r="553" customFormat="false" ht="12.75" hidden="false" customHeight="false" outlineLevel="0" collapsed="false">
      <c r="AJ553" s="77"/>
      <c r="AK553" s="77"/>
      <c r="AL553" s="77"/>
      <c r="AM553" s="77"/>
      <c r="AN553" s="77"/>
    </row>
    <row r="554" customFormat="false" ht="12.75" hidden="false" customHeight="false" outlineLevel="0" collapsed="false">
      <c r="AJ554" s="77"/>
      <c r="AK554" s="77"/>
      <c r="AL554" s="77"/>
      <c r="AM554" s="77"/>
      <c r="AN554" s="77"/>
    </row>
    <row r="555" customFormat="false" ht="12.75" hidden="false" customHeight="false" outlineLevel="0" collapsed="false">
      <c r="AJ555" s="77"/>
      <c r="AK555" s="77"/>
      <c r="AL555" s="77"/>
      <c r="AM555" s="77"/>
      <c r="AN555" s="77"/>
    </row>
    <row r="556" customFormat="false" ht="12.75" hidden="false" customHeight="false" outlineLevel="0" collapsed="false">
      <c r="AJ556" s="77"/>
      <c r="AK556" s="77"/>
      <c r="AL556" s="77"/>
      <c r="AM556" s="77"/>
      <c r="AN556" s="77"/>
    </row>
    <row r="557" customFormat="false" ht="12.75" hidden="false" customHeight="false" outlineLevel="0" collapsed="false">
      <c r="AJ557" s="77"/>
      <c r="AK557" s="77"/>
      <c r="AL557" s="77"/>
      <c r="AM557" s="77"/>
      <c r="AN557" s="77"/>
    </row>
    <row r="558" customFormat="false" ht="12.75" hidden="false" customHeight="false" outlineLevel="0" collapsed="false">
      <c r="AJ558" s="77"/>
      <c r="AK558" s="77"/>
      <c r="AL558" s="77"/>
      <c r="AM558" s="77"/>
      <c r="AN558" s="77"/>
    </row>
    <row r="559" customFormat="false" ht="12.75" hidden="false" customHeight="false" outlineLevel="0" collapsed="false">
      <c r="AJ559" s="77"/>
      <c r="AK559" s="77"/>
      <c r="AL559" s="77"/>
      <c r="AM559" s="77"/>
      <c r="AN559" s="77"/>
    </row>
    <row r="560" customFormat="false" ht="12.75" hidden="false" customHeight="false" outlineLevel="0" collapsed="false">
      <c r="AJ560" s="77"/>
      <c r="AK560" s="77"/>
      <c r="AL560" s="77"/>
      <c r="AM560" s="77"/>
      <c r="AN560" s="77"/>
    </row>
    <row r="561" customFormat="false" ht="12.75" hidden="false" customHeight="false" outlineLevel="0" collapsed="false">
      <c r="AJ561" s="77"/>
      <c r="AK561" s="77"/>
      <c r="AL561" s="77"/>
      <c r="AM561" s="77"/>
      <c r="AN561" s="77"/>
    </row>
    <row r="562" customFormat="false" ht="12.75" hidden="false" customHeight="false" outlineLevel="0" collapsed="false">
      <c r="AJ562" s="77"/>
      <c r="AK562" s="77"/>
      <c r="AL562" s="77"/>
      <c r="AM562" s="77"/>
      <c r="AN562" s="77"/>
    </row>
    <row r="563" customFormat="false" ht="12.75" hidden="false" customHeight="false" outlineLevel="0" collapsed="false">
      <c r="AJ563" s="77"/>
      <c r="AK563" s="77"/>
      <c r="AL563" s="77"/>
      <c r="AM563" s="77"/>
      <c r="AN563" s="77"/>
    </row>
    <row r="564" customFormat="false" ht="12.75" hidden="false" customHeight="false" outlineLevel="0" collapsed="false">
      <c r="AJ564" s="77"/>
      <c r="AK564" s="77"/>
      <c r="AL564" s="77"/>
      <c r="AM564" s="77"/>
      <c r="AN564" s="77"/>
    </row>
    <row r="565" customFormat="false" ht="12.75" hidden="false" customHeight="false" outlineLevel="0" collapsed="false">
      <c r="AJ565" s="77"/>
      <c r="AK565" s="77"/>
      <c r="AL565" s="77"/>
      <c r="AM565" s="77"/>
      <c r="AN565" s="77"/>
    </row>
    <row r="566" customFormat="false" ht="12.75" hidden="false" customHeight="false" outlineLevel="0" collapsed="false">
      <c r="AJ566" s="77"/>
      <c r="AK566" s="77"/>
      <c r="AL566" s="77"/>
      <c r="AM566" s="77"/>
      <c r="AN566" s="77"/>
    </row>
    <row r="567" customFormat="false" ht="12.75" hidden="false" customHeight="false" outlineLevel="0" collapsed="false">
      <c r="AJ567" s="77"/>
      <c r="AK567" s="77"/>
      <c r="AL567" s="77"/>
      <c r="AM567" s="77"/>
      <c r="AN567" s="77"/>
    </row>
    <row r="568" customFormat="false" ht="12.75" hidden="false" customHeight="false" outlineLevel="0" collapsed="false">
      <c r="AJ568" s="77"/>
      <c r="AK568" s="77"/>
      <c r="AL568" s="77"/>
      <c r="AM568" s="77"/>
      <c r="AN568" s="77"/>
    </row>
    <row r="569" customFormat="false" ht="12.75" hidden="false" customHeight="false" outlineLevel="0" collapsed="false">
      <c r="AJ569" s="77"/>
      <c r="AK569" s="77"/>
      <c r="AL569" s="77"/>
      <c r="AM569" s="77"/>
      <c r="AN569" s="77"/>
    </row>
    <row r="570" customFormat="false" ht="12.75" hidden="false" customHeight="false" outlineLevel="0" collapsed="false">
      <c r="AJ570" s="77"/>
      <c r="AK570" s="77"/>
      <c r="AL570" s="77"/>
      <c r="AM570" s="77"/>
      <c r="AN570" s="77"/>
    </row>
    <row r="571" customFormat="false" ht="12.75" hidden="false" customHeight="false" outlineLevel="0" collapsed="false">
      <c r="AJ571" s="77"/>
      <c r="AK571" s="77"/>
      <c r="AL571" s="77"/>
      <c r="AM571" s="77"/>
      <c r="AN571" s="77"/>
    </row>
    <row r="572" customFormat="false" ht="12.75" hidden="false" customHeight="false" outlineLevel="0" collapsed="false">
      <c r="AJ572" s="77"/>
      <c r="AK572" s="77"/>
      <c r="AL572" s="77"/>
      <c r="AM572" s="77"/>
      <c r="AN572" s="77"/>
    </row>
    <row r="573" customFormat="false" ht="12.75" hidden="false" customHeight="false" outlineLevel="0" collapsed="false">
      <c r="AJ573" s="77"/>
      <c r="AK573" s="77"/>
      <c r="AL573" s="77"/>
      <c r="AM573" s="77"/>
      <c r="AN573" s="77"/>
    </row>
    <row r="574" customFormat="false" ht="12.75" hidden="false" customHeight="false" outlineLevel="0" collapsed="false">
      <c r="AJ574" s="77"/>
      <c r="AK574" s="77"/>
      <c r="AL574" s="77"/>
      <c r="AM574" s="77"/>
      <c r="AN574" s="77"/>
    </row>
    <row r="575" customFormat="false" ht="12.75" hidden="false" customHeight="false" outlineLevel="0" collapsed="false">
      <c r="AJ575" s="77"/>
      <c r="AK575" s="77"/>
      <c r="AL575" s="77"/>
      <c r="AM575" s="77"/>
      <c r="AN575" s="77"/>
    </row>
    <row r="576" customFormat="false" ht="12.75" hidden="false" customHeight="false" outlineLevel="0" collapsed="false">
      <c r="AJ576" s="77"/>
      <c r="AK576" s="77"/>
      <c r="AL576" s="77"/>
      <c r="AM576" s="77"/>
      <c r="AN576" s="77"/>
    </row>
    <row r="577" customFormat="false" ht="12.75" hidden="false" customHeight="false" outlineLevel="0" collapsed="false">
      <c r="AJ577" s="77"/>
      <c r="AK577" s="77"/>
      <c r="AL577" s="77"/>
      <c r="AM577" s="77"/>
      <c r="AN577" s="77"/>
    </row>
    <row r="578" customFormat="false" ht="12.75" hidden="false" customHeight="false" outlineLevel="0" collapsed="false">
      <c r="AJ578" s="77"/>
      <c r="AK578" s="77"/>
      <c r="AL578" s="77"/>
      <c r="AM578" s="77"/>
      <c r="AN578" s="77"/>
    </row>
    <row r="579" customFormat="false" ht="12.75" hidden="false" customHeight="false" outlineLevel="0" collapsed="false">
      <c r="AJ579" s="77"/>
      <c r="AK579" s="77"/>
      <c r="AL579" s="77"/>
      <c r="AM579" s="77"/>
      <c r="AN579" s="77"/>
    </row>
    <row r="580" customFormat="false" ht="12.75" hidden="false" customHeight="false" outlineLevel="0" collapsed="false">
      <c r="AJ580" s="77"/>
      <c r="AK580" s="77"/>
      <c r="AL580" s="77"/>
      <c r="AM580" s="77"/>
      <c r="AN580" s="77"/>
    </row>
    <row r="581" customFormat="false" ht="12.75" hidden="false" customHeight="false" outlineLevel="0" collapsed="false">
      <c r="AJ581" s="77"/>
      <c r="AK581" s="77"/>
      <c r="AL581" s="77"/>
      <c r="AM581" s="77"/>
      <c r="AN581" s="77"/>
    </row>
    <row r="582" customFormat="false" ht="12.75" hidden="false" customHeight="false" outlineLevel="0" collapsed="false">
      <c r="AJ582" s="77"/>
      <c r="AK582" s="77"/>
      <c r="AL582" s="77"/>
      <c r="AM582" s="77"/>
      <c r="AN582" s="77"/>
    </row>
    <row r="583" customFormat="false" ht="12.75" hidden="false" customHeight="false" outlineLevel="0" collapsed="false">
      <c r="AJ583" s="77"/>
      <c r="AK583" s="77"/>
      <c r="AL583" s="77"/>
      <c r="AM583" s="77"/>
      <c r="AN583" s="77"/>
    </row>
    <row r="584" customFormat="false" ht="12.75" hidden="false" customHeight="false" outlineLevel="0" collapsed="false">
      <c r="AJ584" s="77"/>
      <c r="AK584" s="77"/>
      <c r="AL584" s="77"/>
      <c r="AM584" s="77"/>
      <c r="AN584" s="77"/>
    </row>
    <row r="585" customFormat="false" ht="12.75" hidden="false" customHeight="false" outlineLevel="0" collapsed="false">
      <c r="AJ585" s="77"/>
      <c r="AK585" s="77"/>
      <c r="AL585" s="77"/>
      <c r="AM585" s="77"/>
      <c r="AN585" s="77"/>
    </row>
    <row r="586" customFormat="false" ht="12.75" hidden="false" customHeight="false" outlineLevel="0" collapsed="false">
      <c r="AJ586" s="77"/>
      <c r="AK586" s="77"/>
      <c r="AL586" s="77"/>
      <c r="AM586" s="77"/>
      <c r="AN586" s="77"/>
    </row>
    <row r="587" customFormat="false" ht="12.75" hidden="false" customHeight="false" outlineLevel="0" collapsed="false">
      <c r="AJ587" s="77"/>
      <c r="AK587" s="77"/>
      <c r="AL587" s="77"/>
      <c r="AM587" s="77"/>
      <c r="AN587" s="77"/>
    </row>
    <row r="588" customFormat="false" ht="12.75" hidden="false" customHeight="false" outlineLevel="0" collapsed="false">
      <c r="AJ588" s="77"/>
      <c r="AK588" s="77"/>
      <c r="AL588" s="77"/>
      <c r="AM588" s="77"/>
      <c r="AN588" s="77"/>
    </row>
    <row r="589" customFormat="false" ht="12.75" hidden="false" customHeight="false" outlineLevel="0" collapsed="false">
      <c r="AJ589" s="77"/>
      <c r="AK589" s="77"/>
      <c r="AL589" s="77"/>
      <c r="AM589" s="77"/>
      <c r="AN589" s="77"/>
    </row>
    <row r="590" customFormat="false" ht="12.75" hidden="false" customHeight="false" outlineLevel="0" collapsed="false">
      <c r="AJ590" s="77"/>
      <c r="AK590" s="77"/>
      <c r="AL590" s="77"/>
      <c r="AM590" s="77"/>
      <c r="AN590" s="77"/>
    </row>
    <row r="591" customFormat="false" ht="12.75" hidden="false" customHeight="false" outlineLevel="0" collapsed="false">
      <c r="AJ591" s="77"/>
      <c r="AK591" s="77"/>
      <c r="AL591" s="77"/>
      <c r="AM591" s="77"/>
      <c r="AN591" s="77"/>
    </row>
    <row r="592" customFormat="false" ht="12.75" hidden="false" customHeight="false" outlineLevel="0" collapsed="false">
      <c r="AJ592" s="77"/>
      <c r="AK592" s="77"/>
      <c r="AL592" s="77"/>
      <c r="AM592" s="77"/>
      <c r="AN592" s="77"/>
    </row>
    <row r="593" customFormat="false" ht="12.75" hidden="false" customHeight="false" outlineLevel="0" collapsed="false">
      <c r="AJ593" s="77"/>
      <c r="AK593" s="77"/>
      <c r="AL593" s="77"/>
      <c r="AM593" s="77"/>
      <c r="AN593" s="77"/>
    </row>
    <row r="594" customFormat="false" ht="12.75" hidden="false" customHeight="false" outlineLevel="0" collapsed="false">
      <c r="AJ594" s="77"/>
      <c r="AK594" s="77"/>
      <c r="AL594" s="77"/>
      <c r="AM594" s="77"/>
      <c r="AN594" s="77"/>
    </row>
    <row r="595" customFormat="false" ht="12.75" hidden="false" customHeight="false" outlineLevel="0" collapsed="false">
      <c r="AJ595" s="77"/>
      <c r="AK595" s="77"/>
      <c r="AL595" s="77"/>
      <c r="AM595" s="77"/>
      <c r="AN595" s="77"/>
    </row>
    <row r="596" customFormat="false" ht="12.75" hidden="false" customHeight="false" outlineLevel="0" collapsed="false">
      <c r="AJ596" s="77"/>
      <c r="AK596" s="77"/>
      <c r="AL596" s="77"/>
      <c r="AM596" s="77"/>
      <c r="AN596" s="77"/>
    </row>
    <row r="597" customFormat="false" ht="12.75" hidden="false" customHeight="false" outlineLevel="0" collapsed="false">
      <c r="AJ597" s="77"/>
      <c r="AK597" s="77"/>
      <c r="AL597" s="77"/>
      <c r="AM597" s="77"/>
      <c r="AN597" s="77"/>
    </row>
    <row r="598" customFormat="false" ht="12.75" hidden="false" customHeight="false" outlineLevel="0" collapsed="false">
      <c r="AJ598" s="77"/>
      <c r="AK598" s="77"/>
      <c r="AL598" s="77"/>
      <c r="AM598" s="77"/>
      <c r="AN598" s="77"/>
    </row>
    <row r="599" customFormat="false" ht="12.75" hidden="false" customHeight="false" outlineLevel="0" collapsed="false">
      <c r="AJ599" s="77"/>
      <c r="AK599" s="77"/>
      <c r="AL599" s="77"/>
      <c r="AM599" s="77"/>
      <c r="AN599" s="77"/>
    </row>
    <row r="600" customFormat="false" ht="12.75" hidden="false" customHeight="false" outlineLevel="0" collapsed="false">
      <c r="AJ600" s="77"/>
      <c r="AK600" s="77"/>
      <c r="AL600" s="77"/>
      <c r="AM600" s="77"/>
      <c r="AN600" s="77"/>
    </row>
    <row r="601" customFormat="false" ht="12.75" hidden="false" customHeight="false" outlineLevel="0" collapsed="false">
      <c r="AJ601" s="77"/>
      <c r="AK601" s="77"/>
      <c r="AL601" s="77"/>
      <c r="AM601" s="77"/>
      <c r="AN601" s="77"/>
    </row>
    <row r="602" customFormat="false" ht="12.75" hidden="false" customHeight="false" outlineLevel="0" collapsed="false">
      <c r="AJ602" s="77"/>
      <c r="AK602" s="77"/>
      <c r="AL602" s="77"/>
      <c r="AM602" s="77"/>
      <c r="AN602" s="77"/>
    </row>
    <row r="603" customFormat="false" ht="12.75" hidden="false" customHeight="false" outlineLevel="0" collapsed="false">
      <c r="AJ603" s="77"/>
      <c r="AK603" s="77"/>
      <c r="AL603" s="77"/>
      <c r="AM603" s="77"/>
      <c r="AN603" s="77"/>
    </row>
    <row r="604" customFormat="false" ht="12.75" hidden="false" customHeight="false" outlineLevel="0" collapsed="false">
      <c r="AJ604" s="77"/>
      <c r="AK604" s="77"/>
      <c r="AL604" s="77"/>
      <c r="AM604" s="77"/>
      <c r="AN604" s="77"/>
    </row>
    <row r="605" customFormat="false" ht="12.75" hidden="false" customHeight="false" outlineLevel="0" collapsed="false">
      <c r="AJ605" s="77"/>
      <c r="AK605" s="77"/>
      <c r="AL605" s="77"/>
      <c r="AM605" s="77"/>
      <c r="AN605" s="77"/>
    </row>
    <row r="606" customFormat="false" ht="12.75" hidden="false" customHeight="false" outlineLevel="0" collapsed="false">
      <c r="AJ606" s="77"/>
      <c r="AK606" s="77"/>
      <c r="AL606" s="77"/>
      <c r="AM606" s="77"/>
      <c r="AN606" s="77"/>
    </row>
    <row r="607" customFormat="false" ht="12.75" hidden="false" customHeight="false" outlineLevel="0" collapsed="false">
      <c r="AJ607" s="77"/>
      <c r="AK607" s="77"/>
      <c r="AL607" s="77"/>
      <c r="AM607" s="77"/>
      <c r="AN607" s="77"/>
    </row>
    <row r="608" customFormat="false" ht="12.75" hidden="false" customHeight="false" outlineLevel="0" collapsed="false">
      <c r="AJ608" s="77"/>
      <c r="AK608" s="77"/>
      <c r="AL608" s="77"/>
      <c r="AM608" s="77"/>
      <c r="AN608" s="77"/>
    </row>
    <row r="609" customFormat="false" ht="12.75" hidden="false" customHeight="false" outlineLevel="0" collapsed="false">
      <c r="AJ609" s="77"/>
      <c r="AK609" s="77"/>
      <c r="AL609" s="77"/>
      <c r="AM609" s="77"/>
      <c r="AN609" s="77"/>
    </row>
    <row r="610" customFormat="false" ht="12.75" hidden="false" customHeight="false" outlineLevel="0" collapsed="false">
      <c r="AJ610" s="77"/>
      <c r="AK610" s="77"/>
      <c r="AL610" s="77"/>
      <c r="AM610" s="77"/>
      <c r="AN610" s="77"/>
    </row>
    <row r="611" customFormat="false" ht="12.75" hidden="false" customHeight="false" outlineLevel="0" collapsed="false">
      <c r="AJ611" s="77"/>
      <c r="AK611" s="77"/>
      <c r="AL611" s="77"/>
      <c r="AM611" s="77"/>
      <c r="AN611" s="77"/>
    </row>
    <row r="612" customFormat="false" ht="12.75" hidden="false" customHeight="false" outlineLevel="0" collapsed="false">
      <c r="AJ612" s="77"/>
      <c r="AK612" s="77"/>
      <c r="AL612" s="77"/>
      <c r="AM612" s="77"/>
      <c r="AN612" s="77"/>
    </row>
    <row r="613" customFormat="false" ht="12.75" hidden="false" customHeight="false" outlineLevel="0" collapsed="false">
      <c r="AJ613" s="77"/>
      <c r="AK613" s="77"/>
      <c r="AL613" s="77"/>
      <c r="AM613" s="77"/>
      <c r="AN613" s="77"/>
    </row>
    <row r="614" customFormat="false" ht="12.75" hidden="false" customHeight="false" outlineLevel="0" collapsed="false">
      <c r="AJ614" s="77"/>
      <c r="AK614" s="77"/>
      <c r="AL614" s="77"/>
      <c r="AM614" s="77"/>
      <c r="AN614" s="77"/>
    </row>
    <row r="615" customFormat="false" ht="12.75" hidden="false" customHeight="false" outlineLevel="0" collapsed="false">
      <c r="AJ615" s="77"/>
      <c r="AK615" s="77"/>
      <c r="AL615" s="77"/>
      <c r="AM615" s="77"/>
      <c r="AN615" s="77"/>
    </row>
    <row r="616" customFormat="false" ht="12.75" hidden="false" customHeight="false" outlineLevel="0" collapsed="false">
      <c r="AJ616" s="77"/>
      <c r="AK616" s="77"/>
      <c r="AL616" s="77"/>
      <c r="AM616" s="77"/>
      <c r="AN616" s="77"/>
    </row>
    <row r="617" customFormat="false" ht="12.75" hidden="false" customHeight="false" outlineLevel="0" collapsed="false">
      <c r="AJ617" s="77"/>
      <c r="AK617" s="77"/>
      <c r="AL617" s="77"/>
      <c r="AM617" s="77"/>
      <c r="AN617" s="77"/>
    </row>
    <row r="618" customFormat="false" ht="12.75" hidden="false" customHeight="false" outlineLevel="0" collapsed="false">
      <c r="AJ618" s="77"/>
      <c r="AK618" s="77"/>
      <c r="AL618" s="77"/>
      <c r="AM618" s="77"/>
      <c r="AN618" s="77"/>
    </row>
    <row r="619" customFormat="false" ht="12.75" hidden="false" customHeight="false" outlineLevel="0" collapsed="false">
      <c r="AJ619" s="77"/>
      <c r="AK619" s="77"/>
      <c r="AL619" s="77"/>
      <c r="AM619" s="77"/>
      <c r="AN619" s="77"/>
    </row>
    <row r="620" customFormat="false" ht="12.75" hidden="false" customHeight="false" outlineLevel="0" collapsed="false">
      <c r="AJ620" s="77"/>
      <c r="AK620" s="77"/>
      <c r="AL620" s="77"/>
      <c r="AM620" s="77"/>
      <c r="AN620" s="77"/>
    </row>
    <row r="621" customFormat="false" ht="12.75" hidden="false" customHeight="false" outlineLevel="0" collapsed="false">
      <c r="AJ621" s="77"/>
      <c r="AK621" s="77"/>
      <c r="AL621" s="77"/>
      <c r="AM621" s="77"/>
      <c r="AN621" s="77"/>
    </row>
    <row r="622" customFormat="false" ht="12.75" hidden="false" customHeight="false" outlineLevel="0" collapsed="false">
      <c r="AJ622" s="77"/>
      <c r="AK622" s="77"/>
      <c r="AL622" s="77"/>
      <c r="AM622" s="77"/>
      <c r="AN622" s="77"/>
    </row>
    <row r="623" customFormat="false" ht="12.75" hidden="false" customHeight="false" outlineLevel="0" collapsed="false">
      <c r="AJ623" s="77"/>
      <c r="AK623" s="77"/>
      <c r="AL623" s="77"/>
      <c r="AM623" s="77"/>
      <c r="AN623" s="77"/>
    </row>
    <row r="624" customFormat="false" ht="12.75" hidden="false" customHeight="false" outlineLevel="0" collapsed="false">
      <c r="AJ624" s="77"/>
      <c r="AK624" s="77"/>
      <c r="AL624" s="77"/>
      <c r="AM624" s="77"/>
      <c r="AN624" s="77"/>
    </row>
    <row r="625" customFormat="false" ht="12.75" hidden="false" customHeight="false" outlineLevel="0" collapsed="false">
      <c r="AJ625" s="77"/>
      <c r="AK625" s="77"/>
      <c r="AL625" s="77"/>
      <c r="AM625" s="77"/>
      <c r="AN625" s="77"/>
    </row>
    <row r="626" customFormat="false" ht="12.75" hidden="false" customHeight="false" outlineLevel="0" collapsed="false">
      <c r="AJ626" s="77"/>
      <c r="AK626" s="77"/>
      <c r="AL626" s="77"/>
      <c r="AM626" s="77"/>
      <c r="AN626" s="77"/>
    </row>
    <row r="627" customFormat="false" ht="12.75" hidden="false" customHeight="false" outlineLevel="0" collapsed="false">
      <c r="AJ627" s="77"/>
      <c r="AK627" s="77"/>
      <c r="AL627" s="77"/>
      <c r="AM627" s="77"/>
      <c r="AN627" s="77"/>
    </row>
    <row r="628" customFormat="false" ht="12.75" hidden="false" customHeight="false" outlineLevel="0" collapsed="false">
      <c r="AJ628" s="77"/>
      <c r="AK628" s="77"/>
      <c r="AL628" s="77"/>
      <c r="AM628" s="77"/>
      <c r="AN628" s="77"/>
    </row>
    <row r="629" customFormat="false" ht="12.75" hidden="false" customHeight="false" outlineLevel="0" collapsed="false">
      <c r="AJ629" s="77"/>
      <c r="AK629" s="77"/>
      <c r="AL629" s="77"/>
      <c r="AM629" s="77"/>
      <c r="AN629" s="77"/>
    </row>
    <row r="630" customFormat="false" ht="12.75" hidden="false" customHeight="false" outlineLevel="0" collapsed="false">
      <c r="AJ630" s="77"/>
      <c r="AK630" s="77"/>
      <c r="AL630" s="77"/>
      <c r="AM630" s="77"/>
      <c r="AN630" s="77"/>
    </row>
    <row r="631" customFormat="false" ht="12.75" hidden="false" customHeight="false" outlineLevel="0" collapsed="false">
      <c r="AJ631" s="77"/>
      <c r="AK631" s="77"/>
      <c r="AL631" s="77"/>
      <c r="AM631" s="77"/>
      <c r="AN631" s="77"/>
    </row>
    <row r="632" customFormat="false" ht="12.75" hidden="false" customHeight="false" outlineLevel="0" collapsed="false">
      <c r="AJ632" s="77"/>
      <c r="AK632" s="77"/>
      <c r="AL632" s="77"/>
      <c r="AM632" s="77"/>
      <c r="AN632" s="77"/>
    </row>
    <row r="633" customFormat="false" ht="12.75" hidden="false" customHeight="false" outlineLevel="0" collapsed="false">
      <c r="AJ633" s="77"/>
      <c r="AK633" s="77"/>
      <c r="AL633" s="77"/>
      <c r="AM633" s="77"/>
      <c r="AN633" s="77"/>
    </row>
    <row r="634" customFormat="false" ht="12.75" hidden="false" customHeight="false" outlineLevel="0" collapsed="false">
      <c r="AJ634" s="77"/>
      <c r="AK634" s="77"/>
      <c r="AL634" s="77"/>
      <c r="AM634" s="77"/>
      <c r="AN634" s="77"/>
    </row>
    <row r="635" customFormat="false" ht="12.75" hidden="false" customHeight="false" outlineLevel="0" collapsed="false">
      <c r="AJ635" s="77"/>
      <c r="AK635" s="77"/>
      <c r="AL635" s="77"/>
      <c r="AM635" s="77"/>
      <c r="AN635" s="77"/>
    </row>
    <row r="636" customFormat="false" ht="12.75" hidden="false" customHeight="false" outlineLevel="0" collapsed="false">
      <c r="AJ636" s="77"/>
      <c r="AK636" s="77"/>
      <c r="AL636" s="77"/>
      <c r="AM636" s="77"/>
      <c r="AN636" s="77"/>
    </row>
    <row r="637" customFormat="false" ht="12.75" hidden="false" customHeight="false" outlineLevel="0" collapsed="false">
      <c r="AJ637" s="77"/>
      <c r="AK637" s="77"/>
      <c r="AL637" s="77"/>
      <c r="AM637" s="77"/>
      <c r="AN637" s="77"/>
    </row>
    <row r="638" customFormat="false" ht="12.75" hidden="false" customHeight="false" outlineLevel="0" collapsed="false">
      <c r="AJ638" s="77"/>
      <c r="AK638" s="77"/>
      <c r="AL638" s="77"/>
      <c r="AM638" s="77"/>
      <c r="AN638" s="77"/>
    </row>
    <row r="639" customFormat="false" ht="12.75" hidden="false" customHeight="false" outlineLevel="0" collapsed="false">
      <c r="AJ639" s="77"/>
      <c r="AK639" s="77"/>
      <c r="AL639" s="77"/>
      <c r="AM639" s="77"/>
      <c r="AN639" s="77"/>
    </row>
    <row r="640" customFormat="false" ht="12.75" hidden="false" customHeight="false" outlineLevel="0" collapsed="false">
      <c r="AJ640" s="77"/>
      <c r="AK640" s="77"/>
      <c r="AL640" s="77"/>
      <c r="AM640" s="77"/>
      <c r="AN640" s="77"/>
    </row>
    <row r="641" customFormat="false" ht="12.75" hidden="false" customHeight="false" outlineLevel="0" collapsed="false">
      <c r="AJ641" s="77"/>
      <c r="AK641" s="77"/>
      <c r="AL641" s="77"/>
      <c r="AM641" s="77"/>
      <c r="AN641" s="77"/>
    </row>
    <row r="642" customFormat="false" ht="12.75" hidden="false" customHeight="false" outlineLevel="0" collapsed="false">
      <c r="AJ642" s="77"/>
      <c r="AK642" s="77"/>
      <c r="AL642" s="77"/>
      <c r="AM642" s="77"/>
      <c r="AN642" s="77"/>
    </row>
    <row r="643" customFormat="false" ht="12.75" hidden="false" customHeight="false" outlineLevel="0" collapsed="false">
      <c r="AJ643" s="77"/>
      <c r="AK643" s="77"/>
      <c r="AL643" s="77"/>
      <c r="AM643" s="77"/>
      <c r="AN643" s="77"/>
    </row>
    <row r="644" customFormat="false" ht="12.75" hidden="false" customHeight="false" outlineLevel="0" collapsed="false">
      <c r="AJ644" s="77"/>
      <c r="AK644" s="77"/>
      <c r="AL644" s="77"/>
      <c r="AM644" s="77"/>
      <c r="AN644" s="77"/>
    </row>
    <row r="645" customFormat="false" ht="12.75" hidden="false" customHeight="false" outlineLevel="0" collapsed="false">
      <c r="AJ645" s="77"/>
      <c r="AK645" s="77"/>
      <c r="AL645" s="77"/>
      <c r="AM645" s="77"/>
      <c r="AN645" s="77"/>
    </row>
    <row r="646" customFormat="false" ht="12.75" hidden="false" customHeight="false" outlineLevel="0" collapsed="false">
      <c r="AJ646" s="77"/>
      <c r="AK646" s="77"/>
      <c r="AL646" s="77"/>
      <c r="AM646" s="77"/>
      <c r="AN646" s="77"/>
    </row>
    <row r="647" customFormat="false" ht="12.75" hidden="false" customHeight="false" outlineLevel="0" collapsed="false">
      <c r="AJ647" s="77"/>
      <c r="AK647" s="77"/>
      <c r="AL647" s="77"/>
      <c r="AM647" s="77"/>
      <c r="AN647" s="77"/>
    </row>
    <row r="648" customFormat="false" ht="12.75" hidden="false" customHeight="false" outlineLevel="0" collapsed="false">
      <c r="AJ648" s="77"/>
      <c r="AK648" s="77"/>
      <c r="AL648" s="77"/>
      <c r="AM648" s="77"/>
      <c r="AN648" s="77"/>
    </row>
    <row r="649" customFormat="false" ht="12.75" hidden="false" customHeight="false" outlineLevel="0" collapsed="false">
      <c r="AJ649" s="77"/>
      <c r="AK649" s="77"/>
      <c r="AL649" s="77"/>
      <c r="AM649" s="77"/>
      <c r="AN649" s="77"/>
    </row>
    <row r="650" customFormat="false" ht="12.75" hidden="false" customHeight="false" outlineLevel="0" collapsed="false">
      <c r="AJ650" s="77"/>
      <c r="AK650" s="77"/>
      <c r="AL650" s="77"/>
      <c r="AM650" s="77"/>
      <c r="AN650" s="77"/>
    </row>
    <row r="651" customFormat="false" ht="12.75" hidden="false" customHeight="false" outlineLevel="0" collapsed="false">
      <c r="AJ651" s="77"/>
      <c r="AK651" s="77"/>
      <c r="AL651" s="77"/>
      <c r="AM651" s="77"/>
      <c r="AN651" s="77"/>
    </row>
    <row r="652" customFormat="false" ht="12.75" hidden="false" customHeight="false" outlineLevel="0" collapsed="false">
      <c r="AJ652" s="77"/>
      <c r="AK652" s="77"/>
      <c r="AL652" s="77"/>
      <c r="AM652" s="77"/>
      <c r="AN652" s="77"/>
    </row>
    <row r="653" customFormat="false" ht="12.75" hidden="false" customHeight="false" outlineLevel="0" collapsed="false">
      <c r="AJ653" s="77"/>
      <c r="AK653" s="77"/>
      <c r="AL653" s="77"/>
      <c r="AM653" s="77"/>
      <c r="AN653" s="77"/>
    </row>
    <row r="654" customFormat="false" ht="12.75" hidden="false" customHeight="false" outlineLevel="0" collapsed="false">
      <c r="AJ654" s="77"/>
      <c r="AK654" s="77"/>
      <c r="AL654" s="77"/>
      <c r="AM654" s="77"/>
      <c r="AN654" s="77"/>
    </row>
    <row r="655" customFormat="false" ht="12.75" hidden="false" customHeight="false" outlineLevel="0" collapsed="false">
      <c r="AJ655" s="77"/>
      <c r="AK655" s="77"/>
      <c r="AL655" s="77"/>
      <c r="AM655" s="77"/>
      <c r="AN655" s="77"/>
    </row>
    <row r="656" customFormat="false" ht="12.75" hidden="false" customHeight="false" outlineLevel="0" collapsed="false">
      <c r="AJ656" s="77"/>
      <c r="AK656" s="77"/>
      <c r="AL656" s="77"/>
      <c r="AM656" s="77"/>
      <c r="AN656" s="77"/>
    </row>
    <row r="657" customFormat="false" ht="12.75" hidden="false" customHeight="false" outlineLevel="0" collapsed="false">
      <c r="AJ657" s="77"/>
      <c r="AK657" s="77"/>
      <c r="AL657" s="77"/>
      <c r="AM657" s="77"/>
      <c r="AN657" s="77"/>
    </row>
    <row r="658" customFormat="false" ht="12.75" hidden="false" customHeight="false" outlineLevel="0" collapsed="false">
      <c r="AJ658" s="77"/>
      <c r="AK658" s="77"/>
      <c r="AL658" s="77"/>
      <c r="AM658" s="77"/>
      <c r="AN658" s="77"/>
    </row>
    <row r="659" customFormat="false" ht="12.75" hidden="false" customHeight="false" outlineLevel="0" collapsed="false">
      <c r="AJ659" s="77"/>
      <c r="AK659" s="77"/>
      <c r="AL659" s="77"/>
      <c r="AM659" s="77"/>
      <c r="AN659" s="77"/>
    </row>
    <row r="660" customFormat="false" ht="12.75" hidden="false" customHeight="false" outlineLevel="0" collapsed="false">
      <c r="AJ660" s="77"/>
      <c r="AK660" s="77"/>
      <c r="AL660" s="77"/>
      <c r="AM660" s="77"/>
      <c r="AN660" s="77"/>
    </row>
    <row r="661" customFormat="false" ht="12.75" hidden="false" customHeight="false" outlineLevel="0" collapsed="false">
      <c r="AJ661" s="77"/>
      <c r="AK661" s="77"/>
      <c r="AL661" s="77"/>
      <c r="AM661" s="77"/>
      <c r="AN661" s="77"/>
    </row>
    <row r="662" customFormat="false" ht="12.75" hidden="false" customHeight="false" outlineLevel="0" collapsed="false">
      <c r="AJ662" s="77"/>
      <c r="AK662" s="77"/>
      <c r="AL662" s="77"/>
      <c r="AM662" s="77"/>
      <c r="AN662" s="77"/>
    </row>
    <row r="663" customFormat="false" ht="12.75" hidden="false" customHeight="false" outlineLevel="0" collapsed="false">
      <c r="AJ663" s="77"/>
      <c r="AK663" s="77"/>
      <c r="AL663" s="77"/>
      <c r="AM663" s="77"/>
      <c r="AN663" s="77"/>
    </row>
    <row r="664" customFormat="false" ht="12.75" hidden="false" customHeight="false" outlineLevel="0" collapsed="false">
      <c r="AJ664" s="77"/>
      <c r="AK664" s="77"/>
      <c r="AL664" s="77"/>
      <c r="AM664" s="77"/>
      <c r="AN664" s="77"/>
    </row>
    <row r="665" customFormat="false" ht="12.75" hidden="false" customHeight="false" outlineLevel="0" collapsed="false">
      <c r="AJ665" s="77"/>
      <c r="AK665" s="77"/>
      <c r="AL665" s="77"/>
      <c r="AM665" s="77"/>
      <c r="AN665" s="77"/>
    </row>
    <row r="666" customFormat="false" ht="12.75" hidden="false" customHeight="false" outlineLevel="0" collapsed="false">
      <c r="AJ666" s="77"/>
      <c r="AK666" s="77"/>
      <c r="AL666" s="77"/>
      <c r="AM666" s="77"/>
      <c r="AN666" s="77"/>
    </row>
    <row r="667" customFormat="false" ht="12.75" hidden="false" customHeight="false" outlineLevel="0" collapsed="false">
      <c r="AJ667" s="77"/>
      <c r="AK667" s="77"/>
      <c r="AL667" s="77"/>
      <c r="AM667" s="77"/>
      <c r="AN667" s="77"/>
    </row>
    <row r="668" customFormat="false" ht="12.75" hidden="false" customHeight="false" outlineLevel="0" collapsed="false">
      <c r="AJ668" s="77"/>
      <c r="AK668" s="77"/>
      <c r="AL668" s="77"/>
      <c r="AM668" s="77"/>
      <c r="AN668" s="77"/>
    </row>
    <row r="669" customFormat="false" ht="12.75" hidden="false" customHeight="false" outlineLevel="0" collapsed="false">
      <c r="AJ669" s="77"/>
      <c r="AK669" s="77"/>
      <c r="AL669" s="77"/>
      <c r="AM669" s="77"/>
      <c r="AN669" s="77"/>
    </row>
    <row r="670" customFormat="false" ht="12.75" hidden="false" customHeight="false" outlineLevel="0" collapsed="false">
      <c r="AJ670" s="77"/>
      <c r="AK670" s="77"/>
      <c r="AL670" s="77"/>
      <c r="AM670" s="77"/>
      <c r="AN670" s="77"/>
    </row>
    <row r="671" customFormat="false" ht="12.75" hidden="false" customHeight="false" outlineLevel="0" collapsed="false">
      <c r="AJ671" s="77"/>
      <c r="AK671" s="77"/>
      <c r="AL671" s="77"/>
      <c r="AM671" s="77"/>
      <c r="AN671" s="77"/>
    </row>
    <row r="672" customFormat="false" ht="12.75" hidden="false" customHeight="false" outlineLevel="0" collapsed="false">
      <c r="AJ672" s="77"/>
      <c r="AK672" s="77"/>
      <c r="AL672" s="77"/>
      <c r="AM672" s="77"/>
      <c r="AN672" s="77"/>
    </row>
    <row r="673" customFormat="false" ht="12.75" hidden="false" customHeight="false" outlineLevel="0" collapsed="false">
      <c r="AJ673" s="77"/>
      <c r="AK673" s="77"/>
      <c r="AL673" s="77"/>
      <c r="AM673" s="77"/>
      <c r="AN673" s="77"/>
    </row>
    <row r="674" customFormat="false" ht="12.75" hidden="false" customHeight="false" outlineLevel="0" collapsed="false">
      <c r="AJ674" s="77"/>
      <c r="AK674" s="77"/>
      <c r="AL674" s="77"/>
      <c r="AM674" s="77"/>
      <c r="AN674" s="77"/>
    </row>
    <row r="675" customFormat="false" ht="12.75" hidden="false" customHeight="false" outlineLevel="0" collapsed="false">
      <c r="AJ675" s="77"/>
      <c r="AK675" s="77"/>
      <c r="AL675" s="77"/>
      <c r="AM675" s="77"/>
      <c r="AN675" s="77"/>
    </row>
    <row r="676" customFormat="false" ht="12.75" hidden="false" customHeight="false" outlineLevel="0" collapsed="false">
      <c r="AJ676" s="77"/>
      <c r="AK676" s="77"/>
      <c r="AL676" s="77"/>
      <c r="AM676" s="77"/>
      <c r="AN676" s="77"/>
    </row>
    <row r="677" customFormat="false" ht="12.75" hidden="false" customHeight="false" outlineLevel="0" collapsed="false">
      <c r="AJ677" s="77"/>
      <c r="AK677" s="77"/>
      <c r="AL677" s="77"/>
      <c r="AM677" s="77"/>
      <c r="AN677" s="77"/>
    </row>
    <row r="678" customFormat="false" ht="12.75" hidden="false" customHeight="false" outlineLevel="0" collapsed="false">
      <c r="AJ678" s="77"/>
      <c r="AK678" s="77"/>
      <c r="AL678" s="77"/>
      <c r="AM678" s="77"/>
      <c r="AN678" s="77"/>
    </row>
    <row r="679" customFormat="false" ht="12.75" hidden="false" customHeight="false" outlineLevel="0" collapsed="false">
      <c r="AJ679" s="77"/>
      <c r="AK679" s="77"/>
      <c r="AL679" s="77"/>
      <c r="AM679" s="77"/>
      <c r="AN679" s="77"/>
    </row>
    <row r="680" customFormat="false" ht="12.75" hidden="false" customHeight="false" outlineLevel="0" collapsed="false">
      <c r="AJ680" s="77"/>
      <c r="AK680" s="77"/>
      <c r="AL680" s="77"/>
      <c r="AM680" s="77"/>
      <c r="AN680" s="77"/>
    </row>
    <row r="681" customFormat="false" ht="12.75" hidden="false" customHeight="false" outlineLevel="0" collapsed="false">
      <c r="AJ681" s="77"/>
      <c r="AK681" s="77"/>
      <c r="AL681" s="77"/>
      <c r="AM681" s="77"/>
      <c r="AN681" s="77"/>
    </row>
    <row r="682" customFormat="false" ht="12.75" hidden="false" customHeight="false" outlineLevel="0" collapsed="false">
      <c r="AJ682" s="77"/>
      <c r="AK682" s="77"/>
      <c r="AL682" s="77"/>
      <c r="AM682" s="77"/>
      <c r="AN682" s="77"/>
    </row>
    <row r="683" customFormat="false" ht="12.75" hidden="false" customHeight="false" outlineLevel="0" collapsed="false">
      <c r="AJ683" s="77"/>
      <c r="AK683" s="77"/>
      <c r="AL683" s="77"/>
      <c r="AM683" s="77"/>
      <c r="AN683" s="77"/>
    </row>
    <row r="684" customFormat="false" ht="12.75" hidden="false" customHeight="false" outlineLevel="0" collapsed="false">
      <c r="AJ684" s="77"/>
      <c r="AK684" s="77"/>
      <c r="AL684" s="77"/>
      <c r="AM684" s="77"/>
      <c r="AN684" s="77"/>
    </row>
    <row r="685" customFormat="false" ht="12.75" hidden="false" customHeight="false" outlineLevel="0" collapsed="false">
      <c r="AJ685" s="77"/>
      <c r="AK685" s="77"/>
      <c r="AL685" s="77"/>
      <c r="AM685" s="77"/>
      <c r="AN685" s="77"/>
    </row>
    <row r="686" customFormat="false" ht="12.75" hidden="false" customHeight="false" outlineLevel="0" collapsed="false">
      <c r="AJ686" s="77"/>
      <c r="AK686" s="77"/>
      <c r="AL686" s="77"/>
      <c r="AM686" s="77"/>
      <c r="AN686" s="77"/>
    </row>
    <row r="687" customFormat="false" ht="12.75" hidden="false" customHeight="false" outlineLevel="0" collapsed="false">
      <c r="AJ687" s="77"/>
      <c r="AK687" s="77"/>
      <c r="AL687" s="77"/>
      <c r="AM687" s="77"/>
      <c r="AN687" s="77"/>
    </row>
    <row r="688" customFormat="false" ht="12.75" hidden="false" customHeight="false" outlineLevel="0" collapsed="false">
      <c r="AJ688" s="77"/>
      <c r="AK688" s="77"/>
      <c r="AL688" s="77"/>
      <c r="AM688" s="77"/>
      <c r="AN688" s="77"/>
    </row>
    <row r="689" customFormat="false" ht="12.75" hidden="false" customHeight="false" outlineLevel="0" collapsed="false">
      <c r="AJ689" s="77"/>
      <c r="AK689" s="77"/>
      <c r="AL689" s="77"/>
      <c r="AM689" s="77"/>
      <c r="AN689" s="77"/>
    </row>
    <row r="690" customFormat="false" ht="12.75" hidden="false" customHeight="false" outlineLevel="0" collapsed="false">
      <c r="AJ690" s="77"/>
      <c r="AK690" s="77"/>
      <c r="AL690" s="77"/>
      <c r="AM690" s="77"/>
      <c r="AN690" s="77"/>
    </row>
    <row r="691" customFormat="false" ht="12.75" hidden="false" customHeight="false" outlineLevel="0" collapsed="false">
      <c r="AJ691" s="77"/>
      <c r="AK691" s="77"/>
      <c r="AL691" s="77"/>
      <c r="AM691" s="77"/>
      <c r="AN691" s="77"/>
    </row>
    <row r="692" customFormat="false" ht="12.75" hidden="false" customHeight="false" outlineLevel="0" collapsed="false">
      <c r="AJ692" s="77"/>
      <c r="AK692" s="77"/>
      <c r="AL692" s="77"/>
      <c r="AM692" s="77"/>
      <c r="AN692" s="77"/>
    </row>
    <row r="693" customFormat="false" ht="12.75" hidden="false" customHeight="false" outlineLevel="0" collapsed="false">
      <c r="AJ693" s="77"/>
      <c r="AK693" s="77"/>
      <c r="AL693" s="77"/>
      <c r="AM693" s="77"/>
      <c r="AN693" s="77"/>
    </row>
    <row r="694" customFormat="false" ht="12.75" hidden="false" customHeight="false" outlineLevel="0" collapsed="false">
      <c r="AJ694" s="77"/>
      <c r="AK694" s="77"/>
      <c r="AL694" s="77"/>
      <c r="AM694" s="77"/>
      <c r="AN694" s="77"/>
    </row>
    <row r="695" customFormat="false" ht="12.75" hidden="false" customHeight="false" outlineLevel="0" collapsed="false">
      <c r="AJ695" s="77"/>
      <c r="AK695" s="77"/>
      <c r="AL695" s="77"/>
      <c r="AM695" s="77"/>
      <c r="AN695" s="77"/>
    </row>
    <row r="696" customFormat="false" ht="12.75" hidden="false" customHeight="false" outlineLevel="0" collapsed="false">
      <c r="AJ696" s="77"/>
      <c r="AK696" s="77"/>
      <c r="AL696" s="77"/>
      <c r="AM696" s="77"/>
      <c r="AN696" s="77"/>
    </row>
    <row r="697" customFormat="false" ht="12.75" hidden="false" customHeight="false" outlineLevel="0" collapsed="false">
      <c r="AJ697" s="77"/>
      <c r="AK697" s="77"/>
      <c r="AL697" s="77"/>
      <c r="AM697" s="77"/>
      <c r="AN697" s="77"/>
    </row>
    <row r="698" customFormat="false" ht="12.75" hidden="false" customHeight="false" outlineLevel="0" collapsed="false">
      <c r="AJ698" s="77"/>
      <c r="AK698" s="77"/>
      <c r="AL698" s="77"/>
      <c r="AM698" s="77"/>
      <c r="AN698" s="77"/>
    </row>
    <row r="699" customFormat="false" ht="12.75" hidden="false" customHeight="false" outlineLevel="0" collapsed="false">
      <c r="AJ699" s="77"/>
      <c r="AK699" s="77"/>
      <c r="AL699" s="77"/>
      <c r="AM699" s="77"/>
      <c r="AN699" s="77"/>
    </row>
    <row r="700" customFormat="false" ht="12.75" hidden="false" customHeight="false" outlineLevel="0" collapsed="false">
      <c r="AJ700" s="77"/>
      <c r="AK700" s="77"/>
      <c r="AL700" s="77"/>
      <c r="AM700" s="77"/>
      <c r="AN700" s="77"/>
    </row>
    <row r="701" customFormat="false" ht="12.75" hidden="false" customHeight="false" outlineLevel="0" collapsed="false">
      <c r="AJ701" s="77"/>
      <c r="AK701" s="77"/>
      <c r="AL701" s="77"/>
      <c r="AM701" s="77"/>
      <c r="AN701" s="77"/>
    </row>
    <row r="702" customFormat="false" ht="12.75" hidden="false" customHeight="false" outlineLevel="0" collapsed="false">
      <c r="AJ702" s="77"/>
      <c r="AK702" s="77"/>
      <c r="AL702" s="77"/>
      <c r="AM702" s="77"/>
      <c r="AN702" s="77"/>
    </row>
    <row r="703" customFormat="false" ht="12.75" hidden="false" customHeight="false" outlineLevel="0" collapsed="false">
      <c r="AJ703" s="77"/>
      <c r="AK703" s="77"/>
      <c r="AL703" s="77"/>
      <c r="AM703" s="77"/>
      <c r="AN703" s="77"/>
    </row>
    <row r="704" customFormat="false" ht="12.75" hidden="false" customHeight="false" outlineLevel="0" collapsed="false">
      <c r="AJ704" s="77"/>
      <c r="AK704" s="77"/>
      <c r="AL704" s="77"/>
      <c r="AM704" s="77"/>
      <c r="AN704" s="77"/>
    </row>
    <row r="705" customFormat="false" ht="12.75" hidden="false" customHeight="false" outlineLevel="0" collapsed="false">
      <c r="AJ705" s="77"/>
      <c r="AK705" s="77"/>
      <c r="AL705" s="77"/>
      <c r="AM705" s="77"/>
      <c r="AN705" s="77"/>
    </row>
    <row r="706" customFormat="false" ht="12.75" hidden="false" customHeight="false" outlineLevel="0" collapsed="false">
      <c r="AJ706" s="77"/>
      <c r="AK706" s="77"/>
      <c r="AL706" s="77"/>
      <c r="AM706" s="77"/>
      <c r="AN706" s="77"/>
    </row>
    <row r="707" customFormat="false" ht="12.75" hidden="false" customHeight="false" outlineLevel="0" collapsed="false">
      <c r="AJ707" s="77"/>
      <c r="AK707" s="77"/>
      <c r="AL707" s="77"/>
      <c r="AM707" s="77"/>
      <c r="AN707" s="77"/>
    </row>
    <row r="708" customFormat="false" ht="12.75" hidden="false" customHeight="false" outlineLevel="0" collapsed="false">
      <c r="AJ708" s="77"/>
      <c r="AK708" s="77"/>
      <c r="AL708" s="77"/>
      <c r="AM708" s="77"/>
      <c r="AN708" s="77"/>
    </row>
    <row r="709" customFormat="false" ht="12.75" hidden="false" customHeight="false" outlineLevel="0" collapsed="false">
      <c r="AJ709" s="77"/>
      <c r="AK709" s="77"/>
      <c r="AL709" s="77"/>
      <c r="AM709" s="77"/>
      <c r="AN709" s="77"/>
    </row>
    <row r="710" customFormat="false" ht="12.75" hidden="false" customHeight="false" outlineLevel="0" collapsed="false">
      <c r="AJ710" s="77"/>
      <c r="AK710" s="77"/>
      <c r="AL710" s="77"/>
      <c r="AM710" s="77"/>
      <c r="AN710" s="77"/>
    </row>
    <row r="711" customFormat="false" ht="12.75" hidden="false" customHeight="false" outlineLevel="0" collapsed="false">
      <c r="AJ711" s="77"/>
      <c r="AK711" s="77"/>
      <c r="AL711" s="77"/>
      <c r="AM711" s="77"/>
      <c r="AN711" s="77"/>
    </row>
    <row r="712" customFormat="false" ht="12.75" hidden="false" customHeight="false" outlineLevel="0" collapsed="false">
      <c r="AJ712" s="77"/>
      <c r="AK712" s="77"/>
      <c r="AL712" s="77"/>
      <c r="AM712" s="77"/>
      <c r="AN712" s="77"/>
    </row>
    <row r="713" customFormat="false" ht="12.75" hidden="false" customHeight="false" outlineLevel="0" collapsed="false">
      <c r="AJ713" s="77"/>
      <c r="AK713" s="77"/>
      <c r="AL713" s="77"/>
      <c r="AM713" s="77"/>
      <c r="AN713" s="77"/>
    </row>
    <row r="714" customFormat="false" ht="12.75" hidden="false" customHeight="false" outlineLevel="0" collapsed="false">
      <c r="AJ714" s="77"/>
      <c r="AK714" s="77"/>
      <c r="AL714" s="77"/>
      <c r="AM714" s="77"/>
      <c r="AN714" s="77"/>
    </row>
    <row r="715" customFormat="false" ht="12.75" hidden="false" customHeight="false" outlineLevel="0" collapsed="false">
      <c r="AJ715" s="77"/>
      <c r="AK715" s="77"/>
      <c r="AL715" s="77"/>
      <c r="AM715" s="77"/>
      <c r="AN715" s="77"/>
    </row>
    <row r="716" customFormat="false" ht="12.75" hidden="false" customHeight="false" outlineLevel="0" collapsed="false">
      <c r="AJ716" s="77"/>
      <c r="AK716" s="77"/>
      <c r="AL716" s="77"/>
      <c r="AM716" s="77"/>
      <c r="AN716" s="77"/>
    </row>
    <row r="717" customFormat="false" ht="12.75" hidden="false" customHeight="false" outlineLevel="0" collapsed="false">
      <c r="AJ717" s="77"/>
      <c r="AK717" s="77"/>
      <c r="AL717" s="77"/>
      <c r="AM717" s="77"/>
      <c r="AN717" s="77"/>
    </row>
    <row r="718" customFormat="false" ht="12.75" hidden="false" customHeight="false" outlineLevel="0" collapsed="false">
      <c r="AJ718" s="77"/>
      <c r="AK718" s="77"/>
      <c r="AL718" s="77"/>
      <c r="AM718" s="77"/>
      <c r="AN718" s="77"/>
    </row>
    <row r="719" customFormat="false" ht="12.75" hidden="false" customHeight="false" outlineLevel="0" collapsed="false">
      <c r="AJ719" s="77"/>
      <c r="AK719" s="77"/>
      <c r="AL719" s="77"/>
      <c r="AM719" s="77"/>
      <c r="AN719" s="77"/>
    </row>
    <row r="720" customFormat="false" ht="12.75" hidden="false" customHeight="false" outlineLevel="0" collapsed="false">
      <c r="AJ720" s="77"/>
      <c r="AK720" s="77"/>
      <c r="AL720" s="77"/>
      <c r="AM720" s="77"/>
      <c r="AN720" s="77"/>
    </row>
    <row r="721" customFormat="false" ht="12.75" hidden="false" customHeight="false" outlineLevel="0" collapsed="false">
      <c r="AJ721" s="77"/>
      <c r="AK721" s="77"/>
      <c r="AL721" s="77"/>
      <c r="AM721" s="77"/>
      <c r="AN721" s="77"/>
    </row>
    <row r="722" customFormat="false" ht="12.75" hidden="false" customHeight="false" outlineLevel="0" collapsed="false">
      <c r="AJ722" s="77"/>
      <c r="AK722" s="77"/>
      <c r="AL722" s="77"/>
      <c r="AM722" s="77"/>
      <c r="AN722" s="77"/>
    </row>
  </sheetData>
  <printOptions headings="false" gridLines="false" gridLinesSet="true" horizontalCentered="false" verticalCentered="false"/>
  <pageMargins left="0.270138888888889" right="0.329861111111111" top="0.984027777777778" bottom="0.984027777777778" header="0.511811023622047" footer="0.511811023622047"/>
  <pageSetup paperSize="5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1998-02-25T17:42:16Z</dcterms:created>
  <dc:creator>Joe Louis</dc:creator>
  <dc:description>- Oracle 8i ODBC QueryFix Applied</dc:description>
  <dc:language>en-US</dc:language>
  <cp:lastModifiedBy>Louis R. DiCarlo</cp:lastModifiedBy>
  <cp:lastPrinted>2001-05-15T16:51:58Z</cp:lastPrinted>
  <dcterms:modified xsi:type="dcterms:W3CDTF">2001-05-15T17:14:10Z</dcterms:modified>
  <cp:revision>0</cp:revision>
  <dc:subject/>
  <dc:title/>
</cp:coreProperties>
</file>